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charts/chart12.xml" ContentType="application/vnd.openxmlformats-officedocument.drawingml.chart+xml"/>
  <Override PartName="/xl/charts/style9.xml" ContentType="application/vnd.ms-office.chartstyle+xml"/>
  <Override PartName="/xl/charts/colors9.xml" ContentType="application/vnd.ms-office.chartcolorstyle+xml"/>
  <Override PartName="/xl/charts/chart13.xml" ContentType="application/vnd.openxmlformats-officedocument.drawingml.chart+xml"/>
  <Override PartName="/xl/charts/style10.xml" ContentType="application/vnd.ms-office.chartstyle+xml"/>
  <Override PartName="/xl/charts/colors10.xml" ContentType="application/vnd.ms-office.chartcolorstyle+xml"/>
  <Override PartName="/xl/charts/chart14.xml" ContentType="application/vnd.openxmlformats-officedocument.drawingml.chart+xml"/>
  <Override PartName="/xl/charts/style11.xml" ContentType="application/vnd.ms-office.chartstyle+xml"/>
  <Override PartName="/xl/charts/colors11.xml" ContentType="application/vnd.ms-office.chartcolorstyle+xml"/>
  <Override PartName="/xl/charts/chart15.xml" ContentType="application/vnd.openxmlformats-officedocument.drawingml.chart+xml"/>
  <Override PartName="/xl/charts/style12.xml" ContentType="application/vnd.ms-office.chartstyle+xml"/>
  <Override PartName="/xl/charts/colors12.xml" ContentType="application/vnd.ms-office.chartcolorstyle+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charts/chart18.xml" ContentType="application/vnd.openxmlformats-officedocument.drawingml.chart+xml"/>
  <Override PartName="/xl/charts/style15.xml" ContentType="application/vnd.ms-office.chartstyle+xml"/>
  <Override PartName="/xl/charts/colors15.xml" ContentType="application/vnd.ms-office.chartcolorstyle+xml"/>
  <Override PartName="/xl/charts/chart19.xml" ContentType="application/vnd.openxmlformats-officedocument.drawingml.chart+xml"/>
  <Override PartName="/xl/charts/style16.xml" ContentType="application/vnd.ms-office.chartstyle+xml"/>
  <Override PartName="/xl/charts/colors16.xml" ContentType="application/vnd.ms-office.chartcolorstyle+xml"/>
  <Override PartName="/xl/charts/chart20.xml" ContentType="application/vnd.openxmlformats-officedocument.drawingml.chart+xml"/>
  <Override PartName="/xl/charts/style17.xml" ContentType="application/vnd.ms-office.chartstyle+xml"/>
  <Override PartName="/xl/charts/colors17.xml" ContentType="application/vnd.ms-office.chartcolorstyle+xml"/>
  <Override PartName="/xl/charts/chart21.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xml" ContentType="application/vnd.openxmlformats-officedocument.drawing+xml"/>
  <Override PartName="/xl/charts/chart22.xml" ContentType="application/vnd.openxmlformats-officedocument.drawingml.chart+xml"/>
  <Override PartName="/xl/charts/style19.xml" ContentType="application/vnd.ms-office.chartstyle+xml"/>
  <Override PartName="/xl/charts/colors19.xml" ContentType="application/vnd.ms-office.chartcolorstyle+xml"/>
  <Override PartName="/xl/charts/chart23.xml" ContentType="application/vnd.openxmlformats-officedocument.drawingml.chart+xml"/>
  <Override PartName="/xl/charts/style20.xml" ContentType="application/vnd.ms-office.chartstyle+xml"/>
  <Override PartName="/xl/charts/colors20.xml" ContentType="application/vnd.ms-office.chartcolorstyle+xml"/>
  <Override PartName="/xl/charts/chart24.xml" ContentType="application/vnd.openxmlformats-officedocument.drawingml.chart+xml"/>
  <Override PartName="/xl/charts/style21.xml" ContentType="application/vnd.ms-office.chartstyle+xml"/>
  <Override PartName="/xl/charts/colors21.xml" ContentType="application/vnd.ms-office.chartcolorstyle+xml"/>
  <Override PartName="/xl/charts/chart25.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xml" ContentType="application/vnd.openxmlformats-officedocument.drawing+xml"/>
  <Override PartName="/xl/charts/chart26.xml" ContentType="application/vnd.openxmlformats-officedocument.drawingml.chart+xml"/>
  <Override PartName="/xl/charts/style23.xml" ContentType="application/vnd.ms-office.chartstyle+xml"/>
  <Override PartName="/xl/charts/colors23.xml" ContentType="application/vnd.ms-office.chartcolorstyle+xml"/>
  <Override PartName="/xl/charts/chart27.xml" ContentType="application/vnd.openxmlformats-officedocument.drawingml.chart+xml"/>
  <Override PartName="/xl/charts/style24.xml" ContentType="application/vnd.ms-office.chartstyle+xml"/>
  <Override PartName="/xl/charts/colors24.xml" ContentType="application/vnd.ms-office.chartcolorstyle+xml"/>
  <Override PartName="/xl/charts/chart28.xml" ContentType="application/vnd.openxmlformats-officedocument.drawingml.chart+xml"/>
  <Override PartName="/xl/charts/style25.xml" ContentType="application/vnd.ms-office.chartstyle+xml"/>
  <Override PartName="/xl/charts/colors25.xml" ContentType="application/vnd.ms-office.chartcolorstyle+xml"/>
  <Override PartName="/xl/charts/chart29.xml" ContentType="application/vnd.openxmlformats-officedocument.drawingml.chart+xml"/>
  <Override PartName="/xl/charts/style26.xml" ContentType="application/vnd.ms-office.chartstyle+xml"/>
  <Override PartName="/xl/charts/colors26.xml" ContentType="application/vnd.ms-office.chartcolorstyle+xml"/>
  <Override PartName="/xl/charts/chart30.xml" ContentType="application/vnd.openxmlformats-officedocument.drawingml.chart+xml"/>
  <Override PartName="/xl/charts/style27.xml" ContentType="application/vnd.ms-office.chartstyle+xml"/>
  <Override PartName="/xl/charts/colors27.xml" ContentType="application/vnd.ms-office.chartcolorstyle+xml"/>
  <Override PartName="/xl/charts/chart31.xml" ContentType="application/vnd.openxmlformats-officedocument.drawingml.chart+xml"/>
  <Override PartName="/xl/charts/style28.xml" ContentType="application/vnd.ms-office.chartstyle+xml"/>
  <Override PartName="/xl/charts/colors28.xml" ContentType="application/vnd.ms-office.chartcolorstyle+xml"/>
  <Override PartName="/xl/charts/chart32.xml" ContentType="application/vnd.openxmlformats-officedocument.drawingml.chart+xml"/>
  <Override PartName="/xl/charts/style29.xml" ContentType="application/vnd.ms-office.chartstyle+xml"/>
  <Override PartName="/xl/charts/colors29.xml" ContentType="application/vnd.ms-office.chartcolorstyle+xml"/>
  <Override PartName="/xl/charts/chart33.xml" ContentType="application/vnd.openxmlformats-officedocument.drawingml.chart+xml"/>
  <Override PartName="/xl/charts/style30.xml" ContentType="application/vnd.ms-office.chartstyle+xml"/>
  <Override PartName="/xl/charts/colors3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1"/>
  <workbookPr/>
  <mc:AlternateContent xmlns:mc="http://schemas.openxmlformats.org/markup-compatibility/2006">
    <mc:Choice Requires="x15">
      <x15ac:absPath xmlns:x15ac="http://schemas.microsoft.com/office/spreadsheetml/2010/11/ac" url="https://hertshtengroup-my.sharepoint.com/personal/sujay_bhaumik_hertshtengroup_com/Documents/FILES/"/>
    </mc:Choice>
  </mc:AlternateContent>
  <xr:revisionPtr revIDLastSave="0" documentId="8_{8861BF6C-BDB6-488A-83FC-48F9310242BF}" xr6:coauthVersionLast="47" xr6:coauthVersionMax="47" xr10:uidLastSave="{00000000-0000-0000-0000-000000000000}"/>
  <bookViews>
    <workbookView xWindow="-120" yWindow="-120" windowWidth="38640" windowHeight="21240" xr2:uid="{00000000-000D-0000-FFFF-FFFF00000000}"/>
  </bookViews>
  <sheets>
    <sheet name="Journal Live" sheetId="1" r:id="rId1"/>
    <sheet name="PERFORMANCE ANALYSIS" sheetId="6" r:id="rId2"/>
    <sheet name="Journal Training" sheetId="2" r:id="rId3"/>
    <sheet name="MM (QTR)" sheetId="7" r:id="rId4"/>
    <sheet name="MM TOTAL" sheetId="9" r:id="rId5"/>
  </sheets>
  <definedNames>
    <definedName name="_xlnm._FilterDatabase" localSheetId="0" hidden="1">'Journal Live'!$A$2:$BF$2630</definedName>
    <definedName name="_xlnm._FilterDatabase" localSheetId="2" hidden="1">'Journal Training'!$A$2:$AZ$313</definedName>
    <definedName name="_xlnm._FilterDatabase" localSheetId="1" hidden="1">'PERFORMANCE ANALYSIS'!$A$1:$AZ$4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G2561" i="1" l="1"/>
  <c r="BH2561" i="1"/>
  <c r="BI2561" i="1"/>
  <c r="BJ2561" i="1"/>
  <c r="BK2561" i="1"/>
  <c r="BL2561" i="1"/>
  <c r="BP2561" i="1"/>
  <c r="BQ2561" i="1"/>
  <c r="BR2561" i="1"/>
  <c r="BS2561" i="1"/>
  <c r="BT2561" i="1"/>
  <c r="BU2561" i="1"/>
  <c r="BV2561" i="1"/>
  <c r="BW2561" i="1"/>
  <c r="BX2561" i="1"/>
  <c r="BY2561" i="1"/>
  <c r="BZ2561" i="1"/>
  <c r="BG2562" i="1"/>
  <c r="BH2562" i="1"/>
  <c r="BI2562" i="1"/>
  <c r="BJ2562" i="1"/>
  <c r="BK2562" i="1"/>
  <c r="BL2562" i="1"/>
  <c r="BP2562" i="1"/>
  <c r="BQ2562" i="1"/>
  <c r="BR2562" i="1"/>
  <c r="BS2562" i="1"/>
  <c r="BT2562" i="1"/>
  <c r="BU2562" i="1"/>
  <c r="BV2562" i="1"/>
  <c r="BW2562" i="1"/>
  <c r="BX2562" i="1"/>
  <c r="BY2562" i="1"/>
  <c r="BZ2562" i="1"/>
  <c r="BG2563" i="1"/>
  <c r="BH2563" i="1"/>
  <c r="BI2563" i="1"/>
  <c r="BJ2563" i="1"/>
  <c r="BK2563" i="1"/>
  <c r="BL2563" i="1"/>
  <c r="BP2563" i="1"/>
  <c r="BQ2563" i="1"/>
  <c r="BR2563" i="1"/>
  <c r="BS2563" i="1"/>
  <c r="BT2563" i="1"/>
  <c r="BU2563" i="1"/>
  <c r="BV2563" i="1"/>
  <c r="BW2563" i="1"/>
  <c r="BX2563" i="1"/>
  <c r="BY2563" i="1"/>
  <c r="BZ2563" i="1"/>
  <c r="BG2564" i="1"/>
  <c r="BH2564" i="1"/>
  <c r="BI2564" i="1"/>
  <c r="BJ2564" i="1"/>
  <c r="BK2564" i="1"/>
  <c r="BL2564" i="1"/>
  <c r="BP2564" i="1"/>
  <c r="BQ2564" i="1"/>
  <c r="BR2564" i="1"/>
  <c r="BS2564" i="1"/>
  <c r="BT2564" i="1"/>
  <c r="BU2564" i="1"/>
  <c r="BV2564" i="1"/>
  <c r="BW2564" i="1"/>
  <c r="BX2564" i="1"/>
  <c r="BY2564" i="1"/>
  <c r="BZ2564" i="1"/>
  <c r="BG2565" i="1"/>
  <c r="BH2565" i="1"/>
  <c r="BI2565" i="1"/>
  <c r="BJ2565" i="1"/>
  <c r="BK2565" i="1"/>
  <c r="BL2565" i="1"/>
  <c r="BP2565" i="1"/>
  <c r="BQ2565" i="1"/>
  <c r="BR2565" i="1"/>
  <c r="BS2565" i="1"/>
  <c r="BT2565" i="1"/>
  <c r="BU2565" i="1"/>
  <c r="BV2565" i="1"/>
  <c r="BW2565" i="1"/>
  <c r="BX2565" i="1"/>
  <c r="BY2565" i="1"/>
  <c r="BZ2565" i="1"/>
  <c r="BG2566" i="1"/>
  <c r="BH2566" i="1"/>
  <c r="BI2566" i="1"/>
  <c r="BJ2566" i="1"/>
  <c r="BK2566" i="1"/>
  <c r="BL2566" i="1"/>
  <c r="BP2566" i="1"/>
  <c r="BQ2566" i="1"/>
  <c r="BR2566" i="1"/>
  <c r="BS2566" i="1"/>
  <c r="BT2566" i="1"/>
  <c r="BU2566" i="1"/>
  <c r="BV2566" i="1"/>
  <c r="BW2566" i="1"/>
  <c r="BX2566" i="1"/>
  <c r="BY2566" i="1"/>
  <c r="BZ2566" i="1"/>
  <c r="BG2567" i="1"/>
  <c r="BH2567" i="1"/>
  <c r="BI2567" i="1"/>
  <c r="BJ2567" i="1"/>
  <c r="BK2567" i="1"/>
  <c r="BL2567" i="1"/>
  <c r="BP2567" i="1"/>
  <c r="BQ2567" i="1"/>
  <c r="BR2567" i="1"/>
  <c r="BS2567" i="1"/>
  <c r="BT2567" i="1"/>
  <c r="BU2567" i="1"/>
  <c r="BV2567" i="1"/>
  <c r="BW2567" i="1"/>
  <c r="BX2567" i="1"/>
  <c r="BY2567" i="1"/>
  <c r="BZ2567" i="1"/>
  <c r="BG2568" i="1"/>
  <c r="BH2568" i="1"/>
  <c r="BI2568" i="1"/>
  <c r="BJ2568" i="1"/>
  <c r="BK2568" i="1"/>
  <c r="BL2568" i="1"/>
  <c r="BP2568" i="1"/>
  <c r="BQ2568" i="1"/>
  <c r="BR2568" i="1"/>
  <c r="BS2568" i="1"/>
  <c r="BT2568" i="1"/>
  <c r="BU2568" i="1"/>
  <c r="BV2568" i="1"/>
  <c r="BW2568" i="1"/>
  <c r="BX2568" i="1"/>
  <c r="BY2568" i="1"/>
  <c r="BZ2568" i="1"/>
  <c r="BG2569" i="1"/>
  <c r="BH2569" i="1"/>
  <c r="BI2569" i="1"/>
  <c r="BJ2569" i="1"/>
  <c r="BK2569" i="1"/>
  <c r="BL2569" i="1"/>
  <c r="BP2569" i="1"/>
  <c r="BQ2569" i="1"/>
  <c r="BR2569" i="1"/>
  <c r="BS2569" i="1"/>
  <c r="BT2569" i="1"/>
  <c r="BU2569" i="1"/>
  <c r="BV2569" i="1"/>
  <c r="BW2569" i="1"/>
  <c r="BX2569" i="1"/>
  <c r="BY2569" i="1"/>
  <c r="BZ2569" i="1"/>
  <c r="BG2570" i="1"/>
  <c r="BH2570" i="1"/>
  <c r="BI2570" i="1"/>
  <c r="BJ2570" i="1"/>
  <c r="BK2570" i="1"/>
  <c r="BL2570" i="1"/>
  <c r="BP2570" i="1"/>
  <c r="BQ2570" i="1"/>
  <c r="BR2570" i="1"/>
  <c r="BS2570" i="1"/>
  <c r="BT2570" i="1"/>
  <c r="BU2570" i="1"/>
  <c r="BV2570" i="1"/>
  <c r="BW2570" i="1"/>
  <c r="BX2570" i="1"/>
  <c r="BY2570" i="1"/>
  <c r="BZ2570" i="1"/>
  <c r="BG2571" i="1"/>
  <c r="BH2571" i="1"/>
  <c r="BI2571" i="1"/>
  <c r="BJ2571" i="1"/>
  <c r="BK2571" i="1"/>
  <c r="BL2571" i="1"/>
  <c r="BP2571" i="1"/>
  <c r="BQ2571" i="1"/>
  <c r="BR2571" i="1"/>
  <c r="BS2571" i="1"/>
  <c r="BT2571" i="1"/>
  <c r="BU2571" i="1"/>
  <c r="BV2571" i="1"/>
  <c r="BW2571" i="1"/>
  <c r="BX2571" i="1"/>
  <c r="BY2571" i="1"/>
  <c r="BZ2571" i="1"/>
  <c r="BG2572" i="1"/>
  <c r="BH2572" i="1"/>
  <c r="BI2572" i="1"/>
  <c r="BJ2572" i="1"/>
  <c r="BK2572" i="1"/>
  <c r="BL2572" i="1"/>
  <c r="BP2572" i="1"/>
  <c r="BQ2572" i="1"/>
  <c r="BR2572" i="1"/>
  <c r="BS2572" i="1"/>
  <c r="BT2572" i="1"/>
  <c r="BU2572" i="1"/>
  <c r="BV2572" i="1"/>
  <c r="BW2572" i="1"/>
  <c r="BX2572" i="1"/>
  <c r="BY2572" i="1"/>
  <c r="BZ2572" i="1"/>
  <c r="BG2573" i="1"/>
  <c r="BH2573" i="1"/>
  <c r="BI2573" i="1"/>
  <c r="BJ2573" i="1"/>
  <c r="BK2573" i="1"/>
  <c r="BL2573" i="1"/>
  <c r="BP2573" i="1"/>
  <c r="BQ2573" i="1"/>
  <c r="BR2573" i="1"/>
  <c r="BS2573" i="1"/>
  <c r="BT2573" i="1"/>
  <c r="BU2573" i="1"/>
  <c r="BV2573" i="1"/>
  <c r="BW2573" i="1"/>
  <c r="BX2573" i="1"/>
  <c r="BY2573" i="1"/>
  <c r="BZ2573" i="1"/>
  <c r="BG2574" i="1"/>
  <c r="BH2574" i="1"/>
  <c r="BI2574" i="1"/>
  <c r="BJ2574" i="1"/>
  <c r="BK2574" i="1"/>
  <c r="BL2574" i="1"/>
  <c r="BP2574" i="1"/>
  <c r="BQ2574" i="1"/>
  <c r="BR2574" i="1"/>
  <c r="BS2574" i="1"/>
  <c r="BT2574" i="1"/>
  <c r="BU2574" i="1"/>
  <c r="BV2574" i="1"/>
  <c r="BW2574" i="1"/>
  <c r="BX2574" i="1"/>
  <c r="BY2574" i="1"/>
  <c r="BZ2574" i="1"/>
  <c r="BG2575" i="1"/>
  <c r="BH2575" i="1"/>
  <c r="BI2575" i="1"/>
  <c r="BJ2575" i="1"/>
  <c r="BK2575" i="1"/>
  <c r="BL2575" i="1"/>
  <c r="BP2575" i="1"/>
  <c r="BQ2575" i="1"/>
  <c r="BR2575" i="1"/>
  <c r="BS2575" i="1"/>
  <c r="BT2575" i="1"/>
  <c r="BU2575" i="1"/>
  <c r="BV2575" i="1"/>
  <c r="BW2575" i="1"/>
  <c r="BX2575" i="1"/>
  <c r="BY2575" i="1"/>
  <c r="BZ2575" i="1"/>
  <c r="BG2576" i="1"/>
  <c r="BH2576" i="1"/>
  <c r="BI2576" i="1"/>
  <c r="BJ2576" i="1"/>
  <c r="BK2576" i="1"/>
  <c r="BL2576" i="1"/>
  <c r="BP2576" i="1"/>
  <c r="BQ2576" i="1"/>
  <c r="BR2576" i="1"/>
  <c r="BS2576" i="1"/>
  <c r="BT2576" i="1"/>
  <c r="BU2576" i="1"/>
  <c r="BV2576" i="1"/>
  <c r="BW2576" i="1"/>
  <c r="BX2576" i="1"/>
  <c r="BY2576" i="1"/>
  <c r="BZ2576" i="1"/>
  <c r="BG2577" i="1"/>
  <c r="BH2577" i="1"/>
  <c r="BI2577" i="1"/>
  <c r="BJ2577" i="1"/>
  <c r="BK2577" i="1"/>
  <c r="BL2577" i="1"/>
  <c r="BP2577" i="1"/>
  <c r="BQ2577" i="1"/>
  <c r="BR2577" i="1"/>
  <c r="BS2577" i="1"/>
  <c r="BT2577" i="1"/>
  <c r="BU2577" i="1"/>
  <c r="BV2577" i="1"/>
  <c r="BW2577" i="1"/>
  <c r="BX2577" i="1"/>
  <c r="BY2577" i="1"/>
  <c r="BZ2577" i="1"/>
  <c r="BG2578" i="1"/>
  <c r="BH2578" i="1"/>
  <c r="BI2578" i="1"/>
  <c r="BJ2578" i="1"/>
  <c r="BK2578" i="1"/>
  <c r="BL2578" i="1"/>
  <c r="BP2578" i="1"/>
  <c r="BQ2578" i="1"/>
  <c r="BR2578" i="1"/>
  <c r="BS2578" i="1"/>
  <c r="BT2578" i="1"/>
  <c r="BU2578" i="1"/>
  <c r="BV2578" i="1"/>
  <c r="BW2578" i="1"/>
  <c r="BX2578" i="1"/>
  <c r="BY2578" i="1"/>
  <c r="BZ2578" i="1"/>
  <c r="BG2579" i="1"/>
  <c r="BH2579" i="1"/>
  <c r="BI2579" i="1"/>
  <c r="BJ2579" i="1"/>
  <c r="BK2579" i="1"/>
  <c r="BL2579" i="1"/>
  <c r="BP2579" i="1"/>
  <c r="BQ2579" i="1"/>
  <c r="BR2579" i="1"/>
  <c r="BS2579" i="1"/>
  <c r="BT2579" i="1"/>
  <c r="BU2579" i="1"/>
  <c r="BV2579" i="1"/>
  <c r="BW2579" i="1"/>
  <c r="BX2579" i="1"/>
  <c r="BY2579" i="1"/>
  <c r="BZ2579" i="1"/>
  <c r="BG2580" i="1"/>
  <c r="BH2580" i="1"/>
  <c r="BI2580" i="1"/>
  <c r="BJ2580" i="1"/>
  <c r="BK2580" i="1"/>
  <c r="BL2580" i="1"/>
  <c r="BP2580" i="1"/>
  <c r="BQ2580" i="1"/>
  <c r="BR2580" i="1"/>
  <c r="BS2580" i="1"/>
  <c r="BT2580" i="1"/>
  <c r="BU2580" i="1"/>
  <c r="BV2580" i="1"/>
  <c r="BW2580" i="1"/>
  <c r="BX2580" i="1"/>
  <c r="BY2580" i="1"/>
  <c r="BZ2580" i="1"/>
  <c r="BG2581" i="1"/>
  <c r="BH2581" i="1"/>
  <c r="BI2581" i="1"/>
  <c r="BJ2581" i="1"/>
  <c r="BK2581" i="1"/>
  <c r="BL2581" i="1"/>
  <c r="BP2581" i="1"/>
  <c r="BQ2581" i="1"/>
  <c r="BR2581" i="1"/>
  <c r="BS2581" i="1"/>
  <c r="BT2581" i="1"/>
  <c r="BU2581" i="1"/>
  <c r="BV2581" i="1"/>
  <c r="BW2581" i="1"/>
  <c r="BX2581" i="1"/>
  <c r="BY2581" i="1"/>
  <c r="BZ2581" i="1"/>
  <c r="BG2582" i="1"/>
  <c r="BH2582" i="1"/>
  <c r="BI2582" i="1"/>
  <c r="BJ2582" i="1"/>
  <c r="BK2582" i="1"/>
  <c r="BL2582" i="1"/>
  <c r="BP2582" i="1"/>
  <c r="BQ2582" i="1"/>
  <c r="BR2582" i="1"/>
  <c r="BS2582" i="1"/>
  <c r="BT2582" i="1"/>
  <c r="BU2582" i="1"/>
  <c r="BV2582" i="1"/>
  <c r="BW2582" i="1"/>
  <c r="BX2582" i="1"/>
  <c r="BY2582" i="1"/>
  <c r="BZ2582" i="1"/>
  <c r="BG2583" i="1"/>
  <c r="BH2583" i="1"/>
  <c r="BI2583" i="1"/>
  <c r="BJ2583" i="1"/>
  <c r="BK2583" i="1"/>
  <c r="BL2583" i="1"/>
  <c r="BP2583" i="1"/>
  <c r="BQ2583" i="1"/>
  <c r="BR2583" i="1"/>
  <c r="BS2583" i="1"/>
  <c r="BT2583" i="1"/>
  <c r="BU2583" i="1"/>
  <c r="BV2583" i="1"/>
  <c r="BW2583" i="1"/>
  <c r="BX2583" i="1"/>
  <c r="BY2583" i="1"/>
  <c r="BZ2583" i="1"/>
  <c r="BG2584" i="1"/>
  <c r="BH2584" i="1"/>
  <c r="BI2584" i="1"/>
  <c r="BJ2584" i="1"/>
  <c r="BK2584" i="1"/>
  <c r="BL2584" i="1"/>
  <c r="BP2584" i="1"/>
  <c r="BQ2584" i="1"/>
  <c r="BR2584" i="1"/>
  <c r="BS2584" i="1"/>
  <c r="BT2584" i="1"/>
  <c r="BU2584" i="1"/>
  <c r="BV2584" i="1"/>
  <c r="BW2584" i="1"/>
  <c r="BX2584" i="1"/>
  <c r="BY2584" i="1"/>
  <c r="BZ2584" i="1"/>
  <c r="BG2585" i="1"/>
  <c r="BH2585" i="1"/>
  <c r="BI2585" i="1"/>
  <c r="BJ2585" i="1"/>
  <c r="BK2585" i="1"/>
  <c r="BL2585" i="1"/>
  <c r="BP2585" i="1"/>
  <c r="BQ2585" i="1"/>
  <c r="BR2585" i="1"/>
  <c r="BS2585" i="1"/>
  <c r="BT2585" i="1"/>
  <c r="BU2585" i="1"/>
  <c r="BV2585" i="1"/>
  <c r="BW2585" i="1"/>
  <c r="BX2585" i="1"/>
  <c r="BY2585" i="1"/>
  <c r="BZ2585" i="1"/>
  <c r="BG2586" i="1"/>
  <c r="BH2586" i="1"/>
  <c r="BI2586" i="1"/>
  <c r="BJ2586" i="1"/>
  <c r="BK2586" i="1"/>
  <c r="BL2586" i="1"/>
  <c r="BP2586" i="1"/>
  <c r="BQ2586" i="1"/>
  <c r="BR2586" i="1"/>
  <c r="BS2586" i="1"/>
  <c r="BT2586" i="1"/>
  <c r="BU2586" i="1"/>
  <c r="BV2586" i="1"/>
  <c r="BW2586" i="1"/>
  <c r="BX2586" i="1"/>
  <c r="BY2586" i="1"/>
  <c r="BZ2586" i="1"/>
  <c r="BG2587" i="1"/>
  <c r="BH2587" i="1"/>
  <c r="BI2587" i="1"/>
  <c r="BJ2587" i="1"/>
  <c r="BK2587" i="1"/>
  <c r="BL2587" i="1"/>
  <c r="BP2587" i="1"/>
  <c r="BQ2587" i="1"/>
  <c r="BR2587" i="1"/>
  <c r="BS2587" i="1"/>
  <c r="BT2587" i="1"/>
  <c r="BU2587" i="1"/>
  <c r="BV2587" i="1"/>
  <c r="BW2587" i="1"/>
  <c r="BX2587" i="1"/>
  <c r="BY2587" i="1"/>
  <c r="BZ2587" i="1"/>
  <c r="BG2588" i="1"/>
  <c r="BH2588" i="1"/>
  <c r="BI2588" i="1"/>
  <c r="BJ2588" i="1"/>
  <c r="BK2588" i="1"/>
  <c r="BL2588" i="1"/>
  <c r="BP2588" i="1"/>
  <c r="BQ2588" i="1"/>
  <c r="BR2588" i="1"/>
  <c r="BS2588" i="1"/>
  <c r="BT2588" i="1"/>
  <c r="BU2588" i="1"/>
  <c r="BV2588" i="1"/>
  <c r="BW2588" i="1"/>
  <c r="BX2588" i="1"/>
  <c r="BY2588" i="1"/>
  <c r="BZ2588" i="1"/>
  <c r="BG2589" i="1"/>
  <c r="BH2589" i="1"/>
  <c r="BI2589" i="1"/>
  <c r="BJ2589" i="1"/>
  <c r="BK2589" i="1"/>
  <c r="BL2589" i="1"/>
  <c r="BP2589" i="1"/>
  <c r="BQ2589" i="1"/>
  <c r="BR2589" i="1"/>
  <c r="BS2589" i="1"/>
  <c r="BT2589" i="1"/>
  <c r="BU2589" i="1"/>
  <c r="BV2589" i="1"/>
  <c r="BW2589" i="1"/>
  <c r="BX2589" i="1"/>
  <c r="BY2589" i="1"/>
  <c r="BZ2589" i="1"/>
  <c r="BG2590" i="1"/>
  <c r="BH2590" i="1"/>
  <c r="BI2590" i="1"/>
  <c r="BJ2590" i="1"/>
  <c r="BK2590" i="1"/>
  <c r="BL2590" i="1"/>
  <c r="BP2590" i="1"/>
  <c r="BQ2590" i="1"/>
  <c r="BR2590" i="1"/>
  <c r="BS2590" i="1"/>
  <c r="BT2590" i="1"/>
  <c r="BU2590" i="1"/>
  <c r="BV2590" i="1"/>
  <c r="BW2590" i="1"/>
  <c r="BX2590" i="1"/>
  <c r="BY2590" i="1"/>
  <c r="BZ2590" i="1"/>
  <c r="BG2591" i="1"/>
  <c r="BH2591" i="1"/>
  <c r="BI2591" i="1"/>
  <c r="BJ2591" i="1"/>
  <c r="BK2591" i="1"/>
  <c r="BL2591" i="1"/>
  <c r="BP2591" i="1"/>
  <c r="BQ2591" i="1"/>
  <c r="BR2591" i="1"/>
  <c r="BS2591" i="1"/>
  <c r="BT2591" i="1"/>
  <c r="BU2591" i="1"/>
  <c r="BV2591" i="1"/>
  <c r="BW2591" i="1"/>
  <c r="BX2591" i="1"/>
  <c r="BY2591" i="1"/>
  <c r="BZ2591" i="1"/>
  <c r="BG2592" i="1"/>
  <c r="BH2592" i="1"/>
  <c r="BI2592" i="1"/>
  <c r="BJ2592" i="1"/>
  <c r="BK2592" i="1"/>
  <c r="BL2592" i="1"/>
  <c r="BP2592" i="1"/>
  <c r="BQ2592" i="1"/>
  <c r="BR2592" i="1"/>
  <c r="BS2592" i="1"/>
  <c r="BT2592" i="1"/>
  <c r="BU2592" i="1"/>
  <c r="BV2592" i="1"/>
  <c r="BW2592" i="1"/>
  <c r="BX2592" i="1"/>
  <c r="BY2592" i="1"/>
  <c r="BZ2592" i="1"/>
  <c r="BG2593" i="1"/>
  <c r="BH2593" i="1"/>
  <c r="BI2593" i="1"/>
  <c r="BJ2593" i="1"/>
  <c r="BK2593" i="1"/>
  <c r="BL2593" i="1"/>
  <c r="BP2593" i="1"/>
  <c r="BQ2593" i="1"/>
  <c r="BR2593" i="1"/>
  <c r="BS2593" i="1"/>
  <c r="BT2593" i="1"/>
  <c r="BU2593" i="1"/>
  <c r="BV2593" i="1"/>
  <c r="BW2593" i="1"/>
  <c r="BX2593" i="1"/>
  <c r="BY2593" i="1"/>
  <c r="BZ2593" i="1"/>
  <c r="BG2594" i="1"/>
  <c r="BH2594" i="1"/>
  <c r="BI2594" i="1"/>
  <c r="BJ2594" i="1"/>
  <c r="BK2594" i="1"/>
  <c r="BL2594" i="1"/>
  <c r="BP2594" i="1"/>
  <c r="BQ2594" i="1"/>
  <c r="BR2594" i="1"/>
  <c r="BS2594" i="1"/>
  <c r="BT2594" i="1"/>
  <c r="BU2594" i="1"/>
  <c r="BV2594" i="1"/>
  <c r="BW2594" i="1"/>
  <c r="BX2594" i="1"/>
  <c r="BY2594" i="1"/>
  <c r="BZ2594" i="1"/>
  <c r="BG2595" i="1"/>
  <c r="BH2595" i="1"/>
  <c r="BI2595" i="1"/>
  <c r="BJ2595" i="1"/>
  <c r="BK2595" i="1"/>
  <c r="BL2595" i="1"/>
  <c r="BP2595" i="1"/>
  <c r="BQ2595" i="1"/>
  <c r="BR2595" i="1"/>
  <c r="BS2595" i="1"/>
  <c r="BT2595" i="1"/>
  <c r="BU2595" i="1"/>
  <c r="BV2595" i="1"/>
  <c r="BW2595" i="1"/>
  <c r="BX2595" i="1"/>
  <c r="BY2595" i="1"/>
  <c r="BZ2595" i="1"/>
  <c r="BG2596" i="1"/>
  <c r="BH2596" i="1"/>
  <c r="BI2596" i="1"/>
  <c r="BJ2596" i="1"/>
  <c r="BK2596" i="1"/>
  <c r="BL2596" i="1"/>
  <c r="BP2596" i="1"/>
  <c r="BQ2596" i="1"/>
  <c r="BR2596" i="1"/>
  <c r="BS2596" i="1"/>
  <c r="BT2596" i="1"/>
  <c r="BU2596" i="1"/>
  <c r="BV2596" i="1"/>
  <c r="BW2596" i="1"/>
  <c r="BX2596" i="1"/>
  <c r="BY2596" i="1"/>
  <c r="BZ2596" i="1"/>
  <c r="BG2597" i="1"/>
  <c r="BH2597" i="1"/>
  <c r="BI2597" i="1"/>
  <c r="BJ2597" i="1"/>
  <c r="BK2597" i="1"/>
  <c r="BL2597" i="1"/>
  <c r="BP2597" i="1"/>
  <c r="BQ2597" i="1"/>
  <c r="BR2597" i="1"/>
  <c r="BS2597" i="1"/>
  <c r="BT2597" i="1"/>
  <c r="BU2597" i="1"/>
  <c r="BV2597" i="1"/>
  <c r="BW2597" i="1"/>
  <c r="BX2597" i="1"/>
  <c r="BY2597" i="1"/>
  <c r="BZ2597" i="1"/>
  <c r="BG2598" i="1"/>
  <c r="BH2598" i="1"/>
  <c r="BI2598" i="1"/>
  <c r="BJ2598" i="1"/>
  <c r="BK2598" i="1"/>
  <c r="BL2598" i="1"/>
  <c r="BP2598" i="1"/>
  <c r="BQ2598" i="1"/>
  <c r="BR2598" i="1"/>
  <c r="BS2598" i="1"/>
  <c r="BT2598" i="1"/>
  <c r="BU2598" i="1"/>
  <c r="BV2598" i="1"/>
  <c r="BW2598" i="1"/>
  <c r="BX2598" i="1"/>
  <c r="BY2598" i="1"/>
  <c r="BZ2598" i="1"/>
  <c r="BG2599" i="1"/>
  <c r="BH2599" i="1"/>
  <c r="BI2599" i="1"/>
  <c r="BJ2599" i="1"/>
  <c r="BK2599" i="1"/>
  <c r="BL2599" i="1"/>
  <c r="BP2599" i="1"/>
  <c r="BQ2599" i="1"/>
  <c r="BR2599" i="1"/>
  <c r="BS2599" i="1"/>
  <c r="BT2599" i="1"/>
  <c r="BU2599" i="1"/>
  <c r="BV2599" i="1"/>
  <c r="BW2599" i="1"/>
  <c r="BX2599" i="1"/>
  <c r="BY2599" i="1"/>
  <c r="BZ2599" i="1"/>
  <c r="BG2600" i="1"/>
  <c r="BH2600" i="1"/>
  <c r="BI2600" i="1"/>
  <c r="BJ2600" i="1"/>
  <c r="BK2600" i="1"/>
  <c r="BL2600" i="1"/>
  <c r="BP2600" i="1"/>
  <c r="BQ2600" i="1"/>
  <c r="BR2600" i="1"/>
  <c r="BS2600" i="1"/>
  <c r="BT2600" i="1"/>
  <c r="BU2600" i="1"/>
  <c r="BV2600" i="1"/>
  <c r="BW2600" i="1"/>
  <c r="BX2600" i="1"/>
  <c r="BY2600" i="1"/>
  <c r="BZ2600" i="1"/>
  <c r="BG2601" i="1"/>
  <c r="BH2601" i="1"/>
  <c r="BI2601" i="1"/>
  <c r="BJ2601" i="1"/>
  <c r="BK2601" i="1"/>
  <c r="BL2601" i="1"/>
  <c r="BP2601" i="1"/>
  <c r="BQ2601" i="1"/>
  <c r="BR2601" i="1"/>
  <c r="BS2601" i="1"/>
  <c r="BT2601" i="1"/>
  <c r="BU2601" i="1"/>
  <c r="BV2601" i="1"/>
  <c r="BW2601" i="1"/>
  <c r="BX2601" i="1"/>
  <c r="BY2601" i="1"/>
  <c r="BZ2601" i="1"/>
  <c r="BG2602" i="1"/>
  <c r="BH2602" i="1"/>
  <c r="BI2602" i="1"/>
  <c r="BJ2602" i="1"/>
  <c r="BK2602" i="1"/>
  <c r="BL2602" i="1"/>
  <c r="BP2602" i="1"/>
  <c r="BQ2602" i="1"/>
  <c r="BR2602" i="1"/>
  <c r="BS2602" i="1"/>
  <c r="BT2602" i="1"/>
  <c r="BU2602" i="1"/>
  <c r="BV2602" i="1"/>
  <c r="BW2602" i="1"/>
  <c r="BX2602" i="1"/>
  <c r="BY2602" i="1"/>
  <c r="BZ2602" i="1"/>
  <c r="BG2603" i="1"/>
  <c r="BH2603" i="1"/>
  <c r="BI2603" i="1"/>
  <c r="BJ2603" i="1"/>
  <c r="BK2603" i="1"/>
  <c r="BL2603" i="1"/>
  <c r="BP2603" i="1"/>
  <c r="BQ2603" i="1"/>
  <c r="BR2603" i="1"/>
  <c r="BS2603" i="1"/>
  <c r="BT2603" i="1"/>
  <c r="BU2603" i="1"/>
  <c r="BV2603" i="1"/>
  <c r="BW2603" i="1"/>
  <c r="BX2603" i="1"/>
  <c r="BY2603" i="1"/>
  <c r="BZ2603" i="1"/>
  <c r="BG2604" i="1"/>
  <c r="BH2604" i="1"/>
  <c r="BI2604" i="1"/>
  <c r="BJ2604" i="1"/>
  <c r="BK2604" i="1"/>
  <c r="BL2604" i="1"/>
  <c r="BP2604" i="1"/>
  <c r="BQ2604" i="1"/>
  <c r="BR2604" i="1"/>
  <c r="BS2604" i="1"/>
  <c r="BT2604" i="1"/>
  <c r="BU2604" i="1"/>
  <c r="BV2604" i="1"/>
  <c r="BW2604" i="1"/>
  <c r="BX2604" i="1"/>
  <c r="BY2604" i="1"/>
  <c r="BZ2604" i="1"/>
  <c r="BG2605" i="1"/>
  <c r="BH2605" i="1"/>
  <c r="BI2605" i="1"/>
  <c r="BJ2605" i="1"/>
  <c r="BK2605" i="1"/>
  <c r="BL2605" i="1"/>
  <c r="BP2605" i="1"/>
  <c r="BQ2605" i="1"/>
  <c r="BR2605" i="1"/>
  <c r="BS2605" i="1"/>
  <c r="BT2605" i="1"/>
  <c r="BU2605" i="1"/>
  <c r="BV2605" i="1"/>
  <c r="BW2605" i="1"/>
  <c r="BX2605" i="1"/>
  <c r="BY2605" i="1"/>
  <c r="BZ2605" i="1"/>
  <c r="BG2606" i="1"/>
  <c r="BH2606" i="1"/>
  <c r="BI2606" i="1"/>
  <c r="BJ2606" i="1"/>
  <c r="BK2606" i="1"/>
  <c r="BL2606" i="1"/>
  <c r="BP2606" i="1"/>
  <c r="BQ2606" i="1"/>
  <c r="BR2606" i="1"/>
  <c r="BS2606" i="1"/>
  <c r="BT2606" i="1"/>
  <c r="BU2606" i="1"/>
  <c r="BV2606" i="1"/>
  <c r="BW2606" i="1"/>
  <c r="BX2606" i="1"/>
  <c r="BY2606" i="1"/>
  <c r="BZ2606" i="1"/>
  <c r="BG2607" i="1"/>
  <c r="BH2607" i="1"/>
  <c r="BI2607" i="1"/>
  <c r="BJ2607" i="1"/>
  <c r="BK2607" i="1"/>
  <c r="BL2607" i="1"/>
  <c r="BP2607" i="1"/>
  <c r="BQ2607" i="1"/>
  <c r="BR2607" i="1"/>
  <c r="BS2607" i="1"/>
  <c r="BT2607" i="1"/>
  <c r="BU2607" i="1"/>
  <c r="BV2607" i="1"/>
  <c r="BW2607" i="1"/>
  <c r="BX2607" i="1"/>
  <c r="BY2607" i="1"/>
  <c r="BZ2607" i="1"/>
  <c r="BG2608" i="1"/>
  <c r="BH2608" i="1"/>
  <c r="BI2608" i="1"/>
  <c r="BJ2608" i="1"/>
  <c r="BK2608" i="1"/>
  <c r="BL2608" i="1"/>
  <c r="BP2608" i="1"/>
  <c r="BQ2608" i="1"/>
  <c r="BR2608" i="1"/>
  <c r="BS2608" i="1"/>
  <c r="BT2608" i="1"/>
  <c r="BU2608" i="1"/>
  <c r="BV2608" i="1"/>
  <c r="BW2608" i="1"/>
  <c r="BX2608" i="1"/>
  <c r="BY2608" i="1"/>
  <c r="BZ2608" i="1"/>
  <c r="BG2609" i="1"/>
  <c r="BH2609" i="1"/>
  <c r="BI2609" i="1"/>
  <c r="BJ2609" i="1"/>
  <c r="BK2609" i="1"/>
  <c r="BL2609" i="1"/>
  <c r="BP2609" i="1"/>
  <c r="BQ2609" i="1"/>
  <c r="BR2609" i="1"/>
  <c r="BS2609" i="1"/>
  <c r="BT2609" i="1"/>
  <c r="BU2609" i="1"/>
  <c r="BV2609" i="1"/>
  <c r="BW2609" i="1"/>
  <c r="BX2609" i="1"/>
  <c r="BY2609" i="1"/>
  <c r="BZ2609" i="1"/>
  <c r="BG2610" i="1"/>
  <c r="BH2610" i="1"/>
  <c r="BI2610" i="1"/>
  <c r="BJ2610" i="1"/>
  <c r="BK2610" i="1"/>
  <c r="BL2610" i="1"/>
  <c r="BP2610" i="1"/>
  <c r="BQ2610" i="1"/>
  <c r="BR2610" i="1"/>
  <c r="BS2610" i="1"/>
  <c r="BT2610" i="1"/>
  <c r="BU2610" i="1"/>
  <c r="BV2610" i="1"/>
  <c r="BW2610" i="1"/>
  <c r="BX2610" i="1"/>
  <c r="BY2610" i="1"/>
  <c r="BZ2610" i="1"/>
  <c r="BG2611" i="1"/>
  <c r="BH2611" i="1"/>
  <c r="BI2611" i="1"/>
  <c r="BJ2611" i="1"/>
  <c r="BK2611" i="1"/>
  <c r="BL2611" i="1"/>
  <c r="BP2611" i="1"/>
  <c r="BQ2611" i="1"/>
  <c r="BR2611" i="1"/>
  <c r="BS2611" i="1"/>
  <c r="BT2611" i="1"/>
  <c r="BU2611" i="1"/>
  <c r="BV2611" i="1"/>
  <c r="BW2611" i="1"/>
  <c r="BX2611" i="1"/>
  <c r="BY2611" i="1"/>
  <c r="BZ2611" i="1"/>
  <c r="BG2612" i="1"/>
  <c r="BH2612" i="1"/>
  <c r="BI2612" i="1"/>
  <c r="BJ2612" i="1"/>
  <c r="BK2612" i="1"/>
  <c r="BL2612" i="1"/>
  <c r="BP2612" i="1"/>
  <c r="BQ2612" i="1"/>
  <c r="BR2612" i="1"/>
  <c r="BS2612" i="1"/>
  <c r="BT2612" i="1"/>
  <c r="BU2612" i="1"/>
  <c r="BV2612" i="1"/>
  <c r="BW2612" i="1"/>
  <c r="BX2612" i="1"/>
  <c r="BY2612" i="1"/>
  <c r="BZ2612" i="1"/>
  <c r="BG2613" i="1"/>
  <c r="BH2613" i="1"/>
  <c r="BI2613" i="1"/>
  <c r="BJ2613" i="1"/>
  <c r="BK2613" i="1"/>
  <c r="BL2613" i="1"/>
  <c r="BP2613" i="1"/>
  <c r="BQ2613" i="1"/>
  <c r="BR2613" i="1"/>
  <c r="BS2613" i="1"/>
  <c r="BT2613" i="1"/>
  <c r="BU2613" i="1"/>
  <c r="BV2613" i="1"/>
  <c r="BW2613" i="1"/>
  <c r="BX2613" i="1"/>
  <c r="BY2613" i="1"/>
  <c r="BZ2613" i="1"/>
  <c r="BG2614" i="1"/>
  <c r="BH2614" i="1"/>
  <c r="BI2614" i="1"/>
  <c r="BJ2614" i="1"/>
  <c r="BK2614" i="1"/>
  <c r="BL2614" i="1"/>
  <c r="BP2614" i="1"/>
  <c r="BQ2614" i="1"/>
  <c r="BR2614" i="1"/>
  <c r="BS2614" i="1"/>
  <c r="BT2614" i="1"/>
  <c r="BU2614" i="1"/>
  <c r="BV2614" i="1"/>
  <c r="BW2614" i="1"/>
  <c r="BX2614" i="1"/>
  <c r="BY2614" i="1"/>
  <c r="BZ2614" i="1"/>
  <c r="BG2615" i="1"/>
  <c r="BH2615" i="1"/>
  <c r="BI2615" i="1"/>
  <c r="BJ2615" i="1"/>
  <c r="BK2615" i="1"/>
  <c r="BL2615" i="1"/>
  <c r="BP2615" i="1"/>
  <c r="BQ2615" i="1"/>
  <c r="BR2615" i="1"/>
  <c r="BS2615" i="1"/>
  <c r="BT2615" i="1"/>
  <c r="BU2615" i="1"/>
  <c r="BV2615" i="1"/>
  <c r="BW2615" i="1"/>
  <c r="BX2615" i="1"/>
  <c r="BY2615" i="1"/>
  <c r="BZ2615" i="1"/>
  <c r="BG2616" i="1"/>
  <c r="BH2616" i="1"/>
  <c r="BI2616" i="1"/>
  <c r="BJ2616" i="1"/>
  <c r="BK2616" i="1"/>
  <c r="BL2616" i="1"/>
  <c r="BP2616" i="1"/>
  <c r="BQ2616" i="1"/>
  <c r="BR2616" i="1"/>
  <c r="BS2616" i="1"/>
  <c r="BT2616" i="1"/>
  <c r="BU2616" i="1"/>
  <c r="BV2616" i="1"/>
  <c r="BW2616" i="1"/>
  <c r="BX2616" i="1"/>
  <c r="BY2616" i="1"/>
  <c r="BZ2616" i="1"/>
  <c r="BG2617" i="1"/>
  <c r="BH2617" i="1"/>
  <c r="BI2617" i="1"/>
  <c r="BJ2617" i="1"/>
  <c r="BK2617" i="1"/>
  <c r="BL2617" i="1"/>
  <c r="BP2617" i="1"/>
  <c r="BQ2617" i="1"/>
  <c r="BR2617" i="1"/>
  <c r="BS2617" i="1"/>
  <c r="BT2617" i="1"/>
  <c r="BU2617" i="1"/>
  <c r="BV2617" i="1"/>
  <c r="BW2617" i="1"/>
  <c r="BX2617" i="1"/>
  <c r="BY2617" i="1"/>
  <c r="BZ2617" i="1"/>
  <c r="BG2618" i="1"/>
  <c r="BH2618" i="1"/>
  <c r="BI2618" i="1"/>
  <c r="BJ2618" i="1"/>
  <c r="BK2618" i="1"/>
  <c r="BL2618" i="1"/>
  <c r="BP2618" i="1"/>
  <c r="BQ2618" i="1"/>
  <c r="BR2618" i="1"/>
  <c r="BS2618" i="1"/>
  <c r="BT2618" i="1"/>
  <c r="BU2618" i="1"/>
  <c r="BV2618" i="1"/>
  <c r="BW2618" i="1"/>
  <c r="BX2618" i="1"/>
  <c r="BY2618" i="1"/>
  <c r="BZ2618" i="1"/>
  <c r="BG2619" i="1"/>
  <c r="BH2619" i="1"/>
  <c r="BI2619" i="1"/>
  <c r="BJ2619" i="1"/>
  <c r="BK2619" i="1"/>
  <c r="BL2619" i="1"/>
  <c r="BP2619" i="1"/>
  <c r="BQ2619" i="1"/>
  <c r="BR2619" i="1"/>
  <c r="BS2619" i="1"/>
  <c r="BT2619" i="1"/>
  <c r="BU2619" i="1"/>
  <c r="BV2619" i="1"/>
  <c r="BW2619" i="1"/>
  <c r="BX2619" i="1"/>
  <c r="BY2619" i="1"/>
  <c r="BZ2619" i="1"/>
  <c r="BG2620" i="1"/>
  <c r="BH2620" i="1"/>
  <c r="BI2620" i="1"/>
  <c r="BJ2620" i="1"/>
  <c r="BK2620" i="1"/>
  <c r="BL2620" i="1"/>
  <c r="BP2620" i="1"/>
  <c r="BQ2620" i="1"/>
  <c r="BR2620" i="1"/>
  <c r="BS2620" i="1"/>
  <c r="BT2620" i="1"/>
  <c r="BU2620" i="1"/>
  <c r="BV2620" i="1"/>
  <c r="BW2620" i="1"/>
  <c r="BX2620" i="1"/>
  <c r="BY2620" i="1"/>
  <c r="BZ2620" i="1"/>
  <c r="BG2621" i="1"/>
  <c r="BH2621" i="1"/>
  <c r="BI2621" i="1"/>
  <c r="BJ2621" i="1"/>
  <c r="BK2621" i="1"/>
  <c r="BL2621" i="1"/>
  <c r="BP2621" i="1"/>
  <c r="BQ2621" i="1"/>
  <c r="BR2621" i="1"/>
  <c r="BS2621" i="1"/>
  <c r="BT2621" i="1"/>
  <c r="BU2621" i="1"/>
  <c r="BV2621" i="1"/>
  <c r="BW2621" i="1"/>
  <c r="BX2621" i="1"/>
  <c r="BY2621" i="1"/>
  <c r="BZ2621" i="1"/>
  <c r="BG2622" i="1"/>
  <c r="BH2622" i="1"/>
  <c r="BI2622" i="1"/>
  <c r="BJ2622" i="1"/>
  <c r="BK2622" i="1"/>
  <c r="BL2622" i="1"/>
  <c r="BP2622" i="1"/>
  <c r="BQ2622" i="1"/>
  <c r="BR2622" i="1"/>
  <c r="BS2622" i="1"/>
  <c r="BT2622" i="1"/>
  <c r="BU2622" i="1"/>
  <c r="BV2622" i="1"/>
  <c r="BW2622" i="1"/>
  <c r="BX2622" i="1"/>
  <c r="BY2622" i="1"/>
  <c r="BZ2622" i="1"/>
  <c r="BG2623" i="1"/>
  <c r="BH2623" i="1"/>
  <c r="BI2623" i="1"/>
  <c r="BJ2623" i="1"/>
  <c r="BK2623" i="1"/>
  <c r="BL2623" i="1"/>
  <c r="BP2623" i="1"/>
  <c r="BQ2623" i="1"/>
  <c r="BR2623" i="1"/>
  <c r="BS2623" i="1"/>
  <c r="BT2623" i="1"/>
  <c r="BU2623" i="1"/>
  <c r="BV2623" i="1"/>
  <c r="BW2623" i="1"/>
  <c r="BX2623" i="1"/>
  <c r="BY2623" i="1"/>
  <c r="BZ2623" i="1"/>
  <c r="BG2624" i="1"/>
  <c r="BH2624" i="1"/>
  <c r="BI2624" i="1"/>
  <c r="BJ2624" i="1"/>
  <c r="BK2624" i="1"/>
  <c r="BL2624" i="1"/>
  <c r="BP2624" i="1"/>
  <c r="BQ2624" i="1"/>
  <c r="BR2624" i="1"/>
  <c r="BS2624" i="1"/>
  <c r="BT2624" i="1"/>
  <c r="BU2624" i="1"/>
  <c r="BV2624" i="1"/>
  <c r="BW2624" i="1"/>
  <c r="BX2624" i="1"/>
  <c r="BY2624" i="1"/>
  <c r="BZ2624" i="1"/>
  <c r="BG2625" i="1"/>
  <c r="BH2625" i="1"/>
  <c r="BI2625" i="1"/>
  <c r="BJ2625" i="1"/>
  <c r="BK2625" i="1"/>
  <c r="BL2625" i="1"/>
  <c r="BP2625" i="1"/>
  <c r="BQ2625" i="1"/>
  <c r="BR2625" i="1"/>
  <c r="BS2625" i="1"/>
  <c r="BT2625" i="1"/>
  <c r="BU2625" i="1"/>
  <c r="BV2625" i="1"/>
  <c r="BW2625" i="1"/>
  <c r="BX2625" i="1"/>
  <c r="BY2625" i="1"/>
  <c r="BZ2625" i="1"/>
  <c r="BG2626" i="1"/>
  <c r="BH2626" i="1"/>
  <c r="BI2626" i="1"/>
  <c r="BJ2626" i="1"/>
  <c r="BK2626" i="1"/>
  <c r="BL2626" i="1"/>
  <c r="BP2626" i="1"/>
  <c r="BQ2626" i="1"/>
  <c r="BR2626" i="1"/>
  <c r="BS2626" i="1"/>
  <c r="BT2626" i="1"/>
  <c r="BU2626" i="1"/>
  <c r="BV2626" i="1"/>
  <c r="BW2626" i="1"/>
  <c r="BX2626" i="1"/>
  <c r="BY2626" i="1"/>
  <c r="BZ2626" i="1"/>
  <c r="BG2627" i="1"/>
  <c r="BH2627" i="1"/>
  <c r="BI2627" i="1"/>
  <c r="BJ2627" i="1"/>
  <c r="BK2627" i="1"/>
  <c r="BL2627" i="1"/>
  <c r="BP2627" i="1"/>
  <c r="BQ2627" i="1"/>
  <c r="BR2627" i="1"/>
  <c r="BS2627" i="1"/>
  <c r="BT2627" i="1"/>
  <c r="BU2627" i="1"/>
  <c r="BV2627" i="1"/>
  <c r="BW2627" i="1"/>
  <c r="BX2627" i="1"/>
  <c r="BY2627" i="1"/>
  <c r="BZ2627" i="1"/>
  <c r="BG2628" i="1"/>
  <c r="BH2628" i="1"/>
  <c r="BI2628" i="1"/>
  <c r="BJ2628" i="1"/>
  <c r="BK2628" i="1"/>
  <c r="BL2628" i="1"/>
  <c r="BP2628" i="1"/>
  <c r="BQ2628" i="1"/>
  <c r="BR2628" i="1"/>
  <c r="BS2628" i="1"/>
  <c r="BT2628" i="1"/>
  <c r="BU2628" i="1"/>
  <c r="BV2628" i="1"/>
  <c r="BW2628" i="1"/>
  <c r="BX2628" i="1"/>
  <c r="BY2628" i="1"/>
  <c r="BZ2628" i="1"/>
  <c r="BG2629" i="1"/>
  <c r="BH2629" i="1"/>
  <c r="BI2629" i="1"/>
  <c r="BJ2629" i="1"/>
  <c r="BK2629" i="1"/>
  <c r="BL2629" i="1"/>
  <c r="BP2629" i="1"/>
  <c r="BQ2629" i="1"/>
  <c r="BR2629" i="1"/>
  <c r="BS2629" i="1"/>
  <c r="BT2629" i="1"/>
  <c r="BU2629" i="1"/>
  <c r="BV2629" i="1"/>
  <c r="BW2629" i="1"/>
  <c r="BX2629" i="1"/>
  <c r="BY2629" i="1"/>
  <c r="BZ2629" i="1"/>
  <c r="BG2630" i="1"/>
  <c r="BH2630" i="1"/>
  <c r="BI2630" i="1"/>
  <c r="BJ2630" i="1"/>
  <c r="BK2630" i="1"/>
  <c r="BL2630" i="1"/>
  <c r="BP2630" i="1"/>
  <c r="BQ2630" i="1"/>
  <c r="BR2630" i="1"/>
  <c r="BS2630" i="1"/>
  <c r="BT2630" i="1"/>
  <c r="BU2630" i="1"/>
  <c r="BV2630" i="1"/>
  <c r="BW2630" i="1"/>
  <c r="BX2630" i="1"/>
  <c r="BY2630" i="1"/>
  <c r="BZ2630" i="1"/>
  <c r="AV2589" i="1"/>
  <c r="AU2589" i="1"/>
  <c r="AT2589" i="1"/>
  <c r="AQ2589" i="1"/>
  <c r="AL2589" i="1"/>
  <c r="AM2589" i="1" s="1"/>
  <c r="AV2588" i="1"/>
  <c r="AU2588" i="1"/>
  <c r="AT2588" i="1"/>
  <c r="AQ2588" i="1"/>
  <c r="AL2588" i="1"/>
  <c r="AM2588" i="1" s="1"/>
  <c r="AV2587" i="1"/>
  <c r="AU2587" i="1"/>
  <c r="AT2587" i="1"/>
  <c r="AQ2587" i="1"/>
  <c r="AL2587" i="1"/>
  <c r="AM2587" i="1" s="1"/>
  <c r="AT2586" i="1"/>
  <c r="Z2586" i="1"/>
  <c r="AL2586" i="1" s="1"/>
  <c r="AM2586" i="1" s="1"/>
  <c r="Y2586" i="1"/>
  <c r="AV2585" i="1"/>
  <c r="AU2585" i="1"/>
  <c r="AT2585" i="1"/>
  <c r="AQ2585" i="1"/>
  <c r="AL2585" i="1"/>
  <c r="AM2585" i="1" s="1"/>
  <c r="AV2584" i="1"/>
  <c r="AU2584" i="1"/>
  <c r="AT2584" i="1"/>
  <c r="AQ2584" i="1"/>
  <c r="AL2584" i="1"/>
  <c r="AM2584" i="1" s="1"/>
  <c r="AD2583" i="1"/>
  <c r="AT2583" i="1" s="1"/>
  <c r="Z2583" i="1"/>
  <c r="AL2583" i="1" s="1"/>
  <c r="AM2583" i="1" s="1"/>
  <c r="Y2583" i="1"/>
  <c r="AT2582" i="1"/>
  <c r="Z2582" i="1"/>
  <c r="AL2582" i="1" s="1"/>
  <c r="AM2582" i="1" s="1"/>
  <c r="Y2582" i="1"/>
  <c r="AT2581" i="1"/>
  <c r="Z2581" i="1"/>
  <c r="AL2581" i="1" s="1"/>
  <c r="AM2581" i="1" s="1"/>
  <c r="Y2581" i="1"/>
  <c r="AT2580" i="1"/>
  <c r="Z2580" i="1"/>
  <c r="AL2580" i="1" s="1"/>
  <c r="AM2580" i="1" s="1"/>
  <c r="Y2580" i="1"/>
  <c r="AT2579" i="1"/>
  <c r="Z2579" i="1"/>
  <c r="AL2579" i="1" s="1"/>
  <c r="AM2579" i="1" s="1"/>
  <c r="Y2579" i="1"/>
  <c r="AT2578" i="1"/>
  <c r="Z2578" i="1"/>
  <c r="AL2578" i="1" s="1"/>
  <c r="AM2578" i="1" s="1"/>
  <c r="Y2578" i="1"/>
  <c r="AT2577" i="1"/>
  <c r="Z2577" i="1"/>
  <c r="AL2577" i="1" s="1"/>
  <c r="AM2577" i="1" s="1"/>
  <c r="Y2577" i="1"/>
  <c r="AT2576" i="1"/>
  <c r="Z2576" i="1"/>
  <c r="AL2576" i="1" s="1"/>
  <c r="AM2576" i="1" s="1"/>
  <c r="Y2576" i="1"/>
  <c r="AT2575" i="1"/>
  <c r="Z2575" i="1"/>
  <c r="AL2575" i="1" s="1"/>
  <c r="AM2575" i="1" s="1"/>
  <c r="Y2575" i="1"/>
  <c r="AV2574" i="1"/>
  <c r="AU2574" i="1"/>
  <c r="AT2574" i="1"/>
  <c r="AQ2574" i="1"/>
  <c r="AL2574" i="1"/>
  <c r="AM2574" i="1" s="1"/>
  <c r="AT2573" i="1"/>
  <c r="Z2573" i="1"/>
  <c r="AL2573" i="1" s="1"/>
  <c r="AM2573" i="1" s="1"/>
  <c r="Y2573" i="1"/>
  <c r="AT2572" i="1"/>
  <c r="Z2572" i="1"/>
  <c r="AL2572" i="1" s="1"/>
  <c r="AM2572" i="1" s="1"/>
  <c r="Y2572" i="1"/>
  <c r="AT2571" i="1"/>
  <c r="Z2571" i="1"/>
  <c r="AL2571" i="1" s="1"/>
  <c r="AM2571" i="1" s="1"/>
  <c r="Y2571" i="1"/>
  <c r="AV2570" i="1"/>
  <c r="AU2570" i="1"/>
  <c r="AT2570" i="1"/>
  <c r="AQ2570" i="1"/>
  <c r="AL2570" i="1"/>
  <c r="AM2570" i="1" s="1"/>
  <c r="AV2569" i="1"/>
  <c r="AU2569" i="1"/>
  <c r="AT2569" i="1"/>
  <c r="AQ2569" i="1"/>
  <c r="AL2569" i="1"/>
  <c r="AM2569" i="1" s="1"/>
  <c r="AT2568" i="1"/>
  <c r="Z2568" i="1"/>
  <c r="AL2568" i="1" s="1"/>
  <c r="AM2568" i="1" s="1"/>
  <c r="Y2568" i="1"/>
  <c r="AT2567" i="1"/>
  <c r="Z2567" i="1"/>
  <c r="AL2567" i="1" s="1"/>
  <c r="AM2567" i="1" s="1"/>
  <c r="Y2567" i="1"/>
  <c r="AT2566" i="1"/>
  <c r="Z2566" i="1"/>
  <c r="AL2566" i="1" s="1"/>
  <c r="AM2566" i="1" s="1"/>
  <c r="Y2566" i="1"/>
  <c r="AV2565" i="1"/>
  <c r="AU2565" i="1"/>
  <c r="AT2565" i="1"/>
  <c r="AQ2565" i="1"/>
  <c r="AL2565" i="1"/>
  <c r="AM2565" i="1" s="1"/>
  <c r="AV2564" i="1"/>
  <c r="AU2564" i="1"/>
  <c r="AT2564" i="1"/>
  <c r="AQ2564" i="1"/>
  <c r="AL2564" i="1"/>
  <c r="AM2564" i="1" s="1"/>
  <c r="AT2563" i="1"/>
  <c r="Z2563" i="1"/>
  <c r="AL2563" i="1" s="1"/>
  <c r="AM2563" i="1" s="1"/>
  <c r="Y2563" i="1"/>
  <c r="AT2562" i="1"/>
  <c r="Z2562" i="1"/>
  <c r="AL2562" i="1" s="1"/>
  <c r="AM2562" i="1" s="1"/>
  <c r="Y2562" i="1"/>
  <c r="AT2561" i="1"/>
  <c r="Z2561" i="1"/>
  <c r="AL2561" i="1" s="1"/>
  <c r="AM2561" i="1" s="1"/>
  <c r="Y2561" i="1"/>
  <c r="AV2598" i="1"/>
  <c r="AU2598" i="1"/>
  <c r="AT2598" i="1"/>
  <c r="AQ2598" i="1"/>
  <c r="AL2598" i="1"/>
  <c r="AM2598" i="1" s="1"/>
  <c r="AV2597" i="1"/>
  <c r="AU2597" i="1"/>
  <c r="AT2597" i="1"/>
  <c r="AQ2597" i="1"/>
  <c r="AL2597" i="1"/>
  <c r="AM2597" i="1" s="1"/>
  <c r="AV2596" i="1"/>
  <c r="AU2596" i="1"/>
  <c r="AT2596" i="1"/>
  <c r="AQ2596" i="1"/>
  <c r="AL2596" i="1"/>
  <c r="AM2596" i="1" s="1"/>
  <c r="AV2595" i="1"/>
  <c r="AU2595" i="1"/>
  <c r="AT2595" i="1"/>
  <c r="AQ2595" i="1"/>
  <c r="AL2595" i="1"/>
  <c r="AM2595" i="1" s="1"/>
  <c r="AV2594" i="1"/>
  <c r="AU2594" i="1"/>
  <c r="AT2594" i="1"/>
  <c r="AQ2594" i="1"/>
  <c r="AL2594" i="1"/>
  <c r="AM2594" i="1" s="1"/>
  <c r="AV2593" i="1"/>
  <c r="AU2593" i="1"/>
  <c r="AT2593" i="1"/>
  <c r="AQ2593" i="1"/>
  <c r="AL2593" i="1"/>
  <c r="AM2593" i="1" s="1"/>
  <c r="AV2592" i="1"/>
  <c r="AU2592" i="1"/>
  <c r="AT2592" i="1"/>
  <c r="AQ2592" i="1"/>
  <c r="AL2592" i="1"/>
  <c r="AM2592" i="1" s="1"/>
  <c r="AV2591" i="1"/>
  <c r="AU2591" i="1"/>
  <c r="AT2591" i="1"/>
  <c r="AQ2591" i="1"/>
  <c r="AL2591" i="1"/>
  <c r="AM2591" i="1" s="1"/>
  <c r="AV2590" i="1"/>
  <c r="AU2590" i="1"/>
  <c r="AT2590" i="1"/>
  <c r="AQ2590" i="1"/>
  <c r="AL2590" i="1"/>
  <c r="AM2590" i="1" s="1"/>
  <c r="AU2639" i="1" a="1"/>
  <c r="AU2639" i="1"/>
  <c r="AV2600" i="1"/>
  <c r="AU2600" i="1"/>
  <c r="AT2600" i="1"/>
  <c r="AQ2600" i="1"/>
  <c r="AL2600" i="1"/>
  <c r="AM2600" i="1" s="1"/>
  <c r="AV2599" i="1"/>
  <c r="AU2599" i="1"/>
  <c r="AT2599" i="1"/>
  <c r="AQ2599" i="1"/>
  <c r="AL2599" i="1"/>
  <c r="AM2599" i="1" s="1"/>
  <c r="AV2602" i="1"/>
  <c r="AU2602" i="1"/>
  <c r="AT2602" i="1"/>
  <c r="AQ2602" i="1"/>
  <c r="AL2602" i="1"/>
  <c r="AM2602" i="1" s="1"/>
  <c r="AV2601" i="1"/>
  <c r="AU2601" i="1"/>
  <c r="AT2601" i="1"/>
  <c r="AQ2601" i="1"/>
  <c r="AL2601" i="1"/>
  <c r="AM2601" i="1" s="1"/>
  <c r="BP2559" i="1"/>
  <c r="BP2560" i="1"/>
  <c r="AT2560" i="1"/>
  <c r="Z2560" i="1"/>
  <c r="AL2560" i="1" s="1"/>
  <c r="AM2560" i="1" s="1"/>
  <c r="Y2560" i="1"/>
  <c r="AT2559" i="1"/>
  <c r="Z2559" i="1"/>
  <c r="AL2559" i="1" s="1"/>
  <c r="AM2559" i="1" s="1"/>
  <c r="Y2559" i="1"/>
  <c r="BP2519" i="1"/>
  <c r="BP2520" i="1"/>
  <c r="BP2521" i="1"/>
  <c r="BP2522" i="1"/>
  <c r="BP2523" i="1"/>
  <c r="BP2524" i="1"/>
  <c r="BP2525" i="1"/>
  <c r="BP2526" i="1"/>
  <c r="BP2527" i="1"/>
  <c r="BP2528" i="1"/>
  <c r="BP2529" i="1"/>
  <c r="BP2530" i="1"/>
  <c r="BP2531" i="1"/>
  <c r="BP2532" i="1"/>
  <c r="BP2533" i="1"/>
  <c r="BP2534" i="1"/>
  <c r="BP2535" i="1"/>
  <c r="BP2536" i="1"/>
  <c r="BP2537" i="1"/>
  <c r="BP2538" i="1"/>
  <c r="BP2539" i="1"/>
  <c r="BP2540" i="1"/>
  <c r="BP2541" i="1"/>
  <c r="BP2542" i="1"/>
  <c r="BP2543" i="1"/>
  <c r="BP2544" i="1"/>
  <c r="BP2545" i="1"/>
  <c r="BP2546" i="1"/>
  <c r="BP2547" i="1"/>
  <c r="BP2548" i="1"/>
  <c r="BP2549" i="1"/>
  <c r="BP2550" i="1"/>
  <c r="BP2551" i="1"/>
  <c r="BP2552" i="1"/>
  <c r="BP2553" i="1"/>
  <c r="BP2554" i="1"/>
  <c r="BP2555" i="1"/>
  <c r="BP2556" i="1"/>
  <c r="BP2557" i="1"/>
  <c r="BP2558" i="1"/>
  <c r="AV2558" i="1"/>
  <c r="AU2558" i="1"/>
  <c r="AT2558" i="1"/>
  <c r="AQ2558" i="1"/>
  <c r="AL2558" i="1"/>
  <c r="AM2558" i="1" s="1"/>
  <c r="AV2557" i="1"/>
  <c r="AU2557" i="1"/>
  <c r="AT2557" i="1"/>
  <c r="AQ2557" i="1"/>
  <c r="AL2557" i="1"/>
  <c r="AM2557" i="1" s="1"/>
  <c r="AV2556" i="1"/>
  <c r="AU2556" i="1"/>
  <c r="AT2556" i="1"/>
  <c r="AQ2556" i="1"/>
  <c r="AL2556" i="1"/>
  <c r="AM2556" i="1" s="1"/>
  <c r="AV2555" i="1"/>
  <c r="AU2555" i="1"/>
  <c r="AT2555" i="1"/>
  <c r="AQ2555" i="1"/>
  <c r="AL2555" i="1"/>
  <c r="AM2555" i="1" s="1"/>
  <c r="AT2554" i="1"/>
  <c r="Z2554" i="1"/>
  <c r="AL2554" i="1" s="1"/>
  <c r="AM2554" i="1" s="1"/>
  <c r="Y2554" i="1"/>
  <c r="AT2553" i="1"/>
  <c r="Z2553" i="1"/>
  <c r="AL2553" i="1" s="1"/>
  <c r="AM2553" i="1" s="1"/>
  <c r="Y2553" i="1"/>
  <c r="AV2552" i="1"/>
  <c r="AU2552" i="1"/>
  <c r="AT2552" i="1"/>
  <c r="AQ2552" i="1"/>
  <c r="AL2552" i="1"/>
  <c r="AM2552" i="1" s="1"/>
  <c r="AV2551" i="1"/>
  <c r="AU2551" i="1"/>
  <c r="AT2551" i="1"/>
  <c r="AQ2551" i="1"/>
  <c r="AL2551" i="1"/>
  <c r="AM2551" i="1" s="1"/>
  <c r="AT2550" i="1"/>
  <c r="Z2550" i="1"/>
  <c r="AL2550" i="1" s="1"/>
  <c r="AM2550" i="1" s="1"/>
  <c r="Y2550" i="1"/>
  <c r="AT2549" i="1"/>
  <c r="Z2549" i="1"/>
  <c r="AL2549" i="1" s="1"/>
  <c r="AM2549" i="1" s="1"/>
  <c r="Y2549" i="1"/>
  <c r="AT2548" i="1"/>
  <c r="Z2548" i="1"/>
  <c r="AL2548" i="1" s="1"/>
  <c r="AM2548" i="1" s="1"/>
  <c r="Y2548" i="1"/>
  <c r="AT2547" i="1"/>
  <c r="Z2547" i="1"/>
  <c r="AL2547" i="1" s="1"/>
  <c r="AM2547" i="1" s="1"/>
  <c r="Y2547" i="1"/>
  <c r="AT2546" i="1"/>
  <c r="Z2546" i="1"/>
  <c r="AL2546" i="1" s="1"/>
  <c r="AM2546" i="1" s="1"/>
  <c r="Y2546" i="1"/>
  <c r="AS2545" i="1"/>
  <c r="Z2545" i="1"/>
  <c r="AL2545" i="1" s="1"/>
  <c r="AM2545" i="1" s="1"/>
  <c r="Y2545" i="1"/>
  <c r="AT2544" i="1"/>
  <c r="Z2544" i="1"/>
  <c r="AL2544" i="1" s="1"/>
  <c r="AM2544" i="1" s="1"/>
  <c r="Y2544" i="1"/>
  <c r="AT2543" i="1"/>
  <c r="Z2543" i="1"/>
  <c r="AL2543" i="1" s="1"/>
  <c r="AM2543" i="1" s="1"/>
  <c r="Y2543" i="1"/>
  <c r="AD2542" i="1"/>
  <c r="AT2542" i="1" s="1"/>
  <c r="Z2542" i="1"/>
  <c r="AL2542" i="1" s="1"/>
  <c r="AM2542" i="1" s="1"/>
  <c r="Y2542" i="1"/>
  <c r="AT2541" i="1"/>
  <c r="Z2541" i="1"/>
  <c r="AL2541" i="1" s="1"/>
  <c r="AM2541" i="1" s="1"/>
  <c r="Y2541" i="1"/>
  <c r="AT2540" i="1"/>
  <c r="Z2540" i="1"/>
  <c r="AL2540" i="1" s="1"/>
  <c r="AM2540" i="1" s="1"/>
  <c r="Y2540" i="1"/>
  <c r="AT2539" i="1"/>
  <c r="Z2539" i="1"/>
  <c r="AL2539" i="1" s="1"/>
  <c r="AM2539" i="1" s="1"/>
  <c r="Y2539" i="1"/>
  <c r="AT2538" i="1"/>
  <c r="Z2538" i="1"/>
  <c r="AL2538" i="1" s="1"/>
  <c r="AM2538" i="1" s="1"/>
  <c r="Y2538" i="1"/>
  <c r="AT2537" i="1"/>
  <c r="Z2537" i="1"/>
  <c r="AL2537" i="1" s="1"/>
  <c r="AM2537" i="1" s="1"/>
  <c r="Y2537" i="1"/>
  <c r="AT2536" i="1"/>
  <c r="Z2536" i="1"/>
  <c r="AL2536" i="1" s="1"/>
  <c r="AM2536" i="1" s="1"/>
  <c r="Y2536" i="1"/>
  <c r="AT2535" i="1"/>
  <c r="Z2535" i="1"/>
  <c r="AL2535" i="1" s="1"/>
  <c r="AM2535" i="1" s="1"/>
  <c r="Y2535" i="1"/>
  <c r="AV2534" i="1"/>
  <c r="AU2534" i="1"/>
  <c r="AT2534" i="1"/>
  <c r="AQ2534" i="1"/>
  <c r="AL2534" i="1"/>
  <c r="AM2534" i="1" s="1"/>
  <c r="AV2533" i="1"/>
  <c r="AU2533" i="1"/>
  <c r="AT2533" i="1"/>
  <c r="AQ2533" i="1"/>
  <c r="AL2533" i="1"/>
  <c r="AM2533" i="1" s="1"/>
  <c r="AT2532" i="1"/>
  <c r="Z2532" i="1"/>
  <c r="AL2532" i="1" s="1"/>
  <c r="AM2532" i="1" s="1"/>
  <c r="Y2532" i="1"/>
  <c r="AT2531" i="1"/>
  <c r="Z2531" i="1"/>
  <c r="AL2531" i="1" s="1"/>
  <c r="AM2531" i="1" s="1"/>
  <c r="Y2531" i="1"/>
  <c r="AT2530" i="1"/>
  <c r="Z2530" i="1"/>
  <c r="AL2530" i="1" s="1"/>
  <c r="AM2530" i="1" s="1"/>
  <c r="Y2530" i="1"/>
  <c r="AT2529" i="1"/>
  <c r="Z2529" i="1"/>
  <c r="AL2529" i="1" s="1"/>
  <c r="AM2529" i="1" s="1"/>
  <c r="Y2529" i="1"/>
  <c r="AD2528" i="1"/>
  <c r="AT2528" i="1" s="1"/>
  <c r="Z2528" i="1"/>
  <c r="AL2528" i="1" s="1"/>
  <c r="AM2528" i="1" s="1"/>
  <c r="Y2528" i="1"/>
  <c r="AV2527" i="1"/>
  <c r="AU2527" i="1"/>
  <c r="AT2527" i="1"/>
  <c r="AQ2527" i="1"/>
  <c r="AL2527" i="1"/>
  <c r="AM2527" i="1" s="1"/>
  <c r="AV2526" i="1"/>
  <c r="AU2526" i="1"/>
  <c r="AT2526" i="1"/>
  <c r="AQ2526" i="1"/>
  <c r="AL2526" i="1"/>
  <c r="AM2526" i="1" s="1"/>
  <c r="AV2525" i="1"/>
  <c r="AU2525" i="1"/>
  <c r="AT2525" i="1"/>
  <c r="AQ2525" i="1"/>
  <c r="AL2525" i="1"/>
  <c r="AM2525" i="1" s="1"/>
  <c r="AT2524" i="1"/>
  <c r="Z2524" i="1"/>
  <c r="AL2524" i="1" s="1"/>
  <c r="AM2524" i="1" s="1"/>
  <c r="Y2524" i="1"/>
  <c r="AV2523" i="1"/>
  <c r="AU2523" i="1"/>
  <c r="AT2523" i="1"/>
  <c r="AQ2523" i="1"/>
  <c r="AL2523" i="1"/>
  <c r="AM2523" i="1" s="1"/>
  <c r="AV2522" i="1"/>
  <c r="AU2522" i="1"/>
  <c r="AT2522" i="1"/>
  <c r="AQ2522" i="1"/>
  <c r="AL2522" i="1"/>
  <c r="AM2522" i="1" s="1"/>
  <c r="AV2521" i="1"/>
  <c r="AU2521" i="1"/>
  <c r="AT2521" i="1"/>
  <c r="AQ2521" i="1"/>
  <c r="AL2521" i="1"/>
  <c r="AM2521" i="1" s="1"/>
  <c r="AV2520" i="1"/>
  <c r="AU2520" i="1"/>
  <c r="AT2520" i="1"/>
  <c r="AQ2520" i="1"/>
  <c r="AL2520" i="1"/>
  <c r="AM2520" i="1" s="1"/>
  <c r="AT2519" i="1"/>
  <c r="Z2519" i="1"/>
  <c r="AL2519" i="1" s="1"/>
  <c r="AM2519" i="1" s="1"/>
  <c r="Y2519" i="1"/>
  <c r="BP2501" i="1"/>
  <c r="BP2502" i="1"/>
  <c r="BP2503" i="1"/>
  <c r="BP2504" i="1"/>
  <c r="BP2505" i="1"/>
  <c r="BP2506" i="1"/>
  <c r="BP2507" i="1"/>
  <c r="BP2508" i="1"/>
  <c r="BP2509" i="1"/>
  <c r="BP2510" i="1"/>
  <c r="BP2511" i="1"/>
  <c r="BP2512" i="1"/>
  <c r="BP2513" i="1"/>
  <c r="BP2514" i="1"/>
  <c r="BP2515" i="1"/>
  <c r="BP2516" i="1"/>
  <c r="BP2517" i="1"/>
  <c r="BP2518" i="1"/>
  <c r="AQ2518" i="1"/>
  <c r="AV2517" i="1"/>
  <c r="AU2517" i="1"/>
  <c r="AT2517" i="1"/>
  <c r="AQ2517" i="1"/>
  <c r="AL2517" i="1"/>
  <c r="AM2517" i="1" s="1"/>
  <c r="AV2516" i="1"/>
  <c r="AU2516" i="1"/>
  <c r="AT2516" i="1"/>
  <c r="AQ2516" i="1"/>
  <c r="AL2516" i="1"/>
  <c r="AM2516" i="1" s="1"/>
  <c r="AV2515" i="1"/>
  <c r="AU2515" i="1"/>
  <c r="AT2515" i="1"/>
  <c r="AQ2515" i="1"/>
  <c r="AL2515" i="1"/>
  <c r="AM2515" i="1" s="1"/>
  <c r="AV2514" i="1"/>
  <c r="AU2514" i="1"/>
  <c r="AT2514" i="1"/>
  <c r="AQ2514" i="1"/>
  <c r="AL2514" i="1"/>
  <c r="AM2514" i="1" s="1"/>
  <c r="AV2513" i="1"/>
  <c r="AU2513" i="1"/>
  <c r="AT2513" i="1"/>
  <c r="AQ2513" i="1"/>
  <c r="AL2513" i="1"/>
  <c r="AM2513" i="1" s="1"/>
  <c r="AV2512" i="1"/>
  <c r="AU2512" i="1"/>
  <c r="AT2512" i="1"/>
  <c r="AQ2512" i="1"/>
  <c r="AL2512" i="1"/>
  <c r="AM2512" i="1" s="1"/>
  <c r="AV2511" i="1"/>
  <c r="AU2511" i="1"/>
  <c r="AT2511" i="1"/>
  <c r="AQ2511" i="1"/>
  <c r="AL2511" i="1"/>
  <c r="AM2511" i="1" s="1"/>
  <c r="AS2510" i="1"/>
  <c r="Z2510" i="1"/>
  <c r="AL2510" i="1" s="1"/>
  <c r="AM2510" i="1" s="1"/>
  <c r="Y2510" i="1"/>
  <c r="AT2509" i="1"/>
  <c r="AQ2509" i="1"/>
  <c r="Z2509" i="1"/>
  <c r="AL2509" i="1" s="1"/>
  <c r="AM2509" i="1" s="1"/>
  <c r="Y2509" i="1"/>
  <c r="AT2508" i="1"/>
  <c r="Z2508" i="1"/>
  <c r="AL2508" i="1" s="1"/>
  <c r="AM2508" i="1" s="1"/>
  <c r="Y2508" i="1"/>
  <c r="AT2507" i="1"/>
  <c r="AQ2507" i="1"/>
  <c r="Z2507" i="1"/>
  <c r="AL2507" i="1" s="1"/>
  <c r="AM2507" i="1" s="1"/>
  <c r="Y2507" i="1"/>
  <c r="AT2506" i="1"/>
  <c r="Z2506" i="1"/>
  <c r="AL2506" i="1" s="1"/>
  <c r="AM2506" i="1" s="1"/>
  <c r="Y2506" i="1"/>
  <c r="AT2505" i="1"/>
  <c r="AQ2505" i="1"/>
  <c r="Z2505" i="1"/>
  <c r="AL2505" i="1" s="1"/>
  <c r="AM2505" i="1" s="1"/>
  <c r="Y2505" i="1"/>
  <c r="AS2504" i="1"/>
  <c r="AD2504" i="1"/>
  <c r="Z2504" i="1"/>
  <c r="AL2504" i="1" s="1"/>
  <c r="AM2504" i="1" s="1"/>
  <c r="Y2504" i="1"/>
  <c r="AS2503" i="1"/>
  <c r="AD2503" i="1"/>
  <c r="Z2503" i="1"/>
  <c r="AL2503" i="1" s="1"/>
  <c r="AM2503" i="1" s="1"/>
  <c r="Y2503" i="1"/>
  <c r="AT2502" i="1"/>
  <c r="Z2502" i="1"/>
  <c r="AL2502" i="1" s="1"/>
  <c r="AM2502" i="1" s="1"/>
  <c r="Y2502" i="1"/>
  <c r="AT2501" i="1"/>
  <c r="Z2501" i="1"/>
  <c r="AL2501" i="1" s="1"/>
  <c r="AM2501" i="1" s="1"/>
  <c r="Y2501" i="1"/>
  <c r="AS2467" i="1"/>
  <c r="Z2494" i="1"/>
  <c r="Y2494" i="1"/>
  <c r="AS2463" i="1"/>
  <c r="Z2493" i="1"/>
  <c r="Y2493" i="1"/>
  <c r="AS2461" i="1"/>
  <c r="Z2491" i="1"/>
  <c r="Y2491" i="1"/>
  <c r="Z2490" i="1"/>
  <c r="Y2490" i="1"/>
  <c r="Z2489" i="1"/>
  <c r="Y2489" i="1"/>
  <c r="Z2488" i="1"/>
  <c r="Y2488" i="1"/>
  <c r="Z2487" i="1"/>
  <c r="Y2487" i="1"/>
  <c r="I26" i="6"/>
  <c r="I25" i="6"/>
  <c r="I24" i="6"/>
  <c r="F25" i="6"/>
  <c r="F24" i="6"/>
  <c r="D28" i="6"/>
  <c r="D27" i="6"/>
  <c r="C28" i="6"/>
  <c r="C27" i="6"/>
  <c r="D26" i="6"/>
  <c r="C26" i="6"/>
  <c r="D25" i="6"/>
  <c r="C25" i="6"/>
  <c r="D24" i="6"/>
  <c r="C24" i="6"/>
  <c r="D23" i="6"/>
  <c r="C23" i="6"/>
  <c r="D22" i="6"/>
  <c r="C22" i="6"/>
  <c r="D21" i="6"/>
  <c r="C21" i="6"/>
  <c r="Q21" i="6" s="1"/>
  <c r="O25" i="6"/>
  <c r="K25" i="6"/>
  <c r="Q25" i="6"/>
  <c r="M25" i="6" a="1"/>
  <c r="M25" i="6" s="1"/>
  <c r="M26" i="6" a="1"/>
  <c r="M26" i="6" s="1"/>
  <c r="M27" i="6" a="1"/>
  <c r="M27" i="6" s="1"/>
  <c r="M28" i="6" a="1"/>
  <c r="M28" i="6" s="1"/>
  <c r="O28" i="6"/>
  <c r="P25" i="6"/>
  <c r="M21" i="6" a="1"/>
  <c r="M21" i="6" s="1"/>
  <c r="O22" i="6"/>
  <c r="M22" i="6" a="1"/>
  <c r="M22" i="6" s="1"/>
  <c r="M23" i="6" a="1"/>
  <c r="M23" i="6" s="1"/>
  <c r="M24" i="6" a="1"/>
  <c r="M24" i="6" s="1"/>
  <c r="AS2481" i="1"/>
  <c r="AS2472" i="1"/>
  <c r="Z2482" i="1"/>
  <c r="Y2482" i="1"/>
  <c r="Z2481" i="1"/>
  <c r="Y2481" i="1"/>
  <c r="Z2480" i="1"/>
  <c r="Y2480" i="1"/>
  <c r="AD2474" i="1"/>
  <c r="Z2474" i="1"/>
  <c r="Y2474" i="1"/>
  <c r="AT2467" i="1"/>
  <c r="AT2461" i="1"/>
  <c r="AT2472" i="1"/>
  <c r="Z2472" i="1"/>
  <c r="Y2472" i="1"/>
  <c r="AS2469" i="1"/>
  <c r="AD2460" i="1"/>
  <c r="AD2469" i="1"/>
  <c r="Y2469" i="1"/>
  <c r="Z2469" i="1"/>
  <c r="AL2469" i="1" s="1"/>
  <c r="AM2469" i="1" s="1"/>
  <c r="Y2468" i="1"/>
  <c r="Z2468" i="1"/>
  <c r="BP2472" i="1"/>
  <c r="AL2472" i="1"/>
  <c r="AM2472" i="1" s="1"/>
  <c r="BP2471" i="1"/>
  <c r="AV2471" i="1"/>
  <c r="AU2471" i="1" s="1"/>
  <c r="AT2471" i="1"/>
  <c r="AQ2471" i="1"/>
  <c r="AL2471" i="1"/>
  <c r="AM2471" i="1" s="1"/>
  <c r="BP2470" i="1"/>
  <c r="AV2470" i="1"/>
  <c r="AU2470" i="1" s="1"/>
  <c r="AT2470" i="1"/>
  <c r="AQ2470" i="1"/>
  <c r="AL2470" i="1"/>
  <c r="AM2470" i="1" s="1"/>
  <c r="BP2469" i="1"/>
  <c r="AT2469" i="1"/>
  <c r="AV2469" i="1" s="1"/>
  <c r="AU2469" i="1" s="1"/>
  <c r="BP2468" i="1"/>
  <c r="AT2468" i="1"/>
  <c r="AV2468" i="1" s="1"/>
  <c r="AU2468" i="1" s="1"/>
  <c r="AL2468" i="1"/>
  <c r="AM2468" i="1" s="1"/>
  <c r="Z2467" i="1"/>
  <c r="AL2467" i="1" s="1"/>
  <c r="AM2467" i="1" s="1"/>
  <c r="Y2467" i="1"/>
  <c r="Z2466" i="1"/>
  <c r="AL2466" i="1" s="1"/>
  <c r="AM2466" i="1" s="1"/>
  <c r="Y2466" i="1"/>
  <c r="Z2465" i="1"/>
  <c r="AL2465" i="1" s="1"/>
  <c r="AM2465" i="1" s="1"/>
  <c r="Y2465" i="1"/>
  <c r="AD2463" i="1"/>
  <c r="AT2463" i="1" s="1"/>
  <c r="Z2463" i="1"/>
  <c r="Y2463" i="1"/>
  <c r="BP2467" i="1"/>
  <c r="BP2466" i="1"/>
  <c r="AT2466" i="1"/>
  <c r="BP2465" i="1"/>
  <c r="AT2465" i="1"/>
  <c r="BP2464" i="1"/>
  <c r="AV2464" i="1"/>
  <c r="AU2464" i="1" s="1"/>
  <c r="AT2464" i="1"/>
  <c r="AQ2464" i="1"/>
  <c r="AL2464" i="1"/>
  <c r="AM2464" i="1" s="1"/>
  <c r="BP2463" i="1"/>
  <c r="AL2463" i="1"/>
  <c r="AM2463" i="1" s="1"/>
  <c r="Z2462" i="1"/>
  <c r="Y2462" i="1"/>
  <c r="Y2461" i="1"/>
  <c r="Z2461" i="1"/>
  <c r="AL2461" i="1" s="1"/>
  <c r="AM2461" i="1" s="1"/>
  <c r="Y2460" i="1"/>
  <c r="Z2460" i="1"/>
  <c r="Y2457" i="1"/>
  <c r="Z2457" i="1"/>
  <c r="AL2457" i="1" s="1"/>
  <c r="AM2457" i="1" s="1"/>
  <c r="Y2456" i="1"/>
  <c r="Z2456" i="1"/>
  <c r="Y2453" i="1"/>
  <c r="Z2453" i="1"/>
  <c r="Z2452" i="1"/>
  <c r="AL2452" i="1" s="1"/>
  <c r="AM2452" i="1" s="1"/>
  <c r="Y2452" i="1"/>
  <c r="Z2451" i="1"/>
  <c r="AL2451" i="1" s="1"/>
  <c r="AM2451" i="1" s="1"/>
  <c r="Y2451" i="1"/>
  <c r="Z2450" i="1"/>
  <c r="Y2450" i="1"/>
  <c r="AS2444" i="1"/>
  <c r="BP2458" i="1"/>
  <c r="AV2458" i="1"/>
  <c r="AU2458" i="1" s="1"/>
  <c r="AT2458" i="1"/>
  <c r="AQ2458" i="1"/>
  <c r="AL2458" i="1"/>
  <c r="AM2458" i="1" s="1"/>
  <c r="BP2457" i="1"/>
  <c r="AT2457" i="1"/>
  <c r="BP2456" i="1"/>
  <c r="AT2456" i="1"/>
  <c r="AV2456" i="1" s="1"/>
  <c r="AU2456" i="1" s="1"/>
  <c r="AL2456" i="1"/>
  <c r="AM2456" i="1" s="1"/>
  <c r="BP2455" i="1"/>
  <c r="AV2455" i="1"/>
  <c r="AU2455" i="1" s="1"/>
  <c r="AT2455" i="1"/>
  <c r="AQ2455" i="1"/>
  <c r="AL2455" i="1"/>
  <c r="AM2455" i="1" s="1"/>
  <c r="BP2454" i="1"/>
  <c r="AV2454" i="1"/>
  <c r="AU2454" i="1" s="1"/>
  <c r="AT2454" i="1"/>
  <c r="AQ2454" i="1"/>
  <c r="AL2454" i="1"/>
  <c r="AM2454" i="1" s="1"/>
  <c r="BP2453" i="1"/>
  <c r="AT2453" i="1"/>
  <c r="AL2453" i="1"/>
  <c r="AM2453" i="1" s="1"/>
  <c r="BP2452" i="1"/>
  <c r="AT2452" i="1"/>
  <c r="BP2451" i="1"/>
  <c r="AT2451" i="1"/>
  <c r="BP2450" i="1"/>
  <c r="AT2450" i="1"/>
  <c r="AL2450" i="1"/>
  <c r="AM2450" i="1" s="1"/>
  <c r="BP2473" i="1"/>
  <c r="AV2473" i="1"/>
  <c r="AU2473" i="1" s="1"/>
  <c r="AT2473" i="1"/>
  <c r="AQ2473" i="1"/>
  <c r="AL2473" i="1"/>
  <c r="AM2473" i="1" s="1"/>
  <c r="BP2462" i="1"/>
  <c r="AT2462" i="1"/>
  <c r="AV2462" i="1" s="1"/>
  <c r="AU2462" i="1" s="1"/>
  <c r="AL2462" i="1"/>
  <c r="AM2462" i="1" s="1"/>
  <c r="BP2461" i="1"/>
  <c r="BP2460" i="1"/>
  <c r="AT2460" i="1"/>
  <c r="AV2460" i="1" s="1"/>
  <c r="AU2460" i="1" s="1"/>
  <c r="AL2460" i="1"/>
  <c r="AM2460" i="1" s="1"/>
  <c r="BP2459" i="1"/>
  <c r="AV2459" i="1"/>
  <c r="AU2459" i="1" s="1"/>
  <c r="AT2459" i="1"/>
  <c r="AQ2459" i="1"/>
  <c r="AL2459" i="1"/>
  <c r="AM2459" i="1" s="1"/>
  <c r="Z2449" i="1"/>
  <c r="AL2449" i="1" s="1"/>
  <c r="AM2449" i="1" s="1"/>
  <c r="Y2449" i="1"/>
  <c r="Z2448" i="1"/>
  <c r="AL2448" i="1" s="1"/>
  <c r="AM2448" i="1" s="1"/>
  <c r="Y2448" i="1"/>
  <c r="Y2447" i="1"/>
  <c r="Z2447" i="1"/>
  <c r="AL2447" i="1" s="1"/>
  <c r="Y2446" i="1"/>
  <c r="Z2446" i="1"/>
  <c r="AL2446" i="1" s="1"/>
  <c r="AM2446" i="1" s="1"/>
  <c r="AM2638" i="1"/>
  <c r="Z2445" i="1"/>
  <c r="AL2445" i="1" s="1"/>
  <c r="AM2445" i="1" s="1"/>
  <c r="Y2445" i="1"/>
  <c r="AD2444" i="1"/>
  <c r="Z2444" i="1"/>
  <c r="AL2444" i="1" s="1"/>
  <c r="AM2444" i="1" s="1"/>
  <c r="Y2444" i="1"/>
  <c r="Z2443" i="1"/>
  <c r="AL2443" i="1" s="1"/>
  <c r="AM2443" i="1" s="1"/>
  <c r="Y2443" i="1"/>
  <c r="Z2442" i="1"/>
  <c r="AL2442" i="1" s="1"/>
  <c r="AM2442" i="1" s="1"/>
  <c r="Y2442" i="1"/>
  <c r="Z2441" i="1"/>
  <c r="AL2441" i="1" s="1"/>
  <c r="Y2441" i="1"/>
  <c r="Z2440" i="1"/>
  <c r="AL2440" i="1" s="1"/>
  <c r="AM2440" i="1" s="1"/>
  <c r="Y2440" i="1"/>
  <c r="BP2446" i="1"/>
  <c r="AT2446" i="1"/>
  <c r="AV2446" i="1" s="1"/>
  <c r="AU2446" i="1" s="1"/>
  <c r="BP2445" i="1"/>
  <c r="AT2445" i="1"/>
  <c r="BP2444" i="1"/>
  <c r="AQ2444" i="1"/>
  <c r="BP2443" i="1"/>
  <c r="AT2443" i="1"/>
  <c r="AV2443" i="1" s="1"/>
  <c r="AU2443" i="1" s="1"/>
  <c r="BP2442" i="1"/>
  <c r="AT2442" i="1"/>
  <c r="AV2442" i="1" s="1"/>
  <c r="AU2442" i="1" s="1"/>
  <c r="BP2441" i="1"/>
  <c r="AT2441" i="1"/>
  <c r="AQ2441" i="1"/>
  <c r="AM2441" i="1"/>
  <c r="BP2440" i="1"/>
  <c r="AT2440" i="1"/>
  <c r="AV2440" i="1" s="1"/>
  <c r="AU2440" i="1" s="1"/>
  <c r="BP2447" i="1"/>
  <c r="AT2447" i="1"/>
  <c r="AV2447" i="1" s="1"/>
  <c r="AU2447" i="1" s="1"/>
  <c r="AM2447" i="1"/>
  <c r="BP2439" i="1"/>
  <c r="AV2439" i="1"/>
  <c r="AU2439" i="1" s="1"/>
  <c r="AT2439" i="1"/>
  <c r="AQ2439" i="1"/>
  <c r="AL2439" i="1"/>
  <c r="AM2439" i="1" s="1"/>
  <c r="BP2438" i="1"/>
  <c r="AV2438" i="1"/>
  <c r="AU2438" i="1" s="1"/>
  <c r="AT2438" i="1"/>
  <c r="AQ2438" i="1"/>
  <c r="AL2438" i="1"/>
  <c r="AM2438" i="1" s="1"/>
  <c r="BP2437" i="1"/>
  <c r="AV2437" i="1"/>
  <c r="AU2437" i="1" s="1"/>
  <c r="AT2437" i="1"/>
  <c r="AQ2437" i="1"/>
  <c r="AL2437" i="1"/>
  <c r="AM2437" i="1" s="1"/>
  <c r="BP2436" i="1"/>
  <c r="AV2436" i="1"/>
  <c r="AU2436" i="1" s="1"/>
  <c r="AT2436" i="1"/>
  <c r="AQ2436" i="1"/>
  <c r="AL2436" i="1"/>
  <c r="AM2436" i="1" s="1"/>
  <c r="BP2435" i="1"/>
  <c r="AV2435" i="1"/>
  <c r="AU2435" i="1"/>
  <c r="AT2435" i="1"/>
  <c r="AQ2435" i="1"/>
  <c r="AL2435" i="1"/>
  <c r="AM2435" i="1" s="1"/>
  <c r="Z2434" i="1"/>
  <c r="AL2434" i="1" s="1"/>
  <c r="AM2434" i="1" s="1"/>
  <c r="Y2434" i="1"/>
  <c r="BP2433" i="1"/>
  <c r="AV2433" i="1"/>
  <c r="AU2433" i="1" s="1"/>
  <c r="AT2433" i="1"/>
  <c r="AQ2433" i="1"/>
  <c r="AL2433" i="1"/>
  <c r="AM2433" i="1" s="1"/>
  <c r="BP2432" i="1"/>
  <c r="AV2432" i="1"/>
  <c r="AU2432" i="1"/>
  <c r="AT2432" i="1"/>
  <c r="AQ2432" i="1"/>
  <c r="AL2432" i="1"/>
  <c r="AM2432" i="1" s="1"/>
  <c r="BP2431" i="1"/>
  <c r="AV2431" i="1"/>
  <c r="AU2431" i="1" s="1"/>
  <c r="AT2431" i="1"/>
  <c r="AQ2431" i="1"/>
  <c r="AL2431" i="1"/>
  <c r="AM2431" i="1" s="1"/>
  <c r="BP2430" i="1"/>
  <c r="AV2430" i="1"/>
  <c r="AU2430" i="1" s="1"/>
  <c r="AT2430" i="1"/>
  <c r="AQ2430" i="1"/>
  <c r="AL2430" i="1"/>
  <c r="AM2430" i="1" s="1"/>
  <c r="BP2429" i="1"/>
  <c r="AV2429" i="1"/>
  <c r="AU2429" i="1" s="1"/>
  <c r="AT2429" i="1"/>
  <c r="AQ2429" i="1"/>
  <c r="AL2429" i="1"/>
  <c r="AM2429" i="1" s="1"/>
  <c r="BP2428" i="1"/>
  <c r="AV2428" i="1"/>
  <c r="AU2428" i="1" s="1"/>
  <c r="AT2428" i="1"/>
  <c r="AQ2428" i="1"/>
  <c r="AL2428" i="1"/>
  <c r="AM2428" i="1" s="1"/>
  <c r="Z2427" i="1"/>
  <c r="AL2427" i="1" s="1"/>
  <c r="AM2427" i="1" s="1"/>
  <c r="Y2427" i="1"/>
  <c r="Z2426" i="1"/>
  <c r="Y2426" i="1"/>
  <c r="BP2449" i="1"/>
  <c r="AT2449" i="1"/>
  <c r="AQ2449" i="1"/>
  <c r="BP2448" i="1"/>
  <c r="AT2448" i="1"/>
  <c r="AV2448" i="1" s="1"/>
  <c r="AU2448" i="1" s="1"/>
  <c r="BP2434" i="1"/>
  <c r="AT2434" i="1"/>
  <c r="AV2434" i="1" s="1"/>
  <c r="AU2434" i="1" s="1"/>
  <c r="BP2427" i="1"/>
  <c r="AT2427" i="1"/>
  <c r="BP2426" i="1"/>
  <c r="AT2426" i="1"/>
  <c r="AV2426" i="1" s="1"/>
  <c r="AL2426" i="1"/>
  <c r="AM2426" i="1" s="1"/>
  <c r="Y2424" i="1"/>
  <c r="Z2424" i="1"/>
  <c r="Z2423" i="1"/>
  <c r="AL2423" i="1" s="1"/>
  <c r="AM2423" i="1" s="1"/>
  <c r="Y2423" i="1"/>
  <c r="Y2422" i="1"/>
  <c r="Z2422" i="1"/>
  <c r="BP2421" i="1"/>
  <c r="BP2422" i="1"/>
  <c r="BP2423" i="1"/>
  <c r="BP2424" i="1"/>
  <c r="BP2425" i="1"/>
  <c r="BP2474" i="1"/>
  <c r="BP2475" i="1"/>
  <c r="BP2476" i="1"/>
  <c r="BP2477" i="1"/>
  <c r="BP2478" i="1"/>
  <c r="BP2479" i="1"/>
  <c r="BP2480" i="1"/>
  <c r="BP2481" i="1"/>
  <c r="BP2482" i="1"/>
  <c r="BP2483" i="1"/>
  <c r="BP2484" i="1"/>
  <c r="BP2485" i="1"/>
  <c r="BP2486" i="1"/>
  <c r="BP2487" i="1"/>
  <c r="BP2488" i="1"/>
  <c r="BP2489" i="1"/>
  <c r="BP2490" i="1"/>
  <c r="BP2491" i="1"/>
  <c r="BP2492" i="1"/>
  <c r="BP2493" i="1"/>
  <c r="BP2494" i="1"/>
  <c r="BP2495" i="1"/>
  <c r="BP2496" i="1"/>
  <c r="BP2497" i="1"/>
  <c r="BP2498" i="1"/>
  <c r="BP2499" i="1"/>
  <c r="BP2500" i="1"/>
  <c r="BP2420" i="1"/>
  <c r="Z2419" i="1"/>
  <c r="AL2419" i="1" s="1"/>
  <c r="AM2419" i="1" s="1"/>
  <c r="Y2419" i="1"/>
  <c r="AT2422" i="1"/>
  <c r="AV2422" i="1" s="1"/>
  <c r="AL2422" i="1"/>
  <c r="AM2422" i="1" s="1"/>
  <c r="AV2421" i="1"/>
  <c r="AU2421" i="1" s="1"/>
  <c r="AT2421" i="1"/>
  <c r="AQ2421" i="1"/>
  <c r="AL2421" i="1"/>
  <c r="AM2421" i="1" s="1"/>
  <c r="AV2420" i="1"/>
  <c r="AT2420" i="1"/>
  <c r="AQ2420" i="1"/>
  <c r="AL2420" i="1"/>
  <c r="AM2420" i="1" s="1"/>
  <c r="AT2419" i="1"/>
  <c r="BP2418" i="1"/>
  <c r="AV2418" i="1"/>
  <c r="AU2418" i="1" s="1"/>
  <c r="AT2418" i="1"/>
  <c r="AQ2418" i="1"/>
  <c r="AL2418" i="1"/>
  <c r="AM2418" i="1" s="1"/>
  <c r="BP2417" i="1"/>
  <c r="AV2417" i="1"/>
  <c r="AU2417" i="1" s="1"/>
  <c r="AT2417" i="1"/>
  <c r="AQ2417" i="1"/>
  <c r="AL2417" i="1"/>
  <c r="AM2417" i="1" s="1"/>
  <c r="BP2416" i="1"/>
  <c r="AV2416" i="1"/>
  <c r="AU2416" i="1"/>
  <c r="AT2416" i="1"/>
  <c r="AQ2416" i="1"/>
  <c r="AL2416" i="1"/>
  <c r="AM2416" i="1" s="1"/>
  <c r="Z2414" i="1"/>
  <c r="AL2414" i="1" s="1"/>
  <c r="AM2414" i="1" s="1"/>
  <c r="Y2414" i="1"/>
  <c r="Y2413" i="1"/>
  <c r="Z2413" i="1"/>
  <c r="AL2413" i="1" s="1"/>
  <c r="AM2413" i="1" s="1"/>
  <c r="Y2412" i="1"/>
  <c r="Z2412" i="1"/>
  <c r="AL2412" i="1" s="1"/>
  <c r="AM2412" i="1" s="1"/>
  <c r="AT2474" i="1"/>
  <c r="AV2474" i="1" s="1"/>
  <c r="AU2474" i="1" s="1"/>
  <c r="AL2474" i="1"/>
  <c r="AM2474" i="1" s="1"/>
  <c r="AV2425" i="1"/>
  <c r="AU2425" i="1" s="1"/>
  <c r="AT2425" i="1"/>
  <c r="AQ2425" i="1"/>
  <c r="AL2425" i="1"/>
  <c r="AM2425" i="1" s="1"/>
  <c r="AT2424" i="1"/>
  <c r="AV2424" i="1" s="1"/>
  <c r="AL2424" i="1"/>
  <c r="AM2424" i="1" s="1"/>
  <c r="AT2423" i="1"/>
  <c r="AV2423" i="1" s="1"/>
  <c r="AU2423" i="1" s="1"/>
  <c r="BP2415" i="1"/>
  <c r="AV2415" i="1"/>
  <c r="AU2415" i="1" s="1"/>
  <c r="AT2415" i="1"/>
  <c r="AQ2415" i="1"/>
  <c r="AL2415" i="1"/>
  <c r="AM2415" i="1" s="1"/>
  <c r="BP2414" i="1"/>
  <c r="AT2414" i="1"/>
  <c r="BP2413" i="1"/>
  <c r="AT2413" i="1"/>
  <c r="BP2412" i="1"/>
  <c r="AT2412" i="1"/>
  <c r="BP2411" i="1"/>
  <c r="AV2411" i="1"/>
  <c r="AU2411" i="1" s="1"/>
  <c r="AT2411" i="1"/>
  <c r="AQ2411" i="1"/>
  <c r="AL2411" i="1"/>
  <c r="AM2411" i="1" s="1"/>
  <c r="BP2410" i="1"/>
  <c r="AV2410" i="1"/>
  <c r="AU2410" i="1" s="1"/>
  <c r="AT2410" i="1"/>
  <c r="AQ2410" i="1"/>
  <c r="AL2410" i="1"/>
  <c r="AM2410" i="1" s="1"/>
  <c r="BP2409" i="1"/>
  <c r="AV2409" i="1"/>
  <c r="AU2409" i="1" s="1"/>
  <c r="AT2409" i="1"/>
  <c r="AQ2409" i="1"/>
  <c r="AL2409" i="1"/>
  <c r="AM2409" i="1" s="1"/>
  <c r="AS2385" i="1"/>
  <c r="AT2385" i="1" s="1"/>
  <c r="Z2405" i="1"/>
  <c r="Y2405" i="1"/>
  <c r="AS2369" i="1"/>
  <c r="Y2400" i="1"/>
  <c r="Z2400" i="1"/>
  <c r="Z2399" i="1"/>
  <c r="Y2399" i="1"/>
  <c r="AT2370" i="1"/>
  <c r="Z2397" i="1"/>
  <c r="Y2397" i="1"/>
  <c r="BP2404" i="1"/>
  <c r="AV2404" i="1"/>
  <c r="AU2404" i="1"/>
  <c r="AT2404" i="1"/>
  <c r="AQ2404" i="1"/>
  <c r="AL2404" i="1"/>
  <c r="AM2404" i="1" s="1"/>
  <c r="BP2403" i="1"/>
  <c r="AV2403" i="1"/>
  <c r="AU2403" i="1"/>
  <c r="AT2403" i="1"/>
  <c r="AQ2403" i="1"/>
  <c r="AL2403" i="1"/>
  <c r="AM2403" i="1" s="1"/>
  <c r="BP2402" i="1"/>
  <c r="AV2402" i="1"/>
  <c r="AU2402" i="1" s="1"/>
  <c r="AT2402" i="1"/>
  <c r="AQ2402" i="1"/>
  <c r="AL2402" i="1"/>
  <c r="AM2402" i="1" s="1"/>
  <c r="BP2401" i="1"/>
  <c r="AV2401" i="1"/>
  <c r="AU2401" i="1" s="1"/>
  <c r="AT2401" i="1"/>
  <c r="AQ2401" i="1"/>
  <c r="AL2401" i="1"/>
  <c r="AM2401" i="1" s="1"/>
  <c r="BP2400" i="1"/>
  <c r="AT2400" i="1"/>
  <c r="AV2400" i="1" s="1"/>
  <c r="AU2400" i="1" s="1"/>
  <c r="AL2400" i="1"/>
  <c r="AM2400" i="1" s="1"/>
  <c r="BP2399" i="1"/>
  <c r="AT2399" i="1"/>
  <c r="AV2399" i="1" s="1"/>
  <c r="AU2399" i="1" s="1"/>
  <c r="AL2399" i="1"/>
  <c r="AM2399" i="1" s="1"/>
  <c r="BP2398" i="1"/>
  <c r="AV2398" i="1"/>
  <c r="AU2398" i="1" s="1"/>
  <c r="AT2398" i="1"/>
  <c r="AQ2398" i="1"/>
  <c r="AL2398" i="1"/>
  <c r="AM2398" i="1" s="1"/>
  <c r="BP2397" i="1"/>
  <c r="AT2397" i="1"/>
  <c r="AV2397" i="1" s="1"/>
  <c r="AU2397" i="1" s="1"/>
  <c r="AL2397" i="1"/>
  <c r="AM2397" i="1" s="1"/>
  <c r="BP2408" i="1"/>
  <c r="AV2408" i="1"/>
  <c r="AU2408" i="1" s="1"/>
  <c r="AT2408" i="1"/>
  <c r="AQ2408" i="1"/>
  <c r="AL2408" i="1"/>
  <c r="AM2408" i="1" s="1"/>
  <c r="BP2407" i="1"/>
  <c r="AV2407" i="1"/>
  <c r="AU2407" i="1" s="1"/>
  <c r="AT2407" i="1"/>
  <c r="AQ2407" i="1"/>
  <c r="AL2407" i="1"/>
  <c r="AM2407" i="1" s="1"/>
  <c r="BP2406" i="1"/>
  <c r="AV2406" i="1"/>
  <c r="AU2406" i="1"/>
  <c r="AT2406" i="1"/>
  <c r="AQ2406" i="1"/>
  <c r="AL2406" i="1"/>
  <c r="AM2406" i="1" s="1"/>
  <c r="BP2405" i="1"/>
  <c r="AT2405" i="1"/>
  <c r="AL2405" i="1"/>
  <c r="AM2405" i="1" s="1"/>
  <c r="Z2396" i="1"/>
  <c r="AL2396" i="1" s="1"/>
  <c r="AM2396" i="1" s="1"/>
  <c r="Y2396" i="1"/>
  <c r="AS2393" i="1"/>
  <c r="Z2395" i="1"/>
  <c r="Y2395" i="1"/>
  <c r="Z2394" i="1"/>
  <c r="Y2394" i="1"/>
  <c r="AS2392" i="1"/>
  <c r="Z2393" i="1"/>
  <c r="Y2393" i="1"/>
  <c r="Y2392" i="1"/>
  <c r="Z2392" i="1"/>
  <c r="Z2387" i="1"/>
  <c r="Y2387" i="1"/>
  <c r="Y2386" i="1"/>
  <c r="Z2386" i="1"/>
  <c r="Y2385" i="1"/>
  <c r="Z2385" i="1"/>
  <c r="AL2385" i="1" s="1"/>
  <c r="AM2385" i="1" s="1"/>
  <c r="AL2374" i="1"/>
  <c r="AM2374" i="1" s="1"/>
  <c r="AL2375" i="1"/>
  <c r="AM2375" i="1" s="1"/>
  <c r="AL2376" i="1"/>
  <c r="AM2376" i="1" s="1"/>
  <c r="AL2377" i="1"/>
  <c r="AM2377" i="1"/>
  <c r="AL2378" i="1"/>
  <c r="AM2378" i="1"/>
  <c r="AL2379" i="1"/>
  <c r="AM2379" i="1" s="1"/>
  <c r="AL2380" i="1"/>
  <c r="AM2380" i="1" s="1"/>
  <c r="AL2381" i="1"/>
  <c r="AM2381" i="1"/>
  <c r="AL2383" i="1"/>
  <c r="AM2383" i="1"/>
  <c r="Y2384" i="1"/>
  <c r="Z2384" i="1"/>
  <c r="AD2369" i="1"/>
  <c r="AS2340" i="1"/>
  <c r="Y2373" i="1"/>
  <c r="Z2373" i="1"/>
  <c r="AL2373" i="1" s="1"/>
  <c r="AM2373" i="1" s="1"/>
  <c r="BP2376" i="1"/>
  <c r="AV2376" i="1"/>
  <c r="AU2376" i="1" s="1"/>
  <c r="AT2376" i="1"/>
  <c r="AQ2376" i="1"/>
  <c r="BP2375" i="1"/>
  <c r="AV2375" i="1"/>
  <c r="AU2375" i="1"/>
  <c r="AT2375" i="1"/>
  <c r="AQ2375" i="1"/>
  <c r="BP2374" i="1"/>
  <c r="AV2374" i="1"/>
  <c r="AU2374" i="1" s="1"/>
  <c r="AT2374" i="1"/>
  <c r="AQ2374" i="1"/>
  <c r="BP2373" i="1"/>
  <c r="AT2373" i="1"/>
  <c r="Z2372" i="1"/>
  <c r="AL2372" i="1" s="1"/>
  <c r="AM2372" i="1" s="1"/>
  <c r="Y2372" i="1"/>
  <c r="Z2369" i="1"/>
  <c r="AL2369" i="1" s="1"/>
  <c r="AM2369" i="1" s="1"/>
  <c r="Z2370" i="1"/>
  <c r="Y2370" i="1"/>
  <c r="Y2369" i="1"/>
  <c r="AS2338" i="1"/>
  <c r="BP2372" i="1"/>
  <c r="AT2372" i="1"/>
  <c r="BP2371" i="1"/>
  <c r="AV2371" i="1"/>
  <c r="AU2371" i="1" s="1"/>
  <c r="AT2371" i="1"/>
  <c r="AQ2371" i="1"/>
  <c r="AL2371" i="1"/>
  <c r="AM2371" i="1" s="1"/>
  <c r="BP2370" i="1"/>
  <c r="BP2369" i="1"/>
  <c r="Y2368" i="1"/>
  <c r="Z2368" i="1"/>
  <c r="Z2363" i="1"/>
  <c r="AL2363" i="1" s="1"/>
  <c r="AM2363" i="1" s="1"/>
  <c r="Y2363" i="1"/>
  <c r="Y2362" i="1"/>
  <c r="Z2362" i="1"/>
  <c r="AL2362" i="1" s="1"/>
  <c r="AM2362" i="1" s="1"/>
  <c r="AS2337" i="1"/>
  <c r="BP2377" i="1"/>
  <c r="AV2377" i="1"/>
  <c r="AU2377" i="1" s="1"/>
  <c r="AT2377" i="1"/>
  <c r="AQ2377" i="1"/>
  <c r="BP2368" i="1"/>
  <c r="AT2368" i="1"/>
  <c r="AV2368" i="1" s="1"/>
  <c r="AU2368" i="1" s="1"/>
  <c r="AL2368" i="1"/>
  <c r="AM2368" i="1" s="1"/>
  <c r="BP2367" i="1"/>
  <c r="AV2367" i="1"/>
  <c r="AU2367" i="1" s="1"/>
  <c r="AT2367" i="1"/>
  <c r="AQ2367" i="1"/>
  <c r="AL2367" i="1"/>
  <c r="AM2367" i="1" s="1"/>
  <c r="BP2366" i="1"/>
  <c r="AV2366" i="1"/>
  <c r="AU2366" i="1" s="1"/>
  <c r="AT2366" i="1"/>
  <c r="AQ2366" i="1"/>
  <c r="AL2366" i="1"/>
  <c r="AM2366" i="1" s="1"/>
  <c r="BP2365" i="1"/>
  <c r="AV2365" i="1"/>
  <c r="AU2365" i="1" s="1"/>
  <c r="AT2365" i="1"/>
  <c r="AQ2365" i="1"/>
  <c r="AL2365" i="1"/>
  <c r="AM2365" i="1" s="1"/>
  <c r="BP2364" i="1"/>
  <c r="AV2364" i="1"/>
  <c r="AU2364" i="1" s="1"/>
  <c r="AT2364" i="1"/>
  <c r="AQ2364" i="1"/>
  <c r="AL2364" i="1"/>
  <c r="AM2364" i="1" s="1"/>
  <c r="BP2363" i="1"/>
  <c r="AT2363" i="1"/>
  <c r="AV2363" i="1" s="1"/>
  <c r="AU2363" i="1" s="1"/>
  <c r="AQ2363" i="1"/>
  <c r="BP2362" i="1"/>
  <c r="AT2362" i="1"/>
  <c r="BP2361" i="1"/>
  <c r="AV2361" i="1"/>
  <c r="AU2361" i="1" s="1"/>
  <c r="AT2361" i="1"/>
  <c r="AQ2361" i="1"/>
  <c r="AL2361" i="1"/>
  <c r="AM2361" i="1" s="1"/>
  <c r="AD2337" i="1"/>
  <c r="BP2360" i="1"/>
  <c r="AS2360" i="1"/>
  <c r="AD2360" i="1"/>
  <c r="Z2360" i="1"/>
  <c r="AL2360" i="1" s="1"/>
  <c r="AM2360" i="1" s="1"/>
  <c r="Y2360" i="1"/>
  <c r="Z2359" i="1"/>
  <c r="AL2359" i="1" s="1"/>
  <c r="AM2359" i="1" s="1"/>
  <c r="Y2359" i="1"/>
  <c r="Z2358" i="1"/>
  <c r="AL2358" i="1" s="1"/>
  <c r="AM2358" i="1" s="1"/>
  <c r="Y2358" i="1"/>
  <c r="Z2357" i="1"/>
  <c r="AL2357" i="1" s="1"/>
  <c r="AM2357" i="1" s="1"/>
  <c r="Y2357" i="1"/>
  <c r="Z2356" i="1"/>
  <c r="AL2356" i="1" s="1"/>
  <c r="AM2356" i="1" s="1"/>
  <c r="Y2356" i="1"/>
  <c r="AS2349" i="1"/>
  <c r="Z2355" i="1"/>
  <c r="Y2355" i="1"/>
  <c r="Z2354" i="1"/>
  <c r="AL2354" i="1" s="1"/>
  <c r="AM2354" i="1" s="1"/>
  <c r="Y2354" i="1"/>
  <c r="BP2358" i="1"/>
  <c r="AT2358" i="1"/>
  <c r="BP2357" i="1"/>
  <c r="AT2357" i="1"/>
  <c r="AV2357" i="1" s="1"/>
  <c r="AU2357" i="1" s="1"/>
  <c r="BP2356" i="1"/>
  <c r="AT2356" i="1"/>
  <c r="BP2355" i="1"/>
  <c r="AT2355" i="1"/>
  <c r="AL2355" i="1"/>
  <c r="AM2355" i="1" s="1"/>
  <c r="BP2354" i="1"/>
  <c r="AT2354" i="1"/>
  <c r="AD2340" i="1"/>
  <c r="Y2351" i="1"/>
  <c r="Z2351" i="1"/>
  <c r="AL2351" i="1" s="1"/>
  <c r="AM2351" i="1" s="1"/>
  <c r="BP2359" i="1"/>
  <c r="AT2359" i="1"/>
  <c r="BP2353" i="1"/>
  <c r="AV2353" i="1"/>
  <c r="AU2353" i="1" s="1"/>
  <c r="AT2353" i="1"/>
  <c r="AQ2353" i="1"/>
  <c r="AL2353" i="1"/>
  <c r="AM2353" i="1" s="1"/>
  <c r="BP2352" i="1"/>
  <c r="AV2352" i="1"/>
  <c r="AU2352" i="1" s="1"/>
  <c r="AT2352" i="1"/>
  <c r="AQ2352" i="1"/>
  <c r="AL2352" i="1"/>
  <c r="AM2352" i="1" s="1"/>
  <c r="BP2351" i="1"/>
  <c r="AT2351" i="1"/>
  <c r="Z2349" i="1"/>
  <c r="AL2349" i="1" s="1"/>
  <c r="AM2349" i="1" s="1"/>
  <c r="Y2349" i="1"/>
  <c r="AT2347" i="1"/>
  <c r="Y2347" i="1"/>
  <c r="Z2347" i="1"/>
  <c r="AL2347" i="1" s="1"/>
  <c r="AM2347" i="1" s="1"/>
  <c r="AS2346" i="1"/>
  <c r="AT2346" i="1" s="1"/>
  <c r="Y2346" i="1"/>
  <c r="Z2346" i="1"/>
  <c r="AL2346" i="1" s="1"/>
  <c r="AM2346" i="1" s="1"/>
  <c r="BP2348" i="1"/>
  <c r="AV2348" i="1"/>
  <c r="AU2348" i="1" s="1"/>
  <c r="AT2348" i="1"/>
  <c r="AQ2348" i="1"/>
  <c r="AL2348" i="1"/>
  <c r="AM2348" i="1" s="1"/>
  <c r="BP2347" i="1"/>
  <c r="BP2346" i="1"/>
  <c r="BP2345" i="1"/>
  <c r="AQ2345" i="1"/>
  <c r="AL2345" i="1"/>
  <c r="AM2345" i="1" s="1"/>
  <c r="BP2344" i="1"/>
  <c r="AQ2344" i="1"/>
  <c r="AL2344" i="1"/>
  <c r="AM2344" i="1" s="1"/>
  <c r="BP2343" i="1"/>
  <c r="AQ2343" i="1"/>
  <c r="AL2343" i="1"/>
  <c r="AM2343" i="1" s="1"/>
  <c r="AS2339" i="1"/>
  <c r="AT2339" i="1" s="1"/>
  <c r="Y2342" i="1"/>
  <c r="Z2342" i="1"/>
  <c r="Z2341" i="1"/>
  <c r="AL2341" i="1" s="1"/>
  <c r="AM2341" i="1" s="1"/>
  <c r="Y2341" i="1"/>
  <c r="AV2350" i="1"/>
  <c r="AU2350" i="1"/>
  <c r="AT2350" i="1"/>
  <c r="AL2350" i="1"/>
  <c r="AM2350" i="1" s="1"/>
  <c r="AT2349" i="1"/>
  <c r="AT2342" i="1"/>
  <c r="AL2342" i="1"/>
  <c r="AM2342" i="1" s="1"/>
  <c r="AT2341" i="1"/>
  <c r="Y2340" i="1"/>
  <c r="Z2340" i="1"/>
  <c r="AL2340" i="1" s="1"/>
  <c r="AM2340" i="1" s="1"/>
  <c r="AD2338" i="1"/>
  <c r="Z2339" i="1"/>
  <c r="AL2339" i="1" s="1"/>
  <c r="AM2339" i="1" s="1"/>
  <c r="Y2339" i="1"/>
  <c r="Y2338" i="1"/>
  <c r="Z2338" i="1"/>
  <c r="Y2337" i="1"/>
  <c r="Z2337" i="1"/>
  <c r="AL2337" i="1" s="1"/>
  <c r="AM2337" i="1" s="1"/>
  <c r="Z2336" i="1"/>
  <c r="AL2336" i="1" s="1"/>
  <c r="AM2336" i="1" s="1"/>
  <c r="Y2336" i="1"/>
  <c r="AS2335" i="1"/>
  <c r="AT2335" i="1" s="1"/>
  <c r="AS2330" i="1"/>
  <c r="Z2335" i="1"/>
  <c r="AL2335" i="1" s="1"/>
  <c r="AM2335" i="1" s="1"/>
  <c r="Y2335" i="1"/>
  <c r="AL2338" i="1"/>
  <c r="AM2338" i="1" s="1"/>
  <c r="AT2337" i="1"/>
  <c r="AT2336" i="1"/>
  <c r="AV2336" i="1" s="1"/>
  <c r="AU2336" i="1" s="1"/>
  <c r="AQ2336" i="1"/>
  <c r="AV2334" i="1"/>
  <c r="AU2334" i="1" s="1"/>
  <c r="AT2334" i="1"/>
  <c r="AQ2334" i="1"/>
  <c r="AL2334" i="1"/>
  <c r="AM2334" i="1" s="1"/>
  <c r="AV2333" i="1"/>
  <c r="AU2333" i="1" s="1"/>
  <c r="AT2333" i="1"/>
  <c r="AQ2333" i="1"/>
  <c r="AL2333" i="1"/>
  <c r="AM2333" i="1" s="1"/>
  <c r="AT2340" i="1"/>
  <c r="Y2332" i="1"/>
  <c r="Z2332" i="1"/>
  <c r="AL2332" i="1" s="1"/>
  <c r="AM2332" i="1" s="1"/>
  <c r="AS2224" i="1"/>
  <c r="Z2330" i="1"/>
  <c r="Y2330" i="1"/>
  <c r="Z2329" i="1"/>
  <c r="AL2329" i="1" s="1"/>
  <c r="AM2329" i="1" s="1"/>
  <c r="Y2329" i="1"/>
  <c r="Y2328" i="1"/>
  <c r="Z2328" i="1"/>
  <c r="Z2326" i="1"/>
  <c r="AL2326" i="1" s="1"/>
  <c r="AM2326" i="1" s="1"/>
  <c r="Y2326" i="1"/>
  <c r="Z2325" i="1"/>
  <c r="AL2325" i="1" s="1"/>
  <c r="AM2325" i="1" s="1"/>
  <c r="Y2325" i="1"/>
  <c r="Y2324" i="1"/>
  <c r="Z2324" i="1"/>
  <c r="AL2324" i="1" s="1"/>
  <c r="AM2324" i="1" s="1"/>
  <c r="AT2329" i="1"/>
  <c r="AT2328" i="1"/>
  <c r="AL2328" i="1"/>
  <c r="AM2328" i="1" s="1"/>
  <c r="AQ2327" i="1"/>
  <c r="AL2327" i="1"/>
  <c r="AM2327" i="1" s="1"/>
  <c r="AT2326" i="1"/>
  <c r="AQ2326" i="1"/>
  <c r="AT2325" i="1"/>
  <c r="AT2324" i="1"/>
  <c r="AT2332" i="1"/>
  <c r="AV2331" i="1"/>
  <c r="AU2331" i="1"/>
  <c r="AT2331" i="1"/>
  <c r="AQ2331" i="1"/>
  <c r="AL2331" i="1"/>
  <c r="AM2331" i="1" s="1"/>
  <c r="AT2330" i="1"/>
  <c r="AV2330" i="1" s="1"/>
  <c r="AU2330" i="1" s="1"/>
  <c r="AL2330" i="1"/>
  <c r="AM2330" i="1" s="1"/>
  <c r="Y2317" i="1"/>
  <c r="Z2317" i="1"/>
  <c r="Y2318" i="1"/>
  <c r="Z2318" i="1"/>
  <c r="Y2316" i="1"/>
  <c r="Z2316" i="1"/>
  <c r="AL2316" i="1" s="1"/>
  <c r="AM2316" i="1" s="1"/>
  <c r="Y2314" i="1"/>
  <c r="Z2314" i="1"/>
  <c r="AS2312" i="1"/>
  <c r="AD2312" i="1"/>
  <c r="AS2262" i="1"/>
  <c r="AT2262" i="1" s="1"/>
  <c r="AS2306" i="1"/>
  <c r="AT2306" i="1" s="1"/>
  <c r="Z2312" i="1"/>
  <c r="Y2312" i="1"/>
  <c r="Z2310" i="1"/>
  <c r="AL2310" i="1" s="1"/>
  <c r="AM2310" i="1" s="1"/>
  <c r="Y2310" i="1"/>
  <c r="Z2308" i="1"/>
  <c r="AL2308" i="1" s="1"/>
  <c r="AM2308" i="1" s="1"/>
  <c r="Y2308" i="1"/>
  <c r="Z2307" i="1"/>
  <c r="AL2307" i="1" s="1"/>
  <c r="AM2307" i="1" s="1"/>
  <c r="Y2307" i="1"/>
  <c r="Y2306" i="1"/>
  <c r="Z2306" i="1"/>
  <c r="AL2306" i="1" s="1"/>
  <c r="AM2306" i="1" s="1"/>
  <c r="AT2316" i="1"/>
  <c r="AQ2316" i="1"/>
  <c r="AV2315" i="1"/>
  <c r="AU2315" i="1"/>
  <c r="AT2315" i="1"/>
  <c r="AQ2315" i="1"/>
  <c r="AL2315" i="1"/>
  <c r="AM2315" i="1" s="1"/>
  <c r="AT2314" i="1"/>
  <c r="AL2314" i="1"/>
  <c r="AM2314" i="1" s="1"/>
  <c r="AV2313" i="1"/>
  <c r="AU2313" i="1" s="1"/>
  <c r="AT2313" i="1"/>
  <c r="AQ2313" i="1"/>
  <c r="AL2313" i="1"/>
  <c r="AM2313" i="1" s="1"/>
  <c r="AL2312" i="1"/>
  <c r="AM2312" i="1" s="1"/>
  <c r="AV2311" i="1"/>
  <c r="AU2311" i="1" s="1"/>
  <c r="AT2311" i="1"/>
  <c r="AQ2311" i="1"/>
  <c r="AL2311" i="1"/>
  <c r="AM2311" i="1" s="1"/>
  <c r="AT2310" i="1"/>
  <c r="AV2309" i="1"/>
  <c r="AU2309" i="1"/>
  <c r="AT2309" i="1"/>
  <c r="AQ2309" i="1"/>
  <c r="AL2309" i="1"/>
  <c r="AM2309" i="1" s="1"/>
  <c r="AT2308" i="1"/>
  <c r="AT2307" i="1"/>
  <c r="AV2307" i="1" s="1"/>
  <c r="AU2307" i="1" s="1"/>
  <c r="Z2302" i="1"/>
  <c r="Y2302" i="1"/>
  <c r="Y2301" i="1"/>
  <c r="Z2301" i="1"/>
  <c r="AL2301" i="1" s="1"/>
  <c r="AM2301" i="1" s="1"/>
  <c r="Z2296" i="1"/>
  <c r="AL2296" i="1" s="1"/>
  <c r="AM2296" i="1" s="1"/>
  <c r="Y2296" i="1"/>
  <c r="Z2292" i="1"/>
  <c r="AL2292" i="1" s="1"/>
  <c r="AM2292" i="1" s="1"/>
  <c r="Y2292" i="1"/>
  <c r="Z2290" i="1"/>
  <c r="Y2290" i="1"/>
  <c r="Y2289" i="1"/>
  <c r="Z2289" i="1"/>
  <c r="AL2289" i="1" s="1"/>
  <c r="AM2289" i="1" s="1"/>
  <c r="AL2269" i="1"/>
  <c r="AM2269" i="1" s="1"/>
  <c r="AL2270" i="1"/>
  <c r="AM2270" i="1" s="1"/>
  <c r="AL2256" i="1"/>
  <c r="Y2262" i="1"/>
  <c r="Z2262" i="1"/>
  <c r="AQ2272" i="1"/>
  <c r="AL2272" i="1"/>
  <c r="AM2272" i="1" s="1"/>
  <c r="AQ2271" i="1"/>
  <c r="AL2271" i="1"/>
  <c r="AM2271" i="1" s="1"/>
  <c r="AQ2270" i="1"/>
  <c r="AQ2269" i="1"/>
  <c r="AQ2268" i="1"/>
  <c r="AL2268" i="1"/>
  <c r="AM2268" i="1" s="1"/>
  <c r="AQ2273" i="1"/>
  <c r="AL2273" i="1"/>
  <c r="AM2273" i="1" s="1"/>
  <c r="AQ2274" i="1"/>
  <c r="AL2274" i="1"/>
  <c r="AM2274" i="1" s="1"/>
  <c r="AQ2275" i="1"/>
  <c r="AL2275" i="1"/>
  <c r="AM2275" i="1" s="1"/>
  <c r="AQ2276" i="1"/>
  <c r="AL2276" i="1"/>
  <c r="AM2276" i="1" s="1"/>
  <c r="AS2254" i="1"/>
  <c r="AT2254" i="1" s="1"/>
  <c r="AS2164" i="1"/>
  <c r="AT2164" i="1" s="1"/>
  <c r="AQ2305" i="1"/>
  <c r="AL2305" i="1"/>
  <c r="AM2305" i="1" s="1"/>
  <c r="AQ2304" i="1"/>
  <c r="AL2304" i="1"/>
  <c r="AM2304" i="1" s="1"/>
  <c r="AQ2303" i="1"/>
  <c r="AL2303" i="1"/>
  <c r="AM2303" i="1" s="1"/>
  <c r="AT2302" i="1"/>
  <c r="AV2302" i="1" s="1"/>
  <c r="AU2302" i="1" s="1"/>
  <c r="AL2302" i="1"/>
  <c r="AM2302" i="1" s="1"/>
  <c r="AT2301" i="1"/>
  <c r="AV2301" i="1" s="1"/>
  <c r="AU2301" i="1" s="1"/>
  <c r="AQ2300" i="1"/>
  <c r="AL2300" i="1"/>
  <c r="AM2300" i="1" s="1"/>
  <c r="AQ2299" i="1"/>
  <c r="AL2299" i="1"/>
  <c r="AM2299" i="1" s="1"/>
  <c r="AQ2298" i="1"/>
  <c r="AL2298" i="1"/>
  <c r="AM2298" i="1" s="1"/>
  <c r="AQ2297" i="1"/>
  <c r="AL2297" i="1"/>
  <c r="AM2297" i="1" s="1"/>
  <c r="AT2296" i="1"/>
  <c r="AQ2321" i="1"/>
  <c r="AL2321" i="1"/>
  <c r="AM2321" i="1" s="1"/>
  <c r="AQ2320" i="1"/>
  <c r="AL2320" i="1"/>
  <c r="AM2320" i="1" s="1"/>
  <c r="AQ2319" i="1"/>
  <c r="AL2319" i="1"/>
  <c r="AM2319" i="1" s="1"/>
  <c r="AT2318" i="1"/>
  <c r="AV2318" i="1" s="1"/>
  <c r="AU2318" i="1" s="1"/>
  <c r="AL2318" i="1"/>
  <c r="AM2318" i="1" s="1"/>
  <c r="AT2317" i="1"/>
  <c r="AV2317" i="1" s="1"/>
  <c r="AU2317" i="1" s="1"/>
  <c r="AL2317" i="1"/>
  <c r="AM2317" i="1" s="1"/>
  <c r="AS2227" i="1"/>
  <c r="AV2618" i="1"/>
  <c r="AU2618" i="1" s="1"/>
  <c r="AT2618" i="1"/>
  <c r="AQ2618" i="1"/>
  <c r="AL2618" i="1"/>
  <c r="AM2618" i="1" s="1"/>
  <c r="AV2617" i="1"/>
  <c r="AU2617" i="1" s="1"/>
  <c r="AT2617" i="1"/>
  <c r="AQ2617" i="1"/>
  <c r="AL2617" i="1"/>
  <c r="AM2617" i="1" s="1"/>
  <c r="AV2616" i="1"/>
  <c r="AU2616" i="1"/>
  <c r="AT2616" i="1"/>
  <c r="AQ2616" i="1"/>
  <c r="AL2616" i="1"/>
  <c r="AM2616" i="1" s="1"/>
  <c r="AV2615" i="1"/>
  <c r="AU2615" i="1"/>
  <c r="AT2615" i="1"/>
  <c r="AQ2615" i="1"/>
  <c r="AL2615" i="1"/>
  <c r="AM2615" i="1" s="1"/>
  <c r="AV2614" i="1"/>
  <c r="AU2614" i="1" s="1"/>
  <c r="AT2614" i="1"/>
  <c r="AQ2614" i="1"/>
  <c r="AL2614" i="1"/>
  <c r="AM2614" i="1" s="1"/>
  <c r="AV2613" i="1"/>
  <c r="AU2613" i="1" s="1"/>
  <c r="AT2613" i="1"/>
  <c r="AQ2613" i="1"/>
  <c r="AL2613" i="1"/>
  <c r="AM2613" i="1" s="1"/>
  <c r="AV2612" i="1"/>
  <c r="AU2612" i="1" s="1"/>
  <c r="AT2612" i="1"/>
  <c r="AQ2612" i="1"/>
  <c r="AL2612" i="1"/>
  <c r="AM2612" i="1" s="1"/>
  <c r="AV2611" i="1"/>
  <c r="AU2611" i="1" s="1"/>
  <c r="AT2611" i="1"/>
  <c r="AQ2611" i="1"/>
  <c r="AL2611" i="1"/>
  <c r="AM2611" i="1" s="1"/>
  <c r="AV2610" i="1"/>
  <c r="AU2610" i="1" s="1"/>
  <c r="AT2610" i="1"/>
  <c r="AQ2610" i="1"/>
  <c r="AL2610" i="1"/>
  <c r="AM2610" i="1" s="1"/>
  <c r="AV2609" i="1"/>
  <c r="AU2609" i="1" s="1"/>
  <c r="AT2609" i="1"/>
  <c r="AQ2609" i="1"/>
  <c r="AL2609" i="1"/>
  <c r="AM2609" i="1" s="1"/>
  <c r="AV2608" i="1"/>
  <c r="AU2608" i="1" s="1"/>
  <c r="AT2608" i="1"/>
  <c r="AQ2608" i="1"/>
  <c r="AL2608" i="1"/>
  <c r="AM2608" i="1" s="1"/>
  <c r="AV2624" i="1"/>
  <c r="AU2624" i="1" s="1"/>
  <c r="AT2624" i="1"/>
  <c r="AQ2624" i="1"/>
  <c r="AL2624" i="1"/>
  <c r="AM2624" i="1" s="1"/>
  <c r="AV2623" i="1"/>
  <c r="AU2623" i="1" s="1"/>
  <c r="AT2623" i="1"/>
  <c r="AQ2623" i="1"/>
  <c r="AL2623" i="1"/>
  <c r="AM2623" i="1" s="1"/>
  <c r="AV2622" i="1"/>
  <c r="AU2622" i="1" s="1"/>
  <c r="AT2622" i="1"/>
  <c r="AQ2622" i="1"/>
  <c r="AL2622" i="1"/>
  <c r="AM2622" i="1" s="1"/>
  <c r="AV2621" i="1"/>
  <c r="AU2621" i="1"/>
  <c r="AT2621" i="1"/>
  <c r="AQ2621" i="1"/>
  <c r="AL2621" i="1"/>
  <c r="AM2621" i="1" s="1"/>
  <c r="AV2620" i="1"/>
  <c r="AU2620" i="1" s="1"/>
  <c r="AT2620" i="1"/>
  <c r="AQ2620" i="1"/>
  <c r="AL2620" i="1"/>
  <c r="AM2620" i="1" s="1"/>
  <c r="AV2619" i="1"/>
  <c r="AU2619" i="1" s="1"/>
  <c r="AT2619" i="1"/>
  <c r="AQ2619" i="1"/>
  <c r="AL2619" i="1"/>
  <c r="AM2619" i="1" s="1"/>
  <c r="AV2627" i="1"/>
  <c r="AU2627" i="1" s="1"/>
  <c r="AT2627" i="1"/>
  <c r="AQ2627" i="1"/>
  <c r="AL2627" i="1"/>
  <c r="AM2627" i="1" s="1"/>
  <c r="AV2626" i="1"/>
  <c r="AU2626" i="1" s="1"/>
  <c r="AT2626" i="1"/>
  <c r="AQ2626" i="1"/>
  <c r="AL2626" i="1"/>
  <c r="AM2626" i="1" s="1"/>
  <c r="AV2625" i="1"/>
  <c r="AU2625" i="1" s="1"/>
  <c r="AT2625" i="1"/>
  <c r="AQ2625" i="1"/>
  <c r="AL2625" i="1"/>
  <c r="AM2625" i="1" s="1"/>
  <c r="AV2629" i="1"/>
  <c r="AU2629" i="1" s="1"/>
  <c r="AT2629" i="1"/>
  <c r="AQ2629" i="1"/>
  <c r="AL2629" i="1"/>
  <c r="AM2629" i="1" s="1"/>
  <c r="AQ2607" i="1"/>
  <c r="Z2607" i="1"/>
  <c r="AV2604" i="1"/>
  <c r="AU2604" i="1" s="1"/>
  <c r="AT2604" i="1"/>
  <c r="AQ2604" i="1"/>
  <c r="AL2604" i="1"/>
  <c r="AM2604" i="1" s="1"/>
  <c r="AV2603" i="1"/>
  <c r="AU2603" i="1" s="1"/>
  <c r="AT2603" i="1"/>
  <c r="AQ2603" i="1"/>
  <c r="AL2603" i="1"/>
  <c r="AM2603" i="1" s="1"/>
  <c r="AV2606" i="1"/>
  <c r="AU2606" i="1" s="1"/>
  <c r="AT2606" i="1"/>
  <c r="AQ2606" i="1"/>
  <c r="AL2606" i="1"/>
  <c r="AM2606" i="1" s="1"/>
  <c r="AV2605" i="1"/>
  <c r="AU2605" i="1" s="1"/>
  <c r="AT2605" i="1"/>
  <c r="AQ2605" i="1"/>
  <c r="AL2605" i="1"/>
  <c r="AM2605" i="1" s="1"/>
  <c r="AT2493" i="1"/>
  <c r="AV2493" i="1" s="1"/>
  <c r="AU2493" i="1" s="1"/>
  <c r="AL2493" i="1"/>
  <c r="AM2493" i="1" s="1"/>
  <c r="AV2492" i="1"/>
  <c r="AU2492" i="1" s="1"/>
  <c r="AT2492" i="1"/>
  <c r="AQ2492" i="1"/>
  <c r="AL2492" i="1"/>
  <c r="AM2492" i="1" s="1"/>
  <c r="AT2491" i="1"/>
  <c r="AV2491" i="1" s="1"/>
  <c r="AU2491" i="1" s="1"/>
  <c r="AL2491" i="1"/>
  <c r="AM2491" i="1" s="1"/>
  <c r="AT2490" i="1"/>
  <c r="AV2490" i="1" s="1"/>
  <c r="AU2490" i="1" s="1"/>
  <c r="AQ2490" i="1"/>
  <c r="AL2490" i="1"/>
  <c r="AM2490" i="1" s="1"/>
  <c r="AT2489" i="1"/>
  <c r="AV2489" i="1" s="1"/>
  <c r="AU2489" i="1" s="1"/>
  <c r="AL2489" i="1"/>
  <c r="AM2489" i="1" s="1"/>
  <c r="AT2488" i="1"/>
  <c r="AV2488" i="1" s="1"/>
  <c r="AU2488" i="1" s="1"/>
  <c r="AL2488" i="1"/>
  <c r="AM2488" i="1" s="1"/>
  <c r="AT2487" i="1"/>
  <c r="AV2487" i="1" s="1"/>
  <c r="AU2487" i="1" s="1"/>
  <c r="AL2487" i="1"/>
  <c r="AM2487" i="1" s="1"/>
  <c r="AV2486" i="1"/>
  <c r="AU2486" i="1" s="1"/>
  <c r="AT2486" i="1"/>
  <c r="AQ2486" i="1"/>
  <c r="AL2486" i="1"/>
  <c r="AM2486" i="1" s="1"/>
  <c r="AV2485" i="1"/>
  <c r="AU2485" i="1" s="1"/>
  <c r="AT2485" i="1"/>
  <c r="AQ2485" i="1"/>
  <c r="AL2485" i="1"/>
  <c r="AM2485" i="1" s="1"/>
  <c r="AV2484" i="1"/>
  <c r="AU2484" i="1" s="1"/>
  <c r="AT2484" i="1"/>
  <c r="AQ2484" i="1"/>
  <c r="AL2484" i="1"/>
  <c r="AM2484" i="1" s="1"/>
  <c r="AV2483" i="1"/>
  <c r="AU2483" i="1" s="1"/>
  <c r="AT2483" i="1"/>
  <c r="AQ2483" i="1"/>
  <c r="AL2483" i="1"/>
  <c r="AM2483" i="1" s="1"/>
  <c r="AT2482" i="1"/>
  <c r="AV2482" i="1" s="1"/>
  <c r="AU2482" i="1" s="1"/>
  <c r="AL2482" i="1"/>
  <c r="AM2482" i="1" s="1"/>
  <c r="AT2481" i="1"/>
  <c r="AV2481" i="1" s="1"/>
  <c r="AU2481" i="1" s="1"/>
  <c r="AL2481" i="1"/>
  <c r="AM2481" i="1" s="1"/>
  <c r="AT2480" i="1"/>
  <c r="AV2480" i="1" s="1"/>
  <c r="AU2480" i="1" s="1"/>
  <c r="AL2480" i="1"/>
  <c r="AM2480" i="1" s="1"/>
  <c r="AV2500" i="1"/>
  <c r="AU2500" i="1" s="1"/>
  <c r="AT2500" i="1"/>
  <c r="AQ2500" i="1"/>
  <c r="AL2500" i="1"/>
  <c r="AM2500" i="1" s="1"/>
  <c r="AV2499" i="1"/>
  <c r="AU2499" i="1"/>
  <c r="AT2499" i="1"/>
  <c r="AQ2499" i="1"/>
  <c r="AL2499" i="1"/>
  <c r="AM2499" i="1" s="1"/>
  <c r="AV2498" i="1"/>
  <c r="AU2498" i="1" s="1"/>
  <c r="AT2498" i="1"/>
  <c r="AQ2498" i="1"/>
  <c r="AL2498" i="1"/>
  <c r="AM2498" i="1" s="1"/>
  <c r="AV2497" i="1"/>
  <c r="AU2497" i="1"/>
  <c r="AT2497" i="1"/>
  <c r="AQ2497" i="1"/>
  <c r="AL2497" i="1"/>
  <c r="AM2497" i="1" s="1"/>
  <c r="AV2496" i="1"/>
  <c r="AU2496" i="1" s="1"/>
  <c r="AT2496" i="1"/>
  <c r="AQ2496" i="1"/>
  <c r="AL2496" i="1"/>
  <c r="AM2496" i="1" s="1"/>
  <c r="AV2495" i="1"/>
  <c r="AU2495" i="1" s="1"/>
  <c r="AT2495" i="1"/>
  <c r="AQ2495" i="1"/>
  <c r="AL2495" i="1"/>
  <c r="AM2495" i="1" s="1"/>
  <c r="AT2494" i="1"/>
  <c r="AV2494" i="1" s="1"/>
  <c r="AU2494" i="1" s="1"/>
  <c r="AL2494" i="1"/>
  <c r="AM2494" i="1" s="1"/>
  <c r="AQ2479" i="1"/>
  <c r="Z2479" i="1"/>
  <c r="AV2478" i="1"/>
  <c r="AU2478" i="1" s="1"/>
  <c r="AT2478" i="1"/>
  <c r="AQ2478" i="1"/>
  <c r="AL2478" i="1"/>
  <c r="AM2478" i="1" s="1"/>
  <c r="AD2261" i="1"/>
  <c r="Y2261" i="1"/>
  <c r="Z2261" i="1"/>
  <c r="AQ2263" i="1"/>
  <c r="AL2263" i="1"/>
  <c r="AM2263" i="1" s="1"/>
  <c r="AQ2262" i="1"/>
  <c r="AL2262" i="1"/>
  <c r="AM2262" i="1" s="1"/>
  <c r="AT2261" i="1"/>
  <c r="AV2261" i="1" s="1"/>
  <c r="AU2261" i="1" s="1"/>
  <c r="AQ2261" i="1"/>
  <c r="AL2261" i="1"/>
  <c r="AM2261" i="1" s="1"/>
  <c r="AV2260" i="1"/>
  <c r="AU2260" i="1" s="1"/>
  <c r="AT2260" i="1"/>
  <c r="AQ2260" i="1"/>
  <c r="AL2260" i="1"/>
  <c r="AM2260" i="1" s="1"/>
  <c r="AV2259" i="1"/>
  <c r="AU2259" i="1" s="1"/>
  <c r="AT2259" i="1"/>
  <c r="AQ2259" i="1"/>
  <c r="AL2259" i="1"/>
  <c r="AM2259" i="1" s="1"/>
  <c r="AV2258" i="1"/>
  <c r="AU2258" i="1"/>
  <c r="AT2258" i="1"/>
  <c r="AQ2258" i="1"/>
  <c r="AL2258" i="1"/>
  <c r="AM2258" i="1" s="1"/>
  <c r="AV2257" i="1"/>
  <c r="AU2257" i="1" s="1"/>
  <c r="AT2257" i="1"/>
  <c r="AQ2257" i="1"/>
  <c r="AL2257" i="1"/>
  <c r="AM2257" i="1" s="1"/>
  <c r="AQ2266" i="1"/>
  <c r="AL2266" i="1"/>
  <c r="AM2266" i="1" s="1"/>
  <c r="AQ2265" i="1"/>
  <c r="AL2265" i="1"/>
  <c r="AM2265" i="1" s="1"/>
  <c r="AQ2264" i="1"/>
  <c r="AL2264" i="1"/>
  <c r="AM2264" i="1" s="1"/>
  <c r="Y2255" i="1"/>
  <c r="Z2255" i="1"/>
  <c r="AL2255" i="1" s="1"/>
  <c r="AM2255" i="1" s="1"/>
  <c r="Y2254" i="1"/>
  <c r="Z2254" i="1"/>
  <c r="AL2254" i="1" s="1"/>
  <c r="AM2254" i="1" s="1"/>
  <c r="Z2253" i="1"/>
  <c r="AL2253" i="1" s="1"/>
  <c r="AM2253" i="1" s="1"/>
  <c r="Y2253" i="1"/>
  <c r="Y2252" i="1"/>
  <c r="Z2252" i="1"/>
  <c r="AL2252" i="1" s="1"/>
  <c r="AM2252" i="1" s="1"/>
  <c r="Z2251" i="1"/>
  <c r="Y2251" i="1"/>
  <c r="Y2250" i="1"/>
  <c r="Z2250" i="1"/>
  <c r="AL2250" i="1" s="1"/>
  <c r="AM2250" i="1" s="1"/>
  <c r="Y2249" i="1"/>
  <c r="Z2249" i="1"/>
  <c r="AL2249" i="1" s="1"/>
  <c r="AM2249" i="1" s="1"/>
  <c r="Z2248" i="1"/>
  <c r="Y2248" i="1"/>
  <c r="Z2247" i="1"/>
  <c r="Y2247" i="1"/>
  <c r="Z2246" i="1"/>
  <c r="AL2246" i="1" s="1"/>
  <c r="AM2246" i="1" s="1"/>
  <c r="Y2246" i="1"/>
  <c r="Z2245" i="1"/>
  <c r="AL2245" i="1" s="1"/>
  <c r="AM2245" i="1" s="1"/>
  <c r="Y2245" i="1"/>
  <c r="AT2251" i="1"/>
  <c r="AV2251" i="1" s="1"/>
  <c r="AU2251" i="1" s="1"/>
  <c r="AQ2251" i="1"/>
  <c r="AL2251" i="1"/>
  <c r="AM2251" i="1" s="1"/>
  <c r="AT2250" i="1"/>
  <c r="AT2249" i="1"/>
  <c r="AT2248" i="1"/>
  <c r="AL2248" i="1"/>
  <c r="AM2248" i="1" s="1"/>
  <c r="AT2247" i="1"/>
  <c r="AL2247" i="1"/>
  <c r="AM2247" i="1" s="1"/>
  <c r="AT2246" i="1"/>
  <c r="AT2245" i="1"/>
  <c r="AV2244" i="1"/>
  <c r="AU2244" i="1"/>
  <c r="AT2244" i="1"/>
  <c r="AQ2244" i="1"/>
  <c r="AL2244" i="1"/>
  <c r="AM2244" i="1" s="1"/>
  <c r="AT2255" i="1"/>
  <c r="AT2253" i="1"/>
  <c r="AQ2253" i="1"/>
  <c r="AT2252" i="1"/>
  <c r="AV2252" i="1" s="1"/>
  <c r="AU2252" i="1" s="1"/>
  <c r="AS2234" i="1"/>
  <c r="AT2234" i="1" s="1"/>
  <c r="Z2243" i="1"/>
  <c r="AL2243" i="1" s="1"/>
  <c r="AM2243" i="1" s="1"/>
  <c r="Y2243" i="1"/>
  <c r="Y2242" i="1"/>
  <c r="Z2242" i="1"/>
  <c r="AL2242" i="1" s="1"/>
  <c r="AM2242" i="1" s="1"/>
  <c r="AD2241" i="1"/>
  <c r="AT2241" i="1" s="1"/>
  <c r="Y2241" i="1"/>
  <c r="Z2241" i="1"/>
  <c r="AL2241" i="1" s="1"/>
  <c r="AM2241" i="1" s="1"/>
  <c r="AD2227" i="1"/>
  <c r="AT2243" i="1"/>
  <c r="AV2243" i="1" s="1"/>
  <c r="AU2243" i="1" s="1"/>
  <c r="AT2242" i="1"/>
  <c r="AQ2240" i="1"/>
  <c r="AL2240" i="1"/>
  <c r="AM2240" i="1" s="1"/>
  <c r="Z2237" i="1"/>
  <c r="AL2237" i="1" s="1"/>
  <c r="AM2237" i="1" s="1"/>
  <c r="Y2237" i="1"/>
  <c r="Y2236" i="1"/>
  <c r="Z2236" i="1"/>
  <c r="Y2235" i="1"/>
  <c r="Z2235" i="1"/>
  <c r="AL2235" i="1" s="1"/>
  <c r="AM2235" i="1" s="1"/>
  <c r="Y2234" i="1"/>
  <c r="Z2234" i="1"/>
  <c r="AL2234" i="1" s="1"/>
  <c r="AM2234" i="1" s="1"/>
  <c r="Z2233" i="1"/>
  <c r="AL2233" i="1" s="1"/>
  <c r="AM2233" i="1" s="1"/>
  <c r="Y2233" i="1"/>
  <c r="AT2237" i="1"/>
  <c r="AT2236" i="1"/>
  <c r="AL2236" i="1"/>
  <c r="AM2236" i="1" s="1"/>
  <c r="AT2235" i="1"/>
  <c r="AQ2234" i="1"/>
  <c r="AT2233" i="1"/>
  <c r="AV2232" i="1"/>
  <c r="AU2232" i="1" s="1"/>
  <c r="AT2232" i="1"/>
  <c r="AQ2232" i="1"/>
  <c r="AL2232" i="1"/>
  <c r="AM2232" i="1" s="1"/>
  <c r="AV2256" i="1"/>
  <c r="AU2256" i="1" s="1"/>
  <c r="AT2256" i="1"/>
  <c r="AQ2256" i="1"/>
  <c r="AM2256" i="1"/>
  <c r="AQ2239" i="1"/>
  <c r="AL2239" i="1"/>
  <c r="AM2239" i="1" s="1"/>
  <c r="AQ2238" i="1"/>
  <c r="AL2238" i="1"/>
  <c r="AM2238" i="1" s="1"/>
  <c r="Z2231" i="1"/>
  <c r="AL2231" i="1" s="1"/>
  <c r="AM2231" i="1" s="1"/>
  <c r="Y2231" i="1"/>
  <c r="AQ2267" i="1"/>
  <c r="AL2267" i="1"/>
  <c r="AM2267" i="1" s="1"/>
  <c r="AT2231" i="1"/>
  <c r="AV2230" i="1"/>
  <c r="AU2230" i="1" s="1"/>
  <c r="AT2230" i="1"/>
  <c r="AQ2230" i="1"/>
  <c r="AL2230" i="1"/>
  <c r="AM2230" i="1" s="1"/>
  <c r="AV2229" i="1"/>
  <c r="AU2229" i="1" s="1"/>
  <c r="AT2229" i="1"/>
  <c r="AQ2229" i="1"/>
  <c r="AL2229" i="1"/>
  <c r="AM2229" i="1" s="1"/>
  <c r="Y2227" i="1"/>
  <c r="Z2227" i="1"/>
  <c r="AL2227" i="1" s="1"/>
  <c r="Z2226" i="1"/>
  <c r="AL2226" i="1" s="1"/>
  <c r="AM2226" i="1" s="1"/>
  <c r="Y2226" i="1"/>
  <c r="AL2225" i="1"/>
  <c r="AM2225" i="1" s="1"/>
  <c r="Y2224" i="1"/>
  <c r="Z2224" i="1"/>
  <c r="AL2224" i="1" s="1"/>
  <c r="AM2224" i="1" s="1"/>
  <c r="AV2225" i="1"/>
  <c r="AU2225" i="1" s="1"/>
  <c r="AT2225" i="1"/>
  <c r="AQ2225" i="1"/>
  <c r="AT2224" i="1"/>
  <c r="AV2224" i="1" s="1"/>
  <c r="AU2224" i="1" s="1"/>
  <c r="AV2223" i="1"/>
  <c r="AU2223" i="1" s="1"/>
  <c r="AT2223" i="1"/>
  <c r="AQ2223" i="1"/>
  <c r="AL2223" i="1"/>
  <c r="AM2223" i="1" s="1"/>
  <c r="AV2222" i="1"/>
  <c r="AU2222" i="1"/>
  <c r="AT2222" i="1"/>
  <c r="AQ2222" i="1"/>
  <c r="AL2222" i="1"/>
  <c r="AM2222" i="1" s="1"/>
  <c r="AV2228" i="1"/>
  <c r="AU2228" i="1"/>
  <c r="AT2228" i="1"/>
  <c r="AQ2228" i="1"/>
  <c r="AL2228" i="1"/>
  <c r="AM2228" i="1" s="1"/>
  <c r="AM2227" i="1"/>
  <c r="AT2226" i="1"/>
  <c r="AV2226" i="1" s="1"/>
  <c r="AU2226" i="1" s="1"/>
  <c r="AQ2226" i="1"/>
  <c r="Y2220" i="1"/>
  <c r="Z2220" i="1"/>
  <c r="AL2220" i="1" s="1"/>
  <c r="AM2220" i="1" s="1"/>
  <c r="Y2219" i="1"/>
  <c r="Z2219" i="1"/>
  <c r="AL2219" i="1" s="1"/>
  <c r="Y2218" i="1"/>
  <c r="Z2218" i="1"/>
  <c r="AL2218" i="1" s="1"/>
  <c r="AM2218" i="1" s="1"/>
  <c r="AT2220" i="1"/>
  <c r="AT2219" i="1"/>
  <c r="AQ2219" i="1"/>
  <c r="AM2219" i="1"/>
  <c r="AT2218" i="1"/>
  <c r="AV2217" i="1"/>
  <c r="AU2217" i="1" s="1"/>
  <c r="AT2217" i="1"/>
  <c r="AQ2217" i="1"/>
  <c r="AL2217" i="1"/>
  <c r="AM2217" i="1" s="1"/>
  <c r="Z2215" i="1"/>
  <c r="AL2215" i="1" s="1"/>
  <c r="Y2215" i="1"/>
  <c r="AS2185" i="1"/>
  <c r="Z2214" i="1"/>
  <c r="AL2214" i="1" s="1"/>
  <c r="AM2214" i="1" s="1"/>
  <c r="Y2214" i="1"/>
  <c r="Z2213" i="1"/>
  <c r="AL2213" i="1" s="1"/>
  <c r="AM2213" i="1" s="1"/>
  <c r="Y2213" i="1"/>
  <c r="Z2212" i="1"/>
  <c r="AL2212" i="1" s="1"/>
  <c r="Y2212" i="1"/>
  <c r="Z2211" i="1"/>
  <c r="AL2211" i="1" s="1"/>
  <c r="AM2211" i="1" s="1"/>
  <c r="Y2211" i="1"/>
  <c r="AT2215" i="1"/>
  <c r="AV2215" i="1" s="1"/>
  <c r="AU2215" i="1" s="1"/>
  <c r="AM2215" i="1"/>
  <c r="AT2214" i="1"/>
  <c r="AT2213" i="1"/>
  <c r="AT2212" i="1"/>
  <c r="AQ2212" i="1"/>
  <c r="AM2212" i="1"/>
  <c r="AT2211" i="1"/>
  <c r="AV2216" i="1"/>
  <c r="AU2216" i="1" s="1"/>
  <c r="AT2216" i="1"/>
  <c r="AQ2216" i="1"/>
  <c r="AL2216" i="1"/>
  <c r="AM2216" i="1" s="1"/>
  <c r="AV2210" i="1"/>
  <c r="AU2210" i="1" s="1"/>
  <c r="AT2210" i="1"/>
  <c r="AQ2210" i="1"/>
  <c r="AL2210" i="1"/>
  <c r="AM2210" i="1" s="1"/>
  <c r="AV2209" i="1"/>
  <c r="AU2209" i="1" s="1"/>
  <c r="AT2209" i="1"/>
  <c r="AQ2209" i="1"/>
  <c r="AL2209" i="1"/>
  <c r="AM2209" i="1" s="1"/>
  <c r="AV2208" i="1"/>
  <c r="AU2208" i="1"/>
  <c r="AT2208" i="1"/>
  <c r="AQ2208" i="1"/>
  <c r="AL2208" i="1"/>
  <c r="AM2208" i="1" s="1"/>
  <c r="Z2207" i="1"/>
  <c r="AL2207" i="1" s="1"/>
  <c r="AM2207" i="1" s="1"/>
  <c r="Y2207" i="1"/>
  <c r="Z2204" i="1"/>
  <c r="AL2204" i="1" s="1"/>
  <c r="AM2204" i="1" s="1"/>
  <c r="Y2204" i="1"/>
  <c r="Y2197" i="1"/>
  <c r="Z2197" i="1"/>
  <c r="AL2197" i="1" s="1"/>
  <c r="AM2197" i="1" s="1"/>
  <c r="Y2198" i="1"/>
  <c r="Z2198" i="1"/>
  <c r="Y2199" i="1"/>
  <c r="Z2199" i="1"/>
  <c r="AL2200" i="1"/>
  <c r="Y2201" i="1"/>
  <c r="Z2201" i="1"/>
  <c r="AL2201" i="1" s="1"/>
  <c r="AM2201" i="1" s="1"/>
  <c r="Y2203" i="1"/>
  <c r="Z2203" i="1"/>
  <c r="AL2203" i="1" s="1"/>
  <c r="AM2203" i="1" s="1"/>
  <c r="AV2205" i="1"/>
  <c r="AU2205" i="1" s="1"/>
  <c r="AT2205" i="1"/>
  <c r="AQ2205" i="1"/>
  <c r="AL2205" i="1"/>
  <c r="AM2205" i="1" s="1"/>
  <c r="AT2204" i="1"/>
  <c r="AV2204" i="1" s="1"/>
  <c r="AU2204" i="1" s="1"/>
  <c r="AQ2204" i="1"/>
  <c r="AT2203" i="1"/>
  <c r="AV2202" i="1"/>
  <c r="AU2202" i="1" s="1"/>
  <c r="AT2202" i="1"/>
  <c r="AQ2202" i="1"/>
  <c r="AL2202" i="1"/>
  <c r="AM2202" i="1" s="1"/>
  <c r="AT2201" i="1"/>
  <c r="Y2196" i="1"/>
  <c r="Z2196" i="1"/>
  <c r="AL2196" i="1" s="1"/>
  <c r="AM2196" i="1" s="1"/>
  <c r="AV2206" i="1"/>
  <c r="AU2206" i="1" s="1"/>
  <c r="AT2206" i="1"/>
  <c r="AQ2206" i="1"/>
  <c r="AL2206" i="1"/>
  <c r="AM2206" i="1" s="1"/>
  <c r="AT2200" i="1"/>
  <c r="AV2200" i="1" s="1"/>
  <c r="AU2200" i="1" s="1"/>
  <c r="AQ2200" i="1"/>
  <c r="AM2200" i="1"/>
  <c r="AT2198" i="1"/>
  <c r="AQ2198" i="1"/>
  <c r="AL2198" i="1"/>
  <c r="AM2198" i="1" s="1"/>
  <c r="AT2197" i="1"/>
  <c r="AV2197" i="1" s="1"/>
  <c r="AU2197" i="1" s="1"/>
  <c r="AT2196" i="1"/>
  <c r="Y2193" i="1"/>
  <c r="Z2193" i="1"/>
  <c r="AL2193" i="1" s="1"/>
  <c r="AM2193" i="1" s="1"/>
  <c r="AT2207" i="1"/>
  <c r="AV2195" i="1"/>
  <c r="AU2195" i="1" s="1"/>
  <c r="AT2195" i="1"/>
  <c r="AQ2195" i="1"/>
  <c r="AL2195" i="1"/>
  <c r="AM2195" i="1" s="1"/>
  <c r="AV2194" i="1"/>
  <c r="AU2194" i="1"/>
  <c r="AT2194" i="1"/>
  <c r="AQ2194" i="1"/>
  <c r="AL2194" i="1"/>
  <c r="AM2194" i="1" s="1"/>
  <c r="AT2193" i="1"/>
  <c r="AV2192" i="1"/>
  <c r="AU2192" i="1" s="1"/>
  <c r="AT2192" i="1"/>
  <c r="AQ2192" i="1"/>
  <c r="AL2192" i="1"/>
  <c r="AM2192" i="1" s="1"/>
  <c r="AQ2277" i="1"/>
  <c r="AL2277" i="1"/>
  <c r="AM2277" i="1" s="1"/>
  <c r="Y2190" i="1"/>
  <c r="Z2190" i="1"/>
  <c r="AL2189" i="1"/>
  <c r="AM2189" i="1" s="1"/>
  <c r="AV2191" i="1"/>
  <c r="AU2191" i="1" s="1"/>
  <c r="AT2191" i="1"/>
  <c r="AQ2191" i="1"/>
  <c r="AL2191" i="1"/>
  <c r="AM2191" i="1" s="1"/>
  <c r="AT2190" i="1"/>
  <c r="AL2190" i="1"/>
  <c r="AM2190" i="1" s="1"/>
  <c r="AV2189" i="1"/>
  <c r="AU2189" i="1" s="1"/>
  <c r="AT2189" i="1"/>
  <c r="AQ2189" i="1"/>
  <c r="Z2188" i="1"/>
  <c r="AL2188" i="1" s="1"/>
  <c r="Y2188" i="1"/>
  <c r="Z2187" i="1"/>
  <c r="AL2187" i="1" s="1"/>
  <c r="AM2187" i="1" s="1"/>
  <c r="Y2187" i="1"/>
  <c r="Z2186" i="1"/>
  <c r="AL2186" i="1" s="1"/>
  <c r="AM2186" i="1" s="1"/>
  <c r="Y2186" i="1"/>
  <c r="Z2185" i="1"/>
  <c r="AL2185" i="1" s="1"/>
  <c r="AM2185" i="1" s="1"/>
  <c r="Y2185" i="1"/>
  <c r="AS2168" i="1"/>
  <c r="Y2182" i="1"/>
  <c r="Z2182" i="1"/>
  <c r="AL2182" i="1" s="1"/>
  <c r="AM2182" i="1" s="1"/>
  <c r="AT2186" i="1"/>
  <c r="AT2185" i="1"/>
  <c r="AV2185" i="1" s="1"/>
  <c r="AU2185" i="1" s="1"/>
  <c r="AV2184" i="1"/>
  <c r="AU2184" i="1" s="1"/>
  <c r="AT2184" i="1"/>
  <c r="AQ2184" i="1"/>
  <c r="AL2184" i="1"/>
  <c r="AM2184" i="1" s="1"/>
  <c r="AV2183" i="1"/>
  <c r="AU2183" i="1"/>
  <c r="AT2183" i="1"/>
  <c r="AQ2183" i="1"/>
  <c r="AL2183" i="1"/>
  <c r="AM2183" i="1" s="1"/>
  <c r="AT2182" i="1"/>
  <c r="Z2181" i="1"/>
  <c r="AL2181" i="1" s="1"/>
  <c r="AM2181" i="1" s="1"/>
  <c r="Y2181" i="1"/>
  <c r="AT2187" i="1"/>
  <c r="AT2181" i="1"/>
  <c r="AQ2180" i="1"/>
  <c r="AL2180" i="1"/>
  <c r="AM2180" i="1" s="1"/>
  <c r="AQ2179" i="1"/>
  <c r="AL2179" i="1"/>
  <c r="AM2179" i="1" s="1"/>
  <c r="Z2178" i="1"/>
  <c r="AL2178" i="1" s="1"/>
  <c r="AM2178" i="1" s="1"/>
  <c r="Y2178" i="1"/>
  <c r="Z2176" i="1"/>
  <c r="AL2176" i="1" s="1"/>
  <c r="AM2176" i="1" s="1"/>
  <c r="Y2176" i="1"/>
  <c r="Z2175" i="1"/>
  <c r="AL2175" i="1" s="1"/>
  <c r="AM2175" i="1" s="1"/>
  <c r="Y2175" i="1"/>
  <c r="Z2174" i="1"/>
  <c r="AL2174" i="1" s="1"/>
  <c r="AM2174" i="1" s="1"/>
  <c r="Y2174" i="1"/>
  <c r="AD2163" i="1"/>
  <c r="AT2163" i="1" s="1"/>
  <c r="AT2174" i="1"/>
  <c r="AQ2173" i="1"/>
  <c r="AL2173" i="1"/>
  <c r="AM2173" i="1" s="1"/>
  <c r="AQ2172" i="1"/>
  <c r="AL2172" i="1"/>
  <c r="AM2172" i="1" s="1"/>
  <c r="AQ2171" i="1"/>
  <c r="AL2171" i="1"/>
  <c r="AM2171" i="1" s="1"/>
  <c r="AQ2170" i="1"/>
  <c r="AL2170" i="1"/>
  <c r="AM2170" i="1" s="1"/>
  <c r="AQ2169" i="1"/>
  <c r="AL2169" i="1"/>
  <c r="AM2169" i="1" s="1"/>
  <c r="AT2178" i="1"/>
  <c r="AV2178" i="1" s="1"/>
  <c r="AU2178" i="1" s="1"/>
  <c r="AQ2177" i="1"/>
  <c r="AL2177" i="1"/>
  <c r="AM2177" i="1" s="1"/>
  <c r="AT2176" i="1"/>
  <c r="AT2175" i="1"/>
  <c r="Z2168" i="1"/>
  <c r="AL2168" i="1" s="1"/>
  <c r="AM2168" i="1" s="1"/>
  <c r="Y2168" i="1"/>
  <c r="Z2167" i="1"/>
  <c r="AL2167" i="1" s="1"/>
  <c r="AM2167" i="1" s="1"/>
  <c r="Y2167" i="1"/>
  <c r="Z2164" i="1"/>
  <c r="AL2164" i="1" s="1"/>
  <c r="Y2164" i="1"/>
  <c r="AS2161" i="1"/>
  <c r="Y2163" i="1"/>
  <c r="Z2163" i="1"/>
  <c r="AL2163" i="1" s="1"/>
  <c r="AM2163" i="1" s="1"/>
  <c r="Z2161" i="1"/>
  <c r="AL2161" i="1" s="1"/>
  <c r="AM2161" i="1" s="1"/>
  <c r="Y2161" i="1"/>
  <c r="Y2160" i="1"/>
  <c r="Z2160" i="1"/>
  <c r="Z2157" i="1"/>
  <c r="Y2157" i="1"/>
  <c r="AS2021" i="1"/>
  <c r="AS2115" i="1"/>
  <c r="AQ2162" i="1"/>
  <c r="AL2162" i="1"/>
  <c r="AM2162" i="1" s="1"/>
  <c r="AT2161" i="1"/>
  <c r="AT2160" i="1"/>
  <c r="AV2160" i="1" s="1"/>
  <c r="AU2160" i="1" s="1"/>
  <c r="AL2160" i="1"/>
  <c r="AM2160" i="1" s="1"/>
  <c r="AQ2159" i="1"/>
  <c r="AL2159" i="1"/>
  <c r="AM2159" i="1" s="1"/>
  <c r="AQ2158" i="1"/>
  <c r="AL2158" i="1"/>
  <c r="AM2158" i="1" s="1"/>
  <c r="AT2157" i="1"/>
  <c r="AV2157" i="1" s="1"/>
  <c r="AU2157" i="1" s="1"/>
  <c r="AL2157" i="1"/>
  <c r="AM2157" i="1" s="1"/>
  <c r="AQ2156" i="1"/>
  <c r="AL2156" i="1"/>
  <c r="AM2156" i="1" s="1"/>
  <c r="AT2167" i="1"/>
  <c r="AQ2166" i="1"/>
  <c r="AL2166" i="1"/>
  <c r="AM2166" i="1" s="1"/>
  <c r="AQ2165" i="1"/>
  <c r="AL2165" i="1"/>
  <c r="AM2165" i="1" s="1"/>
  <c r="AM2164" i="1"/>
  <c r="Z2148" i="1"/>
  <c r="AL2148" i="1" s="1"/>
  <c r="AM2148" i="1" s="1"/>
  <c r="Y2148" i="1"/>
  <c r="AD2115" i="1"/>
  <c r="Y2141" i="1"/>
  <c r="Z2141" i="1"/>
  <c r="AL2141" i="1" s="1"/>
  <c r="AM2141" i="1" s="1"/>
  <c r="Z2116" i="1"/>
  <c r="Y2116" i="1"/>
  <c r="Y2115" i="1"/>
  <c r="Z2115" i="1"/>
  <c r="AL2115" i="1" s="1"/>
  <c r="Z2114" i="1"/>
  <c r="AL2114" i="1" s="1"/>
  <c r="AM2114" i="1" s="1"/>
  <c r="Y2114" i="1"/>
  <c r="Z2113" i="1"/>
  <c r="AL2113" i="1" s="1"/>
  <c r="AM2113" i="1" s="1"/>
  <c r="Y2113" i="1"/>
  <c r="AM2115" i="1"/>
  <c r="AT2114" i="1"/>
  <c r="AT2113" i="1"/>
  <c r="AQ2113" i="1"/>
  <c r="AQ2112" i="1"/>
  <c r="AL2112" i="1"/>
  <c r="AM2112" i="1" s="1"/>
  <c r="Z2110" i="1"/>
  <c r="AL2110" i="1" s="1"/>
  <c r="AM2110" i="1" s="1"/>
  <c r="Y2110" i="1"/>
  <c r="AQ2149" i="1"/>
  <c r="AL2149" i="1"/>
  <c r="AM2149" i="1" s="1"/>
  <c r="AT2148" i="1"/>
  <c r="AV2148" i="1" s="1"/>
  <c r="AU2148" i="1" s="1"/>
  <c r="AQ2147" i="1"/>
  <c r="AL2147" i="1"/>
  <c r="AM2147" i="1" s="1"/>
  <c r="AQ2146" i="1"/>
  <c r="AL2146" i="1"/>
  <c r="AM2146" i="1" s="1"/>
  <c r="AQ2145" i="1"/>
  <c r="AL2145" i="1"/>
  <c r="AM2145" i="1" s="1"/>
  <c r="AQ2144" i="1"/>
  <c r="AL2144" i="1"/>
  <c r="AM2144" i="1" s="1"/>
  <c r="AQ2143" i="1"/>
  <c r="AL2143" i="1"/>
  <c r="AM2143" i="1" s="1"/>
  <c r="AQ2142" i="1"/>
  <c r="AL2142" i="1"/>
  <c r="AM2142" i="1" s="1"/>
  <c r="AT2141" i="1"/>
  <c r="AV2141" i="1" s="1"/>
  <c r="AU2141" i="1" s="1"/>
  <c r="AQ2140" i="1"/>
  <c r="AL2140" i="1"/>
  <c r="AM2140" i="1" s="1"/>
  <c r="AQ2154" i="1"/>
  <c r="AL2154" i="1"/>
  <c r="AM2154" i="1" s="1"/>
  <c r="AQ2153" i="1"/>
  <c r="AL2153" i="1"/>
  <c r="AM2153" i="1" s="1"/>
  <c r="AQ2152" i="1"/>
  <c r="AL2152" i="1"/>
  <c r="AM2152" i="1" s="1"/>
  <c r="AQ2151" i="1"/>
  <c r="AL2151" i="1"/>
  <c r="AM2151" i="1" s="1"/>
  <c r="AQ2150" i="1"/>
  <c r="AL2150" i="1"/>
  <c r="AM2150" i="1" s="1"/>
  <c r="Z2109" i="1"/>
  <c r="AL2109" i="1" s="1"/>
  <c r="AM2109" i="1" s="1"/>
  <c r="Y2109" i="1"/>
  <c r="AQ2111" i="1"/>
  <c r="AL2111" i="1"/>
  <c r="AM2111" i="1" s="1"/>
  <c r="AT2110" i="1"/>
  <c r="AT2109" i="1"/>
  <c r="AV2109" i="1" s="1"/>
  <c r="AU2109" i="1" s="1"/>
  <c r="AQ2118" i="1"/>
  <c r="AL2118" i="1"/>
  <c r="AM2118" i="1" s="1"/>
  <c r="AQ2117" i="1"/>
  <c r="AL2117" i="1"/>
  <c r="AM2117" i="1" s="1"/>
  <c r="AT2116" i="1"/>
  <c r="AV2116" i="1" s="1"/>
  <c r="AU2116" i="1" s="1"/>
  <c r="AL2116" i="1"/>
  <c r="AM2116" i="1" s="1"/>
  <c r="AQ2108" i="1"/>
  <c r="AQ2107" i="1"/>
  <c r="AL2107" i="1"/>
  <c r="AM2107" i="1" s="1"/>
  <c r="AQ2106" i="1"/>
  <c r="AL2106" i="1"/>
  <c r="AM2106" i="1" s="1"/>
  <c r="AQ2105" i="1"/>
  <c r="AL2105" i="1"/>
  <c r="AM2105" i="1" s="1"/>
  <c r="AS2090" i="1"/>
  <c r="Z2104" i="1"/>
  <c r="AL2104" i="1" s="1"/>
  <c r="AM2104" i="1" s="1"/>
  <c r="Y2104" i="1"/>
  <c r="Y2103" i="1"/>
  <c r="Z2103" i="1"/>
  <c r="AL2103" i="1" s="1"/>
  <c r="AM2103" i="1" s="1"/>
  <c r="AS2063" i="1"/>
  <c r="AT2063" i="1" s="1"/>
  <c r="Z2101" i="1"/>
  <c r="AL2101" i="1" s="1"/>
  <c r="AM2101" i="1" s="1"/>
  <c r="Y2101" i="1"/>
  <c r="Z2100" i="1"/>
  <c r="AL2100" i="1" s="1"/>
  <c r="AM2100" i="1" s="1"/>
  <c r="Y2100" i="1"/>
  <c r="Z2099" i="1"/>
  <c r="AL2099" i="1" s="1"/>
  <c r="AM2099" i="1" s="1"/>
  <c r="Y2099" i="1"/>
  <c r="Z2098" i="1"/>
  <c r="AL2098" i="1" s="1"/>
  <c r="AM2098" i="1" s="1"/>
  <c r="Y2098" i="1"/>
  <c r="AS2067" i="1"/>
  <c r="Z2096" i="1"/>
  <c r="AL2096" i="1" s="1"/>
  <c r="AM2096" i="1" s="1"/>
  <c r="Y2096" i="1"/>
  <c r="AT2101" i="1"/>
  <c r="AV2101" i="1" s="1"/>
  <c r="AU2101" i="1" s="1"/>
  <c r="AT2100" i="1"/>
  <c r="AT2099" i="1"/>
  <c r="AV2099" i="1" s="1"/>
  <c r="AU2099" i="1" s="1"/>
  <c r="AT2098" i="1"/>
  <c r="AQ2097" i="1"/>
  <c r="AL2097" i="1"/>
  <c r="AM2097" i="1" s="1"/>
  <c r="AT2096" i="1"/>
  <c r="AQ2096" i="1"/>
  <c r="AT2104" i="1"/>
  <c r="AT2103" i="1"/>
  <c r="AQ2102" i="1"/>
  <c r="AL2102" i="1"/>
  <c r="AM2102" i="1" s="1"/>
  <c r="Y2095" i="1"/>
  <c r="Z2095" i="1"/>
  <c r="AL2095" i="1" s="1"/>
  <c r="AM2095" i="1" s="1"/>
  <c r="AD2090" i="1"/>
  <c r="AQ2093" i="1"/>
  <c r="AL2093" i="1"/>
  <c r="AM2093" i="1" s="1"/>
  <c r="AQ2092" i="1"/>
  <c r="AL2092" i="1"/>
  <c r="AM2092" i="1" s="1"/>
  <c r="Z2090" i="1"/>
  <c r="AL2090" i="1" s="1"/>
  <c r="AM2090" i="1" s="1"/>
  <c r="Y2090" i="1"/>
  <c r="AS1957" i="1"/>
  <c r="AQ2086" i="1"/>
  <c r="AL2086" i="1"/>
  <c r="AM2086" i="1" s="1"/>
  <c r="AQ2085" i="1"/>
  <c r="AL2085" i="1"/>
  <c r="AM2085" i="1" s="1"/>
  <c r="AQ2084" i="1"/>
  <c r="AL2084" i="1"/>
  <c r="AM2084" i="1" s="1"/>
  <c r="AQ2083" i="1"/>
  <c r="AL2083" i="1"/>
  <c r="AM2083" i="1" s="1"/>
  <c r="AQ2082" i="1"/>
  <c r="AL2082" i="1"/>
  <c r="AM2082" i="1" s="1"/>
  <c r="AQ2081" i="1"/>
  <c r="AL2081" i="1"/>
  <c r="AM2081" i="1" s="1"/>
  <c r="AQ2080" i="1"/>
  <c r="AL2080" i="1"/>
  <c r="AM2080" i="1" s="1"/>
  <c r="AQ2079" i="1"/>
  <c r="AL2079" i="1"/>
  <c r="AM2079" i="1" s="1"/>
  <c r="AQ2078" i="1"/>
  <c r="AL2078" i="1"/>
  <c r="AM2078" i="1" s="1"/>
  <c r="AQ2077" i="1"/>
  <c r="AL2077" i="1"/>
  <c r="AM2077" i="1" s="1"/>
  <c r="AQ2091" i="1"/>
  <c r="AL2091" i="1"/>
  <c r="AM2091" i="1" s="1"/>
  <c r="AT2090" i="1"/>
  <c r="AQ2089" i="1"/>
  <c r="AL2089" i="1"/>
  <c r="AM2089" i="1" s="1"/>
  <c r="AQ2088" i="1"/>
  <c r="AL2088" i="1"/>
  <c r="AM2088" i="1" s="1"/>
  <c r="AQ2087" i="1"/>
  <c r="AL2087" i="1"/>
  <c r="AM2087" i="1" s="1"/>
  <c r="AQ2139" i="1"/>
  <c r="AL2139" i="1"/>
  <c r="AM2139" i="1" s="1"/>
  <c r="AQ2138" i="1"/>
  <c r="AL2138" i="1"/>
  <c r="AM2138" i="1" s="1"/>
  <c r="AQ2137" i="1"/>
  <c r="AL2137" i="1"/>
  <c r="AM2137" i="1" s="1"/>
  <c r="AQ2136" i="1"/>
  <c r="AL2136" i="1"/>
  <c r="AM2136" i="1" s="1"/>
  <c r="AQ2135" i="1"/>
  <c r="AL2135" i="1"/>
  <c r="AM2135" i="1" s="1"/>
  <c r="AV2391" i="1"/>
  <c r="AU2391" i="1" s="1"/>
  <c r="AT2391" i="1"/>
  <c r="AQ2391" i="1"/>
  <c r="AL2391" i="1"/>
  <c r="AM2391" i="1" s="1"/>
  <c r="AV2390" i="1"/>
  <c r="AU2390" i="1" s="1"/>
  <c r="AT2390" i="1"/>
  <c r="AQ2390" i="1"/>
  <c r="AL2390" i="1"/>
  <c r="AM2390" i="1" s="1"/>
  <c r="AV2389" i="1"/>
  <c r="AU2389" i="1" s="1"/>
  <c r="AT2389" i="1"/>
  <c r="AQ2389" i="1"/>
  <c r="AL2389" i="1"/>
  <c r="AM2389" i="1" s="1"/>
  <c r="AV2388" i="1"/>
  <c r="AU2388" i="1" s="1"/>
  <c r="AT2388" i="1"/>
  <c r="AQ2388" i="1"/>
  <c r="AL2388" i="1"/>
  <c r="AM2388" i="1" s="1"/>
  <c r="AT2387" i="1"/>
  <c r="AQ2387" i="1"/>
  <c r="AL2387" i="1"/>
  <c r="AM2387" i="1" s="1"/>
  <c r="AT2386" i="1"/>
  <c r="AL2386" i="1"/>
  <c r="AM2386" i="1" s="1"/>
  <c r="AT2384" i="1"/>
  <c r="AV2384" i="1" s="1"/>
  <c r="AU2384" i="1" s="1"/>
  <c r="AL2384" i="1"/>
  <c r="AM2384" i="1" s="1"/>
  <c r="AV2383" i="1"/>
  <c r="AU2383" i="1" s="1"/>
  <c r="AT2383" i="1"/>
  <c r="AQ2383" i="1"/>
  <c r="AT2396" i="1"/>
  <c r="AT2395" i="1"/>
  <c r="AV2395" i="1" s="1"/>
  <c r="AU2395" i="1" s="1"/>
  <c r="AL2395" i="1"/>
  <c r="AM2395" i="1" s="1"/>
  <c r="AT2394" i="1"/>
  <c r="AV2394" i="1" s="1"/>
  <c r="AU2394" i="1" s="1"/>
  <c r="AL2394" i="1"/>
  <c r="AM2394" i="1" s="1"/>
  <c r="AT2393" i="1"/>
  <c r="AV2393" i="1" s="1"/>
  <c r="AU2393" i="1" s="1"/>
  <c r="AL2393" i="1"/>
  <c r="AM2393" i="1" s="1"/>
  <c r="AT2392" i="1"/>
  <c r="AV2392" i="1" s="1"/>
  <c r="AU2392" i="1" s="1"/>
  <c r="AL2392" i="1"/>
  <c r="AM2392" i="1" s="1"/>
  <c r="AV2291" i="1"/>
  <c r="AU2291" i="1" s="1"/>
  <c r="AT2291" i="1"/>
  <c r="AL2291" i="1"/>
  <c r="AM2291" i="1" s="1"/>
  <c r="AT2290" i="1"/>
  <c r="AV2290" i="1" s="1"/>
  <c r="AU2290" i="1" s="1"/>
  <c r="AL2290" i="1"/>
  <c r="AM2290" i="1" s="1"/>
  <c r="AT2289" i="1"/>
  <c r="AQ2288" i="1"/>
  <c r="AL2288" i="1"/>
  <c r="AM2288" i="1" s="1"/>
  <c r="AQ2287" i="1"/>
  <c r="AL2287" i="1"/>
  <c r="AM2287" i="1" s="1"/>
  <c r="AQ2286" i="1"/>
  <c r="AL2286" i="1"/>
  <c r="AM2286" i="1" s="1"/>
  <c r="AQ2285" i="1"/>
  <c r="AL2285" i="1"/>
  <c r="AM2285" i="1" s="1"/>
  <c r="AQ2284" i="1"/>
  <c r="AL2284" i="1"/>
  <c r="AM2284" i="1" s="1"/>
  <c r="AQ2283" i="1"/>
  <c r="AL2283" i="1"/>
  <c r="AM2283" i="1" s="1"/>
  <c r="AQ2282" i="1"/>
  <c r="AL2282" i="1"/>
  <c r="AM2282" i="1" s="1"/>
  <c r="AQ2322" i="1"/>
  <c r="AL2322" i="1"/>
  <c r="AM2322" i="1" s="1"/>
  <c r="AQ2295" i="1"/>
  <c r="AL2295" i="1"/>
  <c r="AM2295" i="1" s="1"/>
  <c r="AQ2294" i="1"/>
  <c r="AL2294" i="1"/>
  <c r="AM2294" i="1" s="1"/>
  <c r="AL2293" i="1"/>
  <c r="AM2293" i="1" s="1"/>
  <c r="AT2292" i="1"/>
  <c r="AV2292" i="1" s="1"/>
  <c r="AU2292" i="1" s="1"/>
  <c r="AR2292" i="1"/>
  <c r="AV2477" i="1"/>
  <c r="AU2477" i="1" s="1"/>
  <c r="AT2477" i="1"/>
  <c r="AQ2477" i="1"/>
  <c r="AL2477" i="1"/>
  <c r="AM2477" i="1" s="1"/>
  <c r="AV2476" i="1"/>
  <c r="AU2476" i="1"/>
  <c r="AT2476" i="1"/>
  <c r="AQ2476" i="1"/>
  <c r="AL2476" i="1"/>
  <c r="AM2476" i="1" s="1"/>
  <c r="AQ2382" i="1"/>
  <c r="AV2380" i="1"/>
  <c r="AU2380" i="1" s="1"/>
  <c r="AT2380" i="1"/>
  <c r="AQ2380" i="1"/>
  <c r="AV2379" i="1"/>
  <c r="AU2379" i="1" s="1"/>
  <c r="AT2379" i="1"/>
  <c r="AQ2379" i="1"/>
  <c r="AV2378" i="1"/>
  <c r="AU2378" i="1" s="1"/>
  <c r="AT2378" i="1"/>
  <c r="AQ2378" i="1"/>
  <c r="AQ2323" i="1"/>
  <c r="AL2323" i="1"/>
  <c r="AM2323" i="1" s="1"/>
  <c r="AQ2281" i="1"/>
  <c r="AV2221" i="1"/>
  <c r="AU2221" i="1"/>
  <c r="AT2221" i="1"/>
  <c r="AL2221" i="1"/>
  <c r="AM2221" i="1" s="1"/>
  <c r="AT2188" i="1"/>
  <c r="AV2188" i="1" s="1"/>
  <c r="AU2188" i="1" s="1"/>
  <c r="AM2188" i="1"/>
  <c r="AT2168" i="1"/>
  <c r="AV2168" i="1" s="1"/>
  <c r="AU2168" i="1" s="1"/>
  <c r="AQ2155" i="1"/>
  <c r="AL2155" i="1"/>
  <c r="AM2155" i="1" s="1"/>
  <c r="AQ2134" i="1"/>
  <c r="AL2134" i="1"/>
  <c r="AM2134" i="1" s="1"/>
  <c r="AQ2133" i="1"/>
  <c r="AL2133" i="1"/>
  <c r="AM2133" i="1" s="1"/>
  <c r="AQ2132" i="1"/>
  <c r="AL2132" i="1"/>
  <c r="AM2132" i="1" s="1"/>
  <c r="AQ2278" i="1"/>
  <c r="AL2278" i="1"/>
  <c r="AM2278" i="1" s="1"/>
  <c r="AQ2131" i="1"/>
  <c r="AL2131" i="1"/>
  <c r="AM2131" i="1" s="1"/>
  <c r="AQ2130" i="1"/>
  <c r="AL2130" i="1"/>
  <c r="AM2130" i="1" s="1"/>
  <c r="AQ2129" i="1"/>
  <c r="AL2129" i="1"/>
  <c r="AM2129" i="1" s="1"/>
  <c r="AQ2128" i="1"/>
  <c r="AL2128" i="1"/>
  <c r="AM2128" i="1" s="1"/>
  <c r="AQ2127" i="1"/>
  <c r="AL2127" i="1"/>
  <c r="AM2127" i="1" s="1"/>
  <c r="AQ2126" i="1"/>
  <c r="AL2126" i="1"/>
  <c r="AM2126" i="1" s="1"/>
  <c r="AQ2280" i="1"/>
  <c r="AL2280" i="1"/>
  <c r="AM2280" i="1" s="1"/>
  <c r="AQ2279" i="1"/>
  <c r="AL2279" i="1"/>
  <c r="AM2279" i="1" s="1"/>
  <c r="AQ2125" i="1"/>
  <c r="AL2125" i="1"/>
  <c r="AM2125" i="1" s="1"/>
  <c r="AY2121" i="1"/>
  <c r="AS2042" i="1"/>
  <c r="Z2067" i="1"/>
  <c r="AL2067" i="1" s="1"/>
  <c r="AM2067" i="1" s="1"/>
  <c r="Y2067" i="1"/>
  <c r="AS2060" i="1"/>
  <c r="Z2066" i="1"/>
  <c r="AL2066" i="1" s="1"/>
  <c r="AM2066" i="1" s="1"/>
  <c r="Y2066" i="1"/>
  <c r="AQ2074" i="1"/>
  <c r="AL2074" i="1"/>
  <c r="AM2074" i="1" s="1"/>
  <c r="AQ2073" i="1"/>
  <c r="AL2073" i="1"/>
  <c r="AM2073" i="1" s="1"/>
  <c r="AQ2072" i="1"/>
  <c r="AL2072" i="1"/>
  <c r="AM2072" i="1" s="1"/>
  <c r="AQ2071" i="1"/>
  <c r="AL2071" i="1"/>
  <c r="AM2071" i="1" s="1"/>
  <c r="AQ2070" i="1"/>
  <c r="AL2070" i="1"/>
  <c r="AM2070" i="1" s="1"/>
  <c r="AQ2069" i="1"/>
  <c r="AL2069" i="1"/>
  <c r="AM2069" i="1" s="1"/>
  <c r="AQ2068" i="1"/>
  <c r="AL2068" i="1"/>
  <c r="AM2068" i="1" s="1"/>
  <c r="AQ2094" i="1"/>
  <c r="AL2094" i="1"/>
  <c r="AM2094" i="1" s="1"/>
  <c r="AQ2076" i="1"/>
  <c r="AL2076" i="1"/>
  <c r="AM2076" i="1" s="1"/>
  <c r="AQ2075" i="1"/>
  <c r="AL2075" i="1"/>
  <c r="AM2075" i="1" s="1"/>
  <c r="AD2058" i="1"/>
  <c r="Z2064" i="1"/>
  <c r="Y2064" i="1"/>
  <c r="AS2033" i="1"/>
  <c r="AT2033" i="1" s="1"/>
  <c r="AT2067" i="1"/>
  <c r="AT2066" i="1"/>
  <c r="AQ2065" i="1"/>
  <c r="AL2065" i="1"/>
  <c r="AM2065" i="1" s="1"/>
  <c r="AT2064" i="1"/>
  <c r="AV2064" i="1" s="1"/>
  <c r="AU2064" i="1" s="1"/>
  <c r="AL2064" i="1"/>
  <c r="AM2064" i="1" s="1"/>
  <c r="Y2063" i="1"/>
  <c r="Z2063" i="1"/>
  <c r="AL2063" i="1" s="1"/>
  <c r="AM2063" i="1" s="1"/>
  <c r="AS2040" i="1"/>
  <c r="AT2040" i="1" s="1"/>
  <c r="AS1961" i="1"/>
  <c r="AD2060" i="1"/>
  <c r="Y2060" i="1"/>
  <c r="Z2060" i="1"/>
  <c r="AL2060" i="1" s="1"/>
  <c r="AM2060" i="1" s="1"/>
  <c r="AQ2062" i="1"/>
  <c r="AL2062" i="1"/>
  <c r="AM2062" i="1" s="1"/>
  <c r="AQ2061" i="1"/>
  <c r="AL2061" i="1"/>
  <c r="AM2061" i="1" s="1"/>
  <c r="AQ2119" i="1"/>
  <c r="AL2119" i="1"/>
  <c r="AM2119" i="1" s="1"/>
  <c r="AT2095" i="1"/>
  <c r="AV2095" i="1" s="1"/>
  <c r="AU2095" i="1" s="1"/>
  <c r="Z2059" i="1"/>
  <c r="Y2059" i="1"/>
  <c r="Z2058" i="1"/>
  <c r="AL2058" i="1" s="1"/>
  <c r="AM2058" i="1" s="1"/>
  <c r="Y2058" i="1"/>
  <c r="AS2055" i="1"/>
  <c r="Z2055" i="1"/>
  <c r="Y2055" i="1"/>
  <c r="Z2053" i="1"/>
  <c r="Y2053" i="1"/>
  <c r="Z2052" i="1"/>
  <c r="AL2052" i="1" s="1"/>
  <c r="AM2052" i="1" s="1"/>
  <c r="Y2052" i="1"/>
  <c r="AD2021" i="1"/>
  <c r="AL2046" i="1"/>
  <c r="AM2046" i="1" s="1"/>
  <c r="Z2045" i="1"/>
  <c r="Y2045" i="1"/>
  <c r="AT2035" i="1"/>
  <c r="AT2038" i="1"/>
  <c r="AQ2124" i="1"/>
  <c r="Z2124" i="1"/>
  <c r="Z2043" i="1"/>
  <c r="AL2043" i="1" s="1"/>
  <c r="AM2043" i="1" s="1"/>
  <c r="Y2043" i="1"/>
  <c r="AT2043" i="1"/>
  <c r="AD2042" i="1"/>
  <c r="Y2042" i="1"/>
  <c r="Z2042" i="1"/>
  <c r="AL2042" i="1" s="1"/>
  <c r="AM2042" i="1" s="1"/>
  <c r="Z2040" i="1"/>
  <c r="Y2040" i="1"/>
  <c r="Y2038" i="1"/>
  <c r="Z2038" i="1"/>
  <c r="AV2038" i="1" s="1"/>
  <c r="AU2038" i="1" s="1"/>
  <c r="AQ2054" i="1"/>
  <c r="AL2054" i="1"/>
  <c r="AM2054" i="1" s="1"/>
  <c r="AT2053" i="1"/>
  <c r="AV2053" i="1" s="1"/>
  <c r="AU2053" i="1" s="1"/>
  <c r="AL2053" i="1"/>
  <c r="AM2053" i="1" s="1"/>
  <c r="AT2052" i="1"/>
  <c r="AV2052" i="1" s="1"/>
  <c r="AU2052" i="1" s="1"/>
  <c r="AQ2051" i="1"/>
  <c r="AL2051" i="1"/>
  <c r="AM2051" i="1" s="1"/>
  <c r="AQ2050" i="1"/>
  <c r="AL2050" i="1"/>
  <c r="AM2050" i="1" s="1"/>
  <c r="AQ2049" i="1"/>
  <c r="AL2049" i="1"/>
  <c r="AM2049" i="1" s="1"/>
  <c r="AQ2048" i="1"/>
  <c r="AL2048" i="1"/>
  <c r="AM2048" i="1" s="1"/>
  <c r="AQ2047" i="1"/>
  <c r="AL2047" i="1"/>
  <c r="AM2047" i="1" s="1"/>
  <c r="AQ2046" i="1"/>
  <c r="AT2045" i="1"/>
  <c r="AV2045" i="1" s="1"/>
  <c r="AU2045" i="1" s="1"/>
  <c r="AL2045" i="1"/>
  <c r="AM2045" i="1" s="1"/>
  <c r="AQ2044" i="1"/>
  <c r="AL2044" i="1"/>
  <c r="AM2044" i="1" s="1"/>
  <c r="AT2042" i="1"/>
  <c r="AQ2041" i="1"/>
  <c r="AL2041" i="1"/>
  <c r="AM2041" i="1" s="1"/>
  <c r="AQ2121" i="1"/>
  <c r="AL2121" i="1"/>
  <c r="AM2121" i="1" s="1"/>
  <c r="AQ2120" i="1"/>
  <c r="AL2120" i="1"/>
  <c r="AM2120" i="1" s="1"/>
  <c r="AT2059" i="1"/>
  <c r="AV2059" i="1" s="1"/>
  <c r="AU2059" i="1" s="1"/>
  <c r="AL2059" i="1"/>
  <c r="AM2059" i="1" s="1"/>
  <c r="AT2058" i="1"/>
  <c r="AQ2057" i="1"/>
  <c r="AL2057" i="1"/>
  <c r="AM2057" i="1" s="1"/>
  <c r="AQ2056" i="1"/>
  <c r="AL2056" i="1"/>
  <c r="AM2056" i="1" s="1"/>
  <c r="AT2055" i="1"/>
  <c r="AV2055" i="1" s="1"/>
  <c r="AU2055" i="1" s="1"/>
  <c r="AQ2055" i="1"/>
  <c r="AL2055" i="1"/>
  <c r="AM2055" i="1" s="1"/>
  <c r="AQ2123" i="1"/>
  <c r="AL2123" i="1"/>
  <c r="AM2123" i="1" s="1"/>
  <c r="AQ2122" i="1"/>
  <c r="AL2122" i="1"/>
  <c r="AM2122" i="1" s="1"/>
  <c r="AL2040" i="1"/>
  <c r="AM2040" i="1" s="1"/>
  <c r="AQ2039" i="1"/>
  <c r="AL2039" i="1"/>
  <c r="AM2039" i="1" s="1"/>
  <c r="Z2035" i="1"/>
  <c r="Y2035" i="1"/>
  <c r="AL2038" i="1"/>
  <c r="AM2038" i="1" s="1"/>
  <c r="AQ2037" i="1"/>
  <c r="AL2037" i="1"/>
  <c r="AM2037" i="1" s="1"/>
  <c r="AQ2036" i="1"/>
  <c r="AL2036" i="1"/>
  <c r="AM2036" i="1" s="1"/>
  <c r="AT2024" i="1"/>
  <c r="AT2025" i="1"/>
  <c r="AT2026" i="1"/>
  <c r="AT2027" i="1"/>
  <c r="AT2028" i="1"/>
  <c r="AT2029" i="1"/>
  <c r="AT2032" i="1"/>
  <c r="AT2034" i="1"/>
  <c r="AT2381" i="1"/>
  <c r="AV2381" i="1"/>
  <c r="AU2381" i="1" s="1"/>
  <c r="AT2475" i="1"/>
  <c r="AV2475" i="1"/>
  <c r="AU2475" i="1" s="1"/>
  <c r="AT2628" i="1"/>
  <c r="AV2628" i="1"/>
  <c r="AU2628" i="1" s="1"/>
  <c r="Z2034" i="1"/>
  <c r="AV2034" i="1" s="1"/>
  <c r="AU2034" i="1" s="1"/>
  <c r="Y2034" i="1"/>
  <c r="Z2033" i="1"/>
  <c r="AL2033" i="1" s="1"/>
  <c r="AM2033" i="1" s="1"/>
  <c r="Y2033" i="1"/>
  <c r="AL2035" i="1"/>
  <c r="AM2035" i="1" s="1"/>
  <c r="Y2032" i="1"/>
  <c r="Z2032" i="1"/>
  <c r="AV2032" i="1" s="1"/>
  <c r="AU2032" i="1" s="1"/>
  <c r="Z2029" i="1"/>
  <c r="Y2029" i="1"/>
  <c r="Z2028" i="1"/>
  <c r="Y2028" i="1"/>
  <c r="Z2027" i="1"/>
  <c r="Y2027" i="1"/>
  <c r="Z2026" i="1"/>
  <c r="Y2026" i="1"/>
  <c r="Z2025" i="1"/>
  <c r="Y2025" i="1"/>
  <c r="Y2024" i="1"/>
  <c r="Z2024" i="1"/>
  <c r="Y2021" i="1"/>
  <c r="Z2021" i="1"/>
  <c r="AT2019" i="1"/>
  <c r="AT2020" i="1"/>
  <c r="AQ2023" i="1"/>
  <c r="AL2023" i="1"/>
  <c r="AM2023" i="1" s="1"/>
  <c r="AQ2022" i="1"/>
  <c r="AL2022" i="1"/>
  <c r="AM2022" i="1" s="1"/>
  <c r="AL2032" i="1"/>
  <c r="AM2032" i="1" s="1"/>
  <c r="AQ2031" i="1"/>
  <c r="AL2031" i="1"/>
  <c r="AM2031" i="1" s="1"/>
  <c r="AQ2030" i="1"/>
  <c r="AL2030" i="1"/>
  <c r="AM2030" i="1" s="1"/>
  <c r="AL2029" i="1"/>
  <c r="AM2029" i="1" s="1"/>
  <c r="Y2020" i="1"/>
  <c r="Z2020" i="1"/>
  <c r="Z2019" i="1"/>
  <c r="Y2019" i="1"/>
  <c r="Z2018" i="1"/>
  <c r="Y2018" i="1"/>
  <c r="AD1957" i="1"/>
  <c r="AT2011" i="1"/>
  <c r="AT2012" i="1"/>
  <c r="AT2014" i="1"/>
  <c r="AT2015" i="1"/>
  <c r="AT2016" i="1"/>
  <c r="AT2017" i="1"/>
  <c r="AT2018" i="1"/>
  <c r="AV2018" i="1" s="1"/>
  <c r="AU2018" i="1" s="1"/>
  <c r="Z2017" i="1"/>
  <c r="AV2017" i="1" s="1"/>
  <c r="AU2017" i="1" s="1"/>
  <c r="Y2017" i="1"/>
  <c r="Z2016" i="1"/>
  <c r="AL2016" i="1" s="1"/>
  <c r="AM2016" i="1" s="1"/>
  <c r="Y2016" i="1"/>
  <c r="Z2015" i="1"/>
  <c r="Y2015" i="1"/>
  <c r="Y2014" i="1"/>
  <c r="Z2014" i="1"/>
  <c r="AV2014" i="1" s="1"/>
  <c r="AU2014" i="1" s="1"/>
  <c r="AL2018" i="1"/>
  <c r="AM2018" i="1" s="1"/>
  <c r="AQ2016" i="1"/>
  <c r="AL2014" i="1"/>
  <c r="AM2014" i="1" s="1"/>
  <c r="AQ2381" i="1"/>
  <c r="AQ2020" i="1"/>
  <c r="AL2019" i="1"/>
  <c r="AM2019" i="1" s="1"/>
  <c r="AS1964" i="1"/>
  <c r="AS1955" i="1"/>
  <c r="Z2012" i="1"/>
  <c r="AV2012" i="1" s="1"/>
  <c r="AU2012" i="1" s="1"/>
  <c r="Y2012" i="1"/>
  <c r="AL1992" i="1"/>
  <c r="AM1992" i="1" s="1"/>
  <c r="AL1993" i="1"/>
  <c r="AM1993" i="1"/>
  <c r="AL1994" i="1"/>
  <c r="AM1994" i="1" s="1"/>
  <c r="AL1995" i="1"/>
  <c r="AM1995" i="1" s="1"/>
  <c r="AL1996" i="1"/>
  <c r="AM1996" i="1" s="1"/>
  <c r="AL1997" i="1"/>
  <c r="AM1997" i="1"/>
  <c r="AL1998" i="1"/>
  <c r="AM1998" i="1" s="1"/>
  <c r="Z2011" i="1"/>
  <c r="AV2011" i="1" s="1"/>
  <c r="AU2011" i="1" s="1"/>
  <c r="Y2011" i="1"/>
  <c r="Y2004" i="1"/>
  <c r="Z2004" i="1"/>
  <c r="AS1963" i="1"/>
  <c r="Y2009" i="1"/>
  <c r="Z2009" i="1"/>
  <c r="AT2004" i="1"/>
  <c r="AV2004" i="1"/>
  <c r="AU2004" i="1" s="1"/>
  <c r="AT2005" i="1"/>
  <c r="AT2006" i="1"/>
  <c r="AT2009" i="1"/>
  <c r="AV2009" i="1" s="1"/>
  <c r="AU2009" i="1" s="1"/>
  <c r="AL2012" i="1"/>
  <c r="AM2012" i="1" s="1"/>
  <c r="AQ2010" i="1"/>
  <c r="AL2010" i="1"/>
  <c r="AM2010" i="1" s="1"/>
  <c r="AL2009" i="1"/>
  <c r="AM2009" i="1" s="1"/>
  <c r="Z2006" i="1"/>
  <c r="AL2006" i="1" s="1"/>
  <c r="AM2006" i="1" s="1"/>
  <c r="Y2006" i="1"/>
  <c r="Z2005" i="1"/>
  <c r="Y2005" i="1"/>
  <c r="AT2003" i="1"/>
  <c r="Z2003" i="1"/>
  <c r="AV2003" i="1" s="1"/>
  <c r="AU2003" i="1" s="1"/>
  <c r="Y2003" i="1"/>
  <c r="AT2002" i="1"/>
  <c r="Z2002" i="1"/>
  <c r="Y2002" i="1"/>
  <c r="AS1999" i="1"/>
  <c r="AT1999" i="1" s="1"/>
  <c r="Z1999" i="1"/>
  <c r="AL1999" i="1" s="1"/>
  <c r="AM1999" i="1" s="1"/>
  <c r="Y1999" i="1"/>
  <c r="AS1990" i="1"/>
  <c r="AT1990" i="1" s="1"/>
  <c r="AQ2001" i="1"/>
  <c r="AL2001" i="1"/>
  <c r="AM2001" i="1" s="1"/>
  <c r="AQ2000" i="1"/>
  <c r="AL2000" i="1"/>
  <c r="AM2000" i="1" s="1"/>
  <c r="AQ1998" i="1"/>
  <c r="AQ1997" i="1"/>
  <c r="AQ1996" i="1"/>
  <c r="AQ1995" i="1"/>
  <c r="AQ1994" i="1"/>
  <c r="AQ1993" i="1"/>
  <c r="AQ2007" i="1"/>
  <c r="AL2007" i="1"/>
  <c r="AM2007" i="1" s="1"/>
  <c r="AL2005" i="1"/>
  <c r="AM2005" i="1" s="1"/>
  <c r="AL2004" i="1"/>
  <c r="AM2004" i="1" s="1"/>
  <c r="AT1985" i="1"/>
  <c r="AT1986" i="1"/>
  <c r="AT1987" i="1"/>
  <c r="AT1991" i="1"/>
  <c r="Z1991" i="1"/>
  <c r="Y1991" i="1"/>
  <c r="AS1958" i="1"/>
  <c r="Y1990" i="1"/>
  <c r="Z1990" i="1"/>
  <c r="Z1987" i="1"/>
  <c r="Y1987" i="1"/>
  <c r="Z1986" i="1"/>
  <c r="Y1986" i="1"/>
  <c r="Z1985" i="1"/>
  <c r="Y1985" i="1"/>
  <c r="AL1984" i="1"/>
  <c r="AM1984" i="1" s="1"/>
  <c r="AT1981" i="1"/>
  <c r="AT1983" i="1"/>
  <c r="Z1983" i="1"/>
  <c r="Y1983" i="1"/>
  <c r="Y1981" i="1"/>
  <c r="Z1981" i="1"/>
  <c r="AS1975" i="1"/>
  <c r="AL1986" i="1"/>
  <c r="AM1986" i="1" s="1"/>
  <c r="AL1985" i="1"/>
  <c r="AM1985" i="1" s="1"/>
  <c r="AQ1982" i="1"/>
  <c r="AL1982" i="1"/>
  <c r="AM1982" i="1" s="1"/>
  <c r="AQ1980" i="1"/>
  <c r="AL1980" i="1"/>
  <c r="AM1980" i="1" s="1"/>
  <c r="Z1977" i="1"/>
  <c r="AL1977" i="1" s="1"/>
  <c r="AM1977" i="1" s="1"/>
  <c r="Y1977" i="1"/>
  <c r="AT1975" i="1"/>
  <c r="AT1976" i="1"/>
  <c r="AT1977" i="1"/>
  <c r="AV1977" i="1" s="1"/>
  <c r="AU1977" i="1" s="1"/>
  <c r="AQ1989" i="1"/>
  <c r="AL1989" i="1"/>
  <c r="AM1989" i="1" s="1"/>
  <c r="AQ1988" i="1"/>
  <c r="AL1988" i="1"/>
  <c r="AM1988" i="1" s="1"/>
  <c r="AQ1979" i="1"/>
  <c r="AL1979" i="1"/>
  <c r="AM1979" i="1" s="1"/>
  <c r="AQ1978" i="1"/>
  <c r="AL1978" i="1"/>
  <c r="AM1978" i="1" s="1"/>
  <c r="AQ1977" i="1"/>
  <c r="AQ2008" i="1"/>
  <c r="AL2008" i="1"/>
  <c r="AM2008" i="1" s="1"/>
  <c r="AQ1992" i="1"/>
  <c r="Z1976" i="1"/>
  <c r="AV1976" i="1" s="1"/>
  <c r="AU1976" i="1" s="1"/>
  <c r="Y1976" i="1"/>
  <c r="Z1975" i="1"/>
  <c r="AL1975" i="1" s="1"/>
  <c r="AM1975" i="1" s="1"/>
  <c r="Y1975" i="1"/>
  <c r="AD1961" i="1"/>
  <c r="AD1958" i="1"/>
  <c r="AT1972" i="1"/>
  <c r="Z1972" i="1"/>
  <c r="AL1972" i="1" s="1"/>
  <c r="AM1972" i="1" s="1"/>
  <c r="Y1972" i="1"/>
  <c r="AT1970" i="1"/>
  <c r="Z1970" i="1"/>
  <c r="Y1970" i="1"/>
  <c r="AD1964" i="1"/>
  <c r="AT1967" i="1"/>
  <c r="AT1966" i="1"/>
  <c r="AQ1969" i="1"/>
  <c r="AL1969" i="1"/>
  <c r="AM1969" i="1" s="1"/>
  <c r="AQ1974" i="1"/>
  <c r="AL1974" i="1"/>
  <c r="AM1974" i="1" s="1"/>
  <c r="AQ1973" i="1"/>
  <c r="AL1973" i="1"/>
  <c r="AM1973" i="1" s="1"/>
  <c r="AQ1971" i="1"/>
  <c r="AL1971" i="1"/>
  <c r="AM1971" i="1" s="1"/>
  <c r="AQ2013" i="1"/>
  <c r="AL2013" i="1"/>
  <c r="AM2013" i="1" s="1"/>
  <c r="Z1967" i="1"/>
  <c r="Y1967" i="1"/>
  <c r="Z1966" i="1"/>
  <c r="Y1966" i="1"/>
  <c r="AD1963" i="1"/>
  <c r="AT1965" i="1"/>
  <c r="AT1958" i="1"/>
  <c r="AT1961" i="1"/>
  <c r="Y1965" i="1"/>
  <c r="Z1965" i="1"/>
  <c r="Z1964" i="1"/>
  <c r="Y1964" i="1"/>
  <c r="AQ1968" i="1"/>
  <c r="AL1968" i="1"/>
  <c r="AM1968" i="1" s="1"/>
  <c r="AL1966" i="1"/>
  <c r="AM1966" i="1" s="1"/>
  <c r="AL1965" i="1"/>
  <c r="AM1965" i="1" s="1"/>
  <c r="Y1963" i="1"/>
  <c r="Z1963" i="1"/>
  <c r="AL1963" i="1" s="1"/>
  <c r="AM1963" i="1" s="1"/>
  <c r="AD1955" i="1"/>
  <c r="AQ1962" i="1"/>
  <c r="AL1962" i="1"/>
  <c r="AM1962" i="1" s="1"/>
  <c r="Z1961" i="1"/>
  <c r="Y1961" i="1"/>
  <c r="AT1957" i="1"/>
  <c r="Y1958" i="1"/>
  <c r="Z1958" i="1"/>
  <c r="Z1957" i="1"/>
  <c r="Y1957" i="1"/>
  <c r="AS1904" i="1"/>
  <c r="AS1900" i="1"/>
  <c r="AS1901" i="1"/>
  <c r="AT1901" i="1" s="1"/>
  <c r="Z1955" i="1"/>
  <c r="AL1955" i="1" s="1"/>
  <c r="AM1955" i="1" s="1"/>
  <c r="Y1955" i="1"/>
  <c r="AT1954" i="1"/>
  <c r="Z1954" i="1"/>
  <c r="AV1954" i="1" s="1"/>
  <c r="AU1954" i="1" s="1"/>
  <c r="Y1954" i="1"/>
  <c r="AS1945" i="1"/>
  <c r="AT1945" i="1" s="1"/>
  <c r="AT1951" i="1"/>
  <c r="Z1951" i="1"/>
  <c r="AV1951" i="1" s="1"/>
  <c r="AU1951" i="1" s="1"/>
  <c r="Y1951" i="1"/>
  <c r="AQ1956" i="1"/>
  <c r="AL1956" i="1"/>
  <c r="AM1956" i="1" s="1"/>
  <c r="AL1954" i="1"/>
  <c r="AM1954" i="1" s="1"/>
  <c r="AQ1953" i="1"/>
  <c r="AL1953" i="1"/>
  <c r="AM1953" i="1" s="1"/>
  <c r="AQ1950" i="1"/>
  <c r="AL1950" i="1"/>
  <c r="AM1950" i="1" s="1"/>
  <c r="AQ1949" i="1"/>
  <c r="AL1949" i="1"/>
  <c r="AM1949" i="1" s="1"/>
  <c r="AQ1960" i="1"/>
  <c r="AL1960" i="1"/>
  <c r="AM1960" i="1" s="1"/>
  <c r="AQ1959" i="1"/>
  <c r="AL1959" i="1"/>
  <c r="AM1959" i="1" s="1"/>
  <c r="AL1961" i="1"/>
  <c r="AM1961" i="1" s="1"/>
  <c r="AS1948" i="1"/>
  <c r="AT1948" i="1" s="1"/>
  <c r="AT1946" i="1"/>
  <c r="AT1947" i="1"/>
  <c r="Z1948" i="1"/>
  <c r="Y1948" i="1"/>
  <c r="Z1947" i="1"/>
  <c r="AV1947" i="1" s="1"/>
  <c r="AU1947" i="1" s="1"/>
  <c r="Y1947" i="1"/>
  <c r="Z1946" i="1"/>
  <c r="Y1946" i="1"/>
  <c r="AT1940" i="1"/>
  <c r="AT1944" i="1"/>
  <c r="Z1945" i="1"/>
  <c r="AL1945" i="1" s="1"/>
  <c r="AM1945" i="1" s="1"/>
  <c r="Y1945" i="1"/>
  <c r="Z1944" i="1"/>
  <c r="AL1944" i="1" s="1"/>
  <c r="AM1944" i="1" s="1"/>
  <c r="Y1944" i="1"/>
  <c r="AQ1943" i="1"/>
  <c r="AL1943" i="1"/>
  <c r="AM1943" i="1" s="1"/>
  <c r="AQ1942" i="1"/>
  <c r="AL1942" i="1"/>
  <c r="AM1942" i="1" s="1"/>
  <c r="AQ1941" i="1"/>
  <c r="AL1941" i="1"/>
  <c r="AM1941" i="1" s="1"/>
  <c r="Y1940" i="1"/>
  <c r="Z1940" i="1"/>
  <c r="AV1940" i="1" s="1"/>
  <c r="AU1940" i="1" s="1"/>
  <c r="AT1938" i="1"/>
  <c r="Z1938" i="1"/>
  <c r="AL1938" i="1" s="1"/>
  <c r="AM1938" i="1" s="1"/>
  <c r="Y1938" i="1"/>
  <c r="AD1900" i="1"/>
  <c r="AT1900" i="1" s="1"/>
  <c r="AQ1939" i="1"/>
  <c r="AL1939" i="1"/>
  <c r="AM1939" i="1" s="1"/>
  <c r="AQ1937" i="1"/>
  <c r="AL1937" i="1"/>
  <c r="AM1937" i="1" s="1"/>
  <c r="AQ1936" i="1"/>
  <c r="AL1936" i="1"/>
  <c r="AM1936" i="1" s="1"/>
  <c r="AQ1935" i="1"/>
  <c r="AL1935" i="1"/>
  <c r="AM1935" i="1" s="1"/>
  <c r="AL1940" i="1"/>
  <c r="AM1940" i="1" s="1"/>
  <c r="AS1914" i="1"/>
  <c r="Z1923" i="1"/>
  <c r="AL1923" i="1" s="1"/>
  <c r="AM1923" i="1" s="1"/>
  <c r="Y1923" i="1"/>
  <c r="AT1922" i="1"/>
  <c r="AT1923" i="1"/>
  <c r="AS1893" i="1"/>
  <c r="AT1893" i="1" s="1"/>
  <c r="Y1922" i="1"/>
  <c r="Z1922" i="1"/>
  <c r="AD1914" i="1"/>
  <c r="AQ1925" i="1"/>
  <c r="AL1925" i="1"/>
  <c r="AM1925" i="1" s="1"/>
  <c r="AQ1924" i="1"/>
  <c r="AL1924" i="1"/>
  <c r="AM1924" i="1" s="1"/>
  <c r="AT1921" i="1"/>
  <c r="Z1921" i="1"/>
  <c r="Y1921" i="1"/>
  <c r="AS1892" i="1"/>
  <c r="AD1904" i="1"/>
  <c r="AT1904" i="1" s="1"/>
  <c r="AD1919" i="1"/>
  <c r="AT1919" i="1" s="1"/>
  <c r="Z1919" i="1"/>
  <c r="Y1919" i="1"/>
  <c r="AT1912" i="1"/>
  <c r="AT1913" i="1"/>
  <c r="AT1916" i="1"/>
  <c r="AQ1920" i="1"/>
  <c r="AL1920" i="1"/>
  <c r="AM1920" i="1" s="1"/>
  <c r="AL1919" i="1"/>
  <c r="AM1919" i="1" s="1"/>
  <c r="AQ1918" i="1"/>
  <c r="AL1918" i="1"/>
  <c r="AM1918" i="1" s="1"/>
  <c r="Z1916" i="1"/>
  <c r="AL1916" i="1" s="1"/>
  <c r="AM1916" i="1" s="1"/>
  <c r="Y1916" i="1"/>
  <c r="AQ1917" i="1"/>
  <c r="AL1917" i="1"/>
  <c r="AM1917" i="1" s="1"/>
  <c r="Z1914" i="1"/>
  <c r="Y1914" i="1"/>
  <c r="Z1913" i="1"/>
  <c r="Y1913" i="1"/>
  <c r="Z1912" i="1"/>
  <c r="AL1912" i="1" s="1"/>
  <c r="AM1912" i="1" s="1"/>
  <c r="Y1912" i="1"/>
  <c r="AQ1910" i="1"/>
  <c r="AL1910" i="1"/>
  <c r="AM1910" i="1" s="1"/>
  <c r="AQ1909" i="1"/>
  <c r="AL1909" i="1"/>
  <c r="AM1909" i="1" s="1"/>
  <c r="AQ1908" i="1"/>
  <c r="AL1908" i="1"/>
  <c r="AM1908" i="1" s="1"/>
  <c r="AL1913" i="1"/>
  <c r="AM1913" i="1" s="1"/>
  <c r="AQ1911" i="1"/>
  <c r="AL1911" i="1"/>
  <c r="AM1911" i="1" s="1"/>
  <c r="AS1905" i="1"/>
  <c r="AT1905" i="1" s="1"/>
  <c r="AS1899" i="1"/>
  <c r="AT1899" i="1" s="1"/>
  <c r="AT1906" i="1"/>
  <c r="Z1906" i="1"/>
  <c r="Y1906" i="1"/>
  <c r="Z1905" i="1"/>
  <c r="AL1905" i="1" s="1"/>
  <c r="AM1905" i="1" s="1"/>
  <c r="Y1905" i="1"/>
  <c r="Z1904" i="1"/>
  <c r="Y1904" i="1"/>
  <c r="AT1903" i="1"/>
  <c r="Z1903" i="1"/>
  <c r="Y1903" i="1"/>
  <c r="Y1901" i="1"/>
  <c r="Z1901" i="1"/>
  <c r="Z1900" i="1"/>
  <c r="AL1900" i="1" s="1"/>
  <c r="AM1900" i="1" s="1"/>
  <c r="Y1900" i="1"/>
  <c r="AQ1902" i="1"/>
  <c r="AL1902" i="1"/>
  <c r="AM1902" i="1" s="1"/>
  <c r="AQ1907" i="1"/>
  <c r="AL1907" i="1"/>
  <c r="AM1907" i="1" s="1"/>
  <c r="AL1906" i="1"/>
  <c r="AM1906" i="1" s="1"/>
  <c r="AT1897" i="1"/>
  <c r="AT1898" i="1"/>
  <c r="Z1899" i="1"/>
  <c r="AL1899" i="1" s="1"/>
  <c r="AM1899" i="1" s="1"/>
  <c r="Y1899" i="1"/>
  <c r="Z1898" i="1"/>
  <c r="Y1898" i="1"/>
  <c r="Z1897" i="1"/>
  <c r="Y1897" i="1"/>
  <c r="AD1892" i="1"/>
  <c r="AT1896" i="1"/>
  <c r="Z1896" i="1"/>
  <c r="Y1896" i="1"/>
  <c r="AT1895" i="1"/>
  <c r="AQ1898" i="1"/>
  <c r="AQ1896" i="1"/>
  <c r="AQ1915" i="1"/>
  <c r="AL1915" i="1"/>
  <c r="AM1915" i="1" s="1"/>
  <c r="AL1914" i="1"/>
  <c r="AM1914" i="1" s="1"/>
  <c r="Z1895" i="1"/>
  <c r="AV1895" i="1" s="1"/>
  <c r="AU1895" i="1" s="1"/>
  <c r="Y1895" i="1"/>
  <c r="Z1893" i="1"/>
  <c r="Y1893" i="1"/>
  <c r="Z1892" i="1"/>
  <c r="AL1892" i="1" s="1"/>
  <c r="AM1892" i="1" s="1"/>
  <c r="Y1892" i="1"/>
  <c r="Z1886" i="1"/>
  <c r="AL1886" i="1" s="1"/>
  <c r="AM1886" i="1" s="1"/>
  <c r="Y1886" i="1"/>
  <c r="Z1885" i="1"/>
  <c r="Y1885" i="1"/>
  <c r="Z1884" i="1"/>
  <c r="Y1884" i="1"/>
  <c r="Z1882" i="1"/>
  <c r="Y1882" i="1"/>
  <c r="Z1881" i="1"/>
  <c r="Y1881" i="1"/>
  <c r="AL1880" i="1"/>
  <c r="AQ1887" i="1"/>
  <c r="AL1887" i="1"/>
  <c r="AM1887" i="1" s="1"/>
  <c r="AT1886" i="1"/>
  <c r="AT1885" i="1"/>
  <c r="AV1885" i="1" s="1"/>
  <c r="AU1885" i="1" s="1"/>
  <c r="AL1885" i="1"/>
  <c r="AM1885" i="1" s="1"/>
  <c r="AT1884" i="1"/>
  <c r="AV1884" i="1" s="1"/>
  <c r="AU1884" i="1" s="1"/>
  <c r="AL1884" i="1"/>
  <c r="AM1884" i="1" s="1"/>
  <c r="AQ1883" i="1"/>
  <c r="AL1883" i="1"/>
  <c r="AM1883" i="1" s="1"/>
  <c r="AT1882" i="1"/>
  <c r="AL1882" i="1"/>
  <c r="AM1882" i="1" s="1"/>
  <c r="AT1881" i="1"/>
  <c r="AL1881" i="1"/>
  <c r="AM1881" i="1" s="1"/>
  <c r="AQ1880" i="1"/>
  <c r="AM1880" i="1"/>
  <c r="AQ1891" i="1"/>
  <c r="AL1891" i="1"/>
  <c r="AM1891" i="1" s="1"/>
  <c r="AQ1890" i="1"/>
  <c r="AL1890" i="1"/>
  <c r="AM1890" i="1" s="1"/>
  <c r="AQ1889" i="1"/>
  <c r="AL1889" i="1"/>
  <c r="AM1889" i="1" s="1"/>
  <c r="AQ1888" i="1"/>
  <c r="AL1888" i="1"/>
  <c r="AM1888" i="1" s="1"/>
  <c r="AQ1894" i="1"/>
  <c r="AL1894" i="1"/>
  <c r="AM1894" i="1" s="1"/>
  <c r="AL1893" i="1"/>
  <c r="AM1893" i="1" s="1"/>
  <c r="Z1879" i="1"/>
  <c r="AL1879" i="1" s="1"/>
  <c r="AM1879" i="1" s="1"/>
  <c r="Y1879" i="1"/>
  <c r="Z1878" i="1"/>
  <c r="AL1878" i="1" s="1"/>
  <c r="Y1878" i="1"/>
  <c r="Z1877" i="1"/>
  <c r="AL1877" i="1" s="1"/>
  <c r="AM1877" i="1" s="1"/>
  <c r="Y1877" i="1"/>
  <c r="Z1876" i="1"/>
  <c r="AL1876" i="1" s="1"/>
  <c r="AM1876" i="1" s="1"/>
  <c r="Y1876" i="1"/>
  <c r="Z1875" i="1"/>
  <c r="AL1875" i="1" s="1"/>
  <c r="AM1875" i="1" s="1"/>
  <c r="Y1875" i="1"/>
  <c r="Z1874" i="1"/>
  <c r="Y1874" i="1"/>
  <c r="AT1873" i="1"/>
  <c r="Z1873" i="1"/>
  <c r="AL1873" i="1" s="1"/>
  <c r="AM1873" i="1" s="1"/>
  <c r="Y1873" i="1"/>
  <c r="Z1872" i="1"/>
  <c r="AL1872" i="1" s="1"/>
  <c r="AM1872" i="1" s="1"/>
  <c r="Y1872" i="1"/>
  <c r="Z1871" i="1"/>
  <c r="AL1871" i="1" s="1"/>
  <c r="AM1871" i="1" s="1"/>
  <c r="Y1871" i="1"/>
  <c r="Z1870" i="1"/>
  <c r="Y1870" i="1"/>
  <c r="Z1869" i="1"/>
  <c r="AL1869" i="1" s="1"/>
  <c r="AM1869" i="1" s="1"/>
  <c r="Y1869" i="1"/>
  <c r="AT1868" i="1"/>
  <c r="AT1869" i="1"/>
  <c r="AV1869" i="1" s="1"/>
  <c r="AU1869" i="1" s="1"/>
  <c r="AT1870" i="1"/>
  <c r="AV1870" i="1" s="1"/>
  <c r="AU1870" i="1" s="1"/>
  <c r="AT1871" i="1"/>
  <c r="AT1872" i="1"/>
  <c r="AT1874" i="1"/>
  <c r="AV1874" i="1" s="1"/>
  <c r="AU1874" i="1" s="1"/>
  <c r="AT1875" i="1"/>
  <c r="AV1875" i="1"/>
  <c r="AU1875" i="1" s="1"/>
  <c r="AT1876" i="1"/>
  <c r="AV1876" i="1" s="1"/>
  <c r="AU1876" i="1" s="1"/>
  <c r="AT1877" i="1"/>
  <c r="AT1878" i="1"/>
  <c r="AV1878" i="1" s="1"/>
  <c r="AU1878" i="1" s="1"/>
  <c r="AT1879" i="1"/>
  <c r="Z1868" i="1"/>
  <c r="Y1868" i="1"/>
  <c r="AL1874" i="1"/>
  <c r="AM1874" i="1" s="1"/>
  <c r="AL1870" i="1"/>
  <c r="AM1870" i="1" s="1"/>
  <c r="AQ1867" i="1"/>
  <c r="AL1867" i="1"/>
  <c r="AM1867" i="1" s="1"/>
  <c r="AM1878" i="1"/>
  <c r="AT1859" i="1"/>
  <c r="AT1860" i="1"/>
  <c r="AQ1864" i="1"/>
  <c r="AL1864" i="1"/>
  <c r="AM1864" i="1" s="1"/>
  <c r="AQ1863" i="1"/>
  <c r="AL1863" i="1"/>
  <c r="AM1863" i="1" s="1"/>
  <c r="AQ1862" i="1"/>
  <c r="AL1862" i="1"/>
  <c r="AM1862" i="1" s="1"/>
  <c r="AQ1861" i="1"/>
  <c r="AL1861" i="1"/>
  <c r="AM1861" i="1" s="1"/>
  <c r="AQ1866" i="1"/>
  <c r="AL1866" i="1"/>
  <c r="AM1866" i="1" s="1"/>
  <c r="AQ1865" i="1"/>
  <c r="AL1865" i="1"/>
  <c r="AM1865" i="1" s="1"/>
  <c r="Z1860" i="1"/>
  <c r="AL1860" i="1" s="1"/>
  <c r="AM1860" i="1" s="1"/>
  <c r="Y1860" i="1"/>
  <c r="AQ1934" i="1"/>
  <c r="AL1934" i="1"/>
  <c r="AM1934" i="1" s="1"/>
  <c r="AQ1933" i="1"/>
  <c r="AL1933" i="1"/>
  <c r="AM1933" i="1" s="1"/>
  <c r="AQ1932" i="1"/>
  <c r="AL1932" i="1"/>
  <c r="AM1932" i="1" s="1"/>
  <c r="Z1859" i="1"/>
  <c r="Y1859" i="1"/>
  <c r="AS1838" i="1"/>
  <c r="AS1821" i="1"/>
  <c r="AT1854" i="1"/>
  <c r="AT1856" i="1"/>
  <c r="Z1856" i="1"/>
  <c r="AV1856" i="1" s="1"/>
  <c r="AU1856" i="1" s="1"/>
  <c r="Y1856" i="1"/>
  <c r="AT1851" i="1"/>
  <c r="AT1852" i="1"/>
  <c r="Z1854" i="1"/>
  <c r="AV1854" i="1" s="1"/>
  <c r="AU1854" i="1" s="1"/>
  <c r="Y1854" i="1"/>
  <c r="AT1850" i="1"/>
  <c r="Y1850" i="1"/>
  <c r="Z1850" i="1"/>
  <c r="Z1852" i="1"/>
  <c r="AV1852" i="1" s="1"/>
  <c r="AU1852" i="1" s="1"/>
  <c r="Y1852" i="1"/>
  <c r="Z1851" i="1"/>
  <c r="Y1851" i="1"/>
  <c r="AQ1855" i="1"/>
  <c r="AL1855" i="1"/>
  <c r="AM1855" i="1" s="1"/>
  <c r="AQ1853" i="1"/>
  <c r="AL1853" i="1"/>
  <c r="AM1853" i="1" s="1"/>
  <c r="AL1851" i="1"/>
  <c r="AM1851" i="1" s="1"/>
  <c r="AT1849" i="1"/>
  <c r="Z1849" i="1"/>
  <c r="Y1849" i="1"/>
  <c r="AL1849" i="1"/>
  <c r="AM1849" i="1" s="1"/>
  <c r="AQ1848" i="1"/>
  <c r="AL1848" i="1"/>
  <c r="AM1848" i="1" s="1"/>
  <c r="AQ1847" i="1"/>
  <c r="AL1847" i="1"/>
  <c r="AM1847" i="1" s="1"/>
  <c r="AQ1846" i="1"/>
  <c r="AL1846" i="1"/>
  <c r="AM1846" i="1" s="1"/>
  <c r="AQ1845" i="1"/>
  <c r="AL1845" i="1"/>
  <c r="AM1845" i="1" s="1"/>
  <c r="AQ1858" i="1"/>
  <c r="AL1858" i="1"/>
  <c r="AM1858" i="1" s="1"/>
  <c r="AQ1857" i="1"/>
  <c r="AL1857" i="1"/>
  <c r="AM1857" i="1" s="1"/>
  <c r="AD1838" i="1"/>
  <c r="AT1838" i="1" s="1"/>
  <c r="AT1836" i="1"/>
  <c r="AT1841" i="1"/>
  <c r="AT1842" i="1"/>
  <c r="Z1842" i="1"/>
  <c r="AL1842" i="1" s="1"/>
  <c r="AM1842" i="1" s="1"/>
  <c r="Y1842" i="1"/>
  <c r="Z1841" i="1"/>
  <c r="Y1841" i="1"/>
  <c r="AT1837" i="1"/>
  <c r="Z1838" i="1"/>
  <c r="Y1838" i="1"/>
  <c r="Z1837" i="1"/>
  <c r="AV1837" i="1" s="1"/>
  <c r="AU1837" i="1" s="1"/>
  <c r="Y1837" i="1"/>
  <c r="AS1820" i="1"/>
  <c r="AT1820" i="1" s="1"/>
  <c r="AQ1840" i="1"/>
  <c r="AL1840" i="1"/>
  <c r="AM1840" i="1" s="1"/>
  <c r="AQ1839" i="1"/>
  <c r="AL1839" i="1"/>
  <c r="AM1839" i="1" s="1"/>
  <c r="AL1837" i="1"/>
  <c r="AM1837" i="1" s="1"/>
  <c r="AQ1844" i="1"/>
  <c r="AL1844" i="1"/>
  <c r="AM1844" i="1" s="1"/>
  <c r="AQ1843" i="1"/>
  <c r="AL1843" i="1"/>
  <c r="AM1843" i="1" s="1"/>
  <c r="Z1836" i="1"/>
  <c r="Y1836" i="1"/>
  <c r="AT1834" i="1"/>
  <c r="Z1834" i="1"/>
  <c r="Y1834" i="1"/>
  <c r="AT1832" i="1"/>
  <c r="Z1832" i="1"/>
  <c r="AV1832" i="1" s="1"/>
  <c r="AU1832" i="1" s="1"/>
  <c r="Y1832" i="1"/>
  <c r="AT1831" i="1"/>
  <c r="Z1831" i="1"/>
  <c r="AL1831" i="1" s="1"/>
  <c r="AM1831" i="1" s="1"/>
  <c r="Y1831" i="1"/>
  <c r="AD1821" i="1"/>
  <c r="AT1826" i="1"/>
  <c r="AQ1833" i="1"/>
  <c r="AL1833" i="1"/>
  <c r="AM1833" i="1" s="1"/>
  <c r="AQ1830" i="1"/>
  <c r="AL1830" i="1"/>
  <c r="AM1830" i="1" s="1"/>
  <c r="AQ1835" i="1"/>
  <c r="AL1835" i="1"/>
  <c r="AM1835" i="1" s="1"/>
  <c r="AL1836" i="1"/>
  <c r="AM1836" i="1" s="1"/>
  <c r="AT1825" i="1"/>
  <c r="Z1826" i="1"/>
  <c r="Y1826" i="1"/>
  <c r="Z1825" i="1"/>
  <c r="Y1825" i="1"/>
  <c r="AL1826" i="1"/>
  <c r="AM1826" i="1" s="1"/>
  <c r="AL1825" i="1"/>
  <c r="AM1825" i="1" s="1"/>
  <c r="AQ1824" i="1"/>
  <c r="AL1824" i="1"/>
  <c r="AM1824" i="1" s="1"/>
  <c r="AQ1823" i="1"/>
  <c r="AL1823" i="1"/>
  <c r="AM1823" i="1" s="1"/>
  <c r="AT1819" i="1"/>
  <c r="AV1819" i="1" s="1"/>
  <c r="AU1819" i="1" s="1"/>
  <c r="AT1822" i="1"/>
  <c r="Z1822" i="1"/>
  <c r="AV1822" i="1" s="1"/>
  <c r="AU1822" i="1" s="1"/>
  <c r="Y1822" i="1"/>
  <c r="Z1821" i="1"/>
  <c r="AL1821" i="1" s="1"/>
  <c r="AM1821" i="1" s="1"/>
  <c r="Y1821" i="1"/>
  <c r="AT1818" i="1"/>
  <c r="AQ1827" i="1"/>
  <c r="AL1827" i="1"/>
  <c r="AM1827" i="1" s="1"/>
  <c r="Z1820" i="1"/>
  <c r="AL1820" i="1" s="1"/>
  <c r="AM1820" i="1" s="1"/>
  <c r="Y1820" i="1"/>
  <c r="AQ1828" i="1"/>
  <c r="AL1828" i="1"/>
  <c r="AM1828" i="1" s="1"/>
  <c r="AQ1820" i="1"/>
  <c r="AL1819" i="1"/>
  <c r="AM1819" i="1" s="1"/>
  <c r="Z1818" i="1"/>
  <c r="AV1818" i="1" s="1"/>
  <c r="AU1818" i="1" s="1"/>
  <c r="Y1818" i="1"/>
  <c r="AT1816" i="1"/>
  <c r="Z1816" i="1"/>
  <c r="Y1816" i="1"/>
  <c r="AT1815" i="1"/>
  <c r="AT1813" i="1"/>
  <c r="AT1814" i="1"/>
  <c r="Z1815" i="1"/>
  <c r="AL1815" i="1" s="1"/>
  <c r="AM1815" i="1" s="1"/>
  <c r="Y1815" i="1"/>
  <c r="AQ1817" i="1"/>
  <c r="AL1817" i="1"/>
  <c r="AM1817" i="1" s="1"/>
  <c r="AL1816" i="1"/>
  <c r="AM1816" i="1" s="1"/>
  <c r="Y1814" i="1"/>
  <c r="Z1814" i="1"/>
  <c r="AV1814" i="1" s="1"/>
  <c r="AU1814" i="1" s="1"/>
  <c r="Z1813" i="1"/>
  <c r="AV1813" i="1" s="1"/>
  <c r="AU1813" i="1" s="1"/>
  <c r="Y1813" i="1"/>
  <c r="AT1812" i="1"/>
  <c r="Z1812" i="1"/>
  <c r="Y1812" i="1"/>
  <c r="AT1811" i="1"/>
  <c r="AS1810" i="1"/>
  <c r="Z1811" i="1"/>
  <c r="AL1811" i="1" s="1"/>
  <c r="AM1811" i="1" s="1"/>
  <c r="Y1811" i="1"/>
  <c r="AL1812" i="1"/>
  <c r="AM1812" i="1" s="1"/>
  <c r="Z1810" i="1"/>
  <c r="AL1810" i="1" s="1"/>
  <c r="AM1810" i="1" s="1"/>
  <c r="Y1810" i="1"/>
  <c r="AT1809" i="1"/>
  <c r="Z1809" i="1"/>
  <c r="AV1809" i="1" s="1"/>
  <c r="AU1809" i="1" s="1"/>
  <c r="Y1809" i="1"/>
  <c r="AS1726" i="1"/>
  <c r="AT1726" i="1" s="1"/>
  <c r="AT1806" i="1"/>
  <c r="AT1808" i="1"/>
  <c r="Z1808" i="1"/>
  <c r="AV1808" i="1" s="1"/>
  <c r="AU1808" i="1" s="1"/>
  <c r="Y1808" i="1"/>
  <c r="Z1806" i="1"/>
  <c r="AV1806" i="1" s="1"/>
  <c r="AU1806" i="1" s="1"/>
  <c r="Y1806" i="1"/>
  <c r="Z1785" i="1"/>
  <c r="AL1785" i="1" s="1"/>
  <c r="AM1785" i="1" s="1"/>
  <c r="Y1785" i="1"/>
  <c r="Z1784" i="1"/>
  <c r="Y1784" i="1"/>
  <c r="Z1772" i="1"/>
  <c r="Y1772" i="1"/>
  <c r="AQ1807" i="1"/>
  <c r="AL1807" i="1"/>
  <c r="AM1807" i="1" s="1"/>
  <c r="AL1806" i="1"/>
  <c r="AM1806" i="1" s="1"/>
  <c r="AQ1805" i="1"/>
  <c r="AL1805" i="1"/>
  <c r="AM1805" i="1" s="1"/>
  <c r="AQ1804" i="1"/>
  <c r="AL1804" i="1"/>
  <c r="AM1804" i="1" s="1"/>
  <c r="AQ1803" i="1"/>
  <c r="AL1803" i="1"/>
  <c r="AM1803" i="1" s="1"/>
  <c r="AS1794" i="1"/>
  <c r="AS1757" i="1"/>
  <c r="AT1796" i="1"/>
  <c r="AT1797" i="1"/>
  <c r="AT1798" i="1"/>
  <c r="AT1799" i="1"/>
  <c r="Z1799" i="1"/>
  <c r="AV1799" i="1" s="1"/>
  <c r="AU1799" i="1" s="1"/>
  <c r="Y1799" i="1"/>
  <c r="Z1798" i="1"/>
  <c r="AL1798" i="1" s="1"/>
  <c r="AM1798" i="1" s="1"/>
  <c r="Y1798" i="1"/>
  <c r="Z1797" i="1"/>
  <c r="AV1797" i="1" s="1"/>
  <c r="AU1797" i="1" s="1"/>
  <c r="Y1797" i="1"/>
  <c r="Z1796" i="1"/>
  <c r="AV1796" i="1" s="1"/>
  <c r="AU1796" i="1" s="1"/>
  <c r="Y1796" i="1"/>
  <c r="AQ1801" i="1"/>
  <c r="AL1801" i="1"/>
  <c r="AM1801" i="1" s="1"/>
  <c r="AQ1800" i="1"/>
  <c r="AL1800" i="1"/>
  <c r="AM1800" i="1" s="1"/>
  <c r="AT1791" i="1"/>
  <c r="AT1793" i="1"/>
  <c r="AT1794" i="1"/>
  <c r="Z1794" i="1"/>
  <c r="AV1794" i="1" s="1"/>
  <c r="AU1794" i="1" s="1"/>
  <c r="Y1794" i="1"/>
  <c r="Z1793" i="1"/>
  <c r="AL1793" i="1" s="1"/>
  <c r="AM1793" i="1" s="1"/>
  <c r="Y1793" i="1"/>
  <c r="Z1791" i="1"/>
  <c r="AL1791" i="1" s="1"/>
  <c r="AM1791" i="1" s="1"/>
  <c r="Y1791" i="1"/>
  <c r="AQ1802" i="1"/>
  <c r="AL1802" i="1"/>
  <c r="AM1802" i="1" s="1"/>
  <c r="AQ1792" i="1"/>
  <c r="AL1792" i="1"/>
  <c r="AM1792" i="1" s="1"/>
  <c r="AT1790" i="1"/>
  <c r="Z1790" i="1"/>
  <c r="AV1790" i="1" s="1"/>
  <c r="AU1790" i="1" s="1"/>
  <c r="Y1790" i="1"/>
  <c r="AT1789" i="1"/>
  <c r="Z1789" i="1"/>
  <c r="AL1789" i="1" s="1"/>
  <c r="AM1789" i="1" s="1"/>
  <c r="Y1789" i="1"/>
  <c r="AT1788" i="1"/>
  <c r="Z1788" i="1"/>
  <c r="AL1788" i="1" s="1"/>
  <c r="AM1788" i="1" s="1"/>
  <c r="Y1788" i="1"/>
  <c r="AT1787" i="1"/>
  <c r="Z1787" i="1"/>
  <c r="Y1787" i="1"/>
  <c r="AT1786" i="1"/>
  <c r="Z1786" i="1"/>
  <c r="Y1786" i="1"/>
  <c r="AT1785" i="1"/>
  <c r="AT1784" i="1"/>
  <c r="AV1784" i="1" s="1"/>
  <c r="AU1784" i="1" s="1"/>
  <c r="AL1790" i="1"/>
  <c r="AM1790" i="1" s="1"/>
  <c r="AL1787" i="1"/>
  <c r="AM1787" i="1" s="1"/>
  <c r="AL1786" i="1"/>
  <c r="AM1786" i="1" s="1"/>
  <c r="AT1777" i="1"/>
  <c r="AV1777" i="1"/>
  <c r="AU1777" i="1" s="1"/>
  <c r="AT1778" i="1"/>
  <c r="AT1779" i="1"/>
  <c r="AT1780" i="1"/>
  <c r="Z1780" i="1"/>
  <c r="Y1780" i="1"/>
  <c r="AQ1782" i="1"/>
  <c r="AL1782" i="1"/>
  <c r="AM1782" i="1" s="1"/>
  <c r="AQ1781" i="1"/>
  <c r="AL1781" i="1"/>
  <c r="AM1781" i="1" s="1"/>
  <c r="AL1780" i="1"/>
  <c r="AM1780" i="1" s="1"/>
  <c r="Z1779" i="1"/>
  <c r="AV1779" i="1" s="1"/>
  <c r="AU1779" i="1" s="1"/>
  <c r="Y1779" i="1"/>
  <c r="Z1778" i="1"/>
  <c r="AV1778" i="1" s="1"/>
  <c r="AU1778" i="1" s="1"/>
  <c r="Y1778" i="1"/>
  <c r="AT1775" i="1"/>
  <c r="AT1776" i="1"/>
  <c r="Z1776" i="1"/>
  <c r="AL1776" i="1" s="1"/>
  <c r="AM1776" i="1" s="1"/>
  <c r="Y1776" i="1"/>
  <c r="AL1784" i="1"/>
  <c r="AM1784" i="1" s="1"/>
  <c r="AQ1783" i="1"/>
  <c r="AL1783" i="1"/>
  <c r="AM1783" i="1" s="1"/>
  <c r="AQ1777" i="1"/>
  <c r="AL1777" i="1"/>
  <c r="AM1777" i="1" s="1"/>
  <c r="AS1749" i="1"/>
  <c r="Z1775" i="1"/>
  <c r="Y1775" i="1"/>
  <c r="AT1772" i="1"/>
  <c r="AT1774" i="1"/>
  <c r="Z1774" i="1"/>
  <c r="AV1774" i="1" s="1"/>
  <c r="AU1774" i="1" s="1"/>
  <c r="Y1774" i="1"/>
  <c r="AQ1773" i="1"/>
  <c r="AL1773" i="1"/>
  <c r="AM1773" i="1" s="1"/>
  <c r="AT1771" i="1"/>
  <c r="Z1771" i="1"/>
  <c r="AV1771" i="1" s="1"/>
  <c r="AU1771" i="1" s="1"/>
  <c r="Y1771" i="1"/>
  <c r="AS1758" i="1"/>
  <c r="AT1758" i="1" s="1"/>
  <c r="AT1767" i="1"/>
  <c r="AT1768" i="1"/>
  <c r="Y1768" i="1"/>
  <c r="Z1768" i="1"/>
  <c r="AL1768" i="1" s="1"/>
  <c r="AM1768" i="1" s="1"/>
  <c r="Z1767" i="1"/>
  <c r="AV1767" i="1" s="1"/>
  <c r="AU1767" i="1" s="1"/>
  <c r="Y1767" i="1"/>
  <c r="AQ1770" i="1"/>
  <c r="AL1770" i="1"/>
  <c r="AM1770" i="1" s="1"/>
  <c r="AQ1769" i="1"/>
  <c r="AL1769" i="1"/>
  <c r="AM1769" i="1" s="1"/>
  <c r="AS1765" i="1"/>
  <c r="AL1771" i="1"/>
  <c r="AM1771" i="1" s="1"/>
  <c r="AT1766" i="1"/>
  <c r="AD1757" i="1"/>
  <c r="Z1766" i="1"/>
  <c r="AL1766" i="1" s="1"/>
  <c r="AM1766" i="1" s="1"/>
  <c r="Y1766" i="1"/>
  <c r="AD1765" i="1"/>
  <c r="AT1765" i="1" s="1"/>
  <c r="Z1765" i="1"/>
  <c r="Y1765" i="1"/>
  <c r="AT1757" i="1"/>
  <c r="AT1759" i="1"/>
  <c r="AT1762" i="1"/>
  <c r="AT1763" i="1"/>
  <c r="AT1764" i="1"/>
  <c r="Z1764" i="1"/>
  <c r="AV1764" i="1" s="1"/>
  <c r="AU1764" i="1" s="1"/>
  <c r="Y1764" i="1"/>
  <c r="Z1763" i="1"/>
  <c r="AL1763" i="1" s="1"/>
  <c r="AM1763" i="1" s="1"/>
  <c r="Y1763" i="1"/>
  <c r="Z1762" i="1"/>
  <c r="AL1762" i="1" s="1"/>
  <c r="AM1762" i="1" s="1"/>
  <c r="Y1762" i="1"/>
  <c r="AQ1762" i="1"/>
  <c r="AQ1761" i="1"/>
  <c r="AL1761" i="1"/>
  <c r="AM1761" i="1" s="1"/>
  <c r="AQ1760" i="1"/>
  <c r="AL1760" i="1"/>
  <c r="AM1760" i="1" s="1"/>
  <c r="AL1765" i="1"/>
  <c r="AM1765" i="1" s="1"/>
  <c r="Z1759" i="1"/>
  <c r="AV1759" i="1" s="1"/>
  <c r="AU1759" i="1" s="1"/>
  <c r="Y1759" i="1"/>
  <c r="Z1758" i="1"/>
  <c r="Y1758" i="1"/>
  <c r="AT1749" i="1"/>
  <c r="AL1758" i="1"/>
  <c r="AM1758" i="1" s="1"/>
  <c r="Z1757" i="1"/>
  <c r="Y1757" i="1"/>
  <c r="AT1754" i="1"/>
  <c r="Z1754" i="1"/>
  <c r="AL1754" i="1" s="1"/>
  <c r="AM1754" i="1" s="1"/>
  <c r="Y1754" i="1"/>
  <c r="AQ1756" i="1"/>
  <c r="AL1756" i="1"/>
  <c r="AM1756" i="1" s="1"/>
  <c r="AQ1755" i="1"/>
  <c r="AL1755" i="1"/>
  <c r="AM1755" i="1" s="1"/>
  <c r="AS1752" i="1"/>
  <c r="AD1752" i="1"/>
  <c r="AT1753" i="1"/>
  <c r="AS1725" i="1"/>
  <c r="Z1753" i="1"/>
  <c r="AV1753" i="1" s="1"/>
  <c r="AU1753" i="1" s="1"/>
  <c r="Y1753" i="1"/>
  <c r="Z1752" i="1"/>
  <c r="Y1752" i="1"/>
  <c r="AT1751" i="1"/>
  <c r="Z1751" i="1"/>
  <c r="AV1751" i="1" s="1"/>
  <c r="AU1751" i="1" s="1"/>
  <c r="Y1751" i="1"/>
  <c r="AT1750" i="1"/>
  <c r="Z1750" i="1"/>
  <c r="AV1750" i="1" s="1"/>
  <c r="AU1750" i="1" s="1"/>
  <c r="Y1750" i="1"/>
  <c r="AL1753" i="1"/>
  <c r="AM1753" i="1" s="1"/>
  <c r="AL1752" i="1"/>
  <c r="AM1752" i="1" s="1"/>
  <c r="Z1749" i="1"/>
  <c r="Y1749" i="1"/>
  <c r="AT1743" i="1"/>
  <c r="AS1746" i="1"/>
  <c r="Z1746" i="1"/>
  <c r="Y1746" i="1"/>
  <c r="AL1749" i="1"/>
  <c r="AM1749" i="1" s="1"/>
  <c r="AQ1748" i="1"/>
  <c r="AL1748" i="1"/>
  <c r="AM1748" i="1" s="1"/>
  <c r="AQ1747" i="1"/>
  <c r="AL1747" i="1"/>
  <c r="AM1747" i="1" s="1"/>
  <c r="AL1746" i="1"/>
  <c r="AM1746" i="1" s="1"/>
  <c r="AQ1829" i="1"/>
  <c r="AL1829" i="1"/>
  <c r="AM1829" i="1" s="1"/>
  <c r="AQ1926" i="1"/>
  <c r="AL1926" i="1"/>
  <c r="AM1926" i="1" s="1"/>
  <c r="AL1948" i="1"/>
  <c r="AM1948" i="1" s="1"/>
  <c r="AQ1931" i="1"/>
  <c r="AL1931" i="1"/>
  <c r="AM1931" i="1" s="1"/>
  <c r="AQ1930" i="1"/>
  <c r="AL1930" i="1"/>
  <c r="AM1930" i="1" s="1"/>
  <c r="AQ2475" i="1"/>
  <c r="AL2475" i="1"/>
  <c r="AM2475" i="1" s="1"/>
  <c r="AQ1929" i="1"/>
  <c r="Z1929" i="1"/>
  <c r="Z1743" i="1"/>
  <c r="AL1743" i="1" s="1"/>
  <c r="AM1743" i="1" s="1"/>
  <c r="Y1743" i="1"/>
  <c r="AT1742" i="1"/>
  <c r="Z1742" i="1"/>
  <c r="Y1742" i="1"/>
  <c r="AQ1744" i="1"/>
  <c r="AL1744" i="1"/>
  <c r="AM1744" i="1" s="1"/>
  <c r="AL1742" i="1"/>
  <c r="AM1742" i="1" s="1"/>
  <c r="AQ1741" i="1"/>
  <c r="AL1741" i="1"/>
  <c r="AM1741" i="1" s="1"/>
  <c r="AQ1927" i="1"/>
  <c r="AL1927" i="1"/>
  <c r="AM1927" i="1" s="1"/>
  <c r="AQ1745" i="1"/>
  <c r="AL1745" i="1"/>
  <c r="AM1745" i="1" s="1"/>
  <c r="AQ1740" i="1"/>
  <c r="AL1740" i="1"/>
  <c r="AM1740" i="1" s="1"/>
  <c r="AT1732" i="1"/>
  <c r="AL1733" i="1"/>
  <c r="AM1733" i="1" s="1"/>
  <c r="AL1728" i="1"/>
  <c r="AM1728" i="1" s="1"/>
  <c r="AL1729" i="1"/>
  <c r="AM1729" i="1" s="1"/>
  <c r="AL1730" i="1"/>
  <c r="AM1730" i="1"/>
  <c r="AL1731" i="1"/>
  <c r="AM1731" i="1" s="1"/>
  <c r="AL1734" i="1"/>
  <c r="AM1734" i="1" s="1"/>
  <c r="AL1735" i="1"/>
  <c r="AM1735" i="1" s="1"/>
  <c r="AL1736" i="1"/>
  <c r="AM1736" i="1"/>
  <c r="AL1737" i="1"/>
  <c r="AM1737" i="1" s="1"/>
  <c r="Z1732" i="1"/>
  <c r="Y1732" i="1"/>
  <c r="AS1722" i="1"/>
  <c r="AT1727" i="1"/>
  <c r="AD1725" i="1"/>
  <c r="AT1725" i="1" s="1"/>
  <c r="AL1715" i="1"/>
  <c r="AQ1730" i="1"/>
  <c r="AQ1729" i="1"/>
  <c r="AQ1728" i="1"/>
  <c r="Z1727" i="1"/>
  <c r="Y1727" i="1"/>
  <c r="AQ1731" i="1"/>
  <c r="Z1726" i="1"/>
  <c r="AL1726" i="1" s="1"/>
  <c r="Y1726" i="1"/>
  <c r="Z1725" i="1"/>
  <c r="AL1725" i="1" s="1"/>
  <c r="AM1725" i="1" s="1"/>
  <c r="Y1725" i="1"/>
  <c r="AT1723" i="1"/>
  <c r="AT1724" i="1"/>
  <c r="Z1724" i="1"/>
  <c r="AV1724" i="1" s="1"/>
  <c r="AU1724" i="1" s="1"/>
  <c r="Y1724" i="1"/>
  <c r="Z1723" i="1"/>
  <c r="AL1723" i="1" s="1"/>
  <c r="AM1723" i="1" s="1"/>
  <c r="Y1723" i="1"/>
  <c r="AD1722" i="1"/>
  <c r="AS1720" i="1"/>
  <c r="AT1720" i="1" s="1"/>
  <c r="Z1722" i="1"/>
  <c r="AL1722" i="1" s="1"/>
  <c r="AM1722" i="1" s="1"/>
  <c r="Y1722" i="1"/>
  <c r="AQ1724" i="1"/>
  <c r="AT1714" i="1"/>
  <c r="AV1714" i="1"/>
  <c r="AU1714" i="1" s="1"/>
  <c r="AT1715" i="1"/>
  <c r="AV1715" i="1"/>
  <c r="AU1715" i="1" s="1"/>
  <c r="AT1719" i="1"/>
  <c r="AV1719" i="1"/>
  <c r="AU1719" i="1" s="1"/>
  <c r="AT1721" i="1"/>
  <c r="Z1721" i="1"/>
  <c r="AV1721" i="1" s="1"/>
  <c r="AU1721" i="1" s="1"/>
  <c r="Y1721" i="1"/>
  <c r="Z1720" i="1"/>
  <c r="AL1720" i="1" s="1"/>
  <c r="AM1720" i="1" s="1"/>
  <c r="Y1720" i="1"/>
  <c r="AQ1719" i="1"/>
  <c r="AQ1718" i="1"/>
  <c r="AL1718" i="1"/>
  <c r="AM1718" i="1" s="1"/>
  <c r="AQ1717" i="1"/>
  <c r="AL1717" i="1"/>
  <c r="AM1717" i="1" s="1"/>
  <c r="AL1714" i="1"/>
  <c r="AL1712" i="1"/>
  <c r="AM1712" i="1" s="1"/>
  <c r="AQ1713" i="1"/>
  <c r="AL1713" i="1"/>
  <c r="AM1713" i="1" s="1"/>
  <c r="AQ1712" i="1"/>
  <c r="AQ1711" i="1"/>
  <c r="AL1711" i="1"/>
  <c r="AM1711" i="1" s="1"/>
  <c r="AQ1710" i="1"/>
  <c r="AL1710" i="1"/>
  <c r="AM1710" i="1" s="1"/>
  <c r="Y1708" i="1"/>
  <c r="Z1708" i="1"/>
  <c r="AL1708" i="1" s="1"/>
  <c r="AM1708" i="1" s="1"/>
  <c r="AT1708" i="1"/>
  <c r="AV1708" i="1" s="1"/>
  <c r="AU1708" i="1" s="1"/>
  <c r="Y1709" i="1"/>
  <c r="Z1709" i="1"/>
  <c r="AL1709" i="1" s="1"/>
  <c r="AM1709" i="1" s="1"/>
  <c r="AT1709" i="1"/>
  <c r="AV1709" i="1" s="1"/>
  <c r="AU1709" i="1" s="1"/>
  <c r="AT1705" i="1"/>
  <c r="AV1705" i="1"/>
  <c r="AU1705" i="1" s="1"/>
  <c r="AT1706" i="1"/>
  <c r="Y1706" i="1"/>
  <c r="Z1706" i="1"/>
  <c r="AT1704" i="1"/>
  <c r="Z1704" i="1"/>
  <c r="AL1704" i="1" s="1"/>
  <c r="AM1704" i="1" s="1"/>
  <c r="Y1704" i="1"/>
  <c r="AS1683" i="1"/>
  <c r="AQ1705" i="1"/>
  <c r="AL1705" i="1"/>
  <c r="AM1705" i="1" s="1"/>
  <c r="AQ1703" i="1"/>
  <c r="AL1703" i="1"/>
  <c r="AM1703" i="1" s="1"/>
  <c r="AQ1702" i="1"/>
  <c r="AL1702" i="1"/>
  <c r="AM1702" i="1" s="1"/>
  <c r="AT1701" i="1"/>
  <c r="AT1700" i="1"/>
  <c r="Z1701" i="1"/>
  <c r="AV1701" i="1" s="1"/>
  <c r="AU1701" i="1" s="1"/>
  <c r="Y1701" i="1"/>
  <c r="Z1700" i="1"/>
  <c r="Y1700" i="1"/>
  <c r="AT1698" i="1"/>
  <c r="AL1701" i="1"/>
  <c r="AM1701" i="1" s="1"/>
  <c r="Y1698" i="1"/>
  <c r="Z1698" i="1"/>
  <c r="AV1698" i="1" s="1"/>
  <c r="AU1698" i="1" s="1"/>
  <c r="AQ1714" i="1"/>
  <c r="AM1714" i="1"/>
  <c r="AQ1699" i="1"/>
  <c r="AL1699" i="1"/>
  <c r="AM1699" i="1" s="1"/>
  <c r="AT1697" i="1"/>
  <c r="Z1697" i="1"/>
  <c r="Y1697" i="1"/>
  <c r="AT1696" i="1"/>
  <c r="Y1696" i="1"/>
  <c r="Z1696" i="1"/>
  <c r="AL1696" i="1" s="1"/>
  <c r="AM1696" i="1" s="1"/>
  <c r="AT1689" i="1"/>
  <c r="Z1689" i="1"/>
  <c r="AV1689" i="1" s="1"/>
  <c r="AU1689" i="1" s="1"/>
  <c r="Y1689" i="1"/>
  <c r="AQ1694" i="1"/>
  <c r="AL1694" i="1"/>
  <c r="AM1694" i="1" s="1"/>
  <c r="AQ1693" i="1"/>
  <c r="AL1693" i="1"/>
  <c r="AM1693" i="1" s="1"/>
  <c r="AQ1692" i="1"/>
  <c r="AL1692" i="1"/>
  <c r="AM1692" i="1" s="1"/>
  <c r="AQ1691" i="1"/>
  <c r="AL1691" i="1"/>
  <c r="AM1691" i="1" s="1"/>
  <c r="AQ1690" i="1"/>
  <c r="AL1690" i="1"/>
  <c r="AM1690" i="1" s="1"/>
  <c r="AT1685" i="1"/>
  <c r="AT1688" i="1"/>
  <c r="Z1688" i="1"/>
  <c r="Y1688" i="1"/>
  <c r="Z1685" i="1"/>
  <c r="Y1685" i="1"/>
  <c r="AZ1674" i="1"/>
  <c r="AD1683" i="1"/>
  <c r="Z1683" i="1"/>
  <c r="AL1683" i="1" s="1"/>
  <c r="AM1683" i="1" s="1"/>
  <c r="Y1683" i="1"/>
  <c r="AQ1679" i="1"/>
  <c r="AL1679" i="1"/>
  <c r="AM1679" i="1" s="1"/>
  <c r="AT1678" i="1"/>
  <c r="Z1678" i="1"/>
  <c r="AL1678" i="1" s="1"/>
  <c r="AM1678" i="1" s="1"/>
  <c r="Y1678" i="1"/>
  <c r="AQ1686" i="1"/>
  <c r="AL1686" i="1"/>
  <c r="AM1686" i="1" s="1"/>
  <c r="AQ1684" i="1"/>
  <c r="AL1684" i="1"/>
  <c r="AM1684" i="1" s="1"/>
  <c r="AQ1682" i="1"/>
  <c r="AL1682" i="1"/>
  <c r="AM1682" i="1" s="1"/>
  <c r="AQ1681" i="1"/>
  <c r="AL1681" i="1"/>
  <c r="AM1681" i="1" s="1"/>
  <c r="AQ1680" i="1"/>
  <c r="AL1680" i="1"/>
  <c r="AM1680" i="1" s="1"/>
  <c r="AT1677" i="1"/>
  <c r="AL1675" i="1"/>
  <c r="AM1675" i="1" s="1"/>
  <c r="AQ1676" i="1"/>
  <c r="AL1676" i="1"/>
  <c r="AM1676" i="1" s="1"/>
  <c r="AQ1687" i="1"/>
  <c r="AL1687" i="1"/>
  <c r="AM1687" i="1" s="1"/>
  <c r="AL1672" i="1"/>
  <c r="AM1672" i="1" s="1"/>
  <c r="AL1673" i="1"/>
  <c r="AM1673" i="1" s="1"/>
  <c r="AL1695" i="1"/>
  <c r="AM1695" i="1" s="1"/>
  <c r="AL1697" i="1"/>
  <c r="AM1697" i="1" s="1"/>
  <c r="AM1715" i="1"/>
  <c r="Z1677" i="1"/>
  <c r="Y1677" i="1"/>
  <c r="Y1675" i="1"/>
  <c r="AD1674" i="1"/>
  <c r="AT1674" i="1" s="1"/>
  <c r="Y1674" i="1"/>
  <c r="Z1674" i="1"/>
  <c r="AL1674" i="1" s="1"/>
  <c r="AM1674" i="1" s="1"/>
  <c r="AT1671" i="1"/>
  <c r="AS1660" i="1"/>
  <c r="AT1670" i="1"/>
  <c r="AT1659" i="1"/>
  <c r="AV1659" i="1"/>
  <c r="AU1659" i="1" s="1"/>
  <c r="AS1669" i="1"/>
  <c r="Z1671" i="1"/>
  <c r="Y1671" i="1"/>
  <c r="Z1670" i="1"/>
  <c r="AL1670" i="1" s="1"/>
  <c r="AM1670" i="1" s="1"/>
  <c r="Y1670" i="1"/>
  <c r="AQ1675" i="1"/>
  <c r="AQ1673" i="1"/>
  <c r="AQ1672" i="1"/>
  <c r="AD1669" i="1"/>
  <c r="AT1669" i="1" s="1"/>
  <c r="Z1669" i="1"/>
  <c r="Y1669" i="1"/>
  <c r="AQ1695" i="1"/>
  <c r="AQ1668" i="1"/>
  <c r="AL1668" i="1"/>
  <c r="AM1668" i="1" s="1"/>
  <c r="AT1664" i="1"/>
  <c r="Z1664" i="1"/>
  <c r="Y1664" i="1"/>
  <c r="AQ1667" i="1"/>
  <c r="AL1667" i="1"/>
  <c r="AM1667" i="1" s="1"/>
  <c r="AQ1666" i="1"/>
  <c r="AL1666" i="1"/>
  <c r="AM1666" i="1" s="1"/>
  <c r="AQ1665" i="1"/>
  <c r="AL1665" i="1"/>
  <c r="AM1665" i="1" s="1"/>
  <c r="AQ1663" i="1"/>
  <c r="AL1663" i="1"/>
  <c r="AM1663" i="1" s="1"/>
  <c r="AT1658" i="1"/>
  <c r="AT1657" i="1"/>
  <c r="AD1660" i="1"/>
  <c r="Z1660" i="1"/>
  <c r="Y1660" i="1"/>
  <c r="Z1658" i="1"/>
  <c r="AV1658" i="1" s="1"/>
  <c r="AU1658" i="1" s="1"/>
  <c r="Y1658" i="1"/>
  <c r="Z1657" i="1"/>
  <c r="AV1657" i="1" s="1"/>
  <c r="AU1657" i="1" s="1"/>
  <c r="Y1657" i="1"/>
  <c r="AQ1662" i="1"/>
  <c r="AL1662" i="1"/>
  <c r="AM1662" i="1" s="1"/>
  <c r="AQ1661" i="1"/>
  <c r="AL1661" i="1"/>
  <c r="AM1661" i="1" s="1"/>
  <c r="AL1660" i="1"/>
  <c r="AM1660" i="1" s="1"/>
  <c r="AQ1659" i="1"/>
  <c r="AL1659" i="1"/>
  <c r="AM1659" i="1" s="1"/>
  <c r="AQ1715" i="1"/>
  <c r="AL1656" i="1"/>
  <c r="AM1656" i="1" s="1"/>
  <c r="Y1655" i="1"/>
  <c r="Z1655" i="1"/>
  <c r="AL1655" i="1" s="1"/>
  <c r="AM1655" i="1" s="1"/>
  <c r="AT1655" i="1"/>
  <c r="AV1655" i="1" s="1"/>
  <c r="AU1655" i="1" s="1"/>
  <c r="AT1654" i="1"/>
  <c r="Z1654" i="1"/>
  <c r="AL1654" i="1" s="1"/>
  <c r="AM1654" i="1" s="1"/>
  <c r="Y1654" i="1"/>
  <c r="AQ1653" i="1"/>
  <c r="AL1653" i="1"/>
  <c r="AM1653" i="1" s="1"/>
  <c r="AQ1738" i="1"/>
  <c r="Z1738" i="1"/>
  <c r="AL1739" i="1"/>
  <c r="AM1739" i="1" s="1"/>
  <c r="AQ1739" i="1"/>
  <c r="AQ1737" i="1"/>
  <c r="AQ1736" i="1"/>
  <c r="AQ1735" i="1"/>
  <c r="AQ1639" i="1"/>
  <c r="AL1639" i="1"/>
  <c r="AM1639" i="1" s="1"/>
  <c r="AS1597" i="1"/>
  <c r="AQ1650" i="1"/>
  <c r="AL1650" i="1"/>
  <c r="AM1650" i="1" s="1"/>
  <c r="AQ1649" i="1"/>
  <c r="AL1649" i="1"/>
  <c r="AM1649" i="1" s="1"/>
  <c r="AQ1648" i="1"/>
  <c r="AL1648" i="1"/>
  <c r="AM1648" i="1" s="1"/>
  <c r="AQ1647" i="1"/>
  <c r="AL1647" i="1"/>
  <c r="AM1647" i="1" s="1"/>
  <c r="AQ1646" i="1"/>
  <c r="AL1646" i="1"/>
  <c r="AM1646" i="1" s="1"/>
  <c r="AQ1652" i="1"/>
  <c r="AL1652" i="1"/>
  <c r="AM1652" i="1" s="1"/>
  <c r="AQ1651" i="1"/>
  <c r="AL1651" i="1"/>
  <c r="AM1651" i="1" s="1"/>
  <c r="AQ1928" i="1"/>
  <c r="AL1928" i="1"/>
  <c r="AM1928" i="1" s="1"/>
  <c r="AQ1645" i="1"/>
  <c r="Z1645" i="1"/>
  <c r="AT1636" i="1"/>
  <c r="AT1637" i="1"/>
  <c r="Z1637" i="1"/>
  <c r="Y1637" i="1"/>
  <c r="Z1636" i="1"/>
  <c r="AV1636" i="1" s="1"/>
  <c r="AU1636" i="1" s="1"/>
  <c r="Y1636" i="1"/>
  <c r="AT1634" i="1"/>
  <c r="Z1634" i="1"/>
  <c r="AV1634" i="1" s="1"/>
  <c r="AU1634" i="1" s="1"/>
  <c r="Y1634" i="1"/>
  <c r="AL1613" i="1"/>
  <c r="AM1613" i="1" s="1"/>
  <c r="AL1614" i="1"/>
  <c r="AM1614" i="1" s="1"/>
  <c r="AL1615" i="1"/>
  <c r="AM1615" i="1" s="1"/>
  <c r="AQ1633" i="1"/>
  <c r="AL1633" i="1"/>
  <c r="AM1633" i="1" s="1"/>
  <c r="AQ1632" i="1"/>
  <c r="AL1632" i="1"/>
  <c r="AM1632" i="1" s="1"/>
  <c r="AQ1631" i="1"/>
  <c r="AL1631" i="1"/>
  <c r="AM1631" i="1" s="1"/>
  <c r="AQ1630" i="1"/>
  <c r="AL1630" i="1"/>
  <c r="AM1630" i="1" s="1"/>
  <c r="AQ1629" i="1"/>
  <c r="AL1629" i="1"/>
  <c r="AM1629" i="1" s="1"/>
  <c r="AV16" i="6"/>
  <c r="AV15" i="6"/>
  <c r="AU16" i="6"/>
  <c r="AU15" i="6"/>
  <c r="AQ16" i="6"/>
  <c r="AQ15" i="6"/>
  <c r="AP16" i="6"/>
  <c r="AP15" i="6"/>
  <c r="AQ1613" i="1"/>
  <c r="AQ1614" i="1"/>
  <c r="AQ1615" i="1"/>
  <c r="AQ1635" i="1"/>
  <c r="AL1635" i="1"/>
  <c r="AM1635" i="1" s="1"/>
  <c r="AQ1628" i="1"/>
  <c r="AL1628" i="1"/>
  <c r="AM1628" i="1" s="1"/>
  <c r="AQ1627" i="1"/>
  <c r="AL1627" i="1"/>
  <c r="AM1627" i="1" s="1"/>
  <c r="AQ1626" i="1"/>
  <c r="AL1626" i="1"/>
  <c r="AM1626" i="1" s="1"/>
  <c r="AQ1625" i="1"/>
  <c r="AL1625" i="1"/>
  <c r="AM1625" i="1" s="1"/>
  <c r="AQ1624" i="1"/>
  <c r="AL1624" i="1"/>
  <c r="AM1624" i="1" s="1"/>
  <c r="AZ1621" i="1"/>
  <c r="AT1622" i="1"/>
  <c r="Z1622" i="1"/>
  <c r="AV1622" i="1" s="1"/>
  <c r="AU1622" i="1" s="1"/>
  <c r="Y1622" i="1"/>
  <c r="AT1618" i="1"/>
  <c r="AT1619" i="1"/>
  <c r="AT1620" i="1"/>
  <c r="AT1621" i="1"/>
  <c r="Z1621" i="1"/>
  <c r="AV1621" i="1" s="1"/>
  <c r="AU1621" i="1" s="1"/>
  <c r="Y1621" i="1"/>
  <c r="Z1620" i="1"/>
  <c r="AV1620" i="1" s="1"/>
  <c r="AU1620" i="1" s="1"/>
  <c r="Y1620" i="1"/>
  <c r="AL1622" i="1"/>
  <c r="AM1622" i="1" s="1"/>
  <c r="Z1619" i="1"/>
  <c r="Y1619" i="1"/>
  <c r="Z1618" i="1"/>
  <c r="Y1618" i="1"/>
  <c r="AT1617" i="1"/>
  <c r="Z1617" i="1"/>
  <c r="AV1617" i="1" s="1"/>
  <c r="AU1617" i="1" s="1"/>
  <c r="Y1617" i="1"/>
  <c r="AT1612" i="1"/>
  <c r="Z1612" i="1"/>
  <c r="Y1612" i="1"/>
  <c r="AT1606" i="1"/>
  <c r="AT1607" i="1"/>
  <c r="Z1607" i="1"/>
  <c r="Y1607" i="1"/>
  <c r="Z1606" i="1"/>
  <c r="AL1606" i="1" s="1"/>
  <c r="AM1606" i="1" s="1"/>
  <c r="Y1606" i="1"/>
  <c r="AT1605" i="1"/>
  <c r="Z1605" i="1"/>
  <c r="AL1605" i="1" s="1"/>
  <c r="AM1605" i="1" s="1"/>
  <c r="Y1605" i="1"/>
  <c r="AT1602" i="1"/>
  <c r="Z1602" i="1"/>
  <c r="Y1602" i="1"/>
  <c r="AQ1610" i="1"/>
  <c r="AL1610" i="1"/>
  <c r="AM1610" i="1" s="1"/>
  <c r="AQ1609" i="1"/>
  <c r="AL1609" i="1"/>
  <c r="AM1609" i="1" s="1"/>
  <c r="AQ1608" i="1"/>
  <c r="AL1608" i="1"/>
  <c r="AM1608" i="1" s="1"/>
  <c r="AQ1604" i="1"/>
  <c r="AL1604" i="1"/>
  <c r="AM1604" i="1" s="1"/>
  <c r="AQ1603" i="1"/>
  <c r="AL1603" i="1"/>
  <c r="AM1603" i="1" s="1"/>
  <c r="AL1602" i="1"/>
  <c r="AM1602" i="1" s="1"/>
  <c r="AL1618" i="1"/>
  <c r="AM1618" i="1" s="1"/>
  <c r="AL1617" i="1"/>
  <c r="AM1617" i="1" s="1"/>
  <c r="AQ1616" i="1"/>
  <c r="AL1616" i="1"/>
  <c r="AM1616" i="1" s="1"/>
  <c r="AQ1611" i="1"/>
  <c r="AL1611" i="1"/>
  <c r="AM1611" i="1" s="1"/>
  <c r="BZ1389" i="1"/>
  <c r="BZ1390" i="1"/>
  <c r="BZ1391" i="1"/>
  <c r="BZ1392" i="1"/>
  <c r="BZ1393" i="1"/>
  <c r="BZ1394" i="1"/>
  <c r="BZ1395" i="1"/>
  <c r="BZ1396" i="1"/>
  <c r="BZ1397" i="1"/>
  <c r="BZ1398" i="1"/>
  <c r="BZ1399" i="1"/>
  <c r="BZ1400" i="1"/>
  <c r="BZ1401" i="1"/>
  <c r="BZ1402" i="1"/>
  <c r="BZ1403" i="1"/>
  <c r="BZ1404" i="1"/>
  <c r="BZ1405" i="1"/>
  <c r="BZ1406" i="1"/>
  <c r="BZ1388" i="1"/>
  <c r="BZ1348" i="1"/>
  <c r="BZ1349" i="1"/>
  <c r="BZ1350" i="1"/>
  <c r="BZ1351" i="1"/>
  <c r="BZ1352" i="1"/>
  <c r="BZ1353" i="1"/>
  <c r="BZ1354" i="1"/>
  <c r="BZ1355" i="1"/>
  <c r="BZ1356" i="1"/>
  <c r="BZ1357" i="1"/>
  <c r="BZ1358" i="1"/>
  <c r="BZ1359" i="1"/>
  <c r="BZ1360" i="1"/>
  <c r="BZ1361" i="1"/>
  <c r="BZ1362" i="1"/>
  <c r="BZ1363" i="1"/>
  <c r="BZ1364" i="1"/>
  <c r="BZ1365" i="1"/>
  <c r="BZ1366" i="1"/>
  <c r="BZ1367" i="1"/>
  <c r="BZ1368" i="1"/>
  <c r="BZ1369" i="1"/>
  <c r="BZ1370" i="1"/>
  <c r="BZ1371" i="1"/>
  <c r="BZ1372" i="1"/>
  <c r="BZ1373" i="1"/>
  <c r="BZ1374" i="1"/>
  <c r="BZ1375" i="1"/>
  <c r="BZ1376" i="1"/>
  <c r="BZ1377" i="1"/>
  <c r="BZ1378" i="1"/>
  <c r="BZ1379" i="1"/>
  <c r="BZ1380" i="1"/>
  <c r="BZ1381" i="1"/>
  <c r="BZ1382" i="1"/>
  <c r="BZ1383" i="1"/>
  <c r="BZ1384" i="1"/>
  <c r="BY1377" i="1"/>
  <c r="BY1378" i="1"/>
  <c r="BY1379" i="1"/>
  <c r="BY1380" i="1"/>
  <c r="BY1381" i="1"/>
  <c r="BY1382" i="1"/>
  <c r="BY1383" i="1"/>
  <c r="BY1384" i="1"/>
  <c r="BX1389" i="1"/>
  <c r="BX1390" i="1"/>
  <c r="BX1391" i="1"/>
  <c r="BX1392" i="1"/>
  <c r="BX1388" i="1"/>
  <c r="BX1344" i="1"/>
  <c r="BX1345" i="1"/>
  <c r="BX1346" i="1"/>
  <c r="BX1347" i="1"/>
  <c r="BX1348" i="1"/>
  <c r="BX1349" i="1"/>
  <c r="BX1350" i="1"/>
  <c r="BX1351" i="1"/>
  <c r="BX1352" i="1"/>
  <c r="BX1353" i="1"/>
  <c r="BX1354" i="1"/>
  <c r="BX1355" i="1"/>
  <c r="BX1356" i="1"/>
  <c r="BX1357" i="1"/>
  <c r="BX1358" i="1"/>
  <c r="BX1359" i="1"/>
  <c r="BX1360" i="1"/>
  <c r="BX1361" i="1"/>
  <c r="BX1362" i="1"/>
  <c r="BX1363" i="1"/>
  <c r="BX1364" i="1"/>
  <c r="BX1365" i="1"/>
  <c r="BX1366" i="1"/>
  <c r="BX1367" i="1"/>
  <c r="BX1368" i="1"/>
  <c r="BX1369" i="1"/>
  <c r="BX1370" i="1"/>
  <c r="BX1371" i="1"/>
  <c r="BX1372" i="1"/>
  <c r="BX1373" i="1"/>
  <c r="BX1374" i="1"/>
  <c r="BX1375" i="1"/>
  <c r="BX1376" i="1"/>
  <c r="BX1377" i="1"/>
  <c r="BX1378" i="1"/>
  <c r="BX1379" i="1"/>
  <c r="BX1380" i="1"/>
  <c r="BX1381" i="1"/>
  <c r="BX1382" i="1"/>
  <c r="BX1383" i="1"/>
  <c r="BX1384" i="1"/>
  <c r="AS1598" i="1"/>
  <c r="AT1599" i="1"/>
  <c r="Z1599" i="1"/>
  <c r="AL1599" i="1" s="1"/>
  <c r="AM1599" i="1" s="1"/>
  <c r="Y1599" i="1"/>
  <c r="AT1598" i="1"/>
  <c r="Z1598" i="1"/>
  <c r="AL1598" i="1" s="1"/>
  <c r="AM1598" i="1" s="1"/>
  <c r="Y1598" i="1"/>
  <c r="AD1597" i="1"/>
  <c r="AT1597" i="1" s="1"/>
  <c r="Z1597" i="1"/>
  <c r="Y1597" i="1"/>
  <c r="AT1596" i="1"/>
  <c r="Z1596" i="1"/>
  <c r="Y1596" i="1"/>
  <c r="M16" i="6" a="1"/>
  <c r="M16" i="6" s="1"/>
  <c r="H16" i="6"/>
  <c r="D16" i="6"/>
  <c r="C16" i="6"/>
  <c r="AT1595" i="1"/>
  <c r="Z1595" i="1"/>
  <c r="AL1595" i="1" s="1"/>
  <c r="AM1595" i="1" s="1"/>
  <c r="Y1595" i="1"/>
  <c r="Z1593" i="1"/>
  <c r="AL1593" i="1" s="1"/>
  <c r="AM1593" i="1" s="1"/>
  <c r="Y1593" i="1"/>
  <c r="AT1593" i="1"/>
  <c r="AT1594" i="1"/>
  <c r="Z1594" i="1"/>
  <c r="Y1594" i="1"/>
  <c r="AT1589" i="1"/>
  <c r="AQ1592" i="1"/>
  <c r="AL1592" i="1"/>
  <c r="AM1592" i="1" s="1"/>
  <c r="Y1589" i="1"/>
  <c r="Z1589" i="1"/>
  <c r="AL1589" i="1" s="1"/>
  <c r="AM1589" i="1" s="1"/>
  <c r="AQ1584" i="1"/>
  <c r="AQ1591" i="1"/>
  <c r="AL1591" i="1"/>
  <c r="AM1591" i="1" s="1"/>
  <c r="AQ1590" i="1"/>
  <c r="AL1590" i="1"/>
  <c r="AM1590" i="1" s="1"/>
  <c r="AQ1588" i="1"/>
  <c r="AL1588" i="1"/>
  <c r="AM1588" i="1" s="1"/>
  <c r="AQ1587" i="1"/>
  <c r="AL1587" i="1"/>
  <c r="AM1587" i="1" s="1"/>
  <c r="AQ1586" i="1"/>
  <c r="AL1586" i="1"/>
  <c r="AM1586" i="1" s="1"/>
  <c r="AS1580" i="1"/>
  <c r="AD1580" i="1"/>
  <c r="Z1580" i="1"/>
  <c r="AL1580" i="1" s="1"/>
  <c r="AM1580" i="1" s="1"/>
  <c r="Y1580" i="1"/>
  <c r="AT1579" i="1"/>
  <c r="Z1579" i="1"/>
  <c r="Y1579" i="1"/>
  <c r="AT1571" i="1"/>
  <c r="AT1578" i="1"/>
  <c r="Z1578" i="1"/>
  <c r="Y1578" i="1"/>
  <c r="AS1551" i="1"/>
  <c r="AQ1577" i="1"/>
  <c r="AL1577" i="1"/>
  <c r="AM1577" i="1" s="1"/>
  <c r="AQ1576" i="1"/>
  <c r="AL1576" i="1"/>
  <c r="AM1576" i="1" s="1"/>
  <c r="AQ1575" i="1"/>
  <c r="AL1575" i="1"/>
  <c r="AM1575" i="1" s="1"/>
  <c r="AQ1574" i="1"/>
  <c r="AL1574" i="1"/>
  <c r="AM1574" i="1" s="1"/>
  <c r="AQ1573" i="1"/>
  <c r="AL1573" i="1"/>
  <c r="AM1573" i="1" s="1"/>
  <c r="AQ1600" i="1"/>
  <c r="AL1600" i="1"/>
  <c r="AM1600" i="1" s="1"/>
  <c r="AQ1585" i="1"/>
  <c r="AL1585" i="1"/>
  <c r="AM1585" i="1" s="1"/>
  <c r="AQ1583" i="1"/>
  <c r="AL1583" i="1"/>
  <c r="AM1583" i="1" s="1"/>
  <c r="AQ1582" i="1"/>
  <c r="AL1582" i="1"/>
  <c r="AM1582" i="1" s="1"/>
  <c r="AQ1581" i="1"/>
  <c r="AL1581" i="1"/>
  <c r="AM1581" i="1" s="1"/>
  <c r="AQ1623" i="1"/>
  <c r="AL1623" i="1"/>
  <c r="AM1623" i="1" s="1"/>
  <c r="AQ1601" i="1"/>
  <c r="AL1601" i="1"/>
  <c r="AM1601" i="1" s="1"/>
  <c r="AL1572" i="1"/>
  <c r="AM1572" i="1" s="1"/>
  <c r="Z1571" i="1"/>
  <c r="Y1571" i="1"/>
  <c r="AT1570" i="1"/>
  <c r="AT1568" i="1"/>
  <c r="AT1569" i="1"/>
  <c r="Z1570" i="1"/>
  <c r="AL1570" i="1" s="1"/>
  <c r="AM1570" i="1" s="1"/>
  <c r="Y1570" i="1"/>
  <c r="Z1569" i="1"/>
  <c r="AL1569" i="1" s="1"/>
  <c r="AM1569" i="1" s="1"/>
  <c r="Y1569" i="1"/>
  <c r="Z1568" i="1"/>
  <c r="Y1568" i="1"/>
  <c r="AD1551" i="1"/>
  <c r="AT1565" i="1"/>
  <c r="AD1566" i="1"/>
  <c r="AT1566" i="1" s="1"/>
  <c r="Z1566" i="1"/>
  <c r="AL1566" i="1" s="1"/>
  <c r="AM1566" i="1" s="1"/>
  <c r="Y1566" i="1"/>
  <c r="Z1565" i="1"/>
  <c r="Y1565" i="1"/>
  <c r="BW1389" i="1"/>
  <c r="BW1390" i="1"/>
  <c r="BW1391" i="1"/>
  <c r="BW1392" i="1"/>
  <c r="BW1393" i="1"/>
  <c r="BW1394" i="1"/>
  <c r="BW1395" i="1"/>
  <c r="BW1396" i="1"/>
  <c r="BW1397" i="1"/>
  <c r="BW1398" i="1"/>
  <c r="BW1399" i="1"/>
  <c r="BW1400" i="1"/>
  <c r="BW1401" i="1"/>
  <c r="BW1402" i="1"/>
  <c r="BW1403" i="1"/>
  <c r="BW1404" i="1"/>
  <c r="BW1405" i="1"/>
  <c r="BW1406" i="1"/>
  <c r="BW1407" i="1"/>
  <c r="BW1408" i="1"/>
  <c r="BW1409" i="1"/>
  <c r="BW1410" i="1"/>
  <c r="BW1411" i="1"/>
  <c r="BW1412" i="1"/>
  <c r="BW1413" i="1"/>
  <c r="BW1388" i="1"/>
  <c r="BV1389" i="1"/>
  <c r="BV1390" i="1"/>
  <c r="BV1391" i="1"/>
  <c r="BV1392" i="1"/>
  <c r="BV1393" i="1"/>
  <c r="BV1394" i="1"/>
  <c r="BV1395" i="1"/>
  <c r="BV1396" i="1"/>
  <c r="BV1397" i="1"/>
  <c r="BV1398" i="1"/>
  <c r="BV1399" i="1"/>
  <c r="BV1400" i="1"/>
  <c r="BV1401" i="1"/>
  <c r="BV1402" i="1"/>
  <c r="BV1403" i="1"/>
  <c r="BV1404" i="1"/>
  <c r="BV1405" i="1"/>
  <c r="BV1406" i="1"/>
  <c r="BV1407" i="1"/>
  <c r="BV1408" i="1"/>
  <c r="BV1409" i="1"/>
  <c r="BV1410" i="1"/>
  <c r="BV1411" i="1"/>
  <c r="BV1412" i="1"/>
  <c r="BV1413" i="1"/>
  <c r="BV1388" i="1"/>
  <c r="BU1389" i="1"/>
  <c r="BU1390" i="1"/>
  <c r="BU1391" i="1"/>
  <c r="BU1392" i="1"/>
  <c r="BU1393" i="1"/>
  <c r="BU1394" i="1"/>
  <c r="BU1395" i="1"/>
  <c r="BU1396" i="1"/>
  <c r="BU1397" i="1"/>
  <c r="BU1398" i="1"/>
  <c r="BU1399" i="1"/>
  <c r="BU1400" i="1"/>
  <c r="BU1401" i="1"/>
  <c r="BU1402" i="1"/>
  <c r="BU1403" i="1"/>
  <c r="BU1404" i="1"/>
  <c r="BU1405" i="1"/>
  <c r="BU1406" i="1"/>
  <c r="BU1388" i="1"/>
  <c r="BT1389" i="1"/>
  <c r="BT1390" i="1"/>
  <c r="BT1391" i="1"/>
  <c r="BT1388" i="1"/>
  <c r="BS1389" i="1"/>
  <c r="BS1390" i="1"/>
  <c r="BS1391" i="1"/>
  <c r="BS1392" i="1"/>
  <c r="BS1393" i="1"/>
  <c r="BS1394" i="1"/>
  <c r="BS1395" i="1"/>
  <c r="BS1396" i="1"/>
  <c r="BS1397" i="1"/>
  <c r="BS1398" i="1"/>
  <c r="BS1399" i="1"/>
  <c r="BS1400" i="1"/>
  <c r="BS1401" i="1"/>
  <c r="BS1402" i="1"/>
  <c r="BS1403" i="1"/>
  <c r="BS1388" i="1"/>
  <c r="BW135" i="1"/>
  <c r="BW136" i="1"/>
  <c r="BW134" i="1"/>
  <c r="BW131" i="1"/>
  <c r="BW130" i="1"/>
  <c r="BW129" i="1"/>
  <c r="BW128" i="1"/>
  <c r="BV135" i="1"/>
  <c r="BV134" i="1"/>
  <c r="BV131" i="1"/>
  <c r="BV130" i="1"/>
  <c r="BV129" i="1"/>
  <c r="BV128" i="1"/>
  <c r="BV127" i="1"/>
  <c r="BV126" i="1"/>
  <c r="BV125" i="1"/>
  <c r="BV124" i="1"/>
  <c r="BV123" i="1"/>
  <c r="BV122" i="1"/>
  <c r="BV121" i="1"/>
  <c r="BV120" i="1"/>
  <c r="BV119" i="1"/>
  <c r="BV118" i="1"/>
  <c r="BV117" i="1"/>
  <c r="BV116" i="1"/>
  <c r="BV115" i="1"/>
  <c r="BV114" i="1"/>
  <c r="BV113" i="1"/>
  <c r="BV112" i="1"/>
  <c r="BV111" i="1"/>
  <c r="BV110" i="1"/>
  <c r="BV109" i="1"/>
  <c r="BV108" i="1"/>
  <c r="BV107" i="1"/>
  <c r="BV106" i="1"/>
  <c r="BV105" i="1"/>
  <c r="BV104" i="1"/>
  <c r="BV103" i="1"/>
  <c r="BV102" i="1"/>
  <c r="BU102" i="1"/>
  <c r="BU103" i="1"/>
  <c r="BU104" i="1"/>
  <c r="BU105" i="1"/>
  <c r="BU106" i="1"/>
  <c r="BU107" i="1"/>
  <c r="BU108" i="1"/>
  <c r="BU109" i="1"/>
  <c r="BU110" i="1"/>
  <c r="BU111" i="1"/>
  <c r="BU112" i="1"/>
  <c r="BU113" i="1"/>
  <c r="BU114" i="1"/>
  <c r="BU115" i="1"/>
  <c r="BU116" i="1"/>
  <c r="BU117" i="1"/>
  <c r="BU118" i="1"/>
  <c r="BU119" i="1"/>
  <c r="BU120" i="1"/>
  <c r="BU121" i="1"/>
  <c r="BU122" i="1"/>
  <c r="BU123" i="1"/>
  <c r="BU124" i="1"/>
  <c r="BU125" i="1"/>
  <c r="BU126" i="1"/>
  <c r="BU127" i="1"/>
  <c r="BU128" i="1"/>
  <c r="BU129" i="1"/>
  <c r="BU130" i="1"/>
  <c r="BU131" i="1"/>
  <c r="BU134" i="1"/>
  <c r="BU135" i="1"/>
  <c r="BU136" i="1"/>
  <c r="BT135" i="1"/>
  <c r="BT134" i="1"/>
  <c r="BT131" i="1"/>
  <c r="BT130" i="1"/>
  <c r="BT129" i="1"/>
  <c r="BT128" i="1"/>
  <c r="BT127" i="1"/>
  <c r="BT126" i="1"/>
  <c r="BT125" i="1"/>
  <c r="BT124" i="1"/>
  <c r="BT123" i="1"/>
  <c r="BT122" i="1"/>
  <c r="BT121" i="1"/>
  <c r="BT120" i="1"/>
  <c r="BT119" i="1"/>
  <c r="BT118" i="1"/>
  <c r="BT117" i="1"/>
  <c r="BT116" i="1"/>
  <c r="BT115" i="1"/>
  <c r="BT114" i="1"/>
  <c r="BT113" i="1"/>
  <c r="BT112" i="1"/>
  <c r="BT111" i="1"/>
  <c r="BT110" i="1"/>
  <c r="BT109" i="1"/>
  <c r="BT108" i="1"/>
  <c r="BT107" i="1"/>
  <c r="BT106" i="1"/>
  <c r="BT105" i="1"/>
  <c r="BT104" i="1"/>
  <c r="BT103" i="1"/>
  <c r="BT102" i="1"/>
  <c r="BS135" i="1"/>
  <c r="BS136" i="1"/>
  <c r="BS134" i="1"/>
  <c r="BS131" i="1"/>
  <c r="BS130" i="1"/>
  <c r="BS129" i="1"/>
  <c r="BS128" i="1"/>
  <c r="BR128" i="1"/>
  <c r="BR129" i="1"/>
  <c r="BR130" i="1"/>
  <c r="BR131" i="1"/>
  <c r="BR134" i="1"/>
  <c r="AT1564" i="1"/>
  <c r="Z1564" i="1"/>
  <c r="Y1564" i="1"/>
  <c r="AT1562" i="1"/>
  <c r="AT1563" i="1"/>
  <c r="Z1563" i="1"/>
  <c r="Y1563" i="1"/>
  <c r="Z1562" i="1"/>
  <c r="AL1562" i="1" s="1"/>
  <c r="AM1562" i="1" s="1"/>
  <c r="Y1562" i="1"/>
  <c r="AQ1567" i="1"/>
  <c r="AL1567" i="1"/>
  <c r="AM1567" i="1" s="1"/>
  <c r="AL1637" i="1"/>
  <c r="AM1637" i="1" s="1"/>
  <c r="AQ1572" i="1"/>
  <c r="AT1561" i="1"/>
  <c r="Z1561" i="1"/>
  <c r="Y1561" i="1"/>
  <c r="AT1560" i="1"/>
  <c r="Z1560" i="1"/>
  <c r="Y1560" i="1"/>
  <c r="AT1559" i="1"/>
  <c r="Z1559" i="1"/>
  <c r="Y1559" i="1"/>
  <c r="Y1558" i="1"/>
  <c r="Z1558" i="1"/>
  <c r="AS1534" i="1"/>
  <c r="AQ1555" i="1"/>
  <c r="AL1555" i="1"/>
  <c r="AM1555" i="1" s="1"/>
  <c r="AT1557" i="1"/>
  <c r="Z1557" i="1"/>
  <c r="Y1557" i="1"/>
  <c r="AL1550" i="1"/>
  <c r="AM1550" i="1" s="1"/>
  <c r="AL1554" i="1"/>
  <c r="AM1554" i="1"/>
  <c r="AL1556" i="1"/>
  <c r="AM1556" i="1" s="1"/>
  <c r="AL1638" i="1"/>
  <c r="AM1638" i="1" s="1"/>
  <c r="AL1640" i="1"/>
  <c r="AM1640" i="1" s="1"/>
  <c r="AL1641" i="1"/>
  <c r="AM1641" i="1" s="1"/>
  <c r="AL1642" i="1"/>
  <c r="AM1642" i="1" s="1"/>
  <c r="AL1643" i="1"/>
  <c r="AM1643" i="1" s="1"/>
  <c r="AL1644" i="1"/>
  <c r="AM1644" i="1"/>
  <c r="AL2628" i="1"/>
  <c r="AM2628" i="1" s="1"/>
  <c r="AL2630" i="1"/>
  <c r="AM2630" i="1" s="1"/>
  <c r="AQ1558" i="1"/>
  <c r="AQ1556" i="1"/>
  <c r="AQ1554" i="1"/>
  <c r="AT1553" i="1"/>
  <c r="Z1553" i="1"/>
  <c r="Y1553" i="1"/>
  <c r="AT1548" i="1"/>
  <c r="AT1549" i="1"/>
  <c r="AQ1641" i="1"/>
  <c r="AQ1640" i="1"/>
  <c r="AQ1638" i="1"/>
  <c r="Y1551" i="1"/>
  <c r="Z1551" i="1"/>
  <c r="AQ1552" i="1"/>
  <c r="AL1552" i="1"/>
  <c r="AM1552" i="1" s="1"/>
  <c r="AQ1550" i="1"/>
  <c r="Z1549" i="1"/>
  <c r="Y1549" i="1"/>
  <c r="Y1548" i="1"/>
  <c r="Z1548" i="1"/>
  <c r="AL1548" i="1" s="1"/>
  <c r="AM1548" i="1" s="1"/>
  <c r="AT1546" i="1"/>
  <c r="AT1547" i="1"/>
  <c r="Z1547" i="1"/>
  <c r="AL1547" i="1" s="1"/>
  <c r="AM1547" i="1" s="1"/>
  <c r="Y1547" i="1"/>
  <c r="Z1546" i="1"/>
  <c r="AL1546" i="1" s="1"/>
  <c r="AM1546" i="1" s="1"/>
  <c r="Y1546" i="1"/>
  <c r="AQ1643" i="1"/>
  <c r="AQ1642" i="1"/>
  <c r="Z1545" i="1"/>
  <c r="AL1545" i="1" s="1"/>
  <c r="AM1545" i="1" s="1"/>
  <c r="Y1545" i="1"/>
  <c r="AT1544" i="1"/>
  <c r="AT1545" i="1"/>
  <c r="Z1544" i="1"/>
  <c r="Y1544" i="1"/>
  <c r="AS1540" i="1"/>
  <c r="AS1539" i="1"/>
  <c r="Z1540" i="1"/>
  <c r="AL1540" i="1" s="1"/>
  <c r="AM1540" i="1" s="1"/>
  <c r="Y1540" i="1"/>
  <c r="Z1539" i="1"/>
  <c r="AL1539" i="1" s="1"/>
  <c r="AM1539" i="1" s="1"/>
  <c r="Y1539" i="1"/>
  <c r="AT1535" i="1"/>
  <c r="Z1535" i="1"/>
  <c r="AL1535" i="1" s="1"/>
  <c r="AM1535" i="1" s="1"/>
  <c r="Y1535" i="1"/>
  <c r="Z1534" i="1"/>
  <c r="AL1534" i="1" s="1"/>
  <c r="AM1534" i="1" s="1"/>
  <c r="Y1534" i="1"/>
  <c r="AT1532" i="1"/>
  <c r="AQ1538" i="1"/>
  <c r="AL1538" i="1"/>
  <c r="AM1538" i="1" s="1"/>
  <c r="AQ1537" i="1"/>
  <c r="AL1537" i="1"/>
  <c r="AM1537" i="1" s="1"/>
  <c r="AQ1536" i="1"/>
  <c r="AL1536" i="1"/>
  <c r="AM1536" i="1" s="1"/>
  <c r="AQ1543" i="1"/>
  <c r="AL1543" i="1"/>
  <c r="AM1543" i="1" s="1"/>
  <c r="AQ1542" i="1"/>
  <c r="AL1542" i="1"/>
  <c r="AM1542" i="1" s="1"/>
  <c r="AQ1541" i="1"/>
  <c r="AL1541" i="1"/>
  <c r="AM1541" i="1" s="1"/>
  <c r="AT1529" i="1"/>
  <c r="AT1531" i="1"/>
  <c r="AD1533" i="1"/>
  <c r="AT1533" i="1" s="1"/>
  <c r="Z1533" i="1"/>
  <c r="AL1533" i="1" s="1"/>
  <c r="AM1533" i="1" s="1"/>
  <c r="Y1533" i="1"/>
  <c r="Z1532" i="1"/>
  <c r="AV1532" i="1" s="1"/>
  <c r="AU1532" i="1" s="1"/>
  <c r="Y1532" i="1"/>
  <c r="Z1531" i="1"/>
  <c r="Y1531" i="1"/>
  <c r="Z1529" i="1"/>
  <c r="Y1529" i="1"/>
  <c r="AQ1530" i="1"/>
  <c r="AL1530" i="1"/>
  <c r="AM1530" i="1" s="1"/>
  <c r="AQ1528" i="1"/>
  <c r="AL1528" i="1"/>
  <c r="AM1528" i="1" s="1"/>
  <c r="AQ1644" i="1"/>
  <c r="AQ1531" i="1"/>
  <c r="AQ1515" i="1"/>
  <c r="AL1515" i="1"/>
  <c r="AM1515" i="1" s="1"/>
  <c r="AT1527" i="1"/>
  <c r="Z1527" i="1"/>
  <c r="AL1527" i="1" s="1"/>
  <c r="AM1527" i="1" s="1"/>
  <c r="Y1527" i="1"/>
  <c r="AT1513" i="1"/>
  <c r="Y1513" i="1"/>
  <c r="Z1513" i="1"/>
  <c r="AL1514" i="1"/>
  <c r="AM1514" i="1" s="1"/>
  <c r="AT1512" i="1"/>
  <c r="Z1512" i="1"/>
  <c r="Y1512" i="1"/>
  <c r="AT1511" i="1"/>
  <c r="Z1511" i="1"/>
  <c r="AL1511" i="1" s="1"/>
  <c r="AM1511" i="1" s="1"/>
  <c r="Y1511" i="1"/>
  <c r="Z1394" i="1"/>
  <c r="Z1389" i="1"/>
  <c r="AL1389" i="1" s="1"/>
  <c r="AM1389" i="1" s="1"/>
  <c r="AQ1514" i="1"/>
  <c r="AQ1510" i="1"/>
  <c r="AL1510" i="1"/>
  <c r="AM1510" i="1" s="1"/>
  <c r="AT1505" i="1"/>
  <c r="AV1505" i="1"/>
  <c r="AU1505" i="1" s="1"/>
  <c r="AT1508" i="1"/>
  <c r="AS1489" i="1"/>
  <c r="Z1508" i="1"/>
  <c r="AV1508" i="1" s="1"/>
  <c r="AU1508" i="1" s="1"/>
  <c r="Y1508" i="1"/>
  <c r="Y1506" i="1"/>
  <c r="Z1506" i="1"/>
  <c r="AD1504" i="1"/>
  <c r="AT1504" i="1" s="1"/>
  <c r="Z1504" i="1"/>
  <c r="AL1504" i="1" s="1"/>
  <c r="AM1504" i="1" s="1"/>
  <c r="Y1504" i="1"/>
  <c r="AT1502" i="1"/>
  <c r="AT1503" i="1"/>
  <c r="Z1503" i="1"/>
  <c r="Y1503" i="1"/>
  <c r="Z1502" i="1"/>
  <c r="AL1502" i="1" s="1"/>
  <c r="AM1502" i="1" s="1"/>
  <c r="Y1502" i="1"/>
  <c r="AT1501" i="1"/>
  <c r="Z1501" i="1"/>
  <c r="AL1501" i="1" s="1"/>
  <c r="AM1501" i="1" s="1"/>
  <c r="Y1501" i="1"/>
  <c r="AS1500" i="1"/>
  <c r="AD1500" i="1"/>
  <c r="Y1497" i="1"/>
  <c r="Z1497" i="1"/>
  <c r="Y1498" i="1"/>
  <c r="Z1498" i="1"/>
  <c r="Y1499" i="1"/>
  <c r="Z1499" i="1"/>
  <c r="Y1500" i="1"/>
  <c r="Z1500" i="1"/>
  <c r="AL1500" i="1" s="1"/>
  <c r="AM1500" i="1" s="1"/>
  <c r="AD1489" i="1"/>
  <c r="AQ1505" i="1"/>
  <c r="AL1505" i="1"/>
  <c r="AM1505" i="1" s="1"/>
  <c r="AQ1507" i="1"/>
  <c r="AL1507" i="1"/>
  <c r="AM1507" i="1" s="1"/>
  <c r="AQ1506" i="1"/>
  <c r="AQ1509" i="1"/>
  <c r="AL1509" i="1"/>
  <c r="AM1509" i="1" s="1"/>
  <c r="AS1494" i="1"/>
  <c r="AT1494" i="1"/>
  <c r="Z1494" i="1"/>
  <c r="AL1494" i="1" s="1"/>
  <c r="AM1494" i="1" s="1"/>
  <c r="Y1494" i="1"/>
  <c r="AT1493" i="1"/>
  <c r="Z1493" i="1"/>
  <c r="AL1493" i="1" s="1"/>
  <c r="AM1493" i="1" s="1"/>
  <c r="Y1493" i="1"/>
  <c r="AS1394" i="1"/>
  <c r="Z1489" i="1"/>
  <c r="Y1489" i="1"/>
  <c r="AQ1492" i="1"/>
  <c r="AL1492" i="1"/>
  <c r="AM1492" i="1" s="1"/>
  <c r="AQ1491" i="1"/>
  <c r="AL1491" i="1"/>
  <c r="AM1491" i="1" s="1"/>
  <c r="AQ1490" i="1"/>
  <c r="AL1490" i="1"/>
  <c r="AM1490" i="1" s="1"/>
  <c r="AQ1496" i="1"/>
  <c r="AL1496" i="1"/>
  <c r="AM1496" i="1" s="1"/>
  <c r="AQ1495" i="1"/>
  <c r="AL1495" i="1"/>
  <c r="AM1495" i="1" s="1"/>
  <c r="AQ1498" i="1"/>
  <c r="AQ1497" i="1"/>
  <c r="AQ1499" i="1"/>
  <c r="AT1485" i="1"/>
  <c r="AT1483" i="1"/>
  <c r="AT1478" i="1"/>
  <c r="AT1486" i="1"/>
  <c r="Z1486" i="1"/>
  <c r="Y1486" i="1"/>
  <c r="Z1485" i="1"/>
  <c r="Y1485" i="1"/>
  <c r="AT1481" i="1"/>
  <c r="Z1483" i="1"/>
  <c r="AL1483" i="1" s="1"/>
  <c r="AM1483" i="1" s="1"/>
  <c r="Y1483" i="1"/>
  <c r="AQ1479" i="1"/>
  <c r="AL1479" i="1"/>
  <c r="AM1479" i="1" s="1"/>
  <c r="AQ1480" i="1"/>
  <c r="AL1480" i="1"/>
  <c r="AM1480" i="1" s="1"/>
  <c r="Z1481" i="1"/>
  <c r="AL1481" i="1" s="1"/>
  <c r="AM1481" i="1" s="1"/>
  <c r="Y1481" i="1"/>
  <c r="AS1477" i="1"/>
  <c r="AT1477" i="1" s="1"/>
  <c r="AT1472" i="1"/>
  <c r="AV1472" i="1"/>
  <c r="AU1472" i="1" s="1"/>
  <c r="AT1473" i="1"/>
  <c r="AV1473" i="1"/>
  <c r="AU1473" i="1" s="1"/>
  <c r="AT1474" i="1"/>
  <c r="AV1474" i="1"/>
  <c r="AU1474" i="1" s="1"/>
  <c r="AT1475" i="1"/>
  <c r="AV1475" i="1"/>
  <c r="AU1475" i="1" s="1"/>
  <c r="AT1476" i="1"/>
  <c r="AV1476" i="1"/>
  <c r="AU1476" i="1" s="1"/>
  <c r="AT1471" i="1"/>
  <c r="Z1478" i="1"/>
  <c r="AL1478" i="1" s="1"/>
  <c r="AM1478" i="1" s="1"/>
  <c r="Y1478" i="1"/>
  <c r="BQ1389" i="1"/>
  <c r="BQ1390" i="1"/>
  <c r="BQ1391" i="1"/>
  <c r="BQ1392" i="1"/>
  <c r="BQ1393" i="1"/>
  <c r="BQ1394" i="1"/>
  <c r="BQ1395" i="1"/>
  <c r="BQ1396" i="1"/>
  <c r="BQ1397" i="1"/>
  <c r="BQ1398" i="1"/>
  <c r="BQ1399" i="1"/>
  <c r="BQ1400" i="1"/>
  <c r="BQ1401" i="1"/>
  <c r="BQ1402" i="1"/>
  <c r="BQ1403" i="1"/>
  <c r="BQ1404" i="1"/>
  <c r="BQ1405" i="1"/>
  <c r="BQ1406" i="1"/>
  <c r="BQ1388" i="1"/>
  <c r="BQ113" i="1"/>
  <c r="BQ114" i="1"/>
  <c r="BQ115" i="1"/>
  <c r="BQ116" i="1"/>
  <c r="BQ117" i="1"/>
  <c r="BQ118" i="1"/>
  <c r="BQ119" i="1"/>
  <c r="BQ120" i="1"/>
  <c r="BQ121" i="1"/>
  <c r="BQ122" i="1"/>
  <c r="BQ123" i="1"/>
  <c r="BQ124" i="1"/>
  <c r="BQ125" i="1"/>
  <c r="BQ126" i="1"/>
  <c r="BQ127" i="1"/>
  <c r="BQ128" i="1"/>
  <c r="BQ129" i="1"/>
  <c r="BQ130" i="1"/>
  <c r="BQ131" i="1"/>
  <c r="BQ134" i="1"/>
  <c r="BQ135" i="1"/>
  <c r="BQ136" i="1"/>
  <c r="BQ137" i="1"/>
  <c r="BQ138" i="1"/>
  <c r="BQ139" i="1"/>
  <c r="Z1477" i="1"/>
  <c r="Y1477" i="1"/>
  <c r="Z1471" i="1"/>
  <c r="Y1471" i="1"/>
  <c r="AT1464" i="1"/>
  <c r="AT1469" i="1"/>
  <c r="Z1469" i="1"/>
  <c r="Y1469" i="1"/>
  <c r="AL1467" i="1"/>
  <c r="AM1467" i="1" s="1"/>
  <c r="AQ1467" i="1"/>
  <c r="AL1468" i="1"/>
  <c r="AM1468" i="1" s="1"/>
  <c r="AQ1468" i="1"/>
  <c r="AL1470" i="1"/>
  <c r="AM1470" i="1" s="1"/>
  <c r="AQ1470" i="1"/>
  <c r="AL1472" i="1"/>
  <c r="AM1472" i="1"/>
  <c r="AQ1472" i="1"/>
  <c r="AL1473" i="1"/>
  <c r="AM1473" i="1" s="1"/>
  <c r="AQ1473" i="1"/>
  <c r="AL1474" i="1"/>
  <c r="AM1474" i="1" s="1"/>
  <c r="AQ1474" i="1"/>
  <c r="AL1475" i="1"/>
  <c r="AM1475" i="1" s="1"/>
  <c r="AQ1475" i="1"/>
  <c r="AL1476" i="1"/>
  <c r="AM1476" i="1" s="1"/>
  <c r="AQ1476" i="1"/>
  <c r="AL1482" i="1"/>
  <c r="AM1482" i="1" s="1"/>
  <c r="AQ1482" i="1"/>
  <c r="AL1484" i="1"/>
  <c r="AM1484" i="1" s="1"/>
  <c r="AQ1484" i="1"/>
  <c r="AL1466" i="1"/>
  <c r="AM1466" i="1" s="1"/>
  <c r="Z1464" i="1"/>
  <c r="Y1464" i="1"/>
  <c r="AQ1466" i="1"/>
  <c r="AQ1465" i="1"/>
  <c r="AL1465" i="1"/>
  <c r="AM1465" i="1" s="1"/>
  <c r="AS1463" i="1"/>
  <c r="Z1463" i="1"/>
  <c r="AL1463" i="1" s="1"/>
  <c r="AM1463" i="1" s="1"/>
  <c r="Y1463" i="1"/>
  <c r="AS1434" i="1"/>
  <c r="AT1459" i="1"/>
  <c r="AT1460" i="1"/>
  <c r="AT1456" i="1"/>
  <c r="AV1456" i="1"/>
  <c r="AU1456" i="1" s="1"/>
  <c r="AT1458" i="1"/>
  <c r="AT1461" i="1"/>
  <c r="Z1461" i="1"/>
  <c r="AL1461" i="1" s="1"/>
  <c r="AM1461" i="1" s="1"/>
  <c r="Y1461" i="1"/>
  <c r="Z1460" i="1"/>
  <c r="AL1460" i="1" s="1"/>
  <c r="AM1460" i="1" s="1"/>
  <c r="Y1460" i="1"/>
  <c r="Z1459" i="1"/>
  <c r="Y1459" i="1"/>
  <c r="AM1457" i="1"/>
  <c r="Y1457" i="1"/>
  <c r="Z1457" i="1"/>
  <c r="Y1458" i="1"/>
  <c r="Z1458" i="1"/>
  <c r="AQ1462" i="1"/>
  <c r="AL1462" i="1"/>
  <c r="AM1462" i="1" s="1"/>
  <c r="AQ1457" i="1"/>
  <c r="AT1455" i="1"/>
  <c r="AQ1488" i="1"/>
  <c r="AL1488" i="1"/>
  <c r="AM1488" i="1" s="1"/>
  <c r="AQ1487" i="1"/>
  <c r="AL1487" i="1"/>
  <c r="AM1487" i="1" s="1"/>
  <c r="BL135" i="1"/>
  <c r="BL134" i="1"/>
  <c r="BK134" i="1"/>
  <c r="BJ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I238" i="1"/>
  <c r="BI239" i="1"/>
  <c r="BI240" i="1"/>
  <c r="BI241" i="1"/>
  <c r="BI242" i="1"/>
  <c r="BI243" i="1"/>
  <c r="BI244" i="1"/>
  <c r="BI245" i="1"/>
  <c r="BI1388" i="1"/>
  <c r="BI1389" i="1"/>
  <c r="BI1390" i="1"/>
  <c r="BI1391" i="1"/>
  <c r="BI1392" i="1"/>
  <c r="BI134" i="1"/>
  <c r="AL1456" i="1"/>
  <c r="AM1456" i="1" s="1"/>
  <c r="AQ1454" i="1"/>
  <c r="Z1455" i="1"/>
  <c r="Y1455" i="1"/>
  <c r="AT1453" i="1"/>
  <c r="AT1451" i="1"/>
  <c r="AT1452" i="1"/>
  <c r="AQ1518" i="1"/>
  <c r="AL1518" i="1"/>
  <c r="AM1518" i="1" s="1"/>
  <c r="AQ1517" i="1"/>
  <c r="AL1517" i="1"/>
  <c r="AM1517" i="1" s="1"/>
  <c r="AQ1516" i="1"/>
  <c r="AL1516" i="1"/>
  <c r="AM1516" i="1" s="1"/>
  <c r="AQ1456" i="1"/>
  <c r="AQ1520" i="1"/>
  <c r="AL1520" i="1"/>
  <c r="AM1520" i="1" s="1"/>
  <c r="AQ1519" i="1"/>
  <c r="AL1519" i="1"/>
  <c r="AM1519" i="1" s="1"/>
  <c r="AQ1525" i="1"/>
  <c r="Z1525" i="1"/>
  <c r="AQ1526" i="1"/>
  <c r="AL1526" i="1"/>
  <c r="AM1526" i="1" s="1"/>
  <c r="AL1521" i="1"/>
  <c r="AM1521" i="1" s="1"/>
  <c r="AL1522" i="1"/>
  <c r="AM1522" i="1" s="1"/>
  <c r="AL1523" i="1"/>
  <c r="AM1523" i="1" s="1"/>
  <c r="AL1524" i="1"/>
  <c r="AM1524" i="1" s="1"/>
  <c r="BL1389" i="1"/>
  <c r="BL1390" i="1"/>
  <c r="BL1391" i="1"/>
  <c r="BL1392" i="1"/>
  <c r="BL1388" i="1"/>
  <c r="Z1453" i="1"/>
  <c r="Y1453" i="1"/>
  <c r="Z1452" i="1"/>
  <c r="Y1452" i="1"/>
  <c r="Z1451" i="1"/>
  <c r="Y1451" i="1"/>
  <c r="AT1450" i="1"/>
  <c r="Z1450" i="1"/>
  <c r="Y1450" i="1"/>
  <c r="AT1449" i="1"/>
  <c r="AT1446" i="1"/>
  <c r="Z1449" i="1"/>
  <c r="Y1449" i="1"/>
  <c r="AS1438" i="1"/>
  <c r="AT1438" i="1" s="1"/>
  <c r="W320" i="2"/>
  <c r="V320" i="2"/>
  <c r="W319" i="2"/>
  <c r="V319" i="2"/>
  <c r="AL1442" i="1"/>
  <c r="AM1442" i="1" s="1"/>
  <c r="AT1441" i="1"/>
  <c r="AT1445" i="1"/>
  <c r="Z1446" i="1"/>
  <c r="Y1446" i="1"/>
  <c r="Y1443" i="1"/>
  <c r="Z1443" i="1"/>
  <c r="Y1444" i="1"/>
  <c r="Z1444" i="1"/>
  <c r="Y1445" i="1"/>
  <c r="Z1445" i="1"/>
  <c r="AQ1448" i="1"/>
  <c r="AQ1447" i="1"/>
  <c r="AQ1444" i="1"/>
  <c r="AQ1443" i="1"/>
  <c r="AQ1522" i="1"/>
  <c r="AQ1521" i="1"/>
  <c r="Z1441" i="1"/>
  <c r="Y1441" i="1"/>
  <c r="AT1440" i="1"/>
  <c r="Z1440" i="1"/>
  <c r="Y1440" i="1"/>
  <c r="Z1438" i="1"/>
  <c r="Y1438" i="1"/>
  <c r="AT1436" i="1"/>
  <c r="Z1436" i="1"/>
  <c r="Y1436"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5" i="1"/>
  <c r="AQ146" i="1"/>
  <c r="AQ147" i="1"/>
  <c r="AQ148" i="1"/>
  <c r="AQ150" i="1"/>
  <c r="AQ151" i="1"/>
  <c r="AQ152" i="1"/>
  <c r="AQ153" i="1"/>
  <c r="AQ154" i="1"/>
  <c r="AQ155" i="1"/>
  <c r="AQ156" i="1"/>
  <c r="AQ157" i="1"/>
  <c r="AQ158" i="1"/>
  <c r="AQ159" i="1"/>
  <c r="AQ160"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1"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6" i="1"/>
  <c r="AQ377" i="1"/>
  <c r="AQ378" i="1"/>
  <c r="AQ379" i="1"/>
  <c r="AQ380" i="1"/>
  <c r="AQ381"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Q540" i="1"/>
  <c r="AQ541" i="1"/>
  <c r="AQ542" i="1"/>
  <c r="AQ543" i="1"/>
  <c r="AQ544" i="1"/>
  <c r="AQ545" i="1"/>
  <c r="AQ546" i="1"/>
  <c r="AQ547" i="1"/>
  <c r="AQ548" i="1"/>
  <c r="AQ549" i="1"/>
  <c r="AQ550" i="1"/>
  <c r="AQ551" i="1"/>
  <c r="AQ552" i="1"/>
  <c r="AQ553" i="1"/>
  <c r="AQ554" i="1"/>
  <c r="AQ555" i="1"/>
  <c r="AQ556" i="1"/>
  <c r="AQ557" i="1"/>
  <c r="AQ558" i="1"/>
  <c r="AQ559" i="1"/>
  <c r="AQ560" i="1"/>
  <c r="AQ561" i="1"/>
  <c r="AQ562" i="1"/>
  <c r="AQ563" i="1"/>
  <c r="AQ564" i="1"/>
  <c r="AQ565" i="1"/>
  <c r="AQ566" i="1"/>
  <c r="AQ567" i="1"/>
  <c r="AQ568" i="1"/>
  <c r="AQ569" i="1"/>
  <c r="AQ570" i="1"/>
  <c r="AQ571" i="1"/>
  <c r="AQ572" i="1"/>
  <c r="AQ573" i="1"/>
  <c r="AQ574" i="1"/>
  <c r="AQ575" i="1"/>
  <c r="AQ576" i="1"/>
  <c r="AQ577" i="1"/>
  <c r="AQ578" i="1"/>
  <c r="AQ579" i="1"/>
  <c r="AQ580" i="1"/>
  <c r="AQ581" i="1"/>
  <c r="AQ582" i="1"/>
  <c r="AQ583" i="1"/>
  <c r="AQ584" i="1"/>
  <c r="AQ585" i="1"/>
  <c r="AQ586" i="1"/>
  <c r="AQ587" i="1"/>
  <c r="AQ588" i="1"/>
  <c r="AQ589" i="1"/>
  <c r="AQ590" i="1"/>
  <c r="AQ591" i="1"/>
  <c r="AQ592" i="1"/>
  <c r="AQ593" i="1"/>
  <c r="AQ595" i="1"/>
  <c r="AQ596" i="1"/>
  <c r="AQ597" i="1"/>
  <c r="AQ598" i="1"/>
  <c r="AQ599" i="1"/>
  <c r="AQ600" i="1"/>
  <c r="AQ601" i="1"/>
  <c r="AQ602" i="1"/>
  <c r="AQ603" i="1"/>
  <c r="AQ604" i="1"/>
  <c r="AQ605" i="1"/>
  <c r="AQ606" i="1"/>
  <c r="AQ607" i="1"/>
  <c r="AQ609" i="1"/>
  <c r="AQ610" i="1"/>
  <c r="AQ611" i="1"/>
  <c r="AQ612" i="1"/>
  <c r="AQ613" i="1"/>
  <c r="AQ614" i="1"/>
  <c r="AQ615" i="1"/>
  <c r="AQ616" i="1"/>
  <c r="AQ617" i="1"/>
  <c r="AQ618" i="1"/>
  <c r="AQ619" i="1"/>
  <c r="AQ620" i="1"/>
  <c r="AQ621" i="1"/>
  <c r="AQ622" i="1"/>
  <c r="AQ623" i="1"/>
  <c r="AQ624" i="1"/>
  <c r="AQ625" i="1"/>
  <c r="AQ626" i="1"/>
  <c r="AQ627" i="1"/>
  <c r="AQ628" i="1"/>
  <c r="AQ629" i="1"/>
  <c r="AQ630" i="1"/>
  <c r="AQ631" i="1"/>
  <c r="AQ632" i="1"/>
  <c r="AQ633" i="1"/>
  <c r="AQ634" i="1"/>
  <c r="AQ635" i="1"/>
  <c r="AQ636" i="1"/>
  <c r="AQ637" i="1"/>
  <c r="AQ638" i="1"/>
  <c r="AQ639" i="1"/>
  <c r="AQ640" i="1"/>
  <c r="AQ641" i="1"/>
  <c r="AQ642" i="1"/>
  <c r="AQ643" i="1"/>
  <c r="AQ644" i="1"/>
  <c r="AQ645" i="1"/>
  <c r="AQ646" i="1"/>
  <c r="AQ647" i="1"/>
  <c r="AQ648" i="1"/>
  <c r="AQ649" i="1"/>
  <c r="AQ650" i="1"/>
  <c r="AQ651" i="1"/>
  <c r="AQ652" i="1"/>
  <c r="AQ653" i="1"/>
  <c r="AQ654" i="1"/>
  <c r="AQ655" i="1"/>
  <c r="AQ656" i="1"/>
  <c r="AQ657" i="1"/>
  <c r="AQ658" i="1"/>
  <c r="AQ659" i="1"/>
  <c r="AQ660" i="1"/>
  <c r="AQ661" i="1"/>
  <c r="AQ662" i="1"/>
  <c r="AQ663" i="1"/>
  <c r="AQ664" i="1"/>
  <c r="AQ665" i="1"/>
  <c r="AQ666" i="1"/>
  <c r="AQ667" i="1"/>
  <c r="AQ668" i="1"/>
  <c r="AQ669" i="1"/>
  <c r="AQ670" i="1"/>
  <c r="AQ671" i="1"/>
  <c r="AQ672" i="1"/>
  <c r="AQ673" i="1"/>
  <c r="AQ674" i="1"/>
  <c r="AQ675" i="1"/>
  <c r="AQ676" i="1"/>
  <c r="AQ677" i="1"/>
  <c r="AQ678" i="1"/>
  <c r="AQ679" i="1"/>
  <c r="AQ680" i="1"/>
  <c r="AQ681" i="1"/>
  <c r="AQ682" i="1"/>
  <c r="AQ683" i="1"/>
  <c r="AQ684" i="1"/>
  <c r="AQ685" i="1"/>
  <c r="AQ686" i="1"/>
  <c r="AQ687" i="1"/>
  <c r="AQ688" i="1"/>
  <c r="AQ689" i="1"/>
  <c r="AQ690" i="1"/>
  <c r="AQ691" i="1"/>
  <c r="AQ692" i="1"/>
  <c r="AQ693" i="1"/>
  <c r="AQ694" i="1"/>
  <c r="AQ695" i="1"/>
  <c r="AQ696" i="1"/>
  <c r="AQ697" i="1"/>
  <c r="AQ698" i="1"/>
  <c r="AQ699" i="1"/>
  <c r="AQ700" i="1"/>
  <c r="AQ701" i="1"/>
  <c r="AQ702" i="1"/>
  <c r="AQ703" i="1"/>
  <c r="AQ704" i="1"/>
  <c r="AQ705" i="1"/>
  <c r="AQ706" i="1"/>
  <c r="AQ707" i="1"/>
  <c r="AQ708" i="1"/>
  <c r="AQ709" i="1"/>
  <c r="AQ710" i="1"/>
  <c r="AQ711" i="1"/>
  <c r="AQ712" i="1"/>
  <c r="AQ713" i="1"/>
  <c r="AQ714" i="1"/>
  <c r="AQ715" i="1"/>
  <c r="AQ716" i="1"/>
  <c r="AQ717" i="1"/>
  <c r="AQ718" i="1"/>
  <c r="AQ719" i="1"/>
  <c r="AQ720" i="1"/>
  <c r="AQ721" i="1"/>
  <c r="AQ722" i="1"/>
  <c r="AQ723" i="1"/>
  <c r="AQ724" i="1"/>
  <c r="AQ725" i="1"/>
  <c r="AQ726" i="1"/>
  <c r="AQ727" i="1"/>
  <c r="AQ728" i="1"/>
  <c r="AQ729" i="1"/>
  <c r="AQ730" i="1"/>
  <c r="AQ731" i="1"/>
  <c r="AQ732" i="1"/>
  <c r="AQ733" i="1"/>
  <c r="AQ734" i="1"/>
  <c r="AQ735" i="1"/>
  <c r="AQ736" i="1"/>
  <c r="AQ737" i="1"/>
  <c r="AQ738" i="1"/>
  <c r="AQ739" i="1"/>
  <c r="AQ740" i="1"/>
  <c r="AQ741" i="1"/>
  <c r="AQ742" i="1"/>
  <c r="AQ743" i="1"/>
  <c r="AQ744" i="1"/>
  <c r="AQ745" i="1"/>
  <c r="AQ747" i="1"/>
  <c r="AQ748" i="1"/>
  <c r="AQ749" i="1"/>
  <c r="AQ750" i="1"/>
  <c r="AQ751" i="1"/>
  <c r="AQ752" i="1"/>
  <c r="AQ753" i="1"/>
  <c r="AQ754" i="1"/>
  <c r="AQ755" i="1"/>
  <c r="AQ756" i="1"/>
  <c r="AQ757" i="1"/>
  <c r="AQ758" i="1"/>
  <c r="AQ759" i="1"/>
  <c r="AQ760" i="1"/>
  <c r="AQ761" i="1"/>
  <c r="AQ762" i="1"/>
  <c r="AQ763" i="1"/>
  <c r="AQ764" i="1"/>
  <c r="AQ765" i="1"/>
  <c r="AQ766" i="1"/>
  <c r="AQ767" i="1"/>
  <c r="AQ768" i="1"/>
  <c r="AQ769" i="1"/>
  <c r="AQ770" i="1"/>
  <c r="AQ771" i="1"/>
  <c r="AQ772" i="1"/>
  <c r="AQ773" i="1"/>
  <c r="AQ774" i="1"/>
  <c r="AQ775" i="1"/>
  <c r="AQ776" i="1"/>
  <c r="AQ777" i="1"/>
  <c r="AQ778" i="1"/>
  <c r="AQ779" i="1"/>
  <c r="AQ780" i="1"/>
  <c r="AQ781" i="1"/>
  <c r="AQ782" i="1"/>
  <c r="AQ783" i="1"/>
  <c r="AQ784" i="1"/>
  <c r="AQ785" i="1"/>
  <c r="AQ786" i="1"/>
  <c r="AQ787" i="1"/>
  <c r="AQ788" i="1"/>
  <c r="AQ789" i="1"/>
  <c r="AQ790" i="1"/>
  <c r="AQ791" i="1"/>
  <c r="AQ792" i="1"/>
  <c r="AQ793" i="1"/>
  <c r="AQ794" i="1"/>
  <c r="AQ795" i="1"/>
  <c r="AQ796" i="1"/>
  <c r="AQ797" i="1"/>
  <c r="AQ798" i="1"/>
  <c r="AQ799" i="1"/>
  <c r="AQ800" i="1"/>
  <c r="AQ801" i="1"/>
  <c r="AQ802" i="1"/>
  <c r="AQ803" i="1"/>
  <c r="AQ804" i="1"/>
  <c r="AQ805" i="1"/>
  <c r="AQ806" i="1"/>
  <c r="AQ807" i="1"/>
  <c r="AQ808" i="1"/>
  <c r="AQ809" i="1"/>
  <c r="AQ810" i="1"/>
  <c r="AQ811" i="1"/>
  <c r="AQ812" i="1"/>
  <c r="AQ813" i="1"/>
  <c r="AQ814" i="1"/>
  <c r="AQ815" i="1"/>
  <c r="AQ816" i="1"/>
  <c r="AQ817" i="1"/>
  <c r="AQ818" i="1"/>
  <c r="AQ819" i="1"/>
  <c r="AQ820" i="1"/>
  <c r="AQ821" i="1"/>
  <c r="AQ822" i="1"/>
  <c r="AQ823" i="1"/>
  <c r="AQ824" i="1"/>
  <c r="AQ825" i="1"/>
  <c r="AQ826" i="1"/>
  <c r="AQ827" i="1"/>
  <c r="AQ828" i="1"/>
  <c r="AQ829" i="1"/>
  <c r="AQ830" i="1"/>
  <c r="AQ831" i="1"/>
  <c r="AQ832" i="1"/>
  <c r="AQ833" i="1"/>
  <c r="AQ834" i="1"/>
  <c r="AQ835" i="1"/>
  <c r="AQ836" i="1"/>
  <c r="AQ837" i="1"/>
  <c r="AQ838" i="1"/>
  <c r="AQ839" i="1"/>
  <c r="AQ840" i="1"/>
  <c r="AQ841" i="1"/>
  <c r="AQ842" i="1"/>
  <c r="AQ843" i="1"/>
  <c r="AQ845" i="1"/>
  <c r="AQ846" i="1"/>
  <c r="AQ847" i="1"/>
  <c r="AQ848" i="1"/>
  <c r="AQ849" i="1"/>
  <c r="AQ850" i="1"/>
  <c r="AQ851" i="1"/>
  <c r="AQ852" i="1"/>
  <c r="AQ853" i="1"/>
  <c r="AQ854" i="1"/>
  <c r="AQ855" i="1"/>
  <c r="AQ856" i="1"/>
  <c r="AQ857" i="1"/>
  <c r="AQ858" i="1"/>
  <c r="AQ859" i="1"/>
  <c r="AQ860" i="1"/>
  <c r="AQ861" i="1"/>
  <c r="AQ862" i="1"/>
  <c r="AQ863" i="1"/>
  <c r="AQ864" i="1"/>
  <c r="AQ865" i="1"/>
  <c r="AQ866" i="1"/>
  <c r="AQ867" i="1"/>
  <c r="AQ868" i="1"/>
  <c r="AQ869" i="1"/>
  <c r="AQ870" i="1"/>
  <c r="AQ871" i="1"/>
  <c r="AQ872" i="1"/>
  <c r="AQ873" i="1"/>
  <c r="AQ874" i="1"/>
  <c r="AQ875" i="1"/>
  <c r="AQ876" i="1"/>
  <c r="AQ877" i="1"/>
  <c r="AQ878" i="1"/>
  <c r="AQ879" i="1"/>
  <c r="AQ880" i="1"/>
  <c r="AQ881" i="1"/>
  <c r="AQ882" i="1"/>
  <c r="AQ883" i="1"/>
  <c r="AQ884" i="1"/>
  <c r="AQ885" i="1"/>
  <c r="AQ886" i="1"/>
  <c r="AQ887" i="1"/>
  <c r="AQ888" i="1"/>
  <c r="AQ889" i="1"/>
  <c r="AQ890" i="1"/>
  <c r="AQ891" i="1"/>
  <c r="AQ892" i="1"/>
  <c r="AQ893" i="1"/>
  <c r="AQ894" i="1"/>
  <c r="AQ895" i="1"/>
  <c r="AQ896" i="1"/>
  <c r="AQ897" i="1"/>
  <c r="AQ898" i="1"/>
  <c r="AQ899" i="1"/>
  <c r="AQ900" i="1"/>
  <c r="AQ901" i="1"/>
  <c r="AQ902" i="1"/>
  <c r="AQ903" i="1"/>
  <c r="AQ904" i="1"/>
  <c r="AQ905" i="1"/>
  <c r="AQ906" i="1"/>
  <c r="AQ907" i="1"/>
  <c r="AQ908" i="1"/>
  <c r="AQ909" i="1"/>
  <c r="AQ910" i="1"/>
  <c r="AQ911" i="1"/>
  <c r="AQ912" i="1"/>
  <c r="AQ913" i="1"/>
  <c r="AQ914" i="1"/>
  <c r="AQ915" i="1"/>
  <c r="AQ916" i="1"/>
  <c r="AQ917" i="1"/>
  <c r="AQ918" i="1"/>
  <c r="AQ919" i="1"/>
  <c r="AQ920" i="1"/>
  <c r="AQ921" i="1"/>
  <c r="AQ922" i="1"/>
  <c r="AQ923" i="1"/>
  <c r="AQ924" i="1"/>
  <c r="AQ925" i="1"/>
  <c r="AQ926" i="1"/>
  <c r="AQ927" i="1"/>
  <c r="AQ928" i="1"/>
  <c r="AQ929" i="1"/>
  <c r="AQ930" i="1"/>
  <c r="AQ931" i="1"/>
  <c r="AQ932" i="1"/>
  <c r="AQ933" i="1"/>
  <c r="AQ934" i="1"/>
  <c r="AQ935" i="1"/>
  <c r="AQ936" i="1"/>
  <c r="AQ937" i="1"/>
  <c r="AQ938" i="1"/>
  <c r="AQ939" i="1"/>
  <c r="AQ940" i="1"/>
  <c r="AQ941" i="1"/>
  <c r="AQ942" i="1"/>
  <c r="AQ943" i="1"/>
  <c r="AQ944" i="1"/>
  <c r="AQ945" i="1"/>
  <c r="AQ946" i="1"/>
  <c r="AQ947" i="1"/>
  <c r="AQ948" i="1"/>
  <c r="AQ949" i="1"/>
  <c r="AQ950" i="1"/>
  <c r="AQ951" i="1"/>
  <c r="AQ952" i="1"/>
  <c r="AQ953" i="1"/>
  <c r="AQ954" i="1"/>
  <c r="AQ955" i="1"/>
  <c r="AQ956" i="1"/>
  <c r="AQ957" i="1"/>
  <c r="AQ958" i="1"/>
  <c r="AQ959" i="1"/>
  <c r="AQ960" i="1"/>
  <c r="AQ961" i="1"/>
  <c r="AQ962" i="1"/>
  <c r="AQ963" i="1"/>
  <c r="AQ964" i="1"/>
  <c r="AQ965" i="1"/>
  <c r="AQ966" i="1"/>
  <c r="AQ967" i="1"/>
  <c r="AQ968" i="1"/>
  <c r="AQ969" i="1"/>
  <c r="AQ970" i="1"/>
  <c r="AQ971" i="1"/>
  <c r="AQ972" i="1"/>
  <c r="AQ973" i="1"/>
  <c r="AQ974" i="1"/>
  <c r="AQ975" i="1"/>
  <c r="AQ976" i="1"/>
  <c r="AQ977" i="1"/>
  <c r="AQ978" i="1"/>
  <c r="AQ979" i="1"/>
  <c r="AQ980" i="1"/>
  <c r="AQ981" i="1"/>
  <c r="AQ982" i="1"/>
  <c r="AQ983" i="1"/>
  <c r="AQ984" i="1"/>
  <c r="AQ985" i="1"/>
  <c r="AQ986" i="1"/>
  <c r="AQ987" i="1"/>
  <c r="AQ988" i="1"/>
  <c r="AQ989" i="1"/>
  <c r="AQ990" i="1"/>
  <c r="AQ991" i="1"/>
  <c r="AQ992" i="1"/>
  <c r="AQ993" i="1"/>
  <c r="AQ994" i="1"/>
  <c r="AQ995" i="1"/>
  <c r="AQ996" i="1"/>
  <c r="AQ997" i="1"/>
  <c r="AQ998" i="1"/>
  <c r="AQ999" i="1"/>
  <c r="AQ1000" i="1"/>
  <c r="AQ1001" i="1"/>
  <c r="AQ1002" i="1"/>
  <c r="AQ1003" i="1"/>
  <c r="AQ1004" i="1"/>
  <c r="AQ1005" i="1"/>
  <c r="AQ1006" i="1"/>
  <c r="AQ1007" i="1"/>
  <c r="AQ1008" i="1"/>
  <c r="AQ1009" i="1"/>
  <c r="AQ1010" i="1"/>
  <c r="AQ1011" i="1"/>
  <c r="AQ1012" i="1"/>
  <c r="AQ1013" i="1"/>
  <c r="AQ1014" i="1"/>
  <c r="AQ1015" i="1"/>
  <c r="AQ1016" i="1"/>
  <c r="AQ1017" i="1"/>
  <c r="AQ1018" i="1"/>
  <c r="AQ1019" i="1"/>
  <c r="AQ1020" i="1"/>
  <c r="AQ1021" i="1"/>
  <c r="AQ1022" i="1"/>
  <c r="AQ1023" i="1"/>
  <c r="AQ1024" i="1"/>
  <c r="AQ1025" i="1"/>
  <c r="AQ1026" i="1"/>
  <c r="AQ1027" i="1"/>
  <c r="AQ1028" i="1"/>
  <c r="AQ1029" i="1"/>
  <c r="AQ1030" i="1"/>
  <c r="AQ1031" i="1"/>
  <c r="AQ1032" i="1"/>
  <c r="AQ1033" i="1"/>
  <c r="AQ1034" i="1"/>
  <c r="AQ1035" i="1"/>
  <c r="AQ1036" i="1"/>
  <c r="AQ1037" i="1"/>
  <c r="AQ1038" i="1"/>
  <c r="AQ1039" i="1"/>
  <c r="AQ1040" i="1"/>
  <c r="AQ1041" i="1"/>
  <c r="AQ1042" i="1"/>
  <c r="AQ1043" i="1"/>
  <c r="AQ1044" i="1"/>
  <c r="AQ1045" i="1"/>
  <c r="AQ1046" i="1"/>
  <c r="AQ1047" i="1"/>
  <c r="AQ1048" i="1"/>
  <c r="AQ1049" i="1"/>
  <c r="AQ1050" i="1"/>
  <c r="AQ1051" i="1"/>
  <c r="AQ1052" i="1"/>
  <c r="AQ1053" i="1"/>
  <c r="AQ1054" i="1"/>
  <c r="AQ1055" i="1"/>
  <c r="AQ1056" i="1"/>
  <c r="AQ1057" i="1"/>
  <c r="AQ1058" i="1"/>
  <c r="AQ1059" i="1"/>
  <c r="AQ1060" i="1"/>
  <c r="AQ1061" i="1"/>
  <c r="AQ1062" i="1"/>
  <c r="AQ1063" i="1"/>
  <c r="AQ1064" i="1"/>
  <c r="AQ1065" i="1"/>
  <c r="AQ1066" i="1"/>
  <c r="AQ1067" i="1"/>
  <c r="AQ1068" i="1"/>
  <c r="AQ1069" i="1"/>
  <c r="AQ1070" i="1"/>
  <c r="AQ1071" i="1"/>
  <c r="AQ1072" i="1"/>
  <c r="AQ1073" i="1"/>
  <c r="AQ1074" i="1"/>
  <c r="AQ1075" i="1"/>
  <c r="AQ1076" i="1"/>
  <c r="AQ1077" i="1"/>
  <c r="AQ1078" i="1"/>
  <c r="AQ1079" i="1"/>
  <c r="AQ1080" i="1"/>
  <c r="AQ1081" i="1"/>
  <c r="AQ1082" i="1"/>
  <c r="AQ1083" i="1"/>
  <c r="AQ1084" i="1"/>
  <c r="AQ1085" i="1"/>
  <c r="AQ1086" i="1"/>
  <c r="AQ1087" i="1"/>
  <c r="AQ1088" i="1"/>
  <c r="AQ1089" i="1"/>
  <c r="AQ1090" i="1"/>
  <c r="AQ1091" i="1"/>
  <c r="AQ1092" i="1"/>
  <c r="AQ1093" i="1"/>
  <c r="AQ1094" i="1"/>
  <c r="AQ1095" i="1"/>
  <c r="AQ1096" i="1"/>
  <c r="AQ1097" i="1"/>
  <c r="AQ1098" i="1"/>
  <c r="AQ1099" i="1"/>
  <c r="AQ1100" i="1"/>
  <c r="AQ1101" i="1"/>
  <c r="AQ1102" i="1"/>
  <c r="AQ1103" i="1"/>
  <c r="AQ1104" i="1"/>
  <c r="AQ1105" i="1"/>
  <c r="AQ1106" i="1"/>
  <c r="AQ1107" i="1"/>
  <c r="AQ1108" i="1"/>
  <c r="AQ1109" i="1"/>
  <c r="AQ1110" i="1"/>
  <c r="AQ1111" i="1"/>
  <c r="AQ1112" i="1"/>
  <c r="AQ1113" i="1"/>
  <c r="AQ1114" i="1"/>
  <c r="AQ1115" i="1"/>
  <c r="AQ1116" i="1"/>
  <c r="AQ1117" i="1"/>
  <c r="AQ1118" i="1"/>
  <c r="AQ1119" i="1"/>
  <c r="AQ1120" i="1"/>
  <c r="AQ1121" i="1"/>
  <c r="AQ1122" i="1"/>
  <c r="AQ1123" i="1"/>
  <c r="AQ1124" i="1"/>
  <c r="AQ1125" i="1"/>
  <c r="AQ1126" i="1"/>
  <c r="AQ1127" i="1"/>
  <c r="AQ1128" i="1"/>
  <c r="AQ1129" i="1"/>
  <c r="AQ1130" i="1"/>
  <c r="AQ1131" i="1"/>
  <c r="AQ1132" i="1"/>
  <c r="AQ1133" i="1"/>
  <c r="AQ1134" i="1"/>
  <c r="AQ1135" i="1"/>
  <c r="AQ1136" i="1"/>
  <c r="AQ1137" i="1"/>
  <c r="AQ1138" i="1"/>
  <c r="AQ1139" i="1"/>
  <c r="AQ1140" i="1"/>
  <c r="AQ1141" i="1"/>
  <c r="AQ1142" i="1"/>
  <c r="AQ1143" i="1"/>
  <c r="AQ1144" i="1"/>
  <c r="AQ1145" i="1"/>
  <c r="AQ1146" i="1"/>
  <c r="AQ1147" i="1"/>
  <c r="AQ1148" i="1"/>
  <c r="AQ1149" i="1"/>
  <c r="AQ1150" i="1"/>
  <c r="AQ1151" i="1"/>
  <c r="AQ1152" i="1"/>
  <c r="AQ1153" i="1"/>
  <c r="AQ1154" i="1"/>
  <c r="AQ1155" i="1"/>
  <c r="AQ1156" i="1"/>
  <c r="AQ1157" i="1"/>
  <c r="AQ1158" i="1"/>
  <c r="AQ1159" i="1"/>
  <c r="AQ1160" i="1"/>
  <c r="AQ1161" i="1"/>
  <c r="AQ1162" i="1"/>
  <c r="AQ1163" i="1"/>
  <c r="AQ1164" i="1"/>
  <c r="AQ1165" i="1"/>
  <c r="AQ1166" i="1"/>
  <c r="AQ1167" i="1"/>
  <c r="AQ1168" i="1"/>
  <c r="AQ1169" i="1"/>
  <c r="AQ1170" i="1"/>
  <c r="AQ1171" i="1"/>
  <c r="AQ1172" i="1"/>
  <c r="AQ1173" i="1"/>
  <c r="AQ1174" i="1"/>
  <c r="AQ1175" i="1"/>
  <c r="AQ1176" i="1"/>
  <c r="AQ1177" i="1"/>
  <c r="AQ1178" i="1"/>
  <c r="AQ1179" i="1"/>
  <c r="AQ1180" i="1"/>
  <c r="AQ1181" i="1"/>
  <c r="AQ1182" i="1"/>
  <c r="AQ1183" i="1"/>
  <c r="AQ1184" i="1"/>
  <c r="AQ1185" i="1"/>
  <c r="AQ1186" i="1"/>
  <c r="AQ1187" i="1"/>
  <c r="AQ1188" i="1"/>
  <c r="AQ1189" i="1"/>
  <c r="AQ1190" i="1"/>
  <c r="AQ1191" i="1"/>
  <c r="AQ1192" i="1"/>
  <c r="AQ1193" i="1"/>
  <c r="AQ1194" i="1"/>
  <c r="AQ1195" i="1"/>
  <c r="AQ1196" i="1"/>
  <c r="AQ1197" i="1"/>
  <c r="AQ1198" i="1"/>
  <c r="AQ1199" i="1"/>
  <c r="AQ1200" i="1"/>
  <c r="AQ1201" i="1"/>
  <c r="AQ1202" i="1"/>
  <c r="AQ1203" i="1"/>
  <c r="AQ1204" i="1"/>
  <c r="AQ1205" i="1"/>
  <c r="AQ1206" i="1"/>
  <c r="AQ1207" i="1"/>
  <c r="AQ1208" i="1"/>
  <c r="AQ1209" i="1"/>
  <c r="AQ1210" i="1"/>
  <c r="AQ1211" i="1"/>
  <c r="AQ1212" i="1"/>
  <c r="AQ1213" i="1"/>
  <c r="AQ1214" i="1"/>
  <c r="AQ1215" i="1"/>
  <c r="AQ1216" i="1"/>
  <c r="AQ1217" i="1"/>
  <c r="AQ1218" i="1"/>
  <c r="AQ1219" i="1"/>
  <c r="AQ1220" i="1"/>
  <c r="AQ1221" i="1"/>
  <c r="AQ1222" i="1"/>
  <c r="AQ1223" i="1"/>
  <c r="AQ1224" i="1"/>
  <c r="AQ1225" i="1"/>
  <c r="AQ1226" i="1"/>
  <c r="AQ1227" i="1"/>
  <c r="AQ1228" i="1"/>
  <c r="AQ1229" i="1"/>
  <c r="AQ1230" i="1"/>
  <c r="AQ1231" i="1"/>
  <c r="AQ1232" i="1"/>
  <c r="AQ1233" i="1"/>
  <c r="AQ1234" i="1"/>
  <c r="AQ1235" i="1"/>
  <c r="AQ1236" i="1"/>
  <c r="AQ1237" i="1"/>
  <c r="AQ1238" i="1"/>
  <c r="AQ1239" i="1"/>
  <c r="AQ1240" i="1"/>
  <c r="AQ1241" i="1"/>
  <c r="AQ1242" i="1"/>
  <c r="AQ1243" i="1"/>
  <c r="AQ1244" i="1"/>
  <c r="AQ1245" i="1"/>
  <c r="AQ1246" i="1"/>
  <c r="AQ1247" i="1"/>
  <c r="AQ1248" i="1"/>
  <c r="AQ1249" i="1"/>
  <c r="AQ1250" i="1"/>
  <c r="AQ1251" i="1"/>
  <c r="AQ1252" i="1"/>
  <c r="AQ1253" i="1"/>
  <c r="AQ1254" i="1"/>
  <c r="AQ1255" i="1"/>
  <c r="AQ1256" i="1"/>
  <c r="AQ1257" i="1"/>
  <c r="AQ1258" i="1"/>
  <c r="AQ1259" i="1"/>
  <c r="AQ1260" i="1"/>
  <c r="AQ1261" i="1"/>
  <c r="AQ1262" i="1"/>
  <c r="AQ1263" i="1"/>
  <c r="AQ1264" i="1"/>
  <c r="AQ1265" i="1"/>
  <c r="AQ1266" i="1"/>
  <c r="AQ1267" i="1"/>
  <c r="AQ1268" i="1"/>
  <c r="AQ1269" i="1"/>
  <c r="AQ1270" i="1"/>
  <c r="AQ1271" i="1"/>
  <c r="AQ1272" i="1"/>
  <c r="AQ1273" i="1"/>
  <c r="AQ1274" i="1"/>
  <c r="AQ1275" i="1"/>
  <c r="AQ1276" i="1"/>
  <c r="AQ1277" i="1"/>
  <c r="AQ1278" i="1"/>
  <c r="AQ1279" i="1"/>
  <c r="AQ1280" i="1"/>
  <c r="AQ1281" i="1"/>
  <c r="AQ1282" i="1"/>
  <c r="AQ1283" i="1"/>
  <c r="AQ1284" i="1"/>
  <c r="AQ1285" i="1"/>
  <c r="AQ1286" i="1"/>
  <c r="AQ1287" i="1"/>
  <c r="AQ1288" i="1"/>
  <c r="AQ1289" i="1"/>
  <c r="AQ1290" i="1"/>
  <c r="AQ1291" i="1"/>
  <c r="AQ1292" i="1"/>
  <c r="AQ1293" i="1"/>
  <c r="AQ1294" i="1"/>
  <c r="AQ1295" i="1"/>
  <c r="AQ1296" i="1"/>
  <c r="AQ1297" i="1"/>
  <c r="AQ1298" i="1"/>
  <c r="AQ1299" i="1"/>
  <c r="AQ1300" i="1"/>
  <c r="AQ1301" i="1"/>
  <c r="AQ1302" i="1"/>
  <c r="AQ1303" i="1"/>
  <c r="AQ1304" i="1"/>
  <c r="AQ1305" i="1"/>
  <c r="AQ1306" i="1"/>
  <c r="AQ1307" i="1"/>
  <c r="AQ1308" i="1"/>
  <c r="AQ1309" i="1"/>
  <c r="AQ1310" i="1"/>
  <c r="AQ1311" i="1"/>
  <c r="AQ1312" i="1"/>
  <c r="AQ1313" i="1"/>
  <c r="AQ1314" i="1"/>
  <c r="AQ1315" i="1"/>
  <c r="AQ1316" i="1"/>
  <c r="AQ1317" i="1"/>
  <c r="AQ1318" i="1"/>
  <c r="AQ1319" i="1"/>
  <c r="AQ1320" i="1"/>
  <c r="AQ1321" i="1"/>
  <c r="AQ1322" i="1"/>
  <c r="AQ1323" i="1"/>
  <c r="AQ1324" i="1"/>
  <c r="AQ1325" i="1"/>
  <c r="AQ1326" i="1"/>
  <c r="AQ1327" i="1"/>
  <c r="AQ1328" i="1"/>
  <c r="AQ1329" i="1"/>
  <c r="AQ1330" i="1"/>
  <c r="AQ1331" i="1"/>
  <c r="AQ1332" i="1"/>
  <c r="AQ1333" i="1"/>
  <c r="AQ1334" i="1"/>
  <c r="AQ1335" i="1"/>
  <c r="AQ1336" i="1"/>
  <c r="AQ1337" i="1"/>
  <c r="AQ1338" i="1"/>
  <c r="AQ1339" i="1"/>
  <c r="AQ1340" i="1"/>
  <c r="AQ1341" i="1"/>
  <c r="AQ1342" i="1"/>
  <c r="AQ1343" i="1"/>
  <c r="AQ1344" i="1"/>
  <c r="AQ1345" i="1"/>
  <c r="AQ1346" i="1"/>
  <c r="AQ1347" i="1"/>
  <c r="AQ1348" i="1"/>
  <c r="AQ1349" i="1"/>
  <c r="AQ1350" i="1"/>
  <c r="AQ1351" i="1"/>
  <c r="AQ1352" i="1"/>
  <c r="AQ1353" i="1"/>
  <c r="AQ1354" i="1"/>
  <c r="AQ1355" i="1"/>
  <c r="AQ1356" i="1"/>
  <c r="AQ1357" i="1"/>
  <c r="AQ1358" i="1"/>
  <c r="AQ1359" i="1"/>
  <c r="AQ1360" i="1"/>
  <c r="AQ1361" i="1"/>
  <c r="AQ1362" i="1"/>
  <c r="AQ1363" i="1"/>
  <c r="AQ1364" i="1"/>
  <c r="AQ1365" i="1"/>
  <c r="AQ1366" i="1"/>
  <c r="AQ1367" i="1"/>
  <c r="AQ1368" i="1"/>
  <c r="AQ1369" i="1"/>
  <c r="AQ1370" i="1"/>
  <c r="AQ1371" i="1"/>
  <c r="AQ1372" i="1"/>
  <c r="AQ1373" i="1"/>
  <c r="AQ1374" i="1"/>
  <c r="AQ1375" i="1"/>
  <c r="AQ1376" i="1"/>
  <c r="AQ1377" i="1"/>
  <c r="AQ1378" i="1"/>
  <c r="AQ1379" i="1"/>
  <c r="AQ1380" i="1"/>
  <c r="AQ1381" i="1"/>
  <c r="AQ1382" i="1"/>
  <c r="AQ1383" i="1"/>
  <c r="AQ1384" i="1"/>
  <c r="AQ1385" i="1"/>
  <c r="AQ1386" i="1"/>
  <c r="AQ1387" i="1"/>
  <c r="AQ1388" i="1"/>
  <c r="AQ1389" i="1"/>
  <c r="AQ1390" i="1"/>
  <c r="AQ1391" i="1"/>
  <c r="AQ1392" i="1"/>
  <c r="AQ1393" i="1"/>
  <c r="AQ1395" i="1"/>
  <c r="AQ1396" i="1"/>
  <c r="AQ1397" i="1"/>
  <c r="AQ1398" i="1"/>
  <c r="AQ1399" i="1"/>
  <c r="AQ1400" i="1"/>
  <c r="AQ1401" i="1"/>
  <c r="AQ1402" i="1"/>
  <c r="AQ1403" i="1"/>
  <c r="AQ1404" i="1"/>
  <c r="AQ1405" i="1"/>
  <c r="AQ1406" i="1"/>
  <c r="AQ1407" i="1"/>
  <c r="AQ1408" i="1"/>
  <c r="AQ1409" i="1"/>
  <c r="AQ1410" i="1"/>
  <c r="AQ1411" i="1"/>
  <c r="AQ1412" i="1"/>
  <c r="AQ1413" i="1"/>
  <c r="AQ1414" i="1"/>
  <c r="AQ1415" i="1"/>
  <c r="AQ1416" i="1"/>
  <c r="AQ1417" i="1"/>
  <c r="AQ1418" i="1"/>
  <c r="AQ1419" i="1"/>
  <c r="AQ1420" i="1"/>
  <c r="AQ1421" i="1"/>
  <c r="AQ1422" i="1"/>
  <c r="AQ1423" i="1"/>
  <c r="AQ1426" i="1"/>
  <c r="AQ1427" i="1"/>
  <c r="AQ1428" i="1"/>
  <c r="AQ1433" i="1"/>
  <c r="AQ1435" i="1"/>
  <c r="AQ1437" i="1"/>
  <c r="AQ1439" i="1"/>
  <c r="AQ1442" i="1"/>
  <c r="AQ1523" i="1"/>
  <c r="AQ1524" i="1"/>
  <c r="AQ2628" i="1"/>
  <c r="AQ2630" i="1"/>
  <c r="AS1430" i="1"/>
  <c r="AT1434" i="1"/>
  <c r="AS1433" i="1"/>
  <c r="AL1435" i="1"/>
  <c r="AM1435" i="1" s="1"/>
  <c r="Z1434" i="1"/>
  <c r="Y1434" i="1"/>
  <c r="AD1433" i="1"/>
  <c r="AT1431" i="1"/>
  <c r="AT1432" i="1"/>
  <c r="Z1433" i="1"/>
  <c r="AL1433" i="1" s="1"/>
  <c r="AM1433" i="1" s="1"/>
  <c r="Y1433" i="1"/>
  <c r="Z1432" i="1"/>
  <c r="Y1432" i="1"/>
  <c r="AT1428" i="1"/>
  <c r="AS1423" i="1"/>
  <c r="Z1431" i="1"/>
  <c r="Y1431" i="1"/>
  <c r="AD1430" i="1"/>
  <c r="Z1430" i="1"/>
  <c r="AL1430" i="1" s="1"/>
  <c r="AM1430" i="1" s="1"/>
  <c r="Y1430" i="1"/>
  <c r="AD1429" i="1"/>
  <c r="AT1429" i="1" s="1"/>
  <c r="Z1429" i="1"/>
  <c r="AL1429" i="1" s="1"/>
  <c r="AM1429" i="1" s="1"/>
  <c r="Y1429" i="1"/>
  <c r="Z1428" i="1"/>
  <c r="Y1428" i="1"/>
  <c r="AT1424" i="1"/>
  <c r="AT1425" i="1"/>
  <c r="AT1426" i="1"/>
  <c r="Z1426" i="1"/>
  <c r="Y1426" i="1"/>
  <c r="Z1425" i="1"/>
  <c r="Y1425" i="1"/>
  <c r="Z1424" i="1"/>
  <c r="Y1424" i="1"/>
  <c r="AD1423" i="1"/>
  <c r="AL1422" i="1"/>
  <c r="AM1422" i="1" s="1"/>
  <c r="AS1415" i="1"/>
  <c r="AT1415" i="1" s="1"/>
  <c r="Z1423" i="1"/>
  <c r="AL1423" i="1" s="1"/>
  <c r="AM1423" i="1" s="1"/>
  <c r="Y1423" i="1"/>
  <c r="Z1418" i="1"/>
  <c r="Y1418" i="1"/>
  <c r="Z1417" i="1"/>
  <c r="Y1417" i="1"/>
  <c r="AT1418" i="1"/>
  <c r="AT1416" i="1"/>
  <c r="AT1417" i="1"/>
  <c r="Z1416" i="1"/>
  <c r="Y1416" i="1"/>
  <c r="Z1415" i="1"/>
  <c r="Y1415" i="1"/>
  <c r="AT1414" i="1"/>
  <c r="Z1414" i="1"/>
  <c r="Y1414" i="1"/>
  <c r="AT1408" i="1"/>
  <c r="Z1408" i="1"/>
  <c r="Y1408" i="1"/>
  <c r="AT1404" i="1"/>
  <c r="AD1405" i="1"/>
  <c r="AT1405" i="1" s="1"/>
  <c r="Z1405" i="1"/>
  <c r="Y1405" i="1"/>
  <c r="Z1404" i="1"/>
  <c r="Y1404" i="1"/>
  <c r="AT1401" i="1"/>
  <c r="Z1401" i="1"/>
  <c r="Y1401" i="1"/>
  <c r="AS1398" i="1"/>
  <c r="AT1398" i="1" s="1"/>
  <c r="AS1393" i="1"/>
  <c r="Z1398" i="1"/>
  <c r="Y1398" i="1"/>
  <c r="AD1394" i="1"/>
  <c r="AT1395" i="1"/>
  <c r="Z1395" i="1"/>
  <c r="Y1395" i="1"/>
  <c r="AD1393" i="1"/>
  <c r="Y1394" i="1"/>
  <c r="AL1392" i="1"/>
  <c r="AM1392" i="1" s="1"/>
  <c r="AL1390" i="1"/>
  <c r="AM1390" i="1" s="1"/>
  <c r="Z1393" i="1"/>
  <c r="Y1393" i="1"/>
  <c r="AS1389" i="1"/>
  <c r="AD1389" i="1"/>
  <c r="AT1389" i="1" s="1"/>
  <c r="Y1389" i="1"/>
  <c r="Z1387" i="1"/>
  <c r="AS1344" i="1"/>
  <c r="Z1382" i="1"/>
  <c r="Z1381" i="1"/>
  <c r="Z1380" i="1"/>
  <c r="Z1379" i="1"/>
  <c r="Z1385" i="1"/>
  <c r="Z1384" i="1"/>
  <c r="Z1386" i="1"/>
  <c r="AS1377" i="1"/>
  <c r="AD1377" i="1"/>
  <c r="AT1377" i="1" s="1"/>
  <c r="Z1377" i="1"/>
  <c r="Y1377" i="1"/>
  <c r="AS1368" i="1"/>
  <c r="AT1368" i="1" s="1"/>
  <c r="AT1375" i="1"/>
  <c r="AT1376" i="1"/>
  <c r="AS1351" i="1"/>
  <c r="Z1376" i="1"/>
  <c r="Y1376" i="1"/>
  <c r="AT1374" i="1"/>
  <c r="Z1375" i="1"/>
  <c r="Y1375" i="1"/>
  <c r="Z1374" i="1"/>
  <c r="Y1374" i="1"/>
  <c r="AT1369" i="1"/>
  <c r="Z1373" i="1"/>
  <c r="Z1372" i="1"/>
  <c r="Z1369" i="1"/>
  <c r="Y1369" i="1"/>
  <c r="Z1368" i="1"/>
  <c r="Y1368" i="1"/>
  <c r="AT1367" i="1"/>
  <c r="Z1367" i="1"/>
  <c r="Y1367" i="1"/>
  <c r="AS1341" i="1"/>
  <c r="AT1363" i="1"/>
  <c r="AV1363" i="1"/>
  <c r="AU1363" i="1" s="1"/>
  <c r="AT1364" i="1"/>
  <c r="AT1366" i="1"/>
  <c r="Z1366" i="1"/>
  <c r="Y1366" i="1"/>
  <c r="Z1364" i="1"/>
  <c r="Y1364" i="1"/>
  <c r="Z1371" i="1"/>
  <c r="Z1370" i="1"/>
  <c r="AT1361" i="1"/>
  <c r="AD1344" i="1"/>
  <c r="Z1361" i="1"/>
  <c r="Y1361" i="1"/>
  <c r="AT1356" i="1"/>
  <c r="AT1357" i="1"/>
  <c r="Z1357" i="1"/>
  <c r="Y1357" i="1"/>
  <c r="Z1356" i="1"/>
  <c r="Y1356" i="1"/>
  <c r="Z1359" i="1"/>
  <c r="Z1358" i="1"/>
  <c r="AD1341" i="1"/>
  <c r="AS1266" i="1"/>
  <c r="AT1266" i="1" s="1"/>
  <c r="AS1342" i="1"/>
  <c r="Y1352" i="1"/>
  <c r="AD1351" i="1"/>
  <c r="AS1350" i="1"/>
  <c r="AT1350" i="1" s="1"/>
  <c r="Z1351" i="1"/>
  <c r="AL1351" i="1" s="1"/>
  <c r="AM1351" i="1" s="1"/>
  <c r="Y1351" i="1"/>
  <c r="AT1348" i="1"/>
  <c r="Z1350" i="1"/>
  <c r="Y1350" i="1"/>
  <c r="Z1348" i="1"/>
  <c r="Y1348" i="1"/>
  <c r="Z1349" i="1"/>
  <c r="Z1355" i="1"/>
  <c r="Z1344" i="1"/>
  <c r="Y1344" i="1"/>
  <c r="Z1347" i="1"/>
  <c r="Z1346" i="1"/>
  <c r="Z1345" i="1"/>
  <c r="Z1342" i="1"/>
  <c r="Y1342" i="1"/>
  <c r="AT1339" i="1"/>
  <c r="Z1338" i="1"/>
  <c r="Z1341" i="1"/>
  <c r="AL1341" i="1" s="1"/>
  <c r="AM1341" i="1" s="1"/>
  <c r="Y1341" i="1"/>
  <c r="Z1339" i="1"/>
  <c r="Y1339" i="1"/>
  <c r="AT1336" i="1"/>
  <c r="AV1336" i="1"/>
  <c r="AT1338" i="1"/>
  <c r="Y1338" i="1"/>
  <c r="AL1336" i="1"/>
  <c r="AM1336" i="1" s="1"/>
  <c r="AL1334" i="1"/>
  <c r="AM1334" i="1" s="1"/>
  <c r="Z1337" i="1"/>
  <c r="Z1335" i="1"/>
  <c r="Z1333" i="1"/>
  <c r="AL1322" i="1"/>
  <c r="AM1322" i="1" s="1"/>
  <c r="AT1328" i="1"/>
  <c r="Z1328" i="1"/>
  <c r="Y1328" i="1"/>
  <c r="Z1326" i="1"/>
  <c r="AT1327" i="1"/>
  <c r="Z1329" i="1"/>
  <c r="Z1327" i="1"/>
  <c r="Y1327" i="1"/>
  <c r="AT1321" i="1"/>
  <c r="AT1322" i="1"/>
  <c r="AV1322" i="1"/>
  <c r="AU1322" i="1" s="1"/>
  <c r="AT1323" i="1"/>
  <c r="AV1323" i="1"/>
  <c r="AU1323" i="1" s="1"/>
  <c r="AT1324" i="1"/>
  <c r="AV1324" i="1"/>
  <c r="AU1324" i="1" s="1"/>
  <c r="AT1326" i="1"/>
  <c r="Y1326" i="1"/>
  <c r="Z1325" i="1"/>
  <c r="AL1323" i="1"/>
  <c r="AM1323" i="1" s="1"/>
  <c r="Z1321" i="1"/>
  <c r="Y1321" i="1"/>
  <c r="AT1318" i="1"/>
  <c r="AT1319" i="1"/>
  <c r="AV1319" i="1"/>
  <c r="AU1319" i="1" s="1"/>
  <c r="AT1320" i="1"/>
  <c r="Z1320" i="1"/>
  <c r="Y1320" i="1"/>
  <c r="AT1315" i="1"/>
  <c r="AV1315" i="1"/>
  <c r="AU1315" i="1" s="1"/>
  <c r="AT1316" i="1"/>
  <c r="AV1316" i="1"/>
  <c r="AU1316" i="1" s="1"/>
  <c r="AT1317" i="1"/>
  <c r="Z1319" i="1"/>
  <c r="Z1318" i="1"/>
  <c r="Y1318" i="1"/>
  <c r="Z1317" i="1"/>
  <c r="Y1317" i="1"/>
  <c r="AD1314" i="1"/>
  <c r="AT1314" i="1" s="1"/>
  <c r="AS1290" i="1"/>
  <c r="AT1290" i="1" s="1"/>
  <c r="AT1313" i="1"/>
  <c r="AS1309" i="1"/>
  <c r="Z1314" i="1"/>
  <c r="AL1314" i="1" s="1"/>
  <c r="AM1314" i="1" s="1"/>
  <c r="Y1314" i="1"/>
  <c r="Z1313" i="1"/>
  <c r="AL1313" i="1" s="1"/>
  <c r="Y1313" i="1"/>
  <c r="AT1307" i="1"/>
  <c r="AV1307" i="1"/>
  <c r="AU1307" i="1" s="1"/>
  <c r="AT1308" i="1"/>
  <c r="AV1308" i="1"/>
  <c r="AU1308" i="1" s="1"/>
  <c r="AT1310" i="1"/>
  <c r="AT1311" i="1"/>
  <c r="AV1311" i="1"/>
  <c r="AU1311" i="1" s="1"/>
  <c r="AT1312" i="1"/>
  <c r="AL1307" i="1"/>
  <c r="AM1307" i="1" s="1"/>
  <c r="AL1308" i="1"/>
  <c r="AM1308" i="1" s="1"/>
  <c r="AL1311" i="1"/>
  <c r="AM1311" i="1" s="1"/>
  <c r="Z1312" i="1"/>
  <c r="Y1312" i="1"/>
  <c r="Z1310" i="1"/>
  <c r="Y1310" i="1"/>
  <c r="Z1309" i="1"/>
  <c r="AL1309" i="1" s="1"/>
  <c r="AM1309" i="1" s="1"/>
  <c r="Y1309" i="1"/>
  <c r="Z1316" i="1"/>
  <c r="Z1266" i="1"/>
  <c r="Y1266" i="1"/>
  <c r="AT1306" i="1"/>
  <c r="AS1304" i="1"/>
  <c r="AT1304" i="1" s="1"/>
  <c r="Y1306" i="1"/>
  <c r="AT1305" i="1"/>
  <c r="Z1305" i="1"/>
  <c r="AV1305" i="1" s="1"/>
  <c r="AU1305" i="1" s="1"/>
  <c r="Y1305" i="1"/>
  <c r="AS1289" i="1"/>
  <c r="Z1290" i="1"/>
  <c r="Y1290" i="1"/>
  <c r="Z1304" i="1"/>
  <c r="Y1304" i="1"/>
  <c r="Z1306" i="1"/>
  <c r="AT1300" i="1"/>
  <c r="AS1283" i="1"/>
  <c r="Z1300" i="1"/>
  <c r="Y1300" i="1"/>
  <c r="Z1301" i="1"/>
  <c r="AT1294" i="1"/>
  <c r="AT1295" i="1"/>
  <c r="Z1295" i="1"/>
  <c r="AV1295" i="1" s="1"/>
  <c r="Y1295" i="1"/>
  <c r="BH135" i="1"/>
  <c r="BH134" i="1"/>
  <c r="Z1294" i="1"/>
  <c r="Y1294" i="1"/>
  <c r="AT1293" i="1"/>
  <c r="Z1293" i="1"/>
  <c r="Y1293" i="1"/>
  <c r="Z1296" i="1"/>
  <c r="AT1291" i="1"/>
  <c r="Z1291" i="1"/>
  <c r="Y1291" i="1"/>
  <c r="Z1289" i="1"/>
  <c r="AL1289" i="1" s="1"/>
  <c r="AM1289" i="1" s="1"/>
  <c r="Y1289" i="1"/>
  <c r="AS1287" i="1"/>
  <c r="AS1285" i="1"/>
  <c r="AT1285" i="1" s="1"/>
  <c r="AD1287" i="1"/>
  <c r="AS1286" i="1"/>
  <c r="AT1286" i="1" s="1"/>
  <c r="Z1287" i="1"/>
  <c r="Y1287" i="1"/>
  <c r="Z1286" i="1"/>
  <c r="Y1286" i="1"/>
  <c r="AT1284" i="1"/>
  <c r="Z1285" i="1"/>
  <c r="Y1285" i="1"/>
  <c r="Z1284" i="1"/>
  <c r="Y1284" i="1"/>
  <c r="Z1330" i="1"/>
  <c r="AD1283" i="1"/>
  <c r="Z1283" i="1"/>
  <c r="AL1283" i="1" s="1"/>
  <c r="AM1283" i="1" s="1"/>
  <c r="Y1283" i="1"/>
  <c r="AT1281" i="1"/>
  <c r="AT1282" i="1"/>
  <c r="Z1282" i="1"/>
  <c r="Y1282" i="1"/>
  <c r="Z1281" i="1"/>
  <c r="Y1281" i="1"/>
  <c r="AT1280" i="1"/>
  <c r="Y1275" i="1"/>
  <c r="Y1276" i="1"/>
  <c r="Y1277" i="1"/>
  <c r="Y1278" i="1"/>
  <c r="Y1279" i="1"/>
  <c r="Y1280" i="1"/>
  <c r="Z1280" i="1"/>
  <c r="Z1279" i="1"/>
  <c r="Z1278" i="1"/>
  <c r="AS1271" i="1"/>
  <c r="AT1271" i="1" s="1"/>
  <c r="Z1277" i="1"/>
  <c r="Z1276" i="1"/>
  <c r="Z1275" i="1"/>
  <c r="AL1274" i="1"/>
  <c r="AM1274" i="1" s="1"/>
  <c r="AS1244" i="1"/>
  <c r="AS1270" i="1"/>
  <c r="AT1270" i="1" s="1"/>
  <c r="AT1272" i="1"/>
  <c r="Z1272" i="1"/>
  <c r="Y1272" i="1"/>
  <c r="Z1271" i="1"/>
  <c r="AL1271" i="1" s="1"/>
  <c r="AM1271" i="1" s="1"/>
  <c r="Y1271" i="1"/>
  <c r="Z1270" i="1"/>
  <c r="Y1270" i="1"/>
  <c r="AT1262" i="1"/>
  <c r="AT1263" i="1"/>
  <c r="AT1269" i="1"/>
  <c r="AS1252" i="1"/>
  <c r="AT1252" i="1" s="1"/>
  <c r="Z1269" i="1"/>
  <c r="Y1269" i="1"/>
  <c r="Z1263" i="1"/>
  <c r="Y1263" i="1"/>
  <c r="Z1262" i="1"/>
  <c r="Y1262" i="1"/>
  <c r="AD1264" i="1"/>
  <c r="AT1264" i="1" s="1"/>
  <c r="Z1264" i="1"/>
  <c r="Y1264" i="1"/>
  <c r="AT1259" i="1"/>
  <c r="Z1259" i="1"/>
  <c r="Y1259" i="1"/>
  <c r="AL1260" i="1"/>
  <c r="AM1260" i="1" s="1"/>
  <c r="AL1261" i="1"/>
  <c r="AM1261" i="1" s="1"/>
  <c r="Z1268" i="1"/>
  <c r="Z1267" i="1"/>
  <c r="Z1297" i="1"/>
  <c r="Y1258" i="1"/>
  <c r="Z1258" i="1"/>
  <c r="AL1258" i="1" s="1"/>
  <c r="AM1258" i="1" s="1"/>
  <c r="AT1258" i="1"/>
  <c r="AV1258" i="1" s="1"/>
  <c r="AU1258" i="1" s="1"/>
  <c r="AL1257" i="1"/>
  <c r="AM1257" i="1" s="1"/>
  <c r="AD1253" i="1"/>
  <c r="AT1253" i="1" s="1"/>
  <c r="AL1256" i="1"/>
  <c r="AM1256" i="1" s="1"/>
  <c r="AT1255" i="1"/>
  <c r="AL1254" i="1"/>
  <c r="AM1254" i="1" s="1"/>
  <c r="Z1255" i="1"/>
  <c r="Y1255" i="1"/>
  <c r="Z1253" i="1"/>
  <c r="Y1253" i="1"/>
  <c r="AT1247" i="1"/>
  <c r="Z1252" i="1"/>
  <c r="Y1252" i="1"/>
  <c r="Z1247" i="1"/>
  <c r="Y1247" i="1"/>
  <c r="AD1246" i="1"/>
  <c r="AT1246" i="1" s="1"/>
  <c r="Z1246" i="1"/>
  <c r="Y1246" i="1"/>
  <c r="AT1242" i="1"/>
  <c r="AV1242" i="1"/>
  <c r="AU1242" i="1" s="1"/>
  <c r="AT1243" i="1"/>
  <c r="AV1243" i="1"/>
  <c r="AU1243" i="1" s="1"/>
  <c r="AD1244" i="1"/>
  <c r="Z1251" i="1"/>
  <c r="Z1250" i="1"/>
  <c r="Z1249" i="1"/>
  <c r="AT1241" i="1"/>
  <c r="Z1244" i="1"/>
  <c r="AL1244" i="1" s="1"/>
  <c r="AM1244" i="1" s="1"/>
  <c r="Y1244" i="1"/>
  <c r="Z1241" i="1"/>
  <c r="Y1241" i="1"/>
  <c r="AS1231" i="1"/>
  <c r="AT1231" i="1" s="1"/>
  <c r="AS1236" i="1"/>
  <c r="AT1236" i="1" s="1"/>
  <c r="AT1237" i="1"/>
  <c r="AV1237" i="1"/>
  <c r="AU1237" i="1" s="1"/>
  <c r="AT1238" i="1"/>
  <c r="AT1240" i="1"/>
  <c r="Z1240" i="1"/>
  <c r="Y1240" i="1"/>
  <c r="AS1232" i="1"/>
  <c r="Z1239" i="1"/>
  <c r="AL1239" i="1" s="1"/>
  <c r="AM1239" i="1" s="1"/>
  <c r="Y1239" i="1"/>
  <c r="AL1233" i="1"/>
  <c r="AM1233" i="1" s="1"/>
  <c r="AL1237" i="1"/>
  <c r="AM1237" i="1" s="1"/>
  <c r="AD1229" i="1"/>
  <c r="AT1229" i="1" s="1"/>
  <c r="Z1238" i="1"/>
  <c r="Y1238" i="1"/>
  <c r="Z1236" i="1"/>
  <c r="Y1236" i="1"/>
  <c r="AS1220" i="1"/>
  <c r="AT1220" i="1" s="1"/>
  <c r="AT1235" i="1"/>
  <c r="Z1235" i="1"/>
  <c r="Y1235" i="1"/>
  <c r="AT1233" i="1"/>
  <c r="AV1233" i="1"/>
  <c r="AU1233" i="1" s="1"/>
  <c r="AT1234" i="1"/>
  <c r="Z1234" i="1"/>
  <c r="Y1234" i="1"/>
  <c r="AS1230" i="1"/>
  <c r="AT1230" i="1" s="1"/>
  <c r="AS1217" i="1"/>
  <c r="AT1217" i="1" s="1"/>
  <c r="Z1232" i="1"/>
  <c r="AL1232" i="1" s="1"/>
  <c r="AM1232" i="1" s="1"/>
  <c r="Y1232" i="1"/>
  <c r="AS1228" i="1"/>
  <c r="Z1231" i="1"/>
  <c r="Y1231" i="1"/>
  <c r="Z1230" i="1"/>
  <c r="Y1230" i="1"/>
  <c r="Z1229" i="1"/>
  <c r="Y1229" i="1"/>
  <c r="AL1228" i="1"/>
  <c r="AM1228" i="1" s="1"/>
  <c r="AT1226" i="1"/>
  <c r="AV1226" i="1"/>
  <c r="AU1226" i="1" s="1"/>
  <c r="AT1227" i="1"/>
  <c r="Z1227" i="1"/>
  <c r="Y1227" i="1"/>
  <c r="AT1225" i="1"/>
  <c r="Z1225" i="1"/>
  <c r="Y1225" i="1"/>
  <c r="AS1207" i="1"/>
  <c r="AT1207" i="1" s="1"/>
  <c r="AS1209" i="1"/>
  <c r="AS1210" i="1"/>
  <c r="AT1210" i="1" s="1"/>
  <c r="AT1224" i="1"/>
  <c r="Z1224" i="1"/>
  <c r="Y1224" i="1"/>
  <c r="AT1219" i="1"/>
  <c r="Z1226" i="1"/>
  <c r="AD1223" i="1"/>
  <c r="AT1223" i="1" s="1"/>
  <c r="Z1223" i="1"/>
  <c r="AL1223" i="1" s="1"/>
  <c r="AM1223" i="1" s="1"/>
  <c r="Y1223" i="1"/>
  <c r="AT1218" i="1"/>
  <c r="Z1220" i="1"/>
  <c r="Y1220" i="1"/>
  <c r="Z1219" i="1"/>
  <c r="Y1219" i="1"/>
  <c r="Z1218" i="1"/>
  <c r="Y1218" i="1"/>
  <c r="Z1217" i="1"/>
  <c r="Y1217" i="1"/>
  <c r="AT1205" i="1"/>
  <c r="AV1205" i="1"/>
  <c r="AU1205" i="1" s="1"/>
  <c r="AT1206" i="1"/>
  <c r="AV1206" i="1"/>
  <c r="AU1206" i="1" s="1"/>
  <c r="AT1208" i="1"/>
  <c r="AT1212" i="1"/>
  <c r="AV1212" i="1"/>
  <c r="AU1212" i="1" s="1"/>
  <c r="AT1213" i="1"/>
  <c r="AV1213" i="1"/>
  <c r="AU1213" i="1" s="1"/>
  <c r="AT1216" i="1"/>
  <c r="Z1216" i="1"/>
  <c r="Y1216" i="1"/>
  <c r="AT1202" i="1"/>
  <c r="AV1202" i="1"/>
  <c r="AU1202" i="1" s="1"/>
  <c r="AT1203" i="1"/>
  <c r="AT1204" i="1"/>
  <c r="AL1213" i="1"/>
  <c r="AM1213" i="1" s="1"/>
  <c r="Z1221" i="1"/>
  <c r="Z1215" i="1"/>
  <c r="Z1214" i="1"/>
  <c r="Z1222" i="1"/>
  <c r="AM1211" i="1"/>
  <c r="AL1212" i="1"/>
  <c r="AM1212" i="1" s="1"/>
  <c r="Z1210" i="1"/>
  <c r="Y1210" i="1"/>
  <c r="AD1209" i="1"/>
  <c r="Z1209" i="1"/>
  <c r="AL1209" i="1" s="1"/>
  <c r="AM1209" i="1" s="1"/>
  <c r="Y1209" i="1"/>
  <c r="Z1208" i="1"/>
  <c r="Y1208" i="1"/>
  <c r="Y1207" i="1"/>
  <c r="Z1204" i="1"/>
  <c r="Y1204" i="1"/>
  <c r="Z1203" i="1"/>
  <c r="Y1203" i="1"/>
  <c r="Z1207" i="1"/>
  <c r="Z1205" i="1"/>
  <c r="Z1211" i="1"/>
  <c r="AT1201" i="1"/>
  <c r="Z1201" i="1"/>
  <c r="Y1201" i="1"/>
  <c r="AT1198" i="1"/>
  <c r="AV1198" i="1"/>
  <c r="AU1198" i="1" s="1"/>
  <c r="AT1199" i="1"/>
  <c r="AV1199" i="1"/>
  <c r="AU1199" i="1" s="1"/>
  <c r="AT1200" i="1"/>
  <c r="Z1200" i="1"/>
  <c r="Y1200" i="1"/>
  <c r="AT1195" i="1"/>
  <c r="AV1195" i="1"/>
  <c r="AU1195" i="1" s="1"/>
  <c r="AS1197" i="1"/>
  <c r="Z1199" i="1"/>
  <c r="Z1198" i="1"/>
  <c r="AD1197" i="1"/>
  <c r="Z1197" i="1"/>
  <c r="Y1197" i="1"/>
  <c r="Z1303" i="1"/>
  <c r="Z1196" i="1"/>
  <c r="AT1194" i="1"/>
  <c r="AS1189" i="1"/>
  <c r="AT1189" i="1" s="1"/>
  <c r="Z1194" i="1"/>
  <c r="Y1194" i="1"/>
  <c r="AT1193" i="1"/>
  <c r="AT1191" i="1"/>
  <c r="AV1191" i="1"/>
  <c r="AU1191" i="1" s="1"/>
  <c r="AT1192" i="1"/>
  <c r="Z1193" i="1"/>
  <c r="AV1193" i="1" s="1"/>
  <c r="Y1193" i="1"/>
  <c r="Z1192" i="1"/>
  <c r="Y1192" i="1"/>
  <c r="Z1191" i="1"/>
  <c r="AT1188" i="1"/>
  <c r="AT1190" i="1"/>
  <c r="Z1190" i="1"/>
  <c r="Y1190" i="1"/>
  <c r="Z1189" i="1"/>
  <c r="Y1189" i="1"/>
  <c r="Z1195" i="1"/>
  <c r="Z1188" i="1"/>
  <c r="Y1188" i="1"/>
  <c r="AT1183" i="1"/>
  <c r="AV1183" i="1"/>
  <c r="AU1183" i="1" s="1"/>
  <c r="AT1184" i="1"/>
  <c r="Z1184" i="1"/>
  <c r="Y1184" i="1"/>
  <c r="Z1183" i="1"/>
  <c r="Z1186" i="1"/>
  <c r="Z1185" i="1"/>
  <c r="AT1182" i="1"/>
  <c r="Z1182" i="1"/>
  <c r="Y1182" i="1"/>
  <c r="AT1181" i="1"/>
  <c r="Z1181" i="1"/>
  <c r="AV1181" i="1" s="1"/>
  <c r="Y1181" i="1"/>
  <c r="Z1179" i="1"/>
  <c r="Z1178" i="1"/>
  <c r="Z1177" i="1"/>
  <c r="Z1176" i="1"/>
  <c r="Z1175" i="1"/>
  <c r="AT1171" i="1"/>
  <c r="AT1170" i="1"/>
  <c r="AT1169" i="1"/>
  <c r="Z1171" i="1"/>
  <c r="Y1171" i="1"/>
  <c r="Z1170" i="1"/>
  <c r="Y1170" i="1"/>
  <c r="AD1166" i="1"/>
  <c r="AT1166" i="1" s="1"/>
  <c r="AT1168" i="1"/>
  <c r="Z1169" i="1"/>
  <c r="Y1169" i="1"/>
  <c r="Z1168" i="1"/>
  <c r="Y1168" i="1"/>
  <c r="AT1167" i="1"/>
  <c r="AT1164" i="1"/>
  <c r="Z1173" i="1"/>
  <c r="Z1172" i="1"/>
  <c r="Z1167" i="1"/>
  <c r="Y1167" i="1"/>
  <c r="Z1166" i="1"/>
  <c r="Y1166" i="1"/>
  <c r="Z1180" i="1"/>
  <c r="Z1174" i="1"/>
  <c r="AD1165" i="1"/>
  <c r="AT1165" i="1" s="1"/>
  <c r="Z1165" i="1"/>
  <c r="AL1165" i="1" s="1"/>
  <c r="AM1165" i="1" s="1"/>
  <c r="Y1165" i="1"/>
  <c r="Z1164" i="1"/>
  <c r="Y1164" i="1"/>
  <c r="AT1161" i="1"/>
  <c r="Z1161" i="1"/>
  <c r="Y1161" i="1"/>
  <c r="AT1160" i="1"/>
  <c r="Z1160" i="1"/>
  <c r="Y1160" i="1"/>
  <c r="AS1153" i="1"/>
  <c r="AT1156" i="1"/>
  <c r="AS1152" i="1"/>
  <c r="AD1157" i="1"/>
  <c r="AT1157" i="1" s="1"/>
  <c r="AS1154" i="1"/>
  <c r="AT1154" i="1" s="1"/>
  <c r="Z1157" i="1"/>
  <c r="Y1157" i="1"/>
  <c r="Z1156" i="1"/>
  <c r="Y1156" i="1"/>
  <c r="AD1152" i="1"/>
  <c r="AT1152" i="1" s="1"/>
  <c r="AS1143" i="1"/>
  <c r="AT1143" i="1" s="1"/>
  <c r="Y1154" i="1"/>
  <c r="AD1153" i="1"/>
  <c r="Z1153" i="1"/>
  <c r="AL1153" i="1" s="1"/>
  <c r="AM1153" i="1" s="1"/>
  <c r="Y1153" i="1"/>
  <c r="Z1152" i="1"/>
  <c r="Y1152" i="1"/>
  <c r="Z1159" i="1"/>
  <c r="Z1158" i="1"/>
  <c r="Z1155" i="1"/>
  <c r="Z1154" i="1"/>
  <c r="AS1084" i="1"/>
  <c r="AT1084" i="1" s="1"/>
  <c r="AT1146" i="1"/>
  <c r="AV1146" i="1"/>
  <c r="AU1146" i="1" s="1"/>
  <c r="AT1147" i="1"/>
  <c r="Z1147" i="1"/>
  <c r="Y1147" i="1"/>
  <c r="Z1150" i="1"/>
  <c r="Z1149" i="1"/>
  <c r="Z1148" i="1"/>
  <c r="Z1151" i="1"/>
  <c r="AL1146" i="1"/>
  <c r="AM1146" i="1" s="1"/>
  <c r="AT1144" i="1"/>
  <c r="AT1145" i="1"/>
  <c r="Z1145" i="1"/>
  <c r="Y1145" i="1"/>
  <c r="Z1144" i="1"/>
  <c r="Y1144" i="1"/>
  <c r="Z1143" i="1"/>
  <c r="Y1143" i="1"/>
  <c r="AS1113" i="1"/>
  <c r="AL1141" i="1"/>
  <c r="AM1141" i="1" s="1"/>
  <c r="AS1138" i="1"/>
  <c r="AT1138" i="1" s="1"/>
  <c r="AT1137" i="1"/>
  <c r="AT1139" i="1"/>
  <c r="Z1139" i="1"/>
  <c r="Y1139" i="1"/>
  <c r="Z1138" i="1"/>
  <c r="Y1138" i="1"/>
  <c r="Z1137" i="1"/>
  <c r="Y1137" i="1"/>
  <c r="AT1132" i="1"/>
  <c r="AS1123" i="1"/>
  <c r="AT1123" i="1" s="1"/>
  <c r="Z1140" i="1"/>
  <c r="Z1136" i="1"/>
  <c r="Z1135" i="1"/>
  <c r="Z1134" i="1"/>
  <c r="AT1131" i="1"/>
  <c r="Z1132" i="1"/>
  <c r="Y1132" i="1"/>
  <c r="Z1131" i="1"/>
  <c r="Y1131" i="1"/>
  <c r="AT1130" i="1"/>
  <c r="Z1130" i="1"/>
  <c r="Y1130" i="1"/>
  <c r="Z1142" i="1"/>
  <c r="AD1127" i="1"/>
  <c r="AT1127" i="1" s="1"/>
  <c r="Z1127" i="1"/>
  <c r="Y1127" i="1"/>
  <c r="AT1125" i="1"/>
  <c r="Z1125" i="1"/>
  <c r="Y1125" i="1"/>
  <c r="AS1062" i="1"/>
  <c r="AT1124" i="1"/>
  <c r="Z1128" i="1"/>
  <c r="Z1124" i="1"/>
  <c r="Y1124" i="1"/>
  <c r="Z1123" i="1"/>
  <c r="Y1123" i="1"/>
  <c r="AT1122" i="1"/>
  <c r="Z1122" i="1"/>
  <c r="Y1122" i="1"/>
  <c r="AS1118" i="1"/>
  <c r="AS1121" i="1"/>
  <c r="AD1121" i="1"/>
  <c r="Z1121" i="1"/>
  <c r="Y1121" i="1"/>
  <c r="AS1117" i="1"/>
  <c r="AT1117" i="1" s="1"/>
  <c r="AT1119" i="1"/>
  <c r="Z1119" i="1"/>
  <c r="Y1119" i="1"/>
  <c r="Z1117" i="1"/>
  <c r="Y1117" i="1"/>
  <c r="AD1118" i="1"/>
  <c r="Z1118" i="1"/>
  <c r="AL1118" i="1" s="1"/>
  <c r="AM1118" i="1" s="1"/>
  <c r="Y1118" i="1"/>
  <c r="AT1114" i="1"/>
  <c r="AT1115" i="1"/>
  <c r="AV1115" i="1"/>
  <c r="AU1115" i="1" s="1"/>
  <c r="AT1116" i="1"/>
  <c r="AV1116" i="1"/>
  <c r="AU1116" i="1" s="1"/>
  <c r="AD1113" i="1"/>
  <c r="Z1129" i="1"/>
  <c r="Z1114" i="1"/>
  <c r="Y1114" i="1"/>
  <c r="Z1113" i="1"/>
  <c r="Y1113" i="1"/>
  <c r="AT1110" i="1"/>
  <c r="AT1108" i="1"/>
  <c r="AT1109" i="1"/>
  <c r="Z1110" i="1"/>
  <c r="Y1110" i="1"/>
  <c r="Z1109" i="1"/>
  <c r="Y1109" i="1"/>
  <c r="Z1108" i="1"/>
  <c r="Y1108" i="1"/>
  <c r="AT1107" i="1"/>
  <c r="Z1107" i="1"/>
  <c r="Y1107" i="1"/>
  <c r="AT1103" i="1"/>
  <c r="AV1103" i="1"/>
  <c r="AU1103" i="1" s="1"/>
  <c r="AT1106" i="1"/>
  <c r="Z1106" i="1"/>
  <c r="Y1106" i="1"/>
  <c r="AT1101" i="1"/>
  <c r="AT1102" i="1"/>
  <c r="Z1105" i="1"/>
  <c r="Z1104" i="1"/>
  <c r="Z1102" i="1"/>
  <c r="Y1102" i="1"/>
  <c r="AT1097" i="1"/>
  <c r="AS1095" i="1"/>
  <c r="Z1097" i="1"/>
  <c r="Y1097" i="1"/>
  <c r="Z1101" i="1"/>
  <c r="Y1101" i="1"/>
  <c r="AT1100" i="1"/>
  <c r="AT1093" i="1"/>
  <c r="AT1096" i="1"/>
  <c r="AT1099" i="1"/>
  <c r="AD1095" i="1"/>
  <c r="Z1100" i="1"/>
  <c r="Z1099" i="1"/>
  <c r="Z1096" i="1"/>
  <c r="Y1096" i="1"/>
  <c r="Z1095" i="1"/>
  <c r="AL1095" i="1" s="1"/>
  <c r="AM1095" i="1" s="1"/>
  <c r="Y1095" i="1"/>
  <c r="AL1094" i="1"/>
  <c r="AM1094" i="1" s="1"/>
  <c r="Z1093" i="1"/>
  <c r="Y1093" i="1"/>
  <c r="Z1090" i="1"/>
  <c r="Z1089" i="1"/>
  <c r="AT1087" i="1"/>
  <c r="Z1087" i="1"/>
  <c r="AL1087" i="1" s="1"/>
  <c r="AM1087" i="1" s="1"/>
  <c r="Y1087" i="1"/>
  <c r="AT1085" i="1"/>
  <c r="Z1085" i="1"/>
  <c r="Y1085" i="1"/>
  <c r="AT1082" i="1"/>
  <c r="AT1083" i="1"/>
  <c r="Z1084" i="1"/>
  <c r="Y1084" i="1"/>
  <c r="Z1083" i="1"/>
  <c r="Y1083" i="1"/>
  <c r="Z1082" i="1"/>
  <c r="Y1082" i="1"/>
  <c r="Z1086" i="1"/>
  <c r="AT1081" i="1"/>
  <c r="AT1077" i="1"/>
  <c r="Z1081" i="1"/>
  <c r="Y1081" i="1"/>
  <c r="Z1079" i="1"/>
  <c r="Z1077" i="1"/>
  <c r="Y1077" i="1"/>
  <c r="AT1075" i="1"/>
  <c r="Z1075" i="1"/>
  <c r="Y1075" i="1"/>
  <c r="Z1076" i="1"/>
  <c r="Z1074" i="1"/>
  <c r="Z1072" i="1"/>
  <c r="AS1067" i="1"/>
  <c r="AT1067" i="1" s="1"/>
  <c r="AT1068" i="1"/>
  <c r="Z1068" i="1"/>
  <c r="Y1068" i="1"/>
  <c r="Z1067" i="1"/>
  <c r="Y1067" i="1"/>
  <c r="Z1069" i="1"/>
  <c r="Z1066" i="1"/>
  <c r="Z1065" i="1"/>
  <c r="Z1064" i="1"/>
  <c r="Z1071" i="1"/>
  <c r="Z1070" i="1"/>
  <c r="AS1058" i="1"/>
  <c r="AT1060" i="1"/>
  <c r="AD1062" i="1"/>
  <c r="Z1062" i="1"/>
  <c r="AL1062" i="1" s="1"/>
  <c r="Y1062" i="1"/>
  <c r="AD1061" i="1"/>
  <c r="AT1061" i="1" s="1"/>
  <c r="Z1061" i="1"/>
  <c r="AL1061" i="1" s="1"/>
  <c r="AM1061" i="1" s="1"/>
  <c r="Y1061" i="1"/>
  <c r="Z1060" i="1"/>
  <c r="Y1060" i="1"/>
  <c r="AS1052" i="1"/>
  <c r="AT1050" i="1"/>
  <c r="AT1051" i="1"/>
  <c r="AV1051" i="1"/>
  <c r="AU1051" i="1" s="1"/>
  <c r="AT1055" i="1"/>
  <c r="AT1057" i="1"/>
  <c r="AT1058" i="1"/>
  <c r="Z1058" i="1"/>
  <c r="Y1058" i="1"/>
  <c r="Z1057" i="1"/>
  <c r="Y1057" i="1"/>
  <c r="Z1055" i="1"/>
  <c r="Y1055" i="1"/>
  <c r="Z1063" i="1"/>
  <c r="AD1052" i="1"/>
  <c r="Y1052" i="1"/>
  <c r="AS1045" i="1"/>
  <c r="Y1049" i="1"/>
  <c r="Y1050" i="1"/>
  <c r="AT1046" i="1"/>
  <c r="AT1048" i="1"/>
  <c r="AS1042" i="1"/>
  <c r="AD1045" i="1"/>
  <c r="Z1048" i="1"/>
  <c r="Y1048" i="1"/>
  <c r="Z1046" i="1"/>
  <c r="Y1046" i="1"/>
  <c r="AT1042" i="1"/>
  <c r="AT1043" i="1"/>
  <c r="AT1044" i="1"/>
  <c r="Z1045" i="1"/>
  <c r="Y1045" i="1"/>
  <c r="AS1009" i="1"/>
  <c r="Z1050" i="1"/>
  <c r="Z1049" i="1"/>
  <c r="Z1054" i="1"/>
  <c r="Z1053" i="1"/>
  <c r="Z1052" i="1"/>
  <c r="AL1052" i="1" s="1"/>
  <c r="AM1052" i="1" s="1"/>
  <c r="Z1044" i="1"/>
  <c r="Y1044" i="1"/>
  <c r="Z1043" i="1"/>
  <c r="Y1043" i="1"/>
  <c r="Z1042" i="1"/>
  <c r="Y1042" i="1"/>
  <c r="Z1040" i="1"/>
  <c r="Z1039" i="1"/>
  <c r="Z1073" i="1"/>
  <c r="AT1032" i="1"/>
  <c r="Z1032" i="1"/>
  <c r="Y1032" i="1"/>
  <c r="AT1030" i="1"/>
  <c r="AT1031" i="1"/>
  <c r="Z1031" i="1"/>
  <c r="Y1031" i="1"/>
  <c r="Z1030" i="1"/>
  <c r="Y1030" i="1"/>
  <c r="AS985" i="1"/>
  <c r="AS1018" i="1"/>
  <c r="AT1025" i="1"/>
  <c r="Z1025" i="1"/>
  <c r="Y1025" i="1"/>
  <c r="AL1024" i="1"/>
  <c r="AM1024" i="1" s="1"/>
  <c r="AT1022" i="1"/>
  <c r="AT1023" i="1"/>
  <c r="Z1029" i="1"/>
  <c r="Z1028" i="1"/>
  <c r="Z1027" i="1"/>
  <c r="Z1026" i="1"/>
  <c r="Z1036" i="1"/>
  <c r="Z1034" i="1"/>
  <c r="Z1033" i="1"/>
  <c r="Z1038" i="1"/>
  <c r="Z1037" i="1"/>
  <c r="Z1023" i="1"/>
  <c r="Y1023" i="1"/>
  <c r="Z1022" i="1"/>
  <c r="Y1022" i="1"/>
  <c r="AL1021" i="1"/>
  <c r="AM1021" i="1" s="1"/>
  <c r="AT1020" i="1"/>
  <c r="Z1020" i="1"/>
  <c r="Y1020" i="1"/>
  <c r="AD1018" i="1"/>
  <c r="Z1018" i="1"/>
  <c r="AL1018" i="1" s="1"/>
  <c r="AM1018" i="1" s="1"/>
  <c r="Y1018" i="1"/>
  <c r="Z1017" i="1"/>
  <c r="Z1014" i="1"/>
  <c r="AL1012" i="1"/>
  <c r="AM1012" i="1" s="1"/>
  <c r="AS894" i="1"/>
  <c r="Z1010" i="1"/>
  <c r="AS1008" i="1"/>
  <c r="AD1009" i="1"/>
  <c r="AT1007" i="1"/>
  <c r="AT1005" i="1"/>
  <c r="AD1008" i="1"/>
  <c r="Z1009" i="1"/>
  <c r="AL1009" i="1" s="1"/>
  <c r="AM1009" i="1" s="1"/>
  <c r="Y1009" i="1"/>
  <c r="AL1006" i="1"/>
  <c r="AM1006" i="1" s="1"/>
  <c r="Z1008" i="1"/>
  <c r="AL1008" i="1" s="1"/>
  <c r="AM1008" i="1" s="1"/>
  <c r="Y1008" i="1"/>
  <c r="Z1007" i="1"/>
  <c r="Y1007" i="1"/>
  <c r="AS1001" i="1"/>
  <c r="AT1001" i="1" s="1"/>
  <c r="AS1000" i="1"/>
  <c r="Z1005" i="1"/>
  <c r="Y1005" i="1"/>
  <c r="AT1003" i="1"/>
  <c r="Z1003" i="1"/>
  <c r="AV1003" i="1" s="1"/>
  <c r="AU1003" i="1" s="1"/>
  <c r="Y1003" i="1"/>
  <c r="AT997" i="1"/>
  <c r="AT1002" i="1"/>
  <c r="Z1002" i="1"/>
  <c r="Y1002" i="1"/>
  <c r="Z1001" i="1"/>
  <c r="Y1001" i="1"/>
  <c r="AD1000" i="1"/>
  <c r="Z1000" i="1"/>
  <c r="Y1000" i="1"/>
  <c r="AT989" i="1"/>
  <c r="Z999" i="1"/>
  <c r="Z998" i="1"/>
  <c r="Z1004" i="1"/>
  <c r="Z997" i="1"/>
  <c r="Y997" i="1"/>
  <c r="AD985" i="1"/>
  <c r="AT982" i="1"/>
  <c r="AV982" i="1"/>
  <c r="AU982" i="1" s="1"/>
  <c r="AT986" i="1"/>
  <c r="Z989" i="1"/>
  <c r="Y989" i="1"/>
  <c r="Z991" i="1"/>
  <c r="Z990" i="1"/>
  <c r="Z986" i="1"/>
  <c r="Y986" i="1"/>
  <c r="Z985" i="1"/>
  <c r="Y985" i="1"/>
  <c r="AT981" i="1"/>
  <c r="Z984" i="1"/>
  <c r="Z983" i="1"/>
  <c r="Z992" i="1"/>
  <c r="Z987" i="1"/>
  <c r="Z981" i="1"/>
  <c r="Y981" i="1"/>
  <c r="AT979" i="1"/>
  <c r="AT978" i="1"/>
  <c r="Z979" i="1"/>
  <c r="Y979" i="1"/>
  <c r="AT977" i="1"/>
  <c r="Z978" i="1"/>
  <c r="Y978" i="1"/>
  <c r="Z977" i="1"/>
  <c r="Y977" i="1"/>
  <c r="Z980" i="1"/>
  <c r="AT976" i="1"/>
  <c r="Z976" i="1"/>
  <c r="Y976" i="1"/>
  <c r="AS960" i="1"/>
  <c r="AT974" i="1"/>
  <c r="Z974" i="1"/>
  <c r="Y974" i="1"/>
  <c r="AT972" i="1"/>
  <c r="AS957" i="1"/>
  <c r="Z972" i="1"/>
  <c r="Y972" i="1"/>
  <c r="AS948" i="1"/>
  <c r="AT948" i="1" s="1"/>
  <c r="AT969" i="1"/>
  <c r="Z969" i="1"/>
  <c r="Y969" i="1"/>
  <c r="AS967" i="1"/>
  <c r="Z967" i="1"/>
  <c r="Y967" i="1"/>
  <c r="Z971" i="1"/>
  <c r="Z968" i="1"/>
  <c r="Z975" i="1"/>
  <c r="Z973" i="1"/>
  <c r="AT965" i="1"/>
  <c r="AT966" i="1"/>
  <c r="Z966" i="1"/>
  <c r="Y966" i="1"/>
  <c r="AS927" i="1"/>
  <c r="Z965" i="1"/>
  <c r="Y965" i="1"/>
  <c r="AD957" i="1"/>
  <c r="AT963" i="1"/>
  <c r="Z963" i="1"/>
  <c r="Y963" i="1"/>
  <c r="AD927" i="1"/>
  <c r="AT961" i="1"/>
  <c r="AT960" i="1"/>
  <c r="AT955" i="1"/>
  <c r="AV955" i="1"/>
  <c r="AU955" i="1" s="1"/>
  <c r="AT956" i="1"/>
  <c r="Z961" i="1"/>
  <c r="Y961" i="1"/>
  <c r="Y960" i="1"/>
  <c r="Z957" i="1"/>
  <c r="Y957" i="1"/>
  <c r="Z956" i="1"/>
  <c r="Y956" i="1"/>
  <c r="Z960" i="1"/>
  <c r="Z995" i="1"/>
  <c r="AS954" i="1"/>
  <c r="AT954" i="1" s="1"/>
  <c r="Z954" i="1"/>
  <c r="Y954" i="1"/>
  <c r="Z952" i="1"/>
  <c r="AT952" i="1"/>
  <c r="Y952" i="1"/>
  <c r="AT945" i="1"/>
  <c r="Z948" i="1"/>
  <c r="Y948" i="1"/>
  <c r="Z945" i="1"/>
  <c r="Y945" i="1"/>
  <c r="AT941" i="1"/>
  <c r="AT942" i="1"/>
  <c r="AT943" i="1"/>
  <c r="Z943" i="1"/>
  <c r="Y943" i="1"/>
  <c r="Z942" i="1"/>
  <c r="Y942" i="1"/>
  <c r="Z941" i="1"/>
  <c r="Y941" i="1"/>
  <c r="Z949" i="1"/>
  <c r="Z946" i="1"/>
  <c r="Z944" i="1"/>
  <c r="Z955" i="1"/>
  <c r="Z950" i="1"/>
  <c r="Z994" i="1"/>
  <c r="Z993" i="1"/>
  <c r="Z1187" i="1"/>
  <c r="AS923" i="1"/>
  <c r="AS915" i="1"/>
  <c r="AD931" i="1"/>
  <c r="AT931" i="1" s="1"/>
  <c r="Z932" i="1"/>
  <c r="Y932" i="1"/>
  <c r="Z936" i="1"/>
  <c r="Z935" i="1"/>
  <c r="Z934" i="1"/>
  <c r="Z933" i="1"/>
  <c r="Y929" i="1"/>
  <c r="Y930" i="1"/>
  <c r="Y931" i="1"/>
  <c r="AS914" i="1"/>
  <c r="Y927" i="1"/>
  <c r="AT922" i="1"/>
  <c r="AT924" i="1"/>
  <c r="AT925" i="1"/>
  <c r="AD923" i="1"/>
  <c r="Z925" i="1"/>
  <c r="Y925" i="1"/>
  <c r="AL917" i="1"/>
  <c r="AM917" i="1" s="1"/>
  <c r="AL918" i="1"/>
  <c r="AM918" i="1" s="1"/>
  <c r="Z924" i="1"/>
  <c r="Y924" i="1"/>
  <c r="Z923" i="1"/>
  <c r="AL923" i="1" s="1"/>
  <c r="AM923" i="1" s="1"/>
  <c r="Y923" i="1"/>
  <c r="AT916" i="1"/>
  <c r="AT920" i="1"/>
  <c r="Z922" i="1"/>
  <c r="Y922" i="1"/>
  <c r="Z927" i="1"/>
  <c r="AL927" i="1" s="1"/>
  <c r="Z937" i="1"/>
  <c r="Z931" i="1"/>
  <c r="Z930" i="1"/>
  <c r="Z929" i="1"/>
  <c r="Z939" i="1"/>
  <c r="Z938" i="1"/>
  <c r="AT915" i="1"/>
  <c r="Z920" i="1"/>
  <c r="Y920" i="1"/>
  <c r="Z916" i="1"/>
  <c r="Y916" i="1"/>
  <c r="Z915" i="1"/>
  <c r="AL915" i="1" s="1"/>
  <c r="Y915" i="1"/>
  <c r="AD914" i="1"/>
  <c r="Z914" i="1"/>
  <c r="Y914" i="1"/>
  <c r="AT904" i="1"/>
  <c r="AT906" i="1"/>
  <c r="AT913" i="1"/>
  <c r="Z913" i="1"/>
  <c r="Y913" i="1"/>
  <c r="Z906" i="1"/>
  <c r="Y906" i="1"/>
  <c r="Z911" i="1"/>
  <c r="Z910" i="1"/>
  <c r="Z909" i="1"/>
  <c r="Z908" i="1"/>
  <c r="Z907" i="1"/>
  <c r="Z919" i="1"/>
  <c r="AT903" i="1"/>
  <c r="Z904" i="1"/>
  <c r="Y904" i="1"/>
  <c r="Z903" i="1"/>
  <c r="Y903" i="1"/>
  <c r="AT902" i="1"/>
  <c r="Z902" i="1"/>
  <c r="Y902" i="1"/>
  <c r="D6" i="6"/>
  <c r="AS874" i="1"/>
  <c r="AT896" i="1"/>
  <c r="AT897" i="1"/>
  <c r="AV897" i="1"/>
  <c r="AU897" i="1" s="1"/>
  <c r="AT898" i="1"/>
  <c r="AV898" i="1"/>
  <c r="AU898" i="1" s="1"/>
  <c r="AT899" i="1"/>
  <c r="Z899" i="1"/>
  <c r="Y899" i="1"/>
  <c r="Y897" i="1"/>
  <c r="Y898" i="1"/>
  <c r="Z901" i="1"/>
  <c r="Z900" i="1"/>
  <c r="Z898" i="1"/>
  <c r="Z897" i="1"/>
  <c r="Z905" i="1"/>
  <c r="Z896" i="1"/>
  <c r="Y896" i="1"/>
  <c r="AT895" i="1"/>
  <c r="Z895" i="1"/>
  <c r="Y895" i="1"/>
  <c r="AS893" i="1"/>
  <c r="AD894" i="1"/>
  <c r="Z894" i="1"/>
  <c r="Y894" i="1"/>
  <c r="AD893" i="1"/>
  <c r="Z893" i="1"/>
  <c r="Y893" i="1"/>
  <c r="AT888" i="1"/>
  <c r="AT889" i="1"/>
  <c r="AV889" i="1"/>
  <c r="AU889" i="1" s="1"/>
  <c r="AT890" i="1"/>
  <c r="AT891" i="1"/>
  <c r="Z891" i="1"/>
  <c r="AV891" i="1" s="1"/>
  <c r="AU891" i="1" s="1"/>
  <c r="Y891" i="1"/>
  <c r="Z890" i="1"/>
  <c r="Y890" i="1"/>
  <c r="Z940" i="1"/>
  <c r="Z888" i="1"/>
  <c r="Y888" i="1"/>
  <c r="Z887" i="1"/>
  <c r="AS883" i="1"/>
  <c r="Z883" i="1"/>
  <c r="Y883" i="1"/>
  <c r="AT885" i="1"/>
  <c r="Z885" i="1"/>
  <c r="Y885" i="1"/>
  <c r="AT879" i="1"/>
  <c r="Z879" i="1"/>
  <c r="Y879" i="1"/>
  <c r="AT878" i="1"/>
  <c r="Z878" i="1"/>
  <c r="Y878" i="1"/>
  <c r="AT877" i="1"/>
  <c r="Y877" i="1"/>
  <c r="Y875" i="1"/>
  <c r="Z874" i="1"/>
  <c r="AL874" i="1" s="1"/>
  <c r="AM874" i="1" s="1"/>
  <c r="Y874" i="1"/>
  <c r="Z880" i="1"/>
  <c r="Z877" i="1"/>
  <c r="Z875" i="1"/>
  <c r="Z881" i="1"/>
  <c r="AT871" i="1"/>
  <c r="Z871" i="1"/>
  <c r="Y871" i="1"/>
  <c r="AT868" i="1"/>
  <c r="AT869" i="1"/>
  <c r="Z869" i="1"/>
  <c r="Y869" i="1"/>
  <c r="Z868" i="1"/>
  <c r="Y868" i="1"/>
  <c r="Z870" i="1"/>
  <c r="Y870" i="1"/>
  <c r="AT867" i="1"/>
  <c r="Z867" i="1"/>
  <c r="Y867" i="1"/>
  <c r="Z866" i="1"/>
  <c r="Y866" i="1"/>
  <c r="Z865" i="1"/>
  <c r="Y865" i="1"/>
  <c r="Z864" i="1"/>
  <c r="Y864" i="1"/>
  <c r="Z863" i="1"/>
  <c r="Y863" i="1"/>
  <c r="Z862" i="1"/>
  <c r="Y862" i="1"/>
  <c r="Z861" i="1"/>
  <c r="Y861" i="1"/>
  <c r="AS816" i="1"/>
  <c r="AS808" i="1"/>
  <c r="Z859" i="1"/>
  <c r="Y859" i="1"/>
  <c r="Z858" i="1"/>
  <c r="Y858" i="1"/>
  <c r="Z860" i="1"/>
  <c r="Y860" i="1"/>
  <c r="AS830" i="1"/>
  <c r="AT849" i="1"/>
  <c r="AT848" i="1"/>
  <c r="Z849" i="1"/>
  <c r="Y849" i="1"/>
  <c r="AT847" i="1"/>
  <c r="Z850" i="1"/>
  <c r="Y850" i="1"/>
  <c r="Z848" i="1"/>
  <c r="Y848" i="1"/>
  <c r="Z847" i="1"/>
  <c r="Y847" i="1"/>
  <c r="Z846" i="1"/>
  <c r="Y846" i="1"/>
  <c r="Z845" i="1"/>
  <c r="Y845" i="1"/>
  <c r="AT844" i="1"/>
  <c r="Z844" i="1"/>
  <c r="Y844" i="1"/>
  <c r="AT827" i="1"/>
  <c r="AS807" i="1"/>
  <c r="AS813" i="1"/>
  <c r="Z842" i="1"/>
  <c r="Y842" i="1"/>
  <c r="Z841" i="1"/>
  <c r="Y841" i="1"/>
  <c r="Z840" i="1"/>
  <c r="Y840" i="1"/>
  <c r="Z839" i="1"/>
  <c r="Y839" i="1"/>
  <c r="Z843" i="1"/>
  <c r="Y843" i="1"/>
  <c r="AT836" i="1"/>
  <c r="AS837" i="1"/>
  <c r="Z836" i="1"/>
  <c r="Y836" i="1"/>
  <c r="Z834" i="1"/>
  <c r="Y834" i="1"/>
  <c r="Z833" i="1"/>
  <c r="Y833" i="1"/>
  <c r="Z832" i="1"/>
  <c r="Y832" i="1"/>
  <c r="Z831" i="1"/>
  <c r="Y831" i="1"/>
  <c r="AS772" i="1"/>
  <c r="AT772" i="1" s="1"/>
  <c r="AD830" i="1"/>
  <c r="Z830" i="1"/>
  <c r="AL830" i="1" s="1"/>
  <c r="AM830" i="1" s="1"/>
  <c r="Y830" i="1"/>
  <c r="Z835" i="1"/>
  <c r="Y835" i="1"/>
  <c r="Z827" i="1"/>
  <c r="Y827" i="1"/>
  <c r="AT826" i="1"/>
  <c r="Z826" i="1"/>
  <c r="Y826" i="1"/>
  <c r="AT815" i="1"/>
  <c r="AV815" i="1"/>
  <c r="AU815" i="1" s="1"/>
  <c r="Y823" i="1"/>
  <c r="Y837" i="1"/>
  <c r="Y872" i="1"/>
  <c r="Y817" i="1"/>
  <c r="Y818" i="1"/>
  <c r="Z823" i="1"/>
  <c r="Z837" i="1"/>
  <c r="AL837" i="1" s="1"/>
  <c r="AM837" i="1" s="1"/>
  <c r="AD816" i="1"/>
  <c r="AD811" i="1"/>
  <c r="AT811" i="1" s="1"/>
  <c r="Z816" i="1"/>
  <c r="Y816" i="1"/>
  <c r="AD813" i="1"/>
  <c r="AT813" i="1" s="1"/>
  <c r="Z813" i="1"/>
  <c r="AL813" i="1" s="1"/>
  <c r="AM813" i="1" s="1"/>
  <c r="Y813" i="1"/>
  <c r="Z815" i="1"/>
  <c r="Z818" i="1"/>
  <c r="Z817" i="1"/>
  <c r="AT812" i="1"/>
  <c r="AS809" i="1"/>
  <c r="AT809" i="1" s="1"/>
  <c r="Y812" i="1"/>
  <c r="Y810" i="1"/>
  <c r="Y811" i="1"/>
  <c r="Z809" i="1"/>
  <c r="Y809" i="1"/>
  <c r="AD808" i="1"/>
  <c r="Z808" i="1"/>
  <c r="Y808" i="1"/>
  <c r="AD807" i="1"/>
  <c r="Z807" i="1"/>
  <c r="Y807" i="1"/>
  <c r="Z810" i="1"/>
  <c r="Z811" i="1"/>
  <c r="Z806" i="1"/>
  <c r="Z805" i="1"/>
  <c r="AT800" i="1"/>
  <c r="Y797" i="1"/>
  <c r="Y798" i="1"/>
  <c r="Y799" i="1"/>
  <c r="Y800" i="1"/>
  <c r="AT795" i="1"/>
  <c r="Y795" i="1"/>
  <c r="Z795" i="1"/>
  <c r="Z793" i="1"/>
  <c r="Z800" i="1"/>
  <c r="Z799" i="1"/>
  <c r="Z798" i="1"/>
  <c r="Z797" i="1"/>
  <c r="Z804" i="1"/>
  <c r="AT789" i="1"/>
  <c r="AT790" i="1"/>
  <c r="Z790" i="1"/>
  <c r="Y790" i="1"/>
  <c r="Z789" i="1"/>
  <c r="Y789" i="1"/>
  <c r="AS781" i="1"/>
  <c r="AT782" i="1"/>
  <c r="AV782" i="1"/>
  <c r="AU782" i="1" s="1"/>
  <c r="AT783" i="1"/>
  <c r="Y782" i="1"/>
  <c r="Z782" i="1"/>
  <c r="Y783" i="1"/>
  <c r="Z783" i="1"/>
  <c r="Z788" i="1"/>
  <c r="Z787" i="1"/>
  <c r="Z786" i="1"/>
  <c r="Z792" i="1"/>
  <c r="AD781" i="1"/>
  <c r="Z781" i="1"/>
  <c r="AL781" i="1" s="1"/>
  <c r="AM781" i="1" s="1"/>
  <c r="Y781" i="1"/>
  <c r="AS735" i="1"/>
  <c r="AT735" i="1" s="1"/>
  <c r="Z780" i="1"/>
  <c r="Z779" i="1"/>
  <c r="Z778" i="1"/>
  <c r="Y772" i="1"/>
  <c r="AT769" i="1"/>
  <c r="Y768" i="1"/>
  <c r="Y769" i="1"/>
  <c r="AT767" i="1"/>
  <c r="Z873" i="1"/>
  <c r="Y767" i="1"/>
  <c r="AT764" i="1"/>
  <c r="Y765" i="1"/>
  <c r="AT752" i="1"/>
  <c r="Y764" i="1"/>
  <c r="Z764" i="1"/>
  <c r="Z772" i="1"/>
  <c r="Z769" i="1"/>
  <c r="Z768" i="1"/>
  <c r="Z767" i="1"/>
  <c r="Z765" i="1"/>
  <c r="Z812" i="1"/>
  <c r="Z777" i="1"/>
  <c r="Z775" i="1"/>
  <c r="Z872" i="1"/>
  <c r="Z752" i="1"/>
  <c r="Y752" i="1"/>
  <c r="AT749" i="1"/>
  <c r="Z749" i="1"/>
  <c r="Y749" i="1"/>
  <c r="AS744" i="1"/>
  <c r="AT748" i="1"/>
  <c r="Y748" i="1"/>
  <c r="Z748" i="1"/>
  <c r="AT746" i="1"/>
  <c r="AT747" i="1"/>
  <c r="Z747" i="1"/>
  <c r="Y747" i="1"/>
  <c r="Y745" i="1"/>
  <c r="Z745" i="1"/>
  <c r="Y746" i="1"/>
  <c r="Z746" i="1"/>
  <c r="AS739" i="1"/>
  <c r="AT739" i="1" s="1"/>
  <c r="AD744" i="1"/>
  <c r="Z744" i="1"/>
  <c r="Y744" i="1"/>
  <c r="AD732" i="1"/>
  <c r="AS732" i="1"/>
  <c r="AT732" i="1" s="1"/>
  <c r="AS736" i="1"/>
  <c r="AT736" i="1" s="1"/>
  <c r="Y739" i="1"/>
  <c r="Z739" i="1"/>
  <c r="AT733" i="1"/>
  <c r="AV733" i="1"/>
  <c r="AU733" i="1" s="1"/>
  <c r="AT734" i="1"/>
  <c r="AV734" i="1"/>
  <c r="AU734" i="1" s="1"/>
  <c r="AT737" i="1"/>
  <c r="AS738" i="1"/>
  <c r="Y738" i="1"/>
  <c r="Z738" i="1"/>
  <c r="AL738" i="1" s="1"/>
  <c r="AM738" i="1" s="1"/>
  <c r="Z737" i="1"/>
  <c r="Y737" i="1"/>
  <c r="Y736" i="1"/>
  <c r="Z736" i="1"/>
  <c r="Y733" i="1"/>
  <c r="Z733" i="1"/>
  <c r="Z735" i="1"/>
  <c r="Y735" i="1"/>
  <c r="Z732" i="1"/>
  <c r="AL732" i="1" s="1"/>
  <c r="AM732" i="1" s="1"/>
  <c r="Y732" i="1"/>
  <c r="AT729" i="1"/>
  <c r="AS727" i="1"/>
  <c r="AD730" i="1"/>
  <c r="AT730" i="1" s="1"/>
  <c r="Y730" i="1"/>
  <c r="Z730" i="1"/>
  <c r="AL730" i="1" s="1"/>
  <c r="AM730" i="1" s="1"/>
  <c r="Y729" i="1"/>
  <c r="Z729" i="1"/>
  <c r="Y727" i="1"/>
  <c r="Z727" i="1"/>
  <c r="AL727" i="1" s="1"/>
  <c r="AM727" i="1" s="1"/>
  <c r="AS699" i="1"/>
  <c r="AT724" i="1"/>
  <c r="Y725" i="1"/>
  <c r="Z725" i="1"/>
  <c r="Z724" i="1"/>
  <c r="Y724" i="1"/>
  <c r="AS719" i="1"/>
  <c r="AT719" i="1" s="1"/>
  <c r="AS716" i="1"/>
  <c r="AT716" i="1" s="1"/>
  <c r="Z719" i="1"/>
  <c r="Y719" i="1"/>
  <c r="Z716" i="1"/>
  <c r="Y716" i="1"/>
  <c r="Y709" i="1"/>
  <c r="Z709" i="1"/>
  <c r="Y710" i="1"/>
  <c r="Z710" i="1"/>
  <c r="Y711" i="1"/>
  <c r="Z711" i="1"/>
  <c r="Y712" i="1"/>
  <c r="Z712" i="1"/>
  <c r="Y713" i="1"/>
  <c r="Z713" i="1"/>
  <c r="Y714" i="1"/>
  <c r="Z714" i="1"/>
  <c r="Y715" i="1"/>
  <c r="Z715" i="1"/>
  <c r="AS708" i="1"/>
  <c r="AS700" i="1"/>
  <c r="AT700" i="1" s="1"/>
  <c r="AT708" i="1"/>
  <c r="Z708" i="1"/>
  <c r="Y708" i="1"/>
  <c r="AS701" i="1"/>
  <c r="AT698" i="1"/>
  <c r="Z700" i="1"/>
  <c r="AL700" i="1" s="1"/>
  <c r="AM700" i="1" s="1"/>
  <c r="Y700" i="1"/>
  <c r="AD701" i="1"/>
  <c r="Z701" i="1"/>
  <c r="Y701" i="1"/>
  <c r="AT696" i="1"/>
  <c r="AT697" i="1"/>
  <c r="AS690" i="1"/>
  <c r="AT690" i="1" s="1"/>
  <c r="Z699" i="1"/>
  <c r="AL699" i="1" s="1"/>
  <c r="AM699" i="1" s="1"/>
  <c r="Y699" i="1"/>
  <c r="Z698" i="1"/>
  <c r="Y698" i="1"/>
  <c r="Z697" i="1"/>
  <c r="Y697" i="1"/>
  <c r="AS688" i="1"/>
  <c r="Z696" i="1"/>
  <c r="Y696" i="1"/>
  <c r="Z693" i="1"/>
  <c r="Y693" i="1"/>
  <c r="AT688" i="1"/>
  <c r="AT692" i="1"/>
  <c r="Z692" i="1"/>
  <c r="Y692" i="1"/>
  <c r="Z762" i="1"/>
  <c r="Y762" i="1"/>
  <c r="AL690" i="1"/>
  <c r="AS686" i="1"/>
  <c r="AS685" i="1"/>
  <c r="Z688" i="1"/>
  <c r="Y688" i="1"/>
  <c r="AT687" i="1"/>
  <c r="Z687" i="1"/>
  <c r="Y687" i="1"/>
  <c r="AD686" i="1"/>
  <c r="Z686" i="1"/>
  <c r="AL686" i="1" s="1"/>
  <c r="AM686" i="1" s="1"/>
  <c r="Y686" i="1"/>
  <c r="AD685" i="1"/>
  <c r="Z685" i="1"/>
  <c r="AL685" i="1" s="1"/>
  <c r="AM685" i="1" s="1"/>
  <c r="Y685" i="1"/>
  <c r="AT684" i="1"/>
  <c r="Z684" i="1"/>
  <c r="Y684" i="1"/>
  <c r="AT677" i="1"/>
  <c r="AT676" i="1"/>
  <c r="AS673" i="1"/>
  <c r="Z677" i="1"/>
  <c r="Y677" i="1"/>
  <c r="AT675" i="1"/>
  <c r="Z676" i="1"/>
  <c r="Y676" i="1"/>
  <c r="AT674" i="1"/>
  <c r="Y675" i="1"/>
  <c r="Z675" i="1"/>
  <c r="AT672" i="1"/>
  <c r="Y674" i="1"/>
  <c r="Z674" i="1"/>
  <c r="Z673" i="1"/>
  <c r="AL673" i="1" s="1"/>
  <c r="AM673" i="1" s="1"/>
  <c r="Y673" i="1"/>
  <c r="Y672" i="1"/>
  <c r="Z672" i="1"/>
  <c r="AT671" i="1"/>
  <c r="Y671" i="1"/>
  <c r="Z671" i="1"/>
  <c r="Z670" i="1"/>
  <c r="Y670" i="1"/>
  <c r="AT661" i="1"/>
  <c r="AT659" i="1"/>
  <c r="AT663" i="1"/>
  <c r="AT664" i="1"/>
  <c r="AT665" i="1"/>
  <c r="Z665" i="1"/>
  <c r="Y665" i="1"/>
  <c r="Z664" i="1"/>
  <c r="AL664" i="1" s="1"/>
  <c r="AM664" i="1" s="1"/>
  <c r="Y664" i="1"/>
  <c r="Z661" i="1"/>
  <c r="Y661" i="1"/>
  <c r="Z663" i="1"/>
  <c r="Y663" i="1"/>
  <c r="AS638" i="1"/>
  <c r="Y655" i="1"/>
  <c r="Z655" i="1"/>
  <c r="Y656" i="1"/>
  <c r="Z656" i="1"/>
  <c r="Y657" i="1"/>
  <c r="Z657" i="1"/>
  <c r="Y658" i="1"/>
  <c r="Z658" i="1"/>
  <c r="Y659" i="1"/>
  <c r="Z659" i="1"/>
  <c r="Z654" i="1"/>
  <c r="Y654" i="1"/>
  <c r="AT654" i="1"/>
  <c r="AT653" i="1"/>
  <c r="Z653" i="1"/>
  <c r="Y653" i="1"/>
  <c r="AT649" i="1"/>
  <c r="Z649" i="1"/>
  <c r="Y649" i="1"/>
  <c r="AS608" i="1"/>
  <c r="AT608" i="1" s="1"/>
  <c r="AT641" i="1"/>
  <c r="AT643" i="1"/>
  <c r="AT636" i="1"/>
  <c r="AV636" i="1"/>
  <c r="AU636" i="1" s="1"/>
  <c r="AT637" i="1"/>
  <c r="Z643" i="1"/>
  <c r="Y643" i="1"/>
  <c r="Z641" i="1"/>
  <c r="Y641" i="1"/>
  <c r="AD638" i="1"/>
  <c r="AS607" i="1"/>
  <c r="AT607" i="1" s="1"/>
  <c r="Z638" i="1"/>
  <c r="AL638" i="1" s="1"/>
  <c r="AM638" i="1" s="1"/>
  <c r="Y638" i="1"/>
  <c r="Z637" i="1"/>
  <c r="Y637" i="1"/>
  <c r="AT632" i="1"/>
  <c r="AV632" i="1"/>
  <c r="AU632" i="1" s="1"/>
  <c r="AT633" i="1"/>
  <c r="AT634" i="1"/>
  <c r="AV634" i="1"/>
  <c r="AU634" i="1" s="1"/>
  <c r="AT635" i="1"/>
  <c r="Z635" i="1"/>
  <c r="Y635" i="1"/>
  <c r="AT629" i="1"/>
  <c r="Z652" i="1"/>
  <c r="Z651" i="1"/>
  <c r="Z650" i="1"/>
  <c r="AL630" i="1"/>
  <c r="AM630" i="1" s="1"/>
  <c r="AL631" i="1"/>
  <c r="AM631" i="1" s="1"/>
  <c r="AS601" i="1"/>
  <c r="AT601" i="1" s="1"/>
  <c r="Z633" i="1"/>
  <c r="Y633" i="1"/>
  <c r="AT625" i="1"/>
  <c r="Y629" i="1"/>
  <c r="AT627" i="1"/>
  <c r="AV627" i="1"/>
  <c r="AU627" i="1" s="1"/>
  <c r="AT628" i="1"/>
  <c r="C14" i="6"/>
  <c r="AS594" i="1"/>
  <c r="Z628" i="1"/>
  <c r="Y628" i="1"/>
  <c r="AT626" i="1"/>
  <c r="AS590" i="1"/>
  <c r="AT590" i="1" s="1"/>
  <c r="Z626" i="1"/>
  <c r="Y626" i="1"/>
  <c r="Z625" i="1"/>
  <c r="Y625" i="1"/>
  <c r="AT620" i="1"/>
  <c r="AV620" i="1"/>
  <c r="AU620" i="1" s="1"/>
  <c r="AT621" i="1"/>
  <c r="AT618" i="1"/>
  <c r="AV618" i="1"/>
  <c r="AU618" i="1" s="1"/>
  <c r="AT619" i="1"/>
  <c r="Z629" i="1"/>
  <c r="Z627" i="1"/>
  <c r="Z623" i="1"/>
  <c r="Z634" i="1"/>
  <c r="Z621" i="1"/>
  <c r="Y621" i="1"/>
  <c r="AL620" i="1"/>
  <c r="AM620" i="1" s="1"/>
  <c r="Z619" i="1"/>
  <c r="Y619" i="1"/>
  <c r="AT615" i="1"/>
  <c r="AV615" i="1"/>
  <c r="AU615" i="1" s="1"/>
  <c r="AT616" i="1"/>
  <c r="AV616" i="1"/>
  <c r="AU616" i="1" s="1"/>
  <c r="AT617" i="1"/>
  <c r="Z617" i="1"/>
  <c r="Y617" i="1"/>
  <c r="AT613" i="1"/>
  <c r="Z613" i="1"/>
  <c r="Y613" i="1"/>
  <c r="AT612" i="1"/>
  <c r="Z612" i="1"/>
  <c r="Y612" i="1"/>
  <c r="AT609" i="1"/>
  <c r="AT610" i="1"/>
  <c r="Z610" i="1"/>
  <c r="Y610" i="1"/>
  <c r="Y608" i="1"/>
  <c r="Z609" i="1"/>
  <c r="Y609" i="1"/>
  <c r="Z607" i="1"/>
  <c r="Y607" i="1"/>
  <c r="AT605" i="1"/>
  <c r="Y604" i="1"/>
  <c r="Y605" i="1"/>
  <c r="AT603" i="1"/>
  <c r="Z603" i="1"/>
  <c r="AV603" i="1" s="1"/>
  <c r="AU603" i="1" s="1"/>
  <c r="Y603" i="1"/>
  <c r="AT602" i="1"/>
  <c r="Z602" i="1"/>
  <c r="Y602" i="1"/>
  <c r="Z601" i="1"/>
  <c r="Y601" i="1"/>
  <c r="AS587" i="1"/>
  <c r="AT587" i="1" s="1"/>
  <c r="M15" i="6" a="1"/>
  <c r="M15" i="6" s="1"/>
  <c r="H15" i="6"/>
  <c r="D15" i="6"/>
  <c r="V15" i="6" s="1"/>
  <c r="C15" i="6"/>
  <c r="AT600" i="1"/>
  <c r="AT597" i="1"/>
  <c r="AV597" i="1"/>
  <c r="AU597" i="1" s="1"/>
  <c r="AT598" i="1"/>
  <c r="AT599" i="1"/>
  <c r="Y600" i="1"/>
  <c r="Y599" i="1"/>
  <c r="Z598" i="1"/>
  <c r="Y598" i="1"/>
  <c r="AT596" i="1"/>
  <c r="Z608" i="1"/>
  <c r="Z606" i="1"/>
  <c r="Z605" i="1"/>
  <c r="Z604" i="1"/>
  <c r="Z600" i="1"/>
  <c r="Z599" i="1"/>
  <c r="Z597" i="1"/>
  <c r="Z615" i="1"/>
  <c r="Z611" i="1"/>
  <c r="Z616" i="1"/>
  <c r="Z596" i="1"/>
  <c r="Y596" i="1"/>
  <c r="Z594" i="1"/>
  <c r="AL594" i="1" s="1"/>
  <c r="AM594" i="1" s="1"/>
  <c r="Y594" i="1"/>
  <c r="AT592" i="1"/>
  <c r="AT593" i="1"/>
  <c r="Z593" i="1"/>
  <c r="Y593" i="1"/>
  <c r="Z592" i="1"/>
  <c r="Y592" i="1"/>
  <c r="Z590" i="1"/>
  <c r="Y590" i="1"/>
  <c r="AT586" i="1"/>
  <c r="AT585" i="1"/>
  <c r="Z589" i="1"/>
  <c r="Z588" i="1"/>
  <c r="Z595" i="1"/>
  <c r="Z587" i="1"/>
  <c r="Y587" i="1"/>
  <c r="Y586" i="1"/>
  <c r="Z585" i="1"/>
  <c r="Y585" i="1"/>
  <c r="AS583" i="1"/>
  <c r="AT583" i="1"/>
  <c r="Y579" i="1"/>
  <c r="Z579" i="1"/>
  <c r="Y580" i="1"/>
  <c r="Z580" i="1"/>
  <c r="Y581" i="1"/>
  <c r="Z581" i="1"/>
  <c r="Y582" i="1"/>
  <c r="Z582" i="1"/>
  <c r="Y583" i="1"/>
  <c r="Z583" i="1"/>
  <c r="Z586" i="1"/>
  <c r="BM2561" i="1" l="1"/>
  <c r="BN2561" i="1"/>
  <c r="BO2561" i="1"/>
  <c r="BM2562" i="1"/>
  <c r="BN2562" i="1"/>
  <c r="BO2562" i="1"/>
  <c r="BM2563" i="1"/>
  <c r="BN2563" i="1"/>
  <c r="BO2563" i="1"/>
  <c r="BM2564" i="1"/>
  <c r="BN2564" i="1"/>
  <c r="BO2564" i="1"/>
  <c r="BM2565" i="1"/>
  <c r="BN2565" i="1"/>
  <c r="BO2565" i="1"/>
  <c r="BM2566" i="1"/>
  <c r="BN2566" i="1"/>
  <c r="BO2566" i="1"/>
  <c r="BM2567" i="1"/>
  <c r="BN2567" i="1"/>
  <c r="BO2567" i="1"/>
  <c r="BM2568" i="1"/>
  <c r="BN2568" i="1"/>
  <c r="BO2568" i="1"/>
  <c r="BM2569" i="1"/>
  <c r="BN2569" i="1"/>
  <c r="BO2569" i="1"/>
  <c r="BM2570" i="1"/>
  <c r="BN2570" i="1"/>
  <c r="BO2570" i="1"/>
  <c r="BM2571" i="1"/>
  <c r="BN2571" i="1"/>
  <c r="BO2571" i="1"/>
  <c r="BM2572" i="1"/>
  <c r="BN2572" i="1"/>
  <c r="BO2572" i="1"/>
  <c r="BM2573" i="1"/>
  <c r="BN2573" i="1"/>
  <c r="BO2573" i="1"/>
  <c r="BM2574" i="1"/>
  <c r="BN2574" i="1"/>
  <c r="BO2574" i="1"/>
  <c r="BM2575" i="1"/>
  <c r="BN2575" i="1"/>
  <c r="BO2575" i="1"/>
  <c r="BM2576" i="1"/>
  <c r="BN2576" i="1"/>
  <c r="BO2576" i="1"/>
  <c r="BM2577" i="1"/>
  <c r="BN2577" i="1"/>
  <c r="BO2577" i="1"/>
  <c r="BM2578" i="1"/>
  <c r="BN2578" i="1"/>
  <c r="BO2578" i="1"/>
  <c r="BM2579" i="1"/>
  <c r="BN2579" i="1"/>
  <c r="BO2579" i="1"/>
  <c r="BM2580" i="1"/>
  <c r="BN2580" i="1"/>
  <c r="BO2580" i="1"/>
  <c r="BM2581" i="1"/>
  <c r="BN2581" i="1"/>
  <c r="BO2581" i="1"/>
  <c r="BM2582" i="1"/>
  <c r="BN2582" i="1"/>
  <c r="BO2582" i="1"/>
  <c r="BM2583" i="1"/>
  <c r="BN2583" i="1"/>
  <c r="BO2583" i="1"/>
  <c r="BM2584" i="1"/>
  <c r="BN2584" i="1"/>
  <c r="BO2584" i="1"/>
  <c r="BM2585" i="1"/>
  <c r="BN2585" i="1"/>
  <c r="BO2585" i="1"/>
  <c r="BM2586" i="1"/>
  <c r="BN2586" i="1"/>
  <c r="BO2586" i="1"/>
  <c r="BM2587" i="1"/>
  <c r="BN2587" i="1"/>
  <c r="BO2587" i="1"/>
  <c r="BM2588" i="1"/>
  <c r="BN2588" i="1"/>
  <c r="BO2588" i="1"/>
  <c r="BM2589" i="1"/>
  <c r="BN2589" i="1"/>
  <c r="BO2589" i="1"/>
  <c r="BM2590" i="1"/>
  <c r="BN2590" i="1"/>
  <c r="BO2590" i="1"/>
  <c r="BM2591" i="1"/>
  <c r="BN2591" i="1"/>
  <c r="BO2591" i="1"/>
  <c r="BM2592" i="1"/>
  <c r="BN2592" i="1"/>
  <c r="BO2592" i="1"/>
  <c r="BM2593" i="1"/>
  <c r="BN2593" i="1"/>
  <c r="BO2593" i="1"/>
  <c r="BM2594" i="1"/>
  <c r="BN2594" i="1"/>
  <c r="BO2594" i="1"/>
  <c r="BM2595" i="1"/>
  <c r="BN2595" i="1"/>
  <c r="BO2595" i="1"/>
  <c r="BM2596" i="1"/>
  <c r="BN2596" i="1"/>
  <c r="BO2596" i="1"/>
  <c r="BM2597" i="1"/>
  <c r="BN2597" i="1"/>
  <c r="BO2597" i="1"/>
  <c r="BM2598" i="1"/>
  <c r="BN2598" i="1"/>
  <c r="BO2598" i="1"/>
  <c r="BM2599" i="1"/>
  <c r="BN2599" i="1"/>
  <c r="BO2599" i="1"/>
  <c r="BM2600" i="1"/>
  <c r="BN2600" i="1"/>
  <c r="BO2600" i="1"/>
  <c r="BM2601" i="1"/>
  <c r="BN2601" i="1"/>
  <c r="BO2601" i="1"/>
  <c r="BM2602" i="1"/>
  <c r="BN2602" i="1"/>
  <c r="BO2602" i="1"/>
  <c r="BM2603" i="1"/>
  <c r="BN2603" i="1"/>
  <c r="BO2603" i="1"/>
  <c r="BM2604" i="1"/>
  <c r="BN2604" i="1"/>
  <c r="BO2604" i="1"/>
  <c r="BM2605" i="1"/>
  <c r="BN2605" i="1"/>
  <c r="BO2605" i="1"/>
  <c r="BM2606" i="1"/>
  <c r="BN2606" i="1"/>
  <c r="BO2606" i="1"/>
  <c r="BM2607" i="1"/>
  <c r="BN2607" i="1"/>
  <c r="BO2607" i="1"/>
  <c r="BM2608" i="1"/>
  <c r="BN2608" i="1"/>
  <c r="BO2608" i="1"/>
  <c r="BM2609" i="1"/>
  <c r="BN2609" i="1"/>
  <c r="BO2609" i="1"/>
  <c r="BM2610" i="1"/>
  <c r="BN2610" i="1"/>
  <c r="BO2610" i="1"/>
  <c r="BM2611" i="1"/>
  <c r="BN2611" i="1"/>
  <c r="BO2611" i="1"/>
  <c r="BM2612" i="1"/>
  <c r="BN2612" i="1"/>
  <c r="BO2612" i="1"/>
  <c r="BM2613" i="1"/>
  <c r="BN2613" i="1"/>
  <c r="BO2613" i="1"/>
  <c r="BM2614" i="1"/>
  <c r="BN2614" i="1"/>
  <c r="BO2614" i="1"/>
  <c r="BM2615" i="1"/>
  <c r="BN2615" i="1"/>
  <c r="BO2615" i="1"/>
  <c r="BM2616" i="1"/>
  <c r="BN2616" i="1"/>
  <c r="BO2616" i="1"/>
  <c r="BM2617" i="1"/>
  <c r="BN2617" i="1"/>
  <c r="BO2617" i="1"/>
  <c r="BM2618" i="1"/>
  <c r="BN2618" i="1"/>
  <c r="BO2618" i="1"/>
  <c r="BM2619" i="1"/>
  <c r="BN2619" i="1"/>
  <c r="BO2619" i="1"/>
  <c r="BM2620" i="1"/>
  <c r="BN2620" i="1"/>
  <c r="BO2620" i="1"/>
  <c r="BM2621" i="1"/>
  <c r="BN2621" i="1"/>
  <c r="BO2621" i="1"/>
  <c r="BM2622" i="1"/>
  <c r="BN2622" i="1"/>
  <c r="BO2622" i="1"/>
  <c r="BM2623" i="1"/>
  <c r="BN2623" i="1"/>
  <c r="BO2623" i="1"/>
  <c r="BM2624" i="1"/>
  <c r="BN2624" i="1"/>
  <c r="BO2624" i="1"/>
  <c r="BM2625" i="1"/>
  <c r="BN2625" i="1"/>
  <c r="BO2625" i="1"/>
  <c r="BM2626" i="1"/>
  <c r="BN2626" i="1"/>
  <c r="BO2626" i="1"/>
  <c r="BM2627" i="1"/>
  <c r="BN2627" i="1"/>
  <c r="BO2627" i="1"/>
  <c r="BM2628" i="1"/>
  <c r="BN2628" i="1"/>
  <c r="BO2628" i="1"/>
  <c r="BM2629" i="1"/>
  <c r="BN2629" i="1"/>
  <c r="BO2629" i="1"/>
  <c r="BM2630" i="1"/>
  <c r="BN2630" i="1"/>
  <c r="BO2630" i="1"/>
  <c r="AV2561" i="1"/>
  <c r="AV2562" i="1"/>
  <c r="AV2563" i="1"/>
  <c r="AU2563" i="1" s="1"/>
  <c r="AV2566" i="1"/>
  <c r="AU2566" i="1" s="1"/>
  <c r="AV2567" i="1"/>
  <c r="AU2567" i="1" s="1"/>
  <c r="AV2568" i="1"/>
  <c r="AU2568" i="1" s="1"/>
  <c r="AV2571" i="1"/>
  <c r="AV2572" i="1"/>
  <c r="AU2572" i="1" s="1"/>
  <c r="AV2573" i="1"/>
  <c r="AU2573" i="1" s="1"/>
  <c r="AV2575" i="1"/>
  <c r="AU2575" i="1" s="1"/>
  <c r="AV2576" i="1"/>
  <c r="AU2576" i="1" s="1"/>
  <c r="AV2577" i="1"/>
  <c r="AU2577" i="1" s="1"/>
  <c r="AV2578" i="1"/>
  <c r="AU2578" i="1" s="1"/>
  <c r="AV2579" i="1"/>
  <c r="AU2579" i="1" s="1"/>
  <c r="AV2580" i="1"/>
  <c r="AU2580" i="1" s="1"/>
  <c r="AV2581" i="1"/>
  <c r="AU2581" i="1" s="1"/>
  <c r="AV2582" i="1"/>
  <c r="AU2582" i="1" s="1"/>
  <c r="AV2583" i="1"/>
  <c r="AU2583" i="1" s="1"/>
  <c r="AV2586" i="1"/>
  <c r="AU2586" i="1" s="1"/>
  <c r="AV2559" i="1"/>
  <c r="AV2560" i="1"/>
  <c r="AU2560" i="1" s="1"/>
  <c r="AV2519" i="1"/>
  <c r="AV2524" i="1"/>
  <c r="AU2524" i="1" s="1"/>
  <c r="AV2528" i="1"/>
  <c r="AU2528" i="1" s="1"/>
  <c r="AV2529" i="1"/>
  <c r="AV2530" i="1"/>
  <c r="AU2530" i="1" s="1"/>
  <c r="AV2531" i="1"/>
  <c r="AU2531" i="1" s="1"/>
  <c r="AV2532" i="1"/>
  <c r="AU2532" i="1" s="1"/>
  <c r="AV2535" i="1"/>
  <c r="AV2536" i="1"/>
  <c r="AU2536" i="1" s="1"/>
  <c r="AV2537" i="1"/>
  <c r="AU2537" i="1" s="1"/>
  <c r="AV2538" i="1"/>
  <c r="AU2538" i="1" s="1"/>
  <c r="AV2539" i="1"/>
  <c r="AU2539" i="1" s="1"/>
  <c r="AV2540" i="1"/>
  <c r="AU2540" i="1" s="1"/>
  <c r="AV2541" i="1"/>
  <c r="AU2541" i="1" s="1"/>
  <c r="AV2542" i="1"/>
  <c r="AU2542" i="1" s="1"/>
  <c r="AV2543" i="1"/>
  <c r="AU2543" i="1" s="1"/>
  <c r="AV2544" i="1"/>
  <c r="AU2544" i="1" s="1"/>
  <c r="AT2545" i="1"/>
  <c r="AV2545" i="1" s="1"/>
  <c r="AU2545" i="1" s="1"/>
  <c r="AV2546" i="1"/>
  <c r="AU2546" i="1" s="1"/>
  <c r="AV2547" i="1"/>
  <c r="AU2547" i="1" s="1"/>
  <c r="AV2548" i="1"/>
  <c r="AU2548" i="1" s="1"/>
  <c r="AV2549" i="1"/>
  <c r="AU2549" i="1" s="1"/>
  <c r="AV2550" i="1"/>
  <c r="AU2550" i="1" s="1"/>
  <c r="AV2553" i="1"/>
  <c r="AU2553" i="1" s="1"/>
  <c r="AV2554" i="1"/>
  <c r="AU2554" i="1" s="1"/>
  <c r="AV2501" i="1"/>
  <c r="AV2502" i="1"/>
  <c r="AT2503" i="1"/>
  <c r="AV2503" i="1" s="1"/>
  <c r="AT2504" i="1"/>
  <c r="AV2504" i="1" s="1"/>
  <c r="AU2504" i="1" s="1"/>
  <c r="AV2505" i="1"/>
  <c r="AU2505" i="1" s="1"/>
  <c r="AV2506" i="1"/>
  <c r="AU2506" i="1" s="1"/>
  <c r="AV2507" i="1"/>
  <c r="AU2507" i="1" s="1"/>
  <c r="AV2508" i="1"/>
  <c r="AU2508" i="1" s="1"/>
  <c r="AV2509" i="1"/>
  <c r="AU2509" i="1" s="1"/>
  <c r="AT2510" i="1"/>
  <c r="AV2510" i="1" s="1"/>
  <c r="AU2510" i="1" s="1"/>
  <c r="I23" i="6"/>
  <c r="AT1752" i="1"/>
  <c r="AT1892" i="1"/>
  <c r="AV1893" i="1"/>
  <c r="AU1893" i="1" s="1"/>
  <c r="AT1964" i="1"/>
  <c r="AT2060" i="1"/>
  <c r="AT2115" i="1"/>
  <c r="AV2115" i="1" s="1"/>
  <c r="AU2115" i="1" s="1"/>
  <c r="AV2163" i="1"/>
  <c r="AU2163" i="1" s="1"/>
  <c r="AV2241" i="1"/>
  <c r="AU2241" i="1" s="1"/>
  <c r="F21" i="6"/>
  <c r="F27" i="6"/>
  <c r="F22" i="6"/>
  <c r="AV2254" i="1"/>
  <c r="AU2254" i="1" s="1"/>
  <c r="AV2262" i="1"/>
  <c r="AU2262" i="1" s="1"/>
  <c r="AT2312" i="1"/>
  <c r="AV2312" i="1" s="1"/>
  <c r="AU2312" i="1" s="1"/>
  <c r="AV2339" i="1"/>
  <c r="AU2339" i="1" s="1"/>
  <c r="AT2338" i="1"/>
  <c r="AV2338" i="1" s="1"/>
  <c r="AU2338" i="1" s="1"/>
  <c r="AT2369" i="1"/>
  <c r="AV2369" i="1" s="1"/>
  <c r="AU2369" i="1" s="1"/>
  <c r="AV2385" i="1"/>
  <c r="AU2385" i="1" s="1"/>
  <c r="AU2420" i="1"/>
  <c r="AV2463" i="1"/>
  <c r="AU2463" i="1" s="1"/>
  <c r="AV2472" i="1"/>
  <c r="AU2472" i="1" s="1"/>
  <c r="AV2461" i="1"/>
  <c r="AU2461" i="1" s="1"/>
  <c r="AV2467" i="1"/>
  <c r="AU2467" i="1" s="1"/>
  <c r="L25" i="6"/>
  <c r="X25" i="6" s="1"/>
  <c r="S28" i="6"/>
  <c r="Q28" i="6"/>
  <c r="P28" i="6"/>
  <c r="P27" i="6"/>
  <c r="S27" i="6"/>
  <c r="S26" i="6"/>
  <c r="Q26" i="6"/>
  <c r="P26" i="6"/>
  <c r="S25" i="6"/>
  <c r="P21" i="6"/>
  <c r="R21" i="6" s="1"/>
  <c r="S22" i="6"/>
  <c r="Q27" i="6"/>
  <c r="O21" i="6"/>
  <c r="R25" i="6"/>
  <c r="O27" i="6"/>
  <c r="O26" i="6"/>
  <c r="S24" i="6"/>
  <c r="Q23" i="6"/>
  <c r="S21" i="6"/>
  <c r="K24" i="6"/>
  <c r="O24" i="6"/>
  <c r="O23" i="6"/>
  <c r="P23" i="6"/>
  <c r="P22" i="6"/>
  <c r="S23" i="6"/>
  <c r="Q22" i="6"/>
  <c r="P24" i="6"/>
  <c r="L24" i="6"/>
  <c r="Q24" i="6"/>
  <c r="AV2386" i="1"/>
  <c r="AU2386" i="1" s="1"/>
  <c r="AV2328" i="1"/>
  <c r="AU2328" i="1" s="1"/>
  <c r="AV2405" i="1"/>
  <c r="AU2405" i="1" s="1"/>
  <c r="AV2453" i="1"/>
  <c r="AU2453" i="1" s="1"/>
  <c r="AV1872" i="1"/>
  <c r="AU1872" i="1" s="1"/>
  <c r="AV2063" i="1"/>
  <c r="AU2063" i="1" s="1"/>
  <c r="AV2198" i="1"/>
  <c r="AU2198" i="1" s="1"/>
  <c r="AV2346" i="1"/>
  <c r="AU2346" i="1" s="1"/>
  <c r="AV635" i="1"/>
  <c r="AV1772" i="1"/>
  <c r="AU1772" i="1" s="1"/>
  <c r="AV2245" i="1"/>
  <c r="AU2245" i="1" s="1"/>
  <c r="AV2310" i="1"/>
  <c r="AU2310" i="1" s="1"/>
  <c r="AV2449" i="1"/>
  <c r="AU2449" i="1" s="1"/>
  <c r="AV1418" i="1"/>
  <c r="AU1418" i="1" s="1"/>
  <c r="AV1775" i="1"/>
  <c r="AU1775" i="1" s="1"/>
  <c r="AV1871" i="1"/>
  <c r="AU1871" i="1" s="1"/>
  <c r="AL1895" i="1"/>
  <c r="AM1895" i="1" s="1"/>
  <c r="AV1923" i="1"/>
  <c r="AU1923" i="1" s="1"/>
  <c r="AT1955" i="1"/>
  <c r="AV2387" i="1"/>
  <c r="AU2387" i="1" s="1"/>
  <c r="AV2219" i="1"/>
  <c r="AU2219" i="1" s="1"/>
  <c r="AV2358" i="1"/>
  <c r="AU2358" i="1" s="1"/>
  <c r="AV1700" i="1"/>
  <c r="AU1700" i="1" s="1"/>
  <c r="AV1826" i="1"/>
  <c r="AU1826" i="1" s="1"/>
  <c r="AV1906" i="1"/>
  <c r="AU1906" i="1" s="1"/>
  <c r="AV1913" i="1"/>
  <c r="AU1913" i="1" s="1"/>
  <c r="AV2035" i="1"/>
  <c r="AU2035" i="1" s="1"/>
  <c r="AV2100" i="1"/>
  <c r="AU2100" i="1" s="1"/>
  <c r="AV2246" i="1"/>
  <c r="AU2246" i="1" s="1"/>
  <c r="AV2335" i="1"/>
  <c r="AU2335" i="1" s="1"/>
  <c r="AV2347" i="1"/>
  <c r="AU2347" i="1" s="1"/>
  <c r="AV2359" i="1"/>
  <c r="AU2359" i="1" s="1"/>
  <c r="AV1107" i="1"/>
  <c r="AV1549" i="1"/>
  <c r="AV1688" i="1"/>
  <c r="AU1688" i="1" s="1"/>
  <c r="AL1797" i="1"/>
  <c r="AM1797" i="1" s="1"/>
  <c r="AV1967" i="1"/>
  <c r="AU1967" i="1" s="1"/>
  <c r="AV1970" i="1"/>
  <c r="AU1970" i="1" s="1"/>
  <c r="AL2017" i="1"/>
  <c r="AM2017" i="1" s="1"/>
  <c r="AT2021" i="1"/>
  <c r="AV2110" i="1"/>
  <c r="AU2110" i="1" s="1"/>
  <c r="AV2233" i="1"/>
  <c r="AU2233" i="1" s="1"/>
  <c r="AV1664" i="1"/>
  <c r="AU1664" i="1" s="1"/>
  <c r="AT1821" i="1"/>
  <c r="AV1896" i="1"/>
  <c r="AU1896" i="1" s="1"/>
  <c r="AV1946" i="1"/>
  <c r="AU1946" i="1" s="1"/>
  <c r="AV2002" i="1"/>
  <c r="AU2002" i="1" s="1"/>
  <c r="AV2234" i="1"/>
  <c r="AU2234" i="1" s="1"/>
  <c r="AV2164" i="1"/>
  <c r="AU2164" i="1" s="1"/>
  <c r="AV2466" i="1"/>
  <c r="AU2466" i="1" s="1"/>
  <c r="AT1489" i="1"/>
  <c r="AV1618" i="1"/>
  <c r="AV1757" i="1"/>
  <c r="AU1757" i="1" s="1"/>
  <c r="AT1914" i="1"/>
  <c r="AV1987" i="1"/>
  <c r="AU1987" i="1" s="1"/>
  <c r="AV2324" i="1"/>
  <c r="AU2324" i="1" s="1"/>
  <c r="AL1721" i="1"/>
  <c r="AM1721" i="1" s="1"/>
  <c r="AV2396" i="1"/>
  <c r="AU2396" i="1" s="1"/>
  <c r="AV2090" i="1"/>
  <c r="AU2090" i="1" s="1"/>
  <c r="AT2444" i="1"/>
  <c r="AV2444" i="1" s="1"/>
  <c r="AT1551" i="1"/>
  <c r="AV1551" i="1" s="1"/>
  <c r="AU1551" i="1" s="1"/>
  <c r="AV1619" i="1"/>
  <c r="AV1697" i="1"/>
  <c r="AU1697" i="1" s="1"/>
  <c r="AV1859" i="1"/>
  <c r="AU1859" i="1" s="1"/>
  <c r="AL1947" i="1"/>
  <c r="AM1947" i="1" s="1"/>
  <c r="AV2289" i="1"/>
  <c r="AU2289" i="1" s="1"/>
  <c r="AV2211" i="1"/>
  <c r="AU2211" i="1" s="1"/>
  <c r="AT2227" i="1"/>
  <c r="AV2227" i="1" s="1"/>
  <c r="AU2227" i="1" s="1"/>
  <c r="AV2414" i="1"/>
  <c r="AU2414" i="1" s="1"/>
  <c r="AV2450" i="1"/>
  <c r="AU2450" i="1" s="1"/>
  <c r="AV1886" i="1"/>
  <c r="AU1886" i="1" s="1"/>
  <c r="AV2015" i="1"/>
  <c r="AU2015" i="1" s="1"/>
  <c r="AV2019" i="1"/>
  <c r="AU2019" i="1" s="1"/>
  <c r="AV2043" i="1"/>
  <c r="AU2043" i="1" s="1"/>
  <c r="AV2253" i="1"/>
  <c r="AU2253" i="1" s="1"/>
  <c r="AV2250" i="1"/>
  <c r="AU2250" i="1" s="1"/>
  <c r="AL1636" i="1"/>
  <c r="AM1636" i="1" s="1"/>
  <c r="AL1767" i="1"/>
  <c r="AM1767" i="1" s="1"/>
  <c r="AL1772" i="1"/>
  <c r="AM1772" i="1" s="1"/>
  <c r="AV1841" i="1"/>
  <c r="AU1841" i="1" s="1"/>
  <c r="AV1850" i="1"/>
  <c r="AU1850" i="1" s="1"/>
  <c r="AV2020" i="1"/>
  <c r="AU2020" i="1" s="1"/>
  <c r="AV2201" i="1"/>
  <c r="AU2201" i="1" s="1"/>
  <c r="AV2236" i="1"/>
  <c r="AU2236" i="1" s="1"/>
  <c r="AV2242" i="1"/>
  <c r="AU2242" i="1" s="1"/>
  <c r="AT1393" i="1"/>
  <c r="AV1727" i="1"/>
  <c r="AU1727" i="1" s="1"/>
  <c r="AV1898" i="1"/>
  <c r="AU1898" i="1" s="1"/>
  <c r="AV1903" i="1"/>
  <c r="AU1903" i="1" s="1"/>
  <c r="AV1991" i="1"/>
  <c r="AU1991" i="1" s="1"/>
  <c r="AV2005" i="1"/>
  <c r="AU2005" i="1" s="1"/>
  <c r="AV2033" i="1"/>
  <c r="AU2033" i="1" s="1"/>
  <c r="AV2237" i="1"/>
  <c r="AU2237" i="1" s="1"/>
  <c r="AV2326" i="1"/>
  <c r="AU2326" i="1" s="1"/>
  <c r="AV1361" i="1"/>
  <c r="AU1361" i="1" s="1"/>
  <c r="AL1750" i="1"/>
  <c r="AM1750" i="1" s="1"/>
  <c r="AV1983" i="1"/>
  <c r="AU1983" i="1" s="1"/>
  <c r="AV2114" i="1"/>
  <c r="AU2114" i="1" s="1"/>
  <c r="AV2161" i="1"/>
  <c r="AU2161" i="1" s="1"/>
  <c r="AV2452" i="1"/>
  <c r="AU2452" i="1" s="1"/>
  <c r="AV871" i="1"/>
  <c r="AU871" i="1" s="1"/>
  <c r="AV976" i="1"/>
  <c r="AU976" i="1" s="1"/>
  <c r="AT1580" i="1"/>
  <c r="AV1596" i="1"/>
  <c r="AU1596" i="1" s="1"/>
  <c r="AL1688" i="1"/>
  <c r="AM1688" i="1" s="1"/>
  <c r="AV1904" i="1"/>
  <c r="AU1904" i="1" s="1"/>
  <c r="AV885" i="1"/>
  <c r="AU885" i="1" s="1"/>
  <c r="AV902" i="1"/>
  <c r="AU902" i="1" s="1"/>
  <c r="AT1209" i="1"/>
  <c r="AV1209" i="1" s="1"/>
  <c r="AU1209" i="1" s="1"/>
  <c r="AV1320" i="1"/>
  <c r="AU1320" i="1" s="1"/>
  <c r="AV1851" i="1"/>
  <c r="AU1851" i="1" s="1"/>
  <c r="AV1259" i="1"/>
  <c r="AU1259" i="1" s="1"/>
  <c r="AT1283" i="1"/>
  <c r="AV1283" i="1" s="1"/>
  <c r="AL1775" i="1"/>
  <c r="AM1775" i="1" s="1"/>
  <c r="AV1897" i="1"/>
  <c r="AU1897" i="1" s="1"/>
  <c r="AV1981" i="1"/>
  <c r="AU1981" i="1" s="1"/>
  <c r="AV1125" i="1"/>
  <c r="AV1367" i="1"/>
  <c r="AU1367" i="1" s="1"/>
  <c r="AV1706" i="1"/>
  <c r="AU1706" i="1" s="1"/>
  <c r="AV1571" i="1"/>
  <c r="AU1571" i="1" s="1"/>
  <c r="AL1657" i="1"/>
  <c r="AM1657" i="1" s="1"/>
  <c r="AV1720" i="1"/>
  <c r="AU1720" i="1" s="1"/>
  <c r="AL1757" i="1"/>
  <c r="AM1757" i="1" s="1"/>
  <c r="AL1779" i="1"/>
  <c r="AM1779" i="1" s="1"/>
  <c r="AL1796" i="1"/>
  <c r="AM1796" i="1" s="1"/>
  <c r="AL1841" i="1"/>
  <c r="AM1841" i="1" s="1"/>
  <c r="AV1849" i="1"/>
  <c r="AU1849" i="1" s="1"/>
  <c r="AV1881" i="1"/>
  <c r="AU1881" i="1" s="1"/>
  <c r="AV1948" i="1"/>
  <c r="AU1948" i="1" s="1"/>
  <c r="AL1967" i="1"/>
  <c r="AM1967" i="1" s="1"/>
  <c r="AV2167" i="1"/>
  <c r="AU2167" i="1" s="1"/>
  <c r="AV2220" i="1"/>
  <c r="AU2220" i="1" s="1"/>
  <c r="AV2247" i="1"/>
  <c r="AU2247" i="1" s="1"/>
  <c r="AV2314" i="1"/>
  <c r="AU2314" i="1" s="1"/>
  <c r="AV2355" i="1"/>
  <c r="AU2355" i="1" s="1"/>
  <c r="AV2413" i="1"/>
  <c r="AU2413" i="1" s="1"/>
  <c r="AV2465" i="1"/>
  <c r="AU2465" i="1" s="1"/>
  <c r="AV1132" i="1"/>
  <c r="AU1132" i="1" s="1"/>
  <c r="AT1153" i="1"/>
  <c r="AV1192" i="1"/>
  <c r="AV1247" i="1"/>
  <c r="AU1247" i="1" s="1"/>
  <c r="AL1571" i="1"/>
  <c r="AM1571" i="1" s="1"/>
  <c r="AV1579" i="1"/>
  <c r="AU1579" i="1" s="1"/>
  <c r="AL1698" i="1"/>
  <c r="AM1698" i="1" s="1"/>
  <c r="AL1774" i="1"/>
  <c r="AM1774" i="1" s="1"/>
  <c r="AV1868" i="1"/>
  <c r="AU1868" i="1" s="1"/>
  <c r="AL1896" i="1"/>
  <c r="AM1896" i="1" s="1"/>
  <c r="AV1899" i="1"/>
  <c r="AU1899" i="1" s="1"/>
  <c r="AV1922" i="1"/>
  <c r="AU1922" i="1" s="1"/>
  <c r="AL1976" i="1"/>
  <c r="AM1976" i="1" s="1"/>
  <c r="AT808" i="1"/>
  <c r="AT1052" i="1"/>
  <c r="AV1081" i="1"/>
  <c r="AU1081" i="1" s="1"/>
  <c r="AV1184" i="1"/>
  <c r="AU1184" i="1" s="1"/>
  <c r="AV1207" i="1"/>
  <c r="AU1207" i="1" s="1"/>
  <c r="AT1722" i="1"/>
  <c r="AV1754" i="1"/>
  <c r="AU1754" i="1" s="1"/>
  <c r="AV1780" i="1"/>
  <c r="AU1780" i="1" s="1"/>
  <c r="AV1786" i="1"/>
  <c r="AU1786" i="1" s="1"/>
  <c r="AL1850" i="1"/>
  <c r="AM1850" i="1" s="1"/>
  <c r="AV1879" i="1"/>
  <c r="AU1879" i="1" s="1"/>
  <c r="AV1882" i="1"/>
  <c r="AU1882" i="1" s="1"/>
  <c r="AV1901" i="1"/>
  <c r="AU1901" i="1" s="1"/>
  <c r="AV1914" i="1"/>
  <c r="AU1914" i="1" s="1"/>
  <c r="AV2096" i="1"/>
  <c r="AU2096" i="1" s="1"/>
  <c r="AV2248" i="1"/>
  <c r="AU2248" i="1" s="1"/>
  <c r="AV748" i="1"/>
  <c r="AU748" i="1" s="1"/>
  <c r="AV1269" i="1"/>
  <c r="AU1269" i="1" s="1"/>
  <c r="AL1809" i="1"/>
  <c r="AM1809" i="1" s="1"/>
  <c r="AL1799" i="1"/>
  <c r="AM1799" i="1" s="1"/>
  <c r="AL1897" i="1"/>
  <c r="AM1897" i="1" s="1"/>
  <c r="AV2029" i="1"/>
  <c r="AU2029" i="1" s="1"/>
  <c r="AV2175" i="1"/>
  <c r="AU2175" i="1" s="1"/>
  <c r="AV2203" i="1"/>
  <c r="AU2203" i="1" s="1"/>
  <c r="AV2212" i="1"/>
  <c r="AU2212" i="1" s="1"/>
  <c r="AV2356" i="1"/>
  <c r="AU2356" i="1" s="1"/>
  <c r="AV2370" i="1"/>
  <c r="AU2370" i="1" s="1"/>
  <c r="AV2451" i="1"/>
  <c r="AU2451" i="1" s="1"/>
  <c r="AV879" i="1"/>
  <c r="AU879" i="1" s="1"/>
  <c r="AV952" i="1"/>
  <c r="AV1147" i="1"/>
  <c r="AV1161" i="1"/>
  <c r="AU1161" i="1" s="1"/>
  <c r="AT1430" i="1"/>
  <c r="AL1619" i="1"/>
  <c r="AM1619" i="1" s="1"/>
  <c r="AV1723" i="1"/>
  <c r="AU1723" i="1" s="1"/>
  <c r="AV1752" i="1"/>
  <c r="AU1752" i="1" s="1"/>
  <c r="AV1768" i="1"/>
  <c r="AU1768" i="1" s="1"/>
  <c r="AL1794" i="1"/>
  <c r="AM1794" i="1" s="1"/>
  <c r="AL1813" i="1"/>
  <c r="AM1813" i="1" s="1"/>
  <c r="AV1836" i="1"/>
  <c r="AU1836" i="1" s="1"/>
  <c r="AL1859" i="1"/>
  <c r="AM1859" i="1" s="1"/>
  <c r="AL1852" i="1"/>
  <c r="AM1852" i="1" s="1"/>
  <c r="AV1860" i="1"/>
  <c r="AU1860" i="1" s="1"/>
  <c r="AL1898" i="1"/>
  <c r="AM1898" i="1" s="1"/>
  <c r="AL1970" i="1"/>
  <c r="AM1970" i="1" s="1"/>
  <c r="AL1981" i="1"/>
  <c r="AM1981" i="1" s="1"/>
  <c r="AL2003" i="1"/>
  <c r="AM2003" i="1" s="1"/>
  <c r="AV2006" i="1"/>
  <c r="AU2006" i="1" s="1"/>
  <c r="AV2058" i="1"/>
  <c r="AU2058" i="1" s="1"/>
  <c r="AV2181" i="1"/>
  <c r="AU2181" i="1" s="1"/>
  <c r="AV2231" i="1"/>
  <c r="AU2231" i="1" s="1"/>
  <c r="AV2249" i="1"/>
  <c r="AU2249" i="1" s="1"/>
  <c r="AV2329" i="1"/>
  <c r="AU2329" i="1" s="1"/>
  <c r="AV1602" i="1"/>
  <c r="AU1602" i="1" s="1"/>
  <c r="AT1683" i="1"/>
  <c r="AV1683" i="1" s="1"/>
  <c r="AU1683" i="1" s="1"/>
  <c r="AV1776" i="1"/>
  <c r="AU1776" i="1" s="1"/>
  <c r="AV1787" i="1"/>
  <c r="AU1787" i="1" s="1"/>
  <c r="AL1814" i="1"/>
  <c r="AM1814" i="1" s="1"/>
  <c r="AL1832" i="1"/>
  <c r="AM1832" i="1" s="1"/>
  <c r="AV1944" i="1"/>
  <c r="AU1944" i="1" s="1"/>
  <c r="AV1965" i="1"/>
  <c r="AU1965" i="1" s="1"/>
  <c r="AV1972" i="1"/>
  <c r="AU1972" i="1" s="1"/>
  <c r="AV1985" i="1"/>
  <c r="AU1985" i="1" s="1"/>
  <c r="AL2002" i="1"/>
  <c r="AM2002" i="1" s="1"/>
  <c r="AV2176" i="1"/>
  <c r="AU2176" i="1" s="1"/>
  <c r="AV2174" i="1"/>
  <c r="AU2174" i="1" s="1"/>
  <c r="AV2213" i="1"/>
  <c r="AU2213" i="1" s="1"/>
  <c r="AV2255" i="1"/>
  <c r="AU2255" i="1" s="1"/>
  <c r="AV2362" i="1"/>
  <c r="AU2362" i="1" s="1"/>
  <c r="AL2370" i="1"/>
  <c r="AM2370" i="1" s="1"/>
  <c r="AT1113" i="1"/>
  <c r="AV1113" i="1" s="1"/>
  <c r="AV1338" i="1"/>
  <c r="AL1764" i="1"/>
  <c r="AM1764" i="1" s="1"/>
  <c r="AV1815" i="1"/>
  <c r="AU1815" i="1" s="1"/>
  <c r="AV1820" i="1"/>
  <c r="AU1820" i="1" s="1"/>
  <c r="AV1877" i="1"/>
  <c r="AU1877" i="1" s="1"/>
  <c r="AV2098" i="1"/>
  <c r="AU2098" i="1" s="1"/>
  <c r="AV2187" i="1"/>
  <c r="AU2187" i="1" s="1"/>
  <c r="AL1759" i="1"/>
  <c r="AM1759" i="1" s="1"/>
  <c r="AV1766" i="1"/>
  <c r="AU1766" i="1" s="1"/>
  <c r="AV1811" i="1"/>
  <c r="AU1811" i="1" s="1"/>
  <c r="AL1854" i="1"/>
  <c r="AM1854" i="1" s="1"/>
  <c r="AV1916" i="1"/>
  <c r="AU1916" i="1" s="1"/>
  <c r="AV1945" i="1"/>
  <c r="AU1945" i="1" s="1"/>
  <c r="AV1961" i="1"/>
  <c r="AU1961" i="1" s="1"/>
  <c r="AL1983" i="1"/>
  <c r="AM1983" i="1" s="1"/>
  <c r="AV1986" i="1"/>
  <c r="AU1986" i="1" s="1"/>
  <c r="AL2034" i="1"/>
  <c r="AM2034" i="1" s="1"/>
  <c r="AV2040" i="1"/>
  <c r="AU2040" i="1" s="1"/>
  <c r="AV2113" i="1"/>
  <c r="AU2113" i="1" s="1"/>
  <c r="AV2207" i="1"/>
  <c r="AU2207" i="1" s="1"/>
  <c r="AV2214" i="1"/>
  <c r="AU2214" i="1" s="1"/>
  <c r="AV2306" i="1"/>
  <c r="AU2306" i="1" s="1"/>
  <c r="AV2332" i="1"/>
  <c r="AU2332" i="1" s="1"/>
  <c r="AV2340" i="1"/>
  <c r="AU2340" i="1" s="1"/>
  <c r="AT1062" i="1"/>
  <c r="AV1486" i="1"/>
  <c r="AU1486" i="1" s="1"/>
  <c r="AV1513" i="1"/>
  <c r="AU1513" i="1" s="1"/>
  <c r="AV1605" i="1"/>
  <c r="AU1605" i="1" s="1"/>
  <c r="AV1637" i="1"/>
  <c r="AU1637" i="1" s="1"/>
  <c r="AL1658" i="1"/>
  <c r="AM1658" i="1" s="1"/>
  <c r="AL1700" i="1"/>
  <c r="AM1700" i="1" s="1"/>
  <c r="AL1706" i="1"/>
  <c r="AM1706" i="1" s="1"/>
  <c r="AV1749" i="1"/>
  <c r="AU1749" i="1" s="1"/>
  <c r="AV1762" i="1"/>
  <c r="AU1762" i="1" s="1"/>
  <c r="AV1788" i="1"/>
  <c r="AU1788" i="1" s="1"/>
  <c r="AV1791" i="1"/>
  <c r="AU1791" i="1" s="1"/>
  <c r="AL1822" i="1"/>
  <c r="AM1822" i="1" s="1"/>
  <c r="AV1921" i="1"/>
  <c r="AU1921" i="1" s="1"/>
  <c r="AV1938" i="1"/>
  <c r="AU1938" i="1" s="1"/>
  <c r="AV1999" i="1"/>
  <c r="AU1999" i="1" s="1"/>
  <c r="AL2011" i="1"/>
  <c r="AM2011" i="1" s="1"/>
  <c r="AV2016" i="1"/>
  <c r="AU2016" i="1" s="1"/>
  <c r="AV2186" i="1"/>
  <c r="AU2186" i="1" s="1"/>
  <c r="AV2316" i="1"/>
  <c r="AU2316" i="1" s="1"/>
  <c r="AV2337" i="1"/>
  <c r="AV2351" i="1"/>
  <c r="AU2351" i="1" s="1"/>
  <c r="AV2373" i="1"/>
  <c r="AU2373" i="1" s="1"/>
  <c r="AV2445" i="1"/>
  <c r="AU2445" i="1" s="1"/>
  <c r="AV867" i="1"/>
  <c r="AU867" i="1" s="1"/>
  <c r="AT923" i="1"/>
  <c r="AT1045" i="1"/>
  <c r="AV1469" i="1"/>
  <c r="AU1469" i="1" s="1"/>
  <c r="AL1532" i="1"/>
  <c r="AM1532" i="1" s="1"/>
  <c r="AL1620" i="1"/>
  <c r="AM1620" i="1" s="1"/>
  <c r="AL1751" i="1"/>
  <c r="AM1751" i="1" s="1"/>
  <c r="AV1763" i="1"/>
  <c r="AU1763" i="1" s="1"/>
  <c r="AV1793" i="1"/>
  <c r="AU1793" i="1" s="1"/>
  <c r="AL1868" i="1"/>
  <c r="AM1868" i="1" s="1"/>
  <c r="AL1901" i="1"/>
  <c r="AM1901" i="1" s="1"/>
  <c r="AL1922" i="1"/>
  <c r="AM1922" i="1" s="1"/>
  <c r="AV1975" i="1"/>
  <c r="AU1975" i="1" s="1"/>
  <c r="AL1987" i="1"/>
  <c r="AM1987" i="1" s="1"/>
  <c r="AV1990" i="1"/>
  <c r="AU1990" i="1" s="1"/>
  <c r="AL2020" i="1"/>
  <c r="AM2020" i="1" s="1"/>
  <c r="AV2060" i="1"/>
  <c r="AU2060" i="1" s="1"/>
  <c r="AV2182" i="1"/>
  <c r="AU2182" i="1" s="1"/>
  <c r="AV2190" i="1"/>
  <c r="AU2190" i="1" s="1"/>
  <c r="AT957" i="1"/>
  <c r="AV957" i="1" s="1"/>
  <c r="AV1122" i="1"/>
  <c r="AU1122" i="1" s="1"/>
  <c r="AV1216" i="1"/>
  <c r="AU1216" i="1" s="1"/>
  <c r="AV1395" i="1"/>
  <c r="AU1395" i="1" s="1"/>
  <c r="AV1544" i="1"/>
  <c r="AU1544" i="1" s="1"/>
  <c r="AV1560" i="1"/>
  <c r="AU1560" i="1" s="1"/>
  <c r="AV1606" i="1"/>
  <c r="AU1606" i="1" s="1"/>
  <c r="AL1621" i="1"/>
  <c r="AM1621" i="1" s="1"/>
  <c r="AL1634" i="1"/>
  <c r="AM1634" i="1" s="1"/>
  <c r="AL1664" i="1"/>
  <c r="AM1664" i="1" s="1"/>
  <c r="AV1696" i="1"/>
  <c r="AU1696" i="1" s="1"/>
  <c r="AV1704" i="1"/>
  <c r="AU1704" i="1" s="1"/>
  <c r="AL1724" i="1"/>
  <c r="AM1724" i="1" s="1"/>
  <c r="AV1742" i="1"/>
  <c r="AU1742" i="1" s="1"/>
  <c r="AV1758" i="1"/>
  <c r="AU1758" i="1" s="1"/>
  <c r="AV1789" i="1"/>
  <c r="AU1789" i="1" s="1"/>
  <c r="AV1812" i="1"/>
  <c r="AU1812" i="1" s="1"/>
  <c r="AV1816" i="1"/>
  <c r="AU1816" i="1" s="1"/>
  <c r="AV1825" i="1"/>
  <c r="AU1825" i="1" s="1"/>
  <c r="AV1831" i="1"/>
  <c r="AU1831" i="1" s="1"/>
  <c r="AV1842" i="1"/>
  <c r="AU1842" i="1" s="1"/>
  <c r="AL1946" i="1"/>
  <c r="AM1946" i="1" s="1"/>
  <c r="AL1990" i="1"/>
  <c r="AM1990" i="1" s="1"/>
  <c r="AV2193" i="1"/>
  <c r="AU2193" i="1" s="1"/>
  <c r="AV2196" i="1"/>
  <c r="AU2196" i="1" s="1"/>
  <c r="AV2218" i="1"/>
  <c r="AU2218" i="1" s="1"/>
  <c r="AV2308" i="1"/>
  <c r="AU2308" i="1" s="1"/>
  <c r="AV2325" i="1"/>
  <c r="AU2325" i="1" s="1"/>
  <c r="AV2341" i="1"/>
  <c r="AU2341" i="1" s="1"/>
  <c r="AV2441" i="1"/>
  <c r="AV2457" i="1"/>
  <c r="AU2457" i="1" s="1"/>
  <c r="AV1892" i="1"/>
  <c r="AU1892" i="1" s="1"/>
  <c r="AV1905" i="1"/>
  <c r="AU1905" i="1" s="1"/>
  <c r="AT1394" i="1"/>
  <c r="AV1394" i="1" s="1"/>
  <c r="AV1503" i="1"/>
  <c r="AU1503" i="1" s="1"/>
  <c r="AV1654" i="1"/>
  <c r="AU1654" i="1" s="1"/>
  <c r="AL1689" i="1"/>
  <c r="AM1689" i="1" s="1"/>
  <c r="AV1798" i="1"/>
  <c r="AU1798" i="1" s="1"/>
  <c r="AV1821" i="1"/>
  <c r="AU1821" i="1" s="1"/>
  <c r="AL1903" i="1"/>
  <c r="AM1903" i="1" s="1"/>
  <c r="AL1921" i="1"/>
  <c r="AM1921" i="1" s="1"/>
  <c r="AV1966" i="1"/>
  <c r="AU1966" i="1" s="1"/>
  <c r="AL1991" i="1"/>
  <c r="AM1991" i="1" s="1"/>
  <c r="AV2066" i="1"/>
  <c r="AU2066" i="1" s="1"/>
  <c r="AV2103" i="1"/>
  <c r="AU2103" i="1" s="1"/>
  <c r="AV2235" i="1"/>
  <c r="AU2235" i="1" s="1"/>
  <c r="AV2342" i="1"/>
  <c r="AU2342" i="1" s="1"/>
  <c r="AV2354" i="1"/>
  <c r="AU2354" i="1" s="1"/>
  <c r="AV2412" i="1"/>
  <c r="AU2412" i="1" s="1"/>
  <c r="AV1201" i="1"/>
  <c r="AU1201" i="1" s="1"/>
  <c r="AV1743" i="1"/>
  <c r="AU1743" i="1" s="1"/>
  <c r="AL1856" i="1"/>
  <c r="AM1856" i="1" s="1"/>
  <c r="AL1904" i="1"/>
  <c r="AM1904" i="1" s="1"/>
  <c r="AV1912" i="1"/>
  <c r="AU1912" i="1" s="1"/>
  <c r="AL1951" i="1"/>
  <c r="AM1951" i="1" s="1"/>
  <c r="AL2015" i="1"/>
  <c r="AM2015" i="1" s="1"/>
  <c r="AV2042" i="1"/>
  <c r="AU2042" i="1" s="1"/>
  <c r="AV2296" i="1"/>
  <c r="AU2296" i="1" s="1"/>
  <c r="AV2372" i="1"/>
  <c r="AU2372" i="1" s="1"/>
  <c r="AV2427" i="1"/>
  <c r="AV1085" i="1"/>
  <c r="AU1085" i="1" s="1"/>
  <c r="AL1727" i="1"/>
  <c r="AM1727" i="1" s="1"/>
  <c r="AL1818" i="1"/>
  <c r="AM1818" i="1" s="1"/>
  <c r="AL1778" i="1"/>
  <c r="AM1778" i="1" s="1"/>
  <c r="AL1808" i="1"/>
  <c r="AM1808" i="1" s="1"/>
  <c r="AV2067" i="1"/>
  <c r="AU2067" i="1" s="1"/>
  <c r="AV2104" i="1"/>
  <c r="AU2104" i="1" s="1"/>
  <c r="AV2349" i="1"/>
  <c r="AU2349" i="1" s="1"/>
  <c r="AV2419" i="1"/>
  <c r="AU2419" i="1" s="1"/>
  <c r="BX2472" i="1"/>
  <c r="BX2471" i="1"/>
  <c r="BX2469" i="1"/>
  <c r="BZ2472" i="1"/>
  <c r="BZ2471" i="1"/>
  <c r="BZ2470" i="1"/>
  <c r="BZ2469" i="1"/>
  <c r="BZ2468" i="1"/>
  <c r="BG2466" i="1"/>
  <c r="BX2466" i="1"/>
  <c r="BZ2467" i="1"/>
  <c r="BZ2466" i="1"/>
  <c r="BZ2465" i="1"/>
  <c r="BZ2464" i="1"/>
  <c r="BZ2463" i="1"/>
  <c r="BX2450" i="1"/>
  <c r="BZ2458" i="1"/>
  <c r="BZ2457" i="1"/>
  <c r="BZ2456" i="1"/>
  <c r="BZ2455" i="1"/>
  <c r="BZ2454" i="1"/>
  <c r="BZ2453" i="1"/>
  <c r="BZ2452" i="1"/>
  <c r="BZ2451" i="1"/>
  <c r="BZ2450" i="1"/>
  <c r="BZ2473" i="1"/>
  <c r="BZ2462" i="1"/>
  <c r="BZ2461" i="1"/>
  <c r="BZ2460" i="1"/>
  <c r="BZ2459" i="1"/>
  <c r="AM2634" i="1"/>
  <c r="AM2640" i="1" s="1"/>
  <c r="BY2440" i="1"/>
  <c r="BG2444" i="1"/>
  <c r="BG2440" i="1"/>
  <c r="BX2441" i="1"/>
  <c r="BZ2446" i="1"/>
  <c r="BZ2445" i="1"/>
  <c r="BZ2444" i="1"/>
  <c r="BZ2443" i="1"/>
  <c r="BZ2442" i="1"/>
  <c r="BZ2441" i="1"/>
  <c r="BZ2440" i="1"/>
  <c r="BG2439" i="1"/>
  <c r="BG2438" i="1"/>
  <c r="BG2437" i="1"/>
  <c r="BG2436" i="1"/>
  <c r="BG2435" i="1"/>
  <c r="BX2439" i="1"/>
  <c r="BX2438" i="1"/>
  <c r="BX2436" i="1"/>
  <c r="BZ2447" i="1"/>
  <c r="BZ2439" i="1"/>
  <c r="BZ2438" i="1"/>
  <c r="BZ2437" i="1"/>
  <c r="BZ2436" i="1"/>
  <c r="BZ2435" i="1"/>
  <c r="BG2433" i="1"/>
  <c r="BG2432" i="1"/>
  <c r="BG2431" i="1"/>
  <c r="BG2430" i="1"/>
  <c r="BG2429" i="1"/>
  <c r="BG2428" i="1"/>
  <c r="AU2422" i="1"/>
  <c r="AU2426" i="1"/>
  <c r="BZ2433" i="1"/>
  <c r="BZ2432" i="1"/>
  <c r="BZ2431" i="1"/>
  <c r="BZ2430" i="1"/>
  <c r="BZ2429" i="1"/>
  <c r="BZ2428" i="1"/>
  <c r="BZ2449" i="1"/>
  <c r="BZ2448" i="1"/>
  <c r="BZ2434" i="1"/>
  <c r="BZ2427" i="1"/>
  <c r="BZ2426" i="1"/>
  <c r="AU2424" i="1"/>
  <c r="BG2434" i="1"/>
  <c r="BG2427" i="1"/>
  <c r="BG2426" i="1"/>
  <c r="BW2449" i="1"/>
  <c r="BW2426" i="1"/>
  <c r="BW2421" i="1"/>
  <c r="BW2481" i="1"/>
  <c r="BW2489" i="1"/>
  <c r="BW2497" i="1"/>
  <c r="BX2449" i="1"/>
  <c r="BX2434" i="1"/>
  <c r="BX2426" i="1"/>
  <c r="BH2421" i="1"/>
  <c r="BH2420" i="1"/>
  <c r="BG2421" i="1"/>
  <c r="BG2420" i="1"/>
  <c r="BX2475" i="1"/>
  <c r="BX2476" i="1"/>
  <c r="BX2479" i="1"/>
  <c r="BX2480" i="1"/>
  <c r="BX2482" i="1"/>
  <c r="BX2484" i="1"/>
  <c r="BX2491" i="1"/>
  <c r="BX2492" i="1"/>
  <c r="BX2495" i="1"/>
  <c r="BX2496" i="1"/>
  <c r="BX2498" i="1"/>
  <c r="BX2500" i="1"/>
  <c r="BG2422" i="1"/>
  <c r="BG2423" i="1"/>
  <c r="BG2424" i="1"/>
  <c r="BG2425" i="1"/>
  <c r="AU2337" i="1"/>
  <c r="AT2360" i="1"/>
  <c r="AV2360" i="1" s="1"/>
  <c r="AU635" i="1"/>
  <c r="AU952" i="1"/>
  <c r="AU1107" i="1"/>
  <c r="AU1125" i="1"/>
  <c r="AU1147" i="1"/>
  <c r="AU1181" i="1"/>
  <c r="AU1192" i="1"/>
  <c r="AU1193" i="1"/>
  <c r="AU1295" i="1"/>
  <c r="AU1338" i="1"/>
  <c r="AL2021" i="1"/>
  <c r="AM2021" i="1" s="1"/>
  <c r="AV2021" i="1"/>
  <c r="AU2021" i="1" s="1"/>
  <c r="AL2108" i="1"/>
  <c r="AM2108" i="1" s="1"/>
  <c r="AV2024" i="1"/>
  <c r="AU2024" i="1" s="1"/>
  <c r="AL2024" i="1"/>
  <c r="AM2024" i="1" s="1"/>
  <c r="AV2025" i="1"/>
  <c r="AU2025" i="1" s="1"/>
  <c r="AL2025" i="1"/>
  <c r="AM2025" i="1" s="1"/>
  <c r="AV2026" i="1"/>
  <c r="AU2026" i="1" s="1"/>
  <c r="AL2026" i="1"/>
  <c r="AM2026" i="1" s="1"/>
  <c r="AL2027" i="1"/>
  <c r="AM2027" i="1" s="1"/>
  <c r="AV2027" i="1"/>
  <c r="AU2027" i="1" s="1"/>
  <c r="AL2028" i="1"/>
  <c r="AM2028" i="1" s="1"/>
  <c r="AV2028" i="1"/>
  <c r="AU2028" i="1" s="1"/>
  <c r="AV1955" i="1"/>
  <c r="AU1955" i="1" s="1"/>
  <c r="AL1964" i="1"/>
  <c r="AM1964" i="1" s="1"/>
  <c r="AV1964" i="1"/>
  <c r="AU1964" i="1" s="1"/>
  <c r="AL1958" i="1"/>
  <c r="AM1958" i="1" s="1"/>
  <c r="AV1958" i="1"/>
  <c r="AU1958" i="1" s="1"/>
  <c r="AV1957" i="1"/>
  <c r="AU1957" i="1" s="1"/>
  <c r="AL1957" i="1"/>
  <c r="AM1957" i="1" s="1"/>
  <c r="AT1963" i="1"/>
  <c r="AV1963" i="1"/>
  <c r="AU1963" i="1" s="1"/>
  <c r="AV1919" i="1"/>
  <c r="AU1919" i="1" s="1"/>
  <c r="AV1900" i="1"/>
  <c r="AV1873" i="1"/>
  <c r="AU1873" i="1" s="1"/>
  <c r="AL1838" i="1"/>
  <c r="AM1838" i="1" s="1"/>
  <c r="AV1838" i="1"/>
  <c r="AU1838" i="1" s="1"/>
  <c r="AL1834" i="1"/>
  <c r="AM1834" i="1" s="1"/>
  <c r="AV1834" i="1"/>
  <c r="AU1834" i="1" s="1"/>
  <c r="AT1810" i="1"/>
  <c r="AV1810" i="1" s="1"/>
  <c r="AU1810" i="1" s="1"/>
  <c r="AV1785" i="1"/>
  <c r="AM1726" i="1"/>
  <c r="AV1726" i="1"/>
  <c r="AU1726" i="1" s="1"/>
  <c r="AV1765" i="1"/>
  <c r="AU1765" i="1" s="1"/>
  <c r="AT1746" i="1"/>
  <c r="AV1746" i="1"/>
  <c r="AU1746" i="1" s="1"/>
  <c r="AV1725" i="1"/>
  <c r="AU1725" i="1" s="1"/>
  <c r="AL1732" i="1"/>
  <c r="AM1732" i="1" s="1"/>
  <c r="AV1732" i="1"/>
  <c r="AU1732" i="1" s="1"/>
  <c r="AV1722" i="1"/>
  <c r="AU1722" i="1" s="1"/>
  <c r="AL1719" i="1"/>
  <c r="AM1719" i="1" s="1"/>
  <c r="AL1685" i="1"/>
  <c r="AM1685" i="1" s="1"/>
  <c r="AV1685" i="1"/>
  <c r="AU1685" i="1" s="1"/>
  <c r="AV1678" i="1"/>
  <c r="AU1678" i="1" s="1"/>
  <c r="AV1669" i="1"/>
  <c r="AU1669" i="1" s="1"/>
  <c r="AL1669" i="1"/>
  <c r="AM1669" i="1" s="1"/>
  <c r="AL1671" i="1"/>
  <c r="AM1671" i="1" s="1"/>
  <c r="AV1671" i="1"/>
  <c r="AU1671" i="1" s="1"/>
  <c r="AV1670" i="1"/>
  <c r="AU1670" i="1" s="1"/>
  <c r="AT1660" i="1"/>
  <c r="AV1660" i="1"/>
  <c r="AU1660" i="1" s="1"/>
  <c r="AV1674" i="1"/>
  <c r="AU1674" i="1" s="1"/>
  <c r="AV1677" i="1"/>
  <c r="AU1677" i="1" s="1"/>
  <c r="AL1677" i="1"/>
  <c r="AM1677" i="1" s="1"/>
  <c r="BP1389" i="1"/>
  <c r="BP1390" i="1"/>
  <c r="AU1549" i="1"/>
  <c r="AU1618" i="1"/>
  <c r="AX15" i="6"/>
  <c r="AU1619" i="1"/>
  <c r="AX16" i="6"/>
  <c r="AV1557" i="1"/>
  <c r="AU1557" i="1" s="1"/>
  <c r="AL1557" i="1"/>
  <c r="AM1557" i="1" s="1"/>
  <c r="AV1564" i="1"/>
  <c r="AU1564" i="1" s="1"/>
  <c r="AL1564" i="1"/>
  <c r="AM1564" i="1" s="1"/>
  <c r="AV1578" i="1"/>
  <c r="AU1578" i="1" s="1"/>
  <c r="AL1578" i="1"/>
  <c r="AM1578" i="1" s="1"/>
  <c r="AV1594" i="1"/>
  <c r="AU1594" i="1" s="1"/>
  <c r="AL1594" i="1"/>
  <c r="AL1597" i="1"/>
  <c r="AM1597" i="1" s="1"/>
  <c r="AV1597" i="1"/>
  <c r="AU1597" i="1" s="1"/>
  <c r="AV1607" i="1"/>
  <c r="AU1607" i="1" s="1"/>
  <c r="AL1607" i="1"/>
  <c r="AM1607" i="1" s="1"/>
  <c r="AL1612" i="1"/>
  <c r="AM1612" i="1" s="1"/>
  <c r="AV1612" i="1"/>
  <c r="AU1612" i="1" s="1"/>
  <c r="AV1562" i="1"/>
  <c r="AU1562" i="1" s="1"/>
  <c r="AV1563" i="1"/>
  <c r="AU1563" i="1" s="1"/>
  <c r="AV1568" i="1"/>
  <c r="AU1568" i="1" s="1"/>
  <c r="AV1431" i="1"/>
  <c r="AU1431" i="1" s="1"/>
  <c r="AV1569" i="1"/>
  <c r="AU1569" i="1" s="1"/>
  <c r="AV1593" i="1"/>
  <c r="AU1593" i="1" s="1"/>
  <c r="AV1097" i="1"/>
  <c r="AU1097" i="1" s="1"/>
  <c r="AV1426" i="1"/>
  <c r="AU1426" i="1" s="1"/>
  <c r="AV1512" i="1"/>
  <c r="AU1512" i="1" s="1"/>
  <c r="AV1561" i="1"/>
  <c r="AU1561" i="1" s="1"/>
  <c r="AV1570" i="1"/>
  <c r="AU1570" i="1" s="1"/>
  <c r="AV1546" i="1"/>
  <c r="AU1546" i="1" s="1"/>
  <c r="AL1544" i="1"/>
  <c r="AM1544" i="1" s="1"/>
  <c r="AV1599" i="1"/>
  <c r="AU1599" i="1" s="1"/>
  <c r="AV1408" i="1"/>
  <c r="AV1547" i="1"/>
  <c r="AU1547" i="1" s="1"/>
  <c r="AL1508" i="1"/>
  <c r="AM1508" i="1" s="1"/>
  <c r="AL1549" i="1"/>
  <c r="AM1549" i="1" s="1"/>
  <c r="AV1137" i="1"/>
  <c r="AU1137" i="1" s="1"/>
  <c r="AV1280" i="1"/>
  <c r="AV888" i="1"/>
  <c r="AU888" i="1" s="1"/>
  <c r="AV1375" i="1"/>
  <c r="AU1375" i="1" s="1"/>
  <c r="AL1469" i="1"/>
  <c r="AM1469" i="1" s="1"/>
  <c r="AV1483" i="1"/>
  <c r="AU1483" i="1" s="1"/>
  <c r="AV1565" i="1"/>
  <c r="AV1100" i="1"/>
  <c r="AL1512" i="1"/>
  <c r="AM1512" i="1" s="1"/>
  <c r="AV1545" i="1"/>
  <c r="AU1545" i="1" s="1"/>
  <c r="AV979" i="1"/>
  <c r="AU979" i="1" s="1"/>
  <c r="AV1077" i="1"/>
  <c r="AU1077" i="1" s="1"/>
  <c r="AV1131" i="1"/>
  <c r="AU1131" i="1" s="1"/>
  <c r="AV1266" i="1"/>
  <c r="AU1266" i="1" s="1"/>
  <c r="AV1529" i="1"/>
  <c r="AU1529" i="1" s="1"/>
  <c r="AL1596" i="1"/>
  <c r="AM1596" i="1" s="1"/>
  <c r="AV1589" i="1"/>
  <c r="AU1589" i="1" s="1"/>
  <c r="AV767" i="1"/>
  <c r="AU767" i="1" s="1"/>
  <c r="AV849" i="1"/>
  <c r="AU849" i="1" s="1"/>
  <c r="AV878" i="1"/>
  <c r="AU878" i="1" s="1"/>
  <c r="AV890" i="1"/>
  <c r="AU890" i="1" s="1"/>
  <c r="AV895" i="1"/>
  <c r="AU895" i="1" s="1"/>
  <c r="AV1032" i="1"/>
  <c r="AU1032" i="1" s="1"/>
  <c r="AV1124" i="1"/>
  <c r="AU1124" i="1" s="1"/>
  <c r="AV1376" i="1"/>
  <c r="AU1376" i="1" s="1"/>
  <c r="AV1485" i="1"/>
  <c r="AU1485" i="1" s="1"/>
  <c r="AV1511" i="1"/>
  <c r="AU1511" i="1" s="1"/>
  <c r="AV1559" i="1"/>
  <c r="AU1559" i="1" s="1"/>
  <c r="AV1598" i="1"/>
  <c r="AU1598" i="1" s="1"/>
  <c r="AV1306" i="1"/>
  <c r="AU1306" i="1" s="1"/>
  <c r="AV769" i="1"/>
  <c r="AL1561" i="1"/>
  <c r="AM1561" i="1" s="1"/>
  <c r="AL1486" i="1"/>
  <c r="AM1486" i="1" s="1"/>
  <c r="AL1513" i="1"/>
  <c r="AM1513" i="1" s="1"/>
  <c r="AV1459" i="1"/>
  <c r="AU1459" i="1" s="1"/>
  <c r="AV1455" i="1"/>
  <c r="AU1455" i="1" s="1"/>
  <c r="AV1481" i="1"/>
  <c r="AU1481" i="1" s="1"/>
  <c r="AL1559" i="1"/>
  <c r="AM1559" i="1" s="1"/>
  <c r="AM1594" i="1"/>
  <c r="AV1326" i="1"/>
  <c r="AV1022" i="1"/>
  <c r="AU1022" i="1" s="1"/>
  <c r="AL1579" i="1"/>
  <c r="AM1579" i="1" s="1"/>
  <c r="AV708" i="1"/>
  <c r="AU708" i="1" s="1"/>
  <c r="AV729" i="1"/>
  <c r="AU729" i="1" s="1"/>
  <c r="AV1023" i="1"/>
  <c r="AU1023" i="1" s="1"/>
  <c r="AV1046" i="1"/>
  <c r="AU1046" i="1" s="1"/>
  <c r="AV1057" i="1"/>
  <c r="AU1057" i="1" s="1"/>
  <c r="AV1200" i="1"/>
  <c r="AV1460" i="1"/>
  <c r="AU1460" i="1" s="1"/>
  <c r="AV1478" i="1"/>
  <c r="AU1478" i="1" s="1"/>
  <c r="AL1529" i="1"/>
  <c r="AM1529" i="1" s="1"/>
  <c r="AL1563" i="1"/>
  <c r="AM1563" i="1" s="1"/>
  <c r="AL1560" i="1"/>
  <c r="AM1560" i="1" s="1"/>
  <c r="AV1055" i="1"/>
  <c r="AU1055" i="1" s="1"/>
  <c r="AL1485" i="1"/>
  <c r="AM1485" i="1" s="1"/>
  <c r="AV698" i="1"/>
  <c r="AU698" i="1" s="1"/>
  <c r="AV903" i="1"/>
  <c r="AU903" i="1" s="1"/>
  <c r="AV1083" i="1"/>
  <c r="AV1108" i="1"/>
  <c r="AV1169" i="1"/>
  <c r="AU1169" i="1" s="1"/>
  <c r="AV1369" i="1"/>
  <c r="AU1369" i="1" s="1"/>
  <c r="AL1455" i="1"/>
  <c r="AM1455" i="1" s="1"/>
  <c r="AV1461" i="1"/>
  <c r="AU1461" i="1" s="1"/>
  <c r="AV1493" i="1"/>
  <c r="AU1493" i="1" s="1"/>
  <c r="AL1503" i="1"/>
  <c r="AM1503" i="1" s="1"/>
  <c r="AV1501" i="1"/>
  <c r="AU1501" i="1" s="1"/>
  <c r="AL1565" i="1"/>
  <c r="AM1565" i="1" s="1"/>
  <c r="AV1101" i="1"/>
  <c r="AU1101" i="1" s="1"/>
  <c r="AV1548" i="1"/>
  <c r="AU1548" i="1" s="1"/>
  <c r="AV977" i="1"/>
  <c r="AV1030" i="1"/>
  <c r="AV1401" i="1"/>
  <c r="AU1401" i="1" s="1"/>
  <c r="AL1459" i="1"/>
  <c r="AM1459" i="1" s="1"/>
  <c r="AV1102" i="1"/>
  <c r="AV1109" i="1"/>
  <c r="AV1364" i="1"/>
  <c r="AU1364" i="1" s="1"/>
  <c r="AV674" i="1"/>
  <c r="AV899" i="1"/>
  <c r="AU899" i="1" s="1"/>
  <c r="AV965" i="1"/>
  <c r="AU965" i="1" s="1"/>
  <c r="AV978" i="1"/>
  <c r="AU978" i="1" s="1"/>
  <c r="AV1031" i="1"/>
  <c r="AU1031" i="1" s="1"/>
  <c r="AV1182" i="1"/>
  <c r="AU1182" i="1" s="1"/>
  <c r="AV1190" i="1"/>
  <c r="AU1190" i="1" s="1"/>
  <c r="AV1417" i="1"/>
  <c r="AU1417" i="1" s="1"/>
  <c r="AV1425" i="1"/>
  <c r="AU1425" i="1" s="1"/>
  <c r="AV1502" i="1"/>
  <c r="AU1502" i="1" s="1"/>
  <c r="AV617" i="1"/>
  <c r="AU617" i="1" s="1"/>
  <c r="AV1099" i="1"/>
  <c r="AV1110" i="1"/>
  <c r="AV1494" i="1"/>
  <c r="AU1494" i="1" s="1"/>
  <c r="AV1535" i="1"/>
  <c r="AU1535" i="1" s="1"/>
  <c r="AL1568" i="1"/>
  <c r="AM1568" i="1" s="1"/>
  <c r="AV1595" i="1"/>
  <c r="AS16" i="6" s="1"/>
  <c r="J16" i="6"/>
  <c r="G16" i="6"/>
  <c r="AL1551" i="1"/>
  <c r="AM1551" i="1" s="1"/>
  <c r="AV1580" i="1"/>
  <c r="AU1580" i="1" s="1"/>
  <c r="AV1566" i="1"/>
  <c r="AU1566" i="1" s="1"/>
  <c r="AT1534" i="1"/>
  <c r="AV1534" i="1" s="1"/>
  <c r="AU1534" i="1" s="1"/>
  <c r="AV1553" i="1"/>
  <c r="AU1553" i="1" s="1"/>
  <c r="AL1553" i="1"/>
  <c r="AM1553" i="1" s="1"/>
  <c r="AV1533" i="1"/>
  <c r="AU1533" i="1" s="1"/>
  <c r="AT1539" i="1"/>
  <c r="AV1539" i="1" s="1"/>
  <c r="AU1539" i="1" s="1"/>
  <c r="AT1540" i="1"/>
  <c r="AV1540" i="1" s="1"/>
  <c r="AU1540" i="1" s="1"/>
  <c r="AL1531" i="1"/>
  <c r="AM1531" i="1" s="1"/>
  <c r="AV1531" i="1"/>
  <c r="AU1531" i="1" s="1"/>
  <c r="AV1527" i="1"/>
  <c r="AL1489" i="1"/>
  <c r="AM1489" i="1" s="1"/>
  <c r="AV1489" i="1"/>
  <c r="AU1489" i="1" s="1"/>
  <c r="AT1500" i="1"/>
  <c r="AV1500" i="1" s="1"/>
  <c r="AU1500" i="1" s="1"/>
  <c r="AV1504" i="1"/>
  <c r="AU1504" i="1" s="1"/>
  <c r="AL1464" i="1"/>
  <c r="AM1464" i="1" s="1"/>
  <c r="AV1464" i="1"/>
  <c r="AU1464" i="1" s="1"/>
  <c r="AV1471" i="1"/>
  <c r="AU1471" i="1" s="1"/>
  <c r="AL1471" i="1"/>
  <c r="AM1471" i="1" s="1"/>
  <c r="AV1477" i="1"/>
  <c r="AU1477" i="1" s="1"/>
  <c r="AL1477" i="1"/>
  <c r="AM1477" i="1" s="1"/>
  <c r="AL1436" i="1"/>
  <c r="AM1436" i="1" s="1"/>
  <c r="AV1436" i="1"/>
  <c r="AU1436" i="1" s="1"/>
  <c r="AL1458" i="1"/>
  <c r="AM1458" i="1" s="1"/>
  <c r="AV1458" i="1"/>
  <c r="AU1458" i="1" s="1"/>
  <c r="AT1463" i="1"/>
  <c r="AV1463" i="1" s="1"/>
  <c r="AU1463" i="1" s="1"/>
  <c r="AL1434" i="1"/>
  <c r="AM1434" i="1" s="1"/>
  <c r="AV1434" i="1"/>
  <c r="AU1434" i="1" s="1"/>
  <c r="AL1451" i="1"/>
  <c r="AM1451" i="1" s="1"/>
  <c r="AV1451" i="1"/>
  <c r="AU1451" i="1" s="1"/>
  <c r="AT744" i="1"/>
  <c r="AT927" i="1"/>
  <c r="AT985" i="1"/>
  <c r="AV985" i="1" s="1"/>
  <c r="AU985" i="1" s="1"/>
  <c r="AT1287" i="1"/>
  <c r="AV1287" i="1" s="1"/>
  <c r="AU1287" i="1" s="1"/>
  <c r="AV906" i="1"/>
  <c r="AU906" i="1" s="1"/>
  <c r="AV966" i="1"/>
  <c r="AU966" i="1" s="1"/>
  <c r="AV1168" i="1"/>
  <c r="AU1168" i="1" s="1"/>
  <c r="AV1188" i="1"/>
  <c r="AU1188" i="1" s="1"/>
  <c r="AL1259" i="1"/>
  <c r="AM1259" i="1" s="1"/>
  <c r="AV1368" i="1"/>
  <c r="AU1368" i="1" s="1"/>
  <c r="AT1000" i="1"/>
  <c r="AV1000" i="1" s="1"/>
  <c r="AU1000" i="1" s="1"/>
  <c r="AT781" i="1"/>
  <c r="AV781" i="1" s="1"/>
  <c r="AU781" i="1" s="1"/>
  <c r="AV1001" i="1"/>
  <c r="AU1001" i="1" s="1"/>
  <c r="AV1075" i="1"/>
  <c r="AU1075" i="1" s="1"/>
  <c r="AV1284" i="1"/>
  <c r="AU1284" i="1" s="1"/>
  <c r="AT685" i="1"/>
  <c r="AV685" i="1" s="1"/>
  <c r="AU685" i="1" s="1"/>
  <c r="AT1018" i="1"/>
  <c r="AV1018" i="1" s="1"/>
  <c r="AU1018" i="1" s="1"/>
  <c r="AV1398" i="1"/>
  <c r="AU1398" i="1" s="1"/>
  <c r="BM1400" i="1" s="1"/>
  <c r="AV974" i="1"/>
  <c r="AU974" i="1" s="1"/>
  <c r="AV1002" i="1"/>
  <c r="AT1118" i="1"/>
  <c r="AV1118" i="1" s="1"/>
  <c r="AU1118" i="1" s="1"/>
  <c r="AV1130" i="1"/>
  <c r="AV1145" i="1"/>
  <c r="AU1145" i="1" s="1"/>
  <c r="AV1194" i="1"/>
  <c r="AU1194" i="1" s="1"/>
  <c r="AV1217" i="1"/>
  <c r="AU1217" i="1" s="1"/>
  <c r="AV1262" i="1"/>
  <c r="AU1262" i="1" s="1"/>
  <c r="AV1272" i="1"/>
  <c r="AU1272" i="1" s="1"/>
  <c r="AV1285" i="1"/>
  <c r="AU1285" i="1" s="1"/>
  <c r="AV1291" i="1"/>
  <c r="AU1291" i="1" s="1"/>
  <c r="AV1414" i="1"/>
  <c r="AU1414" i="1" s="1"/>
  <c r="AV877" i="1"/>
  <c r="AU877" i="1" s="1"/>
  <c r="AT1095" i="1"/>
  <c r="AV1095" i="1" s="1"/>
  <c r="AU1095" i="1" s="1"/>
  <c r="AV1123" i="1"/>
  <c r="AU1123" i="1" s="1"/>
  <c r="AV1138" i="1"/>
  <c r="AU1138" i="1" s="1"/>
  <c r="AT1341" i="1"/>
  <c r="AV1341" i="1" s="1"/>
  <c r="AV1445" i="1"/>
  <c r="AU1445" i="1" s="1"/>
  <c r="AV948" i="1"/>
  <c r="AU948" i="1" s="1"/>
  <c r="AV605" i="1"/>
  <c r="AT686" i="1"/>
  <c r="AV847" i="1"/>
  <c r="AU847" i="1" s="1"/>
  <c r="AV1263" i="1"/>
  <c r="AU1263" i="1" s="1"/>
  <c r="AT893" i="1"/>
  <c r="AV893" i="1" s="1"/>
  <c r="AU893" i="1" s="1"/>
  <c r="AV943" i="1"/>
  <c r="AU943" i="1" s="1"/>
  <c r="AT1008" i="1"/>
  <c r="AV1008" i="1" s="1"/>
  <c r="AU1008" i="1" s="1"/>
  <c r="AV1106" i="1"/>
  <c r="AV1139" i="1"/>
  <c r="AV1170" i="1"/>
  <c r="AU1170" i="1" s="1"/>
  <c r="AV1366" i="1"/>
  <c r="AU1366" i="1" s="1"/>
  <c r="AV1415" i="1"/>
  <c r="AU1415" i="1" s="1"/>
  <c r="AV783" i="1"/>
  <c r="AU783" i="1" s="1"/>
  <c r="AV848" i="1"/>
  <c r="AV1067" i="1"/>
  <c r="AU1067" i="1" s="1"/>
  <c r="AV1281" i="1"/>
  <c r="AU1281" i="1" s="1"/>
  <c r="AT1423" i="1"/>
  <c r="AV1423" i="1" s="1"/>
  <c r="AV1171" i="1"/>
  <c r="AU1171" i="1" s="1"/>
  <c r="AV1304" i="1"/>
  <c r="AU1304" i="1" s="1"/>
  <c r="AV1339" i="1"/>
  <c r="AU1339" i="1" s="1"/>
  <c r="AV1374" i="1"/>
  <c r="AU1374" i="1" s="1"/>
  <c r="AV1416" i="1"/>
  <c r="AU1416" i="1" s="1"/>
  <c r="AV1143" i="1"/>
  <c r="AU1143" i="1" s="1"/>
  <c r="AV596" i="1"/>
  <c r="AU596" i="1" s="1"/>
  <c r="AV812" i="1"/>
  <c r="AU812" i="1" s="1"/>
  <c r="AT807" i="1"/>
  <c r="AV807" i="1" s="1"/>
  <c r="AU807" i="1" s="1"/>
  <c r="AT894" i="1"/>
  <c r="AV894" i="1" s="1"/>
  <c r="AT1009" i="1"/>
  <c r="AV1009" i="1" s="1"/>
  <c r="AU1009" i="1" s="1"/>
  <c r="AV1025" i="1"/>
  <c r="AU1025" i="1" s="1"/>
  <c r="AV1068" i="1"/>
  <c r="AV1282" i="1"/>
  <c r="AU1282" i="1" s="1"/>
  <c r="AV896" i="1"/>
  <c r="AU896" i="1" s="1"/>
  <c r="AT1351" i="1"/>
  <c r="AV1351" i="1" s="1"/>
  <c r="AV747" i="1"/>
  <c r="AV826" i="1"/>
  <c r="AU826" i="1" s="1"/>
  <c r="AV1160" i="1"/>
  <c r="AU1160" i="1" s="1"/>
  <c r="AV1357" i="1"/>
  <c r="AU1357" i="1" s="1"/>
  <c r="AV1404" i="1"/>
  <c r="AU1404" i="1" s="1"/>
  <c r="AL1452" i="1"/>
  <c r="AM1452" i="1" s="1"/>
  <c r="AV1452" i="1"/>
  <c r="AU1452" i="1" s="1"/>
  <c r="AL1453" i="1"/>
  <c r="AM1453" i="1" s="1"/>
  <c r="AV1453" i="1"/>
  <c r="AU1453" i="1" s="1"/>
  <c r="I20" i="6"/>
  <c r="H20" i="6"/>
  <c r="D20" i="6"/>
  <c r="D19" i="6"/>
  <c r="D18" i="6"/>
  <c r="D17" i="6"/>
  <c r="C20" i="6"/>
  <c r="C19" i="6"/>
  <c r="C18" i="6"/>
  <c r="C17" i="6"/>
  <c r="BO1389" i="1"/>
  <c r="BO1390" i="1"/>
  <c r="BO1391" i="1"/>
  <c r="BO1392" i="1"/>
  <c r="BO1393" i="1"/>
  <c r="BO1394" i="1"/>
  <c r="BO1395" i="1"/>
  <c r="BO1396" i="1"/>
  <c r="BO1397" i="1"/>
  <c r="BO1398" i="1"/>
  <c r="BO1399" i="1"/>
  <c r="BO1400" i="1"/>
  <c r="BO1401" i="1"/>
  <c r="BO1402" i="1"/>
  <c r="BO1403" i="1"/>
  <c r="BP1388" i="1"/>
  <c r="BO1388" i="1"/>
  <c r="BM1389" i="1"/>
  <c r="BM1390" i="1"/>
  <c r="BM1391" i="1"/>
  <c r="BM1392" i="1"/>
  <c r="BM1393" i="1"/>
  <c r="BM1394" i="1"/>
  <c r="BM1395" i="1"/>
  <c r="BM1396" i="1"/>
  <c r="BM1401" i="1"/>
  <c r="BM1402" i="1"/>
  <c r="BM1388" i="1"/>
  <c r="BP135" i="1"/>
  <c r="BP136" i="1"/>
  <c r="BP137" i="1"/>
  <c r="BP138" i="1"/>
  <c r="BP139" i="1"/>
  <c r="BP140" i="1"/>
  <c r="BP134" i="1"/>
  <c r="BP131" i="1"/>
  <c r="BP130" i="1"/>
  <c r="BP129" i="1"/>
  <c r="BP128" i="1"/>
  <c r="BP127" i="1"/>
  <c r="BP126" i="1"/>
  <c r="BO135" i="1"/>
  <c r="BN135" i="1"/>
  <c r="BN136" i="1"/>
  <c r="BN137" i="1"/>
  <c r="BN138" i="1"/>
  <c r="BN139" i="1"/>
  <c r="BO134" i="1"/>
  <c r="BO131" i="1"/>
  <c r="BO130" i="1"/>
  <c r="BO129" i="1"/>
  <c r="BO128" i="1"/>
  <c r="BO127" i="1"/>
  <c r="BO126" i="1"/>
  <c r="BO125" i="1"/>
  <c r="BO124" i="1"/>
  <c r="BO123" i="1"/>
  <c r="BO122" i="1"/>
  <c r="BO121" i="1"/>
  <c r="BO120" i="1"/>
  <c r="BO119" i="1"/>
  <c r="BO118" i="1"/>
  <c r="BO117" i="1"/>
  <c r="BO116" i="1"/>
  <c r="BO115" i="1"/>
  <c r="BO114" i="1"/>
  <c r="BO113" i="1"/>
  <c r="BO112" i="1"/>
  <c r="BO111" i="1"/>
  <c r="BO110" i="1"/>
  <c r="BO109" i="1"/>
  <c r="BO108" i="1"/>
  <c r="BO107" i="1"/>
  <c r="BO106" i="1"/>
  <c r="BO105" i="1"/>
  <c r="BO104" i="1"/>
  <c r="BO103" i="1"/>
  <c r="BO102" i="1"/>
  <c r="BO101" i="1"/>
  <c r="BO100" i="1"/>
  <c r="BO99" i="1"/>
  <c r="BO98" i="1"/>
  <c r="BO97" i="1"/>
  <c r="BO96" i="1"/>
  <c r="BO95" i="1"/>
  <c r="BO94" i="1"/>
  <c r="BO93" i="1"/>
  <c r="BO92" i="1"/>
  <c r="BO91" i="1"/>
  <c r="BO90" i="1"/>
  <c r="BO89" i="1"/>
  <c r="BO88" i="1"/>
  <c r="BO87" i="1"/>
  <c r="BO86" i="1"/>
  <c r="BO85" i="1"/>
  <c r="BO84" i="1"/>
  <c r="BO83" i="1"/>
  <c r="BO82" i="1"/>
  <c r="BO81" i="1"/>
  <c r="BO80" i="1"/>
  <c r="BO79" i="1"/>
  <c r="BO78" i="1"/>
  <c r="BO77" i="1"/>
  <c r="BO76" i="1"/>
  <c r="BO75" i="1"/>
  <c r="BO74" i="1"/>
  <c r="BO73" i="1"/>
  <c r="BO72" i="1"/>
  <c r="BO71" i="1"/>
  <c r="BO70" i="1"/>
  <c r="BO69" i="1"/>
  <c r="BO68" i="1"/>
  <c r="BO67" i="1"/>
  <c r="BO66" i="1"/>
  <c r="BO65" i="1"/>
  <c r="BO64" i="1"/>
  <c r="BO63" i="1"/>
  <c r="BO62" i="1"/>
  <c r="BO61" i="1"/>
  <c r="BO60" i="1"/>
  <c r="BO59" i="1"/>
  <c r="BO58" i="1"/>
  <c r="BO57" i="1"/>
  <c r="BO56" i="1"/>
  <c r="BO55" i="1"/>
  <c r="BO54" i="1"/>
  <c r="BO53" i="1"/>
  <c r="BO52" i="1"/>
  <c r="BO51" i="1"/>
  <c r="BO50" i="1"/>
  <c r="BO49" i="1"/>
  <c r="BO48" i="1"/>
  <c r="BO47" i="1"/>
  <c r="BO46" i="1"/>
  <c r="BO45" i="1"/>
  <c r="BO44" i="1"/>
  <c r="BO43" i="1"/>
  <c r="BO42" i="1"/>
  <c r="BO41" i="1"/>
  <c r="BO40" i="1"/>
  <c r="BO39" i="1"/>
  <c r="BO38" i="1"/>
  <c r="BO37" i="1"/>
  <c r="BO36" i="1"/>
  <c r="BO35" i="1"/>
  <c r="BO34" i="1"/>
  <c r="BO33" i="1"/>
  <c r="BO32" i="1"/>
  <c r="BO31" i="1"/>
  <c r="BO30" i="1"/>
  <c r="BO29" i="1"/>
  <c r="BO28" i="1"/>
  <c r="BO27" i="1"/>
  <c r="BO26" i="1"/>
  <c r="BO25" i="1"/>
  <c r="BO24" i="1"/>
  <c r="BO23" i="1"/>
  <c r="BO22" i="1"/>
  <c r="BO21" i="1"/>
  <c r="BO20" i="1"/>
  <c r="BO19" i="1"/>
  <c r="BO18" i="1"/>
  <c r="BO17" i="1"/>
  <c r="BO16" i="1"/>
  <c r="BO15" i="1"/>
  <c r="BO14" i="1"/>
  <c r="BO13" i="1"/>
  <c r="BO12" i="1"/>
  <c r="BO11" i="1"/>
  <c r="BO10" i="1"/>
  <c r="BO9" i="1"/>
  <c r="BO8" i="1"/>
  <c r="BO7" i="1"/>
  <c r="BO6" i="1"/>
  <c r="BO5" i="1"/>
  <c r="BO4" i="1"/>
  <c r="BO3" i="1"/>
  <c r="BN134" i="1"/>
  <c r="BN131" i="1"/>
  <c r="BN130" i="1"/>
  <c r="BN129" i="1"/>
  <c r="BN128" i="1"/>
  <c r="BN127" i="1"/>
  <c r="BN126" i="1"/>
  <c r="BN125" i="1"/>
  <c r="BN124" i="1"/>
  <c r="BN123" i="1"/>
  <c r="BN122" i="1"/>
  <c r="BN121" i="1"/>
  <c r="BN120" i="1"/>
  <c r="BN119" i="1"/>
  <c r="BN118" i="1"/>
  <c r="BN117" i="1"/>
  <c r="BN116" i="1"/>
  <c r="BN115" i="1"/>
  <c r="BN114" i="1"/>
  <c r="BN113" i="1"/>
  <c r="BN112" i="1"/>
  <c r="BN111" i="1"/>
  <c r="BN110" i="1"/>
  <c r="BN109" i="1"/>
  <c r="BN108" i="1"/>
  <c r="BN107" i="1"/>
  <c r="BN106" i="1"/>
  <c r="BN105" i="1"/>
  <c r="BN104" i="1"/>
  <c r="BN103" i="1"/>
  <c r="BN102" i="1"/>
  <c r="BN101" i="1"/>
  <c r="BN100" i="1"/>
  <c r="BN99" i="1"/>
  <c r="BN98" i="1"/>
  <c r="BN97" i="1"/>
  <c r="BN96" i="1"/>
  <c r="BN95" i="1"/>
  <c r="BN94" i="1"/>
  <c r="BN93" i="1"/>
  <c r="BN92" i="1"/>
  <c r="BN91" i="1"/>
  <c r="BN90" i="1"/>
  <c r="BN89" i="1"/>
  <c r="BN88" i="1"/>
  <c r="BN87" i="1"/>
  <c r="BN86" i="1"/>
  <c r="BN85" i="1"/>
  <c r="BN84" i="1"/>
  <c r="BN83" i="1"/>
  <c r="BN82" i="1"/>
  <c r="BN81" i="1"/>
  <c r="BN80" i="1"/>
  <c r="BN79" i="1"/>
  <c r="BN78" i="1"/>
  <c r="BN77" i="1"/>
  <c r="BN76" i="1"/>
  <c r="BN75" i="1"/>
  <c r="BN74" i="1"/>
  <c r="BN73" i="1"/>
  <c r="BN72" i="1"/>
  <c r="BN71" i="1"/>
  <c r="BN70" i="1"/>
  <c r="BN69" i="1"/>
  <c r="BN68" i="1"/>
  <c r="BN67" i="1"/>
  <c r="BN66" i="1"/>
  <c r="BN65" i="1"/>
  <c r="BN64" i="1"/>
  <c r="BN63" i="1"/>
  <c r="BN62" i="1"/>
  <c r="BN61" i="1"/>
  <c r="BN60" i="1"/>
  <c r="BN59" i="1"/>
  <c r="BN58" i="1"/>
  <c r="BN57" i="1"/>
  <c r="BN56" i="1"/>
  <c r="BN55" i="1"/>
  <c r="BN54" i="1"/>
  <c r="BN53" i="1"/>
  <c r="BN52" i="1"/>
  <c r="BN51" i="1"/>
  <c r="BN50" i="1"/>
  <c r="BN49" i="1"/>
  <c r="BN48" i="1"/>
  <c r="BN47" i="1"/>
  <c r="BN46" i="1"/>
  <c r="BN45" i="1"/>
  <c r="BN44" i="1"/>
  <c r="BN43" i="1"/>
  <c r="BN42" i="1"/>
  <c r="BN41" i="1"/>
  <c r="BN40" i="1"/>
  <c r="BN39" i="1"/>
  <c r="BN38" i="1"/>
  <c r="BN37" i="1"/>
  <c r="BN36" i="1"/>
  <c r="BN35" i="1"/>
  <c r="BN34" i="1"/>
  <c r="BN33" i="1"/>
  <c r="BN32" i="1"/>
  <c r="BN31" i="1"/>
  <c r="BN30" i="1"/>
  <c r="BN29" i="1"/>
  <c r="BN28" i="1"/>
  <c r="BN27" i="1"/>
  <c r="BN26" i="1"/>
  <c r="BN25" i="1"/>
  <c r="BN24" i="1"/>
  <c r="BN23" i="1"/>
  <c r="BN22" i="1"/>
  <c r="BN21" i="1"/>
  <c r="BN20" i="1"/>
  <c r="BN19" i="1"/>
  <c r="BN18" i="1"/>
  <c r="BN17" i="1"/>
  <c r="BN16" i="1"/>
  <c r="BN15" i="1"/>
  <c r="BN14" i="1"/>
  <c r="BN13" i="1"/>
  <c r="BN12" i="1"/>
  <c r="BN11" i="1"/>
  <c r="BN10" i="1"/>
  <c r="BN9" i="1"/>
  <c r="BN8" i="1"/>
  <c r="BN7" i="1"/>
  <c r="BN6" i="1"/>
  <c r="BM134" i="1"/>
  <c r="BM136" i="1"/>
  <c r="BM137" i="1"/>
  <c r="BM138" i="1"/>
  <c r="BM139" i="1"/>
  <c r="BM140" i="1"/>
  <c r="BM141" i="1"/>
  <c r="BM142" i="1"/>
  <c r="BM143" i="1"/>
  <c r="BM144" i="1"/>
  <c r="BM145" i="1"/>
  <c r="BM146" i="1"/>
  <c r="BM147" i="1"/>
  <c r="BM148" i="1"/>
  <c r="BM149" i="1"/>
  <c r="BM150" i="1"/>
  <c r="BM151" i="1"/>
  <c r="BM152" i="1"/>
  <c r="BM153" i="1"/>
  <c r="BM154" i="1"/>
  <c r="BM155" i="1"/>
  <c r="BM156" i="1"/>
  <c r="BM157" i="1"/>
  <c r="BM158" i="1"/>
  <c r="BM159" i="1"/>
  <c r="BM160" i="1"/>
  <c r="BM161" i="1"/>
  <c r="BM162" i="1"/>
  <c r="BM163" i="1"/>
  <c r="BM164" i="1"/>
  <c r="BM165" i="1"/>
  <c r="BM166" i="1"/>
  <c r="BM167" i="1"/>
  <c r="BM168" i="1"/>
  <c r="BM169" i="1"/>
  <c r="BM170" i="1"/>
  <c r="BM171" i="1"/>
  <c r="BM172" i="1"/>
  <c r="BM173" i="1"/>
  <c r="BM174" i="1"/>
  <c r="BM175" i="1"/>
  <c r="BM176" i="1"/>
  <c r="BM177" i="1"/>
  <c r="BM178" i="1"/>
  <c r="BM179" i="1"/>
  <c r="BM180" i="1"/>
  <c r="BM181" i="1"/>
  <c r="BM182" i="1"/>
  <c r="BM183" i="1"/>
  <c r="BM184" i="1"/>
  <c r="BM185" i="1"/>
  <c r="BM186" i="1"/>
  <c r="BM187" i="1"/>
  <c r="BM188" i="1"/>
  <c r="BM189" i="1"/>
  <c r="BM190" i="1"/>
  <c r="BM191" i="1"/>
  <c r="BM192" i="1"/>
  <c r="BM193" i="1"/>
  <c r="BM194" i="1"/>
  <c r="BM195" i="1"/>
  <c r="BM196" i="1"/>
  <c r="BM197" i="1"/>
  <c r="BM198" i="1"/>
  <c r="BM199" i="1"/>
  <c r="BM200" i="1"/>
  <c r="BM201" i="1"/>
  <c r="BM202" i="1"/>
  <c r="BM203" i="1"/>
  <c r="BM204" i="1"/>
  <c r="BM205" i="1"/>
  <c r="BM206" i="1"/>
  <c r="BM207" i="1"/>
  <c r="BM208" i="1"/>
  <c r="BM209" i="1"/>
  <c r="BM210" i="1"/>
  <c r="BM211" i="1"/>
  <c r="BM212" i="1"/>
  <c r="BM213" i="1"/>
  <c r="BM214" i="1"/>
  <c r="BM215" i="1"/>
  <c r="BM216" i="1"/>
  <c r="BM217" i="1"/>
  <c r="BM218" i="1"/>
  <c r="BM219" i="1"/>
  <c r="BM220" i="1"/>
  <c r="BM221" i="1"/>
  <c r="BM222" i="1"/>
  <c r="BM223" i="1"/>
  <c r="BM224" i="1"/>
  <c r="BM225" i="1"/>
  <c r="BM226" i="1"/>
  <c r="BM227" i="1"/>
  <c r="BM228" i="1"/>
  <c r="BM229" i="1"/>
  <c r="BM230" i="1"/>
  <c r="BM231" i="1"/>
  <c r="BM232" i="1"/>
  <c r="BM233" i="1"/>
  <c r="BM234" i="1"/>
  <c r="BM235" i="1"/>
  <c r="BM236" i="1"/>
  <c r="BM237" i="1"/>
  <c r="BM238" i="1"/>
  <c r="BM239" i="1"/>
  <c r="BM240" i="1"/>
  <c r="BM241" i="1"/>
  <c r="BM242" i="1"/>
  <c r="BM243" i="1"/>
  <c r="BM244" i="1"/>
  <c r="BM245" i="1"/>
  <c r="BM246" i="1"/>
  <c r="BM247" i="1"/>
  <c r="BM248" i="1"/>
  <c r="BM135" i="1"/>
  <c r="BM131" i="1"/>
  <c r="BM130" i="1"/>
  <c r="BM129" i="1"/>
  <c r="BM128" i="1"/>
  <c r="BM127" i="1"/>
  <c r="BM126" i="1"/>
  <c r="BM125" i="1"/>
  <c r="BM124" i="1"/>
  <c r="BM123" i="1"/>
  <c r="BM122" i="1"/>
  <c r="BM121" i="1"/>
  <c r="BM120" i="1"/>
  <c r="BM119" i="1"/>
  <c r="BM118" i="1"/>
  <c r="BM117" i="1"/>
  <c r="BM116" i="1"/>
  <c r="BM115" i="1"/>
  <c r="BM114" i="1"/>
  <c r="BM113" i="1"/>
  <c r="BM112" i="1"/>
  <c r="BM111" i="1"/>
  <c r="BM110" i="1"/>
  <c r="BM109" i="1"/>
  <c r="BM108" i="1"/>
  <c r="BM107" i="1"/>
  <c r="BM106" i="1"/>
  <c r="BM105" i="1"/>
  <c r="BM104" i="1"/>
  <c r="BM103" i="1"/>
  <c r="BM102" i="1"/>
  <c r="BM101" i="1"/>
  <c r="BM100" i="1"/>
  <c r="BM99" i="1"/>
  <c r="BM98" i="1"/>
  <c r="BM97" i="1"/>
  <c r="BM96" i="1"/>
  <c r="BM95" i="1"/>
  <c r="BM94" i="1"/>
  <c r="BM93" i="1"/>
  <c r="BM92" i="1"/>
  <c r="BM91" i="1"/>
  <c r="BM90" i="1"/>
  <c r="BM89" i="1"/>
  <c r="BM88" i="1"/>
  <c r="BM87" i="1"/>
  <c r="BM86" i="1"/>
  <c r="BM85" i="1"/>
  <c r="BM84" i="1"/>
  <c r="BM83" i="1"/>
  <c r="BM82" i="1"/>
  <c r="BM81" i="1"/>
  <c r="BM80" i="1"/>
  <c r="BM79" i="1"/>
  <c r="BM78" i="1"/>
  <c r="BM77" i="1"/>
  <c r="BM76" i="1"/>
  <c r="BM75" i="1"/>
  <c r="BM74" i="1"/>
  <c r="BM73" i="1"/>
  <c r="BM72" i="1"/>
  <c r="BM71" i="1"/>
  <c r="BM70" i="1"/>
  <c r="BM69" i="1"/>
  <c r="BM68" i="1"/>
  <c r="BM67" i="1"/>
  <c r="BM66" i="1"/>
  <c r="BM65" i="1"/>
  <c r="BM64" i="1"/>
  <c r="BM63" i="1"/>
  <c r="BM62" i="1"/>
  <c r="BM61" i="1"/>
  <c r="BM60" i="1"/>
  <c r="BM59" i="1"/>
  <c r="BM58" i="1"/>
  <c r="BM57" i="1"/>
  <c r="BM56" i="1"/>
  <c r="BM55" i="1"/>
  <c r="BM54" i="1"/>
  <c r="BM53" i="1"/>
  <c r="BM52" i="1"/>
  <c r="BM51" i="1"/>
  <c r="BM50" i="1"/>
  <c r="BM49" i="1"/>
  <c r="BM48" i="1"/>
  <c r="BM47" i="1"/>
  <c r="BM46" i="1"/>
  <c r="BM45" i="1"/>
  <c r="BM44" i="1"/>
  <c r="BM43" i="1"/>
  <c r="BM42" i="1"/>
  <c r="BM41" i="1"/>
  <c r="BM40" i="1"/>
  <c r="BM39" i="1"/>
  <c r="BM38" i="1"/>
  <c r="BM37" i="1"/>
  <c r="BM36" i="1"/>
  <c r="BM35" i="1"/>
  <c r="BM34" i="1"/>
  <c r="BM33" i="1"/>
  <c r="BM32" i="1"/>
  <c r="BM31" i="1"/>
  <c r="BM30" i="1"/>
  <c r="BM29" i="1"/>
  <c r="BM28" i="1"/>
  <c r="BM27" i="1"/>
  <c r="BM26" i="1"/>
  <c r="BM25" i="1"/>
  <c r="BM24" i="1"/>
  <c r="BM23" i="1"/>
  <c r="BM22" i="1"/>
  <c r="BM21" i="1"/>
  <c r="BM20" i="1"/>
  <c r="BM19" i="1"/>
  <c r="BM18" i="1"/>
  <c r="BM17" i="1"/>
  <c r="BM16" i="1"/>
  <c r="BM15" i="1"/>
  <c r="BM14" i="1"/>
  <c r="BM13" i="1"/>
  <c r="BM12" i="1"/>
  <c r="BM11" i="1"/>
  <c r="BM10" i="1"/>
  <c r="BM9" i="1"/>
  <c r="BM8" i="1"/>
  <c r="BM7" i="1"/>
  <c r="BM6" i="1"/>
  <c r="AV1450" i="1"/>
  <c r="AL1450" i="1"/>
  <c r="AM1450" i="1" s="1"/>
  <c r="AL1394" i="1"/>
  <c r="AM1394" i="1" s="1"/>
  <c r="AL1438" i="1"/>
  <c r="AM1438" i="1" s="1"/>
  <c r="AV1438" i="1"/>
  <c r="AU1438" i="1" s="1"/>
  <c r="AV1440" i="1"/>
  <c r="AU1440" i="1" s="1"/>
  <c r="AL1440" i="1"/>
  <c r="AM1440" i="1" s="1"/>
  <c r="AL1441" i="1"/>
  <c r="AM1441" i="1" s="1"/>
  <c r="AV1441" i="1"/>
  <c r="AU1441" i="1" s="1"/>
  <c r="AV1446" i="1"/>
  <c r="AU1446" i="1" s="1"/>
  <c r="AL1446" i="1"/>
  <c r="AM1446" i="1" s="1"/>
  <c r="AV1449" i="1"/>
  <c r="AU1449" i="1" s="1"/>
  <c r="AL1449" i="1"/>
  <c r="AM1449" i="1" s="1"/>
  <c r="AL1432" i="1"/>
  <c r="AM1432" i="1" s="1"/>
  <c r="AV1432" i="1"/>
  <c r="AU1432" i="1" s="1"/>
  <c r="AL1424" i="1"/>
  <c r="AM1424" i="1" s="1"/>
  <c r="AV1424" i="1"/>
  <c r="AU1424" i="1" s="1"/>
  <c r="AL1425" i="1"/>
  <c r="AM1425" i="1" s="1"/>
  <c r="AV1428" i="1"/>
  <c r="AU1428" i="1" s="1"/>
  <c r="AL1428" i="1"/>
  <c r="AM1428" i="1" s="1"/>
  <c r="AV1430" i="1"/>
  <c r="AU1430" i="1" s="1"/>
  <c r="AT1433" i="1"/>
  <c r="AV1433" i="1" s="1"/>
  <c r="AU1433" i="1" s="1"/>
  <c r="AV1429" i="1"/>
  <c r="AU1429" i="1" s="1"/>
  <c r="AV1405" i="1"/>
  <c r="AV1189" i="1"/>
  <c r="AU1189" i="1" s="1"/>
  <c r="AV960" i="1"/>
  <c r="AU960" i="1" s="1"/>
  <c r="AV1220" i="1"/>
  <c r="AU1220" i="1" s="1"/>
  <c r="AV1389" i="1"/>
  <c r="AV1393" i="1"/>
  <c r="AL1393" i="1"/>
  <c r="AM1393" i="1" s="1"/>
  <c r="AU1336" i="1"/>
  <c r="AV1377" i="1"/>
  <c r="AU1377" i="1" s="1"/>
  <c r="BY1376" i="1" s="1"/>
  <c r="AT1344" i="1"/>
  <c r="AV1344" i="1" s="1"/>
  <c r="AL1356" i="1"/>
  <c r="AM1356" i="1" s="1"/>
  <c r="AV1356" i="1"/>
  <c r="AU1356" i="1" s="1"/>
  <c r="AL1344" i="1"/>
  <c r="AM1344" i="1" s="1"/>
  <c r="AT1342" i="1"/>
  <c r="AV1342" i="1" s="1"/>
  <c r="AU1342" i="1" s="1"/>
  <c r="AV1348" i="1"/>
  <c r="AL1348" i="1"/>
  <c r="AM1348" i="1" s="1"/>
  <c r="AV1350" i="1"/>
  <c r="AU1350" i="1" s="1"/>
  <c r="AL1350" i="1"/>
  <c r="AM1350" i="1" s="1"/>
  <c r="AL1342" i="1"/>
  <c r="AM1342" i="1" s="1"/>
  <c r="AL1343" i="1"/>
  <c r="AM1343" i="1" s="1"/>
  <c r="AL1321" i="1"/>
  <c r="AM1321" i="1" s="1"/>
  <c r="AV1321" i="1"/>
  <c r="AU1321" i="1" s="1"/>
  <c r="AL1318" i="1"/>
  <c r="AM1318" i="1" s="1"/>
  <c r="AV1318" i="1"/>
  <c r="AU1318" i="1" s="1"/>
  <c r="AL1327" i="1"/>
  <c r="AM1327" i="1" s="1"/>
  <c r="AV1327" i="1"/>
  <c r="AU1327" i="1" s="1"/>
  <c r="AL1328" i="1"/>
  <c r="AM1328" i="1" s="1"/>
  <c r="AV1328" i="1"/>
  <c r="AU1328" i="1" s="1"/>
  <c r="AL1317" i="1"/>
  <c r="AM1317" i="1" s="1"/>
  <c r="AV1317" i="1"/>
  <c r="AU1317" i="1" s="1"/>
  <c r="AL1290" i="1"/>
  <c r="AM1290" i="1" s="1"/>
  <c r="AV1290" i="1"/>
  <c r="AU1290" i="1" s="1"/>
  <c r="AV1310" i="1"/>
  <c r="AU1310" i="1" s="1"/>
  <c r="AL1310" i="1"/>
  <c r="AM1310" i="1" s="1"/>
  <c r="AV1312" i="1"/>
  <c r="AU1312" i="1" s="1"/>
  <c r="AL1312" i="1"/>
  <c r="AM1312" i="1" s="1"/>
  <c r="AV1313" i="1"/>
  <c r="AU1313" i="1" s="1"/>
  <c r="AM1313" i="1"/>
  <c r="AT1309" i="1"/>
  <c r="AV1309" i="1" s="1"/>
  <c r="AU1309" i="1" s="1"/>
  <c r="AV1314" i="1"/>
  <c r="AU1314" i="1" s="1"/>
  <c r="AL1266" i="1"/>
  <c r="AM1266" i="1" s="1"/>
  <c r="AT1289" i="1"/>
  <c r="AV1289" i="1" s="1"/>
  <c r="AU1289" i="1" s="1"/>
  <c r="AV1264" i="1"/>
  <c r="AU1264" i="1" s="1"/>
  <c r="AL1294" i="1"/>
  <c r="AM1294" i="1" s="1"/>
  <c r="AV1294" i="1"/>
  <c r="AU1294" i="1" s="1"/>
  <c r="AV1300" i="1"/>
  <c r="AU1300" i="1" s="1"/>
  <c r="AL1300" i="1"/>
  <c r="AM1300" i="1" s="1"/>
  <c r="AV1293" i="1"/>
  <c r="AL1264" i="1"/>
  <c r="AM1264" i="1" s="1"/>
  <c r="AV1286" i="1"/>
  <c r="AU1286" i="1" s="1"/>
  <c r="AL1286" i="1"/>
  <c r="AM1286" i="1" s="1"/>
  <c r="AL1253" i="1"/>
  <c r="AM1253" i="1" s="1"/>
  <c r="AV1253" i="1"/>
  <c r="AU1253" i="1" s="1"/>
  <c r="AL1270" i="1"/>
  <c r="AM1270" i="1" s="1"/>
  <c r="AV1270" i="1"/>
  <c r="AU1270" i="1" s="1"/>
  <c r="AV1271" i="1"/>
  <c r="AL1252" i="1"/>
  <c r="AM1252" i="1" s="1"/>
  <c r="AV1252" i="1"/>
  <c r="AU1252" i="1" s="1"/>
  <c r="AL1255" i="1"/>
  <c r="AM1255" i="1" s="1"/>
  <c r="AV1255" i="1"/>
  <c r="AU1255" i="1" s="1"/>
  <c r="AT1244" i="1"/>
  <c r="AV1244" i="1" s="1"/>
  <c r="AU1244" i="1" s="1"/>
  <c r="AV1246" i="1"/>
  <c r="AU1246" i="1" s="1"/>
  <c r="AV1224" i="1"/>
  <c r="AL1224" i="1"/>
  <c r="AM1224" i="1" s="1"/>
  <c r="AV1225" i="1"/>
  <c r="AU1225" i="1" s="1"/>
  <c r="AL1225" i="1"/>
  <c r="AM1225" i="1" s="1"/>
  <c r="AV1227" i="1"/>
  <c r="AL1227" i="1"/>
  <c r="AM1227" i="1" s="1"/>
  <c r="AL1229" i="1"/>
  <c r="AM1229" i="1" s="1"/>
  <c r="AV1229" i="1"/>
  <c r="AU1229" i="1" s="1"/>
  <c r="AV1230" i="1"/>
  <c r="AU1230" i="1" s="1"/>
  <c r="AL1230" i="1"/>
  <c r="AM1230" i="1" s="1"/>
  <c r="AV1231" i="1"/>
  <c r="AU1231" i="1" s="1"/>
  <c r="AL1231" i="1"/>
  <c r="AM1231" i="1" s="1"/>
  <c r="AV1234" i="1"/>
  <c r="AU1234" i="1" s="1"/>
  <c r="AL1234" i="1"/>
  <c r="AM1234" i="1" s="1"/>
  <c r="AV1235" i="1"/>
  <c r="AU1235" i="1" s="1"/>
  <c r="AL1235" i="1"/>
  <c r="AM1235" i="1" s="1"/>
  <c r="AV1236" i="1"/>
  <c r="AU1236" i="1" s="1"/>
  <c r="AL1236" i="1"/>
  <c r="AM1236" i="1" s="1"/>
  <c r="AV1238" i="1"/>
  <c r="AU1238" i="1" s="1"/>
  <c r="AL1238" i="1"/>
  <c r="AM1238" i="1" s="1"/>
  <c r="AL1240" i="1"/>
  <c r="AM1240" i="1" s="1"/>
  <c r="AV1240" i="1"/>
  <c r="AU1240" i="1" s="1"/>
  <c r="AV1241" i="1"/>
  <c r="AU1241" i="1" s="1"/>
  <c r="AL1241" i="1"/>
  <c r="AM1241" i="1" s="1"/>
  <c r="AT1239" i="1"/>
  <c r="AV1239" i="1" s="1"/>
  <c r="AL1219" i="1"/>
  <c r="AM1219" i="1" s="1"/>
  <c r="AV1219" i="1"/>
  <c r="AU1219" i="1" s="1"/>
  <c r="AT1228" i="1"/>
  <c r="AV1228" i="1"/>
  <c r="AT1232" i="1"/>
  <c r="AV1232" i="1" s="1"/>
  <c r="AL1203" i="1"/>
  <c r="AM1203" i="1" s="1"/>
  <c r="AV1203" i="1"/>
  <c r="AU1203" i="1" s="1"/>
  <c r="AV1223" i="1"/>
  <c r="AU1223" i="1" s="1"/>
  <c r="AL1207" i="1"/>
  <c r="AM1207" i="1" s="1"/>
  <c r="AL1208" i="1"/>
  <c r="AM1208" i="1" s="1"/>
  <c r="AV1208" i="1"/>
  <c r="AU1208" i="1" s="1"/>
  <c r="AL1210" i="1"/>
  <c r="AM1210" i="1" s="1"/>
  <c r="AV1210" i="1"/>
  <c r="AU1210" i="1" s="1"/>
  <c r="AV1218" i="1"/>
  <c r="AU1218" i="1" s="1"/>
  <c r="AL1218" i="1"/>
  <c r="AM1218" i="1" s="1"/>
  <c r="AL1204" i="1"/>
  <c r="AM1204" i="1" s="1"/>
  <c r="AV1204" i="1"/>
  <c r="AU1204" i="1" s="1"/>
  <c r="AT1197" i="1"/>
  <c r="AV1197" i="1"/>
  <c r="AU1197" i="1" s="1"/>
  <c r="AL1164" i="1"/>
  <c r="AM1164" i="1" s="1"/>
  <c r="AV1164" i="1"/>
  <c r="AU1164" i="1" s="1"/>
  <c r="AV1165" i="1"/>
  <c r="AU1165" i="1" s="1"/>
  <c r="AL1166" i="1"/>
  <c r="AM1166" i="1" s="1"/>
  <c r="AV1166" i="1"/>
  <c r="AU1166" i="1" s="1"/>
  <c r="AL1167" i="1"/>
  <c r="AM1167" i="1" s="1"/>
  <c r="AV1167" i="1"/>
  <c r="AU1167" i="1" s="1"/>
  <c r="AL1144" i="1"/>
  <c r="AM1144" i="1" s="1"/>
  <c r="AV1144" i="1"/>
  <c r="AU1144" i="1" s="1"/>
  <c r="AV1154" i="1"/>
  <c r="AU1154" i="1" s="1"/>
  <c r="AL1154" i="1"/>
  <c r="AM1154" i="1" s="1"/>
  <c r="AV1152" i="1"/>
  <c r="AU1152" i="1" s="1"/>
  <c r="AL1152" i="1"/>
  <c r="AM1152" i="1" s="1"/>
  <c r="AV1153" i="1"/>
  <c r="AU1153" i="1" s="1"/>
  <c r="AV1156" i="1"/>
  <c r="AU1156" i="1" s="1"/>
  <c r="AL1156" i="1"/>
  <c r="AM1156" i="1" s="1"/>
  <c r="AV1157" i="1"/>
  <c r="AU1157" i="1" s="1"/>
  <c r="AL1082" i="1"/>
  <c r="AM1082" i="1" s="1"/>
  <c r="AV1082" i="1"/>
  <c r="AL1084" i="1"/>
  <c r="AM1084" i="1" s="1"/>
  <c r="AV1084" i="1"/>
  <c r="AU1084" i="1" s="1"/>
  <c r="AV1127" i="1"/>
  <c r="AU1127" i="1" s="1"/>
  <c r="AL1114" i="1"/>
  <c r="AM1114" i="1" s="1"/>
  <c r="AV1114" i="1"/>
  <c r="AU1114" i="1" s="1"/>
  <c r="AV1117" i="1"/>
  <c r="AU1117" i="1" s="1"/>
  <c r="AL1117" i="1"/>
  <c r="AM1117" i="1" s="1"/>
  <c r="AV1119" i="1"/>
  <c r="AU1119" i="1" s="1"/>
  <c r="AL1119" i="1"/>
  <c r="AM1119" i="1" s="1"/>
  <c r="AT1121" i="1"/>
  <c r="AV1121" i="1" s="1"/>
  <c r="AU1121" i="1" s="1"/>
  <c r="AL1111" i="1"/>
  <c r="AM1111" i="1" s="1"/>
  <c r="AL1096" i="1"/>
  <c r="AM1096" i="1" s="1"/>
  <c r="AV1096" i="1"/>
  <c r="AU1096" i="1" s="1"/>
  <c r="AL1092" i="1"/>
  <c r="AM1092" i="1" s="1"/>
  <c r="AL1093" i="1"/>
  <c r="AM1093" i="1" s="1"/>
  <c r="AV1093" i="1"/>
  <c r="AU1093" i="1" s="1"/>
  <c r="AV1087" i="1"/>
  <c r="AV1062" i="1"/>
  <c r="AU1062" i="1" s="1"/>
  <c r="AL1050" i="1"/>
  <c r="AM1050" i="1" s="1"/>
  <c r="AV1050" i="1"/>
  <c r="AL1046" i="1"/>
  <c r="AM1046" i="1" s="1"/>
  <c r="AV1052" i="1"/>
  <c r="AU1052" i="1" s="1"/>
  <c r="AL1058" i="1"/>
  <c r="AM1058" i="1" s="1"/>
  <c r="AV1058" i="1"/>
  <c r="AU1058" i="1" s="1"/>
  <c r="AV1060" i="1"/>
  <c r="AU1060" i="1" s="1"/>
  <c r="AL1060" i="1"/>
  <c r="AM1060" i="1" s="1"/>
  <c r="AV1061" i="1"/>
  <c r="AU1061" i="1" s="1"/>
  <c r="AM1062" i="1"/>
  <c r="AL1042" i="1"/>
  <c r="AM1042" i="1" s="1"/>
  <c r="AV1042" i="1"/>
  <c r="AU1042" i="1" s="1"/>
  <c r="AL1045" i="1"/>
  <c r="AM1045" i="1" s="1"/>
  <c r="AV1045" i="1"/>
  <c r="AU1045" i="1" s="1"/>
  <c r="AV1048" i="1"/>
  <c r="AU1048" i="1" s="1"/>
  <c r="AL1048" i="1"/>
  <c r="AM1048" i="1" s="1"/>
  <c r="AL1043" i="1"/>
  <c r="AM1043" i="1" s="1"/>
  <c r="AV1043" i="1"/>
  <c r="AU1043" i="1" s="1"/>
  <c r="AL1044" i="1"/>
  <c r="AM1044" i="1" s="1"/>
  <c r="AV1044" i="1"/>
  <c r="AU1044" i="1" s="1"/>
  <c r="AL985" i="1"/>
  <c r="AM985" i="1" s="1"/>
  <c r="AV1020" i="1"/>
  <c r="AU1020" i="1" s="1"/>
  <c r="AL1020" i="1"/>
  <c r="AM1020" i="1" s="1"/>
  <c r="AL997" i="1"/>
  <c r="AM997" i="1" s="1"/>
  <c r="AV997" i="1"/>
  <c r="AV1005" i="1"/>
  <c r="AU1005" i="1" s="1"/>
  <c r="AL1005" i="1"/>
  <c r="AM1005" i="1" s="1"/>
  <c r="AV1007" i="1"/>
  <c r="AU1007" i="1" s="1"/>
  <c r="AL1007" i="1"/>
  <c r="AM1007" i="1" s="1"/>
  <c r="AL989" i="1"/>
  <c r="AM989" i="1" s="1"/>
  <c r="AV989" i="1"/>
  <c r="AU989" i="1" s="1"/>
  <c r="AL986" i="1"/>
  <c r="AM986" i="1" s="1"/>
  <c r="AV986" i="1"/>
  <c r="AU986" i="1" s="1"/>
  <c r="AV981" i="1"/>
  <c r="AU981" i="1" s="1"/>
  <c r="AL981" i="1"/>
  <c r="AM981" i="1" s="1"/>
  <c r="AT967" i="1"/>
  <c r="AV967" i="1" s="1"/>
  <c r="AU967" i="1" s="1"/>
  <c r="AV969" i="1"/>
  <c r="AU969" i="1" s="1"/>
  <c r="AL969" i="1"/>
  <c r="AM969" i="1" s="1"/>
  <c r="AV972" i="1"/>
  <c r="AU972" i="1" s="1"/>
  <c r="AL972" i="1"/>
  <c r="AM972" i="1" s="1"/>
  <c r="AL956" i="1"/>
  <c r="AM956" i="1" s="1"/>
  <c r="AV956" i="1"/>
  <c r="AU956" i="1" s="1"/>
  <c r="AL957" i="1"/>
  <c r="AM957" i="1" s="1"/>
  <c r="AV961" i="1"/>
  <c r="AU961" i="1" s="1"/>
  <c r="AL961" i="1"/>
  <c r="AM961" i="1" s="1"/>
  <c r="AV963" i="1"/>
  <c r="AU963" i="1" s="1"/>
  <c r="AV954" i="1"/>
  <c r="AU954" i="1" s="1"/>
  <c r="AL954" i="1"/>
  <c r="AM954" i="1" s="1"/>
  <c r="AV941" i="1"/>
  <c r="AU941" i="1" s="1"/>
  <c r="AL941" i="1"/>
  <c r="AM941" i="1" s="1"/>
  <c r="AL942" i="1"/>
  <c r="AM942" i="1" s="1"/>
  <c r="AV942" i="1"/>
  <c r="AU942" i="1" s="1"/>
  <c r="AV945" i="1"/>
  <c r="AU945" i="1" s="1"/>
  <c r="AL945" i="1"/>
  <c r="AM945" i="1" s="1"/>
  <c r="AL931" i="1"/>
  <c r="AM931" i="1" s="1"/>
  <c r="AV931" i="1"/>
  <c r="AU931" i="1" s="1"/>
  <c r="AM927" i="1"/>
  <c r="AV927" i="1"/>
  <c r="AU927" i="1" s="1"/>
  <c r="AL904" i="1"/>
  <c r="AM904" i="1" s="1"/>
  <c r="AV904" i="1"/>
  <c r="AU904" i="1" s="1"/>
  <c r="AL916" i="1"/>
  <c r="AM916" i="1" s="1"/>
  <c r="AV916" i="1"/>
  <c r="AU916" i="1" s="1"/>
  <c r="AL928" i="1"/>
  <c r="AM928" i="1" s="1"/>
  <c r="AL914" i="1"/>
  <c r="AM914" i="1" s="1"/>
  <c r="AL920" i="1"/>
  <c r="AM920" i="1" s="1"/>
  <c r="AV920" i="1"/>
  <c r="AU920" i="1" s="1"/>
  <c r="AV922" i="1"/>
  <c r="AU922" i="1" s="1"/>
  <c r="AL922" i="1"/>
  <c r="AM922" i="1" s="1"/>
  <c r="AV924" i="1"/>
  <c r="AU924" i="1" s="1"/>
  <c r="AL924" i="1"/>
  <c r="AM924" i="1" s="1"/>
  <c r="AV925" i="1"/>
  <c r="AU925" i="1" s="1"/>
  <c r="AL925" i="1"/>
  <c r="AM925" i="1" s="1"/>
  <c r="AV923" i="1"/>
  <c r="AL913" i="1"/>
  <c r="AM913" i="1" s="1"/>
  <c r="AV913" i="1"/>
  <c r="AU913" i="1" s="1"/>
  <c r="AV915" i="1"/>
  <c r="AU915" i="1" s="1"/>
  <c r="AM915" i="1"/>
  <c r="AT914" i="1"/>
  <c r="AV914" i="1" s="1"/>
  <c r="AU914" i="1" s="1"/>
  <c r="AT874" i="1"/>
  <c r="AV874" i="1" s="1"/>
  <c r="AU874" i="1" s="1"/>
  <c r="AT883" i="1"/>
  <c r="AV883" i="1" s="1"/>
  <c r="AU883" i="1" s="1"/>
  <c r="AV868" i="1"/>
  <c r="AU868" i="1" s="1"/>
  <c r="AL868" i="1"/>
  <c r="AM868" i="1" s="1"/>
  <c r="AV869" i="1"/>
  <c r="AU869" i="1" s="1"/>
  <c r="AL869" i="1"/>
  <c r="AM869" i="1" s="1"/>
  <c r="AV808" i="1"/>
  <c r="AL827" i="1"/>
  <c r="AM827" i="1" s="1"/>
  <c r="AV827" i="1"/>
  <c r="AU827" i="1" s="1"/>
  <c r="AL836" i="1"/>
  <c r="AM836" i="1" s="1"/>
  <c r="AV836" i="1"/>
  <c r="AU836" i="1" s="1"/>
  <c r="AV844" i="1"/>
  <c r="AU844" i="1" s="1"/>
  <c r="AL844" i="1"/>
  <c r="AM844" i="1" s="1"/>
  <c r="AL816" i="1"/>
  <c r="AM816" i="1" s="1"/>
  <c r="AT837" i="1"/>
  <c r="AV837" i="1" s="1"/>
  <c r="AU837" i="1" s="1"/>
  <c r="AV813" i="1"/>
  <c r="AT830" i="1"/>
  <c r="AV830" i="1" s="1"/>
  <c r="AL772" i="1"/>
  <c r="AM772" i="1" s="1"/>
  <c r="AV772" i="1"/>
  <c r="AU772" i="1" s="1"/>
  <c r="AT816" i="1"/>
  <c r="AV816" i="1" s="1"/>
  <c r="AU816" i="1" s="1"/>
  <c r="AL811" i="1"/>
  <c r="AM811" i="1" s="1"/>
  <c r="AV811" i="1"/>
  <c r="AU811" i="1" s="1"/>
  <c r="AL807" i="1"/>
  <c r="AM807" i="1" s="1"/>
  <c r="AL808" i="1"/>
  <c r="AM808" i="1" s="1"/>
  <c r="AL790" i="1"/>
  <c r="AM790" i="1" s="1"/>
  <c r="AV790" i="1"/>
  <c r="AU790" i="1" s="1"/>
  <c r="AL809" i="1"/>
  <c r="AM809" i="1" s="1"/>
  <c r="AV809" i="1"/>
  <c r="AU809" i="1" s="1"/>
  <c r="AL800" i="1"/>
  <c r="AM800" i="1" s="1"/>
  <c r="AV800" i="1"/>
  <c r="AU800" i="1" s="1"/>
  <c r="AV795" i="1"/>
  <c r="AU795" i="1" s="1"/>
  <c r="AL795" i="1"/>
  <c r="AM795" i="1" s="1"/>
  <c r="AV789" i="1"/>
  <c r="AU789" i="1" s="1"/>
  <c r="AL789" i="1"/>
  <c r="AM789" i="1" s="1"/>
  <c r="AL752" i="1"/>
  <c r="AM752" i="1" s="1"/>
  <c r="AV752" i="1"/>
  <c r="AU752" i="1" s="1"/>
  <c r="AV764" i="1"/>
  <c r="AU764" i="1" s="1"/>
  <c r="AL764" i="1"/>
  <c r="AM764" i="1" s="1"/>
  <c r="AL739" i="1"/>
  <c r="AM739" i="1" s="1"/>
  <c r="AV739" i="1"/>
  <c r="AU739" i="1" s="1"/>
  <c r="AV744" i="1"/>
  <c r="AL744" i="1"/>
  <c r="AM744" i="1" s="1"/>
  <c r="AL746" i="1"/>
  <c r="AM746" i="1" s="1"/>
  <c r="AV746" i="1"/>
  <c r="AU746" i="1" s="1"/>
  <c r="AV749" i="1"/>
  <c r="AU749" i="1" s="1"/>
  <c r="AL749" i="1"/>
  <c r="AM749" i="1" s="1"/>
  <c r="AL737" i="1"/>
  <c r="AM737" i="1" s="1"/>
  <c r="AV737" i="1"/>
  <c r="AU737" i="1" s="1"/>
  <c r="AL729" i="1"/>
  <c r="AM729" i="1" s="1"/>
  <c r="AV730" i="1"/>
  <c r="AU730" i="1" s="1"/>
  <c r="AV735" i="1"/>
  <c r="AU735" i="1" s="1"/>
  <c r="AL735" i="1"/>
  <c r="AM735" i="1" s="1"/>
  <c r="AV736" i="1"/>
  <c r="AU736" i="1" s="1"/>
  <c r="AL736" i="1"/>
  <c r="AM736" i="1" s="1"/>
  <c r="AT738" i="1"/>
  <c r="AV738" i="1" s="1"/>
  <c r="AU738" i="1" s="1"/>
  <c r="AV732" i="1"/>
  <c r="AV724" i="1"/>
  <c r="AU724" i="1" s="1"/>
  <c r="AL724" i="1"/>
  <c r="AM724" i="1" s="1"/>
  <c r="AT727" i="1"/>
  <c r="AV727" i="1"/>
  <c r="AU727" i="1" s="1"/>
  <c r="AL716" i="1"/>
  <c r="AM716" i="1" s="1"/>
  <c r="AV716" i="1"/>
  <c r="AU716" i="1" s="1"/>
  <c r="AL719" i="1"/>
  <c r="AM719" i="1" s="1"/>
  <c r="AV719" i="1"/>
  <c r="AU719" i="1" s="1"/>
  <c r="AT699" i="1"/>
  <c r="AV699" i="1" s="1"/>
  <c r="AU699" i="1" s="1"/>
  <c r="AL696" i="1"/>
  <c r="AM696" i="1" s="1"/>
  <c r="AV696" i="1"/>
  <c r="AU696" i="1" s="1"/>
  <c r="AL701" i="1"/>
  <c r="AM701" i="1" s="1"/>
  <c r="AV700" i="1"/>
  <c r="AU700" i="1" s="1"/>
  <c r="AT701" i="1"/>
  <c r="AV701" i="1" s="1"/>
  <c r="AL697" i="1"/>
  <c r="AM697" i="1" s="1"/>
  <c r="AV697" i="1"/>
  <c r="AU697" i="1" s="1"/>
  <c r="AL688" i="1"/>
  <c r="AM688" i="1" s="1"/>
  <c r="AV688" i="1"/>
  <c r="AU688" i="1" s="1"/>
  <c r="AM690" i="1"/>
  <c r="AV690" i="1"/>
  <c r="AU690" i="1" s="1"/>
  <c r="AV692" i="1"/>
  <c r="AU692" i="1" s="1"/>
  <c r="AL692" i="1"/>
  <c r="AM692" i="1" s="1"/>
  <c r="AL659" i="1"/>
  <c r="AM659" i="1" s="1"/>
  <c r="AV659" i="1"/>
  <c r="AU659" i="1" s="1"/>
  <c r="AL674" i="1"/>
  <c r="AM674" i="1" s="1"/>
  <c r="AL677" i="1"/>
  <c r="AM677" i="1" s="1"/>
  <c r="AV677" i="1"/>
  <c r="AL684" i="1"/>
  <c r="AM684" i="1" s="1"/>
  <c r="AV684" i="1"/>
  <c r="AV686" i="1"/>
  <c r="AU686" i="1" s="1"/>
  <c r="AL687" i="1"/>
  <c r="AM687" i="1" s="1"/>
  <c r="AV687" i="1"/>
  <c r="AU687" i="1" s="1"/>
  <c r="AL676" i="1"/>
  <c r="AM676" i="1" s="1"/>
  <c r="AV676" i="1"/>
  <c r="AU676" i="1" s="1"/>
  <c r="AL671" i="1"/>
  <c r="AM671" i="1" s="1"/>
  <c r="AV671" i="1"/>
  <c r="AU671" i="1" s="1"/>
  <c r="AV672" i="1"/>
  <c r="AU672" i="1" s="1"/>
  <c r="AL672" i="1"/>
  <c r="AM672" i="1" s="1"/>
  <c r="AV675" i="1"/>
  <c r="AU675" i="1" s="1"/>
  <c r="AL675" i="1"/>
  <c r="AM675" i="1" s="1"/>
  <c r="AT673" i="1"/>
  <c r="AV673" i="1" s="1"/>
  <c r="AU673" i="1" s="1"/>
  <c r="AL663" i="1"/>
  <c r="AM663" i="1" s="1"/>
  <c r="AV663" i="1"/>
  <c r="AU663" i="1" s="1"/>
  <c r="AV664" i="1"/>
  <c r="AU664" i="1" s="1"/>
  <c r="AV654" i="1"/>
  <c r="AU654" i="1" s="1"/>
  <c r="AT638" i="1"/>
  <c r="AV638" i="1" s="1"/>
  <c r="AU638" i="1" s="1"/>
  <c r="AL603" i="1"/>
  <c r="AM603" i="1" s="1"/>
  <c r="AV625" i="1"/>
  <c r="AU625" i="1" s="1"/>
  <c r="AV626" i="1"/>
  <c r="AU626" i="1" s="1"/>
  <c r="AV590" i="1"/>
  <c r="AU590" i="1" s="1"/>
  <c r="AV628" i="1"/>
  <c r="AU628" i="1" s="1"/>
  <c r="AV653" i="1"/>
  <c r="AU653" i="1" s="1"/>
  <c r="AV661" i="1"/>
  <c r="AU661" i="1" s="1"/>
  <c r="AL661" i="1"/>
  <c r="AM661" i="1" s="1"/>
  <c r="AL665" i="1"/>
  <c r="AM665" i="1" s="1"/>
  <c r="AV665" i="1"/>
  <c r="AU665" i="1" s="1"/>
  <c r="AL641" i="1"/>
  <c r="AM641" i="1" s="1"/>
  <c r="AV641" i="1"/>
  <c r="AU641" i="1" s="1"/>
  <c r="AL608" i="1"/>
  <c r="AM608" i="1" s="1"/>
  <c r="AV608" i="1"/>
  <c r="AU608" i="1" s="1"/>
  <c r="AL637" i="1"/>
  <c r="AM637" i="1" s="1"/>
  <c r="AV637" i="1"/>
  <c r="AU637" i="1" s="1"/>
  <c r="AV643" i="1"/>
  <c r="AU643" i="1" s="1"/>
  <c r="AL643" i="1"/>
  <c r="AM643" i="1" s="1"/>
  <c r="AL649" i="1"/>
  <c r="AM649" i="1" s="1"/>
  <c r="AV649" i="1"/>
  <c r="AU649" i="1" s="1"/>
  <c r="AL629" i="1"/>
  <c r="AM629" i="1" s="1"/>
  <c r="AV629" i="1"/>
  <c r="AU629" i="1" s="1"/>
  <c r="AL633" i="1"/>
  <c r="AM633" i="1" s="1"/>
  <c r="AV633" i="1"/>
  <c r="AU633" i="1" s="1"/>
  <c r="AL607" i="1"/>
  <c r="AM607" i="1" s="1"/>
  <c r="AV607" i="1"/>
  <c r="AU607" i="1" s="1"/>
  <c r="AL621" i="1"/>
  <c r="AM621" i="1" s="1"/>
  <c r="AV621" i="1"/>
  <c r="AU621" i="1" s="1"/>
  <c r="AL601" i="1"/>
  <c r="AM601" i="1" s="1"/>
  <c r="AV601" i="1"/>
  <c r="AU601" i="1" s="1"/>
  <c r="AV613" i="1"/>
  <c r="AU613" i="1" s="1"/>
  <c r="AL613" i="1"/>
  <c r="AM613" i="1" s="1"/>
  <c r="AL619" i="1"/>
  <c r="AM619" i="1" s="1"/>
  <c r="AV619" i="1"/>
  <c r="AU619" i="1" s="1"/>
  <c r="AV599" i="1"/>
  <c r="AL599" i="1"/>
  <c r="AM599" i="1" s="1"/>
  <c r="AV600" i="1"/>
  <c r="AU600" i="1" s="1"/>
  <c r="AL600" i="1"/>
  <c r="AM600" i="1" s="1"/>
  <c r="AV598" i="1"/>
  <c r="AU598" i="1" s="1"/>
  <c r="AL598" i="1"/>
  <c r="AM598" i="1" s="1"/>
  <c r="AL602" i="1"/>
  <c r="AM602" i="1" s="1"/>
  <c r="AV602" i="1"/>
  <c r="AU602" i="1" s="1"/>
  <c r="AV609" i="1"/>
  <c r="AU609" i="1" s="1"/>
  <c r="AL609" i="1"/>
  <c r="AM609" i="1" s="1"/>
  <c r="AV610" i="1"/>
  <c r="AU610" i="1" s="1"/>
  <c r="AL610" i="1"/>
  <c r="AM610" i="1" s="1"/>
  <c r="AV612" i="1"/>
  <c r="AU612" i="1" s="1"/>
  <c r="AL612" i="1"/>
  <c r="AM612" i="1" s="1"/>
  <c r="J15" i="6"/>
  <c r="G15" i="6"/>
  <c r="AV586" i="1"/>
  <c r="AU586" i="1" s="1"/>
  <c r="AL586" i="1"/>
  <c r="AM586" i="1" s="1"/>
  <c r="AL585" i="1"/>
  <c r="AM585" i="1" s="1"/>
  <c r="AV585" i="1"/>
  <c r="AU585" i="1" s="1"/>
  <c r="AV587" i="1"/>
  <c r="AU587" i="1" s="1"/>
  <c r="AL587" i="1"/>
  <c r="AM587" i="1" s="1"/>
  <c r="AL590" i="1"/>
  <c r="AM590" i="1" s="1"/>
  <c r="AV592" i="1"/>
  <c r="AU592" i="1" s="1"/>
  <c r="AL592" i="1"/>
  <c r="AM592" i="1" s="1"/>
  <c r="AV593" i="1"/>
  <c r="AU593" i="1" s="1"/>
  <c r="AL593" i="1"/>
  <c r="AM593" i="1" s="1"/>
  <c r="AT594" i="1"/>
  <c r="AV594" i="1" s="1"/>
  <c r="AU594" i="1" s="1"/>
  <c r="AV583" i="1"/>
  <c r="AU583" i="1" s="1"/>
  <c r="AL583" i="1"/>
  <c r="AM583" i="1" s="1"/>
  <c r="AS567" i="1"/>
  <c r="AT567" i="1" s="1"/>
  <c r="AX10" i="6"/>
  <c r="AW10" i="6"/>
  <c r="AV14" i="6"/>
  <c r="AV13" i="6"/>
  <c r="AV12" i="6"/>
  <c r="AV11" i="6"/>
  <c r="AV10" i="6"/>
  <c r="AV9" i="6"/>
  <c r="AV8" i="6"/>
  <c r="AV7" i="6"/>
  <c r="AV6" i="6"/>
  <c r="AU14" i="6"/>
  <c r="AU13" i="6"/>
  <c r="AU12" i="6"/>
  <c r="AU11" i="6"/>
  <c r="AU10" i="6"/>
  <c r="AU9" i="6"/>
  <c r="AU8" i="6"/>
  <c r="AU7" i="6"/>
  <c r="AU6" i="6"/>
  <c r="AQ14" i="6"/>
  <c r="AQ13" i="6"/>
  <c r="AQ12" i="6"/>
  <c r="AQ11" i="6"/>
  <c r="AQ10" i="6"/>
  <c r="AQ9" i="6"/>
  <c r="AP14" i="6"/>
  <c r="AP13" i="6"/>
  <c r="AP12" i="6"/>
  <c r="AP11" i="6"/>
  <c r="AP10" i="6"/>
  <c r="AP9" i="6"/>
  <c r="AP8" i="6"/>
  <c r="AP6" i="6"/>
  <c r="AP7" i="6"/>
  <c r="AS12" i="6"/>
  <c r="AQ8" i="6"/>
  <c r="AQ7" i="6"/>
  <c r="D7" i="6"/>
  <c r="AQ6" i="6"/>
  <c r="AT578" i="1"/>
  <c r="Y575" i="1"/>
  <c r="Z575" i="1"/>
  <c r="Y576" i="1"/>
  <c r="Z576" i="1"/>
  <c r="Y577" i="1"/>
  <c r="Z577" i="1"/>
  <c r="Y578" i="1"/>
  <c r="Z578" i="1"/>
  <c r="V16" i="6"/>
  <c r="M12" i="6" a="1"/>
  <c r="M12" i="6" s="1"/>
  <c r="M11" i="6" a="1"/>
  <c r="M11" i="6" s="1"/>
  <c r="M7" i="6" a="1"/>
  <c r="M7" i="6" s="1"/>
  <c r="M8" i="6" a="1"/>
  <c r="M8" i="6" s="1"/>
  <c r="M9" i="6" a="1"/>
  <c r="M9" i="6" s="1"/>
  <c r="M10" i="6" a="1"/>
  <c r="M10" i="6" s="1"/>
  <c r="M13" i="6" a="1"/>
  <c r="M13" i="6" s="1"/>
  <c r="M14" i="6" a="1"/>
  <c r="M14" i="6" s="1"/>
  <c r="M6" i="6" a="1"/>
  <c r="M6" i="6" s="1"/>
  <c r="AS562" i="1"/>
  <c r="AS565" i="1"/>
  <c r="AT565" i="1" s="1"/>
  <c r="AT574" i="1"/>
  <c r="Z574" i="1"/>
  <c r="Y574" i="1"/>
  <c r="AT573" i="1"/>
  <c r="Z573" i="1"/>
  <c r="Y573" i="1"/>
  <c r="Z572" i="1"/>
  <c r="Z571" i="1"/>
  <c r="Z570" i="1"/>
  <c r="Z569" i="1"/>
  <c r="Z562" i="1"/>
  <c r="AL562" i="1" s="1"/>
  <c r="AM562" i="1" s="1"/>
  <c r="Y562" i="1"/>
  <c r="AS566" i="1"/>
  <c r="AT566" i="1" s="1"/>
  <c r="AS557" i="1"/>
  <c r="AT557" i="1" s="1"/>
  <c r="Z567" i="1"/>
  <c r="Y567" i="1"/>
  <c r="Z566" i="1"/>
  <c r="Y566" i="1"/>
  <c r="Z565" i="1"/>
  <c r="Y565" i="1"/>
  <c r="Z568" i="1"/>
  <c r="Z564" i="1"/>
  <c r="AT563" i="1"/>
  <c r="Z563" i="1"/>
  <c r="Y563" i="1"/>
  <c r="Y561" i="1"/>
  <c r="Z561" i="1"/>
  <c r="AS558" i="1"/>
  <c r="AT558" i="1" s="1"/>
  <c r="Z559" i="1"/>
  <c r="Y558" i="1"/>
  <c r="Z558" i="1"/>
  <c r="AS556" i="1"/>
  <c r="AT556" i="1" s="1"/>
  <c r="Y557" i="1"/>
  <c r="Z557" i="1"/>
  <c r="AS552" i="1"/>
  <c r="AT552" i="1" s="1"/>
  <c r="AS553" i="1"/>
  <c r="AT553" i="1" s="1"/>
  <c r="Z556" i="1"/>
  <c r="Y556" i="1"/>
  <c r="AT554" i="1"/>
  <c r="H10" i="6"/>
  <c r="D11" i="6"/>
  <c r="C11" i="6"/>
  <c r="G11" i="6" s="1"/>
  <c r="Y554" i="1"/>
  <c r="Z554" i="1"/>
  <c r="Z553" i="1"/>
  <c r="AL553" i="1" s="1"/>
  <c r="AM553" i="1" s="1"/>
  <c r="Y553" i="1"/>
  <c r="AT551" i="1"/>
  <c r="Y552" i="1"/>
  <c r="Z552" i="1"/>
  <c r="Y549" i="1"/>
  <c r="Y551" i="1"/>
  <c r="AT548" i="1"/>
  <c r="Z548" i="1"/>
  <c r="Y548" i="1"/>
  <c r="Z648" i="1"/>
  <c r="Y648" i="1"/>
  <c r="AT547" i="1"/>
  <c r="Y544" i="1"/>
  <c r="Z544" i="1"/>
  <c r="Y545" i="1"/>
  <c r="Z545" i="1"/>
  <c r="Y546" i="1"/>
  <c r="Z546" i="1"/>
  <c r="Y547" i="1"/>
  <c r="Z547" i="1"/>
  <c r="AS543" i="1"/>
  <c r="AT543" i="1" s="1"/>
  <c r="Z551" i="1"/>
  <c r="Z549" i="1"/>
  <c r="Z645" i="1"/>
  <c r="Y543" i="1"/>
  <c r="AT542" i="1"/>
  <c r="Z542" i="1"/>
  <c r="Y542" i="1"/>
  <c r="AT541" i="1"/>
  <c r="Y541" i="1"/>
  <c r="AT540" i="1"/>
  <c r="Y540" i="1"/>
  <c r="AT539" i="1"/>
  <c r="Z539" i="1"/>
  <c r="Y539" i="1"/>
  <c r="AT538" i="1"/>
  <c r="Y537" i="1"/>
  <c r="Z537" i="1"/>
  <c r="Y538" i="1"/>
  <c r="Z538" i="1"/>
  <c r="AT531" i="1"/>
  <c r="AV531" i="1"/>
  <c r="AU531" i="1" s="1"/>
  <c r="AT532" i="1"/>
  <c r="AV532" i="1"/>
  <c r="AU532" i="1" s="1"/>
  <c r="AT533" i="1"/>
  <c r="AV533" i="1"/>
  <c r="AU533" i="1" s="1"/>
  <c r="AT536" i="1"/>
  <c r="Z540" i="1"/>
  <c r="Z541" i="1"/>
  <c r="Y531" i="1"/>
  <c r="Y532" i="1"/>
  <c r="Y533" i="1"/>
  <c r="Y534" i="1"/>
  <c r="Y535" i="1"/>
  <c r="Y536" i="1"/>
  <c r="Z500" i="1"/>
  <c r="Z501" i="1"/>
  <c r="Z502" i="1"/>
  <c r="Z503" i="1"/>
  <c r="Z504" i="1"/>
  <c r="Z505" i="1"/>
  <c r="Z506" i="1"/>
  <c r="Z507" i="1"/>
  <c r="Z508" i="1"/>
  <c r="Z509" i="1"/>
  <c r="Z510" i="1"/>
  <c r="Z511" i="1"/>
  <c r="Z512" i="1"/>
  <c r="Z513" i="1"/>
  <c r="Z514" i="1"/>
  <c r="Z515" i="1"/>
  <c r="Z516" i="1"/>
  <c r="Z517" i="1"/>
  <c r="AL517" i="1" s="1"/>
  <c r="Z518" i="1"/>
  <c r="AL518" i="1" s="1"/>
  <c r="Z519" i="1"/>
  <c r="Z520" i="1"/>
  <c r="Z521" i="1"/>
  <c r="Z522" i="1"/>
  <c r="Z523" i="1"/>
  <c r="Z524" i="1"/>
  <c r="Z525" i="1"/>
  <c r="Z526" i="1"/>
  <c r="Z527" i="1"/>
  <c r="Z528" i="1"/>
  <c r="Z529" i="1"/>
  <c r="Z530" i="1"/>
  <c r="Z531" i="1"/>
  <c r="Z532" i="1"/>
  <c r="Z533" i="1"/>
  <c r="Z534" i="1"/>
  <c r="Z535" i="1"/>
  <c r="Z536" i="1"/>
  <c r="Z543" i="1"/>
  <c r="Z499" i="1"/>
  <c r="AL499" i="1" s="1"/>
  <c r="AM499" i="1" s="1"/>
  <c r="E12" i="6"/>
  <c r="AF6" i="6"/>
  <c r="AH6" i="6"/>
  <c r="AJ6" i="6"/>
  <c r="AF7" i="6"/>
  <c r="AH7" i="6"/>
  <c r="AJ7" i="6"/>
  <c r="AF8" i="6"/>
  <c r="AH8" i="6"/>
  <c r="AJ8" i="6"/>
  <c r="AF9" i="6"/>
  <c r="AH9" i="6"/>
  <c r="AJ9" i="6"/>
  <c r="AF10" i="6"/>
  <c r="AH10" i="6"/>
  <c r="AJ10" i="6"/>
  <c r="AS530" i="1"/>
  <c r="AT530" i="1" s="1"/>
  <c r="AT529" i="1"/>
  <c r="Y530" i="1"/>
  <c r="Y529" i="1"/>
  <c r="AS524" i="1"/>
  <c r="AT524" i="1" s="1"/>
  <c r="AS518" i="1"/>
  <c r="AT518" i="1" s="1"/>
  <c r="AS517" i="1"/>
  <c r="AT517" i="1" s="1"/>
  <c r="Y519" i="1"/>
  <c r="Y520" i="1"/>
  <c r="Y521" i="1"/>
  <c r="Y522" i="1"/>
  <c r="Y524" i="1"/>
  <c r="AS512" i="1"/>
  <c r="AT512" i="1" s="1"/>
  <c r="Y518" i="1"/>
  <c r="AT515" i="1"/>
  <c r="AS508" i="1"/>
  <c r="AT508" i="1" s="1"/>
  <c r="Y517" i="1"/>
  <c r="AT516" i="1"/>
  <c r="Y516" i="1"/>
  <c r="Y515" i="1"/>
  <c r="AS507" i="1"/>
  <c r="AT507" i="1" s="1"/>
  <c r="Y512" i="1"/>
  <c r="Y508" i="1"/>
  <c r="AT500" i="1"/>
  <c r="AT505" i="1"/>
  <c r="Y506" i="1"/>
  <c r="Y507" i="1"/>
  <c r="Y505" i="1"/>
  <c r="W314" i="2"/>
  <c r="AL496" i="1"/>
  <c r="AM496" i="1" s="1"/>
  <c r="AT494" i="1"/>
  <c r="AT495" i="1"/>
  <c r="AT499" i="1"/>
  <c r="Y500" i="1"/>
  <c r="Y499" i="1"/>
  <c r="W313" i="2"/>
  <c r="AS490" i="1"/>
  <c r="AT490" i="1" s="1"/>
  <c r="Z495" i="1"/>
  <c r="Y495" i="1"/>
  <c r="Z494" i="1"/>
  <c r="Y494" i="1"/>
  <c r="AS493" i="1"/>
  <c r="AT489" i="1"/>
  <c r="AT492" i="1"/>
  <c r="Z493" i="1"/>
  <c r="AL493" i="1" s="1"/>
  <c r="AM493" i="1" s="1"/>
  <c r="Y493" i="1"/>
  <c r="Z492" i="1"/>
  <c r="Y492" i="1"/>
  <c r="Z490" i="1"/>
  <c r="Y490" i="1"/>
  <c r="Z489" i="1"/>
  <c r="Y489" i="1"/>
  <c r="AT488" i="1"/>
  <c r="AQ314" i="2"/>
  <c r="AS314" i="2" s="1"/>
  <c r="AR314" i="2" s="1"/>
  <c r="AQ315" i="2"/>
  <c r="W315" i="2"/>
  <c r="V315" i="2"/>
  <c r="V314" i="2"/>
  <c r="Y482" i="1"/>
  <c r="Z482" i="1"/>
  <c r="Y483" i="1"/>
  <c r="Z483" i="1"/>
  <c r="Y484" i="1"/>
  <c r="Z484" i="1"/>
  <c r="Y485" i="1"/>
  <c r="Z485" i="1"/>
  <c r="Y486" i="1"/>
  <c r="Z486" i="1"/>
  <c r="Y487" i="1"/>
  <c r="Z487" i="1"/>
  <c r="Y488" i="1"/>
  <c r="Z488" i="1"/>
  <c r="AS477" i="1"/>
  <c r="AT477" i="1" s="1"/>
  <c r="Z470" i="1"/>
  <c r="AS470" i="1"/>
  <c r="AT470" i="1" s="1"/>
  <c r="AT480" i="1"/>
  <c r="Z480" i="1"/>
  <c r="AL480" i="1" s="1"/>
  <c r="AM480" i="1" s="1"/>
  <c r="Y480" i="1"/>
  <c r="AT481" i="1"/>
  <c r="Z481" i="1"/>
  <c r="AL481" i="1" s="1"/>
  <c r="AM481" i="1" s="1"/>
  <c r="Y481" i="1"/>
  <c r="AS471" i="1"/>
  <c r="AT471" i="1" s="1"/>
  <c r="AT475" i="1"/>
  <c r="AT476" i="1"/>
  <c r="Y477" i="1"/>
  <c r="Z477" i="1"/>
  <c r="Z476" i="1"/>
  <c r="Y476" i="1"/>
  <c r="Y472" i="1"/>
  <c r="Z472" i="1"/>
  <c r="Y473" i="1"/>
  <c r="Z473" i="1"/>
  <c r="Y474" i="1"/>
  <c r="Z474" i="1"/>
  <c r="Y475" i="1"/>
  <c r="Z475" i="1"/>
  <c r="Y471" i="1"/>
  <c r="Z471" i="1"/>
  <c r="Y2635" i="1"/>
  <c r="AT469" i="1"/>
  <c r="Y470" i="1"/>
  <c r="Y469" i="1"/>
  <c r="Z469" i="1"/>
  <c r="AT468" i="1"/>
  <c r="Z468" i="1"/>
  <c r="Z467" i="1"/>
  <c r="AL467" i="1" s="1"/>
  <c r="AM467" i="1" s="1"/>
  <c r="AT467" i="1"/>
  <c r="Y466" i="1"/>
  <c r="Z466" i="1"/>
  <c r="Y467" i="1"/>
  <c r="Y468" i="1"/>
  <c r="AT464" i="1"/>
  <c r="Y462" i="1"/>
  <c r="Z462" i="1"/>
  <c r="Y463" i="1"/>
  <c r="Z463" i="1"/>
  <c r="Y464" i="1"/>
  <c r="Z464" i="1"/>
  <c r="AS448" i="1"/>
  <c r="AT448" i="1" s="1"/>
  <c r="AT457" i="1"/>
  <c r="AT458" i="1"/>
  <c r="AT459" i="1"/>
  <c r="AT460" i="1"/>
  <c r="AT461" i="1"/>
  <c r="AS449" i="1"/>
  <c r="AT449" i="1" s="1"/>
  <c r="Y461" i="1"/>
  <c r="Z461" i="1"/>
  <c r="Z460" i="1"/>
  <c r="Y460" i="1"/>
  <c r="Y459" i="1"/>
  <c r="Z459" i="1"/>
  <c r="Y458" i="1"/>
  <c r="Z458" i="1"/>
  <c r="Y455" i="1"/>
  <c r="Z455" i="1"/>
  <c r="Y456" i="1"/>
  <c r="Z456" i="1"/>
  <c r="Y457" i="1"/>
  <c r="Z457" i="1"/>
  <c r="AT454" i="1"/>
  <c r="Z454" i="1"/>
  <c r="Z448" i="1"/>
  <c r="AL448" i="1" s="1"/>
  <c r="AM448" i="1" s="1"/>
  <c r="Z449" i="1"/>
  <c r="AL449" i="1" s="1"/>
  <c r="AM449" i="1" s="1"/>
  <c r="Z450" i="1"/>
  <c r="AL450" i="1" s="1"/>
  <c r="AM450" i="1" s="1"/>
  <c r="Z451" i="1"/>
  <c r="Z452" i="1"/>
  <c r="AL452" i="1" s="1"/>
  <c r="AM452" i="1" s="1"/>
  <c r="Z453" i="1"/>
  <c r="Z447" i="1"/>
  <c r="Y453" i="1"/>
  <c r="Y454" i="1"/>
  <c r="AT451" i="1"/>
  <c r="AT452" i="1"/>
  <c r="Y452" i="1"/>
  <c r="Y451" i="1"/>
  <c r="AS447" i="1"/>
  <c r="AT450" i="1"/>
  <c r="Y450" i="1"/>
  <c r="AQ305" i="2"/>
  <c r="AS305" i="2"/>
  <c r="AR305" i="2" s="1"/>
  <c r="AQ306" i="2"/>
  <c r="AS306" i="2"/>
  <c r="AR306" i="2" s="1"/>
  <c r="AQ307" i="2"/>
  <c r="AS307" i="2"/>
  <c r="AR307" i="2" s="1"/>
  <c r="AQ308" i="2"/>
  <c r="AS308" i="2"/>
  <c r="AR308" i="2" s="1"/>
  <c r="AQ309" i="2"/>
  <c r="AS309" i="2"/>
  <c r="AR309" i="2" s="1"/>
  <c r="AQ310" i="2"/>
  <c r="AS310" i="2"/>
  <c r="AR310" i="2" s="1"/>
  <c r="AQ311" i="2"/>
  <c r="AS311" i="2"/>
  <c r="AR311" i="2" s="1"/>
  <c r="AQ313" i="2"/>
  <c r="Y449" i="1"/>
  <c r="Y448" i="1"/>
  <c r="AT447" i="1"/>
  <c r="Y439" i="1"/>
  <c r="Z439" i="1"/>
  <c r="Y440" i="1"/>
  <c r="Z440" i="1"/>
  <c r="Y441" i="1"/>
  <c r="Z441" i="1"/>
  <c r="Y442" i="1"/>
  <c r="Z442" i="1"/>
  <c r="Y443" i="1"/>
  <c r="Z443" i="1"/>
  <c r="Y445" i="1"/>
  <c r="Z445" i="1"/>
  <c r="Y446" i="1"/>
  <c r="Z446" i="1"/>
  <c r="Y447" i="1"/>
  <c r="V309" i="2"/>
  <c r="W309" i="2"/>
  <c r="V310" i="2"/>
  <c r="W310" i="2"/>
  <c r="V311" i="2"/>
  <c r="W311" i="2"/>
  <c r="V313" i="2"/>
  <c r="AS438" i="1"/>
  <c r="AT438" i="1" s="1"/>
  <c r="AT436" i="1"/>
  <c r="AV436" i="1"/>
  <c r="AU436" i="1" s="1"/>
  <c r="AT437" i="1"/>
  <c r="AV437" i="1"/>
  <c r="AU437" i="1" s="1"/>
  <c r="AS434" i="1"/>
  <c r="W308" i="2"/>
  <c r="Z438" i="1"/>
  <c r="W302" i="2"/>
  <c r="W303" i="2"/>
  <c r="W304" i="2"/>
  <c r="W305" i="2"/>
  <c r="W306" i="2"/>
  <c r="V305" i="2"/>
  <c r="V306" i="2"/>
  <c r="V308" i="2"/>
  <c r="Y438" i="1"/>
  <c r="AT435" i="1"/>
  <c r="Y435" i="1"/>
  <c r="Z435" i="1"/>
  <c r="Y434" i="1"/>
  <c r="Z434" i="1"/>
  <c r="AT433" i="1"/>
  <c r="Y433" i="1"/>
  <c r="Z433" i="1"/>
  <c r="AT432" i="1"/>
  <c r="Y432" i="1"/>
  <c r="Z432" i="1"/>
  <c r="AS426" i="1"/>
  <c r="AQ304" i="2"/>
  <c r="AS304" i="2" s="1"/>
  <c r="AR304" i="2" s="1"/>
  <c r="V304" i="2"/>
  <c r="AT428" i="1"/>
  <c r="AT429" i="1"/>
  <c r="AT430" i="1"/>
  <c r="AT431" i="1"/>
  <c r="Y429" i="1"/>
  <c r="Z429" i="1"/>
  <c r="Y430" i="1"/>
  <c r="Z430" i="1"/>
  <c r="Y431" i="1"/>
  <c r="Z431" i="1"/>
  <c r="Y427" i="1"/>
  <c r="Z427" i="1"/>
  <c r="Y428" i="1"/>
  <c r="Z428" i="1"/>
  <c r="Y426" i="1"/>
  <c r="Z426" i="1"/>
  <c r="AT424" i="1"/>
  <c r="AV424" i="1"/>
  <c r="AU424" i="1" s="1"/>
  <c r="AT425" i="1"/>
  <c r="Y424" i="1"/>
  <c r="Z424" i="1"/>
  <c r="Y425" i="1"/>
  <c r="Z425" i="1"/>
  <c r="AT423" i="1"/>
  <c r="Y423" i="1"/>
  <c r="Z423" i="1"/>
  <c r="AS421" i="1"/>
  <c r="AT421" i="1"/>
  <c r="AS422" i="1"/>
  <c r="Y422" i="1"/>
  <c r="Z422" i="1"/>
  <c r="AL422" i="1" s="1"/>
  <c r="AM422" i="1" s="1"/>
  <c r="Y421" i="1"/>
  <c r="Z421" i="1"/>
  <c r="AT420" i="1"/>
  <c r="Z420" i="1"/>
  <c r="AL420" i="1" s="1"/>
  <c r="AM420" i="1" s="1"/>
  <c r="Y420" i="1"/>
  <c r="AT419" i="1"/>
  <c r="Z419" i="1"/>
  <c r="AL419" i="1" s="1"/>
  <c r="AM419" i="1" s="1"/>
  <c r="Y419" i="1"/>
  <c r="AT418" i="1"/>
  <c r="Z418" i="1"/>
  <c r="AL418" i="1" s="1"/>
  <c r="AM418" i="1" s="1"/>
  <c r="Y418" i="1"/>
  <c r="AT417" i="1"/>
  <c r="Z417" i="1"/>
  <c r="AL417" i="1" s="1"/>
  <c r="AM417" i="1" s="1"/>
  <c r="Y417" i="1"/>
  <c r="AT416" i="1"/>
  <c r="Z416" i="1"/>
  <c r="AL416" i="1" s="1"/>
  <c r="AM416" i="1" s="1"/>
  <c r="Y416" i="1"/>
  <c r="AT415" i="1"/>
  <c r="Z415" i="1"/>
  <c r="AL415" i="1" s="1"/>
  <c r="AM415" i="1" s="1"/>
  <c r="Y415" i="1"/>
  <c r="AT413" i="1"/>
  <c r="AT414" i="1"/>
  <c r="Y414" i="1"/>
  <c r="Z414" i="1"/>
  <c r="AT412" i="1"/>
  <c r="AS411" i="1"/>
  <c r="AT411" i="1" s="1"/>
  <c r="Y413" i="1"/>
  <c r="Z413" i="1"/>
  <c r="Y412" i="1"/>
  <c r="Z412" i="1"/>
  <c r="Y411" i="1"/>
  <c r="Z411" i="1"/>
  <c r="AQ302" i="2"/>
  <c r="AS302" i="2" s="1"/>
  <c r="AR302" i="2" s="1"/>
  <c r="AQ303" i="2"/>
  <c r="V303" i="2"/>
  <c r="AT409" i="1"/>
  <c r="AT410" i="1"/>
  <c r="Y410" i="1"/>
  <c r="Z410" i="1"/>
  <c r="Y409" i="1"/>
  <c r="Z409" i="1"/>
  <c r="AT408" i="1"/>
  <c r="Y408" i="1"/>
  <c r="Z408" i="1"/>
  <c r="AS406" i="1"/>
  <c r="AT406" i="1" s="1"/>
  <c r="V301" i="2"/>
  <c r="W301" i="2"/>
  <c r="V302" i="2"/>
  <c r="AT407" i="1"/>
  <c r="Y407" i="1"/>
  <c r="Z407" i="1"/>
  <c r="Y406" i="1"/>
  <c r="Z406" i="1"/>
  <c r="AT404" i="1"/>
  <c r="AT405" i="1"/>
  <c r="Y405" i="1"/>
  <c r="Z405" i="1"/>
  <c r="Z404" i="1"/>
  <c r="Y404" i="1"/>
  <c r="AT402" i="1"/>
  <c r="AS403" i="1"/>
  <c r="AD403" i="1"/>
  <c r="Y403" i="1"/>
  <c r="Z403" i="1"/>
  <c r="AL403" i="1" s="1"/>
  <c r="AM403" i="1" s="1"/>
  <c r="Y400" i="1"/>
  <c r="Z400" i="1"/>
  <c r="Y401" i="1"/>
  <c r="Z401" i="1"/>
  <c r="Y402" i="1"/>
  <c r="Z402" i="1"/>
  <c r="AT399" i="1"/>
  <c r="Y399" i="1"/>
  <c r="Z399" i="1"/>
  <c r="Z398" i="1"/>
  <c r="AT398" i="1"/>
  <c r="Y397" i="1"/>
  <c r="Z397" i="1"/>
  <c r="Y398" i="1"/>
  <c r="AT396" i="1"/>
  <c r="Z396" i="1"/>
  <c r="Y396" i="1"/>
  <c r="AT394" i="1"/>
  <c r="Y394" i="1"/>
  <c r="Z394" i="1"/>
  <c r="AS392" i="1"/>
  <c r="AT392" i="1" s="1"/>
  <c r="Z392" i="1"/>
  <c r="Y392" i="1"/>
  <c r="AT393" i="1"/>
  <c r="Z393" i="1"/>
  <c r="Y393" i="1"/>
  <c r="AT389" i="1"/>
  <c r="AT390" i="1"/>
  <c r="Y390" i="1"/>
  <c r="Z390" i="1"/>
  <c r="Z389" i="1"/>
  <c r="Y389" i="1"/>
  <c r="AT388" i="1"/>
  <c r="Z388" i="1"/>
  <c r="Y388" i="1"/>
  <c r="AT387" i="1"/>
  <c r="Y387" i="1"/>
  <c r="Z387" i="1"/>
  <c r="AT385" i="1"/>
  <c r="AT386" i="1"/>
  <c r="Z384" i="1"/>
  <c r="Z385" i="1"/>
  <c r="Z386" i="1"/>
  <c r="Z383" i="1"/>
  <c r="Y386" i="1"/>
  <c r="Y384" i="1"/>
  <c r="Y385" i="1"/>
  <c r="W408" i="2"/>
  <c r="AQ301" i="2"/>
  <c r="Z380" i="1"/>
  <c r="Z382" i="1"/>
  <c r="Z381" i="1"/>
  <c r="AT383" i="1"/>
  <c r="Y383" i="1"/>
  <c r="AT380" i="1"/>
  <c r="AT381" i="1"/>
  <c r="AT382" i="1"/>
  <c r="Y382" i="1"/>
  <c r="Y381" i="1"/>
  <c r="AT378" i="1"/>
  <c r="Y379" i="1"/>
  <c r="Z379" i="1"/>
  <c r="Y380" i="1"/>
  <c r="Y377" i="1"/>
  <c r="Z377" i="1"/>
  <c r="Y378" i="1"/>
  <c r="Z378" i="1"/>
  <c r="AT376" i="1"/>
  <c r="Z376" i="1"/>
  <c r="Y376" i="1"/>
  <c r="AT375" i="1"/>
  <c r="Z375" i="1"/>
  <c r="Y375" i="1"/>
  <c r="AT374" i="1"/>
  <c r="Z374" i="1"/>
  <c r="Y374" i="1"/>
  <c r="AT373" i="1"/>
  <c r="Z373" i="1"/>
  <c r="Y373" i="1"/>
  <c r="Y372" i="1"/>
  <c r="AT372" i="1"/>
  <c r="Z372" i="1"/>
  <c r="AT371" i="1"/>
  <c r="Y369" i="1"/>
  <c r="Z369" i="1"/>
  <c r="Y370" i="1"/>
  <c r="Z370" i="1"/>
  <c r="Y371" i="1"/>
  <c r="Z371" i="1"/>
  <c r="AT368" i="1"/>
  <c r="Y368" i="1"/>
  <c r="Z368" i="1"/>
  <c r="AT367" i="1"/>
  <c r="Z367" i="1"/>
  <c r="Y367" i="1"/>
  <c r="AT366" i="1"/>
  <c r="Z366" i="1"/>
  <c r="Y366" i="1"/>
  <c r="AT365" i="1"/>
  <c r="Z365" i="1"/>
  <c r="Y365" i="1"/>
  <c r="AT364" i="1"/>
  <c r="Y364" i="1"/>
  <c r="Z364" i="1"/>
  <c r="AT363" i="1"/>
  <c r="Y358" i="1"/>
  <c r="Z358" i="1"/>
  <c r="Y359" i="1"/>
  <c r="Z359" i="1"/>
  <c r="Y360" i="1"/>
  <c r="Z360" i="1"/>
  <c r="Y361" i="1"/>
  <c r="Z361" i="1"/>
  <c r="Y362" i="1"/>
  <c r="Z362" i="1"/>
  <c r="Y363" i="1"/>
  <c r="Z363" i="1"/>
  <c r="AT357" i="1"/>
  <c r="Z357" i="1"/>
  <c r="Y357" i="1"/>
  <c r="AT356" i="1"/>
  <c r="Y356" i="1"/>
  <c r="Z356" i="1"/>
  <c r="Y355" i="1"/>
  <c r="AT355" i="1"/>
  <c r="Z355" i="1"/>
  <c r="Y350" i="1"/>
  <c r="Z350" i="1"/>
  <c r="Y351" i="1"/>
  <c r="Z351" i="1"/>
  <c r="Y352" i="1"/>
  <c r="Z352" i="1"/>
  <c r="Y353" i="1"/>
  <c r="Z353" i="1"/>
  <c r="Y354" i="1"/>
  <c r="Z354" i="1"/>
  <c r="AT345" i="1"/>
  <c r="AT349" i="1"/>
  <c r="Z349" i="1"/>
  <c r="Y349" i="1"/>
  <c r="AT348" i="1"/>
  <c r="Z348" i="1"/>
  <c r="AL348" i="1" s="1"/>
  <c r="Y348" i="1"/>
  <c r="AT347" i="1"/>
  <c r="Y346" i="1"/>
  <c r="Z346" i="1"/>
  <c r="Y347" i="1"/>
  <c r="Z347" i="1"/>
  <c r="Y342" i="1"/>
  <c r="Z342" i="1"/>
  <c r="AL342" i="1" s="1"/>
  <c r="AM342" i="1" s="1"/>
  <c r="AT342" i="1"/>
  <c r="AV342" i="1" s="1"/>
  <c r="AU342" i="1" s="1"/>
  <c r="AT344" i="1"/>
  <c r="AT343" i="1"/>
  <c r="Z345" i="1"/>
  <c r="Y345" i="1"/>
  <c r="Y344" i="1"/>
  <c r="Z344" i="1"/>
  <c r="Y343" i="1"/>
  <c r="Z343" i="1"/>
  <c r="AQ299" i="2"/>
  <c r="AS299" i="2"/>
  <c r="AR299" i="2" s="1"/>
  <c r="AQ300" i="2"/>
  <c r="V299" i="2"/>
  <c r="W299" i="2"/>
  <c r="V300" i="2"/>
  <c r="W300" i="2"/>
  <c r="AT337" i="1"/>
  <c r="Z337" i="1"/>
  <c r="Y337" i="1"/>
  <c r="AT329" i="1"/>
  <c r="AT335" i="1"/>
  <c r="AT336" i="1"/>
  <c r="Y336" i="1"/>
  <c r="Z336" i="1"/>
  <c r="Z335" i="1"/>
  <c r="Y330" i="1"/>
  <c r="Z330" i="1"/>
  <c r="Y331" i="1"/>
  <c r="Z331" i="1"/>
  <c r="Y332" i="1"/>
  <c r="Z332" i="1"/>
  <c r="Y333" i="1"/>
  <c r="Z333" i="1"/>
  <c r="Y334" i="1"/>
  <c r="Z334" i="1"/>
  <c r="Y335" i="1"/>
  <c r="Z329" i="1"/>
  <c r="Y329" i="1"/>
  <c r="Z326" i="1"/>
  <c r="AL326" i="1" s="1"/>
  <c r="AM326" i="1" s="1"/>
  <c r="Z325" i="1"/>
  <c r="AL325" i="1" s="1"/>
  <c r="AM325" i="1" s="1"/>
  <c r="AT323" i="1"/>
  <c r="AT308" i="1"/>
  <c r="Z316" i="1"/>
  <c r="Z317" i="1"/>
  <c r="Z318" i="1"/>
  <c r="Z320" i="1"/>
  <c r="AL320" i="1" s="1"/>
  <c r="AM320" i="1" s="1"/>
  <c r="Z321" i="1"/>
  <c r="AL321" i="1" s="1"/>
  <c r="Z323" i="1"/>
  <c r="Z324" i="1"/>
  <c r="AL324" i="1" s="1"/>
  <c r="AM324" i="1" s="1"/>
  <c r="AT326" i="1"/>
  <c r="Y326" i="1"/>
  <c r="AT316" i="1"/>
  <c r="AT325" i="1"/>
  <c r="Y325" i="1"/>
  <c r="Z322" i="1"/>
  <c r="AL322" i="1" s="1"/>
  <c r="AM322" i="1" s="1"/>
  <c r="AT324" i="1"/>
  <c r="Y324" i="1"/>
  <c r="Y323" i="1"/>
  <c r="AT322" i="1"/>
  <c r="Y322" i="1"/>
  <c r="AT318" i="1"/>
  <c r="AT320" i="1"/>
  <c r="AT321" i="1"/>
  <c r="Y321" i="1"/>
  <c r="Y320" i="1"/>
  <c r="AA298" i="2"/>
  <c r="AQ298" i="2" s="1"/>
  <c r="V298" i="2"/>
  <c r="W298" i="2"/>
  <c r="AT317" i="1"/>
  <c r="AQ295" i="2"/>
  <c r="AT307" i="1"/>
  <c r="V297" i="2"/>
  <c r="W297" i="2"/>
  <c r="Y318" i="1"/>
  <c r="Y317" i="1"/>
  <c r="Y316" i="1"/>
  <c r="AT314" i="1"/>
  <c r="Y309" i="1"/>
  <c r="Z309" i="1"/>
  <c r="Y310" i="1"/>
  <c r="Z310" i="1"/>
  <c r="Y311" i="1"/>
  <c r="Z311" i="1"/>
  <c r="Y312" i="1"/>
  <c r="Z312" i="1"/>
  <c r="Y313" i="1"/>
  <c r="Z313" i="1"/>
  <c r="Y314" i="1"/>
  <c r="Z314" i="1"/>
  <c r="Y308" i="1"/>
  <c r="Z308" i="1"/>
  <c r="Y307" i="1"/>
  <c r="Z307" i="1"/>
  <c r="Z304" i="1"/>
  <c r="Z306" i="1"/>
  <c r="AT306" i="1"/>
  <c r="Y305" i="1"/>
  <c r="Z305" i="1"/>
  <c r="Y306" i="1"/>
  <c r="V291" i="2"/>
  <c r="W291" i="2"/>
  <c r="V292" i="2"/>
  <c r="W292" i="2"/>
  <c r="V293" i="2"/>
  <c r="W293" i="2"/>
  <c r="V295" i="2"/>
  <c r="W295" i="2"/>
  <c r="AT304" i="1"/>
  <c r="Z289" i="1"/>
  <c r="AS289" i="1"/>
  <c r="AT289" i="1" s="1"/>
  <c r="Y300" i="1"/>
  <c r="Z300" i="1"/>
  <c r="Y301" i="1"/>
  <c r="Z301" i="1"/>
  <c r="Y304" i="1"/>
  <c r="Z290" i="1"/>
  <c r="AL290" i="1" s="1"/>
  <c r="AM290" i="1" s="1"/>
  <c r="D14" i="6"/>
  <c r="V14" i="6" s="1"/>
  <c r="D13" i="6"/>
  <c r="V13" i="6" s="1"/>
  <c r="D12" i="6"/>
  <c r="V12" i="6" s="1"/>
  <c r="C13" i="6"/>
  <c r="C12" i="6"/>
  <c r="G12" i="6" s="1"/>
  <c r="D10" i="6"/>
  <c r="D9" i="6"/>
  <c r="C10" i="6"/>
  <c r="C9" i="6"/>
  <c r="D8" i="6"/>
  <c r="C6" i="6"/>
  <c r="C8" i="6"/>
  <c r="J8" i="6" s="1"/>
  <c r="C7" i="6"/>
  <c r="AT299" i="1"/>
  <c r="Y299" i="1"/>
  <c r="Z299" i="1"/>
  <c r="AT298" i="1"/>
  <c r="Y297" i="1"/>
  <c r="Z297" i="1"/>
  <c r="Y298" i="1"/>
  <c r="Z298" i="1"/>
  <c r="Z293" i="1"/>
  <c r="Z296" i="1"/>
  <c r="AT296" i="1"/>
  <c r="Y294" i="1"/>
  <c r="Z294" i="1"/>
  <c r="Y296" i="1"/>
  <c r="AT293" i="1"/>
  <c r="Y292" i="1"/>
  <c r="Z292" i="1"/>
  <c r="Y293" i="1"/>
  <c r="AT288" i="1"/>
  <c r="AT290" i="1"/>
  <c r="AT291" i="1"/>
  <c r="Y291" i="1"/>
  <c r="Z291" i="1"/>
  <c r="Y290" i="1"/>
  <c r="Y289" i="1"/>
  <c r="Y288" i="1"/>
  <c r="Z288" i="1"/>
  <c r="AT287" i="1"/>
  <c r="Y287" i="1"/>
  <c r="Z287" i="1"/>
  <c r="Z286" i="1"/>
  <c r="Z285" i="1"/>
  <c r="AT286" i="1"/>
  <c r="Y286" i="1"/>
  <c r="AT285" i="1"/>
  <c r="Y285" i="1"/>
  <c r="AT284" i="1"/>
  <c r="AT283" i="1"/>
  <c r="AT282" i="1"/>
  <c r="Y278" i="1"/>
  <c r="Z278" i="1"/>
  <c r="Y279" i="1"/>
  <c r="Z279" i="1"/>
  <c r="Y280" i="1"/>
  <c r="Z280" i="1"/>
  <c r="Y281" i="1"/>
  <c r="Z281" i="1"/>
  <c r="Y282" i="1"/>
  <c r="Z282" i="1"/>
  <c r="Y283" i="1"/>
  <c r="Z283" i="1"/>
  <c r="Y284" i="1"/>
  <c r="Z284" i="1"/>
  <c r="AT274" i="1"/>
  <c r="AT275" i="1"/>
  <c r="AT276" i="1"/>
  <c r="AT277" i="1"/>
  <c r="Y277" i="1"/>
  <c r="Z277" i="1"/>
  <c r="Z276" i="1"/>
  <c r="Y276" i="1"/>
  <c r="Y275" i="1"/>
  <c r="Z275" i="1"/>
  <c r="Z274" i="1"/>
  <c r="Y274" i="1"/>
  <c r="AT265" i="1"/>
  <c r="AT266" i="1"/>
  <c r="AT267" i="1"/>
  <c r="AT272" i="1"/>
  <c r="AT273" i="1"/>
  <c r="Y273" i="1"/>
  <c r="Z273" i="1"/>
  <c r="Y268" i="1"/>
  <c r="Z268" i="1"/>
  <c r="Y269" i="1"/>
  <c r="Z269" i="1"/>
  <c r="Y270" i="1"/>
  <c r="Z270" i="1"/>
  <c r="Y271" i="1"/>
  <c r="Z271" i="1"/>
  <c r="Y272" i="1"/>
  <c r="Z272" i="1"/>
  <c r="AL272" i="1" s="1"/>
  <c r="AS254" i="1"/>
  <c r="AT254" i="1" s="1"/>
  <c r="Z254" i="1"/>
  <c r="AL254" i="1" s="1"/>
  <c r="AM254" i="1" s="1"/>
  <c r="Y267" i="1"/>
  <c r="Z267" i="1"/>
  <c r="Y266" i="1"/>
  <c r="Z266" i="1"/>
  <c r="AT262" i="1"/>
  <c r="Y265" i="1"/>
  <c r="Z265" i="1"/>
  <c r="AT263" i="1"/>
  <c r="Z263" i="1"/>
  <c r="AL263" i="1" s="1"/>
  <c r="Y263" i="1"/>
  <c r="Y261" i="1"/>
  <c r="Z261" i="1"/>
  <c r="Y262" i="1"/>
  <c r="Z262" i="1"/>
  <c r="AT260" i="1"/>
  <c r="Z260" i="1"/>
  <c r="Y260" i="1"/>
  <c r="AT258" i="1"/>
  <c r="AT259" i="1"/>
  <c r="Y259" i="1"/>
  <c r="Z259" i="1"/>
  <c r="Y258" i="1"/>
  <c r="Z258" i="1"/>
  <c r="Z248" i="1"/>
  <c r="AS248" i="1"/>
  <c r="AT248" i="1" s="1"/>
  <c r="AT251" i="1"/>
  <c r="AT252" i="1"/>
  <c r="AT253" i="1"/>
  <c r="AT255" i="1"/>
  <c r="AT256" i="1"/>
  <c r="AT257" i="1"/>
  <c r="Z245" i="1"/>
  <c r="Z246" i="1"/>
  <c r="AL246" i="1" s="1"/>
  <c r="AM246" i="1" s="1"/>
  <c r="Z247" i="1"/>
  <c r="Z249" i="1"/>
  <c r="Z250" i="1"/>
  <c r="Z251" i="1"/>
  <c r="Z252" i="1"/>
  <c r="Z253" i="1"/>
  <c r="Z255" i="1"/>
  <c r="AL255" i="1" s="1"/>
  <c r="AM255" i="1" s="1"/>
  <c r="Z256" i="1"/>
  <c r="AL256" i="1" s="1"/>
  <c r="AM256" i="1" s="1"/>
  <c r="Z257" i="1"/>
  <c r="AL257" i="1" s="1"/>
  <c r="AM257" i="1" s="1"/>
  <c r="Y245" i="1"/>
  <c r="Y246" i="1"/>
  <c r="Y247" i="1"/>
  <c r="Y248" i="1"/>
  <c r="Y249" i="1"/>
  <c r="Y250" i="1"/>
  <c r="Y251" i="1"/>
  <c r="Y252" i="1"/>
  <c r="Y253" i="1"/>
  <c r="Y254" i="1"/>
  <c r="Y255" i="1"/>
  <c r="Y256" i="1"/>
  <c r="Y257" i="1"/>
  <c r="Y244" i="1"/>
  <c r="Z244" i="1"/>
  <c r="AL244" i="1" s="1"/>
  <c r="AM244" i="1" s="1"/>
  <c r="AT250" i="1"/>
  <c r="AT246" i="1"/>
  <c r="AT247" i="1"/>
  <c r="AS244" i="1"/>
  <c r="AT244" i="1" s="1"/>
  <c r="Z18" i="1"/>
  <c r="Q360" i="2"/>
  <c r="Q359" i="2"/>
  <c r="Q358" i="2"/>
  <c r="Q356" i="2"/>
  <c r="Q355" i="2"/>
  <c r="Q354" i="2"/>
  <c r="Q352" i="2"/>
  <c r="Q351" i="2"/>
  <c r="Q350" i="2"/>
  <c r="AN348" i="2"/>
  <c r="AN347" i="2"/>
  <c r="P347" i="2"/>
  <c r="P346" i="2"/>
  <c r="P345" i="2"/>
  <c r="P344" i="2"/>
  <c r="AN343" i="2"/>
  <c r="Z343" i="2"/>
  <c r="Y343" i="2"/>
  <c r="X343" i="2"/>
  <c r="P343" i="2"/>
  <c r="N343" i="2"/>
  <c r="M343" i="2"/>
  <c r="L343" i="2"/>
  <c r="AN342" i="2"/>
  <c r="Z342" i="2"/>
  <c r="Y342" i="2"/>
  <c r="X342" i="2"/>
  <c r="T342" i="2"/>
  <c r="P342" i="2"/>
  <c r="N342" i="2"/>
  <c r="M342" i="2"/>
  <c r="L342" i="2"/>
  <c r="Z341" i="2"/>
  <c r="Y341" i="2"/>
  <c r="X341" i="2"/>
  <c r="T341" i="2"/>
  <c r="P341" i="2"/>
  <c r="N341" i="2"/>
  <c r="N345" i="2" s="1"/>
  <c r="M341" i="2"/>
  <c r="M345" i="2" s="1"/>
  <c r="L341" i="2"/>
  <c r="L345" i="2" s="1"/>
  <c r="Z340" i="2"/>
  <c r="Y340" i="2"/>
  <c r="X340" i="2"/>
  <c r="T340" i="2"/>
  <c r="P340" i="2"/>
  <c r="N340" i="2"/>
  <c r="M340" i="2"/>
  <c r="L340" i="2"/>
  <c r="L344" i="2" s="1"/>
  <c r="Z339" i="2"/>
  <c r="Y339" i="2"/>
  <c r="X339" i="2"/>
  <c r="T339" i="2"/>
  <c r="P339" i="2"/>
  <c r="AN338" i="2"/>
  <c r="Z338" i="2"/>
  <c r="Y338" i="2"/>
  <c r="X338" i="2"/>
  <c r="T338" i="2"/>
  <c r="N338" i="2"/>
  <c r="N339" i="2" s="1"/>
  <c r="M338" i="2"/>
  <c r="M339" i="2" s="1"/>
  <c r="L338" i="2"/>
  <c r="AN336" i="2"/>
  <c r="Z336" i="2"/>
  <c r="Y336" i="2"/>
  <c r="X336" i="2"/>
  <c r="T336" i="2"/>
  <c r="N336" i="2"/>
  <c r="M336" i="2"/>
  <c r="L336" i="2"/>
  <c r="AQ335" i="2"/>
  <c r="W335" i="2"/>
  <c r="V335" i="2"/>
  <c r="W290" i="2"/>
  <c r="V290" i="2"/>
  <c r="AQ289" i="2"/>
  <c r="W289" i="2"/>
  <c r="V289" i="2"/>
  <c r="AQ288" i="2"/>
  <c r="W288" i="2"/>
  <c r="V288" i="2"/>
  <c r="AQ287" i="2"/>
  <c r="W287" i="2"/>
  <c r="V287" i="2"/>
  <c r="AQ286" i="2"/>
  <c r="W286" i="2"/>
  <c r="V286" i="2"/>
  <c r="AQ285" i="2"/>
  <c r="W285" i="2"/>
  <c r="V285" i="2"/>
  <c r="AQ284" i="2"/>
  <c r="W284" i="2"/>
  <c r="V284" i="2"/>
  <c r="AS283" i="2"/>
  <c r="AR283" i="2" s="1"/>
  <c r="AQ283" i="2"/>
  <c r="W283" i="2"/>
  <c r="V283" i="2"/>
  <c r="AS282" i="2"/>
  <c r="AR282" i="2" s="1"/>
  <c r="AQ282" i="2"/>
  <c r="W282" i="2"/>
  <c r="V282" i="2"/>
  <c r="AQ281" i="2"/>
  <c r="W281" i="2"/>
  <c r="V281" i="2"/>
  <c r="AQ280" i="2"/>
  <c r="W280" i="2"/>
  <c r="V280" i="2"/>
  <c r="AQ279" i="2"/>
  <c r="W279" i="2"/>
  <c r="V279" i="2"/>
  <c r="AS278" i="2"/>
  <c r="AQ278" i="2"/>
  <c r="AS277" i="2"/>
  <c r="AR277" i="2" s="1"/>
  <c r="AQ277" i="2"/>
  <c r="W277" i="2"/>
  <c r="V277" i="2"/>
  <c r="AS276" i="2"/>
  <c r="AR276" i="2" s="1"/>
  <c r="AQ276" i="2"/>
  <c r="W276" i="2"/>
  <c r="V276" i="2"/>
  <c r="AQ275" i="2"/>
  <c r="W275" i="2"/>
  <c r="V275" i="2"/>
  <c r="AQ274" i="2"/>
  <c r="W274" i="2"/>
  <c r="V274" i="2"/>
  <c r="AQ273" i="2"/>
  <c r="W273" i="2"/>
  <c r="V273" i="2"/>
  <c r="AQ272" i="2"/>
  <c r="W272" i="2"/>
  <c r="V272" i="2"/>
  <c r="AQ271" i="2"/>
  <c r="W271" i="2"/>
  <c r="V271" i="2"/>
  <c r="AQ270" i="2"/>
  <c r="W270" i="2"/>
  <c r="V270" i="2"/>
  <c r="AS269" i="2"/>
  <c r="AQ269" i="2"/>
  <c r="W269" i="2"/>
  <c r="V269" i="2"/>
  <c r="AQ268" i="2"/>
  <c r="W268" i="2"/>
  <c r="V268" i="2"/>
  <c r="AQ267" i="2"/>
  <c r="W267" i="2"/>
  <c r="V267" i="2"/>
  <c r="AQ266" i="2"/>
  <c r="W266" i="2"/>
  <c r="V266" i="2"/>
  <c r="AS265" i="2"/>
  <c r="AR265" i="2" s="1"/>
  <c r="AQ265" i="2"/>
  <c r="W265" i="2"/>
  <c r="V265" i="2"/>
  <c r="W264" i="2"/>
  <c r="V264" i="2"/>
  <c r="AQ263" i="2"/>
  <c r="W263" i="2"/>
  <c r="V263" i="2"/>
  <c r="AS262" i="2"/>
  <c r="AR262" i="2" s="1"/>
  <c r="AQ262" i="2"/>
  <c r="W262" i="2"/>
  <c r="V262" i="2"/>
  <c r="AQ261" i="2"/>
  <c r="W261" i="2"/>
  <c r="V261" i="2"/>
  <c r="AS260" i="2"/>
  <c r="AR260" i="2" s="1"/>
  <c r="AQ260" i="2"/>
  <c r="W260" i="2"/>
  <c r="V260" i="2"/>
  <c r="AQ259" i="2"/>
  <c r="W259" i="2"/>
  <c r="V259" i="2"/>
  <c r="AQ258" i="2"/>
  <c r="W258" i="2"/>
  <c r="V258" i="2"/>
  <c r="AQ257" i="2"/>
  <c r="W257" i="2"/>
  <c r="V257" i="2"/>
  <c r="AQ256" i="2"/>
  <c r="W256" i="2"/>
  <c r="V256" i="2"/>
  <c r="AQ255" i="2"/>
  <c r="W255" i="2"/>
  <c r="V255" i="2"/>
  <c r="AS254" i="2"/>
  <c r="AQ254" i="2"/>
  <c r="W254" i="2"/>
  <c r="V254" i="2"/>
  <c r="AS253" i="2"/>
  <c r="AR253" i="2" s="1"/>
  <c r="AQ253" i="2"/>
  <c r="W253" i="2"/>
  <c r="V253" i="2"/>
  <c r="AS252" i="2"/>
  <c r="AR252" i="2" s="1"/>
  <c r="AQ252" i="2"/>
  <c r="W252" i="2"/>
  <c r="V252" i="2"/>
  <c r="AS251" i="2"/>
  <c r="AR251" i="2" s="1"/>
  <c r="AQ251" i="2"/>
  <c r="W251" i="2"/>
  <c r="V251" i="2"/>
  <c r="AS250" i="2"/>
  <c r="AR250" i="2" s="1"/>
  <c r="AQ250" i="2"/>
  <c r="W250" i="2"/>
  <c r="V250" i="2"/>
  <c r="AQ249" i="2"/>
  <c r="W249" i="2"/>
  <c r="V249" i="2"/>
  <c r="AQ248" i="2"/>
  <c r="W248" i="2"/>
  <c r="V248" i="2"/>
  <c r="AQ247" i="2"/>
  <c r="W247" i="2"/>
  <c r="V247" i="2"/>
  <c r="AQ246" i="2"/>
  <c r="W246" i="2"/>
  <c r="V246" i="2"/>
  <c r="AQ245" i="2"/>
  <c r="W245" i="2"/>
  <c r="V245" i="2"/>
  <c r="AS244" i="2"/>
  <c r="AR244" i="2" s="1"/>
  <c r="AQ244" i="2"/>
  <c r="W244" i="2"/>
  <c r="V244" i="2"/>
  <c r="AS243" i="2"/>
  <c r="AR243" i="2" s="1"/>
  <c r="AQ243" i="2"/>
  <c r="W243" i="2"/>
  <c r="V243" i="2"/>
  <c r="AS242" i="2"/>
  <c r="AR242" i="2" s="1"/>
  <c r="AQ242" i="2"/>
  <c r="AJ242" i="2"/>
  <c r="W242" i="2"/>
  <c r="V242" i="2"/>
  <c r="AS241" i="2"/>
  <c r="AR241" i="2" s="1"/>
  <c r="AQ241" i="2"/>
  <c r="AJ241" i="2"/>
  <c r="W241" i="2"/>
  <c r="V241" i="2"/>
  <c r="AS240" i="2"/>
  <c r="AR240" i="2" s="1"/>
  <c r="AQ240" i="2"/>
  <c r="W240" i="2"/>
  <c r="V240" i="2"/>
  <c r="AS239" i="2"/>
  <c r="AR239" i="2" s="1"/>
  <c r="AQ239" i="2"/>
  <c r="W239" i="2"/>
  <c r="V239" i="2"/>
  <c r="AS238" i="2"/>
  <c r="AR238" i="2" s="1"/>
  <c r="AQ238" i="2"/>
  <c r="W238" i="2"/>
  <c r="V238" i="2"/>
  <c r="AS237" i="2"/>
  <c r="AR237" i="2" s="1"/>
  <c r="AQ237" i="2"/>
  <c r="W237" i="2"/>
  <c r="V237" i="2"/>
  <c r="AS236" i="2"/>
  <c r="AR236" i="2"/>
  <c r="AQ236" i="2"/>
  <c r="W236" i="2"/>
  <c r="V236" i="2"/>
  <c r="AS235" i="2"/>
  <c r="AR235" i="2" s="1"/>
  <c r="AQ235" i="2"/>
  <c r="W235" i="2"/>
  <c r="V235" i="2"/>
  <c r="AS234" i="2"/>
  <c r="AR234" i="2" s="1"/>
  <c r="AQ234" i="2"/>
  <c r="W234" i="2"/>
  <c r="V234" i="2"/>
  <c r="AS233" i="2"/>
  <c r="AR233" i="2" s="1"/>
  <c r="AQ233" i="2"/>
  <c r="W233" i="2"/>
  <c r="V233" i="2"/>
  <c r="AS232" i="2"/>
  <c r="AR232" i="2" s="1"/>
  <c r="AQ232" i="2"/>
  <c r="W232" i="2"/>
  <c r="V232" i="2"/>
  <c r="AS231" i="2"/>
  <c r="AR231" i="2" s="1"/>
  <c r="AQ231" i="2"/>
  <c r="W231" i="2"/>
  <c r="V231" i="2"/>
  <c r="AS230" i="2"/>
  <c r="AR230" i="2" s="1"/>
  <c r="AQ230" i="2"/>
  <c r="W230" i="2"/>
  <c r="V230" i="2"/>
  <c r="AS229" i="2"/>
  <c r="AR229" i="2" s="1"/>
  <c r="AQ229" i="2"/>
  <c r="W229" i="2"/>
  <c r="V229" i="2"/>
  <c r="AS228" i="2"/>
  <c r="AR228" i="2" s="1"/>
  <c r="AQ228" i="2"/>
  <c r="W228" i="2"/>
  <c r="V228" i="2"/>
  <c r="AQ227" i="2"/>
  <c r="W227" i="2"/>
  <c r="V227" i="2"/>
  <c r="AQ226" i="2"/>
  <c r="W226" i="2"/>
  <c r="V226" i="2"/>
  <c r="AQ225" i="2"/>
  <c r="W225" i="2"/>
  <c r="V225" i="2"/>
  <c r="AQ224" i="2"/>
  <c r="W224" i="2"/>
  <c r="V224" i="2"/>
  <c r="AQ223" i="2"/>
  <c r="W223" i="2"/>
  <c r="V223" i="2"/>
  <c r="AQ222" i="2"/>
  <c r="W222" i="2"/>
  <c r="V222" i="2"/>
  <c r="AQ220" i="2"/>
  <c r="W220" i="2"/>
  <c r="V220" i="2"/>
  <c r="AQ219" i="2"/>
  <c r="W219" i="2"/>
  <c r="V219" i="2"/>
  <c r="W218" i="2"/>
  <c r="V218" i="2"/>
  <c r="W217" i="2"/>
  <c r="V217" i="2"/>
  <c r="AQ211" i="2"/>
  <c r="W211" i="2"/>
  <c r="V211" i="2"/>
  <c r="AQ210" i="2"/>
  <c r="W210" i="2"/>
  <c r="V210" i="2"/>
  <c r="AS209" i="2"/>
  <c r="AR209" i="2" s="1"/>
  <c r="AQ209" i="2"/>
  <c r="W209" i="2"/>
  <c r="V209" i="2"/>
  <c r="AQ208" i="2"/>
  <c r="W208" i="2"/>
  <c r="V208" i="2"/>
  <c r="AQ207" i="2"/>
  <c r="W207" i="2"/>
  <c r="V207" i="2"/>
  <c r="AQ206" i="2"/>
  <c r="W206" i="2"/>
  <c r="V206" i="2"/>
  <c r="AQ205" i="2"/>
  <c r="W205" i="2"/>
  <c r="AS205" i="2" s="1"/>
  <c r="AR205" i="2" s="1"/>
  <c r="V205" i="2"/>
  <c r="AQ204" i="2"/>
  <c r="W204" i="2"/>
  <c r="V204" i="2"/>
  <c r="AQ203" i="2"/>
  <c r="W203" i="2"/>
  <c r="AS203" i="2" s="1"/>
  <c r="AR203" i="2" s="1"/>
  <c r="V203" i="2"/>
  <c r="AS202" i="2"/>
  <c r="AR202" i="2"/>
  <c r="AQ202" i="2"/>
  <c r="W202" i="2"/>
  <c r="V202" i="2"/>
  <c r="AS201" i="2"/>
  <c r="AR201" i="2" s="1"/>
  <c r="AQ201" i="2"/>
  <c r="W201" i="2"/>
  <c r="V201" i="2"/>
  <c r="AQ200" i="2"/>
  <c r="W200" i="2"/>
  <c r="V200" i="2"/>
  <c r="AS199" i="2"/>
  <c r="AR199" i="2" s="1"/>
  <c r="AQ199" i="2"/>
  <c r="W199" i="2"/>
  <c r="V199" i="2"/>
  <c r="AS198" i="2"/>
  <c r="AR198" i="2" s="1"/>
  <c r="AQ198" i="2"/>
  <c r="W198" i="2"/>
  <c r="V198" i="2"/>
  <c r="AS197" i="2"/>
  <c r="AR197" i="2" s="1"/>
  <c r="AQ197" i="2"/>
  <c r="W197" i="2"/>
  <c r="V197" i="2"/>
  <c r="AQ196" i="2"/>
  <c r="W196" i="2"/>
  <c r="V196" i="2"/>
  <c r="AS195" i="2"/>
  <c r="AR195" i="2" s="1"/>
  <c r="AQ195" i="2"/>
  <c r="W195" i="2"/>
  <c r="V195" i="2"/>
  <c r="AQ194" i="2"/>
  <c r="W194" i="2"/>
  <c r="V194" i="2"/>
  <c r="AQ193" i="2"/>
  <c r="W193" i="2"/>
  <c r="V193" i="2"/>
  <c r="AQ192" i="2"/>
  <c r="W192" i="2"/>
  <c r="V192" i="2"/>
  <c r="AS191" i="2"/>
  <c r="AR191" i="2" s="1"/>
  <c r="AQ191" i="2"/>
  <c r="W191" i="2"/>
  <c r="V191" i="2"/>
  <c r="AQ190" i="2"/>
  <c r="W190" i="2"/>
  <c r="V190" i="2"/>
  <c r="AQ189" i="2"/>
  <c r="W189" i="2"/>
  <c r="AS189" i="2" s="1"/>
  <c r="AR189" i="2" s="1"/>
  <c r="V189" i="2"/>
  <c r="AQ188" i="2"/>
  <c r="W188" i="2"/>
  <c r="V188" i="2"/>
  <c r="AQ187" i="2"/>
  <c r="W187" i="2"/>
  <c r="V187" i="2"/>
  <c r="AQ186" i="2"/>
  <c r="W186" i="2"/>
  <c r="V186" i="2"/>
  <c r="AQ185" i="2"/>
  <c r="W185" i="2"/>
  <c r="V185" i="2"/>
  <c r="AQ184" i="2"/>
  <c r="W184" i="2"/>
  <c r="V184" i="2"/>
  <c r="AQ183" i="2"/>
  <c r="W183" i="2"/>
  <c r="V183" i="2"/>
  <c r="AQ181" i="2"/>
  <c r="AJ181" i="2"/>
  <c r="W181" i="2"/>
  <c r="V181" i="2"/>
  <c r="AQ180" i="2"/>
  <c r="AH180" i="2"/>
  <c r="W180" i="2"/>
  <c r="AI180" i="2" s="1"/>
  <c r="AJ180" i="2" s="1"/>
  <c r="V180" i="2"/>
  <c r="AQ179" i="2"/>
  <c r="AJ179" i="2"/>
  <c r="W179" i="2"/>
  <c r="V179" i="2"/>
  <c r="AQ178" i="2"/>
  <c r="AJ178" i="2"/>
  <c r="W178" i="2"/>
  <c r="V178" i="2"/>
  <c r="AQ177" i="2"/>
  <c r="AJ177" i="2"/>
  <c r="W177" i="2"/>
  <c r="V177" i="2"/>
  <c r="AQ176" i="2"/>
  <c r="AH176" i="2"/>
  <c r="W176" i="2"/>
  <c r="AI176" i="2" s="1"/>
  <c r="AJ176" i="2" s="1"/>
  <c r="V176" i="2"/>
  <c r="AQ175" i="2"/>
  <c r="W175" i="2"/>
  <c r="V175" i="2"/>
  <c r="AQ174" i="2"/>
  <c r="W174" i="2"/>
  <c r="AS174" i="2" s="1"/>
  <c r="AR174" i="2" s="1"/>
  <c r="V174" i="2"/>
  <c r="AQ173" i="2"/>
  <c r="AH173" i="2"/>
  <c r="W173" i="2"/>
  <c r="V173" i="2"/>
  <c r="W172" i="2"/>
  <c r="V172" i="2"/>
  <c r="AS171" i="2"/>
  <c r="AR171" i="2" s="1"/>
  <c r="AQ171" i="2"/>
  <c r="W171" i="2"/>
  <c r="V171" i="2"/>
  <c r="AQ170" i="2"/>
  <c r="AH170" i="2"/>
  <c r="W170" i="2"/>
  <c r="V170" i="2"/>
  <c r="AQ169" i="2"/>
  <c r="AH169" i="2"/>
  <c r="W169" i="2"/>
  <c r="V169" i="2"/>
  <c r="AS168" i="2"/>
  <c r="AR168" i="2" s="1"/>
  <c r="AQ168" i="2"/>
  <c r="W168" i="2"/>
  <c r="V168" i="2"/>
  <c r="AS167" i="2"/>
  <c r="AR167" i="2"/>
  <c r="AQ167" i="2"/>
  <c r="W167" i="2"/>
  <c r="V167" i="2"/>
  <c r="AS166" i="2"/>
  <c r="AR166" i="2" s="1"/>
  <c r="AQ166" i="2"/>
  <c r="W166" i="2"/>
  <c r="V166" i="2"/>
  <c r="AS165" i="2"/>
  <c r="AR165" i="2" s="1"/>
  <c r="AQ165" i="2"/>
  <c r="W165" i="2"/>
  <c r="V165" i="2"/>
  <c r="AS164" i="2"/>
  <c r="AR164" i="2"/>
  <c r="AQ164" i="2"/>
  <c r="W164" i="2"/>
  <c r="V164" i="2"/>
  <c r="AS163" i="2"/>
  <c r="AR163" i="2" s="1"/>
  <c r="AQ163" i="2"/>
  <c r="W163" i="2"/>
  <c r="V163" i="2"/>
  <c r="AQ162" i="2"/>
  <c r="W162" i="2"/>
  <c r="V162" i="2"/>
  <c r="AS161" i="2"/>
  <c r="AR161" i="2" s="1"/>
  <c r="AQ161" i="2"/>
  <c r="W161" i="2"/>
  <c r="V161" i="2"/>
  <c r="AS160" i="2"/>
  <c r="AR160" i="2" s="1"/>
  <c r="AQ160" i="2"/>
  <c r="W160" i="2"/>
  <c r="V160" i="2"/>
  <c r="AS159" i="2"/>
  <c r="AR159" i="2" s="1"/>
  <c r="AQ159" i="2"/>
  <c r="W159" i="2"/>
  <c r="V159" i="2"/>
  <c r="AS158" i="2"/>
  <c r="AR158" i="2" s="1"/>
  <c r="AQ158" i="2"/>
  <c r="W158" i="2"/>
  <c r="V158" i="2"/>
  <c r="AQ157" i="2"/>
  <c r="W157" i="2"/>
  <c r="V157" i="2"/>
  <c r="AS156" i="2"/>
  <c r="AR156" i="2" s="1"/>
  <c r="AQ156" i="2"/>
  <c r="W156" i="2"/>
  <c r="V156" i="2"/>
  <c r="AQ155" i="2"/>
  <c r="W155" i="2"/>
  <c r="V155" i="2"/>
  <c r="AQ152" i="2"/>
  <c r="W152" i="2"/>
  <c r="V152" i="2"/>
  <c r="AS151" i="2"/>
  <c r="AR151" i="2" s="1"/>
  <c r="AQ151" i="2"/>
  <c r="W151" i="2"/>
  <c r="V151" i="2"/>
  <c r="AS150" i="2"/>
  <c r="AR150" i="2" s="1"/>
  <c r="AQ150" i="2"/>
  <c r="W150" i="2"/>
  <c r="V150" i="2"/>
  <c r="AQ149" i="2"/>
  <c r="W149" i="2"/>
  <c r="V149" i="2"/>
  <c r="AQ148" i="2"/>
  <c r="W148" i="2"/>
  <c r="V148" i="2"/>
  <c r="AS147" i="2"/>
  <c r="AR147" i="2" s="1"/>
  <c r="AQ147" i="2"/>
  <c r="W147" i="2"/>
  <c r="V147" i="2"/>
  <c r="AQ146" i="2"/>
  <c r="W146" i="2"/>
  <c r="V146" i="2"/>
  <c r="AQ145" i="2"/>
  <c r="W145" i="2"/>
  <c r="V145" i="2"/>
  <c r="AQ144" i="2"/>
  <c r="W144" i="2"/>
  <c r="V144" i="2"/>
  <c r="AQ143" i="2"/>
  <c r="W143" i="2"/>
  <c r="V143" i="2"/>
  <c r="AS142" i="2"/>
  <c r="AR142" i="2" s="1"/>
  <c r="AQ142" i="2"/>
  <c r="W142" i="2"/>
  <c r="V142" i="2"/>
  <c r="AS141" i="2"/>
  <c r="AR141" i="2" s="1"/>
  <c r="AQ141" i="2"/>
  <c r="W141" i="2"/>
  <c r="V141" i="2"/>
  <c r="AS140" i="2"/>
  <c r="AR140" i="2" s="1"/>
  <c r="AQ140" i="2"/>
  <c r="W140" i="2"/>
  <c r="V140" i="2"/>
  <c r="AS139" i="2"/>
  <c r="AR139" i="2" s="1"/>
  <c r="AQ139" i="2"/>
  <c r="W139" i="2"/>
  <c r="V139" i="2"/>
  <c r="AS138" i="2"/>
  <c r="AR138" i="2" s="1"/>
  <c r="AQ138" i="2"/>
  <c r="W138" i="2"/>
  <c r="V138" i="2"/>
  <c r="AS137" i="2"/>
  <c r="AR137" i="2" s="1"/>
  <c r="AQ137" i="2"/>
  <c r="W137" i="2"/>
  <c r="V137" i="2"/>
  <c r="AQ136" i="2"/>
  <c r="W136" i="2"/>
  <c r="V136" i="2"/>
  <c r="AS135" i="2"/>
  <c r="AR135" i="2" s="1"/>
  <c r="AQ135" i="2"/>
  <c r="W135" i="2"/>
  <c r="V135" i="2"/>
  <c r="AS134" i="2"/>
  <c r="AR134" i="2" s="1"/>
  <c r="AQ134" i="2"/>
  <c r="W134" i="2"/>
  <c r="V134" i="2"/>
  <c r="AS133" i="2"/>
  <c r="AR133" i="2" s="1"/>
  <c r="AQ133" i="2"/>
  <c r="W133" i="2"/>
  <c r="V133" i="2"/>
  <c r="AS132" i="2"/>
  <c r="AR132" i="2" s="1"/>
  <c r="AQ132" i="2"/>
  <c r="W132" i="2"/>
  <c r="V132" i="2"/>
  <c r="AS131" i="2"/>
  <c r="AR131" i="2" s="1"/>
  <c r="AQ131" i="2"/>
  <c r="W131" i="2"/>
  <c r="V131" i="2"/>
  <c r="AQ130" i="2"/>
  <c r="W130" i="2"/>
  <c r="V130" i="2"/>
  <c r="AS129" i="2"/>
  <c r="AR129" i="2" s="1"/>
  <c r="AQ129" i="2"/>
  <c r="W129" i="2"/>
  <c r="V129" i="2"/>
  <c r="AQ128" i="2"/>
  <c r="W128" i="2"/>
  <c r="V128" i="2"/>
  <c r="AQ127" i="2"/>
  <c r="W127" i="2"/>
  <c r="V127" i="2"/>
  <c r="AQ126" i="2"/>
  <c r="W126" i="2"/>
  <c r="V126" i="2"/>
  <c r="AQ125" i="2"/>
  <c r="W125" i="2"/>
  <c r="V125" i="2"/>
  <c r="AQ124" i="2"/>
  <c r="W124" i="2"/>
  <c r="V124" i="2"/>
  <c r="AQ123" i="2"/>
  <c r="W123" i="2"/>
  <c r="V123" i="2"/>
  <c r="AS122" i="2"/>
  <c r="AQ122" i="2"/>
  <c r="W122" i="2"/>
  <c r="V122" i="2"/>
  <c r="AS121" i="2"/>
  <c r="AQ121" i="2"/>
  <c r="W121" i="2"/>
  <c r="V121" i="2"/>
  <c r="AQ120" i="2"/>
  <c r="W120" i="2"/>
  <c r="V120" i="2"/>
  <c r="AS119" i="2"/>
  <c r="AQ119" i="2"/>
  <c r="W119" i="2"/>
  <c r="V119" i="2"/>
  <c r="AQ118" i="2"/>
  <c r="W118" i="2"/>
  <c r="V118" i="2"/>
  <c r="AQ117" i="2"/>
  <c r="W117" i="2"/>
  <c r="V117" i="2"/>
  <c r="AQ116" i="2"/>
  <c r="W116" i="2"/>
  <c r="V116" i="2"/>
  <c r="AQ114" i="2"/>
  <c r="W114" i="2"/>
  <c r="AS114" i="2" s="1"/>
  <c r="AR114" i="2" s="1"/>
  <c r="V114" i="2"/>
  <c r="AQ113" i="2"/>
  <c r="W113" i="2"/>
  <c r="V113" i="2"/>
  <c r="AS112" i="2"/>
  <c r="AQ112" i="2"/>
  <c r="W112" i="2"/>
  <c r="V112" i="2"/>
  <c r="AQ111" i="2"/>
  <c r="W111" i="2"/>
  <c r="V111" i="2"/>
  <c r="W110" i="2"/>
  <c r="V110" i="2"/>
  <c r="W109" i="2"/>
  <c r="V109" i="2"/>
  <c r="W108" i="2"/>
  <c r="V108" i="2"/>
  <c r="AQ105" i="2"/>
  <c r="W105" i="2"/>
  <c r="V105" i="2"/>
  <c r="AQ104" i="2"/>
  <c r="W104" i="2"/>
  <c r="V104" i="2"/>
  <c r="AQ103" i="2"/>
  <c r="W103" i="2"/>
  <c r="V103" i="2"/>
  <c r="W102" i="2"/>
  <c r="V102" i="2"/>
  <c r="W101" i="2"/>
  <c r="V101" i="2"/>
  <c r="W100" i="2"/>
  <c r="V100" i="2"/>
  <c r="W99" i="2"/>
  <c r="V99" i="2"/>
  <c r="AQ98" i="2"/>
  <c r="W98" i="2"/>
  <c r="V98" i="2"/>
  <c r="AQ97" i="2"/>
  <c r="W97" i="2"/>
  <c r="V97" i="2"/>
  <c r="AQ96" i="2"/>
  <c r="W96" i="2"/>
  <c r="V96" i="2"/>
  <c r="AQ95" i="2"/>
  <c r="W95" i="2"/>
  <c r="V95" i="2"/>
  <c r="AQ94" i="2"/>
  <c r="W94" i="2"/>
  <c r="V94" i="2"/>
  <c r="AQ93" i="2"/>
  <c r="W93" i="2"/>
  <c r="V93" i="2"/>
  <c r="AQ92" i="2"/>
  <c r="W92" i="2"/>
  <c r="V92" i="2"/>
  <c r="W91" i="2"/>
  <c r="V91" i="2"/>
  <c r="W90" i="2"/>
  <c r="V90" i="2"/>
  <c r="W89" i="2"/>
  <c r="V89" i="2"/>
  <c r="AQ88" i="2"/>
  <c r="W88" i="2"/>
  <c r="V88" i="2"/>
  <c r="W87" i="2"/>
  <c r="V87" i="2"/>
  <c r="W86" i="2"/>
  <c r="V86" i="2"/>
  <c r="W85" i="2"/>
  <c r="V85" i="2"/>
  <c r="W84" i="2"/>
  <c r="V84" i="2"/>
  <c r="W83" i="2"/>
  <c r="V83" i="2"/>
  <c r="AQ82" i="2"/>
  <c r="W82" i="2"/>
  <c r="V82" i="2"/>
  <c r="AQ81" i="2"/>
  <c r="W81" i="2"/>
  <c r="V81" i="2"/>
  <c r="AQ80" i="2"/>
  <c r="W80" i="2"/>
  <c r="V80" i="2"/>
  <c r="AQ79" i="2"/>
  <c r="AH79" i="2"/>
  <c r="W79" i="2"/>
  <c r="AS79" i="2" s="1"/>
  <c r="AR79" i="2" s="1"/>
  <c r="V79" i="2"/>
  <c r="W78" i="2"/>
  <c r="V78" i="2"/>
  <c r="W77" i="2"/>
  <c r="V77" i="2"/>
  <c r="AQ76" i="2"/>
  <c r="W76" i="2"/>
  <c r="V76" i="2"/>
  <c r="AH75" i="2"/>
  <c r="W75" i="2"/>
  <c r="V75" i="2"/>
  <c r="W74" i="2"/>
  <c r="V74" i="2"/>
  <c r="W73" i="2"/>
  <c r="V73" i="2"/>
  <c r="W72" i="2"/>
  <c r="V72" i="2"/>
  <c r="AQ71" i="2"/>
  <c r="W71" i="2"/>
  <c r="V71" i="2"/>
  <c r="W70" i="2"/>
  <c r="V70" i="2"/>
  <c r="W69" i="2"/>
  <c r="V69" i="2"/>
  <c r="W68" i="2"/>
  <c r="V68" i="2"/>
  <c r="W67" i="2"/>
  <c r="V67" i="2"/>
  <c r="AQ66" i="2"/>
  <c r="W66" i="2"/>
  <c r="V66" i="2"/>
  <c r="W65" i="2"/>
  <c r="V65" i="2"/>
  <c r="W64" i="2"/>
  <c r="V64" i="2"/>
  <c r="W63" i="2"/>
  <c r="V63" i="2"/>
  <c r="AQ62" i="2"/>
  <c r="W62" i="2"/>
  <c r="V62" i="2"/>
  <c r="AQ61" i="2"/>
  <c r="W61" i="2"/>
  <c r="V61" i="2"/>
  <c r="AQ58" i="2"/>
  <c r="W58" i="2"/>
  <c r="V58" i="2"/>
  <c r="AQ57" i="2"/>
  <c r="W57" i="2"/>
  <c r="V57" i="2"/>
  <c r="AQ56" i="2"/>
  <c r="W56" i="2"/>
  <c r="V56" i="2"/>
  <c r="AQ55" i="2"/>
  <c r="W55" i="2"/>
  <c r="V55" i="2"/>
  <c r="AQ54" i="2"/>
  <c r="W54" i="2"/>
  <c r="V54" i="2"/>
  <c r="AQ53" i="2"/>
  <c r="W53" i="2"/>
  <c r="V53" i="2"/>
  <c r="AQ52" i="2"/>
  <c r="W52" i="2"/>
  <c r="V52" i="2"/>
  <c r="AS51" i="2"/>
  <c r="AQ51" i="2"/>
  <c r="AA51" i="2"/>
  <c r="W51" i="2"/>
  <c r="V51" i="2"/>
  <c r="AQ50" i="2"/>
  <c r="W50" i="2"/>
  <c r="V50" i="2"/>
  <c r="AQ49" i="2"/>
  <c r="W49" i="2"/>
  <c r="V49" i="2"/>
  <c r="AQ48" i="2"/>
  <c r="W48" i="2"/>
  <c r="V48" i="2"/>
  <c r="W47" i="2"/>
  <c r="V47" i="2"/>
  <c r="AQ45" i="2"/>
  <c r="W45" i="2"/>
  <c r="V45" i="2"/>
  <c r="AQ44" i="2"/>
  <c r="W44" i="2"/>
  <c r="V44" i="2"/>
  <c r="W43" i="2"/>
  <c r="V43" i="2"/>
  <c r="AQ42" i="2"/>
  <c r="W42" i="2"/>
  <c r="V42" i="2"/>
  <c r="AS41" i="2"/>
  <c r="AR41" i="2" s="1"/>
  <c r="AQ41" i="2"/>
  <c r="W41" i="2"/>
  <c r="V41" i="2"/>
  <c r="AQ40" i="2"/>
  <c r="W40" i="2"/>
  <c r="V40" i="2"/>
  <c r="AQ39" i="2"/>
  <c r="W39" i="2"/>
  <c r="V39" i="2"/>
  <c r="AQ38" i="2"/>
  <c r="W38" i="2"/>
  <c r="V38" i="2"/>
  <c r="AQ37" i="2"/>
  <c r="W37" i="2"/>
  <c r="V37" i="2"/>
  <c r="AQ36" i="2"/>
  <c r="W36" i="2"/>
  <c r="V36" i="2"/>
  <c r="AQ35" i="2"/>
  <c r="W35" i="2"/>
  <c r="V35" i="2"/>
  <c r="AQ34" i="2"/>
  <c r="W34" i="2"/>
  <c r="V34" i="2"/>
  <c r="AQ33" i="2"/>
  <c r="W33" i="2"/>
  <c r="V33" i="2"/>
  <c r="AQ32" i="2"/>
  <c r="W32" i="2"/>
  <c r="V32" i="2"/>
  <c r="AQ31" i="2"/>
  <c r="W31" i="2"/>
  <c r="V31" i="2"/>
  <c r="AQ30" i="2"/>
  <c r="W30" i="2"/>
  <c r="V30" i="2"/>
  <c r="AQ29" i="2"/>
  <c r="W29" i="2"/>
  <c r="V29" i="2"/>
  <c r="W28" i="2"/>
  <c r="V28" i="2"/>
  <c r="W27" i="2"/>
  <c r="V27" i="2"/>
  <c r="W26" i="2"/>
  <c r="V26" i="2"/>
  <c r="W25" i="2"/>
  <c r="V25" i="2"/>
  <c r="AQ24" i="2"/>
  <c r="W24" i="2"/>
  <c r="V24" i="2"/>
  <c r="W23" i="2"/>
  <c r="V23" i="2"/>
  <c r="AQ22" i="2"/>
  <c r="W22" i="2"/>
  <c r="V22" i="2"/>
  <c r="AQ21" i="2"/>
  <c r="W21" i="2"/>
  <c r="V21" i="2"/>
  <c r="AQ20" i="2"/>
  <c r="W20" i="2"/>
  <c r="V20" i="2"/>
  <c r="AQ19" i="2"/>
  <c r="W19" i="2"/>
  <c r="V19" i="2"/>
  <c r="AQ18" i="2"/>
  <c r="W18" i="2"/>
  <c r="V18" i="2"/>
  <c r="AQ17" i="2"/>
  <c r="W17" i="2"/>
  <c r="V17" i="2"/>
  <c r="AQ16" i="2"/>
  <c r="W16" i="2"/>
  <c r="V16" i="2"/>
  <c r="AQ15" i="2"/>
  <c r="W15" i="2"/>
  <c r="V15" i="2"/>
  <c r="AS12" i="2"/>
  <c r="AQ12" i="2"/>
  <c r="W12" i="2"/>
  <c r="V12" i="2"/>
  <c r="AS11" i="2"/>
  <c r="AQ11" i="2"/>
  <c r="W11" i="2"/>
  <c r="V11" i="2"/>
  <c r="AS10" i="2"/>
  <c r="AQ10" i="2"/>
  <c r="W10" i="2"/>
  <c r="V10" i="2"/>
  <c r="AQ9" i="2"/>
  <c r="W9" i="2"/>
  <c r="V9" i="2"/>
  <c r="AS8" i="2"/>
  <c r="AQ8" i="2"/>
  <c r="W8" i="2"/>
  <c r="V8" i="2"/>
  <c r="AS7" i="2"/>
  <c r="AQ7" i="2"/>
  <c r="W7" i="2"/>
  <c r="V7" i="2"/>
  <c r="AS6" i="2"/>
  <c r="AQ6" i="2"/>
  <c r="W6" i="2"/>
  <c r="V6" i="2"/>
  <c r="AS5" i="2"/>
  <c r="AQ5" i="2"/>
  <c r="W5" i="2"/>
  <c r="V5" i="2"/>
  <c r="AQ4" i="2"/>
  <c r="W4" i="2"/>
  <c r="V4" i="2"/>
  <c r="AT243" i="1"/>
  <c r="Z243" i="1"/>
  <c r="Y243" i="1"/>
  <c r="AT242" i="1"/>
  <c r="Z242" i="1"/>
  <c r="Y242" i="1"/>
  <c r="AT241" i="1"/>
  <c r="Z241" i="1"/>
  <c r="Y241" i="1"/>
  <c r="AT240" i="1"/>
  <c r="Z240" i="1"/>
  <c r="Y240" i="1"/>
  <c r="AT239" i="1"/>
  <c r="Z239" i="1"/>
  <c r="Y239" i="1"/>
  <c r="AT236" i="1"/>
  <c r="Z236" i="1"/>
  <c r="Y236" i="1"/>
  <c r="AT235" i="1"/>
  <c r="Z235" i="1"/>
  <c r="AL235" i="1" s="1"/>
  <c r="AM235" i="1" s="1"/>
  <c r="Y235" i="1"/>
  <c r="AT234" i="1"/>
  <c r="Z234" i="1"/>
  <c r="AL234" i="1" s="1"/>
  <c r="AM234" i="1" s="1"/>
  <c r="Y234" i="1"/>
  <c r="AT233" i="1"/>
  <c r="Z233" i="1"/>
  <c r="AL233" i="1" s="1"/>
  <c r="AM233" i="1" s="1"/>
  <c r="Y233" i="1"/>
  <c r="AT232" i="1"/>
  <c r="Z232" i="1"/>
  <c r="AL232" i="1" s="1"/>
  <c r="AM232" i="1" s="1"/>
  <c r="Y232" i="1"/>
  <c r="AT231" i="1"/>
  <c r="Z231" i="1"/>
  <c r="AL231" i="1" s="1"/>
  <c r="AM231" i="1" s="1"/>
  <c r="Y231" i="1"/>
  <c r="AT230" i="1"/>
  <c r="Z230" i="1"/>
  <c r="AL230" i="1" s="1"/>
  <c r="AM230" i="1" s="1"/>
  <c r="Y230" i="1"/>
  <c r="AT227" i="1"/>
  <c r="Z227" i="1"/>
  <c r="AL227" i="1" s="1"/>
  <c r="AM227" i="1" s="1"/>
  <c r="Y227" i="1"/>
  <c r="AV226" i="1"/>
  <c r="AT226" i="1"/>
  <c r="Z223" i="1"/>
  <c r="Y223" i="1"/>
  <c r="AT222" i="1"/>
  <c r="Z222" i="1"/>
  <c r="Y222" i="1"/>
  <c r="AT220" i="1"/>
  <c r="Z220" i="1"/>
  <c r="AL220" i="1" s="1"/>
  <c r="AM220" i="1" s="1"/>
  <c r="Y220" i="1"/>
  <c r="AT219" i="1"/>
  <c r="Z219" i="1"/>
  <c r="AL219" i="1" s="1"/>
  <c r="AM219" i="1" s="1"/>
  <c r="Y219" i="1"/>
  <c r="Z218" i="1"/>
  <c r="Y218" i="1"/>
  <c r="Z217" i="1"/>
  <c r="Y217" i="1"/>
  <c r="AT216" i="1"/>
  <c r="Z216" i="1"/>
  <c r="AL216" i="1" s="1"/>
  <c r="AM216" i="1" s="1"/>
  <c r="Y216" i="1"/>
  <c r="AT215" i="1"/>
  <c r="Z215" i="1"/>
  <c r="Y215" i="1"/>
  <c r="AT214" i="1"/>
  <c r="Z214" i="1"/>
  <c r="AL214" i="1" s="1"/>
  <c r="AM214" i="1" s="1"/>
  <c r="Y214" i="1"/>
  <c r="Z213" i="1"/>
  <c r="Y213" i="1"/>
  <c r="AT212" i="1"/>
  <c r="Z212" i="1"/>
  <c r="AL212" i="1" s="1"/>
  <c r="AM212" i="1" s="1"/>
  <c r="Y212" i="1"/>
  <c r="AT211" i="1"/>
  <c r="Z211" i="1"/>
  <c r="AL211" i="1" s="1"/>
  <c r="AM211" i="1" s="1"/>
  <c r="Y211" i="1"/>
  <c r="Z210" i="1"/>
  <c r="Y210" i="1"/>
  <c r="Z209" i="1"/>
  <c r="Y209" i="1"/>
  <c r="Z208" i="1"/>
  <c r="Y208" i="1"/>
  <c r="Z207" i="1"/>
  <c r="Y207" i="1"/>
  <c r="AT206" i="1"/>
  <c r="Z206" i="1"/>
  <c r="Y206" i="1"/>
  <c r="AT205" i="1"/>
  <c r="Z205" i="1"/>
  <c r="AL205" i="1" s="1"/>
  <c r="AM205" i="1" s="1"/>
  <c r="Y205" i="1"/>
  <c r="AT204" i="1"/>
  <c r="Z204" i="1"/>
  <c r="AL204" i="1" s="1"/>
  <c r="AM204" i="1" s="1"/>
  <c r="Y204" i="1"/>
  <c r="AT203" i="1"/>
  <c r="Z203" i="1"/>
  <c r="AL203" i="1" s="1"/>
  <c r="AM203" i="1" s="1"/>
  <c r="Y203" i="1"/>
  <c r="AT202" i="1"/>
  <c r="Z202" i="1"/>
  <c r="AL202" i="1" s="1"/>
  <c r="AM202" i="1" s="1"/>
  <c r="Y202" i="1"/>
  <c r="AT201" i="1"/>
  <c r="Z201" i="1"/>
  <c r="AL201" i="1" s="1"/>
  <c r="AM201" i="1" s="1"/>
  <c r="Y201" i="1"/>
  <c r="AT200" i="1"/>
  <c r="Z200" i="1"/>
  <c r="Y200" i="1"/>
  <c r="Z199" i="1"/>
  <c r="Y199" i="1"/>
  <c r="AT198" i="1"/>
  <c r="Z198" i="1"/>
  <c r="AL198" i="1" s="1"/>
  <c r="AM198" i="1" s="1"/>
  <c r="Y198" i="1"/>
  <c r="AT197" i="1"/>
  <c r="Z197" i="1"/>
  <c r="AL197" i="1" s="1"/>
  <c r="AM197" i="1" s="1"/>
  <c r="Y197" i="1"/>
  <c r="AT196" i="1"/>
  <c r="Z196" i="1"/>
  <c r="AL196" i="1" s="1"/>
  <c r="AM196" i="1" s="1"/>
  <c r="Y196" i="1"/>
  <c r="AT195" i="1"/>
  <c r="Z195" i="1"/>
  <c r="AL195" i="1" s="1"/>
  <c r="AM195" i="1" s="1"/>
  <c r="Y195" i="1"/>
  <c r="AT194" i="1"/>
  <c r="Z194" i="1"/>
  <c r="AL194" i="1" s="1"/>
  <c r="AM194" i="1" s="1"/>
  <c r="Y194" i="1"/>
  <c r="AT193" i="1"/>
  <c r="Z193" i="1"/>
  <c r="AL193" i="1" s="1"/>
  <c r="AM193" i="1" s="1"/>
  <c r="Y193" i="1"/>
  <c r="AT192" i="1"/>
  <c r="Z192" i="1"/>
  <c r="Y192" i="1"/>
  <c r="Z191" i="1"/>
  <c r="Y191" i="1"/>
  <c r="Z190" i="1"/>
  <c r="Y190" i="1"/>
  <c r="Z189" i="1"/>
  <c r="Y189" i="1"/>
  <c r="AT188" i="1"/>
  <c r="Z188" i="1"/>
  <c r="Y188" i="1"/>
  <c r="AT187" i="1"/>
  <c r="Z187" i="1"/>
  <c r="AL187" i="1" s="1"/>
  <c r="AM187" i="1" s="1"/>
  <c r="Y187" i="1"/>
  <c r="AT186" i="1"/>
  <c r="Z186" i="1"/>
  <c r="AL186" i="1" s="1"/>
  <c r="AM186" i="1" s="1"/>
  <c r="Y186" i="1"/>
  <c r="AT185" i="1"/>
  <c r="Z185" i="1"/>
  <c r="AL185" i="1" s="1"/>
  <c r="AM185" i="1" s="1"/>
  <c r="Y185" i="1"/>
  <c r="AT184" i="1"/>
  <c r="Z184" i="1"/>
  <c r="AL184" i="1" s="1"/>
  <c r="AM184" i="1" s="1"/>
  <c r="Y184" i="1"/>
  <c r="AT183" i="1"/>
  <c r="Z183" i="1"/>
  <c r="AL183" i="1" s="1"/>
  <c r="AM183" i="1" s="1"/>
  <c r="Y183" i="1"/>
  <c r="Z182" i="1"/>
  <c r="Y182" i="1"/>
  <c r="Z181" i="1"/>
  <c r="Y181" i="1"/>
  <c r="Z180" i="1"/>
  <c r="Y180" i="1"/>
  <c r="Z179" i="1"/>
  <c r="Y179" i="1"/>
  <c r="AT178" i="1"/>
  <c r="Z178" i="1"/>
  <c r="AL178" i="1" s="1"/>
  <c r="AM178" i="1" s="1"/>
  <c r="Y178" i="1"/>
  <c r="AT177" i="1"/>
  <c r="Z177" i="1"/>
  <c r="AL177" i="1" s="1"/>
  <c r="AM177" i="1" s="1"/>
  <c r="Y177" i="1"/>
  <c r="AT176" i="1"/>
  <c r="Z176" i="1"/>
  <c r="Y176" i="1"/>
  <c r="Z175" i="1"/>
  <c r="Y175" i="1"/>
  <c r="AT174" i="1"/>
  <c r="Z174" i="1"/>
  <c r="AL174" i="1" s="1"/>
  <c r="AM174" i="1" s="1"/>
  <c r="Y174" i="1"/>
  <c r="AT173" i="1"/>
  <c r="Z173" i="1"/>
  <c r="AL173" i="1" s="1"/>
  <c r="AM173" i="1" s="1"/>
  <c r="Y173" i="1"/>
  <c r="AT172" i="1"/>
  <c r="Z172" i="1"/>
  <c r="AL172" i="1" s="1"/>
  <c r="AM172" i="1" s="1"/>
  <c r="Y172" i="1"/>
  <c r="Z171" i="1"/>
  <c r="Y171" i="1"/>
  <c r="AT170" i="1"/>
  <c r="Z170" i="1"/>
  <c r="AL170" i="1" s="1"/>
  <c r="AM170" i="1" s="1"/>
  <c r="Y170" i="1"/>
  <c r="AT169" i="1"/>
  <c r="Z169" i="1"/>
  <c r="AL169" i="1" s="1"/>
  <c r="AM169" i="1" s="1"/>
  <c r="Y169" i="1"/>
  <c r="AT168" i="1"/>
  <c r="Z168" i="1"/>
  <c r="Y168" i="1"/>
  <c r="AV164" i="1"/>
  <c r="AT164" i="1"/>
  <c r="AT163" i="1"/>
  <c r="Z163" i="1"/>
  <c r="AL163" i="1" s="1"/>
  <c r="AM163" i="1" s="1"/>
  <c r="Y163" i="1"/>
  <c r="AT162" i="1"/>
  <c r="Z162" i="1"/>
  <c r="AL162" i="1" s="1"/>
  <c r="AM162" i="1" s="1"/>
  <c r="Y162" i="1"/>
  <c r="AT161" i="1"/>
  <c r="Z161" i="1"/>
  <c r="AL161" i="1" s="1"/>
  <c r="AM161" i="1" s="1"/>
  <c r="Y161" i="1"/>
  <c r="AT160" i="1"/>
  <c r="Z160" i="1"/>
  <c r="AL160" i="1" s="1"/>
  <c r="AM160" i="1" s="1"/>
  <c r="Y160" i="1"/>
  <c r="Z159" i="1"/>
  <c r="Y159" i="1"/>
  <c r="Z158" i="1"/>
  <c r="Y158" i="1"/>
  <c r="AT157" i="1"/>
  <c r="Z157" i="1"/>
  <c r="AL157" i="1" s="1"/>
  <c r="AM157" i="1" s="1"/>
  <c r="Y157" i="1"/>
  <c r="AT156" i="1"/>
  <c r="Z156" i="1"/>
  <c r="AL156" i="1" s="1"/>
  <c r="AM156" i="1" s="1"/>
  <c r="Y156" i="1"/>
  <c r="AS155" i="1"/>
  <c r="AT155" i="1" s="1"/>
  <c r="Z155" i="1"/>
  <c r="AL155" i="1" s="1"/>
  <c r="AM155" i="1" s="1"/>
  <c r="Y155" i="1"/>
  <c r="AT154" i="1"/>
  <c r="Z154" i="1"/>
  <c r="AL154" i="1" s="1"/>
  <c r="AM154" i="1" s="1"/>
  <c r="Y154" i="1"/>
  <c r="AT153" i="1"/>
  <c r="Z153" i="1"/>
  <c r="AL153" i="1" s="1"/>
  <c r="AM153" i="1" s="1"/>
  <c r="Y153" i="1"/>
  <c r="AT152" i="1"/>
  <c r="Z152" i="1"/>
  <c r="AL152" i="1" s="1"/>
  <c r="AM152" i="1" s="1"/>
  <c r="Y152" i="1"/>
  <c r="AT151" i="1"/>
  <c r="Z151" i="1"/>
  <c r="Y151" i="1"/>
  <c r="AT150" i="1"/>
  <c r="Z150" i="1"/>
  <c r="AL150" i="1" s="1"/>
  <c r="AM150" i="1" s="1"/>
  <c r="Y150" i="1"/>
  <c r="AT149" i="1"/>
  <c r="Z149" i="1"/>
  <c r="Y149" i="1"/>
  <c r="AT146" i="1"/>
  <c r="Z146" i="1"/>
  <c r="AL146" i="1" s="1"/>
  <c r="AM146" i="1" s="1"/>
  <c r="Y146" i="1"/>
  <c r="AT145" i="1"/>
  <c r="Z145" i="1"/>
  <c r="AL145" i="1" s="1"/>
  <c r="AM145" i="1" s="1"/>
  <c r="Y145" i="1"/>
  <c r="AT144" i="1"/>
  <c r="Z144" i="1"/>
  <c r="AL144" i="1" s="1"/>
  <c r="AM144" i="1" s="1"/>
  <c r="Y144" i="1"/>
  <c r="AT143" i="1"/>
  <c r="Z143" i="1"/>
  <c r="Y143" i="1"/>
  <c r="AT142" i="1"/>
  <c r="Z142" i="1"/>
  <c r="Y142" i="1"/>
  <c r="AT141" i="1"/>
  <c r="Z141" i="1"/>
  <c r="AL141" i="1" s="1"/>
  <c r="AM141" i="1" s="1"/>
  <c r="Y141" i="1"/>
  <c r="AT140" i="1"/>
  <c r="Z140" i="1"/>
  <c r="Y140" i="1"/>
  <c r="AT139" i="1"/>
  <c r="Z139" i="1"/>
  <c r="AL139" i="1" s="1"/>
  <c r="AM139" i="1" s="1"/>
  <c r="Y139" i="1"/>
  <c r="AT138" i="1"/>
  <c r="Z138" i="1"/>
  <c r="AL138" i="1" s="1"/>
  <c r="AM138" i="1" s="1"/>
  <c r="Y138" i="1"/>
  <c r="AT137" i="1"/>
  <c r="Z137" i="1"/>
  <c r="AL137" i="1" s="1"/>
  <c r="AM137" i="1" s="1"/>
  <c r="Y137" i="1"/>
  <c r="AT136" i="1"/>
  <c r="Z136" i="1"/>
  <c r="AL136" i="1" s="1"/>
  <c r="AM136" i="1" s="1"/>
  <c r="Y136" i="1"/>
  <c r="Z135" i="1"/>
  <c r="Y135" i="1"/>
  <c r="Z134" i="1"/>
  <c r="Y134" i="1"/>
  <c r="Z133" i="1"/>
  <c r="Y133" i="1"/>
  <c r="Z132" i="1"/>
  <c r="Y132" i="1"/>
  <c r="Z131" i="1"/>
  <c r="Y131" i="1"/>
  <c r="Z130" i="1"/>
  <c r="Y130" i="1"/>
  <c r="Z129" i="1"/>
  <c r="Y129" i="1"/>
  <c r="AT128" i="1"/>
  <c r="Z128" i="1"/>
  <c r="AL128" i="1" s="1"/>
  <c r="AM128" i="1" s="1"/>
  <c r="Y128" i="1"/>
  <c r="AT127" i="1"/>
  <c r="Z127" i="1"/>
  <c r="AL127" i="1" s="1"/>
  <c r="AM127" i="1" s="1"/>
  <c r="Y127" i="1"/>
  <c r="Z126" i="1"/>
  <c r="Y126" i="1"/>
  <c r="AT125" i="1"/>
  <c r="Z125" i="1"/>
  <c r="AL125" i="1" s="1"/>
  <c r="AM125" i="1" s="1"/>
  <c r="Y125" i="1"/>
  <c r="AT124" i="1"/>
  <c r="Z124" i="1"/>
  <c r="Y124" i="1"/>
  <c r="AT123" i="1"/>
  <c r="Z123" i="1"/>
  <c r="AL123" i="1" s="1"/>
  <c r="AM123" i="1" s="1"/>
  <c r="Y123" i="1"/>
  <c r="AT122" i="1"/>
  <c r="Z122" i="1"/>
  <c r="AL122" i="1" s="1"/>
  <c r="AM122" i="1" s="1"/>
  <c r="Y122" i="1"/>
  <c r="AT121" i="1"/>
  <c r="Z121" i="1"/>
  <c r="AL121" i="1" s="1"/>
  <c r="AM121" i="1" s="1"/>
  <c r="Y121" i="1"/>
  <c r="AV120" i="1"/>
  <c r="AT120" i="1"/>
  <c r="Z120" i="1"/>
  <c r="Y120" i="1"/>
  <c r="AT119" i="1"/>
  <c r="Z119" i="1"/>
  <c r="Y119" i="1"/>
  <c r="AT118" i="1"/>
  <c r="Z118" i="1"/>
  <c r="AL118" i="1" s="1"/>
  <c r="AM118" i="1" s="1"/>
  <c r="Y118" i="1"/>
  <c r="AV117" i="1"/>
  <c r="AT117" i="1"/>
  <c r="Z117" i="1"/>
  <c r="Y117" i="1"/>
  <c r="AT116" i="1"/>
  <c r="Z116" i="1"/>
  <c r="Y116" i="1"/>
  <c r="AT115" i="1"/>
  <c r="Z115" i="1"/>
  <c r="Y115" i="1"/>
  <c r="AV114" i="1"/>
  <c r="AU114" i="1" s="1"/>
  <c r="AT114" i="1"/>
  <c r="Z114" i="1"/>
  <c r="Y114" i="1"/>
  <c r="AT113" i="1"/>
  <c r="Z113" i="1"/>
  <c r="Y113" i="1"/>
  <c r="AV112" i="1"/>
  <c r="AT112" i="1"/>
  <c r="Z112" i="1"/>
  <c r="Y112" i="1"/>
  <c r="AT111" i="1"/>
  <c r="Z111" i="1"/>
  <c r="AL111" i="1" s="1"/>
  <c r="AM111" i="1" s="1"/>
  <c r="Y111" i="1"/>
  <c r="AV110" i="1"/>
  <c r="AT110" i="1"/>
  <c r="Z110" i="1"/>
  <c r="Y110" i="1"/>
  <c r="Z109" i="1"/>
  <c r="Y109" i="1"/>
  <c r="Z108" i="1"/>
  <c r="Y108" i="1"/>
  <c r="AT107" i="1"/>
  <c r="Z107" i="1"/>
  <c r="Y107" i="1"/>
  <c r="AT106" i="1"/>
  <c r="Z106" i="1"/>
  <c r="Y106" i="1"/>
  <c r="AT105" i="1"/>
  <c r="Z105" i="1"/>
  <c r="Y105" i="1"/>
  <c r="Z104" i="1"/>
  <c r="Y104" i="1"/>
  <c r="Z103" i="1"/>
  <c r="Y103" i="1"/>
  <c r="AT102" i="1"/>
  <c r="Z102" i="1"/>
  <c r="Y102" i="1"/>
  <c r="AT101" i="1"/>
  <c r="Z101" i="1"/>
  <c r="AL101" i="1" s="1"/>
  <c r="AM101" i="1" s="1"/>
  <c r="Y101" i="1"/>
  <c r="AT100" i="1"/>
  <c r="Z100" i="1"/>
  <c r="AL100" i="1" s="1"/>
  <c r="AM100" i="1" s="1"/>
  <c r="Y100" i="1"/>
  <c r="AT99" i="1"/>
  <c r="Z99" i="1"/>
  <c r="Y99" i="1"/>
  <c r="AT98" i="1"/>
  <c r="Z98" i="1"/>
  <c r="AL98" i="1" s="1"/>
  <c r="AM98" i="1" s="1"/>
  <c r="Y98" i="1"/>
  <c r="AT97" i="1"/>
  <c r="Z97" i="1"/>
  <c r="AL97" i="1" s="1"/>
  <c r="AM97" i="1" s="1"/>
  <c r="Y97" i="1"/>
  <c r="AT96" i="1"/>
  <c r="Z96" i="1"/>
  <c r="AL96" i="1" s="1"/>
  <c r="AM96" i="1" s="1"/>
  <c r="Y96" i="1"/>
  <c r="AT95" i="1"/>
  <c r="Z95" i="1"/>
  <c r="AL95" i="1" s="1"/>
  <c r="AM95" i="1" s="1"/>
  <c r="Y95" i="1"/>
  <c r="AT94" i="1"/>
  <c r="Z94" i="1"/>
  <c r="Y94" i="1"/>
  <c r="AT93" i="1"/>
  <c r="Z93" i="1"/>
  <c r="Y93" i="1"/>
  <c r="AT92" i="1"/>
  <c r="Z92" i="1"/>
  <c r="AL92" i="1" s="1"/>
  <c r="AM92" i="1" s="1"/>
  <c r="Y92" i="1"/>
  <c r="AT91" i="1"/>
  <c r="Z91" i="1"/>
  <c r="Y91" i="1"/>
  <c r="AT90" i="1"/>
  <c r="Z90" i="1"/>
  <c r="Y90" i="1"/>
  <c r="AT89" i="1"/>
  <c r="Z89" i="1"/>
  <c r="Y89" i="1"/>
  <c r="AT88" i="1"/>
  <c r="Z88" i="1"/>
  <c r="Y88" i="1"/>
  <c r="AT87" i="1"/>
  <c r="Z87" i="1"/>
  <c r="Y87" i="1"/>
  <c r="Z86" i="1"/>
  <c r="Y86" i="1"/>
  <c r="Z85" i="1"/>
  <c r="Y85" i="1"/>
  <c r="AT84" i="1"/>
  <c r="Z84" i="1"/>
  <c r="AL84" i="1" s="1"/>
  <c r="AM84" i="1" s="1"/>
  <c r="Y84" i="1"/>
  <c r="AT83" i="1"/>
  <c r="Z83" i="1"/>
  <c r="AL83" i="1" s="1"/>
  <c r="AM83" i="1" s="1"/>
  <c r="Y83" i="1"/>
  <c r="Z82" i="1"/>
  <c r="Y82" i="1"/>
  <c r="Z81" i="1"/>
  <c r="Y81" i="1"/>
  <c r="AT80" i="1"/>
  <c r="Z80" i="1"/>
  <c r="AL80" i="1" s="1"/>
  <c r="AM80" i="1" s="1"/>
  <c r="Y80" i="1"/>
  <c r="AV79" i="1"/>
  <c r="AT79" i="1"/>
  <c r="Z79" i="1"/>
  <c r="Y79" i="1"/>
  <c r="AV78" i="1"/>
  <c r="AT78" i="1"/>
  <c r="Z78" i="1"/>
  <c r="Y78" i="1"/>
  <c r="AT77" i="1"/>
  <c r="Z77" i="1"/>
  <c r="AL77" i="1" s="1"/>
  <c r="AM77" i="1" s="1"/>
  <c r="Y77" i="1"/>
  <c r="AT76" i="1"/>
  <c r="Z76" i="1"/>
  <c r="AL76" i="1" s="1"/>
  <c r="AM76" i="1" s="1"/>
  <c r="Y76" i="1"/>
  <c r="AT75" i="1"/>
  <c r="Z75" i="1"/>
  <c r="AL75" i="1" s="1"/>
  <c r="AM75" i="1" s="1"/>
  <c r="Y75" i="1"/>
  <c r="AT74" i="1"/>
  <c r="Z74" i="1"/>
  <c r="AL74" i="1" s="1"/>
  <c r="AM74" i="1" s="1"/>
  <c r="Y74" i="1"/>
  <c r="AT73" i="1"/>
  <c r="Z73" i="1"/>
  <c r="AL73" i="1" s="1"/>
  <c r="AM73" i="1" s="1"/>
  <c r="Y73" i="1"/>
  <c r="AT72" i="1"/>
  <c r="Z72" i="1"/>
  <c r="AL72" i="1" s="1"/>
  <c r="AM72" i="1" s="1"/>
  <c r="Y72" i="1"/>
  <c r="AT71" i="1"/>
  <c r="Z71" i="1"/>
  <c r="AL71" i="1" s="1"/>
  <c r="AM71" i="1" s="1"/>
  <c r="Y71" i="1"/>
  <c r="AT70" i="1"/>
  <c r="Z70" i="1"/>
  <c r="AL70" i="1" s="1"/>
  <c r="AM70" i="1" s="1"/>
  <c r="Y70" i="1"/>
  <c r="AT69" i="1"/>
  <c r="Z69" i="1"/>
  <c r="AL69" i="1" s="1"/>
  <c r="AM69" i="1" s="1"/>
  <c r="Y69" i="1"/>
  <c r="AT68" i="1"/>
  <c r="Z68" i="1"/>
  <c r="AL68" i="1" s="1"/>
  <c r="AM68" i="1" s="1"/>
  <c r="Y68" i="1"/>
  <c r="AT64" i="1"/>
  <c r="Z64" i="1"/>
  <c r="AL64" i="1" s="1"/>
  <c r="AM64" i="1" s="1"/>
  <c r="Y64" i="1"/>
  <c r="AT63" i="1"/>
  <c r="Z63" i="1"/>
  <c r="AL63" i="1" s="1"/>
  <c r="AM63" i="1" s="1"/>
  <c r="Y63" i="1"/>
  <c r="AT62" i="1"/>
  <c r="Z62" i="1"/>
  <c r="AL62" i="1" s="1"/>
  <c r="AM62" i="1" s="1"/>
  <c r="Y62" i="1"/>
  <c r="AT61" i="1"/>
  <c r="Z61" i="1"/>
  <c r="AL61" i="1" s="1"/>
  <c r="AM61" i="1" s="1"/>
  <c r="Y61" i="1"/>
  <c r="AT60" i="1"/>
  <c r="Z60" i="1"/>
  <c r="AL60" i="1" s="1"/>
  <c r="AM60" i="1" s="1"/>
  <c r="Y60" i="1"/>
  <c r="AT59" i="1"/>
  <c r="Z59" i="1"/>
  <c r="AL59" i="1" s="1"/>
  <c r="AM59" i="1" s="1"/>
  <c r="Y59" i="1"/>
  <c r="AT58" i="1"/>
  <c r="Z58" i="1"/>
  <c r="AL58" i="1" s="1"/>
  <c r="AM58" i="1" s="1"/>
  <c r="Y58" i="1"/>
  <c r="AT57" i="1"/>
  <c r="Z57" i="1"/>
  <c r="AL57" i="1" s="1"/>
  <c r="AM57" i="1" s="1"/>
  <c r="Y57" i="1"/>
  <c r="AT56" i="1"/>
  <c r="Z56" i="1"/>
  <c r="AL56" i="1" s="1"/>
  <c r="AM56" i="1" s="1"/>
  <c r="Y56" i="1"/>
  <c r="AT55" i="1"/>
  <c r="Z55" i="1"/>
  <c r="AL55" i="1" s="1"/>
  <c r="AM55" i="1" s="1"/>
  <c r="Y55" i="1"/>
  <c r="AT54" i="1"/>
  <c r="Z54" i="1"/>
  <c r="AL54" i="1" s="1"/>
  <c r="AM54" i="1" s="1"/>
  <c r="Y54" i="1"/>
  <c r="AT53" i="1"/>
  <c r="Z53" i="1"/>
  <c r="AL53" i="1" s="1"/>
  <c r="AM53" i="1" s="1"/>
  <c r="Y53" i="1"/>
  <c r="AS51" i="1"/>
  <c r="AT51" i="1" s="1"/>
  <c r="Z51" i="1"/>
  <c r="AL51" i="1" s="1"/>
  <c r="AM51" i="1" s="1"/>
  <c r="Y51" i="1"/>
  <c r="AT50" i="1"/>
  <c r="Z50" i="1"/>
  <c r="AL50" i="1" s="1"/>
  <c r="AM50" i="1" s="1"/>
  <c r="Y50" i="1"/>
  <c r="AT49" i="1"/>
  <c r="Z49" i="1"/>
  <c r="AL49" i="1" s="1"/>
  <c r="AM49" i="1" s="1"/>
  <c r="Y49" i="1"/>
  <c r="AT48" i="1"/>
  <c r="Z48" i="1"/>
  <c r="AL48" i="1" s="1"/>
  <c r="AM48" i="1" s="1"/>
  <c r="Y48" i="1"/>
  <c r="AV47" i="1"/>
  <c r="AT47" i="1"/>
  <c r="Z47" i="1"/>
  <c r="AL47" i="1" s="1"/>
  <c r="Y47" i="1"/>
  <c r="AV46" i="1"/>
  <c r="AT46" i="1"/>
  <c r="Z46" i="1"/>
  <c r="Y46" i="1"/>
  <c r="Z45" i="1"/>
  <c r="AL45" i="1" s="1"/>
  <c r="Y45" i="1"/>
  <c r="Z44" i="1"/>
  <c r="AL44" i="1" s="1"/>
  <c r="Y44" i="1"/>
  <c r="Z43" i="1"/>
  <c r="AL43" i="1" s="1"/>
  <c r="Y43" i="1"/>
  <c r="AT42" i="1"/>
  <c r="Z42" i="1"/>
  <c r="AL42" i="1" s="1"/>
  <c r="AM42" i="1" s="1"/>
  <c r="Y42" i="1"/>
  <c r="AT41" i="1"/>
  <c r="Z41" i="1"/>
  <c r="AL41" i="1" s="1"/>
  <c r="AM41" i="1" s="1"/>
  <c r="Y41" i="1"/>
  <c r="AT40" i="1"/>
  <c r="Z40" i="1"/>
  <c r="AL40" i="1" s="1"/>
  <c r="AM40" i="1" s="1"/>
  <c r="Y40" i="1"/>
  <c r="Z39" i="1"/>
  <c r="Y39" i="1"/>
  <c r="Z38" i="1"/>
  <c r="Y38" i="1"/>
  <c r="Z37" i="1"/>
  <c r="Y37" i="1"/>
  <c r="Z36" i="1"/>
  <c r="Y36" i="1"/>
  <c r="AT35" i="1"/>
  <c r="Z35" i="1"/>
  <c r="AL35" i="1" s="1"/>
  <c r="AM35" i="1" s="1"/>
  <c r="Y35" i="1"/>
  <c r="Z34" i="1"/>
  <c r="AL34" i="1" s="1"/>
  <c r="AM34" i="1" s="1"/>
  <c r="Y34" i="1"/>
  <c r="Z33" i="1"/>
  <c r="AL33" i="1" s="1"/>
  <c r="AM33" i="1" s="1"/>
  <c r="Y33" i="1"/>
  <c r="AT32" i="1"/>
  <c r="Z32" i="1"/>
  <c r="AL32" i="1" s="1"/>
  <c r="AM32" i="1" s="1"/>
  <c r="Y32" i="1"/>
  <c r="AT31" i="1"/>
  <c r="Z31" i="1"/>
  <c r="AL31" i="1" s="1"/>
  <c r="AM31" i="1" s="1"/>
  <c r="Y31" i="1"/>
  <c r="AT30" i="1"/>
  <c r="Z30" i="1"/>
  <c r="AL30" i="1" s="1"/>
  <c r="AM30" i="1" s="1"/>
  <c r="Y30" i="1"/>
  <c r="AT29" i="1"/>
  <c r="Z29" i="1"/>
  <c r="AL29" i="1" s="1"/>
  <c r="AM29" i="1" s="1"/>
  <c r="Y29" i="1"/>
  <c r="AT28" i="1"/>
  <c r="Z28" i="1"/>
  <c r="Y28" i="1"/>
  <c r="AT27" i="1"/>
  <c r="Z27" i="1"/>
  <c r="Y27" i="1"/>
  <c r="AT26" i="1"/>
  <c r="Z26" i="1"/>
  <c r="AL26" i="1" s="1"/>
  <c r="AM26" i="1" s="1"/>
  <c r="Y26" i="1"/>
  <c r="AV25" i="1"/>
  <c r="AT25" i="1"/>
  <c r="Z25" i="1"/>
  <c r="AL25" i="1" s="1"/>
  <c r="AM25" i="1" s="1"/>
  <c r="AT24" i="1"/>
  <c r="AK24" i="1"/>
  <c r="Z24" i="1"/>
  <c r="AL24" i="1" s="1"/>
  <c r="AM24" i="1" s="1"/>
  <c r="Y24" i="1"/>
  <c r="AT23" i="1"/>
  <c r="AK23" i="1"/>
  <c r="Z23" i="1"/>
  <c r="AL23" i="1" s="1"/>
  <c r="AM23" i="1" s="1"/>
  <c r="Y23" i="1"/>
  <c r="AT22" i="1"/>
  <c r="AK22" i="1"/>
  <c r="Z22" i="1"/>
  <c r="AL22" i="1" s="1"/>
  <c r="AM22" i="1" s="1"/>
  <c r="Y22" i="1"/>
  <c r="AM21" i="1"/>
  <c r="Z21" i="1"/>
  <c r="AM20" i="1"/>
  <c r="Z20" i="1"/>
  <c r="AT19" i="1"/>
  <c r="Z19" i="1"/>
  <c r="AL19" i="1" s="1"/>
  <c r="AM19" i="1" s="1"/>
  <c r="Y19" i="1"/>
  <c r="AT18" i="1"/>
  <c r="Y18" i="1"/>
  <c r="AT17" i="1"/>
  <c r="Z17" i="1"/>
  <c r="AL17" i="1" s="1"/>
  <c r="AM17" i="1" s="1"/>
  <c r="Y17" i="1"/>
  <c r="AT16" i="1"/>
  <c r="Z16" i="1"/>
  <c r="AL16" i="1" s="1"/>
  <c r="AM16" i="1" s="1"/>
  <c r="Y16" i="1"/>
  <c r="AV15" i="1"/>
  <c r="AT15" i="1"/>
  <c r="Z15" i="1"/>
  <c r="AL15" i="1" s="1"/>
  <c r="AM15" i="1" s="1"/>
  <c r="Y15" i="1"/>
  <c r="AT14" i="1"/>
  <c r="Z14" i="1"/>
  <c r="AL14" i="1" s="1"/>
  <c r="AM14" i="1" s="1"/>
  <c r="Y14" i="1"/>
  <c r="AM13" i="1"/>
  <c r="Z13" i="1"/>
  <c r="Y13" i="1"/>
  <c r="AM12" i="1"/>
  <c r="Z12" i="1"/>
  <c r="Y12" i="1"/>
  <c r="AT11" i="1"/>
  <c r="Z11" i="1"/>
  <c r="Y11" i="1"/>
  <c r="Z9" i="1"/>
  <c r="Y9" i="1"/>
  <c r="AT8" i="1"/>
  <c r="Z8" i="1"/>
  <c r="AL8" i="1" s="1"/>
  <c r="AM8" i="1" s="1"/>
  <c r="Y8" i="1"/>
  <c r="AT7" i="1"/>
  <c r="AM7" i="1"/>
  <c r="Z7" i="1"/>
  <c r="Y7" i="1"/>
  <c r="AT6" i="1"/>
  <c r="Z6" i="1"/>
  <c r="AL6" i="1" s="1"/>
  <c r="AM6" i="1" s="1"/>
  <c r="Y6" i="1"/>
  <c r="AT5" i="1"/>
  <c r="Z5" i="1"/>
  <c r="AL5" i="1" s="1"/>
  <c r="AM5" i="1" s="1"/>
  <c r="Y5" i="1"/>
  <c r="AT4" i="1"/>
  <c r="Z4" i="1"/>
  <c r="AL4" i="1" s="1"/>
  <c r="AM4" i="1" s="1"/>
  <c r="Y4" i="1"/>
  <c r="AU2571" i="1" l="1"/>
  <c r="AU2562" i="1"/>
  <c r="AU2561" i="1"/>
  <c r="BW2559" i="1"/>
  <c r="BW2560" i="1"/>
  <c r="BW2519" i="1"/>
  <c r="BW2520" i="1"/>
  <c r="BW2521" i="1"/>
  <c r="BW2522" i="1"/>
  <c r="BW2523" i="1"/>
  <c r="BW2524" i="1"/>
  <c r="BW2525" i="1"/>
  <c r="BW2526" i="1"/>
  <c r="BW2527" i="1"/>
  <c r="BW2528" i="1"/>
  <c r="BW2529" i="1"/>
  <c r="BW2530" i="1"/>
  <c r="BW2531" i="1"/>
  <c r="BW2532" i="1"/>
  <c r="BW2533" i="1"/>
  <c r="BW2534" i="1"/>
  <c r="BW2535" i="1"/>
  <c r="BW2536" i="1"/>
  <c r="BW2537" i="1"/>
  <c r="BW2538" i="1"/>
  <c r="BW2539" i="1"/>
  <c r="BW2540" i="1"/>
  <c r="BW2541" i="1"/>
  <c r="BW2542" i="1"/>
  <c r="BW2543" i="1"/>
  <c r="BW2544" i="1"/>
  <c r="BW2545" i="1"/>
  <c r="BW2546" i="1"/>
  <c r="BW2547" i="1"/>
  <c r="BW2548" i="1"/>
  <c r="BW2549" i="1"/>
  <c r="BW2550" i="1"/>
  <c r="BW2551" i="1"/>
  <c r="BW2552" i="1"/>
  <c r="BW2553" i="1"/>
  <c r="BW2554" i="1"/>
  <c r="BW2555" i="1"/>
  <c r="BW2556" i="1"/>
  <c r="BW2557" i="1"/>
  <c r="BW2558" i="1"/>
  <c r="BG2559" i="1"/>
  <c r="BG2560" i="1"/>
  <c r="BG2519" i="1"/>
  <c r="BG2520" i="1"/>
  <c r="BG2521" i="1"/>
  <c r="BG2522" i="1"/>
  <c r="BG2523" i="1"/>
  <c r="BG2524" i="1"/>
  <c r="BG2525" i="1"/>
  <c r="BG2526" i="1"/>
  <c r="BG2527" i="1"/>
  <c r="BG2528" i="1"/>
  <c r="BG2529" i="1"/>
  <c r="BG2530" i="1"/>
  <c r="BG2531" i="1"/>
  <c r="BG2532" i="1"/>
  <c r="BG2533" i="1"/>
  <c r="BG2534" i="1"/>
  <c r="BG2535" i="1"/>
  <c r="BG2536" i="1"/>
  <c r="BG2537" i="1"/>
  <c r="BG2538" i="1"/>
  <c r="BG2539" i="1"/>
  <c r="BG2540" i="1"/>
  <c r="BG2541" i="1"/>
  <c r="BG2542" i="1"/>
  <c r="BG2543" i="1"/>
  <c r="BG2544" i="1"/>
  <c r="BG2545" i="1"/>
  <c r="BG2546" i="1"/>
  <c r="BG2547" i="1"/>
  <c r="BG2548" i="1"/>
  <c r="BG2549" i="1"/>
  <c r="BG2550" i="1"/>
  <c r="BG2551" i="1"/>
  <c r="BG2552" i="1"/>
  <c r="BG2553" i="1"/>
  <c r="BG2554" i="1"/>
  <c r="BG2555" i="1"/>
  <c r="BG2556" i="1"/>
  <c r="BG2557" i="1"/>
  <c r="BG2558" i="1"/>
  <c r="BZ2559" i="1"/>
  <c r="BZ2560" i="1"/>
  <c r="BX2559" i="1"/>
  <c r="BX2560" i="1"/>
  <c r="BX2519" i="1"/>
  <c r="BX2520" i="1"/>
  <c r="BX2521" i="1"/>
  <c r="BX2522" i="1"/>
  <c r="BX2523" i="1"/>
  <c r="BX2524" i="1"/>
  <c r="BX2525" i="1"/>
  <c r="BX2526" i="1"/>
  <c r="BX2527" i="1"/>
  <c r="BX2528" i="1"/>
  <c r="BX2529" i="1"/>
  <c r="BX2530" i="1"/>
  <c r="BX2531" i="1"/>
  <c r="BX2532" i="1"/>
  <c r="BX2533" i="1"/>
  <c r="BX2534" i="1"/>
  <c r="BX2535" i="1"/>
  <c r="BX2536" i="1"/>
  <c r="BX2537" i="1"/>
  <c r="BX2538" i="1"/>
  <c r="BX2539" i="1"/>
  <c r="BX2540" i="1"/>
  <c r="BX2541" i="1"/>
  <c r="BX2542" i="1"/>
  <c r="BX2543" i="1"/>
  <c r="BX2544" i="1"/>
  <c r="BX2545" i="1"/>
  <c r="BX2546" i="1"/>
  <c r="BX2547" i="1"/>
  <c r="BX2548" i="1"/>
  <c r="BX2549" i="1"/>
  <c r="BX2550" i="1"/>
  <c r="BX2551" i="1"/>
  <c r="BX2552" i="1"/>
  <c r="BX2553" i="1"/>
  <c r="BX2554" i="1"/>
  <c r="BX2555" i="1"/>
  <c r="BX2556" i="1"/>
  <c r="BX2557" i="1"/>
  <c r="BX2558" i="1"/>
  <c r="BY2559" i="1"/>
  <c r="BY2560" i="1"/>
  <c r="BY2519" i="1"/>
  <c r="BY2520" i="1"/>
  <c r="BY2521" i="1"/>
  <c r="BY2522" i="1"/>
  <c r="BY2523" i="1"/>
  <c r="BY2524" i="1"/>
  <c r="BY2525" i="1"/>
  <c r="BY2526" i="1"/>
  <c r="BY2527" i="1"/>
  <c r="BY2528" i="1"/>
  <c r="BY2529" i="1"/>
  <c r="BY2530" i="1"/>
  <c r="BY2531" i="1"/>
  <c r="BY2532" i="1"/>
  <c r="BY2533" i="1"/>
  <c r="BY2534" i="1"/>
  <c r="BY2535" i="1"/>
  <c r="BY2536" i="1"/>
  <c r="BY2537" i="1"/>
  <c r="BY2538" i="1"/>
  <c r="BY2539" i="1"/>
  <c r="BY2540" i="1"/>
  <c r="BY2541" i="1"/>
  <c r="BY2542" i="1"/>
  <c r="BY2543" i="1"/>
  <c r="BY2544" i="1"/>
  <c r="BY2545" i="1"/>
  <c r="BY2546" i="1"/>
  <c r="BY2547" i="1"/>
  <c r="BY2548" i="1"/>
  <c r="BY2549" i="1"/>
  <c r="BY2550" i="1"/>
  <c r="BY2551" i="1"/>
  <c r="BY2552" i="1"/>
  <c r="BY2553" i="1"/>
  <c r="BY2554" i="1"/>
  <c r="BY2555" i="1"/>
  <c r="BY2556" i="1"/>
  <c r="BY2557" i="1"/>
  <c r="BY2558" i="1"/>
  <c r="AU2559" i="1"/>
  <c r="BZ2519" i="1"/>
  <c r="BZ2520" i="1"/>
  <c r="BZ2521" i="1"/>
  <c r="BZ2522" i="1"/>
  <c r="BZ2523" i="1"/>
  <c r="BZ2524" i="1"/>
  <c r="BZ2525" i="1"/>
  <c r="BZ2526" i="1"/>
  <c r="BZ2527" i="1"/>
  <c r="BZ2528" i="1"/>
  <c r="BZ2529" i="1"/>
  <c r="BZ2530" i="1"/>
  <c r="BZ2531" i="1"/>
  <c r="BZ2532" i="1"/>
  <c r="BZ2533" i="1"/>
  <c r="BZ2534" i="1"/>
  <c r="BZ2535" i="1"/>
  <c r="BZ2536" i="1"/>
  <c r="BZ2537" i="1"/>
  <c r="BZ2538" i="1"/>
  <c r="BZ2539" i="1"/>
  <c r="BZ2540" i="1"/>
  <c r="BZ2541" i="1"/>
  <c r="BZ2542" i="1"/>
  <c r="BZ2543" i="1"/>
  <c r="BZ2544" i="1"/>
  <c r="BZ2545" i="1"/>
  <c r="BZ2546" i="1"/>
  <c r="BZ2547" i="1"/>
  <c r="BZ2548" i="1"/>
  <c r="BZ2549" i="1"/>
  <c r="BZ2550" i="1"/>
  <c r="BZ2551" i="1"/>
  <c r="BZ2552" i="1"/>
  <c r="BZ2553" i="1"/>
  <c r="BZ2554" i="1"/>
  <c r="BZ2555" i="1"/>
  <c r="BZ2556" i="1"/>
  <c r="BZ2557" i="1"/>
  <c r="BZ2558" i="1"/>
  <c r="AU2535" i="1"/>
  <c r="F23" i="6"/>
  <c r="F26" i="6"/>
  <c r="AU2529" i="1"/>
  <c r="AU2519" i="1"/>
  <c r="BL2501" i="1"/>
  <c r="BL2502" i="1"/>
  <c r="BL2503" i="1"/>
  <c r="BL2504" i="1"/>
  <c r="BL2505" i="1"/>
  <c r="BL2506" i="1"/>
  <c r="BL2507" i="1"/>
  <c r="BL2508" i="1"/>
  <c r="BL2509" i="1"/>
  <c r="BL2510" i="1"/>
  <c r="BL2511" i="1"/>
  <c r="BL2512" i="1"/>
  <c r="BL2513" i="1"/>
  <c r="BL2514" i="1"/>
  <c r="BL2515" i="1"/>
  <c r="BL2516" i="1"/>
  <c r="BL2517" i="1"/>
  <c r="BL2518" i="1"/>
  <c r="BN2501" i="1"/>
  <c r="BN2502" i="1"/>
  <c r="BN2503" i="1"/>
  <c r="BN2504" i="1"/>
  <c r="BN2505" i="1"/>
  <c r="BN2506" i="1"/>
  <c r="BN2507" i="1"/>
  <c r="BN2508" i="1"/>
  <c r="BN2509" i="1"/>
  <c r="BN2510" i="1"/>
  <c r="BN2511" i="1"/>
  <c r="BN2512" i="1"/>
  <c r="BN2513" i="1"/>
  <c r="BN2514" i="1"/>
  <c r="BN2515" i="1"/>
  <c r="BN2516" i="1"/>
  <c r="BN2517" i="1"/>
  <c r="BN2518" i="1"/>
  <c r="BW2501" i="1"/>
  <c r="BW2502" i="1"/>
  <c r="BW2503" i="1"/>
  <c r="BW2504" i="1"/>
  <c r="BW2505" i="1"/>
  <c r="BW2506" i="1"/>
  <c r="BW2507" i="1"/>
  <c r="BW2508" i="1"/>
  <c r="BW2509" i="1"/>
  <c r="BW2510" i="1"/>
  <c r="BW2511" i="1"/>
  <c r="BW2512" i="1"/>
  <c r="BW2513" i="1"/>
  <c r="BW2514" i="1"/>
  <c r="BW2515" i="1"/>
  <c r="BW2516" i="1"/>
  <c r="BW2517" i="1"/>
  <c r="BW2518" i="1"/>
  <c r="BG2501" i="1"/>
  <c r="BG2502" i="1"/>
  <c r="BG2503" i="1"/>
  <c r="BG2504" i="1"/>
  <c r="BG2505" i="1"/>
  <c r="BG2506" i="1"/>
  <c r="BG2507" i="1"/>
  <c r="BG2508" i="1"/>
  <c r="BG2509" i="1"/>
  <c r="BG2510" i="1"/>
  <c r="BG2511" i="1"/>
  <c r="BG2512" i="1"/>
  <c r="BG2513" i="1"/>
  <c r="BG2514" i="1"/>
  <c r="BG2515" i="1"/>
  <c r="BG2516" i="1"/>
  <c r="BG2517" i="1"/>
  <c r="BG2518" i="1"/>
  <c r="BZ2501" i="1"/>
  <c r="BZ2502" i="1"/>
  <c r="BZ2503" i="1"/>
  <c r="BZ2504" i="1"/>
  <c r="BZ2505" i="1"/>
  <c r="BZ2506" i="1"/>
  <c r="BZ2507" i="1"/>
  <c r="BZ2508" i="1"/>
  <c r="BZ2509" i="1"/>
  <c r="BZ2510" i="1"/>
  <c r="BZ2511" i="1"/>
  <c r="BZ2512" i="1"/>
  <c r="BZ2513" i="1"/>
  <c r="BZ2514" i="1"/>
  <c r="BZ2515" i="1"/>
  <c r="BZ2516" i="1"/>
  <c r="BZ2517" i="1"/>
  <c r="BZ2518" i="1"/>
  <c r="BX2501" i="1"/>
  <c r="BX2502" i="1"/>
  <c r="BX2503" i="1"/>
  <c r="BX2504" i="1"/>
  <c r="BX2505" i="1"/>
  <c r="BX2506" i="1"/>
  <c r="BX2507" i="1"/>
  <c r="BX2508" i="1"/>
  <c r="BX2509" i="1"/>
  <c r="BX2510" i="1"/>
  <c r="BX2511" i="1"/>
  <c r="BX2512" i="1"/>
  <c r="BX2513" i="1"/>
  <c r="BX2514" i="1"/>
  <c r="BX2515" i="1"/>
  <c r="BX2516" i="1"/>
  <c r="BX2517" i="1"/>
  <c r="BX2518" i="1"/>
  <c r="BU2501" i="1"/>
  <c r="BU2502" i="1"/>
  <c r="BU2503" i="1"/>
  <c r="BU2504" i="1"/>
  <c r="BU2505" i="1"/>
  <c r="BU2506" i="1"/>
  <c r="BU2507" i="1"/>
  <c r="BU2508" i="1"/>
  <c r="BU2509" i="1"/>
  <c r="BU2510" i="1"/>
  <c r="BU2511" i="1"/>
  <c r="BU2512" i="1"/>
  <c r="BU2513" i="1"/>
  <c r="BU2514" i="1"/>
  <c r="BU2515" i="1"/>
  <c r="BU2516" i="1"/>
  <c r="BU2517" i="1"/>
  <c r="BU2518" i="1"/>
  <c r="BY2501" i="1"/>
  <c r="BY2502" i="1"/>
  <c r="BY2503" i="1"/>
  <c r="BY2504" i="1"/>
  <c r="BY2505" i="1"/>
  <c r="BY2506" i="1"/>
  <c r="BY2507" i="1"/>
  <c r="BY2508" i="1"/>
  <c r="BY2509" i="1"/>
  <c r="BY2510" i="1"/>
  <c r="BY2511" i="1"/>
  <c r="BY2512" i="1"/>
  <c r="BY2513" i="1"/>
  <c r="BY2514" i="1"/>
  <c r="BY2515" i="1"/>
  <c r="BY2516" i="1"/>
  <c r="BY2517" i="1"/>
  <c r="BY2518" i="1"/>
  <c r="AU2503" i="1"/>
  <c r="AU2502" i="1"/>
  <c r="AU2501" i="1"/>
  <c r="S6" i="6"/>
  <c r="G6" i="6"/>
  <c r="BL2480" i="1"/>
  <c r="BO2434" i="1"/>
  <c r="AU2441" i="1"/>
  <c r="AU2444" i="1"/>
  <c r="T25" i="6"/>
  <c r="U25" i="6"/>
  <c r="R26" i="6"/>
  <c r="R23" i="6"/>
  <c r="R28" i="6"/>
  <c r="R27" i="6"/>
  <c r="R22" i="6"/>
  <c r="T24" i="6"/>
  <c r="U24" i="6"/>
  <c r="X24" i="6"/>
  <c r="R24" i="6"/>
  <c r="BN2490" i="1"/>
  <c r="BN2477" i="1"/>
  <c r="BS2425" i="1"/>
  <c r="BK2449" i="1"/>
  <c r="BY2462" i="1"/>
  <c r="BG2458" i="1"/>
  <c r="BU2489" i="1"/>
  <c r="BO2489" i="1"/>
  <c r="BN2476" i="1"/>
  <c r="BK2496" i="1"/>
  <c r="BK2488" i="1"/>
  <c r="BK2480" i="1"/>
  <c r="BH2425" i="1"/>
  <c r="BX2497" i="1"/>
  <c r="BX2481" i="1"/>
  <c r="BX2448" i="1"/>
  <c r="BW2490" i="1"/>
  <c r="BT2481" i="1"/>
  <c r="BW2422" i="1"/>
  <c r="BS2449" i="1"/>
  <c r="BX2437" i="1"/>
  <c r="BG2445" i="1"/>
  <c r="BV2461" i="1"/>
  <c r="BV2450" i="1"/>
  <c r="BY2450" i="1"/>
  <c r="BX2467" i="1"/>
  <c r="BX2470" i="1"/>
  <c r="BU2488" i="1"/>
  <c r="BV2487" i="1"/>
  <c r="BN2489" i="1"/>
  <c r="BN2475" i="1"/>
  <c r="BK2424" i="1"/>
  <c r="BW2500" i="1"/>
  <c r="BT2490" i="1"/>
  <c r="BW2480" i="1"/>
  <c r="BT2422" i="1"/>
  <c r="BT2449" i="1"/>
  <c r="BG2446" i="1"/>
  <c r="BY2451" i="1"/>
  <c r="BG2465" i="1"/>
  <c r="BU2487" i="1"/>
  <c r="BN2500" i="1"/>
  <c r="BN2487" i="1"/>
  <c r="BN2425" i="1"/>
  <c r="BI2495" i="1"/>
  <c r="BI2487" i="1"/>
  <c r="BI2479" i="1"/>
  <c r="BH2424" i="1"/>
  <c r="BX2494" i="1"/>
  <c r="BX2478" i="1"/>
  <c r="BJ2497" i="1"/>
  <c r="BW2498" i="1"/>
  <c r="BT2489" i="1"/>
  <c r="BT2479" i="1"/>
  <c r="BI2426" i="1"/>
  <c r="BX2447" i="1"/>
  <c r="BY2441" i="1"/>
  <c r="BV2453" i="1"/>
  <c r="BV2464" i="1"/>
  <c r="BG2467" i="1"/>
  <c r="BG2472" i="1"/>
  <c r="BU2424" i="1"/>
  <c r="BV2500" i="1"/>
  <c r="BV2484" i="1"/>
  <c r="BO2499" i="1"/>
  <c r="BN2486" i="1"/>
  <c r="BN2424" i="1"/>
  <c r="BK2494" i="1"/>
  <c r="BK2486" i="1"/>
  <c r="BK2478" i="1"/>
  <c r="BK2423" i="1"/>
  <c r="BX2493" i="1"/>
  <c r="BX2477" i="1"/>
  <c r="BL2496" i="1"/>
  <c r="BT2498" i="1"/>
  <c r="BW2488" i="1"/>
  <c r="BW2478" i="1"/>
  <c r="BK2426" i="1"/>
  <c r="BX2440" i="1"/>
  <c r="BV2454" i="1"/>
  <c r="BV2465" i="1"/>
  <c r="BV2468" i="1"/>
  <c r="BY2468" i="1"/>
  <c r="BU2423" i="1"/>
  <c r="BV2499" i="1"/>
  <c r="BV2483" i="1"/>
  <c r="BN2499" i="1"/>
  <c r="BN2485" i="1"/>
  <c r="BL2489" i="1"/>
  <c r="BY2469" i="1"/>
  <c r="BN2498" i="1"/>
  <c r="BN2484" i="1"/>
  <c r="BN2423" i="1"/>
  <c r="BK2493" i="1"/>
  <c r="BK2485" i="1"/>
  <c r="BK2477" i="1"/>
  <c r="BH2423" i="1"/>
  <c r="BG2491" i="1"/>
  <c r="BJ2489" i="1"/>
  <c r="BT2497" i="1"/>
  <c r="BW2487" i="1"/>
  <c r="BW2477" i="1"/>
  <c r="BI2427" i="1"/>
  <c r="BG2448" i="1"/>
  <c r="BY2428" i="1"/>
  <c r="BX2442" i="1"/>
  <c r="BV2442" i="1"/>
  <c r="BV2456" i="1"/>
  <c r="BX2451" i="1"/>
  <c r="BV2467" i="1"/>
  <c r="BV2470" i="1"/>
  <c r="BV2497" i="1"/>
  <c r="BV2481" i="1"/>
  <c r="BN2497" i="1"/>
  <c r="BO2483" i="1"/>
  <c r="BO2422" i="1"/>
  <c r="BI2493" i="1"/>
  <c r="BI2485" i="1"/>
  <c r="BI2477" i="1"/>
  <c r="BK2422" i="1"/>
  <c r="BG2490" i="1"/>
  <c r="BX2490" i="1"/>
  <c r="BX2474" i="1"/>
  <c r="BL2488" i="1"/>
  <c r="BY2493" i="1"/>
  <c r="BW2496" i="1"/>
  <c r="BT2487" i="1"/>
  <c r="BW2476" i="1"/>
  <c r="BK2427" i="1"/>
  <c r="BG2449" i="1"/>
  <c r="BY2429" i="1"/>
  <c r="BX2443" i="1"/>
  <c r="BV2443" i="1"/>
  <c r="BV2457" i="1"/>
  <c r="BX2452" i="1"/>
  <c r="BV2471" i="1"/>
  <c r="BV2496" i="1"/>
  <c r="BV2480" i="1"/>
  <c r="BN2496" i="1"/>
  <c r="BN2483" i="1"/>
  <c r="BN2422" i="1"/>
  <c r="BK2500" i="1"/>
  <c r="BK2492" i="1"/>
  <c r="BK2484" i="1"/>
  <c r="BK2476" i="1"/>
  <c r="BI2422" i="1"/>
  <c r="BG2489" i="1"/>
  <c r="BX2489" i="1"/>
  <c r="BX2425" i="1"/>
  <c r="BL2481" i="1"/>
  <c r="BY2492" i="1"/>
  <c r="BT2496" i="1"/>
  <c r="BW2486" i="1"/>
  <c r="BT2476" i="1"/>
  <c r="BT2427" i="1"/>
  <c r="BN2434" i="1"/>
  <c r="BX2444" i="1"/>
  <c r="BV2444" i="1"/>
  <c r="BX2459" i="1"/>
  <c r="BV2458" i="1"/>
  <c r="BX2453" i="1"/>
  <c r="BV2472" i="1"/>
  <c r="BV2495" i="1"/>
  <c r="BV2479" i="1"/>
  <c r="BN2495" i="1"/>
  <c r="BN2482" i="1"/>
  <c r="BN2421" i="1"/>
  <c r="BI2500" i="1"/>
  <c r="BI2492" i="1"/>
  <c r="BI2484" i="1"/>
  <c r="BI2476" i="1"/>
  <c r="BH2422" i="1"/>
  <c r="BG2475" i="1"/>
  <c r="BX2488" i="1"/>
  <c r="BX2424" i="1"/>
  <c r="BJ2481" i="1"/>
  <c r="BY2491" i="1"/>
  <c r="BW2495" i="1"/>
  <c r="BT2486" i="1"/>
  <c r="BW2474" i="1"/>
  <c r="BW2427" i="1"/>
  <c r="BO2448" i="1"/>
  <c r="BX2428" i="1"/>
  <c r="BG2447" i="1"/>
  <c r="BX2445" i="1"/>
  <c r="BV2445" i="1"/>
  <c r="BX2460" i="1"/>
  <c r="BU2453" i="1"/>
  <c r="BX2454" i="1"/>
  <c r="BV2494" i="1"/>
  <c r="BV2478" i="1"/>
  <c r="BO2494" i="1"/>
  <c r="BN2481" i="1"/>
  <c r="BI2420" i="1"/>
  <c r="BK2499" i="1"/>
  <c r="BK2491" i="1"/>
  <c r="BK2483" i="1"/>
  <c r="BK2475" i="1"/>
  <c r="BK2421" i="1"/>
  <c r="BG2474" i="1"/>
  <c r="BX2487" i="1"/>
  <c r="BX2423" i="1"/>
  <c r="BS2491" i="1"/>
  <c r="BY2477" i="1"/>
  <c r="BT2495" i="1"/>
  <c r="BW2485" i="1"/>
  <c r="BT2474" i="1"/>
  <c r="BK2434" i="1"/>
  <c r="BO2449" i="1"/>
  <c r="BX2429" i="1"/>
  <c r="BU2436" i="1"/>
  <c r="BX2446" i="1"/>
  <c r="BV2446" i="1"/>
  <c r="BX2461" i="1"/>
  <c r="BU2454" i="1"/>
  <c r="BX2455" i="1"/>
  <c r="BV2493" i="1"/>
  <c r="BN2494" i="1"/>
  <c r="BN2480" i="1"/>
  <c r="BK2420" i="1"/>
  <c r="BI2499" i="1"/>
  <c r="BI2491" i="1"/>
  <c r="BI2483" i="1"/>
  <c r="BI2475" i="1"/>
  <c r="BI2421" i="1"/>
  <c r="BX2486" i="1"/>
  <c r="BX2422" i="1"/>
  <c r="BS2490" i="1"/>
  <c r="BL2425" i="1"/>
  <c r="BY2476" i="1"/>
  <c r="BW2494" i="1"/>
  <c r="BW2484" i="1"/>
  <c r="BW2425" i="1"/>
  <c r="BT2434" i="1"/>
  <c r="BY2426" i="1"/>
  <c r="BX2430" i="1"/>
  <c r="BU2437" i="1"/>
  <c r="BU2428" i="1"/>
  <c r="BX2462" i="1"/>
  <c r="BU2455" i="1"/>
  <c r="BX2456" i="1"/>
  <c r="BV2492" i="1"/>
  <c r="BN2420" i="1"/>
  <c r="BN2493" i="1"/>
  <c r="BN2479" i="1"/>
  <c r="BK2498" i="1"/>
  <c r="BK2490" i="1"/>
  <c r="BK2482" i="1"/>
  <c r="BK2474" i="1"/>
  <c r="BX2420" i="1"/>
  <c r="BX2485" i="1"/>
  <c r="BX2421" i="1"/>
  <c r="BS2489" i="1"/>
  <c r="BJ2425" i="1"/>
  <c r="BY2475" i="1"/>
  <c r="BT2494" i="1"/>
  <c r="BT2484" i="1"/>
  <c r="BT2425" i="1"/>
  <c r="BW2434" i="1"/>
  <c r="BN2426" i="1"/>
  <c r="BX2431" i="1"/>
  <c r="BU2438" i="1"/>
  <c r="BG2441" i="1"/>
  <c r="BU2429" i="1"/>
  <c r="BX2473" i="1"/>
  <c r="BX2457" i="1"/>
  <c r="BX2463" i="1"/>
  <c r="BV2491" i="1"/>
  <c r="BN2492" i="1"/>
  <c r="BO2478" i="1"/>
  <c r="BI2498" i="1"/>
  <c r="BI2490" i="1"/>
  <c r="BI2482" i="1"/>
  <c r="BI2474" i="1"/>
  <c r="BS2475" i="1"/>
  <c r="BL2424" i="1"/>
  <c r="BW2493" i="1"/>
  <c r="BW2482" i="1"/>
  <c r="BW2424" i="1"/>
  <c r="BK2448" i="1"/>
  <c r="BX2432" i="1"/>
  <c r="BG2442" i="1"/>
  <c r="BU2430" i="1"/>
  <c r="BY2460" i="1"/>
  <c r="BX2458" i="1"/>
  <c r="BX2464" i="1"/>
  <c r="BV2490" i="1"/>
  <c r="BU2475" i="1"/>
  <c r="BN2491" i="1"/>
  <c r="BN2478" i="1"/>
  <c r="BK2497" i="1"/>
  <c r="BK2489" i="1"/>
  <c r="BK2481" i="1"/>
  <c r="BK2425" i="1"/>
  <c r="BX2499" i="1"/>
  <c r="BX2483" i="1"/>
  <c r="BS2474" i="1"/>
  <c r="BX2427" i="1"/>
  <c r="BW2492" i="1"/>
  <c r="BT2482" i="1"/>
  <c r="BT2424" i="1"/>
  <c r="BI2449" i="1"/>
  <c r="BX2433" i="1"/>
  <c r="BX2435" i="1"/>
  <c r="BG2443" i="1"/>
  <c r="BV2459" i="1"/>
  <c r="BY2461" i="1"/>
  <c r="BG2450" i="1"/>
  <c r="BX2465" i="1"/>
  <c r="BX2468" i="1"/>
  <c r="BO2500" i="1"/>
  <c r="BO2484" i="1"/>
  <c r="BG2492" i="1"/>
  <c r="BG2476" i="1"/>
  <c r="BS2492" i="1"/>
  <c r="BS2476" i="1"/>
  <c r="BJ2498" i="1"/>
  <c r="BJ2490" i="1"/>
  <c r="BJ2482" i="1"/>
  <c r="BJ2474" i="1"/>
  <c r="BY2494" i="1"/>
  <c r="BY2478" i="1"/>
  <c r="BW2420" i="1"/>
  <c r="BT2499" i="1"/>
  <c r="BT2491" i="1"/>
  <c r="BT2483" i="1"/>
  <c r="BT2475" i="1"/>
  <c r="BT2426" i="1"/>
  <c r="BW2448" i="1"/>
  <c r="BN2448" i="1"/>
  <c r="BU2435" i="1"/>
  <c r="BU2449" i="1"/>
  <c r="BU2473" i="1"/>
  <c r="BY2459" i="1"/>
  <c r="BU2452" i="1"/>
  <c r="BG2457" i="1"/>
  <c r="BG2464" i="1"/>
  <c r="BG2471" i="1"/>
  <c r="BU2490" i="1"/>
  <c r="BU2474" i="1"/>
  <c r="BO2488" i="1"/>
  <c r="BG2488" i="1"/>
  <c r="BS2488" i="1"/>
  <c r="BS2424" i="1"/>
  <c r="BJ2496" i="1"/>
  <c r="BJ2488" i="1"/>
  <c r="BJ2480" i="1"/>
  <c r="BJ2424" i="1"/>
  <c r="BY2490" i="1"/>
  <c r="BY2474" i="1"/>
  <c r="BS2427" i="1"/>
  <c r="BY2427" i="1"/>
  <c r="BY2430" i="1"/>
  <c r="BU2439" i="1"/>
  <c r="BY2442" i="1"/>
  <c r="BU2431" i="1"/>
  <c r="BY2473" i="1"/>
  <c r="BU2456" i="1"/>
  <c r="BY2452" i="1"/>
  <c r="BY2463" i="1"/>
  <c r="BY2470" i="1"/>
  <c r="BU2486" i="1"/>
  <c r="BU2422" i="1"/>
  <c r="BO2420" i="1"/>
  <c r="BO2493" i="1"/>
  <c r="BO2477" i="1"/>
  <c r="BO2421" i="1"/>
  <c r="BG2487" i="1"/>
  <c r="BS2487" i="1"/>
  <c r="BS2423" i="1"/>
  <c r="BL2495" i="1"/>
  <c r="BL2487" i="1"/>
  <c r="BL2479" i="1"/>
  <c r="BL2423" i="1"/>
  <c r="BY2489" i="1"/>
  <c r="BY2425" i="1"/>
  <c r="BY2434" i="1"/>
  <c r="BY2431" i="1"/>
  <c r="BU2447" i="1"/>
  <c r="BY2443" i="1"/>
  <c r="BU2432" i="1"/>
  <c r="BU2457" i="1"/>
  <c r="BY2453" i="1"/>
  <c r="BY2464" i="1"/>
  <c r="BY2471" i="1"/>
  <c r="BU2485" i="1"/>
  <c r="BU2421" i="1"/>
  <c r="BO2498" i="1"/>
  <c r="BO2482" i="1"/>
  <c r="BG2486" i="1"/>
  <c r="BS2486" i="1"/>
  <c r="BS2422" i="1"/>
  <c r="BJ2495" i="1"/>
  <c r="BJ2487" i="1"/>
  <c r="BJ2479" i="1"/>
  <c r="BJ2423" i="1"/>
  <c r="BY2488" i="1"/>
  <c r="BY2424" i="1"/>
  <c r="BY2448" i="1"/>
  <c r="BY2432" i="1"/>
  <c r="BU2440" i="1"/>
  <c r="BY2444" i="1"/>
  <c r="BU2433" i="1"/>
  <c r="BU2458" i="1"/>
  <c r="BY2454" i="1"/>
  <c r="BY2465" i="1"/>
  <c r="BY2472" i="1"/>
  <c r="BU2500" i="1"/>
  <c r="BU2484" i="1"/>
  <c r="BU2426" i="1"/>
  <c r="BO2487" i="1"/>
  <c r="BO2476" i="1"/>
  <c r="BG2485" i="1"/>
  <c r="BS2485" i="1"/>
  <c r="BS2421" i="1"/>
  <c r="BL2494" i="1"/>
  <c r="BL2486" i="1"/>
  <c r="BL2478" i="1"/>
  <c r="BL2422" i="1"/>
  <c r="BY2487" i="1"/>
  <c r="BY2423" i="1"/>
  <c r="BW2479" i="1"/>
  <c r="BW2423" i="1"/>
  <c r="BI2434" i="1"/>
  <c r="BY2449" i="1"/>
  <c r="BY2433" i="1"/>
  <c r="BU2441" i="1"/>
  <c r="BY2445" i="1"/>
  <c r="BY2455" i="1"/>
  <c r="BY2466" i="1"/>
  <c r="BU2420" i="1"/>
  <c r="BU2499" i="1"/>
  <c r="BU2483" i="1"/>
  <c r="BU2427" i="1"/>
  <c r="BO2492" i="1"/>
  <c r="BG2500" i="1"/>
  <c r="BG2484" i="1"/>
  <c r="BS2500" i="1"/>
  <c r="BS2484" i="1"/>
  <c r="BJ2494" i="1"/>
  <c r="BJ2486" i="1"/>
  <c r="BJ2478" i="1"/>
  <c r="BJ2422" i="1"/>
  <c r="BY2486" i="1"/>
  <c r="BY2422" i="1"/>
  <c r="BU2442" i="1"/>
  <c r="BY2446" i="1"/>
  <c r="BY2456" i="1"/>
  <c r="BY2467" i="1"/>
  <c r="BU2498" i="1"/>
  <c r="BU2482" i="1"/>
  <c r="BU2434" i="1"/>
  <c r="BO2497" i="1"/>
  <c r="BO2481" i="1"/>
  <c r="BO2475" i="1"/>
  <c r="BG2499" i="1"/>
  <c r="BG2483" i="1"/>
  <c r="BS2420" i="1"/>
  <c r="BS2499" i="1"/>
  <c r="BS2483" i="1"/>
  <c r="BL2493" i="1"/>
  <c r="BL2485" i="1"/>
  <c r="BL2477" i="1"/>
  <c r="BL2421" i="1"/>
  <c r="BY2485" i="1"/>
  <c r="BY2421" i="1"/>
  <c r="BS2434" i="1"/>
  <c r="BU2443" i="1"/>
  <c r="BY2457" i="1"/>
  <c r="BU2468" i="1"/>
  <c r="BU2497" i="1"/>
  <c r="BU2481" i="1"/>
  <c r="BU2448" i="1"/>
  <c r="BO2486" i="1"/>
  <c r="BG2498" i="1"/>
  <c r="BG2482" i="1"/>
  <c r="BS2498" i="1"/>
  <c r="BS2482" i="1"/>
  <c r="BJ2493" i="1"/>
  <c r="BJ2485" i="1"/>
  <c r="BJ2477" i="1"/>
  <c r="BJ2421" i="1"/>
  <c r="BY2500" i="1"/>
  <c r="BY2484" i="1"/>
  <c r="BY2435" i="1"/>
  <c r="BU2444" i="1"/>
  <c r="BG2451" i="1"/>
  <c r="BY2458" i="1"/>
  <c r="BU2469" i="1"/>
  <c r="BU2496" i="1"/>
  <c r="BU2480" i="1"/>
  <c r="BO2491" i="1"/>
  <c r="BO2474" i="1"/>
  <c r="BG2497" i="1"/>
  <c r="BG2481" i="1"/>
  <c r="BS2497" i="1"/>
  <c r="BS2481" i="1"/>
  <c r="BL2500" i="1"/>
  <c r="BL2492" i="1"/>
  <c r="BL2484" i="1"/>
  <c r="BL2476" i="1"/>
  <c r="BY2420" i="1"/>
  <c r="BY2499" i="1"/>
  <c r="BY2483" i="1"/>
  <c r="BO2426" i="1"/>
  <c r="BY2436" i="1"/>
  <c r="BU2445" i="1"/>
  <c r="BG2459" i="1"/>
  <c r="BG2452" i="1"/>
  <c r="BU2463" i="1"/>
  <c r="BU2470" i="1"/>
  <c r="BU2495" i="1"/>
  <c r="BU2479" i="1"/>
  <c r="BO2496" i="1"/>
  <c r="BO2480" i="1"/>
  <c r="BG2496" i="1"/>
  <c r="BG2480" i="1"/>
  <c r="BS2496" i="1"/>
  <c r="BS2480" i="1"/>
  <c r="BJ2500" i="1"/>
  <c r="BJ2492" i="1"/>
  <c r="BJ2484" i="1"/>
  <c r="BJ2476" i="1"/>
  <c r="BY2498" i="1"/>
  <c r="BY2482" i="1"/>
  <c r="BT2493" i="1"/>
  <c r="BT2485" i="1"/>
  <c r="BT2477" i="1"/>
  <c r="BT2421" i="1"/>
  <c r="BI2448" i="1"/>
  <c r="BN2427" i="1"/>
  <c r="BY2437" i="1"/>
  <c r="BU2446" i="1"/>
  <c r="BU2459" i="1"/>
  <c r="BG2460" i="1"/>
  <c r="BG2453" i="1"/>
  <c r="BU2464" i="1"/>
  <c r="BU2471" i="1"/>
  <c r="BU2494" i="1"/>
  <c r="BU2478" i="1"/>
  <c r="BO2485" i="1"/>
  <c r="BO2425" i="1"/>
  <c r="BG2495" i="1"/>
  <c r="BG2479" i="1"/>
  <c r="BS2495" i="1"/>
  <c r="BS2479" i="1"/>
  <c r="BJ2420" i="1"/>
  <c r="BL2499" i="1"/>
  <c r="BL2491" i="1"/>
  <c r="BL2483" i="1"/>
  <c r="BL2475" i="1"/>
  <c r="BY2497" i="1"/>
  <c r="BY2481" i="1"/>
  <c r="BO2427" i="1"/>
  <c r="BY2438" i="1"/>
  <c r="BU2460" i="1"/>
  <c r="BG2461" i="1"/>
  <c r="BG2454" i="1"/>
  <c r="BU2465" i="1"/>
  <c r="BU2472" i="1"/>
  <c r="BG2468" i="1"/>
  <c r="BU2493" i="1"/>
  <c r="BU2477" i="1"/>
  <c r="BO2490" i="1"/>
  <c r="BG2494" i="1"/>
  <c r="BG2478" i="1"/>
  <c r="BS2494" i="1"/>
  <c r="BS2478" i="1"/>
  <c r="BL2420" i="1"/>
  <c r="BJ2499" i="1"/>
  <c r="BJ2491" i="1"/>
  <c r="BJ2483" i="1"/>
  <c r="BJ2475" i="1"/>
  <c r="BY2496" i="1"/>
  <c r="BY2480" i="1"/>
  <c r="BS2448" i="1"/>
  <c r="BY2439" i="1"/>
  <c r="BU2461" i="1"/>
  <c r="BG2462" i="1"/>
  <c r="BU2450" i="1"/>
  <c r="BG2455" i="1"/>
  <c r="BU2466" i="1"/>
  <c r="BG2469" i="1"/>
  <c r="BU2492" i="1"/>
  <c r="BU2476" i="1"/>
  <c r="BO2495" i="1"/>
  <c r="BO2479" i="1"/>
  <c r="BO2424" i="1"/>
  <c r="BG2493" i="1"/>
  <c r="BG2477" i="1"/>
  <c r="BS2493" i="1"/>
  <c r="BS2477" i="1"/>
  <c r="BL2498" i="1"/>
  <c r="BL2490" i="1"/>
  <c r="BL2482" i="1"/>
  <c r="BL2474" i="1"/>
  <c r="BY2495" i="1"/>
  <c r="BY2479" i="1"/>
  <c r="BW2499" i="1"/>
  <c r="BW2491" i="1"/>
  <c r="BW2483" i="1"/>
  <c r="BW2475" i="1"/>
  <c r="BS2426" i="1"/>
  <c r="BT2448" i="1"/>
  <c r="BY2447" i="1"/>
  <c r="BU2462" i="1"/>
  <c r="BG2473" i="1"/>
  <c r="BU2451" i="1"/>
  <c r="BG2456" i="1"/>
  <c r="BU2467" i="1"/>
  <c r="BG2463" i="1"/>
  <c r="BG2470" i="1"/>
  <c r="BU2491" i="1"/>
  <c r="BV2429" i="1"/>
  <c r="BV2421" i="1"/>
  <c r="BV2420" i="1"/>
  <c r="BV2431" i="1"/>
  <c r="BV2449" i="1"/>
  <c r="BV2475" i="1"/>
  <c r="BV2426" i="1"/>
  <c r="BV2422" i="1"/>
  <c r="BV2436" i="1"/>
  <c r="BV2433" i="1"/>
  <c r="BV2476" i="1"/>
  <c r="BV2438" i="1"/>
  <c r="BV2423" i="1"/>
  <c r="BV2440" i="1"/>
  <c r="BV2428" i="1"/>
  <c r="BV2448" i="1"/>
  <c r="BV2477" i="1"/>
  <c r="BV2430" i="1"/>
  <c r="BV2424" i="1"/>
  <c r="BV2447" i="1"/>
  <c r="BV2435" i="1"/>
  <c r="BV2432" i="1"/>
  <c r="BV2434" i="1"/>
  <c r="BV2425" i="1"/>
  <c r="BV2437" i="1"/>
  <c r="BV2439" i="1"/>
  <c r="BV2427" i="1"/>
  <c r="BV2474" i="1"/>
  <c r="AU2427" i="1"/>
  <c r="BZ2475" i="1"/>
  <c r="BZ2476" i="1"/>
  <c r="BZ2422" i="1"/>
  <c r="BZ2421" i="1"/>
  <c r="BH2426" i="1"/>
  <c r="BZ2423" i="1"/>
  <c r="BN2449" i="1"/>
  <c r="BZ2424" i="1"/>
  <c r="BH2448" i="1"/>
  <c r="BZ2420" i="1"/>
  <c r="AU2645" i="1"/>
  <c r="BZ2477" i="1"/>
  <c r="BZ2425" i="1"/>
  <c r="BZ2474" i="1"/>
  <c r="BZ2478" i="1"/>
  <c r="BZ2479" i="1"/>
  <c r="BZ2480" i="1"/>
  <c r="BZ2481" i="1"/>
  <c r="BZ2482" i="1"/>
  <c r="BZ2483" i="1"/>
  <c r="BZ2484" i="1"/>
  <c r="BZ2485" i="1"/>
  <c r="BZ2486" i="1"/>
  <c r="BZ2487" i="1"/>
  <c r="BZ2488" i="1"/>
  <c r="BZ2489" i="1"/>
  <c r="BZ2490" i="1"/>
  <c r="BZ2491" i="1"/>
  <c r="BZ2492" i="1"/>
  <c r="BZ2493" i="1"/>
  <c r="BZ2494" i="1"/>
  <c r="BZ2495" i="1"/>
  <c r="BZ2496" i="1"/>
  <c r="BZ2497" i="1"/>
  <c r="BZ2498" i="1"/>
  <c r="BZ2499" i="1"/>
  <c r="BZ2500" i="1"/>
  <c r="BJ2472" i="1"/>
  <c r="BJ2471" i="1"/>
  <c r="BJ2470" i="1"/>
  <c r="BJ2469" i="1"/>
  <c r="BJ2468" i="1"/>
  <c r="BL2472" i="1"/>
  <c r="BL2471" i="1"/>
  <c r="BL2470" i="1"/>
  <c r="BL2469" i="1"/>
  <c r="BL2468" i="1"/>
  <c r="BN2472" i="1"/>
  <c r="BN2471" i="1"/>
  <c r="BN2470" i="1"/>
  <c r="BN2469" i="1"/>
  <c r="BN2468" i="1"/>
  <c r="BW2472" i="1"/>
  <c r="BT2472" i="1"/>
  <c r="BS2472" i="1"/>
  <c r="BK2472" i="1"/>
  <c r="BI2472" i="1"/>
  <c r="BW2471" i="1"/>
  <c r="BT2471" i="1"/>
  <c r="BS2471" i="1"/>
  <c r="BK2471" i="1"/>
  <c r="BI2471" i="1"/>
  <c r="BW2470" i="1"/>
  <c r="BT2470" i="1"/>
  <c r="BS2470" i="1"/>
  <c r="BK2470" i="1"/>
  <c r="BI2470" i="1"/>
  <c r="BW2469" i="1"/>
  <c r="BT2469" i="1"/>
  <c r="BS2469" i="1"/>
  <c r="BK2469" i="1"/>
  <c r="BI2469" i="1"/>
  <c r="BW2468" i="1"/>
  <c r="BT2468" i="1"/>
  <c r="BS2468" i="1"/>
  <c r="BK2468" i="1"/>
  <c r="BI2468" i="1"/>
  <c r="BO2472" i="1"/>
  <c r="BO2471" i="1"/>
  <c r="BO2470" i="1"/>
  <c r="BO2469" i="1"/>
  <c r="BO2468" i="1"/>
  <c r="BJ2467" i="1"/>
  <c r="BJ2466" i="1"/>
  <c r="BJ2465" i="1"/>
  <c r="BJ2464" i="1"/>
  <c r="BJ2463" i="1"/>
  <c r="BL2467" i="1"/>
  <c r="BL2466" i="1"/>
  <c r="BL2465" i="1"/>
  <c r="BL2464" i="1"/>
  <c r="BL2463" i="1"/>
  <c r="BN2467" i="1"/>
  <c r="BN2466" i="1"/>
  <c r="BN2465" i="1"/>
  <c r="BN2464" i="1"/>
  <c r="BN2463" i="1"/>
  <c r="BW2467" i="1"/>
  <c r="BT2467" i="1"/>
  <c r="BS2467" i="1"/>
  <c r="BK2467" i="1"/>
  <c r="BI2467" i="1"/>
  <c r="BW2466" i="1"/>
  <c r="BT2466" i="1"/>
  <c r="BS2466" i="1"/>
  <c r="BK2466" i="1"/>
  <c r="BI2466" i="1"/>
  <c r="BW2465" i="1"/>
  <c r="BT2465" i="1"/>
  <c r="BS2465" i="1"/>
  <c r="BK2465" i="1"/>
  <c r="BI2465" i="1"/>
  <c r="BW2464" i="1"/>
  <c r="BT2464" i="1"/>
  <c r="BS2464" i="1"/>
  <c r="BK2464" i="1"/>
  <c r="BI2464" i="1"/>
  <c r="BW2463" i="1"/>
  <c r="BT2463" i="1"/>
  <c r="BS2463" i="1"/>
  <c r="BK2463" i="1"/>
  <c r="BI2463" i="1"/>
  <c r="BO2467" i="1"/>
  <c r="BO2466" i="1"/>
  <c r="BO2465" i="1"/>
  <c r="BO2464" i="1"/>
  <c r="BO2463" i="1"/>
  <c r="BJ2458" i="1"/>
  <c r="BJ2457" i="1"/>
  <c r="BJ2456" i="1"/>
  <c r="BJ2455" i="1"/>
  <c r="BJ2454" i="1"/>
  <c r="BJ2453" i="1"/>
  <c r="BJ2452" i="1"/>
  <c r="BJ2451" i="1"/>
  <c r="BJ2450" i="1"/>
  <c r="BL2458" i="1"/>
  <c r="BL2457" i="1"/>
  <c r="BL2456" i="1"/>
  <c r="BL2455" i="1"/>
  <c r="BR2454" i="1"/>
  <c r="BL2454" i="1"/>
  <c r="BL2453" i="1"/>
  <c r="BL2452" i="1"/>
  <c r="BL2451" i="1"/>
  <c r="BL2450" i="1"/>
  <c r="BN2458" i="1"/>
  <c r="BN2457" i="1"/>
  <c r="BN2456" i="1"/>
  <c r="BN2455" i="1"/>
  <c r="BN2454" i="1"/>
  <c r="BN2453" i="1"/>
  <c r="BN2452" i="1"/>
  <c r="BN2451" i="1"/>
  <c r="BN2450" i="1"/>
  <c r="BM2454" i="1"/>
  <c r="BW2458" i="1"/>
  <c r="BT2458" i="1"/>
  <c r="BS2458" i="1"/>
  <c r="BK2458" i="1"/>
  <c r="BI2458" i="1"/>
  <c r="BW2457" i="1"/>
  <c r="BT2457" i="1"/>
  <c r="BS2457" i="1"/>
  <c r="BK2457" i="1"/>
  <c r="BI2457" i="1"/>
  <c r="BW2456" i="1"/>
  <c r="BT2456" i="1"/>
  <c r="BS2456" i="1"/>
  <c r="BK2456" i="1"/>
  <c r="BI2456" i="1"/>
  <c r="BW2455" i="1"/>
  <c r="BT2455" i="1"/>
  <c r="BS2455" i="1"/>
  <c r="BK2455" i="1"/>
  <c r="BI2455" i="1"/>
  <c r="BW2454" i="1"/>
  <c r="BT2454" i="1"/>
  <c r="BS2454" i="1"/>
  <c r="BK2454" i="1"/>
  <c r="BI2454" i="1"/>
  <c r="BW2453" i="1"/>
  <c r="BT2453" i="1"/>
  <c r="BS2453" i="1"/>
  <c r="BK2453" i="1"/>
  <c r="BI2453" i="1"/>
  <c r="BW2452" i="1"/>
  <c r="BT2452" i="1"/>
  <c r="BS2452" i="1"/>
  <c r="BK2452" i="1"/>
  <c r="BI2452" i="1"/>
  <c r="BW2451" i="1"/>
  <c r="BT2451" i="1"/>
  <c r="BS2451" i="1"/>
  <c r="BK2451" i="1"/>
  <c r="BI2451" i="1"/>
  <c r="BW2450" i="1"/>
  <c r="BT2450" i="1"/>
  <c r="BS2450" i="1"/>
  <c r="BK2450" i="1"/>
  <c r="BI2450" i="1"/>
  <c r="BO2458" i="1"/>
  <c r="BO2457" i="1"/>
  <c r="BO2456" i="1"/>
  <c r="BO2455" i="1"/>
  <c r="BO2454" i="1"/>
  <c r="BO2453" i="1"/>
  <c r="BO2452" i="1"/>
  <c r="BO2451" i="1"/>
  <c r="BO2450" i="1"/>
  <c r="BH2453" i="1"/>
  <c r="BJ2473" i="1"/>
  <c r="BJ2462" i="1"/>
  <c r="BJ2461" i="1"/>
  <c r="BJ2460" i="1"/>
  <c r="BJ2459" i="1"/>
  <c r="BL2473" i="1"/>
  <c r="BL2462" i="1"/>
  <c r="BL2461" i="1"/>
  <c r="BL2460" i="1"/>
  <c r="BL2459" i="1"/>
  <c r="BN2473" i="1"/>
  <c r="BN2462" i="1"/>
  <c r="BN2461" i="1"/>
  <c r="BN2460" i="1"/>
  <c r="BN2459" i="1"/>
  <c r="BM2460" i="1"/>
  <c r="BW2473" i="1"/>
  <c r="BT2473" i="1"/>
  <c r="BS2473" i="1"/>
  <c r="BK2473" i="1"/>
  <c r="BI2473" i="1"/>
  <c r="BW2462" i="1"/>
  <c r="BT2462" i="1"/>
  <c r="BS2462" i="1"/>
  <c r="BK2462" i="1"/>
  <c r="BI2462" i="1"/>
  <c r="BW2461" i="1"/>
  <c r="BT2461" i="1"/>
  <c r="BS2461" i="1"/>
  <c r="BK2461" i="1"/>
  <c r="BI2461" i="1"/>
  <c r="BW2460" i="1"/>
  <c r="BT2460" i="1"/>
  <c r="BS2460" i="1"/>
  <c r="BK2460" i="1"/>
  <c r="BI2460" i="1"/>
  <c r="BW2459" i="1"/>
  <c r="BT2459" i="1"/>
  <c r="BS2459" i="1"/>
  <c r="BK2459" i="1"/>
  <c r="BI2459" i="1"/>
  <c r="BO2473" i="1"/>
  <c r="BO2462" i="1"/>
  <c r="BO2461" i="1"/>
  <c r="BO2460" i="1"/>
  <c r="BO2459" i="1"/>
  <c r="BH2473" i="1"/>
  <c r="BJ2446" i="1"/>
  <c r="BJ2445" i="1"/>
  <c r="BJ2444" i="1"/>
  <c r="BJ2443" i="1"/>
  <c r="BJ2442" i="1"/>
  <c r="BJ2441" i="1"/>
  <c r="BJ2440" i="1"/>
  <c r="BL2446" i="1"/>
  <c r="BL2445" i="1"/>
  <c r="BR2444" i="1"/>
  <c r="BL2444" i="1"/>
  <c r="BL2443" i="1"/>
  <c r="BL2442" i="1"/>
  <c r="BL2441" i="1"/>
  <c r="BL2440" i="1"/>
  <c r="BN2446" i="1"/>
  <c r="BN2445" i="1"/>
  <c r="BN2444" i="1"/>
  <c r="BN2443" i="1"/>
  <c r="BN2442" i="1"/>
  <c r="BN2441" i="1"/>
  <c r="BN2440" i="1"/>
  <c r="BW2446" i="1"/>
  <c r="BT2446" i="1"/>
  <c r="BS2446" i="1"/>
  <c r="BK2446" i="1"/>
  <c r="BI2446" i="1"/>
  <c r="BW2445" i="1"/>
  <c r="BT2445" i="1"/>
  <c r="BS2445" i="1"/>
  <c r="BK2445" i="1"/>
  <c r="BI2445" i="1"/>
  <c r="BW2444" i="1"/>
  <c r="BT2444" i="1"/>
  <c r="BS2444" i="1"/>
  <c r="BK2444" i="1"/>
  <c r="BI2444" i="1"/>
  <c r="BW2443" i="1"/>
  <c r="BT2443" i="1"/>
  <c r="BS2443" i="1"/>
  <c r="BK2443" i="1"/>
  <c r="BI2443" i="1"/>
  <c r="BW2442" i="1"/>
  <c r="BT2442" i="1"/>
  <c r="BS2442" i="1"/>
  <c r="BK2442" i="1"/>
  <c r="BI2442" i="1"/>
  <c r="BW2441" i="1"/>
  <c r="BT2441" i="1"/>
  <c r="BS2441" i="1"/>
  <c r="BK2441" i="1"/>
  <c r="BI2441" i="1"/>
  <c r="BW2440" i="1"/>
  <c r="BT2440" i="1"/>
  <c r="BS2440" i="1"/>
  <c r="BK2440" i="1"/>
  <c r="BI2440" i="1"/>
  <c r="BO2446" i="1"/>
  <c r="BO2445" i="1"/>
  <c r="BO2444" i="1"/>
  <c r="BO2443" i="1"/>
  <c r="BO2442" i="1"/>
  <c r="BO2441" i="1"/>
  <c r="BO2440" i="1"/>
  <c r="BJ2447" i="1"/>
  <c r="BJ2439" i="1"/>
  <c r="BJ2438" i="1"/>
  <c r="BJ2437" i="1"/>
  <c r="BJ2436" i="1"/>
  <c r="BJ2435" i="1"/>
  <c r="BL2447" i="1"/>
  <c r="BL2439" i="1"/>
  <c r="BL2438" i="1"/>
  <c r="BL2437" i="1"/>
  <c r="BL2436" i="1"/>
  <c r="BR2435" i="1"/>
  <c r="BL2435" i="1"/>
  <c r="BN2447" i="1"/>
  <c r="BN2439" i="1"/>
  <c r="BN2438" i="1"/>
  <c r="BN2437" i="1"/>
  <c r="BN2436" i="1"/>
  <c r="BN2435" i="1"/>
  <c r="BM2438" i="1"/>
  <c r="BW2447" i="1"/>
  <c r="BT2447" i="1"/>
  <c r="BS2447" i="1"/>
  <c r="BK2447" i="1"/>
  <c r="BI2447" i="1"/>
  <c r="BW2439" i="1"/>
  <c r="BT2439" i="1"/>
  <c r="BS2439" i="1"/>
  <c r="BK2439" i="1"/>
  <c r="BI2439" i="1"/>
  <c r="BW2438" i="1"/>
  <c r="BT2438" i="1"/>
  <c r="BS2438" i="1"/>
  <c r="BK2438" i="1"/>
  <c r="BI2438" i="1"/>
  <c r="BW2437" i="1"/>
  <c r="BT2437" i="1"/>
  <c r="BS2437" i="1"/>
  <c r="BK2437" i="1"/>
  <c r="BI2437" i="1"/>
  <c r="BW2436" i="1"/>
  <c r="BT2436" i="1"/>
  <c r="BS2436" i="1"/>
  <c r="BK2436" i="1"/>
  <c r="BI2436" i="1"/>
  <c r="BW2435" i="1"/>
  <c r="BT2435" i="1"/>
  <c r="BS2435" i="1"/>
  <c r="BK2435" i="1"/>
  <c r="BI2435" i="1"/>
  <c r="BO2447" i="1"/>
  <c r="BO2439" i="1"/>
  <c r="BO2438" i="1"/>
  <c r="BO2437" i="1"/>
  <c r="BO2436" i="1"/>
  <c r="BO2435" i="1"/>
  <c r="BJ2433" i="1"/>
  <c r="BJ2432" i="1"/>
  <c r="BJ2431" i="1"/>
  <c r="BJ2430" i="1"/>
  <c r="BJ2429" i="1"/>
  <c r="BJ2428" i="1"/>
  <c r="BL2433" i="1"/>
  <c r="BL2432" i="1"/>
  <c r="BL2431" i="1"/>
  <c r="BL2430" i="1"/>
  <c r="BL2429" i="1"/>
  <c r="BL2428" i="1"/>
  <c r="BN2433" i="1"/>
  <c r="BN2432" i="1"/>
  <c r="BN2431" i="1"/>
  <c r="BN2430" i="1"/>
  <c r="BN2429" i="1"/>
  <c r="BN2428" i="1"/>
  <c r="BQ2425" i="1"/>
  <c r="BQ2489" i="1"/>
  <c r="BM2428" i="1"/>
  <c r="BW2433" i="1"/>
  <c r="BT2433" i="1"/>
  <c r="BS2433" i="1"/>
  <c r="BK2433" i="1"/>
  <c r="BI2433" i="1"/>
  <c r="BW2432" i="1"/>
  <c r="BT2432" i="1"/>
  <c r="BS2432" i="1"/>
  <c r="BK2432" i="1"/>
  <c r="BI2432" i="1"/>
  <c r="BW2431" i="1"/>
  <c r="BT2431" i="1"/>
  <c r="BS2431" i="1"/>
  <c r="BK2431" i="1"/>
  <c r="BI2431" i="1"/>
  <c r="BW2430" i="1"/>
  <c r="BT2430" i="1"/>
  <c r="BS2430" i="1"/>
  <c r="BK2430" i="1"/>
  <c r="BI2430" i="1"/>
  <c r="BW2429" i="1"/>
  <c r="BT2429" i="1"/>
  <c r="BS2429" i="1"/>
  <c r="BK2429" i="1"/>
  <c r="BI2429" i="1"/>
  <c r="BW2428" i="1"/>
  <c r="BT2428" i="1"/>
  <c r="BS2428" i="1"/>
  <c r="BK2428" i="1"/>
  <c r="BI2428" i="1"/>
  <c r="BO2433" i="1"/>
  <c r="BO2432" i="1"/>
  <c r="BO2431" i="1"/>
  <c r="BO2430" i="1"/>
  <c r="BO2429" i="1"/>
  <c r="BO2428" i="1"/>
  <c r="BJ2449" i="1"/>
  <c r="BJ2448" i="1"/>
  <c r="BJ2434" i="1"/>
  <c r="BJ2427" i="1"/>
  <c r="BJ2426" i="1"/>
  <c r="BR2449" i="1"/>
  <c r="BL2449" i="1"/>
  <c r="BL2448" i="1"/>
  <c r="BL2434" i="1"/>
  <c r="BL2427" i="1"/>
  <c r="BL2426" i="1"/>
  <c r="BY2418" i="1"/>
  <c r="BG2418" i="1"/>
  <c r="BY2417" i="1"/>
  <c r="BG2417" i="1"/>
  <c r="BY2416" i="1"/>
  <c r="BG2416" i="1"/>
  <c r="BX2418" i="1"/>
  <c r="BX2417" i="1"/>
  <c r="BX2416" i="1"/>
  <c r="BW2418" i="1"/>
  <c r="BW2417" i="1"/>
  <c r="BW2416" i="1"/>
  <c r="BZ2418" i="1"/>
  <c r="BZ2417" i="1"/>
  <c r="BZ2416" i="1"/>
  <c r="BY2415" i="1"/>
  <c r="BG2415" i="1"/>
  <c r="BY2414" i="1"/>
  <c r="BG2414" i="1"/>
  <c r="BY2413" i="1"/>
  <c r="BG2413" i="1"/>
  <c r="BY2412" i="1"/>
  <c r="BG2412" i="1"/>
  <c r="BY2411" i="1"/>
  <c r="BG2411" i="1"/>
  <c r="BY2410" i="1"/>
  <c r="BG2410" i="1"/>
  <c r="BY2409" i="1"/>
  <c r="BG2409" i="1"/>
  <c r="BX2415" i="1"/>
  <c r="BX2414" i="1"/>
  <c r="BX2413" i="1"/>
  <c r="BX2412" i="1"/>
  <c r="BX2411" i="1"/>
  <c r="BX2410" i="1"/>
  <c r="BX2409" i="1"/>
  <c r="BW2415" i="1"/>
  <c r="BW2414" i="1"/>
  <c r="BW2413" i="1"/>
  <c r="BW2412" i="1"/>
  <c r="BW2411" i="1"/>
  <c r="BW2410" i="1"/>
  <c r="BW2409" i="1"/>
  <c r="BZ2415" i="1"/>
  <c r="BZ2414" i="1"/>
  <c r="BZ2413" i="1"/>
  <c r="BZ2412" i="1"/>
  <c r="BZ2411" i="1"/>
  <c r="BZ2410" i="1"/>
  <c r="BZ2409" i="1"/>
  <c r="BY2404" i="1"/>
  <c r="BG2404" i="1"/>
  <c r="BY2403" i="1"/>
  <c r="BG2403" i="1"/>
  <c r="BY2402" i="1"/>
  <c r="BG2402" i="1"/>
  <c r="BY2401" i="1"/>
  <c r="BG2401" i="1"/>
  <c r="BY2400" i="1"/>
  <c r="BG2400" i="1"/>
  <c r="BY2399" i="1"/>
  <c r="BG2399" i="1"/>
  <c r="BY2398" i="1"/>
  <c r="BG2398" i="1"/>
  <c r="BY2397" i="1"/>
  <c r="BG2397" i="1"/>
  <c r="BX2404" i="1"/>
  <c r="BX2403" i="1"/>
  <c r="BX2402" i="1"/>
  <c r="BX2401" i="1"/>
  <c r="BX2400" i="1"/>
  <c r="BX2399" i="1"/>
  <c r="BX2398" i="1"/>
  <c r="BX2397" i="1"/>
  <c r="BW2404" i="1"/>
  <c r="BW2403" i="1"/>
  <c r="BW2402" i="1"/>
  <c r="BW2401" i="1"/>
  <c r="BW2400" i="1"/>
  <c r="BW2399" i="1"/>
  <c r="BW2398" i="1"/>
  <c r="BW2397" i="1"/>
  <c r="BZ2404" i="1"/>
  <c r="BZ2403" i="1"/>
  <c r="BZ2402" i="1"/>
  <c r="BZ2401" i="1"/>
  <c r="BZ2400" i="1"/>
  <c r="BZ2399" i="1"/>
  <c r="BZ2398" i="1"/>
  <c r="BZ2397" i="1"/>
  <c r="BY2408" i="1"/>
  <c r="BG2408" i="1"/>
  <c r="BY2407" i="1"/>
  <c r="BG2407" i="1"/>
  <c r="BY2406" i="1"/>
  <c r="BG2406" i="1"/>
  <c r="BY2405" i="1"/>
  <c r="BG2405" i="1"/>
  <c r="BX2408" i="1"/>
  <c r="BX2407" i="1"/>
  <c r="BX2406" i="1"/>
  <c r="BX2405" i="1"/>
  <c r="BW2408" i="1"/>
  <c r="BW2407" i="1"/>
  <c r="BW2406" i="1"/>
  <c r="BW2405" i="1"/>
  <c r="BZ2408" i="1"/>
  <c r="BZ2407" i="1"/>
  <c r="BZ2406" i="1"/>
  <c r="BZ2405" i="1"/>
  <c r="BY2376" i="1"/>
  <c r="BG2376" i="1"/>
  <c r="BY2375" i="1"/>
  <c r="BG2375" i="1"/>
  <c r="BY2374" i="1"/>
  <c r="BG2374" i="1"/>
  <c r="BY2373" i="1"/>
  <c r="BG2373" i="1"/>
  <c r="BX2376" i="1"/>
  <c r="BX2375" i="1"/>
  <c r="BX2374" i="1"/>
  <c r="BX2373" i="1"/>
  <c r="BW2376" i="1"/>
  <c r="BW2375" i="1"/>
  <c r="BW2374" i="1"/>
  <c r="BW2373" i="1"/>
  <c r="BZ2376" i="1"/>
  <c r="BZ2375" i="1"/>
  <c r="BZ2374" i="1"/>
  <c r="BZ2373" i="1"/>
  <c r="BY2372" i="1"/>
  <c r="BG2372" i="1"/>
  <c r="BY2371" i="1"/>
  <c r="BG2371" i="1"/>
  <c r="BY2370" i="1"/>
  <c r="BG2370" i="1"/>
  <c r="BY2369" i="1"/>
  <c r="BG2369" i="1"/>
  <c r="AU2644" i="1"/>
  <c r="AU2643" i="1"/>
  <c r="BX2372" i="1"/>
  <c r="BX2371" i="1"/>
  <c r="BX2370" i="1"/>
  <c r="BX2369" i="1"/>
  <c r="BW2372" i="1"/>
  <c r="BW2371" i="1"/>
  <c r="BW2370" i="1"/>
  <c r="BW2369" i="1"/>
  <c r="BZ2372" i="1"/>
  <c r="BZ2371" i="1"/>
  <c r="BZ2370" i="1"/>
  <c r="BZ2369" i="1"/>
  <c r="BY2377" i="1"/>
  <c r="BG2377" i="1"/>
  <c r="BY2368" i="1"/>
  <c r="BG2368" i="1"/>
  <c r="BY2367" i="1"/>
  <c r="BG2367" i="1"/>
  <c r="BY2366" i="1"/>
  <c r="BG2366" i="1"/>
  <c r="BY2365" i="1"/>
  <c r="BG2365" i="1"/>
  <c r="BY2364" i="1"/>
  <c r="BG2364" i="1"/>
  <c r="BY2363" i="1"/>
  <c r="BG2363" i="1"/>
  <c r="BY2362" i="1"/>
  <c r="BG2362" i="1"/>
  <c r="BY2361" i="1"/>
  <c r="BG2361" i="1"/>
  <c r="BY2360" i="1"/>
  <c r="BX2377" i="1"/>
  <c r="BX2368" i="1"/>
  <c r="BX2367" i="1"/>
  <c r="BX2366" i="1"/>
  <c r="BX2365" i="1"/>
  <c r="BX2364" i="1"/>
  <c r="BX2363" i="1"/>
  <c r="BX2362" i="1"/>
  <c r="BX2361" i="1"/>
  <c r="BW2377" i="1"/>
  <c r="BW2368" i="1"/>
  <c r="BW2367" i="1"/>
  <c r="BW2366" i="1"/>
  <c r="BW2365" i="1"/>
  <c r="BW2364" i="1"/>
  <c r="BW2363" i="1"/>
  <c r="BW2362" i="1"/>
  <c r="BW2361" i="1"/>
  <c r="BW2360" i="1"/>
  <c r="BZ2377" i="1"/>
  <c r="BZ2368" i="1"/>
  <c r="BZ2367" i="1"/>
  <c r="BZ2366" i="1"/>
  <c r="BZ2365" i="1"/>
  <c r="BZ2364" i="1"/>
  <c r="BZ2363" i="1"/>
  <c r="BZ2362" i="1"/>
  <c r="BZ2361" i="1"/>
  <c r="BZ2360" i="1"/>
  <c r="BX2360" i="1"/>
  <c r="BG2360" i="1"/>
  <c r="AU2360" i="1"/>
  <c r="BV2359" i="1" s="1"/>
  <c r="AU684" i="1"/>
  <c r="AU677" i="1"/>
  <c r="AU732" i="1"/>
  <c r="AU744" i="1"/>
  <c r="AU1050" i="1"/>
  <c r="AU1113" i="1"/>
  <c r="AU1227" i="1"/>
  <c r="AU1224" i="1"/>
  <c r="AU1283" i="1"/>
  <c r="AU1348" i="1"/>
  <c r="AU747" i="1"/>
  <c r="AU1068" i="1"/>
  <c r="AU894" i="1"/>
  <c r="AU848" i="1"/>
  <c r="AU1139" i="1"/>
  <c r="AU1106" i="1"/>
  <c r="AU605" i="1"/>
  <c r="AU1130" i="1"/>
  <c r="AU1002" i="1"/>
  <c r="AU1110" i="1"/>
  <c r="AU1099" i="1"/>
  <c r="AU674" i="1"/>
  <c r="AU1109" i="1"/>
  <c r="AU1102" i="1"/>
  <c r="AU1030" i="1"/>
  <c r="AU977" i="1"/>
  <c r="AU1108" i="1"/>
  <c r="AU1083" i="1"/>
  <c r="AU1200" i="1"/>
  <c r="AU1326" i="1"/>
  <c r="AU769" i="1"/>
  <c r="AU1100" i="1"/>
  <c r="AU1280" i="1"/>
  <c r="BY2358" i="1"/>
  <c r="BG2358" i="1"/>
  <c r="BY2357" i="1"/>
  <c r="BG2357" i="1"/>
  <c r="BY2356" i="1"/>
  <c r="BG2356" i="1"/>
  <c r="BY2355" i="1"/>
  <c r="BG2355" i="1"/>
  <c r="BY2354" i="1"/>
  <c r="BG2354" i="1"/>
  <c r="BX2358" i="1"/>
  <c r="BX2357" i="1"/>
  <c r="BX2356" i="1"/>
  <c r="BX2355" i="1"/>
  <c r="BX2354" i="1"/>
  <c r="BW2358" i="1"/>
  <c r="BV2358" i="1"/>
  <c r="BW2357" i="1"/>
  <c r="BV2357" i="1"/>
  <c r="BW2356" i="1"/>
  <c r="BV2356" i="1"/>
  <c r="BW2355" i="1"/>
  <c r="BV2355" i="1"/>
  <c r="BW2354" i="1"/>
  <c r="BV2354" i="1"/>
  <c r="BZ2358" i="1"/>
  <c r="BZ2357" i="1"/>
  <c r="BZ2356" i="1"/>
  <c r="BZ2355" i="1"/>
  <c r="BZ2354" i="1"/>
  <c r="BY2359" i="1"/>
  <c r="BG2359" i="1"/>
  <c r="BY2353" i="1"/>
  <c r="BG2353" i="1"/>
  <c r="BY2352" i="1"/>
  <c r="BG2352" i="1"/>
  <c r="BY2351" i="1"/>
  <c r="BG2351" i="1"/>
  <c r="BX2359" i="1"/>
  <c r="BX2353" i="1"/>
  <c r="BX2352" i="1"/>
  <c r="BX2351" i="1"/>
  <c r="BW2359" i="1"/>
  <c r="BW2353" i="1"/>
  <c r="BV2353" i="1"/>
  <c r="BW2352" i="1"/>
  <c r="BV2352" i="1"/>
  <c r="BW2351" i="1"/>
  <c r="BV2351" i="1"/>
  <c r="BZ2359" i="1"/>
  <c r="BZ2353" i="1"/>
  <c r="BZ2352" i="1"/>
  <c r="BZ2351" i="1"/>
  <c r="BY2348" i="1"/>
  <c r="BG2348" i="1"/>
  <c r="BY2347" i="1"/>
  <c r="BG2347" i="1"/>
  <c r="BY2346" i="1"/>
  <c r="BG2346" i="1"/>
  <c r="BY2345" i="1"/>
  <c r="BG2345" i="1"/>
  <c r="BY2344" i="1"/>
  <c r="BG2344" i="1"/>
  <c r="BY2343" i="1"/>
  <c r="BG2343" i="1"/>
  <c r="BX2348" i="1"/>
  <c r="BX2347" i="1"/>
  <c r="BX2346" i="1"/>
  <c r="BX2345" i="1"/>
  <c r="BX2344" i="1"/>
  <c r="BX2343" i="1"/>
  <c r="BW2348" i="1"/>
  <c r="BV2348" i="1"/>
  <c r="BW2347" i="1"/>
  <c r="BV2347" i="1"/>
  <c r="BW2346" i="1"/>
  <c r="BV2346" i="1"/>
  <c r="BW2345" i="1"/>
  <c r="BV2345" i="1"/>
  <c r="BW2344" i="1"/>
  <c r="BV2344" i="1"/>
  <c r="BW2343" i="1"/>
  <c r="BV2343" i="1"/>
  <c r="BZ2348" i="1"/>
  <c r="BZ2347" i="1"/>
  <c r="BZ2346" i="1"/>
  <c r="BZ2345" i="1"/>
  <c r="BZ2344" i="1"/>
  <c r="BZ2343" i="1"/>
  <c r="BY2350" i="1"/>
  <c r="BG2350" i="1"/>
  <c r="BY2349" i="1"/>
  <c r="BG2349" i="1"/>
  <c r="BY2342" i="1"/>
  <c r="BG2342" i="1"/>
  <c r="BY2341" i="1"/>
  <c r="BG2341" i="1"/>
  <c r="BX2350" i="1"/>
  <c r="BX2349" i="1"/>
  <c r="BX2342" i="1"/>
  <c r="BX2341" i="1"/>
  <c r="BW2350" i="1"/>
  <c r="BW2349" i="1"/>
  <c r="BV2349" i="1"/>
  <c r="BW2342" i="1"/>
  <c r="BV2342" i="1"/>
  <c r="BW2341" i="1"/>
  <c r="BV2341" i="1"/>
  <c r="BZ2350" i="1"/>
  <c r="BZ2349" i="1"/>
  <c r="BZ2342" i="1"/>
  <c r="BZ2341" i="1"/>
  <c r="BY2338" i="1"/>
  <c r="BG2338" i="1"/>
  <c r="BY2337" i="1"/>
  <c r="BG2337" i="1"/>
  <c r="BY2336" i="1"/>
  <c r="BG2336" i="1"/>
  <c r="BY2335" i="1"/>
  <c r="BG2335" i="1"/>
  <c r="BY2334" i="1"/>
  <c r="BG2334" i="1"/>
  <c r="BY2333" i="1"/>
  <c r="BG2333" i="1"/>
  <c r="BX2338" i="1"/>
  <c r="BX2337" i="1"/>
  <c r="BX2336" i="1"/>
  <c r="BX2335" i="1"/>
  <c r="BX2334" i="1"/>
  <c r="BX2333" i="1"/>
  <c r="BW2338" i="1"/>
  <c r="BV2338" i="1"/>
  <c r="BW2337" i="1"/>
  <c r="BV2337" i="1"/>
  <c r="BW2336" i="1"/>
  <c r="BV2336" i="1"/>
  <c r="BW2335" i="1"/>
  <c r="BV2335" i="1"/>
  <c r="BW2334" i="1"/>
  <c r="BV2334" i="1"/>
  <c r="BW2333" i="1"/>
  <c r="BV2333" i="1"/>
  <c r="BZ2338" i="1"/>
  <c r="BZ2337" i="1"/>
  <c r="BZ2336" i="1"/>
  <c r="BZ2335" i="1"/>
  <c r="BZ2334" i="1"/>
  <c r="BZ2333" i="1"/>
  <c r="BY2340" i="1"/>
  <c r="BG2340" i="1"/>
  <c r="BY2339" i="1"/>
  <c r="BG2339" i="1"/>
  <c r="BX2340" i="1"/>
  <c r="BX2339" i="1"/>
  <c r="BW2340" i="1"/>
  <c r="BV2340" i="1"/>
  <c r="BW2339" i="1"/>
  <c r="BV2339" i="1"/>
  <c r="BZ2340" i="1"/>
  <c r="BZ2339" i="1"/>
  <c r="BY2329" i="1"/>
  <c r="BG2329" i="1"/>
  <c r="BY2328" i="1"/>
  <c r="BG2328" i="1"/>
  <c r="BY2327" i="1"/>
  <c r="BG2327" i="1"/>
  <c r="BY2326" i="1"/>
  <c r="BG2326" i="1"/>
  <c r="BY2325" i="1"/>
  <c r="BG2325" i="1"/>
  <c r="BY2324" i="1"/>
  <c r="BG2324" i="1"/>
  <c r="BX2329" i="1"/>
  <c r="BX2328" i="1"/>
  <c r="BX2327" i="1"/>
  <c r="BX2326" i="1"/>
  <c r="BX2325" i="1"/>
  <c r="BX2324" i="1"/>
  <c r="BW2329" i="1"/>
  <c r="BV2329" i="1"/>
  <c r="BW2328" i="1"/>
  <c r="BV2328" i="1"/>
  <c r="BW2327" i="1"/>
  <c r="BV2327" i="1"/>
  <c r="BW2326" i="1"/>
  <c r="BV2326" i="1"/>
  <c r="BW2325" i="1"/>
  <c r="BV2325" i="1"/>
  <c r="BW2324" i="1"/>
  <c r="BV2324" i="1"/>
  <c r="BZ2329" i="1"/>
  <c r="BZ2328" i="1"/>
  <c r="BZ2327" i="1"/>
  <c r="BZ2326" i="1"/>
  <c r="BZ2325" i="1"/>
  <c r="BZ2324" i="1"/>
  <c r="BY2332" i="1"/>
  <c r="BG2332" i="1"/>
  <c r="BY2331" i="1"/>
  <c r="BG2331" i="1"/>
  <c r="BY2330" i="1"/>
  <c r="BG2330" i="1"/>
  <c r="BX2332" i="1"/>
  <c r="BX2331" i="1"/>
  <c r="BX2330" i="1"/>
  <c r="BW2332" i="1"/>
  <c r="BV2332" i="1"/>
  <c r="BW2331" i="1"/>
  <c r="BV2331" i="1"/>
  <c r="BW2330" i="1"/>
  <c r="BV2330" i="1"/>
  <c r="BZ2332" i="1"/>
  <c r="BZ2331" i="1"/>
  <c r="BZ2330" i="1"/>
  <c r="BY2316" i="1"/>
  <c r="BG2316" i="1"/>
  <c r="BY2315" i="1"/>
  <c r="BG2315" i="1"/>
  <c r="BY2314" i="1"/>
  <c r="BG2314" i="1"/>
  <c r="BY2313" i="1"/>
  <c r="BG2313" i="1"/>
  <c r="BY2312" i="1"/>
  <c r="BG2312" i="1"/>
  <c r="BY2311" i="1"/>
  <c r="BG2311" i="1"/>
  <c r="BY2310" i="1"/>
  <c r="BG2310" i="1"/>
  <c r="BY2309" i="1"/>
  <c r="BG2309" i="1"/>
  <c r="BY2308" i="1"/>
  <c r="BG2308" i="1"/>
  <c r="BY2307" i="1"/>
  <c r="BG2307" i="1"/>
  <c r="BY2306" i="1"/>
  <c r="BG2306" i="1"/>
  <c r="BX2316" i="1"/>
  <c r="BX2315" i="1"/>
  <c r="BX2314" i="1"/>
  <c r="BX2313" i="1"/>
  <c r="BX2312" i="1"/>
  <c r="BX2311" i="1"/>
  <c r="BX2310" i="1"/>
  <c r="BX2309" i="1"/>
  <c r="BX2308" i="1"/>
  <c r="BX2307" i="1"/>
  <c r="BX2306" i="1"/>
  <c r="BW2316" i="1"/>
  <c r="BV2316" i="1"/>
  <c r="BW2315" i="1"/>
  <c r="BV2315" i="1"/>
  <c r="BW2314" i="1"/>
  <c r="BV2314" i="1"/>
  <c r="BW2313" i="1"/>
  <c r="BV2313" i="1"/>
  <c r="BW2312" i="1"/>
  <c r="BV2312" i="1"/>
  <c r="BW2311" i="1"/>
  <c r="BV2311" i="1"/>
  <c r="BW2310" i="1"/>
  <c r="BV2310" i="1"/>
  <c r="BW2309" i="1"/>
  <c r="BV2309" i="1"/>
  <c r="BW2308" i="1"/>
  <c r="BV2308" i="1"/>
  <c r="BW2307" i="1"/>
  <c r="BV2307" i="1"/>
  <c r="BW2306" i="1"/>
  <c r="BV2306" i="1"/>
  <c r="BZ2316" i="1"/>
  <c r="BZ2315" i="1"/>
  <c r="BZ2314" i="1"/>
  <c r="BZ2313" i="1"/>
  <c r="BZ2312" i="1"/>
  <c r="BZ2311" i="1"/>
  <c r="BZ2310" i="1"/>
  <c r="BZ2309" i="1"/>
  <c r="BZ2308" i="1"/>
  <c r="BZ2307" i="1"/>
  <c r="BZ2306" i="1"/>
  <c r="BY2272" i="1"/>
  <c r="BG2272" i="1"/>
  <c r="BY2271" i="1"/>
  <c r="BG2271" i="1"/>
  <c r="BY2270" i="1"/>
  <c r="BG2270" i="1"/>
  <c r="BY2269" i="1"/>
  <c r="BG2269" i="1"/>
  <c r="BY2268" i="1"/>
  <c r="BG2268" i="1"/>
  <c r="BX2272" i="1"/>
  <c r="BX2271" i="1"/>
  <c r="BX2270" i="1"/>
  <c r="BX2269" i="1"/>
  <c r="BX2268" i="1"/>
  <c r="BW2272" i="1"/>
  <c r="BV2272" i="1"/>
  <c r="BW2271" i="1"/>
  <c r="BV2271" i="1"/>
  <c r="BW2270" i="1"/>
  <c r="BV2270" i="1"/>
  <c r="BW2269" i="1"/>
  <c r="BV2269" i="1"/>
  <c r="BW2268" i="1"/>
  <c r="BV2268" i="1"/>
  <c r="BZ2272" i="1"/>
  <c r="BZ2271" i="1"/>
  <c r="BZ2270" i="1"/>
  <c r="BZ2269" i="1"/>
  <c r="BZ2268" i="1"/>
  <c r="BY2273" i="1"/>
  <c r="BG2273" i="1"/>
  <c r="BX2273" i="1"/>
  <c r="BW2273" i="1"/>
  <c r="BV2273" i="1"/>
  <c r="BZ2273" i="1"/>
  <c r="BY2274" i="1"/>
  <c r="BG2274" i="1"/>
  <c r="BX2274" i="1"/>
  <c r="BW2274" i="1"/>
  <c r="BV2274" i="1"/>
  <c r="BZ2274" i="1"/>
  <c r="BY2275" i="1"/>
  <c r="BG2275" i="1"/>
  <c r="BX2275" i="1"/>
  <c r="BW2275" i="1"/>
  <c r="BV2275" i="1"/>
  <c r="BZ2275" i="1"/>
  <c r="BY2276" i="1"/>
  <c r="BG2276" i="1"/>
  <c r="BX2276" i="1"/>
  <c r="BW2276" i="1"/>
  <c r="BV2276" i="1"/>
  <c r="BZ2276" i="1"/>
  <c r="BY2305" i="1"/>
  <c r="BG2305" i="1"/>
  <c r="BY2304" i="1"/>
  <c r="BG2304" i="1"/>
  <c r="BY2303" i="1"/>
  <c r="BG2303" i="1"/>
  <c r="BY2302" i="1"/>
  <c r="BG2302" i="1"/>
  <c r="BY2301" i="1"/>
  <c r="BG2301" i="1"/>
  <c r="BY2300" i="1"/>
  <c r="BG2300" i="1"/>
  <c r="BY2299" i="1"/>
  <c r="BG2299" i="1"/>
  <c r="BY2298" i="1"/>
  <c r="BG2298" i="1"/>
  <c r="BY2297" i="1"/>
  <c r="BG2297" i="1"/>
  <c r="BY2296" i="1"/>
  <c r="BG2296" i="1"/>
  <c r="BX2305" i="1"/>
  <c r="BX2304" i="1"/>
  <c r="BX2303" i="1"/>
  <c r="BX2302" i="1"/>
  <c r="BX2301" i="1"/>
  <c r="BX2300" i="1"/>
  <c r="BX2299" i="1"/>
  <c r="BX2298" i="1"/>
  <c r="BX2297" i="1"/>
  <c r="BX2296" i="1"/>
  <c r="BW2305" i="1"/>
  <c r="BV2305" i="1"/>
  <c r="BW2304" i="1"/>
  <c r="BV2304" i="1"/>
  <c r="BW2303" i="1"/>
  <c r="BV2303" i="1"/>
  <c r="BW2302" i="1"/>
  <c r="BV2302" i="1"/>
  <c r="BW2301" i="1"/>
  <c r="BV2301" i="1"/>
  <c r="BW2300" i="1"/>
  <c r="BV2300" i="1"/>
  <c r="BW2299" i="1"/>
  <c r="BV2299" i="1"/>
  <c r="BW2298" i="1"/>
  <c r="BV2298" i="1"/>
  <c r="BW2297" i="1"/>
  <c r="BV2297" i="1"/>
  <c r="BW2296" i="1"/>
  <c r="BV2296" i="1"/>
  <c r="BZ2305" i="1"/>
  <c r="BZ2304" i="1"/>
  <c r="BZ2303" i="1"/>
  <c r="BZ2302" i="1"/>
  <c r="BZ2301" i="1"/>
  <c r="BZ2300" i="1"/>
  <c r="BZ2299" i="1"/>
  <c r="BZ2298" i="1"/>
  <c r="BZ2297" i="1"/>
  <c r="BZ2296" i="1"/>
  <c r="BY2321" i="1"/>
  <c r="BG2321" i="1"/>
  <c r="BY2320" i="1"/>
  <c r="BG2320" i="1"/>
  <c r="BY2319" i="1"/>
  <c r="BG2319" i="1"/>
  <c r="BY2318" i="1"/>
  <c r="BG2318" i="1"/>
  <c r="BY2317" i="1"/>
  <c r="BG2317" i="1"/>
  <c r="BX2321" i="1"/>
  <c r="BX2320" i="1"/>
  <c r="BX2319" i="1"/>
  <c r="BX2318" i="1"/>
  <c r="BX2317" i="1"/>
  <c r="BW2321" i="1"/>
  <c r="BV2321" i="1"/>
  <c r="BW2320" i="1"/>
  <c r="BV2320" i="1"/>
  <c r="BW2319" i="1"/>
  <c r="BV2319" i="1"/>
  <c r="BW2318" i="1"/>
  <c r="BV2318" i="1"/>
  <c r="BW2317" i="1"/>
  <c r="BV2317" i="1"/>
  <c r="BZ2321" i="1"/>
  <c r="BZ2320" i="1"/>
  <c r="BZ2319" i="1"/>
  <c r="BZ2318" i="1"/>
  <c r="BZ2317" i="1"/>
  <c r="BY2263" i="1"/>
  <c r="BG2263" i="1"/>
  <c r="BY2262" i="1"/>
  <c r="BG2262" i="1"/>
  <c r="BY2261" i="1"/>
  <c r="BG2261" i="1"/>
  <c r="BY2260" i="1"/>
  <c r="BG2260" i="1"/>
  <c r="BY2259" i="1"/>
  <c r="BG2259" i="1"/>
  <c r="BY2258" i="1"/>
  <c r="BG2258" i="1"/>
  <c r="BY2257" i="1"/>
  <c r="BG2257" i="1"/>
  <c r="BX2263" i="1"/>
  <c r="BX2262" i="1"/>
  <c r="BX2261" i="1"/>
  <c r="BX2260" i="1"/>
  <c r="BX2259" i="1"/>
  <c r="BX2258" i="1"/>
  <c r="BX2257" i="1"/>
  <c r="BW2263" i="1"/>
  <c r="BV2263" i="1"/>
  <c r="BW2262" i="1"/>
  <c r="BV2262" i="1"/>
  <c r="BW2261" i="1"/>
  <c r="BV2261" i="1"/>
  <c r="BW2260" i="1"/>
  <c r="BV2260" i="1"/>
  <c r="BW2259" i="1"/>
  <c r="BV2259" i="1"/>
  <c r="BW2258" i="1"/>
  <c r="BV2258" i="1"/>
  <c r="BW2257" i="1"/>
  <c r="BV2257" i="1"/>
  <c r="BZ2263" i="1"/>
  <c r="BZ2262" i="1"/>
  <c r="BZ2261" i="1"/>
  <c r="BZ2260" i="1"/>
  <c r="BZ2259" i="1"/>
  <c r="BZ2258" i="1"/>
  <c r="BZ2257" i="1"/>
  <c r="BY2266" i="1"/>
  <c r="BG2266" i="1"/>
  <c r="BY2265" i="1"/>
  <c r="BG2265" i="1"/>
  <c r="BY2264" i="1"/>
  <c r="BG2264" i="1"/>
  <c r="BX2266" i="1"/>
  <c r="BX2265" i="1"/>
  <c r="BX2264" i="1"/>
  <c r="BW2266" i="1"/>
  <c r="BV2266" i="1"/>
  <c r="BW2265" i="1"/>
  <c r="BV2265" i="1"/>
  <c r="BW2264" i="1"/>
  <c r="BV2264" i="1"/>
  <c r="BZ2266" i="1"/>
  <c r="BZ2265" i="1"/>
  <c r="BZ2264" i="1"/>
  <c r="BY2251" i="1"/>
  <c r="BG2251" i="1"/>
  <c r="BY2250" i="1"/>
  <c r="BG2250" i="1"/>
  <c r="BY2249" i="1"/>
  <c r="BG2249" i="1"/>
  <c r="BY2248" i="1"/>
  <c r="BG2248" i="1"/>
  <c r="BY2247" i="1"/>
  <c r="BG2247" i="1"/>
  <c r="BY2246" i="1"/>
  <c r="BG2246" i="1"/>
  <c r="BY2245" i="1"/>
  <c r="BG2245" i="1"/>
  <c r="BY2244" i="1"/>
  <c r="BG2244" i="1"/>
  <c r="BX2251" i="1"/>
  <c r="BX2250" i="1"/>
  <c r="BX2249" i="1"/>
  <c r="BX2248" i="1"/>
  <c r="BX2247" i="1"/>
  <c r="BX2246" i="1"/>
  <c r="BX2245" i="1"/>
  <c r="BX2244" i="1"/>
  <c r="BW2251" i="1"/>
  <c r="BV2251" i="1"/>
  <c r="BW2250" i="1"/>
  <c r="BV2250" i="1"/>
  <c r="BW2249" i="1"/>
  <c r="BV2249" i="1"/>
  <c r="BW2248" i="1"/>
  <c r="BV2248" i="1"/>
  <c r="BW2247" i="1"/>
  <c r="BV2247" i="1"/>
  <c r="BW2246" i="1"/>
  <c r="BV2246" i="1"/>
  <c r="BW2245" i="1"/>
  <c r="BV2245" i="1"/>
  <c r="BW2244" i="1"/>
  <c r="BV2244" i="1"/>
  <c r="BZ2251" i="1"/>
  <c r="BZ2250" i="1"/>
  <c r="BZ2249" i="1"/>
  <c r="BZ2248" i="1"/>
  <c r="BZ2247" i="1"/>
  <c r="BZ2246" i="1"/>
  <c r="BZ2245" i="1"/>
  <c r="BZ2244" i="1"/>
  <c r="BY2255" i="1"/>
  <c r="BG2255" i="1"/>
  <c r="BY2254" i="1"/>
  <c r="BG2254" i="1"/>
  <c r="BY2253" i="1"/>
  <c r="BG2253" i="1"/>
  <c r="BY2252" i="1"/>
  <c r="BG2252" i="1"/>
  <c r="BX2255" i="1"/>
  <c r="BX2254" i="1"/>
  <c r="BX2253" i="1"/>
  <c r="BX2252" i="1"/>
  <c r="BW2255" i="1"/>
  <c r="BV2255" i="1"/>
  <c r="BW2254" i="1"/>
  <c r="BV2254" i="1"/>
  <c r="BW2253" i="1"/>
  <c r="BV2253" i="1"/>
  <c r="BW2252" i="1"/>
  <c r="BV2252" i="1"/>
  <c r="BZ2255" i="1"/>
  <c r="BZ2254" i="1"/>
  <c r="BZ2253" i="1"/>
  <c r="BZ2252" i="1"/>
  <c r="BY2243" i="1"/>
  <c r="BG2243" i="1"/>
  <c r="BY2242" i="1"/>
  <c r="BG2242" i="1"/>
  <c r="BY2241" i="1"/>
  <c r="BG2241" i="1"/>
  <c r="BY2240" i="1"/>
  <c r="BG2240" i="1"/>
  <c r="BX2243" i="1"/>
  <c r="BX2242" i="1"/>
  <c r="BX2241" i="1"/>
  <c r="BX2240" i="1"/>
  <c r="BW2243" i="1"/>
  <c r="BV2243" i="1"/>
  <c r="BW2242" i="1"/>
  <c r="BV2242" i="1"/>
  <c r="BW2241" i="1"/>
  <c r="BV2241" i="1"/>
  <c r="BW2240" i="1"/>
  <c r="BV2240" i="1"/>
  <c r="BZ2243" i="1"/>
  <c r="BZ2242" i="1"/>
  <c r="BZ2241" i="1"/>
  <c r="BZ2240" i="1"/>
  <c r="BY2237" i="1"/>
  <c r="BG2237" i="1"/>
  <c r="BY2236" i="1"/>
  <c r="BG2236" i="1"/>
  <c r="BY2235" i="1"/>
  <c r="BG2235" i="1"/>
  <c r="BY2234" i="1"/>
  <c r="BG2234" i="1"/>
  <c r="BY2233" i="1"/>
  <c r="BG2233" i="1"/>
  <c r="BY2232" i="1"/>
  <c r="BG2232" i="1"/>
  <c r="BX2237" i="1"/>
  <c r="BX2236" i="1"/>
  <c r="BX2235" i="1"/>
  <c r="BX2234" i="1"/>
  <c r="BX2233" i="1"/>
  <c r="BX2232" i="1"/>
  <c r="BW2237" i="1"/>
  <c r="BV2237" i="1"/>
  <c r="BW2236" i="1"/>
  <c r="BV2236" i="1"/>
  <c r="BW2235" i="1"/>
  <c r="BV2235" i="1"/>
  <c r="BW2234" i="1"/>
  <c r="BV2234" i="1"/>
  <c r="BW2233" i="1"/>
  <c r="BV2233" i="1"/>
  <c r="BW2232" i="1"/>
  <c r="BV2232" i="1"/>
  <c r="BZ2237" i="1"/>
  <c r="BZ2236" i="1"/>
  <c r="BZ2235" i="1"/>
  <c r="BZ2234" i="1"/>
  <c r="BZ2233" i="1"/>
  <c r="BZ2232" i="1"/>
  <c r="BY2256" i="1"/>
  <c r="BG2256" i="1"/>
  <c r="BY2239" i="1"/>
  <c r="BG2239" i="1"/>
  <c r="BY2238" i="1"/>
  <c r="BG2238" i="1"/>
  <c r="BX2256" i="1"/>
  <c r="BX2239" i="1"/>
  <c r="BX2238" i="1"/>
  <c r="BW2256" i="1"/>
  <c r="BV2256" i="1"/>
  <c r="BW2239" i="1"/>
  <c r="BV2239" i="1"/>
  <c r="BW2238" i="1"/>
  <c r="BV2238" i="1"/>
  <c r="BZ2256" i="1"/>
  <c r="BZ2239" i="1"/>
  <c r="BZ2238" i="1"/>
  <c r="BY2267" i="1"/>
  <c r="BG2267" i="1"/>
  <c r="BY2231" i="1"/>
  <c r="BG2231" i="1"/>
  <c r="BY2230" i="1"/>
  <c r="BG2230" i="1"/>
  <c r="BY2229" i="1"/>
  <c r="BG2229" i="1"/>
  <c r="BX2267" i="1"/>
  <c r="BX2231" i="1"/>
  <c r="BX2230" i="1"/>
  <c r="BX2229" i="1"/>
  <c r="BW2267" i="1"/>
  <c r="BV2267" i="1"/>
  <c r="BW2231" i="1"/>
  <c r="BV2231" i="1"/>
  <c r="BW2230" i="1"/>
  <c r="BV2230" i="1"/>
  <c r="BW2229" i="1"/>
  <c r="BV2229" i="1"/>
  <c r="BZ2267" i="1"/>
  <c r="BZ2231" i="1"/>
  <c r="BZ2230" i="1"/>
  <c r="BZ2229" i="1"/>
  <c r="BY2225" i="1"/>
  <c r="BG2225" i="1"/>
  <c r="BY2224" i="1"/>
  <c r="BG2224" i="1"/>
  <c r="BY2223" i="1"/>
  <c r="BG2223" i="1"/>
  <c r="BY2222" i="1"/>
  <c r="BG2222" i="1"/>
  <c r="BX2225" i="1"/>
  <c r="BX2224" i="1"/>
  <c r="BX2223" i="1"/>
  <c r="BX2222" i="1"/>
  <c r="BW2225" i="1"/>
  <c r="BV2225" i="1"/>
  <c r="BW2224" i="1"/>
  <c r="BV2224" i="1"/>
  <c r="BW2223" i="1"/>
  <c r="BV2223" i="1"/>
  <c r="BW2222" i="1"/>
  <c r="BV2222" i="1"/>
  <c r="BZ2225" i="1"/>
  <c r="BZ2224" i="1"/>
  <c r="BZ2223" i="1"/>
  <c r="BZ2222" i="1"/>
  <c r="BY2228" i="1"/>
  <c r="BG2228" i="1"/>
  <c r="BY2227" i="1"/>
  <c r="BG2227" i="1"/>
  <c r="BY2226" i="1"/>
  <c r="BG2226" i="1"/>
  <c r="BX2228" i="1"/>
  <c r="BX2227" i="1"/>
  <c r="BX2226" i="1"/>
  <c r="BW2228" i="1"/>
  <c r="BV2228" i="1"/>
  <c r="BW2227" i="1"/>
  <c r="BV2227" i="1"/>
  <c r="BW2226" i="1"/>
  <c r="BV2226" i="1"/>
  <c r="BZ2228" i="1"/>
  <c r="BZ2227" i="1"/>
  <c r="BZ2226" i="1"/>
  <c r="BY2220" i="1"/>
  <c r="BG2220" i="1"/>
  <c r="BY2219" i="1"/>
  <c r="BG2219" i="1"/>
  <c r="BY2218" i="1"/>
  <c r="BG2218" i="1"/>
  <c r="BY2217" i="1"/>
  <c r="BG2217" i="1"/>
  <c r="BX2220" i="1"/>
  <c r="BX2219" i="1"/>
  <c r="BX2218" i="1"/>
  <c r="BX2217" i="1"/>
  <c r="BW2220" i="1"/>
  <c r="BV2220" i="1"/>
  <c r="BW2219" i="1"/>
  <c r="BV2219" i="1"/>
  <c r="BW2218" i="1"/>
  <c r="BV2218" i="1"/>
  <c r="BW2217" i="1"/>
  <c r="BV2217" i="1"/>
  <c r="BZ2220" i="1"/>
  <c r="BZ2219" i="1"/>
  <c r="BZ2218" i="1"/>
  <c r="BZ2217" i="1"/>
  <c r="BY2215" i="1"/>
  <c r="BG2215" i="1"/>
  <c r="BY2214" i="1"/>
  <c r="BG2214" i="1"/>
  <c r="BY2213" i="1"/>
  <c r="BG2213" i="1"/>
  <c r="BY2212" i="1"/>
  <c r="BG2212" i="1"/>
  <c r="BY2211" i="1"/>
  <c r="BG2211" i="1"/>
  <c r="BX2215" i="1"/>
  <c r="BX2214" i="1"/>
  <c r="BX2213" i="1"/>
  <c r="BX2212" i="1"/>
  <c r="BX2211" i="1"/>
  <c r="BW2215" i="1"/>
  <c r="BV2215" i="1"/>
  <c r="BW2214" i="1"/>
  <c r="BV2214" i="1"/>
  <c r="BW2213" i="1"/>
  <c r="BV2213" i="1"/>
  <c r="BW2212" i="1"/>
  <c r="BV2212" i="1"/>
  <c r="BW2211" i="1"/>
  <c r="BV2211" i="1"/>
  <c r="BZ2215" i="1"/>
  <c r="BZ2214" i="1"/>
  <c r="BZ2213" i="1"/>
  <c r="BZ2212" i="1"/>
  <c r="BZ2211" i="1"/>
  <c r="BY2216" i="1"/>
  <c r="BG2216" i="1"/>
  <c r="BY2210" i="1"/>
  <c r="BG2210" i="1"/>
  <c r="BY2209" i="1"/>
  <c r="BG2209" i="1"/>
  <c r="BY2208" i="1"/>
  <c r="BG2208" i="1"/>
  <c r="BX2216" i="1"/>
  <c r="BX2210" i="1"/>
  <c r="BX2209" i="1"/>
  <c r="BX2208" i="1"/>
  <c r="BW2216" i="1"/>
  <c r="BV2216" i="1"/>
  <c r="BW2210" i="1"/>
  <c r="BV2210" i="1"/>
  <c r="BW2209" i="1"/>
  <c r="BV2209" i="1"/>
  <c r="BW2208" i="1"/>
  <c r="BV2208" i="1"/>
  <c r="BZ2216" i="1"/>
  <c r="BZ2210" i="1"/>
  <c r="BZ2209" i="1"/>
  <c r="BZ2208" i="1"/>
  <c r="BY2205" i="1"/>
  <c r="BG2205" i="1"/>
  <c r="BY2204" i="1"/>
  <c r="BG2204" i="1"/>
  <c r="BY2203" i="1"/>
  <c r="BG2203" i="1"/>
  <c r="BY2202" i="1"/>
  <c r="BG2202" i="1"/>
  <c r="BY2201" i="1"/>
  <c r="BG2201" i="1"/>
  <c r="BX2205" i="1"/>
  <c r="BX2204" i="1"/>
  <c r="BX2203" i="1"/>
  <c r="BX2202" i="1"/>
  <c r="BX2201" i="1"/>
  <c r="BW2205" i="1"/>
  <c r="BV2205" i="1"/>
  <c r="BW2204" i="1"/>
  <c r="BV2204" i="1"/>
  <c r="BW2203" i="1"/>
  <c r="BV2203" i="1"/>
  <c r="BW2202" i="1"/>
  <c r="BV2202" i="1"/>
  <c r="BW2201" i="1"/>
  <c r="BV2201" i="1"/>
  <c r="BZ2205" i="1"/>
  <c r="BZ2204" i="1"/>
  <c r="BZ2203" i="1"/>
  <c r="BZ2202" i="1"/>
  <c r="BZ2201" i="1"/>
  <c r="BY2206" i="1"/>
  <c r="BG2206" i="1"/>
  <c r="BY2200" i="1"/>
  <c r="BG2200" i="1"/>
  <c r="BY2199" i="1"/>
  <c r="BG2199" i="1"/>
  <c r="BY2198" i="1"/>
  <c r="BG2198" i="1"/>
  <c r="BY2197" i="1"/>
  <c r="BG2197" i="1"/>
  <c r="BY2196" i="1"/>
  <c r="BG2196" i="1"/>
  <c r="BX2206" i="1"/>
  <c r="BX2200" i="1"/>
  <c r="BX2199" i="1"/>
  <c r="BX2198" i="1"/>
  <c r="BX2197" i="1"/>
  <c r="BX2196" i="1"/>
  <c r="BW2206" i="1"/>
  <c r="BV2206" i="1"/>
  <c r="BW2200" i="1"/>
  <c r="BV2200" i="1"/>
  <c r="BW2199" i="1"/>
  <c r="BV2199" i="1"/>
  <c r="BW2198" i="1"/>
  <c r="BV2198" i="1"/>
  <c r="BW2197" i="1"/>
  <c r="BV2197" i="1"/>
  <c r="BW2196" i="1"/>
  <c r="BV2196" i="1"/>
  <c r="BZ2206" i="1"/>
  <c r="BZ2200" i="1"/>
  <c r="BZ2199" i="1"/>
  <c r="BZ2198" i="1"/>
  <c r="BZ2197" i="1"/>
  <c r="BZ2196" i="1"/>
  <c r="BY2207" i="1"/>
  <c r="BG2207" i="1"/>
  <c r="BY2195" i="1"/>
  <c r="BG2195" i="1"/>
  <c r="BY2194" i="1"/>
  <c r="BG2194" i="1"/>
  <c r="BY2193" i="1"/>
  <c r="BG2193" i="1"/>
  <c r="BY2192" i="1"/>
  <c r="BG2192" i="1"/>
  <c r="BX2207" i="1"/>
  <c r="BX2195" i="1"/>
  <c r="BX2194" i="1"/>
  <c r="BX2193" i="1"/>
  <c r="BX2192" i="1"/>
  <c r="BW2207" i="1"/>
  <c r="BV2207" i="1"/>
  <c r="BW2195" i="1"/>
  <c r="BV2195" i="1"/>
  <c r="BW2194" i="1"/>
  <c r="BV2194" i="1"/>
  <c r="BW2193" i="1"/>
  <c r="BV2193" i="1"/>
  <c r="BW2192" i="1"/>
  <c r="BV2192" i="1"/>
  <c r="BZ2207" i="1"/>
  <c r="BZ2195" i="1"/>
  <c r="BZ2194" i="1"/>
  <c r="BZ2193" i="1"/>
  <c r="BZ2192" i="1"/>
  <c r="BY2277" i="1"/>
  <c r="BG2277" i="1"/>
  <c r="BX2277" i="1"/>
  <c r="BW2277" i="1"/>
  <c r="BV2277" i="1"/>
  <c r="BZ2277" i="1"/>
  <c r="BY2191" i="1"/>
  <c r="BG2191" i="1"/>
  <c r="BY2190" i="1"/>
  <c r="BG2190" i="1"/>
  <c r="BY2189" i="1"/>
  <c r="BG2189" i="1"/>
  <c r="BX2191" i="1"/>
  <c r="BX2190" i="1"/>
  <c r="BX2189" i="1"/>
  <c r="BW2191" i="1"/>
  <c r="BV2191" i="1"/>
  <c r="BW2190" i="1"/>
  <c r="BV2190" i="1"/>
  <c r="BW2189" i="1"/>
  <c r="BV2189" i="1"/>
  <c r="BZ2191" i="1"/>
  <c r="BZ2190" i="1"/>
  <c r="BZ2189" i="1"/>
  <c r="BY2186" i="1"/>
  <c r="BG2186" i="1"/>
  <c r="BY2185" i="1"/>
  <c r="BG2185" i="1"/>
  <c r="BY2184" i="1"/>
  <c r="BG2184" i="1"/>
  <c r="BY2183" i="1"/>
  <c r="BG2183" i="1"/>
  <c r="BY2182" i="1"/>
  <c r="BG2182" i="1"/>
  <c r="BX2186" i="1"/>
  <c r="BX2185" i="1"/>
  <c r="BX2184" i="1"/>
  <c r="BX2183" i="1"/>
  <c r="BX2182" i="1"/>
  <c r="BW2186" i="1"/>
  <c r="BV2186" i="1"/>
  <c r="BW2185" i="1"/>
  <c r="BV2185" i="1"/>
  <c r="BW2184" i="1"/>
  <c r="BV2184" i="1"/>
  <c r="BW2183" i="1"/>
  <c r="BV2183" i="1"/>
  <c r="BW2182" i="1"/>
  <c r="BV2182" i="1"/>
  <c r="BZ2186" i="1"/>
  <c r="BZ2185" i="1"/>
  <c r="BZ2184" i="1"/>
  <c r="BZ2183" i="1"/>
  <c r="BZ2182" i="1"/>
  <c r="BY2187" i="1"/>
  <c r="BG2187" i="1"/>
  <c r="BY2181" i="1"/>
  <c r="BG2181" i="1"/>
  <c r="BY2180" i="1"/>
  <c r="BG2180" i="1"/>
  <c r="BY2179" i="1"/>
  <c r="BG2179" i="1"/>
  <c r="BX2187" i="1"/>
  <c r="BX2181" i="1"/>
  <c r="BX2180" i="1"/>
  <c r="BX2179" i="1"/>
  <c r="BW2187" i="1"/>
  <c r="BV2187" i="1"/>
  <c r="BW2181" i="1"/>
  <c r="BV2181" i="1"/>
  <c r="BW2180" i="1"/>
  <c r="BV2180" i="1"/>
  <c r="BW2179" i="1"/>
  <c r="BV2179" i="1"/>
  <c r="BZ2187" i="1"/>
  <c r="BZ2181" i="1"/>
  <c r="BZ2180" i="1"/>
  <c r="BZ2179" i="1"/>
  <c r="BY2174" i="1"/>
  <c r="BG2174" i="1"/>
  <c r="BY2173" i="1"/>
  <c r="BG2173" i="1"/>
  <c r="BY2172" i="1"/>
  <c r="BG2172" i="1"/>
  <c r="BY2171" i="1"/>
  <c r="BG2171" i="1"/>
  <c r="BY2170" i="1"/>
  <c r="BG2170" i="1"/>
  <c r="BY2169" i="1"/>
  <c r="BG2169" i="1"/>
  <c r="BX2174" i="1"/>
  <c r="BX2173" i="1"/>
  <c r="BX2172" i="1"/>
  <c r="BX2171" i="1"/>
  <c r="BX2170" i="1"/>
  <c r="BX2169" i="1"/>
  <c r="BW2174" i="1"/>
  <c r="BV2174" i="1"/>
  <c r="BW2173" i="1"/>
  <c r="BV2173" i="1"/>
  <c r="BW2172" i="1"/>
  <c r="BV2172" i="1"/>
  <c r="BW2171" i="1"/>
  <c r="BV2171" i="1"/>
  <c r="BW2170" i="1"/>
  <c r="BV2170" i="1"/>
  <c r="BW2169" i="1"/>
  <c r="BV2169" i="1"/>
  <c r="BZ2174" i="1"/>
  <c r="BZ2173" i="1"/>
  <c r="BZ2172" i="1"/>
  <c r="BZ2171" i="1"/>
  <c r="BZ2170" i="1"/>
  <c r="BZ2169" i="1"/>
  <c r="BY2178" i="1"/>
  <c r="BG2178" i="1"/>
  <c r="BY2177" i="1"/>
  <c r="BG2177" i="1"/>
  <c r="BY2176" i="1"/>
  <c r="BG2176" i="1"/>
  <c r="BY2175" i="1"/>
  <c r="BG2175" i="1"/>
  <c r="BX2178" i="1"/>
  <c r="BX2177" i="1"/>
  <c r="BX2176" i="1"/>
  <c r="BX2175" i="1"/>
  <c r="BW2178" i="1"/>
  <c r="BV2178" i="1"/>
  <c r="BW2177" i="1"/>
  <c r="BV2177" i="1"/>
  <c r="BW2176" i="1"/>
  <c r="BV2176" i="1"/>
  <c r="BW2175" i="1"/>
  <c r="BV2175" i="1"/>
  <c r="BZ2178" i="1"/>
  <c r="BZ2177" i="1"/>
  <c r="BZ2176" i="1"/>
  <c r="BZ2175" i="1"/>
  <c r="BY2163" i="1"/>
  <c r="BG2163" i="1"/>
  <c r="BY2162" i="1"/>
  <c r="BG2162" i="1"/>
  <c r="BY2161" i="1"/>
  <c r="BG2161" i="1"/>
  <c r="BY2160" i="1"/>
  <c r="BG2160" i="1"/>
  <c r="BY2159" i="1"/>
  <c r="BG2159" i="1"/>
  <c r="BY2158" i="1"/>
  <c r="BG2158" i="1"/>
  <c r="BY2157" i="1"/>
  <c r="BG2157" i="1"/>
  <c r="BY2156" i="1"/>
  <c r="BG2156" i="1"/>
  <c r="BX2163" i="1"/>
  <c r="BX2162" i="1"/>
  <c r="BX2161" i="1"/>
  <c r="BX2160" i="1"/>
  <c r="BX2159" i="1"/>
  <c r="BX2158" i="1"/>
  <c r="BX2157" i="1"/>
  <c r="BX2156" i="1"/>
  <c r="BW2163" i="1"/>
  <c r="BV2163" i="1"/>
  <c r="BW2162" i="1"/>
  <c r="BV2162" i="1"/>
  <c r="BW2161" i="1"/>
  <c r="BV2161" i="1"/>
  <c r="BW2160" i="1"/>
  <c r="BV2160" i="1"/>
  <c r="BW2159" i="1"/>
  <c r="BV2159" i="1"/>
  <c r="BW2158" i="1"/>
  <c r="BV2158" i="1"/>
  <c r="BW2157" i="1"/>
  <c r="BV2157" i="1"/>
  <c r="BW2156" i="1"/>
  <c r="BV2156" i="1"/>
  <c r="BZ2163" i="1"/>
  <c r="BZ2162" i="1"/>
  <c r="BZ2161" i="1"/>
  <c r="BZ2160" i="1"/>
  <c r="BZ2159" i="1"/>
  <c r="BZ2158" i="1"/>
  <c r="BZ2157" i="1"/>
  <c r="BZ2156" i="1"/>
  <c r="BY2167" i="1"/>
  <c r="BG2167" i="1"/>
  <c r="BY2166" i="1"/>
  <c r="BG2166" i="1"/>
  <c r="BY2165" i="1"/>
  <c r="BG2165" i="1"/>
  <c r="BY2164" i="1"/>
  <c r="BG2164" i="1"/>
  <c r="BX2167" i="1"/>
  <c r="BX2166" i="1"/>
  <c r="BX2165" i="1"/>
  <c r="BX2164" i="1"/>
  <c r="BW2167" i="1"/>
  <c r="BV2167" i="1"/>
  <c r="BW2166" i="1"/>
  <c r="BV2166" i="1"/>
  <c r="BW2165" i="1"/>
  <c r="BV2165" i="1"/>
  <c r="BW2164" i="1"/>
  <c r="BV2164" i="1"/>
  <c r="BZ2167" i="1"/>
  <c r="BZ2166" i="1"/>
  <c r="BZ2165" i="1"/>
  <c r="BZ2164" i="1"/>
  <c r="BY2115" i="1"/>
  <c r="BG2115" i="1"/>
  <c r="BY2114" i="1"/>
  <c r="BG2114" i="1"/>
  <c r="BY2113" i="1"/>
  <c r="BG2113" i="1"/>
  <c r="BY2112" i="1"/>
  <c r="BG2112" i="1"/>
  <c r="BX2115" i="1"/>
  <c r="BX2114" i="1"/>
  <c r="BX2113" i="1"/>
  <c r="BX2112" i="1"/>
  <c r="BW2115" i="1"/>
  <c r="BV2115" i="1"/>
  <c r="BW2114" i="1"/>
  <c r="BV2114" i="1"/>
  <c r="BW2113" i="1"/>
  <c r="BV2113" i="1"/>
  <c r="BW2112" i="1"/>
  <c r="BV2112" i="1"/>
  <c r="BZ2115" i="1"/>
  <c r="BZ2114" i="1"/>
  <c r="BZ2113" i="1"/>
  <c r="BZ2112" i="1"/>
  <c r="BY2149" i="1"/>
  <c r="BG2149" i="1"/>
  <c r="BY2148" i="1"/>
  <c r="BG2148" i="1"/>
  <c r="BY2147" i="1"/>
  <c r="BG2147" i="1"/>
  <c r="BY2146" i="1"/>
  <c r="BG2146" i="1"/>
  <c r="BY2145" i="1"/>
  <c r="BG2145" i="1"/>
  <c r="BY2144" i="1"/>
  <c r="BG2144" i="1"/>
  <c r="BY2143" i="1"/>
  <c r="BG2143" i="1"/>
  <c r="BY2142" i="1"/>
  <c r="BG2142" i="1"/>
  <c r="BY2141" i="1"/>
  <c r="BG2141" i="1"/>
  <c r="BY2140" i="1"/>
  <c r="BG2140" i="1"/>
  <c r="BX2149" i="1"/>
  <c r="BX2148" i="1"/>
  <c r="BX2147" i="1"/>
  <c r="BX2146" i="1"/>
  <c r="BX2145" i="1"/>
  <c r="BX2144" i="1"/>
  <c r="BX2143" i="1"/>
  <c r="BX2142" i="1"/>
  <c r="BX2141" i="1"/>
  <c r="BX2140" i="1"/>
  <c r="BW2149" i="1"/>
  <c r="BV2149" i="1"/>
  <c r="BW2148" i="1"/>
  <c r="BV2148" i="1"/>
  <c r="BW2147" i="1"/>
  <c r="BV2147" i="1"/>
  <c r="BW2146" i="1"/>
  <c r="BV2146" i="1"/>
  <c r="BW2145" i="1"/>
  <c r="BV2145" i="1"/>
  <c r="BW2144" i="1"/>
  <c r="BV2144" i="1"/>
  <c r="BW2143" i="1"/>
  <c r="BV2143" i="1"/>
  <c r="BW2142" i="1"/>
  <c r="BV2142" i="1"/>
  <c r="BW2141" i="1"/>
  <c r="BV2141" i="1"/>
  <c r="BW2140" i="1"/>
  <c r="BV2140" i="1"/>
  <c r="BZ2149" i="1"/>
  <c r="BZ2148" i="1"/>
  <c r="BZ2147" i="1"/>
  <c r="BZ2146" i="1"/>
  <c r="BZ2145" i="1"/>
  <c r="BZ2144" i="1"/>
  <c r="BZ2143" i="1"/>
  <c r="BZ2142" i="1"/>
  <c r="BZ2141" i="1"/>
  <c r="BZ2140" i="1"/>
  <c r="BY2154" i="1"/>
  <c r="BG2154" i="1"/>
  <c r="BY2153" i="1"/>
  <c r="BG2153" i="1"/>
  <c r="BY2152" i="1"/>
  <c r="BG2152" i="1"/>
  <c r="BY2151" i="1"/>
  <c r="BG2151" i="1"/>
  <c r="BY2150" i="1"/>
  <c r="BG2150" i="1"/>
  <c r="BX2154" i="1"/>
  <c r="BX2153" i="1"/>
  <c r="BX2152" i="1"/>
  <c r="BX2151" i="1"/>
  <c r="BX2150" i="1"/>
  <c r="BW2154" i="1"/>
  <c r="BV2154" i="1"/>
  <c r="BW2153" i="1"/>
  <c r="BV2153" i="1"/>
  <c r="BW2152" i="1"/>
  <c r="BV2152" i="1"/>
  <c r="BW2151" i="1"/>
  <c r="BV2151" i="1"/>
  <c r="BW2150" i="1"/>
  <c r="BV2150" i="1"/>
  <c r="BZ2154" i="1"/>
  <c r="BZ2153" i="1"/>
  <c r="BZ2152" i="1"/>
  <c r="BZ2151" i="1"/>
  <c r="BZ2150" i="1"/>
  <c r="BY2111" i="1"/>
  <c r="BG2111" i="1"/>
  <c r="BY2110" i="1"/>
  <c r="BG2110" i="1"/>
  <c r="BY2109" i="1"/>
  <c r="BG2109" i="1"/>
  <c r="BX2111" i="1"/>
  <c r="BX2110" i="1"/>
  <c r="BX2109" i="1"/>
  <c r="BW2111" i="1"/>
  <c r="BV2111" i="1"/>
  <c r="BW2110" i="1"/>
  <c r="BV2110" i="1"/>
  <c r="BW2109" i="1"/>
  <c r="BV2109" i="1"/>
  <c r="BZ2111" i="1"/>
  <c r="BZ2110" i="1"/>
  <c r="BZ2109" i="1"/>
  <c r="BY2118" i="1"/>
  <c r="BG2118" i="1"/>
  <c r="BY2117" i="1"/>
  <c r="BG2117" i="1"/>
  <c r="BY2116" i="1"/>
  <c r="BG2116" i="1"/>
  <c r="BY2108" i="1"/>
  <c r="BG2108" i="1"/>
  <c r="BX2118" i="1"/>
  <c r="BX2117" i="1"/>
  <c r="BX2116" i="1"/>
  <c r="BX2108" i="1"/>
  <c r="BW2118" i="1"/>
  <c r="BV2118" i="1"/>
  <c r="BW2117" i="1"/>
  <c r="BV2117" i="1"/>
  <c r="BW2116" i="1"/>
  <c r="BV2116" i="1"/>
  <c r="BW2108" i="1"/>
  <c r="BV2108" i="1"/>
  <c r="BZ2118" i="1"/>
  <c r="BZ2117" i="1"/>
  <c r="BZ2116" i="1"/>
  <c r="BZ2108" i="1"/>
  <c r="BY2107" i="1"/>
  <c r="BG2107" i="1"/>
  <c r="BY2106" i="1"/>
  <c r="BG2106" i="1"/>
  <c r="BY2105" i="1"/>
  <c r="BG2105" i="1"/>
  <c r="BX2107" i="1"/>
  <c r="BX2106" i="1"/>
  <c r="BX2105" i="1"/>
  <c r="BW2107" i="1"/>
  <c r="BV2107" i="1"/>
  <c r="BW2106" i="1"/>
  <c r="BV2106" i="1"/>
  <c r="BW2105" i="1"/>
  <c r="BV2105" i="1"/>
  <c r="BZ2107" i="1"/>
  <c r="BZ2106" i="1"/>
  <c r="BZ2105" i="1"/>
  <c r="BY2101" i="1"/>
  <c r="BG2101" i="1"/>
  <c r="BY2100" i="1"/>
  <c r="BG2100" i="1"/>
  <c r="BY2099" i="1"/>
  <c r="BG2099" i="1"/>
  <c r="BY2098" i="1"/>
  <c r="BG2098" i="1"/>
  <c r="BY2097" i="1"/>
  <c r="BG2097" i="1"/>
  <c r="BY2096" i="1"/>
  <c r="BG2096" i="1"/>
  <c r="BX2101" i="1"/>
  <c r="BX2100" i="1"/>
  <c r="BX2099" i="1"/>
  <c r="BX2098" i="1"/>
  <c r="BX2097" i="1"/>
  <c r="BX2096" i="1"/>
  <c r="BW2101" i="1"/>
  <c r="BV2101" i="1"/>
  <c r="BW2100" i="1"/>
  <c r="BV2100" i="1"/>
  <c r="BW2099" i="1"/>
  <c r="BV2099" i="1"/>
  <c r="BW2098" i="1"/>
  <c r="BV2098" i="1"/>
  <c r="BW2097" i="1"/>
  <c r="BV2097" i="1"/>
  <c r="BW2096" i="1"/>
  <c r="BV2096" i="1"/>
  <c r="BZ2101" i="1"/>
  <c r="BZ2100" i="1"/>
  <c r="BZ2099" i="1"/>
  <c r="BZ2098" i="1"/>
  <c r="BZ2097" i="1"/>
  <c r="BZ2096" i="1"/>
  <c r="BY2104" i="1"/>
  <c r="BG2104" i="1"/>
  <c r="BY2103" i="1"/>
  <c r="BG2103" i="1"/>
  <c r="BY2102" i="1"/>
  <c r="BG2102" i="1"/>
  <c r="BX2104" i="1"/>
  <c r="BX2103" i="1"/>
  <c r="BX2102" i="1"/>
  <c r="BW2104" i="1"/>
  <c r="BV2104" i="1"/>
  <c r="BW2103" i="1"/>
  <c r="BV2103" i="1"/>
  <c r="BW2102" i="1"/>
  <c r="BV2102" i="1"/>
  <c r="BZ2104" i="1"/>
  <c r="BZ2103" i="1"/>
  <c r="BZ2102" i="1"/>
  <c r="BY2093" i="1"/>
  <c r="BG2093" i="1"/>
  <c r="BY2092" i="1"/>
  <c r="BG2092" i="1"/>
  <c r="BX2093" i="1"/>
  <c r="BX2092" i="1"/>
  <c r="BW2093" i="1"/>
  <c r="BV2093" i="1"/>
  <c r="BW2092" i="1"/>
  <c r="BV2092" i="1"/>
  <c r="AW14" i="6"/>
  <c r="BZ2093" i="1"/>
  <c r="BZ2092" i="1"/>
  <c r="BY2086" i="1"/>
  <c r="BG2086" i="1"/>
  <c r="BY2085" i="1"/>
  <c r="BG2085" i="1"/>
  <c r="BY2084" i="1"/>
  <c r="BG2084" i="1"/>
  <c r="BY2083" i="1"/>
  <c r="BG2083" i="1"/>
  <c r="BY2082" i="1"/>
  <c r="BG2082" i="1"/>
  <c r="BY2081" i="1"/>
  <c r="BG2081" i="1"/>
  <c r="BY2080" i="1"/>
  <c r="BG2080" i="1"/>
  <c r="BY2079" i="1"/>
  <c r="BG2079" i="1"/>
  <c r="BY2078" i="1"/>
  <c r="BG2078" i="1"/>
  <c r="BY2077" i="1"/>
  <c r="BG2077" i="1"/>
  <c r="BX2086" i="1"/>
  <c r="BX2085" i="1"/>
  <c r="BX2084" i="1"/>
  <c r="BX2083" i="1"/>
  <c r="BX2082" i="1"/>
  <c r="BX2081" i="1"/>
  <c r="BX2080" i="1"/>
  <c r="BX2079" i="1"/>
  <c r="BX2078" i="1"/>
  <c r="BX2077" i="1"/>
  <c r="BW2086" i="1"/>
  <c r="BV2086" i="1"/>
  <c r="BW2085" i="1"/>
  <c r="BV2085" i="1"/>
  <c r="BW2084" i="1"/>
  <c r="BV2084" i="1"/>
  <c r="BW2083" i="1"/>
  <c r="BV2083" i="1"/>
  <c r="BW2082" i="1"/>
  <c r="BV2082" i="1"/>
  <c r="BW2081" i="1"/>
  <c r="BV2081" i="1"/>
  <c r="BW2080" i="1"/>
  <c r="BV2080" i="1"/>
  <c r="BW2079" i="1"/>
  <c r="BV2079" i="1"/>
  <c r="BW2078" i="1"/>
  <c r="BV2078" i="1"/>
  <c r="BW2077" i="1"/>
  <c r="BV2077" i="1"/>
  <c r="BZ2086" i="1"/>
  <c r="BZ2085" i="1"/>
  <c r="BZ2084" i="1"/>
  <c r="BZ2083" i="1"/>
  <c r="BZ2082" i="1"/>
  <c r="BZ2081" i="1"/>
  <c r="BZ2080" i="1"/>
  <c r="BZ2079" i="1"/>
  <c r="BZ2078" i="1"/>
  <c r="BZ2077" i="1"/>
  <c r="BY2091" i="1"/>
  <c r="BG2091" i="1"/>
  <c r="BY2090" i="1"/>
  <c r="BG2090" i="1"/>
  <c r="BY2089" i="1"/>
  <c r="BG2089" i="1"/>
  <c r="BY2088" i="1"/>
  <c r="BG2088" i="1"/>
  <c r="BY2087" i="1"/>
  <c r="BG2087" i="1"/>
  <c r="BX2091" i="1"/>
  <c r="BX2090" i="1"/>
  <c r="BX2089" i="1"/>
  <c r="BX2088" i="1"/>
  <c r="BX2087" i="1"/>
  <c r="BW2091" i="1"/>
  <c r="BV2091" i="1"/>
  <c r="BW2090" i="1"/>
  <c r="BV2090" i="1"/>
  <c r="BW2089" i="1"/>
  <c r="BV2089" i="1"/>
  <c r="BW2088" i="1"/>
  <c r="BV2088" i="1"/>
  <c r="BW2087" i="1"/>
  <c r="BV2087" i="1"/>
  <c r="BZ2091" i="1"/>
  <c r="BZ2090" i="1"/>
  <c r="BZ2089" i="1"/>
  <c r="BZ2088" i="1"/>
  <c r="BZ2087" i="1"/>
  <c r="BY2139" i="1"/>
  <c r="BG2139" i="1"/>
  <c r="BY2138" i="1"/>
  <c r="BG2138" i="1"/>
  <c r="BY2137" i="1"/>
  <c r="BG2137" i="1"/>
  <c r="BY2136" i="1"/>
  <c r="BG2136" i="1"/>
  <c r="BY2135" i="1"/>
  <c r="BG2135" i="1"/>
  <c r="BX2139" i="1"/>
  <c r="BX2138" i="1"/>
  <c r="BX2137" i="1"/>
  <c r="BX2136" i="1"/>
  <c r="BX2135" i="1"/>
  <c r="BW2139" i="1"/>
  <c r="BV2139" i="1"/>
  <c r="BW2138" i="1"/>
  <c r="BV2138" i="1"/>
  <c r="BW2137" i="1"/>
  <c r="BV2137" i="1"/>
  <c r="BW2136" i="1"/>
  <c r="BV2136" i="1"/>
  <c r="BW2135" i="1"/>
  <c r="BV2135" i="1"/>
  <c r="BZ2139" i="1"/>
  <c r="BZ2138" i="1"/>
  <c r="BZ2137" i="1"/>
  <c r="BZ2136" i="1"/>
  <c r="BZ2135" i="1"/>
  <c r="BY2391" i="1"/>
  <c r="BG2391" i="1"/>
  <c r="BY2390" i="1"/>
  <c r="BG2390" i="1"/>
  <c r="BY2389" i="1"/>
  <c r="BG2389" i="1"/>
  <c r="BY2388" i="1"/>
  <c r="BG2388" i="1"/>
  <c r="BY2387" i="1"/>
  <c r="BG2387" i="1"/>
  <c r="BY2386" i="1"/>
  <c r="BG2386" i="1"/>
  <c r="BY2385" i="1"/>
  <c r="BG2385" i="1"/>
  <c r="BY2384" i="1"/>
  <c r="BG2384" i="1"/>
  <c r="BY2383" i="1"/>
  <c r="BG2383" i="1"/>
  <c r="BX2391" i="1"/>
  <c r="BX2390" i="1"/>
  <c r="BX2389" i="1"/>
  <c r="BX2388" i="1"/>
  <c r="BX2387" i="1"/>
  <c r="BX2386" i="1"/>
  <c r="BX2385" i="1"/>
  <c r="BX2384" i="1"/>
  <c r="BX2383" i="1"/>
  <c r="BW2391" i="1"/>
  <c r="BV2391" i="1"/>
  <c r="BW2390" i="1"/>
  <c r="BV2390" i="1"/>
  <c r="BW2389" i="1"/>
  <c r="BV2389" i="1"/>
  <c r="BW2388" i="1"/>
  <c r="BV2388" i="1"/>
  <c r="BW2387" i="1"/>
  <c r="BV2387" i="1"/>
  <c r="BW2386" i="1"/>
  <c r="BV2386" i="1"/>
  <c r="BW2385" i="1"/>
  <c r="BV2385" i="1"/>
  <c r="BW2384" i="1"/>
  <c r="BV2384" i="1"/>
  <c r="BW2383" i="1"/>
  <c r="BV2383" i="1"/>
  <c r="BZ2391" i="1"/>
  <c r="BZ2390" i="1"/>
  <c r="BZ2389" i="1"/>
  <c r="BZ2388" i="1"/>
  <c r="BZ2387" i="1"/>
  <c r="BZ2386" i="1"/>
  <c r="BZ2385" i="1"/>
  <c r="BZ2384" i="1"/>
  <c r="BZ2383" i="1"/>
  <c r="BY2396" i="1"/>
  <c r="BG2396" i="1"/>
  <c r="BY2395" i="1"/>
  <c r="BG2395" i="1"/>
  <c r="BY2394" i="1"/>
  <c r="BG2394" i="1"/>
  <c r="BY2393" i="1"/>
  <c r="BG2393" i="1"/>
  <c r="BY2392" i="1"/>
  <c r="BG2392" i="1"/>
  <c r="BX2396" i="1"/>
  <c r="BX2395" i="1"/>
  <c r="BX2394" i="1"/>
  <c r="BX2393" i="1"/>
  <c r="BX2392" i="1"/>
  <c r="BW2396" i="1"/>
  <c r="BV2396" i="1"/>
  <c r="BW2395" i="1"/>
  <c r="BV2395" i="1"/>
  <c r="BW2394" i="1"/>
  <c r="BV2394" i="1"/>
  <c r="BW2393" i="1"/>
  <c r="BV2393" i="1"/>
  <c r="BW2392" i="1"/>
  <c r="BV2392" i="1"/>
  <c r="BZ2396" i="1"/>
  <c r="BZ2395" i="1"/>
  <c r="BZ2394" i="1"/>
  <c r="BZ2393" i="1"/>
  <c r="BZ2392" i="1"/>
  <c r="BY2291" i="1"/>
  <c r="BG2291" i="1"/>
  <c r="BY2290" i="1"/>
  <c r="BG2290" i="1"/>
  <c r="BY2289" i="1"/>
  <c r="BG2289" i="1"/>
  <c r="BY2288" i="1"/>
  <c r="BG2288" i="1"/>
  <c r="BY2287" i="1"/>
  <c r="BG2287" i="1"/>
  <c r="BY2286" i="1"/>
  <c r="BG2286" i="1"/>
  <c r="BY2285" i="1"/>
  <c r="BG2285" i="1"/>
  <c r="BY2284" i="1"/>
  <c r="BG2284" i="1"/>
  <c r="BY2283" i="1"/>
  <c r="BG2283" i="1"/>
  <c r="BY2282" i="1"/>
  <c r="BG2282" i="1"/>
  <c r="BX2291" i="1"/>
  <c r="BX2290" i="1"/>
  <c r="BX2289" i="1"/>
  <c r="BX2288" i="1"/>
  <c r="BX2287" i="1"/>
  <c r="BX2286" i="1"/>
  <c r="BX2285" i="1"/>
  <c r="BX2284" i="1"/>
  <c r="BX2283" i="1"/>
  <c r="BX2282" i="1"/>
  <c r="BW2291" i="1"/>
  <c r="BV2291" i="1"/>
  <c r="BW2290" i="1"/>
  <c r="BV2290" i="1"/>
  <c r="BW2289" i="1"/>
  <c r="BV2289" i="1"/>
  <c r="BW2288" i="1"/>
  <c r="BV2288" i="1"/>
  <c r="BW2287" i="1"/>
  <c r="BV2287" i="1"/>
  <c r="BW2286" i="1"/>
  <c r="BV2286" i="1"/>
  <c r="BW2285" i="1"/>
  <c r="BV2285" i="1"/>
  <c r="BW2284" i="1"/>
  <c r="BV2284" i="1"/>
  <c r="BW2283" i="1"/>
  <c r="BV2283" i="1"/>
  <c r="BW2282" i="1"/>
  <c r="BV2282" i="1"/>
  <c r="BZ2291" i="1"/>
  <c r="BZ2290" i="1"/>
  <c r="BZ2289" i="1"/>
  <c r="BZ2288" i="1"/>
  <c r="BZ2287" i="1"/>
  <c r="BZ2286" i="1"/>
  <c r="BZ2285" i="1"/>
  <c r="BZ2284" i="1"/>
  <c r="BZ2283" i="1"/>
  <c r="BZ2282" i="1"/>
  <c r="BY2322" i="1"/>
  <c r="BG2322" i="1"/>
  <c r="BY2295" i="1"/>
  <c r="BG2295" i="1"/>
  <c r="BY2294" i="1"/>
  <c r="BG2294" i="1"/>
  <c r="BY2293" i="1"/>
  <c r="BG2293" i="1"/>
  <c r="BY2292" i="1"/>
  <c r="BG2292" i="1"/>
  <c r="BX2322" i="1"/>
  <c r="BX2295" i="1"/>
  <c r="BX2294" i="1"/>
  <c r="BX2293" i="1"/>
  <c r="BX2292" i="1"/>
  <c r="BW2322" i="1"/>
  <c r="BV2322" i="1"/>
  <c r="BW2295" i="1"/>
  <c r="BV2295" i="1"/>
  <c r="BW2294" i="1"/>
  <c r="BV2294" i="1"/>
  <c r="BW2293" i="1"/>
  <c r="BV2293" i="1"/>
  <c r="BW2292" i="1"/>
  <c r="BV2292" i="1"/>
  <c r="BZ2322" i="1"/>
  <c r="BZ2295" i="1"/>
  <c r="BZ2294" i="1"/>
  <c r="BZ2293" i="1"/>
  <c r="BZ2292" i="1"/>
  <c r="BG2382" i="1"/>
  <c r="BW2382" i="1"/>
  <c r="BY2380" i="1"/>
  <c r="BG2380" i="1"/>
  <c r="BY2379" i="1"/>
  <c r="BG2379" i="1"/>
  <c r="BY2378" i="1"/>
  <c r="BG2378" i="1"/>
  <c r="BY2323" i="1"/>
  <c r="BG2323" i="1"/>
  <c r="BG2281" i="1"/>
  <c r="BX2380" i="1"/>
  <c r="BX2379" i="1"/>
  <c r="BX2378" i="1"/>
  <c r="BX2323" i="1"/>
  <c r="BW2380" i="1"/>
  <c r="BV2380" i="1"/>
  <c r="BW2379" i="1"/>
  <c r="BV2379" i="1"/>
  <c r="BW2378" i="1"/>
  <c r="BV2378" i="1"/>
  <c r="BW2323" i="1"/>
  <c r="BV2323" i="1"/>
  <c r="BW2281" i="1"/>
  <c r="BZ2380" i="1"/>
  <c r="BZ2379" i="1"/>
  <c r="BZ2378" i="1"/>
  <c r="BZ2323" i="1"/>
  <c r="BY2221" i="1"/>
  <c r="BG2221" i="1"/>
  <c r="BY2188" i="1"/>
  <c r="BG2188" i="1"/>
  <c r="BY2168" i="1"/>
  <c r="BG2168" i="1"/>
  <c r="BY2155" i="1"/>
  <c r="BG2155" i="1"/>
  <c r="BY2134" i="1"/>
  <c r="BG2134" i="1"/>
  <c r="BY2133" i="1"/>
  <c r="BG2133" i="1"/>
  <c r="BY2132" i="1"/>
  <c r="BG2132" i="1"/>
  <c r="BX2221" i="1"/>
  <c r="BX2188" i="1"/>
  <c r="BX2168" i="1"/>
  <c r="BX2155" i="1"/>
  <c r="BX2134" i="1"/>
  <c r="BX2133" i="1"/>
  <c r="BX2132" i="1"/>
  <c r="BW2221" i="1"/>
  <c r="BV2221" i="1"/>
  <c r="BW2188" i="1"/>
  <c r="BV2188" i="1"/>
  <c r="BW2168" i="1"/>
  <c r="BV2168" i="1"/>
  <c r="BW2155" i="1"/>
  <c r="BV2155" i="1"/>
  <c r="BW2134" i="1"/>
  <c r="BV2134" i="1"/>
  <c r="BW2133" i="1"/>
  <c r="BV2133" i="1"/>
  <c r="BW2132" i="1"/>
  <c r="BV2132" i="1"/>
  <c r="BZ2221" i="1"/>
  <c r="BZ2188" i="1"/>
  <c r="BZ2168" i="1"/>
  <c r="BZ2155" i="1"/>
  <c r="BZ2134" i="1"/>
  <c r="BZ2133" i="1"/>
  <c r="BZ2132" i="1"/>
  <c r="BY2278" i="1"/>
  <c r="BG2278" i="1"/>
  <c r="BY2131" i="1"/>
  <c r="BG2131" i="1"/>
  <c r="BY2130" i="1"/>
  <c r="BG2130" i="1"/>
  <c r="BY2129" i="1"/>
  <c r="BG2129" i="1"/>
  <c r="BY2128" i="1"/>
  <c r="BG2128" i="1"/>
  <c r="BY2127" i="1"/>
  <c r="BG2127" i="1"/>
  <c r="BY2126" i="1"/>
  <c r="BG2126" i="1"/>
  <c r="BX2278" i="1"/>
  <c r="BX2131" i="1"/>
  <c r="BX2130" i="1"/>
  <c r="BX2129" i="1"/>
  <c r="BX2128" i="1"/>
  <c r="BX2127" i="1"/>
  <c r="BX2126" i="1"/>
  <c r="BW2278" i="1"/>
  <c r="BV2278" i="1"/>
  <c r="BW2131" i="1"/>
  <c r="BV2131" i="1"/>
  <c r="BW2130" i="1"/>
  <c r="BV2130" i="1"/>
  <c r="BW2129" i="1"/>
  <c r="BV2129" i="1"/>
  <c r="BW2128" i="1"/>
  <c r="BV2128" i="1"/>
  <c r="BW2127" i="1"/>
  <c r="BV2127" i="1"/>
  <c r="BW2126" i="1"/>
  <c r="BV2126" i="1"/>
  <c r="BZ2278" i="1"/>
  <c r="BZ2131" i="1"/>
  <c r="BZ2130" i="1"/>
  <c r="BZ2129" i="1"/>
  <c r="BZ2128" i="1"/>
  <c r="BZ2127" i="1"/>
  <c r="BZ2126" i="1"/>
  <c r="BY2280" i="1"/>
  <c r="BG2280" i="1"/>
  <c r="BY2279" i="1"/>
  <c r="BG2279" i="1"/>
  <c r="BY2125" i="1"/>
  <c r="BG2125" i="1"/>
  <c r="BX2280" i="1"/>
  <c r="BX2279" i="1"/>
  <c r="BX2125" i="1"/>
  <c r="BW2280" i="1"/>
  <c r="BV2280" i="1"/>
  <c r="BW2279" i="1"/>
  <c r="BV2279" i="1"/>
  <c r="BW2125" i="1"/>
  <c r="BV2125" i="1"/>
  <c r="BZ2280" i="1"/>
  <c r="BZ2279" i="1"/>
  <c r="BZ2125" i="1"/>
  <c r="BY2074" i="1"/>
  <c r="BG2074" i="1"/>
  <c r="BY2073" i="1"/>
  <c r="BG2073" i="1"/>
  <c r="BY2072" i="1"/>
  <c r="BG2072" i="1"/>
  <c r="BY2071" i="1"/>
  <c r="BG2071" i="1"/>
  <c r="BY2070" i="1"/>
  <c r="BG2070" i="1"/>
  <c r="BY2069" i="1"/>
  <c r="BG2069" i="1"/>
  <c r="BY2068" i="1"/>
  <c r="BG2068" i="1"/>
  <c r="BX2074" i="1"/>
  <c r="BX2073" i="1"/>
  <c r="BX2072" i="1"/>
  <c r="BX2071" i="1"/>
  <c r="BX2070" i="1"/>
  <c r="BX2069" i="1"/>
  <c r="BX2068" i="1"/>
  <c r="BW2074" i="1"/>
  <c r="BV2074" i="1"/>
  <c r="BW2073" i="1"/>
  <c r="BV2073" i="1"/>
  <c r="BW2072" i="1"/>
  <c r="BV2072" i="1"/>
  <c r="BW2071" i="1"/>
  <c r="BV2071" i="1"/>
  <c r="BW2070" i="1"/>
  <c r="BV2070" i="1"/>
  <c r="BW2069" i="1"/>
  <c r="BV2069" i="1"/>
  <c r="BW2068" i="1"/>
  <c r="BV2068" i="1"/>
  <c r="BZ2074" i="1"/>
  <c r="BZ2073" i="1"/>
  <c r="BZ2072" i="1"/>
  <c r="BZ2071" i="1"/>
  <c r="BZ2070" i="1"/>
  <c r="BZ2069" i="1"/>
  <c r="BZ2068" i="1"/>
  <c r="BY2094" i="1"/>
  <c r="BG2094" i="1"/>
  <c r="BY2076" i="1"/>
  <c r="BG2076" i="1"/>
  <c r="BY2075" i="1"/>
  <c r="BG2075" i="1"/>
  <c r="BX2094" i="1"/>
  <c r="BX2076" i="1"/>
  <c r="BX2075" i="1"/>
  <c r="BW2094" i="1"/>
  <c r="BV2094" i="1"/>
  <c r="BW2076" i="1"/>
  <c r="BV2076" i="1"/>
  <c r="BW2075" i="1"/>
  <c r="BV2075" i="1"/>
  <c r="BZ2094" i="1"/>
  <c r="BZ2076" i="1"/>
  <c r="BZ2075" i="1"/>
  <c r="BY2067" i="1"/>
  <c r="BG2067" i="1"/>
  <c r="BY2066" i="1"/>
  <c r="BG2066" i="1"/>
  <c r="BY2065" i="1"/>
  <c r="BG2065" i="1"/>
  <c r="BY2064" i="1"/>
  <c r="BG2064" i="1"/>
  <c r="BX2067" i="1"/>
  <c r="BX2066" i="1"/>
  <c r="BX2065" i="1"/>
  <c r="BX2064" i="1"/>
  <c r="BW2067" i="1"/>
  <c r="BV2067" i="1"/>
  <c r="BW2066" i="1"/>
  <c r="BV2066" i="1"/>
  <c r="BW2065" i="1"/>
  <c r="BV2065" i="1"/>
  <c r="BW2064" i="1"/>
  <c r="BV2064" i="1"/>
  <c r="BZ2067" i="1"/>
  <c r="BZ2066" i="1"/>
  <c r="BZ2065" i="1"/>
  <c r="BZ2064" i="1"/>
  <c r="BY2063" i="1"/>
  <c r="BG2063" i="1"/>
  <c r="BY2062" i="1"/>
  <c r="BG2062" i="1"/>
  <c r="BY2061" i="1"/>
  <c r="BG2061" i="1"/>
  <c r="BY2060" i="1"/>
  <c r="BG2060" i="1"/>
  <c r="BX2063" i="1"/>
  <c r="BX2062" i="1"/>
  <c r="BX2061" i="1"/>
  <c r="BX2060" i="1"/>
  <c r="BW2063" i="1"/>
  <c r="BV2063" i="1"/>
  <c r="BW2062" i="1"/>
  <c r="BV2062" i="1"/>
  <c r="BW2061" i="1"/>
  <c r="BV2061" i="1"/>
  <c r="BW2060" i="1"/>
  <c r="BV2060" i="1"/>
  <c r="BZ2063" i="1"/>
  <c r="BZ2062" i="1"/>
  <c r="BZ2061" i="1"/>
  <c r="BZ2060" i="1"/>
  <c r="BY2119" i="1"/>
  <c r="BG2119" i="1"/>
  <c r="BY2095" i="1"/>
  <c r="BG2095" i="1"/>
  <c r="BX2119" i="1"/>
  <c r="BX2095" i="1"/>
  <c r="BW2119" i="1"/>
  <c r="BV2119" i="1"/>
  <c r="BW2095" i="1"/>
  <c r="BV2095" i="1"/>
  <c r="BZ2119" i="1"/>
  <c r="BZ2095" i="1"/>
  <c r="BG2043" i="1"/>
  <c r="BY2124" i="1"/>
  <c r="BG2124" i="1"/>
  <c r="BY2043" i="1"/>
  <c r="BX2124" i="1"/>
  <c r="BX2043" i="1"/>
  <c r="BW2124" i="1"/>
  <c r="BV2124" i="1"/>
  <c r="BV2043" i="1"/>
  <c r="BW2043" i="1"/>
  <c r="BZ2124" i="1"/>
  <c r="BZ2043" i="1"/>
  <c r="BY2054" i="1"/>
  <c r="BG2054" i="1"/>
  <c r="BY2053" i="1"/>
  <c r="BG2053" i="1"/>
  <c r="BY2052" i="1"/>
  <c r="BG2052" i="1"/>
  <c r="BY2051" i="1"/>
  <c r="BG2051" i="1"/>
  <c r="BY2050" i="1"/>
  <c r="BG2050" i="1"/>
  <c r="BY2049" i="1"/>
  <c r="BG2049" i="1"/>
  <c r="BY2048" i="1"/>
  <c r="BG2048" i="1"/>
  <c r="BY2047" i="1"/>
  <c r="BG2047" i="1"/>
  <c r="BY2046" i="1"/>
  <c r="BG2046" i="1"/>
  <c r="BY2045" i="1"/>
  <c r="BG2045" i="1"/>
  <c r="BY2044" i="1"/>
  <c r="BG2044" i="1"/>
  <c r="BY2042" i="1"/>
  <c r="BG2042" i="1"/>
  <c r="BY2041" i="1"/>
  <c r="BG2041" i="1"/>
  <c r="BX2054" i="1"/>
  <c r="BX2053" i="1"/>
  <c r="BX2052" i="1"/>
  <c r="BX2051" i="1"/>
  <c r="BX2050" i="1"/>
  <c r="BX2049" i="1"/>
  <c r="BX2048" i="1"/>
  <c r="BX2047" i="1"/>
  <c r="BX2046" i="1"/>
  <c r="BX2045" i="1"/>
  <c r="BX2044" i="1"/>
  <c r="BX2042" i="1"/>
  <c r="BX2041" i="1"/>
  <c r="BW2054" i="1"/>
  <c r="BV2054" i="1"/>
  <c r="BW2053" i="1"/>
  <c r="BV2053" i="1"/>
  <c r="BW2052" i="1"/>
  <c r="BV2052" i="1"/>
  <c r="BW2051" i="1"/>
  <c r="BV2051" i="1"/>
  <c r="BW2050" i="1"/>
  <c r="BV2050" i="1"/>
  <c r="BW2049" i="1"/>
  <c r="BV2049" i="1"/>
  <c r="BW2048" i="1"/>
  <c r="BV2048" i="1"/>
  <c r="BW2047" i="1"/>
  <c r="BV2047" i="1"/>
  <c r="BW2046" i="1"/>
  <c r="BV2046" i="1"/>
  <c r="BW2045" i="1"/>
  <c r="BV2045" i="1"/>
  <c r="BW2044" i="1"/>
  <c r="BV2044" i="1"/>
  <c r="BW2042" i="1"/>
  <c r="BV2042" i="1"/>
  <c r="BW2041" i="1"/>
  <c r="BV2041" i="1"/>
  <c r="BZ2054" i="1"/>
  <c r="BZ2053" i="1"/>
  <c r="BZ2052" i="1"/>
  <c r="BZ2051" i="1"/>
  <c r="BZ2050" i="1"/>
  <c r="BZ2049" i="1"/>
  <c r="BZ2048" i="1"/>
  <c r="BZ2047" i="1"/>
  <c r="BZ2046" i="1"/>
  <c r="BZ2045" i="1"/>
  <c r="BZ2044" i="1"/>
  <c r="BZ2042" i="1"/>
  <c r="BZ2041" i="1"/>
  <c r="BY2121" i="1"/>
  <c r="BG2121" i="1"/>
  <c r="BY2120" i="1"/>
  <c r="BG2120" i="1"/>
  <c r="BY2059" i="1"/>
  <c r="BG2059" i="1"/>
  <c r="BY2058" i="1"/>
  <c r="BG2058" i="1"/>
  <c r="BY2057" i="1"/>
  <c r="BG2057" i="1"/>
  <c r="BY2056" i="1"/>
  <c r="BG2056" i="1"/>
  <c r="BY2055" i="1"/>
  <c r="BG2055" i="1"/>
  <c r="BX2121" i="1"/>
  <c r="BX2120" i="1"/>
  <c r="BX2059" i="1"/>
  <c r="BX2058" i="1"/>
  <c r="BX2057" i="1"/>
  <c r="BX2056" i="1"/>
  <c r="BX2055" i="1"/>
  <c r="BW2121" i="1"/>
  <c r="BV2121" i="1"/>
  <c r="BW2120" i="1"/>
  <c r="BV2120" i="1"/>
  <c r="BW2059" i="1"/>
  <c r="BV2059" i="1"/>
  <c r="BW2058" i="1"/>
  <c r="BV2058" i="1"/>
  <c r="BW2057" i="1"/>
  <c r="BV2057" i="1"/>
  <c r="BW2056" i="1"/>
  <c r="BV2056" i="1"/>
  <c r="BW2055" i="1"/>
  <c r="BV2055" i="1"/>
  <c r="BZ2121" i="1"/>
  <c r="BZ2120" i="1"/>
  <c r="BZ2059" i="1"/>
  <c r="BZ2058" i="1"/>
  <c r="BZ2057" i="1"/>
  <c r="BZ2056" i="1"/>
  <c r="BZ2055" i="1"/>
  <c r="BY2123" i="1"/>
  <c r="BG2123" i="1"/>
  <c r="BY2122" i="1"/>
  <c r="BG2122" i="1"/>
  <c r="BY2040" i="1"/>
  <c r="BG2040" i="1"/>
  <c r="BY2039" i="1"/>
  <c r="BG2039" i="1"/>
  <c r="BX2123" i="1"/>
  <c r="BX2122" i="1"/>
  <c r="BX2040" i="1"/>
  <c r="BX2039" i="1"/>
  <c r="BW2123" i="1"/>
  <c r="BV2123" i="1"/>
  <c r="BW2122" i="1"/>
  <c r="BV2122" i="1"/>
  <c r="BW2040" i="1"/>
  <c r="BV2040" i="1"/>
  <c r="BW2039" i="1"/>
  <c r="BV2039" i="1"/>
  <c r="BZ2123" i="1"/>
  <c r="BZ2122" i="1"/>
  <c r="BZ2040" i="1"/>
  <c r="BZ2039" i="1"/>
  <c r="BY2038" i="1"/>
  <c r="BG2038" i="1"/>
  <c r="BY2037" i="1"/>
  <c r="BG2037" i="1"/>
  <c r="BY2036" i="1"/>
  <c r="BG2036" i="1"/>
  <c r="BX2038" i="1"/>
  <c r="BX2037" i="1"/>
  <c r="BX2036" i="1"/>
  <c r="BW2038" i="1"/>
  <c r="BV2038" i="1"/>
  <c r="BW2037" i="1"/>
  <c r="BV2037" i="1"/>
  <c r="BW2036" i="1"/>
  <c r="BV2036" i="1"/>
  <c r="BZ2038" i="1"/>
  <c r="BZ2037" i="1"/>
  <c r="BZ2036" i="1"/>
  <c r="BY2035" i="1"/>
  <c r="BG2035" i="1"/>
  <c r="BY2034" i="1"/>
  <c r="BG2034" i="1"/>
  <c r="BY2033" i="1"/>
  <c r="BG2033" i="1"/>
  <c r="BX2035" i="1"/>
  <c r="BX2034" i="1"/>
  <c r="BX2033" i="1"/>
  <c r="BW2035" i="1"/>
  <c r="BV2035" i="1"/>
  <c r="BW2034" i="1"/>
  <c r="BV2034" i="1"/>
  <c r="BW2033" i="1"/>
  <c r="BV2033" i="1"/>
  <c r="BZ2035" i="1"/>
  <c r="BZ2034" i="1"/>
  <c r="BZ2033" i="1"/>
  <c r="BY2028" i="1"/>
  <c r="BG2028" i="1"/>
  <c r="BY2027" i="1"/>
  <c r="BG2027" i="1"/>
  <c r="BY2026" i="1"/>
  <c r="BG2026" i="1"/>
  <c r="BY2025" i="1"/>
  <c r="BG2025" i="1"/>
  <c r="BY2024" i="1"/>
  <c r="BG2024" i="1"/>
  <c r="BY2023" i="1"/>
  <c r="BG2023" i="1"/>
  <c r="BY2022" i="1"/>
  <c r="BG2022" i="1"/>
  <c r="BY2021" i="1"/>
  <c r="BG2021" i="1"/>
  <c r="BX2028" i="1"/>
  <c r="BX2027" i="1"/>
  <c r="BX2026" i="1"/>
  <c r="BX2025" i="1"/>
  <c r="BX2024" i="1"/>
  <c r="BX2023" i="1"/>
  <c r="BX2022" i="1"/>
  <c r="BX2021" i="1"/>
  <c r="BW2028" i="1"/>
  <c r="BV2028" i="1"/>
  <c r="BW2027" i="1"/>
  <c r="BV2027" i="1"/>
  <c r="BW2026" i="1"/>
  <c r="BV2026" i="1"/>
  <c r="BW2025" i="1"/>
  <c r="BV2025" i="1"/>
  <c r="BW2024" i="1"/>
  <c r="BV2024" i="1"/>
  <c r="BW2023" i="1"/>
  <c r="BV2023" i="1"/>
  <c r="BW2022" i="1"/>
  <c r="BV2022" i="1"/>
  <c r="BW2021" i="1"/>
  <c r="BV2021" i="1"/>
  <c r="BZ2028" i="1"/>
  <c r="BZ2027" i="1"/>
  <c r="BZ2026" i="1"/>
  <c r="BZ2025" i="1"/>
  <c r="BZ2024" i="1"/>
  <c r="BZ2023" i="1"/>
  <c r="BZ2022" i="1"/>
  <c r="BZ2021" i="1"/>
  <c r="BY2032" i="1"/>
  <c r="BG2032" i="1"/>
  <c r="BY2031" i="1"/>
  <c r="BG2031" i="1"/>
  <c r="BY2030" i="1"/>
  <c r="BG2030" i="1"/>
  <c r="BY2029" i="1"/>
  <c r="BG2029" i="1"/>
  <c r="BX2032" i="1"/>
  <c r="BX2031" i="1"/>
  <c r="BX2030" i="1"/>
  <c r="BX2029" i="1"/>
  <c r="BW2032" i="1"/>
  <c r="BV2032" i="1"/>
  <c r="BW2031" i="1"/>
  <c r="BV2031" i="1"/>
  <c r="BW2030" i="1"/>
  <c r="BV2030" i="1"/>
  <c r="BW2029" i="1"/>
  <c r="BV2029" i="1"/>
  <c r="BZ2032" i="1"/>
  <c r="BZ2031" i="1"/>
  <c r="BZ2030" i="1"/>
  <c r="BZ2029" i="1"/>
  <c r="BY2018" i="1"/>
  <c r="BG2018" i="1"/>
  <c r="BY2017" i="1"/>
  <c r="BG2017" i="1"/>
  <c r="BY2016" i="1"/>
  <c r="BG2016" i="1"/>
  <c r="BY2015" i="1"/>
  <c r="BG2015" i="1"/>
  <c r="BY2014" i="1"/>
  <c r="BG2014" i="1"/>
  <c r="BX2018" i="1"/>
  <c r="BX2017" i="1"/>
  <c r="BX2016" i="1"/>
  <c r="BX2015" i="1"/>
  <c r="BX2014" i="1"/>
  <c r="BW2018" i="1"/>
  <c r="BV2018" i="1"/>
  <c r="BW2017" i="1"/>
  <c r="BV2017" i="1"/>
  <c r="BW2016" i="1"/>
  <c r="BV2016" i="1"/>
  <c r="BW2015" i="1"/>
  <c r="BV2015" i="1"/>
  <c r="BW2014" i="1"/>
  <c r="BV2014" i="1"/>
  <c r="BZ2018" i="1"/>
  <c r="BZ2017" i="1"/>
  <c r="BZ2016" i="1"/>
  <c r="BZ2015" i="1"/>
  <c r="BZ2014" i="1"/>
  <c r="BY2381" i="1"/>
  <c r="BG2381" i="1"/>
  <c r="BY2020" i="1"/>
  <c r="BG2020" i="1"/>
  <c r="BY2019" i="1"/>
  <c r="BG2019" i="1"/>
  <c r="BX2381" i="1"/>
  <c r="BX2020" i="1"/>
  <c r="BX2019" i="1"/>
  <c r="BW2381" i="1"/>
  <c r="BV2381" i="1"/>
  <c r="BW2020" i="1"/>
  <c r="BV2020" i="1"/>
  <c r="BW2019" i="1"/>
  <c r="BV2019" i="1"/>
  <c r="BZ2381" i="1"/>
  <c r="BZ2020" i="1"/>
  <c r="BZ2019" i="1"/>
  <c r="BY2012" i="1"/>
  <c r="BG2012" i="1"/>
  <c r="BY2011" i="1"/>
  <c r="BG2011" i="1"/>
  <c r="BY2010" i="1"/>
  <c r="BG2010" i="1"/>
  <c r="BY2009" i="1"/>
  <c r="BG2009" i="1"/>
  <c r="BX2012" i="1"/>
  <c r="BX2011" i="1"/>
  <c r="BX2010" i="1"/>
  <c r="BX2009" i="1"/>
  <c r="BW2012" i="1"/>
  <c r="BV2012" i="1"/>
  <c r="BW2011" i="1"/>
  <c r="BV2011" i="1"/>
  <c r="BW2010" i="1"/>
  <c r="BV2010" i="1"/>
  <c r="BW2009" i="1"/>
  <c r="BV2009" i="1"/>
  <c r="BZ2012" i="1"/>
  <c r="BZ2011" i="1"/>
  <c r="BZ2010" i="1"/>
  <c r="BZ2009" i="1"/>
  <c r="BY2002" i="1"/>
  <c r="BG2002" i="1"/>
  <c r="BY2001" i="1"/>
  <c r="BG2001" i="1"/>
  <c r="BY2000" i="1"/>
  <c r="BG2000" i="1"/>
  <c r="BY1999" i="1"/>
  <c r="BG1999" i="1"/>
  <c r="BY1998" i="1"/>
  <c r="BG1998" i="1"/>
  <c r="BY1997" i="1"/>
  <c r="BG1997" i="1"/>
  <c r="BY1996" i="1"/>
  <c r="BG1996" i="1"/>
  <c r="BY1995" i="1"/>
  <c r="BG1995" i="1"/>
  <c r="BY1994" i="1"/>
  <c r="BG1994" i="1"/>
  <c r="BY1993" i="1"/>
  <c r="BG1993" i="1"/>
  <c r="BX2002" i="1"/>
  <c r="BX2001" i="1"/>
  <c r="BX2000" i="1"/>
  <c r="BX1999" i="1"/>
  <c r="BX1998" i="1"/>
  <c r="BX1997" i="1"/>
  <c r="BX1996" i="1"/>
  <c r="BX1995" i="1"/>
  <c r="BX1994" i="1"/>
  <c r="BX1993" i="1"/>
  <c r="BW2002" i="1"/>
  <c r="BV2002" i="1"/>
  <c r="BW2001" i="1"/>
  <c r="BV2001" i="1"/>
  <c r="BW2000" i="1"/>
  <c r="BV2000" i="1"/>
  <c r="BW1999" i="1"/>
  <c r="BV1999" i="1"/>
  <c r="BW1998" i="1"/>
  <c r="BV1998" i="1"/>
  <c r="BW1997" i="1"/>
  <c r="BV1997" i="1"/>
  <c r="BW1996" i="1"/>
  <c r="BV1996" i="1"/>
  <c r="BW1995" i="1"/>
  <c r="BV1995" i="1"/>
  <c r="BW1994" i="1"/>
  <c r="BV1994" i="1"/>
  <c r="BW1993" i="1"/>
  <c r="BV1993" i="1"/>
  <c r="BZ2002" i="1"/>
  <c r="BZ2001" i="1"/>
  <c r="BZ2000" i="1"/>
  <c r="BZ1999" i="1"/>
  <c r="BZ1998" i="1"/>
  <c r="BZ1997" i="1"/>
  <c r="BZ1996" i="1"/>
  <c r="BZ1995" i="1"/>
  <c r="BZ1994" i="1"/>
  <c r="BZ1993" i="1"/>
  <c r="BY2007" i="1"/>
  <c r="BG2007" i="1"/>
  <c r="BY2006" i="1"/>
  <c r="BG2006" i="1"/>
  <c r="BY2005" i="1"/>
  <c r="BG2005" i="1"/>
  <c r="BY2004" i="1"/>
  <c r="BG2004" i="1"/>
  <c r="BY2003" i="1"/>
  <c r="BG2003" i="1"/>
  <c r="BX2007" i="1"/>
  <c r="BX2006" i="1"/>
  <c r="BX2005" i="1"/>
  <c r="BX2004" i="1"/>
  <c r="BX2003" i="1"/>
  <c r="BW2007" i="1"/>
  <c r="BV2007" i="1"/>
  <c r="BW2006" i="1"/>
  <c r="BV2006" i="1"/>
  <c r="BW2005" i="1"/>
  <c r="BV2005" i="1"/>
  <c r="BW2004" i="1"/>
  <c r="BV2004" i="1"/>
  <c r="BW2003" i="1"/>
  <c r="BV2003" i="1"/>
  <c r="BZ2007" i="1"/>
  <c r="BZ2006" i="1"/>
  <c r="BZ2005" i="1"/>
  <c r="BZ2004" i="1"/>
  <c r="BZ2003" i="1"/>
  <c r="BY1987" i="1"/>
  <c r="BG1987" i="1"/>
  <c r="BY1986" i="1"/>
  <c r="BG1986" i="1"/>
  <c r="BY1985" i="1"/>
  <c r="BG1985" i="1"/>
  <c r="BY1984" i="1"/>
  <c r="BG1984" i="1"/>
  <c r="BY1983" i="1"/>
  <c r="BG1983" i="1"/>
  <c r="BY1982" i="1"/>
  <c r="BG1982" i="1"/>
  <c r="BY1981" i="1"/>
  <c r="BG1981" i="1"/>
  <c r="BY1980" i="1"/>
  <c r="BG1980" i="1"/>
  <c r="BX1987" i="1"/>
  <c r="BX1986" i="1"/>
  <c r="BX1985" i="1"/>
  <c r="BX1984" i="1"/>
  <c r="BX1983" i="1"/>
  <c r="BX1982" i="1"/>
  <c r="BX1981" i="1"/>
  <c r="BX1980" i="1"/>
  <c r="BW1987" i="1"/>
  <c r="BV1987" i="1"/>
  <c r="BW1986" i="1"/>
  <c r="BV1986" i="1"/>
  <c r="BW1985" i="1"/>
  <c r="BV1985" i="1"/>
  <c r="BW1984" i="1"/>
  <c r="BV1984" i="1"/>
  <c r="BW1983" i="1"/>
  <c r="BV1983" i="1"/>
  <c r="BW1982" i="1"/>
  <c r="BV1982" i="1"/>
  <c r="BW1981" i="1"/>
  <c r="BV1981" i="1"/>
  <c r="BW1980" i="1"/>
  <c r="BV1980" i="1"/>
  <c r="BZ1987" i="1"/>
  <c r="BZ1986" i="1"/>
  <c r="BZ1985" i="1"/>
  <c r="BZ1984" i="1"/>
  <c r="BZ1983" i="1"/>
  <c r="BZ1982" i="1"/>
  <c r="BZ1981" i="1"/>
  <c r="BZ1980" i="1"/>
  <c r="BY1990" i="1"/>
  <c r="BG1990" i="1"/>
  <c r="BY1989" i="1"/>
  <c r="BG1989" i="1"/>
  <c r="BY1988" i="1"/>
  <c r="BG1988" i="1"/>
  <c r="BY1979" i="1"/>
  <c r="BG1979" i="1"/>
  <c r="BY1978" i="1"/>
  <c r="BG1978" i="1"/>
  <c r="BY1977" i="1"/>
  <c r="BG1977" i="1"/>
  <c r="BX1990" i="1"/>
  <c r="BX1989" i="1"/>
  <c r="BX1988" i="1"/>
  <c r="BX1979" i="1"/>
  <c r="BX1978" i="1"/>
  <c r="BX1977" i="1"/>
  <c r="BW1990" i="1"/>
  <c r="BV1990" i="1"/>
  <c r="BW1989" i="1"/>
  <c r="BV1989" i="1"/>
  <c r="BW1988" i="1"/>
  <c r="BV1988" i="1"/>
  <c r="BW1979" i="1"/>
  <c r="BV1979" i="1"/>
  <c r="BW1978" i="1"/>
  <c r="BV1978" i="1"/>
  <c r="BW1977" i="1"/>
  <c r="BV1977" i="1"/>
  <c r="BZ1990" i="1"/>
  <c r="BZ1989" i="1"/>
  <c r="BZ1988" i="1"/>
  <c r="BZ1979" i="1"/>
  <c r="BZ1978" i="1"/>
  <c r="BZ1977" i="1"/>
  <c r="BY2008" i="1"/>
  <c r="BG2008" i="1"/>
  <c r="BY1992" i="1"/>
  <c r="BG1992" i="1"/>
  <c r="BY1991" i="1"/>
  <c r="BG1991" i="1"/>
  <c r="BY1969" i="1"/>
  <c r="BG1969" i="1"/>
  <c r="BX2008" i="1"/>
  <c r="BX1992" i="1"/>
  <c r="BX1991" i="1"/>
  <c r="BX1969" i="1"/>
  <c r="BW2008" i="1"/>
  <c r="BV2008" i="1"/>
  <c r="BW1992" i="1"/>
  <c r="BV1992" i="1"/>
  <c r="BW1991" i="1"/>
  <c r="BV1991" i="1"/>
  <c r="BW1969" i="1"/>
  <c r="BV1969" i="1"/>
  <c r="BZ2008" i="1"/>
  <c r="BZ1992" i="1"/>
  <c r="BZ1991" i="1"/>
  <c r="BZ1969" i="1"/>
  <c r="BY1974" i="1"/>
  <c r="BG1974" i="1"/>
  <c r="BY1973" i="1"/>
  <c r="BG1973" i="1"/>
  <c r="BY1972" i="1"/>
  <c r="BG1972" i="1"/>
  <c r="BY1971" i="1"/>
  <c r="BG1971" i="1"/>
  <c r="BY1970" i="1"/>
  <c r="BG1970" i="1"/>
  <c r="BX1974" i="1"/>
  <c r="BX1973" i="1"/>
  <c r="BX1972" i="1"/>
  <c r="BX1971" i="1"/>
  <c r="BX1970" i="1"/>
  <c r="BW1974" i="1"/>
  <c r="BV1974" i="1"/>
  <c r="BW1973" i="1"/>
  <c r="BV1973" i="1"/>
  <c r="BW1972" i="1"/>
  <c r="BV1972" i="1"/>
  <c r="BW1971" i="1"/>
  <c r="BV1971" i="1"/>
  <c r="BW1970" i="1"/>
  <c r="BV1970" i="1"/>
  <c r="BZ1974" i="1"/>
  <c r="BZ1973" i="1"/>
  <c r="BZ1972" i="1"/>
  <c r="BZ1971" i="1"/>
  <c r="BZ1970" i="1"/>
  <c r="BY2013" i="1"/>
  <c r="BG2013" i="1"/>
  <c r="BY1976" i="1"/>
  <c r="BG1976" i="1"/>
  <c r="BY1975" i="1"/>
  <c r="BG1975" i="1"/>
  <c r="BX2013" i="1"/>
  <c r="BX1976" i="1"/>
  <c r="BX1975" i="1"/>
  <c r="BW2013" i="1"/>
  <c r="BV2013" i="1"/>
  <c r="BW1976" i="1"/>
  <c r="BV1976" i="1"/>
  <c r="BW1975" i="1"/>
  <c r="BV1975" i="1"/>
  <c r="BZ2013" i="1"/>
  <c r="BZ1976" i="1"/>
  <c r="BZ1975" i="1"/>
  <c r="BY1968" i="1"/>
  <c r="BG1968" i="1"/>
  <c r="BY1967" i="1"/>
  <c r="BG1967" i="1"/>
  <c r="BY1966" i="1"/>
  <c r="BG1966" i="1"/>
  <c r="BY1965" i="1"/>
  <c r="BG1965" i="1"/>
  <c r="BX1968" i="1"/>
  <c r="BX1967" i="1"/>
  <c r="BX1966" i="1"/>
  <c r="BX1965" i="1"/>
  <c r="BW1968" i="1"/>
  <c r="BV1968" i="1"/>
  <c r="BW1967" i="1"/>
  <c r="BV1967" i="1"/>
  <c r="BW1966" i="1"/>
  <c r="BV1966" i="1"/>
  <c r="BW1965" i="1"/>
  <c r="BV1965" i="1"/>
  <c r="BZ1968" i="1"/>
  <c r="BZ1967" i="1"/>
  <c r="BZ1966" i="1"/>
  <c r="BZ1965" i="1"/>
  <c r="BY1964" i="1"/>
  <c r="BG1964" i="1"/>
  <c r="BY1963" i="1"/>
  <c r="BG1963" i="1"/>
  <c r="BY1962" i="1"/>
  <c r="BG1962" i="1"/>
  <c r="BY1952" i="1"/>
  <c r="BX1964" i="1"/>
  <c r="BX1963" i="1"/>
  <c r="BX1962" i="1"/>
  <c r="BW1964" i="1"/>
  <c r="BV1964" i="1"/>
  <c r="BW1963" i="1"/>
  <c r="BV1963" i="1"/>
  <c r="BW1962" i="1"/>
  <c r="BV1962" i="1"/>
  <c r="BW1952" i="1"/>
  <c r="BV1952" i="1"/>
  <c r="BZ1964" i="1"/>
  <c r="BZ1963" i="1"/>
  <c r="BZ1962" i="1"/>
  <c r="BX1952" i="1"/>
  <c r="BZ1952" i="1"/>
  <c r="BG1952" i="1"/>
  <c r="BY1956" i="1"/>
  <c r="BG1956" i="1"/>
  <c r="BY1955" i="1"/>
  <c r="BG1955" i="1"/>
  <c r="BY1954" i="1"/>
  <c r="BG1954" i="1"/>
  <c r="BY1953" i="1"/>
  <c r="BG1953" i="1"/>
  <c r="BY1951" i="1"/>
  <c r="BG1951" i="1"/>
  <c r="BY1950" i="1"/>
  <c r="BG1950" i="1"/>
  <c r="BY1949" i="1"/>
  <c r="BG1949" i="1"/>
  <c r="BX1956" i="1"/>
  <c r="BX1955" i="1"/>
  <c r="BX1954" i="1"/>
  <c r="BX1953" i="1"/>
  <c r="BX1951" i="1"/>
  <c r="BX1950" i="1"/>
  <c r="BX1949" i="1"/>
  <c r="BW1956" i="1"/>
  <c r="BV1956" i="1"/>
  <c r="BW1955" i="1"/>
  <c r="BV1955" i="1"/>
  <c r="BW1954" i="1"/>
  <c r="BV1954" i="1"/>
  <c r="BW1953" i="1"/>
  <c r="BV1953" i="1"/>
  <c r="BW1951" i="1"/>
  <c r="BV1951" i="1"/>
  <c r="BW1950" i="1"/>
  <c r="BV1950" i="1"/>
  <c r="BW1949" i="1"/>
  <c r="BV1949" i="1"/>
  <c r="BZ1956" i="1"/>
  <c r="BZ1955" i="1"/>
  <c r="BZ1954" i="1"/>
  <c r="BZ1953" i="1"/>
  <c r="BZ1951" i="1"/>
  <c r="BZ1950" i="1"/>
  <c r="BZ1949" i="1"/>
  <c r="BY1960" i="1"/>
  <c r="BG1960" i="1"/>
  <c r="BY1959" i="1"/>
  <c r="BG1959" i="1"/>
  <c r="BY1958" i="1"/>
  <c r="BG1958" i="1"/>
  <c r="BY1957" i="1"/>
  <c r="BG1957" i="1"/>
  <c r="BX1960" i="1"/>
  <c r="BX1959" i="1"/>
  <c r="BX1958" i="1"/>
  <c r="BX1957" i="1"/>
  <c r="BW1960" i="1"/>
  <c r="BV1960" i="1"/>
  <c r="BW1959" i="1"/>
  <c r="BV1959" i="1"/>
  <c r="BW1958" i="1"/>
  <c r="BV1958" i="1"/>
  <c r="BW1957" i="1"/>
  <c r="BV1957" i="1"/>
  <c r="BZ1960" i="1"/>
  <c r="BZ1959" i="1"/>
  <c r="BZ1958" i="1"/>
  <c r="BZ1957" i="1"/>
  <c r="BY1961" i="1"/>
  <c r="BG1961" i="1"/>
  <c r="BX1961" i="1"/>
  <c r="BW1961" i="1"/>
  <c r="BV1961" i="1"/>
  <c r="BZ1961" i="1"/>
  <c r="BY1945" i="1"/>
  <c r="BG1945" i="1"/>
  <c r="BY1944" i="1"/>
  <c r="BG1944" i="1"/>
  <c r="BY1943" i="1"/>
  <c r="BG1943" i="1"/>
  <c r="BY1942" i="1"/>
  <c r="BG1942" i="1"/>
  <c r="BY1941" i="1"/>
  <c r="BG1941" i="1"/>
  <c r="BG1652" i="1"/>
  <c r="BY1652" i="1"/>
  <c r="BG1653" i="1"/>
  <c r="BY1653" i="1"/>
  <c r="BG1654" i="1"/>
  <c r="BY1654" i="1"/>
  <c r="BG1655" i="1"/>
  <c r="BY1655" i="1"/>
  <c r="BG1656" i="1"/>
  <c r="BY1656" i="1"/>
  <c r="BG1657" i="1"/>
  <c r="BY1657" i="1"/>
  <c r="BG1658" i="1"/>
  <c r="BY1658" i="1"/>
  <c r="BG1659" i="1"/>
  <c r="BY1659" i="1"/>
  <c r="BG1660" i="1"/>
  <c r="BY1660" i="1"/>
  <c r="BG1661" i="1"/>
  <c r="BY1661" i="1"/>
  <c r="BG1662" i="1"/>
  <c r="BY1662" i="1"/>
  <c r="BG1663" i="1"/>
  <c r="BY1663" i="1"/>
  <c r="BG1664" i="1"/>
  <c r="BY1664" i="1"/>
  <c r="BG1665" i="1"/>
  <c r="BY1665" i="1"/>
  <c r="BG1666" i="1"/>
  <c r="BY1666" i="1"/>
  <c r="BG1667" i="1"/>
  <c r="BY1667" i="1"/>
  <c r="BG1668" i="1"/>
  <c r="BY1668" i="1"/>
  <c r="BG1669" i="1"/>
  <c r="BY1669" i="1"/>
  <c r="BG1670" i="1"/>
  <c r="BY1670" i="1"/>
  <c r="BG1671" i="1"/>
  <c r="BY1671" i="1"/>
  <c r="BG1672" i="1"/>
  <c r="BY1672" i="1"/>
  <c r="BG1673" i="1"/>
  <c r="BY1673" i="1"/>
  <c r="BG1674" i="1"/>
  <c r="BY1674" i="1"/>
  <c r="BG1675" i="1"/>
  <c r="BY1675" i="1"/>
  <c r="BG1676" i="1"/>
  <c r="BY1676" i="1"/>
  <c r="BG1677" i="1"/>
  <c r="BY1677" i="1"/>
  <c r="BG1678" i="1"/>
  <c r="BY1678" i="1"/>
  <c r="BG1679" i="1"/>
  <c r="BY1679" i="1"/>
  <c r="BG1680" i="1"/>
  <c r="BY1680" i="1"/>
  <c r="BG1681" i="1"/>
  <c r="BY1681" i="1"/>
  <c r="BG1682" i="1"/>
  <c r="BY1682" i="1"/>
  <c r="BG1683" i="1"/>
  <c r="BY1683" i="1"/>
  <c r="BG1684" i="1"/>
  <c r="BY1684" i="1"/>
  <c r="BG1685" i="1"/>
  <c r="BY1685" i="1"/>
  <c r="BG1686" i="1"/>
  <c r="BY1686" i="1"/>
  <c r="BG1687" i="1"/>
  <c r="BY1687" i="1"/>
  <c r="BG1688" i="1"/>
  <c r="BY1688" i="1"/>
  <c r="BG1689" i="1"/>
  <c r="BY1689" i="1"/>
  <c r="BG1690" i="1"/>
  <c r="BY1690" i="1"/>
  <c r="BG1691" i="1"/>
  <c r="BY1691" i="1"/>
  <c r="BG1692" i="1"/>
  <c r="BY1692" i="1"/>
  <c r="BG1693" i="1"/>
  <c r="BY1693" i="1"/>
  <c r="BG1694" i="1"/>
  <c r="BY1694" i="1"/>
  <c r="BG1695" i="1"/>
  <c r="BY1695" i="1"/>
  <c r="BG1696" i="1"/>
  <c r="BY1696" i="1"/>
  <c r="BG1697" i="1"/>
  <c r="BY1697" i="1"/>
  <c r="BG1698" i="1"/>
  <c r="BY1698" i="1"/>
  <c r="BG1699" i="1"/>
  <c r="BY1699" i="1"/>
  <c r="BG1700" i="1"/>
  <c r="BY1700" i="1"/>
  <c r="BG1701" i="1"/>
  <c r="BY1701" i="1"/>
  <c r="BG1702" i="1"/>
  <c r="BY1702" i="1"/>
  <c r="BG1703" i="1"/>
  <c r="BY1703" i="1"/>
  <c r="BG1704" i="1"/>
  <c r="BY1704" i="1"/>
  <c r="BG1705" i="1"/>
  <c r="BY1705" i="1"/>
  <c r="BG1706" i="1"/>
  <c r="BY1706" i="1"/>
  <c r="BG1707" i="1"/>
  <c r="BY1707" i="1"/>
  <c r="BG1708" i="1"/>
  <c r="BY1708" i="1"/>
  <c r="BG1709" i="1"/>
  <c r="BY1709" i="1"/>
  <c r="BG1710" i="1"/>
  <c r="BY1710" i="1"/>
  <c r="BG1711" i="1"/>
  <c r="BY1711" i="1"/>
  <c r="BG1712" i="1"/>
  <c r="BY1712" i="1"/>
  <c r="BG1713" i="1"/>
  <c r="BY1713" i="1"/>
  <c r="BG1714" i="1"/>
  <c r="BY1714" i="1"/>
  <c r="BG1715" i="1"/>
  <c r="BY1715" i="1"/>
  <c r="BG1716" i="1"/>
  <c r="BY1716" i="1"/>
  <c r="BG1717" i="1"/>
  <c r="BY1717" i="1"/>
  <c r="BG1718" i="1"/>
  <c r="BY1718" i="1"/>
  <c r="BG1719" i="1"/>
  <c r="BY1719" i="1"/>
  <c r="BG1720" i="1"/>
  <c r="BY1720" i="1"/>
  <c r="BG1721" i="1"/>
  <c r="BY1721" i="1"/>
  <c r="BG1722" i="1"/>
  <c r="BY1722" i="1"/>
  <c r="BG1723" i="1"/>
  <c r="BY1723" i="1"/>
  <c r="BG1724" i="1"/>
  <c r="BY1724" i="1"/>
  <c r="BG1725" i="1"/>
  <c r="BY1725" i="1"/>
  <c r="BG1726" i="1"/>
  <c r="BY1726" i="1"/>
  <c r="BG1727" i="1"/>
  <c r="BY1727" i="1"/>
  <c r="BG1728" i="1"/>
  <c r="BY1728" i="1"/>
  <c r="BG1729" i="1"/>
  <c r="BY1729" i="1"/>
  <c r="BG1730" i="1"/>
  <c r="BY1730" i="1"/>
  <c r="BG1731" i="1"/>
  <c r="BY1731" i="1"/>
  <c r="BG1732" i="1"/>
  <c r="BY1732" i="1"/>
  <c r="BG1733" i="1"/>
  <c r="BY1733" i="1"/>
  <c r="BG1734" i="1"/>
  <c r="BY1734" i="1"/>
  <c r="BG1735" i="1"/>
  <c r="BY1735" i="1"/>
  <c r="BG1736" i="1"/>
  <c r="BY1736" i="1"/>
  <c r="BG1737" i="1"/>
  <c r="BY1737" i="1"/>
  <c r="BG1738" i="1"/>
  <c r="BY1738" i="1"/>
  <c r="BG1739" i="1"/>
  <c r="BY1739" i="1"/>
  <c r="BG1740" i="1"/>
  <c r="BY1740" i="1"/>
  <c r="BG1741" i="1"/>
  <c r="BY1741" i="1"/>
  <c r="BG1742" i="1"/>
  <c r="BY1742" i="1"/>
  <c r="BG1743" i="1"/>
  <c r="BY1743" i="1"/>
  <c r="BG1744" i="1"/>
  <c r="BY1744" i="1"/>
  <c r="BG1745" i="1"/>
  <c r="BY1745" i="1"/>
  <c r="BG1746" i="1"/>
  <c r="BY1746" i="1"/>
  <c r="BG1747" i="1"/>
  <c r="BY1747" i="1"/>
  <c r="BG1748" i="1"/>
  <c r="BY1748" i="1"/>
  <c r="BG1749" i="1"/>
  <c r="BY1749" i="1"/>
  <c r="BG1750" i="1"/>
  <c r="BY1750" i="1"/>
  <c r="BG1751" i="1"/>
  <c r="BY1751" i="1"/>
  <c r="BG1752" i="1"/>
  <c r="BY1752" i="1"/>
  <c r="BG1753" i="1"/>
  <c r="BY1753" i="1"/>
  <c r="BG1754" i="1"/>
  <c r="BY1754" i="1"/>
  <c r="BG1755" i="1"/>
  <c r="BY1755" i="1"/>
  <c r="BG1756" i="1"/>
  <c r="BY1756" i="1"/>
  <c r="BG1757" i="1"/>
  <c r="BY1757" i="1"/>
  <c r="BG1758" i="1"/>
  <c r="BY1758" i="1"/>
  <c r="BG1759" i="1"/>
  <c r="BY1759" i="1"/>
  <c r="BG1760" i="1"/>
  <c r="BY1760" i="1"/>
  <c r="BG1761" i="1"/>
  <c r="BY1761" i="1"/>
  <c r="BG1762" i="1"/>
  <c r="BY1762" i="1"/>
  <c r="BG1763" i="1"/>
  <c r="BY1763" i="1"/>
  <c r="BG1764" i="1"/>
  <c r="BY1764" i="1"/>
  <c r="BG1765" i="1"/>
  <c r="BY1765" i="1"/>
  <c r="BG1766" i="1"/>
  <c r="BY1766" i="1"/>
  <c r="BG1767" i="1"/>
  <c r="BY1767" i="1"/>
  <c r="BG1768" i="1"/>
  <c r="BY1768" i="1"/>
  <c r="BG1769" i="1"/>
  <c r="BY1769" i="1"/>
  <c r="BG1770" i="1"/>
  <c r="BY1770" i="1"/>
  <c r="BG1771" i="1"/>
  <c r="BY1771" i="1"/>
  <c r="BG1772" i="1"/>
  <c r="BY1772" i="1"/>
  <c r="BG1773" i="1"/>
  <c r="BY1773" i="1"/>
  <c r="BG1774" i="1"/>
  <c r="BY1774" i="1"/>
  <c r="BG1775" i="1"/>
  <c r="BY1775" i="1"/>
  <c r="BG1776" i="1"/>
  <c r="BY1776" i="1"/>
  <c r="BG1777" i="1"/>
  <c r="BY1777" i="1"/>
  <c r="BG1778" i="1"/>
  <c r="BY1778" i="1"/>
  <c r="BG1779" i="1"/>
  <c r="BY1779" i="1"/>
  <c r="BG1780" i="1"/>
  <c r="BY1780" i="1"/>
  <c r="BG1781" i="1"/>
  <c r="BY1781" i="1"/>
  <c r="BG1782" i="1"/>
  <c r="BY1782" i="1"/>
  <c r="BG1783" i="1"/>
  <c r="BY1783" i="1"/>
  <c r="BG1784" i="1"/>
  <c r="BY1784" i="1"/>
  <c r="BG1785" i="1"/>
  <c r="BY1785" i="1"/>
  <c r="BG1786" i="1"/>
  <c r="BY1786" i="1"/>
  <c r="BG1787" i="1"/>
  <c r="BY1787" i="1"/>
  <c r="BG1788" i="1"/>
  <c r="BY1788" i="1"/>
  <c r="BG1789" i="1"/>
  <c r="BY1789" i="1"/>
  <c r="BG1790" i="1"/>
  <c r="BY1790" i="1"/>
  <c r="BG1791" i="1"/>
  <c r="BY1791" i="1"/>
  <c r="BG1792" i="1"/>
  <c r="BY1792" i="1"/>
  <c r="BG1793" i="1"/>
  <c r="BY1793" i="1"/>
  <c r="BG1794" i="1"/>
  <c r="BY1794" i="1"/>
  <c r="BG1795" i="1"/>
  <c r="BY1795" i="1"/>
  <c r="BG1796" i="1"/>
  <c r="BY1796" i="1"/>
  <c r="BG1797" i="1"/>
  <c r="BY1797" i="1"/>
  <c r="BG1798" i="1"/>
  <c r="BY1798" i="1"/>
  <c r="BG1799" i="1"/>
  <c r="BY1799" i="1"/>
  <c r="BG1800" i="1"/>
  <c r="BY1800" i="1"/>
  <c r="BG1801" i="1"/>
  <c r="BY1801" i="1"/>
  <c r="BG1802" i="1"/>
  <c r="BY1802" i="1"/>
  <c r="BG1803" i="1"/>
  <c r="BY1803" i="1"/>
  <c r="BG1804" i="1"/>
  <c r="BY1804" i="1"/>
  <c r="BG1805" i="1"/>
  <c r="BY1805" i="1"/>
  <c r="BG1806" i="1"/>
  <c r="BY1806" i="1"/>
  <c r="BG1807" i="1"/>
  <c r="BY1807" i="1"/>
  <c r="BG1808" i="1"/>
  <c r="BY1808" i="1"/>
  <c r="BG1809" i="1"/>
  <c r="BY1809" i="1"/>
  <c r="BG1810" i="1"/>
  <c r="BY1810" i="1"/>
  <c r="BG1811" i="1"/>
  <c r="BY1811" i="1"/>
  <c r="BG1812" i="1"/>
  <c r="BY1812" i="1"/>
  <c r="BG1813" i="1"/>
  <c r="BY1813" i="1"/>
  <c r="BG1814" i="1"/>
  <c r="BY1814" i="1"/>
  <c r="BG1815" i="1"/>
  <c r="BY1815" i="1"/>
  <c r="BG1816" i="1"/>
  <c r="BY1816" i="1"/>
  <c r="BG1817" i="1"/>
  <c r="BY1817" i="1"/>
  <c r="BG1818" i="1"/>
  <c r="BY1818" i="1"/>
  <c r="BG1819" i="1"/>
  <c r="BY1819" i="1"/>
  <c r="BG1820" i="1"/>
  <c r="BY1820" i="1"/>
  <c r="BG1821" i="1"/>
  <c r="BY1821" i="1"/>
  <c r="BG1822" i="1"/>
  <c r="BY1822" i="1"/>
  <c r="BG1823" i="1"/>
  <c r="BY1823" i="1"/>
  <c r="BG1824" i="1"/>
  <c r="BY1824" i="1"/>
  <c r="BG1825" i="1"/>
  <c r="BY1825" i="1"/>
  <c r="BG1826" i="1"/>
  <c r="BY1826" i="1"/>
  <c r="BG1827" i="1"/>
  <c r="BY1827" i="1"/>
  <c r="BG1828" i="1"/>
  <c r="BY1828" i="1"/>
  <c r="BG1829" i="1"/>
  <c r="BY1829" i="1"/>
  <c r="BG1830" i="1"/>
  <c r="BY1830" i="1"/>
  <c r="BG1831" i="1"/>
  <c r="BY1831" i="1"/>
  <c r="BG1832" i="1"/>
  <c r="BY1832" i="1"/>
  <c r="BG1833" i="1"/>
  <c r="BY1833" i="1"/>
  <c r="BG1834" i="1"/>
  <c r="BY1834" i="1"/>
  <c r="BG1835" i="1"/>
  <c r="BY1835" i="1"/>
  <c r="BG1836" i="1"/>
  <c r="BY1836" i="1"/>
  <c r="BG1837" i="1"/>
  <c r="BY1837" i="1"/>
  <c r="BG1838" i="1"/>
  <c r="BY1838" i="1"/>
  <c r="BG1839" i="1"/>
  <c r="BY1839" i="1"/>
  <c r="BG1840" i="1"/>
  <c r="BY1840" i="1"/>
  <c r="BG1841" i="1"/>
  <c r="BY1841" i="1"/>
  <c r="BG1842" i="1"/>
  <c r="BY1842" i="1"/>
  <c r="BG1843" i="1"/>
  <c r="BY1843" i="1"/>
  <c r="BG1844" i="1"/>
  <c r="BY1844" i="1"/>
  <c r="BG1845" i="1"/>
  <c r="BY1845" i="1"/>
  <c r="BG1846" i="1"/>
  <c r="BY1846" i="1"/>
  <c r="BG1847" i="1"/>
  <c r="BY1847" i="1"/>
  <c r="BG1848" i="1"/>
  <c r="BY1848" i="1"/>
  <c r="BG1849" i="1"/>
  <c r="BY1849" i="1"/>
  <c r="BG1850" i="1"/>
  <c r="BY1850" i="1"/>
  <c r="BG1851" i="1"/>
  <c r="BY1851" i="1"/>
  <c r="BG1852" i="1"/>
  <c r="BY1852" i="1"/>
  <c r="BG1853" i="1"/>
  <c r="BY1853" i="1"/>
  <c r="BG1854" i="1"/>
  <c r="BY1854" i="1"/>
  <c r="BG1855" i="1"/>
  <c r="BY1855" i="1"/>
  <c r="BG1856" i="1"/>
  <c r="BY1856" i="1"/>
  <c r="BG1857" i="1"/>
  <c r="BY1857" i="1"/>
  <c r="BG1858" i="1"/>
  <c r="BY1858" i="1"/>
  <c r="BG1859" i="1"/>
  <c r="BY1859" i="1"/>
  <c r="BG1860" i="1"/>
  <c r="BY1860" i="1"/>
  <c r="BG1861" i="1"/>
  <c r="BY1861" i="1"/>
  <c r="BG1862" i="1"/>
  <c r="BY1862" i="1"/>
  <c r="BG1863" i="1"/>
  <c r="BY1863" i="1"/>
  <c r="BG1864" i="1"/>
  <c r="BY1864" i="1"/>
  <c r="BG1865" i="1"/>
  <c r="BY1865" i="1"/>
  <c r="BG1866" i="1"/>
  <c r="BY1866" i="1"/>
  <c r="BG1867" i="1"/>
  <c r="BY1867" i="1"/>
  <c r="BG1868" i="1"/>
  <c r="BY1868" i="1"/>
  <c r="BG1869" i="1"/>
  <c r="BY1869" i="1"/>
  <c r="BG1870" i="1"/>
  <c r="BY1870" i="1"/>
  <c r="BG1871" i="1"/>
  <c r="BY1871" i="1"/>
  <c r="BG1872" i="1"/>
  <c r="BY1872" i="1"/>
  <c r="BG1873" i="1"/>
  <c r="BY1873" i="1"/>
  <c r="BG1874" i="1"/>
  <c r="BY1874" i="1"/>
  <c r="BG1875" i="1"/>
  <c r="BY1875" i="1"/>
  <c r="BG1876" i="1"/>
  <c r="BY1876" i="1"/>
  <c r="BG1877" i="1"/>
  <c r="BY1877" i="1"/>
  <c r="BG1878" i="1"/>
  <c r="BY1878" i="1"/>
  <c r="BG1879" i="1"/>
  <c r="BY1879" i="1"/>
  <c r="BG1880" i="1"/>
  <c r="BY1880" i="1"/>
  <c r="BG1881" i="1"/>
  <c r="BY1881" i="1"/>
  <c r="BG1882" i="1"/>
  <c r="BY1882" i="1"/>
  <c r="BG1883" i="1"/>
  <c r="BY1883" i="1"/>
  <c r="BG1884" i="1"/>
  <c r="BY1884" i="1"/>
  <c r="BG1885" i="1"/>
  <c r="BY1885" i="1"/>
  <c r="BG1886" i="1"/>
  <c r="BY1886" i="1"/>
  <c r="BG1887" i="1"/>
  <c r="BY1887" i="1"/>
  <c r="BG1888" i="1"/>
  <c r="BY1888" i="1"/>
  <c r="BG1889" i="1"/>
  <c r="BY1889" i="1"/>
  <c r="BG1890" i="1"/>
  <c r="BY1890" i="1"/>
  <c r="BG1891" i="1"/>
  <c r="BY1891" i="1"/>
  <c r="BG1892" i="1"/>
  <c r="BY1892" i="1"/>
  <c r="BG1893" i="1"/>
  <c r="BY1893" i="1"/>
  <c r="BG1894" i="1"/>
  <c r="BY1894" i="1"/>
  <c r="BG1895" i="1"/>
  <c r="BY1895" i="1"/>
  <c r="BG1896" i="1"/>
  <c r="BY1896" i="1"/>
  <c r="BG1897" i="1"/>
  <c r="BY1897" i="1"/>
  <c r="BG1898" i="1"/>
  <c r="BY1898" i="1"/>
  <c r="BG1899" i="1"/>
  <c r="BY1899" i="1"/>
  <c r="BY1900" i="1"/>
  <c r="BY1901" i="1"/>
  <c r="BY1902" i="1"/>
  <c r="BY1903" i="1"/>
  <c r="BY1904" i="1"/>
  <c r="BY1905" i="1"/>
  <c r="BY1906" i="1"/>
  <c r="BY1907" i="1"/>
  <c r="BY1908" i="1"/>
  <c r="BY1909" i="1"/>
  <c r="BY1910" i="1"/>
  <c r="BY1911" i="1"/>
  <c r="BY1912" i="1"/>
  <c r="BY1913" i="1"/>
  <c r="BY1914" i="1"/>
  <c r="BY1915" i="1"/>
  <c r="BY1916" i="1"/>
  <c r="BY1917" i="1"/>
  <c r="BY1918" i="1"/>
  <c r="BY1919" i="1"/>
  <c r="BY1920" i="1"/>
  <c r="BY1921" i="1"/>
  <c r="BY1922" i="1"/>
  <c r="BY1923" i="1"/>
  <c r="BY1924" i="1"/>
  <c r="BY1925" i="1"/>
  <c r="BY1926" i="1"/>
  <c r="BY1927" i="1"/>
  <c r="BY1928" i="1"/>
  <c r="BY1929" i="1"/>
  <c r="BY1930" i="1"/>
  <c r="BY1931" i="1"/>
  <c r="BY1932" i="1"/>
  <c r="BY1933" i="1"/>
  <c r="BY1934" i="1"/>
  <c r="BY1935" i="1"/>
  <c r="BY1936" i="1"/>
  <c r="BY1937" i="1"/>
  <c r="BY1938" i="1"/>
  <c r="BY1939" i="1"/>
  <c r="BY1940" i="1"/>
  <c r="BY1946" i="1"/>
  <c r="BY1947" i="1"/>
  <c r="BY1948" i="1"/>
  <c r="BY1645" i="1"/>
  <c r="BX1945" i="1"/>
  <c r="BX1944" i="1"/>
  <c r="BX1943" i="1"/>
  <c r="BX1942" i="1"/>
  <c r="BX1941" i="1"/>
  <c r="BX1652" i="1"/>
  <c r="BX1653" i="1"/>
  <c r="BX1654" i="1"/>
  <c r="BX1655" i="1"/>
  <c r="BX1656" i="1"/>
  <c r="BX1657" i="1"/>
  <c r="BX1658" i="1"/>
  <c r="BX1659" i="1"/>
  <c r="BX1660" i="1"/>
  <c r="BX1661" i="1"/>
  <c r="BX1662" i="1"/>
  <c r="BX1663" i="1"/>
  <c r="BX1664" i="1"/>
  <c r="BX1665" i="1"/>
  <c r="BX1666" i="1"/>
  <c r="BX1667" i="1"/>
  <c r="BX1668" i="1"/>
  <c r="BX1669" i="1"/>
  <c r="BX1670" i="1"/>
  <c r="BX1671" i="1"/>
  <c r="BX1672" i="1"/>
  <c r="BX1673" i="1"/>
  <c r="BX1674" i="1"/>
  <c r="BX1675" i="1"/>
  <c r="BX1676" i="1"/>
  <c r="BX1677" i="1"/>
  <c r="BX1678" i="1"/>
  <c r="BX1679" i="1"/>
  <c r="BX1680" i="1"/>
  <c r="BX1681" i="1"/>
  <c r="BX1682" i="1"/>
  <c r="BX1683" i="1"/>
  <c r="BX1684" i="1"/>
  <c r="BX1685" i="1"/>
  <c r="BX1686" i="1"/>
  <c r="BX1687" i="1"/>
  <c r="BX1688" i="1"/>
  <c r="BX1689" i="1"/>
  <c r="BX1690" i="1"/>
  <c r="BX1691" i="1"/>
  <c r="BX1692" i="1"/>
  <c r="BX1693" i="1"/>
  <c r="BX1694" i="1"/>
  <c r="BX1695" i="1"/>
  <c r="BX1696" i="1"/>
  <c r="BX1697" i="1"/>
  <c r="BX1698" i="1"/>
  <c r="BX1699" i="1"/>
  <c r="BX1700" i="1"/>
  <c r="BX1701" i="1"/>
  <c r="BX1702" i="1"/>
  <c r="BX1703" i="1"/>
  <c r="BX1704" i="1"/>
  <c r="BX1705" i="1"/>
  <c r="BX1706" i="1"/>
  <c r="BX1707" i="1"/>
  <c r="BX1708" i="1"/>
  <c r="BX1709" i="1"/>
  <c r="BX1710" i="1"/>
  <c r="BX1711" i="1"/>
  <c r="BX1712" i="1"/>
  <c r="BX1713" i="1"/>
  <c r="BX1714" i="1"/>
  <c r="BX1715" i="1"/>
  <c r="BX1716" i="1"/>
  <c r="BX1717" i="1"/>
  <c r="BX1718" i="1"/>
  <c r="BX1719" i="1"/>
  <c r="BX1720" i="1"/>
  <c r="BX1721" i="1"/>
  <c r="BX1722" i="1"/>
  <c r="BX1723" i="1"/>
  <c r="BX1724" i="1"/>
  <c r="BX1725" i="1"/>
  <c r="BX1726" i="1"/>
  <c r="BX1727" i="1"/>
  <c r="BX1728" i="1"/>
  <c r="BX1729" i="1"/>
  <c r="BX1730" i="1"/>
  <c r="BX1731" i="1"/>
  <c r="BX1732" i="1"/>
  <c r="BX1733" i="1"/>
  <c r="BX1734" i="1"/>
  <c r="BX1735" i="1"/>
  <c r="BX1736" i="1"/>
  <c r="BX1737" i="1"/>
  <c r="BX1738" i="1"/>
  <c r="BX1739" i="1"/>
  <c r="BX1740" i="1"/>
  <c r="BX1741" i="1"/>
  <c r="BX1742" i="1"/>
  <c r="BX1743" i="1"/>
  <c r="BX1744" i="1"/>
  <c r="BX1745" i="1"/>
  <c r="BX1746" i="1"/>
  <c r="BX1747" i="1"/>
  <c r="BX1748" i="1"/>
  <c r="BX1749" i="1"/>
  <c r="BX1750" i="1"/>
  <c r="BX1751" i="1"/>
  <c r="BX1752" i="1"/>
  <c r="BX1753" i="1"/>
  <c r="BX1754" i="1"/>
  <c r="BX1755" i="1"/>
  <c r="BX1756" i="1"/>
  <c r="BX1757" i="1"/>
  <c r="BX1758" i="1"/>
  <c r="BX1759" i="1"/>
  <c r="BX1760" i="1"/>
  <c r="BX1761" i="1"/>
  <c r="BX1762" i="1"/>
  <c r="BX1763" i="1"/>
  <c r="BX1764" i="1"/>
  <c r="BX1765" i="1"/>
  <c r="BX1766" i="1"/>
  <c r="BX1767" i="1"/>
  <c r="BX1768" i="1"/>
  <c r="BX1769" i="1"/>
  <c r="BX1770" i="1"/>
  <c r="BX1771" i="1"/>
  <c r="BX1772" i="1"/>
  <c r="BX1773" i="1"/>
  <c r="BX1774" i="1"/>
  <c r="BX1775" i="1"/>
  <c r="BX1776" i="1"/>
  <c r="BX1777" i="1"/>
  <c r="BX1778" i="1"/>
  <c r="BX1779" i="1"/>
  <c r="BX1780" i="1"/>
  <c r="BX1781" i="1"/>
  <c r="BX1782" i="1"/>
  <c r="BX1783" i="1"/>
  <c r="BX1784" i="1"/>
  <c r="BX1785" i="1"/>
  <c r="BX1786" i="1"/>
  <c r="BX1787" i="1"/>
  <c r="BX1788" i="1"/>
  <c r="BX1789" i="1"/>
  <c r="BX1790" i="1"/>
  <c r="BX1791" i="1"/>
  <c r="BX1792" i="1"/>
  <c r="BX1793" i="1"/>
  <c r="BX1794" i="1"/>
  <c r="BX1795" i="1"/>
  <c r="BX1796" i="1"/>
  <c r="BX1797" i="1"/>
  <c r="BX1798" i="1"/>
  <c r="BX1799" i="1"/>
  <c r="BX1800" i="1"/>
  <c r="BX1801" i="1"/>
  <c r="BX1802" i="1"/>
  <c r="BX1803" i="1"/>
  <c r="BX1804" i="1"/>
  <c r="BX1805" i="1"/>
  <c r="BX1806" i="1"/>
  <c r="BX1807" i="1"/>
  <c r="BX1808" i="1"/>
  <c r="BX1809" i="1"/>
  <c r="BX1810" i="1"/>
  <c r="BX1811" i="1"/>
  <c r="BX1812" i="1"/>
  <c r="BX1813" i="1"/>
  <c r="BX1814" i="1"/>
  <c r="BX1815" i="1"/>
  <c r="BX1816" i="1"/>
  <c r="BX1817" i="1"/>
  <c r="BX1818" i="1"/>
  <c r="BX1819" i="1"/>
  <c r="BX1820" i="1"/>
  <c r="BX1821" i="1"/>
  <c r="BX1822" i="1"/>
  <c r="BX1823" i="1"/>
  <c r="BX1824" i="1"/>
  <c r="BX1825" i="1"/>
  <c r="BX1826" i="1"/>
  <c r="BX1827" i="1"/>
  <c r="BX1828" i="1"/>
  <c r="BX1829" i="1"/>
  <c r="BX1830" i="1"/>
  <c r="BX1831" i="1"/>
  <c r="BX1832" i="1"/>
  <c r="BX1833" i="1"/>
  <c r="BX1834" i="1"/>
  <c r="BX1835" i="1"/>
  <c r="BX1836" i="1"/>
  <c r="BX1837" i="1"/>
  <c r="BX1838" i="1"/>
  <c r="BX1839" i="1"/>
  <c r="BX1840" i="1"/>
  <c r="BX1841" i="1"/>
  <c r="BX1842" i="1"/>
  <c r="BX1843" i="1"/>
  <c r="BX1844" i="1"/>
  <c r="BX1845" i="1"/>
  <c r="BX1846" i="1"/>
  <c r="BX1847" i="1"/>
  <c r="BX1848" i="1"/>
  <c r="BX1849" i="1"/>
  <c r="BX1850" i="1"/>
  <c r="BX1851" i="1"/>
  <c r="BX1852" i="1"/>
  <c r="BX1853" i="1"/>
  <c r="BX1854" i="1"/>
  <c r="BX1855" i="1"/>
  <c r="BX1856" i="1"/>
  <c r="BX1857" i="1"/>
  <c r="BX1858" i="1"/>
  <c r="BX1859" i="1"/>
  <c r="BX1860" i="1"/>
  <c r="BX1861" i="1"/>
  <c r="BX1862" i="1"/>
  <c r="BX1863" i="1"/>
  <c r="BX1864" i="1"/>
  <c r="BX1865" i="1"/>
  <c r="BX1866" i="1"/>
  <c r="BX1867" i="1"/>
  <c r="BX1868" i="1"/>
  <c r="BX1869" i="1"/>
  <c r="BX1870" i="1"/>
  <c r="BX1871" i="1"/>
  <c r="BX1872" i="1"/>
  <c r="BX1873" i="1"/>
  <c r="BX1874" i="1"/>
  <c r="BX1875" i="1"/>
  <c r="BX1876" i="1"/>
  <c r="BX1877" i="1"/>
  <c r="BX1878" i="1"/>
  <c r="BX1879" i="1"/>
  <c r="BX1880" i="1"/>
  <c r="BX1881" i="1"/>
  <c r="BX1882" i="1"/>
  <c r="BX1883" i="1"/>
  <c r="BX1884" i="1"/>
  <c r="BX1885" i="1"/>
  <c r="BX1886" i="1"/>
  <c r="BX1887" i="1"/>
  <c r="BX1888" i="1"/>
  <c r="BX1889" i="1"/>
  <c r="BX1890" i="1"/>
  <c r="BX1891" i="1"/>
  <c r="BX1892" i="1"/>
  <c r="BX1893" i="1"/>
  <c r="BX1894" i="1"/>
  <c r="BX1895" i="1"/>
  <c r="BX1896" i="1"/>
  <c r="BX1897" i="1"/>
  <c r="BX1898" i="1"/>
  <c r="BX1645" i="1"/>
  <c r="BW1945" i="1"/>
  <c r="BV1945" i="1"/>
  <c r="BW1944" i="1"/>
  <c r="BV1944" i="1"/>
  <c r="BW1943" i="1"/>
  <c r="BV1943" i="1"/>
  <c r="BW1942" i="1"/>
  <c r="BV1942" i="1"/>
  <c r="BW1941" i="1"/>
  <c r="BV1941" i="1"/>
  <c r="BV1652" i="1"/>
  <c r="BW1652" i="1"/>
  <c r="BV1653" i="1"/>
  <c r="BW1653" i="1"/>
  <c r="BV1654" i="1"/>
  <c r="BW1654" i="1"/>
  <c r="BV1655" i="1"/>
  <c r="BW1655" i="1"/>
  <c r="BV1656" i="1"/>
  <c r="BW1656" i="1"/>
  <c r="BV1657" i="1"/>
  <c r="BW1657" i="1"/>
  <c r="BV1658" i="1"/>
  <c r="BW1658" i="1"/>
  <c r="BV1659" i="1"/>
  <c r="BW1659" i="1"/>
  <c r="BV1660" i="1"/>
  <c r="BW1660" i="1"/>
  <c r="BV1661" i="1"/>
  <c r="BW1661" i="1"/>
  <c r="BV1662" i="1"/>
  <c r="BW1662" i="1"/>
  <c r="BV1663" i="1"/>
  <c r="BW1663" i="1"/>
  <c r="BV1664" i="1"/>
  <c r="BW1664" i="1"/>
  <c r="BV1665" i="1"/>
  <c r="BW1665" i="1"/>
  <c r="BV1666" i="1"/>
  <c r="BW1666" i="1"/>
  <c r="BV1667" i="1"/>
  <c r="BW1667" i="1"/>
  <c r="BV1668" i="1"/>
  <c r="BW1668" i="1"/>
  <c r="BV1669" i="1"/>
  <c r="BW1669" i="1"/>
  <c r="BV1670" i="1"/>
  <c r="BW1670" i="1"/>
  <c r="BV1671" i="1"/>
  <c r="BW1671" i="1"/>
  <c r="BV1672" i="1"/>
  <c r="BW1672" i="1"/>
  <c r="BV1673" i="1"/>
  <c r="BW1673" i="1"/>
  <c r="BV1674" i="1"/>
  <c r="BW1674" i="1"/>
  <c r="BV1675" i="1"/>
  <c r="BW1675" i="1"/>
  <c r="BV1676" i="1"/>
  <c r="BW1676" i="1"/>
  <c r="BV1677" i="1"/>
  <c r="BW1677" i="1"/>
  <c r="BV1678" i="1"/>
  <c r="BW1678" i="1"/>
  <c r="BV1679" i="1"/>
  <c r="BW1679" i="1"/>
  <c r="BV1680" i="1"/>
  <c r="BW1680" i="1"/>
  <c r="BV1681" i="1"/>
  <c r="BW1681" i="1"/>
  <c r="BV1682" i="1"/>
  <c r="BW1682" i="1"/>
  <c r="BV1683" i="1"/>
  <c r="BW1683" i="1"/>
  <c r="BV1684" i="1"/>
  <c r="BW1684" i="1"/>
  <c r="BV1685" i="1"/>
  <c r="BW1685" i="1"/>
  <c r="BV1686" i="1"/>
  <c r="BW1686" i="1"/>
  <c r="BV1687" i="1"/>
  <c r="BW1687" i="1"/>
  <c r="BV1688" i="1"/>
  <c r="BW1688" i="1"/>
  <c r="BV1689" i="1"/>
  <c r="BW1689" i="1"/>
  <c r="BV1690" i="1"/>
  <c r="BW1690" i="1"/>
  <c r="BV1691" i="1"/>
  <c r="BW1691" i="1"/>
  <c r="BV1692" i="1"/>
  <c r="BW1692" i="1"/>
  <c r="BV1693" i="1"/>
  <c r="BW1693" i="1"/>
  <c r="BV1694" i="1"/>
  <c r="BW1694" i="1"/>
  <c r="BV1695" i="1"/>
  <c r="BW1695" i="1"/>
  <c r="BV1696" i="1"/>
  <c r="BW1696" i="1"/>
  <c r="BV1697" i="1"/>
  <c r="BW1697" i="1"/>
  <c r="BV1698" i="1"/>
  <c r="BW1698" i="1"/>
  <c r="BV1699" i="1"/>
  <c r="BW1699" i="1"/>
  <c r="BV1700" i="1"/>
  <c r="BW1700" i="1"/>
  <c r="BV1701" i="1"/>
  <c r="BW1701" i="1"/>
  <c r="BV1702" i="1"/>
  <c r="BW1702" i="1"/>
  <c r="BV1703" i="1"/>
  <c r="BW1703" i="1"/>
  <c r="BV1704" i="1"/>
  <c r="BW1704" i="1"/>
  <c r="BV1705" i="1"/>
  <c r="BW1705" i="1"/>
  <c r="BV1706" i="1"/>
  <c r="BW1706" i="1"/>
  <c r="BV1707" i="1"/>
  <c r="BW1707" i="1"/>
  <c r="BV1708" i="1"/>
  <c r="BW1708" i="1"/>
  <c r="BV1709" i="1"/>
  <c r="BW1709" i="1"/>
  <c r="BV1710" i="1"/>
  <c r="BW1710" i="1"/>
  <c r="BV1711" i="1"/>
  <c r="BW1711" i="1"/>
  <c r="BV1712" i="1"/>
  <c r="BW1712" i="1"/>
  <c r="BV1713" i="1"/>
  <c r="BW1713" i="1"/>
  <c r="BV1714" i="1"/>
  <c r="BW1714" i="1"/>
  <c r="BV1715" i="1"/>
  <c r="BW1715" i="1"/>
  <c r="BV1716" i="1"/>
  <c r="BW1716" i="1"/>
  <c r="BV1717" i="1"/>
  <c r="BW1717" i="1"/>
  <c r="BV1718" i="1"/>
  <c r="BW1718" i="1"/>
  <c r="BV1719" i="1"/>
  <c r="BW1719" i="1"/>
  <c r="BV1720" i="1"/>
  <c r="BW1720" i="1"/>
  <c r="BV1721" i="1"/>
  <c r="BW1721" i="1"/>
  <c r="BV1722" i="1"/>
  <c r="BW1722" i="1"/>
  <c r="BV1723" i="1"/>
  <c r="BW1723" i="1"/>
  <c r="BV1724" i="1"/>
  <c r="BW1724" i="1"/>
  <c r="BV1725" i="1"/>
  <c r="BW1725" i="1"/>
  <c r="BV1726" i="1"/>
  <c r="BW1726" i="1"/>
  <c r="BV1727" i="1"/>
  <c r="BW1727" i="1"/>
  <c r="BV1728" i="1"/>
  <c r="BW1728" i="1"/>
  <c r="BV1729" i="1"/>
  <c r="BW1729" i="1"/>
  <c r="BV1730" i="1"/>
  <c r="BW1730" i="1"/>
  <c r="BV1731" i="1"/>
  <c r="BW1731" i="1"/>
  <c r="BV1732" i="1"/>
  <c r="BW1732" i="1"/>
  <c r="BV1733" i="1"/>
  <c r="BW1733" i="1"/>
  <c r="BV1734" i="1"/>
  <c r="BW1734" i="1"/>
  <c r="BV1735" i="1"/>
  <c r="BW1735" i="1"/>
  <c r="BV1736" i="1"/>
  <c r="BW1736" i="1"/>
  <c r="BV1737" i="1"/>
  <c r="BW1737" i="1"/>
  <c r="BV1738" i="1"/>
  <c r="BW1738" i="1"/>
  <c r="BV1739" i="1"/>
  <c r="BW1739" i="1"/>
  <c r="BV1740" i="1"/>
  <c r="BW1740" i="1"/>
  <c r="BV1741" i="1"/>
  <c r="BW1741" i="1"/>
  <c r="BV1742" i="1"/>
  <c r="BW1742" i="1"/>
  <c r="BV1743" i="1"/>
  <c r="BW1743" i="1"/>
  <c r="BV1744" i="1"/>
  <c r="BW1744" i="1"/>
  <c r="BV1745" i="1"/>
  <c r="BW1745" i="1"/>
  <c r="BV1746" i="1"/>
  <c r="BW1746" i="1"/>
  <c r="BV1747" i="1"/>
  <c r="BW1747" i="1"/>
  <c r="BV1748" i="1"/>
  <c r="BW1748" i="1"/>
  <c r="BV1749" i="1"/>
  <c r="BW1749" i="1"/>
  <c r="BV1750" i="1"/>
  <c r="BW1750" i="1"/>
  <c r="BV1751" i="1"/>
  <c r="BW1751" i="1"/>
  <c r="BV1752" i="1"/>
  <c r="BW1752" i="1"/>
  <c r="BV1753" i="1"/>
  <c r="BW1753" i="1"/>
  <c r="BV1754" i="1"/>
  <c r="BW1754" i="1"/>
  <c r="BV1755" i="1"/>
  <c r="BW1755" i="1"/>
  <c r="BV1756" i="1"/>
  <c r="BW1756" i="1"/>
  <c r="BV1757" i="1"/>
  <c r="BW1757" i="1"/>
  <c r="BV1758" i="1"/>
  <c r="BW1758" i="1"/>
  <c r="BV1759" i="1"/>
  <c r="BW1759" i="1"/>
  <c r="BV1760" i="1"/>
  <c r="BW1760" i="1"/>
  <c r="BV1761" i="1"/>
  <c r="BW1761" i="1"/>
  <c r="BV1762" i="1"/>
  <c r="BW1762" i="1"/>
  <c r="BV1763" i="1"/>
  <c r="BW1763" i="1"/>
  <c r="BV1764" i="1"/>
  <c r="BW1764" i="1"/>
  <c r="BV1765" i="1"/>
  <c r="BW1765" i="1"/>
  <c r="BV1766" i="1"/>
  <c r="BW1766" i="1"/>
  <c r="BV1767" i="1"/>
  <c r="BW1767" i="1"/>
  <c r="BV1768" i="1"/>
  <c r="BW1768" i="1"/>
  <c r="BV1769" i="1"/>
  <c r="BW1769" i="1"/>
  <c r="BV1770" i="1"/>
  <c r="BW1770" i="1"/>
  <c r="BV1771" i="1"/>
  <c r="BW1771" i="1"/>
  <c r="BV1772" i="1"/>
  <c r="BW1772" i="1"/>
  <c r="BV1773" i="1"/>
  <c r="BW1773" i="1"/>
  <c r="BV1774" i="1"/>
  <c r="BW1774" i="1"/>
  <c r="BV1775" i="1"/>
  <c r="BW1775" i="1"/>
  <c r="BV1776" i="1"/>
  <c r="BW1776" i="1"/>
  <c r="BV1777" i="1"/>
  <c r="BW1777" i="1"/>
  <c r="BV1778" i="1"/>
  <c r="BW1778" i="1"/>
  <c r="BV1779" i="1"/>
  <c r="BW1779" i="1"/>
  <c r="BV1780" i="1"/>
  <c r="BW1780" i="1"/>
  <c r="BV1781" i="1"/>
  <c r="BW1781" i="1"/>
  <c r="BV1782" i="1"/>
  <c r="BW1782" i="1"/>
  <c r="BV1783" i="1"/>
  <c r="BW1783" i="1"/>
  <c r="BV1784" i="1"/>
  <c r="BW1784" i="1"/>
  <c r="BV1785" i="1"/>
  <c r="BW1785" i="1"/>
  <c r="BV1786" i="1"/>
  <c r="BW1786" i="1"/>
  <c r="BV1787" i="1"/>
  <c r="BW1787" i="1"/>
  <c r="BV1788" i="1"/>
  <c r="BW1788" i="1"/>
  <c r="BV1789" i="1"/>
  <c r="BW1789" i="1"/>
  <c r="BV1790" i="1"/>
  <c r="BW1790" i="1"/>
  <c r="BV1791" i="1"/>
  <c r="BW1791" i="1"/>
  <c r="BV1792" i="1"/>
  <c r="BW1792" i="1"/>
  <c r="BV1793" i="1"/>
  <c r="BW1793" i="1"/>
  <c r="BV1794" i="1"/>
  <c r="BW1794" i="1"/>
  <c r="BV1795" i="1"/>
  <c r="BW1795" i="1"/>
  <c r="BV1796" i="1"/>
  <c r="BW1796" i="1"/>
  <c r="BV1797" i="1"/>
  <c r="BW1797" i="1"/>
  <c r="BV1798" i="1"/>
  <c r="BW1798" i="1"/>
  <c r="BV1799" i="1"/>
  <c r="BW1799" i="1"/>
  <c r="BV1800" i="1"/>
  <c r="BW1800" i="1"/>
  <c r="BV1801" i="1"/>
  <c r="BW1801" i="1"/>
  <c r="BV1802" i="1"/>
  <c r="BW1802" i="1"/>
  <c r="BV1803" i="1"/>
  <c r="BW1803" i="1"/>
  <c r="BV1804" i="1"/>
  <c r="BW1804" i="1"/>
  <c r="BV1805" i="1"/>
  <c r="BW1805" i="1"/>
  <c r="BV1806" i="1"/>
  <c r="BW1806" i="1"/>
  <c r="BV1807" i="1"/>
  <c r="BW1807" i="1"/>
  <c r="BV1808" i="1"/>
  <c r="BW1808" i="1"/>
  <c r="BV1809" i="1"/>
  <c r="BW1809" i="1"/>
  <c r="BV1810" i="1"/>
  <c r="BW1810" i="1"/>
  <c r="BV1811" i="1"/>
  <c r="BW1811" i="1"/>
  <c r="BV1812" i="1"/>
  <c r="BW1812" i="1"/>
  <c r="BV1813" i="1"/>
  <c r="BW1813" i="1"/>
  <c r="BV1814" i="1"/>
  <c r="BW1814" i="1"/>
  <c r="BV1815" i="1"/>
  <c r="BW1815" i="1"/>
  <c r="BV1816" i="1"/>
  <c r="BW1816" i="1"/>
  <c r="BV1817" i="1"/>
  <c r="BW1817" i="1"/>
  <c r="BV1818" i="1"/>
  <c r="BW1818" i="1"/>
  <c r="BV1819" i="1"/>
  <c r="BW1819" i="1"/>
  <c r="BV1820" i="1"/>
  <c r="BW1820" i="1"/>
  <c r="BV1821" i="1"/>
  <c r="BW1821" i="1"/>
  <c r="BV1822" i="1"/>
  <c r="BW1822" i="1"/>
  <c r="BV1823" i="1"/>
  <c r="BW1823" i="1"/>
  <c r="BV1824" i="1"/>
  <c r="BW1824" i="1"/>
  <c r="BV1825" i="1"/>
  <c r="BW1825" i="1"/>
  <c r="BV1826" i="1"/>
  <c r="BW1826" i="1"/>
  <c r="BV1827" i="1"/>
  <c r="BW1827" i="1"/>
  <c r="BV1828" i="1"/>
  <c r="BW1828" i="1"/>
  <c r="BV1829" i="1"/>
  <c r="BW1829" i="1"/>
  <c r="BV1830" i="1"/>
  <c r="BW1830" i="1"/>
  <c r="BV1831" i="1"/>
  <c r="BW1831" i="1"/>
  <c r="BV1832" i="1"/>
  <c r="BW1832" i="1"/>
  <c r="BV1833" i="1"/>
  <c r="BW1833" i="1"/>
  <c r="BV1834" i="1"/>
  <c r="BW1834" i="1"/>
  <c r="BV1835" i="1"/>
  <c r="BW1835" i="1"/>
  <c r="BV1836" i="1"/>
  <c r="BW1836" i="1"/>
  <c r="BV1837" i="1"/>
  <c r="BW1837" i="1"/>
  <c r="BV1838" i="1"/>
  <c r="BW1838" i="1"/>
  <c r="BV1839" i="1"/>
  <c r="BW1839" i="1"/>
  <c r="BV1840" i="1"/>
  <c r="BW1840" i="1"/>
  <c r="BV1841" i="1"/>
  <c r="BW1841" i="1"/>
  <c r="BV1842" i="1"/>
  <c r="BW1842" i="1"/>
  <c r="BV1843" i="1"/>
  <c r="BW1843" i="1"/>
  <c r="BV1844" i="1"/>
  <c r="BW1844" i="1"/>
  <c r="BV1845" i="1"/>
  <c r="BW1845" i="1"/>
  <c r="BV1846" i="1"/>
  <c r="BW1846" i="1"/>
  <c r="BV1847" i="1"/>
  <c r="BW1847" i="1"/>
  <c r="BV1848" i="1"/>
  <c r="BW1848" i="1"/>
  <c r="BV1849" i="1"/>
  <c r="BW1849" i="1"/>
  <c r="BV1850" i="1"/>
  <c r="BW1850" i="1"/>
  <c r="BV1851" i="1"/>
  <c r="BW1851" i="1"/>
  <c r="BV1852" i="1"/>
  <c r="BW1852" i="1"/>
  <c r="BV1853" i="1"/>
  <c r="BW1853" i="1"/>
  <c r="BV1854" i="1"/>
  <c r="BW1854" i="1"/>
  <c r="BV1855" i="1"/>
  <c r="BW1855" i="1"/>
  <c r="BV1856" i="1"/>
  <c r="BW1856" i="1"/>
  <c r="BV1857" i="1"/>
  <c r="BW1857" i="1"/>
  <c r="BV1858" i="1"/>
  <c r="BW1858" i="1"/>
  <c r="BV1859" i="1"/>
  <c r="BW1859" i="1"/>
  <c r="BV1860" i="1"/>
  <c r="BW1860" i="1"/>
  <c r="BV1861" i="1"/>
  <c r="BW1861" i="1"/>
  <c r="BV1862" i="1"/>
  <c r="BW1862" i="1"/>
  <c r="BV1863" i="1"/>
  <c r="BW1863" i="1"/>
  <c r="BV1864" i="1"/>
  <c r="BW1864" i="1"/>
  <c r="BV1865" i="1"/>
  <c r="BW1865" i="1"/>
  <c r="BV1866" i="1"/>
  <c r="BW1866" i="1"/>
  <c r="BV1867" i="1"/>
  <c r="BW1867" i="1"/>
  <c r="BV1868" i="1"/>
  <c r="BW1868" i="1"/>
  <c r="BV1869" i="1"/>
  <c r="BW1869" i="1"/>
  <c r="BV1870" i="1"/>
  <c r="BW1870" i="1"/>
  <c r="BV1871" i="1"/>
  <c r="BW1871" i="1"/>
  <c r="BV1872" i="1"/>
  <c r="BW1872" i="1"/>
  <c r="BV1873" i="1"/>
  <c r="BW1873" i="1"/>
  <c r="BV1874" i="1"/>
  <c r="BW1874" i="1"/>
  <c r="BV1875" i="1"/>
  <c r="BW1875" i="1"/>
  <c r="BV1876" i="1"/>
  <c r="BW1876" i="1"/>
  <c r="BV1877" i="1"/>
  <c r="BW1877" i="1"/>
  <c r="BV1878" i="1"/>
  <c r="BW1878" i="1"/>
  <c r="BV1879" i="1"/>
  <c r="BW1879" i="1"/>
  <c r="BV1880" i="1"/>
  <c r="BW1880" i="1"/>
  <c r="BV1881" i="1"/>
  <c r="BW1881" i="1"/>
  <c r="BV1882" i="1"/>
  <c r="BW1882" i="1"/>
  <c r="BV1883" i="1"/>
  <c r="BW1883" i="1"/>
  <c r="BV1884" i="1"/>
  <c r="BW1884" i="1"/>
  <c r="BV1885" i="1"/>
  <c r="BW1885" i="1"/>
  <c r="BV1886" i="1"/>
  <c r="BW1886" i="1"/>
  <c r="BV1887" i="1"/>
  <c r="BW1887" i="1"/>
  <c r="BV1888" i="1"/>
  <c r="BW1888" i="1"/>
  <c r="BV1889" i="1"/>
  <c r="BW1889" i="1"/>
  <c r="BV1890" i="1"/>
  <c r="BW1890" i="1"/>
  <c r="BV1891" i="1"/>
  <c r="BW1891" i="1"/>
  <c r="BV1892" i="1"/>
  <c r="BW1892" i="1"/>
  <c r="BV1893" i="1"/>
  <c r="BW1893" i="1"/>
  <c r="BV1894" i="1"/>
  <c r="BW1894" i="1"/>
  <c r="BV1895" i="1"/>
  <c r="BW1895" i="1"/>
  <c r="BV1896" i="1"/>
  <c r="BW1896" i="1"/>
  <c r="BV1897" i="1"/>
  <c r="BW1897" i="1"/>
  <c r="BV1898" i="1"/>
  <c r="BW1898" i="1"/>
  <c r="BV1899" i="1"/>
  <c r="BW1899" i="1"/>
  <c r="BV1900" i="1"/>
  <c r="BW1900" i="1"/>
  <c r="BV1901" i="1"/>
  <c r="BW1901" i="1"/>
  <c r="BV1902" i="1"/>
  <c r="BW1902" i="1"/>
  <c r="BV1903" i="1"/>
  <c r="BW1903" i="1"/>
  <c r="BV1904" i="1"/>
  <c r="BW1904" i="1"/>
  <c r="BV1905" i="1"/>
  <c r="BW1905" i="1"/>
  <c r="BV1906" i="1"/>
  <c r="BW1906" i="1"/>
  <c r="BV1907" i="1"/>
  <c r="BW1907" i="1"/>
  <c r="BV1908" i="1"/>
  <c r="BW1908" i="1"/>
  <c r="BV1909" i="1"/>
  <c r="BW1909" i="1"/>
  <c r="BV1910" i="1"/>
  <c r="BW1910" i="1"/>
  <c r="BV1911" i="1"/>
  <c r="BW1911" i="1"/>
  <c r="BV1912" i="1"/>
  <c r="BW1912" i="1"/>
  <c r="BV1913" i="1"/>
  <c r="BW1913" i="1"/>
  <c r="BV1914" i="1"/>
  <c r="BW1914" i="1"/>
  <c r="BV1915" i="1"/>
  <c r="BW1915" i="1"/>
  <c r="BV1916" i="1"/>
  <c r="BW1916" i="1"/>
  <c r="BV1917" i="1"/>
  <c r="BW1917" i="1"/>
  <c r="BV1918" i="1"/>
  <c r="BW1918" i="1"/>
  <c r="BV1919" i="1"/>
  <c r="BW1919" i="1"/>
  <c r="BV1920" i="1"/>
  <c r="BW1920" i="1"/>
  <c r="BV1921" i="1"/>
  <c r="BW1921" i="1"/>
  <c r="BV1922" i="1"/>
  <c r="BW1922" i="1"/>
  <c r="BV1923" i="1"/>
  <c r="BW1923" i="1"/>
  <c r="BV1924" i="1"/>
  <c r="BW1924" i="1"/>
  <c r="BV1925" i="1"/>
  <c r="BW1925" i="1"/>
  <c r="BV1926" i="1"/>
  <c r="BW1926" i="1"/>
  <c r="BV1927" i="1"/>
  <c r="BW1927" i="1"/>
  <c r="BV1928" i="1"/>
  <c r="BW1928" i="1"/>
  <c r="BV1929" i="1"/>
  <c r="BW1929" i="1"/>
  <c r="BV1930" i="1"/>
  <c r="BW1930" i="1"/>
  <c r="BV1931" i="1"/>
  <c r="BW1931" i="1"/>
  <c r="BV1932" i="1"/>
  <c r="BW1932" i="1"/>
  <c r="BV1933" i="1"/>
  <c r="BW1933" i="1"/>
  <c r="BV1934" i="1"/>
  <c r="BW1934" i="1"/>
  <c r="BV1935" i="1"/>
  <c r="BW1935" i="1"/>
  <c r="BV1936" i="1"/>
  <c r="BW1936" i="1"/>
  <c r="BV1937" i="1"/>
  <c r="BW1937" i="1"/>
  <c r="BV1938" i="1"/>
  <c r="BW1938" i="1"/>
  <c r="BV1939" i="1"/>
  <c r="BW1939" i="1"/>
  <c r="BV1940" i="1"/>
  <c r="BW1940" i="1"/>
  <c r="BV1946" i="1"/>
  <c r="BW1946" i="1"/>
  <c r="BV1947" i="1"/>
  <c r="BW1947" i="1"/>
  <c r="BV1948" i="1"/>
  <c r="BW1948" i="1"/>
  <c r="BV1645" i="1"/>
  <c r="BW1645" i="1"/>
  <c r="BZ1945" i="1"/>
  <c r="BZ1944" i="1"/>
  <c r="BZ1943" i="1"/>
  <c r="BZ1942" i="1"/>
  <c r="BZ1941" i="1"/>
  <c r="BZ1652" i="1"/>
  <c r="BZ1653" i="1"/>
  <c r="BZ1654" i="1"/>
  <c r="BZ1655" i="1"/>
  <c r="BZ1656" i="1"/>
  <c r="BZ1657" i="1"/>
  <c r="BZ1658" i="1"/>
  <c r="BZ1659" i="1"/>
  <c r="BZ1660" i="1"/>
  <c r="BZ1661" i="1"/>
  <c r="BZ1662" i="1"/>
  <c r="BZ1663" i="1"/>
  <c r="BZ1664" i="1"/>
  <c r="BZ1665" i="1"/>
  <c r="BZ1666" i="1"/>
  <c r="BZ1667" i="1"/>
  <c r="BZ1668" i="1"/>
  <c r="BZ1669" i="1"/>
  <c r="BZ1670" i="1"/>
  <c r="BZ1671" i="1"/>
  <c r="BZ1672" i="1"/>
  <c r="BZ1673" i="1"/>
  <c r="BZ1674" i="1"/>
  <c r="BZ1675" i="1"/>
  <c r="BZ1676" i="1"/>
  <c r="BZ1677" i="1"/>
  <c r="BZ1678" i="1"/>
  <c r="BZ1679" i="1"/>
  <c r="BZ1680" i="1"/>
  <c r="BZ1681" i="1"/>
  <c r="BZ1682" i="1"/>
  <c r="BZ1683" i="1"/>
  <c r="BZ1684" i="1"/>
  <c r="BZ1685" i="1"/>
  <c r="BZ1686" i="1"/>
  <c r="BZ1687" i="1"/>
  <c r="BZ1688" i="1"/>
  <c r="BZ1689" i="1"/>
  <c r="BZ1690" i="1"/>
  <c r="BZ1691" i="1"/>
  <c r="BZ1692" i="1"/>
  <c r="BZ1693" i="1"/>
  <c r="BZ1694" i="1"/>
  <c r="BZ1695" i="1"/>
  <c r="BZ1696" i="1"/>
  <c r="BZ1697" i="1"/>
  <c r="BZ1698" i="1"/>
  <c r="BZ1699" i="1"/>
  <c r="BZ1700" i="1"/>
  <c r="BZ1701" i="1"/>
  <c r="BZ1702" i="1"/>
  <c r="BZ1703" i="1"/>
  <c r="BZ1704" i="1"/>
  <c r="BZ1705" i="1"/>
  <c r="BZ1706" i="1"/>
  <c r="BZ1707" i="1"/>
  <c r="BZ1708" i="1"/>
  <c r="BZ1709" i="1"/>
  <c r="BZ1710" i="1"/>
  <c r="BZ1711" i="1"/>
  <c r="BZ1712" i="1"/>
  <c r="BZ1713" i="1"/>
  <c r="BZ1714" i="1"/>
  <c r="BZ1715" i="1"/>
  <c r="BZ1716" i="1"/>
  <c r="BZ1717" i="1"/>
  <c r="BZ1718" i="1"/>
  <c r="BZ1719" i="1"/>
  <c r="BZ1720" i="1"/>
  <c r="BZ1721" i="1"/>
  <c r="BZ1722" i="1"/>
  <c r="BZ1723" i="1"/>
  <c r="BZ1724" i="1"/>
  <c r="BZ1725" i="1"/>
  <c r="BZ1726" i="1"/>
  <c r="BZ1727" i="1"/>
  <c r="BZ1728" i="1"/>
  <c r="BZ1729" i="1"/>
  <c r="BZ1730" i="1"/>
  <c r="BZ1731" i="1"/>
  <c r="BZ1732" i="1"/>
  <c r="BZ1733" i="1"/>
  <c r="BZ1734" i="1"/>
  <c r="BZ1735" i="1"/>
  <c r="BZ1736" i="1"/>
  <c r="BZ1737" i="1"/>
  <c r="BZ1738" i="1"/>
  <c r="BZ1739" i="1"/>
  <c r="BZ1740" i="1"/>
  <c r="BZ1741" i="1"/>
  <c r="BZ1742" i="1"/>
  <c r="BZ1743" i="1"/>
  <c r="BZ1744" i="1"/>
  <c r="BZ1745" i="1"/>
  <c r="BZ1746" i="1"/>
  <c r="BZ1747" i="1"/>
  <c r="BZ1748" i="1"/>
  <c r="BZ1749" i="1"/>
  <c r="BZ1750" i="1"/>
  <c r="BZ1751" i="1"/>
  <c r="BZ1752" i="1"/>
  <c r="BZ1753" i="1"/>
  <c r="BZ1754" i="1"/>
  <c r="BZ1755" i="1"/>
  <c r="BZ1756" i="1"/>
  <c r="BZ1757" i="1"/>
  <c r="BZ1758" i="1"/>
  <c r="BZ1759" i="1"/>
  <c r="BZ1760" i="1"/>
  <c r="BZ1761" i="1"/>
  <c r="BZ1762" i="1"/>
  <c r="BZ1763" i="1"/>
  <c r="BZ1764" i="1"/>
  <c r="BZ1765" i="1"/>
  <c r="BZ1766" i="1"/>
  <c r="BZ1767" i="1"/>
  <c r="BZ1768" i="1"/>
  <c r="BZ1769" i="1"/>
  <c r="BZ1770" i="1"/>
  <c r="BZ1771" i="1"/>
  <c r="BZ1772" i="1"/>
  <c r="BZ1773" i="1"/>
  <c r="BZ1774" i="1"/>
  <c r="BZ1775" i="1"/>
  <c r="BZ1776" i="1"/>
  <c r="BZ1777" i="1"/>
  <c r="BZ1778" i="1"/>
  <c r="BZ1779" i="1"/>
  <c r="BZ1780" i="1"/>
  <c r="BZ1781" i="1"/>
  <c r="BZ1782" i="1"/>
  <c r="BZ1783" i="1"/>
  <c r="BZ1784" i="1"/>
  <c r="BZ1785" i="1"/>
  <c r="BZ1786" i="1"/>
  <c r="BZ1787" i="1"/>
  <c r="BZ1788" i="1"/>
  <c r="BZ1789" i="1"/>
  <c r="BZ1790" i="1"/>
  <c r="BZ1791" i="1"/>
  <c r="BZ1792" i="1"/>
  <c r="BZ1793" i="1"/>
  <c r="BZ1794" i="1"/>
  <c r="BZ1795" i="1"/>
  <c r="BZ1796" i="1"/>
  <c r="BZ1797" i="1"/>
  <c r="BZ1798" i="1"/>
  <c r="BZ1799" i="1"/>
  <c r="BZ1800" i="1"/>
  <c r="BZ1801" i="1"/>
  <c r="BZ1802" i="1"/>
  <c r="BZ1803" i="1"/>
  <c r="BZ1804" i="1"/>
  <c r="BZ1805" i="1"/>
  <c r="BZ1806" i="1"/>
  <c r="BZ1807" i="1"/>
  <c r="BZ1808" i="1"/>
  <c r="BZ1809" i="1"/>
  <c r="BZ1810" i="1"/>
  <c r="BZ1811" i="1"/>
  <c r="BZ1812" i="1"/>
  <c r="BZ1813" i="1"/>
  <c r="BZ1814" i="1"/>
  <c r="BZ1815" i="1"/>
  <c r="BZ1816" i="1"/>
  <c r="BZ1817" i="1"/>
  <c r="BZ1818" i="1"/>
  <c r="BZ1819" i="1"/>
  <c r="BZ1820" i="1"/>
  <c r="BZ1821" i="1"/>
  <c r="BZ1822" i="1"/>
  <c r="BZ1823" i="1"/>
  <c r="BZ1824" i="1"/>
  <c r="BZ1825" i="1"/>
  <c r="BZ1826" i="1"/>
  <c r="BZ1827" i="1"/>
  <c r="BZ1828" i="1"/>
  <c r="BZ1829" i="1"/>
  <c r="BZ1830" i="1"/>
  <c r="BZ1831" i="1"/>
  <c r="BZ1832" i="1"/>
  <c r="BZ1833" i="1"/>
  <c r="BZ1834" i="1"/>
  <c r="BZ1835" i="1"/>
  <c r="BZ1836" i="1"/>
  <c r="BZ1837" i="1"/>
  <c r="BZ1838" i="1"/>
  <c r="BZ1839" i="1"/>
  <c r="BZ1840" i="1"/>
  <c r="BZ1841" i="1"/>
  <c r="BZ1842" i="1"/>
  <c r="BZ1843" i="1"/>
  <c r="BZ1844" i="1"/>
  <c r="BZ1845" i="1"/>
  <c r="BZ1846" i="1"/>
  <c r="BZ1847" i="1"/>
  <c r="BZ1848" i="1"/>
  <c r="BZ1849" i="1"/>
  <c r="BZ1850" i="1"/>
  <c r="BZ1851" i="1"/>
  <c r="BZ1852" i="1"/>
  <c r="BZ1853" i="1"/>
  <c r="BZ1854" i="1"/>
  <c r="BZ1855" i="1"/>
  <c r="BZ1856" i="1"/>
  <c r="BZ1857" i="1"/>
  <c r="BZ1858" i="1"/>
  <c r="BZ1859" i="1"/>
  <c r="BZ1860" i="1"/>
  <c r="BZ1861" i="1"/>
  <c r="BZ1862" i="1"/>
  <c r="BZ1863" i="1"/>
  <c r="BZ1864" i="1"/>
  <c r="BZ1865" i="1"/>
  <c r="BZ1866" i="1"/>
  <c r="BZ1867" i="1"/>
  <c r="BZ1868" i="1"/>
  <c r="BZ1869" i="1"/>
  <c r="BZ1870" i="1"/>
  <c r="BZ1871" i="1"/>
  <c r="BZ1872" i="1"/>
  <c r="BZ1873" i="1"/>
  <c r="BZ1874" i="1"/>
  <c r="BZ1875" i="1"/>
  <c r="BZ1876" i="1"/>
  <c r="BZ1877" i="1"/>
  <c r="BZ1878" i="1"/>
  <c r="BZ1879" i="1"/>
  <c r="BZ1880" i="1"/>
  <c r="BZ1881" i="1"/>
  <c r="BZ1882" i="1"/>
  <c r="BZ1883" i="1"/>
  <c r="BZ1884" i="1"/>
  <c r="BZ1885" i="1"/>
  <c r="BZ1886" i="1"/>
  <c r="BZ1887" i="1"/>
  <c r="BZ1888" i="1"/>
  <c r="BZ1889" i="1"/>
  <c r="BZ1890" i="1"/>
  <c r="BZ1891" i="1"/>
  <c r="BZ1892" i="1"/>
  <c r="BZ1893" i="1"/>
  <c r="BZ1894" i="1"/>
  <c r="BZ1895" i="1"/>
  <c r="BZ1896" i="1"/>
  <c r="BZ1897" i="1"/>
  <c r="BZ1898" i="1"/>
  <c r="BZ1899" i="1"/>
  <c r="BZ1645" i="1"/>
  <c r="BZ1900" i="1"/>
  <c r="BZ1901" i="1"/>
  <c r="BZ1902" i="1"/>
  <c r="BZ1903" i="1"/>
  <c r="BZ1904" i="1"/>
  <c r="BZ1905" i="1"/>
  <c r="BZ1906" i="1"/>
  <c r="BZ1907" i="1"/>
  <c r="BZ1908" i="1"/>
  <c r="BZ1909" i="1"/>
  <c r="BZ1910" i="1"/>
  <c r="BZ1911" i="1"/>
  <c r="BZ1912" i="1"/>
  <c r="BZ1913" i="1"/>
  <c r="BZ1914" i="1"/>
  <c r="BZ1915" i="1"/>
  <c r="BZ1916" i="1"/>
  <c r="BZ1917" i="1"/>
  <c r="BZ1918" i="1"/>
  <c r="BZ1919" i="1"/>
  <c r="BZ1920" i="1"/>
  <c r="BZ1921" i="1"/>
  <c r="BZ1922" i="1"/>
  <c r="BZ1923" i="1"/>
  <c r="BZ1924" i="1"/>
  <c r="BZ1925" i="1"/>
  <c r="BZ1926" i="1"/>
  <c r="BZ1927" i="1"/>
  <c r="BZ1928" i="1"/>
  <c r="BZ1929" i="1"/>
  <c r="BZ1930" i="1"/>
  <c r="BZ1931" i="1"/>
  <c r="BZ1932" i="1"/>
  <c r="BZ1933" i="1"/>
  <c r="BZ1934" i="1"/>
  <c r="BZ1935" i="1"/>
  <c r="BZ1936" i="1"/>
  <c r="BZ1937" i="1"/>
  <c r="BZ1938" i="1"/>
  <c r="BZ1939" i="1"/>
  <c r="BZ1940" i="1"/>
  <c r="BZ1946" i="1"/>
  <c r="BZ1947" i="1"/>
  <c r="BZ1948" i="1"/>
  <c r="AU1900" i="1"/>
  <c r="BX1899" i="1"/>
  <c r="BG1900" i="1"/>
  <c r="BX1900" i="1"/>
  <c r="BG1901" i="1"/>
  <c r="BX1901" i="1"/>
  <c r="BG1902" i="1"/>
  <c r="BX1902" i="1"/>
  <c r="BG1903" i="1"/>
  <c r="BX1903" i="1"/>
  <c r="BG1904" i="1"/>
  <c r="BX1904" i="1"/>
  <c r="BG1905" i="1"/>
  <c r="BX1905" i="1"/>
  <c r="BG1906" i="1"/>
  <c r="BX1906" i="1"/>
  <c r="BG1907" i="1"/>
  <c r="BX1907" i="1"/>
  <c r="BG1908" i="1"/>
  <c r="BX1908" i="1"/>
  <c r="BG1909" i="1"/>
  <c r="BX1909" i="1"/>
  <c r="BG1910" i="1"/>
  <c r="BX1910" i="1"/>
  <c r="BG1911" i="1"/>
  <c r="BX1911" i="1"/>
  <c r="BG1912" i="1"/>
  <c r="BX1912" i="1"/>
  <c r="BG1913" i="1"/>
  <c r="BX1913" i="1"/>
  <c r="BG1914" i="1"/>
  <c r="BX1914" i="1"/>
  <c r="BG1915" i="1"/>
  <c r="BX1915" i="1"/>
  <c r="BG1916" i="1"/>
  <c r="BX1916" i="1"/>
  <c r="BG1917" i="1"/>
  <c r="BX1917" i="1"/>
  <c r="BG1918" i="1"/>
  <c r="BX1918" i="1"/>
  <c r="BG1919" i="1"/>
  <c r="BX1919" i="1"/>
  <c r="BG1920" i="1"/>
  <c r="BX1920" i="1"/>
  <c r="BG1921" i="1"/>
  <c r="BX1921" i="1"/>
  <c r="BG1922" i="1"/>
  <c r="BX1922" i="1"/>
  <c r="BG1923" i="1"/>
  <c r="BX1923" i="1"/>
  <c r="BG1924" i="1"/>
  <c r="BX1924" i="1"/>
  <c r="BG1925" i="1"/>
  <c r="BX1925" i="1"/>
  <c r="BG1926" i="1"/>
  <c r="BX1926" i="1"/>
  <c r="BG1927" i="1"/>
  <c r="BX1927" i="1"/>
  <c r="BG1928" i="1"/>
  <c r="BX1928" i="1"/>
  <c r="BG1929" i="1"/>
  <c r="BX1929" i="1"/>
  <c r="BG1930" i="1"/>
  <c r="BX1930" i="1"/>
  <c r="BG1931" i="1"/>
  <c r="BX1931" i="1"/>
  <c r="BG1932" i="1"/>
  <c r="BX1932" i="1"/>
  <c r="BG1933" i="1"/>
  <c r="BX1933" i="1"/>
  <c r="BG1934" i="1"/>
  <c r="BX1934" i="1"/>
  <c r="BG1935" i="1"/>
  <c r="BX1935" i="1"/>
  <c r="BG1936" i="1"/>
  <c r="BX1936" i="1"/>
  <c r="BG1937" i="1"/>
  <c r="BX1937" i="1"/>
  <c r="BG1938" i="1"/>
  <c r="BX1938" i="1"/>
  <c r="BG1939" i="1"/>
  <c r="BX1939" i="1"/>
  <c r="BG1940" i="1"/>
  <c r="BX1940" i="1"/>
  <c r="BG1946" i="1"/>
  <c r="BX1946" i="1"/>
  <c r="BG1947" i="1"/>
  <c r="BX1947" i="1"/>
  <c r="BG1948" i="1"/>
  <c r="BX1948" i="1"/>
  <c r="AU1785" i="1"/>
  <c r="BY1639" i="1"/>
  <c r="BG1639" i="1"/>
  <c r="BX1639" i="1"/>
  <c r="BW1639" i="1"/>
  <c r="BV1639" i="1"/>
  <c r="BZ1639" i="1"/>
  <c r="BY1650" i="1"/>
  <c r="BG1650" i="1"/>
  <c r="BY1649" i="1"/>
  <c r="BG1649" i="1"/>
  <c r="BY1648" i="1"/>
  <c r="BG1648" i="1"/>
  <c r="BY1647" i="1"/>
  <c r="BG1647" i="1"/>
  <c r="BY1646" i="1"/>
  <c r="BG1646" i="1"/>
  <c r="BX1650" i="1"/>
  <c r="BX1649" i="1"/>
  <c r="BX1648" i="1"/>
  <c r="BX1647" i="1"/>
  <c r="BX1646" i="1"/>
  <c r="BW1650" i="1"/>
  <c r="BV1650" i="1"/>
  <c r="BW1649" i="1"/>
  <c r="BV1649" i="1"/>
  <c r="BW1648" i="1"/>
  <c r="BV1648" i="1"/>
  <c r="BW1647" i="1"/>
  <c r="BV1647" i="1"/>
  <c r="BW1646" i="1"/>
  <c r="BV1646" i="1"/>
  <c r="BZ1650" i="1"/>
  <c r="BZ1649" i="1"/>
  <c r="BZ1648" i="1"/>
  <c r="BZ1647" i="1"/>
  <c r="BZ1646" i="1"/>
  <c r="BY1651" i="1"/>
  <c r="BG1651" i="1"/>
  <c r="BX1651" i="1"/>
  <c r="BW1651" i="1"/>
  <c r="BV1651" i="1"/>
  <c r="BZ1651" i="1"/>
  <c r="BG1645" i="1"/>
  <c r="BY1634" i="1"/>
  <c r="BG1634" i="1"/>
  <c r="BY1633" i="1"/>
  <c r="BG1633" i="1"/>
  <c r="BY1632" i="1"/>
  <c r="BG1632" i="1"/>
  <c r="BY1631" i="1"/>
  <c r="BG1631" i="1"/>
  <c r="BY1630" i="1"/>
  <c r="BG1630" i="1"/>
  <c r="BY1629" i="1"/>
  <c r="BG1629" i="1"/>
  <c r="BG1615" i="1"/>
  <c r="BY1615" i="1"/>
  <c r="BG1613" i="1"/>
  <c r="BY1613" i="1"/>
  <c r="BG1614" i="1"/>
  <c r="BY1614" i="1"/>
  <c r="BX1634" i="1"/>
  <c r="BX1633" i="1"/>
  <c r="BX1632" i="1"/>
  <c r="BX1631" i="1"/>
  <c r="BX1630" i="1"/>
  <c r="BX1629" i="1"/>
  <c r="BX1615" i="1"/>
  <c r="BX1613" i="1"/>
  <c r="BX1614" i="1"/>
  <c r="BW1634" i="1"/>
  <c r="BV1634" i="1"/>
  <c r="BW1633" i="1"/>
  <c r="BV1633" i="1"/>
  <c r="BW1632" i="1"/>
  <c r="BV1632" i="1"/>
  <c r="BW1631" i="1"/>
  <c r="BV1631" i="1"/>
  <c r="BW1630" i="1"/>
  <c r="BV1630" i="1"/>
  <c r="BW1629" i="1"/>
  <c r="BV1629" i="1"/>
  <c r="BV1615" i="1"/>
  <c r="BW1615" i="1"/>
  <c r="BV1613" i="1"/>
  <c r="BW1613" i="1"/>
  <c r="BV1614" i="1"/>
  <c r="BW1614" i="1"/>
  <c r="AU1565" i="1"/>
  <c r="AS15" i="6"/>
  <c r="BZ1634" i="1"/>
  <c r="BZ1633" i="1"/>
  <c r="BZ1632" i="1"/>
  <c r="BZ1631" i="1"/>
  <c r="BZ1630" i="1"/>
  <c r="BZ1629" i="1"/>
  <c r="BZ1615" i="1"/>
  <c r="BZ1613" i="1"/>
  <c r="BZ1614" i="1"/>
  <c r="AW16" i="6"/>
  <c r="I16" i="6"/>
  <c r="AW15" i="6"/>
  <c r="I15" i="6"/>
  <c r="AR15" i="6"/>
  <c r="BY1635" i="1"/>
  <c r="BG1635" i="1"/>
  <c r="BY1628" i="1"/>
  <c r="BG1628" i="1"/>
  <c r="BY1627" i="1"/>
  <c r="BG1627" i="1"/>
  <c r="BY1626" i="1"/>
  <c r="BG1626" i="1"/>
  <c r="BX1635" i="1"/>
  <c r="BX1628" i="1"/>
  <c r="BX1627" i="1"/>
  <c r="BX1626" i="1"/>
  <c r="BW1635" i="1"/>
  <c r="BV1635" i="1"/>
  <c r="BW1628" i="1"/>
  <c r="BV1628" i="1"/>
  <c r="BW1627" i="1"/>
  <c r="BV1627" i="1"/>
  <c r="BW1626" i="1"/>
  <c r="BV1626" i="1"/>
  <c r="BZ1635" i="1"/>
  <c r="BZ1628" i="1"/>
  <c r="BZ1627" i="1"/>
  <c r="BZ1626" i="1"/>
  <c r="BY1636" i="1"/>
  <c r="BG1636" i="1"/>
  <c r="BY1625" i="1"/>
  <c r="BG1625" i="1"/>
  <c r="BY1624" i="1"/>
  <c r="BG1624" i="1"/>
  <c r="BX1636" i="1"/>
  <c r="BX1625" i="1"/>
  <c r="BX1624" i="1"/>
  <c r="BW1636" i="1"/>
  <c r="BV1636" i="1"/>
  <c r="BW1625" i="1"/>
  <c r="BV1625" i="1"/>
  <c r="BW1624" i="1"/>
  <c r="BV1624" i="1"/>
  <c r="BZ1636" i="1"/>
  <c r="BZ1625" i="1"/>
  <c r="BZ1624" i="1"/>
  <c r="BY1622" i="1"/>
  <c r="BG1622" i="1"/>
  <c r="BY1621" i="1"/>
  <c r="BG1621" i="1"/>
  <c r="BY1620" i="1"/>
  <c r="BG1620" i="1"/>
  <c r="BX1622" i="1"/>
  <c r="BX1621" i="1"/>
  <c r="BX1620" i="1"/>
  <c r="BW1622" i="1"/>
  <c r="BV1622" i="1"/>
  <c r="BW1621" i="1"/>
  <c r="BV1621" i="1"/>
  <c r="BW1620" i="1"/>
  <c r="BV1620" i="1"/>
  <c r="BZ1622" i="1"/>
  <c r="BZ1621" i="1"/>
  <c r="BZ1620" i="1"/>
  <c r="BY1610" i="1"/>
  <c r="BG1610" i="1"/>
  <c r="BY1609" i="1"/>
  <c r="BG1609" i="1"/>
  <c r="BY1608" i="1"/>
  <c r="BG1608" i="1"/>
  <c r="BY1607" i="1"/>
  <c r="BG1607" i="1"/>
  <c r="BY1606" i="1"/>
  <c r="BG1606" i="1"/>
  <c r="BY1605" i="1"/>
  <c r="BG1605" i="1"/>
  <c r="BY1604" i="1"/>
  <c r="BG1604" i="1"/>
  <c r="BY1603" i="1"/>
  <c r="BG1603" i="1"/>
  <c r="BY1602" i="1"/>
  <c r="BG1602" i="1"/>
  <c r="BX1610" i="1"/>
  <c r="BX1609" i="1"/>
  <c r="BX1608" i="1"/>
  <c r="BX1607" i="1"/>
  <c r="BX1606" i="1"/>
  <c r="BX1605" i="1"/>
  <c r="BX1604" i="1"/>
  <c r="BX1603" i="1"/>
  <c r="BX1602" i="1"/>
  <c r="BW1610" i="1"/>
  <c r="BV1610" i="1"/>
  <c r="BW1609" i="1"/>
  <c r="BV1609" i="1"/>
  <c r="BW1608" i="1"/>
  <c r="BV1608" i="1"/>
  <c r="BW1607" i="1"/>
  <c r="BV1607" i="1"/>
  <c r="BW1606" i="1"/>
  <c r="BV1606" i="1"/>
  <c r="BW1605" i="1"/>
  <c r="BV1605" i="1"/>
  <c r="BW1604" i="1"/>
  <c r="BV1604" i="1"/>
  <c r="BW1603" i="1"/>
  <c r="BV1603" i="1"/>
  <c r="BW1602" i="1"/>
  <c r="BV1602" i="1"/>
  <c r="BZ1610" i="1"/>
  <c r="BZ1609" i="1"/>
  <c r="BZ1608" i="1"/>
  <c r="BZ1607" i="1"/>
  <c r="BZ1606" i="1"/>
  <c r="BZ1605" i="1"/>
  <c r="BZ1604" i="1"/>
  <c r="BZ1603" i="1"/>
  <c r="BZ1602" i="1"/>
  <c r="BZ1110" i="1"/>
  <c r="BZ1111" i="1"/>
  <c r="BZ1112" i="1"/>
  <c r="BZ1224" i="1"/>
  <c r="BZ1225" i="1"/>
  <c r="BZ1226" i="1"/>
  <c r="BZ1216" i="1"/>
  <c r="BZ1217" i="1"/>
  <c r="BZ1218" i="1"/>
  <c r="BZ1219" i="1"/>
  <c r="BZ1220" i="1"/>
  <c r="BZ1221" i="1"/>
  <c r="BZ1222" i="1"/>
  <c r="BZ1223" i="1"/>
  <c r="BZ1200" i="1"/>
  <c r="BZ1201" i="1"/>
  <c r="BZ1202" i="1"/>
  <c r="BZ1203" i="1"/>
  <c r="BZ1204" i="1"/>
  <c r="BZ1205" i="1"/>
  <c r="BZ1206" i="1"/>
  <c r="BZ1207" i="1"/>
  <c r="BZ1208" i="1"/>
  <c r="BZ1209" i="1"/>
  <c r="BZ1210" i="1"/>
  <c r="BZ1211" i="1"/>
  <c r="BZ1212" i="1"/>
  <c r="BZ1213" i="1"/>
  <c r="BZ1214" i="1"/>
  <c r="BZ1215" i="1"/>
  <c r="BZ1280" i="1"/>
  <c r="BZ1281" i="1"/>
  <c r="BZ1282" i="1"/>
  <c r="BZ1338" i="1"/>
  <c r="BZ1339" i="1"/>
  <c r="BZ1340" i="1"/>
  <c r="BZ1341" i="1"/>
  <c r="BZ1342" i="1"/>
  <c r="BZ1343" i="1"/>
  <c r="BZ1344" i="1"/>
  <c r="BZ1345" i="1"/>
  <c r="BZ1346" i="1"/>
  <c r="BZ1347" i="1"/>
  <c r="BZ1326" i="1"/>
  <c r="BZ1327" i="1"/>
  <c r="BZ1328" i="1"/>
  <c r="BZ1329" i="1"/>
  <c r="BZ1330" i="1"/>
  <c r="BZ1331" i="1"/>
  <c r="BZ1332" i="1"/>
  <c r="BZ1333" i="1"/>
  <c r="BZ1334" i="1"/>
  <c r="BZ1335" i="1"/>
  <c r="BZ1336" i="1"/>
  <c r="BZ1337" i="1"/>
  <c r="BY1351" i="1"/>
  <c r="BY1352" i="1"/>
  <c r="BY1353" i="1"/>
  <c r="BY1354" i="1"/>
  <c r="BY1355" i="1"/>
  <c r="BY1618" i="1"/>
  <c r="BG1618" i="1"/>
  <c r="BY1617" i="1"/>
  <c r="BG1617" i="1"/>
  <c r="BY1616" i="1"/>
  <c r="BG1616" i="1"/>
  <c r="BY1612" i="1"/>
  <c r="BG1612" i="1"/>
  <c r="BY1611" i="1"/>
  <c r="BG1611" i="1"/>
  <c r="BY1389" i="1"/>
  <c r="BY1390" i="1"/>
  <c r="BY1391" i="1"/>
  <c r="BY1392" i="1"/>
  <c r="BY1393" i="1"/>
  <c r="BY1394" i="1"/>
  <c r="BY1395" i="1"/>
  <c r="BY1396" i="1"/>
  <c r="BY1397" i="1"/>
  <c r="BY1398" i="1"/>
  <c r="BY1399" i="1"/>
  <c r="BY1400" i="1"/>
  <c r="BY1401" i="1"/>
  <c r="BY1402" i="1"/>
  <c r="BY1403" i="1"/>
  <c r="BY1404" i="1"/>
  <c r="BY1405" i="1"/>
  <c r="BY1406" i="1"/>
  <c r="BY1407" i="1"/>
  <c r="BY1408" i="1"/>
  <c r="BY1409" i="1"/>
  <c r="BY1410" i="1"/>
  <c r="BY1411" i="1"/>
  <c r="BY1412" i="1"/>
  <c r="BY1413" i="1"/>
  <c r="BY1414" i="1"/>
  <c r="BY1415" i="1"/>
  <c r="BY1416" i="1"/>
  <c r="BY1417" i="1"/>
  <c r="BY1418" i="1"/>
  <c r="BY1419" i="1"/>
  <c r="BY1420" i="1"/>
  <c r="BY1421" i="1"/>
  <c r="BY1422" i="1"/>
  <c r="BY1423" i="1"/>
  <c r="BY1424" i="1"/>
  <c r="BY1425" i="1"/>
  <c r="BY1426" i="1"/>
  <c r="BY1427" i="1"/>
  <c r="BY1428" i="1"/>
  <c r="BY1429" i="1"/>
  <c r="BY1430" i="1"/>
  <c r="BY1431" i="1"/>
  <c r="BY1432" i="1"/>
  <c r="BY1433" i="1"/>
  <c r="BY1434" i="1"/>
  <c r="BY1435" i="1"/>
  <c r="BY1436" i="1"/>
  <c r="BY1437" i="1"/>
  <c r="BY1438" i="1"/>
  <c r="BY1439" i="1"/>
  <c r="BY1440" i="1"/>
  <c r="BY1441" i="1"/>
  <c r="BY1442" i="1"/>
  <c r="BY1443" i="1"/>
  <c r="BY1444" i="1"/>
  <c r="BY1445" i="1"/>
  <c r="BY1446" i="1"/>
  <c r="BY1447" i="1"/>
  <c r="BY1448" i="1"/>
  <c r="BY1449" i="1"/>
  <c r="BY1450" i="1"/>
  <c r="BY1451" i="1"/>
  <c r="BY1452" i="1"/>
  <c r="BY1453" i="1"/>
  <c r="BY1454" i="1"/>
  <c r="BY1455" i="1"/>
  <c r="BY1456" i="1"/>
  <c r="BY1457" i="1"/>
  <c r="BY1458" i="1"/>
  <c r="BY1459" i="1"/>
  <c r="BY1460" i="1"/>
  <c r="BY1461" i="1"/>
  <c r="BY1462" i="1"/>
  <c r="BY1463" i="1"/>
  <c r="BY1464" i="1"/>
  <c r="BY1465" i="1"/>
  <c r="BY1466" i="1"/>
  <c r="BY1467" i="1"/>
  <c r="BY1468" i="1"/>
  <c r="BY1469" i="1"/>
  <c r="BY1470" i="1"/>
  <c r="BY1471" i="1"/>
  <c r="BY1472" i="1"/>
  <c r="BY1473" i="1"/>
  <c r="BY1474" i="1"/>
  <c r="BY1475" i="1"/>
  <c r="BY1476" i="1"/>
  <c r="BY1477" i="1"/>
  <c r="BY1478" i="1"/>
  <c r="BY1479" i="1"/>
  <c r="BY1480" i="1"/>
  <c r="BY1481" i="1"/>
  <c r="BY1482" i="1"/>
  <c r="BY1483" i="1"/>
  <c r="BY1484" i="1"/>
  <c r="BY1485" i="1"/>
  <c r="BY1486" i="1"/>
  <c r="BY1487" i="1"/>
  <c r="BY1488" i="1"/>
  <c r="BY1489" i="1"/>
  <c r="BY1490" i="1"/>
  <c r="BY1491" i="1"/>
  <c r="BY1492" i="1"/>
  <c r="BY1493" i="1"/>
  <c r="BY1494" i="1"/>
  <c r="BY1495" i="1"/>
  <c r="BY1496" i="1"/>
  <c r="BY1497" i="1"/>
  <c r="BY1498" i="1"/>
  <c r="BY1499" i="1"/>
  <c r="BY1500" i="1"/>
  <c r="BY1501" i="1"/>
  <c r="BY1502" i="1"/>
  <c r="BY1503" i="1"/>
  <c r="BY1504" i="1"/>
  <c r="BY1505" i="1"/>
  <c r="BY1506" i="1"/>
  <c r="BY1507" i="1"/>
  <c r="BY1508" i="1"/>
  <c r="BY1509" i="1"/>
  <c r="BY1510" i="1"/>
  <c r="BY1511" i="1"/>
  <c r="BY1512" i="1"/>
  <c r="BY1513" i="1"/>
  <c r="BY1514" i="1"/>
  <c r="BY1515" i="1"/>
  <c r="BY1516" i="1"/>
  <c r="BY1517" i="1"/>
  <c r="BY1518" i="1"/>
  <c r="BY1519" i="1"/>
  <c r="BY1520" i="1"/>
  <c r="BY1521" i="1"/>
  <c r="BY1522" i="1"/>
  <c r="BY1523" i="1"/>
  <c r="BY1524" i="1"/>
  <c r="BY1525" i="1"/>
  <c r="BY1526" i="1"/>
  <c r="BY1527" i="1"/>
  <c r="BY1528" i="1"/>
  <c r="BY1529" i="1"/>
  <c r="BY1530" i="1"/>
  <c r="BY1531" i="1"/>
  <c r="BY1532" i="1"/>
  <c r="BY1533" i="1"/>
  <c r="BY1534" i="1"/>
  <c r="BY1535" i="1"/>
  <c r="BY1536" i="1"/>
  <c r="BY1537" i="1"/>
  <c r="BY1538" i="1"/>
  <c r="BY1539" i="1"/>
  <c r="BY1540" i="1"/>
  <c r="BY1541" i="1"/>
  <c r="BY1542" i="1"/>
  <c r="BY1543" i="1"/>
  <c r="BY1544" i="1"/>
  <c r="BY1545" i="1"/>
  <c r="BY1546" i="1"/>
  <c r="BY1547" i="1"/>
  <c r="BY1548" i="1"/>
  <c r="BY1549" i="1"/>
  <c r="BY1550" i="1"/>
  <c r="BY1551" i="1"/>
  <c r="BY1552" i="1"/>
  <c r="BY1553" i="1"/>
  <c r="BY1554" i="1"/>
  <c r="BY1555" i="1"/>
  <c r="BY1556" i="1"/>
  <c r="BY1557" i="1"/>
  <c r="BY1558" i="1"/>
  <c r="BY1559" i="1"/>
  <c r="BY1560" i="1"/>
  <c r="BY1561" i="1"/>
  <c r="BY1562" i="1"/>
  <c r="BY1563" i="1"/>
  <c r="BY1564" i="1"/>
  <c r="BY1565" i="1"/>
  <c r="BY1566" i="1"/>
  <c r="BY1567" i="1"/>
  <c r="BY1568" i="1"/>
  <c r="BY1569" i="1"/>
  <c r="BY1570" i="1"/>
  <c r="BY1571" i="1"/>
  <c r="BY1572" i="1"/>
  <c r="BY1573" i="1"/>
  <c r="BY1574" i="1"/>
  <c r="BY1575" i="1"/>
  <c r="BY1576" i="1"/>
  <c r="BY1577" i="1"/>
  <c r="BY1578" i="1"/>
  <c r="BY1579" i="1"/>
  <c r="BY1580" i="1"/>
  <c r="BY1581" i="1"/>
  <c r="BY1582" i="1"/>
  <c r="BY1583" i="1"/>
  <c r="BY1584" i="1"/>
  <c r="BY1585" i="1"/>
  <c r="BY1586" i="1"/>
  <c r="BY1587" i="1"/>
  <c r="BY1588" i="1"/>
  <c r="BY1589" i="1"/>
  <c r="BY1590" i="1"/>
  <c r="BY1591" i="1"/>
  <c r="BY1592" i="1"/>
  <c r="BY1593" i="1"/>
  <c r="BY1594" i="1"/>
  <c r="BY1595" i="1"/>
  <c r="BY1596" i="1"/>
  <c r="BY1597" i="1"/>
  <c r="BY1598" i="1"/>
  <c r="BY1599" i="1"/>
  <c r="BY1600" i="1"/>
  <c r="BY1601" i="1"/>
  <c r="BY1619" i="1"/>
  <c r="BY1623" i="1"/>
  <c r="BY1637" i="1"/>
  <c r="BY1638" i="1"/>
  <c r="BY1640" i="1"/>
  <c r="BY1641" i="1"/>
  <c r="BY1642" i="1"/>
  <c r="BY1643" i="1"/>
  <c r="BY1644" i="1"/>
  <c r="BY1388" i="1"/>
  <c r="AU1394" i="1"/>
  <c r="BX1618" i="1"/>
  <c r="BX1617" i="1"/>
  <c r="BX1616" i="1"/>
  <c r="BX1612" i="1"/>
  <c r="BX1611" i="1"/>
  <c r="BX1393" i="1"/>
  <c r="BX1394" i="1"/>
  <c r="BX1395" i="1"/>
  <c r="BX1396" i="1"/>
  <c r="BX1397" i="1"/>
  <c r="BX1398" i="1"/>
  <c r="BX1399" i="1"/>
  <c r="BX1400" i="1"/>
  <c r="BX1401" i="1"/>
  <c r="BX1402" i="1"/>
  <c r="BX1403" i="1"/>
  <c r="BX1404" i="1"/>
  <c r="BX1405" i="1"/>
  <c r="BX1406" i="1"/>
  <c r="BX1407" i="1"/>
  <c r="BX1408" i="1"/>
  <c r="BX1409" i="1"/>
  <c r="BX1410" i="1"/>
  <c r="BX1411" i="1"/>
  <c r="BX1412" i="1"/>
  <c r="BX1413" i="1"/>
  <c r="BX1414" i="1"/>
  <c r="BX1415" i="1"/>
  <c r="BX1416" i="1"/>
  <c r="BX1417" i="1"/>
  <c r="BX1418" i="1"/>
  <c r="BX1419" i="1"/>
  <c r="BX1420" i="1"/>
  <c r="BX1421" i="1"/>
  <c r="BX1422" i="1"/>
  <c r="BX1423" i="1"/>
  <c r="BX1424" i="1"/>
  <c r="BX1425" i="1"/>
  <c r="BX1426" i="1"/>
  <c r="BX1427" i="1"/>
  <c r="BX1428" i="1"/>
  <c r="BX1429" i="1"/>
  <c r="BX1430" i="1"/>
  <c r="BX1431" i="1"/>
  <c r="BX1432" i="1"/>
  <c r="BX1433" i="1"/>
  <c r="BX1434" i="1"/>
  <c r="BX1435" i="1"/>
  <c r="BX1436" i="1"/>
  <c r="BX1437" i="1"/>
  <c r="BX1438" i="1"/>
  <c r="BX1439" i="1"/>
  <c r="BX1440" i="1"/>
  <c r="BX1441" i="1"/>
  <c r="BX1442" i="1"/>
  <c r="BX1443" i="1"/>
  <c r="BX1444" i="1"/>
  <c r="BX1445" i="1"/>
  <c r="BX1446" i="1"/>
  <c r="BX1447" i="1"/>
  <c r="BX1448" i="1"/>
  <c r="BX1449" i="1"/>
  <c r="BX1450" i="1"/>
  <c r="BX1451" i="1"/>
  <c r="BX1452" i="1"/>
  <c r="BX1453" i="1"/>
  <c r="BX1454" i="1"/>
  <c r="BX1455" i="1"/>
  <c r="BX1456" i="1"/>
  <c r="BX1457" i="1"/>
  <c r="BX1458" i="1"/>
  <c r="BX1459" i="1"/>
  <c r="BX1460" i="1"/>
  <c r="BX1461" i="1"/>
  <c r="BX1462" i="1"/>
  <c r="BX1463" i="1"/>
  <c r="BX1464" i="1"/>
  <c r="BX1465" i="1"/>
  <c r="BX1466" i="1"/>
  <c r="BX1467" i="1"/>
  <c r="BX1468" i="1"/>
  <c r="BX1469" i="1"/>
  <c r="BX1470" i="1"/>
  <c r="BX1471" i="1"/>
  <c r="BX1472" i="1"/>
  <c r="BX1473" i="1"/>
  <c r="BX1474" i="1"/>
  <c r="BX1475" i="1"/>
  <c r="BX1476" i="1"/>
  <c r="BX1477" i="1"/>
  <c r="BX1478" i="1"/>
  <c r="BX1479" i="1"/>
  <c r="BX1480" i="1"/>
  <c r="BX1481" i="1"/>
  <c r="BX1482" i="1"/>
  <c r="BX1483" i="1"/>
  <c r="BX1484" i="1"/>
  <c r="BX1485" i="1"/>
  <c r="BX1486" i="1"/>
  <c r="BX1487" i="1"/>
  <c r="BX1488" i="1"/>
  <c r="BX1489" i="1"/>
  <c r="BX1490" i="1"/>
  <c r="BX1491" i="1"/>
  <c r="BX1492" i="1"/>
  <c r="BX1493" i="1"/>
  <c r="BX1494" i="1"/>
  <c r="BX1495" i="1"/>
  <c r="BX1496" i="1"/>
  <c r="BX1497" i="1"/>
  <c r="BX1498" i="1"/>
  <c r="BX1499" i="1"/>
  <c r="BX1500" i="1"/>
  <c r="BX1501" i="1"/>
  <c r="BX1502" i="1"/>
  <c r="BX1503" i="1"/>
  <c r="BX1504" i="1"/>
  <c r="BX1505" i="1"/>
  <c r="BX1506" i="1"/>
  <c r="BX1507" i="1"/>
  <c r="BX1508" i="1"/>
  <c r="BX1509" i="1"/>
  <c r="BX1510" i="1"/>
  <c r="BX1511" i="1"/>
  <c r="BX1512" i="1"/>
  <c r="BX1513" i="1"/>
  <c r="BX1514" i="1"/>
  <c r="BX1515" i="1"/>
  <c r="BX1516" i="1"/>
  <c r="BX1517" i="1"/>
  <c r="BX1518" i="1"/>
  <c r="BX1519" i="1"/>
  <c r="BX1520" i="1"/>
  <c r="BX1521" i="1"/>
  <c r="BX1522" i="1"/>
  <c r="BX1523" i="1"/>
  <c r="BX1524" i="1"/>
  <c r="BX1525" i="1"/>
  <c r="BX1526" i="1"/>
  <c r="BX1527" i="1"/>
  <c r="BX1528" i="1"/>
  <c r="BX1529" i="1"/>
  <c r="BX1530" i="1"/>
  <c r="BX1531" i="1"/>
  <c r="BX1532" i="1"/>
  <c r="BX1533" i="1"/>
  <c r="BX1534" i="1"/>
  <c r="BX1535" i="1"/>
  <c r="BX1536" i="1"/>
  <c r="BX1537" i="1"/>
  <c r="BX1538" i="1"/>
  <c r="BX1539" i="1"/>
  <c r="BX1540" i="1"/>
  <c r="BX1541" i="1"/>
  <c r="BX1542" i="1"/>
  <c r="BX1543" i="1"/>
  <c r="BX1544" i="1"/>
  <c r="BX1545" i="1"/>
  <c r="BX1546" i="1"/>
  <c r="BX1547" i="1"/>
  <c r="BX1548" i="1"/>
  <c r="BX1549" i="1"/>
  <c r="BX1550" i="1"/>
  <c r="BX1551" i="1"/>
  <c r="BX1552" i="1"/>
  <c r="BX1553" i="1"/>
  <c r="BX1554" i="1"/>
  <c r="BX1555" i="1"/>
  <c r="BX1556" i="1"/>
  <c r="BX1557" i="1"/>
  <c r="BX1558" i="1"/>
  <c r="BX1559" i="1"/>
  <c r="BX1560" i="1"/>
  <c r="BX1561" i="1"/>
  <c r="BX1562" i="1"/>
  <c r="BX1563" i="1"/>
  <c r="BX1564" i="1"/>
  <c r="BX1565" i="1"/>
  <c r="BX1566" i="1"/>
  <c r="BX1567" i="1"/>
  <c r="BX1568" i="1"/>
  <c r="BX1569" i="1"/>
  <c r="BX1570" i="1"/>
  <c r="BX1571" i="1"/>
  <c r="BX1572" i="1"/>
  <c r="BX1573" i="1"/>
  <c r="BX1574" i="1"/>
  <c r="BX1575" i="1"/>
  <c r="BX1576" i="1"/>
  <c r="BX1577" i="1"/>
  <c r="BX1578" i="1"/>
  <c r="BX1579" i="1"/>
  <c r="BX1580" i="1"/>
  <c r="BX1581" i="1"/>
  <c r="BX1582" i="1"/>
  <c r="BX1583" i="1"/>
  <c r="BX1584" i="1"/>
  <c r="BX1585" i="1"/>
  <c r="BX1586" i="1"/>
  <c r="BX1587" i="1"/>
  <c r="BX1588" i="1"/>
  <c r="BX1589" i="1"/>
  <c r="BX1590" i="1"/>
  <c r="BX1591" i="1"/>
  <c r="BX1592" i="1"/>
  <c r="BX1593" i="1"/>
  <c r="BX1594" i="1"/>
  <c r="BX1595" i="1"/>
  <c r="BX1596" i="1"/>
  <c r="BX1597" i="1"/>
  <c r="BX1598" i="1"/>
  <c r="BX1599" i="1"/>
  <c r="BX1600" i="1"/>
  <c r="BX1601" i="1"/>
  <c r="BX1619" i="1"/>
  <c r="BX1623" i="1"/>
  <c r="BX1637" i="1"/>
  <c r="BX1638" i="1"/>
  <c r="BX1640" i="1"/>
  <c r="BX1641" i="1"/>
  <c r="BX1642" i="1"/>
  <c r="BX1643" i="1"/>
  <c r="BX1644" i="1"/>
  <c r="BY1356" i="1"/>
  <c r="BY1369" i="1"/>
  <c r="BY1370" i="1"/>
  <c r="BY1371" i="1"/>
  <c r="BY1372" i="1"/>
  <c r="BY1373" i="1"/>
  <c r="BW1618" i="1"/>
  <c r="BV1618" i="1"/>
  <c r="BW1617" i="1"/>
  <c r="BV1617" i="1"/>
  <c r="BW1616" i="1"/>
  <c r="BV1616" i="1"/>
  <c r="BW1612" i="1"/>
  <c r="BV1612" i="1"/>
  <c r="BW1611" i="1"/>
  <c r="BV1611" i="1"/>
  <c r="BY1364" i="1"/>
  <c r="BY1365" i="1"/>
  <c r="BZ1130" i="1"/>
  <c r="BZ1131" i="1"/>
  <c r="BZ1132" i="1"/>
  <c r="BZ1133" i="1"/>
  <c r="BZ1134" i="1"/>
  <c r="BZ1135" i="1"/>
  <c r="BZ1136" i="1"/>
  <c r="BZ1137" i="1"/>
  <c r="BZ1138" i="1"/>
  <c r="BZ1102" i="1"/>
  <c r="BZ1103" i="1"/>
  <c r="BZ1104" i="1"/>
  <c r="BZ1105" i="1"/>
  <c r="BZ1125" i="1"/>
  <c r="BZ1126" i="1"/>
  <c r="BZ1127" i="1"/>
  <c r="BZ1128" i="1"/>
  <c r="BZ1129" i="1"/>
  <c r="BZ1113" i="1"/>
  <c r="BZ1114" i="1"/>
  <c r="BZ1115" i="1"/>
  <c r="BZ1116" i="1"/>
  <c r="BZ1117" i="1"/>
  <c r="BZ1118" i="1"/>
  <c r="BZ1119" i="1"/>
  <c r="BZ1120" i="1"/>
  <c r="BZ1121" i="1"/>
  <c r="BZ1122" i="1"/>
  <c r="BZ1123" i="1"/>
  <c r="BZ1124" i="1"/>
  <c r="BM1404" i="1"/>
  <c r="BY1367" i="1"/>
  <c r="BY1366" i="1"/>
  <c r="BZ1109" i="1"/>
  <c r="BZ1087" i="1"/>
  <c r="BZ1088" i="1"/>
  <c r="BZ1089" i="1"/>
  <c r="BZ1090" i="1"/>
  <c r="BZ1091" i="1"/>
  <c r="BZ1092" i="1"/>
  <c r="BZ1093" i="1"/>
  <c r="BZ1094" i="1"/>
  <c r="BZ1095" i="1"/>
  <c r="BZ1096" i="1"/>
  <c r="BZ1097" i="1"/>
  <c r="BZ1098" i="1"/>
  <c r="BY1361" i="1"/>
  <c r="BY1362" i="1"/>
  <c r="BY1363" i="1"/>
  <c r="BY1357" i="1"/>
  <c r="BY1358" i="1"/>
  <c r="BY1359" i="1"/>
  <c r="BY1360" i="1"/>
  <c r="BZ1108" i="1"/>
  <c r="BZ1100" i="1"/>
  <c r="BZ1101" i="1"/>
  <c r="BY1368" i="1"/>
  <c r="BZ1107" i="1"/>
  <c r="BZ1106" i="1"/>
  <c r="BZ1193" i="1"/>
  <c r="BZ1194" i="1"/>
  <c r="BZ1195" i="1"/>
  <c r="BZ1196" i="1"/>
  <c r="BZ1197" i="1"/>
  <c r="BZ1198" i="1"/>
  <c r="BZ1199" i="1"/>
  <c r="BZ1139" i="1"/>
  <c r="BZ1140" i="1"/>
  <c r="BZ1141" i="1"/>
  <c r="BZ1142" i="1"/>
  <c r="BZ1143" i="1"/>
  <c r="BZ1144" i="1"/>
  <c r="BZ1145" i="1"/>
  <c r="BZ1146" i="1"/>
  <c r="BZ1147" i="1"/>
  <c r="BZ1148" i="1"/>
  <c r="BZ1149" i="1"/>
  <c r="BZ1150" i="1"/>
  <c r="BZ1151" i="1"/>
  <c r="BZ1152" i="1"/>
  <c r="BZ1153" i="1"/>
  <c r="BZ1154" i="1"/>
  <c r="BZ1155" i="1"/>
  <c r="BZ1156" i="1"/>
  <c r="BZ1157" i="1"/>
  <c r="BZ1158" i="1"/>
  <c r="BZ1159" i="1"/>
  <c r="BZ1160" i="1"/>
  <c r="BZ1161" i="1"/>
  <c r="BZ1162" i="1"/>
  <c r="BZ1163" i="1"/>
  <c r="BZ1164" i="1"/>
  <c r="BZ1165" i="1"/>
  <c r="BZ1166" i="1"/>
  <c r="BZ1167" i="1"/>
  <c r="BZ1168" i="1"/>
  <c r="BZ1169" i="1"/>
  <c r="BZ1170" i="1"/>
  <c r="BZ1171" i="1"/>
  <c r="BZ1172" i="1"/>
  <c r="BZ1173" i="1"/>
  <c r="BZ1174" i="1"/>
  <c r="BZ1175" i="1"/>
  <c r="BZ1176" i="1"/>
  <c r="BZ1177" i="1"/>
  <c r="BZ1178" i="1"/>
  <c r="BZ1179" i="1"/>
  <c r="BZ1180" i="1"/>
  <c r="BZ1181" i="1"/>
  <c r="BZ1182" i="1"/>
  <c r="BZ1183" i="1"/>
  <c r="BZ1184" i="1"/>
  <c r="BZ1185" i="1"/>
  <c r="BZ1186" i="1"/>
  <c r="BZ1187" i="1"/>
  <c r="BZ1188" i="1"/>
  <c r="BZ1189" i="1"/>
  <c r="BZ1190" i="1"/>
  <c r="BZ1191" i="1"/>
  <c r="BZ1192" i="1"/>
  <c r="BZ1320" i="1"/>
  <c r="BZ1321" i="1"/>
  <c r="BZ1322" i="1"/>
  <c r="BZ1323" i="1"/>
  <c r="BZ1324" i="1"/>
  <c r="BZ1325" i="1"/>
  <c r="BZ1283" i="1"/>
  <c r="BZ1284" i="1"/>
  <c r="BZ1285" i="1"/>
  <c r="BZ1286" i="1"/>
  <c r="BZ1287" i="1"/>
  <c r="BZ1288" i="1"/>
  <c r="BZ1289" i="1"/>
  <c r="BZ1290" i="1"/>
  <c r="BZ1291" i="1"/>
  <c r="BZ1292" i="1"/>
  <c r="BZ1293" i="1"/>
  <c r="BZ1294" i="1"/>
  <c r="BZ1295" i="1"/>
  <c r="BZ1296" i="1"/>
  <c r="BZ1297" i="1"/>
  <c r="BZ1298" i="1"/>
  <c r="BZ1299" i="1"/>
  <c r="BZ1300" i="1"/>
  <c r="BZ1301" i="1"/>
  <c r="BZ1302" i="1"/>
  <c r="BZ1303" i="1"/>
  <c r="BZ1304" i="1"/>
  <c r="BZ1305" i="1"/>
  <c r="BZ1306" i="1"/>
  <c r="BZ1307" i="1"/>
  <c r="BZ1308" i="1"/>
  <c r="BZ1309" i="1"/>
  <c r="BZ1310" i="1"/>
  <c r="BZ1311" i="1"/>
  <c r="BZ1312" i="1"/>
  <c r="BZ1313" i="1"/>
  <c r="BZ1314" i="1"/>
  <c r="BZ1315" i="1"/>
  <c r="BZ1316" i="1"/>
  <c r="BZ1317" i="1"/>
  <c r="BZ1318" i="1"/>
  <c r="BZ1319" i="1"/>
  <c r="BY1375" i="1"/>
  <c r="BZ1099" i="1"/>
  <c r="BY1374" i="1"/>
  <c r="BZ1227" i="1"/>
  <c r="BZ1228" i="1"/>
  <c r="BZ1229" i="1"/>
  <c r="BZ1230" i="1"/>
  <c r="BZ1231" i="1"/>
  <c r="BZ1232" i="1"/>
  <c r="BZ1233" i="1"/>
  <c r="BZ1234" i="1"/>
  <c r="BZ1235" i="1"/>
  <c r="BZ1236" i="1"/>
  <c r="BZ1237" i="1"/>
  <c r="BZ1238" i="1"/>
  <c r="BZ1239" i="1"/>
  <c r="BZ1240" i="1"/>
  <c r="BZ1241" i="1"/>
  <c r="BZ1242" i="1"/>
  <c r="BZ1243" i="1"/>
  <c r="BZ1244" i="1"/>
  <c r="BZ1245" i="1"/>
  <c r="BZ1246" i="1"/>
  <c r="BZ1247" i="1"/>
  <c r="BZ1248" i="1"/>
  <c r="BZ1249" i="1"/>
  <c r="BZ1250" i="1"/>
  <c r="BZ1251" i="1"/>
  <c r="BZ1252" i="1"/>
  <c r="BZ1253" i="1"/>
  <c r="BZ1254" i="1"/>
  <c r="BZ1255" i="1"/>
  <c r="BZ1256" i="1"/>
  <c r="BZ1257" i="1"/>
  <c r="BZ1258" i="1"/>
  <c r="BZ1259" i="1"/>
  <c r="BZ1260" i="1"/>
  <c r="BZ1261" i="1"/>
  <c r="BZ1262" i="1"/>
  <c r="BZ1263" i="1"/>
  <c r="BZ1264" i="1"/>
  <c r="BZ1265" i="1"/>
  <c r="BZ1266" i="1"/>
  <c r="BZ1267" i="1"/>
  <c r="BZ1268" i="1"/>
  <c r="BZ1269" i="1"/>
  <c r="BZ1270" i="1"/>
  <c r="BZ1271" i="1"/>
  <c r="BZ1272" i="1"/>
  <c r="BZ1273" i="1"/>
  <c r="BZ1274" i="1"/>
  <c r="BZ1275" i="1"/>
  <c r="BZ1276" i="1"/>
  <c r="BZ1277" i="1"/>
  <c r="BZ1278" i="1"/>
  <c r="BZ1279" i="1"/>
  <c r="AU1408" i="1"/>
  <c r="BZ1618" i="1"/>
  <c r="BZ1617" i="1"/>
  <c r="BZ1616" i="1"/>
  <c r="BZ1612" i="1"/>
  <c r="BZ1611" i="1"/>
  <c r="BZ1407" i="1"/>
  <c r="BZ1408" i="1"/>
  <c r="BZ1409" i="1"/>
  <c r="BZ1410" i="1"/>
  <c r="BZ1411" i="1"/>
  <c r="BZ1412" i="1"/>
  <c r="BZ1413" i="1"/>
  <c r="BZ1414" i="1"/>
  <c r="BZ1415" i="1"/>
  <c r="BZ1416" i="1"/>
  <c r="BZ1417" i="1"/>
  <c r="BZ1418" i="1"/>
  <c r="BZ1419" i="1"/>
  <c r="BZ1420" i="1"/>
  <c r="BZ1421" i="1"/>
  <c r="BZ1422" i="1"/>
  <c r="BZ1423" i="1"/>
  <c r="BZ1424" i="1"/>
  <c r="BZ1425" i="1"/>
  <c r="BZ1426" i="1"/>
  <c r="BZ1427" i="1"/>
  <c r="BZ1428" i="1"/>
  <c r="BZ1429" i="1"/>
  <c r="BZ1430" i="1"/>
  <c r="BZ1431" i="1"/>
  <c r="BZ1432" i="1"/>
  <c r="BZ1433" i="1"/>
  <c r="BZ1434" i="1"/>
  <c r="BZ1435" i="1"/>
  <c r="BZ1436" i="1"/>
  <c r="BZ1437" i="1"/>
  <c r="BZ1438" i="1"/>
  <c r="BZ1439" i="1"/>
  <c r="BZ1440" i="1"/>
  <c r="BZ1441" i="1"/>
  <c r="BZ1442" i="1"/>
  <c r="BZ1443" i="1"/>
  <c r="BZ1444" i="1"/>
  <c r="BZ1445" i="1"/>
  <c r="BZ1446" i="1"/>
  <c r="BZ1447" i="1"/>
  <c r="BZ1448" i="1"/>
  <c r="BZ1449" i="1"/>
  <c r="BZ1450" i="1"/>
  <c r="BZ1451" i="1"/>
  <c r="BZ1452" i="1"/>
  <c r="BZ1453" i="1"/>
  <c r="BZ1454" i="1"/>
  <c r="BZ1455" i="1"/>
  <c r="BZ1456" i="1"/>
  <c r="BZ1457" i="1"/>
  <c r="BZ1458" i="1"/>
  <c r="BZ1459" i="1"/>
  <c r="BZ1460" i="1"/>
  <c r="BZ1461" i="1"/>
  <c r="BZ1462" i="1"/>
  <c r="BZ1463" i="1"/>
  <c r="BZ1464" i="1"/>
  <c r="BZ1465" i="1"/>
  <c r="BZ1466" i="1"/>
  <c r="BZ1467" i="1"/>
  <c r="BZ1468" i="1"/>
  <c r="BZ1469" i="1"/>
  <c r="BZ1470" i="1"/>
  <c r="BZ1471" i="1"/>
  <c r="BZ1472" i="1"/>
  <c r="BZ1473" i="1"/>
  <c r="BZ1474" i="1"/>
  <c r="BZ1475" i="1"/>
  <c r="BZ1476" i="1"/>
  <c r="BZ1477" i="1"/>
  <c r="BZ1478" i="1"/>
  <c r="BZ1479" i="1"/>
  <c r="BZ1480" i="1"/>
  <c r="BZ1481" i="1"/>
  <c r="BZ1482" i="1"/>
  <c r="BZ1483" i="1"/>
  <c r="BZ1484" i="1"/>
  <c r="BZ1485" i="1"/>
  <c r="BZ1486" i="1"/>
  <c r="BZ1487" i="1"/>
  <c r="BZ1488" i="1"/>
  <c r="BZ1489" i="1"/>
  <c r="BZ1490" i="1"/>
  <c r="BZ1491" i="1"/>
  <c r="BZ1492" i="1"/>
  <c r="BZ1493" i="1"/>
  <c r="BZ1494" i="1"/>
  <c r="BZ1495" i="1"/>
  <c r="BZ1496" i="1"/>
  <c r="BZ1497" i="1"/>
  <c r="BZ1498" i="1"/>
  <c r="BZ1499" i="1"/>
  <c r="BZ1500" i="1"/>
  <c r="BZ1501" i="1"/>
  <c r="BZ1502" i="1"/>
  <c r="BZ1503" i="1"/>
  <c r="BZ1504" i="1"/>
  <c r="BZ1505" i="1"/>
  <c r="BZ1506" i="1"/>
  <c r="BZ1507" i="1"/>
  <c r="BZ1508" i="1"/>
  <c r="BZ1509" i="1"/>
  <c r="BZ1510" i="1"/>
  <c r="BZ1511" i="1"/>
  <c r="BZ1512" i="1"/>
  <c r="BZ1513" i="1"/>
  <c r="BZ1514" i="1"/>
  <c r="BZ1515" i="1"/>
  <c r="BZ1516" i="1"/>
  <c r="BZ1517" i="1"/>
  <c r="BZ1518" i="1"/>
  <c r="BZ1519" i="1"/>
  <c r="BZ1520" i="1"/>
  <c r="BZ1521" i="1"/>
  <c r="BZ1522" i="1"/>
  <c r="BZ1523" i="1"/>
  <c r="BZ1524" i="1"/>
  <c r="BZ1525" i="1"/>
  <c r="BZ1526" i="1"/>
  <c r="BZ1527" i="1"/>
  <c r="BZ1528" i="1"/>
  <c r="BZ1529" i="1"/>
  <c r="BZ1530" i="1"/>
  <c r="BZ1531" i="1"/>
  <c r="BZ1532" i="1"/>
  <c r="BZ1533" i="1"/>
  <c r="BZ1534" i="1"/>
  <c r="BZ1535" i="1"/>
  <c r="BZ1536" i="1"/>
  <c r="BZ1537" i="1"/>
  <c r="BZ1538" i="1"/>
  <c r="BZ1539" i="1"/>
  <c r="BZ1540" i="1"/>
  <c r="BZ1541" i="1"/>
  <c r="BZ1542" i="1"/>
  <c r="BZ1543" i="1"/>
  <c r="BZ1544" i="1"/>
  <c r="BZ1545" i="1"/>
  <c r="BZ1546" i="1"/>
  <c r="BZ1547" i="1"/>
  <c r="BZ1548" i="1"/>
  <c r="BZ1549" i="1"/>
  <c r="BZ1550" i="1"/>
  <c r="BZ1551" i="1"/>
  <c r="BZ1552" i="1"/>
  <c r="BZ1553" i="1"/>
  <c r="BZ1554" i="1"/>
  <c r="BZ1555" i="1"/>
  <c r="BZ1556" i="1"/>
  <c r="BZ1557" i="1"/>
  <c r="BZ1558" i="1"/>
  <c r="BZ1559" i="1"/>
  <c r="BZ1560" i="1"/>
  <c r="BZ1561" i="1"/>
  <c r="BZ1562" i="1"/>
  <c r="BZ1563" i="1"/>
  <c r="BZ1564" i="1"/>
  <c r="BZ1565" i="1"/>
  <c r="BZ1566" i="1"/>
  <c r="BZ1567" i="1"/>
  <c r="BZ1568" i="1"/>
  <c r="BZ1569" i="1"/>
  <c r="BZ1570" i="1"/>
  <c r="BZ1571" i="1"/>
  <c r="BZ1572" i="1"/>
  <c r="BZ1573" i="1"/>
  <c r="BZ1574" i="1"/>
  <c r="BZ1575" i="1"/>
  <c r="BZ1576" i="1"/>
  <c r="BZ1577" i="1"/>
  <c r="BZ1578" i="1"/>
  <c r="BZ1579" i="1"/>
  <c r="BZ1580" i="1"/>
  <c r="BZ1581" i="1"/>
  <c r="BZ1582" i="1"/>
  <c r="BZ1583" i="1"/>
  <c r="BZ1584" i="1"/>
  <c r="BZ1585" i="1"/>
  <c r="BZ1586" i="1"/>
  <c r="BZ1587" i="1"/>
  <c r="BZ1588" i="1"/>
  <c r="BZ1589" i="1"/>
  <c r="BZ1590" i="1"/>
  <c r="BZ1591" i="1"/>
  <c r="BZ1592" i="1"/>
  <c r="BZ1593" i="1"/>
  <c r="BZ1594" i="1"/>
  <c r="BZ1595" i="1"/>
  <c r="BZ1596" i="1"/>
  <c r="BZ1597" i="1"/>
  <c r="BZ1598" i="1"/>
  <c r="BZ1599" i="1"/>
  <c r="BZ1600" i="1"/>
  <c r="BZ1601" i="1"/>
  <c r="BZ1619" i="1"/>
  <c r="BZ1623" i="1"/>
  <c r="BZ1637" i="1"/>
  <c r="BZ1638" i="1"/>
  <c r="BZ1640" i="1"/>
  <c r="BZ1641" i="1"/>
  <c r="BZ1642" i="1"/>
  <c r="BZ1643" i="1"/>
  <c r="BZ1644" i="1"/>
  <c r="AV364" i="1"/>
  <c r="AX12" i="6"/>
  <c r="H11" i="6"/>
  <c r="H12" i="6"/>
  <c r="H17" i="6"/>
  <c r="AX11" i="6"/>
  <c r="AX14" i="6"/>
  <c r="BM1405" i="1"/>
  <c r="AU1595" i="1"/>
  <c r="E16" i="6"/>
  <c r="AX8" i="6"/>
  <c r="AV385" i="1"/>
  <c r="AU385" i="1" s="1"/>
  <c r="BG1598" i="1"/>
  <c r="BG1597" i="1"/>
  <c r="BG1596" i="1"/>
  <c r="BG1595" i="1"/>
  <c r="BG1594" i="1"/>
  <c r="BG1593" i="1"/>
  <c r="BG1592" i="1"/>
  <c r="BG1584" i="1"/>
  <c r="BW1598" i="1"/>
  <c r="BV1598" i="1"/>
  <c r="BW1597" i="1"/>
  <c r="BV1597" i="1"/>
  <c r="BW1596" i="1"/>
  <c r="BV1596" i="1"/>
  <c r="BW1595" i="1"/>
  <c r="BV1595" i="1"/>
  <c r="BW1594" i="1"/>
  <c r="BV1594" i="1"/>
  <c r="BW1593" i="1"/>
  <c r="BV1593" i="1"/>
  <c r="BW1592" i="1"/>
  <c r="BV1592" i="1"/>
  <c r="BV1584" i="1"/>
  <c r="BW1584" i="1"/>
  <c r="BG1599" i="1"/>
  <c r="BG1591" i="1"/>
  <c r="BG1590" i="1"/>
  <c r="BG1589" i="1"/>
  <c r="BG1588" i="1"/>
  <c r="BG1587" i="1"/>
  <c r="BG1586" i="1"/>
  <c r="BW1599" i="1"/>
  <c r="BV1599" i="1"/>
  <c r="BW1591" i="1"/>
  <c r="BV1591" i="1"/>
  <c r="BW1590" i="1"/>
  <c r="BV1590" i="1"/>
  <c r="BW1589" i="1"/>
  <c r="BV1589" i="1"/>
  <c r="BW1588" i="1"/>
  <c r="BV1588" i="1"/>
  <c r="BW1587" i="1"/>
  <c r="BV1587" i="1"/>
  <c r="BW1586" i="1"/>
  <c r="BV1586" i="1"/>
  <c r="BG1580" i="1"/>
  <c r="BG1579" i="1"/>
  <c r="BG1578" i="1"/>
  <c r="BG1577" i="1"/>
  <c r="BG1576" i="1"/>
  <c r="BG1575" i="1"/>
  <c r="BG1574" i="1"/>
  <c r="BG1573" i="1"/>
  <c r="BW1580" i="1"/>
  <c r="BV1580" i="1"/>
  <c r="BW1579" i="1"/>
  <c r="BV1579" i="1"/>
  <c r="BW1578" i="1"/>
  <c r="BV1578" i="1"/>
  <c r="BW1577" i="1"/>
  <c r="BV1577" i="1"/>
  <c r="BW1576" i="1"/>
  <c r="BV1576" i="1"/>
  <c r="BW1575" i="1"/>
  <c r="BV1575" i="1"/>
  <c r="BW1574" i="1"/>
  <c r="BV1574" i="1"/>
  <c r="BW1573" i="1"/>
  <c r="BV1573" i="1"/>
  <c r="BG1600" i="1"/>
  <c r="BG1585" i="1"/>
  <c r="BG1583" i="1"/>
  <c r="BG1582" i="1"/>
  <c r="BG1581" i="1"/>
  <c r="BW1600" i="1"/>
  <c r="BV1600" i="1"/>
  <c r="BW1585" i="1"/>
  <c r="BV1585" i="1"/>
  <c r="BW1583" i="1"/>
  <c r="BV1583" i="1"/>
  <c r="BW1582" i="1"/>
  <c r="BV1582" i="1"/>
  <c r="BW1581" i="1"/>
  <c r="BV1581" i="1"/>
  <c r="BG1623" i="1"/>
  <c r="BG1619" i="1"/>
  <c r="BG1601" i="1"/>
  <c r="BW1623" i="1"/>
  <c r="BV1623" i="1"/>
  <c r="BW1619" i="1"/>
  <c r="BV1619" i="1"/>
  <c r="BW1601" i="1"/>
  <c r="BV1601" i="1"/>
  <c r="BW1414" i="1"/>
  <c r="BW1415" i="1"/>
  <c r="BW1416" i="1"/>
  <c r="BW1417" i="1"/>
  <c r="BW1418" i="1"/>
  <c r="BW1419" i="1"/>
  <c r="BW1420" i="1"/>
  <c r="BW1421" i="1"/>
  <c r="BW1422" i="1"/>
  <c r="BW1423" i="1"/>
  <c r="BW1424" i="1"/>
  <c r="BW1425" i="1"/>
  <c r="BW1426" i="1"/>
  <c r="BW1427" i="1"/>
  <c r="BW1428" i="1"/>
  <c r="BW1429" i="1"/>
  <c r="BW1430" i="1"/>
  <c r="BW1431" i="1"/>
  <c r="BW1432" i="1"/>
  <c r="BW1433" i="1"/>
  <c r="BW1434" i="1"/>
  <c r="BW1435" i="1"/>
  <c r="BW1436" i="1"/>
  <c r="BW1437" i="1"/>
  <c r="BW1438" i="1"/>
  <c r="BW1439" i="1"/>
  <c r="BW1440" i="1"/>
  <c r="BW1441" i="1"/>
  <c r="BW1442" i="1"/>
  <c r="BW1443" i="1"/>
  <c r="BW1444" i="1"/>
  <c r="BW1445" i="1"/>
  <c r="BW1446" i="1"/>
  <c r="BW1447" i="1"/>
  <c r="BW1448" i="1"/>
  <c r="BW1449" i="1"/>
  <c r="BW1450" i="1"/>
  <c r="BW1451" i="1"/>
  <c r="BW1452" i="1"/>
  <c r="BW1453" i="1"/>
  <c r="BW1454" i="1"/>
  <c r="BW1455" i="1"/>
  <c r="BW1456" i="1"/>
  <c r="BW1457" i="1"/>
  <c r="BW1458" i="1"/>
  <c r="BW1459" i="1"/>
  <c r="BW1460" i="1"/>
  <c r="BW1461" i="1"/>
  <c r="BW1462" i="1"/>
  <c r="BW1463" i="1"/>
  <c r="BW1464" i="1"/>
  <c r="BW1465" i="1"/>
  <c r="BW1466" i="1"/>
  <c r="BW1467" i="1"/>
  <c r="BW1468" i="1"/>
  <c r="BW1469" i="1"/>
  <c r="BW1470" i="1"/>
  <c r="BW1471" i="1"/>
  <c r="BW1472" i="1"/>
  <c r="BW1473" i="1"/>
  <c r="BW1474" i="1"/>
  <c r="BW1475" i="1"/>
  <c r="BW1476" i="1"/>
  <c r="BW1477" i="1"/>
  <c r="BW1478" i="1"/>
  <c r="BW1479" i="1"/>
  <c r="BW1480" i="1"/>
  <c r="BW1481" i="1"/>
  <c r="BW1482" i="1"/>
  <c r="BW1483" i="1"/>
  <c r="BW1484" i="1"/>
  <c r="BW1485" i="1"/>
  <c r="BW1486" i="1"/>
  <c r="BW1487" i="1"/>
  <c r="BW1488" i="1"/>
  <c r="BW1489" i="1"/>
  <c r="BW1490" i="1"/>
  <c r="BW1491" i="1"/>
  <c r="BW1492" i="1"/>
  <c r="BW1493" i="1"/>
  <c r="BW1494" i="1"/>
  <c r="BW1495" i="1"/>
  <c r="BW1496" i="1"/>
  <c r="BW1497" i="1"/>
  <c r="BW1498" i="1"/>
  <c r="BW1499" i="1"/>
  <c r="BW1500" i="1"/>
  <c r="BW1501" i="1"/>
  <c r="BW1502" i="1"/>
  <c r="BW1503" i="1"/>
  <c r="BW1504" i="1"/>
  <c r="BW1505" i="1"/>
  <c r="BW1506" i="1"/>
  <c r="BW1507" i="1"/>
  <c r="BW1508" i="1"/>
  <c r="BW1509" i="1"/>
  <c r="BW1510" i="1"/>
  <c r="BW1511" i="1"/>
  <c r="BW1512" i="1"/>
  <c r="BW1513" i="1"/>
  <c r="BW1514" i="1"/>
  <c r="BW1515" i="1"/>
  <c r="BW1516" i="1"/>
  <c r="BW1517" i="1"/>
  <c r="BW1518" i="1"/>
  <c r="BW1519" i="1"/>
  <c r="BW1520" i="1"/>
  <c r="BW1521" i="1"/>
  <c r="BW1522" i="1"/>
  <c r="BW1523" i="1"/>
  <c r="BW1524" i="1"/>
  <c r="BW1525" i="1"/>
  <c r="BW1526" i="1"/>
  <c r="BW1527" i="1"/>
  <c r="BW1528" i="1"/>
  <c r="BW1529" i="1"/>
  <c r="BW1530" i="1"/>
  <c r="BW1531" i="1"/>
  <c r="BW1532" i="1"/>
  <c r="BW1533" i="1"/>
  <c r="BW1534" i="1"/>
  <c r="BW1535" i="1"/>
  <c r="BW1536" i="1"/>
  <c r="BW1537" i="1"/>
  <c r="BW1538" i="1"/>
  <c r="BW1539" i="1"/>
  <c r="BW1540" i="1"/>
  <c r="BW1541" i="1"/>
  <c r="BW1542" i="1"/>
  <c r="BW1543" i="1"/>
  <c r="BW1544" i="1"/>
  <c r="BW1545" i="1"/>
  <c r="BW1546" i="1"/>
  <c r="BW1547" i="1"/>
  <c r="BW1548" i="1"/>
  <c r="BW1549" i="1"/>
  <c r="BW1550" i="1"/>
  <c r="BW1551" i="1"/>
  <c r="BW1552" i="1"/>
  <c r="BW1553" i="1"/>
  <c r="BW1554" i="1"/>
  <c r="BW1555" i="1"/>
  <c r="BW1556" i="1"/>
  <c r="BW1557" i="1"/>
  <c r="BW1558" i="1"/>
  <c r="BW1559" i="1"/>
  <c r="BW1560" i="1"/>
  <c r="BW1561" i="1"/>
  <c r="BW1562" i="1"/>
  <c r="BW1563" i="1"/>
  <c r="BW1564" i="1"/>
  <c r="BW1565" i="1"/>
  <c r="BW1566" i="1"/>
  <c r="BW1567" i="1"/>
  <c r="BW1568" i="1"/>
  <c r="BW1569" i="1"/>
  <c r="BW1570" i="1"/>
  <c r="BW1571" i="1"/>
  <c r="BW1572" i="1"/>
  <c r="BW1637" i="1"/>
  <c r="BW1638" i="1"/>
  <c r="BW1640" i="1"/>
  <c r="BW1641" i="1"/>
  <c r="BW1642" i="1"/>
  <c r="BW1643" i="1"/>
  <c r="BW1644" i="1"/>
  <c r="BV1414" i="1"/>
  <c r="BV1415" i="1"/>
  <c r="BV1416" i="1"/>
  <c r="BV1417" i="1"/>
  <c r="BV1418" i="1"/>
  <c r="BV1419" i="1"/>
  <c r="BV1420" i="1"/>
  <c r="BV1421" i="1"/>
  <c r="BV1422" i="1"/>
  <c r="BV1423" i="1"/>
  <c r="BV1424" i="1"/>
  <c r="BV1425" i="1"/>
  <c r="BV1426" i="1"/>
  <c r="BV1427" i="1"/>
  <c r="BV1428" i="1"/>
  <c r="BV1429" i="1"/>
  <c r="BV1430" i="1"/>
  <c r="BV1431" i="1"/>
  <c r="BV1432" i="1"/>
  <c r="BV1433" i="1"/>
  <c r="BV1434" i="1"/>
  <c r="BV1435" i="1"/>
  <c r="BV1436" i="1"/>
  <c r="BV1437" i="1"/>
  <c r="BV1438" i="1"/>
  <c r="BV1439" i="1"/>
  <c r="BV1440" i="1"/>
  <c r="BV1441" i="1"/>
  <c r="BV1442" i="1"/>
  <c r="BV1443" i="1"/>
  <c r="BV1444" i="1"/>
  <c r="BV1445" i="1"/>
  <c r="BV1446" i="1"/>
  <c r="BV1447" i="1"/>
  <c r="BV1448" i="1"/>
  <c r="BV1449" i="1"/>
  <c r="BV1450" i="1"/>
  <c r="BV1451" i="1"/>
  <c r="BV1452" i="1"/>
  <c r="BV1453" i="1"/>
  <c r="BV1454" i="1"/>
  <c r="BV1455" i="1"/>
  <c r="BV1456" i="1"/>
  <c r="BV1457" i="1"/>
  <c r="BV1458" i="1"/>
  <c r="BV1459" i="1"/>
  <c r="BV1460" i="1"/>
  <c r="BV1461" i="1"/>
  <c r="BV1462" i="1"/>
  <c r="BV1463" i="1"/>
  <c r="BV1464" i="1"/>
  <c r="BV1465" i="1"/>
  <c r="BV1466" i="1"/>
  <c r="BV1467" i="1"/>
  <c r="BV1468" i="1"/>
  <c r="BV1469" i="1"/>
  <c r="BV1470" i="1"/>
  <c r="BV1471" i="1"/>
  <c r="BV1472" i="1"/>
  <c r="BV1473" i="1"/>
  <c r="BV1474" i="1"/>
  <c r="BV1475" i="1"/>
  <c r="BV1476" i="1"/>
  <c r="BV1477" i="1"/>
  <c r="BV1478" i="1"/>
  <c r="BV1479" i="1"/>
  <c r="BV1480" i="1"/>
  <c r="BV1481" i="1"/>
  <c r="BV1482" i="1"/>
  <c r="BV1483" i="1"/>
  <c r="BV1484" i="1"/>
  <c r="BV1485" i="1"/>
  <c r="BV1486" i="1"/>
  <c r="BV1487" i="1"/>
  <c r="BV1488" i="1"/>
  <c r="BV1489" i="1"/>
  <c r="BV1490" i="1"/>
  <c r="BV1491" i="1"/>
  <c r="BV1492" i="1"/>
  <c r="BV1493" i="1"/>
  <c r="BV1494" i="1"/>
  <c r="BV1495" i="1"/>
  <c r="BV1496" i="1"/>
  <c r="BV1497" i="1"/>
  <c r="BV1498" i="1"/>
  <c r="BV1499" i="1"/>
  <c r="BV1500" i="1"/>
  <c r="BV1501" i="1"/>
  <c r="BV1502" i="1"/>
  <c r="BV1503" i="1"/>
  <c r="BV1504" i="1"/>
  <c r="BV1505" i="1"/>
  <c r="BV1506" i="1"/>
  <c r="BV1507" i="1"/>
  <c r="BV1508" i="1"/>
  <c r="BV1509" i="1"/>
  <c r="BV1510" i="1"/>
  <c r="BV1511" i="1"/>
  <c r="BV1512" i="1"/>
  <c r="BV1513" i="1"/>
  <c r="BV1514" i="1"/>
  <c r="BV1515" i="1"/>
  <c r="BV1516" i="1"/>
  <c r="BV1517" i="1"/>
  <c r="BV1518" i="1"/>
  <c r="BV1519" i="1"/>
  <c r="BV1520" i="1"/>
  <c r="BV1521" i="1"/>
  <c r="BV1522" i="1"/>
  <c r="BV1523" i="1"/>
  <c r="BV1524" i="1"/>
  <c r="BV1525" i="1"/>
  <c r="BV1526" i="1"/>
  <c r="BV1527" i="1"/>
  <c r="BV1528" i="1"/>
  <c r="BV1529" i="1"/>
  <c r="BV1530" i="1"/>
  <c r="BV1531" i="1"/>
  <c r="BV1532" i="1"/>
  <c r="BV1533" i="1"/>
  <c r="BV1534" i="1"/>
  <c r="BV1535" i="1"/>
  <c r="BV1536" i="1"/>
  <c r="BV1537" i="1"/>
  <c r="BV1538" i="1"/>
  <c r="BV1539" i="1"/>
  <c r="BV1540" i="1"/>
  <c r="BV1541" i="1"/>
  <c r="BV1542" i="1"/>
  <c r="BV1543" i="1"/>
  <c r="BV1544" i="1"/>
  <c r="BV1545" i="1"/>
  <c r="BV1546" i="1"/>
  <c r="BV1547" i="1"/>
  <c r="BV1548" i="1"/>
  <c r="BV1549" i="1"/>
  <c r="BV1550" i="1"/>
  <c r="BV1551" i="1"/>
  <c r="BV1552" i="1"/>
  <c r="BV1553" i="1"/>
  <c r="BV1554" i="1"/>
  <c r="BV1555" i="1"/>
  <c r="BV1556" i="1"/>
  <c r="BV1557" i="1"/>
  <c r="BV1558" i="1"/>
  <c r="BV1559" i="1"/>
  <c r="BV1560" i="1"/>
  <c r="BV1561" i="1"/>
  <c r="BV1562" i="1"/>
  <c r="BV1563" i="1"/>
  <c r="BV1564" i="1"/>
  <c r="BV1565" i="1"/>
  <c r="BV1566" i="1"/>
  <c r="BV1567" i="1"/>
  <c r="BV1568" i="1"/>
  <c r="BV1569" i="1"/>
  <c r="BV1570" i="1"/>
  <c r="BV1571" i="1"/>
  <c r="BV1572" i="1"/>
  <c r="BV1637" i="1"/>
  <c r="BV1638" i="1"/>
  <c r="BV1640" i="1"/>
  <c r="BV1641" i="1"/>
  <c r="BV1642" i="1"/>
  <c r="BV1643" i="1"/>
  <c r="BV1644" i="1"/>
  <c r="BG1569" i="1"/>
  <c r="BG1568" i="1"/>
  <c r="BG1567" i="1"/>
  <c r="BG1566" i="1"/>
  <c r="BG1565" i="1"/>
  <c r="BG1564" i="1"/>
  <c r="BG1563" i="1"/>
  <c r="BG1637" i="1"/>
  <c r="BG1572" i="1"/>
  <c r="BG1571" i="1"/>
  <c r="BG1570" i="1"/>
  <c r="BG1555" i="1"/>
  <c r="BG1561" i="1"/>
  <c r="BG1560" i="1"/>
  <c r="BG1559" i="1"/>
  <c r="BG1558" i="1"/>
  <c r="BG1557" i="1"/>
  <c r="BG1556" i="1"/>
  <c r="BG1554" i="1"/>
  <c r="BG1641" i="1"/>
  <c r="BG1640" i="1"/>
  <c r="BG1638" i="1"/>
  <c r="BG1562" i="1"/>
  <c r="BG1553" i="1"/>
  <c r="BG1552" i="1"/>
  <c r="BG1551" i="1"/>
  <c r="BG1550" i="1"/>
  <c r="BG1549" i="1"/>
  <c r="BG1548" i="1"/>
  <c r="BG1547" i="1"/>
  <c r="BG1546" i="1"/>
  <c r="BG1643" i="1"/>
  <c r="BG1642" i="1"/>
  <c r="BG1534" i="1"/>
  <c r="BG1540" i="1"/>
  <c r="BG1539" i="1"/>
  <c r="BG1538" i="1"/>
  <c r="BG1537" i="1"/>
  <c r="BG1536" i="1"/>
  <c r="BG1535" i="1"/>
  <c r="BI1537" i="1"/>
  <c r="BG1544" i="1"/>
  <c r="BG1543" i="1"/>
  <c r="BG1542" i="1"/>
  <c r="BG1541" i="1"/>
  <c r="BL1544" i="1"/>
  <c r="BG1533" i="1"/>
  <c r="BG1545" i="1"/>
  <c r="BG1532" i="1"/>
  <c r="BG1530" i="1"/>
  <c r="BG1529" i="1"/>
  <c r="BG1528" i="1"/>
  <c r="BI1528" i="1"/>
  <c r="BG1644" i="1"/>
  <c r="BG1531" i="1"/>
  <c r="BI1644" i="1"/>
  <c r="BG1515" i="1"/>
  <c r="BG1527" i="1"/>
  <c r="AU1527" i="1"/>
  <c r="BG1513" i="1"/>
  <c r="BG1512" i="1"/>
  <c r="BG1511" i="1"/>
  <c r="BG1514" i="1"/>
  <c r="BG1510" i="1"/>
  <c r="BG1505" i="1"/>
  <c r="BG1504" i="1"/>
  <c r="BG1503" i="1"/>
  <c r="BG1502" i="1"/>
  <c r="BG1501" i="1"/>
  <c r="BG1500" i="1"/>
  <c r="BI1502" i="1"/>
  <c r="BG1508" i="1"/>
  <c r="BG1507" i="1"/>
  <c r="BG1506" i="1"/>
  <c r="BI1507" i="1"/>
  <c r="BG1509" i="1"/>
  <c r="BG1493" i="1"/>
  <c r="BG1492" i="1"/>
  <c r="BG1491" i="1"/>
  <c r="BG1490" i="1"/>
  <c r="BG1489" i="1"/>
  <c r="BG1496" i="1"/>
  <c r="BG1495" i="1"/>
  <c r="BG1494" i="1"/>
  <c r="BI1495" i="1"/>
  <c r="BG1498" i="1"/>
  <c r="BG1497" i="1"/>
  <c r="BL1497" i="1"/>
  <c r="BG1499" i="1"/>
  <c r="BG1479" i="1"/>
  <c r="BI1479" i="1"/>
  <c r="BG1480" i="1"/>
  <c r="BG1467" i="1"/>
  <c r="BG1468" i="1"/>
  <c r="BG1469" i="1"/>
  <c r="BG1470" i="1"/>
  <c r="BG1471" i="1"/>
  <c r="BG1472" i="1"/>
  <c r="BG1473" i="1"/>
  <c r="BG1474" i="1"/>
  <c r="BG1475" i="1"/>
  <c r="BG1476" i="1"/>
  <c r="BG1477" i="1"/>
  <c r="BG1478" i="1"/>
  <c r="BG1481" i="1"/>
  <c r="BG1482" i="1"/>
  <c r="BG1483" i="1"/>
  <c r="BG1484" i="1"/>
  <c r="BL1470" i="1"/>
  <c r="BI1475" i="1"/>
  <c r="BG1485" i="1"/>
  <c r="BG1466" i="1"/>
  <c r="BG1465" i="1"/>
  <c r="BG1464" i="1"/>
  <c r="BI1464" i="1"/>
  <c r="AU1344" i="1"/>
  <c r="E20" i="6"/>
  <c r="O20" i="6" s="1"/>
  <c r="BG1462" i="1"/>
  <c r="BG1461" i="1"/>
  <c r="BG1460" i="1"/>
  <c r="BG1459" i="1"/>
  <c r="BG1458" i="1"/>
  <c r="BG1457" i="1"/>
  <c r="BI1462" i="1"/>
  <c r="BG1488" i="1"/>
  <c r="BG1487" i="1"/>
  <c r="BG1486" i="1"/>
  <c r="BG1463" i="1"/>
  <c r="AS301" i="2"/>
  <c r="AR301" i="2" s="1"/>
  <c r="BG1454" i="1"/>
  <c r="AS303" i="2"/>
  <c r="AR303" i="2" s="1"/>
  <c r="BM1406" i="1"/>
  <c r="BM1403" i="1"/>
  <c r="BM1399" i="1"/>
  <c r="BM1398" i="1"/>
  <c r="BM1397" i="1"/>
  <c r="AV425" i="1"/>
  <c r="AS313" i="2"/>
  <c r="AR313" i="2" s="1"/>
  <c r="AS295" i="2"/>
  <c r="AR295" i="2" s="1"/>
  <c r="AV467" i="1"/>
  <c r="AU467" i="1" s="1"/>
  <c r="BI1396" i="1"/>
  <c r="BI1408" i="1"/>
  <c r="BI1414" i="1"/>
  <c r="BI1420" i="1"/>
  <c r="BI1423" i="1"/>
  <c r="BI1429" i="1"/>
  <c r="BI1432" i="1"/>
  <c r="BI1438" i="1"/>
  <c r="BI1441" i="1"/>
  <c r="BI1447" i="1"/>
  <c r="BI1450" i="1"/>
  <c r="BI1516" i="1"/>
  <c r="BI1522" i="1"/>
  <c r="BG1518" i="1"/>
  <c r="BG1517" i="1"/>
  <c r="BG1516" i="1"/>
  <c r="BG1456" i="1"/>
  <c r="BG1455" i="1"/>
  <c r="BG1520" i="1"/>
  <c r="BG1519" i="1"/>
  <c r="BG1526" i="1"/>
  <c r="BG1525" i="1"/>
  <c r="AU1393" i="1"/>
  <c r="H18" i="6"/>
  <c r="BG1523" i="1"/>
  <c r="BG1524" i="1"/>
  <c r="BG1522" i="1"/>
  <c r="E18" i="6"/>
  <c r="AU1405" i="1"/>
  <c r="H19" i="6"/>
  <c r="AU1423" i="1"/>
  <c r="E19" i="6"/>
  <c r="AU1450" i="1"/>
  <c r="E17" i="6"/>
  <c r="J17" i="6"/>
  <c r="G17" i="6"/>
  <c r="J18" i="6"/>
  <c r="G18" i="6"/>
  <c r="J19" i="6"/>
  <c r="G19" i="6"/>
  <c r="J20" i="6"/>
  <c r="Q20" i="6" s="1"/>
  <c r="G20" i="6"/>
  <c r="V17" i="6"/>
  <c r="S17" i="6"/>
  <c r="V18" i="6"/>
  <c r="S18" i="6"/>
  <c r="V19" i="6"/>
  <c r="S19" i="6"/>
  <c r="V20" i="6"/>
  <c r="S20" i="6"/>
  <c r="BL1394" i="1"/>
  <c r="BL1397" i="1"/>
  <c r="BL1398" i="1"/>
  <c r="BL1401" i="1"/>
  <c r="BL1403" i="1"/>
  <c r="BL1406" i="1"/>
  <c r="BL1407" i="1"/>
  <c r="BL1410" i="1"/>
  <c r="BL1412" i="1"/>
  <c r="BL1415" i="1"/>
  <c r="BL1416" i="1"/>
  <c r="BL1419" i="1"/>
  <c r="BL1421" i="1"/>
  <c r="BL1424" i="1"/>
  <c r="BL1425" i="1"/>
  <c r="BL1428" i="1"/>
  <c r="BL1430" i="1"/>
  <c r="BL1433" i="1"/>
  <c r="BL1434" i="1"/>
  <c r="BL1437" i="1"/>
  <c r="BL1439" i="1"/>
  <c r="BL1442" i="1"/>
  <c r="BL1443" i="1"/>
  <c r="BL1446" i="1"/>
  <c r="BL1448" i="1"/>
  <c r="BL1451" i="1"/>
  <c r="BL1452" i="1"/>
  <c r="BL1522" i="1"/>
  <c r="BG1388" i="1"/>
  <c r="BG1449" i="1"/>
  <c r="BG1448" i="1"/>
  <c r="BG1447" i="1"/>
  <c r="BG1446" i="1"/>
  <c r="BG1445" i="1"/>
  <c r="BG1444" i="1"/>
  <c r="BG1443" i="1"/>
  <c r="BG1453" i="1"/>
  <c r="BG1452" i="1"/>
  <c r="BG1451" i="1"/>
  <c r="BG1450" i="1"/>
  <c r="BG1521" i="1"/>
  <c r="BG1437" i="1"/>
  <c r="BG1436" i="1"/>
  <c r="BG1435" i="1"/>
  <c r="BG1434" i="1"/>
  <c r="BG1433" i="1"/>
  <c r="BG1432" i="1"/>
  <c r="BG1431" i="1"/>
  <c r="BG1430" i="1"/>
  <c r="BG1441" i="1"/>
  <c r="BG1440" i="1"/>
  <c r="BG1439" i="1"/>
  <c r="BG1438" i="1"/>
  <c r="BG1442" i="1"/>
  <c r="BG1429" i="1"/>
  <c r="BG1427" i="1"/>
  <c r="BG1426" i="1"/>
  <c r="BG1425" i="1"/>
  <c r="BG1424" i="1"/>
  <c r="BG1423" i="1"/>
  <c r="BG1422" i="1"/>
  <c r="BG1421" i="1"/>
  <c r="BG1420" i="1"/>
  <c r="E8" i="6"/>
  <c r="BG1428" i="1"/>
  <c r="BG1419" i="1"/>
  <c r="BG1418" i="1"/>
  <c r="BG1414" i="1"/>
  <c r="BG1413" i="1"/>
  <c r="BG1412" i="1"/>
  <c r="BG1411" i="1"/>
  <c r="BG1410" i="1"/>
  <c r="BG1416" i="1"/>
  <c r="BG1415" i="1"/>
  <c r="BG1409" i="1"/>
  <c r="BG1408" i="1"/>
  <c r="AV553" i="1"/>
  <c r="AU553" i="1" s="1"/>
  <c r="BG1417" i="1"/>
  <c r="AV336" i="1"/>
  <c r="AU336" i="1" s="1"/>
  <c r="AV538" i="1"/>
  <c r="AU538" i="1" s="1"/>
  <c r="AV320" i="1"/>
  <c r="AU320" i="1" s="1"/>
  <c r="AV396" i="1"/>
  <c r="AU396" i="1" s="1"/>
  <c r="BG1402" i="1"/>
  <c r="BG1403" i="1"/>
  <c r="BG1404" i="1"/>
  <c r="BG1405" i="1"/>
  <c r="AV499" i="1"/>
  <c r="AU499" i="1" s="1"/>
  <c r="AV314" i="1"/>
  <c r="BG1406" i="1"/>
  <c r="BG1401" i="1"/>
  <c r="BG1400" i="1"/>
  <c r="AU1389" i="1"/>
  <c r="BG1407" i="1"/>
  <c r="BG1390" i="1"/>
  <c r="BG1391" i="1"/>
  <c r="BG1392" i="1"/>
  <c r="BG1393" i="1"/>
  <c r="BG1394" i="1"/>
  <c r="BG1395" i="1"/>
  <c r="BG1396" i="1"/>
  <c r="BG1397" i="1"/>
  <c r="BG1398" i="1"/>
  <c r="BG1399" i="1"/>
  <c r="BG1389" i="1"/>
  <c r="AU1341" i="1"/>
  <c r="AU1351" i="1"/>
  <c r="AU1293" i="1"/>
  <c r="AU1228" i="1"/>
  <c r="AU1271" i="1"/>
  <c r="AU1082" i="1"/>
  <c r="E10" i="6"/>
  <c r="AU1239" i="1"/>
  <c r="AU1232" i="1"/>
  <c r="AU1087" i="1"/>
  <c r="AU997" i="1"/>
  <c r="AU957" i="1"/>
  <c r="AU923" i="1"/>
  <c r="AU808" i="1"/>
  <c r="AU813" i="1"/>
  <c r="E7" i="6"/>
  <c r="AU830" i="1"/>
  <c r="AU701" i="1"/>
  <c r="AW8" i="6"/>
  <c r="AV449" i="1"/>
  <c r="AU449" i="1" s="1"/>
  <c r="AV356" i="1"/>
  <c r="AU356" i="1" s="1"/>
  <c r="AV450" i="1"/>
  <c r="AU450" i="1" s="1"/>
  <c r="AV451" i="1"/>
  <c r="AU451" i="1" s="1"/>
  <c r="AV448" i="1"/>
  <c r="AU448" i="1" s="1"/>
  <c r="AV371" i="1"/>
  <c r="AU371" i="1" s="1"/>
  <c r="AS285" i="2"/>
  <c r="AR285" i="2" s="1"/>
  <c r="AV323" i="1"/>
  <c r="AU323" i="1" s="1"/>
  <c r="AV381" i="1"/>
  <c r="AU381" i="1" s="1"/>
  <c r="AV398" i="1"/>
  <c r="AU398" i="1" s="1"/>
  <c r="AS315" i="2"/>
  <c r="AR315" i="2" s="1"/>
  <c r="AV318" i="1"/>
  <c r="AU318" i="1" s="1"/>
  <c r="AV380" i="1"/>
  <c r="AU380" i="1" s="1"/>
  <c r="AV382" i="1"/>
  <c r="AU382" i="1" s="1"/>
  <c r="AS258" i="2"/>
  <c r="AR258" i="2" s="1"/>
  <c r="AV285" i="1"/>
  <c r="AU285" i="1" s="1"/>
  <c r="AV290" i="1"/>
  <c r="AU290" i="1" s="1"/>
  <c r="AV286" i="1"/>
  <c r="AU286" i="1" s="1"/>
  <c r="AV299" i="1"/>
  <c r="AU299" i="1" s="1"/>
  <c r="AV347" i="1"/>
  <c r="AV399" i="1"/>
  <c r="AU399" i="1" s="1"/>
  <c r="AV452" i="1"/>
  <c r="AU452" i="1" s="1"/>
  <c r="AS222" i="2"/>
  <c r="AR222" i="2" s="1"/>
  <c r="AV250" i="1"/>
  <c r="AV383" i="1"/>
  <c r="AU383" i="1" s="1"/>
  <c r="AV574" i="1"/>
  <c r="AU574" i="1" s="1"/>
  <c r="AS81" i="2"/>
  <c r="AR81" i="2" s="1"/>
  <c r="AV433" i="1"/>
  <c r="AU433" i="1" s="1"/>
  <c r="AS247" i="2"/>
  <c r="AR247" i="2" s="1"/>
  <c r="AV394" i="1"/>
  <c r="AV410" i="1"/>
  <c r="AU410" i="1" s="1"/>
  <c r="AV438" i="1"/>
  <c r="AU438" i="1" s="1"/>
  <c r="AS178" i="2"/>
  <c r="AR178" i="2" s="1"/>
  <c r="AS207" i="2"/>
  <c r="AR207" i="2" s="1"/>
  <c r="AV326" i="1"/>
  <c r="AU326" i="1" s="1"/>
  <c r="AV368" i="1"/>
  <c r="AU368" i="1" s="1"/>
  <c r="AV539" i="1"/>
  <c r="AU539" i="1" s="1"/>
  <c r="AV435" i="1"/>
  <c r="AU435" i="1" s="1"/>
  <c r="AS300" i="2"/>
  <c r="AR300" i="2" s="1"/>
  <c r="AS287" i="2"/>
  <c r="AR287" i="2" s="1"/>
  <c r="G14" i="6"/>
  <c r="AL14" i="6"/>
  <c r="AU599" i="1"/>
  <c r="F15" i="6" s="1"/>
  <c r="E15" i="6"/>
  <c r="P15" i="6" s="1"/>
  <c r="W16" i="6"/>
  <c r="AJ14" i="6"/>
  <c r="AL567" i="1"/>
  <c r="AM567" i="1" s="1"/>
  <c r="AV567" i="1"/>
  <c r="AU567" i="1" s="1"/>
  <c r="AV578" i="1"/>
  <c r="AL578" i="1"/>
  <c r="AM578" i="1" s="1"/>
  <c r="AT13" i="6"/>
  <c r="AY7" i="6"/>
  <c r="AT6" i="6"/>
  <c r="AT11" i="6"/>
  <c r="AT8" i="6"/>
  <c r="AT12" i="6"/>
  <c r="AT7" i="6"/>
  <c r="AY15" i="6"/>
  <c r="AY16" i="6"/>
  <c r="AT9" i="6"/>
  <c r="AY6" i="6"/>
  <c r="AT14" i="6"/>
  <c r="AY8" i="6"/>
  <c r="AT15" i="6"/>
  <c r="AY9" i="6"/>
  <c r="AT16" i="6"/>
  <c r="AY10" i="6"/>
  <c r="AY11" i="6"/>
  <c r="AY12" i="6"/>
  <c r="AY13" i="6"/>
  <c r="AY14" i="6"/>
  <c r="AT10" i="6"/>
  <c r="AF16" i="6"/>
  <c r="AF15" i="6"/>
  <c r="AL385" i="1"/>
  <c r="AM385" i="1" s="1"/>
  <c r="AV246" i="1"/>
  <c r="AU246" i="1" s="1"/>
  <c r="AV363" i="1"/>
  <c r="AV283" i="1"/>
  <c r="AL438" i="1"/>
  <c r="AM438" i="1" s="1"/>
  <c r="AV265" i="1"/>
  <c r="AU265" i="1" s="1"/>
  <c r="AV387" i="1"/>
  <c r="AU387" i="1" s="1"/>
  <c r="AV573" i="1"/>
  <c r="AU573" i="1" s="1"/>
  <c r="AV378" i="1"/>
  <c r="AU378" i="1" s="1"/>
  <c r="AV557" i="1"/>
  <c r="AV344" i="1"/>
  <c r="AU344" i="1" s="1"/>
  <c r="AV355" i="1"/>
  <c r="AU355" i="1" s="1"/>
  <c r="AV409" i="1"/>
  <c r="AU409" i="1" s="1"/>
  <c r="AV536" i="1"/>
  <c r="S16" i="6"/>
  <c r="Q16" i="6"/>
  <c r="S8" i="6"/>
  <c r="S10" i="6"/>
  <c r="S12" i="6"/>
  <c r="S14" i="6"/>
  <c r="S7" i="6"/>
  <c r="S15" i="6"/>
  <c r="S9" i="6"/>
  <c r="S11" i="6"/>
  <c r="S13" i="6"/>
  <c r="AH13" i="6"/>
  <c r="AF14" i="6"/>
  <c r="AH14" i="6"/>
  <c r="AF13" i="6"/>
  <c r="J14" i="6"/>
  <c r="AL565" i="1"/>
  <c r="AM565" i="1" s="1"/>
  <c r="AV565" i="1"/>
  <c r="AU565" i="1" s="1"/>
  <c r="AL9" i="6"/>
  <c r="AK8" i="6"/>
  <c r="AK7" i="6"/>
  <c r="AL6" i="6"/>
  <c r="AK6" i="6"/>
  <c r="AL10" i="6"/>
  <c r="AK10" i="6"/>
  <c r="AK9" i="6"/>
  <c r="AL8" i="6"/>
  <c r="AL7" i="6"/>
  <c r="AV566" i="1"/>
  <c r="AU566" i="1" s="1"/>
  <c r="AL566" i="1"/>
  <c r="AM566" i="1" s="1"/>
  <c r="AL563" i="1"/>
  <c r="AM563" i="1" s="1"/>
  <c r="AV563" i="1"/>
  <c r="AU563" i="1" s="1"/>
  <c r="AL557" i="1"/>
  <c r="AM557" i="1" s="1"/>
  <c r="AL558" i="1"/>
  <c r="AM558" i="1" s="1"/>
  <c r="AV558" i="1"/>
  <c r="AU558" i="1" s="1"/>
  <c r="AT562" i="1"/>
  <c r="AV562" i="1" s="1"/>
  <c r="AU562" i="1" s="1"/>
  <c r="AV554" i="1"/>
  <c r="AL554" i="1"/>
  <c r="AM554" i="1" s="1"/>
  <c r="AL556" i="1"/>
  <c r="AM556" i="1" s="1"/>
  <c r="AV556" i="1"/>
  <c r="AU556" i="1" s="1"/>
  <c r="Q15" i="6"/>
  <c r="J11" i="6"/>
  <c r="AL551" i="1"/>
  <c r="AM551" i="1" s="1"/>
  <c r="AV551" i="1"/>
  <c r="AL552" i="1"/>
  <c r="AM552" i="1" s="1"/>
  <c r="AV552" i="1"/>
  <c r="AU552" i="1" s="1"/>
  <c r="AV548" i="1"/>
  <c r="AU548" i="1" s="1"/>
  <c r="AL548" i="1"/>
  <c r="AM548" i="1" s="1"/>
  <c r="AV543" i="1"/>
  <c r="AL543" i="1"/>
  <c r="AM543" i="1" s="1"/>
  <c r="AV541" i="1"/>
  <c r="AL541" i="1"/>
  <c r="AM541" i="1" s="1"/>
  <c r="AV540" i="1"/>
  <c r="AL540" i="1"/>
  <c r="AM540" i="1" s="1"/>
  <c r="AV542" i="1"/>
  <c r="AU542" i="1" s="1"/>
  <c r="AL542" i="1"/>
  <c r="AM542" i="1" s="1"/>
  <c r="AL547" i="1"/>
  <c r="AM547" i="1" s="1"/>
  <c r="AV547" i="1"/>
  <c r="AU547" i="1" s="1"/>
  <c r="AL529" i="1"/>
  <c r="AM529" i="1" s="1"/>
  <c r="AV529" i="1"/>
  <c r="AU529" i="1" s="1"/>
  <c r="AL530" i="1"/>
  <c r="AM530" i="1" s="1"/>
  <c r="AV530" i="1"/>
  <c r="AU530" i="1" s="1"/>
  <c r="AM517" i="1"/>
  <c r="AV517" i="1"/>
  <c r="AU517" i="1" s="1"/>
  <c r="AM518" i="1"/>
  <c r="AV518" i="1"/>
  <c r="AU518" i="1" s="1"/>
  <c r="AV524" i="1"/>
  <c r="AU524" i="1" s="1"/>
  <c r="AL524" i="1"/>
  <c r="AM524" i="1" s="1"/>
  <c r="AV515" i="1"/>
  <c r="AU515" i="1" s="1"/>
  <c r="AL515" i="1"/>
  <c r="AM515" i="1" s="1"/>
  <c r="AV516" i="1"/>
  <c r="AU516" i="1" s="1"/>
  <c r="AL516" i="1"/>
  <c r="AM516" i="1" s="1"/>
  <c r="AL494" i="1"/>
  <c r="AM494" i="1" s="1"/>
  <c r="AV494" i="1"/>
  <c r="AU494" i="1" s="1"/>
  <c r="AL500" i="1"/>
  <c r="AM500" i="1" s="1"/>
  <c r="AV500" i="1"/>
  <c r="AL505" i="1"/>
  <c r="AM505" i="1" s="1"/>
  <c r="AV505" i="1"/>
  <c r="AU505" i="1" s="1"/>
  <c r="AV507" i="1"/>
  <c r="AU507" i="1" s="1"/>
  <c r="AL507" i="1"/>
  <c r="AM507" i="1" s="1"/>
  <c r="AV508" i="1"/>
  <c r="AU508" i="1" s="1"/>
  <c r="AL508" i="1"/>
  <c r="AM508" i="1" s="1"/>
  <c r="AV512" i="1"/>
  <c r="AU512" i="1" s="1"/>
  <c r="AL512" i="1"/>
  <c r="AM512" i="1" s="1"/>
  <c r="AL489" i="1"/>
  <c r="AM489" i="1" s="1"/>
  <c r="AV489" i="1"/>
  <c r="AU489" i="1" s="1"/>
  <c r="AL490" i="1"/>
  <c r="AM490" i="1" s="1"/>
  <c r="AV490" i="1"/>
  <c r="AU490" i="1" s="1"/>
  <c r="AV492" i="1"/>
  <c r="AU492" i="1" s="1"/>
  <c r="AL492" i="1"/>
  <c r="AM492" i="1" s="1"/>
  <c r="AT493" i="1"/>
  <c r="AV493" i="1" s="1"/>
  <c r="AU493" i="1" s="1"/>
  <c r="AV495" i="1"/>
  <c r="AU495" i="1" s="1"/>
  <c r="AL495" i="1"/>
  <c r="AM495" i="1" s="1"/>
  <c r="AL475" i="1"/>
  <c r="AM475" i="1" s="1"/>
  <c r="AV475" i="1"/>
  <c r="AU475" i="1" s="1"/>
  <c r="AL477" i="1"/>
  <c r="AM477" i="1" s="1"/>
  <c r="AV477" i="1"/>
  <c r="AU477" i="1" s="1"/>
  <c r="AV488" i="1"/>
  <c r="AU488" i="1" s="1"/>
  <c r="AL488" i="1"/>
  <c r="AM488" i="1" s="1"/>
  <c r="AV480" i="1"/>
  <c r="AU480" i="1" s="1"/>
  <c r="AL471" i="1"/>
  <c r="AM471" i="1" s="1"/>
  <c r="AV471" i="1"/>
  <c r="AU471" i="1" s="1"/>
  <c r="AV476" i="1"/>
  <c r="AU476" i="1" s="1"/>
  <c r="AL476" i="1"/>
  <c r="AM476" i="1" s="1"/>
  <c r="AV481" i="1"/>
  <c r="AU481" i="1" s="1"/>
  <c r="AL468" i="1"/>
  <c r="AM468" i="1" s="1"/>
  <c r="AV468" i="1"/>
  <c r="AU468" i="1" s="1"/>
  <c r="AV469" i="1"/>
  <c r="AU469" i="1" s="1"/>
  <c r="AL469" i="1"/>
  <c r="AM469" i="1" s="1"/>
  <c r="AV470" i="1"/>
  <c r="AU470" i="1" s="1"/>
  <c r="AL470" i="1"/>
  <c r="AM470" i="1" s="1"/>
  <c r="AL451" i="1"/>
  <c r="AM451" i="1" s="1"/>
  <c r="AV457" i="1"/>
  <c r="AU457" i="1" s="1"/>
  <c r="AL457" i="1"/>
  <c r="AM457" i="1" s="1"/>
  <c r="AV458" i="1"/>
  <c r="AU458" i="1" s="1"/>
  <c r="AL458" i="1"/>
  <c r="AM458" i="1" s="1"/>
  <c r="AV459" i="1"/>
  <c r="AU459" i="1" s="1"/>
  <c r="AL459" i="1"/>
  <c r="AM459" i="1" s="1"/>
  <c r="AV460" i="1"/>
  <c r="AU460" i="1" s="1"/>
  <c r="AL460" i="1"/>
  <c r="AM460" i="1" s="1"/>
  <c r="AV461" i="1"/>
  <c r="AU461" i="1" s="1"/>
  <c r="AL461" i="1"/>
  <c r="AM461" i="1" s="1"/>
  <c r="AV464" i="1"/>
  <c r="AL464" i="1"/>
  <c r="AM464" i="1" s="1"/>
  <c r="AV454" i="1"/>
  <c r="AU454" i="1" s="1"/>
  <c r="AL454" i="1"/>
  <c r="AM454" i="1" s="1"/>
  <c r="AL447" i="1"/>
  <c r="AM447" i="1" s="1"/>
  <c r="AV447" i="1"/>
  <c r="AU447" i="1" s="1"/>
  <c r="AL434" i="1"/>
  <c r="AM434" i="1" s="1"/>
  <c r="AT434" i="1"/>
  <c r="AV434" i="1" s="1"/>
  <c r="AU434" i="1" s="1"/>
  <c r="AV431" i="1"/>
  <c r="AL431" i="1"/>
  <c r="AM431" i="1" s="1"/>
  <c r="AV430" i="1"/>
  <c r="AL430" i="1"/>
  <c r="AM430" i="1" s="1"/>
  <c r="AV432" i="1"/>
  <c r="AU432" i="1" s="1"/>
  <c r="AL432" i="1"/>
  <c r="AM432" i="1" s="1"/>
  <c r="AL426" i="1"/>
  <c r="AM426" i="1" s="1"/>
  <c r="AL428" i="1"/>
  <c r="AM428" i="1" s="1"/>
  <c r="AV428" i="1"/>
  <c r="AU428" i="1" s="1"/>
  <c r="AL429" i="1"/>
  <c r="AM429" i="1" s="1"/>
  <c r="AV429" i="1"/>
  <c r="AU429" i="1" s="1"/>
  <c r="AT426" i="1"/>
  <c r="AV426" i="1" s="1"/>
  <c r="AU426" i="1" s="1"/>
  <c r="AV419" i="1"/>
  <c r="AU419" i="1" s="1"/>
  <c r="AV420" i="1"/>
  <c r="AU420" i="1" s="1"/>
  <c r="AV421" i="1"/>
  <c r="AU421" i="1" s="1"/>
  <c r="AL421" i="1"/>
  <c r="AM421" i="1" s="1"/>
  <c r="AT422" i="1"/>
  <c r="AV422" i="1" s="1"/>
  <c r="AU422" i="1" s="1"/>
  <c r="AV423" i="1"/>
  <c r="AU423" i="1" s="1"/>
  <c r="AL423" i="1"/>
  <c r="AM423" i="1" s="1"/>
  <c r="AV418" i="1"/>
  <c r="AU418" i="1" s="1"/>
  <c r="AV417" i="1"/>
  <c r="AU417" i="1" s="1"/>
  <c r="AV416" i="1"/>
  <c r="AU416" i="1" s="1"/>
  <c r="AL412" i="1"/>
  <c r="AM412" i="1" s="1"/>
  <c r="AV412" i="1"/>
  <c r="AU412" i="1" s="1"/>
  <c r="AV413" i="1"/>
  <c r="AU413" i="1" s="1"/>
  <c r="AL413" i="1"/>
  <c r="AM413" i="1" s="1"/>
  <c r="AV414" i="1"/>
  <c r="AU414" i="1" s="1"/>
  <c r="AL414" i="1"/>
  <c r="AM414" i="1" s="1"/>
  <c r="AV415" i="1"/>
  <c r="AU415" i="1" s="1"/>
  <c r="AL405" i="1"/>
  <c r="AM405" i="1" s="1"/>
  <c r="AV405" i="1"/>
  <c r="AU405" i="1" s="1"/>
  <c r="AL406" i="1"/>
  <c r="AM406" i="1" s="1"/>
  <c r="AV406" i="1"/>
  <c r="AU406" i="1" s="1"/>
  <c r="AV408" i="1"/>
  <c r="AU408" i="1" s="1"/>
  <c r="AL408" i="1"/>
  <c r="AM408" i="1" s="1"/>
  <c r="AV411" i="1"/>
  <c r="AU411" i="1" s="1"/>
  <c r="AL411" i="1"/>
  <c r="AM411" i="1" s="1"/>
  <c r="AL404" i="1"/>
  <c r="AM404" i="1" s="1"/>
  <c r="AV404" i="1"/>
  <c r="AU404" i="1" s="1"/>
  <c r="AV407" i="1"/>
  <c r="AU407" i="1" s="1"/>
  <c r="AL407" i="1"/>
  <c r="AM407" i="1" s="1"/>
  <c r="AV402" i="1"/>
  <c r="AU402" i="1" s="1"/>
  <c r="AL402" i="1"/>
  <c r="AM402" i="1" s="1"/>
  <c r="AT403" i="1"/>
  <c r="AV403" i="1" s="1"/>
  <c r="AU403" i="1" s="1"/>
  <c r="AV392" i="1"/>
  <c r="AV388" i="1"/>
  <c r="AU388" i="1" s="1"/>
  <c r="AV389" i="1"/>
  <c r="AU389" i="1" s="1"/>
  <c r="AL389" i="1"/>
  <c r="AM389" i="1" s="1"/>
  <c r="AV390" i="1"/>
  <c r="AU390" i="1" s="1"/>
  <c r="AL390" i="1"/>
  <c r="AM390" i="1" s="1"/>
  <c r="AV393" i="1"/>
  <c r="AU393" i="1" s="1"/>
  <c r="AL388" i="1"/>
  <c r="AM388" i="1" s="1"/>
  <c r="AV386" i="1"/>
  <c r="AU386" i="1" s="1"/>
  <c r="AL386" i="1"/>
  <c r="AM386" i="1" s="1"/>
  <c r="AV373" i="1"/>
  <c r="AU373" i="1" s="1"/>
  <c r="AV374" i="1"/>
  <c r="AU374" i="1" s="1"/>
  <c r="AV375" i="1"/>
  <c r="AU375" i="1" s="1"/>
  <c r="AV376" i="1"/>
  <c r="AU376" i="1" s="1"/>
  <c r="AV372" i="1"/>
  <c r="AU372" i="1" s="1"/>
  <c r="AV367" i="1"/>
  <c r="AV366" i="1"/>
  <c r="AV365" i="1"/>
  <c r="AV357" i="1"/>
  <c r="AU357" i="1" s="1"/>
  <c r="AL329" i="1"/>
  <c r="AM329" i="1" s="1"/>
  <c r="AV329" i="1"/>
  <c r="AL345" i="1"/>
  <c r="AM345" i="1" s="1"/>
  <c r="AV345" i="1"/>
  <c r="AU345" i="1" s="1"/>
  <c r="AV348" i="1"/>
  <c r="AU348" i="1" s="1"/>
  <c r="AL349" i="1"/>
  <c r="AM349" i="1" s="1"/>
  <c r="AV349" i="1"/>
  <c r="AU349" i="1" s="1"/>
  <c r="AM348" i="1"/>
  <c r="AL343" i="1"/>
  <c r="AM343" i="1" s="1"/>
  <c r="AV343" i="1"/>
  <c r="AU343" i="1" s="1"/>
  <c r="AL335" i="1"/>
  <c r="AM335" i="1" s="1"/>
  <c r="AV335" i="1"/>
  <c r="AU335" i="1" s="1"/>
  <c r="AV337" i="1"/>
  <c r="AU337" i="1" s="1"/>
  <c r="AS298" i="2"/>
  <c r="AR298" i="2" s="1"/>
  <c r="AL308" i="1"/>
  <c r="AM308" i="1" s="1"/>
  <c r="AV308" i="1"/>
  <c r="AU308" i="1" s="1"/>
  <c r="AL316" i="1"/>
  <c r="AM316" i="1" s="1"/>
  <c r="AV316" i="1"/>
  <c r="AU316" i="1" s="1"/>
  <c r="AV317" i="1"/>
  <c r="AU317" i="1" s="1"/>
  <c r="AL317" i="1"/>
  <c r="AM317" i="1" s="1"/>
  <c r="AL323" i="1"/>
  <c r="AM323" i="1" s="1"/>
  <c r="AV324" i="1"/>
  <c r="AU324" i="1" s="1"/>
  <c r="AV325" i="1"/>
  <c r="AU325" i="1" s="1"/>
  <c r="AL318" i="1"/>
  <c r="AM318" i="1" s="1"/>
  <c r="AV321" i="1"/>
  <c r="AU321" i="1" s="1"/>
  <c r="AM321" i="1"/>
  <c r="AV322" i="1"/>
  <c r="AU322" i="1" s="1"/>
  <c r="AL307" i="1"/>
  <c r="AM307" i="1" s="1"/>
  <c r="AV307" i="1"/>
  <c r="AU307" i="1" s="1"/>
  <c r="AS15" i="2"/>
  <c r="AS16" i="2"/>
  <c r="AR16" i="2" s="1"/>
  <c r="AS19" i="2"/>
  <c r="AR19" i="2" s="1"/>
  <c r="AS20" i="2"/>
  <c r="AR20" i="2" s="1"/>
  <c r="AS21" i="2"/>
  <c r="AR21" i="2" s="1"/>
  <c r="AS22" i="2"/>
  <c r="AR22" i="2" s="1"/>
  <c r="AS29" i="2"/>
  <c r="AR29" i="2" s="1"/>
  <c r="AS31" i="2"/>
  <c r="AR31" i="2" s="1"/>
  <c r="AS32" i="2"/>
  <c r="AS34" i="2"/>
  <c r="AR34" i="2" s="1"/>
  <c r="AS36" i="2"/>
  <c r="AR36" i="2" s="1"/>
  <c r="AS37" i="2"/>
  <c r="AR37" i="2" s="1"/>
  <c r="AS38" i="2"/>
  <c r="AR38" i="2" s="1"/>
  <c r="AS42" i="2"/>
  <c r="AN361" i="2" s="1"/>
  <c r="AS45" i="2"/>
  <c r="AR45" i="2" s="1"/>
  <c r="AS48" i="2"/>
  <c r="AR48" i="2" s="1"/>
  <c r="AS49" i="2"/>
  <c r="AR49" i="2" s="1"/>
  <c r="AS50" i="2"/>
  <c r="AR50" i="2" s="1"/>
  <c r="AS52" i="2"/>
  <c r="AS53" i="2"/>
  <c r="AR53" i="2" s="1"/>
  <c r="AS55" i="2"/>
  <c r="AR55" i="2" s="1"/>
  <c r="AS56" i="2"/>
  <c r="AR56" i="2" s="1"/>
  <c r="AS57" i="2"/>
  <c r="AR57" i="2" s="1"/>
  <c r="AS61" i="2"/>
  <c r="AR61" i="2" s="1"/>
  <c r="AS62" i="2"/>
  <c r="AR62" i="2" s="1"/>
  <c r="AS66" i="2"/>
  <c r="AS71" i="2"/>
  <c r="AR71" i="2" s="1"/>
  <c r="AS88" i="2"/>
  <c r="AR88" i="2" s="1"/>
  <c r="AS92" i="2"/>
  <c r="AR92" i="2" s="1"/>
  <c r="AS96" i="2"/>
  <c r="AR96" i="2" s="1"/>
  <c r="AS97" i="2"/>
  <c r="AS104" i="2"/>
  <c r="AR104" i="2" s="1"/>
  <c r="AS105" i="2"/>
  <c r="AR105" i="2" s="1"/>
  <c r="AS113" i="2"/>
  <c r="AR113" i="2" s="1"/>
  <c r="AS117" i="2"/>
  <c r="AR117" i="2" s="1"/>
  <c r="AS124" i="2"/>
  <c r="AR124" i="2" s="1"/>
  <c r="AS126" i="2"/>
  <c r="AR126" i="2" s="1"/>
  <c r="AS127" i="2"/>
  <c r="AR127" i="2" s="1"/>
  <c r="AS130" i="2"/>
  <c r="AR130" i="2" s="1"/>
  <c r="AS136" i="2"/>
  <c r="AR136" i="2" s="1"/>
  <c r="AS144" i="2"/>
  <c r="AR144" i="2" s="1"/>
  <c r="AS145" i="2"/>
  <c r="AR145" i="2" s="1"/>
  <c r="AS146" i="2"/>
  <c r="AR146" i="2" s="1"/>
  <c r="AS148" i="2"/>
  <c r="AR148" i="2" s="1"/>
  <c r="AS149" i="2"/>
  <c r="AR149" i="2" s="1"/>
  <c r="AS152" i="2"/>
  <c r="AS155" i="2"/>
  <c r="AR155" i="2" s="1"/>
  <c r="AS162" i="2"/>
  <c r="AS176" i="2"/>
  <c r="AR176" i="2" s="1"/>
  <c r="AS179" i="2"/>
  <c r="AR179" i="2" s="1"/>
  <c r="AS181" i="2"/>
  <c r="AR181" i="2" s="1"/>
  <c r="AS184" i="2"/>
  <c r="AR184" i="2" s="1"/>
  <c r="AS185" i="2"/>
  <c r="AR185" i="2" s="1"/>
  <c r="AS186" i="2"/>
  <c r="AR186" i="2" s="1"/>
  <c r="AS190" i="2"/>
  <c r="AR190" i="2" s="1"/>
  <c r="AS193" i="2"/>
  <c r="AR193" i="2" s="1"/>
  <c r="AS194" i="2"/>
  <c r="AR194" i="2" s="1"/>
  <c r="AS196" i="2"/>
  <c r="AR196" i="2" s="1"/>
  <c r="AS200" i="2"/>
  <c r="AR200" i="2" s="1"/>
  <c r="AS206" i="2"/>
  <c r="AR206" i="2" s="1"/>
  <c r="AS208" i="2"/>
  <c r="AR208" i="2" s="1"/>
  <c r="AS210" i="2"/>
  <c r="AR210" i="2" s="1"/>
  <c r="AS219" i="2"/>
  <c r="AR219" i="2" s="1"/>
  <c r="AS220" i="2"/>
  <c r="AR220" i="2" s="1"/>
  <c r="AS224" i="2"/>
  <c r="AR224" i="2" s="1"/>
  <c r="AS227" i="2"/>
  <c r="AR227" i="2" s="1"/>
  <c r="AS246" i="2"/>
  <c r="AR246" i="2" s="1"/>
  <c r="AS249" i="2"/>
  <c r="AR249" i="2" s="1"/>
  <c r="AS256" i="2"/>
  <c r="AR256" i="2" s="1"/>
  <c r="AS257" i="2"/>
  <c r="AR257" i="2" s="1"/>
  <c r="AS259" i="2"/>
  <c r="AR259" i="2" s="1"/>
  <c r="AS266" i="2"/>
  <c r="AR266" i="2" s="1"/>
  <c r="AS268" i="2"/>
  <c r="AR268" i="2" s="1"/>
  <c r="AS270" i="2"/>
  <c r="AR270" i="2" s="1"/>
  <c r="AS271" i="2"/>
  <c r="AR271" i="2" s="1"/>
  <c r="AS272" i="2"/>
  <c r="AR272" i="2" s="1"/>
  <c r="AS273" i="2"/>
  <c r="AR273" i="2" s="1"/>
  <c r="AS280" i="2"/>
  <c r="AR280" i="2" s="1"/>
  <c r="AS281" i="2"/>
  <c r="AR281" i="2" s="1"/>
  <c r="AS284" i="2"/>
  <c r="AR284" i="2" s="1"/>
  <c r="AS286" i="2"/>
  <c r="AR286" i="2" s="1"/>
  <c r="AS289" i="2"/>
  <c r="AR289" i="2" s="1"/>
  <c r="AV306" i="1"/>
  <c r="AL306" i="1"/>
  <c r="AM306" i="1" s="1"/>
  <c r="AL304" i="1"/>
  <c r="AM304" i="1" s="1"/>
  <c r="AV304" i="1"/>
  <c r="AU304" i="1" s="1"/>
  <c r="AV248" i="1"/>
  <c r="AU248" i="1" s="1"/>
  <c r="AV296" i="1"/>
  <c r="AS157" i="2"/>
  <c r="AR157" i="2" s="1"/>
  <c r="AS39" i="2"/>
  <c r="AR39" i="2" s="1"/>
  <c r="AS274" i="2"/>
  <c r="AR274" i="2" s="1"/>
  <c r="AS18" i="2"/>
  <c r="AR18" i="2" s="1"/>
  <c r="AS44" i="2"/>
  <c r="AR44" i="2" s="1"/>
  <c r="AS58" i="2"/>
  <c r="AR58" i="2" s="1"/>
  <c r="AS120" i="2"/>
  <c r="AR120" i="2" s="1"/>
  <c r="AS180" i="2"/>
  <c r="AR180" i="2" s="1"/>
  <c r="AS211" i="2"/>
  <c r="AR211" i="2" s="1"/>
  <c r="AS279" i="2"/>
  <c r="AR279" i="2" s="1"/>
  <c r="AS95" i="2"/>
  <c r="AR95" i="2" s="1"/>
  <c r="AS4" i="2"/>
  <c r="AS35" i="2"/>
  <c r="AR35" i="2" s="1"/>
  <c r="AS40" i="2"/>
  <c r="AR40" i="2" s="1"/>
  <c r="AS54" i="2"/>
  <c r="AR54" i="2" s="1"/>
  <c r="AS116" i="2"/>
  <c r="AR116" i="2" s="1"/>
  <c r="AS125" i="2"/>
  <c r="AS275" i="2"/>
  <c r="AR275" i="2" s="1"/>
  <c r="AS288" i="2"/>
  <c r="AR288" i="2" s="1"/>
  <c r="AS80" i="2"/>
  <c r="AR80" i="2" s="1"/>
  <c r="AS111" i="2"/>
  <c r="AR111" i="2" s="1"/>
  <c r="AS169" i="2"/>
  <c r="AR169" i="2" s="1"/>
  <c r="AS173" i="2"/>
  <c r="AR173" i="2" s="1"/>
  <c r="AS177" i="2"/>
  <c r="AR177" i="2" s="1"/>
  <c r="AS223" i="2"/>
  <c r="AR223" i="2" s="1"/>
  <c r="AS261" i="2"/>
  <c r="AR261" i="2" s="1"/>
  <c r="AS9" i="2"/>
  <c r="AS245" i="2"/>
  <c r="AR245" i="2" s="1"/>
  <c r="AV254" i="1"/>
  <c r="AU254" i="1" s="1"/>
  <c r="AS93" i="2"/>
  <c r="AR93" i="2" s="1"/>
  <c r="AS98" i="2"/>
  <c r="AR98" i="2" s="1"/>
  <c r="AS204" i="2"/>
  <c r="AR204" i="2" s="1"/>
  <c r="AS267" i="2"/>
  <c r="AR267" i="2" s="1"/>
  <c r="AV257" i="1"/>
  <c r="AU257" i="1" s="1"/>
  <c r="AV282" i="1"/>
  <c r="AS76" i="2"/>
  <c r="AR76" i="2" s="1"/>
  <c r="AS170" i="2"/>
  <c r="AR170" i="2" s="1"/>
  <c r="AS187" i="2"/>
  <c r="AR187" i="2" s="1"/>
  <c r="AV256" i="1"/>
  <c r="AU256" i="1" s="1"/>
  <c r="AV255" i="1"/>
  <c r="AU255" i="1" s="1"/>
  <c r="AS118" i="2"/>
  <c r="AS175" i="2"/>
  <c r="AR175" i="2" s="1"/>
  <c r="AS183" i="2"/>
  <c r="AR183" i="2" s="1"/>
  <c r="AS225" i="2"/>
  <c r="AR225" i="2" s="1"/>
  <c r="AS17" i="2"/>
  <c r="AR17" i="2" s="1"/>
  <c r="AS33" i="2"/>
  <c r="AR33" i="2" s="1"/>
  <c r="AS123" i="2"/>
  <c r="AR123" i="2" s="1"/>
  <c r="AS188" i="2"/>
  <c r="AR188" i="2" s="1"/>
  <c r="AV252" i="1"/>
  <c r="AU252" i="1" s="1"/>
  <c r="AS226" i="2"/>
  <c r="AR226" i="2" s="1"/>
  <c r="AS255" i="2"/>
  <c r="AR255" i="2" s="1"/>
  <c r="AS128" i="2"/>
  <c r="AR128" i="2" s="1"/>
  <c r="AS248" i="2"/>
  <c r="AR248" i="2" s="1"/>
  <c r="P12" i="6"/>
  <c r="J12" i="6"/>
  <c r="G13" i="6"/>
  <c r="J13" i="6"/>
  <c r="J9" i="6"/>
  <c r="G9" i="6"/>
  <c r="J10" i="6"/>
  <c r="Q10" i="6" s="1"/>
  <c r="G10" i="6"/>
  <c r="J7" i="6"/>
  <c r="G7" i="6"/>
  <c r="G8" i="6"/>
  <c r="J6" i="6"/>
  <c r="AV298" i="1"/>
  <c r="AU298" i="1" s="1"/>
  <c r="AL298" i="1"/>
  <c r="AM298" i="1" s="1"/>
  <c r="AL293" i="1"/>
  <c r="AM293" i="1" s="1"/>
  <c r="AV293" i="1"/>
  <c r="AU293" i="1" s="1"/>
  <c r="AL288" i="1"/>
  <c r="AM288" i="1" s="1"/>
  <c r="AV288" i="1"/>
  <c r="AU288" i="1" s="1"/>
  <c r="AL289" i="1"/>
  <c r="AM289" i="1" s="1"/>
  <c r="AV289" i="1"/>
  <c r="AU289" i="1" s="1"/>
  <c r="AL291" i="1"/>
  <c r="AM291" i="1" s="1"/>
  <c r="AV291" i="1"/>
  <c r="AU291" i="1" s="1"/>
  <c r="AL287" i="1"/>
  <c r="AM287" i="1" s="1"/>
  <c r="AV287" i="1"/>
  <c r="AU287" i="1" s="1"/>
  <c r="AV284" i="1"/>
  <c r="AU284" i="1" s="1"/>
  <c r="AL284" i="1"/>
  <c r="AM284" i="1" s="1"/>
  <c r="AM272" i="1"/>
  <c r="AV272" i="1"/>
  <c r="AU272" i="1" s="1"/>
  <c r="AL274" i="1"/>
  <c r="AM274" i="1" s="1"/>
  <c r="AV274" i="1"/>
  <c r="AU274" i="1" s="1"/>
  <c r="AL275" i="1"/>
  <c r="AM275" i="1" s="1"/>
  <c r="AV275" i="1"/>
  <c r="AU275" i="1" s="1"/>
  <c r="AL276" i="1"/>
  <c r="AM276" i="1" s="1"/>
  <c r="AV276" i="1"/>
  <c r="AU276" i="1" s="1"/>
  <c r="AL277" i="1"/>
  <c r="AM277" i="1" s="1"/>
  <c r="AV277" i="1"/>
  <c r="AU277" i="1" s="1"/>
  <c r="AL266" i="1"/>
  <c r="AM266" i="1" s="1"/>
  <c r="AV266" i="1"/>
  <c r="AU266" i="1" s="1"/>
  <c r="AL267" i="1"/>
  <c r="AM267" i="1" s="1"/>
  <c r="AV267" i="1"/>
  <c r="AU267" i="1" s="1"/>
  <c r="AV273" i="1"/>
  <c r="AU273" i="1" s="1"/>
  <c r="AL273" i="1"/>
  <c r="AM273" i="1" s="1"/>
  <c r="AL262" i="1"/>
  <c r="AM262" i="1" s="1"/>
  <c r="AV262" i="1"/>
  <c r="AU262" i="1" s="1"/>
  <c r="AV263" i="1"/>
  <c r="AU263" i="1" s="1"/>
  <c r="AL265" i="1"/>
  <c r="AM265" i="1" s="1"/>
  <c r="AL253" i="1"/>
  <c r="AM253" i="1" s="1"/>
  <c r="AV253" i="1"/>
  <c r="AU253" i="1" s="1"/>
  <c r="AL251" i="1"/>
  <c r="AM251" i="1" s="1"/>
  <c r="AV251" i="1"/>
  <c r="AU251" i="1" s="1"/>
  <c r="AL258" i="1"/>
  <c r="AM258" i="1" s="1"/>
  <c r="AV258" i="1"/>
  <c r="AU258" i="1" s="1"/>
  <c r="AL259" i="1"/>
  <c r="AM259" i="1" s="1"/>
  <c r="AV259" i="1"/>
  <c r="AU259" i="1" s="1"/>
  <c r="AL260" i="1"/>
  <c r="AM260" i="1" s="1"/>
  <c r="AM263" i="1"/>
  <c r="AV260" i="1"/>
  <c r="AU260" i="1" s="1"/>
  <c r="AL247" i="1"/>
  <c r="AM247" i="1" s="1"/>
  <c r="AV247" i="1"/>
  <c r="AV244" i="1"/>
  <c r="AU244" i="1" s="1"/>
  <c r="AV18" i="1"/>
  <c r="AU18" i="1" s="1"/>
  <c r="AV51" i="1"/>
  <c r="AU51" i="1" s="1"/>
  <c r="AV206" i="1"/>
  <c r="AU206" i="1" s="1"/>
  <c r="AV23" i="1"/>
  <c r="AU23" i="1" s="1"/>
  <c r="AV215" i="1"/>
  <c r="AU215" i="1" s="1"/>
  <c r="AV89" i="1"/>
  <c r="AU89" i="1" s="1"/>
  <c r="AV121" i="1"/>
  <c r="AU121" i="1" s="1"/>
  <c r="AV11" i="1"/>
  <c r="AU11" i="1" s="1"/>
  <c r="AV115" i="1"/>
  <c r="AU115" i="1" s="1"/>
  <c r="AV143" i="1"/>
  <c r="AU143" i="1" s="1"/>
  <c r="AV214" i="1"/>
  <c r="AU214" i="1" s="1"/>
  <c r="AV58" i="1"/>
  <c r="AU58" i="1" s="1"/>
  <c r="AV128" i="1"/>
  <c r="AU128" i="1" s="1"/>
  <c r="AV105" i="1"/>
  <c r="AU105" i="1" s="1"/>
  <c r="AV50" i="1"/>
  <c r="AU50" i="1" s="1"/>
  <c r="AV73" i="1"/>
  <c r="AU73" i="1" s="1"/>
  <c r="AV100" i="1"/>
  <c r="AU100" i="1" s="1"/>
  <c r="AV144" i="1"/>
  <c r="AU144" i="1" s="1"/>
  <c r="AV150" i="1"/>
  <c r="AV96" i="1"/>
  <c r="AU96" i="1" s="1"/>
  <c r="AV198" i="1"/>
  <c r="AV203" i="1"/>
  <c r="AU203" i="1" s="1"/>
  <c r="AV137" i="1"/>
  <c r="AV163" i="1"/>
  <c r="AU163" i="1" s="1"/>
  <c r="AV28" i="1"/>
  <c r="AU28" i="1" s="1"/>
  <c r="AV239" i="1"/>
  <c r="AV88" i="1"/>
  <c r="AU88" i="1" s="1"/>
  <c r="AV19" i="1"/>
  <c r="AU19" i="1" s="1"/>
  <c r="AV230" i="1"/>
  <c r="AU230" i="1" s="1"/>
  <c r="AV127" i="1"/>
  <c r="AU127" i="1" s="1"/>
  <c r="AV145" i="1"/>
  <c r="AU145" i="1" s="1"/>
  <c r="AV236" i="1"/>
  <c r="AU236" i="1" s="1"/>
  <c r="AV231" i="1"/>
  <c r="AU231" i="1" s="1"/>
  <c r="AV241" i="1"/>
  <c r="AV7" i="1"/>
  <c r="AU7" i="1" s="1"/>
  <c r="AV157" i="1"/>
  <c r="AU157" i="1" s="1"/>
  <c r="AV152" i="1"/>
  <c r="AU152" i="1" s="1"/>
  <c r="AV5" i="1"/>
  <c r="AU5" i="1" s="1"/>
  <c r="AV102" i="1"/>
  <c r="AU102" i="1" s="1"/>
  <c r="AV111" i="1"/>
  <c r="AU111" i="1" s="1"/>
  <c r="AV48" i="1"/>
  <c r="AU48" i="1" s="1"/>
  <c r="AV138" i="1"/>
  <c r="AV160" i="1"/>
  <c r="AU160" i="1" s="1"/>
  <c r="AV32" i="1"/>
  <c r="AU32" i="1" s="1"/>
  <c r="AV42" i="1"/>
  <c r="AU42" i="1" s="1"/>
  <c r="AV118" i="1"/>
  <c r="AU118" i="1" s="1"/>
  <c r="AV161" i="1"/>
  <c r="AU161" i="1" s="1"/>
  <c r="AV220" i="1"/>
  <c r="AU220" i="1" s="1"/>
  <c r="AV8" i="1"/>
  <c r="AU8" i="1" s="1"/>
  <c r="AV17" i="1"/>
  <c r="AU17" i="1" s="1"/>
  <c r="AV62" i="1"/>
  <c r="AU62" i="1" s="1"/>
  <c r="AV168" i="1"/>
  <c r="AU168" i="1" s="1"/>
  <c r="AV187" i="1"/>
  <c r="AU187" i="1" s="1"/>
  <c r="AV119" i="1"/>
  <c r="AU119" i="1" s="1"/>
  <c r="AV63" i="1"/>
  <c r="AU63" i="1" s="1"/>
  <c r="AV87" i="1"/>
  <c r="AU87" i="1" s="1"/>
  <c r="AV155" i="1"/>
  <c r="AU155" i="1" s="1"/>
  <c r="AV185" i="1"/>
  <c r="AV54" i="1"/>
  <c r="AU54" i="1" s="1"/>
  <c r="AV200" i="1"/>
  <c r="AU200" i="1" s="1"/>
  <c r="AV26" i="1"/>
  <c r="AU26" i="1" s="1"/>
  <c r="AV69" i="1"/>
  <c r="AU69" i="1" s="1"/>
  <c r="AV22" i="1"/>
  <c r="AU22" i="1" s="1"/>
  <c r="AV64" i="1"/>
  <c r="AU64" i="1" s="1"/>
  <c r="AV74" i="1"/>
  <c r="AU74" i="1" s="1"/>
  <c r="AV83" i="1"/>
  <c r="AU83" i="1" s="1"/>
  <c r="AV92" i="1"/>
  <c r="AU92" i="1" s="1"/>
  <c r="AV101" i="1"/>
  <c r="AU101" i="1" s="1"/>
  <c r="AV136" i="1"/>
  <c r="AV59" i="1"/>
  <c r="AU59" i="1" s="1"/>
  <c r="AV97" i="1"/>
  <c r="AU97" i="1" s="1"/>
  <c r="AV106" i="1"/>
  <c r="AU106" i="1" s="1"/>
  <c r="AL206" i="1"/>
  <c r="AM206" i="1" s="1"/>
  <c r="AV234" i="1"/>
  <c r="AU234" i="1" s="1"/>
  <c r="AV93" i="1"/>
  <c r="AU93" i="1" s="1"/>
  <c r="AV4" i="1"/>
  <c r="AV142" i="1"/>
  <c r="AU142" i="1" s="1"/>
  <c r="AV56" i="1"/>
  <c r="AU56" i="1" s="1"/>
  <c r="AV80" i="1"/>
  <c r="AU80" i="1" s="1"/>
  <c r="AV94" i="1"/>
  <c r="AU94" i="1" s="1"/>
  <c r="AV98" i="1"/>
  <c r="AU98" i="1" s="1"/>
  <c r="AV125" i="1"/>
  <c r="AU125" i="1" s="1"/>
  <c r="AV197" i="1"/>
  <c r="AU197" i="1" s="1"/>
  <c r="AV202" i="1"/>
  <c r="AU202" i="1" s="1"/>
  <c r="AV211" i="1"/>
  <c r="AV188" i="1"/>
  <c r="AV216" i="1"/>
  <c r="AU216" i="1" s="1"/>
  <c r="AV149" i="1"/>
  <c r="AU149" i="1" s="1"/>
  <c r="AV222" i="1"/>
  <c r="AV29" i="1"/>
  <c r="AU29" i="1" s="1"/>
  <c r="AV77" i="1"/>
  <c r="AU77" i="1" s="1"/>
  <c r="AV193" i="1"/>
  <c r="AU193" i="1" s="1"/>
  <c r="AV184" i="1"/>
  <c r="AU184" i="1" s="1"/>
  <c r="AV35" i="1"/>
  <c r="AU35" i="1" s="1"/>
  <c r="AV68" i="1"/>
  <c r="AU68" i="1" s="1"/>
  <c r="AV122" i="1"/>
  <c r="AU122" i="1" s="1"/>
  <c r="AV139" i="1"/>
  <c r="AU139" i="1" s="1"/>
  <c r="AV227" i="1"/>
  <c r="AU227" i="1" s="1"/>
  <c r="AV84" i="1"/>
  <c r="AU84" i="1" s="1"/>
  <c r="AV151" i="1"/>
  <c r="AU151" i="1" s="1"/>
  <c r="AV235" i="1"/>
  <c r="AU235" i="1" s="1"/>
  <c r="AV72" i="1"/>
  <c r="AU72" i="1" s="1"/>
  <c r="AV76" i="1"/>
  <c r="AU76" i="1" s="1"/>
  <c r="AV16" i="1"/>
  <c r="AU16" i="1" s="1"/>
  <c r="AV53" i="1"/>
  <c r="AU53" i="1" s="1"/>
  <c r="AV107" i="1"/>
  <c r="AU107" i="1" s="1"/>
  <c r="AV176" i="1"/>
  <c r="AL188" i="1"/>
  <c r="AM188" i="1" s="1"/>
  <c r="AV192" i="1"/>
  <c r="AL200" i="1"/>
  <c r="AM200" i="1" s="1"/>
  <c r="AL93" i="1"/>
  <c r="AM93" i="1" s="1"/>
  <c r="AV172" i="1"/>
  <c r="AU172" i="1" s="1"/>
  <c r="AL236" i="1"/>
  <c r="AM236" i="1" s="1"/>
  <c r="AV240" i="1"/>
  <c r="AV6" i="1"/>
  <c r="AU6" i="1" s="1"/>
  <c r="AV30" i="1"/>
  <c r="AU30" i="1" s="1"/>
  <c r="AV232" i="1"/>
  <c r="AU232" i="1" s="1"/>
  <c r="AV60" i="1"/>
  <c r="AU60" i="1" s="1"/>
  <c r="AL119" i="1"/>
  <c r="AM119" i="1" s="1"/>
  <c r="AV219" i="1"/>
  <c r="AU219" i="1" s="1"/>
  <c r="AV123" i="1"/>
  <c r="AU123" i="1" s="1"/>
  <c r="AV173" i="1"/>
  <c r="AU173" i="1" s="1"/>
  <c r="AV204" i="1"/>
  <c r="AU204" i="1" s="1"/>
  <c r="AL11" i="1"/>
  <c r="AM11" i="1" s="1"/>
  <c r="AV27" i="1"/>
  <c r="AU27" i="1" s="1"/>
  <c r="AV31" i="1"/>
  <c r="AU31" i="1" s="1"/>
  <c r="AV57" i="1"/>
  <c r="AU57" i="1" s="1"/>
  <c r="AV156" i="1"/>
  <c r="AU156" i="1" s="1"/>
  <c r="AV124" i="1"/>
  <c r="AU124" i="1" s="1"/>
  <c r="AL149" i="1"/>
  <c r="AM149" i="1" s="1"/>
  <c r="AV153" i="1"/>
  <c r="AU153" i="1" s="1"/>
  <c r="AV212" i="1"/>
  <c r="AV14" i="1"/>
  <c r="AU14" i="1" s="1"/>
  <c r="AV70" i="1"/>
  <c r="AU70" i="1" s="1"/>
  <c r="AL124" i="1"/>
  <c r="AM124" i="1" s="1"/>
  <c r="AV242" i="1"/>
  <c r="AU242" i="1" s="1"/>
  <c r="AV178" i="1"/>
  <c r="AV40" i="1"/>
  <c r="AU40" i="1" s="1"/>
  <c r="AV113" i="1"/>
  <c r="AV170" i="1"/>
  <c r="AV174" i="1"/>
  <c r="AV24" i="1"/>
  <c r="AU24" i="1" s="1"/>
  <c r="AV41" i="1"/>
  <c r="AU41" i="1" s="1"/>
  <c r="AV140" i="1"/>
  <c r="AU140" i="1" s="1"/>
  <c r="AV154" i="1"/>
  <c r="AU154" i="1" s="1"/>
  <c r="AV183" i="1"/>
  <c r="AU183" i="1" s="1"/>
  <c r="AV195" i="1"/>
  <c r="AU195" i="1" s="1"/>
  <c r="AV243" i="1"/>
  <c r="AU243" i="1" s="1"/>
  <c r="AV71" i="1"/>
  <c r="AU71" i="1" s="1"/>
  <c r="AV169" i="1"/>
  <c r="AU169" i="1" s="1"/>
  <c r="AV201" i="1"/>
  <c r="AU201" i="1" s="1"/>
  <c r="AS82" i="2"/>
  <c r="AR82" i="2" s="1"/>
  <c r="AV55" i="1"/>
  <c r="AU55" i="1" s="1"/>
  <c r="AV116" i="1"/>
  <c r="AU116" i="1" s="1"/>
  <c r="AV196" i="1"/>
  <c r="AU196" i="1" s="1"/>
  <c r="AV233" i="1"/>
  <c r="AU233" i="1" s="1"/>
  <c r="AN349" i="2"/>
  <c r="AN344" i="2"/>
  <c r="AN340" i="2"/>
  <c r="AN350" i="2"/>
  <c r="AN345" i="2"/>
  <c r="AN339" i="2"/>
  <c r="AV205" i="1"/>
  <c r="AU205" i="1" s="1"/>
  <c r="AV49" i="1"/>
  <c r="AU49" i="1" s="1"/>
  <c r="AL94" i="1"/>
  <c r="AM94" i="1" s="1"/>
  <c r="AV162" i="1"/>
  <c r="AU162" i="1" s="1"/>
  <c r="AV186" i="1"/>
  <c r="AS143" i="2"/>
  <c r="AR143" i="2" s="1"/>
  <c r="AL87" i="1"/>
  <c r="AM87" i="1" s="1"/>
  <c r="AV146" i="1"/>
  <c r="AU146" i="1" s="1"/>
  <c r="AL168" i="1"/>
  <c r="AM168" i="1" s="1"/>
  <c r="AR32" i="2"/>
  <c r="AS263" i="2"/>
  <c r="AR263" i="2" s="1"/>
  <c r="AL215" i="1"/>
  <c r="AM215" i="1" s="1"/>
  <c r="AV75" i="1"/>
  <c r="AU75" i="1" s="1"/>
  <c r="AL140" i="1"/>
  <c r="AM140" i="1" s="1"/>
  <c r="AL151" i="1"/>
  <c r="AM151" i="1" s="1"/>
  <c r="AS103" i="2"/>
  <c r="AR103" i="2" s="1"/>
  <c r="AV61" i="1"/>
  <c r="AU61" i="1" s="1"/>
  <c r="AV177" i="1"/>
  <c r="AU177" i="1" s="1"/>
  <c r="AR125" i="2"/>
  <c r="AV194" i="1"/>
  <c r="AU194" i="1" s="1"/>
  <c r="AR152" i="2"/>
  <c r="AS192" i="2"/>
  <c r="AR192" i="2" s="1"/>
  <c r="AR52" i="2"/>
  <c r="AR162" i="2"/>
  <c r="AV95" i="1"/>
  <c r="AU95" i="1" s="1"/>
  <c r="AV141" i="1"/>
  <c r="AS24" i="2"/>
  <c r="AS30" i="2"/>
  <c r="AS94" i="2"/>
  <c r="AR118" i="2"/>
  <c r="M344" i="2"/>
  <c r="N344" i="2"/>
  <c r="L339" i="2"/>
  <c r="AR15" i="2"/>
  <c r="AU2640" i="1" l="1"/>
  <c r="BR2559" i="1"/>
  <c r="BR2560" i="1"/>
  <c r="BQ2559" i="1"/>
  <c r="BQ2560" i="1"/>
  <c r="BM2559" i="1"/>
  <c r="BM2560" i="1"/>
  <c r="BH2559" i="1"/>
  <c r="BH2560" i="1"/>
  <c r="BH2519" i="1"/>
  <c r="BH2520" i="1"/>
  <c r="BH2521" i="1"/>
  <c r="BH2522" i="1"/>
  <c r="BH2523" i="1"/>
  <c r="BH2524" i="1"/>
  <c r="BH2525" i="1"/>
  <c r="BH2526" i="1"/>
  <c r="BH2527" i="1"/>
  <c r="BH2528" i="1"/>
  <c r="BH2529" i="1"/>
  <c r="BH2530" i="1"/>
  <c r="BH2531" i="1"/>
  <c r="BH2532" i="1"/>
  <c r="BH2533" i="1"/>
  <c r="BH2534" i="1"/>
  <c r="BH2535" i="1"/>
  <c r="BH2536" i="1"/>
  <c r="BH2537" i="1"/>
  <c r="BH2538" i="1"/>
  <c r="BH2539" i="1"/>
  <c r="BH2540" i="1"/>
  <c r="BH2541" i="1"/>
  <c r="BH2542" i="1"/>
  <c r="BH2543" i="1"/>
  <c r="BH2544" i="1"/>
  <c r="BH2545" i="1"/>
  <c r="BH2546" i="1"/>
  <c r="BH2547" i="1"/>
  <c r="BH2548" i="1"/>
  <c r="BH2549" i="1"/>
  <c r="BH2550" i="1"/>
  <c r="BH2551" i="1"/>
  <c r="BH2552" i="1"/>
  <c r="BH2553" i="1"/>
  <c r="BH2554" i="1"/>
  <c r="BH2555" i="1"/>
  <c r="BH2556" i="1"/>
  <c r="BH2557" i="1"/>
  <c r="BH2558" i="1"/>
  <c r="BJ2559" i="1"/>
  <c r="BJ2560" i="1"/>
  <c r="BV2559" i="1"/>
  <c r="BV2560" i="1"/>
  <c r="BV2519" i="1"/>
  <c r="BV2520" i="1"/>
  <c r="BV2521" i="1"/>
  <c r="BV2522" i="1"/>
  <c r="BV2523" i="1"/>
  <c r="BV2524" i="1"/>
  <c r="BV2525" i="1"/>
  <c r="BV2526" i="1"/>
  <c r="BV2527" i="1"/>
  <c r="BV2528" i="1"/>
  <c r="BV2529" i="1"/>
  <c r="BV2530" i="1"/>
  <c r="BV2531" i="1"/>
  <c r="BV2532" i="1"/>
  <c r="BV2533" i="1"/>
  <c r="BV2534" i="1"/>
  <c r="BV2535" i="1"/>
  <c r="BV2536" i="1"/>
  <c r="BV2537" i="1"/>
  <c r="BV2538" i="1"/>
  <c r="BV2539" i="1"/>
  <c r="BV2540" i="1"/>
  <c r="BV2541" i="1"/>
  <c r="BV2542" i="1"/>
  <c r="BV2543" i="1"/>
  <c r="BV2544" i="1"/>
  <c r="BV2545" i="1"/>
  <c r="BV2546" i="1"/>
  <c r="BV2547" i="1"/>
  <c r="BV2548" i="1"/>
  <c r="BV2549" i="1"/>
  <c r="BV2550" i="1"/>
  <c r="BV2551" i="1"/>
  <c r="BV2552" i="1"/>
  <c r="BV2553" i="1"/>
  <c r="BV2554" i="1"/>
  <c r="BV2555" i="1"/>
  <c r="BV2556" i="1"/>
  <c r="BV2557" i="1"/>
  <c r="BV2558" i="1"/>
  <c r="BI2559" i="1"/>
  <c r="BK2559" i="1"/>
  <c r="BT2559" i="1"/>
  <c r="BI2560" i="1"/>
  <c r="BK2560" i="1"/>
  <c r="BT2560" i="1"/>
  <c r="BI2519" i="1"/>
  <c r="BI2520" i="1"/>
  <c r="BI2521" i="1"/>
  <c r="BI2522" i="1"/>
  <c r="BI2523" i="1"/>
  <c r="BI2524" i="1"/>
  <c r="BI2525" i="1"/>
  <c r="BI2526" i="1"/>
  <c r="BI2527" i="1"/>
  <c r="BI2528" i="1"/>
  <c r="BI2529" i="1"/>
  <c r="BI2530" i="1"/>
  <c r="BI2531" i="1"/>
  <c r="BI2532" i="1"/>
  <c r="BI2533" i="1"/>
  <c r="BI2534" i="1"/>
  <c r="BI2535" i="1"/>
  <c r="BI2536" i="1"/>
  <c r="BI2537" i="1"/>
  <c r="BI2538" i="1"/>
  <c r="BI2539" i="1"/>
  <c r="BI2540" i="1"/>
  <c r="BI2541" i="1"/>
  <c r="BI2542" i="1"/>
  <c r="BI2543" i="1"/>
  <c r="BI2544" i="1"/>
  <c r="BI2545" i="1"/>
  <c r="BI2546" i="1"/>
  <c r="BI2547" i="1"/>
  <c r="BI2548" i="1"/>
  <c r="BI2549" i="1"/>
  <c r="BI2550" i="1"/>
  <c r="BI2551" i="1"/>
  <c r="BI2552" i="1"/>
  <c r="BI2553" i="1"/>
  <c r="BI2554" i="1"/>
  <c r="BI2555" i="1"/>
  <c r="BI2556" i="1"/>
  <c r="BI2557" i="1"/>
  <c r="BI2558" i="1"/>
  <c r="BK2519" i="1"/>
  <c r="BK2520" i="1"/>
  <c r="BK2521" i="1"/>
  <c r="BK2522" i="1"/>
  <c r="BK2523" i="1"/>
  <c r="BK2524" i="1"/>
  <c r="BK2525" i="1"/>
  <c r="BK2526" i="1"/>
  <c r="BK2527" i="1"/>
  <c r="BK2528" i="1"/>
  <c r="BK2529" i="1"/>
  <c r="BK2530" i="1"/>
  <c r="BK2531" i="1"/>
  <c r="BK2532" i="1"/>
  <c r="BK2533" i="1"/>
  <c r="BK2534" i="1"/>
  <c r="BK2535" i="1"/>
  <c r="BK2536" i="1"/>
  <c r="BK2537" i="1"/>
  <c r="BK2538" i="1"/>
  <c r="BK2539" i="1"/>
  <c r="BK2540" i="1"/>
  <c r="BK2541" i="1"/>
  <c r="BK2542" i="1"/>
  <c r="BK2543" i="1"/>
  <c r="BK2544" i="1"/>
  <c r="BK2545" i="1"/>
  <c r="BK2546" i="1"/>
  <c r="BK2547" i="1"/>
  <c r="BK2548" i="1"/>
  <c r="BK2549" i="1"/>
  <c r="BK2550" i="1"/>
  <c r="BK2551" i="1"/>
  <c r="BK2552" i="1"/>
  <c r="BK2553" i="1"/>
  <c r="BK2554" i="1"/>
  <c r="BK2555" i="1"/>
  <c r="BK2556" i="1"/>
  <c r="BK2557" i="1"/>
  <c r="BK2558" i="1"/>
  <c r="BS2559" i="1"/>
  <c r="BS2560" i="1"/>
  <c r="BO2559" i="1"/>
  <c r="BO2560" i="1"/>
  <c r="BS2519" i="1"/>
  <c r="BS2520" i="1"/>
  <c r="BS2521" i="1"/>
  <c r="BS2522" i="1"/>
  <c r="BS2523" i="1"/>
  <c r="BS2524" i="1"/>
  <c r="BS2525" i="1"/>
  <c r="BS2526" i="1"/>
  <c r="BS2527" i="1"/>
  <c r="BS2528" i="1"/>
  <c r="BS2529" i="1"/>
  <c r="BS2530" i="1"/>
  <c r="BS2531" i="1"/>
  <c r="BS2532" i="1"/>
  <c r="BS2533" i="1"/>
  <c r="BS2534" i="1"/>
  <c r="BS2535" i="1"/>
  <c r="BS2536" i="1"/>
  <c r="BS2537" i="1"/>
  <c r="BS2538" i="1"/>
  <c r="BS2539" i="1"/>
  <c r="BS2540" i="1"/>
  <c r="BS2541" i="1"/>
  <c r="BS2542" i="1"/>
  <c r="BS2543" i="1"/>
  <c r="BS2544" i="1"/>
  <c r="BS2545" i="1"/>
  <c r="BS2546" i="1"/>
  <c r="BS2547" i="1"/>
  <c r="BS2548" i="1"/>
  <c r="BS2549" i="1"/>
  <c r="BS2550" i="1"/>
  <c r="BS2551" i="1"/>
  <c r="BS2552" i="1"/>
  <c r="BS2553" i="1"/>
  <c r="BS2554" i="1"/>
  <c r="BS2555" i="1"/>
  <c r="BS2556" i="1"/>
  <c r="BS2557" i="1"/>
  <c r="BS2558" i="1"/>
  <c r="BN2559" i="1"/>
  <c r="BN2560" i="1"/>
  <c r="BN2519" i="1"/>
  <c r="BN2520" i="1"/>
  <c r="BN2521" i="1"/>
  <c r="BN2522" i="1"/>
  <c r="BN2523" i="1"/>
  <c r="BN2524" i="1"/>
  <c r="BN2525" i="1"/>
  <c r="BN2526" i="1"/>
  <c r="BN2527" i="1"/>
  <c r="BN2528" i="1"/>
  <c r="BN2529" i="1"/>
  <c r="BN2530" i="1"/>
  <c r="BN2531" i="1"/>
  <c r="BN2532" i="1"/>
  <c r="BN2533" i="1"/>
  <c r="BN2534" i="1"/>
  <c r="BN2535" i="1"/>
  <c r="BN2536" i="1"/>
  <c r="BN2537" i="1"/>
  <c r="BN2538" i="1"/>
  <c r="BN2539" i="1"/>
  <c r="BN2540" i="1"/>
  <c r="BN2541" i="1"/>
  <c r="BN2542" i="1"/>
  <c r="BN2543" i="1"/>
  <c r="BN2544" i="1"/>
  <c r="BN2545" i="1"/>
  <c r="BN2546" i="1"/>
  <c r="BN2547" i="1"/>
  <c r="BN2548" i="1"/>
  <c r="BN2549" i="1"/>
  <c r="BN2550" i="1"/>
  <c r="BN2551" i="1"/>
  <c r="BN2552" i="1"/>
  <c r="BN2553" i="1"/>
  <c r="BN2554" i="1"/>
  <c r="BN2555" i="1"/>
  <c r="BN2556" i="1"/>
  <c r="BN2557" i="1"/>
  <c r="BN2558" i="1"/>
  <c r="BU2559" i="1"/>
  <c r="BU2560" i="1"/>
  <c r="BU2519" i="1"/>
  <c r="BU2520" i="1"/>
  <c r="BU2521" i="1"/>
  <c r="BU2522" i="1"/>
  <c r="BU2523" i="1"/>
  <c r="BU2524" i="1"/>
  <c r="BU2525" i="1"/>
  <c r="BU2526" i="1"/>
  <c r="BU2527" i="1"/>
  <c r="BU2528" i="1"/>
  <c r="BU2529" i="1"/>
  <c r="BU2530" i="1"/>
  <c r="BU2531" i="1"/>
  <c r="BU2532" i="1"/>
  <c r="BU2533" i="1"/>
  <c r="BU2534" i="1"/>
  <c r="BU2535" i="1"/>
  <c r="BU2536" i="1"/>
  <c r="BU2537" i="1"/>
  <c r="BU2538" i="1"/>
  <c r="BU2539" i="1"/>
  <c r="BU2540" i="1"/>
  <c r="BU2541" i="1"/>
  <c r="BU2542" i="1"/>
  <c r="BU2543" i="1"/>
  <c r="BU2544" i="1"/>
  <c r="BU2545" i="1"/>
  <c r="BU2546" i="1"/>
  <c r="BU2547" i="1"/>
  <c r="BU2548" i="1"/>
  <c r="BU2549" i="1"/>
  <c r="BU2550" i="1"/>
  <c r="BU2551" i="1"/>
  <c r="BU2552" i="1"/>
  <c r="BU2553" i="1"/>
  <c r="BU2554" i="1"/>
  <c r="BU2555" i="1"/>
  <c r="BU2556" i="1"/>
  <c r="BU2557" i="1"/>
  <c r="BU2558" i="1"/>
  <c r="BL2559" i="1"/>
  <c r="BL2560" i="1"/>
  <c r="BQ2519" i="1"/>
  <c r="BR2519" i="1"/>
  <c r="BQ2520" i="1"/>
  <c r="BR2520" i="1"/>
  <c r="BQ2521" i="1"/>
  <c r="BR2521" i="1"/>
  <c r="BQ2522" i="1"/>
  <c r="BR2522" i="1"/>
  <c r="BQ2523" i="1"/>
  <c r="BR2523" i="1"/>
  <c r="BQ2524" i="1"/>
  <c r="BR2524" i="1"/>
  <c r="BQ2525" i="1"/>
  <c r="BR2525" i="1"/>
  <c r="BQ2526" i="1"/>
  <c r="BR2526" i="1"/>
  <c r="BQ2527" i="1"/>
  <c r="BR2527" i="1"/>
  <c r="BQ2528" i="1"/>
  <c r="BR2528" i="1"/>
  <c r="BQ2529" i="1"/>
  <c r="BR2529" i="1"/>
  <c r="BQ2530" i="1"/>
  <c r="BR2530" i="1"/>
  <c r="BQ2531" i="1"/>
  <c r="BR2531" i="1"/>
  <c r="BQ2532" i="1"/>
  <c r="BR2532" i="1"/>
  <c r="BQ2533" i="1"/>
  <c r="BR2533" i="1"/>
  <c r="BQ2534" i="1"/>
  <c r="BR2534" i="1"/>
  <c r="BQ2535" i="1"/>
  <c r="BR2535" i="1"/>
  <c r="BQ2536" i="1"/>
  <c r="BR2536" i="1"/>
  <c r="BQ2537" i="1"/>
  <c r="BR2537" i="1"/>
  <c r="BQ2538" i="1"/>
  <c r="BR2538" i="1"/>
  <c r="BQ2539" i="1"/>
  <c r="BR2539" i="1"/>
  <c r="BQ2540" i="1"/>
  <c r="BR2540" i="1"/>
  <c r="BQ2541" i="1"/>
  <c r="BR2541" i="1"/>
  <c r="BQ2542" i="1"/>
  <c r="BR2542" i="1"/>
  <c r="BQ2543" i="1"/>
  <c r="BR2543" i="1"/>
  <c r="BQ2544" i="1"/>
  <c r="BR2544" i="1"/>
  <c r="BQ2545" i="1"/>
  <c r="BR2545" i="1"/>
  <c r="BQ2546" i="1"/>
  <c r="BR2546" i="1"/>
  <c r="BQ2547" i="1"/>
  <c r="BR2547" i="1"/>
  <c r="BQ2548" i="1"/>
  <c r="BR2548" i="1"/>
  <c r="BQ2549" i="1"/>
  <c r="BR2549" i="1"/>
  <c r="BQ2550" i="1"/>
  <c r="BR2550" i="1"/>
  <c r="BQ2551" i="1"/>
  <c r="BR2551" i="1"/>
  <c r="BQ2552" i="1"/>
  <c r="BR2552" i="1"/>
  <c r="BQ2553" i="1"/>
  <c r="BR2553" i="1"/>
  <c r="BQ2554" i="1"/>
  <c r="BR2554" i="1"/>
  <c r="BQ2555" i="1"/>
  <c r="BR2555" i="1"/>
  <c r="BQ2556" i="1"/>
  <c r="BR2556" i="1"/>
  <c r="BQ2557" i="1"/>
  <c r="BR2557" i="1"/>
  <c r="BQ2558" i="1"/>
  <c r="BR2558" i="1"/>
  <c r="BM2519" i="1"/>
  <c r="BM2520" i="1"/>
  <c r="BM2521" i="1"/>
  <c r="BM2522" i="1"/>
  <c r="BM2523" i="1"/>
  <c r="BM2524" i="1"/>
  <c r="BM2525" i="1"/>
  <c r="BM2526" i="1"/>
  <c r="BM2527" i="1"/>
  <c r="BM2528" i="1"/>
  <c r="BM2529" i="1"/>
  <c r="BM2530" i="1"/>
  <c r="BM2531" i="1"/>
  <c r="BM2532" i="1"/>
  <c r="BM2533" i="1"/>
  <c r="BM2534" i="1"/>
  <c r="BM2535" i="1"/>
  <c r="BM2536" i="1"/>
  <c r="BM2537" i="1"/>
  <c r="BM2538" i="1"/>
  <c r="BM2539" i="1"/>
  <c r="BM2540" i="1"/>
  <c r="BM2541" i="1"/>
  <c r="BM2542" i="1"/>
  <c r="BM2543" i="1"/>
  <c r="BM2544" i="1"/>
  <c r="BM2545" i="1"/>
  <c r="BM2546" i="1"/>
  <c r="BM2547" i="1"/>
  <c r="BM2548" i="1"/>
  <c r="BM2549" i="1"/>
  <c r="BM2550" i="1"/>
  <c r="BM2551" i="1"/>
  <c r="BM2552" i="1"/>
  <c r="BM2553" i="1"/>
  <c r="BM2554" i="1"/>
  <c r="BM2555" i="1"/>
  <c r="BM2556" i="1"/>
  <c r="BM2557" i="1"/>
  <c r="BM2558" i="1"/>
  <c r="BJ2519" i="1"/>
  <c r="BL2519" i="1"/>
  <c r="BT2519" i="1"/>
  <c r="BJ2520" i="1"/>
  <c r="BL2520" i="1"/>
  <c r="BT2520" i="1"/>
  <c r="BJ2521" i="1"/>
  <c r="BL2521" i="1"/>
  <c r="BT2521" i="1"/>
  <c r="BJ2522" i="1"/>
  <c r="BL2522" i="1"/>
  <c r="BT2522" i="1"/>
  <c r="BJ2523" i="1"/>
  <c r="BL2523" i="1"/>
  <c r="BT2523" i="1"/>
  <c r="BJ2524" i="1"/>
  <c r="BL2524" i="1"/>
  <c r="BT2524" i="1"/>
  <c r="BJ2525" i="1"/>
  <c r="BL2525" i="1"/>
  <c r="BT2525" i="1"/>
  <c r="BJ2526" i="1"/>
  <c r="BL2526" i="1"/>
  <c r="BT2526" i="1"/>
  <c r="BJ2527" i="1"/>
  <c r="BL2527" i="1"/>
  <c r="BT2527" i="1"/>
  <c r="BJ2528" i="1"/>
  <c r="BL2528" i="1"/>
  <c r="BT2528" i="1"/>
  <c r="BJ2529" i="1"/>
  <c r="BL2529" i="1"/>
  <c r="BT2529" i="1"/>
  <c r="BJ2530" i="1"/>
  <c r="BL2530" i="1"/>
  <c r="BT2530" i="1"/>
  <c r="BJ2531" i="1"/>
  <c r="BL2531" i="1"/>
  <c r="BT2531" i="1"/>
  <c r="BJ2532" i="1"/>
  <c r="BL2532" i="1"/>
  <c r="BT2532" i="1"/>
  <c r="BJ2533" i="1"/>
  <c r="BL2533" i="1"/>
  <c r="BT2533" i="1"/>
  <c r="BJ2534" i="1"/>
  <c r="BL2534" i="1"/>
  <c r="BT2534" i="1"/>
  <c r="BJ2535" i="1"/>
  <c r="BL2535" i="1"/>
  <c r="BT2535" i="1"/>
  <c r="BJ2536" i="1"/>
  <c r="BL2536" i="1"/>
  <c r="BT2536" i="1"/>
  <c r="BJ2537" i="1"/>
  <c r="BL2537" i="1"/>
  <c r="BT2537" i="1"/>
  <c r="BJ2538" i="1"/>
  <c r="BL2538" i="1"/>
  <c r="BT2538" i="1"/>
  <c r="BJ2539" i="1"/>
  <c r="BL2539" i="1"/>
  <c r="BT2539" i="1"/>
  <c r="BJ2540" i="1"/>
  <c r="BL2540" i="1"/>
  <c r="BT2540" i="1"/>
  <c r="BJ2541" i="1"/>
  <c r="BL2541" i="1"/>
  <c r="BT2541" i="1"/>
  <c r="BJ2542" i="1"/>
  <c r="BL2542" i="1"/>
  <c r="BT2542" i="1"/>
  <c r="BJ2543" i="1"/>
  <c r="BL2543" i="1"/>
  <c r="BT2543" i="1"/>
  <c r="BJ2544" i="1"/>
  <c r="BL2544" i="1"/>
  <c r="BT2544" i="1"/>
  <c r="BJ2545" i="1"/>
  <c r="BL2545" i="1"/>
  <c r="BT2545" i="1"/>
  <c r="BJ2546" i="1"/>
  <c r="BL2546" i="1"/>
  <c r="BT2546" i="1"/>
  <c r="BJ2547" i="1"/>
  <c r="BL2547" i="1"/>
  <c r="BT2547" i="1"/>
  <c r="BJ2548" i="1"/>
  <c r="BL2548" i="1"/>
  <c r="BT2548" i="1"/>
  <c r="BJ2549" i="1"/>
  <c r="BL2549" i="1"/>
  <c r="BT2549" i="1"/>
  <c r="BJ2550" i="1"/>
  <c r="BL2550" i="1"/>
  <c r="BT2550" i="1"/>
  <c r="BJ2551" i="1"/>
  <c r="BL2551" i="1"/>
  <c r="BT2551" i="1"/>
  <c r="BJ2552" i="1"/>
  <c r="BL2552" i="1"/>
  <c r="BT2552" i="1"/>
  <c r="BJ2553" i="1"/>
  <c r="BL2553" i="1"/>
  <c r="BT2553" i="1"/>
  <c r="BJ2554" i="1"/>
  <c r="BL2554" i="1"/>
  <c r="BT2554" i="1"/>
  <c r="BJ2555" i="1"/>
  <c r="BL2555" i="1"/>
  <c r="BT2555" i="1"/>
  <c r="BJ2556" i="1"/>
  <c r="BL2556" i="1"/>
  <c r="BT2556" i="1"/>
  <c r="BJ2557" i="1"/>
  <c r="BL2557" i="1"/>
  <c r="BT2557" i="1"/>
  <c r="BJ2558" i="1"/>
  <c r="BL2558" i="1"/>
  <c r="BT2558" i="1"/>
  <c r="BO2519" i="1"/>
  <c r="BO2520" i="1"/>
  <c r="BO2521" i="1"/>
  <c r="BO2522" i="1"/>
  <c r="BO2523" i="1"/>
  <c r="BO2524" i="1"/>
  <c r="BO2525" i="1"/>
  <c r="BO2526" i="1"/>
  <c r="BO2527" i="1"/>
  <c r="BO2528" i="1"/>
  <c r="BO2529" i="1"/>
  <c r="BO2530" i="1"/>
  <c r="BO2531" i="1"/>
  <c r="BO2532" i="1"/>
  <c r="BO2533" i="1"/>
  <c r="BO2534" i="1"/>
  <c r="BO2535" i="1"/>
  <c r="BO2536" i="1"/>
  <c r="BO2537" i="1"/>
  <c r="BO2538" i="1"/>
  <c r="BO2539" i="1"/>
  <c r="BO2540" i="1"/>
  <c r="BO2541" i="1"/>
  <c r="BO2542" i="1"/>
  <c r="BO2543" i="1"/>
  <c r="BO2544" i="1"/>
  <c r="BO2545" i="1"/>
  <c r="BO2546" i="1"/>
  <c r="BO2547" i="1"/>
  <c r="BO2548" i="1"/>
  <c r="BO2549" i="1"/>
  <c r="BO2550" i="1"/>
  <c r="BO2551" i="1"/>
  <c r="BO2552" i="1"/>
  <c r="BO2553" i="1"/>
  <c r="BO2554" i="1"/>
  <c r="BO2555" i="1"/>
  <c r="BO2556" i="1"/>
  <c r="BO2557" i="1"/>
  <c r="BO2558" i="1"/>
  <c r="BL2497" i="1"/>
  <c r="F28" i="6"/>
  <c r="L26" i="6"/>
  <c r="K26" i="6"/>
  <c r="K23" i="6"/>
  <c r="L23" i="6"/>
  <c r="BN2474" i="1"/>
  <c r="BN2488" i="1"/>
  <c r="BR2501" i="1"/>
  <c r="BR2502" i="1"/>
  <c r="BR2503" i="1"/>
  <c r="BR2504" i="1"/>
  <c r="BR2505" i="1"/>
  <c r="BR2506" i="1"/>
  <c r="BR2507" i="1"/>
  <c r="BR2508" i="1"/>
  <c r="BR2509" i="1"/>
  <c r="BR2510" i="1"/>
  <c r="BR2511" i="1"/>
  <c r="BR2512" i="1"/>
  <c r="BR2513" i="1"/>
  <c r="BR2514" i="1"/>
  <c r="BR2515" i="1"/>
  <c r="BR2516" i="1"/>
  <c r="BR2517" i="1"/>
  <c r="BR2518" i="1"/>
  <c r="BQ2501" i="1"/>
  <c r="BQ2502" i="1"/>
  <c r="BQ2503" i="1"/>
  <c r="BQ2504" i="1"/>
  <c r="BQ2505" i="1"/>
  <c r="BQ2506" i="1"/>
  <c r="BQ2507" i="1"/>
  <c r="BQ2508" i="1"/>
  <c r="BQ2509" i="1"/>
  <c r="BQ2510" i="1"/>
  <c r="BQ2511" i="1"/>
  <c r="BQ2512" i="1"/>
  <c r="BQ2513" i="1"/>
  <c r="BQ2514" i="1"/>
  <c r="BQ2515" i="1"/>
  <c r="BQ2516" i="1"/>
  <c r="BQ2517" i="1"/>
  <c r="BQ2518" i="1"/>
  <c r="BM2501" i="1"/>
  <c r="BM2502" i="1"/>
  <c r="BM2503" i="1"/>
  <c r="BM2504" i="1"/>
  <c r="BM2505" i="1"/>
  <c r="BM2506" i="1"/>
  <c r="BM2507" i="1"/>
  <c r="BM2508" i="1"/>
  <c r="BM2509" i="1"/>
  <c r="BM2510" i="1"/>
  <c r="BM2511" i="1"/>
  <c r="BM2512" i="1"/>
  <c r="BM2513" i="1"/>
  <c r="BM2514" i="1"/>
  <c r="BM2515" i="1"/>
  <c r="BM2516" i="1"/>
  <c r="BM2517" i="1"/>
  <c r="BM2518" i="1"/>
  <c r="BH2507" i="1"/>
  <c r="BH2501" i="1"/>
  <c r="BH2502" i="1"/>
  <c r="BH2503" i="1"/>
  <c r="BH2504" i="1"/>
  <c r="BH2505" i="1"/>
  <c r="BH2506" i="1"/>
  <c r="BH2508" i="1"/>
  <c r="BH2509" i="1"/>
  <c r="BH2510" i="1"/>
  <c r="BH2511" i="1"/>
  <c r="BH2512" i="1"/>
  <c r="BH2513" i="1"/>
  <c r="BH2514" i="1"/>
  <c r="BH2515" i="1"/>
  <c r="BH2516" i="1"/>
  <c r="BH2517" i="1"/>
  <c r="BH2518" i="1"/>
  <c r="BJ2501" i="1"/>
  <c r="BJ2502" i="1"/>
  <c r="BJ2503" i="1"/>
  <c r="BJ2504" i="1"/>
  <c r="BJ2505" i="1"/>
  <c r="BJ2506" i="1"/>
  <c r="BJ2507" i="1"/>
  <c r="BJ2508" i="1"/>
  <c r="BJ2509" i="1"/>
  <c r="BJ2510" i="1"/>
  <c r="BJ2511" i="1"/>
  <c r="BJ2512" i="1"/>
  <c r="BJ2513" i="1"/>
  <c r="BJ2514" i="1"/>
  <c r="BJ2515" i="1"/>
  <c r="BJ2516" i="1"/>
  <c r="BJ2517" i="1"/>
  <c r="BJ2518" i="1"/>
  <c r="BV2501" i="1"/>
  <c r="BV2502" i="1"/>
  <c r="BV2503" i="1"/>
  <c r="BV2504" i="1"/>
  <c r="BV2505" i="1"/>
  <c r="BV2506" i="1"/>
  <c r="BV2507" i="1"/>
  <c r="BV2508" i="1"/>
  <c r="BV2509" i="1"/>
  <c r="BV2510" i="1"/>
  <c r="BV2511" i="1"/>
  <c r="BV2512" i="1"/>
  <c r="BV2513" i="1"/>
  <c r="BV2514" i="1"/>
  <c r="BV2515" i="1"/>
  <c r="BV2516" i="1"/>
  <c r="BV2517" i="1"/>
  <c r="BV2518" i="1"/>
  <c r="BI2501" i="1"/>
  <c r="BK2501" i="1"/>
  <c r="BT2501" i="1"/>
  <c r="BI2502" i="1"/>
  <c r="BK2502" i="1"/>
  <c r="BT2502" i="1"/>
  <c r="BI2503" i="1"/>
  <c r="BK2503" i="1"/>
  <c r="BT2503" i="1"/>
  <c r="BI2504" i="1"/>
  <c r="BK2504" i="1"/>
  <c r="BT2504" i="1"/>
  <c r="BI2505" i="1"/>
  <c r="BK2505" i="1"/>
  <c r="BT2505" i="1"/>
  <c r="BI2506" i="1"/>
  <c r="BK2506" i="1"/>
  <c r="BT2506" i="1"/>
  <c r="BI2507" i="1"/>
  <c r="BK2507" i="1"/>
  <c r="BT2507" i="1"/>
  <c r="BI2508" i="1"/>
  <c r="BK2508" i="1"/>
  <c r="BT2508" i="1"/>
  <c r="BI2509" i="1"/>
  <c r="BK2509" i="1"/>
  <c r="BT2509" i="1"/>
  <c r="BI2510" i="1"/>
  <c r="BK2510" i="1"/>
  <c r="BT2510" i="1"/>
  <c r="BI2511" i="1"/>
  <c r="BK2511" i="1"/>
  <c r="BT2511" i="1"/>
  <c r="BI2512" i="1"/>
  <c r="BK2512" i="1"/>
  <c r="BT2512" i="1"/>
  <c r="BI2513" i="1"/>
  <c r="BK2513" i="1"/>
  <c r="BT2513" i="1"/>
  <c r="BI2514" i="1"/>
  <c r="BK2514" i="1"/>
  <c r="BT2514" i="1"/>
  <c r="BI2515" i="1"/>
  <c r="BK2515" i="1"/>
  <c r="BT2515" i="1"/>
  <c r="BI2516" i="1"/>
  <c r="BK2516" i="1"/>
  <c r="BT2516" i="1"/>
  <c r="BI2517" i="1"/>
  <c r="BK2517" i="1"/>
  <c r="BT2517" i="1"/>
  <c r="BI2518" i="1"/>
  <c r="BK2518" i="1"/>
  <c r="BT2518" i="1"/>
  <c r="BS2501" i="1"/>
  <c r="BS2502" i="1"/>
  <c r="BS2503" i="1"/>
  <c r="BS2504" i="1"/>
  <c r="BS2505" i="1"/>
  <c r="BS2506" i="1"/>
  <c r="BS2507" i="1"/>
  <c r="BS2508" i="1"/>
  <c r="BS2509" i="1"/>
  <c r="BS2510" i="1"/>
  <c r="BS2511" i="1"/>
  <c r="BS2512" i="1"/>
  <c r="BS2513" i="1"/>
  <c r="BS2514" i="1"/>
  <c r="BS2515" i="1"/>
  <c r="BS2516" i="1"/>
  <c r="BS2517" i="1"/>
  <c r="BS2518" i="1"/>
  <c r="BO2501" i="1"/>
  <c r="BO2502" i="1"/>
  <c r="BO2503" i="1"/>
  <c r="BO2504" i="1"/>
  <c r="BO2505" i="1"/>
  <c r="BO2506" i="1"/>
  <c r="BO2507" i="1"/>
  <c r="BO2508" i="1"/>
  <c r="BO2509" i="1"/>
  <c r="BO2510" i="1"/>
  <c r="BO2511" i="1"/>
  <c r="BO2512" i="1"/>
  <c r="BO2513" i="1"/>
  <c r="BO2514" i="1"/>
  <c r="BO2515" i="1"/>
  <c r="BO2516" i="1"/>
  <c r="BO2517" i="1"/>
  <c r="BO2518" i="1"/>
  <c r="I27" i="6"/>
  <c r="I22" i="6"/>
  <c r="BO2423" i="1"/>
  <c r="I21" i="6"/>
  <c r="BU2425" i="1"/>
  <c r="I28" i="6"/>
  <c r="BI1587" i="1"/>
  <c r="BL1521" i="1"/>
  <c r="BL1449" i="1"/>
  <c r="BL1445" i="1"/>
  <c r="BL1440" i="1"/>
  <c r="BL1436" i="1"/>
  <c r="BL1431" i="1"/>
  <c r="BL1427" i="1"/>
  <c r="BL1422" i="1"/>
  <c r="BL1418" i="1"/>
  <c r="BL1413" i="1"/>
  <c r="BL1409" i="1"/>
  <c r="BL1404" i="1"/>
  <c r="BL1400" i="1"/>
  <c r="BL1395" i="1"/>
  <c r="BL1525" i="1"/>
  <c r="BL1519" i="1"/>
  <c r="BL1516" i="1"/>
  <c r="BI1525" i="1"/>
  <c r="BI1453" i="1"/>
  <c r="BI1444" i="1"/>
  <c r="BI1435" i="1"/>
  <c r="BI1426" i="1"/>
  <c r="BI1417" i="1"/>
  <c r="BI1403" i="1"/>
  <c r="BL1457" i="1"/>
  <c r="BL1481" i="1"/>
  <c r="BI1491" i="1"/>
  <c r="BI1514" i="1"/>
  <c r="BI1511" i="1"/>
  <c r="BL1553" i="1"/>
  <c r="BI1567" i="1"/>
  <c r="BU1499" i="1"/>
  <c r="BL1570" i="1"/>
  <c r="BM2448" i="1"/>
  <c r="BV2489" i="1"/>
  <c r="BV2482" i="1"/>
  <c r="BV2485" i="1"/>
  <c r="BV2486" i="1"/>
  <c r="BV2488" i="1"/>
  <c r="BV2498" i="1"/>
  <c r="BV2469" i="1"/>
  <c r="BV2466" i="1"/>
  <c r="BV2463" i="1"/>
  <c r="BV2455" i="1"/>
  <c r="BV2452" i="1"/>
  <c r="BV2451" i="1"/>
  <c r="BV2473" i="1"/>
  <c r="BV2462" i="1"/>
  <c r="BV2460" i="1"/>
  <c r="BV2441" i="1"/>
  <c r="BT2423" i="1"/>
  <c r="BT2478" i="1"/>
  <c r="BT2480" i="1"/>
  <c r="BT2488" i="1"/>
  <c r="BT2492" i="1"/>
  <c r="BT2500" i="1"/>
  <c r="BT2420" i="1"/>
  <c r="BI2423" i="1"/>
  <c r="BI2424" i="1"/>
  <c r="BI2425" i="1"/>
  <c r="BI2478" i="1"/>
  <c r="BK2479" i="1"/>
  <c r="BI2480" i="1"/>
  <c r="BI2481" i="1"/>
  <c r="BI2486" i="1"/>
  <c r="BK2487" i="1"/>
  <c r="BI2488" i="1"/>
  <c r="BI2489" i="1"/>
  <c r="BI2494" i="1"/>
  <c r="BK2495" i="1"/>
  <c r="BI2496" i="1"/>
  <c r="BI2497" i="1"/>
  <c r="BI1519" i="1"/>
  <c r="BI1411" i="1"/>
  <c r="BI1487" i="1"/>
  <c r="BQ2490" i="1"/>
  <c r="BQ2474" i="1"/>
  <c r="BM2437" i="1"/>
  <c r="BQ2446" i="1"/>
  <c r="BH2462" i="1"/>
  <c r="BM2459" i="1"/>
  <c r="BR2459" i="1"/>
  <c r="BH2452" i="1"/>
  <c r="BM2453" i="1"/>
  <c r="BQ2472" i="1"/>
  <c r="BQ2449" i="1"/>
  <c r="BM2429" i="1"/>
  <c r="BQ2488" i="1"/>
  <c r="BQ2424" i="1"/>
  <c r="BM2439" i="1"/>
  <c r="BH2440" i="1"/>
  <c r="BM2461" i="1"/>
  <c r="BR2460" i="1"/>
  <c r="BH2454" i="1"/>
  <c r="BM2455" i="1"/>
  <c r="BR2491" i="1"/>
  <c r="BM2485" i="1"/>
  <c r="BR2492" i="1"/>
  <c r="BM2480" i="1"/>
  <c r="BM2496" i="1"/>
  <c r="BR2493" i="1"/>
  <c r="BM2491" i="1"/>
  <c r="BR2478" i="1"/>
  <c r="BR2494" i="1"/>
  <c r="BM2486" i="1"/>
  <c r="BR2479" i="1"/>
  <c r="BR2495" i="1"/>
  <c r="BM2481" i="1"/>
  <c r="BM2497" i="1"/>
  <c r="BR2480" i="1"/>
  <c r="BR2496" i="1"/>
  <c r="BM2492" i="1"/>
  <c r="BR2481" i="1"/>
  <c r="BR2497" i="1"/>
  <c r="BM2487" i="1"/>
  <c r="BR2482" i="1"/>
  <c r="BR2498" i="1"/>
  <c r="BM2482" i="1"/>
  <c r="BM2498" i="1"/>
  <c r="BR2483" i="1"/>
  <c r="BR2499" i="1"/>
  <c r="BM2493" i="1"/>
  <c r="BR2484" i="1"/>
  <c r="BR2500" i="1"/>
  <c r="BM2488" i="1"/>
  <c r="BR2485" i="1"/>
  <c r="BM2483" i="1"/>
  <c r="BM2499" i="1"/>
  <c r="BM2489" i="1"/>
  <c r="BR2486" i="1"/>
  <c r="BM2478" i="1"/>
  <c r="BM2494" i="1"/>
  <c r="BR2487" i="1"/>
  <c r="BM2495" i="1"/>
  <c r="BR2488" i="1"/>
  <c r="BM2484" i="1"/>
  <c r="BM2500" i="1"/>
  <c r="BR2489" i="1"/>
  <c r="BM2479" i="1"/>
  <c r="BR2490" i="1"/>
  <c r="BM2490" i="1"/>
  <c r="BL1578" i="1"/>
  <c r="BM2430" i="1"/>
  <c r="BQ2487" i="1"/>
  <c r="BQ2423" i="1"/>
  <c r="BR2428" i="1"/>
  <c r="BM2447" i="1"/>
  <c r="BR2436" i="1"/>
  <c r="BH2441" i="1"/>
  <c r="BM2440" i="1"/>
  <c r="BR2445" i="1"/>
  <c r="BM2462" i="1"/>
  <c r="BH2455" i="1"/>
  <c r="BM2456" i="1"/>
  <c r="BR2455" i="1"/>
  <c r="BH2463" i="1"/>
  <c r="BQ2448" i="1"/>
  <c r="BM2431" i="1"/>
  <c r="BQ2486" i="1"/>
  <c r="BQ2422" i="1"/>
  <c r="BH2435" i="1"/>
  <c r="BQ2435" i="1"/>
  <c r="BH2442" i="1"/>
  <c r="BM2441" i="1"/>
  <c r="BM2473" i="1"/>
  <c r="BR2461" i="1"/>
  <c r="BH2456" i="1"/>
  <c r="BM2457" i="1"/>
  <c r="BH2464" i="1"/>
  <c r="BH2468" i="1"/>
  <c r="BQ1437" i="1"/>
  <c r="BM2432" i="1"/>
  <c r="BQ2485" i="1"/>
  <c r="BQ2421" i="1"/>
  <c r="BR2429" i="1"/>
  <c r="BH2436" i="1"/>
  <c r="BQ2436" i="1"/>
  <c r="BR2437" i="1"/>
  <c r="BH2443" i="1"/>
  <c r="BM2442" i="1"/>
  <c r="BR2446" i="1"/>
  <c r="BQ2459" i="1"/>
  <c r="BH2457" i="1"/>
  <c r="BM2458" i="1"/>
  <c r="BR2456" i="1"/>
  <c r="BH2465" i="1"/>
  <c r="BH2469" i="1"/>
  <c r="BH2434" i="1"/>
  <c r="BM2433" i="1"/>
  <c r="BQ2500" i="1"/>
  <c r="BQ2484" i="1"/>
  <c r="BQ2428" i="1"/>
  <c r="BH2437" i="1"/>
  <c r="BQ2437" i="1"/>
  <c r="BH2444" i="1"/>
  <c r="BM2443" i="1"/>
  <c r="BQ2460" i="1"/>
  <c r="BR2462" i="1"/>
  <c r="BH2458" i="1"/>
  <c r="BQ2450" i="1"/>
  <c r="BH2466" i="1"/>
  <c r="BM2463" i="1"/>
  <c r="BR2463" i="1"/>
  <c r="BH2470" i="1"/>
  <c r="BQ2434" i="1"/>
  <c r="BH2428" i="1"/>
  <c r="BQ2420" i="1"/>
  <c r="BQ2499" i="1"/>
  <c r="BQ2483" i="1"/>
  <c r="BQ2429" i="1"/>
  <c r="BR2430" i="1"/>
  <c r="BH2438" i="1"/>
  <c r="BQ2438" i="1"/>
  <c r="BR2438" i="1"/>
  <c r="BH2445" i="1"/>
  <c r="BM2444" i="1"/>
  <c r="BQ2461" i="1"/>
  <c r="BQ2451" i="1"/>
  <c r="BR2457" i="1"/>
  <c r="BH2467" i="1"/>
  <c r="BM2464" i="1"/>
  <c r="BH2471" i="1"/>
  <c r="BM2468" i="1"/>
  <c r="BR2468" i="1"/>
  <c r="BM2449" i="1"/>
  <c r="BH2429" i="1"/>
  <c r="BQ2498" i="1"/>
  <c r="BQ2482" i="1"/>
  <c r="BQ2430" i="1"/>
  <c r="BH2439" i="1"/>
  <c r="BQ2439" i="1"/>
  <c r="BH2446" i="1"/>
  <c r="BM2445" i="1"/>
  <c r="BQ2462" i="1"/>
  <c r="BR2473" i="1"/>
  <c r="BQ2452" i="1"/>
  <c r="BM2465" i="1"/>
  <c r="BR2464" i="1"/>
  <c r="BH2472" i="1"/>
  <c r="BM2469" i="1"/>
  <c r="BH2427" i="1"/>
  <c r="BI1559" i="1"/>
  <c r="BR2426" i="1"/>
  <c r="BH2430" i="1"/>
  <c r="BQ2497" i="1"/>
  <c r="BQ2481" i="1"/>
  <c r="BQ2431" i="1"/>
  <c r="BR2431" i="1"/>
  <c r="BH2447" i="1"/>
  <c r="BQ2447" i="1"/>
  <c r="BR2439" i="1"/>
  <c r="BM2446" i="1"/>
  <c r="BR2440" i="1"/>
  <c r="BQ2473" i="1"/>
  <c r="BQ2453" i="1"/>
  <c r="BR2450" i="1"/>
  <c r="BR2458" i="1"/>
  <c r="BM2466" i="1"/>
  <c r="BM2470" i="1"/>
  <c r="BR2469" i="1"/>
  <c r="BH2431" i="1"/>
  <c r="BQ2496" i="1"/>
  <c r="BQ2480" i="1"/>
  <c r="BQ2432" i="1"/>
  <c r="BQ2440" i="1"/>
  <c r="BQ2454" i="1"/>
  <c r="BM2467" i="1"/>
  <c r="BR2465" i="1"/>
  <c r="BM2471" i="1"/>
  <c r="BQ2427" i="1"/>
  <c r="BR2427" i="1"/>
  <c r="BH2432" i="1"/>
  <c r="BQ2495" i="1"/>
  <c r="BQ2479" i="1"/>
  <c r="BQ2433" i="1"/>
  <c r="BR2432" i="1"/>
  <c r="BR2447" i="1"/>
  <c r="BQ2441" i="1"/>
  <c r="BR2441" i="1"/>
  <c r="BQ2455" i="1"/>
  <c r="BR2451" i="1"/>
  <c r="BQ2463" i="1"/>
  <c r="BM2472" i="1"/>
  <c r="BR2470" i="1"/>
  <c r="BH2433" i="1"/>
  <c r="BQ2494" i="1"/>
  <c r="BQ2478" i="1"/>
  <c r="BQ2442" i="1"/>
  <c r="BQ2456" i="1"/>
  <c r="BQ2464" i="1"/>
  <c r="BR2466" i="1"/>
  <c r="BQ2468" i="1"/>
  <c r="BR2434" i="1"/>
  <c r="BQ2493" i="1"/>
  <c r="BQ2477" i="1"/>
  <c r="BR2433" i="1"/>
  <c r="BQ2443" i="1"/>
  <c r="BR2442" i="1"/>
  <c r="BH2459" i="1"/>
  <c r="BM2450" i="1"/>
  <c r="BQ2457" i="1"/>
  <c r="BR2452" i="1"/>
  <c r="BQ2465" i="1"/>
  <c r="BQ2469" i="1"/>
  <c r="BR2471" i="1"/>
  <c r="BQ2426" i="1"/>
  <c r="BQ2492" i="1"/>
  <c r="BQ2476" i="1"/>
  <c r="BM2435" i="1"/>
  <c r="BQ2444" i="1"/>
  <c r="BH2460" i="1"/>
  <c r="BH2450" i="1"/>
  <c r="BM2451" i="1"/>
  <c r="BQ2458" i="1"/>
  <c r="BQ2466" i="1"/>
  <c r="BR2467" i="1"/>
  <c r="BQ2470" i="1"/>
  <c r="BR2448" i="1"/>
  <c r="BQ2491" i="1"/>
  <c r="BQ2475" i="1"/>
  <c r="BM2436" i="1"/>
  <c r="BQ2445" i="1"/>
  <c r="BR2443" i="1"/>
  <c r="BH2461" i="1"/>
  <c r="BH2451" i="1"/>
  <c r="BM2452" i="1"/>
  <c r="BR2453" i="1"/>
  <c r="BQ2467" i="1"/>
  <c r="BQ2471" i="1"/>
  <c r="BR2472" i="1"/>
  <c r="BM2426" i="1"/>
  <c r="BR2476" i="1"/>
  <c r="BH2488" i="1"/>
  <c r="BR2477" i="1"/>
  <c r="BH2483" i="1"/>
  <c r="BH2499" i="1"/>
  <c r="BH2478" i="1"/>
  <c r="BH2494" i="1"/>
  <c r="BM2474" i="1"/>
  <c r="BH2489" i="1"/>
  <c r="BM2421" i="1"/>
  <c r="BH2484" i="1"/>
  <c r="BH2500" i="1"/>
  <c r="BH2479" i="1"/>
  <c r="BH2495" i="1"/>
  <c r="BM2475" i="1"/>
  <c r="BH2474" i="1"/>
  <c r="BH2490" i="1"/>
  <c r="BM2422" i="1"/>
  <c r="BR2420" i="1"/>
  <c r="BH2485" i="1"/>
  <c r="BH2480" i="1"/>
  <c r="BH2496" i="1"/>
  <c r="BM2476" i="1"/>
  <c r="BR2421" i="1"/>
  <c r="BH2475" i="1"/>
  <c r="BH2491" i="1"/>
  <c r="BM2423" i="1"/>
  <c r="BR2422" i="1"/>
  <c r="BH2486" i="1"/>
  <c r="BR2423" i="1"/>
  <c r="BH2481" i="1"/>
  <c r="BH2497" i="1"/>
  <c r="BM2477" i="1"/>
  <c r="BR2424" i="1"/>
  <c r="BH2476" i="1"/>
  <c r="BH2492" i="1"/>
  <c r="BM2424" i="1"/>
  <c r="BR2425" i="1"/>
  <c r="BH2487" i="1"/>
  <c r="BR2474" i="1"/>
  <c r="BH2482" i="1"/>
  <c r="BH2498" i="1"/>
  <c r="BM2434" i="1"/>
  <c r="BR2475" i="1"/>
  <c r="BH2477" i="1"/>
  <c r="BH2493" i="1"/>
  <c r="BM2425" i="1"/>
  <c r="BM2420" i="1"/>
  <c r="BV2350" i="1"/>
  <c r="BH2449" i="1"/>
  <c r="BM2427" i="1"/>
  <c r="BL1523" i="1"/>
  <c r="BL1453" i="1"/>
  <c r="BL1450" i="1"/>
  <c r="BL1447" i="1"/>
  <c r="BL1444" i="1"/>
  <c r="BL1441" i="1"/>
  <c r="BL1438" i="1"/>
  <c r="BL1435" i="1"/>
  <c r="BL1432" i="1"/>
  <c r="BL1429" i="1"/>
  <c r="BL1426" i="1"/>
  <c r="BL1423" i="1"/>
  <c r="BL1420" i="1"/>
  <c r="BL1417" i="1"/>
  <c r="BL1414" i="1"/>
  <c r="BL1411" i="1"/>
  <c r="BL1408" i="1"/>
  <c r="BL1405" i="1"/>
  <c r="BL1402" i="1"/>
  <c r="BL1399" i="1"/>
  <c r="BL1396" i="1"/>
  <c r="BL1393" i="1"/>
  <c r="BL1520" i="1"/>
  <c r="BL1455" i="1"/>
  <c r="BL1517" i="1"/>
  <c r="BI1524" i="1"/>
  <c r="BI1521" i="1"/>
  <c r="BI1518" i="1"/>
  <c r="BI1456" i="1"/>
  <c r="BI1452" i="1"/>
  <c r="BI1449" i="1"/>
  <c r="BI1446" i="1"/>
  <c r="BI1443" i="1"/>
  <c r="BI1440" i="1"/>
  <c r="BI1437" i="1"/>
  <c r="BI1434" i="1"/>
  <c r="BI1431" i="1"/>
  <c r="BI1428" i="1"/>
  <c r="BI1425" i="1"/>
  <c r="BI1422" i="1"/>
  <c r="BI1419" i="1"/>
  <c r="BI1416" i="1"/>
  <c r="BI1413" i="1"/>
  <c r="BI1410" i="1"/>
  <c r="BI1406" i="1"/>
  <c r="BI1402" i="1"/>
  <c r="BI1393" i="1"/>
  <c r="BL1488" i="1"/>
  <c r="BI1459" i="1"/>
  <c r="BL1465" i="1"/>
  <c r="BL1484" i="1"/>
  <c r="BI1478" i="1"/>
  <c r="BL1473" i="1"/>
  <c r="BI1469" i="1"/>
  <c r="BI1480" i="1"/>
  <c r="BL1496" i="1"/>
  <c r="BL1492" i="1"/>
  <c r="BL1509" i="1"/>
  <c r="BL1508" i="1"/>
  <c r="BL1503" i="1"/>
  <c r="BL1512" i="1"/>
  <c r="BL1515" i="1"/>
  <c r="BL1529" i="1"/>
  <c r="BL1541" i="1"/>
  <c r="BL1538" i="1"/>
  <c r="BI1642" i="1"/>
  <c r="BI1547" i="1"/>
  <c r="BI1550" i="1"/>
  <c r="BI1640" i="1"/>
  <c r="BI1556" i="1"/>
  <c r="BL1560" i="1"/>
  <c r="BI1572" i="1"/>
  <c r="BI1564" i="1"/>
  <c r="BL1568" i="1"/>
  <c r="BL1598" i="1"/>
  <c r="BL1456" i="1"/>
  <c r="BL1518" i="1"/>
  <c r="BI1526" i="1"/>
  <c r="BI1523" i="1"/>
  <c r="BI1520" i="1"/>
  <c r="BI1517" i="1"/>
  <c r="BI1455" i="1"/>
  <c r="BI1451" i="1"/>
  <c r="BI1448" i="1"/>
  <c r="BI1445" i="1"/>
  <c r="BI1442" i="1"/>
  <c r="BI1439" i="1"/>
  <c r="BI1436" i="1"/>
  <c r="BI1433" i="1"/>
  <c r="BI1430" i="1"/>
  <c r="BI1427" i="1"/>
  <c r="BI1424" i="1"/>
  <c r="BI1421" i="1"/>
  <c r="BI1418" i="1"/>
  <c r="BI1415" i="1"/>
  <c r="BI1412" i="1"/>
  <c r="BI1409" i="1"/>
  <c r="BI1405" i="1"/>
  <c r="BI1399" i="1"/>
  <c r="BL1463" i="1"/>
  <c r="BL1460" i="1"/>
  <c r="BI1485" i="1"/>
  <c r="BI1483" i="1"/>
  <c r="BL1476" i="1"/>
  <c r="BI1472" i="1"/>
  <c r="BL1467" i="1"/>
  <c r="BL1489" i="1"/>
  <c r="BL1500" i="1"/>
  <c r="BI1505" i="1"/>
  <c r="BI1532" i="1"/>
  <c r="BL1533" i="1"/>
  <c r="BI1543" i="1"/>
  <c r="BL1535" i="1"/>
  <c r="BI1540" i="1"/>
  <c r="BL1548" i="1"/>
  <c r="BL1551" i="1"/>
  <c r="BL1557" i="1"/>
  <c r="BL1565" i="1"/>
  <c r="BQ1450" i="1"/>
  <c r="BU1560" i="1"/>
  <c r="BM1426" i="1"/>
  <c r="BU1467" i="1"/>
  <c r="BM1444" i="1"/>
  <c r="BQ1477" i="1"/>
  <c r="BM1424" i="1"/>
  <c r="BM1437" i="1"/>
  <c r="BQ1470" i="1"/>
  <c r="BU1529" i="1"/>
  <c r="BU1439" i="1"/>
  <c r="BM1441" i="1"/>
  <c r="BQ1520" i="1"/>
  <c r="BQ1456" i="1"/>
  <c r="BQ1501" i="1"/>
  <c r="BQ1515" i="1"/>
  <c r="BU1644" i="1"/>
  <c r="BL2418" i="1"/>
  <c r="BI2418" i="1"/>
  <c r="BL2417" i="1"/>
  <c r="BI2417" i="1"/>
  <c r="BL2416" i="1"/>
  <c r="BI2416" i="1"/>
  <c r="BS2418" i="1"/>
  <c r="BS2417" i="1"/>
  <c r="BS2416" i="1"/>
  <c r="BO2418" i="1"/>
  <c r="BO2417" i="1"/>
  <c r="BO2416" i="1"/>
  <c r="BT2418" i="1"/>
  <c r="BT2417" i="1"/>
  <c r="BT2416" i="1"/>
  <c r="BU2418" i="1"/>
  <c r="BQ2418" i="1"/>
  <c r="BU2417" i="1"/>
  <c r="BQ2417" i="1"/>
  <c r="BU2416" i="1"/>
  <c r="BQ2416" i="1"/>
  <c r="BM2418" i="1"/>
  <c r="BM2417" i="1"/>
  <c r="BM2416" i="1"/>
  <c r="BR2418" i="1"/>
  <c r="BK2418" i="1"/>
  <c r="BJ2418" i="1"/>
  <c r="BH2418" i="1"/>
  <c r="BR2417" i="1"/>
  <c r="BK2417" i="1"/>
  <c r="BJ2417" i="1"/>
  <c r="BH2417" i="1"/>
  <c r="BR2416" i="1"/>
  <c r="BK2416" i="1"/>
  <c r="BJ2416" i="1"/>
  <c r="BH2416" i="1"/>
  <c r="BN2418" i="1"/>
  <c r="BN2417" i="1"/>
  <c r="BN2416" i="1"/>
  <c r="BV2418" i="1"/>
  <c r="BV2417" i="1"/>
  <c r="BV2416" i="1"/>
  <c r="BR2415" i="1"/>
  <c r="BK2415" i="1"/>
  <c r="BJ2415" i="1"/>
  <c r="BH2415" i="1"/>
  <c r="BR2414" i="1"/>
  <c r="BK2414" i="1"/>
  <c r="BJ2414" i="1"/>
  <c r="BH2414" i="1"/>
  <c r="BR2413" i="1"/>
  <c r="BK2413" i="1"/>
  <c r="BJ2413" i="1"/>
  <c r="BH2413" i="1"/>
  <c r="BR2412" i="1"/>
  <c r="BK2412" i="1"/>
  <c r="BJ2412" i="1"/>
  <c r="BH2412" i="1"/>
  <c r="BR2411" i="1"/>
  <c r="BK2411" i="1"/>
  <c r="BJ2411" i="1"/>
  <c r="BH2411" i="1"/>
  <c r="BR2410" i="1"/>
  <c r="BK2410" i="1"/>
  <c r="BJ2410" i="1"/>
  <c r="BH2410" i="1"/>
  <c r="BR2409" i="1"/>
  <c r="BK2409" i="1"/>
  <c r="BJ2409" i="1"/>
  <c r="BH2409" i="1"/>
  <c r="BJ2360" i="1"/>
  <c r="BJ2361" i="1"/>
  <c r="BJ2362" i="1"/>
  <c r="BJ2363" i="1"/>
  <c r="BJ2364" i="1"/>
  <c r="BJ2365" i="1"/>
  <c r="BJ2366" i="1"/>
  <c r="BJ2367" i="1"/>
  <c r="BJ2368" i="1"/>
  <c r="BJ2369" i="1"/>
  <c r="BJ2370" i="1"/>
  <c r="BJ2371" i="1"/>
  <c r="BJ2372" i="1"/>
  <c r="BJ2373" i="1"/>
  <c r="BJ2374" i="1"/>
  <c r="BJ2375" i="1"/>
  <c r="BJ2376" i="1"/>
  <c r="BJ2377" i="1"/>
  <c r="BJ2378" i="1"/>
  <c r="BJ2379" i="1"/>
  <c r="BJ2380" i="1"/>
  <c r="BJ2381" i="1"/>
  <c r="BJ2382" i="1"/>
  <c r="BJ2383" i="1"/>
  <c r="BJ2384" i="1"/>
  <c r="BJ2385" i="1"/>
  <c r="BJ2386" i="1"/>
  <c r="BJ2387" i="1"/>
  <c r="BJ2388" i="1"/>
  <c r="BJ2389" i="1"/>
  <c r="BJ2390" i="1"/>
  <c r="BJ2391" i="1"/>
  <c r="BJ2392" i="1"/>
  <c r="BN2415" i="1"/>
  <c r="BN2414" i="1"/>
  <c r="BN2413" i="1"/>
  <c r="BN2412" i="1"/>
  <c r="BN2411" i="1"/>
  <c r="BN2410" i="1"/>
  <c r="BN2409" i="1"/>
  <c r="BJ2393" i="1"/>
  <c r="BJ2394" i="1"/>
  <c r="BJ2395" i="1"/>
  <c r="BJ2396" i="1"/>
  <c r="BJ2397" i="1"/>
  <c r="BJ2398" i="1"/>
  <c r="BJ2399" i="1"/>
  <c r="BJ2400" i="1"/>
  <c r="BJ2401" i="1"/>
  <c r="BJ2402" i="1"/>
  <c r="BJ2403" i="1"/>
  <c r="BJ2404" i="1"/>
  <c r="BJ2405" i="1"/>
  <c r="BJ2406" i="1"/>
  <c r="BJ2407" i="1"/>
  <c r="BJ2408" i="1"/>
  <c r="BS2415" i="1"/>
  <c r="BS2414" i="1"/>
  <c r="BS2413" i="1"/>
  <c r="BS2412" i="1"/>
  <c r="BS2411" i="1"/>
  <c r="BS2410" i="1"/>
  <c r="BS2409" i="1"/>
  <c r="BO2415" i="1"/>
  <c r="BO2414" i="1"/>
  <c r="BO2413" i="1"/>
  <c r="BO2412" i="1"/>
  <c r="BO2411" i="1"/>
  <c r="BO2410" i="1"/>
  <c r="BO2409" i="1"/>
  <c r="BT2415" i="1"/>
  <c r="BT2414" i="1"/>
  <c r="BT2413" i="1"/>
  <c r="BT2412" i="1"/>
  <c r="BT2411" i="1"/>
  <c r="BT2410" i="1"/>
  <c r="BT2409" i="1"/>
  <c r="BU2415" i="1"/>
  <c r="BQ2415" i="1"/>
  <c r="BU2414" i="1"/>
  <c r="BQ2414" i="1"/>
  <c r="BU2413" i="1"/>
  <c r="BQ2413" i="1"/>
  <c r="BU2412" i="1"/>
  <c r="BQ2412" i="1"/>
  <c r="BU2411" i="1"/>
  <c r="BQ2411" i="1"/>
  <c r="BU2410" i="1"/>
  <c r="BQ2410" i="1"/>
  <c r="BU2409" i="1"/>
  <c r="BQ2409" i="1"/>
  <c r="BM2415" i="1"/>
  <c r="BM2414" i="1"/>
  <c r="BM2413" i="1"/>
  <c r="BM2412" i="1"/>
  <c r="BM2411" i="1"/>
  <c r="BM2410" i="1"/>
  <c r="BM2409" i="1"/>
  <c r="BL2415" i="1"/>
  <c r="BI2415" i="1"/>
  <c r="BL2414" i="1"/>
  <c r="BI2414" i="1"/>
  <c r="BL2413" i="1"/>
  <c r="BI2413" i="1"/>
  <c r="BL2412" i="1"/>
  <c r="BI2412" i="1"/>
  <c r="BL2411" i="1"/>
  <c r="BI2411" i="1"/>
  <c r="BL2410" i="1"/>
  <c r="BI2410" i="1"/>
  <c r="BL2409" i="1"/>
  <c r="BI2409" i="1"/>
  <c r="BV2415" i="1"/>
  <c r="BV2414" i="1"/>
  <c r="BV2413" i="1"/>
  <c r="BV2412" i="1"/>
  <c r="BV2411" i="1"/>
  <c r="BV2410" i="1"/>
  <c r="BV2409" i="1"/>
  <c r="BR2404" i="1"/>
  <c r="BK2404" i="1"/>
  <c r="BH2404" i="1"/>
  <c r="BR2403" i="1"/>
  <c r="BK2403" i="1"/>
  <c r="BH2403" i="1"/>
  <c r="BR2402" i="1"/>
  <c r="BK2402" i="1"/>
  <c r="BH2402" i="1"/>
  <c r="BR2401" i="1"/>
  <c r="BK2401" i="1"/>
  <c r="BH2401" i="1"/>
  <c r="BR2400" i="1"/>
  <c r="BK2400" i="1"/>
  <c r="BH2400" i="1"/>
  <c r="BR2399" i="1"/>
  <c r="BK2399" i="1"/>
  <c r="BH2399" i="1"/>
  <c r="BR2398" i="1"/>
  <c r="BK2398" i="1"/>
  <c r="BH2398" i="1"/>
  <c r="BR2397" i="1"/>
  <c r="BK2397" i="1"/>
  <c r="BH2397" i="1"/>
  <c r="BN2404" i="1"/>
  <c r="BN2403" i="1"/>
  <c r="BN2402" i="1"/>
  <c r="BN2401" i="1"/>
  <c r="BN2400" i="1"/>
  <c r="BN2399" i="1"/>
  <c r="BN2398" i="1"/>
  <c r="BN2397" i="1"/>
  <c r="BL2404" i="1"/>
  <c r="BI2404" i="1"/>
  <c r="BL2403" i="1"/>
  <c r="BI2403" i="1"/>
  <c r="BL2402" i="1"/>
  <c r="BI2402" i="1"/>
  <c r="BL2401" i="1"/>
  <c r="BI2401" i="1"/>
  <c r="BL2400" i="1"/>
  <c r="BI2400" i="1"/>
  <c r="BL2399" i="1"/>
  <c r="BI2399" i="1"/>
  <c r="BL2398" i="1"/>
  <c r="BI2398" i="1"/>
  <c r="BL2397" i="1"/>
  <c r="BI2397" i="1"/>
  <c r="BS2404" i="1"/>
  <c r="BS2403" i="1"/>
  <c r="BS2402" i="1"/>
  <c r="BS2401" i="1"/>
  <c r="BS2400" i="1"/>
  <c r="BS2399" i="1"/>
  <c r="BS2398" i="1"/>
  <c r="BS2397" i="1"/>
  <c r="BO2404" i="1"/>
  <c r="BO2403" i="1"/>
  <c r="BO2402" i="1"/>
  <c r="BO2401" i="1"/>
  <c r="BO2400" i="1"/>
  <c r="BO2399" i="1"/>
  <c r="BO2398" i="1"/>
  <c r="BO2397" i="1"/>
  <c r="BT2404" i="1"/>
  <c r="BT2403" i="1"/>
  <c r="BT2402" i="1"/>
  <c r="BT2401" i="1"/>
  <c r="BT2400" i="1"/>
  <c r="BT2399" i="1"/>
  <c r="BT2398" i="1"/>
  <c r="BT2397" i="1"/>
  <c r="BU2404" i="1"/>
  <c r="BQ2404" i="1"/>
  <c r="BU2403" i="1"/>
  <c r="BQ2403" i="1"/>
  <c r="BU2402" i="1"/>
  <c r="BQ2402" i="1"/>
  <c r="BU2401" i="1"/>
  <c r="BQ2401" i="1"/>
  <c r="BU2400" i="1"/>
  <c r="BQ2400" i="1"/>
  <c r="BU2399" i="1"/>
  <c r="BQ2399" i="1"/>
  <c r="BU2398" i="1"/>
  <c r="BQ2398" i="1"/>
  <c r="BU2397" i="1"/>
  <c r="BQ2397" i="1"/>
  <c r="BM2404" i="1"/>
  <c r="BM2403" i="1"/>
  <c r="BM2402" i="1"/>
  <c r="BM2401" i="1"/>
  <c r="BM2400" i="1"/>
  <c r="BM2399" i="1"/>
  <c r="BM2398" i="1"/>
  <c r="BM2397" i="1"/>
  <c r="BV2404" i="1"/>
  <c r="BV2403" i="1"/>
  <c r="BV2402" i="1"/>
  <c r="BV2401" i="1"/>
  <c r="BV2400" i="1"/>
  <c r="BV2399" i="1"/>
  <c r="BV2398" i="1"/>
  <c r="BV2397" i="1"/>
  <c r="BS2408" i="1"/>
  <c r="BS2407" i="1"/>
  <c r="BS2406" i="1"/>
  <c r="BS2405" i="1"/>
  <c r="BO2408" i="1"/>
  <c r="BO2407" i="1"/>
  <c r="BO2406" i="1"/>
  <c r="BO2405" i="1"/>
  <c r="BT2408" i="1"/>
  <c r="BT2407" i="1"/>
  <c r="BT2406" i="1"/>
  <c r="BT2405" i="1"/>
  <c r="BU1598" i="1"/>
  <c r="BU2408" i="1"/>
  <c r="BQ2408" i="1"/>
  <c r="BU2407" i="1"/>
  <c r="BQ2407" i="1"/>
  <c r="BU2406" i="1"/>
  <c r="BQ2406" i="1"/>
  <c r="BU2405" i="1"/>
  <c r="BQ2405" i="1"/>
  <c r="BM2408" i="1"/>
  <c r="BM2407" i="1"/>
  <c r="BM2406" i="1"/>
  <c r="BM2405" i="1"/>
  <c r="BR2408" i="1"/>
  <c r="BK2408" i="1"/>
  <c r="BH2408" i="1"/>
  <c r="BR2407" i="1"/>
  <c r="BK2407" i="1"/>
  <c r="BH2407" i="1"/>
  <c r="BR2406" i="1"/>
  <c r="BK2406" i="1"/>
  <c r="BH2406" i="1"/>
  <c r="BR2405" i="1"/>
  <c r="BK2405" i="1"/>
  <c r="BH2405" i="1"/>
  <c r="BN2408" i="1"/>
  <c r="BN2407" i="1"/>
  <c r="BN2406" i="1"/>
  <c r="BN2405" i="1"/>
  <c r="BL2408" i="1"/>
  <c r="BI2408" i="1"/>
  <c r="BL2407" i="1"/>
  <c r="BI2407" i="1"/>
  <c r="BL2406" i="1"/>
  <c r="BI2406" i="1"/>
  <c r="BL2405" i="1"/>
  <c r="BI2405" i="1"/>
  <c r="BV2408" i="1"/>
  <c r="BV2407" i="1"/>
  <c r="BV2406" i="1"/>
  <c r="BV2405" i="1"/>
  <c r="BS2376" i="1"/>
  <c r="BS2375" i="1"/>
  <c r="BS2374" i="1"/>
  <c r="BS2373" i="1"/>
  <c r="BO2376" i="1"/>
  <c r="BO2375" i="1"/>
  <c r="BO2374" i="1"/>
  <c r="BO2373" i="1"/>
  <c r="BT2376" i="1"/>
  <c r="BT2375" i="1"/>
  <c r="BT2374" i="1"/>
  <c r="BT2373" i="1"/>
  <c r="BL2376" i="1"/>
  <c r="BI2376" i="1"/>
  <c r="BL2375" i="1"/>
  <c r="BI2375" i="1"/>
  <c r="BL2374" i="1"/>
  <c r="BI2374" i="1"/>
  <c r="BL2373" i="1"/>
  <c r="BI2373" i="1"/>
  <c r="BU2376" i="1"/>
  <c r="BQ2376" i="1"/>
  <c r="BU2375" i="1"/>
  <c r="BQ2375" i="1"/>
  <c r="BU2374" i="1"/>
  <c r="BQ2374" i="1"/>
  <c r="BU2373" i="1"/>
  <c r="BQ2373" i="1"/>
  <c r="BM2376" i="1"/>
  <c r="BM2375" i="1"/>
  <c r="BM2374" i="1"/>
  <c r="BM2373" i="1"/>
  <c r="BR2376" i="1"/>
  <c r="BK2376" i="1"/>
  <c r="BH2376" i="1"/>
  <c r="BR2375" i="1"/>
  <c r="BK2375" i="1"/>
  <c r="BH2375" i="1"/>
  <c r="BR2374" i="1"/>
  <c r="BK2374" i="1"/>
  <c r="BH2374" i="1"/>
  <c r="BR2373" i="1"/>
  <c r="BK2373" i="1"/>
  <c r="BH2373" i="1"/>
  <c r="BN2376" i="1"/>
  <c r="BN2375" i="1"/>
  <c r="BN2374" i="1"/>
  <c r="BN2373" i="1"/>
  <c r="BV2376" i="1"/>
  <c r="BV2375" i="1"/>
  <c r="BV2374" i="1"/>
  <c r="BV2373" i="1"/>
  <c r="BR2372" i="1"/>
  <c r="BK2372" i="1"/>
  <c r="BH2372" i="1"/>
  <c r="BR2371" i="1"/>
  <c r="BK2371" i="1"/>
  <c r="BH2371" i="1"/>
  <c r="BR2370" i="1"/>
  <c r="BK2370" i="1"/>
  <c r="BH2370" i="1"/>
  <c r="BR2369" i="1"/>
  <c r="BK2369" i="1"/>
  <c r="BH2369" i="1"/>
  <c r="BN2372" i="1"/>
  <c r="BN2371" i="1"/>
  <c r="BN2370" i="1"/>
  <c r="BN2369" i="1"/>
  <c r="BS2372" i="1"/>
  <c r="BS2371" i="1"/>
  <c r="BS2370" i="1"/>
  <c r="BS2369" i="1"/>
  <c r="BO2372" i="1"/>
  <c r="BO2371" i="1"/>
  <c r="BO2370" i="1"/>
  <c r="BO2369" i="1"/>
  <c r="BT2372" i="1"/>
  <c r="BT2371" i="1"/>
  <c r="BT2370" i="1"/>
  <c r="BT2369" i="1"/>
  <c r="BU2372" i="1"/>
  <c r="BQ2372" i="1"/>
  <c r="BU2371" i="1"/>
  <c r="BQ2371" i="1"/>
  <c r="BU2370" i="1"/>
  <c r="BQ2370" i="1"/>
  <c r="BU2369" i="1"/>
  <c r="BQ2369" i="1"/>
  <c r="BM2372" i="1"/>
  <c r="BM2371" i="1"/>
  <c r="BM2370" i="1"/>
  <c r="BM2369" i="1"/>
  <c r="BL2372" i="1"/>
  <c r="BI2372" i="1"/>
  <c r="BL2371" i="1"/>
  <c r="BI2371" i="1"/>
  <c r="BL2370" i="1"/>
  <c r="BI2370" i="1"/>
  <c r="BL2369" i="1"/>
  <c r="BI2369" i="1"/>
  <c r="BV2372" i="1"/>
  <c r="BV2371" i="1"/>
  <c r="BV2370" i="1"/>
  <c r="BV2369" i="1"/>
  <c r="AU2641" i="1"/>
  <c r="BS2377" i="1"/>
  <c r="BS2368" i="1"/>
  <c r="BS2367" i="1"/>
  <c r="BS2366" i="1"/>
  <c r="BS2365" i="1"/>
  <c r="BS2364" i="1"/>
  <c r="BS2363" i="1"/>
  <c r="BS2362" i="1"/>
  <c r="BS2361" i="1"/>
  <c r="BS2360" i="1"/>
  <c r="BO2377" i="1"/>
  <c r="BO2368" i="1"/>
  <c r="BO2367" i="1"/>
  <c r="BO2366" i="1"/>
  <c r="BO2365" i="1"/>
  <c r="BO2364" i="1"/>
  <c r="BO2363" i="1"/>
  <c r="BO2362" i="1"/>
  <c r="BO2361" i="1"/>
  <c r="BO2360" i="1"/>
  <c r="BT2377" i="1"/>
  <c r="BT2368" i="1"/>
  <c r="BT2367" i="1"/>
  <c r="BT2366" i="1"/>
  <c r="BT2365" i="1"/>
  <c r="BT2364" i="1"/>
  <c r="BT2363" i="1"/>
  <c r="BT2362" i="1"/>
  <c r="BT2361" i="1"/>
  <c r="BL2377" i="1"/>
  <c r="BI2377" i="1"/>
  <c r="BL2368" i="1"/>
  <c r="BI2368" i="1"/>
  <c r="BL2367" i="1"/>
  <c r="BI2367" i="1"/>
  <c r="BL2366" i="1"/>
  <c r="BI2366" i="1"/>
  <c r="BL2365" i="1"/>
  <c r="BI2365" i="1"/>
  <c r="BL2364" i="1"/>
  <c r="BI2364" i="1"/>
  <c r="BL2363" i="1"/>
  <c r="BI2363" i="1"/>
  <c r="BL2362" i="1"/>
  <c r="BI2362" i="1"/>
  <c r="BL2361" i="1"/>
  <c r="BI2361" i="1"/>
  <c r="BL2360" i="1"/>
  <c r="BU2377" i="1"/>
  <c r="BQ2377" i="1"/>
  <c r="BU2368" i="1"/>
  <c r="BQ2368" i="1"/>
  <c r="BU2367" i="1"/>
  <c r="BQ2367" i="1"/>
  <c r="BU2366" i="1"/>
  <c r="BQ2366" i="1"/>
  <c r="BU2365" i="1"/>
  <c r="BQ2365" i="1"/>
  <c r="BU2364" i="1"/>
  <c r="BQ2364" i="1"/>
  <c r="BU2363" i="1"/>
  <c r="BQ2363" i="1"/>
  <c r="BU2362" i="1"/>
  <c r="BQ2362" i="1"/>
  <c r="BU2361" i="1"/>
  <c r="BQ2361" i="1"/>
  <c r="BU2360" i="1"/>
  <c r="BQ2360" i="1"/>
  <c r="BM2377" i="1"/>
  <c r="BM2368" i="1"/>
  <c r="BM2367" i="1"/>
  <c r="BM2366" i="1"/>
  <c r="BM2365" i="1"/>
  <c r="BM2364" i="1"/>
  <c r="BM2363" i="1"/>
  <c r="BM2362" i="1"/>
  <c r="BM2361" i="1"/>
  <c r="BM2360" i="1"/>
  <c r="BR2377" i="1"/>
  <c r="BK2377" i="1"/>
  <c r="BH2377" i="1"/>
  <c r="BR2368" i="1"/>
  <c r="BK2368" i="1"/>
  <c r="BH2368" i="1"/>
  <c r="BR2367" i="1"/>
  <c r="BK2367" i="1"/>
  <c r="BH2367" i="1"/>
  <c r="BR2366" i="1"/>
  <c r="BK2366" i="1"/>
  <c r="BH2366" i="1"/>
  <c r="BR2365" i="1"/>
  <c r="BK2365" i="1"/>
  <c r="BH2365" i="1"/>
  <c r="BR2364" i="1"/>
  <c r="BK2364" i="1"/>
  <c r="BH2364" i="1"/>
  <c r="BR2363" i="1"/>
  <c r="BK2363" i="1"/>
  <c r="BH2363" i="1"/>
  <c r="BR2362" i="1"/>
  <c r="BK2362" i="1"/>
  <c r="BH2362" i="1"/>
  <c r="BR2361" i="1"/>
  <c r="BK2361" i="1"/>
  <c r="BH2361" i="1"/>
  <c r="BN2377" i="1"/>
  <c r="BN2368" i="1"/>
  <c r="BN2367" i="1"/>
  <c r="BN2366" i="1"/>
  <c r="BN2365" i="1"/>
  <c r="BN2364" i="1"/>
  <c r="BN2363" i="1"/>
  <c r="BN2362" i="1"/>
  <c r="BN2361" i="1"/>
  <c r="BN2360" i="1"/>
  <c r="BV2377" i="1"/>
  <c r="BV2368" i="1"/>
  <c r="BV2367" i="1"/>
  <c r="BV2366" i="1"/>
  <c r="BV2365" i="1"/>
  <c r="BV2364" i="1"/>
  <c r="BV2363" i="1"/>
  <c r="BV2362" i="1"/>
  <c r="BV2361" i="1"/>
  <c r="BV2360" i="1"/>
  <c r="BT2360" i="1"/>
  <c r="BR2360" i="1"/>
  <c r="BK2360" i="1"/>
  <c r="BI2360" i="1"/>
  <c r="BH2360" i="1"/>
  <c r="AU222" i="1"/>
  <c r="AU113" i="1"/>
  <c r="AU211" i="1"/>
  <c r="AU241" i="1"/>
  <c r="AU174" i="1"/>
  <c r="AU212" i="1"/>
  <c r="AU240" i="1"/>
  <c r="AU198" i="1"/>
  <c r="AU296" i="1"/>
  <c r="AU367" i="1"/>
  <c r="AU392" i="1"/>
  <c r="AU430" i="1"/>
  <c r="AU536" i="1"/>
  <c r="AU347" i="1"/>
  <c r="AU170" i="1"/>
  <c r="AU176" i="1"/>
  <c r="AU554" i="1"/>
  <c r="AU186" i="1"/>
  <c r="AU188" i="1"/>
  <c r="AU239" i="1"/>
  <c r="AU282" i="1"/>
  <c r="AU365" i="1"/>
  <c r="AU464" i="1"/>
  <c r="AU283" i="1"/>
  <c r="AU314" i="1"/>
  <c r="AU425" i="1"/>
  <c r="AU185" i="1"/>
  <c r="AU306" i="1"/>
  <c r="AU366" i="1"/>
  <c r="AU431" i="1"/>
  <c r="AU363" i="1"/>
  <c r="AU394" i="1"/>
  <c r="AU250" i="1"/>
  <c r="AU364" i="1"/>
  <c r="BU2358" i="1"/>
  <c r="BQ2358" i="1"/>
  <c r="BU2357" i="1"/>
  <c r="BQ2357" i="1"/>
  <c r="BU2356" i="1"/>
  <c r="BQ2356" i="1"/>
  <c r="BU2355" i="1"/>
  <c r="BQ2355" i="1"/>
  <c r="BU2354" i="1"/>
  <c r="BQ2354" i="1"/>
  <c r="BM2358" i="1"/>
  <c r="BM2357" i="1"/>
  <c r="BM2356" i="1"/>
  <c r="BM2355" i="1"/>
  <c r="BM2354" i="1"/>
  <c r="BU1520" i="1"/>
  <c r="BU1588" i="1"/>
  <c r="BS2358" i="1"/>
  <c r="BS2357" i="1"/>
  <c r="BS2356" i="1"/>
  <c r="BS2355" i="1"/>
  <c r="BS2354" i="1"/>
  <c r="BO2358" i="1"/>
  <c r="BO2357" i="1"/>
  <c r="BO2356" i="1"/>
  <c r="BO2355" i="1"/>
  <c r="BO2354" i="1"/>
  <c r="BT2358" i="1"/>
  <c r="BT2357" i="1"/>
  <c r="BT2356" i="1"/>
  <c r="BT2355" i="1"/>
  <c r="BT2354" i="1"/>
  <c r="BR2358" i="1"/>
  <c r="BK2358" i="1"/>
  <c r="BJ2358" i="1"/>
  <c r="BH2358" i="1"/>
  <c r="BR2357" i="1"/>
  <c r="BK2357" i="1"/>
  <c r="BJ2357" i="1"/>
  <c r="BH2357" i="1"/>
  <c r="BR2356" i="1"/>
  <c r="BK2356" i="1"/>
  <c r="BJ2356" i="1"/>
  <c r="BH2356" i="1"/>
  <c r="BR2355" i="1"/>
  <c r="BK2355" i="1"/>
  <c r="BJ2355" i="1"/>
  <c r="BH2355" i="1"/>
  <c r="BR2354" i="1"/>
  <c r="BK2354" i="1"/>
  <c r="BJ2354" i="1"/>
  <c r="BH2354" i="1"/>
  <c r="BN2358" i="1"/>
  <c r="BN2357" i="1"/>
  <c r="BN2356" i="1"/>
  <c r="BN2355" i="1"/>
  <c r="BN2354" i="1"/>
  <c r="BU1548" i="1"/>
  <c r="BU1488" i="1"/>
  <c r="BU1458" i="1"/>
  <c r="BU1427" i="1"/>
  <c r="BQ1485" i="1"/>
  <c r="BQ1464" i="1"/>
  <c r="BQ1480" i="1"/>
  <c r="BQ1497" i="1"/>
  <c r="BQ1493" i="1"/>
  <c r="BQ1514" i="1"/>
  <c r="BU1569" i="1"/>
  <c r="BU1539" i="1"/>
  <c r="BU1508" i="1"/>
  <c r="BU1479" i="1"/>
  <c r="BU1448" i="1"/>
  <c r="BU1418" i="1"/>
  <c r="BU1581" i="1"/>
  <c r="BQ1417" i="1"/>
  <c r="BL2358" i="1"/>
  <c r="BI2358" i="1"/>
  <c r="BL2357" i="1"/>
  <c r="BI2357" i="1"/>
  <c r="BL2356" i="1"/>
  <c r="BI2356" i="1"/>
  <c r="BL2355" i="1"/>
  <c r="BI2355" i="1"/>
  <c r="BL2354" i="1"/>
  <c r="BI2354" i="1"/>
  <c r="BS2359" i="1"/>
  <c r="BS2353" i="1"/>
  <c r="BS2352" i="1"/>
  <c r="BS2351" i="1"/>
  <c r="BO2359" i="1"/>
  <c r="BO2353" i="1"/>
  <c r="BO2352" i="1"/>
  <c r="BO2351" i="1"/>
  <c r="BT2359" i="1"/>
  <c r="BT2353" i="1"/>
  <c r="BT2352" i="1"/>
  <c r="BT2351" i="1"/>
  <c r="BU2359" i="1"/>
  <c r="BQ2359" i="1"/>
  <c r="BU2353" i="1"/>
  <c r="BQ2353" i="1"/>
  <c r="BU2352" i="1"/>
  <c r="BQ2352" i="1"/>
  <c r="BU2351" i="1"/>
  <c r="BQ2351" i="1"/>
  <c r="BM2359" i="1"/>
  <c r="BM2353" i="1"/>
  <c r="BM2352" i="1"/>
  <c r="BM2351" i="1"/>
  <c r="BR2359" i="1"/>
  <c r="BK2359" i="1"/>
  <c r="BJ2359" i="1"/>
  <c r="BH2359" i="1"/>
  <c r="BR2353" i="1"/>
  <c r="BK2353" i="1"/>
  <c r="BJ2353" i="1"/>
  <c r="BH2353" i="1"/>
  <c r="BR2352" i="1"/>
  <c r="BK2352" i="1"/>
  <c r="BJ2352" i="1"/>
  <c r="BH2352" i="1"/>
  <c r="BR2351" i="1"/>
  <c r="BK2351" i="1"/>
  <c r="BJ2351" i="1"/>
  <c r="BH2351" i="1"/>
  <c r="BN2359" i="1"/>
  <c r="BN2353" i="1"/>
  <c r="BN2352" i="1"/>
  <c r="BN2351" i="1"/>
  <c r="BL2359" i="1"/>
  <c r="BI2359" i="1"/>
  <c r="BL2353" i="1"/>
  <c r="BI2353" i="1"/>
  <c r="BL2352" i="1"/>
  <c r="BI2352" i="1"/>
  <c r="BL2351" i="1"/>
  <c r="BI2351" i="1"/>
  <c r="BR2348" i="1"/>
  <c r="BK2348" i="1"/>
  <c r="BJ2348" i="1"/>
  <c r="BH2348" i="1"/>
  <c r="BR2347" i="1"/>
  <c r="BK2347" i="1"/>
  <c r="BJ2347" i="1"/>
  <c r="BH2347" i="1"/>
  <c r="BR2346" i="1"/>
  <c r="BK2346" i="1"/>
  <c r="BJ2346" i="1"/>
  <c r="BH2346" i="1"/>
  <c r="BR2345" i="1"/>
  <c r="BK2345" i="1"/>
  <c r="BJ2345" i="1"/>
  <c r="BH2345" i="1"/>
  <c r="BR2344" i="1"/>
  <c r="BK2344" i="1"/>
  <c r="BJ2344" i="1"/>
  <c r="BH2344" i="1"/>
  <c r="BR2343" i="1"/>
  <c r="BK2343" i="1"/>
  <c r="BJ2343" i="1"/>
  <c r="BH2343" i="1"/>
  <c r="BN2348" i="1"/>
  <c r="BN2347" i="1"/>
  <c r="BN2346" i="1"/>
  <c r="BN2345" i="1"/>
  <c r="BN2344" i="1"/>
  <c r="BN2343" i="1"/>
  <c r="BS2348" i="1"/>
  <c r="BS2347" i="1"/>
  <c r="BS2346" i="1"/>
  <c r="BS2345" i="1"/>
  <c r="BS2344" i="1"/>
  <c r="BS2343" i="1"/>
  <c r="BO2348" i="1"/>
  <c r="BO2347" i="1"/>
  <c r="BO2346" i="1"/>
  <c r="BO2345" i="1"/>
  <c r="BO2344" i="1"/>
  <c r="BO2343" i="1"/>
  <c r="BT2348" i="1"/>
  <c r="BT2347" i="1"/>
  <c r="BT2346" i="1"/>
  <c r="BT2345" i="1"/>
  <c r="BT2344" i="1"/>
  <c r="BT2343" i="1"/>
  <c r="BQ1428" i="1"/>
  <c r="BU2348" i="1"/>
  <c r="BQ2348" i="1"/>
  <c r="BU2347" i="1"/>
  <c r="BQ2347" i="1"/>
  <c r="BU2346" i="1"/>
  <c r="BQ2346" i="1"/>
  <c r="BU2345" i="1"/>
  <c r="BQ2345" i="1"/>
  <c r="BU2344" i="1"/>
  <c r="BQ2344" i="1"/>
  <c r="BU2343" i="1"/>
  <c r="BQ2343" i="1"/>
  <c r="BM2348" i="1"/>
  <c r="BM2347" i="1"/>
  <c r="BM2346" i="1"/>
  <c r="BM2345" i="1"/>
  <c r="BM2344" i="1"/>
  <c r="BM2343" i="1"/>
  <c r="BL2348" i="1"/>
  <c r="BI2348" i="1"/>
  <c r="BL2347" i="1"/>
  <c r="BI2347" i="1"/>
  <c r="BL2346" i="1"/>
  <c r="BI2346" i="1"/>
  <c r="BL2345" i="1"/>
  <c r="BI2345" i="1"/>
  <c r="BL2344" i="1"/>
  <c r="BI2344" i="1"/>
  <c r="BL2343" i="1"/>
  <c r="BI2343" i="1"/>
  <c r="Q12" i="6"/>
  <c r="R12" i="6" s="1"/>
  <c r="BM1423" i="1"/>
  <c r="BM1440" i="1"/>
  <c r="BM1411" i="1"/>
  <c r="BM1429" i="1"/>
  <c r="BM1414" i="1"/>
  <c r="BM1415" i="1"/>
  <c r="BM1435" i="1"/>
  <c r="BQ1524" i="1"/>
  <c r="BQ1517" i="1"/>
  <c r="BQ1484" i="1"/>
  <c r="BQ1474" i="1"/>
  <c r="BQ1468" i="1"/>
  <c r="BQ1461" i="1"/>
  <c r="BQ1455" i="1"/>
  <c r="BQ1447" i="1"/>
  <c r="BQ1495" i="1"/>
  <c r="BQ1489" i="1"/>
  <c r="BQ1504" i="1"/>
  <c r="BQ1512" i="1"/>
  <c r="BU1640" i="1"/>
  <c r="BU1566" i="1"/>
  <c r="BU1556" i="1"/>
  <c r="BU1547" i="1"/>
  <c r="BU1535" i="1"/>
  <c r="BU1526" i="1"/>
  <c r="BU1515" i="1"/>
  <c r="BU1506" i="1"/>
  <c r="BU1494" i="1"/>
  <c r="BU1485" i="1"/>
  <c r="BU1475" i="1"/>
  <c r="BU1466" i="1"/>
  <c r="BU1454" i="1"/>
  <c r="BU1445" i="1"/>
  <c r="BU1434" i="1"/>
  <c r="BU1425" i="1"/>
  <c r="BU1575" i="1"/>
  <c r="BQ1410" i="1"/>
  <c r="BQ1411" i="1"/>
  <c r="BM1439" i="1"/>
  <c r="BM1425" i="1"/>
  <c r="BM1410" i="1"/>
  <c r="BM1427" i="1"/>
  <c r="BM1428" i="1"/>
  <c r="BM1445" i="1"/>
  <c r="BM1430" i="1"/>
  <c r="BM1447" i="1"/>
  <c r="BM1436" i="1"/>
  <c r="BM1438" i="1"/>
  <c r="BQ1521" i="1"/>
  <c r="BQ1488" i="1"/>
  <c r="BQ1481" i="1"/>
  <c r="BQ1473" i="1"/>
  <c r="BQ1465" i="1"/>
  <c r="BQ1459" i="1"/>
  <c r="BQ1452" i="1"/>
  <c r="BQ1446" i="1"/>
  <c r="BQ1490" i="1"/>
  <c r="BQ1507" i="1"/>
  <c r="BQ1500" i="1"/>
  <c r="BU1638" i="1"/>
  <c r="BU1562" i="1"/>
  <c r="BU1553" i="1"/>
  <c r="BU1542" i="1"/>
  <c r="BU1533" i="1"/>
  <c r="BU1521" i="1"/>
  <c r="BU1512" i="1"/>
  <c r="BU1502" i="1"/>
  <c r="BU1493" i="1"/>
  <c r="BU1481" i="1"/>
  <c r="BU1472" i="1"/>
  <c r="BU1461" i="1"/>
  <c r="BU1452" i="1"/>
  <c r="BU1440" i="1"/>
  <c r="BU1431" i="1"/>
  <c r="BU1421" i="1"/>
  <c r="BU1593" i="1"/>
  <c r="BQ1430" i="1"/>
  <c r="BM1432" i="1"/>
  <c r="BQ1409" i="1"/>
  <c r="BQ1413" i="1"/>
  <c r="BZ2382" i="1"/>
  <c r="BZ2281" i="1"/>
  <c r="BY2382" i="1"/>
  <c r="BY2281" i="1"/>
  <c r="BQ1523" i="1"/>
  <c r="BQ1518" i="1"/>
  <c r="BQ1487" i="1"/>
  <c r="BQ1482" i="1"/>
  <c r="BQ1476" i="1"/>
  <c r="BQ1471" i="1"/>
  <c r="BQ1467" i="1"/>
  <c r="BQ1462" i="1"/>
  <c r="BQ1458" i="1"/>
  <c r="BQ1453" i="1"/>
  <c r="BQ1449" i="1"/>
  <c r="BQ1444" i="1"/>
  <c r="BQ1479" i="1"/>
  <c r="BQ1494" i="1"/>
  <c r="BQ1492" i="1"/>
  <c r="BQ1506" i="1"/>
  <c r="BQ1503" i="1"/>
  <c r="BQ1510" i="1"/>
  <c r="BQ1513" i="1"/>
  <c r="BU1643" i="1"/>
  <c r="BU1571" i="1"/>
  <c r="BU1565" i="1"/>
  <c r="BU1557" i="1"/>
  <c r="BU1551" i="1"/>
  <c r="BU1544" i="1"/>
  <c r="BU1538" i="1"/>
  <c r="BU1530" i="1"/>
  <c r="BU1524" i="1"/>
  <c r="BU1517" i="1"/>
  <c r="BU1511" i="1"/>
  <c r="BU1503" i="1"/>
  <c r="BU1497" i="1"/>
  <c r="BU1490" i="1"/>
  <c r="BU1484" i="1"/>
  <c r="BU1476" i="1"/>
  <c r="BU1470" i="1"/>
  <c r="BU1463" i="1"/>
  <c r="BU1457" i="1"/>
  <c r="BU1449" i="1"/>
  <c r="BU1443" i="1"/>
  <c r="BU1436" i="1"/>
  <c r="BU1430" i="1"/>
  <c r="BU1422" i="1"/>
  <c r="BU1416" i="1"/>
  <c r="BU1623" i="1"/>
  <c r="BU1580" i="1"/>
  <c r="BU1412" i="1"/>
  <c r="BQ1434" i="1"/>
  <c r="BX2382" i="1"/>
  <c r="BX2281" i="1"/>
  <c r="BS2350" i="1"/>
  <c r="BS2349" i="1"/>
  <c r="BS2342" i="1"/>
  <c r="BS2341" i="1"/>
  <c r="BO2350" i="1"/>
  <c r="BO2349" i="1"/>
  <c r="BO2342" i="1"/>
  <c r="BO2341" i="1"/>
  <c r="BT2350" i="1"/>
  <c r="BT2349" i="1"/>
  <c r="BT2342" i="1"/>
  <c r="BT2341" i="1"/>
  <c r="BU2350" i="1"/>
  <c r="BQ2350" i="1"/>
  <c r="BU2349" i="1"/>
  <c r="BQ2349" i="1"/>
  <c r="BU2342" i="1"/>
  <c r="BQ2342" i="1"/>
  <c r="BU2341" i="1"/>
  <c r="BQ2341" i="1"/>
  <c r="BM2350" i="1"/>
  <c r="BM2349" i="1"/>
  <c r="BM2342" i="1"/>
  <c r="BM2341" i="1"/>
  <c r="BR2350" i="1"/>
  <c r="BK2350" i="1"/>
  <c r="BJ2350" i="1"/>
  <c r="BH2350" i="1"/>
  <c r="BR2349" i="1"/>
  <c r="BK2349" i="1"/>
  <c r="BJ2349" i="1"/>
  <c r="BH2349" i="1"/>
  <c r="BR2342" i="1"/>
  <c r="BK2342" i="1"/>
  <c r="BJ2342" i="1"/>
  <c r="BH2342" i="1"/>
  <c r="BR2341" i="1"/>
  <c r="BK2341" i="1"/>
  <c r="BJ2341" i="1"/>
  <c r="BH2341" i="1"/>
  <c r="BN2350" i="1"/>
  <c r="BN2349" i="1"/>
  <c r="BN2342" i="1"/>
  <c r="BN2341" i="1"/>
  <c r="BL2350" i="1"/>
  <c r="BI2350" i="1"/>
  <c r="BL2349" i="1"/>
  <c r="BI2349" i="1"/>
  <c r="BL2342" i="1"/>
  <c r="BI2342" i="1"/>
  <c r="BL2341" i="1"/>
  <c r="BI2341" i="1"/>
  <c r="BP2350" i="1"/>
  <c r="BP2349" i="1"/>
  <c r="BP2342" i="1"/>
  <c r="BP2341" i="1"/>
  <c r="BR2338" i="1"/>
  <c r="BK2338" i="1"/>
  <c r="BJ2338" i="1"/>
  <c r="BH2338" i="1"/>
  <c r="BR2337" i="1"/>
  <c r="BK2337" i="1"/>
  <c r="BJ2337" i="1"/>
  <c r="BH2337" i="1"/>
  <c r="BR2336" i="1"/>
  <c r="BK2336" i="1"/>
  <c r="BJ2336" i="1"/>
  <c r="BH2336" i="1"/>
  <c r="BR2335" i="1"/>
  <c r="BK2335" i="1"/>
  <c r="BJ2335" i="1"/>
  <c r="BH2335" i="1"/>
  <c r="BR2334" i="1"/>
  <c r="BK2334" i="1"/>
  <c r="BJ2334" i="1"/>
  <c r="BH2334" i="1"/>
  <c r="BR2333" i="1"/>
  <c r="BK2333" i="1"/>
  <c r="BJ2333" i="1"/>
  <c r="BH2333" i="1"/>
  <c r="BN2338" i="1"/>
  <c r="BN2337" i="1"/>
  <c r="BN2336" i="1"/>
  <c r="BN2335" i="1"/>
  <c r="BN2334" i="1"/>
  <c r="BN2333" i="1"/>
  <c r="BL2338" i="1"/>
  <c r="BI2338" i="1"/>
  <c r="BL2337" i="1"/>
  <c r="BI2337" i="1"/>
  <c r="BL2336" i="1"/>
  <c r="BI2336" i="1"/>
  <c r="BL2335" i="1"/>
  <c r="BI2335" i="1"/>
  <c r="BL2334" i="1"/>
  <c r="BI2334" i="1"/>
  <c r="BL2333" i="1"/>
  <c r="BI2333" i="1"/>
  <c r="BP2338" i="1"/>
  <c r="BP2337" i="1"/>
  <c r="BP2336" i="1"/>
  <c r="BP2335" i="1"/>
  <c r="BP2334" i="1"/>
  <c r="BP2333" i="1"/>
  <c r="BS2338" i="1"/>
  <c r="BS2337" i="1"/>
  <c r="BS2336" i="1"/>
  <c r="BS2335" i="1"/>
  <c r="BS2334" i="1"/>
  <c r="BS2333" i="1"/>
  <c r="BO2338" i="1"/>
  <c r="BO2337" i="1"/>
  <c r="BO2336" i="1"/>
  <c r="BO2335" i="1"/>
  <c r="BO2334" i="1"/>
  <c r="BO2333" i="1"/>
  <c r="BT2338" i="1"/>
  <c r="BT2337" i="1"/>
  <c r="BT2336" i="1"/>
  <c r="BT2335" i="1"/>
  <c r="BT2334" i="1"/>
  <c r="BT2333" i="1"/>
  <c r="BU2338" i="1"/>
  <c r="BQ2338" i="1"/>
  <c r="BU2337" i="1"/>
  <c r="BQ2337" i="1"/>
  <c r="BU2336" i="1"/>
  <c r="BQ2336" i="1"/>
  <c r="BU2335" i="1"/>
  <c r="BQ2335" i="1"/>
  <c r="BU2334" i="1"/>
  <c r="BQ2334" i="1"/>
  <c r="BU2333" i="1"/>
  <c r="BQ2333" i="1"/>
  <c r="BM2338" i="1"/>
  <c r="BM2337" i="1"/>
  <c r="BM2336" i="1"/>
  <c r="BM2335" i="1"/>
  <c r="BM2334" i="1"/>
  <c r="BM2333" i="1"/>
  <c r="BR2340" i="1"/>
  <c r="BK2340" i="1"/>
  <c r="BJ2340" i="1"/>
  <c r="BH2340" i="1"/>
  <c r="BR2339" i="1"/>
  <c r="BK2339" i="1"/>
  <c r="BJ2339" i="1"/>
  <c r="BH2339" i="1"/>
  <c r="BN2340" i="1"/>
  <c r="BN2339" i="1"/>
  <c r="BL2340" i="1"/>
  <c r="BI2340" i="1"/>
  <c r="BL2339" i="1"/>
  <c r="BI2339" i="1"/>
  <c r="BP2340" i="1"/>
  <c r="BP2339" i="1"/>
  <c r="BS2340" i="1"/>
  <c r="BS2339" i="1"/>
  <c r="BO2340" i="1"/>
  <c r="BO2339" i="1"/>
  <c r="BT2340" i="1"/>
  <c r="BT2339" i="1"/>
  <c r="BU2340" i="1"/>
  <c r="BQ2340" i="1"/>
  <c r="BU2339" i="1"/>
  <c r="BQ2339" i="1"/>
  <c r="BM2340" i="1"/>
  <c r="BM2339" i="1"/>
  <c r="BL2329" i="1"/>
  <c r="BI2329" i="1"/>
  <c r="BL2328" i="1"/>
  <c r="BI2328" i="1"/>
  <c r="BL2327" i="1"/>
  <c r="BI2327" i="1"/>
  <c r="BL2326" i="1"/>
  <c r="BI2326" i="1"/>
  <c r="BL2325" i="1"/>
  <c r="BI2325" i="1"/>
  <c r="BL2324" i="1"/>
  <c r="BI2324" i="1"/>
  <c r="BP2329" i="1"/>
  <c r="BP2328" i="1"/>
  <c r="BP2327" i="1"/>
  <c r="BP2326" i="1"/>
  <c r="BP2325" i="1"/>
  <c r="BP2324" i="1"/>
  <c r="BI1597" i="1"/>
  <c r="BI1593" i="1"/>
  <c r="BL1584" i="1"/>
  <c r="BI1591" i="1"/>
  <c r="BL1588" i="1"/>
  <c r="BL1586" i="1"/>
  <c r="BI1580" i="1"/>
  <c r="BI1578" i="1"/>
  <c r="BL1575" i="1"/>
  <c r="BL1573" i="1"/>
  <c r="BI1585" i="1"/>
  <c r="BI1582" i="1"/>
  <c r="BL1569" i="1"/>
  <c r="BI1568" i="1"/>
  <c r="BL1566" i="1"/>
  <c r="BI1565" i="1"/>
  <c r="BL1563" i="1"/>
  <c r="BL1571" i="1"/>
  <c r="BI1570" i="1"/>
  <c r="BL1561" i="1"/>
  <c r="BI1560" i="1"/>
  <c r="BL1558" i="1"/>
  <c r="BI1557" i="1"/>
  <c r="BL1554" i="1"/>
  <c r="BI1638" i="1"/>
  <c r="BI1553" i="1"/>
  <c r="BI1551" i="1"/>
  <c r="BI1548" i="1"/>
  <c r="BL1546" i="1"/>
  <c r="BL1539" i="1"/>
  <c r="BI1538" i="1"/>
  <c r="BL1536" i="1"/>
  <c r="BI1535" i="1"/>
  <c r="BI1544" i="1"/>
  <c r="BL1542" i="1"/>
  <c r="BI1541" i="1"/>
  <c r="BI1533" i="1"/>
  <c r="BI1545" i="1"/>
  <c r="BL1530" i="1"/>
  <c r="BI1529" i="1"/>
  <c r="BI1531" i="1"/>
  <c r="BI1515" i="1"/>
  <c r="BI1527" i="1"/>
  <c r="BL1513" i="1"/>
  <c r="BI1512" i="1"/>
  <c r="BL1510" i="1"/>
  <c r="BL1504" i="1"/>
  <c r="BI1503" i="1"/>
  <c r="BL1501" i="1"/>
  <c r="BI1500" i="1"/>
  <c r="BI1508" i="1"/>
  <c r="BL1506" i="1"/>
  <c r="BI1509" i="1"/>
  <c r="BL1493" i="1"/>
  <c r="BI1492" i="1"/>
  <c r="BL1490" i="1"/>
  <c r="BI1489" i="1"/>
  <c r="BI1496" i="1"/>
  <c r="BL1494" i="1"/>
  <c r="BL1498" i="1"/>
  <c r="BI1497" i="1"/>
  <c r="BL1499" i="1"/>
  <c r="BI1468" i="1"/>
  <c r="BL1469" i="1"/>
  <c r="BI1471" i="1"/>
  <c r="BL1472" i="1"/>
  <c r="BI1474" i="1"/>
  <c r="BL1475" i="1"/>
  <c r="BI1477" i="1"/>
  <c r="BL1478" i="1"/>
  <c r="BI1482" i="1"/>
  <c r="BL1483" i="1"/>
  <c r="BL1466" i="1"/>
  <c r="BI1465" i="1"/>
  <c r="BL1461" i="1"/>
  <c r="BI1460" i="1"/>
  <c r="BL1458" i="1"/>
  <c r="BI1457" i="1"/>
  <c r="BI1488" i="1"/>
  <c r="BL1486" i="1"/>
  <c r="BI1463" i="1"/>
  <c r="BI1454" i="1"/>
  <c r="BI1394" i="1"/>
  <c r="BI1397" i="1"/>
  <c r="BI1400" i="1"/>
  <c r="BI1595" i="1"/>
  <c r="BL1592" i="1"/>
  <c r="BI1590" i="1"/>
  <c r="BI1588" i="1"/>
  <c r="BL1579" i="1"/>
  <c r="BI1577" i="1"/>
  <c r="BI1575" i="1"/>
  <c r="BL1583" i="1"/>
  <c r="BI1581" i="1"/>
  <c r="BI1623" i="1"/>
  <c r="BI1569" i="1"/>
  <c r="BL1567" i="1"/>
  <c r="BI1566" i="1"/>
  <c r="BL1564" i="1"/>
  <c r="BI1563" i="1"/>
  <c r="BI1637" i="1"/>
  <c r="BI1571" i="1"/>
  <c r="BI1555" i="1"/>
  <c r="BI1561" i="1"/>
  <c r="BL1559" i="1"/>
  <c r="BI1558" i="1"/>
  <c r="BL1556" i="1"/>
  <c r="BI1554" i="1"/>
  <c r="BI1641" i="1"/>
  <c r="BI1562" i="1"/>
  <c r="BI1552" i="1"/>
  <c r="BL1550" i="1"/>
  <c r="BI1549" i="1"/>
  <c r="BL1547" i="1"/>
  <c r="BI1546" i="1"/>
  <c r="BI1643" i="1"/>
  <c r="BL1540" i="1"/>
  <c r="BI1539" i="1"/>
  <c r="BL1537" i="1"/>
  <c r="BI1536" i="1"/>
  <c r="BL1543" i="1"/>
  <c r="BI1542" i="1"/>
  <c r="BL1532" i="1"/>
  <c r="BI1530" i="1"/>
  <c r="BL1528" i="1"/>
  <c r="BI1513" i="1"/>
  <c r="BL1511" i="1"/>
  <c r="BL1514" i="1"/>
  <c r="BI1510" i="1"/>
  <c r="BL1505" i="1"/>
  <c r="BI1504" i="1"/>
  <c r="BL1502" i="1"/>
  <c r="BI1501" i="1"/>
  <c r="BL1507" i="1"/>
  <c r="BI1506" i="1"/>
  <c r="BI1493" i="1"/>
  <c r="BL1491" i="1"/>
  <c r="BI1490" i="1"/>
  <c r="BL1495" i="1"/>
  <c r="BI1494" i="1"/>
  <c r="BI1498" i="1"/>
  <c r="BI1499" i="1"/>
  <c r="BL1479" i="1"/>
  <c r="BL1480" i="1"/>
  <c r="BI1467" i="1"/>
  <c r="BL1468" i="1"/>
  <c r="BI1470" i="1"/>
  <c r="BL1471" i="1"/>
  <c r="BI1473" i="1"/>
  <c r="BL1474" i="1"/>
  <c r="BI1476" i="1"/>
  <c r="BL1477" i="1"/>
  <c r="BI1481" i="1"/>
  <c r="BL1482" i="1"/>
  <c r="BI1484" i="1"/>
  <c r="BL1485" i="1"/>
  <c r="BI1466" i="1"/>
  <c r="BL1464" i="1"/>
  <c r="BL1462" i="1"/>
  <c r="BI1461" i="1"/>
  <c r="BL1459" i="1"/>
  <c r="BI1458" i="1"/>
  <c r="BL1487" i="1"/>
  <c r="BI1486" i="1"/>
  <c r="BL1454" i="1"/>
  <c r="BI1395" i="1"/>
  <c r="BI1398" i="1"/>
  <c r="BI1401" i="1"/>
  <c r="BI1404" i="1"/>
  <c r="BI1407" i="1"/>
  <c r="BS2329" i="1"/>
  <c r="BS2328" i="1"/>
  <c r="BS2327" i="1"/>
  <c r="BS2326" i="1"/>
  <c r="BS2325" i="1"/>
  <c r="BS2324" i="1"/>
  <c r="BO2329" i="1"/>
  <c r="BO2328" i="1"/>
  <c r="BO2327" i="1"/>
  <c r="BO2326" i="1"/>
  <c r="BO2325" i="1"/>
  <c r="BO2324" i="1"/>
  <c r="BT2329" i="1"/>
  <c r="BT2328" i="1"/>
  <c r="BT2327" i="1"/>
  <c r="BT2326" i="1"/>
  <c r="BT2325" i="1"/>
  <c r="BT2324" i="1"/>
  <c r="BL1527" i="1"/>
  <c r="BI1601" i="1"/>
  <c r="BL1582" i="1"/>
  <c r="BI1574" i="1"/>
  <c r="BL1589" i="1"/>
  <c r="BI1584" i="1"/>
  <c r="BR2329" i="1"/>
  <c r="BK2329" i="1"/>
  <c r="BJ2329" i="1"/>
  <c r="BH2329" i="1"/>
  <c r="BR2328" i="1"/>
  <c r="BK2328" i="1"/>
  <c r="BJ2328" i="1"/>
  <c r="BH2328" i="1"/>
  <c r="BR2327" i="1"/>
  <c r="BK2327" i="1"/>
  <c r="BJ2327" i="1"/>
  <c r="BH2327" i="1"/>
  <c r="BR2326" i="1"/>
  <c r="BK2326" i="1"/>
  <c r="BJ2326" i="1"/>
  <c r="BH2326" i="1"/>
  <c r="BR2325" i="1"/>
  <c r="BK2325" i="1"/>
  <c r="BJ2325" i="1"/>
  <c r="BH2325" i="1"/>
  <c r="BR2324" i="1"/>
  <c r="BK2324" i="1"/>
  <c r="BJ2324" i="1"/>
  <c r="BH2324" i="1"/>
  <c r="BN2329" i="1"/>
  <c r="BN2328" i="1"/>
  <c r="BN2327" i="1"/>
  <c r="BN2326" i="1"/>
  <c r="BN2325" i="1"/>
  <c r="BN2324" i="1"/>
  <c r="BL1576" i="1"/>
  <c r="BI1599" i="1"/>
  <c r="BI1594" i="1"/>
  <c r="BU2329" i="1"/>
  <c r="BQ2329" i="1"/>
  <c r="BU2328" i="1"/>
  <c r="BQ2328" i="1"/>
  <c r="BU2327" i="1"/>
  <c r="BQ2327" i="1"/>
  <c r="BU2326" i="1"/>
  <c r="BQ2326" i="1"/>
  <c r="BU2325" i="1"/>
  <c r="BQ2325" i="1"/>
  <c r="BU2324" i="1"/>
  <c r="BQ2324" i="1"/>
  <c r="BM2329" i="1"/>
  <c r="BM2328" i="1"/>
  <c r="BM2327" i="1"/>
  <c r="BM2326" i="1"/>
  <c r="BM2325" i="1"/>
  <c r="BM2324" i="1"/>
  <c r="BR2332" i="1"/>
  <c r="BK2332" i="1"/>
  <c r="BJ2332" i="1"/>
  <c r="BH2332" i="1"/>
  <c r="BR2331" i="1"/>
  <c r="BK2331" i="1"/>
  <c r="BJ2331" i="1"/>
  <c r="BH2331" i="1"/>
  <c r="BR2330" i="1"/>
  <c r="BK2330" i="1"/>
  <c r="BJ2330" i="1"/>
  <c r="BH2330" i="1"/>
  <c r="BN2332" i="1"/>
  <c r="BN2331" i="1"/>
  <c r="BN2330" i="1"/>
  <c r="BU2332" i="1"/>
  <c r="BQ2332" i="1"/>
  <c r="BU2331" i="1"/>
  <c r="BQ2331" i="1"/>
  <c r="BU2330" i="1"/>
  <c r="BQ2330" i="1"/>
  <c r="BM2332" i="1"/>
  <c r="BM2331" i="1"/>
  <c r="BM2330" i="1"/>
  <c r="BS2332" i="1"/>
  <c r="BS2331" i="1"/>
  <c r="BS2330" i="1"/>
  <c r="BO2332" i="1"/>
  <c r="BO2331" i="1"/>
  <c r="BO2330" i="1"/>
  <c r="BT2332" i="1"/>
  <c r="BT2331" i="1"/>
  <c r="BT2330" i="1"/>
  <c r="BL2332" i="1"/>
  <c r="BI2332" i="1"/>
  <c r="BL2331" i="1"/>
  <c r="BI2331" i="1"/>
  <c r="BL2330" i="1"/>
  <c r="BI2330" i="1"/>
  <c r="BP2332" i="1"/>
  <c r="BP2331" i="1"/>
  <c r="BP2330" i="1"/>
  <c r="BR2316" i="1"/>
  <c r="BK2316" i="1"/>
  <c r="BJ2316" i="1"/>
  <c r="BH2316" i="1"/>
  <c r="BR2315" i="1"/>
  <c r="BK2315" i="1"/>
  <c r="BJ2315" i="1"/>
  <c r="BH2315" i="1"/>
  <c r="BR2314" i="1"/>
  <c r="BK2314" i="1"/>
  <c r="BJ2314" i="1"/>
  <c r="BH2314" i="1"/>
  <c r="BR2313" i="1"/>
  <c r="BK2313" i="1"/>
  <c r="BJ2313" i="1"/>
  <c r="BH2313" i="1"/>
  <c r="BR2312" i="1"/>
  <c r="BK2312" i="1"/>
  <c r="BJ2312" i="1"/>
  <c r="BH2312" i="1"/>
  <c r="BR2311" i="1"/>
  <c r="BK2311" i="1"/>
  <c r="BJ2311" i="1"/>
  <c r="BH2311" i="1"/>
  <c r="BR2310" i="1"/>
  <c r="BK2310" i="1"/>
  <c r="BJ2310" i="1"/>
  <c r="BH2310" i="1"/>
  <c r="BR2309" i="1"/>
  <c r="BK2309" i="1"/>
  <c r="BJ2309" i="1"/>
  <c r="BH2309" i="1"/>
  <c r="BR2308" i="1"/>
  <c r="BK2308" i="1"/>
  <c r="BJ2308" i="1"/>
  <c r="BH2308" i="1"/>
  <c r="BR2307" i="1"/>
  <c r="BK2307" i="1"/>
  <c r="BJ2307" i="1"/>
  <c r="BH2307" i="1"/>
  <c r="BR2306" i="1"/>
  <c r="BK2306" i="1"/>
  <c r="BJ2306" i="1"/>
  <c r="BH2306" i="1"/>
  <c r="BN2316" i="1"/>
  <c r="BN2315" i="1"/>
  <c r="BN2314" i="1"/>
  <c r="BN2313" i="1"/>
  <c r="BN2312" i="1"/>
  <c r="BN2311" i="1"/>
  <c r="BN2310" i="1"/>
  <c r="BN2309" i="1"/>
  <c r="BN2308" i="1"/>
  <c r="BN2307" i="1"/>
  <c r="BN2306" i="1"/>
  <c r="BL2316" i="1"/>
  <c r="BI2316" i="1"/>
  <c r="BL2315" i="1"/>
  <c r="BI2315" i="1"/>
  <c r="BL2314" i="1"/>
  <c r="BI2314" i="1"/>
  <c r="BL2313" i="1"/>
  <c r="BI2313" i="1"/>
  <c r="BL2312" i="1"/>
  <c r="BI2312" i="1"/>
  <c r="BL2311" i="1"/>
  <c r="BI2311" i="1"/>
  <c r="BL2310" i="1"/>
  <c r="BI2310" i="1"/>
  <c r="BL2309" i="1"/>
  <c r="BI2309" i="1"/>
  <c r="BL2308" i="1"/>
  <c r="BI2308" i="1"/>
  <c r="BL2307" i="1"/>
  <c r="BI2307" i="1"/>
  <c r="BL2306" i="1"/>
  <c r="BI2306" i="1"/>
  <c r="BP2316" i="1"/>
  <c r="BP2315" i="1"/>
  <c r="BP2314" i="1"/>
  <c r="BP2313" i="1"/>
  <c r="BP2312" i="1"/>
  <c r="BP2311" i="1"/>
  <c r="BP2310" i="1"/>
  <c r="BP2309" i="1"/>
  <c r="BP2308" i="1"/>
  <c r="BP2307" i="1"/>
  <c r="BP2306" i="1"/>
  <c r="BU2316" i="1"/>
  <c r="BQ2316" i="1"/>
  <c r="BU2315" i="1"/>
  <c r="BQ2315" i="1"/>
  <c r="BU2314" i="1"/>
  <c r="BQ2314" i="1"/>
  <c r="BU2313" i="1"/>
  <c r="BQ2313" i="1"/>
  <c r="BU2312" i="1"/>
  <c r="BQ2312" i="1"/>
  <c r="BU2311" i="1"/>
  <c r="BQ2311" i="1"/>
  <c r="BU2310" i="1"/>
  <c r="BQ2310" i="1"/>
  <c r="BU2309" i="1"/>
  <c r="BQ2309" i="1"/>
  <c r="BU2308" i="1"/>
  <c r="BQ2308" i="1"/>
  <c r="BU2307" i="1"/>
  <c r="BQ2307" i="1"/>
  <c r="BU2306" i="1"/>
  <c r="BQ2306" i="1"/>
  <c r="BM2316" i="1"/>
  <c r="BM2315" i="1"/>
  <c r="BM2314" i="1"/>
  <c r="BM2313" i="1"/>
  <c r="BM2312" i="1"/>
  <c r="BM2311" i="1"/>
  <c r="BM2310" i="1"/>
  <c r="BM2309" i="1"/>
  <c r="BM2308" i="1"/>
  <c r="BM2307" i="1"/>
  <c r="BM2306" i="1"/>
  <c r="BS2316" i="1"/>
  <c r="BS2315" i="1"/>
  <c r="BS2314" i="1"/>
  <c r="BS2313" i="1"/>
  <c r="BS2312" i="1"/>
  <c r="BS2311" i="1"/>
  <c r="BS2310" i="1"/>
  <c r="BS2309" i="1"/>
  <c r="BS2308" i="1"/>
  <c r="BS2307" i="1"/>
  <c r="BS2306" i="1"/>
  <c r="BO2316" i="1"/>
  <c r="BO2315" i="1"/>
  <c r="BO2314" i="1"/>
  <c r="BO2313" i="1"/>
  <c r="BO2312" i="1"/>
  <c r="BO2311" i="1"/>
  <c r="BO2310" i="1"/>
  <c r="BO2309" i="1"/>
  <c r="BO2308" i="1"/>
  <c r="BO2307" i="1"/>
  <c r="BO2306" i="1"/>
  <c r="BT2316" i="1"/>
  <c r="BT2315" i="1"/>
  <c r="BT2314" i="1"/>
  <c r="BT2313" i="1"/>
  <c r="BT2312" i="1"/>
  <c r="BT2311" i="1"/>
  <c r="BT2310" i="1"/>
  <c r="BT2309" i="1"/>
  <c r="BT2308" i="1"/>
  <c r="BT2307" i="1"/>
  <c r="BT2306" i="1"/>
  <c r="BR2272" i="1"/>
  <c r="BK2272" i="1"/>
  <c r="BJ2272" i="1"/>
  <c r="BH2272" i="1"/>
  <c r="BR2271" i="1"/>
  <c r="BK2271" i="1"/>
  <c r="BJ2271" i="1"/>
  <c r="BH2271" i="1"/>
  <c r="BR2270" i="1"/>
  <c r="BK2270" i="1"/>
  <c r="BJ2270" i="1"/>
  <c r="BH2270" i="1"/>
  <c r="BR2269" i="1"/>
  <c r="BK2269" i="1"/>
  <c r="BJ2269" i="1"/>
  <c r="BH2269" i="1"/>
  <c r="BR2268" i="1"/>
  <c r="BK2268" i="1"/>
  <c r="BJ2268" i="1"/>
  <c r="BH2268" i="1"/>
  <c r="BN2272" i="1"/>
  <c r="BN2271" i="1"/>
  <c r="BN2270" i="1"/>
  <c r="BN2269" i="1"/>
  <c r="BN2268" i="1"/>
  <c r="BS2272" i="1"/>
  <c r="BS2271" i="1"/>
  <c r="BS2270" i="1"/>
  <c r="BS2269" i="1"/>
  <c r="BS2268" i="1"/>
  <c r="BO2272" i="1"/>
  <c r="BO2271" i="1"/>
  <c r="BO2270" i="1"/>
  <c r="BO2269" i="1"/>
  <c r="BO2268" i="1"/>
  <c r="BT2272" i="1"/>
  <c r="BT2271" i="1"/>
  <c r="BT2270" i="1"/>
  <c r="BT2269" i="1"/>
  <c r="BT2268" i="1"/>
  <c r="BU2272" i="1"/>
  <c r="BQ2272" i="1"/>
  <c r="BU2271" i="1"/>
  <c r="BQ2271" i="1"/>
  <c r="BU2270" i="1"/>
  <c r="BQ2270" i="1"/>
  <c r="BU2269" i="1"/>
  <c r="BQ2269" i="1"/>
  <c r="BU2268" i="1"/>
  <c r="BQ2268" i="1"/>
  <c r="BM2272" i="1"/>
  <c r="BM2271" i="1"/>
  <c r="BM2270" i="1"/>
  <c r="BM2269" i="1"/>
  <c r="BM2268" i="1"/>
  <c r="BL2272" i="1"/>
  <c r="BI2272" i="1"/>
  <c r="BL2271" i="1"/>
  <c r="BI2271" i="1"/>
  <c r="BL2270" i="1"/>
  <c r="BI2270" i="1"/>
  <c r="BL2269" i="1"/>
  <c r="BI2269" i="1"/>
  <c r="BL2268" i="1"/>
  <c r="BI2268" i="1"/>
  <c r="BP2272" i="1"/>
  <c r="BP2271" i="1"/>
  <c r="BP2270" i="1"/>
  <c r="BP2269" i="1"/>
  <c r="BP2268" i="1"/>
  <c r="BR2273" i="1"/>
  <c r="BK2273" i="1"/>
  <c r="BJ2273" i="1"/>
  <c r="BH2273" i="1"/>
  <c r="BN2273" i="1"/>
  <c r="BS2273" i="1"/>
  <c r="BO2273" i="1"/>
  <c r="BT2274" i="1"/>
  <c r="BT2273" i="1"/>
  <c r="BU2273" i="1"/>
  <c r="BQ2273" i="1"/>
  <c r="BM2273" i="1"/>
  <c r="BL2273" i="1"/>
  <c r="BI2273" i="1"/>
  <c r="BP2273" i="1"/>
  <c r="BR2274" i="1"/>
  <c r="BK2274" i="1"/>
  <c r="BJ2274" i="1"/>
  <c r="BH2274" i="1"/>
  <c r="BN2274" i="1"/>
  <c r="BS2274" i="1"/>
  <c r="BO2274" i="1"/>
  <c r="BU2274" i="1"/>
  <c r="BQ2274" i="1"/>
  <c r="BM2274" i="1"/>
  <c r="BL2274" i="1"/>
  <c r="BI2274" i="1"/>
  <c r="BP2274" i="1"/>
  <c r="BR2275" i="1"/>
  <c r="BK2275" i="1"/>
  <c r="BJ2275" i="1"/>
  <c r="BH2275" i="1"/>
  <c r="BN2275" i="1"/>
  <c r="BS2275" i="1"/>
  <c r="BO2275" i="1"/>
  <c r="BT2276" i="1"/>
  <c r="BT2275" i="1"/>
  <c r="BU2275" i="1"/>
  <c r="BQ2275" i="1"/>
  <c r="BM2275" i="1"/>
  <c r="BL2275" i="1"/>
  <c r="BI2275" i="1"/>
  <c r="BP2275" i="1"/>
  <c r="BU2276" i="1"/>
  <c r="BQ2276" i="1"/>
  <c r="BM2276" i="1"/>
  <c r="BS2276" i="1"/>
  <c r="BO2276" i="1"/>
  <c r="BR2276" i="1"/>
  <c r="BK2276" i="1"/>
  <c r="BJ2276" i="1"/>
  <c r="BH2276" i="1"/>
  <c r="BN2276" i="1"/>
  <c r="BL2276" i="1"/>
  <c r="BI2276" i="1"/>
  <c r="BP2276" i="1"/>
  <c r="BR2305" i="1"/>
  <c r="BK2305" i="1"/>
  <c r="BJ2305" i="1"/>
  <c r="BH2305" i="1"/>
  <c r="BR2304" i="1"/>
  <c r="BK2304" i="1"/>
  <c r="BJ2304" i="1"/>
  <c r="BH2304" i="1"/>
  <c r="BR2303" i="1"/>
  <c r="BK2303" i="1"/>
  <c r="BJ2303" i="1"/>
  <c r="BH2303" i="1"/>
  <c r="BR2302" i="1"/>
  <c r="BK2302" i="1"/>
  <c r="BJ2302" i="1"/>
  <c r="BH2302" i="1"/>
  <c r="BR2301" i="1"/>
  <c r="BK2301" i="1"/>
  <c r="BJ2301" i="1"/>
  <c r="BH2301" i="1"/>
  <c r="BR2300" i="1"/>
  <c r="BK2300" i="1"/>
  <c r="BJ2300" i="1"/>
  <c r="BH2300" i="1"/>
  <c r="BR2299" i="1"/>
  <c r="BK2299" i="1"/>
  <c r="BJ2299" i="1"/>
  <c r="BH2299" i="1"/>
  <c r="BR2298" i="1"/>
  <c r="BK2298" i="1"/>
  <c r="BJ2298" i="1"/>
  <c r="BH2298" i="1"/>
  <c r="BR2297" i="1"/>
  <c r="BK2297" i="1"/>
  <c r="BJ2297" i="1"/>
  <c r="BH2297" i="1"/>
  <c r="BR2296" i="1"/>
  <c r="BK2296" i="1"/>
  <c r="BJ2296" i="1"/>
  <c r="BH2296" i="1"/>
  <c r="BN2305" i="1"/>
  <c r="BN2304" i="1"/>
  <c r="BN2303" i="1"/>
  <c r="BN2302" i="1"/>
  <c r="BN2301" i="1"/>
  <c r="BN2300" i="1"/>
  <c r="BN2299" i="1"/>
  <c r="BN2298" i="1"/>
  <c r="BN2297" i="1"/>
  <c r="BN2296" i="1"/>
  <c r="BS2305" i="1"/>
  <c r="BS2304" i="1"/>
  <c r="BS2303" i="1"/>
  <c r="BS2302" i="1"/>
  <c r="BS2301" i="1"/>
  <c r="BS2300" i="1"/>
  <c r="BS2299" i="1"/>
  <c r="BS2298" i="1"/>
  <c r="BS2297" i="1"/>
  <c r="BS2296" i="1"/>
  <c r="BO2305" i="1"/>
  <c r="BO2304" i="1"/>
  <c r="BO2303" i="1"/>
  <c r="BO2302" i="1"/>
  <c r="BO2301" i="1"/>
  <c r="BO2300" i="1"/>
  <c r="BO2299" i="1"/>
  <c r="BO2298" i="1"/>
  <c r="BO2297" i="1"/>
  <c r="BO2296" i="1"/>
  <c r="BT2305" i="1"/>
  <c r="BT2304" i="1"/>
  <c r="BT2303" i="1"/>
  <c r="BT2302" i="1"/>
  <c r="BT2301" i="1"/>
  <c r="BT2300" i="1"/>
  <c r="BT2299" i="1"/>
  <c r="BT2298" i="1"/>
  <c r="BT2297" i="1"/>
  <c r="BT2296" i="1"/>
  <c r="BU2305" i="1"/>
  <c r="BQ2305" i="1"/>
  <c r="BU2304" i="1"/>
  <c r="BQ2304" i="1"/>
  <c r="BU2303" i="1"/>
  <c r="BQ2303" i="1"/>
  <c r="BU2302" i="1"/>
  <c r="BQ2302" i="1"/>
  <c r="BU2301" i="1"/>
  <c r="BQ2301" i="1"/>
  <c r="BU2300" i="1"/>
  <c r="BQ2300" i="1"/>
  <c r="BU2299" i="1"/>
  <c r="BQ2299" i="1"/>
  <c r="BU2298" i="1"/>
  <c r="BQ2298" i="1"/>
  <c r="BU2297" i="1"/>
  <c r="BQ2297" i="1"/>
  <c r="BU2296" i="1"/>
  <c r="BQ2296" i="1"/>
  <c r="BM2305" i="1"/>
  <c r="BM2304" i="1"/>
  <c r="BM2303" i="1"/>
  <c r="BM2302" i="1"/>
  <c r="BM2301" i="1"/>
  <c r="BM2300" i="1"/>
  <c r="BM2299" i="1"/>
  <c r="BM2298" i="1"/>
  <c r="BM2297" i="1"/>
  <c r="BM2296" i="1"/>
  <c r="BL2305" i="1"/>
  <c r="BI2305" i="1"/>
  <c r="BL2304" i="1"/>
  <c r="BI2304" i="1"/>
  <c r="BL2303" i="1"/>
  <c r="BI2303" i="1"/>
  <c r="BL2302" i="1"/>
  <c r="BI2302" i="1"/>
  <c r="BL2301" i="1"/>
  <c r="BI2301" i="1"/>
  <c r="BL2300" i="1"/>
  <c r="BI2300" i="1"/>
  <c r="BL2299" i="1"/>
  <c r="BI2299" i="1"/>
  <c r="BL2298" i="1"/>
  <c r="BI2298" i="1"/>
  <c r="BL2297" i="1"/>
  <c r="BI2297" i="1"/>
  <c r="BL2296" i="1"/>
  <c r="BI2296" i="1"/>
  <c r="BP2305" i="1"/>
  <c r="BP2304" i="1"/>
  <c r="BP2303" i="1"/>
  <c r="BP2302" i="1"/>
  <c r="BP2301" i="1"/>
  <c r="BP2300" i="1"/>
  <c r="BP2299" i="1"/>
  <c r="BP2298" i="1"/>
  <c r="BP2297" i="1"/>
  <c r="BP2296" i="1"/>
  <c r="BR2321" i="1"/>
  <c r="BK2321" i="1"/>
  <c r="BJ2321" i="1"/>
  <c r="BH2321" i="1"/>
  <c r="BR2320" i="1"/>
  <c r="BK2320" i="1"/>
  <c r="BJ2320" i="1"/>
  <c r="BH2320" i="1"/>
  <c r="BR2319" i="1"/>
  <c r="BK2319" i="1"/>
  <c r="BJ2319" i="1"/>
  <c r="BH2319" i="1"/>
  <c r="BR2318" i="1"/>
  <c r="BK2318" i="1"/>
  <c r="BJ2318" i="1"/>
  <c r="BH2318" i="1"/>
  <c r="BR2317" i="1"/>
  <c r="BK2317" i="1"/>
  <c r="BJ2317" i="1"/>
  <c r="BH2317" i="1"/>
  <c r="BN2321" i="1"/>
  <c r="BN2320" i="1"/>
  <c r="BN2319" i="1"/>
  <c r="BN2318" i="1"/>
  <c r="BN2317" i="1"/>
  <c r="BS2321" i="1"/>
  <c r="BS2320" i="1"/>
  <c r="BS2319" i="1"/>
  <c r="BS2318" i="1"/>
  <c r="BS2317" i="1"/>
  <c r="BO2321" i="1"/>
  <c r="BO2320" i="1"/>
  <c r="BO2319" i="1"/>
  <c r="BO2318" i="1"/>
  <c r="BO2317" i="1"/>
  <c r="BT2321" i="1"/>
  <c r="BT2320" i="1"/>
  <c r="BT2319" i="1"/>
  <c r="BT2318" i="1"/>
  <c r="BT2317" i="1"/>
  <c r="BU2321" i="1"/>
  <c r="BQ2321" i="1"/>
  <c r="BU2320" i="1"/>
  <c r="BQ2320" i="1"/>
  <c r="BU2319" i="1"/>
  <c r="BQ2319" i="1"/>
  <c r="BU2318" i="1"/>
  <c r="BQ2318" i="1"/>
  <c r="BU2317" i="1"/>
  <c r="BQ2317" i="1"/>
  <c r="BM2321" i="1"/>
  <c r="BM2320" i="1"/>
  <c r="BM2319" i="1"/>
  <c r="BM2318" i="1"/>
  <c r="BM2317" i="1"/>
  <c r="BL2321" i="1"/>
  <c r="BI2321" i="1"/>
  <c r="BL2320" i="1"/>
  <c r="BI2320" i="1"/>
  <c r="BL2319" i="1"/>
  <c r="BI2319" i="1"/>
  <c r="BL2318" i="1"/>
  <c r="BI2318" i="1"/>
  <c r="BL2317" i="1"/>
  <c r="BI2317" i="1"/>
  <c r="BP2321" i="1"/>
  <c r="BP2320" i="1"/>
  <c r="BP2319" i="1"/>
  <c r="BP2318" i="1"/>
  <c r="BP2317" i="1"/>
  <c r="BR2263" i="1"/>
  <c r="BK2263" i="1"/>
  <c r="BJ2263" i="1"/>
  <c r="BH2263" i="1"/>
  <c r="BR2262" i="1"/>
  <c r="BK2262" i="1"/>
  <c r="BJ2262" i="1"/>
  <c r="BH2262" i="1"/>
  <c r="BR2261" i="1"/>
  <c r="BK2261" i="1"/>
  <c r="BJ2261" i="1"/>
  <c r="BH2261" i="1"/>
  <c r="BR2260" i="1"/>
  <c r="BK2260" i="1"/>
  <c r="BJ2260" i="1"/>
  <c r="BH2260" i="1"/>
  <c r="BR2259" i="1"/>
  <c r="BK2259" i="1"/>
  <c r="BJ2259" i="1"/>
  <c r="BH2259" i="1"/>
  <c r="BR2258" i="1"/>
  <c r="BK2258" i="1"/>
  <c r="BJ2258" i="1"/>
  <c r="BH2258" i="1"/>
  <c r="BR2257" i="1"/>
  <c r="BK2257" i="1"/>
  <c r="BJ2257" i="1"/>
  <c r="BH2257" i="1"/>
  <c r="BN2263" i="1"/>
  <c r="BN2262" i="1"/>
  <c r="BN2261" i="1"/>
  <c r="BN2260" i="1"/>
  <c r="BN2259" i="1"/>
  <c r="BN2258" i="1"/>
  <c r="BN2257" i="1"/>
  <c r="BS2263" i="1"/>
  <c r="BS2262" i="1"/>
  <c r="BS2261" i="1"/>
  <c r="BS2260" i="1"/>
  <c r="BS2259" i="1"/>
  <c r="BS2258" i="1"/>
  <c r="BS2257" i="1"/>
  <c r="BO2263" i="1"/>
  <c r="BO2262" i="1"/>
  <c r="BO2261" i="1"/>
  <c r="BO2260" i="1"/>
  <c r="BO2259" i="1"/>
  <c r="BO2258" i="1"/>
  <c r="BO2257" i="1"/>
  <c r="BT2263" i="1"/>
  <c r="BT2262" i="1"/>
  <c r="BT2261" i="1"/>
  <c r="BT2260" i="1"/>
  <c r="BT2259" i="1"/>
  <c r="BT2258" i="1"/>
  <c r="BT2257" i="1"/>
  <c r="BU2263" i="1"/>
  <c r="BQ2263" i="1"/>
  <c r="BU2262" i="1"/>
  <c r="BQ2262" i="1"/>
  <c r="BU2261" i="1"/>
  <c r="BQ2261" i="1"/>
  <c r="BU2260" i="1"/>
  <c r="BQ2260" i="1"/>
  <c r="BU2259" i="1"/>
  <c r="BQ2259" i="1"/>
  <c r="BU2258" i="1"/>
  <c r="BQ2258" i="1"/>
  <c r="BU2257" i="1"/>
  <c r="BQ2257" i="1"/>
  <c r="BM2263" i="1"/>
  <c r="BM2262" i="1"/>
  <c r="BM2261" i="1"/>
  <c r="BM2260" i="1"/>
  <c r="BM2259" i="1"/>
  <c r="BM2258" i="1"/>
  <c r="BM2257" i="1"/>
  <c r="BL2263" i="1"/>
  <c r="BI2263" i="1"/>
  <c r="BL2262" i="1"/>
  <c r="BI2262" i="1"/>
  <c r="BL2261" i="1"/>
  <c r="BI2261" i="1"/>
  <c r="BL2260" i="1"/>
  <c r="BI2260" i="1"/>
  <c r="BL2259" i="1"/>
  <c r="BI2259" i="1"/>
  <c r="BL2258" i="1"/>
  <c r="BI2258" i="1"/>
  <c r="BL2257" i="1"/>
  <c r="BI2257" i="1"/>
  <c r="BP2263" i="1"/>
  <c r="BP2262" i="1"/>
  <c r="BP2261" i="1"/>
  <c r="BP2260" i="1"/>
  <c r="BP2259" i="1"/>
  <c r="BP2258" i="1"/>
  <c r="BP2257" i="1"/>
  <c r="BR2266" i="1"/>
  <c r="BK2266" i="1"/>
  <c r="BJ2266" i="1"/>
  <c r="BH2266" i="1"/>
  <c r="BR2265" i="1"/>
  <c r="BK2265" i="1"/>
  <c r="BJ2265" i="1"/>
  <c r="BH2265" i="1"/>
  <c r="BR2264" i="1"/>
  <c r="BK2264" i="1"/>
  <c r="BJ2264" i="1"/>
  <c r="BH2264" i="1"/>
  <c r="BN2266" i="1"/>
  <c r="BN2265" i="1"/>
  <c r="BN2264" i="1"/>
  <c r="BS2266" i="1"/>
  <c r="BS2265" i="1"/>
  <c r="BS2264" i="1"/>
  <c r="BO2266" i="1"/>
  <c r="BO2265" i="1"/>
  <c r="BO2264" i="1"/>
  <c r="BT2266" i="1"/>
  <c r="BT2265" i="1"/>
  <c r="BT2264" i="1"/>
  <c r="BU2266" i="1"/>
  <c r="BQ2266" i="1"/>
  <c r="BU2265" i="1"/>
  <c r="BQ2265" i="1"/>
  <c r="BU2264" i="1"/>
  <c r="BQ2264" i="1"/>
  <c r="BM2266" i="1"/>
  <c r="BM2265" i="1"/>
  <c r="BM2264" i="1"/>
  <c r="BL2266" i="1"/>
  <c r="BI2266" i="1"/>
  <c r="BL2265" i="1"/>
  <c r="BI2265" i="1"/>
  <c r="BL2264" i="1"/>
  <c r="BI2264" i="1"/>
  <c r="BP2266" i="1"/>
  <c r="BP2265" i="1"/>
  <c r="BP2264" i="1"/>
  <c r="BR2251" i="1"/>
  <c r="BK2251" i="1"/>
  <c r="BJ2251" i="1"/>
  <c r="BH2251" i="1"/>
  <c r="BR2250" i="1"/>
  <c r="BK2250" i="1"/>
  <c r="BJ2250" i="1"/>
  <c r="BH2250" i="1"/>
  <c r="BR2249" i="1"/>
  <c r="BK2249" i="1"/>
  <c r="BJ2249" i="1"/>
  <c r="BH2249" i="1"/>
  <c r="BR2248" i="1"/>
  <c r="BK2248" i="1"/>
  <c r="BJ2248" i="1"/>
  <c r="BH2248" i="1"/>
  <c r="BR2247" i="1"/>
  <c r="BK2247" i="1"/>
  <c r="BJ2247" i="1"/>
  <c r="BH2247" i="1"/>
  <c r="BR2246" i="1"/>
  <c r="BK2246" i="1"/>
  <c r="BJ2246" i="1"/>
  <c r="BH2246" i="1"/>
  <c r="BR2245" i="1"/>
  <c r="BK2245" i="1"/>
  <c r="BJ2245" i="1"/>
  <c r="BH2245" i="1"/>
  <c r="BR2244" i="1"/>
  <c r="BK2244" i="1"/>
  <c r="BJ2244" i="1"/>
  <c r="BH2244" i="1"/>
  <c r="BN2251" i="1"/>
  <c r="BN2250" i="1"/>
  <c r="BN2249" i="1"/>
  <c r="BN2248" i="1"/>
  <c r="BN2247" i="1"/>
  <c r="BN2246" i="1"/>
  <c r="BN2245" i="1"/>
  <c r="BN2244" i="1"/>
  <c r="BS2251" i="1"/>
  <c r="BS2250" i="1"/>
  <c r="BS2249" i="1"/>
  <c r="BS2248" i="1"/>
  <c r="BS2247" i="1"/>
  <c r="BS2246" i="1"/>
  <c r="BS2245" i="1"/>
  <c r="BS2244" i="1"/>
  <c r="BO2251" i="1"/>
  <c r="BO2250" i="1"/>
  <c r="BO2249" i="1"/>
  <c r="BO2248" i="1"/>
  <c r="BO2247" i="1"/>
  <c r="BO2246" i="1"/>
  <c r="BO2245" i="1"/>
  <c r="BO2244" i="1"/>
  <c r="BT2251" i="1"/>
  <c r="BT2250" i="1"/>
  <c r="BT2249" i="1"/>
  <c r="BT2248" i="1"/>
  <c r="BT2247" i="1"/>
  <c r="BT2246" i="1"/>
  <c r="BT2245" i="1"/>
  <c r="BT2244" i="1"/>
  <c r="BU2251" i="1"/>
  <c r="BQ2251" i="1"/>
  <c r="BU2250" i="1"/>
  <c r="BQ2250" i="1"/>
  <c r="BU2249" i="1"/>
  <c r="BQ2249" i="1"/>
  <c r="BU2248" i="1"/>
  <c r="BQ2248" i="1"/>
  <c r="BU2247" i="1"/>
  <c r="BQ2247" i="1"/>
  <c r="BU2246" i="1"/>
  <c r="BQ2246" i="1"/>
  <c r="BU2245" i="1"/>
  <c r="BQ2245" i="1"/>
  <c r="BU2244" i="1"/>
  <c r="BQ2244" i="1"/>
  <c r="BM2251" i="1"/>
  <c r="BM2250" i="1"/>
  <c r="BM2249" i="1"/>
  <c r="BM2248" i="1"/>
  <c r="BM2247" i="1"/>
  <c r="BM2246" i="1"/>
  <c r="BM2245" i="1"/>
  <c r="BM2244" i="1"/>
  <c r="BL2251" i="1"/>
  <c r="BI2251" i="1"/>
  <c r="BL2250" i="1"/>
  <c r="BI2250" i="1"/>
  <c r="BL2249" i="1"/>
  <c r="BI2249" i="1"/>
  <c r="BL2248" i="1"/>
  <c r="BI2248" i="1"/>
  <c r="BL2247" i="1"/>
  <c r="BI2247" i="1"/>
  <c r="BL2246" i="1"/>
  <c r="BI2246" i="1"/>
  <c r="BL2245" i="1"/>
  <c r="BI2245" i="1"/>
  <c r="BL2244" i="1"/>
  <c r="BI2244" i="1"/>
  <c r="BP2251" i="1"/>
  <c r="BP2250" i="1"/>
  <c r="BP2249" i="1"/>
  <c r="BP2248" i="1"/>
  <c r="BP2247" i="1"/>
  <c r="BP2246" i="1"/>
  <c r="BP2245" i="1"/>
  <c r="BP2244" i="1"/>
  <c r="BR2255" i="1"/>
  <c r="BK2255" i="1"/>
  <c r="BJ2255" i="1"/>
  <c r="BH2255" i="1"/>
  <c r="BR2254" i="1"/>
  <c r="BK2254" i="1"/>
  <c r="BJ2254" i="1"/>
  <c r="BH2254" i="1"/>
  <c r="BR2253" i="1"/>
  <c r="BK2253" i="1"/>
  <c r="BJ2253" i="1"/>
  <c r="BH2253" i="1"/>
  <c r="BR2252" i="1"/>
  <c r="BK2252" i="1"/>
  <c r="BJ2252" i="1"/>
  <c r="BH2252" i="1"/>
  <c r="BN2255" i="1"/>
  <c r="BN2254" i="1"/>
  <c r="BN2253" i="1"/>
  <c r="BN2252" i="1"/>
  <c r="BS2255" i="1"/>
  <c r="BS2254" i="1"/>
  <c r="BS2253" i="1"/>
  <c r="BS2252" i="1"/>
  <c r="BO2255" i="1"/>
  <c r="BO2254" i="1"/>
  <c r="BO2253" i="1"/>
  <c r="BO2252" i="1"/>
  <c r="BT2255" i="1"/>
  <c r="BT2254" i="1"/>
  <c r="BT2253" i="1"/>
  <c r="BT2252" i="1"/>
  <c r="BU2255" i="1"/>
  <c r="BQ2255" i="1"/>
  <c r="BU2254" i="1"/>
  <c r="BQ2254" i="1"/>
  <c r="BU2253" i="1"/>
  <c r="BQ2253" i="1"/>
  <c r="BU2252" i="1"/>
  <c r="BQ2252" i="1"/>
  <c r="BM2255" i="1"/>
  <c r="BM2254" i="1"/>
  <c r="BM2253" i="1"/>
  <c r="BM2252" i="1"/>
  <c r="BL2255" i="1"/>
  <c r="BI2255" i="1"/>
  <c r="BL2254" i="1"/>
  <c r="BI2254" i="1"/>
  <c r="BL2253" i="1"/>
  <c r="BI2253" i="1"/>
  <c r="BL2252" i="1"/>
  <c r="BI2252" i="1"/>
  <c r="BP2255" i="1"/>
  <c r="BP2254" i="1"/>
  <c r="BP2253" i="1"/>
  <c r="BP2252" i="1"/>
  <c r="BL1596" i="1"/>
  <c r="BU1410" i="1"/>
  <c r="BU1408" i="1"/>
  <c r="BU1407" i="1"/>
  <c r="BQ1439" i="1"/>
  <c r="BQ1422" i="1"/>
  <c r="BQ1443" i="1"/>
  <c r="BQ1438" i="1"/>
  <c r="BQ1419" i="1"/>
  <c r="BU1411" i="1"/>
  <c r="BM1448" i="1"/>
  <c r="BU1409" i="1"/>
  <c r="BQ1442" i="1"/>
  <c r="BQ1421" i="1"/>
  <c r="BQ1425" i="1"/>
  <c r="BQ1440" i="1"/>
  <c r="BM1416" i="1"/>
  <c r="BM1433" i="1"/>
  <c r="BM1420" i="1"/>
  <c r="BU1597" i="1"/>
  <c r="BU1594" i="1"/>
  <c r="BU1584" i="1"/>
  <c r="BU1599" i="1"/>
  <c r="BU1589" i="1"/>
  <c r="BU1586" i="1"/>
  <c r="BU1579" i="1"/>
  <c r="BU1576" i="1"/>
  <c r="BU1573" i="1"/>
  <c r="BU1600" i="1"/>
  <c r="BU1582" i="1"/>
  <c r="BU1601" i="1"/>
  <c r="BU1414" i="1"/>
  <c r="BU1417" i="1"/>
  <c r="BU1420" i="1"/>
  <c r="BU1423" i="1"/>
  <c r="BU1426" i="1"/>
  <c r="BU1429" i="1"/>
  <c r="BU1432" i="1"/>
  <c r="BU1435" i="1"/>
  <c r="BU1438" i="1"/>
  <c r="BU1441" i="1"/>
  <c r="BU1444" i="1"/>
  <c r="BU1447" i="1"/>
  <c r="BU1450" i="1"/>
  <c r="BU1453" i="1"/>
  <c r="BU1456" i="1"/>
  <c r="BU1459" i="1"/>
  <c r="BU1462" i="1"/>
  <c r="BU1465" i="1"/>
  <c r="BU1468" i="1"/>
  <c r="BU1471" i="1"/>
  <c r="BU1474" i="1"/>
  <c r="BU1477" i="1"/>
  <c r="BU1480" i="1"/>
  <c r="BU1483" i="1"/>
  <c r="BU1486" i="1"/>
  <c r="BU1489" i="1"/>
  <c r="BU1492" i="1"/>
  <c r="BU1495" i="1"/>
  <c r="BU1498" i="1"/>
  <c r="BU1501" i="1"/>
  <c r="BU1504" i="1"/>
  <c r="BU1507" i="1"/>
  <c r="BU1510" i="1"/>
  <c r="BU1513" i="1"/>
  <c r="BU1516" i="1"/>
  <c r="BU1519" i="1"/>
  <c r="BU1522" i="1"/>
  <c r="BU1525" i="1"/>
  <c r="BU1528" i="1"/>
  <c r="BU1531" i="1"/>
  <c r="BU1534" i="1"/>
  <c r="BU1537" i="1"/>
  <c r="BU1540" i="1"/>
  <c r="BU1543" i="1"/>
  <c r="BU1546" i="1"/>
  <c r="BU1549" i="1"/>
  <c r="BU1552" i="1"/>
  <c r="BU1555" i="1"/>
  <c r="BU1558" i="1"/>
  <c r="BU1561" i="1"/>
  <c r="BU1564" i="1"/>
  <c r="BU1567" i="1"/>
  <c r="BU1570" i="1"/>
  <c r="BU1637" i="1"/>
  <c r="BU1641" i="1"/>
  <c r="BU1583" i="1"/>
  <c r="BU1577" i="1"/>
  <c r="BU1590" i="1"/>
  <c r="BU1595" i="1"/>
  <c r="BM1417" i="1"/>
  <c r="BM1434" i="1"/>
  <c r="BQ1424" i="1"/>
  <c r="BQ1441" i="1"/>
  <c r="BQ1426" i="1"/>
  <c r="BQ1416" i="1"/>
  <c r="BQ1433" i="1"/>
  <c r="BQ1435" i="1"/>
  <c r="BQ1427" i="1"/>
  <c r="BQ1407" i="1"/>
  <c r="BQ1436" i="1"/>
  <c r="BQ1415" i="1"/>
  <c r="BM1408" i="1"/>
  <c r="BM1409" i="1"/>
  <c r="BM1442" i="1"/>
  <c r="BM1443" i="1"/>
  <c r="BM1412" i="1"/>
  <c r="BM1413" i="1"/>
  <c r="BM1446" i="1"/>
  <c r="BM1431" i="1"/>
  <c r="BM1419" i="1"/>
  <c r="BM1421" i="1"/>
  <c r="BM1422" i="1"/>
  <c r="BM1407" i="1"/>
  <c r="BQ1525" i="1"/>
  <c r="BQ1522" i="1"/>
  <c r="BQ1519" i="1"/>
  <c r="BQ1516" i="1"/>
  <c r="BQ1486" i="1"/>
  <c r="BQ1483" i="1"/>
  <c r="BQ1478" i="1"/>
  <c r="BQ1475" i="1"/>
  <c r="BQ1472" i="1"/>
  <c r="BQ1469" i="1"/>
  <c r="BQ1466" i="1"/>
  <c r="BQ1463" i="1"/>
  <c r="BQ1460" i="1"/>
  <c r="BQ1457" i="1"/>
  <c r="BQ1454" i="1"/>
  <c r="BQ1451" i="1"/>
  <c r="BQ1448" i="1"/>
  <c r="BQ1445" i="1"/>
  <c r="BQ1499" i="1"/>
  <c r="BQ1498" i="1"/>
  <c r="BQ1496" i="1"/>
  <c r="BQ1491" i="1"/>
  <c r="BQ1509" i="1"/>
  <c r="BQ1508" i="1"/>
  <c r="BQ1502" i="1"/>
  <c r="BQ1505" i="1"/>
  <c r="BQ1511" i="1"/>
  <c r="BQ1526" i="1"/>
  <c r="BU1642" i="1"/>
  <c r="BU1572" i="1"/>
  <c r="BU1568" i="1"/>
  <c r="BU1563" i="1"/>
  <c r="BU1559" i="1"/>
  <c r="BU1554" i="1"/>
  <c r="BU1550" i="1"/>
  <c r="BU1545" i="1"/>
  <c r="BU1541" i="1"/>
  <c r="BU1536" i="1"/>
  <c r="BU1532" i="1"/>
  <c r="BU1527" i="1"/>
  <c r="BU1523" i="1"/>
  <c r="BU1518" i="1"/>
  <c r="BU1514" i="1"/>
  <c r="BU1509" i="1"/>
  <c r="BU1505" i="1"/>
  <c r="BU1500" i="1"/>
  <c r="BU1496" i="1"/>
  <c r="BU1491" i="1"/>
  <c r="BU1487" i="1"/>
  <c r="BU1482" i="1"/>
  <c r="BU1478" i="1"/>
  <c r="BU1473" i="1"/>
  <c r="BU1469" i="1"/>
  <c r="BU1464" i="1"/>
  <c r="BU1460" i="1"/>
  <c r="BU1455" i="1"/>
  <c r="BU1451" i="1"/>
  <c r="BU1446" i="1"/>
  <c r="BU1442" i="1"/>
  <c r="BU1437" i="1"/>
  <c r="BU1433" i="1"/>
  <c r="BU1428" i="1"/>
  <c r="BU1424" i="1"/>
  <c r="BU1419" i="1"/>
  <c r="BU1415" i="1"/>
  <c r="BU1619" i="1"/>
  <c r="BU1585" i="1"/>
  <c r="BU1574" i="1"/>
  <c r="BU1578" i="1"/>
  <c r="BU1587" i="1"/>
  <c r="BU1591" i="1"/>
  <c r="BU1592" i="1"/>
  <c r="BU1596" i="1"/>
  <c r="BM1418" i="1"/>
  <c r="BQ1429" i="1"/>
  <c r="BU1413" i="1"/>
  <c r="BQ1432" i="1"/>
  <c r="BQ1418" i="1"/>
  <c r="BQ1420" i="1"/>
  <c r="BQ1412" i="1"/>
  <c r="BQ1423" i="1"/>
  <c r="BQ1414" i="1"/>
  <c r="BQ1431" i="1"/>
  <c r="BR2243" i="1"/>
  <c r="BK2243" i="1"/>
  <c r="BJ2243" i="1"/>
  <c r="BH2243" i="1"/>
  <c r="BR2242" i="1"/>
  <c r="BK2242" i="1"/>
  <c r="BJ2242" i="1"/>
  <c r="BH2242" i="1"/>
  <c r="BR2241" i="1"/>
  <c r="BK2241" i="1"/>
  <c r="BJ2241" i="1"/>
  <c r="BH2241" i="1"/>
  <c r="BR2240" i="1"/>
  <c r="BK2240" i="1"/>
  <c r="BJ2240" i="1"/>
  <c r="BH2240" i="1"/>
  <c r="BN2243" i="1"/>
  <c r="BN2242" i="1"/>
  <c r="BN2241" i="1"/>
  <c r="BN2240" i="1"/>
  <c r="BS2243" i="1"/>
  <c r="BS2242" i="1"/>
  <c r="BS2241" i="1"/>
  <c r="BS2240" i="1"/>
  <c r="BO2243" i="1"/>
  <c r="BO2242" i="1"/>
  <c r="BO2241" i="1"/>
  <c r="BO2240" i="1"/>
  <c r="BT2243" i="1"/>
  <c r="BT2242" i="1"/>
  <c r="BT2241" i="1"/>
  <c r="BT2240" i="1"/>
  <c r="BU2243" i="1"/>
  <c r="BQ2243" i="1"/>
  <c r="BU2242" i="1"/>
  <c r="BQ2242" i="1"/>
  <c r="BU2241" i="1"/>
  <c r="BQ2241" i="1"/>
  <c r="BU2240" i="1"/>
  <c r="BQ2240" i="1"/>
  <c r="BM2243" i="1"/>
  <c r="BM2242" i="1"/>
  <c r="BM2241" i="1"/>
  <c r="BM2240" i="1"/>
  <c r="BL2243" i="1"/>
  <c r="BI2243" i="1"/>
  <c r="BL2242" i="1"/>
  <c r="BI2242" i="1"/>
  <c r="BL2241" i="1"/>
  <c r="BI2241" i="1"/>
  <c r="BL2240" i="1"/>
  <c r="BI2240" i="1"/>
  <c r="BP2243" i="1"/>
  <c r="BP2242" i="1"/>
  <c r="BP2241" i="1"/>
  <c r="BP2240" i="1"/>
  <c r="BS2237" i="1"/>
  <c r="BS2236" i="1"/>
  <c r="BS2235" i="1"/>
  <c r="BS2234" i="1"/>
  <c r="BS2233" i="1"/>
  <c r="BS2232" i="1"/>
  <c r="BO2237" i="1"/>
  <c r="BO2236" i="1"/>
  <c r="BO2235" i="1"/>
  <c r="BO2234" i="1"/>
  <c r="BO2233" i="1"/>
  <c r="BO2232" i="1"/>
  <c r="BT2237" i="1"/>
  <c r="BT2236" i="1"/>
  <c r="BT2235" i="1"/>
  <c r="BT2234" i="1"/>
  <c r="BT2233" i="1"/>
  <c r="BT2232" i="1"/>
  <c r="BR2237" i="1"/>
  <c r="BK2237" i="1"/>
  <c r="BJ2237" i="1"/>
  <c r="BH2237" i="1"/>
  <c r="BR2236" i="1"/>
  <c r="BK2236" i="1"/>
  <c r="BJ2236" i="1"/>
  <c r="BH2236" i="1"/>
  <c r="BR2235" i="1"/>
  <c r="BK2235" i="1"/>
  <c r="BJ2235" i="1"/>
  <c r="BH2235" i="1"/>
  <c r="BR2234" i="1"/>
  <c r="BK2234" i="1"/>
  <c r="BJ2234" i="1"/>
  <c r="BH2234" i="1"/>
  <c r="BR2233" i="1"/>
  <c r="BK2233" i="1"/>
  <c r="BJ2233" i="1"/>
  <c r="BH2233" i="1"/>
  <c r="BR2232" i="1"/>
  <c r="BK2232" i="1"/>
  <c r="BJ2232" i="1"/>
  <c r="BH2232" i="1"/>
  <c r="BN2237" i="1"/>
  <c r="BN2236" i="1"/>
  <c r="BN2235" i="1"/>
  <c r="BN2234" i="1"/>
  <c r="BN2233" i="1"/>
  <c r="BN2232" i="1"/>
  <c r="BU2237" i="1"/>
  <c r="BQ2237" i="1"/>
  <c r="BU2236" i="1"/>
  <c r="BQ2236" i="1"/>
  <c r="BU2235" i="1"/>
  <c r="BQ2235" i="1"/>
  <c r="BU2234" i="1"/>
  <c r="BQ2234" i="1"/>
  <c r="BU2233" i="1"/>
  <c r="BQ2233" i="1"/>
  <c r="BU2232" i="1"/>
  <c r="BQ2232" i="1"/>
  <c r="BM2237" i="1"/>
  <c r="BM2236" i="1"/>
  <c r="BM2235" i="1"/>
  <c r="BM2234" i="1"/>
  <c r="BM2233" i="1"/>
  <c r="BM2232" i="1"/>
  <c r="BL2237" i="1"/>
  <c r="BI2237" i="1"/>
  <c r="BL2236" i="1"/>
  <c r="BI2236" i="1"/>
  <c r="BL2235" i="1"/>
  <c r="BI2235" i="1"/>
  <c r="BL2234" i="1"/>
  <c r="BI2234" i="1"/>
  <c r="BL2233" i="1"/>
  <c r="BI2233" i="1"/>
  <c r="BL2232" i="1"/>
  <c r="BI2232" i="1"/>
  <c r="BP2237" i="1"/>
  <c r="BP2236" i="1"/>
  <c r="BP2235" i="1"/>
  <c r="BP2234" i="1"/>
  <c r="BP2233" i="1"/>
  <c r="BP2232" i="1"/>
  <c r="BR2256" i="1"/>
  <c r="BK2256" i="1"/>
  <c r="BJ2256" i="1"/>
  <c r="BH2256" i="1"/>
  <c r="BR2239" i="1"/>
  <c r="BK2239" i="1"/>
  <c r="BJ2239" i="1"/>
  <c r="BH2239" i="1"/>
  <c r="BR2238" i="1"/>
  <c r="BK2238" i="1"/>
  <c r="BJ2238" i="1"/>
  <c r="BH2238" i="1"/>
  <c r="BN2256" i="1"/>
  <c r="BN2239" i="1"/>
  <c r="BN2238" i="1"/>
  <c r="BL2256" i="1"/>
  <c r="BI2256" i="1"/>
  <c r="BL2239" i="1"/>
  <c r="BI2239" i="1"/>
  <c r="BL2238" i="1"/>
  <c r="BI2238" i="1"/>
  <c r="BP2256" i="1"/>
  <c r="BP2239" i="1"/>
  <c r="BP2238" i="1"/>
  <c r="BS2256" i="1"/>
  <c r="BS2239" i="1"/>
  <c r="BS2238" i="1"/>
  <c r="BO2256" i="1"/>
  <c r="BO2239" i="1"/>
  <c r="BO2238" i="1"/>
  <c r="BT2256" i="1"/>
  <c r="BT2239" i="1"/>
  <c r="BT2238" i="1"/>
  <c r="BU2256" i="1"/>
  <c r="BQ2256" i="1"/>
  <c r="BU2239" i="1"/>
  <c r="BQ2239" i="1"/>
  <c r="BU2238" i="1"/>
  <c r="BQ2238" i="1"/>
  <c r="BM2256" i="1"/>
  <c r="BM2239" i="1"/>
  <c r="BM2238" i="1"/>
  <c r="BR2267" i="1"/>
  <c r="BK2267" i="1"/>
  <c r="BJ2267" i="1"/>
  <c r="BH2267" i="1"/>
  <c r="BR2231" i="1"/>
  <c r="BK2231" i="1"/>
  <c r="BJ2231" i="1"/>
  <c r="BH2231" i="1"/>
  <c r="BR2230" i="1"/>
  <c r="BK2230" i="1"/>
  <c r="BJ2230" i="1"/>
  <c r="BH2230" i="1"/>
  <c r="BR2229" i="1"/>
  <c r="BK2229" i="1"/>
  <c r="BJ2229" i="1"/>
  <c r="BH2229" i="1"/>
  <c r="BN2267" i="1"/>
  <c r="BN2231" i="1"/>
  <c r="BN2230" i="1"/>
  <c r="BN2229" i="1"/>
  <c r="BS2267" i="1"/>
  <c r="BS2231" i="1"/>
  <c r="BS2230" i="1"/>
  <c r="BS2229" i="1"/>
  <c r="BO2267" i="1"/>
  <c r="BO2231" i="1"/>
  <c r="BO2230" i="1"/>
  <c r="BO2229" i="1"/>
  <c r="BT2267" i="1"/>
  <c r="BT2231" i="1"/>
  <c r="BT2230" i="1"/>
  <c r="BT2229" i="1"/>
  <c r="BU2267" i="1"/>
  <c r="BQ2267" i="1"/>
  <c r="BU2231" i="1"/>
  <c r="BQ2231" i="1"/>
  <c r="BU2230" i="1"/>
  <c r="BQ2230" i="1"/>
  <c r="BU2229" i="1"/>
  <c r="BQ2229" i="1"/>
  <c r="BM2267" i="1"/>
  <c r="BM2231" i="1"/>
  <c r="BM2230" i="1"/>
  <c r="BM2229" i="1"/>
  <c r="BL2267" i="1"/>
  <c r="BI2267" i="1"/>
  <c r="BL2231" i="1"/>
  <c r="BI2231" i="1"/>
  <c r="BL2230" i="1"/>
  <c r="BI2230" i="1"/>
  <c r="BL2229" i="1"/>
  <c r="BI2229" i="1"/>
  <c r="BP2267" i="1"/>
  <c r="BP2231" i="1"/>
  <c r="BP2230" i="1"/>
  <c r="BP2229" i="1"/>
  <c r="BR2225" i="1"/>
  <c r="BK2225" i="1"/>
  <c r="BJ2225" i="1"/>
  <c r="BH2225" i="1"/>
  <c r="BR2224" i="1"/>
  <c r="BK2224" i="1"/>
  <c r="BJ2224" i="1"/>
  <c r="BH2224" i="1"/>
  <c r="BR2223" i="1"/>
  <c r="BK2223" i="1"/>
  <c r="BJ2223" i="1"/>
  <c r="BH2223" i="1"/>
  <c r="BR2222" i="1"/>
  <c r="BK2222" i="1"/>
  <c r="BJ2222" i="1"/>
  <c r="BH2222" i="1"/>
  <c r="BN2225" i="1"/>
  <c r="BN2224" i="1"/>
  <c r="BN2223" i="1"/>
  <c r="BN2222" i="1"/>
  <c r="BS2225" i="1"/>
  <c r="BS2224" i="1"/>
  <c r="BS2223" i="1"/>
  <c r="BS2222" i="1"/>
  <c r="BO2225" i="1"/>
  <c r="BO2224" i="1"/>
  <c r="BO2223" i="1"/>
  <c r="BO2222" i="1"/>
  <c r="BT2225" i="1"/>
  <c r="BT2224" i="1"/>
  <c r="BT2223" i="1"/>
  <c r="BT2222" i="1"/>
  <c r="BU2225" i="1"/>
  <c r="BQ2225" i="1"/>
  <c r="BU2224" i="1"/>
  <c r="BQ2224" i="1"/>
  <c r="BU2223" i="1"/>
  <c r="BQ2223" i="1"/>
  <c r="BU2222" i="1"/>
  <c r="BQ2222" i="1"/>
  <c r="BM2225" i="1"/>
  <c r="BM2224" i="1"/>
  <c r="BM2223" i="1"/>
  <c r="BM2222" i="1"/>
  <c r="BL2225" i="1"/>
  <c r="BI2225" i="1"/>
  <c r="BL2224" i="1"/>
  <c r="BI2224" i="1"/>
  <c r="BL2223" i="1"/>
  <c r="BI2223" i="1"/>
  <c r="BL2222" i="1"/>
  <c r="BI2222" i="1"/>
  <c r="BP2225" i="1"/>
  <c r="BP2224" i="1"/>
  <c r="BP2223" i="1"/>
  <c r="BP2222" i="1"/>
  <c r="BR2228" i="1"/>
  <c r="BK2228" i="1"/>
  <c r="BJ2228" i="1"/>
  <c r="BH2228" i="1"/>
  <c r="BR2227" i="1"/>
  <c r="BK2227" i="1"/>
  <c r="BJ2227" i="1"/>
  <c r="BH2227" i="1"/>
  <c r="BR2226" i="1"/>
  <c r="BK2226" i="1"/>
  <c r="BJ2226" i="1"/>
  <c r="BH2226" i="1"/>
  <c r="BN2228" i="1"/>
  <c r="BN2227" i="1"/>
  <c r="BN2226" i="1"/>
  <c r="BS2228" i="1"/>
  <c r="BS2227" i="1"/>
  <c r="BS2226" i="1"/>
  <c r="BO2228" i="1"/>
  <c r="BO2227" i="1"/>
  <c r="BO2226" i="1"/>
  <c r="BT2228" i="1"/>
  <c r="BT2227" i="1"/>
  <c r="BT2226" i="1"/>
  <c r="BU2228" i="1"/>
  <c r="BQ2228" i="1"/>
  <c r="BU2227" i="1"/>
  <c r="BQ2227" i="1"/>
  <c r="BU2226" i="1"/>
  <c r="BQ2226" i="1"/>
  <c r="BM2228" i="1"/>
  <c r="BM2227" i="1"/>
  <c r="BM2226" i="1"/>
  <c r="BL2228" i="1"/>
  <c r="BI2228" i="1"/>
  <c r="BL2227" i="1"/>
  <c r="BI2227" i="1"/>
  <c r="BL2226" i="1"/>
  <c r="BI2226" i="1"/>
  <c r="BP2228" i="1"/>
  <c r="BP2227" i="1"/>
  <c r="BP2226" i="1"/>
  <c r="BR2220" i="1"/>
  <c r="BK2220" i="1"/>
  <c r="BJ2220" i="1"/>
  <c r="BH2220" i="1"/>
  <c r="BR2219" i="1"/>
  <c r="BK2219" i="1"/>
  <c r="BJ2219" i="1"/>
  <c r="BH2219" i="1"/>
  <c r="BR2218" i="1"/>
  <c r="BK2218" i="1"/>
  <c r="BJ2218" i="1"/>
  <c r="BH2218" i="1"/>
  <c r="BR2217" i="1"/>
  <c r="BK2217" i="1"/>
  <c r="BJ2217" i="1"/>
  <c r="BH2217" i="1"/>
  <c r="BN2220" i="1"/>
  <c r="BN2219" i="1"/>
  <c r="BN2218" i="1"/>
  <c r="BN2217" i="1"/>
  <c r="BS2220" i="1"/>
  <c r="BS2219" i="1"/>
  <c r="BS2218" i="1"/>
  <c r="BS2217" i="1"/>
  <c r="BO2220" i="1"/>
  <c r="BO2219" i="1"/>
  <c r="BO2218" i="1"/>
  <c r="BO2217" i="1"/>
  <c r="BT2220" i="1"/>
  <c r="BT2219" i="1"/>
  <c r="BT2218" i="1"/>
  <c r="BT2217" i="1"/>
  <c r="BU2220" i="1"/>
  <c r="BQ2220" i="1"/>
  <c r="BU2219" i="1"/>
  <c r="BQ2219" i="1"/>
  <c r="BU2218" i="1"/>
  <c r="BQ2218" i="1"/>
  <c r="BU2217" i="1"/>
  <c r="BQ2217" i="1"/>
  <c r="BM2220" i="1"/>
  <c r="BM2219" i="1"/>
  <c r="BM2218" i="1"/>
  <c r="BM2217" i="1"/>
  <c r="BI1598" i="1"/>
  <c r="BL2220" i="1"/>
  <c r="BI2220" i="1"/>
  <c r="BL2219" i="1"/>
  <c r="BI2219" i="1"/>
  <c r="BL2218" i="1"/>
  <c r="BI2218" i="1"/>
  <c r="BL2217" i="1"/>
  <c r="BI2217" i="1"/>
  <c r="BP2220" i="1"/>
  <c r="BP2219" i="1"/>
  <c r="BP2218" i="1"/>
  <c r="BP2217" i="1"/>
  <c r="BR2215" i="1"/>
  <c r="BK2215" i="1"/>
  <c r="BJ2215" i="1"/>
  <c r="BH2215" i="1"/>
  <c r="BR2214" i="1"/>
  <c r="BK2214" i="1"/>
  <c r="BJ2214" i="1"/>
  <c r="BH2214" i="1"/>
  <c r="BR2213" i="1"/>
  <c r="BK2213" i="1"/>
  <c r="BJ2213" i="1"/>
  <c r="BH2213" i="1"/>
  <c r="BR2212" i="1"/>
  <c r="BK2212" i="1"/>
  <c r="BJ2212" i="1"/>
  <c r="BH2212" i="1"/>
  <c r="BR2211" i="1"/>
  <c r="BK2211" i="1"/>
  <c r="BJ2211" i="1"/>
  <c r="BH2211" i="1"/>
  <c r="BN2215" i="1"/>
  <c r="BN2214" i="1"/>
  <c r="BN2213" i="1"/>
  <c r="BN2212" i="1"/>
  <c r="BN2211" i="1"/>
  <c r="Q17" i="6"/>
  <c r="BS2215" i="1"/>
  <c r="BS2214" i="1"/>
  <c r="BS2213" i="1"/>
  <c r="BS2212" i="1"/>
  <c r="BS2211" i="1"/>
  <c r="BO2215" i="1"/>
  <c r="BO2214" i="1"/>
  <c r="BO2213" i="1"/>
  <c r="BO2212" i="1"/>
  <c r="BO2211" i="1"/>
  <c r="BT2215" i="1"/>
  <c r="BT2214" i="1"/>
  <c r="BT2213" i="1"/>
  <c r="BT2212" i="1"/>
  <c r="BT2211" i="1"/>
  <c r="BI1619" i="1"/>
  <c r="BL1581" i="1"/>
  <c r="BI1583" i="1"/>
  <c r="BI1600" i="1"/>
  <c r="BI1573" i="1"/>
  <c r="BL1574" i="1"/>
  <c r="BI1576" i="1"/>
  <c r="BL1577" i="1"/>
  <c r="BI1579" i="1"/>
  <c r="BL1580" i="1"/>
  <c r="BI1586" i="1"/>
  <c r="BL1587" i="1"/>
  <c r="BI1589" i="1"/>
  <c r="BL1590" i="1"/>
  <c r="BI1592" i="1"/>
  <c r="BL1593" i="1"/>
  <c r="BI1596" i="1"/>
  <c r="BU2215" i="1"/>
  <c r="BQ2215" i="1"/>
  <c r="BU2214" i="1"/>
  <c r="BQ2214" i="1"/>
  <c r="BU2213" i="1"/>
  <c r="BQ2213" i="1"/>
  <c r="BU2212" i="1"/>
  <c r="BQ2212" i="1"/>
  <c r="BU2211" i="1"/>
  <c r="BQ2211" i="1"/>
  <c r="BM2215" i="1"/>
  <c r="BM2214" i="1"/>
  <c r="BM2213" i="1"/>
  <c r="BM2212" i="1"/>
  <c r="BM2211" i="1"/>
  <c r="BL2215" i="1"/>
  <c r="BI2215" i="1"/>
  <c r="BL2214" i="1"/>
  <c r="BI2214" i="1"/>
  <c r="BL2213" i="1"/>
  <c r="BI2213" i="1"/>
  <c r="BL2212" i="1"/>
  <c r="BI2212" i="1"/>
  <c r="BL2211" i="1"/>
  <c r="BI2211" i="1"/>
  <c r="BP2215" i="1"/>
  <c r="BP2214" i="1"/>
  <c r="BP2213" i="1"/>
  <c r="BP2212" i="1"/>
  <c r="BP2211" i="1"/>
  <c r="BR2216" i="1"/>
  <c r="BK2216" i="1"/>
  <c r="BJ2216" i="1"/>
  <c r="BH2216" i="1"/>
  <c r="BR2210" i="1"/>
  <c r="BK2210" i="1"/>
  <c r="BJ2210" i="1"/>
  <c r="BH2210" i="1"/>
  <c r="BR2209" i="1"/>
  <c r="BK2209" i="1"/>
  <c r="BJ2209" i="1"/>
  <c r="BH2209" i="1"/>
  <c r="BR2208" i="1"/>
  <c r="BK2208" i="1"/>
  <c r="BJ2208" i="1"/>
  <c r="BH2208" i="1"/>
  <c r="BN2216" i="1"/>
  <c r="BN2210" i="1"/>
  <c r="BN2209" i="1"/>
  <c r="BN2208" i="1"/>
  <c r="BS2216" i="1"/>
  <c r="BS2210" i="1"/>
  <c r="BS2209" i="1"/>
  <c r="BS2208" i="1"/>
  <c r="BO2216" i="1"/>
  <c r="BO2210" i="1"/>
  <c r="BO2209" i="1"/>
  <c r="BO2208" i="1"/>
  <c r="BT2216" i="1"/>
  <c r="BT2210" i="1"/>
  <c r="BT2209" i="1"/>
  <c r="BT2208" i="1"/>
  <c r="BU2216" i="1"/>
  <c r="BQ2216" i="1"/>
  <c r="BU2210" i="1"/>
  <c r="BQ2210" i="1"/>
  <c r="BU2209" i="1"/>
  <c r="BQ2209" i="1"/>
  <c r="BU2208" i="1"/>
  <c r="BQ2208" i="1"/>
  <c r="BM2216" i="1"/>
  <c r="BM2210" i="1"/>
  <c r="BM2209" i="1"/>
  <c r="BM2208" i="1"/>
  <c r="BL2216" i="1"/>
  <c r="BI2216" i="1"/>
  <c r="BL2210" i="1"/>
  <c r="BI2210" i="1"/>
  <c r="BL2209" i="1"/>
  <c r="BI2209" i="1"/>
  <c r="BL2208" i="1"/>
  <c r="BI2208" i="1"/>
  <c r="BP2216" i="1"/>
  <c r="BP2210" i="1"/>
  <c r="BP2209" i="1"/>
  <c r="BP2208" i="1"/>
  <c r="BR2205" i="1"/>
  <c r="BK2205" i="1"/>
  <c r="BJ2205" i="1"/>
  <c r="BH2205" i="1"/>
  <c r="BR2204" i="1"/>
  <c r="BK2204" i="1"/>
  <c r="BJ2204" i="1"/>
  <c r="BH2204" i="1"/>
  <c r="BR2203" i="1"/>
  <c r="BK2203" i="1"/>
  <c r="BJ2203" i="1"/>
  <c r="BH2203" i="1"/>
  <c r="BR2202" i="1"/>
  <c r="BK2202" i="1"/>
  <c r="BJ2202" i="1"/>
  <c r="BH2202" i="1"/>
  <c r="BR2201" i="1"/>
  <c r="BK2201" i="1"/>
  <c r="BJ2201" i="1"/>
  <c r="BH2201" i="1"/>
  <c r="BN2205" i="1"/>
  <c r="BN2204" i="1"/>
  <c r="BN2203" i="1"/>
  <c r="BN2202" i="1"/>
  <c r="BN2201" i="1"/>
  <c r="BS2205" i="1"/>
  <c r="BS2204" i="1"/>
  <c r="BS2203" i="1"/>
  <c r="BS2202" i="1"/>
  <c r="BS2201" i="1"/>
  <c r="BO2205" i="1"/>
  <c r="BO2204" i="1"/>
  <c r="BO2203" i="1"/>
  <c r="BO2202" i="1"/>
  <c r="BO2201" i="1"/>
  <c r="BT2205" i="1"/>
  <c r="BT2204" i="1"/>
  <c r="BT2203" i="1"/>
  <c r="BT2202" i="1"/>
  <c r="BT2201" i="1"/>
  <c r="BU2205" i="1"/>
  <c r="BQ2205" i="1"/>
  <c r="BU2204" i="1"/>
  <c r="BQ2204" i="1"/>
  <c r="BU2203" i="1"/>
  <c r="BQ2203" i="1"/>
  <c r="BU2202" i="1"/>
  <c r="BQ2202" i="1"/>
  <c r="BU2201" i="1"/>
  <c r="BQ2201" i="1"/>
  <c r="BM2205" i="1"/>
  <c r="BM2204" i="1"/>
  <c r="BM2203" i="1"/>
  <c r="BM2202" i="1"/>
  <c r="BM2201" i="1"/>
  <c r="BL2205" i="1"/>
  <c r="BI2205" i="1"/>
  <c r="BL2204" i="1"/>
  <c r="BI2204" i="1"/>
  <c r="BL2203" i="1"/>
  <c r="BI2203" i="1"/>
  <c r="BL2202" i="1"/>
  <c r="BI2202" i="1"/>
  <c r="BL2201" i="1"/>
  <c r="BI2201" i="1"/>
  <c r="BP2205" i="1"/>
  <c r="BP2204" i="1"/>
  <c r="BP2203" i="1"/>
  <c r="BP2202" i="1"/>
  <c r="BP2201" i="1"/>
  <c r="BR2206" i="1"/>
  <c r="BK2206" i="1"/>
  <c r="BJ2206" i="1"/>
  <c r="BH2206" i="1"/>
  <c r="BR2200" i="1"/>
  <c r="BK2200" i="1"/>
  <c r="BJ2200" i="1"/>
  <c r="BH2200" i="1"/>
  <c r="BR2199" i="1"/>
  <c r="BK2199" i="1"/>
  <c r="BJ2199" i="1"/>
  <c r="BH2199" i="1"/>
  <c r="BR2198" i="1"/>
  <c r="BK2198" i="1"/>
  <c r="BJ2198" i="1"/>
  <c r="BH2198" i="1"/>
  <c r="BR2197" i="1"/>
  <c r="BK2197" i="1"/>
  <c r="BJ2197" i="1"/>
  <c r="BH2197" i="1"/>
  <c r="BR2196" i="1"/>
  <c r="BK2196" i="1"/>
  <c r="BJ2196" i="1"/>
  <c r="BH2196" i="1"/>
  <c r="BN2206" i="1"/>
  <c r="BN2200" i="1"/>
  <c r="BN2199" i="1"/>
  <c r="BN2198" i="1"/>
  <c r="BN2197" i="1"/>
  <c r="BN2196" i="1"/>
  <c r="BS2206" i="1"/>
  <c r="BS2200" i="1"/>
  <c r="BS2199" i="1"/>
  <c r="BS2198" i="1"/>
  <c r="BS2197" i="1"/>
  <c r="BS2196" i="1"/>
  <c r="BO2206" i="1"/>
  <c r="BO2200" i="1"/>
  <c r="BO2199" i="1"/>
  <c r="BO2198" i="1"/>
  <c r="BO2197" i="1"/>
  <c r="BO2196" i="1"/>
  <c r="BT2206" i="1"/>
  <c r="BT2200" i="1"/>
  <c r="BT2199" i="1"/>
  <c r="BT2198" i="1"/>
  <c r="BT2197" i="1"/>
  <c r="BT2196" i="1"/>
  <c r="BU2206" i="1"/>
  <c r="BQ2206" i="1"/>
  <c r="BU2200" i="1"/>
  <c r="BQ2200" i="1"/>
  <c r="BU2199" i="1"/>
  <c r="BQ2199" i="1"/>
  <c r="BU2198" i="1"/>
  <c r="BQ2198" i="1"/>
  <c r="BU2197" i="1"/>
  <c r="BQ2197" i="1"/>
  <c r="BU2196" i="1"/>
  <c r="BQ2196" i="1"/>
  <c r="BM2206" i="1"/>
  <c r="BM2200" i="1"/>
  <c r="BM2199" i="1"/>
  <c r="BM2198" i="1"/>
  <c r="BM2197" i="1"/>
  <c r="BM2196" i="1"/>
  <c r="BL2206" i="1"/>
  <c r="BI2206" i="1"/>
  <c r="BL2200" i="1"/>
  <c r="BI2200" i="1"/>
  <c r="BL2199" i="1"/>
  <c r="BI2199" i="1"/>
  <c r="BL2198" i="1"/>
  <c r="BI2198" i="1"/>
  <c r="BL2197" i="1"/>
  <c r="BI2197" i="1"/>
  <c r="BL2196" i="1"/>
  <c r="BI2196" i="1"/>
  <c r="BP2206" i="1"/>
  <c r="BP2200" i="1"/>
  <c r="BP2199" i="1"/>
  <c r="BP2198" i="1"/>
  <c r="BP2197" i="1"/>
  <c r="BP2196" i="1"/>
  <c r="BR2207" i="1"/>
  <c r="BK2207" i="1"/>
  <c r="BJ2207" i="1"/>
  <c r="BH2207" i="1"/>
  <c r="BR2195" i="1"/>
  <c r="BK2195" i="1"/>
  <c r="BJ2195" i="1"/>
  <c r="BH2195" i="1"/>
  <c r="BR2194" i="1"/>
  <c r="BK2194" i="1"/>
  <c r="BJ2194" i="1"/>
  <c r="BH2194" i="1"/>
  <c r="BR2193" i="1"/>
  <c r="BK2193" i="1"/>
  <c r="BJ2193" i="1"/>
  <c r="BH2193" i="1"/>
  <c r="BR2192" i="1"/>
  <c r="BK2192" i="1"/>
  <c r="BJ2192" i="1"/>
  <c r="BH2192" i="1"/>
  <c r="BN2207" i="1"/>
  <c r="BN2195" i="1"/>
  <c r="BN2194" i="1"/>
  <c r="BN2193" i="1"/>
  <c r="BN2192" i="1"/>
  <c r="BS2207" i="1"/>
  <c r="BS2195" i="1"/>
  <c r="BS2194" i="1"/>
  <c r="BS2193" i="1"/>
  <c r="BS2192" i="1"/>
  <c r="BO2207" i="1"/>
  <c r="BO2195" i="1"/>
  <c r="BO2194" i="1"/>
  <c r="BO2193" i="1"/>
  <c r="BO2192" i="1"/>
  <c r="BT2277" i="1"/>
  <c r="BT2207" i="1"/>
  <c r="BT2195" i="1"/>
  <c r="BT2194" i="1"/>
  <c r="BT2193" i="1"/>
  <c r="BT2192" i="1"/>
  <c r="BU2207" i="1"/>
  <c r="BQ2207" i="1"/>
  <c r="BU2195" i="1"/>
  <c r="BQ2195" i="1"/>
  <c r="BU2194" i="1"/>
  <c r="BQ2194" i="1"/>
  <c r="BU2193" i="1"/>
  <c r="BQ2193" i="1"/>
  <c r="BU2192" i="1"/>
  <c r="BQ2192" i="1"/>
  <c r="BM2207" i="1"/>
  <c r="BM2195" i="1"/>
  <c r="BM2194" i="1"/>
  <c r="BM2193" i="1"/>
  <c r="BM2192" i="1"/>
  <c r="BL2207" i="1"/>
  <c r="BI2207" i="1"/>
  <c r="BL2195" i="1"/>
  <c r="BI2195" i="1"/>
  <c r="BL2194" i="1"/>
  <c r="BI2194" i="1"/>
  <c r="BL2193" i="1"/>
  <c r="BI2193" i="1"/>
  <c r="BL2192" i="1"/>
  <c r="BI2192" i="1"/>
  <c r="BP2207" i="1"/>
  <c r="BP2195" i="1"/>
  <c r="BP2194" i="1"/>
  <c r="BP2193" i="1"/>
  <c r="BP2192" i="1"/>
  <c r="BR2277" i="1"/>
  <c r="BK2277" i="1"/>
  <c r="BJ2277" i="1"/>
  <c r="BH2277" i="1"/>
  <c r="BN2277" i="1"/>
  <c r="BS2277" i="1"/>
  <c r="BO2277" i="1"/>
  <c r="BU2277" i="1"/>
  <c r="BQ2277" i="1"/>
  <c r="BM2277" i="1"/>
  <c r="BL2277" i="1"/>
  <c r="BI2277" i="1"/>
  <c r="BP2277" i="1"/>
  <c r="BR2191" i="1"/>
  <c r="BK2191" i="1"/>
  <c r="BJ2191" i="1"/>
  <c r="BH2191" i="1"/>
  <c r="BR2190" i="1"/>
  <c r="BK2190" i="1"/>
  <c r="BJ2190" i="1"/>
  <c r="BH2190" i="1"/>
  <c r="BR2189" i="1"/>
  <c r="BK2189" i="1"/>
  <c r="BJ2189" i="1"/>
  <c r="BH2189" i="1"/>
  <c r="BN2191" i="1"/>
  <c r="BN2190" i="1"/>
  <c r="BN2189" i="1"/>
  <c r="BS2191" i="1"/>
  <c r="BS2190" i="1"/>
  <c r="BS2189" i="1"/>
  <c r="BO2191" i="1"/>
  <c r="BO2190" i="1"/>
  <c r="BO2189" i="1"/>
  <c r="BT2191" i="1"/>
  <c r="BT2190" i="1"/>
  <c r="BT2189" i="1"/>
  <c r="BU2191" i="1"/>
  <c r="BQ2191" i="1"/>
  <c r="BU2190" i="1"/>
  <c r="BQ2190" i="1"/>
  <c r="BU2189" i="1"/>
  <c r="BQ2189" i="1"/>
  <c r="BM2191" i="1"/>
  <c r="BM2190" i="1"/>
  <c r="BM2189" i="1"/>
  <c r="BL2191" i="1"/>
  <c r="BI2191" i="1"/>
  <c r="BL2190" i="1"/>
  <c r="BI2190" i="1"/>
  <c r="BL2189" i="1"/>
  <c r="BI2189" i="1"/>
  <c r="BP2191" i="1"/>
  <c r="BP2190" i="1"/>
  <c r="BP2189" i="1"/>
  <c r="BZ366" i="1"/>
  <c r="BY551" i="1"/>
  <c r="BX557" i="1"/>
  <c r="BY562" i="1"/>
  <c r="BY573" i="1"/>
  <c r="BR2186" i="1"/>
  <c r="BK2186" i="1"/>
  <c r="BJ2186" i="1"/>
  <c r="BH2186" i="1"/>
  <c r="BR2185" i="1"/>
  <c r="BK2185" i="1"/>
  <c r="BJ2185" i="1"/>
  <c r="BH2185" i="1"/>
  <c r="BR2184" i="1"/>
  <c r="BK2184" i="1"/>
  <c r="BJ2184" i="1"/>
  <c r="BH2184" i="1"/>
  <c r="BR2183" i="1"/>
  <c r="BK2183" i="1"/>
  <c r="BJ2183" i="1"/>
  <c r="BH2183" i="1"/>
  <c r="BR2182" i="1"/>
  <c r="BK2182" i="1"/>
  <c r="BJ2182" i="1"/>
  <c r="BH2182" i="1"/>
  <c r="BN2186" i="1"/>
  <c r="BN2185" i="1"/>
  <c r="BN2184" i="1"/>
  <c r="BN2183" i="1"/>
  <c r="BN2182" i="1"/>
  <c r="BL1597" i="1"/>
  <c r="BL2186" i="1"/>
  <c r="BI2186" i="1"/>
  <c r="BL2185" i="1"/>
  <c r="BI2185" i="1"/>
  <c r="BL2184" i="1"/>
  <c r="BI2184" i="1"/>
  <c r="BL2183" i="1"/>
  <c r="BI2183" i="1"/>
  <c r="BL2182" i="1"/>
  <c r="BI2182" i="1"/>
  <c r="BP2186" i="1"/>
  <c r="BP2185" i="1"/>
  <c r="BP2184" i="1"/>
  <c r="BP2183" i="1"/>
  <c r="BP2182" i="1"/>
  <c r="BZ430" i="1"/>
  <c r="BS2186" i="1"/>
  <c r="BS2185" i="1"/>
  <c r="BS2184" i="1"/>
  <c r="BS2183" i="1"/>
  <c r="BS2182" i="1"/>
  <c r="BO2186" i="1"/>
  <c r="BO2185" i="1"/>
  <c r="BO2184" i="1"/>
  <c r="BO2183" i="1"/>
  <c r="BO2182" i="1"/>
  <c r="BT2186" i="1"/>
  <c r="BT2185" i="1"/>
  <c r="BT2184" i="1"/>
  <c r="BT2183" i="1"/>
  <c r="BT2182" i="1"/>
  <c r="BU2186" i="1"/>
  <c r="BQ2186" i="1"/>
  <c r="BU2185" i="1"/>
  <c r="BQ2185" i="1"/>
  <c r="BU2184" i="1"/>
  <c r="BQ2184" i="1"/>
  <c r="BU2183" i="1"/>
  <c r="BQ2183" i="1"/>
  <c r="BU2182" i="1"/>
  <c r="BQ2182" i="1"/>
  <c r="BM2186" i="1"/>
  <c r="BM2185" i="1"/>
  <c r="BM2184" i="1"/>
  <c r="BM2183" i="1"/>
  <c r="BM2182" i="1"/>
  <c r="BR2187" i="1"/>
  <c r="BK2187" i="1"/>
  <c r="BJ2187" i="1"/>
  <c r="BH2187" i="1"/>
  <c r="BR2181" i="1"/>
  <c r="BK2181" i="1"/>
  <c r="BJ2181" i="1"/>
  <c r="BH2181" i="1"/>
  <c r="BR2180" i="1"/>
  <c r="BK2180" i="1"/>
  <c r="BJ2180" i="1"/>
  <c r="BH2180" i="1"/>
  <c r="BR2179" i="1"/>
  <c r="BK2179" i="1"/>
  <c r="BJ2179" i="1"/>
  <c r="BH2179" i="1"/>
  <c r="BN2187" i="1"/>
  <c r="BN2181" i="1"/>
  <c r="BN2180" i="1"/>
  <c r="BN2179" i="1"/>
  <c r="BS2187" i="1"/>
  <c r="BS2181" i="1"/>
  <c r="BS2180" i="1"/>
  <c r="BS2179" i="1"/>
  <c r="BO2187" i="1"/>
  <c r="BO2181" i="1"/>
  <c r="BO2180" i="1"/>
  <c r="BO2179" i="1"/>
  <c r="BT2187" i="1"/>
  <c r="BT2181" i="1"/>
  <c r="BT2180" i="1"/>
  <c r="BT2179" i="1"/>
  <c r="BU2187" i="1"/>
  <c r="BQ2187" i="1"/>
  <c r="BU2181" i="1"/>
  <c r="BQ2181" i="1"/>
  <c r="BU2180" i="1"/>
  <c r="BQ2180" i="1"/>
  <c r="BU2179" i="1"/>
  <c r="BQ2179" i="1"/>
  <c r="BM2187" i="1"/>
  <c r="BM2181" i="1"/>
  <c r="BM2180" i="1"/>
  <c r="BM2179" i="1"/>
  <c r="BL2187" i="1"/>
  <c r="BI2187" i="1"/>
  <c r="BL2181" i="1"/>
  <c r="BI2181" i="1"/>
  <c r="BL2180" i="1"/>
  <c r="BI2180" i="1"/>
  <c r="BL2179" i="1"/>
  <c r="BI2179" i="1"/>
  <c r="BP2187" i="1"/>
  <c r="BP2181" i="1"/>
  <c r="BP2180" i="1"/>
  <c r="BP2179" i="1"/>
  <c r="BR2174" i="1"/>
  <c r="BK2174" i="1"/>
  <c r="BJ2174" i="1"/>
  <c r="BH2174" i="1"/>
  <c r="BR2173" i="1"/>
  <c r="BK2173" i="1"/>
  <c r="BJ2173" i="1"/>
  <c r="BH2173" i="1"/>
  <c r="BR2172" i="1"/>
  <c r="BK2172" i="1"/>
  <c r="BJ2172" i="1"/>
  <c r="BH2172" i="1"/>
  <c r="BR2171" i="1"/>
  <c r="BK2171" i="1"/>
  <c r="BJ2171" i="1"/>
  <c r="BH2171" i="1"/>
  <c r="BR2170" i="1"/>
  <c r="BK2170" i="1"/>
  <c r="BJ2170" i="1"/>
  <c r="BH2170" i="1"/>
  <c r="BR2169" i="1"/>
  <c r="BK2169" i="1"/>
  <c r="BJ2169" i="1"/>
  <c r="BH2169" i="1"/>
  <c r="BN2174" i="1"/>
  <c r="BN2173" i="1"/>
  <c r="BN2172" i="1"/>
  <c r="BN2171" i="1"/>
  <c r="BN2170" i="1"/>
  <c r="BN2169" i="1"/>
  <c r="BS2174" i="1"/>
  <c r="BS2173" i="1"/>
  <c r="BS2172" i="1"/>
  <c r="BS2171" i="1"/>
  <c r="BS2170" i="1"/>
  <c r="BS2169" i="1"/>
  <c r="BO2174" i="1"/>
  <c r="BO2173" i="1"/>
  <c r="BO2172" i="1"/>
  <c r="BO2171" i="1"/>
  <c r="BO2170" i="1"/>
  <c r="BO2169" i="1"/>
  <c r="BT2174" i="1"/>
  <c r="BT2173" i="1"/>
  <c r="BT2172" i="1"/>
  <c r="BT2171" i="1"/>
  <c r="BT2170" i="1"/>
  <c r="BT2169" i="1"/>
  <c r="BU2174" i="1"/>
  <c r="BQ2174" i="1"/>
  <c r="BU2173" i="1"/>
  <c r="BQ2173" i="1"/>
  <c r="BU2172" i="1"/>
  <c r="BQ2172" i="1"/>
  <c r="BU2171" i="1"/>
  <c r="BQ2171" i="1"/>
  <c r="BU2170" i="1"/>
  <c r="BQ2170" i="1"/>
  <c r="BU2169" i="1"/>
  <c r="BQ2169" i="1"/>
  <c r="BM2174" i="1"/>
  <c r="BM2173" i="1"/>
  <c r="BM2172" i="1"/>
  <c r="BM2171" i="1"/>
  <c r="BM2170" i="1"/>
  <c r="BM2169" i="1"/>
  <c r="BL2174" i="1"/>
  <c r="BI2174" i="1"/>
  <c r="BL2173" i="1"/>
  <c r="BI2173" i="1"/>
  <c r="BL2172" i="1"/>
  <c r="BI2172" i="1"/>
  <c r="BL2171" i="1"/>
  <c r="BI2171" i="1"/>
  <c r="BL2170" i="1"/>
  <c r="BI2170" i="1"/>
  <c r="BL2169" i="1"/>
  <c r="BI2169" i="1"/>
  <c r="BP2174" i="1"/>
  <c r="BP2173" i="1"/>
  <c r="BP2172" i="1"/>
  <c r="BP2171" i="1"/>
  <c r="BP2170" i="1"/>
  <c r="BP2169" i="1"/>
  <c r="BR2178" i="1"/>
  <c r="BK2178" i="1"/>
  <c r="BJ2178" i="1"/>
  <c r="BH2178" i="1"/>
  <c r="BR2177" i="1"/>
  <c r="BK2177" i="1"/>
  <c r="BJ2177" i="1"/>
  <c r="BH2177" i="1"/>
  <c r="BR2176" i="1"/>
  <c r="BK2176" i="1"/>
  <c r="BJ2176" i="1"/>
  <c r="BH2176" i="1"/>
  <c r="BR2175" i="1"/>
  <c r="BK2175" i="1"/>
  <c r="BJ2175" i="1"/>
  <c r="BH2175" i="1"/>
  <c r="BN2178" i="1"/>
  <c r="BN2177" i="1"/>
  <c r="BN2176" i="1"/>
  <c r="BN2175" i="1"/>
  <c r="BS2178" i="1"/>
  <c r="BS2177" i="1"/>
  <c r="BS2176" i="1"/>
  <c r="BS2175" i="1"/>
  <c r="BO2178" i="1"/>
  <c r="BO2177" i="1"/>
  <c r="BO2176" i="1"/>
  <c r="BO2175" i="1"/>
  <c r="BT2178" i="1"/>
  <c r="BT2177" i="1"/>
  <c r="BT2176" i="1"/>
  <c r="BT2175" i="1"/>
  <c r="BU2178" i="1"/>
  <c r="BQ2178" i="1"/>
  <c r="BU2177" i="1"/>
  <c r="BQ2177" i="1"/>
  <c r="BU2176" i="1"/>
  <c r="BQ2176" i="1"/>
  <c r="BU2175" i="1"/>
  <c r="BQ2175" i="1"/>
  <c r="BM2178" i="1"/>
  <c r="BM2177" i="1"/>
  <c r="BM2176" i="1"/>
  <c r="BM2175" i="1"/>
  <c r="BL2178" i="1"/>
  <c r="BI2178" i="1"/>
  <c r="BL2177" i="1"/>
  <c r="BI2177" i="1"/>
  <c r="BL2176" i="1"/>
  <c r="BI2176" i="1"/>
  <c r="BL2175" i="1"/>
  <c r="BI2175" i="1"/>
  <c r="BP2178" i="1"/>
  <c r="BP2177" i="1"/>
  <c r="BP2176" i="1"/>
  <c r="BP2175" i="1"/>
  <c r="BR2163" i="1"/>
  <c r="BK2163" i="1"/>
  <c r="BJ2163" i="1"/>
  <c r="BH2163" i="1"/>
  <c r="BR2162" i="1"/>
  <c r="BK2162" i="1"/>
  <c r="BJ2162" i="1"/>
  <c r="BH2162" i="1"/>
  <c r="BR2161" i="1"/>
  <c r="BK2161" i="1"/>
  <c r="BJ2161" i="1"/>
  <c r="BH2161" i="1"/>
  <c r="BR2160" i="1"/>
  <c r="BK2160" i="1"/>
  <c r="BJ2160" i="1"/>
  <c r="BH2160" i="1"/>
  <c r="BR2159" i="1"/>
  <c r="BK2159" i="1"/>
  <c r="BJ2159" i="1"/>
  <c r="BH2159" i="1"/>
  <c r="BR2158" i="1"/>
  <c r="BK2158" i="1"/>
  <c r="BJ2158" i="1"/>
  <c r="BH2158" i="1"/>
  <c r="BR2157" i="1"/>
  <c r="BK2157" i="1"/>
  <c r="BJ2157" i="1"/>
  <c r="BH2157" i="1"/>
  <c r="BR2156" i="1"/>
  <c r="BK2156" i="1"/>
  <c r="BJ2156" i="1"/>
  <c r="BH2156" i="1"/>
  <c r="BN2163" i="1"/>
  <c r="BN2162" i="1"/>
  <c r="BN2161" i="1"/>
  <c r="BN2160" i="1"/>
  <c r="BN2159" i="1"/>
  <c r="BN2158" i="1"/>
  <c r="BN2157" i="1"/>
  <c r="BN2156" i="1"/>
  <c r="BS2163" i="1"/>
  <c r="BS2162" i="1"/>
  <c r="BS2161" i="1"/>
  <c r="BS2160" i="1"/>
  <c r="BS2159" i="1"/>
  <c r="BS2158" i="1"/>
  <c r="BS2157" i="1"/>
  <c r="BS2156" i="1"/>
  <c r="BO2163" i="1"/>
  <c r="BO2162" i="1"/>
  <c r="BO2161" i="1"/>
  <c r="BO2160" i="1"/>
  <c r="BO2159" i="1"/>
  <c r="BO2158" i="1"/>
  <c r="BO2157" i="1"/>
  <c r="BO2156" i="1"/>
  <c r="BT2163" i="1"/>
  <c r="BT2162" i="1"/>
  <c r="BT2161" i="1"/>
  <c r="BT2160" i="1"/>
  <c r="BT2159" i="1"/>
  <c r="BT2158" i="1"/>
  <c r="BT2157" i="1"/>
  <c r="BT2156" i="1"/>
  <c r="BU2163" i="1"/>
  <c r="BQ2163" i="1"/>
  <c r="BU2162" i="1"/>
  <c r="BQ2162" i="1"/>
  <c r="BU2161" i="1"/>
  <c r="BQ2161" i="1"/>
  <c r="BU2160" i="1"/>
  <c r="BQ2160" i="1"/>
  <c r="BU2159" i="1"/>
  <c r="BQ2159" i="1"/>
  <c r="BU2158" i="1"/>
  <c r="BQ2158" i="1"/>
  <c r="BU2157" i="1"/>
  <c r="BQ2157" i="1"/>
  <c r="BU2156" i="1"/>
  <c r="BQ2156" i="1"/>
  <c r="BM2163" i="1"/>
  <c r="BM2162" i="1"/>
  <c r="BM2161" i="1"/>
  <c r="BM2160" i="1"/>
  <c r="BM2159" i="1"/>
  <c r="BM2158" i="1"/>
  <c r="BM2157" i="1"/>
  <c r="BM2156" i="1"/>
  <c r="BL2163" i="1"/>
  <c r="BI2163" i="1"/>
  <c r="BL2162" i="1"/>
  <c r="BI2162" i="1"/>
  <c r="BL2161" i="1"/>
  <c r="BI2161" i="1"/>
  <c r="BL2160" i="1"/>
  <c r="BI2160" i="1"/>
  <c r="BL2159" i="1"/>
  <c r="BI2159" i="1"/>
  <c r="BL2158" i="1"/>
  <c r="BI2158" i="1"/>
  <c r="BL2157" i="1"/>
  <c r="BI2157" i="1"/>
  <c r="BL2156" i="1"/>
  <c r="BI2156" i="1"/>
  <c r="BP2163" i="1"/>
  <c r="BP2162" i="1"/>
  <c r="BP2161" i="1"/>
  <c r="BP2160" i="1"/>
  <c r="BP2159" i="1"/>
  <c r="BP2158" i="1"/>
  <c r="BP2157" i="1"/>
  <c r="BP2156" i="1"/>
  <c r="BR2167" i="1"/>
  <c r="BK2167" i="1"/>
  <c r="BJ2167" i="1"/>
  <c r="BH2167" i="1"/>
  <c r="BR2166" i="1"/>
  <c r="BK2166" i="1"/>
  <c r="BJ2166" i="1"/>
  <c r="BH2166" i="1"/>
  <c r="BR2165" i="1"/>
  <c r="BK2165" i="1"/>
  <c r="BJ2165" i="1"/>
  <c r="BH2165" i="1"/>
  <c r="BR2164" i="1"/>
  <c r="BK2164" i="1"/>
  <c r="BJ2164" i="1"/>
  <c r="BH2164" i="1"/>
  <c r="BN2167" i="1"/>
  <c r="BN2166" i="1"/>
  <c r="BN2165" i="1"/>
  <c r="BN2164" i="1"/>
  <c r="BS2167" i="1"/>
  <c r="BS2166" i="1"/>
  <c r="BS2165" i="1"/>
  <c r="BS2164" i="1"/>
  <c r="BO2167" i="1"/>
  <c r="BO2166" i="1"/>
  <c r="BO2165" i="1"/>
  <c r="BO2164" i="1"/>
  <c r="BT2167" i="1"/>
  <c r="BT2166" i="1"/>
  <c r="BT2165" i="1"/>
  <c r="BT2164" i="1"/>
  <c r="BU2167" i="1"/>
  <c r="BQ2167" i="1"/>
  <c r="BU2166" i="1"/>
  <c r="BQ2166" i="1"/>
  <c r="BU2165" i="1"/>
  <c r="BQ2165" i="1"/>
  <c r="BU2164" i="1"/>
  <c r="BQ2164" i="1"/>
  <c r="BM2167" i="1"/>
  <c r="BM2166" i="1"/>
  <c r="BM2165" i="1"/>
  <c r="BM2164" i="1"/>
  <c r="BL2167" i="1"/>
  <c r="BI2167" i="1"/>
  <c r="BL2166" i="1"/>
  <c r="BI2166" i="1"/>
  <c r="BL2165" i="1"/>
  <c r="BI2165" i="1"/>
  <c r="BL2164" i="1"/>
  <c r="BI2164" i="1"/>
  <c r="BP2167" i="1"/>
  <c r="BP2166" i="1"/>
  <c r="BP2165" i="1"/>
  <c r="BP2164" i="1"/>
  <c r="BR2115" i="1"/>
  <c r="BK2115" i="1"/>
  <c r="BJ2115" i="1"/>
  <c r="BH2115" i="1"/>
  <c r="BR2114" i="1"/>
  <c r="BK2114" i="1"/>
  <c r="BJ2114" i="1"/>
  <c r="BH2114" i="1"/>
  <c r="BR2113" i="1"/>
  <c r="BK2113" i="1"/>
  <c r="BJ2113" i="1"/>
  <c r="BH2113" i="1"/>
  <c r="BR2112" i="1"/>
  <c r="BK2112" i="1"/>
  <c r="BJ2112" i="1"/>
  <c r="BH2112" i="1"/>
  <c r="BN2115" i="1"/>
  <c r="BN2114" i="1"/>
  <c r="BN2113" i="1"/>
  <c r="BN2112" i="1"/>
  <c r="BS2115" i="1"/>
  <c r="BS2114" i="1"/>
  <c r="BS2113" i="1"/>
  <c r="BS2112" i="1"/>
  <c r="BO2115" i="1"/>
  <c r="BO2114" i="1"/>
  <c r="BO2113" i="1"/>
  <c r="BO2112" i="1"/>
  <c r="BT2115" i="1"/>
  <c r="BT2114" i="1"/>
  <c r="BT2113" i="1"/>
  <c r="BT2112" i="1"/>
  <c r="BU2115" i="1"/>
  <c r="BQ2115" i="1"/>
  <c r="BU2114" i="1"/>
  <c r="BQ2114" i="1"/>
  <c r="BU2113" i="1"/>
  <c r="BQ2113" i="1"/>
  <c r="BU2112" i="1"/>
  <c r="BQ2112" i="1"/>
  <c r="BM2115" i="1"/>
  <c r="BM2114" i="1"/>
  <c r="BM2113" i="1"/>
  <c r="BM2112" i="1"/>
  <c r="BL2115" i="1"/>
  <c r="BI2115" i="1"/>
  <c r="BL2114" i="1"/>
  <c r="BI2114" i="1"/>
  <c r="BL2113" i="1"/>
  <c r="BI2113" i="1"/>
  <c r="BL2112" i="1"/>
  <c r="BI2112" i="1"/>
  <c r="BP2115" i="1"/>
  <c r="BP2114" i="1"/>
  <c r="BP2113" i="1"/>
  <c r="BP2112" i="1"/>
  <c r="BR2149" i="1"/>
  <c r="BK2149" i="1"/>
  <c r="BJ2149" i="1"/>
  <c r="BH2149" i="1"/>
  <c r="BR2148" i="1"/>
  <c r="BK2148" i="1"/>
  <c r="BJ2148" i="1"/>
  <c r="BH2148" i="1"/>
  <c r="BR2147" i="1"/>
  <c r="BK2147" i="1"/>
  <c r="BJ2147" i="1"/>
  <c r="BH2147" i="1"/>
  <c r="BR2146" i="1"/>
  <c r="BK2146" i="1"/>
  <c r="BJ2146" i="1"/>
  <c r="BH2146" i="1"/>
  <c r="BR2145" i="1"/>
  <c r="BK2145" i="1"/>
  <c r="BJ2145" i="1"/>
  <c r="BH2145" i="1"/>
  <c r="BR2144" i="1"/>
  <c r="BK2144" i="1"/>
  <c r="BJ2144" i="1"/>
  <c r="BH2144" i="1"/>
  <c r="BR2143" i="1"/>
  <c r="BK2143" i="1"/>
  <c r="BJ2143" i="1"/>
  <c r="BH2143" i="1"/>
  <c r="BR2142" i="1"/>
  <c r="BK2142" i="1"/>
  <c r="BJ2142" i="1"/>
  <c r="BH2142" i="1"/>
  <c r="BR2141" i="1"/>
  <c r="BK2141" i="1"/>
  <c r="BJ2141" i="1"/>
  <c r="BH2141" i="1"/>
  <c r="BR2140" i="1"/>
  <c r="BK2140" i="1"/>
  <c r="BJ2140" i="1"/>
  <c r="BH2140" i="1"/>
  <c r="BN2149" i="1"/>
  <c r="BN2148" i="1"/>
  <c r="BN2147" i="1"/>
  <c r="BN2146" i="1"/>
  <c r="BN2145" i="1"/>
  <c r="BN2144" i="1"/>
  <c r="BN2143" i="1"/>
  <c r="BN2142" i="1"/>
  <c r="BN2141" i="1"/>
  <c r="BN2140" i="1"/>
  <c r="BS2149" i="1"/>
  <c r="BS2148" i="1"/>
  <c r="BS2147" i="1"/>
  <c r="BS2146" i="1"/>
  <c r="BS2145" i="1"/>
  <c r="BS2144" i="1"/>
  <c r="BS2143" i="1"/>
  <c r="BS2142" i="1"/>
  <c r="BS2141" i="1"/>
  <c r="BS2140" i="1"/>
  <c r="BO2149" i="1"/>
  <c r="BO2148" i="1"/>
  <c r="BO2147" i="1"/>
  <c r="BO2146" i="1"/>
  <c r="BO2145" i="1"/>
  <c r="BO2144" i="1"/>
  <c r="BO2143" i="1"/>
  <c r="BO2142" i="1"/>
  <c r="BO2141" i="1"/>
  <c r="BO2140" i="1"/>
  <c r="BT2149" i="1"/>
  <c r="BT2148" i="1"/>
  <c r="BT2147" i="1"/>
  <c r="BT2146" i="1"/>
  <c r="BT2145" i="1"/>
  <c r="BT2144" i="1"/>
  <c r="BT2143" i="1"/>
  <c r="BT2142" i="1"/>
  <c r="BT2141" i="1"/>
  <c r="BT2140" i="1"/>
  <c r="BU2149" i="1"/>
  <c r="BQ2149" i="1"/>
  <c r="BU2148" i="1"/>
  <c r="BQ2148" i="1"/>
  <c r="BU2147" i="1"/>
  <c r="BQ2147" i="1"/>
  <c r="BU2146" i="1"/>
  <c r="BQ2146" i="1"/>
  <c r="BU2145" i="1"/>
  <c r="BQ2145" i="1"/>
  <c r="BU2144" i="1"/>
  <c r="BQ2144" i="1"/>
  <c r="BU2143" i="1"/>
  <c r="BQ2143" i="1"/>
  <c r="BU2142" i="1"/>
  <c r="BQ2142" i="1"/>
  <c r="BU2141" i="1"/>
  <c r="BQ2141" i="1"/>
  <c r="BU2140" i="1"/>
  <c r="BQ2140" i="1"/>
  <c r="BM2149" i="1"/>
  <c r="BM2148" i="1"/>
  <c r="BM2147" i="1"/>
  <c r="BM2146" i="1"/>
  <c r="BM2145" i="1"/>
  <c r="BM2144" i="1"/>
  <c r="BM2143" i="1"/>
  <c r="BM2142" i="1"/>
  <c r="BM2141" i="1"/>
  <c r="BM2140" i="1"/>
  <c r="BL2149" i="1"/>
  <c r="BI2149" i="1"/>
  <c r="BL2148" i="1"/>
  <c r="BI2148" i="1"/>
  <c r="BL2147" i="1"/>
  <c r="BI2147" i="1"/>
  <c r="BL2146" i="1"/>
  <c r="BI2146" i="1"/>
  <c r="BL2145" i="1"/>
  <c r="BI2145" i="1"/>
  <c r="BL2144" i="1"/>
  <c r="BI2144" i="1"/>
  <c r="BL2143" i="1"/>
  <c r="BI2143" i="1"/>
  <c r="BL2142" i="1"/>
  <c r="BI2142" i="1"/>
  <c r="BL2141" i="1"/>
  <c r="BI2141" i="1"/>
  <c r="BL2140" i="1"/>
  <c r="BI2140" i="1"/>
  <c r="BP2149" i="1"/>
  <c r="BP2148" i="1"/>
  <c r="BP2147" i="1"/>
  <c r="BP2146" i="1"/>
  <c r="BP2145" i="1"/>
  <c r="BP2144" i="1"/>
  <c r="BP2143" i="1"/>
  <c r="BP2142" i="1"/>
  <c r="BP2141" i="1"/>
  <c r="BP2140" i="1"/>
  <c r="BR2154" i="1"/>
  <c r="BK2154" i="1"/>
  <c r="BJ2154" i="1"/>
  <c r="BH2154" i="1"/>
  <c r="BR2153" i="1"/>
  <c r="BK2153" i="1"/>
  <c r="BJ2153" i="1"/>
  <c r="BH2153" i="1"/>
  <c r="BR2152" i="1"/>
  <c r="BK2152" i="1"/>
  <c r="BJ2152" i="1"/>
  <c r="BH2152" i="1"/>
  <c r="BR2151" i="1"/>
  <c r="BK2151" i="1"/>
  <c r="BJ2151" i="1"/>
  <c r="BH2151" i="1"/>
  <c r="BR2150" i="1"/>
  <c r="BK2150" i="1"/>
  <c r="BJ2150" i="1"/>
  <c r="BH2150" i="1"/>
  <c r="BN2154" i="1"/>
  <c r="BN2153" i="1"/>
  <c r="BN2152" i="1"/>
  <c r="BN2151" i="1"/>
  <c r="BN2150" i="1"/>
  <c r="BS2154" i="1"/>
  <c r="BS2153" i="1"/>
  <c r="BS2152" i="1"/>
  <c r="BS2151" i="1"/>
  <c r="BS2150" i="1"/>
  <c r="BO2154" i="1"/>
  <c r="BO2153" i="1"/>
  <c r="BO2152" i="1"/>
  <c r="BO2151" i="1"/>
  <c r="BO2150" i="1"/>
  <c r="BT2154" i="1"/>
  <c r="BT2153" i="1"/>
  <c r="BT2152" i="1"/>
  <c r="BT2151" i="1"/>
  <c r="BT2150" i="1"/>
  <c r="BU2154" i="1"/>
  <c r="BQ2154" i="1"/>
  <c r="BU2153" i="1"/>
  <c r="BQ2153" i="1"/>
  <c r="BU2152" i="1"/>
  <c r="BQ2152" i="1"/>
  <c r="BU2151" i="1"/>
  <c r="BQ2151" i="1"/>
  <c r="BU2150" i="1"/>
  <c r="BQ2150" i="1"/>
  <c r="BM2154" i="1"/>
  <c r="BM2153" i="1"/>
  <c r="BM2152" i="1"/>
  <c r="BM2151" i="1"/>
  <c r="BM2150" i="1"/>
  <c r="BL2154" i="1"/>
  <c r="BI2154" i="1"/>
  <c r="BL2153" i="1"/>
  <c r="BI2153" i="1"/>
  <c r="BL2152" i="1"/>
  <c r="BI2152" i="1"/>
  <c r="BL2151" i="1"/>
  <c r="BI2151" i="1"/>
  <c r="BL2150" i="1"/>
  <c r="BI2150" i="1"/>
  <c r="BP2154" i="1"/>
  <c r="BP2153" i="1"/>
  <c r="BP2152" i="1"/>
  <c r="BP2151" i="1"/>
  <c r="BP2150" i="1"/>
  <c r="BR2111" i="1"/>
  <c r="BK2111" i="1"/>
  <c r="BJ2111" i="1"/>
  <c r="BH2111" i="1"/>
  <c r="BR2110" i="1"/>
  <c r="BK2110" i="1"/>
  <c r="BJ2110" i="1"/>
  <c r="BH2110" i="1"/>
  <c r="BR2109" i="1"/>
  <c r="BK2109" i="1"/>
  <c r="BJ2109" i="1"/>
  <c r="BH2109" i="1"/>
  <c r="BN2111" i="1"/>
  <c r="BN2110" i="1"/>
  <c r="BN2109" i="1"/>
  <c r="BS2111" i="1"/>
  <c r="BS2110" i="1"/>
  <c r="BS2109" i="1"/>
  <c r="BO2111" i="1"/>
  <c r="BO2110" i="1"/>
  <c r="BO2109" i="1"/>
  <c r="BT2111" i="1"/>
  <c r="BT2110" i="1"/>
  <c r="BT2109" i="1"/>
  <c r="BU2111" i="1"/>
  <c r="BQ2111" i="1"/>
  <c r="BU2110" i="1"/>
  <c r="BQ2110" i="1"/>
  <c r="BU2109" i="1"/>
  <c r="BQ2109" i="1"/>
  <c r="BM2111" i="1"/>
  <c r="BM2110" i="1"/>
  <c r="BM2109" i="1"/>
  <c r="BL2111" i="1"/>
  <c r="BI2111" i="1"/>
  <c r="BL2110" i="1"/>
  <c r="BI2110" i="1"/>
  <c r="BL2109" i="1"/>
  <c r="BI2109" i="1"/>
  <c r="BP2111" i="1"/>
  <c r="BP2110" i="1"/>
  <c r="BP2109" i="1"/>
  <c r="BR2118" i="1"/>
  <c r="BK2118" i="1"/>
  <c r="BJ2118" i="1"/>
  <c r="BH2118" i="1"/>
  <c r="BR2117" i="1"/>
  <c r="BK2117" i="1"/>
  <c r="BJ2117" i="1"/>
  <c r="BH2117" i="1"/>
  <c r="BR2116" i="1"/>
  <c r="BK2116" i="1"/>
  <c r="BJ2116" i="1"/>
  <c r="BH2116" i="1"/>
  <c r="BR2108" i="1"/>
  <c r="BK2108" i="1"/>
  <c r="BJ2108" i="1"/>
  <c r="BH2108" i="1"/>
  <c r="BN2118" i="1"/>
  <c r="BN2117" i="1"/>
  <c r="BN2116" i="1"/>
  <c r="BN2108" i="1"/>
  <c r="BS2118" i="1"/>
  <c r="BS2117" i="1"/>
  <c r="BS2116" i="1"/>
  <c r="BS2108" i="1"/>
  <c r="BO2118" i="1"/>
  <c r="BO2117" i="1"/>
  <c r="BO2116" i="1"/>
  <c r="BO2108" i="1"/>
  <c r="BT2118" i="1"/>
  <c r="BT2117" i="1"/>
  <c r="BT2116" i="1"/>
  <c r="BT2108" i="1"/>
  <c r="BU2118" i="1"/>
  <c r="BQ2118" i="1"/>
  <c r="BU2117" i="1"/>
  <c r="BQ2117" i="1"/>
  <c r="BU2116" i="1"/>
  <c r="BQ2116" i="1"/>
  <c r="BU2108" i="1"/>
  <c r="BQ2108" i="1"/>
  <c r="BM2118" i="1"/>
  <c r="BM2117" i="1"/>
  <c r="BM2116" i="1"/>
  <c r="BM2108" i="1"/>
  <c r="BL2118" i="1"/>
  <c r="BI2118" i="1"/>
  <c r="BL2117" i="1"/>
  <c r="BI2117" i="1"/>
  <c r="BL2116" i="1"/>
  <c r="BI2116" i="1"/>
  <c r="BL2108" i="1"/>
  <c r="BI2108" i="1"/>
  <c r="BP2118" i="1"/>
  <c r="BP2117" i="1"/>
  <c r="BP2116" i="1"/>
  <c r="BP2108" i="1"/>
  <c r="BR2107" i="1"/>
  <c r="BK2107" i="1"/>
  <c r="BJ2107" i="1"/>
  <c r="BH2107" i="1"/>
  <c r="BR2106" i="1"/>
  <c r="BK2106" i="1"/>
  <c r="BJ2106" i="1"/>
  <c r="BH2106" i="1"/>
  <c r="BR2105" i="1"/>
  <c r="BK2105" i="1"/>
  <c r="BJ2105" i="1"/>
  <c r="BH2105" i="1"/>
  <c r="BN2107" i="1"/>
  <c r="BN2106" i="1"/>
  <c r="BN2105" i="1"/>
  <c r="BS2107" i="1"/>
  <c r="BS2106" i="1"/>
  <c r="BS2105" i="1"/>
  <c r="BO2107" i="1"/>
  <c r="BO2106" i="1"/>
  <c r="BO2105" i="1"/>
  <c r="BT2107" i="1"/>
  <c r="BT2106" i="1"/>
  <c r="BT2105" i="1"/>
  <c r="BU2107" i="1"/>
  <c r="BQ2107" i="1"/>
  <c r="BU2106" i="1"/>
  <c r="BQ2106" i="1"/>
  <c r="BU2105" i="1"/>
  <c r="BQ2105" i="1"/>
  <c r="BM2107" i="1"/>
  <c r="BM2106" i="1"/>
  <c r="BM2105" i="1"/>
  <c r="BL2107" i="1"/>
  <c r="BI2107" i="1"/>
  <c r="BL2106" i="1"/>
  <c r="BI2106" i="1"/>
  <c r="BL2105" i="1"/>
  <c r="BI2105" i="1"/>
  <c r="BP2107" i="1"/>
  <c r="BP2106" i="1"/>
  <c r="BP2105" i="1"/>
  <c r="BR2101" i="1"/>
  <c r="BK2101" i="1"/>
  <c r="BJ2101" i="1"/>
  <c r="BH2101" i="1"/>
  <c r="BR2100" i="1"/>
  <c r="BK2100" i="1"/>
  <c r="BJ2100" i="1"/>
  <c r="BH2100" i="1"/>
  <c r="BR2099" i="1"/>
  <c r="BK2099" i="1"/>
  <c r="BJ2099" i="1"/>
  <c r="BH2099" i="1"/>
  <c r="BR2098" i="1"/>
  <c r="BK2098" i="1"/>
  <c r="BJ2098" i="1"/>
  <c r="BH2098" i="1"/>
  <c r="BR2097" i="1"/>
  <c r="BK2097" i="1"/>
  <c r="BJ2097" i="1"/>
  <c r="BH2097" i="1"/>
  <c r="BR2096" i="1"/>
  <c r="BK2096" i="1"/>
  <c r="BJ2096" i="1"/>
  <c r="BH2096" i="1"/>
  <c r="BN2101" i="1"/>
  <c r="BN2100" i="1"/>
  <c r="BN2099" i="1"/>
  <c r="BN2098" i="1"/>
  <c r="BN2097" i="1"/>
  <c r="BN2096" i="1"/>
  <c r="BS2101" i="1"/>
  <c r="BS2100" i="1"/>
  <c r="BS2099" i="1"/>
  <c r="BS2098" i="1"/>
  <c r="BS2097" i="1"/>
  <c r="BS2096" i="1"/>
  <c r="BO2101" i="1"/>
  <c r="BO2100" i="1"/>
  <c r="BO2099" i="1"/>
  <c r="BO2098" i="1"/>
  <c r="BO2097" i="1"/>
  <c r="BO2096" i="1"/>
  <c r="BT2101" i="1"/>
  <c r="BT2100" i="1"/>
  <c r="BT2099" i="1"/>
  <c r="BT2098" i="1"/>
  <c r="BT2097" i="1"/>
  <c r="BT2096" i="1"/>
  <c r="BU2101" i="1"/>
  <c r="BQ2101" i="1"/>
  <c r="BU2100" i="1"/>
  <c r="BQ2100" i="1"/>
  <c r="BU2099" i="1"/>
  <c r="BQ2099" i="1"/>
  <c r="BU2098" i="1"/>
  <c r="BQ2098" i="1"/>
  <c r="BU2097" i="1"/>
  <c r="BQ2097" i="1"/>
  <c r="BU2096" i="1"/>
  <c r="BQ2096" i="1"/>
  <c r="BM2101" i="1"/>
  <c r="BM2100" i="1"/>
  <c r="BM2099" i="1"/>
  <c r="BM2098" i="1"/>
  <c r="BM2097" i="1"/>
  <c r="BM2096" i="1"/>
  <c r="BL2101" i="1"/>
  <c r="BI2101" i="1"/>
  <c r="BL2100" i="1"/>
  <c r="BI2100" i="1"/>
  <c r="BL2099" i="1"/>
  <c r="BI2099" i="1"/>
  <c r="BL2098" i="1"/>
  <c r="BI2098" i="1"/>
  <c r="BL2097" i="1"/>
  <c r="BI2097" i="1"/>
  <c r="BL2096" i="1"/>
  <c r="BI2096" i="1"/>
  <c r="BP2101" i="1"/>
  <c r="BP2100" i="1"/>
  <c r="BP2099" i="1"/>
  <c r="BP2098" i="1"/>
  <c r="BP2097" i="1"/>
  <c r="BP2096" i="1"/>
  <c r="BR2104" i="1"/>
  <c r="BK2104" i="1"/>
  <c r="BJ2104" i="1"/>
  <c r="BH2104" i="1"/>
  <c r="BR2103" i="1"/>
  <c r="BK2103" i="1"/>
  <c r="BJ2103" i="1"/>
  <c r="BH2103" i="1"/>
  <c r="BR2102" i="1"/>
  <c r="BK2102" i="1"/>
  <c r="BJ2102" i="1"/>
  <c r="BH2102" i="1"/>
  <c r="BN2104" i="1"/>
  <c r="BN2103" i="1"/>
  <c r="BN2102" i="1"/>
  <c r="BS2104" i="1"/>
  <c r="BS2103" i="1"/>
  <c r="BS2102" i="1"/>
  <c r="BO2104" i="1"/>
  <c r="BO2103" i="1"/>
  <c r="BO2102" i="1"/>
  <c r="BT2104" i="1"/>
  <c r="BT2103" i="1"/>
  <c r="BT2102" i="1"/>
  <c r="BU2104" i="1"/>
  <c r="BQ2104" i="1"/>
  <c r="BU2103" i="1"/>
  <c r="BQ2103" i="1"/>
  <c r="BU2102" i="1"/>
  <c r="BQ2102" i="1"/>
  <c r="BM2104" i="1"/>
  <c r="BM2103" i="1"/>
  <c r="BM2102" i="1"/>
  <c r="BL2104" i="1"/>
  <c r="BI2104" i="1"/>
  <c r="BL2103" i="1"/>
  <c r="BI2103" i="1"/>
  <c r="BL2102" i="1"/>
  <c r="BI2102" i="1"/>
  <c r="BP2104" i="1"/>
  <c r="BP2103" i="1"/>
  <c r="BP2102" i="1"/>
  <c r="BR2093" i="1"/>
  <c r="BK2093" i="1"/>
  <c r="BJ2093" i="1"/>
  <c r="BH2093" i="1"/>
  <c r="BR2092" i="1"/>
  <c r="BK2092" i="1"/>
  <c r="BJ2092" i="1"/>
  <c r="BH2092" i="1"/>
  <c r="BN2093" i="1"/>
  <c r="BN2092" i="1"/>
  <c r="BS2093" i="1"/>
  <c r="BS2092" i="1"/>
  <c r="BO2093" i="1"/>
  <c r="BO2092" i="1"/>
  <c r="BT2093" i="1"/>
  <c r="BT2092" i="1"/>
  <c r="BU2093" i="1"/>
  <c r="BQ2093" i="1"/>
  <c r="BU2092" i="1"/>
  <c r="BQ2092" i="1"/>
  <c r="BM2093" i="1"/>
  <c r="BM2092" i="1"/>
  <c r="BL2093" i="1"/>
  <c r="BI2093" i="1"/>
  <c r="BL2092" i="1"/>
  <c r="BI2092" i="1"/>
  <c r="BP2093" i="1"/>
  <c r="BP2092" i="1"/>
  <c r="BR2086" i="1"/>
  <c r="BK2086" i="1"/>
  <c r="BJ2086" i="1"/>
  <c r="BH2086" i="1"/>
  <c r="BR2085" i="1"/>
  <c r="BK2085" i="1"/>
  <c r="BJ2085" i="1"/>
  <c r="BH2085" i="1"/>
  <c r="BR2084" i="1"/>
  <c r="BK2084" i="1"/>
  <c r="BJ2084" i="1"/>
  <c r="BH2084" i="1"/>
  <c r="BR2083" i="1"/>
  <c r="BK2083" i="1"/>
  <c r="BJ2083" i="1"/>
  <c r="BH2083" i="1"/>
  <c r="BR2082" i="1"/>
  <c r="BK2082" i="1"/>
  <c r="BJ2082" i="1"/>
  <c r="BH2082" i="1"/>
  <c r="BR2081" i="1"/>
  <c r="BK2081" i="1"/>
  <c r="BJ2081" i="1"/>
  <c r="BH2081" i="1"/>
  <c r="BR2080" i="1"/>
  <c r="BK2080" i="1"/>
  <c r="BJ2080" i="1"/>
  <c r="BH2080" i="1"/>
  <c r="BR2079" i="1"/>
  <c r="BK2079" i="1"/>
  <c r="BJ2079" i="1"/>
  <c r="BH2079" i="1"/>
  <c r="BR2078" i="1"/>
  <c r="BK2078" i="1"/>
  <c r="BJ2078" i="1"/>
  <c r="BH2078" i="1"/>
  <c r="BR2077" i="1"/>
  <c r="BK2077" i="1"/>
  <c r="BJ2077" i="1"/>
  <c r="BH2077" i="1"/>
  <c r="BN2086" i="1"/>
  <c r="BN2085" i="1"/>
  <c r="BN2084" i="1"/>
  <c r="BN2083" i="1"/>
  <c r="BN2082" i="1"/>
  <c r="BN2081" i="1"/>
  <c r="BN2080" i="1"/>
  <c r="BN2079" i="1"/>
  <c r="BN2078" i="1"/>
  <c r="BN2077" i="1"/>
  <c r="BS2086" i="1"/>
  <c r="BS2085" i="1"/>
  <c r="BS2084" i="1"/>
  <c r="BS2083" i="1"/>
  <c r="BS2082" i="1"/>
  <c r="BS2081" i="1"/>
  <c r="BS2080" i="1"/>
  <c r="BS2079" i="1"/>
  <c r="BS2078" i="1"/>
  <c r="BS2077" i="1"/>
  <c r="BO2086" i="1"/>
  <c r="BO2085" i="1"/>
  <c r="BO2084" i="1"/>
  <c r="BO2083" i="1"/>
  <c r="BO2082" i="1"/>
  <c r="BO2081" i="1"/>
  <c r="BO2080" i="1"/>
  <c r="BO2079" i="1"/>
  <c r="BO2078" i="1"/>
  <c r="BO2077" i="1"/>
  <c r="BT2086" i="1"/>
  <c r="BT2085" i="1"/>
  <c r="BT2084" i="1"/>
  <c r="BT2083" i="1"/>
  <c r="BT2082" i="1"/>
  <c r="BT2081" i="1"/>
  <c r="BT2080" i="1"/>
  <c r="BT2079" i="1"/>
  <c r="BT2078" i="1"/>
  <c r="BT2077" i="1"/>
  <c r="BU2086" i="1"/>
  <c r="BQ2086" i="1"/>
  <c r="BU2085" i="1"/>
  <c r="BQ2085" i="1"/>
  <c r="BU2084" i="1"/>
  <c r="BQ2084" i="1"/>
  <c r="BU2083" i="1"/>
  <c r="BQ2083" i="1"/>
  <c r="BU2082" i="1"/>
  <c r="BQ2082" i="1"/>
  <c r="BU2081" i="1"/>
  <c r="BQ2081" i="1"/>
  <c r="BU2080" i="1"/>
  <c r="BQ2080" i="1"/>
  <c r="BU2079" i="1"/>
  <c r="BQ2079" i="1"/>
  <c r="BU2078" i="1"/>
  <c r="BQ2078" i="1"/>
  <c r="BU2077" i="1"/>
  <c r="BQ2077" i="1"/>
  <c r="BM2086" i="1"/>
  <c r="BM2085" i="1"/>
  <c r="BM2084" i="1"/>
  <c r="BM2083" i="1"/>
  <c r="BM2082" i="1"/>
  <c r="BM2081" i="1"/>
  <c r="BM2080" i="1"/>
  <c r="BM2079" i="1"/>
  <c r="BM2078" i="1"/>
  <c r="BM2077" i="1"/>
  <c r="BL2086" i="1"/>
  <c r="BI2086" i="1"/>
  <c r="BL2085" i="1"/>
  <c r="BI2085" i="1"/>
  <c r="BL2084" i="1"/>
  <c r="BI2084" i="1"/>
  <c r="BL2083" i="1"/>
  <c r="BI2083" i="1"/>
  <c r="BL2082" i="1"/>
  <c r="BI2082" i="1"/>
  <c r="BL2081" i="1"/>
  <c r="BI2081" i="1"/>
  <c r="BL2080" i="1"/>
  <c r="BI2080" i="1"/>
  <c r="BL2079" i="1"/>
  <c r="BI2079" i="1"/>
  <c r="BL2078" i="1"/>
  <c r="BI2078" i="1"/>
  <c r="BL2077" i="1"/>
  <c r="BI2077" i="1"/>
  <c r="BP2086" i="1"/>
  <c r="BP2085" i="1"/>
  <c r="BP2084" i="1"/>
  <c r="BP2083" i="1"/>
  <c r="BP2082" i="1"/>
  <c r="BP2081" i="1"/>
  <c r="BP2080" i="1"/>
  <c r="BP2079" i="1"/>
  <c r="BP2078" i="1"/>
  <c r="BP2077" i="1"/>
  <c r="BR2091" i="1"/>
  <c r="BK2091" i="1"/>
  <c r="BJ2091" i="1"/>
  <c r="BH2091" i="1"/>
  <c r="BR2090" i="1"/>
  <c r="BK2090" i="1"/>
  <c r="BJ2090" i="1"/>
  <c r="BH2090" i="1"/>
  <c r="BR2089" i="1"/>
  <c r="BK2089" i="1"/>
  <c r="BJ2089" i="1"/>
  <c r="BH2089" i="1"/>
  <c r="BR2088" i="1"/>
  <c r="BK2088" i="1"/>
  <c r="BJ2088" i="1"/>
  <c r="BH2088" i="1"/>
  <c r="BR2087" i="1"/>
  <c r="BK2087" i="1"/>
  <c r="BJ2087" i="1"/>
  <c r="BH2087" i="1"/>
  <c r="BN2091" i="1"/>
  <c r="BN2090" i="1"/>
  <c r="BN2089" i="1"/>
  <c r="BN2088" i="1"/>
  <c r="BN2087" i="1"/>
  <c r="BS2091" i="1"/>
  <c r="BS2090" i="1"/>
  <c r="BS2089" i="1"/>
  <c r="BS2088" i="1"/>
  <c r="BS2087" i="1"/>
  <c r="BO2091" i="1"/>
  <c r="BO2090" i="1"/>
  <c r="BO2089" i="1"/>
  <c r="BO2088" i="1"/>
  <c r="BO2087" i="1"/>
  <c r="BT2091" i="1"/>
  <c r="BT2090" i="1"/>
  <c r="BT2089" i="1"/>
  <c r="BT2088" i="1"/>
  <c r="BT2087" i="1"/>
  <c r="BU2091" i="1"/>
  <c r="BQ2091" i="1"/>
  <c r="BU2090" i="1"/>
  <c r="BQ2090" i="1"/>
  <c r="BU2089" i="1"/>
  <c r="BQ2089" i="1"/>
  <c r="BU2088" i="1"/>
  <c r="BQ2088" i="1"/>
  <c r="BU2087" i="1"/>
  <c r="BQ2087" i="1"/>
  <c r="BM2091" i="1"/>
  <c r="BM2090" i="1"/>
  <c r="BM2089" i="1"/>
  <c r="BM2088" i="1"/>
  <c r="BM2087" i="1"/>
  <c r="BL2091" i="1"/>
  <c r="BI2091" i="1"/>
  <c r="BL2090" i="1"/>
  <c r="BI2090" i="1"/>
  <c r="BL2089" i="1"/>
  <c r="BI2089" i="1"/>
  <c r="BL2088" i="1"/>
  <c r="BI2088" i="1"/>
  <c r="BL2087" i="1"/>
  <c r="BI2087" i="1"/>
  <c r="BP2091" i="1"/>
  <c r="BP2090" i="1"/>
  <c r="BP2089" i="1"/>
  <c r="BP2088" i="1"/>
  <c r="BP2087" i="1"/>
  <c r="BR2139" i="1"/>
  <c r="BK2139" i="1"/>
  <c r="BJ2139" i="1"/>
  <c r="BH2139" i="1"/>
  <c r="BR2138" i="1"/>
  <c r="BK2138" i="1"/>
  <c r="BJ2138" i="1"/>
  <c r="BH2138" i="1"/>
  <c r="BR2137" i="1"/>
  <c r="BK2137" i="1"/>
  <c r="BJ2137" i="1"/>
  <c r="BH2137" i="1"/>
  <c r="BR2136" i="1"/>
  <c r="BK2136" i="1"/>
  <c r="BJ2136" i="1"/>
  <c r="BH2136" i="1"/>
  <c r="BR2135" i="1"/>
  <c r="BK2135" i="1"/>
  <c r="BJ2135" i="1"/>
  <c r="BH2135" i="1"/>
  <c r="BN2139" i="1"/>
  <c r="BN2138" i="1"/>
  <c r="BN2137" i="1"/>
  <c r="BN2136" i="1"/>
  <c r="BN2135" i="1"/>
  <c r="BS2139" i="1"/>
  <c r="BS2138" i="1"/>
  <c r="BS2137" i="1"/>
  <c r="BS2136" i="1"/>
  <c r="BS2135" i="1"/>
  <c r="BO2139" i="1"/>
  <c r="BO2138" i="1"/>
  <c r="BO2137" i="1"/>
  <c r="BO2136" i="1"/>
  <c r="BO2135" i="1"/>
  <c r="BT2139" i="1"/>
  <c r="BT2138" i="1"/>
  <c r="BT2137" i="1"/>
  <c r="BT2136" i="1"/>
  <c r="BT2135" i="1"/>
  <c r="BU2139" i="1"/>
  <c r="BQ2139" i="1"/>
  <c r="BU2138" i="1"/>
  <c r="BQ2138" i="1"/>
  <c r="BU2137" i="1"/>
  <c r="BQ2137" i="1"/>
  <c r="BU2136" i="1"/>
  <c r="BQ2136" i="1"/>
  <c r="BU2135" i="1"/>
  <c r="BQ2135" i="1"/>
  <c r="BM2139" i="1"/>
  <c r="BM2138" i="1"/>
  <c r="BM2137" i="1"/>
  <c r="BM2136" i="1"/>
  <c r="BM2135" i="1"/>
  <c r="BL2139" i="1"/>
  <c r="BI2139" i="1"/>
  <c r="BL2138" i="1"/>
  <c r="BI2138" i="1"/>
  <c r="BL2137" i="1"/>
  <c r="BI2137" i="1"/>
  <c r="BL2136" i="1"/>
  <c r="BI2136" i="1"/>
  <c r="BL2135" i="1"/>
  <c r="BI2135" i="1"/>
  <c r="BP2139" i="1"/>
  <c r="BP2138" i="1"/>
  <c r="BP2137" i="1"/>
  <c r="BP2136" i="1"/>
  <c r="BP2135" i="1"/>
  <c r="BR2391" i="1"/>
  <c r="BK2391" i="1"/>
  <c r="BH2391" i="1"/>
  <c r="BR2390" i="1"/>
  <c r="BK2390" i="1"/>
  <c r="BH2390" i="1"/>
  <c r="BR2389" i="1"/>
  <c r="BK2389" i="1"/>
  <c r="BH2389" i="1"/>
  <c r="BR2388" i="1"/>
  <c r="BK2388" i="1"/>
  <c r="BH2388" i="1"/>
  <c r="BR2387" i="1"/>
  <c r="BK2387" i="1"/>
  <c r="BH2387" i="1"/>
  <c r="BR2386" i="1"/>
  <c r="BK2386" i="1"/>
  <c r="BH2386" i="1"/>
  <c r="BR2385" i="1"/>
  <c r="BK2385" i="1"/>
  <c r="BH2385" i="1"/>
  <c r="BR2384" i="1"/>
  <c r="BK2384" i="1"/>
  <c r="BH2384" i="1"/>
  <c r="BR2383" i="1"/>
  <c r="BK2383" i="1"/>
  <c r="BH2383" i="1"/>
  <c r="BN2391" i="1"/>
  <c r="BN2390" i="1"/>
  <c r="BN2389" i="1"/>
  <c r="BN2388" i="1"/>
  <c r="BN2387" i="1"/>
  <c r="BN2386" i="1"/>
  <c r="BN2385" i="1"/>
  <c r="BN2384" i="1"/>
  <c r="BN2383" i="1"/>
  <c r="BS2391" i="1"/>
  <c r="BS2390" i="1"/>
  <c r="BS2389" i="1"/>
  <c r="BS2388" i="1"/>
  <c r="BS2387" i="1"/>
  <c r="BS2386" i="1"/>
  <c r="BS2385" i="1"/>
  <c r="BS2384" i="1"/>
  <c r="BS2383" i="1"/>
  <c r="BO2391" i="1"/>
  <c r="BO2390" i="1"/>
  <c r="BO2389" i="1"/>
  <c r="BO2388" i="1"/>
  <c r="BO2387" i="1"/>
  <c r="BO2386" i="1"/>
  <c r="BO2385" i="1"/>
  <c r="BO2384" i="1"/>
  <c r="BO2383" i="1"/>
  <c r="BT2391" i="1"/>
  <c r="BT2390" i="1"/>
  <c r="BT2389" i="1"/>
  <c r="BT2388" i="1"/>
  <c r="BT2387" i="1"/>
  <c r="BT2386" i="1"/>
  <c r="BT2385" i="1"/>
  <c r="BT2384" i="1"/>
  <c r="BT2383" i="1"/>
  <c r="BU2391" i="1"/>
  <c r="BQ2391" i="1"/>
  <c r="BU2390" i="1"/>
  <c r="BQ2390" i="1"/>
  <c r="BU2389" i="1"/>
  <c r="BQ2389" i="1"/>
  <c r="BU2388" i="1"/>
  <c r="BQ2388" i="1"/>
  <c r="BU2387" i="1"/>
  <c r="BQ2387" i="1"/>
  <c r="BU2386" i="1"/>
  <c r="BQ2386" i="1"/>
  <c r="BU2385" i="1"/>
  <c r="BQ2385" i="1"/>
  <c r="BU2384" i="1"/>
  <c r="BQ2384" i="1"/>
  <c r="BU2383" i="1"/>
  <c r="BQ2383" i="1"/>
  <c r="BM2391" i="1"/>
  <c r="BM2390" i="1"/>
  <c r="BM2389" i="1"/>
  <c r="BM2388" i="1"/>
  <c r="BM2387" i="1"/>
  <c r="BM2386" i="1"/>
  <c r="BM2385" i="1"/>
  <c r="BM2384" i="1"/>
  <c r="BM2383" i="1"/>
  <c r="BL2391" i="1"/>
  <c r="BI2391" i="1"/>
  <c r="BL2390" i="1"/>
  <c r="BI2390" i="1"/>
  <c r="BL2389" i="1"/>
  <c r="BI2389" i="1"/>
  <c r="BL2388" i="1"/>
  <c r="BI2388" i="1"/>
  <c r="BL2387" i="1"/>
  <c r="BI2387" i="1"/>
  <c r="BL2386" i="1"/>
  <c r="BI2386" i="1"/>
  <c r="BL2385" i="1"/>
  <c r="BI2385" i="1"/>
  <c r="BL2384" i="1"/>
  <c r="BI2384" i="1"/>
  <c r="BL2383" i="1"/>
  <c r="BI2383" i="1"/>
  <c r="BP2391" i="1"/>
  <c r="BP2390" i="1"/>
  <c r="BP2389" i="1"/>
  <c r="BP2388" i="1"/>
  <c r="BP2387" i="1"/>
  <c r="BP2386" i="1"/>
  <c r="BP2385" i="1"/>
  <c r="BP2384" i="1"/>
  <c r="BP2383" i="1"/>
  <c r="BR2396" i="1"/>
  <c r="BK2396" i="1"/>
  <c r="BH2396" i="1"/>
  <c r="BR2395" i="1"/>
  <c r="BK2395" i="1"/>
  <c r="BH2395" i="1"/>
  <c r="BR2394" i="1"/>
  <c r="BK2394" i="1"/>
  <c r="BH2394" i="1"/>
  <c r="BR2393" i="1"/>
  <c r="BK2393" i="1"/>
  <c r="BH2393" i="1"/>
  <c r="BR2392" i="1"/>
  <c r="BK2392" i="1"/>
  <c r="BH2392" i="1"/>
  <c r="BN2396" i="1"/>
  <c r="BN2395" i="1"/>
  <c r="BN2394" i="1"/>
  <c r="BN2393" i="1"/>
  <c r="BN2392" i="1"/>
  <c r="BS2396" i="1"/>
  <c r="BS2395" i="1"/>
  <c r="BS2394" i="1"/>
  <c r="BS2393" i="1"/>
  <c r="BS2392" i="1"/>
  <c r="BO2396" i="1"/>
  <c r="BO2395" i="1"/>
  <c r="BO2394" i="1"/>
  <c r="BO2393" i="1"/>
  <c r="BO2392" i="1"/>
  <c r="BT2396" i="1"/>
  <c r="BT2395" i="1"/>
  <c r="BT2394" i="1"/>
  <c r="BT2393" i="1"/>
  <c r="BT2392" i="1"/>
  <c r="BU2396" i="1"/>
  <c r="BQ2396" i="1"/>
  <c r="BU2395" i="1"/>
  <c r="BQ2395" i="1"/>
  <c r="BU2394" i="1"/>
  <c r="BQ2394" i="1"/>
  <c r="BU2393" i="1"/>
  <c r="BQ2393" i="1"/>
  <c r="BU2392" i="1"/>
  <c r="BQ2392" i="1"/>
  <c r="BM2396" i="1"/>
  <c r="BM2395" i="1"/>
  <c r="BM2394" i="1"/>
  <c r="BM2393" i="1"/>
  <c r="BM2392" i="1"/>
  <c r="BL2396" i="1"/>
  <c r="BI2396" i="1"/>
  <c r="BL2395" i="1"/>
  <c r="BI2395" i="1"/>
  <c r="BL2394" i="1"/>
  <c r="BI2394" i="1"/>
  <c r="BL2393" i="1"/>
  <c r="BI2393" i="1"/>
  <c r="BL2392" i="1"/>
  <c r="BI2392" i="1"/>
  <c r="BP2396" i="1"/>
  <c r="BP2395" i="1"/>
  <c r="BP2394" i="1"/>
  <c r="BP2393" i="1"/>
  <c r="BP2392" i="1"/>
  <c r="BR2291" i="1"/>
  <c r="BK2291" i="1"/>
  <c r="BJ2291" i="1"/>
  <c r="BH2291" i="1"/>
  <c r="BR2290" i="1"/>
  <c r="BK2290" i="1"/>
  <c r="BJ2290" i="1"/>
  <c r="BH2290" i="1"/>
  <c r="BR2289" i="1"/>
  <c r="BK2289" i="1"/>
  <c r="BJ2289" i="1"/>
  <c r="BH2289" i="1"/>
  <c r="BR2288" i="1"/>
  <c r="BK2288" i="1"/>
  <c r="BJ2288" i="1"/>
  <c r="BH2288" i="1"/>
  <c r="BR2287" i="1"/>
  <c r="BK2287" i="1"/>
  <c r="BJ2287" i="1"/>
  <c r="BH2287" i="1"/>
  <c r="BR2286" i="1"/>
  <c r="BK2286" i="1"/>
  <c r="BJ2286" i="1"/>
  <c r="BH2286" i="1"/>
  <c r="BR2285" i="1"/>
  <c r="BK2285" i="1"/>
  <c r="BJ2285" i="1"/>
  <c r="BH2285" i="1"/>
  <c r="BR2284" i="1"/>
  <c r="BK2284" i="1"/>
  <c r="BJ2284" i="1"/>
  <c r="BH2284" i="1"/>
  <c r="BR2283" i="1"/>
  <c r="BK2283" i="1"/>
  <c r="BJ2283" i="1"/>
  <c r="BH2283" i="1"/>
  <c r="BR2282" i="1"/>
  <c r="BK2282" i="1"/>
  <c r="BJ2282" i="1"/>
  <c r="BH2282" i="1"/>
  <c r="BN2291" i="1"/>
  <c r="BN2290" i="1"/>
  <c r="BN2289" i="1"/>
  <c r="BN2288" i="1"/>
  <c r="BN2287" i="1"/>
  <c r="BN2286" i="1"/>
  <c r="BN2285" i="1"/>
  <c r="BN2284" i="1"/>
  <c r="BN2283" i="1"/>
  <c r="BN2282" i="1"/>
  <c r="BS2291" i="1"/>
  <c r="BS2290" i="1"/>
  <c r="BS2289" i="1"/>
  <c r="BS2288" i="1"/>
  <c r="BS2287" i="1"/>
  <c r="BS2286" i="1"/>
  <c r="BS2285" i="1"/>
  <c r="BS2284" i="1"/>
  <c r="BS2283" i="1"/>
  <c r="BS2282" i="1"/>
  <c r="BO2291" i="1"/>
  <c r="BO2290" i="1"/>
  <c r="BO2289" i="1"/>
  <c r="BO2288" i="1"/>
  <c r="BO2287" i="1"/>
  <c r="BO2286" i="1"/>
  <c r="BO2285" i="1"/>
  <c r="BO2284" i="1"/>
  <c r="BO2283" i="1"/>
  <c r="BO2282" i="1"/>
  <c r="BT2291" i="1"/>
  <c r="BT2290" i="1"/>
  <c r="BT2289" i="1"/>
  <c r="BT2288" i="1"/>
  <c r="BT2287" i="1"/>
  <c r="BT2286" i="1"/>
  <c r="BT2285" i="1"/>
  <c r="BT2284" i="1"/>
  <c r="BT2283" i="1"/>
  <c r="BT2282" i="1"/>
  <c r="BU2291" i="1"/>
  <c r="BQ2291" i="1"/>
  <c r="BU2290" i="1"/>
  <c r="BQ2290" i="1"/>
  <c r="BU2289" i="1"/>
  <c r="BQ2289" i="1"/>
  <c r="BU2288" i="1"/>
  <c r="BQ2288" i="1"/>
  <c r="BU2287" i="1"/>
  <c r="BQ2287" i="1"/>
  <c r="BU2286" i="1"/>
  <c r="BQ2286" i="1"/>
  <c r="BU2285" i="1"/>
  <c r="BQ2285" i="1"/>
  <c r="BU2284" i="1"/>
  <c r="BQ2284" i="1"/>
  <c r="BU2283" i="1"/>
  <c r="BQ2283" i="1"/>
  <c r="BU2282" i="1"/>
  <c r="BQ2282" i="1"/>
  <c r="BM2291" i="1"/>
  <c r="BM2290" i="1"/>
  <c r="BM2289" i="1"/>
  <c r="BM2288" i="1"/>
  <c r="BM2287" i="1"/>
  <c r="BM2286" i="1"/>
  <c r="BM2285" i="1"/>
  <c r="BM2284" i="1"/>
  <c r="BM2283" i="1"/>
  <c r="BM2282" i="1"/>
  <c r="BL2291" i="1"/>
  <c r="BI2291" i="1"/>
  <c r="BL2290" i="1"/>
  <c r="BI2290" i="1"/>
  <c r="BL2289" i="1"/>
  <c r="BI2289" i="1"/>
  <c r="BL2288" i="1"/>
  <c r="BI2288" i="1"/>
  <c r="BL2287" i="1"/>
  <c r="BI2287" i="1"/>
  <c r="BL2286" i="1"/>
  <c r="BI2286" i="1"/>
  <c r="BL2285" i="1"/>
  <c r="BI2285" i="1"/>
  <c r="BL2284" i="1"/>
  <c r="BI2284" i="1"/>
  <c r="BL2283" i="1"/>
  <c r="BI2283" i="1"/>
  <c r="BL2282" i="1"/>
  <c r="BI2282" i="1"/>
  <c r="BP2291" i="1"/>
  <c r="BP2290" i="1"/>
  <c r="BP2289" i="1"/>
  <c r="BP2288" i="1"/>
  <c r="BP2287" i="1"/>
  <c r="BP2286" i="1"/>
  <c r="BP2285" i="1"/>
  <c r="BP2284" i="1"/>
  <c r="BP2283" i="1"/>
  <c r="BP2282" i="1"/>
  <c r="BR2322" i="1"/>
  <c r="BK2322" i="1"/>
  <c r="BJ2322" i="1"/>
  <c r="BH2322" i="1"/>
  <c r="BR2295" i="1"/>
  <c r="BK2295" i="1"/>
  <c r="BJ2295" i="1"/>
  <c r="BH2295" i="1"/>
  <c r="BR2294" i="1"/>
  <c r="BK2294" i="1"/>
  <c r="BJ2294" i="1"/>
  <c r="BH2294" i="1"/>
  <c r="BR2293" i="1"/>
  <c r="BK2293" i="1"/>
  <c r="BJ2293" i="1"/>
  <c r="BH2293" i="1"/>
  <c r="BR2292" i="1"/>
  <c r="BK2292" i="1"/>
  <c r="BJ2292" i="1"/>
  <c r="BH2292" i="1"/>
  <c r="BN2322" i="1"/>
  <c r="BN2295" i="1"/>
  <c r="BN2294" i="1"/>
  <c r="BN2293" i="1"/>
  <c r="BN2292" i="1"/>
  <c r="BS2322" i="1"/>
  <c r="BS2295" i="1"/>
  <c r="BS2294" i="1"/>
  <c r="BS2293" i="1"/>
  <c r="BS2292" i="1"/>
  <c r="BO2322" i="1"/>
  <c r="BO2295" i="1"/>
  <c r="BO2294" i="1"/>
  <c r="BO2293" i="1"/>
  <c r="BO2292" i="1"/>
  <c r="BT2322" i="1"/>
  <c r="BT2295" i="1"/>
  <c r="BT2294" i="1"/>
  <c r="BT2293" i="1"/>
  <c r="BT2292" i="1"/>
  <c r="BU2322" i="1"/>
  <c r="BQ2322" i="1"/>
  <c r="BU2295" i="1"/>
  <c r="BQ2295" i="1"/>
  <c r="BU2294" i="1"/>
  <c r="BQ2294" i="1"/>
  <c r="BU2293" i="1"/>
  <c r="BQ2293" i="1"/>
  <c r="BU2292" i="1"/>
  <c r="BQ2292" i="1"/>
  <c r="BM2322" i="1"/>
  <c r="BM2295" i="1"/>
  <c r="BM2294" i="1"/>
  <c r="BM2293" i="1"/>
  <c r="BM2292" i="1"/>
  <c r="BL2322" i="1"/>
  <c r="BI2322" i="1"/>
  <c r="BL2295" i="1"/>
  <c r="BI2295" i="1"/>
  <c r="BL2294" i="1"/>
  <c r="BI2294" i="1"/>
  <c r="BL2293" i="1"/>
  <c r="BI2293" i="1"/>
  <c r="BL2292" i="1"/>
  <c r="BI2292" i="1"/>
  <c r="BP2322" i="1"/>
  <c r="BP2295" i="1"/>
  <c r="BP2294" i="1"/>
  <c r="BP2293" i="1"/>
  <c r="BP2292" i="1"/>
  <c r="BK2382" i="1"/>
  <c r="BH2382" i="1"/>
  <c r="BN2382" i="1"/>
  <c r="BS2382" i="1"/>
  <c r="BO2382" i="1"/>
  <c r="BT2382" i="1"/>
  <c r="BQ2382" i="1"/>
  <c r="BM2382" i="1"/>
  <c r="BL2382" i="1"/>
  <c r="BI2382" i="1"/>
  <c r="BP2382" i="1"/>
  <c r="BR2380" i="1"/>
  <c r="BK2380" i="1"/>
  <c r="BH2380" i="1"/>
  <c r="BR2379" i="1"/>
  <c r="BK2379" i="1"/>
  <c r="BH2379" i="1"/>
  <c r="BR2378" i="1"/>
  <c r="BK2378" i="1"/>
  <c r="BH2378" i="1"/>
  <c r="BR2323" i="1"/>
  <c r="BK2323" i="1"/>
  <c r="BJ2323" i="1"/>
  <c r="BH2323" i="1"/>
  <c r="BK2281" i="1"/>
  <c r="BJ2281" i="1"/>
  <c r="BH2281" i="1"/>
  <c r="BN2380" i="1"/>
  <c r="BN2379" i="1"/>
  <c r="BN2378" i="1"/>
  <c r="BN2323" i="1"/>
  <c r="BN2281" i="1"/>
  <c r="BS2380" i="1"/>
  <c r="BS2379" i="1"/>
  <c r="BS2378" i="1"/>
  <c r="BS2323" i="1"/>
  <c r="BS2281" i="1"/>
  <c r="BO2380" i="1"/>
  <c r="BO2379" i="1"/>
  <c r="BO2378" i="1"/>
  <c r="BO2323" i="1"/>
  <c r="BO2281" i="1"/>
  <c r="BT2380" i="1"/>
  <c r="BT2379" i="1"/>
  <c r="BT2378" i="1"/>
  <c r="BT2323" i="1"/>
  <c r="BT2281" i="1"/>
  <c r="BU2380" i="1"/>
  <c r="BQ2380" i="1"/>
  <c r="BU2379" i="1"/>
  <c r="BQ2379" i="1"/>
  <c r="BU2378" i="1"/>
  <c r="BQ2378" i="1"/>
  <c r="BU2323" i="1"/>
  <c r="BQ2323" i="1"/>
  <c r="BQ2281" i="1"/>
  <c r="BM2380" i="1"/>
  <c r="BM2379" i="1"/>
  <c r="BM2378" i="1"/>
  <c r="BM2323" i="1"/>
  <c r="BM2281" i="1"/>
  <c r="BL2380" i="1"/>
  <c r="BI2380" i="1"/>
  <c r="BL2379" i="1"/>
  <c r="BI2379" i="1"/>
  <c r="BL2378" i="1"/>
  <c r="BI2378" i="1"/>
  <c r="BL2323" i="1"/>
  <c r="BI2323" i="1"/>
  <c r="BL2281" i="1"/>
  <c r="BI2281" i="1"/>
  <c r="BP2380" i="1"/>
  <c r="BP2379" i="1"/>
  <c r="BP2378" i="1"/>
  <c r="BP2323" i="1"/>
  <c r="BP2281" i="1"/>
  <c r="BR2221" i="1"/>
  <c r="BK2221" i="1"/>
  <c r="BJ2221" i="1"/>
  <c r="BH2221" i="1"/>
  <c r="BR2188" i="1"/>
  <c r="BK2188" i="1"/>
  <c r="BJ2188" i="1"/>
  <c r="BH2188" i="1"/>
  <c r="BR2168" i="1"/>
  <c r="BK2168" i="1"/>
  <c r="BJ2168" i="1"/>
  <c r="BH2168" i="1"/>
  <c r="BR2155" i="1"/>
  <c r="BK2155" i="1"/>
  <c r="BJ2155" i="1"/>
  <c r="BH2155" i="1"/>
  <c r="BR2134" i="1"/>
  <c r="BK2134" i="1"/>
  <c r="BJ2134" i="1"/>
  <c r="BH2134" i="1"/>
  <c r="BR2133" i="1"/>
  <c r="BK2133" i="1"/>
  <c r="BJ2133" i="1"/>
  <c r="BH2133" i="1"/>
  <c r="BR2132" i="1"/>
  <c r="BK2132" i="1"/>
  <c r="BJ2132" i="1"/>
  <c r="BH2132" i="1"/>
  <c r="BN2221" i="1"/>
  <c r="BN2188" i="1"/>
  <c r="BN2168" i="1"/>
  <c r="BN2155" i="1"/>
  <c r="BN2134" i="1"/>
  <c r="BN2133" i="1"/>
  <c r="BN2132" i="1"/>
  <c r="BS2221" i="1"/>
  <c r="BS2188" i="1"/>
  <c r="BS2168" i="1"/>
  <c r="BS2155" i="1"/>
  <c r="BS2134" i="1"/>
  <c r="BS2133" i="1"/>
  <c r="BS2132" i="1"/>
  <c r="BO2221" i="1"/>
  <c r="BO2188" i="1"/>
  <c r="BO2168" i="1"/>
  <c r="BO2155" i="1"/>
  <c r="BO2134" i="1"/>
  <c r="BO2133" i="1"/>
  <c r="BO2132" i="1"/>
  <c r="BT2221" i="1"/>
  <c r="BT2188" i="1"/>
  <c r="BT2168" i="1"/>
  <c r="BT2155" i="1"/>
  <c r="BT2134" i="1"/>
  <c r="BT2133" i="1"/>
  <c r="BT2132" i="1"/>
  <c r="BU2221" i="1"/>
  <c r="BQ2221" i="1"/>
  <c r="BU2188" i="1"/>
  <c r="BQ2188" i="1"/>
  <c r="BU2168" i="1"/>
  <c r="BQ2168" i="1"/>
  <c r="BU2155" i="1"/>
  <c r="BQ2155" i="1"/>
  <c r="BU2134" i="1"/>
  <c r="BQ2134" i="1"/>
  <c r="BU2133" i="1"/>
  <c r="BQ2133" i="1"/>
  <c r="BU2132" i="1"/>
  <c r="BQ2132" i="1"/>
  <c r="BM2221" i="1"/>
  <c r="BM2188" i="1"/>
  <c r="BM2168" i="1"/>
  <c r="BM2155" i="1"/>
  <c r="BM2134" i="1"/>
  <c r="BM2133" i="1"/>
  <c r="BM2132" i="1"/>
  <c r="BL2221" i="1"/>
  <c r="BI2221" i="1"/>
  <c r="BL2188" i="1"/>
  <c r="BI2188" i="1"/>
  <c r="BL2168" i="1"/>
  <c r="BI2168" i="1"/>
  <c r="BL2155" i="1"/>
  <c r="BI2155" i="1"/>
  <c r="BL2134" i="1"/>
  <c r="BI2134" i="1"/>
  <c r="BL2133" i="1"/>
  <c r="BI2133" i="1"/>
  <c r="BL2132" i="1"/>
  <c r="BI2132" i="1"/>
  <c r="BP2221" i="1"/>
  <c r="BP2188" i="1"/>
  <c r="BP2168" i="1"/>
  <c r="BP2155" i="1"/>
  <c r="BP2134" i="1"/>
  <c r="BP2133" i="1"/>
  <c r="BP2132" i="1"/>
  <c r="BR2278" i="1"/>
  <c r="BK2278" i="1"/>
  <c r="BJ2278" i="1"/>
  <c r="BH2278" i="1"/>
  <c r="BR2131" i="1"/>
  <c r="BK2131" i="1"/>
  <c r="BJ2131" i="1"/>
  <c r="BH2131" i="1"/>
  <c r="BR2130" i="1"/>
  <c r="BK2130" i="1"/>
  <c r="BJ2130" i="1"/>
  <c r="BH2130" i="1"/>
  <c r="BR2129" i="1"/>
  <c r="BK2129" i="1"/>
  <c r="BJ2129" i="1"/>
  <c r="BH2129" i="1"/>
  <c r="BR2128" i="1"/>
  <c r="BK2128" i="1"/>
  <c r="BJ2128" i="1"/>
  <c r="BH2128" i="1"/>
  <c r="BR2127" i="1"/>
  <c r="BK2127" i="1"/>
  <c r="BJ2127" i="1"/>
  <c r="BH2127" i="1"/>
  <c r="BR2126" i="1"/>
  <c r="BK2126" i="1"/>
  <c r="BJ2126" i="1"/>
  <c r="BH2126" i="1"/>
  <c r="BN2278" i="1"/>
  <c r="BN2131" i="1"/>
  <c r="BN2130" i="1"/>
  <c r="BN2129" i="1"/>
  <c r="BN2128" i="1"/>
  <c r="BN2127" i="1"/>
  <c r="BN2126" i="1"/>
  <c r="BS2278" i="1"/>
  <c r="BS2131" i="1"/>
  <c r="BS2130" i="1"/>
  <c r="BS2129" i="1"/>
  <c r="BS2128" i="1"/>
  <c r="BS2127" i="1"/>
  <c r="BS2126" i="1"/>
  <c r="BO2278" i="1"/>
  <c r="BO2131" i="1"/>
  <c r="BO2130" i="1"/>
  <c r="BO2129" i="1"/>
  <c r="BO2128" i="1"/>
  <c r="BO2127" i="1"/>
  <c r="BO2126" i="1"/>
  <c r="BT2278" i="1"/>
  <c r="BT2131" i="1"/>
  <c r="BT2130" i="1"/>
  <c r="BT2129" i="1"/>
  <c r="BT2128" i="1"/>
  <c r="BT2127" i="1"/>
  <c r="BT2126" i="1"/>
  <c r="BU2278" i="1"/>
  <c r="BQ2278" i="1"/>
  <c r="BU2131" i="1"/>
  <c r="BQ2131" i="1"/>
  <c r="BU2130" i="1"/>
  <c r="BQ2130" i="1"/>
  <c r="BU2129" i="1"/>
  <c r="BQ2129" i="1"/>
  <c r="BU2128" i="1"/>
  <c r="BQ2128" i="1"/>
  <c r="BU2127" i="1"/>
  <c r="BQ2127" i="1"/>
  <c r="BU2126" i="1"/>
  <c r="BQ2126" i="1"/>
  <c r="BM2278" i="1"/>
  <c r="BM2131" i="1"/>
  <c r="BM2130" i="1"/>
  <c r="BM2129" i="1"/>
  <c r="BM2128" i="1"/>
  <c r="BM2127" i="1"/>
  <c r="BM2126" i="1"/>
  <c r="BL2278" i="1"/>
  <c r="BI2278" i="1"/>
  <c r="BL2131" i="1"/>
  <c r="BI2131" i="1"/>
  <c r="BL2130" i="1"/>
  <c r="BI2130" i="1"/>
  <c r="BL2129" i="1"/>
  <c r="BI2129" i="1"/>
  <c r="BL2128" i="1"/>
  <c r="BI2128" i="1"/>
  <c r="BL2127" i="1"/>
  <c r="BI2127" i="1"/>
  <c r="BL2126" i="1"/>
  <c r="BI2126" i="1"/>
  <c r="BP2278" i="1"/>
  <c r="BP2131" i="1"/>
  <c r="BP2130" i="1"/>
  <c r="BP2129" i="1"/>
  <c r="BP2128" i="1"/>
  <c r="BP2127" i="1"/>
  <c r="BP2126" i="1"/>
  <c r="BR2280" i="1"/>
  <c r="BK2280" i="1"/>
  <c r="BJ2280" i="1"/>
  <c r="BH2280" i="1"/>
  <c r="BR2279" i="1"/>
  <c r="BK2279" i="1"/>
  <c r="BJ2279" i="1"/>
  <c r="BH2279" i="1"/>
  <c r="BR2125" i="1"/>
  <c r="BK2125" i="1"/>
  <c r="BJ2125" i="1"/>
  <c r="BH2125" i="1"/>
  <c r="BN2280" i="1"/>
  <c r="BN2279" i="1"/>
  <c r="BN2125" i="1"/>
  <c r="BS2280" i="1"/>
  <c r="BS2279" i="1"/>
  <c r="BS2125" i="1"/>
  <c r="BO2280" i="1"/>
  <c r="BO2279" i="1"/>
  <c r="BO2125" i="1"/>
  <c r="BT2280" i="1"/>
  <c r="BT2279" i="1"/>
  <c r="BT2125" i="1"/>
  <c r="BU2280" i="1"/>
  <c r="BQ2280" i="1"/>
  <c r="BU2279" i="1"/>
  <c r="BQ2279" i="1"/>
  <c r="BU2125" i="1"/>
  <c r="BQ2125" i="1"/>
  <c r="BM2280" i="1"/>
  <c r="BM2279" i="1"/>
  <c r="BM2125" i="1"/>
  <c r="BL2280" i="1"/>
  <c r="BI2280" i="1"/>
  <c r="BL2279" i="1"/>
  <c r="BI2279" i="1"/>
  <c r="BL2125" i="1"/>
  <c r="BI2125" i="1"/>
  <c r="BP2280" i="1"/>
  <c r="BP2279" i="1"/>
  <c r="BP2125" i="1"/>
  <c r="BR2074" i="1"/>
  <c r="BK2074" i="1"/>
  <c r="BJ2074" i="1"/>
  <c r="BH2074" i="1"/>
  <c r="BR2073" i="1"/>
  <c r="BK2073" i="1"/>
  <c r="BJ2073" i="1"/>
  <c r="BH2073" i="1"/>
  <c r="BR2072" i="1"/>
  <c r="BK2072" i="1"/>
  <c r="BJ2072" i="1"/>
  <c r="BH2072" i="1"/>
  <c r="BR2071" i="1"/>
  <c r="BK2071" i="1"/>
  <c r="BJ2071" i="1"/>
  <c r="BH2071" i="1"/>
  <c r="BR2070" i="1"/>
  <c r="BK2070" i="1"/>
  <c r="BJ2070" i="1"/>
  <c r="BH2070" i="1"/>
  <c r="BR2069" i="1"/>
  <c r="BK2069" i="1"/>
  <c r="BJ2069" i="1"/>
  <c r="BH2069" i="1"/>
  <c r="BR2068" i="1"/>
  <c r="BK2068" i="1"/>
  <c r="BJ2068" i="1"/>
  <c r="BH2068" i="1"/>
  <c r="BN2074" i="1"/>
  <c r="BN2073" i="1"/>
  <c r="BN2072" i="1"/>
  <c r="BN2071" i="1"/>
  <c r="BN2070" i="1"/>
  <c r="BN2069" i="1"/>
  <c r="BN2068" i="1"/>
  <c r="BS2074" i="1"/>
  <c r="BS2073" i="1"/>
  <c r="BS2072" i="1"/>
  <c r="BS2071" i="1"/>
  <c r="BS2070" i="1"/>
  <c r="BS2069" i="1"/>
  <c r="BS2068" i="1"/>
  <c r="BO2074" i="1"/>
  <c r="BO2073" i="1"/>
  <c r="BO2072" i="1"/>
  <c r="BO2071" i="1"/>
  <c r="BO2070" i="1"/>
  <c r="BO2069" i="1"/>
  <c r="BO2068" i="1"/>
  <c r="BT2074" i="1"/>
  <c r="BT2073" i="1"/>
  <c r="BT2072" i="1"/>
  <c r="BT2071" i="1"/>
  <c r="BT2070" i="1"/>
  <c r="BT2069" i="1"/>
  <c r="BT2068" i="1"/>
  <c r="BU2074" i="1"/>
  <c r="BQ2074" i="1"/>
  <c r="BU2073" i="1"/>
  <c r="BQ2073" i="1"/>
  <c r="BU2072" i="1"/>
  <c r="BQ2072" i="1"/>
  <c r="BU2071" i="1"/>
  <c r="BQ2071" i="1"/>
  <c r="BU2070" i="1"/>
  <c r="BQ2070" i="1"/>
  <c r="BU2069" i="1"/>
  <c r="BQ2069" i="1"/>
  <c r="BU2068" i="1"/>
  <c r="BQ2068" i="1"/>
  <c r="BM2074" i="1"/>
  <c r="BM2073" i="1"/>
  <c r="BM2072" i="1"/>
  <c r="BM2071" i="1"/>
  <c r="BM2070" i="1"/>
  <c r="BM2069" i="1"/>
  <c r="BM2068" i="1"/>
  <c r="BL2074" i="1"/>
  <c r="BI2074" i="1"/>
  <c r="BL2073" i="1"/>
  <c r="BI2073" i="1"/>
  <c r="BL2072" i="1"/>
  <c r="BI2072" i="1"/>
  <c r="BL2071" i="1"/>
  <c r="BI2071" i="1"/>
  <c r="BL2070" i="1"/>
  <c r="BI2070" i="1"/>
  <c r="BL2069" i="1"/>
  <c r="BI2069" i="1"/>
  <c r="BL2068" i="1"/>
  <c r="BI2068" i="1"/>
  <c r="BP2074" i="1"/>
  <c r="BP2073" i="1"/>
  <c r="BP2072" i="1"/>
  <c r="BP2071" i="1"/>
  <c r="BP2070" i="1"/>
  <c r="BP2069" i="1"/>
  <c r="BP2068" i="1"/>
  <c r="BR2094" i="1"/>
  <c r="BK2094" i="1"/>
  <c r="BJ2094" i="1"/>
  <c r="BH2094" i="1"/>
  <c r="BR2076" i="1"/>
  <c r="BK2076" i="1"/>
  <c r="BJ2076" i="1"/>
  <c r="BH2076" i="1"/>
  <c r="BR2075" i="1"/>
  <c r="BK2075" i="1"/>
  <c r="BJ2075" i="1"/>
  <c r="BH2075" i="1"/>
  <c r="BN2094" i="1"/>
  <c r="BN2076" i="1"/>
  <c r="BN2075" i="1"/>
  <c r="BS2094" i="1"/>
  <c r="BS2076" i="1"/>
  <c r="BS2075" i="1"/>
  <c r="BO2094" i="1"/>
  <c r="BO2076" i="1"/>
  <c r="BO2075" i="1"/>
  <c r="BT2094" i="1"/>
  <c r="BT2076" i="1"/>
  <c r="BT2075" i="1"/>
  <c r="BU2094" i="1"/>
  <c r="BQ2094" i="1"/>
  <c r="BU2076" i="1"/>
  <c r="BQ2076" i="1"/>
  <c r="BU2075" i="1"/>
  <c r="BQ2075" i="1"/>
  <c r="BM2094" i="1"/>
  <c r="BM2076" i="1"/>
  <c r="BM2075" i="1"/>
  <c r="BL2094" i="1"/>
  <c r="BI2094" i="1"/>
  <c r="BL2076" i="1"/>
  <c r="BI2076" i="1"/>
  <c r="BL2075" i="1"/>
  <c r="BI2075" i="1"/>
  <c r="BP2094" i="1"/>
  <c r="BP2076" i="1"/>
  <c r="BP2075" i="1"/>
  <c r="BR2067" i="1"/>
  <c r="BK2067" i="1"/>
  <c r="BJ2067" i="1"/>
  <c r="BH2067" i="1"/>
  <c r="BR2066" i="1"/>
  <c r="BK2066" i="1"/>
  <c r="BJ2066" i="1"/>
  <c r="BH2066" i="1"/>
  <c r="BR2065" i="1"/>
  <c r="BK2065" i="1"/>
  <c r="BJ2065" i="1"/>
  <c r="BH2065" i="1"/>
  <c r="BR2064" i="1"/>
  <c r="BK2064" i="1"/>
  <c r="BJ2064" i="1"/>
  <c r="BH2064" i="1"/>
  <c r="BN2067" i="1"/>
  <c r="BN2066" i="1"/>
  <c r="BN2065" i="1"/>
  <c r="BN2064" i="1"/>
  <c r="BS2067" i="1"/>
  <c r="BS2066" i="1"/>
  <c r="BS2065" i="1"/>
  <c r="BS2064" i="1"/>
  <c r="BO2067" i="1"/>
  <c r="BO2066" i="1"/>
  <c r="BO2065" i="1"/>
  <c r="BO2064" i="1"/>
  <c r="BT2067" i="1"/>
  <c r="BT2066" i="1"/>
  <c r="BT2065" i="1"/>
  <c r="BT2064" i="1"/>
  <c r="BU2067" i="1"/>
  <c r="BQ2067" i="1"/>
  <c r="BU2066" i="1"/>
  <c r="BQ2066" i="1"/>
  <c r="BU2065" i="1"/>
  <c r="BQ2065" i="1"/>
  <c r="BU2064" i="1"/>
  <c r="BQ2064" i="1"/>
  <c r="BM2067" i="1"/>
  <c r="BM2066" i="1"/>
  <c r="BM2065" i="1"/>
  <c r="BM2064" i="1"/>
  <c r="BL2067" i="1"/>
  <c r="BI2067" i="1"/>
  <c r="BL2066" i="1"/>
  <c r="BI2066" i="1"/>
  <c r="BL2065" i="1"/>
  <c r="BI2065" i="1"/>
  <c r="BL2064" i="1"/>
  <c r="BI2064" i="1"/>
  <c r="BP2067" i="1"/>
  <c r="BP2066" i="1"/>
  <c r="BP2065" i="1"/>
  <c r="BP2064" i="1"/>
  <c r="BR2063" i="1"/>
  <c r="BK2063" i="1"/>
  <c r="BJ2063" i="1"/>
  <c r="BH2063" i="1"/>
  <c r="BR2062" i="1"/>
  <c r="BK2062" i="1"/>
  <c r="BJ2062" i="1"/>
  <c r="BH2062" i="1"/>
  <c r="BR2061" i="1"/>
  <c r="BK2061" i="1"/>
  <c r="BJ2061" i="1"/>
  <c r="BH2061" i="1"/>
  <c r="BR2060" i="1"/>
  <c r="BK2060" i="1"/>
  <c r="BJ2060" i="1"/>
  <c r="BH2060" i="1"/>
  <c r="BN2063" i="1"/>
  <c r="BN2062" i="1"/>
  <c r="BN2061" i="1"/>
  <c r="BN2060" i="1"/>
  <c r="BS2063" i="1"/>
  <c r="BS2062" i="1"/>
  <c r="BS2061" i="1"/>
  <c r="BS2060" i="1"/>
  <c r="BO2063" i="1"/>
  <c r="BO2062" i="1"/>
  <c r="BO2061" i="1"/>
  <c r="BO2060" i="1"/>
  <c r="BT2063" i="1"/>
  <c r="BT2062" i="1"/>
  <c r="BT2061" i="1"/>
  <c r="BT2060" i="1"/>
  <c r="BU2063" i="1"/>
  <c r="BQ2063" i="1"/>
  <c r="BU2062" i="1"/>
  <c r="BQ2062" i="1"/>
  <c r="BU2061" i="1"/>
  <c r="BQ2061" i="1"/>
  <c r="BU2060" i="1"/>
  <c r="BQ2060" i="1"/>
  <c r="BM2063" i="1"/>
  <c r="BM2062" i="1"/>
  <c r="BM2061" i="1"/>
  <c r="BM2060" i="1"/>
  <c r="BL2063" i="1"/>
  <c r="BI2063" i="1"/>
  <c r="BL2062" i="1"/>
  <c r="BI2062" i="1"/>
  <c r="BL2061" i="1"/>
  <c r="BI2061" i="1"/>
  <c r="BL2060" i="1"/>
  <c r="BI2060" i="1"/>
  <c r="BP2063" i="1"/>
  <c r="BP2062" i="1"/>
  <c r="BP2061" i="1"/>
  <c r="BP2060" i="1"/>
  <c r="BR2119" i="1"/>
  <c r="BK2119" i="1"/>
  <c r="BJ2119" i="1"/>
  <c r="BH2119" i="1"/>
  <c r="BR2095" i="1"/>
  <c r="BK2095" i="1"/>
  <c r="BJ2095" i="1"/>
  <c r="BH2095" i="1"/>
  <c r="BN2119" i="1"/>
  <c r="BN2095" i="1"/>
  <c r="BS2119" i="1"/>
  <c r="BS2095" i="1"/>
  <c r="BO2119" i="1"/>
  <c r="BO2095" i="1"/>
  <c r="BT2119" i="1"/>
  <c r="BT2095" i="1"/>
  <c r="BU2119" i="1"/>
  <c r="BQ2119" i="1"/>
  <c r="BU2095" i="1"/>
  <c r="BQ2095" i="1"/>
  <c r="BM2119" i="1"/>
  <c r="BM2095" i="1"/>
  <c r="BL2119" i="1"/>
  <c r="BI2119" i="1"/>
  <c r="BL2095" i="1"/>
  <c r="BI2095" i="1"/>
  <c r="BP2119" i="1"/>
  <c r="BP2095" i="1"/>
  <c r="BR2124" i="1"/>
  <c r="BH2043" i="1"/>
  <c r="BR2043" i="1"/>
  <c r="BK2124" i="1"/>
  <c r="BJ2124" i="1"/>
  <c r="BH2124" i="1"/>
  <c r="BJ2043" i="1"/>
  <c r="BK2043" i="1"/>
  <c r="BN2124" i="1"/>
  <c r="BN2043" i="1"/>
  <c r="BS2124" i="1"/>
  <c r="BS2043" i="1"/>
  <c r="BO2124" i="1"/>
  <c r="BO2043" i="1"/>
  <c r="BT2124" i="1"/>
  <c r="BT2043" i="1"/>
  <c r="BU2124" i="1"/>
  <c r="BQ2124" i="1"/>
  <c r="BQ2043" i="1"/>
  <c r="BU2043" i="1"/>
  <c r="BM2124" i="1"/>
  <c r="BM2043" i="1"/>
  <c r="BL2124" i="1"/>
  <c r="BI2124" i="1"/>
  <c r="BI2043" i="1"/>
  <c r="BL2043" i="1"/>
  <c r="BP2124" i="1"/>
  <c r="BP2043" i="1"/>
  <c r="BR2054" i="1"/>
  <c r="BK2054" i="1"/>
  <c r="BJ2054" i="1"/>
  <c r="BH2054" i="1"/>
  <c r="BR2053" i="1"/>
  <c r="BK2053" i="1"/>
  <c r="BJ2053" i="1"/>
  <c r="BH2053" i="1"/>
  <c r="BR2052" i="1"/>
  <c r="BK2052" i="1"/>
  <c r="BJ2052" i="1"/>
  <c r="BH2052" i="1"/>
  <c r="BR2051" i="1"/>
  <c r="BK2051" i="1"/>
  <c r="BJ2051" i="1"/>
  <c r="BH2051" i="1"/>
  <c r="BR2050" i="1"/>
  <c r="BK2050" i="1"/>
  <c r="BJ2050" i="1"/>
  <c r="BH2050" i="1"/>
  <c r="BR2049" i="1"/>
  <c r="BK2049" i="1"/>
  <c r="BJ2049" i="1"/>
  <c r="BH2049" i="1"/>
  <c r="BR2048" i="1"/>
  <c r="BK2048" i="1"/>
  <c r="BJ2048" i="1"/>
  <c r="BH2048" i="1"/>
  <c r="BR2047" i="1"/>
  <c r="BK2047" i="1"/>
  <c r="BJ2047" i="1"/>
  <c r="BH2047" i="1"/>
  <c r="BR2046" i="1"/>
  <c r="BK2046" i="1"/>
  <c r="BJ2046" i="1"/>
  <c r="BH2046" i="1"/>
  <c r="BR2045" i="1"/>
  <c r="BK2045" i="1"/>
  <c r="BJ2045" i="1"/>
  <c r="BH2045" i="1"/>
  <c r="BR2044" i="1"/>
  <c r="BK2044" i="1"/>
  <c r="BJ2044" i="1"/>
  <c r="BH2044" i="1"/>
  <c r="BR2042" i="1"/>
  <c r="BK2042" i="1"/>
  <c r="BJ2042" i="1"/>
  <c r="BH2042" i="1"/>
  <c r="BR2041" i="1"/>
  <c r="BK2041" i="1"/>
  <c r="BJ2041" i="1"/>
  <c r="BH2041" i="1"/>
  <c r="BN2054" i="1"/>
  <c r="BN2053" i="1"/>
  <c r="BN2052" i="1"/>
  <c r="BN2051" i="1"/>
  <c r="BN2050" i="1"/>
  <c r="BN2049" i="1"/>
  <c r="BN2048" i="1"/>
  <c r="BN2047" i="1"/>
  <c r="BN2046" i="1"/>
  <c r="BN2045" i="1"/>
  <c r="BN2044" i="1"/>
  <c r="BN2042" i="1"/>
  <c r="BN2041" i="1"/>
  <c r="BS2054" i="1"/>
  <c r="BS2053" i="1"/>
  <c r="BS2052" i="1"/>
  <c r="BS2051" i="1"/>
  <c r="BS2050" i="1"/>
  <c r="BS2049" i="1"/>
  <c r="BS2048" i="1"/>
  <c r="BS2047" i="1"/>
  <c r="BS2046" i="1"/>
  <c r="BS2045" i="1"/>
  <c r="BS2044" i="1"/>
  <c r="BS2042" i="1"/>
  <c r="BS2041" i="1"/>
  <c r="BO2054" i="1"/>
  <c r="BO2053" i="1"/>
  <c r="BO2052" i="1"/>
  <c r="BO2051" i="1"/>
  <c r="BO2050" i="1"/>
  <c r="BO2049" i="1"/>
  <c r="BO2048" i="1"/>
  <c r="BO2047" i="1"/>
  <c r="BO2046" i="1"/>
  <c r="BO2045" i="1"/>
  <c r="BO2044" i="1"/>
  <c r="BO2042" i="1"/>
  <c r="BO2041" i="1"/>
  <c r="BT2054" i="1"/>
  <c r="BT2053" i="1"/>
  <c r="BT2052" i="1"/>
  <c r="BT2051" i="1"/>
  <c r="BT2050" i="1"/>
  <c r="BT2049" i="1"/>
  <c r="BT2048" i="1"/>
  <c r="BT2047" i="1"/>
  <c r="BT2046" i="1"/>
  <c r="BT2045" i="1"/>
  <c r="BT2044" i="1"/>
  <c r="BT2042" i="1"/>
  <c r="BT2041" i="1"/>
  <c r="BU2054" i="1"/>
  <c r="BQ2054" i="1"/>
  <c r="BU2053" i="1"/>
  <c r="BQ2053" i="1"/>
  <c r="BU2052" i="1"/>
  <c r="BQ2052" i="1"/>
  <c r="BU2051" i="1"/>
  <c r="BQ2051" i="1"/>
  <c r="BU2050" i="1"/>
  <c r="BQ2050" i="1"/>
  <c r="BU2049" i="1"/>
  <c r="BQ2049" i="1"/>
  <c r="BU2048" i="1"/>
  <c r="BQ2048" i="1"/>
  <c r="BU2047" i="1"/>
  <c r="BQ2047" i="1"/>
  <c r="BU2046" i="1"/>
  <c r="BQ2046" i="1"/>
  <c r="BU2045" i="1"/>
  <c r="BQ2045" i="1"/>
  <c r="BU2044" i="1"/>
  <c r="BQ2044" i="1"/>
  <c r="BU2042" i="1"/>
  <c r="BQ2042" i="1"/>
  <c r="BU2041" i="1"/>
  <c r="BQ2041" i="1"/>
  <c r="BM2054" i="1"/>
  <c r="BM2053" i="1"/>
  <c r="BM2052" i="1"/>
  <c r="BM2051" i="1"/>
  <c r="BM2050" i="1"/>
  <c r="BM2049" i="1"/>
  <c r="BM2048" i="1"/>
  <c r="BM2047" i="1"/>
  <c r="BM2046" i="1"/>
  <c r="BM2045" i="1"/>
  <c r="BM2044" i="1"/>
  <c r="BM2042" i="1"/>
  <c r="BM2041" i="1"/>
  <c r="BL2054" i="1"/>
  <c r="BI2054" i="1"/>
  <c r="BL2053" i="1"/>
  <c r="BI2053" i="1"/>
  <c r="BL2052" i="1"/>
  <c r="BI2052" i="1"/>
  <c r="BL2051" i="1"/>
  <c r="BI2051" i="1"/>
  <c r="BL2050" i="1"/>
  <c r="BI2050" i="1"/>
  <c r="BL2049" i="1"/>
  <c r="BI2049" i="1"/>
  <c r="BL2048" i="1"/>
  <c r="BI2048" i="1"/>
  <c r="BL2047" i="1"/>
  <c r="BI2047" i="1"/>
  <c r="BL2046" i="1"/>
  <c r="BI2046" i="1"/>
  <c r="BL2045" i="1"/>
  <c r="BI2045" i="1"/>
  <c r="BL2044" i="1"/>
  <c r="BI2044" i="1"/>
  <c r="BL2042" i="1"/>
  <c r="BI2042" i="1"/>
  <c r="BL2041" i="1"/>
  <c r="BI2041" i="1"/>
  <c r="BP2054" i="1"/>
  <c r="BP2053" i="1"/>
  <c r="BP2052" i="1"/>
  <c r="BP2051" i="1"/>
  <c r="BP2050" i="1"/>
  <c r="BP2049" i="1"/>
  <c r="BP2048" i="1"/>
  <c r="BP2047" i="1"/>
  <c r="BP2046" i="1"/>
  <c r="BP2045" i="1"/>
  <c r="BP2044" i="1"/>
  <c r="BP2042" i="1"/>
  <c r="BP2041" i="1"/>
  <c r="BR2121" i="1"/>
  <c r="BK2121" i="1"/>
  <c r="BJ2121" i="1"/>
  <c r="BH2121" i="1"/>
  <c r="BR2120" i="1"/>
  <c r="BK2120" i="1"/>
  <c r="BJ2120" i="1"/>
  <c r="BH2120" i="1"/>
  <c r="BR2059" i="1"/>
  <c r="BK2059" i="1"/>
  <c r="BJ2059" i="1"/>
  <c r="BH2059" i="1"/>
  <c r="BR2058" i="1"/>
  <c r="BK2058" i="1"/>
  <c r="BJ2058" i="1"/>
  <c r="BH2058" i="1"/>
  <c r="BR2057" i="1"/>
  <c r="BK2057" i="1"/>
  <c r="BJ2057" i="1"/>
  <c r="BH2057" i="1"/>
  <c r="BR2056" i="1"/>
  <c r="BK2056" i="1"/>
  <c r="BJ2056" i="1"/>
  <c r="BH2056" i="1"/>
  <c r="BR2055" i="1"/>
  <c r="BK2055" i="1"/>
  <c r="BJ2055" i="1"/>
  <c r="BH2055" i="1"/>
  <c r="BN2121" i="1"/>
  <c r="BN2120" i="1"/>
  <c r="BN2059" i="1"/>
  <c r="BN2058" i="1"/>
  <c r="BN2057" i="1"/>
  <c r="BN2056" i="1"/>
  <c r="BN2055" i="1"/>
  <c r="BS2121" i="1"/>
  <c r="BS2120" i="1"/>
  <c r="BS2059" i="1"/>
  <c r="BS2058" i="1"/>
  <c r="BS2057" i="1"/>
  <c r="BS2056" i="1"/>
  <c r="BS2055" i="1"/>
  <c r="BO2121" i="1"/>
  <c r="BO2120" i="1"/>
  <c r="BO2059" i="1"/>
  <c r="BO2058" i="1"/>
  <c r="BO2057" i="1"/>
  <c r="BO2056" i="1"/>
  <c r="BO2055" i="1"/>
  <c r="BT2121" i="1"/>
  <c r="BT2120" i="1"/>
  <c r="BT2059" i="1"/>
  <c r="BT2058" i="1"/>
  <c r="BT2057" i="1"/>
  <c r="BT2056" i="1"/>
  <c r="BT2055" i="1"/>
  <c r="BU2121" i="1"/>
  <c r="BQ2121" i="1"/>
  <c r="BU2120" i="1"/>
  <c r="BQ2120" i="1"/>
  <c r="BU2059" i="1"/>
  <c r="BQ2059" i="1"/>
  <c r="BU2058" i="1"/>
  <c r="BQ2058" i="1"/>
  <c r="BU2057" i="1"/>
  <c r="BQ2057" i="1"/>
  <c r="BU2056" i="1"/>
  <c r="BQ2056" i="1"/>
  <c r="BU2055" i="1"/>
  <c r="BQ2055" i="1"/>
  <c r="BM2121" i="1"/>
  <c r="BM2120" i="1"/>
  <c r="BM2059" i="1"/>
  <c r="BM2058" i="1"/>
  <c r="BM2057" i="1"/>
  <c r="BM2056" i="1"/>
  <c r="BM2055" i="1"/>
  <c r="BL2121" i="1"/>
  <c r="BI2121" i="1"/>
  <c r="BL2120" i="1"/>
  <c r="BI2120" i="1"/>
  <c r="BL2059" i="1"/>
  <c r="BI2059" i="1"/>
  <c r="BL2058" i="1"/>
  <c r="BI2058" i="1"/>
  <c r="BL2057" i="1"/>
  <c r="BI2057" i="1"/>
  <c r="BL2056" i="1"/>
  <c r="BI2056" i="1"/>
  <c r="BL2055" i="1"/>
  <c r="BI2055" i="1"/>
  <c r="BP2121" i="1"/>
  <c r="BP2120" i="1"/>
  <c r="BP2059" i="1"/>
  <c r="BP2058" i="1"/>
  <c r="BP2057" i="1"/>
  <c r="BP2056" i="1"/>
  <c r="BP2055" i="1"/>
  <c r="BR2123" i="1"/>
  <c r="BK2123" i="1"/>
  <c r="BJ2123" i="1"/>
  <c r="BH2123" i="1"/>
  <c r="BR2122" i="1"/>
  <c r="BK2122" i="1"/>
  <c r="BJ2122" i="1"/>
  <c r="BH2122" i="1"/>
  <c r="BR2040" i="1"/>
  <c r="BK2040" i="1"/>
  <c r="BJ2040" i="1"/>
  <c r="BH2040" i="1"/>
  <c r="BR2039" i="1"/>
  <c r="BK2039" i="1"/>
  <c r="BJ2039" i="1"/>
  <c r="BH2039" i="1"/>
  <c r="BN2123" i="1"/>
  <c r="BN2122" i="1"/>
  <c r="BN2040" i="1"/>
  <c r="BN2039" i="1"/>
  <c r="BS2123" i="1"/>
  <c r="BS2122" i="1"/>
  <c r="BS2040" i="1"/>
  <c r="BS2039" i="1"/>
  <c r="BO2123" i="1"/>
  <c r="BO2122" i="1"/>
  <c r="BO2040" i="1"/>
  <c r="BO2039" i="1"/>
  <c r="BT2123" i="1"/>
  <c r="BT2122" i="1"/>
  <c r="BT2040" i="1"/>
  <c r="BT2039" i="1"/>
  <c r="BU2123" i="1"/>
  <c r="BQ2123" i="1"/>
  <c r="BU2122" i="1"/>
  <c r="BQ2122" i="1"/>
  <c r="BU2040" i="1"/>
  <c r="BQ2040" i="1"/>
  <c r="BU2039" i="1"/>
  <c r="BQ2039" i="1"/>
  <c r="BM2123" i="1"/>
  <c r="BM2122" i="1"/>
  <c r="BM2040" i="1"/>
  <c r="BM2039" i="1"/>
  <c r="BL2123" i="1"/>
  <c r="BI2123" i="1"/>
  <c r="BL2122" i="1"/>
  <c r="BI2122" i="1"/>
  <c r="BL2040" i="1"/>
  <c r="BI2040" i="1"/>
  <c r="BL2039" i="1"/>
  <c r="BI2039" i="1"/>
  <c r="BP2123" i="1"/>
  <c r="BP2122" i="1"/>
  <c r="BP2040" i="1"/>
  <c r="BP2039" i="1"/>
  <c r="BR2038" i="1"/>
  <c r="BK2038" i="1"/>
  <c r="BJ2038" i="1"/>
  <c r="BH2038" i="1"/>
  <c r="BR2037" i="1"/>
  <c r="BK2037" i="1"/>
  <c r="BJ2037" i="1"/>
  <c r="BH2037" i="1"/>
  <c r="BR2036" i="1"/>
  <c r="BK2036" i="1"/>
  <c r="BJ2036" i="1"/>
  <c r="BH2036" i="1"/>
  <c r="BN2038" i="1"/>
  <c r="BN2037" i="1"/>
  <c r="BN2036" i="1"/>
  <c r="BS2038" i="1"/>
  <c r="BS2037" i="1"/>
  <c r="BS2036" i="1"/>
  <c r="BO2038" i="1"/>
  <c r="BO2037" i="1"/>
  <c r="BO2036" i="1"/>
  <c r="BT2038" i="1"/>
  <c r="BT2037" i="1"/>
  <c r="BT2036" i="1"/>
  <c r="BU2038" i="1"/>
  <c r="BQ2038" i="1"/>
  <c r="BU2037" i="1"/>
  <c r="BQ2037" i="1"/>
  <c r="BU2036" i="1"/>
  <c r="BQ2036" i="1"/>
  <c r="BM2038" i="1"/>
  <c r="BM2037" i="1"/>
  <c r="BM2036" i="1"/>
  <c r="BL2038" i="1"/>
  <c r="BI2038" i="1"/>
  <c r="BL2037" i="1"/>
  <c r="BI2037" i="1"/>
  <c r="BL2036" i="1"/>
  <c r="BI2036" i="1"/>
  <c r="BP2038" i="1"/>
  <c r="BP2037" i="1"/>
  <c r="BP2036" i="1"/>
  <c r="BZ365" i="1"/>
  <c r="BZ364" i="1"/>
  <c r="BR2035" i="1"/>
  <c r="BK2035" i="1"/>
  <c r="BJ2035" i="1"/>
  <c r="BH2035" i="1"/>
  <c r="BR2034" i="1"/>
  <c r="BK2034" i="1"/>
  <c r="BJ2034" i="1"/>
  <c r="BH2034" i="1"/>
  <c r="BR2033" i="1"/>
  <c r="BK2033" i="1"/>
  <c r="BJ2033" i="1"/>
  <c r="BH2033" i="1"/>
  <c r="BN2035" i="1"/>
  <c r="BN2034" i="1"/>
  <c r="BN2033" i="1"/>
  <c r="BS2035" i="1"/>
  <c r="BS2034" i="1"/>
  <c r="BS2033" i="1"/>
  <c r="BO2035" i="1"/>
  <c r="BO2034" i="1"/>
  <c r="BO2033" i="1"/>
  <c r="BT2035" i="1"/>
  <c r="BT2034" i="1"/>
  <c r="BT2033" i="1"/>
  <c r="BU2035" i="1"/>
  <c r="BQ2035" i="1"/>
  <c r="BU2034" i="1"/>
  <c r="BQ2034" i="1"/>
  <c r="BU2033" i="1"/>
  <c r="BQ2033" i="1"/>
  <c r="BM2035" i="1"/>
  <c r="BM2034" i="1"/>
  <c r="BM2033" i="1"/>
  <c r="BL2035" i="1"/>
  <c r="BI2035" i="1"/>
  <c r="BL2034" i="1"/>
  <c r="BI2034" i="1"/>
  <c r="BL2033" i="1"/>
  <c r="BI2033" i="1"/>
  <c r="BP2035" i="1"/>
  <c r="BP2034" i="1"/>
  <c r="BP2033" i="1"/>
  <c r="BR2028" i="1"/>
  <c r="BK2028" i="1"/>
  <c r="BJ2028" i="1"/>
  <c r="BH2028" i="1"/>
  <c r="BR2027" i="1"/>
  <c r="BK2027" i="1"/>
  <c r="BJ2027" i="1"/>
  <c r="BH2027" i="1"/>
  <c r="BR2026" i="1"/>
  <c r="BK2026" i="1"/>
  <c r="BJ2026" i="1"/>
  <c r="BH2026" i="1"/>
  <c r="BR2025" i="1"/>
  <c r="BK2025" i="1"/>
  <c r="BJ2025" i="1"/>
  <c r="BH2025" i="1"/>
  <c r="BR2024" i="1"/>
  <c r="BK2024" i="1"/>
  <c r="BJ2024" i="1"/>
  <c r="BH2024" i="1"/>
  <c r="BR2023" i="1"/>
  <c r="BK2023" i="1"/>
  <c r="BJ2023" i="1"/>
  <c r="BH2023" i="1"/>
  <c r="BR2022" i="1"/>
  <c r="BK2022" i="1"/>
  <c r="BJ2022" i="1"/>
  <c r="BH2022" i="1"/>
  <c r="BR2021" i="1"/>
  <c r="BK2021" i="1"/>
  <c r="BJ2021" i="1"/>
  <c r="BH2021" i="1"/>
  <c r="BN2028" i="1"/>
  <c r="BN2027" i="1"/>
  <c r="BN2026" i="1"/>
  <c r="BN2025" i="1"/>
  <c r="BN2024" i="1"/>
  <c r="BN2023" i="1"/>
  <c r="BN2022" i="1"/>
  <c r="BN2021" i="1"/>
  <c r="BS2028" i="1"/>
  <c r="BS2027" i="1"/>
  <c r="BS2026" i="1"/>
  <c r="BS2025" i="1"/>
  <c r="BS2024" i="1"/>
  <c r="BS2023" i="1"/>
  <c r="BS2022" i="1"/>
  <c r="BS2021" i="1"/>
  <c r="BO2028" i="1"/>
  <c r="BO2027" i="1"/>
  <c r="BO2026" i="1"/>
  <c r="BO2025" i="1"/>
  <c r="BO2024" i="1"/>
  <c r="BO2023" i="1"/>
  <c r="BO2022" i="1"/>
  <c r="BO2021" i="1"/>
  <c r="BT2028" i="1"/>
  <c r="BT2027" i="1"/>
  <c r="BT2026" i="1"/>
  <c r="BT2025" i="1"/>
  <c r="BT2024" i="1"/>
  <c r="BT2023" i="1"/>
  <c r="BT2022" i="1"/>
  <c r="BT2021" i="1"/>
  <c r="BU2028" i="1"/>
  <c r="BQ2028" i="1"/>
  <c r="BU2027" i="1"/>
  <c r="BQ2027" i="1"/>
  <c r="BU2026" i="1"/>
  <c r="BQ2026" i="1"/>
  <c r="BU2025" i="1"/>
  <c r="BQ2025" i="1"/>
  <c r="BU2024" i="1"/>
  <c r="BQ2024" i="1"/>
  <c r="BU2023" i="1"/>
  <c r="BQ2023" i="1"/>
  <c r="BU2022" i="1"/>
  <c r="BQ2022" i="1"/>
  <c r="BU2021" i="1"/>
  <c r="BQ2021" i="1"/>
  <c r="BM2028" i="1"/>
  <c r="BM2027" i="1"/>
  <c r="BM2026" i="1"/>
  <c r="BM2025" i="1"/>
  <c r="BM2024" i="1"/>
  <c r="BM2023" i="1"/>
  <c r="BM2022" i="1"/>
  <c r="BM2021" i="1"/>
  <c r="BL2028" i="1"/>
  <c r="BI2028" i="1"/>
  <c r="BL2027" i="1"/>
  <c r="BI2027" i="1"/>
  <c r="BL2026" i="1"/>
  <c r="BI2026" i="1"/>
  <c r="BL2025" i="1"/>
  <c r="BI2025" i="1"/>
  <c r="BL2024" i="1"/>
  <c r="BI2024" i="1"/>
  <c r="BL2023" i="1"/>
  <c r="BI2023" i="1"/>
  <c r="BL2022" i="1"/>
  <c r="BI2022" i="1"/>
  <c r="BL2021" i="1"/>
  <c r="BI2021" i="1"/>
  <c r="BP2028" i="1"/>
  <c r="BP2027" i="1"/>
  <c r="BP2026" i="1"/>
  <c r="BP2025" i="1"/>
  <c r="BP2024" i="1"/>
  <c r="BP2023" i="1"/>
  <c r="BP2022" i="1"/>
  <c r="BP2021" i="1"/>
  <c r="BR2032" i="1"/>
  <c r="BK2032" i="1"/>
  <c r="BJ2032" i="1"/>
  <c r="BH2032" i="1"/>
  <c r="BR2031" i="1"/>
  <c r="BK2031" i="1"/>
  <c r="BJ2031" i="1"/>
  <c r="BH2031" i="1"/>
  <c r="BR2030" i="1"/>
  <c r="BK2030" i="1"/>
  <c r="BJ2030" i="1"/>
  <c r="BH2030" i="1"/>
  <c r="BR2029" i="1"/>
  <c r="BK2029" i="1"/>
  <c r="BJ2029" i="1"/>
  <c r="BH2029" i="1"/>
  <c r="BN2032" i="1"/>
  <c r="BN2031" i="1"/>
  <c r="BN2030" i="1"/>
  <c r="BN2029" i="1"/>
  <c r="BS2032" i="1"/>
  <c r="BS2031" i="1"/>
  <c r="BS2030" i="1"/>
  <c r="BS2029" i="1"/>
  <c r="BO2032" i="1"/>
  <c r="BO2031" i="1"/>
  <c r="BO2030" i="1"/>
  <c r="BO2029" i="1"/>
  <c r="BT2032" i="1"/>
  <c r="BT2031" i="1"/>
  <c r="BT2030" i="1"/>
  <c r="BT2029" i="1"/>
  <c r="BU2032" i="1"/>
  <c r="BQ2032" i="1"/>
  <c r="BU2031" i="1"/>
  <c r="BQ2031" i="1"/>
  <c r="BU2030" i="1"/>
  <c r="BQ2030" i="1"/>
  <c r="BU2029" i="1"/>
  <c r="BQ2029" i="1"/>
  <c r="BM2032" i="1"/>
  <c r="BM2031" i="1"/>
  <c r="BM2030" i="1"/>
  <c r="BM2029" i="1"/>
  <c r="BL2032" i="1"/>
  <c r="BI2032" i="1"/>
  <c r="BL2031" i="1"/>
  <c r="BI2031" i="1"/>
  <c r="BL2030" i="1"/>
  <c r="BI2030" i="1"/>
  <c r="BL2029" i="1"/>
  <c r="BI2029" i="1"/>
  <c r="BP2032" i="1"/>
  <c r="BP2031" i="1"/>
  <c r="BP2030" i="1"/>
  <c r="BP2029" i="1"/>
  <c r="BR2018" i="1"/>
  <c r="BK2018" i="1"/>
  <c r="BJ2018" i="1"/>
  <c r="BH2018" i="1"/>
  <c r="BR2017" i="1"/>
  <c r="BK2017" i="1"/>
  <c r="BJ2017" i="1"/>
  <c r="BH2017" i="1"/>
  <c r="BR2016" i="1"/>
  <c r="BK2016" i="1"/>
  <c r="BJ2016" i="1"/>
  <c r="BH2016" i="1"/>
  <c r="BR2015" i="1"/>
  <c r="BK2015" i="1"/>
  <c r="BJ2015" i="1"/>
  <c r="BH2015" i="1"/>
  <c r="BR2014" i="1"/>
  <c r="BK2014" i="1"/>
  <c r="BJ2014" i="1"/>
  <c r="BH2014" i="1"/>
  <c r="BN2018" i="1"/>
  <c r="BN2017" i="1"/>
  <c r="BN2016" i="1"/>
  <c r="BN2015" i="1"/>
  <c r="BN2014" i="1"/>
  <c r="BS2018" i="1"/>
  <c r="BS2017" i="1"/>
  <c r="BS2016" i="1"/>
  <c r="BS2015" i="1"/>
  <c r="BS2014" i="1"/>
  <c r="BO2018" i="1"/>
  <c r="BO2017" i="1"/>
  <c r="BO2016" i="1"/>
  <c r="BO2015" i="1"/>
  <c r="BO2014" i="1"/>
  <c r="BT2018" i="1"/>
  <c r="BT2017" i="1"/>
  <c r="BT2016" i="1"/>
  <c r="BT2015" i="1"/>
  <c r="BT2014" i="1"/>
  <c r="BU2018" i="1"/>
  <c r="BQ2018" i="1"/>
  <c r="BU2017" i="1"/>
  <c r="BQ2017" i="1"/>
  <c r="BU2016" i="1"/>
  <c r="BQ2016" i="1"/>
  <c r="BU2015" i="1"/>
  <c r="BQ2015" i="1"/>
  <c r="BU2014" i="1"/>
  <c r="BQ2014" i="1"/>
  <c r="BM2018" i="1"/>
  <c r="BM2017" i="1"/>
  <c r="BM2016" i="1"/>
  <c r="BM2015" i="1"/>
  <c r="BM2014" i="1"/>
  <c r="BL2018" i="1"/>
  <c r="BI2018" i="1"/>
  <c r="BL2017" i="1"/>
  <c r="BI2017" i="1"/>
  <c r="BL2016" i="1"/>
  <c r="BI2016" i="1"/>
  <c r="BL2015" i="1"/>
  <c r="BI2015" i="1"/>
  <c r="BL2014" i="1"/>
  <c r="BI2014" i="1"/>
  <c r="BP2018" i="1"/>
  <c r="BP2017" i="1"/>
  <c r="BP2016" i="1"/>
  <c r="BP2015" i="1"/>
  <c r="BP2014" i="1"/>
  <c r="BR2381" i="1"/>
  <c r="BK2381" i="1"/>
  <c r="BH2381" i="1"/>
  <c r="BR2020" i="1"/>
  <c r="BK2020" i="1"/>
  <c r="BJ2020" i="1"/>
  <c r="BH2020" i="1"/>
  <c r="BR2019" i="1"/>
  <c r="BK2019" i="1"/>
  <c r="BJ2019" i="1"/>
  <c r="BH2019" i="1"/>
  <c r="BN2381" i="1"/>
  <c r="BN2020" i="1"/>
  <c r="BN2019" i="1"/>
  <c r="BS2381" i="1"/>
  <c r="BS2020" i="1"/>
  <c r="BS2019" i="1"/>
  <c r="BO2381" i="1"/>
  <c r="BO2020" i="1"/>
  <c r="BO2019" i="1"/>
  <c r="BT2381" i="1"/>
  <c r="BT2020" i="1"/>
  <c r="BT2019" i="1"/>
  <c r="BU2381" i="1"/>
  <c r="BQ2381" i="1"/>
  <c r="BU2020" i="1"/>
  <c r="BQ2020" i="1"/>
  <c r="BU2019" i="1"/>
  <c r="BQ2019" i="1"/>
  <c r="BM2381" i="1"/>
  <c r="BM2020" i="1"/>
  <c r="BM2019" i="1"/>
  <c r="BL2381" i="1"/>
  <c r="BI2381" i="1"/>
  <c r="BL2020" i="1"/>
  <c r="BI2020" i="1"/>
  <c r="BL2019" i="1"/>
  <c r="BI2019" i="1"/>
  <c r="BP2381" i="1"/>
  <c r="BP2020" i="1"/>
  <c r="BP2019" i="1"/>
  <c r="BR2012" i="1"/>
  <c r="BK2012" i="1"/>
  <c r="BJ2012" i="1"/>
  <c r="BH2012" i="1"/>
  <c r="BR2011" i="1"/>
  <c r="BK2011" i="1"/>
  <c r="BJ2011" i="1"/>
  <c r="BH2011" i="1"/>
  <c r="BR2010" i="1"/>
  <c r="BK2010" i="1"/>
  <c r="BJ2010" i="1"/>
  <c r="BH2010" i="1"/>
  <c r="BR2009" i="1"/>
  <c r="BK2009" i="1"/>
  <c r="BJ2009" i="1"/>
  <c r="BH2009" i="1"/>
  <c r="BN2012" i="1"/>
  <c r="BN2011" i="1"/>
  <c r="BN2010" i="1"/>
  <c r="BN2009" i="1"/>
  <c r="BS2012" i="1"/>
  <c r="BS2011" i="1"/>
  <c r="BS2010" i="1"/>
  <c r="BS2009" i="1"/>
  <c r="BO2012" i="1"/>
  <c r="BO2011" i="1"/>
  <c r="BO2010" i="1"/>
  <c r="BO2009" i="1"/>
  <c r="BT2012" i="1"/>
  <c r="BT2011" i="1"/>
  <c r="BT2010" i="1"/>
  <c r="BT2009" i="1"/>
  <c r="BU2012" i="1"/>
  <c r="BQ2012" i="1"/>
  <c r="BU2011" i="1"/>
  <c r="BQ2011" i="1"/>
  <c r="BU2010" i="1"/>
  <c r="BQ2010" i="1"/>
  <c r="BU2009" i="1"/>
  <c r="BQ2009" i="1"/>
  <c r="BM2012" i="1"/>
  <c r="BM2011" i="1"/>
  <c r="BM2010" i="1"/>
  <c r="BM2009" i="1"/>
  <c r="BL2012" i="1"/>
  <c r="BI2012" i="1"/>
  <c r="BL2011" i="1"/>
  <c r="BI2011" i="1"/>
  <c r="BL2010" i="1"/>
  <c r="BI2010" i="1"/>
  <c r="BL2009" i="1"/>
  <c r="BI2009" i="1"/>
  <c r="BP2012" i="1"/>
  <c r="BP2011" i="1"/>
  <c r="BP2010" i="1"/>
  <c r="BP2009" i="1"/>
  <c r="BR2002" i="1"/>
  <c r="BK2002" i="1"/>
  <c r="BJ2002" i="1"/>
  <c r="BH2002" i="1"/>
  <c r="BR2001" i="1"/>
  <c r="BK2001" i="1"/>
  <c r="BJ2001" i="1"/>
  <c r="BH2001" i="1"/>
  <c r="BR2000" i="1"/>
  <c r="BK2000" i="1"/>
  <c r="BJ2000" i="1"/>
  <c r="BH2000" i="1"/>
  <c r="BR1999" i="1"/>
  <c r="BK1999" i="1"/>
  <c r="BJ1999" i="1"/>
  <c r="BH1999" i="1"/>
  <c r="BR1998" i="1"/>
  <c r="BK1998" i="1"/>
  <c r="BJ1998" i="1"/>
  <c r="BH1998" i="1"/>
  <c r="BR1997" i="1"/>
  <c r="BK1997" i="1"/>
  <c r="BJ1997" i="1"/>
  <c r="BH1997" i="1"/>
  <c r="BR1996" i="1"/>
  <c r="BK1996" i="1"/>
  <c r="BJ1996" i="1"/>
  <c r="BH1996" i="1"/>
  <c r="BR1995" i="1"/>
  <c r="BK1995" i="1"/>
  <c r="BJ1995" i="1"/>
  <c r="BH1995" i="1"/>
  <c r="BR1994" i="1"/>
  <c r="BK1994" i="1"/>
  <c r="BJ1994" i="1"/>
  <c r="BH1994" i="1"/>
  <c r="BR1993" i="1"/>
  <c r="BK1993" i="1"/>
  <c r="BJ1993" i="1"/>
  <c r="BH1993" i="1"/>
  <c r="BN2002" i="1"/>
  <c r="BN2001" i="1"/>
  <c r="BN2000" i="1"/>
  <c r="BN1999" i="1"/>
  <c r="BN1998" i="1"/>
  <c r="BN1997" i="1"/>
  <c r="BN1996" i="1"/>
  <c r="BN1995" i="1"/>
  <c r="BN1994" i="1"/>
  <c r="BN1993" i="1"/>
  <c r="BS2002" i="1"/>
  <c r="BS2001" i="1"/>
  <c r="BS2000" i="1"/>
  <c r="BS1999" i="1"/>
  <c r="BS1998" i="1"/>
  <c r="BS1997" i="1"/>
  <c r="BS1996" i="1"/>
  <c r="BS1995" i="1"/>
  <c r="BS1994" i="1"/>
  <c r="BS1993" i="1"/>
  <c r="BO2002" i="1"/>
  <c r="BO2001" i="1"/>
  <c r="BO2000" i="1"/>
  <c r="BO1999" i="1"/>
  <c r="BO1998" i="1"/>
  <c r="BO1997" i="1"/>
  <c r="BO1996" i="1"/>
  <c r="BO1995" i="1"/>
  <c r="BO1994" i="1"/>
  <c r="BO1993" i="1"/>
  <c r="BT2002" i="1"/>
  <c r="BT2001" i="1"/>
  <c r="BT2000" i="1"/>
  <c r="BT1999" i="1"/>
  <c r="BT1998" i="1"/>
  <c r="BT1997" i="1"/>
  <c r="BT1996" i="1"/>
  <c r="BT1995" i="1"/>
  <c r="BT1994" i="1"/>
  <c r="BT1993" i="1"/>
  <c r="BU2002" i="1"/>
  <c r="BQ2002" i="1"/>
  <c r="BU2001" i="1"/>
  <c r="BQ2001" i="1"/>
  <c r="BU2000" i="1"/>
  <c r="BQ2000" i="1"/>
  <c r="BU1999" i="1"/>
  <c r="BQ1999" i="1"/>
  <c r="BU1998" i="1"/>
  <c r="BQ1998" i="1"/>
  <c r="BU1997" i="1"/>
  <c r="BQ1997" i="1"/>
  <c r="BU1996" i="1"/>
  <c r="BQ1996" i="1"/>
  <c r="BU1995" i="1"/>
  <c r="BQ1995" i="1"/>
  <c r="BU1994" i="1"/>
  <c r="BQ1994" i="1"/>
  <c r="BU1993" i="1"/>
  <c r="BQ1993" i="1"/>
  <c r="BM2002" i="1"/>
  <c r="BM2001" i="1"/>
  <c r="BM2000" i="1"/>
  <c r="BM1999" i="1"/>
  <c r="BM1998" i="1"/>
  <c r="BM1997" i="1"/>
  <c r="BM1996" i="1"/>
  <c r="BM1995" i="1"/>
  <c r="BM1994" i="1"/>
  <c r="BM1993" i="1"/>
  <c r="BL2002" i="1"/>
  <c r="BI2002" i="1"/>
  <c r="BL2001" i="1"/>
  <c r="BI2001" i="1"/>
  <c r="BL2000" i="1"/>
  <c r="BI2000" i="1"/>
  <c r="BL1999" i="1"/>
  <c r="BI1999" i="1"/>
  <c r="BL1998" i="1"/>
  <c r="BI1998" i="1"/>
  <c r="BL1997" i="1"/>
  <c r="BI1997" i="1"/>
  <c r="BL1996" i="1"/>
  <c r="BI1996" i="1"/>
  <c r="BL1995" i="1"/>
  <c r="BI1995" i="1"/>
  <c r="BL1994" i="1"/>
  <c r="BI1994" i="1"/>
  <c r="BL1993" i="1"/>
  <c r="BI1993" i="1"/>
  <c r="BP2002" i="1"/>
  <c r="BP2001" i="1"/>
  <c r="BP2000" i="1"/>
  <c r="BP1999" i="1"/>
  <c r="BP1998" i="1"/>
  <c r="BP1997" i="1"/>
  <c r="BP1996" i="1"/>
  <c r="BP1995" i="1"/>
  <c r="BP1994" i="1"/>
  <c r="BP1993" i="1"/>
  <c r="BR2007" i="1"/>
  <c r="BK2007" i="1"/>
  <c r="BJ2007" i="1"/>
  <c r="BH2007" i="1"/>
  <c r="BR2006" i="1"/>
  <c r="BK2006" i="1"/>
  <c r="BJ2006" i="1"/>
  <c r="BH2006" i="1"/>
  <c r="BR2005" i="1"/>
  <c r="BK2005" i="1"/>
  <c r="BJ2005" i="1"/>
  <c r="BH2005" i="1"/>
  <c r="BR2004" i="1"/>
  <c r="BK2004" i="1"/>
  <c r="BJ2004" i="1"/>
  <c r="BH2004" i="1"/>
  <c r="BR2003" i="1"/>
  <c r="BK2003" i="1"/>
  <c r="BJ2003" i="1"/>
  <c r="BH2003" i="1"/>
  <c r="BN2007" i="1"/>
  <c r="BN2006" i="1"/>
  <c r="BN2005" i="1"/>
  <c r="BN2004" i="1"/>
  <c r="BN2003" i="1"/>
  <c r="BS2007" i="1"/>
  <c r="BS2006" i="1"/>
  <c r="BS2005" i="1"/>
  <c r="BS2004" i="1"/>
  <c r="BS2003" i="1"/>
  <c r="BO2007" i="1"/>
  <c r="BO2006" i="1"/>
  <c r="BO2005" i="1"/>
  <c r="BO2004" i="1"/>
  <c r="BO2003" i="1"/>
  <c r="BT2007" i="1"/>
  <c r="BT2006" i="1"/>
  <c r="BT2005" i="1"/>
  <c r="BT2004" i="1"/>
  <c r="BT2003" i="1"/>
  <c r="BU2007" i="1"/>
  <c r="BQ2007" i="1"/>
  <c r="BU2006" i="1"/>
  <c r="BQ2006" i="1"/>
  <c r="BU2005" i="1"/>
  <c r="BQ2005" i="1"/>
  <c r="BU2004" i="1"/>
  <c r="BQ2004" i="1"/>
  <c r="BU2003" i="1"/>
  <c r="BQ2003" i="1"/>
  <c r="BM2007" i="1"/>
  <c r="BM2006" i="1"/>
  <c r="BM2005" i="1"/>
  <c r="BM2004" i="1"/>
  <c r="BM2003" i="1"/>
  <c r="BL2007" i="1"/>
  <c r="BI2007" i="1"/>
  <c r="BL2006" i="1"/>
  <c r="BI2006" i="1"/>
  <c r="BL2005" i="1"/>
  <c r="BI2005" i="1"/>
  <c r="BL2004" i="1"/>
  <c r="BI2004" i="1"/>
  <c r="BL2003" i="1"/>
  <c r="BI2003" i="1"/>
  <c r="BP2007" i="1"/>
  <c r="BP2006" i="1"/>
  <c r="BP2005" i="1"/>
  <c r="BP2004" i="1"/>
  <c r="BP2003" i="1"/>
  <c r="BR1987" i="1"/>
  <c r="BK1987" i="1"/>
  <c r="BJ1987" i="1"/>
  <c r="BH1987" i="1"/>
  <c r="BR1986" i="1"/>
  <c r="BK1986" i="1"/>
  <c r="BJ1986" i="1"/>
  <c r="BH1986" i="1"/>
  <c r="BR1985" i="1"/>
  <c r="BK1985" i="1"/>
  <c r="BJ1985" i="1"/>
  <c r="BH1985" i="1"/>
  <c r="BR1984" i="1"/>
  <c r="BK1984" i="1"/>
  <c r="BJ1984" i="1"/>
  <c r="BH1984" i="1"/>
  <c r="BR1983" i="1"/>
  <c r="BK1983" i="1"/>
  <c r="BJ1983" i="1"/>
  <c r="BH1983" i="1"/>
  <c r="BR1982" i="1"/>
  <c r="BK1982" i="1"/>
  <c r="BJ1982" i="1"/>
  <c r="BH1982" i="1"/>
  <c r="BR1981" i="1"/>
  <c r="BK1981" i="1"/>
  <c r="BJ1981" i="1"/>
  <c r="BH1981" i="1"/>
  <c r="BR1980" i="1"/>
  <c r="BK1980" i="1"/>
  <c r="BJ1980" i="1"/>
  <c r="BH1980" i="1"/>
  <c r="BN1987" i="1"/>
  <c r="BN1986" i="1"/>
  <c r="BN1985" i="1"/>
  <c r="BN1984" i="1"/>
  <c r="BN1983" i="1"/>
  <c r="BN1982" i="1"/>
  <c r="BN1981" i="1"/>
  <c r="BN1980" i="1"/>
  <c r="BS1987" i="1"/>
  <c r="BS1986" i="1"/>
  <c r="BS1985" i="1"/>
  <c r="BS1984" i="1"/>
  <c r="BS1983" i="1"/>
  <c r="BS1982" i="1"/>
  <c r="BS1981" i="1"/>
  <c r="BS1980" i="1"/>
  <c r="BO1987" i="1"/>
  <c r="BO1986" i="1"/>
  <c r="BO1985" i="1"/>
  <c r="BO1984" i="1"/>
  <c r="BO1983" i="1"/>
  <c r="BO1982" i="1"/>
  <c r="BO1981" i="1"/>
  <c r="BO1980" i="1"/>
  <c r="BT1987" i="1"/>
  <c r="BT1986" i="1"/>
  <c r="BT1985" i="1"/>
  <c r="BT1984" i="1"/>
  <c r="BT1983" i="1"/>
  <c r="BT1982" i="1"/>
  <c r="BT1981" i="1"/>
  <c r="BT1980" i="1"/>
  <c r="BU1987" i="1"/>
  <c r="BQ1987" i="1"/>
  <c r="BU1986" i="1"/>
  <c r="BQ1986" i="1"/>
  <c r="BU1985" i="1"/>
  <c r="BQ1985" i="1"/>
  <c r="BU1984" i="1"/>
  <c r="BQ1984" i="1"/>
  <c r="BU1983" i="1"/>
  <c r="BQ1983" i="1"/>
  <c r="BU1982" i="1"/>
  <c r="BQ1982" i="1"/>
  <c r="BU1981" i="1"/>
  <c r="BQ1981" i="1"/>
  <c r="BU1980" i="1"/>
  <c r="BQ1980" i="1"/>
  <c r="BM1987" i="1"/>
  <c r="BM1986" i="1"/>
  <c r="BM1985" i="1"/>
  <c r="BM1984" i="1"/>
  <c r="BM1983" i="1"/>
  <c r="BM1982" i="1"/>
  <c r="BM1981" i="1"/>
  <c r="BM1980" i="1"/>
  <c r="BL1987" i="1"/>
  <c r="BI1987" i="1"/>
  <c r="BL1986" i="1"/>
  <c r="BI1986" i="1"/>
  <c r="BL1985" i="1"/>
  <c r="BI1985" i="1"/>
  <c r="BL1984" i="1"/>
  <c r="BI1984" i="1"/>
  <c r="BL1983" i="1"/>
  <c r="BI1983" i="1"/>
  <c r="BL1982" i="1"/>
  <c r="BI1982" i="1"/>
  <c r="BL1981" i="1"/>
  <c r="BI1981" i="1"/>
  <c r="BL1980" i="1"/>
  <c r="BI1980" i="1"/>
  <c r="BP1987" i="1"/>
  <c r="BP1986" i="1"/>
  <c r="BP1985" i="1"/>
  <c r="BP1984" i="1"/>
  <c r="BP1983" i="1"/>
  <c r="BP1982" i="1"/>
  <c r="BP1981" i="1"/>
  <c r="BP1980" i="1"/>
  <c r="BR1990" i="1"/>
  <c r="BK1990" i="1"/>
  <c r="BJ1990" i="1"/>
  <c r="BH1990" i="1"/>
  <c r="BR1989" i="1"/>
  <c r="BK1989" i="1"/>
  <c r="BJ1989" i="1"/>
  <c r="BH1989" i="1"/>
  <c r="BR1988" i="1"/>
  <c r="BK1988" i="1"/>
  <c r="BJ1988" i="1"/>
  <c r="BH1988" i="1"/>
  <c r="BR1979" i="1"/>
  <c r="BK1979" i="1"/>
  <c r="BJ1979" i="1"/>
  <c r="BH1979" i="1"/>
  <c r="BR1978" i="1"/>
  <c r="BK1978" i="1"/>
  <c r="BJ1978" i="1"/>
  <c r="BH1978" i="1"/>
  <c r="BR1977" i="1"/>
  <c r="BK1977" i="1"/>
  <c r="BJ1977" i="1"/>
  <c r="BH1977" i="1"/>
  <c r="BN1990" i="1"/>
  <c r="BN1989" i="1"/>
  <c r="BN1988" i="1"/>
  <c r="BN1979" i="1"/>
  <c r="BN1978" i="1"/>
  <c r="BN1977" i="1"/>
  <c r="BS1990" i="1"/>
  <c r="BS1989" i="1"/>
  <c r="BS1988" i="1"/>
  <c r="BS1979" i="1"/>
  <c r="BS1978" i="1"/>
  <c r="BS1977" i="1"/>
  <c r="BO1990" i="1"/>
  <c r="BO1989" i="1"/>
  <c r="BO1988" i="1"/>
  <c r="BO1979" i="1"/>
  <c r="BO1978" i="1"/>
  <c r="BO1977" i="1"/>
  <c r="BT1990" i="1"/>
  <c r="BT1989" i="1"/>
  <c r="BT1988" i="1"/>
  <c r="BT1979" i="1"/>
  <c r="BT1978" i="1"/>
  <c r="BT1977" i="1"/>
  <c r="BU1990" i="1"/>
  <c r="BQ1990" i="1"/>
  <c r="BU1989" i="1"/>
  <c r="BQ1989" i="1"/>
  <c r="BU1988" i="1"/>
  <c r="BQ1988" i="1"/>
  <c r="BU1979" i="1"/>
  <c r="BQ1979" i="1"/>
  <c r="BU1978" i="1"/>
  <c r="BQ1978" i="1"/>
  <c r="BU1977" i="1"/>
  <c r="BQ1977" i="1"/>
  <c r="BM1990" i="1"/>
  <c r="BM1989" i="1"/>
  <c r="BM1988" i="1"/>
  <c r="BM1979" i="1"/>
  <c r="BM1978" i="1"/>
  <c r="BM1977" i="1"/>
  <c r="BL1990" i="1"/>
  <c r="BI1990" i="1"/>
  <c r="BL1989" i="1"/>
  <c r="BI1989" i="1"/>
  <c r="BL1988" i="1"/>
  <c r="BI1988" i="1"/>
  <c r="BL1979" i="1"/>
  <c r="BI1979" i="1"/>
  <c r="BL1978" i="1"/>
  <c r="BI1978" i="1"/>
  <c r="BL1977" i="1"/>
  <c r="BI1977" i="1"/>
  <c r="BP1990" i="1"/>
  <c r="BP1989" i="1"/>
  <c r="BP1988" i="1"/>
  <c r="BP1979" i="1"/>
  <c r="BP1978" i="1"/>
  <c r="BP1977" i="1"/>
  <c r="BR2008" i="1"/>
  <c r="BK2008" i="1"/>
  <c r="BJ2008" i="1"/>
  <c r="BH2008" i="1"/>
  <c r="BR1992" i="1"/>
  <c r="BK1992" i="1"/>
  <c r="BJ1992" i="1"/>
  <c r="BH1992" i="1"/>
  <c r="BR1991" i="1"/>
  <c r="BK1991" i="1"/>
  <c r="BJ1991" i="1"/>
  <c r="BH1991" i="1"/>
  <c r="BJ1969" i="1"/>
  <c r="BN2008" i="1"/>
  <c r="BN1992" i="1"/>
  <c r="BN1991" i="1"/>
  <c r="BR1969" i="1"/>
  <c r="BK1969" i="1"/>
  <c r="BH1969" i="1"/>
  <c r="BN1969" i="1"/>
  <c r="BS2008" i="1"/>
  <c r="BS1992" i="1"/>
  <c r="BS1991" i="1"/>
  <c r="BS1969" i="1"/>
  <c r="BO2008" i="1"/>
  <c r="BO1992" i="1"/>
  <c r="BO1991" i="1"/>
  <c r="BO1969" i="1"/>
  <c r="BT2008" i="1"/>
  <c r="BT1992" i="1"/>
  <c r="BT1991" i="1"/>
  <c r="BT1969" i="1"/>
  <c r="BU2008" i="1"/>
  <c r="BQ2008" i="1"/>
  <c r="BU1992" i="1"/>
  <c r="BQ1992" i="1"/>
  <c r="BU1991" i="1"/>
  <c r="BQ1991" i="1"/>
  <c r="BU1969" i="1"/>
  <c r="BQ1969" i="1"/>
  <c r="BM2008" i="1"/>
  <c r="BM1992" i="1"/>
  <c r="BM1991" i="1"/>
  <c r="BM1969" i="1"/>
  <c r="BL2008" i="1"/>
  <c r="BI2008" i="1"/>
  <c r="BL1992" i="1"/>
  <c r="BI1992" i="1"/>
  <c r="BL1991" i="1"/>
  <c r="BI1991" i="1"/>
  <c r="BP2008" i="1"/>
  <c r="BP1992" i="1"/>
  <c r="BP1991" i="1"/>
  <c r="BL1969" i="1"/>
  <c r="BI1969" i="1"/>
  <c r="BP1969" i="1"/>
  <c r="BR1974" i="1"/>
  <c r="BK1974" i="1"/>
  <c r="BJ1974" i="1"/>
  <c r="BH1974" i="1"/>
  <c r="BR1973" i="1"/>
  <c r="BK1973" i="1"/>
  <c r="BJ1973" i="1"/>
  <c r="BH1973" i="1"/>
  <c r="BR1972" i="1"/>
  <c r="BK1972" i="1"/>
  <c r="BJ1972" i="1"/>
  <c r="BH1972" i="1"/>
  <c r="BR1971" i="1"/>
  <c r="BK1971" i="1"/>
  <c r="BJ1971" i="1"/>
  <c r="BH1971" i="1"/>
  <c r="BR1970" i="1"/>
  <c r="BK1970" i="1"/>
  <c r="BJ1970" i="1"/>
  <c r="BH1970" i="1"/>
  <c r="BN1974" i="1"/>
  <c r="BN1973" i="1"/>
  <c r="BN1972" i="1"/>
  <c r="BN1971" i="1"/>
  <c r="BN1970" i="1"/>
  <c r="BS1974" i="1"/>
  <c r="BS1973" i="1"/>
  <c r="BS1972" i="1"/>
  <c r="BS1971" i="1"/>
  <c r="BS1970" i="1"/>
  <c r="BO1974" i="1"/>
  <c r="BO1973" i="1"/>
  <c r="BO1972" i="1"/>
  <c r="BO1971" i="1"/>
  <c r="BO1970" i="1"/>
  <c r="BT1974" i="1"/>
  <c r="BT1973" i="1"/>
  <c r="BT1972" i="1"/>
  <c r="BT1971" i="1"/>
  <c r="BT1970" i="1"/>
  <c r="BU1974" i="1"/>
  <c r="BQ1974" i="1"/>
  <c r="BU1973" i="1"/>
  <c r="BQ1973" i="1"/>
  <c r="BU1972" i="1"/>
  <c r="BQ1972" i="1"/>
  <c r="BU1971" i="1"/>
  <c r="BQ1971" i="1"/>
  <c r="BU1970" i="1"/>
  <c r="BQ1970" i="1"/>
  <c r="BM1974" i="1"/>
  <c r="BM1973" i="1"/>
  <c r="BM1972" i="1"/>
  <c r="BM1971" i="1"/>
  <c r="BM1970" i="1"/>
  <c r="BL1974" i="1"/>
  <c r="BI1974" i="1"/>
  <c r="BL1973" i="1"/>
  <c r="BI1973" i="1"/>
  <c r="BL1972" i="1"/>
  <c r="BI1972" i="1"/>
  <c r="BL1971" i="1"/>
  <c r="BI1971" i="1"/>
  <c r="BL1970" i="1"/>
  <c r="BI1970" i="1"/>
  <c r="BP1974" i="1"/>
  <c r="BP1973" i="1"/>
  <c r="BP1972" i="1"/>
  <c r="BP1971" i="1"/>
  <c r="BP1970" i="1"/>
  <c r="BR2013" i="1"/>
  <c r="BK2013" i="1"/>
  <c r="BJ2013" i="1"/>
  <c r="BH2013" i="1"/>
  <c r="BR1976" i="1"/>
  <c r="BK1976" i="1"/>
  <c r="BJ1976" i="1"/>
  <c r="BH1976" i="1"/>
  <c r="BR1975" i="1"/>
  <c r="BK1975" i="1"/>
  <c r="BJ1975" i="1"/>
  <c r="BH1975" i="1"/>
  <c r="BN2013" i="1"/>
  <c r="BN1976" i="1"/>
  <c r="BN1975" i="1"/>
  <c r="BS2013" i="1"/>
  <c r="BS1976" i="1"/>
  <c r="BS1975" i="1"/>
  <c r="BO2013" i="1"/>
  <c r="BO1976" i="1"/>
  <c r="BO1975" i="1"/>
  <c r="BT2013" i="1"/>
  <c r="BT1976" i="1"/>
  <c r="BT1975" i="1"/>
  <c r="BU2013" i="1"/>
  <c r="BQ2013" i="1"/>
  <c r="BU1976" i="1"/>
  <c r="BQ1976" i="1"/>
  <c r="BU1975" i="1"/>
  <c r="BQ1975" i="1"/>
  <c r="BM2013" i="1"/>
  <c r="BM1976" i="1"/>
  <c r="BM1975" i="1"/>
  <c r="BL2013" i="1"/>
  <c r="BI2013" i="1"/>
  <c r="BL1976" i="1"/>
  <c r="BI1976" i="1"/>
  <c r="BL1975" i="1"/>
  <c r="BI1975" i="1"/>
  <c r="BP2013" i="1"/>
  <c r="BP1976" i="1"/>
  <c r="BP1975" i="1"/>
  <c r="BR1968" i="1"/>
  <c r="BK1968" i="1"/>
  <c r="BJ1968" i="1"/>
  <c r="BH1968" i="1"/>
  <c r="BR1967" i="1"/>
  <c r="BK1967" i="1"/>
  <c r="BJ1967" i="1"/>
  <c r="BH1967" i="1"/>
  <c r="BR1966" i="1"/>
  <c r="BK1966" i="1"/>
  <c r="BJ1966" i="1"/>
  <c r="BH1966" i="1"/>
  <c r="BR1965" i="1"/>
  <c r="BK1965" i="1"/>
  <c r="BJ1965" i="1"/>
  <c r="BH1965" i="1"/>
  <c r="BN1968" i="1"/>
  <c r="BN1967" i="1"/>
  <c r="BN1966" i="1"/>
  <c r="BN1965" i="1"/>
  <c r="BS1968" i="1"/>
  <c r="BS1967" i="1"/>
  <c r="BS1966" i="1"/>
  <c r="BS1965" i="1"/>
  <c r="BO1968" i="1"/>
  <c r="BO1967" i="1"/>
  <c r="BO1966" i="1"/>
  <c r="BO1965" i="1"/>
  <c r="BT1968" i="1"/>
  <c r="BT1967" i="1"/>
  <c r="BT1966" i="1"/>
  <c r="BT1965" i="1"/>
  <c r="BU1968" i="1"/>
  <c r="BQ1968" i="1"/>
  <c r="BU1967" i="1"/>
  <c r="BQ1967" i="1"/>
  <c r="BU1966" i="1"/>
  <c r="BQ1966" i="1"/>
  <c r="BU1965" i="1"/>
  <c r="BQ1965" i="1"/>
  <c r="BM1968" i="1"/>
  <c r="BM1967" i="1"/>
  <c r="BM1966" i="1"/>
  <c r="BM1965" i="1"/>
  <c r="BL1968" i="1"/>
  <c r="BI1968" i="1"/>
  <c r="BL1967" i="1"/>
  <c r="BI1967" i="1"/>
  <c r="BL1966" i="1"/>
  <c r="BI1966" i="1"/>
  <c r="BL1965" i="1"/>
  <c r="BI1965" i="1"/>
  <c r="BP1968" i="1"/>
  <c r="BP1967" i="1"/>
  <c r="BP1966" i="1"/>
  <c r="BP1965" i="1"/>
  <c r="BR1964" i="1"/>
  <c r="BK1964" i="1"/>
  <c r="BJ1964" i="1"/>
  <c r="BH1964" i="1"/>
  <c r="BR1963" i="1"/>
  <c r="BK1963" i="1"/>
  <c r="BJ1963" i="1"/>
  <c r="BH1963" i="1"/>
  <c r="BR1962" i="1"/>
  <c r="BK1962" i="1"/>
  <c r="BJ1962" i="1"/>
  <c r="BH1962" i="1"/>
  <c r="BK1952" i="1"/>
  <c r="BN1964" i="1"/>
  <c r="BN1963" i="1"/>
  <c r="BN1962" i="1"/>
  <c r="BN1952" i="1"/>
  <c r="BR1952" i="1"/>
  <c r="BJ1952" i="1"/>
  <c r="BS1964" i="1"/>
  <c r="BS1963" i="1"/>
  <c r="BS1962" i="1"/>
  <c r="BO1964" i="1"/>
  <c r="BO1963" i="1"/>
  <c r="BO1962" i="1"/>
  <c r="BO1952" i="1"/>
  <c r="BT1964" i="1"/>
  <c r="BT1963" i="1"/>
  <c r="BT1962" i="1"/>
  <c r="BU1964" i="1"/>
  <c r="BQ1964" i="1"/>
  <c r="BU1963" i="1"/>
  <c r="BQ1963" i="1"/>
  <c r="BU1962" i="1"/>
  <c r="BQ1962" i="1"/>
  <c r="BU1952" i="1"/>
  <c r="BM1964" i="1"/>
  <c r="BM1963" i="1"/>
  <c r="BM1962" i="1"/>
  <c r="BM1952" i="1"/>
  <c r="BL1964" i="1"/>
  <c r="BI1964" i="1"/>
  <c r="BL1963" i="1"/>
  <c r="BI1963" i="1"/>
  <c r="BL1962" i="1"/>
  <c r="BI1962" i="1"/>
  <c r="BP1964" i="1"/>
  <c r="BP1963" i="1"/>
  <c r="BP1962" i="1"/>
  <c r="BP1952" i="1"/>
  <c r="BT1952" i="1"/>
  <c r="BI1952" i="1"/>
  <c r="BL1952" i="1"/>
  <c r="BS1952" i="1"/>
  <c r="BQ1952" i="1"/>
  <c r="BH1952" i="1"/>
  <c r="BR1956" i="1"/>
  <c r="BK1956" i="1"/>
  <c r="BJ1956" i="1"/>
  <c r="BH1956" i="1"/>
  <c r="BR1955" i="1"/>
  <c r="BK1955" i="1"/>
  <c r="BJ1955" i="1"/>
  <c r="BH1955" i="1"/>
  <c r="BR1954" i="1"/>
  <c r="BK1954" i="1"/>
  <c r="BJ1954" i="1"/>
  <c r="BH1954" i="1"/>
  <c r="BR1953" i="1"/>
  <c r="BK1953" i="1"/>
  <c r="BJ1953" i="1"/>
  <c r="BH1953" i="1"/>
  <c r="BR1951" i="1"/>
  <c r="BK1951" i="1"/>
  <c r="BJ1951" i="1"/>
  <c r="BH1951" i="1"/>
  <c r="BR1950" i="1"/>
  <c r="BK1950" i="1"/>
  <c r="BJ1950" i="1"/>
  <c r="BH1950" i="1"/>
  <c r="BR1949" i="1"/>
  <c r="BK1949" i="1"/>
  <c r="BJ1949" i="1"/>
  <c r="BH1949" i="1"/>
  <c r="BN1956" i="1"/>
  <c r="BN1955" i="1"/>
  <c r="BN1954" i="1"/>
  <c r="BN1953" i="1"/>
  <c r="BN1951" i="1"/>
  <c r="BN1950" i="1"/>
  <c r="BN1949" i="1"/>
  <c r="BS1956" i="1"/>
  <c r="BS1955" i="1"/>
  <c r="BS1954" i="1"/>
  <c r="BS1953" i="1"/>
  <c r="BS1951" i="1"/>
  <c r="BS1950" i="1"/>
  <c r="BS1949" i="1"/>
  <c r="BO1956" i="1"/>
  <c r="BO1955" i="1"/>
  <c r="BO1954" i="1"/>
  <c r="BO1953" i="1"/>
  <c r="BO1951" i="1"/>
  <c r="BO1950" i="1"/>
  <c r="BO1949" i="1"/>
  <c r="BT1956" i="1"/>
  <c r="BT1955" i="1"/>
  <c r="BT1954" i="1"/>
  <c r="BT1953" i="1"/>
  <c r="BT1951" i="1"/>
  <c r="BT1950" i="1"/>
  <c r="BT1949" i="1"/>
  <c r="BU1956" i="1"/>
  <c r="BQ1956" i="1"/>
  <c r="BU1955" i="1"/>
  <c r="BQ1955" i="1"/>
  <c r="BU1954" i="1"/>
  <c r="BQ1954" i="1"/>
  <c r="BU1953" i="1"/>
  <c r="BQ1953" i="1"/>
  <c r="BU1951" i="1"/>
  <c r="BQ1951" i="1"/>
  <c r="BU1950" i="1"/>
  <c r="BQ1950" i="1"/>
  <c r="BU1949" i="1"/>
  <c r="BQ1949" i="1"/>
  <c r="BM1956" i="1"/>
  <c r="BM1955" i="1"/>
  <c r="BM1954" i="1"/>
  <c r="BM1953" i="1"/>
  <c r="BM1951" i="1"/>
  <c r="BM1950" i="1"/>
  <c r="BM1949" i="1"/>
  <c r="BL1956" i="1"/>
  <c r="BI1956" i="1"/>
  <c r="BL1955" i="1"/>
  <c r="BI1955" i="1"/>
  <c r="BL1954" i="1"/>
  <c r="BI1954" i="1"/>
  <c r="BL1953" i="1"/>
  <c r="BI1953" i="1"/>
  <c r="BL1951" i="1"/>
  <c r="BI1951" i="1"/>
  <c r="BL1950" i="1"/>
  <c r="BI1950" i="1"/>
  <c r="BL1949" i="1"/>
  <c r="BI1949" i="1"/>
  <c r="BP1956" i="1"/>
  <c r="BP1955" i="1"/>
  <c r="BP1954" i="1"/>
  <c r="BP1953" i="1"/>
  <c r="BP1951" i="1"/>
  <c r="BP1950" i="1"/>
  <c r="BP1949" i="1"/>
  <c r="BR1960" i="1"/>
  <c r="BK1960" i="1"/>
  <c r="BJ1960" i="1"/>
  <c r="BH1960" i="1"/>
  <c r="BR1959" i="1"/>
  <c r="BK1959" i="1"/>
  <c r="BJ1959" i="1"/>
  <c r="BH1959" i="1"/>
  <c r="BR1958" i="1"/>
  <c r="BK1958" i="1"/>
  <c r="BJ1958" i="1"/>
  <c r="BH1958" i="1"/>
  <c r="BR1957" i="1"/>
  <c r="BK1957" i="1"/>
  <c r="BJ1957" i="1"/>
  <c r="BH1957" i="1"/>
  <c r="BN1960" i="1"/>
  <c r="BN1959" i="1"/>
  <c r="BN1958" i="1"/>
  <c r="BN1957" i="1"/>
  <c r="BS1960" i="1"/>
  <c r="BS1959" i="1"/>
  <c r="BS1958" i="1"/>
  <c r="BS1957" i="1"/>
  <c r="BO1960" i="1"/>
  <c r="BO1959" i="1"/>
  <c r="BO1958" i="1"/>
  <c r="BO1957" i="1"/>
  <c r="BT1960" i="1"/>
  <c r="BT1959" i="1"/>
  <c r="BT1958" i="1"/>
  <c r="BT1957" i="1"/>
  <c r="BU1960" i="1"/>
  <c r="BQ1960" i="1"/>
  <c r="BU1959" i="1"/>
  <c r="BQ1959" i="1"/>
  <c r="BU1958" i="1"/>
  <c r="BQ1958" i="1"/>
  <c r="BU1957" i="1"/>
  <c r="BQ1957" i="1"/>
  <c r="BM1960" i="1"/>
  <c r="BM1959" i="1"/>
  <c r="BM1958" i="1"/>
  <c r="BM1957" i="1"/>
  <c r="BL1960" i="1"/>
  <c r="BI1960" i="1"/>
  <c r="BL1959" i="1"/>
  <c r="BI1959" i="1"/>
  <c r="BL1958" i="1"/>
  <c r="BI1958" i="1"/>
  <c r="BL1957" i="1"/>
  <c r="BI1957" i="1"/>
  <c r="BP1960" i="1"/>
  <c r="BP1959" i="1"/>
  <c r="BP1958" i="1"/>
  <c r="BP1957" i="1"/>
  <c r="BR1961" i="1"/>
  <c r="BK1961" i="1"/>
  <c r="BJ1961" i="1"/>
  <c r="BH1961" i="1"/>
  <c r="BN1961" i="1"/>
  <c r="BS1961" i="1"/>
  <c r="BO1961" i="1"/>
  <c r="BT1961" i="1"/>
  <c r="BU1961" i="1"/>
  <c r="BQ1961" i="1"/>
  <c r="BM1961" i="1"/>
  <c r="BL1961" i="1"/>
  <c r="BI1961" i="1"/>
  <c r="BP1961" i="1"/>
  <c r="BR1945" i="1"/>
  <c r="BK1945" i="1"/>
  <c r="BJ1945" i="1"/>
  <c r="BH1945" i="1"/>
  <c r="BR1944" i="1"/>
  <c r="BK1944" i="1"/>
  <c r="BJ1944" i="1"/>
  <c r="BH1944" i="1"/>
  <c r="BR1943" i="1"/>
  <c r="BK1943" i="1"/>
  <c r="BJ1943" i="1"/>
  <c r="BH1943" i="1"/>
  <c r="BR1942" i="1"/>
  <c r="BK1942" i="1"/>
  <c r="BJ1942" i="1"/>
  <c r="BH1942" i="1"/>
  <c r="BR1941" i="1"/>
  <c r="BK1941" i="1"/>
  <c r="BJ1941" i="1"/>
  <c r="BH1941" i="1"/>
  <c r="BH1652" i="1"/>
  <c r="BJ1652" i="1"/>
  <c r="BK1652" i="1"/>
  <c r="BR1652" i="1"/>
  <c r="BH1653" i="1"/>
  <c r="BJ1653" i="1"/>
  <c r="BK1653" i="1"/>
  <c r="BR1653" i="1"/>
  <c r="BH1654" i="1"/>
  <c r="BJ1654" i="1"/>
  <c r="BK1654" i="1"/>
  <c r="BR1654" i="1"/>
  <c r="BH1655" i="1"/>
  <c r="BJ1655" i="1"/>
  <c r="BK1655" i="1"/>
  <c r="BR1655" i="1"/>
  <c r="BH1656" i="1"/>
  <c r="BJ1656" i="1"/>
  <c r="BK1656" i="1"/>
  <c r="BR1656" i="1"/>
  <c r="BH1657" i="1"/>
  <c r="BJ1657" i="1"/>
  <c r="BK1657" i="1"/>
  <c r="BR1657" i="1"/>
  <c r="BH1658" i="1"/>
  <c r="BJ1658" i="1"/>
  <c r="BK1658" i="1"/>
  <c r="BR1658" i="1"/>
  <c r="BH1659" i="1"/>
  <c r="BJ1659" i="1"/>
  <c r="BK1659" i="1"/>
  <c r="BR1659" i="1"/>
  <c r="BH1660" i="1"/>
  <c r="BJ1660" i="1"/>
  <c r="BK1660" i="1"/>
  <c r="BR1660" i="1"/>
  <c r="BH1661" i="1"/>
  <c r="BJ1661" i="1"/>
  <c r="BK1661" i="1"/>
  <c r="BR1661" i="1"/>
  <c r="BH1662" i="1"/>
  <c r="BJ1662" i="1"/>
  <c r="BK1662" i="1"/>
  <c r="BR1662" i="1"/>
  <c r="BH1663" i="1"/>
  <c r="BJ1663" i="1"/>
  <c r="BK1663" i="1"/>
  <c r="BR1663" i="1"/>
  <c r="BH1664" i="1"/>
  <c r="BJ1664" i="1"/>
  <c r="BK1664" i="1"/>
  <c r="BR1664" i="1"/>
  <c r="BH1665" i="1"/>
  <c r="BJ1665" i="1"/>
  <c r="BK1665" i="1"/>
  <c r="BR1665" i="1"/>
  <c r="BH1666" i="1"/>
  <c r="BJ1666" i="1"/>
  <c r="BK1666" i="1"/>
  <c r="BR1666" i="1"/>
  <c r="BH1667" i="1"/>
  <c r="BJ1667" i="1"/>
  <c r="BK1667" i="1"/>
  <c r="BR1667" i="1"/>
  <c r="BH1668" i="1"/>
  <c r="BJ1668" i="1"/>
  <c r="BK1668" i="1"/>
  <c r="BR1668" i="1"/>
  <c r="BH1669" i="1"/>
  <c r="BJ1669" i="1"/>
  <c r="BK1669" i="1"/>
  <c r="BR1669" i="1"/>
  <c r="BH1670" i="1"/>
  <c r="BJ1670" i="1"/>
  <c r="BK1670" i="1"/>
  <c r="BR1670" i="1"/>
  <c r="BH1671" i="1"/>
  <c r="BJ1671" i="1"/>
  <c r="BK1671" i="1"/>
  <c r="BR1671" i="1"/>
  <c r="BH1672" i="1"/>
  <c r="BJ1672" i="1"/>
  <c r="BK1672" i="1"/>
  <c r="BR1672" i="1"/>
  <c r="BH1673" i="1"/>
  <c r="BJ1673" i="1"/>
  <c r="BK1673" i="1"/>
  <c r="BR1673" i="1"/>
  <c r="BH1674" i="1"/>
  <c r="BJ1674" i="1"/>
  <c r="BK1674" i="1"/>
  <c r="BR1674" i="1"/>
  <c r="BH1675" i="1"/>
  <c r="BJ1675" i="1"/>
  <c r="BK1675" i="1"/>
  <c r="BR1675" i="1"/>
  <c r="BH1676" i="1"/>
  <c r="BJ1676" i="1"/>
  <c r="BK1676" i="1"/>
  <c r="BR1676" i="1"/>
  <c r="BH1677" i="1"/>
  <c r="BJ1677" i="1"/>
  <c r="BK1677" i="1"/>
  <c r="BR1677" i="1"/>
  <c r="BH1678" i="1"/>
  <c r="BJ1678" i="1"/>
  <c r="BK1678" i="1"/>
  <c r="BR1678" i="1"/>
  <c r="BH1679" i="1"/>
  <c r="BJ1679" i="1"/>
  <c r="BK1679" i="1"/>
  <c r="BR1679" i="1"/>
  <c r="BH1680" i="1"/>
  <c r="BJ1680" i="1"/>
  <c r="BK1680" i="1"/>
  <c r="BR1680" i="1"/>
  <c r="BH1681" i="1"/>
  <c r="BJ1681" i="1"/>
  <c r="BK1681" i="1"/>
  <c r="BR1681" i="1"/>
  <c r="BH1682" i="1"/>
  <c r="BJ1682" i="1"/>
  <c r="BK1682" i="1"/>
  <c r="BR1682" i="1"/>
  <c r="BH1683" i="1"/>
  <c r="BJ1683" i="1"/>
  <c r="BK1683" i="1"/>
  <c r="BR1683" i="1"/>
  <c r="BH1684" i="1"/>
  <c r="BJ1684" i="1"/>
  <c r="BK1684" i="1"/>
  <c r="BR1684" i="1"/>
  <c r="BH1685" i="1"/>
  <c r="BJ1685" i="1"/>
  <c r="BK1685" i="1"/>
  <c r="BR1685" i="1"/>
  <c r="BH1686" i="1"/>
  <c r="BJ1686" i="1"/>
  <c r="BK1686" i="1"/>
  <c r="BR1686" i="1"/>
  <c r="BH1687" i="1"/>
  <c r="BJ1687" i="1"/>
  <c r="BK1687" i="1"/>
  <c r="BR1687" i="1"/>
  <c r="BH1688" i="1"/>
  <c r="BJ1688" i="1"/>
  <c r="BK1688" i="1"/>
  <c r="BR1688" i="1"/>
  <c r="BH1689" i="1"/>
  <c r="BJ1689" i="1"/>
  <c r="BK1689" i="1"/>
  <c r="BR1689" i="1"/>
  <c r="BH1690" i="1"/>
  <c r="BJ1690" i="1"/>
  <c r="BK1690" i="1"/>
  <c r="BR1690" i="1"/>
  <c r="BH1691" i="1"/>
  <c r="BJ1691" i="1"/>
  <c r="BK1691" i="1"/>
  <c r="BR1691" i="1"/>
  <c r="BH1692" i="1"/>
  <c r="BJ1692" i="1"/>
  <c r="BK1692" i="1"/>
  <c r="BR1692" i="1"/>
  <c r="BH1693" i="1"/>
  <c r="BJ1693" i="1"/>
  <c r="BK1693" i="1"/>
  <c r="BR1693" i="1"/>
  <c r="BH1694" i="1"/>
  <c r="BJ1694" i="1"/>
  <c r="BK1694" i="1"/>
  <c r="BR1694" i="1"/>
  <c r="BH1695" i="1"/>
  <c r="BJ1695" i="1"/>
  <c r="BK1695" i="1"/>
  <c r="BR1695" i="1"/>
  <c r="BH1696" i="1"/>
  <c r="BJ1696" i="1"/>
  <c r="BK1696" i="1"/>
  <c r="BR1696" i="1"/>
  <c r="BH1697" i="1"/>
  <c r="BJ1697" i="1"/>
  <c r="BK1697" i="1"/>
  <c r="BR1697" i="1"/>
  <c r="BH1698" i="1"/>
  <c r="BJ1698" i="1"/>
  <c r="BK1698" i="1"/>
  <c r="BR1698" i="1"/>
  <c r="BH1699" i="1"/>
  <c r="BJ1699" i="1"/>
  <c r="BK1699" i="1"/>
  <c r="BR1699" i="1"/>
  <c r="BH1700" i="1"/>
  <c r="BJ1700" i="1"/>
  <c r="BK1700" i="1"/>
  <c r="BR1700" i="1"/>
  <c r="BH1701" i="1"/>
  <c r="BJ1701" i="1"/>
  <c r="BK1701" i="1"/>
  <c r="BR1701" i="1"/>
  <c r="BH1702" i="1"/>
  <c r="BJ1702" i="1"/>
  <c r="BK1702" i="1"/>
  <c r="BR1702" i="1"/>
  <c r="BH1703" i="1"/>
  <c r="BJ1703" i="1"/>
  <c r="BK1703" i="1"/>
  <c r="BR1703" i="1"/>
  <c r="BH1704" i="1"/>
  <c r="BJ1704" i="1"/>
  <c r="BK1704" i="1"/>
  <c r="BR1704" i="1"/>
  <c r="BH1705" i="1"/>
  <c r="BJ1705" i="1"/>
  <c r="BK1705" i="1"/>
  <c r="BR1705" i="1"/>
  <c r="BH1706" i="1"/>
  <c r="BJ1706" i="1"/>
  <c r="BK1706" i="1"/>
  <c r="BR1706" i="1"/>
  <c r="BH1707" i="1"/>
  <c r="BJ1707" i="1"/>
  <c r="BK1707" i="1"/>
  <c r="BR1707" i="1"/>
  <c r="BH1708" i="1"/>
  <c r="BJ1708" i="1"/>
  <c r="BK1708" i="1"/>
  <c r="BR1708" i="1"/>
  <c r="BH1709" i="1"/>
  <c r="BJ1709" i="1"/>
  <c r="BK1709" i="1"/>
  <c r="BR1709" i="1"/>
  <c r="BH1710" i="1"/>
  <c r="BJ1710" i="1"/>
  <c r="BK1710" i="1"/>
  <c r="BR1710" i="1"/>
  <c r="BH1711" i="1"/>
  <c r="BJ1711" i="1"/>
  <c r="BK1711" i="1"/>
  <c r="BR1711" i="1"/>
  <c r="BH1712" i="1"/>
  <c r="BJ1712" i="1"/>
  <c r="BK1712" i="1"/>
  <c r="BR1712" i="1"/>
  <c r="BH1713" i="1"/>
  <c r="BJ1713" i="1"/>
  <c r="BK1713" i="1"/>
  <c r="BR1713" i="1"/>
  <c r="BH1714" i="1"/>
  <c r="BJ1714" i="1"/>
  <c r="BK1714" i="1"/>
  <c r="BR1714" i="1"/>
  <c r="BH1715" i="1"/>
  <c r="BJ1715" i="1"/>
  <c r="BK1715" i="1"/>
  <c r="BR1715" i="1"/>
  <c r="BH1716" i="1"/>
  <c r="BJ1716" i="1"/>
  <c r="BK1716" i="1"/>
  <c r="BR1716" i="1"/>
  <c r="BH1717" i="1"/>
  <c r="BJ1717" i="1"/>
  <c r="BK1717" i="1"/>
  <c r="BR1717" i="1"/>
  <c r="BH1718" i="1"/>
  <c r="BJ1718" i="1"/>
  <c r="BK1718" i="1"/>
  <c r="BR1718" i="1"/>
  <c r="BH1719" i="1"/>
  <c r="BJ1719" i="1"/>
  <c r="BK1719" i="1"/>
  <c r="BR1719" i="1"/>
  <c r="BH1720" i="1"/>
  <c r="BJ1720" i="1"/>
  <c r="BK1720" i="1"/>
  <c r="BR1720" i="1"/>
  <c r="BH1721" i="1"/>
  <c r="BJ1721" i="1"/>
  <c r="BK1721" i="1"/>
  <c r="BR1721" i="1"/>
  <c r="BH1722" i="1"/>
  <c r="BJ1722" i="1"/>
  <c r="BK1722" i="1"/>
  <c r="BR1722" i="1"/>
  <c r="BH1723" i="1"/>
  <c r="BJ1723" i="1"/>
  <c r="BK1723" i="1"/>
  <c r="BR1723" i="1"/>
  <c r="BH1724" i="1"/>
  <c r="BJ1724" i="1"/>
  <c r="BK1724" i="1"/>
  <c r="BR1724" i="1"/>
  <c r="BH1725" i="1"/>
  <c r="BJ1725" i="1"/>
  <c r="BK1725" i="1"/>
  <c r="BR1725" i="1"/>
  <c r="BH1726" i="1"/>
  <c r="BJ1726" i="1"/>
  <c r="BK1726" i="1"/>
  <c r="BR1726" i="1"/>
  <c r="BH1727" i="1"/>
  <c r="BJ1727" i="1"/>
  <c r="BK1727" i="1"/>
  <c r="BR1727" i="1"/>
  <c r="BH1728" i="1"/>
  <c r="BJ1728" i="1"/>
  <c r="BK1728" i="1"/>
  <c r="BR1728" i="1"/>
  <c r="BH1729" i="1"/>
  <c r="BJ1729" i="1"/>
  <c r="BK1729" i="1"/>
  <c r="BR1729" i="1"/>
  <c r="BH1730" i="1"/>
  <c r="BJ1730" i="1"/>
  <c r="BK1730" i="1"/>
  <c r="BR1730" i="1"/>
  <c r="BH1731" i="1"/>
  <c r="BJ1731" i="1"/>
  <c r="BK1731" i="1"/>
  <c r="BR1731" i="1"/>
  <c r="BH1732" i="1"/>
  <c r="BJ1732" i="1"/>
  <c r="BK1732" i="1"/>
  <c r="BR1732" i="1"/>
  <c r="BH1733" i="1"/>
  <c r="BJ1733" i="1"/>
  <c r="BK1733" i="1"/>
  <c r="BR1733" i="1"/>
  <c r="BH1734" i="1"/>
  <c r="BJ1734" i="1"/>
  <c r="BK1734" i="1"/>
  <c r="BR1734" i="1"/>
  <c r="BH1735" i="1"/>
  <c r="BJ1735" i="1"/>
  <c r="BK1735" i="1"/>
  <c r="BR1735" i="1"/>
  <c r="BH1736" i="1"/>
  <c r="BJ1736" i="1"/>
  <c r="BK1736" i="1"/>
  <c r="BR1736" i="1"/>
  <c r="BH1737" i="1"/>
  <c r="BJ1737" i="1"/>
  <c r="BK1737" i="1"/>
  <c r="BR1737" i="1"/>
  <c r="BH1738" i="1"/>
  <c r="BJ1738" i="1"/>
  <c r="BK1738" i="1"/>
  <c r="BR1738" i="1"/>
  <c r="BH1739" i="1"/>
  <c r="BJ1739" i="1"/>
  <c r="BK1739" i="1"/>
  <c r="BR1739" i="1"/>
  <c r="BH1740" i="1"/>
  <c r="BJ1740" i="1"/>
  <c r="BK1740" i="1"/>
  <c r="BR1740" i="1"/>
  <c r="BH1741" i="1"/>
  <c r="BJ1741" i="1"/>
  <c r="BK1741" i="1"/>
  <c r="BR1741" i="1"/>
  <c r="BH1742" i="1"/>
  <c r="BJ1742" i="1"/>
  <c r="BK1742" i="1"/>
  <c r="BR1742" i="1"/>
  <c r="BH1743" i="1"/>
  <c r="BJ1743" i="1"/>
  <c r="BK1743" i="1"/>
  <c r="BR1743" i="1"/>
  <c r="BH1744" i="1"/>
  <c r="BJ1744" i="1"/>
  <c r="BK1744" i="1"/>
  <c r="BR1744" i="1"/>
  <c r="BH1745" i="1"/>
  <c r="BJ1745" i="1"/>
  <c r="BK1745" i="1"/>
  <c r="BR1745" i="1"/>
  <c r="BH1746" i="1"/>
  <c r="BJ1746" i="1"/>
  <c r="BK1746" i="1"/>
  <c r="BR1746" i="1"/>
  <c r="BH1747" i="1"/>
  <c r="BJ1747" i="1"/>
  <c r="BK1747" i="1"/>
  <c r="BR1747" i="1"/>
  <c r="BH1748" i="1"/>
  <c r="BJ1748" i="1"/>
  <c r="BK1748" i="1"/>
  <c r="BR1748" i="1"/>
  <c r="BH1749" i="1"/>
  <c r="BJ1749" i="1"/>
  <c r="BK1749" i="1"/>
  <c r="BR1749" i="1"/>
  <c r="BH1750" i="1"/>
  <c r="BJ1750" i="1"/>
  <c r="BK1750" i="1"/>
  <c r="BR1750" i="1"/>
  <c r="BH1751" i="1"/>
  <c r="BJ1751" i="1"/>
  <c r="BK1751" i="1"/>
  <c r="BR1751" i="1"/>
  <c r="BH1752" i="1"/>
  <c r="BJ1752" i="1"/>
  <c r="BK1752" i="1"/>
  <c r="BR1752" i="1"/>
  <c r="BH1753" i="1"/>
  <c r="BJ1753" i="1"/>
  <c r="BK1753" i="1"/>
  <c r="BR1753" i="1"/>
  <c r="BH1754" i="1"/>
  <c r="BJ1754" i="1"/>
  <c r="BK1754" i="1"/>
  <c r="BR1754" i="1"/>
  <c r="BH1755" i="1"/>
  <c r="BJ1755" i="1"/>
  <c r="BK1755" i="1"/>
  <c r="BR1755" i="1"/>
  <c r="BH1756" i="1"/>
  <c r="BJ1756" i="1"/>
  <c r="BK1756" i="1"/>
  <c r="BR1756" i="1"/>
  <c r="BH1757" i="1"/>
  <c r="BJ1757" i="1"/>
  <c r="BK1757" i="1"/>
  <c r="BR1757" i="1"/>
  <c r="BH1758" i="1"/>
  <c r="BJ1758" i="1"/>
  <c r="BK1758" i="1"/>
  <c r="BR1758" i="1"/>
  <c r="BH1759" i="1"/>
  <c r="BJ1759" i="1"/>
  <c r="BK1759" i="1"/>
  <c r="BR1759" i="1"/>
  <c r="BH1760" i="1"/>
  <c r="BJ1760" i="1"/>
  <c r="BK1760" i="1"/>
  <c r="BR1760" i="1"/>
  <c r="BH1761" i="1"/>
  <c r="BJ1761" i="1"/>
  <c r="BK1761" i="1"/>
  <c r="BR1761" i="1"/>
  <c r="BH1762" i="1"/>
  <c r="BJ1762" i="1"/>
  <c r="BK1762" i="1"/>
  <c r="BR1762" i="1"/>
  <c r="BH1763" i="1"/>
  <c r="BJ1763" i="1"/>
  <c r="BK1763" i="1"/>
  <c r="BR1763" i="1"/>
  <c r="BH1764" i="1"/>
  <c r="BJ1764" i="1"/>
  <c r="BK1764" i="1"/>
  <c r="BR1764" i="1"/>
  <c r="BH1765" i="1"/>
  <c r="BJ1765" i="1"/>
  <c r="BK1765" i="1"/>
  <c r="BR1765" i="1"/>
  <c r="BH1766" i="1"/>
  <c r="BJ1766" i="1"/>
  <c r="BK1766" i="1"/>
  <c r="BR1766" i="1"/>
  <c r="BH1767" i="1"/>
  <c r="BJ1767" i="1"/>
  <c r="BK1767" i="1"/>
  <c r="BR1767" i="1"/>
  <c r="BH1768" i="1"/>
  <c r="BJ1768" i="1"/>
  <c r="BK1768" i="1"/>
  <c r="BR1768" i="1"/>
  <c r="BH1769" i="1"/>
  <c r="BJ1769" i="1"/>
  <c r="BK1769" i="1"/>
  <c r="BR1769" i="1"/>
  <c r="BH1770" i="1"/>
  <c r="BJ1770" i="1"/>
  <c r="BK1770" i="1"/>
  <c r="BR1770" i="1"/>
  <c r="BH1771" i="1"/>
  <c r="BJ1771" i="1"/>
  <c r="BK1771" i="1"/>
  <c r="BR1771" i="1"/>
  <c r="BH1772" i="1"/>
  <c r="BJ1772" i="1"/>
  <c r="BK1772" i="1"/>
  <c r="BR1772" i="1"/>
  <c r="BH1773" i="1"/>
  <c r="BJ1773" i="1"/>
  <c r="BK1773" i="1"/>
  <c r="BR1773" i="1"/>
  <c r="BH1774" i="1"/>
  <c r="BJ1774" i="1"/>
  <c r="BK1774" i="1"/>
  <c r="BR1774" i="1"/>
  <c r="BH1775" i="1"/>
  <c r="BJ1775" i="1"/>
  <c r="BK1775" i="1"/>
  <c r="BR1775" i="1"/>
  <c r="BH1776" i="1"/>
  <c r="BJ1776" i="1"/>
  <c r="BK1776" i="1"/>
  <c r="BR1776" i="1"/>
  <c r="BH1777" i="1"/>
  <c r="BJ1777" i="1"/>
  <c r="BK1777" i="1"/>
  <c r="BR1777" i="1"/>
  <c r="BH1778" i="1"/>
  <c r="BJ1778" i="1"/>
  <c r="BK1778" i="1"/>
  <c r="BR1778" i="1"/>
  <c r="BH1779" i="1"/>
  <c r="BJ1779" i="1"/>
  <c r="BK1779" i="1"/>
  <c r="BR1779" i="1"/>
  <c r="BH1780" i="1"/>
  <c r="BJ1780" i="1"/>
  <c r="BK1780" i="1"/>
  <c r="BR1780" i="1"/>
  <c r="BH1781" i="1"/>
  <c r="BJ1781" i="1"/>
  <c r="BK1781" i="1"/>
  <c r="BR1781" i="1"/>
  <c r="BH1782" i="1"/>
  <c r="BJ1782" i="1"/>
  <c r="BK1782" i="1"/>
  <c r="BR1782" i="1"/>
  <c r="BH1783" i="1"/>
  <c r="BJ1783" i="1"/>
  <c r="BK1783" i="1"/>
  <c r="BR1783" i="1"/>
  <c r="BH1784" i="1"/>
  <c r="BJ1784" i="1"/>
  <c r="BK1784" i="1"/>
  <c r="BR1784" i="1"/>
  <c r="BH1785" i="1"/>
  <c r="BJ1785" i="1"/>
  <c r="BK1785" i="1"/>
  <c r="BR1785" i="1"/>
  <c r="BH1786" i="1"/>
  <c r="BJ1786" i="1"/>
  <c r="BK1786" i="1"/>
  <c r="BR1786" i="1"/>
  <c r="BH1787" i="1"/>
  <c r="BJ1787" i="1"/>
  <c r="BK1787" i="1"/>
  <c r="BR1787" i="1"/>
  <c r="BH1788" i="1"/>
  <c r="BJ1788" i="1"/>
  <c r="BK1788" i="1"/>
  <c r="BR1788" i="1"/>
  <c r="BH1789" i="1"/>
  <c r="BJ1789" i="1"/>
  <c r="BK1789" i="1"/>
  <c r="BR1789" i="1"/>
  <c r="BH1790" i="1"/>
  <c r="BJ1790" i="1"/>
  <c r="BK1790" i="1"/>
  <c r="BR1790" i="1"/>
  <c r="BH1791" i="1"/>
  <c r="BJ1791" i="1"/>
  <c r="BK1791" i="1"/>
  <c r="BR1791" i="1"/>
  <c r="BH1792" i="1"/>
  <c r="BJ1792" i="1"/>
  <c r="BK1792" i="1"/>
  <c r="BR1792" i="1"/>
  <c r="BH1793" i="1"/>
  <c r="BJ1793" i="1"/>
  <c r="BK1793" i="1"/>
  <c r="BR1793" i="1"/>
  <c r="BH1794" i="1"/>
  <c r="BJ1794" i="1"/>
  <c r="BK1794" i="1"/>
  <c r="BR1794" i="1"/>
  <c r="BH1795" i="1"/>
  <c r="BJ1795" i="1"/>
  <c r="BK1795" i="1"/>
  <c r="BR1795" i="1"/>
  <c r="BH1796" i="1"/>
  <c r="BJ1796" i="1"/>
  <c r="BK1796" i="1"/>
  <c r="BR1796" i="1"/>
  <c r="BH1797" i="1"/>
  <c r="BJ1797" i="1"/>
  <c r="BK1797" i="1"/>
  <c r="BR1797" i="1"/>
  <c r="BH1798" i="1"/>
  <c r="BJ1798" i="1"/>
  <c r="BK1798" i="1"/>
  <c r="BR1798" i="1"/>
  <c r="BH1799" i="1"/>
  <c r="BJ1799" i="1"/>
  <c r="BK1799" i="1"/>
  <c r="BR1799" i="1"/>
  <c r="BH1800" i="1"/>
  <c r="BJ1800" i="1"/>
  <c r="BK1800" i="1"/>
  <c r="BR1800" i="1"/>
  <c r="BH1801" i="1"/>
  <c r="BJ1801" i="1"/>
  <c r="BK1801" i="1"/>
  <c r="BR1801" i="1"/>
  <c r="BH1802" i="1"/>
  <c r="BJ1802" i="1"/>
  <c r="BK1802" i="1"/>
  <c r="BR1802" i="1"/>
  <c r="BH1803" i="1"/>
  <c r="BJ1803" i="1"/>
  <c r="BK1803" i="1"/>
  <c r="BR1803" i="1"/>
  <c r="BH1804" i="1"/>
  <c r="BJ1804" i="1"/>
  <c r="BK1804" i="1"/>
  <c r="BR1804" i="1"/>
  <c r="BH1805" i="1"/>
  <c r="BJ1805" i="1"/>
  <c r="BK1805" i="1"/>
  <c r="BR1805" i="1"/>
  <c r="BH1806" i="1"/>
  <c r="BJ1806" i="1"/>
  <c r="BK1806" i="1"/>
  <c r="BR1806" i="1"/>
  <c r="BH1807" i="1"/>
  <c r="BJ1807" i="1"/>
  <c r="BK1807" i="1"/>
  <c r="BR1807" i="1"/>
  <c r="BH1808" i="1"/>
  <c r="BJ1808" i="1"/>
  <c r="BK1808" i="1"/>
  <c r="BR1808" i="1"/>
  <c r="BH1809" i="1"/>
  <c r="BJ1809" i="1"/>
  <c r="BK1809" i="1"/>
  <c r="BR1809" i="1"/>
  <c r="BH1810" i="1"/>
  <c r="BJ1810" i="1"/>
  <c r="BK1810" i="1"/>
  <c r="BR1810" i="1"/>
  <c r="BH1811" i="1"/>
  <c r="BJ1811" i="1"/>
  <c r="BK1811" i="1"/>
  <c r="BR1811" i="1"/>
  <c r="BH1812" i="1"/>
  <c r="BJ1812" i="1"/>
  <c r="BK1812" i="1"/>
  <c r="BR1812" i="1"/>
  <c r="BH1813" i="1"/>
  <c r="BJ1813" i="1"/>
  <c r="BK1813" i="1"/>
  <c r="BR1813" i="1"/>
  <c r="BH1814" i="1"/>
  <c r="BJ1814" i="1"/>
  <c r="BK1814" i="1"/>
  <c r="BR1814" i="1"/>
  <c r="BH1815" i="1"/>
  <c r="BJ1815" i="1"/>
  <c r="BK1815" i="1"/>
  <c r="BR1815" i="1"/>
  <c r="BH1816" i="1"/>
  <c r="BJ1816" i="1"/>
  <c r="BK1816" i="1"/>
  <c r="BR1816" i="1"/>
  <c r="BH1817" i="1"/>
  <c r="BJ1817" i="1"/>
  <c r="BK1817" i="1"/>
  <c r="BR1817" i="1"/>
  <c r="BH1818" i="1"/>
  <c r="BJ1818" i="1"/>
  <c r="BK1818" i="1"/>
  <c r="BR1818" i="1"/>
  <c r="BH1819" i="1"/>
  <c r="BJ1819" i="1"/>
  <c r="BK1819" i="1"/>
  <c r="BR1819" i="1"/>
  <c r="BH1820" i="1"/>
  <c r="BJ1820" i="1"/>
  <c r="BK1820" i="1"/>
  <c r="BR1820" i="1"/>
  <c r="BH1821" i="1"/>
  <c r="BJ1821" i="1"/>
  <c r="BK1821" i="1"/>
  <c r="BR1821" i="1"/>
  <c r="BH1822" i="1"/>
  <c r="BJ1822" i="1"/>
  <c r="BK1822" i="1"/>
  <c r="BR1822" i="1"/>
  <c r="BH1823" i="1"/>
  <c r="BJ1823" i="1"/>
  <c r="BK1823" i="1"/>
  <c r="BR1823" i="1"/>
  <c r="BH1824" i="1"/>
  <c r="BJ1824" i="1"/>
  <c r="BK1824" i="1"/>
  <c r="BR1824" i="1"/>
  <c r="BH1825" i="1"/>
  <c r="BJ1825" i="1"/>
  <c r="BK1825" i="1"/>
  <c r="BR1825" i="1"/>
  <c r="BH1826" i="1"/>
  <c r="BJ1826" i="1"/>
  <c r="BK1826" i="1"/>
  <c r="BR1826" i="1"/>
  <c r="BH1827" i="1"/>
  <c r="BJ1827" i="1"/>
  <c r="BK1827" i="1"/>
  <c r="BR1827" i="1"/>
  <c r="BH1828" i="1"/>
  <c r="BJ1828" i="1"/>
  <c r="BK1828" i="1"/>
  <c r="BR1828" i="1"/>
  <c r="BH1829" i="1"/>
  <c r="BJ1829" i="1"/>
  <c r="BK1829" i="1"/>
  <c r="BR1829" i="1"/>
  <c r="BH1830" i="1"/>
  <c r="BJ1830" i="1"/>
  <c r="BK1830" i="1"/>
  <c r="BR1830" i="1"/>
  <c r="BH1831" i="1"/>
  <c r="BJ1831" i="1"/>
  <c r="BK1831" i="1"/>
  <c r="BR1831" i="1"/>
  <c r="BH1832" i="1"/>
  <c r="BJ1832" i="1"/>
  <c r="BK1832" i="1"/>
  <c r="BR1832" i="1"/>
  <c r="BH1833" i="1"/>
  <c r="BJ1833" i="1"/>
  <c r="BK1833" i="1"/>
  <c r="BR1833" i="1"/>
  <c r="BH1834" i="1"/>
  <c r="BJ1834" i="1"/>
  <c r="BK1834" i="1"/>
  <c r="BR1834" i="1"/>
  <c r="BH1835" i="1"/>
  <c r="BJ1835" i="1"/>
  <c r="BK1835" i="1"/>
  <c r="BR1835" i="1"/>
  <c r="BH1836" i="1"/>
  <c r="BJ1836" i="1"/>
  <c r="BK1836" i="1"/>
  <c r="BR1836" i="1"/>
  <c r="BH1837" i="1"/>
  <c r="BJ1837" i="1"/>
  <c r="BK1837" i="1"/>
  <c r="BR1837" i="1"/>
  <c r="BH1838" i="1"/>
  <c r="BJ1838" i="1"/>
  <c r="BK1838" i="1"/>
  <c r="BR1838" i="1"/>
  <c r="BH1839" i="1"/>
  <c r="BJ1839" i="1"/>
  <c r="BK1839" i="1"/>
  <c r="BR1839" i="1"/>
  <c r="BH1840" i="1"/>
  <c r="BJ1840" i="1"/>
  <c r="BK1840" i="1"/>
  <c r="BR1840" i="1"/>
  <c r="BH1841" i="1"/>
  <c r="BJ1841" i="1"/>
  <c r="BK1841" i="1"/>
  <c r="BR1841" i="1"/>
  <c r="BH1842" i="1"/>
  <c r="BJ1842" i="1"/>
  <c r="BK1842" i="1"/>
  <c r="BR1842" i="1"/>
  <c r="BH1843" i="1"/>
  <c r="BJ1843" i="1"/>
  <c r="BK1843" i="1"/>
  <c r="BR1843" i="1"/>
  <c r="BH1844" i="1"/>
  <c r="BJ1844" i="1"/>
  <c r="BK1844" i="1"/>
  <c r="BR1844" i="1"/>
  <c r="BH1845" i="1"/>
  <c r="BJ1845" i="1"/>
  <c r="BK1845" i="1"/>
  <c r="BR1845" i="1"/>
  <c r="BH1846" i="1"/>
  <c r="BJ1846" i="1"/>
  <c r="BK1846" i="1"/>
  <c r="BR1846" i="1"/>
  <c r="BH1847" i="1"/>
  <c r="BJ1847" i="1"/>
  <c r="BK1847" i="1"/>
  <c r="BR1847" i="1"/>
  <c r="BH1848" i="1"/>
  <c r="BJ1848" i="1"/>
  <c r="BK1848" i="1"/>
  <c r="BR1848" i="1"/>
  <c r="BH1849" i="1"/>
  <c r="BJ1849" i="1"/>
  <c r="BK1849" i="1"/>
  <c r="BR1849" i="1"/>
  <c r="BH1850" i="1"/>
  <c r="BJ1850" i="1"/>
  <c r="BK1850" i="1"/>
  <c r="BR1850" i="1"/>
  <c r="BH1851" i="1"/>
  <c r="BJ1851" i="1"/>
  <c r="BK1851" i="1"/>
  <c r="BR1851" i="1"/>
  <c r="BH1852" i="1"/>
  <c r="BJ1852" i="1"/>
  <c r="BK1852" i="1"/>
  <c r="BR1852" i="1"/>
  <c r="BH1853" i="1"/>
  <c r="BJ1853" i="1"/>
  <c r="BK1853" i="1"/>
  <c r="BR1853" i="1"/>
  <c r="BH1854" i="1"/>
  <c r="BJ1854" i="1"/>
  <c r="BK1854" i="1"/>
  <c r="BR1854" i="1"/>
  <c r="BH1855" i="1"/>
  <c r="BJ1855" i="1"/>
  <c r="BK1855" i="1"/>
  <c r="BR1855" i="1"/>
  <c r="BH1856" i="1"/>
  <c r="BJ1856" i="1"/>
  <c r="BK1856" i="1"/>
  <c r="BR1856" i="1"/>
  <c r="BH1857" i="1"/>
  <c r="BJ1857" i="1"/>
  <c r="BK1857" i="1"/>
  <c r="BR1857" i="1"/>
  <c r="BH1858" i="1"/>
  <c r="BJ1858" i="1"/>
  <c r="BK1858" i="1"/>
  <c r="BR1858" i="1"/>
  <c r="BH1859" i="1"/>
  <c r="BJ1859" i="1"/>
  <c r="BK1859" i="1"/>
  <c r="BR1859" i="1"/>
  <c r="BH1860" i="1"/>
  <c r="BJ1860" i="1"/>
  <c r="BK1860" i="1"/>
  <c r="BR1860" i="1"/>
  <c r="BH1861" i="1"/>
  <c r="BJ1861" i="1"/>
  <c r="BK1861" i="1"/>
  <c r="BR1861" i="1"/>
  <c r="BH1862" i="1"/>
  <c r="BJ1862" i="1"/>
  <c r="BK1862" i="1"/>
  <c r="BR1862" i="1"/>
  <c r="BH1863" i="1"/>
  <c r="BJ1863" i="1"/>
  <c r="BK1863" i="1"/>
  <c r="BR1863" i="1"/>
  <c r="BH1864" i="1"/>
  <c r="BJ1864" i="1"/>
  <c r="BK1864" i="1"/>
  <c r="BR1864" i="1"/>
  <c r="BH1865" i="1"/>
  <c r="BJ1865" i="1"/>
  <c r="BK1865" i="1"/>
  <c r="BR1865" i="1"/>
  <c r="BH1866" i="1"/>
  <c r="BJ1866" i="1"/>
  <c r="BK1866" i="1"/>
  <c r="BR1866" i="1"/>
  <c r="BH1867" i="1"/>
  <c r="BJ1867" i="1"/>
  <c r="BK1867" i="1"/>
  <c r="BR1867" i="1"/>
  <c r="BH1868" i="1"/>
  <c r="BJ1868" i="1"/>
  <c r="BK1868" i="1"/>
  <c r="BR1868" i="1"/>
  <c r="BH1869" i="1"/>
  <c r="BJ1869" i="1"/>
  <c r="BK1869" i="1"/>
  <c r="BR1869" i="1"/>
  <c r="BH1870" i="1"/>
  <c r="BJ1870" i="1"/>
  <c r="BK1870" i="1"/>
  <c r="BR1870" i="1"/>
  <c r="BH1871" i="1"/>
  <c r="BJ1871" i="1"/>
  <c r="BK1871" i="1"/>
  <c r="BR1871" i="1"/>
  <c r="BH1872" i="1"/>
  <c r="BJ1872" i="1"/>
  <c r="BK1872" i="1"/>
  <c r="BR1872" i="1"/>
  <c r="BH1873" i="1"/>
  <c r="BJ1873" i="1"/>
  <c r="BK1873" i="1"/>
  <c r="BR1873" i="1"/>
  <c r="BH1874" i="1"/>
  <c r="BJ1874" i="1"/>
  <c r="BK1874" i="1"/>
  <c r="BR1874" i="1"/>
  <c r="BH1875" i="1"/>
  <c r="BJ1875" i="1"/>
  <c r="BK1875" i="1"/>
  <c r="BR1875" i="1"/>
  <c r="BH1876" i="1"/>
  <c r="BJ1876" i="1"/>
  <c r="BK1876" i="1"/>
  <c r="BR1876" i="1"/>
  <c r="BH1877" i="1"/>
  <c r="BJ1877" i="1"/>
  <c r="BK1877" i="1"/>
  <c r="BR1877" i="1"/>
  <c r="BH1878" i="1"/>
  <c r="BJ1878" i="1"/>
  <c r="BK1878" i="1"/>
  <c r="BR1878" i="1"/>
  <c r="BH1879" i="1"/>
  <c r="BJ1879" i="1"/>
  <c r="BK1879" i="1"/>
  <c r="BR1879" i="1"/>
  <c r="BH1880" i="1"/>
  <c r="BJ1880" i="1"/>
  <c r="BK1880" i="1"/>
  <c r="BR1880" i="1"/>
  <c r="BH1881" i="1"/>
  <c r="BJ1881" i="1"/>
  <c r="BK1881" i="1"/>
  <c r="BR1881" i="1"/>
  <c r="BH1882" i="1"/>
  <c r="BJ1882" i="1"/>
  <c r="BK1882" i="1"/>
  <c r="BR1882" i="1"/>
  <c r="BH1883" i="1"/>
  <c r="BJ1883" i="1"/>
  <c r="BK1883" i="1"/>
  <c r="BR1883" i="1"/>
  <c r="BH1884" i="1"/>
  <c r="BJ1884" i="1"/>
  <c r="BK1884" i="1"/>
  <c r="BR1884" i="1"/>
  <c r="BH1885" i="1"/>
  <c r="BJ1885" i="1"/>
  <c r="BK1885" i="1"/>
  <c r="BR1885" i="1"/>
  <c r="BH1886" i="1"/>
  <c r="BJ1886" i="1"/>
  <c r="BK1886" i="1"/>
  <c r="BR1886" i="1"/>
  <c r="BH1887" i="1"/>
  <c r="BJ1887" i="1"/>
  <c r="BK1887" i="1"/>
  <c r="BR1887" i="1"/>
  <c r="BH1888" i="1"/>
  <c r="BJ1888" i="1"/>
  <c r="BK1888" i="1"/>
  <c r="BR1888" i="1"/>
  <c r="BH1889" i="1"/>
  <c r="BJ1889" i="1"/>
  <c r="BK1889" i="1"/>
  <c r="BR1889" i="1"/>
  <c r="BH1890" i="1"/>
  <c r="BJ1890" i="1"/>
  <c r="BK1890" i="1"/>
  <c r="BR1890" i="1"/>
  <c r="BH1891" i="1"/>
  <c r="BJ1891" i="1"/>
  <c r="BK1891" i="1"/>
  <c r="BR1891" i="1"/>
  <c r="BH1892" i="1"/>
  <c r="BJ1892" i="1"/>
  <c r="BK1892" i="1"/>
  <c r="BR1892" i="1"/>
  <c r="BH1893" i="1"/>
  <c r="BJ1893" i="1"/>
  <c r="BK1893" i="1"/>
  <c r="BR1893" i="1"/>
  <c r="BH1894" i="1"/>
  <c r="BJ1894" i="1"/>
  <c r="BK1894" i="1"/>
  <c r="BR1894" i="1"/>
  <c r="BH1895" i="1"/>
  <c r="BJ1895" i="1"/>
  <c r="BK1895" i="1"/>
  <c r="BR1895" i="1"/>
  <c r="BH1896" i="1"/>
  <c r="BJ1896" i="1"/>
  <c r="BK1896" i="1"/>
  <c r="BR1896" i="1"/>
  <c r="BH1897" i="1"/>
  <c r="BJ1897" i="1"/>
  <c r="BK1897" i="1"/>
  <c r="BR1897" i="1"/>
  <c r="BH1898" i="1"/>
  <c r="BJ1898" i="1"/>
  <c r="BK1898" i="1"/>
  <c r="BR1898" i="1"/>
  <c r="BH1899" i="1"/>
  <c r="BJ1899" i="1"/>
  <c r="BK1899" i="1"/>
  <c r="BR1899" i="1"/>
  <c r="BJ1900" i="1"/>
  <c r="BK1900" i="1"/>
  <c r="BR1900" i="1"/>
  <c r="BJ1901" i="1"/>
  <c r="BK1901" i="1"/>
  <c r="BR1901" i="1"/>
  <c r="BJ1902" i="1"/>
  <c r="BK1902" i="1"/>
  <c r="BR1902" i="1"/>
  <c r="BJ1903" i="1"/>
  <c r="BK1903" i="1"/>
  <c r="BR1903" i="1"/>
  <c r="BJ1904" i="1"/>
  <c r="BK1904" i="1"/>
  <c r="BR1904" i="1"/>
  <c r="BJ1905" i="1"/>
  <c r="BK1905" i="1"/>
  <c r="BR1905" i="1"/>
  <c r="BJ1906" i="1"/>
  <c r="BK1906" i="1"/>
  <c r="BR1906" i="1"/>
  <c r="BJ1907" i="1"/>
  <c r="BK1907" i="1"/>
  <c r="BR1907" i="1"/>
  <c r="BJ1908" i="1"/>
  <c r="BK1908" i="1"/>
  <c r="BR1908" i="1"/>
  <c r="BJ1909" i="1"/>
  <c r="BK1909" i="1"/>
  <c r="BR1909" i="1"/>
  <c r="BJ1910" i="1"/>
  <c r="BK1910" i="1"/>
  <c r="BR1910" i="1"/>
  <c r="BJ1911" i="1"/>
  <c r="BK1911" i="1"/>
  <c r="BR1911" i="1"/>
  <c r="BJ1912" i="1"/>
  <c r="BK1912" i="1"/>
  <c r="BR1912" i="1"/>
  <c r="BJ1913" i="1"/>
  <c r="BK1913" i="1"/>
  <c r="BR1913" i="1"/>
  <c r="BJ1914" i="1"/>
  <c r="BK1914" i="1"/>
  <c r="BR1914" i="1"/>
  <c r="BJ1915" i="1"/>
  <c r="BK1915" i="1"/>
  <c r="BR1915" i="1"/>
  <c r="BJ1916" i="1"/>
  <c r="BK1916" i="1"/>
  <c r="BR1916" i="1"/>
  <c r="BJ1917" i="1"/>
  <c r="BK1917" i="1"/>
  <c r="BR1917" i="1"/>
  <c r="BJ1918" i="1"/>
  <c r="BK1918" i="1"/>
  <c r="BR1918" i="1"/>
  <c r="BJ1919" i="1"/>
  <c r="BK1919" i="1"/>
  <c r="BR1919" i="1"/>
  <c r="BJ1920" i="1"/>
  <c r="BK1920" i="1"/>
  <c r="BR1920" i="1"/>
  <c r="BJ1921" i="1"/>
  <c r="BK1921" i="1"/>
  <c r="BR1921" i="1"/>
  <c r="BJ1922" i="1"/>
  <c r="BK1922" i="1"/>
  <c r="BR1922" i="1"/>
  <c r="BJ1923" i="1"/>
  <c r="BK1923" i="1"/>
  <c r="BR1923" i="1"/>
  <c r="BJ1924" i="1"/>
  <c r="BK1924" i="1"/>
  <c r="BR1924" i="1"/>
  <c r="BJ1925" i="1"/>
  <c r="BK1925" i="1"/>
  <c r="BR1925" i="1"/>
  <c r="BJ1926" i="1"/>
  <c r="BK1926" i="1"/>
  <c r="BR1926" i="1"/>
  <c r="BJ1927" i="1"/>
  <c r="BK1927" i="1"/>
  <c r="BR1927" i="1"/>
  <c r="BJ1928" i="1"/>
  <c r="BK1928" i="1"/>
  <c r="BR1928" i="1"/>
  <c r="BJ1929" i="1"/>
  <c r="BK1929" i="1"/>
  <c r="BR1929" i="1"/>
  <c r="BJ1930" i="1"/>
  <c r="BK1930" i="1"/>
  <c r="BR1930" i="1"/>
  <c r="BJ1931" i="1"/>
  <c r="BK1931" i="1"/>
  <c r="BR1931" i="1"/>
  <c r="BJ1932" i="1"/>
  <c r="BK1932" i="1"/>
  <c r="BR1932" i="1"/>
  <c r="BJ1933" i="1"/>
  <c r="BK1933" i="1"/>
  <c r="BR1933" i="1"/>
  <c r="BJ1934" i="1"/>
  <c r="BK1934" i="1"/>
  <c r="BR1934" i="1"/>
  <c r="BJ1935" i="1"/>
  <c r="BK1935" i="1"/>
  <c r="BR1935" i="1"/>
  <c r="BJ1936" i="1"/>
  <c r="BK1936" i="1"/>
  <c r="BR1936" i="1"/>
  <c r="BJ1937" i="1"/>
  <c r="BK1937" i="1"/>
  <c r="BR1937" i="1"/>
  <c r="BJ1938" i="1"/>
  <c r="BK1938" i="1"/>
  <c r="BR1938" i="1"/>
  <c r="BJ1939" i="1"/>
  <c r="BK1939" i="1"/>
  <c r="BR1939" i="1"/>
  <c r="BJ1940" i="1"/>
  <c r="BK1940" i="1"/>
  <c r="BR1940" i="1"/>
  <c r="BJ1946" i="1"/>
  <c r="BK1946" i="1"/>
  <c r="BR1946" i="1"/>
  <c r="BJ1947" i="1"/>
  <c r="BK1947" i="1"/>
  <c r="BR1947" i="1"/>
  <c r="BJ1948" i="1"/>
  <c r="BK1948" i="1"/>
  <c r="BR1948" i="1"/>
  <c r="BJ1645" i="1"/>
  <c r="BK1645" i="1"/>
  <c r="BR1645" i="1"/>
  <c r="BN1945" i="1"/>
  <c r="BN1944" i="1"/>
  <c r="BN1943" i="1"/>
  <c r="BN1942" i="1"/>
  <c r="BN1941" i="1"/>
  <c r="BN1652" i="1"/>
  <c r="BN1653" i="1"/>
  <c r="BN1654" i="1"/>
  <c r="BN1655" i="1"/>
  <c r="BN1656" i="1"/>
  <c r="BN1657" i="1"/>
  <c r="BN1658" i="1"/>
  <c r="BN1659" i="1"/>
  <c r="BN1660" i="1"/>
  <c r="BN1661" i="1"/>
  <c r="BN1662" i="1"/>
  <c r="BN1663" i="1"/>
  <c r="BN1664" i="1"/>
  <c r="BN1665" i="1"/>
  <c r="BN1666" i="1"/>
  <c r="BN1667" i="1"/>
  <c r="BN1668" i="1"/>
  <c r="BN1669" i="1"/>
  <c r="BN1670" i="1"/>
  <c r="BN1671" i="1"/>
  <c r="BN1672" i="1"/>
  <c r="BN1673" i="1"/>
  <c r="BN1674" i="1"/>
  <c r="BN1675" i="1"/>
  <c r="BN1676" i="1"/>
  <c r="BN1677" i="1"/>
  <c r="BN1678" i="1"/>
  <c r="BN1679" i="1"/>
  <c r="BN1680" i="1"/>
  <c r="BN1681" i="1"/>
  <c r="BN1682" i="1"/>
  <c r="BN1683" i="1"/>
  <c r="BN1684" i="1"/>
  <c r="BN1685" i="1"/>
  <c r="BN1686" i="1"/>
  <c r="BN1687" i="1"/>
  <c r="BN1688" i="1"/>
  <c r="BN1689" i="1"/>
  <c r="BN1690" i="1"/>
  <c r="BN1691" i="1"/>
  <c r="BN1692" i="1"/>
  <c r="BN1693" i="1"/>
  <c r="BN1694" i="1"/>
  <c r="BN1695" i="1"/>
  <c r="BN1696" i="1"/>
  <c r="BN1697" i="1"/>
  <c r="BN1698" i="1"/>
  <c r="BN1699" i="1"/>
  <c r="BN1700" i="1"/>
  <c r="BN1701" i="1"/>
  <c r="BN1702" i="1"/>
  <c r="BN1703" i="1"/>
  <c r="BN1704" i="1"/>
  <c r="BN1705" i="1"/>
  <c r="BN1706" i="1"/>
  <c r="BN1707" i="1"/>
  <c r="BN1708" i="1"/>
  <c r="BN1709" i="1"/>
  <c r="BN1710" i="1"/>
  <c r="BN1711" i="1"/>
  <c r="BN1712" i="1"/>
  <c r="BN1713" i="1"/>
  <c r="BN1714" i="1"/>
  <c r="BN1715" i="1"/>
  <c r="BN1716" i="1"/>
  <c r="BN1717" i="1"/>
  <c r="BN1718" i="1"/>
  <c r="BN1719" i="1"/>
  <c r="BN1720" i="1"/>
  <c r="BN1721" i="1"/>
  <c r="BN1722" i="1"/>
  <c r="BN1723" i="1"/>
  <c r="BN1724" i="1"/>
  <c r="BN1725" i="1"/>
  <c r="BN1726" i="1"/>
  <c r="BN1727" i="1"/>
  <c r="BN1728" i="1"/>
  <c r="BN1729" i="1"/>
  <c r="BN1730" i="1"/>
  <c r="BN1731" i="1"/>
  <c r="BN1732" i="1"/>
  <c r="BN1733" i="1"/>
  <c r="BN1734" i="1"/>
  <c r="BN1735" i="1"/>
  <c r="BN1736" i="1"/>
  <c r="BN1737" i="1"/>
  <c r="BN1738" i="1"/>
  <c r="BN1739" i="1"/>
  <c r="BN1740" i="1"/>
  <c r="BN1741" i="1"/>
  <c r="BN1742" i="1"/>
  <c r="BN1743" i="1"/>
  <c r="BN1744" i="1"/>
  <c r="BN1745" i="1"/>
  <c r="BN1746" i="1"/>
  <c r="BN1747" i="1"/>
  <c r="BN1748" i="1"/>
  <c r="BN1749" i="1"/>
  <c r="BN1750" i="1"/>
  <c r="BN1751" i="1"/>
  <c r="BN1752" i="1"/>
  <c r="BN1753" i="1"/>
  <c r="BN1754" i="1"/>
  <c r="BN1755" i="1"/>
  <c r="BN1756" i="1"/>
  <c r="BN1757" i="1"/>
  <c r="BN1758" i="1"/>
  <c r="BN1759" i="1"/>
  <c r="BN1760" i="1"/>
  <c r="BN1761" i="1"/>
  <c r="BN1762" i="1"/>
  <c r="BN1763" i="1"/>
  <c r="BN1764" i="1"/>
  <c r="BN1765" i="1"/>
  <c r="BN1766" i="1"/>
  <c r="BN1767" i="1"/>
  <c r="BN1768" i="1"/>
  <c r="BN1769" i="1"/>
  <c r="BN1770" i="1"/>
  <c r="BN1771" i="1"/>
  <c r="BN1772" i="1"/>
  <c r="BN1773" i="1"/>
  <c r="BN1774" i="1"/>
  <c r="BN1775" i="1"/>
  <c r="BN1776" i="1"/>
  <c r="BN1777" i="1"/>
  <c r="BN1778" i="1"/>
  <c r="BN1779" i="1"/>
  <c r="BN1780" i="1"/>
  <c r="BN1781" i="1"/>
  <c r="BN1782" i="1"/>
  <c r="BN1783" i="1"/>
  <c r="BN1784" i="1"/>
  <c r="BN1785" i="1"/>
  <c r="BN1786" i="1"/>
  <c r="BN1787" i="1"/>
  <c r="BN1788" i="1"/>
  <c r="BN1789" i="1"/>
  <c r="BN1790" i="1"/>
  <c r="BN1791" i="1"/>
  <c r="BN1792" i="1"/>
  <c r="BN1793" i="1"/>
  <c r="BN1794" i="1"/>
  <c r="BN1795" i="1"/>
  <c r="BN1796" i="1"/>
  <c r="BN1797" i="1"/>
  <c r="BN1798" i="1"/>
  <c r="BN1799" i="1"/>
  <c r="BN1800" i="1"/>
  <c r="BN1801" i="1"/>
  <c r="BN1802" i="1"/>
  <c r="BN1803" i="1"/>
  <c r="BN1804" i="1"/>
  <c r="BN1805" i="1"/>
  <c r="BN1806" i="1"/>
  <c r="BN1807" i="1"/>
  <c r="BN1808" i="1"/>
  <c r="BN1809" i="1"/>
  <c r="BN1810" i="1"/>
  <c r="BN1811" i="1"/>
  <c r="BN1812" i="1"/>
  <c r="BN1813" i="1"/>
  <c r="BN1814" i="1"/>
  <c r="BN1815" i="1"/>
  <c r="BN1816" i="1"/>
  <c r="BN1817" i="1"/>
  <c r="BN1818" i="1"/>
  <c r="BN1819" i="1"/>
  <c r="BN1820" i="1"/>
  <c r="BN1821" i="1"/>
  <c r="BN1822" i="1"/>
  <c r="BN1823" i="1"/>
  <c r="BN1824" i="1"/>
  <c r="BN1825" i="1"/>
  <c r="BN1826" i="1"/>
  <c r="BN1827" i="1"/>
  <c r="BN1828" i="1"/>
  <c r="BN1829" i="1"/>
  <c r="BN1830" i="1"/>
  <c r="BN1831" i="1"/>
  <c r="BN1832" i="1"/>
  <c r="BN1833" i="1"/>
  <c r="BN1834" i="1"/>
  <c r="BN1835" i="1"/>
  <c r="BN1836" i="1"/>
  <c r="BN1837" i="1"/>
  <c r="BN1838" i="1"/>
  <c r="BN1839" i="1"/>
  <c r="BN1840" i="1"/>
  <c r="BN1841" i="1"/>
  <c r="BN1842" i="1"/>
  <c r="BN1843" i="1"/>
  <c r="BN1844" i="1"/>
  <c r="BN1845" i="1"/>
  <c r="BN1846" i="1"/>
  <c r="BN1847" i="1"/>
  <c r="BN1848" i="1"/>
  <c r="BN1849" i="1"/>
  <c r="BN1850" i="1"/>
  <c r="BN1851" i="1"/>
  <c r="BN1852" i="1"/>
  <c r="BN1853" i="1"/>
  <c r="BN1854" i="1"/>
  <c r="BN1855" i="1"/>
  <c r="BN1856" i="1"/>
  <c r="BN1857" i="1"/>
  <c r="BN1858" i="1"/>
  <c r="BN1859" i="1"/>
  <c r="BN1860" i="1"/>
  <c r="BN1861" i="1"/>
  <c r="BN1862" i="1"/>
  <c r="BN1863" i="1"/>
  <c r="BN1864" i="1"/>
  <c r="BN1865" i="1"/>
  <c r="BN1866" i="1"/>
  <c r="BN1867" i="1"/>
  <c r="BN1868" i="1"/>
  <c r="BN1869" i="1"/>
  <c r="BN1870" i="1"/>
  <c r="BN1871" i="1"/>
  <c r="BN1872" i="1"/>
  <c r="BN1873" i="1"/>
  <c r="BN1874" i="1"/>
  <c r="BN1875" i="1"/>
  <c r="BN1876" i="1"/>
  <c r="BN1877" i="1"/>
  <c r="BN1878" i="1"/>
  <c r="BN1879" i="1"/>
  <c r="BN1880" i="1"/>
  <c r="BN1881" i="1"/>
  <c r="BN1882" i="1"/>
  <c r="BN1883" i="1"/>
  <c r="BN1884" i="1"/>
  <c r="BN1885" i="1"/>
  <c r="BN1886" i="1"/>
  <c r="BN1887" i="1"/>
  <c r="BN1888" i="1"/>
  <c r="BN1889" i="1"/>
  <c r="BN1890" i="1"/>
  <c r="BN1891" i="1"/>
  <c r="BN1892" i="1"/>
  <c r="BN1893" i="1"/>
  <c r="BN1894" i="1"/>
  <c r="BN1895" i="1"/>
  <c r="BN1896" i="1"/>
  <c r="BN1897" i="1"/>
  <c r="BN1898" i="1"/>
  <c r="BN1899" i="1"/>
  <c r="BN1900" i="1"/>
  <c r="BN1901" i="1"/>
  <c r="BN1902" i="1"/>
  <c r="BN1903" i="1"/>
  <c r="BN1904" i="1"/>
  <c r="BN1905" i="1"/>
  <c r="BN1906" i="1"/>
  <c r="BN1907" i="1"/>
  <c r="BN1908" i="1"/>
  <c r="BN1909" i="1"/>
  <c r="BN1910" i="1"/>
  <c r="BN1911" i="1"/>
  <c r="BN1912" i="1"/>
  <c r="BN1913" i="1"/>
  <c r="BN1914" i="1"/>
  <c r="BN1915" i="1"/>
  <c r="BN1916" i="1"/>
  <c r="BN1917" i="1"/>
  <c r="BN1918" i="1"/>
  <c r="BN1919" i="1"/>
  <c r="BN1920" i="1"/>
  <c r="BN1921" i="1"/>
  <c r="BN1922" i="1"/>
  <c r="BN1923" i="1"/>
  <c r="BN1924" i="1"/>
  <c r="BN1925" i="1"/>
  <c r="BN1926" i="1"/>
  <c r="BN1927" i="1"/>
  <c r="BN1928" i="1"/>
  <c r="BN1929" i="1"/>
  <c r="BN1930" i="1"/>
  <c r="BN1931" i="1"/>
  <c r="BN1932" i="1"/>
  <c r="BN1933" i="1"/>
  <c r="BN1934" i="1"/>
  <c r="BN1935" i="1"/>
  <c r="BN1936" i="1"/>
  <c r="BN1937" i="1"/>
  <c r="BN1938" i="1"/>
  <c r="BN1939" i="1"/>
  <c r="BN1940" i="1"/>
  <c r="BN1946" i="1"/>
  <c r="BN1947" i="1"/>
  <c r="BN1948" i="1"/>
  <c r="BN1645" i="1"/>
  <c r="BH1900" i="1"/>
  <c r="BH1901" i="1"/>
  <c r="BH1902" i="1"/>
  <c r="BH1903" i="1"/>
  <c r="BH1904" i="1"/>
  <c r="BH1905" i="1"/>
  <c r="BH1906" i="1"/>
  <c r="BH1907" i="1"/>
  <c r="BH1908" i="1"/>
  <c r="BH1909" i="1"/>
  <c r="BH1910" i="1"/>
  <c r="BH1911" i="1"/>
  <c r="BH1912" i="1"/>
  <c r="BH1913" i="1"/>
  <c r="BH1914" i="1"/>
  <c r="BH1915" i="1"/>
  <c r="BH1916" i="1"/>
  <c r="BH1917" i="1"/>
  <c r="BH1918" i="1"/>
  <c r="BH1919" i="1"/>
  <c r="BH1920" i="1"/>
  <c r="BH1921" i="1"/>
  <c r="BH1922" i="1"/>
  <c r="BH1923" i="1"/>
  <c r="BH1924" i="1"/>
  <c r="BH1925" i="1"/>
  <c r="BH1926" i="1"/>
  <c r="BH1927" i="1"/>
  <c r="BH1928" i="1"/>
  <c r="BH1929" i="1"/>
  <c r="BH1930" i="1"/>
  <c r="BH1931" i="1"/>
  <c r="BH1932" i="1"/>
  <c r="BH1933" i="1"/>
  <c r="BH1934" i="1"/>
  <c r="BH1935" i="1"/>
  <c r="BH1936" i="1"/>
  <c r="BH1937" i="1"/>
  <c r="BH1938" i="1"/>
  <c r="BH1939" i="1"/>
  <c r="BH1940" i="1"/>
  <c r="BH1946" i="1"/>
  <c r="BH1947" i="1"/>
  <c r="BH1948" i="1"/>
  <c r="BS1945" i="1"/>
  <c r="BS1944" i="1"/>
  <c r="BS1943" i="1"/>
  <c r="BS1942" i="1"/>
  <c r="BS1941" i="1"/>
  <c r="BS1652" i="1"/>
  <c r="BS1653" i="1"/>
  <c r="BS1654" i="1"/>
  <c r="BS1655" i="1"/>
  <c r="BS1656" i="1"/>
  <c r="BS1657" i="1"/>
  <c r="BS1658" i="1"/>
  <c r="BS1659" i="1"/>
  <c r="BS1660" i="1"/>
  <c r="BS1661" i="1"/>
  <c r="BS1662" i="1"/>
  <c r="BS1663" i="1"/>
  <c r="BS1664" i="1"/>
  <c r="BS1665" i="1"/>
  <c r="BS1666" i="1"/>
  <c r="BS1667" i="1"/>
  <c r="BS1668" i="1"/>
  <c r="BS1669" i="1"/>
  <c r="BS1670" i="1"/>
  <c r="BS1671" i="1"/>
  <c r="BS1672" i="1"/>
  <c r="BS1673" i="1"/>
  <c r="BS1674" i="1"/>
  <c r="BS1675" i="1"/>
  <c r="BS1676" i="1"/>
  <c r="BS1677" i="1"/>
  <c r="BS1678" i="1"/>
  <c r="BS1679" i="1"/>
  <c r="BS1680" i="1"/>
  <c r="BS1681" i="1"/>
  <c r="BS1682" i="1"/>
  <c r="BS1683" i="1"/>
  <c r="BS1684" i="1"/>
  <c r="BS1685" i="1"/>
  <c r="BS1686" i="1"/>
  <c r="BS1687" i="1"/>
  <c r="BS1688" i="1"/>
  <c r="BS1689" i="1"/>
  <c r="BS1690" i="1"/>
  <c r="BS1691" i="1"/>
  <c r="BS1692" i="1"/>
  <c r="BS1693" i="1"/>
  <c r="BS1694" i="1"/>
  <c r="BS1695" i="1"/>
  <c r="BS1696" i="1"/>
  <c r="BS1697" i="1"/>
  <c r="BS1698" i="1"/>
  <c r="BS1699" i="1"/>
  <c r="BS1700" i="1"/>
  <c r="BS1701" i="1"/>
  <c r="BS1702" i="1"/>
  <c r="BS1703" i="1"/>
  <c r="BS1704" i="1"/>
  <c r="BS1705" i="1"/>
  <c r="BS1706" i="1"/>
  <c r="BS1707" i="1"/>
  <c r="BS1708" i="1"/>
  <c r="BS1709" i="1"/>
  <c r="BS1710" i="1"/>
  <c r="BS1711" i="1"/>
  <c r="BS1712" i="1"/>
  <c r="BS1713" i="1"/>
  <c r="BS1714" i="1"/>
  <c r="BS1715" i="1"/>
  <c r="BS1716" i="1"/>
  <c r="BS1717" i="1"/>
  <c r="BS1718" i="1"/>
  <c r="BS1719" i="1"/>
  <c r="BS1720" i="1"/>
  <c r="BS1721" i="1"/>
  <c r="BS1722" i="1"/>
  <c r="BS1723" i="1"/>
  <c r="BS1724" i="1"/>
  <c r="BS1725" i="1"/>
  <c r="BS1726" i="1"/>
  <c r="BS1727" i="1"/>
  <c r="BS1728" i="1"/>
  <c r="BS1729" i="1"/>
  <c r="BS1730" i="1"/>
  <c r="BS1731" i="1"/>
  <c r="BS1732" i="1"/>
  <c r="BS1733" i="1"/>
  <c r="BS1734" i="1"/>
  <c r="BS1735" i="1"/>
  <c r="BS1736" i="1"/>
  <c r="BS1737" i="1"/>
  <c r="BS1738" i="1"/>
  <c r="BS1739" i="1"/>
  <c r="BS1740" i="1"/>
  <c r="BS1741" i="1"/>
  <c r="BS1742" i="1"/>
  <c r="BS1743" i="1"/>
  <c r="BS1744" i="1"/>
  <c r="BS1745" i="1"/>
  <c r="BS1746" i="1"/>
  <c r="BS1747" i="1"/>
  <c r="BS1748" i="1"/>
  <c r="BS1749" i="1"/>
  <c r="BS1750" i="1"/>
  <c r="BS1751" i="1"/>
  <c r="BS1752" i="1"/>
  <c r="BS1753" i="1"/>
  <c r="BS1754" i="1"/>
  <c r="BS1755" i="1"/>
  <c r="BS1756" i="1"/>
  <c r="BS1757" i="1"/>
  <c r="BS1758" i="1"/>
  <c r="BS1759" i="1"/>
  <c r="BS1760" i="1"/>
  <c r="BS1761" i="1"/>
  <c r="BS1762" i="1"/>
  <c r="BS1763" i="1"/>
  <c r="BS1764" i="1"/>
  <c r="BS1765" i="1"/>
  <c r="BS1766" i="1"/>
  <c r="BS1767" i="1"/>
  <c r="BS1768" i="1"/>
  <c r="BS1769" i="1"/>
  <c r="BS1770" i="1"/>
  <c r="BS1771" i="1"/>
  <c r="BS1772" i="1"/>
  <c r="BS1773" i="1"/>
  <c r="BS1774" i="1"/>
  <c r="BS1775" i="1"/>
  <c r="BS1776" i="1"/>
  <c r="BS1777" i="1"/>
  <c r="BS1778" i="1"/>
  <c r="BS1779" i="1"/>
  <c r="BS1780" i="1"/>
  <c r="BS1781" i="1"/>
  <c r="BS1782" i="1"/>
  <c r="BS1783" i="1"/>
  <c r="BS1784" i="1"/>
  <c r="BS1785" i="1"/>
  <c r="BS1786" i="1"/>
  <c r="BS1787" i="1"/>
  <c r="BS1788" i="1"/>
  <c r="BS1789" i="1"/>
  <c r="BS1790" i="1"/>
  <c r="BS1791" i="1"/>
  <c r="BS1792" i="1"/>
  <c r="BS1793" i="1"/>
  <c r="BS1794" i="1"/>
  <c r="BS1795" i="1"/>
  <c r="BS1796" i="1"/>
  <c r="BS1797" i="1"/>
  <c r="BS1798" i="1"/>
  <c r="BS1799" i="1"/>
  <c r="BS1800" i="1"/>
  <c r="BS1801" i="1"/>
  <c r="BS1802" i="1"/>
  <c r="BS1803" i="1"/>
  <c r="BS1804" i="1"/>
  <c r="BS1805" i="1"/>
  <c r="BS1806" i="1"/>
  <c r="BS1807" i="1"/>
  <c r="BS1808" i="1"/>
  <c r="BS1809" i="1"/>
  <c r="BS1810" i="1"/>
  <c r="BS1811" i="1"/>
  <c r="BS1812" i="1"/>
  <c r="BS1813" i="1"/>
  <c r="BS1814" i="1"/>
  <c r="BS1815" i="1"/>
  <c r="BS1816" i="1"/>
  <c r="BS1817" i="1"/>
  <c r="BS1818" i="1"/>
  <c r="BS1819" i="1"/>
  <c r="BS1820" i="1"/>
  <c r="BS1821" i="1"/>
  <c r="BS1822" i="1"/>
  <c r="BS1823" i="1"/>
  <c r="BS1824" i="1"/>
  <c r="BS1825" i="1"/>
  <c r="BS1826" i="1"/>
  <c r="BS1827" i="1"/>
  <c r="BS1828" i="1"/>
  <c r="BS1829" i="1"/>
  <c r="BS1830" i="1"/>
  <c r="BS1831" i="1"/>
  <c r="BS1832" i="1"/>
  <c r="BS1833" i="1"/>
  <c r="BS1834" i="1"/>
  <c r="BS1835" i="1"/>
  <c r="BS1836" i="1"/>
  <c r="BS1837" i="1"/>
  <c r="BS1838" i="1"/>
  <c r="BS1839" i="1"/>
  <c r="BS1840" i="1"/>
  <c r="BS1841" i="1"/>
  <c r="BS1842" i="1"/>
  <c r="BS1843" i="1"/>
  <c r="BS1844" i="1"/>
  <c r="BS1845" i="1"/>
  <c r="BS1846" i="1"/>
  <c r="BS1847" i="1"/>
  <c r="BS1848" i="1"/>
  <c r="BS1849" i="1"/>
  <c r="BS1850" i="1"/>
  <c r="BS1851" i="1"/>
  <c r="BS1852" i="1"/>
  <c r="BS1853" i="1"/>
  <c r="BS1854" i="1"/>
  <c r="BS1855" i="1"/>
  <c r="BS1856" i="1"/>
  <c r="BS1857" i="1"/>
  <c r="BS1858" i="1"/>
  <c r="BS1859" i="1"/>
  <c r="BS1860" i="1"/>
  <c r="BS1861" i="1"/>
  <c r="BS1862" i="1"/>
  <c r="BS1863" i="1"/>
  <c r="BS1864" i="1"/>
  <c r="BS1865" i="1"/>
  <c r="BS1866" i="1"/>
  <c r="BS1867" i="1"/>
  <c r="BS1868" i="1"/>
  <c r="BS1869" i="1"/>
  <c r="BS1870" i="1"/>
  <c r="BS1871" i="1"/>
  <c r="BS1872" i="1"/>
  <c r="BS1873" i="1"/>
  <c r="BS1874" i="1"/>
  <c r="BS1875" i="1"/>
  <c r="BS1876" i="1"/>
  <c r="BS1877" i="1"/>
  <c r="BS1878" i="1"/>
  <c r="BS1879" i="1"/>
  <c r="BS1880" i="1"/>
  <c r="BS1881" i="1"/>
  <c r="BS1882" i="1"/>
  <c r="BS1883" i="1"/>
  <c r="BS1884" i="1"/>
  <c r="BS1885" i="1"/>
  <c r="BS1886" i="1"/>
  <c r="BS1887" i="1"/>
  <c r="BS1888" i="1"/>
  <c r="BS1889" i="1"/>
  <c r="BS1890" i="1"/>
  <c r="BS1891" i="1"/>
  <c r="BS1892" i="1"/>
  <c r="BS1893" i="1"/>
  <c r="BS1894" i="1"/>
  <c r="BS1895" i="1"/>
  <c r="BS1896" i="1"/>
  <c r="BS1897" i="1"/>
  <c r="BS1898" i="1"/>
  <c r="BS1899" i="1"/>
  <c r="BS1645" i="1"/>
  <c r="BO1945" i="1"/>
  <c r="BO1944" i="1"/>
  <c r="BO1943" i="1"/>
  <c r="BO1942" i="1"/>
  <c r="BO1941" i="1"/>
  <c r="BO1652" i="1"/>
  <c r="BO1653" i="1"/>
  <c r="BO1654" i="1"/>
  <c r="BO1655" i="1"/>
  <c r="BO1656" i="1"/>
  <c r="BO1657" i="1"/>
  <c r="BO1658" i="1"/>
  <c r="BO1659" i="1"/>
  <c r="BO1660" i="1"/>
  <c r="BO1661" i="1"/>
  <c r="BO1662" i="1"/>
  <c r="BO1663" i="1"/>
  <c r="BO1664" i="1"/>
  <c r="BO1665" i="1"/>
  <c r="BO1666" i="1"/>
  <c r="BO1667" i="1"/>
  <c r="BO1668" i="1"/>
  <c r="BO1669" i="1"/>
  <c r="BO1670" i="1"/>
  <c r="BO1671" i="1"/>
  <c r="BO1672" i="1"/>
  <c r="BO1673" i="1"/>
  <c r="BO1674" i="1"/>
  <c r="BO1675" i="1"/>
  <c r="BO1676" i="1"/>
  <c r="BO1677" i="1"/>
  <c r="BO1678" i="1"/>
  <c r="BO1679" i="1"/>
  <c r="BO1680" i="1"/>
  <c r="BO1681" i="1"/>
  <c r="BO1682" i="1"/>
  <c r="BO1683" i="1"/>
  <c r="BO1684" i="1"/>
  <c r="BO1685" i="1"/>
  <c r="BO1686" i="1"/>
  <c r="BO1687" i="1"/>
  <c r="BO1688" i="1"/>
  <c r="BO1689" i="1"/>
  <c r="BO1690" i="1"/>
  <c r="BO1691" i="1"/>
  <c r="BO1692" i="1"/>
  <c r="BO1693" i="1"/>
  <c r="BO1694" i="1"/>
  <c r="BO1695" i="1"/>
  <c r="BO1696" i="1"/>
  <c r="BO1697" i="1"/>
  <c r="BO1698" i="1"/>
  <c r="BO1699" i="1"/>
  <c r="BO1700" i="1"/>
  <c r="BO1701" i="1"/>
  <c r="BO1702" i="1"/>
  <c r="BO1703" i="1"/>
  <c r="BO1704" i="1"/>
  <c r="BO1705" i="1"/>
  <c r="BO1706" i="1"/>
  <c r="BO1707" i="1"/>
  <c r="BO1708" i="1"/>
  <c r="BO1709" i="1"/>
  <c r="BO1710" i="1"/>
  <c r="BO1711" i="1"/>
  <c r="BO1712" i="1"/>
  <c r="BO1713" i="1"/>
  <c r="BO1714" i="1"/>
  <c r="BO1715" i="1"/>
  <c r="BO1716" i="1"/>
  <c r="BO1717" i="1"/>
  <c r="BO1718" i="1"/>
  <c r="BO1719" i="1"/>
  <c r="BO1720" i="1"/>
  <c r="BO1721" i="1"/>
  <c r="BO1722" i="1"/>
  <c r="BO1723" i="1"/>
  <c r="BO1724" i="1"/>
  <c r="BO1725" i="1"/>
  <c r="BO1726" i="1"/>
  <c r="BO1727" i="1"/>
  <c r="BO1728" i="1"/>
  <c r="BO1729" i="1"/>
  <c r="BO1730" i="1"/>
  <c r="BO1731" i="1"/>
  <c r="BO1732" i="1"/>
  <c r="BO1733" i="1"/>
  <c r="BO1734" i="1"/>
  <c r="BO1735" i="1"/>
  <c r="BO1736" i="1"/>
  <c r="BO1737" i="1"/>
  <c r="BO1738" i="1"/>
  <c r="BO1739" i="1"/>
  <c r="BO1740" i="1"/>
  <c r="BO1741" i="1"/>
  <c r="BO1742" i="1"/>
  <c r="BO1743" i="1"/>
  <c r="BO1744" i="1"/>
  <c r="BO1745" i="1"/>
  <c r="BO1746" i="1"/>
  <c r="BO1747" i="1"/>
  <c r="BO1748" i="1"/>
  <c r="BO1749" i="1"/>
  <c r="BO1750" i="1"/>
  <c r="BO1751" i="1"/>
  <c r="BO1752" i="1"/>
  <c r="BO1753" i="1"/>
  <c r="BO1754" i="1"/>
  <c r="BO1755" i="1"/>
  <c r="BO1756" i="1"/>
  <c r="BO1757" i="1"/>
  <c r="BO1758" i="1"/>
  <c r="BO1759" i="1"/>
  <c r="BO1760" i="1"/>
  <c r="BO1761" i="1"/>
  <c r="BO1762" i="1"/>
  <c r="BO1763" i="1"/>
  <c r="BO1764" i="1"/>
  <c r="BO1765" i="1"/>
  <c r="BO1766" i="1"/>
  <c r="BO1767" i="1"/>
  <c r="BO1768" i="1"/>
  <c r="BO1769" i="1"/>
  <c r="BO1770" i="1"/>
  <c r="BO1771" i="1"/>
  <c r="BO1772" i="1"/>
  <c r="BO1773" i="1"/>
  <c r="BO1774" i="1"/>
  <c r="BO1775" i="1"/>
  <c r="BO1776" i="1"/>
  <c r="BO1777" i="1"/>
  <c r="BO1778" i="1"/>
  <c r="BO1779" i="1"/>
  <c r="BO1780" i="1"/>
  <c r="BO1781" i="1"/>
  <c r="BO1782" i="1"/>
  <c r="BO1783" i="1"/>
  <c r="BO1784" i="1"/>
  <c r="BO1785" i="1"/>
  <c r="BO1786" i="1"/>
  <c r="BO1787" i="1"/>
  <c r="BO1788" i="1"/>
  <c r="BO1789" i="1"/>
  <c r="BO1790" i="1"/>
  <c r="BO1791" i="1"/>
  <c r="BO1792" i="1"/>
  <c r="BO1793" i="1"/>
  <c r="BO1794" i="1"/>
  <c r="BO1795" i="1"/>
  <c r="BO1796" i="1"/>
  <c r="BO1797" i="1"/>
  <c r="BO1798" i="1"/>
  <c r="BO1799" i="1"/>
  <c r="BO1800" i="1"/>
  <c r="BO1801" i="1"/>
  <c r="BO1802" i="1"/>
  <c r="BO1803" i="1"/>
  <c r="BO1804" i="1"/>
  <c r="BO1805" i="1"/>
  <c r="BO1806" i="1"/>
  <c r="BO1807" i="1"/>
  <c r="BO1808" i="1"/>
  <c r="BO1809" i="1"/>
  <c r="BO1810" i="1"/>
  <c r="BO1811" i="1"/>
  <c r="BO1812" i="1"/>
  <c r="BO1813" i="1"/>
  <c r="BO1814" i="1"/>
  <c r="BO1815" i="1"/>
  <c r="BO1816" i="1"/>
  <c r="BO1817" i="1"/>
  <c r="BO1818" i="1"/>
  <c r="BO1819" i="1"/>
  <c r="BO1820" i="1"/>
  <c r="BO1821" i="1"/>
  <c r="BO1822" i="1"/>
  <c r="BO1823" i="1"/>
  <c r="BO1824" i="1"/>
  <c r="BO1825" i="1"/>
  <c r="BO1826" i="1"/>
  <c r="BO1827" i="1"/>
  <c r="BO1828" i="1"/>
  <c r="BO1829" i="1"/>
  <c r="BO1830" i="1"/>
  <c r="BO1831" i="1"/>
  <c r="BO1832" i="1"/>
  <c r="BO1833" i="1"/>
  <c r="BO1834" i="1"/>
  <c r="BO1835" i="1"/>
  <c r="BO1836" i="1"/>
  <c r="BO1837" i="1"/>
  <c r="BO1838" i="1"/>
  <c r="BO1839" i="1"/>
  <c r="BO1840" i="1"/>
  <c r="BO1841" i="1"/>
  <c r="BO1842" i="1"/>
  <c r="BO1843" i="1"/>
  <c r="BO1844" i="1"/>
  <c r="BO1845" i="1"/>
  <c r="BO1846" i="1"/>
  <c r="BO1847" i="1"/>
  <c r="BO1848" i="1"/>
  <c r="BO1849" i="1"/>
  <c r="BO1850" i="1"/>
  <c r="BO1851" i="1"/>
  <c r="BO1852" i="1"/>
  <c r="BO1853" i="1"/>
  <c r="BO1854" i="1"/>
  <c r="BO1855" i="1"/>
  <c r="BO1856" i="1"/>
  <c r="BO1857" i="1"/>
  <c r="BO1858" i="1"/>
  <c r="BO1859" i="1"/>
  <c r="BO1860" i="1"/>
  <c r="BO1861" i="1"/>
  <c r="BO1862" i="1"/>
  <c r="BO1863" i="1"/>
  <c r="BO1864" i="1"/>
  <c r="BO1865" i="1"/>
  <c r="BO1866" i="1"/>
  <c r="BO1867" i="1"/>
  <c r="BO1868" i="1"/>
  <c r="BO1869" i="1"/>
  <c r="BO1870" i="1"/>
  <c r="BO1871" i="1"/>
  <c r="BO1872" i="1"/>
  <c r="BO1873" i="1"/>
  <c r="BO1874" i="1"/>
  <c r="BO1875" i="1"/>
  <c r="BO1876" i="1"/>
  <c r="BO1877" i="1"/>
  <c r="BO1878" i="1"/>
  <c r="BO1879" i="1"/>
  <c r="BO1880" i="1"/>
  <c r="BO1881" i="1"/>
  <c r="BO1882" i="1"/>
  <c r="BO1883" i="1"/>
  <c r="BO1884" i="1"/>
  <c r="BO1885" i="1"/>
  <c r="BO1886" i="1"/>
  <c r="BO1887" i="1"/>
  <c r="BO1888" i="1"/>
  <c r="BO1889" i="1"/>
  <c r="BO1890" i="1"/>
  <c r="BO1891" i="1"/>
  <c r="BO1892" i="1"/>
  <c r="BO1893" i="1"/>
  <c r="BO1894" i="1"/>
  <c r="BO1895" i="1"/>
  <c r="BO1896" i="1"/>
  <c r="BO1897" i="1"/>
  <c r="BO1898" i="1"/>
  <c r="BO1899" i="1"/>
  <c r="BO1900" i="1"/>
  <c r="BO1901" i="1"/>
  <c r="BO1902" i="1"/>
  <c r="BO1903" i="1"/>
  <c r="BO1904" i="1"/>
  <c r="BO1905" i="1"/>
  <c r="BO1906" i="1"/>
  <c r="BO1907" i="1"/>
  <c r="BO1908" i="1"/>
  <c r="BO1909" i="1"/>
  <c r="BO1910" i="1"/>
  <c r="BO1911" i="1"/>
  <c r="BO1912" i="1"/>
  <c r="BO1913" i="1"/>
  <c r="BO1914" i="1"/>
  <c r="BO1915" i="1"/>
  <c r="BO1916" i="1"/>
  <c r="BO1917" i="1"/>
  <c r="BO1918" i="1"/>
  <c r="BO1919" i="1"/>
  <c r="BO1920" i="1"/>
  <c r="BO1921" i="1"/>
  <c r="BO1922" i="1"/>
  <c r="BO1923" i="1"/>
  <c r="BO1924" i="1"/>
  <c r="BO1925" i="1"/>
  <c r="BO1926" i="1"/>
  <c r="BO1927" i="1"/>
  <c r="BO1928" i="1"/>
  <c r="BO1929" i="1"/>
  <c r="BO1930" i="1"/>
  <c r="BO1931" i="1"/>
  <c r="BO1932" i="1"/>
  <c r="BO1933" i="1"/>
  <c r="BO1934" i="1"/>
  <c r="BO1935" i="1"/>
  <c r="BO1936" i="1"/>
  <c r="BO1937" i="1"/>
  <c r="BO1938" i="1"/>
  <c r="BO1939" i="1"/>
  <c r="BO1940" i="1"/>
  <c r="BO1946" i="1"/>
  <c r="BO1947" i="1"/>
  <c r="BO1948" i="1"/>
  <c r="BO1645" i="1"/>
  <c r="BS1900" i="1"/>
  <c r="BS1901" i="1"/>
  <c r="BS1902" i="1"/>
  <c r="BS1903" i="1"/>
  <c r="BS1904" i="1"/>
  <c r="BS1905" i="1"/>
  <c r="BS1906" i="1"/>
  <c r="BS1907" i="1"/>
  <c r="BS1908" i="1"/>
  <c r="BS1909" i="1"/>
  <c r="BS1910" i="1"/>
  <c r="BS1911" i="1"/>
  <c r="BS1912" i="1"/>
  <c r="BS1913" i="1"/>
  <c r="BS1914" i="1"/>
  <c r="BS1915" i="1"/>
  <c r="BS1916" i="1"/>
  <c r="BS1917" i="1"/>
  <c r="BS1918" i="1"/>
  <c r="BS1919" i="1"/>
  <c r="BS1920" i="1"/>
  <c r="BS1921" i="1"/>
  <c r="BS1922" i="1"/>
  <c r="BS1923" i="1"/>
  <c r="BS1924" i="1"/>
  <c r="BS1925" i="1"/>
  <c r="BS1926" i="1"/>
  <c r="BS1927" i="1"/>
  <c r="BS1928" i="1"/>
  <c r="BS1929" i="1"/>
  <c r="BS1930" i="1"/>
  <c r="BS1931" i="1"/>
  <c r="BS1932" i="1"/>
  <c r="BS1933" i="1"/>
  <c r="BS1934" i="1"/>
  <c r="BS1935" i="1"/>
  <c r="BS1936" i="1"/>
  <c r="BS1937" i="1"/>
  <c r="BS1938" i="1"/>
  <c r="BS1939" i="1"/>
  <c r="BS1940" i="1"/>
  <c r="BS1946" i="1"/>
  <c r="BS1947" i="1"/>
  <c r="BS1948" i="1"/>
  <c r="BT1945" i="1"/>
  <c r="BT1944" i="1"/>
  <c r="BT1943" i="1"/>
  <c r="BT1942" i="1"/>
  <c r="BT1941" i="1"/>
  <c r="BT1652" i="1"/>
  <c r="BT1653" i="1"/>
  <c r="BT1654" i="1"/>
  <c r="BT1655" i="1"/>
  <c r="BT1656" i="1"/>
  <c r="BT1657" i="1"/>
  <c r="BT1658" i="1"/>
  <c r="BT1659" i="1"/>
  <c r="BT1660" i="1"/>
  <c r="BT1661" i="1"/>
  <c r="BT1662" i="1"/>
  <c r="BT1663" i="1"/>
  <c r="BT1664" i="1"/>
  <c r="BT1665" i="1"/>
  <c r="BT1666" i="1"/>
  <c r="BT1667" i="1"/>
  <c r="BT1668" i="1"/>
  <c r="BT1669" i="1"/>
  <c r="BT1670" i="1"/>
  <c r="BT1671" i="1"/>
  <c r="BT1672" i="1"/>
  <c r="BT1673" i="1"/>
  <c r="BT1674" i="1"/>
  <c r="BT1675" i="1"/>
  <c r="BT1676" i="1"/>
  <c r="BT1677" i="1"/>
  <c r="BT1678" i="1"/>
  <c r="BT1679" i="1"/>
  <c r="BT1680" i="1"/>
  <c r="BT1681" i="1"/>
  <c r="BT1682" i="1"/>
  <c r="BT1683" i="1"/>
  <c r="BT1684" i="1"/>
  <c r="BT1685" i="1"/>
  <c r="BT1686" i="1"/>
  <c r="BT1687" i="1"/>
  <c r="BT1688" i="1"/>
  <c r="BT1689" i="1"/>
  <c r="BT1690" i="1"/>
  <c r="BT1691" i="1"/>
  <c r="BT1692" i="1"/>
  <c r="BT1693" i="1"/>
  <c r="BT1694" i="1"/>
  <c r="BT1695" i="1"/>
  <c r="BT1696" i="1"/>
  <c r="BT1697" i="1"/>
  <c r="BT1698" i="1"/>
  <c r="BT1699" i="1"/>
  <c r="BT1700" i="1"/>
  <c r="BT1701" i="1"/>
  <c r="BT1702" i="1"/>
  <c r="BT1703" i="1"/>
  <c r="BT1704" i="1"/>
  <c r="BT1705" i="1"/>
  <c r="BT1706" i="1"/>
  <c r="BT1707" i="1"/>
  <c r="BT1708" i="1"/>
  <c r="BT1709" i="1"/>
  <c r="BT1710" i="1"/>
  <c r="BT1711" i="1"/>
  <c r="BT1712" i="1"/>
  <c r="BT1713" i="1"/>
  <c r="BT1714" i="1"/>
  <c r="BT1715" i="1"/>
  <c r="BT1716" i="1"/>
  <c r="BT1717" i="1"/>
  <c r="BT1718" i="1"/>
  <c r="BT1719" i="1"/>
  <c r="BT1720" i="1"/>
  <c r="BT1721" i="1"/>
  <c r="BT1722" i="1"/>
  <c r="BT1723" i="1"/>
  <c r="BT1724" i="1"/>
  <c r="BT1725" i="1"/>
  <c r="BT1726" i="1"/>
  <c r="BT1727" i="1"/>
  <c r="BT1728" i="1"/>
  <c r="BT1729" i="1"/>
  <c r="BT1730" i="1"/>
  <c r="BT1731" i="1"/>
  <c r="BT1732" i="1"/>
  <c r="BT1733" i="1"/>
  <c r="BT1734" i="1"/>
  <c r="BT1735" i="1"/>
  <c r="BT1736" i="1"/>
  <c r="BT1737" i="1"/>
  <c r="BT1738" i="1"/>
  <c r="BT1739" i="1"/>
  <c r="BT1740" i="1"/>
  <c r="BT1741" i="1"/>
  <c r="BT1742" i="1"/>
  <c r="BT1743" i="1"/>
  <c r="BT1744" i="1"/>
  <c r="BT1745" i="1"/>
  <c r="BT1746" i="1"/>
  <c r="BT1747" i="1"/>
  <c r="BT1748" i="1"/>
  <c r="BT1749" i="1"/>
  <c r="BT1750" i="1"/>
  <c r="BT1751" i="1"/>
  <c r="BT1752" i="1"/>
  <c r="BT1753" i="1"/>
  <c r="BT1754" i="1"/>
  <c r="BT1755" i="1"/>
  <c r="BT1756" i="1"/>
  <c r="BT1757" i="1"/>
  <c r="BT1758" i="1"/>
  <c r="BT1759" i="1"/>
  <c r="BT1760" i="1"/>
  <c r="BT1761" i="1"/>
  <c r="BT1762" i="1"/>
  <c r="BT1763" i="1"/>
  <c r="BT1764" i="1"/>
  <c r="BT1765" i="1"/>
  <c r="BT1766" i="1"/>
  <c r="BT1767" i="1"/>
  <c r="BT1768" i="1"/>
  <c r="BT1769" i="1"/>
  <c r="BT1770" i="1"/>
  <c r="BT1771" i="1"/>
  <c r="BT1772" i="1"/>
  <c r="BT1773" i="1"/>
  <c r="BT1774" i="1"/>
  <c r="BT1775" i="1"/>
  <c r="BT1776" i="1"/>
  <c r="BT1777" i="1"/>
  <c r="BT1778" i="1"/>
  <c r="BT1779" i="1"/>
  <c r="BT1780" i="1"/>
  <c r="BT1781" i="1"/>
  <c r="BT1782" i="1"/>
  <c r="BT1783" i="1"/>
  <c r="BT1784" i="1"/>
  <c r="BT1785" i="1"/>
  <c r="BT1786" i="1"/>
  <c r="BT1787" i="1"/>
  <c r="BT1788" i="1"/>
  <c r="BT1789" i="1"/>
  <c r="BT1790" i="1"/>
  <c r="BT1791" i="1"/>
  <c r="BT1792" i="1"/>
  <c r="BT1793" i="1"/>
  <c r="BT1794" i="1"/>
  <c r="BT1795" i="1"/>
  <c r="BT1796" i="1"/>
  <c r="BT1797" i="1"/>
  <c r="BT1798" i="1"/>
  <c r="BT1799" i="1"/>
  <c r="BT1800" i="1"/>
  <c r="BT1801" i="1"/>
  <c r="BT1802" i="1"/>
  <c r="BT1803" i="1"/>
  <c r="BT1804" i="1"/>
  <c r="BT1805" i="1"/>
  <c r="BT1806" i="1"/>
  <c r="BT1807" i="1"/>
  <c r="BT1808" i="1"/>
  <c r="BT1809" i="1"/>
  <c r="BT1810" i="1"/>
  <c r="BT1811" i="1"/>
  <c r="BT1812" i="1"/>
  <c r="BT1813" i="1"/>
  <c r="BT1814" i="1"/>
  <c r="BT1815" i="1"/>
  <c r="BT1816" i="1"/>
  <c r="BT1817" i="1"/>
  <c r="BT1818" i="1"/>
  <c r="BT1819" i="1"/>
  <c r="BT1820" i="1"/>
  <c r="BT1821" i="1"/>
  <c r="BT1822" i="1"/>
  <c r="BT1823" i="1"/>
  <c r="BT1824" i="1"/>
  <c r="BT1825" i="1"/>
  <c r="BT1826" i="1"/>
  <c r="BT1827" i="1"/>
  <c r="BT1828" i="1"/>
  <c r="BT1829" i="1"/>
  <c r="BT1830" i="1"/>
  <c r="BT1831" i="1"/>
  <c r="BT1832" i="1"/>
  <c r="BT1833" i="1"/>
  <c r="BT1834" i="1"/>
  <c r="BT1835" i="1"/>
  <c r="BT1836" i="1"/>
  <c r="BT1837" i="1"/>
  <c r="BT1838" i="1"/>
  <c r="BT1839" i="1"/>
  <c r="BT1840" i="1"/>
  <c r="BT1841" i="1"/>
  <c r="BT1842" i="1"/>
  <c r="BT1843" i="1"/>
  <c r="BT1844" i="1"/>
  <c r="BT1845" i="1"/>
  <c r="BT1846" i="1"/>
  <c r="BT1847" i="1"/>
  <c r="BT1848" i="1"/>
  <c r="BT1849" i="1"/>
  <c r="BT1850" i="1"/>
  <c r="BT1851" i="1"/>
  <c r="BT1852" i="1"/>
  <c r="BT1853" i="1"/>
  <c r="BT1854" i="1"/>
  <c r="BT1855" i="1"/>
  <c r="BT1856" i="1"/>
  <c r="BT1857" i="1"/>
  <c r="BT1858" i="1"/>
  <c r="BT1859" i="1"/>
  <c r="BT1860" i="1"/>
  <c r="BT1861" i="1"/>
  <c r="BT1862" i="1"/>
  <c r="BT1863" i="1"/>
  <c r="BT1864" i="1"/>
  <c r="BT1865" i="1"/>
  <c r="BT1866" i="1"/>
  <c r="BT1867" i="1"/>
  <c r="BT1868" i="1"/>
  <c r="BT1869" i="1"/>
  <c r="BT1870" i="1"/>
  <c r="BT1871" i="1"/>
  <c r="BT1872" i="1"/>
  <c r="BT1873" i="1"/>
  <c r="BT1874" i="1"/>
  <c r="BT1875" i="1"/>
  <c r="BT1876" i="1"/>
  <c r="BT1877" i="1"/>
  <c r="BT1878" i="1"/>
  <c r="BT1879" i="1"/>
  <c r="BT1880" i="1"/>
  <c r="BT1881" i="1"/>
  <c r="BT1882" i="1"/>
  <c r="BT1883" i="1"/>
  <c r="BT1884" i="1"/>
  <c r="BT1885" i="1"/>
  <c r="BT1886" i="1"/>
  <c r="BT1887" i="1"/>
  <c r="BT1888" i="1"/>
  <c r="BT1889" i="1"/>
  <c r="BT1890" i="1"/>
  <c r="BT1891" i="1"/>
  <c r="BT1892" i="1"/>
  <c r="BT1893" i="1"/>
  <c r="BT1894" i="1"/>
  <c r="BT1895" i="1"/>
  <c r="BT1896" i="1"/>
  <c r="BT1897" i="1"/>
  <c r="BT1898" i="1"/>
  <c r="BT1645" i="1"/>
  <c r="BT1899" i="1"/>
  <c r="BT1900" i="1"/>
  <c r="BT1901" i="1"/>
  <c r="BT1902" i="1"/>
  <c r="BT1903" i="1"/>
  <c r="BT1904" i="1"/>
  <c r="BT1905" i="1"/>
  <c r="BT1906" i="1"/>
  <c r="BT1907" i="1"/>
  <c r="BT1908" i="1"/>
  <c r="BT1909" i="1"/>
  <c r="BT1910" i="1"/>
  <c r="BT1911" i="1"/>
  <c r="BT1912" i="1"/>
  <c r="BT1913" i="1"/>
  <c r="BT1914" i="1"/>
  <c r="BT1915" i="1"/>
  <c r="BT1916" i="1"/>
  <c r="BT1917" i="1"/>
  <c r="BT1918" i="1"/>
  <c r="BT1919" i="1"/>
  <c r="BT1920" i="1"/>
  <c r="BT1921" i="1"/>
  <c r="BT1922" i="1"/>
  <c r="BT1923" i="1"/>
  <c r="BT1924" i="1"/>
  <c r="BT1925" i="1"/>
  <c r="BT1926" i="1"/>
  <c r="BT1927" i="1"/>
  <c r="BT1928" i="1"/>
  <c r="BT1929" i="1"/>
  <c r="BT1930" i="1"/>
  <c r="BT1931" i="1"/>
  <c r="BT1932" i="1"/>
  <c r="BT1933" i="1"/>
  <c r="BT1934" i="1"/>
  <c r="BT1935" i="1"/>
  <c r="BT1936" i="1"/>
  <c r="BT1937" i="1"/>
  <c r="BT1938" i="1"/>
  <c r="BT1939" i="1"/>
  <c r="BT1940" i="1"/>
  <c r="BT1946" i="1"/>
  <c r="BT1947" i="1"/>
  <c r="BT1948" i="1"/>
  <c r="BU1945" i="1"/>
  <c r="BQ1945" i="1"/>
  <c r="BU1944" i="1"/>
  <c r="BQ1944" i="1"/>
  <c r="BU1943" i="1"/>
  <c r="BQ1943" i="1"/>
  <c r="BU1942" i="1"/>
  <c r="BQ1942" i="1"/>
  <c r="BU1941" i="1"/>
  <c r="BQ1941" i="1"/>
  <c r="BQ1652" i="1"/>
  <c r="BU1652" i="1"/>
  <c r="BQ1653" i="1"/>
  <c r="BU1653" i="1"/>
  <c r="BQ1654" i="1"/>
  <c r="BU1654" i="1"/>
  <c r="BQ1655" i="1"/>
  <c r="BU1655" i="1"/>
  <c r="BQ1656" i="1"/>
  <c r="BU1656" i="1"/>
  <c r="BQ1657" i="1"/>
  <c r="BU1657" i="1"/>
  <c r="BQ1658" i="1"/>
  <c r="BU1658" i="1"/>
  <c r="BQ1659" i="1"/>
  <c r="BU1659" i="1"/>
  <c r="BQ1660" i="1"/>
  <c r="BU1660" i="1"/>
  <c r="BQ1661" i="1"/>
  <c r="BU1661" i="1"/>
  <c r="BQ1662" i="1"/>
  <c r="BU1662" i="1"/>
  <c r="BQ1663" i="1"/>
  <c r="BU1663" i="1"/>
  <c r="BQ1664" i="1"/>
  <c r="BU1664" i="1"/>
  <c r="BQ1665" i="1"/>
  <c r="BU1665" i="1"/>
  <c r="BQ1666" i="1"/>
  <c r="BU1666" i="1"/>
  <c r="BQ1667" i="1"/>
  <c r="BU1667" i="1"/>
  <c r="BQ1668" i="1"/>
  <c r="BU1668" i="1"/>
  <c r="BQ1669" i="1"/>
  <c r="BU1669" i="1"/>
  <c r="BQ1670" i="1"/>
  <c r="BU1670" i="1"/>
  <c r="BQ1671" i="1"/>
  <c r="BU1671" i="1"/>
  <c r="BQ1672" i="1"/>
  <c r="BU1672" i="1"/>
  <c r="BQ1673" i="1"/>
  <c r="BU1673" i="1"/>
  <c r="BQ1674" i="1"/>
  <c r="BU1674" i="1"/>
  <c r="BQ1675" i="1"/>
  <c r="BU1675" i="1"/>
  <c r="BQ1676" i="1"/>
  <c r="BU1676" i="1"/>
  <c r="BQ1677" i="1"/>
  <c r="BU1677" i="1"/>
  <c r="BQ1678" i="1"/>
  <c r="BU1678" i="1"/>
  <c r="BQ1679" i="1"/>
  <c r="BU1679" i="1"/>
  <c r="BQ1680" i="1"/>
  <c r="BU1680" i="1"/>
  <c r="BQ1681" i="1"/>
  <c r="BU1681" i="1"/>
  <c r="BQ1682" i="1"/>
  <c r="BU1682" i="1"/>
  <c r="BQ1683" i="1"/>
  <c r="BU1683" i="1"/>
  <c r="BQ1684" i="1"/>
  <c r="BU1684" i="1"/>
  <c r="BQ1685" i="1"/>
  <c r="BU1685" i="1"/>
  <c r="BQ1686" i="1"/>
  <c r="BU1686" i="1"/>
  <c r="BQ1687" i="1"/>
  <c r="BU1687" i="1"/>
  <c r="BQ1688" i="1"/>
  <c r="BU1688" i="1"/>
  <c r="BQ1689" i="1"/>
  <c r="BU1689" i="1"/>
  <c r="BQ1690" i="1"/>
  <c r="BU1690" i="1"/>
  <c r="BQ1691" i="1"/>
  <c r="BU1691" i="1"/>
  <c r="BQ1692" i="1"/>
  <c r="BU1692" i="1"/>
  <c r="BQ1693" i="1"/>
  <c r="BU1693" i="1"/>
  <c r="BQ1694" i="1"/>
  <c r="BU1694" i="1"/>
  <c r="BQ1695" i="1"/>
  <c r="BU1695" i="1"/>
  <c r="BQ1696" i="1"/>
  <c r="BU1696" i="1"/>
  <c r="BQ1697" i="1"/>
  <c r="BU1697" i="1"/>
  <c r="BQ1698" i="1"/>
  <c r="BU1698" i="1"/>
  <c r="BQ1699" i="1"/>
  <c r="BU1699" i="1"/>
  <c r="BQ1700" i="1"/>
  <c r="BU1700" i="1"/>
  <c r="BQ1701" i="1"/>
  <c r="BU1701" i="1"/>
  <c r="BQ1702" i="1"/>
  <c r="BU1702" i="1"/>
  <c r="BQ1703" i="1"/>
  <c r="BU1703" i="1"/>
  <c r="BQ1704" i="1"/>
  <c r="BU1704" i="1"/>
  <c r="BQ1705" i="1"/>
  <c r="BU1705" i="1"/>
  <c r="BQ1706" i="1"/>
  <c r="BU1706" i="1"/>
  <c r="BQ1707" i="1"/>
  <c r="BU1707" i="1"/>
  <c r="BQ1708" i="1"/>
  <c r="BU1708" i="1"/>
  <c r="BQ1709" i="1"/>
  <c r="BU1709" i="1"/>
  <c r="BQ1710" i="1"/>
  <c r="BU1710" i="1"/>
  <c r="BQ1711" i="1"/>
  <c r="BU1711" i="1"/>
  <c r="BQ1712" i="1"/>
  <c r="BU1712" i="1"/>
  <c r="BQ1713" i="1"/>
  <c r="BU1713" i="1"/>
  <c r="BQ1714" i="1"/>
  <c r="BU1714" i="1"/>
  <c r="BQ1715" i="1"/>
  <c r="BU1715" i="1"/>
  <c r="BQ1716" i="1"/>
  <c r="BU1716" i="1"/>
  <c r="BQ1717" i="1"/>
  <c r="BU1717" i="1"/>
  <c r="BQ1718" i="1"/>
  <c r="BU1718" i="1"/>
  <c r="BQ1719" i="1"/>
  <c r="BU1719" i="1"/>
  <c r="BQ1720" i="1"/>
  <c r="BU1720" i="1"/>
  <c r="BQ1721" i="1"/>
  <c r="BU1721" i="1"/>
  <c r="BQ1722" i="1"/>
  <c r="BU1722" i="1"/>
  <c r="BQ1723" i="1"/>
  <c r="BU1723" i="1"/>
  <c r="BQ1724" i="1"/>
  <c r="BU1724" i="1"/>
  <c r="BQ1725" i="1"/>
  <c r="BU1725" i="1"/>
  <c r="BQ1726" i="1"/>
  <c r="BU1726" i="1"/>
  <c r="BQ1727" i="1"/>
  <c r="BU1727" i="1"/>
  <c r="BQ1728" i="1"/>
  <c r="BU1728" i="1"/>
  <c r="BQ1729" i="1"/>
  <c r="BU1729" i="1"/>
  <c r="BQ1730" i="1"/>
  <c r="BU1730" i="1"/>
  <c r="BQ1731" i="1"/>
  <c r="BU1731" i="1"/>
  <c r="BQ1732" i="1"/>
  <c r="BU1732" i="1"/>
  <c r="BQ1733" i="1"/>
  <c r="BU1733" i="1"/>
  <c r="BQ1734" i="1"/>
  <c r="BU1734" i="1"/>
  <c r="BQ1735" i="1"/>
  <c r="BU1735" i="1"/>
  <c r="BQ1736" i="1"/>
  <c r="BU1736" i="1"/>
  <c r="BQ1737" i="1"/>
  <c r="BU1737" i="1"/>
  <c r="BQ1738" i="1"/>
  <c r="BU1738" i="1"/>
  <c r="BQ1739" i="1"/>
  <c r="BU1739" i="1"/>
  <c r="BQ1740" i="1"/>
  <c r="BU1740" i="1"/>
  <c r="BQ1741" i="1"/>
  <c r="BU1741" i="1"/>
  <c r="BQ1742" i="1"/>
  <c r="BU1742" i="1"/>
  <c r="BQ1743" i="1"/>
  <c r="BU1743" i="1"/>
  <c r="BQ1744" i="1"/>
  <c r="BU1744" i="1"/>
  <c r="BQ1745" i="1"/>
  <c r="BU1745" i="1"/>
  <c r="BQ1746" i="1"/>
  <c r="BU1746" i="1"/>
  <c r="BQ1747" i="1"/>
  <c r="BU1747" i="1"/>
  <c r="BQ1748" i="1"/>
  <c r="BU1748" i="1"/>
  <c r="BQ1749" i="1"/>
  <c r="BU1749" i="1"/>
  <c r="BQ1750" i="1"/>
  <c r="BU1750" i="1"/>
  <c r="BQ1751" i="1"/>
  <c r="BU1751" i="1"/>
  <c r="BQ1752" i="1"/>
  <c r="BU1752" i="1"/>
  <c r="BQ1753" i="1"/>
  <c r="BU1753" i="1"/>
  <c r="BQ1754" i="1"/>
  <c r="BU1754" i="1"/>
  <c r="BQ1755" i="1"/>
  <c r="BU1755" i="1"/>
  <c r="BQ1756" i="1"/>
  <c r="BU1756" i="1"/>
  <c r="BQ1757" i="1"/>
  <c r="BU1757" i="1"/>
  <c r="BQ1758" i="1"/>
  <c r="BU1758" i="1"/>
  <c r="BQ1759" i="1"/>
  <c r="BU1759" i="1"/>
  <c r="BQ1760" i="1"/>
  <c r="BU1760" i="1"/>
  <c r="BQ1761" i="1"/>
  <c r="BU1761" i="1"/>
  <c r="BQ1762" i="1"/>
  <c r="BU1762" i="1"/>
  <c r="BQ1763" i="1"/>
  <c r="BU1763" i="1"/>
  <c r="BQ1764" i="1"/>
  <c r="BU1764" i="1"/>
  <c r="BQ1765" i="1"/>
  <c r="BU1765" i="1"/>
  <c r="BQ1766" i="1"/>
  <c r="BU1766" i="1"/>
  <c r="BQ1767" i="1"/>
  <c r="BU1767" i="1"/>
  <c r="BQ1768" i="1"/>
  <c r="BU1768" i="1"/>
  <c r="BQ1769" i="1"/>
  <c r="BU1769" i="1"/>
  <c r="BQ1770" i="1"/>
  <c r="BU1770" i="1"/>
  <c r="BQ1771" i="1"/>
  <c r="BU1771" i="1"/>
  <c r="BQ1772" i="1"/>
  <c r="BU1772" i="1"/>
  <c r="BQ1773" i="1"/>
  <c r="BU1773" i="1"/>
  <c r="BQ1774" i="1"/>
  <c r="BU1774" i="1"/>
  <c r="BQ1775" i="1"/>
  <c r="BU1775" i="1"/>
  <c r="BQ1776" i="1"/>
  <c r="BU1776" i="1"/>
  <c r="BQ1777" i="1"/>
  <c r="BU1777" i="1"/>
  <c r="BQ1778" i="1"/>
  <c r="BU1778" i="1"/>
  <c r="BQ1779" i="1"/>
  <c r="BU1779" i="1"/>
  <c r="BQ1780" i="1"/>
  <c r="BU1780" i="1"/>
  <c r="BQ1781" i="1"/>
  <c r="BU1781" i="1"/>
  <c r="BQ1782" i="1"/>
  <c r="BU1782" i="1"/>
  <c r="BQ1783" i="1"/>
  <c r="BU1783" i="1"/>
  <c r="BQ1784" i="1"/>
  <c r="BU1784" i="1"/>
  <c r="BQ1785" i="1"/>
  <c r="BU1785" i="1"/>
  <c r="BQ1786" i="1"/>
  <c r="BU1786" i="1"/>
  <c r="BQ1787" i="1"/>
  <c r="BU1787" i="1"/>
  <c r="BQ1788" i="1"/>
  <c r="BU1788" i="1"/>
  <c r="BQ1789" i="1"/>
  <c r="BU1789" i="1"/>
  <c r="BQ1790" i="1"/>
  <c r="BU1790" i="1"/>
  <c r="BQ1791" i="1"/>
  <c r="BU1791" i="1"/>
  <c r="BQ1792" i="1"/>
  <c r="BU1792" i="1"/>
  <c r="BQ1793" i="1"/>
  <c r="BU1793" i="1"/>
  <c r="BQ1794" i="1"/>
  <c r="BU1794" i="1"/>
  <c r="BQ1795" i="1"/>
  <c r="BU1795" i="1"/>
  <c r="BQ1796" i="1"/>
  <c r="BU1796" i="1"/>
  <c r="BQ1797" i="1"/>
  <c r="BU1797" i="1"/>
  <c r="BQ1798" i="1"/>
  <c r="BU1798" i="1"/>
  <c r="BQ1799" i="1"/>
  <c r="BU1799" i="1"/>
  <c r="BQ1800" i="1"/>
  <c r="BU1800" i="1"/>
  <c r="BQ1801" i="1"/>
  <c r="BU1801" i="1"/>
  <c r="BQ1802" i="1"/>
  <c r="BU1802" i="1"/>
  <c r="BQ1803" i="1"/>
  <c r="BU1803" i="1"/>
  <c r="BQ1804" i="1"/>
  <c r="BU1804" i="1"/>
  <c r="BQ1805" i="1"/>
  <c r="BU1805" i="1"/>
  <c r="BQ1806" i="1"/>
  <c r="BU1806" i="1"/>
  <c r="BQ1807" i="1"/>
  <c r="BU1807" i="1"/>
  <c r="BQ1808" i="1"/>
  <c r="BU1808" i="1"/>
  <c r="BQ1809" i="1"/>
  <c r="BU1809" i="1"/>
  <c r="BQ1810" i="1"/>
  <c r="BU1810" i="1"/>
  <c r="BQ1811" i="1"/>
  <c r="BU1811" i="1"/>
  <c r="BQ1812" i="1"/>
  <c r="BU1812" i="1"/>
  <c r="BQ1813" i="1"/>
  <c r="BU1813" i="1"/>
  <c r="BQ1814" i="1"/>
  <c r="BU1814" i="1"/>
  <c r="BQ1815" i="1"/>
  <c r="BU1815" i="1"/>
  <c r="BQ1816" i="1"/>
  <c r="BU1816" i="1"/>
  <c r="BQ1817" i="1"/>
  <c r="BU1817" i="1"/>
  <c r="BQ1818" i="1"/>
  <c r="BU1818" i="1"/>
  <c r="BQ1819" i="1"/>
  <c r="BU1819" i="1"/>
  <c r="BQ1820" i="1"/>
  <c r="BU1820" i="1"/>
  <c r="BQ1821" i="1"/>
  <c r="BU1821" i="1"/>
  <c r="BQ1822" i="1"/>
  <c r="BU1822" i="1"/>
  <c r="BQ1823" i="1"/>
  <c r="BU1823" i="1"/>
  <c r="BQ1824" i="1"/>
  <c r="BU1824" i="1"/>
  <c r="BQ1825" i="1"/>
  <c r="BU1825" i="1"/>
  <c r="BQ1826" i="1"/>
  <c r="BU1826" i="1"/>
  <c r="BQ1827" i="1"/>
  <c r="BU1827" i="1"/>
  <c r="BQ1828" i="1"/>
  <c r="BU1828" i="1"/>
  <c r="BQ1829" i="1"/>
  <c r="BU1829" i="1"/>
  <c r="BQ1830" i="1"/>
  <c r="BU1830" i="1"/>
  <c r="BQ1831" i="1"/>
  <c r="BU1831" i="1"/>
  <c r="BQ1832" i="1"/>
  <c r="BU1832" i="1"/>
  <c r="BQ1833" i="1"/>
  <c r="BU1833" i="1"/>
  <c r="BQ1834" i="1"/>
  <c r="BU1834" i="1"/>
  <c r="BQ1835" i="1"/>
  <c r="BU1835" i="1"/>
  <c r="BQ1836" i="1"/>
  <c r="BU1836" i="1"/>
  <c r="BQ1837" i="1"/>
  <c r="BU1837" i="1"/>
  <c r="BQ1838" i="1"/>
  <c r="BU1838" i="1"/>
  <c r="BQ1839" i="1"/>
  <c r="BU1839" i="1"/>
  <c r="BQ1840" i="1"/>
  <c r="BU1840" i="1"/>
  <c r="BQ1841" i="1"/>
  <c r="BU1841" i="1"/>
  <c r="BQ1842" i="1"/>
  <c r="BU1842" i="1"/>
  <c r="BQ1843" i="1"/>
  <c r="BU1843" i="1"/>
  <c r="BQ1844" i="1"/>
  <c r="BU1844" i="1"/>
  <c r="BQ1845" i="1"/>
  <c r="BU1845" i="1"/>
  <c r="BQ1846" i="1"/>
  <c r="BU1846" i="1"/>
  <c r="BQ1847" i="1"/>
  <c r="BU1847" i="1"/>
  <c r="BQ1848" i="1"/>
  <c r="BU1848" i="1"/>
  <c r="BQ1849" i="1"/>
  <c r="BU1849" i="1"/>
  <c r="BQ1850" i="1"/>
  <c r="BU1850" i="1"/>
  <c r="BQ1851" i="1"/>
  <c r="BU1851" i="1"/>
  <c r="BQ1852" i="1"/>
  <c r="BU1852" i="1"/>
  <c r="BQ1853" i="1"/>
  <c r="BU1853" i="1"/>
  <c r="BQ1854" i="1"/>
  <c r="BU1854" i="1"/>
  <c r="BQ1855" i="1"/>
  <c r="BU1855" i="1"/>
  <c r="BQ1856" i="1"/>
  <c r="BU1856" i="1"/>
  <c r="BQ1857" i="1"/>
  <c r="BU1857" i="1"/>
  <c r="BQ1858" i="1"/>
  <c r="BU1858" i="1"/>
  <c r="BQ1859" i="1"/>
  <c r="BU1859" i="1"/>
  <c r="BQ1860" i="1"/>
  <c r="BU1860" i="1"/>
  <c r="BQ1861" i="1"/>
  <c r="BU1861" i="1"/>
  <c r="BQ1862" i="1"/>
  <c r="BU1862" i="1"/>
  <c r="BQ1863" i="1"/>
  <c r="BU1863" i="1"/>
  <c r="BQ1864" i="1"/>
  <c r="BU1864" i="1"/>
  <c r="BQ1865" i="1"/>
  <c r="BU1865" i="1"/>
  <c r="BQ1866" i="1"/>
  <c r="BU1866" i="1"/>
  <c r="BQ1867" i="1"/>
  <c r="BU1867" i="1"/>
  <c r="BQ1868" i="1"/>
  <c r="BU1868" i="1"/>
  <c r="BQ1869" i="1"/>
  <c r="BU1869" i="1"/>
  <c r="BQ1870" i="1"/>
  <c r="BU1870" i="1"/>
  <c r="BQ1871" i="1"/>
  <c r="BU1871" i="1"/>
  <c r="BQ1872" i="1"/>
  <c r="BU1872" i="1"/>
  <c r="BQ1873" i="1"/>
  <c r="BU1873" i="1"/>
  <c r="BQ1874" i="1"/>
  <c r="BU1874" i="1"/>
  <c r="BQ1875" i="1"/>
  <c r="BU1875" i="1"/>
  <c r="BQ1876" i="1"/>
  <c r="BU1876" i="1"/>
  <c r="BQ1877" i="1"/>
  <c r="BU1877" i="1"/>
  <c r="BQ1878" i="1"/>
  <c r="BU1878" i="1"/>
  <c r="BQ1879" i="1"/>
  <c r="BU1879" i="1"/>
  <c r="BQ1880" i="1"/>
  <c r="BU1880" i="1"/>
  <c r="BQ1881" i="1"/>
  <c r="BU1881" i="1"/>
  <c r="BQ1882" i="1"/>
  <c r="BU1882" i="1"/>
  <c r="BQ1883" i="1"/>
  <c r="BU1883" i="1"/>
  <c r="BQ1884" i="1"/>
  <c r="BU1884" i="1"/>
  <c r="BQ1885" i="1"/>
  <c r="BU1885" i="1"/>
  <c r="BQ1886" i="1"/>
  <c r="BU1886" i="1"/>
  <c r="BQ1887" i="1"/>
  <c r="BU1887" i="1"/>
  <c r="BQ1888" i="1"/>
  <c r="BU1888" i="1"/>
  <c r="BQ1889" i="1"/>
  <c r="BU1889" i="1"/>
  <c r="BQ1890" i="1"/>
  <c r="BU1890" i="1"/>
  <c r="BQ1891" i="1"/>
  <c r="BU1891" i="1"/>
  <c r="BQ1892" i="1"/>
  <c r="BU1892" i="1"/>
  <c r="BQ1893" i="1"/>
  <c r="BU1893" i="1"/>
  <c r="BQ1894" i="1"/>
  <c r="BU1894" i="1"/>
  <c r="BQ1895" i="1"/>
  <c r="BU1895" i="1"/>
  <c r="BQ1896" i="1"/>
  <c r="BU1896" i="1"/>
  <c r="BQ1897" i="1"/>
  <c r="BU1897" i="1"/>
  <c r="BQ1898" i="1"/>
  <c r="BU1898" i="1"/>
  <c r="BQ1899" i="1"/>
  <c r="BU1899" i="1"/>
  <c r="BU1900" i="1"/>
  <c r="BU1901" i="1"/>
  <c r="BU1902" i="1"/>
  <c r="BU1903" i="1"/>
  <c r="BU1904" i="1"/>
  <c r="BU1905" i="1"/>
  <c r="BU1906" i="1"/>
  <c r="BU1907" i="1"/>
  <c r="BU1908" i="1"/>
  <c r="BU1909" i="1"/>
  <c r="BU1910" i="1"/>
  <c r="BU1911" i="1"/>
  <c r="BU1912" i="1"/>
  <c r="BU1913" i="1"/>
  <c r="BU1914" i="1"/>
  <c r="BU1915" i="1"/>
  <c r="BU1916" i="1"/>
  <c r="BU1917" i="1"/>
  <c r="BU1918" i="1"/>
  <c r="BU1919" i="1"/>
  <c r="BU1920" i="1"/>
  <c r="BU1921" i="1"/>
  <c r="BU1922" i="1"/>
  <c r="BU1923" i="1"/>
  <c r="BU1924" i="1"/>
  <c r="BU1925" i="1"/>
  <c r="BU1926" i="1"/>
  <c r="BU1927" i="1"/>
  <c r="BU1928" i="1"/>
  <c r="BU1929" i="1"/>
  <c r="BU1930" i="1"/>
  <c r="BU1931" i="1"/>
  <c r="BU1932" i="1"/>
  <c r="BU1933" i="1"/>
  <c r="BU1934" i="1"/>
  <c r="BU1935" i="1"/>
  <c r="BU1936" i="1"/>
  <c r="BU1937" i="1"/>
  <c r="BU1938" i="1"/>
  <c r="BU1939" i="1"/>
  <c r="BU1940" i="1"/>
  <c r="BU1946" i="1"/>
  <c r="BU1947" i="1"/>
  <c r="BU1948" i="1"/>
  <c r="BQ1645" i="1"/>
  <c r="BU1645" i="1"/>
  <c r="BM1945" i="1"/>
  <c r="BM1944" i="1"/>
  <c r="BM1943" i="1"/>
  <c r="BM1942" i="1"/>
  <c r="BM1941" i="1"/>
  <c r="BM1652" i="1"/>
  <c r="BM1653" i="1"/>
  <c r="BM1654" i="1"/>
  <c r="BM1655" i="1"/>
  <c r="BM1656" i="1"/>
  <c r="BM1657" i="1"/>
  <c r="BM1658" i="1"/>
  <c r="BM1659" i="1"/>
  <c r="BM1660" i="1"/>
  <c r="BM1661" i="1"/>
  <c r="BM1662" i="1"/>
  <c r="BM1663" i="1"/>
  <c r="BM1664" i="1"/>
  <c r="BM1665" i="1"/>
  <c r="BM1666" i="1"/>
  <c r="BM1667" i="1"/>
  <c r="BM1668" i="1"/>
  <c r="BM1669" i="1"/>
  <c r="BM1670" i="1"/>
  <c r="BM1671" i="1"/>
  <c r="BM1672" i="1"/>
  <c r="BM1673" i="1"/>
  <c r="BM1674" i="1"/>
  <c r="BM1675" i="1"/>
  <c r="BM1676" i="1"/>
  <c r="BM1677" i="1"/>
  <c r="BM1678" i="1"/>
  <c r="BM1679" i="1"/>
  <c r="BM1680" i="1"/>
  <c r="BM1681" i="1"/>
  <c r="BM1682" i="1"/>
  <c r="BM1683" i="1"/>
  <c r="BM1684" i="1"/>
  <c r="BM1685" i="1"/>
  <c r="BM1686" i="1"/>
  <c r="BM1687" i="1"/>
  <c r="BM1688" i="1"/>
  <c r="BM1689" i="1"/>
  <c r="BM1690" i="1"/>
  <c r="BM1691" i="1"/>
  <c r="BM1692" i="1"/>
  <c r="BM1693" i="1"/>
  <c r="BM1694" i="1"/>
  <c r="BM1695" i="1"/>
  <c r="BM1696" i="1"/>
  <c r="BM1697" i="1"/>
  <c r="BM1698" i="1"/>
  <c r="BM1699" i="1"/>
  <c r="BM1700" i="1"/>
  <c r="BM1701" i="1"/>
  <c r="BM1702" i="1"/>
  <c r="BM1703" i="1"/>
  <c r="BM1704" i="1"/>
  <c r="BM1705" i="1"/>
  <c r="BM1706" i="1"/>
  <c r="BM1707" i="1"/>
  <c r="BM1708" i="1"/>
  <c r="BM1709" i="1"/>
  <c r="BM1710" i="1"/>
  <c r="BM1711" i="1"/>
  <c r="BM1712" i="1"/>
  <c r="BM1713" i="1"/>
  <c r="BM1714" i="1"/>
  <c r="BM1715" i="1"/>
  <c r="BM1716" i="1"/>
  <c r="BM1717" i="1"/>
  <c r="BM1718" i="1"/>
  <c r="BM1719" i="1"/>
  <c r="BM1720" i="1"/>
  <c r="BM1721" i="1"/>
  <c r="BM1722" i="1"/>
  <c r="BM1723" i="1"/>
  <c r="BM1724" i="1"/>
  <c r="BM1725" i="1"/>
  <c r="BM1726" i="1"/>
  <c r="BM1727" i="1"/>
  <c r="BM1728" i="1"/>
  <c r="BM1729" i="1"/>
  <c r="BM1730" i="1"/>
  <c r="BM1731" i="1"/>
  <c r="BM1732" i="1"/>
  <c r="BM1733" i="1"/>
  <c r="BM1734" i="1"/>
  <c r="BM1735" i="1"/>
  <c r="BM1736" i="1"/>
  <c r="BM1737" i="1"/>
  <c r="BM1738" i="1"/>
  <c r="BM1739" i="1"/>
  <c r="BM1740" i="1"/>
  <c r="BM1741" i="1"/>
  <c r="BM1742" i="1"/>
  <c r="BM1743" i="1"/>
  <c r="BM1744" i="1"/>
  <c r="BM1745" i="1"/>
  <c r="BM1746" i="1"/>
  <c r="BM1747" i="1"/>
  <c r="BM1748" i="1"/>
  <c r="BM1749" i="1"/>
  <c r="BM1750" i="1"/>
  <c r="BM1751" i="1"/>
  <c r="BM1752" i="1"/>
  <c r="BM1753" i="1"/>
  <c r="BM1754" i="1"/>
  <c r="BM1755" i="1"/>
  <c r="BM1756" i="1"/>
  <c r="BM1757" i="1"/>
  <c r="BM1758" i="1"/>
  <c r="BM1759" i="1"/>
  <c r="BM1760" i="1"/>
  <c r="BM1761" i="1"/>
  <c r="BM1762" i="1"/>
  <c r="BM1763" i="1"/>
  <c r="BM1764" i="1"/>
  <c r="BM1765" i="1"/>
  <c r="BM1766" i="1"/>
  <c r="BM1767" i="1"/>
  <c r="BM1768" i="1"/>
  <c r="BM1769" i="1"/>
  <c r="BM1770" i="1"/>
  <c r="BM1771" i="1"/>
  <c r="BM1772" i="1"/>
  <c r="BM1773" i="1"/>
  <c r="BM1774" i="1"/>
  <c r="BM1775" i="1"/>
  <c r="BM1776" i="1"/>
  <c r="BM1777" i="1"/>
  <c r="BM1778" i="1"/>
  <c r="BM1779" i="1"/>
  <c r="BM1780" i="1"/>
  <c r="BM1781" i="1"/>
  <c r="BM1782" i="1"/>
  <c r="BM1783" i="1"/>
  <c r="BM1784" i="1"/>
  <c r="BM1785" i="1"/>
  <c r="BM1786" i="1"/>
  <c r="BM1787" i="1"/>
  <c r="BM1788" i="1"/>
  <c r="BM1789" i="1"/>
  <c r="BM1790" i="1"/>
  <c r="BM1791" i="1"/>
  <c r="BM1792" i="1"/>
  <c r="BM1793" i="1"/>
  <c r="BM1794" i="1"/>
  <c r="BM1795" i="1"/>
  <c r="BM1796" i="1"/>
  <c r="BM1797" i="1"/>
  <c r="BM1798" i="1"/>
  <c r="BM1799" i="1"/>
  <c r="BM1800" i="1"/>
  <c r="BM1801" i="1"/>
  <c r="BM1802" i="1"/>
  <c r="BM1803" i="1"/>
  <c r="BM1804" i="1"/>
  <c r="BM1805" i="1"/>
  <c r="BM1806" i="1"/>
  <c r="BM1807" i="1"/>
  <c r="BM1808" i="1"/>
  <c r="BM1809" i="1"/>
  <c r="BM1810" i="1"/>
  <c r="BM1811" i="1"/>
  <c r="BM1812" i="1"/>
  <c r="BM1813" i="1"/>
  <c r="BM1814" i="1"/>
  <c r="BM1815" i="1"/>
  <c r="BM1816" i="1"/>
  <c r="BM1817" i="1"/>
  <c r="BM1818" i="1"/>
  <c r="BM1819" i="1"/>
  <c r="BM1820" i="1"/>
  <c r="BM1821" i="1"/>
  <c r="BM1822" i="1"/>
  <c r="BM1823" i="1"/>
  <c r="BM1824" i="1"/>
  <c r="BM1825" i="1"/>
  <c r="BM1826" i="1"/>
  <c r="BM1827" i="1"/>
  <c r="BM1828" i="1"/>
  <c r="BM1829" i="1"/>
  <c r="BM1830" i="1"/>
  <c r="BM1831" i="1"/>
  <c r="BM1832" i="1"/>
  <c r="BM1833" i="1"/>
  <c r="BM1834" i="1"/>
  <c r="BM1835" i="1"/>
  <c r="BM1836" i="1"/>
  <c r="BM1837" i="1"/>
  <c r="BM1838" i="1"/>
  <c r="BM1839" i="1"/>
  <c r="BM1840" i="1"/>
  <c r="BM1841" i="1"/>
  <c r="BM1842" i="1"/>
  <c r="BM1843" i="1"/>
  <c r="BM1844" i="1"/>
  <c r="BM1845" i="1"/>
  <c r="BM1846" i="1"/>
  <c r="BM1847" i="1"/>
  <c r="BM1848" i="1"/>
  <c r="BM1849" i="1"/>
  <c r="BM1850" i="1"/>
  <c r="BM1851" i="1"/>
  <c r="BM1852" i="1"/>
  <c r="BM1853" i="1"/>
  <c r="BM1854" i="1"/>
  <c r="BM1855" i="1"/>
  <c r="BM1856" i="1"/>
  <c r="BM1857" i="1"/>
  <c r="BM1858" i="1"/>
  <c r="BM1859" i="1"/>
  <c r="BM1860" i="1"/>
  <c r="BM1861" i="1"/>
  <c r="BM1862" i="1"/>
  <c r="BM1863" i="1"/>
  <c r="BM1864" i="1"/>
  <c r="BM1865" i="1"/>
  <c r="BM1866" i="1"/>
  <c r="BM1867" i="1"/>
  <c r="BM1868" i="1"/>
  <c r="BM1869" i="1"/>
  <c r="BM1870" i="1"/>
  <c r="BM1871" i="1"/>
  <c r="BM1872" i="1"/>
  <c r="BM1873" i="1"/>
  <c r="BM1874" i="1"/>
  <c r="BM1875" i="1"/>
  <c r="BM1876" i="1"/>
  <c r="BM1877" i="1"/>
  <c r="BM1878" i="1"/>
  <c r="BM1879" i="1"/>
  <c r="BM1880" i="1"/>
  <c r="BM1881" i="1"/>
  <c r="BM1882" i="1"/>
  <c r="BM1883" i="1"/>
  <c r="BM1884" i="1"/>
  <c r="BM1885" i="1"/>
  <c r="BM1886" i="1"/>
  <c r="BM1887" i="1"/>
  <c r="BM1888" i="1"/>
  <c r="BM1889" i="1"/>
  <c r="BM1890" i="1"/>
  <c r="BM1891" i="1"/>
  <c r="BM1892" i="1"/>
  <c r="BM1893" i="1"/>
  <c r="BM1894" i="1"/>
  <c r="BM1895" i="1"/>
  <c r="BM1896" i="1"/>
  <c r="BM1897" i="1"/>
  <c r="BM1898" i="1"/>
  <c r="BM1899" i="1"/>
  <c r="BM1900" i="1"/>
  <c r="BM1901" i="1"/>
  <c r="BM1902" i="1"/>
  <c r="BM1903" i="1"/>
  <c r="BM1904" i="1"/>
  <c r="BM1905" i="1"/>
  <c r="BM1906" i="1"/>
  <c r="BM1907" i="1"/>
  <c r="BM1908" i="1"/>
  <c r="BM1909" i="1"/>
  <c r="BM1910" i="1"/>
  <c r="BM1911" i="1"/>
  <c r="BM1912" i="1"/>
  <c r="BM1913" i="1"/>
  <c r="BM1914" i="1"/>
  <c r="BM1915" i="1"/>
  <c r="BM1916" i="1"/>
  <c r="BM1917" i="1"/>
  <c r="BM1918" i="1"/>
  <c r="BM1919" i="1"/>
  <c r="BM1920" i="1"/>
  <c r="BM1921" i="1"/>
  <c r="BM1922" i="1"/>
  <c r="BM1923" i="1"/>
  <c r="BM1924" i="1"/>
  <c r="BM1925" i="1"/>
  <c r="BM1926" i="1"/>
  <c r="BM1927" i="1"/>
  <c r="BM1928" i="1"/>
  <c r="BM1929" i="1"/>
  <c r="BM1930" i="1"/>
  <c r="BM1931" i="1"/>
  <c r="BM1932" i="1"/>
  <c r="BM1933" i="1"/>
  <c r="BM1934" i="1"/>
  <c r="BM1935" i="1"/>
  <c r="BM1936" i="1"/>
  <c r="BM1937" i="1"/>
  <c r="BM1938" i="1"/>
  <c r="BM1939" i="1"/>
  <c r="BM1940" i="1"/>
  <c r="BM1946" i="1"/>
  <c r="BM1947" i="1"/>
  <c r="BM1948" i="1"/>
  <c r="BM1645" i="1"/>
  <c r="BQ1900" i="1"/>
  <c r="BQ1901" i="1"/>
  <c r="BQ1902" i="1"/>
  <c r="BQ1903" i="1"/>
  <c r="BQ1904" i="1"/>
  <c r="BQ1905" i="1"/>
  <c r="BQ1906" i="1"/>
  <c r="BQ1907" i="1"/>
  <c r="BQ1908" i="1"/>
  <c r="BQ1909" i="1"/>
  <c r="BQ1910" i="1"/>
  <c r="BQ1911" i="1"/>
  <c r="BQ1912" i="1"/>
  <c r="BQ1913" i="1"/>
  <c r="BQ1914" i="1"/>
  <c r="BQ1915" i="1"/>
  <c r="BQ1916" i="1"/>
  <c r="BQ1917" i="1"/>
  <c r="BQ1918" i="1"/>
  <c r="BQ1919" i="1"/>
  <c r="BQ1920" i="1"/>
  <c r="BQ1921" i="1"/>
  <c r="BQ1922" i="1"/>
  <c r="BQ1923" i="1"/>
  <c r="BQ1924" i="1"/>
  <c r="BQ1925" i="1"/>
  <c r="BQ1926" i="1"/>
  <c r="BQ1927" i="1"/>
  <c r="BQ1928" i="1"/>
  <c r="BQ1929" i="1"/>
  <c r="BQ1930" i="1"/>
  <c r="BQ1931" i="1"/>
  <c r="BQ1932" i="1"/>
  <c r="BQ1933" i="1"/>
  <c r="BQ1934" i="1"/>
  <c r="BQ1935" i="1"/>
  <c r="BQ1936" i="1"/>
  <c r="BQ1937" i="1"/>
  <c r="BQ1938" i="1"/>
  <c r="BQ1939" i="1"/>
  <c r="BQ1940" i="1"/>
  <c r="BQ1946" i="1"/>
  <c r="BQ1947" i="1"/>
  <c r="BQ1948" i="1"/>
  <c r="BL1945" i="1"/>
  <c r="BI1945" i="1"/>
  <c r="BL1944" i="1"/>
  <c r="BI1944" i="1"/>
  <c r="BL1943" i="1"/>
  <c r="BI1943" i="1"/>
  <c r="BL1942" i="1"/>
  <c r="BI1942" i="1"/>
  <c r="BL1941" i="1"/>
  <c r="BI1941" i="1"/>
  <c r="BI1652" i="1"/>
  <c r="BL1652" i="1"/>
  <c r="BI1653" i="1"/>
  <c r="BL1653" i="1"/>
  <c r="BI1654" i="1"/>
  <c r="BL1654" i="1"/>
  <c r="BI1655" i="1"/>
  <c r="BL1655" i="1"/>
  <c r="BI1656" i="1"/>
  <c r="BL1656" i="1"/>
  <c r="BI1657" i="1"/>
  <c r="BL1657" i="1"/>
  <c r="BI1658" i="1"/>
  <c r="BL1658" i="1"/>
  <c r="BI1659" i="1"/>
  <c r="BL1659" i="1"/>
  <c r="BI1660" i="1"/>
  <c r="BL1660" i="1"/>
  <c r="BI1661" i="1"/>
  <c r="BL1661" i="1"/>
  <c r="BI1662" i="1"/>
  <c r="BL1662" i="1"/>
  <c r="BI1663" i="1"/>
  <c r="BL1663" i="1"/>
  <c r="BI1664" i="1"/>
  <c r="BL1664" i="1"/>
  <c r="BI1665" i="1"/>
  <c r="BL1665" i="1"/>
  <c r="BI1666" i="1"/>
  <c r="BL1666" i="1"/>
  <c r="BI1667" i="1"/>
  <c r="BL1667" i="1"/>
  <c r="BI1668" i="1"/>
  <c r="BL1668" i="1"/>
  <c r="BI1669" i="1"/>
  <c r="BL1669" i="1"/>
  <c r="BI1670" i="1"/>
  <c r="BL1670" i="1"/>
  <c r="BI1671" i="1"/>
  <c r="BL1671" i="1"/>
  <c r="BI1672" i="1"/>
  <c r="BL1672" i="1"/>
  <c r="BI1673" i="1"/>
  <c r="BL1673" i="1"/>
  <c r="BI1674" i="1"/>
  <c r="BL1674" i="1"/>
  <c r="BI1675" i="1"/>
  <c r="BL1675" i="1"/>
  <c r="BI1676" i="1"/>
  <c r="BL1676" i="1"/>
  <c r="BI1677" i="1"/>
  <c r="BL1677" i="1"/>
  <c r="BI1678" i="1"/>
  <c r="BL1678" i="1"/>
  <c r="BI1679" i="1"/>
  <c r="BL1679" i="1"/>
  <c r="BI1680" i="1"/>
  <c r="BL1680" i="1"/>
  <c r="BI1681" i="1"/>
  <c r="BL1681" i="1"/>
  <c r="BI1682" i="1"/>
  <c r="BL1682" i="1"/>
  <c r="BI1683" i="1"/>
  <c r="BL1683" i="1"/>
  <c r="BI1684" i="1"/>
  <c r="BL1684" i="1"/>
  <c r="BI1685" i="1"/>
  <c r="BL1685" i="1"/>
  <c r="BI1686" i="1"/>
  <c r="BL1686" i="1"/>
  <c r="BI1687" i="1"/>
  <c r="BL1687" i="1"/>
  <c r="BI1688" i="1"/>
  <c r="BL1688" i="1"/>
  <c r="BI1689" i="1"/>
  <c r="BL1689" i="1"/>
  <c r="BI1690" i="1"/>
  <c r="BL1690" i="1"/>
  <c r="BI1691" i="1"/>
  <c r="BL1691" i="1"/>
  <c r="BI1692" i="1"/>
  <c r="BL1692" i="1"/>
  <c r="BI1693" i="1"/>
  <c r="BL1693" i="1"/>
  <c r="BI1694" i="1"/>
  <c r="BL1694" i="1"/>
  <c r="BI1695" i="1"/>
  <c r="BL1695" i="1"/>
  <c r="BI1696" i="1"/>
  <c r="BL1696" i="1"/>
  <c r="BI1697" i="1"/>
  <c r="BL1697" i="1"/>
  <c r="BI1698" i="1"/>
  <c r="BL1698" i="1"/>
  <c r="BI1699" i="1"/>
  <c r="BL1699" i="1"/>
  <c r="BI1700" i="1"/>
  <c r="BL1700" i="1"/>
  <c r="BI1701" i="1"/>
  <c r="BL1701" i="1"/>
  <c r="BI1702" i="1"/>
  <c r="BL1702" i="1"/>
  <c r="BI1703" i="1"/>
  <c r="BL1703" i="1"/>
  <c r="BI1704" i="1"/>
  <c r="BL1704" i="1"/>
  <c r="BI1705" i="1"/>
  <c r="BL1705" i="1"/>
  <c r="BI1706" i="1"/>
  <c r="BL1706" i="1"/>
  <c r="BI1707" i="1"/>
  <c r="BL1707" i="1"/>
  <c r="BI1708" i="1"/>
  <c r="BL1708" i="1"/>
  <c r="BI1709" i="1"/>
  <c r="BL1709" i="1"/>
  <c r="BI1710" i="1"/>
  <c r="BL1710" i="1"/>
  <c r="BI1711" i="1"/>
  <c r="BL1711" i="1"/>
  <c r="BI1712" i="1"/>
  <c r="BL1712" i="1"/>
  <c r="BI1713" i="1"/>
  <c r="BL1713" i="1"/>
  <c r="BI1714" i="1"/>
  <c r="BL1714" i="1"/>
  <c r="BI1715" i="1"/>
  <c r="BL1715" i="1"/>
  <c r="BI1716" i="1"/>
  <c r="BL1716" i="1"/>
  <c r="BI1717" i="1"/>
  <c r="BL1717" i="1"/>
  <c r="BI1718" i="1"/>
  <c r="BL1718" i="1"/>
  <c r="BI1719" i="1"/>
  <c r="BL1719" i="1"/>
  <c r="BI1720" i="1"/>
  <c r="BL1720" i="1"/>
  <c r="BI1721" i="1"/>
  <c r="BL1721" i="1"/>
  <c r="BI1722" i="1"/>
  <c r="BL1722" i="1"/>
  <c r="BI1723" i="1"/>
  <c r="BL1723" i="1"/>
  <c r="BI1724" i="1"/>
  <c r="BL1724" i="1"/>
  <c r="BI1725" i="1"/>
  <c r="BL1725" i="1"/>
  <c r="BI1726" i="1"/>
  <c r="BL1726" i="1"/>
  <c r="BI1727" i="1"/>
  <c r="BL1727" i="1"/>
  <c r="BI1728" i="1"/>
  <c r="BL1728" i="1"/>
  <c r="BI1729" i="1"/>
  <c r="BL1729" i="1"/>
  <c r="BI1730" i="1"/>
  <c r="BL1730" i="1"/>
  <c r="BI1731" i="1"/>
  <c r="BL1731" i="1"/>
  <c r="BI1732" i="1"/>
  <c r="BL1732" i="1"/>
  <c r="BI1733" i="1"/>
  <c r="BL1733" i="1"/>
  <c r="BI1734" i="1"/>
  <c r="BL1734" i="1"/>
  <c r="BI1735" i="1"/>
  <c r="BL1735" i="1"/>
  <c r="BI1736" i="1"/>
  <c r="BL1736" i="1"/>
  <c r="BI1737" i="1"/>
  <c r="BL1737" i="1"/>
  <c r="BI1738" i="1"/>
  <c r="BL1738" i="1"/>
  <c r="BI1739" i="1"/>
  <c r="BL1739" i="1"/>
  <c r="BI1740" i="1"/>
  <c r="BL1740" i="1"/>
  <c r="BI1741" i="1"/>
  <c r="BL1741" i="1"/>
  <c r="BI1742" i="1"/>
  <c r="BL1742" i="1"/>
  <c r="BI1743" i="1"/>
  <c r="BL1743" i="1"/>
  <c r="BI1744" i="1"/>
  <c r="BL1744" i="1"/>
  <c r="BI1745" i="1"/>
  <c r="BL1745" i="1"/>
  <c r="BI1746" i="1"/>
  <c r="BL1746" i="1"/>
  <c r="BI1747" i="1"/>
  <c r="BL1747" i="1"/>
  <c r="BI1748" i="1"/>
  <c r="BL1748" i="1"/>
  <c r="BI1749" i="1"/>
  <c r="BL1749" i="1"/>
  <c r="BI1750" i="1"/>
  <c r="BL1750" i="1"/>
  <c r="BI1751" i="1"/>
  <c r="BL1751" i="1"/>
  <c r="BI1752" i="1"/>
  <c r="BL1752" i="1"/>
  <c r="BI1753" i="1"/>
  <c r="BL1753" i="1"/>
  <c r="BI1754" i="1"/>
  <c r="BL1754" i="1"/>
  <c r="BI1755" i="1"/>
  <c r="BL1755" i="1"/>
  <c r="BI1756" i="1"/>
  <c r="BL1756" i="1"/>
  <c r="BI1757" i="1"/>
  <c r="BL1757" i="1"/>
  <c r="BI1758" i="1"/>
  <c r="BL1758" i="1"/>
  <c r="BI1759" i="1"/>
  <c r="BL1759" i="1"/>
  <c r="BI1760" i="1"/>
  <c r="BL1760" i="1"/>
  <c r="BI1761" i="1"/>
  <c r="BL1761" i="1"/>
  <c r="BI1762" i="1"/>
  <c r="BL1762" i="1"/>
  <c r="BI1763" i="1"/>
  <c r="BL1763" i="1"/>
  <c r="BI1764" i="1"/>
  <c r="BL1764" i="1"/>
  <c r="BI1765" i="1"/>
  <c r="BL1765" i="1"/>
  <c r="BI1766" i="1"/>
  <c r="BL1766" i="1"/>
  <c r="BI1767" i="1"/>
  <c r="BL1767" i="1"/>
  <c r="BI1768" i="1"/>
  <c r="BL1768" i="1"/>
  <c r="BI1769" i="1"/>
  <c r="BL1769" i="1"/>
  <c r="BI1770" i="1"/>
  <c r="BL1770" i="1"/>
  <c r="BI1771" i="1"/>
  <c r="BL1771" i="1"/>
  <c r="BI1772" i="1"/>
  <c r="BL1772" i="1"/>
  <c r="BI1773" i="1"/>
  <c r="BL1773" i="1"/>
  <c r="BI1774" i="1"/>
  <c r="BL1774" i="1"/>
  <c r="BI1775" i="1"/>
  <c r="BL1775" i="1"/>
  <c r="BI1776" i="1"/>
  <c r="BL1776" i="1"/>
  <c r="BI1777" i="1"/>
  <c r="BL1777" i="1"/>
  <c r="BI1778" i="1"/>
  <c r="BL1778" i="1"/>
  <c r="BI1779" i="1"/>
  <c r="BL1779" i="1"/>
  <c r="BI1780" i="1"/>
  <c r="BL1780" i="1"/>
  <c r="BI1781" i="1"/>
  <c r="BL1781" i="1"/>
  <c r="BI1782" i="1"/>
  <c r="BL1782" i="1"/>
  <c r="BI1783" i="1"/>
  <c r="BL1783" i="1"/>
  <c r="BI1784" i="1"/>
  <c r="BL1784" i="1"/>
  <c r="BI1785" i="1"/>
  <c r="BL1785" i="1"/>
  <c r="BI1786" i="1"/>
  <c r="BL1786" i="1"/>
  <c r="BI1787" i="1"/>
  <c r="BL1787" i="1"/>
  <c r="BI1788" i="1"/>
  <c r="BL1788" i="1"/>
  <c r="BI1789" i="1"/>
  <c r="BL1789" i="1"/>
  <c r="BI1790" i="1"/>
  <c r="BL1790" i="1"/>
  <c r="BI1791" i="1"/>
  <c r="BL1791" i="1"/>
  <c r="BI1792" i="1"/>
  <c r="BL1792" i="1"/>
  <c r="BI1793" i="1"/>
  <c r="BL1793" i="1"/>
  <c r="BI1794" i="1"/>
  <c r="BL1794" i="1"/>
  <c r="BI1795" i="1"/>
  <c r="BL1795" i="1"/>
  <c r="BI1796" i="1"/>
  <c r="BL1796" i="1"/>
  <c r="BI1797" i="1"/>
  <c r="BL1797" i="1"/>
  <c r="BI1798" i="1"/>
  <c r="BL1798" i="1"/>
  <c r="BI1799" i="1"/>
  <c r="BL1799" i="1"/>
  <c r="BI1800" i="1"/>
  <c r="BL1800" i="1"/>
  <c r="BI1801" i="1"/>
  <c r="BL1801" i="1"/>
  <c r="BI1802" i="1"/>
  <c r="BL1802" i="1"/>
  <c r="BI1803" i="1"/>
  <c r="BL1803" i="1"/>
  <c r="BI1804" i="1"/>
  <c r="BL1804" i="1"/>
  <c r="BI1805" i="1"/>
  <c r="BL1805" i="1"/>
  <c r="BI1806" i="1"/>
  <c r="BL1806" i="1"/>
  <c r="BI1807" i="1"/>
  <c r="BL1807" i="1"/>
  <c r="BI1808" i="1"/>
  <c r="BL1808" i="1"/>
  <c r="BI1809" i="1"/>
  <c r="BL1809" i="1"/>
  <c r="BI1810" i="1"/>
  <c r="BL1810" i="1"/>
  <c r="BI1811" i="1"/>
  <c r="BL1811" i="1"/>
  <c r="BI1812" i="1"/>
  <c r="BL1812" i="1"/>
  <c r="BI1813" i="1"/>
  <c r="BL1813" i="1"/>
  <c r="BI1814" i="1"/>
  <c r="BL1814" i="1"/>
  <c r="BI1815" i="1"/>
  <c r="BL1815" i="1"/>
  <c r="BI1816" i="1"/>
  <c r="BL1816" i="1"/>
  <c r="BI1817" i="1"/>
  <c r="BL1817" i="1"/>
  <c r="BI1818" i="1"/>
  <c r="BL1818" i="1"/>
  <c r="BI1819" i="1"/>
  <c r="BL1819" i="1"/>
  <c r="BI1820" i="1"/>
  <c r="BL1820" i="1"/>
  <c r="BI1821" i="1"/>
  <c r="BL1821" i="1"/>
  <c r="BI1822" i="1"/>
  <c r="BL1822" i="1"/>
  <c r="BI1823" i="1"/>
  <c r="BL1823" i="1"/>
  <c r="BI1824" i="1"/>
  <c r="BL1824" i="1"/>
  <c r="BI1825" i="1"/>
  <c r="BL1825" i="1"/>
  <c r="BI1826" i="1"/>
  <c r="BL1826" i="1"/>
  <c r="BI1827" i="1"/>
  <c r="BL1827" i="1"/>
  <c r="BI1828" i="1"/>
  <c r="BL1828" i="1"/>
  <c r="BI1829" i="1"/>
  <c r="BL1829" i="1"/>
  <c r="BI1830" i="1"/>
  <c r="BL1830" i="1"/>
  <c r="BI1831" i="1"/>
  <c r="BL1831" i="1"/>
  <c r="BI1832" i="1"/>
  <c r="BL1832" i="1"/>
  <c r="BI1833" i="1"/>
  <c r="BL1833" i="1"/>
  <c r="BI1834" i="1"/>
  <c r="BL1834" i="1"/>
  <c r="BI1835" i="1"/>
  <c r="BL1835" i="1"/>
  <c r="BI1836" i="1"/>
  <c r="BL1836" i="1"/>
  <c r="BI1837" i="1"/>
  <c r="BL1837" i="1"/>
  <c r="BI1838" i="1"/>
  <c r="BL1838" i="1"/>
  <c r="BI1839" i="1"/>
  <c r="BL1839" i="1"/>
  <c r="BI1840" i="1"/>
  <c r="BL1840" i="1"/>
  <c r="BI1841" i="1"/>
  <c r="BL1841" i="1"/>
  <c r="BI1842" i="1"/>
  <c r="BL1842" i="1"/>
  <c r="BI1843" i="1"/>
  <c r="BL1843" i="1"/>
  <c r="BI1844" i="1"/>
  <c r="BL1844" i="1"/>
  <c r="BI1845" i="1"/>
  <c r="BL1845" i="1"/>
  <c r="BI1846" i="1"/>
  <c r="BL1846" i="1"/>
  <c r="BI1847" i="1"/>
  <c r="BL1847" i="1"/>
  <c r="BI1848" i="1"/>
  <c r="BL1848" i="1"/>
  <c r="BI1849" i="1"/>
  <c r="BL1849" i="1"/>
  <c r="BI1850" i="1"/>
  <c r="BL1850" i="1"/>
  <c r="BI1851" i="1"/>
  <c r="BL1851" i="1"/>
  <c r="BI1852" i="1"/>
  <c r="BL1852" i="1"/>
  <c r="BI1853" i="1"/>
  <c r="BL1853" i="1"/>
  <c r="BI1854" i="1"/>
  <c r="BL1854" i="1"/>
  <c r="BI1855" i="1"/>
  <c r="BL1855" i="1"/>
  <c r="BI1856" i="1"/>
  <c r="BL1856" i="1"/>
  <c r="BI1857" i="1"/>
  <c r="BL1857" i="1"/>
  <c r="BI1858" i="1"/>
  <c r="BL1858" i="1"/>
  <c r="BI1859" i="1"/>
  <c r="BL1859" i="1"/>
  <c r="BI1860" i="1"/>
  <c r="BL1860" i="1"/>
  <c r="BI1861" i="1"/>
  <c r="BL1861" i="1"/>
  <c r="BI1862" i="1"/>
  <c r="BL1862" i="1"/>
  <c r="BI1863" i="1"/>
  <c r="BL1863" i="1"/>
  <c r="BI1864" i="1"/>
  <c r="BL1864" i="1"/>
  <c r="BI1865" i="1"/>
  <c r="BL1865" i="1"/>
  <c r="BI1866" i="1"/>
  <c r="BL1866" i="1"/>
  <c r="BI1867" i="1"/>
  <c r="BL1867" i="1"/>
  <c r="BI1868" i="1"/>
  <c r="BL1868" i="1"/>
  <c r="BI1869" i="1"/>
  <c r="BL1869" i="1"/>
  <c r="BI1870" i="1"/>
  <c r="BL1870" i="1"/>
  <c r="BI1871" i="1"/>
  <c r="BL1871" i="1"/>
  <c r="BI1872" i="1"/>
  <c r="BL1872" i="1"/>
  <c r="BI1873" i="1"/>
  <c r="BL1873" i="1"/>
  <c r="BI1874" i="1"/>
  <c r="BL1874" i="1"/>
  <c r="BI1875" i="1"/>
  <c r="BL1875" i="1"/>
  <c r="BI1876" i="1"/>
  <c r="BL1876" i="1"/>
  <c r="BI1877" i="1"/>
  <c r="BL1877" i="1"/>
  <c r="BI1878" i="1"/>
  <c r="BL1878" i="1"/>
  <c r="BI1879" i="1"/>
  <c r="BL1879" i="1"/>
  <c r="BI1880" i="1"/>
  <c r="BL1880" i="1"/>
  <c r="BI1881" i="1"/>
  <c r="BL1881" i="1"/>
  <c r="BI1882" i="1"/>
  <c r="BL1882" i="1"/>
  <c r="BI1883" i="1"/>
  <c r="BL1883" i="1"/>
  <c r="BI1884" i="1"/>
  <c r="BL1884" i="1"/>
  <c r="BI1885" i="1"/>
  <c r="BL1885" i="1"/>
  <c r="BI1886" i="1"/>
  <c r="BL1886" i="1"/>
  <c r="BI1887" i="1"/>
  <c r="BL1887" i="1"/>
  <c r="BI1888" i="1"/>
  <c r="BL1888" i="1"/>
  <c r="BI1889" i="1"/>
  <c r="BL1889" i="1"/>
  <c r="BI1890" i="1"/>
  <c r="BL1890" i="1"/>
  <c r="BI1891" i="1"/>
  <c r="BL1891" i="1"/>
  <c r="BI1892" i="1"/>
  <c r="BL1892" i="1"/>
  <c r="BI1893" i="1"/>
  <c r="BL1893" i="1"/>
  <c r="BI1894" i="1"/>
  <c r="BL1894" i="1"/>
  <c r="BI1895" i="1"/>
  <c r="BL1895" i="1"/>
  <c r="BI1896" i="1"/>
  <c r="BL1896" i="1"/>
  <c r="BI1897" i="1"/>
  <c r="BL1897" i="1"/>
  <c r="BI1898" i="1"/>
  <c r="BL1898" i="1"/>
  <c r="BI1645" i="1"/>
  <c r="BL1645" i="1"/>
  <c r="BP1945" i="1"/>
  <c r="BP1944" i="1"/>
  <c r="BP1943" i="1"/>
  <c r="BP1942" i="1"/>
  <c r="BP1941" i="1"/>
  <c r="BP1652" i="1"/>
  <c r="BP1653" i="1"/>
  <c r="BP1654" i="1"/>
  <c r="BP1655" i="1"/>
  <c r="BP1656" i="1"/>
  <c r="BP1657" i="1"/>
  <c r="BP1658" i="1"/>
  <c r="BP1659" i="1"/>
  <c r="BP1660" i="1"/>
  <c r="BP1661" i="1"/>
  <c r="BP1662" i="1"/>
  <c r="BP1663" i="1"/>
  <c r="BP1664" i="1"/>
  <c r="BP1665" i="1"/>
  <c r="BP1666" i="1"/>
  <c r="BP1667" i="1"/>
  <c r="BP1668" i="1"/>
  <c r="BP1669" i="1"/>
  <c r="BP1670" i="1"/>
  <c r="BP1671" i="1"/>
  <c r="BP1672" i="1"/>
  <c r="BP1673" i="1"/>
  <c r="BP1674" i="1"/>
  <c r="BP1675" i="1"/>
  <c r="BP1676" i="1"/>
  <c r="BP1677" i="1"/>
  <c r="BP1678" i="1"/>
  <c r="BP1679" i="1"/>
  <c r="BP1680" i="1"/>
  <c r="BP1681" i="1"/>
  <c r="BP1682" i="1"/>
  <c r="BP1683" i="1"/>
  <c r="BP1684" i="1"/>
  <c r="BP1685" i="1"/>
  <c r="BP1686" i="1"/>
  <c r="BP1687" i="1"/>
  <c r="BP1688" i="1"/>
  <c r="BP1689" i="1"/>
  <c r="BP1690" i="1"/>
  <c r="BP1691" i="1"/>
  <c r="BP1692" i="1"/>
  <c r="BP1693" i="1"/>
  <c r="BP1694" i="1"/>
  <c r="BP1695" i="1"/>
  <c r="BP1696" i="1"/>
  <c r="BP1697" i="1"/>
  <c r="BP1698" i="1"/>
  <c r="BP1699" i="1"/>
  <c r="BP1700" i="1"/>
  <c r="BP1701" i="1"/>
  <c r="BP1702" i="1"/>
  <c r="BP1703" i="1"/>
  <c r="BP1704" i="1"/>
  <c r="BP1705" i="1"/>
  <c r="BP1706" i="1"/>
  <c r="BP1707" i="1"/>
  <c r="BP1708" i="1"/>
  <c r="BP1709" i="1"/>
  <c r="BP1710" i="1"/>
  <c r="BP1711" i="1"/>
  <c r="BP1712" i="1"/>
  <c r="BP1713" i="1"/>
  <c r="BP1714" i="1"/>
  <c r="BP1715" i="1"/>
  <c r="BP1716" i="1"/>
  <c r="BP1717" i="1"/>
  <c r="BP1718" i="1"/>
  <c r="BP1719" i="1"/>
  <c r="BP1720" i="1"/>
  <c r="BP1721" i="1"/>
  <c r="BP1722" i="1"/>
  <c r="BP1723" i="1"/>
  <c r="BP1724" i="1"/>
  <c r="BP1725" i="1"/>
  <c r="BP1726" i="1"/>
  <c r="BP1727" i="1"/>
  <c r="BP1728" i="1"/>
  <c r="BP1729" i="1"/>
  <c r="BP1730" i="1"/>
  <c r="BP1731" i="1"/>
  <c r="BP1732" i="1"/>
  <c r="BP1733" i="1"/>
  <c r="BP1734" i="1"/>
  <c r="BP1735" i="1"/>
  <c r="BP1736" i="1"/>
  <c r="BP1737" i="1"/>
  <c r="BP1738" i="1"/>
  <c r="BP1739" i="1"/>
  <c r="BP1740" i="1"/>
  <c r="BP1741" i="1"/>
  <c r="BP1742" i="1"/>
  <c r="BP1743" i="1"/>
  <c r="BP1744" i="1"/>
  <c r="BP1745" i="1"/>
  <c r="BP1746" i="1"/>
  <c r="BP1747" i="1"/>
  <c r="BP1748" i="1"/>
  <c r="BP1749" i="1"/>
  <c r="BP1750" i="1"/>
  <c r="BP1751" i="1"/>
  <c r="BP1752" i="1"/>
  <c r="BP1753" i="1"/>
  <c r="BP1754" i="1"/>
  <c r="BP1755" i="1"/>
  <c r="BP1756" i="1"/>
  <c r="BP1757" i="1"/>
  <c r="BP1758" i="1"/>
  <c r="BP1759" i="1"/>
  <c r="BP1760" i="1"/>
  <c r="BP1761" i="1"/>
  <c r="BP1762" i="1"/>
  <c r="BP1763" i="1"/>
  <c r="BP1764" i="1"/>
  <c r="BP1765" i="1"/>
  <c r="BP1766" i="1"/>
  <c r="BP1767" i="1"/>
  <c r="BP1768" i="1"/>
  <c r="BP1769" i="1"/>
  <c r="BP1770" i="1"/>
  <c r="BP1771" i="1"/>
  <c r="BP1772" i="1"/>
  <c r="BP1773" i="1"/>
  <c r="BP1774" i="1"/>
  <c r="BP1775" i="1"/>
  <c r="BP1776" i="1"/>
  <c r="BP1777" i="1"/>
  <c r="BP1778" i="1"/>
  <c r="BP1779" i="1"/>
  <c r="BP1780" i="1"/>
  <c r="BP1781" i="1"/>
  <c r="BP1782" i="1"/>
  <c r="BP1783" i="1"/>
  <c r="BP1784" i="1"/>
  <c r="BP1785" i="1"/>
  <c r="BP1786" i="1"/>
  <c r="BP1787" i="1"/>
  <c r="BP1788" i="1"/>
  <c r="BP1789" i="1"/>
  <c r="BP1790" i="1"/>
  <c r="BP1791" i="1"/>
  <c r="BP1792" i="1"/>
  <c r="BP1793" i="1"/>
  <c r="BP1794" i="1"/>
  <c r="BP1795" i="1"/>
  <c r="BP1796" i="1"/>
  <c r="BP1797" i="1"/>
  <c r="BP1798" i="1"/>
  <c r="BP1799" i="1"/>
  <c r="BP1800" i="1"/>
  <c r="BP1801" i="1"/>
  <c r="BP1802" i="1"/>
  <c r="BP1803" i="1"/>
  <c r="BP1804" i="1"/>
  <c r="BP1805" i="1"/>
  <c r="BP1806" i="1"/>
  <c r="BP1807" i="1"/>
  <c r="BP1808" i="1"/>
  <c r="BP1809" i="1"/>
  <c r="BP1810" i="1"/>
  <c r="BP1811" i="1"/>
  <c r="BP1812" i="1"/>
  <c r="BP1813" i="1"/>
  <c r="BP1814" i="1"/>
  <c r="BP1815" i="1"/>
  <c r="BP1816" i="1"/>
  <c r="BP1817" i="1"/>
  <c r="BP1818" i="1"/>
  <c r="BP1819" i="1"/>
  <c r="BP1820" i="1"/>
  <c r="BP1821" i="1"/>
  <c r="BP1822" i="1"/>
  <c r="BP1823" i="1"/>
  <c r="BP1824" i="1"/>
  <c r="BP1825" i="1"/>
  <c r="BP1826" i="1"/>
  <c r="BP1827" i="1"/>
  <c r="BP1828" i="1"/>
  <c r="BP1829" i="1"/>
  <c r="BP1830" i="1"/>
  <c r="BP1831" i="1"/>
  <c r="BP1832" i="1"/>
  <c r="BP1833" i="1"/>
  <c r="BP1834" i="1"/>
  <c r="BP1835" i="1"/>
  <c r="BP1836" i="1"/>
  <c r="BP1837" i="1"/>
  <c r="BP1838" i="1"/>
  <c r="BP1839" i="1"/>
  <c r="BP1840" i="1"/>
  <c r="BP1841" i="1"/>
  <c r="BP1842" i="1"/>
  <c r="BP1843" i="1"/>
  <c r="BP1844" i="1"/>
  <c r="BP1845" i="1"/>
  <c r="BP1846" i="1"/>
  <c r="BP1847" i="1"/>
  <c r="BP1848" i="1"/>
  <c r="BP1849" i="1"/>
  <c r="BP1850" i="1"/>
  <c r="BP1851" i="1"/>
  <c r="BP1852" i="1"/>
  <c r="BP1853" i="1"/>
  <c r="BP1854" i="1"/>
  <c r="BP1855" i="1"/>
  <c r="BP1856" i="1"/>
  <c r="BP1857" i="1"/>
  <c r="BP1858" i="1"/>
  <c r="BP1859" i="1"/>
  <c r="BP1860" i="1"/>
  <c r="BP1861" i="1"/>
  <c r="BP1862" i="1"/>
  <c r="BP1863" i="1"/>
  <c r="BP1864" i="1"/>
  <c r="BP1865" i="1"/>
  <c r="BP1866" i="1"/>
  <c r="BP1867" i="1"/>
  <c r="BP1868" i="1"/>
  <c r="BP1869" i="1"/>
  <c r="BP1870" i="1"/>
  <c r="BP1871" i="1"/>
  <c r="BP1872" i="1"/>
  <c r="BP1873" i="1"/>
  <c r="BP1874" i="1"/>
  <c r="BP1875" i="1"/>
  <c r="BP1876" i="1"/>
  <c r="BP1877" i="1"/>
  <c r="BP1878" i="1"/>
  <c r="BP1879" i="1"/>
  <c r="BP1880" i="1"/>
  <c r="BP1881" i="1"/>
  <c r="BP1882" i="1"/>
  <c r="BP1883" i="1"/>
  <c r="BP1884" i="1"/>
  <c r="BP1885" i="1"/>
  <c r="BP1886" i="1"/>
  <c r="BP1887" i="1"/>
  <c r="BP1888" i="1"/>
  <c r="BP1889" i="1"/>
  <c r="BP1890" i="1"/>
  <c r="BP1891" i="1"/>
  <c r="BP1892" i="1"/>
  <c r="BP1893" i="1"/>
  <c r="BP1894" i="1"/>
  <c r="BP1895" i="1"/>
  <c r="BP1896" i="1"/>
  <c r="BP1897" i="1"/>
  <c r="BP1898" i="1"/>
  <c r="BP1899" i="1"/>
  <c r="BP1900" i="1"/>
  <c r="BP1901" i="1"/>
  <c r="BP1902" i="1"/>
  <c r="BP1903" i="1"/>
  <c r="BP1904" i="1"/>
  <c r="BP1905" i="1"/>
  <c r="BP1906" i="1"/>
  <c r="BP1907" i="1"/>
  <c r="BP1908" i="1"/>
  <c r="BP1909" i="1"/>
  <c r="BP1910" i="1"/>
  <c r="BP1911" i="1"/>
  <c r="BP1912" i="1"/>
  <c r="BP1913" i="1"/>
  <c r="BP1914" i="1"/>
  <c r="BP1915" i="1"/>
  <c r="BP1916" i="1"/>
  <c r="BP1917" i="1"/>
  <c r="BP1918" i="1"/>
  <c r="BP1919" i="1"/>
  <c r="BP1920" i="1"/>
  <c r="BP1921" i="1"/>
  <c r="BP1922" i="1"/>
  <c r="BP1923" i="1"/>
  <c r="BP1924" i="1"/>
  <c r="BP1925" i="1"/>
  <c r="BP1926" i="1"/>
  <c r="BP1927" i="1"/>
  <c r="BP1928" i="1"/>
  <c r="BP1929" i="1"/>
  <c r="BP1930" i="1"/>
  <c r="BP1931" i="1"/>
  <c r="BP1932" i="1"/>
  <c r="BP1933" i="1"/>
  <c r="BP1934" i="1"/>
  <c r="BP1935" i="1"/>
  <c r="BP1936" i="1"/>
  <c r="BP1937" i="1"/>
  <c r="BP1938" i="1"/>
  <c r="BP1939" i="1"/>
  <c r="BP1940" i="1"/>
  <c r="BP1946" i="1"/>
  <c r="BP1947" i="1"/>
  <c r="BP1948" i="1"/>
  <c r="BP1645" i="1"/>
  <c r="BI1899" i="1"/>
  <c r="BL1899" i="1"/>
  <c r="BI1900" i="1"/>
  <c r="BL1900" i="1"/>
  <c r="BI1901" i="1"/>
  <c r="BL1901" i="1"/>
  <c r="BI1902" i="1"/>
  <c r="BL1902" i="1"/>
  <c r="BI1903" i="1"/>
  <c r="BL1903" i="1"/>
  <c r="BI1904" i="1"/>
  <c r="BL1904" i="1"/>
  <c r="BI1905" i="1"/>
  <c r="BL1905" i="1"/>
  <c r="BI1906" i="1"/>
  <c r="BL1906" i="1"/>
  <c r="BI1907" i="1"/>
  <c r="BL1907" i="1"/>
  <c r="BI1908" i="1"/>
  <c r="BL1908" i="1"/>
  <c r="BI1909" i="1"/>
  <c r="BL1909" i="1"/>
  <c r="BI1910" i="1"/>
  <c r="BL1910" i="1"/>
  <c r="BI1911" i="1"/>
  <c r="BL1911" i="1"/>
  <c r="BI1912" i="1"/>
  <c r="BL1912" i="1"/>
  <c r="BI1913" i="1"/>
  <c r="BL1913" i="1"/>
  <c r="BI1914" i="1"/>
  <c r="BL1914" i="1"/>
  <c r="BI1915" i="1"/>
  <c r="BL1915" i="1"/>
  <c r="BI1916" i="1"/>
  <c r="BL1916" i="1"/>
  <c r="BI1917" i="1"/>
  <c r="BL1917" i="1"/>
  <c r="BI1918" i="1"/>
  <c r="BL1918" i="1"/>
  <c r="BI1919" i="1"/>
  <c r="BL1919" i="1"/>
  <c r="BI1920" i="1"/>
  <c r="BL1920" i="1"/>
  <c r="BI1921" i="1"/>
  <c r="BL1921" i="1"/>
  <c r="BI1922" i="1"/>
  <c r="BL1922" i="1"/>
  <c r="BI1923" i="1"/>
  <c r="BL1923" i="1"/>
  <c r="BI1924" i="1"/>
  <c r="BL1924" i="1"/>
  <c r="BI1925" i="1"/>
  <c r="BL1925" i="1"/>
  <c r="BI1926" i="1"/>
  <c r="BL1926" i="1"/>
  <c r="BI1927" i="1"/>
  <c r="BL1927" i="1"/>
  <c r="BI1928" i="1"/>
  <c r="BL1928" i="1"/>
  <c r="BI1929" i="1"/>
  <c r="BL1929" i="1"/>
  <c r="BI1930" i="1"/>
  <c r="BL1930" i="1"/>
  <c r="BI1931" i="1"/>
  <c r="BL1931" i="1"/>
  <c r="BI1932" i="1"/>
  <c r="BL1932" i="1"/>
  <c r="BI1933" i="1"/>
  <c r="BL1933" i="1"/>
  <c r="BI1934" i="1"/>
  <c r="BL1934" i="1"/>
  <c r="BI1935" i="1"/>
  <c r="BL1935" i="1"/>
  <c r="BI1936" i="1"/>
  <c r="BL1936" i="1"/>
  <c r="BI1937" i="1"/>
  <c r="BL1937" i="1"/>
  <c r="BI1938" i="1"/>
  <c r="BL1938" i="1"/>
  <c r="BI1939" i="1"/>
  <c r="BL1939" i="1"/>
  <c r="BI1940" i="1"/>
  <c r="BL1940" i="1"/>
  <c r="BI1946" i="1"/>
  <c r="BL1946" i="1"/>
  <c r="BI1947" i="1"/>
  <c r="BL1947" i="1"/>
  <c r="BI1948" i="1"/>
  <c r="BL1948" i="1"/>
  <c r="O17" i="6"/>
  <c r="K15" i="6"/>
  <c r="O19" i="6"/>
  <c r="BT1639" i="1"/>
  <c r="BR1639" i="1"/>
  <c r="BK1639" i="1"/>
  <c r="BJ1639" i="1"/>
  <c r="BH1639" i="1"/>
  <c r="BN1639" i="1"/>
  <c r="BS1639" i="1"/>
  <c r="BO1639" i="1"/>
  <c r="BU1639" i="1"/>
  <c r="BQ1639" i="1"/>
  <c r="BM1639" i="1"/>
  <c r="BL1639" i="1"/>
  <c r="BI1639" i="1"/>
  <c r="BP1639" i="1"/>
  <c r="BP1391" i="1"/>
  <c r="BP1392" i="1"/>
  <c r="BP1393" i="1"/>
  <c r="BP1394" i="1"/>
  <c r="BP1395" i="1"/>
  <c r="BP1396" i="1"/>
  <c r="BP1397" i="1"/>
  <c r="BP1398" i="1"/>
  <c r="BP1399" i="1"/>
  <c r="BP1400" i="1"/>
  <c r="BP1401" i="1"/>
  <c r="BP1402" i="1"/>
  <c r="BP1403" i="1"/>
  <c r="BP1404" i="1"/>
  <c r="BP1405" i="1"/>
  <c r="BP1406" i="1"/>
  <c r="BP1407" i="1"/>
  <c r="BP1408" i="1"/>
  <c r="BP1409" i="1"/>
  <c r="BP1410" i="1"/>
  <c r="BP1411" i="1"/>
  <c r="BP1412" i="1"/>
  <c r="BP1413" i="1"/>
  <c r="BP1414" i="1"/>
  <c r="BP1415" i="1"/>
  <c r="BP1416" i="1"/>
  <c r="BP1417" i="1"/>
  <c r="BP1418" i="1"/>
  <c r="BP1419" i="1"/>
  <c r="BP1420" i="1"/>
  <c r="BP1421" i="1"/>
  <c r="BP1422" i="1"/>
  <c r="BP1423" i="1"/>
  <c r="BP1424" i="1"/>
  <c r="BP1425" i="1"/>
  <c r="BP1426" i="1"/>
  <c r="BP1427" i="1"/>
  <c r="BP1428" i="1"/>
  <c r="BP1429" i="1"/>
  <c r="BP1430" i="1"/>
  <c r="BP1431" i="1"/>
  <c r="BP1432" i="1"/>
  <c r="BP1433" i="1"/>
  <c r="BP1434" i="1"/>
  <c r="BP1435" i="1"/>
  <c r="BP1436" i="1"/>
  <c r="BP1437" i="1"/>
  <c r="BP1438" i="1"/>
  <c r="BP1439" i="1"/>
  <c r="BP1440" i="1"/>
  <c r="BP1441" i="1"/>
  <c r="BP1442" i="1"/>
  <c r="BP1443" i="1"/>
  <c r="BP1444" i="1"/>
  <c r="BP1445" i="1"/>
  <c r="BP1446" i="1"/>
  <c r="BP1447" i="1"/>
  <c r="BP1448" i="1"/>
  <c r="BP1449" i="1"/>
  <c r="BP1450" i="1"/>
  <c r="BP1451" i="1"/>
  <c r="BP1452" i="1"/>
  <c r="BP1453" i="1"/>
  <c r="BP1454" i="1"/>
  <c r="BP1455" i="1"/>
  <c r="BP1456" i="1"/>
  <c r="BP1457" i="1"/>
  <c r="BP1458" i="1"/>
  <c r="BP1459" i="1"/>
  <c r="BP1460" i="1"/>
  <c r="BP1461" i="1"/>
  <c r="BP1462" i="1"/>
  <c r="BP1463" i="1"/>
  <c r="BP1464" i="1"/>
  <c r="BP1465" i="1"/>
  <c r="BP1466" i="1"/>
  <c r="BP1467" i="1"/>
  <c r="BP1468" i="1"/>
  <c r="BP1469" i="1"/>
  <c r="BP1470" i="1"/>
  <c r="BP1471" i="1"/>
  <c r="BP1472" i="1"/>
  <c r="BP1473" i="1"/>
  <c r="BP1474" i="1"/>
  <c r="BP1475" i="1"/>
  <c r="BP1476" i="1"/>
  <c r="BP1477" i="1"/>
  <c r="BP1478" i="1"/>
  <c r="BP1479" i="1"/>
  <c r="BP1480" i="1"/>
  <c r="BP1481" i="1"/>
  <c r="BP1482" i="1"/>
  <c r="BP1483" i="1"/>
  <c r="BP1484" i="1"/>
  <c r="BP1485" i="1"/>
  <c r="BP1486" i="1"/>
  <c r="BP1487" i="1"/>
  <c r="BP1488" i="1"/>
  <c r="BP1489" i="1"/>
  <c r="BP1490" i="1"/>
  <c r="BP1491" i="1"/>
  <c r="BP1492" i="1"/>
  <c r="BP1493" i="1"/>
  <c r="BP1494" i="1"/>
  <c r="BP1495" i="1"/>
  <c r="BP1496" i="1"/>
  <c r="BP1497" i="1"/>
  <c r="BP1498" i="1"/>
  <c r="BP1499" i="1"/>
  <c r="BP1500" i="1"/>
  <c r="BP1501" i="1"/>
  <c r="BP1502" i="1"/>
  <c r="BP1503" i="1"/>
  <c r="BP1504" i="1"/>
  <c r="BP1505" i="1"/>
  <c r="BP1506" i="1"/>
  <c r="BP1507" i="1"/>
  <c r="BP1508" i="1"/>
  <c r="BP1509" i="1"/>
  <c r="BP1510" i="1"/>
  <c r="BP1511" i="1"/>
  <c r="BP1512" i="1"/>
  <c r="BP1513" i="1"/>
  <c r="BP1514" i="1"/>
  <c r="BP1515" i="1"/>
  <c r="BP1516" i="1"/>
  <c r="BP1517" i="1"/>
  <c r="BP1518" i="1"/>
  <c r="BP1519" i="1"/>
  <c r="BP1520" i="1"/>
  <c r="BP1521" i="1"/>
  <c r="BP1522" i="1"/>
  <c r="BP1523" i="1"/>
  <c r="BP1524" i="1"/>
  <c r="BP1525" i="1"/>
  <c r="BP1526" i="1"/>
  <c r="BP1527" i="1"/>
  <c r="BP1528" i="1"/>
  <c r="BP1529" i="1"/>
  <c r="BP1530" i="1"/>
  <c r="BP1531" i="1"/>
  <c r="BP1532" i="1"/>
  <c r="BP1533" i="1"/>
  <c r="BP1534" i="1"/>
  <c r="BP1535" i="1"/>
  <c r="BP1536" i="1"/>
  <c r="BP1537" i="1"/>
  <c r="BP1538" i="1"/>
  <c r="BP1539" i="1"/>
  <c r="BP1540" i="1"/>
  <c r="BP1541" i="1"/>
  <c r="BP1542" i="1"/>
  <c r="BP1543" i="1"/>
  <c r="BP1544" i="1"/>
  <c r="BP1545" i="1"/>
  <c r="BP1546" i="1"/>
  <c r="BP1547" i="1"/>
  <c r="BP1548" i="1"/>
  <c r="BP1549" i="1"/>
  <c r="BP1550" i="1"/>
  <c r="BP1551" i="1"/>
  <c r="BP1552" i="1"/>
  <c r="BP1553" i="1"/>
  <c r="BP1554" i="1"/>
  <c r="BP1555" i="1"/>
  <c r="BP1556" i="1"/>
  <c r="BP1557" i="1"/>
  <c r="BP1558" i="1"/>
  <c r="BP1559" i="1"/>
  <c r="BP1560" i="1"/>
  <c r="BP1561" i="1"/>
  <c r="BP1562" i="1"/>
  <c r="BP1563" i="1"/>
  <c r="BP1564" i="1"/>
  <c r="BP1565" i="1"/>
  <c r="BP1566" i="1"/>
  <c r="BP1567" i="1"/>
  <c r="BP1568" i="1"/>
  <c r="BP1569" i="1"/>
  <c r="BP1570" i="1"/>
  <c r="BP1571" i="1"/>
  <c r="BP1572" i="1"/>
  <c r="BP1573" i="1"/>
  <c r="BP1574" i="1"/>
  <c r="BP1575" i="1"/>
  <c r="BP1576" i="1"/>
  <c r="BP1577" i="1"/>
  <c r="BP1578" i="1"/>
  <c r="BP1579" i="1"/>
  <c r="BP1580" i="1"/>
  <c r="BP1581" i="1"/>
  <c r="BP1582" i="1"/>
  <c r="BP1583" i="1"/>
  <c r="BP1584" i="1"/>
  <c r="BP1585" i="1"/>
  <c r="BP1586" i="1"/>
  <c r="BP1587" i="1"/>
  <c r="BP1588" i="1"/>
  <c r="BP1589" i="1"/>
  <c r="BP1590" i="1"/>
  <c r="BP1591" i="1"/>
  <c r="BP1592" i="1"/>
  <c r="BP1593" i="1"/>
  <c r="BP1594" i="1"/>
  <c r="BP1595" i="1"/>
  <c r="BP1596" i="1"/>
  <c r="BP1597" i="1"/>
  <c r="BP1598" i="1"/>
  <c r="BP1599" i="1"/>
  <c r="BP1600" i="1"/>
  <c r="BP1601" i="1"/>
  <c r="BP1602" i="1"/>
  <c r="BP1603" i="1"/>
  <c r="BP1604" i="1"/>
  <c r="BP1605" i="1"/>
  <c r="BP1606" i="1"/>
  <c r="BP1607" i="1"/>
  <c r="BP1608" i="1"/>
  <c r="BP1609" i="1"/>
  <c r="BP1610" i="1"/>
  <c r="BP1611" i="1"/>
  <c r="BP1612" i="1"/>
  <c r="BP1613" i="1"/>
  <c r="BP1614" i="1"/>
  <c r="BP1615" i="1"/>
  <c r="BP1616" i="1"/>
  <c r="BP1617" i="1"/>
  <c r="BP1618" i="1"/>
  <c r="BP1619" i="1"/>
  <c r="BP1620" i="1"/>
  <c r="BP1621" i="1"/>
  <c r="BP1622" i="1"/>
  <c r="BP1623" i="1"/>
  <c r="BP1624" i="1"/>
  <c r="BP1625" i="1"/>
  <c r="BP1626" i="1"/>
  <c r="BP1627" i="1"/>
  <c r="BP1628" i="1"/>
  <c r="BP1629" i="1"/>
  <c r="BP1630" i="1"/>
  <c r="BP1631" i="1"/>
  <c r="BP1632" i="1"/>
  <c r="BP1633" i="1"/>
  <c r="BP1634" i="1"/>
  <c r="BP1635" i="1"/>
  <c r="BP1636" i="1"/>
  <c r="BP1637" i="1"/>
  <c r="BP1638" i="1"/>
  <c r="BP1640" i="1"/>
  <c r="BP1641" i="1"/>
  <c r="BP1642" i="1"/>
  <c r="BP1643" i="1"/>
  <c r="BP1644" i="1"/>
  <c r="BP1646" i="1"/>
  <c r="BP1647" i="1"/>
  <c r="BP1648" i="1"/>
  <c r="BP1649" i="1"/>
  <c r="BP1650" i="1"/>
  <c r="BP1651" i="1"/>
  <c r="BR1650" i="1"/>
  <c r="BK1650" i="1"/>
  <c r="BJ1650" i="1"/>
  <c r="BH1650" i="1"/>
  <c r="BR1649" i="1"/>
  <c r="BK1649" i="1"/>
  <c r="BJ1649" i="1"/>
  <c r="BH1649" i="1"/>
  <c r="BR1648" i="1"/>
  <c r="BK1648" i="1"/>
  <c r="BJ1648" i="1"/>
  <c r="BH1648" i="1"/>
  <c r="BR1647" i="1"/>
  <c r="BK1647" i="1"/>
  <c r="BJ1647" i="1"/>
  <c r="BH1647" i="1"/>
  <c r="BR1646" i="1"/>
  <c r="BK1646" i="1"/>
  <c r="BJ1646" i="1"/>
  <c r="BH1646" i="1"/>
  <c r="BN1650" i="1"/>
  <c r="BN1649" i="1"/>
  <c r="BN1648" i="1"/>
  <c r="BN1647" i="1"/>
  <c r="BN1646" i="1"/>
  <c r="BS1650" i="1"/>
  <c r="BS1649" i="1"/>
  <c r="BS1648" i="1"/>
  <c r="BS1647" i="1"/>
  <c r="BS1646" i="1"/>
  <c r="BO1650" i="1"/>
  <c r="BO1649" i="1"/>
  <c r="BO1648" i="1"/>
  <c r="BO1647" i="1"/>
  <c r="BO1646" i="1"/>
  <c r="BT1650" i="1"/>
  <c r="BT1649" i="1"/>
  <c r="BT1648" i="1"/>
  <c r="BT1647" i="1"/>
  <c r="BT1646" i="1"/>
  <c r="BU1650" i="1"/>
  <c r="BQ1650" i="1"/>
  <c r="BU1649" i="1"/>
  <c r="BQ1649" i="1"/>
  <c r="BU1648" i="1"/>
  <c r="BQ1648" i="1"/>
  <c r="BU1647" i="1"/>
  <c r="BQ1647" i="1"/>
  <c r="BU1646" i="1"/>
  <c r="BQ1646" i="1"/>
  <c r="BM1650" i="1"/>
  <c r="BM1649" i="1"/>
  <c r="BM1648" i="1"/>
  <c r="BM1647" i="1"/>
  <c r="BM1646" i="1"/>
  <c r="BL1650" i="1"/>
  <c r="BI1650" i="1"/>
  <c r="BL1649" i="1"/>
  <c r="BI1649" i="1"/>
  <c r="BL1648" i="1"/>
  <c r="BI1648" i="1"/>
  <c r="BL1647" i="1"/>
  <c r="BI1647" i="1"/>
  <c r="BL1646" i="1"/>
  <c r="BI1646" i="1"/>
  <c r="BR1651" i="1"/>
  <c r="BK1651" i="1"/>
  <c r="BJ1651" i="1"/>
  <c r="BH1651" i="1"/>
  <c r="BN1651" i="1"/>
  <c r="BS1651" i="1"/>
  <c r="BO1651" i="1"/>
  <c r="BT1651" i="1"/>
  <c r="BU1651" i="1"/>
  <c r="BQ1651" i="1"/>
  <c r="BM1651" i="1"/>
  <c r="BL1651" i="1"/>
  <c r="BI1651" i="1"/>
  <c r="BH1645" i="1"/>
  <c r="BR1634" i="1"/>
  <c r="BK1634" i="1"/>
  <c r="BJ1634" i="1"/>
  <c r="BH1634" i="1"/>
  <c r="BR1633" i="1"/>
  <c r="BK1633" i="1"/>
  <c r="BJ1633" i="1"/>
  <c r="BH1633" i="1"/>
  <c r="BR1632" i="1"/>
  <c r="BK1632" i="1"/>
  <c r="BJ1632" i="1"/>
  <c r="BH1632" i="1"/>
  <c r="BR1631" i="1"/>
  <c r="BK1631" i="1"/>
  <c r="BJ1631" i="1"/>
  <c r="BH1631" i="1"/>
  <c r="BR1630" i="1"/>
  <c r="BK1630" i="1"/>
  <c r="BJ1630" i="1"/>
  <c r="BH1630" i="1"/>
  <c r="BR1629" i="1"/>
  <c r="BK1629" i="1"/>
  <c r="BJ1629" i="1"/>
  <c r="BH1629" i="1"/>
  <c r="BH1615" i="1"/>
  <c r="BJ1615" i="1"/>
  <c r="BK1615" i="1"/>
  <c r="BR1615" i="1"/>
  <c r="BH1613" i="1"/>
  <c r="BJ1613" i="1"/>
  <c r="BK1613" i="1"/>
  <c r="BR1613" i="1"/>
  <c r="BH1614" i="1"/>
  <c r="BJ1614" i="1"/>
  <c r="BK1614" i="1"/>
  <c r="BR1614" i="1"/>
  <c r="BN1634" i="1"/>
  <c r="BN1633" i="1"/>
  <c r="BN1632" i="1"/>
  <c r="BN1631" i="1"/>
  <c r="BN1630" i="1"/>
  <c r="BN1629" i="1"/>
  <c r="BN1615" i="1"/>
  <c r="BN1613" i="1"/>
  <c r="BN1614" i="1"/>
  <c r="BS1634" i="1"/>
  <c r="BS1633" i="1"/>
  <c r="BS1632" i="1"/>
  <c r="BS1631" i="1"/>
  <c r="BS1630" i="1"/>
  <c r="BS1629" i="1"/>
  <c r="BS1615" i="1"/>
  <c r="BS1613" i="1"/>
  <c r="BS1614" i="1"/>
  <c r="BO1634" i="1"/>
  <c r="BO1633" i="1"/>
  <c r="BO1632" i="1"/>
  <c r="BO1631" i="1"/>
  <c r="BO1630" i="1"/>
  <c r="BO1629" i="1"/>
  <c r="BO1615" i="1"/>
  <c r="BO1613" i="1"/>
  <c r="BO1614" i="1"/>
  <c r="BT1634" i="1"/>
  <c r="BT1633" i="1"/>
  <c r="BT1632" i="1"/>
  <c r="BT1631" i="1"/>
  <c r="BT1630" i="1"/>
  <c r="BT1629" i="1"/>
  <c r="BT1615" i="1"/>
  <c r="BT1613" i="1"/>
  <c r="BT1614" i="1"/>
  <c r="F16" i="6"/>
  <c r="AR16" i="6"/>
  <c r="BU1634" i="1"/>
  <c r="BQ1634" i="1"/>
  <c r="BU1633" i="1"/>
  <c r="BQ1633" i="1"/>
  <c r="BU1632" i="1"/>
  <c r="BQ1632" i="1"/>
  <c r="BU1631" i="1"/>
  <c r="BQ1631" i="1"/>
  <c r="BU1630" i="1"/>
  <c r="BQ1630" i="1"/>
  <c r="BU1629" i="1"/>
  <c r="BQ1629" i="1"/>
  <c r="BQ1615" i="1"/>
  <c r="BU1615" i="1"/>
  <c r="BQ1613" i="1"/>
  <c r="BU1613" i="1"/>
  <c r="BQ1614" i="1"/>
  <c r="BU1614" i="1"/>
  <c r="BM1634" i="1"/>
  <c r="BM1633" i="1"/>
  <c r="BM1632" i="1"/>
  <c r="BM1631" i="1"/>
  <c r="BM1630" i="1"/>
  <c r="BM1629" i="1"/>
  <c r="BM1615" i="1"/>
  <c r="BM1613" i="1"/>
  <c r="BM1614" i="1"/>
  <c r="BL1634" i="1"/>
  <c r="BI1634" i="1"/>
  <c r="BL1633" i="1"/>
  <c r="BI1633" i="1"/>
  <c r="BL1632" i="1"/>
  <c r="BI1632" i="1"/>
  <c r="BL1631" i="1"/>
  <c r="BI1631" i="1"/>
  <c r="BL1630" i="1"/>
  <c r="BI1630" i="1"/>
  <c r="BL1629" i="1"/>
  <c r="BI1629" i="1"/>
  <c r="BI1615" i="1"/>
  <c r="BL1615" i="1"/>
  <c r="BI1613" i="1"/>
  <c r="BL1613" i="1"/>
  <c r="BI1614" i="1"/>
  <c r="BL1614" i="1"/>
  <c r="BR1635" i="1"/>
  <c r="BK1635" i="1"/>
  <c r="BJ1635" i="1"/>
  <c r="BH1635" i="1"/>
  <c r="BR1628" i="1"/>
  <c r="BK1628" i="1"/>
  <c r="BJ1628" i="1"/>
  <c r="BH1628" i="1"/>
  <c r="BR1627" i="1"/>
  <c r="BK1627" i="1"/>
  <c r="BJ1627" i="1"/>
  <c r="BH1627" i="1"/>
  <c r="BR1626" i="1"/>
  <c r="BK1626" i="1"/>
  <c r="BJ1626" i="1"/>
  <c r="BH1626" i="1"/>
  <c r="BN1635" i="1"/>
  <c r="BN1628" i="1"/>
  <c r="BN1627" i="1"/>
  <c r="BN1626" i="1"/>
  <c r="BS1635" i="1"/>
  <c r="BS1628" i="1"/>
  <c r="BS1627" i="1"/>
  <c r="BS1626" i="1"/>
  <c r="BO1635" i="1"/>
  <c r="BO1628" i="1"/>
  <c r="BO1627" i="1"/>
  <c r="BO1626" i="1"/>
  <c r="BT1635" i="1"/>
  <c r="BT1628" i="1"/>
  <c r="BT1627" i="1"/>
  <c r="BT1626" i="1"/>
  <c r="BU1635" i="1"/>
  <c r="BQ1635" i="1"/>
  <c r="BU1628" i="1"/>
  <c r="BQ1628" i="1"/>
  <c r="BU1627" i="1"/>
  <c r="BQ1627" i="1"/>
  <c r="BU1626" i="1"/>
  <c r="BQ1626" i="1"/>
  <c r="BM1635" i="1"/>
  <c r="BM1628" i="1"/>
  <c r="BM1627" i="1"/>
  <c r="BM1626" i="1"/>
  <c r="BL1635" i="1"/>
  <c r="BI1635" i="1"/>
  <c r="BL1628" i="1"/>
  <c r="BI1628" i="1"/>
  <c r="BL1627" i="1"/>
  <c r="BI1627" i="1"/>
  <c r="BL1626" i="1"/>
  <c r="BI1626" i="1"/>
  <c r="BR1636" i="1"/>
  <c r="BK1636" i="1"/>
  <c r="BJ1636" i="1"/>
  <c r="BH1636" i="1"/>
  <c r="BR1625" i="1"/>
  <c r="BK1625" i="1"/>
  <c r="BJ1625" i="1"/>
  <c r="BH1625" i="1"/>
  <c r="BR1624" i="1"/>
  <c r="BK1624" i="1"/>
  <c r="BJ1624" i="1"/>
  <c r="BH1624" i="1"/>
  <c r="BN1636" i="1"/>
  <c r="BN1625" i="1"/>
  <c r="BN1624" i="1"/>
  <c r="BS1636" i="1"/>
  <c r="BS1625" i="1"/>
  <c r="BS1624" i="1"/>
  <c r="BO1636" i="1"/>
  <c r="BO1625" i="1"/>
  <c r="BO1624" i="1"/>
  <c r="BT1636" i="1"/>
  <c r="BT1625" i="1"/>
  <c r="BT1624" i="1"/>
  <c r="BU1636" i="1"/>
  <c r="BQ1636" i="1"/>
  <c r="BU1625" i="1"/>
  <c r="BQ1625" i="1"/>
  <c r="BU1624" i="1"/>
  <c r="BQ1624" i="1"/>
  <c r="BM1636" i="1"/>
  <c r="BM1625" i="1"/>
  <c r="BM1624" i="1"/>
  <c r="BL1636" i="1"/>
  <c r="BI1636" i="1"/>
  <c r="BL1625" i="1"/>
  <c r="BI1625" i="1"/>
  <c r="BL1624" i="1"/>
  <c r="BI1624" i="1"/>
  <c r="BR1622" i="1"/>
  <c r="BK1622" i="1"/>
  <c r="BJ1622" i="1"/>
  <c r="BH1622" i="1"/>
  <c r="BR1621" i="1"/>
  <c r="BK1621" i="1"/>
  <c r="BJ1621" i="1"/>
  <c r="BH1621" i="1"/>
  <c r="BR1620" i="1"/>
  <c r="BK1620" i="1"/>
  <c r="BJ1620" i="1"/>
  <c r="BH1620" i="1"/>
  <c r="BN1622" i="1"/>
  <c r="BN1621" i="1"/>
  <c r="BN1620" i="1"/>
  <c r="BS1622" i="1"/>
  <c r="BS1621" i="1"/>
  <c r="BS1620" i="1"/>
  <c r="BO1622" i="1"/>
  <c r="BO1621" i="1"/>
  <c r="BO1620" i="1"/>
  <c r="BT1622" i="1"/>
  <c r="BT1621" i="1"/>
  <c r="BT1620" i="1"/>
  <c r="BU1622" i="1"/>
  <c r="BQ1622" i="1"/>
  <c r="BU1621" i="1"/>
  <c r="BQ1621" i="1"/>
  <c r="BU1620" i="1"/>
  <c r="BQ1620" i="1"/>
  <c r="BM1622" i="1"/>
  <c r="BM1621" i="1"/>
  <c r="BM1620" i="1"/>
  <c r="BL1622" i="1"/>
  <c r="BI1622" i="1"/>
  <c r="BL1621" i="1"/>
  <c r="BI1621" i="1"/>
  <c r="BL1620" i="1"/>
  <c r="BI1620" i="1"/>
  <c r="BR1610" i="1"/>
  <c r="BK1610" i="1"/>
  <c r="BJ1610" i="1"/>
  <c r="BH1610" i="1"/>
  <c r="BR1609" i="1"/>
  <c r="BK1609" i="1"/>
  <c r="BJ1609" i="1"/>
  <c r="BH1609" i="1"/>
  <c r="BR1608" i="1"/>
  <c r="BK1608" i="1"/>
  <c r="BJ1608" i="1"/>
  <c r="BH1608" i="1"/>
  <c r="BR1607" i="1"/>
  <c r="BK1607" i="1"/>
  <c r="BJ1607" i="1"/>
  <c r="BH1607" i="1"/>
  <c r="BR1606" i="1"/>
  <c r="BK1606" i="1"/>
  <c r="BJ1606" i="1"/>
  <c r="BH1606" i="1"/>
  <c r="BR1605" i="1"/>
  <c r="BK1605" i="1"/>
  <c r="BJ1605" i="1"/>
  <c r="BH1605" i="1"/>
  <c r="BR1604" i="1"/>
  <c r="BK1604" i="1"/>
  <c r="BJ1604" i="1"/>
  <c r="BH1604" i="1"/>
  <c r="BR1603" i="1"/>
  <c r="BK1603" i="1"/>
  <c r="BJ1603" i="1"/>
  <c r="BH1603" i="1"/>
  <c r="BR1602" i="1"/>
  <c r="BK1602" i="1"/>
  <c r="BJ1602" i="1"/>
  <c r="BH1602" i="1"/>
  <c r="BN1610" i="1"/>
  <c r="BN1609" i="1"/>
  <c r="BN1608" i="1"/>
  <c r="BN1607" i="1"/>
  <c r="BN1606" i="1"/>
  <c r="BN1605" i="1"/>
  <c r="BN1604" i="1"/>
  <c r="BN1603" i="1"/>
  <c r="BN1602" i="1"/>
  <c r="BS1610" i="1"/>
  <c r="BS1609" i="1"/>
  <c r="BS1608" i="1"/>
  <c r="BS1607" i="1"/>
  <c r="BS1606" i="1"/>
  <c r="BS1605" i="1"/>
  <c r="BS1604" i="1"/>
  <c r="BS1603" i="1"/>
  <c r="BS1602" i="1"/>
  <c r="BO1610" i="1"/>
  <c r="BO1609" i="1"/>
  <c r="BO1608" i="1"/>
  <c r="BO1607" i="1"/>
  <c r="BO1606" i="1"/>
  <c r="BO1605" i="1"/>
  <c r="BO1604" i="1"/>
  <c r="BO1603" i="1"/>
  <c r="BO1602" i="1"/>
  <c r="BT1610" i="1"/>
  <c r="BT1609" i="1"/>
  <c r="BT1608" i="1"/>
  <c r="BT1607" i="1"/>
  <c r="BT1606" i="1"/>
  <c r="BT1605" i="1"/>
  <c r="BT1604" i="1"/>
  <c r="BT1603" i="1"/>
  <c r="BT1602" i="1"/>
  <c r="BU1610" i="1"/>
  <c r="BQ1610" i="1"/>
  <c r="BU1609" i="1"/>
  <c r="BQ1609" i="1"/>
  <c r="BU1608" i="1"/>
  <c r="BQ1608" i="1"/>
  <c r="BU1607" i="1"/>
  <c r="BQ1607" i="1"/>
  <c r="BU1606" i="1"/>
  <c r="BQ1606" i="1"/>
  <c r="BU1605" i="1"/>
  <c r="BQ1605" i="1"/>
  <c r="BU1604" i="1"/>
  <c r="BQ1604" i="1"/>
  <c r="BU1603" i="1"/>
  <c r="BQ1603" i="1"/>
  <c r="BU1602" i="1"/>
  <c r="BQ1602" i="1"/>
  <c r="BM1610" i="1"/>
  <c r="BM1609" i="1"/>
  <c r="BM1608" i="1"/>
  <c r="BM1607" i="1"/>
  <c r="BM1606" i="1"/>
  <c r="BM1605" i="1"/>
  <c r="BM1604" i="1"/>
  <c r="BM1603" i="1"/>
  <c r="BM1602" i="1"/>
  <c r="BL1610" i="1"/>
  <c r="BI1610" i="1"/>
  <c r="BL1609" i="1"/>
  <c r="BI1609" i="1"/>
  <c r="BL1608" i="1"/>
  <c r="BI1608" i="1"/>
  <c r="BL1607" i="1"/>
  <c r="BI1607" i="1"/>
  <c r="BL1606" i="1"/>
  <c r="BI1606" i="1"/>
  <c r="BL1605" i="1"/>
  <c r="BI1605" i="1"/>
  <c r="BL1604" i="1"/>
  <c r="BI1604" i="1"/>
  <c r="BL1603" i="1"/>
  <c r="BI1603" i="1"/>
  <c r="BL1602" i="1"/>
  <c r="BI1602" i="1"/>
  <c r="BZ212" i="1"/>
  <c r="BZ213" i="1"/>
  <c r="BZ214" i="1"/>
  <c r="BZ215" i="1"/>
  <c r="BZ216" i="1"/>
  <c r="BZ217" i="1"/>
  <c r="BZ218" i="1"/>
  <c r="BZ219" i="1"/>
  <c r="BZ220" i="1"/>
  <c r="BZ221" i="1"/>
  <c r="BZ198" i="1"/>
  <c r="BZ199" i="1"/>
  <c r="BZ200" i="1"/>
  <c r="BZ201" i="1"/>
  <c r="BZ202" i="1"/>
  <c r="BZ203" i="1"/>
  <c r="BZ204" i="1"/>
  <c r="BZ205" i="1"/>
  <c r="BZ206" i="1"/>
  <c r="BZ207" i="1"/>
  <c r="BZ208" i="1"/>
  <c r="BZ209" i="1"/>
  <c r="BZ210" i="1"/>
  <c r="BZ222" i="1"/>
  <c r="BZ223" i="1"/>
  <c r="BZ224" i="1"/>
  <c r="BZ225" i="1"/>
  <c r="BZ226" i="1"/>
  <c r="BZ227" i="1"/>
  <c r="BZ228" i="1"/>
  <c r="BZ229" i="1"/>
  <c r="BZ230" i="1"/>
  <c r="BZ231" i="1"/>
  <c r="BZ232" i="1"/>
  <c r="BZ233" i="1"/>
  <c r="BZ234" i="1"/>
  <c r="BZ235" i="1"/>
  <c r="BZ236" i="1"/>
  <c r="BZ237" i="1"/>
  <c r="BZ238" i="1"/>
  <c r="BZ192" i="1"/>
  <c r="BZ193" i="1"/>
  <c r="BZ194" i="1"/>
  <c r="BZ195" i="1"/>
  <c r="BZ196" i="1"/>
  <c r="BZ197" i="1"/>
  <c r="BZ250" i="1"/>
  <c r="BZ251" i="1"/>
  <c r="BZ252" i="1"/>
  <c r="BZ253" i="1"/>
  <c r="BZ254" i="1"/>
  <c r="BZ255" i="1"/>
  <c r="BZ256" i="1"/>
  <c r="BZ257" i="1"/>
  <c r="BZ258" i="1"/>
  <c r="BZ259" i="1"/>
  <c r="BZ260" i="1"/>
  <c r="BZ261" i="1"/>
  <c r="BZ262" i="1"/>
  <c r="BZ263" i="1"/>
  <c r="BZ264" i="1"/>
  <c r="BZ265" i="1"/>
  <c r="BZ266" i="1"/>
  <c r="BZ267" i="1"/>
  <c r="BZ268" i="1"/>
  <c r="BZ269" i="1"/>
  <c r="BZ270" i="1"/>
  <c r="BZ271" i="1"/>
  <c r="BZ272" i="1"/>
  <c r="BZ273" i="1"/>
  <c r="BZ274" i="1"/>
  <c r="BZ275" i="1"/>
  <c r="BZ276" i="1"/>
  <c r="BZ277" i="1"/>
  <c r="BZ278" i="1"/>
  <c r="BZ279" i="1"/>
  <c r="BZ280" i="1"/>
  <c r="BZ281" i="1"/>
  <c r="BZ283" i="1"/>
  <c r="BZ284" i="1"/>
  <c r="BZ285" i="1"/>
  <c r="BZ286" i="1"/>
  <c r="BZ287" i="1"/>
  <c r="BZ288" i="1"/>
  <c r="BZ289" i="1"/>
  <c r="BZ290" i="1"/>
  <c r="BZ291" i="1"/>
  <c r="BZ292" i="1"/>
  <c r="BZ293" i="1"/>
  <c r="BZ294" i="1"/>
  <c r="BZ295" i="1"/>
  <c r="BZ296" i="1"/>
  <c r="BZ297" i="1"/>
  <c r="BZ298" i="1"/>
  <c r="BZ299" i="1"/>
  <c r="BZ300" i="1"/>
  <c r="BZ301" i="1"/>
  <c r="BZ302" i="1"/>
  <c r="BZ303" i="1"/>
  <c r="BZ304" i="1"/>
  <c r="BZ305" i="1"/>
  <c r="BZ367" i="1"/>
  <c r="BZ368" i="1"/>
  <c r="BZ369" i="1"/>
  <c r="BZ370" i="1"/>
  <c r="BZ371" i="1"/>
  <c r="BZ372" i="1"/>
  <c r="BZ373" i="1"/>
  <c r="BZ374" i="1"/>
  <c r="BZ375" i="1"/>
  <c r="BZ376" i="1"/>
  <c r="BZ377" i="1"/>
  <c r="BZ378" i="1"/>
  <c r="BZ379" i="1"/>
  <c r="BZ380" i="1"/>
  <c r="BZ381" i="1"/>
  <c r="BZ382" i="1"/>
  <c r="BZ383" i="1"/>
  <c r="BZ384" i="1"/>
  <c r="BZ385" i="1"/>
  <c r="BZ386" i="1"/>
  <c r="BZ387" i="1"/>
  <c r="BZ388" i="1"/>
  <c r="BZ389" i="1"/>
  <c r="BZ390" i="1"/>
  <c r="BZ391" i="1"/>
  <c r="BZ425" i="1"/>
  <c r="BZ426" i="1"/>
  <c r="BZ427" i="1"/>
  <c r="BZ428" i="1"/>
  <c r="BZ429" i="1"/>
  <c r="AI6" i="6"/>
  <c r="BZ431" i="1"/>
  <c r="BZ432" i="1"/>
  <c r="BZ433" i="1"/>
  <c r="BZ434" i="1"/>
  <c r="BZ435" i="1"/>
  <c r="BZ436" i="1"/>
  <c r="BZ437" i="1"/>
  <c r="BZ438" i="1"/>
  <c r="BZ439" i="1"/>
  <c r="BZ440" i="1"/>
  <c r="BZ441" i="1"/>
  <c r="BZ442" i="1"/>
  <c r="BZ443" i="1"/>
  <c r="BZ444" i="1"/>
  <c r="BZ445" i="1"/>
  <c r="BZ446" i="1"/>
  <c r="BZ447" i="1"/>
  <c r="BZ448" i="1"/>
  <c r="BZ449" i="1"/>
  <c r="BZ450" i="1"/>
  <c r="BZ451" i="1"/>
  <c r="BZ452" i="1"/>
  <c r="BZ453" i="1"/>
  <c r="BZ454" i="1"/>
  <c r="BZ455" i="1"/>
  <c r="BZ456" i="1"/>
  <c r="BZ457" i="1"/>
  <c r="BZ458" i="1"/>
  <c r="BZ459" i="1"/>
  <c r="BZ460" i="1"/>
  <c r="BZ461" i="1"/>
  <c r="BZ462" i="1"/>
  <c r="BZ463" i="1"/>
  <c r="BY553" i="1"/>
  <c r="BY554" i="1"/>
  <c r="BY555" i="1"/>
  <c r="BZ536" i="1"/>
  <c r="BZ537" i="1"/>
  <c r="BZ538" i="1"/>
  <c r="BZ539" i="1"/>
  <c r="BZ540" i="1"/>
  <c r="BZ541" i="1"/>
  <c r="BZ542" i="1"/>
  <c r="BZ543" i="1"/>
  <c r="BZ544" i="1"/>
  <c r="BZ545" i="1"/>
  <c r="BZ546" i="1"/>
  <c r="BZ547" i="1"/>
  <c r="BZ548" i="1"/>
  <c r="BZ549" i="1"/>
  <c r="BZ550" i="1"/>
  <c r="BZ551" i="1"/>
  <c r="BZ552" i="1"/>
  <c r="BZ553" i="1"/>
  <c r="BY556" i="1"/>
  <c r="BY557" i="1"/>
  <c r="BY558" i="1"/>
  <c r="BY559" i="1"/>
  <c r="BY560" i="1"/>
  <c r="BY561" i="1"/>
  <c r="BY563" i="1"/>
  <c r="BY564" i="1"/>
  <c r="BY565" i="1"/>
  <c r="BX558" i="1"/>
  <c r="BX559" i="1"/>
  <c r="BX560" i="1"/>
  <c r="BX561" i="1"/>
  <c r="BX562" i="1"/>
  <c r="BX563" i="1"/>
  <c r="BX564" i="1"/>
  <c r="BZ464" i="1"/>
  <c r="BZ465" i="1"/>
  <c r="BZ466" i="1"/>
  <c r="BZ467" i="1"/>
  <c r="BZ468" i="1"/>
  <c r="BZ469" i="1"/>
  <c r="BZ470" i="1"/>
  <c r="BZ471" i="1"/>
  <c r="BZ472" i="1"/>
  <c r="BZ473" i="1"/>
  <c r="BZ474" i="1"/>
  <c r="BZ475" i="1"/>
  <c r="BZ476" i="1"/>
  <c r="BZ477" i="1"/>
  <c r="BZ478" i="1"/>
  <c r="BZ479" i="1"/>
  <c r="BZ480" i="1"/>
  <c r="BZ481" i="1"/>
  <c r="BZ482" i="1"/>
  <c r="BZ483" i="1"/>
  <c r="BZ484" i="1"/>
  <c r="BZ485" i="1"/>
  <c r="BZ486" i="1"/>
  <c r="BZ487" i="1"/>
  <c r="BZ488" i="1"/>
  <c r="BZ489" i="1"/>
  <c r="BZ490" i="1"/>
  <c r="BZ491" i="1"/>
  <c r="BZ492" i="1"/>
  <c r="BZ493" i="1"/>
  <c r="BZ494" i="1"/>
  <c r="BZ495" i="1"/>
  <c r="BZ496" i="1"/>
  <c r="BZ497" i="1"/>
  <c r="BZ498" i="1"/>
  <c r="BZ499" i="1"/>
  <c r="BZ500" i="1"/>
  <c r="BZ501" i="1"/>
  <c r="BZ502" i="1"/>
  <c r="BZ503" i="1"/>
  <c r="BZ504" i="1"/>
  <c r="BZ505" i="1"/>
  <c r="BZ506" i="1"/>
  <c r="BZ507" i="1"/>
  <c r="BZ508" i="1"/>
  <c r="BZ509" i="1"/>
  <c r="BZ510" i="1"/>
  <c r="BZ511" i="1"/>
  <c r="BZ512" i="1"/>
  <c r="BZ513" i="1"/>
  <c r="BZ514" i="1"/>
  <c r="BZ515" i="1"/>
  <c r="BZ516" i="1"/>
  <c r="BZ517" i="1"/>
  <c r="BZ518" i="1"/>
  <c r="BZ519" i="1"/>
  <c r="BZ520" i="1"/>
  <c r="BZ521" i="1"/>
  <c r="BZ522" i="1"/>
  <c r="BZ523" i="1"/>
  <c r="BZ524" i="1"/>
  <c r="BZ525" i="1"/>
  <c r="BZ526" i="1"/>
  <c r="BZ527" i="1"/>
  <c r="BZ528" i="1"/>
  <c r="BZ529" i="1"/>
  <c r="BZ530" i="1"/>
  <c r="BZ531" i="1"/>
  <c r="BZ532" i="1"/>
  <c r="BZ533" i="1"/>
  <c r="BZ534" i="1"/>
  <c r="BZ535" i="1"/>
  <c r="BY566" i="1"/>
  <c r="BY567" i="1"/>
  <c r="BY568" i="1"/>
  <c r="BY569" i="1"/>
  <c r="BY570" i="1"/>
  <c r="BY571" i="1"/>
  <c r="BY572" i="1"/>
  <c r="BZ282" i="1"/>
  <c r="BZ347" i="1"/>
  <c r="BZ348" i="1"/>
  <c r="BZ349" i="1"/>
  <c r="BZ350" i="1"/>
  <c r="BZ351" i="1"/>
  <c r="BZ352" i="1"/>
  <c r="BZ353" i="1"/>
  <c r="BZ354" i="1"/>
  <c r="BZ355" i="1"/>
  <c r="BZ356" i="1"/>
  <c r="BZ357" i="1"/>
  <c r="BZ358" i="1"/>
  <c r="BZ359" i="1"/>
  <c r="BZ360" i="1"/>
  <c r="BZ361" i="1"/>
  <c r="BZ362" i="1"/>
  <c r="BX565" i="1"/>
  <c r="BX566" i="1"/>
  <c r="BZ392" i="1"/>
  <c r="BZ393" i="1"/>
  <c r="BZ241" i="1"/>
  <c r="BZ242" i="1"/>
  <c r="BZ243" i="1"/>
  <c r="BZ244" i="1"/>
  <c r="BZ245" i="1"/>
  <c r="BZ246" i="1"/>
  <c r="BZ247" i="1"/>
  <c r="BZ248" i="1"/>
  <c r="BZ249" i="1"/>
  <c r="BZ314" i="1"/>
  <c r="BZ315" i="1"/>
  <c r="BZ316" i="1"/>
  <c r="BZ317" i="1"/>
  <c r="BZ318" i="1"/>
  <c r="BZ319" i="1"/>
  <c r="BZ320" i="1"/>
  <c r="BZ321" i="1"/>
  <c r="BZ322" i="1"/>
  <c r="BZ323" i="1"/>
  <c r="BZ324" i="1"/>
  <c r="BZ325" i="1"/>
  <c r="BZ326" i="1"/>
  <c r="BZ327" i="1"/>
  <c r="BZ328" i="1"/>
  <c r="BZ329" i="1"/>
  <c r="BZ330" i="1"/>
  <c r="BZ331" i="1"/>
  <c r="BZ332" i="1"/>
  <c r="BZ333" i="1"/>
  <c r="BZ334" i="1"/>
  <c r="BZ335" i="1"/>
  <c r="BZ336" i="1"/>
  <c r="BZ337" i="1"/>
  <c r="BZ338" i="1"/>
  <c r="BZ339" i="1"/>
  <c r="BZ340" i="1"/>
  <c r="BZ341" i="1"/>
  <c r="BZ342" i="1"/>
  <c r="BZ343" i="1"/>
  <c r="BZ344" i="1"/>
  <c r="BZ345" i="1"/>
  <c r="BZ346" i="1"/>
  <c r="BY699" i="1"/>
  <c r="BY700" i="1"/>
  <c r="BY574" i="1"/>
  <c r="BY575" i="1"/>
  <c r="BY576" i="1"/>
  <c r="BY577" i="1"/>
  <c r="BY578" i="1"/>
  <c r="BY579" i="1"/>
  <c r="BY580" i="1"/>
  <c r="BY581" i="1"/>
  <c r="BY582" i="1"/>
  <c r="BY586" i="1"/>
  <c r="BY587" i="1"/>
  <c r="BY588" i="1"/>
  <c r="BY589" i="1"/>
  <c r="BY590" i="1"/>
  <c r="BY591" i="1"/>
  <c r="BY583" i="1"/>
  <c r="BY584" i="1"/>
  <c r="BY585" i="1"/>
  <c r="BY610" i="1"/>
  <c r="BY611" i="1"/>
  <c r="BY603" i="1"/>
  <c r="BY604" i="1"/>
  <c r="BY605" i="1"/>
  <c r="BY606" i="1"/>
  <c r="BY607" i="1"/>
  <c r="BY608" i="1"/>
  <c r="BY609" i="1"/>
  <c r="BY602" i="1"/>
  <c r="BY598" i="1"/>
  <c r="BY599" i="1"/>
  <c r="BY600" i="1"/>
  <c r="BY601" i="1"/>
  <c r="BY596" i="1"/>
  <c r="BY597" i="1"/>
  <c r="BY617" i="1"/>
  <c r="BY618" i="1"/>
  <c r="BY612" i="1"/>
  <c r="BY619" i="1"/>
  <c r="BY620" i="1"/>
  <c r="BY629" i="1"/>
  <c r="BY630" i="1"/>
  <c r="BY631" i="1"/>
  <c r="BY632" i="1"/>
  <c r="BY626" i="1"/>
  <c r="BY627" i="1"/>
  <c r="BY628" i="1"/>
  <c r="BY633" i="1"/>
  <c r="BY634" i="1"/>
  <c r="BY635" i="1"/>
  <c r="BY636" i="1"/>
  <c r="BY664" i="1"/>
  <c r="BY654" i="1"/>
  <c r="BY655" i="1"/>
  <c r="BY656" i="1"/>
  <c r="BY657" i="1"/>
  <c r="BY658" i="1"/>
  <c r="BY659" i="1"/>
  <c r="BY660" i="1"/>
  <c r="BY625" i="1"/>
  <c r="BY621" i="1"/>
  <c r="BY622" i="1"/>
  <c r="BY623" i="1"/>
  <c r="BY624" i="1"/>
  <c r="BY637" i="1"/>
  <c r="BY638" i="1"/>
  <c r="BY639" i="1"/>
  <c r="BY640" i="1"/>
  <c r="BY641" i="1"/>
  <c r="BY642" i="1"/>
  <c r="BY643" i="1"/>
  <c r="BY644" i="1"/>
  <c r="BY645" i="1"/>
  <c r="BY646" i="1"/>
  <c r="BY647" i="1"/>
  <c r="BY648" i="1"/>
  <c r="BY649" i="1"/>
  <c r="BY650" i="1"/>
  <c r="BY651" i="1"/>
  <c r="BY652" i="1"/>
  <c r="BY653" i="1"/>
  <c r="BY661" i="1"/>
  <c r="BY662" i="1"/>
  <c r="BY663" i="1"/>
  <c r="BY672" i="1"/>
  <c r="BY673" i="1"/>
  <c r="BY674" i="1"/>
  <c r="BY671" i="1"/>
  <c r="BY665" i="1"/>
  <c r="BY666" i="1"/>
  <c r="BY667" i="1"/>
  <c r="BY668" i="1"/>
  <c r="BY669" i="1"/>
  <c r="BY670" i="1"/>
  <c r="BY686" i="1"/>
  <c r="BY685" i="1"/>
  <c r="BY687" i="1"/>
  <c r="BY688" i="1"/>
  <c r="BY689" i="1"/>
  <c r="BY690" i="1"/>
  <c r="BY691" i="1"/>
  <c r="BY696" i="1"/>
  <c r="BY692" i="1"/>
  <c r="BY693" i="1"/>
  <c r="BY694" i="1"/>
  <c r="BY695" i="1"/>
  <c r="BY698" i="1"/>
  <c r="BY592" i="1"/>
  <c r="BY593" i="1"/>
  <c r="BY594" i="1"/>
  <c r="BY595" i="1"/>
  <c r="BY675" i="1"/>
  <c r="BY676" i="1"/>
  <c r="BY677" i="1"/>
  <c r="BY678" i="1"/>
  <c r="BY679" i="1"/>
  <c r="BY680" i="1"/>
  <c r="BY681" i="1"/>
  <c r="BY682" i="1"/>
  <c r="BY683" i="1"/>
  <c r="BY684" i="1"/>
  <c r="BY613" i="1"/>
  <c r="BY614" i="1"/>
  <c r="BY615" i="1"/>
  <c r="BY616" i="1"/>
  <c r="BY697" i="1"/>
  <c r="BZ769" i="1"/>
  <c r="BZ770" i="1"/>
  <c r="BZ771" i="1"/>
  <c r="BZ772" i="1"/>
  <c r="BZ773" i="1"/>
  <c r="BZ774" i="1"/>
  <c r="BZ775" i="1"/>
  <c r="BZ776" i="1"/>
  <c r="BZ777" i="1"/>
  <c r="BZ778" i="1"/>
  <c r="BZ779" i="1"/>
  <c r="BZ780" i="1"/>
  <c r="BZ781" i="1"/>
  <c r="BZ782" i="1"/>
  <c r="BZ783" i="1"/>
  <c r="BZ784" i="1"/>
  <c r="BZ785" i="1"/>
  <c r="BZ786" i="1"/>
  <c r="BZ787" i="1"/>
  <c r="BZ788" i="1"/>
  <c r="BZ789" i="1"/>
  <c r="BZ790" i="1"/>
  <c r="BZ791" i="1"/>
  <c r="BZ792" i="1"/>
  <c r="BZ793" i="1"/>
  <c r="BZ794" i="1"/>
  <c r="BZ795" i="1"/>
  <c r="BZ796" i="1"/>
  <c r="BZ797" i="1"/>
  <c r="BZ798" i="1"/>
  <c r="BZ799" i="1"/>
  <c r="BZ800" i="1"/>
  <c r="BZ801" i="1"/>
  <c r="BZ802" i="1"/>
  <c r="BZ803" i="1"/>
  <c r="BZ804" i="1"/>
  <c r="BZ805" i="1"/>
  <c r="BZ806" i="1"/>
  <c r="BZ807" i="1"/>
  <c r="BZ808" i="1"/>
  <c r="BZ809" i="1"/>
  <c r="BZ810" i="1"/>
  <c r="BZ811" i="1"/>
  <c r="BZ812" i="1"/>
  <c r="BZ813" i="1"/>
  <c r="BZ814" i="1"/>
  <c r="BZ815" i="1"/>
  <c r="BZ816" i="1"/>
  <c r="BZ817" i="1"/>
  <c r="BZ818" i="1"/>
  <c r="BZ819" i="1"/>
  <c r="BZ820" i="1"/>
  <c r="BZ821" i="1"/>
  <c r="BZ822" i="1"/>
  <c r="BZ823" i="1"/>
  <c r="BZ824" i="1"/>
  <c r="BZ825" i="1"/>
  <c r="BZ826" i="1"/>
  <c r="BZ827" i="1"/>
  <c r="BZ828" i="1"/>
  <c r="BZ829" i="1"/>
  <c r="BZ677" i="1"/>
  <c r="BZ678" i="1"/>
  <c r="BZ679" i="1"/>
  <c r="BZ680" i="1"/>
  <c r="BZ681" i="1"/>
  <c r="BZ682" i="1"/>
  <c r="BZ683" i="1"/>
  <c r="BZ674" i="1"/>
  <c r="BZ675" i="1"/>
  <c r="BZ676" i="1"/>
  <c r="BZ684" i="1"/>
  <c r="BZ685" i="1"/>
  <c r="BZ686" i="1"/>
  <c r="BZ687" i="1"/>
  <c r="BZ688" i="1"/>
  <c r="BZ689" i="1"/>
  <c r="BZ690" i="1"/>
  <c r="BZ691" i="1"/>
  <c r="BZ692" i="1"/>
  <c r="BZ693" i="1"/>
  <c r="BZ694" i="1"/>
  <c r="BZ695" i="1"/>
  <c r="BZ696" i="1"/>
  <c r="BZ697" i="1"/>
  <c r="BZ698" i="1"/>
  <c r="BZ699" i="1"/>
  <c r="BZ700" i="1"/>
  <c r="BZ701" i="1"/>
  <c r="BZ702" i="1"/>
  <c r="BZ703" i="1"/>
  <c r="BZ704" i="1"/>
  <c r="BZ705" i="1"/>
  <c r="BZ706" i="1"/>
  <c r="BZ707" i="1"/>
  <c r="BZ708" i="1"/>
  <c r="BZ709" i="1"/>
  <c r="BZ710" i="1"/>
  <c r="BZ711" i="1"/>
  <c r="BZ712" i="1"/>
  <c r="BZ713" i="1"/>
  <c r="BZ714" i="1"/>
  <c r="BZ715" i="1"/>
  <c r="BZ716" i="1"/>
  <c r="BZ717" i="1"/>
  <c r="BZ718" i="1"/>
  <c r="BZ719" i="1"/>
  <c r="BZ720" i="1"/>
  <c r="BZ721" i="1"/>
  <c r="BZ722" i="1"/>
  <c r="BZ723" i="1"/>
  <c r="BZ724" i="1"/>
  <c r="BZ725" i="1"/>
  <c r="BZ726" i="1"/>
  <c r="BZ727" i="1"/>
  <c r="BZ728" i="1"/>
  <c r="BZ729" i="1"/>
  <c r="BZ730" i="1"/>
  <c r="BZ731" i="1"/>
  <c r="BZ732" i="1"/>
  <c r="BZ733" i="1"/>
  <c r="BZ734" i="1"/>
  <c r="BZ735" i="1"/>
  <c r="BZ736" i="1"/>
  <c r="BZ737" i="1"/>
  <c r="BZ738" i="1"/>
  <c r="BZ739" i="1"/>
  <c r="BZ740" i="1"/>
  <c r="BZ741" i="1"/>
  <c r="BZ742" i="1"/>
  <c r="BZ743" i="1"/>
  <c r="BZ744" i="1"/>
  <c r="BZ745" i="1"/>
  <c r="BZ746" i="1"/>
  <c r="BZ554" i="1"/>
  <c r="BZ555" i="1"/>
  <c r="BZ556" i="1"/>
  <c r="BZ557" i="1"/>
  <c r="BZ558" i="1"/>
  <c r="BZ559" i="1"/>
  <c r="BZ560" i="1"/>
  <c r="BZ561" i="1"/>
  <c r="BZ562" i="1"/>
  <c r="BZ563" i="1"/>
  <c r="BZ564" i="1"/>
  <c r="BZ565" i="1"/>
  <c r="BZ566" i="1"/>
  <c r="BZ567" i="1"/>
  <c r="BZ568" i="1"/>
  <c r="BZ569" i="1"/>
  <c r="BZ570" i="1"/>
  <c r="BZ571" i="1"/>
  <c r="BZ572" i="1"/>
  <c r="BZ573" i="1"/>
  <c r="BZ574" i="1"/>
  <c r="BZ575" i="1"/>
  <c r="BZ576" i="1"/>
  <c r="BZ577" i="1"/>
  <c r="BZ578" i="1"/>
  <c r="BZ579" i="1"/>
  <c r="BZ580" i="1"/>
  <c r="BZ581" i="1"/>
  <c r="BZ582" i="1"/>
  <c r="BZ583" i="1"/>
  <c r="BZ584" i="1"/>
  <c r="BZ585" i="1"/>
  <c r="BZ586" i="1"/>
  <c r="BZ587" i="1"/>
  <c r="BZ588" i="1"/>
  <c r="BZ589" i="1"/>
  <c r="BZ590" i="1"/>
  <c r="BZ591" i="1"/>
  <c r="BZ592" i="1"/>
  <c r="BZ593" i="1"/>
  <c r="BZ594" i="1"/>
  <c r="BZ595" i="1"/>
  <c r="BZ596" i="1"/>
  <c r="BZ597" i="1"/>
  <c r="BZ598" i="1"/>
  <c r="BZ599" i="1"/>
  <c r="BZ600" i="1"/>
  <c r="BZ601" i="1"/>
  <c r="BZ602" i="1"/>
  <c r="BZ603" i="1"/>
  <c r="BZ604" i="1"/>
  <c r="BZ635" i="1"/>
  <c r="BZ636" i="1"/>
  <c r="BZ637" i="1"/>
  <c r="BZ638" i="1"/>
  <c r="BZ639" i="1"/>
  <c r="BZ640" i="1"/>
  <c r="BZ641" i="1"/>
  <c r="BZ642" i="1"/>
  <c r="BZ643" i="1"/>
  <c r="BZ644" i="1"/>
  <c r="BZ645" i="1"/>
  <c r="BZ646" i="1"/>
  <c r="BZ647" i="1"/>
  <c r="BZ648" i="1"/>
  <c r="BZ649" i="1"/>
  <c r="BZ650" i="1"/>
  <c r="BZ651" i="1"/>
  <c r="BZ652" i="1"/>
  <c r="BZ653" i="1"/>
  <c r="BZ654" i="1"/>
  <c r="BZ655" i="1"/>
  <c r="BZ656" i="1"/>
  <c r="BZ657" i="1"/>
  <c r="BZ658" i="1"/>
  <c r="BZ659" i="1"/>
  <c r="BZ660" i="1"/>
  <c r="BZ661" i="1"/>
  <c r="BZ662" i="1"/>
  <c r="BZ663" i="1"/>
  <c r="BZ664" i="1"/>
  <c r="BZ665" i="1"/>
  <c r="BZ666" i="1"/>
  <c r="BZ667" i="1"/>
  <c r="BZ668" i="1"/>
  <c r="BZ669" i="1"/>
  <c r="BZ670" i="1"/>
  <c r="BZ671" i="1"/>
  <c r="BZ672" i="1"/>
  <c r="BZ673" i="1"/>
  <c r="BZ605" i="1"/>
  <c r="BZ606" i="1"/>
  <c r="BZ607" i="1"/>
  <c r="BZ608" i="1"/>
  <c r="BZ609" i="1"/>
  <c r="BZ610" i="1"/>
  <c r="BZ611" i="1"/>
  <c r="BZ612" i="1"/>
  <c r="BZ613" i="1"/>
  <c r="BZ614" i="1"/>
  <c r="BZ615" i="1"/>
  <c r="BZ616" i="1"/>
  <c r="BZ617" i="1"/>
  <c r="BZ618" i="1"/>
  <c r="BZ619" i="1"/>
  <c r="BZ620" i="1"/>
  <c r="BZ621" i="1"/>
  <c r="BZ622" i="1"/>
  <c r="BZ623" i="1"/>
  <c r="BZ624" i="1"/>
  <c r="BZ625" i="1"/>
  <c r="BZ626" i="1"/>
  <c r="BZ627" i="1"/>
  <c r="BZ628" i="1"/>
  <c r="BZ629" i="1"/>
  <c r="BZ630" i="1"/>
  <c r="BZ631" i="1"/>
  <c r="BZ632" i="1"/>
  <c r="BZ633" i="1"/>
  <c r="BZ634" i="1"/>
  <c r="BZ747" i="1"/>
  <c r="BZ748" i="1"/>
  <c r="BZ749" i="1"/>
  <c r="BZ750" i="1"/>
  <c r="BZ751" i="1"/>
  <c r="BZ752" i="1"/>
  <c r="BZ753" i="1"/>
  <c r="BZ754" i="1"/>
  <c r="BZ755" i="1"/>
  <c r="BZ756" i="1"/>
  <c r="BZ757" i="1"/>
  <c r="BZ758" i="1"/>
  <c r="BZ759" i="1"/>
  <c r="BZ760" i="1"/>
  <c r="BZ761" i="1"/>
  <c r="BZ762" i="1"/>
  <c r="BZ763" i="1"/>
  <c r="BZ764" i="1"/>
  <c r="BZ765" i="1"/>
  <c r="BZ766" i="1"/>
  <c r="BZ767" i="1"/>
  <c r="BZ768" i="1"/>
  <c r="BX808" i="1"/>
  <c r="BX809" i="1"/>
  <c r="BX810" i="1"/>
  <c r="BX811" i="1"/>
  <c r="BX812" i="1"/>
  <c r="BX807" i="1"/>
  <c r="BX590" i="1"/>
  <c r="BX591" i="1"/>
  <c r="BX592" i="1"/>
  <c r="BX593" i="1"/>
  <c r="BX567" i="1"/>
  <c r="BX568" i="1"/>
  <c r="BX569" i="1"/>
  <c r="BX570" i="1"/>
  <c r="BX571" i="1"/>
  <c r="BX572" i="1"/>
  <c r="BX573" i="1"/>
  <c r="BX574" i="1"/>
  <c r="BX575" i="1"/>
  <c r="BX576" i="1"/>
  <c r="BX577" i="1"/>
  <c r="BX578" i="1"/>
  <c r="BX579" i="1"/>
  <c r="BX580" i="1"/>
  <c r="BX581" i="1"/>
  <c r="BX582" i="1"/>
  <c r="BX583" i="1"/>
  <c r="BX584" i="1"/>
  <c r="BX585" i="1"/>
  <c r="BX586" i="1"/>
  <c r="BX594" i="1"/>
  <c r="BX595" i="1"/>
  <c r="BX596" i="1"/>
  <c r="BX597" i="1"/>
  <c r="BX598" i="1"/>
  <c r="BX599" i="1"/>
  <c r="BX600" i="1"/>
  <c r="BX601" i="1"/>
  <c r="BX602" i="1"/>
  <c r="BX603" i="1"/>
  <c r="BX604" i="1"/>
  <c r="BX605" i="1"/>
  <c r="BX606" i="1"/>
  <c r="BX643" i="1"/>
  <c r="BX644" i="1"/>
  <c r="BX645" i="1"/>
  <c r="BX646" i="1"/>
  <c r="BX647" i="1"/>
  <c r="BX648" i="1"/>
  <c r="BX641" i="1"/>
  <c r="BX642" i="1"/>
  <c r="BX607" i="1"/>
  <c r="BX638" i="1"/>
  <c r="BX639" i="1"/>
  <c r="BX640" i="1"/>
  <c r="BX649" i="1"/>
  <c r="BX650" i="1"/>
  <c r="BX651" i="1"/>
  <c r="BX652" i="1"/>
  <c r="BX587" i="1"/>
  <c r="BX588" i="1"/>
  <c r="BX589" i="1"/>
  <c r="BX608" i="1"/>
  <c r="BX609" i="1"/>
  <c r="BX610" i="1"/>
  <c r="BX611" i="1"/>
  <c r="BX612" i="1"/>
  <c r="BX613" i="1"/>
  <c r="BX614" i="1"/>
  <c r="BX615" i="1"/>
  <c r="BX616" i="1"/>
  <c r="BX617" i="1"/>
  <c r="BX618" i="1"/>
  <c r="BX619" i="1"/>
  <c r="BX620" i="1"/>
  <c r="BX621" i="1"/>
  <c r="BX622" i="1"/>
  <c r="BX623" i="1"/>
  <c r="BX624" i="1"/>
  <c r="BX625" i="1"/>
  <c r="BX626" i="1"/>
  <c r="BX627" i="1"/>
  <c r="BX628" i="1"/>
  <c r="BX629" i="1"/>
  <c r="BX630" i="1"/>
  <c r="BX631" i="1"/>
  <c r="BX632" i="1"/>
  <c r="BX633" i="1"/>
  <c r="BX634" i="1"/>
  <c r="BX635" i="1"/>
  <c r="BX636" i="1"/>
  <c r="BX637" i="1"/>
  <c r="BX659" i="1"/>
  <c r="BX660" i="1"/>
  <c r="BX661" i="1"/>
  <c r="BX662" i="1"/>
  <c r="BX653" i="1"/>
  <c r="BX654" i="1"/>
  <c r="BX655" i="1"/>
  <c r="BX656" i="1"/>
  <c r="BX657" i="1"/>
  <c r="BX658" i="1"/>
  <c r="BX663" i="1"/>
  <c r="BX664" i="1"/>
  <c r="BX665" i="1"/>
  <c r="BX666" i="1"/>
  <c r="BX667" i="1"/>
  <c r="BX668" i="1"/>
  <c r="BX669" i="1"/>
  <c r="BX670" i="1"/>
  <c r="BX671" i="1"/>
  <c r="BX672" i="1"/>
  <c r="BX673" i="1"/>
  <c r="BX674" i="1"/>
  <c r="BX675" i="1"/>
  <c r="BX676" i="1"/>
  <c r="BX677" i="1"/>
  <c r="BX678" i="1"/>
  <c r="BX679" i="1"/>
  <c r="BX680" i="1"/>
  <c r="BX681" i="1"/>
  <c r="BX682" i="1"/>
  <c r="BX683" i="1"/>
  <c r="BX684" i="1"/>
  <c r="BX685" i="1"/>
  <c r="BX686" i="1"/>
  <c r="BX687" i="1"/>
  <c r="BX688" i="1"/>
  <c r="BX689" i="1"/>
  <c r="BX690" i="1"/>
  <c r="BX691" i="1"/>
  <c r="BX692" i="1"/>
  <c r="BX693" i="1"/>
  <c r="BX694" i="1"/>
  <c r="BX695" i="1"/>
  <c r="BX696" i="1"/>
  <c r="BX697" i="1"/>
  <c r="BX698" i="1"/>
  <c r="BX699" i="1"/>
  <c r="BX730" i="1"/>
  <c r="BX731" i="1"/>
  <c r="BX732" i="1"/>
  <c r="BX733" i="1"/>
  <c r="BX734" i="1"/>
  <c r="BX735" i="1"/>
  <c r="BX729" i="1"/>
  <c r="BX736" i="1"/>
  <c r="BX737" i="1"/>
  <c r="BX738" i="1"/>
  <c r="BX739" i="1"/>
  <c r="BX740" i="1"/>
  <c r="BX741" i="1"/>
  <c r="BX742" i="1"/>
  <c r="BX743" i="1"/>
  <c r="BX744" i="1"/>
  <c r="BX745" i="1"/>
  <c r="BX746" i="1"/>
  <c r="BX747" i="1"/>
  <c r="BX748" i="1"/>
  <c r="BX749" i="1"/>
  <c r="BX750" i="1"/>
  <c r="BX751" i="1"/>
  <c r="BX752" i="1"/>
  <c r="BX753" i="1"/>
  <c r="BX754" i="1"/>
  <c r="BX755" i="1"/>
  <c r="BX756" i="1"/>
  <c r="BX757" i="1"/>
  <c r="BX758" i="1"/>
  <c r="BX759" i="1"/>
  <c r="BX760" i="1"/>
  <c r="BX761" i="1"/>
  <c r="BX762" i="1"/>
  <c r="BX763" i="1"/>
  <c r="BX764" i="1"/>
  <c r="BX765" i="1"/>
  <c r="BX766" i="1"/>
  <c r="BX767" i="1"/>
  <c r="BX768" i="1"/>
  <c r="BX769" i="1"/>
  <c r="BX770" i="1"/>
  <c r="BX771" i="1"/>
  <c r="BX772" i="1"/>
  <c r="BX773" i="1"/>
  <c r="BX774" i="1"/>
  <c r="BX775" i="1"/>
  <c r="BX776" i="1"/>
  <c r="BX777" i="1"/>
  <c r="BX778" i="1"/>
  <c r="BX779" i="1"/>
  <c r="BX780" i="1"/>
  <c r="BX781" i="1"/>
  <c r="BX782" i="1"/>
  <c r="BX783" i="1"/>
  <c r="BX784" i="1"/>
  <c r="BX785" i="1"/>
  <c r="BX786" i="1"/>
  <c r="BX787" i="1"/>
  <c r="BX788" i="1"/>
  <c r="BX789" i="1"/>
  <c r="BX790" i="1"/>
  <c r="BX791" i="1"/>
  <c r="BX792" i="1"/>
  <c r="BX793" i="1"/>
  <c r="BX794" i="1"/>
  <c r="BX795" i="1"/>
  <c r="BX796" i="1"/>
  <c r="BX797" i="1"/>
  <c r="BX798" i="1"/>
  <c r="BX799" i="1"/>
  <c r="BX800" i="1"/>
  <c r="BX801" i="1"/>
  <c r="BX802" i="1"/>
  <c r="BX803" i="1"/>
  <c r="BX804" i="1"/>
  <c r="BX805" i="1"/>
  <c r="BX806" i="1"/>
  <c r="BX700" i="1"/>
  <c r="BX701" i="1"/>
  <c r="BX702" i="1"/>
  <c r="BX703" i="1"/>
  <c r="BX704" i="1"/>
  <c r="BX705" i="1"/>
  <c r="BX706" i="1"/>
  <c r="BX707" i="1"/>
  <c r="BX708" i="1"/>
  <c r="BX709" i="1"/>
  <c r="BX710" i="1"/>
  <c r="BX711" i="1"/>
  <c r="BX712" i="1"/>
  <c r="BX713" i="1"/>
  <c r="BX714" i="1"/>
  <c r="BX715" i="1"/>
  <c r="BX716" i="1"/>
  <c r="BX717" i="1"/>
  <c r="BX718" i="1"/>
  <c r="BX719" i="1"/>
  <c r="BX720" i="1"/>
  <c r="BX721" i="1"/>
  <c r="BX722" i="1"/>
  <c r="BX723" i="1"/>
  <c r="BX724" i="1"/>
  <c r="BX725" i="1"/>
  <c r="BX726" i="1"/>
  <c r="BX727" i="1"/>
  <c r="BX728" i="1"/>
  <c r="BY922" i="1"/>
  <c r="BY716" i="1"/>
  <c r="BY717" i="1"/>
  <c r="BY718" i="1"/>
  <c r="BY708" i="1"/>
  <c r="BY709" i="1"/>
  <c r="BY710" i="1"/>
  <c r="BY711" i="1"/>
  <c r="BY712" i="1"/>
  <c r="BY713" i="1"/>
  <c r="BY714" i="1"/>
  <c r="BY715" i="1"/>
  <c r="BY724" i="1"/>
  <c r="BY725" i="1"/>
  <c r="BY726" i="1"/>
  <c r="BY719" i="1"/>
  <c r="BY720" i="1"/>
  <c r="BY721" i="1"/>
  <c r="BY722" i="1"/>
  <c r="BY723" i="1"/>
  <c r="BY727" i="1"/>
  <c r="BY728" i="1"/>
  <c r="BY729" i="1"/>
  <c r="BY730" i="1"/>
  <c r="BY731" i="1"/>
  <c r="BY732" i="1"/>
  <c r="BY733" i="1"/>
  <c r="BY734" i="1"/>
  <c r="BY735" i="1"/>
  <c r="BY736" i="1"/>
  <c r="BY737" i="1"/>
  <c r="BY748" i="1"/>
  <c r="BY746" i="1"/>
  <c r="BY747" i="1"/>
  <c r="BY739" i="1"/>
  <c r="BY740" i="1"/>
  <c r="BY741" i="1"/>
  <c r="BY742" i="1"/>
  <c r="BY743" i="1"/>
  <c r="BY744" i="1"/>
  <c r="BY745" i="1"/>
  <c r="BY738" i="1"/>
  <c r="BY749" i="1"/>
  <c r="BY750" i="1"/>
  <c r="BY751" i="1"/>
  <c r="BY752" i="1"/>
  <c r="BY753" i="1"/>
  <c r="BY754" i="1"/>
  <c r="BY755" i="1"/>
  <c r="BY756" i="1"/>
  <c r="BY757" i="1"/>
  <c r="BY758" i="1"/>
  <c r="BY759" i="1"/>
  <c r="BY760" i="1"/>
  <c r="BY761" i="1"/>
  <c r="BY762" i="1"/>
  <c r="BY763" i="1"/>
  <c r="BY767" i="1"/>
  <c r="BY768" i="1"/>
  <c r="BY769" i="1"/>
  <c r="BY770" i="1"/>
  <c r="BY771" i="1"/>
  <c r="BY772" i="1"/>
  <c r="BY773" i="1"/>
  <c r="BY774" i="1"/>
  <c r="BY775" i="1"/>
  <c r="BY776" i="1"/>
  <c r="BY777" i="1"/>
  <c r="BY778" i="1"/>
  <c r="BY779" i="1"/>
  <c r="BY780" i="1"/>
  <c r="BY783" i="1"/>
  <c r="BY784" i="1"/>
  <c r="BY785" i="1"/>
  <c r="BY786" i="1"/>
  <c r="BY787" i="1"/>
  <c r="BY788" i="1"/>
  <c r="BY790" i="1"/>
  <c r="BY791" i="1"/>
  <c r="BY792" i="1"/>
  <c r="BY793" i="1"/>
  <c r="BY794" i="1"/>
  <c r="BY795" i="1"/>
  <c r="BY796" i="1"/>
  <c r="BY797" i="1"/>
  <c r="BY798" i="1"/>
  <c r="BY799" i="1"/>
  <c r="BY789" i="1"/>
  <c r="BY800" i="1"/>
  <c r="BY801" i="1"/>
  <c r="BY802" i="1"/>
  <c r="BY803" i="1"/>
  <c r="BY804" i="1"/>
  <c r="BY805" i="1"/>
  <c r="BY806" i="1"/>
  <c r="BY807" i="1"/>
  <c r="BY808" i="1"/>
  <c r="BY809" i="1"/>
  <c r="BY810" i="1"/>
  <c r="BY836" i="1"/>
  <c r="BY837" i="1"/>
  <c r="BY838" i="1"/>
  <c r="BY839" i="1"/>
  <c r="BY840" i="1"/>
  <c r="BY841" i="1"/>
  <c r="BY842" i="1"/>
  <c r="BY843" i="1"/>
  <c r="BY827" i="1"/>
  <c r="BY828" i="1"/>
  <c r="BY829" i="1"/>
  <c r="BY830" i="1"/>
  <c r="BY831" i="1"/>
  <c r="BY832" i="1"/>
  <c r="BY833" i="1"/>
  <c r="BY834" i="1"/>
  <c r="BY835" i="1"/>
  <c r="BY826" i="1"/>
  <c r="BY868" i="1"/>
  <c r="BY847" i="1"/>
  <c r="BY848" i="1"/>
  <c r="BY849" i="1"/>
  <c r="BY850" i="1"/>
  <c r="BY851" i="1"/>
  <c r="BY852" i="1"/>
  <c r="BY853" i="1"/>
  <c r="BY854" i="1"/>
  <c r="BY855" i="1"/>
  <c r="BY856" i="1"/>
  <c r="BY857" i="1"/>
  <c r="BY858" i="1"/>
  <c r="BY859" i="1"/>
  <c r="BY860" i="1"/>
  <c r="BY861" i="1"/>
  <c r="BY862" i="1"/>
  <c r="BY863" i="1"/>
  <c r="BY864" i="1"/>
  <c r="BY865" i="1"/>
  <c r="BY866" i="1"/>
  <c r="BY867" i="1"/>
  <c r="BY913" i="1"/>
  <c r="BY906" i="1"/>
  <c r="BY907" i="1"/>
  <c r="BY908" i="1"/>
  <c r="BY909" i="1"/>
  <c r="BY910" i="1"/>
  <c r="BY911" i="1"/>
  <c r="BY912" i="1"/>
  <c r="BY920" i="1"/>
  <c r="BY921" i="1"/>
  <c r="BY914" i="1"/>
  <c r="BY915" i="1"/>
  <c r="BY916" i="1"/>
  <c r="BY917" i="1"/>
  <c r="BY918" i="1"/>
  <c r="BY919" i="1"/>
  <c r="BY812" i="1"/>
  <c r="BY813" i="1"/>
  <c r="BY814" i="1"/>
  <c r="BY815" i="1"/>
  <c r="BY816" i="1"/>
  <c r="BY817" i="1"/>
  <c r="BY818" i="1"/>
  <c r="BY819" i="1"/>
  <c r="BY820" i="1"/>
  <c r="BY821" i="1"/>
  <c r="BY822" i="1"/>
  <c r="BY823" i="1"/>
  <c r="BY824" i="1"/>
  <c r="BY825" i="1"/>
  <c r="BY895" i="1"/>
  <c r="BY811" i="1"/>
  <c r="BY781" i="1"/>
  <c r="BY782" i="1"/>
  <c r="BY844" i="1"/>
  <c r="BY845" i="1"/>
  <c r="BY846" i="1"/>
  <c r="BY869" i="1"/>
  <c r="BY870" i="1"/>
  <c r="BY871" i="1"/>
  <c r="BY872" i="1"/>
  <c r="BY873" i="1"/>
  <c r="BY874" i="1"/>
  <c r="BY875" i="1"/>
  <c r="BY876" i="1"/>
  <c r="BY903" i="1"/>
  <c r="BY904" i="1"/>
  <c r="BY905" i="1"/>
  <c r="BY902" i="1"/>
  <c r="BY896" i="1"/>
  <c r="BY897" i="1"/>
  <c r="BY898" i="1"/>
  <c r="BY899" i="1"/>
  <c r="BY900" i="1"/>
  <c r="BY901" i="1"/>
  <c r="BY701" i="1"/>
  <c r="BY702" i="1"/>
  <c r="BY703" i="1"/>
  <c r="BY704" i="1"/>
  <c r="BY705" i="1"/>
  <c r="BY706" i="1"/>
  <c r="BY707" i="1"/>
  <c r="BY891" i="1"/>
  <c r="BY892" i="1"/>
  <c r="BY893" i="1"/>
  <c r="BY894" i="1"/>
  <c r="BY890" i="1"/>
  <c r="BY888" i="1"/>
  <c r="BY889" i="1"/>
  <c r="BY877" i="1"/>
  <c r="BY764" i="1"/>
  <c r="BY765" i="1"/>
  <c r="BY766" i="1"/>
  <c r="BY885" i="1"/>
  <c r="BY886" i="1"/>
  <c r="BY887" i="1"/>
  <c r="BY878" i="1"/>
  <c r="BY879" i="1"/>
  <c r="BY880" i="1"/>
  <c r="BY881" i="1"/>
  <c r="BY882" i="1"/>
  <c r="BY883" i="1"/>
  <c r="BY884" i="1"/>
  <c r="BX927" i="1"/>
  <c r="BX928" i="1"/>
  <c r="BX929" i="1"/>
  <c r="BX930" i="1"/>
  <c r="BX931" i="1"/>
  <c r="BX932" i="1"/>
  <c r="BX933" i="1"/>
  <c r="BX934" i="1"/>
  <c r="BX935" i="1"/>
  <c r="BX936" i="1"/>
  <c r="BX937" i="1"/>
  <c r="BX938" i="1"/>
  <c r="BX939" i="1"/>
  <c r="BX940" i="1"/>
  <c r="BX941" i="1"/>
  <c r="BX942" i="1"/>
  <c r="BX943" i="1"/>
  <c r="BX944" i="1"/>
  <c r="BX945" i="1"/>
  <c r="BX946" i="1"/>
  <c r="BX947" i="1"/>
  <c r="BX948" i="1"/>
  <c r="BX949" i="1"/>
  <c r="BX950" i="1"/>
  <c r="BX951" i="1"/>
  <c r="BX952" i="1"/>
  <c r="BX953" i="1"/>
  <c r="BX954" i="1"/>
  <c r="BX955" i="1"/>
  <c r="BX956" i="1"/>
  <c r="BX813" i="1"/>
  <c r="BX814" i="1"/>
  <c r="BX815" i="1"/>
  <c r="BX816" i="1"/>
  <c r="BX817" i="1"/>
  <c r="BX818" i="1"/>
  <c r="BX819" i="1"/>
  <c r="BX820" i="1"/>
  <c r="BX821" i="1"/>
  <c r="BX822" i="1"/>
  <c r="BX823" i="1"/>
  <c r="BX824" i="1"/>
  <c r="BX825" i="1"/>
  <c r="BX826" i="1"/>
  <c r="BX827" i="1"/>
  <c r="BX828" i="1"/>
  <c r="BX829" i="1"/>
  <c r="BX830" i="1"/>
  <c r="BX831" i="1"/>
  <c r="BX832" i="1"/>
  <c r="BX833" i="1"/>
  <c r="BX834" i="1"/>
  <c r="BX835" i="1"/>
  <c r="BX836" i="1"/>
  <c r="BX837" i="1"/>
  <c r="BX838" i="1"/>
  <c r="BX839" i="1"/>
  <c r="BX840" i="1"/>
  <c r="BX841" i="1"/>
  <c r="BX842" i="1"/>
  <c r="BX843" i="1"/>
  <c r="BX844" i="1"/>
  <c r="BX845" i="1"/>
  <c r="BX846" i="1"/>
  <c r="BX847" i="1"/>
  <c r="BX848" i="1"/>
  <c r="BX849" i="1"/>
  <c r="BX850" i="1"/>
  <c r="BX851" i="1"/>
  <c r="BX852" i="1"/>
  <c r="BX853" i="1"/>
  <c r="BX854" i="1"/>
  <c r="BX855" i="1"/>
  <c r="BX856" i="1"/>
  <c r="BX857" i="1"/>
  <c r="BX858" i="1"/>
  <c r="BX859" i="1"/>
  <c r="BX860" i="1"/>
  <c r="BX861" i="1"/>
  <c r="BX862" i="1"/>
  <c r="BX863" i="1"/>
  <c r="BX864" i="1"/>
  <c r="BX865" i="1"/>
  <c r="BX866" i="1"/>
  <c r="BX867" i="1"/>
  <c r="BX868" i="1"/>
  <c r="BX869" i="1"/>
  <c r="BX870" i="1"/>
  <c r="BX871" i="1"/>
  <c r="BX872" i="1"/>
  <c r="BX873" i="1"/>
  <c r="BX904" i="1"/>
  <c r="BX905" i="1"/>
  <c r="BX906" i="1"/>
  <c r="BX907" i="1"/>
  <c r="BX908" i="1"/>
  <c r="BX909" i="1"/>
  <c r="BX910" i="1"/>
  <c r="BX911" i="1"/>
  <c r="BX912" i="1"/>
  <c r="BX913" i="1"/>
  <c r="BX914" i="1"/>
  <c r="BX915" i="1"/>
  <c r="BX899" i="1"/>
  <c r="BX900" i="1"/>
  <c r="BX901" i="1"/>
  <c r="BX902" i="1"/>
  <c r="BX903" i="1"/>
  <c r="BX916" i="1"/>
  <c r="BX917" i="1"/>
  <c r="BX918" i="1"/>
  <c r="BX919" i="1"/>
  <c r="BX920" i="1"/>
  <c r="BX921" i="1"/>
  <c r="BX922" i="1"/>
  <c r="BX923" i="1"/>
  <c r="BX924" i="1"/>
  <c r="BX925" i="1"/>
  <c r="BX926" i="1"/>
  <c r="BX898" i="1"/>
  <c r="BX874" i="1"/>
  <c r="BX875" i="1"/>
  <c r="BX876" i="1"/>
  <c r="BX877" i="1"/>
  <c r="BX878" i="1"/>
  <c r="BX879" i="1"/>
  <c r="BX880" i="1"/>
  <c r="BX881" i="1"/>
  <c r="BX882" i="1"/>
  <c r="BX883" i="1"/>
  <c r="BX884" i="1"/>
  <c r="BX885" i="1"/>
  <c r="BX886" i="1"/>
  <c r="BX887" i="1"/>
  <c r="BX888" i="1"/>
  <c r="BX889" i="1"/>
  <c r="BX890" i="1"/>
  <c r="BX891" i="1"/>
  <c r="BX892" i="1"/>
  <c r="BX893" i="1"/>
  <c r="BX894" i="1"/>
  <c r="BX895" i="1"/>
  <c r="BX896" i="1"/>
  <c r="BX897" i="1"/>
  <c r="BY989" i="1"/>
  <c r="BY990" i="1"/>
  <c r="BY991" i="1"/>
  <c r="BY992" i="1"/>
  <c r="BY993" i="1"/>
  <c r="BY994" i="1"/>
  <c r="BY995" i="1"/>
  <c r="BY996" i="1"/>
  <c r="BY924" i="1"/>
  <c r="BY923" i="1"/>
  <c r="BY925" i="1"/>
  <c r="BY926" i="1"/>
  <c r="BY927" i="1"/>
  <c r="BY928" i="1"/>
  <c r="BY929" i="1"/>
  <c r="BY930" i="1"/>
  <c r="BY943" i="1"/>
  <c r="BY944" i="1"/>
  <c r="BY941" i="1"/>
  <c r="BY931" i="1"/>
  <c r="BY932" i="1"/>
  <c r="BY933" i="1"/>
  <c r="BY934" i="1"/>
  <c r="BY935" i="1"/>
  <c r="BY936" i="1"/>
  <c r="BY937" i="1"/>
  <c r="BY938" i="1"/>
  <c r="BY939" i="1"/>
  <c r="BY940" i="1"/>
  <c r="BY948" i="1"/>
  <c r="BY949" i="1"/>
  <c r="BY950" i="1"/>
  <c r="BY951" i="1"/>
  <c r="BY952" i="1"/>
  <c r="BY953" i="1"/>
  <c r="BY961" i="1"/>
  <c r="BY962" i="1"/>
  <c r="BY956" i="1"/>
  <c r="BY957" i="1"/>
  <c r="BY958" i="1"/>
  <c r="BY959" i="1"/>
  <c r="BY960" i="1"/>
  <c r="BY954" i="1"/>
  <c r="BY955" i="1"/>
  <c r="BY969" i="1"/>
  <c r="BY970" i="1"/>
  <c r="BY971" i="1"/>
  <c r="BY967" i="1"/>
  <c r="BY968" i="1"/>
  <c r="BY966" i="1"/>
  <c r="BY979" i="1"/>
  <c r="BY980" i="1"/>
  <c r="BY981" i="1"/>
  <c r="BY982" i="1"/>
  <c r="BY983" i="1"/>
  <c r="BY984" i="1"/>
  <c r="BY985" i="1"/>
  <c r="BY986" i="1"/>
  <c r="BY987" i="1"/>
  <c r="BY988" i="1"/>
  <c r="BY942" i="1"/>
  <c r="BY945" i="1"/>
  <c r="BY946" i="1"/>
  <c r="BY947" i="1"/>
  <c r="BY972" i="1"/>
  <c r="BY973" i="1"/>
  <c r="BY965" i="1"/>
  <c r="BY976" i="1"/>
  <c r="BY977" i="1"/>
  <c r="BY974" i="1"/>
  <c r="BY975" i="1"/>
  <c r="BY963" i="1"/>
  <c r="BY964" i="1"/>
  <c r="BY978" i="1"/>
  <c r="BZ1085" i="1"/>
  <c r="BZ1086" i="1"/>
  <c r="BZ1083" i="1"/>
  <c r="BZ1084" i="1"/>
  <c r="BZ1030" i="1"/>
  <c r="BZ1031" i="1"/>
  <c r="BZ1032" i="1"/>
  <c r="BZ1033" i="1"/>
  <c r="BZ1034" i="1"/>
  <c r="BZ1035" i="1"/>
  <c r="BZ1036" i="1"/>
  <c r="BZ1037" i="1"/>
  <c r="BZ1038" i="1"/>
  <c r="BZ1039" i="1"/>
  <c r="BZ1040" i="1"/>
  <c r="BZ1041" i="1"/>
  <c r="BZ1042" i="1"/>
  <c r="BZ1043" i="1"/>
  <c r="BZ1044" i="1"/>
  <c r="BZ1045" i="1"/>
  <c r="BZ1046" i="1"/>
  <c r="BZ1047" i="1"/>
  <c r="BZ1048" i="1"/>
  <c r="BZ1049" i="1"/>
  <c r="BZ1050" i="1"/>
  <c r="BZ1051" i="1"/>
  <c r="BZ1052" i="1"/>
  <c r="BZ1053" i="1"/>
  <c r="BZ1054" i="1"/>
  <c r="BZ1055" i="1"/>
  <c r="BZ1056" i="1"/>
  <c r="BZ1057" i="1"/>
  <c r="BZ1058" i="1"/>
  <c r="BZ1059" i="1"/>
  <c r="BZ1060" i="1"/>
  <c r="BZ1061" i="1"/>
  <c r="BZ1062" i="1"/>
  <c r="BZ1063" i="1"/>
  <c r="BZ1064" i="1"/>
  <c r="BZ1065" i="1"/>
  <c r="BZ1066" i="1"/>
  <c r="BZ1067" i="1"/>
  <c r="BZ867" i="1"/>
  <c r="BZ868" i="1"/>
  <c r="BZ869" i="1"/>
  <c r="BZ870" i="1"/>
  <c r="BZ871" i="1"/>
  <c r="BZ872" i="1"/>
  <c r="BZ873" i="1"/>
  <c r="BZ874" i="1"/>
  <c r="BZ875" i="1"/>
  <c r="BZ876" i="1"/>
  <c r="BZ877" i="1"/>
  <c r="BZ878" i="1"/>
  <c r="BZ879" i="1"/>
  <c r="BZ880" i="1"/>
  <c r="BZ881" i="1"/>
  <c r="BZ882" i="1"/>
  <c r="BZ883" i="1"/>
  <c r="BZ884" i="1"/>
  <c r="BZ885" i="1"/>
  <c r="BZ886" i="1"/>
  <c r="BZ887" i="1"/>
  <c r="BZ888" i="1"/>
  <c r="BZ889" i="1"/>
  <c r="BZ890" i="1"/>
  <c r="BZ891" i="1"/>
  <c r="BZ892" i="1"/>
  <c r="BZ893" i="1"/>
  <c r="BZ848" i="1"/>
  <c r="BZ849" i="1"/>
  <c r="BZ850" i="1"/>
  <c r="BZ851" i="1"/>
  <c r="BZ852" i="1"/>
  <c r="BZ853" i="1"/>
  <c r="BZ854" i="1"/>
  <c r="BZ855" i="1"/>
  <c r="BZ856" i="1"/>
  <c r="BZ857" i="1"/>
  <c r="BZ858" i="1"/>
  <c r="BZ859" i="1"/>
  <c r="BZ860" i="1"/>
  <c r="BZ861" i="1"/>
  <c r="BZ862" i="1"/>
  <c r="BZ863" i="1"/>
  <c r="BZ864" i="1"/>
  <c r="BZ865" i="1"/>
  <c r="BZ866" i="1"/>
  <c r="BZ830" i="1"/>
  <c r="BZ831" i="1"/>
  <c r="BZ832" i="1"/>
  <c r="BZ833" i="1"/>
  <c r="BZ834" i="1"/>
  <c r="BZ835" i="1"/>
  <c r="BZ836" i="1"/>
  <c r="BZ837" i="1"/>
  <c r="BZ838" i="1"/>
  <c r="BZ839" i="1"/>
  <c r="BZ840" i="1"/>
  <c r="BZ841" i="1"/>
  <c r="BZ842" i="1"/>
  <c r="BZ843" i="1"/>
  <c r="BZ844" i="1"/>
  <c r="BZ845" i="1"/>
  <c r="BZ846" i="1"/>
  <c r="BZ847" i="1"/>
  <c r="BZ977" i="1"/>
  <c r="BZ978" i="1"/>
  <c r="BZ979" i="1"/>
  <c r="BZ980" i="1"/>
  <c r="BZ981" i="1"/>
  <c r="BZ982" i="1"/>
  <c r="BZ983" i="1"/>
  <c r="BZ984" i="1"/>
  <c r="BZ985" i="1"/>
  <c r="BZ986" i="1"/>
  <c r="BZ987" i="1"/>
  <c r="BZ988" i="1"/>
  <c r="BZ989" i="1"/>
  <c r="BZ990" i="1"/>
  <c r="BZ991" i="1"/>
  <c r="BZ992" i="1"/>
  <c r="BZ993" i="1"/>
  <c r="BZ994" i="1"/>
  <c r="BZ995" i="1"/>
  <c r="BZ996" i="1"/>
  <c r="BZ997" i="1"/>
  <c r="BZ998" i="1"/>
  <c r="BZ999" i="1"/>
  <c r="BZ1000" i="1"/>
  <c r="BZ1001" i="1"/>
  <c r="BZ1002" i="1"/>
  <c r="BZ1003" i="1"/>
  <c r="BZ1004" i="1"/>
  <c r="BZ1005" i="1"/>
  <c r="BZ1006" i="1"/>
  <c r="BZ1007" i="1"/>
  <c r="BZ1008" i="1"/>
  <c r="BZ1009" i="1"/>
  <c r="BZ1010" i="1"/>
  <c r="BZ1011" i="1"/>
  <c r="BZ1012" i="1"/>
  <c r="BZ1013" i="1"/>
  <c r="BZ1014" i="1"/>
  <c r="BZ1015" i="1"/>
  <c r="BZ1016" i="1"/>
  <c r="BZ1017" i="1"/>
  <c r="BZ1018" i="1"/>
  <c r="BZ1019" i="1"/>
  <c r="BZ1020" i="1"/>
  <c r="BZ1021" i="1"/>
  <c r="BZ1022" i="1"/>
  <c r="BZ1023" i="1"/>
  <c r="BZ1024" i="1"/>
  <c r="BZ1025" i="1"/>
  <c r="BZ1026" i="1"/>
  <c r="BZ1027" i="1"/>
  <c r="BZ1028" i="1"/>
  <c r="BZ1029" i="1"/>
  <c r="BZ952" i="1"/>
  <c r="BZ953" i="1"/>
  <c r="BZ954" i="1"/>
  <c r="BZ955" i="1"/>
  <c r="BZ956" i="1"/>
  <c r="BZ957" i="1"/>
  <c r="BZ958" i="1"/>
  <c r="BZ959" i="1"/>
  <c r="BZ960" i="1"/>
  <c r="BZ961" i="1"/>
  <c r="BZ962" i="1"/>
  <c r="BZ963" i="1"/>
  <c r="BZ964" i="1"/>
  <c r="BZ965" i="1"/>
  <c r="BZ966" i="1"/>
  <c r="BZ967" i="1"/>
  <c r="BZ968" i="1"/>
  <c r="BZ969" i="1"/>
  <c r="BZ970" i="1"/>
  <c r="BZ971" i="1"/>
  <c r="BZ972" i="1"/>
  <c r="BZ973" i="1"/>
  <c r="BZ974" i="1"/>
  <c r="BZ975" i="1"/>
  <c r="BZ976" i="1"/>
  <c r="BZ894" i="1"/>
  <c r="BZ895" i="1"/>
  <c r="BZ896" i="1"/>
  <c r="BZ897" i="1"/>
  <c r="BZ898" i="1"/>
  <c r="BZ899" i="1"/>
  <c r="BZ900" i="1"/>
  <c r="BZ901" i="1"/>
  <c r="BZ902" i="1"/>
  <c r="BZ903" i="1"/>
  <c r="BZ904" i="1"/>
  <c r="BZ905" i="1"/>
  <c r="BZ906" i="1"/>
  <c r="BZ907" i="1"/>
  <c r="BZ908" i="1"/>
  <c r="BZ909" i="1"/>
  <c r="BZ910" i="1"/>
  <c r="BZ911" i="1"/>
  <c r="BZ912" i="1"/>
  <c r="BZ913" i="1"/>
  <c r="BZ914" i="1"/>
  <c r="BZ915" i="1"/>
  <c r="BZ916" i="1"/>
  <c r="BZ917" i="1"/>
  <c r="BZ918" i="1"/>
  <c r="BZ919" i="1"/>
  <c r="BZ920" i="1"/>
  <c r="BZ921" i="1"/>
  <c r="BZ922" i="1"/>
  <c r="BZ923" i="1"/>
  <c r="BZ924" i="1"/>
  <c r="BZ925" i="1"/>
  <c r="BZ926" i="1"/>
  <c r="BZ927" i="1"/>
  <c r="BZ928" i="1"/>
  <c r="BZ929" i="1"/>
  <c r="BZ930" i="1"/>
  <c r="BZ931" i="1"/>
  <c r="BZ932" i="1"/>
  <c r="BZ933" i="1"/>
  <c r="BZ934" i="1"/>
  <c r="BZ935" i="1"/>
  <c r="BZ936" i="1"/>
  <c r="BZ937" i="1"/>
  <c r="BZ938" i="1"/>
  <c r="BZ939" i="1"/>
  <c r="BZ940" i="1"/>
  <c r="BZ941" i="1"/>
  <c r="BZ942" i="1"/>
  <c r="BZ943" i="1"/>
  <c r="BZ944" i="1"/>
  <c r="BZ945" i="1"/>
  <c r="BZ946" i="1"/>
  <c r="BZ947" i="1"/>
  <c r="BZ948" i="1"/>
  <c r="BZ949" i="1"/>
  <c r="BZ950" i="1"/>
  <c r="BZ951" i="1"/>
  <c r="BZ1068" i="1"/>
  <c r="BZ1069" i="1"/>
  <c r="BZ1070" i="1"/>
  <c r="BZ1071" i="1"/>
  <c r="BZ1072" i="1"/>
  <c r="BZ1073" i="1"/>
  <c r="BZ1074" i="1"/>
  <c r="BZ1075" i="1"/>
  <c r="BZ1076" i="1"/>
  <c r="BZ1077" i="1"/>
  <c r="BZ1078" i="1"/>
  <c r="BZ1079" i="1"/>
  <c r="BZ1080" i="1"/>
  <c r="BZ1081" i="1"/>
  <c r="BZ1082" i="1"/>
  <c r="BX1220" i="1"/>
  <c r="BX1221" i="1"/>
  <c r="BX1222" i="1"/>
  <c r="BX1223" i="1"/>
  <c r="BX1224" i="1"/>
  <c r="BX1225" i="1"/>
  <c r="BX1226" i="1"/>
  <c r="BX1227" i="1"/>
  <c r="BX1228" i="1"/>
  <c r="BX1229" i="1"/>
  <c r="BX1230" i="1"/>
  <c r="BX1231" i="1"/>
  <c r="BX1082" i="1"/>
  <c r="BX1083" i="1"/>
  <c r="BX1169" i="1"/>
  <c r="BX1170" i="1"/>
  <c r="BX1171" i="1"/>
  <c r="BX1172" i="1"/>
  <c r="BX1173" i="1"/>
  <c r="BX1174" i="1"/>
  <c r="BX1175" i="1"/>
  <c r="BX1176" i="1"/>
  <c r="BX1177" i="1"/>
  <c r="BX1178" i="1"/>
  <c r="BX1179" i="1"/>
  <c r="BX1180" i="1"/>
  <c r="BX1181" i="1"/>
  <c r="BX1182" i="1"/>
  <c r="BX1183" i="1"/>
  <c r="BX1184" i="1"/>
  <c r="BX1185" i="1"/>
  <c r="BX1186" i="1"/>
  <c r="BX1187" i="1"/>
  <c r="BX1188" i="1"/>
  <c r="BX1189" i="1"/>
  <c r="BX1190" i="1"/>
  <c r="BX1191" i="1"/>
  <c r="BX1192" i="1"/>
  <c r="BX1193" i="1"/>
  <c r="BX1194" i="1"/>
  <c r="BX1195" i="1"/>
  <c r="BX1196" i="1"/>
  <c r="BX1197" i="1"/>
  <c r="BX1198" i="1"/>
  <c r="BX1199" i="1"/>
  <c r="BX1200" i="1"/>
  <c r="BX1201" i="1"/>
  <c r="BX1202" i="1"/>
  <c r="BX1203" i="1"/>
  <c r="BX1204" i="1"/>
  <c r="BX1205" i="1"/>
  <c r="BX1206" i="1"/>
  <c r="BX1207" i="1"/>
  <c r="BX1217" i="1"/>
  <c r="BX1218" i="1"/>
  <c r="BX1219" i="1"/>
  <c r="BX1208" i="1"/>
  <c r="BX1209" i="1"/>
  <c r="BX1210" i="1"/>
  <c r="BX1211" i="1"/>
  <c r="BX1212" i="1"/>
  <c r="BX1213" i="1"/>
  <c r="BX1214" i="1"/>
  <c r="BX1215" i="1"/>
  <c r="BX1216" i="1"/>
  <c r="BX1084" i="1"/>
  <c r="BX1085" i="1"/>
  <c r="BX1086" i="1"/>
  <c r="BX1087" i="1"/>
  <c r="BX1088" i="1"/>
  <c r="BX1089" i="1"/>
  <c r="BX1090" i="1"/>
  <c r="BX1091" i="1"/>
  <c r="BX1092" i="1"/>
  <c r="BX1093" i="1"/>
  <c r="BX1094" i="1"/>
  <c r="BX1095" i="1"/>
  <c r="BX1096" i="1"/>
  <c r="BX1097" i="1"/>
  <c r="BX1098" i="1"/>
  <c r="BX1099" i="1"/>
  <c r="BX1100" i="1"/>
  <c r="BX1101" i="1"/>
  <c r="BX1102" i="1"/>
  <c r="BX1103" i="1"/>
  <c r="BX1104" i="1"/>
  <c r="BX1105" i="1"/>
  <c r="BX1106" i="1"/>
  <c r="BX1107" i="1"/>
  <c r="BX1108" i="1"/>
  <c r="BX1109" i="1"/>
  <c r="BX1110" i="1"/>
  <c r="BX1111" i="1"/>
  <c r="BX1112" i="1"/>
  <c r="BX1113" i="1"/>
  <c r="BX1114" i="1"/>
  <c r="BX1115" i="1"/>
  <c r="BX1116" i="1"/>
  <c r="BX1117" i="1"/>
  <c r="BX1118" i="1"/>
  <c r="BX1119" i="1"/>
  <c r="BX1120" i="1"/>
  <c r="BX1121" i="1"/>
  <c r="BX1122" i="1"/>
  <c r="BX1123" i="1"/>
  <c r="BX1124" i="1"/>
  <c r="BX1125" i="1"/>
  <c r="BX1126" i="1"/>
  <c r="BX1127" i="1"/>
  <c r="BX1128" i="1"/>
  <c r="BX1129" i="1"/>
  <c r="BX1130" i="1"/>
  <c r="BX1131" i="1"/>
  <c r="BX1132" i="1"/>
  <c r="BX1133" i="1"/>
  <c r="BX1134" i="1"/>
  <c r="BX1135" i="1"/>
  <c r="BX1136" i="1"/>
  <c r="BX1137" i="1"/>
  <c r="BX1138" i="1"/>
  <c r="BX1139" i="1"/>
  <c r="BX1140" i="1"/>
  <c r="BX1141" i="1"/>
  <c r="BX1142" i="1"/>
  <c r="BX1143" i="1"/>
  <c r="BX1144" i="1"/>
  <c r="BX1145" i="1"/>
  <c r="BX1146" i="1"/>
  <c r="BX1147" i="1"/>
  <c r="BX1148" i="1"/>
  <c r="BX1149" i="1"/>
  <c r="BX1150" i="1"/>
  <c r="BX1151" i="1"/>
  <c r="BX1152" i="1"/>
  <c r="BX1153" i="1"/>
  <c r="BX1154" i="1"/>
  <c r="BX1155" i="1"/>
  <c r="BX1156" i="1"/>
  <c r="BX1157" i="1"/>
  <c r="BX1158" i="1"/>
  <c r="BX1159" i="1"/>
  <c r="BX1160" i="1"/>
  <c r="BX1161" i="1"/>
  <c r="BX1162" i="1"/>
  <c r="BX1163" i="1"/>
  <c r="BX1164" i="1"/>
  <c r="BX1165" i="1"/>
  <c r="BX1166" i="1"/>
  <c r="BX1167" i="1"/>
  <c r="BX1168" i="1"/>
  <c r="BX1232" i="1"/>
  <c r="BX1233" i="1"/>
  <c r="BX1234" i="1"/>
  <c r="BX1235" i="1"/>
  <c r="BX1236" i="1"/>
  <c r="BX1237" i="1"/>
  <c r="BX1238" i="1"/>
  <c r="BX1062" i="1"/>
  <c r="BX1063" i="1"/>
  <c r="BX1064" i="1"/>
  <c r="BX1065" i="1"/>
  <c r="BX1066" i="1"/>
  <c r="BX1067" i="1"/>
  <c r="BX1068" i="1"/>
  <c r="BX1069" i="1"/>
  <c r="BX1070" i="1"/>
  <c r="BX1071" i="1"/>
  <c r="BX1072" i="1"/>
  <c r="BX1073" i="1"/>
  <c r="BX1074" i="1"/>
  <c r="BX1075" i="1"/>
  <c r="BX1076" i="1"/>
  <c r="BX1077" i="1"/>
  <c r="BX1078" i="1"/>
  <c r="BX1079" i="1"/>
  <c r="BX1080" i="1"/>
  <c r="BX1081" i="1"/>
  <c r="BX1018" i="1"/>
  <c r="BX1019" i="1"/>
  <c r="BX1020" i="1"/>
  <c r="BX1021" i="1"/>
  <c r="BX1022" i="1"/>
  <c r="BX1023" i="1"/>
  <c r="BX1024" i="1"/>
  <c r="BX1025" i="1"/>
  <c r="BX1026" i="1"/>
  <c r="BX1027" i="1"/>
  <c r="BX1028" i="1"/>
  <c r="BX1029" i="1"/>
  <c r="BX1030" i="1"/>
  <c r="BX1031" i="1"/>
  <c r="BX1032" i="1"/>
  <c r="BX1033" i="1"/>
  <c r="BX1034" i="1"/>
  <c r="BX1035" i="1"/>
  <c r="BX1036" i="1"/>
  <c r="BX1037" i="1"/>
  <c r="BX1038" i="1"/>
  <c r="BX1039" i="1"/>
  <c r="BX1040" i="1"/>
  <c r="BX1041" i="1"/>
  <c r="BX1042" i="1"/>
  <c r="BX1043" i="1"/>
  <c r="BX1044" i="1"/>
  <c r="BX1046" i="1"/>
  <c r="BX1047" i="1"/>
  <c r="BX1048" i="1"/>
  <c r="BX1049" i="1"/>
  <c r="BX1050" i="1"/>
  <c r="BX1051" i="1"/>
  <c r="BX1052" i="1"/>
  <c r="BX1053" i="1"/>
  <c r="BX1054" i="1"/>
  <c r="BX1055" i="1"/>
  <c r="BX1056" i="1"/>
  <c r="BX1057" i="1"/>
  <c r="BX1058" i="1"/>
  <c r="BX1059" i="1"/>
  <c r="BX1060" i="1"/>
  <c r="BX1061" i="1"/>
  <c r="BX957" i="1"/>
  <c r="BX958" i="1"/>
  <c r="BX959" i="1"/>
  <c r="BX985" i="1"/>
  <c r="BX986" i="1"/>
  <c r="BX987" i="1"/>
  <c r="BX988" i="1"/>
  <c r="BX989" i="1"/>
  <c r="BX990" i="1"/>
  <c r="BX991" i="1"/>
  <c r="BX992" i="1"/>
  <c r="BX993" i="1"/>
  <c r="BX994" i="1"/>
  <c r="BX995" i="1"/>
  <c r="BX996" i="1"/>
  <c r="BX997" i="1"/>
  <c r="BX998" i="1"/>
  <c r="BX999" i="1"/>
  <c r="BX1000" i="1"/>
  <c r="BX1001" i="1"/>
  <c r="BX1002" i="1"/>
  <c r="BX1003" i="1"/>
  <c r="BX1004" i="1"/>
  <c r="BX1005" i="1"/>
  <c r="BX1006" i="1"/>
  <c r="BX1007" i="1"/>
  <c r="BX1008" i="1"/>
  <c r="BX1009" i="1"/>
  <c r="BX1010" i="1"/>
  <c r="BX1011" i="1"/>
  <c r="BX1012" i="1"/>
  <c r="BX1013" i="1"/>
  <c r="BX1014" i="1"/>
  <c r="BX1015" i="1"/>
  <c r="BX1016" i="1"/>
  <c r="BX1017" i="1"/>
  <c r="BX960" i="1"/>
  <c r="BX961" i="1"/>
  <c r="BX962" i="1"/>
  <c r="BX963" i="1"/>
  <c r="BX964" i="1"/>
  <c r="BX965" i="1"/>
  <c r="BX966" i="1"/>
  <c r="BX967" i="1"/>
  <c r="BX968" i="1"/>
  <c r="BX969" i="1"/>
  <c r="BX970" i="1"/>
  <c r="BX971" i="1"/>
  <c r="BX972" i="1"/>
  <c r="BX973" i="1"/>
  <c r="BX974" i="1"/>
  <c r="BX975" i="1"/>
  <c r="BX976" i="1"/>
  <c r="BX977" i="1"/>
  <c r="BX978" i="1"/>
  <c r="BX979" i="1"/>
  <c r="BX980" i="1"/>
  <c r="BX981" i="1"/>
  <c r="BX982" i="1"/>
  <c r="BX983" i="1"/>
  <c r="BX984" i="1"/>
  <c r="BX1045" i="1"/>
  <c r="BY1270" i="1"/>
  <c r="BY1007" i="1"/>
  <c r="BY1005" i="1"/>
  <c r="BY1006" i="1"/>
  <c r="BY1003" i="1"/>
  <c r="BY1004" i="1"/>
  <c r="BY1001" i="1"/>
  <c r="BY1002" i="1"/>
  <c r="BY1008" i="1"/>
  <c r="BY1009" i="1"/>
  <c r="BY1010" i="1"/>
  <c r="BY1011" i="1"/>
  <c r="BY1012" i="1"/>
  <c r="BY1013" i="1"/>
  <c r="BY1014" i="1"/>
  <c r="BY1015" i="1"/>
  <c r="BY1016" i="1"/>
  <c r="BY1017" i="1"/>
  <c r="BY1018" i="1"/>
  <c r="BY1019" i="1"/>
  <c r="BY1043" i="1"/>
  <c r="BY1042" i="1"/>
  <c r="BY1044" i="1"/>
  <c r="BY1045" i="1"/>
  <c r="BY1046" i="1"/>
  <c r="BY1047" i="1"/>
  <c r="BY1032" i="1"/>
  <c r="BY1033" i="1"/>
  <c r="BY1034" i="1"/>
  <c r="BY1035" i="1"/>
  <c r="BY1036" i="1"/>
  <c r="BY1037" i="1"/>
  <c r="BY1038" i="1"/>
  <c r="BY1039" i="1"/>
  <c r="BY1040" i="1"/>
  <c r="BY1041" i="1"/>
  <c r="BY1060" i="1"/>
  <c r="BY1058" i="1"/>
  <c r="BY1059" i="1"/>
  <c r="BY1057" i="1"/>
  <c r="BY1048" i="1"/>
  <c r="BY1049" i="1"/>
  <c r="BY1050" i="1"/>
  <c r="BY1051" i="1"/>
  <c r="BY1081" i="1"/>
  <c r="BY1082" i="1"/>
  <c r="BY1083" i="1"/>
  <c r="BY1084" i="1"/>
  <c r="BY1085" i="1"/>
  <c r="BY1086" i="1"/>
  <c r="BY1087" i="1"/>
  <c r="BY1088" i="1"/>
  <c r="BY1089" i="1"/>
  <c r="BY1090" i="1"/>
  <c r="BY1091" i="1"/>
  <c r="BY1092" i="1"/>
  <c r="BY1077" i="1"/>
  <c r="BY1078" i="1"/>
  <c r="BY1079" i="1"/>
  <c r="BY1080" i="1"/>
  <c r="BY1095" i="1"/>
  <c r="BY1119" i="1"/>
  <c r="BY1120" i="1"/>
  <c r="BY1118" i="1"/>
  <c r="BY1114" i="1"/>
  <c r="BY1115" i="1"/>
  <c r="BY1116" i="1"/>
  <c r="BY1101" i="1"/>
  <c r="BY1102" i="1"/>
  <c r="BY1103" i="1"/>
  <c r="BY1104" i="1"/>
  <c r="BY1105" i="1"/>
  <c r="BY1106" i="1"/>
  <c r="BY1107" i="1"/>
  <c r="BY1108" i="1"/>
  <c r="BY1109" i="1"/>
  <c r="BY1110" i="1"/>
  <c r="BY1111" i="1"/>
  <c r="BY1112" i="1"/>
  <c r="BY1113" i="1"/>
  <c r="BY1124" i="1"/>
  <c r="BY1125" i="1"/>
  <c r="BY1126" i="1"/>
  <c r="BY1156" i="1"/>
  <c r="BY1154" i="1"/>
  <c r="BY1155" i="1"/>
  <c r="BY1152" i="1"/>
  <c r="BY1145" i="1"/>
  <c r="BY1146" i="1"/>
  <c r="BY1147" i="1"/>
  <c r="BY1148" i="1"/>
  <c r="BY1149" i="1"/>
  <c r="BY1150" i="1"/>
  <c r="BY1151" i="1"/>
  <c r="BY1153" i="1"/>
  <c r="BY1143" i="1"/>
  <c r="BY1166" i="1"/>
  <c r="BY1165" i="1"/>
  <c r="BY1164" i="1"/>
  <c r="BY1161" i="1"/>
  <c r="BY1162" i="1"/>
  <c r="BY1163" i="1"/>
  <c r="BY1160" i="1"/>
  <c r="BY1194" i="1"/>
  <c r="BY1195" i="1"/>
  <c r="BY1196" i="1"/>
  <c r="BY1203" i="1"/>
  <c r="BY1210" i="1"/>
  <c r="BY1211" i="1"/>
  <c r="BY1212" i="1"/>
  <c r="BY1213" i="1"/>
  <c r="BY1214" i="1"/>
  <c r="BY1215" i="1"/>
  <c r="BY1216" i="1"/>
  <c r="BY1217" i="1"/>
  <c r="BY1209" i="1"/>
  <c r="BY1207" i="1"/>
  <c r="BY1208" i="1"/>
  <c r="BY1204" i="1"/>
  <c r="BY1205" i="1"/>
  <c r="BY1206" i="1"/>
  <c r="BY1219" i="1"/>
  <c r="BY1220" i="1"/>
  <c r="BY1221" i="1"/>
  <c r="BY1222" i="1"/>
  <c r="BY1197" i="1"/>
  <c r="BY1198" i="1"/>
  <c r="BY1199" i="1"/>
  <c r="BY1200" i="1"/>
  <c r="BY1201" i="1"/>
  <c r="BY1202" i="1"/>
  <c r="BY1218" i="1"/>
  <c r="BY1240" i="1"/>
  <c r="BY1238" i="1"/>
  <c r="BY1239" i="1"/>
  <c r="BY1236" i="1"/>
  <c r="BY1237" i="1"/>
  <c r="BY1235" i="1"/>
  <c r="BY1234" i="1"/>
  <c r="BY1231" i="1"/>
  <c r="BY1232" i="1"/>
  <c r="BY1233" i="1"/>
  <c r="BY1230" i="1"/>
  <c r="BY1229" i="1"/>
  <c r="BY1225" i="1"/>
  <c r="BY1226" i="1"/>
  <c r="BY1227" i="1"/>
  <c r="BY1228" i="1"/>
  <c r="BY1223" i="1"/>
  <c r="BY1224" i="1"/>
  <c r="BY1241" i="1"/>
  <c r="BY1242" i="1"/>
  <c r="BY1243" i="1"/>
  <c r="BY1244" i="1"/>
  <c r="BY1245" i="1"/>
  <c r="BY1247" i="1"/>
  <c r="BY1248" i="1"/>
  <c r="BY1249" i="1"/>
  <c r="BY1250" i="1"/>
  <c r="BY1251" i="1"/>
  <c r="BY1252" i="1"/>
  <c r="BY1253" i="1"/>
  <c r="BY1254" i="1"/>
  <c r="BY1246" i="1"/>
  <c r="BY1269" i="1"/>
  <c r="BY1263" i="1"/>
  <c r="BY1264" i="1"/>
  <c r="BY1265" i="1"/>
  <c r="BY1266" i="1"/>
  <c r="BY1267" i="1"/>
  <c r="BY1268" i="1"/>
  <c r="BY1188" i="1"/>
  <c r="BY1157" i="1"/>
  <c r="BY1158" i="1"/>
  <c r="BY1159" i="1"/>
  <c r="BY1023" i="1"/>
  <c r="BY1024" i="1"/>
  <c r="BY1138" i="1"/>
  <c r="BY1139" i="1"/>
  <c r="BY1140" i="1"/>
  <c r="BY1141" i="1"/>
  <c r="BY1142" i="1"/>
  <c r="BY1170" i="1"/>
  <c r="BY1061" i="1"/>
  <c r="BY1062" i="1"/>
  <c r="BY1063" i="1"/>
  <c r="BY1064" i="1"/>
  <c r="BY1065" i="1"/>
  <c r="BY1066" i="1"/>
  <c r="BY1168" i="1"/>
  <c r="BY1169" i="1"/>
  <c r="BY1262" i="1"/>
  <c r="BY1137" i="1"/>
  <c r="BY1122" i="1"/>
  <c r="BY1121" i="1"/>
  <c r="BY1093" i="1"/>
  <c r="BY1094" i="1"/>
  <c r="BY1259" i="1"/>
  <c r="BY1260" i="1"/>
  <c r="BY1261" i="1"/>
  <c r="BY1255" i="1"/>
  <c r="BY1256" i="1"/>
  <c r="BY1257" i="1"/>
  <c r="BY1258" i="1"/>
  <c r="BY1190" i="1"/>
  <c r="BY1191" i="1"/>
  <c r="BY1192" i="1"/>
  <c r="BY1193" i="1"/>
  <c r="BY1144" i="1"/>
  <c r="BY1117" i="1"/>
  <c r="BY1067" i="1"/>
  <c r="BY1068" i="1"/>
  <c r="BY1069" i="1"/>
  <c r="BY1070" i="1"/>
  <c r="BY1071" i="1"/>
  <c r="BY1072" i="1"/>
  <c r="BY1073" i="1"/>
  <c r="BY1074" i="1"/>
  <c r="BY1000" i="1"/>
  <c r="BY997" i="1"/>
  <c r="BY998" i="1"/>
  <c r="BY999" i="1"/>
  <c r="BY1184" i="1"/>
  <c r="BY1185" i="1"/>
  <c r="BY1186" i="1"/>
  <c r="BY1187" i="1"/>
  <c r="BY1182" i="1"/>
  <c r="BY1183" i="1"/>
  <c r="BY1167" i="1"/>
  <c r="BY1189" i="1"/>
  <c r="BY1171" i="1"/>
  <c r="BY1172" i="1"/>
  <c r="BY1173" i="1"/>
  <c r="BY1174" i="1"/>
  <c r="BY1175" i="1"/>
  <c r="BY1176" i="1"/>
  <c r="BY1177" i="1"/>
  <c r="BY1178" i="1"/>
  <c r="BY1179" i="1"/>
  <c r="BY1180" i="1"/>
  <c r="BY1181" i="1"/>
  <c r="BY1025" i="1"/>
  <c r="BY1026" i="1"/>
  <c r="BY1027" i="1"/>
  <c r="BY1028" i="1"/>
  <c r="BY1029" i="1"/>
  <c r="BY1030" i="1"/>
  <c r="BY1097" i="1"/>
  <c r="BY1098" i="1"/>
  <c r="BY1099" i="1"/>
  <c r="BY1100" i="1"/>
  <c r="BY1052" i="1"/>
  <c r="BY1053" i="1"/>
  <c r="BY1054" i="1"/>
  <c r="BY1055" i="1"/>
  <c r="BY1056" i="1"/>
  <c r="BY1022" i="1"/>
  <c r="BY1020" i="1"/>
  <c r="BY1021" i="1"/>
  <c r="BY1123" i="1"/>
  <c r="BY1031" i="1"/>
  <c r="BY1127" i="1"/>
  <c r="BY1128" i="1"/>
  <c r="BY1129" i="1"/>
  <c r="BY1130" i="1"/>
  <c r="BY1075" i="1"/>
  <c r="BY1076" i="1"/>
  <c r="BY1132" i="1"/>
  <c r="BY1133" i="1"/>
  <c r="BY1134" i="1"/>
  <c r="BY1135" i="1"/>
  <c r="BY1136" i="1"/>
  <c r="BY1131" i="1"/>
  <c r="BY1096" i="1"/>
  <c r="BY1291" i="1"/>
  <c r="BY1292" i="1"/>
  <c r="BY1285" i="1"/>
  <c r="BY1281" i="1"/>
  <c r="BY1286" i="1"/>
  <c r="BY1272" i="1"/>
  <c r="BY1273" i="1"/>
  <c r="BY1274" i="1"/>
  <c r="BY1275" i="1"/>
  <c r="BY1276" i="1"/>
  <c r="BY1277" i="1"/>
  <c r="BY1278" i="1"/>
  <c r="BY1279" i="1"/>
  <c r="BY1280" i="1"/>
  <c r="BY1287" i="1"/>
  <c r="BY1288" i="1"/>
  <c r="BY1289" i="1"/>
  <c r="BY1290" i="1"/>
  <c r="BY1284" i="1"/>
  <c r="BY1271" i="1"/>
  <c r="BY1282" i="1"/>
  <c r="BY1283" i="1"/>
  <c r="BY1350" i="1"/>
  <c r="BY1293" i="1"/>
  <c r="BY1294" i="1"/>
  <c r="BY1295" i="1"/>
  <c r="BY1296" i="1"/>
  <c r="BY1297" i="1"/>
  <c r="BY1298" i="1"/>
  <c r="BY1299" i="1"/>
  <c r="BY1313" i="1"/>
  <c r="BY1306" i="1"/>
  <c r="BY1307" i="1"/>
  <c r="BY1308" i="1"/>
  <c r="BY1312" i="1"/>
  <c r="BY1310" i="1"/>
  <c r="BY1311" i="1"/>
  <c r="BY1309" i="1"/>
  <c r="BY1314" i="1"/>
  <c r="BY1315" i="1"/>
  <c r="BY1316" i="1"/>
  <c r="BY1327" i="1"/>
  <c r="BY1318" i="1"/>
  <c r="BY1319" i="1"/>
  <c r="BY1320" i="1"/>
  <c r="BY1321" i="1"/>
  <c r="BY1322" i="1"/>
  <c r="BY1323" i="1"/>
  <c r="BY1324" i="1"/>
  <c r="BY1325" i="1"/>
  <c r="BY1326" i="1"/>
  <c r="BY1317" i="1"/>
  <c r="BY1339" i="1"/>
  <c r="BY1340" i="1"/>
  <c r="BY1341" i="1"/>
  <c r="BY1342" i="1"/>
  <c r="BY1343" i="1"/>
  <c r="BY1344" i="1"/>
  <c r="BY1345" i="1"/>
  <c r="BY1346" i="1"/>
  <c r="BY1347" i="1"/>
  <c r="BY1348" i="1"/>
  <c r="BY1349" i="1"/>
  <c r="BY1328" i="1"/>
  <c r="BY1329" i="1"/>
  <c r="BY1330" i="1"/>
  <c r="BY1331" i="1"/>
  <c r="BY1332" i="1"/>
  <c r="BY1333" i="1"/>
  <c r="BY1334" i="1"/>
  <c r="BY1335" i="1"/>
  <c r="BY1336" i="1"/>
  <c r="BY1337" i="1"/>
  <c r="BY1338" i="1"/>
  <c r="BY1300" i="1"/>
  <c r="BY1301" i="1"/>
  <c r="BY1302" i="1"/>
  <c r="BY1303" i="1"/>
  <c r="BY1305" i="1"/>
  <c r="BY1304" i="1"/>
  <c r="BX1321" i="1"/>
  <c r="BX1322" i="1"/>
  <c r="BX1323" i="1"/>
  <c r="BX1324" i="1"/>
  <c r="BX1325" i="1"/>
  <c r="BX1326" i="1"/>
  <c r="BX1327" i="1"/>
  <c r="BX1328" i="1"/>
  <c r="BX1329" i="1"/>
  <c r="BX1330" i="1"/>
  <c r="BX1331" i="1"/>
  <c r="BX1332" i="1"/>
  <c r="BX1333" i="1"/>
  <c r="BX1334" i="1"/>
  <c r="BX1335" i="1"/>
  <c r="BX1336" i="1"/>
  <c r="BX1337" i="1"/>
  <c r="BX1338" i="1"/>
  <c r="BX1339" i="1"/>
  <c r="BX1340" i="1"/>
  <c r="BX1239" i="1"/>
  <c r="BX1240" i="1"/>
  <c r="BX1241" i="1"/>
  <c r="BX1242" i="1"/>
  <c r="BX1243" i="1"/>
  <c r="BX1244" i="1"/>
  <c r="BX1245" i="1"/>
  <c r="BX1246" i="1"/>
  <c r="BX1247" i="1"/>
  <c r="BX1248" i="1"/>
  <c r="BX1249" i="1"/>
  <c r="BX1250" i="1"/>
  <c r="BX1251" i="1"/>
  <c r="BX1252" i="1"/>
  <c r="BX1290" i="1"/>
  <c r="BX1291" i="1"/>
  <c r="BX1292" i="1"/>
  <c r="BX1293" i="1"/>
  <c r="BX1253" i="1"/>
  <c r="BX1254" i="1"/>
  <c r="BX1255" i="1"/>
  <c r="BX1256" i="1"/>
  <c r="BX1257" i="1"/>
  <c r="BX1258" i="1"/>
  <c r="BX1259" i="1"/>
  <c r="BX1260" i="1"/>
  <c r="BX1261" i="1"/>
  <c r="BX1262" i="1"/>
  <c r="BX1263" i="1"/>
  <c r="BX1266" i="1"/>
  <c r="BX1267" i="1"/>
  <c r="BX1268" i="1"/>
  <c r="BX1269" i="1"/>
  <c r="BX1270" i="1"/>
  <c r="BX1271" i="1"/>
  <c r="BX1272" i="1"/>
  <c r="BX1273" i="1"/>
  <c r="BX1274" i="1"/>
  <c r="BX1275" i="1"/>
  <c r="BX1276" i="1"/>
  <c r="BX1277" i="1"/>
  <c r="BX1278" i="1"/>
  <c r="BX1279" i="1"/>
  <c r="BX1280" i="1"/>
  <c r="BX1281" i="1"/>
  <c r="BX1282" i="1"/>
  <c r="BX1283" i="1"/>
  <c r="BX1284" i="1"/>
  <c r="BX1285" i="1"/>
  <c r="BX1286" i="1"/>
  <c r="BX1287" i="1"/>
  <c r="BX1288" i="1"/>
  <c r="BX1289" i="1"/>
  <c r="BX1294" i="1"/>
  <c r="BX1295" i="1"/>
  <c r="BX1296" i="1"/>
  <c r="BX1297" i="1"/>
  <c r="BX1298" i="1"/>
  <c r="BX1299" i="1"/>
  <c r="BX1300" i="1"/>
  <c r="BX1301" i="1"/>
  <c r="BX1302" i="1"/>
  <c r="BX1303" i="1"/>
  <c r="BX1304" i="1"/>
  <c r="BX1305" i="1"/>
  <c r="BX1306" i="1"/>
  <c r="BX1307" i="1"/>
  <c r="BX1308" i="1"/>
  <c r="BX1309" i="1"/>
  <c r="BX1310" i="1"/>
  <c r="BX1311" i="1"/>
  <c r="BX1312" i="1"/>
  <c r="BX1313" i="1"/>
  <c r="BX1314" i="1"/>
  <c r="BX1315" i="1"/>
  <c r="BX1316" i="1"/>
  <c r="BX1317" i="1"/>
  <c r="BX1318" i="1"/>
  <c r="BX1319" i="1"/>
  <c r="BX1320" i="1"/>
  <c r="BX1264" i="1"/>
  <c r="BX1265" i="1"/>
  <c r="BR1618" i="1"/>
  <c r="BK1618" i="1"/>
  <c r="BJ1618" i="1"/>
  <c r="BH1618" i="1"/>
  <c r="BR1617" i="1"/>
  <c r="BK1617" i="1"/>
  <c r="BJ1617" i="1"/>
  <c r="BH1617" i="1"/>
  <c r="BR1616" i="1"/>
  <c r="BK1616" i="1"/>
  <c r="BJ1616" i="1"/>
  <c r="BH1616" i="1"/>
  <c r="BR1612" i="1"/>
  <c r="BK1612" i="1"/>
  <c r="BJ1612" i="1"/>
  <c r="BH1612" i="1"/>
  <c r="BR1611" i="1"/>
  <c r="BK1611" i="1"/>
  <c r="BJ1611" i="1"/>
  <c r="BH1611" i="1"/>
  <c r="BN1618" i="1"/>
  <c r="BN1617" i="1"/>
  <c r="BN1616" i="1"/>
  <c r="BN1612" i="1"/>
  <c r="BN1611" i="1"/>
  <c r="BZ306" i="1"/>
  <c r="BZ307" i="1"/>
  <c r="BZ308" i="1"/>
  <c r="BZ309" i="1"/>
  <c r="BZ310" i="1"/>
  <c r="BZ311" i="1"/>
  <c r="BZ312" i="1"/>
  <c r="BZ313" i="1"/>
  <c r="BY552" i="1"/>
  <c r="BS1618" i="1"/>
  <c r="BS1617" i="1"/>
  <c r="BS1616" i="1"/>
  <c r="BS1612" i="1"/>
  <c r="BS1611" i="1"/>
  <c r="BO1618" i="1"/>
  <c r="BO1617" i="1"/>
  <c r="BO1616" i="1"/>
  <c r="BO1612" i="1"/>
  <c r="BO1611" i="1"/>
  <c r="BT1618" i="1"/>
  <c r="BT1617" i="1"/>
  <c r="BT1616" i="1"/>
  <c r="BT1612" i="1"/>
  <c r="BT1611" i="1"/>
  <c r="BZ394" i="1"/>
  <c r="BZ395" i="1"/>
  <c r="BZ396" i="1"/>
  <c r="BZ397" i="1"/>
  <c r="BZ398" i="1"/>
  <c r="BZ399" i="1"/>
  <c r="BZ400" i="1"/>
  <c r="BZ401" i="1"/>
  <c r="BZ402" i="1"/>
  <c r="BZ403" i="1"/>
  <c r="BZ404" i="1"/>
  <c r="BZ405" i="1"/>
  <c r="BZ406" i="1"/>
  <c r="BZ407" i="1"/>
  <c r="BZ408" i="1"/>
  <c r="BZ409" i="1"/>
  <c r="BZ410" i="1"/>
  <c r="BZ411" i="1"/>
  <c r="BZ412" i="1"/>
  <c r="BZ413" i="1"/>
  <c r="BZ414" i="1"/>
  <c r="BZ415" i="1"/>
  <c r="BZ416" i="1"/>
  <c r="BZ417" i="1"/>
  <c r="BZ418" i="1"/>
  <c r="BZ419" i="1"/>
  <c r="BZ420" i="1"/>
  <c r="BZ421" i="1"/>
  <c r="BZ422" i="1"/>
  <c r="BZ423" i="1"/>
  <c r="BZ424" i="1"/>
  <c r="F20" i="6"/>
  <c r="L20" i="6" s="1"/>
  <c r="T20" i="6" s="1"/>
  <c r="BX1342" i="1"/>
  <c r="BX1343" i="1"/>
  <c r="BX1341" i="1"/>
  <c r="BZ363" i="1"/>
  <c r="BQ1408" i="1"/>
  <c r="BU1618" i="1"/>
  <c r="BQ1618" i="1"/>
  <c r="BU1617" i="1"/>
  <c r="BQ1617" i="1"/>
  <c r="BU1616" i="1"/>
  <c r="BQ1616" i="1"/>
  <c r="BU1612" i="1"/>
  <c r="BQ1612" i="1"/>
  <c r="BU1611" i="1"/>
  <c r="BQ1611" i="1"/>
  <c r="BM1618" i="1"/>
  <c r="BM1617" i="1"/>
  <c r="BM1616" i="1"/>
  <c r="BM1612" i="1"/>
  <c r="BM1611" i="1"/>
  <c r="BL1618" i="1"/>
  <c r="BI1618" i="1"/>
  <c r="BL1617" i="1"/>
  <c r="BI1617" i="1"/>
  <c r="BL1616" i="1"/>
  <c r="BI1616" i="1"/>
  <c r="BL1612" i="1"/>
  <c r="BI1612" i="1"/>
  <c r="BL1611" i="1"/>
  <c r="BI1611" i="1"/>
  <c r="Q11" i="6"/>
  <c r="BL1562" i="1"/>
  <c r="BL1585" i="1"/>
  <c r="BL1601" i="1"/>
  <c r="BL1619" i="1"/>
  <c r="BL1623" i="1"/>
  <c r="BL1640" i="1"/>
  <c r="BL1524" i="1"/>
  <c r="BL1526" i="1"/>
  <c r="BL1644" i="1"/>
  <c r="BL1638" i="1"/>
  <c r="BL1572" i="1"/>
  <c r="BL1552" i="1"/>
  <c r="BL1545" i="1"/>
  <c r="BL1600" i="1"/>
  <c r="BL1641" i="1"/>
  <c r="BL1637" i="1"/>
  <c r="P20" i="6"/>
  <c r="R20" i="6" s="1"/>
  <c r="BL1642" i="1"/>
  <c r="BL1549" i="1"/>
  <c r="BL1591" i="1"/>
  <c r="BL1594" i="1"/>
  <c r="BL1555" i="1"/>
  <c r="BL1599" i="1"/>
  <c r="BL1643" i="1"/>
  <c r="BL1531" i="1"/>
  <c r="BL1595" i="1"/>
  <c r="BR1598" i="1"/>
  <c r="BK1598" i="1"/>
  <c r="BJ1598" i="1"/>
  <c r="BH1598" i="1"/>
  <c r="BR1597" i="1"/>
  <c r="BK1597" i="1"/>
  <c r="BJ1597" i="1"/>
  <c r="BH1597" i="1"/>
  <c r="BR1596" i="1"/>
  <c r="BK1596" i="1"/>
  <c r="BJ1596" i="1"/>
  <c r="BH1596" i="1"/>
  <c r="BR1595" i="1"/>
  <c r="BK1595" i="1"/>
  <c r="BJ1595" i="1"/>
  <c r="BH1595" i="1"/>
  <c r="BR1594" i="1"/>
  <c r="BK1594" i="1"/>
  <c r="BJ1594" i="1"/>
  <c r="BH1594" i="1"/>
  <c r="BR1593" i="1"/>
  <c r="BK1593" i="1"/>
  <c r="BJ1593" i="1"/>
  <c r="BH1593" i="1"/>
  <c r="BR1592" i="1"/>
  <c r="BK1592" i="1"/>
  <c r="BJ1592" i="1"/>
  <c r="BH1592" i="1"/>
  <c r="BH1584" i="1"/>
  <c r="BJ1584" i="1"/>
  <c r="BK1584" i="1"/>
  <c r="BR1584" i="1"/>
  <c r="BN1598" i="1"/>
  <c r="BN1597" i="1"/>
  <c r="BN1596" i="1"/>
  <c r="BN1595" i="1"/>
  <c r="BN1594" i="1"/>
  <c r="BN1593" i="1"/>
  <c r="BN1592" i="1"/>
  <c r="BN1584" i="1"/>
  <c r="BM1598" i="1"/>
  <c r="BM1597" i="1"/>
  <c r="BM1596" i="1"/>
  <c r="BM1595" i="1"/>
  <c r="BM1594" i="1"/>
  <c r="BM1593" i="1"/>
  <c r="BM1592" i="1"/>
  <c r="BM1584" i="1"/>
  <c r="BS1598" i="1"/>
  <c r="BS1597" i="1"/>
  <c r="BS1596" i="1"/>
  <c r="BS1595" i="1"/>
  <c r="BS1594" i="1"/>
  <c r="BS1593" i="1"/>
  <c r="BS1592" i="1"/>
  <c r="BS1584" i="1"/>
  <c r="BO1598" i="1"/>
  <c r="BO1597" i="1"/>
  <c r="BO1596" i="1"/>
  <c r="BO1595" i="1"/>
  <c r="BO1594" i="1"/>
  <c r="BO1593" i="1"/>
  <c r="BO1592" i="1"/>
  <c r="BO1584" i="1"/>
  <c r="BT1598" i="1"/>
  <c r="BT1597" i="1"/>
  <c r="BT1596" i="1"/>
  <c r="BT1595" i="1"/>
  <c r="BT1594" i="1"/>
  <c r="BT1593" i="1"/>
  <c r="BT1592" i="1"/>
  <c r="BT1584" i="1"/>
  <c r="BQ1598" i="1"/>
  <c r="BQ1597" i="1"/>
  <c r="BQ1596" i="1"/>
  <c r="BQ1595" i="1"/>
  <c r="BQ1594" i="1"/>
  <c r="BQ1593" i="1"/>
  <c r="BQ1592" i="1"/>
  <c r="BQ1584" i="1"/>
  <c r="BR1599" i="1"/>
  <c r="BK1599" i="1"/>
  <c r="BJ1599" i="1"/>
  <c r="BH1599" i="1"/>
  <c r="BR1591" i="1"/>
  <c r="BK1591" i="1"/>
  <c r="BJ1591" i="1"/>
  <c r="BH1591" i="1"/>
  <c r="BR1590" i="1"/>
  <c r="BK1590" i="1"/>
  <c r="BJ1590" i="1"/>
  <c r="BH1590" i="1"/>
  <c r="BR1589" i="1"/>
  <c r="BK1589" i="1"/>
  <c r="BJ1589" i="1"/>
  <c r="BH1589" i="1"/>
  <c r="BR1588" i="1"/>
  <c r="BK1588" i="1"/>
  <c r="BJ1588" i="1"/>
  <c r="BH1588" i="1"/>
  <c r="BR1587" i="1"/>
  <c r="BK1587" i="1"/>
  <c r="BJ1587" i="1"/>
  <c r="BH1587" i="1"/>
  <c r="BR1586" i="1"/>
  <c r="BK1586" i="1"/>
  <c r="BJ1586" i="1"/>
  <c r="BH1586" i="1"/>
  <c r="BN1599" i="1"/>
  <c r="BN1591" i="1"/>
  <c r="BN1590" i="1"/>
  <c r="BN1589" i="1"/>
  <c r="BN1588" i="1"/>
  <c r="BN1587" i="1"/>
  <c r="BN1586" i="1"/>
  <c r="BM1599" i="1"/>
  <c r="BM1591" i="1"/>
  <c r="BM1590" i="1"/>
  <c r="BM1589" i="1"/>
  <c r="BM1588" i="1"/>
  <c r="BM1587" i="1"/>
  <c r="BM1586" i="1"/>
  <c r="BS1599" i="1"/>
  <c r="BS1591" i="1"/>
  <c r="BS1590" i="1"/>
  <c r="BS1589" i="1"/>
  <c r="BS1588" i="1"/>
  <c r="BS1587" i="1"/>
  <c r="BS1586" i="1"/>
  <c r="BO1599" i="1"/>
  <c r="BO1591" i="1"/>
  <c r="BO1590" i="1"/>
  <c r="BO1589" i="1"/>
  <c r="BO1588" i="1"/>
  <c r="BO1587" i="1"/>
  <c r="BO1586" i="1"/>
  <c r="BT1599" i="1"/>
  <c r="BT1591" i="1"/>
  <c r="BT1590" i="1"/>
  <c r="BT1589" i="1"/>
  <c r="BT1588" i="1"/>
  <c r="BT1587" i="1"/>
  <c r="BT1586" i="1"/>
  <c r="BQ1599" i="1"/>
  <c r="BQ1591" i="1"/>
  <c r="BQ1590" i="1"/>
  <c r="BQ1589" i="1"/>
  <c r="BQ1588" i="1"/>
  <c r="BQ1587" i="1"/>
  <c r="BQ1586" i="1"/>
  <c r="BR1580" i="1"/>
  <c r="BK1580" i="1"/>
  <c r="BJ1580" i="1"/>
  <c r="BH1580" i="1"/>
  <c r="BR1579" i="1"/>
  <c r="BK1579" i="1"/>
  <c r="BJ1579" i="1"/>
  <c r="BH1579" i="1"/>
  <c r="BR1578" i="1"/>
  <c r="BK1578" i="1"/>
  <c r="BJ1578" i="1"/>
  <c r="BH1578" i="1"/>
  <c r="BR1577" i="1"/>
  <c r="BK1577" i="1"/>
  <c r="BJ1577" i="1"/>
  <c r="BH1577" i="1"/>
  <c r="BR1576" i="1"/>
  <c r="BK1576" i="1"/>
  <c r="BJ1576" i="1"/>
  <c r="BH1576" i="1"/>
  <c r="BR1575" i="1"/>
  <c r="BK1575" i="1"/>
  <c r="BJ1575" i="1"/>
  <c r="BH1575" i="1"/>
  <c r="BR1574" i="1"/>
  <c r="BK1574" i="1"/>
  <c r="BJ1574" i="1"/>
  <c r="BH1574" i="1"/>
  <c r="BR1573" i="1"/>
  <c r="BK1573" i="1"/>
  <c r="BJ1573" i="1"/>
  <c r="BH1573" i="1"/>
  <c r="BN1580" i="1"/>
  <c r="BN1579" i="1"/>
  <c r="BN1578" i="1"/>
  <c r="BN1577" i="1"/>
  <c r="BN1576" i="1"/>
  <c r="BN1575" i="1"/>
  <c r="BN1574" i="1"/>
  <c r="BN1573" i="1"/>
  <c r="BM1580" i="1"/>
  <c r="BM1579" i="1"/>
  <c r="BM1578" i="1"/>
  <c r="BM1577" i="1"/>
  <c r="BM1576" i="1"/>
  <c r="BM1575" i="1"/>
  <c r="BM1574" i="1"/>
  <c r="BM1573" i="1"/>
  <c r="BS1580" i="1"/>
  <c r="BS1579" i="1"/>
  <c r="BS1578" i="1"/>
  <c r="BS1577" i="1"/>
  <c r="BS1576" i="1"/>
  <c r="BS1575" i="1"/>
  <c r="BS1574" i="1"/>
  <c r="BS1573" i="1"/>
  <c r="BO1580" i="1"/>
  <c r="BO1579" i="1"/>
  <c r="BO1578" i="1"/>
  <c r="BO1577" i="1"/>
  <c r="BO1576" i="1"/>
  <c r="BO1575" i="1"/>
  <c r="BO1574" i="1"/>
  <c r="BO1573" i="1"/>
  <c r="BT1580" i="1"/>
  <c r="BT1579" i="1"/>
  <c r="BT1578" i="1"/>
  <c r="BT1577" i="1"/>
  <c r="BT1576" i="1"/>
  <c r="BT1575" i="1"/>
  <c r="BT1574" i="1"/>
  <c r="BT1573" i="1"/>
  <c r="BQ1580" i="1"/>
  <c r="BQ1579" i="1"/>
  <c r="BQ1578" i="1"/>
  <c r="BQ1577" i="1"/>
  <c r="BQ1576" i="1"/>
  <c r="BQ1575" i="1"/>
  <c r="BQ1574" i="1"/>
  <c r="BQ1573" i="1"/>
  <c r="BR1600" i="1"/>
  <c r="BK1600" i="1"/>
  <c r="BJ1600" i="1"/>
  <c r="BH1600" i="1"/>
  <c r="BR1585" i="1"/>
  <c r="BK1585" i="1"/>
  <c r="BJ1585" i="1"/>
  <c r="BH1585" i="1"/>
  <c r="BR1583" i="1"/>
  <c r="BK1583" i="1"/>
  <c r="BJ1583" i="1"/>
  <c r="BH1583" i="1"/>
  <c r="BR1582" i="1"/>
  <c r="BK1582" i="1"/>
  <c r="BJ1582" i="1"/>
  <c r="BH1582" i="1"/>
  <c r="BR1581" i="1"/>
  <c r="BK1581" i="1"/>
  <c r="BJ1581" i="1"/>
  <c r="BH1581" i="1"/>
  <c r="BN1600" i="1"/>
  <c r="BN1585" i="1"/>
  <c r="BN1583" i="1"/>
  <c r="BN1582" i="1"/>
  <c r="BN1581" i="1"/>
  <c r="BM1600" i="1"/>
  <c r="BM1585" i="1"/>
  <c r="BM1583" i="1"/>
  <c r="BM1582" i="1"/>
  <c r="BM1581" i="1"/>
  <c r="BS1600" i="1"/>
  <c r="BS1585" i="1"/>
  <c r="BS1583" i="1"/>
  <c r="BS1582" i="1"/>
  <c r="BS1581" i="1"/>
  <c r="BO1600" i="1"/>
  <c r="BO1585" i="1"/>
  <c r="BO1583" i="1"/>
  <c r="BO1582" i="1"/>
  <c r="BO1581" i="1"/>
  <c r="BT1600" i="1"/>
  <c r="BT1585" i="1"/>
  <c r="BT1583" i="1"/>
  <c r="BT1582" i="1"/>
  <c r="BT1581" i="1"/>
  <c r="BQ1600" i="1"/>
  <c r="BQ1585" i="1"/>
  <c r="BQ1583" i="1"/>
  <c r="BQ1582" i="1"/>
  <c r="BQ1581" i="1"/>
  <c r="BR1623" i="1"/>
  <c r="BK1623" i="1"/>
  <c r="BJ1623" i="1"/>
  <c r="BH1623" i="1"/>
  <c r="BR1619" i="1"/>
  <c r="BK1619" i="1"/>
  <c r="BJ1619" i="1"/>
  <c r="BH1619" i="1"/>
  <c r="BR1601" i="1"/>
  <c r="BK1601" i="1"/>
  <c r="BJ1601" i="1"/>
  <c r="BH1601" i="1"/>
  <c r="BN1623" i="1"/>
  <c r="BN1619" i="1"/>
  <c r="BN1601" i="1"/>
  <c r="BM1623" i="1"/>
  <c r="BM1619" i="1"/>
  <c r="BM1601" i="1"/>
  <c r="BS1623" i="1"/>
  <c r="BS1619" i="1"/>
  <c r="BS1601" i="1"/>
  <c r="BO1623" i="1"/>
  <c r="BO1619" i="1"/>
  <c r="BO1601" i="1"/>
  <c r="BT1623" i="1"/>
  <c r="BT1619" i="1"/>
  <c r="BT1601" i="1"/>
  <c r="BQ1623" i="1"/>
  <c r="BQ1619" i="1"/>
  <c r="BQ1601" i="1"/>
  <c r="BW94" i="1"/>
  <c r="BW93" i="1"/>
  <c r="BS94" i="1"/>
  <c r="BR94" i="1"/>
  <c r="BS60" i="1"/>
  <c r="BR60" i="1"/>
  <c r="BW48" i="1"/>
  <c r="BS48" i="1"/>
  <c r="BR48" i="1"/>
  <c r="BW115" i="1"/>
  <c r="BS115" i="1"/>
  <c r="BR115" i="1"/>
  <c r="BW54" i="1"/>
  <c r="BS54" i="1"/>
  <c r="BR54" i="1"/>
  <c r="BW70" i="1"/>
  <c r="BS70" i="1"/>
  <c r="BR70" i="1"/>
  <c r="BW40" i="1"/>
  <c r="BW39" i="1"/>
  <c r="BW38" i="1"/>
  <c r="BW37" i="1"/>
  <c r="BW36" i="1"/>
  <c r="BW35" i="1"/>
  <c r="BW34" i="1"/>
  <c r="BW33" i="1"/>
  <c r="BW32" i="1"/>
  <c r="BS40" i="1"/>
  <c r="BR40" i="1"/>
  <c r="BV23" i="1"/>
  <c r="BU23" i="1"/>
  <c r="BT23" i="1"/>
  <c r="BS23" i="1"/>
  <c r="BR23" i="1"/>
  <c r="BS112" i="1"/>
  <c r="BS111" i="1"/>
  <c r="BR111" i="1"/>
  <c r="BR112" i="1"/>
  <c r="BS39" i="1"/>
  <c r="BS38" i="1"/>
  <c r="BS37" i="1"/>
  <c r="BS36" i="1"/>
  <c r="BS35" i="1"/>
  <c r="BS34" i="1"/>
  <c r="BS33" i="1"/>
  <c r="BS32" i="1"/>
  <c r="BR32" i="1"/>
  <c r="BR33" i="1"/>
  <c r="BR34" i="1"/>
  <c r="BR35" i="1"/>
  <c r="BR36" i="1"/>
  <c r="BR37" i="1"/>
  <c r="BR38" i="1"/>
  <c r="BR39" i="1"/>
  <c r="BW69" i="1"/>
  <c r="BW68" i="1"/>
  <c r="BW67" i="1"/>
  <c r="BW66" i="1"/>
  <c r="BW65" i="1"/>
  <c r="BW64" i="1"/>
  <c r="BW63" i="1"/>
  <c r="BW62" i="1"/>
  <c r="BW61" i="1"/>
  <c r="BW60" i="1"/>
  <c r="BW59" i="1"/>
  <c r="BW58" i="1"/>
  <c r="BS69" i="1"/>
  <c r="BR69" i="1"/>
  <c r="BW13" i="1"/>
  <c r="BW12" i="1"/>
  <c r="BW11" i="1"/>
  <c r="BS13" i="1"/>
  <c r="BS12" i="1"/>
  <c r="BS11" i="1"/>
  <c r="BR11" i="1"/>
  <c r="BR12" i="1"/>
  <c r="BR13" i="1"/>
  <c r="BW123" i="1"/>
  <c r="BS123" i="1"/>
  <c r="BR123" i="1"/>
  <c r="BW30" i="1"/>
  <c r="BS30" i="1"/>
  <c r="BR30" i="1"/>
  <c r="BW26" i="1"/>
  <c r="BS26" i="1"/>
  <c r="BR26" i="1"/>
  <c r="BW122" i="1"/>
  <c r="BS122" i="1"/>
  <c r="BR122" i="1"/>
  <c r="BS59" i="1"/>
  <c r="BR59" i="1"/>
  <c r="BW29" i="1"/>
  <c r="BS29" i="1"/>
  <c r="BR29" i="1"/>
  <c r="BW5" i="1"/>
  <c r="BS5" i="1"/>
  <c r="BR5" i="1"/>
  <c r="BW106" i="1"/>
  <c r="BS106" i="1"/>
  <c r="BR106" i="1"/>
  <c r="BW52" i="1"/>
  <c r="BW51" i="1"/>
  <c r="BS52" i="1"/>
  <c r="BS51" i="1"/>
  <c r="BR51" i="1"/>
  <c r="BR52" i="1"/>
  <c r="BW15" i="1"/>
  <c r="BW14" i="1"/>
  <c r="BS15" i="1"/>
  <c r="BS14" i="1"/>
  <c r="BR14" i="1"/>
  <c r="BR15" i="1"/>
  <c r="BW75" i="1"/>
  <c r="BW74" i="1"/>
  <c r="BW73" i="1"/>
  <c r="BW72" i="1"/>
  <c r="BW71" i="1"/>
  <c r="BS75" i="1"/>
  <c r="BS74" i="1"/>
  <c r="BS73" i="1"/>
  <c r="BS72" i="1"/>
  <c r="BS71" i="1"/>
  <c r="BR71" i="1"/>
  <c r="BR72" i="1"/>
  <c r="BR73" i="1"/>
  <c r="BR74" i="1"/>
  <c r="BR75" i="1"/>
  <c r="BW121" i="1"/>
  <c r="BS121" i="1"/>
  <c r="BR121" i="1"/>
  <c r="BW76" i="1"/>
  <c r="BS76" i="1"/>
  <c r="BR76" i="1"/>
  <c r="BW28" i="1"/>
  <c r="BS28" i="1"/>
  <c r="BR28" i="1"/>
  <c r="BW124" i="1"/>
  <c r="BS124" i="1"/>
  <c r="BR124" i="1"/>
  <c r="BW97" i="1"/>
  <c r="BW96" i="1"/>
  <c r="BW95" i="1"/>
  <c r="BS97" i="1"/>
  <c r="BR97" i="1"/>
  <c r="BS93" i="1"/>
  <c r="BR93" i="1"/>
  <c r="BW79" i="1"/>
  <c r="BW78" i="1"/>
  <c r="BW77" i="1"/>
  <c r="BS79" i="1"/>
  <c r="BS78" i="1"/>
  <c r="BS77" i="1"/>
  <c r="BR77" i="1"/>
  <c r="BR78" i="1"/>
  <c r="BR79" i="1"/>
  <c r="BW55" i="1"/>
  <c r="BS55" i="1"/>
  <c r="BR55" i="1"/>
  <c r="BW92" i="1"/>
  <c r="BS92" i="1"/>
  <c r="BR92" i="1"/>
  <c r="BW105" i="1"/>
  <c r="BW104" i="1"/>
  <c r="BW103" i="1"/>
  <c r="BW102" i="1"/>
  <c r="BS105" i="1"/>
  <c r="BR105" i="1"/>
  <c r="BS96" i="1"/>
  <c r="BR96" i="1"/>
  <c r="BS58" i="1"/>
  <c r="BR58" i="1"/>
  <c r="BW100" i="1"/>
  <c r="BW99" i="1"/>
  <c r="BW98" i="1"/>
  <c r="BS100" i="1"/>
  <c r="BR100" i="1"/>
  <c r="BW91" i="1"/>
  <c r="BW90" i="1"/>
  <c r="BW89" i="1"/>
  <c r="BS91" i="1"/>
  <c r="BS90" i="1"/>
  <c r="BS89" i="1"/>
  <c r="BR89" i="1"/>
  <c r="BR90" i="1"/>
  <c r="BR91" i="1"/>
  <c r="BW82" i="1"/>
  <c r="BW81" i="1"/>
  <c r="BW80" i="1"/>
  <c r="BS82" i="1"/>
  <c r="BS81" i="1"/>
  <c r="BS80" i="1"/>
  <c r="BR80" i="1"/>
  <c r="BR81" i="1"/>
  <c r="BR82" i="1"/>
  <c r="BV21" i="1"/>
  <c r="BV20" i="1"/>
  <c r="BV19" i="1"/>
  <c r="BV18" i="1"/>
  <c r="BV17" i="1"/>
  <c r="BV16" i="1"/>
  <c r="BV15" i="1"/>
  <c r="BV14" i="1"/>
  <c r="BV13" i="1"/>
  <c r="BV12" i="1"/>
  <c r="BV11" i="1"/>
  <c r="BV10" i="1"/>
  <c r="BV9" i="1"/>
  <c r="BV8" i="1"/>
  <c r="BV7" i="1"/>
  <c r="BV6" i="1"/>
  <c r="BV5" i="1"/>
  <c r="BV4" i="1"/>
  <c r="BV3" i="1"/>
  <c r="BU3" i="1"/>
  <c r="BU4" i="1"/>
  <c r="BU5" i="1"/>
  <c r="BU6" i="1"/>
  <c r="BU7" i="1"/>
  <c r="BU8" i="1"/>
  <c r="BU9" i="1"/>
  <c r="BU10" i="1"/>
  <c r="BU11" i="1"/>
  <c r="BU12" i="1"/>
  <c r="BU13" i="1"/>
  <c r="BU14" i="1"/>
  <c r="BU15" i="1"/>
  <c r="BU16" i="1"/>
  <c r="BU17" i="1"/>
  <c r="BU18" i="1"/>
  <c r="BU19" i="1"/>
  <c r="BU20" i="1"/>
  <c r="BU21" i="1"/>
  <c r="BT21" i="1"/>
  <c r="BT20" i="1"/>
  <c r="BT19" i="1"/>
  <c r="BT18" i="1"/>
  <c r="BT17" i="1"/>
  <c r="BT16" i="1"/>
  <c r="BT15" i="1"/>
  <c r="BT14" i="1"/>
  <c r="BT13" i="1"/>
  <c r="BT12" i="1"/>
  <c r="BT11" i="1"/>
  <c r="BT10" i="1"/>
  <c r="BT9" i="1"/>
  <c r="BT8" i="1"/>
  <c r="BT7" i="1"/>
  <c r="BT6" i="1"/>
  <c r="BT5" i="1"/>
  <c r="BT4" i="1"/>
  <c r="BT3" i="1"/>
  <c r="BS21" i="1"/>
  <c r="BS20" i="1"/>
  <c r="BS19" i="1"/>
  <c r="BR19" i="1"/>
  <c r="BR20" i="1"/>
  <c r="BR21" i="1"/>
  <c r="BS68" i="1"/>
  <c r="BS67" i="1"/>
  <c r="BS66" i="1"/>
  <c r="BS65" i="1"/>
  <c r="BS64" i="1"/>
  <c r="BS63" i="1"/>
  <c r="BR63" i="1"/>
  <c r="BR64" i="1"/>
  <c r="BR65" i="1"/>
  <c r="BR66" i="1"/>
  <c r="BR67" i="1"/>
  <c r="BR68" i="1"/>
  <c r="BW25" i="1"/>
  <c r="BW24" i="1"/>
  <c r="BW23" i="1"/>
  <c r="BW22" i="1"/>
  <c r="BW21" i="1"/>
  <c r="BW20" i="1"/>
  <c r="BW19" i="1"/>
  <c r="BS25" i="1"/>
  <c r="BS24" i="1"/>
  <c r="BR24" i="1"/>
  <c r="BR25" i="1"/>
  <c r="BW53" i="1"/>
  <c r="BS53" i="1"/>
  <c r="BR53" i="1"/>
  <c r="BW86" i="1"/>
  <c r="BW85" i="1"/>
  <c r="BW84" i="1"/>
  <c r="BW83" i="1"/>
  <c r="BS86" i="1"/>
  <c r="BS85" i="1"/>
  <c r="BS84" i="1"/>
  <c r="BS83" i="1"/>
  <c r="BR83" i="1"/>
  <c r="BR84" i="1"/>
  <c r="BR85" i="1"/>
  <c r="BR86" i="1"/>
  <c r="BS62" i="1"/>
  <c r="BS61" i="1"/>
  <c r="BR61" i="1"/>
  <c r="BR62" i="1"/>
  <c r="BW118" i="1"/>
  <c r="BS118" i="1"/>
  <c r="BR118" i="1"/>
  <c r="BW16" i="1"/>
  <c r="BS16" i="1"/>
  <c r="BR16" i="1"/>
  <c r="BW7" i="1"/>
  <c r="BW6" i="1"/>
  <c r="BS7" i="1"/>
  <c r="BS6" i="1"/>
  <c r="BR6" i="1"/>
  <c r="BR7" i="1"/>
  <c r="BW117" i="1"/>
  <c r="BW116" i="1"/>
  <c r="BS117" i="1"/>
  <c r="BS116" i="1"/>
  <c r="BR116" i="1"/>
  <c r="BR117" i="1"/>
  <c r="BW41" i="1"/>
  <c r="BS41" i="1"/>
  <c r="BR41" i="1"/>
  <c r="BW31" i="1"/>
  <c r="BS31" i="1"/>
  <c r="BR31" i="1"/>
  <c r="BW47" i="1"/>
  <c r="BW46" i="1"/>
  <c r="BW45" i="1"/>
  <c r="BW44" i="1"/>
  <c r="BW43" i="1"/>
  <c r="BW42" i="1"/>
  <c r="BS47" i="1"/>
  <c r="BS46" i="1"/>
  <c r="BS45" i="1"/>
  <c r="BS44" i="1"/>
  <c r="BS43" i="1"/>
  <c r="BS42" i="1"/>
  <c r="BR42" i="1"/>
  <c r="BR43" i="1"/>
  <c r="BR44" i="1"/>
  <c r="BR45" i="1"/>
  <c r="BR46" i="1"/>
  <c r="BR47" i="1"/>
  <c r="BW110" i="1"/>
  <c r="BW109" i="1"/>
  <c r="BW108" i="1"/>
  <c r="BW107" i="1"/>
  <c r="BS110" i="1"/>
  <c r="BS109" i="1"/>
  <c r="BS108" i="1"/>
  <c r="BS107" i="1"/>
  <c r="BR107" i="1"/>
  <c r="BR108" i="1"/>
  <c r="BR109" i="1"/>
  <c r="BR110" i="1"/>
  <c r="BW101" i="1"/>
  <c r="BV101" i="1"/>
  <c r="BV100" i="1"/>
  <c r="BV99" i="1"/>
  <c r="BV98" i="1"/>
  <c r="BV97" i="1"/>
  <c r="BV96" i="1"/>
  <c r="BV95" i="1"/>
  <c r="BV94" i="1"/>
  <c r="BV93" i="1"/>
  <c r="BV92" i="1"/>
  <c r="BV91" i="1"/>
  <c r="BV90" i="1"/>
  <c r="BV89" i="1"/>
  <c r="BV88" i="1"/>
  <c r="BV87" i="1"/>
  <c r="BV86" i="1"/>
  <c r="BV85" i="1"/>
  <c r="BV84" i="1"/>
  <c r="BV83" i="1"/>
  <c r="BV82" i="1"/>
  <c r="BV81" i="1"/>
  <c r="BV80" i="1"/>
  <c r="BV79" i="1"/>
  <c r="BV78" i="1"/>
  <c r="BV77" i="1"/>
  <c r="BV76" i="1"/>
  <c r="BV75" i="1"/>
  <c r="BV74" i="1"/>
  <c r="BV73" i="1"/>
  <c r="BV72" i="1"/>
  <c r="BV71" i="1"/>
  <c r="BV70" i="1"/>
  <c r="BV69" i="1"/>
  <c r="BV68" i="1"/>
  <c r="BV67" i="1"/>
  <c r="BV66" i="1"/>
  <c r="BV65" i="1"/>
  <c r="BV64" i="1"/>
  <c r="BV63" i="1"/>
  <c r="BV62" i="1"/>
  <c r="BV61" i="1"/>
  <c r="BV60" i="1"/>
  <c r="BV59" i="1"/>
  <c r="BV58" i="1"/>
  <c r="BV57" i="1"/>
  <c r="BV56" i="1"/>
  <c r="BV55" i="1"/>
  <c r="BV54" i="1"/>
  <c r="BV53" i="1"/>
  <c r="BV52" i="1"/>
  <c r="BV51" i="1"/>
  <c r="BV50" i="1"/>
  <c r="BV49" i="1"/>
  <c r="BV48" i="1"/>
  <c r="BV47" i="1"/>
  <c r="BV46" i="1"/>
  <c r="BV45" i="1"/>
  <c r="BV44" i="1"/>
  <c r="BV43" i="1"/>
  <c r="BV42" i="1"/>
  <c r="BV41" i="1"/>
  <c r="BV40" i="1"/>
  <c r="BV39" i="1"/>
  <c r="BV38" i="1"/>
  <c r="BV37" i="1"/>
  <c r="BV36" i="1"/>
  <c r="BV35" i="1"/>
  <c r="BV34" i="1"/>
  <c r="BV33" i="1"/>
  <c r="BV32" i="1"/>
  <c r="BV31" i="1"/>
  <c r="BV30" i="1"/>
  <c r="BV29" i="1"/>
  <c r="BV28" i="1"/>
  <c r="BV27" i="1"/>
  <c r="BV26" i="1"/>
  <c r="BV25" i="1"/>
  <c r="BV24" i="1"/>
  <c r="BU24" i="1"/>
  <c r="BU25" i="1"/>
  <c r="BU26" i="1"/>
  <c r="BU27" i="1"/>
  <c r="BU28" i="1"/>
  <c r="BU29" i="1"/>
  <c r="BU30" i="1"/>
  <c r="BU31" i="1"/>
  <c r="BU32" i="1"/>
  <c r="BU33" i="1"/>
  <c r="BU34" i="1"/>
  <c r="BU35" i="1"/>
  <c r="BU36" i="1"/>
  <c r="BU37" i="1"/>
  <c r="BU38" i="1"/>
  <c r="BU39" i="1"/>
  <c r="BU40" i="1"/>
  <c r="BU41" i="1"/>
  <c r="BU42" i="1"/>
  <c r="BU43" i="1"/>
  <c r="BU44" i="1"/>
  <c r="BU45" i="1"/>
  <c r="BU46" i="1"/>
  <c r="BU47" i="1"/>
  <c r="BU48" i="1"/>
  <c r="BU49" i="1"/>
  <c r="BU50" i="1"/>
  <c r="BU51" i="1"/>
  <c r="BU52" i="1"/>
  <c r="BU53" i="1"/>
  <c r="BU54" i="1"/>
  <c r="BU55" i="1"/>
  <c r="BU56" i="1"/>
  <c r="BU57" i="1"/>
  <c r="BU58" i="1"/>
  <c r="BU59" i="1"/>
  <c r="BU60" i="1"/>
  <c r="BU61" i="1"/>
  <c r="BU62" i="1"/>
  <c r="BU63" i="1"/>
  <c r="BU64" i="1"/>
  <c r="BU65" i="1"/>
  <c r="BU66" i="1"/>
  <c r="BU67" i="1"/>
  <c r="BU68" i="1"/>
  <c r="BU69" i="1"/>
  <c r="BU70" i="1"/>
  <c r="BU71" i="1"/>
  <c r="BU72" i="1"/>
  <c r="BU73" i="1"/>
  <c r="BU74" i="1"/>
  <c r="BU75" i="1"/>
  <c r="BU76" i="1"/>
  <c r="BU77" i="1"/>
  <c r="BU78" i="1"/>
  <c r="BU79" i="1"/>
  <c r="BU80" i="1"/>
  <c r="BU81" i="1"/>
  <c r="BU82" i="1"/>
  <c r="BU83" i="1"/>
  <c r="BU84" i="1"/>
  <c r="BU85" i="1"/>
  <c r="BU86" i="1"/>
  <c r="BU87" i="1"/>
  <c r="BU88" i="1"/>
  <c r="BU89" i="1"/>
  <c r="BU90" i="1"/>
  <c r="BU91" i="1"/>
  <c r="BU92" i="1"/>
  <c r="BU93" i="1"/>
  <c r="BU94" i="1"/>
  <c r="BU95" i="1"/>
  <c r="BU96" i="1"/>
  <c r="BU97" i="1"/>
  <c r="BU98" i="1"/>
  <c r="BU99" i="1"/>
  <c r="BU100" i="1"/>
  <c r="BU101" i="1"/>
  <c r="BT101" i="1"/>
  <c r="BT100" i="1"/>
  <c r="BT99" i="1"/>
  <c r="BT98" i="1"/>
  <c r="BT97" i="1"/>
  <c r="BT96" i="1"/>
  <c r="BT95" i="1"/>
  <c r="BT94" i="1"/>
  <c r="BT93" i="1"/>
  <c r="BT92" i="1"/>
  <c r="BT91" i="1"/>
  <c r="BT90" i="1"/>
  <c r="BT89" i="1"/>
  <c r="BT88" i="1"/>
  <c r="BT87" i="1"/>
  <c r="BT86" i="1"/>
  <c r="BT85" i="1"/>
  <c r="BT84" i="1"/>
  <c r="BT83" i="1"/>
  <c r="BT82" i="1"/>
  <c r="BT81" i="1"/>
  <c r="BT80" i="1"/>
  <c r="BT79" i="1"/>
  <c r="BT78" i="1"/>
  <c r="BT77" i="1"/>
  <c r="BT76" i="1"/>
  <c r="BT75" i="1"/>
  <c r="BT74" i="1"/>
  <c r="BT73" i="1"/>
  <c r="BT72" i="1"/>
  <c r="BT71" i="1"/>
  <c r="BT70" i="1"/>
  <c r="BT69" i="1"/>
  <c r="BT68" i="1"/>
  <c r="BT67" i="1"/>
  <c r="BT66" i="1"/>
  <c r="BT65" i="1"/>
  <c r="BT64" i="1"/>
  <c r="BT63" i="1"/>
  <c r="BT62" i="1"/>
  <c r="BT61" i="1"/>
  <c r="BT60" i="1"/>
  <c r="BT59" i="1"/>
  <c r="BT58" i="1"/>
  <c r="BT57" i="1"/>
  <c r="BT56" i="1"/>
  <c r="BT55" i="1"/>
  <c r="BT54" i="1"/>
  <c r="BT53" i="1"/>
  <c r="BT52" i="1"/>
  <c r="BT51" i="1"/>
  <c r="BT50" i="1"/>
  <c r="BT49" i="1"/>
  <c r="BT48" i="1"/>
  <c r="BT47" i="1"/>
  <c r="BT46" i="1"/>
  <c r="BT45" i="1"/>
  <c r="BT44" i="1"/>
  <c r="BT43" i="1"/>
  <c r="BT42" i="1"/>
  <c r="BT41" i="1"/>
  <c r="BT40" i="1"/>
  <c r="BT39" i="1"/>
  <c r="BT38" i="1"/>
  <c r="BT37" i="1"/>
  <c r="BT36" i="1"/>
  <c r="BT35" i="1"/>
  <c r="BT34" i="1"/>
  <c r="BT33" i="1"/>
  <c r="BT32" i="1"/>
  <c r="BT31" i="1"/>
  <c r="BT30" i="1"/>
  <c r="BT29" i="1"/>
  <c r="BT28" i="1"/>
  <c r="BT27" i="1"/>
  <c r="BT26" i="1"/>
  <c r="BT25" i="1"/>
  <c r="BT24" i="1"/>
  <c r="BS101" i="1"/>
  <c r="BR101" i="1"/>
  <c r="BW4" i="1"/>
  <c r="BS4" i="1"/>
  <c r="BR4" i="1"/>
  <c r="BW126" i="1"/>
  <c r="BW125" i="1"/>
  <c r="BS126" i="1"/>
  <c r="BS125" i="1"/>
  <c r="BR125" i="1"/>
  <c r="BR126" i="1"/>
  <c r="BW18" i="1"/>
  <c r="BS18" i="1"/>
  <c r="BR18" i="1"/>
  <c r="BS87" i="1"/>
  <c r="BR87" i="1"/>
  <c r="BW27" i="1"/>
  <c r="BS27" i="1"/>
  <c r="BR27" i="1"/>
  <c r="BS95" i="1"/>
  <c r="BR95" i="1"/>
  <c r="BS99" i="1"/>
  <c r="BS98" i="1"/>
  <c r="BR98" i="1"/>
  <c r="BR99" i="1"/>
  <c r="BS49" i="1"/>
  <c r="BR49" i="1"/>
  <c r="BS104" i="1"/>
  <c r="BS103" i="1"/>
  <c r="BS102" i="1"/>
  <c r="BR102" i="1"/>
  <c r="BR103" i="1"/>
  <c r="BR104" i="1"/>
  <c r="BW127" i="1"/>
  <c r="BS127" i="1"/>
  <c r="BR127" i="1"/>
  <c r="BW57" i="1"/>
  <c r="BW56" i="1"/>
  <c r="BS57" i="1"/>
  <c r="BS56" i="1"/>
  <c r="BR56" i="1"/>
  <c r="BR57" i="1"/>
  <c r="BW114" i="1"/>
  <c r="BW113" i="1"/>
  <c r="BW112" i="1"/>
  <c r="BW111" i="1"/>
  <c r="BS114" i="1"/>
  <c r="BS113" i="1"/>
  <c r="BR113" i="1"/>
  <c r="BR114" i="1"/>
  <c r="BW10" i="1"/>
  <c r="BW9" i="1"/>
  <c r="BW8" i="1"/>
  <c r="BS10" i="1"/>
  <c r="BS9" i="1"/>
  <c r="BS8" i="1"/>
  <c r="BR8" i="1"/>
  <c r="BR9" i="1"/>
  <c r="BR10" i="1"/>
  <c r="BW120" i="1"/>
  <c r="BW119" i="1"/>
  <c r="BS120" i="1"/>
  <c r="BS119" i="1"/>
  <c r="BR119" i="1"/>
  <c r="BR120" i="1"/>
  <c r="BW88" i="1"/>
  <c r="BW87" i="1"/>
  <c r="BS88" i="1"/>
  <c r="BR88" i="1"/>
  <c r="BV22" i="1"/>
  <c r="BU22" i="1"/>
  <c r="BT22" i="1"/>
  <c r="BS22" i="1"/>
  <c r="BR22" i="1"/>
  <c r="BW50" i="1"/>
  <c r="BW49" i="1"/>
  <c r="BS50" i="1"/>
  <c r="BR50" i="1"/>
  <c r="BW17" i="1"/>
  <c r="BS17" i="1"/>
  <c r="BR17" i="1"/>
  <c r="BR1389" i="1"/>
  <c r="BR1390" i="1"/>
  <c r="BR1391" i="1"/>
  <c r="BR1392" i="1"/>
  <c r="BR1393" i="1"/>
  <c r="BR1394" i="1"/>
  <c r="BR1395" i="1"/>
  <c r="BR1396" i="1"/>
  <c r="BR1397" i="1"/>
  <c r="BR1398" i="1"/>
  <c r="BR1399" i="1"/>
  <c r="BR1400" i="1"/>
  <c r="BR1401" i="1"/>
  <c r="BR1402" i="1"/>
  <c r="BR1403" i="1"/>
  <c r="BR1404" i="1"/>
  <c r="BR1405" i="1"/>
  <c r="BR1406" i="1"/>
  <c r="BR1407" i="1"/>
  <c r="BR1408" i="1"/>
  <c r="BR1409" i="1"/>
  <c r="BR1410" i="1"/>
  <c r="BR1411" i="1"/>
  <c r="BR1412" i="1"/>
  <c r="BR1413" i="1"/>
  <c r="BR1414" i="1"/>
  <c r="BR1415" i="1"/>
  <c r="BR1416" i="1"/>
  <c r="BR1417" i="1"/>
  <c r="BR1418" i="1"/>
  <c r="BR1419" i="1"/>
  <c r="BR1420" i="1"/>
  <c r="BR1421" i="1"/>
  <c r="BR1422" i="1"/>
  <c r="BR1423" i="1"/>
  <c r="BR1424" i="1"/>
  <c r="BR1425" i="1"/>
  <c r="BR1426" i="1"/>
  <c r="BR1427" i="1"/>
  <c r="BR1428" i="1"/>
  <c r="BR1429" i="1"/>
  <c r="BR1430" i="1"/>
  <c r="BR1431" i="1"/>
  <c r="BR1432" i="1"/>
  <c r="BR1433" i="1"/>
  <c r="BR1434" i="1"/>
  <c r="BR1435" i="1"/>
  <c r="BR1436" i="1"/>
  <c r="BR1437" i="1"/>
  <c r="BR1438" i="1"/>
  <c r="BR1439" i="1"/>
  <c r="BR1440" i="1"/>
  <c r="BR1441" i="1"/>
  <c r="BR1442" i="1"/>
  <c r="BR1443" i="1"/>
  <c r="BR1444" i="1"/>
  <c r="BR1445" i="1"/>
  <c r="BR1446" i="1"/>
  <c r="BR1447" i="1"/>
  <c r="BR1448" i="1"/>
  <c r="BR1449" i="1"/>
  <c r="BR1450" i="1"/>
  <c r="BR1451" i="1"/>
  <c r="BR1452" i="1"/>
  <c r="BR1453" i="1"/>
  <c r="BR1454" i="1"/>
  <c r="BR1455" i="1"/>
  <c r="BR1456" i="1"/>
  <c r="BR1457" i="1"/>
  <c r="BR1458" i="1"/>
  <c r="BR1459" i="1"/>
  <c r="BR1460" i="1"/>
  <c r="BR1461" i="1"/>
  <c r="BR1462" i="1"/>
  <c r="BR1463" i="1"/>
  <c r="BR1464" i="1"/>
  <c r="BR1465" i="1"/>
  <c r="BR1466" i="1"/>
  <c r="BR1467" i="1"/>
  <c r="BR1468" i="1"/>
  <c r="BR1469" i="1"/>
  <c r="BR1470" i="1"/>
  <c r="BR1471" i="1"/>
  <c r="BR1472" i="1"/>
  <c r="BR1473" i="1"/>
  <c r="BR1474" i="1"/>
  <c r="BR1475" i="1"/>
  <c r="BR1476" i="1"/>
  <c r="BR1477" i="1"/>
  <c r="BR1478" i="1"/>
  <c r="BR1479" i="1"/>
  <c r="BR1480" i="1"/>
  <c r="BR1481" i="1"/>
  <c r="BR1482" i="1"/>
  <c r="BR1483" i="1"/>
  <c r="BR1484" i="1"/>
  <c r="BR1485" i="1"/>
  <c r="BR1486" i="1"/>
  <c r="BR1487" i="1"/>
  <c r="BR1488" i="1"/>
  <c r="BR1489" i="1"/>
  <c r="BR1490" i="1"/>
  <c r="BR1491" i="1"/>
  <c r="BR1492" i="1"/>
  <c r="BR1493" i="1"/>
  <c r="BR1494" i="1"/>
  <c r="BR1495" i="1"/>
  <c r="BR1496" i="1"/>
  <c r="BR1497" i="1"/>
  <c r="BR1498" i="1"/>
  <c r="BR1499" i="1"/>
  <c r="BR1500" i="1"/>
  <c r="BR1501" i="1"/>
  <c r="BR1502" i="1"/>
  <c r="BR1503" i="1"/>
  <c r="BR1504" i="1"/>
  <c r="BR1505" i="1"/>
  <c r="BR1506" i="1"/>
  <c r="BR1507" i="1"/>
  <c r="BR1508" i="1"/>
  <c r="BR1509" i="1"/>
  <c r="BR1510" i="1"/>
  <c r="BR1511" i="1"/>
  <c r="BR1512" i="1"/>
  <c r="BR1513" i="1"/>
  <c r="BR1514" i="1"/>
  <c r="BR1515" i="1"/>
  <c r="BR1516" i="1"/>
  <c r="BR1517" i="1"/>
  <c r="BR1518" i="1"/>
  <c r="BR1519" i="1"/>
  <c r="BR1520" i="1"/>
  <c r="BR1521" i="1"/>
  <c r="BR1522" i="1"/>
  <c r="BR1523" i="1"/>
  <c r="BR1524" i="1"/>
  <c r="BR1525" i="1"/>
  <c r="BR1526" i="1"/>
  <c r="BR1527" i="1"/>
  <c r="BR1528" i="1"/>
  <c r="BR1529" i="1"/>
  <c r="BR1530" i="1"/>
  <c r="BR1531" i="1"/>
  <c r="BR1532" i="1"/>
  <c r="BR1533" i="1"/>
  <c r="BR1534" i="1"/>
  <c r="BR1535" i="1"/>
  <c r="BR1536" i="1"/>
  <c r="BR1537" i="1"/>
  <c r="BR1538" i="1"/>
  <c r="BR1539" i="1"/>
  <c r="BR1540" i="1"/>
  <c r="BR1541" i="1"/>
  <c r="BR1542" i="1"/>
  <c r="BR1543" i="1"/>
  <c r="BR1544" i="1"/>
  <c r="BR1545" i="1"/>
  <c r="BR1546" i="1"/>
  <c r="BR1547" i="1"/>
  <c r="BR1548" i="1"/>
  <c r="BR1549" i="1"/>
  <c r="BR1388" i="1"/>
  <c r="BR1550" i="1"/>
  <c r="BR1551" i="1"/>
  <c r="BR1552" i="1"/>
  <c r="BR1553" i="1"/>
  <c r="BR1554" i="1"/>
  <c r="BR1555" i="1"/>
  <c r="BR1556" i="1"/>
  <c r="BR1557" i="1"/>
  <c r="BR1558" i="1"/>
  <c r="BR1559" i="1"/>
  <c r="BR1560" i="1"/>
  <c r="BR1561" i="1"/>
  <c r="BR1562" i="1"/>
  <c r="BR1563" i="1"/>
  <c r="BR1564" i="1"/>
  <c r="BR1565" i="1"/>
  <c r="BR1566" i="1"/>
  <c r="BR1567" i="1"/>
  <c r="BR1568" i="1"/>
  <c r="BR1569" i="1"/>
  <c r="BR1570" i="1"/>
  <c r="BR1571" i="1"/>
  <c r="BR1572" i="1"/>
  <c r="BR1637" i="1"/>
  <c r="BR1638" i="1"/>
  <c r="BR1640" i="1"/>
  <c r="BR1641" i="1"/>
  <c r="BR1642" i="1"/>
  <c r="BR1643" i="1"/>
  <c r="BR1644" i="1"/>
  <c r="BS1404" i="1"/>
  <c r="BS1405" i="1"/>
  <c r="BS1406" i="1"/>
  <c r="BS1407" i="1"/>
  <c r="BS1408" i="1"/>
  <c r="BS1409" i="1"/>
  <c r="BS1410" i="1"/>
  <c r="BS1411" i="1"/>
  <c r="BS1412" i="1"/>
  <c r="BS1413" i="1"/>
  <c r="BS1414" i="1"/>
  <c r="BS1415" i="1"/>
  <c r="BS1416" i="1"/>
  <c r="BS1417" i="1"/>
  <c r="BS1418" i="1"/>
  <c r="BS1419" i="1"/>
  <c r="BS1420" i="1"/>
  <c r="BS1421" i="1"/>
  <c r="BS1422" i="1"/>
  <c r="BS1423" i="1"/>
  <c r="BS1424" i="1"/>
  <c r="BS1425" i="1"/>
  <c r="BS1426" i="1"/>
  <c r="BS1427" i="1"/>
  <c r="BS1428" i="1"/>
  <c r="BS1429" i="1"/>
  <c r="BS1430" i="1"/>
  <c r="BS1431" i="1"/>
  <c r="BS1432" i="1"/>
  <c r="BS1433" i="1"/>
  <c r="BS1434" i="1"/>
  <c r="BS1435" i="1"/>
  <c r="BS1436" i="1"/>
  <c r="BS1437" i="1"/>
  <c r="BS1438" i="1"/>
  <c r="BS1439" i="1"/>
  <c r="BS1440" i="1"/>
  <c r="BS1441" i="1"/>
  <c r="BS1442" i="1"/>
  <c r="BS1443" i="1"/>
  <c r="BS1444" i="1"/>
  <c r="BS1445" i="1"/>
  <c r="BS1446" i="1"/>
  <c r="BS1447" i="1"/>
  <c r="BS1448" i="1"/>
  <c r="BS1449" i="1"/>
  <c r="BS1450" i="1"/>
  <c r="BS1451" i="1"/>
  <c r="BS1452" i="1"/>
  <c r="BS1453" i="1"/>
  <c r="BS1454" i="1"/>
  <c r="BS1455" i="1"/>
  <c r="BS1456" i="1"/>
  <c r="BS1457" i="1"/>
  <c r="BS1458" i="1"/>
  <c r="BS1459" i="1"/>
  <c r="BS1460" i="1"/>
  <c r="BS1461" i="1"/>
  <c r="BS1462" i="1"/>
  <c r="BS1463" i="1"/>
  <c r="BS1464" i="1"/>
  <c r="BS1465" i="1"/>
  <c r="BS1466" i="1"/>
  <c r="BS1467" i="1"/>
  <c r="BS1468" i="1"/>
  <c r="BS1469" i="1"/>
  <c r="BS1470" i="1"/>
  <c r="BS1471" i="1"/>
  <c r="BS1472" i="1"/>
  <c r="BS1473" i="1"/>
  <c r="BS1474" i="1"/>
  <c r="BS1475" i="1"/>
  <c r="BS1476" i="1"/>
  <c r="BS1477" i="1"/>
  <c r="BS1478" i="1"/>
  <c r="BS1479" i="1"/>
  <c r="BS1480" i="1"/>
  <c r="BS1481" i="1"/>
  <c r="BS1482" i="1"/>
  <c r="BS1483" i="1"/>
  <c r="BS1484" i="1"/>
  <c r="BS1485" i="1"/>
  <c r="BS1486" i="1"/>
  <c r="BS1487" i="1"/>
  <c r="BS1488" i="1"/>
  <c r="BS1489" i="1"/>
  <c r="BS1490" i="1"/>
  <c r="BS1491" i="1"/>
  <c r="BS1492" i="1"/>
  <c r="BS1493" i="1"/>
  <c r="BS1494" i="1"/>
  <c r="BS1495" i="1"/>
  <c r="BS1496" i="1"/>
  <c r="BS1497" i="1"/>
  <c r="BS1498" i="1"/>
  <c r="BS1499" i="1"/>
  <c r="BS1500" i="1"/>
  <c r="BS1501" i="1"/>
  <c r="BS1502" i="1"/>
  <c r="BS1503" i="1"/>
  <c r="BS1504" i="1"/>
  <c r="BS1505" i="1"/>
  <c r="BS1506" i="1"/>
  <c r="BS1507" i="1"/>
  <c r="BS1508" i="1"/>
  <c r="BS1509" i="1"/>
  <c r="BS1510" i="1"/>
  <c r="BS1511" i="1"/>
  <c r="BS1512" i="1"/>
  <c r="BS1513" i="1"/>
  <c r="BS1514" i="1"/>
  <c r="BS1515" i="1"/>
  <c r="BS1516" i="1"/>
  <c r="BS1517" i="1"/>
  <c r="BS1518" i="1"/>
  <c r="BS1519" i="1"/>
  <c r="BS1520" i="1"/>
  <c r="BS1521" i="1"/>
  <c r="BS1522" i="1"/>
  <c r="BS1523" i="1"/>
  <c r="BS1524" i="1"/>
  <c r="BS1525" i="1"/>
  <c r="BS1526" i="1"/>
  <c r="BS1527" i="1"/>
  <c r="BS1528" i="1"/>
  <c r="BS1529" i="1"/>
  <c r="BS1530" i="1"/>
  <c r="BS1531" i="1"/>
  <c r="BS1532" i="1"/>
  <c r="BS1533" i="1"/>
  <c r="BS1534" i="1"/>
  <c r="BS1535" i="1"/>
  <c r="BS1536" i="1"/>
  <c r="BS1537" i="1"/>
  <c r="BS1538" i="1"/>
  <c r="BS1539" i="1"/>
  <c r="BS1540" i="1"/>
  <c r="BS1541" i="1"/>
  <c r="BS1542" i="1"/>
  <c r="BS1543" i="1"/>
  <c r="BS1544" i="1"/>
  <c r="BS1545" i="1"/>
  <c r="BS1546" i="1"/>
  <c r="BS1547" i="1"/>
  <c r="BS1548" i="1"/>
  <c r="BS1549" i="1"/>
  <c r="BS1550" i="1"/>
  <c r="BS1551" i="1"/>
  <c r="BS1552" i="1"/>
  <c r="BS1553" i="1"/>
  <c r="BS1554" i="1"/>
  <c r="BS1555" i="1"/>
  <c r="BS1556" i="1"/>
  <c r="BS1557" i="1"/>
  <c r="BS1558" i="1"/>
  <c r="BS1559" i="1"/>
  <c r="BS1560" i="1"/>
  <c r="BS1561" i="1"/>
  <c r="BS1562" i="1"/>
  <c r="BS1563" i="1"/>
  <c r="BS1564" i="1"/>
  <c r="BS1565" i="1"/>
  <c r="BS1566" i="1"/>
  <c r="BS1567" i="1"/>
  <c r="BS1568" i="1"/>
  <c r="BS1569" i="1"/>
  <c r="BS1570" i="1"/>
  <c r="BS1571" i="1"/>
  <c r="BS1572" i="1"/>
  <c r="BS1637" i="1"/>
  <c r="BS1638" i="1"/>
  <c r="BS1640" i="1"/>
  <c r="BS1641" i="1"/>
  <c r="BS1642" i="1"/>
  <c r="BS1643" i="1"/>
  <c r="BS1644" i="1"/>
  <c r="I18" i="6"/>
  <c r="BT1392" i="1"/>
  <c r="BT1393" i="1"/>
  <c r="BT1394" i="1"/>
  <c r="BT1395" i="1"/>
  <c r="BT1396" i="1"/>
  <c r="BT1397" i="1"/>
  <c r="BT1398" i="1"/>
  <c r="BT1399" i="1"/>
  <c r="BT1400" i="1"/>
  <c r="BT1401" i="1"/>
  <c r="BT1402" i="1"/>
  <c r="BT1403" i="1"/>
  <c r="BT1404" i="1"/>
  <c r="BT1405" i="1"/>
  <c r="BT1406" i="1"/>
  <c r="BT1407" i="1"/>
  <c r="BT1408" i="1"/>
  <c r="BT1409" i="1"/>
  <c r="BT1410" i="1"/>
  <c r="BT1411" i="1"/>
  <c r="BT1412" i="1"/>
  <c r="BT1413" i="1"/>
  <c r="BT1414" i="1"/>
  <c r="BT1415" i="1"/>
  <c r="BT1416" i="1"/>
  <c r="BT1417" i="1"/>
  <c r="BT1418" i="1"/>
  <c r="BT1419" i="1"/>
  <c r="BT1420" i="1"/>
  <c r="BT1421" i="1"/>
  <c r="BT1422" i="1"/>
  <c r="BT1423" i="1"/>
  <c r="BT1424" i="1"/>
  <c r="BT1425" i="1"/>
  <c r="BT1426" i="1"/>
  <c r="BT1427" i="1"/>
  <c r="BT1428" i="1"/>
  <c r="BT1429" i="1"/>
  <c r="BT1430" i="1"/>
  <c r="BT1431" i="1"/>
  <c r="BT1432" i="1"/>
  <c r="BT1433" i="1"/>
  <c r="BT1434" i="1"/>
  <c r="BT1435" i="1"/>
  <c r="BT1436" i="1"/>
  <c r="BT1437" i="1"/>
  <c r="BT1438" i="1"/>
  <c r="BT1439" i="1"/>
  <c r="BT1440" i="1"/>
  <c r="BT1441" i="1"/>
  <c r="BT1442" i="1"/>
  <c r="BT1443" i="1"/>
  <c r="BT1444" i="1"/>
  <c r="BT1445" i="1"/>
  <c r="BT1446" i="1"/>
  <c r="BT1447" i="1"/>
  <c r="BT1448" i="1"/>
  <c r="BT1449" i="1"/>
  <c r="BT1450" i="1"/>
  <c r="BT1451" i="1"/>
  <c r="BT1452" i="1"/>
  <c r="BT1453" i="1"/>
  <c r="BT1454" i="1"/>
  <c r="BT1455" i="1"/>
  <c r="BT1456" i="1"/>
  <c r="BT1457" i="1"/>
  <c r="BT1458" i="1"/>
  <c r="BT1459" i="1"/>
  <c r="BT1460" i="1"/>
  <c r="BT1461" i="1"/>
  <c r="BT1462" i="1"/>
  <c r="BT1463" i="1"/>
  <c r="BT1464" i="1"/>
  <c r="BT1465" i="1"/>
  <c r="BT1466" i="1"/>
  <c r="BT1467" i="1"/>
  <c r="BT1468" i="1"/>
  <c r="BT1469" i="1"/>
  <c r="BT1470" i="1"/>
  <c r="BT1471" i="1"/>
  <c r="BT1472" i="1"/>
  <c r="BT1473" i="1"/>
  <c r="BT1474" i="1"/>
  <c r="BT1475" i="1"/>
  <c r="BT1476" i="1"/>
  <c r="BT1477" i="1"/>
  <c r="BT1478" i="1"/>
  <c r="BT1479" i="1"/>
  <c r="BT1480" i="1"/>
  <c r="BT1481" i="1"/>
  <c r="BT1482" i="1"/>
  <c r="BT1483" i="1"/>
  <c r="BT1484" i="1"/>
  <c r="BT1485" i="1"/>
  <c r="BT1486" i="1"/>
  <c r="BT1487" i="1"/>
  <c r="BT1488" i="1"/>
  <c r="BT1489" i="1"/>
  <c r="BT1490" i="1"/>
  <c r="BT1491" i="1"/>
  <c r="BT1492" i="1"/>
  <c r="BT1493" i="1"/>
  <c r="BT1494" i="1"/>
  <c r="BT1495" i="1"/>
  <c r="BT1496" i="1"/>
  <c r="BT1497" i="1"/>
  <c r="BT1498" i="1"/>
  <c r="BT1499" i="1"/>
  <c r="BT1500" i="1"/>
  <c r="BT1501" i="1"/>
  <c r="BT1502" i="1"/>
  <c r="BT1503" i="1"/>
  <c r="BT1504" i="1"/>
  <c r="BT1505" i="1"/>
  <c r="BT1506" i="1"/>
  <c r="BT1507" i="1"/>
  <c r="BT1508" i="1"/>
  <c r="BT1509" i="1"/>
  <c r="BT1510" i="1"/>
  <c r="BT1511" i="1"/>
  <c r="BT1512" i="1"/>
  <c r="BT1513" i="1"/>
  <c r="BT1514" i="1"/>
  <c r="BT1515" i="1"/>
  <c r="BT1516" i="1"/>
  <c r="BT1517" i="1"/>
  <c r="BT1518" i="1"/>
  <c r="BT1519" i="1"/>
  <c r="BT1520" i="1"/>
  <c r="BT1521" i="1"/>
  <c r="BT1522" i="1"/>
  <c r="BT1523" i="1"/>
  <c r="BT1524" i="1"/>
  <c r="BT1525" i="1"/>
  <c r="BT1526" i="1"/>
  <c r="BT1527" i="1"/>
  <c r="BT1528" i="1"/>
  <c r="BT1529" i="1"/>
  <c r="BT1530" i="1"/>
  <c r="BT1531" i="1"/>
  <c r="BT1532" i="1"/>
  <c r="BT1533" i="1"/>
  <c r="BT1534" i="1"/>
  <c r="BT1535" i="1"/>
  <c r="BT1536" i="1"/>
  <c r="BT1537" i="1"/>
  <c r="BT1538" i="1"/>
  <c r="BT1539" i="1"/>
  <c r="BT1540" i="1"/>
  <c r="BT1541" i="1"/>
  <c r="BT1542" i="1"/>
  <c r="BT1543" i="1"/>
  <c r="BT1544" i="1"/>
  <c r="BT1545" i="1"/>
  <c r="BT1546" i="1"/>
  <c r="BT1547" i="1"/>
  <c r="BT1548" i="1"/>
  <c r="BT1549" i="1"/>
  <c r="BT1550" i="1"/>
  <c r="BT1551" i="1"/>
  <c r="BT1552" i="1"/>
  <c r="BT1553" i="1"/>
  <c r="BT1554" i="1"/>
  <c r="BT1555" i="1"/>
  <c r="BT1556" i="1"/>
  <c r="BT1557" i="1"/>
  <c r="BT1558" i="1"/>
  <c r="BT1559" i="1"/>
  <c r="BT1560" i="1"/>
  <c r="BT1561" i="1"/>
  <c r="BT1562" i="1"/>
  <c r="BT1563" i="1"/>
  <c r="BT1564" i="1"/>
  <c r="BT1565" i="1"/>
  <c r="BT1566" i="1"/>
  <c r="BT1567" i="1"/>
  <c r="BT1568" i="1"/>
  <c r="BT1569" i="1"/>
  <c r="BT1570" i="1"/>
  <c r="BT1571" i="1"/>
  <c r="BT1572" i="1"/>
  <c r="BT1637" i="1"/>
  <c r="BT1638" i="1"/>
  <c r="BT1640" i="1"/>
  <c r="BT1641" i="1"/>
  <c r="BT1642" i="1"/>
  <c r="BT1643" i="1"/>
  <c r="BT1644" i="1"/>
  <c r="BK1569" i="1"/>
  <c r="BJ1569" i="1"/>
  <c r="BH1569" i="1"/>
  <c r="BK1568" i="1"/>
  <c r="BJ1568" i="1"/>
  <c r="BH1568" i="1"/>
  <c r="BK1567" i="1"/>
  <c r="BJ1567" i="1"/>
  <c r="BH1567" i="1"/>
  <c r="BK1566" i="1"/>
  <c r="BJ1566" i="1"/>
  <c r="BH1566" i="1"/>
  <c r="BK1565" i="1"/>
  <c r="BJ1565" i="1"/>
  <c r="BH1565" i="1"/>
  <c r="BK1564" i="1"/>
  <c r="BJ1564" i="1"/>
  <c r="BH1564" i="1"/>
  <c r="BK1563" i="1"/>
  <c r="BJ1563" i="1"/>
  <c r="BH1563" i="1"/>
  <c r="BN1569" i="1"/>
  <c r="BN1568" i="1"/>
  <c r="BN1567" i="1"/>
  <c r="BN1566" i="1"/>
  <c r="BN1565" i="1"/>
  <c r="BN1564" i="1"/>
  <c r="BN1563" i="1"/>
  <c r="BM1569" i="1"/>
  <c r="BM1568" i="1"/>
  <c r="BM1567" i="1"/>
  <c r="BM1566" i="1"/>
  <c r="BM1565" i="1"/>
  <c r="BM1564" i="1"/>
  <c r="BM1563" i="1"/>
  <c r="BO1569" i="1"/>
  <c r="BO1568" i="1"/>
  <c r="BO1567" i="1"/>
  <c r="BO1566" i="1"/>
  <c r="BO1565" i="1"/>
  <c r="BO1564" i="1"/>
  <c r="BO1563" i="1"/>
  <c r="BQ1569" i="1"/>
  <c r="BQ1568" i="1"/>
  <c r="BQ1567" i="1"/>
  <c r="BQ1566" i="1"/>
  <c r="BQ1565" i="1"/>
  <c r="BQ1564" i="1"/>
  <c r="BQ1563" i="1"/>
  <c r="BK1637" i="1"/>
  <c r="BJ1637" i="1"/>
  <c r="BH1637" i="1"/>
  <c r="BK1572" i="1"/>
  <c r="BJ1572" i="1"/>
  <c r="BH1572" i="1"/>
  <c r="BK1571" i="1"/>
  <c r="BJ1571" i="1"/>
  <c r="BH1571" i="1"/>
  <c r="BK1570" i="1"/>
  <c r="BJ1570" i="1"/>
  <c r="BH1570" i="1"/>
  <c r="BK1555" i="1"/>
  <c r="BN1637" i="1"/>
  <c r="BN1572" i="1"/>
  <c r="BN1571" i="1"/>
  <c r="BN1570" i="1"/>
  <c r="BN1555" i="1"/>
  <c r="BJ1555" i="1"/>
  <c r="BH1555" i="1"/>
  <c r="BM1637" i="1"/>
  <c r="BM1572" i="1"/>
  <c r="BM1571" i="1"/>
  <c r="BM1570" i="1"/>
  <c r="BM1555" i="1"/>
  <c r="BO1637" i="1"/>
  <c r="BO1572" i="1"/>
  <c r="BO1571" i="1"/>
  <c r="BO1570" i="1"/>
  <c r="BO1555" i="1"/>
  <c r="I17" i="6"/>
  <c r="BQ1637" i="1"/>
  <c r="BQ1572" i="1"/>
  <c r="BQ1571" i="1"/>
  <c r="BQ1570" i="1"/>
  <c r="BQ1555" i="1"/>
  <c r="BK1561" i="1"/>
  <c r="BJ1561" i="1"/>
  <c r="BH1561" i="1"/>
  <c r="BK1560" i="1"/>
  <c r="BJ1560" i="1"/>
  <c r="BH1560" i="1"/>
  <c r="BK1559" i="1"/>
  <c r="BJ1559" i="1"/>
  <c r="BH1559" i="1"/>
  <c r="BK1558" i="1"/>
  <c r="BJ1558" i="1"/>
  <c r="BH1558" i="1"/>
  <c r="BK1557" i="1"/>
  <c r="BJ1557" i="1"/>
  <c r="BH1557" i="1"/>
  <c r="BK1556" i="1"/>
  <c r="BJ1556" i="1"/>
  <c r="BH1556" i="1"/>
  <c r="BK1554" i="1"/>
  <c r="BJ1554" i="1"/>
  <c r="BH1554" i="1"/>
  <c r="BN1561" i="1"/>
  <c r="BN1560" i="1"/>
  <c r="BN1559" i="1"/>
  <c r="BN1558" i="1"/>
  <c r="BN1557" i="1"/>
  <c r="BN1556" i="1"/>
  <c r="BN1554" i="1"/>
  <c r="BM1561" i="1"/>
  <c r="BM1560" i="1"/>
  <c r="BM1559" i="1"/>
  <c r="BM1558" i="1"/>
  <c r="BM1557" i="1"/>
  <c r="BM1556" i="1"/>
  <c r="BM1554" i="1"/>
  <c r="BO1561" i="1"/>
  <c r="BO1560" i="1"/>
  <c r="BO1559" i="1"/>
  <c r="BO1558" i="1"/>
  <c r="BO1557" i="1"/>
  <c r="BO1556" i="1"/>
  <c r="BO1554" i="1"/>
  <c r="BQ1561" i="1"/>
  <c r="BQ1560" i="1"/>
  <c r="BQ1559" i="1"/>
  <c r="BQ1558" i="1"/>
  <c r="BQ1557" i="1"/>
  <c r="BQ1556" i="1"/>
  <c r="BQ1554" i="1"/>
  <c r="BK1641" i="1"/>
  <c r="BJ1641" i="1"/>
  <c r="BH1641" i="1"/>
  <c r="BK1640" i="1"/>
  <c r="BJ1640" i="1"/>
  <c r="BH1640" i="1"/>
  <c r="BK1638" i="1"/>
  <c r="BJ1638" i="1"/>
  <c r="BH1638" i="1"/>
  <c r="BK1562" i="1"/>
  <c r="BJ1562" i="1"/>
  <c r="BH1562" i="1"/>
  <c r="BK1553" i="1"/>
  <c r="BJ1553" i="1"/>
  <c r="BH1553" i="1"/>
  <c r="BN1641" i="1"/>
  <c r="BN1640" i="1"/>
  <c r="BN1638" i="1"/>
  <c r="BN1562" i="1"/>
  <c r="BN1553" i="1"/>
  <c r="BM1641" i="1"/>
  <c r="BM1640" i="1"/>
  <c r="BM1638" i="1"/>
  <c r="BM1562" i="1"/>
  <c r="BM1553" i="1"/>
  <c r="BO1641" i="1"/>
  <c r="BO1640" i="1"/>
  <c r="BO1638" i="1"/>
  <c r="BO1562" i="1"/>
  <c r="BO1553" i="1"/>
  <c r="BQ1641" i="1"/>
  <c r="BQ1640" i="1"/>
  <c r="BQ1638" i="1"/>
  <c r="BQ1562" i="1"/>
  <c r="BQ1553" i="1"/>
  <c r="BK1552" i="1"/>
  <c r="BJ1552" i="1"/>
  <c r="BH1552" i="1"/>
  <c r="BK1551" i="1"/>
  <c r="BJ1551" i="1"/>
  <c r="BH1551" i="1"/>
  <c r="BK1550" i="1"/>
  <c r="BJ1550" i="1"/>
  <c r="BH1550" i="1"/>
  <c r="BN1552" i="1"/>
  <c r="BN1551" i="1"/>
  <c r="BN1550" i="1"/>
  <c r="BM1552" i="1"/>
  <c r="BM1551" i="1"/>
  <c r="BM1550" i="1"/>
  <c r="BO1552" i="1"/>
  <c r="BO1551" i="1"/>
  <c r="BO1550" i="1"/>
  <c r="BQ1552" i="1"/>
  <c r="BQ1551" i="1"/>
  <c r="BQ1550" i="1"/>
  <c r="BK1549" i="1"/>
  <c r="BJ1549" i="1"/>
  <c r="BH1549" i="1"/>
  <c r="BK1548" i="1"/>
  <c r="BJ1548" i="1"/>
  <c r="BH1548" i="1"/>
  <c r="BK1547" i="1"/>
  <c r="BJ1547" i="1"/>
  <c r="BH1547" i="1"/>
  <c r="BK1546" i="1"/>
  <c r="BJ1546" i="1"/>
  <c r="BH1546" i="1"/>
  <c r="BN1549" i="1"/>
  <c r="BN1548" i="1"/>
  <c r="BN1547" i="1"/>
  <c r="BN1546" i="1"/>
  <c r="BM1549" i="1"/>
  <c r="BM1548" i="1"/>
  <c r="BM1547" i="1"/>
  <c r="BM1546" i="1"/>
  <c r="BO1549" i="1"/>
  <c r="BO1548" i="1"/>
  <c r="BO1547" i="1"/>
  <c r="BO1546" i="1"/>
  <c r="BQ1549" i="1"/>
  <c r="BQ1548" i="1"/>
  <c r="BQ1547" i="1"/>
  <c r="BQ1546" i="1"/>
  <c r="BK1643" i="1"/>
  <c r="BJ1643" i="1"/>
  <c r="BH1643" i="1"/>
  <c r="BK1642" i="1"/>
  <c r="BJ1642" i="1"/>
  <c r="BH1642" i="1"/>
  <c r="BK1534" i="1"/>
  <c r="BJ1534" i="1"/>
  <c r="BN1643" i="1"/>
  <c r="BN1642" i="1"/>
  <c r="BN1534" i="1"/>
  <c r="BM1643" i="1"/>
  <c r="BM1642" i="1"/>
  <c r="BM1534" i="1"/>
  <c r="BO1643" i="1"/>
  <c r="BO1642" i="1"/>
  <c r="BO1534" i="1"/>
  <c r="BQ1643" i="1"/>
  <c r="BQ1642" i="1"/>
  <c r="BQ1534" i="1"/>
  <c r="BL1534" i="1"/>
  <c r="BI1534" i="1"/>
  <c r="BH1534" i="1"/>
  <c r="BK1540" i="1"/>
  <c r="BJ1540" i="1"/>
  <c r="BH1540" i="1"/>
  <c r="BK1539" i="1"/>
  <c r="BJ1539" i="1"/>
  <c r="BH1539" i="1"/>
  <c r="BK1538" i="1"/>
  <c r="BJ1538" i="1"/>
  <c r="BH1538" i="1"/>
  <c r="BK1537" i="1"/>
  <c r="BJ1537" i="1"/>
  <c r="BH1537" i="1"/>
  <c r="BK1536" i="1"/>
  <c r="BJ1536" i="1"/>
  <c r="BH1536" i="1"/>
  <c r="BK1535" i="1"/>
  <c r="BJ1535" i="1"/>
  <c r="BH1535" i="1"/>
  <c r="BN1540" i="1"/>
  <c r="BN1539" i="1"/>
  <c r="BN1538" i="1"/>
  <c r="BN1537" i="1"/>
  <c r="BN1536" i="1"/>
  <c r="BN1535" i="1"/>
  <c r="BM1540" i="1"/>
  <c r="BM1539" i="1"/>
  <c r="BM1538" i="1"/>
  <c r="BM1537" i="1"/>
  <c r="BM1536" i="1"/>
  <c r="BM1535" i="1"/>
  <c r="BO1540" i="1"/>
  <c r="BO1539" i="1"/>
  <c r="BO1538" i="1"/>
  <c r="BO1537" i="1"/>
  <c r="BO1536" i="1"/>
  <c r="BO1535" i="1"/>
  <c r="BQ1540" i="1"/>
  <c r="BQ1539" i="1"/>
  <c r="BQ1538" i="1"/>
  <c r="BQ1537" i="1"/>
  <c r="BQ1536" i="1"/>
  <c r="BQ1535" i="1"/>
  <c r="BK1544" i="1"/>
  <c r="BJ1544" i="1"/>
  <c r="BH1544" i="1"/>
  <c r="BK1543" i="1"/>
  <c r="BJ1543" i="1"/>
  <c r="BH1543" i="1"/>
  <c r="BK1542" i="1"/>
  <c r="BJ1542" i="1"/>
  <c r="BH1542" i="1"/>
  <c r="BK1541" i="1"/>
  <c r="BJ1541" i="1"/>
  <c r="BH1541" i="1"/>
  <c r="BN1544" i="1"/>
  <c r="BN1543" i="1"/>
  <c r="BN1542" i="1"/>
  <c r="BN1541" i="1"/>
  <c r="BM1533" i="1"/>
  <c r="BM1544" i="1"/>
  <c r="BM1543" i="1"/>
  <c r="BM1542" i="1"/>
  <c r="BM1541" i="1"/>
  <c r="BO1544" i="1"/>
  <c r="BO1543" i="1"/>
  <c r="BO1542" i="1"/>
  <c r="BO1541" i="1"/>
  <c r="BQ1533" i="1"/>
  <c r="BQ1544" i="1"/>
  <c r="BQ1543" i="1"/>
  <c r="BQ1542" i="1"/>
  <c r="BQ1541" i="1"/>
  <c r="BJ1533" i="1"/>
  <c r="BN1533" i="1"/>
  <c r="BK1533" i="1"/>
  <c r="BH1533" i="1"/>
  <c r="BO1533" i="1"/>
  <c r="BK1545" i="1"/>
  <c r="BJ1545" i="1"/>
  <c r="BH1545" i="1"/>
  <c r="BK1532" i="1"/>
  <c r="BJ1532" i="1"/>
  <c r="BH1532" i="1"/>
  <c r="BN1545" i="1"/>
  <c r="BN1532" i="1"/>
  <c r="BM1545" i="1"/>
  <c r="BM1532" i="1"/>
  <c r="BO1545" i="1"/>
  <c r="BO1532" i="1"/>
  <c r="BQ1545" i="1"/>
  <c r="BQ1532" i="1"/>
  <c r="BK1530" i="1"/>
  <c r="BJ1530" i="1"/>
  <c r="BH1530" i="1"/>
  <c r="BK1529" i="1"/>
  <c r="BJ1529" i="1"/>
  <c r="BH1529" i="1"/>
  <c r="BK1528" i="1"/>
  <c r="BJ1528" i="1"/>
  <c r="BH1528" i="1"/>
  <c r="BN1530" i="1"/>
  <c r="BN1529" i="1"/>
  <c r="BN1528" i="1"/>
  <c r="BM1530" i="1"/>
  <c r="BM1529" i="1"/>
  <c r="BM1528" i="1"/>
  <c r="BO1530" i="1"/>
  <c r="BO1529" i="1"/>
  <c r="BO1528" i="1"/>
  <c r="BQ1530" i="1"/>
  <c r="BQ1529" i="1"/>
  <c r="BQ1528" i="1"/>
  <c r="BK1644" i="1"/>
  <c r="BJ1644" i="1"/>
  <c r="BH1644" i="1"/>
  <c r="BK1531" i="1"/>
  <c r="BJ1531" i="1"/>
  <c r="BH1531" i="1"/>
  <c r="BN1644" i="1"/>
  <c r="BN1531" i="1"/>
  <c r="BM1644" i="1"/>
  <c r="BM1531" i="1"/>
  <c r="BO1644" i="1"/>
  <c r="BO1531" i="1"/>
  <c r="BQ1644" i="1"/>
  <c r="BQ1531" i="1"/>
  <c r="BK1515" i="1"/>
  <c r="BJ1515" i="1"/>
  <c r="BH1515" i="1"/>
  <c r="BN1515" i="1"/>
  <c r="BM1515" i="1"/>
  <c r="BO1515" i="1"/>
  <c r="BM1527" i="1"/>
  <c r="BK1527" i="1"/>
  <c r="BJ1527" i="1"/>
  <c r="BN1527" i="1"/>
  <c r="BO1527" i="1"/>
  <c r="BQ1527" i="1"/>
  <c r="BH1527" i="1"/>
  <c r="AW12" i="6"/>
  <c r="AW11" i="6"/>
  <c r="I11" i="6"/>
  <c r="BK1513" i="1"/>
  <c r="BJ1513" i="1"/>
  <c r="BH1513" i="1"/>
  <c r="BK1512" i="1"/>
  <c r="BJ1512" i="1"/>
  <c r="BH1512" i="1"/>
  <c r="BK1511" i="1"/>
  <c r="BJ1511" i="1"/>
  <c r="BH1511" i="1"/>
  <c r="BN1513" i="1"/>
  <c r="BN1512" i="1"/>
  <c r="BN1511" i="1"/>
  <c r="BM1513" i="1"/>
  <c r="BM1512" i="1"/>
  <c r="BM1511" i="1"/>
  <c r="BO1513" i="1"/>
  <c r="BO1512" i="1"/>
  <c r="BO1511" i="1"/>
  <c r="BK1514" i="1"/>
  <c r="BJ1514" i="1"/>
  <c r="BH1514" i="1"/>
  <c r="BK1510" i="1"/>
  <c r="BJ1510" i="1"/>
  <c r="BH1510" i="1"/>
  <c r="BN1514" i="1"/>
  <c r="BN1510" i="1"/>
  <c r="BM1514" i="1"/>
  <c r="BM1510" i="1"/>
  <c r="BO1514" i="1"/>
  <c r="BO1510" i="1"/>
  <c r="BK1505" i="1"/>
  <c r="BJ1505" i="1"/>
  <c r="BH1505" i="1"/>
  <c r="BK1504" i="1"/>
  <c r="BJ1504" i="1"/>
  <c r="BH1504" i="1"/>
  <c r="BK1503" i="1"/>
  <c r="BJ1503" i="1"/>
  <c r="BH1503" i="1"/>
  <c r="BK1502" i="1"/>
  <c r="BJ1502" i="1"/>
  <c r="BH1502" i="1"/>
  <c r="BK1501" i="1"/>
  <c r="BJ1501" i="1"/>
  <c r="BH1501" i="1"/>
  <c r="BK1500" i="1"/>
  <c r="BJ1500" i="1"/>
  <c r="BH1500" i="1"/>
  <c r="BN1505" i="1"/>
  <c r="BN1504" i="1"/>
  <c r="BN1503" i="1"/>
  <c r="BN1502" i="1"/>
  <c r="BN1501" i="1"/>
  <c r="BN1500" i="1"/>
  <c r="BM1505" i="1"/>
  <c r="BM1504" i="1"/>
  <c r="BM1503" i="1"/>
  <c r="BM1502" i="1"/>
  <c r="BM1501" i="1"/>
  <c r="BM1500" i="1"/>
  <c r="BO1505" i="1"/>
  <c r="BO1504" i="1"/>
  <c r="BO1503" i="1"/>
  <c r="BO1502" i="1"/>
  <c r="BO1501" i="1"/>
  <c r="BO1500" i="1"/>
  <c r="BK1508" i="1"/>
  <c r="BJ1508" i="1"/>
  <c r="BH1508" i="1"/>
  <c r="BK1507" i="1"/>
  <c r="BJ1507" i="1"/>
  <c r="BH1507" i="1"/>
  <c r="BK1506" i="1"/>
  <c r="BJ1506" i="1"/>
  <c r="BH1506" i="1"/>
  <c r="BN1508" i="1"/>
  <c r="BN1507" i="1"/>
  <c r="BN1506" i="1"/>
  <c r="BM1508" i="1"/>
  <c r="BM1507" i="1"/>
  <c r="BM1506" i="1"/>
  <c r="BO1508" i="1"/>
  <c r="BO1507" i="1"/>
  <c r="BO1506" i="1"/>
  <c r="BK1509" i="1"/>
  <c r="BJ1509" i="1"/>
  <c r="BH1509" i="1"/>
  <c r="BN1509" i="1"/>
  <c r="BM1509" i="1"/>
  <c r="BO1509" i="1"/>
  <c r="BK1493" i="1"/>
  <c r="BJ1493" i="1"/>
  <c r="BH1493" i="1"/>
  <c r="BK1492" i="1"/>
  <c r="BJ1492" i="1"/>
  <c r="BH1492" i="1"/>
  <c r="BK1491" i="1"/>
  <c r="BJ1491" i="1"/>
  <c r="BH1491" i="1"/>
  <c r="BK1490" i="1"/>
  <c r="BJ1490" i="1"/>
  <c r="BH1490" i="1"/>
  <c r="BK1489" i="1"/>
  <c r="BJ1489" i="1"/>
  <c r="BH1489" i="1"/>
  <c r="BN1493" i="1"/>
  <c r="BN1492" i="1"/>
  <c r="BN1491" i="1"/>
  <c r="BN1490" i="1"/>
  <c r="BN1489" i="1"/>
  <c r="BM1493" i="1"/>
  <c r="BM1492" i="1"/>
  <c r="BM1491" i="1"/>
  <c r="BM1490" i="1"/>
  <c r="BM1489" i="1"/>
  <c r="BO1493" i="1"/>
  <c r="BO1492" i="1"/>
  <c r="BO1491" i="1"/>
  <c r="BO1490" i="1"/>
  <c r="BO1489" i="1"/>
  <c r="BK1496" i="1"/>
  <c r="BJ1496" i="1"/>
  <c r="BH1496" i="1"/>
  <c r="BK1495" i="1"/>
  <c r="BJ1495" i="1"/>
  <c r="BH1495" i="1"/>
  <c r="BK1494" i="1"/>
  <c r="BJ1494" i="1"/>
  <c r="BH1494" i="1"/>
  <c r="BN1496" i="1"/>
  <c r="BN1495" i="1"/>
  <c r="BN1494" i="1"/>
  <c r="BM1496" i="1"/>
  <c r="BM1495" i="1"/>
  <c r="BM1494" i="1"/>
  <c r="BO1496" i="1"/>
  <c r="BO1495" i="1"/>
  <c r="BO1494" i="1"/>
  <c r="BK1498" i="1"/>
  <c r="BJ1498" i="1"/>
  <c r="BH1498" i="1"/>
  <c r="BK1497" i="1"/>
  <c r="BJ1497" i="1"/>
  <c r="BH1497" i="1"/>
  <c r="BN1498" i="1"/>
  <c r="BN1497" i="1"/>
  <c r="BM1499" i="1"/>
  <c r="BM1498" i="1"/>
  <c r="BM1497" i="1"/>
  <c r="BO1498" i="1"/>
  <c r="BO1497" i="1"/>
  <c r="BK1499" i="1"/>
  <c r="BJ1499" i="1"/>
  <c r="BH1499" i="1"/>
  <c r="BN1499" i="1"/>
  <c r="BO1499" i="1"/>
  <c r="BK1479" i="1"/>
  <c r="BJ1479" i="1"/>
  <c r="BH1479" i="1"/>
  <c r="BN1479" i="1"/>
  <c r="BM1480" i="1"/>
  <c r="BM1479" i="1"/>
  <c r="BO1479" i="1"/>
  <c r="BQ3" i="1"/>
  <c r="BQ4" i="1"/>
  <c r="BQ5" i="1"/>
  <c r="BQ6" i="1"/>
  <c r="BQ7" i="1"/>
  <c r="BQ8" i="1"/>
  <c r="BQ9" i="1"/>
  <c r="BQ10" i="1"/>
  <c r="BQ11" i="1"/>
  <c r="BQ12" i="1"/>
  <c r="BQ13" i="1"/>
  <c r="BQ14" i="1"/>
  <c r="BQ15" i="1"/>
  <c r="BQ16" i="1"/>
  <c r="BQ17" i="1"/>
  <c r="BQ18" i="1"/>
  <c r="BQ19" i="1"/>
  <c r="BQ20" i="1"/>
  <c r="BQ21" i="1"/>
  <c r="BQ22" i="1"/>
  <c r="BQ23" i="1"/>
  <c r="BQ24" i="1"/>
  <c r="BQ25" i="1"/>
  <c r="BQ26" i="1"/>
  <c r="BQ27" i="1"/>
  <c r="BQ28" i="1"/>
  <c r="BQ29" i="1"/>
  <c r="BQ30" i="1"/>
  <c r="BQ31" i="1"/>
  <c r="BQ32" i="1"/>
  <c r="BQ33" i="1"/>
  <c r="BQ34" i="1"/>
  <c r="BQ35" i="1"/>
  <c r="BQ36" i="1"/>
  <c r="BQ37" i="1"/>
  <c r="BQ38" i="1"/>
  <c r="BQ39" i="1"/>
  <c r="BQ40" i="1"/>
  <c r="BQ41" i="1"/>
  <c r="BQ42" i="1"/>
  <c r="BQ43" i="1"/>
  <c r="BQ44" i="1"/>
  <c r="BQ45" i="1"/>
  <c r="BQ46" i="1"/>
  <c r="BQ47" i="1"/>
  <c r="BQ48" i="1"/>
  <c r="BQ49" i="1"/>
  <c r="BQ50" i="1"/>
  <c r="BQ51" i="1"/>
  <c r="BQ52" i="1"/>
  <c r="BQ53" i="1"/>
  <c r="BQ54" i="1"/>
  <c r="BQ55" i="1"/>
  <c r="BQ56" i="1"/>
  <c r="BQ57" i="1"/>
  <c r="BQ58" i="1"/>
  <c r="BQ59" i="1"/>
  <c r="BQ60" i="1"/>
  <c r="BQ61" i="1"/>
  <c r="BQ62" i="1"/>
  <c r="BQ63" i="1"/>
  <c r="BQ64" i="1"/>
  <c r="BQ65" i="1"/>
  <c r="BQ66" i="1"/>
  <c r="BQ67" i="1"/>
  <c r="BQ68" i="1"/>
  <c r="BQ69" i="1"/>
  <c r="BQ70" i="1"/>
  <c r="BQ71" i="1"/>
  <c r="BQ72" i="1"/>
  <c r="BQ73" i="1"/>
  <c r="BQ74" i="1"/>
  <c r="BQ75" i="1"/>
  <c r="BQ76" i="1"/>
  <c r="BQ77" i="1"/>
  <c r="BQ78" i="1"/>
  <c r="BQ79" i="1"/>
  <c r="BQ80" i="1"/>
  <c r="BQ81" i="1"/>
  <c r="BQ82" i="1"/>
  <c r="BQ83" i="1"/>
  <c r="BQ84" i="1"/>
  <c r="BQ85" i="1"/>
  <c r="BQ86" i="1"/>
  <c r="BQ87" i="1"/>
  <c r="BQ88" i="1"/>
  <c r="BQ89" i="1"/>
  <c r="BQ90" i="1"/>
  <c r="BQ91" i="1"/>
  <c r="BQ92" i="1"/>
  <c r="BQ93" i="1"/>
  <c r="BQ94" i="1"/>
  <c r="BQ95" i="1"/>
  <c r="BQ96" i="1"/>
  <c r="BQ97" i="1"/>
  <c r="BQ98" i="1"/>
  <c r="BQ99" i="1"/>
  <c r="BQ100" i="1"/>
  <c r="BQ101" i="1"/>
  <c r="BQ102" i="1"/>
  <c r="BQ103" i="1"/>
  <c r="BQ104" i="1"/>
  <c r="BQ105" i="1"/>
  <c r="BQ106" i="1"/>
  <c r="BQ107" i="1"/>
  <c r="BQ108" i="1"/>
  <c r="BQ109" i="1"/>
  <c r="BQ110" i="1"/>
  <c r="BQ111" i="1"/>
  <c r="BQ112" i="1"/>
  <c r="BK1480" i="1"/>
  <c r="BJ1480" i="1"/>
  <c r="BH1480" i="1"/>
  <c r="BN1480" i="1"/>
  <c r="BO1480" i="1"/>
  <c r="O18" i="6"/>
  <c r="Q18" i="6"/>
  <c r="P19" i="6"/>
  <c r="BH1467" i="1"/>
  <c r="BJ1467" i="1"/>
  <c r="BK1467" i="1"/>
  <c r="BH1468" i="1"/>
  <c r="BJ1468" i="1"/>
  <c r="BK1468" i="1"/>
  <c r="BH1469" i="1"/>
  <c r="BJ1469" i="1"/>
  <c r="BK1469" i="1"/>
  <c r="BH1470" i="1"/>
  <c r="BJ1470" i="1"/>
  <c r="BK1470" i="1"/>
  <c r="BH1471" i="1"/>
  <c r="BJ1471" i="1"/>
  <c r="BK1471" i="1"/>
  <c r="BH1472" i="1"/>
  <c r="BJ1472" i="1"/>
  <c r="BK1472" i="1"/>
  <c r="BH1473" i="1"/>
  <c r="BJ1473" i="1"/>
  <c r="BK1473" i="1"/>
  <c r="BH1474" i="1"/>
  <c r="BJ1474" i="1"/>
  <c r="BK1474" i="1"/>
  <c r="BH1475" i="1"/>
  <c r="BJ1475" i="1"/>
  <c r="BK1475" i="1"/>
  <c r="BH1476" i="1"/>
  <c r="BJ1476" i="1"/>
  <c r="BK1476" i="1"/>
  <c r="BH1477" i="1"/>
  <c r="BJ1477" i="1"/>
  <c r="BK1477" i="1"/>
  <c r="BH1478" i="1"/>
  <c r="BJ1478" i="1"/>
  <c r="BK1478" i="1"/>
  <c r="BH1481" i="1"/>
  <c r="BJ1481" i="1"/>
  <c r="BK1481" i="1"/>
  <c r="BH1482" i="1"/>
  <c r="BJ1482" i="1"/>
  <c r="BK1482" i="1"/>
  <c r="BH1483" i="1"/>
  <c r="BJ1483" i="1"/>
  <c r="BK1483" i="1"/>
  <c r="BH1484" i="1"/>
  <c r="BJ1484" i="1"/>
  <c r="BK1484" i="1"/>
  <c r="BN1467" i="1"/>
  <c r="BN1468" i="1"/>
  <c r="BN1469" i="1"/>
  <c r="BN1470" i="1"/>
  <c r="BN1471" i="1"/>
  <c r="BN1472" i="1"/>
  <c r="BN1473" i="1"/>
  <c r="BN1474" i="1"/>
  <c r="BN1475" i="1"/>
  <c r="BN1476" i="1"/>
  <c r="BN1477" i="1"/>
  <c r="BN1478" i="1"/>
  <c r="BN1481" i="1"/>
  <c r="BN1482" i="1"/>
  <c r="BN1483" i="1"/>
  <c r="BN1484" i="1"/>
  <c r="BM1467" i="1"/>
  <c r="BM1468" i="1"/>
  <c r="BM1469" i="1"/>
  <c r="BM1470" i="1"/>
  <c r="BM1471" i="1"/>
  <c r="BM1472" i="1"/>
  <c r="BM1473" i="1"/>
  <c r="BM1474" i="1"/>
  <c r="BM1475" i="1"/>
  <c r="BM1476" i="1"/>
  <c r="BM1477" i="1"/>
  <c r="BM1478" i="1"/>
  <c r="BM1481" i="1"/>
  <c r="BM1482" i="1"/>
  <c r="BM1483" i="1"/>
  <c r="BM1484" i="1"/>
  <c r="BO1467" i="1"/>
  <c r="BO1468" i="1"/>
  <c r="BO1469" i="1"/>
  <c r="BO1470" i="1"/>
  <c r="BO1471" i="1"/>
  <c r="BO1472" i="1"/>
  <c r="BO1473" i="1"/>
  <c r="BO1474" i="1"/>
  <c r="BO1475" i="1"/>
  <c r="BO1476" i="1"/>
  <c r="BO1477" i="1"/>
  <c r="BO1478" i="1"/>
  <c r="BO1481" i="1"/>
  <c r="BO1482" i="1"/>
  <c r="BO1483" i="1"/>
  <c r="BO1484" i="1"/>
  <c r="BK1485" i="1"/>
  <c r="BJ1485" i="1"/>
  <c r="BH1485" i="1"/>
  <c r="BK1466" i="1"/>
  <c r="BJ1466" i="1"/>
  <c r="BH1466" i="1"/>
  <c r="BK1465" i="1"/>
  <c r="BJ1465" i="1"/>
  <c r="BH1465" i="1"/>
  <c r="BK1464" i="1"/>
  <c r="BJ1464" i="1"/>
  <c r="BH1464" i="1"/>
  <c r="BN1485" i="1"/>
  <c r="BN1466" i="1"/>
  <c r="BN1465" i="1"/>
  <c r="BN1464" i="1"/>
  <c r="BM1485" i="1"/>
  <c r="BM1466" i="1"/>
  <c r="BM1465" i="1"/>
  <c r="BM1464" i="1"/>
  <c r="BO1485" i="1"/>
  <c r="BO1466" i="1"/>
  <c r="BO1465" i="1"/>
  <c r="BO1464" i="1"/>
  <c r="BK1462" i="1"/>
  <c r="BJ1462" i="1"/>
  <c r="BH1462" i="1"/>
  <c r="BK1461" i="1"/>
  <c r="BJ1461" i="1"/>
  <c r="BH1461" i="1"/>
  <c r="BK1460" i="1"/>
  <c r="BJ1460" i="1"/>
  <c r="BH1460" i="1"/>
  <c r="BK1459" i="1"/>
  <c r="BJ1459" i="1"/>
  <c r="BH1459" i="1"/>
  <c r="BK1458" i="1"/>
  <c r="BJ1458" i="1"/>
  <c r="BH1458" i="1"/>
  <c r="BK1457" i="1"/>
  <c r="BJ1457" i="1"/>
  <c r="BH1457" i="1"/>
  <c r="BN1462" i="1"/>
  <c r="BN1461" i="1"/>
  <c r="BN1460" i="1"/>
  <c r="BN1459" i="1"/>
  <c r="BN1458" i="1"/>
  <c r="BN1457" i="1"/>
  <c r="BM1462" i="1"/>
  <c r="BM1461" i="1"/>
  <c r="BM1460" i="1"/>
  <c r="BM1459" i="1"/>
  <c r="BM1458" i="1"/>
  <c r="BM1457" i="1"/>
  <c r="F19" i="6"/>
  <c r="BO1462" i="1"/>
  <c r="BO1461" i="1"/>
  <c r="BO1460" i="1"/>
  <c r="BO1459" i="1"/>
  <c r="BO1458" i="1"/>
  <c r="BO1457" i="1"/>
  <c r="BK1488" i="1"/>
  <c r="BJ1488" i="1"/>
  <c r="BH1488" i="1"/>
  <c r="BK1487" i="1"/>
  <c r="BJ1487" i="1"/>
  <c r="BH1487" i="1"/>
  <c r="BK1486" i="1"/>
  <c r="BJ1486" i="1"/>
  <c r="BH1486" i="1"/>
  <c r="BK1463" i="1"/>
  <c r="BJ1463" i="1"/>
  <c r="BH1463" i="1"/>
  <c r="BN1488" i="1"/>
  <c r="BN1487" i="1"/>
  <c r="BN1486" i="1"/>
  <c r="BN1463" i="1"/>
  <c r="BM1488" i="1"/>
  <c r="BM1487" i="1"/>
  <c r="BM1486" i="1"/>
  <c r="BM1463" i="1"/>
  <c r="BO1488" i="1"/>
  <c r="BO1487" i="1"/>
  <c r="BO1486" i="1"/>
  <c r="BO1463" i="1"/>
  <c r="BJ1454" i="1"/>
  <c r="BK1454" i="1"/>
  <c r="BH1454" i="1"/>
  <c r="BN1454" i="1"/>
  <c r="BM1454" i="1"/>
  <c r="BO1454" i="1"/>
  <c r="P18" i="6"/>
  <c r="Q19" i="6"/>
  <c r="X350" i="2"/>
  <c r="P17" i="6"/>
  <c r="R17" i="6" s="1"/>
  <c r="AR42" i="2"/>
  <c r="BM3" i="1"/>
  <c r="BK1518" i="1"/>
  <c r="BJ1518" i="1"/>
  <c r="BH1518" i="1"/>
  <c r="BK1517" i="1"/>
  <c r="BJ1517" i="1"/>
  <c r="BH1517" i="1"/>
  <c r="BK1516" i="1"/>
  <c r="BJ1516" i="1"/>
  <c r="BH1516" i="1"/>
  <c r="BK1456" i="1"/>
  <c r="BJ1456" i="1"/>
  <c r="BH1456" i="1"/>
  <c r="BK1455" i="1"/>
  <c r="BJ1455" i="1"/>
  <c r="BH1455" i="1"/>
  <c r="BN1518" i="1"/>
  <c r="BN1517" i="1"/>
  <c r="BN1516" i="1"/>
  <c r="BN1456" i="1"/>
  <c r="BN1455" i="1"/>
  <c r="BM1518" i="1"/>
  <c r="BM1517" i="1"/>
  <c r="BM1516" i="1"/>
  <c r="BM1456" i="1"/>
  <c r="BM1455" i="1"/>
  <c r="BO1518" i="1"/>
  <c r="BO1517" i="1"/>
  <c r="BO1516" i="1"/>
  <c r="BO1456" i="1"/>
  <c r="BO1455" i="1"/>
  <c r="BK1520" i="1"/>
  <c r="BJ1520" i="1"/>
  <c r="BH1520" i="1"/>
  <c r="BK1519" i="1"/>
  <c r="BJ1519" i="1"/>
  <c r="BH1519" i="1"/>
  <c r="BN1520" i="1"/>
  <c r="BN1519" i="1"/>
  <c r="BM1520" i="1"/>
  <c r="BM1519" i="1"/>
  <c r="BO1520" i="1"/>
  <c r="BO1519" i="1"/>
  <c r="BK1526" i="1"/>
  <c r="BJ1526" i="1"/>
  <c r="BH1526" i="1"/>
  <c r="BK1525" i="1"/>
  <c r="BJ1525" i="1"/>
  <c r="BH1525" i="1"/>
  <c r="BN1526" i="1"/>
  <c r="BN1525" i="1"/>
  <c r="BM1526" i="1"/>
  <c r="BM1525" i="1"/>
  <c r="BO1526" i="1"/>
  <c r="BO1525" i="1"/>
  <c r="BP121" i="1"/>
  <c r="BP120" i="1"/>
  <c r="BP119" i="1"/>
  <c r="BP91" i="1"/>
  <c r="BP90" i="1"/>
  <c r="BP103" i="1"/>
  <c r="BP102" i="1"/>
  <c r="BP101" i="1"/>
  <c r="BP100" i="1"/>
  <c r="BP99" i="1"/>
  <c r="BP98" i="1"/>
  <c r="BP89" i="1"/>
  <c r="BP88" i="1"/>
  <c r="BP87" i="1"/>
  <c r="BP86" i="1"/>
  <c r="BP85" i="1"/>
  <c r="BP84" i="1"/>
  <c r="BP83" i="1"/>
  <c r="BP82" i="1"/>
  <c r="BP81" i="1"/>
  <c r="BP80" i="1"/>
  <c r="BP79" i="1"/>
  <c r="BP78" i="1"/>
  <c r="BP77" i="1"/>
  <c r="BP76" i="1"/>
  <c r="BP75" i="1"/>
  <c r="BP74" i="1"/>
  <c r="BP73" i="1"/>
  <c r="BP72" i="1"/>
  <c r="BP71" i="1"/>
  <c r="BP70" i="1"/>
  <c r="BP69" i="1"/>
  <c r="BP68" i="1"/>
  <c r="BP67" i="1"/>
  <c r="BP66" i="1"/>
  <c r="BP65" i="1"/>
  <c r="BP64" i="1"/>
  <c r="BP63" i="1"/>
  <c r="BP62" i="1"/>
  <c r="BP61" i="1"/>
  <c r="BP60" i="1"/>
  <c r="BP59" i="1"/>
  <c r="BP58" i="1"/>
  <c r="BP57" i="1"/>
  <c r="BP56" i="1"/>
  <c r="BP55" i="1"/>
  <c r="BP54" i="1"/>
  <c r="BP53" i="1"/>
  <c r="BP52" i="1"/>
  <c r="BP51" i="1"/>
  <c r="BP50" i="1"/>
  <c r="BP49" i="1"/>
  <c r="BP48" i="1"/>
  <c r="BP47" i="1"/>
  <c r="BP46" i="1"/>
  <c r="BP45" i="1"/>
  <c r="BP44" i="1"/>
  <c r="BP43" i="1"/>
  <c r="BP42" i="1"/>
  <c r="BP41" i="1"/>
  <c r="BP40" i="1"/>
  <c r="BP39" i="1"/>
  <c r="BP38" i="1"/>
  <c r="BP37" i="1"/>
  <c r="BP36" i="1"/>
  <c r="BP35" i="1"/>
  <c r="BP34" i="1"/>
  <c r="BP33" i="1"/>
  <c r="BP32" i="1"/>
  <c r="BP31" i="1"/>
  <c r="BP30" i="1"/>
  <c r="BP29" i="1"/>
  <c r="BP28" i="1"/>
  <c r="BP27" i="1"/>
  <c r="BP26" i="1"/>
  <c r="BP25" i="1"/>
  <c r="BP24" i="1"/>
  <c r="BP23" i="1"/>
  <c r="BP22" i="1"/>
  <c r="BP21" i="1"/>
  <c r="BP20" i="1"/>
  <c r="BP19" i="1"/>
  <c r="BP18" i="1"/>
  <c r="BP17" i="1"/>
  <c r="BP16" i="1"/>
  <c r="BP15" i="1"/>
  <c r="BP14" i="1"/>
  <c r="BP13" i="1"/>
  <c r="BP12" i="1"/>
  <c r="BP11" i="1"/>
  <c r="BP10" i="1"/>
  <c r="BP9" i="1"/>
  <c r="BP8" i="1"/>
  <c r="BP7" i="1"/>
  <c r="BP6" i="1"/>
  <c r="BP5" i="1"/>
  <c r="BP4" i="1"/>
  <c r="BP3" i="1"/>
  <c r="BP116" i="1"/>
  <c r="BP115" i="1"/>
  <c r="BP114" i="1"/>
  <c r="BP113" i="1"/>
  <c r="BP112" i="1"/>
  <c r="BP111" i="1"/>
  <c r="BP110" i="1"/>
  <c r="BP109" i="1"/>
  <c r="BP108" i="1"/>
  <c r="BP107" i="1"/>
  <c r="BP106" i="1"/>
  <c r="BP105" i="1"/>
  <c r="BP104" i="1"/>
  <c r="BP93" i="1"/>
  <c r="BP92" i="1"/>
  <c r="BP141" i="1"/>
  <c r="BP142" i="1"/>
  <c r="BP143" i="1"/>
  <c r="BP144" i="1"/>
  <c r="BP145" i="1"/>
  <c r="BP146" i="1"/>
  <c r="BP147" i="1"/>
  <c r="BP148" i="1"/>
  <c r="BP149" i="1"/>
  <c r="BP150" i="1"/>
  <c r="BP151" i="1"/>
  <c r="BP152" i="1"/>
  <c r="BP153" i="1"/>
  <c r="BP154" i="1"/>
  <c r="BP155" i="1"/>
  <c r="BP156" i="1"/>
  <c r="BP157" i="1"/>
  <c r="BP158" i="1"/>
  <c r="BP159" i="1"/>
  <c r="BP160" i="1"/>
  <c r="BP161" i="1"/>
  <c r="BP162" i="1"/>
  <c r="BP163" i="1"/>
  <c r="BP164" i="1"/>
  <c r="BP165" i="1"/>
  <c r="BP166" i="1"/>
  <c r="BP167" i="1"/>
  <c r="BP168" i="1"/>
  <c r="BP169" i="1"/>
  <c r="BP170" i="1"/>
  <c r="BP171" i="1"/>
  <c r="BP172" i="1"/>
  <c r="BP173" i="1"/>
  <c r="BP174" i="1"/>
  <c r="BP175" i="1"/>
  <c r="BP176" i="1"/>
  <c r="BP177" i="1"/>
  <c r="BP178" i="1"/>
  <c r="BP179" i="1"/>
  <c r="BP180" i="1"/>
  <c r="BP181" i="1"/>
  <c r="BP182" i="1"/>
  <c r="BP183" i="1"/>
  <c r="BP184" i="1"/>
  <c r="BP185" i="1"/>
  <c r="BP186" i="1"/>
  <c r="BP187" i="1"/>
  <c r="BP188" i="1"/>
  <c r="BP189" i="1"/>
  <c r="BP190" i="1"/>
  <c r="BP191" i="1"/>
  <c r="BP192" i="1"/>
  <c r="BP193" i="1"/>
  <c r="BP194" i="1"/>
  <c r="BP195" i="1"/>
  <c r="BP196" i="1"/>
  <c r="BP197" i="1"/>
  <c r="BP198" i="1"/>
  <c r="BP199" i="1"/>
  <c r="BP200" i="1"/>
  <c r="BP201" i="1"/>
  <c r="BP202" i="1"/>
  <c r="BP203" i="1"/>
  <c r="BP204" i="1"/>
  <c r="BP205" i="1"/>
  <c r="BP206" i="1"/>
  <c r="BP207" i="1"/>
  <c r="BP208" i="1"/>
  <c r="BP209" i="1"/>
  <c r="BP210" i="1"/>
  <c r="BP211" i="1"/>
  <c r="BP212" i="1"/>
  <c r="BP213" i="1"/>
  <c r="BP214" i="1"/>
  <c r="BP215" i="1"/>
  <c r="BP216" i="1"/>
  <c r="BP217" i="1"/>
  <c r="BP218" i="1"/>
  <c r="BP219" i="1"/>
  <c r="BP220" i="1"/>
  <c r="BP221" i="1"/>
  <c r="BP222" i="1"/>
  <c r="BP223" i="1"/>
  <c r="BP224" i="1"/>
  <c r="BP225" i="1"/>
  <c r="BP226" i="1"/>
  <c r="BP227" i="1"/>
  <c r="BP228" i="1"/>
  <c r="BP229" i="1"/>
  <c r="BP230" i="1"/>
  <c r="BP231" i="1"/>
  <c r="BP232" i="1"/>
  <c r="BP233" i="1"/>
  <c r="BP234" i="1"/>
  <c r="BP235" i="1"/>
  <c r="BP236" i="1"/>
  <c r="BP237" i="1"/>
  <c r="BP238" i="1"/>
  <c r="BP239" i="1"/>
  <c r="BP240" i="1"/>
  <c r="BP241" i="1"/>
  <c r="BP242" i="1"/>
  <c r="BP243" i="1"/>
  <c r="BP244" i="1"/>
  <c r="BP245" i="1"/>
  <c r="BP246" i="1"/>
  <c r="BP247" i="1"/>
  <c r="BP248" i="1"/>
  <c r="BP249" i="1"/>
  <c r="BP250" i="1"/>
  <c r="BP251" i="1"/>
  <c r="BP252" i="1"/>
  <c r="BP253" i="1"/>
  <c r="BP254" i="1"/>
  <c r="BP255" i="1"/>
  <c r="BP256" i="1"/>
  <c r="BP257" i="1"/>
  <c r="BP258" i="1"/>
  <c r="BP259" i="1"/>
  <c r="BP260" i="1"/>
  <c r="BP261" i="1"/>
  <c r="BP262" i="1"/>
  <c r="BP263" i="1"/>
  <c r="BP264" i="1"/>
  <c r="BP265" i="1"/>
  <c r="BP266" i="1"/>
  <c r="BP267" i="1"/>
  <c r="BP268" i="1"/>
  <c r="BP269" i="1"/>
  <c r="BP270" i="1"/>
  <c r="BP271" i="1"/>
  <c r="BP272" i="1"/>
  <c r="BP273" i="1"/>
  <c r="BP274" i="1"/>
  <c r="BP275" i="1"/>
  <c r="BP276" i="1"/>
  <c r="BP277" i="1"/>
  <c r="BP278" i="1"/>
  <c r="BP279" i="1"/>
  <c r="BP280" i="1"/>
  <c r="BP281" i="1"/>
  <c r="BP282" i="1"/>
  <c r="BP283" i="1"/>
  <c r="BP284" i="1"/>
  <c r="BP285" i="1"/>
  <c r="BP286" i="1"/>
  <c r="BP287" i="1"/>
  <c r="BP288" i="1"/>
  <c r="BP289" i="1"/>
  <c r="BP290" i="1"/>
  <c r="BP291" i="1"/>
  <c r="BP292" i="1"/>
  <c r="BP293" i="1"/>
  <c r="BP294" i="1"/>
  <c r="BP295" i="1"/>
  <c r="BP296" i="1"/>
  <c r="BP297" i="1"/>
  <c r="BP298" i="1"/>
  <c r="BP299" i="1"/>
  <c r="BP300" i="1"/>
  <c r="BP301" i="1"/>
  <c r="BP302" i="1"/>
  <c r="BP303" i="1"/>
  <c r="BP304" i="1"/>
  <c r="BP305" i="1"/>
  <c r="BP306" i="1"/>
  <c r="BP307" i="1"/>
  <c r="BP308" i="1"/>
  <c r="BP309" i="1"/>
  <c r="BP310" i="1"/>
  <c r="BP311" i="1"/>
  <c r="BP312" i="1"/>
  <c r="BP313" i="1"/>
  <c r="BP314" i="1"/>
  <c r="BP315" i="1"/>
  <c r="BP316" i="1"/>
  <c r="BP317" i="1"/>
  <c r="BP318" i="1"/>
  <c r="BP319" i="1"/>
  <c r="BP320" i="1"/>
  <c r="BP321" i="1"/>
  <c r="BP322" i="1"/>
  <c r="BP323" i="1"/>
  <c r="BP324" i="1"/>
  <c r="BP325" i="1"/>
  <c r="BP97" i="1"/>
  <c r="BP96" i="1"/>
  <c r="BP95" i="1"/>
  <c r="BP94" i="1"/>
  <c r="BP125" i="1"/>
  <c r="BP124" i="1"/>
  <c r="BP123" i="1"/>
  <c r="BP122" i="1"/>
  <c r="BP118" i="1"/>
  <c r="BP117" i="1"/>
  <c r="BH1523" i="1"/>
  <c r="BH1524" i="1"/>
  <c r="BH1522" i="1"/>
  <c r="F18" i="6"/>
  <c r="BN1389" i="1"/>
  <c r="BN1390" i="1"/>
  <c r="BN1391" i="1"/>
  <c r="BN1392" i="1"/>
  <c r="BN1393" i="1"/>
  <c r="BN1394" i="1"/>
  <c r="BN1395" i="1"/>
  <c r="BN1396" i="1"/>
  <c r="BN1397" i="1"/>
  <c r="BN1398" i="1"/>
  <c r="BN1399" i="1"/>
  <c r="BN1400" i="1"/>
  <c r="BN1401" i="1"/>
  <c r="BN1402" i="1"/>
  <c r="BN1403" i="1"/>
  <c r="BN1404" i="1"/>
  <c r="BN1405" i="1"/>
  <c r="BN1406" i="1"/>
  <c r="BN1407" i="1"/>
  <c r="BN1408" i="1"/>
  <c r="BN1409" i="1"/>
  <c r="BN1410" i="1"/>
  <c r="BN1411" i="1"/>
  <c r="BN1412" i="1"/>
  <c r="BN1413" i="1"/>
  <c r="BN1414" i="1"/>
  <c r="BN1415" i="1"/>
  <c r="BN1416" i="1"/>
  <c r="BN1417" i="1"/>
  <c r="BN1418" i="1"/>
  <c r="BN1419" i="1"/>
  <c r="BN1420" i="1"/>
  <c r="BN1421" i="1"/>
  <c r="BN1422" i="1"/>
  <c r="BN1423" i="1"/>
  <c r="BN1424" i="1"/>
  <c r="BN1425" i="1"/>
  <c r="BN1426" i="1"/>
  <c r="BN1427" i="1"/>
  <c r="BN1428" i="1"/>
  <c r="BN1429" i="1"/>
  <c r="BN1430" i="1"/>
  <c r="BN1431" i="1"/>
  <c r="BN1432" i="1"/>
  <c r="BN1433" i="1"/>
  <c r="BN1434" i="1"/>
  <c r="BN1435" i="1"/>
  <c r="BN1436" i="1"/>
  <c r="BN1437" i="1"/>
  <c r="BN1438" i="1"/>
  <c r="BN1439" i="1"/>
  <c r="BN1440" i="1"/>
  <c r="BN1441" i="1"/>
  <c r="BN1442" i="1"/>
  <c r="BN1443" i="1"/>
  <c r="BN1444" i="1"/>
  <c r="BN1445" i="1"/>
  <c r="BN1446" i="1"/>
  <c r="BN1447" i="1"/>
  <c r="BN1448" i="1"/>
  <c r="BN1449" i="1"/>
  <c r="BN1450" i="1"/>
  <c r="BN1451" i="1"/>
  <c r="BN1452" i="1"/>
  <c r="BN1453" i="1"/>
  <c r="BN1521" i="1"/>
  <c r="BN1522" i="1"/>
  <c r="BN1523" i="1"/>
  <c r="BN1524" i="1"/>
  <c r="BN1388" i="1"/>
  <c r="F17" i="6"/>
  <c r="BM1449" i="1"/>
  <c r="BM1450" i="1"/>
  <c r="BM1451" i="1"/>
  <c r="BM1452" i="1"/>
  <c r="BM1453" i="1"/>
  <c r="BM1521" i="1"/>
  <c r="BM1522" i="1"/>
  <c r="BM1523" i="1"/>
  <c r="BM1524" i="1"/>
  <c r="I19" i="6"/>
  <c r="BO1404" i="1"/>
  <c r="BO1405" i="1"/>
  <c r="BO1406" i="1"/>
  <c r="BO1407" i="1"/>
  <c r="BO1408" i="1"/>
  <c r="BO1409" i="1"/>
  <c r="BO1410" i="1"/>
  <c r="BO1411" i="1"/>
  <c r="BO1412" i="1"/>
  <c r="BO1413" i="1"/>
  <c r="BO1414" i="1"/>
  <c r="BO1415" i="1"/>
  <c r="BO1416" i="1"/>
  <c r="BO1417" i="1"/>
  <c r="BO1418" i="1"/>
  <c r="BO1419" i="1"/>
  <c r="BO1420" i="1"/>
  <c r="BO1421" i="1"/>
  <c r="BO1422" i="1"/>
  <c r="BO1423" i="1"/>
  <c r="BO1424" i="1"/>
  <c r="BO1425" i="1"/>
  <c r="BO1426" i="1"/>
  <c r="BO1427" i="1"/>
  <c r="BO1428" i="1"/>
  <c r="BO1429" i="1"/>
  <c r="BO1430" i="1"/>
  <c r="BO1431" i="1"/>
  <c r="BO1432" i="1"/>
  <c r="BO1433" i="1"/>
  <c r="BO1434" i="1"/>
  <c r="BO1435" i="1"/>
  <c r="BO1436" i="1"/>
  <c r="BO1437" i="1"/>
  <c r="BO1438" i="1"/>
  <c r="BO1439" i="1"/>
  <c r="BO1440" i="1"/>
  <c r="BO1441" i="1"/>
  <c r="BO1442" i="1"/>
  <c r="BO1443" i="1"/>
  <c r="BO1444" i="1"/>
  <c r="BO1445" i="1"/>
  <c r="BO1446" i="1"/>
  <c r="BO1447" i="1"/>
  <c r="BO1448" i="1"/>
  <c r="BO1449" i="1"/>
  <c r="BO1450" i="1"/>
  <c r="BO1451" i="1"/>
  <c r="BO1452" i="1"/>
  <c r="BO1453" i="1"/>
  <c r="BO1521" i="1"/>
  <c r="BO1522" i="1"/>
  <c r="BO1523" i="1"/>
  <c r="BO1524" i="1"/>
  <c r="W20" i="6"/>
  <c r="W19" i="6"/>
  <c r="W18" i="6"/>
  <c r="W17" i="6"/>
  <c r="BN5" i="1"/>
  <c r="BM5" i="1"/>
  <c r="BN4" i="1"/>
  <c r="BN3" i="1"/>
  <c r="BM4" i="1"/>
  <c r="BM249" i="1"/>
  <c r="BM250" i="1"/>
  <c r="BM251" i="1"/>
  <c r="BM252" i="1"/>
  <c r="BM253" i="1"/>
  <c r="BM254" i="1"/>
  <c r="BM255" i="1"/>
  <c r="BM256" i="1"/>
  <c r="BM257" i="1"/>
  <c r="BM258" i="1"/>
  <c r="BM259" i="1"/>
  <c r="BM260" i="1"/>
  <c r="BM261" i="1"/>
  <c r="BM262" i="1"/>
  <c r="BM263" i="1"/>
  <c r="BM264" i="1"/>
  <c r="BM265" i="1"/>
  <c r="BM266" i="1"/>
  <c r="BM267" i="1"/>
  <c r="BM268" i="1"/>
  <c r="BM269" i="1"/>
  <c r="BM270" i="1"/>
  <c r="BM271" i="1"/>
  <c r="BM272" i="1"/>
  <c r="BM273" i="1"/>
  <c r="BM274" i="1"/>
  <c r="BM275" i="1"/>
  <c r="BM276" i="1"/>
  <c r="BM277" i="1"/>
  <c r="BM278" i="1"/>
  <c r="BM279" i="1"/>
  <c r="BM280" i="1"/>
  <c r="BM281" i="1"/>
  <c r="BM282" i="1"/>
  <c r="BM283" i="1"/>
  <c r="BM284" i="1"/>
  <c r="BM285" i="1"/>
  <c r="BM286" i="1"/>
  <c r="BM287" i="1"/>
  <c r="BM288" i="1"/>
  <c r="BM289" i="1"/>
  <c r="BM290" i="1"/>
  <c r="BM291" i="1"/>
  <c r="BM292" i="1"/>
  <c r="BM293" i="1"/>
  <c r="BM294" i="1"/>
  <c r="BM295" i="1"/>
  <c r="BM296" i="1"/>
  <c r="BM297" i="1"/>
  <c r="BM298" i="1"/>
  <c r="BM299" i="1"/>
  <c r="BM300" i="1"/>
  <c r="BM301" i="1"/>
  <c r="BM302" i="1"/>
  <c r="BM303" i="1"/>
  <c r="BM304" i="1"/>
  <c r="BM305" i="1"/>
  <c r="BM306" i="1"/>
  <c r="BM307" i="1"/>
  <c r="BM308" i="1"/>
  <c r="BM309" i="1"/>
  <c r="BM310" i="1"/>
  <c r="BM311" i="1"/>
  <c r="BM312" i="1"/>
  <c r="BM313" i="1"/>
  <c r="BM314" i="1"/>
  <c r="BM315" i="1"/>
  <c r="BM316" i="1"/>
  <c r="BM317" i="1"/>
  <c r="BM318" i="1"/>
  <c r="BM319" i="1"/>
  <c r="BM320" i="1"/>
  <c r="BM321" i="1"/>
  <c r="BM322" i="1"/>
  <c r="BM323" i="1"/>
  <c r="BM324" i="1"/>
  <c r="BM325" i="1"/>
  <c r="BM326" i="1"/>
  <c r="BM327" i="1"/>
  <c r="BM328" i="1"/>
  <c r="BM329" i="1"/>
  <c r="BM330" i="1"/>
  <c r="BM331" i="1"/>
  <c r="BM332" i="1"/>
  <c r="BM333" i="1"/>
  <c r="BM334" i="1"/>
  <c r="BM335" i="1"/>
  <c r="BM336" i="1"/>
  <c r="BM337" i="1"/>
  <c r="BM338" i="1"/>
  <c r="BM339" i="1"/>
  <c r="BM340" i="1"/>
  <c r="BM341" i="1"/>
  <c r="BM342" i="1"/>
  <c r="BM343" i="1"/>
  <c r="BM344" i="1"/>
  <c r="BM345" i="1"/>
  <c r="BM346" i="1"/>
  <c r="BM347" i="1"/>
  <c r="BM348" i="1"/>
  <c r="BM349" i="1"/>
  <c r="BM350" i="1"/>
  <c r="BM351" i="1"/>
  <c r="BM352" i="1"/>
  <c r="BM353" i="1"/>
  <c r="BM354" i="1"/>
  <c r="BM355" i="1"/>
  <c r="BM356" i="1"/>
  <c r="BM357" i="1"/>
  <c r="BM358" i="1"/>
  <c r="BM359" i="1"/>
  <c r="BM360" i="1"/>
  <c r="BM361" i="1"/>
  <c r="BM362" i="1"/>
  <c r="BM363" i="1"/>
  <c r="BM364" i="1"/>
  <c r="BM365" i="1"/>
  <c r="BM366" i="1"/>
  <c r="BM367" i="1"/>
  <c r="BM368" i="1"/>
  <c r="BM369" i="1"/>
  <c r="BM370" i="1"/>
  <c r="BM371" i="1"/>
  <c r="BM372" i="1"/>
  <c r="BM373" i="1"/>
  <c r="BM374" i="1"/>
  <c r="BM375" i="1"/>
  <c r="BM376" i="1"/>
  <c r="BM377" i="1"/>
  <c r="BM378" i="1"/>
  <c r="BM379" i="1"/>
  <c r="BM380" i="1"/>
  <c r="BM381" i="1"/>
  <c r="BM382" i="1"/>
  <c r="BM383" i="1"/>
  <c r="BM384" i="1"/>
  <c r="BM385" i="1"/>
  <c r="BM386" i="1"/>
  <c r="BM387" i="1"/>
  <c r="BM388" i="1"/>
  <c r="BM389" i="1"/>
  <c r="BM390" i="1"/>
  <c r="BM391" i="1"/>
  <c r="BM392" i="1"/>
  <c r="BM393" i="1"/>
  <c r="BM394" i="1"/>
  <c r="BM395" i="1"/>
  <c r="BM396" i="1"/>
  <c r="BM397" i="1"/>
  <c r="BM398" i="1"/>
  <c r="BM399" i="1"/>
  <c r="BM400" i="1"/>
  <c r="BM401" i="1"/>
  <c r="BM402" i="1"/>
  <c r="BM403" i="1"/>
  <c r="BM404" i="1"/>
  <c r="BM405" i="1"/>
  <c r="BM406" i="1"/>
  <c r="BM407" i="1"/>
  <c r="BM408" i="1"/>
  <c r="BM409" i="1"/>
  <c r="BM410" i="1"/>
  <c r="BM411" i="1"/>
  <c r="BM412" i="1"/>
  <c r="BM413" i="1"/>
  <c r="BM414" i="1"/>
  <c r="BM415" i="1"/>
  <c r="BM416" i="1"/>
  <c r="BM417" i="1"/>
  <c r="BM418" i="1"/>
  <c r="BM419" i="1"/>
  <c r="BM420" i="1"/>
  <c r="BM421" i="1"/>
  <c r="BM422" i="1"/>
  <c r="BM423" i="1"/>
  <c r="BM424" i="1"/>
  <c r="BM425" i="1"/>
  <c r="BM426" i="1"/>
  <c r="BM427" i="1"/>
  <c r="BM428" i="1"/>
  <c r="BM429" i="1"/>
  <c r="BM430" i="1"/>
  <c r="BM431" i="1"/>
  <c r="BM432" i="1"/>
  <c r="BM433" i="1"/>
  <c r="BM434" i="1"/>
  <c r="BM435" i="1"/>
  <c r="BM436" i="1"/>
  <c r="BM437" i="1"/>
  <c r="BM438" i="1"/>
  <c r="BM439" i="1"/>
  <c r="BM440" i="1"/>
  <c r="BM441" i="1"/>
  <c r="BM442" i="1"/>
  <c r="BM443" i="1"/>
  <c r="BM444" i="1"/>
  <c r="BM445" i="1"/>
  <c r="BM446" i="1"/>
  <c r="BM447" i="1"/>
  <c r="BM448" i="1"/>
  <c r="BM449" i="1"/>
  <c r="BM450" i="1"/>
  <c r="BM451" i="1"/>
  <c r="BM452" i="1"/>
  <c r="BM453" i="1"/>
  <c r="BM454" i="1"/>
  <c r="BM455" i="1"/>
  <c r="BM456" i="1"/>
  <c r="BM457" i="1"/>
  <c r="BM458" i="1"/>
  <c r="BM459" i="1"/>
  <c r="BM460" i="1"/>
  <c r="BM461" i="1"/>
  <c r="BM462" i="1"/>
  <c r="BM463" i="1"/>
  <c r="BM464" i="1"/>
  <c r="BM465" i="1"/>
  <c r="BM466" i="1"/>
  <c r="BM467" i="1"/>
  <c r="BM468" i="1"/>
  <c r="BM469" i="1"/>
  <c r="BM470" i="1"/>
  <c r="BM471" i="1"/>
  <c r="BM472" i="1"/>
  <c r="BM473" i="1"/>
  <c r="BM474" i="1"/>
  <c r="BM475" i="1"/>
  <c r="BM476" i="1"/>
  <c r="BM477" i="1"/>
  <c r="BM478" i="1"/>
  <c r="BM479" i="1"/>
  <c r="BM480" i="1"/>
  <c r="BM481" i="1"/>
  <c r="BM482" i="1"/>
  <c r="BM483" i="1"/>
  <c r="BM484" i="1"/>
  <c r="BM485" i="1"/>
  <c r="BM486" i="1"/>
  <c r="BM487" i="1"/>
  <c r="BM488" i="1"/>
  <c r="BM489" i="1"/>
  <c r="BM490" i="1"/>
  <c r="BM491" i="1"/>
  <c r="BM492" i="1"/>
  <c r="BM493" i="1"/>
  <c r="BM494" i="1"/>
  <c r="BM495" i="1"/>
  <c r="BM496" i="1"/>
  <c r="BM497" i="1"/>
  <c r="BM498" i="1"/>
  <c r="BM499" i="1"/>
  <c r="BM500" i="1"/>
  <c r="BM501" i="1"/>
  <c r="BM502" i="1"/>
  <c r="BM503" i="1"/>
  <c r="BM504" i="1"/>
  <c r="BM505" i="1"/>
  <c r="BM506" i="1"/>
  <c r="BM507" i="1"/>
  <c r="BM508" i="1"/>
  <c r="BM509" i="1"/>
  <c r="BM510" i="1"/>
  <c r="BM511" i="1"/>
  <c r="BM512" i="1"/>
  <c r="BM513" i="1"/>
  <c r="BM514" i="1"/>
  <c r="BM515" i="1"/>
  <c r="BM516" i="1"/>
  <c r="BM517" i="1"/>
  <c r="BM518" i="1"/>
  <c r="BM519" i="1"/>
  <c r="BM520" i="1"/>
  <c r="BM521" i="1"/>
  <c r="BM522" i="1"/>
  <c r="BM523" i="1"/>
  <c r="BM524" i="1"/>
  <c r="BM525" i="1"/>
  <c r="BM526" i="1"/>
  <c r="BM527" i="1"/>
  <c r="BM528" i="1"/>
  <c r="BM529" i="1"/>
  <c r="BM530" i="1"/>
  <c r="BM531" i="1"/>
  <c r="BM532" i="1"/>
  <c r="BM533" i="1"/>
  <c r="BM534" i="1"/>
  <c r="BM535" i="1"/>
  <c r="BM536" i="1"/>
  <c r="BM537" i="1"/>
  <c r="BM538" i="1"/>
  <c r="BM539" i="1"/>
  <c r="BM540" i="1"/>
  <c r="BM541" i="1"/>
  <c r="BM542" i="1"/>
  <c r="BM543" i="1"/>
  <c r="BM544" i="1"/>
  <c r="BM545" i="1"/>
  <c r="BM546" i="1"/>
  <c r="BM547" i="1"/>
  <c r="BM548" i="1"/>
  <c r="BM549" i="1"/>
  <c r="BM550" i="1"/>
  <c r="BM551" i="1"/>
  <c r="BM552" i="1"/>
  <c r="BM553" i="1"/>
  <c r="BM554" i="1"/>
  <c r="BM555" i="1"/>
  <c r="BM556" i="1"/>
  <c r="BM557" i="1"/>
  <c r="BM558" i="1"/>
  <c r="BM559" i="1"/>
  <c r="BM560" i="1"/>
  <c r="BM561" i="1"/>
  <c r="BM562" i="1"/>
  <c r="BM563" i="1"/>
  <c r="BM564" i="1"/>
  <c r="BM565" i="1"/>
  <c r="BM566" i="1"/>
  <c r="BM567" i="1"/>
  <c r="BM568" i="1"/>
  <c r="BM569" i="1"/>
  <c r="BM570" i="1"/>
  <c r="BM571" i="1"/>
  <c r="BM572" i="1"/>
  <c r="BM573" i="1"/>
  <c r="BM574" i="1"/>
  <c r="BM575" i="1"/>
  <c r="BM576" i="1"/>
  <c r="BM577" i="1"/>
  <c r="BM578" i="1"/>
  <c r="BM579" i="1"/>
  <c r="BM580" i="1"/>
  <c r="BM581" i="1"/>
  <c r="BM582" i="1"/>
  <c r="BM583" i="1"/>
  <c r="BM584" i="1"/>
  <c r="BM585" i="1"/>
  <c r="BM586" i="1"/>
  <c r="BM587" i="1"/>
  <c r="BM588" i="1"/>
  <c r="BM589" i="1"/>
  <c r="BM590" i="1"/>
  <c r="BM591" i="1"/>
  <c r="BM592" i="1"/>
  <c r="BM593" i="1"/>
  <c r="BM594" i="1"/>
  <c r="BM595" i="1"/>
  <c r="BM596" i="1"/>
  <c r="BM597" i="1"/>
  <c r="BM598" i="1"/>
  <c r="BM599" i="1"/>
  <c r="BM600" i="1"/>
  <c r="BM601" i="1"/>
  <c r="BM602" i="1"/>
  <c r="BM603" i="1"/>
  <c r="BM604" i="1"/>
  <c r="BM605" i="1"/>
  <c r="BM606" i="1"/>
  <c r="BM607" i="1"/>
  <c r="BM608" i="1"/>
  <c r="BM609" i="1"/>
  <c r="BM610" i="1"/>
  <c r="BM611" i="1"/>
  <c r="BM612" i="1"/>
  <c r="BM613" i="1"/>
  <c r="BM614" i="1"/>
  <c r="BM615" i="1"/>
  <c r="BM616" i="1"/>
  <c r="BM617" i="1"/>
  <c r="BM618" i="1"/>
  <c r="BM619" i="1"/>
  <c r="BM620" i="1"/>
  <c r="BM621" i="1"/>
  <c r="BM622" i="1"/>
  <c r="BM623" i="1"/>
  <c r="BM624" i="1"/>
  <c r="BM625" i="1"/>
  <c r="BM626" i="1"/>
  <c r="BM627" i="1"/>
  <c r="BM628" i="1"/>
  <c r="BM629" i="1"/>
  <c r="BM630" i="1"/>
  <c r="BM631" i="1"/>
  <c r="BM632" i="1"/>
  <c r="BM633" i="1"/>
  <c r="BM634" i="1"/>
  <c r="BM635" i="1"/>
  <c r="BM636" i="1"/>
  <c r="BM637" i="1"/>
  <c r="BM638" i="1"/>
  <c r="BM639" i="1"/>
  <c r="BM640" i="1"/>
  <c r="BM641" i="1"/>
  <c r="BM642" i="1"/>
  <c r="BM643" i="1"/>
  <c r="BM644" i="1"/>
  <c r="BM645" i="1"/>
  <c r="BM646" i="1"/>
  <c r="BM647" i="1"/>
  <c r="BM648" i="1"/>
  <c r="BM649" i="1"/>
  <c r="BM650" i="1"/>
  <c r="BM651" i="1"/>
  <c r="BM652" i="1"/>
  <c r="BM653" i="1"/>
  <c r="BM654" i="1"/>
  <c r="BM655" i="1"/>
  <c r="BM656" i="1"/>
  <c r="BM657" i="1"/>
  <c r="BM658" i="1"/>
  <c r="BM659" i="1"/>
  <c r="BM660" i="1"/>
  <c r="BM661" i="1"/>
  <c r="BM662" i="1"/>
  <c r="BM663" i="1"/>
  <c r="BM664" i="1"/>
  <c r="BM665" i="1"/>
  <c r="BM666" i="1"/>
  <c r="BM667" i="1"/>
  <c r="BM668" i="1"/>
  <c r="BM669" i="1"/>
  <c r="BM670" i="1"/>
  <c r="BM671" i="1"/>
  <c r="BM672" i="1"/>
  <c r="BM673" i="1"/>
  <c r="BM674" i="1"/>
  <c r="BM675" i="1"/>
  <c r="BM676" i="1"/>
  <c r="BM677" i="1"/>
  <c r="BM678" i="1"/>
  <c r="BM679" i="1"/>
  <c r="BM680" i="1"/>
  <c r="BM681" i="1"/>
  <c r="BM682" i="1"/>
  <c r="BM683" i="1"/>
  <c r="BM684" i="1"/>
  <c r="BM685" i="1"/>
  <c r="BM686" i="1"/>
  <c r="BM687" i="1"/>
  <c r="BM688" i="1"/>
  <c r="BM689" i="1"/>
  <c r="BM690" i="1"/>
  <c r="BM691" i="1"/>
  <c r="BM692" i="1"/>
  <c r="BM693" i="1"/>
  <c r="BM694" i="1"/>
  <c r="BM695" i="1"/>
  <c r="BM696" i="1"/>
  <c r="BM697" i="1"/>
  <c r="BM698" i="1"/>
  <c r="BM699" i="1"/>
  <c r="BM700" i="1"/>
  <c r="BM701" i="1"/>
  <c r="BM702" i="1"/>
  <c r="BM703" i="1"/>
  <c r="BM704" i="1"/>
  <c r="BM705" i="1"/>
  <c r="BM706" i="1"/>
  <c r="BM707" i="1"/>
  <c r="BM708" i="1"/>
  <c r="BM709" i="1"/>
  <c r="BM710" i="1"/>
  <c r="BM711" i="1"/>
  <c r="BM712" i="1"/>
  <c r="BM713" i="1"/>
  <c r="BM714" i="1"/>
  <c r="BM715" i="1"/>
  <c r="BM716" i="1"/>
  <c r="BM717" i="1"/>
  <c r="BM718" i="1"/>
  <c r="BM719" i="1"/>
  <c r="BM720" i="1"/>
  <c r="BM721" i="1"/>
  <c r="BM722" i="1"/>
  <c r="BM723" i="1"/>
  <c r="BM724" i="1"/>
  <c r="BM725" i="1"/>
  <c r="BM726" i="1"/>
  <c r="BM727" i="1"/>
  <c r="BM728" i="1"/>
  <c r="BM729" i="1"/>
  <c r="BM730" i="1"/>
  <c r="BM731" i="1"/>
  <c r="BM732" i="1"/>
  <c r="BM733" i="1"/>
  <c r="BM734" i="1"/>
  <c r="BM735" i="1"/>
  <c r="BM736" i="1"/>
  <c r="BM737" i="1"/>
  <c r="BM738" i="1"/>
  <c r="BM739" i="1"/>
  <c r="BM740" i="1"/>
  <c r="BM741" i="1"/>
  <c r="BM742" i="1"/>
  <c r="BM743" i="1"/>
  <c r="BM744" i="1"/>
  <c r="BM745" i="1"/>
  <c r="BM746" i="1"/>
  <c r="BM747" i="1"/>
  <c r="BM748" i="1"/>
  <c r="BM749" i="1"/>
  <c r="BM750" i="1"/>
  <c r="BM751" i="1"/>
  <c r="BM752" i="1"/>
  <c r="BM753" i="1"/>
  <c r="BM754" i="1"/>
  <c r="BM755" i="1"/>
  <c r="BM756" i="1"/>
  <c r="BM757" i="1"/>
  <c r="BM758" i="1"/>
  <c r="BM759" i="1"/>
  <c r="BM760" i="1"/>
  <c r="BM761" i="1"/>
  <c r="BM762" i="1"/>
  <c r="BM763" i="1"/>
  <c r="BM764" i="1"/>
  <c r="BM765" i="1"/>
  <c r="BM766" i="1"/>
  <c r="BM767" i="1"/>
  <c r="BM768" i="1"/>
  <c r="BM769" i="1"/>
  <c r="BM770" i="1"/>
  <c r="BM771" i="1"/>
  <c r="BM772" i="1"/>
  <c r="BM773" i="1"/>
  <c r="BM774" i="1"/>
  <c r="BM775" i="1"/>
  <c r="BM776" i="1"/>
  <c r="BM777" i="1"/>
  <c r="BM778" i="1"/>
  <c r="BM779" i="1"/>
  <c r="BM780" i="1"/>
  <c r="BM781" i="1"/>
  <c r="BM782" i="1"/>
  <c r="BM783" i="1"/>
  <c r="BM784" i="1"/>
  <c r="BM785" i="1"/>
  <c r="BM786" i="1"/>
  <c r="BM787" i="1"/>
  <c r="BM788" i="1"/>
  <c r="BM789" i="1"/>
  <c r="BM790" i="1"/>
  <c r="BM791" i="1"/>
  <c r="BM792" i="1"/>
  <c r="BM793" i="1"/>
  <c r="BM794" i="1"/>
  <c r="BM795" i="1"/>
  <c r="BM796" i="1"/>
  <c r="BM797" i="1"/>
  <c r="BM798" i="1"/>
  <c r="BM799" i="1"/>
  <c r="BM800" i="1"/>
  <c r="BM801" i="1"/>
  <c r="BM802" i="1"/>
  <c r="BM803" i="1"/>
  <c r="BM804" i="1"/>
  <c r="BM805" i="1"/>
  <c r="BM806" i="1"/>
  <c r="BM807" i="1"/>
  <c r="BM808" i="1"/>
  <c r="BM809" i="1"/>
  <c r="BM810" i="1"/>
  <c r="BM811" i="1"/>
  <c r="BM812" i="1"/>
  <c r="BM813" i="1"/>
  <c r="BM814" i="1"/>
  <c r="BM815" i="1"/>
  <c r="BM816" i="1"/>
  <c r="BM817" i="1"/>
  <c r="BM818" i="1"/>
  <c r="BM819" i="1"/>
  <c r="BM820" i="1"/>
  <c r="BM821" i="1"/>
  <c r="BM822" i="1"/>
  <c r="BM823" i="1"/>
  <c r="BM824" i="1"/>
  <c r="BM825" i="1"/>
  <c r="BM826" i="1"/>
  <c r="BM827" i="1"/>
  <c r="BM828" i="1"/>
  <c r="BM829" i="1"/>
  <c r="BM830" i="1"/>
  <c r="BM831" i="1"/>
  <c r="BM832" i="1"/>
  <c r="BM833" i="1"/>
  <c r="BM834" i="1"/>
  <c r="BM835" i="1"/>
  <c r="BM836" i="1"/>
  <c r="BM837" i="1"/>
  <c r="BM838" i="1"/>
  <c r="BM839" i="1"/>
  <c r="BM840" i="1"/>
  <c r="BM841" i="1"/>
  <c r="BM842" i="1"/>
  <c r="BM843" i="1"/>
  <c r="BM844" i="1"/>
  <c r="BM845" i="1"/>
  <c r="BM846" i="1"/>
  <c r="BM847" i="1"/>
  <c r="BM848" i="1"/>
  <c r="BM849" i="1"/>
  <c r="BM850" i="1"/>
  <c r="BM851" i="1"/>
  <c r="BM852" i="1"/>
  <c r="BM853" i="1"/>
  <c r="BM854" i="1"/>
  <c r="BM855" i="1"/>
  <c r="BM856" i="1"/>
  <c r="BM857" i="1"/>
  <c r="BM858" i="1"/>
  <c r="BM859" i="1"/>
  <c r="BM860" i="1"/>
  <c r="BM861" i="1"/>
  <c r="BM862" i="1"/>
  <c r="BM863" i="1"/>
  <c r="BM864" i="1"/>
  <c r="BM865" i="1"/>
  <c r="BM866" i="1"/>
  <c r="BM867" i="1"/>
  <c r="BM868" i="1"/>
  <c r="BM869" i="1"/>
  <c r="BM870" i="1"/>
  <c r="BM871" i="1"/>
  <c r="BM872" i="1"/>
  <c r="BM873" i="1"/>
  <c r="BM874" i="1"/>
  <c r="BM875" i="1"/>
  <c r="BM876" i="1"/>
  <c r="BM877" i="1"/>
  <c r="BM878" i="1"/>
  <c r="BM879" i="1"/>
  <c r="BM880" i="1"/>
  <c r="BM881" i="1"/>
  <c r="BM882" i="1"/>
  <c r="BM883" i="1"/>
  <c r="BM884" i="1"/>
  <c r="BM885" i="1"/>
  <c r="BM886" i="1"/>
  <c r="BM887" i="1"/>
  <c r="BM888" i="1"/>
  <c r="BM889" i="1"/>
  <c r="BM890" i="1"/>
  <c r="BM891" i="1"/>
  <c r="BM892" i="1"/>
  <c r="BM893" i="1"/>
  <c r="BM894" i="1"/>
  <c r="BM895" i="1"/>
  <c r="BM896" i="1"/>
  <c r="BM897" i="1"/>
  <c r="BM898" i="1"/>
  <c r="BM899" i="1"/>
  <c r="BM900" i="1"/>
  <c r="BM901" i="1"/>
  <c r="BM902" i="1"/>
  <c r="BM903" i="1"/>
  <c r="BM904" i="1"/>
  <c r="BM905" i="1"/>
  <c r="BM906" i="1"/>
  <c r="BM907" i="1"/>
  <c r="BM908" i="1"/>
  <c r="BM909" i="1"/>
  <c r="BM910" i="1"/>
  <c r="BM911" i="1"/>
  <c r="BM912" i="1"/>
  <c r="BM913" i="1"/>
  <c r="BM914" i="1"/>
  <c r="BM915" i="1"/>
  <c r="BM916" i="1"/>
  <c r="BM917" i="1"/>
  <c r="BM918" i="1"/>
  <c r="BM919" i="1"/>
  <c r="BM920" i="1"/>
  <c r="BM921" i="1"/>
  <c r="BM922" i="1"/>
  <c r="BM923" i="1"/>
  <c r="BM924" i="1"/>
  <c r="BM925" i="1"/>
  <c r="BM926" i="1"/>
  <c r="BM927" i="1"/>
  <c r="BM928" i="1"/>
  <c r="BM929" i="1"/>
  <c r="BM930" i="1"/>
  <c r="BM931" i="1"/>
  <c r="BM932" i="1"/>
  <c r="BM933" i="1"/>
  <c r="BM934" i="1"/>
  <c r="BM935" i="1"/>
  <c r="BM936" i="1"/>
  <c r="BM937" i="1"/>
  <c r="BM938" i="1"/>
  <c r="BM939" i="1"/>
  <c r="BM940" i="1"/>
  <c r="BM941" i="1"/>
  <c r="BM942" i="1"/>
  <c r="BM943" i="1"/>
  <c r="BM944" i="1"/>
  <c r="BM945" i="1"/>
  <c r="BM946" i="1"/>
  <c r="BM947" i="1"/>
  <c r="BM948" i="1"/>
  <c r="BM949" i="1"/>
  <c r="BM950" i="1"/>
  <c r="BM951" i="1"/>
  <c r="BM952" i="1"/>
  <c r="BM953" i="1"/>
  <c r="BM954" i="1"/>
  <c r="BM955" i="1"/>
  <c r="BM956" i="1"/>
  <c r="BM957" i="1"/>
  <c r="BM958" i="1"/>
  <c r="BM959" i="1"/>
  <c r="BM960" i="1"/>
  <c r="BM961" i="1"/>
  <c r="BM962" i="1"/>
  <c r="BM963" i="1"/>
  <c r="BM964" i="1"/>
  <c r="BM965" i="1"/>
  <c r="BM966" i="1"/>
  <c r="BM967" i="1"/>
  <c r="BM968" i="1"/>
  <c r="BM969" i="1"/>
  <c r="BM970" i="1"/>
  <c r="BM971" i="1"/>
  <c r="BM972" i="1"/>
  <c r="BM973" i="1"/>
  <c r="BM974" i="1"/>
  <c r="BM975" i="1"/>
  <c r="BM976" i="1"/>
  <c r="BM977" i="1"/>
  <c r="BM978" i="1"/>
  <c r="BM979" i="1"/>
  <c r="BM980" i="1"/>
  <c r="BM981" i="1"/>
  <c r="BM982" i="1"/>
  <c r="BM983" i="1"/>
  <c r="BM984" i="1"/>
  <c r="BM985" i="1"/>
  <c r="BM986" i="1"/>
  <c r="BM987" i="1"/>
  <c r="BM988" i="1"/>
  <c r="BM989" i="1"/>
  <c r="BM990" i="1"/>
  <c r="BM991" i="1"/>
  <c r="BM992" i="1"/>
  <c r="BM993" i="1"/>
  <c r="BM994" i="1"/>
  <c r="BM995" i="1"/>
  <c r="BM996" i="1"/>
  <c r="BM997" i="1"/>
  <c r="BM998" i="1"/>
  <c r="BM999" i="1"/>
  <c r="BM1000" i="1"/>
  <c r="BM1001" i="1"/>
  <c r="BM1002" i="1"/>
  <c r="BM1003" i="1"/>
  <c r="BM1004" i="1"/>
  <c r="BM1005" i="1"/>
  <c r="BM1006" i="1"/>
  <c r="BM1007" i="1"/>
  <c r="BM1008" i="1"/>
  <c r="BM1009" i="1"/>
  <c r="BM1010" i="1"/>
  <c r="BM1011" i="1"/>
  <c r="BM1012" i="1"/>
  <c r="BM1013" i="1"/>
  <c r="BM1014" i="1"/>
  <c r="BM1015" i="1"/>
  <c r="BM1016" i="1"/>
  <c r="BM1017" i="1"/>
  <c r="BM1018" i="1"/>
  <c r="BM1019" i="1"/>
  <c r="BM1020" i="1"/>
  <c r="BM1021" i="1"/>
  <c r="BM1022" i="1"/>
  <c r="BM1023" i="1"/>
  <c r="BM1024" i="1"/>
  <c r="BM1025" i="1"/>
  <c r="BM1026" i="1"/>
  <c r="BM1027" i="1"/>
  <c r="BM1028" i="1"/>
  <c r="BM1029" i="1"/>
  <c r="BM1030" i="1"/>
  <c r="BM1031" i="1"/>
  <c r="BM1032" i="1"/>
  <c r="BM1033" i="1"/>
  <c r="BM1034" i="1"/>
  <c r="BM1035" i="1"/>
  <c r="BM1036" i="1"/>
  <c r="BM1037" i="1"/>
  <c r="BM1038" i="1"/>
  <c r="BM1039" i="1"/>
  <c r="BM1040" i="1"/>
  <c r="BM1041" i="1"/>
  <c r="BM1042" i="1"/>
  <c r="BM1043" i="1"/>
  <c r="BM1044" i="1"/>
  <c r="BM1045" i="1"/>
  <c r="BM1046" i="1"/>
  <c r="BM1047" i="1"/>
  <c r="BM1048" i="1"/>
  <c r="BM1049" i="1"/>
  <c r="BM1050" i="1"/>
  <c r="BM1051" i="1"/>
  <c r="BM1052" i="1"/>
  <c r="BM1053" i="1"/>
  <c r="BM1054" i="1"/>
  <c r="BM1055" i="1"/>
  <c r="BM1056" i="1"/>
  <c r="BM1057" i="1"/>
  <c r="BM1058" i="1"/>
  <c r="BM1059" i="1"/>
  <c r="BM1060" i="1"/>
  <c r="BM1061" i="1"/>
  <c r="BM1062" i="1"/>
  <c r="BM1063" i="1"/>
  <c r="BM1064" i="1"/>
  <c r="BM1065" i="1"/>
  <c r="BM1066" i="1"/>
  <c r="BM1067" i="1"/>
  <c r="BM1068" i="1"/>
  <c r="BM1069" i="1"/>
  <c r="BM1070" i="1"/>
  <c r="BM1071" i="1"/>
  <c r="BM1072" i="1"/>
  <c r="BM1073" i="1"/>
  <c r="BM1074" i="1"/>
  <c r="BM1075" i="1"/>
  <c r="BM1076" i="1"/>
  <c r="BM1077" i="1"/>
  <c r="BM1078" i="1"/>
  <c r="BM1079" i="1"/>
  <c r="BM1080" i="1"/>
  <c r="BM1081" i="1"/>
  <c r="BM1082" i="1"/>
  <c r="BM1083" i="1"/>
  <c r="BM1084" i="1"/>
  <c r="BM1085" i="1"/>
  <c r="BM1086" i="1"/>
  <c r="BM1087" i="1"/>
  <c r="BM1088" i="1"/>
  <c r="BM1089" i="1"/>
  <c r="BM1090" i="1"/>
  <c r="BM1091" i="1"/>
  <c r="BM1092" i="1"/>
  <c r="BM1093" i="1"/>
  <c r="BM1094" i="1"/>
  <c r="BM1095" i="1"/>
  <c r="BM1096" i="1"/>
  <c r="BM1097" i="1"/>
  <c r="BM1098" i="1"/>
  <c r="BM1099" i="1"/>
  <c r="BM1100" i="1"/>
  <c r="BM1101" i="1"/>
  <c r="BM1102" i="1"/>
  <c r="BM1103" i="1"/>
  <c r="BM1104" i="1"/>
  <c r="BM1105" i="1"/>
  <c r="BM1106" i="1"/>
  <c r="BM1107" i="1"/>
  <c r="BM1108" i="1"/>
  <c r="BM1109" i="1"/>
  <c r="BM1110" i="1"/>
  <c r="BM1111" i="1"/>
  <c r="BM1112" i="1"/>
  <c r="BM1113" i="1"/>
  <c r="BM1114" i="1"/>
  <c r="BM1115" i="1"/>
  <c r="BM1116" i="1"/>
  <c r="BM1117" i="1"/>
  <c r="BM1118" i="1"/>
  <c r="BM1119" i="1"/>
  <c r="BM1120" i="1"/>
  <c r="BM1121" i="1"/>
  <c r="BM1122" i="1"/>
  <c r="BM1123" i="1"/>
  <c r="BM1124" i="1"/>
  <c r="BM1125" i="1"/>
  <c r="BM1126" i="1"/>
  <c r="BM1127" i="1"/>
  <c r="BM1128" i="1"/>
  <c r="BM1129" i="1"/>
  <c r="BM1130" i="1"/>
  <c r="BM1131" i="1"/>
  <c r="BM1132" i="1"/>
  <c r="BM1133" i="1"/>
  <c r="BM1134" i="1"/>
  <c r="BM1135" i="1"/>
  <c r="BM1136" i="1"/>
  <c r="BM1137" i="1"/>
  <c r="BM1138" i="1"/>
  <c r="BM1139" i="1"/>
  <c r="BM1140" i="1"/>
  <c r="BM1141" i="1"/>
  <c r="BM1142" i="1"/>
  <c r="BM1143" i="1"/>
  <c r="BM1144" i="1"/>
  <c r="BM1145" i="1"/>
  <c r="BM1146" i="1"/>
  <c r="BM1147" i="1"/>
  <c r="BM1148" i="1"/>
  <c r="BM1149" i="1"/>
  <c r="BM1150" i="1"/>
  <c r="BM1151" i="1"/>
  <c r="BM1152" i="1"/>
  <c r="BM1153" i="1"/>
  <c r="BM1154" i="1"/>
  <c r="BM1155" i="1"/>
  <c r="BM1156" i="1"/>
  <c r="BM1157" i="1"/>
  <c r="BM1158" i="1"/>
  <c r="BM1159" i="1"/>
  <c r="BM1160" i="1"/>
  <c r="BM1161" i="1"/>
  <c r="BM1162" i="1"/>
  <c r="BM1163" i="1"/>
  <c r="BM1164" i="1"/>
  <c r="BM1165" i="1"/>
  <c r="BM1166" i="1"/>
  <c r="BM1167" i="1"/>
  <c r="BM1168" i="1"/>
  <c r="BM1169" i="1"/>
  <c r="BM1170" i="1"/>
  <c r="BM1171" i="1"/>
  <c r="BM1172" i="1"/>
  <c r="BM1173" i="1"/>
  <c r="BM1174" i="1"/>
  <c r="BM1175" i="1"/>
  <c r="BM1176" i="1"/>
  <c r="BM1177" i="1"/>
  <c r="BM1178" i="1"/>
  <c r="BM1179" i="1"/>
  <c r="BM1180" i="1"/>
  <c r="BM1181" i="1"/>
  <c r="BM1182" i="1"/>
  <c r="BM1183" i="1"/>
  <c r="BM1184" i="1"/>
  <c r="BM1185" i="1"/>
  <c r="BM1186" i="1"/>
  <c r="BM1187" i="1"/>
  <c r="BM1188" i="1"/>
  <c r="BM1189" i="1"/>
  <c r="BM1190" i="1"/>
  <c r="BM1191" i="1"/>
  <c r="BM1192" i="1"/>
  <c r="BM1193" i="1"/>
  <c r="BM1194" i="1"/>
  <c r="BM1195" i="1"/>
  <c r="BM1196" i="1"/>
  <c r="BM1197" i="1"/>
  <c r="BM1198" i="1"/>
  <c r="BM1199" i="1"/>
  <c r="BM1200" i="1"/>
  <c r="BM1201" i="1"/>
  <c r="BM1202" i="1"/>
  <c r="BM1203" i="1"/>
  <c r="BM1204" i="1"/>
  <c r="BM1205" i="1"/>
  <c r="BM1206" i="1"/>
  <c r="BM1207" i="1"/>
  <c r="BM1208" i="1"/>
  <c r="BM1209" i="1"/>
  <c r="BM1210" i="1"/>
  <c r="BM1211" i="1"/>
  <c r="BM1212" i="1"/>
  <c r="BM1213" i="1"/>
  <c r="BM1214" i="1"/>
  <c r="BM1215" i="1"/>
  <c r="BM1216" i="1"/>
  <c r="BM1217" i="1"/>
  <c r="BM1218" i="1"/>
  <c r="BM1219" i="1"/>
  <c r="BM1220" i="1"/>
  <c r="BM1221" i="1"/>
  <c r="BM1222" i="1"/>
  <c r="BM1223" i="1"/>
  <c r="BM1224" i="1"/>
  <c r="BM1225" i="1"/>
  <c r="BM1226" i="1"/>
  <c r="BM1227" i="1"/>
  <c r="BM1228" i="1"/>
  <c r="BM1229" i="1"/>
  <c r="BM1230" i="1"/>
  <c r="BM1231" i="1"/>
  <c r="BM1232" i="1"/>
  <c r="BM1233" i="1"/>
  <c r="BM1234" i="1"/>
  <c r="BM1235" i="1"/>
  <c r="BM1236" i="1"/>
  <c r="BM1237" i="1"/>
  <c r="BM1238" i="1"/>
  <c r="BM1239" i="1"/>
  <c r="BM1240" i="1"/>
  <c r="BM1241" i="1"/>
  <c r="BM1242" i="1"/>
  <c r="BM1243" i="1"/>
  <c r="BM1244" i="1"/>
  <c r="BM1245" i="1"/>
  <c r="BM1246" i="1"/>
  <c r="BM1247" i="1"/>
  <c r="BM1248" i="1"/>
  <c r="BM1249" i="1"/>
  <c r="BM1250" i="1"/>
  <c r="BM1251" i="1"/>
  <c r="BM1252" i="1"/>
  <c r="BM1253" i="1"/>
  <c r="BM1254" i="1"/>
  <c r="BM1255" i="1"/>
  <c r="BM1256" i="1"/>
  <c r="BM1257" i="1"/>
  <c r="BM1258" i="1"/>
  <c r="BM1259" i="1"/>
  <c r="BM1260" i="1"/>
  <c r="BM1261" i="1"/>
  <c r="BM1262" i="1"/>
  <c r="BM1263" i="1"/>
  <c r="BM1264" i="1"/>
  <c r="BM1265" i="1"/>
  <c r="BM1266" i="1"/>
  <c r="BM1267" i="1"/>
  <c r="BM1268" i="1"/>
  <c r="BM1269" i="1"/>
  <c r="BM1270" i="1"/>
  <c r="BM1271" i="1"/>
  <c r="BM1272" i="1"/>
  <c r="BM1273" i="1"/>
  <c r="BM1274" i="1"/>
  <c r="BM1275" i="1"/>
  <c r="BM1276" i="1"/>
  <c r="BM1277" i="1"/>
  <c r="BM1278" i="1"/>
  <c r="BM1279" i="1"/>
  <c r="BM1280" i="1"/>
  <c r="BM1281" i="1"/>
  <c r="BM1282" i="1"/>
  <c r="BM1283" i="1"/>
  <c r="BM1284" i="1"/>
  <c r="BM1285" i="1"/>
  <c r="BM1286" i="1"/>
  <c r="BM1287" i="1"/>
  <c r="BM1288" i="1"/>
  <c r="BM1289" i="1"/>
  <c r="BM1290" i="1"/>
  <c r="BM1291" i="1"/>
  <c r="BM1292" i="1"/>
  <c r="BM1293" i="1"/>
  <c r="BM1294" i="1"/>
  <c r="BM1295" i="1"/>
  <c r="BM1296" i="1"/>
  <c r="BM1297" i="1"/>
  <c r="BM1298" i="1"/>
  <c r="BM1299" i="1"/>
  <c r="BM1300" i="1"/>
  <c r="BM1301" i="1"/>
  <c r="BM1302" i="1"/>
  <c r="BM1303" i="1"/>
  <c r="BM1304" i="1"/>
  <c r="BM1305" i="1"/>
  <c r="BM1306" i="1"/>
  <c r="BM1307" i="1"/>
  <c r="BM1308" i="1"/>
  <c r="BM1309" i="1"/>
  <c r="BM1310" i="1"/>
  <c r="BM1311" i="1"/>
  <c r="BM1312" i="1"/>
  <c r="BM1313" i="1"/>
  <c r="BM1314" i="1"/>
  <c r="BM1315" i="1"/>
  <c r="BM1316" i="1"/>
  <c r="BM1317" i="1"/>
  <c r="BM1318" i="1"/>
  <c r="BM1319" i="1"/>
  <c r="BM1320" i="1"/>
  <c r="BM1321" i="1"/>
  <c r="BM1322" i="1"/>
  <c r="BM1323" i="1"/>
  <c r="BM1324" i="1"/>
  <c r="BM1325" i="1"/>
  <c r="BM1326" i="1"/>
  <c r="BM1327" i="1"/>
  <c r="BM1328" i="1"/>
  <c r="BM1329" i="1"/>
  <c r="BM1330" i="1"/>
  <c r="BM1331" i="1"/>
  <c r="BM1332" i="1"/>
  <c r="BM1333" i="1"/>
  <c r="BM1334" i="1"/>
  <c r="BM1335" i="1"/>
  <c r="BM1336" i="1"/>
  <c r="BM1337" i="1"/>
  <c r="BM1338" i="1"/>
  <c r="BM1339" i="1"/>
  <c r="BM1340" i="1"/>
  <c r="BM1341" i="1"/>
  <c r="BM1342" i="1"/>
  <c r="BM1343" i="1"/>
  <c r="BM1344" i="1"/>
  <c r="BM1345" i="1"/>
  <c r="BM1346" i="1"/>
  <c r="BM1347" i="1"/>
  <c r="BM1348" i="1"/>
  <c r="BM1349" i="1"/>
  <c r="BM1350" i="1"/>
  <c r="BM1351" i="1"/>
  <c r="BM1352" i="1"/>
  <c r="BM1353" i="1"/>
  <c r="BM1354" i="1"/>
  <c r="BM1355" i="1"/>
  <c r="BM1356" i="1"/>
  <c r="BM1357" i="1"/>
  <c r="BM1358" i="1"/>
  <c r="BM1359" i="1"/>
  <c r="BM1360" i="1"/>
  <c r="BM1361" i="1"/>
  <c r="BM1362" i="1"/>
  <c r="BM1363" i="1"/>
  <c r="BM1364" i="1"/>
  <c r="BM1365" i="1"/>
  <c r="BM1366" i="1"/>
  <c r="BM1367" i="1"/>
  <c r="BM1368" i="1"/>
  <c r="BM1369" i="1"/>
  <c r="BM1370" i="1"/>
  <c r="BM1371" i="1"/>
  <c r="BM1372" i="1"/>
  <c r="BM1373" i="1"/>
  <c r="BM1374" i="1"/>
  <c r="BM1375" i="1"/>
  <c r="BM1376" i="1"/>
  <c r="BM1377" i="1"/>
  <c r="BM1378" i="1"/>
  <c r="BM1379" i="1"/>
  <c r="BM1380" i="1"/>
  <c r="BM1381" i="1"/>
  <c r="BM1382" i="1"/>
  <c r="BM1383" i="1"/>
  <c r="BM1384" i="1"/>
  <c r="AG10" i="6"/>
  <c r="BK1389" i="1"/>
  <c r="BK1390" i="1"/>
  <c r="BK1391" i="1"/>
  <c r="BK1392" i="1"/>
  <c r="BK1393" i="1"/>
  <c r="BK1394" i="1"/>
  <c r="BK1395" i="1"/>
  <c r="BK1396" i="1"/>
  <c r="BK1397" i="1"/>
  <c r="BK1398" i="1"/>
  <c r="BK1399" i="1"/>
  <c r="BK1400" i="1"/>
  <c r="BK1401" i="1"/>
  <c r="BK1402" i="1"/>
  <c r="BK1403" i="1"/>
  <c r="BK1404" i="1"/>
  <c r="BK1405" i="1"/>
  <c r="BK1406" i="1"/>
  <c r="BK1407" i="1"/>
  <c r="BK1408" i="1"/>
  <c r="BK1409" i="1"/>
  <c r="BK1410" i="1"/>
  <c r="BK1411" i="1"/>
  <c r="BK1412" i="1"/>
  <c r="BK1413" i="1"/>
  <c r="BK1414" i="1"/>
  <c r="BK1415" i="1"/>
  <c r="BK1416" i="1"/>
  <c r="BK1417" i="1"/>
  <c r="BK1418" i="1"/>
  <c r="BK1419" i="1"/>
  <c r="BK1420" i="1"/>
  <c r="BK1421" i="1"/>
  <c r="BK1422" i="1"/>
  <c r="BK1423" i="1"/>
  <c r="BK1424" i="1"/>
  <c r="BK1425" i="1"/>
  <c r="BK1426" i="1"/>
  <c r="BK1427" i="1"/>
  <c r="BK1428" i="1"/>
  <c r="BK1429" i="1"/>
  <c r="BK1430" i="1"/>
  <c r="BK1431" i="1"/>
  <c r="BK1432" i="1"/>
  <c r="BK1433" i="1"/>
  <c r="BK1434" i="1"/>
  <c r="BK1435" i="1"/>
  <c r="BK1436" i="1"/>
  <c r="BK1437" i="1"/>
  <c r="BK1438" i="1"/>
  <c r="BK1439" i="1"/>
  <c r="BK1440" i="1"/>
  <c r="BK1441" i="1"/>
  <c r="BK1442" i="1"/>
  <c r="BK1443" i="1"/>
  <c r="BK1444" i="1"/>
  <c r="BK1445" i="1"/>
  <c r="BK1446" i="1"/>
  <c r="BK1447" i="1"/>
  <c r="BK1448" i="1"/>
  <c r="BK1449" i="1"/>
  <c r="BK1450" i="1"/>
  <c r="BK1451" i="1"/>
  <c r="BK1452" i="1"/>
  <c r="BK1453" i="1"/>
  <c r="BK1521" i="1"/>
  <c r="BK1522" i="1"/>
  <c r="BK1523" i="1"/>
  <c r="BK1524" i="1"/>
  <c r="BK1388" i="1"/>
  <c r="BJ1389" i="1"/>
  <c r="BJ1390" i="1"/>
  <c r="BJ1391" i="1"/>
  <c r="BJ1392" i="1"/>
  <c r="BJ1393" i="1"/>
  <c r="BJ1394" i="1"/>
  <c r="BJ1395" i="1"/>
  <c r="BJ1396" i="1"/>
  <c r="BJ1397" i="1"/>
  <c r="BJ1398" i="1"/>
  <c r="BJ1399" i="1"/>
  <c r="BJ1400" i="1"/>
  <c r="BJ1401" i="1"/>
  <c r="BJ1402" i="1"/>
  <c r="BJ1403" i="1"/>
  <c r="BJ1404" i="1"/>
  <c r="BJ1405" i="1"/>
  <c r="BJ1406" i="1"/>
  <c r="BJ1407" i="1"/>
  <c r="BJ1408" i="1"/>
  <c r="BJ1409" i="1"/>
  <c r="BJ1410" i="1"/>
  <c r="BJ1411" i="1"/>
  <c r="BJ1412" i="1"/>
  <c r="BJ1413" i="1"/>
  <c r="BJ1414" i="1"/>
  <c r="BJ1415" i="1"/>
  <c r="BJ1416" i="1"/>
  <c r="BJ1417" i="1"/>
  <c r="BJ1418" i="1"/>
  <c r="BJ1419" i="1"/>
  <c r="BJ1420" i="1"/>
  <c r="BJ1421" i="1"/>
  <c r="BJ1422" i="1"/>
  <c r="BJ1423" i="1"/>
  <c r="BJ1424" i="1"/>
  <c r="BJ1425" i="1"/>
  <c r="BJ1426" i="1"/>
  <c r="BJ1427" i="1"/>
  <c r="BJ1428" i="1"/>
  <c r="BJ1429" i="1"/>
  <c r="BJ1430" i="1"/>
  <c r="BJ1431" i="1"/>
  <c r="BJ1432" i="1"/>
  <c r="BJ1433" i="1"/>
  <c r="BJ1434" i="1"/>
  <c r="BJ1435" i="1"/>
  <c r="BJ1436" i="1"/>
  <c r="BJ1437" i="1"/>
  <c r="BJ1438" i="1"/>
  <c r="BJ1439" i="1"/>
  <c r="BJ1388" i="1"/>
  <c r="BH1388" i="1"/>
  <c r="BJ1440" i="1"/>
  <c r="BJ1441" i="1"/>
  <c r="BJ1442" i="1"/>
  <c r="BJ1443" i="1"/>
  <c r="BJ1444" i="1"/>
  <c r="BJ1445" i="1"/>
  <c r="BJ1446" i="1"/>
  <c r="BJ1447" i="1"/>
  <c r="BJ1448" i="1"/>
  <c r="BJ1449" i="1"/>
  <c r="BJ1450" i="1"/>
  <c r="BJ1451" i="1"/>
  <c r="BJ1452" i="1"/>
  <c r="BJ1453" i="1"/>
  <c r="BJ1521" i="1"/>
  <c r="BJ1522" i="1"/>
  <c r="BJ1523" i="1"/>
  <c r="BJ1524" i="1"/>
  <c r="BH1449" i="1"/>
  <c r="BH1448" i="1"/>
  <c r="BH1447" i="1"/>
  <c r="BH1446" i="1"/>
  <c r="BH1445" i="1"/>
  <c r="BH1444" i="1"/>
  <c r="BH1443" i="1"/>
  <c r="BH1453" i="1"/>
  <c r="BH1452" i="1"/>
  <c r="BH1451" i="1"/>
  <c r="BH1450" i="1"/>
  <c r="BH1521" i="1"/>
  <c r="BH1437" i="1"/>
  <c r="BH1436" i="1"/>
  <c r="BH1435" i="1"/>
  <c r="BH1434" i="1"/>
  <c r="BH1433" i="1"/>
  <c r="BH1432" i="1"/>
  <c r="BH1431" i="1"/>
  <c r="BH1430" i="1"/>
  <c r="BH1441" i="1"/>
  <c r="BH1440" i="1"/>
  <c r="BH1439" i="1"/>
  <c r="BH1438" i="1"/>
  <c r="BH1442" i="1"/>
  <c r="BH1429" i="1"/>
  <c r="BH1427" i="1"/>
  <c r="BH1426" i="1"/>
  <c r="BH1425" i="1"/>
  <c r="BH1424" i="1"/>
  <c r="BH1423" i="1"/>
  <c r="BH1422" i="1"/>
  <c r="BH1421" i="1"/>
  <c r="BH1420" i="1"/>
  <c r="BH1428" i="1"/>
  <c r="BH1419" i="1"/>
  <c r="BH1418" i="1"/>
  <c r="BH1414" i="1"/>
  <c r="BH1413" i="1"/>
  <c r="BH1412" i="1"/>
  <c r="BH1411" i="1"/>
  <c r="BH1410" i="1"/>
  <c r="BH1416" i="1"/>
  <c r="BH1415" i="1"/>
  <c r="BH1409" i="1"/>
  <c r="BH1408" i="1"/>
  <c r="BH1417" i="1"/>
  <c r="BH1402" i="1"/>
  <c r="BH1403" i="1"/>
  <c r="BH1404" i="1"/>
  <c r="BH1405" i="1"/>
  <c r="BH1406" i="1"/>
  <c r="BH1401" i="1"/>
  <c r="BH1400" i="1"/>
  <c r="BG1384" i="1"/>
  <c r="BG1383" i="1"/>
  <c r="BH1407" i="1"/>
  <c r="BH1390" i="1"/>
  <c r="BH1391" i="1"/>
  <c r="BH1392" i="1"/>
  <c r="BH1393" i="1"/>
  <c r="BH1394" i="1"/>
  <c r="BH1395" i="1"/>
  <c r="BH1396" i="1"/>
  <c r="BH1397" i="1"/>
  <c r="BH1398" i="1"/>
  <c r="BH1399" i="1"/>
  <c r="BH1389" i="1"/>
  <c r="BG1382" i="1"/>
  <c r="BG1381" i="1"/>
  <c r="BG1380" i="1"/>
  <c r="BG1379" i="1"/>
  <c r="BG1378" i="1"/>
  <c r="BG1375" i="1"/>
  <c r="BG1374" i="1"/>
  <c r="BG1373" i="1"/>
  <c r="BG1372" i="1"/>
  <c r="BG1364" i="1"/>
  <c r="BG1368" i="1"/>
  <c r="BG1367" i="1"/>
  <c r="BG1366" i="1"/>
  <c r="BG1365" i="1"/>
  <c r="BG1363" i="1"/>
  <c r="BG1371" i="1"/>
  <c r="BG1370" i="1"/>
  <c r="BG1369" i="1"/>
  <c r="BG1360" i="1"/>
  <c r="BG1359" i="1"/>
  <c r="BG1358" i="1"/>
  <c r="BG1357" i="1"/>
  <c r="BG1354" i="1"/>
  <c r="BG1353" i="1"/>
  <c r="BG1352" i="1"/>
  <c r="BG1350" i="1"/>
  <c r="BG1349" i="1"/>
  <c r="BG1361" i="1"/>
  <c r="BG1356" i="1"/>
  <c r="BG1355" i="1"/>
  <c r="BG1347" i="1"/>
  <c r="BG1346" i="1"/>
  <c r="BG1345" i="1"/>
  <c r="BG1344" i="1"/>
  <c r="BG1348" i="1"/>
  <c r="BG1343" i="1"/>
  <c r="BG1342" i="1"/>
  <c r="BG1341" i="1"/>
  <c r="BG1376" i="1"/>
  <c r="BG1340" i="1"/>
  <c r="BG1339" i="1"/>
  <c r="BG1337" i="1"/>
  <c r="BG1336" i="1"/>
  <c r="BG1335" i="1"/>
  <c r="BG1332" i="1"/>
  <c r="BG1333" i="1"/>
  <c r="BG1334" i="1"/>
  <c r="BG1338" i="1"/>
  <c r="BG1377" i="1"/>
  <c r="BG1329" i="1"/>
  <c r="BG1328" i="1"/>
  <c r="BG1331" i="1"/>
  <c r="BG1326" i="1"/>
  <c r="BG1325" i="1"/>
  <c r="BG1324" i="1"/>
  <c r="BG1322" i="1"/>
  <c r="BG1321" i="1"/>
  <c r="BG1320" i="1"/>
  <c r="BG1319" i="1"/>
  <c r="BG1327" i="1"/>
  <c r="BG1323" i="1"/>
  <c r="BG1314" i="1"/>
  <c r="BG1313" i="1"/>
  <c r="BG1312" i="1"/>
  <c r="BG1311" i="1"/>
  <c r="BG1310" i="1"/>
  <c r="BG1309" i="1"/>
  <c r="BG1317" i="1"/>
  <c r="BG1316" i="1"/>
  <c r="BG1315" i="1"/>
  <c r="BG1266" i="1"/>
  <c r="BG1290" i="1"/>
  <c r="BG1265" i="1"/>
  <c r="BG1307" i="1"/>
  <c r="BG1306" i="1"/>
  <c r="BG1305" i="1"/>
  <c r="BG1304" i="1"/>
  <c r="BG1318" i="1"/>
  <c r="BG1308" i="1"/>
  <c r="BG1301" i="1"/>
  <c r="BG1300" i="1"/>
  <c r="BG1299" i="1"/>
  <c r="BG1298" i="1"/>
  <c r="BG1293" i="1"/>
  <c r="BG1296" i="1"/>
  <c r="BG1295" i="1"/>
  <c r="BG1294" i="1"/>
  <c r="BG1292" i="1"/>
  <c r="BG1330" i="1"/>
  <c r="BG1285" i="1"/>
  <c r="BG1284" i="1"/>
  <c r="BG1283" i="1"/>
  <c r="BG1282" i="1"/>
  <c r="BG1281" i="1"/>
  <c r="BG1280" i="1"/>
  <c r="BG1279" i="1"/>
  <c r="BG1278" i="1"/>
  <c r="BG1289" i="1"/>
  <c r="BG1288" i="1"/>
  <c r="BG1287" i="1"/>
  <c r="BG1286" i="1"/>
  <c r="BG1291" i="1"/>
  <c r="BG1277" i="1"/>
  <c r="BG1276" i="1"/>
  <c r="BG1275" i="1"/>
  <c r="BG1274" i="1"/>
  <c r="BG1245" i="1"/>
  <c r="BG1271" i="1"/>
  <c r="BG1272" i="1"/>
  <c r="BG1270" i="1"/>
  <c r="BG1264" i="1"/>
  <c r="BG1269" i="1"/>
  <c r="BG1268" i="1"/>
  <c r="BG1267" i="1"/>
  <c r="BG1302" i="1"/>
  <c r="BG1297" i="1"/>
  <c r="BG1259" i="1"/>
  <c r="BG1260" i="1"/>
  <c r="BG1258" i="1"/>
  <c r="BG1257" i="1"/>
  <c r="BG1256" i="1"/>
  <c r="BG1255" i="1"/>
  <c r="BG1251" i="1"/>
  <c r="BG1250" i="1"/>
  <c r="BG1249" i="1"/>
  <c r="BG1247" i="1"/>
  <c r="BG1246" i="1"/>
  <c r="BG1254" i="1"/>
  <c r="BG1253" i="1"/>
  <c r="BG1252" i="1"/>
  <c r="BG1239" i="1"/>
  <c r="BG1241" i="1"/>
  <c r="BG1240" i="1"/>
  <c r="BG1238" i="1"/>
  <c r="BG1232" i="1"/>
  <c r="BG1236" i="1"/>
  <c r="BG1235" i="1"/>
  <c r="BG1234" i="1"/>
  <c r="BG1233" i="1"/>
  <c r="BG1231" i="1"/>
  <c r="BG1230" i="1"/>
  <c r="BG1229" i="1"/>
  <c r="BG1228" i="1"/>
  <c r="BG1227" i="1"/>
  <c r="BG1237" i="1"/>
  <c r="BG1226" i="1"/>
  <c r="BG1225" i="1"/>
  <c r="BG1224" i="1"/>
  <c r="BG1261" i="1"/>
  <c r="BG1244" i="1"/>
  <c r="BG1220" i="1"/>
  <c r="BG1219" i="1"/>
  <c r="BG1218" i="1"/>
  <c r="BG1217" i="1"/>
  <c r="BG1216" i="1"/>
  <c r="BG1221" i="1"/>
  <c r="BG1215" i="1"/>
  <c r="BG1214" i="1"/>
  <c r="BG1213" i="1"/>
  <c r="BG1223" i="1"/>
  <c r="BG1222" i="1"/>
  <c r="BG1208" i="1"/>
  <c r="BG1207" i="1"/>
  <c r="BG1206" i="1"/>
  <c r="BG1205" i="1"/>
  <c r="BG1204" i="1"/>
  <c r="BG1203" i="1"/>
  <c r="BG1211" i="1"/>
  <c r="BG1210" i="1"/>
  <c r="BG1209" i="1"/>
  <c r="BG1201" i="1"/>
  <c r="BG1200" i="1"/>
  <c r="BG1199" i="1"/>
  <c r="BG1198" i="1"/>
  <c r="BG1212" i="1"/>
  <c r="BG1202" i="1"/>
  <c r="BG1303" i="1"/>
  <c r="BG1196" i="1"/>
  <c r="BG1194" i="1"/>
  <c r="BG1193" i="1"/>
  <c r="BG1192" i="1"/>
  <c r="BG1191" i="1"/>
  <c r="BG1195" i="1"/>
  <c r="BG1190" i="1"/>
  <c r="BG1189" i="1"/>
  <c r="BG1188" i="1"/>
  <c r="BG1197" i="1"/>
  <c r="BG1184" i="1"/>
  <c r="BG1183" i="1"/>
  <c r="BG1186" i="1"/>
  <c r="BG1185" i="1"/>
  <c r="BG1179" i="1"/>
  <c r="BG1178" i="1"/>
  <c r="BG1177" i="1"/>
  <c r="BG1176" i="1"/>
  <c r="BG1175" i="1"/>
  <c r="BG1173" i="1"/>
  <c r="BG1172" i="1"/>
  <c r="BG1171" i="1"/>
  <c r="BG1170" i="1"/>
  <c r="BG1169" i="1"/>
  <c r="BG1168" i="1"/>
  <c r="BG1180" i="1"/>
  <c r="BG1174" i="1"/>
  <c r="BG1167" i="1"/>
  <c r="BG1166" i="1"/>
  <c r="BG1182" i="1"/>
  <c r="BG1181" i="1"/>
  <c r="BG1159" i="1"/>
  <c r="BG1158" i="1"/>
  <c r="BG1157" i="1"/>
  <c r="BG1156" i="1"/>
  <c r="BG1155" i="1"/>
  <c r="BG1154" i="1"/>
  <c r="BG1153" i="1"/>
  <c r="BG1163" i="1"/>
  <c r="BG1162" i="1"/>
  <c r="BG1161" i="1"/>
  <c r="BG1160" i="1"/>
  <c r="BG1165" i="1"/>
  <c r="BG1164" i="1"/>
  <c r="BG1150" i="1"/>
  <c r="BG1149" i="1"/>
  <c r="BG1148" i="1"/>
  <c r="BG1147" i="1"/>
  <c r="BG1152" i="1"/>
  <c r="BG1151" i="1"/>
  <c r="BG1140" i="1"/>
  <c r="BG1139" i="1"/>
  <c r="BG1138" i="1"/>
  <c r="BG1137" i="1"/>
  <c r="BG1136" i="1"/>
  <c r="BG1135" i="1"/>
  <c r="BG1134" i="1"/>
  <c r="BG1142" i="1"/>
  <c r="BG1141" i="1"/>
  <c r="BG1133" i="1"/>
  <c r="BG1132" i="1"/>
  <c r="BG1131" i="1"/>
  <c r="BG1130" i="1"/>
  <c r="BG1145" i="1"/>
  <c r="BG1144" i="1"/>
  <c r="BG1143" i="1"/>
  <c r="BG1128" i="1"/>
  <c r="BG1127" i="1"/>
  <c r="BG1126" i="1"/>
  <c r="BG1125" i="1"/>
  <c r="BG1122" i="1"/>
  <c r="BG1121" i="1"/>
  <c r="BG1120" i="1"/>
  <c r="BG1119" i="1"/>
  <c r="BG1118" i="1"/>
  <c r="BG1116" i="1"/>
  <c r="BG1129" i="1"/>
  <c r="BG1124" i="1"/>
  <c r="BG1123" i="1"/>
  <c r="BG1115" i="1"/>
  <c r="BG1114" i="1"/>
  <c r="BG1113" i="1"/>
  <c r="BG1108" i="1"/>
  <c r="BG1107" i="1"/>
  <c r="BG1106" i="1"/>
  <c r="BG1105" i="1"/>
  <c r="BG1104" i="1"/>
  <c r="BG1103" i="1"/>
  <c r="BG1111" i="1"/>
  <c r="BG1110" i="1"/>
  <c r="BG1109" i="1"/>
  <c r="BG1101" i="1"/>
  <c r="BG1100" i="1"/>
  <c r="BG1099" i="1"/>
  <c r="BG1098" i="1"/>
  <c r="BG1096" i="1"/>
  <c r="BG1094" i="1"/>
  <c r="BG1093" i="1"/>
  <c r="BG1092" i="1"/>
  <c r="BG1091" i="1"/>
  <c r="BG1090" i="1"/>
  <c r="BG1089" i="1"/>
  <c r="BG1087" i="1"/>
  <c r="BG1086" i="1"/>
  <c r="BG1085" i="1"/>
  <c r="BG1084" i="1"/>
  <c r="BG1083" i="1"/>
  <c r="BG1082" i="1"/>
  <c r="BG1088" i="1"/>
  <c r="BG1081" i="1"/>
  <c r="BG1080" i="1"/>
  <c r="BG1079" i="1"/>
  <c r="BG1077" i="1"/>
  <c r="BG1076" i="1"/>
  <c r="BG1075" i="1"/>
  <c r="BG1074" i="1"/>
  <c r="BG1146" i="1"/>
  <c r="BG1102" i="1"/>
  <c r="BG1072" i="1"/>
  <c r="BG1069" i="1"/>
  <c r="BG1068" i="1"/>
  <c r="BG1067" i="1"/>
  <c r="BG1066" i="1"/>
  <c r="BG1065" i="1"/>
  <c r="BG1064" i="1"/>
  <c r="BG1071" i="1"/>
  <c r="BG1070" i="1"/>
  <c r="BG1060" i="1"/>
  <c r="BG1059" i="1"/>
  <c r="BG1058" i="1"/>
  <c r="BG1057" i="1"/>
  <c r="BG1056" i="1"/>
  <c r="BG1055" i="1"/>
  <c r="BG1063" i="1"/>
  <c r="BG1062" i="1"/>
  <c r="BG1061" i="1"/>
  <c r="BG1051" i="1"/>
  <c r="BG1050" i="1"/>
  <c r="BG1049" i="1"/>
  <c r="BG1048" i="1"/>
  <c r="BG1046" i="1"/>
  <c r="BG1045" i="1"/>
  <c r="BG1054" i="1"/>
  <c r="BG1053" i="1"/>
  <c r="BG1052" i="1"/>
  <c r="BG1043" i="1"/>
  <c r="BG1042" i="1"/>
  <c r="BG1040" i="1"/>
  <c r="BG1039" i="1"/>
  <c r="BG1073" i="1"/>
  <c r="BG1044" i="1"/>
  <c r="BG1032" i="1"/>
  <c r="BG1031" i="1"/>
  <c r="BG1030" i="1"/>
  <c r="BG1029" i="1"/>
  <c r="BG1028" i="1"/>
  <c r="BG1027" i="1"/>
  <c r="BG1026" i="1"/>
  <c r="BG1025" i="1"/>
  <c r="BG1036" i="1"/>
  <c r="BG1035" i="1"/>
  <c r="BG1034" i="1"/>
  <c r="BG1033" i="1"/>
  <c r="BG1038" i="1"/>
  <c r="BG1037" i="1"/>
  <c r="BG1023" i="1"/>
  <c r="BG1022" i="1"/>
  <c r="BG1021" i="1"/>
  <c r="BG1020" i="1"/>
  <c r="BG1019" i="1"/>
  <c r="BG1018" i="1"/>
  <c r="BG1017" i="1"/>
  <c r="BG1016" i="1"/>
  <c r="BG1015" i="1"/>
  <c r="BG1014" i="1"/>
  <c r="BG1013" i="1"/>
  <c r="BG1012" i="1"/>
  <c r="BG1011" i="1"/>
  <c r="BG1010" i="1"/>
  <c r="BG1009" i="1"/>
  <c r="BG1008" i="1"/>
  <c r="BG1007" i="1"/>
  <c r="BG1006" i="1"/>
  <c r="BG1003" i="1"/>
  <c r="BG1002" i="1"/>
  <c r="BG1001" i="1"/>
  <c r="BG1000" i="1"/>
  <c r="BG999" i="1"/>
  <c r="BG998" i="1"/>
  <c r="BG1024" i="1"/>
  <c r="BG1005" i="1"/>
  <c r="BG1004" i="1"/>
  <c r="BG997" i="1"/>
  <c r="BG996" i="1"/>
  <c r="BG991" i="1"/>
  <c r="BG990" i="1"/>
  <c r="BG989" i="1"/>
  <c r="BG986" i="1"/>
  <c r="BG985" i="1"/>
  <c r="BG984" i="1"/>
  <c r="BG983" i="1"/>
  <c r="BG992" i="1"/>
  <c r="BG987" i="1"/>
  <c r="BG979" i="1"/>
  <c r="BG978" i="1"/>
  <c r="BG977" i="1"/>
  <c r="BG981" i="1"/>
  <c r="BG980" i="1"/>
  <c r="BG972" i="1"/>
  <c r="BG971" i="1"/>
  <c r="BG970" i="1"/>
  <c r="BG969" i="1"/>
  <c r="BG968" i="1"/>
  <c r="BG975" i="1"/>
  <c r="BG974" i="1"/>
  <c r="BG973" i="1"/>
  <c r="BG963" i="1"/>
  <c r="BG962" i="1"/>
  <c r="BG961" i="1"/>
  <c r="BG966" i="1"/>
  <c r="BG965" i="1"/>
  <c r="BG964" i="1"/>
  <c r="BG959" i="1"/>
  <c r="BG958" i="1"/>
  <c r="BG957" i="1"/>
  <c r="BG956" i="1"/>
  <c r="BG976" i="1"/>
  <c r="BG960" i="1"/>
  <c r="BG995" i="1"/>
  <c r="BG949" i="1"/>
  <c r="BG948" i="1"/>
  <c r="BG947" i="1"/>
  <c r="BG946" i="1"/>
  <c r="BG945" i="1"/>
  <c r="BG944" i="1"/>
  <c r="BG943" i="1"/>
  <c r="BG942" i="1"/>
  <c r="BG941" i="1"/>
  <c r="BG955" i="1"/>
  <c r="BG954" i="1"/>
  <c r="BG953" i="1"/>
  <c r="BG952" i="1"/>
  <c r="BG951" i="1"/>
  <c r="BG950" i="1"/>
  <c r="BG994" i="1"/>
  <c r="BG993" i="1"/>
  <c r="BG982" i="1"/>
  <c r="BG1187" i="1"/>
  <c r="BG936" i="1"/>
  <c r="BG935" i="1"/>
  <c r="BG934" i="1"/>
  <c r="BG933" i="1"/>
  <c r="BG932" i="1"/>
  <c r="BG928" i="1"/>
  <c r="BG927" i="1"/>
  <c r="BG925" i="1"/>
  <c r="BG924" i="1"/>
  <c r="BG923" i="1"/>
  <c r="BG922" i="1"/>
  <c r="BG921" i="1"/>
  <c r="BG937" i="1"/>
  <c r="BG931" i="1"/>
  <c r="BG930" i="1"/>
  <c r="BG929" i="1"/>
  <c r="BG939" i="1"/>
  <c r="BG938" i="1"/>
  <c r="BG914" i="1"/>
  <c r="BG913" i="1"/>
  <c r="BG912" i="1"/>
  <c r="BG911" i="1"/>
  <c r="BG910" i="1"/>
  <c r="BG909" i="1"/>
  <c r="BG908" i="1"/>
  <c r="BG907" i="1"/>
  <c r="BG918" i="1"/>
  <c r="BG917" i="1"/>
  <c r="BG916" i="1"/>
  <c r="BG915" i="1"/>
  <c r="BG920" i="1"/>
  <c r="BG919" i="1"/>
  <c r="BG901" i="1"/>
  <c r="BG900" i="1"/>
  <c r="BG899" i="1"/>
  <c r="BG898" i="1"/>
  <c r="BG897" i="1"/>
  <c r="BG904" i="1"/>
  <c r="BG903" i="1"/>
  <c r="BG902" i="1"/>
  <c r="BG905" i="1"/>
  <c r="BG894" i="1"/>
  <c r="BG893" i="1"/>
  <c r="BG892" i="1"/>
  <c r="BG891" i="1"/>
  <c r="BG890" i="1"/>
  <c r="BG896" i="1"/>
  <c r="BG895" i="1"/>
  <c r="BG940" i="1"/>
  <c r="BG883" i="1"/>
  <c r="BG887" i="1"/>
  <c r="BG886" i="1"/>
  <c r="BG885" i="1"/>
  <c r="BG880" i="1"/>
  <c r="BG879" i="1"/>
  <c r="BG878" i="1"/>
  <c r="BG877" i="1"/>
  <c r="BG876" i="1"/>
  <c r="BG875" i="1"/>
  <c r="BG884" i="1"/>
  <c r="BG882" i="1"/>
  <c r="BG881" i="1"/>
  <c r="BG869" i="1"/>
  <c r="BG868" i="1"/>
  <c r="BG870" i="1"/>
  <c r="BG866" i="1"/>
  <c r="BG865" i="1"/>
  <c r="BG864" i="1"/>
  <c r="BG863" i="1"/>
  <c r="BG862" i="1"/>
  <c r="BG861" i="1"/>
  <c r="BG857" i="1"/>
  <c r="BG859" i="1"/>
  <c r="BG858" i="1"/>
  <c r="BG856" i="1"/>
  <c r="BG867" i="1"/>
  <c r="BG860" i="1"/>
  <c r="BG855" i="1"/>
  <c r="BG854" i="1"/>
  <c r="BG852" i="1"/>
  <c r="BG851" i="1"/>
  <c r="AR12" i="6"/>
  <c r="BG850" i="1"/>
  <c r="BG849" i="1"/>
  <c r="BG848" i="1"/>
  <c r="BG847" i="1"/>
  <c r="BG846" i="1"/>
  <c r="BG845" i="1"/>
  <c r="BG871" i="1"/>
  <c r="BG842" i="1"/>
  <c r="BG841" i="1"/>
  <c r="BG840" i="1"/>
  <c r="BG839" i="1"/>
  <c r="BG844" i="1"/>
  <c r="BG843" i="1"/>
  <c r="BG838" i="1"/>
  <c r="BG828" i="1"/>
  <c r="BG834" i="1"/>
  <c r="BG833" i="1"/>
  <c r="BG832" i="1"/>
  <c r="BG831" i="1"/>
  <c r="BG830" i="1"/>
  <c r="BG836" i="1"/>
  <c r="BG835" i="1"/>
  <c r="BG824" i="1"/>
  <c r="BG823" i="1"/>
  <c r="BG822" i="1"/>
  <c r="BG821" i="1"/>
  <c r="BG820" i="1"/>
  <c r="BG819" i="1"/>
  <c r="BG829" i="1"/>
  <c r="BG827" i="1"/>
  <c r="BG826" i="1"/>
  <c r="BG837" i="1"/>
  <c r="BG816" i="1"/>
  <c r="BG815" i="1"/>
  <c r="BG814" i="1"/>
  <c r="BG813" i="1"/>
  <c r="BG818" i="1"/>
  <c r="BG817" i="1"/>
  <c r="BG810" i="1"/>
  <c r="BG809" i="1"/>
  <c r="BG808" i="1"/>
  <c r="BG807" i="1"/>
  <c r="BG811" i="1"/>
  <c r="BG806" i="1"/>
  <c r="BG805" i="1"/>
  <c r="BG795" i="1"/>
  <c r="BG794" i="1"/>
  <c r="BG793" i="1"/>
  <c r="BG801" i="1"/>
  <c r="BG800" i="1"/>
  <c r="BG799" i="1"/>
  <c r="BG798" i="1"/>
  <c r="BG797" i="1"/>
  <c r="BG796" i="1"/>
  <c r="BG804" i="1"/>
  <c r="BG803" i="1"/>
  <c r="BG802" i="1"/>
  <c r="BG789" i="1"/>
  <c r="BG788" i="1"/>
  <c r="BG787" i="1"/>
  <c r="BG786" i="1"/>
  <c r="BG785" i="1"/>
  <c r="BG784" i="1"/>
  <c r="BG792" i="1"/>
  <c r="BG791" i="1"/>
  <c r="BG790" i="1"/>
  <c r="BG781" i="1"/>
  <c r="BG780" i="1"/>
  <c r="BG779" i="1"/>
  <c r="BG778" i="1"/>
  <c r="BG783" i="1"/>
  <c r="BG782" i="1"/>
  <c r="BG873" i="1"/>
  <c r="BG774" i="1"/>
  <c r="BG773" i="1"/>
  <c r="BG772" i="1"/>
  <c r="BG771" i="1"/>
  <c r="BG770" i="1"/>
  <c r="BG769" i="1"/>
  <c r="BG768" i="1"/>
  <c r="BG767" i="1"/>
  <c r="BG766" i="1"/>
  <c r="BG765" i="1"/>
  <c r="BG812" i="1"/>
  <c r="BG777" i="1"/>
  <c r="BG776" i="1"/>
  <c r="BG775" i="1"/>
  <c r="BG874" i="1"/>
  <c r="BG872" i="1"/>
  <c r="BG889" i="1"/>
  <c r="BG888" i="1"/>
  <c r="BG757" i="1"/>
  <c r="BG756" i="1"/>
  <c r="BG755" i="1"/>
  <c r="BG758" i="1"/>
  <c r="BG753" i="1"/>
  <c r="BG752" i="1"/>
  <c r="BG754" i="1"/>
  <c r="BG751" i="1"/>
  <c r="BG744" i="1"/>
  <c r="BG764" i="1"/>
  <c r="BG747" i="1"/>
  <c r="BG746" i="1"/>
  <c r="BG745" i="1"/>
  <c r="BG743" i="1"/>
  <c r="BG749" i="1"/>
  <c r="BG748" i="1"/>
  <c r="BG750" i="1"/>
  <c r="BG742" i="1"/>
  <c r="BG732" i="1"/>
  <c r="BG738" i="1"/>
  <c r="BG737" i="1"/>
  <c r="BG736" i="1"/>
  <c r="BG735" i="1"/>
  <c r="BG733" i="1"/>
  <c r="BG731" i="1"/>
  <c r="BG741" i="1"/>
  <c r="BG740" i="1"/>
  <c r="BG739" i="1"/>
  <c r="BG727" i="1"/>
  <c r="BG726" i="1"/>
  <c r="BG725" i="1"/>
  <c r="BG724" i="1"/>
  <c r="BG723" i="1"/>
  <c r="BG722" i="1"/>
  <c r="BG718" i="1"/>
  <c r="BG721" i="1"/>
  <c r="BG720" i="1"/>
  <c r="BG719" i="1"/>
  <c r="BG717" i="1"/>
  <c r="BG716" i="1"/>
  <c r="BG713" i="1"/>
  <c r="BG712" i="1"/>
  <c r="BG711" i="1"/>
  <c r="BG729" i="1"/>
  <c r="BG728" i="1"/>
  <c r="BG715" i="1"/>
  <c r="BG714" i="1"/>
  <c r="BG707" i="1"/>
  <c r="BG706" i="1"/>
  <c r="BG705" i="1"/>
  <c r="BG704" i="1"/>
  <c r="BG703" i="1"/>
  <c r="BG702" i="1"/>
  <c r="BG701" i="1"/>
  <c r="BG709" i="1"/>
  <c r="BG708" i="1"/>
  <c r="BG700" i="1"/>
  <c r="BG699" i="1"/>
  <c r="BG698" i="1"/>
  <c r="BG697" i="1"/>
  <c r="BG696" i="1"/>
  <c r="BG695" i="1"/>
  <c r="BG653" i="1"/>
  <c r="BG654" i="1"/>
  <c r="BG655" i="1"/>
  <c r="BG656" i="1"/>
  <c r="BG657" i="1"/>
  <c r="BG658" i="1"/>
  <c r="BG659" i="1"/>
  <c r="BG660" i="1"/>
  <c r="BG661" i="1"/>
  <c r="BG662" i="1"/>
  <c r="BG663" i="1"/>
  <c r="BG664" i="1"/>
  <c r="BG665" i="1"/>
  <c r="BG666" i="1"/>
  <c r="BG667" i="1"/>
  <c r="BG668" i="1"/>
  <c r="BG669" i="1"/>
  <c r="BG670" i="1"/>
  <c r="BG671" i="1"/>
  <c r="BG672" i="1"/>
  <c r="BG673" i="1"/>
  <c r="BG674" i="1"/>
  <c r="BG675" i="1"/>
  <c r="BG676" i="1"/>
  <c r="BG677" i="1"/>
  <c r="BG678" i="1"/>
  <c r="BG679" i="1"/>
  <c r="BG680" i="1"/>
  <c r="BG681" i="1"/>
  <c r="BG682" i="1"/>
  <c r="BG683" i="1"/>
  <c r="BG684" i="1"/>
  <c r="BG685" i="1"/>
  <c r="BG686" i="1"/>
  <c r="BG687" i="1"/>
  <c r="BG688" i="1"/>
  <c r="BG689" i="1"/>
  <c r="BG690" i="1"/>
  <c r="BG692" i="1"/>
  <c r="BG693" i="1"/>
  <c r="BG694" i="1"/>
  <c r="BG710" i="1"/>
  <c r="BG730" i="1"/>
  <c r="BG759" i="1"/>
  <c r="BG760" i="1"/>
  <c r="BG761" i="1"/>
  <c r="BG647" i="1"/>
  <c r="BG642" i="1"/>
  <c r="BG643" i="1"/>
  <c r="BG644" i="1"/>
  <c r="BG762" i="1"/>
  <c r="BG763" i="1"/>
  <c r="AN355" i="2"/>
  <c r="L357" i="2"/>
  <c r="L355" i="2"/>
  <c r="R351" i="2"/>
  <c r="AN358" i="2"/>
  <c r="T348" i="2"/>
  <c r="Y349" i="2"/>
  <c r="AN359" i="2"/>
  <c r="AN356" i="2"/>
  <c r="R360" i="2"/>
  <c r="AR66" i="2"/>
  <c r="Z350" i="2"/>
  <c r="R356" i="2"/>
  <c r="AR342" i="2"/>
  <c r="BG641" i="1"/>
  <c r="BG639" i="1"/>
  <c r="BG652" i="1"/>
  <c r="BG651" i="1"/>
  <c r="BG650" i="1"/>
  <c r="AL13" i="6"/>
  <c r="AL16" i="6"/>
  <c r="L15" i="6"/>
  <c r="T15" i="6" s="1"/>
  <c r="W14" i="6"/>
  <c r="O15" i="6"/>
  <c r="W13" i="6"/>
  <c r="BG630" i="1"/>
  <c r="BG629" i="1"/>
  <c r="BG628" i="1"/>
  <c r="BG627" i="1"/>
  <c r="BG626" i="1"/>
  <c r="BG625" i="1"/>
  <c r="BG624" i="1"/>
  <c r="BG623" i="1"/>
  <c r="BG635" i="1"/>
  <c r="BG634" i="1"/>
  <c r="BG633" i="1"/>
  <c r="BG631" i="1"/>
  <c r="BG637" i="1"/>
  <c r="BG636" i="1"/>
  <c r="W15" i="6"/>
  <c r="W12" i="6"/>
  <c r="BG608" i="1"/>
  <c r="BG607" i="1"/>
  <c r="BG606" i="1"/>
  <c r="BG605" i="1"/>
  <c r="BG604" i="1"/>
  <c r="BG603" i="1"/>
  <c r="BG602" i="1"/>
  <c r="BG601" i="1"/>
  <c r="BG600" i="1"/>
  <c r="BG599" i="1"/>
  <c r="BG598" i="1"/>
  <c r="BG597" i="1"/>
  <c r="BG615" i="1"/>
  <c r="BG613" i="1"/>
  <c r="BG612" i="1"/>
  <c r="BG611" i="1"/>
  <c r="BG610" i="1"/>
  <c r="BG609" i="1"/>
  <c r="BG619" i="1"/>
  <c r="BG618" i="1"/>
  <c r="BG617" i="1"/>
  <c r="BG616" i="1"/>
  <c r="BG592" i="1"/>
  <c r="BG590" i="1"/>
  <c r="BG593" i="1"/>
  <c r="BG591" i="1"/>
  <c r="BG589" i="1"/>
  <c r="BG588" i="1"/>
  <c r="BG596" i="1"/>
  <c r="BG595" i="1"/>
  <c r="BG594" i="1"/>
  <c r="BG621" i="1"/>
  <c r="BG620" i="1"/>
  <c r="AU4" i="1"/>
  <c r="BG584" i="1"/>
  <c r="BG583" i="1"/>
  <c r="BG582" i="1"/>
  <c r="BG581" i="1"/>
  <c r="BG638" i="1"/>
  <c r="BG587" i="1"/>
  <c r="BG586" i="1"/>
  <c r="BG585" i="1"/>
  <c r="BG408" i="1"/>
  <c r="BG409" i="1"/>
  <c r="BG410" i="1"/>
  <c r="BG411" i="1"/>
  <c r="BG412" i="1"/>
  <c r="BG413" i="1"/>
  <c r="BG414" i="1"/>
  <c r="BG415" i="1"/>
  <c r="BG416" i="1"/>
  <c r="BG417" i="1"/>
  <c r="BG418" i="1"/>
  <c r="BG419" i="1"/>
  <c r="BG420" i="1"/>
  <c r="BG421" i="1"/>
  <c r="BG422" i="1"/>
  <c r="BG423" i="1"/>
  <c r="BG424" i="1"/>
  <c r="BG425" i="1"/>
  <c r="BG426" i="1"/>
  <c r="BG427" i="1"/>
  <c r="BG428" i="1"/>
  <c r="BG429" i="1"/>
  <c r="BG430" i="1"/>
  <c r="BG431" i="1"/>
  <c r="BG432" i="1"/>
  <c r="BG433" i="1"/>
  <c r="BG434" i="1"/>
  <c r="BG435" i="1"/>
  <c r="BG436" i="1"/>
  <c r="BG437" i="1"/>
  <c r="BG438" i="1"/>
  <c r="BG439" i="1"/>
  <c r="BG440" i="1"/>
  <c r="BG441" i="1"/>
  <c r="BG442" i="1"/>
  <c r="BG443" i="1"/>
  <c r="BG444" i="1"/>
  <c r="BG445" i="1"/>
  <c r="BG446" i="1"/>
  <c r="BG447" i="1"/>
  <c r="BG448" i="1"/>
  <c r="BG449" i="1"/>
  <c r="BG450" i="1"/>
  <c r="BG451" i="1"/>
  <c r="BG452" i="1"/>
  <c r="BG453" i="1"/>
  <c r="BG454" i="1"/>
  <c r="BG455" i="1"/>
  <c r="BG456" i="1"/>
  <c r="BG457" i="1"/>
  <c r="BG458" i="1"/>
  <c r="BG459" i="1"/>
  <c r="BG460" i="1"/>
  <c r="BG461" i="1"/>
  <c r="BG462" i="1"/>
  <c r="BG463" i="1"/>
  <c r="BG464" i="1"/>
  <c r="BG465" i="1"/>
  <c r="BG466" i="1"/>
  <c r="BG467" i="1"/>
  <c r="BG468" i="1"/>
  <c r="BG469" i="1"/>
  <c r="BG470" i="1"/>
  <c r="BG471" i="1"/>
  <c r="BG472" i="1"/>
  <c r="BG473" i="1"/>
  <c r="BG474" i="1"/>
  <c r="BG475" i="1"/>
  <c r="BG476" i="1"/>
  <c r="BG477" i="1"/>
  <c r="BG478" i="1"/>
  <c r="BG479" i="1"/>
  <c r="BG480" i="1"/>
  <c r="BG481" i="1"/>
  <c r="BG482" i="1"/>
  <c r="BG483" i="1"/>
  <c r="BG484" i="1"/>
  <c r="BG485" i="1"/>
  <c r="BG486" i="1"/>
  <c r="BG487" i="1"/>
  <c r="BG488" i="1"/>
  <c r="BG489" i="1"/>
  <c r="BG490" i="1"/>
  <c r="BG491" i="1"/>
  <c r="BG492" i="1"/>
  <c r="BG493" i="1"/>
  <c r="BG494" i="1"/>
  <c r="BG495" i="1"/>
  <c r="BG496" i="1"/>
  <c r="BG497" i="1"/>
  <c r="BG498" i="1"/>
  <c r="BG499" i="1"/>
  <c r="BG500" i="1"/>
  <c r="BG501" i="1"/>
  <c r="BG502" i="1"/>
  <c r="BG503" i="1"/>
  <c r="BG504" i="1"/>
  <c r="BG505" i="1"/>
  <c r="BG506" i="1"/>
  <c r="BG507" i="1"/>
  <c r="BG508" i="1"/>
  <c r="BG509" i="1"/>
  <c r="BG510" i="1"/>
  <c r="BG511" i="1"/>
  <c r="BG512" i="1"/>
  <c r="BG513" i="1"/>
  <c r="BG514" i="1"/>
  <c r="BG515" i="1"/>
  <c r="BG516" i="1"/>
  <c r="BG517" i="1"/>
  <c r="BG518" i="1"/>
  <c r="BG519" i="1"/>
  <c r="BG520" i="1"/>
  <c r="BG521" i="1"/>
  <c r="BG522" i="1"/>
  <c r="BG523" i="1"/>
  <c r="BG524" i="1"/>
  <c r="BG525" i="1"/>
  <c r="BG526" i="1"/>
  <c r="BG527" i="1"/>
  <c r="BG528" i="1"/>
  <c r="BG529" i="1"/>
  <c r="BG530" i="1"/>
  <c r="BG531" i="1"/>
  <c r="BG532" i="1"/>
  <c r="BG533" i="1"/>
  <c r="BG534" i="1"/>
  <c r="BG535" i="1"/>
  <c r="BG536" i="1"/>
  <c r="BG537" i="1"/>
  <c r="BG538" i="1"/>
  <c r="BG539" i="1"/>
  <c r="BG540" i="1"/>
  <c r="BG541" i="1"/>
  <c r="BG542" i="1"/>
  <c r="BG543" i="1"/>
  <c r="BG544" i="1"/>
  <c r="BG545" i="1"/>
  <c r="BG546" i="1"/>
  <c r="BG547" i="1"/>
  <c r="BG548" i="1"/>
  <c r="BG549" i="1"/>
  <c r="BG550" i="1"/>
  <c r="BG551" i="1"/>
  <c r="BG552" i="1"/>
  <c r="BG553" i="1"/>
  <c r="BG554" i="1"/>
  <c r="BG555" i="1"/>
  <c r="BG556" i="1"/>
  <c r="BG557" i="1"/>
  <c r="BG558" i="1"/>
  <c r="BG559" i="1"/>
  <c r="BG560" i="1"/>
  <c r="BG561" i="1"/>
  <c r="BG562" i="1"/>
  <c r="BG563" i="1"/>
  <c r="BG564" i="1"/>
  <c r="BG565" i="1"/>
  <c r="BG566" i="1"/>
  <c r="BG403" i="1"/>
  <c r="BG404" i="1"/>
  <c r="BG405" i="1"/>
  <c r="BG406" i="1"/>
  <c r="BG407" i="1"/>
  <c r="BG402" i="1"/>
  <c r="BG401" i="1"/>
  <c r="BG400" i="1"/>
  <c r="BG370" i="1"/>
  <c r="BG371" i="1"/>
  <c r="BG372" i="1"/>
  <c r="BG373" i="1"/>
  <c r="BG374" i="1"/>
  <c r="BG375" i="1"/>
  <c r="BG376" i="1"/>
  <c r="BG377" i="1"/>
  <c r="BG378" i="1"/>
  <c r="BG379" i="1"/>
  <c r="BG380" i="1"/>
  <c r="BG381" i="1"/>
  <c r="BG382" i="1"/>
  <c r="BG383" i="1"/>
  <c r="BG384" i="1"/>
  <c r="BG385" i="1"/>
  <c r="BG386" i="1"/>
  <c r="BG387" i="1"/>
  <c r="BG388" i="1"/>
  <c r="BG389" i="1"/>
  <c r="BG390" i="1"/>
  <c r="BG391" i="1"/>
  <c r="BG392" i="1"/>
  <c r="BG393" i="1"/>
  <c r="BG394" i="1"/>
  <c r="BG395" i="1"/>
  <c r="BG396" i="1"/>
  <c r="BG397" i="1"/>
  <c r="BG398" i="1"/>
  <c r="BG399" i="1"/>
  <c r="BG369" i="1"/>
  <c r="BG5"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BG327" i="1"/>
  <c r="BG328" i="1"/>
  <c r="BG329" i="1"/>
  <c r="BG330" i="1"/>
  <c r="BG331" i="1"/>
  <c r="BG332" i="1"/>
  <c r="BG333" i="1"/>
  <c r="BG334" i="1"/>
  <c r="BG335" i="1"/>
  <c r="BG336" i="1"/>
  <c r="BG337" i="1"/>
  <c r="BG338" i="1"/>
  <c r="BG339" i="1"/>
  <c r="BG340" i="1"/>
  <c r="BG341" i="1"/>
  <c r="BG342" i="1"/>
  <c r="BG343" i="1"/>
  <c r="BG344" i="1"/>
  <c r="BG345" i="1"/>
  <c r="BG346" i="1"/>
  <c r="BG347" i="1"/>
  <c r="BG348" i="1"/>
  <c r="BG349" i="1"/>
  <c r="BG350" i="1"/>
  <c r="BG351" i="1"/>
  <c r="BG352" i="1"/>
  <c r="BG353" i="1"/>
  <c r="BG354" i="1"/>
  <c r="BG355" i="1"/>
  <c r="BG356" i="1"/>
  <c r="BG357" i="1"/>
  <c r="BG358" i="1"/>
  <c r="BG359" i="1"/>
  <c r="BG360" i="1"/>
  <c r="BG361" i="1"/>
  <c r="BG362" i="1"/>
  <c r="BG363" i="1"/>
  <c r="BG364" i="1"/>
  <c r="BG365" i="1"/>
  <c r="BG366" i="1"/>
  <c r="BG367" i="1"/>
  <c r="BG368" i="1"/>
  <c r="BG4" i="1"/>
  <c r="BG567" i="1"/>
  <c r="BG568" i="1"/>
  <c r="BG569" i="1"/>
  <c r="BG570" i="1"/>
  <c r="BG571" i="1"/>
  <c r="BG572" i="1"/>
  <c r="BG573" i="1"/>
  <c r="BG574" i="1"/>
  <c r="BG575" i="1"/>
  <c r="BG576" i="1"/>
  <c r="BG577" i="1"/>
  <c r="BG578" i="1"/>
  <c r="BG579" i="1"/>
  <c r="BG580" i="1"/>
  <c r="BG640" i="1"/>
  <c r="BG645" i="1"/>
  <c r="BG646" i="1"/>
  <c r="BG648" i="1"/>
  <c r="AU540" i="1"/>
  <c r="AS13" i="6"/>
  <c r="AS9" i="6"/>
  <c r="AS6" i="6"/>
  <c r="E6" i="6"/>
  <c r="P6" i="6" s="1"/>
  <c r="AU541" i="1"/>
  <c r="AX13" i="6"/>
  <c r="AX9" i="6"/>
  <c r="AX6" i="6"/>
  <c r="AU543" i="1"/>
  <c r="AS10" i="6"/>
  <c r="AU551" i="1"/>
  <c r="AX7" i="6"/>
  <c r="AU557" i="1"/>
  <c r="AS14" i="6"/>
  <c r="AS8" i="6"/>
  <c r="AS7" i="6"/>
  <c r="AU578" i="1"/>
  <c r="AS11" i="6"/>
  <c r="E11" i="6"/>
  <c r="AG7" i="6"/>
  <c r="F14" i="6"/>
  <c r="R15" i="6"/>
  <c r="AG8" i="6"/>
  <c r="AI10" i="6"/>
  <c r="AU500" i="1"/>
  <c r="H8" i="6"/>
  <c r="Q8" i="6" s="1"/>
  <c r="Y2634" i="1"/>
  <c r="BU2382" i="1" s="1"/>
  <c r="AU329" i="1"/>
  <c r="H14" i="6"/>
  <c r="Q14" i="6" s="1"/>
  <c r="AR94" i="2"/>
  <c r="AR339" i="2" s="1"/>
  <c r="Z349" i="2"/>
  <c r="AR30" i="2"/>
  <c r="L350" i="2"/>
  <c r="T345" i="2"/>
  <c r="Y350" i="2"/>
  <c r="AU247" i="1"/>
  <c r="E14" i="6"/>
  <c r="P14" i="6" s="1"/>
  <c r="H6" i="6"/>
  <c r="Q6" i="6" s="1"/>
  <c r="H7" i="6"/>
  <c r="Q7" i="6" s="1"/>
  <c r="AU192" i="1"/>
  <c r="O12" i="6"/>
  <c r="R352" i="2"/>
  <c r="AU138" i="1"/>
  <c r="P7" i="6"/>
  <c r="AU178" i="1"/>
  <c r="H9" i="6"/>
  <c r="Q9" i="6" s="1"/>
  <c r="AU137" i="1"/>
  <c r="P8" i="6"/>
  <c r="P10" i="6"/>
  <c r="R10" i="6" s="1"/>
  <c r="E9" i="6"/>
  <c r="P9" i="6" s="1"/>
  <c r="E13" i="6"/>
  <c r="P13" i="6" s="1"/>
  <c r="AN354" i="2"/>
  <c r="AU150" i="1"/>
  <c r="H13" i="6"/>
  <c r="Q13" i="6" s="1"/>
  <c r="AU136" i="1"/>
  <c r="AU141" i="1"/>
  <c r="R359" i="2"/>
  <c r="X349" i="2"/>
  <c r="T347" i="2"/>
  <c r="L352" i="2"/>
  <c r="L351" i="2"/>
  <c r="R355" i="2"/>
  <c r="T344" i="2"/>
  <c r="AN353" i="2"/>
  <c r="L356" i="2"/>
  <c r="AR24" i="2"/>
  <c r="AN360" i="2"/>
  <c r="T23" i="6" l="1"/>
  <c r="U23" i="6"/>
  <c r="X23" i="6"/>
  <c r="X26" i="6"/>
  <c r="U26" i="6"/>
  <c r="T26" i="6"/>
  <c r="K21" i="6"/>
  <c r="L21" i="6"/>
  <c r="K22" i="6"/>
  <c r="L22" i="6"/>
  <c r="K27" i="6"/>
  <c r="L27" i="6"/>
  <c r="K28" i="6"/>
  <c r="L28" i="6"/>
  <c r="N28" i="6" a="1"/>
  <c r="N28" i="6" s="1"/>
  <c r="N27" i="6" a="1"/>
  <c r="N27" i="6" s="1"/>
  <c r="N26" i="6" a="1"/>
  <c r="N26" i="6" s="1"/>
  <c r="N25" i="6" a="1"/>
  <c r="N25" i="6" s="1"/>
  <c r="N24" i="6" a="1"/>
  <c r="N24" i="6" s="1"/>
  <c r="N23" i="6" a="1"/>
  <c r="N23" i="6" s="1"/>
  <c r="N22" i="6" a="1"/>
  <c r="N22" i="6" s="1"/>
  <c r="N21" i="6" a="1"/>
  <c r="N21" i="6" s="1"/>
  <c r="BZ211" i="1"/>
  <c r="BZ239" i="1"/>
  <c r="BZ240" i="1"/>
  <c r="BV2281" i="1"/>
  <c r="BV2382" i="1"/>
  <c r="BU2281" i="1"/>
  <c r="R19" i="6"/>
  <c r="R18" i="6"/>
  <c r="BR2281" i="1"/>
  <c r="BR2382" i="1"/>
  <c r="U20" i="6"/>
  <c r="K20" i="6"/>
  <c r="N16" i="6" a="1"/>
  <c r="N16" i="6" s="1"/>
  <c r="N15" i="6" a="1"/>
  <c r="N15" i="6" s="1"/>
  <c r="N14" i="6" a="1"/>
  <c r="N14" i="6" s="1"/>
  <c r="BY137" i="1"/>
  <c r="BY531" i="1"/>
  <c r="BX247" i="1"/>
  <c r="BX248" i="1"/>
  <c r="BX249" i="1"/>
  <c r="BX250" i="1"/>
  <c r="BX251" i="1"/>
  <c r="BX252" i="1"/>
  <c r="BX253" i="1"/>
  <c r="BX254" i="1"/>
  <c r="BX255" i="1"/>
  <c r="BX256" i="1"/>
  <c r="BX257" i="1"/>
  <c r="BX258" i="1"/>
  <c r="BX259" i="1"/>
  <c r="BX260" i="1"/>
  <c r="BX261" i="1"/>
  <c r="BX262" i="1"/>
  <c r="BX263" i="1"/>
  <c r="BX264" i="1"/>
  <c r="BX265" i="1"/>
  <c r="BX266" i="1"/>
  <c r="BX267" i="1"/>
  <c r="BX268" i="1"/>
  <c r="BX269" i="1"/>
  <c r="BX270" i="1"/>
  <c r="BX271" i="1"/>
  <c r="BX272" i="1"/>
  <c r="BX273" i="1"/>
  <c r="BX274" i="1"/>
  <c r="BX275" i="1"/>
  <c r="BX276" i="1"/>
  <c r="BX277" i="1"/>
  <c r="BX278" i="1"/>
  <c r="BX279" i="1"/>
  <c r="BX280" i="1"/>
  <c r="BX281" i="1"/>
  <c r="BX282" i="1"/>
  <c r="BX283" i="1"/>
  <c r="BX284" i="1"/>
  <c r="BX285" i="1"/>
  <c r="BX286" i="1"/>
  <c r="BX287" i="1"/>
  <c r="BX288" i="1"/>
  <c r="BX289" i="1"/>
  <c r="BX290" i="1"/>
  <c r="BX291" i="1"/>
  <c r="BX292" i="1"/>
  <c r="BX293" i="1"/>
  <c r="BX294" i="1"/>
  <c r="BX295" i="1"/>
  <c r="BX296" i="1"/>
  <c r="BX297" i="1"/>
  <c r="BX298" i="1"/>
  <c r="BX299" i="1"/>
  <c r="BX300" i="1"/>
  <c r="BX301" i="1"/>
  <c r="BX302" i="1"/>
  <c r="BX303" i="1"/>
  <c r="BX304" i="1"/>
  <c r="BX305" i="1"/>
  <c r="BX306" i="1"/>
  <c r="BX307" i="1"/>
  <c r="BX308" i="1"/>
  <c r="BX309" i="1"/>
  <c r="BX310" i="1"/>
  <c r="BX311" i="1"/>
  <c r="BX312" i="1"/>
  <c r="BX313" i="1"/>
  <c r="BX314" i="1"/>
  <c r="BX315" i="1"/>
  <c r="BX316" i="1"/>
  <c r="BX317" i="1"/>
  <c r="BX318" i="1"/>
  <c r="BX319" i="1"/>
  <c r="BX320" i="1"/>
  <c r="BX321" i="1"/>
  <c r="BX322" i="1"/>
  <c r="BX323" i="1"/>
  <c r="BX324" i="1"/>
  <c r="BX325" i="1"/>
  <c r="BX326" i="1"/>
  <c r="BX327" i="1"/>
  <c r="BX328" i="1"/>
  <c r="BY495" i="1"/>
  <c r="BY496" i="1"/>
  <c r="BY497" i="1"/>
  <c r="BY498" i="1"/>
  <c r="BY499" i="1"/>
  <c r="BY193" i="1"/>
  <c r="BY173" i="1"/>
  <c r="BY174" i="1"/>
  <c r="BY175" i="1"/>
  <c r="BY176" i="1"/>
  <c r="BY161" i="1"/>
  <c r="BY204" i="1"/>
  <c r="BY232" i="1"/>
  <c r="BY195" i="1"/>
  <c r="BY200" i="1"/>
  <c r="BY168" i="1"/>
  <c r="BY242" i="1"/>
  <c r="BY194" i="1"/>
  <c r="BY177" i="1"/>
  <c r="BY178" i="1"/>
  <c r="BY179" i="1"/>
  <c r="BY180" i="1"/>
  <c r="BY181" i="1"/>
  <c r="BY182" i="1"/>
  <c r="BY153" i="1"/>
  <c r="BY236" i="1"/>
  <c r="BY237" i="1"/>
  <c r="BY238" i="1"/>
  <c r="BY239" i="1"/>
  <c r="BY240" i="1"/>
  <c r="BY241" i="1"/>
  <c r="BY152" i="1"/>
  <c r="BY203" i="1"/>
  <c r="BY172" i="1"/>
  <c r="BY216" i="1"/>
  <c r="BY217" i="1"/>
  <c r="BY218" i="1"/>
  <c r="BY231" i="1"/>
  <c r="BY169" i="1"/>
  <c r="BY170" i="1"/>
  <c r="BY171" i="1"/>
  <c r="BY234" i="1"/>
  <c r="BY150" i="1"/>
  <c r="BY220" i="1"/>
  <c r="BY221" i="1"/>
  <c r="BY222" i="1"/>
  <c r="BY223" i="1"/>
  <c r="BY224" i="1"/>
  <c r="BY225" i="1"/>
  <c r="BY226" i="1"/>
  <c r="BY183" i="1"/>
  <c r="BY187" i="1"/>
  <c r="BY188" i="1"/>
  <c r="BY189" i="1"/>
  <c r="BY190" i="1"/>
  <c r="BY191" i="1"/>
  <c r="BY192" i="1"/>
  <c r="BY215" i="1"/>
  <c r="BY201" i="1"/>
  <c r="BY196" i="1"/>
  <c r="BY233" i="1"/>
  <c r="BY197" i="1"/>
  <c r="BY198" i="1"/>
  <c r="BY199" i="1"/>
  <c r="BY154" i="1"/>
  <c r="BY184" i="1"/>
  <c r="BY185" i="1"/>
  <c r="BY186" i="1"/>
  <c r="BY163" i="1"/>
  <c r="BY164" i="1"/>
  <c r="BY165" i="1"/>
  <c r="BY166" i="1"/>
  <c r="BY167" i="1"/>
  <c r="BY219" i="1"/>
  <c r="BY160" i="1"/>
  <c r="BY157" i="1"/>
  <c r="BY158" i="1"/>
  <c r="BY159" i="1"/>
  <c r="BY151" i="1"/>
  <c r="BY155" i="1"/>
  <c r="BY156" i="1"/>
  <c r="BY230" i="1"/>
  <c r="BY235" i="1"/>
  <c r="BY227" i="1"/>
  <c r="BY228" i="1"/>
  <c r="BY229" i="1"/>
  <c r="BY162" i="1"/>
  <c r="BY202" i="1"/>
  <c r="BY206" i="1"/>
  <c r="BY207" i="1"/>
  <c r="BY208" i="1"/>
  <c r="BY209" i="1"/>
  <c r="BY210" i="1"/>
  <c r="BY211" i="1"/>
  <c r="BY212" i="1"/>
  <c r="BY213" i="1"/>
  <c r="BY214" i="1"/>
  <c r="BY205" i="1"/>
  <c r="BY243" i="1"/>
  <c r="BY259" i="1"/>
  <c r="BY258" i="1"/>
  <c r="BY257" i="1"/>
  <c r="BY248" i="1"/>
  <c r="BY249" i="1"/>
  <c r="BY250" i="1"/>
  <c r="BY252" i="1"/>
  <c r="BY262" i="1"/>
  <c r="BY260" i="1"/>
  <c r="BY261" i="1"/>
  <c r="BY272" i="1"/>
  <c r="BY266" i="1"/>
  <c r="BY265" i="1"/>
  <c r="BY276" i="1"/>
  <c r="BY275" i="1"/>
  <c r="BY274" i="1"/>
  <c r="BY273" i="1"/>
  <c r="BY267" i="1"/>
  <c r="BY268" i="1"/>
  <c r="BY269" i="1"/>
  <c r="BY270" i="1"/>
  <c r="BY271" i="1"/>
  <c r="BY277" i="1"/>
  <c r="BY278" i="1"/>
  <c r="BY279" i="1"/>
  <c r="BY280" i="1"/>
  <c r="BY281" i="1"/>
  <c r="BY282" i="1"/>
  <c r="BY283" i="1"/>
  <c r="BY286" i="1"/>
  <c r="BY290" i="1"/>
  <c r="BY288" i="1"/>
  <c r="BY287" i="1"/>
  <c r="BY291" i="1"/>
  <c r="BY292" i="1"/>
  <c r="BY293" i="1"/>
  <c r="BY294" i="1"/>
  <c r="BY295" i="1"/>
  <c r="BY296" i="1"/>
  <c r="BY297" i="1"/>
  <c r="BY251" i="1"/>
  <c r="BY254" i="1"/>
  <c r="BY255" i="1"/>
  <c r="BY256" i="1"/>
  <c r="BY253" i="1"/>
  <c r="BY246" i="1"/>
  <c r="BY247" i="1"/>
  <c r="BY299" i="1"/>
  <c r="BY300" i="1"/>
  <c r="BY301" i="1"/>
  <c r="BY302" i="1"/>
  <c r="BY303" i="1"/>
  <c r="BY304" i="1"/>
  <c r="BY305" i="1"/>
  <c r="BY306" i="1"/>
  <c r="BY321" i="1"/>
  <c r="BY320" i="1"/>
  <c r="BY324" i="1"/>
  <c r="BY323" i="1"/>
  <c r="BY316" i="1"/>
  <c r="BY308" i="1"/>
  <c r="BY309" i="1"/>
  <c r="BY310" i="1"/>
  <c r="BY311" i="1"/>
  <c r="BY312" i="1"/>
  <c r="BY313" i="1"/>
  <c r="BY314" i="1"/>
  <c r="BY315" i="1"/>
  <c r="BY307" i="1"/>
  <c r="BY336" i="1"/>
  <c r="BY326" i="1"/>
  <c r="BY327" i="1"/>
  <c r="BY328" i="1"/>
  <c r="BY329" i="1"/>
  <c r="BY330" i="1"/>
  <c r="BY331" i="1"/>
  <c r="BY332" i="1"/>
  <c r="BY333" i="1"/>
  <c r="BY334" i="1"/>
  <c r="BY337" i="1"/>
  <c r="BY338" i="1"/>
  <c r="BY339" i="1"/>
  <c r="BY340" i="1"/>
  <c r="BY341" i="1"/>
  <c r="BY342" i="1"/>
  <c r="BY356" i="1"/>
  <c r="BY371" i="1"/>
  <c r="BY375" i="1"/>
  <c r="BY374" i="1"/>
  <c r="BY373" i="1"/>
  <c r="BY372" i="1"/>
  <c r="BY385" i="1"/>
  <c r="BY390" i="1"/>
  <c r="BY391" i="1"/>
  <c r="BY392" i="1"/>
  <c r="BY389" i="1"/>
  <c r="BY388" i="1"/>
  <c r="BY387" i="1"/>
  <c r="BY402" i="1"/>
  <c r="BY399" i="1"/>
  <c r="BY400" i="1"/>
  <c r="BY401" i="1"/>
  <c r="BY406" i="1"/>
  <c r="BY403" i="1"/>
  <c r="BY410" i="1"/>
  <c r="BY407" i="1"/>
  <c r="BY405" i="1"/>
  <c r="BY404" i="1"/>
  <c r="BY414" i="1"/>
  <c r="BY413" i="1"/>
  <c r="BY412" i="1"/>
  <c r="BY411" i="1"/>
  <c r="BY415" i="1"/>
  <c r="BY416" i="1"/>
  <c r="BY417" i="1"/>
  <c r="BY422" i="1"/>
  <c r="BY421" i="1"/>
  <c r="BY420" i="1"/>
  <c r="BY419" i="1"/>
  <c r="BY418" i="1"/>
  <c r="BY423" i="1"/>
  <c r="BY424" i="1"/>
  <c r="BY425" i="1"/>
  <c r="BY428" i="1"/>
  <c r="BY426" i="1"/>
  <c r="BY427" i="1"/>
  <c r="BY429" i="1"/>
  <c r="BY430" i="1"/>
  <c r="BY431" i="1"/>
  <c r="BY433" i="1"/>
  <c r="BY438" i="1"/>
  <c r="BY439" i="1"/>
  <c r="BY440" i="1"/>
  <c r="BY441" i="1"/>
  <c r="BY442" i="1"/>
  <c r="BY443" i="1"/>
  <c r="BY444" i="1"/>
  <c r="BY445" i="1"/>
  <c r="BY446" i="1"/>
  <c r="BY452" i="1"/>
  <c r="BY453" i="1"/>
  <c r="BY460" i="1"/>
  <c r="BY459" i="1"/>
  <c r="BY458" i="1"/>
  <c r="BY457" i="1"/>
  <c r="BY454" i="1"/>
  <c r="BY455" i="1"/>
  <c r="BY456" i="1"/>
  <c r="BY469" i="1"/>
  <c r="BY468" i="1"/>
  <c r="BY467" i="1"/>
  <c r="BY480" i="1"/>
  <c r="BY475" i="1"/>
  <c r="BY470" i="1"/>
  <c r="BY477" i="1"/>
  <c r="BY478" i="1"/>
  <c r="BY479" i="1"/>
  <c r="BY481" i="1"/>
  <c r="BY482" i="1"/>
  <c r="BY483" i="1"/>
  <c r="BY484" i="1"/>
  <c r="BY485" i="1"/>
  <c r="BY486" i="1"/>
  <c r="BY487" i="1"/>
  <c r="BY476" i="1"/>
  <c r="BY471" i="1"/>
  <c r="BY472" i="1"/>
  <c r="BY473" i="1"/>
  <c r="BY474" i="1"/>
  <c r="BY494" i="1"/>
  <c r="BY492" i="1"/>
  <c r="BY490" i="1"/>
  <c r="BY491" i="1"/>
  <c r="BY489" i="1"/>
  <c r="BY488" i="1"/>
  <c r="BY493" i="1"/>
  <c r="BY408" i="1"/>
  <c r="BY344" i="1"/>
  <c r="BY345" i="1"/>
  <c r="BY346" i="1"/>
  <c r="BY347" i="1"/>
  <c r="BY348" i="1"/>
  <c r="BY349" i="1"/>
  <c r="BY350" i="1"/>
  <c r="BY351" i="1"/>
  <c r="BY352" i="1"/>
  <c r="BY353" i="1"/>
  <c r="BY354" i="1"/>
  <c r="BY343" i="1"/>
  <c r="BY376" i="1"/>
  <c r="BY377" i="1"/>
  <c r="BY386" i="1"/>
  <c r="BY263" i="1"/>
  <c r="BY264" i="1"/>
  <c r="BY244" i="1"/>
  <c r="BY245" i="1"/>
  <c r="BY434" i="1"/>
  <c r="BY357" i="1"/>
  <c r="BY358" i="1"/>
  <c r="BY359" i="1"/>
  <c r="BY360" i="1"/>
  <c r="BY361" i="1"/>
  <c r="BY362" i="1"/>
  <c r="BY363" i="1"/>
  <c r="BY364" i="1"/>
  <c r="BY365" i="1"/>
  <c r="BY366" i="1"/>
  <c r="BY367" i="1"/>
  <c r="BY325" i="1"/>
  <c r="BY435" i="1"/>
  <c r="BY436" i="1"/>
  <c r="BY437" i="1"/>
  <c r="BY409" i="1"/>
  <c r="BY432" i="1"/>
  <c r="BY382" i="1"/>
  <c r="BY451" i="1"/>
  <c r="BY398" i="1"/>
  <c r="BY298" i="1"/>
  <c r="BY285" i="1"/>
  <c r="BY289" i="1"/>
  <c r="BY284" i="1"/>
  <c r="BY381" i="1"/>
  <c r="BY378" i="1"/>
  <c r="BY379" i="1"/>
  <c r="BY317" i="1"/>
  <c r="BY396" i="1"/>
  <c r="BY397" i="1"/>
  <c r="BY380" i="1"/>
  <c r="BY322" i="1"/>
  <c r="BY368" i="1"/>
  <c r="BY369" i="1"/>
  <c r="BY370" i="1"/>
  <c r="BY447" i="1"/>
  <c r="BY450" i="1"/>
  <c r="BY449" i="1"/>
  <c r="BY355" i="1"/>
  <c r="BY448" i="1"/>
  <c r="BX102" i="1"/>
  <c r="BX103" i="1"/>
  <c r="BX104" i="1"/>
  <c r="BX105" i="1"/>
  <c r="BX106" i="1"/>
  <c r="BX107" i="1"/>
  <c r="BX108" i="1"/>
  <c r="BX109" i="1"/>
  <c r="BX110" i="1"/>
  <c r="BX111" i="1"/>
  <c r="BX112" i="1"/>
  <c r="BX113" i="1"/>
  <c r="BX114" i="1"/>
  <c r="BX115" i="1"/>
  <c r="BX116" i="1"/>
  <c r="BX117" i="1"/>
  <c r="BX118" i="1"/>
  <c r="BX119" i="1"/>
  <c r="BX120" i="1"/>
  <c r="BX121" i="1"/>
  <c r="BX122" i="1"/>
  <c r="BX123" i="1"/>
  <c r="BX124" i="1"/>
  <c r="BX125" i="1"/>
  <c r="BX126" i="1"/>
  <c r="BX127" i="1"/>
  <c r="BX128" i="1"/>
  <c r="BX129" i="1"/>
  <c r="BX130" i="1"/>
  <c r="BX131" i="1"/>
  <c r="BX132" i="1"/>
  <c r="BX133" i="1"/>
  <c r="BX134" i="1"/>
  <c r="BX135" i="1"/>
  <c r="BX136" i="1"/>
  <c r="BX137" i="1"/>
  <c r="BX138" i="1"/>
  <c r="BX139" i="1"/>
  <c r="BX140" i="1"/>
  <c r="BX141" i="1"/>
  <c r="BX142" i="1"/>
  <c r="BX143" i="1"/>
  <c r="BX144" i="1"/>
  <c r="BX145" i="1"/>
  <c r="BX146" i="1"/>
  <c r="BX147" i="1"/>
  <c r="BX148" i="1"/>
  <c r="BX149" i="1"/>
  <c r="BX150" i="1"/>
  <c r="BX151" i="1"/>
  <c r="BX152" i="1"/>
  <c r="BX153" i="1"/>
  <c r="BX154" i="1"/>
  <c r="BX155" i="1"/>
  <c r="BX156" i="1"/>
  <c r="BX157" i="1"/>
  <c r="BX158" i="1"/>
  <c r="BX159" i="1"/>
  <c r="BX160" i="1"/>
  <c r="BX161" i="1"/>
  <c r="BX162" i="1"/>
  <c r="BX163" i="1"/>
  <c r="BX164" i="1"/>
  <c r="BX165" i="1"/>
  <c r="BX166" i="1"/>
  <c r="BX167" i="1"/>
  <c r="BX168" i="1"/>
  <c r="BX169" i="1"/>
  <c r="BX170" i="1"/>
  <c r="BX171" i="1"/>
  <c r="BX172" i="1"/>
  <c r="BX173" i="1"/>
  <c r="BX174" i="1"/>
  <c r="BX175" i="1"/>
  <c r="BX176" i="1"/>
  <c r="BX177" i="1"/>
  <c r="BX178" i="1"/>
  <c r="BX179" i="1"/>
  <c r="BX180" i="1"/>
  <c r="BX181" i="1"/>
  <c r="BX182" i="1"/>
  <c r="BX183" i="1"/>
  <c r="BX184" i="1"/>
  <c r="BX185" i="1"/>
  <c r="BX186" i="1"/>
  <c r="BX187" i="1"/>
  <c r="BX188" i="1"/>
  <c r="BX189" i="1"/>
  <c r="BX190" i="1"/>
  <c r="BX191" i="1"/>
  <c r="BX192" i="1"/>
  <c r="BX193" i="1"/>
  <c r="BX194" i="1"/>
  <c r="BX195" i="1"/>
  <c r="BX196" i="1"/>
  <c r="BX197" i="1"/>
  <c r="BX198" i="1"/>
  <c r="BX199" i="1"/>
  <c r="BX200" i="1"/>
  <c r="BX201" i="1"/>
  <c r="BX202" i="1"/>
  <c r="BX203" i="1"/>
  <c r="BX204" i="1"/>
  <c r="BX205" i="1"/>
  <c r="BX206" i="1"/>
  <c r="BX207" i="1"/>
  <c r="BX208" i="1"/>
  <c r="BX209" i="1"/>
  <c r="BX210" i="1"/>
  <c r="BX211" i="1"/>
  <c r="BX212" i="1"/>
  <c r="BX213" i="1"/>
  <c r="BX214" i="1"/>
  <c r="BX215" i="1"/>
  <c r="BX216" i="1"/>
  <c r="BX217" i="1"/>
  <c r="BX218" i="1"/>
  <c r="BX219" i="1"/>
  <c r="BX220" i="1"/>
  <c r="BX221" i="1"/>
  <c r="BX222" i="1"/>
  <c r="BX223" i="1"/>
  <c r="BX224" i="1"/>
  <c r="BX225" i="1"/>
  <c r="BX226" i="1"/>
  <c r="BX227" i="1"/>
  <c r="BX228" i="1"/>
  <c r="BX229" i="1"/>
  <c r="BX230" i="1"/>
  <c r="BX231" i="1"/>
  <c r="BX232" i="1"/>
  <c r="BX233" i="1"/>
  <c r="BX234" i="1"/>
  <c r="BX235" i="1"/>
  <c r="BX236" i="1"/>
  <c r="BX237" i="1"/>
  <c r="BX238" i="1"/>
  <c r="BX239" i="1"/>
  <c r="BX240" i="1"/>
  <c r="BX241" i="1"/>
  <c r="BX242" i="1"/>
  <c r="BX243" i="1"/>
  <c r="BX244" i="1"/>
  <c r="BX245" i="1"/>
  <c r="BX246" i="1"/>
  <c r="BX64" i="1"/>
  <c r="BX65" i="1"/>
  <c r="BX66" i="1"/>
  <c r="BX67" i="1"/>
  <c r="BX68" i="1"/>
  <c r="BX69" i="1"/>
  <c r="BX70" i="1"/>
  <c r="BX71" i="1"/>
  <c r="BX72" i="1"/>
  <c r="BX73" i="1"/>
  <c r="BX74" i="1"/>
  <c r="BX75" i="1"/>
  <c r="BX26" i="1"/>
  <c r="BX27" i="1"/>
  <c r="BX28" i="1"/>
  <c r="BX29" i="1"/>
  <c r="BX30" i="1"/>
  <c r="BX31" i="1"/>
  <c r="BX32" i="1"/>
  <c r="BX33" i="1"/>
  <c r="BX34" i="1"/>
  <c r="BX76" i="1"/>
  <c r="BX77" i="1"/>
  <c r="BX78" i="1"/>
  <c r="BX79" i="1"/>
  <c r="BX62" i="1"/>
  <c r="BX63" i="1"/>
  <c r="BX3" i="1"/>
  <c r="BX4" i="1"/>
  <c r="BX5" i="1"/>
  <c r="BX6" i="1"/>
  <c r="BX7" i="1"/>
  <c r="BX8" i="1"/>
  <c r="BX9" i="1"/>
  <c r="BX10" i="1"/>
  <c r="BX11" i="1"/>
  <c r="BX12" i="1"/>
  <c r="BX13" i="1"/>
  <c r="BX14" i="1"/>
  <c r="BX15" i="1"/>
  <c r="BX16" i="1"/>
  <c r="BX17" i="1"/>
  <c r="BX18" i="1"/>
  <c r="BX19" i="1"/>
  <c r="BX20" i="1"/>
  <c r="BX21" i="1"/>
  <c r="BX22" i="1"/>
  <c r="BX23" i="1"/>
  <c r="BX24" i="1"/>
  <c r="BX25" i="1"/>
  <c r="BX35" i="1"/>
  <c r="BX36" i="1"/>
  <c r="BX37" i="1"/>
  <c r="BX38" i="1"/>
  <c r="BX39" i="1"/>
  <c r="BX40" i="1"/>
  <c r="BX41" i="1"/>
  <c r="BX42" i="1"/>
  <c r="BX43" i="1"/>
  <c r="BX44" i="1"/>
  <c r="BX45" i="1"/>
  <c r="BX46" i="1"/>
  <c r="BX47" i="1"/>
  <c r="BX48" i="1"/>
  <c r="BX49" i="1"/>
  <c r="BX50" i="1"/>
  <c r="BX51" i="1"/>
  <c r="BX52" i="1"/>
  <c r="BX53" i="1"/>
  <c r="BX54" i="1"/>
  <c r="BX55" i="1"/>
  <c r="BX56" i="1"/>
  <c r="BX57" i="1"/>
  <c r="BX58" i="1"/>
  <c r="BX59" i="1"/>
  <c r="BX60" i="1"/>
  <c r="BX61" i="1"/>
  <c r="BX80" i="1"/>
  <c r="BX81" i="1"/>
  <c r="BX82" i="1"/>
  <c r="BX83" i="1"/>
  <c r="BX84" i="1"/>
  <c r="BX85" i="1"/>
  <c r="BX86" i="1"/>
  <c r="BX87" i="1"/>
  <c r="BX88" i="1"/>
  <c r="BX89" i="1"/>
  <c r="BX90" i="1"/>
  <c r="BX91" i="1"/>
  <c r="BX92" i="1"/>
  <c r="BX93" i="1"/>
  <c r="BX94" i="1"/>
  <c r="BX95" i="1"/>
  <c r="BX96" i="1"/>
  <c r="BX97" i="1"/>
  <c r="BX98" i="1"/>
  <c r="BX99" i="1"/>
  <c r="BX100" i="1"/>
  <c r="BX101" i="1"/>
  <c r="BY548" i="1"/>
  <c r="BY549" i="1"/>
  <c r="BY550" i="1"/>
  <c r="BY543" i="1"/>
  <c r="BY544" i="1"/>
  <c r="BY545" i="1"/>
  <c r="BY546" i="1"/>
  <c r="BY547" i="1"/>
  <c r="BY149" i="1"/>
  <c r="BY139" i="1"/>
  <c r="BY138" i="1"/>
  <c r="BY145" i="1"/>
  <c r="BY146" i="1"/>
  <c r="BY147" i="1"/>
  <c r="BY148" i="1"/>
  <c r="BY140" i="1"/>
  <c r="BY141" i="1"/>
  <c r="BY144" i="1"/>
  <c r="BY143" i="1"/>
  <c r="BY142" i="1"/>
  <c r="BY136" i="1"/>
  <c r="BX507" i="1"/>
  <c r="BX508" i="1"/>
  <c r="BX509" i="1"/>
  <c r="BX510" i="1"/>
  <c r="BX511" i="1"/>
  <c r="BX512" i="1"/>
  <c r="BX513" i="1"/>
  <c r="BX514" i="1"/>
  <c r="BX515" i="1"/>
  <c r="BX516" i="1"/>
  <c r="BX517" i="1"/>
  <c r="BX518" i="1"/>
  <c r="BX519" i="1"/>
  <c r="BX520" i="1"/>
  <c r="BX521" i="1"/>
  <c r="BX522" i="1"/>
  <c r="BX523" i="1"/>
  <c r="BX524" i="1"/>
  <c r="BX525" i="1"/>
  <c r="BX526" i="1"/>
  <c r="BX527" i="1"/>
  <c r="BX528" i="1"/>
  <c r="BX529" i="1"/>
  <c r="BX530" i="1"/>
  <c r="BX531" i="1"/>
  <c r="BX532" i="1"/>
  <c r="BX533" i="1"/>
  <c r="BX534" i="1"/>
  <c r="BX535" i="1"/>
  <c r="BX536" i="1"/>
  <c r="BX537" i="1"/>
  <c r="BX538" i="1"/>
  <c r="BX539" i="1"/>
  <c r="BX540" i="1"/>
  <c r="BX541" i="1"/>
  <c r="BX542" i="1"/>
  <c r="BX543" i="1"/>
  <c r="BX544" i="1"/>
  <c r="BX545" i="1"/>
  <c r="BX546" i="1"/>
  <c r="BX547" i="1"/>
  <c r="BX548" i="1"/>
  <c r="BX549" i="1"/>
  <c r="BX550" i="1"/>
  <c r="BX551" i="1"/>
  <c r="BX552" i="1"/>
  <c r="BX553" i="1"/>
  <c r="BX554" i="1"/>
  <c r="BX555" i="1"/>
  <c r="BX556" i="1"/>
  <c r="BX348" i="1"/>
  <c r="BX345" i="1"/>
  <c r="BX346" i="1"/>
  <c r="BX347" i="1"/>
  <c r="BX342" i="1"/>
  <c r="BX343" i="1"/>
  <c r="BX344" i="1"/>
  <c r="BX329" i="1"/>
  <c r="BX330" i="1"/>
  <c r="BX331" i="1"/>
  <c r="BX332" i="1"/>
  <c r="BX333" i="1"/>
  <c r="BX334" i="1"/>
  <c r="BX335" i="1"/>
  <c r="BX336" i="1"/>
  <c r="BX337" i="1"/>
  <c r="BX338" i="1"/>
  <c r="BX339" i="1"/>
  <c r="BX340" i="1"/>
  <c r="BX341" i="1"/>
  <c r="BX349" i="1"/>
  <c r="BX350" i="1"/>
  <c r="BX351" i="1"/>
  <c r="BX352" i="1"/>
  <c r="BX353" i="1"/>
  <c r="BX354" i="1"/>
  <c r="BX355" i="1"/>
  <c r="BX356" i="1"/>
  <c r="BX357" i="1"/>
  <c r="BX358" i="1"/>
  <c r="BX359" i="1"/>
  <c r="BX360" i="1"/>
  <c r="BX361" i="1"/>
  <c r="BX362" i="1"/>
  <c r="BX363" i="1"/>
  <c r="BX364" i="1"/>
  <c r="BX365" i="1"/>
  <c r="BX366" i="1"/>
  <c r="BX367" i="1"/>
  <c r="BX368" i="1"/>
  <c r="BX369" i="1"/>
  <c r="BX370" i="1"/>
  <c r="BX371" i="1"/>
  <c r="BX372" i="1"/>
  <c r="BX373" i="1"/>
  <c r="BX374" i="1"/>
  <c r="BX375" i="1"/>
  <c r="BX376" i="1"/>
  <c r="BX377" i="1"/>
  <c r="BX378" i="1"/>
  <c r="BX379" i="1"/>
  <c r="BX380" i="1"/>
  <c r="BX381" i="1"/>
  <c r="BX382" i="1"/>
  <c r="BX383" i="1"/>
  <c r="BX384" i="1"/>
  <c r="BX385" i="1"/>
  <c r="BX386" i="1"/>
  <c r="BX387" i="1"/>
  <c r="BX388" i="1"/>
  <c r="BX389" i="1"/>
  <c r="BX390" i="1"/>
  <c r="BX391" i="1"/>
  <c r="BX392" i="1"/>
  <c r="BX393" i="1"/>
  <c r="BX394" i="1"/>
  <c r="BX395" i="1"/>
  <c r="BX396" i="1"/>
  <c r="BX397" i="1"/>
  <c r="BX398" i="1"/>
  <c r="BX399" i="1"/>
  <c r="BX400" i="1"/>
  <c r="BX401" i="1"/>
  <c r="BX402" i="1"/>
  <c r="BX403" i="1"/>
  <c r="BX404" i="1"/>
  <c r="BX405" i="1"/>
  <c r="BX406" i="1"/>
  <c r="BX407" i="1"/>
  <c r="BX408" i="1"/>
  <c r="BX409" i="1"/>
  <c r="BX410" i="1"/>
  <c r="BX411" i="1"/>
  <c r="BX412" i="1"/>
  <c r="BX413" i="1"/>
  <c r="BX414" i="1"/>
  <c r="BX415" i="1"/>
  <c r="BX416" i="1"/>
  <c r="BX417" i="1"/>
  <c r="BX418" i="1"/>
  <c r="BX419" i="1"/>
  <c r="BX420" i="1"/>
  <c r="BX421" i="1"/>
  <c r="BX422" i="1"/>
  <c r="BX423" i="1"/>
  <c r="BX424" i="1"/>
  <c r="BX425" i="1"/>
  <c r="BX426" i="1"/>
  <c r="BX427" i="1"/>
  <c r="BX428" i="1"/>
  <c r="BX429" i="1"/>
  <c r="BX430" i="1"/>
  <c r="BX431" i="1"/>
  <c r="BX432" i="1"/>
  <c r="BX433" i="1"/>
  <c r="BX434" i="1"/>
  <c r="BX435" i="1"/>
  <c r="BX436" i="1"/>
  <c r="BX437" i="1"/>
  <c r="BX438" i="1"/>
  <c r="BX439" i="1"/>
  <c r="BX440" i="1"/>
  <c r="BX441" i="1"/>
  <c r="BX442" i="1"/>
  <c r="BX443" i="1"/>
  <c r="BX444" i="1"/>
  <c r="BX445" i="1"/>
  <c r="BX446" i="1"/>
  <c r="BX447" i="1"/>
  <c r="BX448" i="1"/>
  <c r="BX449" i="1"/>
  <c r="BX450" i="1"/>
  <c r="BX451" i="1"/>
  <c r="BX452" i="1"/>
  <c r="BX453" i="1"/>
  <c r="BX454" i="1"/>
  <c r="BX455" i="1"/>
  <c r="BX456" i="1"/>
  <c r="BX457" i="1"/>
  <c r="BX458" i="1"/>
  <c r="BX459" i="1"/>
  <c r="BX460" i="1"/>
  <c r="BX461" i="1"/>
  <c r="BX462" i="1"/>
  <c r="BX463" i="1"/>
  <c r="BX464" i="1"/>
  <c r="BX465" i="1"/>
  <c r="BX466" i="1"/>
  <c r="BX467" i="1"/>
  <c r="BX468" i="1"/>
  <c r="BX469" i="1"/>
  <c r="BX470" i="1"/>
  <c r="BX471" i="1"/>
  <c r="BX472" i="1"/>
  <c r="BX473" i="1"/>
  <c r="BX474" i="1"/>
  <c r="BX475" i="1"/>
  <c r="BX476" i="1"/>
  <c r="BX477" i="1"/>
  <c r="BX478" i="1"/>
  <c r="BX479" i="1"/>
  <c r="BX480" i="1"/>
  <c r="BX481" i="1"/>
  <c r="BX482" i="1"/>
  <c r="BX483" i="1"/>
  <c r="BX484" i="1"/>
  <c r="BX485" i="1"/>
  <c r="BX486" i="1"/>
  <c r="BX487" i="1"/>
  <c r="BX488" i="1"/>
  <c r="BX489" i="1"/>
  <c r="BX490" i="1"/>
  <c r="BX491" i="1"/>
  <c r="BX492" i="1"/>
  <c r="BX493" i="1"/>
  <c r="BX494" i="1"/>
  <c r="BX495" i="1"/>
  <c r="BX496" i="1"/>
  <c r="BX497" i="1"/>
  <c r="BX498" i="1"/>
  <c r="BX499" i="1"/>
  <c r="BX500" i="1"/>
  <c r="BX501" i="1"/>
  <c r="BX502" i="1"/>
  <c r="BX503" i="1"/>
  <c r="BX504" i="1"/>
  <c r="BX505" i="1"/>
  <c r="BX506" i="1"/>
  <c r="BY465" i="1"/>
  <c r="BY462" i="1"/>
  <c r="BY335" i="1"/>
  <c r="BY535" i="1"/>
  <c r="BY532" i="1"/>
  <c r="BY319" i="1"/>
  <c r="BY394" i="1"/>
  <c r="BZ113" i="1"/>
  <c r="BZ114" i="1"/>
  <c r="BZ115" i="1"/>
  <c r="BZ116" i="1"/>
  <c r="BZ117" i="1"/>
  <c r="BZ118" i="1"/>
  <c r="BZ119" i="1"/>
  <c r="BZ120" i="1"/>
  <c r="BZ121" i="1"/>
  <c r="BZ122" i="1"/>
  <c r="BZ123" i="1"/>
  <c r="BZ124" i="1"/>
  <c r="BZ125" i="1"/>
  <c r="BZ126" i="1"/>
  <c r="BZ127" i="1"/>
  <c r="BZ128" i="1"/>
  <c r="BZ129" i="1"/>
  <c r="BZ130" i="1"/>
  <c r="BZ131" i="1"/>
  <c r="BZ132" i="1"/>
  <c r="BZ133" i="1"/>
  <c r="BZ134" i="1"/>
  <c r="BZ135" i="1"/>
  <c r="BZ136" i="1"/>
  <c r="BZ137" i="1"/>
  <c r="BZ138" i="1"/>
  <c r="BZ139" i="1"/>
  <c r="BZ140" i="1"/>
  <c r="BZ3" i="1"/>
  <c r="BZ4" i="1"/>
  <c r="BZ5" i="1"/>
  <c r="BZ6" i="1"/>
  <c r="BZ7" i="1"/>
  <c r="BZ8" i="1"/>
  <c r="BZ9" i="1"/>
  <c r="BZ10" i="1"/>
  <c r="BZ11" i="1"/>
  <c r="BZ12" i="1"/>
  <c r="BZ13" i="1"/>
  <c r="BZ14" i="1"/>
  <c r="BZ15" i="1"/>
  <c r="BZ16" i="1"/>
  <c r="BZ17" i="1"/>
  <c r="BZ18" i="1"/>
  <c r="BZ19" i="1"/>
  <c r="BZ20" i="1"/>
  <c r="BZ21" i="1"/>
  <c r="BZ22" i="1"/>
  <c r="BZ23" i="1"/>
  <c r="BZ24" i="1"/>
  <c r="BZ25" i="1"/>
  <c r="BZ26" i="1"/>
  <c r="BZ27" i="1"/>
  <c r="BZ28" i="1"/>
  <c r="BZ29" i="1"/>
  <c r="BZ30" i="1"/>
  <c r="BZ31" i="1"/>
  <c r="BZ32" i="1"/>
  <c r="BZ33" i="1"/>
  <c r="BZ34" i="1"/>
  <c r="BZ35" i="1"/>
  <c r="BZ36" i="1"/>
  <c r="BZ37" i="1"/>
  <c r="BZ38" i="1"/>
  <c r="BZ39" i="1"/>
  <c r="BZ40" i="1"/>
  <c r="BZ41" i="1"/>
  <c r="BZ42" i="1"/>
  <c r="BZ43" i="1"/>
  <c r="BZ44" i="1"/>
  <c r="BZ45" i="1"/>
  <c r="BZ46" i="1"/>
  <c r="BZ47" i="1"/>
  <c r="BZ48" i="1"/>
  <c r="BZ49" i="1"/>
  <c r="BZ50" i="1"/>
  <c r="BZ51" i="1"/>
  <c r="BZ52" i="1"/>
  <c r="BZ53" i="1"/>
  <c r="BZ54" i="1"/>
  <c r="BZ55" i="1"/>
  <c r="BZ56" i="1"/>
  <c r="BZ57" i="1"/>
  <c r="BZ58" i="1"/>
  <c r="BZ59" i="1"/>
  <c r="BZ60" i="1"/>
  <c r="BZ61" i="1"/>
  <c r="BZ62" i="1"/>
  <c r="BZ63" i="1"/>
  <c r="BZ64" i="1"/>
  <c r="BZ65" i="1"/>
  <c r="BZ66" i="1"/>
  <c r="BZ67" i="1"/>
  <c r="BZ68" i="1"/>
  <c r="BZ69" i="1"/>
  <c r="BZ70" i="1"/>
  <c r="BZ71" i="1"/>
  <c r="BZ72" i="1"/>
  <c r="BZ73" i="1"/>
  <c r="BZ74" i="1"/>
  <c r="BZ75" i="1"/>
  <c r="BZ76" i="1"/>
  <c r="BZ77" i="1"/>
  <c r="BZ78" i="1"/>
  <c r="BZ79" i="1"/>
  <c r="BZ80" i="1"/>
  <c r="BZ81" i="1"/>
  <c r="BZ82" i="1"/>
  <c r="BZ83" i="1"/>
  <c r="BZ84" i="1"/>
  <c r="BZ85" i="1"/>
  <c r="BZ86" i="1"/>
  <c r="BZ87" i="1"/>
  <c r="BZ88" i="1"/>
  <c r="BZ89" i="1"/>
  <c r="BZ90" i="1"/>
  <c r="BZ91" i="1"/>
  <c r="BZ92" i="1"/>
  <c r="BZ93" i="1"/>
  <c r="BZ94" i="1"/>
  <c r="BZ95" i="1"/>
  <c r="BZ96" i="1"/>
  <c r="BZ97" i="1"/>
  <c r="BZ98" i="1"/>
  <c r="BZ99" i="1"/>
  <c r="BZ100" i="1"/>
  <c r="BZ101" i="1"/>
  <c r="BZ102" i="1"/>
  <c r="BZ103" i="1"/>
  <c r="BZ104" i="1"/>
  <c r="BZ105" i="1"/>
  <c r="BZ106" i="1"/>
  <c r="BZ107" i="1"/>
  <c r="BZ108" i="1"/>
  <c r="BZ109" i="1"/>
  <c r="BZ110" i="1"/>
  <c r="BZ111" i="1"/>
  <c r="BZ112" i="1"/>
  <c r="BY128" i="1"/>
  <c r="BY129" i="1"/>
  <c r="BY130" i="1"/>
  <c r="BY131" i="1"/>
  <c r="BY132" i="1"/>
  <c r="BY133" i="1"/>
  <c r="BY134" i="1"/>
  <c r="BY135" i="1"/>
  <c r="BY94" i="1"/>
  <c r="BY60" i="1"/>
  <c r="BY74" i="1"/>
  <c r="BY48" i="1"/>
  <c r="BY115" i="1"/>
  <c r="BY54" i="1"/>
  <c r="BY69" i="1"/>
  <c r="BY70" i="1"/>
  <c r="BY40" i="1"/>
  <c r="BY23" i="1"/>
  <c r="BY32" i="1"/>
  <c r="BY33" i="1"/>
  <c r="BY34" i="1"/>
  <c r="BY35" i="1"/>
  <c r="BY36" i="1"/>
  <c r="BY37" i="1"/>
  <c r="BY38" i="1"/>
  <c r="BY39" i="1"/>
  <c r="BY11" i="1"/>
  <c r="BY12" i="1"/>
  <c r="BY13" i="1"/>
  <c r="BY123" i="1"/>
  <c r="BY56" i="1"/>
  <c r="BY30" i="1"/>
  <c r="BY24" i="1"/>
  <c r="BY25" i="1"/>
  <c r="BY26" i="1"/>
  <c r="BY122" i="1"/>
  <c r="BY59" i="1"/>
  <c r="BY29" i="1"/>
  <c r="BY5" i="1"/>
  <c r="BY106" i="1"/>
  <c r="BY51" i="1"/>
  <c r="BY52" i="1"/>
  <c r="BY14" i="1"/>
  <c r="BY15" i="1"/>
  <c r="BY71" i="1"/>
  <c r="BY121" i="1"/>
  <c r="BY63" i="1"/>
  <c r="BY64" i="1"/>
  <c r="BY65" i="1"/>
  <c r="BY66" i="1"/>
  <c r="BY67" i="1"/>
  <c r="BY28" i="1"/>
  <c r="BY124" i="1"/>
  <c r="BY97" i="1"/>
  <c r="BY93" i="1"/>
  <c r="BY55" i="1"/>
  <c r="BY92" i="1"/>
  <c r="BY105" i="1"/>
  <c r="BY96" i="1"/>
  <c r="BY58" i="1"/>
  <c r="BY100" i="1"/>
  <c r="BY89" i="1"/>
  <c r="BY90" i="1"/>
  <c r="BY91" i="1"/>
  <c r="BY75" i="1"/>
  <c r="BY76" i="1"/>
  <c r="BY77" i="1"/>
  <c r="BY78" i="1"/>
  <c r="BY79" i="1"/>
  <c r="BY80" i="1"/>
  <c r="BY81" i="1"/>
  <c r="BY82" i="1"/>
  <c r="BY73" i="1"/>
  <c r="BY19" i="1"/>
  <c r="BY20" i="1"/>
  <c r="BY21" i="1"/>
  <c r="BY68" i="1"/>
  <c r="BY53" i="1"/>
  <c r="BY83" i="1"/>
  <c r="BY84" i="1"/>
  <c r="BY85" i="1"/>
  <c r="BY86" i="1"/>
  <c r="BY61" i="1"/>
  <c r="BY62" i="1"/>
  <c r="BY118" i="1"/>
  <c r="BY16" i="1"/>
  <c r="BY7" i="1"/>
  <c r="BY116" i="1"/>
  <c r="BY117" i="1"/>
  <c r="BY41" i="1"/>
  <c r="BY31" i="1"/>
  <c r="BY42" i="1"/>
  <c r="BY43" i="1"/>
  <c r="BY44" i="1"/>
  <c r="BY45" i="1"/>
  <c r="BY46" i="1"/>
  <c r="BY47" i="1"/>
  <c r="BY107" i="1"/>
  <c r="BY108" i="1"/>
  <c r="BY109" i="1"/>
  <c r="BY110" i="1"/>
  <c r="BY4" i="1"/>
  <c r="BY6" i="1"/>
  <c r="BY125" i="1"/>
  <c r="BY126" i="1"/>
  <c r="BY18" i="1"/>
  <c r="BY87" i="1"/>
  <c r="BY27" i="1"/>
  <c r="BY95" i="1"/>
  <c r="BY98" i="1"/>
  <c r="BY99" i="1"/>
  <c r="BY72" i="1"/>
  <c r="BY49" i="1"/>
  <c r="BY101" i="1"/>
  <c r="BY102" i="1"/>
  <c r="BY103" i="1"/>
  <c r="BY104" i="1"/>
  <c r="BY127" i="1"/>
  <c r="BY57" i="1"/>
  <c r="BY111" i="1"/>
  <c r="BY112" i="1"/>
  <c r="BY113" i="1"/>
  <c r="BY114" i="1"/>
  <c r="BY8" i="1"/>
  <c r="BY9" i="1"/>
  <c r="BY10" i="1"/>
  <c r="BY119" i="1"/>
  <c r="BY120" i="1"/>
  <c r="BY88" i="1"/>
  <c r="BY22" i="1"/>
  <c r="BY50" i="1"/>
  <c r="BY17" i="1"/>
  <c r="AR10" i="6"/>
  <c r="BY542" i="1"/>
  <c r="BY541" i="1"/>
  <c r="BY3" i="1"/>
  <c r="BY384" i="1"/>
  <c r="BY464" i="1"/>
  <c r="BY461" i="1"/>
  <c r="BY537" i="1"/>
  <c r="BY534" i="1"/>
  <c r="BY318" i="1"/>
  <c r="BY393" i="1"/>
  <c r="BZ188" i="1"/>
  <c r="BZ189" i="1"/>
  <c r="BZ190" i="1"/>
  <c r="BZ191" i="1"/>
  <c r="BZ185" i="1"/>
  <c r="BZ186" i="1"/>
  <c r="BZ187" i="1"/>
  <c r="BZ178" i="1"/>
  <c r="BZ179" i="1"/>
  <c r="BZ180" i="1"/>
  <c r="BZ181" i="1"/>
  <c r="BZ182" i="1"/>
  <c r="BZ183" i="1"/>
  <c r="BZ184" i="1"/>
  <c r="BY539" i="1"/>
  <c r="BY508" i="1"/>
  <c r="BY509" i="1"/>
  <c r="BY510" i="1"/>
  <c r="BY511" i="1"/>
  <c r="BY505" i="1"/>
  <c r="BY506" i="1"/>
  <c r="BY507" i="1"/>
  <c r="BY500" i="1"/>
  <c r="BY501" i="1"/>
  <c r="BY502" i="1"/>
  <c r="BY503" i="1"/>
  <c r="BY504" i="1"/>
  <c r="BY515" i="1"/>
  <c r="BY512" i="1"/>
  <c r="BY513" i="1"/>
  <c r="BY514" i="1"/>
  <c r="BY518" i="1"/>
  <c r="BY519" i="1"/>
  <c r="BY520" i="1"/>
  <c r="BY521" i="1"/>
  <c r="BY522" i="1"/>
  <c r="BY523" i="1"/>
  <c r="BY517" i="1"/>
  <c r="BY516" i="1"/>
  <c r="BY529" i="1"/>
  <c r="BY524" i="1"/>
  <c r="BY525" i="1"/>
  <c r="BY526" i="1"/>
  <c r="BY527" i="1"/>
  <c r="BY528" i="1"/>
  <c r="BY538" i="1"/>
  <c r="BZ176" i="1"/>
  <c r="BZ177" i="1"/>
  <c r="BZ170" i="1"/>
  <c r="BZ171" i="1"/>
  <c r="BZ172" i="1"/>
  <c r="BZ173" i="1"/>
  <c r="BZ141" i="1"/>
  <c r="BZ142" i="1"/>
  <c r="BZ143" i="1"/>
  <c r="BZ144" i="1"/>
  <c r="BZ145" i="1"/>
  <c r="BZ146" i="1"/>
  <c r="BZ147" i="1"/>
  <c r="BZ148" i="1"/>
  <c r="BZ149" i="1"/>
  <c r="BZ150" i="1"/>
  <c r="BZ151" i="1"/>
  <c r="BZ152" i="1"/>
  <c r="BZ153" i="1"/>
  <c r="BZ154" i="1"/>
  <c r="BZ155" i="1"/>
  <c r="BZ156" i="1"/>
  <c r="BZ157" i="1"/>
  <c r="BZ158" i="1"/>
  <c r="BZ159" i="1"/>
  <c r="BZ160" i="1"/>
  <c r="BZ161" i="1"/>
  <c r="BZ162" i="1"/>
  <c r="BZ163" i="1"/>
  <c r="BZ164" i="1"/>
  <c r="BZ165" i="1"/>
  <c r="BZ166" i="1"/>
  <c r="BZ167" i="1"/>
  <c r="BZ168" i="1"/>
  <c r="BZ169" i="1"/>
  <c r="BZ174" i="1"/>
  <c r="BZ175" i="1"/>
  <c r="BY540" i="1"/>
  <c r="BY383" i="1"/>
  <c r="BY466" i="1"/>
  <c r="BY463" i="1"/>
  <c r="BY536" i="1"/>
  <c r="BY533" i="1"/>
  <c r="BY530" i="1"/>
  <c r="BY395" i="1"/>
  <c r="K18" i="6"/>
  <c r="BR135" i="1"/>
  <c r="BR136" i="1"/>
  <c r="BR137" i="1"/>
  <c r="BR138" i="1"/>
  <c r="BR139" i="1"/>
  <c r="BR140" i="1"/>
  <c r="BR141" i="1"/>
  <c r="BR142" i="1"/>
  <c r="BR143" i="1"/>
  <c r="BR144" i="1"/>
  <c r="BR145" i="1"/>
  <c r="BR146" i="1"/>
  <c r="BR147" i="1"/>
  <c r="BR148" i="1"/>
  <c r="BR149" i="1"/>
  <c r="BR150" i="1"/>
  <c r="BR151" i="1"/>
  <c r="BR152" i="1"/>
  <c r="BR153" i="1"/>
  <c r="BR154" i="1"/>
  <c r="BR155" i="1"/>
  <c r="BR156" i="1"/>
  <c r="BR157" i="1"/>
  <c r="BR158" i="1"/>
  <c r="BR159" i="1"/>
  <c r="BR160" i="1"/>
  <c r="BR161" i="1"/>
  <c r="BR162" i="1"/>
  <c r="BR163" i="1"/>
  <c r="BR164" i="1"/>
  <c r="BR165" i="1"/>
  <c r="BR166" i="1"/>
  <c r="BR167" i="1"/>
  <c r="BR168" i="1"/>
  <c r="BR169" i="1"/>
  <c r="BR170" i="1"/>
  <c r="BR171" i="1"/>
  <c r="BR172" i="1"/>
  <c r="BR173" i="1"/>
  <c r="BR174" i="1"/>
  <c r="BR175" i="1"/>
  <c r="BR176" i="1"/>
  <c r="BR177" i="1"/>
  <c r="BR178" i="1"/>
  <c r="BR179" i="1"/>
  <c r="BR180" i="1"/>
  <c r="BR181" i="1"/>
  <c r="BR182" i="1"/>
  <c r="BR183" i="1"/>
  <c r="BR184" i="1"/>
  <c r="BR185" i="1"/>
  <c r="BR186" i="1"/>
  <c r="BR187" i="1"/>
  <c r="BR188" i="1"/>
  <c r="BR189" i="1"/>
  <c r="BR190" i="1"/>
  <c r="BR191" i="1"/>
  <c r="BR192" i="1"/>
  <c r="BR193" i="1"/>
  <c r="BR194" i="1"/>
  <c r="BR195" i="1"/>
  <c r="BR196" i="1"/>
  <c r="BR197" i="1"/>
  <c r="BR198" i="1"/>
  <c r="BR199" i="1"/>
  <c r="BR200" i="1"/>
  <c r="BR201" i="1"/>
  <c r="BR202" i="1"/>
  <c r="BR203" i="1"/>
  <c r="BR204" i="1"/>
  <c r="BR205" i="1"/>
  <c r="BR206" i="1"/>
  <c r="BR207" i="1"/>
  <c r="BR208" i="1"/>
  <c r="BR209" i="1"/>
  <c r="BR210" i="1"/>
  <c r="BR211" i="1"/>
  <c r="BR212" i="1"/>
  <c r="BR213" i="1"/>
  <c r="BR214" i="1"/>
  <c r="BR215" i="1"/>
  <c r="BR216" i="1"/>
  <c r="BR217" i="1"/>
  <c r="BR218" i="1"/>
  <c r="BR219" i="1"/>
  <c r="BR220" i="1"/>
  <c r="BR221" i="1"/>
  <c r="BR222" i="1"/>
  <c r="BR223" i="1"/>
  <c r="BR224" i="1"/>
  <c r="BR225" i="1"/>
  <c r="BR226" i="1"/>
  <c r="BR227" i="1"/>
  <c r="BR228" i="1"/>
  <c r="BR229" i="1"/>
  <c r="BR230" i="1"/>
  <c r="BR231" i="1"/>
  <c r="BR232" i="1"/>
  <c r="BR233" i="1"/>
  <c r="BR234" i="1"/>
  <c r="BR235" i="1"/>
  <c r="BR236" i="1"/>
  <c r="BR237" i="1"/>
  <c r="BR238" i="1"/>
  <c r="BR239" i="1"/>
  <c r="BR240" i="1"/>
  <c r="BR241" i="1"/>
  <c r="BR242" i="1"/>
  <c r="BR243" i="1"/>
  <c r="BR244" i="1"/>
  <c r="BR245" i="1"/>
  <c r="BR246" i="1"/>
  <c r="BR247" i="1"/>
  <c r="BR248" i="1"/>
  <c r="BR249" i="1"/>
  <c r="BR250" i="1"/>
  <c r="BR251" i="1"/>
  <c r="BR252" i="1"/>
  <c r="BR253" i="1"/>
  <c r="BR254" i="1"/>
  <c r="BR255" i="1"/>
  <c r="BR256" i="1"/>
  <c r="BR257" i="1"/>
  <c r="BR258" i="1"/>
  <c r="BR259" i="1"/>
  <c r="BR260" i="1"/>
  <c r="BR261" i="1"/>
  <c r="BR262" i="1"/>
  <c r="BR263" i="1"/>
  <c r="BR264" i="1"/>
  <c r="BR265" i="1"/>
  <c r="BR266" i="1"/>
  <c r="BR267" i="1"/>
  <c r="BR268" i="1"/>
  <c r="BR269" i="1"/>
  <c r="BR270" i="1"/>
  <c r="BR271" i="1"/>
  <c r="BR272" i="1"/>
  <c r="BR273" i="1"/>
  <c r="BR274" i="1"/>
  <c r="BR275" i="1"/>
  <c r="BR276" i="1"/>
  <c r="BR277" i="1"/>
  <c r="BR278" i="1"/>
  <c r="BR279" i="1"/>
  <c r="BR280" i="1"/>
  <c r="BR281" i="1"/>
  <c r="BR282" i="1"/>
  <c r="BR283" i="1"/>
  <c r="BR284" i="1"/>
  <c r="BR285" i="1"/>
  <c r="BR286" i="1"/>
  <c r="BR287" i="1"/>
  <c r="BR288" i="1"/>
  <c r="BR289" i="1"/>
  <c r="BR290" i="1"/>
  <c r="BR291" i="1"/>
  <c r="BR292" i="1"/>
  <c r="BR293" i="1"/>
  <c r="BR294" i="1"/>
  <c r="BR295" i="1"/>
  <c r="BR296" i="1"/>
  <c r="BR297" i="1"/>
  <c r="BR298" i="1"/>
  <c r="BR299" i="1"/>
  <c r="BR300" i="1"/>
  <c r="BR301" i="1"/>
  <c r="BR302" i="1"/>
  <c r="BR303" i="1"/>
  <c r="BR304" i="1"/>
  <c r="BR305" i="1"/>
  <c r="BR306" i="1"/>
  <c r="BR307" i="1"/>
  <c r="BR308" i="1"/>
  <c r="BR309" i="1"/>
  <c r="BR310" i="1"/>
  <c r="BR311" i="1"/>
  <c r="BR312" i="1"/>
  <c r="BR313" i="1"/>
  <c r="BR314" i="1"/>
  <c r="BR315" i="1"/>
  <c r="BR316" i="1"/>
  <c r="BR317" i="1"/>
  <c r="BR318" i="1"/>
  <c r="BR319" i="1"/>
  <c r="BR320" i="1"/>
  <c r="BR321" i="1"/>
  <c r="BR322" i="1"/>
  <c r="BR323" i="1"/>
  <c r="BR324" i="1"/>
  <c r="BR325" i="1"/>
  <c r="BR326" i="1"/>
  <c r="BR327" i="1"/>
  <c r="BR328" i="1"/>
  <c r="BR329" i="1"/>
  <c r="BR330" i="1"/>
  <c r="BR331" i="1"/>
  <c r="BR332" i="1"/>
  <c r="BR333" i="1"/>
  <c r="BR334" i="1"/>
  <c r="BR335" i="1"/>
  <c r="BR336" i="1"/>
  <c r="BR337" i="1"/>
  <c r="BR338" i="1"/>
  <c r="BR339" i="1"/>
  <c r="BR340" i="1"/>
  <c r="BR341" i="1"/>
  <c r="BR342" i="1"/>
  <c r="BR343" i="1"/>
  <c r="BR344" i="1"/>
  <c r="BR345" i="1"/>
  <c r="BR346" i="1"/>
  <c r="BR347" i="1"/>
  <c r="BR348" i="1"/>
  <c r="BR349" i="1"/>
  <c r="BR350" i="1"/>
  <c r="BR351" i="1"/>
  <c r="BR352" i="1"/>
  <c r="BR353" i="1"/>
  <c r="BR354" i="1"/>
  <c r="BR355" i="1"/>
  <c r="BR356" i="1"/>
  <c r="BR357" i="1"/>
  <c r="BR358" i="1"/>
  <c r="BR359" i="1"/>
  <c r="BR360" i="1"/>
  <c r="BR361" i="1"/>
  <c r="BR362" i="1"/>
  <c r="BR363" i="1"/>
  <c r="BR364" i="1"/>
  <c r="BR365" i="1"/>
  <c r="BR366" i="1"/>
  <c r="BR367" i="1"/>
  <c r="BR368" i="1"/>
  <c r="BR369" i="1"/>
  <c r="BR370" i="1"/>
  <c r="BR371" i="1"/>
  <c r="BR372" i="1"/>
  <c r="BR373" i="1"/>
  <c r="BR374" i="1"/>
  <c r="BR375" i="1"/>
  <c r="BR376" i="1"/>
  <c r="BR377" i="1"/>
  <c r="BR378" i="1"/>
  <c r="BR379" i="1"/>
  <c r="BR380" i="1"/>
  <c r="BR381" i="1"/>
  <c r="BR382" i="1"/>
  <c r="BR383" i="1"/>
  <c r="BR384" i="1"/>
  <c r="BR385" i="1"/>
  <c r="BR386" i="1"/>
  <c r="BR387" i="1"/>
  <c r="BR388" i="1"/>
  <c r="BR389" i="1"/>
  <c r="BR390" i="1"/>
  <c r="BR391" i="1"/>
  <c r="BR392" i="1"/>
  <c r="BR393" i="1"/>
  <c r="BR394" i="1"/>
  <c r="BR395" i="1"/>
  <c r="BR396" i="1"/>
  <c r="BR397" i="1"/>
  <c r="BR398" i="1"/>
  <c r="BR399" i="1"/>
  <c r="BR400" i="1"/>
  <c r="BR401" i="1"/>
  <c r="BR402" i="1"/>
  <c r="BR403" i="1"/>
  <c r="BR404" i="1"/>
  <c r="BR405" i="1"/>
  <c r="BR406" i="1"/>
  <c r="BR407" i="1"/>
  <c r="BR408" i="1"/>
  <c r="BR409" i="1"/>
  <c r="BR410" i="1"/>
  <c r="BR411" i="1"/>
  <c r="BR412" i="1"/>
  <c r="BR413" i="1"/>
  <c r="BR414" i="1"/>
  <c r="BR415" i="1"/>
  <c r="BR416" i="1"/>
  <c r="BR417" i="1"/>
  <c r="BR418" i="1"/>
  <c r="BR419" i="1"/>
  <c r="BR420" i="1"/>
  <c r="BR421" i="1"/>
  <c r="BR422" i="1"/>
  <c r="BR423" i="1"/>
  <c r="BR424" i="1"/>
  <c r="BR425" i="1"/>
  <c r="BR426" i="1"/>
  <c r="BR427" i="1"/>
  <c r="BR428" i="1"/>
  <c r="BR429" i="1"/>
  <c r="BR430" i="1"/>
  <c r="BR431" i="1"/>
  <c r="BR432" i="1"/>
  <c r="BR433" i="1"/>
  <c r="BR434" i="1"/>
  <c r="BR435" i="1"/>
  <c r="BR436" i="1"/>
  <c r="BR437" i="1"/>
  <c r="BR438" i="1"/>
  <c r="BR439" i="1"/>
  <c r="BR440" i="1"/>
  <c r="BR441" i="1"/>
  <c r="BR442" i="1"/>
  <c r="BR443" i="1"/>
  <c r="BR444" i="1"/>
  <c r="BR445" i="1"/>
  <c r="BR446" i="1"/>
  <c r="BR447" i="1"/>
  <c r="BR448" i="1"/>
  <c r="BR449" i="1"/>
  <c r="BR450" i="1"/>
  <c r="BR451" i="1"/>
  <c r="BR452" i="1"/>
  <c r="BR453" i="1"/>
  <c r="BR454" i="1"/>
  <c r="BR455" i="1"/>
  <c r="BR456" i="1"/>
  <c r="BR457" i="1"/>
  <c r="BR458" i="1"/>
  <c r="BR459" i="1"/>
  <c r="BR460" i="1"/>
  <c r="BR461" i="1"/>
  <c r="BR462" i="1"/>
  <c r="BR463" i="1"/>
  <c r="BR464" i="1"/>
  <c r="BR465" i="1"/>
  <c r="BR466" i="1"/>
  <c r="BR467" i="1"/>
  <c r="BR468" i="1"/>
  <c r="BR469" i="1"/>
  <c r="BR470" i="1"/>
  <c r="BR471" i="1"/>
  <c r="BR472" i="1"/>
  <c r="BR473" i="1"/>
  <c r="BR474" i="1"/>
  <c r="BR475" i="1"/>
  <c r="BR476" i="1"/>
  <c r="BR477" i="1"/>
  <c r="BR478" i="1"/>
  <c r="BR479" i="1"/>
  <c r="BR480" i="1"/>
  <c r="BR481" i="1"/>
  <c r="BR482" i="1"/>
  <c r="BR483" i="1"/>
  <c r="BR484" i="1"/>
  <c r="BR485" i="1"/>
  <c r="BR486" i="1"/>
  <c r="BR487" i="1"/>
  <c r="BR488" i="1"/>
  <c r="BR489" i="1"/>
  <c r="BR490" i="1"/>
  <c r="BR491" i="1"/>
  <c r="BR492" i="1"/>
  <c r="BR493" i="1"/>
  <c r="BR494" i="1"/>
  <c r="BR495" i="1"/>
  <c r="BR496" i="1"/>
  <c r="BR497" i="1"/>
  <c r="BR498" i="1"/>
  <c r="BR499" i="1"/>
  <c r="BR500" i="1"/>
  <c r="BR501" i="1"/>
  <c r="BR502" i="1"/>
  <c r="BR503" i="1"/>
  <c r="BR504" i="1"/>
  <c r="BR505" i="1"/>
  <c r="BR506" i="1"/>
  <c r="BR507" i="1"/>
  <c r="BR508" i="1"/>
  <c r="BR509" i="1"/>
  <c r="BR510" i="1"/>
  <c r="BR511" i="1"/>
  <c r="BR512" i="1"/>
  <c r="BR513" i="1"/>
  <c r="BR514" i="1"/>
  <c r="BR515" i="1"/>
  <c r="BR516" i="1"/>
  <c r="BR517" i="1"/>
  <c r="BR518" i="1"/>
  <c r="BR519" i="1"/>
  <c r="BR520" i="1"/>
  <c r="BR521" i="1"/>
  <c r="BR522" i="1"/>
  <c r="BR523" i="1"/>
  <c r="BR524" i="1"/>
  <c r="BR525" i="1"/>
  <c r="BR526" i="1"/>
  <c r="BR527" i="1"/>
  <c r="BR528" i="1"/>
  <c r="BR529" i="1"/>
  <c r="BR530" i="1"/>
  <c r="BR531" i="1"/>
  <c r="BR532" i="1"/>
  <c r="BR533" i="1"/>
  <c r="BR534" i="1"/>
  <c r="BR535" i="1"/>
  <c r="BR536" i="1"/>
  <c r="BR537" i="1"/>
  <c r="BR538" i="1"/>
  <c r="BR539" i="1"/>
  <c r="BR540" i="1"/>
  <c r="BR541" i="1"/>
  <c r="BR542" i="1"/>
  <c r="BR543" i="1"/>
  <c r="BR544" i="1"/>
  <c r="BR545" i="1"/>
  <c r="BR546" i="1"/>
  <c r="BR547" i="1"/>
  <c r="BR548" i="1"/>
  <c r="BR549" i="1"/>
  <c r="BR550" i="1"/>
  <c r="BR551" i="1"/>
  <c r="BR552" i="1"/>
  <c r="BR553" i="1"/>
  <c r="BR554" i="1"/>
  <c r="BR555" i="1"/>
  <c r="BR556" i="1"/>
  <c r="BR557" i="1"/>
  <c r="BR558" i="1"/>
  <c r="BR559" i="1"/>
  <c r="BR560" i="1"/>
  <c r="BR561" i="1"/>
  <c r="BR562" i="1"/>
  <c r="BR563" i="1"/>
  <c r="BR564" i="1"/>
  <c r="BR565" i="1"/>
  <c r="BR566" i="1"/>
  <c r="BR567" i="1"/>
  <c r="BR568" i="1"/>
  <c r="BR569" i="1"/>
  <c r="BR570" i="1"/>
  <c r="BR571" i="1"/>
  <c r="BR572" i="1"/>
  <c r="BR573" i="1"/>
  <c r="BR574" i="1"/>
  <c r="BR575" i="1"/>
  <c r="BR576" i="1"/>
  <c r="BR577" i="1"/>
  <c r="BR578" i="1"/>
  <c r="BR579" i="1"/>
  <c r="BR580" i="1"/>
  <c r="BR581" i="1"/>
  <c r="BR582" i="1"/>
  <c r="BR583" i="1"/>
  <c r="BR584" i="1"/>
  <c r="BR585" i="1"/>
  <c r="BR586" i="1"/>
  <c r="BR587" i="1"/>
  <c r="BR588" i="1"/>
  <c r="BR589" i="1"/>
  <c r="BR590" i="1"/>
  <c r="BR591" i="1"/>
  <c r="BR592" i="1"/>
  <c r="BR593" i="1"/>
  <c r="BR594" i="1"/>
  <c r="BR595" i="1"/>
  <c r="BR596" i="1"/>
  <c r="BR597" i="1"/>
  <c r="BR598" i="1"/>
  <c r="BR599" i="1"/>
  <c r="BR600" i="1"/>
  <c r="BR601" i="1"/>
  <c r="BR602" i="1"/>
  <c r="BR603" i="1"/>
  <c r="BR604" i="1"/>
  <c r="BR605" i="1"/>
  <c r="BR606" i="1"/>
  <c r="BR607" i="1"/>
  <c r="BR608" i="1"/>
  <c r="BR609" i="1"/>
  <c r="BR610" i="1"/>
  <c r="BR611" i="1"/>
  <c r="BR612" i="1"/>
  <c r="BR613" i="1"/>
  <c r="BR614" i="1"/>
  <c r="BR615" i="1"/>
  <c r="BR616" i="1"/>
  <c r="BR617" i="1"/>
  <c r="BR618" i="1"/>
  <c r="BR619" i="1"/>
  <c r="BR620" i="1"/>
  <c r="BR621" i="1"/>
  <c r="BR622" i="1"/>
  <c r="BR623" i="1"/>
  <c r="BR624" i="1"/>
  <c r="BR625" i="1"/>
  <c r="BR626" i="1"/>
  <c r="BR627" i="1"/>
  <c r="BR628" i="1"/>
  <c r="BR629" i="1"/>
  <c r="BR630" i="1"/>
  <c r="BR631" i="1"/>
  <c r="BR632" i="1"/>
  <c r="BR633" i="1"/>
  <c r="BR634" i="1"/>
  <c r="BR635" i="1"/>
  <c r="BR636" i="1"/>
  <c r="BR637" i="1"/>
  <c r="BR638" i="1"/>
  <c r="BR639" i="1"/>
  <c r="BR640" i="1"/>
  <c r="BR641" i="1"/>
  <c r="BR642" i="1"/>
  <c r="BR643" i="1"/>
  <c r="BR644" i="1"/>
  <c r="BR645" i="1"/>
  <c r="BR646" i="1"/>
  <c r="BR647" i="1"/>
  <c r="BR648" i="1"/>
  <c r="BR649" i="1"/>
  <c r="BR650" i="1"/>
  <c r="BR651" i="1"/>
  <c r="BR652" i="1"/>
  <c r="BR653" i="1"/>
  <c r="BR654" i="1"/>
  <c r="BR655" i="1"/>
  <c r="BR656" i="1"/>
  <c r="BR657" i="1"/>
  <c r="BR658" i="1"/>
  <c r="BR659" i="1"/>
  <c r="BR660" i="1"/>
  <c r="BR661" i="1"/>
  <c r="BR662" i="1"/>
  <c r="BR663" i="1"/>
  <c r="BR664" i="1"/>
  <c r="BR665" i="1"/>
  <c r="BR666" i="1"/>
  <c r="BR667" i="1"/>
  <c r="BR668" i="1"/>
  <c r="BR669" i="1"/>
  <c r="BR670" i="1"/>
  <c r="BR671" i="1"/>
  <c r="BR672" i="1"/>
  <c r="BR673" i="1"/>
  <c r="BR674" i="1"/>
  <c r="BR675" i="1"/>
  <c r="BR676" i="1"/>
  <c r="BR677" i="1"/>
  <c r="BR678" i="1"/>
  <c r="BR679" i="1"/>
  <c r="BR680" i="1"/>
  <c r="BR681" i="1"/>
  <c r="BR682" i="1"/>
  <c r="BR683" i="1"/>
  <c r="BR684" i="1"/>
  <c r="BR685" i="1"/>
  <c r="BR686" i="1"/>
  <c r="BR687" i="1"/>
  <c r="BR688" i="1"/>
  <c r="BR689" i="1"/>
  <c r="BR690" i="1"/>
  <c r="BR691" i="1"/>
  <c r="BR692" i="1"/>
  <c r="BR693" i="1"/>
  <c r="BR694" i="1"/>
  <c r="BR695" i="1"/>
  <c r="BR696" i="1"/>
  <c r="BR697" i="1"/>
  <c r="BR698" i="1"/>
  <c r="BR699" i="1"/>
  <c r="BR700" i="1"/>
  <c r="BR701" i="1"/>
  <c r="BR702" i="1"/>
  <c r="BR703" i="1"/>
  <c r="BR704" i="1"/>
  <c r="BR705" i="1"/>
  <c r="BR706" i="1"/>
  <c r="BR707" i="1"/>
  <c r="BR708" i="1"/>
  <c r="BR709" i="1"/>
  <c r="BR710" i="1"/>
  <c r="BR711" i="1"/>
  <c r="BR712" i="1"/>
  <c r="BR713" i="1"/>
  <c r="BR714" i="1"/>
  <c r="BR715" i="1"/>
  <c r="BR716" i="1"/>
  <c r="BR717" i="1"/>
  <c r="BR718" i="1"/>
  <c r="BR719" i="1"/>
  <c r="BR720" i="1"/>
  <c r="BR721" i="1"/>
  <c r="BR722" i="1"/>
  <c r="BR723" i="1"/>
  <c r="BR724" i="1"/>
  <c r="BR725" i="1"/>
  <c r="BR726" i="1"/>
  <c r="BR727" i="1"/>
  <c r="BR728" i="1"/>
  <c r="BR729" i="1"/>
  <c r="BR730" i="1"/>
  <c r="BR731" i="1"/>
  <c r="BR732" i="1"/>
  <c r="BR733" i="1"/>
  <c r="BR734" i="1"/>
  <c r="BR735" i="1"/>
  <c r="BR736" i="1"/>
  <c r="BR737" i="1"/>
  <c r="BR738" i="1"/>
  <c r="BR739" i="1"/>
  <c r="BR740" i="1"/>
  <c r="BR741" i="1"/>
  <c r="BR742" i="1"/>
  <c r="BR743" i="1"/>
  <c r="BR744" i="1"/>
  <c r="BR745" i="1"/>
  <c r="BR746" i="1"/>
  <c r="BR747" i="1"/>
  <c r="BR748" i="1"/>
  <c r="BR749" i="1"/>
  <c r="BR750" i="1"/>
  <c r="BR751" i="1"/>
  <c r="BR752" i="1"/>
  <c r="BR753" i="1"/>
  <c r="BR754" i="1"/>
  <c r="BR755" i="1"/>
  <c r="BR756" i="1"/>
  <c r="BR757" i="1"/>
  <c r="BR758" i="1"/>
  <c r="BR759" i="1"/>
  <c r="BR760" i="1"/>
  <c r="BR761" i="1"/>
  <c r="BR762" i="1"/>
  <c r="BR763" i="1"/>
  <c r="BR764" i="1"/>
  <c r="BR765" i="1"/>
  <c r="BR766" i="1"/>
  <c r="BR767" i="1"/>
  <c r="BR768" i="1"/>
  <c r="BR769" i="1"/>
  <c r="BR770" i="1"/>
  <c r="BR771" i="1"/>
  <c r="BR772" i="1"/>
  <c r="BR773" i="1"/>
  <c r="BR774" i="1"/>
  <c r="BR775" i="1"/>
  <c r="BR776" i="1"/>
  <c r="BR777" i="1"/>
  <c r="BR778" i="1"/>
  <c r="BR779" i="1"/>
  <c r="BR780" i="1"/>
  <c r="BR781" i="1"/>
  <c r="BR782" i="1"/>
  <c r="BR783" i="1"/>
  <c r="BR784" i="1"/>
  <c r="BR785" i="1"/>
  <c r="BR786" i="1"/>
  <c r="BR787" i="1"/>
  <c r="BR788" i="1"/>
  <c r="BR789" i="1"/>
  <c r="BR790" i="1"/>
  <c r="BR791" i="1"/>
  <c r="BR792" i="1"/>
  <c r="BR793" i="1"/>
  <c r="BR794" i="1"/>
  <c r="BR795" i="1"/>
  <c r="BR796" i="1"/>
  <c r="BR797" i="1"/>
  <c r="BR798" i="1"/>
  <c r="BR799" i="1"/>
  <c r="BR800" i="1"/>
  <c r="BR801" i="1"/>
  <c r="BR802" i="1"/>
  <c r="BR803" i="1"/>
  <c r="BR804" i="1"/>
  <c r="BR805" i="1"/>
  <c r="BR806" i="1"/>
  <c r="BR807" i="1"/>
  <c r="BR808" i="1"/>
  <c r="BR809" i="1"/>
  <c r="BR810" i="1"/>
  <c r="BR811" i="1"/>
  <c r="BR812" i="1"/>
  <c r="BR813" i="1"/>
  <c r="BR814" i="1"/>
  <c r="BR815" i="1"/>
  <c r="BR816" i="1"/>
  <c r="BR817" i="1"/>
  <c r="BR818" i="1"/>
  <c r="BR819" i="1"/>
  <c r="BR820" i="1"/>
  <c r="BR821" i="1"/>
  <c r="BR822" i="1"/>
  <c r="BR823" i="1"/>
  <c r="BR824" i="1"/>
  <c r="BR825" i="1"/>
  <c r="BR826" i="1"/>
  <c r="BR827" i="1"/>
  <c r="BR828" i="1"/>
  <c r="BR829" i="1"/>
  <c r="BR830" i="1"/>
  <c r="BR831" i="1"/>
  <c r="BR832" i="1"/>
  <c r="BR833" i="1"/>
  <c r="BR834" i="1"/>
  <c r="BR835" i="1"/>
  <c r="BR836" i="1"/>
  <c r="BR837" i="1"/>
  <c r="BR838" i="1"/>
  <c r="BR839" i="1"/>
  <c r="BR840" i="1"/>
  <c r="BR841" i="1"/>
  <c r="BR842" i="1"/>
  <c r="BR843" i="1"/>
  <c r="BR844" i="1"/>
  <c r="BR845" i="1"/>
  <c r="BR846" i="1"/>
  <c r="BR847" i="1"/>
  <c r="BR848" i="1"/>
  <c r="BR849" i="1"/>
  <c r="BR850" i="1"/>
  <c r="BR851" i="1"/>
  <c r="BR852" i="1"/>
  <c r="BR853" i="1"/>
  <c r="BR854" i="1"/>
  <c r="BR855" i="1"/>
  <c r="BR856" i="1"/>
  <c r="BR857" i="1"/>
  <c r="BR858" i="1"/>
  <c r="BR859" i="1"/>
  <c r="BR860" i="1"/>
  <c r="BR861" i="1"/>
  <c r="BR862" i="1"/>
  <c r="BR863" i="1"/>
  <c r="BR864" i="1"/>
  <c r="BR865" i="1"/>
  <c r="BR866" i="1"/>
  <c r="BR867" i="1"/>
  <c r="BR868" i="1"/>
  <c r="BR869" i="1"/>
  <c r="BR870" i="1"/>
  <c r="BR871" i="1"/>
  <c r="BR872" i="1"/>
  <c r="BR873" i="1"/>
  <c r="BR874" i="1"/>
  <c r="BR875" i="1"/>
  <c r="BR876" i="1"/>
  <c r="BR877" i="1"/>
  <c r="BR878" i="1"/>
  <c r="BR879" i="1"/>
  <c r="BR880" i="1"/>
  <c r="BR881" i="1"/>
  <c r="BR882" i="1"/>
  <c r="BR883" i="1"/>
  <c r="BR884" i="1"/>
  <c r="BR885" i="1"/>
  <c r="BR886" i="1"/>
  <c r="BR887" i="1"/>
  <c r="BR888" i="1"/>
  <c r="BR889" i="1"/>
  <c r="BR890" i="1"/>
  <c r="BR891" i="1"/>
  <c r="BR892" i="1"/>
  <c r="BR893" i="1"/>
  <c r="BR894" i="1"/>
  <c r="BR895" i="1"/>
  <c r="BR896" i="1"/>
  <c r="BR897" i="1"/>
  <c r="BR898" i="1"/>
  <c r="BR899" i="1"/>
  <c r="BR900" i="1"/>
  <c r="BR901" i="1"/>
  <c r="BR902" i="1"/>
  <c r="BR903" i="1"/>
  <c r="BR904" i="1"/>
  <c r="BR905" i="1"/>
  <c r="BR906" i="1"/>
  <c r="BR907" i="1"/>
  <c r="BR908" i="1"/>
  <c r="BR909" i="1"/>
  <c r="BR910" i="1"/>
  <c r="BR911" i="1"/>
  <c r="BR912" i="1"/>
  <c r="BR913" i="1"/>
  <c r="BR914" i="1"/>
  <c r="BR915" i="1"/>
  <c r="BR916" i="1"/>
  <c r="BR917" i="1"/>
  <c r="BR918" i="1"/>
  <c r="BR919" i="1"/>
  <c r="BR920" i="1"/>
  <c r="BR921" i="1"/>
  <c r="BR922" i="1"/>
  <c r="BR923" i="1"/>
  <c r="BR924" i="1"/>
  <c r="BR925" i="1"/>
  <c r="BR926" i="1"/>
  <c r="BR927" i="1"/>
  <c r="BR928" i="1"/>
  <c r="BR929" i="1"/>
  <c r="BR930" i="1"/>
  <c r="BR931" i="1"/>
  <c r="BR932" i="1"/>
  <c r="BR933" i="1"/>
  <c r="BR934" i="1"/>
  <c r="BR935" i="1"/>
  <c r="BR936" i="1"/>
  <c r="BR937" i="1"/>
  <c r="BR938" i="1"/>
  <c r="BR939" i="1"/>
  <c r="BR940" i="1"/>
  <c r="BR941" i="1"/>
  <c r="BR942" i="1"/>
  <c r="BR943" i="1"/>
  <c r="BR944" i="1"/>
  <c r="BR945" i="1"/>
  <c r="BR946" i="1"/>
  <c r="BR947" i="1"/>
  <c r="BR948" i="1"/>
  <c r="BR949" i="1"/>
  <c r="BR950" i="1"/>
  <c r="BR951" i="1"/>
  <c r="BR952" i="1"/>
  <c r="BR953" i="1"/>
  <c r="BR954" i="1"/>
  <c r="BR955" i="1"/>
  <c r="BR956" i="1"/>
  <c r="BR957" i="1"/>
  <c r="BR958" i="1"/>
  <c r="BR959" i="1"/>
  <c r="BR960" i="1"/>
  <c r="BR961" i="1"/>
  <c r="BR962" i="1"/>
  <c r="BR963" i="1"/>
  <c r="BR964" i="1"/>
  <c r="BR965" i="1"/>
  <c r="BR966" i="1"/>
  <c r="BR967" i="1"/>
  <c r="BR968" i="1"/>
  <c r="BR969" i="1"/>
  <c r="BR970" i="1"/>
  <c r="BR971" i="1"/>
  <c r="BR972" i="1"/>
  <c r="BR973" i="1"/>
  <c r="BR974" i="1"/>
  <c r="BR975" i="1"/>
  <c r="BR976" i="1"/>
  <c r="BR977" i="1"/>
  <c r="BR978" i="1"/>
  <c r="BR979" i="1"/>
  <c r="BR980" i="1"/>
  <c r="BR981" i="1"/>
  <c r="BR982" i="1"/>
  <c r="BR983" i="1"/>
  <c r="BR984" i="1"/>
  <c r="BR985" i="1"/>
  <c r="BR986" i="1"/>
  <c r="BR987" i="1"/>
  <c r="BR988" i="1"/>
  <c r="BR989" i="1"/>
  <c r="BR990" i="1"/>
  <c r="BR991" i="1"/>
  <c r="BR992" i="1"/>
  <c r="BR993" i="1"/>
  <c r="BR994" i="1"/>
  <c r="BR995" i="1"/>
  <c r="BR996" i="1"/>
  <c r="BR997" i="1"/>
  <c r="BR998" i="1"/>
  <c r="BR999" i="1"/>
  <c r="BR1000" i="1"/>
  <c r="BR1001" i="1"/>
  <c r="BR1002" i="1"/>
  <c r="BR1003" i="1"/>
  <c r="BR1004" i="1"/>
  <c r="BR1005" i="1"/>
  <c r="BR1006" i="1"/>
  <c r="BR1007" i="1"/>
  <c r="BR1008" i="1"/>
  <c r="BR1009" i="1"/>
  <c r="BR1010" i="1"/>
  <c r="BR1011" i="1"/>
  <c r="BR1012" i="1"/>
  <c r="BR1013" i="1"/>
  <c r="BR1014" i="1"/>
  <c r="BR1015" i="1"/>
  <c r="BR1016" i="1"/>
  <c r="BR1017" i="1"/>
  <c r="BR1018" i="1"/>
  <c r="BR1019" i="1"/>
  <c r="BR1020" i="1"/>
  <c r="BR1021" i="1"/>
  <c r="BR1022" i="1"/>
  <c r="BR1023" i="1"/>
  <c r="BR1024" i="1"/>
  <c r="BR1025" i="1"/>
  <c r="BR1026" i="1"/>
  <c r="BR1027" i="1"/>
  <c r="BR1028" i="1"/>
  <c r="BR1029" i="1"/>
  <c r="BR1030" i="1"/>
  <c r="BR1031" i="1"/>
  <c r="BR1032" i="1"/>
  <c r="BR1033" i="1"/>
  <c r="BR1034" i="1"/>
  <c r="BR1035" i="1"/>
  <c r="BR1036" i="1"/>
  <c r="BR1037" i="1"/>
  <c r="BR1038" i="1"/>
  <c r="BR1039" i="1"/>
  <c r="BR1040" i="1"/>
  <c r="BR1041" i="1"/>
  <c r="BR1042" i="1"/>
  <c r="BR1043" i="1"/>
  <c r="BR1044" i="1"/>
  <c r="BR1045" i="1"/>
  <c r="BR1046" i="1"/>
  <c r="BR1047" i="1"/>
  <c r="BR1048" i="1"/>
  <c r="BR1049" i="1"/>
  <c r="BR1050" i="1"/>
  <c r="BR1051" i="1"/>
  <c r="BR1052" i="1"/>
  <c r="BR1053" i="1"/>
  <c r="BR1054" i="1"/>
  <c r="BR1055" i="1"/>
  <c r="BR1056" i="1"/>
  <c r="BR1057" i="1"/>
  <c r="BR1058" i="1"/>
  <c r="BR1059" i="1"/>
  <c r="BR1060" i="1"/>
  <c r="BR1061" i="1"/>
  <c r="BR1062" i="1"/>
  <c r="BR1063" i="1"/>
  <c r="BR1064" i="1"/>
  <c r="BR1065" i="1"/>
  <c r="BR1066" i="1"/>
  <c r="BR1067" i="1"/>
  <c r="BR1068" i="1"/>
  <c r="BR1069" i="1"/>
  <c r="BR1070" i="1"/>
  <c r="BR1071" i="1"/>
  <c r="BR1072" i="1"/>
  <c r="BR1073" i="1"/>
  <c r="BR1074" i="1"/>
  <c r="BR1075" i="1"/>
  <c r="BR1076" i="1"/>
  <c r="BR1077" i="1"/>
  <c r="BR1078" i="1"/>
  <c r="BR1079" i="1"/>
  <c r="BR1080" i="1"/>
  <c r="BR1081" i="1"/>
  <c r="BR1082" i="1"/>
  <c r="BR1083" i="1"/>
  <c r="BR1084" i="1"/>
  <c r="BR1085" i="1"/>
  <c r="BR1086" i="1"/>
  <c r="BR1087" i="1"/>
  <c r="BR1088" i="1"/>
  <c r="BR1089" i="1"/>
  <c r="BR1090" i="1"/>
  <c r="BR1091" i="1"/>
  <c r="BR1092" i="1"/>
  <c r="BR1093" i="1"/>
  <c r="BR1094" i="1"/>
  <c r="BR1095" i="1"/>
  <c r="BR1096" i="1"/>
  <c r="BR1097" i="1"/>
  <c r="BR1098" i="1"/>
  <c r="BR1099" i="1"/>
  <c r="BR1100" i="1"/>
  <c r="BR1101" i="1"/>
  <c r="BR1102" i="1"/>
  <c r="BR1103" i="1"/>
  <c r="BR1104" i="1"/>
  <c r="BR1105" i="1"/>
  <c r="BR1106" i="1"/>
  <c r="BR1107" i="1"/>
  <c r="BR1108" i="1"/>
  <c r="BR1109" i="1"/>
  <c r="BR1110" i="1"/>
  <c r="BR1111" i="1"/>
  <c r="BR1112" i="1"/>
  <c r="BR1113" i="1"/>
  <c r="BR1114" i="1"/>
  <c r="BR1115" i="1"/>
  <c r="BR1116" i="1"/>
  <c r="BR1117" i="1"/>
  <c r="BR1118" i="1"/>
  <c r="BR1119" i="1"/>
  <c r="BR1120" i="1"/>
  <c r="BR1121" i="1"/>
  <c r="BR1122" i="1"/>
  <c r="BR1123" i="1"/>
  <c r="BR1124" i="1"/>
  <c r="BR1125" i="1"/>
  <c r="BR1126" i="1"/>
  <c r="BR1127" i="1"/>
  <c r="BR1128" i="1"/>
  <c r="BR1129" i="1"/>
  <c r="BR1130" i="1"/>
  <c r="BR1131" i="1"/>
  <c r="BR1132" i="1"/>
  <c r="BR1133" i="1"/>
  <c r="BR1134" i="1"/>
  <c r="BR1135" i="1"/>
  <c r="BR1136" i="1"/>
  <c r="BR1137" i="1"/>
  <c r="BR1138" i="1"/>
  <c r="BR1139" i="1"/>
  <c r="BR1140" i="1"/>
  <c r="BR1141" i="1"/>
  <c r="BR1142" i="1"/>
  <c r="BR1143" i="1"/>
  <c r="BR1144" i="1"/>
  <c r="BR1145" i="1"/>
  <c r="BR1146" i="1"/>
  <c r="BR1147" i="1"/>
  <c r="BR1148" i="1"/>
  <c r="BR1149" i="1"/>
  <c r="BR1150" i="1"/>
  <c r="BR1151" i="1"/>
  <c r="BR1152" i="1"/>
  <c r="BR1153" i="1"/>
  <c r="BR1154" i="1"/>
  <c r="BR1155" i="1"/>
  <c r="BR1156" i="1"/>
  <c r="BR1157" i="1"/>
  <c r="BR1158" i="1"/>
  <c r="BR1159" i="1"/>
  <c r="BR1160" i="1"/>
  <c r="BR1161" i="1"/>
  <c r="BR1162" i="1"/>
  <c r="BR1163" i="1"/>
  <c r="BR1164" i="1"/>
  <c r="BR1165" i="1"/>
  <c r="BR1166" i="1"/>
  <c r="BR1167" i="1"/>
  <c r="BR1168" i="1"/>
  <c r="BR1169" i="1"/>
  <c r="BR1170" i="1"/>
  <c r="BR1171" i="1"/>
  <c r="BR1172" i="1"/>
  <c r="BR1173" i="1"/>
  <c r="BR1174" i="1"/>
  <c r="BR1175" i="1"/>
  <c r="BR1176" i="1"/>
  <c r="BR1177" i="1"/>
  <c r="BR1178" i="1"/>
  <c r="BR1179" i="1"/>
  <c r="BR1180" i="1"/>
  <c r="BR1181" i="1"/>
  <c r="BR1182" i="1"/>
  <c r="BR1183" i="1"/>
  <c r="BR1184" i="1"/>
  <c r="BR1185" i="1"/>
  <c r="BR1186" i="1"/>
  <c r="BR1187" i="1"/>
  <c r="BR1188" i="1"/>
  <c r="BR1189" i="1"/>
  <c r="BR1190" i="1"/>
  <c r="BR1191" i="1"/>
  <c r="BR1192" i="1"/>
  <c r="BR1193" i="1"/>
  <c r="BR1194" i="1"/>
  <c r="BR1195" i="1"/>
  <c r="BR1196" i="1"/>
  <c r="BR1197" i="1"/>
  <c r="BR1198" i="1"/>
  <c r="BR1199" i="1"/>
  <c r="BR1200" i="1"/>
  <c r="BR1201" i="1"/>
  <c r="BR1202" i="1"/>
  <c r="BR1203" i="1"/>
  <c r="BR1204" i="1"/>
  <c r="BR1205" i="1"/>
  <c r="BR1206" i="1"/>
  <c r="BR1207" i="1"/>
  <c r="BR1208" i="1"/>
  <c r="BR1209" i="1"/>
  <c r="BR1210" i="1"/>
  <c r="BR1211" i="1"/>
  <c r="BR1212" i="1"/>
  <c r="BR1213" i="1"/>
  <c r="BR1214" i="1"/>
  <c r="BR1215" i="1"/>
  <c r="BR1216" i="1"/>
  <c r="BR1217" i="1"/>
  <c r="BR1218" i="1"/>
  <c r="BR1219" i="1"/>
  <c r="BR1220" i="1"/>
  <c r="BR1221" i="1"/>
  <c r="BR1222" i="1"/>
  <c r="BR1223" i="1"/>
  <c r="BR1224" i="1"/>
  <c r="BR1225" i="1"/>
  <c r="BR1226" i="1"/>
  <c r="BR1227" i="1"/>
  <c r="BR1228" i="1"/>
  <c r="BR1229" i="1"/>
  <c r="BR1230" i="1"/>
  <c r="BR1231" i="1"/>
  <c r="BR1232" i="1"/>
  <c r="BR1233" i="1"/>
  <c r="BR1234" i="1"/>
  <c r="BR1235" i="1"/>
  <c r="BR1236" i="1"/>
  <c r="BR1237" i="1"/>
  <c r="BR1238" i="1"/>
  <c r="BR1239" i="1"/>
  <c r="BR1240" i="1"/>
  <c r="BR1241" i="1"/>
  <c r="BR1242" i="1"/>
  <c r="BR1243" i="1"/>
  <c r="BR1244" i="1"/>
  <c r="BR1245" i="1"/>
  <c r="BR1246" i="1"/>
  <c r="BR1247" i="1"/>
  <c r="BR1248" i="1"/>
  <c r="BR1249" i="1"/>
  <c r="BR1250" i="1"/>
  <c r="BR1251" i="1"/>
  <c r="BR1252" i="1"/>
  <c r="BR1253" i="1"/>
  <c r="BR1254" i="1"/>
  <c r="BR1255" i="1"/>
  <c r="BR1256" i="1"/>
  <c r="BR1257" i="1"/>
  <c r="BR1258" i="1"/>
  <c r="BR1259" i="1"/>
  <c r="BR1260" i="1"/>
  <c r="BR1261" i="1"/>
  <c r="BR1262" i="1"/>
  <c r="BR1263" i="1"/>
  <c r="BR1264" i="1"/>
  <c r="BR1265" i="1"/>
  <c r="BR1266" i="1"/>
  <c r="BR1267" i="1"/>
  <c r="BR1268" i="1"/>
  <c r="BR1269" i="1"/>
  <c r="BR1270" i="1"/>
  <c r="BR1271" i="1"/>
  <c r="BR1272" i="1"/>
  <c r="BR1273" i="1"/>
  <c r="BR1274" i="1"/>
  <c r="BR1275" i="1"/>
  <c r="BR1276" i="1"/>
  <c r="BR1277" i="1"/>
  <c r="BR1278" i="1"/>
  <c r="BR1279" i="1"/>
  <c r="BR1280" i="1"/>
  <c r="BR1281" i="1"/>
  <c r="BR1282" i="1"/>
  <c r="BR1283" i="1"/>
  <c r="BR1284" i="1"/>
  <c r="BR1285" i="1"/>
  <c r="BR1286" i="1"/>
  <c r="BR1287" i="1"/>
  <c r="BR1288" i="1"/>
  <c r="BR1289" i="1"/>
  <c r="BR1290" i="1"/>
  <c r="BR1291" i="1"/>
  <c r="BR1292" i="1"/>
  <c r="BR1293" i="1"/>
  <c r="BR1294" i="1"/>
  <c r="BR1295" i="1"/>
  <c r="BR1296" i="1"/>
  <c r="BR1297" i="1"/>
  <c r="BR1298" i="1"/>
  <c r="BR1299" i="1"/>
  <c r="BR1300" i="1"/>
  <c r="BR1301" i="1"/>
  <c r="BR1302" i="1"/>
  <c r="BR1303" i="1"/>
  <c r="BR1304" i="1"/>
  <c r="BR1305" i="1"/>
  <c r="BR1306" i="1"/>
  <c r="BR1307" i="1"/>
  <c r="BR1308" i="1"/>
  <c r="BR1309" i="1"/>
  <c r="BR1310" i="1"/>
  <c r="BR1311" i="1"/>
  <c r="BR1312" i="1"/>
  <c r="BR1313" i="1"/>
  <c r="BR1314" i="1"/>
  <c r="BR1315" i="1"/>
  <c r="BR1316" i="1"/>
  <c r="BR1317" i="1"/>
  <c r="BR1318" i="1"/>
  <c r="BR1319" i="1"/>
  <c r="BR1320" i="1"/>
  <c r="BR1321" i="1"/>
  <c r="BR1322" i="1"/>
  <c r="BR1323" i="1"/>
  <c r="BR1324" i="1"/>
  <c r="BR1325" i="1"/>
  <c r="BR1326" i="1"/>
  <c r="BR1327" i="1"/>
  <c r="BR1328" i="1"/>
  <c r="BR1329" i="1"/>
  <c r="BR1330" i="1"/>
  <c r="BR1331" i="1"/>
  <c r="BR1332" i="1"/>
  <c r="BR1333" i="1"/>
  <c r="BR1334" i="1"/>
  <c r="BR1335" i="1"/>
  <c r="BR1336" i="1"/>
  <c r="BR1337" i="1"/>
  <c r="BR1338" i="1"/>
  <c r="BR1339" i="1"/>
  <c r="BR1340" i="1"/>
  <c r="BR1341" i="1"/>
  <c r="BR1342" i="1"/>
  <c r="BR1343" i="1"/>
  <c r="BR1344" i="1"/>
  <c r="BR1345" i="1"/>
  <c r="BR1346" i="1"/>
  <c r="BR1347" i="1"/>
  <c r="BR1348" i="1"/>
  <c r="BR1349" i="1"/>
  <c r="BR1350" i="1"/>
  <c r="BR1351" i="1"/>
  <c r="BR1352" i="1"/>
  <c r="BR1353" i="1"/>
  <c r="BR1354" i="1"/>
  <c r="BR1355" i="1"/>
  <c r="BR1356" i="1"/>
  <c r="BR1357" i="1"/>
  <c r="BR1358" i="1"/>
  <c r="BR1359" i="1"/>
  <c r="BR1360" i="1"/>
  <c r="BR1361" i="1"/>
  <c r="BR1362" i="1"/>
  <c r="BR1363" i="1"/>
  <c r="BR1364" i="1"/>
  <c r="BR1365" i="1"/>
  <c r="BR1366" i="1"/>
  <c r="BR1367" i="1"/>
  <c r="BR1368" i="1"/>
  <c r="BR1369" i="1"/>
  <c r="BR1370" i="1"/>
  <c r="BR1371" i="1"/>
  <c r="BR1372" i="1"/>
  <c r="BR1373" i="1"/>
  <c r="BR1374" i="1"/>
  <c r="BR1375" i="1"/>
  <c r="BR1376" i="1"/>
  <c r="BR1377" i="1"/>
  <c r="BR1378" i="1"/>
  <c r="BR1379" i="1"/>
  <c r="BR1380" i="1"/>
  <c r="BR1381" i="1"/>
  <c r="BR1382" i="1"/>
  <c r="BR1383" i="1"/>
  <c r="BR1384" i="1"/>
  <c r="BV136" i="1"/>
  <c r="BV137" i="1"/>
  <c r="BV138" i="1"/>
  <c r="BV139" i="1"/>
  <c r="BV140" i="1"/>
  <c r="BV141" i="1"/>
  <c r="BV142" i="1"/>
  <c r="BV143" i="1"/>
  <c r="BV144" i="1"/>
  <c r="BV145" i="1"/>
  <c r="BV146" i="1"/>
  <c r="BV147" i="1"/>
  <c r="BV148" i="1"/>
  <c r="BV149" i="1"/>
  <c r="BV150" i="1"/>
  <c r="BV151" i="1"/>
  <c r="BV152" i="1"/>
  <c r="BV153" i="1"/>
  <c r="BV154" i="1"/>
  <c r="BV155" i="1"/>
  <c r="BV156" i="1"/>
  <c r="BV157" i="1"/>
  <c r="BV158" i="1"/>
  <c r="BV159" i="1"/>
  <c r="BV160" i="1"/>
  <c r="BV161" i="1"/>
  <c r="BV162" i="1"/>
  <c r="BV163" i="1"/>
  <c r="BV164" i="1"/>
  <c r="BV165" i="1"/>
  <c r="BV166" i="1"/>
  <c r="BV167" i="1"/>
  <c r="BV168" i="1"/>
  <c r="BV169" i="1"/>
  <c r="BV170" i="1"/>
  <c r="BV171" i="1"/>
  <c r="BV172" i="1"/>
  <c r="BV173" i="1"/>
  <c r="BV174" i="1"/>
  <c r="BV175" i="1"/>
  <c r="BV176" i="1"/>
  <c r="BV177" i="1"/>
  <c r="BV178" i="1"/>
  <c r="BV179" i="1"/>
  <c r="BV180" i="1"/>
  <c r="BV181" i="1"/>
  <c r="BV182" i="1"/>
  <c r="BV183" i="1"/>
  <c r="BV184" i="1"/>
  <c r="BV185" i="1"/>
  <c r="BV186" i="1"/>
  <c r="BV187" i="1"/>
  <c r="BV188" i="1"/>
  <c r="BV189" i="1"/>
  <c r="BV190" i="1"/>
  <c r="BV191" i="1"/>
  <c r="BV192" i="1"/>
  <c r="BV193" i="1"/>
  <c r="BV194" i="1"/>
  <c r="BV195" i="1"/>
  <c r="BV196" i="1"/>
  <c r="BV197" i="1"/>
  <c r="BV198" i="1"/>
  <c r="BV199" i="1"/>
  <c r="BV200" i="1"/>
  <c r="BV201" i="1"/>
  <c r="BV202" i="1"/>
  <c r="BV203" i="1"/>
  <c r="BV204" i="1"/>
  <c r="BV205" i="1"/>
  <c r="BV206" i="1"/>
  <c r="BV207" i="1"/>
  <c r="BV208" i="1"/>
  <c r="BV209" i="1"/>
  <c r="BV210" i="1"/>
  <c r="BV211" i="1"/>
  <c r="BV212" i="1"/>
  <c r="BV213" i="1"/>
  <c r="BV214" i="1"/>
  <c r="BV215" i="1"/>
  <c r="BV216" i="1"/>
  <c r="BV217" i="1"/>
  <c r="BV218" i="1"/>
  <c r="BV219" i="1"/>
  <c r="BV220" i="1"/>
  <c r="BV221" i="1"/>
  <c r="BV222" i="1"/>
  <c r="BV223" i="1"/>
  <c r="BV224" i="1"/>
  <c r="BV225" i="1"/>
  <c r="BV226" i="1"/>
  <c r="BV227" i="1"/>
  <c r="BV228" i="1"/>
  <c r="BV229" i="1"/>
  <c r="BV230" i="1"/>
  <c r="BV231" i="1"/>
  <c r="BV232" i="1"/>
  <c r="BV233" i="1"/>
  <c r="BV234" i="1"/>
  <c r="BV235" i="1"/>
  <c r="BV236" i="1"/>
  <c r="BV237" i="1"/>
  <c r="BV238" i="1"/>
  <c r="BV239" i="1"/>
  <c r="BV240" i="1"/>
  <c r="BV241" i="1"/>
  <c r="BV242" i="1"/>
  <c r="BV243" i="1"/>
  <c r="BV244" i="1"/>
  <c r="BV245" i="1"/>
  <c r="BV246" i="1"/>
  <c r="BV247" i="1"/>
  <c r="BV248" i="1"/>
  <c r="BV249" i="1"/>
  <c r="BV250" i="1"/>
  <c r="BV251" i="1"/>
  <c r="BV252" i="1"/>
  <c r="BV253" i="1"/>
  <c r="BV254" i="1"/>
  <c r="BV255" i="1"/>
  <c r="BV256" i="1"/>
  <c r="BV257" i="1"/>
  <c r="BV258" i="1"/>
  <c r="BV259" i="1"/>
  <c r="BV260" i="1"/>
  <c r="BV261" i="1"/>
  <c r="BV262" i="1"/>
  <c r="BV263" i="1"/>
  <c r="BV264" i="1"/>
  <c r="BV265" i="1"/>
  <c r="BV266" i="1"/>
  <c r="BV267" i="1"/>
  <c r="BV268" i="1"/>
  <c r="BV269" i="1"/>
  <c r="BV270" i="1"/>
  <c r="BV271" i="1"/>
  <c r="BV272" i="1"/>
  <c r="BV273" i="1"/>
  <c r="BV274" i="1"/>
  <c r="BV275" i="1"/>
  <c r="BV276" i="1"/>
  <c r="BV277" i="1"/>
  <c r="BV278" i="1"/>
  <c r="BV279" i="1"/>
  <c r="BV280" i="1"/>
  <c r="BV281" i="1"/>
  <c r="BV282" i="1"/>
  <c r="BV283" i="1"/>
  <c r="BV284" i="1"/>
  <c r="BV285" i="1"/>
  <c r="BV286" i="1"/>
  <c r="BV287" i="1"/>
  <c r="BV288" i="1"/>
  <c r="BV289" i="1"/>
  <c r="BV290" i="1"/>
  <c r="BV291" i="1"/>
  <c r="BV292" i="1"/>
  <c r="BV293" i="1"/>
  <c r="BV294" i="1"/>
  <c r="BV295" i="1"/>
  <c r="BV296" i="1"/>
  <c r="BV297" i="1"/>
  <c r="BV298" i="1"/>
  <c r="BV299" i="1"/>
  <c r="BV300" i="1"/>
  <c r="BV301" i="1"/>
  <c r="BV302" i="1"/>
  <c r="BV303" i="1"/>
  <c r="BV304" i="1"/>
  <c r="BV305" i="1"/>
  <c r="BV306" i="1"/>
  <c r="BV307" i="1"/>
  <c r="BV308" i="1"/>
  <c r="BV309" i="1"/>
  <c r="BV310" i="1"/>
  <c r="BV311" i="1"/>
  <c r="BV312" i="1"/>
  <c r="BV313" i="1"/>
  <c r="BV314" i="1"/>
  <c r="BV315" i="1"/>
  <c r="BV316" i="1"/>
  <c r="BV317" i="1"/>
  <c r="BV318" i="1"/>
  <c r="BV319" i="1"/>
  <c r="BV320" i="1"/>
  <c r="BV321" i="1"/>
  <c r="BV322" i="1"/>
  <c r="BV323" i="1"/>
  <c r="BV324" i="1"/>
  <c r="BV325" i="1"/>
  <c r="BV326" i="1"/>
  <c r="BV327" i="1"/>
  <c r="BV328" i="1"/>
  <c r="BV329" i="1"/>
  <c r="BV330" i="1"/>
  <c r="BV331" i="1"/>
  <c r="BV332" i="1"/>
  <c r="BV333" i="1"/>
  <c r="BV334" i="1"/>
  <c r="BV335" i="1"/>
  <c r="BV336" i="1"/>
  <c r="BV337" i="1"/>
  <c r="BV338" i="1"/>
  <c r="BV339" i="1"/>
  <c r="BV340" i="1"/>
  <c r="BV341" i="1"/>
  <c r="BV342" i="1"/>
  <c r="BV343" i="1"/>
  <c r="BV344" i="1"/>
  <c r="BV345" i="1"/>
  <c r="BV346" i="1"/>
  <c r="BV347" i="1"/>
  <c r="BV348" i="1"/>
  <c r="BV349" i="1"/>
  <c r="BV350" i="1"/>
  <c r="BV351" i="1"/>
  <c r="BV352" i="1"/>
  <c r="BV353" i="1"/>
  <c r="BV354" i="1"/>
  <c r="BV355" i="1"/>
  <c r="BV356" i="1"/>
  <c r="BV357" i="1"/>
  <c r="BV358" i="1"/>
  <c r="BV359" i="1"/>
  <c r="BV360" i="1"/>
  <c r="BV361" i="1"/>
  <c r="BV362" i="1"/>
  <c r="BV363" i="1"/>
  <c r="BV364" i="1"/>
  <c r="BV365" i="1"/>
  <c r="BV366" i="1"/>
  <c r="BV367" i="1"/>
  <c r="BV368" i="1"/>
  <c r="BV369" i="1"/>
  <c r="BV370" i="1"/>
  <c r="BV371" i="1"/>
  <c r="BV372" i="1"/>
  <c r="BV373" i="1"/>
  <c r="BV374" i="1"/>
  <c r="BV375" i="1"/>
  <c r="BV376" i="1"/>
  <c r="BV377" i="1"/>
  <c r="BV378" i="1"/>
  <c r="BV379" i="1"/>
  <c r="BV380" i="1"/>
  <c r="BV381" i="1"/>
  <c r="BV382" i="1"/>
  <c r="BV383" i="1"/>
  <c r="BV384" i="1"/>
  <c r="BV385" i="1"/>
  <c r="BV386" i="1"/>
  <c r="BV387" i="1"/>
  <c r="BV388" i="1"/>
  <c r="BV389" i="1"/>
  <c r="BV390" i="1"/>
  <c r="BV391" i="1"/>
  <c r="BV392" i="1"/>
  <c r="BV393" i="1"/>
  <c r="BV394" i="1"/>
  <c r="BV395" i="1"/>
  <c r="BV396" i="1"/>
  <c r="BV397" i="1"/>
  <c r="BV398" i="1"/>
  <c r="BV399" i="1"/>
  <c r="BV400" i="1"/>
  <c r="BV401" i="1"/>
  <c r="BV402" i="1"/>
  <c r="BV403" i="1"/>
  <c r="BV404" i="1"/>
  <c r="BV405" i="1"/>
  <c r="BV406" i="1"/>
  <c r="BV407" i="1"/>
  <c r="BV408" i="1"/>
  <c r="BV409" i="1"/>
  <c r="BV410" i="1"/>
  <c r="BV411" i="1"/>
  <c r="BV412" i="1"/>
  <c r="BV413" i="1"/>
  <c r="BV414" i="1"/>
  <c r="BV415" i="1"/>
  <c r="BV416" i="1"/>
  <c r="BV417" i="1"/>
  <c r="BV418" i="1"/>
  <c r="BV419" i="1"/>
  <c r="BV420" i="1"/>
  <c r="BV421" i="1"/>
  <c r="BV422" i="1"/>
  <c r="BV423" i="1"/>
  <c r="BV424" i="1"/>
  <c r="BV425" i="1"/>
  <c r="BV426" i="1"/>
  <c r="BV427" i="1"/>
  <c r="BV428" i="1"/>
  <c r="BV429" i="1"/>
  <c r="BV430" i="1"/>
  <c r="BV431" i="1"/>
  <c r="BV432" i="1"/>
  <c r="BV433" i="1"/>
  <c r="BV434" i="1"/>
  <c r="BV435" i="1"/>
  <c r="BV436" i="1"/>
  <c r="BV437" i="1"/>
  <c r="BV438" i="1"/>
  <c r="BV439" i="1"/>
  <c r="BV440" i="1"/>
  <c r="BV441" i="1"/>
  <c r="BV442" i="1"/>
  <c r="BV443" i="1"/>
  <c r="BV444" i="1"/>
  <c r="BV445" i="1"/>
  <c r="BV446" i="1"/>
  <c r="BV447" i="1"/>
  <c r="BV448" i="1"/>
  <c r="BV449" i="1"/>
  <c r="BV450" i="1"/>
  <c r="BV451" i="1"/>
  <c r="BV452" i="1"/>
  <c r="BV453" i="1"/>
  <c r="BV454" i="1"/>
  <c r="BV455" i="1"/>
  <c r="BV456" i="1"/>
  <c r="BV457" i="1"/>
  <c r="BV458" i="1"/>
  <c r="BV459" i="1"/>
  <c r="BV460" i="1"/>
  <c r="BV461" i="1"/>
  <c r="BV462" i="1"/>
  <c r="BV463" i="1"/>
  <c r="BV464" i="1"/>
  <c r="BV465" i="1"/>
  <c r="BV466" i="1"/>
  <c r="BV467" i="1"/>
  <c r="BV468" i="1"/>
  <c r="BV469" i="1"/>
  <c r="BV470" i="1"/>
  <c r="BV471" i="1"/>
  <c r="BV472" i="1"/>
  <c r="BV473" i="1"/>
  <c r="BV474" i="1"/>
  <c r="BV475" i="1"/>
  <c r="BV476" i="1"/>
  <c r="BV477" i="1"/>
  <c r="BV478" i="1"/>
  <c r="BV479" i="1"/>
  <c r="BV480" i="1"/>
  <c r="BV481" i="1"/>
  <c r="BV482" i="1"/>
  <c r="BV483" i="1"/>
  <c r="BV484" i="1"/>
  <c r="BV485" i="1"/>
  <c r="BV486" i="1"/>
  <c r="BV487" i="1"/>
  <c r="BV488" i="1"/>
  <c r="BV489" i="1"/>
  <c r="BV490" i="1"/>
  <c r="BV491" i="1"/>
  <c r="BV492" i="1"/>
  <c r="BV493" i="1"/>
  <c r="BV494" i="1"/>
  <c r="BV495" i="1"/>
  <c r="BV496" i="1"/>
  <c r="BV497" i="1"/>
  <c r="BV498" i="1"/>
  <c r="BV499" i="1"/>
  <c r="BV500" i="1"/>
  <c r="BV501" i="1"/>
  <c r="BV502" i="1"/>
  <c r="BV503" i="1"/>
  <c r="BV504" i="1"/>
  <c r="BV505" i="1"/>
  <c r="BV506" i="1"/>
  <c r="BV507" i="1"/>
  <c r="BV508" i="1"/>
  <c r="BV509" i="1"/>
  <c r="BV510" i="1"/>
  <c r="BV511" i="1"/>
  <c r="BV512" i="1"/>
  <c r="BV513" i="1"/>
  <c r="BV514" i="1"/>
  <c r="BV515" i="1"/>
  <c r="BV516" i="1"/>
  <c r="BV517" i="1"/>
  <c r="BV518" i="1"/>
  <c r="BV519" i="1"/>
  <c r="BV520" i="1"/>
  <c r="BV521" i="1"/>
  <c r="BV522" i="1"/>
  <c r="BV523" i="1"/>
  <c r="BV524" i="1"/>
  <c r="BV525" i="1"/>
  <c r="BV526" i="1"/>
  <c r="BV527" i="1"/>
  <c r="BV528" i="1"/>
  <c r="BV529" i="1"/>
  <c r="BV530" i="1"/>
  <c r="BV531" i="1"/>
  <c r="BV532" i="1"/>
  <c r="BV533" i="1"/>
  <c r="BV534" i="1"/>
  <c r="BV535" i="1"/>
  <c r="BV536" i="1"/>
  <c r="BV537" i="1"/>
  <c r="BV538" i="1"/>
  <c r="BV539" i="1"/>
  <c r="BV540" i="1"/>
  <c r="BV541" i="1"/>
  <c r="BV542" i="1"/>
  <c r="BV543" i="1"/>
  <c r="BV544" i="1"/>
  <c r="BV545" i="1"/>
  <c r="BV546" i="1"/>
  <c r="BV547" i="1"/>
  <c r="BV548" i="1"/>
  <c r="BV549" i="1"/>
  <c r="BV550" i="1"/>
  <c r="BV551" i="1"/>
  <c r="BV552" i="1"/>
  <c r="BV553" i="1"/>
  <c r="BV554" i="1"/>
  <c r="BV555" i="1"/>
  <c r="BV556" i="1"/>
  <c r="BV557" i="1"/>
  <c r="BV558" i="1"/>
  <c r="BV559" i="1"/>
  <c r="BV560" i="1"/>
  <c r="BV561" i="1"/>
  <c r="BV562" i="1"/>
  <c r="BV563" i="1"/>
  <c r="BV564" i="1"/>
  <c r="BV565" i="1"/>
  <c r="BV566" i="1"/>
  <c r="BV567" i="1"/>
  <c r="BV568" i="1"/>
  <c r="BV569" i="1"/>
  <c r="BV570" i="1"/>
  <c r="BV571" i="1"/>
  <c r="BV572" i="1"/>
  <c r="BV573" i="1"/>
  <c r="BV574" i="1"/>
  <c r="BV575" i="1"/>
  <c r="BV576" i="1"/>
  <c r="BV577" i="1"/>
  <c r="BV578" i="1"/>
  <c r="BV579" i="1"/>
  <c r="BV580" i="1"/>
  <c r="BV581" i="1"/>
  <c r="BV582" i="1"/>
  <c r="BV583" i="1"/>
  <c r="BV584" i="1"/>
  <c r="BV585" i="1"/>
  <c r="BV586" i="1"/>
  <c r="BV587" i="1"/>
  <c r="BV588" i="1"/>
  <c r="BV589" i="1"/>
  <c r="BV590" i="1"/>
  <c r="BV591" i="1"/>
  <c r="BV592" i="1"/>
  <c r="BV593" i="1"/>
  <c r="BV594" i="1"/>
  <c r="BV595" i="1"/>
  <c r="BV596" i="1"/>
  <c r="BV597" i="1"/>
  <c r="BV598" i="1"/>
  <c r="BV599" i="1"/>
  <c r="BV600" i="1"/>
  <c r="BV601" i="1"/>
  <c r="BV602" i="1"/>
  <c r="BV603" i="1"/>
  <c r="BV604" i="1"/>
  <c r="BV605" i="1"/>
  <c r="BV606" i="1"/>
  <c r="BV607" i="1"/>
  <c r="BV608" i="1"/>
  <c r="BV609" i="1"/>
  <c r="BV610" i="1"/>
  <c r="BV611" i="1"/>
  <c r="BV612" i="1"/>
  <c r="BV613" i="1"/>
  <c r="BV614" i="1"/>
  <c r="BV615" i="1"/>
  <c r="BV616" i="1"/>
  <c r="BV617" i="1"/>
  <c r="BV618" i="1"/>
  <c r="BV619" i="1"/>
  <c r="BV620" i="1"/>
  <c r="BV621" i="1"/>
  <c r="BV622" i="1"/>
  <c r="BV623" i="1"/>
  <c r="BV624" i="1"/>
  <c r="BV625" i="1"/>
  <c r="BV626" i="1"/>
  <c r="BV627" i="1"/>
  <c r="BV628" i="1"/>
  <c r="BV629" i="1"/>
  <c r="BV630" i="1"/>
  <c r="BV631" i="1"/>
  <c r="BV632" i="1"/>
  <c r="BV633" i="1"/>
  <c r="BV634" i="1"/>
  <c r="BV635" i="1"/>
  <c r="BV636" i="1"/>
  <c r="BV637" i="1"/>
  <c r="BV638" i="1"/>
  <c r="BV639" i="1"/>
  <c r="BV640" i="1"/>
  <c r="BV641" i="1"/>
  <c r="BV642" i="1"/>
  <c r="BV643" i="1"/>
  <c r="BV644" i="1"/>
  <c r="BV645" i="1"/>
  <c r="BV646" i="1"/>
  <c r="BV647" i="1"/>
  <c r="BV648" i="1"/>
  <c r="BV649" i="1"/>
  <c r="BV650" i="1"/>
  <c r="BV651" i="1"/>
  <c r="BV652" i="1"/>
  <c r="BV653" i="1"/>
  <c r="BV654" i="1"/>
  <c r="BV655" i="1"/>
  <c r="BV656" i="1"/>
  <c r="BV657" i="1"/>
  <c r="BV658" i="1"/>
  <c r="BV659" i="1"/>
  <c r="BV660" i="1"/>
  <c r="BV661" i="1"/>
  <c r="BV662" i="1"/>
  <c r="BV663" i="1"/>
  <c r="BV664" i="1"/>
  <c r="BV665" i="1"/>
  <c r="BV666" i="1"/>
  <c r="BV667" i="1"/>
  <c r="BV668" i="1"/>
  <c r="BV669" i="1"/>
  <c r="BV670" i="1"/>
  <c r="BV671" i="1"/>
  <c r="BV672" i="1"/>
  <c r="BV673" i="1"/>
  <c r="BV674" i="1"/>
  <c r="BV675" i="1"/>
  <c r="BV676" i="1"/>
  <c r="BV677" i="1"/>
  <c r="BV678" i="1"/>
  <c r="BV679" i="1"/>
  <c r="BV680" i="1"/>
  <c r="BV681" i="1"/>
  <c r="BV682" i="1"/>
  <c r="BV683" i="1"/>
  <c r="BV684" i="1"/>
  <c r="BV685" i="1"/>
  <c r="BV686" i="1"/>
  <c r="BV687" i="1"/>
  <c r="BV688" i="1"/>
  <c r="BV689" i="1"/>
  <c r="BV690" i="1"/>
  <c r="BV691" i="1"/>
  <c r="BV692" i="1"/>
  <c r="BV693" i="1"/>
  <c r="BV694" i="1"/>
  <c r="BV695" i="1"/>
  <c r="BV696" i="1"/>
  <c r="BV697" i="1"/>
  <c r="BV698" i="1"/>
  <c r="BV699" i="1"/>
  <c r="BV700" i="1"/>
  <c r="BV701" i="1"/>
  <c r="BV702" i="1"/>
  <c r="BV703" i="1"/>
  <c r="BV704" i="1"/>
  <c r="BV705" i="1"/>
  <c r="BV706" i="1"/>
  <c r="BV707" i="1"/>
  <c r="BV708" i="1"/>
  <c r="BV709" i="1"/>
  <c r="BV710" i="1"/>
  <c r="BV711" i="1"/>
  <c r="BV712" i="1"/>
  <c r="BV713" i="1"/>
  <c r="BV714" i="1"/>
  <c r="BV715" i="1"/>
  <c r="BV716" i="1"/>
  <c r="BV717" i="1"/>
  <c r="BV718" i="1"/>
  <c r="BV719" i="1"/>
  <c r="BV720" i="1"/>
  <c r="BV721" i="1"/>
  <c r="BV722" i="1"/>
  <c r="BV723" i="1"/>
  <c r="BV724" i="1"/>
  <c r="BV725" i="1"/>
  <c r="BV726" i="1"/>
  <c r="BV727" i="1"/>
  <c r="BV728" i="1"/>
  <c r="BV729" i="1"/>
  <c r="BV730" i="1"/>
  <c r="BV731" i="1"/>
  <c r="BV732" i="1"/>
  <c r="BV733" i="1"/>
  <c r="BV734" i="1"/>
  <c r="BV735" i="1"/>
  <c r="BV736" i="1"/>
  <c r="BV737" i="1"/>
  <c r="BV738" i="1"/>
  <c r="BV739" i="1"/>
  <c r="BV740" i="1"/>
  <c r="BV741" i="1"/>
  <c r="BV742" i="1"/>
  <c r="BV743" i="1"/>
  <c r="BV744" i="1"/>
  <c r="BV745" i="1"/>
  <c r="BV746" i="1"/>
  <c r="BV747" i="1"/>
  <c r="BV748" i="1"/>
  <c r="BV749" i="1"/>
  <c r="BV750" i="1"/>
  <c r="BV751" i="1"/>
  <c r="BV752" i="1"/>
  <c r="BV753" i="1"/>
  <c r="BV754" i="1"/>
  <c r="BV755" i="1"/>
  <c r="BV756" i="1"/>
  <c r="BV757" i="1"/>
  <c r="BV758" i="1"/>
  <c r="BV759" i="1"/>
  <c r="BV760" i="1"/>
  <c r="BV761" i="1"/>
  <c r="BV762" i="1"/>
  <c r="BV763" i="1"/>
  <c r="BV764" i="1"/>
  <c r="BV765" i="1"/>
  <c r="BV766" i="1"/>
  <c r="BV767" i="1"/>
  <c r="BV768" i="1"/>
  <c r="BV769" i="1"/>
  <c r="BV770" i="1"/>
  <c r="BV771" i="1"/>
  <c r="BV772" i="1"/>
  <c r="BV773" i="1"/>
  <c r="BV774" i="1"/>
  <c r="BV775" i="1"/>
  <c r="BV776" i="1"/>
  <c r="BV777" i="1"/>
  <c r="BV778" i="1"/>
  <c r="BV779" i="1"/>
  <c r="BV780" i="1"/>
  <c r="BV781" i="1"/>
  <c r="BV782" i="1"/>
  <c r="BV783" i="1"/>
  <c r="BV784" i="1"/>
  <c r="BV785" i="1"/>
  <c r="BV786" i="1"/>
  <c r="BV787" i="1"/>
  <c r="BV788" i="1"/>
  <c r="BV789" i="1"/>
  <c r="BV790" i="1"/>
  <c r="BV791" i="1"/>
  <c r="BV792" i="1"/>
  <c r="BV793" i="1"/>
  <c r="BV794" i="1"/>
  <c r="BV795" i="1"/>
  <c r="BV796" i="1"/>
  <c r="BV797" i="1"/>
  <c r="BV798" i="1"/>
  <c r="BV799" i="1"/>
  <c r="BV800" i="1"/>
  <c r="BV801" i="1"/>
  <c r="BV802" i="1"/>
  <c r="BV803" i="1"/>
  <c r="BV804" i="1"/>
  <c r="BV805" i="1"/>
  <c r="BV806" i="1"/>
  <c r="BV807" i="1"/>
  <c r="BV808" i="1"/>
  <c r="BV809" i="1"/>
  <c r="BV810" i="1"/>
  <c r="BV811" i="1"/>
  <c r="BV812" i="1"/>
  <c r="BV813" i="1"/>
  <c r="BV814" i="1"/>
  <c r="BV815" i="1"/>
  <c r="BV816" i="1"/>
  <c r="BV817" i="1"/>
  <c r="BV818" i="1"/>
  <c r="BV819" i="1"/>
  <c r="BV820" i="1"/>
  <c r="BV821" i="1"/>
  <c r="BV822" i="1"/>
  <c r="BV823" i="1"/>
  <c r="BV824" i="1"/>
  <c r="BV825" i="1"/>
  <c r="BV826" i="1"/>
  <c r="BV827" i="1"/>
  <c r="BV828" i="1"/>
  <c r="BV829" i="1"/>
  <c r="BV830" i="1"/>
  <c r="BV831" i="1"/>
  <c r="BV832" i="1"/>
  <c r="BV833" i="1"/>
  <c r="BV834" i="1"/>
  <c r="BV835" i="1"/>
  <c r="BV836" i="1"/>
  <c r="BV837" i="1"/>
  <c r="BV838" i="1"/>
  <c r="BV839" i="1"/>
  <c r="BV840" i="1"/>
  <c r="BV841" i="1"/>
  <c r="BV842" i="1"/>
  <c r="BV843" i="1"/>
  <c r="BV844" i="1"/>
  <c r="BV845" i="1"/>
  <c r="BV846" i="1"/>
  <c r="BV847" i="1"/>
  <c r="BV848" i="1"/>
  <c r="BV849" i="1"/>
  <c r="BV850" i="1"/>
  <c r="BV851" i="1"/>
  <c r="BV852" i="1"/>
  <c r="BV853" i="1"/>
  <c r="BV854" i="1"/>
  <c r="BV855" i="1"/>
  <c r="BV856" i="1"/>
  <c r="BV857" i="1"/>
  <c r="BV858" i="1"/>
  <c r="BV859" i="1"/>
  <c r="BV860" i="1"/>
  <c r="BV861" i="1"/>
  <c r="BV862" i="1"/>
  <c r="BV863" i="1"/>
  <c r="BV864" i="1"/>
  <c r="BV865" i="1"/>
  <c r="BV866" i="1"/>
  <c r="BV867" i="1"/>
  <c r="BV868" i="1"/>
  <c r="BV869" i="1"/>
  <c r="BV870" i="1"/>
  <c r="BV871" i="1"/>
  <c r="BV872" i="1"/>
  <c r="BV873" i="1"/>
  <c r="BV874" i="1"/>
  <c r="BV875" i="1"/>
  <c r="BV876" i="1"/>
  <c r="BV877" i="1"/>
  <c r="BV878" i="1"/>
  <c r="BV879" i="1"/>
  <c r="BV880" i="1"/>
  <c r="BV881" i="1"/>
  <c r="BV882" i="1"/>
  <c r="BV883" i="1"/>
  <c r="BV884" i="1"/>
  <c r="BV885" i="1"/>
  <c r="BV886" i="1"/>
  <c r="BV887" i="1"/>
  <c r="BV888" i="1"/>
  <c r="BV889" i="1"/>
  <c r="BV890" i="1"/>
  <c r="BV891" i="1"/>
  <c r="BV892" i="1"/>
  <c r="BV893" i="1"/>
  <c r="BV894" i="1"/>
  <c r="BV895" i="1"/>
  <c r="BV896" i="1"/>
  <c r="BV897" i="1"/>
  <c r="BV898" i="1"/>
  <c r="BV899" i="1"/>
  <c r="BV900" i="1"/>
  <c r="BV901" i="1"/>
  <c r="BV902" i="1"/>
  <c r="BV903" i="1"/>
  <c r="BV904" i="1"/>
  <c r="BV905" i="1"/>
  <c r="BV906" i="1"/>
  <c r="BV907" i="1"/>
  <c r="BV908" i="1"/>
  <c r="BV909" i="1"/>
  <c r="BV910" i="1"/>
  <c r="BV911" i="1"/>
  <c r="BV912" i="1"/>
  <c r="BV913" i="1"/>
  <c r="BV914" i="1"/>
  <c r="BV915" i="1"/>
  <c r="BV916" i="1"/>
  <c r="BV917" i="1"/>
  <c r="BV918" i="1"/>
  <c r="BV919" i="1"/>
  <c r="BV920" i="1"/>
  <c r="BV921" i="1"/>
  <c r="BV922" i="1"/>
  <c r="BV923" i="1"/>
  <c r="BV924" i="1"/>
  <c r="BV925" i="1"/>
  <c r="BV926" i="1"/>
  <c r="BV927" i="1"/>
  <c r="BV928" i="1"/>
  <c r="BV929" i="1"/>
  <c r="BV930" i="1"/>
  <c r="BV931" i="1"/>
  <c r="BV932" i="1"/>
  <c r="BV933" i="1"/>
  <c r="BV934" i="1"/>
  <c r="BV935" i="1"/>
  <c r="BV936" i="1"/>
  <c r="BV937" i="1"/>
  <c r="BV938" i="1"/>
  <c r="BV939" i="1"/>
  <c r="BV940" i="1"/>
  <c r="BV941" i="1"/>
  <c r="BV942" i="1"/>
  <c r="BV943" i="1"/>
  <c r="BV944" i="1"/>
  <c r="BV945" i="1"/>
  <c r="BV946" i="1"/>
  <c r="BV947" i="1"/>
  <c r="BV948" i="1"/>
  <c r="BV949" i="1"/>
  <c r="BV950" i="1"/>
  <c r="BV951" i="1"/>
  <c r="BV952" i="1"/>
  <c r="BV953" i="1"/>
  <c r="BV954" i="1"/>
  <c r="BV955" i="1"/>
  <c r="BV956" i="1"/>
  <c r="BV957" i="1"/>
  <c r="BV958" i="1"/>
  <c r="BV959" i="1"/>
  <c r="BV960" i="1"/>
  <c r="BV961" i="1"/>
  <c r="BV962" i="1"/>
  <c r="BV963" i="1"/>
  <c r="BV964" i="1"/>
  <c r="BV965" i="1"/>
  <c r="BV966" i="1"/>
  <c r="BV967" i="1"/>
  <c r="BV968" i="1"/>
  <c r="BV969" i="1"/>
  <c r="BV970" i="1"/>
  <c r="BV971" i="1"/>
  <c r="BV972" i="1"/>
  <c r="BV973" i="1"/>
  <c r="BV974" i="1"/>
  <c r="BV975" i="1"/>
  <c r="BV976" i="1"/>
  <c r="BV977" i="1"/>
  <c r="BV978" i="1"/>
  <c r="BV979" i="1"/>
  <c r="BV980" i="1"/>
  <c r="BV981" i="1"/>
  <c r="BV982" i="1"/>
  <c r="BV983" i="1"/>
  <c r="BV984" i="1"/>
  <c r="BV985" i="1"/>
  <c r="BV986" i="1"/>
  <c r="BV987" i="1"/>
  <c r="BV988" i="1"/>
  <c r="BV989" i="1"/>
  <c r="BV990" i="1"/>
  <c r="BV991" i="1"/>
  <c r="BV992" i="1"/>
  <c r="BV993" i="1"/>
  <c r="BV994" i="1"/>
  <c r="BV995" i="1"/>
  <c r="BV996" i="1"/>
  <c r="BV997" i="1"/>
  <c r="BV998" i="1"/>
  <c r="BV999" i="1"/>
  <c r="BV1000" i="1"/>
  <c r="BV1001" i="1"/>
  <c r="BV1002" i="1"/>
  <c r="BV1003" i="1"/>
  <c r="BV1004" i="1"/>
  <c r="BV1005" i="1"/>
  <c r="BV1006" i="1"/>
  <c r="BV1007" i="1"/>
  <c r="BV1008" i="1"/>
  <c r="BV1009" i="1"/>
  <c r="BV1010" i="1"/>
  <c r="BV1011" i="1"/>
  <c r="BV1012" i="1"/>
  <c r="BV1013" i="1"/>
  <c r="BV1014" i="1"/>
  <c r="BV1015" i="1"/>
  <c r="BV1016" i="1"/>
  <c r="BV1017" i="1"/>
  <c r="BV1018" i="1"/>
  <c r="BV1019" i="1"/>
  <c r="BV1020" i="1"/>
  <c r="BV1021" i="1"/>
  <c r="BV1022" i="1"/>
  <c r="BV1023" i="1"/>
  <c r="BV1024" i="1"/>
  <c r="BV1025" i="1"/>
  <c r="BV1026" i="1"/>
  <c r="BV1027" i="1"/>
  <c r="BV1028" i="1"/>
  <c r="BV1029" i="1"/>
  <c r="BV1030" i="1"/>
  <c r="BV1031" i="1"/>
  <c r="BV1032" i="1"/>
  <c r="BV1033" i="1"/>
  <c r="BV1034" i="1"/>
  <c r="BV1035" i="1"/>
  <c r="BV1036" i="1"/>
  <c r="BV1037" i="1"/>
  <c r="BV1038" i="1"/>
  <c r="BV1039" i="1"/>
  <c r="BV1040" i="1"/>
  <c r="BV1041" i="1"/>
  <c r="BV1042" i="1"/>
  <c r="BV1043" i="1"/>
  <c r="BV1044" i="1"/>
  <c r="BV1045" i="1"/>
  <c r="BV1046" i="1"/>
  <c r="BV1047" i="1"/>
  <c r="BV1048" i="1"/>
  <c r="BV1049" i="1"/>
  <c r="BV1050" i="1"/>
  <c r="BV1051" i="1"/>
  <c r="BV1052" i="1"/>
  <c r="BV1053" i="1"/>
  <c r="BV1054" i="1"/>
  <c r="BV1055" i="1"/>
  <c r="BV1056" i="1"/>
  <c r="BV1057" i="1"/>
  <c r="BV1058" i="1"/>
  <c r="BV1059" i="1"/>
  <c r="BV1060" i="1"/>
  <c r="BV1061" i="1"/>
  <c r="BV1062" i="1"/>
  <c r="BV1063" i="1"/>
  <c r="BV1064" i="1"/>
  <c r="BV1065" i="1"/>
  <c r="BV1066" i="1"/>
  <c r="BV1067" i="1"/>
  <c r="BV1068" i="1"/>
  <c r="BV1069" i="1"/>
  <c r="BV1070" i="1"/>
  <c r="BV1071" i="1"/>
  <c r="BV1072" i="1"/>
  <c r="BV1073" i="1"/>
  <c r="BV1074" i="1"/>
  <c r="BV1075" i="1"/>
  <c r="BV1076" i="1"/>
  <c r="BV1077" i="1"/>
  <c r="BV1078" i="1"/>
  <c r="BV1079" i="1"/>
  <c r="BV1080" i="1"/>
  <c r="BV1081" i="1"/>
  <c r="BV1082" i="1"/>
  <c r="BV1083" i="1"/>
  <c r="BV1084" i="1"/>
  <c r="BV1085" i="1"/>
  <c r="BV1086" i="1"/>
  <c r="BV1087" i="1"/>
  <c r="BV1088" i="1"/>
  <c r="BV1089" i="1"/>
  <c r="BV1090" i="1"/>
  <c r="BV1091" i="1"/>
  <c r="BV1092" i="1"/>
  <c r="BV1093" i="1"/>
  <c r="BV1094" i="1"/>
  <c r="BV1095" i="1"/>
  <c r="BV1096" i="1"/>
  <c r="BV1097" i="1"/>
  <c r="BV1098" i="1"/>
  <c r="BV1099" i="1"/>
  <c r="BV1100" i="1"/>
  <c r="BV1101" i="1"/>
  <c r="BV1102" i="1"/>
  <c r="BV1103" i="1"/>
  <c r="BV1104" i="1"/>
  <c r="BV1105" i="1"/>
  <c r="BV1106" i="1"/>
  <c r="BV1107" i="1"/>
  <c r="BV1108" i="1"/>
  <c r="BV1109" i="1"/>
  <c r="BV1110" i="1"/>
  <c r="BV1111" i="1"/>
  <c r="BV1112" i="1"/>
  <c r="BV1113" i="1"/>
  <c r="BV1114" i="1"/>
  <c r="BV1115" i="1"/>
  <c r="BV1116" i="1"/>
  <c r="BV1117" i="1"/>
  <c r="BV1118" i="1"/>
  <c r="BV1119" i="1"/>
  <c r="BV1120" i="1"/>
  <c r="BV1121" i="1"/>
  <c r="BV1122" i="1"/>
  <c r="BV1123" i="1"/>
  <c r="BV1124" i="1"/>
  <c r="BV1125" i="1"/>
  <c r="BV1126" i="1"/>
  <c r="BV1127" i="1"/>
  <c r="BV1128" i="1"/>
  <c r="BV1129" i="1"/>
  <c r="BV1130" i="1"/>
  <c r="BV1131" i="1"/>
  <c r="BV1132" i="1"/>
  <c r="BV1133" i="1"/>
  <c r="BV1134" i="1"/>
  <c r="BV1135" i="1"/>
  <c r="BV1136" i="1"/>
  <c r="BV1137" i="1"/>
  <c r="BV1138" i="1"/>
  <c r="BV1139" i="1"/>
  <c r="BV1140" i="1"/>
  <c r="BV1141" i="1"/>
  <c r="BV1142" i="1"/>
  <c r="BV1143" i="1"/>
  <c r="BV1144" i="1"/>
  <c r="BV1145" i="1"/>
  <c r="BV1146" i="1"/>
  <c r="BV1147" i="1"/>
  <c r="BV1148" i="1"/>
  <c r="BV1149" i="1"/>
  <c r="BV1150" i="1"/>
  <c r="BV1151" i="1"/>
  <c r="BV1152" i="1"/>
  <c r="BV1153" i="1"/>
  <c r="BV1154" i="1"/>
  <c r="BV1155" i="1"/>
  <c r="BV1156" i="1"/>
  <c r="BV1157" i="1"/>
  <c r="BV1158" i="1"/>
  <c r="BV1159" i="1"/>
  <c r="BV1160" i="1"/>
  <c r="BV1161" i="1"/>
  <c r="BV1162" i="1"/>
  <c r="BV1163" i="1"/>
  <c r="BV1164" i="1"/>
  <c r="BV1165" i="1"/>
  <c r="BV1166" i="1"/>
  <c r="BV1167" i="1"/>
  <c r="BV1168" i="1"/>
  <c r="BV1169" i="1"/>
  <c r="BV1170" i="1"/>
  <c r="BV1171" i="1"/>
  <c r="BV1172" i="1"/>
  <c r="BV1173" i="1"/>
  <c r="BV1174" i="1"/>
  <c r="BV1175" i="1"/>
  <c r="BV1176" i="1"/>
  <c r="BV1177" i="1"/>
  <c r="BV1178" i="1"/>
  <c r="BV1179" i="1"/>
  <c r="BV1180" i="1"/>
  <c r="BV1181" i="1"/>
  <c r="BV1182" i="1"/>
  <c r="BV1183" i="1"/>
  <c r="BV1184" i="1"/>
  <c r="BV1185" i="1"/>
  <c r="BV1186" i="1"/>
  <c r="BV1187" i="1"/>
  <c r="BV1188" i="1"/>
  <c r="BV1189" i="1"/>
  <c r="BV1190" i="1"/>
  <c r="BV1191" i="1"/>
  <c r="BV1192" i="1"/>
  <c r="BV1193" i="1"/>
  <c r="BV1194" i="1"/>
  <c r="BV1195" i="1"/>
  <c r="BV1196" i="1"/>
  <c r="BV1197" i="1"/>
  <c r="BV1198" i="1"/>
  <c r="BV1199" i="1"/>
  <c r="BV1200" i="1"/>
  <c r="BV1201" i="1"/>
  <c r="BV1202" i="1"/>
  <c r="BV1203" i="1"/>
  <c r="BV1204" i="1"/>
  <c r="BV1205" i="1"/>
  <c r="BV1206" i="1"/>
  <c r="BV1207" i="1"/>
  <c r="BV1208" i="1"/>
  <c r="BV1209" i="1"/>
  <c r="BV1210" i="1"/>
  <c r="BV1211" i="1"/>
  <c r="BV1212" i="1"/>
  <c r="BV1213" i="1"/>
  <c r="BV1214" i="1"/>
  <c r="BV1215" i="1"/>
  <c r="BV1216" i="1"/>
  <c r="BV1217" i="1"/>
  <c r="BV1218" i="1"/>
  <c r="BV1219" i="1"/>
  <c r="BV1220" i="1"/>
  <c r="BV1221" i="1"/>
  <c r="BV1222" i="1"/>
  <c r="BV1223" i="1"/>
  <c r="BV1224" i="1"/>
  <c r="BV1225" i="1"/>
  <c r="BV1226" i="1"/>
  <c r="BV1227" i="1"/>
  <c r="BV1228" i="1"/>
  <c r="BV1229" i="1"/>
  <c r="BV1230" i="1"/>
  <c r="BV1231" i="1"/>
  <c r="BV1232" i="1"/>
  <c r="BV1233" i="1"/>
  <c r="BV1234" i="1"/>
  <c r="BV1235" i="1"/>
  <c r="BV1236" i="1"/>
  <c r="BV1237" i="1"/>
  <c r="BV1238" i="1"/>
  <c r="BV1239" i="1"/>
  <c r="BV1240" i="1"/>
  <c r="BV1241" i="1"/>
  <c r="BV1242" i="1"/>
  <c r="BV1243" i="1"/>
  <c r="BV1244" i="1"/>
  <c r="BV1245" i="1"/>
  <c r="BV1246" i="1"/>
  <c r="BV1247" i="1"/>
  <c r="BV1248" i="1"/>
  <c r="BV1249" i="1"/>
  <c r="BV1250" i="1"/>
  <c r="BV1251" i="1"/>
  <c r="BV1252" i="1"/>
  <c r="BV1253" i="1"/>
  <c r="BV1254" i="1"/>
  <c r="BV1255" i="1"/>
  <c r="BV1256" i="1"/>
  <c r="BV1257" i="1"/>
  <c r="BV1258" i="1"/>
  <c r="BV1259" i="1"/>
  <c r="BV1260" i="1"/>
  <c r="BV1261" i="1"/>
  <c r="BV1262" i="1"/>
  <c r="BV1263" i="1"/>
  <c r="BV1264" i="1"/>
  <c r="BV1265" i="1"/>
  <c r="BV1266" i="1"/>
  <c r="BV1267" i="1"/>
  <c r="BV1268" i="1"/>
  <c r="BV1269" i="1"/>
  <c r="BV1270" i="1"/>
  <c r="BV1271" i="1"/>
  <c r="BV1272" i="1"/>
  <c r="BV1273" i="1"/>
  <c r="BV1274" i="1"/>
  <c r="BV1275" i="1"/>
  <c r="BV1276" i="1"/>
  <c r="BV1277" i="1"/>
  <c r="BV1278" i="1"/>
  <c r="BV1279" i="1"/>
  <c r="BV1280" i="1"/>
  <c r="BV1281" i="1"/>
  <c r="BV1282" i="1"/>
  <c r="BV1283" i="1"/>
  <c r="BV1284" i="1"/>
  <c r="BV1285" i="1"/>
  <c r="BV1286" i="1"/>
  <c r="BV1287" i="1"/>
  <c r="BV1288" i="1"/>
  <c r="BV1289" i="1"/>
  <c r="BV1290" i="1"/>
  <c r="BV1291" i="1"/>
  <c r="BV1292" i="1"/>
  <c r="BV1293" i="1"/>
  <c r="BV1294" i="1"/>
  <c r="BV1295" i="1"/>
  <c r="BV1296" i="1"/>
  <c r="BV1297" i="1"/>
  <c r="BV1298" i="1"/>
  <c r="BV1299" i="1"/>
  <c r="BV1300" i="1"/>
  <c r="BV1301" i="1"/>
  <c r="BV1302" i="1"/>
  <c r="BV1303" i="1"/>
  <c r="BV1304" i="1"/>
  <c r="BV1305" i="1"/>
  <c r="BV1306" i="1"/>
  <c r="BV1307" i="1"/>
  <c r="BV1308" i="1"/>
  <c r="BV1309" i="1"/>
  <c r="BV1310" i="1"/>
  <c r="BV1311" i="1"/>
  <c r="BV1312" i="1"/>
  <c r="BV1313" i="1"/>
  <c r="BV1314" i="1"/>
  <c r="BV1315" i="1"/>
  <c r="BV1316" i="1"/>
  <c r="BV1317" i="1"/>
  <c r="BV1318" i="1"/>
  <c r="BV1319" i="1"/>
  <c r="BV1320" i="1"/>
  <c r="BV1321" i="1"/>
  <c r="BV1322" i="1"/>
  <c r="BV1323" i="1"/>
  <c r="BV1324" i="1"/>
  <c r="BV1325" i="1"/>
  <c r="BV1326" i="1"/>
  <c r="BV1327" i="1"/>
  <c r="BV1328" i="1"/>
  <c r="BV1329" i="1"/>
  <c r="BV1330" i="1"/>
  <c r="BV1331" i="1"/>
  <c r="BV1332" i="1"/>
  <c r="BV1333" i="1"/>
  <c r="BV1334" i="1"/>
  <c r="BV1335" i="1"/>
  <c r="BV1336" i="1"/>
  <c r="BV1337" i="1"/>
  <c r="BV1338" i="1"/>
  <c r="BV1339" i="1"/>
  <c r="BV1340" i="1"/>
  <c r="BV1341" i="1"/>
  <c r="BV1342" i="1"/>
  <c r="BV1343" i="1"/>
  <c r="BV1344" i="1"/>
  <c r="BV1345" i="1"/>
  <c r="BV1346" i="1"/>
  <c r="BV1347" i="1"/>
  <c r="BV1348" i="1"/>
  <c r="BV1349" i="1"/>
  <c r="BV1350" i="1"/>
  <c r="BV1351" i="1"/>
  <c r="BV1352" i="1"/>
  <c r="BV1353" i="1"/>
  <c r="BV1354" i="1"/>
  <c r="BV1355" i="1"/>
  <c r="BV1356" i="1"/>
  <c r="BV1357" i="1"/>
  <c r="BV1358" i="1"/>
  <c r="BV1359" i="1"/>
  <c r="BV1360" i="1"/>
  <c r="BV1361" i="1"/>
  <c r="BV1362" i="1"/>
  <c r="BV1363" i="1"/>
  <c r="BV1364" i="1"/>
  <c r="BV1365" i="1"/>
  <c r="BV1366" i="1"/>
  <c r="BV1367" i="1"/>
  <c r="BV1368" i="1"/>
  <c r="BV1369" i="1"/>
  <c r="BV1370" i="1"/>
  <c r="BV1371" i="1"/>
  <c r="BV1372" i="1"/>
  <c r="BV1373" i="1"/>
  <c r="BV1374" i="1"/>
  <c r="BV1375" i="1"/>
  <c r="BV1376" i="1"/>
  <c r="BV1377" i="1"/>
  <c r="BV1378" i="1"/>
  <c r="BV1379" i="1"/>
  <c r="BV1380" i="1"/>
  <c r="BV1381" i="1"/>
  <c r="BV1382" i="1"/>
  <c r="BV1383" i="1"/>
  <c r="BV1384" i="1"/>
  <c r="BT136" i="1"/>
  <c r="BT137" i="1"/>
  <c r="BT138" i="1"/>
  <c r="BT139" i="1"/>
  <c r="BT140" i="1"/>
  <c r="BT141" i="1"/>
  <c r="BT142" i="1"/>
  <c r="BT143" i="1"/>
  <c r="BT144" i="1"/>
  <c r="BT145" i="1"/>
  <c r="BT146" i="1"/>
  <c r="BT147" i="1"/>
  <c r="BT148" i="1"/>
  <c r="BT149" i="1"/>
  <c r="BT150" i="1"/>
  <c r="BT151" i="1"/>
  <c r="BT152" i="1"/>
  <c r="BT153" i="1"/>
  <c r="BT154" i="1"/>
  <c r="BT155" i="1"/>
  <c r="BT156" i="1"/>
  <c r="BT157" i="1"/>
  <c r="BT158" i="1"/>
  <c r="BT159" i="1"/>
  <c r="BT160" i="1"/>
  <c r="BT161" i="1"/>
  <c r="BT162" i="1"/>
  <c r="BT163" i="1"/>
  <c r="BT164" i="1"/>
  <c r="BT165" i="1"/>
  <c r="BT166" i="1"/>
  <c r="BT167" i="1"/>
  <c r="BT168" i="1"/>
  <c r="BT169" i="1"/>
  <c r="BT170" i="1"/>
  <c r="BT171" i="1"/>
  <c r="BT172" i="1"/>
  <c r="BT173" i="1"/>
  <c r="BT174" i="1"/>
  <c r="BT175" i="1"/>
  <c r="BT176" i="1"/>
  <c r="BT177" i="1"/>
  <c r="BT178" i="1"/>
  <c r="BT179" i="1"/>
  <c r="BT180" i="1"/>
  <c r="BT181" i="1"/>
  <c r="BT182" i="1"/>
  <c r="BT183" i="1"/>
  <c r="BT184" i="1"/>
  <c r="BT185" i="1"/>
  <c r="BT186" i="1"/>
  <c r="BT187" i="1"/>
  <c r="BT188" i="1"/>
  <c r="BT189" i="1"/>
  <c r="BT190" i="1"/>
  <c r="BT191" i="1"/>
  <c r="BT192" i="1"/>
  <c r="BT193" i="1"/>
  <c r="BT194" i="1"/>
  <c r="BT195" i="1"/>
  <c r="BT196" i="1"/>
  <c r="BT197" i="1"/>
  <c r="BT198" i="1"/>
  <c r="BT199" i="1"/>
  <c r="BT200" i="1"/>
  <c r="BT201" i="1"/>
  <c r="BT202" i="1"/>
  <c r="BT203" i="1"/>
  <c r="BT204" i="1"/>
  <c r="BT205" i="1"/>
  <c r="BT206" i="1"/>
  <c r="BT207" i="1"/>
  <c r="BT208" i="1"/>
  <c r="BT209" i="1"/>
  <c r="BT210" i="1"/>
  <c r="BT211" i="1"/>
  <c r="BT212" i="1"/>
  <c r="BT213" i="1"/>
  <c r="BT214" i="1"/>
  <c r="BT215" i="1"/>
  <c r="BT216" i="1"/>
  <c r="BT217" i="1"/>
  <c r="BT218" i="1"/>
  <c r="BT219" i="1"/>
  <c r="BT220" i="1"/>
  <c r="BT221" i="1"/>
  <c r="BT222" i="1"/>
  <c r="BT223" i="1"/>
  <c r="BT224" i="1"/>
  <c r="BT225" i="1"/>
  <c r="BT226" i="1"/>
  <c r="BT227" i="1"/>
  <c r="BT228" i="1"/>
  <c r="BT229" i="1"/>
  <c r="BT230" i="1"/>
  <c r="BT231" i="1"/>
  <c r="BT232" i="1"/>
  <c r="BT233" i="1"/>
  <c r="BT234" i="1"/>
  <c r="BT235" i="1"/>
  <c r="BT236" i="1"/>
  <c r="BT237" i="1"/>
  <c r="BT238" i="1"/>
  <c r="BT239" i="1"/>
  <c r="BT240" i="1"/>
  <c r="BT241" i="1"/>
  <c r="BT242" i="1"/>
  <c r="BT243" i="1"/>
  <c r="BT244" i="1"/>
  <c r="BT245" i="1"/>
  <c r="BT246" i="1"/>
  <c r="BT247" i="1"/>
  <c r="BT248" i="1"/>
  <c r="BT249" i="1"/>
  <c r="BT250" i="1"/>
  <c r="BT251" i="1"/>
  <c r="BT252" i="1"/>
  <c r="BT253" i="1"/>
  <c r="BT254" i="1"/>
  <c r="BT255" i="1"/>
  <c r="BT256" i="1"/>
  <c r="BT257" i="1"/>
  <c r="BT258" i="1"/>
  <c r="BT259" i="1"/>
  <c r="BT260" i="1"/>
  <c r="BT261" i="1"/>
  <c r="BT262" i="1"/>
  <c r="BT263" i="1"/>
  <c r="BT264" i="1"/>
  <c r="BT265" i="1"/>
  <c r="BT266" i="1"/>
  <c r="BT267" i="1"/>
  <c r="BT268" i="1"/>
  <c r="BT269" i="1"/>
  <c r="BT270" i="1"/>
  <c r="BT271" i="1"/>
  <c r="BT272" i="1"/>
  <c r="BT273" i="1"/>
  <c r="BT274" i="1"/>
  <c r="BT275" i="1"/>
  <c r="BT276" i="1"/>
  <c r="BT277" i="1"/>
  <c r="BT278" i="1"/>
  <c r="BT279" i="1"/>
  <c r="BT280" i="1"/>
  <c r="BT281" i="1"/>
  <c r="BT282" i="1"/>
  <c r="BT283" i="1"/>
  <c r="BT284" i="1"/>
  <c r="BT285" i="1"/>
  <c r="BT286" i="1"/>
  <c r="BT287" i="1"/>
  <c r="BT288" i="1"/>
  <c r="BT289" i="1"/>
  <c r="BT290" i="1"/>
  <c r="BT291" i="1"/>
  <c r="BT292" i="1"/>
  <c r="BT293" i="1"/>
  <c r="BT294" i="1"/>
  <c r="BT295" i="1"/>
  <c r="BT296" i="1"/>
  <c r="BT297" i="1"/>
  <c r="BT298" i="1"/>
  <c r="BT299" i="1"/>
  <c r="BT300" i="1"/>
  <c r="BT301" i="1"/>
  <c r="BT302" i="1"/>
  <c r="BT303" i="1"/>
  <c r="BT304" i="1"/>
  <c r="BT305" i="1"/>
  <c r="BT306" i="1"/>
  <c r="BT307" i="1"/>
  <c r="BT308" i="1"/>
  <c r="BT309" i="1"/>
  <c r="BT310" i="1"/>
  <c r="BT311" i="1"/>
  <c r="BT312" i="1"/>
  <c r="BT313" i="1"/>
  <c r="BT314" i="1"/>
  <c r="BT315" i="1"/>
  <c r="BT316" i="1"/>
  <c r="BT317" i="1"/>
  <c r="BT318" i="1"/>
  <c r="BT319" i="1"/>
  <c r="BT320" i="1"/>
  <c r="BT321" i="1"/>
  <c r="BT322" i="1"/>
  <c r="BT323" i="1"/>
  <c r="BT324" i="1"/>
  <c r="BT325" i="1"/>
  <c r="BT326" i="1"/>
  <c r="BT327" i="1"/>
  <c r="BT328" i="1"/>
  <c r="BT329" i="1"/>
  <c r="BT330" i="1"/>
  <c r="BT331" i="1"/>
  <c r="BT332" i="1"/>
  <c r="BT333" i="1"/>
  <c r="BT334" i="1"/>
  <c r="BT335" i="1"/>
  <c r="BT336" i="1"/>
  <c r="BT337" i="1"/>
  <c r="BT338" i="1"/>
  <c r="BT339" i="1"/>
  <c r="BT340" i="1"/>
  <c r="BT341" i="1"/>
  <c r="BT342" i="1"/>
  <c r="BT343" i="1"/>
  <c r="BT344" i="1"/>
  <c r="BT345" i="1"/>
  <c r="BT346" i="1"/>
  <c r="BT347" i="1"/>
  <c r="BT348" i="1"/>
  <c r="BT349" i="1"/>
  <c r="BT350" i="1"/>
  <c r="BT351" i="1"/>
  <c r="BT352" i="1"/>
  <c r="BT353" i="1"/>
  <c r="BT354" i="1"/>
  <c r="BT355" i="1"/>
  <c r="BT356" i="1"/>
  <c r="BT357" i="1"/>
  <c r="BT358" i="1"/>
  <c r="BT359" i="1"/>
  <c r="BT360" i="1"/>
  <c r="BT361" i="1"/>
  <c r="BT362" i="1"/>
  <c r="BT363" i="1"/>
  <c r="BT364" i="1"/>
  <c r="BT365" i="1"/>
  <c r="BT366" i="1"/>
  <c r="BT367" i="1"/>
  <c r="BT368" i="1"/>
  <c r="BT369" i="1"/>
  <c r="BT370" i="1"/>
  <c r="BT371" i="1"/>
  <c r="BT372" i="1"/>
  <c r="BT373" i="1"/>
  <c r="BT374" i="1"/>
  <c r="BT375" i="1"/>
  <c r="BT376" i="1"/>
  <c r="BT377" i="1"/>
  <c r="BT378" i="1"/>
  <c r="BT379" i="1"/>
  <c r="BT380" i="1"/>
  <c r="BT381" i="1"/>
  <c r="BT382" i="1"/>
  <c r="BT383" i="1"/>
  <c r="BT384" i="1"/>
  <c r="BT385" i="1"/>
  <c r="BT386" i="1"/>
  <c r="BT387" i="1"/>
  <c r="BT388" i="1"/>
  <c r="BT389" i="1"/>
  <c r="BT390" i="1"/>
  <c r="BT391" i="1"/>
  <c r="BT392" i="1"/>
  <c r="BT393" i="1"/>
  <c r="BT394" i="1"/>
  <c r="BT395" i="1"/>
  <c r="BT396" i="1"/>
  <c r="BT397" i="1"/>
  <c r="BT398" i="1"/>
  <c r="BT399" i="1"/>
  <c r="BT400" i="1"/>
  <c r="BT401" i="1"/>
  <c r="BT402" i="1"/>
  <c r="BT403" i="1"/>
  <c r="BT404" i="1"/>
  <c r="BT405" i="1"/>
  <c r="BT406" i="1"/>
  <c r="BT407" i="1"/>
  <c r="BT408" i="1"/>
  <c r="BT409" i="1"/>
  <c r="BT410" i="1"/>
  <c r="BT411" i="1"/>
  <c r="BT412" i="1"/>
  <c r="BT413" i="1"/>
  <c r="BT414" i="1"/>
  <c r="BT415" i="1"/>
  <c r="BT416" i="1"/>
  <c r="BT417" i="1"/>
  <c r="BT418" i="1"/>
  <c r="BT419" i="1"/>
  <c r="BT420" i="1"/>
  <c r="BT421" i="1"/>
  <c r="BT422" i="1"/>
  <c r="BT423" i="1"/>
  <c r="BT424" i="1"/>
  <c r="BT425" i="1"/>
  <c r="BT426" i="1"/>
  <c r="BT427" i="1"/>
  <c r="BT428" i="1"/>
  <c r="BT429" i="1"/>
  <c r="BT430" i="1"/>
  <c r="BT431" i="1"/>
  <c r="BT432" i="1"/>
  <c r="BT433" i="1"/>
  <c r="BT434" i="1"/>
  <c r="BT435" i="1"/>
  <c r="BT436" i="1"/>
  <c r="BT437" i="1"/>
  <c r="BT438" i="1"/>
  <c r="BT439" i="1"/>
  <c r="BT440" i="1"/>
  <c r="BT441" i="1"/>
  <c r="BT442" i="1"/>
  <c r="BT443" i="1"/>
  <c r="BT444" i="1"/>
  <c r="BT445" i="1"/>
  <c r="BT446" i="1"/>
  <c r="BT447" i="1"/>
  <c r="BT448" i="1"/>
  <c r="BT449" i="1"/>
  <c r="BT450" i="1"/>
  <c r="BT451" i="1"/>
  <c r="BT452" i="1"/>
  <c r="BT453" i="1"/>
  <c r="BT454" i="1"/>
  <c r="BT455" i="1"/>
  <c r="BT456" i="1"/>
  <c r="BT457" i="1"/>
  <c r="BT458" i="1"/>
  <c r="BT459" i="1"/>
  <c r="BT460" i="1"/>
  <c r="BT461" i="1"/>
  <c r="BT462" i="1"/>
  <c r="BT463" i="1"/>
  <c r="BT464" i="1"/>
  <c r="BT465" i="1"/>
  <c r="BT466" i="1"/>
  <c r="BT467" i="1"/>
  <c r="BT468" i="1"/>
  <c r="BT469" i="1"/>
  <c r="BT470" i="1"/>
  <c r="BT471" i="1"/>
  <c r="BT472" i="1"/>
  <c r="BT473" i="1"/>
  <c r="BT474" i="1"/>
  <c r="BT475" i="1"/>
  <c r="BT476" i="1"/>
  <c r="BT477" i="1"/>
  <c r="BT478" i="1"/>
  <c r="BT479" i="1"/>
  <c r="BT480" i="1"/>
  <c r="BT481" i="1"/>
  <c r="BT482" i="1"/>
  <c r="BT483" i="1"/>
  <c r="BT484" i="1"/>
  <c r="BT485" i="1"/>
  <c r="BT486" i="1"/>
  <c r="BT487" i="1"/>
  <c r="BT488" i="1"/>
  <c r="BT489" i="1"/>
  <c r="BT490" i="1"/>
  <c r="BT491" i="1"/>
  <c r="BT492" i="1"/>
  <c r="BT493" i="1"/>
  <c r="BT494" i="1"/>
  <c r="BT495" i="1"/>
  <c r="BT496" i="1"/>
  <c r="BT497" i="1"/>
  <c r="BT498" i="1"/>
  <c r="BT499" i="1"/>
  <c r="BT500" i="1"/>
  <c r="BT501" i="1"/>
  <c r="BT502" i="1"/>
  <c r="BT503" i="1"/>
  <c r="BT504" i="1"/>
  <c r="BT505" i="1"/>
  <c r="BT506" i="1"/>
  <c r="BT507" i="1"/>
  <c r="BT508" i="1"/>
  <c r="BT509" i="1"/>
  <c r="BT510" i="1"/>
  <c r="BT511" i="1"/>
  <c r="BT512" i="1"/>
  <c r="BT513" i="1"/>
  <c r="BT514" i="1"/>
  <c r="BT515" i="1"/>
  <c r="BT516" i="1"/>
  <c r="BT517" i="1"/>
  <c r="BT518" i="1"/>
  <c r="BT519" i="1"/>
  <c r="BT520" i="1"/>
  <c r="BT521" i="1"/>
  <c r="BT522" i="1"/>
  <c r="BT523" i="1"/>
  <c r="BT524" i="1"/>
  <c r="BT525" i="1"/>
  <c r="BT526" i="1"/>
  <c r="BT527" i="1"/>
  <c r="BT528" i="1"/>
  <c r="BT529" i="1"/>
  <c r="BT530" i="1"/>
  <c r="BT531" i="1"/>
  <c r="BT532" i="1"/>
  <c r="BT533" i="1"/>
  <c r="BT534" i="1"/>
  <c r="BT535" i="1"/>
  <c r="BT536" i="1"/>
  <c r="BT537" i="1"/>
  <c r="BT538" i="1"/>
  <c r="BT539" i="1"/>
  <c r="BT540" i="1"/>
  <c r="BT541" i="1"/>
  <c r="BT542" i="1"/>
  <c r="BT543" i="1"/>
  <c r="BT544" i="1"/>
  <c r="BT545" i="1"/>
  <c r="BT546" i="1"/>
  <c r="BT547" i="1"/>
  <c r="BT548" i="1"/>
  <c r="BT549" i="1"/>
  <c r="BT550" i="1"/>
  <c r="BT551" i="1"/>
  <c r="BT552" i="1"/>
  <c r="BT553" i="1"/>
  <c r="BT554" i="1"/>
  <c r="BT555" i="1"/>
  <c r="BT556" i="1"/>
  <c r="BT557" i="1"/>
  <c r="BT558" i="1"/>
  <c r="BT559" i="1"/>
  <c r="BT560" i="1"/>
  <c r="BT561" i="1"/>
  <c r="BT562" i="1"/>
  <c r="BT563" i="1"/>
  <c r="BT564" i="1"/>
  <c r="BT565" i="1"/>
  <c r="BT566" i="1"/>
  <c r="BT567" i="1"/>
  <c r="BT568" i="1"/>
  <c r="BT569" i="1"/>
  <c r="BT570" i="1"/>
  <c r="BT571" i="1"/>
  <c r="BT572" i="1"/>
  <c r="BT573" i="1"/>
  <c r="BT574" i="1"/>
  <c r="BT575" i="1"/>
  <c r="BT576" i="1"/>
  <c r="BT577" i="1"/>
  <c r="BT578" i="1"/>
  <c r="BT579" i="1"/>
  <c r="BT580" i="1"/>
  <c r="BT581" i="1"/>
  <c r="BT582" i="1"/>
  <c r="BT583" i="1"/>
  <c r="BT584" i="1"/>
  <c r="BT585" i="1"/>
  <c r="BT586" i="1"/>
  <c r="BT587" i="1"/>
  <c r="BT588" i="1"/>
  <c r="BT589" i="1"/>
  <c r="BT590" i="1"/>
  <c r="BT591" i="1"/>
  <c r="BT592" i="1"/>
  <c r="BT593" i="1"/>
  <c r="BT594" i="1"/>
  <c r="BT595" i="1"/>
  <c r="BT596" i="1"/>
  <c r="BT597" i="1"/>
  <c r="BT598" i="1"/>
  <c r="BT599" i="1"/>
  <c r="BT600" i="1"/>
  <c r="BT601" i="1"/>
  <c r="BT602" i="1"/>
  <c r="BT603" i="1"/>
  <c r="BT604" i="1"/>
  <c r="BT605" i="1"/>
  <c r="BT606" i="1"/>
  <c r="BT607" i="1"/>
  <c r="BT608" i="1"/>
  <c r="BT609" i="1"/>
  <c r="BT610" i="1"/>
  <c r="BT611" i="1"/>
  <c r="BT612" i="1"/>
  <c r="BT613" i="1"/>
  <c r="BT614" i="1"/>
  <c r="BT615" i="1"/>
  <c r="BT616" i="1"/>
  <c r="BT617" i="1"/>
  <c r="BT618" i="1"/>
  <c r="BT619" i="1"/>
  <c r="BT620" i="1"/>
  <c r="BT621" i="1"/>
  <c r="BT622" i="1"/>
  <c r="BT623" i="1"/>
  <c r="BT624" i="1"/>
  <c r="BT625" i="1"/>
  <c r="BT626" i="1"/>
  <c r="BT627" i="1"/>
  <c r="BT628" i="1"/>
  <c r="BT629" i="1"/>
  <c r="BT630" i="1"/>
  <c r="BT631" i="1"/>
  <c r="BT632" i="1"/>
  <c r="BT633" i="1"/>
  <c r="BT634" i="1"/>
  <c r="BT635" i="1"/>
  <c r="BT636" i="1"/>
  <c r="BT637" i="1"/>
  <c r="BT638" i="1"/>
  <c r="BT639" i="1"/>
  <c r="BT640" i="1"/>
  <c r="BT641" i="1"/>
  <c r="BT642" i="1"/>
  <c r="BT643" i="1"/>
  <c r="BT644" i="1"/>
  <c r="BT645" i="1"/>
  <c r="BT646" i="1"/>
  <c r="BT647" i="1"/>
  <c r="BT648" i="1"/>
  <c r="BT649" i="1"/>
  <c r="BT650" i="1"/>
  <c r="BT651" i="1"/>
  <c r="BT652" i="1"/>
  <c r="BT653" i="1"/>
  <c r="BT654" i="1"/>
  <c r="BT655" i="1"/>
  <c r="BT656" i="1"/>
  <c r="BT657" i="1"/>
  <c r="BT658" i="1"/>
  <c r="BT659" i="1"/>
  <c r="BT660" i="1"/>
  <c r="BT661" i="1"/>
  <c r="BT662" i="1"/>
  <c r="BT663" i="1"/>
  <c r="BT664" i="1"/>
  <c r="BT665" i="1"/>
  <c r="BT666" i="1"/>
  <c r="BT667" i="1"/>
  <c r="BT668" i="1"/>
  <c r="BT669" i="1"/>
  <c r="BT670" i="1"/>
  <c r="BT671" i="1"/>
  <c r="BT672" i="1"/>
  <c r="BT673" i="1"/>
  <c r="BT674" i="1"/>
  <c r="BT675" i="1"/>
  <c r="BT676" i="1"/>
  <c r="BT677" i="1"/>
  <c r="BT678" i="1"/>
  <c r="BT679" i="1"/>
  <c r="BT680" i="1"/>
  <c r="BT681" i="1"/>
  <c r="BT682" i="1"/>
  <c r="BT683" i="1"/>
  <c r="BT684" i="1"/>
  <c r="BT685" i="1"/>
  <c r="BT686" i="1"/>
  <c r="BT687" i="1"/>
  <c r="BT688" i="1"/>
  <c r="BT689" i="1"/>
  <c r="BT690" i="1"/>
  <c r="BT691" i="1"/>
  <c r="BT692" i="1"/>
  <c r="BT693" i="1"/>
  <c r="BT694" i="1"/>
  <c r="BT695" i="1"/>
  <c r="BT696" i="1"/>
  <c r="BT697" i="1"/>
  <c r="BT698" i="1"/>
  <c r="BT699" i="1"/>
  <c r="BT700" i="1"/>
  <c r="BT701" i="1"/>
  <c r="BT702" i="1"/>
  <c r="BT703" i="1"/>
  <c r="BT704" i="1"/>
  <c r="BT705" i="1"/>
  <c r="BT706" i="1"/>
  <c r="BT707" i="1"/>
  <c r="BT708" i="1"/>
  <c r="BT709" i="1"/>
  <c r="BT710" i="1"/>
  <c r="BT711" i="1"/>
  <c r="BT712" i="1"/>
  <c r="BT713" i="1"/>
  <c r="BT714" i="1"/>
  <c r="BT715" i="1"/>
  <c r="BT716" i="1"/>
  <c r="BT717" i="1"/>
  <c r="BT718" i="1"/>
  <c r="BT719" i="1"/>
  <c r="BT720" i="1"/>
  <c r="BT721" i="1"/>
  <c r="BT722" i="1"/>
  <c r="BT723" i="1"/>
  <c r="BT724" i="1"/>
  <c r="BT725" i="1"/>
  <c r="BT726" i="1"/>
  <c r="BT727" i="1"/>
  <c r="BT728" i="1"/>
  <c r="BT729" i="1"/>
  <c r="BT730" i="1"/>
  <c r="BT731" i="1"/>
  <c r="BT732" i="1"/>
  <c r="BT733" i="1"/>
  <c r="BT734" i="1"/>
  <c r="BT735" i="1"/>
  <c r="BT736" i="1"/>
  <c r="BT737" i="1"/>
  <c r="BT738" i="1"/>
  <c r="BT739" i="1"/>
  <c r="BT740" i="1"/>
  <c r="BT741" i="1"/>
  <c r="BT742" i="1"/>
  <c r="BT743" i="1"/>
  <c r="BT744" i="1"/>
  <c r="BT745" i="1"/>
  <c r="BT746" i="1"/>
  <c r="BT747" i="1"/>
  <c r="BT748" i="1"/>
  <c r="BT749" i="1"/>
  <c r="BT750" i="1"/>
  <c r="BT751" i="1"/>
  <c r="BT752" i="1"/>
  <c r="BT753" i="1"/>
  <c r="BT754" i="1"/>
  <c r="BT755" i="1"/>
  <c r="BT756" i="1"/>
  <c r="BT757" i="1"/>
  <c r="BT758" i="1"/>
  <c r="BT759" i="1"/>
  <c r="BT760" i="1"/>
  <c r="BT761" i="1"/>
  <c r="BT762" i="1"/>
  <c r="BT763" i="1"/>
  <c r="BT764" i="1"/>
  <c r="BT765" i="1"/>
  <c r="BT766" i="1"/>
  <c r="BT767" i="1"/>
  <c r="BT768" i="1"/>
  <c r="BT769" i="1"/>
  <c r="BT770" i="1"/>
  <c r="BT771" i="1"/>
  <c r="BT772" i="1"/>
  <c r="BT773" i="1"/>
  <c r="BT774" i="1"/>
  <c r="BT775" i="1"/>
  <c r="BT776" i="1"/>
  <c r="BT777" i="1"/>
  <c r="BT778" i="1"/>
  <c r="BT779" i="1"/>
  <c r="BT780" i="1"/>
  <c r="BT781" i="1"/>
  <c r="BT782" i="1"/>
  <c r="BT783" i="1"/>
  <c r="BT784" i="1"/>
  <c r="BT785" i="1"/>
  <c r="BT786" i="1"/>
  <c r="BT787" i="1"/>
  <c r="BT788" i="1"/>
  <c r="BT789" i="1"/>
  <c r="BT790" i="1"/>
  <c r="BT791" i="1"/>
  <c r="BT792" i="1"/>
  <c r="BT793" i="1"/>
  <c r="BT794" i="1"/>
  <c r="BT795" i="1"/>
  <c r="BT796" i="1"/>
  <c r="BT797" i="1"/>
  <c r="BT798" i="1"/>
  <c r="BT799" i="1"/>
  <c r="BT800" i="1"/>
  <c r="BT801" i="1"/>
  <c r="BT802" i="1"/>
  <c r="BT803" i="1"/>
  <c r="BT804" i="1"/>
  <c r="BT805" i="1"/>
  <c r="BT806" i="1"/>
  <c r="BT807" i="1"/>
  <c r="BT808" i="1"/>
  <c r="BT809" i="1"/>
  <c r="BT810" i="1"/>
  <c r="BT811" i="1"/>
  <c r="BT812" i="1"/>
  <c r="BT813" i="1"/>
  <c r="BT814" i="1"/>
  <c r="BT815" i="1"/>
  <c r="BT816" i="1"/>
  <c r="BT817" i="1"/>
  <c r="BT818" i="1"/>
  <c r="BT819" i="1"/>
  <c r="BT820" i="1"/>
  <c r="BT821" i="1"/>
  <c r="BT822" i="1"/>
  <c r="BT823" i="1"/>
  <c r="BT824" i="1"/>
  <c r="BT825" i="1"/>
  <c r="BT826" i="1"/>
  <c r="BT827" i="1"/>
  <c r="BT828" i="1"/>
  <c r="BT829" i="1"/>
  <c r="BT830" i="1"/>
  <c r="BT831" i="1"/>
  <c r="BT832" i="1"/>
  <c r="BT833" i="1"/>
  <c r="BT834" i="1"/>
  <c r="BT835" i="1"/>
  <c r="BT836" i="1"/>
  <c r="BT837" i="1"/>
  <c r="BT838" i="1"/>
  <c r="BT839" i="1"/>
  <c r="BT840" i="1"/>
  <c r="BT841" i="1"/>
  <c r="BT842" i="1"/>
  <c r="BT843" i="1"/>
  <c r="BT844" i="1"/>
  <c r="BT845" i="1"/>
  <c r="BT846" i="1"/>
  <c r="BT847" i="1"/>
  <c r="BT848" i="1"/>
  <c r="BT849" i="1"/>
  <c r="BT850" i="1"/>
  <c r="BT851" i="1"/>
  <c r="BT852" i="1"/>
  <c r="BT853" i="1"/>
  <c r="BT854" i="1"/>
  <c r="BT855" i="1"/>
  <c r="BT856" i="1"/>
  <c r="BT857" i="1"/>
  <c r="BT858" i="1"/>
  <c r="BT859" i="1"/>
  <c r="BT860" i="1"/>
  <c r="BT861" i="1"/>
  <c r="BT862" i="1"/>
  <c r="BT863" i="1"/>
  <c r="BT864" i="1"/>
  <c r="BT865" i="1"/>
  <c r="BT866" i="1"/>
  <c r="BT867" i="1"/>
  <c r="BT868" i="1"/>
  <c r="BT869" i="1"/>
  <c r="BT870" i="1"/>
  <c r="BT871" i="1"/>
  <c r="BT872" i="1"/>
  <c r="BT873" i="1"/>
  <c r="BT874" i="1"/>
  <c r="BT875" i="1"/>
  <c r="BT876" i="1"/>
  <c r="BT877" i="1"/>
  <c r="BT878" i="1"/>
  <c r="BT879" i="1"/>
  <c r="BT880" i="1"/>
  <c r="BT881" i="1"/>
  <c r="BT882" i="1"/>
  <c r="BT883" i="1"/>
  <c r="BT884" i="1"/>
  <c r="BT885" i="1"/>
  <c r="BT886" i="1"/>
  <c r="BT887" i="1"/>
  <c r="BT888" i="1"/>
  <c r="BT889" i="1"/>
  <c r="BT890" i="1"/>
  <c r="BT891" i="1"/>
  <c r="BT892" i="1"/>
  <c r="BT893" i="1"/>
  <c r="BT894" i="1"/>
  <c r="BT895" i="1"/>
  <c r="BT896" i="1"/>
  <c r="BT897" i="1"/>
  <c r="BT898" i="1"/>
  <c r="BT899" i="1"/>
  <c r="BT900" i="1"/>
  <c r="BT901" i="1"/>
  <c r="BT902" i="1"/>
  <c r="BT903" i="1"/>
  <c r="BT904" i="1"/>
  <c r="BT905" i="1"/>
  <c r="BT906" i="1"/>
  <c r="BT907" i="1"/>
  <c r="BT908" i="1"/>
  <c r="BT909" i="1"/>
  <c r="BT910" i="1"/>
  <c r="BT911" i="1"/>
  <c r="BT912" i="1"/>
  <c r="BT913" i="1"/>
  <c r="BT914" i="1"/>
  <c r="BT915" i="1"/>
  <c r="BT916" i="1"/>
  <c r="BT917" i="1"/>
  <c r="BT918" i="1"/>
  <c r="BT919" i="1"/>
  <c r="BT920" i="1"/>
  <c r="BT921" i="1"/>
  <c r="BT922" i="1"/>
  <c r="BT923" i="1"/>
  <c r="BT924" i="1"/>
  <c r="BT925" i="1"/>
  <c r="BT926" i="1"/>
  <c r="BT927" i="1"/>
  <c r="BT928" i="1"/>
  <c r="BT929" i="1"/>
  <c r="BT930" i="1"/>
  <c r="BT931" i="1"/>
  <c r="BT932" i="1"/>
  <c r="BT933" i="1"/>
  <c r="BT934" i="1"/>
  <c r="BT935" i="1"/>
  <c r="BT936" i="1"/>
  <c r="BT937" i="1"/>
  <c r="BT938" i="1"/>
  <c r="BT939" i="1"/>
  <c r="BT940" i="1"/>
  <c r="BT941" i="1"/>
  <c r="BT942" i="1"/>
  <c r="BT943" i="1"/>
  <c r="BT944" i="1"/>
  <c r="BT945" i="1"/>
  <c r="BT946" i="1"/>
  <c r="BT947" i="1"/>
  <c r="BT948" i="1"/>
  <c r="BT949" i="1"/>
  <c r="BT950" i="1"/>
  <c r="BT951" i="1"/>
  <c r="BT952" i="1"/>
  <c r="BT953" i="1"/>
  <c r="BT954" i="1"/>
  <c r="BT955" i="1"/>
  <c r="BT956" i="1"/>
  <c r="BT957" i="1"/>
  <c r="BT958" i="1"/>
  <c r="BT959" i="1"/>
  <c r="BT960" i="1"/>
  <c r="BT961" i="1"/>
  <c r="BT962" i="1"/>
  <c r="BT963" i="1"/>
  <c r="BT964" i="1"/>
  <c r="BT965" i="1"/>
  <c r="BT966" i="1"/>
  <c r="BT967" i="1"/>
  <c r="BT968" i="1"/>
  <c r="BT969" i="1"/>
  <c r="BT970" i="1"/>
  <c r="BT971" i="1"/>
  <c r="BT972" i="1"/>
  <c r="BT973" i="1"/>
  <c r="BT974" i="1"/>
  <c r="BT975" i="1"/>
  <c r="BT976" i="1"/>
  <c r="BT977" i="1"/>
  <c r="BT978" i="1"/>
  <c r="BT979" i="1"/>
  <c r="BT980" i="1"/>
  <c r="BT981" i="1"/>
  <c r="BT982" i="1"/>
  <c r="BT983" i="1"/>
  <c r="BT984" i="1"/>
  <c r="BT985" i="1"/>
  <c r="BT986" i="1"/>
  <c r="BT987" i="1"/>
  <c r="BT988" i="1"/>
  <c r="BT989" i="1"/>
  <c r="BT990" i="1"/>
  <c r="BT991" i="1"/>
  <c r="BT992" i="1"/>
  <c r="BT993" i="1"/>
  <c r="BT994" i="1"/>
  <c r="BT995" i="1"/>
  <c r="BT996" i="1"/>
  <c r="BT997" i="1"/>
  <c r="BT998" i="1"/>
  <c r="BT999" i="1"/>
  <c r="BT1000" i="1"/>
  <c r="BT1001" i="1"/>
  <c r="BT1002" i="1"/>
  <c r="BT1003" i="1"/>
  <c r="BT1004" i="1"/>
  <c r="BT1005" i="1"/>
  <c r="BT1006" i="1"/>
  <c r="BT1007" i="1"/>
  <c r="BT1008" i="1"/>
  <c r="BT1009" i="1"/>
  <c r="BT1010" i="1"/>
  <c r="BT1011" i="1"/>
  <c r="BT1012" i="1"/>
  <c r="BT1013" i="1"/>
  <c r="BT1014" i="1"/>
  <c r="BT1015" i="1"/>
  <c r="BT1016" i="1"/>
  <c r="BT1017" i="1"/>
  <c r="BT1018" i="1"/>
  <c r="BT1019" i="1"/>
  <c r="BT1020" i="1"/>
  <c r="BT1021" i="1"/>
  <c r="BT1022" i="1"/>
  <c r="BT1023" i="1"/>
  <c r="BT1024" i="1"/>
  <c r="BT1025" i="1"/>
  <c r="BT1026" i="1"/>
  <c r="BT1027" i="1"/>
  <c r="BT1028" i="1"/>
  <c r="BT1029" i="1"/>
  <c r="BT1030" i="1"/>
  <c r="BT1031" i="1"/>
  <c r="BT1032" i="1"/>
  <c r="BT1033" i="1"/>
  <c r="BT1034" i="1"/>
  <c r="BT1035" i="1"/>
  <c r="BT1036" i="1"/>
  <c r="BT1037" i="1"/>
  <c r="BT1038" i="1"/>
  <c r="BT1039" i="1"/>
  <c r="BT1040" i="1"/>
  <c r="BT1041" i="1"/>
  <c r="BT1042" i="1"/>
  <c r="BT1043" i="1"/>
  <c r="BT1044" i="1"/>
  <c r="BT1045" i="1"/>
  <c r="BT1046" i="1"/>
  <c r="BT1047" i="1"/>
  <c r="BT1048" i="1"/>
  <c r="BT1049" i="1"/>
  <c r="BT1050" i="1"/>
  <c r="BT1051" i="1"/>
  <c r="BT1052" i="1"/>
  <c r="BT1053" i="1"/>
  <c r="BT1054" i="1"/>
  <c r="BT1055" i="1"/>
  <c r="BT1056" i="1"/>
  <c r="BT1057" i="1"/>
  <c r="BT1058" i="1"/>
  <c r="BT1059" i="1"/>
  <c r="BT1060" i="1"/>
  <c r="BT1061" i="1"/>
  <c r="BT1062" i="1"/>
  <c r="BT1063" i="1"/>
  <c r="BT1064" i="1"/>
  <c r="BT1065" i="1"/>
  <c r="BT1066" i="1"/>
  <c r="BT1067" i="1"/>
  <c r="BT1068" i="1"/>
  <c r="BT1069" i="1"/>
  <c r="BT1070" i="1"/>
  <c r="BT1071" i="1"/>
  <c r="BT1072" i="1"/>
  <c r="BT1073" i="1"/>
  <c r="BT1074" i="1"/>
  <c r="BT1075" i="1"/>
  <c r="BT1076" i="1"/>
  <c r="BT1077" i="1"/>
  <c r="BT1078" i="1"/>
  <c r="BT1079" i="1"/>
  <c r="BT1080" i="1"/>
  <c r="BT1081" i="1"/>
  <c r="BT1082" i="1"/>
  <c r="BT1083" i="1"/>
  <c r="BT1084" i="1"/>
  <c r="BT1085" i="1"/>
  <c r="BT1086" i="1"/>
  <c r="BT1087" i="1"/>
  <c r="BT1088" i="1"/>
  <c r="BT1089" i="1"/>
  <c r="BT1090" i="1"/>
  <c r="BT1091" i="1"/>
  <c r="BT1092" i="1"/>
  <c r="BT1093" i="1"/>
  <c r="BT1094" i="1"/>
  <c r="BT1095" i="1"/>
  <c r="BT1096" i="1"/>
  <c r="BT1097" i="1"/>
  <c r="BT1098" i="1"/>
  <c r="BT1099" i="1"/>
  <c r="BT1100" i="1"/>
  <c r="BT1101" i="1"/>
  <c r="BT1102" i="1"/>
  <c r="BT1103" i="1"/>
  <c r="BT1104" i="1"/>
  <c r="BT1105" i="1"/>
  <c r="BT1106" i="1"/>
  <c r="BT1107" i="1"/>
  <c r="BT1108" i="1"/>
  <c r="BT1109" i="1"/>
  <c r="BT1110" i="1"/>
  <c r="BT1111" i="1"/>
  <c r="BT1112" i="1"/>
  <c r="BT1113" i="1"/>
  <c r="BT1114" i="1"/>
  <c r="BT1115" i="1"/>
  <c r="BT1116" i="1"/>
  <c r="BT1117" i="1"/>
  <c r="BT1118" i="1"/>
  <c r="BT1119" i="1"/>
  <c r="BT1120" i="1"/>
  <c r="BT1121" i="1"/>
  <c r="BT1122" i="1"/>
  <c r="BT1123" i="1"/>
  <c r="BT1124" i="1"/>
  <c r="BT1125" i="1"/>
  <c r="BT1126" i="1"/>
  <c r="BT1127" i="1"/>
  <c r="BT1128" i="1"/>
  <c r="BT1129" i="1"/>
  <c r="BT1130" i="1"/>
  <c r="BT1131" i="1"/>
  <c r="BT1132" i="1"/>
  <c r="BT1133" i="1"/>
  <c r="BT1134" i="1"/>
  <c r="BT1135" i="1"/>
  <c r="BT1136" i="1"/>
  <c r="BT1137" i="1"/>
  <c r="BT1138" i="1"/>
  <c r="BT1139" i="1"/>
  <c r="BT1140" i="1"/>
  <c r="BT1141" i="1"/>
  <c r="BT1142" i="1"/>
  <c r="BT1143" i="1"/>
  <c r="BT1144" i="1"/>
  <c r="BT1145" i="1"/>
  <c r="BT1146" i="1"/>
  <c r="BT1147" i="1"/>
  <c r="BT1148" i="1"/>
  <c r="BT1149" i="1"/>
  <c r="BT1150" i="1"/>
  <c r="BT1151" i="1"/>
  <c r="BT1152" i="1"/>
  <c r="BT1153" i="1"/>
  <c r="BT1154" i="1"/>
  <c r="BT1155" i="1"/>
  <c r="BT1156" i="1"/>
  <c r="BT1157" i="1"/>
  <c r="BT1158" i="1"/>
  <c r="BT1159" i="1"/>
  <c r="BT1160" i="1"/>
  <c r="BT1161" i="1"/>
  <c r="BT1162" i="1"/>
  <c r="BT1163" i="1"/>
  <c r="BT1164" i="1"/>
  <c r="BT1165" i="1"/>
  <c r="BT1166" i="1"/>
  <c r="BT1167" i="1"/>
  <c r="BT1168" i="1"/>
  <c r="BT1169" i="1"/>
  <c r="BT1170" i="1"/>
  <c r="BT1171" i="1"/>
  <c r="BT1172" i="1"/>
  <c r="BT1173" i="1"/>
  <c r="BT1174" i="1"/>
  <c r="BT1175" i="1"/>
  <c r="BT1176" i="1"/>
  <c r="BT1177" i="1"/>
  <c r="BT1178" i="1"/>
  <c r="BT1179" i="1"/>
  <c r="BT1180" i="1"/>
  <c r="BT1181" i="1"/>
  <c r="BT1182" i="1"/>
  <c r="BT1183" i="1"/>
  <c r="BT1184" i="1"/>
  <c r="BT1185" i="1"/>
  <c r="BT1186" i="1"/>
  <c r="BT1187" i="1"/>
  <c r="BT1188" i="1"/>
  <c r="BT1189" i="1"/>
  <c r="BT1190" i="1"/>
  <c r="BT1191" i="1"/>
  <c r="BT1192" i="1"/>
  <c r="BT1193" i="1"/>
  <c r="BT1194" i="1"/>
  <c r="BT1195" i="1"/>
  <c r="BT1196" i="1"/>
  <c r="BT1197" i="1"/>
  <c r="BT1198" i="1"/>
  <c r="BT1199" i="1"/>
  <c r="BT1200" i="1"/>
  <c r="BT1201" i="1"/>
  <c r="BT1202" i="1"/>
  <c r="BT1203" i="1"/>
  <c r="BT1204" i="1"/>
  <c r="BT1205" i="1"/>
  <c r="BT1206" i="1"/>
  <c r="BT1207" i="1"/>
  <c r="BT1208" i="1"/>
  <c r="BT1209" i="1"/>
  <c r="BT1210" i="1"/>
  <c r="BT1211" i="1"/>
  <c r="BT1212" i="1"/>
  <c r="BT1213" i="1"/>
  <c r="BT1214" i="1"/>
  <c r="BT1215" i="1"/>
  <c r="BT1216" i="1"/>
  <c r="BT1217" i="1"/>
  <c r="BT1218" i="1"/>
  <c r="BT1219" i="1"/>
  <c r="BT1220" i="1"/>
  <c r="BT1221" i="1"/>
  <c r="BT1222" i="1"/>
  <c r="BT1223" i="1"/>
  <c r="BT1224" i="1"/>
  <c r="BT1225" i="1"/>
  <c r="BT1226" i="1"/>
  <c r="BT1227" i="1"/>
  <c r="BT1228" i="1"/>
  <c r="BT1229" i="1"/>
  <c r="BT1230" i="1"/>
  <c r="BT1231" i="1"/>
  <c r="BT1232" i="1"/>
  <c r="BT1233" i="1"/>
  <c r="BT1234" i="1"/>
  <c r="BT1235" i="1"/>
  <c r="BT1236" i="1"/>
  <c r="BT1237" i="1"/>
  <c r="BT1238" i="1"/>
  <c r="BT1239" i="1"/>
  <c r="BT1240" i="1"/>
  <c r="BT1241" i="1"/>
  <c r="BT1242" i="1"/>
  <c r="BT1243" i="1"/>
  <c r="BT1244" i="1"/>
  <c r="BT1245" i="1"/>
  <c r="BT1246" i="1"/>
  <c r="BT1247" i="1"/>
  <c r="BT1248" i="1"/>
  <c r="BT1249" i="1"/>
  <c r="BT1250" i="1"/>
  <c r="BT1251" i="1"/>
  <c r="BT1252" i="1"/>
  <c r="BT1253" i="1"/>
  <c r="BT1254" i="1"/>
  <c r="BT1255" i="1"/>
  <c r="BT1256" i="1"/>
  <c r="BT1257" i="1"/>
  <c r="BT1258" i="1"/>
  <c r="BT1259" i="1"/>
  <c r="BT1260" i="1"/>
  <c r="BT1261" i="1"/>
  <c r="BT1262" i="1"/>
  <c r="BT1263" i="1"/>
  <c r="BT1264" i="1"/>
  <c r="BT1265" i="1"/>
  <c r="BT1266" i="1"/>
  <c r="BT1267" i="1"/>
  <c r="BT1268" i="1"/>
  <c r="BT1269" i="1"/>
  <c r="BT1270" i="1"/>
  <c r="BT1271" i="1"/>
  <c r="BT1272" i="1"/>
  <c r="BT1273" i="1"/>
  <c r="BT1274" i="1"/>
  <c r="BT1275" i="1"/>
  <c r="BT1276" i="1"/>
  <c r="BT1277" i="1"/>
  <c r="BT1278" i="1"/>
  <c r="BT1279" i="1"/>
  <c r="BT1280" i="1"/>
  <c r="BT1281" i="1"/>
  <c r="BT1282" i="1"/>
  <c r="BT1283" i="1"/>
  <c r="BT1284" i="1"/>
  <c r="BT1285" i="1"/>
  <c r="BT1286" i="1"/>
  <c r="BT1287" i="1"/>
  <c r="BT1288" i="1"/>
  <c r="BT1289" i="1"/>
  <c r="BT1290" i="1"/>
  <c r="BT1291" i="1"/>
  <c r="BT1292" i="1"/>
  <c r="BT1293" i="1"/>
  <c r="BT1294" i="1"/>
  <c r="BT1295" i="1"/>
  <c r="BT1296" i="1"/>
  <c r="BT1297" i="1"/>
  <c r="BT1298" i="1"/>
  <c r="BT1299" i="1"/>
  <c r="BT1300" i="1"/>
  <c r="BT1301" i="1"/>
  <c r="BT1302" i="1"/>
  <c r="BT1303" i="1"/>
  <c r="BT1304" i="1"/>
  <c r="BT1305" i="1"/>
  <c r="BT1306" i="1"/>
  <c r="BT1307" i="1"/>
  <c r="BT1308" i="1"/>
  <c r="BT1309" i="1"/>
  <c r="BT1310" i="1"/>
  <c r="BT1311" i="1"/>
  <c r="BT1312" i="1"/>
  <c r="BT1313" i="1"/>
  <c r="BT1314" i="1"/>
  <c r="BT1315" i="1"/>
  <c r="BT1316" i="1"/>
  <c r="BT1317" i="1"/>
  <c r="BT1318" i="1"/>
  <c r="BT1319" i="1"/>
  <c r="BT1320" i="1"/>
  <c r="BT1321" i="1"/>
  <c r="BT1322" i="1"/>
  <c r="BT1323" i="1"/>
  <c r="BT1324" i="1"/>
  <c r="BT1325" i="1"/>
  <c r="BT1326" i="1"/>
  <c r="BT1327" i="1"/>
  <c r="BT1328" i="1"/>
  <c r="BT1329" i="1"/>
  <c r="BT1330" i="1"/>
  <c r="BT1331" i="1"/>
  <c r="BT1332" i="1"/>
  <c r="BT1333" i="1"/>
  <c r="BT1334" i="1"/>
  <c r="BT1335" i="1"/>
  <c r="BT1336" i="1"/>
  <c r="BT1337" i="1"/>
  <c r="BT1338" i="1"/>
  <c r="BT1339" i="1"/>
  <c r="BT1340" i="1"/>
  <c r="BT1341" i="1"/>
  <c r="BT1342" i="1"/>
  <c r="BT1343" i="1"/>
  <c r="BT1344" i="1"/>
  <c r="BT1345" i="1"/>
  <c r="BT1346" i="1"/>
  <c r="BT1347" i="1"/>
  <c r="BT1348" i="1"/>
  <c r="BT1349" i="1"/>
  <c r="BT1350" i="1"/>
  <c r="BT1351" i="1"/>
  <c r="BT1352" i="1"/>
  <c r="BT1353" i="1"/>
  <c r="BT1354" i="1"/>
  <c r="BT1355" i="1"/>
  <c r="BT1356" i="1"/>
  <c r="BT1357" i="1"/>
  <c r="BT1358" i="1"/>
  <c r="BT1359" i="1"/>
  <c r="BT1360" i="1"/>
  <c r="BT1361" i="1"/>
  <c r="BT1362" i="1"/>
  <c r="BT1363" i="1"/>
  <c r="BT1364" i="1"/>
  <c r="BT1365" i="1"/>
  <c r="BT1366" i="1"/>
  <c r="BT1367" i="1"/>
  <c r="BT1368" i="1"/>
  <c r="BT1369" i="1"/>
  <c r="BT1370" i="1"/>
  <c r="BT1371" i="1"/>
  <c r="BT1372" i="1"/>
  <c r="BT1373" i="1"/>
  <c r="BT1374" i="1"/>
  <c r="BT1375" i="1"/>
  <c r="BT1376" i="1"/>
  <c r="BT1377" i="1"/>
  <c r="BT1378" i="1"/>
  <c r="BT1379" i="1"/>
  <c r="BT1380" i="1"/>
  <c r="BT1381" i="1"/>
  <c r="BT1382" i="1"/>
  <c r="BT1383" i="1"/>
  <c r="BT1384" i="1"/>
  <c r="BW137" i="1"/>
  <c r="BW138" i="1"/>
  <c r="BW139" i="1"/>
  <c r="BW140" i="1"/>
  <c r="BW141" i="1"/>
  <c r="BW142" i="1"/>
  <c r="BW143" i="1"/>
  <c r="BW144" i="1"/>
  <c r="BW145" i="1"/>
  <c r="BW146" i="1"/>
  <c r="BW147" i="1"/>
  <c r="BW148" i="1"/>
  <c r="BW149" i="1"/>
  <c r="BW150" i="1"/>
  <c r="BW151" i="1"/>
  <c r="BW152" i="1"/>
  <c r="BW153" i="1"/>
  <c r="BW154" i="1"/>
  <c r="BW155" i="1"/>
  <c r="BW156" i="1"/>
  <c r="BW157" i="1"/>
  <c r="BW158" i="1"/>
  <c r="BW159" i="1"/>
  <c r="BW160" i="1"/>
  <c r="BW161" i="1"/>
  <c r="BW162" i="1"/>
  <c r="BW163" i="1"/>
  <c r="BW164" i="1"/>
  <c r="BW165" i="1"/>
  <c r="BW166" i="1"/>
  <c r="BW167" i="1"/>
  <c r="BW168" i="1"/>
  <c r="BW169" i="1"/>
  <c r="BW170" i="1"/>
  <c r="BW171" i="1"/>
  <c r="BW172" i="1"/>
  <c r="BW173" i="1"/>
  <c r="BW174" i="1"/>
  <c r="BW175" i="1"/>
  <c r="BW176" i="1"/>
  <c r="BW177" i="1"/>
  <c r="BW178" i="1"/>
  <c r="BW179" i="1"/>
  <c r="BW180" i="1"/>
  <c r="BW181" i="1"/>
  <c r="BW182" i="1"/>
  <c r="BW183" i="1"/>
  <c r="BW184" i="1"/>
  <c r="BW185" i="1"/>
  <c r="BW186" i="1"/>
  <c r="BW187" i="1"/>
  <c r="BW188" i="1"/>
  <c r="BW189" i="1"/>
  <c r="BW190" i="1"/>
  <c r="BW191" i="1"/>
  <c r="BW192" i="1"/>
  <c r="BW193" i="1"/>
  <c r="BW194" i="1"/>
  <c r="BW195" i="1"/>
  <c r="BW196" i="1"/>
  <c r="BW197" i="1"/>
  <c r="BW198" i="1"/>
  <c r="BW199" i="1"/>
  <c r="BW200" i="1"/>
  <c r="BW201" i="1"/>
  <c r="BW202" i="1"/>
  <c r="BW203" i="1"/>
  <c r="BW204" i="1"/>
  <c r="BW205" i="1"/>
  <c r="BW206" i="1"/>
  <c r="BW207" i="1"/>
  <c r="BW208" i="1"/>
  <c r="BW209" i="1"/>
  <c r="BW210" i="1"/>
  <c r="BW211" i="1"/>
  <c r="BW212" i="1"/>
  <c r="BW213" i="1"/>
  <c r="BW214" i="1"/>
  <c r="BW215" i="1"/>
  <c r="BW216" i="1"/>
  <c r="BW217" i="1"/>
  <c r="BW218" i="1"/>
  <c r="BW219" i="1"/>
  <c r="BW220" i="1"/>
  <c r="BW221" i="1"/>
  <c r="BW222" i="1"/>
  <c r="BW223" i="1"/>
  <c r="BW224" i="1"/>
  <c r="BW225" i="1"/>
  <c r="BW226" i="1"/>
  <c r="BW227" i="1"/>
  <c r="BW228" i="1"/>
  <c r="BW229" i="1"/>
  <c r="BW230" i="1"/>
  <c r="BW231" i="1"/>
  <c r="BW232" i="1"/>
  <c r="BW233" i="1"/>
  <c r="BW234" i="1"/>
  <c r="BW235" i="1"/>
  <c r="BW236" i="1"/>
  <c r="BW237" i="1"/>
  <c r="BW238" i="1"/>
  <c r="BW239" i="1"/>
  <c r="BW240" i="1"/>
  <c r="BW241" i="1"/>
  <c r="BW242" i="1"/>
  <c r="BW243" i="1"/>
  <c r="BW244" i="1"/>
  <c r="BW245" i="1"/>
  <c r="BW246" i="1"/>
  <c r="BW247" i="1"/>
  <c r="BW248" i="1"/>
  <c r="BW249" i="1"/>
  <c r="BW250" i="1"/>
  <c r="BW251" i="1"/>
  <c r="BW252" i="1"/>
  <c r="BW253" i="1"/>
  <c r="BW254" i="1"/>
  <c r="BW255" i="1"/>
  <c r="BW256" i="1"/>
  <c r="BW257" i="1"/>
  <c r="BW258" i="1"/>
  <c r="BW259" i="1"/>
  <c r="BW260" i="1"/>
  <c r="BW261" i="1"/>
  <c r="BW262" i="1"/>
  <c r="BW263" i="1"/>
  <c r="BW264" i="1"/>
  <c r="BW265" i="1"/>
  <c r="BW266" i="1"/>
  <c r="BW267" i="1"/>
  <c r="BW268" i="1"/>
  <c r="BW269" i="1"/>
  <c r="BW270" i="1"/>
  <c r="BW271" i="1"/>
  <c r="BW272" i="1"/>
  <c r="BW273" i="1"/>
  <c r="BW274" i="1"/>
  <c r="BW275" i="1"/>
  <c r="BW276" i="1"/>
  <c r="BW277" i="1"/>
  <c r="BW278" i="1"/>
  <c r="BW279" i="1"/>
  <c r="BW280" i="1"/>
  <c r="BW281" i="1"/>
  <c r="BW282" i="1"/>
  <c r="BW283" i="1"/>
  <c r="BW284" i="1"/>
  <c r="BW285" i="1"/>
  <c r="BW286" i="1"/>
  <c r="BW287" i="1"/>
  <c r="BW288" i="1"/>
  <c r="BW289" i="1"/>
  <c r="BW290" i="1"/>
  <c r="BW291" i="1"/>
  <c r="BW292" i="1"/>
  <c r="BW293" i="1"/>
  <c r="BW294" i="1"/>
  <c r="BW295" i="1"/>
  <c r="BW296" i="1"/>
  <c r="BW297" i="1"/>
  <c r="BW298" i="1"/>
  <c r="BW299" i="1"/>
  <c r="BW300" i="1"/>
  <c r="BW301" i="1"/>
  <c r="BW302" i="1"/>
  <c r="BW303" i="1"/>
  <c r="BW304" i="1"/>
  <c r="BW305" i="1"/>
  <c r="BW306" i="1"/>
  <c r="BW307" i="1"/>
  <c r="BW308" i="1"/>
  <c r="BW309" i="1"/>
  <c r="BW310" i="1"/>
  <c r="BW311" i="1"/>
  <c r="BW312" i="1"/>
  <c r="BW313" i="1"/>
  <c r="BW314" i="1"/>
  <c r="BW315" i="1"/>
  <c r="BW316" i="1"/>
  <c r="BW317" i="1"/>
  <c r="BW318" i="1"/>
  <c r="BW319" i="1"/>
  <c r="BW320" i="1"/>
  <c r="BW321" i="1"/>
  <c r="BW322" i="1"/>
  <c r="BW323" i="1"/>
  <c r="BW324" i="1"/>
  <c r="BW325" i="1"/>
  <c r="BW326" i="1"/>
  <c r="BW327" i="1"/>
  <c r="BW328" i="1"/>
  <c r="BW329" i="1"/>
  <c r="BW330" i="1"/>
  <c r="BW331" i="1"/>
  <c r="BW332" i="1"/>
  <c r="BW333" i="1"/>
  <c r="BW334" i="1"/>
  <c r="BW335" i="1"/>
  <c r="BW336" i="1"/>
  <c r="BW337" i="1"/>
  <c r="BW338" i="1"/>
  <c r="BW339" i="1"/>
  <c r="BW340" i="1"/>
  <c r="BW341" i="1"/>
  <c r="BW342" i="1"/>
  <c r="BW343" i="1"/>
  <c r="BW344" i="1"/>
  <c r="BW345" i="1"/>
  <c r="BW346" i="1"/>
  <c r="BW347" i="1"/>
  <c r="BW348" i="1"/>
  <c r="BW349" i="1"/>
  <c r="BW350" i="1"/>
  <c r="BW351" i="1"/>
  <c r="BW352" i="1"/>
  <c r="BW353" i="1"/>
  <c r="BW354" i="1"/>
  <c r="BW355" i="1"/>
  <c r="BW356" i="1"/>
  <c r="BW357" i="1"/>
  <c r="BW358" i="1"/>
  <c r="BW359" i="1"/>
  <c r="BW360" i="1"/>
  <c r="BW361" i="1"/>
  <c r="BW362" i="1"/>
  <c r="BW363" i="1"/>
  <c r="BW364" i="1"/>
  <c r="BW365" i="1"/>
  <c r="BW366" i="1"/>
  <c r="BW367" i="1"/>
  <c r="BW368" i="1"/>
  <c r="BW369" i="1"/>
  <c r="BW370" i="1"/>
  <c r="BW371" i="1"/>
  <c r="BW372" i="1"/>
  <c r="BW373" i="1"/>
  <c r="BW374" i="1"/>
  <c r="BW375" i="1"/>
  <c r="BW376" i="1"/>
  <c r="BW377" i="1"/>
  <c r="BW378" i="1"/>
  <c r="BW379" i="1"/>
  <c r="BW380" i="1"/>
  <c r="BW381" i="1"/>
  <c r="BW382" i="1"/>
  <c r="BW383" i="1"/>
  <c r="BW384" i="1"/>
  <c r="BW385" i="1"/>
  <c r="BW386" i="1"/>
  <c r="BW387" i="1"/>
  <c r="BW388" i="1"/>
  <c r="BW389" i="1"/>
  <c r="BW390" i="1"/>
  <c r="BW391" i="1"/>
  <c r="BW392" i="1"/>
  <c r="BW393" i="1"/>
  <c r="BW394" i="1"/>
  <c r="BW395" i="1"/>
  <c r="BW396" i="1"/>
  <c r="BW397" i="1"/>
  <c r="BW398" i="1"/>
  <c r="BW399" i="1"/>
  <c r="BW400" i="1"/>
  <c r="BW401" i="1"/>
  <c r="BW402" i="1"/>
  <c r="BW403" i="1"/>
  <c r="BW404" i="1"/>
  <c r="BW405" i="1"/>
  <c r="BW406" i="1"/>
  <c r="BW407" i="1"/>
  <c r="BW408" i="1"/>
  <c r="BW409" i="1"/>
  <c r="BW410" i="1"/>
  <c r="BW411" i="1"/>
  <c r="BW412" i="1"/>
  <c r="BW413" i="1"/>
  <c r="BW414" i="1"/>
  <c r="BW415" i="1"/>
  <c r="BW416" i="1"/>
  <c r="BW417" i="1"/>
  <c r="BW418" i="1"/>
  <c r="BW419" i="1"/>
  <c r="BW420" i="1"/>
  <c r="BW421" i="1"/>
  <c r="BW422" i="1"/>
  <c r="BW423" i="1"/>
  <c r="BW424" i="1"/>
  <c r="BW425" i="1"/>
  <c r="BW426" i="1"/>
  <c r="BW427" i="1"/>
  <c r="BW428" i="1"/>
  <c r="BW429" i="1"/>
  <c r="BW430" i="1"/>
  <c r="BW431" i="1"/>
  <c r="BW432" i="1"/>
  <c r="BW433" i="1"/>
  <c r="BW434" i="1"/>
  <c r="BW435" i="1"/>
  <c r="BW436" i="1"/>
  <c r="BW437" i="1"/>
  <c r="BW438" i="1"/>
  <c r="BW439" i="1"/>
  <c r="BW440" i="1"/>
  <c r="BW441" i="1"/>
  <c r="BW442" i="1"/>
  <c r="BW443" i="1"/>
  <c r="BW444" i="1"/>
  <c r="BW445" i="1"/>
  <c r="BW446" i="1"/>
  <c r="BW447" i="1"/>
  <c r="BW448" i="1"/>
  <c r="BW449" i="1"/>
  <c r="BW450" i="1"/>
  <c r="BW451" i="1"/>
  <c r="BW452" i="1"/>
  <c r="BW453" i="1"/>
  <c r="BW454" i="1"/>
  <c r="BW455" i="1"/>
  <c r="BW456" i="1"/>
  <c r="BW457" i="1"/>
  <c r="BW458" i="1"/>
  <c r="BW459" i="1"/>
  <c r="BW460" i="1"/>
  <c r="BW461" i="1"/>
  <c r="BW462" i="1"/>
  <c r="BW463" i="1"/>
  <c r="BW464" i="1"/>
  <c r="BW465" i="1"/>
  <c r="BW466" i="1"/>
  <c r="BW467" i="1"/>
  <c r="BW468" i="1"/>
  <c r="BW469" i="1"/>
  <c r="BW470" i="1"/>
  <c r="BW471" i="1"/>
  <c r="BW472" i="1"/>
  <c r="BW473" i="1"/>
  <c r="BW474" i="1"/>
  <c r="BW475" i="1"/>
  <c r="BW476" i="1"/>
  <c r="BW477" i="1"/>
  <c r="BW478" i="1"/>
  <c r="BW479" i="1"/>
  <c r="BW480" i="1"/>
  <c r="BW481" i="1"/>
  <c r="BW482" i="1"/>
  <c r="BW483" i="1"/>
  <c r="BW484" i="1"/>
  <c r="BW485" i="1"/>
  <c r="BW486" i="1"/>
  <c r="BW487" i="1"/>
  <c r="BW488" i="1"/>
  <c r="BW489" i="1"/>
  <c r="BW490" i="1"/>
  <c r="BW491" i="1"/>
  <c r="BW492" i="1"/>
  <c r="BW493" i="1"/>
  <c r="BW494" i="1"/>
  <c r="BW495" i="1"/>
  <c r="BW496" i="1"/>
  <c r="BW497" i="1"/>
  <c r="BW498" i="1"/>
  <c r="BW499" i="1"/>
  <c r="BW500" i="1"/>
  <c r="BW501" i="1"/>
  <c r="BW502" i="1"/>
  <c r="BW503" i="1"/>
  <c r="BW504" i="1"/>
  <c r="BW505" i="1"/>
  <c r="BW506" i="1"/>
  <c r="BW507" i="1"/>
  <c r="BW508" i="1"/>
  <c r="BW509" i="1"/>
  <c r="BW510" i="1"/>
  <c r="BW511" i="1"/>
  <c r="BW512" i="1"/>
  <c r="BW513" i="1"/>
  <c r="BW514" i="1"/>
  <c r="BW515" i="1"/>
  <c r="BW516" i="1"/>
  <c r="BW517" i="1"/>
  <c r="BW518" i="1"/>
  <c r="BW519" i="1"/>
  <c r="BW520" i="1"/>
  <c r="BW521" i="1"/>
  <c r="BW522" i="1"/>
  <c r="BW523" i="1"/>
  <c r="BW524" i="1"/>
  <c r="BW525" i="1"/>
  <c r="BW526" i="1"/>
  <c r="BW527" i="1"/>
  <c r="BW528" i="1"/>
  <c r="BW529" i="1"/>
  <c r="BW530" i="1"/>
  <c r="BW531" i="1"/>
  <c r="BW532" i="1"/>
  <c r="BW533" i="1"/>
  <c r="BW534" i="1"/>
  <c r="BW535" i="1"/>
  <c r="BW536" i="1"/>
  <c r="BW537" i="1"/>
  <c r="BW538" i="1"/>
  <c r="BW539" i="1"/>
  <c r="BW540" i="1"/>
  <c r="BW541" i="1"/>
  <c r="BW542" i="1"/>
  <c r="BW543" i="1"/>
  <c r="BW544" i="1"/>
  <c r="BW545" i="1"/>
  <c r="BW546" i="1"/>
  <c r="BW547" i="1"/>
  <c r="BW548" i="1"/>
  <c r="BW549" i="1"/>
  <c r="BW550" i="1"/>
  <c r="BW551" i="1"/>
  <c r="BW552" i="1"/>
  <c r="BW553" i="1"/>
  <c r="BW554" i="1"/>
  <c r="BW555" i="1"/>
  <c r="BW556" i="1"/>
  <c r="BW557" i="1"/>
  <c r="BW558" i="1"/>
  <c r="BW559" i="1"/>
  <c r="BW560" i="1"/>
  <c r="BW561" i="1"/>
  <c r="BW562" i="1"/>
  <c r="BW563" i="1"/>
  <c r="BW564" i="1"/>
  <c r="BW565" i="1"/>
  <c r="BW566" i="1"/>
  <c r="BW567" i="1"/>
  <c r="BW568" i="1"/>
  <c r="BW569" i="1"/>
  <c r="BW570" i="1"/>
  <c r="BW571" i="1"/>
  <c r="BW572" i="1"/>
  <c r="BW573" i="1"/>
  <c r="BW574" i="1"/>
  <c r="BW575" i="1"/>
  <c r="BW576" i="1"/>
  <c r="BW577" i="1"/>
  <c r="BW578" i="1"/>
  <c r="BW579" i="1"/>
  <c r="BW580" i="1"/>
  <c r="BW581" i="1"/>
  <c r="BW582" i="1"/>
  <c r="BW583" i="1"/>
  <c r="BW584" i="1"/>
  <c r="BW585" i="1"/>
  <c r="BW586" i="1"/>
  <c r="BW587" i="1"/>
  <c r="BW588" i="1"/>
  <c r="BW589" i="1"/>
  <c r="BW590" i="1"/>
  <c r="BW591" i="1"/>
  <c r="BW592" i="1"/>
  <c r="BW593" i="1"/>
  <c r="BW594" i="1"/>
  <c r="BW595" i="1"/>
  <c r="BW596" i="1"/>
  <c r="BW597" i="1"/>
  <c r="BW598" i="1"/>
  <c r="BW599" i="1"/>
  <c r="BW600" i="1"/>
  <c r="BW601" i="1"/>
  <c r="BW602" i="1"/>
  <c r="BW603" i="1"/>
  <c r="BW604" i="1"/>
  <c r="BW605" i="1"/>
  <c r="BW606" i="1"/>
  <c r="BW607" i="1"/>
  <c r="BW608" i="1"/>
  <c r="BW609" i="1"/>
  <c r="BW610" i="1"/>
  <c r="BW611" i="1"/>
  <c r="BW612" i="1"/>
  <c r="BW613" i="1"/>
  <c r="BW614" i="1"/>
  <c r="BW615" i="1"/>
  <c r="BW616" i="1"/>
  <c r="BW617" i="1"/>
  <c r="BW618" i="1"/>
  <c r="BW619" i="1"/>
  <c r="BW620" i="1"/>
  <c r="BW621" i="1"/>
  <c r="BW622" i="1"/>
  <c r="BW623" i="1"/>
  <c r="BW624" i="1"/>
  <c r="BW625" i="1"/>
  <c r="BW626" i="1"/>
  <c r="BW627" i="1"/>
  <c r="BW628" i="1"/>
  <c r="BW629" i="1"/>
  <c r="BW630" i="1"/>
  <c r="BW631" i="1"/>
  <c r="BW632" i="1"/>
  <c r="BW633" i="1"/>
  <c r="BW634" i="1"/>
  <c r="BW635" i="1"/>
  <c r="BW636" i="1"/>
  <c r="BW637" i="1"/>
  <c r="BW638" i="1"/>
  <c r="BW639" i="1"/>
  <c r="BW640" i="1"/>
  <c r="BW641" i="1"/>
  <c r="BW642" i="1"/>
  <c r="BW643" i="1"/>
  <c r="BW644" i="1"/>
  <c r="BW645" i="1"/>
  <c r="BW646" i="1"/>
  <c r="BW647" i="1"/>
  <c r="BW648" i="1"/>
  <c r="BW649" i="1"/>
  <c r="BW650" i="1"/>
  <c r="BW651" i="1"/>
  <c r="BW652" i="1"/>
  <c r="BW653" i="1"/>
  <c r="BW654" i="1"/>
  <c r="BW655" i="1"/>
  <c r="BW656" i="1"/>
  <c r="BW657" i="1"/>
  <c r="BW658" i="1"/>
  <c r="BW659" i="1"/>
  <c r="BW660" i="1"/>
  <c r="BW661" i="1"/>
  <c r="BW662" i="1"/>
  <c r="BW663" i="1"/>
  <c r="BW664" i="1"/>
  <c r="BW665" i="1"/>
  <c r="BW666" i="1"/>
  <c r="BW667" i="1"/>
  <c r="BW668" i="1"/>
  <c r="BW669" i="1"/>
  <c r="BW670" i="1"/>
  <c r="BW671" i="1"/>
  <c r="BW672" i="1"/>
  <c r="BW673" i="1"/>
  <c r="BW674" i="1"/>
  <c r="BW675" i="1"/>
  <c r="BW676" i="1"/>
  <c r="BW677" i="1"/>
  <c r="BW678" i="1"/>
  <c r="BW679" i="1"/>
  <c r="BW680" i="1"/>
  <c r="BW681" i="1"/>
  <c r="BW682" i="1"/>
  <c r="BW683" i="1"/>
  <c r="BW684" i="1"/>
  <c r="BW685" i="1"/>
  <c r="BW686" i="1"/>
  <c r="BW687" i="1"/>
  <c r="BW688" i="1"/>
  <c r="BW689" i="1"/>
  <c r="BW690" i="1"/>
  <c r="BW691" i="1"/>
  <c r="BW692" i="1"/>
  <c r="BW693" i="1"/>
  <c r="BW694" i="1"/>
  <c r="BW695" i="1"/>
  <c r="BW696" i="1"/>
  <c r="BW697" i="1"/>
  <c r="BW698" i="1"/>
  <c r="BW699" i="1"/>
  <c r="BW700" i="1"/>
  <c r="BW701" i="1"/>
  <c r="BW702" i="1"/>
  <c r="BW703" i="1"/>
  <c r="BW704" i="1"/>
  <c r="BW705" i="1"/>
  <c r="BW706" i="1"/>
  <c r="BW707" i="1"/>
  <c r="BW708" i="1"/>
  <c r="BW709" i="1"/>
  <c r="BW710" i="1"/>
  <c r="BW711" i="1"/>
  <c r="BW712" i="1"/>
  <c r="BW713" i="1"/>
  <c r="BW714" i="1"/>
  <c r="BW715" i="1"/>
  <c r="BW716" i="1"/>
  <c r="BW717" i="1"/>
  <c r="BW718" i="1"/>
  <c r="BW719" i="1"/>
  <c r="BW720" i="1"/>
  <c r="BW721" i="1"/>
  <c r="BW722" i="1"/>
  <c r="BW723" i="1"/>
  <c r="BW724" i="1"/>
  <c r="BW725" i="1"/>
  <c r="BW726" i="1"/>
  <c r="BW727" i="1"/>
  <c r="BW728" i="1"/>
  <c r="BW729" i="1"/>
  <c r="BW730" i="1"/>
  <c r="BW731" i="1"/>
  <c r="BW732" i="1"/>
  <c r="BW733" i="1"/>
  <c r="BW734" i="1"/>
  <c r="BW735" i="1"/>
  <c r="BW736" i="1"/>
  <c r="BW737" i="1"/>
  <c r="BW738" i="1"/>
  <c r="BW739" i="1"/>
  <c r="BW740" i="1"/>
  <c r="BW741" i="1"/>
  <c r="BW742" i="1"/>
  <c r="BW743" i="1"/>
  <c r="BW744" i="1"/>
  <c r="BW745" i="1"/>
  <c r="BW746" i="1"/>
  <c r="BW747" i="1"/>
  <c r="BW748" i="1"/>
  <c r="BW749" i="1"/>
  <c r="BW750" i="1"/>
  <c r="BW751" i="1"/>
  <c r="BW752" i="1"/>
  <c r="BW753" i="1"/>
  <c r="BW754" i="1"/>
  <c r="BW755" i="1"/>
  <c r="BW756" i="1"/>
  <c r="BW757" i="1"/>
  <c r="BW758" i="1"/>
  <c r="BW759" i="1"/>
  <c r="BW760" i="1"/>
  <c r="BW761" i="1"/>
  <c r="BW762" i="1"/>
  <c r="BW763" i="1"/>
  <c r="BW764" i="1"/>
  <c r="BW765" i="1"/>
  <c r="BW766" i="1"/>
  <c r="BW767" i="1"/>
  <c r="BW768" i="1"/>
  <c r="BW769" i="1"/>
  <c r="BW770" i="1"/>
  <c r="BW771" i="1"/>
  <c r="BW772" i="1"/>
  <c r="BW773" i="1"/>
  <c r="BW774" i="1"/>
  <c r="BW775" i="1"/>
  <c r="BW776" i="1"/>
  <c r="BW777" i="1"/>
  <c r="BW778" i="1"/>
  <c r="BW779" i="1"/>
  <c r="BW780" i="1"/>
  <c r="BW781" i="1"/>
  <c r="BW782" i="1"/>
  <c r="BW783" i="1"/>
  <c r="BW784" i="1"/>
  <c r="BW785" i="1"/>
  <c r="BW786" i="1"/>
  <c r="BW787" i="1"/>
  <c r="BW788" i="1"/>
  <c r="BW789" i="1"/>
  <c r="BW790" i="1"/>
  <c r="BW791" i="1"/>
  <c r="BW792" i="1"/>
  <c r="BW793" i="1"/>
  <c r="BW794" i="1"/>
  <c r="BW795" i="1"/>
  <c r="BW796" i="1"/>
  <c r="BW797" i="1"/>
  <c r="BW798" i="1"/>
  <c r="BW799" i="1"/>
  <c r="BW800" i="1"/>
  <c r="BW801" i="1"/>
  <c r="BW802" i="1"/>
  <c r="BW803" i="1"/>
  <c r="BW804" i="1"/>
  <c r="BW805" i="1"/>
  <c r="BW806" i="1"/>
  <c r="BW807" i="1"/>
  <c r="BW808" i="1"/>
  <c r="BW809" i="1"/>
  <c r="BW810" i="1"/>
  <c r="BW811" i="1"/>
  <c r="BW812" i="1"/>
  <c r="BW813" i="1"/>
  <c r="BW814" i="1"/>
  <c r="BW815" i="1"/>
  <c r="BW816" i="1"/>
  <c r="BW817" i="1"/>
  <c r="BW818" i="1"/>
  <c r="BW819" i="1"/>
  <c r="BW820" i="1"/>
  <c r="BW821" i="1"/>
  <c r="BW822" i="1"/>
  <c r="BW823" i="1"/>
  <c r="BW824" i="1"/>
  <c r="BW825" i="1"/>
  <c r="BW826" i="1"/>
  <c r="BW827" i="1"/>
  <c r="BW828" i="1"/>
  <c r="BW829" i="1"/>
  <c r="BW830" i="1"/>
  <c r="BW831" i="1"/>
  <c r="BW832" i="1"/>
  <c r="BW833" i="1"/>
  <c r="BW834" i="1"/>
  <c r="BW835" i="1"/>
  <c r="BW836" i="1"/>
  <c r="BW837" i="1"/>
  <c r="BW838" i="1"/>
  <c r="BW839" i="1"/>
  <c r="BW840" i="1"/>
  <c r="BW841" i="1"/>
  <c r="BW842" i="1"/>
  <c r="BW843" i="1"/>
  <c r="BW844" i="1"/>
  <c r="BW845" i="1"/>
  <c r="BW846" i="1"/>
  <c r="BW847" i="1"/>
  <c r="BW848" i="1"/>
  <c r="BW849" i="1"/>
  <c r="BW850" i="1"/>
  <c r="BW851" i="1"/>
  <c r="BW852" i="1"/>
  <c r="BW853" i="1"/>
  <c r="BW854" i="1"/>
  <c r="BW855" i="1"/>
  <c r="BW856" i="1"/>
  <c r="BW857" i="1"/>
  <c r="BW858" i="1"/>
  <c r="BW859" i="1"/>
  <c r="BW860" i="1"/>
  <c r="BW861" i="1"/>
  <c r="BW862" i="1"/>
  <c r="BW863" i="1"/>
  <c r="BW864" i="1"/>
  <c r="BW865" i="1"/>
  <c r="BW866" i="1"/>
  <c r="BW867" i="1"/>
  <c r="BW868" i="1"/>
  <c r="BW869" i="1"/>
  <c r="BW870" i="1"/>
  <c r="BW871" i="1"/>
  <c r="BW872" i="1"/>
  <c r="BW873" i="1"/>
  <c r="BW874" i="1"/>
  <c r="BW875" i="1"/>
  <c r="BW876" i="1"/>
  <c r="BW877" i="1"/>
  <c r="BW878" i="1"/>
  <c r="BW879" i="1"/>
  <c r="BW880" i="1"/>
  <c r="BW881" i="1"/>
  <c r="BW882" i="1"/>
  <c r="BW883" i="1"/>
  <c r="BW884" i="1"/>
  <c r="BW885" i="1"/>
  <c r="BW886" i="1"/>
  <c r="BW887" i="1"/>
  <c r="BW888" i="1"/>
  <c r="BW889" i="1"/>
  <c r="BW890" i="1"/>
  <c r="BW891" i="1"/>
  <c r="BW892" i="1"/>
  <c r="BW893" i="1"/>
  <c r="BW894" i="1"/>
  <c r="BW895" i="1"/>
  <c r="BW896" i="1"/>
  <c r="BW897" i="1"/>
  <c r="BW898" i="1"/>
  <c r="BW899" i="1"/>
  <c r="BW900" i="1"/>
  <c r="BW901" i="1"/>
  <c r="BW902" i="1"/>
  <c r="BW903" i="1"/>
  <c r="BW904" i="1"/>
  <c r="BW905" i="1"/>
  <c r="BW906" i="1"/>
  <c r="BW907" i="1"/>
  <c r="BW908" i="1"/>
  <c r="BW909" i="1"/>
  <c r="BW910" i="1"/>
  <c r="BW911" i="1"/>
  <c r="BW912" i="1"/>
  <c r="BW913" i="1"/>
  <c r="BW914" i="1"/>
  <c r="BW915" i="1"/>
  <c r="BW916" i="1"/>
  <c r="BW917" i="1"/>
  <c r="BW918" i="1"/>
  <c r="BW919" i="1"/>
  <c r="BW920" i="1"/>
  <c r="BW921" i="1"/>
  <c r="BW922" i="1"/>
  <c r="BW923" i="1"/>
  <c r="BW924" i="1"/>
  <c r="BW925" i="1"/>
  <c r="BW926" i="1"/>
  <c r="BW927" i="1"/>
  <c r="BW928" i="1"/>
  <c r="BW929" i="1"/>
  <c r="BW930" i="1"/>
  <c r="BW931" i="1"/>
  <c r="BW932" i="1"/>
  <c r="BW933" i="1"/>
  <c r="BW934" i="1"/>
  <c r="BW935" i="1"/>
  <c r="BW936" i="1"/>
  <c r="BW937" i="1"/>
  <c r="BW938" i="1"/>
  <c r="BW939" i="1"/>
  <c r="BW940" i="1"/>
  <c r="BW941" i="1"/>
  <c r="BW942" i="1"/>
  <c r="BW943" i="1"/>
  <c r="BW944" i="1"/>
  <c r="BW945" i="1"/>
  <c r="BW946" i="1"/>
  <c r="BW947" i="1"/>
  <c r="BW948" i="1"/>
  <c r="BW949" i="1"/>
  <c r="BW950" i="1"/>
  <c r="BW951" i="1"/>
  <c r="BW952" i="1"/>
  <c r="BW953" i="1"/>
  <c r="BW954" i="1"/>
  <c r="BW955" i="1"/>
  <c r="BW956" i="1"/>
  <c r="BW957" i="1"/>
  <c r="BW958" i="1"/>
  <c r="BW959" i="1"/>
  <c r="BW960" i="1"/>
  <c r="BW961" i="1"/>
  <c r="BW962" i="1"/>
  <c r="BW963" i="1"/>
  <c r="BW964" i="1"/>
  <c r="BW965" i="1"/>
  <c r="BW966" i="1"/>
  <c r="BW967" i="1"/>
  <c r="BW968" i="1"/>
  <c r="BW969" i="1"/>
  <c r="BW970" i="1"/>
  <c r="BW971" i="1"/>
  <c r="BW972" i="1"/>
  <c r="BW973" i="1"/>
  <c r="BW974" i="1"/>
  <c r="BW975" i="1"/>
  <c r="BW976" i="1"/>
  <c r="BW977" i="1"/>
  <c r="BW978" i="1"/>
  <c r="BW979" i="1"/>
  <c r="BW980" i="1"/>
  <c r="BW981" i="1"/>
  <c r="BW982" i="1"/>
  <c r="BW983" i="1"/>
  <c r="BW984" i="1"/>
  <c r="BW985" i="1"/>
  <c r="BW986" i="1"/>
  <c r="BW987" i="1"/>
  <c r="BW988" i="1"/>
  <c r="BW989" i="1"/>
  <c r="BW990" i="1"/>
  <c r="BW991" i="1"/>
  <c r="BW992" i="1"/>
  <c r="BW993" i="1"/>
  <c r="BW994" i="1"/>
  <c r="BW995" i="1"/>
  <c r="BW996" i="1"/>
  <c r="BW997" i="1"/>
  <c r="BW998" i="1"/>
  <c r="BW999" i="1"/>
  <c r="BW1000" i="1"/>
  <c r="BW1001" i="1"/>
  <c r="BW1002" i="1"/>
  <c r="BW1003" i="1"/>
  <c r="BW1004" i="1"/>
  <c r="BW1005" i="1"/>
  <c r="BW1006" i="1"/>
  <c r="BW1007" i="1"/>
  <c r="BW1008" i="1"/>
  <c r="BW1009" i="1"/>
  <c r="BW1010" i="1"/>
  <c r="BW1011" i="1"/>
  <c r="BW1012" i="1"/>
  <c r="BW1013" i="1"/>
  <c r="BW1014" i="1"/>
  <c r="BW1015" i="1"/>
  <c r="BW1016" i="1"/>
  <c r="BW1017" i="1"/>
  <c r="BW1018" i="1"/>
  <c r="BW1019" i="1"/>
  <c r="BW1020" i="1"/>
  <c r="BW1021" i="1"/>
  <c r="BW1022" i="1"/>
  <c r="BW1023" i="1"/>
  <c r="BW1024" i="1"/>
  <c r="BW1025" i="1"/>
  <c r="BW1026" i="1"/>
  <c r="BW1027" i="1"/>
  <c r="BW1028" i="1"/>
  <c r="BW1029" i="1"/>
  <c r="BW1030" i="1"/>
  <c r="BW1031" i="1"/>
  <c r="BW1032" i="1"/>
  <c r="BW1033" i="1"/>
  <c r="BW1034" i="1"/>
  <c r="BW1035" i="1"/>
  <c r="BW1036" i="1"/>
  <c r="BW1037" i="1"/>
  <c r="BW1038" i="1"/>
  <c r="BW1039" i="1"/>
  <c r="BW1040" i="1"/>
  <c r="BW1041" i="1"/>
  <c r="BW1042" i="1"/>
  <c r="BW1043" i="1"/>
  <c r="BW1044" i="1"/>
  <c r="BW1045" i="1"/>
  <c r="BW1046" i="1"/>
  <c r="BW1047" i="1"/>
  <c r="BW1048" i="1"/>
  <c r="BW1049" i="1"/>
  <c r="BW1050" i="1"/>
  <c r="BW1051" i="1"/>
  <c r="BW1052" i="1"/>
  <c r="BW1053" i="1"/>
  <c r="BW1054" i="1"/>
  <c r="BW1055" i="1"/>
  <c r="BW1056" i="1"/>
  <c r="BW1057" i="1"/>
  <c r="BW1058" i="1"/>
  <c r="BW1059" i="1"/>
  <c r="BW1060" i="1"/>
  <c r="BW1061" i="1"/>
  <c r="BW1062" i="1"/>
  <c r="BW1063" i="1"/>
  <c r="BW1064" i="1"/>
  <c r="BW1065" i="1"/>
  <c r="BW1066" i="1"/>
  <c r="BW1067" i="1"/>
  <c r="BW1068" i="1"/>
  <c r="BW1069" i="1"/>
  <c r="BW1070" i="1"/>
  <c r="BW1071" i="1"/>
  <c r="BW1072" i="1"/>
  <c r="BW1073" i="1"/>
  <c r="BW1074" i="1"/>
  <c r="BW1075" i="1"/>
  <c r="BW1076" i="1"/>
  <c r="BW1077" i="1"/>
  <c r="BW1078" i="1"/>
  <c r="BW1079" i="1"/>
  <c r="BW1080" i="1"/>
  <c r="BW1081" i="1"/>
  <c r="BW1082" i="1"/>
  <c r="BW1083" i="1"/>
  <c r="BW1084" i="1"/>
  <c r="BW1085" i="1"/>
  <c r="BW1086" i="1"/>
  <c r="BW1087" i="1"/>
  <c r="BW1088" i="1"/>
  <c r="BW1089" i="1"/>
  <c r="BW1090" i="1"/>
  <c r="BW1091" i="1"/>
  <c r="BW1092" i="1"/>
  <c r="BW1093" i="1"/>
  <c r="BW1094" i="1"/>
  <c r="BW1095" i="1"/>
  <c r="BW1096" i="1"/>
  <c r="BW1097" i="1"/>
  <c r="BW1098" i="1"/>
  <c r="BW1099" i="1"/>
  <c r="BW1100" i="1"/>
  <c r="BW1101" i="1"/>
  <c r="BW1102" i="1"/>
  <c r="BW1103" i="1"/>
  <c r="BW1104" i="1"/>
  <c r="BW1105" i="1"/>
  <c r="BW1106" i="1"/>
  <c r="BW1107" i="1"/>
  <c r="BW1108" i="1"/>
  <c r="BW1109" i="1"/>
  <c r="BW1110" i="1"/>
  <c r="BW1111" i="1"/>
  <c r="BW1112" i="1"/>
  <c r="BW1113" i="1"/>
  <c r="BW1114" i="1"/>
  <c r="BW1115" i="1"/>
  <c r="BW1116" i="1"/>
  <c r="BW1117" i="1"/>
  <c r="BW1118" i="1"/>
  <c r="BW1119" i="1"/>
  <c r="BW1120" i="1"/>
  <c r="BW1121" i="1"/>
  <c r="BW1122" i="1"/>
  <c r="BW1123" i="1"/>
  <c r="BW1124" i="1"/>
  <c r="BW1125" i="1"/>
  <c r="BW1126" i="1"/>
  <c r="BW1127" i="1"/>
  <c r="BW1128" i="1"/>
  <c r="BW1129" i="1"/>
  <c r="BW1130" i="1"/>
  <c r="BW1131" i="1"/>
  <c r="BW1132" i="1"/>
  <c r="BW1133" i="1"/>
  <c r="BW1134" i="1"/>
  <c r="BW1135" i="1"/>
  <c r="BW1136" i="1"/>
  <c r="BW1137" i="1"/>
  <c r="BW1138" i="1"/>
  <c r="BW1139" i="1"/>
  <c r="BW1140" i="1"/>
  <c r="BW1141" i="1"/>
  <c r="BW1142" i="1"/>
  <c r="BW1143" i="1"/>
  <c r="BW1144" i="1"/>
  <c r="BW1145" i="1"/>
  <c r="BW1146" i="1"/>
  <c r="BW1147" i="1"/>
  <c r="BW1148" i="1"/>
  <c r="BW1149" i="1"/>
  <c r="BW1150" i="1"/>
  <c r="BW1151" i="1"/>
  <c r="BW1152" i="1"/>
  <c r="BW1153" i="1"/>
  <c r="BW1154" i="1"/>
  <c r="BW1155" i="1"/>
  <c r="BW1156" i="1"/>
  <c r="BW1157" i="1"/>
  <c r="BW1158" i="1"/>
  <c r="BW1159" i="1"/>
  <c r="BW1160" i="1"/>
  <c r="BW1161" i="1"/>
  <c r="BW1162" i="1"/>
  <c r="BW1163" i="1"/>
  <c r="BW1164" i="1"/>
  <c r="BW1165" i="1"/>
  <c r="BW1166" i="1"/>
  <c r="BW1167" i="1"/>
  <c r="BW1168" i="1"/>
  <c r="BW1169" i="1"/>
  <c r="BW1170" i="1"/>
  <c r="BW1171" i="1"/>
  <c r="BW1172" i="1"/>
  <c r="BW1173" i="1"/>
  <c r="BW1174" i="1"/>
  <c r="BW1175" i="1"/>
  <c r="BW1176" i="1"/>
  <c r="BW1177" i="1"/>
  <c r="BW1178" i="1"/>
  <c r="BW1179" i="1"/>
  <c r="BW1180" i="1"/>
  <c r="BW1181" i="1"/>
  <c r="BW1182" i="1"/>
  <c r="BW1183" i="1"/>
  <c r="BW1184" i="1"/>
  <c r="BW1185" i="1"/>
  <c r="BW1186" i="1"/>
  <c r="BW1187" i="1"/>
  <c r="BW1188" i="1"/>
  <c r="BW1189" i="1"/>
  <c r="BW1190" i="1"/>
  <c r="BW1191" i="1"/>
  <c r="BW1192" i="1"/>
  <c r="BW1193" i="1"/>
  <c r="BW1194" i="1"/>
  <c r="BW1195" i="1"/>
  <c r="BW1196" i="1"/>
  <c r="BW1197" i="1"/>
  <c r="BW1198" i="1"/>
  <c r="BW1199" i="1"/>
  <c r="BW1200" i="1"/>
  <c r="BW1201" i="1"/>
  <c r="BW1202" i="1"/>
  <c r="BW1203" i="1"/>
  <c r="BW1204" i="1"/>
  <c r="BW1205" i="1"/>
  <c r="BW1206" i="1"/>
  <c r="BW1207" i="1"/>
  <c r="BW1208" i="1"/>
  <c r="BW1209" i="1"/>
  <c r="BW1210" i="1"/>
  <c r="BW1211" i="1"/>
  <c r="BW1212" i="1"/>
  <c r="BW1213" i="1"/>
  <c r="BW1214" i="1"/>
  <c r="BW1215" i="1"/>
  <c r="BW1216" i="1"/>
  <c r="BW1217" i="1"/>
  <c r="BW1218" i="1"/>
  <c r="BW1219" i="1"/>
  <c r="BW1220" i="1"/>
  <c r="BW1221" i="1"/>
  <c r="BW1222" i="1"/>
  <c r="BW1223" i="1"/>
  <c r="BW1224" i="1"/>
  <c r="BW1225" i="1"/>
  <c r="BW1226" i="1"/>
  <c r="BW1227" i="1"/>
  <c r="BW1228" i="1"/>
  <c r="BW1229" i="1"/>
  <c r="BW1230" i="1"/>
  <c r="BW1231" i="1"/>
  <c r="BW1232" i="1"/>
  <c r="BW1233" i="1"/>
  <c r="BW1234" i="1"/>
  <c r="BW1235" i="1"/>
  <c r="BW1236" i="1"/>
  <c r="BW1237" i="1"/>
  <c r="BW1238" i="1"/>
  <c r="BW1239" i="1"/>
  <c r="BW1240" i="1"/>
  <c r="BW1241" i="1"/>
  <c r="BW1242" i="1"/>
  <c r="BW1243" i="1"/>
  <c r="BW1244" i="1"/>
  <c r="BW1245" i="1"/>
  <c r="BW1246" i="1"/>
  <c r="BW1247" i="1"/>
  <c r="BW1248" i="1"/>
  <c r="BW1249" i="1"/>
  <c r="BW1250" i="1"/>
  <c r="BW1251" i="1"/>
  <c r="BW1252" i="1"/>
  <c r="BW1253" i="1"/>
  <c r="BW1254" i="1"/>
  <c r="BW1255" i="1"/>
  <c r="BW1256" i="1"/>
  <c r="BW1257" i="1"/>
  <c r="BW1258" i="1"/>
  <c r="BW1259" i="1"/>
  <c r="BW1260" i="1"/>
  <c r="BW1261" i="1"/>
  <c r="BW1262" i="1"/>
  <c r="BW1263" i="1"/>
  <c r="BW1264" i="1"/>
  <c r="BW1265" i="1"/>
  <c r="BW1266" i="1"/>
  <c r="BW1267" i="1"/>
  <c r="BW1268" i="1"/>
  <c r="BW1269" i="1"/>
  <c r="BW1270" i="1"/>
  <c r="BW1271" i="1"/>
  <c r="BW1272" i="1"/>
  <c r="BW1273" i="1"/>
  <c r="BW1274" i="1"/>
  <c r="BW1275" i="1"/>
  <c r="BW1276" i="1"/>
  <c r="BW1277" i="1"/>
  <c r="BW1278" i="1"/>
  <c r="BW1279" i="1"/>
  <c r="BW1280" i="1"/>
  <c r="BW1281" i="1"/>
  <c r="BW1282" i="1"/>
  <c r="BW1283" i="1"/>
  <c r="BW1284" i="1"/>
  <c r="BW1285" i="1"/>
  <c r="BW1286" i="1"/>
  <c r="BW1287" i="1"/>
  <c r="BW1288" i="1"/>
  <c r="BW1289" i="1"/>
  <c r="BW1290" i="1"/>
  <c r="BW1291" i="1"/>
  <c r="BW1292" i="1"/>
  <c r="BW1293" i="1"/>
  <c r="BW1294" i="1"/>
  <c r="BW1295" i="1"/>
  <c r="BW1296" i="1"/>
  <c r="BW1297" i="1"/>
  <c r="BW1298" i="1"/>
  <c r="BW1299" i="1"/>
  <c r="BW1300" i="1"/>
  <c r="BW1301" i="1"/>
  <c r="BW1302" i="1"/>
  <c r="BW1303" i="1"/>
  <c r="BW1304" i="1"/>
  <c r="BW1305" i="1"/>
  <c r="BW1306" i="1"/>
  <c r="BW1307" i="1"/>
  <c r="BW1308" i="1"/>
  <c r="BW1309" i="1"/>
  <c r="BW1310" i="1"/>
  <c r="BW1311" i="1"/>
  <c r="BW1312" i="1"/>
  <c r="BW1313" i="1"/>
  <c r="BW1314" i="1"/>
  <c r="BW1315" i="1"/>
  <c r="BW1316" i="1"/>
  <c r="BW1317" i="1"/>
  <c r="BW1318" i="1"/>
  <c r="BW1319" i="1"/>
  <c r="BW1320" i="1"/>
  <c r="BW1321" i="1"/>
  <c r="BW1322" i="1"/>
  <c r="BW1323" i="1"/>
  <c r="BW1324" i="1"/>
  <c r="BW1325" i="1"/>
  <c r="BW1326" i="1"/>
  <c r="BW1327" i="1"/>
  <c r="BW1328" i="1"/>
  <c r="BW1329" i="1"/>
  <c r="BW1330" i="1"/>
  <c r="BW1331" i="1"/>
  <c r="BW1332" i="1"/>
  <c r="BW1333" i="1"/>
  <c r="BW1334" i="1"/>
  <c r="BW1335" i="1"/>
  <c r="BW1336" i="1"/>
  <c r="BW1337" i="1"/>
  <c r="BW1338" i="1"/>
  <c r="BW1339" i="1"/>
  <c r="BW1340" i="1"/>
  <c r="BW1341" i="1"/>
  <c r="BW1342" i="1"/>
  <c r="BW1343" i="1"/>
  <c r="BW1344" i="1"/>
  <c r="BW1345" i="1"/>
  <c r="BW1346" i="1"/>
  <c r="BW1347" i="1"/>
  <c r="BW1348" i="1"/>
  <c r="BW1349" i="1"/>
  <c r="BW1350" i="1"/>
  <c r="BW1351" i="1"/>
  <c r="BW1352" i="1"/>
  <c r="BW1353" i="1"/>
  <c r="BW1354" i="1"/>
  <c r="BW1355" i="1"/>
  <c r="BW1356" i="1"/>
  <c r="BW1357" i="1"/>
  <c r="BW1358" i="1"/>
  <c r="BW1359" i="1"/>
  <c r="BW1360" i="1"/>
  <c r="BW1361" i="1"/>
  <c r="BW1362" i="1"/>
  <c r="BW1363" i="1"/>
  <c r="BW1364" i="1"/>
  <c r="BW1365" i="1"/>
  <c r="BW1366" i="1"/>
  <c r="BW1367" i="1"/>
  <c r="BW1368" i="1"/>
  <c r="BW1369" i="1"/>
  <c r="BW1370" i="1"/>
  <c r="BW1371" i="1"/>
  <c r="BW1372" i="1"/>
  <c r="BW1373" i="1"/>
  <c r="BW1374" i="1"/>
  <c r="BW1375" i="1"/>
  <c r="BW1376" i="1"/>
  <c r="BW1377" i="1"/>
  <c r="BW1378" i="1"/>
  <c r="BW1379" i="1"/>
  <c r="BW1380" i="1"/>
  <c r="BW1381" i="1"/>
  <c r="BW1382" i="1"/>
  <c r="BW1383" i="1"/>
  <c r="BW1384" i="1"/>
  <c r="BU137" i="1"/>
  <c r="BU138" i="1"/>
  <c r="BU139" i="1"/>
  <c r="BU140" i="1"/>
  <c r="BU141" i="1"/>
  <c r="BU142" i="1"/>
  <c r="BU143" i="1"/>
  <c r="BU144" i="1"/>
  <c r="BU145" i="1"/>
  <c r="BU146" i="1"/>
  <c r="BU147" i="1"/>
  <c r="BU148" i="1"/>
  <c r="BU149" i="1"/>
  <c r="BU150" i="1"/>
  <c r="BU151" i="1"/>
  <c r="BU152" i="1"/>
  <c r="BU153" i="1"/>
  <c r="BU154" i="1"/>
  <c r="BU155" i="1"/>
  <c r="BU156" i="1"/>
  <c r="BU157" i="1"/>
  <c r="BU158" i="1"/>
  <c r="BU159" i="1"/>
  <c r="BU160" i="1"/>
  <c r="BU161" i="1"/>
  <c r="BU162" i="1"/>
  <c r="BU163" i="1"/>
  <c r="BU164" i="1"/>
  <c r="BU165" i="1"/>
  <c r="BU166" i="1"/>
  <c r="BU167" i="1"/>
  <c r="BU168" i="1"/>
  <c r="BU169" i="1"/>
  <c r="BU170" i="1"/>
  <c r="BU171" i="1"/>
  <c r="BU172" i="1"/>
  <c r="BU173" i="1"/>
  <c r="BU174" i="1"/>
  <c r="BU175" i="1"/>
  <c r="BU176" i="1"/>
  <c r="BU177" i="1"/>
  <c r="BU178" i="1"/>
  <c r="BU179" i="1"/>
  <c r="BU180" i="1"/>
  <c r="BU181" i="1"/>
  <c r="BU182" i="1"/>
  <c r="BU183" i="1"/>
  <c r="BU184" i="1"/>
  <c r="BU185" i="1"/>
  <c r="BU186" i="1"/>
  <c r="BU187" i="1"/>
  <c r="BU188" i="1"/>
  <c r="BU189" i="1"/>
  <c r="BU190" i="1"/>
  <c r="BU191" i="1"/>
  <c r="BU192" i="1"/>
  <c r="BU193" i="1"/>
  <c r="BU194" i="1"/>
  <c r="BU195" i="1"/>
  <c r="BU196" i="1"/>
  <c r="BU197" i="1"/>
  <c r="BU198" i="1"/>
  <c r="BU199" i="1"/>
  <c r="BU200" i="1"/>
  <c r="BU201" i="1"/>
  <c r="BU202" i="1"/>
  <c r="BU203" i="1"/>
  <c r="BU204" i="1"/>
  <c r="BU205" i="1"/>
  <c r="BU206" i="1"/>
  <c r="BU207" i="1"/>
  <c r="BU208" i="1"/>
  <c r="BU209" i="1"/>
  <c r="BU210" i="1"/>
  <c r="BU211" i="1"/>
  <c r="BU212" i="1"/>
  <c r="BU213" i="1"/>
  <c r="BU214" i="1"/>
  <c r="BU215" i="1"/>
  <c r="BU216" i="1"/>
  <c r="BU217" i="1"/>
  <c r="BU218" i="1"/>
  <c r="BU219" i="1"/>
  <c r="BU220" i="1"/>
  <c r="BU221" i="1"/>
  <c r="BU222" i="1"/>
  <c r="BU223" i="1"/>
  <c r="BU224" i="1"/>
  <c r="BU225" i="1"/>
  <c r="BU226" i="1"/>
  <c r="BU227" i="1"/>
  <c r="BU228" i="1"/>
  <c r="BU229" i="1"/>
  <c r="BU230" i="1"/>
  <c r="BU231" i="1"/>
  <c r="BU232" i="1"/>
  <c r="BU233" i="1"/>
  <c r="BU234" i="1"/>
  <c r="BU235" i="1"/>
  <c r="BU236" i="1"/>
  <c r="BU237" i="1"/>
  <c r="BU238" i="1"/>
  <c r="BU239" i="1"/>
  <c r="BU240" i="1"/>
  <c r="BU241" i="1"/>
  <c r="BU242" i="1"/>
  <c r="BU243" i="1"/>
  <c r="BU244" i="1"/>
  <c r="BU245" i="1"/>
  <c r="BU246" i="1"/>
  <c r="BU247" i="1"/>
  <c r="BU248" i="1"/>
  <c r="BU249" i="1"/>
  <c r="BU250" i="1"/>
  <c r="BU251" i="1"/>
  <c r="BU252" i="1"/>
  <c r="BU253" i="1"/>
  <c r="BU254" i="1"/>
  <c r="BU255" i="1"/>
  <c r="BU256" i="1"/>
  <c r="BU257" i="1"/>
  <c r="BU258" i="1"/>
  <c r="BU259" i="1"/>
  <c r="BU260" i="1"/>
  <c r="BU261" i="1"/>
  <c r="BU262" i="1"/>
  <c r="BU263" i="1"/>
  <c r="BU264" i="1"/>
  <c r="BU265" i="1"/>
  <c r="BU266" i="1"/>
  <c r="BU267" i="1"/>
  <c r="BU268" i="1"/>
  <c r="BU269" i="1"/>
  <c r="BU270" i="1"/>
  <c r="BU271" i="1"/>
  <c r="BU272" i="1"/>
  <c r="BU273" i="1"/>
  <c r="BU274" i="1"/>
  <c r="BU275" i="1"/>
  <c r="BU276" i="1"/>
  <c r="BU277" i="1"/>
  <c r="BU278" i="1"/>
  <c r="BU279" i="1"/>
  <c r="BU280" i="1"/>
  <c r="BU281" i="1"/>
  <c r="BU282" i="1"/>
  <c r="BU283" i="1"/>
  <c r="BU284" i="1"/>
  <c r="BU285" i="1"/>
  <c r="BU286" i="1"/>
  <c r="BU287" i="1"/>
  <c r="BU288" i="1"/>
  <c r="BU289" i="1"/>
  <c r="BU290" i="1"/>
  <c r="BU291" i="1"/>
  <c r="BU292" i="1"/>
  <c r="BU293" i="1"/>
  <c r="BU294" i="1"/>
  <c r="BU295" i="1"/>
  <c r="BU296" i="1"/>
  <c r="BU297" i="1"/>
  <c r="BU298" i="1"/>
  <c r="BU299" i="1"/>
  <c r="BU300" i="1"/>
  <c r="BU301" i="1"/>
  <c r="BU302" i="1"/>
  <c r="BU303" i="1"/>
  <c r="BU304" i="1"/>
  <c r="BU305" i="1"/>
  <c r="BU306" i="1"/>
  <c r="BU307" i="1"/>
  <c r="BU308" i="1"/>
  <c r="BU309" i="1"/>
  <c r="BU310" i="1"/>
  <c r="BU311" i="1"/>
  <c r="BU312" i="1"/>
  <c r="BU313" i="1"/>
  <c r="BU314" i="1"/>
  <c r="BU315" i="1"/>
  <c r="BU316" i="1"/>
  <c r="BU317" i="1"/>
  <c r="BU318" i="1"/>
  <c r="BU319" i="1"/>
  <c r="BU320" i="1"/>
  <c r="BU321" i="1"/>
  <c r="BU322" i="1"/>
  <c r="BU323" i="1"/>
  <c r="BU324" i="1"/>
  <c r="BU325" i="1"/>
  <c r="BU326" i="1"/>
  <c r="BU327" i="1"/>
  <c r="BU328" i="1"/>
  <c r="BU329" i="1"/>
  <c r="BU330" i="1"/>
  <c r="BU331" i="1"/>
  <c r="BU332" i="1"/>
  <c r="BU333" i="1"/>
  <c r="BU334" i="1"/>
  <c r="BU335" i="1"/>
  <c r="BU336" i="1"/>
  <c r="BU337" i="1"/>
  <c r="BU338" i="1"/>
  <c r="BU339" i="1"/>
  <c r="BU340" i="1"/>
  <c r="BU341" i="1"/>
  <c r="BU342" i="1"/>
  <c r="BU343" i="1"/>
  <c r="BU344" i="1"/>
  <c r="BU345" i="1"/>
  <c r="BU346" i="1"/>
  <c r="BU347" i="1"/>
  <c r="BU348" i="1"/>
  <c r="BU349" i="1"/>
  <c r="BU350" i="1"/>
  <c r="BU351" i="1"/>
  <c r="BU352" i="1"/>
  <c r="BU353" i="1"/>
  <c r="BU354" i="1"/>
  <c r="BU355" i="1"/>
  <c r="BU356" i="1"/>
  <c r="BU357" i="1"/>
  <c r="BU358" i="1"/>
  <c r="BU359" i="1"/>
  <c r="BU360" i="1"/>
  <c r="BU361" i="1"/>
  <c r="BU362" i="1"/>
  <c r="BU363" i="1"/>
  <c r="BU364" i="1"/>
  <c r="BU365" i="1"/>
  <c r="BU366" i="1"/>
  <c r="BU367" i="1"/>
  <c r="BU368" i="1"/>
  <c r="BU369" i="1"/>
  <c r="BU370" i="1"/>
  <c r="BU371" i="1"/>
  <c r="BU372" i="1"/>
  <c r="BU373" i="1"/>
  <c r="BU374" i="1"/>
  <c r="BU375" i="1"/>
  <c r="BU376" i="1"/>
  <c r="BU377" i="1"/>
  <c r="BU378" i="1"/>
  <c r="BU379" i="1"/>
  <c r="BU380" i="1"/>
  <c r="BU381" i="1"/>
  <c r="BU382" i="1"/>
  <c r="BU383" i="1"/>
  <c r="BU384" i="1"/>
  <c r="BU385" i="1"/>
  <c r="BU386" i="1"/>
  <c r="BU387" i="1"/>
  <c r="BU388" i="1"/>
  <c r="BU389" i="1"/>
  <c r="BU390" i="1"/>
  <c r="BU391" i="1"/>
  <c r="BU392" i="1"/>
  <c r="BU393" i="1"/>
  <c r="BU394" i="1"/>
  <c r="BU395" i="1"/>
  <c r="BU396" i="1"/>
  <c r="BU397" i="1"/>
  <c r="BU398" i="1"/>
  <c r="BU399" i="1"/>
  <c r="BU400" i="1"/>
  <c r="BU401" i="1"/>
  <c r="BU402" i="1"/>
  <c r="BU403" i="1"/>
  <c r="BU404" i="1"/>
  <c r="BU405" i="1"/>
  <c r="BU406" i="1"/>
  <c r="BU407" i="1"/>
  <c r="BU408" i="1"/>
  <c r="BU409" i="1"/>
  <c r="BU410" i="1"/>
  <c r="BU411" i="1"/>
  <c r="BU412" i="1"/>
  <c r="BU413" i="1"/>
  <c r="BU414" i="1"/>
  <c r="BU415" i="1"/>
  <c r="BU416" i="1"/>
  <c r="BU417" i="1"/>
  <c r="BU418" i="1"/>
  <c r="BU419" i="1"/>
  <c r="BU420" i="1"/>
  <c r="BU421" i="1"/>
  <c r="BU422" i="1"/>
  <c r="BU423" i="1"/>
  <c r="BU424" i="1"/>
  <c r="BU425" i="1"/>
  <c r="BU426" i="1"/>
  <c r="BU427" i="1"/>
  <c r="BU428" i="1"/>
  <c r="BU429" i="1"/>
  <c r="BU430" i="1"/>
  <c r="BU431" i="1"/>
  <c r="BU432" i="1"/>
  <c r="BU433" i="1"/>
  <c r="BU434" i="1"/>
  <c r="BU435" i="1"/>
  <c r="BU436" i="1"/>
  <c r="BU437" i="1"/>
  <c r="BU438" i="1"/>
  <c r="BU439" i="1"/>
  <c r="BU440" i="1"/>
  <c r="BU441" i="1"/>
  <c r="BU442" i="1"/>
  <c r="BU443" i="1"/>
  <c r="BU444" i="1"/>
  <c r="BU445" i="1"/>
  <c r="BU446" i="1"/>
  <c r="BU447" i="1"/>
  <c r="BU448" i="1"/>
  <c r="BU449" i="1"/>
  <c r="BU450" i="1"/>
  <c r="BU451" i="1"/>
  <c r="BU452" i="1"/>
  <c r="BU453" i="1"/>
  <c r="BU454" i="1"/>
  <c r="BU455" i="1"/>
  <c r="BU456" i="1"/>
  <c r="BU457" i="1"/>
  <c r="BU458" i="1"/>
  <c r="BU459" i="1"/>
  <c r="BU460" i="1"/>
  <c r="BU461" i="1"/>
  <c r="BU462" i="1"/>
  <c r="BU463" i="1"/>
  <c r="BU464" i="1"/>
  <c r="BU465" i="1"/>
  <c r="BU466" i="1"/>
  <c r="BU467" i="1"/>
  <c r="BU468" i="1"/>
  <c r="BU469" i="1"/>
  <c r="BU470" i="1"/>
  <c r="BU471" i="1"/>
  <c r="BU472" i="1"/>
  <c r="BU473" i="1"/>
  <c r="BU474" i="1"/>
  <c r="BU475" i="1"/>
  <c r="BU476" i="1"/>
  <c r="BU477" i="1"/>
  <c r="BU478" i="1"/>
  <c r="BU479" i="1"/>
  <c r="BU480" i="1"/>
  <c r="BU481" i="1"/>
  <c r="BU482" i="1"/>
  <c r="BU483" i="1"/>
  <c r="BU484" i="1"/>
  <c r="BU485" i="1"/>
  <c r="BU486" i="1"/>
  <c r="BU487" i="1"/>
  <c r="BU488" i="1"/>
  <c r="BU489" i="1"/>
  <c r="BU490" i="1"/>
  <c r="BU491" i="1"/>
  <c r="BU492" i="1"/>
  <c r="BU493" i="1"/>
  <c r="BU494" i="1"/>
  <c r="BU495" i="1"/>
  <c r="BU496" i="1"/>
  <c r="BU497" i="1"/>
  <c r="BU498" i="1"/>
  <c r="BU499" i="1"/>
  <c r="BU500" i="1"/>
  <c r="BU501" i="1"/>
  <c r="BU502" i="1"/>
  <c r="BU503" i="1"/>
  <c r="BU504" i="1"/>
  <c r="BU505" i="1"/>
  <c r="BU506" i="1"/>
  <c r="BU507" i="1"/>
  <c r="BU508" i="1"/>
  <c r="BU509" i="1"/>
  <c r="BU510" i="1"/>
  <c r="BU511" i="1"/>
  <c r="BU512" i="1"/>
  <c r="BU513" i="1"/>
  <c r="BU514" i="1"/>
  <c r="BU515" i="1"/>
  <c r="BU516" i="1"/>
  <c r="BU517" i="1"/>
  <c r="BU518" i="1"/>
  <c r="BU519" i="1"/>
  <c r="BU520" i="1"/>
  <c r="BU521" i="1"/>
  <c r="BU522" i="1"/>
  <c r="BU523" i="1"/>
  <c r="BU524" i="1"/>
  <c r="BU525" i="1"/>
  <c r="BU526" i="1"/>
  <c r="BU527" i="1"/>
  <c r="BU528" i="1"/>
  <c r="BU529" i="1"/>
  <c r="BU530" i="1"/>
  <c r="BU531" i="1"/>
  <c r="BU532" i="1"/>
  <c r="BU533" i="1"/>
  <c r="BU534" i="1"/>
  <c r="BU535" i="1"/>
  <c r="BU536" i="1"/>
  <c r="BU537" i="1"/>
  <c r="BU538" i="1"/>
  <c r="BU539" i="1"/>
  <c r="BU540" i="1"/>
  <c r="BU541" i="1"/>
  <c r="BU542" i="1"/>
  <c r="BU543" i="1"/>
  <c r="BU544" i="1"/>
  <c r="BU545" i="1"/>
  <c r="BU546" i="1"/>
  <c r="BU547" i="1"/>
  <c r="BU548" i="1"/>
  <c r="BU549" i="1"/>
  <c r="BU550" i="1"/>
  <c r="BU551" i="1"/>
  <c r="BU552" i="1"/>
  <c r="BU553" i="1"/>
  <c r="BU554" i="1"/>
  <c r="BU555" i="1"/>
  <c r="BU556" i="1"/>
  <c r="BU557" i="1"/>
  <c r="BU558" i="1"/>
  <c r="BU559" i="1"/>
  <c r="BU560" i="1"/>
  <c r="BU561" i="1"/>
  <c r="BU562" i="1"/>
  <c r="BU563" i="1"/>
  <c r="BU564" i="1"/>
  <c r="BU565" i="1"/>
  <c r="BU566" i="1"/>
  <c r="BU567" i="1"/>
  <c r="BU568" i="1"/>
  <c r="BU569" i="1"/>
  <c r="BU570" i="1"/>
  <c r="BU571" i="1"/>
  <c r="BU572" i="1"/>
  <c r="BU573" i="1"/>
  <c r="BU574" i="1"/>
  <c r="BU575" i="1"/>
  <c r="BU576" i="1"/>
  <c r="BU577" i="1"/>
  <c r="BU578" i="1"/>
  <c r="BU579" i="1"/>
  <c r="BU580" i="1"/>
  <c r="BU581" i="1"/>
  <c r="BU582" i="1"/>
  <c r="BU583" i="1"/>
  <c r="BU584" i="1"/>
  <c r="BU585" i="1"/>
  <c r="BU586" i="1"/>
  <c r="BU587" i="1"/>
  <c r="BU588" i="1"/>
  <c r="BU589" i="1"/>
  <c r="BU590" i="1"/>
  <c r="BU591" i="1"/>
  <c r="BU592" i="1"/>
  <c r="BU593" i="1"/>
  <c r="BU594" i="1"/>
  <c r="BU595" i="1"/>
  <c r="BU596" i="1"/>
  <c r="BU597" i="1"/>
  <c r="BU598" i="1"/>
  <c r="BU599" i="1"/>
  <c r="BU600" i="1"/>
  <c r="BU601" i="1"/>
  <c r="BU602" i="1"/>
  <c r="BU603" i="1"/>
  <c r="BU604" i="1"/>
  <c r="BU605" i="1"/>
  <c r="BU606" i="1"/>
  <c r="BU607" i="1"/>
  <c r="BU608" i="1"/>
  <c r="BU609" i="1"/>
  <c r="BU610" i="1"/>
  <c r="BU611" i="1"/>
  <c r="BU612" i="1"/>
  <c r="BU613" i="1"/>
  <c r="BU614" i="1"/>
  <c r="BU615" i="1"/>
  <c r="BU616" i="1"/>
  <c r="BU617" i="1"/>
  <c r="BU618" i="1"/>
  <c r="BU619" i="1"/>
  <c r="BU620" i="1"/>
  <c r="BU621" i="1"/>
  <c r="BU622" i="1"/>
  <c r="BU623" i="1"/>
  <c r="BU624" i="1"/>
  <c r="BU625" i="1"/>
  <c r="BU626" i="1"/>
  <c r="BU627" i="1"/>
  <c r="BU628" i="1"/>
  <c r="BU629" i="1"/>
  <c r="BU630" i="1"/>
  <c r="BU631" i="1"/>
  <c r="BU632" i="1"/>
  <c r="BU633" i="1"/>
  <c r="BU634" i="1"/>
  <c r="BU635" i="1"/>
  <c r="BU636" i="1"/>
  <c r="BU637" i="1"/>
  <c r="BU638" i="1"/>
  <c r="BU639" i="1"/>
  <c r="BU640" i="1"/>
  <c r="BU641" i="1"/>
  <c r="BU642" i="1"/>
  <c r="BU643" i="1"/>
  <c r="BU644" i="1"/>
  <c r="BU645" i="1"/>
  <c r="BU646" i="1"/>
  <c r="BU647" i="1"/>
  <c r="BU648" i="1"/>
  <c r="BU649" i="1"/>
  <c r="BU650" i="1"/>
  <c r="BU651" i="1"/>
  <c r="BU652" i="1"/>
  <c r="BU653" i="1"/>
  <c r="BU654" i="1"/>
  <c r="BU655" i="1"/>
  <c r="BU656" i="1"/>
  <c r="BU657" i="1"/>
  <c r="BU658" i="1"/>
  <c r="BU659" i="1"/>
  <c r="BU660" i="1"/>
  <c r="BU661" i="1"/>
  <c r="BU662" i="1"/>
  <c r="BU663" i="1"/>
  <c r="BU664" i="1"/>
  <c r="BU665" i="1"/>
  <c r="BU666" i="1"/>
  <c r="BU667" i="1"/>
  <c r="BU668" i="1"/>
  <c r="BU669" i="1"/>
  <c r="BU670" i="1"/>
  <c r="BU671" i="1"/>
  <c r="BU672" i="1"/>
  <c r="BU673" i="1"/>
  <c r="BU674" i="1"/>
  <c r="BU675" i="1"/>
  <c r="BU676" i="1"/>
  <c r="BU677" i="1"/>
  <c r="BU678" i="1"/>
  <c r="BU679" i="1"/>
  <c r="BU680" i="1"/>
  <c r="BU681" i="1"/>
  <c r="BU682" i="1"/>
  <c r="BU683" i="1"/>
  <c r="BU684" i="1"/>
  <c r="BU685" i="1"/>
  <c r="BU686" i="1"/>
  <c r="BU687" i="1"/>
  <c r="BU688" i="1"/>
  <c r="BU689" i="1"/>
  <c r="BU690" i="1"/>
  <c r="BU691" i="1"/>
  <c r="BU692" i="1"/>
  <c r="BU693" i="1"/>
  <c r="BU694" i="1"/>
  <c r="BU695" i="1"/>
  <c r="BU696" i="1"/>
  <c r="BU697" i="1"/>
  <c r="BU698" i="1"/>
  <c r="BU699" i="1"/>
  <c r="BU700" i="1"/>
  <c r="BU701" i="1"/>
  <c r="BU702" i="1"/>
  <c r="BU703" i="1"/>
  <c r="BU704" i="1"/>
  <c r="BU705" i="1"/>
  <c r="BU706" i="1"/>
  <c r="BU707" i="1"/>
  <c r="BU708" i="1"/>
  <c r="BU709" i="1"/>
  <c r="BU710" i="1"/>
  <c r="BU711" i="1"/>
  <c r="BU712" i="1"/>
  <c r="BU713" i="1"/>
  <c r="BU714" i="1"/>
  <c r="BU715" i="1"/>
  <c r="BU716" i="1"/>
  <c r="BU717" i="1"/>
  <c r="BU718" i="1"/>
  <c r="BU719" i="1"/>
  <c r="BU720" i="1"/>
  <c r="BU721" i="1"/>
  <c r="BU722" i="1"/>
  <c r="BU723" i="1"/>
  <c r="BU724" i="1"/>
  <c r="BU725" i="1"/>
  <c r="BU726" i="1"/>
  <c r="BU727" i="1"/>
  <c r="BU728" i="1"/>
  <c r="BU729" i="1"/>
  <c r="BU730" i="1"/>
  <c r="BU731" i="1"/>
  <c r="BU732" i="1"/>
  <c r="BU733" i="1"/>
  <c r="BU734" i="1"/>
  <c r="BU735" i="1"/>
  <c r="BU736" i="1"/>
  <c r="BU737" i="1"/>
  <c r="BU738" i="1"/>
  <c r="BU739" i="1"/>
  <c r="BU740" i="1"/>
  <c r="BU741" i="1"/>
  <c r="BU742" i="1"/>
  <c r="BU743" i="1"/>
  <c r="BU744" i="1"/>
  <c r="BU745" i="1"/>
  <c r="BU746" i="1"/>
  <c r="BU747" i="1"/>
  <c r="BU748" i="1"/>
  <c r="BU749" i="1"/>
  <c r="BU750" i="1"/>
  <c r="BU751" i="1"/>
  <c r="BU752" i="1"/>
  <c r="BU753" i="1"/>
  <c r="BU754" i="1"/>
  <c r="BU755" i="1"/>
  <c r="BU756" i="1"/>
  <c r="BU757" i="1"/>
  <c r="BU758" i="1"/>
  <c r="BU759" i="1"/>
  <c r="BU760" i="1"/>
  <c r="BU761" i="1"/>
  <c r="BU762" i="1"/>
  <c r="BU763" i="1"/>
  <c r="BU764" i="1"/>
  <c r="BU765" i="1"/>
  <c r="BU766" i="1"/>
  <c r="BU767" i="1"/>
  <c r="BU768" i="1"/>
  <c r="BU769" i="1"/>
  <c r="BU770" i="1"/>
  <c r="BU771" i="1"/>
  <c r="BU772" i="1"/>
  <c r="BU773" i="1"/>
  <c r="BU774" i="1"/>
  <c r="BU775" i="1"/>
  <c r="BU776" i="1"/>
  <c r="BU777" i="1"/>
  <c r="BU778" i="1"/>
  <c r="BU779" i="1"/>
  <c r="BU780" i="1"/>
  <c r="BU781" i="1"/>
  <c r="BU782" i="1"/>
  <c r="BU783" i="1"/>
  <c r="BU784" i="1"/>
  <c r="BU785" i="1"/>
  <c r="BU786" i="1"/>
  <c r="BU787" i="1"/>
  <c r="BU788" i="1"/>
  <c r="BU789" i="1"/>
  <c r="BU790" i="1"/>
  <c r="BU791" i="1"/>
  <c r="BU792" i="1"/>
  <c r="BU793" i="1"/>
  <c r="BU794" i="1"/>
  <c r="BU795" i="1"/>
  <c r="BU796" i="1"/>
  <c r="BU797" i="1"/>
  <c r="BU798" i="1"/>
  <c r="BU799" i="1"/>
  <c r="BU800" i="1"/>
  <c r="BU801" i="1"/>
  <c r="BU802" i="1"/>
  <c r="BU803" i="1"/>
  <c r="BU804" i="1"/>
  <c r="BU805" i="1"/>
  <c r="BU806" i="1"/>
  <c r="BU807" i="1"/>
  <c r="BU808" i="1"/>
  <c r="BU809" i="1"/>
  <c r="BU810" i="1"/>
  <c r="BU811" i="1"/>
  <c r="BU812" i="1"/>
  <c r="BU813" i="1"/>
  <c r="BU814" i="1"/>
  <c r="BU815" i="1"/>
  <c r="BU816" i="1"/>
  <c r="BU817" i="1"/>
  <c r="BU818" i="1"/>
  <c r="BU819" i="1"/>
  <c r="BU820" i="1"/>
  <c r="BU821" i="1"/>
  <c r="BU822" i="1"/>
  <c r="BU823" i="1"/>
  <c r="BU824" i="1"/>
  <c r="BU825" i="1"/>
  <c r="BU826" i="1"/>
  <c r="BU827" i="1"/>
  <c r="BU828" i="1"/>
  <c r="BU829" i="1"/>
  <c r="BU830" i="1"/>
  <c r="BU831" i="1"/>
  <c r="BU832" i="1"/>
  <c r="BU833" i="1"/>
  <c r="BU834" i="1"/>
  <c r="BU835" i="1"/>
  <c r="BU836" i="1"/>
  <c r="BU837" i="1"/>
  <c r="BU838" i="1"/>
  <c r="BU839" i="1"/>
  <c r="BU840" i="1"/>
  <c r="BU841" i="1"/>
  <c r="BU842" i="1"/>
  <c r="BU843" i="1"/>
  <c r="BU844" i="1"/>
  <c r="BU845" i="1"/>
  <c r="BU846" i="1"/>
  <c r="BU847" i="1"/>
  <c r="BU848" i="1"/>
  <c r="BU849" i="1"/>
  <c r="BU850" i="1"/>
  <c r="BU851" i="1"/>
  <c r="BU852" i="1"/>
  <c r="BU853" i="1"/>
  <c r="BU854" i="1"/>
  <c r="BU855" i="1"/>
  <c r="BU856" i="1"/>
  <c r="BU857" i="1"/>
  <c r="BU858" i="1"/>
  <c r="BU859" i="1"/>
  <c r="BU860" i="1"/>
  <c r="BU861" i="1"/>
  <c r="BU862" i="1"/>
  <c r="BU863" i="1"/>
  <c r="BU864" i="1"/>
  <c r="BU865" i="1"/>
  <c r="BU866" i="1"/>
  <c r="BU867" i="1"/>
  <c r="BU868" i="1"/>
  <c r="BU869" i="1"/>
  <c r="BU870" i="1"/>
  <c r="BU871" i="1"/>
  <c r="BU872" i="1"/>
  <c r="BU873" i="1"/>
  <c r="BU874" i="1"/>
  <c r="BU875" i="1"/>
  <c r="BU876" i="1"/>
  <c r="BU877" i="1"/>
  <c r="BU878" i="1"/>
  <c r="BU879" i="1"/>
  <c r="BU880" i="1"/>
  <c r="BU881" i="1"/>
  <c r="BU882" i="1"/>
  <c r="BU883" i="1"/>
  <c r="BU884" i="1"/>
  <c r="BU885" i="1"/>
  <c r="BU886" i="1"/>
  <c r="BU887" i="1"/>
  <c r="BU888" i="1"/>
  <c r="BU889" i="1"/>
  <c r="BU890" i="1"/>
  <c r="BU891" i="1"/>
  <c r="BU892" i="1"/>
  <c r="BU893" i="1"/>
  <c r="BU894" i="1"/>
  <c r="BU895" i="1"/>
  <c r="BU896" i="1"/>
  <c r="BU897" i="1"/>
  <c r="BU898" i="1"/>
  <c r="BU899" i="1"/>
  <c r="BU900" i="1"/>
  <c r="BU901" i="1"/>
  <c r="BU902" i="1"/>
  <c r="BU903" i="1"/>
  <c r="BU904" i="1"/>
  <c r="BU905" i="1"/>
  <c r="BU906" i="1"/>
  <c r="BU907" i="1"/>
  <c r="BU908" i="1"/>
  <c r="BU909" i="1"/>
  <c r="BU910" i="1"/>
  <c r="BU911" i="1"/>
  <c r="BU912" i="1"/>
  <c r="BU913" i="1"/>
  <c r="BU914" i="1"/>
  <c r="BU915" i="1"/>
  <c r="BU916" i="1"/>
  <c r="BU917" i="1"/>
  <c r="BU918" i="1"/>
  <c r="BU919" i="1"/>
  <c r="BU920" i="1"/>
  <c r="BU921" i="1"/>
  <c r="BU922" i="1"/>
  <c r="BU923" i="1"/>
  <c r="BU924" i="1"/>
  <c r="BU925" i="1"/>
  <c r="BU926" i="1"/>
  <c r="BU927" i="1"/>
  <c r="BU928" i="1"/>
  <c r="BU929" i="1"/>
  <c r="BU930" i="1"/>
  <c r="BU931" i="1"/>
  <c r="BU932" i="1"/>
  <c r="BU933" i="1"/>
  <c r="BU934" i="1"/>
  <c r="BU935" i="1"/>
  <c r="BU936" i="1"/>
  <c r="BU937" i="1"/>
  <c r="BU938" i="1"/>
  <c r="BU939" i="1"/>
  <c r="BU940" i="1"/>
  <c r="BU941" i="1"/>
  <c r="BU942" i="1"/>
  <c r="BU943" i="1"/>
  <c r="BU944" i="1"/>
  <c r="BU945" i="1"/>
  <c r="BU946" i="1"/>
  <c r="BU947" i="1"/>
  <c r="BU948" i="1"/>
  <c r="BU949" i="1"/>
  <c r="BU950" i="1"/>
  <c r="BU951" i="1"/>
  <c r="BU952" i="1"/>
  <c r="BU953" i="1"/>
  <c r="BU954" i="1"/>
  <c r="BU955" i="1"/>
  <c r="BU956" i="1"/>
  <c r="BU957" i="1"/>
  <c r="BU958" i="1"/>
  <c r="BU959" i="1"/>
  <c r="BU960" i="1"/>
  <c r="BU961" i="1"/>
  <c r="BU962" i="1"/>
  <c r="BU963" i="1"/>
  <c r="BU964" i="1"/>
  <c r="BU965" i="1"/>
  <c r="BU966" i="1"/>
  <c r="BU967" i="1"/>
  <c r="BU968" i="1"/>
  <c r="BU969" i="1"/>
  <c r="BU970" i="1"/>
  <c r="BU971" i="1"/>
  <c r="BU972" i="1"/>
  <c r="BU973" i="1"/>
  <c r="BU974" i="1"/>
  <c r="BU975" i="1"/>
  <c r="BU976" i="1"/>
  <c r="BU977" i="1"/>
  <c r="BU978" i="1"/>
  <c r="BU979" i="1"/>
  <c r="BU980" i="1"/>
  <c r="BU981" i="1"/>
  <c r="BU982" i="1"/>
  <c r="BU983" i="1"/>
  <c r="BU984" i="1"/>
  <c r="BU985" i="1"/>
  <c r="BU986" i="1"/>
  <c r="BU987" i="1"/>
  <c r="BU988" i="1"/>
  <c r="BU989" i="1"/>
  <c r="BU990" i="1"/>
  <c r="BU991" i="1"/>
  <c r="BU992" i="1"/>
  <c r="BU993" i="1"/>
  <c r="BU994" i="1"/>
  <c r="BU995" i="1"/>
  <c r="BU996" i="1"/>
  <c r="BU997" i="1"/>
  <c r="BU998" i="1"/>
  <c r="BU999" i="1"/>
  <c r="BU1000" i="1"/>
  <c r="BU1001" i="1"/>
  <c r="BU1002" i="1"/>
  <c r="BU1003" i="1"/>
  <c r="BU1004" i="1"/>
  <c r="BU1005" i="1"/>
  <c r="BU1006" i="1"/>
  <c r="BU1007" i="1"/>
  <c r="BU1008" i="1"/>
  <c r="BU1009" i="1"/>
  <c r="BU1010" i="1"/>
  <c r="BU1011" i="1"/>
  <c r="BU1012" i="1"/>
  <c r="BU1013" i="1"/>
  <c r="BU1014" i="1"/>
  <c r="BU1015" i="1"/>
  <c r="BU1016" i="1"/>
  <c r="BU1017" i="1"/>
  <c r="BU1018" i="1"/>
  <c r="BU1019" i="1"/>
  <c r="BU1020" i="1"/>
  <c r="BU1021" i="1"/>
  <c r="BU1022" i="1"/>
  <c r="BU1023" i="1"/>
  <c r="BU1024" i="1"/>
  <c r="BU1025" i="1"/>
  <c r="BU1026" i="1"/>
  <c r="BU1027" i="1"/>
  <c r="BU1028" i="1"/>
  <c r="BU1029" i="1"/>
  <c r="BU1030" i="1"/>
  <c r="BU1031" i="1"/>
  <c r="BU1032" i="1"/>
  <c r="BU1033" i="1"/>
  <c r="BU1034" i="1"/>
  <c r="BU1035" i="1"/>
  <c r="BU1036" i="1"/>
  <c r="BU1037" i="1"/>
  <c r="BU1038" i="1"/>
  <c r="BU1039" i="1"/>
  <c r="BU1040" i="1"/>
  <c r="BU1041" i="1"/>
  <c r="BU1042" i="1"/>
  <c r="BU1043" i="1"/>
  <c r="BU1044" i="1"/>
  <c r="BU1045" i="1"/>
  <c r="BU1046" i="1"/>
  <c r="BU1047" i="1"/>
  <c r="BU1048" i="1"/>
  <c r="BU1049" i="1"/>
  <c r="BU1050" i="1"/>
  <c r="BU1051" i="1"/>
  <c r="BU1052" i="1"/>
  <c r="BU1053" i="1"/>
  <c r="BU1054" i="1"/>
  <c r="BU1055" i="1"/>
  <c r="BU1056" i="1"/>
  <c r="BU1057" i="1"/>
  <c r="BU1058" i="1"/>
  <c r="BU1059" i="1"/>
  <c r="BU1060" i="1"/>
  <c r="BU1061" i="1"/>
  <c r="BU1062" i="1"/>
  <c r="BU1063" i="1"/>
  <c r="BU1064" i="1"/>
  <c r="BU1065" i="1"/>
  <c r="BU1066" i="1"/>
  <c r="BU1067" i="1"/>
  <c r="BU1068" i="1"/>
  <c r="BU1069" i="1"/>
  <c r="BU1070" i="1"/>
  <c r="BU1071" i="1"/>
  <c r="BU1072" i="1"/>
  <c r="BU1073" i="1"/>
  <c r="BU1074" i="1"/>
  <c r="BU1075" i="1"/>
  <c r="BU1076" i="1"/>
  <c r="BU1077" i="1"/>
  <c r="BU1078" i="1"/>
  <c r="BU1079" i="1"/>
  <c r="BU1080" i="1"/>
  <c r="BU1081" i="1"/>
  <c r="BU1082" i="1"/>
  <c r="BU1083" i="1"/>
  <c r="BU1084" i="1"/>
  <c r="BU1085" i="1"/>
  <c r="BU1086" i="1"/>
  <c r="BU1087" i="1"/>
  <c r="BU1088" i="1"/>
  <c r="BU1089" i="1"/>
  <c r="BU1090" i="1"/>
  <c r="BU1091" i="1"/>
  <c r="BU1092" i="1"/>
  <c r="BU1093" i="1"/>
  <c r="BU1094" i="1"/>
  <c r="BU1095" i="1"/>
  <c r="BU1096" i="1"/>
  <c r="BU1097" i="1"/>
  <c r="BU1098" i="1"/>
  <c r="BU1099" i="1"/>
  <c r="BU1100" i="1"/>
  <c r="BU1101" i="1"/>
  <c r="BU1102" i="1"/>
  <c r="BU1103" i="1"/>
  <c r="BU1104" i="1"/>
  <c r="BU1105" i="1"/>
  <c r="BU1106" i="1"/>
  <c r="BU1107" i="1"/>
  <c r="BU1108" i="1"/>
  <c r="BU1109" i="1"/>
  <c r="BU1110" i="1"/>
  <c r="BU1111" i="1"/>
  <c r="BU1112" i="1"/>
  <c r="BU1113" i="1"/>
  <c r="BU1114" i="1"/>
  <c r="BU1115" i="1"/>
  <c r="BU1116" i="1"/>
  <c r="BU1117" i="1"/>
  <c r="BU1118" i="1"/>
  <c r="BU1119" i="1"/>
  <c r="BU1120" i="1"/>
  <c r="BU1121" i="1"/>
  <c r="BU1122" i="1"/>
  <c r="BU1123" i="1"/>
  <c r="BU1124" i="1"/>
  <c r="BU1125" i="1"/>
  <c r="BU1126" i="1"/>
  <c r="BU1127" i="1"/>
  <c r="BU1128" i="1"/>
  <c r="BU1129" i="1"/>
  <c r="BU1130" i="1"/>
  <c r="BU1131" i="1"/>
  <c r="BU1132" i="1"/>
  <c r="BU1133" i="1"/>
  <c r="BU1134" i="1"/>
  <c r="BU1135" i="1"/>
  <c r="BU1136" i="1"/>
  <c r="BU1137" i="1"/>
  <c r="BU1138" i="1"/>
  <c r="BU1139" i="1"/>
  <c r="BU1140" i="1"/>
  <c r="BU1141" i="1"/>
  <c r="BU1142" i="1"/>
  <c r="BU1143" i="1"/>
  <c r="BU1144" i="1"/>
  <c r="BU1145" i="1"/>
  <c r="BU1146" i="1"/>
  <c r="BU1147" i="1"/>
  <c r="BU1148" i="1"/>
  <c r="BU1149" i="1"/>
  <c r="BU1150" i="1"/>
  <c r="BU1151" i="1"/>
  <c r="BU1152" i="1"/>
  <c r="BU1153" i="1"/>
  <c r="BU1154" i="1"/>
  <c r="BU1155" i="1"/>
  <c r="BU1156" i="1"/>
  <c r="BU1157" i="1"/>
  <c r="BU1158" i="1"/>
  <c r="BU1159" i="1"/>
  <c r="BU1160" i="1"/>
  <c r="BU1161" i="1"/>
  <c r="BU1162" i="1"/>
  <c r="BU1163" i="1"/>
  <c r="BU1164" i="1"/>
  <c r="BU1165" i="1"/>
  <c r="BU1166" i="1"/>
  <c r="BU1167" i="1"/>
  <c r="BU1168" i="1"/>
  <c r="BU1169" i="1"/>
  <c r="BU1170" i="1"/>
  <c r="BU1171" i="1"/>
  <c r="BU1172" i="1"/>
  <c r="BU1173" i="1"/>
  <c r="BU1174" i="1"/>
  <c r="BU1175" i="1"/>
  <c r="BU1176" i="1"/>
  <c r="BU1177" i="1"/>
  <c r="BU1178" i="1"/>
  <c r="BU1179" i="1"/>
  <c r="BU1180" i="1"/>
  <c r="BU1181" i="1"/>
  <c r="BU1182" i="1"/>
  <c r="BU1183" i="1"/>
  <c r="BU1184" i="1"/>
  <c r="BU1185" i="1"/>
  <c r="BU1186" i="1"/>
  <c r="BU1187" i="1"/>
  <c r="BU1188" i="1"/>
  <c r="BU1189" i="1"/>
  <c r="BU1190" i="1"/>
  <c r="BU1191" i="1"/>
  <c r="BU1192" i="1"/>
  <c r="BU1193" i="1"/>
  <c r="BU1194" i="1"/>
  <c r="BU1195" i="1"/>
  <c r="BU1196" i="1"/>
  <c r="BU1197" i="1"/>
  <c r="BU1198" i="1"/>
  <c r="BU1199" i="1"/>
  <c r="BU1200" i="1"/>
  <c r="BU1201" i="1"/>
  <c r="BU1202" i="1"/>
  <c r="BU1203" i="1"/>
  <c r="BU1204" i="1"/>
  <c r="BU1205" i="1"/>
  <c r="BU1206" i="1"/>
  <c r="BU1207" i="1"/>
  <c r="BU1208" i="1"/>
  <c r="BU1209" i="1"/>
  <c r="BU1210" i="1"/>
  <c r="BU1211" i="1"/>
  <c r="BU1212" i="1"/>
  <c r="BU1213" i="1"/>
  <c r="BU1214" i="1"/>
  <c r="BU1215" i="1"/>
  <c r="BU1216" i="1"/>
  <c r="BU1217" i="1"/>
  <c r="BU1218" i="1"/>
  <c r="BU1219" i="1"/>
  <c r="BU1220" i="1"/>
  <c r="BU1221" i="1"/>
  <c r="BU1222" i="1"/>
  <c r="BU1223" i="1"/>
  <c r="BU1224" i="1"/>
  <c r="BU1225" i="1"/>
  <c r="BU1226" i="1"/>
  <c r="BU1227" i="1"/>
  <c r="BU1228" i="1"/>
  <c r="BU1229" i="1"/>
  <c r="BU1230" i="1"/>
  <c r="BU1231" i="1"/>
  <c r="BU1232" i="1"/>
  <c r="BU1233" i="1"/>
  <c r="BU1234" i="1"/>
  <c r="BU1235" i="1"/>
  <c r="BU1236" i="1"/>
  <c r="BU1237" i="1"/>
  <c r="BU1238" i="1"/>
  <c r="BU1239" i="1"/>
  <c r="BU1240" i="1"/>
  <c r="BU1241" i="1"/>
  <c r="BU1242" i="1"/>
  <c r="BU1243" i="1"/>
  <c r="BU1244" i="1"/>
  <c r="BU1245" i="1"/>
  <c r="BU1246" i="1"/>
  <c r="BU1247" i="1"/>
  <c r="BU1248" i="1"/>
  <c r="BU1249" i="1"/>
  <c r="BU1250" i="1"/>
  <c r="BU1251" i="1"/>
  <c r="BU1252" i="1"/>
  <c r="BU1253" i="1"/>
  <c r="BU1254" i="1"/>
  <c r="BU1255" i="1"/>
  <c r="BU1256" i="1"/>
  <c r="BU1257" i="1"/>
  <c r="BU1258" i="1"/>
  <c r="BU1259" i="1"/>
  <c r="BU1260" i="1"/>
  <c r="BU1261" i="1"/>
  <c r="BU1262" i="1"/>
  <c r="BU1263" i="1"/>
  <c r="BU1264" i="1"/>
  <c r="BU1265" i="1"/>
  <c r="BU1266" i="1"/>
  <c r="BU1267" i="1"/>
  <c r="BU1268" i="1"/>
  <c r="BU1269" i="1"/>
  <c r="BU1270" i="1"/>
  <c r="BU1271" i="1"/>
  <c r="BU1272" i="1"/>
  <c r="BU1273" i="1"/>
  <c r="BU1274" i="1"/>
  <c r="BU1275" i="1"/>
  <c r="BU1276" i="1"/>
  <c r="BU1277" i="1"/>
  <c r="BU1278" i="1"/>
  <c r="BU1279" i="1"/>
  <c r="BU1280" i="1"/>
  <c r="BU1281" i="1"/>
  <c r="BU1282" i="1"/>
  <c r="BU1283" i="1"/>
  <c r="BU1284" i="1"/>
  <c r="BU1285" i="1"/>
  <c r="BU1286" i="1"/>
  <c r="BU1287" i="1"/>
  <c r="BU1288" i="1"/>
  <c r="BU1289" i="1"/>
  <c r="BU1290" i="1"/>
  <c r="BU1291" i="1"/>
  <c r="BU1292" i="1"/>
  <c r="BU1293" i="1"/>
  <c r="BU1294" i="1"/>
  <c r="BU1295" i="1"/>
  <c r="BU1296" i="1"/>
  <c r="BU1297" i="1"/>
  <c r="BU1298" i="1"/>
  <c r="BU1299" i="1"/>
  <c r="BU1300" i="1"/>
  <c r="BU1301" i="1"/>
  <c r="BU1302" i="1"/>
  <c r="BU1303" i="1"/>
  <c r="BU1304" i="1"/>
  <c r="BU1305" i="1"/>
  <c r="BU1306" i="1"/>
  <c r="BU1307" i="1"/>
  <c r="BU1308" i="1"/>
  <c r="BU1309" i="1"/>
  <c r="BU1310" i="1"/>
  <c r="BU1311" i="1"/>
  <c r="BU1312" i="1"/>
  <c r="BU1313" i="1"/>
  <c r="BU1314" i="1"/>
  <c r="BU1315" i="1"/>
  <c r="BU1316" i="1"/>
  <c r="BU1317" i="1"/>
  <c r="BU1318" i="1"/>
  <c r="BU1319" i="1"/>
  <c r="BU1320" i="1"/>
  <c r="BU1321" i="1"/>
  <c r="BU1322" i="1"/>
  <c r="BU1323" i="1"/>
  <c r="BU1324" i="1"/>
  <c r="BU1325" i="1"/>
  <c r="BU1326" i="1"/>
  <c r="BU1327" i="1"/>
  <c r="BU1328" i="1"/>
  <c r="BU1329" i="1"/>
  <c r="BU1330" i="1"/>
  <c r="BU1331" i="1"/>
  <c r="BU1332" i="1"/>
  <c r="BU1333" i="1"/>
  <c r="BU1334" i="1"/>
  <c r="BU1335" i="1"/>
  <c r="BU1336" i="1"/>
  <c r="BU1337" i="1"/>
  <c r="BU1338" i="1"/>
  <c r="BU1339" i="1"/>
  <c r="BU1340" i="1"/>
  <c r="BU1341" i="1"/>
  <c r="BU1342" i="1"/>
  <c r="BU1343" i="1"/>
  <c r="BU1344" i="1"/>
  <c r="BU1345" i="1"/>
  <c r="BU1346" i="1"/>
  <c r="BU1347" i="1"/>
  <c r="BU1348" i="1"/>
  <c r="BU1349" i="1"/>
  <c r="BU1350" i="1"/>
  <c r="BU1351" i="1"/>
  <c r="BU1352" i="1"/>
  <c r="BU1353" i="1"/>
  <c r="BU1354" i="1"/>
  <c r="BU1355" i="1"/>
  <c r="BU1356" i="1"/>
  <c r="BU1357" i="1"/>
  <c r="BU1358" i="1"/>
  <c r="BU1359" i="1"/>
  <c r="BU1360" i="1"/>
  <c r="BU1361" i="1"/>
  <c r="BU1362" i="1"/>
  <c r="BU1363" i="1"/>
  <c r="BU1364" i="1"/>
  <c r="BU1365" i="1"/>
  <c r="BU1366" i="1"/>
  <c r="BU1367" i="1"/>
  <c r="BU1368" i="1"/>
  <c r="BU1369" i="1"/>
  <c r="BU1370" i="1"/>
  <c r="BU1371" i="1"/>
  <c r="BU1372" i="1"/>
  <c r="BU1373" i="1"/>
  <c r="BU1374" i="1"/>
  <c r="BU1375" i="1"/>
  <c r="BU1376" i="1"/>
  <c r="BU1377" i="1"/>
  <c r="BU1378" i="1"/>
  <c r="BU1379" i="1"/>
  <c r="BU1380" i="1"/>
  <c r="BU1381" i="1"/>
  <c r="BU1382" i="1"/>
  <c r="BU1383" i="1"/>
  <c r="BU1384" i="1"/>
  <c r="BS137" i="1"/>
  <c r="BS138" i="1"/>
  <c r="BS139" i="1"/>
  <c r="BS140" i="1"/>
  <c r="BS141" i="1"/>
  <c r="BS142" i="1"/>
  <c r="BS143" i="1"/>
  <c r="BS144" i="1"/>
  <c r="BS145" i="1"/>
  <c r="BS146" i="1"/>
  <c r="BS147" i="1"/>
  <c r="BS148" i="1"/>
  <c r="BS149" i="1"/>
  <c r="BS150" i="1"/>
  <c r="BS151" i="1"/>
  <c r="BS152" i="1"/>
  <c r="BS153" i="1"/>
  <c r="BS154" i="1"/>
  <c r="BS155" i="1"/>
  <c r="BS156" i="1"/>
  <c r="BS157" i="1"/>
  <c r="BS158" i="1"/>
  <c r="BS159" i="1"/>
  <c r="BS160" i="1"/>
  <c r="BS161" i="1"/>
  <c r="BS162" i="1"/>
  <c r="BS163" i="1"/>
  <c r="BS164" i="1"/>
  <c r="BS165" i="1"/>
  <c r="BS166" i="1"/>
  <c r="BS167" i="1"/>
  <c r="BS168" i="1"/>
  <c r="BS169" i="1"/>
  <c r="BS170" i="1"/>
  <c r="BS171" i="1"/>
  <c r="BS172" i="1"/>
  <c r="BS173" i="1"/>
  <c r="BS174" i="1"/>
  <c r="BS175" i="1"/>
  <c r="BS176" i="1"/>
  <c r="BS177" i="1"/>
  <c r="BS178" i="1"/>
  <c r="BS179" i="1"/>
  <c r="BS180" i="1"/>
  <c r="BS181" i="1"/>
  <c r="BS182" i="1"/>
  <c r="BS183" i="1"/>
  <c r="BS184" i="1"/>
  <c r="BS185" i="1"/>
  <c r="BS186" i="1"/>
  <c r="BS187" i="1"/>
  <c r="BS188" i="1"/>
  <c r="BS189" i="1"/>
  <c r="BS190" i="1"/>
  <c r="BS191" i="1"/>
  <c r="BS192" i="1"/>
  <c r="BS193" i="1"/>
  <c r="BS194" i="1"/>
  <c r="BS195" i="1"/>
  <c r="BS196" i="1"/>
  <c r="BS197" i="1"/>
  <c r="BS198" i="1"/>
  <c r="BS199" i="1"/>
  <c r="BS200" i="1"/>
  <c r="BS201" i="1"/>
  <c r="BS202" i="1"/>
  <c r="BS203" i="1"/>
  <c r="BS204" i="1"/>
  <c r="BS205" i="1"/>
  <c r="BS206" i="1"/>
  <c r="BS207" i="1"/>
  <c r="BS208" i="1"/>
  <c r="BS209" i="1"/>
  <c r="BS210" i="1"/>
  <c r="BS211" i="1"/>
  <c r="BS212" i="1"/>
  <c r="BS213" i="1"/>
  <c r="BS214" i="1"/>
  <c r="BS215" i="1"/>
  <c r="BS216" i="1"/>
  <c r="BS217" i="1"/>
  <c r="BS218" i="1"/>
  <c r="BS219" i="1"/>
  <c r="BS220" i="1"/>
  <c r="BS221" i="1"/>
  <c r="BS222" i="1"/>
  <c r="BS223" i="1"/>
  <c r="BS224" i="1"/>
  <c r="BS225" i="1"/>
  <c r="BS226" i="1"/>
  <c r="BS227" i="1"/>
  <c r="BS228" i="1"/>
  <c r="BS229" i="1"/>
  <c r="BS230" i="1"/>
  <c r="BS231" i="1"/>
  <c r="BS232" i="1"/>
  <c r="BS233" i="1"/>
  <c r="BS234" i="1"/>
  <c r="BS235" i="1"/>
  <c r="BS236" i="1"/>
  <c r="BS237" i="1"/>
  <c r="BS238" i="1"/>
  <c r="BS239" i="1"/>
  <c r="BS240" i="1"/>
  <c r="BS241" i="1"/>
  <c r="BS242" i="1"/>
  <c r="BS243" i="1"/>
  <c r="BS244" i="1"/>
  <c r="BS245" i="1"/>
  <c r="BS246" i="1"/>
  <c r="BS247" i="1"/>
  <c r="BS248" i="1"/>
  <c r="BS249" i="1"/>
  <c r="BS250" i="1"/>
  <c r="BS251" i="1"/>
  <c r="BS252" i="1"/>
  <c r="BS253" i="1"/>
  <c r="BS254" i="1"/>
  <c r="BS255" i="1"/>
  <c r="BS256" i="1"/>
  <c r="BS257" i="1"/>
  <c r="BS258" i="1"/>
  <c r="BS259" i="1"/>
  <c r="BS260" i="1"/>
  <c r="BS261" i="1"/>
  <c r="BS262" i="1"/>
  <c r="BS263" i="1"/>
  <c r="BS264" i="1"/>
  <c r="BS265" i="1"/>
  <c r="BS266" i="1"/>
  <c r="BS267" i="1"/>
  <c r="BS268" i="1"/>
  <c r="BS269" i="1"/>
  <c r="BS270" i="1"/>
  <c r="BS271" i="1"/>
  <c r="BS272" i="1"/>
  <c r="BS273" i="1"/>
  <c r="BS274" i="1"/>
  <c r="BS275" i="1"/>
  <c r="BS276" i="1"/>
  <c r="BS277" i="1"/>
  <c r="BS278" i="1"/>
  <c r="BS279" i="1"/>
  <c r="BS280" i="1"/>
  <c r="BS281" i="1"/>
  <c r="BS282" i="1"/>
  <c r="BS283" i="1"/>
  <c r="BS284" i="1"/>
  <c r="BS285" i="1"/>
  <c r="BS286" i="1"/>
  <c r="BS287" i="1"/>
  <c r="BS288" i="1"/>
  <c r="BS289" i="1"/>
  <c r="BS290" i="1"/>
  <c r="BS291" i="1"/>
  <c r="BS292" i="1"/>
  <c r="BS293" i="1"/>
  <c r="BS294" i="1"/>
  <c r="BS295" i="1"/>
  <c r="BS296" i="1"/>
  <c r="BS297" i="1"/>
  <c r="BS298" i="1"/>
  <c r="BS299" i="1"/>
  <c r="BS300" i="1"/>
  <c r="BS301" i="1"/>
  <c r="BS302" i="1"/>
  <c r="BS303" i="1"/>
  <c r="BS304" i="1"/>
  <c r="BS305" i="1"/>
  <c r="BS306" i="1"/>
  <c r="BS307" i="1"/>
  <c r="BS308" i="1"/>
  <c r="BS309" i="1"/>
  <c r="BS310" i="1"/>
  <c r="BS311" i="1"/>
  <c r="BS312" i="1"/>
  <c r="BS313" i="1"/>
  <c r="BS314" i="1"/>
  <c r="BS315" i="1"/>
  <c r="BS316" i="1"/>
  <c r="BS317" i="1"/>
  <c r="BS318" i="1"/>
  <c r="BS319" i="1"/>
  <c r="BS320" i="1"/>
  <c r="BS321" i="1"/>
  <c r="BS322" i="1"/>
  <c r="BS323" i="1"/>
  <c r="BS324" i="1"/>
  <c r="BS325" i="1"/>
  <c r="BS326" i="1"/>
  <c r="BS327" i="1"/>
  <c r="BS328" i="1"/>
  <c r="BS329" i="1"/>
  <c r="BS330" i="1"/>
  <c r="BS331" i="1"/>
  <c r="BS332" i="1"/>
  <c r="BS333" i="1"/>
  <c r="BS334" i="1"/>
  <c r="BS335" i="1"/>
  <c r="BS336" i="1"/>
  <c r="BS337" i="1"/>
  <c r="BS338" i="1"/>
  <c r="BS339" i="1"/>
  <c r="BS340" i="1"/>
  <c r="BS341" i="1"/>
  <c r="BS342" i="1"/>
  <c r="BS343" i="1"/>
  <c r="BS344" i="1"/>
  <c r="BS345" i="1"/>
  <c r="BS346" i="1"/>
  <c r="BS347" i="1"/>
  <c r="BS348" i="1"/>
  <c r="BS349" i="1"/>
  <c r="BS350" i="1"/>
  <c r="BS351" i="1"/>
  <c r="BS352" i="1"/>
  <c r="BS353" i="1"/>
  <c r="BS354" i="1"/>
  <c r="BS355" i="1"/>
  <c r="BS356" i="1"/>
  <c r="BS357" i="1"/>
  <c r="BS358" i="1"/>
  <c r="BS359" i="1"/>
  <c r="BS360" i="1"/>
  <c r="BS361" i="1"/>
  <c r="BS362" i="1"/>
  <c r="BS363" i="1"/>
  <c r="BS364" i="1"/>
  <c r="BS365" i="1"/>
  <c r="BS366" i="1"/>
  <c r="BS367" i="1"/>
  <c r="BS368" i="1"/>
  <c r="BS369" i="1"/>
  <c r="BS370" i="1"/>
  <c r="BS371" i="1"/>
  <c r="BS372" i="1"/>
  <c r="BS373" i="1"/>
  <c r="BS374" i="1"/>
  <c r="BS375" i="1"/>
  <c r="BS376" i="1"/>
  <c r="BS377" i="1"/>
  <c r="BS378" i="1"/>
  <c r="BS379" i="1"/>
  <c r="BS380" i="1"/>
  <c r="BS381" i="1"/>
  <c r="BS382" i="1"/>
  <c r="BS383" i="1"/>
  <c r="BS384" i="1"/>
  <c r="BS385" i="1"/>
  <c r="BS386" i="1"/>
  <c r="BS387" i="1"/>
  <c r="BS388" i="1"/>
  <c r="BS389" i="1"/>
  <c r="BS390" i="1"/>
  <c r="BS391" i="1"/>
  <c r="BS392" i="1"/>
  <c r="BS393" i="1"/>
  <c r="BS394" i="1"/>
  <c r="BS395" i="1"/>
  <c r="BS396" i="1"/>
  <c r="BS397" i="1"/>
  <c r="BS398" i="1"/>
  <c r="BS399" i="1"/>
  <c r="BS400" i="1"/>
  <c r="BS401" i="1"/>
  <c r="BS402" i="1"/>
  <c r="BS403" i="1"/>
  <c r="BS404" i="1"/>
  <c r="BS405" i="1"/>
  <c r="BS406" i="1"/>
  <c r="BS407" i="1"/>
  <c r="BS408" i="1"/>
  <c r="BS409" i="1"/>
  <c r="BS410" i="1"/>
  <c r="BS411" i="1"/>
  <c r="BS412" i="1"/>
  <c r="BS413" i="1"/>
  <c r="BS414" i="1"/>
  <c r="BS415" i="1"/>
  <c r="BS416" i="1"/>
  <c r="BS417" i="1"/>
  <c r="BS418" i="1"/>
  <c r="BS419" i="1"/>
  <c r="BS420" i="1"/>
  <c r="BS421" i="1"/>
  <c r="BS422" i="1"/>
  <c r="BS423" i="1"/>
  <c r="BS424" i="1"/>
  <c r="BS425" i="1"/>
  <c r="BS426" i="1"/>
  <c r="BS427" i="1"/>
  <c r="BS428" i="1"/>
  <c r="BS429" i="1"/>
  <c r="BS430" i="1"/>
  <c r="BS431" i="1"/>
  <c r="BS432" i="1"/>
  <c r="BS433" i="1"/>
  <c r="BS434" i="1"/>
  <c r="BS435" i="1"/>
  <c r="BS436" i="1"/>
  <c r="BS437" i="1"/>
  <c r="BS438" i="1"/>
  <c r="BS439" i="1"/>
  <c r="BS440" i="1"/>
  <c r="BS441" i="1"/>
  <c r="BS442" i="1"/>
  <c r="BS443" i="1"/>
  <c r="BS444" i="1"/>
  <c r="BS445" i="1"/>
  <c r="BS446" i="1"/>
  <c r="BS447" i="1"/>
  <c r="BS448" i="1"/>
  <c r="BS449" i="1"/>
  <c r="BS450" i="1"/>
  <c r="BS451" i="1"/>
  <c r="BS452" i="1"/>
  <c r="BS453" i="1"/>
  <c r="BS454" i="1"/>
  <c r="BS455" i="1"/>
  <c r="BS456" i="1"/>
  <c r="BS457" i="1"/>
  <c r="BS458" i="1"/>
  <c r="BS459" i="1"/>
  <c r="BS460" i="1"/>
  <c r="BS461" i="1"/>
  <c r="BS462" i="1"/>
  <c r="BS463" i="1"/>
  <c r="BS464" i="1"/>
  <c r="BS465" i="1"/>
  <c r="BS466" i="1"/>
  <c r="BS467" i="1"/>
  <c r="BS468" i="1"/>
  <c r="BS469" i="1"/>
  <c r="BS470" i="1"/>
  <c r="BS471" i="1"/>
  <c r="BS472" i="1"/>
  <c r="BS473" i="1"/>
  <c r="BS474" i="1"/>
  <c r="BS475" i="1"/>
  <c r="BS476" i="1"/>
  <c r="BS477" i="1"/>
  <c r="BS478" i="1"/>
  <c r="BS479" i="1"/>
  <c r="BS480" i="1"/>
  <c r="BS481" i="1"/>
  <c r="BS482" i="1"/>
  <c r="BS483" i="1"/>
  <c r="BS484" i="1"/>
  <c r="BS485" i="1"/>
  <c r="BS486" i="1"/>
  <c r="BS487" i="1"/>
  <c r="BS488" i="1"/>
  <c r="BS489" i="1"/>
  <c r="BS490" i="1"/>
  <c r="BS491" i="1"/>
  <c r="BS492" i="1"/>
  <c r="BS493" i="1"/>
  <c r="BS494" i="1"/>
  <c r="BS495" i="1"/>
  <c r="BS496" i="1"/>
  <c r="BS497" i="1"/>
  <c r="BS498" i="1"/>
  <c r="BS499" i="1"/>
  <c r="BS500" i="1"/>
  <c r="BS501" i="1"/>
  <c r="BS502" i="1"/>
  <c r="BS503" i="1"/>
  <c r="BS504" i="1"/>
  <c r="BS505" i="1"/>
  <c r="BS506" i="1"/>
  <c r="BS507" i="1"/>
  <c r="BS508" i="1"/>
  <c r="BS509" i="1"/>
  <c r="BS510" i="1"/>
  <c r="BS511" i="1"/>
  <c r="BS512" i="1"/>
  <c r="BS513" i="1"/>
  <c r="BS514" i="1"/>
  <c r="BS515" i="1"/>
  <c r="BS516" i="1"/>
  <c r="BS517" i="1"/>
  <c r="BS518" i="1"/>
  <c r="BS519" i="1"/>
  <c r="BS520" i="1"/>
  <c r="BS521" i="1"/>
  <c r="BS522" i="1"/>
  <c r="BS523" i="1"/>
  <c r="BS524" i="1"/>
  <c r="BS525" i="1"/>
  <c r="BS526" i="1"/>
  <c r="BS527" i="1"/>
  <c r="BS528" i="1"/>
  <c r="BS529" i="1"/>
  <c r="BS530" i="1"/>
  <c r="BS531" i="1"/>
  <c r="BS532" i="1"/>
  <c r="BS533" i="1"/>
  <c r="BS534" i="1"/>
  <c r="BS535" i="1"/>
  <c r="BS536" i="1"/>
  <c r="BS537" i="1"/>
  <c r="BS538" i="1"/>
  <c r="BS539" i="1"/>
  <c r="BS540" i="1"/>
  <c r="BS541" i="1"/>
  <c r="BS542" i="1"/>
  <c r="BS543" i="1"/>
  <c r="BS544" i="1"/>
  <c r="BS545" i="1"/>
  <c r="BS546" i="1"/>
  <c r="BS547" i="1"/>
  <c r="BS548" i="1"/>
  <c r="BS549" i="1"/>
  <c r="BS550" i="1"/>
  <c r="BS551" i="1"/>
  <c r="BS552" i="1"/>
  <c r="BS553" i="1"/>
  <c r="BS554" i="1"/>
  <c r="BS555" i="1"/>
  <c r="BS556" i="1"/>
  <c r="BS557" i="1"/>
  <c r="BS558" i="1"/>
  <c r="BS559" i="1"/>
  <c r="BS560" i="1"/>
  <c r="BS561" i="1"/>
  <c r="BS562" i="1"/>
  <c r="BS563" i="1"/>
  <c r="BS564" i="1"/>
  <c r="BS565" i="1"/>
  <c r="BS566" i="1"/>
  <c r="BS567" i="1"/>
  <c r="BS568" i="1"/>
  <c r="BS569" i="1"/>
  <c r="BS570" i="1"/>
  <c r="BS571" i="1"/>
  <c r="BS572" i="1"/>
  <c r="BS573" i="1"/>
  <c r="BS574" i="1"/>
  <c r="BS575" i="1"/>
  <c r="BS576" i="1"/>
  <c r="BS577" i="1"/>
  <c r="BS578" i="1"/>
  <c r="BS579" i="1"/>
  <c r="BS580" i="1"/>
  <c r="BS581" i="1"/>
  <c r="BS582" i="1"/>
  <c r="BS583" i="1"/>
  <c r="BS584" i="1"/>
  <c r="BS585" i="1"/>
  <c r="BS586" i="1"/>
  <c r="BS587" i="1"/>
  <c r="BS588" i="1"/>
  <c r="BS589" i="1"/>
  <c r="BS590" i="1"/>
  <c r="BS591" i="1"/>
  <c r="BS592" i="1"/>
  <c r="BS593" i="1"/>
  <c r="BS594" i="1"/>
  <c r="BS595" i="1"/>
  <c r="BS596" i="1"/>
  <c r="BS597" i="1"/>
  <c r="BS598" i="1"/>
  <c r="BS599" i="1"/>
  <c r="BS600" i="1"/>
  <c r="BS601" i="1"/>
  <c r="BS602" i="1"/>
  <c r="BS603" i="1"/>
  <c r="BS604" i="1"/>
  <c r="BS605" i="1"/>
  <c r="BS606" i="1"/>
  <c r="BS607" i="1"/>
  <c r="BS608" i="1"/>
  <c r="BS609" i="1"/>
  <c r="BS610" i="1"/>
  <c r="BS611" i="1"/>
  <c r="BS612" i="1"/>
  <c r="BS613" i="1"/>
  <c r="BS614" i="1"/>
  <c r="BS615" i="1"/>
  <c r="BS616" i="1"/>
  <c r="BS617" i="1"/>
  <c r="BS618" i="1"/>
  <c r="BS619" i="1"/>
  <c r="BS620" i="1"/>
  <c r="BS621" i="1"/>
  <c r="BS622" i="1"/>
  <c r="BS623" i="1"/>
  <c r="BS624" i="1"/>
  <c r="BS625" i="1"/>
  <c r="BS626" i="1"/>
  <c r="BS627" i="1"/>
  <c r="BS628" i="1"/>
  <c r="BS629" i="1"/>
  <c r="BS630" i="1"/>
  <c r="BS631" i="1"/>
  <c r="BS632" i="1"/>
  <c r="BS633" i="1"/>
  <c r="BS634" i="1"/>
  <c r="BS635" i="1"/>
  <c r="BS636" i="1"/>
  <c r="BS637" i="1"/>
  <c r="BS638" i="1"/>
  <c r="BS639" i="1"/>
  <c r="BS640" i="1"/>
  <c r="BS641" i="1"/>
  <c r="BS642" i="1"/>
  <c r="BS643" i="1"/>
  <c r="BS644" i="1"/>
  <c r="BS645" i="1"/>
  <c r="BS646" i="1"/>
  <c r="BS647" i="1"/>
  <c r="BS648" i="1"/>
  <c r="BS649" i="1"/>
  <c r="BS650" i="1"/>
  <c r="BS651" i="1"/>
  <c r="BS652" i="1"/>
  <c r="BS653" i="1"/>
  <c r="BS654" i="1"/>
  <c r="BS655" i="1"/>
  <c r="BS656" i="1"/>
  <c r="BS657" i="1"/>
  <c r="BS658" i="1"/>
  <c r="BS659" i="1"/>
  <c r="BS660" i="1"/>
  <c r="BS661" i="1"/>
  <c r="BS662" i="1"/>
  <c r="BS663" i="1"/>
  <c r="BS664" i="1"/>
  <c r="BS665" i="1"/>
  <c r="BS666" i="1"/>
  <c r="BS667" i="1"/>
  <c r="BS668" i="1"/>
  <c r="BS669" i="1"/>
  <c r="BS670" i="1"/>
  <c r="BS671" i="1"/>
  <c r="BS672" i="1"/>
  <c r="BS673" i="1"/>
  <c r="BS674" i="1"/>
  <c r="BS675" i="1"/>
  <c r="BS676" i="1"/>
  <c r="BS677" i="1"/>
  <c r="BS678" i="1"/>
  <c r="BS679" i="1"/>
  <c r="BS680" i="1"/>
  <c r="BS681" i="1"/>
  <c r="BS682" i="1"/>
  <c r="BS683" i="1"/>
  <c r="BS684" i="1"/>
  <c r="BS685" i="1"/>
  <c r="BS686" i="1"/>
  <c r="BS687" i="1"/>
  <c r="BS688" i="1"/>
  <c r="BS689" i="1"/>
  <c r="BS690" i="1"/>
  <c r="BS691" i="1"/>
  <c r="BS692" i="1"/>
  <c r="BS693" i="1"/>
  <c r="BS694" i="1"/>
  <c r="BS695" i="1"/>
  <c r="BS696" i="1"/>
  <c r="BS697" i="1"/>
  <c r="BS698" i="1"/>
  <c r="BS699" i="1"/>
  <c r="BS700" i="1"/>
  <c r="BS701" i="1"/>
  <c r="BS702" i="1"/>
  <c r="BS703" i="1"/>
  <c r="BS704" i="1"/>
  <c r="BS705" i="1"/>
  <c r="BS706" i="1"/>
  <c r="BS707" i="1"/>
  <c r="BS708" i="1"/>
  <c r="BS709" i="1"/>
  <c r="BS710" i="1"/>
  <c r="BS711" i="1"/>
  <c r="BS712" i="1"/>
  <c r="BS713" i="1"/>
  <c r="BS714" i="1"/>
  <c r="BS715" i="1"/>
  <c r="BS716" i="1"/>
  <c r="BS717" i="1"/>
  <c r="BS718" i="1"/>
  <c r="BS719" i="1"/>
  <c r="BS720" i="1"/>
  <c r="BS721" i="1"/>
  <c r="BS722" i="1"/>
  <c r="BS723" i="1"/>
  <c r="BS724" i="1"/>
  <c r="BS725" i="1"/>
  <c r="BS726" i="1"/>
  <c r="BS727" i="1"/>
  <c r="BS728" i="1"/>
  <c r="BS729" i="1"/>
  <c r="BS730" i="1"/>
  <c r="BS731" i="1"/>
  <c r="BS732" i="1"/>
  <c r="BS733" i="1"/>
  <c r="BS734" i="1"/>
  <c r="BS735" i="1"/>
  <c r="BS736" i="1"/>
  <c r="BS737" i="1"/>
  <c r="BS738" i="1"/>
  <c r="BS739" i="1"/>
  <c r="BS740" i="1"/>
  <c r="BS741" i="1"/>
  <c r="BS742" i="1"/>
  <c r="BS743" i="1"/>
  <c r="BS744" i="1"/>
  <c r="BS745" i="1"/>
  <c r="BS746" i="1"/>
  <c r="BS747" i="1"/>
  <c r="BS748" i="1"/>
  <c r="BS749" i="1"/>
  <c r="BS750" i="1"/>
  <c r="BS751" i="1"/>
  <c r="BS752" i="1"/>
  <c r="BS753" i="1"/>
  <c r="BS754" i="1"/>
  <c r="BS755" i="1"/>
  <c r="BS756" i="1"/>
  <c r="BS757" i="1"/>
  <c r="BS758" i="1"/>
  <c r="BS759" i="1"/>
  <c r="BS760" i="1"/>
  <c r="BS761" i="1"/>
  <c r="BS762" i="1"/>
  <c r="BS763" i="1"/>
  <c r="BS764" i="1"/>
  <c r="BS765" i="1"/>
  <c r="BS766" i="1"/>
  <c r="BS767" i="1"/>
  <c r="BS768" i="1"/>
  <c r="BS769" i="1"/>
  <c r="BS770" i="1"/>
  <c r="BS771" i="1"/>
  <c r="BS772" i="1"/>
  <c r="BS773" i="1"/>
  <c r="BS774" i="1"/>
  <c r="BS775" i="1"/>
  <c r="BS776" i="1"/>
  <c r="BS777" i="1"/>
  <c r="BS778" i="1"/>
  <c r="BS779" i="1"/>
  <c r="BS780" i="1"/>
  <c r="BS781" i="1"/>
  <c r="BS782" i="1"/>
  <c r="BS783" i="1"/>
  <c r="BS784" i="1"/>
  <c r="BS785" i="1"/>
  <c r="BS786" i="1"/>
  <c r="BS787" i="1"/>
  <c r="BS788" i="1"/>
  <c r="BS789" i="1"/>
  <c r="BS790" i="1"/>
  <c r="BS791" i="1"/>
  <c r="BS792" i="1"/>
  <c r="BS793" i="1"/>
  <c r="BS794" i="1"/>
  <c r="BS795" i="1"/>
  <c r="BS796" i="1"/>
  <c r="BS797" i="1"/>
  <c r="BS798" i="1"/>
  <c r="BS799" i="1"/>
  <c r="BS800" i="1"/>
  <c r="BS801" i="1"/>
  <c r="BS802" i="1"/>
  <c r="BS803" i="1"/>
  <c r="BS804" i="1"/>
  <c r="BS805" i="1"/>
  <c r="BS806" i="1"/>
  <c r="BS807" i="1"/>
  <c r="BS808" i="1"/>
  <c r="BS809" i="1"/>
  <c r="BS810" i="1"/>
  <c r="BS811" i="1"/>
  <c r="BS812" i="1"/>
  <c r="BS813" i="1"/>
  <c r="BS814" i="1"/>
  <c r="BS815" i="1"/>
  <c r="BS816" i="1"/>
  <c r="BS817" i="1"/>
  <c r="BS818" i="1"/>
  <c r="BS819" i="1"/>
  <c r="BS820" i="1"/>
  <c r="BS821" i="1"/>
  <c r="BS822" i="1"/>
  <c r="BS823" i="1"/>
  <c r="BS824" i="1"/>
  <c r="BS825" i="1"/>
  <c r="BS826" i="1"/>
  <c r="BS827" i="1"/>
  <c r="BS828" i="1"/>
  <c r="BS829" i="1"/>
  <c r="BS830" i="1"/>
  <c r="BS831" i="1"/>
  <c r="BS832" i="1"/>
  <c r="BS833" i="1"/>
  <c r="BS834" i="1"/>
  <c r="BS835" i="1"/>
  <c r="BS836" i="1"/>
  <c r="BS837" i="1"/>
  <c r="BS838" i="1"/>
  <c r="BS839" i="1"/>
  <c r="BS840" i="1"/>
  <c r="BS841" i="1"/>
  <c r="BS842" i="1"/>
  <c r="BS843" i="1"/>
  <c r="BS844" i="1"/>
  <c r="BS845" i="1"/>
  <c r="BS846" i="1"/>
  <c r="BS847" i="1"/>
  <c r="BS848" i="1"/>
  <c r="BS849" i="1"/>
  <c r="BS850" i="1"/>
  <c r="BS851" i="1"/>
  <c r="BS852" i="1"/>
  <c r="BS853" i="1"/>
  <c r="BS854" i="1"/>
  <c r="BS855" i="1"/>
  <c r="BS856" i="1"/>
  <c r="BS857" i="1"/>
  <c r="BS858" i="1"/>
  <c r="BS859" i="1"/>
  <c r="BS860" i="1"/>
  <c r="BS861" i="1"/>
  <c r="BS862" i="1"/>
  <c r="BS863" i="1"/>
  <c r="BS864" i="1"/>
  <c r="BS865" i="1"/>
  <c r="BS866" i="1"/>
  <c r="BS867" i="1"/>
  <c r="BS868" i="1"/>
  <c r="BS869" i="1"/>
  <c r="BS870" i="1"/>
  <c r="BS871" i="1"/>
  <c r="BS872" i="1"/>
  <c r="BS873" i="1"/>
  <c r="BS874" i="1"/>
  <c r="BS875" i="1"/>
  <c r="BS876" i="1"/>
  <c r="BS877" i="1"/>
  <c r="BS878" i="1"/>
  <c r="BS879" i="1"/>
  <c r="BS880" i="1"/>
  <c r="BS881" i="1"/>
  <c r="BS882" i="1"/>
  <c r="BS883" i="1"/>
  <c r="BS884" i="1"/>
  <c r="BS885" i="1"/>
  <c r="BS886" i="1"/>
  <c r="BS887" i="1"/>
  <c r="BS888" i="1"/>
  <c r="BS889" i="1"/>
  <c r="BS890" i="1"/>
  <c r="BS891" i="1"/>
  <c r="BS892" i="1"/>
  <c r="BS893" i="1"/>
  <c r="BS894" i="1"/>
  <c r="BS895" i="1"/>
  <c r="BS896" i="1"/>
  <c r="BS897" i="1"/>
  <c r="BS898" i="1"/>
  <c r="BS899" i="1"/>
  <c r="BS900" i="1"/>
  <c r="BS901" i="1"/>
  <c r="BS902" i="1"/>
  <c r="BS903" i="1"/>
  <c r="BS904" i="1"/>
  <c r="BS905" i="1"/>
  <c r="BS906" i="1"/>
  <c r="BS907" i="1"/>
  <c r="BS908" i="1"/>
  <c r="BS909" i="1"/>
  <c r="BS910" i="1"/>
  <c r="BS911" i="1"/>
  <c r="BS912" i="1"/>
  <c r="BS913" i="1"/>
  <c r="BS914" i="1"/>
  <c r="BS915" i="1"/>
  <c r="BS916" i="1"/>
  <c r="BS917" i="1"/>
  <c r="BS918" i="1"/>
  <c r="BS919" i="1"/>
  <c r="BS920" i="1"/>
  <c r="BS921" i="1"/>
  <c r="BS922" i="1"/>
  <c r="BS923" i="1"/>
  <c r="BS924" i="1"/>
  <c r="BS925" i="1"/>
  <c r="BS926" i="1"/>
  <c r="BS927" i="1"/>
  <c r="BS928" i="1"/>
  <c r="BS929" i="1"/>
  <c r="BS930" i="1"/>
  <c r="BS931" i="1"/>
  <c r="BS932" i="1"/>
  <c r="BS933" i="1"/>
  <c r="BS934" i="1"/>
  <c r="BS935" i="1"/>
  <c r="BS936" i="1"/>
  <c r="BS937" i="1"/>
  <c r="BS938" i="1"/>
  <c r="BS939" i="1"/>
  <c r="BS940" i="1"/>
  <c r="BS941" i="1"/>
  <c r="BS942" i="1"/>
  <c r="BS943" i="1"/>
  <c r="BS944" i="1"/>
  <c r="BS945" i="1"/>
  <c r="BS946" i="1"/>
  <c r="BS947" i="1"/>
  <c r="BS948" i="1"/>
  <c r="BS949" i="1"/>
  <c r="BS950" i="1"/>
  <c r="BS951" i="1"/>
  <c r="BS952" i="1"/>
  <c r="BS953" i="1"/>
  <c r="BS954" i="1"/>
  <c r="BS955" i="1"/>
  <c r="BS956" i="1"/>
  <c r="BS957" i="1"/>
  <c r="BS958" i="1"/>
  <c r="BS959" i="1"/>
  <c r="BS960" i="1"/>
  <c r="BS961" i="1"/>
  <c r="BS962" i="1"/>
  <c r="BS963" i="1"/>
  <c r="BS964" i="1"/>
  <c r="BS965" i="1"/>
  <c r="BS966" i="1"/>
  <c r="BS967" i="1"/>
  <c r="BS968" i="1"/>
  <c r="BS969" i="1"/>
  <c r="BS970" i="1"/>
  <c r="BS971" i="1"/>
  <c r="BS972" i="1"/>
  <c r="BS973" i="1"/>
  <c r="BS974" i="1"/>
  <c r="BS975" i="1"/>
  <c r="BS976" i="1"/>
  <c r="BS977" i="1"/>
  <c r="BS978" i="1"/>
  <c r="BS979" i="1"/>
  <c r="BS980" i="1"/>
  <c r="BS981" i="1"/>
  <c r="BS982" i="1"/>
  <c r="BS983" i="1"/>
  <c r="BS984" i="1"/>
  <c r="BS985" i="1"/>
  <c r="BS986" i="1"/>
  <c r="BS987" i="1"/>
  <c r="BS988" i="1"/>
  <c r="BS989" i="1"/>
  <c r="BS990" i="1"/>
  <c r="BS991" i="1"/>
  <c r="BS992" i="1"/>
  <c r="BS993" i="1"/>
  <c r="BS994" i="1"/>
  <c r="BS995" i="1"/>
  <c r="BS996" i="1"/>
  <c r="BS997" i="1"/>
  <c r="BS998" i="1"/>
  <c r="BS999" i="1"/>
  <c r="BS1000" i="1"/>
  <c r="BS1001" i="1"/>
  <c r="BS1002" i="1"/>
  <c r="BS1003" i="1"/>
  <c r="BS1004" i="1"/>
  <c r="BS1005" i="1"/>
  <c r="BS1006" i="1"/>
  <c r="BS1007" i="1"/>
  <c r="BS1008" i="1"/>
  <c r="BS1009" i="1"/>
  <c r="BS1010" i="1"/>
  <c r="BS1011" i="1"/>
  <c r="BS1012" i="1"/>
  <c r="BS1013" i="1"/>
  <c r="BS1014" i="1"/>
  <c r="BS1015" i="1"/>
  <c r="BS1016" i="1"/>
  <c r="BS1017" i="1"/>
  <c r="BS1018" i="1"/>
  <c r="BS1019" i="1"/>
  <c r="BS1020" i="1"/>
  <c r="BS1021" i="1"/>
  <c r="BS1022" i="1"/>
  <c r="BS1023" i="1"/>
  <c r="BS1024" i="1"/>
  <c r="BS1025" i="1"/>
  <c r="BS1026" i="1"/>
  <c r="BS1027" i="1"/>
  <c r="BS1028" i="1"/>
  <c r="BS1029" i="1"/>
  <c r="BS1030" i="1"/>
  <c r="BS1031" i="1"/>
  <c r="BS1032" i="1"/>
  <c r="BS1033" i="1"/>
  <c r="BS1034" i="1"/>
  <c r="BS1035" i="1"/>
  <c r="BS1036" i="1"/>
  <c r="BS1037" i="1"/>
  <c r="BS1038" i="1"/>
  <c r="BS1039" i="1"/>
  <c r="BS1040" i="1"/>
  <c r="BS1041" i="1"/>
  <c r="BS1042" i="1"/>
  <c r="BS1043" i="1"/>
  <c r="BS1044" i="1"/>
  <c r="BS1045" i="1"/>
  <c r="BS1046" i="1"/>
  <c r="BS1047" i="1"/>
  <c r="BS1048" i="1"/>
  <c r="BS1049" i="1"/>
  <c r="BS1050" i="1"/>
  <c r="BS1051" i="1"/>
  <c r="BS1052" i="1"/>
  <c r="BS1053" i="1"/>
  <c r="BS1054" i="1"/>
  <c r="BS1055" i="1"/>
  <c r="BS1056" i="1"/>
  <c r="BS1057" i="1"/>
  <c r="BS1058" i="1"/>
  <c r="BS1059" i="1"/>
  <c r="BS1060" i="1"/>
  <c r="BS1061" i="1"/>
  <c r="BS1062" i="1"/>
  <c r="BS1063" i="1"/>
  <c r="BS1064" i="1"/>
  <c r="BS1065" i="1"/>
  <c r="BS1066" i="1"/>
  <c r="BS1067" i="1"/>
  <c r="BS1068" i="1"/>
  <c r="BS1069" i="1"/>
  <c r="BS1070" i="1"/>
  <c r="BS1071" i="1"/>
  <c r="BS1072" i="1"/>
  <c r="BS1073" i="1"/>
  <c r="BS1074" i="1"/>
  <c r="BS1075" i="1"/>
  <c r="BS1076" i="1"/>
  <c r="BS1077" i="1"/>
  <c r="BS1078" i="1"/>
  <c r="BS1079" i="1"/>
  <c r="BS1080" i="1"/>
  <c r="BS1081" i="1"/>
  <c r="BS1082" i="1"/>
  <c r="BS1083" i="1"/>
  <c r="BS1084" i="1"/>
  <c r="BS1085" i="1"/>
  <c r="BS1086" i="1"/>
  <c r="BS1087" i="1"/>
  <c r="BS1088" i="1"/>
  <c r="BS1089" i="1"/>
  <c r="BS1090" i="1"/>
  <c r="BS1091" i="1"/>
  <c r="BS1092" i="1"/>
  <c r="BS1093" i="1"/>
  <c r="BS1094" i="1"/>
  <c r="BS1095" i="1"/>
  <c r="BS1096" i="1"/>
  <c r="BS1097" i="1"/>
  <c r="BS1098" i="1"/>
  <c r="BS1099" i="1"/>
  <c r="BS1100" i="1"/>
  <c r="BS1101" i="1"/>
  <c r="BS1102" i="1"/>
  <c r="BS1103" i="1"/>
  <c r="BS1104" i="1"/>
  <c r="BS1105" i="1"/>
  <c r="BS1106" i="1"/>
  <c r="BS1107" i="1"/>
  <c r="BS1108" i="1"/>
  <c r="BS1109" i="1"/>
  <c r="BS1110" i="1"/>
  <c r="BS1111" i="1"/>
  <c r="BS1112" i="1"/>
  <c r="BS1113" i="1"/>
  <c r="BS1114" i="1"/>
  <c r="BS1115" i="1"/>
  <c r="BS1116" i="1"/>
  <c r="BS1117" i="1"/>
  <c r="BS1118" i="1"/>
  <c r="BS1119" i="1"/>
  <c r="BS1120" i="1"/>
  <c r="BS1121" i="1"/>
  <c r="BS1122" i="1"/>
  <c r="BS1123" i="1"/>
  <c r="BS1124" i="1"/>
  <c r="BS1125" i="1"/>
  <c r="BS1126" i="1"/>
  <c r="BS1127" i="1"/>
  <c r="BS1128" i="1"/>
  <c r="BS1129" i="1"/>
  <c r="BS1130" i="1"/>
  <c r="BS1131" i="1"/>
  <c r="BS1132" i="1"/>
  <c r="BS1133" i="1"/>
  <c r="BS1134" i="1"/>
  <c r="BS1135" i="1"/>
  <c r="BS1136" i="1"/>
  <c r="BS1137" i="1"/>
  <c r="BS1138" i="1"/>
  <c r="BS1139" i="1"/>
  <c r="BS1140" i="1"/>
  <c r="BS1141" i="1"/>
  <c r="BS1142" i="1"/>
  <c r="BS1143" i="1"/>
  <c r="BS1144" i="1"/>
  <c r="BS1145" i="1"/>
  <c r="BS1146" i="1"/>
  <c r="BS1147" i="1"/>
  <c r="BS1148" i="1"/>
  <c r="BS1149" i="1"/>
  <c r="BS1150" i="1"/>
  <c r="BS1151" i="1"/>
  <c r="BS1152" i="1"/>
  <c r="BS1153" i="1"/>
  <c r="BS1154" i="1"/>
  <c r="BS1155" i="1"/>
  <c r="BS1156" i="1"/>
  <c r="BS1157" i="1"/>
  <c r="BS1158" i="1"/>
  <c r="BS1159" i="1"/>
  <c r="BS1160" i="1"/>
  <c r="BS1161" i="1"/>
  <c r="BS1162" i="1"/>
  <c r="BS1163" i="1"/>
  <c r="BS1164" i="1"/>
  <c r="BS1165" i="1"/>
  <c r="BS1166" i="1"/>
  <c r="BS1167" i="1"/>
  <c r="BS1168" i="1"/>
  <c r="BS1169" i="1"/>
  <c r="BS1170" i="1"/>
  <c r="BS1171" i="1"/>
  <c r="BS1172" i="1"/>
  <c r="BS1173" i="1"/>
  <c r="BS1174" i="1"/>
  <c r="BS1175" i="1"/>
  <c r="BS1176" i="1"/>
  <c r="BS1177" i="1"/>
  <c r="BS1178" i="1"/>
  <c r="BS1179" i="1"/>
  <c r="BS1180" i="1"/>
  <c r="BS1181" i="1"/>
  <c r="BS1182" i="1"/>
  <c r="BS1183" i="1"/>
  <c r="BS1184" i="1"/>
  <c r="BS1185" i="1"/>
  <c r="BS1186" i="1"/>
  <c r="BS1187" i="1"/>
  <c r="BS1188" i="1"/>
  <c r="BS1189" i="1"/>
  <c r="BS1190" i="1"/>
  <c r="BS1191" i="1"/>
  <c r="BS1192" i="1"/>
  <c r="BS1193" i="1"/>
  <c r="BS1194" i="1"/>
  <c r="BS1195" i="1"/>
  <c r="BS1196" i="1"/>
  <c r="BS1197" i="1"/>
  <c r="BS1198" i="1"/>
  <c r="BS1199" i="1"/>
  <c r="BS1200" i="1"/>
  <c r="BS1201" i="1"/>
  <c r="BS1202" i="1"/>
  <c r="BS1203" i="1"/>
  <c r="BS1204" i="1"/>
  <c r="BS1205" i="1"/>
  <c r="BS1206" i="1"/>
  <c r="BS1207" i="1"/>
  <c r="BS1208" i="1"/>
  <c r="BS1209" i="1"/>
  <c r="BS1210" i="1"/>
  <c r="BS1211" i="1"/>
  <c r="BS1212" i="1"/>
  <c r="BS1213" i="1"/>
  <c r="BS1214" i="1"/>
  <c r="BS1215" i="1"/>
  <c r="BS1216" i="1"/>
  <c r="BS1217" i="1"/>
  <c r="BS1218" i="1"/>
  <c r="BS1219" i="1"/>
  <c r="BS1220" i="1"/>
  <c r="BS1221" i="1"/>
  <c r="BS1222" i="1"/>
  <c r="BS1223" i="1"/>
  <c r="BS1224" i="1"/>
  <c r="BS1225" i="1"/>
  <c r="BS1226" i="1"/>
  <c r="BS1227" i="1"/>
  <c r="BS1228" i="1"/>
  <c r="BS1229" i="1"/>
  <c r="BS1230" i="1"/>
  <c r="BS1231" i="1"/>
  <c r="BS1232" i="1"/>
  <c r="BS1233" i="1"/>
  <c r="BS1234" i="1"/>
  <c r="BS1235" i="1"/>
  <c r="BS1236" i="1"/>
  <c r="BS1237" i="1"/>
  <c r="BS1238" i="1"/>
  <c r="BS1239" i="1"/>
  <c r="BS1240" i="1"/>
  <c r="BS1241" i="1"/>
  <c r="BS1242" i="1"/>
  <c r="BS1243" i="1"/>
  <c r="BS1244" i="1"/>
  <c r="BS1245" i="1"/>
  <c r="BS1246" i="1"/>
  <c r="BS1247" i="1"/>
  <c r="BS1248" i="1"/>
  <c r="BS1249" i="1"/>
  <c r="BS1250" i="1"/>
  <c r="BS1251" i="1"/>
  <c r="BS1252" i="1"/>
  <c r="BS1253" i="1"/>
  <c r="BS1254" i="1"/>
  <c r="BS1255" i="1"/>
  <c r="BS1256" i="1"/>
  <c r="BS1257" i="1"/>
  <c r="BS1258" i="1"/>
  <c r="BS1259" i="1"/>
  <c r="BS1260" i="1"/>
  <c r="BS1261" i="1"/>
  <c r="BS1262" i="1"/>
  <c r="BS1263" i="1"/>
  <c r="BS1264" i="1"/>
  <c r="BS1265" i="1"/>
  <c r="BS1266" i="1"/>
  <c r="BS1267" i="1"/>
  <c r="BS1268" i="1"/>
  <c r="BS1269" i="1"/>
  <c r="BS1270" i="1"/>
  <c r="BS1271" i="1"/>
  <c r="BS1272" i="1"/>
  <c r="BS1273" i="1"/>
  <c r="BS1274" i="1"/>
  <c r="BS1275" i="1"/>
  <c r="BS1276" i="1"/>
  <c r="BS1277" i="1"/>
  <c r="BS1278" i="1"/>
  <c r="BS1279" i="1"/>
  <c r="BS1280" i="1"/>
  <c r="BS1281" i="1"/>
  <c r="BS1282" i="1"/>
  <c r="BS1283" i="1"/>
  <c r="BS1284" i="1"/>
  <c r="BS1285" i="1"/>
  <c r="BS1286" i="1"/>
  <c r="BS1287" i="1"/>
  <c r="BS1288" i="1"/>
  <c r="BS1289" i="1"/>
  <c r="BS1290" i="1"/>
  <c r="BS1291" i="1"/>
  <c r="BS1292" i="1"/>
  <c r="BS1293" i="1"/>
  <c r="BS1294" i="1"/>
  <c r="BS1295" i="1"/>
  <c r="BS1296" i="1"/>
  <c r="BS1297" i="1"/>
  <c r="BS1298" i="1"/>
  <c r="BS1299" i="1"/>
  <c r="BS1300" i="1"/>
  <c r="BS1301" i="1"/>
  <c r="BS1302" i="1"/>
  <c r="BS1303" i="1"/>
  <c r="BS1304" i="1"/>
  <c r="BS1305" i="1"/>
  <c r="BS1306" i="1"/>
  <c r="BS1307" i="1"/>
  <c r="BS1308" i="1"/>
  <c r="BS1309" i="1"/>
  <c r="BS1310" i="1"/>
  <c r="BS1311" i="1"/>
  <c r="BS1312" i="1"/>
  <c r="BS1313" i="1"/>
  <c r="BS1314" i="1"/>
  <c r="BS1315" i="1"/>
  <c r="BS1316" i="1"/>
  <c r="BS1317" i="1"/>
  <c r="BS1318" i="1"/>
  <c r="BS1319" i="1"/>
  <c r="BS1320" i="1"/>
  <c r="BS1321" i="1"/>
  <c r="BS1322" i="1"/>
  <c r="BS1323" i="1"/>
  <c r="BS1324" i="1"/>
  <c r="BS1325" i="1"/>
  <c r="BS1326" i="1"/>
  <c r="BS1327" i="1"/>
  <c r="BS1328" i="1"/>
  <c r="BS1329" i="1"/>
  <c r="BS1330" i="1"/>
  <c r="BS1331" i="1"/>
  <c r="BS1332" i="1"/>
  <c r="BS1333" i="1"/>
  <c r="BS1334" i="1"/>
  <c r="BS1335" i="1"/>
  <c r="BS1336" i="1"/>
  <c r="BS1337" i="1"/>
  <c r="BS1338" i="1"/>
  <c r="BS1339" i="1"/>
  <c r="BS1340" i="1"/>
  <c r="BS1341" i="1"/>
  <c r="BS1342" i="1"/>
  <c r="BS1343" i="1"/>
  <c r="BS1344" i="1"/>
  <c r="BS1345" i="1"/>
  <c r="BS1346" i="1"/>
  <c r="BS1347" i="1"/>
  <c r="BS1348" i="1"/>
  <c r="BS1349" i="1"/>
  <c r="BS1350" i="1"/>
  <c r="BS1351" i="1"/>
  <c r="BS1352" i="1"/>
  <c r="BS1353" i="1"/>
  <c r="BS1354" i="1"/>
  <c r="BS1355" i="1"/>
  <c r="BS1356" i="1"/>
  <c r="BS1357" i="1"/>
  <c r="BS1358" i="1"/>
  <c r="BS1359" i="1"/>
  <c r="BS1360" i="1"/>
  <c r="BS1361" i="1"/>
  <c r="BS1362" i="1"/>
  <c r="BS1363" i="1"/>
  <c r="BS1364" i="1"/>
  <c r="BS1365" i="1"/>
  <c r="BS1366" i="1"/>
  <c r="BS1367" i="1"/>
  <c r="BS1368" i="1"/>
  <c r="BS1369" i="1"/>
  <c r="BS1370" i="1"/>
  <c r="BS1371" i="1"/>
  <c r="BS1372" i="1"/>
  <c r="BS1373" i="1"/>
  <c r="BS1374" i="1"/>
  <c r="BS1375" i="1"/>
  <c r="BS1376" i="1"/>
  <c r="BS1377" i="1"/>
  <c r="BS1378" i="1"/>
  <c r="BS1379" i="1"/>
  <c r="BS1380" i="1"/>
  <c r="BS1381" i="1"/>
  <c r="BS1382" i="1"/>
  <c r="BS1383" i="1"/>
  <c r="BS1384" i="1"/>
  <c r="BW3" i="1"/>
  <c r="BS3" i="1"/>
  <c r="BR3" i="1"/>
  <c r="BQ140" i="1"/>
  <c r="BQ141" i="1"/>
  <c r="BQ142" i="1"/>
  <c r="BQ143" i="1"/>
  <c r="BQ144" i="1"/>
  <c r="BQ145" i="1"/>
  <c r="BQ146" i="1"/>
  <c r="BQ147" i="1"/>
  <c r="BQ148" i="1"/>
  <c r="BQ149" i="1"/>
  <c r="BQ150" i="1"/>
  <c r="BQ151" i="1"/>
  <c r="BQ152" i="1"/>
  <c r="BQ153" i="1"/>
  <c r="BQ154" i="1"/>
  <c r="BQ155" i="1"/>
  <c r="BQ156" i="1"/>
  <c r="BQ157" i="1"/>
  <c r="BQ158" i="1"/>
  <c r="BQ159" i="1"/>
  <c r="BQ160" i="1"/>
  <c r="BQ161" i="1"/>
  <c r="BQ162" i="1"/>
  <c r="BQ163" i="1"/>
  <c r="BQ164" i="1"/>
  <c r="BQ165" i="1"/>
  <c r="BQ166" i="1"/>
  <c r="BQ167" i="1"/>
  <c r="BQ168" i="1"/>
  <c r="BQ169" i="1"/>
  <c r="BQ170" i="1"/>
  <c r="BQ171" i="1"/>
  <c r="BQ172" i="1"/>
  <c r="BQ173" i="1"/>
  <c r="BQ174" i="1"/>
  <c r="BQ175" i="1"/>
  <c r="BQ176" i="1"/>
  <c r="BQ177" i="1"/>
  <c r="BQ178" i="1"/>
  <c r="BQ179" i="1"/>
  <c r="BQ180" i="1"/>
  <c r="BQ181" i="1"/>
  <c r="BQ182" i="1"/>
  <c r="BQ183" i="1"/>
  <c r="BQ184" i="1"/>
  <c r="BQ185" i="1"/>
  <c r="BQ186" i="1"/>
  <c r="BQ187" i="1"/>
  <c r="BQ188" i="1"/>
  <c r="BQ189" i="1"/>
  <c r="BQ190" i="1"/>
  <c r="BQ191" i="1"/>
  <c r="BQ192" i="1"/>
  <c r="BQ193" i="1"/>
  <c r="BQ194" i="1"/>
  <c r="BQ195" i="1"/>
  <c r="BQ196" i="1"/>
  <c r="BQ197" i="1"/>
  <c r="BQ198" i="1"/>
  <c r="BQ199" i="1"/>
  <c r="BQ200" i="1"/>
  <c r="BQ201" i="1"/>
  <c r="BQ202" i="1"/>
  <c r="BQ203" i="1"/>
  <c r="BQ204" i="1"/>
  <c r="BQ205" i="1"/>
  <c r="BQ206" i="1"/>
  <c r="BQ207" i="1"/>
  <c r="BQ208" i="1"/>
  <c r="BQ209" i="1"/>
  <c r="BQ210" i="1"/>
  <c r="BQ211" i="1"/>
  <c r="BQ212" i="1"/>
  <c r="BQ213" i="1"/>
  <c r="BQ214" i="1"/>
  <c r="BQ215" i="1"/>
  <c r="BQ216" i="1"/>
  <c r="BQ217" i="1"/>
  <c r="BQ218" i="1"/>
  <c r="BQ219" i="1"/>
  <c r="BQ220" i="1"/>
  <c r="BQ221" i="1"/>
  <c r="BQ222" i="1"/>
  <c r="BQ223" i="1"/>
  <c r="BQ224" i="1"/>
  <c r="BQ225" i="1"/>
  <c r="BQ226" i="1"/>
  <c r="BQ227" i="1"/>
  <c r="BQ228" i="1"/>
  <c r="BQ229" i="1"/>
  <c r="BQ230" i="1"/>
  <c r="BQ231" i="1"/>
  <c r="BQ232" i="1"/>
  <c r="BQ233" i="1"/>
  <c r="BQ234" i="1"/>
  <c r="BQ235" i="1"/>
  <c r="BQ236" i="1"/>
  <c r="BQ237" i="1"/>
  <c r="BQ238" i="1"/>
  <c r="BQ239" i="1"/>
  <c r="BQ240" i="1"/>
  <c r="BQ241" i="1"/>
  <c r="BQ242" i="1"/>
  <c r="BQ243" i="1"/>
  <c r="BQ244" i="1"/>
  <c r="BQ245" i="1"/>
  <c r="BQ246" i="1"/>
  <c r="BQ247" i="1"/>
  <c r="BQ248" i="1"/>
  <c r="BQ249" i="1"/>
  <c r="BQ250" i="1"/>
  <c r="BQ251" i="1"/>
  <c r="BQ252" i="1"/>
  <c r="BQ253" i="1"/>
  <c r="BQ254" i="1"/>
  <c r="BQ255" i="1"/>
  <c r="BQ256" i="1"/>
  <c r="BQ257" i="1"/>
  <c r="BQ258" i="1"/>
  <c r="BQ259" i="1"/>
  <c r="BQ260" i="1"/>
  <c r="BQ261" i="1"/>
  <c r="BQ262" i="1"/>
  <c r="BQ263" i="1"/>
  <c r="BQ264" i="1"/>
  <c r="BQ265" i="1"/>
  <c r="BQ266" i="1"/>
  <c r="BQ267" i="1"/>
  <c r="BQ268" i="1"/>
  <c r="BQ269" i="1"/>
  <c r="BQ270" i="1"/>
  <c r="BQ271" i="1"/>
  <c r="BQ272" i="1"/>
  <c r="BQ273" i="1"/>
  <c r="BQ274" i="1"/>
  <c r="BQ275" i="1"/>
  <c r="BQ276" i="1"/>
  <c r="BQ277" i="1"/>
  <c r="BQ278" i="1"/>
  <c r="BQ279" i="1"/>
  <c r="BQ280" i="1"/>
  <c r="BQ281" i="1"/>
  <c r="BQ282" i="1"/>
  <c r="BQ283" i="1"/>
  <c r="BQ284" i="1"/>
  <c r="BQ285" i="1"/>
  <c r="BQ286" i="1"/>
  <c r="BQ287" i="1"/>
  <c r="BQ288" i="1"/>
  <c r="BQ289" i="1"/>
  <c r="BQ290" i="1"/>
  <c r="BQ291" i="1"/>
  <c r="BQ292" i="1"/>
  <c r="BQ293" i="1"/>
  <c r="BQ294" i="1"/>
  <c r="BQ295" i="1"/>
  <c r="BQ296" i="1"/>
  <c r="BQ297" i="1"/>
  <c r="BQ298" i="1"/>
  <c r="BQ299" i="1"/>
  <c r="BQ300" i="1"/>
  <c r="BQ301" i="1"/>
  <c r="BQ302" i="1"/>
  <c r="BQ303" i="1"/>
  <c r="BQ304" i="1"/>
  <c r="BQ305" i="1"/>
  <c r="BQ306" i="1"/>
  <c r="BQ307" i="1"/>
  <c r="BQ308" i="1"/>
  <c r="BQ309" i="1"/>
  <c r="BQ310" i="1"/>
  <c r="BQ311" i="1"/>
  <c r="BQ312" i="1"/>
  <c r="BQ313" i="1"/>
  <c r="BQ314" i="1"/>
  <c r="BQ315" i="1"/>
  <c r="BQ316" i="1"/>
  <c r="BQ317" i="1"/>
  <c r="BQ318" i="1"/>
  <c r="BQ319" i="1"/>
  <c r="BQ320" i="1"/>
  <c r="BQ321" i="1"/>
  <c r="BQ322" i="1"/>
  <c r="BQ323" i="1"/>
  <c r="BQ324" i="1"/>
  <c r="BQ325" i="1"/>
  <c r="BQ326" i="1"/>
  <c r="BQ327" i="1"/>
  <c r="BQ328" i="1"/>
  <c r="BQ329" i="1"/>
  <c r="BQ330" i="1"/>
  <c r="BQ331" i="1"/>
  <c r="BQ332" i="1"/>
  <c r="BQ333" i="1"/>
  <c r="BQ334" i="1"/>
  <c r="BQ335" i="1"/>
  <c r="BQ336" i="1"/>
  <c r="BQ337" i="1"/>
  <c r="BQ338" i="1"/>
  <c r="BQ339" i="1"/>
  <c r="BQ340" i="1"/>
  <c r="BQ341" i="1"/>
  <c r="BQ342" i="1"/>
  <c r="BQ343" i="1"/>
  <c r="BQ344" i="1"/>
  <c r="BQ345" i="1"/>
  <c r="BQ346" i="1"/>
  <c r="BQ347" i="1"/>
  <c r="BQ348" i="1"/>
  <c r="BQ349" i="1"/>
  <c r="BQ350" i="1"/>
  <c r="BQ351" i="1"/>
  <c r="BQ352" i="1"/>
  <c r="BQ353" i="1"/>
  <c r="BQ354" i="1"/>
  <c r="BQ355" i="1"/>
  <c r="BQ356" i="1"/>
  <c r="BQ357" i="1"/>
  <c r="BQ358" i="1"/>
  <c r="BQ359" i="1"/>
  <c r="BQ360" i="1"/>
  <c r="BQ361" i="1"/>
  <c r="BQ362" i="1"/>
  <c r="BQ363" i="1"/>
  <c r="BQ364" i="1"/>
  <c r="BQ365" i="1"/>
  <c r="BQ366" i="1"/>
  <c r="BQ367" i="1"/>
  <c r="BQ368" i="1"/>
  <c r="BQ369" i="1"/>
  <c r="BQ370" i="1"/>
  <c r="BQ371" i="1"/>
  <c r="BQ372" i="1"/>
  <c r="BQ373" i="1"/>
  <c r="BQ374" i="1"/>
  <c r="BQ375" i="1"/>
  <c r="BQ376" i="1"/>
  <c r="BQ377" i="1"/>
  <c r="BQ378" i="1"/>
  <c r="BQ379" i="1"/>
  <c r="BQ380" i="1"/>
  <c r="BQ381" i="1"/>
  <c r="BQ382" i="1"/>
  <c r="BQ383" i="1"/>
  <c r="BQ384" i="1"/>
  <c r="BQ385" i="1"/>
  <c r="BQ386" i="1"/>
  <c r="BQ387" i="1"/>
  <c r="BQ388" i="1"/>
  <c r="BQ389" i="1"/>
  <c r="BQ390" i="1"/>
  <c r="BQ391" i="1"/>
  <c r="BQ392" i="1"/>
  <c r="BQ393" i="1"/>
  <c r="BQ394" i="1"/>
  <c r="BQ395" i="1"/>
  <c r="BQ396" i="1"/>
  <c r="BQ397" i="1"/>
  <c r="BQ398" i="1"/>
  <c r="BQ399" i="1"/>
  <c r="BQ400" i="1"/>
  <c r="BQ401" i="1"/>
  <c r="BQ402" i="1"/>
  <c r="BQ403" i="1"/>
  <c r="BQ404" i="1"/>
  <c r="BQ405" i="1"/>
  <c r="BQ406" i="1"/>
  <c r="BQ407" i="1"/>
  <c r="BQ408" i="1"/>
  <c r="BQ409" i="1"/>
  <c r="BQ410" i="1"/>
  <c r="BQ411" i="1"/>
  <c r="BQ412" i="1"/>
  <c r="BQ413" i="1"/>
  <c r="BQ414" i="1"/>
  <c r="BQ415" i="1"/>
  <c r="BQ416" i="1"/>
  <c r="BQ417" i="1"/>
  <c r="BQ418" i="1"/>
  <c r="BQ419" i="1"/>
  <c r="BQ420" i="1"/>
  <c r="BQ421" i="1"/>
  <c r="BQ422" i="1"/>
  <c r="BQ423" i="1"/>
  <c r="BQ424" i="1"/>
  <c r="BQ425" i="1"/>
  <c r="BQ426" i="1"/>
  <c r="BQ427" i="1"/>
  <c r="BQ428" i="1"/>
  <c r="BQ429" i="1"/>
  <c r="BQ430" i="1"/>
  <c r="BQ431" i="1"/>
  <c r="BQ432" i="1"/>
  <c r="BQ433" i="1"/>
  <c r="BQ434" i="1"/>
  <c r="BQ435" i="1"/>
  <c r="BQ436" i="1"/>
  <c r="BQ437" i="1"/>
  <c r="BQ438" i="1"/>
  <c r="BQ439" i="1"/>
  <c r="BQ440" i="1"/>
  <c r="BQ441" i="1"/>
  <c r="BQ442" i="1"/>
  <c r="BQ443" i="1"/>
  <c r="BQ444" i="1"/>
  <c r="BQ445" i="1"/>
  <c r="BQ446" i="1"/>
  <c r="BQ447" i="1"/>
  <c r="BQ448" i="1"/>
  <c r="BQ449" i="1"/>
  <c r="BQ450" i="1"/>
  <c r="BQ451" i="1"/>
  <c r="BQ452" i="1"/>
  <c r="BQ453" i="1"/>
  <c r="BQ454" i="1"/>
  <c r="BQ455" i="1"/>
  <c r="BQ456" i="1"/>
  <c r="BQ457" i="1"/>
  <c r="BQ458" i="1"/>
  <c r="BQ459" i="1"/>
  <c r="BQ460" i="1"/>
  <c r="BQ461" i="1"/>
  <c r="BQ462" i="1"/>
  <c r="BQ463" i="1"/>
  <c r="BQ464" i="1"/>
  <c r="BQ465" i="1"/>
  <c r="BQ466" i="1"/>
  <c r="BQ467" i="1"/>
  <c r="BQ468" i="1"/>
  <c r="BQ469" i="1"/>
  <c r="BQ470" i="1"/>
  <c r="BQ471" i="1"/>
  <c r="BQ472" i="1"/>
  <c r="BQ473" i="1"/>
  <c r="BQ474" i="1"/>
  <c r="BQ475" i="1"/>
  <c r="BQ476" i="1"/>
  <c r="BQ477" i="1"/>
  <c r="BQ478" i="1"/>
  <c r="BQ479" i="1"/>
  <c r="BQ480" i="1"/>
  <c r="BQ481" i="1"/>
  <c r="BQ482" i="1"/>
  <c r="BQ483" i="1"/>
  <c r="BQ484" i="1"/>
  <c r="BQ485" i="1"/>
  <c r="BQ486" i="1"/>
  <c r="BQ487" i="1"/>
  <c r="BQ488" i="1"/>
  <c r="BQ489" i="1"/>
  <c r="BQ490" i="1"/>
  <c r="BQ491" i="1"/>
  <c r="BQ492" i="1"/>
  <c r="BQ493" i="1"/>
  <c r="BQ494" i="1"/>
  <c r="BQ495" i="1"/>
  <c r="BQ496" i="1"/>
  <c r="BQ497" i="1"/>
  <c r="BQ498" i="1"/>
  <c r="BQ499" i="1"/>
  <c r="BQ500" i="1"/>
  <c r="BQ501" i="1"/>
  <c r="BQ502" i="1"/>
  <c r="BQ503" i="1"/>
  <c r="BQ504" i="1"/>
  <c r="BQ505" i="1"/>
  <c r="BQ506" i="1"/>
  <c r="BQ507" i="1"/>
  <c r="BQ508" i="1"/>
  <c r="BQ509" i="1"/>
  <c r="BQ510" i="1"/>
  <c r="BQ511" i="1"/>
  <c r="BQ512" i="1"/>
  <c r="BQ513" i="1"/>
  <c r="BQ514" i="1"/>
  <c r="BQ515" i="1"/>
  <c r="BQ516" i="1"/>
  <c r="BQ517" i="1"/>
  <c r="BQ518" i="1"/>
  <c r="BQ519" i="1"/>
  <c r="BQ520" i="1"/>
  <c r="BQ521" i="1"/>
  <c r="BQ522" i="1"/>
  <c r="BQ523" i="1"/>
  <c r="BQ524" i="1"/>
  <c r="BQ525" i="1"/>
  <c r="BQ526" i="1"/>
  <c r="BQ527" i="1"/>
  <c r="BQ528" i="1"/>
  <c r="BQ529" i="1"/>
  <c r="BQ530" i="1"/>
  <c r="BQ531" i="1"/>
  <c r="BQ532" i="1"/>
  <c r="BQ533" i="1"/>
  <c r="BQ534" i="1"/>
  <c r="BQ535" i="1"/>
  <c r="BQ536" i="1"/>
  <c r="BQ537" i="1"/>
  <c r="BQ538" i="1"/>
  <c r="BQ539" i="1"/>
  <c r="BQ540" i="1"/>
  <c r="BQ541" i="1"/>
  <c r="BQ542" i="1"/>
  <c r="BQ543" i="1"/>
  <c r="BQ544" i="1"/>
  <c r="BQ545" i="1"/>
  <c r="BQ546" i="1"/>
  <c r="BQ547" i="1"/>
  <c r="BQ548" i="1"/>
  <c r="BQ549" i="1"/>
  <c r="BQ550" i="1"/>
  <c r="BQ551" i="1"/>
  <c r="BQ552" i="1"/>
  <c r="BQ553" i="1"/>
  <c r="BQ554" i="1"/>
  <c r="BQ555" i="1"/>
  <c r="BQ556" i="1"/>
  <c r="BQ557" i="1"/>
  <c r="BQ558" i="1"/>
  <c r="BQ559" i="1"/>
  <c r="BQ560" i="1"/>
  <c r="BQ561" i="1"/>
  <c r="BQ562" i="1"/>
  <c r="BQ563" i="1"/>
  <c r="BQ564" i="1"/>
  <c r="BQ565" i="1"/>
  <c r="BQ566" i="1"/>
  <c r="BQ567" i="1"/>
  <c r="BQ568" i="1"/>
  <c r="BQ569" i="1"/>
  <c r="BQ570" i="1"/>
  <c r="BQ571" i="1"/>
  <c r="BQ572" i="1"/>
  <c r="BQ573" i="1"/>
  <c r="BQ574" i="1"/>
  <c r="BQ575" i="1"/>
  <c r="BQ576" i="1"/>
  <c r="BQ577" i="1"/>
  <c r="BQ578" i="1"/>
  <c r="BQ579" i="1"/>
  <c r="BQ580" i="1"/>
  <c r="BQ581" i="1"/>
  <c r="BQ582" i="1"/>
  <c r="BQ583" i="1"/>
  <c r="BQ584" i="1"/>
  <c r="BQ585" i="1"/>
  <c r="BQ586" i="1"/>
  <c r="BQ587" i="1"/>
  <c r="BQ588" i="1"/>
  <c r="BQ589" i="1"/>
  <c r="BQ590" i="1"/>
  <c r="BQ591" i="1"/>
  <c r="BQ592" i="1"/>
  <c r="BQ593" i="1"/>
  <c r="BQ594" i="1"/>
  <c r="BQ595" i="1"/>
  <c r="BQ596" i="1"/>
  <c r="BQ597" i="1"/>
  <c r="BQ598" i="1"/>
  <c r="BQ599" i="1"/>
  <c r="BQ600" i="1"/>
  <c r="BQ601" i="1"/>
  <c r="BQ602" i="1"/>
  <c r="BQ603" i="1"/>
  <c r="BQ604" i="1"/>
  <c r="BQ605" i="1"/>
  <c r="BQ606" i="1"/>
  <c r="BQ607" i="1"/>
  <c r="BQ608" i="1"/>
  <c r="BQ609" i="1"/>
  <c r="BQ610" i="1"/>
  <c r="BQ611" i="1"/>
  <c r="BQ612" i="1"/>
  <c r="BQ613" i="1"/>
  <c r="BQ614" i="1"/>
  <c r="BQ615" i="1"/>
  <c r="BQ616" i="1"/>
  <c r="BQ617" i="1"/>
  <c r="BQ618" i="1"/>
  <c r="BQ619" i="1"/>
  <c r="BQ620" i="1"/>
  <c r="BQ621" i="1"/>
  <c r="BQ622" i="1"/>
  <c r="BQ623" i="1"/>
  <c r="BQ624" i="1"/>
  <c r="BQ625" i="1"/>
  <c r="BQ626" i="1"/>
  <c r="BQ627" i="1"/>
  <c r="BQ628" i="1"/>
  <c r="BQ629" i="1"/>
  <c r="BQ630" i="1"/>
  <c r="BQ631" i="1"/>
  <c r="BQ632" i="1"/>
  <c r="BQ633" i="1"/>
  <c r="BQ634" i="1"/>
  <c r="BQ635" i="1"/>
  <c r="BQ636" i="1"/>
  <c r="BQ637" i="1"/>
  <c r="BQ638" i="1"/>
  <c r="BQ639" i="1"/>
  <c r="BQ640" i="1"/>
  <c r="BQ641" i="1"/>
  <c r="BQ642" i="1"/>
  <c r="BQ643" i="1"/>
  <c r="BQ644" i="1"/>
  <c r="BQ645" i="1"/>
  <c r="BQ646" i="1"/>
  <c r="BQ647" i="1"/>
  <c r="BQ648" i="1"/>
  <c r="BQ649" i="1"/>
  <c r="BQ650" i="1"/>
  <c r="BQ651" i="1"/>
  <c r="BQ652" i="1"/>
  <c r="BQ653" i="1"/>
  <c r="BQ654" i="1"/>
  <c r="BQ655" i="1"/>
  <c r="BQ656" i="1"/>
  <c r="BQ657" i="1"/>
  <c r="BQ658" i="1"/>
  <c r="BQ659" i="1"/>
  <c r="BQ660" i="1"/>
  <c r="BQ661" i="1"/>
  <c r="BQ662" i="1"/>
  <c r="BQ663" i="1"/>
  <c r="BQ664" i="1"/>
  <c r="BQ665" i="1"/>
  <c r="BQ666" i="1"/>
  <c r="BQ667" i="1"/>
  <c r="BQ668" i="1"/>
  <c r="BQ669" i="1"/>
  <c r="BQ670" i="1"/>
  <c r="BQ671" i="1"/>
  <c r="BQ672" i="1"/>
  <c r="BQ673" i="1"/>
  <c r="BQ674" i="1"/>
  <c r="BQ675" i="1"/>
  <c r="BQ676" i="1"/>
  <c r="BQ677" i="1"/>
  <c r="BQ678" i="1"/>
  <c r="BQ679" i="1"/>
  <c r="BQ680" i="1"/>
  <c r="BQ681" i="1"/>
  <c r="BQ682" i="1"/>
  <c r="BQ683" i="1"/>
  <c r="BQ684" i="1"/>
  <c r="BQ685" i="1"/>
  <c r="BQ686" i="1"/>
  <c r="BQ687" i="1"/>
  <c r="BQ688" i="1"/>
  <c r="BQ689" i="1"/>
  <c r="BQ690" i="1"/>
  <c r="BQ691" i="1"/>
  <c r="BQ692" i="1"/>
  <c r="BQ693" i="1"/>
  <c r="BQ694" i="1"/>
  <c r="BQ695" i="1"/>
  <c r="BQ696" i="1"/>
  <c r="BQ697" i="1"/>
  <c r="BQ698" i="1"/>
  <c r="BQ699" i="1"/>
  <c r="BQ700" i="1"/>
  <c r="BQ701" i="1"/>
  <c r="BQ702" i="1"/>
  <c r="BQ703" i="1"/>
  <c r="BQ704" i="1"/>
  <c r="BQ705" i="1"/>
  <c r="BQ706" i="1"/>
  <c r="BQ707" i="1"/>
  <c r="BQ708" i="1"/>
  <c r="BQ709" i="1"/>
  <c r="BQ710" i="1"/>
  <c r="BQ711" i="1"/>
  <c r="BQ712" i="1"/>
  <c r="BQ713" i="1"/>
  <c r="BQ714" i="1"/>
  <c r="BQ715" i="1"/>
  <c r="BQ716" i="1"/>
  <c r="BQ717" i="1"/>
  <c r="BQ718" i="1"/>
  <c r="BQ719" i="1"/>
  <c r="BQ720" i="1"/>
  <c r="BQ721" i="1"/>
  <c r="BQ722" i="1"/>
  <c r="BQ723" i="1"/>
  <c r="BQ724" i="1"/>
  <c r="BQ725" i="1"/>
  <c r="BQ726" i="1"/>
  <c r="BQ727" i="1"/>
  <c r="BQ728" i="1"/>
  <c r="BQ729" i="1"/>
  <c r="BQ730" i="1"/>
  <c r="BQ731" i="1"/>
  <c r="BQ732" i="1"/>
  <c r="BQ733" i="1"/>
  <c r="BQ734" i="1"/>
  <c r="BQ735" i="1"/>
  <c r="BQ736" i="1"/>
  <c r="BQ737" i="1"/>
  <c r="BQ738" i="1"/>
  <c r="BQ739" i="1"/>
  <c r="BQ740" i="1"/>
  <c r="BQ741" i="1"/>
  <c r="BQ742" i="1"/>
  <c r="BQ743" i="1"/>
  <c r="BQ744" i="1"/>
  <c r="BQ745" i="1"/>
  <c r="BQ746" i="1"/>
  <c r="BQ747" i="1"/>
  <c r="BQ748" i="1"/>
  <c r="BQ749" i="1"/>
  <c r="BQ750" i="1"/>
  <c r="BQ751" i="1"/>
  <c r="BQ752" i="1"/>
  <c r="BQ753" i="1"/>
  <c r="BQ754" i="1"/>
  <c r="BQ755" i="1"/>
  <c r="BQ756" i="1"/>
  <c r="BQ757" i="1"/>
  <c r="BQ758" i="1"/>
  <c r="BQ759" i="1"/>
  <c r="BQ760" i="1"/>
  <c r="BQ761" i="1"/>
  <c r="BQ762" i="1"/>
  <c r="BQ763" i="1"/>
  <c r="BQ764" i="1"/>
  <c r="BQ765" i="1"/>
  <c r="BQ766" i="1"/>
  <c r="BQ767" i="1"/>
  <c r="BQ768" i="1"/>
  <c r="BQ769" i="1"/>
  <c r="BQ770" i="1"/>
  <c r="BQ771" i="1"/>
  <c r="BQ772" i="1"/>
  <c r="BQ773" i="1"/>
  <c r="BQ774" i="1"/>
  <c r="BQ775" i="1"/>
  <c r="BQ776" i="1"/>
  <c r="BQ777" i="1"/>
  <c r="BQ778" i="1"/>
  <c r="BQ779" i="1"/>
  <c r="BQ780" i="1"/>
  <c r="BQ781" i="1"/>
  <c r="BQ782" i="1"/>
  <c r="BQ783" i="1"/>
  <c r="BQ784" i="1"/>
  <c r="BQ785" i="1"/>
  <c r="BQ786" i="1"/>
  <c r="BQ787" i="1"/>
  <c r="BQ788" i="1"/>
  <c r="BQ789" i="1"/>
  <c r="BQ790" i="1"/>
  <c r="BQ791" i="1"/>
  <c r="BQ792" i="1"/>
  <c r="BQ793" i="1"/>
  <c r="BQ794" i="1"/>
  <c r="BQ795" i="1"/>
  <c r="BQ796" i="1"/>
  <c r="BQ797" i="1"/>
  <c r="BQ798" i="1"/>
  <c r="BQ799" i="1"/>
  <c r="BQ800" i="1"/>
  <c r="BQ801" i="1"/>
  <c r="BQ802" i="1"/>
  <c r="BQ803" i="1"/>
  <c r="BQ804" i="1"/>
  <c r="BQ805" i="1"/>
  <c r="BQ806" i="1"/>
  <c r="BQ807" i="1"/>
  <c r="BQ808" i="1"/>
  <c r="BQ809" i="1"/>
  <c r="BQ810" i="1"/>
  <c r="BQ811" i="1"/>
  <c r="BQ812" i="1"/>
  <c r="BQ813" i="1"/>
  <c r="BQ814" i="1"/>
  <c r="BQ815" i="1"/>
  <c r="BQ816" i="1"/>
  <c r="BQ817" i="1"/>
  <c r="BQ818" i="1"/>
  <c r="BQ819" i="1"/>
  <c r="BQ820" i="1"/>
  <c r="BQ821" i="1"/>
  <c r="BQ822" i="1"/>
  <c r="BQ823" i="1"/>
  <c r="BQ824" i="1"/>
  <c r="BQ825" i="1"/>
  <c r="BQ826" i="1"/>
  <c r="BQ827" i="1"/>
  <c r="BQ828" i="1"/>
  <c r="BQ829" i="1"/>
  <c r="BQ830" i="1"/>
  <c r="BQ831" i="1"/>
  <c r="BQ832" i="1"/>
  <c r="BQ833" i="1"/>
  <c r="BQ834" i="1"/>
  <c r="BQ835" i="1"/>
  <c r="BQ836" i="1"/>
  <c r="BQ837" i="1"/>
  <c r="BQ838" i="1"/>
  <c r="BQ839" i="1"/>
  <c r="BQ840" i="1"/>
  <c r="BQ841" i="1"/>
  <c r="BQ842" i="1"/>
  <c r="BQ843" i="1"/>
  <c r="BQ844" i="1"/>
  <c r="BQ845" i="1"/>
  <c r="BQ846" i="1"/>
  <c r="BQ847" i="1"/>
  <c r="BQ848" i="1"/>
  <c r="BQ849" i="1"/>
  <c r="BQ850" i="1"/>
  <c r="BQ851" i="1"/>
  <c r="BQ852" i="1"/>
  <c r="BQ853" i="1"/>
  <c r="BQ854" i="1"/>
  <c r="BQ855" i="1"/>
  <c r="BQ856" i="1"/>
  <c r="BQ857" i="1"/>
  <c r="BQ858" i="1"/>
  <c r="BQ859" i="1"/>
  <c r="BQ860" i="1"/>
  <c r="BQ861" i="1"/>
  <c r="BQ862" i="1"/>
  <c r="BQ863" i="1"/>
  <c r="BQ864" i="1"/>
  <c r="BQ865" i="1"/>
  <c r="BQ866" i="1"/>
  <c r="BQ867" i="1"/>
  <c r="BQ868" i="1"/>
  <c r="BQ869" i="1"/>
  <c r="BQ870" i="1"/>
  <c r="BQ871" i="1"/>
  <c r="BQ872" i="1"/>
  <c r="BQ873" i="1"/>
  <c r="BQ874" i="1"/>
  <c r="BQ875" i="1"/>
  <c r="BQ876" i="1"/>
  <c r="BQ877" i="1"/>
  <c r="BQ878" i="1"/>
  <c r="BQ879" i="1"/>
  <c r="BQ880" i="1"/>
  <c r="BQ881" i="1"/>
  <c r="BQ882" i="1"/>
  <c r="BQ883" i="1"/>
  <c r="BQ884" i="1"/>
  <c r="BQ885" i="1"/>
  <c r="BQ886" i="1"/>
  <c r="BQ887" i="1"/>
  <c r="BQ888" i="1"/>
  <c r="BQ889" i="1"/>
  <c r="BQ890" i="1"/>
  <c r="BQ891" i="1"/>
  <c r="BQ892" i="1"/>
  <c r="BQ893" i="1"/>
  <c r="BQ894" i="1"/>
  <c r="BQ895" i="1"/>
  <c r="BQ896" i="1"/>
  <c r="BQ897" i="1"/>
  <c r="BQ898" i="1"/>
  <c r="BQ899" i="1"/>
  <c r="BQ900" i="1"/>
  <c r="BQ901" i="1"/>
  <c r="BQ902" i="1"/>
  <c r="BQ903" i="1"/>
  <c r="BQ904" i="1"/>
  <c r="BQ905" i="1"/>
  <c r="BQ906" i="1"/>
  <c r="BQ907" i="1"/>
  <c r="BQ908" i="1"/>
  <c r="BQ909" i="1"/>
  <c r="BQ910" i="1"/>
  <c r="BQ911" i="1"/>
  <c r="BQ912" i="1"/>
  <c r="BQ913" i="1"/>
  <c r="BQ914" i="1"/>
  <c r="BQ915" i="1"/>
  <c r="BQ916" i="1"/>
  <c r="BQ917" i="1"/>
  <c r="BQ918" i="1"/>
  <c r="BQ919" i="1"/>
  <c r="BQ920" i="1"/>
  <c r="BQ921" i="1"/>
  <c r="BQ922" i="1"/>
  <c r="BQ923" i="1"/>
  <c r="BQ924" i="1"/>
  <c r="BQ925" i="1"/>
  <c r="BQ926" i="1"/>
  <c r="BQ927" i="1"/>
  <c r="BQ928" i="1"/>
  <c r="BQ929" i="1"/>
  <c r="BQ930" i="1"/>
  <c r="BQ931" i="1"/>
  <c r="BQ932" i="1"/>
  <c r="BQ933" i="1"/>
  <c r="BQ934" i="1"/>
  <c r="BQ935" i="1"/>
  <c r="BQ936" i="1"/>
  <c r="BQ937" i="1"/>
  <c r="BQ938" i="1"/>
  <c r="BQ939" i="1"/>
  <c r="BQ940" i="1"/>
  <c r="BQ941" i="1"/>
  <c r="BQ942" i="1"/>
  <c r="BQ943" i="1"/>
  <c r="BQ944" i="1"/>
  <c r="BQ945" i="1"/>
  <c r="BQ946" i="1"/>
  <c r="BQ947" i="1"/>
  <c r="BQ948" i="1"/>
  <c r="BQ949" i="1"/>
  <c r="BQ950" i="1"/>
  <c r="BQ951" i="1"/>
  <c r="BQ952" i="1"/>
  <c r="BQ953" i="1"/>
  <c r="BQ954" i="1"/>
  <c r="BQ955" i="1"/>
  <c r="BQ956" i="1"/>
  <c r="BQ957" i="1"/>
  <c r="BQ958" i="1"/>
  <c r="BQ959" i="1"/>
  <c r="BQ960" i="1"/>
  <c r="BQ961" i="1"/>
  <c r="BQ962" i="1"/>
  <c r="BQ963" i="1"/>
  <c r="BQ964" i="1"/>
  <c r="BQ965" i="1"/>
  <c r="BQ966" i="1"/>
  <c r="BQ967" i="1"/>
  <c r="BQ968" i="1"/>
  <c r="BQ969" i="1"/>
  <c r="BQ970" i="1"/>
  <c r="BQ971" i="1"/>
  <c r="BQ972" i="1"/>
  <c r="BQ973" i="1"/>
  <c r="BQ974" i="1"/>
  <c r="BQ975" i="1"/>
  <c r="BQ976" i="1"/>
  <c r="BQ977" i="1"/>
  <c r="BQ978" i="1"/>
  <c r="BQ979" i="1"/>
  <c r="BQ980" i="1"/>
  <c r="BQ981" i="1"/>
  <c r="BQ982" i="1"/>
  <c r="BQ983" i="1"/>
  <c r="BQ984" i="1"/>
  <c r="BQ985" i="1"/>
  <c r="BQ986" i="1"/>
  <c r="BQ987" i="1"/>
  <c r="BQ988" i="1"/>
  <c r="BQ989" i="1"/>
  <c r="BQ990" i="1"/>
  <c r="BQ991" i="1"/>
  <c r="BQ992" i="1"/>
  <c r="BQ993" i="1"/>
  <c r="BQ994" i="1"/>
  <c r="BQ995" i="1"/>
  <c r="BQ996" i="1"/>
  <c r="BQ997" i="1"/>
  <c r="BQ998" i="1"/>
  <c r="BQ999" i="1"/>
  <c r="BQ1000" i="1"/>
  <c r="BQ1001" i="1"/>
  <c r="BQ1002" i="1"/>
  <c r="BQ1003" i="1"/>
  <c r="BQ1004" i="1"/>
  <c r="BQ1005" i="1"/>
  <c r="BQ1006" i="1"/>
  <c r="BQ1007" i="1"/>
  <c r="BQ1008" i="1"/>
  <c r="BQ1009" i="1"/>
  <c r="BQ1010" i="1"/>
  <c r="BQ1011" i="1"/>
  <c r="BQ1012" i="1"/>
  <c r="BQ1013" i="1"/>
  <c r="BQ1014" i="1"/>
  <c r="BQ1015" i="1"/>
  <c r="BQ1016" i="1"/>
  <c r="BQ1017" i="1"/>
  <c r="BQ1018" i="1"/>
  <c r="BQ1019" i="1"/>
  <c r="BQ1020" i="1"/>
  <c r="BQ1021" i="1"/>
  <c r="BQ1022" i="1"/>
  <c r="BQ1023" i="1"/>
  <c r="BQ1024" i="1"/>
  <c r="BQ1025" i="1"/>
  <c r="BQ1026" i="1"/>
  <c r="BQ1027" i="1"/>
  <c r="BQ1028" i="1"/>
  <c r="BQ1029" i="1"/>
  <c r="BQ1030" i="1"/>
  <c r="BQ1031" i="1"/>
  <c r="BQ1032" i="1"/>
  <c r="BQ1033" i="1"/>
  <c r="BQ1034" i="1"/>
  <c r="BQ1035" i="1"/>
  <c r="BQ1036" i="1"/>
  <c r="BQ1037" i="1"/>
  <c r="BQ1038" i="1"/>
  <c r="BQ1039" i="1"/>
  <c r="BQ1040" i="1"/>
  <c r="BQ1041" i="1"/>
  <c r="BQ1042" i="1"/>
  <c r="BQ1043" i="1"/>
  <c r="BQ1044" i="1"/>
  <c r="BQ1045" i="1"/>
  <c r="BQ1046" i="1"/>
  <c r="BQ1047" i="1"/>
  <c r="BQ1048" i="1"/>
  <c r="BQ1049" i="1"/>
  <c r="BQ1050" i="1"/>
  <c r="BQ1051" i="1"/>
  <c r="BQ1052" i="1"/>
  <c r="BQ1053" i="1"/>
  <c r="BQ1054" i="1"/>
  <c r="BQ1055" i="1"/>
  <c r="BQ1056" i="1"/>
  <c r="BQ1057" i="1"/>
  <c r="BQ1058" i="1"/>
  <c r="BQ1059" i="1"/>
  <c r="BQ1060" i="1"/>
  <c r="BQ1061" i="1"/>
  <c r="BQ1062" i="1"/>
  <c r="BQ1063" i="1"/>
  <c r="BQ1064" i="1"/>
  <c r="BQ1065" i="1"/>
  <c r="BQ1066" i="1"/>
  <c r="BQ1067" i="1"/>
  <c r="BQ1068" i="1"/>
  <c r="BQ1069" i="1"/>
  <c r="BQ1070" i="1"/>
  <c r="BQ1071" i="1"/>
  <c r="BQ1072" i="1"/>
  <c r="BQ1073" i="1"/>
  <c r="BQ1074" i="1"/>
  <c r="BQ1075" i="1"/>
  <c r="BQ1076" i="1"/>
  <c r="BQ1077" i="1"/>
  <c r="BQ1078" i="1"/>
  <c r="BQ1079" i="1"/>
  <c r="BQ1080" i="1"/>
  <c r="BQ1081" i="1"/>
  <c r="BQ1082" i="1"/>
  <c r="BQ1083" i="1"/>
  <c r="BQ1084" i="1"/>
  <c r="BQ1085" i="1"/>
  <c r="BQ1086" i="1"/>
  <c r="BQ1087" i="1"/>
  <c r="BQ1088" i="1"/>
  <c r="BQ1089" i="1"/>
  <c r="BQ1090" i="1"/>
  <c r="BQ1091" i="1"/>
  <c r="BQ1092" i="1"/>
  <c r="BQ1093" i="1"/>
  <c r="BQ1094" i="1"/>
  <c r="BQ1095" i="1"/>
  <c r="BQ1096" i="1"/>
  <c r="BQ1097" i="1"/>
  <c r="BQ1098" i="1"/>
  <c r="BQ1099" i="1"/>
  <c r="BQ1100" i="1"/>
  <c r="BQ1101" i="1"/>
  <c r="BQ1102" i="1"/>
  <c r="BQ1103" i="1"/>
  <c r="BQ1104" i="1"/>
  <c r="BQ1105" i="1"/>
  <c r="BQ1106" i="1"/>
  <c r="BQ1107" i="1"/>
  <c r="BQ1108" i="1"/>
  <c r="BQ1109" i="1"/>
  <c r="BQ1110" i="1"/>
  <c r="BQ1111" i="1"/>
  <c r="BQ1112" i="1"/>
  <c r="BQ1113" i="1"/>
  <c r="BQ1114" i="1"/>
  <c r="BQ1115" i="1"/>
  <c r="BQ1116" i="1"/>
  <c r="BQ1117" i="1"/>
  <c r="BQ1118" i="1"/>
  <c r="BQ1119" i="1"/>
  <c r="BQ1120" i="1"/>
  <c r="BQ1121" i="1"/>
  <c r="BQ1122" i="1"/>
  <c r="BQ1123" i="1"/>
  <c r="BQ1124" i="1"/>
  <c r="BQ1125" i="1"/>
  <c r="BQ1126" i="1"/>
  <c r="BQ1127" i="1"/>
  <c r="BQ1128" i="1"/>
  <c r="BQ1129" i="1"/>
  <c r="BQ1130" i="1"/>
  <c r="BQ1131" i="1"/>
  <c r="BQ1132" i="1"/>
  <c r="BQ1133" i="1"/>
  <c r="BQ1134" i="1"/>
  <c r="BQ1135" i="1"/>
  <c r="BQ1136" i="1"/>
  <c r="BQ1137" i="1"/>
  <c r="BQ1138" i="1"/>
  <c r="BQ1139" i="1"/>
  <c r="BQ1140" i="1"/>
  <c r="BQ1141" i="1"/>
  <c r="BQ1142" i="1"/>
  <c r="BQ1143" i="1"/>
  <c r="BQ1144" i="1"/>
  <c r="BQ1145" i="1"/>
  <c r="BQ1146" i="1"/>
  <c r="BQ1147" i="1"/>
  <c r="BQ1148" i="1"/>
  <c r="BQ1149" i="1"/>
  <c r="BQ1150" i="1"/>
  <c r="BQ1151" i="1"/>
  <c r="BQ1152" i="1"/>
  <c r="BQ1153" i="1"/>
  <c r="BQ1154" i="1"/>
  <c r="BQ1155" i="1"/>
  <c r="BQ1156" i="1"/>
  <c r="BQ1157" i="1"/>
  <c r="BQ1158" i="1"/>
  <c r="BQ1159" i="1"/>
  <c r="BQ1160" i="1"/>
  <c r="BQ1161" i="1"/>
  <c r="BQ1162" i="1"/>
  <c r="BQ1163" i="1"/>
  <c r="BQ1164" i="1"/>
  <c r="BQ1165" i="1"/>
  <c r="BQ1166" i="1"/>
  <c r="BQ1167" i="1"/>
  <c r="BQ1168" i="1"/>
  <c r="BQ1169" i="1"/>
  <c r="BQ1170" i="1"/>
  <c r="BQ1171" i="1"/>
  <c r="BQ1172" i="1"/>
  <c r="BQ1173" i="1"/>
  <c r="BQ1174" i="1"/>
  <c r="BQ1175" i="1"/>
  <c r="BQ1176" i="1"/>
  <c r="BQ1177" i="1"/>
  <c r="BQ1178" i="1"/>
  <c r="BQ1179" i="1"/>
  <c r="BQ1180" i="1"/>
  <c r="BQ1181" i="1"/>
  <c r="BQ1182" i="1"/>
  <c r="BQ1183" i="1"/>
  <c r="BQ1184" i="1"/>
  <c r="BQ1185" i="1"/>
  <c r="BQ1186" i="1"/>
  <c r="BQ1187" i="1"/>
  <c r="BQ1188" i="1"/>
  <c r="BQ1189" i="1"/>
  <c r="BQ1190" i="1"/>
  <c r="BQ1191" i="1"/>
  <c r="BQ1192" i="1"/>
  <c r="BQ1193" i="1"/>
  <c r="BQ1194" i="1"/>
  <c r="BQ1195" i="1"/>
  <c r="BQ1196" i="1"/>
  <c r="BQ1197" i="1"/>
  <c r="BQ1198" i="1"/>
  <c r="BQ1199" i="1"/>
  <c r="BQ1200" i="1"/>
  <c r="BQ1201" i="1"/>
  <c r="BQ1202" i="1"/>
  <c r="BQ1203" i="1"/>
  <c r="BQ1204" i="1"/>
  <c r="BQ1205" i="1"/>
  <c r="BQ1206" i="1"/>
  <c r="BQ1207" i="1"/>
  <c r="BQ1208" i="1"/>
  <c r="BQ1209" i="1"/>
  <c r="BQ1210" i="1"/>
  <c r="BQ1211" i="1"/>
  <c r="BQ1212" i="1"/>
  <c r="BQ1213" i="1"/>
  <c r="BQ1214" i="1"/>
  <c r="BQ1215" i="1"/>
  <c r="BQ1216" i="1"/>
  <c r="BQ1217" i="1"/>
  <c r="BQ1218" i="1"/>
  <c r="BQ1219" i="1"/>
  <c r="BQ1220" i="1"/>
  <c r="BQ1221" i="1"/>
  <c r="BQ1222" i="1"/>
  <c r="BQ1223" i="1"/>
  <c r="BQ1224" i="1"/>
  <c r="BQ1225" i="1"/>
  <c r="BQ1226" i="1"/>
  <c r="BQ1227" i="1"/>
  <c r="BQ1228" i="1"/>
  <c r="BQ1229" i="1"/>
  <c r="BQ1230" i="1"/>
  <c r="BQ1231" i="1"/>
  <c r="BQ1232" i="1"/>
  <c r="BQ1233" i="1"/>
  <c r="BQ1234" i="1"/>
  <c r="BQ1235" i="1"/>
  <c r="BQ1236" i="1"/>
  <c r="BQ1237" i="1"/>
  <c r="BQ1238" i="1"/>
  <c r="BQ1239" i="1"/>
  <c r="BQ1240" i="1"/>
  <c r="BQ1241" i="1"/>
  <c r="BQ1242" i="1"/>
  <c r="BQ1243" i="1"/>
  <c r="BQ1244" i="1"/>
  <c r="BQ1245" i="1"/>
  <c r="BQ1246" i="1"/>
  <c r="BQ1247" i="1"/>
  <c r="BQ1248" i="1"/>
  <c r="BQ1249" i="1"/>
  <c r="BQ1250" i="1"/>
  <c r="BQ1251" i="1"/>
  <c r="BQ1252" i="1"/>
  <c r="BQ1253" i="1"/>
  <c r="BQ1254" i="1"/>
  <c r="BQ1255" i="1"/>
  <c r="BQ1256" i="1"/>
  <c r="BQ1257" i="1"/>
  <c r="BQ1258" i="1"/>
  <c r="BQ1259" i="1"/>
  <c r="BQ1260" i="1"/>
  <c r="BQ1261" i="1"/>
  <c r="BQ1262" i="1"/>
  <c r="BQ1263" i="1"/>
  <c r="BQ1264" i="1"/>
  <c r="BQ1265" i="1"/>
  <c r="BQ1266" i="1"/>
  <c r="BQ1267" i="1"/>
  <c r="BQ1268" i="1"/>
  <c r="BQ1269" i="1"/>
  <c r="BQ1270" i="1"/>
  <c r="BQ1271" i="1"/>
  <c r="BQ1272" i="1"/>
  <c r="BQ1273" i="1"/>
  <c r="BQ1274" i="1"/>
  <c r="BQ1275" i="1"/>
  <c r="BQ1276" i="1"/>
  <c r="BQ1277" i="1"/>
  <c r="BQ1278" i="1"/>
  <c r="BQ1279" i="1"/>
  <c r="BQ1280" i="1"/>
  <c r="BQ1281" i="1"/>
  <c r="BQ1282" i="1"/>
  <c r="BQ1283" i="1"/>
  <c r="BQ1284" i="1"/>
  <c r="BQ1285" i="1"/>
  <c r="BQ1286" i="1"/>
  <c r="BQ1287" i="1"/>
  <c r="BQ1288" i="1"/>
  <c r="BQ1289" i="1"/>
  <c r="BQ1290" i="1"/>
  <c r="BQ1291" i="1"/>
  <c r="BQ1292" i="1"/>
  <c r="BQ1293" i="1"/>
  <c r="BQ1294" i="1"/>
  <c r="BQ1295" i="1"/>
  <c r="BQ1296" i="1"/>
  <c r="BQ1297" i="1"/>
  <c r="BQ1298" i="1"/>
  <c r="BQ1299" i="1"/>
  <c r="BQ1300" i="1"/>
  <c r="BQ1301" i="1"/>
  <c r="BQ1302" i="1"/>
  <c r="BQ1303" i="1"/>
  <c r="BQ1304" i="1"/>
  <c r="BQ1305" i="1"/>
  <c r="BQ1306" i="1"/>
  <c r="BQ1307" i="1"/>
  <c r="BQ1308" i="1"/>
  <c r="BQ1309" i="1"/>
  <c r="BQ1310" i="1"/>
  <c r="BQ1311" i="1"/>
  <c r="BQ1312" i="1"/>
  <c r="BQ1313" i="1"/>
  <c r="BQ1314" i="1"/>
  <c r="BQ1315" i="1"/>
  <c r="BQ1316" i="1"/>
  <c r="BQ1317" i="1"/>
  <c r="BQ1318" i="1"/>
  <c r="BQ1319" i="1"/>
  <c r="BQ1320" i="1"/>
  <c r="BQ1321" i="1"/>
  <c r="BQ1322" i="1"/>
  <c r="BQ1323" i="1"/>
  <c r="BQ1324" i="1"/>
  <c r="BQ1325" i="1"/>
  <c r="BQ1326" i="1"/>
  <c r="BQ1327" i="1"/>
  <c r="BQ1328" i="1"/>
  <c r="BQ1329" i="1"/>
  <c r="BQ1330" i="1"/>
  <c r="BQ1331" i="1"/>
  <c r="BQ1332" i="1"/>
  <c r="BQ1333" i="1"/>
  <c r="BQ1334" i="1"/>
  <c r="BQ1335" i="1"/>
  <c r="BQ1336" i="1"/>
  <c r="BQ1337" i="1"/>
  <c r="BQ1338" i="1"/>
  <c r="BQ1339" i="1"/>
  <c r="BQ1340" i="1"/>
  <c r="BQ1341" i="1"/>
  <c r="BQ1342" i="1"/>
  <c r="BQ1343" i="1"/>
  <c r="BQ1344" i="1"/>
  <c r="BQ1345" i="1"/>
  <c r="BQ1346" i="1"/>
  <c r="BQ1347" i="1"/>
  <c r="BQ1348" i="1"/>
  <c r="BQ1349" i="1"/>
  <c r="BQ1350" i="1"/>
  <c r="BQ1351" i="1"/>
  <c r="BQ1352" i="1"/>
  <c r="BQ1353" i="1"/>
  <c r="BQ1354" i="1"/>
  <c r="BQ1355" i="1"/>
  <c r="BQ1356" i="1"/>
  <c r="BQ1357" i="1"/>
  <c r="BQ1358" i="1"/>
  <c r="BQ1359" i="1"/>
  <c r="BQ1360" i="1"/>
  <c r="BQ1361" i="1"/>
  <c r="BQ1362" i="1"/>
  <c r="BQ1363" i="1"/>
  <c r="BQ1364" i="1"/>
  <c r="BQ1365" i="1"/>
  <c r="BQ1366" i="1"/>
  <c r="BQ1367" i="1"/>
  <c r="BQ1368" i="1"/>
  <c r="BQ1369" i="1"/>
  <c r="BQ1370" i="1"/>
  <c r="BQ1371" i="1"/>
  <c r="BQ1372" i="1"/>
  <c r="BQ1373" i="1"/>
  <c r="BQ1374" i="1"/>
  <c r="BQ1375" i="1"/>
  <c r="BQ1376" i="1"/>
  <c r="BQ1377" i="1"/>
  <c r="BQ1378" i="1"/>
  <c r="BQ1379" i="1"/>
  <c r="BQ1380" i="1"/>
  <c r="BQ1381" i="1"/>
  <c r="BQ1382" i="1"/>
  <c r="BQ1383" i="1"/>
  <c r="BQ1384" i="1"/>
  <c r="BK148" i="1"/>
  <c r="BK164" i="1"/>
  <c r="BK180" i="1"/>
  <c r="BK196" i="1"/>
  <c r="BK212" i="1"/>
  <c r="BK228" i="1"/>
  <c r="BK244" i="1"/>
  <c r="BK149" i="1"/>
  <c r="BK165" i="1"/>
  <c r="BK181" i="1"/>
  <c r="BK197" i="1"/>
  <c r="BK213" i="1"/>
  <c r="BK229" i="1"/>
  <c r="BK135" i="1"/>
  <c r="BK151" i="1"/>
  <c r="BK167" i="1"/>
  <c r="BK183" i="1"/>
  <c r="BK199" i="1"/>
  <c r="BK215" i="1"/>
  <c r="BK231" i="1"/>
  <c r="BK139" i="1"/>
  <c r="BK155" i="1"/>
  <c r="BK171" i="1"/>
  <c r="BK187" i="1"/>
  <c r="BK203" i="1"/>
  <c r="BK219" i="1"/>
  <c r="BK235" i="1"/>
  <c r="BK146" i="1"/>
  <c r="BK162" i="1"/>
  <c r="BK178" i="1"/>
  <c r="BK194" i="1"/>
  <c r="BK210" i="1"/>
  <c r="BK226" i="1"/>
  <c r="BK242" i="1"/>
  <c r="BK157" i="1"/>
  <c r="BK179" i="1"/>
  <c r="BK204" i="1"/>
  <c r="BK225" i="1"/>
  <c r="BK248" i="1"/>
  <c r="BK264" i="1"/>
  <c r="BK280" i="1"/>
  <c r="BK296" i="1"/>
  <c r="BK312" i="1"/>
  <c r="BK328" i="1"/>
  <c r="BK344" i="1"/>
  <c r="BK360" i="1"/>
  <c r="BK376" i="1"/>
  <c r="BK392" i="1"/>
  <c r="BK408" i="1"/>
  <c r="BK424" i="1"/>
  <c r="BK440" i="1"/>
  <c r="BK456" i="1"/>
  <c r="BK472" i="1"/>
  <c r="BK488" i="1"/>
  <c r="BK504" i="1"/>
  <c r="BK520" i="1"/>
  <c r="BK536" i="1"/>
  <c r="BK552" i="1"/>
  <c r="BK568" i="1"/>
  <c r="BK584" i="1"/>
  <c r="BK600" i="1"/>
  <c r="BK616" i="1"/>
  <c r="BK632" i="1"/>
  <c r="BK648" i="1"/>
  <c r="BK664" i="1"/>
  <c r="BK680" i="1"/>
  <c r="BK136" i="1"/>
  <c r="BK158" i="1"/>
  <c r="BK182" i="1"/>
  <c r="BK205" i="1"/>
  <c r="BK227" i="1"/>
  <c r="BK249" i="1"/>
  <c r="BK265" i="1"/>
  <c r="BK281" i="1"/>
  <c r="BK297" i="1"/>
  <c r="BK313" i="1"/>
  <c r="BK329" i="1"/>
  <c r="BK345" i="1"/>
  <c r="BK361" i="1"/>
  <c r="BK377" i="1"/>
  <c r="BK393" i="1"/>
  <c r="BK409" i="1"/>
  <c r="BK425" i="1"/>
  <c r="BK441" i="1"/>
  <c r="BK457" i="1"/>
  <c r="BK473" i="1"/>
  <c r="BK489" i="1"/>
  <c r="BK505" i="1"/>
  <c r="BK521" i="1"/>
  <c r="BK137" i="1"/>
  <c r="BK159" i="1"/>
  <c r="BK184" i="1"/>
  <c r="BK206" i="1"/>
  <c r="BK230" i="1"/>
  <c r="BK250" i="1"/>
  <c r="BK266" i="1"/>
  <c r="BK282" i="1"/>
  <c r="BK298" i="1"/>
  <c r="BK314" i="1"/>
  <c r="BK330" i="1"/>
  <c r="BK346" i="1"/>
  <c r="BK362" i="1"/>
  <c r="BK378" i="1"/>
  <c r="BK394" i="1"/>
  <c r="BK410" i="1"/>
  <c r="BK426" i="1"/>
  <c r="BK442" i="1"/>
  <c r="BK458" i="1"/>
  <c r="BK474" i="1"/>
  <c r="BK490" i="1"/>
  <c r="BK506" i="1"/>
  <c r="BK522" i="1"/>
  <c r="BK138" i="1"/>
  <c r="BK160" i="1"/>
  <c r="BK185" i="1"/>
  <c r="BK207" i="1"/>
  <c r="BK232" i="1"/>
  <c r="BK251" i="1"/>
  <c r="BK267" i="1"/>
  <c r="BK283" i="1"/>
  <c r="BK299" i="1"/>
  <c r="BK315" i="1"/>
  <c r="BK331" i="1"/>
  <c r="BK347" i="1"/>
  <c r="BK363" i="1"/>
  <c r="BK379" i="1"/>
  <c r="BK395" i="1"/>
  <c r="BK411" i="1"/>
  <c r="BK427" i="1"/>
  <c r="BK443" i="1"/>
  <c r="BK459" i="1"/>
  <c r="BK475" i="1"/>
  <c r="BK491" i="1"/>
  <c r="BK507" i="1"/>
  <c r="BK523" i="1"/>
  <c r="BK539" i="1"/>
  <c r="BK140" i="1"/>
  <c r="BK161" i="1"/>
  <c r="BK186" i="1"/>
  <c r="BK208" i="1"/>
  <c r="BK233" i="1"/>
  <c r="BK252" i="1"/>
  <c r="BK268" i="1"/>
  <c r="BK284" i="1"/>
  <c r="BK300" i="1"/>
  <c r="BK316" i="1"/>
  <c r="BK332" i="1"/>
  <c r="BK348" i="1"/>
  <c r="BK364" i="1"/>
  <c r="BK380" i="1"/>
  <c r="BK396" i="1"/>
  <c r="BK412" i="1"/>
  <c r="BK428" i="1"/>
  <c r="BK444" i="1"/>
  <c r="BK460" i="1"/>
  <c r="BK476" i="1"/>
  <c r="BK492" i="1"/>
  <c r="BK508" i="1"/>
  <c r="BK524" i="1"/>
  <c r="BK540" i="1"/>
  <c r="BK556" i="1"/>
  <c r="BK572" i="1"/>
  <c r="BK588" i="1"/>
  <c r="BK604" i="1"/>
  <c r="BK620" i="1"/>
  <c r="BK636" i="1"/>
  <c r="BK652" i="1"/>
  <c r="BK668" i="1"/>
  <c r="BK141" i="1"/>
  <c r="BK163" i="1"/>
  <c r="BK188" i="1"/>
  <c r="BK209" i="1"/>
  <c r="BK234" i="1"/>
  <c r="BK253" i="1"/>
  <c r="BK269" i="1"/>
  <c r="BK285" i="1"/>
  <c r="BK301" i="1"/>
  <c r="BK317" i="1"/>
  <c r="BK333" i="1"/>
  <c r="BK349" i="1"/>
  <c r="BK365" i="1"/>
  <c r="BK381" i="1"/>
  <c r="BK397" i="1"/>
  <c r="BK413" i="1"/>
  <c r="BK429" i="1"/>
  <c r="BK445" i="1"/>
  <c r="BK461" i="1"/>
  <c r="BK477" i="1"/>
  <c r="BK493" i="1"/>
  <c r="BK509" i="1"/>
  <c r="BK525" i="1"/>
  <c r="BK541" i="1"/>
  <c r="BK557" i="1"/>
  <c r="BK573" i="1"/>
  <c r="BK589" i="1"/>
  <c r="BK605" i="1"/>
  <c r="BK142" i="1"/>
  <c r="BK166" i="1"/>
  <c r="BK189" i="1"/>
  <c r="BK211" i="1"/>
  <c r="BK236" i="1"/>
  <c r="BK254" i="1"/>
  <c r="BK270" i="1"/>
  <c r="BK286" i="1"/>
  <c r="BK302" i="1"/>
  <c r="BK318" i="1"/>
  <c r="BK334" i="1"/>
  <c r="BK350" i="1"/>
  <c r="BK366" i="1"/>
  <c r="BK382" i="1"/>
  <c r="BK398" i="1"/>
  <c r="BK414" i="1"/>
  <c r="BK430" i="1"/>
  <c r="BK446" i="1"/>
  <c r="BK462" i="1"/>
  <c r="BK478" i="1"/>
  <c r="BK494" i="1"/>
  <c r="BK510" i="1"/>
  <c r="BK526" i="1"/>
  <c r="BK143" i="1"/>
  <c r="BK168" i="1"/>
  <c r="BK190" i="1"/>
  <c r="BK214" i="1"/>
  <c r="BK237" i="1"/>
  <c r="BK255" i="1"/>
  <c r="BK271" i="1"/>
  <c r="BK287" i="1"/>
  <c r="BK303" i="1"/>
  <c r="BK319" i="1"/>
  <c r="BK335" i="1"/>
  <c r="BK351" i="1"/>
  <c r="BK367" i="1"/>
  <c r="BK383" i="1"/>
  <c r="BK399" i="1"/>
  <c r="BK415" i="1"/>
  <c r="BK431" i="1"/>
  <c r="BK447" i="1"/>
  <c r="BK463" i="1"/>
  <c r="BK479" i="1"/>
  <c r="BK495" i="1"/>
  <c r="BK511" i="1"/>
  <c r="BK527" i="1"/>
  <c r="BK144" i="1"/>
  <c r="BK169" i="1"/>
  <c r="BK191" i="1"/>
  <c r="BK216" i="1"/>
  <c r="BK238" i="1"/>
  <c r="BK256" i="1"/>
  <c r="BK272" i="1"/>
  <c r="BK288" i="1"/>
  <c r="BK304" i="1"/>
  <c r="BK320" i="1"/>
  <c r="BK336" i="1"/>
  <c r="BK352" i="1"/>
  <c r="BK368" i="1"/>
  <c r="BK384" i="1"/>
  <c r="BK400" i="1"/>
  <c r="BK416" i="1"/>
  <c r="BK432" i="1"/>
  <c r="BK448" i="1"/>
  <c r="BK464" i="1"/>
  <c r="BK480" i="1"/>
  <c r="BK145" i="1"/>
  <c r="BK170" i="1"/>
  <c r="BK192" i="1"/>
  <c r="BK217" i="1"/>
  <c r="BK239" i="1"/>
  <c r="BK257" i="1"/>
  <c r="BK273" i="1"/>
  <c r="BK289" i="1"/>
  <c r="BK305" i="1"/>
  <c r="BK321" i="1"/>
  <c r="BK337" i="1"/>
  <c r="BK353" i="1"/>
  <c r="BK369" i="1"/>
  <c r="BK385" i="1"/>
  <c r="BK401" i="1"/>
  <c r="BK417" i="1"/>
  <c r="BK433" i="1"/>
  <c r="BK449" i="1"/>
  <c r="BK465" i="1"/>
  <c r="BK481" i="1"/>
  <c r="BK497" i="1"/>
  <c r="BK513" i="1"/>
  <c r="BK529" i="1"/>
  <c r="BK545" i="1"/>
  <c r="BK147" i="1"/>
  <c r="BK172" i="1"/>
  <c r="BK193" i="1"/>
  <c r="BK218" i="1"/>
  <c r="BK240" i="1"/>
  <c r="BK258" i="1"/>
  <c r="BK274" i="1"/>
  <c r="BK290" i="1"/>
  <c r="BK306" i="1"/>
  <c r="BK322" i="1"/>
  <c r="BK338" i="1"/>
  <c r="BK354" i="1"/>
  <c r="BK370" i="1"/>
  <c r="BK386" i="1"/>
  <c r="BK402" i="1"/>
  <c r="BK418" i="1"/>
  <c r="BK434" i="1"/>
  <c r="BK450" i="1"/>
  <c r="BK466" i="1"/>
  <c r="BK482" i="1"/>
  <c r="BK152" i="1"/>
  <c r="BK174" i="1"/>
  <c r="BK198" i="1"/>
  <c r="BK221" i="1"/>
  <c r="BK243" i="1"/>
  <c r="BK260" i="1"/>
  <c r="BK276" i="1"/>
  <c r="BK292" i="1"/>
  <c r="BK308" i="1"/>
  <c r="BK324" i="1"/>
  <c r="BK340" i="1"/>
  <c r="BK356" i="1"/>
  <c r="BK372" i="1"/>
  <c r="BK388" i="1"/>
  <c r="BK404" i="1"/>
  <c r="BK420" i="1"/>
  <c r="BK436" i="1"/>
  <c r="BK452" i="1"/>
  <c r="BK468" i="1"/>
  <c r="BK484" i="1"/>
  <c r="BK500" i="1"/>
  <c r="BK516" i="1"/>
  <c r="BK532" i="1"/>
  <c r="BK548" i="1"/>
  <c r="BK201" i="1"/>
  <c r="BK278" i="1"/>
  <c r="BK342" i="1"/>
  <c r="BK406" i="1"/>
  <c r="BK470" i="1"/>
  <c r="BK518" i="1"/>
  <c r="BK550" i="1"/>
  <c r="BK570" i="1"/>
  <c r="BK591" i="1"/>
  <c r="BK610" i="1"/>
  <c r="BK628" i="1"/>
  <c r="BK646" i="1"/>
  <c r="BK665" i="1"/>
  <c r="BK683" i="1"/>
  <c r="BK699" i="1"/>
  <c r="BK715" i="1"/>
  <c r="BK731" i="1"/>
  <c r="BK747" i="1"/>
  <c r="BK763" i="1"/>
  <c r="BK779" i="1"/>
  <c r="BK795" i="1"/>
  <c r="BK811" i="1"/>
  <c r="BK827" i="1"/>
  <c r="BK843" i="1"/>
  <c r="BK859" i="1"/>
  <c r="BK875" i="1"/>
  <c r="BK891" i="1"/>
  <c r="BK907" i="1"/>
  <c r="BK923" i="1"/>
  <c r="BK939" i="1"/>
  <c r="BK955" i="1"/>
  <c r="BK971" i="1"/>
  <c r="BK987" i="1"/>
  <c r="BK1003" i="1"/>
  <c r="BK1019" i="1"/>
  <c r="BK1035" i="1"/>
  <c r="BK1051" i="1"/>
  <c r="BK1067" i="1"/>
  <c r="BK1083" i="1"/>
  <c r="BK1099" i="1"/>
  <c r="BK1115" i="1"/>
  <c r="BK1131" i="1"/>
  <c r="BK1147" i="1"/>
  <c r="BK1163" i="1"/>
  <c r="BK1179" i="1"/>
  <c r="BK1195" i="1"/>
  <c r="BK1211" i="1"/>
  <c r="BK1227" i="1"/>
  <c r="BK1243" i="1"/>
  <c r="BK1259" i="1"/>
  <c r="BK1275" i="1"/>
  <c r="BK1291" i="1"/>
  <c r="BK1307" i="1"/>
  <c r="BK1323" i="1"/>
  <c r="BK1339" i="1"/>
  <c r="BK1355" i="1"/>
  <c r="BK1371" i="1"/>
  <c r="BJ136" i="1"/>
  <c r="BJ152" i="1"/>
  <c r="BJ168" i="1"/>
  <c r="BJ184" i="1"/>
  <c r="BJ200" i="1"/>
  <c r="BJ216" i="1"/>
  <c r="BJ232" i="1"/>
  <c r="BJ248" i="1"/>
  <c r="BJ264" i="1"/>
  <c r="BJ280" i="1"/>
  <c r="BJ296" i="1"/>
  <c r="BJ312" i="1"/>
  <c r="BJ328" i="1"/>
  <c r="BJ344" i="1"/>
  <c r="BJ360" i="1"/>
  <c r="BK202" i="1"/>
  <c r="BK279" i="1"/>
  <c r="BK343" i="1"/>
  <c r="BK407" i="1"/>
  <c r="BK471" i="1"/>
  <c r="BK519" i="1"/>
  <c r="BK551" i="1"/>
  <c r="BK571" i="1"/>
  <c r="BK592" i="1"/>
  <c r="BK611" i="1"/>
  <c r="BK629" i="1"/>
  <c r="BK647" i="1"/>
  <c r="BK666" i="1"/>
  <c r="BK684" i="1"/>
  <c r="BK700" i="1"/>
  <c r="BK716" i="1"/>
  <c r="BK732" i="1"/>
  <c r="BK748" i="1"/>
  <c r="BK764" i="1"/>
  <c r="BK780" i="1"/>
  <c r="BK796" i="1"/>
  <c r="BK812" i="1"/>
  <c r="BK828" i="1"/>
  <c r="BK844" i="1"/>
  <c r="BK860" i="1"/>
  <c r="BK876" i="1"/>
  <c r="BK892" i="1"/>
  <c r="BK908" i="1"/>
  <c r="BK924" i="1"/>
  <c r="BK940" i="1"/>
  <c r="BK956" i="1"/>
  <c r="BK972" i="1"/>
  <c r="BK988" i="1"/>
  <c r="BK1004" i="1"/>
  <c r="BK1020" i="1"/>
  <c r="BK1036" i="1"/>
  <c r="BK1052" i="1"/>
  <c r="BK1068" i="1"/>
  <c r="BK1084" i="1"/>
  <c r="BK1100" i="1"/>
  <c r="BK1116" i="1"/>
  <c r="BK1132" i="1"/>
  <c r="BK1148" i="1"/>
  <c r="BK1164" i="1"/>
  <c r="BK1180" i="1"/>
  <c r="BK1196" i="1"/>
  <c r="BK1212" i="1"/>
  <c r="BK1228" i="1"/>
  <c r="BK1244" i="1"/>
  <c r="BK1260" i="1"/>
  <c r="BK1276" i="1"/>
  <c r="BK1292" i="1"/>
  <c r="BK1308" i="1"/>
  <c r="BK1324" i="1"/>
  <c r="BK1340" i="1"/>
  <c r="BK1356" i="1"/>
  <c r="BK1372" i="1"/>
  <c r="BJ137" i="1"/>
  <c r="BJ153" i="1"/>
  <c r="BJ169" i="1"/>
  <c r="BJ185" i="1"/>
  <c r="BJ201" i="1"/>
  <c r="BJ217" i="1"/>
  <c r="BJ233" i="1"/>
  <c r="BJ249" i="1"/>
  <c r="BJ265" i="1"/>
  <c r="BJ281" i="1"/>
  <c r="BJ297" i="1"/>
  <c r="BJ313" i="1"/>
  <c r="BK220" i="1"/>
  <c r="BK291" i="1"/>
  <c r="BK355" i="1"/>
  <c r="BK419" i="1"/>
  <c r="BK483" i="1"/>
  <c r="BK528" i="1"/>
  <c r="BK553" i="1"/>
  <c r="BK574" i="1"/>
  <c r="BK593" i="1"/>
  <c r="BK612" i="1"/>
  <c r="BK630" i="1"/>
  <c r="BK649" i="1"/>
  <c r="BK667" i="1"/>
  <c r="BK685" i="1"/>
  <c r="BK701" i="1"/>
  <c r="BK717" i="1"/>
  <c r="BK733" i="1"/>
  <c r="BK749" i="1"/>
  <c r="BK765" i="1"/>
  <c r="BK781" i="1"/>
  <c r="BK797" i="1"/>
  <c r="BK813" i="1"/>
  <c r="BK829" i="1"/>
  <c r="BK845" i="1"/>
  <c r="BK861" i="1"/>
  <c r="BK877" i="1"/>
  <c r="BK893" i="1"/>
  <c r="BK909" i="1"/>
  <c r="BK925" i="1"/>
  <c r="BK941" i="1"/>
  <c r="BK957" i="1"/>
  <c r="BK973" i="1"/>
  <c r="BK989" i="1"/>
  <c r="BK1005" i="1"/>
  <c r="BK1021" i="1"/>
  <c r="BK1037" i="1"/>
  <c r="BK1053" i="1"/>
  <c r="BK1069" i="1"/>
  <c r="BK1085" i="1"/>
  <c r="BK1101" i="1"/>
  <c r="BK1117" i="1"/>
  <c r="BK1133" i="1"/>
  <c r="BK1149" i="1"/>
  <c r="BK1165" i="1"/>
  <c r="BK1181" i="1"/>
  <c r="BK1197" i="1"/>
  <c r="BK1213" i="1"/>
  <c r="BK1229" i="1"/>
  <c r="BK1245" i="1"/>
  <c r="BK1261" i="1"/>
  <c r="BK1277" i="1"/>
  <c r="BK1293" i="1"/>
  <c r="BK1309" i="1"/>
  <c r="BK1325" i="1"/>
  <c r="BK1341" i="1"/>
  <c r="BK1357" i="1"/>
  <c r="BK1373" i="1"/>
  <c r="BJ138" i="1"/>
  <c r="BJ154" i="1"/>
  <c r="BK222" i="1"/>
  <c r="BK293" i="1"/>
  <c r="BK357" i="1"/>
  <c r="BK421" i="1"/>
  <c r="BK485" i="1"/>
  <c r="BK530" i="1"/>
  <c r="BK554" i="1"/>
  <c r="BK575" i="1"/>
  <c r="BK594" i="1"/>
  <c r="BK613" i="1"/>
  <c r="BK631" i="1"/>
  <c r="BK650" i="1"/>
  <c r="BK669" i="1"/>
  <c r="BK686" i="1"/>
  <c r="BK702" i="1"/>
  <c r="BK718" i="1"/>
  <c r="BK734" i="1"/>
  <c r="BK750" i="1"/>
  <c r="BK766" i="1"/>
  <c r="BK782" i="1"/>
  <c r="BK798" i="1"/>
  <c r="BK814" i="1"/>
  <c r="BK830" i="1"/>
  <c r="BK846" i="1"/>
  <c r="BK862" i="1"/>
  <c r="BK878" i="1"/>
  <c r="BK894" i="1"/>
  <c r="BK910" i="1"/>
  <c r="BK926" i="1"/>
  <c r="BK942" i="1"/>
  <c r="BK958" i="1"/>
  <c r="BK974" i="1"/>
  <c r="BK990" i="1"/>
  <c r="BK1006" i="1"/>
  <c r="BK1022" i="1"/>
  <c r="BK1038" i="1"/>
  <c r="BK1054" i="1"/>
  <c r="BK1070" i="1"/>
  <c r="BK1086" i="1"/>
  <c r="BK1102" i="1"/>
  <c r="BK1118" i="1"/>
  <c r="BK1134" i="1"/>
  <c r="BK1150" i="1"/>
  <c r="BK1166" i="1"/>
  <c r="BK1182" i="1"/>
  <c r="BK1198" i="1"/>
  <c r="BK1214" i="1"/>
  <c r="BK1230" i="1"/>
  <c r="BK1246" i="1"/>
  <c r="BK1262" i="1"/>
  <c r="BK1278" i="1"/>
  <c r="BK1294" i="1"/>
  <c r="BK1310" i="1"/>
  <c r="BK1326" i="1"/>
  <c r="BK1342" i="1"/>
  <c r="BK1358" i="1"/>
  <c r="BK1374" i="1"/>
  <c r="BJ139" i="1"/>
  <c r="BJ155" i="1"/>
  <c r="BJ171" i="1"/>
  <c r="BJ187" i="1"/>
  <c r="BJ203" i="1"/>
  <c r="BJ219" i="1"/>
  <c r="BJ235" i="1"/>
  <c r="BJ251" i="1"/>
  <c r="BJ267" i="1"/>
  <c r="BJ283" i="1"/>
  <c r="BJ299" i="1"/>
  <c r="BJ315" i="1"/>
  <c r="BJ331" i="1"/>
  <c r="BJ347" i="1"/>
  <c r="BJ363" i="1"/>
  <c r="BK223" i="1"/>
  <c r="BK294" i="1"/>
  <c r="BK358" i="1"/>
  <c r="BK422" i="1"/>
  <c r="BK486" i="1"/>
  <c r="BK531" i="1"/>
  <c r="BK555" i="1"/>
  <c r="BK576" i="1"/>
  <c r="BK595" i="1"/>
  <c r="BK614" i="1"/>
  <c r="BK633" i="1"/>
  <c r="BK651" i="1"/>
  <c r="BK670" i="1"/>
  <c r="BK687" i="1"/>
  <c r="BK703" i="1"/>
  <c r="BK719" i="1"/>
  <c r="BK735" i="1"/>
  <c r="BK751" i="1"/>
  <c r="BK767" i="1"/>
  <c r="BK783" i="1"/>
  <c r="BK799" i="1"/>
  <c r="BK815" i="1"/>
  <c r="BK831" i="1"/>
  <c r="BK847" i="1"/>
  <c r="BK863" i="1"/>
  <c r="BK879" i="1"/>
  <c r="BK895" i="1"/>
  <c r="BK911" i="1"/>
  <c r="BK927" i="1"/>
  <c r="BK943" i="1"/>
  <c r="BK959" i="1"/>
  <c r="BK975" i="1"/>
  <c r="BK991" i="1"/>
  <c r="BK1007" i="1"/>
  <c r="BK1023" i="1"/>
  <c r="BK1039" i="1"/>
  <c r="BK1055" i="1"/>
  <c r="BK1071" i="1"/>
  <c r="BK1087" i="1"/>
  <c r="BK1103" i="1"/>
  <c r="BK1119" i="1"/>
  <c r="BK1135" i="1"/>
  <c r="BK1151" i="1"/>
  <c r="BK1167" i="1"/>
  <c r="BK1183" i="1"/>
  <c r="BK1199" i="1"/>
  <c r="BK1215" i="1"/>
  <c r="BK1231" i="1"/>
  <c r="BK1247" i="1"/>
  <c r="BK1263" i="1"/>
  <c r="BK1279" i="1"/>
  <c r="BK1295" i="1"/>
  <c r="BK1311" i="1"/>
  <c r="BK1327" i="1"/>
  <c r="BK1343" i="1"/>
  <c r="BK1359" i="1"/>
  <c r="BK1375" i="1"/>
  <c r="BJ140" i="1"/>
  <c r="BJ156" i="1"/>
  <c r="BJ172" i="1"/>
  <c r="BJ188" i="1"/>
  <c r="BJ204" i="1"/>
  <c r="BJ220" i="1"/>
  <c r="BJ236" i="1"/>
  <c r="BJ252" i="1"/>
  <c r="BJ268" i="1"/>
  <c r="BJ284" i="1"/>
  <c r="BJ300" i="1"/>
  <c r="BJ316" i="1"/>
  <c r="BJ332" i="1"/>
  <c r="BJ348" i="1"/>
  <c r="BJ364" i="1"/>
  <c r="BK224" i="1"/>
  <c r="BK295" i="1"/>
  <c r="BK359" i="1"/>
  <c r="BK423" i="1"/>
  <c r="BK487" i="1"/>
  <c r="BK533" i="1"/>
  <c r="BK558" i="1"/>
  <c r="BK577" i="1"/>
  <c r="BK596" i="1"/>
  <c r="BK615" i="1"/>
  <c r="BK634" i="1"/>
  <c r="BK653" i="1"/>
  <c r="BK671" i="1"/>
  <c r="BK688" i="1"/>
  <c r="BK704" i="1"/>
  <c r="BK720" i="1"/>
  <c r="BK736" i="1"/>
  <c r="BK752" i="1"/>
  <c r="BK768" i="1"/>
  <c r="BK784" i="1"/>
  <c r="BK800" i="1"/>
  <c r="BK816" i="1"/>
  <c r="BK832" i="1"/>
  <c r="BK848" i="1"/>
  <c r="BK864" i="1"/>
  <c r="BK880" i="1"/>
  <c r="BK896" i="1"/>
  <c r="BK912" i="1"/>
  <c r="BK928" i="1"/>
  <c r="BK944" i="1"/>
  <c r="BK960" i="1"/>
  <c r="BK976" i="1"/>
  <c r="BK992" i="1"/>
  <c r="BK1008" i="1"/>
  <c r="BK1024" i="1"/>
  <c r="BK1040" i="1"/>
  <c r="BK1056" i="1"/>
  <c r="BK1072" i="1"/>
  <c r="BK1088" i="1"/>
  <c r="BK1104" i="1"/>
  <c r="BK1120" i="1"/>
  <c r="BK1136" i="1"/>
  <c r="BK1152" i="1"/>
  <c r="BK1168" i="1"/>
  <c r="BK1184" i="1"/>
  <c r="BK1200" i="1"/>
  <c r="BK1216" i="1"/>
  <c r="BK1232" i="1"/>
  <c r="BK1248" i="1"/>
  <c r="BK1264" i="1"/>
  <c r="BK1280" i="1"/>
  <c r="BK1296" i="1"/>
  <c r="BK1312" i="1"/>
  <c r="BK1328" i="1"/>
  <c r="BK1344" i="1"/>
  <c r="BK1360" i="1"/>
  <c r="BK1376" i="1"/>
  <c r="BJ141" i="1"/>
  <c r="BJ157" i="1"/>
  <c r="BJ173" i="1"/>
  <c r="BJ189" i="1"/>
  <c r="BJ205" i="1"/>
  <c r="BJ221" i="1"/>
  <c r="BK150" i="1"/>
  <c r="BK241" i="1"/>
  <c r="BK307" i="1"/>
  <c r="BK371" i="1"/>
  <c r="BK435" i="1"/>
  <c r="BK496" i="1"/>
  <c r="BK534" i="1"/>
  <c r="BK559" i="1"/>
  <c r="BK578" i="1"/>
  <c r="BK597" i="1"/>
  <c r="BK617" i="1"/>
  <c r="BK635" i="1"/>
  <c r="BK654" i="1"/>
  <c r="BK672" i="1"/>
  <c r="BK689" i="1"/>
  <c r="BK705" i="1"/>
  <c r="BK721" i="1"/>
  <c r="BK737" i="1"/>
  <c r="BK753" i="1"/>
  <c r="BK769" i="1"/>
  <c r="BK785" i="1"/>
  <c r="BK801" i="1"/>
  <c r="BK817" i="1"/>
  <c r="BK833" i="1"/>
  <c r="BK849" i="1"/>
  <c r="BK865" i="1"/>
  <c r="BK881" i="1"/>
  <c r="BK897" i="1"/>
  <c r="BK913" i="1"/>
  <c r="BK929" i="1"/>
  <c r="BK945" i="1"/>
  <c r="BK961" i="1"/>
  <c r="BK977" i="1"/>
  <c r="BK993" i="1"/>
  <c r="BK1009" i="1"/>
  <c r="BK1025" i="1"/>
  <c r="BK1041" i="1"/>
  <c r="BK1057" i="1"/>
  <c r="BK1073" i="1"/>
  <c r="BK1089" i="1"/>
  <c r="BK1105" i="1"/>
  <c r="BK1121" i="1"/>
  <c r="BK1137" i="1"/>
  <c r="BK1153" i="1"/>
  <c r="BK1169" i="1"/>
  <c r="BK1185" i="1"/>
  <c r="BK1201" i="1"/>
  <c r="BK1217" i="1"/>
  <c r="BK1233" i="1"/>
  <c r="BK1249" i="1"/>
  <c r="BK1265" i="1"/>
  <c r="BK1281" i="1"/>
  <c r="BK1297" i="1"/>
  <c r="BK1313" i="1"/>
  <c r="BK1329" i="1"/>
  <c r="BK1345" i="1"/>
  <c r="BK1361" i="1"/>
  <c r="BK1377" i="1"/>
  <c r="BJ142" i="1"/>
  <c r="BJ158" i="1"/>
  <c r="BJ174" i="1"/>
  <c r="BJ190" i="1"/>
  <c r="BJ206" i="1"/>
  <c r="BJ222" i="1"/>
  <c r="BK153" i="1"/>
  <c r="BK245" i="1"/>
  <c r="BK309" i="1"/>
  <c r="BK373" i="1"/>
  <c r="BK437" i="1"/>
  <c r="BK498" i="1"/>
  <c r="BK535" i="1"/>
  <c r="BK560" i="1"/>
  <c r="BK579" i="1"/>
  <c r="BK598" i="1"/>
  <c r="BK618" i="1"/>
  <c r="BK637" i="1"/>
  <c r="BK655" i="1"/>
  <c r="BK673" i="1"/>
  <c r="BK690" i="1"/>
  <c r="BK706" i="1"/>
  <c r="BK722" i="1"/>
  <c r="BK738" i="1"/>
  <c r="BK754" i="1"/>
  <c r="BK770" i="1"/>
  <c r="BK786" i="1"/>
  <c r="BK802" i="1"/>
  <c r="BK818" i="1"/>
  <c r="BK834" i="1"/>
  <c r="BK850" i="1"/>
  <c r="BK866" i="1"/>
  <c r="BK882" i="1"/>
  <c r="BK898" i="1"/>
  <c r="BK914" i="1"/>
  <c r="BK930" i="1"/>
  <c r="BK946" i="1"/>
  <c r="BK962" i="1"/>
  <c r="BK978" i="1"/>
  <c r="BK994" i="1"/>
  <c r="BK1010" i="1"/>
  <c r="BK1026" i="1"/>
  <c r="BK1042" i="1"/>
  <c r="BK1058" i="1"/>
  <c r="BK1074" i="1"/>
  <c r="BK1090" i="1"/>
  <c r="BK1106" i="1"/>
  <c r="BK1122" i="1"/>
  <c r="BK1138" i="1"/>
  <c r="BK1154" i="1"/>
  <c r="BK1170" i="1"/>
  <c r="BK1186" i="1"/>
  <c r="BK1202" i="1"/>
  <c r="BK1218" i="1"/>
  <c r="BK1234" i="1"/>
  <c r="BK1250" i="1"/>
  <c r="BK1266" i="1"/>
  <c r="BK1282" i="1"/>
  <c r="BK1298" i="1"/>
  <c r="BK1314" i="1"/>
  <c r="BK1330" i="1"/>
  <c r="BK1346" i="1"/>
  <c r="BK1362" i="1"/>
  <c r="BK1378" i="1"/>
  <c r="BJ143" i="1"/>
  <c r="BJ159" i="1"/>
  <c r="BK154" i="1"/>
  <c r="BK246" i="1"/>
  <c r="BK310" i="1"/>
  <c r="BK374" i="1"/>
  <c r="BK438" i="1"/>
  <c r="BK499" i="1"/>
  <c r="BK537" i="1"/>
  <c r="BK561" i="1"/>
  <c r="BK580" i="1"/>
  <c r="BK599" i="1"/>
  <c r="BK619" i="1"/>
  <c r="BK638" i="1"/>
  <c r="BK656" i="1"/>
  <c r="BK674" i="1"/>
  <c r="BK691" i="1"/>
  <c r="BK707" i="1"/>
  <c r="BK723" i="1"/>
  <c r="BK739" i="1"/>
  <c r="BK755" i="1"/>
  <c r="BK771" i="1"/>
  <c r="BK787" i="1"/>
  <c r="BK803" i="1"/>
  <c r="BK819" i="1"/>
  <c r="BK835" i="1"/>
  <c r="BK851" i="1"/>
  <c r="BK867" i="1"/>
  <c r="BK883" i="1"/>
  <c r="BK899" i="1"/>
  <c r="BK915" i="1"/>
  <c r="BK931" i="1"/>
  <c r="BK947" i="1"/>
  <c r="BK963" i="1"/>
  <c r="BK979" i="1"/>
  <c r="BK995" i="1"/>
  <c r="BK1011" i="1"/>
  <c r="BK1027" i="1"/>
  <c r="BK1043" i="1"/>
  <c r="BK1059" i="1"/>
  <c r="BK1075" i="1"/>
  <c r="BK1091" i="1"/>
  <c r="BK1107" i="1"/>
  <c r="BK1123" i="1"/>
  <c r="BK1139" i="1"/>
  <c r="BK1155" i="1"/>
  <c r="BK1171" i="1"/>
  <c r="BK1187" i="1"/>
  <c r="BK1203" i="1"/>
  <c r="BK1219" i="1"/>
  <c r="BK1235" i="1"/>
  <c r="BK1251" i="1"/>
  <c r="BK1267" i="1"/>
  <c r="BK1283" i="1"/>
  <c r="BK1299" i="1"/>
  <c r="BK1315" i="1"/>
  <c r="BK1331" i="1"/>
  <c r="BK1347" i="1"/>
  <c r="BK1363" i="1"/>
  <c r="BK1379" i="1"/>
  <c r="BJ144" i="1"/>
  <c r="BJ160" i="1"/>
  <c r="BJ176" i="1"/>
  <c r="BJ192" i="1"/>
  <c r="BJ208" i="1"/>
  <c r="BJ224" i="1"/>
  <c r="BK156" i="1"/>
  <c r="BK247" i="1"/>
  <c r="BK311" i="1"/>
  <c r="BK375" i="1"/>
  <c r="BK439" i="1"/>
  <c r="BK501" i="1"/>
  <c r="BK538" i="1"/>
  <c r="BK562" i="1"/>
  <c r="BK581" i="1"/>
  <c r="BK601" i="1"/>
  <c r="BK621" i="1"/>
  <c r="BK639" i="1"/>
  <c r="BK657" i="1"/>
  <c r="BK675" i="1"/>
  <c r="BK692" i="1"/>
  <c r="BK708" i="1"/>
  <c r="BK724" i="1"/>
  <c r="BK740" i="1"/>
  <c r="BK756" i="1"/>
  <c r="BK772" i="1"/>
  <c r="BK788" i="1"/>
  <c r="BK804" i="1"/>
  <c r="BK820" i="1"/>
  <c r="BK836" i="1"/>
  <c r="BK852" i="1"/>
  <c r="BK868" i="1"/>
  <c r="BK884" i="1"/>
  <c r="BK900" i="1"/>
  <c r="BK916" i="1"/>
  <c r="BK932" i="1"/>
  <c r="BK948" i="1"/>
  <c r="BK964" i="1"/>
  <c r="BK980" i="1"/>
  <c r="BK996" i="1"/>
  <c r="BK1012" i="1"/>
  <c r="BK1028" i="1"/>
  <c r="BK1044" i="1"/>
  <c r="BK1060" i="1"/>
  <c r="BK1076" i="1"/>
  <c r="BK1092" i="1"/>
  <c r="BK1108" i="1"/>
  <c r="BK1124" i="1"/>
  <c r="BK1140" i="1"/>
  <c r="BK1156" i="1"/>
  <c r="BK1172" i="1"/>
  <c r="BK1188" i="1"/>
  <c r="BK1204" i="1"/>
  <c r="BK1220" i="1"/>
  <c r="BK1236" i="1"/>
  <c r="BK1252" i="1"/>
  <c r="BK1268" i="1"/>
  <c r="BK1284" i="1"/>
  <c r="BK1300" i="1"/>
  <c r="BK1316" i="1"/>
  <c r="BK1332" i="1"/>
  <c r="BK1348" i="1"/>
  <c r="BK1364" i="1"/>
  <c r="BK1380" i="1"/>
  <c r="BJ145" i="1"/>
  <c r="BJ161" i="1"/>
  <c r="BJ177" i="1"/>
  <c r="BJ193" i="1"/>
  <c r="BJ209" i="1"/>
  <c r="BJ225" i="1"/>
  <c r="BK173" i="1"/>
  <c r="BK259" i="1"/>
  <c r="BK323" i="1"/>
  <c r="BK387" i="1"/>
  <c r="BK451" i="1"/>
  <c r="BK502" i="1"/>
  <c r="BK542" i="1"/>
  <c r="BK563" i="1"/>
  <c r="BK582" i="1"/>
  <c r="BK602" i="1"/>
  <c r="BK622" i="1"/>
  <c r="BK640" i="1"/>
  <c r="BK658" i="1"/>
  <c r="BK676" i="1"/>
  <c r="BK693" i="1"/>
  <c r="BK709" i="1"/>
  <c r="BK725" i="1"/>
  <c r="BK741" i="1"/>
  <c r="BK757" i="1"/>
  <c r="BK773" i="1"/>
  <c r="BK789" i="1"/>
  <c r="BK805" i="1"/>
  <c r="BK821" i="1"/>
  <c r="BK837" i="1"/>
  <c r="BK853" i="1"/>
  <c r="BK869" i="1"/>
  <c r="BK885" i="1"/>
  <c r="BK901" i="1"/>
  <c r="BK917" i="1"/>
  <c r="BK933" i="1"/>
  <c r="BK949" i="1"/>
  <c r="BK965" i="1"/>
  <c r="BK981" i="1"/>
  <c r="BK997" i="1"/>
  <c r="BK1013" i="1"/>
  <c r="BK1029" i="1"/>
  <c r="BK1045" i="1"/>
  <c r="BK1061" i="1"/>
  <c r="BK1077" i="1"/>
  <c r="BK1093" i="1"/>
  <c r="BK1109" i="1"/>
  <c r="BK1125" i="1"/>
  <c r="BK1141" i="1"/>
  <c r="BK1157" i="1"/>
  <c r="BK1173" i="1"/>
  <c r="BK1189" i="1"/>
  <c r="BK1205" i="1"/>
  <c r="BK1221" i="1"/>
  <c r="BK1237" i="1"/>
  <c r="BK1253" i="1"/>
  <c r="BK1269" i="1"/>
  <c r="BK1285" i="1"/>
  <c r="BK1301" i="1"/>
  <c r="BK1317" i="1"/>
  <c r="BK1333" i="1"/>
  <c r="BK1349" i="1"/>
  <c r="BK1365" i="1"/>
  <c r="BK1381" i="1"/>
  <c r="BJ146" i="1"/>
  <c r="BJ162" i="1"/>
  <c r="BJ178" i="1"/>
  <c r="BJ194" i="1"/>
  <c r="BJ210" i="1"/>
  <c r="BK200" i="1"/>
  <c r="BK277" i="1"/>
  <c r="BK341" i="1"/>
  <c r="BK405" i="1"/>
  <c r="BK469" i="1"/>
  <c r="BK517" i="1"/>
  <c r="BK549" i="1"/>
  <c r="BK569" i="1"/>
  <c r="BK590" i="1"/>
  <c r="BK609" i="1"/>
  <c r="BK627" i="1"/>
  <c r="BK645" i="1"/>
  <c r="BK663" i="1"/>
  <c r="BK682" i="1"/>
  <c r="BK698" i="1"/>
  <c r="BK714" i="1"/>
  <c r="BK730" i="1"/>
  <c r="BK746" i="1"/>
  <c r="BK762" i="1"/>
  <c r="BK778" i="1"/>
  <c r="BK794" i="1"/>
  <c r="BK810" i="1"/>
  <c r="BK826" i="1"/>
  <c r="BK842" i="1"/>
  <c r="BK858" i="1"/>
  <c r="BK874" i="1"/>
  <c r="BK890" i="1"/>
  <c r="BK906" i="1"/>
  <c r="BK922" i="1"/>
  <c r="BK938" i="1"/>
  <c r="BK954" i="1"/>
  <c r="BK970" i="1"/>
  <c r="BK986" i="1"/>
  <c r="BK1002" i="1"/>
  <c r="BK1018" i="1"/>
  <c r="BK1034" i="1"/>
  <c r="BK1050" i="1"/>
  <c r="BK1066" i="1"/>
  <c r="BK1082" i="1"/>
  <c r="BK1098" i="1"/>
  <c r="BK1114" i="1"/>
  <c r="BK1130" i="1"/>
  <c r="BK1146" i="1"/>
  <c r="BK1162" i="1"/>
  <c r="BK1178" i="1"/>
  <c r="BK1194" i="1"/>
  <c r="BK1210" i="1"/>
  <c r="BK1226" i="1"/>
  <c r="BK1242" i="1"/>
  <c r="BK1258" i="1"/>
  <c r="BK1274" i="1"/>
  <c r="BK1290" i="1"/>
  <c r="BK1306" i="1"/>
  <c r="BK1322" i="1"/>
  <c r="BK1338" i="1"/>
  <c r="BK1354" i="1"/>
  <c r="BK1370" i="1"/>
  <c r="BJ135" i="1"/>
  <c r="BJ151" i="1"/>
  <c r="BJ167" i="1"/>
  <c r="BJ183" i="1"/>
  <c r="BJ199" i="1"/>
  <c r="BJ215" i="1"/>
  <c r="BJ231" i="1"/>
  <c r="BJ247" i="1"/>
  <c r="BJ263" i="1"/>
  <c r="BJ279" i="1"/>
  <c r="BJ295" i="1"/>
  <c r="BJ311" i="1"/>
  <c r="BJ327" i="1"/>
  <c r="BJ343" i="1"/>
  <c r="BJ359" i="1"/>
  <c r="BK327" i="1"/>
  <c r="BK546" i="1"/>
  <c r="BK625" i="1"/>
  <c r="BK696" i="1"/>
  <c r="BK760" i="1"/>
  <c r="BK824" i="1"/>
  <c r="BK888" i="1"/>
  <c r="BK952" i="1"/>
  <c r="BK1016" i="1"/>
  <c r="BK1080" i="1"/>
  <c r="BK1144" i="1"/>
  <c r="BK1208" i="1"/>
  <c r="BK1272" i="1"/>
  <c r="BK1336" i="1"/>
  <c r="BJ149" i="1"/>
  <c r="BJ197" i="1"/>
  <c r="BJ237" i="1"/>
  <c r="BJ258" i="1"/>
  <c r="BJ282" i="1"/>
  <c r="BJ305" i="1"/>
  <c r="BJ326" i="1"/>
  <c r="BJ350" i="1"/>
  <c r="BJ370" i="1"/>
  <c r="BJ386" i="1"/>
  <c r="BJ402" i="1"/>
  <c r="BJ418" i="1"/>
  <c r="BJ434" i="1"/>
  <c r="BJ450" i="1"/>
  <c r="BJ466" i="1"/>
  <c r="BJ482" i="1"/>
  <c r="BJ498" i="1"/>
  <c r="BJ514" i="1"/>
  <c r="BJ530" i="1"/>
  <c r="BJ546" i="1"/>
  <c r="BJ562" i="1"/>
  <c r="BJ578" i="1"/>
  <c r="BJ594" i="1"/>
  <c r="BJ610" i="1"/>
  <c r="BJ626" i="1"/>
  <c r="BJ642" i="1"/>
  <c r="BJ658" i="1"/>
  <c r="BJ674" i="1"/>
  <c r="BJ690" i="1"/>
  <c r="BJ706" i="1"/>
  <c r="BJ722" i="1"/>
  <c r="BJ738" i="1"/>
  <c r="BJ754" i="1"/>
  <c r="BJ770" i="1"/>
  <c r="BJ786" i="1"/>
  <c r="BJ802" i="1"/>
  <c r="BJ818" i="1"/>
  <c r="BJ834" i="1"/>
  <c r="BJ850" i="1"/>
  <c r="BJ866" i="1"/>
  <c r="BJ882" i="1"/>
  <c r="BJ898" i="1"/>
  <c r="BJ914" i="1"/>
  <c r="BJ930" i="1"/>
  <c r="BJ946" i="1"/>
  <c r="BJ962" i="1"/>
  <c r="BJ978" i="1"/>
  <c r="BJ994" i="1"/>
  <c r="BJ1010" i="1"/>
  <c r="BJ1026" i="1"/>
  <c r="BJ1042" i="1"/>
  <c r="BJ1058" i="1"/>
  <c r="BJ1074" i="1"/>
  <c r="BJ1090" i="1"/>
  <c r="BJ1106" i="1"/>
  <c r="BJ1122" i="1"/>
  <c r="BJ1138" i="1"/>
  <c r="BJ1154" i="1"/>
  <c r="BJ1170" i="1"/>
  <c r="BJ1186" i="1"/>
  <c r="BJ1202" i="1"/>
  <c r="BJ1218" i="1"/>
  <c r="BJ1234" i="1"/>
  <c r="BJ1250" i="1"/>
  <c r="BJ1266" i="1"/>
  <c r="BJ1282" i="1"/>
  <c r="BJ1298" i="1"/>
  <c r="BJ1314" i="1"/>
  <c r="BK339" i="1"/>
  <c r="BK547" i="1"/>
  <c r="BK626" i="1"/>
  <c r="BK697" i="1"/>
  <c r="BK761" i="1"/>
  <c r="BK825" i="1"/>
  <c r="BK889" i="1"/>
  <c r="BK953" i="1"/>
  <c r="BK1017" i="1"/>
  <c r="BK1081" i="1"/>
  <c r="BK1145" i="1"/>
  <c r="BK1209" i="1"/>
  <c r="BK1273" i="1"/>
  <c r="BK1337" i="1"/>
  <c r="BJ150" i="1"/>
  <c r="BJ198" i="1"/>
  <c r="BJ238" i="1"/>
  <c r="BJ259" i="1"/>
  <c r="BJ285" i="1"/>
  <c r="BJ306" i="1"/>
  <c r="BJ329" i="1"/>
  <c r="BJ351" i="1"/>
  <c r="BJ371" i="1"/>
  <c r="BJ387" i="1"/>
  <c r="BJ403" i="1"/>
  <c r="BJ419" i="1"/>
  <c r="BJ435" i="1"/>
  <c r="BJ451" i="1"/>
  <c r="BJ467" i="1"/>
  <c r="BJ483" i="1"/>
  <c r="BJ499" i="1"/>
  <c r="BJ515" i="1"/>
  <c r="BJ531" i="1"/>
  <c r="BJ547" i="1"/>
  <c r="BJ563" i="1"/>
  <c r="BJ579" i="1"/>
  <c r="BJ595" i="1"/>
  <c r="BJ611" i="1"/>
  <c r="BJ627" i="1"/>
  <c r="BJ643" i="1"/>
  <c r="BJ659" i="1"/>
  <c r="BJ675" i="1"/>
  <c r="BJ691" i="1"/>
  <c r="BJ707" i="1"/>
  <c r="BJ723" i="1"/>
  <c r="BJ739" i="1"/>
  <c r="BJ755" i="1"/>
  <c r="BJ771" i="1"/>
  <c r="BJ787" i="1"/>
  <c r="BJ803" i="1"/>
  <c r="BJ819" i="1"/>
  <c r="BJ835" i="1"/>
  <c r="BJ851" i="1"/>
  <c r="BJ867" i="1"/>
  <c r="BJ883" i="1"/>
  <c r="BJ899" i="1"/>
  <c r="BJ915" i="1"/>
  <c r="BJ931" i="1"/>
  <c r="BJ947" i="1"/>
  <c r="BJ963" i="1"/>
  <c r="BJ979" i="1"/>
  <c r="BJ995" i="1"/>
  <c r="BJ1011" i="1"/>
  <c r="BJ1027" i="1"/>
  <c r="BJ1043" i="1"/>
  <c r="BJ1059" i="1"/>
  <c r="BJ1075" i="1"/>
  <c r="BJ1091" i="1"/>
  <c r="BJ1107" i="1"/>
  <c r="BJ1123" i="1"/>
  <c r="BJ1139" i="1"/>
  <c r="BJ1155" i="1"/>
  <c r="BJ1171" i="1"/>
  <c r="BJ1187" i="1"/>
  <c r="BJ1203" i="1"/>
  <c r="BJ1219" i="1"/>
  <c r="BJ1235" i="1"/>
  <c r="BJ1251" i="1"/>
  <c r="BJ1267" i="1"/>
  <c r="BJ1283" i="1"/>
  <c r="BJ1299" i="1"/>
  <c r="BJ1315" i="1"/>
  <c r="BK389" i="1"/>
  <c r="BK564" i="1"/>
  <c r="BK641" i="1"/>
  <c r="BK710" i="1"/>
  <c r="BK774" i="1"/>
  <c r="BK838" i="1"/>
  <c r="BK902" i="1"/>
  <c r="BK966" i="1"/>
  <c r="BK1030" i="1"/>
  <c r="BK1094" i="1"/>
  <c r="BK1158" i="1"/>
  <c r="BK1222" i="1"/>
  <c r="BK1286" i="1"/>
  <c r="BK1350" i="1"/>
  <c r="BJ163" i="1"/>
  <c r="BJ202" i="1"/>
  <c r="BJ239" i="1"/>
  <c r="BJ260" i="1"/>
  <c r="BJ286" i="1"/>
  <c r="BJ307" i="1"/>
  <c r="BJ330" i="1"/>
  <c r="BJ352" i="1"/>
  <c r="BJ372" i="1"/>
  <c r="BJ388" i="1"/>
  <c r="BJ404" i="1"/>
  <c r="BJ420" i="1"/>
  <c r="BJ436" i="1"/>
  <c r="BJ452" i="1"/>
  <c r="BJ468" i="1"/>
  <c r="BJ484" i="1"/>
  <c r="BJ500" i="1"/>
  <c r="BJ516" i="1"/>
  <c r="BJ532" i="1"/>
  <c r="BJ548" i="1"/>
  <c r="BJ564" i="1"/>
  <c r="BJ580" i="1"/>
  <c r="BJ596" i="1"/>
  <c r="BJ612" i="1"/>
  <c r="BJ628" i="1"/>
  <c r="BJ644" i="1"/>
  <c r="BJ660" i="1"/>
  <c r="BJ676" i="1"/>
  <c r="BJ692" i="1"/>
  <c r="BJ708" i="1"/>
  <c r="BJ724" i="1"/>
  <c r="BJ740" i="1"/>
  <c r="BJ756" i="1"/>
  <c r="BJ772" i="1"/>
  <c r="BJ788" i="1"/>
  <c r="BJ804" i="1"/>
  <c r="BJ820" i="1"/>
  <c r="BJ836" i="1"/>
  <c r="BJ852" i="1"/>
  <c r="BJ868" i="1"/>
  <c r="BJ884" i="1"/>
  <c r="BJ900" i="1"/>
  <c r="BJ916" i="1"/>
  <c r="BJ932" i="1"/>
  <c r="BJ948" i="1"/>
  <c r="BJ964" i="1"/>
  <c r="BJ980" i="1"/>
  <c r="BJ996" i="1"/>
  <c r="BJ1012" i="1"/>
  <c r="BJ1028" i="1"/>
  <c r="BJ1044" i="1"/>
  <c r="BJ1060" i="1"/>
  <c r="BJ1076" i="1"/>
  <c r="BJ1092" i="1"/>
  <c r="BJ1108" i="1"/>
  <c r="BJ1124" i="1"/>
  <c r="BJ1140" i="1"/>
  <c r="BJ1156" i="1"/>
  <c r="BJ1172" i="1"/>
  <c r="BJ1188" i="1"/>
  <c r="BJ1204" i="1"/>
  <c r="BJ1220" i="1"/>
  <c r="BJ1236" i="1"/>
  <c r="BJ1252" i="1"/>
  <c r="BJ1268" i="1"/>
  <c r="BJ1284" i="1"/>
  <c r="BJ1300" i="1"/>
  <c r="BK390" i="1"/>
  <c r="BK565" i="1"/>
  <c r="BK642" i="1"/>
  <c r="BK711" i="1"/>
  <c r="BK775" i="1"/>
  <c r="BK839" i="1"/>
  <c r="BK903" i="1"/>
  <c r="BK967" i="1"/>
  <c r="BK1031" i="1"/>
  <c r="BK1095" i="1"/>
  <c r="BK1159" i="1"/>
  <c r="BK1223" i="1"/>
  <c r="BK1287" i="1"/>
  <c r="BK1351" i="1"/>
  <c r="BJ164" i="1"/>
  <c r="BJ207" i="1"/>
  <c r="BJ240" i="1"/>
  <c r="BJ261" i="1"/>
  <c r="BJ287" i="1"/>
  <c r="BJ308" i="1"/>
  <c r="BJ333" i="1"/>
  <c r="BJ353" i="1"/>
  <c r="BJ373" i="1"/>
  <c r="BJ389" i="1"/>
  <c r="BJ405" i="1"/>
  <c r="BJ421" i="1"/>
  <c r="BJ437" i="1"/>
  <c r="BJ453" i="1"/>
  <c r="BJ469" i="1"/>
  <c r="BJ485" i="1"/>
  <c r="BJ501" i="1"/>
  <c r="BJ517" i="1"/>
  <c r="BJ533" i="1"/>
  <c r="BJ549" i="1"/>
  <c r="BJ565" i="1"/>
  <c r="BJ581" i="1"/>
  <c r="BJ597" i="1"/>
  <c r="BJ613" i="1"/>
  <c r="BJ629" i="1"/>
  <c r="BJ645" i="1"/>
  <c r="BJ661" i="1"/>
  <c r="BJ677" i="1"/>
  <c r="BJ693" i="1"/>
  <c r="BJ709" i="1"/>
  <c r="BJ725" i="1"/>
  <c r="BJ741" i="1"/>
  <c r="BJ757" i="1"/>
  <c r="BJ773" i="1"/>
  <c r="BJ789" i="1"/>
  <c r="BJ805" i="1"/>
  <c r="BJ821" i="1"/>
  <c r="BJ837" i="1"/>
  <c r="BJ853" i="1"/>
  <c r="BJ869" i="1"/>
  <c r="BJ885" i="1"/>
  <c r="BJ901" i="1"/>
  <c r="BJ917" i="1"/>
  <c r="BJ933" i="1"/>
  <c r="BJ949" i="1"/>
  <c r="BJ965" i="1"/>
  <c r="BJ981" i="1"/>
  <c r="BJ997" i="1"/>
  <c r="BJ1013" i="1"/>
  <c r="BJ1029" i="1"/>
  <c r="BJ1045" i="1"/>
  <c r="BJ1061" i="1"/>
  <c r="BJ1077" i="1"/>
  <c r="BJ1093" i="1"/>
  <c r="BJ1109" i="1"/>
  <c r="BJ1125" i="1"/>
  <c r="BJ1141" i="1"/>
  <c r="BJ1157" i="1"/>
  <c r="BJ1173" i="1"/>
  <c r="BJ1189" i="1"/>
  <c r="BJ1205" i="1"/>
  <c r="BJ1221" i="1"/>
  <c r="BJ1237" i="1"/>
  <c r="BJ1253" i="1"/>
  <c r="BJ1269" i="1"/>
  <c r="BJ1285" i="1"/>
  <c r="BJ1301" i="1"/>
  <c r="BJ1317" i="1"/>
  <c r="BK391" i="1"/>
  <c r="BK566" i="1"/>
  <c r="BK643" i="1"/>
  <c r="BK712" i="1"/>
  <c r="BK776" i="1"/>
  <c r="BK840" i="1"/>
  <c r="BK904" i="1"/>
  <c r="BK968" i="1"/>
  <c r="BK1032" i="1"/>
  <c r="BK1096" i="1"/>
  <c r="BK1160" i="1"/>
  <c r="BK1224" i="1"/>
  <c r="BK1288" i="1"/>
  <c r="BK1352" i="1"/>
  <c r="BJ165" i="1"/>
  <c r="BJ211" i="1"/>
  <c r="BJ241" i="1"/>
  <c r="BJ262" i="1"/>
  <c r="BJ288" i="1"/>
  <c r="BJ309" i="1"/>
  <c r="BJ334" i="1"/>
  <c r="BJ354" i="1"/>
  <c r="BJ374" i="1"/>
  <c r="BJ390" i="1"/>
  <c r="BJ406" i="1"/>
  <c r="BJ422" i="1"/>
  <c r="BJ438" i="1"/>
  <c r="BJ454" i="1"/>
  <c r="BJ470" i="1"/>
  <c r="BJ486" i="1"/>
  <c r="BJ502" i="1"/>
  <c r="BJ518" i="1"/>
  <c r="BJ534" i="1"/>
  <c r="BJ550" i="1"/>
  <c r="BJ566" i="1"/>
  <c r="BJ582" i="1"/>
  <c r="BJ598" i="1"/>
  <c r="BJ614" i="1"/>
  <c r="BJ630" i="1"/>
  <c r="BJ646" i="1"/>
  <c r="BJ662" i="1"/>
  <c r="BJ678" i="1"/>
  <c r="BJ694" i="1"/>
  <c r="BJ710" i="1"/>
  <c r="BJ726" i="1"/>
  <c r="BJ742" i="1"/>
  <c r="BJ758" i="1"/>
  <c r="BJ774" i="1"/>
  <c r="BJ790" i="1"/>
  <c r="BJ806" i="1"/>
  <c r="BJ822" i="1"/>
  <c r="BJ838" i="1"/>
  <c r="BJ854" i="1"/>
  <c r="BJ870" i="1"/>
  <c r="BJ886" i="1"/>
  <c r="BJ902" i="1"/>
  <c r="BJ918" i="1"/>
  <c r="BJ934" i="1"/>
  <c r="BJ950" i="1"/>
  <c r="BJ966" i="1"/>
  <c r="BJ982" i="1"/>
  <c r="BJ998" i="1"/>
  <c r="BJ1014" i="1"/>
  <c r="BJ1030" i="1"/>
  <c r="BJ1046" i="1"/>
  <c r="BJ1062" i="1"/>
  <c r="BJ1078" i="1"/>
  <c r="BJ1094" i="1"/>
  <c r="BJ1110" i="1"/>
  <c r="BJ1126" i="1"/>
  <c r="BJ1142" i="1"/>
  <c r="BJ1158" i="1"/>
  <c r="BJ1174" i="1"/>
  <c r="BK403" i="1"/>
  <c r="BK567" i="1"/>
  <c r="BK644" i="1"/>
  <c r="BK713" i="1"/>
  <c r="BK777" i="1"/>
  <c r="BK841" i="1"/>
  <c r="BK905" i="1"/>
  <c r="BK969" i="1"/>
  <c r="BK1033" i="1"/>
  <c r="BK1097" i="1"/>
  <c r="BK1161" i="1"/>
  <c r="BK1225" i="1"/>
  <c r="BK1289" i="1"/>
  <c r="BK1353" i="1"/>
  <c r="BJ166" i="1"/>
  <c r="BJ212" i="1"/>
  <c r="BJ242" i="1"/>
  <c r="BJ266" i="1"/>
  <c r="BJ289" i="1"/>
  <c r="BJ310" i="1"/>
  <c r="BJ335" i="1"/>
  <c r="BJ355" i="1"/>
  <c r="BJ375" i="1"/>
  <c r="BJ391" i="1"/>
  <c r="BJ407" i="1"/>
  <c r="BJ423" i="1"/>
  <c r="BJ439" i="1"/>
  <c r="BJ455" i="1"/>
  <c r="BJ471" i="1"/>
  <c r="BJ487" i="1"/>
  <c r="BJ503" i="1"/>
  <c r="BJ519" i="1"/>
  <c r="BJ535" i="1"/>
  <c r="BJ551" i="1"/>
  <c r="BJ567" i="1"/>
  <c r="BJ583" i="1"/>
  <c r="BJ599" i="1"/>
  <c r="BJ615" i="1"/>
  <c r="BJ631" i="1"/>
  <c r="BJ647" i="1"/>
  <c r="BJ663" i="1"/>
  <c r="BJ679" i="1"/>
  <c r="BJ695" i="1"/>
  <c r="BJ711" i="1"/>
  <c r="BJ727" i="1"/>
  <c r="BJ743" i="1"/>
  <c r="BJ759" i="1"/>
  <c r="BJ775" i="1"/>
  <c r="BJ791" i="1"/>
  <c r="BJ807" i="1"/>
  <c r="BJ823" i="1"/>
  <c r="BJ839" i="1"/>
  <c r="BJ855" i="1"/>
  <c r="BJ871" i="1"/>
  <c r="BJ887" i="1"/>
  <c r="BJ903" i="1"/>
  <c r="BJ919" i="1"/>
  <c r="BJ935" i="1"/>
  <c r="BJ951" i="1"/>
  <c r="BJ967" i="1"/>
  <c r="BJ983" i="1"/>
  <c r="BJ999" i="1"/>
  <c r="BJ1015" i="1"/>
  <c r="BJ1031" i="1"/>
  <c r="BJ1047" i="1"/>
  <c r="BJ1063" i="1"/>
  <c r="BJ1079" i="1"/>
  <c r="BJ1095" i="1"/>
  <c r="BJ1111" i="1"/>
  <c r="BJ1127" i="1"/>
  <c r="BJ1143" i="1"/>
  <c r="BJ1159" i="1"/>
  <c r="BJ1175" i="1"/>
  <c r="BJ1191" i="1"/>
  <c r="BJ1207" i="1"/>
  <c r="BJ1223" i="1"/>
  <c r="BJ1239" i="1"/>
  <c r="BJ1255" i="1"/>
  <c r="BJ1271" i="1"/>
  <c r="BJ1287" i="1"/>
  <c r="BJ1303" i="1"/>
  <c r="BK175" i="1"/>
  <c r="BK453" i="1"/>
  <c r="BK583" i="1"/>
  <c r="BK659" i="1"/>
  <c r="BK726" i="1"/>
  <c r="BK790" i="1"/>
  <c r="BK854" i="1"/>
  <c r="BK918" i="1"/>
  <c r="BK982" i="1"/>
  <c r="BK1046" i="1"/>
  <c r="BK1110" i="1"/>
  <c r="BK1174" i="1"/>
  <c r="BK1238" i="1"/>
  <c r="BK1302" i="1"/>
  <c r="BK1366" i="1"/>
  <c r="BJ170" i="1"/>
  <c r="BJ213" i="1"/>
  <c r="BJ243" i="1"/>
  <c r="BJ269" i="1"/>
  <c r="BJ290" i="1"/>
  <c r="BJ314" i="1"/>
  <c r="BJ336" i="1"/>
  <c r="BJ356" i="1"/>
  <c r="BJ376" i="1"/>
  <c r="BJ392" i="1"/>
  <c r="BJ408" i="1"/>
  <c r="BJ424" i="1"/>
  <c r="BJ440" i="1"/>
  <c r="BJ456" i="1"/>
  <c r="BJ472" i="1"/>
  <c r="BJ488" i="1"/>
  <c r="BJ504" i="1"/>
  <c r="BJ520" i="1"/>
  <c r="BJ536" i="1"/>
  <c r="BJ552" i="1"/>
  <c r="BJ568" i="1"/>
  <c r="BJ584" i="1"/>
  <c r="BJ600" i="1"/>
  <c r="BJ616" i="1"/>
  <c r="BJ632" i="1"/>
  <c r="BJ648" i="1"/>
  <c r="BJ664" i="1"/>
  <c r="BJ680" i="1"/>
  <c r="BJ696" i="1"/>
  <c r="BJ712" i="1"/>
  <c r="BJ728" i="1"/>
  <c r="BJ744" i="1"/>
  <c r="BJ760" i="1"/>
  <c r="BJ776" i="1"/>
  <c r="BJ792" i="1"/>
  <c r="BJ808" i="1"/>
  <c r="BJ824" i="1"/>
  <c r="BJ840" i="1"/>
  <c r="BJ856" i="1"/>
  <c r="BJ872" i="1"/>
  <c r="BJ888" i="1"/>
  <c r="BJ904" i="1"/>
  <c r="BJ920" i="1"/>
  <c r="BJ936" i="1"/>
  <c r="BJ952" i="1"/>
  <c r="BJ968" i="1"/>
  <c r="BJ984" i="1"/>
  <c r="BJ1000" i="1"/>
  <c r="BJ1016" i="1"/>
  <c r="BJ1032" i="1"/>
  <c r="BJ1048" i="1"/>
  <c r="BJ1064" i="1"/>
  <c r="BJ1080" i="1"/>
  <c r="BJ1096" i="1"/>
  <c r="BJ1112" i="1"/>
  <c r="BJ1128" i="1"/>
  <c r="BJ1144" i="1"/>
  <c r="BJ1160" i="1"/>
  <c r="BJ1176" i="1"/>
  <c r="BJ1192" i="1"/>
  <c r="BJ1208" i="1"/>
  <c r="BJ1224" i="1"/>
  <c r="BJ1240" i="1"/>
  <c r="BJ1256" i="1"/>
  <c r="BJ1272" i="1"/>
  <c r="BJ1288" i="1"/>
  <c r="BJ1304" i="1"/>
  <c r="BK176" i="1"/>
  <c r="BK454" i="1"/>
  <c r="BK585" i="1"/>
  <c r="BK660" i="1"/>
  <c r="BK727" i="1"/>
  <c r="BK791" i="1"/>
  <c r="BK855" i="1"/>
  <c r="BK919" i="1"/>
  <c r="BK983" i="1"/>
  <c r="BK1047" i="1"/>
  <c r="BK1111" i="1"/>
  <c r="BK1175" i="1"/>
  <c r="BK1239" i="1"/>
  <c r="BK1303" i="1"/>
  <c r="BK1367" i="1"/>
  <c r="BJ175" i="1"/>
  <c r="BJ214" i="1"/>
  <c r="BJ244" i="1"/>
  <c r="BJ270" i="1"/>
  <c r="BJ291" i="1"/>
  <c r="BJ317" i="1"/>
  <c r="BJ337" i="1"/>
  <c r="BJ357" i="1"/>
  <c r="BJ377" i="1"/>
  <c r="BJ393" i="1"/>
  <c r="BJ409" i="1"/>
  <c r="BJ425" i="1"/>
  <c r="BJ441" i="1"/>
  <c r="BJ457" i="1"/>
  <c r="BJ473" i="1"/>
  <c r="BJ489" i="1"/>
  <c r="BJ505" i="1"/>
  <c r="BJ521" i="1"/>
  <c r="BJ537" i="1"/>
  <c r="BJ553" i="1"/>
  <c r="BJ569" i="1"/>
  <c r="BJ585" i="1"/>
  <c r="BJ601" i="1"/>
  <c r="BJ617" i="1"/>
  <c r="BJ633" i="1"/>
  <c r="BJ649" i="1"/>
  <c r="BJ665" i="1"/>
  <c r="BJ681" i="1"/>
  <c r="BJ697" i="1"/>
  <c r="BJ713" i="1"/>
  <c r="BJ729" i="1"/>
  <c r="BJ745" i="1"/>
  <c r="BJ761" i="1"/>
  <c r="BJ777" i="1"/>
  <c r="BJ793" i="1"/>
  <c r="BJ809" i="1"/>
  <c r="BJ825" i="1"/>
  <c r="BJ841" i="1"/>
  <c r="BJ857" i="1"/>
  <c r="BJ873" i="1"/>
  <c r="BJ889" i="1"/>
  <c r="BJ905" i="1"/>
  <c r="BJ921" i="1"/>
  <c r="BJ937" i="1"/>
  <c r="BJ953" i="1"/>
  <c r="BJ969" i="1"/>
  <c r="BJ985" i="1"/>
  <c r="BJ1001" i="1"/>
  <c r="BJ1017" i="1"/>
  <c r="BJ1033" i="1"/>
  <c r="BJ1049" i="1"/>
  <c r="BJ1065" i="1"/>
  <c r="BJ1081" i="1"/>
  <c r="BJ1097" i="1"/>
  <c r="BJ1113" i="1"/>
  <c r="BJ1129" i="1"/>
  <c r="BJ1145" i="1"/>
  <c r="BJ1161" i="1"/>
  <c r="BJ1177" i="1"/>
  <c r="BJ1193" i="1"/>
  <c r="BJ1209" i="1"/>
  <c r="BJ1225" i="1"/>
  <c r="BJ1241" i="1"/>
  <c r="BJ1257" i="1"/>
  <c r="BJ1273" i="1"/>
  <c r="BJ1289" i="1"/>
  <c r="BJ1305" i="1"/>
  <c r="BK177" i="1"/>
  <c r="BK455" i="1"/>
  <c r="BK586" i="1"/>
  <c r="BK661" i="1"/>
  <c r="BK728" i="1"/>
  <c r="BK792" i="1"/>
  <c r="BK856" i="1"/>
  <c r="BK920" i="1"/>
  <c r="BK984" i="1"/>
  <c r="BK1048" i="1"/>
  <c r="BK1112" i="1"/>
  <c r="BK1176" i="1"/>
  <c r="BK1240" i="1"/>
  <c r="BK1304" i="1"/>
  <c r="BK1368" i="1"/>
  <c r="BJ179" i="1"/>
  <c r="BJ218" i="1"/>
  <c r="BJ245" i="1"/>
  <c r="BJ271" i="1"/>
  <c r="BJ292" i="1"/>
  <c r="BJ318" i="1"/>
  <c r="BJ338" i="1"/>
  <c r="BJ358" i="1"/>
  <c r="BJ378" i="1"/>
  <c r="BJ394" i="1"/>
  <c r="BJ410" i="1"/>
  <c r="BJ426" i="1"/>
  <c r="BJ442" i="1"/>
  <c r="BJ458" i="1"/>
  <c r="BJ474" i="1"/>
  <c r="BJ490" i="1"/>
  <c r="BJ506" i="1"/>
  <c r="BJ522" i="1"/>
  <c r="BJ538" i="1"/>
  <c r="BJ554" i="1"/>
  <c r="BJ570" i="1"/>
  <c r="BJ586" i="1"/>
  <c r="BJ602" i="1"/>
  <c r="BJ618" i="1"/>
  <c r="BJ634" i="1"/>
  <c r="BJ650" i="1"/>
  <c r="BJ666" i="1"/>
  <c r="BJ682" i="1"/>
  <c r="BJ698" i="1"/>
  <c r="BJ714" i="1"/>
  <c r="BJ730" i="1"/>
  <c r="BJ746" i="1"/>
  <c r="BJ762" i="1"/>
  <c r="BJ778" i="1"/>
  <c r="BJ794" i="1"/>
  <c r="BJ810" i="1"/>
  <c r="BJ826" i="1"/>
  <c r="BJ842" i="1"/>
  <c r="BJ858" i="1"/>
  <c r="BJ874" i="1"/>
  <c r="BJ890" i="1"/>
  <c r="BJ906" i="1"/>
  <c r="BJ922" i="1"/>
  <c r="BJ938" i="1"/>
  <c r="BJ954" i="1"/>
  <c r="BJ970" i="1"/>
  <c r="BJ986" i="1"/>
  <c r="BJ1002" i="1"/>
  <c r="BJ1018" i="1"/>
  <c r="BJ1034" i="1"/>
  <c r="BJ1050" i="1"/>
  <c r="BJ1066" i="1"/>
  <c r="BJ1082" i="1"/>
  <c r="BJ1098" i="1"/>
  <c r="BJ1114" i="1"/>
  <c r="BJ1130" i="1"/>
  <c r="BJ1146" i="1"/>
  <c r="BJ1162" i="1"/>
  <c r="BJ1178" i="1"/>
  <c r="BJ1194" i="1"/>
  <c r="BJ1210" i="1"/>
  <c r="BJ1226" i="1"/>
  <c r="BJ1242" i="1"/>
  <c r="BJ1258" i="1"/>
  <c r="BJ1274" i="1"/>
  <c r="BJ1290" i="1"/>
  <c r="BJ1306" i="1"/>
  <c r="BK195" i="1"/>
  <c r="BK467" i="1"/>
  <c r="BK587" i="1"/>
  <c r="BK662" i="1"/>
  <c r="BK729" i="1"/>
  <c r="BK793" i="1"/>
  <c r="BK857" i="1"/>
  <c r="BK921" i="1"/>
  <c r="BK985" i="1"/>
  <c r="BK1049" i="1"/>
  <c r="BK1113" i="1"/>
  <c r="BK1177" i="1"/>
  <c r="BK1241" i="1"/>
  <c r="BK1305" i="1"/>
  <c r="BK1369" i="1"/>
  <c r="BJ180" i="1"/>
  <c r="BJ223" i="1"/>
  <c r="BJ246" i="1"/>
  <c r="BJ272" i="1"/>
  <c r="BJ293" i="1"/>
  <c r="BJ319" i="1"/>
  <c r="BJ339" i="1"/>
  <c r="BJ361" i="1"/>
  <c r="BJ379" i="1"/>
  <c r="BJ395" i="1"/>
  <c r="BJ411" i="1"/>
  <c r="BJ427" i="1"/>
  <c r="BJ443" i="1"/>
  <c r="BJ459" i="1"/>
  <c r="BJ475" i="1"/>
  <c r="BJ491" i="1"/>
  <c r="BJ507" i="1"/>
  <c r="BJ523" i="1"/>
  <c r="BJ539" i="1"/>
  <c r="BJ555" i="1"/>
  <c r="BJ571" i="1"/>
  <c r="BJ587" i="1"/>
  <c r="BJ603" i="1"/>
  <c r="BJ619" i="1"/>
  <c r="BJ635" i="1"/>
  <c r="BJ651" i="1"/>
  <c r="BJ667" i="1"/>
  <c r="BJ683" i="1"/>
  <c r="BJ699" i="1"/>
  <c r="BJ715" i="1"/>
  <c r="BJ731" i="1"/>
  <c r="BJ747" i="1"/>
  <c r="BJ763" i="1"/>
  <c r="BJ779" i="1"/>
  <c r="BJ795" i="1"/>
  <c r="BJ811" i="1"/>
  <c r="BJ827" i="1"/>
  <c r="BJ843" i="1"/>
  <c r="BJ859" i="1"/>
  <c r="BJ875" i="1"/>
  <c r="BJ891" i="1"/>
  <c r="BJ907" i="1"/>
  <c r="BJ923" i="1"/>
  <c r="BJ939" i="1"/>
  <c r="BJ955" i="1"/>
  <c r="BJ971" i="1"/>
  <c r="BJ987" i="1"/>
  <c r="BJ1003" i="1"/>
  <c r="BJ1019" i="1"/>
  <c r="BJ1035" i="1"/>
  <c r="BJ1051" i="1"/>
  <c r="BJ1067" i="1"/>
  <c r="BJ1083" i="1"/>
  <c r="BJ1099" i="1"/>
  <c r="BJ1115" i="1"/>
  <c r="BJ1131" i="1"/>
  <c r="BJ1147" i="1"/>
  <c r="BJ1163" i="1"/>
  <c r="BJ1179" i="1"/>
  <c r="BJ1195" i="1"/>
  <c r="BJ1211" i="1"/>
  <c r="BJ1227" i="1"/>
  <c r="BJ1243" i="1"/>
  <c r="BJ1259" i="1"/>
  <c r="BJ1275" i="1"/>
  <c r="BJ1291" i="1"/>
  <c r="BJ1307" i="1"/>
  <c r="BK261" i="1"/>
  <c r="BK503" i="1"/>
  <c r="BK603" i="1"/>
  <c r="BK677" i="1"/>
  <c r="BK742" i="1"/>
  <c r="BK806" i="1"/>
  <c r="BK870" i="1"/>
  <c r="BK934" i="1"/>
  <c r="BK998" i="1"/>
  <c r="BK1062" i="1"/>
  <c r="BK1126" i="1"/>
  <c r="BK1190" i="1"/>
  <c r="BK1254" i="1"/>
  <c r="BK1318" i="1"/>
  <c r="BK1382" i="1"/>
  <c r="BJ181" i="1"/>
  <c r="BJ226" i="1"/>
  <c r="BJ250" i="1"/>
  <c r="BJ273" i="1"/>
  <c r="BJ294" i="1"/>
  <c r="BJ320" i="1"/>
  <c r="BJ340" i="1"/>
  <c r="BJ362" i="1"/>
  <c r="BJ380" i="1"/>
  <c r="BJ396" i="1"/>
  <c r="BJ412" i="1"/>
  <c r="BJ428" i="1"/>
  <c r="BJ444" i="1"/>
  <c r="BJ460" i="1"/>
  <c r="BJ476" i="1"/>
  <c r="BJ492" i="1"/>
  <c r="BJ508" i="1"/>
  <c r="BJ524" i="1"/>
  <c r="BJ540" i="1"/>
  <c r="BJ556" i="1"/>
  <c r="BJ572" i="1"/>
  <c r="BJ588" i="1"/>
  <c r="BJ604" i="1"/>
  <c r="BJ620" i="1"/>
  <c r="BJ636" i="1"/>
  <c r="BJ652" i="1"/>
  <c r="BJ668" i="1"/>
  <c r="BJ684" i="1"/>
  <c r="BJ700" i="1"/>
  <c r="BJ716" i="1"/>
  <c r="BJ732" i="1"/>
  <c r="BJ748" i="1"/>
  <c r="BJ764" i="1"/>
  <c r="BJ780" i="1"/>
  <c r="BJ796" i="1"/>
  <c r="BJ812" i="1"/>
  <c r="BJ828" i="1"/>
  <c r="BJ844" i="1"/>
  <c r="BJ860" i="1"/>
  <c r="BJ876" i="1"/>
  <c r="BJ892" i="1"/>
  <c r="BJ908" i="1"/>
  <c r="BJ924" i="1"/>
  <c r="BJ940" i="1"/>
  <c r="BJ956" i="1"/>
  <c r="BJ972" i="1"/>
  <c r="BJ988" i="1"/>
  <c r="BJ1004" i="1"/>
  <c r="BJ1020" i="1"/>
  <c r="BJ1036" i="1"/>
  <c r="BJ1052" i="1"/>
  <c r="BJ1068" i="1"/>
  <c r="BJ1084" i="1"/>
  <c r="BJ1100" i="1"/>
  <c r="BJ1116" i="1"/>
  <c r="BJ1132" i="1"/>
  <c r="BJ1148" i="1"/>
  <c r="BJ1164" i="1"/>
  <c r="BK326" i="1"/>
  <c r="BK544" i="1"/>
  <c r="BK624" i="1"/>
  <c r="BK695" i="1"/>
  <c r="BK759" i="1"/>
  <c r="BK823" i="1"/>
  <c r="BK887" i="1"/>
  <c r="BK951" i="1"/>
  <c r="BK1015" i="1"/>
  <c r="BK1079" i="1"/>
  <c r="BK1143" i="1"/>
  <c r="BK1207" i="1"/>
  <c r="BK1271" i="1"/>
  <c r="BK1335" i="1"/>
  <c r="BJ148" i="1"/>
  <c r="BJ196" i="1"/>
  <c r="BJ234" i="1"/>
  <c r="BJ257" i="1"/>
  <c r="BJ278" i="1"/>
  <c r="BJ304" i="1"/>
  <c r="BJ325" i="1"/>
  <c r="BJ349" i="1"/>
  <c r="BJ369" i="1"/>
  <c r="BJ385" i="1"/>
  <c r="BJ401" i="1"/>
  <c r="BJ417" i="1"/>
  <c r="BJ433" i="1"/>
  <c r="BJ449" i="1"/>
  <c r="BJ465" i="1"/>
  <c r="BJ481" i="1"/>
  <c r="BJ497" i="1"/>
  <c r="BJ513" i="1"/>
  <c r="BJ529" i="1"/>
  <c r="BJ545" i="1"/>
  <c r="BJ561" i="1"/>
  <c r="BJ577" i="1"/>
  <c r="BJ593" i="1"/>
  <c r="BJ609" i="1"/>
  <c r="BJ625" i="1"/>
  <c r="BJ641" i="1"/>
  <c r="BJ657" i="1"/>
  <c r="BJ673" i="1"/>
  <c r="BJ689" i="1"/>
  <c r="BJ705" i="1"/>
  <c r="BJ721" i="1"/>
  <c r="BJ737" i="1"/>
  <c r="BJ753" i="1"/>
  <c r="BJ769" i="1"/>
  <c r="BJ785" i="1"/>
  <c r="BJ801" i="1"/>
  <c r="BJ817" i="1"/>
  <c r="BJ833" i="1"/>
  <c r="BJ849" i="1"/>
  <c r="BJ865" i="1"/>
  <c r="BJ881" i="1"/>
  <c r="BJ897" i="1"/>
  <c r="BJ913" i="1"/>
  <c r="BJ929" i="1"/>
  <c r="BJ945" i="1"/>
  <c r="BJ961" i="1"/>
  <c r="BJ977" i="1"/>
  <c r="BJ993" i="1"/>
  <c r="BJ1009" i="1"/>
  <c r="BJ1025" i="1"/>
  <c r="BJ1041" i="1"/>
  <c r="BJ1057" i="1"/>
  <c r="BJ1073" i="1"/>
  <c r="BJ1089" i="1"/>
  <c r="BJ1105" i="1"/>
  <c r="BJ1121" i="1"/>
  <c r="BJ1137" i="1"/>
  <c r="BJ1153" i="1"/>
  <c r="BJ1169" i="1"/>
  <c r="BJ1185" i="1"/>
  <c r="BJ1201" i="1"/>
  <c r="BJ1217" i="1"/>
  <c r="BJ1233" i="1"/>
  <c r="BJ1249" i="1"/>
  <c r="BJ1265" i="1"/>
  <c r="BJ1281" i="1"/>
  <c r="BJ1297" i="1"/>
  <c r="BJ1313" i="1"/>
  <c r="BK275" i="1"/>
  <c r="BK745" i="1"/>
  <c r="BK1001" i="1"/>
  <c r="BK1257" i="1"/>
  <c r="BJ229" i="1"/>
  <c r="BJ323" i="1"/>
  <c r="BJ399" i="1"/>
  <c r="BJ463" i="1"/>
  <c r="BJ527" i="1"/>
  <c r="BJ591" i="1"/>
  <c r="BJ655" i="1"/>
  <c r="BJ719" i="1"/>
  <c r="BJ783" i="1"/>
  <c r="BJ847" i="1"/>
  <c r="BJ911" i="1"/>
  <c r="BJ975" i="1"/>
  <c r="BJ1039" i="1"/>
  <c r="BJ1103" i="1"/>
  <c r="BJ1167" i="1"/>
  <c r="BJ1214" i="1"/>
  <c r="BJ1260" i="1"/>
  <c r="BJ1296" i="1"/>
  <c r="BJ1326" i="1"/>
  <c r="BJ1342" i="1"/>
  <c r="BJ1358" i="1"/>
  <c r="BJ1374" i="1"/>
  <c r="BK325" i="1"/>
  <c r="BK758" i="1"/>
  <c r="BK1014" i="1"/>
  <c r="BK1270" i="1"/>
  <c r="BJ230" i="1"/>
  <c r="BJ324" i="1"/>
  <c r="BJ400" i="1"/>
  <c r="BJ464" i="1"/>
  <c r="BJ528" i="1"/>
  <c r="BJ592" i="1"/>
  <c r="BJ656" i="1"/>
  <c r="BJ720" i="1"/>
  <c r="BJ784" i="1"/>
  <c r="BJ848" i="1"/>
  <c r="BJ912" i="1"/>
  <c r="BJ976" i="1"/>
  <c r="BJ1040" i="1"/>
  <c r="BJ1104" i="1"/>
  <c r="BJ1168" i="1"/>
  <c r="BJ1215" i="1"/>
  <c r="BJ1261" i="1"/>
  <c r="BJ1302" i="1"/>
  <c r="BJ1327" i="1"/>
  <c r="BJ1343" i="1"/>
  <c r="BJ1359" i="1"/>
  <c r="BJ1375" i="1"/>
  <c r="BK512" i="1"/>
  <c r="BK807" i="1"/>
  <c r="BK1063" i="1"/>
  <c r="BK1319" i="1"/>
  <c r="BJ253" i="1"/>
  <c r="BJ341" i="1"/>
  <c r="BJ413" i="1"/>
  <c r="BJ477" i="1"/>
  <c r="BJ541" i="1"/>
  <c r="BJ605" i="1"/>
  <c r="BJ669" i="1"/>
  <c r="BJ733" i="1"/>
  <c r="BJ797" i="1"/>
  <c r="BJ861" i="1"/>
  <c r="BJ925" i="1"/>
  <c r="BJ989" i="1"/>
  <c r="BJ1053" i="1"/>
  <c r="BJ1117" i="1"/>
  <c r="BJ1180" i="1"/>
  <c r="BJ1216" i="1"/>
  <c r="BJ1262" i="1"/>
  <c r="BJ1308" i="1"/>
  <c r="BJ1328" i="1"/>
  <c r="BJ1344" i="1"/>
  <c r="BJ1360" i="1"/>
  <c r="BJ1376" i="1"/>
  <c r="BK514" i="1"/>
  <c r="BK808" i="1"/>
  <c r="BK1064" i="1"/>
  <c r="BK1320" i="1"/>
  <c r="BJ254" i="1"/>
  <c r="BJ342" i="1"/>
  <c r="BJ414" i="1"/>
  <c r="BJ478" i="1"/>
  <c r="BJ542" i="1"/>
  <c r="BJ606" i="1"/>
  <c r="BJ670" i="1"/>
  <c r="BJ734" i="1"/>
  <c r="BJ798" i="1"/>
  <c r="BJ862" i="1"/>
  <c r="BJ926" i="1"/>
  <c r="BJ990" i="1"/>
  <c r="BJ1054" i="1"/>
  <c r="BJ1118" i="1"/>
  <c r="BJ1181" i="1"/>
  <c r="BJ1222" i="1"/>
  <c r="BJ1263" i="1"/>
  <c r="BJ1309" i="1"/>
  <c r="BJ1329" i="1"/>
  <c r="BJ1345" i="1"/>
  <c r="BJ1361" i="1"/>
  <c r="BJ1377" i="1"/>
  <c r="BK515" i="1"/>
  <c r="BK809" i="1"/>
  <c r="BK1065" i="1"/>
  <c r="BK1321" i="1"/>
  <c r="BJ255" i="1"/>
  <c r="BJ345" i="1"/>
  <c r="BJ415" i="1"/>
  <c r="BJ479" i="1"/>
  <c r="BJ543" i="1"/>
  <c r="BJ607" i="1"/>
  <c r="BJ671" i="1"/>
  <c r="BJ735" i="1"/>
  <c r="BJ799" i="1"/>
  <c r="BJ863" i="1"/>
  <c r="BJ927" i="1"/>
  <c r="BJ991" i="1"/>
  <c r="BJ1055" i="1"/>
  <c r="BJ1119" i="1"/>
  <c r="BJ1182" i="1"/>
  <c r="BJ1228" i="1"/>
  <c r="BJ1264" i="1"/>
  <c r="BJ1310" i="1"/>
  <c r="BJ1330" i="1"/>
  <c r="BJ1346" i="1"/>
  <c r="BJ1362" i="1"/>
  <c r="BJ1378" i="1"/>
  <c r="BK543" i="1"/>
  <c r="BK822" i="1"/>
  <c r="BK1078" i="1"/>
  <c r="BK1334" i="1"/>
  <c r="BJ256" i="1"/>
  <c r="BJ346" i="1"/>
  <c r="BJ416" i="1"/>
  <c r="BJ480" i="1"/>
  <c r="BJ544" i="1"/>
  <c r="BJ608" i="1"/>
  <c r="BJ672" i="1"/>
  <c r="BJ736" i="1"/>
  <c r="BJ800" i="1"/>
  <c r="BJ864" i="1"/>
  <c r="BJ928" i="1"/>
  <c r="BJ992" i="1"/>
  <c r="BJ1056" i="1"/>
  <c r="BJ1120" i="1"/>
  <c r="BJ1183" i="1"/>
  <c r="BJ1229" i="1"/>
  <c r="BJ1270" i="1"/>
  <c r="BJ1311" i="1"/>
  <c r="BJ1331" i="1"/>
  <c r="BJ1347" i="1"/>
  <c r="BJ1363" i="1"/>
  <c r="BJ1379" i="1"/>
  <c r="BK606" i="1"/>
  <c r="BK871" i="1"/>
  <c r="BK1127" i="1"/>
  <c r="BK1383" i="1"/>
  <c r="BJ274" i="1"/>
  <c r="BJ365" i="1"/>
  <c r="BJ429" i="1"/>
  <c r="BJ493" i="1"/>
  <c r="BJ557" i="1"/>
  <c r="BJ621" i="1"/>
  <c r="BJ685" i="1"/>
  <c r="BJ749" i="1"/>
  <c r="BJ813" i="1"/>
  <c r="BJ877" i="1"/>
  <c r="BJ941" i="1"/>
  <c r="BJ1005" i="1"/>
  <c r="BJ1069" i="1"/>
  <c r="BJ1133" i="1"/>
  <c r="BJ1184" i="1"/>
  <c r="BJ1230" i="1"/>
  <c r="BJ1276" i="1"/>
  <c r="BJ1312" i="1"/>
  <c r="BJ1332" i="1"/>
  <c r="BJ1348" i="1"/>
  <c r="BJ1364" i="1"/>
  <c r="BJ1380" i="1"/>
  <c r="BK607" i="1"/>
  <c r="BK872" i="1"/>
  <c r="BK1128" i="1"/>
  <c r="BK1384" i="1"/>
  <c r="BJ275" i="1"/>
  <c r="BJ366" i="1"/>
  <c r="BJ430" i="1"/>
  <c r="BJ494" i="1"/>
  <c r="BJ558" i="1"/>
  <c r="BJ622" i="1"/>
  <c r="BJ686" i="1"/>
  <c r="BJ750" i="1"/>
  <c r="BJ814" i="1"/>
  <c r="BJ878" i="1"/>
  <c r="BJ942" i="1"/>
  <c r="BJ1006" i="1"/>
  <c r="BJ1070" i="1"/>
  <c r="BJ1134" i="1"/>
  <c r="BJ1190" i="1"/>
  <c r="BJ1231" i="1"/>
  <c r="BJ1277" i="1"/>
  <c r="BJ1316" i="1"/>
  <c r="BJ1333" i="1"/>
  <c r="BJ1349" i="1"/>
  <c r="BJ1365" i="1"/>
  <c r="BJ1381" i="1"/>
  <c r="BK608" i="1"/>
  <c r="BK873" i="1"/>
  <c r="BK1129" i="1"/>
  <c r="BJ276" i="1"/>
  <c r="BJ367" i="1"/>
  <c r="BJ431" i="1"/>
  <c r="BJ495" i="1"/>
  <c r="BJ559" i="1"/>
  <c r="BJ623" i="1"/>
  <c r="BJ687" i="1"/>
  <c r="BJ751" i="1"/>
  <c r="BJ815" i="1"/>
  <c r="BJ879" i="1"/>
  <c r="BJ943" i="1"/>
  <c r="BJ1007" i="1"/>
  <c r="BJ1071" i="1"/>
  <c r="BJ1135" i="1"/>
  <c r="BJ1196" i="1"/>
  <c r="BJ1232" i="1"/>
  <c r="BJ1278" i="1"/>
  <c r="BJ1318" i="1"/>
  <c r="BJ1334" i="1"/>
  <c r="BJ1350" i="1"/>
  <c r="BJ1366" i="1"/>
  <c r="BJ1382" i="1"/>
  <c r="BK623" i="1"/>
  <c r="BK886" i="1"/>
  <c r="BK1142" i="1"/>
  <c r="BJ147" i="1"/>
  <c r="BJ277" i="1"/>
  <c r="BJ368" i="1"/>
  <c r="BJ432" i="1"/>
  <c r="BJ496" i="1"/>
  <c r="BJ560" i="1"/>
  <c r="BJ624" i="1"/>
  <c r="BJ688" i="1"/>
  <c r="BJ752" i="1"/>
  <c r="BJ816" i="1"/>
  <c r="BJ880" i="1"/>
  <c r="BJ944" i="1"/>
  <c r="BJ1008" i="1"/>
  <c r="BJ1072" i="1"/>
  <c r="BJ1136" i="1"/>
  <c r="BJ1197" i="1"/>
  <c r="BJ1238" i="1"/>
  <c r="BJ1279" i="1"/>
  <c r="BJ1319" i="1"/>
  <c r="BJ1335" i="1"/>
  <c r="BJ1351" i="1"/>
  <c r="BJ1367" i="1"/>
  <c r="BJ1383" i="1"/>
  <c r="BK678" i="1"/>
  <c r="BK935" i="1"/>
  <c r="BK1191" i="1"/>
  <c r="BJ182" i="1"/>
  <c r="BJ298" i="1"/>
  <c r="BJ381" i="1"/>
  <c r="BJ445" i="1"/>
  <c r="BJ509" i="1"/>
  <c r="BJ573" i="1"/>
  <c r="BJ637" i="1"/>
  <c r="BJ701" i="1"/>
  <c r="BJ765" i="1"/>
  <c r="BJ829" i="1"/>
  <c r="BJ893" i="1"/>
  <c r="BJ957" i="1"/>
  <c r="BJ1021" i="1"/>
  <c r="BJ1085" i="1"/>
  <c r="BJ1149" i="1"/>
  <c r="BJ1198" i="1"/>
  <c r="BJ1244" i="1"/>
  <c r="BJ1280" i="1"/>
  <c r="BJ1320" i="1"/>
  <c r="BJ1336" i="1"/>
  <c r="BJ1352" i="1"/>
  <c r="BJ1368" i="1"/>
  <c r="BJ1384" i="1"/>
  <c r="BK263" i="1"/>
  <c r="BK744" i="1"/>
  <c r="BK1000" i="1"/>
  <c r="BK1256" i="1"/>
  <c r="BJ228" i="1"/>
  <c r="BJ322" i="1"/>
  <c r="BJ398" i="1"/>
  <c r="BJ462" i="1"/>
  <c r="BJ526" i="1"/>
  <c r="BJ590" i="1"/>
  <c r="BJ654" i="1"/>
  <c r="BJ718" i="1"/>
  <c r="BJ782" i="1"/>
  <c r="BJ846" i="1"/>
  <c r="BJ910" i="1"/>
  <c r="BJ974" i="1"/>
  <c r="BJ1038" i="1"/>
  <c r="BJ1102" i="1"/>
  <c r="BJ1166" i="1"/>
  <c r="BJ1213" i="1"/>
  <c r="BJ1254" i="1"/>
  <c r="BJ1295" i="1"/>
  <c r="BJ1325" i="1"/>
  <c r="BJ1341" i="1"/>
  <c r="BJ1357" i="1"/>
  <c r="BJ1373" i="1"/>
  <c r="BK1255" i="1"/>
  <c r="BJ448" i="1"/>
  <c r="BJ704" i="1"/>
  <c r="BJ960" i="1"/>
  <c r="BJ1206" i="1"/>
  <c r="BJ1339" i="1"/>
  <c r="BJ1165" i="1"/>
  <c r="BJ958" i="1"/>
  <c r="BJ461" i="1"/>
  <c r="BJ717" i="1"/>
  <c r="BJ973" i="1"/>
  <c r="BJ1212" i="1"/>
  <c r="BJ1340" i="1"/>
  <c r="BJ383" i="1"/>
  <c r="BJ384" i="1"/>
  <c r="BK1192" i="1"/>
  <c r="BJ186" i="1"/>
  <c r="BJ510" i="1"/>
  <c r="BJ766" i="1"/>
  <c r="BJ1022" i="1"/>
  <c r="BJ1245" i="1"/>
  <c r="BJ1353" i="1"/>
  <c r="BJ639" i="1"/>
  <c r="BJ191" i="1"/>
  <c r="BJ511" i="1"/>
  <c r="BJ767" i="1"/>
  <c r="BJ1023" i="1"/>
  <c r="BJ1246" i="1"/>
  <c r="BJ1354" i="1"/>
  <c r="BK950" i="1"/>
  <c r="BJ1323" i="1"/>
  <c r="BJ1324" i="1"/>
  <c r="BJ446" i="1"/>
  <c r="BK262" i="1"/>
  <c r="BJ195" i="1"/>
  <c r="BJ512" i="1"/>
  <c r="BJ768" i="1"/>
  <c r="BJ1024" i="1"/>
  <c r="BJ1247" i="1"/>
  <c r="BJ1355" i="1"/>
  <c r="BJ895" i="1"/>
  <c r="BK999" i="1"/>
  <c r="BJ909" i="1"/>
  <c r="BJ1337" i="1"/>
  <c r="BK679" i="1"/>
  <c r="BJ227" i="1"/>
  <c r="BJ525" i="1"/>
  <c r="BJ781" i="1"/>
  <c r="BJ1037" i="1"/>
  <c r="BJ1248" i="1"/>
  <c r="BJ1356" i="1"/>
  <c r="BJ1151" i="1"/>
  <c r="BJ1152" i="1"/>
  <c r="BJ702" i="1"/>
  <c r="BK681" i="1"/>
  <c r="BJ301" i="1"/>
  <c r="BJ574" i="1"/>
  <c r="BJ830" i="1"/>
  <c r="BJ1086" i="1"/>
  <c r="BJ1286" i="1"/>
  <c r="BJ1369" i="1"/>
  <c r="BK694" i="1"/>
  <c r="BJ302" i="1"/>
  <c r="BJ575" i="1"/>
  <c r="BJ831" i="1"/>
  <c r="BJ1087" i="1"/>
  <c r="BJ1292" i="1"/>
  <c r="BJ1370" i="1"/>
  <c r="BJ1322" i="1"/>
  <c r="BJ640" i="1"/>
  <c r="BJ397" i="1"/>
  <c r="BK743" i="1"/>
  <c r="BJ303" i="1"/>
  <c r="BJ576" i="1"/>
  <c r="BJ832" i="1"/>
  <c r="BJ1088" i="1"/>
  <c r="BJ1293" i="1"/>
  <c r="BJ1371" i="1"/>
  <c r="BK936" i="1"/>
  <c r="BJ321" i="1"/>
  <c r="BJ589" i="1"/>
  <c r="BJ845" i="1"/>
  <c r="BJ1101" i="1"/>
  <c r="BJ1294" i="1"/>
  <c r="BJ1372" i="1"/>
  <c r="BK1193" i="1"/>
  <c r="BK937" i="1"/>
  <c r="BJ382" i="1"/>
  <c r="BJ638" i="1"/>
  <c r="BJ894" i="1"/>
  <c r="BJ1150" i="1"/>
  <c r="BJ1321" i="1"/>
  <c r="BJ896" i="1"/>
  <c r="BJ653" i="1"/>
  <c r="BJ1199" i="1"/>
  <c r="BK1206" i="1"/>
  <c r="BJ447" i="1"/>
  <c r="BJ703" i="1"/>
  <c r="BJ959" i="1"/>
  <c r="BJ1200" i="1"/>
  <c r="BJ1338" i="1"/>
  <c r="BI430" i="1"/>
  <c r="BI446" i="1"/>
  <c r="BI462" i="1"/>
  <c r="BI478" i="1"/>
  <c r="BI494" i="1"/>
  <c r="BI510" i="1"/>
  <c r="BI526" i="1"/>
  <c r="BI542" i="1"/>
  <c r="BI558" i="1"/>
  <c r="BI574" i="1"/>
  <c r="BI590" i="1"/>
  <c r="BI606" i="1"/>
  <c r="BI622" i="1"/>
  <c r="BI638" i="1"/>
  <c r="BI654" i="1"/>
  <c r="BI670" i="1"/>
  <c r="BI686" i="1"/>
  <c r="BI702" i="1"/>
  <c r="BI718" i="1"/>
  <c r="BI734" i="1"/>
  <c r="BI750" i="1"/>
  <c r="BI766" i="1"/>
  <c r="BI782" i="1"/>
  <c r="BI798" i="1"/>
  <c r="BI814" i="1"/>
  <c r="BI830" i="1"/>
  <c r="BI846" i="1"/>
  <c r="BI862" i="1"/>
  <c r="BI878" i="1"/>
  <c r="BI894" i="1"/>
  <c r="BI910" i="1"/>
  <c r="BI926" i="1"/>
  <c r="BI942" i="1"/>
  <c r="BI958" i="1"/>
  <c r="BI974" i="1"/>
  <c r="BI990" i="1"/>
  <c r="BI1006" i="1"/>
  <c r="BI1022" i="1"/>
  <c r="BI1038" i="1"/>
  <c r="BI1054" i="1"/>
  <c r="BI1070" i="1"/>
  <c r="BI1086" i="1"/>
  <c r="BI1102" i="1"/>
  <c r="BI1118" i="1"/>
  <c r="BI1134" i="1"/>
  <c r="BI1150" i="1"/>
  <c r="BI1166" i="1"/>
  <c r="BI1182" i="1"/>
  <c r="BI1198" i="1"/>
  <c r="BI1214" i="1"/>
  <c r="BI1230" i="1"/>
  <c r="BI1246" i="1"/>
  <c r="BI1262" i="1"/>
  <c r="BI1278" i="1"/>
  <c r="BI1294" i="1"/>
  <c r="BI1310" i="1"/>
  <c r="BI1326" i="1"/>
  <c r="BI1342" i="1"/>
  <c r="BI1358" i="1"/>
  <c r="BI431" i="1"/>
  <c r="BI447" i="1"/>
  <c r="BI463" i="1"/>
  <c r="BI479" i="1"/>
  <c r="BI495" i="1"/>
  <c r="BI511" i="1"/>
  <c r="BI527" i="1"/>
  <c r="BI543" i="1"/>
  <c r="BI559" i="1"/>
  <c r="BI575" i="1"/>
  <c r="BI591" i="1"/>
  <c r="BI607" i="1"/>
  <c r="BI623" i="1"/>
  <c r="BI639" i="1"/>
  <c r="BI655" i="1"/>
  <c r="BI671" i="1"/>
  <c r="BI687" i="1"/>
  <c r="BI703" i="1"/>
  <c r="BI719" i="1"/>
  <c r="BI735" i="1"/>
  <c r="BI751" i="1"/>
  <c r="BI767" i="1"/>
  <c r="BI783" i="1"/>
  <c r="BI799" i="1"/>
  <c r="BI815" i="1"/>
  <c r="BI831" i="1"/>
  <c r="BI847" i="1"/>
  <c r="BI863" i="1"/>
  <c r="BI879" i="1"/>
  <c r="BI895" i="1"/>
  <c r="BI911" i="1"/>
  <c r="BI927" i="1"/>
  <c r="BI943" i="1"/>
  <c r="BI959" i="1"/>
  <c r="BI975" i="1"/>
  <c r="BI991" i="1"/>
  <c r="BI1007" i="1"/>
  <c r="BI1023" i="1"/>
  <c r="BI1039" i="1"/>
  <c r="BI1055" i="1"/>
  <c r="BI1071" i="1"/>
  <c r="BI1087" i="1"/>
  <c r="BI1103" i="1"/>
  <c r="BI1119" i="1"/>
  <c r="BI1135" i="1"/>
  <c r="BI1151" i="1"/>
  <c r="BI1167" i="1"/>
  <c r="BI432" i="1"/>
  <c r="BI448" i="1"/>
  <c r="BI464" i="1"/>
  <c r="BI480" i="1"/>
  <c r="BI496" i="1"/>
  <c r="BI512" i="1"/>
  <c r="BI528" i="1"/>
  <c r="BI544" i="1"/>
  <c r="BI560" i="1"/>
  <c r="BI576" i="1"/>
  <c r="BI592" i="1"/>
  <c r="BI608" i="1"/>
  <c r="BI624" i="1"/>
  <c r="BI640" i="1"/>
  <c r="BI656" i="1"/>
  <c r="BI672" i="1"/>
  <c r="BI688" i="1"/>
  <c r="BI704" i="1"/>
  <c r="BI720" i="1"/>
  <c r="BI736" i="1"/>
  <c r="BI752" i="1"/>
  <c r="BI768" i="1"/>
  <c r="BI784" i="1"/>
  <c r="BI800" i="1"/>
  <c r="BI816" i="1"/>
  <c r="BI832" i="1"/>
  <c r="BI848" i="1"/>
  <c r="BI864" i="1"/>
  <c r="BI880" i="1"/>
  <c r="BI896" i="1"/>
  <c r="BI912" i="1"/>
  <c r="BI928" i="1"/>
  <c r="BI944" i="1"/>
  <c r="BI960" i="1"/>
  <c r="BI976" i="1"/>
  <c r="BI992" i="1"/>
  <c r="BI1008" i="1"/>
  <c r="BI1024" i="1"/>
  <c r="BI1040" i="1"/>
  <c r="BI1056" i="1"/>
  <c r="BI1072" i="1"/>
  <c r="BI1088" i="1"/>
  <c r="BI1104" i="1"/>
  <c r="BI1120" i="1"/>
  <c r="BI1136" i="1"/>
  <c r="BI1152" i="1"/>
  <c r="BI433" i="1"/>
  <c r="BI449" i="1"/>
  <c r="BI465" i="1"/>
  <c r="BI481" i="1"/>
  <c r="BI497" i="1"/>
  <c r="BI513" i="1"/>
  <c r="BI529" i="1"/>
  <c r="BI545" i="1"/>
  <c r="BI561" i="1"/>
  <c r="BI577" i="1"/>
  <c r="BI593" i="1"/>
  <c r="BI609" i="1"/>
  <c r="BI625" i="1"/>
  <c r="BI641" i="1"/>
  <c r="BI657" i="1"/>
  <c r="BI673" i="1"/>
  <c r="BI689" i="1"/>
  <c r="BI705" i="1"/>
  <c r="BI721" i="1"/>
  <c r="BI737" i="1"/>
  <c r="BI753" i="1"/>
  <c r="BI769" i="1"/>
  <c r="BI785" i="1"/>
  <c r="BI801" i="1"/>
  <c r="BI817" i="1"/>
  <c r="BI833" i="1"/>
  <c r="BI849" i="1"/>
  <c r="BI865" i="1"/>
  <c r="BI881" i="1"/>
  <c r="BI897" i="1"/>
  <c r="BI913" i="1"/>
  <c r="BI929" i="1"/>
  <c r="BI945" i="1"/>
  <c r="BI961" i="1"/>
  <c r="BI977" i="1"/>
  <c r="BI993" i="1"/>
  <c r="BI1009" i="1"/>
  <c r="BI1025" i="1"/>
  <c r="BI1041" i="1"/>
  <c r="BI1057" i="1"/>
  <c r="BI1073" i="1"/>
  <c r="BI1089" i="1"/>
  <c r="BI1105" i="1"/>
  <c r="BI1121" i="1"/>
  <c r="BI1137" i="1"/>
  <c r="BI1153" i="1"/>
  <c r="BI1169" i="1"/>
  <c r="BI434" i="1"/>
  <c r="BI450" i="1"/>
  <c r="BI466" i="1"/>
  <c r="BI482" i="1"/>
  <c r="BI498" i="1"/>
  <c r="BI514" i="1"/>
  <c r="BI530" i="1"/>
  <c r="BI546" i="1"/>
  <c r="BI562" i="1"/>
  <c r="BI578" i="1"/>
  <c r="BI594" i="1"/>
  <c r="BI610" i="1"/>
  <c r="BI626" i="1"/>
  <c r="BI642" i="1"/>
  <c r="BI658" i="1"/>
  <c r="BI674" i="1"/>
  <c r="BI690" i="1"/>
  <c r="BI706" i="1"/>
  <c r="BI722" i="1"/>
  <c r="BI738" i="1"/>
  <c r="BI754" i="1"/>
  <c r="BI770" i="1"/>
  <c r="BI786" i="1"/>
  <c r="BI802" i="1"/>
  <c r="BI818" i="1"/>
  <c r="BI834" i="1"/>
  <c r="BI850" i="1"/>
  <c r="BI866" i="1"/>
  <c r="BI882" i="1"/>
  <c r="BI898" i="1"/>
  <c r="BI914" i="1"/>
  <c r="BI930" i="1"/>
  <c r="BI946" i="1"/>
  <c r="BI962" i="1"/>
  <c r="BI978" i="1"/>
  <c r="BI994" i="1"/>
  <c r="BI1010" i="1"/>
  <c r="BI1026" i="1"/>
  <c r="BI1042" i="1"/>
  <c r="BI1058" i="1"/>
  <c r="BI1074" i="1"/>
  <c r="BI1090" i="1"/>
  <c r="BI1106" i="1"/>
  <c r="BI1122" i="1"/>
  <c r="BI435" i="1"/>
  <c r="BI451" i="1"/>
  <c r="BI467" i="1"/>
  <c r="BI483" i="1"/>
  <c r="BI499" i="1"/>
  <c r="BI515" i="1"/>
  <c r="BI531" i="1"/>
  <c r="BI547" i="1"/>
  <c r="BI563" i="1"/>
  <c r="BI579" i="1"/>
  <c r="BI595" i="1"/>
  <c r="BI611" i="1"/>
  <c r="BI627" i="1"/>
  <c r="BI643" i="1"/>
  <c r="BI659" i="1"/>
  <c r="BI675" i="1"/>
  <c r="BI691" i="1"/>
  <c r="BI707" i="1"/>
  <c r="BI723" i="1"/>
  <c r="BI739" i="1"/>
  <c r="BI755" i="1"/>
  <c r="BI771" i="1"/>
  <c r="BI787" i="1"/>
  <c r="BI803" i="1"/>
  <c r="BI819" i="1"/>
  <c r="BI835" i="1"/>
  <c r="BI851" i="1"/>
  <c r="BI867" i="1"/>
  <c r="BI883" i="1"/>
  <c r="BI899" i="1"/>
  <c r="BI915" i="1"/>
  <c r="BI931" i="1"/>
  <c r="BI947" i="1"/>
  <c r="BI963" i="1"/>
  <c r="BI979" i="1"/>
  <c r="BI995" i="1"/>
  <c r="BI1011" i="1"/>
  <c r="BI1027" i="1"/>
  <c r="BI1043" i="1"/>
  <c r="BI1059" i="1"/>
  <c r="BI1075" i="1"/>
  <c r="BI1091" i="1"/>
  <c r="BI1107" i="1"/>
  <c r="BI1123" i="1"/>
  <c r="BI1139" i="1"/>
  <c r="BI1155" i="1"/>
  <c r="BI1171" i="1"/>
  <c r="BI1187" i="1"/>
  <c r="BI1203" i="1"/>
  <c r="BI1219" i="1"/>
  <c r="BI1235" i="1"/>
  <c r="BI1251" i="1"/>
  <c r="BI1267" i="1"/>
  <c r="BI1283" i="1"/>
  <c r="BI1299" i="1"/>
  <c r="BI1315" i="1"/>
  <c r="BI1331" i="1"/>
  <c r="BI1347" i="1"/>
  <c r="BI436" i="1"/>
  <c r="BI452" i="1"/>
  <c r="BI468" i="1"/>
  <c r="BI484" i="1"/>
  <c r="BI500" i="1"/>
  <c r="BI516" i="1"/>
  <c r="BI532" i="1"/>
  <c r="BI548" i="1"/>
  <c r="BI564" i="1"/>
  <c r="BI580" i="1"/>
  <c r="BI596" i="1"/>
  <c r="BI612" i="1"/>
  <c r="BI628" i="1"/>
  <c r="BI644" i="1"/>
  <c r="BI660" i="1"/>
  <c r="BI676" i="1"/>
  <c r="BI692" i="1"/>
  <c r="BI708" i="1"/>
  <c r="BI724" i="1"/>
  <c r="BI740" i="1"/>
  <c r="BI756" i="1"/>
  <c r="BI772" i="1"/>
  <c r="BI788" i="1"/>
  <c r="BI804" i="1"/>
  <c r="BI820" i="1"/>
  <c r="BI836" i="1"/>
  <c r="BI852" i="1"/>
  <c r="BI868" i="1"/>
  <c r="BI884" i="1"/>
  <c r="BI900" i="1"/>
  <c r="BI916" i="1"/>
  <c r="BI932" i="1"/>
  <c r="BI948" i="1"/>
  <c r="BI964" i="1"/>
  <c r="BI980" i="1"/>
  <c r="BI996" i="1"/>
  <c r="BI1012" i="1"/>
  <c r="BI1028" i="1"/>
  <c r="BI1044" i="1"/>
  <c r="BI1060" i="1"/>
  <c r="BI1076" i="1"/>
  <c r="BI1092" i="1"/>
  <c r="BI1108" i="1"/>
  <c r="BI1124" i="1"/>
  <c r="BI1140" i="1"/>
  <c r="BI1156" i="1"/>
  <c r="BI1172" i="1"/>
  <c r="BI1188" i="1"/>
  <c r="BI1204" i="1"/>
  <c r="BI1220" i="1"/>
  <c r="BI1236" i="1"/>
  <c r="BI1252" i="1"/>
  <c r="BI1268" i="1"/>
  <c r="BI1284" i="1"/>
  <c r="BI1300" i="1"/>
  <c r="BI1316" i="1"/>
  <c r="BI1332" i="1"/>
  <c r="BI1348" i="1"/>
  <c r="BI437" i="1"/>
  <c r="BI453" i="1"/>
  <c r="BI469" i="1"/>
  <c r="BI485" i="1"/>
  <c r="BI501" i="1"/>
  <c r="BI517" i="1"/>
  <c r="BI533" i="1"/>
  <c r="BI549" i="1"/>
  <c r="BI565" i="1"/>
  <c r="BI581" i="1"/>
  <c r="BI597" i="1"/>
  <c r="BI613" i="1"/>
  <c r="BI629" i="1"/>
  <c r="BI645" i="1"/>
  <c r="BI661" i="1"/>
  <c r="BI677" i="1"/>
  <c r="BI693" i="1"/>
  <c r="BI709" i="1"/>
  <c r="BI725" i="1"/>
  <c r="BI741" i="1"/>
  <c r="BI757" i="1"/>
  <c r="BI773" i="1"/>
  <c r="BI789" i="1"/>
  <c r="BI805" i="1"/>
  <c r="BI821" i="1"/>
  <c r="BI837" i="1"/>
  <c r="BI853" i="1"/>
  <c r="BI869" i="1"/>
  <c r="BI885" i="1"/>
  <c r="BI901" i="1"/>
  <c r="BI917" i="1"/>
  <c r="BI933" i="1"/>
  <c r="BI949" i="1"/>
  <c r="BI965" i="1"/>
  <c r="BI981" i="1"/>
  <c r="BI997" i="1"/>
  <c r="BI1013" i="1"/>
  <c r="BI1029" i="1"/>
  <c r="BI1045" i="1"/>
  <c r="BI1061" i="1"/>
  <c r="BI1077" i="1"/>
  <c r="BI1093" i="1"/>
  <c r="BI1109" i="1"/>
  <c r="BI1125" i="1"/>
  <c r="BI1141" i="1"/>
  <c r="BI1157" i="1"/>
  <c r="BI1173" i="1"/>
  <c r="BI438" i="1"/>
  <c r="BI454" i="1"/>
  <c r="BI470" i="1"/>
  <c r="BI486" i="1"/>
  <c r="BI502" i="1"/>
  <c r="BI518" i="1"/>
  <c r="BI534" i="1"/>
  <c r="BI550" i="1"/>
  <c r="BI566" i="1"/>
  <c r="BI582" i="1"/>
  <c r="BI598" i="1"/>
  <c r="BI614" i="1"/>
  <c r="BI630" i="1"/>
  <c r="BI646" i="1"/>
  <c r="BI662" i="1"/>
  <c r="BI678" i="1"/>
  <c r="BI694" i="1"/>
  <c r="BI710" i="1"/>
  <c r="BI726" i="1"/>
  <c r="BI742" i="1"/>
  <c r="BI758" i="1"/>
  <c r="BI774" i="1"/>
  <c r="BI790" i="1"/>
  <c r="BI806" i="1"/>
  <c r="BI822" i="1"/>
  <c r="BI838" i="1"/>
  <c r="BI854" i="1"/>
  <c r="BI870" i="1"/>
  <c r="BI886" i="1"/>
  <c r="BI902" i="1"/>
  <c r="BI918" i="1"/>
  <c r="BI934" i="1"/>
  <c r="BI950" i="1"/>
  <c r="BI966" i="1"/>
  <c r="BI982" i="1"/>
  <c r="BI998" i="1"/>
  <c r="BI1014" i="1"/>
  <c r="BI1030" i="1"/>
  <c r="BI1046" i="1"/>
  <c r="BI1062" i="1"/>
  <c r="BI1078" i="1"/>
  <c r="BI1094" i="1"/>
  <c r="BI1110" i="1"/>
  <c r="BI1126" i="1"/>
  <c r="BI1142" i="1"/>
  <c r="BI1158" i="1"/>
  <c r="BI439" i="1"/>
  <c r="BI455" i="1"/>
  <c r="BI471" i="1"/>
  <c r="BI487" i="1"/>
  <c r="BI503" i="1"/>
  <c r="BI519" i="1"/>
  <c r="BI535" i="1"/>
  <c r="BI551" i="1"/>
  <c r="BI567" i="1"/>
  <c r="BI583" i="1"/>
  <c r="BI599" i="1"/>
  <c r="BI615" i="1"/>
  <c r="BI631" i="1"/>
  <c r="BI647" i="1"/>
  <c r="BI663" i="1"/>
  <c r="BI679" i="1"/>
  <c r="BI695" i="1"/>
  <c r="BI711" i="1"/>
  <c r="BI727" i="1"/>
  <c r="BI743" i="1"/>
  <c r="BI759" i="1"/>
  <c r="BI775" i="1"/>
  <c r="BI791" i="1"/>
  <c r="BI807" i="1"/>
  <c r="BI823" i="1"/>
  <c r="BI839" i="1"/>
  <c r="BI855" i="1"/>
  <c r="BI871" i="1"/>
  <c r="BI887" i="1"/>
  <c r="BI903" i="1"/>
  <c r="BI919" i="1"/>
  <c r="BI935" i="1"/>
  <c r="BI951" i="1"/>
  <c r="BI967" i="1"/>
  <c r="BI983" i="1"/>
  <c r="BI999" i="1"/>
  <c r="BI1015" i="1"/>
  <c r="BI1031" i="1"/>
  <c r="BI1047" i="1"/>
  <c r="BI1063" i="1"/>
  <c r="BI1079" i="1"/>
  <c r="BI1095" i="1"/>
  <c r="BI1111" i="1"/>
  <c r="BI1127" i="1"/>
  <c r="BI1143" i="1"/>
  <c r="BI1159" i="1"/>
  <c r="BI1175" i="1"/>
  <c r="BI440" i="1"/>
  <c r="BI456" i="1"/>
  <c r="BI472" i="1"/>
  <c r="BI488" i="1"/>
  <c r="BI504" i="1"/>
  <c r="BI520" i="1"/>
  <c r="BI536" i="1"/>
  <c r="BI552" i="1"/>
  <c r="BI568" i="1"/>
  <c r="BI584" i="1"/>
  <c r="BI600" i="1"/>
  <c r="BI616" i="1"/>
  <c r="BI632" i="1"/>
  <c r="BI648" i="1"/>
  <c r="BI664" i="1"/>
  <c r="BI680" i="1"/>
  <c r="BI696" i="1"/>
  <c r="BI712" i="1"/>
  <c r="BI728" i="1"/>
  <c r="BI744" i="1"/>
  <c r="BI760" i="1"/>
  <c r="BI776" i="1"/>
  <c r="BI792" i="1"/>
  <c r="BI808" i="1"/>
  <c r="BI824" i="1"/>
  <c r="BI840" i="1"/>
  <c r="BI856" i="1"/>
  <c r="BI872" i="1"/>
  <c r="BI888" i="1"/>
  <c r="BI904" i="1"/>
  <c r="BI920" i="1"/>
  <c r="BI936" i="1"/>
  <c r="BI952" i="1"/>
  <c r="BI968" i="1"/>
  <c r="BI984" i="1"/>
  <c r="BI1000" i="1"/>
  <c r="BI1016" i="1"/>
  <c r="BI1032" i="1"/>
  <c r="BI1048" i="1"/>
  <c r="BI1064" i="1"/>
  <c r="BI1080" i="1"/>
  <c r="BI1096" i="1"/>
  <c r="BI1112" i="1"/>
  <c r="BI1128" i="1"/>
  <c r="BI429" i="1"/>
  <c r="BI445" i="1"/>
  <c r="BI461" i="1"/>
  <c r="BI477" i="1"/>
  <c r="BI493" i="1"/>
  <c r="BI509" i="1"/>
  <c r="BI525" i="1"/>
  <c r="BI541" i="1"/>
  <c r="BI557" i="1"/>
  <c r="BI573" i="1"/>
  <c r="BI589" i="1"/>
  <c r="BI605" i="1"/>
  <c r="BI621" i="1"/>
  <c r="BI637" i="1"/>
  <c r="BI653" i="1"/>
  <c r="BI669" i="1"/>
  <c r="BI685" i="1"/>
  <c r="BI701" i="1"/>
  <c r="BI717" i="1"/>
  <c r="BI733" i="1"/>
  <c r="BI749" i="1"/>
  <c r="BI765" i="1"/>
  <c r="BI781" i="1"/>
  <c r="BI797" i="1"/>
  <c r="BI813" i="1"/>
  <c r="BI829" i="1"/>
  <c r="BI845" i="1"/>
  <c r="BI861" i="1"/>
  <c r="BI877" i="1"/>
  <c r="BI893" i="1"/>
  <c r="BI909" i="1"/>
  <c r="BI925" i="1"/>
  <c r="BI941" i="1"/>
  <c r="BI957" i="1"/>
  <c r="BI973" i="1"/>
  <c r="BI989" i="1"/>
  <c r="BI1005" i="1"/>
  <c r="BI1021" i="1"/>
  <c r="BI1037" i="1"/>
  <c r="BI1053" i="1"/>
  <c r="BI1069" i="1"/>
  <c r="BI1085" i="1"/>
  <c r="BI1101" i="1"/>
  <c r="BI1117" i="1"/>
  <c r="BI1133" i="1"/>
  <c r="BI1149" i="1"/>
  <c r="BI1165" i="1"/>
  <c r="BI1181" i="1"/>
  <c r="BI1197" i="1"/>
  <c r="BI1213" i="1"/>
  <c r="BI1229" i="1"/>
  <c r="BI1245" i="1"/>
  <c r="BI1261" i="1"/>
  <c r="BI1277" i="1"/>
  <c r="BI1293" i="1"/>
  <c r="BI1309" i="1"/>
  <c r="BI1325" i="1"/>
  <c r="BI1341" i="1"/>
  <c r="BI1357" i="1"/>
  <c r="BI443" i="1"/>
  <c r="BI507" i="1"/>
  <c r="BI571" i="1"/>
  <c r="BI635" i="1"/>
  <c r="BI699" i="1"/>
  <c r="BI763" i="1"/>
  <c r="BI827" i="1"/>
  <c r="BI891" i="1"/>
  <c r="BI955" i="1"/>
  <c r="BI1019" i="1"/>
  <c r="BI1083" i="1"/>
  <c r="BI1145" i="1"/>
  <c r="BI1179" i="1"/>
  <c r="BI1201" i="1"/>
  <c r="BI1223" i="1"/>
  <c r="BI1243" i="1"/>
  <c r="BI1265" i="1"/>
  <c r="BI1287" i="1"/>
  <c r="BI1307" i="1"/>
  <c r="BI1329" i="1"/>
  <c r="BI1351" i="1"/>
  <c r="BI1369" i="1"/>
  <c r="BI247" i="1"/>
  <c r="BI263" i="1"/>
  <c r="BI279" i="1"/>
  <c r="BI295" i="1"/>
  <c r="BI311" i="1"/>
  <c r="BI327" i="1"/>
  <c r="BI343" i="1"/>
  <c r="BI359" i="1"/>
  <c r="BI375" i="1"/>
  <c r="BI391" i="1"/>
  <c r="BI407" i="1"/>
  <c r="BI423" i="1"/>
  <c r="BI426" i="1"/>
  <c r="BI874" i="1"/>
  <c r="BI1194" i="1"/>
  <c r="BI1364" i="1"/>
  <c r="BI306" i="1"/>
  <c r="BI1004" i="1"/>
  <c r="BI1260" i="1"/>
  <c r="BI356" i="1"/>
  <c r="BI761" i="1"/>
  <c r="BI1177" i="1"/>
  <c r="BI1349" i="1"/>
  <c r="BI389" i="1"/>
  <c r="BI444" i="1"/>
  <c r="BI508" i="1"/>
  <c r="BI572" i="1"/>
  <c r="BI636" i="1"/>
  <c r="BI700" i="1"/>
  <c r="BI764" i="1"/>
  <c r="BI828" i="1"/>
  <c r="BI892" i="1"/>
  <c r="BI956" i="1"/>
  <c r="BI1020" i="1"/>
  <c r="BI1084" i="1"/>
  <c r="BI1146" i="1"/>
  <c r="BI1180" i="1"/>
  <c r="BI1202" i="1"/>
  <c r="BI1224" i="1"/>
  <c r="BI1244" i="1"/>
  <c r="BI1266" i="1"/>
  <c r="BI1288" i="1"/>
  <c r="BI1308" i="1"/>
  <c r="BI1330" i="1"/>
  <c r="BI1352" i="1"/>
  <c r="BI1370" i="1"/>
  <c r="BI248" i="1"/>
  <c r="BI264" i="1"/>
  <c r="BI280" i="1"/>
  <c r="BI296" i="1"/>
  <c r="BI312" i="1"/>
  <c r="BI328" i="1"/>
  <c r="BI344" i="1"/>
  <c r="BI360" i="1"/>
  <c r="BI376" i="1"/>
  <c r="BI392" i="1"/>
  <c r="BI408" i="1"/>
  <c r="BI424" i="1"/>
  <c r="BI554" i="1"/>
  <c r="BI746" i="1"/>
  <c r="BI1130" i="1"/>
  <c r="BI1344" i="1"/>
  <c r="BI322" i="1"/>
  <c r="BI747" i="1"/>
  <c r="BI1174" i="1"/>
  <c r="BI1345" i="1"/>
  <c r="BI355" i="1"/>
  <c r="BI556" i="1"/>
  <c r="BI940" i="1"/>
  <c r="BI1240" i="1"/>
  <c r="BI340" i="1"/>
  <c r="BI505" i="1"/>
  <c r="BI1081" i="1"/>
  <c r="BI1305" i="1"/>
  <c r="BI293" i="1"/>
  <c r="BI457" i="1"/>
  <c r="BI521" i="1"/>
  <c r="BI585" i="1"/>
  <c r="BI649" i="1"/>
  <c r="BI713" i="1"/>
  <c r="BI777" i="1"/>
  <c r="BI841" i="1"/>
  <c r="BI905" i="1"/>
  <c r="BI969" i="1"/>
  <c r="BI1033" i="1"/>
  <c r="BI1097" i="1"/>
  <c r="BI1147" i="1"/>
  <c r="BI1183" i="1"/>
  <c r="BI1205" i="1"/>
  <c r="BI1225" i="1"/>
  <c r="BI1247" i="1"/>
  <c r="BI1269" i="1"/>
  <c r="BI1289" i="1"/>
  <c r="BI1311" i="1"/>
  <c r="BI1333" i="1"/>
  <c r="BI1353" i="1"/>
  <c r="BI1371" i="1"/>
  <c r="BI249" i="1"/>
  <c r="BI265" i="1"/>
  <c r="BI281" i="1"/>
  <c r="BI297" i="1"/>
  <c r="BI313" i="1"/>
  <c r="BI329" i="1"/>
  <c r="BI345" i="1"/>
  <c r="BI361" i="1"/>
  <c r="BI377" i="1"/>
  <c r="BI393" i="1"/>
  <c r="BI409" i="1"/>
  <c r="BI425" i="1"/>
  <c r="BI938" i="1"/>
  <c r="BI1258" i="1"/>
  <c r="BI290" i="1"/>
  <c r="BI402" i="1"/>
  <c r="BI491" i="1"/>
  <c r="BI259" i="1"/>
  <c r="BI387" i="1"/>
  <c r="BI492" i="1"/>
  <c r="BI1324" i="1"/>
  <c r="BI260" i="1"/>
  <c r="BI388" i="1"/>
  <c r="BI569" i="1"/>
  <c r="BI421" i="1"/>
  <c r="BI458" i="1"/>
  <c r="BI522" i="1"/>
  <c r="BI586" i="1"/>
  <c r="BI650" i="1"/>
  <c r="BI714" i="1"/>
  <c r="BI778" i="1"/>
  <c r="BI842" i="1"/>
  <c r="BI906" i="1"/>
  <c r="BI970" i="1"/>
  <c r="BI1034" i="1"/>
  <c r="BI1098" i="1"/>
  <c r="BI1148" i="1"/>
  <c r="BI1184" i="1"/>
  <c r="BI1206" i="1"/>
  <c r="BI1226" i="1"/>
  <c r="BI1248" i="1"/>
  <c r="BI1270" i="1"/>
  <c r="BI1290" i="1"/>
  <c r="BI1312" i="1"/>
  <c r="BI1334" i="1"/>
  <c r="BI1354" i="1"/>
  <c r="BI1372" i="1"/>
  <c r="BI250" i="1"/>
  <c r="BI266" i="1"/>
  <c r="BI282" i="1"/>
  <c r="BI298" i="1"/>
  <c r="BI314" i="1"/>
  <c r="BI330" i="1"/>
  <c r="BI346" i="1"/>
  <c r="BI362" i="1"/>
  <c r="BI378" i="1"/>
  <c r="BI394" i="1"/>
  <c r="BI410" i="1"/>
  <c r="BI1280" i="1"/>
  <c r="BI370" i="1"/>
  <c r="BI939" i="1"/>
  <c r="BI1239" i="1"/>
  <c r="BI1381" i="1"/>
  <c r="BI323" i="1"/>
  <c r="BI812" i="1"/>
  <c r="BI1176" i="1"/>
  <c r="BI1346" i="1"/>
  <c r="BI276" i="1"/>
  <c r="BI404" i="1"/>
  <c r="BI1017" i="1"/>
  <c r="BI1263" i="1"/>
  <c r="BI357" i="1"/>
  <c r="BI459" i="1"/>
  <c r="BI523" i="1"/>
  <c r="BI587" i="1"/>
  <c r="BI651" i="1"/>
  <c r="BI715" i="1"/>
  <c r="BI779" i="1"/>
  <c r="BI843" i="1"/>
  <c r="BI907" i="1"/>
  <c r="BI971" i="1"/>
  <c r="BI1035" i="1"/>
  <c r="BI1099" i="1"/>
  <c r="BI1154" i="1"/>
  <c r="BI1185" i="1"/>
  <c r="BI1207" i="1"/>
  <c r="BI1227" i="1"/>
  <c r="BI1249" i="1"/>
  <c r="BI1271" i="1"/>
  <c r="BI1291" i="1"/>
  <c r="BI1313" i="1"/>
  <c r="BI1335" i="1"/>
  <c r="BI1355" i="1"/>
  <c r="BI1373" i="1"/>
  <c r="BI251" i="1"/>
  <c r="BI267" i="1"/>
  <c r="BI283" i="1"/>
  <c r="BI299" i="1"/>
  <c r="BI315" i="1"/>
  <c r="BI331" i="1"/>
  <c r="BI347" i="1"/>
  <c r="BI363" i="1"/>
  <c r="BI379" i="1"/>
  <c r="BI395" i="1"/>
  <c r="BI411" i="1"/>
  <c r="BI810" i="1"/>
  <c r="BI1170" i="1"/>
  <c r="BI1302" i="1"/>
  <c r="BI274" i="1"/>
  <c r="BI354" i="1"/>
  <c r="BI619" i="1"/>
  <c r="BI1067" i="1"/>
  <c r="BI1281" i="1"/>
  <c r="BI275" i="1"/>
  <c r="BI403" i="1"/>
  <c r="BI748" i="1"/>
  <c r="BI1068" i="1"/>
  <c r="BI1282" i="1"/>
  <c r="BI308" i="1"/>
  <c r="BI825" i="1"/>
  <c r="BI1221" i="1"/>
  <c r="BI277" i="1"/>
  <c r="BI460" i="1"/>
  <c r="BI524" i="1"/>
  <c r="BI588" i="1"/>
  <c r="BI652" i="1"/>
  <c r="BI716" i="1"/>
  <c r="BI780" i="1"/>
  <c r="BI844" i="1"/>
  <c r="BI908" i="1"/>
  <c r="BI972" i="1"/>
  <c r="BI1036" i="1"/>
  <c r="BI1100" i="1"/>
  <c r="BI1160" i="1"/>
  <c r="BI1186" i="1"/>
  <c r="BI1208" i="1"/>
  <c r="BI1228" i="1"/>
  <c r="BI1250" i="1"/>
  <c r="BI1272" i="1"/>
  <c r="BI1292" i="1"/>
  <c r="BI1314" i="1"/>
  <c r="BI1336" i="1"/>
  <c r="BI1356" i="1"/>
  <c r="BI1374" i="1"/>
  <c r="BI252" i="1"/>
  <c r="BI268" i="1"/>
  <c r="BI284" i="1"/>
  <c r="BI300" i="1"/>
  <c r="BI316" i="1"/>
  <c r="BI332" i="1"/>
  <c r="BI348" i="1"/>
  <c r="BI364" i="1"/>
  <c r="BI380" i="1"/>
  <c r="BI396" i="1"/>
  <c r="BI412" i="1"/>
  <c r="BI618" i="1"/>
  <c r="BI1002" i="1"/>
  <c r="BI1238" i="1"/>
  <c r="BI1380" i="1"/>
  <c r="BI258" i="1"/>
  <c r="BI386" i="1"/>
  <c r="BI1131" i="1"/>
  <c r="BI1303" i="1"/>
  <c r="BI307" i="1"/>
  <c r="BI419" i="1"/>
  <c r="BI697" i="1"/>
  <c r="BI1199" i="1"/>
  <c r="BI1367" i="1"/>
  <c r="BI261" i="1"/>
  <c r="BI405" i="1"/>
  <c r="BI473" i="1"/>
  <c r="BI537" i="1"/>
  <c r="BI601" i="1"/>
  <c r="BI665" i="1"/>
  <c r="BI729" i="1"/>
  <c r="BI793" i="1"/>
  <c r="BI857" i="1"/>
  <c r="BI921" i="1"/>
  <c r="BI985" i="1"/>
  <c r="BI1049" i="1"/>
  <c r="BI1113" i="1"/>
  <c r="BI1161" i="1"/>
  <c r="BI1189" i="1"/>
  <c r="BI1209" i="1"/>
  <c r="BI1231" i="1"/>
  <c r="BI1253" i="1"/>
  <c r="BI1273" i="1"/>
  <c r="BI1295" i="1"/>
  <c r="BI1317" i="1"/>
  <c r="BI1337" i="1"/>
  <c r="BI1359" i="1"/>
  <c r="BI1375" i="1"/>
  <c r="BI253" i="1"/>
  <c r="BI269" i="1"/>
  <c r="BI285" i="1"/>
  <c r="BI301" i="1"/>
  <c r="BI317" i="1"/>
  <c r="BI333" i="1"/>
  <c r="BI349" i="1"/>
  <c r="BI365" i="1"/>
  <c r="BI381" i="1"/>
  <c r="BI397" i="1"/>
  <c r="BI413" i="1"/>
  <c r="BI418" i="1"/>
  <c r="BI683" i="1"/>
  <c r="BI428" i="1"/>
  <c r="BI1196" i="1"/>
  <c r="BI1366" i="1"/>
  <c r="BI372" i="1"/>
  <c r="BI633" i="1"/>
  <c r="BI1383" i="1"/>
  <c r="BI341" i="1"/>
  <c r="BI474" i="1"/>
  <c r="BI538" i="1"/>
  <c r="BI602" i="1"/>
  <c r="BI666" i="1"/>
  <c r="BI730" i="1"/>
  <c r="BI794" i="1"/>
  <c r="BI858" i="1"/>
  <c r="BI922" i="1"/>
  <c r="BI986" i="1"/>
  <c r="BI1050" i="1"/>
  <c r="BI1114" i="1"/>
  <c r="BI1162" i="1"/>
  <c r="BI1190" i="1"/>
  <c r="BI1210" i="1"/>
  <c r="BI1232" i="1"/>
  <c r="BI1254" i="1"/>
  <c r="BI1274" i="1"/>
  <c r="BI1296" i="1"/>
  <c r="BI1318" i="1"/>
  <c r="BI1338" i="1"/>
  <c r="BI1360" i="1"/>
  <c r="BI1376" i="1"/>
  <c r="BI254" i="1"/>
  <c r="BI270" i="1"/>
  <c r="BI286" i="1"/>
  <c r="BI302" i="1"/>
  <c r="BI318" i="1"/>
  <c r="BI334" i="1"/>
  <c r="BI350" i="1"/>
  <c r="BI366" i="1"/>
  <c r="BI382" i="1"/>
  <c r="BI398" i="1"/>
  <c r="BI414" i="1"/>
  <c r="BI490" i="1"/>
  <c r="BI682" i="1"/>
  <c r="BI1066" i="1"/>
  <c r="BI1322" i="1"/>
  <c r="BI338" i="1"/>
  <c r="BI811" i="1"/>
  <c r="BI1195" i="1"/>
  <c r="BI1323" i="1"/>
  <c r="BI339" i="1"/>
  <c r="BI620" i="1"/>
  <c r="BI876" i="1"/>
  <c r="BI1218" i="1"/>
  <c r="BI1382" i="1"/>
  <c r="BI292" i="1"/>
  <c r="BI420" i="1"/>
  <c r="BI441" i="1"/>
  <c r="BI1138" i="1"/>
  <c r="BI1327" i="1"/>
  <c r="BI309" i="1"/>
  <c r="BI475" i="1"/>
  <c r="BI539" i="1"/>
  <c r="BI603" i="1"/>
  <c r="BI667" i="1"/>
  <c r="BI731" i="1"/>
  <c r="BI795" i="1"/>
  <c r="BI859" i="1"/>
  <c r="BI923" i="1"/>
  <c r="BI987" i="1"/>
  <c r="BI1051" i="1"/>
  <c r="BI1115" i="1"/>
  <c r="BI1163" i="1"/>
  <c r="BI1191" i="1"/>
  <c r="BI1211" i="1"/>
  <c r="BI1233" i="1"/>
  <c r="BI1255" i="1"/>
  <c r="BI1275" i="1"/>
  <c r="BI1297" i="1"/>
  <c r="BI1319" i="1"/>
  <c r="BI1339" i="1"/>
  <c r="BI1361" i="1"/>
  <c r="BI1377" i="1"/>
  <c r="BI255" i="1"/>
  <c r="BI271" i="1"/>
  <c r="BI287" i="1"/>
  <c r="BI303" i="1"/>
  <c r="BI319" i="1"/>
  <c r="BI335" i="1"/>
  <c r="BI351" i="1"/>
  <c r="BI367" i="1"/>
  <c r="BI383" i="1"/>
  <c r="BI399" i="1"/>
  <c r="BI415" i="1"/>
  <c r="BI476" i="1"/>
  <c r="BI540" i="1"/>
  <c r="BI604" i="1"/>
  <c r="BI668" i="1"/>
  <c r="BI732" i="1"/>
  <c r="BI796" i="1"/>
  <c r="BI860" i="1"/>
  <c r="BI924" i="1"/>
  <c r="BI988" i="1"/>
  <c r="BI1052" i="1"/>
  <c r="BI1116" i="1"/>
  <c r="BI1164" i="1"/>
  <c r="BI1192" i="1"/>
  <c r="BI1212" i="1"/>
  <c r="BI1234" i="1"/>
  <c r="BI1256" i="1"/>
  <c r="BI1276" i="1"/>
  <c r="BI1298" i="1"/>
  <c r="BI1320" i="1"/>
  <c r="BI1340" i="1"/>
  <c r="BI1362" i="1"/>
  <c r="BI1378" i="1"/>
  <c r="BI256" i="1"/>
  <c r="BI272" i="1"/>
  <c r="BI288" i="1"/>
  <c r="BI304" i="1"/>
  <c r="BI320" i="1"/>
  <c r="BI336" i="1"/>
  <c r="BI352" i="1"/>
  <c r="BI368" i="1"/>
  <c r="BI384" i="1"/>
  <c r="BI400" i="1"/>
  <c r="BI416" i="1"/>
  <c r="BI1216" i="1"/>
  <c r="BI427" i="1"/>
  <c r="BI875" i="1"/>
  <c r="BI1217" i="1"/>
  <c r="BI1365" i="1"/>
  <c r="BI291" i="1"/>
  <c r="BI953" i="1"/>
  <c r="BI1285" i="1"/>
  <c r="BI373" i="1"/>
  <c r="BI489" i="1"/>
  <c r="BI553" i="1"/>
  <c r="BI617" i="1"/>
  <c r="BI681" i="1"/>
  <c r="BI745" i="1"/>
  <c r="BI809" i="1"/>
  <c r="BI873" i="1"/>
  <c r="BI937" i="1"/>
  <c r="BI1001" i="1"/>
  <c r="BI1065" i="1"/>
  <c r="BI1129" i="1"/>
  <c r="BI1168" i="1"/>
  <c r="BI1193" i="1"/>
  <c r="BI1215" i="1"/>
  <c r="BI1237" i="1"/>
  <c r="BI1257" i="1"/>
  <c r="BI1279" i="1"/>
  <c r="BI1301" i="1"/>
  <c r="BI1321" i="1"/>
  <c r="BI1343" i="1"/>
  <c r="BI1363" i="1"/>
  <c r="BI1379" i="1"/>
  <c r="BI257" i="1"/>
  <c r="BI273" i="1"/>
  <c r="BI289" i="1"/>
  <c r="BI305" i="1"/>
  <c r="BI321" i="1"/>
  <c r="BI337" i="1"/>
  <c r="BI353" i="1"/>
  <c r="BI369" i="1"/>
  <c r="BI385" i="1"/>
  <c r="BI401" i="1"/>
  <c r="BI417" i="1"/>
  <c r="BI555" i="1"/>
  <c r="BI1003" i="1"/>
  <c r="BI1259" i="1"/>
  <c r="BI371" i="1"/>
  <c r="BI684" i="1"/>
  <c r="BI1132" i="1"/>
  <c r="BI1304" i="1"/>
  <c r="BI324" i="1"/>
  <c r="BI889" i="1"/>
  <c r="BI1241" i="1"/>
  <c r="BI325" i="1"/>
  <c r="BI442" i="1"/>
  <c r="BI506" i="1"/>
  <c r="BI570" i="1"/>
  <c r="BI634" i="1"/>
  <c r="BI698" i="1"/>
  <c r="BI762" i="1"/>
  <c r="BI826" i="1"/>
  <c r="BI890" i="1"/>
  <c r="BI954" i="1"/>
  <c r="BI1018" i="1"/>
  <c r="BI1082" i="1"/>
  <c r="BI1144" i="1"/>
  <c r="BI1178" i="1"/>
  <c r="BI1200" i="1"/>
  <c r="BI1222" i="1"/>
  <c r="BI1242" i="1"/>
  <c r="BI1264" i="1"/>
  <c r="BI1286" i="1"/>
  <c r="BI1306" i="1"/>
  <c r="BI1328" i="1"/>
  <c r="BI1350" i="1"/>
  <c r="BI1368" i="1"/>
  <c r="BI1384" i="1"/>
  <c r="BI246" i="1"/>
  <c r="BI262" i="1"/>
  <c r="BI278" i="1"/>
  <c r="BI294" i="1"/>
  <c r="BI310" i="1"/>
  <c r="BI326" i="1"/>
  <c r="BI342" i="1"/>
  <c r="BI358" i="1"/>
  <c r="BI374" i="1"/>
  <c r="BI390" i="1"/>
  <c r="BI406" i="1"/>
  <c r="BI422" i="1"/>
  <c r="BL151" i="1"/>
  <c r="BL167" i="1"/>
  <c r="BL183" i="1"/>
  <c r="BL199" i="1"/>
  <c r="BL215" i="1"/>
  <c r="BL231" i="1"/>
  <c r="BL247" i="1"/>
  <c r="BL263" i="1"/>
  <c r="BL279" i="1"/>
  <c r="BL295" i="1"/>
  <c r="BL311" i="1"/>
  <c r="BL327" i="1"/>
  <c r="BL343" i="1"/>
  <c r="BL359" i="1"/>
  <c r="BL375" i="1"/>
  <c r="BL391" i="1"/>
  <c r="BL407" i="1"/>
  <c r="BL423" i="1"/>
  <c r="BL439" i="1"/>
  <c r="BL455" i="1"/>
  <c r="BL471" i="1"/>
  <c r="BL487" i="1"/>
  <c r="BL503" i="1"/>
  <c r="BL519" i="1"/>
  <c r="BL535" i="1"/>
  <c r="BL551" i="1"/>
  <c r="BL567" i="1"/>
  <c r="BL583" i="1"/>
  <c r="BL599" i="1"/>
  <c r="BL615" i="1"/>
  <c r="BL631" i="1"/>
  <c r="BL647" i="1"/>
  <c r="BL663" i="1"/>
  <c r="BL679" i="1"/>
  <c r="BL695" i="1"/>
  <c r="BL711" i="1"/>
  <c r="BL727" i="1"/>
  <c r="BL743" i="1"/>
  <c r="BL759" i="1"/>
  <c r="BL775" i="1"/>
  <c r="BL791" i="1"/>
  <c r="BL807" i="1"/>
  <c r="BL823" i="1"/>
  <c r="BL839" i="1"/>
  <c r="BL855" i="1"/>
  <c r="BL871" i="1"/>
  <c r="BL887" i="1"/>
  <c r="BL903" i="1"/>
  <c r="BL919" i="1"/>
  <c r="BL935" i="1"/>
  <c r="BL951" i="1"/>
  <c r="BL967" i="1"/>
  <c r="BL983" i="1"/>
  <c r="BL999" i="1"/>
  <c r="BL1015" i="1"/>
  <c r="BL1031" i="1"/>
  <c r="BL1047" i="1"/>
  <c r="BL1063" i="1"/>
  <c r="BL1079" i="1"/>
  <c r="BL1095" i="1"/>
  <c r="BL1111" i="1"/>
  <c r="BL1127" i="1"/>
  <c r="BL1143" i="1"/>
  <c r="BL1159" i="1"/>
  <c r="BL1175" i="1"/>
  <c r="BL1191" i="1"/>
  <c r="BL1207" i="1"/>
  <c r="BL1223" i="1"/>
  <c r="BL1239" i="1"/>
  <c r="BL1255" i="1"/>
  <c r="BL1271" i="1"/>
  <c r="BL1287" i="1"/>
  <c r="BL1303" i="1"/>
  <c r="BL1319" i="1"/>
  <c r="BL1335" i="1"/>
  <c r="BL1351" i="1"/>
  <c r="BL1367" i="1"/>
  <c r="BL1383" i="1"/>
  <c r="BL136" i="1"/>
  <c r="BL152" i="1"/>
  <c r="BL168" i="1"/>
  <c r="BL184" i="1"/>
  <c r="BL200" i="1"/>
  <c r="BL216" i="1"/>
  <c r="BL232" i="1"/>
  <c r="BL248" i="1"/>
  <c r="BL264" i="1"/>
  <c r="BL280" i="1"/>
  <c r="BL296" i="1"/>
  <c r="BL312" i="1"/>
  <c r="BL328" i="1"/>
  <c r="BL344" i="1"/>
  <c r="BL360" i="1"/>
  <c r="BL376" i="1"/>
  <c r="BL392" i="1"/>
  <c r="BL408" i="1"/>
  <c r="BL424" i="1"/>
  <c r="BL440" i="1"/>
  <c r="BL456" i="1"/>
  <c r="BL472" i="1"/>
  <c r="BL488" i="1"/>
  <c r="BL504" i="1"/>
  <c r="BL520" i="1"/>
  <c r="BL536" i="1"/>
  <c r="BL552" i="1"/>
  <c r="BL568" i="1"/>
  <c r="BL584" i="1"/>
  <c r="BL600" i="1"/>
  <c r="BL616" i="1"/>
  <c r="BL632" i="1"/>
  <c r="BL648" i="1"/>
  <c r="BL664" i="1"/>
  <c r="BL680" i="1"/>
  <c r="BL696" i="1"/>
  <c r="BL712" i="1"/>
  <c r="BL728" i="1"/>
  <c r="BL744" i="1"/>
  <c r="BL760" i="1"/>
  <c r="BL776" i="1"/>
  <c r="BL792" i="1"/>
  <c r="BL808" i="1"/>
  <c r="BL824" i="1"/>
  <c r="BL840" i="1"/>
  <c r="BL856" i="1"/>
  <c r="BL872" i="1"/>
  <c r="BL888" i="1"/>
  <c r="BL904" i="1"/>
  <c r="BL920" i="1"/>
  <c r="BL936" i="1"/>
  <c r="BL952" i="1"/>
  <c r="BL968" i="1"/>
  <c r="BL984" i="1"/>
  <c r="BL1000" i="1"/>
  <c r="BL1016" i="1"/>
  <c r="BL1032" i="1"/>
  <c r="BL1048" i="1"/>
  <c r="BL1064" i="1"/>
  <c r="BL1080" i="1"/>
  <c r="BL1096" i="1"/>
  <c r="BL1112" i="1"/>
  <c r="BL1128" i="1"/>
  <c r="BL1144" i="1"/>
  <c r="BL1160" i="1"/>
  <c r="BL1176" i="1"/>
  <c r="BL1192" i="1"/>
  <c r="BL1208" i="1"/>
  <c r="BL1224" i="1"/>
  <c r="BL1240" i="1"/>
  <c r="BL1256" i="1"/>
  <c r="BL1272" i="1"/>
  <c r="BL1288" i="1"/>
  <c r="BL1304" i="1"/>
  <c r="BL1320" i="1"/>
  <c r="BL1336" i="1"/>
  <c r="BL1352" i="1"/>
  <c r="BL1368" i="1"/>
  <c r="BL1384" i="1"/>
  <c r="BL137" i="1"/>
  <c r="BL138" i="1"/>
  <c r="BL154" i="1"/>
  <c r="BL170" i="1"/>
  <c r="BL186" i="1"/>
  <c r="BL202" i="1"/>
  <c r="BL218" i="1"/>
  <c r="BL234" i="1"/>
  <c r="BL250" i="1"/>
  <c r="BL266" i="1"/>
  <c r="BL282" i="1"/>
  <c r="BL298" i="1"/>
  <c r="BL314" i="1"/>
  <c r="BL330" i="1"/>
  <c r="BL346" i="1"/>
  <c r="BL362" i="1"/>
  <c r="BL378" i="1"/>
  <c r="BL394" i="1"/>
  <c r="BL410" i="1"/>
  <c r="BL426" i="1"/>
  <c r="BL442" i="1"/>
  <c r="BL458" i="1"/>
  <c r="BL474" i="1"/>
  <c r="BL490" i="1"/>
  <c r="BL506" i="1"/>
  <c r="BL522" i="1"/>
  <c r="BL538" i="1"/>
  <c r="BL554" i="1"/>
  <c r="BL570" i="1"/>
  <c r="BL586" i="1"/>
  <c r="BL602" i="1"/>
  <c r="BL618" i="1"/>
  <c r="BL634" i="1"/>
  <c r="BL650" i="1"/>
  <c r="BL666" i="1"/>
  <c r="BL682" i="1"/>
  <c r="BL698" i="1"/>
  <c r="BL714" i="1"/>
  <c r="BL730" i="1"/>
  <c r="BL746" i="1"/>
  <c r="BL762" i="1"/>
  <c r="BL778" i="1"/>
  <c r="BL794" i="1"/>
  <c r="BL810" i="1"/>
  <c r="BL826" i="1"/>
  <c r="BL842" i="1"/>
  <c r="BL858" i="1"/>
  <c r="BL874" i="1"/>
  <c r="BL890" i="1"/>
  <c r="BL906" i="1"/>
  <c r="BL922" i="1"/>
  <c r="BL938" i="1"/>
  <c r="BL954" i="1"/>
  <c r="BL970" i="1"/>
  <c r="BL986" i="1"/>
  <c r="BL1002" i="1"/>
  <c r="BL1018" i="1"/>
  <c r="BL1034" i="1"/>
  <c r="BL1050" i="1"/>
  <c r="BL1066" i="1"/>
  <c r="BL1082" i="1"/>
  <c r="BL1098" i="1"/>
  <c r="BL1114" i="1"/>
  <c r="BL1130" i="1"/>
  <c r="BL1146" i="1"/>
  <c r="BL1162" i="1"/>
  <c r="BL1178" i="1"/>
  <c r="BL1194" i="1"/>
  <c r="BL1210" i="1"/>
  <c r="BL1226" i="1"/>
  <c r="BL1242" i="1"/>
  <c r="BL1258" i="1"/>
  <c r="BL1274" i="1"/>
  <c r="BL1290" i="1"/>
  <c r="BL1306" i="1"/>
  <c r="BL1322" i="1"/>
  <c r="BL1338" i="1"/>
  <c r="BL1354" i="1"/>
  <c r="BL1370" i="1"/>
  <c r="BL139" i="1"/>
  <c r="BL140" i="1"/>
  <c r="BL141" i="1"/>
  <c r="BL142" i="1"/>
  <c r="BL158" i="1"/>
  <c r="BL174" i="1"/>
  <c r="BL190" i="1"/>
  <c r="BL206" i="1"/>
  <c r="BL222" i="1"/>
  <c r="BL238" i="1"/>
  <c r="BL254" i="1"/>
  <c r="BL270" i="1"/>
  <c r="BL286" i="1"/>
  <c r="BL302" i="1"/>
  <c r="BL318" i="1"/>
  <c r="BL334" i="1"/>
  <c r="BL350" i="1"/>
  <c r="BL366" i="1"/>
  <c r="BL382" i="1"/>
  <c r="BL398" i="1"/>
  <c r="BL414" i="1"/>
  <c r="BL430" i="1"/>
  <c r="BL446" i="1"/>
  <c r="BL462" i="1"/>
  <c r="BL478" i="1"/>
  <c r="BL494" i="1"/>
  <c r="BL510" i="1"/>
  <c r="BL526" i="1"/>
  <c r="BL542" i="1"/>
  <c r="BL558" i="1"/>
  <c r="BL574" i="1"/>
  <c r="BL590" i="1"/>
  <c r="BL606" i="1"/>
  <c r="BL622" i="1"/>
  <c r="BL638" i="1"/>
  <c r="BL654" i="1"/>
  <c r="BL670" i="1"/>
  <c r="BL686" i="1"/>
  <c r="BL702" i="1"/>
  <c r="BL718" i="1"/>
  <c r="BL734" i="1"/>
  <c r="BL750" i="1"/>
  <c r="BL766" i="1"/>
  <c r="BL782" i="1"/>
  <c r="BL798" i="1"/>
  <c r="BL814" i="1"/>
  <c r="BL830" i="1"/>
  <c r="BL846" i="1"/>
  <c r="BL862" i="1"/>
  <c r="BL878" i="1"/>
  <c r="BL894" i="1"/>
  <c r="BL910" i="1"/>
  <c r="BL926" i="1"/>
  <c r="BL942" i="1"/>
  <c r="BL958" i="1"/>
  <c r="BL974" i="1"/>
  <c r="BL990" i="1"/>
  <c r="BL1006" i="1"/>
  <c r="BL1022" i="1"/>
  <c r="BL1038" i="1"/>
  <c r="BL1054" i="1"/>
  <c r="BL1070" i="1"/>
  <c r="BL1086" i="1"/>
  <c r="BL1102" i="1"/>
  <c r="BL1118" i="1"/>
  <c r="BL1134" i="1"/>
  <c r="BL1150" i="1"/>
  <c r="BL1166" i="1"/>
  <c r="BL1182" i="1"/>
  <c r="BL1198" i="1"/>
  <c r="BL1214" i="1"/>
  <c r="BL1230" i="1"/>
  <c r="BL1246" i="1"/>
  <c r="BL1262" i="1"/>
  <c r="BL1278" i="1"/>
  <c r="BL1294" i="1"/>
  <c r="BL1310" i="1"/>
  <c r="BL1326" i="1"/>
  <c r="BL1342" i="1"/>
  <c r="BL1358" i="1"/>
  <c r="BL1374" i="1"/>
  <c r="BL143" i="1"/>
  <c r="BL144" i="1"/>
  <c r="BL145" i="1"/>
  <c r="BL146" i="1"/>
  <c r="BL147" i="1"/>
  <c r="BL148" i="1"/>
  <c r="BL149" i="1"/>
  <c r="BL165" i="1"/>
  <c r="BL181" i="1"/>
  <c r="BL197" i="1"/>
  <c r="BL213" i="1"/>
  <c r="BL229" i="1"/>
  <c r="BL245" i="1"/>
  <c r="BL261" i="1"/>
  <c r="BL277" i="1"/>
  <c r="BL293" i="1"/>
  <c r="BL309" i="1"/>
  <c r="BL325" i="1"/>
  <c r="BL341" i="1"/>
  <c r="BL357" i="1"/>
  <c r="BL373" i="1"/>
  <c r="BL389" i="1"/>
  <c r="BL405" i="1"/>
  <c r="BL421" i="1"/>
  <c r="BL437" i="1"/>
  <c r="BL453" i="1"/>
  <c r="BL469" i="1"/>
  <c r="BL485" i="1"/>
  <c r="BL501" i="1"/>
  <c r="BL517" i="1"/>
  <c r="BL533" i="1"/>
  <c r="BL549" i="1"/>
  <c r="BL565" i="1"/>
  <c r="BL581" i="1"/>
  <c r="BL597" i="1"/>
  <c r="BL613" i="1"/>
  <c r="BL629" i="1"/>
  <c r="BL645" i="1"/>
  <c r="BL661" i="1"/>
  <c r="BL677" i="1"/>
  <c r="BL693" i="1"/>
  <c r="BL709" i="1"/>
  <c r="BL725" i="1"/>
  <c r="BL741" i="1"/>
  <c r="BL757" i="1"/>
  <c r="BL773" i="1"/>
  <c r="BL789" i="1"/>
  <c r="BL805" i="1"/>
  <c r="BL821" i="1"/>
  <c r="BL837" i="1"/>
  <c r="BL853" i="1"/>
  <c r="BL869" i="1"/>
  <c r="BL885" i="1"/>
  <c r="BL901" i="1"/>
  <c r="BL917" i="1"/>
  <c r="BL933" i="1"/>
  <c r="BL949" i="1"/>
  <c r="BL965" i="1"/>
  <c r="BL981" i="1"/>
  <c r="BL997" i="1"/>
  <c r="BL1013" i="1"/>
  <c r="BL1029" i="1"/>
  <c r="BL1045" i="1"/>
  <c r="BL1061" i="1"/>
  <c r="BL1077" i="1"/>
  <c r="BL1093" i="1"/>
  <c r="BL1109" i="1"/>
  <c r="BL1125" i="1"/>
  <c r="BL1141" i="1"/>
  <c r="BL1157" i="1"/>
  <c r="BL1173" i="1"/>
  <c r="BL1189" i="1"/>
  <c r="BL1205" i="1"/>
  <c r="BL1221" i="1"/>
  <c r="BL1237" i="1"/>
  <c r="BL1253" i="1"/>
  <c r="BL1269" i="1"/>
  <c r="BL1285" i="1"/>
  <c r="BL1301" i="1"/>
  <c r="BL1317" i="1"/>
  <c r="BL1333" i="1"/>
  <c r="BL1349" i="1"/>
  <c r="BL1365" i="1"/>
  <c r="BL1381" i="1"/>
  <c r="BL150" i="1"/>
  <c r="BL175" i="1"/>
  <c r="BL196" i="1"/>
  <c r="BL221" i="1"/>
  <c r="BL243" i="1"/>
  <c r="BL268" i="1"/>
  <c r="BL290" i="1"/>
  <c r="BL315" i="1"/>
  <c r="BL337" i="1"/>
  <c r="BL361" i="1"/>
  <c r="BL384" i="1"/>
  <c r="BL406" i="1"/>
  <c r="BL431" i="1"/>
  <c r="BL452" i="1"/>
  <c r="BL477" i="1"/>
  <c r="BL499" i="1"/>
  <c r="BL524" i="1"/>
  <c r="BL546" i="1"/>
  <c r="BL571" i="1"/>
  <c r="BL593" i="1"/>
  <c r="BL617" i="1"/>
  <c r="BL640" i="1"/>
  <c r="BL662" i="1"/>
  <c r="BL687" i="1"/>
  <c r="BL708" i="1"/>
  <c r="BL733" i="1"/>
  <c r="BL755" i="1"/>
  <c r="BL780" i="1"/>
  <c r="BL802" i="1"/>
  <c r="BL827" i="1"/>
  <c r="BL849" i="1"/>
  <c r="BL873" i="1"/>
  <c r="BL896" i="1"/>
  <c r="BL918" i="1"/>
  <c r="BL943" i="1"/>
  <c r="BL964" i="1"/>
  <c r="BL989" i="1"/>
  <c r="BL1011" i="1"/>
  <c r="BL1036" i="1"/>
  <c r="BL1058" i="1"/>
  <c r="BL1083" i="1"/>
  <c r="BL1105" i="1"/>
  <c r="BL1129" i="1"/>
  <c r="BL1152" i="1"/>
  <c r="BL1174" i="1"/>
  <c r="BL1199" i="1"/>
  <c r="BL1220" i="1"/>
  <c r="BL1245" i="1"/>
  <c r="BL1267" i="1"/>
  <c r="BL1292" i="1"/>
  <c r="BL1314" i="1"/>
  <c r="BL1339" i="1"/>
  <c r="BL1361" i="1"/>
  <c r="BL153" i="1"/>
  <c r="BL176" i="1"/>
  <c r="BL198" i="1"/>
  <c r="BL223" i="1"/>
  <c r="BL244" i="1"/>
  <c r="BL269" i="1"/>
  <c r="BL291" i="1"/>
  <c r="BL316" i="1"/>
  <c r="BL338" i="1"/>
  <c r="BL363" i="1"/>
  <c r="BL385" i="1"/>
  <c r="BL409" i="1"/>
  <c r="BL432" i="1"/>
  <c r="BL454" i="1"/>
  <c r="BL479" i="1"/>
  <c r="BL500" i="1"/>
  <c r="BL525" i="1"/>
  <c r="BL547" i="1"/>
  <c r="BL572" i="1"/>
  <c r="BL594" i="1"/>
  <c r="BL619" i="1"/>
  <c r="BL641" i="1"/>
  <c r="BL665" i="1"/>
  <c r="BL688" i="1"/>
  <c r="BL710" i="1"/>
  <c r="BL735" i="1"/>
  <c r="BL756" i="1"/>
  <c r="BL781" i="1"/>
  <c r="BL803" i="1"/>
  <c r="BL828" i="1"/>
  <c r="BL850" i="1"/>
  <c r="BL875" i="1"/>
  <c r="BL897" i="1"/>
  <c r="BL921" i="1"/>
  <c r="BL944" i="1"/>
  <c r="BL966" i="1"/>
  <c r="BL991" i="1"/>
  <c r="BL1012" i="1"/>
  <c r="BL1037" i="1"/>
  <c r="BL1059" i="1"/>
  <c r="BL1084" i="1"/>
  <c r="BL1106" i="1"/>
  <c r="BL1131" i="1"/>
  <c r="BL1153" i="1"/>
  <c r="BL1177" i="1"/>
  <c r="BL1200" i="1"/>
  <c r="BL1222" i="1"/>
  <c r="BL1247" i="1"/>
  <c r="BL1268" i="1"/>
  <c r="BL1293" i="1"/>
  <c r="BL1315" i="1"/>
  <c r="BL1340" i="1"/>
  <c r="BL1362" i="1"/>
  <c r="BL155" i="1"/>
  <c r="BL177" i="1"/>
  <c r="BL201" i="1"/>
  <c r="BL224" i="1"/>
  <c r="BL246" i="1"/>
  <c r="BL271" i="1"/>
  <c r="BL292" i="1"/>
  <c r="BL317" i="1"/>
  <c r="BL339" i="1"/>
  <c r="BL364" i="1"/>
  <c r="BL386" i="1"/>
  <c r="BL411" i="1"/>
  <c r="BL433" i="1"/>
  <c r="BL457" i="1"/>
  <c r="BL480" i="1"/>
  <c r="BL502" i="1"/>
  <c r="BL527" i="1"/>
  <c r="BL548" i="1"/>
  <c r="BL573" i="1"/>
  <c r="BL595" i="1"/>
  <c r="BL620" i="1"/>
  <c r="BL642" i="1"/>
  <c r="BL667" i="1"/>
  <c r="BL689" i="1"/>
  <c r="BL713" i="1"/>
  <c r="BL736" i="1"/>
  <c r="BL758" i="1"/>
  <c r="BL783" i="1"/>
  <c r="BL804" i="1"/>
  <c r="BL829" i="1"/>
  <c r="BL851" i="1"/>
  <c r="BL876" i="1"/>
  <c r="BL898" i="1"/>
  <c r="BL923" i="1"/>
  <c r="BL945" i="1"/>
  <c r="BL969" i="1"/>
  <c r="BL992" i="1"/>
  <c r="BL1014" i="1"/>
  <c r="BL1039" i="1"/>
  <c r="BL1060" i="1"/>
  <c r="BL1085" i="1"/>
  <c r="BL1107" i="1"/>
  <c r="BL1132" i="1"/>
  <c r="BL1154" i="1"/>
  <c r="BL1179" i="1"/>
  <c r="BL1201" i="1"/>
  <c r="BL1225" i="1"/>
  <c r="BL1248" i="1"/>
  <c r="BL1270" i="1"/>
  <c r="BL1295" i="1"/>
  <c r="BL1316" i="1"/>
  <c r="BL1341" i="1"/>
  <c r="BL1363" i="1"/>
  <c r="BL156" i="1"/>
  <c r="BL178" i="1"/>
  <c r="BL203" i="1"/>
  <c r="BL225" i="1"/>
  <c r="BL249" i="1"/>
  <c r="BL272" i="1"/>
  <c r="BL294" i="1"/>
  <c r="BL319" i="1"/>
  <c r="BL340" i="1"/>
  <c r="BL365" i="1"/>
  <c r="BL387" i="1"/>
  <c r="BL412" i="1"/>
  <c r="BL434" i="1"/>
  <c r="BL459" i="1"/>
  <c r="BL481" i="1"/>
  <c r="BL505" i="1"/>
  <c r="BL528" i="1"/>
  <c r="BL550" i="1"/>
  <c r="BL575" i="1"/>
  <c r="BL596" i="1"/>
  <c r="BL621" i="1"/>
  <c r="BL643" i="1"/>
  <c r="BL668" i="1"/>
  <c r="BL690" i="1"/>
  <c r="BL715" i="1"/>
  <c r="BL737" i="1"/>
  <c r="BL761" i="1"/>
  <c r="BL784" i="1"/>
  <c r="BL806" i="1"/>
  <c r="BL831" i="1"/>
  <c r="BL852" i="1"/>
  <c r="BL877" i="1"/>
  <c r="BL899" i="1"/>
  <c r="BL924" i="1"/>
  <c r="BL946" i="1"/>
  <c r="BL971" i="1"/>
  <c r="BL993" i="1"/>
  <c r="BL1017" i="1"/>
  <c r="BL1040" i="1"/>
  <c r="BL1062" i="1"/>
  <c r="BL1087" i="1"/>
  <c r="BL1108" i="1"/>
  <c r="BL1133" i="1"/>
  <c r="BL1155" i="1"/>
  <c r="BL1180" i="1"/>
  <c r="BL1202" i="1"/>
  <c r="BL1227" i="1"/>
  <c r="BL1249" i="1"/>
  <c r="BL1273" i="1"/>
  <c r="BL1296" i="1"/>
  <c r="BL1318" i="1"/>
  <c r="BL1343" i="1"/>
  <c r="BL1364" i="1"/>
  <c r="BL157" i="1"/>
  <c r="BL179" i="1"/>
  <c r="BL204" i="1"/>
  <c r="BL226" i="1"/>
  <c r="BL251" i="1"/>
  <c r="BL273" i="1"/>
  <c r="BL297" i="1"/>
  <c r="BL320" i="1"/>
  <c r="BL342" i="1"/>
  <c r="BL367" i="1"/>
  <c r="BL388" i="1"/>
  <c r="BL413" i="1"/>
  <c r="BL435" i="1"/>
  <c r="BL460" i="1"/>
  <c r="BL482" i="1"/>
  <c r="BL507" i="1"/>
  <c r="BL529" i="1"/>
  <c r="BL553" i="1"/>
  <c r="BL576" i="1"/>
  <c r="BL598" i="1"/>
  <c r="BL623" i="1"/>
  <c r="BL644" i="1"/>
  <c r="BL669" i="1"/>
  <c r="BL691" i="1"/>
  <c r="BL716" i="1"/>
  <c r="BL738" i="1"/>
  <c r="BL763" i="1"/>
  <c r="BL785" i="1"/>
  <c r="BL809" i="1"/>
  <c r="BL832" i="1"/>
  <c r="BL854" i="1"/>
  <c r="BL879" i="1"/>
  <c r="BL900" i="1"/>
  <c r="BL925" i="1"/>
  <c r="BL947" i="1"/>
  <c r="BL972" i="1"/>
  <c r="BL994" i="1"/>
  <c r="BL1019" i="1"/>
  <c r="BL1041" i="1"/>
  <c r="BL1065" i="1"/>
  <c r="BL1088" i="1"/>
  <c r="BL1110" i="1"/>
  <c r="BL1135" i="1"/>
  <c r="BL1156" i="1"/>
  <c r="BL1181" i="1"/>
  <c r="BL1203" i="1"/>
  <c r="BL1228" i="1"/>
  <c r="BL1250" i="1"/>
  <c r="BL1275" i="1"/>
  <c r="BL1297" i="1"/>
  <c r="BL1321" i="1"/>
  <c r="BL1344" i="1"/>
  <c r="BL1366" i="1"/>
  <c r="BL159" i="1"/>
  <c r="BL180" i="1"/>
  <c r="BL205" i="1"/>
  <c r="BL227" i="1"/>
  <c r="BL252" i="1"/>
  <c r="BL274" i="1"/>
  <c r="BL299" i="1"/>
  <c r="BL321" i="1"/>
  <c r="BL345" i="1"/>
  <c r="BL368" i="1"/>
  <c r="BL390" i="1"/>
  <c r="BL415" i="1"/>
  <c r="BL436" i="1"/>
  <c r="BL461" i="1"/>
  <c r="BL483" i="1"/>
  <c r="BL508" i="1"/>
  <c r="BL530" i="1"/>
  <c r="BL555" i="1"/>
  <c r="BL577" i="1"/>
  <c r="BL601" i="1"/>
  <c r="BL624" i="1"/>
  <c r="BL646" i="1"/>
  <c r="BL671" i="1"/>
  <c r="BL692" i="1"/>
  <c r="BL717" i="1"/>
  <c r="BL739" i="1"/>
  <c r="BL764" i="1"/>
  <c r="BL786" i="1"/>
  <c r="BL811" i="1"/>
  <c r="BL833" i="1"/>
  <c r="BL857" i="1"/>
  <c r="BL880" i="1"/>
  <c r="BL902" i="1"/>
  <c r="BL927" i="1"/>
  <c r="BL948" i="1"/>
  <c r="BL973" i="1"/>
  <c r="BL995" i="1"/>
  <c r="BL1020" i="1"/>
  <c r="BL1042" i="1"/>
  <c r="BL1067" i="1"/>
  <c r="BL1089" i="1"/>
  <c r="BL1113" i="1"/>
  <c r="BL1136" i="1"/>
  <c r="BL1158" i="1"/>
  <c r="BL1183" i="1"/>
  <c r="BL1204" i="1"/>
  <c r="BL1229" i="1"/>
  <c r="BL1251" i="1"/>
  <c r="BL1276" i="1"/>
  <c r="BL1298" i="1"/>
  <c r="BL1323" i="1"/>
  <c r="BL1345" i="1"/>
  <c r="BL1369" i="1"/>
  <c r="BL160" i="1"/>
  <c r="BL182" i="1"/>
  <c r="BL207" i="1"/>
  <c r="BL228" i="1"/>
  <c r="BL253" i="1"/>
  <c r="BL275" i="1"/>
  <c r="BL300" i="1"/>
  <c r="BL322" i="1"/>
  <c r="BL347" i="1"/>
  <c r="BL369" i="1"/>
  <c r="BL393" i="1"/>
  <c r="BL416" i="1"/>
  <c r="BL438" i="1"/>
  <c r="BL463" i="1"/>
  <c r="BL484" i="1"/>
  <c r="BL509" i="1"/>
  <c r="BL531" i="1"/>
  <c r="BL556" i="1"/>
  <c r="BL578" i="1"/>
  <c r="BL603" i="1"/>
  <c r="BL625" i="1"/>
  <c r="BL649" i="1"/>
  <c r="BL672" i="1"/>
  <c r="BL694" i="1"/>
  <c r="BL719" i="1"/>
  <c r="BL740" i="1"/>
  <c r="BL765" i="1"/>
  <c r="BL787" i="1"/>
  <c r="BL812" i="1"/>
  <c r="BL834" i="1"/>
  <c r="BL859" i="1"/>
  <c r="BL881" i="1"/>
  <c r="BL905" i="1"/>
  <c r="BL928" i="1"/>
  <c r="BL950" i="1"/>
  <c r="BL975" i="1"/>
  <c r="BL996" i="1"/>
  <c r="BL1021" i="1"/>
  <c r="BL1043" i="1"/>
  <c r="BL1068" i="1"/>
  <c r="BL1090" i="1"/>
  <c r="BL1115" i="1"/>
  <c r="BL1137" i="1"/>
  <c r="BL1161" i="1"/>
  <c r="BL1184" i="1"/>
  <c r="BL1206" i="1"/>
  <c r="BL1231" i="1"/>
  <c r="BL1252" i="1"/>
  <c r="BL1277" i="1"/>
  <c r="BL1299" i="1"/>
  <c r="BL1324" i="1"/>
  <c r="BL1346" i="1"/>
  <c r="BL1371" i="1"/>
  <c r="BL161" i="1"/>
  <c r="BL185" i="1"/>
  <c r="BL208" i="1"/>
  <c r="BL230" i="1"/>
  <c r="BL255" i="1"/>
  <c r="BL276" i="1"/>
  <c r="BL301" i="1"/>
  <c r="BL323" i="1"/>
  <c r="BL348" i="1"/>
  <c r="BL370" i="1"/>
  <c r="BL395" i="1"/>
  <c r="BL417" i="1"/>
  <c r="BL441" i="1"/>
  <c r="BL464" i="1"/>
  <c r="BL486" i="1"/>
  <c r="BL511" i="1"/>
  <c r="BL532" i="1"/>
  <c r="BL557" i="1"/>
  <c r="BL579" i="1"/>
  <c r="BL604" i="1"/>
  <c r="BL626" i="1"/>
  <c r="BL651" i="1"/>
  <c r="BL673" i="1"/>
  <c r="BL697" i="1"/>
  <c r="BL720" i="1"/>
  <c r="BL742" i="1"/>
  <c r="BL767" i="1"/>
  <c r="BL788" i="1"/>
  <c r="BL813" i="1"/>
  <c r="BL835" i="1"/>
  <c r="BL860" i="1"/>
  <c r="BL882" i="1"/>
  <c r="BL907" i="1"/>
  <c r="BL929" i="1"/>
  <c r="BL953" i="1"/>
  <c r="BL976" i="1"/>
  <c r="BL998" i="1"/>
  <c r="BL1023" i="1"/>
  <c r="BL1044" i="1"/>
  <c r="BL1069" i="1"/>
  <c r="BL1091" i="1"/>
  <c r="BL1116" i="1"/>
  <c r="BL1138" i="1"/>
  <c r="BL1163" i="1"/>
  <c r="BL1185" i="1"/>
  <c r="BL1209" i="1"/>
  <c r="BL1232" i="1"/>
  <c r="BL1254" i="1"/>
  <c r="BL1279" i="1"/>
  <c r="BL1300" i="1"/>
  <c r="BL1325" i="1"/>
  <c r="BL1347" i="1"/>
  <c r="BL1372" i="1"/>
  <c r="BL162" i="1"/>
  <c r="BL187" i="1"/>
  <c r="BL209" i="1"/>
  <c r="BL233" i="1"/>
  <c r="BL256" i="1"/>
  <c r="BL278" i="1"/>
  <c r="BL303" i="1"/>
  <c r="BL324" i="1"/>
  <c r="BL349" i="1"/>
  <c r="BL371" i="1"/>
  <c r="BL396" i="1"/>
  <c r="BL418" i="1"/>
  <c r="BL443" i="1"/>
  <c r="BL465" i="1"/>
  <c r="BL489" i="1"/>
  <c r="BL512" i="1"/>
  <c r="BL534" i="1"/>
  <c r="BL559" i="1"/>
  <c r="BL580" i="1"/>
  <c r="BL605" i="1"/>
  <c r="BL627" i="1"/>
  <c r="BL652" i="1"/>
  <c r="BL674" i="1"/>
  <c r="BL699" i="1"/>
  <c r="BL721" i="1"/>
  <c r="BL745" i="1"/>
  <c r="BL768" i="1"/>
  <c r="BL790" i="1"/>
  <c r="BL815" i="1"/>
  <c r="BL836" i="1"/>
  <c r="BL861" i="1"/>
  <c r="BL883" i="1"/>
  <c r="BL908" i="1"/>
  <c r="BL930" i="1"/>
  <c r="BL955" i="1"/>
  <c r="BL977" i="1"/>
  <c r="BL1001" i="1"/>
  <c r="BL1024" i="1"/>
  <c r="BL1046" i="1"/>
  <c r="BL1071" i="1"/>
  <c r="BL1092" i="1"/>
  <c r="BL1117" i="1"/>
  <c r="BL1139" i="1"/>
  <c r="BL1164" i="1"/>
  <c r="BL1186" i="1"/>
  <c r="BL1211" i="1"/>
  <c r="BL1233" i="1"/>
  <c r="BL1257" i="1"/>
  <c r="BL1280" i="1"/>
  <c r="BL1302" i="1"/>
  <c r="BL1327" i="1"/>
  <c r="BL1348" i="1"/>
  <c r="BL1373" i="1"/>
  <c r="BL163" i="1"/>
  <c r="BL188" i="1"/>
  <c r="BL210" i="1"/>
  <c r="BL235" i="1"/>
  <c r="BL257" i="1"/>
  <c r="BL281" i="1"/>
  <c r="BL304" i="1"/>
  <c r="BL326" i="1"/>
  <c r="BL351" i="1"/>
  <c r="BL372" i="1"/>
  <c r="BL397" i="1"/>
  <c r="BL419" i="1"/>
  <c r="BL444" i="1"/>
  <c r="BL466" i="1"/>
  <c r="BL491" i="1"/>
  <c r="BL513" i="1"/>
  <c r="BL537" i="1"/>
  <c r="BL560" i="1"/>
  <c r="BL582" i="1"/>
  <c r="BL607" i="1"/>
  <c r="BL628" i="1"/>
  <c r="BL653" i="1"/>
  <c r="BL675" i="1"/>
  <c r="BL700" i="1"/>
  <c r="BL722" i="1"/>
  <c r="BL747" i="1"/>
  <c r="BL769" i="1"/>
  <c r="BL793" i="1"/>
  <c r="BL816" i="1"/>
  <c r="BL838" i="1"/>
  <c r="BL863" i="1"/>
  <c r="BL884" i="1"/>
  <c r="BL909" i="1"/>
  <c r="BL931" i="1"/>
  <c r="BL956" i="1"/>
  <c r="BL978" i="1"/>
  <c r="BL1003" i="1"/>
  <c r="BL1025" i="1"/>
  <c r="BL1049" i="1"/>
  <c r="BL1072" i="1"/>
  <c r="BL1094" i="1"/>
  <c r="BL1119" i="1"/>
  <c r="BL1140" i="1"/>
  <c r="BL1165" i="1"/>
  <c r="BL1187" i="1"/>
  <c r="BL1212" i="1"/>
  <c r="BL1234" i="1"/>
  <c r="BL1259" i="1"/>
  <c r="BL1281" i="1"/>
  <c r="BL1305" i="1"/>
  <c r="BL1328" i="1"/>
  <c r="BL1350" i="1"/>
  <c r="BL1375" i="1"/>
  <c r="BL164" i="1"/>
  <c r="BL189" i="1"/>
  <c r="BL211" i="1"/>
  <c r="BL236" i="1"/>
  <c r="BL258" i="1"/>
  <c r="BL283" i="1"/>
  <c r="BL305" i="1"/>
  <c r="BL329" i="1"/>
  <c r="BL352" i="1"/>
  <c r="BL374" i="1"/>
  <c r="BL399" i="1"/>
  <c r="BL420" i="1"/>
  <c r="BL445" i="1"/>
  <c r="BL467" i="1"/>
  <c r="BL492" i="1"/>
  <c r="BL514" i="1"/>
  <c r="BL539" i="1"/>
  <c r="BL561" i="1"/>
  <c r="BL585" i="1"/>
  <c r="BL608" i="1"/>
  <c r="BL630" i="1"/>
  <c r="BL655" i="1"/>
  <c r="BL676" i="1"/>
  <c r="BL701" i="1"/>
  <c r="BL723" i="1"/>
  <c r="BL748" i="1"/>
  <c r="BL770" i="1"/>
  <c r="BL795" i="1"/>
  <c r="BL817" i="1"/>
  <c r="BL841" i="1"/>
  <c r="BL864" i="1"/>
  <c r="BL886" i="1"/>
  <c r="BL911" i="1"/>
  <c r="BL932" i="1"/>
  <c r="BL957" i="1"/>
  <c r="BL979" i="1"/>
  <c r="BL1004" i="1"/>
  <c r="BL1026" i="1"/>
  <c r="BL1051" i="1"/>
  <c r="BL1073" i="1"/>
  <c r="BL1097" i="1"/>
  <c r="BL1120" i="1"/>
  <c r="BL1142" i="1"/>
  <c r="BL1167" i="1"/>
  <c r="BL1188" i="1"/>
  <c r="BL1213" i="1"/>
  <c r="BL1235" i="1"/>
  <c r="BL1260" i="1"/>
  <c r="BL1282" i="1"/>
  <c r="BL1307" i="1"/>
  <c r="BL1329" i="1"/>
  <c r="BL1353" i="1"/>
  <c r="BL1376" i="1"/>
  <c r="BL169" i="1"/>
  <c r="BL192" i="1"/>
  <c r="BL214" i="1"/>
  <c r="BL239" i="1"/>
  <c r="BL260" i="1"/>
  <c r="BL285" i="1"/>
  <c r="BL307" i="1"/>
  <c r="BL332" i="1"/>
  <c r="BL354" i="1"/>
  <c r="BL379" i="1"/>
  <c r="BL401" i="1"/>
  <c r="BL425" i="1"/>
  <c r="BL448" i="1"/>
  <c r="BL470" i="1"/>
  <c r="BL495" i="1"/>
  <c r="BL516" i="1"/>
  <c r="BL541" i="1"/>
  <c r="BL563" i="1"/>
  <c r="BL588" i="1"/>
  <c r="BL610" i="1"/>
  <c r="BL635" i="1"/>
  <c r="BL657" i="1"/>
  <c r="BL681" i="1"/>
  <c r="BL704" i="1"/>
  <c r="BL726" i="1"/>
  <c r="BL751" i="1"/>
  <c r="BL772" i="1"/>
  <c r="BL797" i="1"/>
  <c r="BL819" i="1"/>
  <c r="BL844" i="1"/>
  <c r="BL866" i="1"/>
  <c r="BL891" i="1"/>
  <c r="BL913" i="1"/>
  <c r="BL937" i="1"/>
  <c r="BL960" i="1"/>
  <c r="BL982" i="1"/>
  <c r="BL1007" i="1"/>
  <c r="BL1028" i="1"/>
  <c r="BL1053" i="1"/>
  <c r="BL1075" i="1"/>
  <c r="BL1100" i="1"/>
  <c r="BL1122" i="1"/>
  <c r="BL1147" i="1"/>
  <c r="BL1169" i="1"/>
  <c r="BL1193" i="1"/>
  <c r="BL1216" i="1"/>
  <c r="BL1238" i="1"/>
  <c r="BL1263" i="1"/>
  <c r="BL1284" i="1"/>
  <c r="BL1309" i="1"/>
  <c r="BL1331" i="1"/>
  <c r="BL1356" i="1"/>
  <c r="BL1378" i="1"/>
  <c r="BL242" i="1"/>
  <c r="BL336" i="1"/>
  <c r="BL429" i="1"/>
  <c r="BL523" i="1"/>
  <c r="BL614" i="1"/>
  <c r="BL707" i="1"/>
  <c r="BL801" i="1"/>
  <c r="BL895" i="1"/>
  <c r="BL988" i="1"/>
  <c r="BL1081" i="1"/>
  <c r="BL1172" i="1"/>
  <c r="BL1266" i="1"/>
  <c r="BL1360" i="1"/>
  <c r="BL166" i="1"/>
  <c r="BL259" i="1"/>
  <c r="BL353" i="1"/>
  <c r="BL447" i="1"/>
  <c r="BL540" i="1"/>
  <c r="BL633" i="1"/>
  <c r="BL724" i="1"/>
  <c r="BL818" i="1"/>
  <c r="BL912" i="1"/>
  <c r="BL1005" i="1"/>
  <c r="BL1099" i="1"/>
  <c r="BL1190" i="1"/>
  <c r="BL1283" i="1"/>
  <c r="BL1377" i="1"/>
  <c r="BL171" i="1"/>
  <c r="BL262" i="1"/>
  <c r="BL355" i="1"/>
  <c r="BL449" i="1"/>
  <c r="BL543" i="1"/>
  <c r="BL636" i="1"/>
  <c r="BL729" i="1"/>
  <c r="BL820" i="1"/>
  <c r="BL914" i="1"/>
  <c r="BL1008" i="1"/>
  <c r="BL1101" i="1"/>
  <c r="BL1195" i="1"/>
  <c r="BL1286" i="1"/>
  <c r="BL1379" i="1"/>
  <c r="BL172" i="1"/>
  <c r="BL265" i="1"/>
  <c r="BL356" i="1"/>
  <c r="BL450" i="1"/>
  <c r="BL544" i="1"/>
  <c r="BL637" i="1"/>
  <c r="BL731" i="1"/>
  <c r="BL822" i="1"/>
  <c r="BL915" i="1"/>
  <c r="BL1009" i="1"/>
  <c r="BL1103" i="1"/>
  <c r="BL1196" i="1"/>
  <c r="BL1289" i="1"/>
  <c r="BL1380" i="1"/>
  <c r="BL173" i="1"/>
  <c r="BL267" i="1"/>
  <c r="BL358" i="1"/>
  <c r="BL451" i="1"/>
  <c r="BL545" i="1"/>
  <c r="BL639" i="1"/>
  <c r="BL732" i="1"/>
  <c r="BL825" i="1"/>
  <c r="BL916" i="1"/>
  <c r="BL1010" i="1"/>
  <c r="BL1104" i="1"/>
  <c r="BL1197" i="1"/>
  <c r="BL1291" i="1"/>
  <c r="BL1382" i="1"/>
  <c r="BL191" i="1"/>
  <c r="BL284" i="1"/>
  <c r="BL377" i="1"/>
  <c r="BL468" i="1"/>
  <c r="BL562" i="1"/>
  <c r="BL656" i="1"/>
  <c r="BL749" i="1"/>
  <c r="BL843" i="1"/>
  <c r="BL934" i="1"/>
  <c r="BL1027" i="1"/>
  <c r="BL1121" i="1"/>
  <c r="BL1215" i="1"/>
  <c r="BL1308" i="1"/>
  <c r="BL193" i="1"/>
  <c r="BL287" i="1"/>
  <c r="BL380" i="1"/>
  <c r="BL473" i="1"/>
  <c r="BL564" i="1"/>
  <c r="BL658" i="1"/>
  <c r="BL752" i="1"/>
  <c r="BL845" i="1"/>
  <c r="BL939" i="1"/>
  <c r="BL1030" i="1"/>
  <c r="BL1123" i="1"/>
  <c r="BL1217" i="1"/>
  <c r="BL1311" i="1"/>
  <c r="BL194" i="1"/>
  <c r="BL288" i="1"/>
  <c r="BL381" i="1"/>
  <c r="BL475" i="1"/>
  <c r="BL566" i="1"/>
  <c r="BL659" i="1"/>
  <c r="BL753" i="1"/>
  <c r="BL847" i="1"/>
  <c r="BL940" i="1"/>
  <c r="BL1033" i="1"/>
  <c r="BL1124" i="1"/>
  <c r="BL1218" i="1"/>
  <c r="BL1312" i="1"/>
  <c r="BL195" i="1"/>
  <c r="BL289" i="1"/>
  <c r="BL383" i="1"/>
  <c r="BL476" i="1"/>
  <c r="BL569" i="1"/>
  <c r="BL660" i="1"/>
  <c r="BL754" i="1"/>
  <c r="BL848" i="1"/>
  <c r="BL941" i="1"/>
  <c r="BL1035" i="1"/>
  <c r="BL1126" i="1"/>
  <c r="BL1219" i="1"/>
  <c r="BL1313" i="1"/>
  <c r="BL212" i="1"/>
  <c r="BL306" i="1"/>
  <c r="BL400" i="1"/>
  <c r="BL493" i="1"/>
  <c r="BL587" i="1"/>
  <c r="BL678" i="1"/>
  <c r="BL771" i="1"/>
  <c r="BL865" i="1"/>
  <c r="BL959" i="1"/>
  <c r="BL1052" i="1"/>
  <c r="BL1145" i="1"/>
  <c r="BL1236" i="1"/>
  <c r="BL1330" i="1"/>
  <c r="BL217" i="1"/>
  <c r="BL308" i="1"/>
  <c r="BL402" i="1"/>
  <c r="BL496" i="1"/>
  <c r="BL589" i="1"/>
  <c r="BL683" i="1"/>
  <c r="BL774" i="1"/>
  <c r="BL867" i="1"/>
  <c r="BL961" i="1"/>
  <c r="BL1055" i="1"/>
  <c r="BL1148" i="1"/>
  <c r="BL1241" i="1"/>
  <c r="BL1332" i="1"/>
  <c r="BL241" i="1"/>
  <c r="BL335" i="1"/>
  <c r="BL428" i="1"/>
  <c r="BL521" i="1"/>
  <c r="BL612" i="1"/>
  <c r="BL706" i="1"/>
  <c r="BL800" i="1"/>
  <c r="BL893" i="1"/>
  <c r="BL987" i="1"/>
  <c r="BL1078" i="1"/>
  <c r="BL1171" i="1"/>
  <c r="BL1265" i="1"/>
  <c r="BL1359" i="1"/>
  <c r="BL518" i="1"/>
  <c r="BL892" i="1"/>
  <c r="BL1264" i="1"/>
  <c r="BL219" i="1"/>
  <c r="BL591" i="1"/>
  <c r="BL962" i="1"/>
  <c r="BL1334" i="1"/>
  <c r="BL220" i="1"/>
  <c r="BL592" i="1"/>
  <c r="BL963" i="1"/>
  <c r="BL1337" i="1"/>
  <c r="BL237" i="1"/>
  <c r="BL609" i="1"/>
  <c r="BL980" i="1"/>
  <c r="BL1355" i="1"/>
  <c r="BL240" i="1"/>
  <c r="BL611" i="1"/>
  <c r="BL985" i="1"/>
  <c r="BL1357" i="1"/>
  <c r="BL310" i="1"/>
  <c r="BL684" i="1"/>
  <c r="BL1056" i="1"/>
  <c r="BL313" i="1"/>
  <c r="BL685" i="1"/>
  <c r="BL1057" i="1"/>
  <c r="BL331" i="1"/>
  <c r="BL703" i="1"/>
  <c r="BL1074" i="1"/>
  <c r="BL333" i="1"/>
  <c r="BL705" i="1"/>
  <c r="BL1076" i="1"/>
  <c r="BL403" i="1"/>
  <c r="BL777" i="1"/>
  <c r="BL1149" i="1"/>
  <c r="BL404" i="1"/>
  <c r="BL779" i="1"/>
  <c r="BL1151" i="1"/>
  <c r="BL515" i="1"/>
  <c r="BL889" i="1"/>
  <c r="BL1261" i="1"/>
  <c r="BL422" i="1"/>
  <c r="BL427" i="1"/>
  <c r="BL497" i="1"/>
  <c r="BL498" i="1"/>
  <c r="BL796" i="1"/>
  <c r="BL799" i="1"/>
  <c r="BL868" i="1"/>
  <c r="BL870" i="1"/>
  <c r="BL1168" i="1"/>
  <c r="BL1170" i="1"/>
  <c r="BL1243" i="1"/>
  <c r="BL1244" i="1"/>
  <c r="BN140" i="1"/>
  <c r="BN141" i="1"/>
  <c r="BN142" i="1"/>
  <c r="BN143" i="1"/>
  <c r="BN144" i="1"/>
  <c r="BN145" i="1"/>
  <c r="BN146" i="1"/>
  <c r="BN147" i="1"/>
  <c r="BN148" i="1"/>
  <c r="BN149" i="1"/>
  <c r="BN150" i="1"/>
  <c r="BN151" i="1"/>
  <c r="BN152" i="1"/>
  <c r="BN153" i="1"/>
  <c r="BN154" i="1"/>
  <c r="BN155" i="1"/>
  <c r="BN156" i="1"/>
  <c r="BN157" i="1"/>
  <c r="BN158" i="1"/>
  <c r="BN159" i="1"/>
  <c r="BN160" i="1"/>
  <c r="BN161" i="1"/>
  <c r="BN162" i="1"/>
  <c r="BN163" i="1"/>
  <c r="BN164" i="1"/>
  <c r="BN165" i="1"/>
  <c r="BN166" i="1"/>
  <c r="BN167" i="1"/>
  <c r="BN168" i="1"/>
  <c r="BN169" i="1"/>
  <c r="BN170" i="1"/>
  <c r="BN171" i="1"/>
  <c r="BN172" i="1"/>
  <c r="BN173" i="1"/>
  <c r="BN174" i="1"/>
  <c r="BN175" i="1"/>
  <c r="BN176" i="1"/>
  <c r="BN177" i="1"/>
  <c r="BN178" i="1"/>
  <c r="BN179" i="1"/>
  <c r="BN180" i="1"/>
  <c r="BN181" i="1"/>
  <c r="BN182" i="1"/>
  <c r="BN183" i="1"/>
  <c r="BN184" i="1"/>
  <c r="BN185" i="1"/>
  <c r="BN186" i="1"/>
  <c r="BN187" i="1"/>
  <c r="BN188" i="1"/>
  <c r="BN189" i="1"/>
  <c r="BN190" i="1"/>
  <c r="BN191" i="1"/>
  <c r="BN192" i="1"/>
  <c r="BN193" i="1"/>
  <c r="BN194" i="1"/>
  <c r="BN195" i="1"/>
  <c r="BN196" i="1"/>
  <c r="BN197" i="1"/>
  <c r="BN198" i="1"/>
  <c r="BN199" i="1"/>
  <c r="BN200" i="1"/>
  <c r="BN201" i="1"/>
  <c r="BN202" i="1"/>
  <c r="BN203" i="1"/>
  <c r="BN204" i="1"/>
  <c r="BN205" i="1"/>
  <c r="BN206" i="1"/>
  <c r="BN207" i="1"/>
  <c r="BN208" i="1"/>
  <c r="BN209" i="1"/>
  <c r="BN210" i="1"/>
  <c r="BN211" i="1"/>
  <c r="BN212" i="1"/>
  <c r="BN213" i="1"/>
  <c r="BN214" i="1"/>
  <c r="BN215" i="1"/>
  <c r="BN216" i="1"/>
  <c r="BN217" i="1"/>
  <c r="BN218" i="1"/>
  <c r="BN219" i="1"/>
  <c r="BN220" i="1"/>
  <c r="BN221" i="1"/>
  <c r="BN222" i="1"/>
  <c r="BN223" i="1"/>
  <c r="BN224" i="1"/>
  <c r="BN225" i="1"/>
  <c r="BN226" i="1"/>
  <c r="BN227" i="1"/>
  <c r="BN228" i="1"/>
  <c r="BN229" i="1"/>
  <c r="BN230" i="1"/>
  <c r="BN231" i="1"/>
  <c r="BN232" i="1"/>
  <c r="BN233" i="1"/>
  <c r="BN234" i="1"/>
  <c r="BN235" i="1"/>
  <c r="BN236" i="1"/>
  <c r="BN237" i="1"/>
  <c r="BN238" i="1"/>
  <c r="BN239" i="1"/>
  <c r="BN240" i="1"/>
  <c r="BN241" i="1"/>
  <c r="BN242" i="1"/>
  <c r="BN243" i="1"/>
  <c r="BN244" i="1"/>
  <c r="BN245" i="1"/>
  <c r="BN246" i="1"/>
  <c r="BN247" i="1"/>
  <c r="BN248" i="1"/>
  <c r="BN249" i="1"/>
  <c r="BN250" i="1"/>
  <c r="BN251" i="1"/>
  <c r="BN252" i="1"/>
  <c r="BN253" i="1"/>
  <c r="BN254" i="1"/>
  <c r="BN255" i="1"/>
  <c r="BN256" i="1"/>
  <c r="BN257" i="1"/>
  <c r="BN258" i="1"/>
  <c r="BN259" i="1"/>
  <c r="BN260" i="1"/>
  <c r="BN261" i="1"/>
  <c r="BN262" i="1"/>
  <c r="BN263" i="1"/>
  <c r="BN264" i="1"/>
  <c r="BN265" i="1"/>
  <c r="BN266" i="1"/>
  <c r="BN267" i="1"/>
  <c r="BN268" i="1"/>
  <c r="BN269" i="1"/>
  <c r="BN270" i="1"/>
  <c r="BN271" i="1"/>
  <c r="BN272" i="1"/>
  <c r="BN273" i="1"/>
  <c r="BN274" i="1"/>
  <c r="BN275" i="1"/>
  <c r="BN276" i="1"/>
  <c r="BN277" i="1"/>
  <c r="BN278" i="1"/>
  <c r="BN279" i="1"/>
  <c r="BN280" i="1"/>
  <c r="BN281" i="1"/>
  <c r="BN282" i="1"/>
  <c r="BN283" i="1"/>
  <c r="BN284" i="1"/>
  <c r="BN285" i="1"/>
  <c r="BN286" i="1"/>
  <c r="BN287" i="1"/>
  <c r="BN288" i="1"/>
  <c r="BN289" i="1"/>
  <c r="BN290" i="1"/>
  <c r="BN291" i="1"/>
  <c r="BN292" i="1"/>
  <c r="BN293" i="1"/>
  <c r="BN294" i="1"/>
  <c r="BN295" i="1"/>
  <c r="BN296" i="1"/>
  <c r="BN297" i="1"/>
  <c r="BN298" i="1"/>
  <c r="BN299" i="1"/>
  <c r="BN300" i="1"/>
  <c r="BN301" i="1"/>
  <c r="BN302" i="1"/>
  <c r="BN303" i="1"/>
  <c r="BN304" i="1"/>
  <c r="BN305" i="1"/>
  <c r="BN306" i="1"/>
  <c r="BN307" i="1"/>
  <c r="BN308" i="1"/>
  <c r="BN309" i="1"/>
  <c r="BN310" i="1"/>
  <c r="BN311" i="1"/>
  <c r="BN312" i="1"/>
  <c r="BN313" i="1"/>
  <c r="BN314" i="1"/>
  <c r="BN315" i="1"/>
  <c r="BN316" i="1"/>
  <c r="BN317" i="1"/>
  <c r="BN318" i="1"/>
  <c r="BN319" i="1"/>
  <c r="BN320" i="1"/>
  <c r="BN321" i="1"/>
  <c r="BN322" i="1"/>
  <c r="BN323" i="1"/>
  <c r="BN324" i="1"/>
  <c r="BN325" i="1"/>
  <c r="BN326" i="1"/>
  <c r="BN327" i="1"/>
  <c r="BN328" i="1"/>
  <c r="BN329" i="1"/>
  <c r="BN330" i="1"/>
  <c r="BN331" i="1"/>
  <c r="BN332" i="1"/>
  <c r="BN333" i="1"/>
  <c r="BN334" i="1"/>
  <c r="BN335" i="1"/>
  <c r="BN336" i="1"/>
  <c r="BN337" i="1"/>
  <c r="BN338" i="1"/>
  <c r="BN339" i="1"/>
  <c r="BN340" i="1"/>
  <c r="BN341" i="1"/>
  <c r="BN342" i="1"/>
  <c r="BN343" i="1"/>
  <c r="BN344" i="1"/>
  <c r="BN345" i="1"/>
  <c r="BN346" i="1"/>
  <c r="BN347" i="1"/>
  <c r="BN348" i="1"/>
  <c r="BN349" i="1"/>
  <c r="BN350" i="1"/>
  <c r="BN351" i="1"/>
  <c r="BN352" i="1"/>
  <c r="BN353" i="1"/>
  <c r="BN354" i="1"/>
  <c r="BN355" i="1"/>
  <c r="BN356" i="1"/>
  <c r="BN357" i="1"/>
  <c r="BN358" i="1"/>
  <c r="BN359" i="1"/>
  <c r="BN360" i="1"/>
  <c r="BN361" i="1"/>
  <c r="BN362" i="1"/>
  <c r="BN363" i="1"/>
  <c r="BN364" i="1"/>
  <c r="BN365" i="1"/>
  <c r="BN366" i="1"/>
  <c r="BN367" i="1"/>
  <c r="BN368" i="1"/>
  <c r="BN369" i="1"/>
  <c r="BN370" i="1"/>
  <c r="BN371" i="1"/>
  <c r="BN372" i="1"/>
  <c r="BN373" i="1"/>
  <c r="BN374" i="1"/>
  <c r="BN375" i="1"/>
  <c r="BN376" i="1"/>
  <c r="BN377" i="1"/>
  <c r="BN378" i="1"/>
  <c r="BN379" i="1"/>
  <c r="BN380" i="1"/>
  <c r="BN381" i="1"/>
  <c r="BN382" i="1"/>
  <c r="BN383" i="1"/>
  <c r="BN384" i="1"/>
  <c r="BN385" i="1"/>
  <c r="BN386" i="1"/>
  <c r="BN387" i="1"/>
  <c r="BN388" i="1"/>
  <c r="BN389" i="1"/>
  <c r="BN390" i="1"/>
  <c r="BN391" i="1"/>
  <c r="BN392" i="1"/>
  <c r="BN393" i="1"/>
  <c r="BN394" i="1"/>
  <c r="BN395" i="1"/>
  <c r="BN396" i="1"/>
  <c r="BN397" i="1"/>
  <c r="BN398" i="1"/>
  <c r="BN399" i="1"/>
  <c r="BN400" i="1"/>
  <c r="BN401" i="1"/>
  <c r="BN402" i="1"/>
  <c r="BN403" i="1"/>
  <c r="BN404" i="1"/>
  <c r="BN405" i="1"/>
  <c r="BN406" i="1"/>
  <c r="BN407" i="1"/>
  <c r="BN408" i="1"/>
  <c r="BN409" i="1"/>
  <c r="BN410" i="1"/>
  <c r="BN411" i="1"/>
  <c r="BN412" i="1"/>
  <c r="BN413" i="1"/>
  <c r="BN414" i="1"/>
  <c r="BN415" i="1"/>
  <c r="BN416" i="1"/>
  <c r="BN417" i="1"/>
  <c r="BN418" i="1"/>
  <c r="BN419" i="1"/>
  <c r="BN420" i="1"/>
  <c r="BN421" i="1"/>
  <c r="BN422" i="1"/>
  <c r="BN423" i="1"/>
  <c r="BN424" i="1"/>
  <c r="BN425" i="1"/>
  <c r="BN426" i="1"/>
  <c r="BN427" i="1"/>
  <c r="BN428" i="1"/>
  <c r="BN429" i="1"/>
  <c r="BN430" i="1"/>
  <c r="BN431" i="1"/>
  <c r="BN432" i="1"/>
  <c r="BN433" i="1"/>
  <c r="BN434" i="1"/>
  <c r="BN435" i="1"/>
  <c r="BN436" i="1"/>
  <c r="BN437" i="1"/>
  <c r="BN438" i="1"/>
  <c r="BN439" i="1"/>
  <c r="BN440" i="1"/>
  <c r="BN441" i="1"/>
  <c r="BN442" i="1"/>
  <c r="BN443" i="1"/>
  <c r="BN444" i="1"/>
  <c r="BN445" i="1"/>
  <c r="BN446" i="1"/>
  <c r="BN447" i="1"/>
  <c r="BN448" i="1"/>
  <c r="BN449" i="1"/>
  <c r="BN450" i="1"/>
  <c r="BN451" i="1"/>
  <c r="BN452" i="1"/>
  <c r="BN453" i="1"/>
  <c r="BN454" i="1"/>
  <c r="BN455" i="1"/>
  <c r="BN456" i="1"/>
  <c r="BN457" i="1"/>
  <c r="BN458" i="1"/>
  <c r="BN459" i="1"/>
  <c r="BN460" i="1"/>
  <c r="BN461" i="1"/>
  <c r="BN462" i="1"/>
  <c r="BN463" i="1"/>
  <c r="BN464" i="1"/>
  <c r="BN465" i="1"/>
  <c r="BN466" i="1"/>
  <c r="BN467" i="1"/>
  <c r="BN468" i="1"/>
  <c r="BN469" i="1"/>
  <c r="BN470" i="1"/>
  <c r="BN471" i="1"/>
  <c r="BN472" i="1"/>
  <c r="BN473" i="1"/>
  <c r="BN474" i="1"/>
  <c r="BN475" i="1"/>
  <c r="BN476" i="1"/>
  <c r="BN477" i="1"/>
  <c r="BN478" i="1"/>
  <c r="BN479" i="1"/>
  <c r="BN480" i="1"/>
  <c r="BN481" i="1"/>
  <c r="BN482" i="1"/>
  <c r="BN483" i="1"/>
  <c r="BN484" i="1"/>
  <c r="BN485" i="1"/>
  <c r="BN486" i="1"/>
  <c r="BN487" i="1"/>
  <c r="BN488" i="1"/>
  <c r="BN489" i="1"/>
  <c r="BN490" i="1"/>
  <c r="BN491" i="1"/>
  <c r="BN492" i="1"/>
  <c r="BN493" i="1"/>
  <c r="BN494" i="1"/>
  <c r="BN495" i="1"/>
  <c r="BN496" i="1"/>
  <c r="BN497" i="1"/>
  <c r="BN498" i="1"/>
  <c r="BN499" i="1"/>
  <c r="BN500" i="1"/>
  <c r="BN501" i="1"/>
  <c r="BN502" i="1"/>
  <c r="BN503" i="1"/>
  <c r="BN504" i="1"/>
  <c r="BN505" i="1"/>
  <c r="BN506" i="1"/>
  <c r="BN507" i="1"/>
  <c r="BN508" i="1"/>
  <c r="BN509" i="1"/>
  <c r="BN510" i="1"/>
  <c r="BN511" i="1"/>
  <c r="BN512" i="1"/>
  <c r="BN513" i="1"/>
  <c r="BN514" i="1"/>
  <c r="BN515" i="1"/>
  <c r="BN516" i="1"/>
  <c r="BN517" i="1"/>
  <c r="BN518" i="1"/>
  <c r="BN519" i="1"/>
  <c r="BN520" i="1"/>
  <c r="BN521" i="1"/>
  <c r="BN522" i="1"/>
  <c r="BN523" i="1"/>
  <c r="BN524" i="1"/>
  <c r="BN525" i="1"/>
  <c r="BN526" i="1"/>
  <c r="BN527" i="1"/>
  <c r="BN528" i="1"/>
  <c r="BN529" i="1"/>
  <c r="BN530" i="1"/>
  <c r="BN531" i="1"/>
  <c r="BN532" i="1"/>
  <c r="BN533" i="1"/>
  <c r="BN534" i="1"/>
  <c r="BN535" i="1"/>
  <c r="BN536" i="1"/>
  <c r="BN537" i="1"/>
  <c r="BN538" i="1"/>
  <c r="BN539" i="1"/>
  <c r="BN540" i="1"/>
  <c r="BN541" i="1"/>
  <c r="BN542" i="1"/>
  <c r="BN543" i="1"/>
  <c r="BN544" i="1"/>
  <c r="BN545" i="1"/>
  <c r="BN546" i="1"/>
  <c r="BN547" i="1"/>
  <c r="BN548" i="1"/>
  <c r="BN549" i="1"/>
  <c r="BN550" i="1"/>
  <c r="BN551" i="1"/>
  <c r="BN552" i="1"/>
  <c r="BN553" i="1"/>
  <c r="BN554" i="1"/>
  <c r="BN555" i="1"/>
  <c r="BN556" i="1"/>
  <c r="BN557" i="1"/>
  <c r="BN558" i="1"/>
  <c r="BN559" i="1"/>
  <c r="BN560" i="1"/>
  <c r="BN561" i="1"/>
  <c r="BN562" i="1"/>
  <c r="BN563" i="1"/>
  <c r="BN564" i="1"/>
  <c r="BN565" i="1"/>
  <c r="BN566" i="1"/>
  <c r="BN567" i="1"/>
  <c r="BN568" i="1"/>
  <c r="BN569" i="1"/>
  <c r="BN570" i="1"/>
  <c r="BN571" i="1"/>
  <c r="BN572" i="1"/>
  <c r="BN573" i="1"/>
  <c r="BN574" i="1"/>
  <c r="BN575" i="1"/>
  <c r="BN576" i="1"/>
  <c r="BN577" i="1"/>
  <c r="BN578" i="1"/>
  <c r="BN579" i="1"/>
  <c r="BN580" i="1"/>
  <c r="BN581" i="1"/>
  <c r="BN582" i="1"/>
  <c r="BN583" i="1"/>
  <c r="BN584" i="1"/>
  <c r="BN585" i="1"/>
  <c r="BN586" i="1"/>
  <c r="BN587" i="1"/>
  <c r="BN588" i="1"/>
  <c r="BN589" i="1"/>
  <c r="BN590" i="1"/>
  <c r="BN591" i="1"/>
  <c r="BN592" i="1"/>
  <c r="BN593" i="1"/>
  <c r="BN594" i="1"/>
  <c r="BN595" i="1"/>
  <c r="BN596" i="1"/>
  <c r="BN597" i="1"/>
  <c r="BN598" i="1"/>
  <c r="BN599" i="1"/>
  <c r="BN600" i="1"/>
  <c r="BN601" i="1"/>
  <c r="BN602" i="1"/>
  <c r="BN603" i="1"/>
  <c r="BN604" i="1"/>
  <c r="BN605" i="1"/>
  <c r="BN606" i="1"/>
  <c r="BN607" i="1"/>
  <c r="BN608" i="1"/>
  <c r="BN609" i="1"/>
  <c r="BN610" i="1"/>
  <c r="BN611" i="1"/>
  <c r="BN612" i="1"/>
  <c r="BN613" i="1"/>
  <c r="BN614" i="1"/>
  <c r="BN615" i="1"/>
  <c r="BN616" i="1"/>
  <c r="BN617" i="1"/>
  <c r="BN618" i="1"/>
  <c r="BN619" i="1"/>
  <c r="BN620" i="1"/>
  <c r="BN621" i="1"/>
  <c r="BN622" i="1"/>
  <c r="BN623" i="1"/>
  <c r="BN624" i="1"/>
  <c r="BN625" i="1"/>
  <c r="BN626" i="1"/>
  <c r="BN627" i="1"/>
  <c r="BN628" i="1"/>
  <c r="BN629" i="1"/>
  <c r="BN630" i="1"/>
  <c r="BN631" i="1"/>
  <c r="BN632" i="1"/>
  <c r="BN633" i="1"/>
  <c r="BN634" i="1"/>
  <c r="BN635" i="1"/>
  <c r="BN636" i="1"/>
  <c r="BN637" i="1"/>
  <c r="BN638" i="1"/>
  <c r="BN639" i="1"/>
  <c r="BN640" i="1"/>
  <c r="BN641" i="1"/>
  <c r="BN642" i="1"/>
  <c r="BN643" i="1"/>
  <c r="BN644" i="1"/>
  <c r="BN645" i="1"/>
  <c r="BN646" i="1"/>
  <c r="BN647" i="1"/>
  <c r="BN648" i="1"/>
  <c r="BN649" i="1"/>
  <c r="BN650" i="1"/>
  <c r="BN651" i="1"/>
  <c r="BN652" i="1"/>
  <c r="BN653" i="1"/>
  <c r="BN654" i="1"/>
  <c r="BN655" i="1"/>
  <c r="BN656" i="1"/>
  <c r="BN657" i="1"/>
  <c r="BN658" i="1"/>
  <c r="BN659" i="1"/>
  <c r="BN660" i="1"/>
  <c r="BN661" i="1"/>
  <c r="BN662" i="1"/>
  <c r="BN663" i="1"/>
  <c r="BN664" i="1"/>
  <c r="BN665" i="1"/>
  <c r="BN666" i="1"/>
  <c r="BN667" i="1"/>
  <c r="BN668" i="1"/>
  <c r="BN669" i="1"/>
  <c r="BN670" i="1"/>
  <c r="BN671" i="1"/>
  <c r="BN672" i="1"/>
  <c r="BN673" i="1"/>
  <c r="BN674" i="1"/>
  <c r="BN675" i="1"/>
  <c r="BN676" i="1"/>
  <c r="BN677" i="1"/>
  <c r="BN678" i="1"/>
  <c r="BN679" i="1"/>
  <c r="BN680" i="1"/>
  <c r="BN681" i="1"/>
  <c r="BN682" i="1"/>
  <c r="BN683" i="1"/>
  <c r="BN684" i="1"/>
  <c r="BN685" i="1"/>
  <c r="BN686" i="1"/>
  <c r="BN687" i="1"/>
  <c r="BN688" i="1"/>
  <c r="BN689" i="1"/>
  <c r="BN690" i="1"/>
  <c r="BN691" i="1"/>
  <c r="BN692" i="1"/>
  <c r="BN693" i="1"/>
  <c r="BN694" i="1"/>
  <c r="BN695" i="1"/>
  <c r="BN696" i="1"/>
  <c r="BN697" i="1"/>
  <c r="BN698" i="1"/>
  <c r="BN699" i="1"/>
  <c r="BN700" i="1"/>
  <c r="BN701" i="1"/>
  <c r="BN702" i="1"/>
  <c r="BN703" i="1"/>
  <c r="BN704" i="1"/>
  <c r="BN705" i="1"/>
  <c r="BN706" i="1"/>
  <c r="BN707" i="1"/>
  <c r="BN708" i="1"/>
  <c r="BN709" i="1"/>
  <c r="BN710" i="1"/>
  <c r="BN711" i="1"/>
  <c r="BN712" i="1"/>
  <c r="BN713" i="1"/>
  <c r="BN714" i="1"/>
  <c r="BN715" i="1"/>
  <c r="BN716" i="1"/>
  <c r="BN717" i="1"/>
  <c r="BN718" i="1"/>
  <c r="BN719" i="1"/>
  <c r="BN720" i="1"/>
  <c r="BN721" i="1"/>
  <c r="BN722" i="1"/>
  <c r="BN723" i="1"/>
  <c r="BN724" i="1"/>
  <c r="BN725" i="1"/>
  <c r="BN726" i="1"/>
  <c r="BN727" i="1"/>
  <c r="BN728" i="1"/>
  <c r="BN729" i="1"/>
  <c r="BN730" i="1"/>
  <c r="BN731" i="1"/>
  <c r="BN732" i="1"/>
  <c r="BN733" i="1"/>
  <c r="BN734" i="1"/>
  <c r="BN735" i="1"/>
  <c r="BN736" i="1"/>
  <c r="BN737" i="1"/>
  <c r="BN738" i="1"/>
  <c r="BN739" i="1"/>
  <c r="BN740" i="1"/>
  <c r="BN741" i="1"/>
  <c r="BN742" i="1"/>
  <c r="BN743" i="1"/>
  <c r="BN744" i="1"/>
  <c r="BN745" i="1"/>
  <c r="BN746" i="1"/>
  <c r="BN747" i="1"/>
  <c r="BN748" i="1"/>
  <c r="BN749" i="1"/>
  <c r="BN750" i="1"/>
  <c r="BN751" i="1"/>
  <c r="BN752" i="1"/>
  <c r="BN753" i="1"/>
  <c r="BN754" i="1"/>
  <c r="BN755" i="1"/>
  <c r="BN756" i="1"/>
  <c r="BN757" i="1"/>
  <c r="BN758" i="1"/>
  <c r="BN759" i="1"/>
  <c r="BN760" i="1"/>
  <c r="BN761" i="1"/>
  <c r="BN762" i="1"/>
  <c r="BN763" i="1"/>
  <c r="BN764" i="1"/>
  <c r="BN765" i="1"/>
  <c r="BN766" i="1"/>
  <c r="BN767" i="1"/>
  <c r="BN768" i="1"/>
  <c r="BN769" i="1"/>
  <c r="BN770" i="1"/>
  <c r="BN771" i="1"/>
  <c r="BN772" i="1"/>
  <c r="BN773" i="1"/>
  <c r="BN774" i="1"/>
  <c r="BN775" i="1"/>
  <c r="BN776" i="1"/>
  <c r="BN777" i="1"/>
  <c r="BN778" i="1"/>
  <c r="BN779" i="1"/>
  <c r="BN780" i="1"/>
  <c r="BN781" i="1"/>
  <c r="BN782" i="1"/>
  <c r="BN783" i="1"/>
  <c r="BN784" i="1"/>
  <c r="BN785" i="1"/>
  <c r="BN786" i="1"/>
  <c r="BN787" i="1"/>
  <c r="BN788" i="1"/>
  <c r="BN789" i="1"/>
  <c r="BN790" i="1"/>
  <c r="BN791" i="1"/>
  <c r="BN792" i="1"/>
  <c r="BN793" i="1"/>
  <c r="BN794" i="1"/>
  <c r="BN795" i="1"/>
  <c r="BN796" i="1"/>
  <c r="BN797" i="1"/>
  <c r="BN798" i="1"/>
  <c r="BN799" i="1"/>
  <c r="BN800" i="1"/>
  <c r="BN801" i="1"/>
  <c r="BN802" i="1"/>
  <c r="BN803" i="1"/>
  <c r="BN804" i="1"/>
  <c r="BN805" i="1"/>
  <c r="BN806" i="1"/>
  <c r="BN807" i="1"/>
  <c r="BN808" i="1"/>
  <c r="BN809" i="1"/>
  <c r="BN810" i="1"/>
  <c r="BN811" i="1"/>
  <c r="BN812" i="1"/>
  <c r="BN813" i="1"/>
  <c r="BN814" i="1"/>
  <c r="BN815" i="1"/>
  <c r="BN816" i="1"/>
  <c r="BN817" i="1"/>
  <c r="BN818" i="1"/>
  <c r="BN819" i="1"/>
  <c r="BN820" i="1"/>
  <c r="BN821" i="1"/>
  <c r="BN822" i="1"/>
  <c r="BN823" i="1"/>
  <c r="BN824" i="1"/>
  <c r="BN825" i="1"/>
  <c r="BN826" i="1"/>
  <c r="BN827" i="1"/>
  <c r="BN828" i="1"/>
  <c r="BN829" i="1"/>
  <c r="BN830" i="1"/>
  <c r="BN831" i="1"/>
  <c r="BN832" i="1"/>
  <c r="BN833" i="1"/>
  <c r="BN834" i="1"/>
  <c r="BN835" i="1"/>
  <c r="BN836" i="1"/>
  <c r="BN837" i="1"/>
  <c r="BN838" i="1"/>
  <c r="BN839" i="1"/>
  <c r="BN840" i="1"/>
  <c r="BN841" i="1"/>
  <c r="BN842" i="1"/>
  <c r="BN843" i="1"/>
  <c r="BN844" i="1"/>
  <c r="BN845" i="1"/>
  <c r="BN846" i="1"/>
  <c r="BN847" i="1"/>
  <c r="BN848" i="1"/>
  <c r="BN849" i="1"/>
  <c r="BN850" i="1"/>
  <c r="BN851" i="1"/>
  <c r="BN852" i="1"/>
  <c r="BN853" i="1"/>
  <c r="BN854" i="1"/>
  <c r="BN855" i="1"/>
  <c r="BN856" i="1"/>
  <c r="BN857" i="1"/>
  <c r="BN858" i="1"/>
  <c r="BN859" i="1"/>
  <c r="BN860" i="1"/>
  <c r="BN861" i="1"/>
  <c r="BN862" i="1"/>
  <c r="BN863" i="1"/>
  <c r="BN864" i="1"/>
  <c r="BN865" i="1"/>
  <c r="BN866" i="1"/>
  <c r="BN867" i="1"/>
  <c r="BN868" i="1"/>
  <c r="BN869" i="1"/>
  <c r="BN870" i="1"/>
  <c r="BN871" i="1"/>
  <c r="BN872" i="1"/>
  <c r="BN873" i="1"/>
  <c r="BN874" i="1"/>
  <c r="BN875" i="1"/>
  <c r="BN876" i="1"/>
  <c r="BN877" i="1"/>
  <c r="BN878" i="1"/>
  <c r="BN879" i="1"/>
  <c r="BN880" i="1"/>
  <c r="BN881" i="1"/>
  <c r="BN882" i="1"/>
  <c r="BN883" i="1"/>
  <c r="BN884" i="1"/>
  <c r="BN885" i="1"/>
  <c r="BN886" i="1"/>
  <c r="BN887" i="1"/>
  <c r="BN888" i="1"/>
  <c r="BN889" i="1"/>
  <c r="BN890" i="1"/>
  <c r="BN891" i="1"/>
  <c r="BN892" i="1"/>
  <c r="BN893" i="1"/>
  <c r="BN894" i="1"/>
  <c r="BN895" i="1"/>
  <c r="BN896" i="1"/>
  <c r="BN897" i="1"/>
  <c r="BN898" i="1"/>
  <c r="BN899" i="1"/>
  <c r="BN900" i="1"/>
  <c r="BN901" i="1"/>
  <c r="BN902" i="1"/>
  <c r="BN903" i="1"/>
  <c r="BN904" i="1"/>
  <c r="BN905" i="1"/>
  <c r="BN906" i="1"/>
  <c r="BN907" i="1"/>
  <c r="BN908" i="1"/>
  <c r="BN909" i="1"/>
  <c r="BN910" i="1"/>
  <c r="BN911" i="1"/>
  <c r="BN912" i="1"/>
  <c r="BN913" i="1"/>
  <c r="BN914" i="1"/>
  <c r="BN915" i="1"/>
  <c r="BN916" i="1"/>
  <c r="BN917" i="1"/>
  <c r="BN918" i="1"/>
  <c r="BN919" i="1"/>
  <c r="BN920" i="1"/>
  <c r="BN921" i="1"/>
  <c r="BN922" i="1"/>
  <c r="BN923" i="1"/>
  <c r="BN924" i="1"/>
  <c r="BN925" i="1"/>
  <c r="BN926" i="1"/>
  <c r="BN927" i="1"/>
  <c r="BN928" i="1"/>
  <c r="BN929" i="1"/>
  <c r="BN930" i="1"/>
  <c r="BN931" i="1"/>
  <c r="BN932" i="1"/>
  <c r="BN933" i="1"/>
  <c r="BN934" i="1"/>
  <c r="BN935" i="1"/>
  <c r="BN936" i="1"/>
  <c r="BN937" i="1"/>
  <c r="BN938" i="1"/>
  <c r="BN939" i="1"/>
  <c r="BN940" i="1"/>
  <c r="BN941" i="1"/>
  <c r="BN942" i="1"/>
  <c r="BN943" i="1"/>
  <c r="BN944" i="1"/>
  <c r="BN945" i="1"/>
  <c r="BN946" i="1"/>
  <c r="BN947" i="1"/>
  <c r="BN948" i="1"/>
  <c r="BN949" i="1"/>
  <c r="BN950" i="1"/>
  <c r="BN951" i="1"/>
  <c r="BN952" i="1"/>
  <c r="BN953" i="1"/>
  <c r="BN954" i="1"/>
  <c r="BN955" i="1"/>
  <c r="BN956" i="1"/>
  <c r="BN957" i="1"/>
  <c r="BN958" i="1"/>
  <c r="BN959" i="1"/>
  <c r="BN960" i="1"/>
  <c r="BN961" i="1"/>
  <c r="BN962" i="1"/>
  <c r="BN963" i="1"/>
  <c r="BN964" i="1"/>
  <c r="BN965" i="1"/>
  <c r="BN966" i="1"/>
  <c r="BN967" i="1"/>
  <c r="BN968" i="1"/>
  <c r="BN969" i="1"/>
  <c r="BN970" i="1"/>
  <c r="BN971" i="1"/>
  <c r="BN972" i="1"/>
  <c r="BN973" i="1"/>
  <c r="BN974" i="1"/>
  <c r="BN975" i="1"/>
  <c r="BN976" i="1"/>
  <c r="BN977" i="1"/>
  <c r="BN978" i="1"/>
  <c r="BN979" i="1"/>
  <c r="BN980" i="1"/>
  <c r="BN981" i="1"/>
  <c r="BN982" i="1"/>
  <c r="BN983" i="1"/>
  <c r="BN984" i="1"/>
  <c r="BN985" i="1"/>
  <c r="BN986" i="1"/>
  <c r="BN987" i="1"/>
  <c r="BN988" i="1"/>
  <c r="BN989" i="1"/>
  <c r="BN990" i="1"/>
  <c r="BN991" i="1"/>
  <c r="BN992" i="1"/>
  <c r="BN993" i="1"/>
  <c r="BN994" i="1"/>
  <c r="BN995" i="1"/>
  <c r="BN996" i="1"/>
  <c r="BN997" i="1"/>
  <c r="BN998" i="1"/>
  <c r="BN999" i="1"/>
  <c r="BN1000" i="1"/>
  <c r="BN1001" i="1"/>
  <c r="BN1002" i="1"/>
  <c r="BN1003" i="1"/>
  <c r="BN1004" i="1"/>
  <c r="BN1005" i="1"/>
  <c r="BN1006" i="1"/>
  <c r="BN1007" i="1"/>
  <c r="BN1008" i="1"/>
  <c r="BN1009" i="1"/>
  <c r="BN1010" i="1"/>
  <c r="BN1011" i="1"/>
  <c r="BN1012" i="1"/>
  <c r="BN1013" i="1"/>
  <c r="BN1014" i="1"/>
  <c r="BN1015" i="1"/>
  <c r="BN1016" i="1"/>
  <c r="BN1017" i="1"/>
  <c r="BN1018" i="1"/>
  <c r="BN1019" i="1"/>
  <c r="BN1020" i="1"/>
  <c r="BN1021" i="1"/>
  <c r="BN1022" i="1"/>
  <c r="BN1023" i="1"/>
  <c r="BN1024" i="1"/>
  <c r="BN1025" i="1"/>
  <c r="BN1026" i="1"/>
  <c r="BN1027" i="1"/>
  <c r="BN1028" i="1"/>
  <c r="BN1029" i="1"/>
  <c r="BN1030" i="1"/>
  <c r="BN1031" i="1"/>
  <c r="BN1032" i="1"/>
  <c r="BN1033" i="1"/>
  <c r="BN1034" i="1"/>
  <c r="BN1035" i="1"/>
  <c r="BN1036" i="1"/>
  <c r="BN1037" i="1"/>
  <c r="BN1038" i="1"/>
  <c r="BN1039" i="1"/>
  <c r="BN1040" i="1"/>
  <c r="BN1041" i="1"/>
  <c r="BN1042" i="1"/>
  <c r="BN1043" i="1"/>
  <c r="BN1044" i="1"/>
  <c r="BN1045" i="1"/>
  <c r="BN1046" i="1"/>
  <c r="BN1047" i="1"/>
  <c r="BN1048" i="1"/>
  <c r="BN1049" i="1"/>
  <c r="BN1050" i="1"/>
  <c r="BN1051" i="1"/>
  <c r="BN1052" i="1"/>
  <c r="BN1053" i="1"/>
  <c r="BN1054" i="1"/>
  <c r="BN1055" i="1"/>
  <c r="BN1056" i="1"/>
  <c r="BN1057" i="1"/>
  <c r="BN1058" i="1"/>
  <c r="BN1059" i="1"/>
  <c r="BN1060" i="1"/>
  <c r="BN1061" i="1"/>
  <c r="BN1062" i="1"/>
  <c r="BN1063" i="1"/>
  <c r="BN1064" i="1"/>
  <c r="BN1065" i="1"/>
  <c r="BN1066" i="1"/>
  <c r="BN1067" i="1"/>
  <c r="BN1068" i="1"/>
  <c r="BN1069" i="1"/>
  <c r="BN1070" i="1"/>
  <c r="BN1071" i="1"/>
  <c r="BN1072" i="1"/>
  <c r="BN1073" i="1"/>
  <c r="BN1074" i="1"/>
  <c r="BN1075" i="1"/>
  <c r="BN1076" i="1"/>
  <c r="BN1077" i="1"/>
  <c r="BN1078" i="1"/>
  <c r="BN1079" i="1"/>
  <c r="BN1080" i="1"/>
  <c r="BN1081" i="1"/>
  <c r="BN1082" i="1"/>
  <c r="BN1083" i="1"/>
  <c r="BN1084" i="1"/>
  <c r="BN1085" i="1"/>
  <c r="BN1086" i="1"/>
  <c r="BN1087" i="1"/>
  <c r="BN1088" i="1"/>
  <c r="BN1089" i="1"/>
  <c r="BN1090" i="1"/>
  <c r="BN1091" i="1"/>
  <c r="BN1092" i="1"/>
  <c r="BN1093" i="1"/>
  <c r="BN1094" i="1"/>
  <c r="BN1095" i="1"/>
  <c r="BN1096" i="1"/>
  <c r="BN1097" i="1"/>
  <c r="BN1098" i="1"/>
  <c r="BN1099" i="1"/>
  <c r="BN1100" i="1"/>
  <c r="BN1101" i="1"/>
  <c r="BN1102" i="1"/>
  <c r="BN1103" i="1"/>
  <c r="BN1104" i="1"/>
  <c r="BN1105" i="1"/>
  <c r="BN1106" i="1"/>
  <c r="BN1107" i="1"/>
  <c r="BN1108" i="1"/>
  <c r="BN1109" i="1"/>
  <c r="BN1110" i="1"/>
  <c r="BN1111" i="1"/>
  <c r="BN1112" i="1"/>
  <c r="BN1113" i="1"/>
  <c r="BN1114" i="1"/>
  <c r="BN1115" i="1"/>
  <c r="BN1116" i="1"/>
  <c r="BN1117" i="1"/>
  <c r="BN1118" i="1"/>
  <c r="BN1119" i="1"/>
  <c r="BN1120" i="1"/>
  <c r="BN1121" i="1"/>
  <c r="BN1122" i="1"/>
  <c r="BN1123" i="1"/>
  <c r="BN1124" i="1"/>
  <c r="BN1125" i="1"/>
  <c r="BN1126" i="1"/>
  <c r="BN1127" i="1"/>
  <c r="BN1128" i="1"/>
  <c r="BN1129" i="1"/>
  <c r="BN1130" i="1"/>
  <c r="BN1131" i="1"/>
  <c r="BN1132" i="1"/>
  <c r="BN1133" i="1"/>
  <c r="BN1134" i="1"/>
  <c r="BN1135" i="1"/>
  <c r="BN1136" i="1"/>
  <c r="BN1137" i="1"/>
  <c r="BN1138" i="1"/>
  <c r="BN1139" i="1"/>
  <c r="BN1140" i="1"/>
  <c r="BN1141" i="1"/>
  <c r="BN1142" i="1"/>
  <c r="BN1143" i="1"/>
  <c r="BN1144" i="1"/>
  <c r="BN1145" i="1"/>
  <c r="BN1146" i="1"/>
  <c r="BN1147" i="1"/>
  <c r="BN1148" i="1"/>
  <c r="BN1149" i="1"/>
  <c r="BN1150" i="1"/>
  <c r="BN1151" i="1"/>
  <c r="BN1152" i="1"/>
  <c r="BN1153" i="1"/>
  <c r="BN1154" i="1"/>
  <c r="BN1155" i="1"/>
  <c r="BN1156" i="1"/>
  <c r="BN1157" i="1"/>
  <c r="BN1158" i="1"/>
  <c r="BN1159" i="1"/>
  <c r="BN1160" i="1"/>
  <c r="BN1161" i="1"/>
  <c r="BN1162" i="1"/>
  <c r="BN1163" i="1"/>
  <c r="BN1164" i="1"/>
  <c r="BN1165" i="1"/>
  <c r="BN1166" i="1"/>
  <c r="BN1167" i="1"/>
  <c r="BN1168" i="1"/>
  <c r="BN1169" i="1"/>
  <c r="BN1170" i="1"/>
  <c r="BN1171" i="1"/>
  <c r="BN1172" i="1"/>
  <c r="BN1173" i="1"/>
  <c r="BN1174" i="1"/>
  <c r="BN1175" i="1"/>
  <c r="BN1176" i="1"/>
  <c r="BN1177" i="1"/>
  <c r="BN1178" i="1"/>
  <c r="BN1179" i="1"/>
  <c r="BN1180" i="1"/>
  <c r="BN1181" i="1"/>
  <c r="BN1182" i="1"/>
  <c r="BN1183" i="1"/>
  <c r="BN1184" i="1"/>
  <c r="BN1185" i="1"/>
  <c r="BN1186" i="1"/>
  <c r="BN1187" i="1"/>
  <c r="BN1188" i="1"/>
  <c r="BN1189" i="1"/>
  <c r="BN1190" i="1"/>
  <c r="BN1191" i="1"/>
  <c r="BN1192" i="1"/>
  <c r="BN1193" i="1"/>
  <c r="BN1194" i="1"/>
  <c r="BN1195" i="1"/>
  <c r="BN1196" i="1"/>
  <c r="BN1197" i="1"/>
  <c r="BN1198" i="1"/>
  <c r="BN1199" i="1"/>
  <c r="BN1200" i="1"/>
  <c r="BN1201" i="1"/>
  <c r="BN1202" i="1"/>
  <c r="BN1203" i="1"/>
  <c r="BN1204" i="1"/>
  <c r="BN1205" i="1"/>
  <c r="BN1206" i="1"/>
  <c r="BN1207" i="1"/>
  <c r="BN1208" i="1"/>
  <c r="BN1209" i="1"/>
  <c r="BN1210" i="1"/>
  <c r="BN1211" i="1"/>
  <c r="BN1212" i="1"/>
  <c r="BN1213" i="1"/>
  <c r="BN1214" i="1"/>
  <c r="BN1215" i="1"/>
  <c r="BN1216" i="1"/>
  <c r="BN1217" i="1"/>
  <c r="BN1218" i="1"/>
  <c r="BN1219" i="1"/>
  <c r="BN1220" i="1"/>
  <c r="BN1221" i="1"/>
  <c r="BN1222" i="1"/>
  <c r="BN1223" i="1"/>
  <c r="BN1224" i="1"/>
  <c r="BN1225" i="1"/>
  <c r="BN1226" i="1"/>
  <c r="BN1227" i="1"/>
  <c r="BN1228" i="1"/>
  <c r="BN1229" i="1"/>
  <c r="BN1230" i="1"/>
  <c r="BN1231" i="1"/>
  <c r="BN1232" i="1"/>
  <c r="BN1233" i="1"/>
  <c r="BN1234" i="1"/>
  <c r="BN1235" i="1"/>
  <c r="BN1236" i="1"/>
  <c r="BN1237" i="1"/>
  <c r="BN1238" i="1"/>
  <c r="BN1239" i="1"/>
  <c r="BN1240" i="1"/>
  <c r="BN1241" i="1"/>
  <c r="BN1242" i="1"/>
  <c r="BN1243" i="1"/>
  <c r="BN1244" i="1"/>
  <c r="BN1245" i="1"/>
  <c r="BN1246" i="1"/>
  <c r="BN1247" i="1"/>
  <c r="BN1248" i="1"/>
  <c r="BN1249" i="1"/>
  <c r="BN1250" i="1"/>
  <c r="BN1251" i="1"/>
  <c r="BN1252" i="1"/>
  <c r="BN1253" i="1"/>
  <c r="BN1254" i="1"/>
  <c r="BN1255" i="1"/>
  <c r="BN1256" i="1"/>
  <c r="BN1257" i="1"/>
  <c r="BN1258" i="1"/>
  <c r="BN1259" i="1"/>
  <c r="BN1260" i="1"/>
  <c r="BN1261" i="1"/>
  <c r="BN1262" i="1"/>
  <c r="BN1263" i="1"/>
  <c r="BN1264" i="1"/>
  <c r="BN1265" i="1"/>
  <c r="BN1266" i="1"/>
  <c r="BN1267" i="1"/>
  <c r="BN1268" i="1"/>
  <c r="BN1269" i="1"/>
  <c r="BN1270" i="1"/>
  <c r="BN1271" i="1"/>
  <c r="BN1272" i="1"/>
  <c r="BN1273" i="1"/>
  <c r="BN1274" i="1"/>
  <c r="BN1275" i="1"/>
  <c r="BN1276" i="1"/>
  <c r="BN1277" i="1"/>
  <c r="BN1278" i="1"/>
  <c r="BN1279" i="1"/>
  <c r="BN1280" i="1"/>
  <c r="BN1281" i="1"/>
  <c r="BN1282" i="1"/>
  <c r="BN1283" i="1"/>
  <c r="BN1284" i="1"/>
  <c r="BN1285" i="1"/>
  <c r="BN1286" i="1"/>
  <c r="BN1287" i="1"/>
  <c r="BN1288" i="1"/>
  <c r="BN1289" i="1"/>
  <c r="BN1290" i="1"/>
  <c r="BN1291" i="1"/>
  <c r="BN1292" i="1"/>
  <c r="BN1293" i="1"/>
  <c r="BN1294" i="1"/>
  <c r="BN1295" i="1"/>
  <c r="BN1296" i="1"/>
  <c r="BN1297" i="1"/>
  <c r="BN1298" i="1"/>
  <c r="BN1299" i="1"/>
  <c r="BN1300" i="1"/>
  <c r="BN1301" i="1"/>
  <c r="BN1302" i="1"/>
  <c r="BN1303" i="1"/>
  <c r="BN1304" i="1"/>
  <c r="BN1305" i="1"/>
  <c r="BN1306" i="1"/>
  <c r="BN1307" i="1"/>
  <c r="BN1308" i="1"/>
  <c r="BN1309" i="1"/>
  <c r="BN1310" i="1"/>
  <c r="BN1311" i="1"/>
  <c r="BN1312" i="1"/>
  <c r="BN1313" i="1"/>
  <c r="BN1314" i="1"/>
  <c r="BN1315" i="1"/>
  <c r="BN1316" i="1"/>
  <c r="BN1317" i="1"/>
  <c r="BN1318" i="1"/>
  <c r="BN1319" i="1"/>
  <c r="BN1320" i="1"/>
  <c r="BN1321" i="1"/>
  <c r="BN1322" i="1"/>
  <c r="BN1323" i="1"/>
  <c r="BN1324" i="1"/>
  <c r="BN1325" i="1"/>
  <c r="BN1326" i="1"/>
  <c r="BN1327" i="1"/>
  <c r="BN1328" i="1"/>
  <c r="BN1329" i="1"/>
  <c r="BN1330" i="1"/>
  <c r="BN1331" i="1"/>
  <c r="BN1332" i="1"/>
  <c r="BN1333" i="1"/>
  <c r="BN1334" i="1"/>
  <c r="BN1335" i="1"/>
  <c r="BN1336" i="1"/>
  <c r="BN1337" i="1"/>
  <c r="BN1338" i="1"/>
  <c r="BN1339" i="1"/>
  <c r="BN1340" i="1"/>
  <c r="BN1341" i="1"/>
  <c r="BN1342" i="1"/>
  <c r="BN1343" i="1"/>
  <c r="BN1344" i="1"/>
  <c r="BN1345" i="1"/>
  <c r="BN1346" i="1"/>
  <c r="BN1347" i="1"/>
  <c r="BN1348" i="1"/>
  <c r="BN1349" i="1"/>
  <c r="BN1350" i="1"/>
  <c r="BN1351" i="1"/>
  <c r="BN1352" i="1"/>
  <c r="BN1353" i="1"/>
  <c r="BN1354" i="1"/>
  <c r="BN1355" i="1"/>
  <c r="BN1356" i="1"/>
  <c r="BN1357" i="1"/>
  <c r="BN1358" i="1"/>
  <c r="BN1359" i="1"/>
  <c r="BN1360" i="1"/>
  <c r="BN1361" i="1"/>
  <c r="BN1362" i="1"/>
  <c r="BN1363" i="1"/>
  <c r="BN1364" i="1"/>
  <c r="BN1365" i="1"/>
  <c r="BN1366" i="1"/>
  <c r="BN1367" i="1"/>
  <c r="BN1368" i="1"/>
  <c r="BN1369" i="1"/>
  <c r="BN1370" i="1"/>
  <c r="BN1371" i="1"/>
  <c r="BN1372" i="1"/>
  <c r="BN1373" i="1"/>
  <c r="BN1374" i="1"/>
  <c r="BN1375" i="1"/>
  <c r="BN1376" i="1"/>
  <c r="BN1377" i="1"/>
  <c r="BN1378" i="1"/>
  <c r="BN1379" i="1"/>
  <c r="BN1380" i="1"/>
  <c r="BN1381" i="1"/>
  <c r="BN1382" i="1"/>
  <c r="BN1383" i="1"/>
  <c r="BN1384" i="1"/>
  <c r="BO136" i="1"/>
  <c r="BO137" i="1"/>
  <c r="BO138" i="1"/>
  <c r="BO139" i="1"/>
  <c r="BO140" i="1"/>
  <c r="BO141" i="1"/>
  <c r="BO142" i="1"/>
  <c r="BO143" i="1"/>
  <c r="BO144" i="1"/>
  <c r="BO145" i="1"/>
  <c r="BO146" i="1"/>
  <c r="BO147" i="1"/>
  <c r="BO148" i="1"/>
  <c r="BO149" i="1"/>
  <c r="BO150" i="1"/>
  <c r="BO151" i="1"/>
  <c r="BO152" i="1"/>
  <c r="BO153" i="1"/>
  <c r="BO154" i="1"/>
  <c r="BO155" i="1"/>
  <c r="BO156" i="1"/>
  <c r="BO157" i="1"/>
  <c r="BO158" i="1"/>
  <c r="BO159" i="1"/>
  <c r="BO160" i="1"/>
  <c r="BO161" i="1"/>
  <c r="BO162" i="1"/>
  <c r="BO163" i="1"/>
  <c r="BO164" i="1"/>
  <c r="BO165" i="1"/>
  <c r="BO166" i="1"/>
  <c r="BO167" i="1"/>
  <c r="BO168" i="1"/>
  <c r="BO169" i="1"/>
  <c r="BO170" i="1"/>
  <c r="BO171" i="1"/>
  <c r="BO172" i="1"/>
  <c r="BO173" i="1"/>
  <c r="BO174" i="1"/>
  <c r="BO175" i="1"/>
  <c r="BO176" i="1"/>
  <c r="BO177" i="1"/>
  <c r="BO178" i="1"/>
  <c r="BO179" i="1"/>
  <c r="BO180" i="1"/>
  <c r="BO181" i="1"/>
  <c r="BO182" i="1"/>
  <c r="BO183" i="1"/>
  <c r="BO184" i="1"/>
  <c r="BO185" i="1"/>
  <c r="BO186" i="1"/>
  <c r="BO187" i="1"/>
  <c r="BO188" i="1"/>
  <c r="BO189" i="1"/>
  <c r="BO190" i="1"/>
  <c r="BO191" i="1"/>
  <c r="BO192" i="1"/>
  <c r="BO193" i="1"/>
  <c r="BO194" i="1"/>
  <c r="BO195" i="1"/>
  <c r="BO196" i="1"/>
  <c r="BO197" i="1"/>
  <c r="BO198" i="1"/>
  <c r="BO199" i="1"/>
  <c r="BO200" i="1"/>
  <c r="BO201" i="1"/>
  <c r="BO202" i="1"/>
  <c r="BO203" i="1"/>
  <c r="BO204" i="1"/>
  <c r="BO205" i="1"/>
  <c r="BO206" i="1"/>
  <c r="BO207" i="1"/>
  <c r="BO208" i="1"/>
  <c r="BO209" i="1"/>
  <c r="BO210" i="1"/>
  <c r="BO211" i="1"/>
  <c r="BO212" i="1"/>
  <c r="BO213" i="1"/>
  <c r="BO214" i="1"/>
  <c r="BO215" i="1"/>
  <c r="BO216" i="1"/>
  <c r="BO217" i="1"/>
  <c r="BO218" i="1"/>
  <c r="BO219" i="1"/>
  <c r="BO220" i="1"/>
  <c r="BO221" i="1"/>
  <c r="BO222" i="1"/>
  <c r="BO223" i="1"/>
  <c r="BO224" i="1"/>
  <c r="BO225" i="1"/>
  <c r="BO226" i="1"/>
  <c r="BO227" i="1"/>
  <c r="BO228" i="1"/>
  <c r="BO229" i="1"/>
  <c r="BO230" i="1"/>
  <c r="BO231" i="1"/>
  <c r="BO232" i="1"/>
  <c r="BO233" i="1"/>
  <c r="BO234" i="1"/>
  <c r="BO235" i="1"/>
  <c r="BO236" i="1"/>
  <c r="BO237" i="1"/>
  <c r="BO238" i="1"/>
  <c r="BO239" i="1"/>
  <c r="BO240" i="1"/>
  <c r="BO241" i="1"/>
  <c r="BO242" i="1"/>
  <c r="BO243" i="1"/>
  <c r="BO244" i="1"/>
  <c r="BO245" i="1"/>
  <c r="BO246" i="1"/>
  <c r="BO247" i="1"/>
  <c r="BO248" i="1"/>
  <c r="BO249" i="1"/>
  <c r="BO250" i="1"/>
  <c r="BO251" i="1"/>
  <c r="BO252" i="1"/>
  <c r="BO253" i="1"/>
  <c r="BO254" i="1"/>
  <c r="BO255" i="1"/>
  <c r="BO256" i="1"/>
  <c r="BO257" i="1"/>
  <c r="BO258" i="1"/>
  <c r="BO259" i="1"/>
  <c r="BO260" i="1"/>
  <c r="BO261" i="1"/>
  <c r="BO262" i="1"/>
  <c r="BO263" i="1"/>
  <c r="BO264" i="1"/>
  <c r="BO265" i="1"/>
  <c r="BO266" i="1"/>
  <c r="BO267" i="1"/>
  <c r="BO268" i="1"/>
  <c r="BO269" i="1"/>
  <c r="BO270" i="1"/>
  <c r="BO271" i="1"/>
  <c r="BO272" i="1"/>
  <c r="BO273" i="1"/>
  <c r="BO274" i="1"/>
  <c r="BO275" i="1"/>
  <c r="BO276" i="1"/>
  <c r="BO277" i="1"/>
  <c r="BO278" i="1"/>
  <c r="BO279" i="1"/>
  <c r="BO280" i="1"/>
  <c r="BO281" i="1"/>
  <c r="BO282" i="1"/>
  <c r="BO283" i="1"/>
  <c r="BO284" i="1"/>
  <c r="BO285" i="1"/>
  <c r="BO286" i="1"/>
  <c r="BO287" i="1"/>
  <c r="BO288" i="1"/>
  <c r="BO289" i="1"/>
  <c r="BO290" i="1"/>
  <c r="BO291" i="1"/>
  <c r="BO292" i="1"/>
  <c r="BO293" i="1"/>
  <c r="BO294" i="1"/>
  <c r="BO295" i="1"/>
  <c r="BO296" i="1"/>
  <c r="BO297" i="1"/>
  <c r="BO298" i="1"/>
  <c r="BO299" i="1"/>
  <c r="BO300" i="1"/>
  <c r="BO301" i="1"/>
  <c r="BO302" i="1"/>
  <c r="BO303" i="1"/>
  <c r="BO304" i="1"/>
  <c r="BO305" i="1"/>
  <c r="BO306" i="1"/>
  <c r="BO307" i="1"/>
  <c r="BO308" i="1"/>
  <c r="BO309" i="1"/>
  <c r="BO310" i="1"/>
  <c r="BO311" i="1"/>
  <c r="BO312" i="1"/>
  <c r="BO313" i="1"/>
  <c r="BO314" i="1"/>
  <c r="BO315" i="1"/>
  <c r="BO316" i="1"/>
  <c r="BO317" i="1"/>
  <c r="BO318" i="1"/>
  <c r="BO319" i="1"/>
  <c r="BO320" i="1"/>
  <c r="BO321" i="1"/>
  <c r="BO322" i="1"/>
  <c r="BO323" i="1"/>
  <c r="BO324" i="1"/>
  <c r="BO325" i="1"/>
  <c r="BO326" i="1"/>
  <c r="BO327" i="1"/>
  <c r="BO328" i="1"/>
  <c r="BO329" i="1"/>
  <c r="BO330" i="1"/>
  <c r="BO331" i="1"/>
  <c r="BO332" i="1"/>
  <c r="BO333" i="1"/>
  <c r="BO334" i="1"/>
  <c r="BO335" i="1"/>
  <c r="BO336" i="1"/>
  <c r="BO337" i="1"/>
  <c r="BO338" i="1"/>
  <c r="BO339" i="1"/>
  <c r="BO340" i="1"/>
  <c r="BO341" i="1"/>
  <c r="BO342" i="1"/>
  <c r="BO343" i="1"/>
  <c r="BO344" i="1"/>
  <c r="BO345" i="1"/>
  <c r="BO346" i="1"/>
  <c r="BO347" i="1"/>
  <c r="BO348" i="1"/>
  <c r="BO349" i="1"/>
  <c r="BO350" i="1"/>
  <c r="BO351" i="1"/>
  <c r="BO352" i="1"/>
  <c r="BO353" i="1"/>
  <c r="BO354" i="1"/>
  <c r="BO355" i="1"/>
  <c r="BO356" i="1"/>
  <c r="BO357" i="1"/>
  <c r="BO358" i="1"/>
  <c r="BO359" i="1"/>
  <c r="BO360" i="1"/>
  <c r="BO361" i="1"/>
  <c r="BO362" i="1"/>
  <c r="BO363" i="1"/>
  <c r="BO364" i="1"/>
  <c r="BO365" i="1"/>
  <c r="BO366" i="1"/>
  <c r="BO367" i="1"/>
  <c r="BO368" i="1"/>
  <c r="BO369" i="1"/>
  <c r="BO370" i="1"/>
  <c r="BO371" i="1"/>
  <c r="BO372" i="1"/>
  <c r="BO373" i="1"/>
  <c r="BO374" i="1"/>
  <c r="BO375" i="1"/>
  <c r="BO376" i="1"/>
  <c r="BO377" i="1"/>
  <c r="BO378" i="1"/>
  <c r="BO379" i="1"/>
  <c r="BO380" i="1"/>
  <c r="BO381" i="1"/>
  <c r="BO382" i="1"/>
  <c r="BO383" i="1"/>
  <c r="BO384" i="1"/>
  <c r="BO385" i="1"/>
  <c r="BO386" i="1"/>
  <c r="BO387" i="1"/>
  <c r="BO388" i="1"/>
  <c r="BO389" i="1"/>
  <c r="BO390" i="1"/>
  <c r="BO391" i="1"/>
  <c r="BO392" i="1"/>
  <c r="BO393" i="1"/>
  <c r="BO394" i="1"/>
  <c r="BO395" i="1"/>
  <c r="BO396" i="1"/>
  <c r="BO397" i="1"/>
  <c r="BO398" i="1"/>
  <c r="BO399" i="1"/>
  <c r="BO400" i="1"/>
  <c r="BO401" i="1"/>
  <c r="BO402" i="1"/>
  <c r="BO403" i="1"/>
  <c r="BO404" i="1"/>
  <c r="BO405" i="1"/>
  <c r="BO406" i="1"/>
  <c r="BO407" i="1"/>
  <c r="BO408" i="1"/>
  <c r="BO409" i="1"/>
  <c r="BO410" i="1"/>
  <c r="BO411" i="1"/>
  <c r="BO412" i="1"/>
  <c r="BO413" i="1"/>
  <c r="BO414" i="1"/>
  <c r="BO415" i="1"/>
  <c r="BO416" i="1"/>
  <c r="BO417" i="1"/>
  <c r="BO418" i="1"/>
  <c r="BO419" i="1"/>
  <c r="BO420" i="1"/>
  <c r="BO421" i="1"/>
  <c r="BO422" i="1"/>
  <c r="BO423" i="1"/>
  <c r="BO424" i="1"/>
  <c r="BO425" i="1"/>
  <c r="BO426" i="1"/>
  <c r="BO427" i="1"/>
  <c r="BO428" i="1"/>
  <c r="BO429" i="1"/>
  <c r="BO430" i="1"/>
  <c r="BO431" i="1"/>
  <c r="BO432" i="1"/>
  <c r="BO433" i="1"/>
  <c r="BO434" i="1"/>
  <c r="BO435" i="1"/>
  <c r="BO436" i="1"/>
  <c r="BO437" i="1"/>
  <c r="BO438" i="1"/>
  <c r="BO439" i="1"/>
  <c r="BO440" i="1"/>
  <c r="BO441" i="1"/>
  <c r="BO442" i="1"/>
  <c r="BO443" i="1"/>
  <c r="BO444" i="1"/>
  <c r="BO445" i="1"/>
  <c r="BO446" i="1"/>
  <c r="BO447" i="1"/>
  <c r="BO448" i="1"/>
  <c r="BO449" i="1"/>
  <c r="BO450" i="1"/>
  <c r="BO451" i="1"/>
  <c r="BO452" i="1"/>
  <c r="BO453" i="1"/>
  <c r="BO454" i="1"/>
  <c r="BO455" i="1"/>
  <c r="BO456" i="1"/>
  <c r="BO457" i="1"/>
  <c r="BO458" i="1"/>
  <c r="BO459" i="1"/>
  <c r="BO460" i="1"/>
  <c r="BO461" i="1"/>
  <c r="BO462" i="1"/>
  <c r="BO463" i="1"/>
  <c r="BO464" i="1"/>
  <c r="BO465" i="1"/>
  <c r="BO466" i="1"/>
  <c r="BO467" i="1"/>
  <c r="BO468" i="1"/>
  <c r="BO469" i="1"/>
  <c r="BO470" i="1"/>
  <c r="BO471" i="1"/>
  <c r="BO472" i="1"/>
  <c r="BO473" i="1"/>
  <c r="BO474" i="1"/>
  <c r="BO475" i="1"/>
  <c r="BO476" i="1"/>
  <c r="BO477" i="1"/>
  <c r="BO478" i="1"/>
  <c r="BO479" i="1"/>
  <c r="BO480" i="1"/>
  <c r="BO481" i="1"/>
  <c r="BO482" i="1"/>
  <c r="BO483" i="1"/>
  <c r="BO484" i="1"/>
  <c r="BO485" i="1"/>
  <c r="BO486" i="1"/>
  <c r="BO487" i="1"/>
  <c r="BO488" i="1"/>
  <c r="BO489" i="1"/>
  <c r="BO490" i="1"/>
  <c r="BO491" i="1"/>
  <c r="BO492" i="1"/>
  <c r="BO493" i="1"/>
  <c r="BO494" i="1"/>
  <c r="BO495" i="1"/>
  <c r="BO496" i="1"/>
  <c r="BO497" i="1"/>
  <c r="BO498" i="1"/>
  <c r="BO499" i="1"/>
  <c r="BO500" i="1"/>
  <c r="BO501" i="1"/>
  <c r="BO502" i="1"/>
  <c r="BO503" i="1"/>
  <c r="BO504" i="1"/>
  <c r="BO505" i="1"/>
  <c r="BO506" i="1"/>
  <c r="BO507" i="1"/>
  <c r="BO508" i="1"/>
  <c r="BO509" i="1"/>
  <c r="BO510" i="1"/>
  <c r="BO511" i="1"/>
  <c r="BO512" i="1"/>
  <c r="BO513" i="1"/>
  <c r="BO514" i="1"/>
  <c r="BO515" i="1"/>
  <c r="BO516" i="1"/>
  <c r="BO517" i="1"/>
  <c r="BO518" i="1"/>
  <c r="BO519" i="1"/>
  <c r="BO520" i="1"/>
  <c r="BO521" i="1"/>
  <c r="BO522" i="1"/>
  <c r="BO523" i="1"/>
  <c r="BO524" i="1"/>
  <c r="BO525" i="1"/>
  <c r="BO526" i="1"/>
  <c r="BO527" i="1"/>
  <c r="BO528" i="1"/>
  <c r="BO529" i="1"/>
  <c r="BO530" i="1"/>
  <c r="BO531" i="1"/>
  <c r="BO532" i="1"/>
  <c r="BO533" i="1"/>
  <c r="BO534" i="1"/>
  <c r="BO535" i="1"/>
  <c r="BO536" i="1"/>
  <c r="BO537" i="1"/>
  <c r="BO538" i="1"/>
  <c r="BO539" i="1"/>
  <c r="BO540" i="1"/>
  <c r="BO541" i="1"/>
  <c r="BO542" i="1"/>
  <c r="BO543" i="1"/>
  <c r="BO544" i="1"/>
  <c r="BO545" i="1"/>
  <c r="BO546" i="1"/>
  <c r="BO547" i="1"/>
  <c r="BO548" i="1"/>
  <c r="BO549" i="1"/>
  <c r="BO550" i="1"/>
  <c r="BO551" i="1"/>
  <c r="BO552" i="1"/>
  <c r="BO553" i="1"/>
  <c r="BO554" i="1"/>
  <c r="BO555" i="1"/>
  <c r="BO556" i="1"/>
  <c r="BO557" i="1"/>
  <c r="BO558" i="1"/>
  <c r="BO559" i="1"/>
  <c r="BO560" i="1"/>
  <c r="BO561" i="1"/>
  <c r="BO562" i="1"/>
  <c r="BO563" i="1"/>
  <c r="BO564" i="1"/>
  <c r="BO565" i="1"/>
  <c r="BO566" i="1"/>
  <c r="BO567" i="1"/>
  <c r="BO568" i="1"/>
  <c r="BO569" i="1"/>
  <c r="BO570" i="1"/>
  <c r="BO571" i="1"/>
  <c r="BO572" i="1"/>
  <c r="BO573" i="1"/>
  <c r="BO574" i="1"/>
  <c r="BO575" i="1"/>
  <c r="BO576" i="1"/>
  <c r="BO577" i="1"/>
  <c r="BO578" i="1"/>
  <c r="BO579" i="1"/>
  <c r="BO580" i="1"/>
  <c r="BO581" i="1"/>
  <c r="BO582" i="1"/>
  <c r="BO583" i="1"/>
  <c r="BO584" i="1"/>
  <c r="BO585" i="1"/>
  <c r="BO586" i="1"/>
  <c r="BO587" i="1"/>
  <c r="BO588" i="1"/>
  <c r="BO589" i="1"/>
  <c r="BO590" i="1"/>
  <c r="BO591" i="1"/>
  <c r="BO592" i="1"/>
  <c r="BO593" i="1"/>
  <c r="BO594" i="1"/>
  <c r="BO595" i="1"/>
  <c r="BO596" i="1"/>
  <c r="BO597" i="1"/>
  <c r="BO598" i="1"/>
  <c r="BO599" i="1"/>
  <c r="BO600" i="1"/>
  <c r="BO601" i="1"/>
  <c r="BO602" i="1"/>
  <c r="BO603" i="1"/>
  <c r="BO604" i="1"/>
  <c r="BO605" i="1"/>
  <c r="BO606" i="1"/>
  <c r="BO607" i="1"/>
  <c r="BO608" i="1"/>
  <c r="BO609" i="1"/>
  <c r="BO610" i="1"/>
  <c r="BO611" i="1"/>
  <c r="BO612" i="1"/>
  <c r="BO613" i="1"/>
  <c r="BO614" i="1"/>
  <c r="BO615" i="1"/>
  <c r="BO616" i="1"/>
  <c r="BO617" i="1"/>
  <c r="BO618" i="1"/>
  <c r="BO619" i="1"/>
  <c r="BO620" i="1"/>
  <c r="BO621" i="1"/>
  <c r="BO622" i="1"/>
  <c r="BO623" i="1"/>
  <c r="BO624" i="1"/>
  <c r="BO625" i="1"/>
  <c r="BO626" i="1"/>
  <c r="BO627" i="1"/>
  <c r="BO628" i="1"/>
  <c r="BO629" i="1"/>
  <c r="BO630" i="1"/>
  <c r="BO631" i="1"/>
  <c r="BO632" i="1"/>
  <c r="BO633" i="1"/>
  <c r="BO634" i="1"/>
  <c r="BO635" i="1"/>
  <c r="BO636" i="1"/>
  <c r="BO637" i="1"/>
  <c r="BO638" i="1"/>
  <c r="BO639" i="1"/>
  <c r="BO640" i="1"/>
  <c r="BO641" i="1"/>
  <c r="BO642" i="1"/>
  <c r="BO643" i="1"/>
  <c r="BO644" i="1"/>
  <c r="BO645" i="1"/>
  <c r="BO646" i="1"/>
  <c r="BO647" i="1"/>
  <c r="BO648" i="1"/>
  <c r="BO649" i="1"/>
  <c r="BO650" i="1"/>
  <c r="BO651" i="1"/>
  <c r="BO652" i="1"/>
  <c r="BO653" i="1"/>
  <c r="BO654" i="1"/>
  <c r="BO655" i="1"/>
  <c r="BO656" i="1"/>
  <c r="BO657" i="1"/>
  <c r="BO658" i="1"/>
  <c r="BO659" i="1"/>
  <c r="BO660" i="1"/>
  <c r="BO661" i="1"/>
  <c r="BO662" i="1"/>
  <c r="BO663" i="1"/>
  <c r="BO664" i="1"/>
  <c r="BO665" i="1"/>
  <c r="BO666" i="1"/>
  <c r="BO667" i="1"/>
  <c r="BO668" i="1"/>
  <c r="BO669" i="1"/>
  <c r="BO670" i="1"/>
  <c r="BO671" i="1"/>
  <c r="BO672" i="1"/>
  <c r="BO673" i="1"/>
  <c r="BO674" i="1"/>
  <c r="BO675" i="1"/>
  <c r="BO676" i="1"/>
  <c r="BO677" i="1"/>
  <c r="BO678" i="1"/>
  <c r="BO679" i="1"/>
  <c r="BO680" i="1"/>
  <c r="BO681" i="1"/>
  <c r="BO682" i="1"/>
  <c r="BO683" i="1"/>
  <c r="BO684" i="1"/>
  <c r="BO685" i="1"/>
  <c r="BO686" i="1"/>
  <c r="BO687" i="1"/>
  <c r="BO688" i="1"/>
  <c r="BO689" i="1"/>
  <c r="BO690" i="1"/>
  <c r="BO691" i="1"/>
  <c r="BO692" i="1"/>
  <c r="BO693" i="1"/>
  <c r="BO694" i="1"/>
  <c r="BO695" i="1"/>
  <c r="BO696" i="1"/>
  <c r="BO697" i="1"/>
  <c r="BO698" i="1"/>
  <c r="BO699" i="1"/>
  <c r="BO700" i="1"/>
  <c r="BO701" i="1"/>
  <c r="BO702" i="1"/>
  <c r="BO703" i="1"/>
  <c r="BO704" i="1"/>
  <c r="BO705" i="1"/>
  <c r="BO706" i="1"/>
  <c r="BO707" i="1"/>
  <c r="BO708" i="1"/>
  <c r="BO709" i="1"/>
  <c r="BO710" i="1"/>
  <c r="BO711" i="1"/>
  <c r="BO712" i="1"/>
  <c r="BO713" i="1"/>
  <c r="BO714" i="1"/>
  <c r="BO715" i="1"/>
  <c r="BO716" i="1"/>
  <c r="BO717" i="1"/>
  <c r="BO718" i="1"/>
  <c r="BO719" i="1"/>
  <c r="BO720" i="1"/>
  <c r="BO721" i="1"/>
  <c r="BO722" i="1"/>
  <c r="BO723" i="1"/>
  <c r="BO724" i="1"/>
  <c r="BO725" i="1"/>
  <c r="BO726" i="1"/>
  <c r="BO727" i="1"/>
  <c r="BO728" i="1"/>
  <c r="BO729" i="1"/>
  <c r="BO730" i="1"/>
  <c r="BO731" i="1"/>
  <c r="BO732" i="1"/>
  <c r="BO733" i="1"/>
  <c r="BO734" i="1"/>
  <c r="BO735" i="1"/>
  <c r="BO736" i="1"/>
  <c r="BO737" i="1"/>
  <c r="BO738" i="1"/>
  <c r="BO739" i="1"/>
  <c r="BO740" i="1"/>
  <c r="BO741" i="1"/>
  <c r="BO742" i="1"/>
  <c r="BO743" i="1"/>
  <c r="BO744" i="1"/>
  <c r="BO745" i="1"/>
  <c r="BO746" i="1"/>
  <c r="BO747" i="1"/>
  <c r="BO748" i="1"/>
  <c r="BO749" i="1"/>
  <c r="BO750" i="1"/>
  <c r="BO751" i="1"/>
  <c r="BO752" i="1"/>
  <c r="BO753" i="1"/>
  <c r="BO754" i="1"/>
  <c r="BO755" i="1"/>
  <c r="BO756" i="1"/>
  <c r="BO757" i="1"/>
  <c r="BO758" i="1"/>
  <c r="BO759" i="1"/>
  <c r="BO760" i="1"/>
  <c r="BO761" i="1"/>
  <c r="BO762" i="1"/>
  <c r="BO763" i="1"/>
  <c r="BO764" i="1"/>
  <c r="BO765" i="1"/>
  <c r="BO766" i="1"/>
  <c r="BO767" i="1"/>
  <c r="BO768" i="1"/>
  <c r="BO769" i="1"/>
  <c r="BO770" i="1"/>
  <c r="BO771" i="1"/>
  <c r="BO772" i="1"/>
  <c r="BO773" i="1"/>
  <c r="BO774" i="1"/>
  <c r="BO775" i="1"/>
  <c r="BO776" i="1"/>
  <c r="BO777" i="1"/>
  <c r="BO778" i="1"/>
  <c r="BO779" i="1"/>
  <c r="BO780" i="1"/>
  <c r="BO781" i="1"/>
  <c r="BO782" i="1"/>
  <c r="BO783" i="1"/>
  <c r="BO784" i="1"/>
  <c r="BO785" i="1"/>
  <c r="BO786" i="1"/>
  <c r="BO787" i="1"/>
  <c r="BO788" i="1"/>
  <c r="BO789" i="1"/>
  <c r="BO790" i="1"/>
  <c r="BO791" i="1"/>
  <c r="BO792" i="1"/>
  <c r="BO793" i="1"/>
  <c r="BO794" i="1"/>
  <c r="BO795" i="1"/>
  <c r="BO796" i="1"/>
  <c r="BO797" i="1"/>
  <c r="BO798" i="1"/>
  <c r="BO799" i="1"/>
  <c r="BO800" i="1"/>
  <c r="BO801" i="1"/>
  <c r="BO802" i="1"/>
  <c r="BO803" i="1"/>
  <c r="BO804" i="1"/>
  <c r="BO805" i="1"/>
  <c r="BO806" i="1"/>
  <c r="BO807" i="1"/>
  <c r="BO808" i="1"/>
  <c r="BO809" i="1"/>
  <c r="BO810" i="1"/>
  <c r="BO811" i="1"/>
  <c r="BO812" i="1"/>
  <c r="BO813" i="1"/>
  <c r="BO814" i="1"/>
  <c r="BO815" i="1"/>
  <c r="BO816" i="1"/>
  <c r="BO817" i="1"/>
  <c r="BO818" i="1"/>
  <c r="BO819" i="1"/>
  <c r="BO820" i="1"/>
  <c r="BO821" i="1"/>
  <c r="BO822" i="1"/>
  <c r="BO823" i="1"/>
  <c r="BO824" i="1"/>
  <c r="BO825" i="1"/>
  <c r="BO826" i="1"/>
  <c r="BO827" i="1"/>
  <c r="BO828" i="1"/>
  <c r="BO829" i="1"/>
  <c r="BO830" i="1"/>
  <c r="BO831" i="1"/>
  <c r="BO832" i="1"/>
  <c r="BO833" i="1"/>
  <c r="BO834" i="1"/>
  <c r="BO835" i="1"/>
  <c r="BO836" i="1"/>
  <c r="BO837" i="1"/>
  <c r="BO838" i="1"/>
  <c r="BO839" i="1"/>
  <c r="BO840" i="1"/>
  <c r="BO841" i="1"/>
  <c r="BO842" i="1"/>
  <c r="BO843" i="1"/>
  <c r="BO844" i="1"/>
  <c r="BO845" i="1"/>
  <c r="BO846" i="1"/>
  <c r="BO847" i="1"/>
  <c r="BO848" i="1"/>
  <c r="BO849" i="1"/>
  <c r="BO850" i="1"/>
  <c r="BO851" i="1"/>
  <c r="BO852" i="1"/>
  <c r="BO853" i="1"/>
  <c r="BO854" i="1"/>
  <c r="BO855" i="1"/>
  <c r="BO856" i="1"/>
  <c r="BO857" i="1"/>
  <c r="BO858" i="1"/>
  <c r="BO859" i="1"/>
  <c r="BO860" i="1"/>
  <c r="BO861" i="1"/>
  <c r="BO862" i="1"/>
  <c r="BO863" i="1"/>
  <c r="BO864" i="1"/>
  <c r="BO865" i="1"/>
  <c r="BO866" i="1"/>
  <c r="BO867" i="1"/>
  <c r="BO868" i="1"/>
  <c r="BO869" i="1"/>
  <c r="BO870" i="1"/>
  <c r="BO871" i="1"/>
  <c r="BO872" i="1"/>
  <c r="BO873" i="1"/>
  <c r="BO874" i="1"/>
  <c r="BO875" i="1"/>
  <c r="BO876" i="1"/>
  <c r="BO877" i="1"/>
  <c r="BO878" i="1"/>
  <c r="BO879" i="1"/>
  <c r="BO880" i="1"/>
  <c r="BO881" i="1"/>
  <c r="BO882" i="1"/>
  <c r="BO883" i="1"/>
  <c r="BO884" i="1"/>
  <c r="BO885" i="1"/>
  <c r="BO886" i="1"/>
  <c r="BO887" i="1"/>
  <c r="BO888" i="1"/>
  <c r="BO889" i="1"/>
  <c r="BO890" i="1"/>
  <c r="BO891" i="1"/>
  <c r="BO892" i="1"/>
  <c r="BO893" i="1"/>
  <c r="BO894" i="1"/>
  <c r="BO895" i="1"/>
  <c r="BO896" i="1"/>
  <c r="BO897" i="1"/>
  <c r="BO898" i="1"/>
  <c r="BO899" i="1"/>
  <c r="BO900" i="1"/>
  <c r="BO901" i="1"/>
  <c r="BO902" i="1"/>
  <c r="BO903" i="1"/>
  <c r="BO904" i="1"/>
  <c r="BO905" i="1"/>
  <c r="BO906" i="1"/>
  <c r="BO907" i="1"/>
  <c r="BO908" i="1"/>
  <c r="BO909" i="1"/>
  <c r="BO910" i="1"/>
  <c r="BO911" i="1"/>
  <c r="BO912" i="1"/>
  <c r="BO913" i="1"/>
  <c r="BO914" i="1"/>
  <c r="BO915" i="1"/>
  <c r="BO916" i="1"/>
  <c r="BO917" i="1"/>
  <c r="BO918" i="1"/>
  <c r="BO919" i="1"/>
  <c r="BO920" i="1"/>
  <c r="BO921" i="1"/>
  <c r="BO922" i="1"/>
  <c r="BO923" i="1"/>
  <c r="BO924" i="1"/>
  <c r="BO925" i="1"/>
  <c r="BO926" i="1"/>
  <c r="BO927" i="1"/>
  <c r="BO928" i="1"/>
  <c r="BO929" i="1"/>
  <c r="BO930" i="1"/>
  <c r="BO931" i="1"/>
  <c r="BO932" i="1"/>
  <c r="BO933" i="1"/>
  <c r="BO934" i="1"/>
  <c r="BO935" i="1"/>
  <c r="BO936" i="1"/>
  <c r="BO937" i="1"/>
  <c r="BO938" i="1"/>
  <c r="BO939" i="1"/>
  <c r="BO940" i="1"/>
  <c r="BO941" i="1"/>
  <c r="BO942" i="1"/>
  <c r="BO943" i="1"/>
  <c r="BO944" i="1"/>
  <c r="BO945" i="1"/>
  <c r="BO946" i="1"/>
  <c r="BO947" i="1"/>
  <c r="BO948" i="1"/>
  <c r="BO949" i="1"/>
  <c r="BO950" i="1"/>
  <c r="BO951" i="1"/>
  <c r="BO952" i="1"/>
  <c r="BO953" i="1"/>
  <c r="BO954" i="1"/>
  <c r="BO955" i="1"/>
  <c r="BO956" i="1"/>
  <c r="BO957" i="1"/>
  <c r="BO958" i="1"/>
  <c r="BO959" i="1"/>
  <c r="BO960" i="1"/>
  <c r="BO961" i="1"/>
  <c r="BO962" i="1"/>
  <c r="BO963" i="1"/>
  <c r="BO964" i="1"/>
  <c r="BO965" i="1"/>
  <c r="BO966" i="1"/>
  <c r="BO967" i="1"/>
  <c r="BO968" i="1"/>
  <c r="BO969" i="1"/>
  <c r="BO970" i="1"/>
  <c r="BO971" i="1"/>
  <c r="BO972" i="1"/>
  <c r="BO973" i="1"/>
  <c r="BO974" i="1"/>
  <c r="BO975" i="1"/>
  <c r="BO976" i="1"/>
  <c r="BO977" i="1"/>
  <c r="BO978" i="1"/>
  <c r="BO979" i="1"/>
  <c r="BO980" i="1"/>
  <c r="BO981" i="1"/>
  <c r="BO982" i="1"/>
  <c r="BO983" i="1"/>
  <c r="BO984" i="1"/>
  <c r="BO985" i="1"/>
  <c r="BO986" i="1"/>
  <c r="BO987" i="1"/>
  <c r="BO988" i="1"/>
  <c r="BO989" i="1"/>
  <c r="BO990" i="1"/>
  <c r="BO991" i="1"/>
  <c r="BO992" i="1"/>
  <c r="BO993" i="1"/>
  <c r="BO994" i="1"/>
  <c r="BO995" i="1"/>
  <c r="BO996" i="1"/>
  <c r="BO997" i="1"/>
  <c r="BO998" i="1"/>
  <c r="BO999" i="1"/>
  <c r="BO1000" i="1"/>
  <c r="BO1001" i="1"/>
  <c r="BO1002" i="1"/>
  <c r="BO1003" i="1"/>
  <c r="BO1004" i="1"/>
  <c r="BO1005" i="1"/>
  <c r="BO1006" i="1"/>
  <c r="BO1007" i="1"/>
  <c r="BO1008" i="1"/>
  <c r="BO1009" i="1"/>
  <c r="BO1010" i="1"/>
  <c r="BO1011" i="1"/>
  <c r="BO1012" i="1"/>
  <c r="BO1013" i="1"/>
  <c r="BO1014" i="1"/>
  <c r="BO1015" i="1"/>
  <c r="BO1016" i="1"/>
  <c r="BO1017" i="1"/>
  <c r="BO1018" i="1"/>
  <c r="BO1019" i="1"/>
  <c r="BO1020" i="1"/>
  <c r="BO1021" i="1"/>
  <c r="BO1022" i="1"/>
  <c r="BO1023" i="1"/>
  <c r="BO1024" i="1"/>
  <c r="BO1025" i="1"/>
  <c r="BO1026" i="1"/>
  <c r="BO1027" i="1"/>
  <c r="BO1028" i="1"/>
  <c r="BO1029" i="1"/>
  <c r="BO1030" i="1"/>
  <c r="BO1031" i="1"/>
  <c r="BO1032" i="1"/>
  <c r="BO1033" i="1"/>
  <c r="BO1034" i="1"/>
  <c r="BO1035" i="1"/>
  <c r="BO1036" i="1"/>
  <c r="BO1037" i="1"/>
  <c r="BO1038" i="1"/>
  <c r="BO1039" i="1"/>
  <c r="BO1040" i="1"/>
  <c r="BO1041" i="1"/>
  <c r="BO1042" i="1"/>
  <c r="BO1043" i="1"/>
  <c r="BO1044" i="1"/>
  <c r="BO1045" i="1"/>
  <c r="BO1046" i="1"/>
  <c r="BO1047" i="1"/>
  <c r="BO1048" i="1"/>
  <c r="BO1049" i="1"/>
  <c r="BO1050" i="1"/>
  <c r="BO1051" i="1"/>
  <c r="BO1052" i="1"/>
  <c r="BO1053" i="1"/>
  <c r="BO1054" i="1"/>
  <c r="BO1055" i="1"/>
  <c r="BO1056" i="1"/>
  <c r="BO1057" i="1"/>
  <c r="BO1058" i="1"/>
  <c r="BO1059" i="1"/>
  <c r="BO1060" i="1"/>
  <c r="BO1061" i="1"/>
  <c r="BO1062" i="1"/>
  <c r="BO1063" i="1"/>
  <c r="BO1064" i="1"/>
  <c r="BO1065" i="1"/>
  <c r="BO1066" i="1"/>
  <c r="BO1067" i="1"/>
  <c r="BO1068" i="1"/>
  <c r="BO1069" i="1"/>
  <c r="BO1070" i="1"/>
  <c r="BO1071" i="1"/>
  <c r="BO1072" i="1"/>
  <c r="BO1073" i="1"/>
  <c r="BO1074" i="1"/>
  <c r="BO1075" i="1"/>
  <c r="BO1076" i="1"/>
  <c r="BO1077" i="1"/>
  <c r="BO1078" i="1"/>
  <c r="BO1079" i="1"/>
  <c r="BO1080" i="1"/>
  <c r="BO1081" i="1"/>
  <c r="BO1082" i="1"/>
  <c r="BO1083" i="1"/>
  <c r="BO1084" i="1"/>
  <c r="BO1085" i="1"/>
  <c r="BO1086" i="1"/>
  <c r="BO1087" i="1"/>
  <c r="BO1088" i="1"/>
  <c r="BO1089" i="1"/>
  <c r="BO1090" i="1"/>
  <c r="BO1091" i="1"/>
  <c r="BO1092" i="1"/>
  <c r="BO1093" i="1"/>
  <c r="BO1094" i="1"/>
  <c r="BO1095" i="1"/>
  <c r="BO1096" i="1"/>
  <c r="BO1097" i="1"/>
  <c r="BO1098" i="1"/>
  <c r="BO1099" i="1"/>
  <c r="BO1100" i="1"/>
  <c r="BO1101" i="1"/>
  <c r="BO1102" i="1"/>
  <c r="BO1103" i="1"/>
  <c r="BO1104" i="1"/>
  <c r="BO1105" i="1"/>
  <c r="BO1106" i="1"/>
  <c r="BO1107" i="1"/>
  <c r="BO1108" i="1"/>
  <c r="BO1109" i="1"/>
  <c r="BO1110" i="1"/>
  <c r="BO1111" i="1"/>
  <c r="BO1112" i="1"/>
  <c r="BO1113" i="1"/>
  <c r="BO1114" i="1"/>
  <c r="BO1115" i="1"/>
  <c r="BO1116" i="1"/>
  <c r="BO1117" i="1"/>
  <c r="BO1118" i="1"/>
  <c r="BO1119" i="1"/>
  <c r="BO1120" i="1"/>
  <c r="BO1121" i="1"/>
  <c r="BO1122" i="1"/>
  <c r="BO1123" i="1"/>
  <c r="BO1124" i="1"/>
  <c r="BO1125" i="1"/>
  <c r="BO1126" i="1"/>
  <c r="BO1127" i="1"/>
  <c r="BO1128" i="1"/>
  <c r="BO1129" i="1"/>
  <c r="BO1130" i="1"/>
  <c r="BO1131" i="1"/>
  <c r="BO1132" i="1"/>
  <c r="BO1133" i="1"/>
  <c r="BO1134" i="1"/>
  <c r="BO1135" i="1"/>
  <c r="BO1136" i="1"/>
  <c r="BO1137" i="1"/>
  <c r="BO1138" i="1"/>
  <c r="BO1139" i="1"/>
  <c r="BO1140" i="1"/>
  <c r="BO1141" i="1"/>
  <c r="BO1142" i="1"/>
  <c r="BO1143" i="1"/>
  <c r="BO1144" i="1"/>
  <c r="BO1145" i="1"/>
  <c r="BO1146" i="1"/>
  <c r="BO1147" i="1"/>
  <c r="BO1148" i="1"/>
  <c r="BO1149" i="1"/>
  <c r="BO1150" i="1"/>
  <c r="BO1151" i="1"/>
  <c r="BO1152" i="1"/>
  <c r="BO1153" i="1"/>
  <c r="BO1154" i="1"/>
  <c r="BO1155" i="1"/>
  <c r="BO1156" i="1"/>
  <c r="BO1157" i="1"/>
  <c r="BO1158" i="1"/>
  <c r="BO1159" i="1"/>
  <c r="BO1160" i="1"/>
  <c r="BO1161" i="1"/>
  <c r="BO1162" i="1"/>
  <c r="BO1163" i="1"/>
  <c r="BO1164" i="1"/>
  <c r="BO1165" i="1"/>
  <c r="BO1166" i="1"/>
  <c r="BO1167" i="1"/>
  <c r="BO1168" i="1"/>
  <c r="BO1169" i="1"/>
  <c r="BO1170" i="1"/>
  <c r="BO1171" i="1"/>
  <c r="BO1172" i="1"/>
  <c r="BO1173" i="1"/>
  <c r="BO1174" i="1"/>
  <c r="BO1175" i="1"/>
  <c r="BO1176" i="1"/>
  <c r="BO1177" i="1"/>
  <c r="BO1178" i="1"/>
  <c r="BO1179" i="1"/>
  <c r="BO1180" i="1"/>
  <c r="BO1181" i="1"/>
  <c r="BO1182" i="1"/>
  <c r="BO1183" i="1"/>
  <c r="BO1184" i="1"/>
  <c r="BO1185" i="1"/>
  <c r="BO1186" i="1"/>
  <c r="BO1187" i="1"/>
  <c r="BO1188" i="1"/>
  <c r="BO1189" i="1"/>
  <c r="BO1190" i="1"/>
  <c r="BO1191" i="1"/>
  <c r="BO1192" i="1"/>
  <c r="BO1193" i="1"/>
  <c r="BO1194" i="1"/>
  <c r="BO1195" i="1"/>
  <c r="BO1196" i="1"/>
  <c r="BO1197" i="1"/>
  <c r="BO1198" i="1"/>
  <c r="BO1199" i="1"/>
  <c r="BO1200" i="1"/>
  <c r="BO1201" i="1"/>
  <c r="BO1202" i="1"/>
  <c r="BO1203" i="1"/>
  <c r="BO1204" i="1"/>
  <c r="BO1205" i="1"/>
  <c r="BO1206" i="1"/>
  <c r="BO1207" i="1"/>
  <c r="BO1208" i="1"/>
  <c r="BO1209" i="1"/>
  <c r="BO1210" i="1"/>
  <c r="BO1211" i="1"/>
  <c r="BO1212" i="1"/>
  <c r="BO1213" i="1"/>
  <c r="BO1214" i="1"/>
  <c r="BO1215" i="1"/>
  <c r="BO1216" i="1"/>
  <c r="BO1217" i="1"/>
  <c r="BO1218" i="1"/>
  <c r="BO1219" i="1"/>
  <c r="BO1220" i="1"/>
  <c r="BO1221" i="1"/>
  <c r="BO1222" i="1"/>
  <c r="BO1223" i="1"/>
  <c r="BO1224" i="1"/>
  <c r="BO1225" i="1"/>
  <c r="BO1226" i="1"/>
  <c r="BO1227" i="1"/>
  <c r="BO1228" i="1"/>
  <c r="BO1229" i="1"/>
  <c r="BO1230" i="1"/>
  <c r="BO1231" i="1"/>
  <c r="BO1232" i="1"/>
  <c r="BO1233" i="1"/>
  <c r="BO1234" i="1"/>
  <c r="BO1235" i="1"/>
  <c r="BO1236" i="1"/>
  <c r="BO1237" i="1"/>
  <c r="BO1238" i="1"/>
  <c r="BO1239" i="1"/>
  <c r="BO1240" i="1"/>
  <c r="BO1241" i="1"/>
  <c r="BO1242" i="1"/>
  <c r="BO1243" i="1"/>
  <c r="BO1244" i="1"/>
  <c r="BO1245" i="1"/>
  <c r="BO1246" i="1"/>
  <c r="BO1247" i="1"/>
  <c r="BO1248" i="1"/>
  <c r="BO1249" i="1"/>
  <c r="BO1250" i="1"/>
  <c r="BO1251" i="1"/>
  <c r="BO1252" i="1"/>
  <c r="BO1253" i="1"/>
  <c r="BO1254" i="1"/>
  <c r="BO1255" i="1"/>
  <c r="BO1256" i="1"/>
  <c r="BO1257" i="1"/>
  <c r="BO1258" i="1"/>
  <c r="BO1259" i="1"/>
  <c r="BO1260" i="1"/>
  <c r="BO1261" i="1"/>
  <c r="BO1262" i="1"/>
  <c r="BO1263" i="1"/>
  <c r="BO1264" i="1"/>
  <c r="BO1265" i="1"/>
  <c r="BO1266" i="1"/>
  <c r="BO1267" i="1"/>
  <c r="BO1268" i="1"/>
  <c r="BO1269" i="1"/>
  <c r="BO1270" i="1"/>
  <c r="BO1271" i="1"/>
  <c r="BO1272" i="1"/>
  <c r="BO1273" i="1"/>
  <c r="BO1274" i="1"/>
  <c r="BO1275" i="1"/>
  <c r="BO1276" i="1"/>
  <c r="BO1277" i="1"/>
  <c r="BO1278" i="1"/>
  <c r="BO1279" i="1"/>
  <c r="BO1280" i="1"/>
  <c r="BO1281" i="1"/>
  <c r="BO1282" i="1"/>
  <c r="BO1283" i="1"/>
  <c r="BO1284" i="1"/>
  <c r="BO1285" i="1"/>
  <c r="BO1286" i="1"/>
  <c r="BO1287" i="1"/>
  <c r="BO1288" i="1"/>
  <c r="BO1289" i="1"/>
  <c r="BO1290" i="1"/>
  <c r="BO1291" i="1"/>
  <c r="BO1292" i="1"/>
  <c r="BO1293" i="1"/>
  <c r="BO1294" i="1"/>
  <c r="BO1295" i="1"/>
  <c r="BO1296" i="1"/>
  <c r="BO1297" i="1"/>
  <c r="BO1298" i="1"/>
  <c r="BO1299" i="1"/>
  <c r="BO1300" i="1"/>
  <c r="BO1301" i="1"/>
  <c r="BO1302" i="1"/>
  <c r="BO1303" i="1"/>
  <c r="BO1304" i="1"/>
  <c r="BO1305" i="1"/>
  <c r="BO1306" i="1"/>
  <c r="BO1307" i="1"/>
  <c r="BO1308" i="1"/>
  <c r="BO1309" i="1"/>
  <c r="BO1310" i="1"/>
  <c r="BO1311" i="1"/>
  <c r="BO1312" i="1"/>
  <c r="BO1313" i="1"/>
  <c r="BO1314" i="1"/>
  <c r="BO1315" i="1"/>
  <c r="BO1316" i="1"/>
  <c r="BO1317" i="1"/>
  <c r="BO1318" i="1"/>
  <c r="BO1319" i="1"/>
  <c r="BO1320" i="1"/>
  <c r="BO1321" i="1"/>
  <c r="BO1322" i="1"/>
  <c r="BO1323" i="1"/>
  <c r="BO1324" i="1"/>
  <c r="BO1325" i="1"/>
  <c r="BO1326" i="1"/>
  <c r="BO1327" i="1"/>
  <c r="BO1328" i="1"/>
  <c r="BO1329" i="1"/>
  <c r="BO1330" i="1"/>
  <c r="BO1331" i="1"/>
  <c r="BO1332" i="1"/>
  <c r="BO1333" i="1"/>
  <c r="BO1334" i="1"/>
  <c r="BO1335" i="1"/>
  <c r="BO1336" i="1"/>
  <c r="BO1337" i="1"/>
  <c r="BO1338" i="1"/>
  <c r="BO1339" i="1"/>
  <c r="BO1340" i="1"/>
  <c r="BO1341" i="1"/>
  <c r="BO1342" i="1"/>
  <c r="BO1343" i="1"/>
  <c r="BO1344" i="1"/>
  <c r="BO1345" i="1"/>
  <c r="BO1346" i="1"/>
  <c r="BO1347" i="1"/>
  <c r="BO1348" i="1"/>
  <c r="BO1349" i="1"/>
  <c r="BO1350" i="1"/>
  <c r="BO1351" i="1"/>
  <c r="BO1352" i="1"/>
  <c r="BO1353" i="1"/>
  <c r="BO1354" i="1"/>
  <c r="BO1355" i="1"/>
  <c r="BO1356" i="1"/>
  <c r="BO1357" i="1"/>
  <c r="BO1358" i="1"/>
  <c r="BO1359" i="1"/>
  <c r="BO1360" i="1"/>
  <c r="BO1361" i="1"/>
  <c r="BO1362" i="1"/>
  <c r="BO1363" i="1"/>
  <c r="BO1364" i="1"/>
  <c r="BO1365" i="1"/>
  <c r="BO1366" i="1"/>
  <c r="BO1367" i="1"/>
  <c r="BO1368" i="1"/>
  <c r="BO1369" i="1"/>
  <c r="BO1370" i="1"/>
  <c r="BO1371" i="1"/>
  <c r="BO1372" i="1"/>
  <c r="BO1373" i="1"/>
  <c r="BO1374" i="1"/>
  <c r="BO1375" i="1"/>
  <c r="BO1376" i="1"/>
  <c r="BO1377" i="1"/>
  <c r="BO1378" i="1"/>
  <c r="BO1379" i="1"/>
  <c r="BO1380" i="1"/>
  <c r="BO1381" i="1"/>
  <c r="BO1382" i="1"/>
  <c r="BO1383" i="1"/>
  <c r="BO1384" i="1"/>
  <c r="BP326" i="1"/>
  <c r="BP327" i="1"/>
  <c r="BP328" i="1"/>
  <c r="BP329" i="1"/>
  <c r="BP330" i="1"/>
  <c r="BP331" i="1"/>
  <c r="BP332" i="1"/>
  <c r="BP333" i="1"/>
  <c r="BP334" i="1"/>
  <c r="BP335" i="1"/>
  <c r="BP336" i="1"/>
  <c r="BP337" i="1"/>
  <c r="BP338" i="1"/>
  <c r="BP339" i="1"/>
  <c r="BP340" i="1"/>
  <c r="BP341" i="1"/>
  <c r="BP342" i="1"/>
  <c r="BP343" i="1"/>
  <c r="BP344" i="1"/>
  <c r="BP345" i="1"/>
  <c r="BP346" i="1"/>
  <c r="BP347" i="1"/>
  <c r="BP348" i="1"/>
  <c r="BP349" i="1"/>
  <c r="BP350" i="1"/>
  <c r="BP351" i="1"/>
  <c r="BP352" i="1"/>
  <c r="BP353" i="1"/>
  <c r="BP354" i="1"/>
  <c r="BP355" i="1"/>
  <c r="BP356" i="1"/>
  <c r="BP357" i="1"/>
  <c r="BP358" i="1"/>
  <c r="BP359" i="1"/>
  <c r="BP360" i="1"/>
  <c r="BP361" i="1"/>
  <c r="BP362" i="1"/>
  <c r="BP363" i="1"/>
  <c r="BP364" i="1"/>
  <c r="BP365" i="1"/>
  <c r="BP366" i="1"/>
  <c r="BP367" i="1"/>
  <c r="BP368" i="1"/>
  <c r="BP369" i="1"/>
  <c r="BP370" i="1"/>
  <c r="BP371" i="1"/>
  <c r="BP372" i="1"/>
  <c r="BP373" i="1"/>
  <c r="BP374" i="1"/>
  <c r="BP375" i="1"/>
  <c r="BP376" i="1"/>
  <c r="BP377" i="1"/>
  <c r="BP378" i="1"/>
  <c r="BP379" i="1"/>
  <c r="BP380" i="1"/>
  <c r="BP381" i="1"/>
  <c r="BP382" i="1"/>
  <c r="BP383" i="1"/>
  <c r="BP384" i="1"/>
  <c r="BP385" i="1"/>
  <c r="BP386" i="1"/>
  <c r="BP387" i="1"/>
  <c r="BP388" i="1"/>
  <c r="BP389" i="1"/>
  <c r="BP390" i="1"/>
  <c r="BP391" i="1"/>
  <c r="BP392" i="1"/>
  <c r="BP393" i="1"/>
  <c r="BP394" i="1"/>
  <c r="BP395" i="1"/>
  <c r="BP396" i="1"/>
  <c r="BP397" i="1"/>
  <c r="BP398" i="1"/>
  <c r="BP399" i="1"/>
  <c r="BP400" i="1"/>
  <c r="BP401" i="1"/>
  <c r="BP402" i="1"/>
  <c r="BP403" i="1"/>
  <c r="BP404" i="1"/>
  <c r="BP405" i="1"/>
  <c r="BP406" i="1"/>
  <c r="BP407" i="1"/>
  <c r="BP408" i="1"/>
  <c r="BP409" i="1"/>
  <c r="BP410" i="1"/>
  <c r="BP411" i="1"/>
  <c r="BP412" i="1"/>
  <c r="BP413" i="1"/>
  <c r="BP414" i="1"/>
  <c r="BP415" i="1"/>
  <c r="BP416" i="1"/>
  <c r="BP417" i="1"/>
  <c r="BP418" i="1"/>
  <c r="BP419" i="1"/>
  <c r="BP420" i="1"/>
  <c r="BP421" i="1"/>
  <c r="BP422" i="1"/>
  <c r="BP423" i="1"/>
  <c r="BP424" i="1"/>
  <c r="BP425" i="1"/>
  <c r="BP426" i="1"/>
  <c r="BP427" i="1"/>
  <c r="BP428" i="1"/>
  <c r="BP429" i="1"/>
  <c r="BP430" i="1"/>
  <c r="BP431" i="1"/>
  <c r="BP432" i="1"/>
  <c r="BP433" i="1"/>
  <c r="BP434" i="1"/>
  <c r="BP435" i="1"/>
  <c r="BP436" i="1"/>
  <c r="BP437" i="1"/>
  <c r="BP438" i="1"/>
  <c r="BP439" i="1"/>
  <c r="BP440" i="1"/>
  <c r="BP441" i="1"/>
  <c r="BP442" i="1"/>
  <c r="BP443" i="1"/>
  <c r="BP444" i="1"/>
  <c r="BP445" i="1"/>
  <c r="BP446" i="1"/>
  <c r="BP447" i="1"/>
  <c r="BP448" i="1"/>
  <c r="BP449" i="1"/>
  <c r="BP450" i="1"/>
  <c r="BP451" i="1"/>
  <c r="BP452" i="1"/>
  <c r="BP453" i="1"/>
  <c r="BP454" i="1"/>
  <c r="BP455" i="1"/>
  <c r="BP456" i="1"/>
  <c r="BP457" i="1"/>
  <c r="BP458" i="1"/>
  <c r="BP459" i="1"/>
  <c r="BP460" i="1"/>
  <c r="BP461" i="1"/>
  <c r="BP462" i="1"/>
  <c r="BP463" i="1"/>
  <c r="BP464" i="1"/>
  <c r="BP465" i="1"/>
  <c r="BP466" i="1"/>
  <c r="BP467" i="1"/>
  <c r="BP468" i="1"/>
  <c r="BP469" i="1"/>
  <c r="BP470" i="1"/>
  <c r="BP471" i="1"/>
  <c r="BP472" i="1"/>
  <c r="BP473" i="1"/>
  <c r="BP474" i="1"/>
  <c r="BP475" i="1"/>
  <c r="BP476" i="1"/>
  <c r="BP477" i="1"/>
  <c r="BP478" i="1"/>
  <c r="BP479" i="1"/>
  <c r="BP480" i="1"/>
  <c r="BP481" i="1"/>
  <c r="BP482" i="1"/>
  <c r="BP483" i="1"/>
  <c r="BP484" i="1"/>
  <c r="BP485" i="1"/>
  <c r="BP486" i="1"/>
  <c r="BP487" i="1"/>
  <c r="BP488" i="1"/>
  <c r="BP489" i="1"/>
  <c r="BP490" i="1"/>
  <c r="BP491" i="1"/>
  <c r="BP492" i="1"/>
  <c r="BP493" i="1"/>
  <c r="BP494" i="1"/>
  <c r="BP495" i="1"/>
  <c r="BP496" i="1"/>
  <c r="BP497" i="1"/>
  <c r="BP498" i="1"/>
  <c r="BP499" i="1"/>
  <c r="BP500" i="1"/>
  <c r="BP501" i="1"/>
  <c r="BP502" i="1"/>
  <c r="BP503" i="1"/>
  <c r="BP504" i="1"/>
  <c r="BP505" i="1"/>
  <c r="BP506" i="1"/>
  <c r="BP507" i="1"/>
  <c r="BP508" i="1"/>
  <c r="BP509" i="1"/>
  <c r="BP510" i="1"/>
  <c r="BP511" i="1"/>
  <c r="BP512" i="1"/>
  <c r="BP513" i="1"/>
  <c r="BP514" i="1"/>
  <c r="BP515" i="1"/>
  <c r="BP516" i="1"/>
  <c r="BP517" i="1"/>
  <c r="BP518" i="1"/>
  <c r="BP519" i="1"/>
  <c r="BP520" i="1"/>
  <c r="BP521" i="1"/>
  <c r="BP522" i="1"/>
  <c r="BP523" i="1"/>
  <c r="BP524" i="1"/>
  <c r="BP525" i="1"/>
  <c r="BP526" i="1"/>
  <c r="BP527" i="1"/>
  <c r="BP528" i="1"/>
  <c r="BP529" i="1"/>
  <c r="BP530" i="1"/>
  <c r="BP531" i="1"/>
  <c r="BP532" i="1"/>
  <c r="BP533" i="1"/>
  <c r="BP534" i="1"/>
  <c r="BP535" i="1"/>
  <c r="BP536" i="1"/>
  <c r="BP537" i="1"/>
  <c r="BP538" i="1"/>
  <c r="BP539" i="1"/>
  <c r="BP540" i="1"/>
  <c r="BP541" i="1"/>
  <c r="BP542" i="1"/>
  <c r="BP543" i="1"/>
  <c r="BP544" i="1"/>
  <c r="BP545" i="1"/>
  <c r="BP546" i="1"/>
  <c r="BP547" i="1"/>
  <c r="BP548" i="1"/>
  <c r="BP549" i="1"/>
  <c r="BP550" i="1"/>
  <c r="BP551" i="1"/>
  <c r="BP552" i="1"/>
  <c r="BP553" i="1"/>
  <c r="BP554" i="1"/>
  <c r="BP555" i="1"/>
  <c r="BP556" i="1"/>
  <c r="BP557" i="1"/>
  <c r="BP558" i="1"/>
  <c r="BP559" i="1"/>
  <c r="BP560" i="1"/>
  <c r="BP561" i="1"/>
  <c r="BP562" i="1"/>
  <c r="BP563" i="1"/>
  <c r="BP564" i="1"/>
  <c r="BP565" i="1"/>
  <c r="BP566" i="1"/>
  <c r="BP567" i="1"/>
  <c r="BP568" i="1"/>
  <c r="BP569" i="1"/>
  <c r="BP570" i="1"/>
  <c r="BP571" i="1"/>
  <c r="BP572" i="1"/>
  <c r="BP573" i="1"/>
  <c r="BP574" i="1"/>
  <c r="BP575" i="1"/>
  <c r="BP576" i="1"/>
  <c r="BP577" i="1"/>
  <c r="BP578" i="1"/>
  <c r="BP579" i="1"/>
  <c r="BP580" i="1"/>
  <c r="BP581" i="1"/>
  <c r="BP582" i="1"/>
  <c r="BP583" i="1"/>
  <c r="BP584" i="1"/>
  <c r="BP585" i="1"/>
  <c r="BP586" i="1"/>
  <c r="BP587" i="1"/>
  <c r="BP588" i="1"/>
  <c r="BP589" i="1"/>
  <c r="BP590" i="1"/>
  <c r="BP591" i="1"/>
  <c r="BP592" i="1"/>
  <c r="BP593" i="1"/>
  <c r="BP594" i="1"/>
  <c r="BP595" i="1"/>
  <c r="BP596" i="1"/>
  <c r="BP597" i="1"/>
  <c r="BP598" i="1"/>
  <c r="BP599" i="1"/>
  <c r="BP600" i="1"/>
  <c r="BP601" i="1"/>
  <c r="BP602" i="1"/>
  <c r="BP603" i="1"/>
  <c r="BP604" i="1"/>
  <c r="BP605" i="1"/>
  <c r="BP606" i="1"/>
  <c r="BP607" i="1"/>
  <c r="BP608" i="1"/>
  <c r="BP609" i="1"/>
  <c r="BP610" i="1"/>
  <c r="BP611" i="1"/>
  <c r="BP612" i="1"/>
  <c r="BP613" i="1"/>
  <c r="BP614" i="1"/>
  <c r="BP615" i="1"/>
  <c r="BP616" i="1"/>
  <c r="BP617" i="1"/>
  <c r="BP618" i="1"/>
  <c r="BP619" i="1"/>
  <c r="BP620" i="1"/>
  <c r="BP621" i="1"/>
  <c r="BP622" i="1"/>
  <c r="BP623" i="1"/>
  <c r="BP624" i="1"/>
  <c r="BP625" i="1"/>
  <c r="BP626" i="1"/>
  <c r="BP627" i="1"/>
  <c r="BP628" i="1"/>
  <c r="BP629" i="1"/>
  <c r="BP630" i="1"/>
  <c r="BP631" i="1"/>
  <c r="BP632" i="1"/>
  <c r="BP633" i="1"/>
  <c r="BP634" i="1"/>
  <c r="BP635" i="1"/>
  <c r="BP636" i="1"/>
  <c r="BP637" i="1"/>
  <c r="BP638" i="1"/>
  <c r="BP639" i="1"/>
  <c r="BP640" i="1"/>
  <c r="BP641" i="1"/>
  <c r="BP642" i="1"/>
  <c r="BP643" i="1"/>
  <c r="BP644" i="1"/>
  <c r="BP645" i="1"/>
  <c r="BP646" i="1"/>
  <c r="BP647" i="1"/>
  <c r="BP648" i="1"/>
  <c r="BP649" i="1"/>
  <c r="BP650" i="1"/>
  <c r="BP651" i="1"/>
  <c r="BP652" i="1"/>
  <c r="BP653" i="1"/>
  <c r="BP654" i="1"/>
  <c r="BP655" i="1"/>
  <c r="BP656" i="1"/>
  <c r="BP657" i="1"/>
  <c r="BP658" i="1"/>
  <c r="BP659" i="1"/>
  <c r="BP660" i="1"/>
  <c r="BP661" i="1"/>
  <c r="BP662" i="1"/>
  <c r="BP663" i="1"/>
  <c r="BP664" i="1"/>
  <c r="BP665" i="1"/>
  <c r="BP666" i="1"/>
  <c r="BP667" i="1"/>
  <c r="BP668" i="1"/>
  <c r="BP669" i="1"/>
  <c r="BP670" i="1"/>
  <c r="BP671" i="1"/>
  <c r="BP672" i="1"/>
  <c r="BP673" i="1"/>
  <c r="BP674" i="1"/>
  <c r="BP675" i="1"/>
  <c r="BP676" i="1"/>
  <c r="BP677" i="1"/>
  <c r="BP678" i="1"/>
  <c r="BP679" i="1"/>
  <c r="BP680" i="1"/>
  <c r="BP681" i="1"/>
  <c r="BP682" i="1"/>
  <c r="BP683" i="1"/>
  <c r="BP684" i="1"/>
  <c r="BP685" i="1"/>
  <c r="BP686" i="1"/>
  <c r="BP687" i="1"/>
  <c r="BP688" i="1"/>
  <c r="BP689" i="1"/>
  <c r="BP690" i="1"/>
  <c r="BP691" i="1"/>
  <c r="BP692" i="1"/>
  <c r="BP693" i="1"/>
  <c r="BP694" i="1"/>
  <c r="BP695" i="1"/>
  <c r="BP696" i="1"/>
  <c r="BP697" i="1"/>
  <c r="BP698" i="1"/>
  <c r="BP699" i="1"/>
  <c r="BP700" i="1"/>
  <c r="BP701" i="1"/>
  <c r="BP702" i="1"/>
  <c r="BP703" i="1"/>
  <c r="BP704" i="1"/>
  <c r="BP705" i="1"/>
  <c r="BP706" i="1"/>
  <c r="BP707" i="1"/>
  <c r="BP708" i="1"/>
  <c r="BP709" i="1"/>
  <c r="BP710" i="1"/>
  <c r="BP711" i="1"/>
  <c r="BP712" i="1"/>
  <c r="BP713" i="1"/>
  <c r="BP714" i="1"/>
  <c r="BP715" i="1"/>
  <c r="BP716" i="1"/>
  <c r="BP717" i="1"/>
  <c r="BP718" i="1"/>
  <c r="BP719" i="1"/>
  <c r="BP720" i="1"/>
  <c r="BP721" i="1"/>
  <c r="BP722" i="1"/>
  <c r="BP723" i="1"/>
  <c r="BP724" i="1"/>
  <c r="BP725" i="1"/>
  <c r="BP726" i="1"/>
  <c r="BP727" i="1"/>
  <c r="BP728" i="1"/>
  <c r="BP729" i="1"/>
  <c r="BP730" i="1"/>
  <c r="BP731" i="1"/>
  <c r="BP732" i="1"/>
  <c r="BP733" i="1"/>
  <c r="BP734" i="1"/>
  <c r="BP735" i="1"/>
  <c r="BP736" i="1"/>
  <c r="BP737" i="1"/>
  <c r="BP738" i="1"/>
  <c r="BP739" i="1"/>
  <c r="BP740" i="1"/>
  <c r="BP741" i="1"/>
  <c r="BP742" i="1"/>
  <c r="BP743" i="1"/>
  <c r="BP744" i="1"/>
  <c r="BP745" i="1"/>
  <c r="BP746" i="1"/>
  <c r="BP747" i="1"/>
  <c r="BP748" i="1"/>
  <c r="BP749" i="1"/>
  <c r="BP750" i="1"/>
  <c r="BP751" i="1"/>
  <c r="BP752" i="1"/>
  <c r="BP753" i="1"/>
  <c r="BP754" i="1"/>
  <c r="BP755" i="1"/>
  <c r="BP756" i="1"/>
  <c r="BP757" i="1"/>
  <c r="BP758" i="1"/>
  <c r="BP759" i="1"/>
  <c r="BP760" i="1"/>
  <c r="BP761" i="1"/>
  <c r="BP762" i="1"/>
  <c r="BP763" i="1"/>
  <c r="BP764" i="1"/>
  <c r="BP765" i="1"/>
  <c r="BP766" i="1"/>
  <c r="BP767" i="1"/>
  <c r="BP768" i="1"/>
  <c r="BP769" i="1"/>
  <c r="BP770" i="1"/>
  <c r="BP771" i="1"/>
  <c r="BP772" i="1"/>
  <c r="BP773" i="1"/>
  <c r="BP774" i="1"/>
  <c r="BP775" i="1"/>
  <c r="BP776" i="1"/>
  <c r="BP777" i="1"/>
  <c r="BP778" i="1"/>
  <c r="BP779" i="1"/>
  <c r="BP780" i="1"/>
  <c r="BP781" i="1"/>
  <c r="BP782" i="1"/>
  <c r="BP783" i="1"/>
  <c r="BP784" i="1"/>
  <c r="BP785" i="1"/>
  <c r="BP786" i="1"/>
  <c r="BP787" i="1"/>
  <c r="BP788" i="1"/>
  <c r="BP789" i="1"/>
  <c r="BP790" i="1"/>
  <c r="BP791" i="1"/>
  <c r="BP792" i="1"/>
  <c r="BP793" i="1"/>
  <c r="BP794" i="1"/>
  <c r="BP795" i="1"/>
  <c r="BP796" i="1"/>
  <c r="BP797" i="1"/>
  <c r="BP798" i="1"/>
  <c r="BP799" i="1"/>
  <c r="BP800" i="1"/>
  <c r="BP801" i="1"/>
  <c r="BP802" i="1"/>
  <c r="BP803" i="1"/>
  <c r="BP804" i="1"/>
  <c r="BP805" i="1"/>
  <c r="BP806" i="1"/>
  <c r="BP807" i="1"/>
  <c r="BP808" i="1"/>
  <c r="BP809" i="1"/>
  <c r="BP810" i="1"/>
  <c r="BP811" i="1"/>
  <c r="BP812" i="1"/>
  <c r="BP813" i="1"/>
  <c r="BP814" i="1"/>
  <c r="BP815" i="1"/>
  <c r="BP816" i="1"/>
  <c r="BP817" i="1"/>
  <c r="BP818" i="1"/>
  <c r="BP819" i="1"/>
  <c r="BP820" i="1"/>
  <c r="BP821" i="1"/>
  <c r="BP822" i="1"/>
  <c r="BP823" i="1"/>
  <c r="BP824" i="1"/>
  <c r="BP825" i="1"/>
  <c r="BP826" i="1"/>
  <c r="BP827" i="1"/>
  <c r="BP828" i="1"/>
  <c r="BP829" i="1"/>
  <c r="BP830" i="1"/>
  <c r="BP831" i="1"/>
  <c r="BP832" i="1"/>
  <c r="BP833" i="1"/>
  <c r="BP834" i="1"/>
  <c r="BP835" i="1"/>
  <c r="BP836" i="1"/>
  <c r="BP837" i="1"/>
  <c r="BP838" i="1"/>
  <c r="BP839" i="1"/>
  <c r="BP840" i="1"/>
  <c r="BP841" i="1"/>
  <c r="BP842" i="1"/>
  <c r="BP843" i="1"/>
  <c r="BP844" i="1"/>
  <c r="BP845" i="1"/>
  <c r="BP846" i="1"/>
  <c r="BP847" i="1"/>
  <c r="BP848" i="1"/>
  <c r="BP849" i="1"/>
  <c r="BP850" i="1"/>
  <c r="BP851" i="1"/>
  <c r="BP852" i="1"/>
  <c r="BP853" i="1"/>
  <c r="BP854" i="1"/>
  <c r="BP855" i="1"/>
  <c r="BP856" i="1"/>
  <c r="BP857" i="1"/>
  <c r="BP858" i="1"/>
  <c r="BP859" i="1"/>
  <c r="BP860" i="1"/>
  <c r="BP861" i="1"/>
  <c r="BP862" i="1"/>
  <c r="BP863" i="1"/>
  <c r="BP864" i="1"/>
  <c r="BP865" i="1"/>
  <c r="BP866" i="1"/>
  <c r="BP867" i="1"/>
  <c r="BP868" i="1"/>
  <c r="BP869" i="1"/>
  <c r="BP870" i="1"/>
  <c r="BP871" i="1"/>
  <c r="BP872" i="1"/>
  <c r="BP873" i="1"/>
  <c r="BP874" i="1"/>
  <c r="BP875" i="1"/>
  <c r="BP876" i="1"/>
  <c r="BP877" i="1"/>
  <c r="BP878" i="1"/>
  <c r="BP879" i="1"/>
  <c r="BP880" i="1"/>
  <c r="BP881" i="1"/>
  <c r="BP882" i="1"/>
  <c r="BP883" i="1"/>
  <c r="BP884" i="1"/>
  <c r="BP885" i="1"/>
  <c r="BP886" i="1"/>
  <c r="BP887" i="1"/>
  <c r="BP888" i="1"/>
  <c r="BP889" i="1"/>
  <c r="BP890" i="1"/>
  <c r="BP891" i="1"/>
  <c r="BP892" i="1"/>
  <c r="BP893" i="1"/>
  <c r="BP894" i="1"/>
  <c r="BP895" i="1"/>
  <c r="BP896" i="1"/>
  <c r="BP897" i="1"/>
  <c r="BP898" i="1"/>
  <c r="BP899" i="1"/>
  <c r="BP900" i="1"/>
  <c r="BP901" i="1"/>
  <c r="BP902" i="1"/>
  <c r="BP903" i="1"/>
  <c r="BP904" i="1"/>
  <c r="BP905" i="1"/>
  <c r="BP906" i="1"/>
  <c r="BP907" i="1"/>
  <c r="BP908" i="1"/>
  <c r="BP909" i="1"/>
  <c r="BP910" i="1"/>
  <c r="BP911" i="1"/>
  <c r="BP912" i="1"/>
  <c r="BP913" i="1"/>
  <c r="BP914" i="1"/>
  <c r="BP915" i="1"/>
  <c r="BP916" i="1"/>
  <c r="BP917" i="1"/>
  <c r="BP918" i="1"/>
  <c r="BP919" i="1"/>
  <c r="BP920" i="1"/>
  <c r="BP921" i="1"/>
  <c r="BP922" i="1"/>
  <c r="BP923" i="1"/>
  <c r="BP924" i="1"/>
  <c r="BP925" i="1"/>
  <c r="BP926" i="1"/>
  <c r="BP927" i="1"/>
  <c r="BP928" i="1"/>
  <c r="BP929" i="1"/>
  <c r="BP930" i="1"/>
  <c r="BP931" i="1"/>
  <c r="BP932" i="1"/>
  <c r="BP933" i="1"/>
  <c r="BP934" i="1"/>
  <c r="BP935" i="1"/>
  <c r="BP936" i="1"/>
  <c r="BP937" i="1"/>
  <c r="BP938" i="1"/>
  <c r="BP939" i="1"/>
  <c r="BP940" i="1"/>
  <c r="BP941" i="1"/>
  <c r="BP942" i="1"/>
  <c r="BP943" i="1"/>
  <c r="BP944" i="1"/>
  <c r="BP945" i="1"/>
  <c r="BP946" i="1"/>
  <c r="BP947" i="1"/>
  <c r="BP948" i="1"/>
  <c r="BP949" i="1"/>
  <c r="BP950" i="1"/>
  <c r="BP951" i="1"/>
  <c r="BP952" i="1"/>
  <c r="BP953" i="1"/>
  <c r="BP954" i="1"/>
  <c r="BP955" i="1"/>
  <c r="BP956" i="1"/>
  <c r="BP957" i="1"/>
  <c r="BP958" i="1"/>
  <c r="BP959" i="1"/>
  <c r="BP960" i="1"/>
  <c r="BP961" i="1"/>
  <c r="BP962" i="1"/>
  <c r="BP963" i="1"/>
  <c r="BP964" i="1"/>
  <c r="BP965" i="1"/>
  <c r="BP966" i="1"/>
  <c r="BP967" i="1"/>
  <c r="BP968" i="1"/>
  <c r="BP969" i="1"/>
  <c r="BP970" i="1"/>
  <c r="BP971" i="1"/>
  <c r="BP972" i="1"/>
  <c r="BP973" i="1"/>
  <c r="BP974" i="1"/>
  <c r="BP975" i="1"/>
  <c r="BP976" i="1"/>
  <c r="BP977" i="1"/>
  <c r="BP978" i="1"/>
  <c r="BP979" i="1"/>
  <c r="BP980" i="1"/>
  <c r="BP981" i="1"/>
  <c r="BP982" i="1"/>
  <c r="BP983" i="1"/>
  <c r="BP984" i="1"/>
  <c r="BP985" i="1"/>
  <c r="BP986" i="1"/>
  <c r="BP987" i="1"/>
  <c r="BP988" i="1"/>
  <c r="BP989" i="1"/>
  <c r="BP990" i="1"/>
  <c r="BP991" i="1"/>
  <c r="BP992" i="1"/>
  <c r="BP993" i="1"/>
  <c r="BP994" i="1"/>
  <c r="BP995" i="1"/>
  <c r="BP996" i="1"/>
  <c r="BP997" i="1"/>
  <c r="BP998" i="1"/>
  <c r="BP999" i="1"/>
  <c r="BP1000" i="1"/>
  <c r="BP1001" i="1"/>
  <c r="BP1002" i="1"/>
  <c r="BP1003" i="1"/>
  <c r="BP1004" i="1"/>
  <c r="BP1005" i="1"/>
  <c r="BP1006" i="1"/>
  <c r="BP1007" i="1"/>
  <c r="BP1008" i="1"/>
  <c r="BP1009" i="1"/>
  <c r="BP1010" i="1"/>
  <c r="BP1011" i="1"/>
  <c r="BP1012" i="1"/>
  <c r="BP1013" i="1"/>
  <c r="BP1014" i="1"/>
  <c r="BP1015" i="1"/>
  <c r="BP1016" i="1"/>
  <c r="BP1017" i="1"/>
  <c r="BP1018" i="1"/>
  <c r="BP1019" i="1"/>
  <c r="BP1020" i="1"/>
  <c r="BP1021" i="1"/>
  <c r="BP1022" i="1"/>
  <c r="BP1023" i="1"/>
  <c r="BP1024" i="1"/>
  <c r="BP1025" i="1"/>
  <c r="BP1026" i="1"/>
  <c r="BP1027" i="1"/>
  <c r="BP1028" i="1"/>
  <c r="BP1029" i="1"/>
  <c r="BP1030" i="1"/>
  <c r="BP1031" i="1"/>
  <c r="BP1032" i="1"/>
  <c r="BP1033" i="1"/>
  <c r="BP1034" i="1"/>
  <c r="BP1035" i="1"/>
  <c r="BP1036" i="1"/>
  <c r="BP1037" i="1"/>
  <c r="BP1038" i="1"/>
  <c r="BP1039" i="1"/>
  <c r="BP1040" i="1"/>
  <c r="BP1041" i="1"/>
  <c r="BP1042" i="1"/>
  <c r="BP1043" i="1"/>
  <c r="BP1044" i="1"/>
  <c r="BP1045" i="1"/>
  <c r="BP1046" i="1"/>
  <c r="BP1047" i="1"/>
  <c r="BP1048" i="1"/>
  <c r="BP1049" i="1"/>
  <c r="BP1050" i="1"/>
  <c r="BP1051" i="1"/>
  <c r="BP1052" i="1"/>
  <c r="BP1053" i="1"/>
  <c r="BP1054" i="1"/>
  <c r="BP1055" i="1"/>
  <c r="BP1056" i="1"/>
  <c r="BP1057" i="1"/>
  <c r="BP1058" i="1"/>
  <c r="BP1059" i="1"/>
  <c r="BP1060" i="1"/>
  <c r="BP1061" i="1"/>
  <c r="BP1062" i="1"/>
  <c r="BP1063" i="1"/>
  <c r="BP1064" i="1"/>
  <c r="BP1065" i="1"/>
  <c r="BP1066" i="1"/>
  <c r="BP1067" i="1"/>
  <c r="BP1068" i="1"/>
  <c r="BP1069" i="1"/>
  <c r="BP1070" i="1"/>
  <c r="BP1071" i="1"/>
  <c r="BP1072" i="1"/>
  <c r="BP1073" i="1"/>
  <c r="BP1074" i="1"/>
  <c r="BP1075" i="1"/>
  <c r="BP1076" i="1"/>
  <c r="BP1077" i="1"/>
  <c r="BP1078" i="1"/>
  <c r="BP1079" i="1"/>
  <c r="BP1080" i="1"/>
  <c r="BP1081" i="1"/>
  <c r="BP1082" i="1"/>
  <c r="BP1083" i="1"/>
  <c r="BP1084" i="1"/>
  <c r="BP1085" i="1"/>
  <c r="BP1086" i="1"/>
  <c r="BP1087" i="1"/>
  <c r="BP1088" i="1"/>
  <c r="BP1089" i="1"/>
  <c r="BP1090" i="1"/>
  <c r="BP1091" i="1"/>
  <c r="BP1092" i="1"/>
  <c r="BP1093" i="1"/>
  <c r="BP1094" i="1"/>
  <c r="BP1095" i="1"/>
  <c r="BP1096" i="1"/>
  <c r="BP1097" i="1"/>
  <c r="BP1098" i="1"/>
  <c r="BP1099" i="1"/>
  <c r="BP1100" i="1"/>
  <c r="BP1101" i="1"/>
  <c r="BP1102" i="1"/>
  <c r="BP1103" i="1"/>
  <c r="BP1104" i="1"/>
  <c r="BP1105" i="1"/>
  <c r="BP1106" i="1"/>
  <c r="BP1107" i="1"/>
  <c r="BP1108" i="1"/>
  <c r="BP1109" i="1"/>
  <c r="BP1110" i="1"/>
  <c r="BP1111" i="1"/>
  <c r="BP1112" i="1"/>
  <c r="BP1113" i="1"/>
  <c r="BP1114" i="1"/>
  <c r="BP1115" i="1"/>
  <c r="BP1116" i="1"/>
  <c r="BP1117" i="1"/>
  <c r="BP1118" i="1"/>
  <c r="BP1119" i="1"/>
  <c r="BP1120" i="1"/>
  <c r="BP1121" i="1"/>
  <c r="BP1122" i="1"/>
  <c r="BP1123" i="1"/>
  <c r="BP1124" i="1"/>
  <c r="BP1125" i="1"/>
  <c r="BP1126" i="1"/>
  <c r="BP1127" i="1"/>
  <c r="BP1128" i="1"/>
  <c r="BP1129" i="1"/>
  <c r="BP1130" i="1"/>
  <c r="BP1131" i="1"/>
  <c r="BP1132" i="1"/>
  <c r="BP1133" i="1"/>
  <c r="BP1134" i="1"/>
  <c r="BP1135" i="1"/>
  <c r="BP1136" i="1"/>
  <c r="BP1137" i="1"/>
  <c r="BP1138" i="1"/>
  <c r="BP1139" i="1"/>
  <c r="BP1140" i="1"/>
  <c r="BP1141" i="1"/>
  <c r="BP1142" i="1"/>
  <c r="BP1143" i="1"/>
  <c r="BP1144" i="1"/>
  <c r="BP1145" i="1"/>
  <c r="BP1146" i="1"/>
  <c r="BP1147" i="1"/>
  <c r="BP1148" i="1"/>
  <c r="BP1149" i="1"/>
  <c r="BP1150" i="1"/>
  <c r="BP1151" i="1"/>
  <c r="BP1152" i="1"/>
  <c r="BP1153" i="1"/>
  <c r="BP1154" i="1"/>
  <c r="BP1155" i="1"/>
  <c r="BP1156" i="1"/>
  <c r="BP1157" i="1"/>
  <c r="BP1158" i="1"/>
  <c r="BP1159" i="1"/>
  <c r="BP1160" i="1"/>
  <c r="BP1161" i="1"/>
  <c r="BP1162" i="1"/>
  <c r="BP1163" i="1"/>
  <c r="BP1164" i="1"/>
  <c r="BP1165" i="1"/>
  <c r="BP1166" i="1"/>
  <c r="BP1167" i="1"/>
  <c r="BP1168" i="1"/>
  <c r="BP1169" i="1"/>
  <c r="BP1170" i="1"/>
  <c r="BP1171" i="1"/>
  <c r="BP1172" i="1"/>
  <c r="BP1173" i="1"/>
  <c r="BP1174" i="1"/>
  <c r="BP1175" i="1"/>
  <c r="BP1176" i="1"/>
  <c r="BP1177" i="1"/>
  <c r="BP1178" i="1"/>
  <c r="BP1179" i="1"/>
  <c r="BP1180" i="1"/>
  <c r="BP1181" i="1"/>
  <c r="BP1182" i="1"/>
  <c r="BP1183" i="1"/>
  <c r="BP1184" i="1"/>
  <c r="BP1185" i="1"/>
  <c r="BP1186" i="1"/>
  <c r="BP1187" i="1"/>
  <c r="BP1188" i="1"/>
  <c r="BP1189" i="1"/>
  <c r="BP1190" i="1"/>
  <c r="BP1191" i="1"/>
  <c r="BP1192" i="1"/>
  <c r="BP1193" i="1"/>
  <c r="BP1194" i="1"/>
  <c r="BP1195" i="1"/>
  <c r="BP1196" i="1"/>
  <c r="BP1197" i="1"/>
  <c r="BP1198" i="1"/>
  <c r="BP1199" i="1"/>
  <c r="BP1200" i="1"/>
  <c r="BP1201" i="1"/>
  <c r="BP1202" i="1"/>
  <c r="BP1203" i="1"/>
  <c r="BP1204" i="1"/>
  <c r="BP1205" i="1"/>
  <c r="BP1206" i="1"/>
  <c r="BP1207" i="1"/>
  <c r="BP1208" i="1"/>
  <c r="BP1209" i="1"/>
  <c r="BP1210" i="1"/>
  <c r="BP1211" i="1"/>
  <c r="BP1212" i="1"/>
  <c r="BP1213" i="1"/>
  <c r="BP1214" i="1"/>
  <c r="BP1215" i="1"/>
  <c r="BP1216" i="1"/>
  <c r="BP1217" i="1"/>
  <c r="BP1218" i="1"/>
  <c r="BP1219" i="1"/>
  <c r="BP1220" i="1"/>
  <c r="BP1221" i="1"/>
  <c r="BP1222" i="1"/>
  <c r="BP1223" i="1"/>
  <c r="BP1224" i="1"/>
  <c r="BP1225" i="1"/>
  <c r="BP1226" i="1"/>
  <c r="BP1227" i="1"/>
  <c r="BP1228" i="1"/>
  <c r="BP1229" i="1"/>
  <c r="BP1230" i="1"/>
  <c r="BP1231" i="1"/>
  <c r="BP1232" i="1"/>
  <c r="BP1233" i="1"/>
  <c r="BP1234" i="1"/>
  <c r="BP1235" i="1"/>
  <c r="BP1236" i="1"/>
  <c r="BP1237" i="1"/>
  <c r="BP1238" i="1"/>
  <c r="BP1239" i="1"/>
  <c r="BP1240" i="1"/>
  <c r="BP1241" i="1"/>
  <c r="BP1242" i="1"/>
  <c r="BP1243" i="1"/>
  <c r="BP1244" i="1"/>
  <c r="BP1245" i="1"/>
  <c r="BP1246" i="1"/>
  <c r="BP1247" i="1"/>
  <c r="BP1248" i="1"/>
  <c r="BP1249" i="1"/>
  <c r="BP1250" i="1"/>
  <c r="BP1251" i="1"/>
  <c r="BP1252" i="1"/>
  <c r="BP1253" i="1"/>
  <c r="BP1254" i="1"/>
  <c r="BP1255" i="1"/>
  <c r="BP1256" i="1"/>
  <c r="BP1257" i="1"/>
  <c r="BP1258" i="1"/>
  <c r="BP1259" i="1"/>
  <c r="BP1260" i="1"/>
  <c r="BP1261" i="1"/>
  <c r="BP1262" i="1"/>
  <c r="BP1263" i="1"/>
  <c r="BP1264" i="1"/>
  <c r="BP1265" i="1"/>
  <c r="BP1266" i="1"/>
  <c r="BP1267" i="1"/>
  <c r="BP1268" i="1"/>
  <c r="BP1269" i="1"/>
  <c r="BP1270" i="1"/>
  <c r="BP1271" i="1"/>
  <c r="BP1272" i="1"/>
  <c r="BP1273" i="1"/>
  <c r="BP1274" i="1"/>
  <c r="BP1275" i="1"/>
  <c r="BP1276" i="1"/>
  <c r="BP1277" i="1"/>
  <c r="BP1278" i="1"/>
  <c r="BP1279" i="1"/>
  <c r="BP1280" i="1"/>
  <c r="BP1281" i="1"/>
  <c r="BP1282" i="1"/>
  <c r="BP1283" i="1"/>
  <c r="BP1284" i="1"/>
  <c r="BP1285" i="1"/>
  <c r="BP1286" i="1"/>
  <c r="BP1287" i="1"/>
  <c r="BP1288" i="1"/>
  <c r="BP1289" i="1"/>
  <c r="BP1290" i="1"/>
  <c r="BP1291" i="1"/>
  <c r="BP1292" i="1"/>
  <c r="BP1293" i="1"/>
  <c r="BP1294" i="1"/>
  <c r="BP1295" i="1"/>
  <c r="BP1296" i="1"/>
  <c r="BP1297" i="1"/>
  <c r="BP1298" i="1"/>
  <c r="BP1299" i="1"/>
  <c r="BP1300" i="1"/>
  <c r="BP1301" i="1"/>
  <c r="BP1302" i="1"/>
  <c r="BP1303" i="1"/>
  <c r="BP1304" i="1"/>
  <c r="BP1305" i="1"/>
  <c r="BP1306" i="1"/>
  <c r="BP1307" i="1"/>
  <c r="BP1308" i="1"/>
  <c r="BP1309" i="1"/>
  <c r="BP1310" i="1"/>
  <c r="BP1311" i="1"/>
  <c r="BP1312" i="1"/>
  <c r="BP1313" i="1"/>
  <c r="BP1314" i="1"/>
  <c r="BP1315" i="1"/>
  <c r="BP1316" i="1"/>
  <c r="BP1317" i="1"/>
  <c r="BP1318" i="1"/>
  <c r="BP1319" i="1"/>
  <c r="BP1320" i="1"/>
  <c r="BP1321" i="1"/>
  <c r="BP1322" i="1"/>
  <c r="BP1323" i="1"/>
  <c r="BP1324" i="1"/>
  <c r="BP1325" i="1"/>
  <c r="BP1326" i="1"/>
  <c r="BP1327" i="1"/>
  <c r="BP1328" i="1"/>
  <c r="BP1329" i="1"/>
  <c r="BP1330" i="1"/>
  <c r="BP1331" i="1"/>
  <c r="BP1332" i="1"/>
  <c r="BP1333" i="1"/>
  <c r="BP1334" i="1"/>
  <c r="BP1335" i="1"/>
  <c r="BP1336" i="1"/>
  <c r="BP1337" i="1"/>
  <c r="BP1338" i="1"/>
  <c r="BP1339" i="1"/>
  <c r="BP1340" i="1"/>
  <c r="BP1341" i="1"/>
  <c r="BP1342" i="1"/>
  <c r="BP1343" i="1"/>
  <c r="BP1344" i="1"/>
  <c r="BP1345" i="1"/>
  <c r="BP1346" i="1"/>
  <c r="BP1347" i="1"/>
  <c r="BP1348" i="1"/>
  <c r="BP1349" i="1"/>
  <c r="BP1350" i="1"/>
  <c r="BP1351" i="1"/>
  <c r="BP1352" i="1"/>
  <c r="BP1353" i="1"/>
  <c r="BP1354" i="1"/>
  <c r="BP1355" i="1"/>
  <c r="BP1356" i="1"/>
  <c r="BP1357" i="1"/>
  <c r="BP1358" i="1"/>
  <c r="BP1359" i="1"/>
  <c r="BP1360" i="1"/>
  <c r="BP1361" i="1"/>
  <c r="BP1362" i="1"/>
  <c r="BP1363" i="1"/>
  <c r="BP1364" i="1"/>
  <c r="BP1365" i="1"/>
  <c r="BP1366" i="1"/>
  <c r="BP1367" i="1"/>
  <c r="BP1368" i="1"/>
  <c r="BP1369" i="1"/>
  <c r="BP1370" i="1"/>
  <c r="BP1371" i="1"/>
  <c r="BP1372" i="1"/>
  <c r="BP1373" i="1"/>
  <c r="BP1374" i="1"/>
  <c r="BP1375" i="1"/>
  <c r="BP1376" i="1"/>
  <c r="BP1377" i="1"/>
  <c r="BP1378" i="1"/>
  <c r="BP1379" i="1"/>
  <c r="BP1380" i="1"/>
  <c r="BP1381" i="1"/>
  <c r="BP1382" i="1"/>
  <c r="BP1383" i="1"/>
  <c r="BP1384" i="1"/>
  <c r="L19" i="6"/>
  <c r="K19" i="6"/>
  <c r="L17" i="6"/>
  <c r="K17" i="6"/>
  <c r="L18" i="6"/>
  <c r="BL131" i="1"/>
  <c r="BL130" i="1"/>
  <c r="BL129" i="1"/>
  <c r="BL128" i="1"/>
  <c r="BK128" i="1"/>
  <c r="BK129" i="1"/>
  <c r="BK130" i="1"/>
  <c r="BK131" i="1"/>
  <c r="BL60" i="1"/>
  <c r="BL59" i="1"/>
  <c r="BL58" i="1"/>
  <c r="BL57" i="1"/>
  <c r="BK57" i="1"/>
  <c r="BK58" i="1"/>
  <c r="BK59" i="1"/>
  <c r="BK60" i="1"/>
  <c r="BL48" i="1"/>
  <c r="BK48" i="1"/>
  <c r="BL115" i="1"/>
  <c r="BL114" i="1"/>
  <c r="BL113" i="1"/>
  <c r="BL112" i="1"/>
  <c r="BL111" i="1"/>
  <c r="BL110" i="1"/>
  <c r="BL109" i="1"/>
  <c r="BL108" i="1"/>
  <c r="BL107" i="1"/>
  <c r="BL106" i="1"/>
  <c r="BL105" i="1"/>
  <c r="BL104" i="1"/>
  <c r="BL103" i="1"/>
  <c r="BL102" i="1"/>
  <c r="BK102" i="1"/>
  <c r="BK103" i="1"/>
  <c r="BK104" i="1"/>
  <c r="BK105" i="1"/>
  <c r="BK106" i="1"/>
  <c r="BK107" i="1"/>
  <c r="BK108" i="1"/>
  <c r="BK109" i="1"/>
  <c r="BK110" i="1"/>
  <c r="BK111" i="1"/>
  <c r="BK112" i="1"/>
  <c r="BK113" i="1"/>
  <c r="BK114" i="1"/>
  <c r="BK115" i="1"/>
  <c r="BL23" i="1"/>
  <c r="BK23" i="1"/>
  <c r="BL69" i="1"/>
  <c r="BK69" i="1"/>
  <c r="BL56" i="1"/>
  <c r="BL55" i="1"/>
  <c r="BL54" i="1"/>
  <c r="BK54" i="1"/>
  <c r="BK55" i="1"/>
  <c r="BK56" i="1"/>
  <c r="BL5" i="1"/>
  <c r="BK5" i="1"/>
  <c r="BL52" i="1"/>
  <c r="BL51" i="1"/>
  <c r="BL50" i="1"/>
  <c r="BK50" i="1"/>
  <c r="BK51" i="1"/>
  <c r="BK52" i="1"/>
  <c r="BL75" i="1"/>
  <c r="BL74" i="1"/>
  <c r="BL73" i="1"/>
  <c r="BL72" i="1"/>
  <c r="BL71" i="1"/>
  <c r="BL70" i="1"/>
  <c r="BK70" i="1"/>
  <c r="BK71" i="1"/>
  <c r="BK72" i="1"/>
  <c r="BK73" i="1"/>
  <c r="BK74" i="1"/>
  <c r="BK75" i="1"/>
  <c r="BL67" i="1"/>
  <c r="BL66" i="1"/>
  <c r="BL65" i="1"/>
  <c r="BL64" i="1"/>
  <c r="BK64" i="1"/>
  <c r="BK65" i="1"/>
  <c r="BK66" i="1"/>
  <c r="BK67" i="1"/>
  <c r="BL34" i="1"/>
  <c r="BL33" i="1"/>
  <c r="BL32" i="1"/>
  <c r="BL31" i="1"/>
  <c r="BL30" i="1"/>
  <c r="BL29" i="1"/>
  <c r="BL28" i="1"/>
  <c r="BL27" i="1"/>
  <c r="BL26" i="1"/>
  <c r="BK26" i="1"/>
  <c r="BK27" i="1"/>
  <c r="BK28" i="1"/>
  <c r="BK29" i="1"/>
  <c r="BK30" i="1"/>
  <c r="BK31" i="1"/>
  <c r="BK32" i="1"/>
  <c r="BK33" i="1"/>
  <c r="BK34" i="1"/>
  <c r="BL76" i="1"/>
  <c r="BK76" i="1"/>
  <c r="BL79" i="1"/>
  <c r="BL78" i="1"/>
  <c r="BL77" i="1"/>
  <c r="BK77" i="1"/>
  <c r="BK78" i="1"/>
  <c r="BK79" i="1"/>
  <c r="BL92" i="1"/>
  <c r="BL91" i="1"/>
  <c r="BL90" i="1"/>
  <c r="BL89" i="1"/>
  <c r="BK89" i="1"/>
  <c r="BK90" i="1"/>
  <c r="BK91" i="1"/>
  <c r="BK92" i="1"/>
  <c r="BL96" i="1"/>
  <c r="BL95" i="1"/>
  <c r="BL94" i="1"/>
  <c r="BL93" i="1"/>
  <c r="BK93" i="1"/>
  <c r="BK94" i="1"/>
  <c r="BK95" i="1"/>
  <c r="BK96" i="1"/>
  <c r="BL63" i="1"/>
  <c r="BK63" i="1"/>
  <c r="BL21" i="1"/>
  <c r="BL20" i="1"/>
  <c r="BL19" i="1"/>
  <c r="BL18" i="1"/>
  <c r="BK18" i="1"/>
  <c r="BK19" i="1"/>
  <c r="BK20" i="1"/>
  <c r="BK21" i="1"/>
  <c r="BL68" i="1"/>
  <c r="BK68" i="1"/>
  <c r="BL25" i="1"/>
  <c r="BL24" i="1"/>
  <c r="BK24" i="1"/>
  <c r="BK25" i="1"/>
  <c r="BL53" i="1"/>
  <c r="BK53" i="1"/>
  <c r="BL62" i="1"/>
  <c r="BK62" i="1"/>
  <c r="BL61" i="1"/>
  <c r="BK61" i="1"/>
  <c r="BL47" i="1"/>
  <c r="BL46" i="1"/>
  <c r="BL45" i="1"/>
  <c r="BL44" i="1"/>
  <c r="BL43" i="1"/>
  <c r="BL42" i="1"/>
  <c r="BL41" i="1"/>
  <c r="BL40" i="1"/>
  <c r="BL39" i="1"/>
  <c r="BL38" i="1"/>
  <c r="BL37" i="1"/>
  <c r="BL36" i="1"/>
  <c r="BL35" i="1"/>
  <c r="BK35" i="1"/>
  <c r="BK36" i="1"/>
  <c r="BK37" i="1"/>
  <c r="BK38" i="1"/>
  <c r="BK39" i="1"/>
  <c r="BK40" i="1"/>
  <c r="BK41" i="1"/>
  <c r="BK42" i="1"/>
  <c r="BK43" i="1"/>
  <c r="BK44" i="1"/>
  <c r="BK45" i="1"/>
  <c r="BK46" i="1"/>
  <c r="BK47" i="1"/>
  <c r="BL101" i="1"/>
  <c r="BL100" i="1"/>
  <c r="BL99" i="1"/>
  <c r="BL98" i="1"/>
  <c r="BL97" i="1"/>
  <c r="BK97" i="1"/>
  <c r="BK98" i="1"/>
  <c r="BK99" i="1"/>
  <c r="BK100" i="1"/>
  <c r="BK101" i="1"/>
  <c r="BL4" i="1"/>
  <c r="BK4" i="1"/>
  <c r="BL6" i="1"/>
  <c r="BK6" i="1"/>
  <c r="BL126" i="1"/>
  <c r="BL125" i="1"/>
  <c r="BL124" i="1"/>
  <c r="BL123" i="1"/>
  <c r="BL122" i="1"/>
  <c r="BL121" i="1"/>
  <c r="BL120" i="1"/>
  <c r="BL119" i="1"/>
  <c r="BL118" i="1"/>
  <c r="BL117" i="1"/>
  <c r="BL116" i="1"/>
  <c r="BK116" i="1"/>
  <c r="BK117" i="1"/>
  <c r="BK118" i="1"/>
  <c r="BK119" i="1"/>
  <c r="BK120" i="1"/>
  <c r="BK121" i="1"/>
  <c r="BK122" i="1"/>
  <c r="BK123" i="1"/>
  <c r="BK124" i="1"/>
  <c r="BK125" i="1"/>
  <c r="BK126" i="1"/>
  <c r="BL49" i="1"/>
  <c r="BK49" i="1"/>
  <c r="BL127" i="1"/>
  <c r="BK127" i="1"/>
  <c r="BL88" i="1"/>
  <c r="BL87" i="1"/>
  <c r="BL86" i="1"/>
  <c r="BL85" i="1"/>
  <c r="BL84" i="1"/>
  <c r="BL83" i="1"/>
  <c r="BL82" i="1"/>
  <c r="BL81" i="1"/>
  <c r="BL80" i="1"/>
  <c r="BK80" i="1"/>
  <c r="BK81" i="1"/>
  <c r="BK82" i="1"/>
  <c r="BK83" i="1"/>
  <c r="BK84" i="1"/>
  <c r="BK85" i="1"/>
  <c r="BK86" i="1"/>
  <c r="BK87" i="1"/>
  <c r="BK88" i="1"/>
  <c r="BL22" i="1"/>
  <c r="BK22" i="1"/>
  <c r="BL17" i="1"/>
  <c r="BL16" i="1"/>
  <c r="BL15" i="1"/>
  <c r="BL14" i="1"/>
  <c r="BL13" i="1"/>
  <c r="BL12" i="1"/>
  <c r="BL11" i="1"/>
  <c r="BL10" i="1"/>
  <c r="BL9" i="1"/>
  <c r="BL8" i="1"/>
  <c r="BL7" i="1"/>
  <c r="BK7" i="1"/>
  <c r="BK8" i="1"/>
  <c r="BK9" i="1"/>
  <c r="BK10" i="1"/>
  <c r="BK11" i="1"/>
  <c r="BK12" i="1"/>
  <c r="BK13" i="1"/>
  <c r="BK14" i="1"/>
  <c r="BK15" i="1"/>
  <c r="BK16" i="1"/>
  <c r="BK17" i="1"/>
  <c r="I9" i="6"/>
  <c r="F7" i="6"/>
  <c r="F12" i="6"/>
  <c r="AI8" i="6"/>
  <c r="BL3" i="1"/>
  <c r="BK3" i="1"/>
  <c r="BJ131" i="1"/>
  <c r="BJ130" i="1"/>
  <c r="BJ129" i="1"/>
  <c r="BJ128" i="1"/>
  <c r="BJ127" i="1"/>
  <c r="BJ126" i="1"/>
  <c r="BJ125" i="1"/>
  <c r="BJ124" i="1"/>
  <c r="BJ123" i="1"/>
  <c r="BJ122" i="1"/>
  <c r="BJ121" i="1"/>
  <c r="BJ120" i="1"/>
  <c r="BJ119" i="1"/>
  <c r="BJ118" i="1"/>
  <c r="BJ117" i="1"/>
  <c r="BJ116" i="1"/>
  <c r="BJ115" i="1"/>
  <c r="BJ114" i="1"/>
  <c r="BJ113" i="1"/>
  <c r="BJ112" i="1"/>
  <c r="BJ111" i="1"/>
  <c r="BJ110" i="1"/>
  <c r="BJ109" i="1"/>
  <c r="BJ108" i="1"/>
  <c r="BJ107" i="1"/>
  <c r="BJ106" i="1"/>
  <c r="BJ105" i="1"/>
  <c r="BJ104" i="1"/>
  <c r="BJ103" i="1"/>
  <c r="BJ102" i="1"/>
  <c r="BJ69" i="1"/>
  <c r="BJ68" i="1"/>
  <c r="BJ67" i="1"/>
  <c r="BJ66" i="1"/>
  <c r="BJ65" i="1"/>
  <c r="BJ64" i="1"/>
  <c r="BJ75" i="1"/>
  <c r="BJ74" i="1"/>
  <c r="BJ73" i="1"/>
  <c r="BJ72" i="1"/>
  <c r="BJ71" i="1"/>
  <c r="BJ70" i="1"/>
  <c r="BJ34" i="1"/>
  <c r="BJ33" i="1"/>
  <c r="BJ32" i="1"/>
  <c r="BJ31" i="1"/>
  <c r="BJ30" i="1"/>
  <c r="BJ29" i="1"/>
  <c r="BJ28" i="1"/>
  <c r="BJ27" i="1"/>
  <c r="BJ26" i="1"/>
  <c r="BJ76" i="1"/>
  <c r="BJ79" i="1"/>
  <c r="BJ78" i="1"/>
  <c r="BJ77" i="1"/>
  <c r="BJ63" i="1"/>
  <c r="BJ62" i="1"/>
  <c r="BJ25" i="1"/>
  <c r="BJ24" i="1"/>
  <c r="BJ23" i="1"/>
  <c r="BJ22" i="1"/>
  <c r="BJ21" i="1"/>
  <c r="BJ20" i="1"/>
  <c r="BJ19" i="1"/>
  <c r="BJ18" i="1"/>
  <c r="BJ17" i="1"/>
  <c r="BJ16" i="1"/>
  <c r="BJ15" i="1"/>
  <c r="BJ14" i="1"/>
  <c r="BJ13" i="1"/>
  <c r="BJ12" i="1"/>
  <c r="BJ11" i="1"/>
  <c r="BJ10" i="1"/>
  <c r="BJ9" i="1"/>
  <c r="BJ8" i="1"/>
  <c r="BJ7" i="1"/>
  <c r="BJ6" i="1"/>
  <c r="BJ5" i="1"/>
  <c r="BJ4" i="1"/>
  <c r="BJ3" i="1"/>
  <c r="BJ61" i="1"/>
  <c r="BJ60" i="1"/>
  <c r="BJ59" i="1"/>
  <c r="BJ58" i="1"/>
  <c r="BJ57" i="1"/>
  <c r="BJ56" i="1"/>
  <c r="BJ55" i="1"/>
  <c r="BJ54" i="1"/>
  <c r="BJ53" i="1"/>
  <c r="BJ52" i="1"/>
  <c r="BJ51" i="1"/>
  <c r="BJ50" i="1"/>
  <c r="BJ49" i="1"/>
  <c r="BJ48" i="1"/>
  <c r="BJ47" i="1"/>
  <c r="BJ46" i="1"/>
  <c r="BJ45" i="1"/>
  <c r="BJ44" i="1"/>
  <c r="BJ43" i="1"/>
  <c r="BJ42" i="1"/>
  <c r="BJ41" i="1"/>
  <c r="BJ40" i="1"/>
  <c r="BJ39" i="1"/>
  <c r="BJ38" i="1"/>
  <c r="BJ37" i="1"/>
  <c r="BJ36" i="1"/>
  <c r="BJ35" i="1"/>
  <c r="BJ101" i="1"/>
  <c r="BJ100" i="1"/>
  <c r="BJ99" i="1"/>
  <c r="BJ98" i="1"/>
  <c r="BJ97" i="1"/>
  <c r="BJ96" i="1"/>
  <c r="BJ95" i="1"/>
  <c r="BJ94" i="1"/>
  <c r="BJ93" i="1"/>
  <c r="BJ92" i="1"/>
  <c r="BJ91" i="1"/>
  <c r="BJ90" i="1"/>
  <c r="BJ89" i="1"/>
  <c r="BJ88" i="1"/>
  <c r="BJ87" i="1"/>
  <c r="BJ86" i="1"/>
  <c r="BJ85" i="1"/>
  <c r="BJ84" i="1"/>
  <c r="BJ83" i="1"/>
  <c r="BJ82" i="1"/>
  <c r="BJ81" i="1"/>
  <c r="BJ80" i="1"/>
  <c r="BH1383" i="1"/>
  <c r="BH1384" i="1"/>
  <c r="BH1382" i="1"/>
  <c r="BH1381" i="1"/>
  <c r="BH1380" i="1"/>
  <c r="BH1379" i="1"/>
  <c r="BH1377" i="1"/>
  <c r="BH1378" i="1"/>
  <c r="BH1375" i="1"/>
  <c r="BH1374" i="1"/>
  <c r="BH1373" i="1"/>
  <c r="BH1372" i="1"/>
  <c r="BH1364" i="1"/>
  <c r="BH1362" i="1"/>
  <c r="BH1368" i="1"/>
  <c r="BH1367" i="1"/>
  <c r="BH1366" i="1"/>
  <c r="BH1365" i="1"/>
  <c r="BH1363" i="1"/>
  <c r="BH1371" i="1"/>
  <c r="BH1370" i="1"/>
  <c r="BH1369" i="1"/>
  <c r="BH1360" i="1"/>
  <c r="BH1359" i="1"/>
  <c r="BH1358" i="1"/>
  <c r="BH1357" i="1"/>
  <c r="BH1351" i="1"/>
  <c r="BH1354" i="1"/>
  <c r="BH1353" i="1"/>
  <c r="BH1352" i="1"/>
  <c r="BH1350" i="1"/>
  <c r="BH1349" i="1"/>
  <c r="BH1361" i="1"/>
  <c r="BH1356" i="1"/>
  <c r="BH1355" i="1"/>
  <c r="BH1347" i="1"/>
  <c r="BH1346" i="1"/>
  <c r="BH1345" i="1"/>
  <c r="BH1344" i="1"/>
  <c r="BH1348" i="1"/>
  <c r="BH1343" i="1"/>
  <c r="BH1342" i="1"/>
  <c r="BH1341" i="1"/>
  <c r="BH1376" i="1"/>
  <c r="BH1340" i="1"/>
  <c r="BH1339" i="1"/>
  <c r="BH1337" i="1"/>
  <c r="BH1336" i="1"/>
  <c r="BH1335" i="1"/>
  <c r="BH1331" i="1"/>
  <c r="BH1332" i="1"/>
  <c r="BH1333" i="1"/>
  <c r="BH1334" i="1"/>
  <c r="BH1338" i="1"/>
  <c r="BH1329" i="1"/>
  <c r="BH1328" i="1"/>
  <c r="BH1326" i="1"/>
  <c r="BH1325" i="1"/>
  <c r="BH1324" i="1"/>
  <c r="BH1322" i="1"/>
  <c r="BH1321" i="1"/>
  <c r="BH1320" i="1"/>
  <c r="BH1319" i="1"/>
  <c r="BH1327" i="1"/>
  <c r="BH1323" i="1"/>
  <c r="BH1314" i="1"/>
  <c r="BH1313" i="1"/>
  <c r="BH1312" i="1"/>
  <c r="BH1311" i="1"/>
  <c r="BH1310" i="1"/>
  <c r="BH1309" i="1"/>
  <c r="BH1317" i="1"/>
  <c r="BH1316" i="1"/>
  <c r="BH1315" i="1"/>
  <c r="BH1266" i="1"/>
  <c r="BH1290" i="1"/>
  <c r="BH1265" i="1"/>
  <c r="BH1307" i="1"/>
  <c r="BH1306" i="1"/>
  <c r="BH1305" i="1"/>
  <c r="BH1304" i="1"/>
  <c r="BH1318" i="1"/>
  <c r="BH1308" i="1"/>
  <c r="BH1301" i="1"/>
  <c r="BH1300" i="1"/>
  <c r="BH1299" i="1"/>
  <c r="BH1298" i="1"/>
  <c r="BH645" i="1"/>
  <c r="BH646" i="1"/>
  <c r="BH647" i="1"/>
  <c r="BH648" i="1"/>
  <c r="BH649" i="1"/>
  <c r="BH650" i="1"/>
  <c r="BH651" i="1"/>
  <c r="BH652" i="1"/>
  <c r="BH653" i="1"/>
  <c r="BH654" i="1"/>
  <c r="BH655" i="1"/>
  <c r="BH656" i="1"/>
  <c r="BH657" i="1"/>
  <c r="BH658" i="1"/>
  <c r="BH659" i="1"/>
  <c r="BH660" i="1"/>
  <c r="BH661" i="1"/>
  <c r="BH662"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H702" i="1"/>
  <c r="BH703" i="1"/>
  <c r="BH704" i="1"/>
  <c r="BH705" i="1"/>
  <c r="BH706" i="1"/>
  <c r="BH707" i="1"/>
  <c r="BH708" i="1"/>
  <c r="BH709" i="1"/>
  <c r="BH710" i="1"/>
  <c r="BH711" i="1"/>
  <c r="BH712" i="1"/>
  <c r="BH713" i="1"/>
  <c r="BH714" i="1"/>
  <c r="BH715" i="1"/>
  <c r="BH716" i="1"/>
  <c r="BH717" i="1"/>
  <c r="BH718" i="1"/>
  <c r="BH719" i="1"/>
  <c r="BH720" i="1"/>
  <c r="BH721" i="1"/>
  <c r="BH722" i="1"/>
  <c r="BH723" i="1"/>
  <c r="BH724" i="1"/>
  <c r="BH725" i="1"/>
  <c r="BH726" i="1"/>
  <c r="BH727" i="1"/>
  <c r="BH728" i="1"/>
  <c r="BH729" i="1"/>
  <c r="BH730" i="1"/>
  <c r="BH731" i="1"/>
  <c r="BH732" i="1"/>
  <c r="BH733" i="1"/>
  <c r="BH734" i="1"/>
  <c r="BH735" i="1"/>
  <c r="BH736" i="1"/>
  <c r="BH737" i="1"/>
  <c r="BH738" i="1"/>
  <c r="BH739" i="1"/>
  <c r="BH740" i="1"/>
  <c r="BH741" i="1"/>
  <c r="BH742" i="1"/>
  <c r="BH743" i="1"/>
  <c r="BH744" i="1"/>
  <c r="BH745" i="1"/>
  <c r="BH746" i="1"/>
  <c r="BH747" i="1"/>
  <c r="BH748" i="1"/>
  <c r="BH749" i="1"/>
  <c r="BH750" i="1"/>
  <c r="BH751" i="1"/>
  <c r="BH752" i="1"/>
  <c r="BH753" i="1"/>
  <c r="BH754" i="1"/>
  <c r="BH755" i="1"/>
  <c r="BH756" i="1"/>
  <c r="BH757" i="1"/>
  <c r="BH758" i="1"/>
  <c r="BH759" i="1"/>
  <c r="BH760" i="1"/>
  <c r="BH761" i="1"/>
  <c r="BH762" i="1"/>
  <c r="BH763" i="1"/>
  <c r="BH764" i="1"/>
  <c r="BH765" i="1"/>
  <c r="BH766" i="1"/>
  <c r="BH767"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H794" i="1"/>
  <c r="BH795" i="1"/>
  <c r="BH796" i="1"/>
  <c r="BH797" i="1"/>
  <c r="BH798" i="1"/>
  <c r="BH799" i="1"/>
  <c r="BH800" i="1"/>
  <c r="BH801" i="1"/>
  <c r="BH802" i="1"/>
  <c r="BH803" i="1"/>
  <c r="BH804" i="1"/>
  <c r="BH805" i="1"/>
  <c r="BH806" i="1"/>
  <c r="BH807" i="1"/>
  <c r="BH808" i="1"/>
  <c r="BH809" i="1"/>
  <c r="BH810" i="1"/>
  <c r="BH811"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H836"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H881" i="1"/>
  <c r="BH882" i="1"/>
  <c r="BH883" i="1"/>
  <c r="BH884" i="1"/>
  <c r="BH885" i="1"/>
  <c r="BH886" i="1"/>
  <c r="BH887" i="1"/>
  <c r="BH888" i="1"/>
  <c r="BH889" i="1"/>
  <c r="BH890" i="1"/>
  <c r="BH891" i="1"/>
  <c r="BH892" i="1"/>
  <c r="BH893" i="1"/>
  <c r="BH894" i="1"/>
  <c r="BH895" i="1"/>
  <c r="BH896" i="1"/>
  <c r="BH897" i="1"/>
  <c r="BH898" i="1"/>
  <c r="BH899" i="1"/>
  <c r="BH900" i="1"/>
  <c r="BH901" i="1"/>
  <c r="BH902" i="1"/>
  <c r="BH903" i="1"/>
  <c r="BH904" i="1"/>
  <c r="BH905" i="1"/>
  <c r="BH906" i="1"/>
  <c r="BH907" i="1"/>
  <c r="BH908" i="1"/>
  <c r="BH909" i="1"/>
  <c r="BH910" i="1"/>
  <c r="BH911" i="1"/>
  <c r="BH912" i="1"/>
  <c r="BH913" i="1"/>
  <c r="BH914"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H939" i="1"/>
  <c r="BH940" i="1"/>
  <c r="BH941" i="1"/>
  <c r="BH942" i="1"/>
  <c r="BH943" i="1"/>
  <c r="BH944" i="1"/>
  <c r="BH945" i="1"/>
  <c r="BH946" i="1"/>
  <c r="BH947" i="1"/>
  <c r="BH948" i="1"/>
  <c r="BH949" i="1"/>
  <c r="BH950" i="1"/>
  <c r="BH951" i="1"/>
  <c r="BH952" i="1"/>
  <c r="BH953" i="1"/>
  <c r="BH954" i="1"/>
  <c r="BH955" i="1"/>
  <c r="BH956" i="1"/>
  <c r="BH957" i="1"/>
  <c r="BH958" i="1"/>
  <c r="BH959" i="1"/>
  <c r="BH960" i="1"/>
  <c r="BH961" i="1"/>
  <c r="BH962" i="1"/>
  <c r="BH963" i="1"/>
  <c r="BH964" i="1"/>
  <c r="BH965" i="1"/>
  <c r="BH966" i="1"/>
  <c r="BH967" i="1"/>
  <c r="BH968" i="1"/>
  <c r="BH969" i="1"/>
  <c r="BH970" i="1"/>
  <c r="BH971" i="1"/>
  <c r="BH972" i="1"/>
  <c r="BH973" i="1"/>
  <c r="BH974" i="1"/>
  <c r="BH975" i="1"/>
  <c r="BH976" i="1"/>
  <c r="BH977" i="1"/>
  <c r="BH978" i="1"/>
  <c r="BH979" i="1"/>
  <c r="BH980" i="1"/>
  <c r="BH981" i="1"/>
  <c r="BH982" i="1"/>
  <c r="BH983" i="1"/>
  <c r="BH984" i="1"/>
  <c r="BH985" i="1"/>
  <c r="BH986" i="1"/>
  <c r="BH987" i="1"/>
  <c r="BH988" i="1"/>
  <c r="BH989" i="1"/>
  <c r="BH990" i="1"/>
  <c r="BH991" i="1"/>
  <c r="BH992" i="1"/>
  <c r="BH993" i="1"/>
  <c r="BH994" i="1"/>
  <c r="BH995" i="1"/>
  <c r="BH996" i="1"/>
  <c r="BH997" i="1"/>
  <c r="BH998" i="1"/>
  <c r="BH999" i="1"/>
  <c r="BH1000" i="1"/>
  <c r="BH1001" i="1"/>
  <c r="BH1002" i="1"/>
  <c r="BH1003" i="1"/>
  <c r="BH1004" i="1"/>
  <c r="BH1005" i="1"/>
  <c r="BH1006" i="1"/>
  <c r="BH1007" i="1"/>
  <c r="BH1008" i="1"/>
  <c r="BH1009" i="1"/>
  <c r="BH1010" i="1"/>
  <c r="BH1011" i="1"/>
  <c r="BH1012" i="1"/>
  <c r="BH1013" i="1"/>
  <c r="BH1014" i="1"/>
  <c r="BH1015" i="1"/>
  <c r="BH1016" i="1"/>
  <c r="BH1017" i="1"/>
  <c r="BH1018" i="1"/>
  <c r="BH1019" i="1"/>
  <c r="BH1020" i="1"/>
  <c r="BH1021" i="1"/>
  <c r="BH1022" i="1"/>
  <c r="BH1023" i="1"/>
  <c r="BH1024" i="1"/>
  <c r="BH1025" i="1"/>
  <c r="BH1026" i="1"/>
  <c r="BH1027" i="1"/>
  <c r="BH1028" i="1"/>
  <c r="BH1029" i="1"/>
  <c r="BH1030" i="1"/>
  <c r="BH1031" i="1"/>
  <c r="BH1032" i="1"/>
  <c r="BH1033" i="1"/>
  <c r="BH1034" i="1"/>
  <c r="BH1035" i="1"/>
  <c r="BH1036" i="1"/>
  <c r="BH1037" i="1"/>
  <c r="BH1038" i="1"/>
  <c r="BH1039" i="1"/>
  <c r="BH1040" i="1"/>
  <c r="BH1041" i="1"/>
  <c r="BH1042" i="1"/>
  <c r="BH1043" i="1"/>
  <c r="BH1044" i="1"/>
  <c r="BH1045" i="1"/>
  <c r="BH1046" i="1"/>
  <c r="BH1047" i="1"/>
  <c r="BH1048" i="1"/>
  <c r="BH1049" i="1"/>
  <c r="BH1050" i="1"/>
  <c r="BH1051" i="1"/>
  <c r="BH1052" i="1"/>
  <c r="BH1053" i="1"/>
  <c r="BH1054" i="1"/>
  <c r="BH1055" i="1"/>
  <c r="BH1056" i="1"/>
  <c r="BH1057" i="1"/>
  <c r="BH1058" i="1"/>
  <c r="BH1059" i="1"/>
  <c r="BH1060" i="1"/>
  <c r="BH1061" i="1"/>
  <c r="BH1062" i="1"/>
  <c r="BH1063" i="1"/>
  <c r="BH1064" i="1"/>
  <c r="BH1065" i="1"/>
  <c r="BH1066" i="1"/>
  <c r="BH1067" i="1"/>
  <c r="BH1068" i="1"/>
  <c r="BH1069" i="1"/>
  <c r="BH1070" i="1"/>
  <c r="BH1071" i="1"/>
  <c r="BH1072" i="1"/>
  <c r="BH1073" i="1"/>
  <c r="BH1074" i="1"/>
  <c r="BH1075" i="1"/>
  <c r="BH1076" i="1"/>
  <c r="BH1077" i="1"/>
  <c r="BH1078" i="1"/>
  <c r="BH1079" i="1"/>
  <c r="BH1080" i="1"/>
  <c r="BH1081" i="1"/>
  <c r="BH1082" i="1"/>
  <c r="BH1083" i="1"/>
  <c r="BH1084" i="1"/>
  <c r="BH1085" i="1"/>
  <c r="BH1086" i="1"/>
  <c r="BH1087" i="1"/>
  <c r="BH1088" i="1"/>
  <c r="BH1089" i="1"/>
  <c r="BH1090" i="1"/>
  <c r="BH1091" i="1"/>
  <c r="BH1092" i="1"/>
  <c r="BH1093" i="1"/>
  <c r="BH1094" i="1"/>
  <c r="BH1095" i="1"/>
  <c r="BH1096" i="1"/>
  <c r="BH1097" i="1"/>
  <c r="BH1098" i="1"/>
  <c r="BH1099" i="1"/>
  <c r="BH1100" i="1"/>
  <c r="BH1101" i="1"/>
  <c r="BH1102" i="1"/>
  <c r="BH1103" i="1"/>
  <c r="BH1104" i="1"/>
  <c r="BH1105" i="1"/>
  <c r="BH1106" i="1"/>
  <c r="BH1107" i="1"/>
  <c r="BH1108" i="1"/>
  <c r="BH1109" i="1"/>
  <c r="BH1110" i="1"/>
  <c r="BH1111" i="1"/>
  <c r="BH1112" i="1"/>
  <c r="BH1113" i="1"/>
  <c r="BH1114" i="1"/>
  <c r="BH1115" i="1"/>
  <c r="BH1116" i="1"/>
  <c r="BH1117" i="1"/>
  <c r="BH1118" i="1"/>
  <c r="BH1119" i="1"/>
  <c r="BH1120" i="1"/>
  <c r="BH1121" i="1"/>
  <c r="BH1122" i="1"/>
  <c r="BH1123" i="1"/>
  <c r="BH1124" i="1"/>
  <c r="BH1125" i="1"/>
  <c r="BH1126" i="1"/>
  <c r="BH1127" i="1"/>
  <c r="BH1128" i="1"/>
  <c r="BH1129" i="1"/>
  <c r="BH1130" i="1"/>
  <c r="BH1131" i="1"/>
  <c r="BH1132" i="1"/>
  <c r="BH1133" i="1"/>
  <c r="BH1134" i="1"/>
  <c r="BH1135" i="1"/>
  <c r="BH1136" i="1"/>
  <c r="BH1137" i="1"/>
  <c r="BH1138" i="1"/>
  <c r="BH1139" i="1"/>
  <c r="BH1140" i="1"/>
  <c r="BH1141" i="1"/>
  <c r="BH1142" i="1"/>
  <c r="BH1143" i="1"/>
  <c r="BH1144" i="1"/>
  <c r="BH1145" i="1"/>
  <c r="BH1146" i="1"/>
  <c r="BH1147" i="1"/>
  <c r="BH1148" i="1"/>
  <c r="BH1149" i="1"/>
  <c r="BH1150" i="1"/>
  <c r="BH1151" i="1"/>
  <c r="BH1152" i="1"/>
  <c r="BH1153" i="1"/>
  <c r="BH1154" i="1"/>
  <c r="BH1155" i="1"/>
  <c r="BH1156" i="1"/>
  <c r="BH1157" i="1"/>
  <c r="BH1158" i="1"/>
  <c r="BH1159" i="1"/>
  <c r="BH1160" i="1"/>
  <c r="BH1161" i="1"/>
  <c r="BH1162" i="1"/>
  <c r="BH1163" i="1"/>
  <c r="BH1164" i="1"/>
  <c r="BH1165" i="1"/>
  <c r="BH1166" i="1"/>
  <c r="BH1167" i="1"/>
  <c r="BH1168" i="1"/>
  <c r="BH1169" i="1"/>
  <c r="BH1170" i="1"/>
  <c r="BH1171" i="1"/>
  <c r="BH1172" i="1"/>
  <c r="BH1173" i="1"/>
  <c r="BH1174" i="1"/>
  <c r="BH1175" i="1"/>
  <c r="BH1176" i="1"/>
  <c r="BH1177" i="1"/>
  <c r="BH1178" i="1"/>
  <c r="BH1179" i="1"/>
  <c r="BH1180" i="1"/>
  <c r="BH1181" i="1"/>
  <c r="BH1182" i="1"/>
  <c r="BH1183" i="1"/>
  <c r="BH1184" i="1"/>
  <c r="BH1185" i="1"/>
  <c r="BH1186" i="1"/>
  <c r="BH1187" i="1"/>
  <c r="BH1188" i="1"/>
  <c r="BH1189" i="1"/>
  <c r="BH1190" i="1"/>
  <c r="BH1191" i="1"/>
  <c r="BH1192" i="1"/>
  <c r="BH1193" i="1"/>
  <c r="BH1194" i="1"/>
  <c r="BH1195" i="1"/>
  <c r="BH1196" i="1"/>
  <c r="BH1197" i="1"/>
  <c r="BH1198" i="1"/>
  <c r="BH1199" i="1"/>
  <c r="BH1200" i="1"/>
  <c r="BH1201" i="1"/>
  <c r="BH1202" i="1"/>
  <c r="BH1203" i="1"/>
  <c r="BH1204" i="1"/>
  <c r="BH1205" i="1"/>
  <c r="BH1206" i="1"/>
  <c r="BH1207" i="1"/>
  <c r="BH1208" i="1"/>
  <c r="BH1209" i="1"/>
  <c r="BH1210" i="1"/>
  <c r="BH1211" i="1"/>
  <c r="BH1212" i="1"/>
  <c r="BH1213" i="1"/>
  <c r="BH1214" i="1"/>
  <c r="BH1215" i="1"/>
  <c r="BH1216" i="1"/>
  <c r="BH1217" i="1"/>
  <c r="BH1218" i="1"/>
  <c r="BH1219" i="1"/>
  <c r="BH1220" i="1"/>
  <c r="BH1221" i="1"/>
  <c r="BH1222" i="1"/>
  <c r="BH1223" i="1"/>
  <c r="BH1224" i="1"/>
  <c r="BH1225" i="1"/>
  <c r="BH1226" i="1"/>
  <c r="BH1227" i="1"/>
  <c r="BH1228" i="1"/>
  <c r="BH1229" i="1"/>
  <c r="BH1230" i="1"/>
  <c r="BH1231" i="1"/>
  <c r="BH1232" i="1"/>
  <c r="BH1233" i="1"/>
  <c r="BH1234" i="1"/>
  <c r="BH1235" i="1"/>
  <c r="BH1236" i="1"/>
  <c r="BH1237" i="1"/>
  <c r="BH1238" i="1"/>
  <c r="BH1239" i="1"/>
  <c r="BH1240" i="1"/>
  <c r="BH1241" i="1"/>
  <c r="BH1242" i="1"/>
  <c r="BH1243" i="1"/>
  <c r="BH1244" i="1"/>
  <c r="BH1245" i="1"/>
  <c r="BH1246" i="1"/>
  <c r="BH1247" i="1"/>
  <c r="BH1248" i="1"/>
  <c r="BH1249" i="1"/>
  <c r="BH1250" i="1"/>
  <c r="BH1251" i="1"/>
  <c r="BH1252" i="1"/>
  <c r="BH1253" i="1"/>
  <c r="BH1254" i="1"/>
  <c r="BH1255" i="1"/>
  <c r="BH1256" i="1"/>
  <c r="BH1257" i="1"/>
  <c r="BH1258" i="1"/>
  <c r="BH1259" i="1"/>
  <c r="BH1260" i="1"/>
  <c r="BH1261" i="1"/>
  <c r="BH1262" i="1"/>
  <c r="BH1263" i="1"/>
  <c r="BH1264" i="1"/>
  <c r="BH1267" i="1"/>
  <c r="BH1268" i="1"/>
  <c r="BH1269" i="1"/>
  <c r="BH1270" i="1"/>
  <c r="BH1271" i="1"/>
  <c r="BH1272" i="1"/>
  <c r="BH1273" i="1"/>
  <c r="BH1274" i="1"/>
  <c r="BH1275" i="1"/>
  <c r="BH1276" i="1"/>
  <c r="BH1277" i="1"/>
  <c r="BH1278" i="1"/>
  <c r="BH1279" i="1"/>
  <c r="BH1280" i="1"/>
  <c r="BH1281" i="1"/>
  <c r="BH1282" i="1"/>
  <c r="BH1283" i="1"/>
  <c r="BH1284" i="1"/>
  <c r="BH1285" i="1"/>
  <c r="BH1286" i="1"/>
  <c r="BH1287" i="1"/>
  <c r="BH1288" i="1"/>
  <c r="BH644"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H470" i="1"/>
  <c r="BH471" i="1"/>
  <c r="BH472" i="1"/>
  <c r="BH473" i="1"/>
  <c r="BH474" i="1"/>
  <c r="BH475" i="1"/>
  <c r="BH476" i="1"/>
  <c r="BH477" i="1"/>
  <c r="BH478" i="1"/>
  <c r="BH479" i="1"/>
  <c r="BH480" i="1"/>
  <c r="BH481" i="1"/>
  <c r="BH482" i="1"/>
  <c r="BH483" i="1"/>
  <c r="BH484" i="1"/>
  <c r="BH485" i="1"/>
  <c r="BH486" i="1"/>
  <c r="BH487" i="1"/>
  <c r="BH488" i="1"/>
  <c r="BH489" i="1"/>
  <c r="BH490" i="1"/>
  <c r="BH491" i="1"/>
  <c r="BH492" i="1"/>
  <c r="BH493" i="1"/>
  <c r="BH494" i="1"/>
  <c r="BH495" i="1"/>
  <c r="BH496" i="1"/>
  <c r="BH497" i="1"/>
  <c r="BH498" i="1"/>
  <c r="BH499" i="1"/>
  <c r="BH500" i="1"/>
  <c r="BH501" i="1"/>
  <c r="BH502" i="1"/>
  <c r="BH503" i="1"/>
  <c r="BH504" i="1"/>
  <c r="BH505" i="1"/>
  <c r="BH506" i="1"/>
  <c r="BH507" i="1"/>
  <c r="BH508" i="1"/>
  <c r="BH509" i="1"/>
  <c r="BH510" i="1"/>
  <c r="BH511" i="1"/>
  <c r="BH512" i="1"/>
  <c r="BH513" i="1"/>
  <c r="BH514" i="1"/>
  <c r="BH515" i="1"/>
  <c r="BH516" i="1"/>
  <c r="BH517" i="1"/>
  <c r="BH518" i="1"/>
  <c r="BH519" i="1"/>
  <c r="BH520" i="1"/>
  <c r="BH521" i="1"/>
  <c r="BH522" i="1"/>
  <c r="BH523" i="1"/>
  <c r="BH524" i="1"/>
  <c r="BH525" i="1"/>
  <c r="BH526" i="1"/>
  <c r="BH527" i="1"/>
  <c r="BH528" i="1"/>
  <c r="BH529" i="1"/>
  <c r="BH530" i="1"/>
  <c r="BH531" i="1"/>
  <c r="BH532" i="1"/>
  <c r="BH533" i="1"/>
  <c r="BH534" i="1"/>
  <c r="BH535" i="1"/>
  <c r="BH536" i="1"/>
  <c r="BH537" i="1"/>
  <c r="BH538" i="1"/>
  <c r="BH539" i="1"/>
  <c r="BH540" i="1"/>
  <c r="BH541" i="1"/>
  <c r="BH542" i="1"/>
  <c r="BH543" i="1"/>
  <c r="BH544" i="1"/>
  <c r="BH545" i="1"/>
  <c r="BH546" i="1"/>
  <c r="BH547" i="1"/>
  <c r="BH548" i="1"/>
  <c r="BH549" i="1"/>
  <c r="BH550" i="1"/>
  <c r="BH551" i="1"/>
  <c r="BH552" i="1"/>
  <c r="BH553" i="1"/>
  <c r="BH554" i="1"/>
  <c r="BH555" i="1"/>
  <c r="BH556" i="1"/>
  <c r="BH557" i="1"/>
  <c r="BH558" i="1"/>
  <c r="BH559" i="1"/>
  <c r="BH560" i="1"/>
  <c r="BH561" i="1"/>
  <c r="BH562" i="1"/>
  <c r="BH563" i="1"/>
  <c r="BH564" i="1"/>
  <c r="BH565" i="1"/>
  <c r="BH566" i="1"/>
  <c r="BH567" i="1"/>
  <c r="BH568" i="1"/>
  <c r="BH569" i="1"/>
  <c r="BH570" i="1"/>
  <c r="BH571" i="1"/>
  <c r="BH572" i="1"/>
  <c r="BH573" i="1"/>
  <c r="BH574" i="1"/>
  <c r="BH575" i="1"/>
  <c r="BH576"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1289" i="1"/>
  <c r="BH1291" i="1"/>
  <c r="BH1292" i="1"/>
  <c r="BH1293" i="1"/>
  <c r="BH1294" i="1"/>
  <c r="BH1295" i="1"/>
  <c r="BH1296" i="1"/>
  <c r="BH1297" i="1"/>
  <c r="BH1302" i="1"/>
  <c r="BH1303" i="1"/>
  <c r="BH1330" i="1"/>
  <c r="U15" i="6"/>
  <c r="O11" i="6"/>
  <c r="P11" i="6"/>
  <c r="R11" i="6" s="1"/>
  <c r="O16" i="6"/>
  <c r="P16" i="6"/>
  <c r="R16" i="6" s="1"/>
  <c r="AR11" i="6"/>
  <c r="F11" i="6"/>
  <c r="AG6" i="6"/>
  <c r="AR14" i="6"/>
  <c r="AR8" i="6"/>
  <c r="AR7" i="6"/>
  <c r="AG9" i="6"/>
  <c r="AW7" i="6"/>
  <c r="AI9" i="6"/>
  <c r="AW13" i="6"/>
  <c r="AW9" i="6"/>
  <c r="AW6" i="6"/>
  <c r="AI7" i="6"/>
  <c r="AR13" i="6"/>
  <c r="AR9" i="6"/>
  <c r="AR6" i="6"/>
  <c r="BH4"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R13" i="6"/>
  <c r="R9" i="6"/>
  <c r="R7" i="6"/>
  <c r="R6" i="6"/>
  <c r="R14" i="6"/>
  <c r="R8" i="6"/>
  <c r="N11" i="6" a="1"/>
  <c r="N11" i="6" s="1"/>
  <c r="O9" i="6"/>
  <c r="O6" i="6"/>
  <c r="O10" i="6"/>
  <c r="O7" i="6"/>
  <c r="O14" i="6"/>
  <c r="I14" i="6"/>
  <c r="K14" i="6" s="1"/>
  <c r="O13" i="6"/>
  <c r="O8" i="6"/>
  <c r="F6" i="6"/>
  <c r="F13" i="6"/>
  <c r="F9" i="6"/>
  <c r="I12" i="6"/>
  <c r="I10" i="6"/>
  <c r="I7" i="6"/>
  <c r="I6" i="6"/>
  <c r="I13" i="6"/>
  <c r="I8" i="6"/>
  <c r="F8" i="6"/>
  <c r="F10" i="6"/>
  <c r="AR336" i="2"/>
  <c r="T27" i="6" l="1"/>
  <c r="U27" i="6"/>
  <c r="X27" i="6"/>
  <c r="T21" i="6"/>
  <c r="U21" i="6"/>
  <c r="T22" i="6"/>
  <c r="U22" i="6"/>
  <c r="X22" i="6"/>
  <c r="U28" i="6"/>
  <c r="T28" i="6"/>
  <c r="X28" i="6"/>
  <c r="U17" i="6"/>
  <c r="T17" i="6"/>
  <c r="T18" i="6"/>
  <c r="U18" i="6"/>
  <c r="U19" i="6"/>
  <c r="T19" i="6"/>
  <c r="K11" i="6"/>
  <c r="L11" i="6"/>
  <c r="L16" i="6"/>
  <c r="K16" i="6"/>
  <c r="L8" i="6"/>
  <c r="U8" i="6" s="1"/>
  <c r="L14" i="6"/>
  <c r="N13" i="6" a="1"/>
  <c r="N13" i="6" s="1"/>
  <c r="N12" i="6" a="1"/>
  <c r="N12" i="6" s="1"/>
  <c r="N10" i="6" a="1"/>
  <c r="N10" i="6" s="1"/>
  <c r="N9" i="6" a="1"/>
  <c r="N9" i="6" s="1"/>
  <c r="N8" i="6" a="1"/>
  <c r="N8" i="6" s="1"/>
  <c r="N7" i="6" a="1"/>
  <c r="N7" i="6" s="1"/>
  <c r="N6" i="6" a="1"/>
  <c r="N6" i="6" s="1"/>
  <c r="K10" i="6"/>
  <c r="L10" i="6"/>
  <c r="K7" i="6"/>
  <c r="L7" i="6"/>
  <c r="U7" i="6" s="1"/>
  <c r="K12" i="6"/>
  <c r="L12" i="6"/>
  <c r="K9" i="6"/>
  <c r="L9" i="6"/>
  <c r="L13" i="6"/>
  <c r="L6" i="6"/>
  <c r="K6" i="6"/>
  <c r="K8" i="6"/>
  <c r="K13" i="6"/>
  <c r="U10" i="6" l="1"/>
  <c r="AJ16" i="6"/>
  <c r="U13" i="6"/>
  <c r="U14" i="6"/>
  <c r="U12" i="6"/>
  <c r="U16" i="6"/>
  <c r="T16" i="6"/>
  <c r="U11" i="6"/>
  <c r="T11" i="6"/>
  <c r="U9" i="6"/>
  <c r="AH15" i="6"/>
  <c r="T12" i="6"/>
  <c r="T13" i="6"/>
  <c r="T9" i="6"/>
  <c r="T14" i="6"/>
  <c r="T7" i="6"/>
  <c r="T10" i="6"/>
  <c r="T6" i="6"/>
  <c r="U6" i="6"/>
  <c r="T8" i="6"/>
  <c r="X10" i="6" l="1"/>
  <c r="X21" i="6"/>
  <c r="X15" i="6"/>
  <c r="X17" i="6"/>
  <c r="X18" i="6"/>
  <c r="X19" i="6"/>
  <c r="X20" i="6"/>
  <c r="X9" i="6"/>
  <c r="X16" i="6"/>
  <c r="X12" i="6"/>
  <c r="X14" i="6"/>
  <c r="X13"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<sst xmlns="http://schemas.openxmlformats.org/spreadsheetml/2006/main" count="28218" uniqueCount="9113">
  <si>
    <t xml:space="preserve">                           EVENT</t>
  </si>
  <si>
    <t xml:space="preserve">PRESENT   </t>
  </si>
  <si>
    <t>EXP</t>
  </si>
  <si>
    <t>D/H</t>
  </si>
  <si>
    <t>TRIGGER</t>
  </si>
  <si>
    <t>ORDER</t>
  </si>
  <si>
    <t>SETUP</t>
  </si>
  <si>
    <t>GAME PLAY</t>
  </si>
  <si>
    <t>RESULTS</t>
  </si>
  <si>
    <t>OBSERVATIONS</t>
  </si>
  <si>
    <t>DIFFERENT PERSPECTIVE</t>
  </si>
  <si>
    <t>RISK MANAGEMENT / STRATEGY UPDATES</t>
  </si>
  <si>
    <t>STATISTICAL ANALYSIS</t>
  </si>
  <si>
    <t>MONTH</t>
  </si>
  <si>
    <t>DATE2</t>
  </si>
  <si>
    <t>entry time</t>
  </si>
  <si>
    <t>DAY</t>
  </si>
  <si>
    <t>MAJOR EVENT</t>
  </si>
  <si>
    <t>ACTION</t>
  </si>
  <si>
    <t xml:space="preserve">CONTRACT </t>
  </si>
  <si>
    <t>A</t>
  </si>
  <si>
    <t>E</t>
  </si>
  <si>
    <t>B</t>
  </si>
  <si>
    <t>REACTIVE | response to price action</t>
  </si>
  <si>
    <t>PROACTIVE  | expectations after consideration</t>
  </si>
  <si>
    <t>SIGNALS  | technical indicators/models</t>
  </si>
  <si>
    <t>CODE</t>
  </si>
  <si>
    <t>CODE2</t>
  </si>
  <si>
    <t>O,S,F</t>
  </si>
  <si>
    <t>E QTY</t>
  </si>
  <si>
    <t>X QTY</t>
  </si>
  <si>
    <t>MAX SHOT</t>
  </si>
  <si>
    <t>B/S</t>
  </si>
  <si>
    <t>P,I</t>
  </si>
  <si>
    <t>UD,D,B,A,UA</t>
  </si>
  <si>
    <t>MS,F</t>
  </si>
  <si>
    <t>TICK SIZE</t>
  </si>
  <si>
    <t>MIN TICK VALUE ADJUSTED</t>
  </si>
  <si>
    <t>TECHNICAL</t>
  </si>
  <si>
    <t>FUNDAMENTAL</t>
  </si>
  <si>
    <t>CURVES</t>
  </si>
  <si>
    <t>ENTRY</t>
  </si>
  <si>
    <t>ENTRY LOGIC</t>
  </si>
  <si>
    <t>STOPLOSS</t>
  </si>
  <si>
    <t>STOPLOSS LOGIC</t>
  </si>
  <si>
    <t>PLANNED EXIT</t>
  </si>
  <si>
    <t>PLANNED EXIT LOGIC</t>
  </si>
  <si>
    <t>BACKUP PLAN</t>
  </si>
  <si>
    <t>WORST CASE REWARD/RISK</t>
  </si>
  <si>
    <t>WORST CASE LOSS/LOT</t>
  </si>
  <si>
    <t>WORST CASE LOSS</t>
  </si>
  <si>
    <t>PLANNED DURATION</t>
  </si>
  <si>
    <t>DURATION LOGIC</t>
  </si>
  <si>
    <t xml:space="preserve">DURATION </t>
  </si>
  <si>
    <t>(M/H/D/W) | W - &gt; DAYS</t>
  </si>
  <si>
    <t>exit date/time</t>
  </si>
  <si>
    <t>EXIT</t>
  </si>
  <si>
    <t>PNL (PRICE)</t>
  </si>
  <si>
    <t>TOTAL PROFIT</t>
  </si>
  <si>
    <t>PNL ($) SINGLE ORDER</t>
  </si>
  <si>
    <t>W/L</t>
  </si>
  <si>
    <t>REMARKS 1</t>
  </si>
  <si>
    <t>REMARKS 2</t>
  </si>
  <si>
    <t>REMARKS 3</t>
  </si>
  <si>
    <t>PERSPECTIVE 1</t>
  </si>
  <si>
    <t>PERSPECTIVE 2</t>
  </si>
  <si>
    <t>PERSPECTIVE 3</t>
  </si>
  <si>
    <t>REMARKS 4</t>
  </si>
  <si>
    <t>REMARKS 5</t>
  </si>
  <si>
    <t>REMARKS 6</t>
  </si>
  <si>
    <t>ROLLING PnL2</t>
  </si>
  <si>
    <t>ROLLING PnL</t>
  </si>
  <si>
    <t>rolling sum of FLY TRADES</t>
  </si>
  <si>
    <t>ROLLING SUM OF SPDS</t>
  </si>
  <si>
    <t>ROLLING SUM W</t>
  </si>
  <si>
    <t>ROLLING SUM R</t>
  </si>
  <si>
    <t>M RS</t>
  </si>
  <si>
    <t>H RS</t>
  </si>
  <si>
    <t>D RS</t>
  </si>
  <si>
    <t>W RS</t>
  </si>
  <si>
    <t>Outright RS</t>
  </si>
  <si>
    <t>T RS</t>
  </si>
  <si>
    <t>F RS</t>
  </si>
  <si>
    <t>C RS</t>
  </si>
  <si>
    <t>TF RS</t>
  </si>
  <si>
    <t>TC RS</t>
  </si>
  <si>
    <t>FC RS</t>
  </si>
  <si>
    <t>RS F PNL/LOT</t>
  </si>
  <si>
    <t>RS S PNL/LOT</t>
  </si>
  <si>
    <t>RS O PNL/LOT</t>
  </si>
  <si>
    <t>October 22 live</t>
  </si>
  <si>
    <t>OCT.22</t>
  </si>
  <si>
    <t>1253PM</t>
  </si>
  <si>
    <t>THU</t>
  </si>
  <si>
    <t>S23 SPD</t>
  </si>
  <si>
    <t>IR</t>
  </si>
  <si>
    <t>W</t>
  </si>
  <si>
    <t>S</t>
  </si>
  <si>
    <t>RESISTANCE ZONE (60-0)</t>
  </si>
  <si>
    <t>Scalping</t>
  </si>
  <si>
    <t>MOST FLUCTUATIONS IN THE CURVE</t>
  </si>
  <si>
    <t>GIVING SPACE FOR RANGE</t>
  </si>
  <si>
    <t>buy at 3 and sell at 2 | 2 lots</t>
  </si>
  <si>
    <t>&lt;1</t>
  </si>
  <si>
    <t>NEXT 1ST HALF SESSION</t>
  </si>
  <si>
    <t>1hr 30mins</t>
  </si>
  <si>
    <t>226pm</t>
  </si>
  <si>
    <t>Scalping 101; it feels hard to get fills in live/ in the current mkt structure</t>
  </si>
  <si>
    <t>observe the current mkt structure 1st</t>
  </si>
  <si>
    <t xml:space="preserve">LUCK 100  </t>
  </si>
  <si>
    <t>948AM</t>
  </si>
  <si>
    <t>FRI</t>
  </si>
  <si>
    <t>RESISTANCE ZONE (60--)</t>
  </si>
  <si>
    <t>buy at -2</t>
  </si>
  <si>
    <t>EXIT ORDERED AT MKT OPEN | FILL 425AM</t>
  </si>
  <si>
    <t>D</t>
  </si>
  <si>
    <t>exit at cost | luck100</t>
  </si>
  <si>
    <t>range changed to -2 and 0</t>
  </si>
  <si>
    <t>use 1 lot for now</t>
  </si>
  <si>
    <t>if range changes get out at cost; if wait, then depending on luck more as time passes</t>
  </si>
  <si>
    <t>downtrend so try to get fills on the short side</t>
  </si>
  <si>
    <t>NEED TO WAIT AND WATCH; NO FAMILIAR MKT STRUCTURE</t>
  </si>
  <si>
    <t>2nd session mkt open</t>
  </si>
  <si>
    <t>buy dec 23 95.88  (coz 1 leg at dec23 stuck ; s @ 95.88)</t>
  </si>
  <si>
    <t>EXIT ORDERED AT MKT OPEN | FILL 425 AM</t>
  </si>
  <si>
    <t>got legged in the 2nd order (hedge order didnt hit - ?); avoid multiple entries for now</t>
  </si>
  <si>
    <t>got stuck at piq = 0 at sep23 95.88</t>
  </si>
  <si>
    <t>LUCK 100 (SAW THE OUTRIGHTS direction and took the right call/gamble)</t>
  </si>
  <si>
    <t>AVOID MULTIPLE ORDERS (for now); USE 1 LOT AT A TIME and at 1 strategy; ESPECIALLY USING OUTRIGHTS</t>
  </si>
  <si>
    <t>use GTC for the legged backup or exit at market; will be lucky if market in range</t>
  </si>
  <si>
    <t>stick to plan; 1 lot at a time; avoid herd mentality</t>
  </si>
  <si>
    <t>425AM</t>
  </si>
  <si>
    <t>MON</t>
  </si>
  <si>
    <t>S23 SPD CALENDAR</t>
  </si>
  <si>
    <t>CALENDAR ORDDER EXECUTED; fll alert delay as well</t>
  </si>
  <si>
    <t>HAVE TO WAIT FOR A BETTER MKT STRUCTURE</t>
  </si>
  <si>
    <t>J24 SPD</t>
  </si>
  <si>
    <t>R</t>
  </si>
  <si>
    <t>SUPPORT @ -1</t>
  </si>
  <si>
    <t>exit at cost; if range shifts by 2 ticks; + ALREADY S ORDER @ -1</t>
  </si>
  <si>
    <t>entry order after 1pm - exit ordered mkt open in nxt session</t>
  </si>
  <si>
    <t>11 oct | 538am</t>
  </si>
  <si>
    <t>Defensive position | taking pos at the rare, low hitting side of Scalping</t>
  </si>
  <si>
    <t>got legged in exit for 5 mins</t>
  </si>
  <si>
    <t>Observe mkts | TIMEOUT; (MOVE CAME AFTER NAB 5 P10 Out went down; luck100?); NXT DAY GBP GDP, US PPI; TODAY A LOT OF SPEECHES; Uncertain idea</t>
  </si>
  <si>
    <t>AVOID HERD MENTALITY/ OPINIONS</t>
  </si>
  <si>
    <t>TUE</t>
  </si>
  <si>
    <t>NAB Business Confidence (Sep) | (P10 A5)</t>
  </si>
  <si>
    <t>(OUTRIGHTS WENT DOWN 9BPS)</t>
  </si>
  <si>
    <t>for 2 star or 3 star if no forecasts are there check from previous but dont write it off; cancel all orders no matter what; ppl ate losses heavily and couldnt react</t>
  </si>
  <si>
    <t>be aware of speeches as well</t>
  </si>
  <si>
    <t>WED</t>
  </si>
  <si>
    <t>US PPI (P-0.2% F0.2% A0.4%) + ECB PRES. SPEECH @7pm (MOVEMENT HERE)</t>
  </si>
  <si>
    <t>spds moved up</t>
  </si>
  <si>
    <t>806am</t>
  </si>
  <si>
    <t>ACTUAL PRICE @ -1 (DEFENSIVE) BUT RANGE CHANGED AT 10MIN TIMEFRAME: -2 TO -4 SO TOOK IN DIRECTION OF CURVE TRADES</t>
  </si>
  <si>
    <t>exit at cost; if range shifts by 2 ticks; WILL HAVE 1 MORE ORDER IN CALENDAR DURING EVENT AT -1; &amp; TRY TO EXIT AT NEXT SESSION OPEN</t>
  </si>
  <si>
    <t>BY WEEKEND OR TUE; NO MAJOR EVENT TILL TUE AFTER FRI US CPI</t>
  </si>
  <si>
    <t>2 sessions</t>
  </si>
  <si>
    <t>14 oct 22 1016am</t>
  </si>
  <si>
    <t>LESS DEFENSIVE POSITION (in the direction of curve trading + range changed with little strength  -2 to -4; can hold till 6pm + backup ready at -1 or will hold order in calendar)</t>
  </si>
  <si>
    <t>BACKUP READY @ -1; EXIT BY WEEKEND (WILL HAVE 1 MORE ORDER IN CALENDAR DURING EVENT AT -1; &amp; TRY TO EXIT AT NEXT SESSION OPEN)</t>
  </si>
  <si>
    <t>Selling leg quote triggered; exit</t>
  </si>
  <si>
    <t xml:space="preserve">constanly lock screen or entry orders only + keep clearing order qty </t>
  </si>
  <si>
    <t>US CORE CPI MOM SEP (P0.6% F0.5% A0.6%)</t>
  </si>
  <si>
    <t>OUTRIGHTS WENT DOWN BY 10-13BP (EXCEPT 1ST); SPDS WENT DOWN 1BP; went down till 18 bp within 1 hour</t>
  </si>
  <si>
    <t>EXPECTING BELOW OR EQUAL, LONG OUTRIGHTS IN IRc3,c6, momentum based trading within an hour; household down, higher weightage, food up but lower weightage</t>
  </si>
  <si>
    <t>SPECULATION WOULD HAVE FAILED IN OUTRIGHTS (8-10BP LOSS)</t>
  </si>
  <si>
    <t>double check b4 puting order</t>
  </si>
  <si>
    <t>US CPI YOY (P8.3% F8.1% A8.2%)</t>
  </si>
  <si>
    <t>MAR23 -15 SEP23 -14BP (WITHIN 10MINS)</t>
  </si>
  <si>
    <t>845am</t>
  </si>
  <si>
    <t>1 DAY</t>
  </si>
  <si>
    <t>18 0ct 22 440am</t>
  </si>
  <si>
    <t>buying side quote triggered; entry (entry 2.5mins single legged)</t>
  </si>
  <si>
    <t>selling side triggered; exit (legged for 2.5mins)</t>
  </si>
  <si>
    <t>Observe mkts | TIMEOUT | w8 n watch</t>
  </si>
  <si>
    <t>315am</t>
  </si>
  <si>
    <t>NZD CPI QOQ (F1.6% A2.2%)</t>
  </si>
  <si>
    <t>OUTRIGHTS MOVED 3-5BP)</t>
  </si>
  <si>
    <t>1221pm</t>
  </si>
  <si>
    <t>M24 SPD</t>
  </si>
  <si>
    <t>RANGE OF -4 TO -6 (WEAKER SIDE) + direction of kink trades</t>
  </si>
  <si>
    <t>sell at -3 if uptrend happens and exit at -4</t>
  </si>
  <si>
    <t>1 day</t>
  </si>
  <si>
    <t>4.5 hrs</t>
  </si>
  <si>
    <t>458pm</t>
  </si>
  <si>
    <t>CALENDAR ORDER EXIT; SAME SESSION INACTIVELY</t>
  </si>
  <si>
    <t>market is dead after 12am for belly</t>
  </si>
  <si>
    <t>3.35pm</t>
  </si>
  <si>
    <t>0 or cost</t>
  </si>
  <si>
    <t>nxt session</t>
  </si>
  <si>
    <t>~ A DAY</t>
  </si>
  <si>
    <t>19 OCT 22 3.05AM</t>
  </si>
  <si>
    <t>selling side quote triggered; entry (entry 19mins single legged)</t>
  </si>
  <si>
    <t>ACE!</t>
  </si>
  <si>
    <t>443am</t>
  </si>
  <si>
    <t>BUY AT -2, EXIT AT -1</t>
  </si>
  <si>
    <t>19 OCT 426 AM</t>
  </si>
  <si>
    <t>GOT LEGGED AND VOLUME AGAINST</t>
  </si>
  <si>
    <t>DID NOT W8 FOR 2ND LEG . EXIT AT COST; AS GETTING LEGGED A LOT; RIGHT CALL AS HAD TO W8 A LOT AND MKTS WERE MOVING FAST</t>
  </si>
  <si>
    <t>USE CALENDARS FOR EXIT IN SD23 IF ORDER NOT IN MKT OPEN; CANT USE MORE LOTS</t>
  </si>
  <si>
    <t>313AM</t>
  </si>
  <si>
    <t>5hrs</t>
  </si>
  <si>
    <t>buying side quote triggered; entry (entry 10mins single legged)</t>
  </si>
  <si>
    <t>CANT FIND DEF. TRADES; TIMEOUT 2 d</t>
  </si>
  <si>
    <t>AUD Employment change (F25K A0.9K)</t>
  </si>
  <si>
    <t>OUTRIGHTS (12-15BP DOWN) FRONT SPD UP BY  4-8BP BELLY WENT DOWN BY 1-2 FORMING A REW RANGE</t>
  </si>
  <si>
    <t>AUD Unemployment rate (F3.5% A3.5%)</t>
  </si>
  <si>
    <t>415am</t>
  </si>
  <si>
    <t>DM22 SPD CALENDAR</t>
  </si>
  <si>
    <t>RESISTANCE ZONE (66-70)</t>
  </si>
  <si>
    <t>BP ABOVE 25BP (28.1BP in mkt open); PREVIOUSLY WHENEVER BP BREACHES THE STANDARD BP EXPECTED IT SETTLES LOWER THAN THAT BY MKT END</t>
  </si>
  <si>
    <t>MKT SETTLE OR NEXT SESSION (~60)</t>
  </si>
  <si>
    <t>SELL @ 70 (STOPLOSS TRADING WITH SL AT 74) AND SL 1 AT 72</t>
  </si>
  <si>
    <t>MKT SETTLE OR next to next SESSION settle (~60,61)</t>
  </si>
  <si>
    <t>1 hr</t>
  </si>
  <si>
    <t>BETTING AGAINST THE SENTIMENT OF HIGHER THAN 25 BP</t>
  </si>
  <si>
    <t xml:space="preserve">(26,25,0,25,25,25,25,20) =&gt; 72.5 | 17 OCT SETTLE (24.3,19.5,0,16,21.3,20.4,17.4) =&gt; 58 | 18 OCT SETTLE AFTER BULLOCK + MINUTES (26.5,21.1,-0.9,21.1,21,19.3,19.2) =&gt;61.3 | 18 OCT SETTLE (24.8,20.1,0,20.7,18.5,18.8,16.6) </t>
  </si>
  <si>
    <t>AS SHORT TERM TRADE + GOT 70 SO EARLY EXIT AT COST AS WANTED TO HOLD 1 LOT ONLY</t>
  </si>
  <si>
    <t>DID NOT RESPECT THE RESISTANCE ZONE</t>
  </si>
  <si>
    <t>DISCIPLINE -  FOLLOW ORDER MGMT RULE - 1 LOT MAX 2 LOTS AT DEFENSIVE POSITION OR ACCEPT DEFEAT</t>
  </si>
  <si>
    <t>DONT TRADE IN YBAC1-YBAC2 BASED ON PRICING; NEED A BIGGER ACC. OR/AND EXP. TO HANDLE THE HEAT</t>
  </si>
  <si>
    <t>63,64</t>
  </si>
  <si>
    <t>MKT SETTLE OR NEXT SESSION (~60,61) OR FRIDAY EXIT / previous resistance becomes support; zone (62-65) / FIBONACCI 10min SUPPORT zone near 66 / pricing based (62-64)</t>
  </si>
  <si>
    <t>SELL @ 73 (STOPLOSS TRADING WITH SL AT 75)</t>
  </si>
  <si>
    <t>MKT SETTLE OR next to next SESSION settle (~60,61) / previous resistance becomes support; zone (62-65)</t>
  </si>
  <si>
    <t>&gt; a day</t>
  </si>
  <si>
    <t>21 oct 844am</t>
  </si>
  <si>
    <t>L</t>
  </si>
  <si>
    <t xml:space="preserve">BETTING AGAINST THE SENTIMENT OF HIGHER THAN 25 BP | (26,25,0,25,25,25,25,20) =&gt; 72.5 BP | 17 OCT SETTLE (24.3,19.5,0,16,21.3,20.4,17.4) =&gt; 58 | 18 OCT SETTLE AFTER BULLOCK + MINUTES (26.5,21.1,-0.9,21.1,21,19.3,19.2) =&gt;61.3 | 18 OCT SETTLE (24.8,20.1,0,20.7,18.5,18.8,16.6) </t>
  </si>
  <si>
    <t>SL</t>
  </si>
  <si>
    <t>CONSIDER FRA VALUES OF THAT DAY (WHICHEVER YOU RE USING FOR BP COMPARISON); TRACK FRA</t>
  </si>
  <si>
    <t>TA - after a low volatility box is made (NEAR 60,61) a big move is expected; direction not known;</t>
  </si>
  <si>
    <t>in this case there was no downfall or bearish confirmation once the trending candle was over =&gt; still traders did not sell to book profit; more move is left; (dm23 went till 77 b4 session close)</t>
  </si>
  <si>
    <t>SnR zone was breached and did not respect it. This Resistance can become a new support ZONE (around 70)</t>
  </si>
  <si>
    <t>AOTC can cancel your target; so keep in mind if target not defined or thinking of pulling out later</t>
  </si>
  <si>
    <t>till MKT SETTLE (~60,61) OR FRIDAY EXIT / previous resistance becomes support; zone (62-65) / FIBONACCI 10min SUPPORT zone near 66 / pricing based (62-64) | CONSIDERING FRA + VWAP 67 CLOSE</t>
  </si>
  <si>
    <t>8hrs</t>
  </si>
  <si>
    <t>20 OCT 22 1.30PM</t>
  </si>
  <si>
    <t>want to hold one lot after today's settle or tomorrow's mkt structure | very fast decision wrt market; less planned trade | EVENTS AHEAD +TECHNICAL AGAINST + cant afford SL($) now; later or find +ve expectancy edge</t>
  </si>
  <si>
    <t>TIMEOUT | OBSERVE MKTS | DONT TRADE UNTIL YOU SEE SOMETHING STRONG</t>
  </si>
  <si>
    <t>NO CLEAR READ ON MARKETS (D22 SPD)</t>
  </si>
  <si>
    <t>Nobody cares about pricing (until RBA makes the decision)</t>
  </si>
  <si>
    <t>TOO EARLY ENTRY, CAME DOWN TILL 68 ON MONDAY 2ND SESSION START (???)</t>
  </si>
  <si>
    <t>SELF FULFILLING PROPHECY</t>
  </si>
  <si>
    <t>taking losses also a part of strat; minimize it either by good entry or some time duration of a trade, but cant avoid it</t>
  </si>
  <si>
    <t>PRICING - NEED MORE TIME AND EXPERIENCE</t>
  </si>
  <si>
    <t xml:space="preserve">lot size in a trade for now 1 if its not an edge; </t>
  </si>
  <si>
    <t>TIMEOUT - observe mkt; selective; 2 lots where edge and defensive</t>
  </si>
  <si>
    <t>Avoid risky bets till $360 ($180 in reserve)</t>
  </si>
  <si>
    <t>ONLY CURVE TRADING</t>
  </si>
  <si>
    <t>952am</t>
  </si>
  <si>
    <t>US 10Y BOND YIELD ABOVE 08 LEVEL; EXITING POSITIONS/selloff</t>
  </si>
  <si>
    <t xml:space="preserve">OUTRIGHTS MOVED LOW HIGH VOLATILITY DOWN </t>
  </si>
  <si>
    <t>M23 FLY CALENDAR</t>
  </si>
  <si>
    <t>F</t>
  </si>
  <si>
    <t>RESISTANCE ZONE (6~-01)</t>
  </si>
  <si>
    <t>Anomaly | DEC22 FLY 32 M23 FLY 29 (TOO HIGH + DELTA ANOMALY spd fly)</t>
  </si>
  <si>
    <t>~21 or LESS</t>
  </si>
  <si>
    <t>DELTAS ANTICIPATION</t>
  </si>
  <si>
    <t>1-2 WEEKS</t>
  </si>
  <si>
    <t>DATA driven moves ahead</t>
  </si>
  <si>
    <t>4 T DAYS</t>
  </si>
  <si>
    <t>26 oct 22 8.31pm</t>
  </si>
  <si>
    <t>DOUBLE FILLED; QH=1 (HIT IT WHILE SELLING; DONT BE IN QUEUE; MIGHT BE ISSUE EXITING) | BUYING SIDE TRIGGERED FIRST (BUYING AT 28)</t>
  </si>
  <si>
    <t>exit 1 lot at cost</t>
  </si>
  <si>
    <t>exit 1 lot at 25 (got double filled while exiting) | datas nxt day + momentum weakening | LUCK100 | MOMENTUM WAS GETTING WEAKER NEAR 24</t>
  </si>
  <si>
    <t>if multiple lots available, let 1 lot run with trailing sl</t>
  </si>
  <si>
    <t>BUY AND HODL; IF MORE LOTS RIDE 1 LOT WITH TRAILING SL AT 1 TICK P</t>
  </si>
  <si>
    <t>8.37am</t>
  </si>
  <si>
    <t>M24 SPD CALENDAR</t>
  </si>
  <si>
    <t>TUE 542pm</t>
  </si>
  <si>
    <t>RISKY (OPPOSITE DIRECTION OF KINK)</t>
  </si>
  <si>
    <t>KINK SHIFTING TOWARDS BACK (DEC23 -&gt; MAR24)</t>
  </si>
  <si>
    <t>TOO LONG; EXIT FROM OUTRIGHTS</t>
  </si>
  <si>
    <t>1052AM</t>
  </si>
  <si>
    <t>930pm</t>
  </si>
  <si>
    <t>KINK SHIFTING TOWARDS BACK (DEC23 -&gt; MAR24, JUN24)</t>
  </si>
  <si>
    <t>1248pm</t>
  </si>
  <si>
    <t>J24 SPD CALENDAR</t>
  </si>
  <si>
    <t>RESISTANCE ZONE (6---4)</t>
  </si>
  <si>
    <t>8.10pm</t>
  </si>
  <si>
    <t>KINK PLATEAU AT -7 (M24, J24)</t>
  </si>
  <si>
    <t>MON | TUE</t>
  </si>
  <si>
    <t>SUPPORT @ -</t>
  </si>
  <si>
    <t>EXIT BOTH FROM CALENDAR (ASE WAS LATE THIS TIME)</t>
  </si>
  <si>
    <t>mkt close 1st session hit (11am)</t>
  </si>
  <si>
    <t>exit at cost</t>
  </si>
  <si>
    <t>10hrs</t>
  </si>
  <si>
    <t>915pm</t>
  </si>
  <si>
    <t>timeout</t>
  </si>
  <si>
    <t>1.03pm</t>
  </si>
  <si>
    <t>9HRS</t>
  </si>
  <si>
    <t>1020PM</t>
  </si>
  <si>
    <t>CPI YOY (P6.1% F7% A7.3%)</t>
  </si>
  <si>
    <t>DEC22 SPD,FLY WENT UP; REST REMAINED SAME; (HIT AT MARKET WHEN HEDGING B4 EVENT)</t>
  </si>
  <si>
    <t>DM23 FLY WANTED TO GO LONG AT 25 , 24 ; DID NOT GET THE PRICE ; NEXT TIME HIT AT MKT PRICE IF HEDGING SENSE IS STRONG</t>
  </si>
  <si>
    <t xml:space="preserve">COULD HAVE GOT 8-9 TICKS </t>
  </si>
  <si>
    <t>EVENT ME PIQ NAHI DEKHTE; HIT ON MARKET</t>
  </si>
  <si>
    <t>EITHER MAR 23 FLY SHOULD GO DOWN OR ELSE DEC22 FLY SHOULD GO UP; RIGHT READ; SO MAR23 FLY SHORT AND DEC22 FLY LONG (EQUAL LOTS)</t>
  </si>
  <si>
    <t>COULD NOT LONG DEC22 FLY; VOLUME CAME AND PRICE ROSE BEFORE ENTRY; + 7 IN DEC22 FLY AND -3 IN MAR23 FLY (EQUAL LOTS)</t>
  </si>
  <si>
    <t>FOR LIMITED LOTS USE CONSERVATIVELY; EVEN IF DOUBLE FILLED, EXIT AT COST</t>
  </si>
  <si>
    <t>CPI QOQ Q3 (P1.8% F1.6% A1.8%)</t>
  </si>
  <si>
    <t>Trade anomalies (if any) with lower downside &amp; hit the hedges on event day (the other side of the anomaly)</t>
  </si>
  <si>
    <t>if neutral; bulls or bears will try to come right at the last minute to give a confirmation</t>
  </si>
  <si>
    <t>DOUBLE FILLED LOT EXIT AT COST (CALENDAR)</t>
  </si>
  <si>
    <t>422AM</t>
  </si>
  <si>
    <t>We now expect the Reserve Bank Board to raise the cash rate by 50 basis points in November for a terminal rate of 3.85% by March, revised up from 3.6%. WESTPAC (Odd timings for westpac) | unexpected event</t>
  </si>
  <si>
    <t xml:space="preserve">SPD | FLY MOVED 2-3 TICKS  </t>
  </si>
  <si>
    <t>AVOID TRADING IF YOU DONT UNDERSTAND MKT STRUCTURE OR HAVE A GOOD READ ON MARKETS;; WAIT AND WATCH</t>
  </si>
  <si>
    <t>545pm</t>
  </si>
  <si>
    <t>ECB HIKES 75 BP (2%)</t>
  </si>
  <si>
    <t>US GDP (P-0.6% F 2.4% A2.6%)</t>
  </si>
  <si>
    <t>(BY CLOSE D22 SPD WENT DOWN 3BP, M23 J23 SPD DOWN, TAIL END SPDS DOWN BY 1 BP | Outrights went up by ~10bp)</t>
  </si>
  <si>
    <t>AUD PPI YOY (P5.6% A6.4%) | PPI QOQ (P1.4% A1.6%)</t>
  </si>
  <si>
    <t>625AM</t>
  </si>
  <si>
    <t>SUPPORT @ -9,-10; IF REBOUND MOMENTUM DOES NOT COME, EXIT AT 1 TICK OR COST</t>
  </si>
  <si>
    <t>IF RANGE CHANGES THEN -8 | EXIT B4 RBA HIKE</t>
  </si>
  <si>
    <t>COST OR IF RANGE CHANGES THEN -8 | buy at -10</t>
  </si>
  <si>
    <t>~ 1 day</t>
  </si>
  <si>
    <t>31 oct 22 614am</t>
  </si>
  <si>
    <t>SINGLE LEGGED 4 MINS</t>
  </si>
  <si>
    <t>SINCE CALENDAR ALSO EXECUTED; NEED TO EXIT ASAP (at least 1 LOT) | RANGE CHANGED -8,-10 EXIT @ -8</t>
  </si>
  <si>
    <t>exit via calendar; nxt day hike</t>
  </si>
  <si>
    <t>WENT UP TO -6 B4 RBA HIKE</t>
  </si>
  <si>
    <t xml:space="preserve">LOOKED THE CHART BUT DID NOT CHECK THE EXCEL; LAZY </t>
  </si>
  <si>
    <t>630AM</t>
  </si>
  <si>
    <t>COST</t>
  </si>
  <si>
    <t>8.5 hrs</t>
  </si>
  <si>
    <t>2.50pm</t>
  </si>
  <si>
    <t>exit from calendar</t>
  </si>
  <si>
    <t>used TT RETRY for the hitting orders as well; make sure to use tt retry 5mins b4 and CHANGE ORDER TYPE (CLICK!) TO LIMIT THEN HIT AT MKT OPEN</t>
  </si>
  <si>
    <t>640AM</t>
  </si>
  <si>
    <t>~ 1 DAY</t>
  </si>
  <si>
    <t>31 oct 22 3.45am</t>
  </si>
  <si>
    <t>WAKE UP; not a defensive trade</t>
  </si>
  <si>
    <t>WENT UP TO -5 B4 RBA HIKE</t>
  </si>
  <si>
    <t>removed the outright exit order early in the 2nd session as ther ewere gaps (slow volatile illiquid mkt) chances of staying legged is high | try again when mkt finds a range or some liquidity | keep the calendar order active or exit at cost (while still a chance)</t>
  </si>
  <si>
    <t>AUD RETAIL SALES MOM (SEP) (P0.6% F0.6% A0.6%)</t>
  </si>
  <si>
    <t>NO MOVE</t>
  </si>
  <si>
    <t>330pm</t>
  </si>
  <si>
    <t>EUR CPI YOU (OCT) | (P9.9% F10.2% A10.75)</t>
  </si>
  <si>
    <t>NO MAJOR MOVE</t>
  </si>
  <si>
    <t>IF LOWER THAN EXPECTED IS BEARISH FOR AUD THEN OUTRIGHTS SHOULD FALL &amp; vice versa</t>
  </si>
  <si>
    <t>HOLD FLIES FOR &gt;=1 DAY (WEEK) | SPDS MAX 2 DAYS; VIEWS ARE CORRECT (for now, but for short durations)</t>
  </si>
  <si>
    <t>November 22 live</t>
  </si>
  <si>
    <t>NOV.22</t>
  </si>
  <si>
    <t>RBA HIKES 25BP (2.85%)</t>
  </si>
  <si>
    <t>OUTRIGHTS -15BP TO -3,+3BPS, D22 SPD WENT UP TILL 65 ! THEN CAME DOWN 56BP, medium volatility in spds</t>
  </si>
  <si>
    <t>4.45.01pm</t>
  </si>
  <si>
    <t>COST IF RANGE CHANGES</t>
  </si>
  <si>
    <t>~12 HRS</t>
  </si>
  <si>
    <t>2 nov 22 452am</t>
  </si>
  <si>
    <t>EXIT ASAP (did not)</t>
  </si>
  <si>
    <t>4.45.30pm</t>
  </si>
  <si>
    <t xml:space="preserve">S23 SPD  </t>
  </si>
  <si>
    <t>CALENDAR IS GETTING TRIGGERED FIRST</t>
  </si>
  <si>
    <t>buying side triggered first</t>
  </si>
  <si>
    <t>EXIT 4 LOTS IN CALENDAR TOGETHER | ACE!</t>
  </si>
  <si>
    <t>5.57PM</t>
  </si>
  <si>
    <t>Support @ 0,-1</t>
  </si>
  <si>
    <t>STRONG RESISTANCE AT 3</t>
  </si>
  <si>
    <t>EXIT - PIQ important</t>
  </si>
  <si>
    <t>9.41pm</t>
  </si>
  <si>
    <t>D23 SPD CALENDAR</t>
  </si>
  <si>
    <t>Resistance @2,-1</t>
  </si>
  <si>
    <t>cost</t>
  </si>
  <si>
    <t xml:space="preserve">EXIT 1 AT COST </t>
  </si>
  <si>
    <t>range changed to -4.-2; exit at cost</t>
  </si>
  <si>
    <t>wait and watch tails</t>
  </si>
  <si>
    <t>FED HIKES 75BP</t>
  </si>
  <si>
    <t>H</t>
  </si>
  <si>
    <t>428AM</t>
  </si>
  <si>
    <t>S23 CALENDAR</t>
  </si>
  <si>
    <t xml:space="preserve">COST </t>
  </si>
  <si>
    <t>1.30hrs</t>
  </si>
  <si>
    <t>603am</t>
  </si>
  <si>
    <t>ISM, NFP SOMP - unexpected illiquid volatility anticipated, avoid outright execution</t>
  </si>
  <si>
    <t>1050am</t>
  </si>
  <si>
    <t>COST (via outrights)</t>
  </si>
  <si>
    <t>3 HRS</t>
  </si>
  <si>
    <t>232PM</t>
  </si>
  <si>
    <t>635am</t>
  </si>
  <si>
    <t>Resistance @-4 x 2 (kink plateau 1,-1</t>
  </si>
  <si>
    <t>-4 x 2 (kink plateau region anticipation)</t>
  </si>
  <si>
    <t>1.20pm</t>
  </si>
  <si>
    <t>weak position</t>
  </si>
  <si>
    <t>wait and watch</t>
  </si>
  <si>
    <t>314PM</t>
  </si>
  <si>
    <t>buying side triggered</t>
  </si>
  <si>
    <t>945PM</t>
  </si>
  <si>
    <t xml:space="preserve">S23 SPD </t>
  </si>
  <si>
    <t>Scalping (LEGGED IR DEC23)</t>
  </si>
  <si>
    <t>30MINS</t>
  </si>
  <si>
    <t>LEGGED</t>
  </si>
  <si>
    <t>absence of chart pattern</t>
  </si>
  <si>
    <t>late order input</t>
  </si>
  <si>
    <t>RANGE PLAY MIGHT BE A BETTER OPTION</t>
  </si>
  <si>
    <t>THE chart pattern is imp.</t>
  </si>
  <si>
    <t>451am</t>
  </si>
  <si>
    <t>9 nov 745am</t>
  </si>
  <si>
    <t>exit b4 us cpi</t>
  </si>
  <si>
    <t>540am</t>
  </si>
  <si>
    <t>Resistance @ -2,-1</t>
  </si>
  <si>
    <t>-0.04/-0.05</t>
  </si>
  <si>
    <t>-2,-1 SUPPORT; INCREASE POSITION</t>
  </si>
  <si>
    <t>early exit b4 us cpi</t>
  </si>
  <si>
    <t>nxt morning session reached tgt</t>
  </si>
  <si>
    <t>selling in belly spds</t>
  </si>
  <si>
    <t>116pm</t>
  </si>
  <si>
    <t>Support zone @ -8,-10</t>
  </si>
  <si>
    <t>~8hrs</t>
  </si>
  <si>
    <t>luck 100</t>
  </si>
  <si>
    <t>hold till 1 session before event</t>
  </si>
  <si>
    <t>305pm</t>
  </si>
  <si>
    <t xml:space="preserve">selling pressure at 3,2 </t>
  </si>
  <si>
    <t>0,-1</t>
  </si>
  <si>
    <t>1 (if no move b4 us cpi)</t>
  </si>
  <si>
    <t>~20hrs</t>
  </si>
  <si>
    <t>9 nov 1042am</t>
  </si>
  <si>
    <t>can give a (temp.) b/o during event</t>
  </si>
  <si>
    <t>423am</t>
  </si>
  <si>
    <t>S23 FLY outright</t>
  </si>
  <si>
    <t>KINK TRADING (shouldn't be negative) | kink @ M24, J24 spds</t>
  </si>
  <si>
    <t>sufficient hedge orders present + downside low</t>
  </si>
  <si>
    <t>high exposure</t>
  </si>
  <si>
    <t>buildup till 1 (anticipation near 23rd nov) till after meeting</t>
  </si>
  <si>
    <t>1 week</t>
  </si>
  <si>
    <t>exit @ 5 with 1 payup outrights</t>
  </si>
  <si>
    <t>payup 1 at 2 | filled at 3; exit 1 at 5 or 6</t>
  </si>
  <si>
    <t>exit 2 flies at 5 (if possible); rest hodl</t>
  </si>
  <si>
    <t>Remember - 1 at a time from outright &amp; take proactively (preferably with 1 payup on either legs) | timing can be improved if sufficient orders are present in hedging side</t>
  </si>
  <si>
    <t>avoid outrights in s23, d23, m24</t>
  </si>
  <si>
    <t>1.39PM</t>
  </si>
  <si>
    <t>M23 SPD CALENDAR</t>
  </si>
  <si>
    <t>Support zone (25-23) | previous resistence | touched once before</t>
  </si>
  <si>
    <t>GOOD RISK REWARD IF HAWKISH DATA</t>
  </si>
  <si>
    <t>Support zone | LTQ&gt;=100</t>
  </si>
  <si>
    <t>&gt;=29</t>
  </si>
  <si>
    <t>retracement anticipation till 29 (previous area of interest)</t>
  </si>
  <si>
    <t>1 session (cpi)</t>
  </si>
  <si>
    <t>715pm</t>
  </si>
  <si>
    <t>SL WITH ASK &lt;=150 &amp; PAYUP 1 triggered</t>
  </si>
  <si>
    <t>CONSIDER PAYUP SITUATION FOR SL FOR MAX LOSS</t>
  </si>
  <si>
    <t>USE SIMPLE SL! WITH NO PAYUP IN SPDS or put at 1 worse price for sl</t>
  </si>
  <si>
    <t>403pm</t>
  </si>
  <si>
    <t>KINK TRADING (Payup 1 @ 2) 1 tick bad price</t>
  </si>
  <si>
    <t>1 WEEK</t>
  </si>
  <si>
    <t>~1 week</t>
  </si>
  <si>
    <t>17 nov 22 1024am</t>
  </si>
  <si>
    <t>nxt buy at 1; if exit not possible</t>
  </si>
  <si>
    <t>GG!</t>
  </si>
  <si>
    <t>CHECK RULES B4 USING ASE, ALWAYS (MIGHT HAVE CHANGED AS PER MKTS)</t>
  </si>
  <si>
    <t>US CPI (MOM) OCT (P0.4% F0.6% A0.4%)</t>
  </si>
  <si>
    <t>outrights 10-20 bp up, front spds down by 8, 6, 3 bp | belly back up by 1,2 bp</t>
  </si>
  <si>
    <t>US CPI (YOY) OCT (P8.2% F8% A7.7%)</t>
  </si>
  <si>
    <t>US CORE CPI (MOM) OCT (P0.6% F0.5% A0.3%)</t>
  </si>
  <si>
    <t>S23 FLY CALENDAR manually</t>
  </si>
  <si>
    <t>failed attempt at fly KINK TRADING (shouldn't be negative) | kink @ M24, D23 spds |</t>
  </si>
  <si>
    <t>(manually for 2) got at 3 (limit issue)</t>
  </si>
  <si>
    <t>7,8,9</t>
  </si>
  <si>
    <t>1 week +</t>
  </si>
  <si>
    <t>21 nov 22 1156pm</t>
  </si>
  <si>
    <t>HOLD LONGER</t>
  </si>
  <si>
    <t>WENT TILL 9 on 23 nov</t>
  </si>
  <si>
    <t>MKT open</t>
  </si>
  <si>
    <t>Support zone breaks (trying trend)</t>
  </si>
  <si>
    <t>wrong call (early exit)</t>
  </si>
  <si>
    <t>Liquidity gap to boom (from 20)</t>
  </si>
  <si>
    <t>D22 M23 trades only in SIM</t>
  </si>
  <si>
    <t>W8 for confirmation in the DAILY timeframe</t>
  </si>
  <si>
    <t>20 buy was a better call (since 22-20 was buying zone) | previous resistancetested once and broken nxt time</t>
  </si>
  <si>
    <t>THINK OF BUYING AT THE LOWER LEVEL OF A SUPPORT ZONE (TO GET THE BEST RRR) | IF YOU DONT GET DONT TAKE THAT TRADE | FOR RESISTANCE ZONE TAKE THE UPPER LEVEL FOR SHORTING POSITION</t>
  </si>
  <si>
    <t>CAN USE ASE TO GET THE BETTER LEVEL PRICE</t>
  </si>
  <si>
    <t>456am</t>
  </si>
  <si>
    <t xml:space="preserve">  </t>
  </si>
  <si>
    <t>22 nov 718am</t>
  </si>
  <si>
    <t>Nxt buy @ 0 | not 1</t>
  </si>
  <si>
    <t>DE-FLY would have given profits quicker (with D23 FLY SELL @ 4 or 3) went till 0</t>
  </si>
  <si>
    <t>nxt time Capture atleast 1 De-fly (for anomaly)</t>
  </si>
  <si>
    <t>HOLD LONGER =&gt; RESPECT THE TARGET (at least w 1 lot) | HODL longer</t>
  </si>
  <si>
    <t>445 AM</t>
  </si>
  <si>
    <t>RESISTANCE ZONE (6--01)</t>
  </si>
  <si>
    <t>EXIT @ COST (BAD RRR as per current mkt state)</t>
  </si>
  <si>
    <t>~2 days</t>
  </si>
  <si>
    <t>14 nov 22 10.45pm</t>
  </si>
  <si>
    <t>~5am</t>
  </si>
  <si>
    <t>Scalping + kink trading (shouldnt go positive)</t>
  </si>
  <si>
    <t>~3days</t>
  </si>
  <si>
    <t>5.30am</t>
  </si>
  <si>
    <t>14 nov 22 10.45pm, 15 nov 4.52pm</t>
  </si>
  <si>
    <t>exit @ -4,-6</t>
  </si>
  <si>
    <t>605am</t>
  </si>
  <si>
    <t>kink trading (shouldnt go positive)</t>
  </si>
  <si>
    <t>15 nov 5.20pm</t>
  </si>
  <si>
    <t>changed tgt by 1 tick aftr mins</t>
  </si>
  <si>
    <t>mad</t>
  </si>
  <si>
    <t>came back to same levels b4 US CPI aftr RBA mins.</t>
  </si>
  <si>
    <t>kind of mean reversion</t>
  </si>
  <si>
    <t>630am</t>
  </si>
  <si>
    <t>failed attempt at fly (increase lot limits)</t>
  </si>
  <si>
    <t>exit @ cost (as failed attempt at fly)</t>
  </si>
  <si>
    <t>15 nov 22 1010am</t>
  </si>
  <si>
    <t xml:space="preserve">exit @ cost/1 tick (as failed attempt at fly) + lot of exposure in fly contracts </t>
  </si>
  <si>
    <t>2.23pm</t>
  </si>
  <si>
    <t>M23 FLY outright</t>
  </si>
  <si>
    <t>RESISTANCE ZONE (61-11)</t>
  </si>
  <si>
    <t>CURVE ANOMALY (DE-FLY M23 14 B J23 12 S . FLY)</t>
  </si>
  <si>
    <t>0.14 (WITH PAYUP 1 x1)</t>
  </si>
  <si>
    <t>18 w 1 payup</t>
  </si>
  <si>
    <t>momentum getting weaker (greed)</t>
  </si>
  <si>
    <t>2 weeks</t>
  </si>
  <si>
    <t>b4 rba meet</t>
  </si>
  <si>
    <t>16 nov 340pm</t>
  </si>
  <si>
    <t>failed execution (M23 DEFLY @ 3,2,1)</t>
  </si>
  <si>
    <t>USE ASE OF CALENDARS (121)</t>
  </si>
  <si>
    <t>got double filled (use 1 leg for quoting)</t>
  </si>
  <si>
    <t>3.49am</t>
  </si>
  <si>
    <t xml:space="preserve">M23 DE-FLY MANUALLY </t>
  </si>
  <si>
    <t>RESISTANCE ZONE (6&gt;--4)</t>
  </si>
  <si>
    <t>CURVE ANOMALY</t>
  </si>
  <si>
    <t>&gt;=6 | 3</t>
  </si>
  <si>
    <t>US CPI levels</t>
  </si>
  <si>
    <t>exit asap at &gt;=3</t>
  </si>
  <si>
    <t>CAN SELL &gt;=5</t>
  </si>
  <si>
    <t>EXIT @ COST</t>
  </si>
  <si>
    <t>nxt time try at 0 manually; worse case @ 1 or 2 | try getting the difficult price first</t>
  </si>
  <si>
    <t>De-Fly sucks; Always try to take @ the best price | never in the mkt</t>
  </si>
  <si>
    <t xml:space="preserve"> </t>
  </si>
  <si>
    <t>Manually worked (failed execution (M23 DEFLY @ 3,2,1))</t>
  </si>
  <si>
    <t>J23 FLY CALENDAR</t>
  </si>
  <si>
    <t>M23 DE-FLY</t>
  </si>
  <si>
    <t>-2 | ?</t>
  </si>
  <si>
    <t>&gt;=6 &amp; try @ 8 (since high level at US CPI @ 10) so 2 ticks below | 3</t>
  </si>
  <si>
    <t>US CPI levels back</t>
  </si>
  <si>
    <t>2 WEEKS</t>
  </si>
  <si>
    <t>3 week +</t>
  </si>
  <si>
    <t xml:space="preserve">6 dec 22 2 sessions | near 2nd session end </t>
  </si>
  <si>
    <t>ASE OF CALENDAR FOR FLY (121); SMOOTH EXECUTION | js23 S 13 triggered</t>
  </si>
  <si>
    <t>LOOK AT INDIVIDUAL SPDS</t>
  </si>
  <si>
    <t>HOLD LONGER | timeout | HODL TRADE</t>
  </si>
  <si>
    <t>Never hold DEFLY longer than a week; exit at cost if necessary</t>
  </si>
  <si>
    <t>cant use SL, have to exit @ hit or manually</t>
  </si>
  <si>
    <t xml:space="preserve">Avoid Defly/Fly trades; outrights are better as they have SL with payup; hel 8 ticks anti </t>
  </si>
  <si>
    <t>better to exit in a range mkt at the extreme prices</t>
  </si>
  <si>
    <t>use ase to check the best price possible at the current mkt</t>
  </si>
  <si>
    <t>CLUTCH!</t>
  </si>
  <si>
    <t>US PPI MOM (OCT) | (p0.2% f0.3% a0%)</t>
  </si>
  <si>
    <t>outrights went up ~7bp (medium volatility) front spds went down by 2 bps</t>
  </si>
  <si>
    <t>WPI QOQ (P0.8% F0.9% A1%)</t>
  </si>
  <si>
    <t>outrights went up  | front spd went down by 3, 2,4,5,7 spds up by 1bp | low to medium volatility | leading indicator of CPI</t>
  </si>
  <si>
    <t>738am</t>
  </si>
  <si>
    <t>S24 SPD CALENDAR</t>
  </si>
  <si>
    <t>RESISTANCE ZONE (6---6)</t>
  </si>
  <si>
    <t>Scalping (TRY IN FAR CURVE)</t>
  </si>
  <si>
    <t>17 nov 22 710pm</t>
  </si>
  <si>
    <t>340pm</t>
  </si>
  <si>
    <t>3.58pm</t>
  </si>
  <si>
    <t>DOUBLE FILLED | EXITING @ COST</t>
  </si>
  <si>
    <t>USE 1 LEG AS ACTIVE QUOTING (IF USING CALENDAR ASE; PREFERABLY 2ND LEG OR MANUALLY CANCEL THE LEG WHERE CHANCES ARE SLIM)</t>
  </si>
  <si>
    <t xml:space="preserve">TIMEOUT </t>
  </si>
  <si>
    <t>USE 1 LEG AS ACTIVE QUOTING (IF USING CALENDAR ASE; PREFERABLY 2ND LEG)</t>
  </si>
  <si>
    <t>US Retail Sales MOM OCT (P0% F1% A1.3%)</t>
  </si>
  <si>
    <t>no major move is spds flies</t>
  </si>
  <si>
    <t>Unemp rate (p3.5% f3.6% a3.4%)</t>
  </si>
  <si>
    <t>237pm</t>
  </si>
  <si>
    <t>RESISTANCE ZONE (6---7)</t>
  </si>
  <si>
    <t>710pm</t>
  </si>
  <si>
    <t>943pm</t>
  </si>
  <si>
    <t>Support @ -9,-10</t>
  </si>
  <si>
    <t>max till tue</t>
  </si>
  <si>
    <t>LOWE SPEAKS</t>
  </si>
  <si>
    <t>4 days</t>
  </si>
  <si>
    <t>22 nov 730am</t>
  </si>
  <si>
    <t>520am</t>
  </si>
  <si>
    <t>J23 SPD</t>
  </si>
  <si>
    <t>de fly manual attempt @ -1</t>
  </si>
  <si>
    <t xml:space="preserve">make defly @ 0,1 B / J23  fly @ 13 S </t>
  </si>
  <si>
    <t>18 nov 2nd session end</t>
  </si>
  <si>
    <t>failed execution; early exit</t>
  </si>
  <si>
    <t>get the best price of an individual contract first;  if early exit is required it will be easy</t>
  </si>
  <si>
    <t>TIMEOUT | ?</t>
  </si>
  <si>
    <t>2, 3 LOTS; Defensive stats | .</t>
  </si>
  <si>
    <t>Comeback when the states change | .</t>
  </si>
  <si>
    <t>RBNZ HIKES BY 75BP  (P3.5% F4.25% A4.25% )</t>
  </si>
  <si>
    <t>DM22 44 OPEN TO 41| REST ALL ALMOST SAME | BY MKT CLOSE DM 22 WAS AT 49 | (Maybe preparing for US initial jobless or just as usual cutting SLs</t>
  </si>
  <si>
    <t>735am</t>
  </si>
  <si>
    <t>RESISTANCE ZONE (6---3)</t>
  </si>
  <si>
    <t>2d</t>
  </si>
  <si>
    <t>time</t>
  </si>
  <si>
    <t>858am</t>
  </si>
  <si>
    <t>Value area @ -5</t>
  </si>
  <si>
    <t>area of interest</t>
  </si>
  <si>
    <t>2 days</t>
  </si>
  <si>
    <t>25 nov 22 110pm</t>
  </si>
  <si>
    <t>Fri exit plan</t>
  </si>
  <si>
    <t>1010AM</t>
  </si>
  <si>
    <t>FRI LOWE speaks + near meeting</t>
  </si>
  <si>
    <t>5 d</t>
  </si>
  <si>
    <t>30 nov 905am</t>
  </si>
  <si>
    <t>1142 am</t>
  </si>
  <si>
    <t>22 hrs</t>
  </si>
  <si>
    <t>24 nov 938am</t>
  </si>
  <si>
    <t>fun</t>
  </si>
  <si>
    <t>1232pm</t>
  </si>
  <si>
    <t>445AM</t>
  </si>
  <si>
    <t>SnR (55-57)</t>
  </si>
  <si>
    <t>pS-&gt;R (55-57)</t>
  </si>
  <si>
    <t>3 ticks worse case</t>
  </si>
  <si>
    <t>Vwap (3m) + 3 ticks</t>
  </si>
  <si>
    <t>740AM</t>
  </si>
  <si>
    <t>ride till trailing SL was 52 (w/o payup) and tgt was 51 | converted to GTC OCO 2 | never cancel the order aftr OCO2 is active</t>
  </si>
  <si>
    <t>Luck 100 | TIMEOUT</t>
  </si>
  <si>
    <t xml:space="preserve">Based on obs, it was driven only by FRA OIS </t>
  </si>
  <si>
    <t>Remember to check payup condition b4 SL order</t>
  </si>
  <si>
    <t>Near expiry, rollover and fra are more effective than events; respect that</t>
  </si>
  <si>
    <t>OCO 2 works (use the trailing SL w/o Payup)</t>
  </si>
  <si>
    <t>604AM, 940am</t>
  </si>
  <si>
    <t>-0.08x2</t>
  </si>
  <si>
    <t>cost / 1 tick loss</t>
  </si>
  <si>
    <t xml:space="preserve">1 lot was planned; dont get influenced </t>
  </si>
  <si>
    <t>Retail Sales (P0.6% F0.5% A-0.2%)</t>
  </si>
  <si>
    <t>later on outrights went up by 5-7bp</t>
  </si>
  <si>
    <t>936AM</t>
  </si>
  <si>
    <t>Support -9,-10</t>
  </si>
  <si>
    <t>1 d</t>
  </si>
  <si>
    <t>29 nov ~10am</t>
  </si>
  <si>
    <t>Obscure view @ back</t>
  </si>
  <si>
    <t>1140am</t>
  </si>
  <si>
    <t>30 nov 22 330pm</t>
  </si>
  <si>
    <t>450PM</t>
  </si>
  <si>
    <t>M23 DE FLY</t>
  </si>
  <si>
    <t>RESISTANCE ZONE (6&gt;--8)</t>
  </si>
  <si>
    <t>BP distribution</t>
  </si>
  <si>
    <t>CURVE ANOMALY + Rollover</t>
  </si>
  <si>
    <t>&gt;=4</t>
  </si>
  <si>
    <t>aftr rba meet - dec expiry</t>
  </si>
  <si>
    <t>ROLL SEASONALITY</t>
  </si>
  <si>
    <t>3w+</t>
  </si>
  <si>
    <t>6 dec 22 (mostly near 2nd session end), 7 dec 22  (mostly near 2nd session end), thu 8 dec 22 1019am</t>
  </si>
  <si>
    <t>went to -2 @ hit as well (manually @-3,-4); nxt time wait for a better price in anomaly  when in non event; went till -6 @ hit</t>
  </si>
  <si>
    <t>taking 2 lots at this price was also a mistake</t>
  </si>
  <si>
    <t>exit 1 at 5</t>
  </si>
  <si>
    <t>emotions can affect these strats where duration is long; so avoid larger lots or reserve some lots for a better price, especially near the event of the duration/(s) | 1 lot should be available for a better opportunity always; opportunity cost</t>
  </si>
  <si>
    <t>followed the plan; (duration is still sensible if its a fly or better de-fly)</t>
  </si>
  <si>
    <t>if anomaly is found; have at least 1 lot for a better price near the event duration ending; and can try to exit individually at diffent time, depends on the contract and mkt state (trend to range), curve, etc.</t>
  </si>
  <si>
    <t>went till 12! (wait longer in flies/deflies nxt time)</t>
  </si>
  <si>
    <t>HODL TRADE</t>
  </si>
  <si>
    <t>NO NEW POSITIONS | timeout</t>
  </si>
  <si>
    <t>THU Powell speaks 1 dec 22</t>
  </si>
  <si>
    <t xml:space="preserve">obscure read </t>
  </si>
  <si>
    <t>622 pm</t>
  </si>
  <si>
    <t>CPI (p7.3% f7.4% a6.9%)</t>
  </si>
  <si>
    <t>DEC22 WENT TILL prev Sz 35 from 47 then 44 within minutes, back spds went down then came back to initial levels</t>
  </si>
  <si>
    <t>Opportunity lies @ extreme SnR zones; at any event stay alert/active to put orders at extreme prices</t>
  </si>
  <si>
    <t>Retracements can be your strength; use excel; reach early and execute</t>
  </si>
  <si>
    <t xml:space="preserve"> S24 SPD CALENDAR</t>
  </si>
  <si>
    <t>S @ -9</t>
  </si>
  <si>
    <t>S @ -10</t>
  </si>
  <si>
    <t>1d,2d</t>
  </si>
  <si>
    <t>1 dec 22142pm, 2 dec 22 230pm</t>
  </si>
  <si>
    <t>early exit b4 fri | both aotc</t>
  </si>
  <si>
    <t>1hr</t>
  </si>
  <si>
    <t>730am</t>
  </si>
  <si>
    <t>lost confidence, so 1 lot; avoid such exposure for long time, next time</t>
  </si>
  <si>
    <t>AVOID PRIMARY TRADES (for now) &amp; more risky (&gt;=60$ loss/lot) trades | (dm22 spd, outrigths)</t>
  </si>
  <si>
    <t>Go for lagging, secondary, tertiary trades (front flies, bellies/tails spds &amp; flies)</t>
  </si>
  <si>
    <t>WORK ON EVENT TRADING (CATEGORIZE THEM)</t>
  </si>
  <si>
    <t>Primary trades in SIM, PAT trading in sim</t>
  </si>
  <si>
    <t>Near expiry, rollover and fra-ois are more effective than events; respect that</t>
  </si>
  <si>
    <t xml:space="preserve">Always have 1 lot for an extreme price </t>
  </si>
  <si>
    <t>Avoid Defly/Fly trades at first; outrights are better as they have SL with payup; w8 for extreme price against your direction; spds are best | if taking make sure with ltd lots atnd only 1 lot at 1 price; Time duration should be mentioned</t>
  </si>
  <si>
    <t>December 22 live</t>
  </si>
  <si>
    <t>DEC.22</t>
  </si>
  <si>
    <t>630pm</t>
  </si>
  <si>
    <t>RESISTANCE ZONE (6---)</t>
  </si>
  <si>
    <t>21 hrs</t>
  </si>
  <si>
    <t>5 dec 332am</t>
  </si>
  <si>
    <t>MIN. 2 MAX 3,4 LOTS (EXCEPT OUTRIGHTS)</t>
  </si>
  <si>
    <t>FLIES DEFLIES 1 LOT AT 1 PRICE (ENTER ONLY IF UPSIDE IS &gt;=3)</t>
  </si>
  <si>
    <t>RBA HIKES BY 25 BP (3.1%) | STAEMENT - not near to pause yet</t>
  </si>
  <si>
    <t>EVENT</t>
  </si>
  <si>
    <t xml:space="preserve">IR M24 </t>
  </si>
  <si>
    <t>O</t>
  </si>
  <si>
    <t>Ret (trying)</t>
  </si>
  <si>
    <t>few mins.</t>
  </si>
  <si>
    <t>Trying ret. | need to work more (mostly the timing + SL)</t>
  </si>
  <si>
    <t>GDP QOQ (Q3) (P0.9%, F0.7%, A0.6%) | GDP YOY (Q3) (P3.6%, 6.2%, 5.9%)</t>
  </si>
  <si>
    <t>less movement anticipated ahead; reduce trade frequencies for at least 1 week (&amp; observe) trade at extremes, with larger lots (min.2, max 4)</t>
  </si>
  <si>
    <t xml:space="preserve">trade big with less frequency at extremes </t>
  </si>
  <si>
    <t>DEFENSIVE STRATS WITH 2,3,4 LOTS</t>
  </si>
  <si>
    <t>THU, MON</t>
  </si>
  <si>
    <t>S @ -9,-10</t>
  </si>
  <si>
    <t>bias of recession odds less; shouldnt go down</t>
  </si>
  <si>
    <t>downside is less</t>
  </si>
  <si>
    <t>till tue/fri</t>
  </si>
  <si>
    <t xml:space="preserve">fomc </t>
  </si>
  <si>
    <t>2 HRS</t>
  </si>
  <si>
    <t>519AM</t>
  </si>
  <si>
    <t>ALL aotc entry</t>
  </si>
  <si>
    <t xml:space="preserve">chances of aotc at the back </t>
  </si>
  <si>
    <t>258 AM</t>
  </si>
  <si>
    <t>range high + should not be positive bias</t>
  </si>
  <si>
    <t>7 hrs</t>
  </si>
  <si>
    <t>Someone hit 1752 buy orders at 1 on mkt open (by mistake probably)</t>
  </si>
  <si>
    <t xml:space="preserve">Other's mistakes are the reason for inefficiency in markets; dont avoid putting orders in those regions; </t>
  </si>
  <si>
    <t>might even get AOTC</t>
  </si>
  <si>
    <t>OTHER'S MISTAKE - strat</t>
  </si>
  <si>
    <t>US PPI MoM (Nov) (p0.3% f0.2% a0.3%)</t>
  </si>
  <si>
    <t>Outrights went down 4bps then ret 1, no major move in spds</t>
  </si>
  <si>
    <t>2.58AM</t>
  </si>
  <si>
    <t>RESISTANCE ZONE (6---2)</t>
  </si>
  <si>
    <t>Scalping + bias of recession odds less; shouldnt go down</t>
  </si>
  <si>
    <t>-0.08 OR -0.07</t>
  </si>
  <si>
    <t>TRY 1 LOT AT A TIME/ BE PROACTIVE DURING MOVES</t>
  </si>
  <si>
    <t>AFTR FOMC</t>
  </si>
  <si>
    <t>8 d</t>
  </si>
  <si>
    <t>20 DEC 945AM</t>
  </si>
  <si>
    <t>EXIT BY TUE END</t>
  </si>
  <si>
    <t>*BOJ RAISES UPPER BAND LIMIT ON YIELD TARGET TO ABOUT 0.5%</t>
  </si>
  <si>
    <t>742PM</t>
  </si>
  <si>
    <t>US core CPI (MOM) (Nov) (p0.3% f0.3% a0.3%)</t>
  </si>
  <si>
    <t>Outrigths went up 4-7bps by eos)</t>
  </si>
  <si>
    <t>US CPI (YOY) (Nov) (p7.7% f 7.3% a7.1%) | US CPI MOM (Nov) (p0.4% f0.3% a0.1%)</t>
  </si>
  <si>
    <t>front spds were up b4 event then went down aftr event (4bps range)</t>
  </si>
  <si>
    <t>slowdown in the movement in mkts</t>
  </si>
  <si>
    <t>update - backs (m24s j24s s24s) shots - min. 2 max. 5</t>
  </si>
  <si>
    <t>750am</t>
  </si>
  <si>
    <t>-0.07 or -0.06 -&gt; -8</t>
  </si>
  <si>
    <t>TRY 1 LOT AT A TIME</t>
  </si>
  <si>
    <t>Lesser recession odds pricing bet (near -6)</t>
  </si>
  <si>
    <t>Recession always follows hike cycles; historically</t>
  </si>
  <si>
    <t>1030am</t>
  </si>
  <si>
    <t>bias of recession odds less; shouldnt go down MUCH (wrong)</t>
  </si>
  <si>
    <t>-0.07 OR -0.06</t>
  </si>
  <si>
    <t>19 dec 22 2nd session</t>
  </si>
  <si>
    <t>1143am</t>
  </si>
  <si>
    <t>bias of recession odds less; shouldnt go down MUCH</t>
  </si>
  <si>
    <t>Sz</t>
  </si>
  <si>
    <t>-0.07 OR -0.06 -&gt; -8</t>
  </si>
  <si>
    <t>21 DEC 22 3AM, 526am</t>
  </si>
  <si>
    <t>Risk taking (large lots)</t>
  </si>
  <si>
    <t>EXIT AFTR GDP (would have been too L8)</t>
  </si>
  <si>
    <t>Time's up | Would have held longer if time was available | 21 dec 22 THE END</t>
  </si>
  <si>
    <t>1230am</t>
  </si>
  <si>
    <t>FED hikes by 50bp (4.5%)</t>
  </si>
  <si>
    <t>outrights starts to go down; no major moves (s23 s went down till -4 and m24 s went down till -10 j23 s went up till 11) | "no one can predict recession accurately"</t>
  </si>
  <si>
    <t>S @ -9,-10!</t>
  </si>
  <si>
    <t xml:space="preserve">bias of recession odds less; shouldnt go down MUCH + betting for equilibrium at 8 | but recession odds have increased a little + betting for equilibrium at 8 </t>
  </si>
  <si>
    <t>-0.07 OR -0.08</t>
  </si>
  <si>
    <t>5d</t>
  </si>
  <si>
    <t>Employment change (p32 f19 a64k)</t>
  </si>
  <si>
    <t>DM23 SPD CALENDAR</t>
  </si>
  <si>
    <t>within a week</t>
  </si>
  <si>
    <t>Unemployment rate (p3.4% f3.4% a3.4%)</t>
  </si>
  <si>
    <t>754am</t>
  </si>
  <si>
    <t>J23 SPD CALENDAR</t>
  </si>
  <si>
    <t>bias of less hikes in J23 QTR</t>
  </si>
  <si>
    <t>&lt;=8 | try for 7</t>
  </si>
  <si>
    <t>1.34PM</t>
  </si>
  <si>
    <t>did not want to hold till FRI</t>
  </si>
  <si>
    <t>less confidence, not proactive + invalid behaviour near end of term</t>
  </si>
  <si>
    <t>nxt day 1st session went till 9</t>
  </si>
  <si>
    <t>830am</t>
  </si>
  <si>
    <t>IR went down by 7-8 bp | whole spd curve went up  (all by 3-4bp) | outrigts all move and went even more up in the nxt 2 sessions! (till 21 dec 22)</t>
  </si>
  <si>
    <t>Rz @ -2,-3</t>
  </si>
  <si>
    <t>Should not be positive (less downside) + hedge for M24 spd as D23 fly was trading at all time highs of 7,8</t>
  </si>
  <si>
    <t>-0.05 or Scratch</t>
  </si>
  <si>
    <t>Eq bm</t>
  </si>
  <si>
    <t>1D</t>
  </si>
  <si>
    <t>21 DEC 22 1224PM</t>
  </si>
  <si>
    <t>TIME UP!</t>
  </si>
  <si>
    <t>only exit orders 19th onwards | NO ENTRY ORDERS</t>
  </si>
  <si>
    <t>The End.</t>
  </si>
  <si>
    <t>Mean reversion works a lot, so if a temporary move comes, odds are in favor for reversion/retracements</t>
  </si>
  <si>
    <t>Retracements provide better odds and better RRR</t>
  </si>
  <si>
    <t>Statistical advantage trades have higher odds, if combined with S/R  zones</t>
  </si>
  <si>
    <t>Always better to leave few lots for an even better entry</t>
  </si>
  <si>
    <t>LOTS - (20 LOTS LIMIT - FRONTS 1,2 | BELLIES 2,3 | BACKS 3,4,5) | DECENT COMBOS @ DIFFERENT PRICES</t>
  </si>
  <si>
    <t>need to be more confident &amp; careful in front spds/ mostly 1st one</t>
  </si>
  <si>
    <t>21 Dec22 break</t>
  </si>
  <si>
    <t>GG</t>
  </si>
  <si>
    <t>BREAK</t>
  </si>
  <si>
    <t>January 23 live</t>
  </si>
  <si>
    <t>JAN</t>
  </si>
  <si>
    <t>Gradualism - back to basics; start from defensive trades</t>
  </si>
  <si>
    <t>Q1. Statistical Analysis</t>
  </si>
  <si>
    <t>Q2 . ML</t>
  </si>
  <si>
    <t>Q3 . Models/Framework to outperform | C.A.S.</t>
  </si>
  <si>
    <t>Q4 . Automation</t>
  </si>
  <si>
    <t>Avoid fronts only with 1 lot with alternate positions</t>
  </si>
  <si>
    <t>Start from mid, then back spds w 2 lots (Jan23)</t>
  </si>
  <si>
    <t>No outrights full month | only in sim</t>
  </si>
  <si>
    <t>1247pm</t>
  </si>
  <si>
    <t>Ranged state (45 - 44)</t>
  </si>
  <si>
    <t>0.40 or below (will get more opportunity)</t>
  </si>
  <si>
    <t>10mins</t>
  </si>
  <si>
    <t>12 57pm</t>
  </si>
  <si>
    <t>early exit just to get started</t>
  </si>
  <si>
    <t>less intuition/IDEA of mkts</t>
  </si>
  <si>
    <t>623pm</t>
  </si>
  <si>
    <t>S@ -9,-10</t>
  </si>
  <si>
    <t>Aftr MON/FRI</t>
  </si>
  <si>
    <t>1d</t>
  </si>
  <si>
    <t>5 jan 1020pm</t>
  </si>
  <si>
    <t>821pm</t>
  </si>
  <si>
    <t>Liq gap (36-41)</t>
  </si>
  <si>
    <t>pricing wise 31 (better risk reward)</t>
  </si>
  <si>
    <t>bias against more hikes in Q2 (should be below 37)</t>
  </si>
  <si>
    <t>less downside (45,44)</t>
  </si>
  <si>
    <t>&lt;=36</t>
  </si>
  <si>
    <t>Liq gap + pricing</t>
  </si>
  <si>
    <t>buy more @43, 45</t>
  </si>
  <si>
    <t>Aftr MON</t>
  </si>
  <si>
    <t xml:space="preserve">2d </t>
  </si>
  <si>
    <t>6 jan 910pm</t>
  </si>
  <si>
    <t>Event exit</t>
  </si>
  <si>
    <t>827pm</t>
  </si>
  <si>
    <t>Liq gap (15-19)</t>
  </si>
  <si>
    <t>pricing wise 13-10</t>
  </si>
  <si>
    <t>less downside (18,19)</t>
  </si>
  <si>
    <t>&lt;=10</t>
  </si>
  <si>
    <t>Buy more @ 18, 20 (sl@22)</t>
  </si>
  <si>
    <t>by TUE (WED - Retail sales) / scratch or 1 tick</t>
  </si>
  <si>
    <t>pricing wise 13-11</t>
  </si>
  <si>
    <t>Buy more @ 20 (sl@23)</t>
  </si>
  <si>
    <t>4d</t>
  </si>
  <si>
    <t>11 jan cpi + retail sales</t>
  </si>
  <si>
    <t>HODL</t>
  </si>
  <si>
    <t>1035am</t>
  </si>
  <si>
    <t>IR M24</t>
  </si>
  <si>
    <t>farthest from mode/mean than the rest</t>
  </si>
  <si>
    <t>bias against 415bp hike(~400 or below)</t>
  </si>
  <si>
    <t>&gt;=95.9 or 95.92</t>
  </si>
  <si>
    <t>ret. + too high bp in that IR</t>
  </si>
  <si>
    <t>sell J24 @ 95.96 (MJ23 SPD LONG @ -11)</t>
  </si>
  <si>
    <t>by nxt session end</t>
  </si>
  <si>
    <t>9h</t>
  </si>
  <si>
    <t>early exit (need more loss limit) + more research | nxt month nxt ir</t>
  </si>
  <si>
    <t>sl (shifted) | early exit</t>
  </si>
  <si>
    <t>look for shorter duration trades</t>
  </si>
  <si>
    <t>respected inverted hammer (prev. candle)</t>
  </si>
  <si>
    <t>do not hold for &gt;=9h; work only on strategies that will take mins. (max 1 hr) for IR</t>
  </si>
  <si>
    <t>Early entry; need more risk tolerance</t>
  </si>
  <si>
    <t>104pm</t>
  </si>
  <si>
    <t>17h</t>
  </si>
  <si>
    <t>6 jan 23 544am</t>
  </si>
  <si>
    <t>508am</t>
  </si>
  <si>
    <t>Ranged (-8 to -10)</t>
  </si>
  <si>
    <t>10-Jan-2023 357am</t>
  </si>
  <si>
    <t>1004am</t>
  </si>
  <si>
    <t>pricing wise 13-12</t>
  </si>
  <si>
    <t>CURVE ANOMALY IN FLY AND DEFLY of J23 (main cause could be J23 spd more bcoz s23 doesnt move much away from 0 and should not be +ve)</t>
  </si>
  <si>
    <t>13 jan 625am</t>
  </si>
  <si>
    <t>HODL / 8</t>
  </si>
  <si>
    <t>1028am</t>
  </si>
  <si>
    <t>Ranged (-6 to -8)</t>
  </si>
  <si>
    <t>1 scalping + 1bias towards negative side</t>
  </si>
  <si>
    <t>~8h, 2D</t>
  </si>
  <si>
    <t>9 JAN 23 3:00:00 (-7), 10/1/23 525AM</t>
  </si>
  <si>
    <t>637PM</t>
  </si>
  <si>
    <t>HIGHS</t>
  </si>
  <si>
    <t>~32</t>
  </si>
  <si>
    <t>3d</t>
  </si>
  <si>
    <t>11 jan 23 1139am</t>
  </si>
  <si>
    <t>aotc | LUCK100</t>
  </si>
  <si>
    <t>biggest ride so far (10 ticks)</t>
  </si>
  <si>
    <t xml:space="preserve">NFP (Dec) (p256k f200k a223k) </t>
  </si>
  <si>
    <t>Outrights went up by 7-8bp in 30mins</t>
  </si>
  <si>
    <t>US Unemployment rate (Dec) (p3.6% f3.7% A3.5%)</t>
  </si>
  <si>
    <t>Front spds went 1 tick up then down, rest same</t>
  </si>
  <si>
    <t>709PM</t>
  </si>
  <si>
    <t>TILL NXT TUE HODL</t>
  </si>
  <si>
    <t>13 jan 202pm</t>
  </si>
  <si>
    <t>biggest ride so far | GG!</t>
  </si>
  <si>
    <t>Can check DeFly for anomalies and take positions in the direction of curve or bias</t>
  </si>
  <si>
    <t>854pm</t>
  </si>
  <si>
    <t>Scratch (as prev. Sz should retrace)</t>
  </si>
  <si>
    <t>12d</t>
  </si>
  <si>
    <t>18 jan 255pm, 20 JAN 3545AM</t>
  </si>
  <si>
    <t>SOLD 1 @ -13</t>
  </si>
  <si>
    <t>910PM</t>
  </si>
  <si>
    <t>Ranged (-6,-5 to -8)</t>
  </si>
  <si>
    <t>13 Jan 23 658am</t>
  </si>
  <si>
    <t>918pm</t>
  </si>
  <si>
    <t>D24 SPD CALENDAR</t>
  </si>
  <si>
    <t>S @ -3</t>
  </si>
  <si>
    <t>Sz@5</t>
  </si>
  <si>
    <t>20 jan 23 747am FRI</t>
  </si>
  <si>
    <t>950pm</t>
  </si>
  <si>
    <t>Stat arb.</t>
  </si>
  <si>
    <t>3 weeks</t>
  </si>
  <si>
    <t>25 jan 715am</t>
  </si>
  <si>
    <t>2w+</t>
  </si>
  <si>
    <t>sold 1 @ -4, 1 @ -5</t>
  </si>
  <si>
    <t>CPI + RETAIL SALES</t>
  </si>
  <si>
    <t>2w</t>
  </si>
  <si>
    <t>20 jan 147pm</t>
  </si>
  <si>
    <t>EXIT @ -13</t>
  </si>
  <si>
    <t>2w+, exit and start fresh</t>
  </si>
  <si>
    <t>1138am</t>
  </si>
  <si>
    <t>1w</t>
  </si>
  <si>
    <t>17 Jan 0414am</t>
  </si>
  <si>
    <t>sold 1 @ -7</t>
  </si>
  <si>
    <t>1156AM</t>
  </si>
  <si>
    <t>B4 FRI</t>
  </si>
  <si>
    <t>ACE!!</t>
  </si>
  <si>
    <t>Exit based on event data; good that 2 lots are there</t>
  </si>
  <si>
    <t>Use min. 2 lots at extremes or Extreme value zones (SzRz)</t>
  </si>
  <si>
    <t>9-Jan-2023, 10 jan 23 628am</t>
  </si>
  <si>
    <t>1045pm</t>
  </si>
  <si>
    <t>EXIT @ -12 | TOO LATE AND WAITED TOO LONG | STILL HAVE 4 @ -14 FOR -12</t>
  </si>
  <si>
    <t>CPI  YOY Q4 (P6.9% F7% A7.3%)</t>
  </si>
  <si>
    <t>No major moves</t>
  </si>
  <si>
    <t>Retail sales MOM Nov (p-0.2% f0.6% a1.45)</t>
  </si>
  <si>
    <t>650AM</t>
  </si>
  <si>
    <t>12 jan 725am</t>
  </si>
  <si>
    <t>906am</t>
  </si>
  <si>
    <t>Ranged (-10 to -8)</t>
  </si>
  <si>
    <t>1W+</t>
  </si>
  <si>
    <t>19 JAN 430AM</t>
  </si>
  <si>
    <t>EXIT @ -10</t>
  </si>
  <si>
    <t xml:space="preserve">12-Jan-2023, 13 jan 23 </t>
  </si>
  <si>
    <t>832 am</t>
  </si>
  <si>
    <t>1W</t>
  </si>
  <si>
    <t>242pm</t>
  </si>
  <si>
    <t>Stat arb (2 to -2)</t>
  </si>
  <si>
    <t>2.5d</t>
  </si>
  <si>
    <r>
      <rPr>
        <b/>
        <sz val="10"/>
        <color rgb="FF333333"/>
        <rFont val="Calibri"/>
        <family val="2"/>
      </rPr>
      <t>US Core CPI (MoM) (Dec</t>
    </r>
    <r>
      <rPr>
        <b/>
        <sz val="10"/>
        <color rgb="FF434343"/>
        <rFont val="Calibri"/>
        <family val="2"/>
      </rPr>
      <t>) (P0.2% F0.3% A0.3%)</t>
    </r>
  </si>
  <si>
    <t>Outrights were going up since last session; aftr release, no major moves (fluctuations around the mean of day's range) | 723 pm IR  going up</t>
  </si>
  <si>
    <r>
      <rPr>
        <b/>
        <sz val="10"/>
        <color rgb="FF333333"/>
        <rFont val="Calibri"/>
        <family val="2"/>
      </rPr>
      <t>CPI (MoM) (Dec</t>
    </r>
    <r>
      <rPr>
        <b/>
        <sz val="10"/>
        <color rgb="FF434343"/>
        <rFont val="Calibri"/>
        <family val="2"/>
      </rPr>
      <t>) (p0.1% f0% a-0.1%)</t>
    </r>
  </si>
  <si>
    <t>Dovish data | IR should go up | but they were already up since session start and prev session</t>
  </si>
  <si>
    <r>
      <rPr>
        <b/>
        <sz val="10"/>
        <color rgb="FF333333"/>
        <rFont val="Calibri"/>
        <family val="2"/>
      </rPr>
      <t>CPI (YoY) (Dec</t>
    </r>
    <r>
      <rPr>
        <b/>
        <sz val="10"/>
        <color rgb="FF434343"/>
        <rFont val="Calibri"/>
        <family val="2"/>
      </rPr>
      <t>) (p7.1% f6.5% a6.5%)</t>
    </r>
  </si>
  <si>
    <r>
      <rPr>
        <b/>
        <sz val="10"/>
        <color rgb="FF333333"/>
        <rFont val="Calibri"/>
        <family val="2"/>
      </rPr>
      <t>Initial Jobless Claim</t>
    </r>
    <r>
      <rPr>
        <b/>
        <sz val="10"/>
        <color rgb="FF434343"/>
        <rFont val="Calibri"/>
        <family val="2"/>
      </rPr>
      <t>s (p206k f215k a205k)</t>
    </r>
  </si>
  <si>
    <t>658am</t>
  </si>
  <si>
    <t>Ranged (-9 to -6)</t>
  </si>
  <si>
    <t>2.5h</t>
  </si>
  <si>
    <t>13 jan 928am</t>
  </si>
  <si>
    <t>LMAO | dont boast free money</t>
  </si>
  <si>
    <t>luck100</t>
  </si>
  <si>
    <t>925am</t>
  </si>
  <si>
    <t>5h</t>
  </si>
  <si>
    <t>308pm</t>
  </si>
  <si>
    <t>1026am</t>
  </si>
  <si>
    <t>IR S24</t>
  </si>
  <si>
    <t xml:space="preserve">FFRz + downtrend (cycle) </t>
  </si>
  <si>
    <t>~96.28</t>
  </si>
  <si>
    <t>&lt;5h</t>
  </si>
  <si>
    <t>~18h</t>
  </si>
  <si>
    <t>457am</t>
  </si>
  <si>
    <t>Liq gap (maybe) (96.35-96.28)</t>
  </si>
  <si>
    <t>did not follow time duration plan</t>
  </si>
  <si>
    <t>SL skipped (w payup as well!) | Liq gap of 3 ticks!</t>
  </si>
  <si>
    <t>Liq gap to ret.</t>
  </si>
  <si>
    <r>
      <rPr>
        <b/>
        <sz val="10"/>
        <color rgb="FF333333"/>
        <rFont val="Calibri"/>
        <family val="2"/>
      </rPr>
      <t>Westpac Consumer Sentiment (Jan</t>
    </r>
    <r>
      <rPr>
        <b/>
        <sz val="10"/>
        <color rgb="FF434343"/>
        <rFont val="Calibri"/>
        <family val="2"/>
      </rPr>
      <t>) (p3% a5%)</t>
    </r>
  </si>
  <si>
    <t>Outrights went up (liq gaps @ back, of 2-3 ticks)</t>
  </si>
  <si>
    <t>Trade with low lots | uncertain mkts</t>
  </si>
  <si>
    <t>512am</t>
  </si>
  <si>
    <t>Stat arb (2 to -2) + new ranged (-4 to -1)</t>
  </si>
  <si>
    <t>11h</t>
  </si>
  <si>
    <t>347pm</t>
  </si>
  <si>
    <t>512am, 623am</t>
  </si>
  <si>
    <t>Stat arb. (Never below -10)</t>
  </si>
  <si>
    <t>4h</t>
  </si>
  <si>
    <t>17 jan 918am</t>
  </si>
  <si>
    <t>915am</t>
  </si>
  <si>
    <t>1h</t>
  </si>
  <si>
    <t>17 jan 1020am</t>
  </si>
  <si>
    <t>should follow if it has retraced back</t>
  </si>
  <si>
    <t>betting on historical patterns, similar happened last time, ONE LAST TRY</t>
  </si>
  <si>
    <t>practise trading short term trades first</t>
  </si>
  <si>
    <t>short term trades might even offer less risk (if not better risk reward)</t>
  </si>
  <si>
    <t>BOJ : no change in yield  cap</t>
  </si>
  <si>
    <t>Outrights went up by 6-8bps</t>
  </si>
  <si>
    <t>850am</t>
  </si>
  <si>
    <t xml:space="preserve">Momentum </t>
  </si>
  <si>
    <t>&lt;1h</t>
  </si>
  <si>
    <t>SL w payup 1</t>
  </si>
  <si>
    <t>Wrong bias</t>
  </si>
  <si>
    <t>stat arb.</t>
  </si>
  <si>
    <t>22H</t>
  </si>
  <si>
    <t>920am</t>
  </si>
  <si>
    <t>IR D23</t>
  </si>
  <si>
    <t>Ret. trying</t>
  </si>
  <si>
    <t>1056am</t>
  </si>
  <si>
    <t>early exit (seeing buying pressure) + mkt close</t>
  </si>
  <si>
    <t>TIMEOUT</t>
  </si>
  <si>
    <t xml:space="preserve">Work on Scaling up </t>
  </si>
  <si>
    <t>LOTS - (20 LOTS LIMIT - FRONTS 2,2 | BELLIES 3,5 | BACKS 3,4,5) | DECENT COMBOS @ DIFFERENT PRICES</t>
  </si>
  <si>
    <t>Back to Defensive trades + Scalping @ back (w bigger lots)</t>
  </si>
  <si>
    <r>
      <rPr>
        <b/>
        <sz val="10"/>
        <color rgb="FF333333"/>
        <rFont val="Calibri"/>
        <family val="2"/>
      </rPr>
      <t>US Core Retail Sales (MoM) (Dec</t>
    </r>
    <r>
      <rPr>
        <b/>
        <sz val="10"/>
        <color rgb="FF434343"/>
        <rFont val="Calibri"/>
        <family val="2"/>
      </rPr>
      <t>) (P-0.6% F-0.4% A-1.1%)</t>
    </r>
  </si>
  <si>
    <t>OUTRIGTHS  went little up (3-4bp)</t>
  </si>
  <si>
    <r>
      <rPr>
        <b/>
        <sz val="10"/>
        <color rgb="FF333333"/>
        <rFont val="Calibri"/>
        <family val="2"/>
      </rPr>
      <t>US Retail Sales (MoM) (Dec</t>
    </r>
    <r>
      <rPr>
        <b/>
        <sz val="10"/>
        <color rgb="FF434343"/>
        <rFont val="Calibri"/>
        <family val="2"/>
      </rPr>
      <t>) (-1% -0.8% -1.1%)</t>
    </r>
  </si>
  <si>
    <t>outrights should have gone up more</t>
  </si>
  <si>
    <r>
      <rPr>
        <b/>
        <sz val="10"/>
        <color rgb="FF333333"/>
        <rFont val="Calibri"/>
        <family val="2"/>
      </rPr>
      <t>PPI (MoM) (Dec</t>
    </r>
    <r>
      <rPr>
        <b/>
        <sz val="10"/>
        <color rgb="FF434343"/>
        <rFont val="Calibri"/>
        <family val="2"/>
      </rPr>
      <t>) (p0.2% f-0.1% a-0.5%)</t>
    </r>
  </si>
  <si>
    <t xml:space="preserve">Outrigths went up 6-7 bp within 35mins; Then went up 3-4 more </t>
  </si>
  <si>
    <t>Stat arb. (Never @ -14) + 1000 lots spoofer</t>
  </si>
  <si>
    <t xml:space="preserve">Scalping </t>
  </si>
  <si>
    <t>3D</t>
  </si>
  <si>
    <t>23 JAN 430AM</t>
  </si>
  <si>
    <t>SOLD 1 @ -14/ SCRATCHED | 4 @ -13</t>
  </si>
  <si>
    <t>732PM</t>
  </si>
  <si>
    <t>Ranged(-8 to -6)</t>
  </si>
  <si>
    <t>Scalping (w more lots)</t>
  </si>
  <si>
    <t>12H</t>
  </si>
  <si>
    <t>19 JAN 23 EVENT</t>
  </si>
  <si>
    <t>SOLD 3 @ -7</t>
  </si>
  <si>
    <t>750PM</t>
  </si>
  <si>
    <t>Ret.</t>
  </si>
  <si>
    <t>803PM</t>
  </si>
  <si>
    <t>liq gap to ret followed later on</t>
  </si>
  <si>
    <t>wait 40-45 mins then observe liq gap; if temporary move fundamentally then bet on ret</t>
  </si>
  <si>
    <t>40MINS</t>
  </si>
  <si>
    <t>830PM</t>
  </si>
  <si>
    <t>747PM</t>
  </si>
  <si>
    <t>Stat arb. (-12)</t>
  </si>
  <si>
    <t>10h</t>
  </si>
  <si>
    <t>19 jan 530pm</t>
  </si>
  <si>
    <t>TIMEOUT!! | NO IR TRADES</t>
  </si>
  <si>
    <t>IR TRADES IN SIM TILL MAR | ONLY 2 TRADES/MONTH</t>
  </si>
  <si>
    <t>JUST NUMBERS; SAME PROCESS AND STRATEGIES WITH HIGHER LOTS, IN THE LONG RUN (TILL FEB)</t>
  </si>
  <si>
    <t>930, 942 pm</t>
  </si>
  <si>
    <t>Ret. + lagging (rest all ir 4-5 down from highs; this only 2)</t>
  </si>
  <si>
    <t>3 ticks + new high</t>
  </si>
  <si>
    <t>~50% ret till mkt close</t>
  </si>
  <si>
    <t>2h</t>
  </si>
  <si>
    <t>1139pm</t>
  </si>
  <si>
    <t>BAD DISCIPLINE</t>
  </si>
  <si>
    <t>HV 2 B STRONG IN DEFENSE</t>
  </si>
  <si>
    <r>
      <rPr>
        <b/>
        <sz val="10"/>
        <color rgb="FF333333"/>
        <rFont val="Calibri"/>
        <family val="2"/>
      </rPr>
      <t>Employment Change (Dec</t>
    </r>
    <r>
      <rPr>
        <b/>
        <sz val="10"/>
        <color rgb="FF434343"/>
        <rFont val="Calibri"/>
        <family val="2"/>
      </rPr>
      <t>) (P58.3k f 22.5k a-14.6k)</t>
    </r>
  </si>
  <si>
    <t>Outrights went up 9-11 ticks | V. Dovish</t>
  </si>
  <si>
    <r>
      <rPr>
        <b/>
        <sz val="10"/>
        <color rgb="FF333333"/>
        <rFont val="Calibri"/>
        <family val="2"/>
      </rPr>
      <t>Unemployment Rate (Dec</t>
    </r>
    <r>
      <rPr>
        <b/>
        <sz val="10"/>
        <color rgb="FF434343"/>
        <rFont val="Calibri"/>
        <family val="2"/>
      </rPr>
      <t>) (p3.4% f3.4% a3.5%)</t>
    </r>
  </si>
  <si>
    <t>Front spd down 6-7 ticks, 2nd spd  down 1-2 tick</t>
  </si>
  <si>
    <t>Participation Rate (Dec) (p66.8% f66.8% a66.6%)</t>
  </si>
  <si>
    <t>no ret till 1.5 hrs in outrights</t>
  </si>
  <si>
    <t>Momentum + bias</t>
  </si>
  <si>
    <t>20mins</t>
  </si>
  <si>
    <t>620am</t>
  </si>
  <si>
    <t>exit @ top (initial move 40 mins) | retraced 3-4 bp went up 7 bp more</t>
  </si>
  <si>
    <t xml:space="preserve">1st IR win </t>
  </si>
  <si>
    <t>Mkt respecting Dovish side; moves in that direction more than Hawkish side</t>
  </si>
  <si>
    <t>4.5h</t>
  </si>
  <si>
    <t>scalp</t>
  </si>
  <si>
    <t>1156am,140pm</t>
  </si>
  <si>
    <t>sold 1 at 24, 23</t>
  </si>
  <si>
    <t>could have held longer; would have been wrong</t>
  </si>
  <si>
    <t>3w</t>
  </si>
  <si>
    <t>30 jan 849am, 6 feb 122pm</t>
  </si>
  <si>
    <t>1@-4</t>
  </si>
  <si>
    <t>843am</t>
  </si>
  <si>
    <t>23 jan 1213pm</t>
  </si>
  <si>
    <t>918am</t>
  </si>
  <si>
    <t>11.5h</t>
  </si>
  <si>
    <t>845pm</t>
  </si>
  <si>
    <t>1025am</t>
  </si>
  <si>
    <t>IB FEB23</t>
  </si>
  <si>
    <t>IB</t>
  </si>
  <si>
    <t>BP expectations towards 25 bp (bp long IB short) (jan 1.5, feb 20.5 price) | 16bp to 20bp</t>
  </si>
  <si>
    <t>757pm</t>
  </si>
  <si>
    <t>1st IB trade, 1st IB win</t>
  </si>
  <si>
    <t>went 2 prices more in favour in the same time! | use the advantage of momentum and take at least 1 tick extra</t>
  </si>
  <si>
    <r>
      <rPr>
        <b/>
        <sz val="10"/>
        <color rgb="FF333333"/>
        <rFont val="Calibri"/>
        <family val="2"/>
      </rPr>
      <t>US Initial Jobless Claim</t>
    </r>
    <r>
      <rPr>
        <b/>
        <sz val="10"/>
        <color rgb="FF434343"/>
        <rFont val="Calibri"/>
        <family val="2"/>
      </rPr>
      <t>s (P205K F214K A190K)</t>
    </r>
  </si>
  <si>
    <t>no major move</t>
  </si>
  <si>
    <t>330am</t>
  </si>
  <si>
    <t>RESISTANCE ZONE (6S--0)</t>
  </si>
  <si>
    <t>Hedge for M24 SPD | 3 D23 FLY</t>
  </si>
  <si>
    <t>SCRATCH OR 1 TICK</t>
  </si>
  <si>
    <t>ONLY A HEDGE FOR M24 SPD</t>
  </si>
  <si>
    <t>24 jan 950am</t>
  </si>
  <si>
    <t>exit @ -8</t>
  </si>
  <si>
    <t>S @ 6</t>
  </si>
  <si>
    <t>bias towards some hikes (worst is 2)</t>
  </si>
  <si>
    <t>450am</t>
  </si>
  <si>
    <t>Ranged (-2 to -4) + S@-2</t>
  </si>
  <si>
    <t>10 15am</t>
  </si>
  <si>
    <t>814am</t>
  </si>
  <si>
    <t>20-Jan-2023, 23 jan 23</t>
  </si>
  <si>
    <t>742pm, 430am</t>
  </si>
  <si>
    <t>Hedge for M24 SPD | 3 D23 FLY + D23 DEFLY Anomaly</t>
  </si>
  <si>
    <t>Avoid dm23, mj23, mj24</t>
  </si>
  <si>
    <t>746PM</t>
  </si>
  <si>
    <t>Should not be more than 0 (less downside)</t>
  </si>
  <si>
    <t>345AM</t>
  </si>
  <si>
    <t>12h</t>
  </si>
  <si>
    <t>empty grid after a long time (ony d24spd left)</t>
  </si>
  <si>
    <t xml:space="preserve">mkt retraced a lot </t>
  </si>
  <si>
    <t>D3m -&gt; FF same chart</t>
  </si>
  <si>
    <r>
      <rPr>
        <b/>
        <sz val="10"/>
        <color rgb="FF333333"/>
        <rFont val="Calibri"/>
        <family val="2"/>
      </rPr>
      <t>CPI (QoQ) (Q4</t>
    </r>
    <r>
      <rPr>
        <b/>
        <sz val="10"/>
        <color rgb="FF434343"/>
        <rFont val="Calibri"/>
        <family val="2"/>
      </rPr>
      <t>) (P1.8% F1.6% A1.9%)</t>
    </r>
  </si>
  <si>
    <t>OUTRIGHTS went down in gap  and then more 7 then 7-8bp (total change 14bp) net 7bp in 40 mins | later went down 10+ basis MORE (17+ bps) | sentiment changed from 0-25 to 25-50bp hike</t>
  </si>
  <si>
    <t xml:space="preserve">(THU) 26TH JAN holiday + US gdp data + jobless claims </t>
  </si>
  <si>
    <t>NEW MKT STATE : temp. dovish</t>
  </si>
  <si>
    <r>
      <rPr>
        <b/>
        <sz val="10"/>
        <color rgb="FF333333"/>
        <rFont val="Calibri"/>
        <family val="2"/>
      </rPr>
      <t>CPI (YoY) (Q4</t>
    </r>
    <r>
      <rPr>
        <b/>
        <sz val="10"/>
        <color rgb="FF434343"/>
        <rFont val="Calibri"/>
        <family val="2"/>
      </rPr>
      <t>) (P7.3% F7.5% A7.8%)</t>
    </r>
  </si>
  <si>
    <t>front spd went up (3-4bp)</t>
  </si>
  <si>
    <r>
      <rPr>
        <b/>
        <sz val="10"/>
        <color rgb="FF333333"/>
        <rFont val="Calibri"/>
        <family val="2"/>
      </rPr>
      <t>Trimmed Mean CPI (QoQ) (Q4</t>
    </r>
    <r>
      <rPr>
        <b/>
        <sz val="10"/>
        <color rgb="FF434343"/>
        <rFont val="Calibri"/>
        <family val="2"/>
      </rPr>
      <t>) (P1.5% F1.6% A1.7%)</t>
    </r>
  </si>
  <si>
    <t xml:space="preserve">IR J24 </t>
  </si>
  <si>
    <t>Momentum</t>
  </si>
  <si>
    <t>CPI more &gt; Int rate more &gt; IR down</t>
  </si>
  <si>
    <t>40min</t>
  </si>
  <si>
    <t>GG (did not want to trade for short side, still went for it)</t>
  </si>
  <si>
    <t>Went til 96.43 (but in 2hrs)</t>
  </si>
  <si>
    <t>went till 96.35 till mkt close (17 ticks) | Mkt respected a lot for ultra hawkish (probably one last)</t>
  </si>
  <si>
    <t>Use 2 lots; Exit 1 within 1 hr; hold the remaining if momentum supports or scratch</t>
  </si>
  <si>
    <t>Bias of less than 25 bp (but very high CPI so avoid trades in IB at the moment)</t>
  </si>
  <si>
    <t>50min</t>
  </si>
  <si>
    <t>bp can go beyond 25 temp.</t>
  </si>
  <si>
    <t>sentiment changed from 0-25 to 25-50bp hike</t>
  </si>
  <si>
    <t>LOTS CHANGE : 1,2,3 -&gt; 2,4,6</t>
  </si>
  <si>
    <t>IR still 1</t>
  </si>
  <si>
    <t>Ranged/LiqGap &amp;/OR in the direction of curve/defensive -&gt; 6</t>
  </si>
  <si>
    <t>Enter in momentum not heat</t>
  </si>
  <si>
    <t>Book profits with partial lots @ safe entry, carry remaining as per mkt</t>
  </si>
  <si>
    <t>S@6</t>
  </si>
  <si>
    <t>Scalping + should go up (temporarily)</t>
  </si>
  <si>
    <t>0.1 or 0.08</t>
  </si>
  <si>
    <t>27 JAN 616AM</t>
  </si>
  <si>
    <t>exit by session end</t>
  </si>
  <si>
    <t>low conviction aftr 6 had too many sellers</t>
  </si>
  <si>
    <t>949pm</t>
  </si>
  <si>
    <t>Ranged (-6,-5 to -3,-2))</t>
  </si>
  <si>
    <t>27 jan 559am</t>
  </si>
  <si>
    <t>420AM</t>
  </si>
  <si>
    <t>47mins</t>
  </si>
  <si>
    <t>507am</t>
  </si>
  <si>
    <t>free money</t>
  </si>
  <si>
    <t>PPI YOY Q4 (P6.4% F6.3% A5.8%)</t>
  </si>
  <si>
    <t>PPI QOQ Q4 (P1.9% F1.7% A0.7%)</t>
  </si>
  <si>
    <t>Ranged (-2 to -4,-5)</t>
  </si>
  <si>
    <t>30 jan 23 706pm</t>
  </si>
  <si>
    <t>Scratched half (2 @ -2) because of massive block buying</t>
  </si>
  <si>
    <t>early exit as can enter again with more lots</t>
  </si>
  <si>
    <t>221pm</t>
  </si>
  <si>
    <t>Sz @ -9 + Ranged (-9 to -11)</t>
  </si>
  <si>
    <t>terminal closing to 4% (steep kink/more negative values)</t>
  </si>
  <si>
    <t xml:space="preserve">Bias of cuts + recession odds </t>
  </si>
  <si>
    <t>&lt;=-11</t>
  </si>
  <si>
    <t>31 jan 750am</t>
  </si>
  <si>
    <t>gg</t>
  </si>
  <si>
    <t>Retail Sales (MoM) (Dec) (p1.4% f-0.3% a-3.9%)</t>
  </si>
  <si>
    <t>Outrights went up 4 ticks and retracd within 7mins | ultra dovish</t>
  </si>
  <si>
    <t>IR S23</t>
  </si>
  <si>
    <t>5mins</t>
  </si>
  <si>
    <t>event</t>
  </si>
  <si>
    <t>Very weak move, considering data</t>
  </si>
  <si>
    <t>Stat arb works (only for spds) at extremes; use 3 lots each at different prices, hold the best one for at least 3-5d</t>
  </si>
  <si>
    <t>Trade less frequently with more lots; (EXTREME cases w more conviction use 5 lots)</t>
  </si>
  <si>
    <t>Only play ranged in sticky contracts (s23 spd)</t>
  </si>
  <si>
    <t>February 23 live</t>
  </si>
  <si>
    <t>FEB</t>
  </si>
  <si>
    <t>INITIAL INCREMENT: (3,4,5 -&gt; 5,7,8)</t>
  </si>
  <si>
    <t>Only in defensive strats</t>
  </si>
  <si>
    <t>Only Defensive strats increment; rest previous levels</t>
  </si>
  <si>
    <t>Long timeframe strats</t>
  </si>
  <si>
    <t>1214am</t>
  </si>
  <si>
    <t>Ranged (-2 to -4)</t>
  </si>
  <si>
    <t>&lt;= -0.03</t>
  </si>
  <si>
    <t>529am</t>
  </si>
  <si>
    <t>1230AM</t>
  </si>
  <si>
    <t>FED HIKES BY 25 BP (4.75%)</t>
  </si>
  <si>
    <t>No major moves b4 speech</t>
  </si>
  <si>
    <t>FED'S POWELL: DISINFLATIONARY PROCESS IS AT AN EARLY STAGE</t>
  </si>
  <si>
    <t>Outrigths moved up 5-6 ticks | front spd was already up in prev session, went down 3 ticks | rest all spds moved 1 tick up and down (mostly up)</t>
  </si>
  <si>
    <t>1250PM</t>
  </si>
  <si>
    <t>Ranged (-11 to -9)</t>
  </si>
  <si>
    <t>exit aftr RBA (TUE)</t>
  </si>
  <si>
    <t>3 feb 830pm</t>
  </si>
  <si>
    <t>scratch 1 monday since opposite of curve + a little aggressive with 3 lots</t>
  </si>
  <si>
    <t>231pm</t>
  </si>
  <si>
    <t>Sz(4,2)</t>
  </si>
  <si>
    <t>bias against 0  + scalping</t>
  </si>
  <si>
    <t>exit b4 RBA (TUE)</t>
  </si>
  <si>
    <t>aggressive trade (only defensive trades????)</t>
  </si>
  <si>
    <t>can go more negative</t>
  </si>
  <si>
    <t>LOST DISCIPLINE/DID NOT PLAN AHEAD OF RBA HIKE (NEW MKT STATE POSSIBLE)</t>
  </si>
  <si>
    <t>DONT APPLY AGGRESSIVE STRATS (WITH MORE THAN USUAL LOTS) B4 POSSIBLY NEW MKT STATE</t>
  </si>
  <si>
    <t>PLAY on DEFENSIVE strats with more lots first</t>
  </si>
  <si>
    <t>659pm</t>
  </si>
  <si>
    <t xml:space="preserve">Stat arb. </t>
  </si>
  <si>
    <t>too many cuts too soon</t>
  </si>
  <si>
    <t>&gt;=10</t>
  </si>
  <si>
    <t>3 feb 806pm</t>
  </si>
  <si>
    <t>717pm</t>
  </si>
  <si>
    <t>bias towards some hikes for the case of pause and then hikes</t>
  </si>
  <si>
    <t xml:space="preserve">should not have hikes </t>
  </si>
  <si>
    <t>exit 2 @ 1</t>
  </si>
  <si>
    <t>early exit bcoz can go negativve + 3RD FRA 1!(pricing wise -8,-12)</t>
  </si>
  <si>
    <t>FRA driven move (3rd fra 12 -&gt; 4)</t>
  </si>
  <si>
    <t>730PM</t>
  </si>
  <si>
    <t>Sz(20,19)</t>
  </si>
  <si>
    <t>~23,24</t>
  </si>
  <si>
    <t>middle of pricing range (max being 27)</t>
  </si>
  <si>
    <t>7pm event</t>
  </si>
  <si>
    <t>Sz(-5,-6) + ranged (-5 to -2)</t>
  </si>
  <si>
    <t xml:space="preserve">Bias towards too many cuts </t>
  </si>
  <si>
    <t>~ -0.03</t>
  </si>
  <si>
    <t xml:space="preserve">defensive entry </t>
  </si>
  <si>
    <t>exit 1 @ -4</t>
  </si>
  <si>
    <t>3 feb 436pm</t>
  </si>
  <si>
    <t>Scratched 2 @ 2</t>
  </si>
  <si>
    <t>holding 2 lots till event; can get better entry</t>
  </si>
  <si>
    <r>
      <rPr>
        <b/>
        <sz val="10"/>
        <color rgb="FF333333"/>
        <rFont val="Calibri"/>
        <family val="2"/>
      </rPr>
      <t>Nonfarm Payrolls (Jan</t>
    </r>
    <r>
      <rPr>
        <b/>
        <sz val="10"/>
        <color rgb="FF434343"/>
        <rFont val="Calibri"/>
        <family val="2"/>
      </rPr>
      <t>) (P260K F185K A517K)</t>
    </r>
  </si>
  <si>
    <t>Outrights went down 3-4 ticks initially then went down 10+ticks (6-7ticks in 1 hr)</t>
  </si>
  <si>
    <r>
      <rPr>
        <b/>
        <sz val="10"/>
        <color rgb="FF333333"/>
        <rFont val="Calibri"/>
        <family val="2"/>
      </rPr>
      <t>Unemployment Rate (Jan</t>
    </r>
    <r>
      <rPr>
        <b/>
        <sz val="10"/>
        <color rgb="FF434343"/>
        <rFont val="Calibri"/>
        <family val="2"/>
      </rPr>
      <t>) (p3.5% f3.6% a3.4%)</t>
    </r>
  </si>
  <si>
    <t>IR J24</t>
  </si>
  <si>
    <t>Momentum + RZ in excel (Rz D)</t>
  </si>
  <si>
    <t>705pm</t>
  </si>
  <si>
    <t>enter with more lots if allof the important data is strong and/or hold (partial lots) for 15-45mins</t>
  </si>
  <si>
    <t>6MINS</t>
  </si>
  <si>
    <t>706PM</t>
  </si>
  <si>
    <t xml:space="preserve">WENT TILL 96.56 </t>
  </si>
  <si>
    <t>WAIT TILL 4-5 TICKS WITH 1 LOT AT LEAST (min variance; so w8 10mins- 15mins)</t>
  </si>
  <si>
    <t>wait 20mins at least if not going anti</t>
  </si>
  <si>
    <t>lagging trades hold a little longer</t>
  </si>
  <si>
    <t>Entering once with defined lots better (more lots when data is very strong and is supported by markets)</t>
  </si>
  <si>
    <t>went till 96.32</t>
  </si>
  <si>
    <t>So my strength is in entering once with defined lots rather than adding on positions (cant hold longer as less conviction + experience)</t>
  </si>
  <si>
    <t>Enter once (with more lots if data is respected by mkts and is very strong as well)</t>
  </si>
  <si>
    <t>724pm</t>
  </si>
  <si>
    <t>can go 0 or negative if no more hikes</t>
  </si>
  <si>
    <t>738pm</t>
  </si>
  <si>
    <t>NO MORE conviction</t>
  </si>
  <si>
    <t>Defensive trades only with more lots (5,7) + lagging trades</t>
  </si>
  <si>
    <t>816PM</t>
  </si>
  <si>
    <t>848PM</t>
  </si>
  <si>
    <t>540AM</t>
  </si>
  <si>
    <t>Ranged (-3,-5)</t>
  </si>
  <si>
    <t>Curve anomaly (j23 fly long or s23 fly short) s23 common + in direction of curve</t>
  </si>
  <si>
    <t>&lt;=-5</t>
  </si>
  <si>
    <t>7 FEB 1040AM</t>
  </si>
  <si>
    <t>Scratched 3 @ -3  | 2 @ -5</t>
  </si>
  <si>
    <r>
      <rPr>
        <b/>
        <sz val="10"/>
        <color rgb="FF333333"/>
        <rFont val="Calibri"/>
        <family val="2"/>
      </rPr>
      <t>Retail Sales (QoQ) (Q4</t>
    </r>
    <r>
      <rPr>
        <b/>
        <sz val="10"/>
        <color rgb="FF434343"/>
        <rFont val="Calibri"/>
        <family val="2"/>
      </rPr>
      <t>) (p0.2% f-0.6% a-0.2%)</t>
    </r>
  </si>
  <si>
    <t>NO MOVE (outrigths were already down 3-5 ticks)</t>
  </si>
  <si>
    <t>6 feb 23, 7 feb 23</t>
  </si>
  <si>
    <t>714am, 648am</t>
  </si>
  <si>
    <t>Rz @ (6 to 8)</t>
  </si>
  <si>
    <t>should go towards 0 (bias of less hikes)</t>
  </si>
  <si>
    <t>4 ticks affordable</t>
  </si>
  <si>
    <t>0 or 3</t>
  </si>
  <si>
    <t>hold till aftr event</t>
  </si>
  <si>
    <t>bias towards 0</t>
  </si>
  <si>
    <t>1123pm</t>
  </si>
  <si>
    <t>Add 1 more nxt session | done | SCRATCHED 1 @ 5</t>
  </si>
  <si>
    <t>1138AM</t>
  </si>
  <si>
    <t>S23 FLY CALENDAR</t>
  </si>
  <si>
    <t>Rz @ (8-10)</t>
  </si>
  <si>
    <t>s23 s @ -3 | d23 b @ -11</t>
  </si>
  <si>
    <t>&lt;=6</t>
  </si>
  <si>
    <t>hold till aftr event | FRI</t>
  </si>
  <si>
    <t>7 FEB 1154AM</t>
  </si>
  <si>
    <t>D23 EXIT @ -12 | S23 @ -5</t>
  </si>
  <si>
    <t>258am</t>
  </si>
  <si>
    <t>Ranged (-1 to -5)</t>
  </si>
  <si>
    <t>Curve anomaly (j23 fly long or s23 fly short) s23 common + in direction of curve + bias of not positive</t>
  </si>
  <si>
    <t>9 feb 23 411pm</t>
  </si>
  <si>
    <t>exit 3 @ -5 (EVENT) | 2 @ -6</t>
  </si>
  <si>
    <t>6AM</t>
  </si>
  <si>
    <t>RBA HIKES 25BP (3.35%)</t>
  </si>
  <si>
    <t>OUTRIGHTS WENT DOWN 10+BP as statement marginally hawkish</t>
  </si>
  <si>
    <t>bias of long side</t>
  </si>
  <si>
    <t>M</t>
  </si>
  <si>
    <t xml:space="preserve">scratch -9 </t>
  </si>
  <si>
    <t>2D</t>
  </si>
  <si>
    <t>9feb 657pm, 10 FEB 425AM</t>
  </si>
  <si>
    <t>1 @-10</t>
  </si>
  <si>
    <t>Scratch</t>
  </si>
  <si>
    <t>aggressive</t>
  </si>
  <si>
    <t>UNCLEAR view @ backs due to growth concerns</t>
  </si>
  <si>
    <t>scale down in far backs &amp; kink (2,3,5) and hold less duration</t>
  </si>
  <si>
    <t>SZ @ -1</t>
  </si>
  <si>
    <t>Should not be positive (less downside)</t>
  </si>
  <si>
    <t>-6 to -8</t>
  </si>
  <si>
    <t>16 FEB 23 6AM</t>
  </si>
  <si>
    <t>exit 2@-5, 2@-6 &gt;&gt; all @-4</t>
  </si>
  <si>
    <t>short @-3 3, -2 4 | DONE</t>
  </si>
  <si>
    <t xml:space="preserve">stat arb </t>
  </si>
  <si>
    <t>10 FEB 435AM</t>
  </si>
  <si>
    <t>scratched 1 \ Scratched 2 @ -16 (since growth expectations bad in 23,24); entered again @ -16</t>
  </si>
  <si>
    <t>ranged mkt (can just scalp till thu)</t>
  </si>
  <si>
    <t>respecting the patience | wrong direction; scratched 1</t>
  </si>
  <si>
    <t>940AM</t>
  </si>
  <si>
    <t>Stat arb -13 (1st time) + liq gap @-12</t>
  </si>
  <si>
    <t>hold till thu</t>
  </si>
  <si>
    <t>14 FEB 724PM</t>
  </si>
  <si>
    <t>SCRATCH | 2@-15</t>
  </si>
  <si>
    <t>held longer from long side | could have exited at -12 the same day</t>
  </si>
  <si>
    <t>growth bad -&gt; can go lower | enter shorting side</t>
  </si>
  <si>
    <t>Sz @ -12</t>
  </si>
  <si>
    <t>Hedge for remaining S23 spd</t>
  </si>
  <si>
    <t>156pm</t>
  </si>
  <si>
    <t>4,5</t>
  </si>
  <si>
    <t>1040AM</t>
  </si>
  <si>
    <t>should retrace a little</t>
  </si>
  <si>
    <t>1.5h</t>
  </si>
  <si>
    <t>1255pm</t>
  </si>
  <si>
    <t>Since can go higher | did go till 35 during Powell speech later at night</t>
  </si>
  <si>
    <t>1247am</t>
  </si>
  <si>
    <t>425am</t>
  </si>
  <si>
    <t xml:space="preserve">TIMEOUT | no new entries till FRI </t>
  </si>
  <si>
    <t>SCALE DOWN</t>
  </si>
  <si>
    <t>3AM</t>
  </si>
  <si>
    <t>LIQ GAP FROM 41 TO 44 (later entry as well)</t>
  </si>
  <si>
    <t>BIAS TOWARDS 38</t>
  </si>
  <si>
    <t>Bias of lesser hikes</t>
  </si>
  <si>
    <t>41 - 38</t>
  </si>
  <si>
    <t>5am</t>
  </si>
  <si>
    <t>aggressive entry</t>
  </si>
  <si>
    <t>Pricing ~48</t>
  </si>
  <si>
    <t>NOT A MKT TO ENTER WITH MORE LOTS IN SINGLE PRICES</t>
  </si>
  <si>
    <t>448AM, 609AM</t>
  </si>
  <si>
    <t>should go towards 0 (bias of less hikes in these qtrs)</t>
  </si>
  <si>
    <t>6,7</t>
  </si>
  <si>
    <t>13 FEB 412AM</t>
  </si>
  <si>
    <t>EXIT 9</t>
  </si>
  <si>
    <t>SOMP FEB23 | Inflation is expected to decline in near term</t>
  </si>
  <si>
    <t>outrights were already down; went up then came down again; 1st spd already up, stayed there for a while, 2nd, 3rd spd went up then retraced 1 tick, backs no major move but selling pressure occured</t>
  </si>
  <si>
    <t>Uncertain mkts | avoid multiple contracts @ back (use (2,3,5)) | mid and fronts can go with 1,2; avoid 1st contract</t>
  </si>
  <si>
    <t>11am</t>
  </si>
  <si>
    <t>Prev Sz</t>
  </si>
  <si>
    <t>bias towards down</t>
  </si>
  <si>
    <t>13 feb 23 608am</t>
  </si>
  <si>
    <t xml:space="preserve">Short 2 more for hedge as well for j24 spd </t>
  </si>
  <si>
    <t>hold, exit @ -11</t>
  </si>
  <si>
    <t>924pm</t>
  </si>
  <si>
    <t>&gt;6, NEAR 0</t>
  </si>
  <si>
    <t>NXT BUY @ 15x2</t>
  </si>
  <si>
    <t>HOLD</t>
  </si>
  <si>
    <t>13 feb 23 909am</t>
  </si>
  <si>
    <t>exit @ 9</t>
  </si>
  <si>
    <t>hold till 15 and buy 2 @ 15</t>
  </si>
  <si>
    <t>Avoid shorting front spds</t>
  </si>
  <si>
    <t>Hawkish state @ front | cuts should shift far back | kink shift back anticipation</t>
  </si>
  <si>
    <t>SCALE DOWN | (1,2,3)</t>
  </si>
  <si>
    <t>TIMEOUT | TRADE LESS FREQUENTLY AND WITH LESSER LOTS</t>
  </si>
  <si>
    <t>MKT not in a state where you can take more lots @ 1 price | take few lots @ different prices</t>
  </si>
  <si>
    <t>Avoid trading | TIMEOUT FOR SOME TIME</t>
  </si>
  <si>
    <t>412AM</t>
  </si>
  <si>
    <t>Should not be positive</t>
  </si>
  <si>
    <t>15 feb 748pm</t>
  </si>
  <si>
    <t>Will remember this!</t>
  </si>
  <si>
    <t>16 feb 330am</t>
  </si>
  <si>
    <t>mkt in a hawkish state</t>
  </si>
  <si>
    <t>10pm</t>
  </si>
  <si>
    <t>9feb 411pm</t>
  </si>
  <si>
    <t>Transferred above</t>
  </si>
  <si>
    <t>7PM</t>
  </si>
  <si>
    <t>US CORE CPI MOM (JAN) (P0.4%, F0.4% A0.4%)</t>
  </si>
  <si>
    <t>OUTRIGHTS MOVED DOWN 7-8 TICKS RETRACED 3-4 TICKS | NO MAJOR MOVE</t>
  </si>
  <si>
    <t>Nxt session v late ret of outrights</t>
  </si>
  <si>
    <t>10 ticks ret. in IR</t>
  </si>
  <si>
    <t>very late move downwards of 10 ticks</t>
  </si>
  <si>
    <t>US CPI MOM JAN (P-0,1% F0.5% A0.5%)</t>
  </si>
  <si>
    <t>outrights went down more @ 930pm</t>
  </si>
  <si>
    <t>US CPI YOY JAN (P6.5% F6.2% A6.5%)</t>
  </si>
  <si>
    <t>slight hawkish</t>
  </si>
  <si>
    <t>US CORE CPI YOY JAN (P5.7% F5.5% A 5.6%)</t>
  </si>
  <si>
    <t>14 feb 23, 15 feb 23, 16 FEB 23</t>
  </si>
  <si>
    <t>757PM, mkt open, EVENT</t>
  </si>
  <si>
    <t>BAD GROWTH + CUTS SHOULD BE PRICED IN</t>
  </si>
  <si>
    <t>Scalping+BIAS towards more cuts</t>
  </si>
  <si>
    <t>&gt;=-11</t>
  </si>
  <si>
    <t>add more @-9</t>
  </si>
  <si>
    <t>Scalp</t>
  </si>
  <si>
    <t>exit 3 @ -11</t>
  </si>
  <si>
    <t>912 pm</t>
  </si>
  <si>
    <t>Sz @ 15</t>
  </si>
  <si>
    <t>more cuts if more hikes</t>
  </si>
  <si>
    <t>bias of less hikes</t>
  </si>
  <si>
    <t>nxt entry would be @20</t>
  </si>
  <si>
    <t>&lt;=12</t>
  </si>
  <si>
    <t>still very hawkish till end of 23</t>
  </si>
  <si>
    <t>258AM</t>
  </si>
  <si>
    <t>safe exit</t>
  </si>
  <si>
    <t>505AM</t>
  </si>
  <si>
    <t>17feb 12am</t>
  </si>
  <si>
    <t>Scalp/scratch</t>
  </si>
  <si>
    <t>Sz @ 1,2</t>
  </si>
  <si>
    <t>max ret. @ -4</t>
  </si>
  <si>
    <t>645am</t>
  </si>
  <si>
    <t>hodl</t>
  </si>
  <si>
    <t>US Core Retail Sales (MoM) (Jan) (P-0.9% F0.8% A2.3%)</t>
  </si>
  <si>
    <t>Outrights went down very little as compared to data, retraced half | 1st spd went up 1tick, 2nd spd went down from 19 to 16 3rd spd went up 2ticks, backs went up 1tick</t>
  </si>
  <si>
    <t>US Retail Sales (MoM) (Jan) (P-1.1% F1.8% A3%)</t>
  </si>
  <si>
    <t>Employment change Jan (p-14.6k f20k a-11k)</t>
  </si>
  <si>
    <t>Outrights went up 5-8ticks | 1st spd down 5 ticks 2nd spd down 4 ticks rest same | only 1 tick moves @ back can scalp asap | data was negative (not less positive) so move was strong</t>
  </si>
  <si>
    <t>follow transition phase, no risky bets</t>
  </si>
  <si>
    <t>comeback in 2nd half of month slow and steady</t>
  </si>
  <si>
    <t>book 1 tick intraday</t>
  </si>
  <si>
    <t xml:space="preserve">Expectations 20k but actual -ve so miss by a big difference; move (even if temporary) should come </t>
  </si>
  <si>
    <t>Unemployment change (p3.5% f3.5% a3.7%)</t>
  </si>
  <si>
    <t>high dovish</t>
  </si>
  <si>
    <t>Track IB trades; if false move can retrace</t>
  </si>
  <si>
    <t>IB Apr ~ 96.35 short</t>
  </si>
  <si>
    <t xml:space="preserve">IR S24 </t>
  </si>
  <si>
    <t>30mins</t>
  </si>
  <si>
    <t>636am</t>
  </si>
  <si>
    <t>Hit @ 2 price below</t>
  </si>
  <si>
    <t>623 am</t>
  </si>
  <si>
    <t>Hit @ best mkt price</t>
  </si>
  <si>
    <t>18h</t>
  </si>
  <si>
    <t>17 feb 12am</t>
  </si>
  <si>
    <t>11pm</t>
  </si>
  <si>
    <t>11PM</t>
  </si>
  <si>
    <t>EARLY EXIT AS OPPOSITE OF CURVE AND MOMENTUM</t>
  </si>
  <si>
    <t>624am</t>
  </si>
  <si>
    <t>Ranged (49 to 46)</t>
  </si>
  <si>
    <t>20 mins</t>
  </si>
  <si>
    <t>644am</t>
  </si>
  <si>
    <t>next entry @ 51,52</t>
  </si>
  <si>
    <t>912pm</t>
  </si>
  <si>
    <t>Rz (51 to 54)</t>
  </si>
  <si>
    <t>~0.48</t>
  </si>
  <si>
    <t>range (changes)</t>
  </si>
  <si>
    <t>20 feb 648am</t>
  </si>
  <si>
    <t>705am</t>
  </si>
  <si>
    <t>21 feb 1058am</t>
  </si>
  <si>
    <t>scratch</t>
  </si>
  <si>
    <t>then start cutting</t>
  </si>
  <si>
    <t>EXIT B4 WED</t>
  </si>
  <si>
    <t>747am</t>
  </si>
  <si>
    <t>Rz @ -9</t>
  </si>
  <si>
    <t>24 feb 925am, 27 feb 648am</t>
  </si>
  <si>
    <t>if hits -9 scratch 4 | done</t>
  </si>
  <si>
    <t>scratched 2 | scratched 2</t>
  </si>
  <si>
    <t>EXIT B4 THU | exit 1 b4 fri 2nd session</t>
  </si>
  <si>
    <t>753am</t>
  </si>
  <si>
    <t>Rz @ -12 + ranged (-12 to -15)</t>
  </si>
  <si>
    <t>Scalping + more cuts in these qtrs</t>
  </si>
  <si>
    <t>23 feb 443pm</t>
  </si>
  <si>
    <t>a little defensive</t>
  </si>
  <si>
    <t>Should go down | upside risk low</t>
  </si>
  <si>
    <t>EXIT B4 THU</t>
  </si>
  <si>
    <t>446am</t>
  </si>
  <si>
    <t>Ranged (1 to 3)</t>
  </si>
  <si>
    <t>6h</t>
  </si>
  <si>
    <t>1058am</t>
  </si>
  <si>
    <t>MAX 2 ENTRIES</t>
  </si>
  <si>
    <t>ACE</t>
  </si>
  <si>
    <t>6am</t>
  </si>
  <si>
    <t>RBA minutes | 1) Pause was not discussed 2) 50bp argument was mainly from wages angles, and more persistent inflation than previously thought </t>
  </si>
  <si>
    <t>1st 3 spds moved up and retraced</t>
  </si>
  <si>
    <t>Dont hesitate if 2 ticks anti with more lots | get used to it | only a multiplier</t>
  </si>
  <si>
    <t>MAX 2 ENTRIES | Check stat analysis</t>
  </si>
  <si>
    <t>Selective Defensive, direction of curve | 0,7,8 | if touched &gt; 2 ticks if flipped &gt; scalp</t>
  </si>
  <si>
    <t>DO NOT DISCUSS W ANYONE!</t>
  </si>
  <si>
    <t>533AM</t>
  </si>
  <si>
    <t>Rz @ 3,4</t>
  </si>
  <si>
    <t>2 or scratch</t>
  </si>
  <si>
    <t>depends on better price</t>
  </si>
  <si>
    <t>short @ 5 and hold for ret</t>
  </si>
  <si>
    <t>Catch this session; exit nxt session or day</t>
  </si>
  <si>
    <t>WPI QOQ Q4 (P1% F1% A0.8%)</t>
  </si>
  <si>
    <t>Outrights were already down went up so 2-3 ticks aftr hitting | front spd went down aftr going up (till d23 spd) | backs no major move</t>
  </si>
  <si>
    <t>if it beats previous (0.7%) then up | if &gt;1% down</t>
  </si>
  <si>
    <t>front Spd went down more later</t>
  </si>
  <si>
    <t>WPI YOY (P3.1% F3.5% A3.3%)</t>
  </si>
  <si>
    <t>few mins</t>
  </si>
  <si>
    <t xml:space="preserve">aftr data leading ones started to fall and was only 2 ticks in the money | quick exit + would have gone for short trade </t>
  </si>
  <si>
    <t>Nxt time take a front spd trade (if not at extreme)</t>
  </si>
  <si>
    <t>RBNZ HIKES BY 50BP (4.75%)</t>
  </si>
  <si>
    <t>No big move | 75 BPS WERE CONSIDERED | MONETARY CONDITIONS NEED TO TIGHTEN FURTHER</t>
  </si>
  <si>
    <t>IB Apr 96.32 short | 15bp | missed again; hit nxt time dont think</t>
  </si>
  <si>
    <t>Selective Defensive, direction of curve |3,4,5 &gt; 0,7,8 | if touched &gt; 2 ticks | if flipped &gt; scalp</t>
  </si>
  <si>
    <t>Rz @ -14, -13</t>
  </si>
  <si>
    <t>50mins</t>
  </si>
  <si>
    <t>910AM</t>
  </si>
  <si>
    <t>Liq gap (52 to 48)</t>
  </si>
  <si>
    <t>626pm</t>
  </si>
  <si>
    <t>TIMEOUT AFTR THIS WEEK</t>
  </si>
  <si>
    <t>did not want to hold long</t>
  </si>
  <si>
    <t>went till 56 easily 23 feb 4pm</t>
  </si>
  <si>
    <t>nxt time take 2 entries somehow | exit 1 @ the specified liq gap end and hold the other w trailing SL @ scratch+1 level</t>
  </si>
  <si>
    <t>US GDP (QoQ) (Q4) (P3.2% F2.9% A2.7%)</t>
  </si>
  <si>
    <t>No big moves</t>
  </si>
  <si>
    <t>US Initial jobless claims (p194k f200k a192k)</t>
  </si>
  <si>
    <t>7pm</t>
  </si>
  <si>
    <t>US core PCE index MOM Jan (p0.4% f0.4% a0.6%)</t>
  </si>
  <si>
    <t>Outrights went down by 9-10bp and stayed there till 1230am</t>
  </si>
  <si>
    <t>WED Aud cpi + gdp data &gt; mkt state can change</t>
  </si>
  <si>
    <t>recession odds are higher now + cuts will be sooner (around m24 to s24)</t>
  </si>
  <si>
    <t>Terminal can go and stay around 5%; US effect</t>
  </si>
  <si>
    <t>US core PCE index YOY Jan (p4.6% f4.3% a4.7%)</t>
  </si>
  <si>
    <t>1130pm</t>
  </si>
  <si>
    <t>Stat arb (21 above) + gap &amp; potential SL hits | moved from 18 to 23 (6ticks) | var 75 3-4ticks | ret</t>
  </si>
  <si>
    <t>20 or 21 (mostly 21) | exit 1 at 21</t>
  </si>
  <si>
    <t>Gap</t>
  </si>
  <si>
    <t>enter 2 @ 27</t>
  </si>
  <si>
    <t>mon</t>
  </si>
  <si>
    <t>tue retail sales</t>
  </si>
  <si>
    <t>27 feb 320pm</t>
  </si>
  <si>
    <t>Hold till 2nd half | TOUCHED 20 then 2nd session went back to 23</t>
  </si>
  <si>
    <t>scratched 1 | 2</t>
  </si>
  <si>
    <t>should have exited @ 21 x 1</t>
  </si>
  <si>
    <t>if going against direction of curve, exit within next session, if ret was the plan</t>
  </si>
  <si>
    <t xml:space="preserve">not a holding market; trade frequently </t>
  </si>
  <si>
    <t>AUD Retail sales (p-3.9% f1.5% a1.9%)</t>
  </si>
  <si>
    <t>Outrights moved up instead of down</t>
  </si>
  <si>
    <t>FEW MINS</t>
  </si>
  <si>
    <t>mkt was already up so took a short position | started going up! |later realized it came down from the top already | only when big misses occur it will continue to go down</t>
  </si>
  <si>
    <t>Look at lead lag once (like the fronts) | if no move there, avoid trading</t>
  </si>
  <si>
    <t>Went down to 95.91 in 30mins | shit move</t>
  </si>
  <si>
    <t>CPI expectations were dovish int down ir up | already up; Retail sales hawkish int up ir down &gt; came down but tom cpi dovish so respected that</t>
  </si>
  <si>
    <t>Avoid trading in retails sales of AUD | not important</t>
  </si>
  <si>
    <t>Never trade wrt volume; nxt level spoofing</t>
  </si>
  <si>
    <t>Hawkish bias</t>
  </si>
  <si>
    <t>3 &gt; scratch</t>
  </si>
  <si>
    <t>Rz @ 4</t>
  </si>
  <si>
    <t>1 mar 948AM</t>
  </si>
  <si>
    <t>Pause bias after Mar 1 data</t>
  </si>
  <si>
    <t>1254pm</t>
  </si>
  <si>
    <t xml:space="preserve">Recession bias </t>
  </si>
  <si>
    <t>-0.12 or -0.11 &gt;&gt; -11</t>
  </si>
  <si>
    <t xml:space="preserve">touched -12 + recession bias </t>
  </si>
  <si>
    <t>After RBA</t>
  </si>
  <si>
    <t>b4 lowe speech wed</t>
  </si>
  <si>
    <t>6 Mar 534pm</t>
  </si>
  <si>
    <t>with world curve view</t>
  </si>
  <si>
    <t>Transition phase : intraday + flexibility in lot sizes</t>
  </si>
  <si>
    <t>Stat arb can work only for 1 session | avoid</t>
  </si>
  <si>
    <t>Use trailing SL in outrights and book partial profits</t>
  </si>
  <si>
    <t>Lookout for potential resistnce zones (via SR zones or MAs and partial book around those zones)</t>
  </si>
  <si>
    <t>The side that you enter from is important in terms of clip sizego steady in uncertain or transforming market; with reduced shot and clip</t>
  </si>
  <si>
    <t xml:space="preserve">there should be a balance b/w no. of positions (contract wise) and the size of individual positions per contract </t>
  </si>
  <si>
    <t>March 23 live</t>
  </si>
  <si>
    <t>MAR</t>
  </si>
  <si>
    <t>CPI (YoY) (p8.4% f8.1% a7.4%)</t>
  </si>
  <si>
    <t>Outrights went up (10 ticks after hit ret aftr 40mins) | front spds down by 6-9 ticks | backs up then ret 1 ticks</t>
  </si>
  <si>
    <t>Bonds both went up | since CPI (JAN) was recent and GDP QOQ (OCT) | Mkt will respect more the recent one (CPI in this case) so give that more weightage</t>
  </si>
  <si>
    <t>GDP (QoQ) (Q4) (p0.6% f0.8% a0.5%)</t>
  </si>
  <si>
    <t>Both data dovish | cpi a little ultra dovish</t>
  </si>
  <si>
    <t xml:space="preserve">IR S23 </t>
  </si>
  <si>
    <t>Momentum + cases + lead lag 1st ir</t>
  </si>
  <si>
    <t>48MINS</t>
  </si>
  <si>
    <t>Exit via hit + had Trailing SL</t>
  </si>
  <si>
    <t>delay in release; keep open multiple sources + listen to sir announcing it if data not displayed</t>
  </si>
  <si>
    <t xml:space="preserve">Mar 1, Mar 3 </t>
  </si>
  <si>
    <t>EVENT, 110am</t>
  </si>
  <si>
    <t>converted 7&gt;&gt;all lots to s24 fly @ -1</t>
  </si>
  <si>
    <t>Rz @ -13</t>
  </si>
  <si>
    <t>supporting data domestic and world</t>
  </si>
  <si>
    <t>Recession bias + Scalping</t>
  </si>
  <si>
    <t>Scalping since touched -13 | exit all -15/-14 if get -13</t>
  </si>
  <si>
    <t>rba tue</t>
  </si>
  <si>
    <t>3 mar 432am</t>
  </si>
  <si>
    <t>Scratch | world curve behaviour</t>
  </si>
  <si>
    <t>cut at 1 tick loss (only) if s24 spd is exit at -11</t>
  </si>
  <si>
    <t>TRY THESE PLAY TILL FRI | sl</t>
  </si>
  <si>
    <t>if there COULD be less hikes there COULD be less cuts | thats why the back spreads moved up</t>
  </si>
  <si>
    <t>Cant adjust this quickly, yet; take the losses</t>
  </si>
  <si>
    <t>LOOK FOR OPPORTUNITIES WHERE  THE MASSES CANT SEEM TO THINK THAT THEY CAN LOSE MUCH | THINK ABOUT STRONG BIASES AND SEE HOW CAN THAT FAIL, FIND CASES OF IT FAILING, BECAUSE IF AND WHEN IT MIGHT FAIL THERE WILL BE SHIFT AND EXTREME MOVES</t>
  </si>
  <si>
    <t>Always have some reserves per play/strategy available to take up new strategy when shocks happen</t>
  </si>
  <si>
    <t>Dont put all money available as risk implied; or reduce the risk by tightening the SL or partial SLs at different prices going anti</t>
  </si>
  <si>
    <t>Fell victim to liq gap | from now always have few lots reserved for this to happen | especially if exit plan is not within FEW hours (1-3)</t>
  </si>
  <si>
    <t>Ret</t>
  </si>
  <si>
    <t>mean of value ranges + near settle</t>
  </si>
  <si>
    <t>7h</t>
  </si>
  <si>
    <t>1.30pm</t>
  </si>
  <si>
    <t>Nxt session exit @ 2 var</t>
  </si>
  <si>
    <t>move did not come</t>
  </si>
  <si>
    <t>TRY THESE PLAY TILL FRI</t>
  </si>
  <si>
    <t>8AM</t>
  </si>
  <si>
    <t>Rz @ -13, -12</t>
  </si>
  <si>
    <t>Scalping + recession bias</t>
  </si>
  <si>
    <t>did not touch -12 | if touched -12 exit -14 all</t>
  </si>
  <si>
    <t>3 mar ~4,5am</t>
  </si>
  <si>
    <t>Against majority of world curves</t>
  </si>
  <si>
    <t>Mkt moves in gaps when changing theme; at extreme variances</t>
  </si>
  <si>
    <t>Ranges and zones create anchoring effect in such times</t>
  </si>
  <si>
    <t xml:space="preserve">Mkt moves a lot in small time in shocks or 1 session </t>
  </si>
  <si>
    <t>TIP : Use fewer lots and if the extreme is broken take position to scalp | Maybe try with fewer lots to add position in momentum and not heat</t>
  </si>
  <si>
    <t>Keep the SL(s) all times | dont use TT OCO always forflexibility but TT Stop should be there</t>
  </si>
  <si>
    <t>Treasury 10-year yields topped 4% for the first time since November, signaling the Fed’s warnings of higher-for-longer rates are finally sinking in</t>
  </si>
  <si>
    <t>1020am</t>
  </si>
  <si>
    <t>-13 or -12</t>
  </si>
  <si>
    <t>touched -12 exit -14 all</t>
  </si>
  <si>
    <t>6 mar 920am</t>
  </si>
  <si>
    <t>Scalp | against world curve views &gt;&gt; SCRATCH</t>
  </si>
  <si>
    <t>D23 SPD WENT TILL -6 (SHOULD HAVE SHORTED S23 FLY WHEN S23 +VE AND D23 -10)</t>
  </si>
  <si>
    <t>Had a bias that d23 would go up when it was @ -12 | and s23 spd should not have been too positive | so s23 fly short</t>
  </si>
  <si>
    <t>3.5hrs</t>
  </si>
  <si>
    <t>437pm</t>
  </si>
  <si>
    <t>aotc fill entry @ 3 | luck100</t>
  </si>
  <si>
    <t>846pm</t>
  </si>
  <si>
    <t>3 MAR 3AM</t>
  </si>
  <si>
    <t>110am</t>
  </si>
  <si>
    <t>Rz @ -11</t>
  </si>
  <si>
    <t>15h</t>
  </si>
  <si>
    <t>432pm</t>
  </si>
  <si>
    <t>go for d23 fly short x 3</t>
  </si>
  <si>
    <t>5m</t>
  </si>
  <si>
    <t>303AM</t>
  </si>
  <si>
    <t xml:space="preserve">Aftr RBA </t>
  </si>
  <si>
    <t>6 mar414am</t>
  </si>
  <si>
    <t>supports pause &amp; not many hikes in that qtr</t>
  </si>
  <si>
    <t>Aftr RBA | hodl</t>
  </si>
  <si>
    <t>Very unpredictable | scale down in usual strats | go for intraday</t>
  </si>
  <si>
    <t xml:space="preserve">Cuts wont be spread out (as fewer cuts than hikes) expect 3 backs </t>
  </si>
  <si>
    <t>sacrifice Tc in 1st entry | so 2nd one should be more than 50% and overall exposure should now be less | might take some time to get better view | directional outrights can be increased | holding period of all should be as less as possible</t>
  </si>
  <si>
    <t>HYPE YOURSELF FOR EVERY WIN AFTER A BIG LOSS |It has to come from within</t>
  </si>
  <si>
    <t>TRACK US CURVE + WORLD CURVES ON A DAILY BASIS BUT DONT TRY TO MIMIC | ONLY IF ALMOST ALL CURVES ARE BEHAVING IN A SIMILAR MANNER THEN MAY BE BE CAUTIOUS OR TAKE THOSE TRADES</t>
  </si>
  <si>
    <t xml:space="preserve">0,7,8 | m23 same session, rest whites 2 sessions (&gt;1d), belly &amp; backs 1d, j24 s24 2d </t>
  </si>
  <si>
    <t>No 10 lot trades this month/mkt state until you increase the Amount available by a lot</t>
  </si>
  <si>
    <t>0,7,8 for 2 MONTHS | min 3 (IR) | but same frequency of trading &gt;&gt; less | only pick up when chances are high and HOLDING DURATION WILL BE LESS with a good RISK-REWARD</t>
  </si>
  <si>
    <t xml:space="preserve">After RBA 10 lot quick scalps </t>
  </si>
  <si>
    <t xml:space="preserve">open RBA website in incognito </t>
  </si>
  <si>
    <t>Tgt of at least 2 ticks &gt; enter | scalp | 7 lots</t>
  </si>
  <si>
    <t>some consecutive Spds are moving anti to each other &gt; providing more movements in flies (s23 fly m24 fly)</t>
  </si>
  <si>
    <t>Short s23 fly 5 lots @ 10</t>
  </si>
  <si>
    <t>Everything is 50:50 so intraday opportunities will come | extreme jo bhi jaega jahan se 2 tick mil hi jaega; imagine those situations &gt;&gt; enter there and scalp with 7 lots</t>
  </si>
  <si>
    <t>1 session 1 entry per contract | no more 6 months | select 1 white and 1 red | if any 1 white / red gets filled cancel the rest | entry should be in a way such that scalp will be quick and easy | tip: var + 2 pe for backs</t>
  </si>
  <si>
    <t>Recession aa skta h but cuts nhi honge (zyada) since hikes nhi honge (zyada) | higher for longer</t>
  </si>
  <si>
    <t>thinking obscure &gt;&gt; cut positions and rethink the scenario</t>
  </si>
  <si>
    <t>Avoid looking at volume (bid ask qty) | That should not influence your decision</t>
  </si>
  <si>
    <t>440am</t>
  </si>
  <si>
    <t xml:space="preserve">S24 FLY </t>
  </si>
  <si>
    <t>KINK TRADING | Right side of kink should not be positive</t>
  </si>
  <si>
    <t>-0.03 to -0.04 | try partial exits; do not exit all at once take 2-3 shots for exit</t>
  </si>
  <si>
    <t>kink shifting can happen + downside risk is less</t>
  </si>
  <si>
    <t>Should take more @ 1 (10 lots more)</t>
  </si>
  <si>
    <t>until it gets to tgt! | #LEVERAGE</t>
  </si>
  <si>
    <t>Whole month if it takes it</t>
  </si>
  <si>
    <t>13 MAR 1005PM</t>
  </si>
  <si>
    <t>d24 @ -8 b s24 @ -9 s (mar 1, mar 3)</t>
  </si>
  <si>
    <t>at least 2 ticks | so look for 3 tick exit (when -4)</t>
  </si>
  <si>
    <t>d24 downside of 2 ticks (-10) s24 downside of 3 ticks (-6) | either of those would be 2nd entry (~1) worse case 0 | w 10 lots | high chances during US timings</t>
  </si>
  <si>
    <t>I think its called fly cause you have to catch the best price</t>
  </si>
  <si>
    <t>lost more than planned (by a lot) | this should not be repeated</t>
  </si>
  <si>
    <t>DENIAL</t>
  </si>
  <si>
    <t>Retail sales MOM (p1.9% f1.9% a1.9%)</t>
  </si>
  <si>
    <t>no move</t>
  </si>
  <si>
    <t>9am</t>
  </si>
  <si>
    <t>RBA HIKES BY 25 BP (3.6%)</t>
  </si>
  <si>
    <t xml:space="preserve">DOVISH STANCE (APR 25BP 50/50) | OUTRIGTHS WENT UP (but were in big gaps of 4 bps; so avoided this time) for 25 mins </t>
  </si>
  <si>
    <t>RBA:  THE MONTHLY CPI INDICATOR SUGGESTS THAT INFLATION HAS PEAKED IN AUSTRALIA | GROWTH HAS SLOWED</t>
  </si>
  <si>
    <t>315AM</t>
  </si>
  <si>
    <t>RBA GOV LOWE: IF DATA BEFORE NEXT BOARD MEETING SUGGESTS A PAUSE, WE WILL DO THAT |  GOV LOWE: WE ARE CLOSER TO A PAUSE ON RATES</t>
  </si>
  <si>
    <t>645PM</t>
  </si>
  <si>
    <t>US ADP Nonfarm Employment Change (Feb) (p119k f200k a242k)</t>
  </si>
  <si>
    <t>1236am</t>
  </si>
  <si>
    <t>if get d23 -8 scratch + take -13 with 14 lots and scalp</t>
  </si>
  <si>
    <t>3h</t>
  </si>
  <si>
    <t>348am</t>
  </si>
  <si>
    <t>Sz @ -12 | might get better entry (FRI + NFP + US Unemp.)</t>
  </si>
  <si>
    <t>went to -10!</t>
  </si>
  <si>
    <t>159am</t>
  </si>
  <si>
    <t>Not many cuts in that qtr</t>
  </si>
  <si>
    <t>10min</t>
  </si>
  <si>
    <t>308am</t>
  </si>
  <si>
    <t>v hard to get -8</t>
  </si>
  <si>
    <t>Make few flies to hold longer if feasible for prices that were hard to get</t>
  </si>
  <si>
    <t>D23 fly @2 missed (downside of 2-3ticks only) if went down you could have added more this traded 6 nxt session itself! | nxt time go for 5,10,10 lots @ each price 2,1,0 respectively</t>
  </si>
  <si>
    <t>if a price was not challenged much + did not break that level; make fly with at least half the lots, in that direction (make it as 1st leg) |ALWAYS, ALWAYS BETTER!! (In terms of risk reward + % win + very little downside amount) | basically do kink trading with that</t>
  </si>
  <si>
    <t>341am</t>
  </si>
  <si>
    <t>get more @ -10</t>
  </si>
  <si>
    <t>734am</t>
  </si>
  <si>
    <t>US Nonfarm Payrolls (Feb) (p504K f205k a311k)</t>
  </si>
  <si>
    <t>Gap in outrights of 6-7bp! (then respected NFP in the end) | front spd went down 1-2bp, backs me PIQ 0 and 1 tick moves</t>
  </si>
  <si>
    <t>US Unemployment Rate (Feb) (p3.4% f3.4% a3.6%)</t>
  </si>
  <si>
    <t>8PM Outrights went up by 5bp</t>
  </si>
  <si>
    <t>FDIC: SVB BANK IS FIRST INSURED INSTITUTION TO FAIL THIS YEAR | SVB, the 16th largest bank in the U.S., no longer exists. The Feds have taken over. As much as $151 billion may be gone. | S&amp;P500 YTD @ 0%</t>
  </si>
  <si>
    <t>OUTRIGHTS WENT UP 10+ BP LATER AFTER 10PM</t>
  </si>
  <si>
    <t>CONVERTED to d23 fly @ 2</t>
  </si>
  <si>
    <t>BUY 5 M24 -10 FOR D23 FLY @ 2 x 5</t>
  </si>
  <si>
    <t>Avoid taking aggressive positions into further events (when uncertainty is high) short term trades will be preferable</t>
  </si>
  <si>
    <t>8PM</t>
  </si>
  <si>
    <t>D23 FLY</t>
  </si>
  <si>
    <t>Kink Trading</t>
  </si>
  <si>
    <t>should not go negative</t>
  </si>
  <si>
    <t>6 to 8,9</t>
  </si>
  <si>
    <t xml:space="preserve">historical </t>
  </si>
  <si>
    <t>get more @ 2,1</t>
  </si>
  <si>
    <t>13 mar834pm</t>
  </si>
  <si>
    <t>HOLD AT LEAST 1 W 2 lots | rest hold till lasty week of March | but exit b4 RBA in profit only | Can go till 8,9 later on</t>
  </si>
  <si>
    <t>d23 -8 m24 -11</t>
  </si>
  <si>
    <t>SL &gt;&gt; Holding period</t>
  </si>
  <si>
    <t>Need to change perception quickly</t>
  </si>
  <si>
    <t>130am, 158am</t>
  </si>
  <si>
    <t>SAT</t>
  </si>
  <si>
    <t>Max gone -0.06</t>
  </si>
  <si>
    <t>~ 0,-2 or else exit b4 CPI</t>
  </si>
  <si>
    <t>13 mar 339am</t>
  </si>
  <si>
    <t>Exit half b4 Tue cpi</t>
  </si>
  <si>
    <t>went to -2,-1 nxt AUD session!</t>
  </si>
  <si>
    <t>13 MAR 347AM</t>
  </si>
  <si>
    <t>Make half fly at 1 | total 15 D23fly @ 2 | ask sir</t>
  </si>
  <si>
    <t>v hard to get -9 | LOL aftr svb</t>
  </si>
  <si>
    <t xml:space="preserve">D23 FLY </t>
  </si>
  <si>
    <t>D23 @ -8 M24 @ -10</t>
  </si>
  <si>
    <t>short extra 5 lots of s23 defly @6 (must) | 13,14 as well w 10 lot</t>
  </si>
  <si>
    <t>J23 SPD S @ 21,24 --&gt; 5, 10</t>
  </si>
  <si>
    <t xml:space="preserve">News reactive mkts </t>
  </si>
  <si>
    <t>Be open to extreme cases | 0 ,cuts, etc.</t>
  </si>
  <si>
    <t xml:space="preserve">If outrights are retracing | chances are front spds (whites) might retrace as well </t>
  </si>
  <si>
    <t xml:space="preserve">can take bigger bets for pause trigger events | CBs want such data </t>
  </si>
  <si>
    <t>515pm</t>
  </si>
  <si>
    <t>IR D24</t>
  </si>
  <si>
    <t>USD/JPY -ve corr (trying)</t>
  </si>
  <si>
    <t>525pm</t>
  </si>
  <si>
    <t>negatively corr. (5m try) | especially when going down</t>
  </si>
  <si>
    <t>621PM</t>
  </si>
  <si>
    <t xml:space="preserve">Fly exit at worse price if range breaks | try to put SL in the contract which starts moving anti </t>
  </si>
  <si>
    <t>3H</t>
  </si>
  <si>
    <t>10PM</t>
  </si>
  <si>
    <t>RIP ACCOUNT</t>
  </si>
  <si>
    <t>RIP CURVE + LIQUIDITY IN SPREADS</t>
  </si>
  <si>
    <t>TIMEOUT | CURVE DISAPPEARS</t>
  </si>
  <si>
    <t>No outrigths | only momentum @ numeric data releases</t>
  </si>
  <si>
    <t xml:space="preserve">Only trade your strength with more lots | do curve trades (flies) with few lots </t>
  </si>
  <si>
    <t>As a river does, the market move along the way of the least resistance, and the way, in its turn, is defined by the shape of the river bed</t>
  </si>
  <si>
    <t>change of perception is key</t>
  </si>
  <si>
    <t>UNIVERSAL LOTS TRADES (POSITIVE EXPECTANCY SHOULD HELP YOU SEE +VE)</t>
  </si>
  <si>
    <t>S23 SPD 8 SHORT MISS</t>
  </si>
  <si>
    <t>S24 FLY AFTR SQUEEZE 15 SHORT MISS!!</t>
  </si>
  <si>
    <t>(thinking: if i was in profit would have taken that trade)</t>
  </si>
  <si>
    <t>TRADING SQUEEZE (LIQ GAP CHARACTERISTICS) IF BOTH LEGS OF FLY GOING ANTI | TAKE TRADES WITH THE AVERAGE CLIP SIZE</t>
  </si>
  <si>
    <t>6pm</t>
  </si>
  <si>
    <t>US Core CPI (MoM) (Feb) (p0.4% f0.4% a0.5%)</t>
  </si>
  <si>
    <t>NO MOVE | NO LIQUIDITY</t>
  </si>
  <si>
    <t>when firm says cut =&gt; a lot of traders are stuck =&gt; driving prices to extremes =&gt; enter with multiple entries in such places after the move slows</t>
  </si>
  <si>
    <t>US CPI (MoM) (Feb) (P0.5% F0.4% A0.4%)</t>
  </si>
  <si>
    <t>US CPI (YoY) (Feb) (p6.4% f6% a6%)</t>
  </si>
  <si>
    <t>MAR.II</t>
  </si>
  <si>
    <t>VW</t>
  </si>
  <si>
    <t>737am</t>
  </si>
  <si>
    <t>Observe fluctuations | take the resistance after markets have played a little</t>
  </si>
  <si>
    <t>went till -2 by 10am (3.5h)</t>
  </si>
  <si>
    <t>838am</t>
  </si>
  <si>
    <t>343PM</t>
  </si>
  <si>
    <t>2H 20M</t>
  </si>
  <si>
    <t>6PM</t>
  </si>
  <si>
    <t>was 1 tick anti</t>
  </si>
  <si>
    <t>US Core Retail Sales (MoM) (Feb) (P2.4% F-0.1% A-0.1%)</t>
  </si>
  <si>
    <t>NOT MUCH MOVEMENT IN OUTRIGHTS | SPDS MOVED 1,2 TICKS</t>
  </si>
  <si>
    <t>US PPI (MoM) (Feb) (p0.3% f0.3% a-0.1%)</t>
  </si>
  <si>
    <t>Move came on the  upside in outrights after 48mins  (5-6ticks) | can get 1-2 ticks worse price after release</t>
  </si>
  <si>
    <t>Wait for squeezes / liq gap and absurd prices to go full wolf | 7,8 for 2nd entry at +50% delta</t>
  </si>
  <si>
    <t xml:space="preserve">did not take any trades as labour data tom </t>
  </si>
  <si>
    <t>US Retail Sales (MoM) (Feb) (P3.2% F-0.3% A-0.4%)</t>
  </si>
  <si>
    <t>front outrigth the biggest mover now | starts ret aftr 1h | retraced almost full by 2h</t>
  </si>
  <si>
    <t>Employment Change (Feb) (P-11.9K F48.5K A64.6K)</t>
  </si>
  <si>
    <t>Unemployment rate (p3.7% f</t>
  </si>
  <si>
    <t>2MINS</t>
  </si>
  <si>
    <t>632AM</t>
  </si>
  <si>
    <t>DEFINED SL (5TICKS MAX) | WENT 5 TICKS BELOW LATER</t>
  </si>
  <si>
    <t>ENTER AFTER SOME TIME @ BETTER PRICE IN EVENTS</t>
  </si>
  <si>
    <t>IR J23</t>
  </si>
  <si>
    <t>12 MIN</t>
  </si>
  <si>
    <t>642 am</t>
  </si>
  <si>
    <t>603AM</t>
  </si>
  <si>
    <t>609AM</t>
  </si>
  <si>
    <t>622AM</t>
  </si>
  <si>
    <t>FEW SECONDS</t>
  </si>
  <si>
    <t>702AM</t>
  </si>
  <si>
    <t>4M</t>
  </si>
  <si>
    <t>706AM</t>
  </si>
  <si>
    <t>IR going 4-5 ticks anti first | when that happens enter</t>
  </si>
  <si>
    <t>7AM, 8am</t>
  </si>
  <si>
    <t>Scalp + curve anomaly</t>
  </si>
  <si>
    <t>3 lots scratched</t>
  </si>
  <si>
    <t>no move | no holding for long</t>
  </si>
  <si>
    <t>TIMEOUT | BLUNDER OF 100$ | asuume its nov22</t>
  </si>
  <si>
    <t>SEE THE CAP TARGET | 1,2,3 DEFENSIVE TRADES ONLY (if you can find any!)</t>
  </si>
  <si>
    <t>Look for squeezes or extreme momentum</t>
  </si>
  <si>
    <t xml:space="preserve">Ignore Herd </t>
  </si>
  <si>
    <t>Short term trades only | not more than 1,2 hr (max 1 session)</t>
  </si>
  <si>
    <t>Selective trades | trade less frequently</t>
  </si>
  <si>
    <t xml:space="preserve">TAKE SMALL TGTS SLOWLY STEADILY </t>
  </si>
  <si>
    <t>TRY BY MAR END CAP 100$ - 260$</t>
  </si>
  <si>
    <t>ONLY CARE ABOUT THIS PROCESS AND NOTHING ELSE | WILL NEED PATIENCE | TAKE THE TIME LET THE MKTS COME TO YOU</t>
  </si>
  <si>
    <t>1,2,3 DEFENSIVE TRADES ONLY</t>
  </si>
  <si>
    <t>CAP 100$ - 260$</t>
  </si>
  <si>
    <t>trade nxt week | only observe (max 1 scalp)</t>
  </si>
  <si>
    <t>12 30pm</t>
  </si>
  <si>
    <t>19MINS</t>
  </si>
  <si>
    <t>12 49PM</t>
  </si>
  <si>
    <t>1 TICK SL | 2 TICKS TARGET</t>
  </si>
  <si>
    <t>129pm</t>
  </si>
  <si>
    <t>26MINS</t>
  </si>
  <si>
    <t>156PM</t>
  </si>
  <si>
    <t>D23 SPD READ BAD</t>
  </si>
  <si>
    <t>s23 d23 5th price ret | m24 j24 s24 4th price | safe to say 5th price safest for ret</t>
  </si>
  <si>
    <t>144pm</t>
  </si>
  <si>
    <t>212PM</t>
  </si>
  <si>
    <t>4H</t>
  </si>
  <si>
    <t>159PM</t>
  </si>
  <si>
    <t>11MIN</t>
  </si>
  <si>
    <t>211PM</t>
  </si>
  <si>
    <t>213PM</t>
  </si>
  <si>
    <t>17mins</t>
  </si>
  <si>
    <t>230pm</t>
  </si>
  <si>
    <t>practised scalping with 1 lot in the new mkt state with tt stop | tgt2 sl1 after judgement</t>
  </si>
  <si>
    <t>Try intraday in spds &amp; outrights in sim (with new thinking)</t>
  </si>
  <si>
    <t>US Initial jobless claims(212k f205k a192k)</t>
  </si>
  <si>
    <t>Ret + Liq gap (1 to 4 so far)</t>
  </si>
  <si>
    <t>45MINS</t>
  </si>
  <si>
    <t>ECB HIKES 50BP (3.5%) | Lagarde: No trade off between price stability and financial stability &lt;3</t>
  </si>
  <si>
    <t>1ST SPD WENT UP 2ND SPD WENT UP INITIALLY THEN DOWN</t>
  </si>
  <si>
    <t>Ret + Liq gap (4 to 8 so far)</t>
  </si>
  <si>
    <t>17 MAR 713PM</t>
  </si>
  <si>
    <t>Liq gap: have the max lots (3 in 1,2,3,) @ the desired price; wait for better price | then start hitting if move goes without giving much opportunity in further prices</t>
  </si>
  <si>
    <t>Place 3 in those zones</t>
  </si>
  <si>
    <t>8h</t>
  </si>
  <si>
    <t>17 mar 340pm</t>
  </si>
  <si>
    <t>This might be your strength : 1,2,3 this should always be the 3 lot one irrespective of existing positions | will help | follow the process</t>
  </si>
  <si>
    <t>712PM</t>
  </si>
  <si>
    <t>Previous curve  structure (not anymore)</t>
  </si>
  <si>
    <t>20min</t>
  </si>
  <si>
    <t>920PM</t>
  </si>
  <si>
    <t>Momentum + hurting</t>
  </si>
  <si>
    <t>17 mar 303am</t>
  </si>
  <si>
    <t>AOTC entry</t>
  </si>
  <si>
    <t>130pm</t>
  </si>
  <si>
    <t>BANK SHARES FALL EUR, ASIA</t>
  </si>
  <si>
    <t>Outrights kept going up with very less resistance</t>
  </si>
  <si>
    <t>TIMEOUT | Observe the markets</t>
  </si>
  <si>
    <t>532pm</t>
  </si>
  <si>
    <t>VW + ret</t>
  </si>
  <si>
    <t>Should not be positive much | cuts are expected worldview</t>
  </si>
  <si>
    <t>&gt; 4 less chance</t>
  </si>
  <si>
    <t>&gt;=-1</t>
  </si>
  <si>
    <t>negative bias + ret till -2 if doesnt go higher</t>
  </si>
  <si>
    <t>21 mar 819am</t>
  </si>
  <si>
    <t>606pm</t>
  </si>
  <si>
    <t>ret</t>
  </si>
  <si>
    <t>4 ticks should not go after this range (-2 to -7) | 7,9 max | max @ -10</t>
  </si>
  <si>
    <t>scalping</t>
  </si>
  <si>
    <t>16m</t>
  </si>
  <si>
    <t>622pm</t>
  </si>
  <si>
    <t>entered @ momentum (ie aftr traded -7 and went to -6 and -5)| ig</t>
  </si>
  <si>
    <t>AOTC Exit | 12 buys only</t>
  </si>
  <si>
    <t>went back to -6</t>
  </si>
  <si>
    <t>outrights : after L.gap if it starts to retrace , w8 for a big player and go on that direction if it provides less resistance</t>
  </si>
  <si>
    <t>711pm</t>
  </si>
  <si>
    <t>CUTS bias</t>
  </si>
  <si>
    <t>727pm</t>
  </si>
  <si>
    <t xml:space="preserve">TRADE ON FOMC with empty grid and only extremes | mkt will (could) change a lot </t>
  </si>
  <si>
    <t>Fear and Greed Index - Investor Sentiment | CNN</t>
  </si>
  <si>
    <t>735AM</t>
  </si>
  <si>
    <t>45M</t>
  </si>
  <si>
    <t>530AM</t>
  </si>
  <si>
    <t>went till -2 | 6am</t>
  </si>
  <si>
    <t>still fine</t>
  </si>
  <si>
    <t>451AM</t>
  </si>
  <si>
    <t>RET + LIQ GAP</t>
  </si>
  <si>
    <t>20M</t>
  </si>
  <si>
    <t>514AM</t>
  </si>
  <si>
    <t>DONT CHANGE THE DIRECTION OF TRADES, YET</t>
  </si>
  <si>
    <t>went till -4 (from -9 empty) | 6am</t>
  </si>
  <si>
    <t>trust Lg</t>
  </si>
  <si>
    <t>Trade only in one direction (especially if it gives you profit); no need to do counter trend trading</t>
  </si>
  <si>
    <t>RBA MINUTES</t>
  </si>
  <si>
    <t>INFLATION TOO HIGH; INT RATES LOW; FURTHER TIGHTENING NEEDED</t>
  </si>
  <si>
    <t>Dont enter a trade if only 1 tick is possible (at least 2 ticks essential then worse case can exit in 1 tick.scratch, 1 tick loss)</t>
  </si>
  <si>
    <t>w8 till FOMC for scaling up</t>
  </si>
  <si>
    <t>610am</t>
  </si>
  <si>
    <t>IB APR23</t>
  </si>
  <si>
    <t>FURTHER HIKES EXPECTED | WORSE CASE IS PAUSE | NOT CUTS | 0 &amp; 25BP</t>
  </si>
  <si>
    <t xml:space="preserve">-2 bp (should be b/w 0 and 25bp) not cuts | worse case exit is 96.43 (profit) </t>
  </si>
  <si>
    <t>IF CUTS SENTIMENT DEVELOPS</t>
  </si>
  <si>
    <t>96.32, 96.435</t>
  </si>
  <si>
    <t>12BP,  1BP</t>
  </si>
  <si>
    <t>HOW MANY CUTS CAN BE PRICED IN | IF IT GETS OVERPRICED THEN TAKE 2ND ENTRY</t>
  </si>
  <si>
    <t>1203pm</t>
  </si>
  <si>
    <t>exit half b4 session end | b4 fomc try full exit  | half exit done</t>
  </si>
  <si>
    <t xml:space="preserve">if FOMC HIKES 25bp -&gt; RBA 0 or 25bp | if FOMC pauses -&gt; RBA 0 </t>
  </si>
  <si>
    <t>Move did not come | better to enter more in momentum or get a  better price to enter | did not get the opportunity to enter in momentum</t>
  </si>
  <si>
    <t>W/O Aussie pit, move is very slow</t>
  </si>
  <si>
    <t>904am</t>
  </si>
  <si>
    <t>906AM</t>
  </si>
  <si>
    <t>852am</t>
  </si>
  <si>
    <t>Trying ranged : Sz accumulation (lower side)</t>
  </si>
  <si>
    <t>2 ticks</t>
  </si>
  <si>
    <t>96.55 (vwap 96.56 downwards)</t>
  </si>
  <si>
    <t>mean reversion (as no move)</t>
  </si>
  <si>
    <t>902am</t>
  </si>
  <si>
    <t>trying ranged in outright</t>
  </si>
  <si>
    <t>move did not come so out early | did not come aftr 30mins | went anti 1 tick</t>
  </si>
  <si>
    <t>EMPTY GRID B4 FOMC | DONE</t>
  </si>
  <si>
    <t>Catch extremes range with scaled up lots on FRI | alt entries @ W and consec. @ R</t>
  </si>
  <si>
    <t>SCALE UP AFTR FOMC irrespective of outcome | use emergency fund if required</t>
  </si>
  <si>
    <t>Ranged, scalping (short time) multi entry from ext, ret working</t>
  </si>
  <si>
    <t>1015PM</t>
  </si>
  <si>
    <t>If recession &gt; hikes (less chance of cuts there in the long run)</t>
  </si>
  <si>
    <t>23 mar 258am</t>
  </si>
  <si>
    <t>SCRATCHED 1</t>
  </si>
  <si>
    <t>just scratch</t>
  </si>
  <si>
    <t>FED HIKES BY 25BP (5%)| RAISES RATES AND SOEMHOW CAME DOVISH (PAUSE LATER) | WILL MAKE MEETING- BY-MEETING DECISIONS BASED ON TOTALITY OF DATA</t>
  </si>
  <si>
    <t>STUPID MOVES FOR NXT MONTH AND A HALF</t>
  </si>
  <si>
    <t>STAY ALERT | USE SMALL LOTS AND LESS HOLDING PERIOD</t>
  </si>
  <si>
    <t>EXTREME CHOPPY MKTS | MAYBE THINGS WONT MAKE SENSE | DONT EXPECT SWING TRADES</t>
  </si>
  <si>
    <t>REDUCE AVG CLIP SIZE TILL MAY!!</t>
  </si>
  <si>
    <t>SCALPER TRADER'S HEAVEN | check daily ranges and if that breaks cut | ranges 7, (4/5), (4/5), 4,4,4 | go for backs @ 4 extremes,5th as well and just take 1 tick | try with 2 lots each</t>
  </si>
  <si>
    <t>KEY would be to enter in a price that you have to hold for less time to scalp | 1 tick only | the faster the better</t>
  </si>
  <si>
    <t>MAKE MORE MONEY BY WAITING FOR SOME CONFIRMATION</t>
  </si>
  <si>
    <t>most uncertain quarter possibly</t>
  </si>
  <si>
    <t>possibly a new cycle from now</t>
  </si>
  <si>
    <t>30s</t>
  </si>
  <si>
    <t>259am</t>
  </si>
  <si>
    <t>1H</t>
  </si>
  <si>
    <t xml:space="preserve">Scalping w scale up (still a little conservative) | enter as per contract | enter from where at least 2 ticks can be possible </t>
  </si>
  <si>
    <t>Scalping practised | go for aggressive scaling up with defined risk and discipline</t>
  </si>
  <si>
    <t>dont judge after few trades | at least 1-2 weeks</t>
  </si>
  <si>
    <t>&amp; be selective | put orders at multiple but not nearby (cancel the nearby one if one is filled); especially if in the same direction</t>
  </si>
  <si>
    <t>DO NOT JUDGE AFTER FEW TRADES | AFTER 1 IF NOT PROFITABLE IN 1 THEN 2 WEEKS | trust the system | if not few weeks go full 1 month</t>
  </si>
  <si>
    <t>And stay alert + avoid when illiquid or near some event or info about cutting position or change of perception</t>
  </si>
  <si>
    <t>changing perception will be key in such trades going further</t>
  </si>
  <si>
    <t>check the balance after a state change (especially a major one) + longer durration (avoid checking frequently) | TRUST THE SYSTEM AND PROCESS</t>
  </si>
  <si>
    <t>Have multiple option and manage OVERALL IMPLIED RISK ACCORDINGLY</t>
  </si>
  <si>
    <t>only 1 tick is working | can get 2nd entry begining from 2 tick target if range gets correctly selected</t>
  </si>
  <si>
    <t>3 levels are required (try w 112)</t>
  </si>
  <si>
    <t>those who have deeper pockets should win in the long run if they followed a systematic trading style</t>
  </si>
  <si>
    <t>you are just borrowing it kid</t>
  </si>
  <si>
    <t>1222PM</t>
  </si>
  <si>
    <t>656pm</t>
  </si>
  <si>
    <t>Look from where you will have higher chances of winning | bet there</t>
  </si>
  <si>
    <t>change perception accordingly</t>
  </si>
  <si>
    <t>CLOSING TIME IS 130AM</t>
  </si>
  <si>
    <t>NO need to cancel the 1st target order | that can be used for ret if it comes to that</t>
  </si>
  <si>
    <t>114PM, 3PM</t>
  </si>
  <si>
    <t>330PM, 717pm</t>
  </si>
  <si>
    <t>8pm</t>
  </si>
  <si>
    <t>24 mar 315am</t>
  </si>
  <si>
    <t>1212am</t>
  </si>
  <si>
    <t>yellen anticipation</t>
  </si>
  <si>
    <t>Scalping + Sz</t>
  </si>
  <si>
    <t>715am</t>
  </si>
  <si>
    <t>Full 10 lots sl present @ -9 (5 lots hard SL 5 lots qty&gt;=157) &gt;&gt; half lots (5) hard stop @ -9 &gt;&gt; can enter @ better price with 5 lots if squeeze happens or can enter @ -8,-7 if momentum changes in favour</t>
  </si>
  <si>
    <t xml:space="preserve">Observe till 540am </t>
  </si>
  <si>
    <t>half lots sl present @ -10</t>
  </si>
  <si>
    <t>Full 10 lots sl present @ -9 (5 lots hard SL 5 lots qty&gt;=157)</t>
  </si>
  <si>
    <t>412am</t>
  </si>
  <si>
    <t>5H</t>
  </si>
  <si>
    <t>917am</t>
  </si>
  <si>
    <t>WENT TO -7 (EMPTY AND THEN SELLERS) &gt;&gt; PERCEPTION CHANGE (TGT SHOULD BE -6 | IF COMES TO -5 SHORTING MAKES SENSE) AS -6 WAS A GOOD SZ FOR A LONG TIME AND CAN GO TO -8 AS WELL)</t>
  </si>
  <si>
    <t>EXIT ONLY ON 2ND SESSION AND ENTRY WITH MIN AVG CLIP (5) B4 CLOSE IF ANY ANOMALY OR EXTREME IS OBSERVED | PROBABLY FEW CLOSING POSITIONS</t>
  </si>
  <si>
    <t>half lots sl present @ -10 (shifted above)</t>
  </si>
  <si>
    <t>no more a strong Sz (-6) after this session for some TIME</t>
  </si>
  <si>
    <t>sellers/selling @-7 -5 is a good to sell price</t>
  </si>
  <si>
    <t>Change of perception &gt;&gt; maths is same but better one is perception change (-7 to -5  or -7 to -6 then if -5 bthen -5 to -6 | 2nd option seems more reasonable and intraday which seems right for the current mkt) | buyers for -6 are more than -5 (dont know the reasoning behind it but seems a better one and gives more freedom for fresh entry)</t>
  </si>
  <si>
    <t>416AM</t>
  </si>
  <si>
    <t>tue ret sales |thu us gdp | fri us core pce &gt;&gt; possible mkt states change</t>
  </si>
  <si>
    <t>selective aggressive alternate contracts and only extreme order with max lots (10) in the other alternates</t>
  </si>
  <si>
    <t>Outrights moves 10 -12 ticks for no reason then retraces 40-50%</t>
  </si>
  <si>
    <t>w8 for people to accumulate or get accumulated then want to scratch &gt;&gt; if unable 1 worse tick sl &gt;&gt; if not anti and get fills &gt;&gt; such cases can happen after big volumes (possible entry)</t>
  </si>
  <si>
    <t>959AM</t>
  </si>
  <si>
    <t>15MIN</t>
  </si>
  <si>
    <t>1015AM</t>
  </si>
  <si>
    <t>1059AM</t>
  </si>
  <si>
    <t>Scalping (BUT MKT CLOSING and 600+orders)</t>
  </si>
  <si>
    <t>1225pm</t>
  </si>
  <si>
    <t>immediately scratch</t>
  </si>
  <si>
    <t>think of it as rupee</t>
  </si>
  <si>
    <t>1059am</t>
  </si>
  <si>
    <t>300am</t>
  </si>
  <si>
    <t>5M</t>
  </si>
  <si>
    <t>305AM</t>
  </si>
  <si>
    <t>RIGGED GAME | CASINO | KNOW WHEN IT GIVES MONEY | W/O CLIENTS OUT OF BUSINESS</t>
  </si>
  <si>
    <t>322AM</t>
  </si>
  <si>
    <t>PARTIAL EXIT @ -9,-10</t>
  </si>
  <si>
    <t>434am</t>
  </si>
  <si>
    <t>552am</t>
  </si>
  <si>
    <t>30m</t>
  </si>
  <si>
    <t>550am</t>
  </si>
  <si>
    <t>EXTREME VOLATILITY</t>
  </si>
  <si>
    <t>34m</t>
  </si>
  <si>
    <t>554am</t>
  </si>
  <si>
    <t>550am, 650am</t>
  </si>
  <si>
    <t>711AM</t>
  </si>
  <si>
    <t>625am</t>
  </si>
  <si>
    <t>817am</t>
  </si>
  <si>
    <t>change of perception as 5 was getting hit so now long -7 better | rather than holding -6 short (5 got empty)</t>
  </si>
  <si>
    <t>w8 if executes as per plan for few sessions | use 2,3,5</t>
  </si>
  <si>
    <t>empty grid b4 tue retail sales | 2nd session only exits | and back to fewer lots</t>
  </si>
  <si>
    <t>650am</t>
  </si>
  <si>
    <t>change of perception as 5 was getting hit so now long -7 better | rather than holding -6 short</t>
  </si>
  <si>
    <t>outrigths went up 10 (range) then ret 5</t>
  </si>
  <si>
    <t>2nd session avoid 5 lots one | trade only 10 lots order</t>
  </si>
  <si>
    <t xml:space="preserve">HOLD        </t>
  </si>
  <si>
    <t>w8 for few sessions TILL FRI | use 2,3,5</t>
  </si>
  <si>
    <t>11pm, 315am</t>
  </si>
  <si>
    <t>scratched all</t>
  </si>
  <si>
    <t>Free money</t>
  </si>
  <si>
    <t>went up to -2 (buyers) 6pm 24 mar (1d)</t>
  </si>
  <si>
    <t>1052am</t>
  </si>
  <si>
    <t>Scalping + RANGED (-6 TO -3)</t>
  </si>
  <si>
    <t>1258pm, 140PM</t>
  </si>
  <si>
    <t>Scratched 3| can get a better price + can handle better trades</t>
  </si>
  <si>
    <t>806pm</t>
  </si>
  <si>
    <t>19h</t>
  </si>
  <si>
    <t>no read of mkts</t>
  </si>
  <si>
    <t>Retail sales MOM Feb (p1.9% f0.1% a0.2%)</t>
  </si>
  <si>
    <t xml:space="preserve">poor move </t>
  </si>
  <si>
    <t>7m</t>
  </si>
  <si>
    <t>608am</t>
  </si>
  <si>
    <t>no strong move in favour + data not a shock/big difference so no point in holding</t>
  </si>
  <si>
    <t>after 40mins 1 tick move in favor | good to cut</t>
  </si>
  <si>
    <t>448AM</t>
  </si>
  <si>
    <t>29 mar 305pm</t>
  </si>
  <si>
    <t>tom CPI FRONT SPD 3-4 OR 6-7 | OUTRIGHT CAN ALSO MOVE 10 TICKS RET AFTR 40MINS | BACKS 2 PRICES LEVEL AS 1 TICK AND THEN RET.</t>
  </si>
  <si>
    <t>scratch half | done</t>
  </si>
  <si>
    <t>nxt tue rba meeting so FRI EMPTY GRID and REDUCE LOT SIZING</t>
  </si>
  <si>
    <t>CPI yoy (p7.4% f7.1% a6.8%)</t>
  </si>
  <si>
    <t xml:space="preserve">useless move </t>
  </si>
  <si>
    <t>AVOID OUTRIGHTS | momentum not working at all</t>
  </si>
  <si>
    <t>Nxt move @ us gdp</t>
  </si>
  <si>
    <t>9H</t>
  </si>
  <si>
    <t>31 mar 325am</t>
  </si>
  <si>
    <t>few min</t>
  </si>
  <si>
    <t>Weaker move than anticipated</t>
  </si>
  <si>
    <t>Avoid outrights further</t>
  </si>
  <si>
    <t>4PM</t>
  </si>
  <si>
    <t>Scalping (Rz @-8)</t>
  </si>
  <si>
    <t>551pm</t>
  </si>
  <si>
    <t>Can get -8</t>
  </si>
  <si>
    <t xml:space="preserve">Bad read, reduce lots or dont add more lots | but dont remove it </t>
  </si>
  <si>
    <t>someone went long on j23-j24 100 lots @ -1 226pm 29 mar</t>
  </si>
  <si>
    <t>721pm</t>
  </si>
  <si>
    <t>S24 SPD</t>
  </si>
  <si>
    <t>30 MAR 330AM</t>
  </si>
  <si>
    <t>Large vol, large holding period, avoid such trades going into weekend b4 us gdp</t>
  </si>
  <si>
    <t>WED rbnz &gt;&gt; max orders at extreme and bigger band of entries (3) 7,15,20 few lots b4 that</t>
  </si>
  <si>
    <t>7am</t>
  </si>
  <si>
    <t>31 mar 11am, 508pm</t>
  </si>
  <si>
    <t>not a 7 lot trade (2 lots extra) | too out 3 @ -4</t>
  </si>
  <si>
    <t xml:space="preserve">M24 SPD </t>
  </si>
  <si>
    <t>630PM</t>
  </si>
  <si>
    <t>AOTC entry &amp; EXIT</t>
  </si>
  <si>
    <t>US Initial Jobless Claims (P191K F196K A198k)</t>
  </si>
  <si>
    <t>Outrights went 5 ticks down in 1 hr</t>
  </si>
  <si>
    <t>GDP (QoQ) (Q4) (P3.2% F2.7% A2.6%)</t>
  </si>
  <si>
    <t>608PM</t>
  </si>
  <si>
    <t>Scalping + ranged (-3 to -7)</t>
  </si>
  <si>
    <t>31 mar 512pm</t>
  </si>
  <si>
    <t xml:space="preserve">as per OI analysis for past 3 days (for outrights) &gt;&gt; should be ranged/sideways (-3 to -5 or -3 to -6)s23 spd </t>
  </si>
  <si>
    <t>OI Decreased for S23 =&gt; people have closed positions while d23 went up or stayed up</t>
  </si>
  <si>
    <t>S23 price down with OI down =&gt; bearish | d23 price down but OI up =&gt; panic selling | d23 falls more than s23 making s23-d23 go up  (-7 to -3) | and now it can go anywhere depending on IR s23 movement | exit b4 fri + core pce</t>
  </si>
  <si>
    <t>US Core PCE price index (MOM) FEB (p0.5% f0.4% a0.3%)</t>
  </si>
  <si>
    <t>No instant move | YT moved up a little</t>
  </si>
  <si>
    <t>Its important we wait for the right volatile days to make money and not start building positions when volatility drops. </t>
  </si>
  <si>
    <t>confidence vs getting carried away. Is it time to be cautious again?</t>
  </si>
  <si>
    <t>Getting caught with position once volatility spikes also mean missing out on trading opportunities  | Economic numbers have potential to change the theme | Positions across figures can lead to big drawdowns</t>
  </si>
  <si>
    <t>Curve trades of flies 1,2 in a month | 1/2 done</t>
  </si>
  <si>
    <t>If increasing go for 2x lots for 2 trades in a month | 1/2 | this is not my style</t>
  </si>
  <si>
    <t>5mins b4 mkt open (1st session) all orders</t>
  </si>
  <si>
    <t>Track world curves more often</t>
  </si>
  <si>
    <t>TRADE LEAST FREQUENTLY (EXAMPLE DEC) AND GOOD AMT OF LOTS</t>
  </si>
  <si>
    <t>HOLD FLIES FOR LONGER AT A GOOD PRICE UNTIL YOU GET PROFIT (WHOLE MONTH IF IT TAKES that) | ONLY CUT IF THEME CHANGES BY A BIG MARGIN | mar 14 : only ltd lots (never more than 50% at stake)</t>
  </si>
  <si>
    <t>Find trades of less holding time</t>
  </si>
  <si>
    <t>KINK TRADING + L.GAP MAX LOTS</t>
  </si>
  <si>
    <t xml:space="preserve">2 outrights trade per event max | take the loss | better luck next time | in the long run you might make money </t>
  </si>
  <si>
    <t>SCALPING NOTES (EVERY DETAILS | WHEN TO TAKE &amp; WHEN TO AVOID WHICH CONTRACT HOW MUCH DOWNSIDE PRECALCULATED) | SL, SL SIZE | HOW TO REACT IF PERCEPTION CHANGES |EVERY F***KING DETAIL | TIME DURATION AS WELL | SO THAT SCRATCH SOME AFTER THAT TIME</t>
  </si>
  <si>
    <t>If L gap arises suddenly; remove nearby entries | dont remove nearby exit | only keep far ones (max 2 hits)</t>
  </si>
  <si>
    <t>Look from where you will have higher chances of winning | bet there; change perception accordingly</t>
  </si>
  <si>
    <t>Dont have a linear model/method to scale up | it should be done as per mkt state</t>
  </si>
  <si>
    <t>April 23 live</t>
  </si>
  <si>
    <t>APR</t>
  </si>
  <si>
    <t>Retail Sales (MoM) (P1.9% F0.2% A0.2%)</t>
  </si>
  <si>
    <t>FULL OF EVENT; THU 1st session to 2nd session - only exits | FRI holiday and imp. US data Mon fresh entries | FORMATION 1k-3k</t>
  </si>
  <si>
    <t>Volatility increase possible | change of theme possible after tue RBA (no trades going into event, especially with heavy lots) UD | pa on wed RBNZ + US NFE, NM PMI (pa+sc) A,UA | THU home free (Scalping exits) B | FRI holiday</t>
  </si>
  <si>
    <t>entry direction is crucial | no whites should be positive</t>
  </si>
  <si>
    <t>world curves: fronts going down and backs going up (IR) | short entry in whites and long entry in reds might be preferred</t>
  </si>
  <si>
    <t>730pm</t>
  </si>
  <si>
    <t>US ISM Manufacturing PMI (Mar) (P47.7 F47.5 A46.5)</t>
  </si>
  <si>
    <t>Outrights went up | bonds went up | oil price soars as OPEC cuts production</t>
  </si>
  <si>
    <t>734pm</t>
  </si>
  <si>
    <t xml:space="preserve">J24 SPD </t>
  </si>
  <si>
    <t>not many cuts bias</t>
  </si>
  <si>
    <t>Less liquidity + less positions around events</t>
  </si>
  <si>
    <t>Reduce the position | scratched 3</t>
  </si>
  <si>
    <t>a lot of false moves; dont get stuck with more lots as we get closer to the real one</t>
  </si>
  <si>
    <t>745pm</t>
  </si>
  <si>
    <t>D24 SPD</t>
  </si>
  <si>
    <t>aftr RBA</t>
  </si>
  <si>
    <t>EVENT, 6 apr 730am</t>
  </si>
  <si>
    <t>Volume has gone low | can capitalize in the rare events</t>
  </si>
  <si>
    <t>dont get squeezed or get ready for it</t>
  </si>
  <si>
    <t>scratched 4</t>
  </si>
  <si>
    <t>had to cut on THU (FRI HOLIDAY) as no chance | ALWAYS CUT POSITIONS 1 DAY B4 LAST DAY B4 BIG HOLIDAY</t>
  </si>
  <si>
    <t>848pm</t>
  </si>
  <si>
    <t>Scalping + STAT ARB + should be &gt; d23,m24 (both @-7)</t>
  </si>
  <si>
    <t>5 apr 9am</t>
  </si>
  <si>
    <t>Hodl</t>
  </si>
  <si>
    <t>7AM</t>
  </si>
  <si>
    <t>Scalping + trap (-5 to -8)</t>
  </si>
  <si>
    <t>19m</t>
  </si>
  <si>
    <t>719am</t>
  </si>
  <si>
    <t xml:space="preserve">-7 has v.good PIQ so long entry better </t>
  </si>
  <si>
    <t>not worth the risk of scalping with any lots (UD)</t>
  </si>
  <si>
    <t>50:50 for 0 or 25bps</t>
  </si>
  <si>
    <t>Stat arb</t>
  </si>
  <si>
    <t>few cuts over there + world curve</t>
  </si>
  <si>
    <t>thu exit</t>
  </si>
  <si>
    <t>6 apr 711am</t>
  </si>
  <si>
    <t>5 apr 759am</t>
  </si>
  <si>
    <t>10am</t>
  </si>
  <si>
    <t>RBA PAUSES (3.6%)</t>
  </si>
  <si>
    <t xml:space="preserve">Outrigths moved up | front spds had Liq gap (went up to down) </t>
  </si>
  <si>
    <t>S23 spd -2 or -3 missed (should have kept 7-12 lots)</t>
  </si>
  <si>
    <t>443PM</t>
  </si>
  <si>
    <t>Scalping + ranged (-3 to -8,-7)</t>
  </si>
  <si>
    <t>3.5h</t>
  </si>
  <si>
    <t>815pm</t>
  </si>
  <si>
    <t>JOLTs Job Openings (Feb) (p10.5 f10.4 a9.9)</t>
  </si>
  <si>
    <t>decline is good as growth good | outrights went up few bps backs had sellers in gaps</t>
  </si>
  <si>
    <t>RBNZ hikes 50bp (5.25%)</t>
  </si>
  <si>
    <t>Outrights went up then retraced a little (up by 5 then ret 2-3) | full spd curve came down then retraced 1 tick the next session</t>
  </si>
  <si>
    <t>Kink @ m24/d23 (one should go up)</t>
  </si>
  <si>
    <t>5 @ -12</t>
  </si>
  <si>
    <t>1238pm</t>
  </si>
  <si>
    <t xml:space="preserve">D23 SPD </t>
  </si>
  <si>
    <t>Scalping + stat arb</t>
  </si>
  <si>
    <t>Sz @ -9 + scalping</t>
  </si>
  <si>
    <t>12.5h</t>
  </si>
  <si>
    <t>750pm</t>
  </si>
  <si>
    <t>818am</t>
  </si>
  <si>
    <t>Sz @ -9</t>
  </si>
  <si>
    <t>20h</t>
  </si>
  <si>
    <t>6 apr 418am</t>
  </si>
  <si>
    <t>change of perception + exit by fri</t>
  </si>
  <si>
    <t>HODL TILL -7</t>
  </si>
  <si>
    <t>837am</t>
  </si>
  <si>
    <t>Scalping + Sz@-8</t>
  </si>
  <si>
    <t>228pm</t>
  </si>
  <si>
    <t>545PM</t>
  </si>
  <si>
    <t>US ADP Nonfarm Employment Change (Mar) (P242K F200K A145k)</t>
  </si>
  <si>
    <t>Growth dull</t>
  </si>
  <si>
    <t>US ISM Non-Manufacturing PMI (Mar) (P55.1 F54.5 A51.2)</t>
  </si>
  <si>
    <t>1159am</t>
  </si>
  <si>
    <t xml:space="preserve">IR D23 </t>
  </si>
  <si>
    <t>tried exit for D23 SPD manually</t>
  </si>
  <si>
    <t>30min</t>
  </si>
  <si>
    <t>101pm</t>
  </si>
  <si>
    <t>all boring get used to this | at least able to minimize losses</t>
  </si>
  <si>
    <t>never attemt again | was worth this last time</t>
  </si>
  <si>
    <t>TT stop in outright | luck100</t>
  </si>
  <si>
    <t>AVOID TRADING ON TUE | ESPECIALLY WITH HEAVY LOTS | OBSERVE &amp; INTRADAY CONTINUE</t>
  </si>
  <si>
    <t>Westpac Consumer Sentiment (Apr) (p0% f1.5% a9.4%)</t>
  </si>
  <si>
    <t xml:space="preserve">whatever mntlty, frmtn : fronts 2x, belly 3x, backs 3x </t>
  </si>
  <si>
    <t>tue - wed (mostly ranged) sc (A) . exit all wed 1st session end | WED 2nd US CPI 6pm. PA (UA) . no sc . ranged backs (a) | THU AUD Labour data PA (UA)  + sc,ranged (b) | FRI US Ret. sales to MON (no major events) Ranged (UA)</t>
  </si>
  <si>
    <t>l.g ua/a (21 entry upto 30), sc w/fronts, belly b (7,10,14) backs/reds b (14,21) , ranged/var b (10,20,21) backs (14,21,30)</t>
  </si>
  <si>
    <t>backs holding p is too long ; better to enter in extreme events when at least 1 tick might be available</t>
  </si>
  <si>
    <t>after a big break (&gt;3d) . pa (b) can be applied</t>
  </si>
  <si>
    <t>be prepared for higher rates (US) | track curve and probability</t>
  </si>
  <si>
    <t>Lookout for China-Taiwan issue | supply side will shock towards recession (global) | near term risk will be very high (3-10) with weight more on 3 (Ir) up | cuts near on to stimulate growth (steep curves both direction) | liquidity will become less (absurd prices) | similar situation during SVB (probably worse)</t>
  </si>
  <si>
    <t>Avoid flies | 6m (at most intraday w tight exits)</t>
  </si>
  <si>
    <t>627am</t>
  </si>
  <si>
    <t>D23 SPD</t>
  </si>
  <si>
    <t>Rz + var.</t>
  </si>
  <si>
    <t>938am</t>
  </si>
  <si>
    <t>4th var</t>
  </si>
  <si>
    <t>1022am</t>
  </si>
  <si>
    <t>7H</t>
  </si>
  <si>
    <t>506pm</t>
  </si>
  <si>
    <t>1046pm</t>
  </si>
  <si>
    <t>12 apr 615am</t>
  </si>
  <si>
    <t>Sz + Scalping</t>
  </si>
  <si>
    <t>13 APR 6PM</t>
  </si>
  <si>
    <t>Scratched 2 x 2 | reducing b4 US CPI | ADDED 2 AGAIN</t>
  </si>
  <si>
    <t>Lookout for IBs and PA, curve anomalies @ extremes</t>
  </si>
  <si>
    <t>ted ret try 1 lot aftr 45mins</t>
  </si>
  <si>
    <t>148pm</t>
  </si>
  <si>
    <t>All of the world curve have d23/m24 as kink (by selling) should not go much up</t>
  </si>
  <si>
    <t>13 apr 404am</t>
  </si>
  <si>
    <t>Scratched 2 | reducing b4 US CPI</t>
  </si>
  <si>
    <t>ADDED 2 AGAIN</t>
  </si>
  <si>
    <t>US CORE CPI (P0.5% F0.4% A0.4%)</t>
  </si>
  <si>
    <t>SPD WENT DOWN (FRONTS) | outrights went up (retraced the whole move in 2 hours (8pm)</t>
  </si>
  <si>
    <t>Bank earnings important</t>
  </si>
  <si>
    <t>Next CPI will be expected to be higher</t>
  </si>
  <si>
    <t>Avoid 3-10 in 2nd session and for longer term and also during high volatility</t>
  </si>
  <si>
    <t>US CPI yoy(P6% F5.2% A5%)</t>
  </si>
  <si>
    <t xml:space="preserve">BONDS WENT UP (NO DISTINCT MOVE IN 3-10) </t>
  </si>
  <si>
    <t>J24 FLY S @ -1 M24 FLY S @-1 | ONE OF THEM WENT TO -2 |AYF</t>
  </si>
  <si>
    <t>Back flies short | with 15 lots @ -1 during extreme moves</t>
  </si>
  <si>
    <t>events | back flies @ good prices</t>
  </si>
  <si>
    <t>US CPI MOM (P0.4% F0.2% A0.1%)</t>
  </si>
  <si>
    <t>This doesnt have OPEC effect nxt read</t>
  </si>
  <si>
    <t>markets are not breaking ranges much | @ extremes entries are good and should be with heavier lots (by at least 2x) in any spreads</t>
  </si>
  <si>
    <t>Rz (-4,-3)</t>
  </si>
  <si>
    <t>less downside in the up (as dovish data) cuts wont shift backwards and should retrace</t>
  </si>
  <si>
    <t>14 apr 702am</t>
  </si>
  <si>
    <t>dont ride w/o Trailing SL</t>
  </si>
  <si>
    <t>could have made 200 more (use tt stop if event is nearby)</t>
  </si>
  <si>
    <t>LUCK100</t>
  </si>
  <si>
    <t>-7 HIT AVAILABLE | NEXT SESSION WENT TO -5, THE NXT SESSION AFTR THAT 4 EMTY</t>
  </si>
  <si>
    <t>STUPID MKT | NO POINT IN HODLING | USE TRAILING SL | AT LEAST FOR 50% OF LOTS</t>
  </si>
  <si>
    <t>13 apr 5am</t>
  </si>
  <si>
    <t>1032PM</t>
  </si>
  <si>
    <t>should not go up (+ve much)</t>
  </si>
  <si>
    <t>14 apr 1143am</t>
  </si>
  <si>
    <t xml:space="preserve">scratched 1 </t>
  </si>
  <si>
    <t>Employment Change (Mar) (p64.6k f20k a53k)</t>
  </si>
  <si>
    <t xml:space="preserve">outrights went down a few bps | </t>
  </si>
  <si>
    <t>Unemployment Rate (Mar) (p3.5% f3.6% a3.5%)</t>
  </si>
  <si>
    <t>15m</t>
  </si>
  <si>
    <t>740am</t>
  </si>
  <si>
    <t xml:space="preserve">Change of sentiment | (stupid but adapt) short at better price might be available </t>
  </si>
  <si>
    <t>overconfidence/greed led to carelessness | use Trailing SL when such trend exist (at least for 50% of lots) | LUCK100</t>
  </si>
  <si>
    <t>SMALL RANGED MKT | FRUSTRATING . TRY TO FIND ADVANTAGE FOR SUCH MKTS</t>
  </si>
  <si>
    <t>US Initital jobless claims (p228k f232k a239K)</t>
  </si>
  <si>
    <t>NXT WEEK THU NZ CPI | B4 THAT ANNOUNCEMENTS MIGHT MOVE MKTS | RANGED (B) EXTREMES (UA)</t>
  </si>
  <si>
    <t>FRI DEAD MKTS | TRY TEDS IN THESE MARKETS . SCALPING</t>
  </si>
  <si>
    <t>US PPI MOM MAR (P-0.1% F0.1% A-0.5%)</t>
  </si>
  <si>
    <t>US Retail Sales MoM (MAR) (p-0.2% f-0.4% a-1%)</t>
  </si>
  <si>
    <t>outrights went down (lol) | should have gone up</t>
  </si>
  <si>
    <t>US Core retail sales (p0% f-0.3% a-0.8%)</t>
  </si>
  <si>
    <t>US bank results came good | JPM better than expected |JPMorgan CEO Dimon: People Need To Be Prepared For Higher Rates For Longer</t>
  </si>
  <si>
    <t>oi</t>
  </si>
  <si>
    <t>Michigan Inflation Expectations (Apr) (p3.6% f3.5% a4.6%)</t>
  </si>
  <si>
    <t xml:space="preserve">huge stat anomaly | maybe bcoz of oil | FEAR | 7TH SIGMA </t>
  </si>
  <si>
    <t>Hawkish sentiment | fronts might not go down much, might not go positive much for sustained period | higher for longer stance by banks</t>
  </si>
  <si>
    <t xml:space="preserve"> [US] mild recession | so not much steepening | not many cuts as well (for now)</t>
  </si>
  <si>
    <t>avoid multi layers</t>
  </si>
  <si>
    <t xml:space="preserve">TED,3-10 increases =&gt; risk in near term increases; vice versa | TED (3M-3Y) SHORTER, 3Y-10Y (LONGER) </t>
  </si>
  <si>
    <t>358AM</t>
  </si>
  <si>
    <t>10H</t>
  </si>
  <si>
    <t>aotc exit</t>
  </si>
  <si>
    <t>558AM,925pm</t>
  </si>
  <si>
    <t>cuts shifting backward (should) | if not downside less (can be scratched)</t>
  </si>
  <si>
    <t>18 apr 1251pm</t>
  </si>
  <si>
    <t>aotc entry</t>
  </si>
  <si>
    <t>Diesel showing economic slowdown</t>
  </si>
  <si>
    <t>634pm</t>
  </si>
  <si>
    <t>Scalping + Downside above till 1</t>
  </si>
  <si>
    <t>if 0 then scratch -2</t>
  </si>
  <si>
    <t>18 apr 1135am, 5pm</t>
  </si>
  <si>
    <t>be vigilant around reports in absence of releases</t>
  </si>
  <si>
    <t>GS, BOFA, LM TUE</t>
  </si>
  <si>
    <t>scratch as earnings might provide volatility | pa strats lots required | scratched 5</t>
  </si>
  <si>
    <t>RBA MINUTES : FORECASTS IN MAY WILL HELP ASSESS WHEN AND HOW MUCH MORE TIGHTENING NEEDED</t>
  </si>
  <si>
    <t>higher for longer stance</t>
  </si>
  <si>
    <t>bank earnings | pa (ua)</t>
  </si>
  <si>
    <t>Avoid XT on WED | RBA Syndication 2034 | big moves can come on intraday</t>
  </si>
  <si>
    <t>no one sided exposure</t>
  </si>
  <si>
    <t>Not much hikes</t>
  </si>
  <si>
    <t>2nd entry @ 7</t>
  </si>
  <si>
    <t>945am</t>
  </si>
  <si>
    <t>Change of sentiment | very less chance of 3 in this session + earnings in nxt session</t>
  </si>
  <si>
    <t>went to 6 (4th var)</t>
  </si>
  <si>
    <t>5pm</t>
  </si>
  <si>
    <t>exit all @ -2</t>
  </si>
  <si>
    <t>-7 can be scratched (even 8)</t>
  </si>
  <si>
    <t>1.5d</t>
  </si>
  <si>
    <t>20 apr 412am</t>
  </si>
  <si>
    <t>Hawkish stance in near term (small)</t>
  </si>
  <si>
    <t>missed j23 S @ 7 | no other contract moved | takes these chances nxt time | relative to the entire curve if movement of 1 is less no need to scratch</t>
  </si>
  <si>
    <t>removing orders should be avoided now with small lots</t>
  </si>
  <si>
    <t>120pm</t>
  </si>
  <si>
    <t>fewer cuts | should go up</t>
  </si>
  <si>
    <t>19 apr 1130am</t>
  </si>
  <si>
    <t xml:space="preserve">Watch for relative movement in entire curve | if low in full curve then ret. of the anomaly can be taken </t>
  </si>
  <si>
    <t>927AM</t>
  </si>
  <si>
    <t>Syndication of 2034 bonds : very high demand of 61bn at the final clear price</t>
  </si>
  <si>
    <t>XT went up more than yt | 3-10 went down to Sz (36)</t>
  </si>
  <si>
    <t>1130AM</t>
  </si>
  <si>
    <t>UK CPI (YoY) (Mar) (P10.4% F9.8% A10.1%)</t>
  </si>
  <si>
    <t>front Spds went up</t>
  </si>
  <si>
    <t>UK 	CPI (MoM) (Mar) (P1.1% F0.5% A0.8%)</t>
  </si>
  <si>
    <t>3-10 went down 3ticks</t>
  </si>
  <si>
    <t>1134am</t>
  </si>
  <si>
    <t>YT-XT</t>
  </si>
  <si>
    <t>BONDS</t>
  </si>
  <si>
    <t>Ret. + Sz till 36 + quoted lowest range of Day</t>
  </si>
  <si>
    <t>111pm</t>
  </si>
  <si>
    <t>Exit as Bond markets major effect</t>
  </si>
  <si>
    <t>Observe | nxt trade nxt month! | ASE all of it is SHIT | Avoid for now | TRY NEW RULES IN ASE FOR 3-10</t>
  </si>
  <si>
    <t>luck100 | went to 34.5 by 145pm!</t>
  </si>
  <si>
    <t>Follow money flow not the herd</t>
  </si>
  <si>
    <t>1145AM</t>
  </si>
  <si>
    <t xml:space="preserve">Cuts later @ far + kink Near j24 by selling </t>
  </si>
  <si>
    <t>-10 can be scratched</t>
  </si>
  <si>
    <t>21 APR 420AM</t>
  </si>
  <si>
    <t>1158AM</t>
  </si>
  <si>
    <t xml:space="preserve">Added 2 as EU cpi weak </t>
  </si>
  <si>
    <t>Converted to FLY @ 6 | reducing the risk by almost half</t>
  </si>
  <si>
    <t>EU 	CPI (YoY) (Mar) (P8.5% F6.9% A6.9%)</t>
  </si>
  <si>
    <t>No move | dovish expectations were true</t>
  </si>
  <si>
    <t>EU 	CPI (MoM) (Mar) (P0.8% F0.9% A0.9%)</t>
  </si>
  <si>
    <t>EU Core CPI (YoY) (Mar) (P5.6% F5.6% A5.6%)</t>
  </si>
  <si>
    <t>348PM</t>
  </si>
  <si>
    <t>20 apr 1256am</t>
  </si>
  <si>
    <t>523PM</t>
  </si>
  <si>
    <t>Converted to S23 FLY @ 6</t>
  </si>
  <si>
    <t>613PM</t>
  </si>
  <si>
    <t>S23 FLY</t>
  </si>
  <si>
    <t>Not much cuts this year so D23 should go up + less hikes in S23 QTR (maybe bias + 0 can be scratched!)</t>
  </si>
  <si>
    <t xml:space="preserve">Curve anomaly S23 fly &gt; J23 fly </t>
  </si>
  <si>
    <t>2 TICKS AFFORDABLE</t>
  </si>
  <si>
    <t>&gt;12h</t>
  </si>
  <si>
    <t xml:space="preserve">20 apr 445am, </t>
  </si>
  <si>
    <t>S23 fly @ 7 J23 fly @ 6</t>
  </si>
  <si>
    <t>exit s23 @ 0 | d23 @-6</t>
  </si>
  <si>
    <t>Exit d23 spd all @ -5 (8)</t>
  </si>
  <si>
    <t>1031PM</t>
  </si>
  <si>
    <t>Not many near term cuts in 23 so SHOULD NOT BE KINK | Kink shifting towards back (maybe bias)</t>
  </si>
  <si>
    <t>24 apr 1009am</t>
  </si>
  <si>
    <t xml:space="preserve">8 lots (half of TOTAL M24 EXPOSURE) exit @ -9 rest &gt;=-8 (partial) </t>
  </si>
  <si>
    <t>Exit all | dont want to hold</t>
  </si>
  <si>
    <t xml:space="preserve">THU </t>
  </si>
  <si>
    <t>NZ CPI QOQ Q1 (P1.4% F1.7% A1.2%)</t>
  </si>
  <si>
    <t>NZ YOY Q1 (P7.2 F7.1% A6.7%)</t>
  </si>
  <si>
    <t>could be lagging effect | need more downfall</t>
  </si>
  <si>
    <t>RBA review meeting | A major change recommended by the Panel is the establishment of separate boards for monetary policy and the governance of the Bank. | The Review includes a number of recommendations for how the Board works, including the frequency of meetings  | We will publish a detailed response later this year after the necessary work has been completed.</t>
  </si>
  <si>
    <t>Today 2nd session exits | nxt session (FRI) all exit &amp; only intraday with small lots | NO NIGHT SESSION TRADING</t>
  </si>
  <si>
    <t>ECB MEMBER: APRIL INFLATION TO DETERMINE SIZE OF MAY HIKE</t>
  </si>
  <si>
    <t>MAY HAVE TO HIKE RATES AGAIN IN JUNE, JULY</t>
  </si>
  <si>
    <t xml:space="preserve">Hawkish EZ, US (World) </t>
  </si>
  <si>
    <t>935AM</t>
  </si>
  <si>
    <t>136pm, 26 APR 23 123AM</t>
  </si>
  <si>
    <t>Exit half @ -5 (5) | 3 left</t>
  </si>
  <si>
    <t>D23 FLY WAS NEGATIVE WENT TO 5,6 as kink shifted backwards</t>
  </si>
  <si>
    <t>front kink buy had less downside as well when Curve disappeared as well</t>
  </si>
  <si>
    <t>ECB MINUTES</t>
  </si>
  <si>
    <t>A VERY LARGE MAJORITY AGREED WITH MR LANE’S PROPOSAL TO RAISE THE ECB’S KEY INTEREST RATES BY 50 BASIS POINTS</t>
  </si>
  <si>
    <t>Hawkish sentitment in EZ</t>
  </si>
  <si>
    <t xml:space="preserve">US Initial Jobless Claims (Cons 240k, Prev 239k A245K) </t>
  </si>
  <si>
    <t>Poor move</t>
  </si>
  <si>
    <t>20 apr 21 apr</t>
  </si>
  <si>
    <t>810pm, 544am</t>
  </si>
  <si>
    <t>26 APR 123AM</t>
  </si>
  <si>
    <t>EXIT ALL -5 (14)</t>
  </si>
  <si>
    <t xml:space="preserve">RECESSION FEARS HAVE INCREASED (US) | AUS BETTER THAN US </t>
  </si>
  <si>
    <t>sl w payup?!</t>
  </si>
  <si>
    <t>SHOULD HAVE PUT SL FOR PARTIAL LOTS</t>
  </si>
  <si>
    <t>ALWAYS HAVE PARTIAL/HALF LOTS SL. whats wrong? its the unanticipated events that causes losses</t>
  </si>
  <si>
    <t>810pm</t>
  </si>
  <si>
    <t>EXIT ALL -10 (31) | 19 , -11, 14 . -10</t>
  </si>
  <si>
    <t>17 , -11, 14 . -10</t>
  </si>
  <si>
    <t>MONEY MARKETS HAVE BIGGEST OUTFLOW SINCE 2020 | ALL &amp; ONLY EXITS ON FRI WITH STOPS | SHOULD REVERT TILL -10 BY NXT WEEK</t>
  </si>
  <si>
    <t>If more hikes then more cuts | curve steepening (temporarily)</t>
  </si>
  <si>
    <t>CUT PARTIAL IF STRAT IS NOT STRONG ENOUGH | REDUCING RISK</t>
  </si>
  <si>
    <t>IF TGT IS MORE , BUT LESS CHANCE | CHURN 70% OF ORDER (EXIT IF MOVE SLOWS)</t>
  </si>
  <si>
    <t>412am, 1037 AM, 7PM</t>
  </si>
  <si>
    <t>fewer cuts + pricing wise -7 is a great price</t>
  </si>
  <si>
    <t>5D</t>
  </si>
  <si>
    <t>26 APR 229AM</t>
  </si>
  <si>
    <t xml:space="preserve">BAD READ  | EXIT ALL </t>
  </si>
  <si>
    <t>A LITTLE HIGHER VOLATILITY | MEDIUM STATE | 50% QRTLE</t>
  </si>
  <si>
    <t>no move, reducing stake, scratched 4</t>
  </si>
  <si>
    <t>26 apr 4am</t>
  </si>
  <si>
    <t>UK Retail Sales (MoM) (Mar) (p1.1% f-0.5% a-0.9%)</t>
  </si>
  <si>
    <t>US Services PMI (Apr) (P52 F51 A53.7)</t>
  </si>
  <si>
    <t>GOOD FOR GROWTH (2%) + NOT CONTRACTIONARY + FED CAN GO FOR MORE HIKES | bonds ir went down few bp, 3-10 went down</t>
  </si>
  <si>
    <t>REMINDER RBA MINUTES : FORECASTS IN MAY WILL HELP ASSESS WHEN AND HOW MUCH MORE TIGHTENING NEEDED</t>
  </si>
  <si>
    <t>OPEC OIL, SO CPI SHOULD COME HIGH = MORE HIKES = HAWKISH (FRONT SPDS GO UP) | MORE CUTS POSSIBLE AT BACKS</t>
  </si>
  <si>
    <t>TUE HOLIDAY | MON EXIT (IF POSSIBLE) / REDUCE POSITIONS</t>
  </si>
  <si>
    <t>WED - AUD CPI qoq (PA (UA) EXIT ALL POSITIONS BY 7AM (dovish expectations!) | USsually no major move but ret 60-70% front spds &amp; IR in 40mins</t>
  </si>
  <si>
    <t>thu US GDP (BACKS EMPTY) CONTRACTIONARY expectations (can make good flies or play ret by nxt session)</t>
  </si>
  <si>
    <t>FRI EUR GDP</t>
  </si>
  <si>
    <t>philly fed has always contracted b4 a recession (not a causality) + people sentiment might temporarily change</t>
  </si>
  <si>
    <t>debt ceiling can be worrying if something extreme happens | bonds will have a trend | ride it</t>
  </si>
  <si>
    <t>CB Consumer Confidence (Apr) (p104.2 f104 a101.3)</t>
  </si>
  <si>
    <t>powell wont be clear / will confuse mkt when hikes and pause | bcoz cuts are sure then credit might increase and that can mess up his work | can pause for long time (6m to 1y)</t>
  </si>
  <si>
    <t>New Home Sales (Mar) (p623k f630k a683k)</t>
  </si>
  <si>
    <t>FRC SITUATION WENT SOUTH | WHEN THIS SETTLES, RETRACE WITH THE SAME LOTS (24,21)</t>
  </si>
  <si>
    <t>FIRST REPUBLIC BANK EXTENDS PLUNGE TO 50%</t>
  </si>
  <si>
    <t>1020pm</t>
  </si>
  <si>
    <t>Sz (-3) (shaorter tf)</t>
  </si>
  <si>
    <t>5.5h</t>
  </si>
  <si>
    <t>26 apr 406am</t>
  </si>
  <si>
    <t>It’s fine to not make expected money in current positions. Advantage of having no positions is way higher than making money on current positions.</t>
  </si>
  <si>
    <t>D/UD FOR ALL STRATS</t>
  </si>
  <si>
    <t>CPI (QoQ) (Q1) (p1.9% f1.3% a1.4%)</t>
  </si>
  <si>
    <t>LGAP IN SPDS WHITES</t>
  </si>
  <si>
    <t>CPI (YoY) (Q1) (p7.8% f6.9% a7%)</t>
  </si>
  <si>
    <t>Trimmed Mean CPI (QoQ) (Q1) (p1.7% f1.4% a1.2%)</t>
  </si>
  <si>
    <t>Lg3 (event) + VAR</t>
  </si>
  <si>
    <t>17m</t>
  </si>
  <si>
    <t>717am</t>
  </si>
  <si>
    <t>Lg7,8 (bottom!) +VAR</t>
  </si>
  <si>
    <t>20m</t>
  </si>
  <si>
    <t>720am</t>
  </si>
  <si>
    <t>US GDP Q1(1.1%)</t>
  </si>
  <si>
    <t>US GDP: S24 FLY 0,-1 TRY</t>
  </si>
  <si>
    <t>96.405 ib may23 SHORT 2 LOTS | GR8 RR</t>
  </si>
  <si>
    <t>6 WINS NET of 20 lots 1 tick in 1 month (May) --&gt; 5k</t>
  </si>
  <si>
    <t>ALWAYS CUT POSITIONS 1 DAY B4 LAST DAY B4 BIG HOLIDAY</t>
  </si>
  <si>
    <t>SMALL RANGED MKT . THINGS CAN CHANGE VERY QUICKY AND BY A LOT (IN TERMS OF COST NOT TICKS!) | NO POINT IN HOLDING FOR LONG ALL YOUR POSITIONS</t>
  </si>
  <si>
    <t>overconfidence/greed led to carelessness | use Trailing SL when such trend exist (at least for 50% of lots) | Time to initiate Trailing SL should be when it reaches the other end of variance or it gets overvalued that opposite pressure might arise</t>
  </si>
  <si>
    <t>USE TT STOP IF EVENT IS NEARBY AFTER A DECENT PRICE ENTRY</t>
  </si>
  <si>
    <t>May 23 live</t>
  </si>
  <si>
    <t>MAY</t>
  </si>
  <si>
    <t xml:space="preserve">Tue RBA MEETING | pa, VAR HL75 (A) . 15, 22 | EZ CPI, LOWE speaks scalping (ud) | </t>
  </si>
  <si>
    <t>WED NZ Labour | aud ret sales | NFE, ISM NM PMI, FED INTEREST RATE, avoid morning session (only intraday with small lots IN 1ST session) | pa (a), var (a) whole curve in 2nd session</t>
  </si>
  <si>
    <t>THU ECB INTEREST RATE DECISION (var aggressive) (a)</t>
  </si>
  <si>
    <t>FRI US UE, NFP, INTRADAY var def(a)| no retry orders | BACKS BELLIES RANGE (B), var (A)</t>
  </si>
  <si>
    <t>6 20LOT WINS</t>
  </si>
  <si>
    <t>705AM</t>
  </si>
  <si>
    <t>IB MAY 23</t>
  </si>
  <si>
    <t>RR 0:24.5</t>
  </si>
  <si>
    <t>Pricing wise 96.435 @ 0</t>
  </si>
  <si>
    <t>923am</t>
  </si>
  <si>
    <t>did not take IOCR from RBA site (3.57 not 3.6)</t>
  </si>
  <si>
    <t>+690$ lost opportunity | u have to be willing to lose some | trust the RISK REWARD</t>
  </si>
  <si>
    <t xml:space="preserve">DO NOT LISTEN TO ANYONE'S VIEW | TRUST THE RR, math, systemic trading </t>
  </si>
  <si>
    <t>View changed in the end bcoz of an article "this might be the peak of RBA hike cycle" | ignore these; just trust the RR</t>
  </si>
  <si>
    <t>when people cant fathom to lose money; you have asymmetric risk and thats where you make the most money | Nxt TIME IGNORING THESE NEWS &amp; VIEWS will be KEY</t>
  </si>
  <si>
    <t xml:space="preserve">u hv 2 b willing to lose some </t>
  </si>
  <si>
    <t>RBA HIKES 25 BP (3.85%)</t>
  </si>
  <si>
    <t>curve steepening (&gt;75th quartile moves)</t>
  </si>
  <si>
    <t>theme changed | spike state --&gt; high chance of ret/scalping | EUR CPI stick to intraday | def scalp + var aggressive (2 levels only)</t>
  </si>
  <si>
    <t xml:space="preserve">Var </t>
  </si>
  <si>
    <t>1-2H</t>
  </si>
  <si>
    <t>THEME CHANGE HAS LESS CHANCES OF VAR TO SUCCEED</t>
  </si>
  <si>
    <t>RET  + var10 (&gt;75hl)</t>
  </si>
  <si>
    <t>within 1 h</t>
  </si>
  <si>
    <t>Var 4</t>
  </si>
  <si>
    <t>Var + Sz (-9,-10)</t>
  </si>
  <si>
    <t>230PM</t>
  </si>
  <si>
    <t>EUR CPI (YoY) (Apr) (P6.9% F7% A7%)</t>
  </si>
  <si>
    <t>No move</t>
  </si>
  <si>
    <t>EUR Core CPI (YoY) (P5.7% F5.75 A5.6%)</t>
  </si>
  <si>
    <t>451pm</t>
  </si>
  <si>
    <t>LOWE: SOME FURTHER TIGHTENING MAY BE REQUIRED TO MEET THAT TIMEFRAME | LOWE: IF WE CAN GET INFLATION TO 3% IN TWO YEARS THAT WOULD BE GOOD OUTCOME</t>
  </si>
  <si>
    <t>619pm</t>
  </si>
  <si>
    <t>NOT MUCH RESPECT FOR ANY LEVELS | STAY ALERT, IF ANTI --&gt; CUT</t>
  </si>
  <si>
    <t>1st session</t>
  </si>
  <si>
    <t>3 may 950pm</t>
  </si>
  <si>
    <t>Retail Sales (MoM) (Mar)  (p0.2% f0.3% a0.4%)</t>
  </si>
  <si>
    <t>FED HIKES BY 25BP (5.25%)</t>
  </si>
  <si>
    <t>We have managed last few days well but real bank crisis move is still pending. As a group we should be prepared and assume that this move is round the corner. It’s fine if move doesnot happen.</t>
  </si>
  <si>
    <t>Better to keep positions light. Cut positions if required. Use volatility to make money.</t>
  </si>
  <si>
    <t>215AM</t>
  </si>
  <si>
    <t>Not many cuts</t>
  </si>
  <si>
    <t>6H</t>
  </si>
  <si>
    <t>Curve steepening</t>
  </si>
  <si>
    <t>Stick to intraday | scalping | try reds more</t>
  </si>
  <si>
    <t>Avoid heavy lots in Whites | Go big in reds | no 6 months | Try flies</t>
  </si>
  <si>
    <t>Scalping mkt with consecutive levels . OVER</t>
  </si>
  <si>
    <t>Stat arb working (S)</t>
  </si>
  <si>
    <t>4AM</t>
  </si>
  <si>
    <t>Sz (-8 to -10)</t>
  </si>
  <si>
    <t>YT JUN23</t>
  </si>
  <si>
    <t>YT</t>
  </si>
  <si>
    <t>Selling pressure candle (hammer like) (4) + Rz 96.99, 97 (15) + B/D possible from 96.98</t>
  </si>
  <si>
    <t xml:space="preserve">ATR, dynamic (4th from best ask INCLUDING best ask) </t>
  </si>
  <si>
    <t>~ 96.94</t>
  </si>
  <si>
    <t>3 . 6</t>
  </si>
  <si>
    <t>8am</t>
  </si>
  <si>
    <t>In 40 mins 2-3 ticks profit possible</t>
  </si>
  <si>
    <t>converted to FLY</t>
  </si>
  <si>
    <t>1054am</t>
  </si>
  <si>
    <t>J23 FLY (manually)</t>
  </si>
  <si>
    <t>US front flies @ same levels by selling</t>
  </si>
  <si>
    <t>Dovish view (cuts entering in front spd or cuts going out of 2nd spd)</t>
  </si>
  <si>
    <t>13,14</t>
  </si>
  <si>
    <t>3&gt;&gt;5</t>
  </si>
  <si>
    <t>HOLD AT LEAST HALF TILL SOME BANK COLLAPSE NXT WEEK! | exit by 12 may</t>
  </si>
  <si>
    <t>8 may 558pm, 9 ,may 12am</t>
  </si>
  <si>
    <t>J23 0 S; S23 -10 B</t>
  </si>
  <si>
    <t>went to 12, retraced to 7</t>
  </si>
  <si>
    <t>Hold 7; Short 8 more at best available price, treat that separately | exit &lt; 4 (if in direction) | All manual exit</t>
  </si>
  <si>
    <t>JPMORGAN ASSET MANAGEMENT'S DAVIS: THIS IS DEFINITELY THE END OF THE HIKING CYCLE FOR THE FED. --&gt; dOVISH in the long run</t>
  </si>
  <si>
    <t>1135am</t>
  </si>
  <si>
    <t>J24 FLY (manually)</t>
  </si>
  <si>
    <t>Cuts + right of kink should not go positive + less cuts at back so fly should go negative direction (chances are more)</t>
  </si>
  <si>
    <t>0,1</t>
  </si>
  <si>
    <t>Should not go in this direction</t>
  </si>
  <si>
    <t>5 may 10am,11am</t>
  </si>
  <si>
    <t>J24 -12 S; S24 -10 B</t>
  </si>
  <si>
    <t>Exit from ASE | Manual exits/entry can be seen from ASE, when ASE is available and in naked lots are less/ empty in both legs, if no nearby event, can exit/enter partially</t>
  </si>
  <si>
    <t>ECB HIKES 25BP (3.75%)</t>
  </si>
  <si>
    <t>ILLIQUID MARKETS</t>
  </si>
  <si>
    <t>HL75 wont work in whites; so avoid, theme change having better RR is to be preferred, no multi level orders (remove aggressive ones if move is strong)</t>
  </si>
  <si>
    <t>638AM</t>
  </si>
  <si>
    <t>S24 FLY (manually)</t>
  </si>
  <si>
    <t>-7,-8</t>
  </si>
  <si>
    <t>S24 -9 B, D24 -5 S</t>
  </si>
  <si>
    <t>US UR (P3.5% F3.6% A3.4%)</t>
  </si>
  <si>
    <t xml:space="preserve">FRI </t>
  </si>
  <si>
    <t>RR</t>
  </si>
  <si>
    <t>Should not go much on positive direction + near end hike cycle + priing wise less positive</t>
  </si>
  <si>
    <t>0 (exception US CPI) (worse 4)</t>
  </si>
  <si>
    <t>&lt;0</t>
  </si>
  <si>
    <t>6d</t>
  </si>
  <si>
    <t>8 may 558pm, 9 ,may 12am, 11 may</t>
  </si>
  <si>
    <t>shifted to j23 leg only; as j23 fly lowest level was 5 + Better rr + chances of spd differential to expand is more in long run + highest positve short can be held for longer</t>
  </si>
  <si>
    <t>went to -4,-5 :) as soon as i cut</t>
  </si>
  <si>
    <t>WENT TO -5 (-6 EMPTY!) ON THU 2ND SESSION</t>
  </si>
  <si>
    <t>230AM</t>
  </si>
  <si>
    <t>D23 6m SPD (manual)</t>
  </si>
  <si>
    <t>VAR (HL75+,5th)</t>
  </si>
  <si>
    <t>d23, m24 : one should go down</t>
  </si>
  <si>
    <t>8 may 430am</t>
  </si>
  <si>
    <t>d23, m24 anyone goes down tt stop in the other for scratch/scratch</t>
  </si>
  <si>
    <t>banks crisis not over so might come down again</t>
  </si>
  <si>
    <t>went to 29 in nxt 3mins! (W/o reversal)  |exit via 6M SPD</t>
  </si>
  <si>
    <t>WED US CPI . EMPTY GRID by tue 2nd session | OPEC effect might be there in CPI on the Hawkish side (temporarily) | PA (A), no Scalping in the entire curve | Belly Backs (Mar Jun Sep Dec 24) Trade var 2 levels (make Fly, DeFly 1 lvl hold the extreme)</t>
  </si>
  <si>
    <t xml:space="preserve">Fly entries possible (eother manually or ASE </t>
  </si>
  <si>
    <t>Try belly 1 TED (D23,M24,J24) after US CPI , Whenever dead state of YT 45</t>
  </si>
  <si>
    <t>FRI EMPTY GRID | VAR 2 LVLS 10,10 . BELLY &amp; BACKS ONLY</t>
  </si>
  <si>
    <t>M24 FLY (manually)</t>
  </si>
  <si>
    <t xml:space="preserve">Rz </t>
  </si>
  <si>
    <t>Can hve more cuts</t>
  </si>
  <si>
    <t>M24 fly @ -1,0</t>
  </si>
  <si>
    <t>4D</t>
  </si>
  <si>
    <t>11 may 1238PM</t>
  </si>
  <si>
    <t>10 fly @ -1</t>
  </si>
  <si>
    <t>exit ASE -2, Manually -3</t>
  </si>
  <si>
    <t>8 may, 9 may</t>
  </si>
  <si>
    <t>858PM, 730pm</t>
  </si>
  <si>
    <t>good value zone</t>
  </si>
  <si>
    <t>Can have more cuts priced in than hikes + if risk increases IR up, spds down</t>
  </si>
  <si>
    <t>9 may 126pm, 10 may 920am</t>
  </si>
  <si>
    <t xml:space="preserve">May 9th + may 20th </t>
  </si>
  <si>
    <t>8 lots for fly exit | backup | if both front spds fall cut s23 spd hold j23 fly 7-8 lots</t>
  </si>
  <si>
    <t>Dovish move -&gt; exit j23 fly 8 lots | hawkish -&gt; hold j23 fly, enter at better price, @ s23, as well as j23 fly</t>
  </si>
  <si>
    <t>J24 DEFLY (m)</t>
  </si>
  <si>
    <t>Range (-4,-5 to 0,-1) for S24 fly</t>
  </si>
  <si>
    <t>Back spread differential should be 0 (pause after cuts for longer (no quick hike cycle bias)</t>
  </si>
  <si>
    <t>J24 DEFLY HIGHS @ 2 (J24 F -2, S24 F -4) + Cuts + right of kink should not go positive + less cuts at back so fly should go negative direction (chances are more)</t>
  </si>
  <si>
    <t>ADD 10 MORE @ 4</t>
  </si>
  <si>
    <t>16 may 1035am,1119am</t>
  </si>
  <si>
    <t>Taking Defly through event would be better/easier + better rr</t>
  </si>
  <si>
    <t>S24 FLY B -4 -&gt; -3, J24 FLY S -2 -&gt; -3/-2 by week end</t>
  </si>
  <si>
    <t>D24 -8 S X 10 . J24 -13 x 10 S</t>
  </si>
  <si>
    <t>Retail sales QOQ (p-0.2% f-0.6% a-0.6%)</t>
  </si>
  <si>
    <t>US CORE CPI MOM (APR) (P0.4% F0.4% A0.4%)</t>
  </si>
  <si>
    <t>Front spds go down 2-3 bps in 7mins</t>
  </si>
  <si>
    <t>US CPI MOM (APR) (P0.1% F0.4% A0.4%)</t>
  </si>
  <si>
    <t>Nothing to see here</t>
  </si>
  <si>
    <t>US CPI YOY (APR) (P5% F5% A4.9%)</t>
  </si>
  <si>
    <t>CORE CPI YOY (APR) (P5.6% F5.5% A5.5%)</t>
  </si>
  <si>
    <t>358am</t>
  </si>
  <si>
    <t>7M</t>
  </si>
  <si>
    <t>405am</t>
  </si>
  <si>
    <t>only 8 lots were traded; 7 mine</t>
  </si>
  <si>
    <t>432AM</t>
  </si>
  <si>
    <t>2H</t>
  </si>
  <si>
    <t>612am</t>
  </si>
  <si>
    <t>645AM</t>
  </si>
  <si>
    <t>RBA PATHS WITH 4.8% CASH RATE SHOW INFLATION AT TARGET LATE-'24</t>
  </si>
  <si>
    <t>TIMEOUT | UNCERTAIN MKT STATE | UD in whites | only flies (B) | try backs and belly (m24 onwards)</t>
  </si>
  <si>
    <t>FRI fly entries possible 2nd session | that was THU this week</t>
  </si>
  <si>
    <t>hl 75 var might work | alternate contracts | 2.4.6 | 15lots 1 lvl</t>
  </si>
  <si>
    <t>select 2 whites only</t>
  </si>
  <si>
    <t>W:R 1:3</t>
  </si>
  <si>
    <t>US PPI (MOM) APR (P-0.4% F0.3% A0.2%)</t>
  </si>
  <si>
    <t>front spds went down</t>
  </si>
  <si>
    <t>TIMEOUT | W:R IMPROVE, TRY TEDS AT LEAST 3 IN MONTH</t>
  </si>
  <si>
    <t>REDS FLY + VAR TOTAL FRONTS (7,10) BACKS (20,30) | 15 FLY 15 SPREADS (30) / 15,15 : FRONTS NO MORE THAN 7 (1 LVL) VAR 10</t>
  </si>
  <si>
    <t>TAKE W: R RATIO BELOW 3</t>
  </si>
  <si>
    <t>TARGET ONLY RED FLIES 15,15 OR TARGET WHITE AND RED FLIES | W 7..7, REDS 21,21 | FULL MONTH</t>
  </si>
  <si>
    <t>REDUCE LOTS OF ALL TRADES</t>
  </si>
  <si>
    <t>AVOID 1:1 IN FRONTS | VAR HL75/80 1 LVL . 5 (F) 7(BL) 15(B) | CURVE FLIES . 10 (F) 15,20 (B)</t>
  </si>
  <si>
    <t>MAX F(15) . 5 var, 10 flies | B(35) 10,15 VAR, 25 FLIES</t>
  </si>
  <si>
    <t>3S10S</t>
  </si>
  <si>
    <t>Sz (prev Rz) 60m + 4th var</t>
  </si>
  <si>
    <t xml:space="preserve">US AUD LAG </t>
  </si>
  <si>
    <t>when it goes below 1 tick to 2 tick (29)</t>
  </si>
  <si>
    <t>1103am</t>
  </si>
  <si>
    <t>STICK TO INTRADAY</t>
  </si>
  <si>
    <t>32 hit was available 1140am (40mins w8 if ITM)</t>
  </si>
  <si>
    <t>s23 -6 Scalp 7 and fly short 10 lots @ 10 or above</t>
  </si>
  <si>
    <t>THU LABOUR DATA . 2 W VAR PA (A), B PA (A)</t>
  </si>
  <si>
    <t xml:space="preserve">missed morning liq gap in j23 spd (6 empty to 1; removed 5), fra driven move </t>
  </si>
  <si>
    <t>Avoid FRI trades</t>
  </si>
  <si>
    <t>US CORE RETIAL SALES (MOM) (APR) (P-0.5% F0.4% A0.4%)</t>
  </si>
  <si>
    <t>no moajor move</t>
  </si>
  <si>
    <t xml:space="preserve">VAR 20 | FLY 10 | 10 REDS | WHITES 5,7 </t>
  </si>
  <si>
    <t xml:space="preserve">THU : labour data during event piq, reds flies | 20 1 lvl </t>
  </si>
  <si>
    <t>s23 f S 9,11 so avg 10 x 10 | S24  F B -4 S -2,-1</t>
  </si>
  <si>
    <t>US RETAIL SALES MOM (APR) (P-0.7% F0.8% A0.4%)</t>
  </si>
  <si>
    <t>Wage Price Index (QoQ) (Q1) (P0.8% F0.9% A0.8%)</t>
  </si>
  <si>
    <t>MOMENTUM data + Scalping</t>
  </si>
  <si>
    <t>intraday</t>
  </si>
  <si>
    <t>3-5h</t>
  </si>
  <si>
    <t>737am10am,146am</t>
  </si>
  <si>
    <t>948am</t>
  </si>
  <si>
    <t>M24 FLY</t>
  </si>
  <si>
    <t>957PM</t>
  </si>
  <si>
    <t>Prev Sz to Rz</t>
  </si>
  <si>
    <t>3 ticks</t>
  </si>
  <si>
    <t>RETRACE TILL 8 ELSE SCALP 7</t>
  </si>
  <si>
    <t xml:space="preserve">S23 FLY @ 8,7 </t>
  </si>
  <si>
    <t>18 may 645am</t>
  </si>
  <si>
    <t>converted to fly 7 LOTS</t>
  </si>
  <si>
    <t>1050PM</t>
  </si>
  <si>
    <t>For fly ENTRY</t>
  </si>
  <si>
    <t>18 MAY EVENT</t>
  </si>
  <si>
    <t>fly @ 1 made so reducing previous exposure</t>
  </si>
  <si>
    <t>444am</t>
  </si>
  <si>
    <t>Hedged s23 spd</t>
  </si>
  <si>
    <t>9 after taking 11 (if retraces)</t>
  </si>
  <si>
    <t>SCRATCH . 7 / 6</t>
  </si>
  <si>
    <t xml:space="preserve">Take Nxt when j23 s23 plateau/anomaly structure (preferably &gt;9) </t>
  </si>
  <si>
    <t xml:space="preserve">Carry some </t>
  </si>
  <si>
    <t>19 may 439pm, 23 may 758am, 1130am</t>
  </si>
  <si>
    <t>should be easy to scratch later/ better to not increase exposure and carry overnight | w8 &amp; watch</t>
  </si>
  <si>
    <t>Cut @ -8 or -9 2 lots</t>
  </si>
  <si>
    <t>s23 exit 2x -2 (hawkish sentiment)</t>
  </si>
  <si>
    <t>Should watch individual contracts (spds) prices and their levels which price has higher chances of getting hit -&gt; participate there in equillibrium</t>
  </si>
  <si>
    <t>EMP CHANGE (APR) (P53K F25K A-4.3K)</t>
  </si>
  <si>
    <t>HL 75 like volatility</t>
  </si>
  <si>
    <t>Unemployment rate (APR) (P3.5% F3.5% A3.7%)</t>
  </si>
  <si>
    <t>M24 FLY (C1)</t>
  </si>
  <si>
    <t>Can go lower if cuts gets priced in + less downside above</t>
  </si>
  <si>
    <t>1,2</t>
  </si>
  <si>
    <t>ASE/VWAP -3 FOR -2 OR -1</t>
  </si>
  <si>
    <t>B4 MEETING</t>
  </si>
  <si>
    <t xml:space="preserve">23 may 910am, 25 MAY 642AM, </t>
  </si>
  <si>
    <t>exits @ best tgt -&gt; 5,7,8 lots</t>
  </si>
  <si>
    <t>S24 f exit @ -2 done -&gt; now this exit @ -1</t>
  </si>
  <si>
    <t>TAKE OUT MANUALLY ONLY WHEN 2 TICKS POSSIBLE/ IF NOT THEN YOU GET AT LEAST 1 TICK</t>
  </si>
  <si>
    <t>REDUCE EXPOSURE</t>
  </si>
  <si>
    <t>S24 FLY X 20 will be required to provide hedge for M24 FLY SHORT for the upcoming week</t>
  </si>
  <si>
    <t>converted to S24 fly</t>
  </si>
  <si>
    <t xml:space="preserve">WIN WIN SITUATIONS </t>
  </si>
  <si>
    <t>For S24 FLY B @ -4 / scalping / For M24 fly S 0,1</t>
  </si>
  <si>
    <t>1045AM</t>
  </si>
  <si>
    <t>WIN WIN SITUATIONS CREATED</t>
  </si>
  <si>
    <t>WIN WIN SITUATIONS CAN BE CREATED IN ALTERNATE CONTRACTS FLIES ENTRY, SPDS EXIT</t>
  </si>
  <si>
    <t>843AM</t>
  </si>
  <si>
    <t>Channel 60 + All retracing market</t>
  </si>
  <si>
    <t>Downside less | Better RR (Debt default)</t>
  </si>
  <si>
    <t>1032am</t>
  </si>
  <si>
    <t>EVERY CONTRACT RETRACING AFTER EVENT -&gt; LOWS (KIND OF A LEAD LAG . IR, YT,XT, SPDS, 3-10</t>
  </si>
  <si>
    <t>1040am</t>
  </si>
  <si>
    <t>S24 FLY (C1)</t>
  </si>
  <si>
    <t>Range (-4 to -1)</t>
  </si>
  <si>
    <t xml:space="preserve">Hedge for m24 fly  THROUGH DEBT CEILING </t>
  </si>
  <si>
    <t>ASE/VWAP 1 FOR 2 OR 3</t>
  </si>
  <si>
    <t>1w+</t>
  </si>
  <si>
    <t>19 MAY 744PM, 25 may 725am, 26 MAY 12AM, 30 may 725am</t>
  </si>
  <si>
    <t>CASINO MKT | LUCK RUNS OUT SOON IG</t>
  </si>
  <si>
    <t>exits @ best tgt -&gt; 5,7,8 lots | 10, 10</t>
  </si>
  <si>
    <t>these both RED flies should come to an equillibrium @ -2 or 0 (in any case the optimal exits SHOULD GIVE AT LEAST +3 TICKS TOTAL) try that!</t>
  </si>
  <si>
    <t>Exit 5 @ -2 | no more exits until M24 F EXIT @ AT LEAST -1 | NXT EXITS @ -1</t>
  </si>
  <si>
    <t>Treat it individually now for the week</t>
  </si>
  <si>
    <t>at least +2 ticks at 1 time | risking for +3 is worth it if not then +2</t>
  </si>
  <si>
    <t>US SHOULD NOT DEFAULT | (ACTUAL DEFAULT)</t>
  </si>
  <si>
    <t>Fri closing entries (var 75) alternate contracts</t>
  </si>
  <si>
    <t>WED RBNZ INTEREST RATE DECISION | EMPTY GRID | BACKS AT LEAST HALF EXIT | PA (A) + PA FOR CURVE STRATS (25 REDS FLY) X 2</t>
  </si>
  <si>
    <t>THU GDP | BACKS ENTRY / EXIT (BOTH SIDE VAR)</t>
  </si>
  <si>
    <t>FED COMMENTARY IS HAWKISH (AGAIN) . STILL SOME ROOM FOR INFLATION TO COME BACK SO "HAWKISH PAUSE"</t>
  </si>
  <si>
    <t>TRADE W SMALL AMT OF MONEY | UNCERTAIN TIMES | DEFINED RISK TRADES | KEEP HEDGES AS WELL</t>
  </si>
  <si>
    <t>Hedging will be crucial going forward</t>
  </si>
  <si>
    <t>9PM</t>
  </si>
  <si>
    <t>For fly EXIT</t>
  </si>
  <si>
    <t>22 may 447am</t>
  </si>
  <si>
    <t>TT RETRY CRUCIAL - M24 -13 S x5; J24 -12 S x5; NO TT OCO (manually make the best choice); j24 -13 S tt stop x5 (2 hard 3 condition)</t>
  </si>
  <si>
    <t>Priority is to exit the fly x5 as its heddge is gone as well x5 so better to exit 5 @-1 or 0 try for -2  or s24 fly -1 later with 7,8 lots | so exit at 0 (j24 -13 S is fine as well)</t>
  </si>
  <si>
    <t>REDS 6MDF</t>
  </si>
  <si>
    <t>REDS FLIES | BELLY FLIES</t>
  </si>
  <si>
    <t>FRONTS INTRADAY/FLIES</t>
  </si>
  <si>
    <t>NO HOLDING AFTER THURSDAY</t>
  </si>
  <si>
    <t>INTRADAY / DEFENSIVE  ALL STRATS WITH SLs</t>
  </si>
  <si>
    <t>Scalping (Rz)</t>
  </si>
  <si>
    <t>23 may 1120am</t>
  </si>
  <si>
    <t xml:space="preserve">did not exit at 9! </t>
  </si>
  <si>
    <t>No shorting Whites anymore | ONLY SELECT 1 | NO J23 SCALPING (bad at it)</t>
  </si>
  <si>
    <t>745am</t>
  </si>
  <si>
    <t>J24 TED</t>
  </si>
  <si>
    <t>TED</t>
  </si>
  <si>
    <t>Scalping | ranged mkt/ Rz -48</t>
  </si>
  <si>
    <t>950am</t>
  </si>
  <si>
    <t>Observe belly TEDs capture Leag lag effect (if possible)</t>
  </si>
  <si>
    <t>933am</t>
  </si>
  <si>
    <t xml:space="preserve">Scalping (ranged 28 to 30) </t>
  </si>
  <si>
    <t>BD</t>
  </si>
  <si>
    <t>1008am</t>
  </si>
  <si>
    <t>Avoid 3s10s this week</t>
  </si>
  <si>
    <t>1130am</t>
  </si>
  <si>
    <t>M24 FLY (C2)</t>
  </si>
  <si>
    <t>26 may 328pm, 30 may 750am</t>
  </si>
  <si>
    <t>Take 25 at 3 or 4 (10 @3, 15 @ 4) | Hold these | Cut 5 at 3</t>
  </si>
  <si>
    <t>Fly legged</t>
  </si>
  <si>
    <t>14m</t>
  </si>
  <si>
    <t>1144am</t>
  </si>
  <si>
    <t>US Services PMI (May) (P53.6 F52.6 A55.1)</t>
  </si>
  <si>
    <t>NZ HIKES 25 BP (5.5%) MKT 35BP | DECIDING B/W 0 &amp; 25BP</t>
  </si>
  <si>
    <t>ir j24 long missed by 1 tick | can go for yt nxt time | both gave 4-6ticks</t>
  </si>
  <si>
    <t>745AM</t>
  </si>
  <si>
    <t>D23 FLY (C2)</t>
  </si>
  <si>
    <t>Curve Anomaly + Kink back so front fly cant be negative</t>
  </si>
  <si>
    <t>FRI 2 JUL</t>
  </si>
  <si>
    <t>B4 RBA</t>
  </si>
  <si>
    <t>30 may 758am, 31 MAY 305PM</t>
  </si>
  <si>
    <t>Exit along with M24 FLy only | +1 +2 Ticks possible from both exits together</t>
  </si>
  <si>
    <t>Var 3 | D23</t>
  </si>
  <si>
    <t>Now less chances of cuts this year (until bank news bad) | D23</t>
  </si>
  <si>
    <t>1 jun 944am</t>
  </si>
  <si>
    <t>Exit 1</t>
  </si>
  <si>
    <t>All retracing (Might be lead lag) + better risk reward</t>
  </si>
  <si>
    <t>US session might retrace as opposing views slightly still exist</t>
  </si>
  <si>
    <t>953am</t>
  </si>
  <si>
    <t>Avoided TEDS as same concept trade and tick</t>
  </si>
  <si>
    <t>going anti | ret strength not enough</t>
  </si>
  <si>
    <t>CAUTION: DONT TAKE ALL TRADES OF ONE VIEW AT ONE TIME</t>
  </si>
  <si>
    <t>819am</t>
  </si>
  <si>
    <t>Scalping @ v5</t>
  </si>
  <si>
    <t>UK CPI (YoY) (Apr) (p10.1% f8.3% a8.7%)</t>
  </si>
  <si>
    <t xml:space="preserve">OUTRIGHTS went down </t>
  </si>
  <si>
    <t>1245PM</t>
  </si>
  <si>
    <t>For S23 fly @12 s</t>
  </si>
  <si>
    <t>957am</t>
  </si>
  <si>
    <t xml:space="preserve">NAKED FLIES, ONE DIRECTIONAL TRADES RISKY | GO FOR COMPLEX STRUCTURES| CONDORS (LTD RISK) </t>
  </si>
  <si>
    <t>BE AWARE OF CROWDED TRADES</t>
  </si>
  <si>
    <t>CHECK OI</t>
  </si>
  <si>
    <t>M24 HIGH OI, NXT IS S23 | OUT</t>
  </si>
  <si>
    <t>D23 SAFE OI (less oi)</t>
  </si>
  <si>
    <t>REDUCE EXPOSURE IN M24 FLY FIRST | NO EXIT OF HEDGES UNTIL NET PNL IS &gt;=+2 FOR SURE (VERY HIGH CHANCE)</t>
  </si>
  <si>
    <t>US GDP QOQ Q1 (p2.6% f1.1% a1.3%)</t>
  </si>
  <si>
    <t>Front spds went up</t>
  </si>
  <si>
    <t>US Initial jobless claims (p225k f250k a229k)</t>
  </si>
  <si>
    <t>640PM</t>
  </si>
  <si>
    <t>924PM</t>
  </si>
  <si>
    <t>1250AM</t>
  </si>
  <si>
    <t>140AM</t>
  </si>
  <si>
    <t>D23 FLY @ 3</t>
  </si>
  <si>
    <t>8H</t>
  </si>
  <si>
    <t>910am</t>
  </si>
  <si>
    <t>Retail Sales (MoM) (Apr)  (P0.4% F0.3% A0%)</t>
  </si>
  <si>
    <t>No major move</t>
  </si>
  <si>
    <t>Fly exec. error</t>
  </si>
  <si>
    <t>30 may 525am</t>
  </si>
  <si>
    <t>TIMEOUT | ALL STRATS D/UD | CONSERVE the nxt week</t>
  </si>
  <si>
    <t>STICK TO FLIES / COMPLEX STRATS</t>
  </si>
  <si>
    <t>AFTER DEBT -&gt; CURVE FLAT TO STEEP (BOTH BELLY , BACK EXPOSURE HEDGED POSITIONS) | 10 LOTS EACH AT 2 LEVELS</t>
  </si>
  <si>
    <t xml:space="preserve">Positions after RBA | iNTRADAY TILL THEN </t>
  </si>
  <si>
    <t xml:space="preserve">Less recession =&gt; more hikes can be absorbed </t>
  </si>
  <si>
    <t>329PM</t>
  </si>
  <si>
    <t xml:space="preserve">Less chances of cuts this year (for now) + less downside + hawkish </t>
  </si>
  <si>
    <t>840pm</t>
  </si>
  <si>
    <t>extra exposure over weekend</t>
  </si>
  <si>
    <t>US Core PCE Price Index (MOM) (Apr) (p0.3% f0.3% a0.4%)</t>
  </si>
  <si>
    <t>Bonds went down 2-4 ticks</t>
  </si>
  <si>
    <t>Ranged (26.5 - 29.5)</t>
  </si>
  <si>
    <t>30 may 417am</t>
  </si>
  <si>
    <t>Range's broken + INtrADAY only (No orders after 8.30am)</t>
  </si>
  <si>
    <t>740pm</t>
  </si>
  <si>
    <t>12+ h</t>
  </si>
  <si>
    <t>30 may 1155am</t>
  </si>
  <si>
    <t>544am</t>
  </si>
  <si>
    <t>JUNE</t>
  </si>
  <si>
    <t>Building approvals MOM (APR) (P-1% F2% A-8.1%)</t>
  </si>
  <si>
    <t>1 TICK SPD MOVEMENT</t>
  </si>
  <si>
    <t>31 MAY 7AM</t>
  </si>
  <si>
    <t>CPI YOY (P7%  F6.3% A6.8%)</t>
  </si>
  <si>
    <t>FRONT IR WENT DOWN BACKS BELLY WENT UP/SAME | YT WENT UP! | FRONT BELLY SPD DOWN | IB went hawkish | IR, IR SPDS, YT WENT DOVISH!</t>
  </si>
  <si>
    <t>TIMEOUT | ONLY EXITS | NO ENTRIES</t>
  </si>
  <si>
    <t>avoid 3S10S | CAN TRY BOND MOMENTUM</t>
  </si>
  <si>
    <t>F 6 . BL 10 . BK 15 ( NO 6M) | scalp/scratch</t>
  </si>
  <si>
    <t>VAR HL 75 1 LVL FRONT . 2 LVL BACKS (RED) . NO CONSECUTIVE | REMOVE IF GOT 1 / REDUCE LVLS</t>
  </si>
  <si>
    <t>red flies | condor | belly | some positions at extremes | 15, 15 | if not then reduce 5,5</t>
  </si>
  <si>
    <t>d23s m24s hl 75 squeeze chance | 10 . 1 lvl | nxt lvl will be for curve anomaly . 10 | 2 lvls 10 (scalp) 20 (fly) | TOTAL 30</t>
  </si>
  <si>
    <t>HL75 backs 2 lvls 15,30 | remove consecutive if fille / reduce 1 lvl | hedges finding easier | TOTAL 45</t>
  </si>
  <si>
    <t xml:space="preserve">IF ILLIQUIDITY reduce 1 lvl </t>
  </si>
  <si>
    <t>s23, d23, m24 still following momentum</t>
  </si>
  <si>
    <t>732am</t>
  </si>
  <si>
    <t>Sz + Var hl75</t>
  </si>
  <si>
    <t>Can make D23 fly @ 0 tgt &gt;=1</t>
  </si>
  <si>
    <t>FRI half exit</t>
  </si>
  <si>
    <t>16H</t>
  </si>
  <si>
    <t>1 JUL 1214AM</t>
  </si>
  <si>
    <t>820am</t>
  </si>
  <si>
    <t>S23 DEFLY</t>
  </si>
  <si>
    <t>Rz @ 11,12 FOR S23 FLY</t>
  </si>
  <si>
    <t>Hedged for D23 fly @ 1</t>
  </si>
  <si>
    <t>After RBA meeting</t>
  </si>
  <si>
    <t>2 jun (505am,532am,240pm,421pm)</t>
  </si>
  <si>
    <t>S23 -1 S D23 -12 B M24 -13 S</t>
  </si>
  <si>
    <t>s23 f 11 s | d23 f 1 b</t>
  </si>
  <si>
    <t>ALL MANUAL EXIT FROM SPDS | D23 SPD EXIT @ -13 FOR +2 , -14 FOR 0</t>
  </si>
  <si>
    <t>Converted to S23 defly @ 11</t>
  </si>
  <si>
    <t>FRI EMPTY GRID (except maybe the defly)</t>
  </si>
  <si>
    <t>TIGHTER POLICY MIGHT BE AHEAD</t>
  </si>
  <si>
    <t>557pm</t>
  </si>
  <si>
    <t>Hedge for CS fail (Work in CF)</t>
  </si>
  <si>
    <t>-3 or scratch</t>
  </si>
  <si>
    <t>range usually -4 to 0</t>
  </si>
  <si>
    <t>0 or -1</t>
  </si>
  <si>
    <t>1 JUL 718PM</t>
  </si>
  <si>
    <t>US JOLTS (P9.7M F9.7M A10.1M)</t>
  </si>
  <si>
    <t>D23 FLY (C1)</t>
  </si>
  <si>
    <t>M24S : For D23 Fly @ 1 (can be scratched) + scalping possible</t>
  </si>
  <si>
    <t>1 jun 955am</t>
  </si>
  <si>
    <t>EXECUTION ERROR | EXITED 200% FROM ASE</t>
  </si>
  <si>
    <t xml:space="preserve"> Check after partial lot exit nxt time!</t>
  </si>
  <si>
    <t>AVOID OBVIOUS/CROWDED TRADES . IF MOVE DOESNT COME IN FAVOUR / STARTS GOING ANTI | solution have some kind of hedge</t>
  </si>
  <si>
    <t>good @ minimizing losses | bad at maximizing losses | nxt time cut 20% at more than 1 tick (if possible)</t>
  </si>
  <si>
    <t>See in longer TF, enter manually in a better price; no multi levels, these are to be held longer; good RR trades, have hedges ready as well (if able to see)</t>
  </si>
  <si>
    <t>Expect Loss . easier regardless the outcome | 0 impact on market, neutralizing your mentality</t>
  </si>
  <si>
    <t>Live thru the losses before hand . staying rational if &amp; when trade setup fails becomes easier | helps against sunk cost fallacy as well</t>
  </si>
  <si>
    <t>Do your own research</t>
  </si>
  <si>
    <t>Flies with back hedges working better . Holding time is big, should scalp few lots, so take few extra</t>
  </si>
  <si>
    <t>Average clip should be on the attacking side; when win streak is getting high, &amp; uncertainty is just around the corner; SCALE DOWN</t>
  </si>
  <si>
    <t>W:R RATIO IS IMPORTANT | FLIES COMBINATIONS | DEFLIES CAN HAVE POSITIVE EXPECTANCY IN THE LONG RUN</t>
  </si>
  <si>
    <t>DONT CHECK IT TOO FREQUENTLY/ CHECK AFTER CAPPING/ MKT STATE CHANGE/TIMEOUTS</t>
  </si>
  <si>
    <t>At extremes take more lots to make flies; else take partially, might even get a better price | never hold more than a week, especially if theme changing events nearby</t>
  </si>
  <si>
    <t>ASE : Keep 1 leg . select the fastr moving one</t>
  </si>
  <si>
    <t>WIN-WIN SITUATIONS CAN BE CREATED IN ALTERNATE CONTRACTS FLIES ENTRY, SPDS EXIT</t>
  </si>
  <si>
    <t>IF L GAP DOESNT GIVE YOU &gt;=2 TICK PROFIT IMMEDIATELY (1HR OR LESS) -&gt; MAKE FLY IF POSSIBLE</t>
  </si>
  <si>
    <t>Take leaves if you dont want to trade a week; that way no one tells you what to do | lack of freedom and flexibility here</t>
  </si>
  <si>
    <t>For fly entries and exit see where value lies in spds, or participation might be higher (chances are that price will be difficult to get but will increase profitability; hence the trade off)</t>
  </si>
  <si>
    <t>NAKED FLIES, ONE DIRECTIONAL TRADES RISKY | GO FOR COMPLEX STRUCTURES| CONDORS (LTD RISK)</t>
  </si>
  <si>
    <t xml:space="preserve">AVOID CROWDED TRADES IF THEME MIGHT CHANGE OR SOME DRASTIC MOVE MIGHT HAPPEN </t>
  </si>
  <si>
    <t>EXECUTION ERROR | EXITED 200% FROM ASE |  Check after partial lot exit | USE 1 LEG for exit (Edit settings)</t>
  </si>
  <si>
    <t>Jun 23 live</t>
  </si>
  <si>
    <t>JUN</t>
  </si>
  <si>
    <t>955am</t>
  </si>
  <si>
    <t>by FRI</t>
  </si>
  <si>
    <t>1142am</t>
  </si>
  <si>
    <t>EUR CPI YOY MAY (P7% F6.3% A6.1%)</t>
  </si>
  <si>
    <t>ALL STRATS B</t>
  </si>
  <si>
    <t>US ADP NFE (MAY) (P291K F170K A278K)</t>
  </si>
  <si>
    <t>US Initial Jobless claims (p230k f235k a232k)</t>
  </si>
  <si>
    <t>718PM</t>
  </si>
  <si>
    <t>S24 FLY</t>
  </si>
  <si>
    <t>Fly exit  -&gt; enter</t>
  </si>
  <si>
    <t>survival</t>
  </si>
  <si>
    <t>706pm</t>
  </si>
  <si>
    <t>For fly</t>
  </si>
  <si>
    <t>hit n run</t>
  </si>
  <si>
    <t>ISM Mf PMI May (47.1 F47 A46.9)</t>
  </si>
  <si>
    <t>BACKS GOING DOWN</t>
  </si>
  <si>
    <t>ALL CLEAR AHEAD FOR FED TO HIKE / HIGHER FOR LONGER</t>
  </si>
  <si>
    <t>CAN STAY THE SAME WITH THE DEBT CEILING CONFIRMED</t>
  </si>
  <si>
    <t>1120PM</t>
  </si>
  <si>
    <t>converted to fly</t>
  </si>
  <si>
    <t>532AM</t>
  </si>
  <si>
    <t>559AM</t>
  </si>
  <si>
    <t>J24 FLY (C1)</t>
  </si>
  <si>
    <t>Ranged (-4 to 0)</t>
  </si>
  <si>
    <t>If cuts shifts backwards | curve flattening case / kink plateau (cf)| scalping</t>
  </si>
  <si>
    <t>-1,0</t>
  </si>
  <si>
    <t>Add  more @ -4 . 20 more</t>
  </si>
  <si>
    <t>7 JUN 756PM</t>
  </si>
  <si>
    <t xml:space="preserve">Added more  </t>
  </si>
  <si>
    <t>US NFP MAY (P294K F180K A339K)</t>
  </si>
  <si>
    <t>Front spd went up | net hawkish view | ir, yt went down, retraced a little | front spds went up much later (near closing hours)</t>
  </si>
  <si>
    <t>847pm</t>
  </si>
  <si>
    <t>Scalping/ret</t>
  </si>
  <si>
    <t>936am</t>
  </si>
  <si>
    <t>US UNEMPLOYMENT RATE (P3.4% F3.5% A3.7%)</t>
  </si>
  <si>
    <t>229am</t>
  </si>
  <si>
    <t>M24 FLY (c1)</t>
  </si>
  <si>
    <t>HEDGE FOR J24 FLY (cs) | cuts shifts in front + M24 DEFLY 3 SHORT IS SAFE</t>
  </si>
  <si>
    <t>1130AM AFTER RBA</t>
  </si>
  <si>
    <t>3 jun 357am, 1153AM</t>
  </si>
  <si>
    <t>Scalping +SZ -10</t>
  </si>
  <si>
    <t>FOR S24 FLY @ -1, 0</t>
  </si>
  <si>
    <t>12 45PM</t>
  </si>
  <si>
    <t>NI b4 meeting</t>
  </si>
  <si>
    <t>504AM</t>
  </si>
  <si>
    <t>FOR D23 FLY B 2</t>
  </si>
  <si>
    <t>2.5h, 4.5h</t>
  </si>
  <si>
    <t>742am, 1112am</t>
  </si>
  <si>
    <t xml:space="preserve">MISSED D23 12 (0 PIQ) MISSED HITTING -11 | WENT TILL 9! (2 TICKS </t>
  </si>
  <si>
    <t>US Services PMI (MAY) (P53.6 F55.1 A54.9)</t>
  </si>
  <si>
    <t xml:space="preserve">TUE . RBA | BACKS (J24,S24,D24,M25) HL75 . 15 2 VAR | 30 3 VAR -&gt; FLIES TRY | AVOID POSITIONAL IN J23,S23 | D23 B | AVOID M24 </t>
  </si>
  <si>
    <t>WED LOWE SPEECH + GDP -&gt; BACKS SCALP | BELLY POSITIONAL</t>
  </si>
  <si>
    <t xml:space="preserve">THU SCALP AGGRESSIVE 7 LOTS | 21 LOTS HL75 | FOLLOW NEWS/ COMMENTS, BANKS </t>
  </si>
  <si>
    <t>FRI -&gt; EMPTY INTRADAY, ENTER PSOITIONAL HEDGED</t>
  </si>
  <si>
    <t>TO HELL W RT | TRADE UR STYLE IMPROVE THE LOTS SIZING</t>
  </si>
  <si>
    <t xml:space="preserve">ALL DEFENSIVE STRATS </t>
  </si>
  <si>
    <t>US ISM NM PMI MAY (P59.6 F57.8 A56.2)</t>
  </si>
  <si>
    <t>D23S S RETRACE . 7 X (-5) . 21 X (-2)</t>
  </si>
  <si>
    <t>M4S 15 X (-9)</t>
  </si>
  <si>
    <t>J24,S24,D24 S S HL75 . 30</t>
  </si>
  <si>
    <t>Converted to Fly</t>
  </si>
  <si>
    <t>10AM</t>
  </si>
  <si>
    <t xml:space="preserve">RBA HIKES 25 BP (4.15%) </t>
  </si>
  <si>
    <t>BIG MOVES WHOLE CURVE (FRONT SPDS WENT UP RETRACED | BELLY LESS MOVEMENT | BACKS 3-4 TICKS MOVEMENT (TOTAL) | outrights 2nd (s23) retraced from the near extreme case price (4-5 ticks)</t>
  </si>
  <si>
    <t>RBA:  FURTHER INCREASE IN INTEREST RATES IS TO PROVIDE GREATER CONFIDENCE THAT INFLATION WILL RETURN TO TARGET WITHIN A REASONABLE TIMEFRAME</t>
  </si>
  <si>
    <t>RBA:  BOARD REMAINS ALERT TO THE RISK THAT EXPECTATIONS OF ONGOING HIGH INFLATION CONTRIBUTE TO LARGER INCREASES IN BOTH PRICES AND WAGES</t>
  </si>
  <si>
    <t>While goods price inflation is slowing, service based inflations is still very high</t>
  </si>
  <si>
    <t xml:space="preserve">growth slowed; labour eased but tight (wow) | </t>
  </si>
  <si>
    <t>10 references to wage growth, tight labour markets &amp; rising unit labour costs in today's RBA statement </t>
  </si>
  <si>
    <t>Ranged</t>
  </si>
  <si>
    <t>Cuts will either go back / stay same (better RR)</t>
  </si>
  <si>
    <t>CURVE FLATTENING</t>
  </si>
  <si>
    <t>RANGE BRK</t>
  </si>
  <si>
    <t>-1, 0</t>
  </si>
  <si>
    <t>Fewer cuts</t>
  </si>
  <si>
    <t xml:space="preserve">1H </t>
  </si>
  <si>
    <t>AFTER EVENT</t>
  </si>
  <si>
    <t>Fewer hikes after NOV23</t>
  </si>
  <si>
    <t>7 jun 745am</t>
  </si>
  <si>
    <t>IB JUL 23</t>
  </si>
  <si>
    <t>Hawkish sentiment might prevail (better RR) AS LONG AS NO CUTS ARE PRICED IN!</t>
  </si>
  <si>
    <t>cut b4 US cpi</t>
  </si>
  <si>
    <t>14 jun 536am</t>
  </si>
  <si>
    <t>7 bp -&gt; 10bp</t>
  </si>
  <si>
    <t>Stat arb (-15 to -17 Sz)</t>
  </si>
  <si>
    <t>COULD BE SCRATCHED IF GOES BELOW -17</t>
  </si>
  <si>
    <t>J24 FLY @ -3 OR -4</t>
  </si>
  <si>
    <t>7 JUN 445AM</t>
  </si>
  <si>
    <t>3 CONVERTED TO J24 FLY @ -3</t>
  </si>
  <si>
    <t>932pm</t>
  </si>
  <si>
    <t>3s10s</t>
  </si>
  <si>
    <t>Sz at -15</t>
  </si>
  <si>
    <t xml:space="preserve">7 jun 237pm </t>
  </si>
  <si>
    <t>Failed the Sz + Fakeout strength not able to read</t>
  </si>
  <si>
    <t>8 BP</t>
  </si>
  <si>
    <t>10bp</t>
  </si>
  <si>
    <t>700AM</t>
  </si>
  <si>
    <t>GDP QOQ Q1 (P0.5% F0.8% A0.2%)</t>
  </si>
  <si>
    <t>added more</t>
  </si>
  <si>
    <t>CONVERTED TO FLY</t>
  </si>
  <si>
    <t>FLY EXIT JUN 24 F -2</t>
  </si>
  <si>
    <t>521pm</t>
  </si>
  <si>
    <t>BOC HIKE SURPRISE 25 BP (4.75%)</t>
  </si>
  <si>
    <t>Bonds ir went down ; ib went down 4-5 ticks | front 3 spds went up 6,3,3 ticks</t>
  </si>
  <si>
    <t>Surprise hike</t>
  </si>
  <si>
    <t>Added more at 6</t>
  </si>
  <si>
    <t>3M</t>
  </si>
  <si>
    <t>NO quick momentum here | BORING</t>
  </si>
  <si>
    <t>went down after 10 mins that also 1 tick 40m 4-5ticks Ret 3 ticks nxt 20-30m</t>
  </si>
  <si>
    <t>Scalping + hedge if outright fails + Sz @ 6</t>
  </si>
  <si>
    <t>1034pm, 8 jun23 8am</t>
  </si>
  <si>
    <t>8 jun 221am, 841am</t>
  </si>
  <si>
    <t>10m</t>
  </si>
  <si>
    <t>732AM</t>
  </si>
  <si>
    <t>J24 FLY m (C1)</t>
  </si>
  <si>
    <t xml:space="preserve">J24 SPD IN BAD POSITION -&gt; CONVERTED TO FLY J24 @ -2 (SAFER IN LONG RUN) </t>
  </si>
  <si>
    <t>9 jun 55pm</t>
  </si>
  <si>
    <t xml:space="preserve">5 j24 s -16 . 10 j24 s -15 </t>
  </si>
  <si>
    <t>807am</t>
  </si>
  <si>
    <t>859am</t>
  </si>
  <si>
    <t>Add more @ -11 x 10</t>
  </si>
  <si>
    <t>9 jun 359am</t>
  </si>
  <si>
    <t>1 tick market | very poor read of markets, avoid trading (especially with higher lots)</t>
  </si>
  <si>
    <t>EMPTY GRID (REDUCE FLY EXPOSURE BY FRI 1ST SESSION END/ FRI END)</t>
  </si>
  <si>
    <t>TIMEOUT | ALL B</t>
  </si>
  <si>
    <t xml:space="preserve">TUE - US CPI | LESS EXPOSURE IN ANY SPD (EXPECT CALENDARS TO GO EMPTY AS WELL) HL85/90 | BE SELCTIVE / BALANCED EXPOSURE | STAY ALERT FOR HEDGES / BETTER OPTIONS </t>
  </si>
  <si>
    <t>WED - FED INTEREST RATE | NO QUOTING ORDERS | IF FEASIBLE AND SHOCK (25BP) TRY IR WHITES (2,3,4)</t>
  </si>
  <si>
    <t>THU - AUS LABOUR DATA | TRY IR WHITES (2,3,4)</t>
  </si>
  <si>
    <t>117PM</t>
  </si>
  <si>
    <t>FLY EXIT TRY</t>
  </si>
  <si>
    <t>422PM</t>
  </si>
  <si>
    <t>FLY EXIT J24 @ -1</t>
  </si>
  <si>
    <t>425PM</t>
  </si>
  <si>
    <t>Converted to fly @ -3</t>
  </si>
  <si>
    <t>US Initial Jobless claims (P233K F235K A261K)</t>
  </si>
  <si>
    <t>758PM</t>
  </si>
  <si>
    <t>S24 FLY m (C1)</t>
  </si>
  <si>
    <t>AUS EMPLOYMENT DATA</t>
  </si>
  <si>
    <t>438AM</t>
  </si>
  <si>
    <t>1150pm</t>
  </si>
  <si>
    <t>INTRADAY 1 TICK WORKING</t>
  </si>
  <si>
    <t>Multi lvl 2 might be better</t>
  </si>
  <si>
    <t>640am</t>
  </si>
  <si>
    <t>M25 SPD</t>
  </si>
  <si>
    <t>Scalping (2 LVL) + Sz -8</t>
  </si>
  <si>
    <t>13 jun 440am</t>
  </si>
  <si>
    <t>not putting tt retry helped!</t>
  </si>
  <si>
    <t>S24 FLY (m) (c1)</t>
  </si>
  <si>
    <t>15 jun 836am, 20 jun 745am</t>
  </si>
  <si>
    <t>gg! wp ACE</t>
  </si>
  <si>
    <t>646AM</t>
  </si>
  <si>
    <t>FED, AUS LABOUR DATA</t>
  </si>
  <si>
    <t>22 left | hold and try to get -1 x 15</t>
  </si>
  <si>
    <t>12PM</t>
  </si>
  <si>
    <t>Cuts might be less priced in + fewer hikes =&gt; Towards 0 like S23 spd (downside is -11 worse case from pricing)</t>
  </si>
  <si>
    <t>7h, 1d</t>
  </si>
  <si>
    <t>9 jun 359am, 13 jun 715pm, 14 JUN 422AM, 535am</t>
  </si>
  <si>
    <t>HODL | 4 left</t>
  </si>
  <si>
    <t>US CORE CPI MOM (MAY) (P0.4% F0.4% A0.4%)</t>
  </si>
  <si>
    <t>US CPI YOY MAY (P4.9% F4.1% A4%)</t>
  </si>
  <si>
    <t>US CPI MOM MAY (P0.4% F0.2% A0.1%)</t>
  </si>
  <si>
    <t>1130PM</t>
  </si>
  <si>
    <t>FED SKIPS 0BP (5.25%)</t>
  </si>
  <si>
    <t>SKIP NOW 2 MORE HIKES IF NEEDED (HAWKISH PAUSE) | 1 TICK MOVEMENT IN SPDS</t>
  </si>
  <si>
    <t>FED interest rate projection Q2 (p5.1% a5.6%)</t>
  </si>
  <si>
    <t>Fewer cuts in 23 + 2 more hikes in US this year</t>
  </si>
  <si>
    <t>m, 7h</t>
  </si>
  <si>
    <t>1205AM, 15 jun event</t>
  </si>
  <si>
    <t>Difficult read on mkts | scratched</t>
  </si>
  <si>
    <t>AUD Unemployment rate (p3.7% f3.7% a3.6%)</t>
  </si>
  <si>
    <t>SPDS went down! IR went down by 10bp then kept going extra 5-7bp</t>
  </si>
  <si>
    <t>TIMEOUT THU | Selective + D fronts &amp; belly</t>
  </si>
  <si>
    <t>FRI - RET.  (D)</t>
  </si>
  <si>
    <t>Let the range form by this week | nxt week news might be movers | scalping selective B</t>
  </si>
  <si>
    <t>Momentum would have failed</t>
  </si>
  <si>
    <t>AUD Employment Change (May) (P-4.3K F15K A75.9K)</t>
  </si>
  <si>
    <t>ECB HIKES 25BP (4%)</t>
  </si>
  <si>
    <t>US CORE RETAIL SALES MOM MAY (P0.4% F0.1% A0.1%)</t>
  </si>
  <si>
    <t>US INITIAL JOBLESS CLAIMS (PP262K F250K A262K)</t>
  </si>
  <si>
    <t>PHILLY FED MFG (P-10.4 F-13.5 A-13.7)</t>
  </si>
  <si>
    <t>US RETAIL SALES MOM MAY (P0.4% F-0.1% A0.3%)</t>
  </si>
  <si>
    <t>nxt bad event will probably price in cuts</t>
  </si>
  <si>
    <t>BOJ can be interesting</t>
  </si>
  <si>
    <t>banks might fail till july due to hikes -&gt; cuts</t>
  </si>
  <si>
    <t>824pm</t>
  </si>
  <si>
    <t>Scalping + stat arb (last sz -10)</t>
  </si>
  <si>
    <t>11H</t>
  </si>
  <si>
    <t>16 JUN 809AM</t>
  </si>
  <si>
    <t>921PM</t>
  </si>
  <si>
    <t>CONVERTED TO 6M | LESSER RISK</t>
  </si>
  <si>
    <t>2 entries equal wts</t>
  </si>
  <si>
    <t>1015pm</t>
  </si>
  <si>
    <t>S24 6M SPD</t>
  </si>
  <si>
    <t>Scalping + stat arb (last sz -10) for both S24 &amp; D24 SPDs</t>
  </si>
  <si>
    <t>already below prev sz by 3 ticks extra 3 ticks should be able to retrace back</t>
  </si>
  <si>
    <t>16 jun 759am</t>
  </si>
  <si>
    <t xml:space="preserve">TIMEOUT | NEW STATE </t>
  </si>
  <si>
    <t>BANK RISK MIGHT BE AROUND THE CORNER | A BLACK SWAN EVENT MIGHT BE ON THE HORIZON AS WELL TILL AUG23</t>
  </si>
  <si>
    <t xml:space="preserve">can trade at least (B) after 20th </t>
  </si>
  <si>
    <t>not many movements | try scalping aggressively at belly backs | hl 50 / oc at fronts (b)</t>
  </si>
  <si>
    <t>BACKS WENT UP (LESS HIKES LESS CUTS (SPREAD OUT)</t>
  </si>
  <si>
    <t>converted to fly @ 0,-1</t>
  </si>
  <si>
    <t>730AM</t>
  </si>
  <si>
    <t>some cuts should be priced in here</t>
  </si>
  <si>
    <t>935am</t>
  </si>
  <si>
    <t>850AM</t>
  </si>
  <si>
    <t>BULLOCK SPEECH | HAVE BEEN WILLING TO ACCEPT MORE GRADUAL RETURN OF INFLATION TO TARGET THAN MANY OTHER CENTRAL BANKS</t>
  </si>
  <si>
    <t>BY WEEKEND INTRADAY (B) (THU)</t>
  </si>
  <si>
    <t>THU empty/ reduce exposure all strats</t>
  </si>
  <si>
    <t>905am</t>
  </si>
  <si>
    <t>IB JUL23</t>
  </si>
  <si>
    <t>12 bp</t>
  </si>
  <si>
    <t>Added more</t>
  </si>
  <si>
    <t>725pm</t>
  </si>
  <si>
    <t>5 CONVERTED TO fly @ 1</t>
  </si>
  <si>
    <t>Kink trade (CS)</t>
  </si>
  <si>
    <t>27 jun 845am</t>
  </si>
  <si>
    <t>J24 -16 B</t>
  </si>
  <si>
    <t>Ace!!</t>
  </si>
  <si>
    <t>949AM</t>
  </si>
  <si>
    <t>S24 FLY (c1)</t>
  </si>
  <si>
    <t>Range (0,-1 to -4,-3)</t>
  </si>
  <si>
    <t>26 JUN 930PM</t>
  </si>
  <si>
    <t>EXIT C1</t>
  </si>
  <si>
    <t>UK CPI YY MAY (P8.7% F8.4% A8.7%)</t>
  </si>
  <si>
    <t>FRONT SPD WENT UP BONDS WENT DOWN</t>
  </si>
  <si>
    <t>still 2 hikes in US</t>
  </si>
  <si>
    <t>10 bp</t>
  </si>
  <si>
    <t>22 JUN 430PM</t>
  </si>
  <si>
    <t>no IB entriies</t>
  </si>
  <si>
    <t>reduce 1 by weekend</t>
  </si>
  <si>
    <t>430PM</t>
  </si>
  <si>
    <t>BOE HIKES 50BP (4%)</t>
  </si>
  <si>
    <t>BONDS WENT DOWN BUT RETRACED MORE THAN INITIAL ! , NO MAJOR MOVE ELSE WHERE</t>
  </si>
  <si>
    <t>Ret of 3-10 can be tried if spikes come form NON AUSSIE / US events (over-reaction in bonds differential can be exploited)</t>
  </si>
  <si>
    <t>544PM</t>
  </si>
  <si>
    <t xml:space="preserve">Range (0,-1 to -4,-3) </t>
  </si>
  <si>
    <t>some cuts should be priced in here (S24)</t>
  </si>
  <si>
    <t>s24 fly s -1,0  (cf -&gt; cs)</t>
  </si>
  <si>
    <t>-3,-4 (-4 entry if after 2w)</t>
  </si>
  <si>
    <t>27 JUN 4AM, 6 JUL 619PM</t>
  </si>
  <si>
    <t>hodl (10 left)</t>
  </si>
  <si>
    <t>CF then add 18 @ 0</t>
  </si>
  <si>
    <t>927pm</t>
  </si>
  <si>
    <t>S23 6m fly</t>
  </si>
  <si>
    <t>Scalping (RANGE)</t>
  </si>
  <si>
    <t>Pricing wise 11 to 13 is the level + SOME CUTS SHOULD FADE (M24)</t>
  </si>
  <si>
    <t>6m Fly (HEDGE)</t>
  </si>
  <si>
    <t>26 jun 7am</t>
  </si>
  <si>
    <t>s23 11 -&gt; 11 ; d23 -12 hold x4 -&gt; -11 x2</t>
  </si>
  <si>
    <t>929PM</t>
  </si>
  <si>
    <t>Scalping + (-4) Rz (RANGE)</t>
  </si>
  <si>
    <t>d23 fly 8 (stat arb) (HEDGE)</t>
  </si>
  <si>
    <t>27 jun 718pm</t>
  </si>
  <si>
    <t xml:space="preserve">m24 -12 -&gt; -11 </t>
  </si>
  <si>
    <t>1054PM</t>
  </si>
  <si>
    <t xml:space="preserve">Pricing wise at extremes </t>
  </si>
  <si>
    <t>23 jun 959am, 1250pm</t>
  </si>
  <si>
    <t xml:space="preserve">Hawkish views in long run | switched to intraday </t>
  </si>
  <si>
    <t>610pm</t>
  </si>
  <si>
    <t>Still more hikes left (pause zone)</t>
  </si>
  <si>
    <t>28 JUN EVENT</t>
  </si>
  <si>
    <t>FLY EXIT S24 -1</t>
  </si>
  <si>
    <t>113PM</t>
  </si>
  <si>
    <t>610PM</t>
  </si>
  <si>
    <t>Fly exit -2 s24</t>
  </si>
  <si>
    <t>TIME TO HEDGE?</t>
  </si>
  <si>
    <t>LOOK FOR DEFLY, COMBINATION, HEDGED FLIES</t>
  </si>
  <si>
    <t>NO FRONTS B4 MEETING | NO BIAS, NO RR, SCALP (B) @ BACKS</t>
  </si>
  <si>
    <t>ONLY INTRADAY ON WED / SCALP SHORT TERM</t>
  </si>
  <si>
    <t>808am</t>
  </si>
  <si>
    <t>Still hawkish bias + still 2 hikes in US</t>
  </si>
  <si>
    <t>28 jun 530pm</t>
  </si>
  <si>
    <t>ULTRA DOVISH SO QUICK EXIT TRY</t>
  </si>
  <si>
    <t>Strat HAS FAILED</t>
  </si>
  <si>
    <t>Went to 5bp! retraced to 11bp nxt day 12bp after that! (made the odds 50:50)</t>
  </si>
  <si>
    <t>AUD CPI (P6.8% F6.1% A5.6%)</t>
  </si>
  <si>
    <t>Ultra dovish | front spds went down for 15m | ir yt retraced in 10 mins | backs 1 tick movement</t>
  </si>
  <si>
    <t>Avoid Red IR s at all cost now | stick to YT (LEARN)</t>
  </si>
  <si>
    <t>NOT SO DOVISH AFTER ALL | MAJOR SENTIMENT - STILL INFLATION HIGH | MEANS MORE HIKES TO COME</t>
  </si>
  <si>
    <t>DONT BE AGRESSIVE HAWK SOON</t>
  </si>
  <si>
    <t>Scalping (Ret)</t>
  </si>
  <si>
    <t>29 jun 2am</t>
  </si>
  <si>
    <t>Stick to intraday/1D b4 RBA</t>
  </si>
  <si>
    <t>YT SEP23</t>
  </si>
  <si>
    <t xml:space="preserve">Retracement </t>
  </si>
  <si>
    <t>Ret mkt</t>
  </si>
  <si>
    <t xml:space="preserve">Went to 96.17 After 40m </t>
  </si>
  <si>
    <t>try for 3:4, 3:5 kind of ratio | use Trailing SL nxt time (aggressive)</t>
  </si>
  <si>
    <t>ret mkt</t>
  </si>
  <si>
    <t>49m</t>
  </si>
  <si>
    <t>749am</t>
  </si>
  <si>
    <t>Stick to intraday/1d b4 RBA</t>
  </si>
  <si>
    <t>1055AM</t>
  </si>
  <si>
    <t>29 JUN 7AM</t>
  </si>
  <si>
    <t>Retail Sales (MoM) (May) (p0% f0.1% a0.7%)</t>
  </si>
  <si>
    <t>IB went down | spds 1,2 tick movement</t>
  </si>
  <si>
    <t>US GDP QOQ Q1 (P2.6% F1.4% A2%)</t>
  </si>
  <si>
    <t xml:space="preserve">FRONTS 1 TICK MOVEMENT up | bonds went down </t>
  </si>
  <si>
    <t>Economy good | more room for hikes or no need to cut near term</t>
  </si>
  <si>
    <t>probably no cuts in this yr</t>
  </si>
  <si>
    <t>919AM</t>
  </si>
  <si>
    <t xml:space="preserve">M24 FLY </t>
  </si>
  <si>
    <t>Scalping + Rz  (M24)</t>
  </si>
  <si>
    <t>M24 FLY STAT ARB + DEFLY CHANCE (front cs -&gt; cf)</t>
  </si>
  <si>
    <t>9 extreme (hold that) / cut if 10 is touched</t>
  </si>
  <si>
    <t>near 4</t>
  </si>
  <si>
    <t>ADD MORE @ 9</t>
  </si>
  <si>
    <t>6 jul 230am</t>
  </si>
  <si>
    <t>converted spd to fly as better odds and lesser risk with longer time</t>
  </si>
  <si>
    <t xml:space="preserve">Will work if some flattening in the front takes place </t>
  </si>
  <si>
    <t>weird markets | odds 50:50</t>
  </si>
  <si>
    <t>After RBA more strats | monday timeout</t>
  </si>
  <si>
    <t>EUR CPI YOY JUN (P6.1% F5.6% A5.5%)</t>
  </si>
  <si>
    <t>NO Fs were given</t>
  </si>
  <si>
    <t>EUR CORE CPI YOY (P5.3% F5.5% A5.4%)</t>
  </si>
  <si>
    <t>EUR UNEMP RATE (MAY) (P6.5% F6.5% A6.5%)</t>
  </si>
  <si>
    <t xml:space="preserve"> Core PCE Price Index (MoM) (May) (P0.4% F0.3% A0.3%)</t>
  </si>
  <si>
    <t>Core PCE Price Index (YoY) (May) (P4.7% F4.7% A4.6%)</t>
  </si>
  <si>
    <t>PCE Price index (YoY) (May) (P4.3% F4.6% A3.8%)</t>
  </si>
  <si>
    <t>Michigan Consumer Sentiment (Jun) (P59.2 F68 A69)</t>
  </si>
  <si>
    <t>IF PIQ is good then dont reduce lots unless lots are also getting reduced</t>
  </si>
  <si>
    <t>F anti -&gt; S Ret Hdg</t>
  </si>
  <si>
    <t>Jul 23 live</t>
  </si>
  <si>
    <t>JUL</t>
  </si>
  <si>
    <t>204AM</t>
  </si>
  <si>
    <t>D23 DEFLY</t>
  </si>
  <si>
    <t>Add 4 more deflies -2 add 10 more @ -4</t>
  </si>
  <si>
    <t>ADDED MORE @ 0</t>
  </si>
  <si>
    <t xml:space="preserve">D23 Defly @ -2 </t>
  </si>
  <si>
    <t>-2,-3</t>
  </si>
  <si>
    <t>4 jul 603am</t>
  </si>
  <si>
    <t>scalp / scratch</t>
  </si>
  <si>
    <t>had to exit b4 rba (wasnt able to cut) | a good excercise sometimes</t>
  </si>
  <si>
    <t>Building Approvals (MoM) (May)  (P-6.8% F2% A20.6%)</t>
  </si>
  <si>
    <t>ib, ir went up</t>
  </si>
  <si>
    <t xml:space="preserve">L GAP TRY </t>
  </si>
  <si>
    <t>NO TT RETRY</t>
  </si>
  <si>
    <t>830pm</t>
  </si>
  <si>
    <t>S24 FLY EXIT -3</t>
  </si>
  <si>
    <t>14h</t>
  </si>
  <si>
    <t>Not in favour</t>
  </si>
  <si>
    <t xml:space="preserve">TUE </t>
  </si>
  <si>
    <t>RBA cash rate unchanged (4.1%)</t>
  </si>
  <si>
    <t>50m</t>
  </si>
  <si>
    <t>1053am</t>
  </si>
  <si>
    <t xml:space="preserve">dec should not have any hikes so small chance of going down (IR) + TIME -&gt; exit </t>
  </si>
  <si>
    <t>4 ticks more by 1135am!</t>
  </si>
  <si>
    <t>IR permanently 2 lots for all ret in 1st 3 irs</t>
  </si>
  <si>
    <t>140PM</t>
  </si>
  <si>
    <t>converted to d23 defly @ 0</t>
  </si>
  <si>
    <t>D23 DEFLY (c1)</t>
  </si>
  <si>
    <t>BETTER ODDS FOR DRAW AT LEAST THAN M24 FLY @ 6</t>
  </si>
  <si>
    <t>1125am</t>
  </si>
  <si>
    <t>D24 6MF (c1)</t>
  </si>
  <si>
    <t>Sz (-6,-7) + ranged (-3,-7)</t>
  </si>
  <si>
    <t xml:space="preserve">cs to cf </t>
  </si>
  <si>
    <t>Both legs taken @ hit</t>
  </si>
  <si>
    <t>EXIT BY TUE</t>
  </si>
  <si>
    <t>d24 exit -14 x3</t>
  </si>
  <si>
    <t>130PM</t>
  </si>
  <si>
    <t>ADP NFE (P267K F228K A497K)</t>
  </si>
  <si>
    <t>WHITE SPDS moved up ir went down</t>
  </si>
  <si>
    <t>SCALE UP AND LOWER FREQUENCIES | WEIRD CURVE</t>
  </si>
  <si>
    <t xml:space="preserve">EMPTY GRID BY MON2ND, TUE | EMPTY ALL (AT LEAST W) | ONLY FLIES HOLD ; HAVE ROOM FOR ERROR 15WDF 12RDF </t>
  </si>
  <si>
    <t xml:space="preserve">THU - US activity | lg, pa (A), reds (UA) hedged </t>
  </si>
  <si>
    <t>fri - Only reds (B)</t>
  </si>
  <si>
    <t>Initial jobless (p236k f245k a248k)</t>
  </si>
  <si>
    <t>715PM</t>
  </si>
  <si>
    <t>Services PMI (P54.9 F54.1 A54.4)</t>
  </si>
  <si>
    <t>ISM Non mfg PMI (P50.3 F51 A53.9)</t>
  </si>
  <si>
    <t>FRONT SPDS WENT UP</t>
  </si>
  <si>
    <t>JOLTS (P10M F9.9M A9.8M)</t>
  </si>
  <si>
    <t>EXIT BY MON/ FRI HALF</t>
  </si>
  <si>
    <t>12+h</t>
  </si>
  <si>
    <t>7 jul 1115am,12pm, 605PM</t>
  </si>
  <si>
    <t>ALL HAWKISH - MORE HIKES TO COME NO PAUSE SOON</t>
  </si>
  <si>
    <t>Exit conservatively . DONE</t>
  </si>
  <si>
    <t>OI decreased during &amp; afterwards and price went down later on | people exited later on (entry by traders on squeeze of others losses near 30)</t>
  </si>
  <si>
    <t>went to 20 on 12 july (5 days) | 10 ticks from extreme high + stat arb + LG new kind</t>
  </si>
  <si>
    <t>TIME HORIZON | COULD HAVE HELD FEW LOTS FOR LONGER</t>
  </si>
  <si>
    <t>810PM</t>
  </si>
  <si>
    <t>Fly</t>
  </si>
  <si>
    <t>7 jul 605am</t>
  </si>
  <si>
    <t>1210am</t>
  </si>
  <si>
    <t>J24 DEFLY (c1)</t>
  </si>
  <si>
    <t>12in | 18 more can be added</t>
  </si>
  <si>
    <t>733am, 823am</t>
  </si>
  <si>
    <t>15in | 15 more can be added</t>
  </si>
  <si>
    <t>Avg hourly earnings mom jun (p0.3% f0.3% a0.4%)</t>
  </si>
  <si>
    <t>CONSERVATIVE SIZING</t>
  </si>
  <si>
    <t>MON onwards exit | reduce all by tue 1st session | no whites</t>
  </si>
  <si>
    <t>NFP JUN (P306K F225K A209K)</t>
  </si>
  <si>
    <t>Unemp. rate (p3.7% f3.6% a3.6%)</t>
  </si>
  <si>
    <t>930PM</t>
  </si>
  <si>
    <t>Scalping + SZ (-10)</t>
  </si>
  <si>
    <t>10 jul 426am</t>
  </si>
  <si>
    <t>No hedge so scalp immediately | although it might seem like a good trade</t>
  </si>
  <si>
    <t>Fly exit/s24 6mfly -7,-6 (sz)</t>
  </si>
  <si>
    <t>12 jul 9pm</t>
  </si>
  <si>
    <t>failed attempt</t>
  </si>
  <si>
    <t>1023AM</t>
  </si>
  <si>
    <t>Tom rbnz, room for error available | CA (A) . V 3-5 (A) W scalping (intraday)  |  R (18CA,24(CA+V3)) ALT 24 | W V3-5 (9 TO 12) | BONDS 3-10, LEAD LAG, RET LOOKOUT AT LEAST 1 LOT TRADE NECESSARY</t>
  </si>
  <si>
    <t>US CPI | SCALPING / RET (B)</t>
  </si>
  <si>
    <t>Fresh flow of money will be waiting less chance of extreme squeeze | instead positioning/sticky mkt will be in play</t>
  </si>
  <si>
    <t>UK UE RATE (P3.8% F3.8% A45)</t>
  </si>
  <si>
    <t>1154am</t>
  </si>
  <si>
    <t>Scalping (v5) while other HL 50</t>
  </si>
  <si>
    <t>Still hikes left</t>
  </si>
  <si>
    <t>110PM</t>
  </si>
  <si>
    <t>10 more can be added</t>
  </si>
  <si>
    <t xml:space="preserve">ALL INTRADAY FROM HERE ON </t>
  </si>
  <si>
    <t>8 MORE J24 DEFLY &gt;=10</t>
  </si>
  <si>
    <t>S24 FLY -4,-5 | J24 FLY 6,7</t>
  </si>
  <si>
    <t>RBNZ Unchanged 5.5%</t>
  </si>
  <si>
    <t>830AM</t>
  </si>
  <si>
    <t>LOWE SPEAKS | RBA CHANGES</t>
  </si>
  <si>
    <t>Scalping + hl75</t>
  </si>
  <si>
    <t>920AM</t>
  </si>
  <si>
    <t>IB AUG23</t>
  </si>
  <si>
    <t>US CORE CPI JUN YOY (P5.3% F5% A4.8%)</t>
  </si>
  <si>
    <t>DURING PAUSE CYCLE (OR TRANSITION PHASE) MOVEMENT COMES FROM BELLY (BELLY BECOMES LEADING)</t>
  </si>
  <si>
    <t>BELLY MOVED  A LOT (D23 6 M24 5 J24 4)</t>
  </si>
  <si>
    <t>US CPI YOY (P4% F3.1% A3%)</t>
  </si>
  <si>
    <t>US CPI MOM (P0.1% F0.3% A0.2%)</t>
  </si>
  <si>
    <t>Sz (-4)</t>
  </si>
  <si>
    <t>Curve anomaly (not for long duration) (cs - cf)</t>
  </si>
  <si>
    <t>17 JUL 210PM, 18 jul 130pm, 19 JUL 738AM</t>
  </si>
  <si>
    <t>SPD EXIT VB MKT</t>
  </si>
  <si>
    <t>Curve anomaly (cs - cf)</t>
  </si>
  <si>
    <t>12D</t>
  </si>
  <si>
    <t>21 jul 628am, 24 jul 130pm</t>
  </si>
  <si>
    <t>J24 F 5 S24 FLY -4 ENTRY ASSUME</t>
  </si>
  <si>
    <t xml:space="preserve">Assume the maximum traded price for j24 spd } -12 as that gets neutralized from d23 defly </t>
  </si>
  <si>
    <t>J24 S -12</t>
  </si>
  <si>
    <t>711PM</t>
  </si>
  <si>
    <t>Rz (10) + RET</t>
  </si>
  <si>
    <t>DEFLATION/RECESSION FEARS MIGHT STILL BE THERE</t>
  </si>
  <si>
    <t>NEAR 5</t>
  </si>
  <si>
    <t>ADD MORE @ 13.5</t>
  </si>
  <si>
    <t>1H,3H</t>
  </si>
  <si>
    <t>838Pm, 1020PM</t>
  </si>
  <si>
    <t>BOC HIKES 25BP (5%)</t>
  </si>
  <si>
    <t>9pm</t>
  </si>
  <si>
    <t>305PM</t>
  </si>
  <si>
    <t>WEIRD MKT + a lot of exposure</t>
  </si>
  <si>
    <t>Scalping + HL75 V6</t>
  </si>
  <si>
    <t>1033pm</t>
  </si>
  <si>
    <t>M24 FLY (c1.2)</t>
  </si>
  <si>
    <t>Scalping (DEAD) M24 + STAT ARBM24 FLY @9</t>
  </si>
  <si>
    <t>CUTS MIGHT SHIFT FORWARD</t>
  </si>
  <si>
    <t>IF J24 UNSUCCESSFUL EXIT THEN FLY @ 9</t>
  </si>
  <si>
    <t>5,6</t>
  </si>
  <si>
    <t>FLY SHORT @ 9 OR 8</t>
  </si>
  <si>
    <t>6D</t>
  </si>
  <si>
    <t>19 jul 738am</t>
  </si>
  <si>
    <t>better odds, rr w fly</t>
  </si>
  <si>
    <t>VB SPD MKT EXITS</t>
  </si>
  <si>
    <t>1021am</t>
  </si>
  <si>
    <t xml:space="preserve">Technical works | try somethings in IR, YT </t>
  </si>
  <si>
    <t xml:space="preserve">TECHNICAL (A) </t>
  </si>
  <si>
    <t>ENTRIES TIME SHOULD BE STRETCHED IN IB | MIGHT GIVE BETTER ENTRIES WITH TIME | SO 2ND ENTRY SHOULD NOT BE THE NXT DAY ALTERNATE DAYS AT LEAST</t>
  </si>
  <si>
    <t>Volumes have slightly increased in IBs recently</t>
  </si>
  <si>
    <t>UK GDP MOM MAY (P0.2% F-0.3% A-0.1%)</t>
  </si>
  <si>
    <t>No Fs were given</t>
  </si>
  <si>
    <t>S24 FLY (c1.2)</t>
  </si>
  <si>
    <t>Range (-4 to 0)</t>
  </si>
  <si>
    <t>10D</t>
  </si>
  <si>
    <t>17 JUL 143PM, 24 JUL 423PM</t>
  </si>
  <si>
    <t>US INITIAL JOBLESS CLAIMS (P249K F250K A237K)</t>
  </si>
  <si>
    <t>PPI MOM JUL (P-0.4% F0.2% A0.1%)</t>
  </si>
  <si>
    <t>1240pm</t>
  </si>
  <si>
    <t>Popular sentiment - 1 final hike in Aug, cuts might shift front | at least pause</t>
  </si>
  <si>
    <t>EXIT M24 SPD -5 ALL (x20) (D23 DF EXIT 1.5)</t>
  </si>
  <si>
    <t>Cuts should shift front</t>
  </si>
  <si>
    <t>d23 defly exit ~1</t>
  </si>
  <si>
    <t>2am</t>
  </si>
  <si>
    <t>725am</t>
  </si>
  <si>
    <t>CHINA GDP (YoY) (Q2) (P 4.5% F7.3% A6.3%)</t>
  </si>
  <si>
    <t>110pm</t>
  </si>
  <si>
    <t>d23 defly exit ~1 / m24 fly exit</t>
  </si>
  <si>
    <t>EXIT ALL B4 FRI | JPY CPI</t>
  </si>
  <si>
    <t xml:space="preserve">TUE US Retail sales, CAD CPI, </t>
  </si>
  <si>
    <t xml:space="preserve">WED NZ CPI, EZ CPI, </t>
  </si>
  <si>
    <t>THU Labour data</t>
  </si>
  <si>
    <t>FRI JPY</t>
  </si>
  <si>
    <t>HL75 POSSIBLE IN S23, D23 CONTRACTS | high oi a lot of positions around these contracts | better to reduce some</t>
  </si>
  <si>
    <t>1M</t>
  </si>
  <si>
    <t>18 JUL 4AM</t>
  </si>
  <si>
    <t>820AM</t>
  </si>
  <si>
    <t>FOR D23 DFLY EXIT / m24 fly exit (INITIALLY 20 LOTS)</t>
  </si>
  <si>
    <t>19 JUL 1241PM</t>
  </si>
  <si>
    <t>THOUGHT ALL THE PRESENT POSITIONS AS SPREADS  | GIVES A DIFFERENT PERSPECTIVE | MIGHT BE HEKPFUL FOR VIBRATIONAL MARKETS</t>
  </si>
  <si>
    <t>CHECK @ 12AM</t>
  </si>
  <si>
    <t>1118AM</t>
  </si>
  <si>
    <t>15BP + INTEREST ZONE</t>
  </si>
  <si>
    <t>Add more on US CPI</t>
  </si>
  <si>
    <t>17 JUL 124PM, 19 jul</t>
  </si>
  <si>
    <t>11.5bp -&gt; 14BP (ON LABOUR DATA)</t>
  </si>
  <si>
    <t>Reduce 3 lots by wed | AFTER THU MAX 4 SHOULD BE HELD</t>
  </si>
  <si>
    <t>WENT TO 9BP ON 14TH JUL</t>
  </si>
  <si>
    <t>US Core Retail sales mom jun (p0.1% f0.3% a0.2%)</t>
  </si>
  <si>
    <t>US RETAIL SAILES MOM JUN (P0.3% F0.5% A0.2%)</t>
  </si>
  <si>
    <t>CAD Core CPI MOM JUN (P0.4% F0.5% A-0.1%)</t>
  </si>
  <si>
    <t>CAD CORE CPI YOY JUN (P3.7% F3.5% A3.2%)</t>
  </si>
  <si>
    <t>CAD CPI MOM JUN (P0.4% F0.3% A0.1%)</t>
  </si>
  <si>
    <t>POOR MOVEMENT AS COMPARED TO DATA | IR WENT LITTLE DOWN, SPDS VIB</t>
  </si>
  <si>
    <t>614PM</t>
  </si>
  <si>
    <t>D23 DEFLY EXIT</t>
  </si>
  <si>
    <t>19 JUL 553am</t>
  </si>
  <si>
    <t>12am</t>
  </si>
  <si>
    <t>Scalping + HL50</t>
  </si>
  <si>
    <t>19 JUL 358AM, 411AM</t>
  </si>
  <si>
    <t>450AM</t>
  </si>
  <si>
    <t>AVOID POSITIONAL IN D23, M24 | HECK AVOID WITH HIGHER LOTS FOR NOW | avoid d23 completely</t>
  </si>
  <si>
    <t>INTRADAY SCALPING (B) | 17 lots throughout fronts 8</t>
  </si>
  <si>
    <t>REMOVE IB ORDERS B4 MONTH END</t>
  </si>
  <si>
    <t>UK CPI MOM (P0.7% F0.4% A0.1%)</t>
  </si>
  <si>
    <t>XT WENT UP A LOT | RESPECTED THE DOVISH THIS TIME</t>
  </si>
  <si>
    <t xml:space="preserve">getting greedy slowdown </t>
  </si>
  <si>
    <t>TIMEOUT | NXT WEEK TRADE | INTRADAY (B)</t>
  </si>
  <si>
    <t>NO IB TRADES B4 MEETING</t>
  </si>
  <si>
    <t>UK CPI YOY JUN (P8.7% F8.2% A7.9%)</t>
  </si>
  <si>
    <t>EZ CORE CPI YOY JUN (P5.3% F5.4% A5.5%)</t>
  </si>
  <si>
    <t>NO Fs GIVEN</t>
  </si>
  <si>
    <t>EZ CPI MOM JUN (P0% F0.3% A0.4%)</t>
  </si>
  <si>
    <t>EZ CPI YOY JUN (P6.1% F5.5% A5.5%)</t>
  </si>
  <si>
    <t>919PM</t>
  </si>
  <si>
    <t>1128pm</t>
  </si>
  <si>
    <t>EMP CHANGE (P75.9K F17K A32.6K)</t>
  </si>
  <si>
    <t>TIMEOUT AFTER EXITS | NO POSITIONALS / INTRADAY ONLY</t>
  </si>
  <si>
    <t>ASKS / BIDS ARE JOKE RN</t>
  </si>
  <si>
    <t>EMPTY GRID BY WED | AUD CPI | PA (A) ALL CURVE</t>
  </si>
  <si>
    <t>ENTER CURVE ANOMALY (B) FOR BELLY + REDS COMBO</t>
  </si>
  <si>
    <t>UNEMP RATE (P3.6% F3.6% A3.5%)</t>
  </si>
  <si>
    <t>J25 SPD</t>
  </si>
  <si>
    <t>Scalping + rz</t>
  </si>
  <si>
    <t>710am</t>
  </si>
  <si>
    <t>IR SEP23</t>
  </si>
  <si>
    <t xml:space="preserve">RET </t>
  </si>
  <si>
    <t>40m</t>
  </si>
  <si>
    <t xml:space="preserve">tt stop </t>
  </si>
  <si>
    <t>725AM</t>
  </si>
  <si>
    <t>815am</t>
  </si>
  <si>
    <t>Initial Jobless Claims (P237K F242K A222K)</t>
  </si>
  <si>
    <t>430AM</t>
  </si>
  <si>
    <t>5AM</t>
  </si>
  <si>
    <t>JAP CORE CPI YOY JUN (P3.2% F3.3% A3.3%)</t>
  </si>
  <si>
    <t>UEDA - Yields could decline maybe later</t>
  </si>
  <si>
    <t>Might be heading into a recession - US</t>
  </si>
  <si>
    <t>535am</t>
  </si>
  <si>
    <t>353pm</t>
  </si>
  <si>
    <t>a lot of theme changing events - FED, BOJ / no holding trades | try intraday strats this week</t>
  </si>
  <si>
    <t>TIMEOUT LEAVE | THIS WEEK (1,2 DAYS) | AFTER WED</t>
  </si>
  <si>
    <t>CPI DOVISH EXPECTATIONS | LESS HIKES LESS CUTS | CUTS WILL BE VERY DIFFICULT TO PRICE IN | OBSERVE</t>
  </si>
  <si>
    <t>THEME CHANGING EVENTS | ALL STRATS (D)</t>
  </si>
  <si>
    <t>CPI QOQ Q2 (p1.45 f1% a0.8%)</t>
  </si>
  <si>
    <t>Whole spread curve went up!</t>
  </si>
  <si>
    <t>trimmed mean cpi qoq q2 (p1.2% f1.1% a0.9%)</t>
  </si>
  <si>
    <t>FED HIKES 25BP (5.5%)</t>
  </si>
  <si>
    <t>ECB HIKES 25BP (4.25%)</t>
  </si>
  <si>
    <t>US GDP (QoQ) (Q2) (P2% F1.8% A2.4%)</t>
  </si>
  <si>
    <t>9 LOTS DSC R</t>
  </si>
  <si>
    <t>LG 21 BL,BK HL75 1 LVL</t>
  </si>
  <si>
    <t>NO WHITES</t>
  </si>
  <si>
    <t>INTRADAY TILL MEETING UNLESS A GOOD ANOMALY ARISES</t>
  </si>
  <si>
    <t>AUD PPI YOY (P5.2% F3.9% A3.9%)</t>
  </si>
  <si>
    <t>PPI QOQ Q2 (P1% F0% A0.5%)</t>
  </si>
  <si>
    <t>RETAIL SALES MOM (P0.7% F0% A-0.8%)</t>
  </si>
  <si>
    <t>9AM</t>
  </si>
  <si>
    <t>BOJ NO CHANGE IN INTEREST RATE (-0.1%)</t>
  </si>
  <si>
    <t>MOM</t>
  </si>
  <si>
    <t>MOMENTUM DID NOT WORK</t>
  </si>
  <si>
    <t>MKT CONFUSED</t>
  </si>
  <si>
    <t>tt issue</t>
  </si>
  <si>
    <t>430am</t>
  </si>
  <si>
    <t>1 aug 816am</t>
  </si>
  <si>
    <t>exit b4 event</t>
  </si>
  <si>
    <t>tt stop</t>
  </si>
  <si>
    <t>could have tried with outrights | but few lots (2,3)</t>
  </si>
  <si>
    <t>510AM</t>
  </si>
  <si>
    <t>623am</t>
  </si>
  <si>
    <t>max could be around 30</t>
  </si>
  <si>
    <t>tue rba | hl 75 + lg (a) | no scalping orders | check the fly ranges | oi High for s23, j24 | s23s, m24s, j24s lg/pa (a) | theme changing possibility - SOMP fri</t>
  </si>
  <si>
    <t>wed nz laBour, us adp nfe</t>
  </si>
  <si>
    <t>thu BOE, US ISM services</t>
  </si>
  <si>
    <t>fri rba statement, us labour</t>
  </si>
  <si>
    <t>ECB LAGARDE -  the Sep meeting could see either a hike or a pause; any pause by the ECB could be followed by future hikes;</t>
  </si>
  <si>
    <t>d23 till 8 Rz</t>
  </si>
  <si>
    <t>12pm</t>
  </si>
  <si>
    <t>Scalping (v3.0)</t>
  </si>
  <si>
    <t>18, 18.5</t>
  </si>
  <si>
    <t>1252pm</t>
  </si>
  <si>
    <t>no need (Rz ~ 22)</t>
  </si>
  <si>
    <t xml:space="preserve">nearby events / theme changing events better to carry (if carrying) flies, combinations than spreads </t>
  </si>
  <si>
    <t>2 W ir 1 intra, 1 scratch or carry</t>
  </si>
  <si>
    <t>Try to see what we are not seeing</t>
  </si>
  <si>
    <t>L holding period can go heavy lots</t>
  </si>
  <si>
    <t>THOUGHT ALL THE PRESENT POSITIONS AS SPREADS  | GIVES A DIFFERENT PERSPECTIVE | MIGHT BE HELPFUL FOR VIBRATIONAL MARKETS --&gt; might give better combinations transformations | 2 deflies to 1 spd and 1 new defly shift</t>
  </si>
  <si>
    <t>VB MKT | EXITS @ BETTER PRICES EACH CONTRACT / 1 COMBINATION / 1 COMINATION DIRECTION</t>
  </si>
  <si>
    <t>IT TAKES AN ENTIRE LIFETIME TO BLOW UP OVERNIGHT</t>
  </si>
  <si>
    <t>Aug 23 live - Graveyard month</t>
  </si>
  <si>
    <t>AUG</t>
  </si>
  <si>
    <t>930am</t>
  </si>
  <si>
    <t>FLY ~-6</t>
  </si>
  <si>
    <t>NXT ENTRY @ 18 / FLY @ -4 (SCRATCH EASY) | NXT ENTRY @ -7</t>
  </si>
  <si>
    <t>4 aug 602pm</t>
  </si>
  <si>
    <t>Failed execution / should have used half lots hit @ -12 d24 spd as initial receiver -16 @ s24 was OK to hold / needed patience for -11 / still scratchable if not 1 tick available</t>
  </si>
  <si>
    <t>-4 is the new -3 after date changes IG</t>
  </si>
  <si>
    <t>A NEW THEMED MKT : GO W SMALLER LOTS (D)</t>
  </si>
  <si>
    <t>3 conv to defly</t>
  </si>
  <si>
    <t>RBA UNCHANGED (4.1%)</t>
  </si>
  <si>
    <t> RBA: SOME FURTHER TIGHTENING OF MONETARY POLICY MAY BE REQUIRED | Inflation in Australia is declining but is still too high at 6 per cent | Sees Inflation at 3.25% by End-2024 | OUTLOOK FOR HOUSEHOLD CONSUMPTION IS ALSO AN ONGOING SOURCE OF UNCERTAINTY</t>
  </si>
  <si>
    <t>RBA: INFLATION  TO BE BACK WITHIN THE 2–3 PER CENT TARGET RANGE IN LATE 2025.</t>
  </si>
  <si>
    <t>Sep 5: Lowe's last meeting</t>
  </si>
  <si>
    <t>1020AM</t>
  </si>
  <si>
    <t>IB SEP23</t>
  </si>
  <si>
    <t>5bp</t>
  </si>
  <si>
    <t>ADD MORE @ 95.91 ~2.5BP</t>
  </si>
  <si>
    <t>1137am</t>
  </si>
  <si>
    <t>1238PM</t>
  </si>
  <si>
    <t>2 aug 4am</t>
  </si>
  <si>
    <t>ISM Manufacturing PMI (Jul) (P46 F46.8 A46.4)</t>
  </si>
  <si>
    <t>US JOLT JUN (P9.6M F9.6M A9.5M)</t>
  </si>
  <si>
    <t>converted to 6m</t>
  </si>
  <si>
    <t>916pm</t>
  </si>
  <si>
    <t>Scalping (v4) + PROBABLY loss cutting maybe</t>
  </si>
  <si>
    <t>3 aug 650am</t>
  </si>
  <si>
    <t>got double filled; initial target was correct</t>
  </si>
  <si>
    <t>if no double filled; you would have made profit! / needed to get both lotsw out as per initial plan/strat</t>
  </si>
  <si>
    <t>can buy again after 1 lot exit @ 30.5</t>
  </si>
  <si>
    <t>426am</t>
  </si>
  <si>
    <t>D24 6m SPD</t>
  </si>
  <si>
    <t>Scalping + prev sz to rz for m25 spd</t>
  </si>
  <si>
    <t>2 aug 1015am</t>
  </si>
  <si>
    <t>exit via 6m</t>
  </si>
  <si>
    <t>US ADP NFE (P497K F189K A324K)</t>
  </si>
  <si>
    <t>US: FITCH DOWNGRADES US CREDIT RATING FROM AAA TO AA+ YESTERDAY (tue)</t>
  </si>
  <si>
    <t>VOLATILITY APPROACHING!; STILL EARLY</t>
  </si>
  <si>
    <t>SHORT SQUEEZE QUICKLY</t>
  </si>
  <si>
    <t>PRESSURE ON BONDS; AND ITS NOT FADING</t>
  </si>
  <si>
    <t>544pm</t>
  </si>
  <si>
    <t>4 aug 650am</t>
  </si>
  <si>
    <t>CAN CONVERT TO 6M . did</t>
  </si>
  <si>
    <t>758pm</t>
  </si>
  <si>
    <t>4.5BP</t>
  </si>
  <si>
    <t>838pm</t>
  </si>
  <si>
    <t>Exiting thru 6m -&gt; opposite entry</t>
  </si>
  <si>
    <t>25m</t>
  </si>
  <si>
    <t>905pm</t>
  </si>
  <si>
    <t>oposite entry after exit</t>
  </si>
  <si>
    <t>M24 6M SPD</t>
  </si>
  <si>
    <t>Scalping + 6m arb</t>
  </si>
  <si>
    <t>4bp</t>
  </si>
  <si>
    <t>Scalping (v4) + taking 2nd entry as move might fade (this had a high chance 4 fading)</t>
  </si>
  <si>
    <t>4 AUG 706AM</t>
  </si>
  <si>
    <t xml:space="preserve">BO trades are great now in 3s10s </t>
  </si>
  <si>
    <t>rz was 22 -&gt; went past that till 32! 10 ticks</t>
  </si>
  <si>
    <t>NO 3-10 for the month</t>
  </si>
  <si>
    <t>bonds need more observation/exp | CAREFUL AROUND BONDS (AVOID RET)</t>
  </si>
  <si>
    <t>Still more tightening MAY be required (5bp)</t>
  </si>
  <si>
    <t>7,9 or scratch</t>
  </si>
  <si>
    <t>3W</t>
  </si>
  <si>
    <t>3.5bp</t>
  </si>
  <si>
    <t>S23 6M SPD</t>
  </si>
  <si>
    <t>552AM</t>
  </si>
  <si>
    <t>fly @ -5</t>
  </si>
  <si>
    <t>AUD RETAIL SALES (P-0.6% F-1.8% A-0.5%)</t>
  </si>
  <si>
    <t>J24 DEFLY</t>
  </si>
  <si>
    <t>EITHER - june becomes kink or s24 fly flattens; either cases can exit accordingly</t>
  </si>
  <si>
    <t>curve anomaly ~ 9</t>
  </si>
  <si>
    <t>CONVERTED TO S24 SPD EXPOSURE MORE in volatility</t>
  </si>
  <si>
    <t>S24 6m FLY</t>
  </si>
  <si>
    <t>Sz -7</t>
  </si>
  <si>
    <t>Q2 CUT CYCLE / aud = Late 25 lol</t>
  </si>
  <si>
    <t>J24 FLY @ 3 or s24 fly 5</t>
  </si>
  <si>
    <t>Converted to 6m fly</t>
  </si>
  <si>
    <t>430pm</t>
  </si>
  <si>
    <t>BOE HIKES BY 25BP</t>
  </si>
  <si>
    <t>INITIAL jobless claims (p221k f227k a227k)</t>
  </si>
  <si>
    <t>4 aug 1156pm</t>
  </si>
  <si>
    <t>no clear view</t>
  </si>
  <si>
    <t>815AM</t>
  </si>
  <si>
    <t>816am</t>
  </si>
  <si>
    <t>could have scalped in few hours!</t>
  </si>
  <si>
    <t>1115AM</t>
  </si>
  <si>
    <t>D24 FLY (1)</t>
  </si>
  <si>
    <t>Converted to fly as better odds for scratching / 1 tick in the long run | cf -&gt; cs</t>
  </si>
  <si>
    <t>15 aug 547am</t>
  </si>
  <si>
    <t>NO NEED TO TRADE IF YOU DONT HAVE ANY SETUPS | 0 trades in last two days. Why so ?</t>
  </si>
  <si>
    <t>HOW ABOUT 0 TRADES IN A WEEK!</t>
  </si>
  <si>
    <t>NO TRADING AFTER US CPI TRADES | TAKE LEAVE</t>
  </si>
  <si>
    <t>weird mkts; bad reads; full spd curve going up</t>
  </si>
  <si>
    <t>Make a move after data</t>
  </si>
  <si>
    <t>fake CPI</t>
  </si>
  <si>
    <t>MOVE BIGGER THAN 0.5 = RXN ELSE USELESS / KEEP THE ORDERS AS IT IS FOR SCALPING / SHIFT TO SCALPING LOTS (25 R 15 W)</t>
  </si>
  <si>
    <t>550PM</t>
  </si>
  <si>
    <t>defly &lt;=-3</t>
  </si>
  <si>
    <t>11 aug 826am</t>
  </si>
  <si>
    <t>Converted 10 to flies</t>
  </si>
  <si>
    <t>US Core CPI MOM JUL (P0.2% F0.2% A0.2%)</t>
  </si>
  <si>
    <t>DISINLATION = INFLATION GOING DOWN</t>
  </si>
  <si>
    <t>DEFLATION = INFLATION GOING NEGATIVE</t>
  </si>
  <si>
    <t>US CPI MOM JUL (P0.2% F0.2% A0.2%)</t>
  </si>
  <si>
    <t>US CPI YOY JUL (P3% F3.3% A3.2%)</t>
  </si>
  <si>
    <t>US CORE CPI YOY JUL (P4.8% F4.8% A4.7%)</t>
  </si>
  <si>
    <t>Initial Jl claims (227k f230k a248k)</t>
  </si>
  <si>
    <t>813pm</t>
  </si>
  <si>
    <t>821PM</t>
  </si>
  <si>
    <t>D23 9M SPD</t>
  </si>
  <si>
    <t>2.5H</t>
  </si>
  <si>
    <t>607AM</t>
  </si>
  <si>
    <t>Scalping + ranged</t>
  </si>
  <si>
    <t>230pm, 14 aug 735am</t>
  </si>
  <si>
    <t>exit all B -13 x 4</t>
  </si>
  <si>
    <t>Sz (-3,-4)</t>
  </si>
  <si>
    <t>Cs to cf</t>
  </si>
  <si>
    <t>11 AUG 611PM, 15 AUG 732AM</t>
  </si>
  <si>
    <t>d23 f 5, m24 f 8</t>
  </si>
  <si>
    <t>EXIT B M24 S 10 X -3 -&gt; EXIT -1</t>
  </si>
  <si>
    <t>D23 3, J24 -10, M24 ? (-3 -&gt; -1, -2 -&gt; -3 SCRATCH)</t>
  </si>
  <si>
    <t>RUSHED THE EXIT | W8 4 1W</t>
  </si>
  <si>
    <t>RUSHED ON THE EXIT + BEHAVIOR OF SPDS CHANGED | BETTER TO EXIT AND UD/D</t>
  </si>
  <si>
    <t>D23 FLY (1)</t>
  </si>
  <si>
    <t>Sz (5)</t>
  </si>
  <si>
    <t>cs to cf</t>
  </si>
  <si>
    <t>Make defly d23</t>
  </si>
  <si>
    <t>14 aug 721pm</t>
  </si>
  <si>
    <t>FRIDAY LIKE BEHAVIOR ON MONDAY!</t>
  </si>
  <si>
    <t>1145am</t>
  </si>
  <si>
    <t>5 for defly exit can be considered + 8 for scratch</t>
  </si>
  <si>
    <t>Shifted down</t>
  </si>
  <si>
    <t>601PM</t>
  </si>
  <si>
    <t>US PPI MOM (P0% F0.2% A0.3%)</t>
  </si>
  <si>
    <t>604PM</t>
  </si>
  <si>
    <t>11 aug 730pm</t>
  </si>
  <si>
    <t>CONVERT TO FLY @ -2,-1</t>
  </si>
  <si>
    <t>14 AUG 730AM</t>
  </si>
  <si>
    <t>B 78 X -11</t>
  </si>
  <si>
    <t>15 AUG 540PM</t>
  </si>
  <si>
    <t>EXIT B @ -10 x 20</t>
  </si>
  <si>
    <t>CAN SQUEEZE</t>
  </si>
  <si>
    <t>BEST IS TO MAKE THIS AVAILABLE FOR HEDGING OR NEW TRADES</t>
  </si>
  <si>
    <t>ERROR : DIDNT USE TT STOP @ 7</t>
  </si>
  <si>
    <t>911pm</t>
  </si>
  <si>
    <t>14 aug 728am</t>
  </si>
  <si>
    <t>216AM</t>
  </si>
  <si>
    <t>To get s24 @ -12</t>
  </si>
  <si>
    <t>FOR S24 SPD @-12 TO MAKE FLY @-1</t>
  </si>
  <si>
    <t>B D24 18 @ -11</t>
  </si>
  <si>
    <t>Converted to S24 SPD -12</t>
  </si>
  <si>
    <t xml:space="preserve">ONLY EXITS till wed </t>
  </si>
  <si>
    <t>TUE RBA MINUTES, WAGE PRICE , US RETAIL SALES ,CAD CPI</t>
  </si>
  <si>
    <t>WED RBNZ INT RATE, UK CPI</t>
  </si>
  <si>
    <t>THU AUD LABOUR</t>
  </si>
  <si>
    <t>FRI JAP CPI, EZ CPI</t>
  </si>
  <si>
    <t>S24 FLY (1)</t>
  </si>
  <si>
    <t>Rz (-1 or below)</t>
  </si>
  <si>
    <t>cf -&gt; cs (+more on the steepening side now after meeting dates change)</t>
  </si>
  <si>
    <t>-1 x 3, -2</t>
  </si>
  <si>
    <t>23 aug 1141am, 305pm</t>
  </si>
  <si>
    <t xml:space="preserve">Exit half @ -2 went 0,1 </t>
  </si>
  <si>
    <t>24 s24 fly exit immediately</t>
  </si>
  <si>
    <t>w8 1 w</t>
  </si>
  <si>
    <t>B a front F</t>
  </si>
  <si>
    <t>made defly for better odds</t>
  </si>
  <si>
    <t>17 left; new tgt -1,-2</t>
  </si>
  <si>
    <t>scratch 3 -1</t>
  </si>
  <si>
    <t>3 for d23 fly exit; weird mkts | full spd curve going up</t>
  </si>
  <si>
    <t>JPY GDP QOQ Q2 (P0.9% F0.8% A1.5%)</t>
  </si>
  <si>
    <t>JPY GDP YOY Q2 (3/7% F3.1% A6%)</t>
  </si>
  <si>
    <t>V. hawksish; can go for hikes</t>
  </si>
  <si>
    <t>553am</t>
  </si>
  <si>
    <t>15 aug 7am</t>
  </si>
  <si>
    <t>RBA MINUTES: 1) RBA: POSSIBLE FURTHER TIGHTENING NEEDED TO MEET CPI TIMETABLE 2)risks include cpi taking longer to reach target 3) services inflation to look out for</t>
  </si>
  <si>
    <t>ret not working; mkt going in one direction with stronger force; full spd curve going up</t>
  </si>
  <si>
    <t>big losses and small profits (NEGATIVE EXPECTANCY)</t>
  </si>
  <si>
    <t>ALL STRATS UD (OBSERVE THE REMAINING MONTH)</t>
  </si>
  <si>
    <t>DAY STOP | TRADE ON WED RBNZ</t>
  </si>
  <si>
    <t>Selective lower the frequency and levels 2 (HL34 10(3RD),15(4TH) FULL CURVE GO FOR 6M AS WELL 2 LVLS)</t>
  </si>
  <si>
    <t>trending markets; like once in 3-10</t>
  </si>
  <si>
    <t>back ir falling more than fronts =&gt; spds going up; should start flattening at some point -&gt; steep flies to 0 or deflies to 0</t>
  </si>
  <si>
    <t>more working hours; squeezes can happen</t>
  </si>
  <si>
    <t>Only silent kills</t>
  </si>
  <si>
    <t>wage price qoq (p0.8% f1% a0.8%)</t>
  </si>
  <si>
    <t>1PM</t>
  </si>
  <si>
    <t>RUSSIA CENTRAL BANK RAISES KEY RATE TO 12%; Prior was 8.5% ( Raised by 350bps). </t>
  </si>
  <si>
    <t>TRADERS INCREASE BOE PEAK RATE BETS TO 6% AFTER UK JOBS DATA</t>
  </si>
  <si>
    <t>Russia's central bank hiked its key interest rate by 350 basis points to 12% on Tuesday, an emergency rate move to try and halt the rouble's weakening past 100 to the dollar after a public call from the Kremlin for tighter monetary policy.</t>
  </si>
  <si>
    <t>ES and Euro Stoxx hitting lower</t>
  </si>
  <si>
    <t>US CORE RETAIL SALES MOM JUL (P0.2% F-0.3% A1%)</t>
  </si>
  <si>
    <t>US RETAIL SALES MOM JUL (P0.2% F0.4% a0.7%)</t>
  </si>
  <si>
    <t>CAD CORE CPI YOY JUL (P3.2% F2.8% A3.2%)</t>
  </si>
  <si>
    <t>CAD CORE CPI MOM JUL (P-0.1% F0.4% A0.5%)</t>
  </si>
  <si>
    <t>CAD CPI MOM JUL (P0.1% F0.3% A0.6%)</t>
  </si>
  <si>
    <t>Hedge for s24 fly (if f up spd up by buying else cut loss)</t>
  </si>
  <si>
    <t>16 AUG 1155AM</t>
  </si>
  <si>
    <t>16 AUG 438AM</t>
  </si>
  <si>
    <t>819pm</t>
  </si>
  <si>
    <t>Scalping (short term prev Rz)</t>
  </si>
  <si>
    <t>16 AUG 1223AM</t>
  </si>
  <si>
    <t>take 2nd entries only in whites (5 . 12)</t>
  </si>
  <si>
    <t>find winners with smaller lots first in this state</t>
  </si>
  <si>
    <t>RBNZ unchanged 5.5%</t>
  </si>
  <si>
    <t>J24 SPD (1)</t>
  </si>
  <si>
    <t>17 aug 658am</t>
  </si>
  <si>
    <t>UK CPI YOY JUL (P7.9% F6.8% A6.8%)</t>
  </si>
  <si>
    <t>1159AM</t>
  </si>
  <si>
    <t>added more for hedge</t>
  </si>
  <si>
    <t>W8 4 odds 2 b in favour</t>
  </si>
  <si>
    <t>S24 DEFLY (A)</t>
  </si>
  <si>
    <t>Made defly for better odds | FOR hedging s24 fly @ -2 -&gt; s24 defly @ -1| d24 f @ -3</t>
  </si>
  <si>
    <t>0 x 3,-2</t>
  </si>
  <si>
    <t>24 aug 402am, 614PM</t>
  </si>
  <si>
    <t>USELESS MKTS, EXITS ONLY</t>
  </si>
  <si>
    <t>EMP CHANGE (P32.6K F15K A-14k)</t>
  </si>
  <si>
    <t>UNEMP RATE (P3.5% F3.6% A)</t>
  </si>
  <si>
    <t>755am</t>
  </si>
  <si>
    <t>XT SEP23</t>
  </si>
  <si>
    <t>XT</t>
  </si>
  <si>
    <t>Loss booking zone (2 ticks below) + ret</t>
  </si>
  <si>
    <t>843pm</t>
  </si>
  <si>
    <t>ret fails</t>
  </si>
  <si>
    <t>went up after 37mins</t>
  </si>
  <si>
    <t>IN 40 MINS 2 TICKS HIT</t>
  </si>
  <si>
    <t>sl 3 ticks</t>
  </si>
  <si>
    <t>D24 6M SPD</t>
  </si>
  <si>
    <t>V3 spds</t>
  </si>
  <si>
    <t>Converted to 6m spd -&gt; exit via spds</t>
  </si>
  <si>
    <t>nxt week exiting by fri; last week no trades (29th onwards) | empty grid by FRI/week aftr</t>
  </si>
  <si>
    <t>hold 7 lots of IB</t>
  </si>
  <si>
    <t>GRAVEYARD MONTH | AVOID TRADING WITH BIGGER LOTS</t>
  </si>
  <si>
    <t>red spd (d-b) lots</t>
  </si>
  <si>
    <t>R technical 15 | W 7</t>
  </si>
  <si>
    <t>look into  bond roll activity trades</t>
  </si>
  <si>
    <t>bad read on mkts during exits; try ASE for arb</t>
  </si>
  <si>
    <t>LOOKOUT FOR CHINA</t>
  </si>
  <si>
    <t>912am</t>
  </si>
  <si>
    <t>can make fly @ 5 or 6</t>
  </si>
  <si>
    <t>21 AUG 1026AM</t>
  </si>
  <si>
    <t>SCALP OR CONVERT TO FLY</t>
  </si>
  <si>
    <t>1030am, 2pm</t>
  </si>
  <si>
    <t>Hedge for s24 fly</t>
  </si>
  <si>
    <t>7,8</t>
  </si>
  <si>
    <t>22 aug 1147am, 24 aug 1047am</t>
  </si>
  <si>
    <t>try for 8; scratch 7 lots s24 fly</t>
  </si>
  <si>
    <t>TRY FOR 8 NOW AS ROLL ACTIVITY NEARS HIGH CHNCE | USE ASE</t>
  </si>
  <si>
    <t>exit 6 flies</t>
  </si>
  <si>
    <t>620pm</t>
  </si>
  <si>
    <t>22 aug 650pm d24x</t>
  </si>
  <si>
    <t>508pm</t>
  </si>
  <si>
    <t>J24 F; M24 5</t>
  </si>
  <si>
    <t xml:space="preserve">D23 DEFLY (A) </t>
  </si>
  <si>
    <t>Sz -3</t>
  </si>
  <si>
    <t>Hedge for backs + cs to cf</t>
  </si>
  <si>
    <t>22 aug 715pm</t>
  </si>
  <si>
    <t>d23 fly 5 m24 fly 7</t>
  </si>
  <si>
    <t>M24S 5 LOTS 0 S; d23 fly 17</t>
  </si>
  <si>
    <t>o @ hit</t>
  </si>
  <si>
    <t>Shifted below</t>
  </si>
  <si>
    <t>420am</t>
  </si>
  <si>
    <t>21 AUG 1245PM</t>
  </si>
  <si>
    <t>714am</t>
  </si>
  <si>
    <t>ONLY EXITS THIS WEEK</t>
  </si>
  <si>
    <t>D SCALP (D)</t>
  </si>
  <si>
    <t>Stooopid month</t>
  </si>
  <si>
    <t>22 aug 1238pm</t>
  </si>
  <si>
    <t>708am</t>
  </si>
  <si>
    <t>23 aug 445am</t>
  </si>
  <si>
    <t>3m</t>
  </si>
  <si>
    <t>23 aug 308pm</t>
  </si>
  <si>
    <t>no strat + no hedge + near event (odds low for scalping; more luck dependent)</t>
  </si>
  <si>
    <t>storm ahead; exit quick</t>
  </si>
  <si>
    <t>23 aug 858pm</t>
  </si>
  <si>
    <t>scratched 2 as against data</t>
  </si>
  <si>
    <t>S&amp;P Global US Services PMI (Aug) (52.3 F52.3 A51) | EZ UK PMI also lower much lower</t>
  </si>
  <si>
    <t>exits on fri by hit / mon/tue</t>
  </si>
  <si>
    <t>859PM</t>
  </si>
  <si>
    <t>24 AUG 6PM</t>
  </si>
  <si>
    <t>US Initial jlc (p240k f240k a230k)</t>
  </si>
  <si>
    <t>tue bullock speaks 110pm, USD JOLTS</t>
  </si>
  <si>
    <t>WED NFE, GDP</t>
  </si>
  <si>
    <t>THU EZ CPI, US PCE</t>
  </si>
  <si>
    <t>FRI US LABOUR, MFG PMI, CAD GDP</t>
  </si>
  <si>
    <t>EMPTY GRID BY MON</t>
  </si>
  <si>
    <t>Scalping + Rz</t>
  </si>
  <si>
    <t>take j24 spd 6 for m24 6m s Rz @ 6</t>
  </si>
  <si>
    <t>24aug 1240pm</t>
  </si>
  <si>
    <t>530PM</t>
  </si>
  <si>
    <t>Jackson hole symp</t>
  </si>
  <si>
    <t>29 aug 642pm</t>
  </si>
  <si>
    <t>entry exit hit</t>
  </si>
  <si>
    <t>US JOLTS DOWN BY 1M FROM FORECAST</t>
  </si>
  <si>
    <t>MORE JOBS DISAPPEARED -&gt; MORE PEOPLE HAVE JOBS -&gt; INFLATIONARY or THIS ONE : UNEMP RATE WILL GO UP AND WE HAVE RECESSION; SPD DOWN 1 TICK, bonds went up!</t>
  </si>
  <si>
    <t>wed AUD CPI, EXIT 3-5 IBs; US NFE, GDP, R 6MS (D-B)</t>
  </si>
  <si>
    <t>THU EZ CPI BL, IR RET, US CORE PCE, JLC</t>
  </si>
  <si>
    <t>FRI US NFP, LABOUR DATA</t>
  </si>
  <si>
    <t>747pm</t>
  </si>
  <si>
    <t>Scalping + RANGED (4 - 8)</t>
  </si>
  <si>
    <t>833pm</t>
  </si>
  <si>
    <t>avoid s23 j24 s24 s</t>
  </si>
  <si>
    <t>917pm</t>
  </si>
  <si>
    <t>YT S23</t>
  </si>
  <si>
    <t>RET +rz</t>
  </si>
  <si>
    <t>30 aug 1255am</t>
  </si>
  <si>
    <t>took too long . out . sleep . bye</t>
  </si>
  <si>
    <t>418am</t>
  </si>
  <si>
    <t>AUS MONTHLY CPI INDICATOR YOY JUL (P5.4% F5.2% A4.8%)</t>
  </si>
  <si>
    <t>spds 3,2,2,2,2,3,1</t>
  </si>
  <si>
    <t>cuts likely in q124, m24-j24</t>
  </si>
  <si>
    <t>31 aug 733am</t>
  </si>
  <si>
    <t>Should make a fly going to fri US Labour data as AUS moves uncertain</t>
  </si>
  <si>
    <t>Defly anti  w 7 ltos hedge | can try d24 defly if better odds there</t>
  </si>
  <si>
    <t>odds were decreasing + better odds with fly</t>
  </si>
  <si>
    <t xml:space="preserve">might get better trades later </t>
  </si>
  <si>
    <t>-10, -9; can scratch -9 m25</t>
  </si>
  <si>
    <t>ADP NFE CHANGE -&gt; LESS people are employed -&gt; ue rate up -&gt; recession -&gt; cuts (P371K F195K A177K)</t>
  </si>
  <si>
    <t>US GDP qoq q2 (P2% F2.4% A2.1%)</t>
  </si>
  <si>
    <t>Recessionary data</t>
  </si>
  <si>
    <t>1141PM</t>
  </si>
  <si>
    <t>D23 DEFLY (1)</t>
  </si>
  <si>
    <t>6 sep 840pm, 12 sep 533am</t>
  </si>
  <si>
    <t>2-&gt;1,-2 (3) | -2,-9 (7)  -&gt; -4 X 5</t>
  </si>
  <si>
    <t>Scalping + ROLL EFFECT PER CHANCE ?</t>
  </si>
  <si>
    <t>555pm</t>
  </si>
  <si>
    <t>EZ 	CPI (YoY) (Aug) (P5.3% F5.1% A5.3%)</t>
  </si>
  <si>
    <t>436PM</t>
  </si>
  <si>
    <t>exchanged with defly</t>
  </si>
  <si>
    <t>558PM</t>
  </si>
  <si>
    <t>US CORE PCE PRICE INDEX YOY JUL (PP4.1% F4.2% A4.2%)</t>
  </si>
  <si>
    <t>US CORE PCE PRICE INDEX MOM JUL (P0.2% F0.2% A0.2%)</t>
  </si>
  <si>
    <t>Initial jlc (p232k f235k a228k)</t>
  </si>
  <si>
    <t>just as water retains no constant shape, so in warfare there are no constant conditions</t>
  </si>
  <si>
    <t>AUGUST = GRAVEYARD MONTH; GO FOR HOLIDAYS</t>
  </si>
  <si>
    <t>NO TRADES DURING TRIMESTER END LAST DAY | GO FOR VACATION</t>
  </si>
  <si>
    <t>Sep 23 live</t>
  </si>
  <si>
    <t>SEP</t>
  </si>
  <si>
    <t>754AM</t>
  </si>
  <si>
    <t>155PM</t>
  </si>
  <si>
    <t>Scalping + SZ(-5,-6)</t>
  </si>
  <si>
    <t>4 sep 519am</t>
  </si>
  <si>
    <t>US NFP (P155 K F170K A187K)</t>
  </si>
  <si>
    <t>FOCUS IS ON THIS</t>
  </si>
  <si>
    <t>Curve flattener</t>
  </si>
  <si>
    <t>US UE (P3.5% F3.5% A3.8%)</t>
  </si>
  <si>
    <t>730pm, 4 sep 450am</t>
  </si>
  <si>
    <t>REV RET?</t>
  </si>
  <si>
    <t>STILL DOVISH SIDE MOVE</t>
  </si>
  <si>
    <t>FRIDAY . BYE</t>
  </si>
  <si>
    <t>leave early . vacation</t>
  </si>
  <si>
    <t>ScaLping</t>
  </si>
  <si>
    <t>708pm</t>
  </si>
  <si>
    <t>ISM Manufacturing PMI (Aug) (P46.4 F47 A47.7)</t>
  </si>
  <si>
    <t>BELOW 50 IS CONTRACTIONARY / BUT HIGHER THAN EXPECTED = DOVE</t>
  </si>
  <si>
    <t>Scratch all spds / reduce by half b4 rba</t>
  </si>
  <si>
    <t>E around 10 + fly @ -1</t>
  </si>
  <si>
    <t>6 Converted to flies</t>
  </si>
  <si>
    <t>TUE RBA</t>
  </si>
  <si>
    <t>WED GDP, US PMI, CAD INT RATE</t>
  </si>
  <si>
    <t>THU LOWE SPEAKS</t>
  </si>
  <si>
    <t xml:space="preserve">FRI JAP GDP, </t>
  </si>
  <si>
    <t>1012am</t>
  </si>
  <si>
    <t>can be defly exit</t>
  </si>
  <si>
    <t>5 sep 4am</t>
  </si>
  <si>
    <t>5 SEP 957am</t>
  </si>
  <si>
    <t>exit all spds b4 rba</t>
  </si>
  <si>
    <t>hedge for ib b4 evvent</t>
  </si>
  <si>
    <t>D24 FLY</t>
  </si>
  <si>
    <t xml:space="preserve">should not be positive </t>
  </si>
  <si>
    <t>high chance of cs - (early cut cycle + US recessionary data)</t>
  </si>
  <si>
    <t>2W</t>
  </si>
  <si>
    <t>14 SEP 854PM, 18 sep 1039am,1158am, 620pm</t>
  </si>
  <si>
    <t>RBA UNCHANGED 4.1%</t>
  </si>
  <si>
    <t>J24 FLY</t>
  </si>
  <si>
    <t>GDP QOQ Q2 (P0.2% F0.3% A0.4%)</t>
  </si>
  <si>
    <t>GDP YOY Q2 (P2.3% F1.7% A2.1%)</t>
  </si>
  <si>
    <t>ISM NMFG PMI (AUG) (P52.7 F52.5 A54.5)</t>
  </si>
  <si>
    <t xml:space="preserve">CF </t>
  </si>
  <si>
    <t>WED US CPI</t>
  </si>
  <si>
    <t>THU AUD LABOUR, ECB (BIG)</t>
  </si>
  <si>
    <t>Extreme cf to cs, lg d23</t>
  </si>
  <si>
    <t>MON 2ND sesh onwards EXITS</t>
  </si>
  <si>
    <t>R 16,32 | W 8,16</t>
  </si>
  <si>
    <t>401am</t>
  </si>
  <si>
    <t>Sz (2 - 0)</t>
  </si>
  <si>
    <t>16h</t>
  </si>
  <si>
    <t>858pm, 927PM</t>
  </si>
  <si>
    <t>went to 5 hit at 18 sep (11d)</t>
  </si>
  <si>
    <t>530am</t>
  </si>
  <si>
    <t>615am</t>
  </si>
  <si>
    <t>J24 fly exit</t>
  </si>
  <si>
    <t>1110am</t>
  </si>
  <si>
    <t>Conv to 6m</t>
  </si>
  <si>
    <t>145pm</t>
  </si>
  <si>
    <t>1150am</t>
  </si>
  <si>
    <t>659pm, 845pm</t>
  </si>
  <si>
    <t>US CPI YOY (AUG) (P3.2% F3.6% A3.7%)</t>
  </si>
  <si>
    <t>TIMEOUT | NO ENTRIES UNLESS GR8 RR</t>
  </si>
  <si>
    <t>2ND SESH V3 (B)</t>
  </si>
  <si>
    <t>US CPI MOM AUG (P0.2% F0.6% A0.6%)</t>
  </si>
  <si>
    <t>US CORE CPI MOM AUG (P0.2% F0.2% A0.3%)</t>
  </si>
  <si>
    <t>US CORE CPI YOYAUG (4.7% F4.3% A4.3%)</t>
  </si>
  <si>
    <t>RET</t>
  </si>
  <si>
    <t>22M</t>
  </si>
  <si>
    <t>622PM</t>
  </si>
  <si>
    <t>CAUGHT THE LOWEST PRICE RANGED BALLPOINT | INTUITIVE</t>
  </si>
  <si>
    <t>TT STOP MOVED TO 1 TICK PROFIT PLACE AFTER 14 MINS</t>
  </si>
  <si>
    <t>no more hikes (mostly) but higher for longer</t>
  </si>
  <si>
    <t>Scalping + AGG RET (RZ 8)</t>
  </si>
  <si>
    <t>LUCK 100</t>
  </si>
  <si>
    <t>ACE! (AFTER SO LONG)</t>
  </si>
  <si>
    <t>647pm</t>
  </si>
  <si>
    <t>UE (P3.7% F3.7% A3.7%)</t>
  </si>
  <si>
    <t>E CHANGE (P-14K F24K A64k)</t>
  </si>
  <si>
    <t>ECB HIKES 25 (4.5%) (P4.25% F4.25% A4.5%)</t>
  </si>
  <si>
    <t>US CORE RETAIL SALES MOM AUG (P0.7% F0.4% A0.6%)</t>
  </si>
  <si>
    <t>US PPI MOM AUG (P0.3% F0.4% A0.7%)</t>
  </si>
  <si>
    <t>US IJLC (P217K F225K A220K)</t>
  </si>
  <si>
    <t>US RETAIL SALES (P0.5% F0.2% A0.6%)</t>
  </si>
  <si>
    <t>TUE RBA Minutes, US building permits</t>
  </si>
  <si>
    <t xml:space="preserve">WED FOMC </t>
  </si>
  <si>
    <t>THU NZD GDP, BOE INT RATE, US PHILLY FED</t>
  </si>
  <si>
    <t>FRI JPY CPI, US PMI</t>
  </si>
  <si>
    <t>oil 95$</t>
  </si>
  <si>
    <t>2024 DOT: divergent views with most expecting a move higher, indicating 75bp of rate CUTs next year vs 100bps seen at the June meeting.</t>
  </si>
  <si>
    <t>It takes months (8-17) for recession / crash and then cuts</t>
  </si>
  <si>
    <t>10,9</t>
  </si>
  <si>
    <t>20 sep 440am</t>
  </si>
  <si>
    <t>take 7 x m24s @ 0</t>
  </si>
  <si>
    <t xml:space="preserve">2 WEEKS KA OI 80k did not see; very high chances of panic squeezes HL75  missed </t>
  </si>
  <si>
    <t>D23 6M SPD</t>
  </si>
  <si>
    <t>take more @ 11,12</t>
  </si>
  <si>
    <t>19 sep 835am</t>
  </si>
  <si>
    <t>1158am</t>
  </si>
  <si>
    <t>19 sep 404am</t>
  </si>
  <si>
    <t>Rz (7,8)</t>
  </si>
  <si>
    <t>Pricing wise 9.5 high</t>
  </si>
  <si>
    <t>Take more @ 9,10 (max 9.5)</t>
  </si>
  <si>
    <t>20 sep 7am, 752am, 850am</t>
  </si>
  <si>
    <t>d23 12,11 S x 21</t>
  </si>
  <si>
    <t>d23 10, m24 2</t>
  </si>
  <si>
    <t>exit 15 before fomc</t>
  </si>
  <si>
    <t>everthing cooled down by 7am nxt morning after High cpi data from CAD</t>
  </si>
  <si>
    <t>(rz 7,8)</t>
  </si>
  <si>
    <t>Spd hedge</t>
  </si>
  <si>
    <t>26 sep 3pm, 27 sep 709am</t>
  </si>
  <si>
    <t>took 3 more j24s @ 5</t>
  </si>
  <si>
    <t>EZ CPI (P5.3% F5.3% A5.2%)</t>
  </si>
  <si>
    <t>601pm</t>
  </si>
  <si>
    <t>Can make d23 fly @ 9(rz)</t>
  </si>
  <si>
    <t>20 sep 503am</t>
  </si>
  <si>
    <t>CAD CPI YOY AUG (P3.3% F3.8% A4%)</t>
  </si>
  <si>
    <t>FRONT SPD WENT UP BY 4 TICKS BUT REST SPDS REMAINED 1 TICK</t>
  </si>
  <si>
    <t>NO play around pivot</t>
  </si>
  <si>
    <t>empty b4 fomc ( at least by half)</t>
  </si>
  <si>
    <t>IB OCT23</t>
  </si>
  <si>
    <t>50:50 for 15bp and pause</t>
  </si>
  <si>
    <t>21 sep 1140am</t>
  </si>
  <si>
    <t>2bp</t>
  </si>
  <si>
    <t>M25 FLY</t>
  </si>
  <si>
    <t>&lt;=-3 EXIT only; unless u get 0 s</t>
  </si>
  <si>
    <t>OI squeeze on hawkish side</t>
  </si>
  <si>
    <t xml:space="preserve">Hawkish sentiment </t>
  </si>
  <si>
    <t>EVENT, 1245am, 118am</t>
  </si>
  <si>
    <t>Scratch order of 10 s gave a good PIQ (dont cancel orders even after losses are booked might give a new entry | delta perspective</t>
  </si>
  <si>
    <t>UK CPI YOY (P6.8% F7% A6.7%)</t>
  </si>
  <si>
    <t>Outrights went 1-2 ticks up</t>
  </si>
  <si>
    <t>FED UNCH 5.5% | 23 1 HIKE, 24 2 CUTS</t>
  </si>
  <si>
    <t>1-2 TICK ALL SPDS</t>
  </si>
  <si>
    <t>ALL ABOUT DOT PLOTS</t>
  </si>
  <si>
    <t>OIL RUNNING KEEPING RATES HIGH</t>
  </si>
  <si>
    <t>HAWKISH PAUSE</t>
  </si>
  <si>
    <t>D23 12M SPD</t>
  </si>
  <si>
    <t>Rz</t>
  </si>
  <si>
    <t>EVENT +1H</t>
  </si>
  <si>
    <t>conv to m25 fly @ 0</t>
  </si>
  <si>
    <t>EVENT+1H</t>
  </si>
  <si>
    <t>HL75</t>
  </si>
  <si>
    <t>21 sep 639am</t>
  </si>
  <si>
    <t>125am</t>
  </si>
  <si>
    <t>D23 12M SPD (D23-D24)</t>
  </si>
  <si>
    <t>21 sep 624am</t>
  </si>
  <si>
    <t>Squeeze from 0</t>
  </si>
  <si>
    <t>21 sep 715am</t>
  </si>
  <si>
    <t>went to 0 on mon</t>
  </si>
  <si>
    <t>Hold few lots if  b/o is due to Non Aussie event (w Stops, probably 1:1)</t>
  </si>
  <si>
    <t>M25 FLY (1)</t>
  </si>
  <si>
    <t>Rz (0,-1)</t>
  </si>
  <si>
    <t>KINK TRADE (Shouldnt be +ve)</t>
  </si>
  <si>
    <t>Squeeze early exits</t>
  </si>
  <si>
    <t>-3 - &gt; -1</t>
  </si>
  <si>
    <t>Mon 2 oct, exit atleast half (21)</t>
  </si>
  <si>
    <t>3 oct event, 5 oct, 9 oct, 11 Oct</t>
  </si>
  <si>
    <t>Use ASE 4 eqm</t>
  </si>
  <si>
    <t>exit half lots by MON 1st session end</t>
  </si>
  <si>
    <t>Exit 75% (40 lots) @ -1 or 40 lots d24 fly @ -3 or below -&gt; d24 defly -3,-2</t>
  </si>
  <si>
    <t>everyone has this trade, super crowded for a long time</t>
  </si>
  <si>
    <t>no going long on j25 spd</t>
  </si>
  <si>
    <t>Exit sll @ 1 or 0</t>
  </si>
  <si>
    <t>BOE PAUSES (5.25%) (E5.5%)</t>
  </si>
  <si>
    <t>TREASURY 10-YEAR YIELD RISES TO 4.5% FOR FIRST TIME SINCE 2007</t>
  </si>
  <si>
    <t>YEN SHORTS REMAIN LARGE AHEAD OF BOJ INTEREST RATE (ap OI)</t>
  </si>
  <si>
    <t>BOJ ramps up bond buying ahead of policy meet, yields fall sharply</t>
  </si>
  <si>
    <t>BONDS ALREADY DOWN AFTR THE HAWKISH STANCE BY FED</t>
  </si>
  <si>
    <t>WHEN FED HAWK ARRIVES, WHATS NEXT (BOJ) -&gt; RR GOOD IF BOJ ALSO HAWKSIH (SO GO SHORT)</t>
  </si>
  <si>
    <t>JAP National Core CPI (YoY) (Aug) (P3.1% F3% A3.1%)</t>
  </si>
  <si>
    <t>BOJ UNCHANGED @ -0.1%</t>
  </si>
  <si>
    <t>TIMEOUT FULL WEEK . done</t>
  </si>
  <si>
    <t>Mondays . as usual 1st spread 2 tick movement</t>
  </si>
  <si>
    <t>oil going up will be bearish for IR, BONDS (risky)</t>
  </si>
  <si>
    <t>Dec meeting probs crossed Nov probs =&gt; higher for longer</t>
  </si>
  <si>
    <t>25 sep 3-10 went from 31 to 37; xt went down 22ticks</t>
  </si>
  <si>
    <t>AUD WM CPI YOY (P4.9% F5.2% A5.2%)</t>
  </si>
  <si>
    <t>thu gdp us, POWEL SPEAKS, FRI US PCE</t>
  </si>
  <si>
    <t>Oil going up w dollar</t>
  </si>
  <si>
    <t>final days of q3 (sep) worst days in stock mkt</t>
  </si>
  <si>
    <t>nxt TUE RBA, JOLTS</t>
  </si>
  <si>
    <t>nxt wed RBNZ, US ADP NFE, ISM NMFG PMI</t>
  </si>
  <si>
    <t>FRI NFP + US Labour</t>
  </si>
  <si>
    <t>play volatility</t>
  </si>
  <si>
    <t>ONLY INTRADAY (B) FROM NOW TO NXT WEEK</t>
  </si>
  <si>
    <t xml:space="preserve">by mid oct </t>
  </si>
  <si>
    <t xml:space="preserve">EVENT </t>
  </si>
  <si>
    <t>Still world a little hawkish</t>
  </si>
  <si>
    <t>7pm, 28 sep 1125am</t>
  </si>
  <si>
    <t>XT DEC23</t>
  </si>
  <si>
    <t>Prev sz - rz</t>
  </si>
  <si>
    <t>37M</t>
  </si>
  <si>
    <t>Slow movement initial rr 4:3 -&gt; 3:2 -&gt; 2 ticks out</t>
  </si>
  <si>
    <t>plus exposure to hawkish side in spds with 2 lots extra left, since slow movement, prefer spds</t>
  </si>
  <si>
    <t>1hr later went to 96.05 4ticks as per original plan (1h10m), but then it stopped there</t>
  </si>
  <si>
    <t xml:space="preserve">went down 15-20 ticks more in 2nd session! </t>
  </si>
  <si>
    <t>It'll be fun wen doing with multiple lots (at least 2) + track longer hours with hard stops with payups</t>
  </si>
  <si>
    <t>TF 45, 240</t>
  </si>
  <si>
    <t>USE TRAILING SL FOR 1 LOT IF IN THE MONEY . 2LOT 2 ENTRIES 4 LOTS X 3-5 TICK LOSS 20 TICKS LOSS MAX DD</t>
  </si>
  <si>
    <t>AUD RETAIL SALES (P0.5% F0.3% A0.2%)</t>
  </si>
  <si>
    <t>US GDP QOQ (P2% F2.1% A2.1%)</t>
  </si>
  <si>
    <t xml:space="preserve">Traditional curve trading -&gt; non traditional curve trading </t>
  </si>
  <si>
    <t>USE ASE (1:3, 2,3,X)</t>
  </si>
  <si>
    <r>
      <t>Preserve Gains</t>
    </r>
    <r>
      <rPr>
        <sz val="12"/>
        <color rgb="FF000000"/>
        <rFont val="Calibri"/>
        <charset val="1"/>
      </rPr>
      <t>: Our objective should be to safeguard the gains we've made this year and work more intelligently rather than tirelessly. Revise stop and draw down level in your mind based on current market conditions, instead of the yearly account balance. </t>
    </r>
  </si>
  <si>
    <r>
      <t>Adapt to Changing Market Conditions</t>
    </r>
    <r>
      <rPr>
        <sz val="12"/>
        <color rgb="FF000000"/>
        <rFont val="Calibri"/>
        <charset val="1"/>
      </rPr>
      <t>: Be open to adjusting our strategies if the current approach is no longer effective, especially in Grains, Energy, and STIR markets, where significant market condition shifts are evident.</t>
    </r>
  </si>
  <si>
    <t>Margin Levels: Margin requirements are staying elevated for longer durations. This suggests that the market is limiting our ability to make frequent adjustments to our positions, requiring us to hold larger positions for extended period</t>
  </si>
  <si>
    <t>Oct 23 live (WINTER TIMINGS)</t>
  </si>
  <si>
    <t>OCT</t>
  </si>
  <si>
    <t>ISM MFG PMI (SEP) (P47.6 F47 A49)</t>
  </si>
  <si>
    <t>RBA UNCHNGED (4.1%)</t>
  </si>
  <si>
    <t>RBA WILL NOT TOLERATE A RISE IN INFLATION</t>
  </si>
  <si>
    <t>M25-J25</t>
  </si>
  <si>
    <t>US JOLTS (P8.8M F8M A9.6M) | ADVERTISED JOBS THAT ARE AVAILABLE</t>
  </si>
  <si>
    <t>next big is nfp on fri</t>
  </si>
  <si>
    <t>3am</t>
  </si>
  <si>
    <t>JAPAN 5-YEAR BOND YIELD RISES TO HIGHEST SINCE 2013</t>
  </si>
  <si>
    <t>RBNZ UNCHANGED (5.5%)</t>
  </si>
  <si>
    <t>No move | concern for oil prices, china dmand</t>
  </si>
  <si>
    <t>NO STRAT A FOR NOW; ALL D OR B</t>
  </si>
  <si>
    <t>no trade &gt; 20</t>
  </si>
  <si>
    <t>649am</t>
  </si>
  <si>
    <t>converted to long fly of s24 @ 0</t>
  </si>
  <si>
    <t>654AM</t>
  </si>
  <si>
    <t>M24-J24</t>
  </si>
  <si>
    <t>14M</t>
  </si>
  <si>
    <t>708AM</t>
  </si>
  <si>
    <t>QH3 ENTRY ; QUICKER EXIT VIA SPDS!</t>
  </si>
  <si>
    <t>J25 FLY</t>
  </si>
  <si>
    <t>Full curve getting squeezed</t>
  </si>
  <si>
    <t>17 oct 735am</t>
  </si>
  <si>
    <t>954am</t>
  </si>
  <si>
    <t>Ret + sellinp P fading (B r v, s r c) both s, l tf</t>
  </si>
  <si>
    <t>24m</t>
  </si>
  <si>
    <t>1018am</t>
  </si>
  <si>
    <t>345, 370 rz</t>
  </si>
  <si>
    <t>S24 FLY(1)</t>
  </si>
  <si>
    <t>Hedged a losing spd in changing mkts; m25 fly as well</t>
  </si>
  <si>
    <t>12 oct 1147am, 17 oct 810am</t>
  </si>
  <si>
    <t>10 left</t>
  </si>
  <si>
    <t>518pm</t>
  </si>
  <si>
    <t>RET IN SELLING SIDE + L.GAP FROM TGT 33.5</t>
  </si>
  <si>
    <t xml:space="preserve">DATA DOVISH, MOVE IS NOT STRONG MAYBE WAITING FOR NEXT DATA </t>
  </si>
  <si>
    <t>1 DOVISH; 610 WENT UP 95.39</t>
  </si>
  <si>
    <t>ADP NFE CHANGE (P177K F153K A89K)</t>
  </si>
  <si>
    <t>Ppl will react on FRI to NFP</t>
  </si>
  <si>
    <t>momntm</t>
  </si>
  <si>
    <t>618PM</t>
  </si>
  <si>
    <t>US SERVICES PMI (P50.5 F50.2 A50.1)</t>
  </si>
  <si>
    <t>DOLLAR UP BUT STOCKS DOWN; DOLLAR IS GIVING YOU MORE STOCKS NOW</t>
  </si>
  <si>
    <t>US ISM NMFG PMI (P54.5 F53.6 A53.6)</t>
  </si>
  <si>
    <t>1227AM</t>
  </si>
  <si>
    <t>IB NOV23</t>
  </si>
  <si>
    <t>Scalping might conv to 6m</t>
  </si>
  <si>
    <t>225pm</t>
  </si>
  <si>
    <t>938AM</t>
  </si>
  <si>
    <t>J24 6M SPD</t>
  </si>
  <si>
    <t>SCcalping</t>
  </si>
  <si>
    <t>IR J25</t>
  </si>
  <si>
    <t>LEG</t>
  </si>
  <si>
    <t>5 oct 1150am</t>
  </si>
  <si>
    <t>IR M25</t>
  </si>
  <si>
    <t>515am</t>
  </si>
  <si>
    <t>BO 95.425 (RZ 15 . 4X 240 CHANNEL SQUEEZE 95.43)</t>
  </si>
  <si>
    <t>35M</t>
  </si>
  <si>
    <t>this worked later in 240 m tf</t>
  </si>
  <si>
    <t>technical works a lot</t>
  </si>
  <si>
    <t>655am</t>
  </si>
  <si>
    <t>US NFP (P227K F170K A336K)</t>
  </si>
  <si>
    <t>ULTRA HAWKISH</t>
  </si>
  <si>
    <t>US UE (P3.8% F3.7% A3.8%)</t>
  </si>
  <si>
    <t>mm</t>
  </si>
  <si>
    <t>ULTRA HAWKISH; THIS SHOULD BE THE DECIDER B4 CPI NXT WEEK (THU)</t>
  </si>
  <si>
    <t>10M</t>
  </si>
  <si>
    <t>TOOK 2nd entry and put tt stop for 1st order</t>
  </si>
  <si>
    <t>10y Y might go near 5%</t>
  </si>
  <si>
    <t>if cpi hot we might be hawkish again and cuts will shift to late 25 maybe even 26</t>
  </si>
  <si>
    <t>38M</t>
  </si>
  <si>
    <t>638pm</t>
  </si>
  <si>
    <t>Mom + PREV Sz to rz</t>
  </si>
  <si>
    <t>2h 45m</t>
  </si>
  <si>
    <t>8pm: this was the greedy short</t>
  </si>
  <si>
    <t>Where was SL</t>
  </si>
  <si>
    <t>Have to wait or partial exit and sl and the n next entry</t>
  </si>
  <si>
    <t>646pm</t>
  </si>
  <si>
    <t>Ret but rz</t>
  </si>
  <si>
    <t>still hawkish; no confusion</t>
  </si>
  <si>
    <t>2 X ENTRY 95.4 THEN EXIT 2 @ 36</t>
  </si>
  <si>
    <t>USELESS MARKETS; such strong data</t>
  </si>
  <si>
    <t>WHERE ARE THE SELLERS?!</t>
  </si>
  <si>
    <t>LETS SEE THE NEXT HOUR AND THE NXT CNDL 240</t>
  </si>
  <si>
    <t>STRONG JOBS DOES NOT SAY RECESSION</t>
  </si>
  <si>
    <t xml:space="preserve">ONLY GET 10 TICKS ON A GOOD DAY (IN XT!) </t>
  </si>
  <si>
    <t>755PM</t>
  </si>
  <si>
    <t>THERE IS NO LIMIT TO RATES GOING</t>
  </si>
  <si>
    <t>854PM</t>
  </si>
  <si>
    <t>WENT BACK TO HIT LEVEL ! WOW!</t>
  </si>
  <si>
    <t>another rate hike in dec in US } chance high</t>
  </si>
  <si>
    <t>these effects should come next week at least</t>
  </si>
  <si>
    <t>NO POINT TRADING THE FUNDAMENTALS IN THIS RUBBISH MARKETS; OUT</t>
  </si>
  <si>
    <t>MOMENTUM SHOULD ONLY LAST 40m to 1h</t>
  </si>
  <si>
    <t xml:space="preserve">After that RET has higher chances </t>
  </si>
  <si>
    <t>857pm</t>
  </si>
  <si>
    <t>TUE BUILDING APPROVAL; SCALPING IN ASE</t>
  </si>
  <si>
    <t>THU US CPI; EMPTY GRID/ REDUCE FLIES BY HALF TUE 2ND WED 1ST</t>
  </si>
  <si>
    <t xml:space="preserve">RETRACEMENT MARKET FOR US DATA; </t>
  </si>
  <si>
    <t>800$ scalps . 10 x 5 wins</t>
  </si>
  <si>
    <t>PALESTINE ATTACKS ISRAEL (WAR) | OIL GOES UP</t>
  </si>
  <si>
    <t>IF oil goes to 100 no chance of early cuts | long white spreads (2,3)</t>
  </si>
  <si>
    <t>BUY BONDS NXT TIME | RISK INCREASES PEOPLE BUY SAFE HAVEN STUFF, LONG TERM BONDS GO TO MOON</t>
  </si>
  <si>
    <t>340am</t>
  </si>
  <si>
    <t>NOV SOMP REM, LOW DOWNSIDE BELOW 7,5</t>
  </si>
  <si>
    <t>17 oct 6am</t>
  </si>
  <si>
    <t>7 &amp; 5 BP</t>
  </si>
  <si>
    <t>EXIT ALL BY WEEKEND FRI 20TH</t>
  </si>
  <si>
    <t>535AM</t>
  </si>
  <si>
    <t>10 oct 530am</t>
  </si>
  <si>
    <t>653am</t>
  </si>
  <si>
    <t>827PM</t>
  </si>
  <si>
    <t>Scalping + can convert to 6m j24</t>
  </si>
  <si>
    <t>117AM</t>
  </si>
  <si>
    <t>254am</t>
  </si>
  <si>
    <t>527AM</t>
  </si>
  <si>
    <t>Scalping + to 6m j24</t>
  </si>
  <si>
    <t>1055am</t>
  </si>
  <si>
    <t>1140am, 2pm</t>
  </si>
  <si>
    <t>922pm</t>
  </si>
  <si>
    <t>BONDS WENT UP 10 ticks ILLIQUIDLY</t>
  </si>
  <si>
    <t>12 oct 1153am</t>
  </si>
  <si>
    <t>only exits on wed</t>
  </si>
  <si>
    <t>THU US CPI EMPTY GRID</t>
  </si>
  <si>
    <t>330AM</t>
  </si>
  <si>
    <t>114pm</t>
  </si>
  <si>
    <t>Missiles fired from lebanon to Israel (hamas from Lebanon prolly)</t>
  </si>
  <si>
    <t>135pm</t>
  </si>
  <si>
    <t>WENT 2 TICKS IN THE MONEY</t>
  </si>
  <si>
    <t>went ot 65 then ret to 63 (4 ticks; prev tgt) by 231pm</t>
  </si>
  <si>
    <t>sometimes extremely slow mkt</t>
  </si>
  <si>
    <t>112pm</t>
  </si>
  <si>
    <t>149PM</t>
  </si>
  <si>
    <t>US PPI MOM SEP (P0.7% F0.3% A0.5%)</t>
  </si>
  <si>
    <t>US CORE PPI MOM (P0.2% F0.2% A0.3%)</t>
  </si>
  <si>
    <t xml:space="preserve">Momn </t>
  </si>
  <si>
    <t>Watching US bonds this time as well</t>
  </si>
  <si>
    <t>no strength on either side</t>
  </si>
  <si>
    <t>95.575 B @ CPI FOR RET else mom</t>
  </si>
  <si>
    <t>12 oct 415am</t>
  </si>
  <si>
    <t>only exits till thu 2nd session</t>
  </si>
  <si>
    <t>752pm</t>
  </si>
  <si>
    <t>12 OCT EVENT</t>
  </si>
  <si>
    <t>US CPI MOM SEP (P0.6% F0.3% A)</t>
  </si>
  <si>
    <t>BREACH 25K THEN TRY XT AGAIN</t>
  </si>
  <si>
    <t>US CPI YOY SEP (P3.7% F3.6% A)</t>
  </si>
  <si>
    <t>US CORE CPI MOM SEP (P0.3% F0.3% A)</t>
  </si>
  <si>
    <t>Scalping/RET</t>
  </si>
  <si>
    <t>13 oct 656am</t>
  </si>
  <si>
    <t>13 OCT 415AM</t>
  </si>
  <si>
    <t xml:space="preserve">XT DEC23 </t>
  </si>
  <si>
    <t>11M</t>
  </si>
  <si>
    <t>611PM</t>
  </si>
  <si>
    <t>570 WAS THE LOWEST (4 TICKS FROM ENTRY); WENT TO 595 2TICKS + 618PM</t>
  </si>
  <si>
    <t>20M 4 TICKS; 605 BY 620PM (4 TICKS) | THAT WAS IT</t>
  </si>
  <si>
    <t>SL moved 3rd to 2nd tick as soon as 2nd was hit</t>
  </si>
  <si>
    <t>no xt until tgt</t>
  </si>
  <si>
    <t>20m +4 | Dym SL</t>
  </si>
  <si>
    <t>40m total t</t>
  </si>
  <si>
    <t>hl 85 6 ticks</t>
  </si>
  <si>
    <t>TUE RBA MINS, US RS, CAD CPI</t>
  </si>
  <si>
    <t xml:space="preserve">WED CN GDP, UK CPI, EZ CPI, </t>
  </si>
  <si>
    <t>THU AUD LABOUR DATA, PHILLY FED, POWELL SPEAKS</t>
  </si>
  <si>
    <t>RBA MINUTES | This line is new: The Board has a low tolerance for a slower return of inflation to target than currently expected. | GS- upcoming 3Q2023 CPI data will be the key catalyst for a final rate hike in Nov</t>
  </si>
  <si>
    <t>3-10 WENT DOWN DUE TO BEAR FLATTENING</t>
  </si>
  <si>
    <t xml:space="preserve">NO FLIES from here on </t>
  </si>
  <si>
    <t>stick to intraday, scale down mkt</t>
  </si>
  <si>
    <t>Scalping AFTER BACKING OFF</t>
  </si>
  <si>
    <t>17 oct 850am, 940pm, 18 oct 442am</t>
  </si>
  <si>
    <t>7am, 725am</t>
  </si>
  <si>
    <t>scalping or 6m spd</t>
  </si>
  <si>
    <t>18 oct 550am</t>
  </si>
  <si>
    <t>12, 3</t>
  </si>
  <si>
    <t>D23 6m SPD</t>
  </si>
  <si>
    <t>733am</t>
  </si>
  <si>
    <t>825am</t>
  </si>
  <si>
    <t>IB NOV 23</t>
  </si>
  <si>
    <t>25M</t>
  </si>
  <si>
    <t>US CORE RETAIL SALES (P0.9% F0.2% A0.6%)</t>
  </si>
  <si>
    <t>US RETAIL SALES (P0.8% F0.3% A0.7%)</t>
  </si>
  <si>
    <t>CAD CPI MOM (P0.4% F0.1% A-0.1%)</t>
  </si>
  <si>
    <t>CAD CPI YOY (P4% F4% A3.8%)</t>
  </si>
  <si>
    <t>EXIT HALF BY NEXT SESSION END; THU LABOUR DATA</t>
  </si>
  <si>
    <t>losing big and winning small</t>
  </si>
  <si>
    <t>ALL STRATS (D)</t>
  </si>
  <si>
    <t>day stop trade later | only exits NOW</t>
  </si>
  <si>
    <t>AVOID D23 SPD, any outrights, stick with belly, back flies, 20 lots per entry / scalp</t>
  </si>
  <si>
    <t>2,2,1,1,1,1,1</t>
  </si>
  <si>
    <t>MAKE MODELS SO THAT ODDS ARE IN YOUR FAVOUR</t>
  </si>
  <si>
    <t>18 oct, 19 pct</t>
  </si>
  <si>
    <t>18 oct 8am, 925am</t>
  </si>
  <si>
    <t>18 oct 1138am</t>
  </si>
  <si>
    <t>BULLOCK SPEAKS | DOVISH @ FIRST AND HAWKISH IN THE END</t>
  </si>
  <si>
    <t>5 scalps of 10 lots / 3 scalps of 20 lots / 4 scalps of 14 lots</t>
  </si>
  <si>
    <t>930AM</t>
  </si>
  <si>
    <t>19 oct 430am</t>
  </si>
  <si>
    <t>UE RATE (P3.7% F3.7% A3.6%)</t>
  </si>
  <si>
    <t>labour mkt begining to cool</t>
  </si>
  <si>
    <t>E CHANGE (P65K F18K A6.7K)</t>
  </si>
  <si>
    <t>1 TICK MOVES IN SPDS</t>
  </si>
  <si>
    <t>SICK LEAVE . ?</t>
  </si>
  <si>
    <t>so far - mkts extremely sticky with my views but quick against me; part of the masses</t>
  </si>
  <si>
    <t>FRI EXTREME HL80 (B)</t>
  </si>
  <si>
    <t>MKT CLOSE</t>
  </si>
  <si>
    <t>INTRADAY Prac</t>
  </si>
  <si>
    <t>LESS downside on positive side</t>
  </si>
  <si>
    <t>S25 SPD</t>
  </si>
  <si>
    <t>1152AM</t>
  </si>
  <si>
    <t>107PM</t>
  </si>
  <si>
    <t>23 oct 440am</t>
  </si>
  <si>
    <t>413am</t>
  </si>
  <si>
    <t>436AM</t>
  </si>
  <si>
    <t>23 oct 938am</t>
  </si>
  <si>
    <t>1045am</t>
  </si>
  <si>
    <t>1139am</t>
  </si>
  <si>
    <t>MIS CLICK</t>
  </si>
  <si>
    <t>1144AM</t>
  </si>
  <si>
    <t>HEDGE FOR S25 SPD @ 0</t>
  </si>
  <si>
    <t>24 oct 610am</t>
  </si>
  <si>
    <t>940am</t>
  </si>
  <si>
    <t>fly @ -4</t>
  </si>
  <si>
    <t>24 oct 9am</t>
  </si>
  <si>
    <t>24 oct 954am</t>
  </si>
  <si>
    <t>wed cpi, BOC | no W spds b4 BOC, only bellies n backs (B) combiS | enter W after BOC and exit nxt day</t>
  </si>
  <si>
    <t>thu ECB, US GDP | backs ret/75 (A) / combiS (&gt;=2)</t>
  </si>
  <si>
    <t>fri PCE</t>
  </si>
  <si>
    <t>NO MORE IBs</t>
  </si>
  <si>
    <t>TUE BOJ | Exit at least half of everything to all if possible</t>
  </si>
  <si>
    <t xml:space="preserve">WED FED </t>
  </si>
  <si>
    <t>THU BOE</t>
  </si>
  <si>
    <t>FRI NFP, US Labour, PMI</t>
  </si>
  <si>
    <t>cpi yoy q3 (p6% f5.3% a5.4%)</t>
  </si>
  <si>
    <t>Curve is hawkish in front</t>
  </si>
  <si>
    <t>As long as bonds and dollar stay directional (yield going up, dollar down) thin ice</t>
  </si>
  <si>
    <t>50:50 point</t>
  </si>
  <si>
    <t>CPI QOQ Q3 (P0.8% F1.1% A1.2%)</t>
  </si>
  <si>
    <t>TRIMMED MEAN CPI QOQ Q3 (P1% F1.1% A1.2%)</t>
  </si>
  <si>
    <t>BOC UNCHANGED (5%)</t>
  </si>
  <si>
    <t>ECB UNCHANGED (4.5%)</t>
  </si>
  <si>
    <t>US GDP QOQ Q3 (P2.1% F4.3% A4.9%)</t>
  </si>
  <si>
    <t>US IJLC (P198K F208K A210k)</t>
  </si>
  <si>
    <t>Sz / B/O (95.155) 45,15</t>
  </si>
  <si>
    <t>2ND BUY 2 LOTS SL LOT @ 95.135 (prev rz -&gt; sz)</t>
  </si>
  <si>
    <t>40M</t>
  </si>
  <si>
    <t>755am went up to 18.5, 19 | 6 ticks</t>
  </si>
  <si>
    <t>if no event nearby no need to exit early; hold  with SL getting tighter</t>
  </si>
  <si>
    <t>511AM</t>
  </si>
  <si>
    <t>559am</t>
  </si>
  <si>
    <t>RETAIL SALES MOM (P0.2% F0.3% A0.9%)</t>
  </si>
  <si>
    <t>SPD 1 TICK, XT 2-3 TICKS</t>
  </si>
  <si>
    <t>Exit all by tue 2nd sesh/wed 1st sesh | FOMC EMPTY GRID</t>
  </si>
  <si>
    <t>Nov only intraday</t>
  </si>
  <si>
    <t>if 10y JGB band to 0.5% is hawkish (S bonds)</t>
  </si>
  <si>
    <t>LONDON MOVES BACK BY 1HR</t>
  </si>
  <si>
    <t>wed wfh</t>
  </si>
  <si>
    <t>Scalping + RET</t>
  </si>
  <si>
    <t>intraday + retail sales was high and no selling pressure whole day</t>
  </si>
  <si>
    <t>443pm</t>
  </si>
  <si>
    <t>WORLD BANK: ESCALATION OF MIDDLE EAST CONFLICT COULD LIFT Q4 OIL PRICE TO $93-$102/BBL UNDER SMALL DISRUPTION SCENARIO.</t>
  </si>
  <si>
    <t>WORLD BANK: MEDIUM DISRUPTION SCENARIO COULD EQUAL TO 2003 IRAQ WAR, COULD DRIVE Q4 OIL PRICES TO $109-$121 RANGE.</t>
  </si>
  <si>
    <t>WORLD BANK: LARGE DISRUPTION SCENARIO COULD EQUAL TO 1973 ARAB OIL EMBARGO AND COULD DRIVE Q4 OIL PRICE TO $140-$157 RANGE.</t>
  </si>
  <si>
    <t>539pm</t>
  </si>
  <si>
    <t>31 oct 540am</t>
  </si>
  <si>
    <t>550pm</t>
  </si>
  <si>
    <t>Scalping + sz (-5)</t>
  </si>
  <si>
    <t>1 nov 746am</t>
  </si>
  <si>
    <t>Scalping Agg</t>
  </si>
  <si>
    <t>31 oct 5am</t>
  </si>
  <si>
    <t>no trades on 2nd half</t>
  </si>
  <si>
    <t>907AM</t>
  </si>
  <si>
    <t xml:space="preserve">BOJ UNCHANGED </t>
  </si>
  <si>
    <t>XT went up, no change is the only dovish</t>
  </si>
  <si>
    <t>PRE EVENT</t>
  </si>
  <si>
    <t>30M</t>
  </si>
  <si>
    <t>NO CHANGE IS THE ONLY DOVISH</t>
  </si>
  <si>
    <t>IN 3 MINS WENT TO 075 | 5 TICKS THEN CAME DOWN TO 65</t>
  </si>
  <si>
    <t>150pm</t>
  </si>
  <si>
    <t xml:space="preserve">Dont forget to pull ASE 15 mins b4 close </t>
  </si>
  <si>
    <t>Nov 23 live (WINTER TIMINGS)</t>
  </si>
  <si>
    <t>NOV</t>
  </si>
  <si>
    <t>302AM</t>
  </si>
  <si>
    <t>25m, 6h</t>
  </si>
  <si>
    <t>325am, 911am</t>
  </si>
  <si>
    <t>ISM MFG PMI (P49, F49, A46.7)</t>
  </si>
  <si>
    <t>JOLTS (P9.4M F9.2 A9.5M)</t>
  </si>
  <si>
    <t>XT WENT UP, FULL SPD CURVE WENT DOWN</t>
  </si>
  <si>
    <t>730PM 27S</t>
  </si>
  <si>
    <t>9M</t>
  </si>
  <si>
    <t>739PM</t>
  </si>
  <si>
    <t>135 WAS TGT, WENT TILL 135! (MISSED 3 TICKS)</t>
  </si>
  <si>
    <t>TRAILING SL } WAS ALWAYS BELOW 1 TICK OF BEST BUY (ADD LTQ QTY AS 10+)</t>
  </si>
  <si>
    <t>entry 2 ticks blo hit</t>
  </si>
  <si>
    <t>757PM</t>
  </si>
  <si>
    <t xml:space="preserve">RET + RZ </t>
  </si>
  <si>
    <t>MOM SEEMS STRONG SO LESS RETRACEMENT POWER</t>
  </si>
  <si>
    <t>731PM</t>
  </si>
  <si>
    <t>7 nov 557am</t>
  </si>
  <si>
    <t>817PM</t>
  </si>
  <si>
    <t>3 nov 118pm</t>
  </si>
  <si>
    <t>too much buy exposure conv to fly</t>
  </si>
  <si>
    <t xml:space="preserve">FOMC FED UNCHANGED 5.5% | Tighter financial and credit conditions | ALL WAITING FOR PRESS
for households and businesses are likely to weigh on economic activity, hiring, and inflation. </t>
  </si>
  <si>
    <t>no move b4 press (even bonds still @ 135)</t>
  </si>
  <si>
    <t>when powell starts talking initially -&gt; nothing new, "financial conditions" new -&gt; might move regarding it</t>
  </si>
  <si>
    <t>QnA</t>
  </si>
  <si>
    <t>1242am</t>
  </si>
  <si>
    <t>S24 SPD 6M</t>
  </si>
  <si>
    <t>7 nov 326am</t>
  </si>
  <si>
    <t>or s24, d24 spd @ -6 b</t>
  </si>
  <si>
    <t>1014AM</t>
  </si>
  <si>
    <t>Cf chance more now</t>
  </si>
  <si>
    <t>3 nov 647pm</t>
  </si>
  <si>
    <t>cuts not that soon; kink speculation late next year</t>
  </si>
  <si>
    <t>634PM</t>
  </si>
  <si>
    <t>Scalping + ranged around 0</t>
  </si>
  <si>
    <t>3 NOV EVENT, 6 nov 1059am</t>
  </si>
  <si>
    <t> REUTERS POLL-FIRST RESERVE BANK OF AUSTRALIA CASH RATE CUT TO COME IN Q3 2024 (VS Q2 2024 IN OCT POLL)</t>
  </si>
  <si>
    <t>1048am</t>
  </si>
  <si>
    <t xml:space="preserve">if hits -9 , hit m25 20 lots -6 s for -2 </t>
  </si>
  <si>
    <t>US NFP (P297K F180K A150K)</t>
  </si>
  <si>
    <t>XT TO THE MOON, FULL SPD CURVE WENT DOWN</t>
  </si>
  <si>
    <t>UE RATE (P3.8% F3.8% A3.9%)</t>
  </si>
  <si>
    <t>2M</t>
  </si>
  <si>
    <t>MOMNTM IS FOLLOWED | BUT LAST TIME RET WAS STRONGER | IG NEED MORE SPACE TO TAKE THESE TRADES</t>
  </si>
  <si>
    <t>Exit 75% b4 RBA</t>
  </si>
  <si>
    <t>only exits / hedges</t>
  </si>
  <si>
    <t>SZ(-3) | easier to scratch</t>
  </si>
  <si>
    <t>7 nov 845am</t>
  </si>
  <si>
    <t>609PM</t>
  </si>
  <si>
    <t>720PM</t>
  </si>
  <si>
    <t>BS SCALPING RN</t>
  </si>
  <si>
    <t>650pm</t>
  </si>
  <si>
    <t>J25 SPD (1)</t>
  </si>
  <si>
    <t>CUTS SHIFT BACK</t>
  </si>
  <si>
    <t>HEDGE FOR S24 SPD</t>
  </si>
  <si>
    <t>7 nov 2pm, 221pm</t>
  </si>
  <si>
    <t>658PM</t>
  </si>
  <si>
    <t>D24 6M FLY</t>
  </si>
  <si>
    <t>6M FLY HEDGED</t>
  </si>
  <si>
    <t>7 NOV 406PM</t>
  </si>
  <si>
    <t>US ISM NMFG PMI (P53.6 F53 A 51.8)</t>
  </si>
  <si>
    <t>LITTLE BELOW</t>
  </si>
  <si>
    <t>US NMFG PRICES (P58.9 F56.6 A58.6)</t>
  </si>
  <si>
    <t>A LOT ABOVE</t>
  </si>
  <si>
    <t>1007pm</t>
  </si>
  <si>
    <t>6 nov 4am</t>
  </si>
  <si>
    <t>748PM</t>
  </si>
  <si>
    <t>res | pa</t>
  </si>
  <si>
    <t>749pm</t>
  </si>
  <si>
    <t>614am</t>
  </si>
  <si>
    <t>Scalping (RET)</t>
  </si>
  <si>
    <t>mm working, scalping be careful (d), scalping with backup of fly should be safer (b) | scalping (1x,3x) 6, 18</t>
  </si>
  <si>
    <t>TUR RBA | nothing else this week</t>
  </si>
  <si>
    <t>orders thought @ night b4 rba</t>
  </si>
  <si>
    <t>PA VAR (A), BACK FLIES COMBO (A) | (belly24,24 back/r 36, 36) | upto 12 hits</t>
  </si>
  <si>
    <t>Watch the charts b4 rba sesh</t>
  </si>
  <si>
    <t>cs expected (TAKE for cf)</t>
  </si>
  <si>
    <t>outrights: yt BO if no hike | then anticipating based on yt HIT XT 1 BUY and 3 ticks below 1 more ; if hike -&gt; avoid as close to mkt close and ret might be tempting -&gt; avoid outrights if hike | ret XT @ 95.19 BUY</t>
  </si>
  <si>
    <t>Exit at least half by THU</t>
  </si>
  <si>
    <t>RBA HIKES BY 25 (4.35%)</t>
  </si>
  <si>
    <t xml:space="preserve">HIKE </t>
  </si>
  <si>
    <t>greed -&gt; had to avoid xt if hike (did not follow plan) | also sloppy -&gt; wake up</t>
  </si>
  <si>
    <t>Last trade of XT until found something positive</t>
  </si>
  <si>
    <t>never hit on momentum until you get the full pic</t>
  </si>
  <si>
    <t>IB DEC23</t>
  </si>
  <si>
    <t>Sz (till -4) + RET</t>
  </si>
  <si>
    <t>-4 if -5 touched/flipped</t>
  </si>
  <si>
    <t>-5 sz if breaks or flips then trade fails so exit immediately</t>
  </si>
  <si>
    <t>9 nov 122am</t>
  </si>
  <si>
    <t xml:space="preserve">CAN CONV 80-36 (44) TO DEFLY </t>
  </si>
  <si>
    <t>OR 44 @3 36 @ 2</t>
  </si>
  <si>
    <t>mistake was higher lots and unable to hedge on time when had the chance | couldn't buy time instead lost money</t>
  </si>
  <si>
    <t>aggressive hitting of lots not following the strat plan and lot sizing was the big mistake, have a plan before every session</t>
  </si>
  <si>
    <t>since 4x the lots, tighter the SL</t>
  </si>
  <si>
    <t>80 TICKS EXTRA LOST</t>
  </si>
  <si>
    <t>went to -3 by 5pm 9 nov</t>
  </si>
  <si>
    <t>outright values are misleading</t>
  </si>
  <si>
    <t>Ret + var/hl75</t>
  </si>
  <si>
    <t>220pm</t>
  </si>
  <si>
    <t>less hikes left less cuts + hold for longer so less downside below</t>
  </si>
  <si>
    <t>9 nov 537am</t>
  </si>
  <si>
    <t>7 nov 406pm</t>
  </si>
  <si>
    <t>232pm</t>
  </si>
  <si>
    <t>Fly exit</t>
  </si>
  <si>
    <t>too much exposure hold for longer instead</t>
  </si>
  <si>
    <t>aim for better rr</t>
  </si>
  <si>
    <t>243pm</t>
  </si>
  <si>
    <t>Sc + RZ</t>
  </si>
  <si>
    <t>310PM</t>
  </si>
  <si>
    <t>HL75 VAR4</t>
  </si>
  <si>
    <t>407pm</t>
  </si>
  <si>
    <t>416PM</t>
  </si>
  <si>
    <t>9 nov 4am</t>
  </si>
  <si>
    <t>7 nov 406pm, 8 nov  1st sesh</t>
  </si>
  <si>
    <t>Scalping xtra lots</t>
  </si>
  <si>
    <t>8 NOV 320AM</t>
  </si>
  <si>
    <t>9 nov 535am</t>
  </si>
  <si>
    <t xml:space="preserve">stormy markets | all strats (D) </t>
  </si>
  <si>
    <t>exit all and leave on monday</t>
  </si>
  <si>
    <t>ride the waves | learn this</t>
  </si>
  <si>
    <t>different tools for different situations</t>
  </si>
  <si>
    <t>ONLY FLIES WITH A LOTS</t>
  </si>
  <si>
    <t>trade XT in sim a little and maintain a journal and build a system with good rr; as rare as possible</t>
  </si>
  <si>
    <t>SELECTIVE TRADES WITH ALTERNATE CONTRACTS  | NO 6M, 9M SPDS</t>
  </si>
  <si>
    <t>SLEEP FEW DAYS</t>
  </si>
  <si>
    <t>HEDGED TRADES ONLY | F (A)</t>
  </si>
  <si>
    <t>REST ALL  STRATS (D)</t>
  </si>
  <si>
    <t xml:space="preserve">Recover till 20k by year end </t>
  </si>
  <si>
    <t>day stop take leave mon, tue</t>
  </si>
  <si>
    <t>at least 2 tick profit trades only (A)</t>
  </si>
  <si>
    <t>ONLY REDS</t>
  </si>
  <si>
    <t>hedged flies 36</t>
  </si>
  <si>
    <t>HL75 PA 36</t>
  </si>
  <si>
    <t>R VAR 2 TICKS 36</t>
  </si>
  <si>
    <t>302am</t>
  </si>
  <si>
    <t>Sz (-3) nxt -5</t>
  </si>
  <si>
    <t>cf</t>
  </si>
  <si>
    <t>M25 FLY (1)-(2)</t>
  </si>
  <si>
    <t>J24 FLY B 4</t>
  </si>
  <si>
    <t>10 nov 330am</t>
  </si>
  <si>
    <t>304am</t>
  </si>
  <si>
    <t xml:space="preserve">J24 FLY B 4 </t>
  </si>
  <si>
    <t>RBA SOMP</t>
  </si>
  <si>
    <t>conv to fly as higher chance + more ticks better rr</t>
  </si>
  <si>
    <t>NEED TO INCREASE WIN% | ULTRA SELECTIVE</t>
  </si>
  <si>
    <t>TRADE 1X, 2X A WEEK BUT WITH UA LOTS</t>
  </si>
  <si>
    <t>LOT OF FLUCTUATION | REDUCE THEM | ONLY HEDGED TRADES</t>
  </si>
  <si>
    <t>UNABLE TO RETAIN MUCH OF THE MONEY MADE | DEFLIES, FLIES</t>
  </si>
  <si>
    <t xml:space="preserve">cant trade spds on daily basis </t>
  </si>
  <si>
    <t>scalping is shit</t>
  </si>
  <si>
    <t>flies, deflies, combos</t>
  </si>
  <si>
    <t>increase reds lot sizing | go 2x (NOT FREQUENCY)</t>
  </si>
  <si>
    <t>DONT TELL YOUR TRADES</t>
  </si>
  <si>
    <t>TUE US CPI</t>
  </si>
  <si>
    <t>WED AUS WPI, US RS, PPI</t>
  </si>
  <si>
    <t>THU AUD LABOUR DATA, US JL, philly fed</t>
  </si>
  <si>
    <t>FRI EZ CPI</t>
  </si>
  <si>
    <t>play momentum on all events with 3rd, 4th sl | 2 lots</t>
  </si>
  <si>
    <t>minimize losses phase</t>
  </si>
  <si>
    <t xml:space="preserve">focus on minimizing losses </t>
  </si>
  <si>
    <t xml:space="preserve">RBA SOMP | CPI END OF 23 4.5% 24 3.5% 25 3% | GDP forecasts also increased </t>
  </si>
  <si>
    <t>CHINA DEFLATION</t>
  </si>
  <si>
    <t>Oct CPI -0.2% y/y vs 0.0% in Sep</t>
  </si>
  <si>
    <t xml:space="preserve">Ranged (4 to 7) </t>
  </si>
  <si>
    <t>Higher chance + better rr than spd through various events (for cs) spds in hike</t>
  </si>
  <si>
    <t>6, lesser half @ 7 try -&gt; 6 as might flatten and not steepen as cuts might come forward</t>
  </si>
  <si>
    <t>nxt @ 1</t>
  </si>
  <si>
    <t>14 nov event, 807pm, 15 nov 6am</t>
  </si>
  <si>
    <t>add 4 more each</t>
  </si>
  <si>
    <t>SOMP</t>
  </si>
  <si>
    <t>hedge for cf (cs) -&gt; D24 DEFLY @ 0.021</t>
  </si>
  <si>
    <t>-1, -2 (mostly -1)</t>
  </si>
  <si>
    <t>15 nov 942am</t>
  </si>
  <si>
    <t>TRYING FOR FLY BUT CAN GET BETTER CHANCE</t>
  </si>
  <si>
    <t>755AM</t>
  </si>
  <si>
    <t>715AM</t>
  </si>
  <si>
    <t>HL75 + SZ (-4,-5)</t>
  </si>
  <si>
    <t>TAKE J25 spd -5</t>
  </si>
  <si>
    <t>Reducing exposure b4 tom cpi</t>
  </si>
  <si>
    <t>14 nov 10pm</t>
  </si>
  <si>
    <t>339am</t>
  </si>
  <si>
    <t xml:space="preserve">CS </t>
  </si>
  <si>
    <t xml:space="preserve">-3,-4 -&gt; -4 should steepen in the long </t>
  </si>
  <si>
    <t>21 nov 434pm</t>
  </si>
  <si>
    <t>36 left - 26 left</t>
  </si>
  <si>
    <t>SPLIT EQUIVALENT LOTS FOR DEFLY / HEDGE FOR THE M25 FLY</t>
  </si>
  <si>
    <t>CAN SPLIT EQUIVALENT LOTS FOR HEDGING ANOTHER FLY TO MAKE DEFLY IF UNSURE ABT DIRECTIONS</t>
  </si>
  <si>
    <t>J25 FLY (2)</t>
  </si>
  <si>
    <t>hold only 10 deflies after Dec1st week</t>
  </si>
  <si>
    <t>M25 DEFLY</t>
  </si>
  <si>
    <t>Ranged (-2 to 2)</t>
  </si>
  <si>
    <t>&gt;=1</t>
  </si>
  <si>
    <t>if get -3 -&gt; tgt 0, else 1</t>
  </si>
  <si>
    <t>28 nov 1040am, 30 nov 1015am</t>
  </si>
  <si>
    <t>17 left</t>
  </si>
  <si>
    <t>GET ALL OUT @ 0</t>
  </si>
  <si>
    <t>M25 LEFT SELL @ -7 X 5</t>
  </si>
  <si>
    <t>US CPI YOY (P3.7% F3.3% A3.2%)</t>
  </si>
  <si>
    <t>XT WENT UP 12 TICKS, W SPDS CAME DOWN</t>
  </si>
  <si>
    <t>MOMENTUM WORKED RET 4-5 TICKS FROM TOP  (15MINS AFTER DATA)</t>
  </si>
  <si>
    <t>NO MORE RATE CUTS IN 23,24</t>
  </si>
  <si>
    <t>US CORE CPI (P0.3% F0.3% A0.2%)</t>
  </si>
  <si>
    <t>cuts forward</t>
  </si>
  <si>
    <t>lowering rate cuts expectations</t>
  </si>
  <si>
    <t>limit to steepening</t>
  </si>
  <si>
    <t>FED on hold for some time now</t>
  </si>
  <si>
    <t>Scalping var5 hl90</t>
  </si>
  <si>
    <t>852pm</t>
  </si>
  <si>
    <t>insane</t>
  </si>
  <si>
    <t>1030pm</t>
  </si>
  <si>
    <t>HL75/ Scalping</t>
  </si>
  <si>
    <t xml:space="preserve">f x j24 </t>
  </si>
  <si>
    <t>15 nov 432pm</t>
  </si>
  <si>
    <t>130am</t>
  </si>
  <si>
    <t>852pm, 15 nov 858am</t>
  </si>
  <si>
    <t>cUTS FORWARD</t>
  </si>
  <si>
    <t>711am</t>
  </si>
  <si>
    <t>PPI MOM OCT (P0.4% 0.1% -0.5%)</t>
  </si>
  <si>
    <t>VERY DOVISH</t>
  </si>
  <si>
    <t>BY FRI EXIT ALL</t>
  </si>
  <si>
    <t>RS MOM OCT (P0.9% F-0.3% A-0.1%)</t>
  </si>
  <si>
    <t>CORE PPI MOM (P0.2% F0.3% A0%)</t>
  </si>
  <si>
    <t>UE RATE (P3.7% F3.7% A3.7%)</t>
  </si>
  <si>
    <t>E CHANGE (P6K F20K A55K)</t>
  </si>
  <si>
    <t>No fs were given</t>
  </si>
  <si>
    <t>very hawkish (but no respect)</t>
  </si>
  <si>
    <t>sc + -3 rz</t>
  </si>
  <si>
    <t>f x</t>
  </si>
  <si>
    <t>20 nov 941am</t>
  </si>
  <si>
    <t>HEDGED FLY OR DEF FLY 53 LOTS TOTAL / 24-29 for 3months 1:3 so r 53 w 14 b 24</t>
  </si>
  <si>
    <t>var r 30, 30 b 15, 15 front 2 spds 10,10 or 12,., 15</t>
  </si>
  <si>
    <t>752PM</t>
  </si>
  <si>
    <t>sz-10</t>
  </si>
  <si>
    <t>26m</t>
  </si>
  <si>
    <t>818pm</t>
  </si>
  <si>
    <t>330Am</t>
  </si>
  <si>
    <t>0,0.5 NO DOWNSIDE</t>
  </si>
  <si>
    <t>22 nov 241pm</t>
  </si>
  <si>
    <t>435AM</t>
  </si>
  <si>
    <t>Sz 0 + sscalping</t>
  </si>
  <si>
    <t>fly @ 8</t>
  </si>
  <si>
    <t>intraweek</t>
  </si>
  <si>
    <t>525am</t>
  </si>
  <si>
    <t>447am</t>
  </si>
  <si>
    <t>var4 + prev rz to sz</t>
  </si>
  <si>
    <t>&lt;1d</t>
  </si>
  <si>
    <t>went back to 8 but then went up to 15 hit by 22nd nov (5d)</t>
  </si>
  <si>
    <t>931am</t>
  </si>
  <si>
    <t>fly exit</t>
  </si>
  <si>
    <t>20 NOV 1015AM</t>
  </si>
  <si>
    <t>Sz near 0</t>
  </si>
  <si>
    <t>20 NOV 357AM</t>
  </si>
  <si>
    <t>519am</t>
  </si>
  <si>
    <t>hit j24 -4 for j24 fly 4 b</t>
  </si>
  <si>
    <t>might take more time j24 fly much better holding period + rr</t>
  </si>
  <si>
    <t>J24 FLY (1)</t>
  </si>
  <si>
    <t>Ranged 4-6</t>
  </si>
  <si>
    <t>cs</t>
  </si>
  <si>
    <t>nxt @ 2 if 3 available @ hit exit all @4</t>
  </si>
  <si>
    <t>22 NOV 228PM</t>
  </si>
  <si>
    <t>fri exit all</t>
  </si>
  <si>
    <t>timeout . manage the flies only</t>
  </si>
  <si>
    <t xml:space="preserve">def scalping in he belly </t>
  </si>
  <si>
    <t>should be a chill week</t>
  </si>
  <si>
    <t>FRI trades this time possibe thu 2nd half onwards | but b trades</t>
  </si>
  <si>
    <t>XT ZONE SE 3TICKS DOOR</t>
  </si>
  <si>
    <t>since last month shift in psyche from inflation to growth / geopol.</t>
  </si>
  <si>
    <t>nxt @ 2 &amp; 1</t>
  </si>
  <si>
    <t>28 nov 949am, 29 nov 1257pm</t>
  </si>
  <si>
    <t>SPLIT TO HOLD LONGER AND ABLE TO ADD MORE IF COMES DOWN</t>
  </si>
  <si>
    <t>exit within dec1st week</t>
  </si>
  <si>
    <t>1050AM</t>
  </si>
  <si>
    <t>624pm</t>
  </si>
  <si>
    <t>1252PM</t>
  </si>
  <si>
    <t>334PM</t>
  </si>
  <si>
    <t>620PM</t>
  </si>
  <si>
    <t>RNG (0 TO -3)</t>
  </si>
  <si>
    <t>22 nov 245pm</t>
  </si>
  <si>
    <t>RIDING DOWNTREND FROM RZ (NEAR PREV SZ) + FIBO 2ND PREV H-L 38% PREV H-L 60% (45m))</t>
  </si>
  <si>
    <t>~51</t>
  </si>
  <si>
    <t>breaks prev high</t>
  </si>
  <si>
    <t>43 breaks prev low and new sz</t>
  </si>
  <si>
    <t>1027pm</t>
  </si>
  <si>
    <t>Aggressive sl 1 @ 50 instead of 51</t>
  </si>
  <si>
    <t>dynamic sl + had to sleep . gg</t>
  </si>
  <si>
    <t xml:space="preserve">went to 55 nxt session; good call, do not hold for long ever, </t>
  </si>
  <si>
    <t>if you get more than 2 ticks take it for starting</t>
  </si>
  <si>
    <t>cancel all active orders in outrights + check</t>
  </si>
  <si>
    <t>always use trailing sl, and keep it moving closer make it dynamic</t>
  </si>
  <si>
    <t>s24, d24, m25 7 s, 9 b</t>
  </si>
  <si>
    <t>only exits now</t>
  </si>
  <si>
    <t>WED RBNZ, US GDP</t>
  </si>
  <si>
    <t>THU US PCE, CAD GDP</t>
  </si>
  <si>
    <t>FRI PMI</t>
  </si>
  <si>
    <t>RANGED STATE</t>
  </si>
  <si>
    <t>ranged (w 7,7 r 14,14) , d scalp (d) (10,11)</t>
  </si>
  <si>
    <t>var, hl 75 (ct, hf) - (w 22, 22 (f) r45 45 (F))</t>
  </si>
  <si>
    <t>var W - 3, 3, 3, 2 R - rest all 2</t>
  </si>
  <si>
    <t>SZ, RZ -&gt; +14 so var + sz = 60 provided no d scalp</t>
  </si>
  <si>
    <t>d scalp 2,2,2, rest 1 above below</t>
  </si>
  <si>
    <t>121pm</t>
  </si>
  <si>
    <t>736pm</t>
  </si>
  <si>
    <t>D24 FLY 0 S</t>
  </si>
  <si>
    <t>FED MINUTES</t>
  </si>
  <si>
    <t> minutes suggested they might be comfortable holding rates steady for at least the rest of the year;  officials  saw the risks of raising rates too much versus raising them too little as better balanced than earlier this year; continue to see risks of higher-than-expected inflation and lower-than-expected growth; needed to see more evidence to “be confident that inflation is clearly on a path” to the Fed’s 2% target</t>
  </si>
  <si>
    <t>S&amp;P 500 exits correction territory. Thank retreating bond yields.</t>
  </si>
  <si>
    <t>205pm</t>
  </si>
  <si>
    <t>BULLOCK MIC DROP</t>
  </si>
  <si>
    <t>245PM</t>
  </si>
  <si>
    <t>27 nov 350am</t>
  </si>
  <si>
    <t>651PM</t>
  </si>
  <si>
    <t>ONLY EXITS NOW TILL MONTH END THEN UD SCALPING INTRADAY</t>
  </si>
  <si>
    <t>no flies</t>
  </si>
  <si>
    <t>658pm</t>
  </si>
  <si>
    <t>956PM</t>
  </si>
  <si>
    <t>1152PM</t>
  </si>
  <si>
    <t>1159PM</t>
  </si>
  <si>
    <t>28 nov 1040am</t>
  </si>
  <si>
    <t>12AM</t>
  </si>
  <si>
    <t>159AM</t>
  </si>
  <si>
    <t>756am</t>
  </si>
  <si>
    <t>940pm</t>
  </si>
  <si>
    <t>get @ -14 if not stay for -11</t>
  </si>
  <si>
    <t>empty spds b4 us gdp / reduce by half</t>
  </si>
  <si>
    <t>hold 12 and make fly | scratchable and might be winnable if make 3,4 short</t>
  </si>
  <si>
    <t>avoid kink rtrades - D24 W HEAVY LOTS FOR NOW</t>
  </si>
  <si>
    <t>went to -10 on 1st dec 3-4d</t>
  </si>
  <si>
    <t>940PM</t>
  </si>
  <si>
    <t>Monthly CPI Indicator (YoY) (Oct) (P5.6% F5.2% A4.9%)</t>
  </si>
  <si>
    <t>BELLY WENT DOWN 2ND SPD WENT DOWN BY 4 TICKS</t>
  </si>
  <si>
    <t>dec timeout | ud trades</t>
  </si>
  <si>
    <t>NOTHING AFTER FED POWELL | POWELL DAY ULTRA DEF TRADES ONLY</t>
  </si>
  <si>
    <t>EXIT ALL BY NEXT WEEK</t>
  </si>
  <si>
    <t>DEC 1ST WEEK LAST WEEK | ONLY EXITS</t>
  </si>
  <si>
    <t>D TRADES ALL | hl var r 24, b 21, w 12</t>
  </si>
  <si>
    <t>Scalping + VAR 4</t>
  </si>
  <si>
    <t>29 nov 1251pm</t>
  </si>
  <si>
    <t>mar 24 cuts priced in more in US</t>
  </si>
  <si>
    <t>Rz 2</t>
  </si>
  <si>
    <t>Cuts in front chances high</t>
  </si>
  <si>
    <t>hedge for d24 spd + US curve mimic</t>
  </si>
  <si>
    <t>Cuts in front shift more chance than back + US fly negative</t>
  </si>
  <si>
    <t>nxt @ 3</t>
  </si>
  <si>
    <t>1 DEC 757AM</t>
  </si>
  <si>
    <t>FRIYAY TRADES POSSIBLE NOW</t>
  </si>
  <si>
    <t>US GDP (P2.1% F4.9% A5.2%)</t>
  </si>
  <si>
    <t>4 ticks buffer (88$/lot)</t>
  </si>
  <si>
    <t>1 value full | 2 value of interest split | even for spds (ex: 42 for 1 else 21, 21 )</t>
  </si>
  <si>
    <t>need &gt;1 entry strictly for xt</t>
  </si>
  <si>
    <t>55AM</t>
  </si>
  <si>
    <t xml:space="preserve">M24 6M FLY </t>
  </si>
  <si>
    <t>RANGED (8 - 13)</t>
  </si>
  <si>
    <t>COULDNT GET J24 FLY @ 2</t>
  </si>
  <si>
    <t>&gt;=13 (3 ticks)</t>
  </si>
  <si>
    <t>1 dec 831pm</t>
  </si>
  <si>
    <t>635AM</t>
  </si>
  <si>
    <t>&gt;=5 (&gt;=2tcks)</t>
  </si>
  <si>
    <t>avoid crowd | everyone has it</t>
  </si>
  <si>
    <t>GET OUT OF THIS | USELESS NOW</t>
  </si>
  <si>
    <t>855AM</t>
  </si>
  <si>
    <t>US CORE PCE (P3.7% F3.5% A3.5%0</t>
  </si>
  <si>
    <t>7.10PM</t>
  </si>
  <si>
    <t>went till the prev high -&gt; now sz all gaps filled</t>
  </si>
  <si>
    <t>2-3, ticks anti ret can occur from the hit price</t>
  </si>
  <si>
    <t>went till 25 by 730pm</t>
  </si>
  <si>
    <t>PREV BOX -&gt; B/O -&gt; GAP | MOM IN GAP HIT DEF 2 ELSE HIT 1 AGGRESSIVE</t>
  </si>
  <si>
    <t xml:space="preserve">-10,-10 eqbm / one -10 other -11 </t>
  </si>
  <si>
    <t>1 dec 956pm</t>
  </si>
  <si>
    <t>s24 -9, d24 -10,11</t>
  </si>
  <si>
    <t>FLY EXIT</t>
  </si>
  <si>
    <t>GIVES MORE POWER TO TAKE FRIDAY EVENT TRADES LATER | MUCH BETTER TRADES POSSIBLE</t>
  </si>
  <si>
    <t>TAKING TOO LONG + SHIT PIQ</t>
  </si>
  <si>
    <t>avoid s24 spd this yr</t>
  </si>
  <si>
    <t>you just saved a lot of money by preventing losses + opportunity cost | hf</t>
  </si>
  <si>
    <t>GG | FOR PREVENTING LOSSES + OPPORTUNITY COST + REDCUING EXPOSURE IN USELESS TRADES FOR BETTER ATTACK LATER ON</t>
  </si>
  <si>
    <t>AAGE AUR MAUKE AENGE</t>
  </si>
  <si>
    <t>one of the best defenses so far</t>
  </si>
  <si>
    <t>have a trading plan before every session with hedges ready | and lot sizing for all strats as per system</t>
  </si>
  <si>
    <t>lot sizing for weekly plays has to be done</t>
  </si>
  <si>
    <t xml:space="preserve">DONT TELL YOUR TRADES | (SAY EMPTY GRID / INTRADAY) </t>
  </si>
  <si>
    <t>SELECTIVE TRADING WITH PLANNED HEDGES AND LOT SIZING AND DEFINED SL</t>
  </si>
  <si>
    <t>trouble trading? -&gt; sit out 1 day</t>
  </si>
  <si>
    <t>dont watch PAT | watch hawk and your performance analysis for track</t>
  </si>
  <si>
    <t>During data; algos rule | cant beat them unless algos get tricked by mistake from data side due to lag or smthng else | avoid for now unless miss by a huge margin</t>
  </si>
  <si>
    <t>NEVER SHARE TRADE IDEAS AND JOURNAL TO ANYONE | ANYONE</t>
  </si>
  <si>
    <t>AVOID THE GET RICH QUICK MENTALITY</t>
  </si>
  <si>
    <t>THINK BIGGER THAN YOURSELF</t>
  </si>
  <si>
    <t>KNOW WHAT YOU OWN - STAY ALERT ABOUT IT</t>
  </si>
  <si>
    <t>LIVE A QUIET LIFE - BETTER CHANCE OF MAKING MONEY AND GOING BROKE INSTEAD OF NEVER MAKING MONEY AND GO BROKE - IT'S THE LIFESTYLE THAT SHATTERS THE DISCIPLINE - BE CONTENT</t>
  </si>
  <si>
    <t>THERE IS NO SUCCESS WITHOUT PLANNING</t>
  </si>
  <si>
    <t>people will mock you for your failed investments</t>
  </si>
  <si>
    <t>HOW TO GO TO 100K WITH WHAT YOU HAVE</t>
  </si>
  <si>
    <t>ASE OF FLIES HAVE WORKED BEST FOR ME; STICK WITH THE ASE OF THEM ONLY</t>
  </si>
  <si>
    <t>kuch dino ki hi baat h ladko | cap and reflect</t>
  </si>
  <si>
    <t>need to take 2 more mkts at least</t>
  </si>
  <si>
    <t>As long as your'e learning from losses it wasnt a complete loss</t>
  </si>
  <si>
    <t>avoid crowd</t>
  </si>
  <si>
    <t>no one cracks the market for long | staying in the game is the only key</t>
  </si>
  <si>
    <t>AUSSIE = FLIES, DEFLIES, RANGE RANGE, LG (A, UA) SCALP AFTER TREND (A, B), RANGE (B), ELSE (UD)</t>
  </si>
  <si>
    <t>learned a lot abt life and personality so stay a little longer</t>
  </si>
  <si>
    <t>i.m trying my best tho</t>
  </si>
  <si>
    <t>December 23 live</t>
  </si>
  <si>
    <t>DEC</t>
  </si>
  <si>
    <t>219PM</t>
  </si>
  <si>
    <t>ISM MFG PMI (P46.7 F47.6 A46.7)</t>
  </si>
  <si>
    <t>HODL )</t>
  </si>
  <si>
    <t>POWELL SPEECH</t>
  </si>
  <si>
    <t>M24 SPD KINK IN EVERY ECONOMY M24 FLY SHORT LOOKS GOOD | CAN GO NEAR 0 AT LEAST GO LOWER THAN CURRENT</t>
  </si>
  <si>
    <t>RATE CUT ODDS ARE INCREASING</t>
  </si>
  <si>
    <t>M25 FLY STEEPEST AND J25 FLY HIGHER  | M25 DEFLY SHORT LOOKS GOOD</t>
  </si>
  <si>
    <t>WE ARE NOT RAISING RATES BUT WE DONT KNOW WHEN WE ARE CUTTING</t>
  </si>
  <si>
    <t>934PM</t>
  </si>
  <si>
    <t>TECH SPIRAL</t>
  </si>
  <si>
    <t>937pm</t>
  </si>
  <si>
    <t>COULD HAVE MADE +4 TICKS EASY BUT SL WAS -3 SO NOT GOOD ENOUGH</t>
  </si>
  <si>
    <t>GAP RETRACED AGAIN</t>
  </si>
  <si>
    <t>any play felt like chasing | avoid such days</t>
  </si>
  <si>
    <t>short term bonds are fun | best when fluctuations</t>
  </si>
  <si>
    <t>getting clapped on friday | up aw down oh someone else also thought the same oh</t>
  </si>
  <si>
    <t>2 hrs later try ret ~ 9pm</t>
  </si>
  <si>
    <t>Scalping + var 3</t>
  </si>
  <si>
    <t>4 DEC 304AM</t>
  </si>
  <si>
    <t xml:space="preserve">need to scratch as US going lower </t>
  </si>
  <si>
    <t>wrong trade</t>
  </si>
  <si>
    <t>"LAGA NAHI THA KI CHALA JAEGA TABHI"</t>
  </si>
  <si>
    <t>TRY SCRATCHING NOW</t>
  </si>
  <si>
    <t xml:space="preserve">ALL MAJOR ECON CURVES HAD M24 KINK SHOULD HAVE TAKEN THIS LEG </t>
  </si>
  <si>
    <t>correcting mistakes quickly | GG</t>
  </si>
  <si>
    <t>1215am</t>
  </si>
  <si>
    <t>HIT M24 SPD -2 FOR FLY @ ANYTHING POSITIVE!</t>
  </si>
  <si>
    <t>31 LOTS @ -2 M24 SPD } MUST</t>
  </si>
  <si>
    <t xml:space="preserve"> 24 LOTS @ -1 M24 (for m24 fly short) SPD ELSE CUT LOSS | BETTER TRADES AHEAD | LEARN TO LOSE SOME NOW TO GAIN MORE LATER</t>
  </si>
  <si>
    <t>304am, 530pm</t>
  </si>
  <si>
    <t>CUTS SHIFTING IN FRONT IN MAJOR ECON (ONLY SON HAS THIS FLY POSITIVE OTHER THAN AUD)</t>
  </si>
  <si>
    <t>CS + ALL WORLD CURVES HAVE J24 AS KINK SO DEFINITELY THIS FLY SHOULD GO DOWN</t>
  </si>
  <si>
    <t>2,3</t>
  </si>
  <si>
    <t>next add @ &gt;=7</t>
  </si>
  <si>
    <t>6 dec 6am, 7 dec 249pm</t>
  </si>
  <si>
    <t>25 left</t>
  </si>
  <si>
    <t>get out 80% b4 fomc (can hold 5)</t>
  </si>
  <si>
    <t>12 left -&gt; 6 LEFT</t>
  </si>
  <si>
    <t>M24 DEFLY</t>
  </si>
  <si>
    <t>Ranged (6,4 to -1,-3)</t>
  </si>
  <si>
    <t>cuts shift in front</t>
  </si>
  <si>
    <t>HEDGED position j24 fly+m24 fly</t>
  </si>
  <si>
    <t>-2, 0</t>
  </si>
  <si>
    <t>5 DEC 4PM, 655PM, 832pm</t>
  </si>
  <si>
    <t>s24 spd b -11 x 5 lots left</t>
  </si>
  <si>
    <t>ONLY M24 SPD 5 LOTS LEFT TO BUY</t>
  </si>
  <si>
    <t xml:space="preserve">cant be perfect all times | accept the odds a little against </t>
  </si>
  <si>
    <t>HIT 0 24 LOTS WITH -1 ALREADY PLACED</t>
  </si>
  <si>
    <t>add more if lg or var 3 (ua) 24,24</t>
  </si>
  <si>
    <t>834pm</t>
  </si>
  <si>
    <t>CUTS STEEP</t>
  </si>
  <si>
    <t>CS</t>
  </si>
  <si>
    <t xml:space="preserve">-3, -2 by end </t>
  </si>
  <si>
    <t>6 dec event, 7 DEC, 12 dec</t>
  </si>
  <si>
    <t>30 left added 3 more 33 left -&gt; 30 left</t>
  </si>
  <si>
    <t>get out all b4 fomc</t>
  </si>
  <si>
    <t>ONLY EXITS BY WEEKEND</t>
  </si>
  <si>
    <t xml:space="preserve">TUE RBA, ISM NMFG PMI, JOLTS (if less then less jobs needed, so more people have jobs so infl up int rate up ir down), tokyo cpi | PA LG (UA) (probably due to FRA spikes) through out curve irrespectve of current positions </t>
  </si>
  <si>
    <t>WED GDP, US ADP NFE, BOC</t>
  </si>
  <si>
    <t>THU EZ GDP | START EMPTY GRID</t>
  </si>
  <si>
    <t>FRI JPY GDP, US NFP, Labour data | fri trades VAR (B) | ONLY TO GET OUT EMPTY GRID</t>
  </si>
  <si>
    <t>nxt tue US CPI | MOMNTM (&lt;40M)</t>
  </si>
  <si>
    <t>WED FED + PROJECTIONS (EMPTY GRID B4 THIS) | LG + SHORT TERM TRADES ONLY (UD)</t>
  </si>
  <si>
    <t>THU AUD LABOUR DATA, BOE, ECB, US RETAIL SALES (GET OUT)</t>
  </si>
  <si>
    <t>EXIT ALL BY THIS THU</t>
  </si>
  <si>
    <t xml:space="preserve">WALL STREET MKT - HOLD 4% FLAT = SOFT LANDING </t>
  </si>
  <si>
    <t>j dimon prepare for higher for longer</t>
  </si>
  <si>
    <t>id data is good and it will be a new bond rally in 2024; bullish bonds, long year bonds</t>
  </si>
  <si>
    <t>NO MORE ENTRIES</t>
  </si>
  <si>
    <t>TOKYO CPI (P2.7% F2.4% A2.3%)</t>
  </si>
  <si>
    <t>Moody’s cuts China credit outlook to negative as economy slows</t>
  </si>
  <si>
    <t>CHINA CREDIT NEGATIVE FROM STABLE</t>
  </si>
  <si>
    <t>FOCUS ON TRADE BALANCES | AUSSIE DEPENDENT</t>
  </si>
  <si>
    <t>IF CHINA SPIRALS IT SHOULD IMPACT WORLD ECONOMY | RECESSIONARY RESULT</t>
  </si>
  <si>
    <t>WEDGE (40M, 240M) + EVENT MOMENTUM</t>
  </si>
  <si>
    <t>1 piq se left 1 more lot | nxt time hit | it retraced till this pt. by mkt close</t>
  </si>
  <si>
    <t>when in the trade: think from the other end . why would i retrace and what should be that setup and how would that strat behave</t>
  </si>
  <si>
    <t>THINK FROM THE OTHER SIDE'S PERSPECTIVE</t>
  </si>
  <si>
    <t>RBA UNCHANGED (4.35%)</t>
  </si>
  <si>
    <t>Scalping partial (12)</t>
  </si>
  <si>
    <t>most econ spds is kink or closer to the kink + higher for long by cuts</t>
  </si>
  <si>
    <t>2h, 4h</t>
  </si>
  <si>
    <t>1143am, 135pm</t>
  </si>
  <si>
    <t>most econ spds is kink or closer to the kink + higher for long by cuts + spike in EZ</t>
  </si>
  <si>
    <t xml:space="preserve">-5, OR WHEN M24 FLY NEAR 2,3 | -5 SZ + IF -5 BREAKS THEN -8 TO -10, -8 -&gt; went till -7 so try exiting half @ -5,-6 as per markets </t>
  </si>
  <si>
    <t>FLY SHOULD BE NEAR 0 (2,3) IN AUD MKT | if -5 breaks theN near -8 to -10 | labour data evening so much better trades possible only carry half lots (10) + fra effect will come</t>
  </si>
  <si>
    <t>2d,3d</t>
  </si>
  <si>
    <t>7 dec, 8 dec, 11 dec</t>
  </si>
  <si>
    <t>24 left</t>
  </si>
  <si>
    <t>12 exit b4 fri 1 tick below sesh low (wed)</t>
  </si>
  <si>
    <t>7 dec -6 1400 short 1 clip</t>
  </si>
  <si>
    <t>UA | GG</t>
  </si>
  <si>
    <t>labour data evening | carry only half (10) lots into event</t>
  </si>
  <si>
    <t>-6 10 lots</t>
  </si>
  <si>
    <t>pure greed and wishful thinking | can get better trades during event | make room for those trades</t>
  </si>
  <si>
    <t>world econ spds have now gone up a little + japan threats might come into play next week + fra + us cpi + fomc pressure</t>
  </si>
  <si>
    <t>302pm</t>
  </si>
  <si>
    <t>ONLY EXITS</t>
  </si>
  <si>
    <t>4pm</t>
  </si>
  <si>
    <t>US JOLTS (P9.35M F9.3M A8.7M)</t>
  </si>
  <si>
    <t>XT WENT UP REALLY FAST, SPDS WENT DOWN</t>
  </si>
  <si>
    <t>1037PM</t>
  </si>
  <si>
    <t>Scalping + ranged MKT COULD BE NEXT STATE TILL FRI DATA DAY COMES BUT GDP ALSO COULD BE CHANGER</t>
  </si>
  <si>
    <t>&lt;d</t>
  </si>
  <si>
    <t>6 dec event</t>
  </si>
  <si>
    <t>1112pm</t>
  </si>
  <si>
    <t>AUD GDP QOQ Q3 (P0.4% F0.3% A0.2%)</t>
  </si>
  <si>
    <t>SPIKE IN SPDS</t>
  </si>
  <si>
    <t>WOrld view is more like few cuts and hold higher rates for longer</t>
  </si>
  <si>
    <t>AUD GDP YOY Q3 (P2.1% F1.7% A2.1%)</t>
  </si>
  <si>
    <t>834am</t>
  </si>
  <si>
    <t>925pm</t>
  </si>
  <si>
    <t>var 3 + ranged after movement (-3,-2 to -4,-5)</t>
  </si>
  <si>
    <t xml:space="preserve">Cuts in front </t>
  </si>
  <si>
    <t>keep taking till -1</t>
  </si>
  <si>
    <t>weekend 1st session / tomorrow 2nd session (thu)</t>
  </si>
  <si>
    <t>BOJ lays groundwork for end of Japan's negative rates</t>
  </si>
  <si>
    <t>Policy board members' comments indicate end to extreme easing on the horizon</t>
  </si>
  <si>
    <t>JAPAN PIVOTING MAYBE!?</t>
  </si>
  <si>
    <t>BONDS FLUSHED BAD!</t>
  </si>
  <si>
    <t>var 3 + sCALPING</t>
  </si>
  <si>
    <t>UA | AGGRESSIVE</t>
  </si>
  <si>
    <t>1141am</t>
  </si>
  <si>
    <t>1142AM</t>
  </si>
  <si>
    <t>306pm</t>
  </si>
  <si>
    <t>15M</t>
  </si>
  <si>
    <t>321PM</t>
  </si>
  <si>
    <t>LESS CHANCE</t>
  </si>
  <si>
    <t>NOT INTERESTED</t>
  </si>
  <si>
    <t>3,2,2,3,4,3,2,2 | 4th, 5th, 6th contract</t>
  </si>
  <si>
    <t>new ranged (maybe)</t>
  </si>
  <si>
    <t>Labour data in evening</t>
  </si>
  <si>
    <t>8 dec 735am</t>
  </si>
  <si>
    <t>labour data today - do not carry spreads (at least with higher lots) into the events</t>
  </si>
  <si>
    <t>RANGED (-6,-7 TO -8, -9) MAYBE</t>
  </si>
  <si>
    <t>307pm</t>
  </si>
  <si>
    <t>520aam</t>
  </si>
  <si>
    <t>JPY GDP QOQ Q3 (P1.2% F-0.5% A-0.7%)</t>
  </si>
  <si>
    <t>US LABOUR DATA - PEOPLE EXPECTING SOME WEAKNEING OF LABOUR DATA</t>
  </si>
  <si>
    <t>TIMEOUT | SO EXIT ALL BY MON</t>
  </si>
  <si>
    <t>JPY GETTING RID OF NEGATIVE RATES (AFTER 3 DECADES) | COMPLETELY OPPOSITE TO WORLD AS THEY ARE TALKING ABOUT HIKES | GOODBYE TO BOND RALLY | BOND SELLING WILL START</t>
  </si>
  <si>
    <t>SHORT BONDS IF JPY REMOVES NERP (NEGATIVE INTEREST RATE POLICY)</t>
  </si>
  <si>
    <t>might see some liquidation because of liquidation and weekend risk + heavy next week</t>
  </si>
  <si>
    <t>JPY GDP YOY (P4.8% F-2.1% A-2.8%)</t>
  </si>
  <si>
    <t>US NFP (P150K F180K A199K)</t>
  </si>
  <si>
    <t>SOFT LANDING AFTER THIS</t>
  </si>
  <si>
    <t>FEWER CUTS REQUIRED | HIGHER FOR LONGER | FLAT BELLY | FIND EQBM</t>
  </si>
  <si>
    <t>rate cuts early have gone too far</t>
  </si>
  <si>
    <t>derail the hopes of cutting rates</t>
  </si>
  <si>
    <t>US UE (P3.9% F3.9% A3.7%)</t>
  </si>
  <si>
    <t>failed | exit early | exit all @ -5</t>
  </si>
  <si>
    <t>EXIT ALL M24 SPD @ -4,-5</t>
  </si>
  <si>
    <t xml:space="preserve">ONLY 3 CUTS | STILL CAN BE EARLY </t>
  </si>
  <si>
    <t xml:space="preserve">SO FRONTS STICKY (3) BELLY SHOULD GO UP AND TAIL AS WELL | BELLY FLAT </t>
  </si>
  <si>
    <t>WORLD ECON SPDS NOW GOING UP</t>
  </si>
  <si>
    <t>scalping | sz</t>
  </si>
  <si>
    <t>s24 fly -3 b</t>
  </si>
  <si>
    <t>11 dec 3am</t>
  </si>
  <si>
    <t>1052pm</t>
  </si>
  <si>
    <t>11 dec 1145am</t>
  </si>
  <si>
    <t>job's done | good stop</t>
  </si>
  <si>
    <t>644AM</t>
  </si>
  <si>
    <t>11 dec 930am</t>
  </si>
  <si>
    <t>lol</t>
  </si>
  <si>
    <t>just exits</t>
  </si>
  <si>
    <t xml:space="preserve">MOST ACTIVE WEEK </t>
  </si>
  <si>
    <t>BOJ IS SAID TO SEE LITTLE NEED TO END NEGATIVE RATE IN DECEMBER</t>
  </si>
  <si>
    <t>observe mkts and themes</t>
  </si>
  <si>
    <t>Intraday</t>
  </si>
  <si>
    <t>follow the fed futures ( so observe from a distance) and intraday</t>
  </si>
  <si>
    <t>Fluctuations</t>
  </si>
  <si>
    <t>Follow till EOD + EXIT / SCRATCH BY NEXT SESSION CLOSE (IF TRAPPED)</t>
  </si>
  <si>
    <t>CPI LOW THEN SOFT LANDING | NO NEED FOR MORE HIKES | CUTS EARLY POSSIBLE | IR GOES UP, XT GOES UP, SPDS GO DOWN</t>
  </si>
  <si>
    <t>HIGH RISK-HIGH REWARD | BETTER TO OBSERVE FROM FAR AND ALERT</t>
  </si>
  <si>
    <t>FED NEXT DAY</t>
  </si>
  <si>
    <t>US CORE CPI MOM NOV (P0.2% F0.3% A0.3%)</t>
  </si>
  <si>
    <t>NO FS WERE GIVEN</t>
  </si>
  <si>
    <t>US CPI YOY (P3.2% F3.1% A3.1%)</t>
  </si>
  <si>
    <t>US CPI MOM NOV (P0% F0% A0.1%)</t>
  </si>
  <si>
    <t>FED UNCHG 5.5%</t>
  </si>
  <si>
    <t>ir went up 10 ticks, xt went up, white spds came down 4,4,3,2 ticks | front spd -7 skipped | 24 mins later 7,6,3,2</t>
  </si>
  <si>
    <t>Total number of cuts are same: Increased cuts in 2024 ( 3 cuts) and DECREASED 2025 (4 cuts ) Previously 2 cuts in 2024 and 5 cuts in 2025</t>
  </si>
  <si>
    <t xml:space="preserve">cuts early </t>
  </si>
  <si>
    <t>GG | TIMEOUT</t>
  </si>
  <si>
    <t>give up on changing people's mind</t>
  </si>
  <si>
    <t>morality is sometimes not abt what u do but wht u arent willing to do</t>
  </si>
  <si>
    <t>WEEKEND AROUND MONTH END CAN BE BLOOD BATH</t>
  </si>
  <si>
    <t>LEARN TO LOSE SOME NOW TO GAIN MORE LATER</t>
  </si>
  <si>
    <t>you WILL lose more number of times | most people dont like it | so therefore find better RISK - REWARD TRADES with selective setups</t>
  </si>
  <si>
    <t>NEED STRATS which can allow me to have COMPLETE DISREGARD TO Markets in the short term | mandatory defined risk and backup plans</t>
  </si>
  <si>
    <t>when u get a gift u become a target | protect it</t>
  </si>
  <si>
    <t>think of the ranges and percentages or chances of risk</t>
  </si>
  <si>
    <t>take a chart of prevailing view b4 any major inflection point, it's always been wrong</t>
  </si>
  <si>
    <t>WHEN YOU ARE LOSING SOME MONEY YOU ARE TEACHING SOMEONE ELSE TO STEAL IT FROM YOU</t>
  </si>
  <si>
    <t>"WHAT'S THE RUSH" | CONSISTENCY</t>
  </si>
  <si>
    <t>January 24 live</t>
  </si>
  <si>
    <t>Q1 NEW MARKETS ACCESS + OBS + SETUP EXTEND HORIZONTALLY</t>
  </si>
  <si>
    <t>Q2 TRIP + BREAK MINI + GET BACK IN GAME</t>
  </si>
  <si>
    <t>Q3 PUSH W DISCIPLINE</t>
  </si>
  <si>
    <t>Q4 ENDGAME</t>
  </si>
  <si>
    <t>TRY COMPOUNDING 10K WITH -1.5K PER MONTH (OR STATE) DEPOSIT AND WITH THE SAME WIN RATE; BY 6 MONTH 100K AND BY 8 MONTH 300K | but limits will be reached so need to be careful at some point</t>
  </si>
  <si>
    <t>JAN.24</t>
  </si>
  <si>
    <t>ranged (maybe)</t>
  </si>
  <si>
    <t>950am, 111AM</t>
  </si>
  <si>
    <t>715AM, 840PM</t>
  </si>
  <si>
    <t>THU US CPI</t>
  </si>
  <si>
    <t>855pm</t>
  </si>
  <si>
    <t>WORLD CURVE HAS THE 3RD SPD HIGHER SO AT LEAST FLY STRUCTURE WISE SHOULD BE NEGATIVE IN LONG RUN</t>
  </si>
  <si>
    <t>&lt;=-2</t>
  </si>
  <si>
    <t>15H</t>
  </si>
  <si>
    <t>727PM</t>
  </si>
  <si>
    <t>WRONG CALL | WORLD CURVES FLY GOING UP | DIRECTION OPPOSITE</t>
  </si>
  <si>
    <t>S24 -11 S (CAN BE SCRATCHED) -11 for 1, -10 for 0</t>
  </si>
  <si>
    <t>533am</t>
  </si>
  <si>
    <t>J25 FLY (1)</t>
  </si>
  <si>
    <t>RANGED</t>
  </si>
  <si>
    <t>3W, 4W</t>
  </si>
  <si>
    <t>24 JAN, 830PM, 29 JAN 823AM, 30 JAN EVENT</t>
  </si>
  <si>
    <t xml:space="preserve">EXIT NEXT WEEK START FRESH </t>
  </si>
  <si>
    <t>tried after event</t>
  </si>
  <si>
    <t>EXIT VIA ASE OF 1 SPD AND CALENDAR OF OTHER</t>
  </si>
  <si>
    <t>Scalping? maybe</t>
  </si>
  <si>
    <t>NO SPDS BEFORE EVENT</t>
  </si>
  <si>
    <t>NFP (P190K -&gt; 173K F170K A216K)</t>
  </si>
  <si>
    <t>1ST 3 SPDS WENT UP, XT WENT DOWN AND RETRACED A BIT</t>
  </si>
  <si>
    <t>NO HIKES BUT ALSO NO CUTS IN MAR</t>
  </si>
  <si>
    <t>HIGHER FOR LONGER</t>
  </si>
  <si>
    <t>strong labour mkt = fed wont cut sooner or intensely</t>
  </si>
  <si>
    <t>UE (P3.7% A3.8% A3.7%)</t>
  </si>
  <si>
    <t>VAR 5 (BUT WITH 1 SKIP)</t>
  </si>
  <si>
    <t>35M, 50M</t>
  </si>
  <si>
    <t>735PM, 750PM</t>
  </si>
  <si>
    <t>AOTC | LUCK 100</t>
  </si>
  <si>
    <t>ISM MFG PMI (P52.7 F52.6 A50.6)</t>
  </si>
  <si>
    <t>SPDS CAME DOWN LOWER THAN OPEN, XT WENT UP</t>
  </si>
  <si>
    <t>Markets keen to react more on dovish developments rather than any hawkish developments</t>
  </si>
  <si>
    <t>Perfect example on today's ISM Services vs Strong NFP Numbers</t>
  </si>
  <si>
    <t>ISM NMFG PMI (P58 F57.3 A 57.4)</t>
  </si>
  <si>
    <t>MORE REACTIVE TO DOVISH NEWS</t>
  </si>
  <si>
    <t>ONLY 1st 3 spds are traded, &amp; bonds</t>
  </si>
  <si>
    <t>bonds green are more powerful</t>
  </si>
  <si>
    <t>SHORTING FRONT SPDS BETTER</t>
  </si>
  <si>
    <t>847PM</t>
  </si>
  <si>
    <t xml:space="preserve">VAR 5 </t>
  </si>
  <si>
    <t>until CPI no positional</t>
  </si>
  <si>
    <t>no outrights as mkts confused so 1 lot and short frame (minutes)</t>
  </si>
  <si>
    <t>PA / LG . W 22, R 45 MAX 2 SHOTS EACH AS PER MKTS | BACKUP HEDGED FLY/DEFLY</t>
  </si>
  <si>
    <t>D SCALP (ONLY BELLY AND BACK) 20-33 ANY CONTRACT AS PER MKT</t>
  </si>
  <si>
    <t>RANGED R45 W21</t>
  </si>
  <si>
    <t>front spd min 20 max 33 | fly 45 . back spd 33-53 SPD FLY BOTH</t>
  </si>
  <si>
    <t xml:space="preserve">8,10,16 . 10,12,16 . 10,16,21 . 10,16,21 </t>
  </si>
  <si>
    <t>D20,B33,A45 FOR 3 in multiples of 2 with one of them hedged</t>
  </si>
  <si>
    <t>350pm</t>
  </si>
  <si>
    <t>345pm</t>
  </si>
  <si>
    <t>CUTS MIGHT BE EVENLY SPREAD SO TOWARDS 0</t>
  </si>
  <si>
    <t>10 jan 558am</t>
  </si>
  <si>
    <t>RETAIL SALES (P-0.4% F1.2% A2%)</t>
  </si>
  <si>
    <t>CPI (P4.9% F4.4% A4.3%)</t>
  </si>
  <si>
    <t>US CPI THU | AVOID A IN 1ST 2 SPDS</t>
  </si>
  <si>
    <t>SCALP B BELLY AND BACKS</t>
  </si>
  <si>
    <t xml:space="preserve">REAL ESTATE </t>
  </si>
  <si>
    <t>TREND WILL STAY BULLISH | LONG BONDS | CUTS SOON | IF BIGGER JUMP</t>
  </si>
  <si>
    <t>A HIGHER PRINT SHOULD NOT SCARE BUT IF ITS BIG TEMPORARY MOMENTUM</t>
  </si>
  <si>
    <t>ALL IN ALL DOVISH TREND | BULLISH BONDS BUT HIGHER THAN AVG PRINT WILL CREATE A TEMP MOMENTUM</t>
  </si>
  <si>
    <t>XT MAR24</t>
  </si>
  <si>
    <t xml:space="preserve">SZ </t>
  </si>
  <si>
    <t>CUTS | XT UP</t>
  </si>
  <si>
    <t>28M</t>
  </si>
  <si>
    <t>728am</t>
  </si>
  <si>
    <t>TT STOP W OCO</t>
  </si>
  <si>
    <t>too much time + move did not come</t>
  </si>
  <si>
    <t>BOJ ready; waiting for econoic data push</t>
  </si>
  <si>
    <t>APRIL . HIKE BY BOJ | MAR, APR, MAY bets</t>
  </si>
  <si>
    <t>Ranged / dead state -&gt; trnding expected</t>
  </si>
  <si>
    <t>favorable trades - momentum, next state range bound, ghost favoring cuts in belly, rangebound entry in nxt state</t>
  </si>
  <si>
    <t>CORE CPI MOM (DEC) (P0.3% F0.3% A0.3%)</t>
  </si>
  <si>
    <t>TUE CAD CPI</t>
  </si>
  <si>
    <t>WED CHINA GDP, EZ CPI, US retail sales</t>
  </si>
  <si>
    <t>THU AUD labour, US philly fed</t>
  </si>
  <si>
    <t>CPI MOM (DEC) (P0.1% F0.2% A0.3%)</t>
  </si>
  <si>
    <t>CPI YOY (P3.1% F3.2% A3.4%)</t>
  </si>
  <si>
    <t>FRI YAAY TRADES</t>
  </si>
  <si>
    <t>627PM</t>
  </si>
  <si>
    <t>710PM</t>
  </si>
  <si>
    <t>RET in aus</t>
  </si>
  <si>
    <t xml:space="preserve">CUTS STILL MIGHT BE SOONER </t>
  </si>
  <si>
    <t>120AM</t>
  </si>
  <si>
    <t>722PM</t>
  </si>
  <si>
    <t xml:space="preserve">Cuts in long run </t>
  </si>
  <si>
    <t>var</t>
  </si>
  <si>
    <t xml:space="preserve">not in same session + world curves going down </t>
  </si>
  <si>
    <t>exit</t>
  </si>
  <si>
    <t>324am</t>
  </si>
  <si>
    <t>347am</t>
  </si>
  <si>
    <t>810am</t>
  </si>
  <si>
    <t>converted to m24 s as more chance of going lower and better rr</t>
  </si>
  <si>
    <t>conv by buying j24 spd</t>
  </si>
  <si>
    <t>2 some, 0 all -&gt; 2,3 some</t>
  </si>
  <si>
    <t>US PPI MOM (DEC) (P-0.1% F0.1% A-0.1%)</t>
  </si>
  <si>
    <t>18 should be min (belly, backs)</t>
  </si>
  <si>
    <t>25 min (flies any)</t>
  </si>
  <si>
    <t>36 hedged, combos</t>
  </si>
  <si>
    <t>-14 -&gt; -12</t>
  </si>
  <si>
    <t>843pm, 15 jan 705am, 16 JAN 956AM</t>
  </si>
  <si>
    <t>RED SEA FEARS</t>
  </si>
  <si>
    <t>MIGHT GET BETTER PRICE + ALREADY FLY EXPOSURE THERE SO ENOUGH IN M24 SPD</t>
  </si>
  <si>
    <t xml:space="preserve">REDUCING EXPOSURE </t>
  </si>
  <si>
    <t>OPPORTUNITY COST PREVENT + HOLDING POWER IMPROVED</t>
  </si>
  <si>
    <t>time up</t>
  </si>
  <si>
    <t>ranged (-4,-5) to (-1,-2) | -4 sz</t>
  </si>
  <si>
    <t>defly m25</t>
  </si>
  <si>
    <t>-2, -3 | SHORT @ -1, 0</t>
  </si>
  <si>
    <t>16 JAN 837AM, 950am</t>
  </si>
  <si>
    <t>27 LEFT</t>
  </si>
  <si>
    <t>853pm</t>
  </si>
  <si>
    <t>RZ + scalp</t>
  </si>
  <si>
    <t>17 JAN1017AM</t>
  </si>
  <si>
    <t>Scratchable (maybe)</t>
  </si>
  <si>
    <t>D25 SPD</t>
  </si>
  <si>
    <t>VAR4</t>
  </si>
  <si>
    <t>8M</t>
  </si>
  <si>
    <t>AGGRESSIVE</t>
  </si>
  <si>
    <t>222PM</t>
  </si>
  <si>
    <t>fly scalp</t>
  </si>
  <si>
    <t>1006am</t>
  </si>
  <si>
    <t>4am</t>
  </si>
  <si>
    <t>SCALP</t>
  </si>
  <si>
    <t>20H</t>
  </si>
  <si>
    <t>935-PM1520AM</t>
  </si>
  <si>
    <t>NEVER GO AGGRESSIVE IN SCALP TRADES AT FRONT | ONLY GO AT LAGGING ONES / VAR PARTIAL EXITS / BACKS</t>
  </si>
  <si>
    <t>835AM</t>
  </si>
  <si>
    <t>RZ</t>
  </si>
  <si>
    <t>YIELD CURVE TOWARDS INVERSION</t>
  </si>
  <si>
    <t>12pm, 17 jan 430am</t>
  </si>
  <si>
    <t>MINIMIZE LOSSES</t>
  </si>
  <si>
    <t>115pm</t>
  </si>
  <si>
    <t>FLY SCALP</t>
  </si>
  <si>
    <t>17 JAN 1140AM</t>
  </si>
  <si>
    <t>935pm</t>
  </si>
  <si>
    <t>SCALP + VAR 4</t>
  </si>
  <si>
    <t>1047pm</t>
  </si>
  <si>
    <t>wrong</t>
  </si>
  <si>
    <t>Fed’s Waller sees rate cuts this year, but nothing ‘rushed’</t>
  </si>
  <si>
    <t>WTH?! OUTTA NOWHERE</t>
  </si>
  <si>
    <t xml:space="preserve">even china (deflation) avoiding rate cuts! </t>
  </si>
  <si>
    <t>FRONT SPD WENT UP / XT WENT DOWN A LOT</t>
  </si>
  <si>
    <t>DIFFERENTIAL SHOULD NOT GET TOO HIGH | near 0 (max 2)</t>
  </si>
  <si>
    <t>22 jan 12pm, 23 jan</t>
  </si>
  <si>
    <t>Most institutional fixed income investors are set to increase the levels of risk in their investments over the next year, a survey has found.</t>
  </si>
  <si>
    <t>Research from Aeon Investments revealed that 84% of those surveyed plan to increase levels of risk in 2024, with one in ten making a dramatic increase, compared to just 1% who will decrease levels of risk.</t>
  </si>
  <si>
    <t>Over the next three years, 38% of investors said they planned to make dramatic increases to their level of risk, while 44% will make slight increases.</t>
  </si>
  <si>
    <t>The survey also found that 88% of respondents said their portfolio will have a greater global allocation to fixed income over the next three years, with 35% increasing this dramatically.</t>
  </si>
  <si>
    <t>S25, J25 TED -2 TO -10</t>
  </si>
  <si>
    <t>RZ (4 TO 6)</t>
  </si>
  <si>
    <t>HIGHER FOR LONGER SHOULD FLATTEN  FROM THIS LEVEL</t>
  </si>
  <si>
    <t>UNTIL CYLCE STABILISES AND EXIT POSSIBLE NEAR 2</t>
  </si>
  <si>
    <t xml:space="preserve">0 WHITE TRADES </t>
  </si>
  <si>
    <t>UA ON BELLY AND BACKS FLY</t>
  </si>
  <si>
    <t>REALITY CHECK | RATE CUTS NOT AS SOON | HIGHER FOR LONGER</t>
  </si>
  <si>
    <t>FLAT BELLIES</t>
  </si>
  <si>
    <t>RANGE BOUND PLAY IN BELLY FLIES and REDS (UA)</t>
  </si>
  <si>
    <t>TIMEOUT | FULL TRIMESTER LOTS:</t>
  </si>
  <si>
    <t xml:space="preserve">BACKS 52, 52 </t>
  </si>
  <si>
    <t>BELLY 36, 36</t>
  </si>
  <si>
    <t>FRONTS 45, 45 FRONT SPD 22</t>
  </si>
  <si>
    <t>HEDGED FLIES MAX 104 (52,52)</t>
  </si>
  <si>
    <t>VAR MAX 90 (45,45)</t>
  </si>
  <si>
    <t>B - 25 FRONT AND BELLY . 36 R</t>
  </si>
  <si>
    <t>18 jan 6am,1020am</t>
  </si>
  <si>
    <t>US RETAIL SALES MOM (P0.3% F0.4% A0.6%)</t>
  </si>
  <si>
    <t>XT WENT DOWN MOM BUT RETRACED 4 TICKS AFTER GOING DOWN 6 TICKS</t>
  </si>
  <si>
    <t>xt retraced 6 ticks from fade volume start</t>
  </si>
  <si>
    <t>AVOID 1 TICK TRADES</t>
  </si>
  <si>
    <t>18 JAN 4AM</t>
  </si>
  <si>
    <t xml:space="preserve">FLIPPED WITH HUGE LOTS </t>
  </si>
  <si>
    <t>EVENT LATER ON | EMPTY GRID</t>
  </si>
  <si>
    <t>1040PM</t>
  </si>
  <si>
    <t>SCALP + VAR2</t>
  </si>
  <si>
    <t>AUS UNEMP (P3.9% F3.9% A3.9%)</t>
  </si>
  <si>
    <t>AUS EMP CHANGE (P72K F17K A-65K)</t>
  </si>
  <si>
    <t>mn</t>
  </si>
  <si>
    <t>VAR 3 + SCALP</t>
  </si>
  <si>
    <t>FLY -2 FOR DEFLY</t>
  </si>
  <si>
    <t>18 jan 140pm</t>
  </si>
  <si>
    <t>NI</t>
  </si>
  <si>
    <t>scratch (S) if j24 -11 b and scratch j25 -10 / OR EXIT @ -12 IF POSISBLE</t>
  </si>
  <si>
    <t>RATE CUT ODDS DROPPING</t>
  </si>
  <si>
    <t xml:space="preserve">AVOID POSITIONALS </t>
  </si>
  <si>
    <t xml:space="preserve">RANGE BOUND + VAR (B) | INTRADAY ELSE SCRATCH FEW </t>
  </si>
  <si>
    <t>S25 TED</t>
  </si>
  <si>
    <t>Range (-3,-2 to 2,3)</t>
  </si>
  <si>
    <t>17H</t>
  </si>
  <si>
    <t>19 jan 325am</t>
  </si>
  <si>
    <t>523AM</t>
  </si>
  <si>
    <t>RZ + SCALP</t>
  </si>
  <si>
    <t>524AM</t>
  </si>
  <si>
    <t>525AM</t>
  </si>
  <si>
    <t>22 jan 455am</t>
  </si>
  <si>
    <t>545am</t>
  </si>
  <si>
    <t>FLY @ -4</t>
  </si>
  <si>
    <t>958am</t>
  </si>
  <si>
    <t>602AM</t>
  </si>
  <si>
    <t>J25 TED</t>
  </si>
  <si>
    <t>Scalp (range -7 to -2)</t>
  </si>
  <si>
    <t>IMF TELLS RBA TO TIGHTEN FURTHER SO THAT INFLATION COMES UNDER CONTROL</t>
  </si>
  <si>
    <t>jpmc 75bp cuts this year</t>
  </si>
  <si>
    <t>LEGGED IN IR SO AVOID QUOTE ON YT</t>
  </si>
  <si>
    <t>ONLY CURVE TRADES AND PLAYS AROUND THEM</t>
  </si>
  <si>
    <t>FIND ONE TRADE IN THE REMAINING DAYS OF THE MONTH TO GO &gt;50 LOTS</t>
  </si>
  <si>
    <t xml:space="preserve">BE RESPONSIBLE </t>
  </si>
  <si>
    <t>MID TED RANGEBOUND (-3 TO 2)</t>
  </si>
  <si>
    <t>22 JZAN 515AM</t>
  </si>
  <si>
    <t>QUOTE ON FASTER MOVING CONTRACT</t>
  </si>
  <si>
    <t>837PM</t>
  </si>
  <si>
    <t>J25 SPD -6 35 (FOR FLY EXIT OR SCALPING) | B -4 45 FOR SCALPING  ||| M25 -9 B 47 FOR FLY @ -4  ||| S24 SPD B -5 FOR FLY @ 0</t>
  </si>
  <si>
    <t>J25 SPD -6 35 (FOR FLY EXIT OR SCALPING) | B -4 45 FOR SCALPING</t>
  </si>
  <si>
    <t>M25 -9 B 47 FOR FLY @ -4</t>
  </si>
  <si>
    <t>S24 SPD B -5 FOR FLY @ 0</t>
  </si>
  <si>
    <t>exit 11 lots before 9pm</t>
  </si>
  <si>
    <t>11AM</t>
  </si>
  <si>
    <t>TUE BOJ FROM 8AM</t>
  </si>
  <si>
    <t>WED PMI, BOC</t>
  </si>
  <si>
    <t>THU ECB, US GDP</t>
  </si>
  <si>
    <t>BELLY 36 START</t>
  </si>
  <si>
    <t>COMBOS 50-70</t>
  </si>
  <si>
    <t>VAR HL 45,45</t>
  </si>
  <si>
    <t>248PM</t>
  </si>
  <si>
    <t>M25 FLY (1) -&gt; (2)</t>
  </si>
  <si>
    <t>(CS -&gt; CF)</t>
  </si>
  <si>
    <t>14H</t>
  </si>
  <si>
    <t>23 jan 1050am</t>
  </si>
  <si>
    <t xml:space="preserve">ENTRY FROM YT SIDE </t>
  </si>
  <si>
    <t>EXIT FROM IR SIDE</t>
  </si>
  <si>
    <t>: for teds; ALSO AVOID IN JUST THE OPENING AND CLOSING | there is a certain type of market for these trades, possibly after trend or a theme change | wait for a while let the market figure out the ranges and then attck big</t>
  </si>
  <si>
    <t>842 pm</t>
  </si>
  <si>
    <t>DEFLY EXIT</t>
  </si>
  <si>
    <t>23 jan 725am</t>
  </si>
  <si>
    <t>755M</t>
  </si>
  <si>
    <t>24 JAN 148PM</t>
  </si>
  <si>
    <t>INTRADAY</t>
  </si>
  <si>
    <t>815PM</t>
  </si>
  <si>
    <t>BOC UNCH (5%)</t>
  </si>
  <si>
    <t>24 JAN 739PM</t>
  </si>
  <si>
    <t>WEEKEND | OUT</t>
  </si>
  <si>
    <t xml:space="preserve">SHOULD USE ALGO NXT TIME | AS HUMAN ERROR </t>
  </si>
  <si>
    <t>845PM</t>
  </si>
  <si>
    <t>TRY TO GET OUT USING ASE J25 -6</t>
  </si>
  <si>
    <t>US GDP PRICE INDEX (QOQ Q4) (P3.3% F2.3% A1.5%)</t>
  </si>
  <si>
    <t xml:space="preserve">TOOK BET ON THIS DATA </t>
  </si>
  <si>
    <t>US GDP QOQ Q4 (P4.9% F2% A3.3%)</t>
  </si>
  <si>
    <t>ECONOMY IS GOOD NO NEED TO CUT -&gt; LESS CUTS -&gt; INT RATE UP -&gt; IR DOWN | BUT XT WENT UP</t>
  </si>
  <si>
    <t>7PM22S</t>
  </si>
  <si>
    <t>MOM + 1ST AVAILABLE DATA (GDP PRICE INDEX)</t>
  </si>
  <si>
    <t>DYNAMIC TT STOP HIT (KEPT MOVING AND KEPT BELOW 2 TICKS FROM HIGHEST POINT)</t>
  </si>
  <si>
    <t>HITTING IN MOMENTUM AND USING TRAILING STOP</t>
  </si>
  <si>
    <t>448am</t>
  </si>
  <si>
    <t>FAILED SPD EXIT &gt; TED SCRATCHABLE</t>
  </si>
  <si>
    <t>1042AM</t>
  </si>
  <si>
    <t>5 IN IR FOR SPDS</t>
  </si>
  <si>
    <t>758am</t>
  </si>
  <si>
    <t>INTRADAY SCALPING</t>
  </si>
  <si>
    <t>23H</t>
  </si>
  <si>
    <t>30 JAN EVENT</t>
  </si>
  <si>
    <t>Exit thru 6m spd</t>
  </si>
  <si>
    <t>EXIT ON EVENT</t>
  </si>
  <si>
    <t>57M</t>
  </si>
  <si>
    <t>1057AM</t>
  </si>
  <si>
    <t>TUE JOLTS</t>
  </si>
  <si>
    <t>WED AUD CPI, FOMC (WFH nxt day)</t>
  </si>
  <si>
    <t>THU EZ CPI, BOE, ISM PMI</t>
  </si>
  <si>
    <t>FRI PPI, NFP, UE</t>
  </si>
  <si>
    <t>FIND IR, YT RANGES (1H, 4H, D) AND TAKE TRADES THAT WILL HAVE TEDS AS BACKUP</t>
  </si>
  <si>
    <t>1st 2 spds enter from 3m and exit 1 tick from 6m</t>
  </si>
  <si>
    <t>INTRADAY SCALPING / EXIT BY INDIVIDUAL SPDS AS PER PIQ</t>
  </si>
  <si>
    <t>30 JAN EV</t>
  </si>
  <si>
    <t>J25 6M SPD</t>
  </si>
  <si>
    <t>J25 -6, M25 -4</t>
  </si>
  <si>
    <t>735pm</t>
  </si>
  <si>
    <t>Scalping + spd exit</t>
  </si>
  <si>
    <t>30 jan 8am</t>
  </si>
  <si>
    <t>AUD RETAIL SALES  MOM DEC (P1.6% F-1% A-2.7%)</t>
  </si>
  <si>
    <t>NO MORE TEDS TILL FOMC | TEDS AFTER FOMC</t>
  </si>
  <si>
    <t>YT MAR24</t>
  </si>
  <si>
    <t>LEGGED in ted</t>
  </si>
  <si>
    <t>near 0 (curve flattening)</t>
  </si>
  <si>
    <t>ADD MORE FLY @ 5 (total 50-70) or j25 s @ -10 and -8(ua)</t>
  </si>
  <si>
    <t>J24 DEFLY (2)</t>
  </si>
  <si>
    <t>CUTS MORE IN THIS CONTRACT (LESS DOWNSIDE)</t>
  </si>
  <si>
    <t>CF IN LONG RUN (CS -&gt;CF)</t>
  </si>
  <si>
    <t>23h</t>
  </si>
  <si>
    <t>31 jan 927am, 945AM</t>
  </si>
  <si>
    <t xml:space="preserve">THIS TYPE OF BETS TAKE 60 LOTS </t>
  </si>
  <si>
    <t>d24 spd -12 s for 5 or -13 for 4 j24 defly</t>
  </si>
  <si>
    <t>JOLTS (P8.79M-&gt;8.95 F8.75 A9M)</t>
  </si>
  <si>
    <r>
      <t>If job openings increase substantially, it may indicate inflationary pressures due to wage growth, possibly leading to an interest rate hike</t>
    </r>
    <r>
      <rPr>
        <sz val="12"/>
        <color rgb="FFBDC1C6"/>
        <rFont val="Google Sans"/>
        <charset val="1"/>
      </rPr>
      <t>.</t>
    </r>
  </si>
  <si>
    <t>MOMENTUM DATA</t>
  </si>
  <si>
    <t>12M</t>
  </si>
  <si>
    <t>842PM</t>
  </si>
  <si>
    <t>AGGRESSIVE TT STOP AND OCO AS NOT MUCH MOVE / MOMENTUM</t>
  </si>
  <si>
    <t>1118pm</t>
  </si>
  <si>
    <t>Scalping (d)</t>
  </si>
  <si>
    <t>1120pm</t>
  </si>
  <si>
    <t>CPI YOY Q4 (P5.4% F4.3% A4.1%)</t>
  </si>
  <si>
    <t xml:space="preserve">ULTRA DOVISH MOVE TO DOVISH DATA </t>
  </si>
  <si>
    <t>CPI QOQ Q4 (P1.2% F0.8% A0.6%)</t>
  </si>
  <si>
    <t>BONDS HAVE A TENDENCY TO GO UP REGARDLESS OF FED | ALREADY UP</t>
  </si>
  <si>
    <t xml:space="preserve">FOMC AVOID FRONT SPD </t>
  </si>
  <si>
    <t>SECONDARY / TERTIARY TRADES</t>
  </si>
  <si>
    <t>LAEAD LAG TRADES</t>
  </si>
  <si>
    <t>THEME CHANGE | OG WATCH AND CREATE EXTREME POSITIONS</t>
  </si>
  <si>
    <t>TRIMMED MEAN CPI QOQ Q4(P1.2% F0.9% A0.8%)</t>
  </si>
  <si>
    <t>PRICING LEVELS</t>
  </si>
  <si>
    <t>0.27S!</t>
  </si>
  <si>
    <t>RET + VAR3 + 1TICK ALGO SCALP</t>
  </si>
  <si>
    <t>0.2S!</t>
  </si>
  <si>
    <t>LUCK100 ALGO!!</t>
  </si>
  <si>
    <t xml:space="preserve">FOR FLY </t>
  </si>
  <si>
    <t>1,2M</t>
  </si>
  <si>
    <t>VAR4 + SZ (-10,-11)</t>
  </si>
  <si>
    <t>RET + VAR3</t>
  </si>
  <si>
    <t>844am</t>
  </si>
  <si>
    <t>ACE! (LONG TIME)</t>
  </si>
  <si>
    <t>648AM</t>
  </si>
  <si>
    <t>928am</t>
  </si>
  <si>
    <t>945AM</t>
  </si>
  <si>
    <t>VAR 7</t>
  </si>
  <si>
    <t>956AM</t>
  </si>
  <si>
    <t>INTRADAY + MKT CLOSE + THEME CHANGE + FOMC (NO SPDS IN 2ND HALF)</t>
  </si>
  <si>
    <t xml:space="preserve">AGAINST WAVE AND BAD RR </t>
  </si>
  <si>
    <t>FUNDA DRIVEN SO TECH HAS LESS POWER</t>
  </si>
  <si>
    <t xml:space="preserve">TIMEOUT | GO CAUTIOUSLY | DONT BE AGGRESSIVE </t>
  </si>
  <si>
    <t xml:space="preserve">HOT HAND FALLACY MINDSET </t>
  </si>
  <si>
    <t>AMAZING EXECUTION + LUCK (APRRECIATE IT)</t>
  </si>
  <si>
    <t>ADD 4K TO 18K FOR BUDGET</t>
  </si>
  <si>
    <t>SPD LIMIT TO 250</t>
  </si>
  <si>
    <t>THEY WANT THE DOOR OPEN BUT THEY DONT WANT YOU TO KNOW WHEN THEY WILL WALK THROUGH IT</t>
  </si>
  <si>
    <t xml:space="preserve">CUTS BETS (7-9 MORE MEETS PROBABLY) | </t>
  </si>
  <si>
    <t>1215PM</t>
  </si>
  <si>
    <t>CUTS PRICED IN FED INCREASED FOR MAR24 + momentum</t>
  </si>
  <si>
    <t>818PM</t>
  </si>
  <si>
    <t>826PM</t>
  </si>
  <si>
    <t>NEW YORK BANCORP EARNINGS BAD (DOWN 40%)</t>
  </si>
  <si>
    <t>RET + VAR 6</t>
  </si>
  <si>
    <t>834PM</t>
  </si>
  <si>
    <t>AGAINST THE TIDE THOUGH</t>
  </si>
  <si>
    <r>
      <t xml:space="preserve">Due to a trigger in a specific bank </t>
    </r>
    <r>
      <rPr>
        <b/>
        <u/>
        <sz val="10"/>
        <color rgb="FF000000"/>
        <rFont val="Arial"/>
        <scheme val="minor"/>
      </rPr>
      <t>New York Bancorp</t>
    </r>
    <r>
      <rPr>
        <sz val="10"/>
        <color rgb="FF000000"/>
        <rFont val="Arial"/>
        <scheme val="minor"/>
      </rPr>
      <t xml:space="preserve"> as its earnings was not great</t>
    </r>
  </si>
  <si>
    <t>It opened with a loss of 44% in stock value due to which this panic started</t>
  </si>
  <si>
    <t>AVOID FRONT 2 SPDS</t>
  </si>
  <si>
    <t>TECHNICALS ARE NOT WORKING | GO FOR FUNDA TRADES</t>
  </si>
  <si>
    <t>IB FEB24</t>
  </si>
  <si>
    <t>-2.5 TO 0 (BAD RR) BUT VERY LESS CHANCE @ 1ST MEETING ITSELF</t>
  </si>
  <si>
    <t xml:space="preserve">BAD RR </t>
  </si>
  <si>
    <t>NOT THE RIGHT DAY FOR THIS TRADE</t>
  </si>
  <si>
    <t>RISK HIGH AS REG. BANKS DOWN + POWEL</t>
  </si>
  <si>
    <r>
      <rPr>
        <b/>
        <sz val="10"/>
        <color rgb="FF554840"/>
        <rFont val="Calibri"/>
      </rPr>
      <t>ATISH: RISK around ZQ Feb 2024</t>
    </r>
    <r>
      <rPr>
        <sz val="10"/>
        <color rgb="FF000000"/>
        <rFont val="Arial"/>
      </rPr>
      <t xml:space="preserve"> : Market can price in emergency cut after today's FOMC if this crisis accelerates. Don't carry Naked short in FEB 2024 </t>
    </r>
  </si>
  <si>
    <t>1013pm</t>
  </si>
  <si>
    <t>February 24 live</t>
  </si>
  <si>
    <t>FEB.24</t>
  </si>
  <si>
    <t>FED UNCHANGED (5.5%) | CPI 3.4%</t>
  </si>
  <si>
    <t>powell: need MORE CONFIDENCE (THEY ARE CONFIDENT) | cpi data</t>
  </si>
  <si>
    <t xml:space="preserve">Next CPI directional </t>
  </si>
  <si>
    <t>NO RATE CUTS IN MAR24, PROBABLY</t>
  </si>
  <si>
    <t>SPEECH</t>
  </si>
  <si>
    <t>trying momentum</t>
  </si>
  <si>
    <t>few mins within speech</t>
  </si>
  <si>
    <t>NEVER TRADE XT IN SPEECH (DOESNT WORK) | lot of crackheads in the market</t>
  </si>
  <si>
    <t>PURE GAMBLING</t>
  </si>
  <si>
    <t>ONLY IN DATA</t>
  </si>
  <si>
    <t xml:space="preserve">tight slS but not worth it </t>
  </si>
  <si>
    <t>2 feb 340am</t>
  </si>
  <si>
    <t>350AM</t>
  </si>
  <si>
    <t>Scalping + RET AFTER TRENDING + VAR3</t>
  </si>
  <si>
    <t>CUTS still there in may-jun</t>
  </si>
  <si>
    <t>HEDGE FOR SPD anti</t>
  </si>
  <si>
    <t xml:space="preserve">WRONG TRADE | BOTH SPDS COULD GO OPPOSITE DIRECTIONS AFTER FED MEET </t>
  </si>
  <si>
    <t>STILL NO VALID PLAYS IN FRONT SPDS EXCEPT MAYBE PRICING BIAS TRADES BUT WITH LESS CONVICTION</t>
  </si>
  <si>
    <t>TIMEOUT front front spds</t>
  </si>
  <si>
    <t>236pm</t>
  </si>
  <si>
    <t>1ST SESSION</t>
  </si>
  <si>
    <t>SZ (-4)</t>
  </si>
  <si>
    <t>5 feb 1054am</t>
  </si>
  <si>
    <t>unable to exit @ -9 m25 spd as did not put all lots there and was downstairs + did not focus as i was stuck in front trades for ar too long that i did ot plan for back fly trades</t>
  </si>
  <si>
    <t>340AM</t>
  </si>
  <si>
    <t xml:space="preserve">M25 FLY </t>
  </si>
  <si>
    <t>5 FEB 10PM</t>
  </si>
  <si>
    <t>ASE Fed up 5 lots</t>
  </si>
  <si>
    <t>AWP</t>
  </si>
  <si>
    <t>PRICING RANGES (-15 TO -20) | CUTS DIRECTION</t>
  </si>
  <si>
    <t>1.5H</t>
  </si>
  <si>
    <t>62 AWP SHOT . 1 TRADE PER WEEK | personal target</t>
  </si>
  <si>
    <t>at least 3 trades 62 lots per month</t>
  </si>
  <si>
    <t>PRESENT: FLY1 5, SPD 1 -13, SPD2 -18</t>
  </si>
  <si>
    <t>CUTS IN FRONT EMERGENCY CUTS -&gt; FLY1 DOWN AS 2ND SPD UP (FLY1 -5, SPD1 -14, SPD2 UP -9)</t>
  </si>
  <si>
    <t>CUTS LATER OR SPREAD OUT -&gt; FLY1 UP AS 1ST SPD UP (FLY1 11.6 SPD1 -10, SPD2 -21)</t>
  </si>
  <si>
    <t>UPPER LEVEL OF SPD1 -10,-9 | if anti -&gt; fly hit</t>
  </si>
  <si>
    <t>LOWER LEVEL OF 2ND SPD -20,-21 | if anti -&gt; fly hit</t>
  </si>
  <si>
    <t>UPPER LIMIT OF FLY1 11.6</t>
  </si>
  <si>
    <t>LOWER LEVEL OF FLY 1 -5</t>
  </si>
  <si>
    <t>62 AWP SHOT . 1 TRADE PER WEEK | personal target (can be any trade) | irrespective of anything | AWP SHOT</t>
  </si>
  <si>
    <t>PPI QOQ (P1.8% F1.9% A0.9%)</t>
  </si>
  <si>
    <t>PRICING LIMIT (-13) IN ANY CASE (EXCEPT FOR SQUEEZE) | &amp; fra change and pricing change!</t>
  </si>
  <si>
    <t>1215pm</t>
  </si>
  <si>
    <t xml:space="preserve">PRICING LOWER LIMIT (-21) </t>
  </si>
  <si>
    <t>AVG HOURLY EARNING MOM (JAN) (P0.4% F0.3% A0.6%)</t>
  </si>
  <si>
    <t>xt went down but retraced and then, went down (sighs), spds went up</t>
  </si>
  <si>
    <t>NFP (JAN) (P333K UP F187K A353K)</t>
  </si>
  <si>
    <t>PREV UP</t>
  </si>
  <si>
    <t>UE RATE (P3.7% F3.8% A3.7%)</t>
  </si>
  <si>
    <t>momentum</t>
  </si>
  <si>
    <t>Post event</t>
  </si>
  <si>
    <t>ONLY MOMENTUM WORKS</t>
  </si>
  <si>
    <t>MOMENTUM NOW WITH 2 LOTS AND ADD 1 IF IN FAVOUR WITH TT SL OF 1 TICK</t>
  </si>
  <si>
    <t>720pm</t>
  </si>
  <si>
    <t>RETRACEMENT</t>
  </si>
  <si>
    <t>few seconds</t>
  </si>
  <si>
    <t>post event</t>
  </si>
  <si>
    <t xml:space="preserve">DONT TRY COUNTER TREND </t>
  </si>
  <si>
    <t>ESPECIALLY BY HITTING</t>
  </si>
  <si>
    <t>TRY WITH PRE PALCED LOTS</t>
  </si>
  <si>
    <t xml:space="preserve">VAR3 </t>
  </si>
  <si>
    <t>26M</t>
  </si>
  <si>
    <t>726PM</t>
  </si>
  <si>
    <t>VAR5</t>
  </si>
  <si>
    <t>reduced as it flipped twice, but will take at least 2 ticks instead or add positions till -8!</t>
  </si>
  <si>
    <t>SHOULD HAVE USED ALGO FOR SCALPING</t>
  </si>
  <si>
    <t>fly exit @ -2 / partial exit @ -3 if anti (10 lots at least) (d24 -13)</t>
  </si>
  <si>
    <t>5 FEB 940AM</t>
  </si>
  <si>
    <t>LESS CHANCE OF GOING DOWN + NO SPDS B4 RBA</t>
  </si>
  <si>
    <t>NO HOLDING SPDS B4 EVENTS AGAINST TIDE; MIGHT GET BETTER TRADES</t>
  </si>
  <si>
    <t>907am</t>
  </si>
  <si>
    <t>NO TEDS B4 RBA</t>
  </si>
  <si>
    <t>M24 PSD</t>
  </si>
  <si>
    <t>MON PMI 8PM, BOSTIC SPEAKS 12AM</t>
  </si>
  <si>
    <t>NOTHING FULL WEEK | BACKS SCALP / TED ACTIVELY | NEWS BASED / SPEECH BASED MOVEMENT SO NO ORDERS WHILE SLEEPING IN ASE OR FRONTS</t>
  </si>
  <si>
    <t>AVOID 1 TICK TRADES TILL TUE NIGHT SESSION (fronts/ir) | START FROM WED</t>
  </si>
  <si>
    <t>FLY, DEFLY COMBO (BELLY INCLUSIVE) 80,80</t>
  </si>
  <si>
    <t>RANGED SCALP 50,50</t>
  </si>
  <si>
    <t>VAR OR HL75 . 100 BACKS AND 33 FRONTS</t>
  </si>
  <si>
    <t>M24 DELFY</t>
  </si>
  <si>
    <t>Rz (4 to 6)</t>
  </si>
  <si>
    <t>Hedged combo from naked spd b4 RBA -&gt; front should flatten in the long run (cf)</t>
  </si>
  <si>
    <t>Take 41 more &gt;=8</t>
  </si>
  <si>
    <t>B4 NEXT MEETING</t>
  </si>
  <si>
    <t>CF at some point until then</t>
  </si>
  <si>
    <t>HAD TO HEDGE B4 RBA | DO NOT WANT TO CARRY NAKED SPD</t>
  </si>
  <si>
    <t>GIVES BETTER ODDS ONLY LOSING TIME</t>
  </si>
  <si>
    <t xml:space="preserve">CAN TAKE BETTER TRADES ON EVENT WHILE CARRYING THE PARTIAL BIAS OF THE INITIAL TRADE </t>
  </si>
  <si>
    <t>NOW SCALP AROUND THESE STRUCTURES</t>
  </si>
  <si>
    <t xml:space="preserve">USE ALGOS FOR SCALPING EXITS ON RBA </t>
  </si>
  <si>
    <t>NEXT BIG WIN HAS TO BE AROUND 3K (96 LOTS 2 TICK TRADE)</t>
  </si>
  <si>
    <t>943AM</t>
  </si>
  <si>
    <t>Intraday Scalping</t>
  </si>
  <si>
    <t>Pricing upper limit 8 (8.4) | if FRA goes down, might go up + exit b4 rba</t>
  </si>
  <si>
    <t>50M</t>
  </si>
  <si>
    <t>RBA might push against rate cuts too soon</t>
  </si>
  <si>
    <t>might get better trades + high exposure in defly so limits issue</t>
  </si>
  <si>
    <t>IF FRA GOES DOWN, MIGHT EVEN GO TO -3 AREA</t>
  </si>
  <si>
    <t>-5,-3 GOOD SHORT NOW FOR NAKED SPDS</t>
  </si>
  <si>
    <t>Somp at the same time</t>
  </si>
  <si>
    <t>M25 6M SPD</t>
  </si>
  <si>
    <r>
      <t>Dark days are coming for US commercial real estate and the banks holding the loans</t>
    </r>
    <r>
      <rPr>
        <b/>
        <sz val="10"/>
        <color rgb="FF000000"/>
        <rFont val="Arial"/>
        <scheme val="minor"/>
      </rPr>
      <t xml:space="preserve"> ‘; Goldman Sachs estimates $1.2 trillion in mortgages is due this year end next, others say even more.</t>
    </r>
  </si>
  <si>
    <t>&gt; might cause cuts in front or emergency cuts</t>
  </si>
  <si>
    <t>M24 FLY SHORTS LONG TERM LOOKS GOOD</t>
  </si>
  <si>
    <t>always have this fly short until more commentary</t>
  </si>
  <si>
    <t>RBA M24 ONLY SELL ORDERS AND J24 ONLY BUY ORDERS VARS</t>
  </si>
  <si>
    <t>ISM NMFG PMI JAN (P50.6 F52 A53.4)</t>
  </si>
  <si>
    <t>The services report measures business activity for the overall economy; above 50 indicating growth, while below 50 indicating contraction.</t>
  </si>
  <si>
    <t>MORE growth (&gt;50 or up) means no need to cut | or less cuts or hawkish or int up or stays up or less cuts needed or ir goes down or xt goes down</t>
  </si>
  <si>
    <t>BUT GOOLSBEE SAYS STILL NOT REJECTING MAR RATE CUT | NEED MORE DATA</t>
  </si>
  <si>
    <t>SINCE GOOLSBEE SPEECH AND IT IS SPEECH DRIVEN WEEK SO AGGRESSIVE TRAILING SL</t>
  </si>
  <si>
    <t>*FED'S GOOLSBEE REPEATS DOESN'T WANT TO RULE OUT MARCH CUT</t>
  </si>
  <si>
    <t>OBSERVE ON SPEECH DONT TRADE U SUCK</t>
  </si>
  <si>
    <t>GOOLSBEE BULLISH ON BONDS (MEANS CUTS BIASED)</t>
  </si>
  <si>
    <t>MAKE 1ST SHOT 2 LOTS AND NEXT SHOT AS 1 IF IN FAVOUR AFTER FEW SECONDS AND PUT TRAILING SL FOR 2 LOTS (MUST) @ 4,5 TICKS</t>
  </si>
  <si>
    <t>KEEP TRAILING SL DYNAMIC</t>
  </si>
  <si>
    <t>RBA INT RATE (4.35%) | 2meeting pauses now, CPI 4.1%</t>
  </si>
  <si>
    <t>and a further increase in interest rates cannot be ruled out</t>
  </si>
  <si>
    <t>IB MAR24 RETRACE 5 LOTS</t>
  </si>
  <si>
    <t>AUS MAY NOT REQUIRE &gt;2 CUTS AT ALL</t>
  </si>
  <si>
    <t>VAR4 + RZ + LGAP + SL HIT</t>
  </si>
  <si>
    <t xml:space="preserve">PRICING LIMIT </t>
  </si>
  <si>
    <t>1MIN</t>
  </si>
  <si>
    <t>MOM OF RET</t>
  </si>
  <si>
    <t>unable to hit more lots as j24 spd also had existing orders ; had to cancel them first then hit</t>
  </si>
  <si>
    <t>next time cancel other side orders from spds around the target spd</t>
  </si>
  <si>
    <t>AWP IN 2 PARTS</t>
  </si>
  <si>
    <t>INTRADAY Scalping via 6m to 3m (as eqm in 3m in -27) / scratchable</t>
  </si>
  <si>
    <t>Take more @ -31 (3 ticks anti) SZ</t>
  </si>
  <si>
    <t>NO TRADING TODAY | OBSERVE RANGES AND CURVE AND SPEECHES</t>
  </si>
  <si>
    <t>GYM 2H</t>
  </si>
  <si>
    <t>ONLY WINNING TRADES OR INTRADAY SCRATCH</t>
  </si>
  <si>
    <t>9 feb 652am</t>
  </si>
  <si>
    <t>941AM</t>
  </si>
  <si>
    <t>Few cuts in general so less downside pricing wise</t>
  </si>
  <si>
    <t xml:space="preserve">can make fly short / defly </t>
  </si>
  <si>
    <t>add more @ -17 or -18</t>
  </si>
  <si>
    <t>850pnm</t>
  </si>
  <si>
    <t>Trying fibo</t>
  </si>
  <si>
    <t>M25 TED</t>
  </si>
  <si>
    <t>9 feb 740pm</t>
  </si>
  <si>
    <t>950AM</t>
  </si>
  <si>
    <t>1245pm</t>
  </si>
  <si>
    <t>IR|YT</t>
  </si>
  <si>
    <t>Sz (-8,-9) + scalping</t>
  </si>
  <si>
    <t>19H</t>
  </si>
  <si>
    <t>9 FEB 417AM</t>
  </si>
  <si>
    <t>Not interested in 6m as better odds with defly</t>
  </si>
  <si>
    <t>Sz (-2)</t>
  </si>
  <si>
    <t>hedged combo</t>
  </si>
  <si>
    <t>TUE US CPI | THIS IS WHERE RALLIES COME TO PARTY OR THEY COME TO DIE</t>
  </si>
  <si>
    <t>WED WFH</t>
  </si>
  <si>
    <t>THU BULLOCK SPEAKS, LABOUR DATA, US PHILLY FED, RETAIL SALES</t>
  </si>
  <si>
    <t>FRI PPI (WFH)</t>
  </si>
  <si>
    <t>MON WFH</t>
  </si>
  <si>
    <t>LEAVE AFTER ALL EXITS MADE</t>
  </si>
  <si>
    <t>OBSERVE TEDS STRAT DIRECTIONAL DURING EVENTS</t>
  </si>
  <si>
    <t>lgap, squeeze + var + hl75, + xt momentum (A)</t>
  </si>
  <si>
    <t>Momentum xt 2 lots</t>
  </si>
  <si>
    <t>US CORE CPI MOM JAN (P0.3% F0.3% A0.4%)</t>
  </si>
  <si>
    <t>XT went down belly spds went up 4 ticks</t>
  </si>
  <si>
    <t>TT HANGED!!!</t>
  </si>
  <si>
    <t>WHAT A WASTE</t>
  </si>
  <si>
    <t>US CPI YOY JAN (P3.4% F2.9% A3.1%)</t>
  </si>
  <si>
    <t>US CPI MOM JAN (P0.2% F0.2% A0.3%)</t>
  </si>
  <si>
    <t>VAR3</t>
  </si>
  <si>
    <t>CUTS SHIFTING BACK</t>
  </si>
  <si>
    <t>UNLUCKY100</t>
  </si>
  <si>
    <t>VAR3 AND 5</t>
  </si>
  <si>
    <t>14 FEB 6AM,847AM</t>
  </si>
  <si>
    <t>EXIT ASAP | DEFLY ALSO LONG | FUNDAMENTALLY CUTS HAVE OR ARE SHIFTING BACK RECENTLY =&gt; BAD RR + WRONG SIDE</t>
  </si>
  <si>
    <t>EXIT B4 NXT SESSION CLOSE</t>
  </si>
  <si>
    <t xml:space="preserve">MINIMIZING RISK BY BOOKING MAJORITY OF LOTS WHILE CHANCE </t>
  </si>
  <si>
    <t>EXIT ASAP AS UK CPI + THIS SELLOFF MOVE MIGHT CONTINUE | NOT WORTH THE RISK TO GAIN SMALL!</t>
  </si>
  <si>
    <t>THODA KAMANE KE LIYE ZYADA KYU DAAO PE LAGANA</t>
  </si>
  <si>
    <t xml:space="preserve">NO REGRETS </t>
  </si>
  <si>
    <t>PROTECT and RESET. Each economic number is an event in itself now. Wait patiently till market lets you make intraday pnl, it hasn't been the case in February so far.</t>
  </si>
  <si>
    <t>Lower your expectations. Stay disciplined and avoid getting frustrated because of today’s TT issue, very very tough to do it but hope we get over it tomorrow.</t>
  </si>
  <si>
    <t xml:space="preserve">NEVER HOLD FRONT FLIES WITH BIG EXPOSURE OR ANY SPDS THROUGH MAJOR EVENTS </t>
  </si>
  <si>
    <t>THEME HAS CHANGED DRASTICALLY | GO DEFENSIVE TO CHECK WHAT IS WORKING NOW</t>
  </si>
  <si>
    <t>WILL RECOVER LOSS FROM NXT WEEK | WFH 2 DAYS</t>
  </si>
  <si>
    <t>NO TRADING 2 DAYS | IF YOU DO THEN DEFENSIVE ONLY</t>
  </si>
  <si>
    <t>aage aur mauke aenge</t>
  </si>
  <si>
    <t>RANGED, SCALP, HL75</t>
  </si>
  <si>
    <t>B, A</t>
  </si>
  <si>
    <t>W 16,16 BELLY 21,21 R 26, 26</t>
  </si>
  <si>
    <t>SCALING DOWN for at least this week</t>
  </si>
  <si>
    <t>ALGOS NOT WORKING; HAVE TO RELY ON MANUAL</t>
  </si>
  <si>
    <t>J24 CONTRACT OI HIGH + D24, so side wale me weird prices mil skte h =&gt; M24, S24, M25</t>
  </si>
  <si>
    <t>LG</t>
  </si>
  <si>
    <t>B, D</t>
  </si>
  <si>
    <t>W 25, 25 BELLY 30, 30, R 50, 50</t>
  </si>
  <si>
    <t>RANGED, CURVE</t>
  </si>
  <si>
    <t>1230PM</t>
  </si>
  <si>
    <t>UK CPI (P4% F4.1% A4%)</t>
  </si>
  <si>
    <t>HAWKISH DATA MIGHT TRIGGER SQUEEZE | ALSO CAN GO FOR MOMENTUM WITH 2 LOTS IN XT</t>
  </si>
  <si>
    <t>STAY AWAY FROM FRONTS FOR THIS WEEK</t>
  </si>
  <si>
    <t>Target FLIES NOW | B Lots</t>
  </si>
  <si>
    <t>CANT SEE ANY TRADES SO DONT TRADE AGGRESSIVELY AND ATTACKING LOTS</t>
  </si>
  <si>
    <t>TRADE LIKE RISK ANALYST OR AWPER</t>
  </si>
  <si>
    <t>1240PM</t>
  </si>
  <si>
    <t>NO ADDING ON THIS POSITION UNTIL NEXT WEEK</t>
  </si>
  <si>
    <t>S24 SPD POTENTIAL SCALPING OR RANGED ZONE CAN GO (A)</t>
  </si>
  <si>
    <t>142pm</t>
  </si>
  <si>
    <t>240pm</t>
  </si>
  <si>
    <t>LESS CUTS IN FRONT (FRO NOW)</t>
  </si>
  <si>
    <t>DEFLY @ 0 OR 1 (SZ) AND ADD LATER</t>
  </si>
  <si>
    <t>15 FEB 6AM</t>
  </si>
  <si>
    <t>STUPID MISTAKE | very costly</t>
  </si>
  <si>
    <t>SHOULD NOT HAVE CARRIED NAKED SPREAD THROUGH EVENT</t>
  </si>
  <si>
    <t>800$ extra loss</t>
  </si>
  <si>
    <t>Make sure to not carry a spread intended to make flies or structure through event | if so at least place hard sl @ 2 ticks</t>
  </si>
  <si>
    <t>520AM</t>
  </si>
  <si>
    <t>JPY GDP QOQ Q4 (P-0.8% (DOWN) F0.2% A -0.1%)</t>
  </si>
  <si>
    <t>JPN ENTERS RECESSION</t>
  </si>
  <si>
    <t>front went too down too fast too soon</t>
  </si>
  <si>
    <t xml:space="preserve">did not anticipate this move right after US cpi </t>
  </si>
  <si>
    <t>So be careful</t>
  </si>
  <si>
    <t>Long term flies</t>
  </si>
  <si>
    <t xml:space="preserve">EMP CHANGE (P-65K F26K A0.5K) </t>
  </si>
  <si>
    <t>FRONT 2 SPD WENT WAY DOWN (&gt; HL75)</t>
  </si>
  <si>
    <t>UE (P3.9% F4% A4.1%)</t>
  </si>
  <si>
    <t>r teds up</t>
  </si>
  <si>
    <t>655AM</t>
  </si>
  <si>
    <t>FAILED | SO EARLY EXIT AND HEDGED AS MANY POSSIBLE TO HEDGE</t>
  </si>
  <si>
    <t>TRAILING</t>
  </si>
  <si>
    <t>SHOULD HAVE HELD AT LEAST 1 LOT A BIT LONGER (UPDATED STRAT)</t>
  </si>
  <si>
    <t xml:space="preserve">2 lots in major events (UPDATED) 1 lot extra if trailing is hit but not going anti </t>
  </si>
  <si>
    <t>ONLY MOMENTUM | AFTER MAX 40MINS CLOSE XT</t>
  </si>
  <si>
    <t>2 TRAILING SL</t>
  </si>
  <si>
    <t>HOLD 1 WITH SL @ 3,4 TICKS BELOW THAT 1 LOT HIT PRICE</t>
  </si>
  <si>
    <t>SZ + RET</t>
  </si>
  <si>
    <t>7 MINS</t>
  </si>
  <si>
    <t>1 TICK EXTRA (300$ EXTRA AS NO ALGO PLACED)</t>
  </si>
  <si>
    <t>Sz (0 to -2)</t>
  </si>
  <si>
    <t>&gt;=3</t>
  </si>
  <si>
    <t>23 FEB 9AM, 29 FEB</t>
  </si>
  <si>
    <t>had to hedge few failed trades</t>
  </si>
  <si>
    <t>exit 20 @ 3 if possible this month</t>
  </si>
  <si>
    <t>EXIT 20 @ 2 ASAP B4 NEXT MAJOR EVEBT NXT WEEK WED (AUS CPI, NZD INT RATE)</t>
  </si>
  <si>
    <t>NOW HOLD THE REMAINING TILL YOU GET A CLEAR IDEA</t>
  </si>
  <si>
    <t>exit only &gt;=3 | if in favour</t>
  </si>
  <si>
    <t xml:space="preserve">NOW CAN ADD MORE IF TRADES FAIL OF 22 LOTS </t>
  </si>
  <si>
    <t>EXIT AT LEAST 5-10 LOTS @ 3</t>
  </si>
  <si>
    <t>EXIT NEXT WEEK</t>
  </si>
  <si>
    <t>1210pm</t>
  </si>
  <si>
    <t>this type of trades can fail</t>
  </si>
  <si>
    <t>OKAY WITH THIS</t>
  </si>
  <si>
    <t>AWP MISS HIT</t>
  </si>
  <si>
    <t>HAD TO TAKE AT LEAST 1 TRADE</t>
  </si>
  <si>
    <t>MAKE SURE SUCH TRADES HAVE SOME BACKUP SO AVOID FRONT 2 SPDS AWP SHOT UNLESS YOU HAVE BACKUP</t>
  </si>
  <si>
    <t xml:space="preserve">DEFLY ORDER FOR HEDGING </t>
  </si>
  <si>
    <t>TIMEOUT THIS WEEK | no trades this week | friyay try EXIT ORDERS ONLY FROM CURRENT STRUCTURES | backs from 3ms and 6ms</t>
  </si>
  <si>
    <t>NOT INTERESTED TO TRADE IN USUAL STRATEGIES NOW</t>
  </si>
  <si>
    <t>TRY SOMETHING ELSE UNTIL THESE CURRENT STRUCTURES ARE LIQUIDATED</t>
  </si>
  <si>
    <t xml:space="preserve">need to increase MEAN P TO L </t>
  </si>
  <si>
    <t>FIND TRADES &gt; 1 TICK AND ONLY GO 64 NOT MORE NOT LESS (IN CURVE)</t>
  </si>
  <si>
    <t>TRY NEW STRATS / NEW MARKETS NOW</t>
  </si>
  <si>
    <t xml:space="preserve">TRY XT AND TEDS </t>
  </si>
  <si>
    <t>HOURLY TRADES NOT WORKING SO NO SPDS</t>
  </si>
  <si>
    <t>M, D, W SO ONLY FLY (D,W) OR OUTRIGHTS (M), or teds in no event markets but actively from ASE</t>
  </si>
  <si>
    <t>NEW MARKETS / NEW STRATS BY EOM</t>
  </si>
  <si>
    <t>no A trades in M24 until J24 defly is out</t>
  </si>
  <si>
    <t>Scalping + SZ</t>
  </si>
  <si>
    <t>717PM</t>
  </si>
  <si>
    <t>event ret gave exit</t>
  </si>
  <si>
    <t>now stay away</t>
  </si>
  <si>
    <t>US PPI (P-0.1% F0.1% A0.3%)</t>
  </si>
  <si>
    <t>XT RETRACED, FRONT SPD WENT UP 1 TICK</t>
  </si>
  <si>
    <t>STAY AWAY FROM MOMENTUM TRADES IN OUTRIGHTS THEY BEHAVE WEIRD</t>
  </si>
  <si>
    <t>US CORE PPI (P-0.1% F0.1% A0.5%)</t>
  </si>
  <si>
    <t>1212pm</t>
  </si>
  <si>
    <t xml:space="preserve">RET H to lows overlap </t>
  </si>
  <si>
    <t>95.83 x 1, 95.84 x 1</t>
  </si>
  <si>
    <t>2nd entry @ 95.825</t>
  </si>
  <si>
    <t>converted to 1:1 as time increased to &gt; 30mins (2 candles)</t>
  </si>
  <si>
    <t>took too long</t>
  </si>
  <si>
    <t>TUE RBA MINS, CAD CPI | PA 2ND SPD(-6,-10,Z, VAR4) 3RD SPD (VAR3)</t>
  </si>
  <si>
    <t>WED WPI (AVOID TRADING) if &gt;1% then surprise + momentum, NIGHT FOMC MINS | [WFH]</t>
  </si>
  <si>
    <t>THU PMI</t>
  </si>
  <si>
    <t>FRI NZD RS</t>
  </si>
  <si>
    <t>CURVE TRADES ONLY FROM FLIES ANGLE</t>
  </si>
  <si>
    <t>SERIOUSLY HAVE NO FIRM BIAS OR IDA OR STRATEGYIES | DEFENSIVE LOTS ALL STRATS</t>
  </si>
  <si>
    <t>STAY IN THE GAME</t>
  </si>
  <si>
    <t>it gets better in the last few chapters | dont make stupid mistakes</t>
  </si>
  <si>
    <t xml:space="preserve">TIMEOUT | TRADES AFTER WEDNESDAY </t>
  </si>
  <si>
    <t xml:space="preserve">ONLY TEDS </t>
  </si>
  <si>
    <t>REST ALL PSSIVE TRADES | SLEEP TRADES</t>
  </si>
  <si>
    <t xml:space="preserve">cad cpi teds </t>
  </si>
  <si>
    <t>ANALYZE JBL, IU, IU SPDS PROPERLY BASICS AND MAKE Observation doc</t>
  </si>
  <si>
    <t>SMALL STEPS / PROCESSES</t>
  </si>
  <si>
    <t>CAD CPI MOM (P-0.3% F0.4% A0%)</t>
  </si>
  <si>
    <t>S24 SPD HAS A BUYER</t>
  </si>
  <si>
    <t>S24 6M SPD ALSO HAS A BUYER</t>
  </si>
  <si>
    <t>MOMENTUM</t>
  </si>
  <si>
    <t>MOVED TT SL AS NO MOVE EVEN AFTER FEW MINS</t>
  </si>
  <si>
    <t>NOT INTERESTED TO TRADE</t>
  </si>
  <si>
    <t>PREV STATE . TRENDING</t>
  </si>
  <si>
    <t>W 25, 51 . R 51, 51</t>
  </si>
  <si>
    <t>PREV STATE . RANGED</t>
  </si>
  <si>
    <t>GHOST</t>
  </si>
  <si>
    <t>LG, HEDGED FLIES, VAR HL75</t>
  </si>
  <si>
    <t>100, 100</t>
  </si>
  <si>
    <t>SPIKE</t>
  </si>
  <si>
    <t>MOM, HEDGED FLIES</t>
  </si>
  <si>
    <t>W 43,43 . R 86, 86</t>
  </si>
  <si>
    <t>WPI QOQ (P1.3% F0.9% A0.9%)</t>
  </si>
  <si>
    <t>HOME FREE THIS WEEK</t>
  </si>
  <si>
    <t>WFH 2 DAYS | WORK ON NEW MARKETS FROM HOME</t>
  </si>
  <si>
    <t>607am</t>
  </si>
  <si>
    <t>SCALPING</t>
  </si>
  <si>
    <t>738AM</t>
  </si>
  <si>
    <t>853am</t>
  </si>
  <si>
    <t>23 FEB 1016AM</t>
  </si>
  <si>
    <t>Scratch if you get other TEDS @ better prices</t>
  </si>
  <si>
    <t>DONE WITH TEDS THIS MONTH</t>
  </si>
  <si>
    <t>953AM</t>
  </si>
  <si>
    <t>Scalping (eqbm zone)</t>
  </si>
  <si>
    <t>23 FEB 1038PM</t>
  </si>
  <si>
    <t>Scratchable -&gt; REALLY</t>
  </si>
  <si>
    <t>AGGRESSIVE TRADE</t>
  </si>
  <si>
    <t>NO YT-IR, TEDS</t>
  </si>
  <si>
    <t>THU NO SCALPING!</t>
  </si>
  <si>
    <t>THU NO TEDS</t>
  </si>
  <si>
    <t>WILL HELP TO TAKE FRIYAY RET TRADES (HIGHER CHANCE OF GETTING &gt;=1 TICK TRADES ANYWHERE)</t>
  </si>
  <si>
    <t>23 FEB 2PM</t>
  </si>
  <si>
    <t>SQUEEZING</t>
  </si>
  <si>
    <t>FRIYAY QUOTED TEDS MAX 2 TRADES RET</t>
  </si>
  <si>
    <t>TEDS SQUEEZED &gt; LOOK WHAT HAPPENS AFTER THAT</t>
  </si>
  <si>
    <t>810AM</t>
  </si>
  <si>
    <t>800 + 600 (UNLUCK) - 256 (LUCK)</t>
  </si>
  <si>
    <t>2PM</t>
  </si>
  <si>
    <t>HEDGING THE IR-YT</t>
  </si>
  <si>
    <t>24 feb 128am</t>
  </si>
  <si>
    <t>ASE IS USELESS FOR DEFLIES EXIT | ESPECIALLY WITH HIGHER LOTS</t>
  </si>
  <si>
    <t>EVERYBODY GETTING COMFORTABLE WITH RATES</t>
  </si>
  <si>
    <t xml:space="preserve">NO TEDS + NO ASE </t>
  </si>
  <si>
    <t>NO TRADING AGGRESSIVELY TILL MARCH END</t>
  </si>
  <si>
    <t>SQUEEZE TRADES MARGIN MAX</t>
  </si>
  <si>
    <r>
      <t xml:space="preserve">Add Goldman to this list: “Comments this week from Fed officials and the minutes to the January FOMC meeting suggest that the </t>
    </r>
    <r>
      <rPr>
        <u/>
        <sz val="10"/>
        <color rgb="FF000000"/>
        <rFont val="Arial"/>
        <scheme val="minor"/>
      </rPr>
      <t>first rate cut is unlikely to come as early as our previous forecast of the May meeting.” Now expects four cuts starting in June (vs five starting in May)</t>
    </r>
  </si>
  <si>
    <t>ALWAYS USE ASE AT 1 TICK BETTER PRICE</t>
  </si>
  <si>
    <t>DONT TELL WHAT TRADES YOU ARE TAKING</t>
  </si>
  <si>
    <t>calendar TEDS only for directional trades | not scalping</t>
  </si>
  <si>
    <t>scalping use ASE</t>
  </si>
  <si>
    <t>Keep everything intraday for the next few days. </t>
  </si>
  <si>
    <t>focus on jpx and iu spd</t>
  </si>
  <si>
    <t>LOOK FOR &gt;1 RISK REWARD TRADES ONLY OR HEDGED FLIES</t>
  </si>
  <si>
    <t xml:space="preserve">ASE TEDS NOW CAN USE 2 LOTS </t>
  </si>
  <si>
    <t xml:space="preserve">YOU KNOW THE MAX DRAWDOWN FIND THE APPROPRIATE LOT SIZING AND STICK TO SHORTER TIMEFRAME </t>
  </si>
  <si>
    <t>HARD SL 3 TICKS</t>
  </si>
  <si>
    <t xml:space="preserve">USE ASE JUST LIKE OLD TIMES BUT WITH HIGHER LOTS </t>
  </si>
  <si>
    <t>DEFINE NEW DEFENSIVE LOTS UNTIL WED / WHEN EVERYTHING CLEARS</t>
  </si>
  <si>
    <t>SCALPING LOT SIZE CANT BE EQUAL</t>
  </si>
  <si>
    <t>SCALP, VAR 3,5 LOTS RATIO BASED ON CHANCES + DRAWDOWN + RISK</t>
  </si>
  <si>
    <t>SCALPING VAR 3, 4</t>
  </si>
  <si>
    <t>SCALPING R, B 30, FRONT 3 SPDS 15</t>
  </si>
  <si>
    <t>VAR 3 R 66 FRONT 3 SPDS 22</t>
  </si>
  <si>
    <t>IR, XT MOMENTUM MAX 25 LOTS SO 2,1 SO FAR TOTAL 3 --&gt; 24 SO 16, 8 BUT MAX LOSS AFFORDABLE NOW IS 900 SO MAX LOTS FOR 5 TICKS (WORSE CASE + PAYUP) IS 10 SO (2/3) * 10 SO 6 LOTS HIT AND 3 LOTS AGGRESSIVE</t>
  </si>
  <si>
    <t>EXCEPT FLIES ALL &lt;1D TRADES (HOURLY, MINUTES TRADES)</t>
  </si>
  <si>
    <t>LOSING STREAK</t>
  </si>
  <si>
    <t>CANT TRY ANYTHING NEW NOW</t>
  </si>
  <si>
    <t>DAY STOP ON MONDAY AND TUESDAY | TRY TEDS ASE IF RANGE IS FORMED</t>
  </si>
  <si>
    <t>XT MOMENTUM 6 LOTS HIT, 3 LOTS MINIMUM, MAX 9 LOTS</t>
  </si>
  <si>
    <t>FINAL UPDATES</t>
  </si>
  <si>
    <t xml:space="preserve">DAY STOP ON MONDAY FULL DAY | look at jpx sgx on sim | prepare for the week | no positions b4 WED at all (Except the defly) | 0 orders (CHALLENGE) </t>
  </si>
  <si>
    <t>SCALPING: R, Bellies 30 | FRONT 3 SPDS 15</t>
  </si>
  <si>
    <t>VAR 3: R 66 | FRONT 3 SPDS 22 | 0 IN BELLIES ONLY FOR STRUCTURE EXITS AT VAR3,4 FEW LOTS</t>
  </si>
  <si>
    <t>NO TEDS + NO ASE  until FRI!!!!! | FRIYAY TRADES MAX</t>
  </si>
  <si>
    <t>EXCEPT FLIES ALL: &lt;1D TRADES (HOURLY, MINUTES TRADES)</t>
  </si>
  <si>
    <t>try to cap money semi monthly</t>
  </si>
  <si>
    <t>WED AND FRI CRUCIAL DAYS</t>
  </si>
  <si>
    <t>INSIGHTS</t>
  </si>
  <si>
    <t>1) THU NO SCALPING OR TEDS | TAKE WFH IF POSSIBLE OR AVOID THESE AT ALL COST</t>
  </si>
  <si>
    <t>2) WILL HELP TO TAKE FRIYAY RET TRADES (HIGHER CHANCE OF GETTING &gt;=1 TICK TRADES ANYWHERE)</t>
  </si>
  <si>
    <t>3) FRIYAY QUOTED TEDS MAX 2 TRADES RET (+,-3 from range mid or prev SZ, RZ (for now))</t>
  </si>
  <si>
    <t>4) ASE TEDS NOW CAN USE 2 LOTS high frequency and short term (&lt;1d) trades, preferrably within 1 hour | ONLY AFTER EVENT AND NEXT SESSION 2 lots | RANGED MARKETS 1 lot</t>
  </si>
  <si>
    <t>NOW WHAT</t>
  </si>
  <si>
    <t>1) DO FLIES ONLY NEXT 2-3 WEEKS (WED ONWARDS)</t>
  </si>
  <si>
    <t>2) &gt;1 rr trades (must take if available) | ex: flies, deflies, hedged combos, xt momentum [this doesnt mean the positive expectancy trades of scalping is bad or useless, it's just not working at the moment]</t>
  </si>
  <si>
    <t>3) NO HOURLY (H) OR DAY (D) TRADES</t>
  </si>
  <si>
    <t>4) WITHIN 1 HOUR TRADES (M) OR WEEK TRADES (W)</t>
  </si>
  <si>
    <t>5) go higher lot size after 2 weeks (march 2nd week onwards)</t>
  </si>
  <si>
    <t>start using TT TIMED</t>
  </si>
  <si>
    <t>TUE JPN CPI | SIM TRADE JBL</t>
  </si>
  <si>
    <t>WED AUD MONTHLY CPI INDICATOR, RBNZ, US GDP | LGAP, HEDGED COMBOS (NO VAR, Nothing else)</t>
  </si>
  <si>
    <t>THU RETAIL SALES, US CORE PCE, IJL, CAD GDP, CHICAGO PMI | depending on prev state (D) to (B) whatever trades you pick</t>
  </si>
  <si>
    <t>FRI US PMI | friyay var with (B) TO (A) LOTS @ EXTREME</t>
  </si>
  <si>
    <t>TT TIMED HL75 2, FEW LOTS HL85 3 , MORE LOTS</t>
  </si>
  <si>
    <t xml:space="preserve">ONLY VERY HIGH CHANCE OF WINNING TRADES, TILL 5K$ MORE </t>
  </si>
  <si>
    <t>DO NOT WATCH PAT UNTIL FEB END</t>
  </si>
  <si>
    <t>ASK IU SIM LIMITS @ 40</t>
  </si>
  <si>
    <t>AUD MONTHLY CPI INDICATOR (P3.4% F3.5% A3.4%)</t>
  </si>
  <si>
    <t>HAWKISH RXN</t>
  </si>
  <si>
    <t>MOMENTUM ON AUD CPI  | RET ON RBNZ</t>
  </si>
  <si>
    <t>RET ORDERS AT EXTREME ENDS AND XT MOMENTUMON FIRST EVENT | INCREASE THE RET ORDERS AFTER CPI EVENT</t>
  </si>
  <si>
    <t>US GDP | VAR (D) REDS VAR (B)</t>
  </si>
  <si>
    <t xml:space="preserve">THU SKIP / TIMEOUT / GYM </t>
  </si>
  <si>
    <t xml:space="preserve">FRIYAY RET TRADES (A) ALL OVER THE AUSSIE MARKETS AND MANAGE ACTIVELY </t>
  </si>
  <si>
    <t>MON (A) SCALPING</t>
  </si>
  <si>
    <t>MONDAY ONWARDS TEDS SCALPING FROM ASE | FIND THE RANGES AND CONTINUE</t>
  </si>
  <si>
    <t>RBNZ INT RATE</t>
  </si>
  <si>
    <t>MOMENTUM + FIBO B/O</t>
  </si>
  <si>
    <t>AVOID OUTRIGHTS IN AUSSIE TIMINGS | NOT WORTH IT YET</t>
  </si>
  <si>
    <t>MOMENTUM ONLY DURING US HOURS</t>
  </si>
  <si>
    <t>FRIDAY SPREAD OUT THE RETRACEMENT TRADES | this is horse shit market now</t>
  </si>
  <si>
    <t>HOW CAN WE SEE SO MUCH LOSSES AND BE SANE? OR CALM</t>
  </si>
  <si>
    <t>GIVE UP | MEDIOCRE TRADER | ACCEPT AS IT IS</t>
  </si>
  <si>
    <t>ALWAYS ASSUME YOU ARE THE LAST TRADER</t>
  </si>
  <si>
    <t>NEED TO SWITCH BACK OR GET BACK WHEN YOU LEAVE THE MARKETS</t>
  </si>
  <si>
    <t>INCREASE MORNING HOURS FILLS AND TRADES (AT LEAST WITH (D)  LOTS | ESPECIALLY ON MONDAYS</t>
  </si>
  <si>
    <t>no need to check account anymore | itna paaini me ho ab bas kuch paise ban jaaye bohot h</t>
  </si>
  <si>
    <t>FRI MON IRRESPECTIVE OF EITHER DAY'S SCALPING</t>
  </si>
  <si>
    <t>1056AM</t>
  </si>
  <si>
    <t>Scalping after var 3</t>
  </si>
  <si>
    <t>Next entry @ -12 WITH EXIT @ -10</t>
  </si>
  <si>
    <t>29 FEB 6AM</t>
  </si>
  <si>
    <t>FRIYAY TRADES OR MONDAY TRADES SE RECOVER IS BETTER OPTION</t>
  </si>
  <si>
    <t>WITHIN 1 HR TRADES OR WEEKLY | FLY NOT LOOKING GOOD + 1H OUR MARK CLOSING IN + TRADE FAILED AFTER DATA</t>
  </si>
  <si>
    <t>at least 30-45 lots se 1 tick should be possible to find</t>
  </si>
  <si>
    <t>324pm</t>
  </si>
  <si>
    <t>Scalping prev sz</t>
  </si>
  <si>
    <t>5.30h</t>
  </si>
  <si>
    <t>858pm</t>
  </si>
  <si>
    <t>Finally a winner!</t>
  </si>
  <si>
    <t>find the frequency of teds trades | when to take em</t>
  </si>
  <si>
    <t>ONLY TEDS AND FLIES</t>
  </si>
  <si>
    <t>FRIYAY TRADES | var3, 4 on s24 spd</t>
  </si>
  <si>
    <t xml:space="preserve">MAKE 2.5k slowly first </t>
  </si>
  <si>
    <t>2h AMAN JAIN TIMEFRame</t>
  </si>
  <si>
    <t>March 24 live</t>
  </si>
  <si>
    <t>MAR.24</t>
  </si>
  <si>
    <t>ONLY TEDS AND FLIES 2 WEEKS</t>
  </si>
  <si>
    <t>ENTRIES WRT FLY / DEFLIES</t>
  </si>
  <si>
    <t>THU NO TRADING</t>
  </si>
  <si>
    <t>FRIYAY TRADES (A)</t>
  </si>
  <si>
    <t>THE LAST TRADER</t>
  </si>
  <si>
    <t>ONLY TEDS AND FLIES 2 WEEKS (15 mar)</t>
  </si>
  <si>
    <t>ASE TEDS NOW CAN USE 2 LOTS high frequency and short term (&lt;1d) trades, preferrably within 1 hour | ONLY AFTER EVENT AND NEXT SESSION 2 lots | RANGED MARKETS 1 lot</t>
  </si>
  <si>
    <t xml:space="preserve">THU NO SCALPING! OR TEDS </t>
  </si>
  <si>
    <t>FRIYAY VAR + ZONES (A) | 2nd half</t>
  </si>
  <si>
    <t>MONDAY RANGED BETS (A)</t>
  </si>
  <si>
    <t>ONLY (H) OR (W) TRADES | FLY OR TEDS</t>
  </si>
  <si>
    <t>TRY THESE</t>
  </si>
  <si>
    <t>TRY J24 DEFLY @ 0 OR 1 30, 40 LOTS ACTIVELY ONLY | j24 fly ~1 20 lots</t>
  </si>
  <si>
    <t>S25 FLY B @ -4</t>
  </si>
  <si>
    <t>ONLY HOURLY TRADES THIS WEEK AND FLY IF FAILS</t>
  </si>
  <si>
    <t>TAKEN FLY ONLY EVEN IF WANT TO MAKE DEFLY NO SPDS ENTRY | ONLY FLY ENTRY</t>
  </si>
  <si>
    <t xml:space="preserve">J24 LE RAHE HO TO FLY BAAKI SPDS SE ENTRY TRY </t>
  </si>
  <si>
    <t>TRYING TO GET S24 FLY AT BETTER PRICES FROM SPD | GET 1 HIT THE OTHER | CONDITIONAL USE</t>
  </si>
  <si>
    <t>909am</t>
  </si>
  <si>
    <t>ISM MFG PMI (P49.1 F49.5 A47.8)</t>
  </si>
  <si>
    <t>S25 FLY</t>
  </si>
  <si>
    <t>Sz (-4 to -5)</t>
  </si>
  <si>
    <t>6 mar 830pm</t>
  </si>
  <si>
    <t>218pm</t>
  </si>
  <si>
    <t>5 mar 540am</t>
  </si>
  <si>
    <t>legged + no good piq + waiting a long time</t>
  </si>
  <si>
    <t>TUE: TOKYO CPI 5AM | JBL MOMENTUM . US PMIs | XT momentum (3 lots max 6) | FLY ANGLE TRADES by var 2 lvls (B)</t>
  </si>
  <si>
    <t xml:space="preserve">WED: AUD GDP, US NFE CHANGE, BOC INT RATE (NO ORDERS IN FRONT) JOLTS | FLY ANGLE TRADES ONLY </t>
  </si>
  <si>
    <t>THU ECB INT RATE, POWELL TESTIFIES | NO ORDERS STRICTLY + NO SCALPING</t>
  </si>
  <si>
    <t>FRIYAY: NFP, UE | XT (SHORT TERM MOMENTUM (&lt;10MIN) FRIYAY TRADES | FLY ANGLE TRADES + VAR + ZONES (A)</t>
  </si>
  <si>
    <t>YT SE ENTRY MANUALLY WITH GOOD PIQ (Such that can be scratched) AND HEDGE IS ANY RED TED / SCALP | put in better prices for ir</t>
  </si>
  <si>
    <t>ONLY MON, TUE OR RANGED MARKETS</t>
  </si>
  <si>
    <t>1048AM</t>
  </si>
  <si>
    <t>INTRADAY (h) trade</t>
  </si>
  <si>
    <t>22h</t>
  </si>
  <si>
    <t>6 mar 820am</t>
  </si>
  <si>
    <t>HOURLY TRADES</t>
  </si>
  <si>
    <t>6 mar 822am</t>
  </si>
  <si>
    <t>ISM NON MFG PMI (P53.4 F53 A52.6)</t>
  </si>
  <si>
    <t>SZ (0 TO -2)</t>
  </si>
  <si>
    <t>ROLL EFFECT FOR NEXT 2 WEEKS</t>
  </si>
  <si>
    <t>HEDGED COMBO</t>
  </si>
  <si>
    <t>&gt;=3 | NOT LESS THIS TIME | KEEP BUILDING POSITION UNLESS SQUEEZE OR 6 SIGMA EVENT</t>
  </si>
  <si>
    <t>7 mar 7pm, 8 MAR 1PM</t>
  </si>
  <si>
    <t>EXIT IN RANGED MARKET ONLY | LET THE EQBM BE DECIDED FIRST</t>
  </si>
  <si>
    <t xml:space="preserve">UNTIL THEN | SCALP AROUND IT OR PLAY VAR FOR ANOTHER ENTRY POINT OR GREAT EXIT </t>
  </si>
  <si>
    <t>ALL EXITS MANUALLY | last 20 very slim chance (at least initially and simultaneously)</t>
  </si>
  <si>
    <t>THIS TYPE OF PLAY BUT WIth CLOSE TO 100 LOTS</t>
  </si>
  <si>
    <t>AUD GDP yoy (p2.1% f1.4% a1.5%)</t>
  </si>
  <si>
    <t>ADP NFE CHANGE (P111K F149K A140K)</t>
  </si>
  <si>
    <t>MOMN</t>
  </si>
  <si>
    <t>FEW SECS</t>
  </si>
  <si>
    <t>JOLTS (P8.89M DOWN F8.8M A8.86M)</t>
  </si>
  <si>
    <t>835pm</t>
  </si>
  <si>
    <t xml:space="preserve">SZs </t>
  </si>
  <si>
    <t xml:space="preserve">b4 fri 2nd session </t>
  </si>
  <si>
    <t>FRIYAY TRADES + BONDS TICKS SIZE REDUCED</t>
  </si>
  <si>
    <t>7 mar 950am, 8 MAR 7AM</t>
  </si>
  <si>
    <t>537AM</t>
  </si>
  <si>
    <t>D25 TED</t>
  </si>
  <si>
    <t>8 mar 1045am</t>
  </si>
  <si>
    <t xml:space="preserve">TRY THESE </t>
  </si>
  <si>
    <t>3MS 1M mean price | var hl75 | prob distribution in each price level around mean | what is the chance of getting a price around it according to which distribute total lots across the ladder | entry only when fly hedge is also available or early exit possible</t>
  </si>
  <si>
    <t>1st ir pricing mean price and levels but small lots only and try high frequency / short term trades</t>
  </si>
  <si>
    <t>DO NOT WATCH PAT EVER AGAIN!</t>
  </si>
  <si>
    <t>galat side wala hi milta h in high volatility so exit try andthe wrong leg will exit leaving you with the one in right direction</t>
  </si>
  <si>
    <t>MON JPY GDP | JBL MOMENTUM, AUS RANGED</t>
  </si>
  <si>
    <t>TUE US CPI | CURVE ANOMALY, HEDGED COMBO, LGAP, VAR 3,4 FROM FLY ANGLE ONLY</t>
  </si>
  <si>
    <t>WED RANGED, TEDS ASE</t>
  </si>
  <si>
    <t>THU US RS | REDS SCALPING OR FLY, VAR2,3 FROM FLY ANGLE, NO TEDS ASE</t>
  </si>
  <si>
    <t xml:space="preserve">FRIYAY TRADES | VAR FROM FLY ANGLE </t>
  </si>
  <si>
    <t>8 MAR 808PM</t>
  </si>
  <si>
    <t>LUCK TRADES LEFT</t>
  </si>
  <si>
    <t>NFP (P375K -&gt; 229K F198K A 275K) | PREV DOWN 100K REVISIONS WERE EXTREMELY DOVISH</t>
  </si>
  <si>
    <t>XT WENT DOWN FIRST (TRAPPED) THEN REVISIONS MADEIT GO UP A LOT | FRONT 2 SPDS WENT DOWN 1 TICK</t>
  </si>
  <si>
    <t>ue (p3.7% f3.7% a3.9%)</t>
  </si>
  <si>
    <t>MOMENTUM + ret</t>
  </si>
  <si>
    <t>FEW SECONDS to scalping minutes</t>
  </si>
  <si>
    <t>NEVER TRADE XT WHEN TICKS GO LOW | EXTREME VOLATILITY SO AVOID</t>
  </si>
  <si>
    <t>ALWAYS SEE IF THERE ARE ANY REVISIONS | IF REVISIONS ARE MORE THAN ACTUAL FROM EXPECTATIONS THEN FOLLOW THAT</t>
  </si>
  <si>
    <t>why 3 lots when tick size changed makes no sense</t>
  </si>
  <si>
    <t xml:space="preserve">XT 3 LOTS MOMENTUM ALWAYS AND FOR SHORT TERM (&lt;1H) EXCEPT INT RATE DECISION DAY </t>
  </si>
  <si>
    <t>AVOID NFP EVENT FOR XT OR OUTRIGHT FOR NEXT 2 MONTHS</t>
  </si>
  <si>
    <t>LATER WENT DOWN SLOWLY FROM THE NEXT CANDLE | DID NOT BREACH THE PREVIOUS HIGH BY MUCH</t>
  </si>
  <si>
    <t>THINK MORE ABOUT THE DATA AND ITS IMPACT BASED ON CURRENT SITUATION | THE MOVE WAS CORRECT BUT CRACK HEADS TOOK ADVANTAGE AND CHANGED THE TIMING TO GAIN MORE</t>
  </si>
  <si>
    <t>NEVER LOSE DISCIPLINE (SO ALWAYS HAVE DEFINED STOPS) THIS WILL ALLOW YOU TO TAKE BETTER BETS AND KEEP YOU IN THE GAME</t>
  </si>
  <si>
    <t>FLIES (70 LOTS ANY DEFLY / FLY) WEEKLY  (D,W) FOR THIS WEEK | TRY 1 FLY ENTRY 1ST 70x2 ON 3 SPDS (for defly)  WHICHEVER YOU GET 1ST FORGET THAT AND TRY THE OTHER THEN  70x2 | it will look like j24 b 70.70 , s24 s 70.70, d24 b 70.70 | ASK LIMITS FOR SPDS @ 420 FOR DEFLIES ONLY</t>
  </si>
  <si>
    <t xml:space="preserve">FRIYAY VAR + ZONES (A) + NO OUTRIGHT (CRACKHEADS) | 2nd half </t>
  </si>
  <si>
    <t xml:space="preserve">MONDAY RANGED BETS (A) 62 LOTS </t>
  </si>
  <si>
    <t>US CORE CPI (MOM) (FEB) (P0.4% F0.3% A0.4%)</t>
  </si>
  <si>
    <t>BONDS RETRACING EVERYWHERE after anti / sl hunting | what a scam</t>
  </si>
  <si>
    <t>6MS VAR: J24 4,3 (careful and fewer lots than rest) | s24 3 (useful) | d24 2 (useful) | rest all 1 (SO NOT WORTH IT UNLESS FLY MAKING OF 6M)</t>
  </si>
  <si>
    <t>6MS 50%ILE: J24 -24 | S24 -24 | D24 -20 | M25 -15</t>
  </si>
  <si>
    <t>US CPI MOM FEB (P0.3% F0.4% A0.4% )</t>
  </si>
  <si>
    <t>TUE US CPI | CA, HC (A)</t>
  </si>
  <si>
    <t>THU US RS, PPI | NO TEDS, NO SCALPING | lgap + var + reds fly + no teds + no scalp (a) only (b) + outright only fibo or next candle (15m)</t>
  </si>
  <si>
    <t>FRIYAY TRADES | VAR, VALUE ZONES + no outrights</t>
  </si>
  <si>
    <t>US CPI YOY FEB (P3.1% F3.1% A3.2%)</t>
  </si>
  <si>
    <t>S24 DEFLY</t>
  </si>
  <si>
    <t>RZ (3,4)</t>
  </si>
  <si>
    <t>0 or negative (-2)</t>
  </si>
  <si>
    <t>END OF MONTH</t>
  </si>
  <si>
    <t>1W 2D</t>
  </si>
  <si>
    <t>18 mar 4pm, 21 mar 308am, 430am</t>
  </si>
  <si>
    <t>EXIT AFTER FOMC  DONE</t>
  </si>
  <si>
    <t>s25 fly @ -4</t>
  </si>
  <si>
    <t>HAD to get out as A lot of events | try for better prices</t>
  </si>
  <si>
    <t>Scractchable / exit worse @ 2</t>
  </si>
  <si>
    <t>var3 + good rz -10</t>
  </si>
  <si>
    <t>M25 -9 B 20 LOTS FOR DEFLY EXIT @ 0</t>
  </si>
  <si>
    <t>XT JUN24</t>
  </si>
  <si>
    <t>Lead lag from JBL (in general bonds)</t>
  </si>
  <si>
    <t>tt stop + JBL entry</t>
  </si>
  <si>
    <t>YT JUN24</t>
  </si>
  <si>
    <t>YT LEGGED FROM TEDS</t>
  </si>
  <si>
    <t xml:space="preserve">TUE: BOJ 8AM, RBA 9AM, BOJ PRESS 12PM, CAD CPI | XT RET with 1 lot multi entry after 30min | carry only flies </t>
  </si>
  <si>
    <t>WED: JPN HOLIDAY, FOMC</t>
  </si>
  <si>
    <t>THU: NZD GDP, AUS LABOR DATA, BOE, US PMI</t>
  </si>
  <si>
    <t>FRI: JPY CPI, US POWELL SPEAKS</t>
  </si>
  <si>
    <t>AFTER FOMC FIND RANGE AND TRY RANGEBOUND</t>
  </si>
  <si>
    <t>ALSO LOOK FOR CURVE ANOMALY, HEDGED COMBOS IN DEFLIES AFTER FOMC NOT BEFORE</t>
  </si>
  <si>
    <t>POST 9AM</t>
  </si>
  <si>
    <t>BOJ INT RATE HIKES TO 0% + SCRAPPED YCC</t>
  </si>
  <si>
    <t>RBA PAUSES</t>
  </si>
  <si>
    <t>BEFORE EVENT</t>
  </si>
  <si>
    <t>NOT HIKES IN AUSSIE WOSE CASE ALSO VERY LESS</t>
  </si>
  <si>
    <t>cool</t>
  </si>
  <si>
    <t>IR JUN24</t>
  </si>
  <si>
    <t>RZ 95.78 + RANGEBOUND</t>
  </si>
  <si>
    <t>2pm</t>
  </si>
  <si>
    <t>ONLY DEFLY / FLY . HARD ONLY. FULL TRIMESTER (BY APRIL)</t>
  </si>
  <si>
    <t>RANGED . TEDS | TRY MANUAL RANGED AS WEEL | ASE 2 LOTS</t>
  </si>
  <si>
    <t>FOMC | HEDGED COMBO</t>
  </si>
  <si>
    <t>W OR HOURLY TRADES ONLY</t>
  </si>
  <si>
    <t>XT CAN TRY</t>
  </si>
  <si>
    <t>&lt;1D</t>
  </si>
  <si>
    <t>NEED TO EXIT B4 FOMC AS CANT CARRY SPDS THROUGH EVENTS ESPECIALLY WITH 110 LOTS</t>
  </si>
  <si>
    <t>exit after fomc and focus on better trades or adding to the same trade</t>
  </si>
  <si>
    <t>IF D24 SPD EXIT THEN M25 S @ -0.09 SCRATCH by b</t>
  </si>
  <si>
    <t>EMP CHANGE FEB (P0.5K F40K A116.5K)</t>
  </si>
  <si>
    <t>XT WENT DOWN, FRONT SPDS WENT UP 3,2 TICKS</t>
  </si>
  <si>
    <t>UE FEB (P4.1% F4% A3.7%)</t>
  </si>
  <si>
    <t>22m</t>
  </si>
  <si>
    <t>next entry &gt;=1</t>
  </si>
  <si>
    <t>149pm, 216pm, 609PM</t>
  </si>
  <si>
    <t>FRIYAY RET trades in value zones + DEAD SCALPING IN W (D) FROM THE DIRECTION OF THE BEST POSSIBLE FLY</t>
  </si>
  <si>
    <t>teds squeeze zones entry from calendar</t>
  </si>
  <si>
    <t>NO OUTRIGHTS ON FRIDAY | did not follow</t>
  </si>
  <si>
    <t>915AM</t>
  </si>
  <si>
    <t>M26 TED</t>
  </si>
  <si>
    <t>Scalping + BACKUP OF YT FIBO ENTRY</t>
  </si>
  <si>
    <t>25 mar 305am</t>
  </si>
  <si>
    <t>manual entry from fibo</t>
  </si>
  <si>
    <t>Fibo 61.8% ret</t>
  </si>
  <si>
    <t>45m</t>
  </si>
  <si>
    <t xml:space="preserve">FIBO DOESNT WORK IN XT / failed in this setup at least try fibo ext next time </t>
  </si>
  <si>
    <t xml:space="preserve">NEVER TRY AGAIN </t>
  </si>
  <si>
    <t>DO ONLY MOMENTUM</t>
  </si>
  <si>
    <t xml:space="preserve">VERY SLOW TAKES A LOT OF TIME | NOT WORTH IT </t>
  </si>
  <si>
    <t xml:space="preserve">FRI AVOID ANY FORM OF OUTRIGHT TRADES </t>
  </si>
  <si>
    <t>XT SLOW BOND | OBSERVE US 10Y IN TRADINGVIEW AND PLAY THE LAGGING GAME AFTER SOMETIME</t>
  </si>
  <si>
    <t>ONLY DEFLY / FLY . HARD ONLY. FULL TRIMESTER (BY APRIL) | all entries MUST be from this angle</t>
  </si>
  <si>
    <t>NO OUTRIGTHS ON FRIDAY / before holiday</t>
  </si>
  <si>
    <t>NO TEDS OR SCALPING ON THURSDAY</t>
  </si>
  <si>
    <t>YT FIBO EXTREME LEVEL ONLY + VAR DAILY 4,4 FOT TED ANYONE ENTRY FROM YT SIDE (MON, TUE, WED)</t>
  </si>
  <si>
    <t>1057am</t>
  </si>
  <si>
    <t>TRY TO TAKE MORE NEAR 0 (S24 FLY @ 0,1 OR J24 FLY @ 0,-1)</t>
  </si>
  <si>
    <t>549AM</t>
  </si>
  <si>
    <t>&gt;=2</t>
  </si>
  <si>
    <t>NEED TO MAKE S24 FLY SELL @ 0 in the next week (55 lots)</t>
  </si>
  <si>
    <t>or exit @ 2 ticks +2 or more</t>
  </si>
  <si>
    <t>buy d24 spd 1st to make s24 fly (HAVE 2 ENTRY 55 EACH)</t>
  </si>
  <si>
    <t>ONLY DEFLY / FLY TRADES UNTIL 12.5K (MAKE THE BEST AVAILABLE FLY IN THE CURRENT MARKET WITH 40 LOTS (WITHIN 1 WEEK EXIT) AND ADD TILL 100 AT THE REQUIRED ZONE | if first fails better to make some defly to buy time instead of losses</t>
  </si>
  <si>
    <t>zen</t>
  </si>
  <si>
    <t>stat an of ir and on ranged states take such trades | will require patience and trust in maths/stats/system</t>
  </si>
  <si>
    <t>833AM</t>
  </si>
  <si>
    <t>-27 some and carry towards 24</t>
  </si>
  <si>
    <t>add more till 31 upto 40-50 lots</t>
  </si>
  <si>
    <t>120pm, 3pm</t>
  </si>
  <si>
    <t>M26 TED MANUALLY YT</t>
  </si>
  <si>
    <t>27 MAR 630AM</t>
  </si>
  <si>
    <t>get outta here</t>
  </si>
  <si>
    <t>SO MANUAL ENTRY WILL HAVE BETTER ODDS WITH 1 ENTRY AND THEN THE OTHER ENTRY FROM ASE LATER ON WITH 2 LOTS</t>
  </si>
  <si>
    <t>DO NOT TAKE 3-10 | IT DOESNT WORK</t>
  </si>
  <si>
    <t>SO MANUAL ENTRY WILL HAVE BETTER ODDS WITH 1 ENTRY || THEN THE OTHER ENTRY FROM ASE LATER ON WITH 2 LOTS</t>
  </si>
  <si>
    <t>Scalping + sz (-28 to 31)</t>
  </si>
  <si>
    <t>26 mar 1030pm</t>
  </si>
  <si>
    <t>M25 TED MANUALLY IR</t>
  </si>
  <si>
    <t>30:24 net 1 win per day will be enough</t>
  </si>
  <si>
    <t>2, 2, 1 in ASE</t>
  </si>
  <si>
    <t>1250pm</t>
  </si>
  <si>
    <t>STICK TO PLAN . done</t>
  </si>
  <si>
    <t>MAKE STRUCTURES BEFORE TRIP | NO SPDS | ONLY FLY OR DEFLY . done</t>
  </si>
  <si>
    <t>&gt;=3 (3,4)</t>
  </si>
  <si>
    <t>2 APR 4PM, 3 APR 930PM</t>
  </si>
  <si>
    <t>exit within 1-2 weeks must</t>
  </si>
  <si>
    <t>+2, 0 (2) OR +2,-1 (3) OR +2,-2 (4) OR +1,-1 (2) OR +1,-2 (3) OR +1,-3 (4) WORSE: -2,0 (-2) OR -1,0 (-1) OR 0,0 (0) or +2,+1 (1) or +3,+1 (2)| HIGH CONVICTION IS FOR +2,-1 (3) | ODD CASE: +3,0 (3) AT1727OR -1, 1 (-2)</t>
  </si>
  <si>
    <t>LOTS +90,-180,+90 FOR SPDS</t>
  </si>
  <si>
    <t>SELL J24 AT HIGH LEVELS OR BUY S24 AT LOW LEVELS D24 MORE OR LESS STAYS SAME</t>
  </si>
  <si>
    <t xml:space="preserve">RARE CASE BUT POSSIBLE CONSIDERING LUCK IN MARKETS : -13, 16, 13 = +6 EXIT TRY </t>
  </si>
  <si>
    <t>exit flies individually instead of spreads</t>
  </si>
  <si>
    <t>it's difficult to exit with higher lots | so best to enter from 2nd spd leg anyway possible in the direction of current trend / the last spd leg as it should be slowest moving amonngst these</t>
  </si>
  <si>
    <t>enter again @ 2 25 lots</t>
  </si>
  <si>
    <t>432PM</t>
  </si>
  <si>
    <t>SZ (-4 TO -5)</t>
  </si>
  <si>
    <t>HC</t>
  </si>
  <si>
    <t>1 MONTH</t>
  </si>
  <si>
    <t>exit 25-40 lots first then exit after a week of mkt activity</t>
  </si>
  <si>
    <t>439pm</t>
  </si>
  <si>
    <t>&lt;12H</t>
  </si>
  <si>
    <t>27 MAR 1055AM</t>
  </si>
  <si>
    <t>3Y BONDS FIBO ENTRY ESPECIALLY IF TEDS ARE RANGED BACKUP WOULD BE RED TED SCRATCH, NOTHING ELSE NO PROFIT TAKING TRADE (try with 1 lot of ted into consideration) | entry from yt</t>
  </si>
  <si>
    <t>IR RANGED DAYS: VAR 3,4 SCALP OR TED BACKUP mostly reds or belly for belly teds (MOST IMPORTANT THING, TRY WITH 1 LOT of ted into consideration) | intra session morning</t>
  </si>
  <si>
    <t>AGGRESSIVE MONEY MANAGEMENT: CONCENTRATE 15% OF ALL MONEY IN ONE TRADE | MOSTLY A DEFLY</t>
  </si>
  <si>
    <t>TIMEOUT IS ESSENTIAL TO PREVENT OVER TRADING, GAMBLING MENTALITY, FORGETING MONEY MANAGEMENT, RISK MANAGEMENT, LOSING DISCIPLINE TO FOLLOW THE SETUPS AND START TRADING INTUITIVELY MORE , LOSING PATIENCE, POOR HEALTH, POOR SLEEP, POOR DECISION MAKING, POOR JUDGEMENT, POOR MENTAL STATE TO TRADE NEXT TIME, POOR LIFE, LOSING MONEY</t>
  </si>
  <si>
    <t>ONLY EXIT TRADES AFTER TODAY'S 1ST SESSION</t>
  </si>
  <si>
    <t>B4 EVENT REMOVE TED ORDER</t>
  </si>
  <si>
    <t>ONLY FLIES AND DEFLIES | WHATEVER BEST PRICE IS AVAILABLE MAKE WITH (B) AND BETTER PRICES WITH (A)</t>
  </si>
  <si>
    <t>TEDS ASE 2 LOTS | ASK FOR MORE LIMITS</t>
  </si>
  <si>
    <t>TEDS MANUALLY 1 LOT SE TRY</t>
  </si>
  <si>
    <t xml:space="preserve">var 3, 4from 2nd spd onwards only </t>
  </si>
  <si>
    <t>ranged 6ms (b) and multi levels (upto 3) distribute the lots | and keep it intraday</t>
  </si>
  <si>
    <t>MONTHLY CPI INDICATOR YOY (P3.4% F3.5% A3.4%)</t>
  </si>
  <si>
    <t>XT DID NOT MOVE MUCH, SPDS 2 TICKS UP DOWN</t>
  </si>
  <si>
    <t>TO MAKE S24 SPD @ -15 AND EXIT J24 @ -13 FOR DEFLY EXIT / scalping</t>
  </si>
  <si>
    <t>-13, -15</t>
  </si>
  <si>
    <t>STICK TO YOUR METHOD</t>
  </si>
  <si>
    <t>DEFLY EXIT ALWAYS FROM 3M MID LEG</t>
  </si>
  <si>
    <t xml:space="preserve">DONT HAVE EXTRA TIME TO CLOSE OTHER LEGS + BAD PIQ | THATS A BIGGER RISK </t>
  </si>
  <si>
    <t>RISKING TOO MUCH FOR TOO LITTLE</t>
  </si>
  <si>
    <t>INTRADAY EXIT</t>
  </si>
  <si>
    <t>XT 3 LOTS MOMENTUM ALWAYS AND FOR SHORT TERM (&lt;1H) EXCEPT INT RATE DECISION DAY or when tick size is reduced then try with 1 lot only (MAX2)</t>
  </si>
  <si>
    <t xml:space="preserve">ANTI MOVE IN OBVIOUS TRADE DIRECTION | AMAZING | LATER WENT DOWN SLOWLY FROM THE NEXT CANDLE | DID NOT BREACH THE PREVIOUS HIGH BY MUCH |||  </t>
  </si>
  <si>
    <t>FRIYAY VAR AND RET + NO OUTRIGHTS</t>
  </si>
  <si>
    <t>ANTI MOVE IN OBVIOUS TRADE DIRECTION | HAVE DISCIPLINE ALWAYS (DEFINED STOPS AND PLACE STOP LOSS) + WAIT TAKE A STEP BACK AND THINK WHAT THE DATA MEANS AND WHAT SHOULD HAPPEN IN THE LONGER TIMEFRAME RATHER THAN GETTING SWEEPED IN ALGOS AND FOMO AND CRACKHEADS | THEN WHEN THE TIME FEELS RIGHT FOR THE RIGHT SIDE TO SUSTAIN PLACE THE BET</t>
  </si>
  <si>
    <t>GO GET RICH BUT DONT WEAR YOURSELF OUT  WHILE DOING IT</t>
  </si>
  <si>
    <t>NO OUTRIGTHS ON FRIDAY</t>
  </si>
  <si>
    <t>April 24 live</t>
  </si>
  <si>
    <t>APR.24</t>
  </si>
  <si>
    <t>welcome back</t>
  </si>
  <si>
    <t>IR-TEDS-FLY: VAR hi follow krna h, any other form of entry will have low chances of hedging and success</t>
  </si>
  <si>
    <t>try with 1 lot and check how long usually you have to wait</t>
  </si>
  <si>
    <t>can NEVER execute with higher total lots than spreads</t>
  </si>
  <si>
    <t xml:space="preserve">J24 DEFLY TRY: -13 J24 S, S24 -16 B, D24 -13 S = +6 EXIT </t>
  </si>
  <si>
    <t>OR ELSE TRY +4 IF FAILS THEN +3 | 50 LEFT TRY EXITING 20, 30 LOTS AT A TIME or 1 fly at a time s24 spd exit will be the key</t>
  </si>
  <si>
    <t>change workspace setup for teds quantum strat / fly outright quantum strat</t>
  </si>
  <si>
    <t>NEVER TRADE FOR RECOVERY OF LOSSES. NEVER</t>
  </si>
  <si>
    <t>TRY WITH 1,2,3,4 LOTS FIRST</t>
  </si>
  <si>
    <t>TUE JOLTS | AVOID OUTRIGHTS MOMENTUM AGGRESSIVE| CHECK REVISIONS</t>
  </si>
  <si>
    <t>WED US PMI</t>
  </si>
  <si>
    <t>THU AUD RETAIL SALES, US IJL</t>
  </si>
  <si>
    <t>FRI NFP, UE | VAR3,4 FOR HEDGED COMBO ENTRY</t>
  </si>
  <si>
    <t>3PM</t>
  </si>
  <si>
    <t>315PM</t>
  </si>
  <si>
    <t>3 apr 1155am</t>
  </si>
  <si>
    <t>failed exit</t>
  </si>
  <si>
    <t>VAR 5 DOUBLE LOTS</t>
  </si>
  <si>
    <t>624PM</t>
  </si>
  <si>
    <t>VAR + MEAN 24 SO SHORT ABOVE IT</t>
  </si>
  <si>
    <t>1H, 8H</t>
  </si>
  <si>
    <t>754pm, 3 APR 258AM</t>
  </si>
  <si>
    <t>SCALE DOWN A LITTLE | UNTIL SOME STRAT IS FOUND / FLY</t>
  </si>
  <si>
    <t>1155am</t>
  </si>
  <si>
    <t>ENTIRE FI CURVE GOING UP SO THIS IS STILL SAFE</t>
  </si>
  <si>
    <t>9 apr 9am</t>
  </si>
  <si>
    <t>BE MORE SELECTIVE WITH TEDS AND PICK MAX 2 TEDS AND BET ON THE BETTER PRICE / TRADE MORE</t>
  </si>
  <si>
    <t>639PM</t>
  </si>
  <si>
    <t>VAR3 + MEAN 24 SO SHORT ABOVE IT</t>
  </si>
  <si>
    <t>ISM NMFG PMI MAR (P58.6 F58.4 A53.4)</t>
  </si>
  <si>
    <t>XT WENT UP SPIKE, SPDS NO CHANGE</t>
  </si>
  <si>
    <t xml:space="preserve">XT JUN24 </t>
  </si>
  <si>
    <t>MOMNTM</t>
  </si>
  <si>
    <t>928pm</t>
  </si>
  <si>
    <t>4 apr 354am</t>
  </si>
  <si>
    <t>-9, -13</t>
  </si>
  <si>
    <t>1251am</t>
  </si>
  <si>
    <t>TO GET TJHE DEFLY BACK IN CASE IT FAILS</t>
  </si>
  <si>
    <t>CANT MAKE ANY FLY SO INTRADAY SCALPING B4 RETAIL SALES WITH SL</t>
  </si>
  <si>
    <t>48M</t>
  </si>
  <si>
    <t>THU NO SCALPING OR TEDS | SO EARLY EXIT</t>
  </si>
  <si>
    <t>FIND A FLY STRUCTURE IN WHITES</t>
  </si>
  <si>
    <t>FRIYAY . AVOID OUTRIGHTS (AT LEAST WITH HEAVY LOTS), VAR3,4, OR ZONES FOR HEDGED FLY</t>
  </si>
  <si>
    <t>wait after data for 15 mins then use ase multiple of them</t>
  </si>
  <si>
    <t xml:space="preserve">Find a short term trade setup and scale up on it | too risky to scale up ONLY in positional trades | one bad day can wipe out </t>
  </si>
  <si>
    <t>Try scalping from Ir, var to make fly, var to make teds from zones</t>
  </si>
  <si>
    <t>OI should be on the lower end after long break so chances of massive squeeze will be less, make deflies with higher than average lots | go UA</t>
  </si>
  <si>
    <t>835am</t>
  </si>
  <si>
    <t>DEFLY @ &gt;=5</t>
  </si>
  <si>
    <t>&lt;=3</t>
  </si>
  <si>
    <t>10 apr 11pm</t>
  </si>
  <si>
    <t>UNABLE TO MAKE @ 5 WITH &gt;80 LOTS</t>
  </si>
  <si>
    <t>EXIT STRAT: 3,0 (3) OR 3,-1 (4)</t>
  </si>
  <si>
    <t>EXIT FLIES SEPARATELY</t>
  </si>
  <si>
    <t>scalping + SZ (-10, -11)</t>
  </si>
  <si>
    <t>8 apr 515pm</t>
  </si>
  <si>
    <r>
      <rPr>
        <sz val="10"/>
        <color rgb="FF000000"/>
        <rFont val="Calibri"/>
      </rPr>
      <t xml:space="preserve">WED RBNZ, </t>
    </r>
    <r>
      <rPr>
        <b/>
        <sz val="10"/>
        <color rgb="FF000000"/>
        <rFont val="Calibri"/>
      </rPr>
      <t>US CPI</t>
    </r>
    <r>
      <rPr>
        <sz val="10"/>
        <color rgb="FF000000"/>
        <rFont val="Calibri"/>
      </rPr>
      <t>, BOC INT RATE | HEDGED FLY ENTRY OR PARTIAL EXIT</t>
    </r>
  </si>
  <si>
    <t>THU PPI | NO SCALPING OT TEDS</t>
  </si>
  <si>
    <t>8 APR 940AM</t>
  </si>
  <si>
    <t>NFP MAR (P275K -&gt; 270K F212K A303K)</t>
  </si>
  <si>
    <t>IU WENT DOWN 10 TICKS</t>
  </si>
  <si>
    <t>UE (P3.9% F3.9% A3.8%)</t>
  </si>
  <si>
    <t>DEFLY @ &gt;=5 (fail)</t>
  </si>
  <si>
    <t>B S24 80 X -0.14</t>
  </si>
  <si>
    <t>defly attempt failed</t>
  </si>
  <si>
    <t>756pm</t>
  </si>
  <si>
    <t>605PM</t>
  </si>
  <si>
    <t>scalping + 50%ile ~ -24 + var3</t>
  </si>
  <si>
    <t>522am</t>
  </si>
  <si>
    <t>SZ (-8 TO -6)</t>
  </si>
  <si>
    <t>925AM</t>
  </si>
  <si>
    <t>D25 TED EXIT + ENTRY</t>
  </si>
  <si>
    <t>STRATS</t>
  </si>
  <si>
    <t>NEW DATA: IR | HL75 | HL90</t>
  </si>
  <si>
    <t>J24 | 2,1 | 3,2</t>
  </si>
  <si>
    <t>S24 | 3,1 | 4,3</t>
  </si>
  <si>
    <t>D24 | 3,2 | 4,2 | 5,3</t>
  </si>
  <si>
    <t>M25 | 4,2 | 4,3 | 5,3</t>
  </si>
  <si>
    <t>J25 | 42, 4,2 | 6,4</t>
  </si>
  <si>
    <t>S25 | 4,2 | 6,4</t>
  </si>
  <si>
    <t>D25 | 4,2 | 4,3 | 5,4</t>
  </si>
  <si>
    <t>50%ile price might change in these few days so if not entering in volatile states, reduce lots or hedge</t>
  </si>
  <si>
    <t>SCALE UP ON TEDS</t>
  </si>
  <si>
    <t>USE ASE of fly outright to use as indicators for entry / exit of middle leg | Also consider getting the best spd leg 1st like with deflies, make the best available fly 1st | or just scalp!</t>
  </si>
  <si>
    <t>TEDS as backup | so multiples of 5 or 10 in IR should be the lot size</t>
  </si>
  <si>
    <t>INTRADAY + 1 FAT FINGER IN BED</t>
  </si>
  <si>
    <t>EXCEPT FOR THE FAT FINGER TRADE | WAS ABLE TO CAPTURE TREND PATTERN + B/O, CAN GO WITH 2 LOTS 1 EXIT QUICK THE OTHER HOLD A LITTLE LONGER / SCRATCH</t>
  </si>
  <si>
    <t>pattern trades is all art so avoid</t>
  </si>
  <si>
    <t xml:space="preserve">You've got tot pull it together </t>
  </si>
  <si>
    <t>Aisi galti fir se mat karna</t>
  </si>
  <si>
    <t xml:space="preserve">make a system </t>
  </si>
  <si>
    <t>Fat finger happens | next time trade actively | not in bed</t>
  </si>
  <si>
    <t>not good in this type of trading, yet | try later after capping some money</t>
  </si>
  <si>
    <t>IF FAT FINGET -&gt;&gt; CUT LOSS IMMEDIATELY | DONT THINK JUST TRY TO SCALP OR HARD SL</t>
  </si>
  <si>
    <t>S25 IR-YT</t>
  </si>
  <si>
    <t>spds flipped so no more exposure at least at the same price</t>
  </si>
  <si>
    <t>512AM</t>
  </si>
  <si>
    <t>S25 FLY OUTRIGHT</t>
  </si>
  <si>
    <t>Always exit ir within 30mins no matter what</t>
  </si>
  <si>
    <t>Scratched the last leg as got legged for 30mins</t>
  </si>
  <si>
    <t>TRY TO GET THE BEST SPD 1ST | JUST LIKE FOR DEFLIES USED TO GET BEST FLY FIRST</t>
  </si>
  <si>
    <t>S25 TED ENTRY</t>
  </si>
  <si>
    <t>Someone else's fat finger (maybe)</t>
  </si>
  <si>
    <t>DEFLY EXIT @ 4</t>
  </si>
  <si>
    <t>210PM</t>
  </si>
  <si>
    <t>FAILED</t>
  </si>
  <si>
    <t>FIRST YOU HAVE TO GET THE MIDDLE LEG</t>
  </si>
  <si>
    <t>so it failed | get out</t>
  </si>
  <si>
    <t>Let the middle leg decide how much we make</t>
  </si>
  <si>
    <t>be defensive in 1st leg</t>
  </si>
  <si>
    <t>mkt behaving stupid | carry strucutres + (D)  lots</t>
  </si>
  <si>
    <t>Use ASE as indicators</t>
  </si>
  <si>
    <t>407am</t>
  </si>
  <si>
    <t>S25 TED ENTRY + EXIT</t>
  </si>
  <si>
    <t>1232am</t>
  </si>
  <si>
    <t>defly @&gt;=5</t>
  </si>
  <si>
    <t>1037pm</t>
  </si>
  <si>
    <t>Could not get more</t>
  </si>
  <si>
    <t>IR D25</t>
  </si>
  <si>
    <t>ALGO ERR</t>
  </si>
  <si>
    <t>208PM</t>
  </si>
  <si>
    <t>FAT FINGER</t>
  </si>
  <si>
    <t>bad luck 100</t>
  </si>
  <si>
    <t>US CORE CPI MOM MAR (P0.4% F0.3% A)</t>
  </si>
  <si>
    <t>US CPI MOM MAR (P0.4% F0.3% A)</t>
  </si>
  <si>
    <t>CPI YOY MAR (P3.2% F3.4% A)</t>
  </si>
  <si>
    <t>&lt;1S</t>
  </si>
  <si>
    <t>M26 IR-YT</t>
  </si>
  <si>
    <t>scalping + SZ (-3)</t>
  </si>
  <si>
    <t>IR DEC25</t>
  </si>
  <si>
    <t>RET ORDER AT SOME LEVEL</t>
  </si>
  <si>
    <t>removed remaining orders on time</t>
  </si>
  <si>
    <t>scalping + 50%ile ~ -24 + var5</t>
  </si>
  <si>
    <t>19M</t>
  </si>
  <si>
    <t>failed so exit quickly</t>
  </si>
  <si>
    <t>RIGHT</t>
  </si>
  <si>
    <t>lost less than expected</t>
  </si>
  <si>
    <t>VAR</t>
  </si>
  <si>
    <t>S24 9M SPD</t>
  </si>
  <si>
    <t>save</t>
  </si>
  <si>
    <t>DEFLY EXIT (FAIL)</t>
  </si>
  <si>
    <t>12H+</t>
  </si>
  <si>
    <t>11 apr 727am</t>
  </si>
  <si>
    <t>SCALPING (RZ) + RET</t>
  </si>
  <si>
    <t>11 APR 515AM</t>
  </si>
  <si>
    <t xml:space="preserve">NOW NEW RANGE MIGHT FORM IN THE NXT COMING DAYS </t>
  </si>
  <si>
    <t>6MS 50%ILE NEW DATA MIGHT BE MADE BY NEXT WEEK</t>
  </si>
  <si>
    <t>COULD NOT EXIT @ 18 SO OUT @ 17</t>
  </si>
  <si>
    <t>wait for new range to be formed</t>
  </si>
  <si>
    <t>J24 9M SPD</t>
  </si>
  <si>
    <t>11 apr 526am</t>
  </si>
  <si>
    <t>BAD LUCK GOT SQUEEZED IN OUTRIGHTS</t>
  </si>
  <si>
    <t>EXIT THROUGH 9M SPD BETTER AND SHOULD HAVE HELD THE FIRST OUTRIGHT AS IT IS RANGEBOUND AND IN SZ</t>
  </si>
  <si>
    <t>BUT BAAT BARABAR HI THI</t>
  </si>
  <si>
    <t>lost more than supposed to (222$ EXTRA)</t>
  </si>
  <si>
    <t>avoid holding 9m for long if you try again</t>
  </si>
  <si>
    <t>PIQ doesnt matter in these contracts</t>
  </si>
  <si>
    <t>672$ extra</t>
  </si>
  <si>
    <t>HAS TO BE SOME CUTS PRICED IN THIS REGION</t>
  </si>
  <si>
    <t>ADD MORE TILL -7</t>
  </si>
  <si>
    <t>18H</t>
  </si>
  <si>
    <t>11 APR 1240PM</t>
  </si>
  <si>
    <t>this should not go much up</t>
  </si>
  <si>
    <t>D25 TED ENTRY</t>
  </si>
  <si>
    <t>1224AM</t>
  </si>
  <si>
    <t>WAIT FOR NEW RANGES TO BE FORMED | timeout</t>
  </si>
  <si>
    <t>UNTIL THEN AVOID 6MS AND FRONT SPD OR FLY</t>
  </si>
  <si>
    <t xml:space="preserve">LOOK FROM 3RD SPD ONWARDS AND WITH (B) LOTS </t>
  </si>
  <si>
    <t xml:space="preserve">LOOK FOR TEDS WITH 1 LOT </t>
  </si>
  <si>
    <t>a good defly has to be made in multiple attempts total 100 lots</t>
  </si>
  <si>
    <t>FRONT SPD NO TOUCHING</t>
  </si>
  <si>
    <t>JUST MINIMIZING LOSSES</t>
  </si>
  <si>
    <t>TIMEOUT | NEXT WEEK TRADE ONWARDS NEW ENTRIES</t>
  </si>
  <si>
    <t>SO NO NEW TRADES THIS WEEK</t>
  </si>
  <si>
    <t>ENTER ONLY A FLY WITH ~50 LOTS so 100 from middle leg</t>
  </si>
  <si>
    <t>109pm</t>
  </si>
  <si>
    <t>if can scratch then prevented 1 tick loss</t>
  </si>
  <si>
    <t>SCRATCH HALF ASAP then make @ 0</t>
  </si>
  <si>
    <t>Scratch scratch, scratch</t>
  </si>
  <si>
    <t>30 lots 2 ticks anti | try to scratch</t>
  </si>
  <si>
    <t>this was a red trade &gt; minimized by making fly</t>
  </si>
  <si>
    <t>similar shit in outrights have to figure out</t>
  </si>
  <si>
    <t>1pm</t>
  </si>
  <si>
    <t>CUTS SHIFTING AT BACK</t>
  </si>
  <si>
    <t>(WHITES LONG WITH REDS SHORT) BETTER TO MAKE FLY</t>
  </si>
  <si>
    <t>19 apr 4am</t>
  </si>
  <si>
    <t>waste of margin + teds opportunity</t>
  </si>
  <si>
    <t>128pm</t>
  </si>
  <si>
    <t>M25 SPD (1)</t>
  </si>
  <si>
    <t>140pm</t>
  </si>
  <si>
    <t xml:space="preserve">S24 6M FLY </t>
  </si>
  <si>
    <t>1 rate cut and in dec</t>
  </si>
  <si>
    <t>FLY @ 0 LONG + WHITES LONG REDS SHORT</t>
  </si>
  <si>
    <t>611pm</t>
  </si>
  <si>
    <t>S24 -8 B, M25 -8 S</t>
  </si>
  <si>
    <t xml:space="preserve">scalping </t>
  </si>
  <si>
    <t>144PM</t>
  </si>
  <si>
    <t>VAR + SCALPING</t>
  </si>
  <si>
    <t xml:space="preserve">should be scratchable </t>
  </si>
  <si>
    <t xml:space="preserve">next week mostly no event | find a fly structure </t>
  </si>
  <si>
    <t>CAN MAKE FLY @ 0</t>
  </si>
  <si>
    <t>WRONG CONDITION IN SL</t>
  </si>
  <si>
    <t>saved | flipped later anyways</t>
  </si>
  <si>
    <t>303pm</t>
  </si>
  <si>
    <t>M26 IRYT</t>
  </si>
  <si>
    <t>similar to reds short trade (FOR DIRECTION)</t>
  </si>
  <si>
    <t>422pm</t>
  </si>
  <si>
    <t>J24  DEFLY (1) -&gt; S24 FLY</t>
  </si>
  <si>
    <t>RZ (5 TO 7)</t>
  </si>
  <si>
    <t>&lt;=2</t>
  </si>
  <si>
    <t xml:space="preserve">90 more @ &gt;=5 </t>
  </si>
  <si>
    <t>more defly @ &gt;=5</t>
  </si>
  <si>
    <t>Scratch @ 3 20 lots</t>
  </si>
  <si>
    <t>s24 fly exit @ 1 so J24 FLY EXIT @ &lt;=4 (SCRATCH @ 4)</t>
  </si>
  <si>
    <t>IF WE CONSIDER S24 FLY @ 1 SCRATCH THEN J24 FLY IS SHORT @ 4</t>
  </si>
  <si>
    <t>CAN MAKE DEFLY @ 4 OR 5</t>
  </si>
  <si>
    <t>15 apr 430am</t>
  </si>
  <si>
    <t>make deflies @ &gt;=5</t>
  </si>
  <si>
    <t>so -5, -4 short 30 each</t>
  </si>
  <si>
    <t xml:space="preserve">take 10,-9 b </t>
  </si>
  <si>
    <t>30 exit done | remaining 30 for defly</t>
  </si>
  <si>
    <t>FRIYAY RET</t>
  </si>
  <si>
    <t>823pm</t>
  </si>
  <si>
    <t>D25 IRYT</t>
  </si>
  <si>
    <t>PREV SZ TO RZ</t>
  </si>
  <si>
    <t>15 apr 512am</t>
  </si>
  <si>
    <t>Not many cuts in that zone</t>
  </si>
  <si>
    <t>US RS (P0.9% UP  F0.4% A0.7%)</t>
  </si>
  <si>
    <r>
      <rPr>
        <b/>
        <sz val="10"/>
        <color rgb="FF000000"/>
        <rFont val="Calibri"/>
      </rPr>
      <t xml:space="preserve">HL75 | TOTAL 120 front  (40, 40, 40) (30, 30, 60) or (60,60) | belly (60,60) back (90, 30) | </t>
    </r>
    <r>
      <rPr>
        <sz val="10"/>
        <color rgb="FF000000"/>
        <rFont val="Calibri"/>
      </rPr>
      <t>2nd entry onwards keep hedging</t>
    </r>
  </si>
  <si>
    <t xml:space="preserve">HEDGED FLY / COMBOS / DEFLIES | 150 (FULL CLIP) </t>
  </si>
  <si>
    <t>13h</t>
  </si>
  <si>
    <t>16 apr 755am</t>
  </si>
  <si>
    <t>1127am</t>
  </si>
  <si>
    <t>J24 FLY (1) (Q)</t>
  </si>
  <si>
    <t>HEDGED + CAN MAKE DEFLY @ 5</t>
  </si>
  <si>
    <t>17 apr, 18 apr</t>
  </si>
  <si>
    <t>TUE POWELL SPEAKS 1030PM</t>
  </si>
  <si>
    <t>WED NZD CPI 415AM</t>
  </si>
  <si>
    <t>THU AUD LABOUR DATA, PHILLY FED, FED MEMBERS</t>
  </si>
  <si>
    <t>FRIYAY</t>
  </si>
  <si>
    <t>Q: NEECHE GAYA TOH YE COMBO EXIT</t>
  </si>
  <si>
    <t>TRYING RET</t>
  </si>
  <si>
    <t>Had to leave for gym + not more than 30 mins</t>
  </si>
  <si>
    <t>6 MISN LATER SCRATCH POSSIBLE</t>
  </si>
  <si>
    <t>POWELL HAWKISH SPEECH</t>
  </si>
  <si>
    <t>rz used for exit</t>
  </si>
  <si>
    <t xml:space="preserve">Scalping (RZ) </t>
  </si>
  <si>
    <t>1am</t>
  </si>
  <si>
    <t>start reducing positions before lmonth end</t>
  </si>
  <si>
    <t>NZD CPI YOY (4%)</t>
  </si>
  <si>
    <t>NZD CPI QOQ (P0.5% F0.6% A0.6%)</t>
  </si>
  <si>
    <t>610AM</t>
  </si>
  <si>
    <t>641am</t>
  </si>
  <si>
    <t>M26 IR|YT</t>
  </si>
  <si>
    <t>Luck100</t>
  </si>
  <si>
    <t>BOND MARKET IS TOUGH TO TRADE RN</t>
  </si>
  <si>
    <t>BETTER TO AVOID | especially either sides of belly</t>
  </si>
  <si>
    <t>ILLIQUID IN DOWNWARD DIRECTION</t>
  </si>
  <si>
    <t>S24 FLY LONG @1 (or 2 some lots if hits -6)</t>
  </si>
  <si>
    <t>HIGH EXPOSURE</t>
  </si>
  <si>
    <t>J24 6M FLY (Q)</t>
  </si>
  <si>
    <t>Hedged combo (fronts long and backs short structure)</t>
  </si>
  <si>
    <t>so now only sep24 leg of s24 fly is long with 25 lots | BASICALLY EXIT S24 SPD WHEN / IF IT GOES UP</t>
  </si>
  <si>
    <t>Q: UPAR GAYA TO YE COMBO EXIT</t>
  </si>
  <si>
    <t>153pm</t>
  </si>
  <si>
    <t>18 apr545am</t>
  </si>
  <si>
    <t>HC  + defly ~3</t>
  </si>
  <si>
    <t>22 apr 4am</t>
  </si>
  <si>
    <t>AUD EMP CHANGE MAR (P116K F7.2K A)</t>
  </si>
  <si>
    <t>AUD UE (P3.7% F3.9% A)</t>
  </si>
  <si>
    <t>656am</t>
  </si>
  <si>
    <t>Sz -4</t>
  </si>
  <si>
    <t>UE RATE WAS GREEN</t>
  </si>
  <si>
    <t>E CHANGE CAME NEGATIVE SO SHORT BUT LOST EXTRA 1 TICK (58$)</t>
  </si>
  <si>
    <t>CUT AT LOWEST :)</t>
  </si>
  <si>
    <t>CLIPS: FRONT 2 SPDS 1,30,40,60</t>
  </si>
  <si>
    <t>3,4 SPDS: 1,30,60</t>
  </si>
  <si>
    <t>5 ONWARDS: 50,100</t>
  </si>
  <si>
    <r>
      <rPr>
        <b/>
        <sz val="10"/>
        <color rgb="FF000000"/>
        <rFont val="Calibri"/>
      </rPr>
      <t xml:space="preserve">HL75 | TOTAL 120 front 100 if fly trade else if fly as backup then (60,60) or (40, 40, 40) (30, 30, 60)  | belly (60,60) back (90, 30) | </t>
    </r>
    <r>
      <rPr>
        <sz val="10"/>
        <color rgb="FF000000"/>
        <rFont val="Calibri"/>
      </rPr>
      <t xml:space="preserve">2nd entry onwards keep hedging </t>
    </r>
  </si>
  <si>
    <t xml:space="preserve">HEDGED FLY / COMBOS / DEFLIES | 150 (FULL CLIP)  </t>
  </si>
  <si>
    <t>RED FLY | 100, 100</t>
  </si>
  <si>
    <t>DON'T THINK JUST DO</t>
  </si>
  <si>
    <t>START EXITING BY NEXT WEEK END</t>
  </si>
  <si>
    <t>ONLY EXITS NOW + scale down in fronts (END OF TRIMESTER STUPID MOVES)</t>
  </si>
  <si>
    <t>STRATS | 25 lots each 3 levels around these prices</t>
  </si>
  <si>
    <t>25 lots each 3 levels around these prices | so start with 8 lots (1 then 7)</t>
  </si>
  <si>
    <t>USE 1 LOT FOR BR AND SR VERY CAREFULLY</t>
  </si>
  <si>
    <t>ALTERNATE CONTRACTS</t>
  </si>
  <si>
    <t>639am</t>
  </si>
  <si>
    <t>ISRAEL ATTACKS IRAN: SIMULTANEOUS EXPLOSIONS REPORTED IN IRAN, SYRIA, AND IRAQ ACCORDING TO INITIAL REPORTS</t>
  </si>
  <si>
    <t>Momentum + TREND TRYING</t>
  </si>
  <si>
    <t xml:space="preserve">IR JUN24 </t>
  </si>
  <si>
    <t>S24 SPD -7 X65 LOTS / D24 SPD -8 X 65</t>
  </si>
  <si>
    <t>905AM</t>
  </si>
  <si>
    <t>IRANIAN OFFICIAL TO REUTERS "THERE WAS NO MISSILE ATTACK ON IRAN" - RTRS | - Says Explosion Was A Result Of Activation Of Air Defence</t>
  </si>
  <si>
    <t>SCALPING LIKE AN IDIOT</t>
  </si>
  <si>
    <t>WED AUD CPI | EMPTY GRID BEFORE THAT | intraday short term with 4 lots XT | EXIT OR MAKE FLY AS HOLIDAY + GDP NEXT DAY</t>
  </si>
  <si>
    <t>THU HOLIDAY + us gdp</t>
  </si>
  <si>
    <t>FRI US PCE</t>
  </si>
  <si>
    <t>FRIYAY TRADES</t>
  </si>
  <si>
    <t>D24 FLY @ 0 S or later s24 defly b @ 1</t>
  </si>
  <si>
    <t>FLY @ 1 OR 2 (SCRATCH)</t>
  </si>
  <si>
    <t>D24 -9 b EXIT | s24 -8 s left</t>
  </si>
  <si>
    <t>WHY MAKE FLY ? BECAUSE GOING ANTI BUT DID NOT GO ANTI</t>
  </si>
  <si>
    <t>SO WE NEED 2 ENTRIES TO BE CONFIDENT?!</t>
  </si>
  <si>
    <t>GO 75, 75. then hit 25 if going in favour then make a fly with those 25 lots first</t>
  </si>
  <si>
    <t>TARGET NOW -2 IF GET BACK IN THE STRAT</t>
  </si>
  <si>
    <t>RUSHED THE EXIT + AUD CPI MIGHT PROVIDE BETTER OPPORTUNITIES SO GET READY OR THAT</t>
  </si>
  <si>
    <t>BETTER TO SHORT AGAIN @ 0,-1 | FOR 100, 100 OR BUY -2, -3 FOR 100,100</t>
  </si>
  <si>
    <t>2h, 3h</t>
  </si>
  <si>
    <t>743am, 914am</t>
  </si>
  <si>
    <t>EXIT NEXT SESSION</t>
  </si>
  <si>
    <t>ADD MORE @ -10</t>
  </si>
  <si>
    <t>greedy quick exit try</t>
  </si>
  <si>
    <t>ALWAYS TRY FOR 2 TICKS IN WHITE ELSE IF EXIT FAILS THEN 1 TICK</t>
  </si>
  <si>
    <t>ADD MORE @ -9</t>
  </si>
  <si>
    <t xml:space="preserve">HL75 | TOTAL 120 front (60,60) if in favour then add 25, belly (75,75) back (150) </t>
  </si>
  <si>
    <t>AUD CPI YOY Q1 (P4.1% F3.4% A3.6%)</t>
  </si>
  <si>
    <t>SPDS WENT UP VAR 8,9 FRONT 2ND VAR 5,6 3RD VAR 3</t>
  </si>
  <si>
    <t xml:space="preserve">LOSS BOOKING HAS HAPPENED WHEN WENT POSITIVE 2 FLIPPED, SO SHOULD GO BACK TO THAT LEVEL AT SOME POINT </t>
  </si>
  <si>
    <t xml:space="preserve">TRY TO EXIT / REDUCE BY THIS WEEK AT BEST PRICES IN HTE RNAGE WITH FEW LOTS AT A TIME </t>
  </si>
  <si>
    <t>SCALP in the ranges if exit not possible</t>
  </si>
  <si>
    <t>AUD CPI QOQ Q1 (P0.6% F0.8% A1%)</t>
  </si>
  <si>
    <t>TRIMMED MEAN QOQ Q1 (P0.8% F0.8% A1%)</t>
  </si>
  <si>
    <t>TRIMMED MEAN CPI YOY (P4.2% F3.8% A4%)</t>
  </si>
  <si>
    <t>EVENT SCALPING + VAR5</t>
  </si>
  <si>
    <t>EVENT SCALPING + VAR 5</t>
  </si>
  <si>
    <t>EVENT SCALPING + VAR3</t>
  </si>
  <si>
    <t>RET OR VAR7!</t>
  </si>
  <si>
    <t>9 MIN, 19M, 2.5H</t>
  </si>
  <si>
    <t>HC FOR ANTI LEG</t>
  </si>
  <si>
    <t>25 apr 1240pm</t>
  </si>
  <si>
    <t>SCRATCH &gt; minimize loss (7,8 exit try)</t>
  </si>
  <si>
    <t>IR J24 NEECHE BUY KRNA H, IR SEP24 UPAR SELL KRNA H | TRY VAR PLAY TILL FRI WITH 10 LOTS X 2 | VAR J23 . 2,3 | S24 . 3,4</t>
  </si>
  <si>
    <t>BY MON EXIT ALL</t>
  </si>
  <si>
    <t>800 extra</t>
  </si>
  <si>
    <t>J24 6M FLY</t>
  </si>
  <si>
    <t>HC FOR ANTI LEG OF RZ</t>
  </si>
  <si>
    <t>J24 6M FLY (1)</t>
  </si>
  <si>
    <t>HC FOR ANTI LEG FOR RZ</t>
  </si>
  <si>
    <t>SCRACTH asap / reduce in 2nd session</t>
  </si>
  <si>
    <t>J24 3 x 50, S24 -5 x 50</t>
  </si>
  <si>
    <t>1200 extra</t>
  </si>
  <si>
    <t>RET + RZ</t>
  </si>
  <si>
    <t>via IR</t>
  </si>
  <si>
    <t>VAR1</t>
  </si>
  <si>
    <t>31 LEFT @ -7</t>
  </si>
  <si>
    <t>J25 IRYT</t>
  </si>
  <si>
    <t>450pm</t>
  </si>
  <si>
    <t>THU US GDP</t>
  </si>
  <si>
    <t xml:space="preserve">WED FED INT RATE | EMPTY GRID </t>
  </si>
  <si>
    <t>S24 SPD IR</t>
  </si>
  <si>
    <t>Trend temporary scalp + some spd exit (j24 as high exposure)</t>
  </si>
  <si>
    <t>EXITS ONLY AND SCALPING INTRADAY</t>
  </si>
  <si>
    <t>EMPTY GRID BY TUE 1ST SESSION</t>
  </si>
  <si>
    <t>2AM</t>
  </si>
  <si>
    <t>D24 SPD (1)</t>
  </si>
  <si>
    <t>TO HEDGE FRONT EXPOSURE</t>
  </si>
  <si>
    <t>S25 IR|YT</t>
  </si>
  <si>
    <t>convert to defly + reduce front exposure TO 75</t>
  </si>
  <si>
    <t>CONVERT PRESENT STRUCTURE INTO A FRONT DEFLY SHORT | WE NEED A DEFLY STRUCTURE</t>
  </si>
  <si>
    <t>SO PICK BEST PRICES | J24 S ABOVE AND S24 BUY BELOW AND D24 SELL ABOVE</t>
  </si>
  <si>
    <t>-125,375,-375,125</t>
  </si>
  <si>
    <t>AND THEN ADD MORE FROM MIDDLE LEG</t>
  </si>
  <si>
    <t>B J24 50, B S24 135, S D24 225</t>
  </si>
  <si>
    <t xml:space="preserve">BET AGAINST J24 FLY &gt;=10 </t>
  </si>
  <si>
    <t>defly short @ around 10</t>
  </si>
  <si>
    <t>GG &gt;&gt; GENIUS</t>
  </si>
  <si>
    <t>YOU ARE COOKING THE MARKETS</t>
  </si>
  <si>
    <t>US GDP QOQ (P3.4% F2.5% A1.6%)</t>
  </si>
  <si>
    <t>NO F WERE GIVEN</t>
  </si>
  <si>
    <t>US CORE PCE PRICES (P2% F3.4% A3.7%)</t>
  </si>
  <si>
    <t>MKT RESPECTED THIS 1 STAR EVENT (HAWKISH)</t>
  </si>
  <si>
    <t>HC QUANTUM</t>
  </si>
  <si>
    <t>in the money @ 9 for now</t>
  </si>
  <si>
    <t>REDUCE TO 60 LOTS BEFORE FED</t>
  </si>
  <si>
    <t>75 left | add 45 to this structure at best quantum wave prices | 61 left added 30 and 40 lot fly</t>
  </si>
  <si>
    <t>30 out so 60 s24 out</t>
  </si>
  <si>
    <t>PRICING IF HIKE COMES IN FRONT OR CUTS DISAPPEAR SPD WOULD GO POSITIVE</t>
  </si>
  <si>
    <t xml:space="preserve">HC </t>
  </si>
  <si>
    <t>STICKING WITH FLIES NOW</t>
  </si>
  <si>
    <t xml:space="preserve">scalping at 2 ticks onwards and consecutive scalping </t>
  </si>
  <si>
    <t>50 left | add 50 more</t>
  </si>
  <si>
    <t>50 s24 out</t>
  </si>
  <si>
    <t>10 LEFT EXIT ASAP @ 7 OR 8</t>
  </si>
  <si>
    <t>CONV TO DEFLY</t>
  </si>
  <si>
    <t>US GDP PRICE INDEX QOQ (P1.7% F3% A3.1%)</t>
  </si>
  <si>
    <t>Scalping aotc</t>
  </si>
  <si>
    <t>M25 IR|YT</t>
  </si>
  <si>
    <t>MANUAL EXIT</t>
  </si>
  <si>
    <t>NO TEDS | ONLY STRUCTURES N OUTRIGHTS</t>
  </si>
  <si>
    <t>J25 IR|YT</t>
  </si>
  <si>
    <t>FOR FLY</t>
  </si>
  <si>
    <t>219pm</t>
  </si>
  <si>
    <t>657am</t>
  </si>
  <si>
    <t>HC FOR RANGED SPD LEG</t>
  </si>
  <si>
    <t>99 left @ -1</t>
  </si>
  <si>
    <t>50 LEFT @ -1</t>
  </si>
  <si>
    <t>410am</t>
  </si>
  <si>
    <t>IB MAY24</t>
  </si>
  <si>
    <t>1 may, 6 may, 7 MAY</t>
  </si>
  <si>
    <t>reduce @ fomc</t>
  </si>
  <si>
    <t>can hold till expiry and then add on aug or jun if any trade available</t>
  </si>
  <si>
    <t>BOJ UNCHANGED</t>
  </si>
  <si>
    <t>IB JUN24</t>
  </si>
  <si>
    <t>Hawkish bias in mkt + rr</t>
  </si>
  <si>
    <t>1113am</t>
  </si>
  <si>
    <t>Pricing also makes no sense</t>
  </si>
  <si>
    <t>if this fails by 2 ticks pricing is BS hedge with s24 and avoid front contracts after that</t>
  </si>
  <si>
    <t xml:space="preserve">S24 SPD </t>
  </si>
  <si>
    <t>wrong algo</t>
  </si>
  <si>
    <t>1148AM</t>
  </si>
  <si>
    <t>US CORE PCE PRICE INDEX MOM MAR (P0.3% F0.3% A0.3%)</t>
  </si>
  <si>
    <t>US CORE PCE PRICE INDEX YOY (P2.8% F2.6 A2.8%)</t>
  </si>
  <si>
    <t>PCE PRICE INDEX MOM MAR (P0.3% F0.3% A0.3%)</t>
  </si>
  <si>
    <t>PCE PRICE INDEX YOY MAR (P2.5% F2.6%  A2.7%)</t>
  </si>
  <si>
    <t>538PM</t>
  </si>
  <si>
    <t>PRICING WISE POSITIVE IF HIKES IN FRONT</t>
  </si>
  <si>
    <t>J24 DEFLY SHORT / J24 FLY SHORT POSSIBLE</t>
  </si>
  <si>
    <t>11 x 40 lots and s24 0 40 lots</t>
  </si>
  <si>
    <t>EXTRA</t>
  </si>
  <si>
    <t>FRIDAY DONT BE AGGRESSIVE AND ATTACKING</t>
  </si>
  <si>
    <t>FOR FLY EXIT @ -2</t>
  </si>
  <si>
    <t>Scratch with tt stop</t>
  </si>
  <si>
    <t>HC + might be getting anti so hedged</t>
  </si>
  <si>
    <t>EXIT &lt;=5 or 6</t>
  </si>
  <si>
    <t>went ot 1 and 2 @ hit was available</t>
  </si>
  <si>
    <t>30 lots could have held longer @ 1,2</t>
  </si>
  <si>
    <t>COULD HAVE MADE 2000$ MORE</t>
  </si>
  <si>
    <t>i did my best</t>
  </si>
  <si>
    <t>u r lucky that u even got to exit b4 fed | morning session that seemed not possible</t>
  </si>
  <si>
    <t>29 apr 631am</t>
  </si>
  <si>
    <t>TT STOP @ 12 ASK CONDITION 2nd session</t>
  </si>
  <si>
    <t>11 x 40 lots</t>
  </si>
  <si>
    <t>J24 DEFLY | 61 left @ 9.7, 40 @ 8, 30 @ 5.7 | EXIT ALL BEFORE FOMC @ &lt;=5 (TOTAL 131)</t>
  </si>
  <si>
    <t xml:space="preserve">J24 11, S24 -1, D24 -8 (5) </t>
  </si>
  <si>
    <t>J24 12, S24 0, D24 -8 (4)</t>
  </si>
  <si>
    <t>D24 (-8,-9) S24 (-1,0) J24 (11,10) |  lots (50,50) (100,100) (50,50) @ eqbm then hit remaining according to mkt</t>
  </si>
  <si>
    <t>EXIT ALL BEFORE FED</t>
  </si>
  <si>
    <t>345PM</t>
  </si>
  <si>
    <t>AUD RETAIL SALES (P0.3% f0.2% a-0.4%)</t>
  </si>
  <si>
    <t>front spd went 4 ticks down, 2nd went 3 ticks down, ir s went 5-6 ticks up</t>
  </si>
  <si>
    <t>SHOULD HAVE SCALPED SOME LOTS AT LEAST OF S24 SPD -4</t>
  </si>
  <si>
    <t>WRONG</t>
  </si>
  <si>
    <t>1109am</t>
  </si>
  <si>
    <t>Scalping / RET | var 3 (maybe)</t>
  </si>
  <si>
    <t xml:space="preserve">EXITING QUOTED </t>
  </si>
  <si>
    <t>LEARNINGS / OBSERVATIONS</t>
  </si>
  <si>
    <t xml:space="preserve">REALLY GOOD HEDGING ENTRIES OR STRATS </t>
  </si>
  <si>
    <t xml:space="preserve">LET SOME LOTS JUST RUN AND TRY TO EXIT ON HIT </t>
  </si>
  <si>
    <t>DID SCALPING WHILE IN THE TREND MUCH BETTER (MADE 1280$ EXTRA)</t>
  </si>
  <si>
    <t xml:space="preserve">COULD HAVE MADE 2000$ EXTRA BUT THAT IS ALWAYS POSSIBLE </t>
  </si>
  <si>
    <t xml:space="preserve">Trade some of the times (not like a job, but like when investing) with heavy lots, have some reserves for those trades and those times | like Value investing </t>
  </si>
  <si>
    <t>USE TT STOP TO ENTER NEW TRADES TO MAKE AGGRESSIVE FLIES IF FULL CLIP (NOT LOTS) NOT REACHED</t>
  </si>
  <si>
    <t>SUBAH 230 SE 5 BJE AGAR NAHI BAITHE TOH TO NAHI BANNE PAISE - ANKIT</t>
  </si>
  <si>
    <t>YOU CAN'T CONTROL INCOME | BUT YOU CAN CONTROL EXPENSES</t>
  </si>
  <si>
    <t>If strats not workimg take a timeout of onesession by carrying only strategies</t>
  </si>
  <si>
    <t>May 24 live</t>
  </si>
  <si>
    <t>MAY.24</t>
  </si>
  <si>
    <r>
      <rPr>
        <b/>
        <sz val="10"/>
        <color rgb="FF000000"/>
        <rFont val="Calibri"/>
      </rPr>
      <t xml:space="preserve">HL75 | TOTAL 120 front (100, 100) or (200, 200) in middle leg if fly trade; else if fly as backup then (60,60) or (40, 40, 40) (30, 30, 60)  | belly (60,60) back (90, 30) | </t>
    </r>
    <r>
      <rPr>
        <sz val="10"/>
        <color rgb="FF000000"/>
        <rFont val="Calibri"/>
      </rPr>
      <t xml:space="preserve">2nd entry onwards keep hedging </t>
    </r>
  </si>
  <si>
    <t>HEDGED FLY / COMBOS / DEFLIES | 150 (FULL CLIP) max lots</t>
  </si>
  <si>
    <t>RED FLY | 150, 150</t>
  </si>
  <si>
    <t>FRONT 3-4 IRS BEHAVING LIKE ACTIVE BELLY FRON LAST YEAR</t>
  </si>
  <si>
    <t>TARGET ORDERS MAT LAGAO, BAS HEDGE KARO YA SL DEFINE KARO | could not follow it b4 fed meeting!</t>
  </si>
  <si>
    <t xml:space="preserve">NEW SYSTEM NOW </t>
  </si>
  <si>
    <t xml:space="preserve">NEW LEVELS MIGHT FORM SO TRADE AFTERWARDS </t>
  </si>
  <si>
    <t>ONLY BALANCED LOTS</t>
  </si>
  <si>
    <t>FRI UE AND NFP</t>
  </si>
  <si>
    <t>NO TRADING @ FED IN FRONT SPD or front any contract</t>
  </si>
  <si>
    <t xml:space="preserve">VAR PLAYS BUT B LOTS NOT A OR UA FROM 2ND SPD ONWARDS </t>
  </si>
  <si>
    <t>S24 IS BEHAVING TRICKY (careful)</t>
  </si>
  <si>
    <t>enter from structure only and scalp later around it</t>
  </si>
  <si>
    <t>NO TEDS OR BOND TRADES</t>
  </si>
  <si>
    <t>TRADE AFTER THE THEME CHANGING EVENT</t>
  </si>
  <si>
    <t>(A) DEFLIES 300 LOTS | so go full clip (200)</t>
  </si>
  <si>
    <t>(A) RANGED 150 so (front3 75,75 | belly 100,50 | back 150)</t>
  </si>
  <si>
    <t xml:space="preserve">ASE TEDS 2 </t>
  </si>
  <si>
    <t>XT EVENT 3,..,3 IF HIGH VOLATILITY EXPECTED THEN 2,..,2,..2</t>
  </si>
  <si>
    <t>TOTAL SHOULD TOUCH 6 NOW FOR XT</t>
  </si>
  <si>
    <t>(A) HL75 200 SO FRONTS (100,.,100) BELLY 100,100, BACKS 200</t>
  </si>
  <si>
    <t>LGAP (180) SO W 90,90 | R 180</t>
  </si>
  <si>
    <t>FLY/DEFLIES ONLY FIRST THEN SCALPING AROUND THEM</t>
  </si>
  <si>
    <t>US FED INT RATE UNCHANGED</t>
  </si>
  <si>
    <t>GOING FORWARD IMP</t>
  </si>
  <si>
    <t>USE ASE TO PLACE ORDERS AT PRICE</t>
  </si>
  <si>
    <t xml:space="preserve">CHECK WITH LOTS AS PER STRAT AND MKT STATE </t>
  </si>
  <si>
    <t>ENTRY FROM STRUCTURE SIDE</t>
  </si>
  <si>
    <t>S24 FLY S @ 5 OR 6 OR DEFLY @ 5 OR 6</t>
  </si>
  <si>
    <t>US NFP (P315K F238K A175K)</t>
  </si>
  <si>
    <t>REVISIONS WERE HAWKISH</t>
  </si>
  <si>
    <t>yt 10 ticks moved | reds ir 9 ticks</t>
  </si>
  <si>
    <t>US UE (P3.8% F3.8% A3.95)</t>
  </si>
  <si>
    <t>AVG HOURLY EARNINGS (P0.3% F0.4% A0.2%)</t>
  </si>
  <si>
    <t>6 may 940am</t>
  </si>
  <si>
    <t>SZ LGAP</t>
  </si>
  <si>
    <t>734PM</t>
  </si>
  <si>
    <t>BOTTOM</t>
  </si>
  <si>
    <t>SZ LGAP (40)</t>
  </si>
  <si>
    <t>FLY EXIT (60 LOTS  REMAINING 40)</t>
  </si>
  <si>
    <t>716pm</t>
  </si>
  <si>
    <t>this was a gift from mkt</t>
  </si>
  <si>
    <t>next time forget that gift if you want to protect that gift</t>
  </si>
  <si>
    <t>ISM NMFG PMI (APR) (P51.4 F52 A49.4)</t>
  </si>
  <si>
    <t>HIGH DOVE</t>
  </si>
  <si>
    <t>ISM NMFG PRICES (P53.4 F55 A59.2)</t>
  </si>
  <si>
    <t>ULTRA HAWK</t>
  </si>
  <si>
    <t>RBA</t>
  </si>
  <si>
    <t xml:space="preserve">WAIT FOR 1 HR FOR THE SOMP AND PRESSER TO ADD MORE POSITIONS </t>
  </si>
  <si>
    <t>ONLY 50% OF FULL CLIP B4 11AM</t>
  </si>
  <si>
    <t>THEME CHANGING EVENT SO (B) LOTS</t>
  </si>
  <si>
    <t xml:space="preserve">look at somp and then make changes </t>
  </si>
  <si>
    <t>50,50,50 shots for any front fly or defly</t>
  </si>
  <si>
    <t>missed j24 defly long @ 1 (Awesome)</t>
  </si>
  <si>
    <t>RBA INT RATE (4.35%) | 2 meeting pauses now, CPI 4.1%</t>
  </si>
  <si>
    <t>NEED MARGIN FOR RBA DAY</t>
  </si>
  <si>
    <t>REDUCE LOTS AND INCREASE THE GAPS OF ENTRIES FOR STRUCTURES ONLY</t>
  </si>
  <si>
    <t xml:space="preserve">RBA STATEMENT + SOMP + PRESSER IMPORTANT </t>
  </si>
  <si>
    <t>ALERT AFTER 9AM</t>
  </si>
  <si>
    <t>Not the time to make structures but to hit them</t>
  </si>
  <si>
    <t>207pm</t>
  </si>
  <si>
    <t>less downside</t>
  </si>
  <si>
    <t>SZ</t>
  </si>
  <si>
    <t>HC + cs to cf</t>
  </si>
  <si>
    <t xml:space="preserve">add more @ -2 </t>
  </si>
  <si>
    <t>OKAY</t>
  </si>
  <si>
    <t>NEED 50 OR 60 IN D24 -10</t>
  </si>
  <si>
    <t>BULLOCK: IF SERVICES INFLATION GETS STUCK, WILL NEED TO ACT</t>
  </si>
  <si>
    <t>4w</t>
  </si>
  <si>
    <t>55 left</t>
  </si>
  <si>
    <t>S24 FLY (3) -&gt;</t>
  </si>
  <si>
    <t>WAY ABOVE RZ</t>
  </si>
  <si>
    <t xml:space="preserve">FLY   </t>
  </si>
  <si>
    <t>1135AM</t>
  </si>
  <si>
    <t>75 LOT FLY @ -3</t>
  </si>
  <si>
    <t>1154AM</t>
  </si>
  <si>
    <t>1155AM</t>
  </si>
  <si>
    <t>S24 DEFLY (2)</t>
  </si>
  <si>
    <t>20 left</t>
  </si>
  <si>
    <t>510pm</t>
  </si>
  <si>
    <t>sz</t>
  </si>
  <si>
    <t>defly + hc</t>
  </si>
  <si>
    <t>whole month</t>
  </si>
  <si>
    <t>IR 4,5 TICKS UPAR NEECHE ORDERS LAGA DO 25 LOTS FOR SCALPING OR FLY / SPD MAKING</t>
  </si>
  <si>
    <t>IR leg for 2nd spd 16m, 30m</t>
  </si>
  <si>
    <t>BACKUPS: TED HIT, M26 IR HIT FOR SPD @ -4 (@ SZ)</t>
  </si>
  <si>
    <t>60 left</t>
  </si>
  <si>
    <t>rz</t>
  </si>
  <si>
    <t>IR S25</t>
  </si>
  <si>
    <t xml:space="preserve">TRIED SPD FOR FLY </t>
  </si>
  <si>
    <t>RANGED VAR 4,5 SE HI ENTRY LENA NA KI EQBM</t>
  </si>
  <si>
    <t xml:space="preserve">IR EXECUTION: ENTER FROM VAR 4,5 + HAVE TED BACKUP READY + TRADE ACTIVELY (BETTER IN THE MORNING HOURS OR MAX 1 HOUR) + </t>
  </si>
  <si>
    <t>DEFLY LEG remove and add s24 fly @ 7 short more the same amt</t>
  </si>
  <si>
    <t xml:space="preserve">LEGGED </t>
  </si>
  <si>
    <t>SCRATCH</t>
  </si>
  <si>
    <t>1030AM</t>
  </si>
  <si>
    <t>30,30,45 orders</t>
  </si>
  <si>
    <t>150PM</t>
  </si>
  <si>
    <t>735PM</t>
  </si>
  <si>
    <t>scalping friyay (-2 s24, -10, d24)</t>
  </si>
  <si>
    <t>2ND SESSION MONDAY EXIT @ 1 TICK POSSIBLE</t>
  </si>
  <si>
    <t>MIGHT NEED TO HOLD FULL MONDAY</t>
  </si>
  <si>
    <t>BELEIVE IN THE FRIYAY</t>
  </si>
  <si>
    <t>tue us ppi | hl 75 (b), RET var 4</t>
  </si>
  <si>
    <t xml:space="preserve">wed us cpi | lgap, could be theme changing, xt momentum (all B) </t>
  </si>
  <si>
    <t>thu labour data, lgap, ghost or momentum based on pre set levels</t>
  </si>
  <si>
    <t>VAR 6MS</t>
  </si>
  <si>
    <t>J24 G 4,3 R 3,3 | 4 ALL CASES MUST | HL85 5,4</t>
  </si>
  <si>
    <t>S24 G4,3 R3,2 | HL85 3,2 | 3 ALL CASES MUST</t>
  </si>
  <si>
    <t>D24 2,2 | HL85 2,2</t>
  </si>
  <si>
    <t>M25 2,1</t>
  </si>
  <si>
    <t>J25,S25,D25 2</t>
  </si>
  <si>
    <t>J24 SPD (3)</t>
  </si>
  <si>
    <t xml:space="preserve">SCALPING </t>
  </si>
  <si>
    <t>FLY @ 8 FOR DEFLY @ 1 + ratio with 3x s24 fly short</t>
  </si>
  <si>
    <t>453am</t>
  </si>
  <si>
    <t>SCALPING, VAR4</t>
  </si>
  <si>
    <t>SPD @ -6</t>
  </si>
  <si>
    <t>620AM</t>
  </si>
  <si>
    <t>ALWAYS ENTER FOR SCALPING IN THE DIRECTION OF A REQUIRED SPD AND HAVE BACKUPS AS SPD OR TED</t>
  </si>
  <si>
    <t>TED BACKUP</t>
  </si>
  <si>
    <t>US PPI MOM APR (P0.2% -&gt; -0.1% F0.3% A0.5%)</t>
  </si>
  <si>
    <t>DOVISH REVISIONS | HAWKISH DATA</t>
  </si>
  <si>
    <t>DOVISH REVISIONS</t>
  </si>
  <si>
    <t>IR 6,8 TICKS</t>
  </si>
  <si>
    <t>US CORE PPI MOM (P0.2% -&gt; -0.1% F02% A0.5%)</t>
  </si>
  <si>
    <t>SCALPING, VAR2</t>
  </si>
  <si>
    <t>27m</t>
  </si>
  <si>
    <t>627pm</t>
  </si>
  <si>
    <t>322pm</t>
  </si>
  <si>
    <t xml:space="preserve">SCALPING + SZ </t>
  </si>
  <si>
    <t>5h40m</t>
  </si>
  <si>
    <t>WPI QOQ (P1% F1% A0.8%)</t>
  </si>
  <si>
    <t>WPI YOY (P0.9% F4.2% A4.1%)</t>
  </si>
  <si>
    <t>sxalping</t>
  </si>
  <si>
    <t>538pm</t>
  </si>
  <si>
    <t>exit b4 cpi</t>
  </si>
  <si>
    <t>SCALPING, VAR4 + BUT DURING DATA SO LESSER ODDS</t>
  </si>
  <si>
    <t>TIMEOUT AFTER THIS WEEK | MUST</t>
  </si>
  <si>
    <t>LGAP 75, HEDGED FLY 200 (OR 150,50)</t>
  </si>
  <si>
    <t>WHY DID I NOT TIMEOUT</t>
  </si>
  <si>
    <t>US CORE CPI MOM APR (P0.4% F0.3% A0.3%)</t>
  </si>
  <si>
    <t>US CORE CPI YOY (P3.8% F3.6% A3.6%)</t>
  </si>
  <si>
    <t>US CPI YOY (P3.5% F3.4% A3.4%)</t>
  </si>
  <si>
    <t>US CPI MOM (P0.4% F0.4% A0.3%)</t>
  </si>
  <si>
    <t>US CORE RETAIL SALES MOM APR (P1.1% -&gt; 0.9%  F0.2% A0.2%)</t>
  </si>
  <si>
    <t>US RETAIL SALES MOM (P0.7% -&gt; 0.6% F0.4% A0%)</t>
  </si>
  <si>
    <t>614pm</t>
  </si>
  <si>
    <t>1h, 18h</t>
  </si>
  <si>
    <t>could have been reduced though</t>
  </si>
  <si>
    <t>AUD EMP CHANGE (P-8.6K F22.4K A38K)</t>
  </si>
  <si>
    <t>AUD UE RATE (P3.8% -&gt; 3.9% F3.9% A4.1%)</t>
  </si>
  <si>
    <t xml:space="preserve"> SZ </t>
  </si>
  <si>
    <t>OK</t>
  </si>
  <si>
    <t>phew</t>
  </si>
  <si>
    <t>IR M26</t>
  </si>
  <si>
    <t>VAR4 +RANGED</t>
  </si>
  <si>
    <t>ranged 3ms: J24 50,70 | S24 100,100 | D24 100 | M25 - D25 150</t>
  </si>
  <si>
    <t>ranged 6ms: J24 40,60 | S24 80,80 | D24-S25: 75,75</t>
  </si>
  <si>
    <t>SCALPING FRIYAY</t>
  </si>
  <si>
    <t>ADD AT-0.18</t>
  </si>
  <si>
    <t>754pm</t>
  </si>
  <si>
    <t>take j25 b 150 @ -9 for fly @ -3</t>
  </si>
  <si>
    <t>ADD @ -14 AS WELL</t>
  </si>
  <si>
    <t>MADE FLY</t>
  </si>
  <si>
    <t>M25 SPD -11 X 5 FOR DEFLY EXIT @ 3 AND -11 X 40 FOR FLY EXIT @ -2</t>
  </si>
  <si>
    <t>WED RBNZ</t>
  </si>
  <si>
    <t>Scalping vr4</t>
  </si>
  <si>
    <t>1 session</t>
  </si>
  <si>
    <t>932am</t>
  </si>
  <si>
    <t>could have done 2 irs | leave the sides for hedging but take the next one</t>
  </si>
  <si>
    <t>SCALPING dead</t>
  </si>
  <si>
    <t>1136am</t>
  </si>
  <si>
    <t>should have taken 100</t>
  </si>
  <si>
    <t>2 session</t>
  </si>
  <si>
    <t>D24 6M PD</t>
  </si>
  <si>
    <t>SCALPING DEAD</t>
  </si>
  <si>
    <t>3pm</t>
  </si>
  <si>
    <t>extra short somehow</t>
  </si>
  <si>
    <t>J25 FLY (1) -&gt; ()</t>
  </si>
  <si>
    <t>SZ -3,-4</t>
  </si>
  <si>
    <t>hc + cs to cf | net hawk or less cuts later</t>
  </si>
  <si>
    <t>3 jun 748pm, 4 jun, 6 jun</t>
  </si>
  <si>
    <t>EXIT VIA 6MS</t>
  </si>
  <si>
    <t>EXIT 15 VIA IR VAR4 SCALPING + TED BACKUP WITH TT STOP AT SCRATCHABLE TED | exit via eqbm 10</t>
  </si>
  <si>
    <t>50 left</t>
  </si>
  <si>
    <t>try re-entry while exiting red flies -3 to -2 x 2 and then -2 to 3 x 2</t>
  </si>
  <si>
    <t>IR VAR: 40 LOTS</t>
  </si>
  <si>
    <t>VAR SPD 100,100</t>
  </si>
  <si>
    <t>D SCALP 70</t>
  </si>
  <si>
    <t>TUE AUD RETAIL SALES</t>
  </si>
  <si>
    <t>WED AUD MONTHLY INFLATION INDICATOR</t>
  </si>
  <si>
    <t>VAR4 -&gt; b/o</t>
  </si>
  <si>
    <t>60 ticks lost extra</t>
  </si>
  <si>
    <t>HARD SL @ 2TICKS FOR 1 ORDER MUST</t>
  </si>
  <si>
    <t>480$ extra</t>
  </si>
  <si>
    <t>3520$ extra</t>
  </si>
  <si>
    <t>hedge with yt during these times</t>
  </si>
  <si>
    <t>recoverable</t>
  </si>
  <si>
    <t>EXTRA 100 TICKS</t>
  </si>
  <si>
    <t>640$ extra</t>
  </si>
  <si>
    <t>IR EXECUTION: VAR4 SCALPING FOR whitesFRONT 4 except 1st ir</t>
  </si>
  <si>
    <t>1025AM</t>
  </si>
  <si>
    <t>60 ticks extra</t>
  </si>
  <si>
    <t>IR EXECUTION: D24, M25 VAR 3,4</t>
  </si>
  <si>
    <t>J25,S25,D25 VAR4,5</t>
  </si>
  <si>
    <t>OUTRIGHT HEDGE TO MINIMIZE LOSSES</t>
  </si>
  <si>
    <t>-21to save 1 x 30 tick</t>
  </si>
  <si>
    <t>try outright exit 15,15 lots</t>
  </si>
  <si>
    <t>1920$ extra</t>
  </si>
  <si>
    <t>IR D25(1)</t>
  </si>
  <si>
    <t>EXIT AT RANGES</t>
  </si>
  <si>
    <t>SELL AT VAR 4</t>
  </si>
  <si>
    <t>15, 15 or 10,10, 10</t>
  </si>
  <si>
    <t>IR EXECUTION: JAISE FLY YA DEFLY BANANE KE LIYE ORDERS LAGATE THE SPD ME WAISE IR ME LAGAO FOR SPD AND FLY</t>
  </si>
  <si>
    <t>ir execution: alternate orders not consecutive</t>
  </si>
  <si>
    <t>YT JUN24 (1)</t>
  </si>
  <si>
    <t>HEDGE FOR OUTRIGHTS (1 X 30)</t>
  </si>
  <si>
    <t>BUY AT VAR 4</t>
  </si>
  <si>
    <t>12, 12 or 8, 8 ,8</t>
  </si>
  <si>
    <t>ir execution: spds or teds ke entry se lagaenge orders var 3,4,5 pe naki scalping ke liye | in this manner might be able to take 2 ticks from scalping as well</t>
  </si>
  <si>
    <t>bonds are scratchable | var + hl days</t>
  </si>
  <si>
    <t>24,24</t>
  </si>
  <si>
    <t>UK CPI YOY APR (P3.2% F2.1% A2.3%)</t>
  </si>
  <si>
    <t>IR MISTAKE WAS FACTOR OF INCREMENT FOR IR WAS WRONG AND AGGRESSIVE</t>
  </si>
  <si>
    <t>WENT FROM 10,15,20 TO 30</t>
  </si>
  <si>
    <t>UK CPI MOM (P0.6% F0.2% A0.3%)</t>
  </si>
  <si>
    <t>&lt;=-1</t>
  </si>
  <si>
    <t>exit b4 pmi on fri 1st session</t>
  </si>
  <si>
    <t>NEXT SESSION</t>
  </si>
  <si>
    <t>at least 2 ticks exit</t>
  </si>
  <si>
    <t>AVOID FRONT SPD retracement trades</t>
  </si>
  <si>
    <t>hawkish decent</t>
  </si>
  <si>
    <t>ok</t>
  </si>
  <si>
    <t>VAR2</t>
  </si>
  <si>
    <t>fly @ 6/ COULDNT SO TRY TO SCRATCH LATER</t>
  </si>
  <si>
    <t>hold till tue</t>
  </si>
  <si>
    <t>make fly | easier to scratch by holding this structure longer</t>
  </si>
  <si>
    <t>AVERAGE @ -11</t>
  </si>
  <si>
    <t>scratch b4 pmi. done</t>
  </si>
  <si>
    <t>sudden theme change</t>
  </si>
  <si>
    <t>NO NEGATIVE AVERAGING</t>
  </si>
  <si>
    <t>EXIT S24 LEG @ -3 HOLD D24 -10 AS THAT ONE IS SCRATCHABLE</t>
  </si>
  <si>
    <t>REDUCE 50% ADD DOUBLE @ -11 FOR SCALPING AND -13 NEW LONG | REPEAT</t>
  </si>
  <si>
    <t>first recover from strats that work : lgap in events in spds, hedged combos</t>
  </si>
  <si>
    <t xml:space="preserve">ONLY FLIES TILL MONTH END </t>
  </si>
  <si>
    <t>ONLY 3rd IR SCALPING 30,30 VAR 3,4</t>
  </si>
  <si>
    <t>EMPTY GRID BEFORE RBA MEETING THIS TIME</t>
  </si>
  <si>
    <t>FRONT SPD ONLY FOR DEFLY</t>
  </si>
  <si>
    <t>NO 1ST 2 6MS</t>
  </si>
  <si>
    <t>REDUCE EVERYTHING NO NEGATIVE AVERAGING</t>
  </si>
  <si>
    <t>add @ 18 only 100 lots</t>
  </si>
  <si>
    <t xml:space="preserve">no negative averaging </t>
  </si>
  <si>
    <t>add @ -18 X 120</t>
  </si>
  <si>
    <t>CAN MAKE FLY @ -3 B</t>
  </si>
  <si>
    <t>add @ -10 then make fly @ -3</t>
  </si>
  <si>
    <t>hold full month</t>
  </si>
  <si>
    <t>NOT A VERY CLEAR IDEA ABOUT WHAT IS HAPPENING</t>
  </si>
  <si>
    <t>D LOT SIZE | SCALE DOWN</t>
  </si>
  <si>
    <t>120 ticks extra gone</t>
  </si>
  <si>
    <t>120 lot ka back scalping have to do extra</t>
  </si>
  <si>
    <t xml:space="preserve">reds 120 lots take extra any fly or 60 lots 2 times extra </t>
  </si>
  <si>
    <t xml:space="preserve">so REDS FLY 210 LOTS </t>
  </si>
  <si>
    <t>HEDGING IR</t>
  </si>
  <si>
    <t xml:space="preserve">TIME TO MINIMIZE LOSSES AGAIN ONLY </t>
  </si>
  <si>
    <t>just see the downside of any trade and try to minimize losses</t>
  </si>
  <si>
    <t>642am</t>
  </si>
  <si>
    <t>BELLY BACK KE RANGES ME 120 LOT SCALPING</t>
  </si>
  <si>
    <t>FLIES ORDERS 120 LOT</t>
  </si>
  <si>
    <t>need to make 3.5k extra</t>
  </si>
  <si>
    <t>120 lots fly * 2 ticks or 2 times 1 tick</t>
  </si>
  <si>
    <t>LGAP 120</t>
  </si>
  <si>
    <t>HC DURING TOUGH TIMES + cs to cf | net hawk</t>
  </si>
  <si>
    <t>ADD @ -3 100</t>
  </si>
  <si>
    <t xml:space="preserve">until profit of 2 ticks (&gt;=0) </t>
  </si>
  <si>
    <t>POSSIBLY NEAR RBA MEETING MIHT GO UP</t>
  </si>
  <si>
    <t>45 LEFT</t>
  </si>
  <si>
    <t>SCALPING + SZ (DOWNSIDE OF 2 TICKS)</t>
  </si>
  <si>
    <t>ADD 100 @ -18</t>
  </si>
  <si>
    <t>too much exposure everywhere</t>
  </si>
  <si>
    <t>LAST S24 6M SPD TRADE | NOT WORKING ANYMORE| INTRADAY</t>
  </si>
  <si>
    <t>EXITS ONLY AND REDUCE BY TUE</t>
  </si>
  <si>
    <t>AND THEN TIMEOUT (STRICT) CONSIDER THIS AN ACCOUNT STOP</t>
  </si>
  <si>
    <t xml:space="preserve">TAKE A WHOLE WEEK OFF </t>
  </si>
  <si>
    <t>FRONT IR (EXCEPT 1ST ONE) PRICE MAKING TRADES OF SPDS (LIKE FLIES WITH SPDS) AND FLY (LIKE DEFLIES WITH SPDS) USING VAR</t>
  </si>
  <si>
    <t>STOP 6MS AS NOTHING IS RANGEBOUND ANYMORE</t>
  </si>
  <si>
    <t>ONLY DEFLIES AND BACK FLIES</t>
  </si>
  <si>
    <t>US S&amp;P GLOBAL MANUFACTURING PMI MAY (P51.3 F51.2 A54.8)</t>
  </si>
  <si>
    <t>VERY DECENT HAWKISH DATA</t>
  </si>
  <si>
    <t>US GLOBAL COMPOSITE PMI (P51.3 F51.1 A54.8)</t>
  </si>
  <si>
    <t>S&amp;P GLOBAL SERVICES PMI (P51.3 F51.2 A54.8)</t>
  </si>
  <si>
    <t>RETRACEMENT TRYING AGAINST HAWKISH DATA</t>
  </si>
  <si>
    <t>S24 6MS -13</t>
  </si>
  <si>
    <t>fail</t>
  </si>
  <si>
    <t>S24 6MS -11</t>
  </si>
  <si>
    <t>D24 6MS -20</t>
  </si>
  <si>
    <t>extra lots (50% extra)</t>
  </si>
  <si>
    <t>extra trade due to 6ms</t>
  </si>
  <si>
    <t>OVERSIZED</t>
  </si>
  <si>
    <t>SHOULD HAVE BEEN 70,70 INSTEAD 120</t>
  </si>
  <si>
    <t>SO 50 LOTS EXTRA  (800$)</t>
  </si>
  <si>
    <t>D24 FLY (1) + (2)+ (3)</t>
  </si>
  <si>
    <t>HC SZ cs to cf | net dove or more cuts</t>
  </si>
  <si>
    <t>REDUCE 50% ASAP</t>
  </si>
  <si>
    <t>85 left</t>
  </si>
  <si>
    <t>D24 ALL OUT | M25 B -10 LEFT X 85</t>
  </si>
  <si>
    <t xml:space="preserve">ACCOUNT STOP AND NO TRADING FOR WHOLE WEEK ONLY DEFENSIVE LOTS </t>
  </si>
  <si>
    <t>DEFLIES (A)</t>
  </si>
  <si>
    <t>only deflies</t>
  </si>
  <si>
    <t>0 TRADES DAYS</t>
  </si>
  <si>
    <t>(b) lots</t>
  </si>
  <si>
    <t>CAPPING SOME AMT AND FORGETTING ABOUT IT IS BEST</t>
  </si>
  <si>
    <t>MISTAKES</t>
  </si>
  <si>
    <t>THERE WAS NO STRUCTURE TO PLAY AROUND| ALWAYS HAVE A BALANCED STRUCTURE (COMBO FLY OR DEFLY)</t>
  </si>
  <si>
    <t>LOT SIZING WAS WRONG MAX CLIPS HAVE BEEN REACHED FOR FLIES, DEFLIES AND SPDS | JUST HAVE BALANCED APPROACH NEXT TIME</t>
  </si>
  <si>
    <t>THEN TRY RANGEBOUND WITH REMAING LOTS LIMIT</t>
  </si>
  <si>
    <t>HAVE MORE BALANCE FIRST BEFORE TRYING RANGED OR FAST PROFITS</t>
  </si>
  <si>
    <t>ALTHOUGH DID GO A/UA AND UNFORTUNATELY TRADES FAILED | LOST EXTRA THEREFORE</t>
  </si>
  <si>
    <t>STRUCTURE FIRST, THEN SCALP</t>
  </si>
  <si>
    <t>CURRENT MKT GREATER THAN 1 TICK TRADES ONLY</t>
  </si>
  <si>
    <t>HAVE MKT NEUTRAL TRADES J.S</t>
  </si>
  <si>
    <t>1018AM</t>
  </si>
  <si>
    <t xml:space="preserve">J25 SPD </t>
  </si>
  <si>
    <t>net cuts later</t>
  </si>
  <si>
    <t>29 may 840am</t>
  </si>
  <si>
    <t>MAKE JUN24 DEFLY B</t>
  </si>
  <si>
    <t xml:space="preserve">J24 FLY </t>
  </si>
  <si>
    <t>MAKE DEFLY</t>
  </si>
  <si>
    <t>reduce all trades before tue if possible</t>
  </si>
  <si>
    <t>DOWNSIDE LESS</t>
  </si>
  <si>
    <t>IF -11 STARTS TO BREAK | NOT HARD SL HERE</t>
  </si>
  <si>
    <t>29 MAY 425AM</t>
  </si>
  <si>
    <t>WED AUD MONTHLY CPI INDICATOR</t>
  </si>
  <si>
    <t>FRI US PCE, CAD GDP</t>
  </si>
  <si>
    <t>scalping continue @ 1 or 0 if not @ 1 possible</t>
  </si>
  <si>
    <t>NEXT ENTRY @ -4 (NOT -3)</t>
  </si>
  <si>
    <t>this week</t>
  </si>
  <si>
    <t>29 may 615am</t>
  </si>
  <si>
    <t>ONLY EXITS THE ONES THAT ARE IN FAVOUR FOR THE DAY NOT SESSION SO CHEK THE WHOLE WEEK</t>
  </si>
  <si>
    <t>ONLY EXIT ORDERS SHOULD BE PLACED</t>
  </si>
  <si>
    <t>REDUCE REDUCE REDUCE WHENEVER POSSIBLE</t>
  </si>
  <si>
    <t>no hedges left just reduce all</t>
  </si>
  <si>
    <t>get out of j24 leg and enter a separate s24 fly</t>
  </si>
  <si>
    <t>FLY FOR DEFLY @ -1</t>
  </si>
  <si>
    <t>NEED D24 @ -7 AND -8</t>
  </si>
  <si>
    <t>1 BIG PLAYER FLIPPING THE PRICES</t>
  </si>
  <si>
    <t>SURVIVE</t>
  </si>
  <si>
    <t>RUN WITH WOLVES THEY EAT YOU</t>
  </si>
  <si>
    <t>only curve trades now structures + mkt neutral</t>
  </si>
  <si>
    <t>ANY OTHER TRADES AVOID NOW</t>
  </si>
  <si>
    <t>have money for your strategies</t>
  </si>
  <si>
    <t>take whole trimester to make 30k (MAY, JUN, JUL, AUG) | USING ONLY DEFLIES STRATEGIES WHERE AT LEAST 3 TICKS AVAILABLE</t>
  </si>
  <si>
    <t>dont listen to sir or anyone</t>
  </si>
  <si>
    <t>WHATS NEXTAFTER THIS CYCLE (MAY END)</t>
  </si>
  <si>
    <t>DEFLIES 100,100 LOTS | ENTRY FROM WHEREVER &gt;=3 TICKS POSSIBLE, (total 200 ticks has to be there with a downside of 2 ticks max)| use ASE FOR BETTER PRICES ENTRY AS PER MKT</t>
  </si>
  <si>
    <t>RANGED 70,70 | 2 ENTRIES BUT NEVER AT CONSECUTIVE SPD</t>
  </si>
  <si>
    <t>IR EXECUTION : ENTRY FROM SPD PRICES FOR FLIES | BACKUP AS TED HIT IF 2ND ORDER IS FILLED, USE 15,15 after capping 10k</t>
  </si>
  <si>
    <t>LOT SIZING IR EXECUTION MAX 18 SO 15 SINCE WE NEED MULTIPLE OF 5 FOR TED BACKUP</t>
  </si>
  <si>
    <t>YOU WILL HAVE 5K LEFT</t>
  </si>
  <si>
    <t>SO ONLY FRONT DEFLIES WITH 100,100 + REDS 3MS 150 with BACKUP as FLY  (scalping around the structures) + LGAP @ var 75,75 during events intraday so hedge or scalp</t>
  </si>
  <si>
    <t>NO 6MS, IR EXECUTION WHOLE NEXT 2 MONTHS OR CAP +10K IN A SESSION</t>
  </si>
  <si>
    <t>WILL TAKE 2-3 MONTHS TO RECOVER SAFELY</t>
  </si>
  <si>
    <t>JUN, JUL, AUG THIS IS THE PLAN</t>
  </si>
  <si>
    <t>this should provide avg 10k/month so if you continue till 6 month you will make 50k</t>
  </si>
  <si>
    <t>MAY.24 after disaster</t>
  </si>
  <si>
    <t>REMEMBER</t>
  </si>
  <si>
    <t>AVOID: NO 6MS, IR EXECUTION WHOLE NEXT 2 MONTHS (IF NEEDED WITH 15 LOTS ONE ENTRY AND BE SELECTIVE NOT ALL IR)</t>
  </si>
  <si>
    <t xml:space="preserve">TRY THIS NEXT TIME IF RANGE BREAKS </t>
  </si>
  <si>
    <t>HIT IR WITH 20 LOTS IF RANGE IS NOT BREAKING THEN TED ELSE 4 TICKS BOOK</t>
  </si>
  <si>
    <t>EMPTY GRID B4 RBA 18 JUN</t>
  </si>
  <si>
    <t xml:space="preserve">ALL THIS WAS VERY UNFORTUNATE </t>
  </si>
  <si>
    <t>NEED TO LEAVE THIS JOB AFTER THIS YEAR SURELY</t>
  </si>
  <si>
    <t>I WANT TO TAKE A LOSER AND TAKE IT</t>
  </si>
  <si>
    <t>UNCOMFORTABLE</t>
  </si>
  <si>
    <t>MY JOB IS TO MINIMIZE LOSSES</t>
  </si>
  <si>
    <t>NEVER LOSE MORE THAN WHAT YOU SHOULD LOSE IN THE TRADE</t>
  </si>
  <si>
    <t>WHEN YOUR TRADE IS LOSING, TAKE THE LOSS AT THAT PRICE | THATS THE JOB</t>
  </si>
  <si>
    <t xml:space="preserve">MINIMIZE THE LOSERS QUICKLY </t>
  </si>
  <si>
    <t>MKT NEUTRAL DEFLIES ONLY WITH 100 LOTS AND SCALP TO MAKE THE DEFLY BETTER WITH 60 LOTS ELSE SCRATCH OR 1 TICK LOSS</t>
  </si>
  <si>
    <t>ADD 2 TIMES TO MAKE 200 LOT DEFLY AT THE SAME PRICE OR BETTER THEN SCALP IMMEDIATELY</t>
  </si>
  <si>
    <t>100 LOT DEFLY THEN 60 TO SCALP AROUND IT IF FAILS ADD MORE POSITION TO DEFLY</t>
  </si>
  <si>
    <t>BEECH WALA LEG 80</t>
  </si>
  <si>
    <t>REDS 150 LOT SCALP FROM 3MS AND EXTREME PRICES</t>
  </si>
  <si>
    <t>AVOID ALL OTHER STRATS</t>
  </si>
  <si>
    <t>WHEN THEME CHANGING AND CURVE MOVINGAS A WHOLE BETTER TO STICK TO MKT NEUTRAL STRATS</t>
  </si>
  <si>
    <t>ONLY MAKE THE DEFLY AND SCALP AROUND IT WITH 40 LOTS MID WALA 60 LOTS</t>
  </si>
  <si>
    <t>MAKE THE DEFLY @ -1 FIRST THEN LEAVE</t>
  </si>
  <si>
    <t>NO NEW TRADES UNTIL THIS EXITS</t>
  </si>
  <si>
    <t>CAN USE 5 LOTS FROM IR TO SCALP AND TED AS BACKUP</t>
  </si>
  <si>
    <t>exit his immediately @ 0 if possible</t>
  </si>
  <si>
    <t>no trading in 2nd session actively | only thinking about exposure (direction; check market neutrality + sizing in each direction)</t>
  </si>
  <si>
    <t>NEED S24 DEFLY SHORT AS WELL</t>
  </si>
  <si>
    <t>100 LOTS @ &gt;=5</t>
  </si>
  <si>
    <t>SO BUY D24 100 IF GOES DOWN AND SHORT S24 SPD IF GOES UP</t>
  </si>
  <si>
    <t>TAKE S24 FLY EXTRA 60 LOTS NOW</t>
  </si>
  <si>
    <t>TAKE S24 FLY @ 6 NOW 100 EXTRA from d24 use ase</t>
  </si>
  <si>
    <t>MAY.24 recovery</t>
  </si>
  <si>
    <t>513am</t>
  </si>
  <si>
    <t>PRICING WISE HIGH IS 6</t>
  </si>
  <si>
    <t>can make defly @ &gt;=4</t>
  </si>
  <si>
    <t>&lt;=4</t>
  </si>
  <si>
    <t>MAKE S24 DEFLY</t>
  </si>
  <si>
    <t>HOLD THIS MAX 2.5 TICKS</t>
  </si>
  <si>
    <t>TIMING IN EXITS</t>
  </si>
  <si>
    <t>611am</t>
  </si>
  <si>
    <t>AUD RETAIL SALES (P-0.4% F0.3% A0.1%)</t>
  </si>
  <si>
    <t>J25 6MSPD</t>
  </si>
  <si>
    <t>J25 6M FLY</t>
  </si>
  <si>
    <t>Sz (-6)</t>
  </si>
  <si>
    <t>hc (cuts later but not spread out + cs to cf)</t>
  </si>
  <si>
    <t>31 may 824pm</t>
  </si>
  <si>
    <t>AUD CPI INDICATOR (P3.5% F3.4% A3.6%)</t>
  </si>
  <si>
    <t>BO</t>
  </si>
  <si>
    <t xml:space="preserve">RR </t>
  </si>
  <si>
    <t>J24 6MS SPD</t>
  </si>
  <si>
    <t>J25 IR-YT</t>
  </si>
  <si>
    <t>Scalping + LGAP @ SZ</t>
  </si>
  <si>
    <t>2MIN</t>
  </si>
  <si>
    <t>bottom</t>
  </si>
  <si>
    <t>3MIN</t>
  </si>
  <si>
    <t>842am</t>
  </si>
  <si>
    <t>SCALPING + var5</t>
  </si>
  <si>
    <t>6M FLY @ -6 B (SZ)</t>
  </si>
  <si>
    <t>US GDP QOQ (P3.4% F1.6% A1.3%)</t>
  </si>
  <si>
    <t>US GDP PRICE INDEX Q1 (P1.7% F3.1% A3.1%)</t>
  </si>
  <si>
    <t>235pm</t>
  </si>
  <si>
    <t>Scalping ranged (-2 to 1)</t>
  </si>
  <si>
    <t>3 TICKS @ 95.525 (015 BPS) QTY CONDITION</t>
  </si>
  <si>
    <t>US CORE PCE PRICE INDEX YOY APR (P2.8% F2.8% A2.8%)</t>
  </si>
  <si>
    <t>US CORE PCE PRICE INDEX MOM (P0.3% F0.3% A0.2%)</t>
  </si>
  <si>
    <t>FED swaps SEES 1 2024 RATE CUT</t>
  </si>
  <si>
    <t>607pm</t>
  </si>
  <si>
    <t>RET + TED BACKUP FRIYAY? (MAYBE) . yes</t>
  </si>
  <si>
    <t>626PM</t>
  </si>
  <si>
    <t>friyay ret</t>
  </si>
  <si>
    <t>not required</t>
  </si>
  <si>
    <t>should have held it? YES</t>
  </si>
  <si>
    <t xml:space="preserve">why didnt I ? LOSSES BEFORE THIS ? </t>
  </si>
  <si>
    <t>S24 DEFLY (1.1)</t>
  </si>
  <si>
    <t>hc + safer exposure to scalp around it</t>
  </si>
  <si>
    <t>add double @ 5</t>
  </si>
  <si>
    <t>4 JUN, 5 JUN</t>
  </si>
  <si>
    <t>EXIT B4 ISM AS MIGHT BE A BIG MOVER</t>
  </si>
  <si>
    <t>S24 FLY (1.2)</t>
  </si>
  <si>
    <t>hc</t>
  </si>
  <si>
    <t>make defly</t>
  </si>
  <si>
    <t>EZ CPI (P2.4% F2.5% A2.6%)</t>
  </si>
  <si>
    <t xml:space="preserve">MAKING STRUCTURES AND AVOIDING WHITES OR 1ST 2 CONTRACTS IN NIGHT SESSION | NO ACTIVE TRADING IN 2ND SESSION </t>
  </si>
  <si>
    <t>NOT OPENING TT IN 2ND SESSION</t>
  </si>
  <si>
    <t xml:space="preserve">EXTRA LOSSES: 3.5K FROM IR EXECUTION | PLAN = 1 DEFLY 100 LOTS SE 2 TICK OR 100 LOTS DEFLY 1 TICK * 3 TIMES | 1MONTH ME RECOVER </t>
  </si>
  <si>
    <t>5.8K CONSECUTIVE 6MS SAME DIRECTION | 150 LOTS RED SPD OR FLY OR 6MS-&gt;3MS SCALPING *3 net wins | 2 months</t>
  </si>
  <si>
    <t>960 EXTRA lots LOSS | SCALPING AROUND ANY STRUCTURE with 60 lots 1 tick</t>
  </si>
  <si>
    <t>5.3K HEDGED ADDITIONAL 6MS KA LEG IN A WRONG TRADE | just a wrong trade| will take time to recover this with previous strats | 100 lots defly se 2 ticks 2 times / 200 lots defly se 1 tick 1x / scalping around structures with 60 lots x 6</t>
  </si>
  <si>
    <t>need to make 10k and forget that money first then start capping profits and then add the remaining profit to balance</t>
  </si>
  <si>
    <t xml:space="preserve">extra loss </t>
  </si>
  <si>
    <t>NEED TO RECOVER SLOWLY AND CAUTIOUSLY VIA DEFLIES ONLY</t>
  </si>
  <si>
    <t>IR EXECUTION: ENTER FROM VAR 4,5 (GETTING THE RARE PRICE FIRST) + HAVE TED BACKUP READY + TRADE ACTIVELY (BETTER IN THE MORNING HOURS OR MAX 1 HOUR) + HAVE A NEARBY SPD READY</t>
  </si>
  <si>
    <t>KILL AND HIDE | GOT A GOOD KILL, HIDE | FORGET THAT MONEY DONT USE IT TO CAP JUST MAKE IT DISAPPEAR</t>
  </si>
  <si>
    <t>IR EXECUTION: ALWAYS ENTER FOR SCALPING IN THE DIRECTION OF A REQUIRED SPD AND HAVE BACKUPS AS SPD OR TED</t>
  </si>
  <si>
    <t>other markets: only extreme trades</t>
  </si>
  <si>
    <t>IR EXECUTION: HARD SL @ 2 TICKS MUST for reds</t>
  </si>
  <si>
    <t>IR EXECUTION: VAR4 SCALPING FOR FRONT 4 except 1st ir</t>
  </si>
  <si>
    <t xml:space="preserve">IR EXECUTION: JAISE FLY YA DEFLY BANANE KE LIYE ORDERS LAGATE THE SPD ME WAISE IR ME LAGAO FOR SPD AND FLY| ALTERNATE IRS ME HONE CHAHIYE ORDERSonly for making spd or fly </t>
  </si>
  <si>
    <t>OUTRIGHT: HIGHER FREQUENCY AND FEWER LOTS (TOTAL LOTS SHOULD BE EQUAL TO THE MM LOTS NOT SINGLE SHOTS (37 FOR 4 TICKS LOSS THEN 18,18)</t>
  </si>
  <si>
    <t>USE SL TO HOLD CONFIDENTLY | BUT YOU WONT BE ABLE TO ADD POSITION</t>
  </si>
  <si>
    <t xml:space="preserve">KNOWING INSTEAD OF FEELING </t>
  </si>
  <si>
    <t>AT LEAST 2 TICKS ANY TRADE</t>
  </si>
  <si>
    <t>HAVE MKT NEUTRAL TRADES J.S | hawk/dove cs,cf</t>
  </si>
  <si>
    <t>lgaps are gift forget them</t>
  </si>
  <si>
    <t>June24 live</t>
  </si>
  <si>
    <t>JUN.24</t>
  </si>
  <si>
    <t xml:space="preserve">TIMEOUT WED FOR FRIYAY TRADES </t>
  </si>
  <si>
    <t>MKT NEUTRAL STRATS. J.S. + BALANCED MM + TIMEOUT + DON'T LISTEN TO SIR FOR TRADING STRATEGIES</t>
  </si>
  <si>
    <t>PLAN for JUN, JUL, AUG| REDEMPTION</t>
  </si>
  <si>
    <t>1) 1 * (DEFLY or DC 125 LOTS SE &gt;=2 TICKS) OR (100 LOTS DEFLY &gt;=1 TICK) * 2 TIMES NET WINS| 125, . ,125 (alternate)</t>
  </si>
  <si>
    <t>NOT DONE</t>
  </si>
  <si>
    <t>STICK TO HOURLY TRADES</t>
  </si>
  <si>
    <t>FIRST MARKET NEUTRAL STRUCTURES THAT SUSTAINS (EITHER IN MULTIPLE SESSIONS OR SINGLE) THEN SCALP TO MAKE THE STRUCTURE BETTER</t>
  </si>
  <si>
    <t>2) ( 150 LOTS RED SPD OR FLY OR 6MS -&gt; 3MS SCALPING ) * 2 TIMES NET WINS | 150,150</t>
  </si>
  <si>
    <t>DONE</t>
  </si>
  <si>
    <t>2/3</t>
  </si>
  <si>
    <t>NEVER HOLD SPDS FOR &gt; 1 DAY</t>
  </si>
  <si>
    <t>TRUST THE PROCESS SLOW AND STEADY</t>
  </si>
  <si>
    <t>3) SCALPING AROUND ANY STRUCTURE with 60 lots &gt;=1 tick * 1 NET WINS</t>
  </si>
  <si>
    <t>IF H-&gt;D |     EXIT SPDS, CONVERT TO FLY, REDUCE SIZING</t>
  </si>
  <si>
    <t>GOAL = BUILD A RESERVE BALANCE WHOLE YEAR</t>
  </si>
  <si>
    <t>4) WEDNESDAYS TIMEOUT OR WFH (unless event) OR (D) TRADES ONLY so have hedged positions and orders accordingly or just sleep!| SCREEN LOCK FULL + WATCH SERIES, READ A BOOK, LISTEN TO MUSIC, EAT FOOD, WALK, FIND COOKING RECIPES, TIMEOUT</t>
  </si>
  <si>
    <t>START REDUCING IF H is changing to D</t>
  </si>
  <si>
    <t>CHECK THE CHARTS BEFORE DECIDING A BIG TRADE WITH BACKUPS READY IN TJ</t>
  </si>
  <si>
    <t>5) FRIYAY TRADES (AND HAVE MADE MOST MONEY) | SCREEN LOCK FULL IN MORNING SESSION + WACTH SERIES, READ A BOOK, LISTEN TO MUSIC, EAT FOOD, WALK, FIND COOKING RECIPES, TIMEOUT</t>
  </si>
  <si>
    <t>ALWAYS USE TRAILING SL IF HOLDING SPDS FOR D</t>
  </si>
  <si>
    <t>DO NOT CHANGE THE LOT SIZES</t>
  </si>
  <si>
    <t>6) THU NO SCALPING, no TEDS, for friyay trades | FRIDAY NO OUTRIGHTS weird behavior | SCREEN LOCK FULL DAY, EXCEPT DATA</t>
  </si>
  <si>
    <t>LEAVE WHITES FOR THE EVENT DAYS | DEAD MKT ME REDS ME SCALP ORDERS LAGAO MAYBE 1 BELLY BUT NEVER AGGRESSIVE</t>
  </si>
  <si>
    <t>7) REDUCE 20% FROM BALANCE EVERY MONTH | FORGET THAT MONEY</t>
  </si>
  <si>
    <t>LOSSES</t>
  </si>
  <si>
    <t>REMOVED TT PNL</t>
  </si>
  <si>
    <t xml:space="preserve">8) MARKET NEUTRAL STRATS ALL TIMES | TRADE LIKE A BANKER | ISHAAN </t>
  </si>
  <si>
    <t>LGAP IS GIFT</t>
  </si>
  <si>
    <t>9) ACCOUNT STOP WHEN LOST A LOT OF MONEY AS WELL AS MADE A LOT OF MONEY QUICKLY | TIMEOUT</t>
  </si>
  <si>
    <t xml:space="preserve">NEVER LISTEN TO ANYONE AGAIN FOR YOUR TRADING; </t>
  </si>
  <si>
    <t>10) mondays plan for the week ahead</t>
  </si>
  <si>
    <t>LIQUIDITY IS VERY IMPORTANT</t>
  </si>
  <si>
    <t>Balanced design = factor of safety (for reliability) + reserves (for sustainability)</t>
  </si>
  <si>
    <t>if all strats done leave mkt</t>
  </si>
  <si>
    <t>THIS IS BORING; DISCIPLINE IS BORING BUT ESSENTIAL</t>
  </si>
  <si>
    <t>DEFLIES #OF E:2 E:100,100 LOTS | ENTRY FROM WHEREVER &gt;=3 TICKS POSSIBLE, (total 200 ticks has to be there with a downside of 2 ticks max)| use ASE FOR BETTER PRICES ENTRY AS PER MKT</t>
  </si>
  <si>
    <t xml:space="preserve">for safety go higher when the deflies are in zones </t>
  </si>
  <si>
    <t>4 CASES: FULL CURVE UP (CUTS DISAPPEARING AND/OR HIKE IN FRONT), FULL CURVE DOWN (CUTS ADDING), FRONT CURVE DOWN (CUTS EARLY), BACK CURVE DOWN (CUTS LATER)</t>
  </si>
  <si>
    <t xml:space="preserve">HAVE EXPOSURE MKT NEUTRAL </t>
  </si>
  <si>
    <t>S24 DEFLY ADD AT 4 or 5 (30 lots)</t>
  </si>
  <si>
    <t>Add @ -8 as that was flipped and never tradedd after that</t>
  </si>
  <si>
    <t>4 jun 5am</t>
  </si>
  <si>
    <t>intraday + b4 event</t>
  </si>
  <si>
    <t>EXIT OF 3MF VIA 6MS</t>
  </si>
  <si>
    <t>S25 6MS -&gt; S25 FLY</t>
  </si>
  <si>
    <t>reduced due to events and have no hedges</t>
  </si>
  <si>
    <t>SCRATCH BEFORE FED BY FRI OR TUE</t>
  </si>
  <si>
    <t>US ISM MFG PMI (P49.2 F49.8 A48.7)</t>
  </si>
  <si>
    <t>1 TICK MOVEMENTin spds; XT going up</t>
  </si>
  <si>
    <t>MON 730 US ISM PMI</t>
  </si>
  <si>
    <t>TUE AUD RETAIL SALES, 730 jolts</t>
  </si>
  <si>
    <t>WED AUD GDP, US ADP NFE CHANGE, S&amp;P SERVICES PMI, ISM NMFG PMI, BOC INT RATE | ISM ME LAGGING SE TRADES ENTER KARO</t>
  </si>
  <si>
    <t>THU IJLC</t>
  </si>
  <si>
    <t>FRI NFP, US LABOUR DATA</t>
  </si>
  <si>
    <t>AUD RETAIL SALES (P-0.4% F0.1% A)</t>
  </si>
  <si>
    <t>MAKE TED @ -12 | SHOULD BE SCRATCHABLE | HAVE SL @ YT 96.01 CONDITIONAL + can make j25 spd @ -8 for fly exit + scalp | (scalping wala is scratchable because of PIQ so OCO SHOULD BE BETWEEN OTHER 2)</t>
  </si>
  <si>
    <t>FOR S25 TED @ -13 + SCALPING FROM VAR4</t>
  </si>
  <si>
    <t>GOT A KILL HIDE | NO IR THIS WEEK</t>
  </si>
  <si>
    <t>20 MINS</t>
  </si>
  <si>
    <t>EXIT 15 VIA IR VAR4 SCALPING + TED BACKUP WITH TT STOP AT SCRATCHABLE TED</t>
  </si>
  <si>
    <t>US JOLTS (P8.35 REVISED LOWER F8.37 A8.05)</t>
  </si>
  <si>
    <t>TIMEOUT FOR WED (BIG DAY) | NO TRADES @ NIGHT</t>
  </si>
  <si>
    <t>Sz + ret b4 aud gdp tomorrow + LGAP+ VAR 3</t>
  </si>
  <si>
    <t xml:space="preserve">can exit defly </t>
  </si>
  <si>
    <t>24M</t>
  </si>
  <si>
    <t>AUD GDP YOY Q1 (P1.5% -&gt; 1.6% F1.2% A1.1%)</t>
  </si>
  <si>
    <t>HAWK REV</t>
  </si>
  <si>
    <t>GDP QOQ Q1 (P0.2% -&gt; 0.3% F0.2% A0.1%)</t>
  </si>
  <si>
    <t>MON HOLIDAY</t>
  </si>
  <si>
    <t>WED US CPI + FED | EMPTY GRID ALL (D) TRADES IF ANY</t>
  </si>
  <si>
    <t>THU AUD LABOUR DATA</t>
  </si>
  <si>
    <t>FRIYAY (A)</t>
  </si>
  <si>
    <t>IF NO STRUCTURE GO DEFENSIVE UNTIL IT GETS CLEARER OR ARBITRAGE EXISTS</t>
  </si>
  <si>
    <t>D IN W (for any trades) lgap near sz and rz + var4 (b)</t>
  </si>
  <si>
    <t>BOC CUTS 25 BPS (4.75%)</t>
  </si>
  <si>
    <t>ISM NMFG PMI MAY (P49.4 F51 A53.8)</t>
  </si>
  <si>
    <t>ISM NMFG PRICES MAY (P59.2 F59 A58.1)</t>
  </si>
  <si>
    <t>ECB CUTS BY 25 (3.75%) | 17 NOV 2023 CPI GOES DOWN FROM 4 TO 2.9% THEN STAYS BELOW 3% TILL MAY END AFTER WHICH ECB MADE THE CUT</t>
  </si>
  <si>
    <t>NEED A RED FLY OR STRUCTURE</t>
  </si>
  <si>
    <t>FRIYAY TRADES AFTER EVENT, LGAP</t>
  </si>
  <si>
    <t>Current understanding is bad so avoid higher lots</t>
  </si>
  <si>
    <t>FLY HIT PE LENA IF MILE</t>
  </si>
  <si>
    <t>making defly but at sz (not ideal)</t>
  </si>
  <si>
    <t>COULDNT MAKE DEFLY + MIGHT GET BETTER OPPORTUNITY FROM FRIYAY TRADES</t>
  </si>
  <si>
    <t>NFP (P175K -&gt; 158kF182K A272k)</t>
  </si>
  <si>
    <t>dovish revisions</t>
  </si>
  <si>
    <t>UE RATE MAY (P3.9% F3.9% A4%)</t>
  </si>
  <si>
    <t>CS TO CF + ROLL TO -2</t>
  </si>
  <si>
    <t>12 JUN EVENT</t>
  </si>
  <si>
    <t>D25 -4 50 MORE</t>
  </si>
  <si>
    <t>625PM</t>
  </si>
  <si>
    <t>S24 6MS</t>
  </si>
  <si>
    <t>LGAP VAR 6</t>
  </si>
  <si>
    <t>can make fly</t>
  </si>
  <si>
    <t>TUE 1ST SESSION OR 2ND</t>
  </si>
  <si>
    <t>WHY NOT BOOK ANOTHER 10,20 AT 2 TICKS</t>
  </si>
  <si>
    <t>NEVER HOLD MORETHAN 1 SESSION IN 6MS</t>
  </si>
  <si>
    <t>book 1/4 in tht session | must</t>
  </si>
  <si>
    <t>BOOK @ 2 TICKS OR BY SESSION END EXIT HALF IF NOT HEDGED</t>
  </si>
  <si>
    <t>missed opportunity of 120 ticks</t>
  </si>
  <si>
    <t>S24 FLY (1) (d)</t>
  </si>
  <si>
    <t>NO FRONT FLIES | ONLY DEFLIES</t>
  </si>
  <si>
    <t>S24 DEFLY(1) added</t>
  </si>
  <si>
    <t xml:space="preserve">FOR S24 DEFLY + CS TO CF </t>
  </si>
  <si>
    <t>BELOW 1 BUT SCRATCH 33 @ 1 FIRST</t>
  </si>
  <si>
    <t>ADD @ &gt;=4 NOTHING ELSE</t>
  </si>
  <si>
    <t>13 jun event</t>
  </si>
  <si>
    <t>S25 CONDOR (2) -&gt; () -&gt; (1)</t>
  </si>
  <si>
    <t>can make fly + defly</t>
  </si>
  <si>
    <t>1 MONTH POST ROLL</t>
  </si>
  <si>
    <t>90 LEFT</t>
  </si>
  <si>
    <t>D24 SPD (1) (h)</t>
  </si>
  <si>
    <t>ADD @ -9 OR TAKE M25 -8,-9 | b4 event sl @ -8 if dovish data</t>
  </si>
  <si>
    <t>can hold longer if hawkish, book some then add more  (s24 levels might be followed -6 to 1)</t>
  </si>
  <si>
    <t>VARS OF 3MS, 6MS, 1Y SPD</t>
  </si>
  <si>
    <t>6MS hl75,80    J4 4,5 | S24 3 | D24 3,2 | M25 ONWARDS 1</t>
  </si>
  <si>
    <t xml:space="preserve">1y hl75,85    S24 5,7 | D24 3,5 | M25 3 | J25 ONWARDS 1,2 </t>
  </si>
  <si>
    <t>S25 6M SPD</t>
  </si>
  <si>
    <t>2 lots extra to scale up</t>
  </si>
  <si>
    <t>SZ (-17,-18)</t>
  </si>
  <si>
    <t>CUTS IN THIS ZONE SHOULD FLATTEN THIS STRUCTURE + roll rz</t>
  </si>
  <si>
    <t xml:space="preserve">M25 DC @ 3 S HC </t>
  </si>
  <si>
    <t>920pm</t>
  </si>
  <si>
    <t>M25 DC (2)</t>
  </si>
  <si>
    <t>HC (cs)</t>
  </si>
  <si>
    <t>add more @ 5</t>
  </si>
  <si>
    <t>EXIT VIA IR 15 lots (30 lots of mid leg)</t>
  </si>
  <si>
    <t>exits with 50,50 lots</t>
  </si>
  <si>
    <t>PLAN LGAP TO VALUE ZONES IN 3MS</t>
  </si>
  <si>
    <t>6MS VAR MAX ALTERNATE</t>
  </si>
  <si>
    <t>US CORE CPI MOM MAY (P0.3% F0.3% A0.2%)</t>
  </si>
  <si>
    <t>US CPI YOY (P3.4% F3.4% A3.3%)</t>
  </si>
  <si>
    <t>US CPI MOM (P0.3% F0.1% A0%)</t>
  </si>
  <si>
    <t>CORE CPI YOY (P3.6% F3.5% A3.4%)</t>
  </si>
  <si>
    <t>SZ + ADDING TO SCALPING (WRONG SIDE)</t>
  </si>
  <si>
    <t>exit via spds</t>
  </si>
  <si>
    <t>FED UNCHANGED (5.5%)</t>
  </si>
  <si>
    <t>POWELL WANTS 2025 TO BE IN THE PLAY TO DELAY HIS PLAY | DURATION</t>
  </si>
  <si>
    <t>cut if something drops immediately huge move on cut side if mkt doesnt price it in or curve changes beforehand towards cuts direction</t>
  </si>
  <si>
    <t>THESE CB WONT TELL WHAT THEIR NEXT PLAN IS</t>
  </si>
  <si>
    <t>Hedge for losing spd</t>
  </si>
  <si>
    <t>Scratch if no defly possible</t>
  </si>
  <si>
    <t>EMP CHANGE MAY (P38.5K F30.5K A39.7K)</t>
  </si>
  <si>
    <t>UE RATE (P4.1% F4% A4%)</t>
  </si>
  <si>
    <t>D24 FLY (1)-&gt;()</t>
  </si>
  <si>
    <t>ROLL MIGHT MAKE IT GO UP (did not)</t>
  </si>
  <si>
    <t>KINK SHOULD NOT COME FORWARD + CAN MAKE DEFLY</t>
  </si>
  <si>
    <t>M25 1Y SPD</t>
  </si>
  <si>
    <t>DC EXIT-&gt; SCRATCH</t>
  </si>
  <si>
    <t>FRIYAY TRADES FOR REDUCING / INTRADAY till monday 1st session else scratch orders</t>
  </si>
  <si>
    <t>TUE RBA | dont add positions b4 this just intraday | (b)</t>
  </si>
  <si>
    <t>If structure can give 2 or more ticks (defly front / back decondor  then make it with 200 ticks or as many possible)</t>
  </si>
  <si>
    <t>858AM</t>
  </si>
  <si>
    <t>BOJ UNCHANGED INT RATE (0.1%)</t>
  </si>
  <si>
    <t>323PM</t>
  </si>
  <si>
    <t>S25 6M SPM -&gt; J25 DC</t>
  </si>
  <si>
    <t>FRIYAY + RZ</t>
  </si>
  <si>
    <t>s25 -9 and d25 -5 so d25 -5 s 200 to make s25 fly b @ -4 . not required</t>
  </si>
  <si>
    <t xml:space="preserve">j25-j26 -26 s 50 for j25 dc @ 2 s 50 can add @ 3 as well with 100 lots </t>
  </si>
  <si>
    <r>
      <rPr>
        <sz val="10"/>
        <color rgb="FF000000"/>
        <rFont val="Calibri"/>
      </rPr>
      <t xml:space="preserve">scalp </t>
    </r>
    <r>
      <rPr>
        <b/>
        <sz val="10"/>
        <color rgb="FF000000"/>
        <rFont val="Calibri"/>
      </rPr>
      <t>s25 -8 s 100 and d25 -5 s 100</t>
    </r>
  </si>
  <si>
    <t>THEN scratch j25 1yr @ -26 or scalp</t>
  </si>
  <si>
    <t>VIA IR</t>
  </si>
  <si>
    <t>338PM</t>
  </si>
  <si>
    <t>FRIYAY + RANGED (-33,-34 TO -37,-38)</t>
  </si>
  <si>
    <t>MON SCALP</t>
  </si>
  <si>
    <t>D25 6M SPD</t>
  </si>
  <si>
    <t>S25 C EXIT</t>
  </si>
  <si>
    <t>d25 -5 m26 -4 so d25 -5 s 100 to get m26 -4 b and s25 -8 s 100 to exit s25 c @ -4</t>
  </si>
  <si>
    <t>d25 -5 s 100</t>
  </si>
  <si>
    <t>S25 CONDOR EXIT BY EXITING D25 -5 S 100 AS WE ALREADY HAVE M26 -4 AND D25 -5</t>
  </si>
  <si>
    <t>643AM</t>
  </si>
  <si>
    <t>IR: pull all orders after 11am no orders after 11.30 in IR</t>
  </si>
  <si>
    <t>AFTER RBA NOT MANY ECONOMIC EVENTS</t>
  </si>
  <si>
    <t>BE AWARE OF OTHER ECONOMIES EZ, UK, CAD, etc. and US NEWS</t>
  </si>
  <si>
    <t>1102am</t>
  </si>
  <si>
    <t>VAR 5 OF M26 FOR D25 -5 SPD | HEDGE FOR IR D25 S (S25 SPD -8 B)</t>
  </si>
  <si>
    <t>11am+</t>
  </si>
  <si>
    <t>SINCE GOOD PIQ IN S25 SO MIGHT BE POSSIBLE TO EXIT THE OUTRIGHT AND HAVE D25 SPD EXIT</t>
  </si>
  <si>
    <t>AFTER SESSION END THIS PLAY IS VOIDED SO SCRATCH M26 IT @ 96.2 TO GET S25 SPD B @ -8 (THIS WILL JUST TAKE MORE TIME TO SCRATCH)</t>
  </si>
  <si>
    <t>(OR) IR M26</t>
  </si>
  <si>
    <t>NO MORE ENTRIES | FOR RBA margin</t>
  </si>
  <si>
    <t xml:space="preserve">EXITS ONLY </t>
  </si>
  <si>
    <t>SZ NEW (MAYBE) -3,-4</t>
  </si>
  <si>
    <t>CS TO CF</t>
  </si>
  <si>
    <t>add 100 @ -4</t>
  </si>
  <si>
    <t>26 jun event</t>
  </si>
  <si>
    <t>if dont get -8 s then will have fly @ -3 b</t>
  </si>
  <si>
    <t>S25 6MSPD</t>
  </si>
  <si>
    <t>J25 DC EXIT</t>
  </si>
  <si>
    <t>IB JUL24</t>
  </si>
  <si>
    <t>SHOULD NOT BE A CUT (BUT ALWAYS HAVE THE WORSE CASE IN MIND) 6 SIGMA CAN WIPE OUT ALL | THAT SHOULD NEVER BE THE CASE</t>
  </si>
  <si>
    <t>IN THESE TRADES LOT SIZING SHOULD ALWAYS COME FROM WORSE CASE SCENE THAT NO ONE THINKS WILL HAPPEN AS THERE WILL BE NO CHANCE TO CUT POSITIONS</t>
  </si>
  <si>
    <t>bad practice in general, carrying through rate decisions </t>
  </si>
  <si>
    <t>should always hold lot size where a six sigma event doesnt wipe us out </t>
  </si>
  <si>
    <t>worse case could have been 20k loss</t>
  </si>
  <si>
    <t>S24 DEFLY added (1)</t>
  </si>
  <si>
    <t xml:space="preserve">1 OR SCRATCH AS WEIRD BEHAVIOR AND NO EVENTS </t>
  </si>
  <si>
    <t>exit by thu / reduce by 50% (scratch)</t>
  </si>
  <si>
    <t>friyay trades</t>
  </si>
  <si>
    <t>no more adding to this in this week</t>
  </si>
  <si>
    <t>add defensively 40 x 3 times intraday to make the structure better</t>
  </si>
  <si>
    <t>scratch by thu for friyay trades aggressively</t>
  </si>
  <si>
    <t>EXIT 65 @ 2 FIRST</t>
  </si>
  <si>
    <t>FRONT NO MORE TRADES THIS MONTH</t>
  </si>
  <si>
    <t>EXIT BY MONTH END SCRATCH</t>
  </si>
  <si>
    <t xml:space="preserve">roll ranges hve failed so reduce exposure </t>
  </si>
  <si>
    <t>REDUCE FIRST THEN AVERAGE AT ALTERNATE PRICE I.E., @ &gt;=4</t>
  </si>
  <si>
    <t>EXIT HAS TO BE FROM MIDDLE LEG</t>
  </si>
  <si>
    <t>SCRATCH / USE AS EXIT OF DEFLY</t>
  </si>
  <si>
    <t>BULLOCK SPEECH</t>
  </si>
  <si>
    <t>RZ -6,-7,-5 + var 4</t>
  </si>
  <si>
    <t>FOR DEFLY</t>
  </si>
  <si>
    <t>223pm</t>
  </si>
  <si>
    <t>failed</t>
  </si>
  <si>
    <t>CANT AFFORD FRONT SCALPING WITH 60 LOTS</t>
  </si>
  <si>
    <t>SLIGHTLY HAWKISH VIEW</t>
  </si>
  <si>
    <t>XT SEP24</t>
  </si>
  <si>
    <t>WAKEUP</t>
  </si>
  <si>
    <t>TUE EZ CPI, US RETAIL SALES</t>
  </si>
  <si>
    <t>WED US HOLIDAY, UK CPI AND NEXT DAY INT RATE</t>
  </si>
  <si>
    <t>THU NZD GDP, BOE INT RATE, PHILLY FED | AVOID IR, TEDS FOR FRIYAY</t>
  </si>
  <si>
    <t>FRI PMI | FRIYAY TRADES</t>
  </si>
  <si>
    <t>EXIT SCALPING AROUND FRONT STRUCTURE</t>
  </si>
  <si>
    <t>wed | no trades, ONLY reduce fronts by scalping from var</t>
  </si>
  <si>
    <t>thu | no trades, ONLY reduce fronts by scalping from var</t>
  </si>
  <si>
    <t>friyay trades (a)</t>
  </si>
  <si>
    <t>FOR DEFLY HEDGE -&gt; bad hedge so scratch</t>
  </si>
  <si>
    <t>20 JUN 630PM</t>
  </si>
  <si>
    <t>58 REMAINS</t>
  </si>
  <si>
    <t>MORNING HOURS TT RETRY @ VAR 4,5 FOR MAR25 20,20 LOTSAND VAR 4 FOR DEC24 25 LOTS</t>
  </si>
  <si>
    <t>552PM</t>
  </si>
  <si>
    <t>GET M25 -11 TO MAKE D24 -11</t>
  </si>
  <si>
    <t>THEN SCALP @ -10</t>
  </si>
  <si>
    <t>MAKE S24 CONDOR @ 6 S</t>
  </si>
  <si>
    <t>US RETAIL SALES CORE MOM (P-0.1% F0.2 A-0.1%)</t>
  </si>
  <si>
    <t>DOVE REV</t>
  </si>
  <si>
    <t>RETAIL SALES  MOM (P-0.2% F0.3 A0.1%)</t>
  </si>
  <si>
    <t>DEFLY EXPOSURE REDUCE</t>
  </si>
  <si>
    <t>19 jun 6am</t>
  </si>
  <si>
    <t>wrong or useless</t>
  </si>
  <si>
    <t>DEFLY EXIT REDUCE</t>
  </si>
  <si>
    <t>M25 1 YR SPD</t>
  </si>
  <si>
    <t xml:space="preserve">SCALPING RANGED </t>
  </si>
  <si>
    <t>19 jun 10am</t>
  </si>
  <si>
    <t>SCALP / SCRATCH</t>
  </si>
  <si>
    <t>ADD @ 29THEN EXIT ALL @ 28</t>
  </si>
  <si>
    <t>J25 1YR SPD</t>
  </si>
  <si>
    <t>DECONDOR EXITT</t>
  </si>
  <si>
    <t>add 50 @ 29</t>
  </si>
  <si>
    <t>20 JUN 720PM</t>
  </si>
  <si>
    <t xml:space="preserve">S25 -8, D25 -5 X 46 TO EXIT DECONDOR </t>
  </si>
  <si>
    <t>ADD 50 @ 29 THEN EXIT @ 29</t>
  </si>
  <si>
    <t>CONDOR EXIT</t>
  </si>
  <si>
    <t>SCALP / TRY EXITING CONDOR / SCRATCH</t>
  </si>
  <si>
    <t>S24 DEFLY SITUATION | M25 1 TICK UP DOWN SO MANAGEABLE</t>
  </si>
  <si>
    <t>D24 UP SELL S24 DOWN TWICE OR VAR4 BUY</t>
  </si>
  <si>
    <t>need 3 entries so 30,30,30</t>
  </si>
  <si>
    <t>middle legs 60,60,60</t>
  </si>
  <si>
    <t>any front structure</t>
  </si>
  <si>
    <t>s24 1 yr spd</t>
  </si>
  <si>
    <t>rz (6 to 8)</t>
  </si>
  <si>
    <t>SHOULD NOT HAVE HIKES MORE PRICED IN | CHANCES OF EMERGENCY CUTS OR CUTS IN GENERAL IN WORLD ECONOMIES MORE | BET ON MORE CUT CHANCE AS PER WORLD ECONS</t>
  </si>
  <si>
    <t>HC + TOO STEEP</t>
  </si>
  <si>
    <t>EXIT ALL @ &lt;=5</t>
  </si>
  <si>
    <t>ADD 100 @ 10</t>
  </si>
  <si>
    <t>HOLD few till week before next RBA meeting</t>
  </si>
  <si>
    <t xml:space="preserve">exit from custom market </t>
  </si>
  <si>
    <t>M26 SPD</t>
  </si>
  <si>
    <t>SCALPING 6M VIA 3M</t>
  </si>
  <si>
    <t>20 jun 418am</t>
  </si>
  <si>
    <t xml:space="preserve">BLUNDER | MISTAKE HIT </t>
  </si>
  <si>
    <t>57 REMAINS</t>
  </si>
  <si>
    <t>MORNING HOURS TT RETRY @ VAR 4,5 FOR JUN25 20,20 LOTSAND VAR 4 FOR DEC24 25 LOTS</t>
  </si>
  <si>
    <t>THU NO TRADING SO ALL STRUCTURE</t>
  </si>
  <si>
    <t>TIMEOUT | NOT GOOD TRADING</t>
  </si>
  <si>
    <t>UK CPI YOY MAY (P2.3% F2% A2%)</t>
  </si>
  <si>
    <t>UK CPI MOM (P0.3% F0.4% A0.3%)</t>
  </si>
  <si>
    <t>need multiple entries so reduce lots / entry</t>
  </si>
  <si>
    <t>reds 120,120 any structure</t>
  </si>
  <si>
    <t>exit via outright</t>
  </si>
  <si>
    <t>1126am</t>
  </si>
  <si>
    <t>J25 CONDOR (1)</t>
  </si>
  <si>
    <t>cuts global scratchable</t>
  </si>
  <si>
    <t>HC CF TO CS AT BACK</t>
  </si>
  <si>
    <t>exit @ -5 via 6ms</t>
  </si>
  <si>
    <t>add @ -3</t>
  </si>
  <si>
    <t>SCRATCH 75 LOTS</t>
  </si>
  <si>
    <t>EXIT FROM SELLING S25 SIDE</t>
  </si>
  <si>
    <t xml:space="preserve">FOR DEFLY EXIT </t>
  </si>
  <si>
    <t>S24 DEFLY -&gt; S24 FLY</t>
  </si>
  <si>
    <t>RET FAILED AND MADE WRONG FLY</t>
  </si>
  <si>
    <t>EXITING DEFLY</t>
  </si>
  <si>
    <t>WRONG TRADE AFTER RBA</t>
  </si>
  <si>
    <t xml:space="preserve">with payup  | avoid looking at extra losses </t>
  </si>
  <si>
    <t>whats done is done</t>
  </si>
  <si>
    <t>S4 DF-&gt; D4 F -&gt; S24 DF</t>
  </si>
  <si>
    <t>CUTS CHANCE SHOULD BE MORE AP WORLD ECONOMY</t>
  </si>
  <si>
    <t>HC CS (TOO STEEP)</t>
  </si>
  <si>
    <t>HOLD THIS FLY as downside is 3 ticks may not need to exit there</t>
  </si>
  <si>
    <t>REDUCE 50% @ 5 THEN ADD ONLY @ 8 OR ELSE HOLD TILL 2</t>
  </si>
  <si>
    <t>ADD @ CPI OR AFTER CPI HAWKISH DATA OR COMMENTS</t>
  </si>
  <si>
    <t>EXIT 50% ON FRI NO MATTER WHAT WHETHER YOU ADD OR NOT</t>
  </si>
  <si>
    <t>front structure scalping not working</t>
  </si>
  <si>
    <t>so avoid front scalping completely</t>
  </si>
  <si>
    <t>only exit orders</t>
  </si>
  <si>
    <t>BACK STRUCTURE 120 LOTS IF FAILS ADD 120 MORE THEN SCALP</t>
  </si>
  <si>
    <t>reduce front spd by 40 lots</t>
  </si>
  <si>
    <t>ADD DEFLY ON FRIDAY OR EXIT AS PER ORDERS 85LOTS D24 B 120 LOTS</t>
  </si>
  <si>
    <t>UPDATED STRATS FOR NEXT SETUPS</t>
  </si>
  <si>
    <t>DONT TRADE FRONT CONTRACT (S24-D24)</t>
  </si>
  <si>
    <t>DONT ADD TO CURRENT FRONT CONTRACT</t>
  </si>
  <si>
    <t>BACK TO BELLY REMAINING MONTH</t>
  </si>
  <si>
    <t>BACK STRUCTURE 150 LOTS IF FAILS ADD 150 MORE THEN SCALP</t>
  </si>
  <si>
    <t>FRONT DECONDOR 50,.,50 ENTRY FROM MIDDLE LEG</t>
  </si>
  <si>
    <t>ADD DEFLY ON FRIDAY OR EXIT AS PER ORDERS</t>
  </si>
  <si>
    <t xml:space="preserve">HAVE MARGIN FOR FRIYAY TRADES </t>
  </si>
  <si>
    <t>SO NO ADDING TOMORROW</t>
  </si>
  <si>
    <t>327PM</t>
  </si>
  <si>
    <t>TO MAKE J25 CONDOR FROM FRONT EXPOSURE</t>
  </si>
  <si>
    <t>IF SPDS GO UP (D24 GOES UP) AND GIVES EXIT TO DEFLY THEN THIS CAN BE USED AS EXIT</t>
  </si>
  <si>
    <t>UNTIL THEN SCRATCH</t>
  </si>
  <si>
    <t>SCRATCH VIA IR</t>
  </si>
  <si>
    <t>FLY EXIT + FLY ENTRY @ -2</t>
  </si>
  <si>
    <t xml:space="preserve">J25 6MS </t>
  </si>
  <si>
    <t>SCALP / FRIYAY</t>
  </si>
  <si>
    <t>J25 CONDOR EXIT @ -3</t>
  </si>
  <si>
    <t>fly @ -1 b for defly @ 6.7</t>
  </si>
  <si>
    <t>ADD 2 -12 THEN EXIT ALL @ -11</t>
  </si>
  <si>
    <t>via ir</t>
  </si>
  <si>
    <t>2 ticks by tue</t>
  </si>
  <si>
    <t xml:space="preserve">DEFEND YOUR POSITIONS </t>
  </si>
  <si>
    <t>MULTIPLE SMALL ENTRIES</t>
  </si>
  <si>
    <t xml:space="preserve">MISTAKE WAS TO ADD IN FIRST SESSION AND THEN NOT HEDGING </t>
  </si>
  <si>
    <t xml:space="preserve">empty grid on wed </t>
  </si>
  <si>
    <t>DEATH BY 1000 CUTS</t>
  </si>
  <si>
    <t>AVOID FREQUENT TRADES NOW</t>
  </si>
  <si>
    <t>WED AUD CPI INDICATOR | D &lt;= 3.7% AND H &gt;=3.9%</t>
  </si>
  <si>
    <t>not holding spds b4 event</t>
  </si>
  <si>
    <t>SPD EXIT</t>
  </si>
  <si>
    <t>1 sesh</t>
  </si>
  <si>
    <t>AUD MONTHLY CPI INDICATOR (P3.6% F3.8% A4%)</t>
  </si>
  <si>
    <t>FRONT EXPOSURE LONG SIDE HOLDING</t>
  </si>
  <si>
    <t>so s24 exit and hold d24 spd keep buying spd if goes below and scalp</t>
  </si>
  <si>
    <t>fair</t>
  </si>
  <si>
    <t>BUT MISSED MOMENTUM TRADE WITH 2+2 OR 3 LOTS</t>
  </si>
  <si>
    <t>same amt would have been profit</t>
  </si>
  <si>
    <t>RET + SZ</t>
  </si>
  <si>
    <t>WHY TRYING IR RET TRADES DURING CPI EVENT</t>
  </si>
  <si>
    <t>ORDER MANAGEMENT ISSUE</t>
  </si>
  <si>
    <t>PLACE HARD SLs IN THESE TRADES</t>
  </si>
  <si>
    <t>240 ticks bad loss</t>
  </si>
  <si>
    <t>D24 6MS</t>
  </si>
  <si>
    <t>FLY @ 7 CAN SCALP AROUND THIS</t>
  </si>
  <si>
    <t>J25 1Y SPD</t>
  </si>
  <si>
    <t>RET + VAR 3</t>
  </si>
  <si>
    <t>CAN MAKE DECONDOR</t>
  </si>
  <si>
    <t>-30 Sell</t>
  </si>
  <si>
    <t xml:space="preserve">ILLIQUIDITY + NO SL IN 1 YR CONTRACTS PLACED </t>
  </si>
  <si>
    <t>NEED TO PLACE HARD SL</t>
  </si>
  <si>
    <t>D25 6MS</t>
  </si>
  <si>
    <t>S25 CONDOR EXIT</t>
  </si>
  <si>
    <t>80 * -16 of s25 6ms</t>
  </si>
  <si>
    <t>STOP TRADING FRONTS WHOLE YEAR WITH HEAVY LOTS | part time job survive winters</t>
  </si>
  <si>
    <t>NEED TO IMPROVE ACCOUNT RETENTION</t>
  </si>
  <si>
    <t>FRONT SPD EXIT ONLY</t>
  </si>
  <si>
    <t>NO IR TRADES IN EVENTS</t>
  </si>
  <si>
    <t>part time job for the rest of the year</t>
  </si>
  <si>
    <t>EVERY TRADE THINK WHAT COULD GO WRONG AND WHAT WILL YOU DO IF IT DOES</t>
  </si>
  <si>
    <t>CLIP SIZES SPD: 1ST SPD 25</t>
  </si>
  <si>
    <t>2ND SPD 50</t>
  </si>
  <si>
    <t>3RD SPD 100</t>
  </si>
  <si>
    <t>4TH, 5TH, 6TH 200</t>
  </si>
  <si>
    <t>7TH 100</t>
  </si>
  <si>
    <t xml:space="preserve">CLIP SIZES 6MS BACKS </t>
  </si>
  <si>
    <t>2ND: 50</t>
  </si>
  <si>
    <t>3RD: 75</t>
  </si>
  <si>
    <t>4TH, 5TH, 6TH 100-150</t>
  </si>
  <si>
    <t>J25 6MS</t>
  </si>
  <si>
    <t>EXIT VIA 3MS</t>
  </si>
  <si>
    <t>structure exit loss</t>
  </si>
  <si>
    <t>plus the structure also @ loss</t>
  </si>
  <si>
    <t>M25 CONDOR (1)</t>
  </si>
  <si>
    <t xml:space="preserve">cuts global  </t>
  </si>
  <si>
    <t>&lt;=-4</t>
  </si>
  <si>
    <t>M25 FLY +1 S AND J25 FLY -2 S</t>
  </si>
  <si>
    <t>OR ELSE SCRATCH</t>
  </si>
  <si>
    <t>100 SCRATCH</t>
  </si>
  <si>
    <t>CLASSIC ADDING TO LOSERS TRADE</t>
  </si>
  <si>
    <t>S C R A T C H</t>
  </si>
  <si>
    <t>70 remains</t>
  </si>
  <si>
    <t>EXITING FROM M25 BUYING SIDE</t>
  </si>
  <si>
    <t xml:space="preserve">OBSERVATIONS OF JUNE | WHAT WORKED: </t>
  </si>
  <si>
    <t>6MS OF BELLY AND BACK (J25 ONWARDS; 4TH CONTRACT)RANGE FROM SHORT SIDE OR RANGED</t>
  </si>
  <si>
    <t>TED ILLIQUIDITY IN CALENDAR</t>
  </si>
  <si>
    <t>FRIYAY RET IN 6MS, 1YR / STRUCTURES</t>
  </si>
  <si>
    <t xml:space="preserve">DECONDOR BACK WITH 6MS AND 1YR </t>
  </si>
  <si>
    <t>LGAP IN FRONT 6MS USING VAR + VALUE ZONES WORKS A LOT DURING NON- THEME CHANGING EVENTS OR ECONOMIC RELEASE VALUE</t>
  </si>
  <si>
    <t>RANGED IN FRONT SHOULD ALWAYS BE DEFENSIVE AND LIMITED AND INTRADAY</t>
  </si>
  <si>
    <t>RANGED IN BACKS WORKS DURING DEAD DAYS CAN EVEN TRY VIA OUTRIGHTS WHERE TED IS A BACKUP DURING RANGED TEDS</t>
  </si>
  <si>
    <t>MOMENTUM DURING THEME CHANGING EVENTS OR ECONOMIC DATA HAS LESS HEAT SHOULD BE TAKEN AGGRESSIVELY</t>
  </si>
  <si>
    <t>WHAT DID NOT WORK:</t>
  </si>
  <si>
    <t>ANYTHING IN FRONT FIRST CONTRACT RELATED IR RET, SPD RET, FLY, DEFLY, CONDOR, 6MS</t>
  </si>
  <si>
    <t>SO AVOID FRONT COMPLETELY AND BASED ON FRONT SECONDARY TRADES</t>
  </si>
  <si>
    <t>FRONT ME LOSSES BACHANE KE LIYE TRADE ONLY 15% OF LOT SIZES AT BACKS</t>
  </si>
  <si>
    <t>BACK 150 REACHED SO FRONT ANYTHING: 25 LOTS</t>
  </si>
  <si>
    <t>USE XT AND FIRST SPD FOR MOMENTUM TRADES</t>
  </si>
  <si>
    <t>EMPTY GRID . by next week | so only intraday | hold the existing positions no averaging anymore</t>
  </si>
  <si>
    <t>SCALE DOWN . done</t>
  </si>
  <si>
    <t>no more averaging the ciurrent orders just scratch first until then no new trades</t>
  </si>
  <si>
    <t>Slowly start to rebuild.</t>
  </si>
  <si>
    <t>USE TT STOP</t>
  </si>
  <si>
    <t>JUST EXIT ORDERS NOW</t>
  </si>
  <si>
    <t>IF A STRUCTURE IS GOING ITM THEN BOOKING PARTIAL LOTS SO IF A STRUCTURE IS GOING AGAINST BOOK LOSSES OF SOME LOTS</t>
  </si>
  <si>
    <t>START SMALL TO REBUILD SMALL</t>
  </si>
  <si>
    <t>WORK ON THIS : IF A STRUCTURE IS GOING ITM THEN BOOKING PARTIAL LOTS SO IF A STRUCTURE IS GOING AGAINST BOOK LOSSES OF SOME LOTS</t>
  </si>
  <si>
    <t>practise loss booking with partial lots when a structure is failing : jao partial lots book karo</t>
  </si>
  <si>
    <t>TRADE AFTER REBATE</t>
  </si>
  <si>
    <t>SO EMPTY GRID or INTRADAY</t>
  </si>
  <si>
    <t>fronts to back ratio should be 1:3</t>
  </si>
  <si>
    <t>M25 FLY  (M25C -1S)</t>
  </si>
  <si>
    <t>M25 SPD -9 SL + J25 -10 SL ORDERS 100 LOTS EACH</t>
  </si>
  <si>
    <t>J25 FLY  (M25C -1S)</t>
  </si>
  <si>
    <t xml:space="preserve">ONLY EXIT ORDERS SHOULD BE PLACED </t>
  </si>
  <si>
    <t xml:space="preserve">START FRESH AFTER EXITING ALL THESE TRADES </t>
  </si>
  <si>
    <t>fix lot sizing</t>
  </si>
  <si>
    <t>LET MARKETS FORM RANGES FIRST</t>
  </si>
  <si>
    <t>THEN EXIT ALL</t>
  </si>
  <si>
    <t>EMPTY GRID BY WED| mkt hit if not done by that time</t>
  </si>
  <si>
    <t>JUN.24 BLOWUP</t>
  </si>
  <si>
    <t>ACCOUNT BLOWN (kind of)</t>
  </si>
  <si>
    <t>LEARNINGS:</t>
  </si>
  <si>
    <t>HIGHER LOT SIZING TRADES SHOULD BE RESERVED FOR RARE TIMES AND HAVE TO BE SELECTIVE -&gt; ALSO NEED TO REDUCE ADDITIONAL LOTS IMMEDIATELY IF DOES NOT HOLD OR MANY PLAYERS GOT THAT TRADE THEN IT BECOMES LESS VALUABLE</t>
  </si>
  <si>
    <t>after scaling up if losing streak occurs scale down by 50% in the next trades until that loss is recovered and break above the previous high</t>
  </si>
  <si>
    <t>LIQUIDITY ISSUES WHEN TRADING WITH HIGHER LOTS</t>
  </si>
  <si>
    <t>DEFINED TIMINGS TO TRADE AND HAVE A TIME LIMIT TO TRADE EVERYDAY</t>
  </si>
  <si>
    <t xml:space="preserve">CANT AFFORD BIG TRADES FREQUENTLY </t>
  </si>
  <si>
    <t>SCALING UP SHOULD BE DONE ON TRADES THAT WORK IN THE LONG RUN AND LESS FREQUENTLY</t>
  </si>
  <si>
    <t>TAKING LEAVES IS ALSO A TRADE | BY NOT LOSING MONEY</t>
  </si>
  <si>
    <t>DONT FORGET ACCOUNT MANAGEMENT ALLOCATION</t>
  </si>
  <si>
    <t>LOSING STREAKS HAPPENING WITH HIGHER LOTS DUE TO LEGGED / EXIT FAILURES</t>
  </si>
  <si>
    <t>these learnings won't be possible if you traded smaller lots all the time</t>
  </si>
  <si>
    <t>FORGOT ACCOUNT MANAGEMENT SIDE | JUST FOCUSSED ON CONTINUING THE PROCESS REGARDLESS| THIS WAS WRONG</t>
  </si>
  <si>
    <t>LOSING STREAKS OR BIG LOSS % OF ACCOUNT = ACCOUNT STOP NO MATTER WHAT (SAY 50% FROM CURRENT ACCOUNT SIZE LOSS = STOP AND STEP BACK TAKE WEEK OFF)</t>
  </si>
  <si>
    <t>this was not placed as there was no losing streaks before</t>
  </si>
  <si>
    <t>AROUND THEME CHANGING EVENTS DIFFICULT TO EMPTY GRID SO BEFORE TAKING NEW TRADES FIRST EMPTY GRID COMPLETELY OR CARRY HEDGED STRUCUTRES ONLY</t>
  </si>
  <si>
    <t>conclusion:</t>
  </si>
  <si>
    <t>1) LOSS ISSUE: big lots se legged (from multiple contracts like 3m, 6m, 1yr and unable to scratch those) or partial exits or exit failures or liquidity issues in cutting losses changed the strategies pnl behaviour and overall positive expectancy | SOLUTION: when this happens from strucutres, switch to intraday strategies AND vice versa</t>
  </si>
  <si>
    <t>2) PROFIT ISSUE: big lots se unable to hold winners for longer | Solution: USE TRAILING SL LIQUIDITY CONDITION | book few lots profit and let the rest run and keep booking partially 50% of the remaining until opposition arrives (ex: 100-&gt; 50 -&gt; 25 -&gt;12 -&gt; 6) in fronts and backs (exit half (50%) at 1 tick and take half again afterwards if it comes back or 3x (150%) opposite position @ 2 ticks or the other end of ranges 50% to exit remaining and 100% for opposite side entry)</t>
  </si>
  <si>
    <t>3) LOSING STREAK: LOSING STREAK AND / OR more than 50% OF ACCOUNT DRAWDOWN  =  STOP TAKING NEW TRADES, CONTROL IMPULSES BY WALKING AWAY | TRADE NEXT WEEK ONWARDS / AFTER 2 DAYS + VALUE AT RISK 50% OF BALANCED AMOUNT AND CHECK THE LOT SIZES AS PER YOUR MM MODEL</t>
  </si>
  <si>
    <t>4) empty grid around important theme changing events | AROUND THEME CHANGING EVENTS DIFFICULT TO EMPTY GRID SO BEFORE TAKING NEW TRADES FIRST EMPTY GRID COMPLETELY OR CARRY HEDGED STRUCUTRES ONLY</t>
  </si>
  <si>
    <t>5) TIMEOUT WITHIN 2 WEEKS AND EMPTY GRID | USE liquidity condition SL FOR LEFTOVER LOTS of legged contracts | this helps to capture new opportunites and manage them better after next event or movement</t>
  </si>
  <si>
    <t>6) IF NO STRUCTURE (D) 50% BALANCED LOTS until a structure is found and improve it's legs OR INTRADAY WITH NORMAL BALANCED LOTS</t>
  </si>
  <si>
    <t>7) POSITIONAL V INTRADAY/HOUR: TRACK WHEN POSITIONAL WORKING AND INTRADAY WORKING OR INTRAHOURS | USUALLY IF ONE WORKS THE OTHER DOESNT (SO WHEN POSITIONAL NOT WORKING INTRADAY WORKS) | so for a positional trader (my strength) if it is not working shift to intraday strats first</t>
  </si>
  <si>
    <t>8) after timeout cap 20% (forget this) and add 80% to balance and after 10k overall balance cap 50% (forget this) and add 50% to balance</t>
  </si>
  <si>
    <t>9) TRADE FOR 4 TO 6 HOURS PER DAY SO SELECT THOSE TIMES | NO UNNECESSARY ORDER PLACEMENT BEFORE THAT + STICK TO INTRAHOUR OR EXIT NEXT SESSION WITH SL OCO NO NEED TO HEDGE</t>
  </si>
  <si>
    <t>10) ACCOUNT MGMT&gt;RISK MGMT: first account management for lot sizes then risk management for strategies with the defined lot sizes for the next play WHEN SCALING UP AND NEED TO SCALE DOWN AFTER BIG LOSSES</t>
  </si>
  <si>
    <t>GOLDEN RULE: NEAR THEME CHANGE EVENTS EMPTY GRID OR25% LOTS</t>
  </si>
  <si>
    <t>GOLDEN RULE: DON'T TRY RET ON THEME CHANGING EVENTS | WAIT AND WATCH FULL DAY (2 SESSIONS)</t>
  </si>
  <si>
    <t>STOP TRADING FRONTS WHOLE YEAR WITH HEAVY LOTS | part time job | survive winters</t>
  </si>
  <si>
    <t>REST IS EQUALLY IMPORTANT</t>
  </si>
  <si>
    <t>WE CONTROL EXPENSES NOT INCOME</t>
  </si>
  <si>
    <t xml:space="preserve">cut partial losses if you cut partial profits </t>
  </si>
  <si>
    <t>cut the losses as %  example 2: 4 so cut 50% at 1st tick  or 40% and rest all at 2nd  | this is a skill called loss cutting | this has to be done with bigger lot sizes and hedges if placed</t>
  </si>
  <si>
    <t>ye negative expectancy game hai | toh focus hona chahiye ki losses kam kaise karu aur kitne der reh skta hu | you gamble to keep gambling not make money</t>
  </si>
  <si>
    <t>IN SLOW MARKETS JUST KEEP TAKING GOOD PIQ IN EQBM PRICES IN IR | but only 1 try at one price so never too many lots</t>
  </si>
  <si>
    <t>if not able to scalp scratch or pull when playing around structure</t>
  </si>
  <si>
    <t>July24 live (R+1) | REDUCE INTRADAY &gt;1D TRADES</t>
  </si>
  <si>
    <t>JUL.24</t>
  </si>
  <si>
    <t>I WAS WRONG AND I HAVE LEARNED FROM THE EXPERIENCE</t>
  </si>
  <si>
    <t>sometimes you have to accept the unfortunate that you did not expect to happen and move on</t>
  </si>
  <si>
    <t>GOALS:</t>
  </si>
  <si>
    <t>NEED TO RETAIN A LOT% OF MONEY THAT I WILL BE MAKING FROM HERE ON</t>
  </si>
  <si>
    <t>your job is to minimize losses in trades that you take</t>
  </si>
  <si>
    <t xml:space="preserve">MKT NEUTRAL STRATS. J.S. + BALANCED MM + TIMEOUT </t>
  </si>
  <si>
    <t>NEED TO EMPTY GRID AFTER MAX 2 WEEKS NO MATTER WHAT BEFORE TAKING NEW TRADES</t>
  </si>
  <si>
    <t>LOOK FOR A HEDGED STRUCTURE / VALUE ZONE; GO BALANCED / SNIPER</t>
  </si>
  <si>
    <t>IF NO STRUCTURE GO DEFENSIVE (pistol/ eco round) UNTIL IT GETS CLEARER OR ARBITRAGE EXISTS</t>
  </si>
  <si>
    <t>BEFORE ANY NEW PLAY HAVE THE ACCOUNT MANAGEMENT CHECKED</t>
  </si>
  <si>
    <t>after timeout cap to balance | mm101</t>
  </si>
  <si>
    <t>SUBTRACT AND PUSH . thats how you'll improve</t>
  </si>
  <si>
    <t>CAN'T GET THE QUALITY WITHOUT PUTTING IN THE QUANTITY</t>
  </si>
  <si>
    <t>DONT DO THE SAME THING THAT EVERYONE / 99% WILL DO; BUT STRAT REDUCTION, NOT SO MUCH</t>
  </si>
  <si>
    <t>trap traders who trade frequently | that's the nature of traders after making money | cant keep it</t>
  </si>
  <si>
    <t>NEW SIZING TOTAL LOTS (EQUAL DIVISION FOR MULTIPLE ENTRIES)</t>
  </si>
  <si>
    <t xml:space="preserve">HEDGED DFLY / FLY: 18 LOTS </t>
  </si>
  <si>
    <t>LGAP @ ZONES: 16</t>
  </si>
  <si>
    <t>RANGED: 9 LOTS SO 4,5 (IF 2 ENTRIES)</t>
  </si>
  <si>
    <t>SNIPER 36</t>
  </si>
  <si>
    <t>IF NO STRUCTURE (D) 50% OF THESE LOTS until a structure is found and improve it's legs OR INTRADAY WITH NORMAL BALANCED LOTS</t>
  </si>
  <si>
    <t>2,2</t>
  </si>
  <si>
    <t>BREATHE &gt; SMALL STEPS &gt; FEW TRADES WITH FEW LOTS &gt; EXECUTE FLAWLESSLY (PNL DOESN'T MATTER)</t>
  </si>
  <si>
    <t>Scalping+ can exit spd</t>
  </si>
  <si>
    <t>AOTC TRADE</t>
  </si>
  <si>
    <t>M25 SPD IR</t>
  </si>
  <si>
    <t>EXITS FOR REMAINING VIA M25 6MS B -20x 70 to get m25 spd -10 x 70 out</t>
  </si>
  <si>
    <t>M25 6MS</t>
  </si>
  <si>
    <t>NIGHT</t>
  </si>
  <si>
    <t>S25 6MS</t>
  </si>
  <si>
    <t>need J25-D25 -19</t>
  </si>
  <si>
    <t>EXIT J25 CONDOR -4</t>
  </si>
  <si>
    <t>wed . nfp, pmi | remove orders only lgap at value zones</t>
  </si>
  <si>
    <t xml:space="preserve">thu . dead </t>
  </si>
  <si>
    <t>fri . US labour data</t>
  </si>
  <si>
    <t xml:space="preserve">WHAT TO DO AFTER EXITS </t>
  </si>
  <si>
    <t>POSITIONAL SNIPER AT BACKS | longer duraion trades | weekly trades pick</t>
  </si>
  <si>
    <t>INTRAHOUR (&lt;1D) TRADES (teds, ir, front spds)</t>
  </si>
  <si>
    <t>NXT WEEK THU US CPI , THATS IT WHOLE WEEK</t>
  </si>
  <si>
    <t>AUD RETAIL SALES (P0.1% F0.3% A0.6%)</t>
  </si>
  <si>
    <t>SCALPING + RZ @ 4,5</t>
  </si>
  <si>
    <t>TRY TO GET OUT VIA IR IN MORNING SESSION</t>
  </si>
  <si>
    <t>NFP (P272K -&gt; 218KF190K A206K)</t>
  </si>
  <si>
    <t>DOVISH REV</t>
  </si>
  <si>
    <t>FRI | AVOID OUTRIGHTS, FRIYAY RET (A)</t>
  </si>
  <si>
    <t>UE (P4% F4% A4.1%)</t>
  </si>
  <si>
    <t>SPDS WENT DOWN BONDS WENT UP</t>
  </si>
  <si>
    <t>M25 CONDOR EXIT</t>
  </si>
  <si>
    <t>avg @ -21</t>
  </si>
  <si>
    <t>11 jul morning</t>
  </si>
  <si>
    <t>again structure exit loss</t>
  </si>
  <si>
    <t>VAR 3</t>
  </si>
  <si>
    <t>649PM</t>
  </si>
  <si>
    <t>MORNING</t>
  </si>
  <si>
    <t>WED RBNZ INT RATE</t>
  </si>
  <si>
    <t>THU US CPI | AVOID POSITIONAL | only exits until then</t>
  </si>
  <si>
    <t>EXITS OF OLD CONTRACTS FROM SELLING SIDE (SPDS) OR BUY SIDE (IR)</t>
  </si>
  <si>
    <t>AVOID US CPI DAY | EMPTY GRID  AND NO ORDERS</t>
  </si>
  <si>
    <t>EVE</t>
  </si>
  <si>
    <t>VAR3 + FRIYAY RET</t>
  </si>
  <si>
    <t>OI HIGHEST M25, S25, J25 IN THAT ORDER | MIGHT HAVE OPPORTUNITY IN THESE CONTRACTS SPDS, 3MS, 6MS, 1Y FOR INTRADAY DURING EVENTS</t>
  </si>
  <si>
    <t>J25 DC</t>
  </si>
  <si>
    <t>SZ (3,2)</t>
  </si>
  <si>
    <t>add 12 @ 3</t>
  </si>
  <si>
    <t>12 JUL MORNING</t>
  </si>
  <si>
    <t>6MS hl75,80    S4 4,5 | D24 3 | M5 3,2 | J25 ONWARDS 1</t>
  </si>
  <si>
    <t>J25 6MS IR</t>
  </si>
  <si>
    <t>PAPER FOR D24-J25 FROM J25 SELL</t>
  </si>
  <si>
    <t>PAPER</t>
  </si>
  <si>
    <t>PAPER HEDGE</t>
  </si>
  <si>
    <t>6PM EVENT</t>
  </si>
  <si>
    <t>SCRATCHABLE</t>
  </si>
  <si>
    <t>UK GDP MOM (P0% F0.2% A0.4%)</t>
  </si>
  <si>
    <t>US CORE CPI MOM JUN (P0% F0.1% A0.1%)</t>
  </si>
  <si>
    <t>US CPI MOM JUN (P3.4% F3.4% A3.3%)</t>
  </si>
  <si>
    <t>US CPI MOM JUN (P0% F0.1% A-0.1%)</t>
  </si>
  <si>
    <t>US CPI YOY (P3.3% F3.1% A3%)</t>
  </si>
  <si>
    <t>LGAP SZ</t>
  </si>
  <si>
    <t>IB AUG24</t>
  </si>
  <si>
    <t>RET AFTER DOVISH US TO AUD HAWKISH</t>
  </si>
  <si>
    <t>6BPS ( HIGHS 12BP)</t>
  </si>
  <si>
    <t>15 jul night s</t>
  </si>
  <si>
    <t>RET + SCALPING</t>
  </si>
  <si>
    <t>add more @ below prices 2 more entries bigger size</t>
  </si>
  <si>
    <t>till tue</t>
  </si>
  <si>
    <t>nxt session morning 550am</t>
  </si>
  <si>
    <t>1050pm</t>
  </si>
  <si>
    <t xml:space="preserve">VAR 4 </t>
  </si>
  <si>
    <t>ANALYZE THE EXTENDED OR NEW MOVE ON FRI MORNING AND PLAY FRIYAY TRADE IN 2ND SESSION</t>
  </si>
  <si>
    <t xml:space="preserve">SCALP </t>
  </si>
  <si>
    <t>DC EXIT</t>
  </si>
  <si>
    <t>EMPTY GRID ACHIEVED | plan the next attack strat for the next 2 weeks</t>
  </si>
  <si>
    <t>this is how you survive | waiting for the best opportunity and attacking when certain things have a higher chance | wait for the trapped traders | i kill the trapped traders | hurt the soft traders by having what they dont have or lose along the way; patience</t>
  </si>
  <si>
    <t>ACC BAL 5K</t>
  </si>
  <si>
    <t>MON | DEAD SO PAPER TRY WITH 5 LOTS</t>
  </si>
  <si>
    <t>TUE | US RETAIL SALES, CAD CPI | VAR</t>
  </si>
  <si>
    <t>THU | AUD LABOR DATA | MOMENTUM OR LGAP</t>
  </si>
  <si>
    <t>FRI | NZD CPI | AVOID QUOTES 1ST SESSION | BACKS ONLY (B) OR (D)</t>
  </si>
  <si>
    <t>1044am</t>
  </si>
  <si>
    <t>I</t>
  </si>
  <si>
    <t>RZ (-20,-19)</t>
  </si>
  <si>
    <t>MAKE CONDOR @ 0 WITH HALF LOTS IF GOES 1 TICK ANTI</t>
  </si>
  <si>
    <t>15 jul 218pm</t>
  </si>
  <si>
    <t>night session</t>
  </si>
  <si>
    <t>SCALPING + SZ (22,-23)</t>
  </si>
  <si>
    <t>CAN MAKE D24 CONDOR B @ -1</t>
  </si>
  <si>
    <t>D24 CONDOR -&gt; (1) 1:2</t>
  </si>
  <si>
    <t>P</t>
  </si>
  <si>
    <t>HC HAWKISH IN LONG RUN + CURVE ANOMALY or kink shifting in front (should not sustain for long)</t>
  </si>
  <si>
    <t>&gt;=2 TO 4 | half lots exits | exit all @ 0</t>
  </si>
  <si>
    <t>Hawkish rba or any hawkish data</t>
  </si>
  <si>
    <t>AFTER 23RD B4 30 HOLD FULL MONTH UNTIL 2 OR BELOW -2 | EXIT BY LAST WEEK</t>
  </si>
  <si>
    <t xml:space="preserve">31 JUL AUD CPI, FED </t>
  </si>
  <si>
    <t>EXIT ALL @ 0</t>
  </si>
  <si>
    <t>REDUCE 50% B4 WED NO MATTER WHAT</t>
  </si>
  <si>
    <t>IF LEGGED SCRATCH OR EXIT @ MKT HALF OF IT (25%)</t>
  </si>
  <si>
    <t>D24 DC(1) 1:2 -&gt; ()</t>
  </si>
  <si>
    <t>UA</t>
  </si>
  <si>
    <t>SZ (-41,-42 FOR D24 1Y SPD)</t>
  </si>
  <si>
    <t>HAWKISH OR LESS DOVISH IN LONG RUN</t>
  </si>
  <si>
    <t>DECONDOR SZ + HC STRONGER AND STABLE</t>
  </si>
  <si>
    <t>add &lt;0</t>
  </si>
  <si>
    <t>AFTER 23RD B4 30 JUL</t>
  </si>
  <si>
    <t>31 JUL AUD CPI, FED</t>
  </si>
  <si>
    <t>D24 1 Y SPD</t>
  </si>
  <si>
    <t>exit b4 aud labour data on thu</t>
  </si>
  <si>
    <t xml:space="preserve">add after us event </t>
  </si>
  <si>
    <t>ONLY INTRADAY IN D24 CONTRACTS NOW</t>
  </si>
  <si>
    <t>can add 12 more in d24 exposure</t>
  </si>
  <si>
    <t>2nd open</t>
  </si>
  <si>
    <t>S25 CONDOR(1) 1:2</t>
  </si>
  <si>
    <t>SZ (-6)</t>
  </si>
  <si>
    <t>HC ONE OF THEM SHOULD GO UP</t>
  </si>
  <si>
    <t>-4 only</t>
  </si>
  <si>
    <t>ADD NEAR -2 OR BELOW</t>
  </si>
  <si>
    <t>24 JUL EVE</t>
  </si>
  <si>
    <t>16 LEFT</t>
  </si>
  <si>
    <t>WITHIN MINUTES FLIPPING AVOIDING ADDING POSITIONS</t>
  </si>
  <si>
    <t>250pm</t>
  </si>
  <si>
    <t>CUTS IN LONGER RUN SHOULD NOT GO ABOVE 0</t>
  </si>
  <si>
    <t xml:space="preserve">taken the fly structure to scalp exit; if fails then scratch the stucture </t>
  </si>
  <si>
    <t>scalping exit or scratch the fly</t>
  </si>
  <si>
    <t>PLAN STRUCTURE: M25 DEFLY 3 TO -1</t>
  </si>
  <si>
    <t>S25 CONDOR -5,-6 TO -4</t>
  </si>
  <si>
    <t>AUD UE RATE (P4% F4.15 A4.1%)</t>
  </si>
  <si>
    <t>EMP CHANGE (P39K F19K A50k)</t>
  </si>
  <si>
    <t>YT SEP24</t>
  </si>
  <si>
    <t>D24 1Y SPD</t>
  </si>
  <si>
    <t>VAR + RET</t>
  </si>
  <si>
    <t xml:space="preserve">7M </t>
  </si>
  <si>
    <t>SQUEEZE B4 RBA ACTUAL DECISION</t>
  </si>
  <si>
    <t>DOUBLE FILLED @ MKT HIT + -3 SZ</t>
  </si>
  <si>
    <t>-1 SCALPING</t>
  </si>
  <si>
    <t>ADD @ -3 12 MORE</t>
  </si>
  <si>
    <t>END A MONTH POSITIVE NO MATTER WHAT =&gt; BUILDS CONSISTENCY</t>
  </si>
  <si>
    <t>wed pmi, boc | avoid trading</t>
  </si>
  <si>
    <t>thu us gdp | var  (a)</t>
  </si>
  <si>
    <t>fri us pce | friyay lgap, var (b)</t>
  </si>
  <si>
    <t>M25 3MS</t>
  </si>
  <si>
    <t>SCRATCHED AS B4 EVENT SPD</t>
  </si>
  <si>
    <t>SCALPING + SZ (-13 TO -15)</t>
  </si>
  <si>
    <t>ADD @ -14 12 LOTS</t>
  </si>
  <si>
    <t>Scalping var 2</t>
  </si>
  <si>
    <t>1AM 27 JUL</t>
  </si>
  <si>
    <t>FLY EXIT IF NOT SCALPED</t>
  </si>
  <si>
    <t>D25 3MS</t>
  </si>
  <si>
    <t>&gt;=2 TO 4 | half lots exits</t>
  </si>
  <si>
    <t>tue | jolts @ night | EMPTY GRID</t>
  </si>
  <si>
    <t>WED | AUD CPI, BOJ INT RATE (830AM), FED INT RATE | ALL THEME CHANGING EVENTS | NO LGAP, NO RET ORDERS, NO POSTIONS HEAVY | NO TRADES (OR ORDERS) WHOLE DAY (0), UNLESS BIG CHANGES THEN MOMENTUM IN YT, IR</t>
  </si>
  <si>
    <t>THU BOE INT RATE, US PMIs | wfh morning session, (D) FOR INTRDAY SCALPS OR LGAP NEAR ANY ZONES IF ANY ELSE NO TRADES FOR FRIYAY TRADES</t>
  </si>
  <si>
    <t>FRI US LABOUR DATA | NO OUTRIGHTS, NO TEDS THIS TIME, SCALPS (D) FROM HL85, VALUE ZONES</t>
  </si>
  <si>
    <t>SCALPING OF IR FAILED THEN GOT LEGGED</t>
  </si>
  <si>
    <t>ONLY IR SCALPING NO TED BACKUP</t>
  </si>
  <si>
    <t>loss w payup 1 | total 2 ticks</t>
  </si>
  <si>
    <t>C EXIT</t>
  </si>
  <si>
    <t>EXIT B4 EVENT</t>
  </si>
  <si>
    <t>AUD CPI QOQ Q2 (P1% F1% A1%)</t>
  </si>
  <si>
    <t>AUD CPI YOY (P3.6% F3.8% A3.8%)</t>
  </si>
  <si>
    <t>AUD TRIMMED MEAN CPI QOQ Q2 (P1% F1% A0.8%)</t>
  </si>
  <si>
    <t>AUD TRIMMED MEAN CPI YOY (P4% F4% A3.9%)</t>
  </si>
  <si>
    <t>35S</t>
  </si>
  <si>
    <t>TT STOP | TRAILING</t>
  </si>
  <si>
    <t>was able to execute because no other orders | so theme changing events; empty grid and try momentum</t>
  </si>
  <si>
    <t>S25 CONDOR</t>
  </si>
  <si>
    <t>SZ / RANGED (-6 TO -4) BUT -6 NOT @ HIT</t>
  </si>
  <si>
    <t>legged during execution</t>
  </si>
  <si>
    <t>cut the losses of the structure if legged and anti</t>
  </si>
  <si>
    <t>D24 1 YR</t>
  </si>
  <si>
    <t>RET (NOT LGAP)</t>
  </si>
  <si>
    <t>SL HIT</t>
  </si>
  <si>
    <t>BOJ HIKES 15BP (0.25%)</t>
  </si>
  <si>
    <t>BONDS WENT UP1 | BOND BUYING PROGRAM OR SOMETHING</t>
  </si>
  <si>
    <t>TT STOP | TRAILING AT SCRATCH AS JAPAN</t>
  </si>
  <si>
    <t>CONDOR @ 6</t>
  </si>
  <si>
    <t>FRIYAY INTRADAY BUT (B) OR (D) LOTS</t>
  </si>
  <si>
    <t>AFTER THAT WHOLE WEEK NOTHING</t>
  </si>
  <si>
    <t>REDUCING EXPOSURE BY 50% WHENEVER SOMETHING GOING ANTI DURING DEAD MARKETS</t>
  </si>
  <si>
    <t xml:space="preserve">HOW LONG DO YOU STAY LEGGED + LIQUIDITY + NEARBY EVENTS + PARTIAL EXITS + ARE YOU RISKING A LOT FOR SOME </t>
  </si>
  <si>
    <t>HOW SELECTIVE, HOW MANY LOTS, HOLDING DURATION</t>
  </si>
  <si>
    <t>PREVENT THE ACCOUNT FROM GOING DOWN IN THE LONG RUN | THINK HOW YOU CAN GET THAT DONE</t>
  </si>
  <si>
    <t>NOW YOUR FOCUS IS ON WHAT NOT TO DO AND WHEN NOT TO DO IT | SUBTRACT</t>
  </si>
  <si>
    <t>like tennis take a risky shot on first serve if fails then take a afer shot | make sure you can take more risky shots before taking a new one</t>
  </si>
  <si>
    <t>PRACTISE: letting the profits run | carry 25% with trailing sl or distribute half life for profits or 60:40 | ANDAFTER EXIT PUT SCALPING ORDER</t>
  </si>
  <si>
    <t>practise  : partial sl booking based on partial liquidity | ex: ask&lt;1000 exit 10%, ask&lt;500 exit 30% ask &lt;300 exit 50% | which initially might be 50% only</t>
  </si>
  <si>
    <t>revise every order before open | check if all one sided filss then what + is it the best posiible set of strats</t>
  </si>
  <si>
    <t>REDUCING BY 50% (SCRATCHING 50%) IF GOING ANTI / FLIPPED AFTER TAKING ENTRY WITH HEAVY LOTS OR ATTACKING LOTS</t>
  </si>
  <si>
    <t>PRACTISE:  SCRATCHING 50% IF GOING ANTI / FLIPPED AFTER TAKING ENTRY WITH HEAVY LOTS OR ATTACKING LOTS</t>
  </si>
  <si>
    <t>SELF SERVING BIAS: WE BLAME BAD OUTCOMES ON LUCK AND GOOD OUTCOMES ON SKILL | DEVELOP MORE PRACTICAL AND RATIONAL STRATEGIES, CONSIDER ALL OUTCOMES FIRST IF IT GOES WORSE OR FAILS BADLY | SO WHEN PLACING ORDERS THINK HOW EACH ONE WILL FAIL, WHEN THEY WILL FAIL, WHAT WILL OR COULD BE THE DRAWDOWN, CAN YOU HANDLE IT, WHICH ONES TO REMOVE OR HOW MUCH TO REDUCE IN THE ORDERS BEFORE THEY MIGHT FAIL</t>
  </si>
  <si>
    <t>what happens when you type your password incoorectly 4 times and you have 5 chances, you type the 5th time slowly | slow down after being wrong continuously and quickly</t>
  </si>
  <si>
    <t xml:space="preserve">DECONDOR 1YR WALA LEG HIT KRNA HOTA H | SO AVOID IN HIGH VOLATILE MARKETS </t>
  </si>
  <si>
    <t>IF ENTRY FROM VALUE ZONES FOR DEFLY THEN ADD INTRADAY LOTS WITH THAT AS WELL</t>
  </si>
  <si>
    <t>practise : IF ENTRY FROM VALUE ZONE THEN ADD EXTRA LOTS FOR INTRADAY TRADE AS WELL</t>
  </si>
  <si>
    <t xml:space="preserve">TRY PAPER TRADE TILL 11 AM AND ONLY 2 DAYS / WEEK FROM VAR ENTRIES ONLY </t>
  </si>
  <si>
    <t>SELECT FEW EVENTS (4-5 ARE ENOUGH) TO TRADE PER 2 WEEKS AND CAP AFTER THAT</t>
  </si>
  <si>
    <t>August24 live (R-1) | REDUCE LOT SIZING 2ND HALF AND ONLY EXITS IN 2ND HALF</t>
  </si>
  <si>
    <t>AUG.24</t>
  </si>
  <si>
    <t>740PM</t>
  </si>
  <si>
    <t>6MS</t>
  </si>
  <si>
    <t>CONDOR S25 EXIT @ -4</t>
  </si>
  <si>
    <t>add more @ -14</t>
  </si>
  <si>
    <t>2 AUG 638AM</t>
  </si>
  <si>
    <t>AUG.24.II</t>
  </si>
  <si>
    <t>M25 1Y -&gt; M25 DC</t>
  </si>
  <si>
    <t>6MF/C/DC</t>
  </si>
  <si>
    <t>SZ + RANGED (R+1) [8 LOTS FOR SCALPING]</t>
  </si>
  <si>
    <t>M25 DECONDOR J25 6MS -24 x 36 @ sz -2</t>
  </si>
  <si>
    <t>5 aug 4am</t>
  </si>
  <si>
    <t xml:space="preserve">exit @ hit </t>
  </si>
  <si>
    <t xml:space="preserve">exiting b4 rba + liquidity gone </t>
  </si>
  <si>
    <t xml:space="preserve">DOWN TREND IN LARGE TF </t>
  </si>
  <si>
    <t>2 AUG 726AM</t>
  </si>
  <si>
    <t>BS LIMIT EXCEEDED FOR THE MONTH</t>
  </si>
  <si>
    <t>scratch or avg alternate price</t>
  </si>
  <si>
    <t>ENTRIES FROM SHORT SIDE OF CURVE MORE FAVOURABLE IN THE LONG RUN</t>
  </si>
  <si>
    <t>US NFP JUL (PP206K -&gt; 179K F176K A114K)</t>
  </si>
  <si>
    <t>US UE RATE (P4.1% F4.1% A4.3%)</t>
  </si>
  <si>
    <t>AVG HOURLY EARNINGS (P0.3% F0.3% A0.2%)</t>
  </si>
  <si>
    <t>D24 3MS</t>
  </si>
  <si>
    <t>3MS</t>
  </si>
  <si>
    <t>SCALPING + VAR 5</t>
  </si>
  <si>
    <t>SCALPING EVENT LGAP FROM S SIDE</t>
  </si>
  <si>
    <t>SCALPING VAR2</t>
  </si>
  <si>
    <t>illiquidity</t>
  </si>
  <si>
    <t>S25 3MS</t>
  </si>
  <si>
    <t>CONDOR EXIT / REDUCE @ -5</t>
  </si>
  <si>
    <t>NXT TIME CUT LOSSES OF THE STRUCTUTRE</t>
  </si>
  <si>
    <t xml:space="preserve">EVE </t>
  </si>
  <si>
    <t>1YS</t>
  </si>
  <si>
    <t>SCALPING + VAR 4</t>
  </si>
  <si>
    <t>risk asset buying due to fear of US recession + israel iran attack anticipation + JAPAN CARRY TRADE</t>
  </si>
  <si>
    <t>PULLED ALL ORDERS | WAIT AND WATCH</t>
  </si>
  <si>
    <t>M25 DC</t>
  </si>
  <si>
    <t>2ND OPEN</t>
  </si>
  <si>
    <t>BS METER EXCEEDED</t>
  </si>
  <si>
    <t>LOT SIZING</t>
  </si>
  <si>
    <t>SCALPING cal 6 LOTS, SO  3,3</t>
  </si>
  <si>
    <t>OUTRIGHT MOMENTUM 2 SO 1,1 or 2 then partial exits</t>
  </si>
  <si>
    <t>VALUE ZONES or HL75 12 so 5,7</t>
  </si>
  <si>
    <t>lgap 7,8</t>
  </si>
  <si>
    <t>NO STRUCTURES OR TED</t>
  </si>
  <si>
    <t>NO OUTRIGHT RANGED OR RET</t>
  </si>
  <si>
    <t>US ISM NMFG PMI (F51.4 A51.4)</t>
  </si>
  <si>
    <t>TARGET ACC RETENTION AFTER 1 WEEK</t>
  </si>
  <si>
    <t xml:space="preserve">YOU MADE X AMT RETAIN 25% </t>
  </si>
  <si>
    <t>DO NOT LOSE MORE THAN 75% OF X THE NEXT WEEK</t>
  </si>
  <si>
    <t>PER TRADE RISK MANAGEMENT REQUIRED</t>
  </si>
  <si>
    <t>ONLY CALENDARS AND OUTRIGHTS WHERE YOU CAN PLACE TT STOP</t>
  </si>
  <si>
    <t>PRICES (F56 A57)</t>
  </si>
  <si>
    <t>USE ASE WITH 2-3 LOTS FOR FLUCTUATIONS LIKE DURING INTERNSHIP</t>
  </si>
  <si>
    <t>ONLY INTRADAY</t>
  </si>
  <si>
    <t>use algos in all for scalping 1 ticks</t>
  </si>
  <si>
    <t>3,4,5 RANGED TRADING</t>
  </si>
  <si>
    <t>EMP (F46.4 A51)</t>
  </si>
  <si>
    <t>VERY HAWKISH | OUTRIGHTS WENT DOWN</t>
  </si>
  <si>
    <t>&gt;6MINS</t>
  </si>
  <si>
    <t>WITHIN 6MINS</t>
  </si>
  <si>
    <t>OBSERVING THIS ONE</t>
  </si>
  <si>
    <t xml:space="preserve">CAN TAKE 4 TICKS MORE OR IF LATE TO HIT THEN TOTAL 4 TICKS </t>
  </si>
  <si>
    <t>xt mom: 8-10 ticks SL 4ticks</t>
  </si>
  <si>
    <t>xt range 8-12 ticks</t>
  </si>
  <si>
    <t>xt ret: 4 ticks SL 2 ticks</t>
  </si>
  <si>
    <t>yt mom: 7 ticks SL 3 ticks</t>
  </si>
  <si>
    <t>yt ret: 3 ticks SL 2 ticks</t>
  </si>
  <si>
    <t>belly ir mom: 7-9 ticks SL 3-4 ticks</t>
  </si>
  <si>
    <t>yt ret: 4 ticks SL 2 ticks</t>
  </si>
  <si>
    <t>RBA unchanged 4.35%</t>
  </si>
  <si>
    <t>STRATS UPDATE</t>
  </si>
  <si>
    <t xml:space="preserve">VAR 2 =&gt; 2 TICKS KA CANDLE | </t>
  </si>
  <si>
    <t>EITHER MOMENTUM OR RET</t>
  </si>
  <si>
    <t>M25 VAR 2</t>
  </si>
  <si>
    <t>J25 VAR1</t>
  </si>
  <si>
    <t>S25 VAR1</t>
  </si>
  <si>
    <t>D25 VAR1</t>
  </si>
  <si>
    <t>S24 VAR 4,6</t>
  </si>
  <si>
    <t>D24 VAR 3,4</t>
  </si>
  <si>
    <t>J25 VAR 2</t>
  </si>
  <si>
    <t>838AM</t>
  </si>
  <si>
    <t>S25-D25</t>
  </si>
  <si>
    <t>UD</t>
  </si>
  <si>
    <t>Scalping range ase chart -7 to -11</t>
  </si>
  <si>
    <t>IF -9 FLIPS IN CALENDAR THEN SCRATCH</t>
  </si>
  <si>
    <t>SCALPING VAR4</t>
  </si>
  <si>
    <t>1000 LOTS HIT + RZ (-15,-16)</t>
  </si>
  <si>
    <t>ADD 7 MORE @ -16</t>
  </si>
  <si>
    <t>BACK SCALPING 3</t>
  </si>
  <si>
    <t>VAR 2,4 BUT 2X A WEEK ONLY</t>
  </si>
  <si>
    <t>VALUE ZONES 2,4</t>
  </si>
  <si>
    <t>IR VAR 1,1</t>
  </si>
  <si>
    <t>LGAP 3,3</t>
  </si>
  <si>
    <t>RED FLY 4,4</t>
  </si>
  <si>
    <t>ALL INTRADAY TRADING ONLY + 1ST SESSION + NIGHT EVENTS</t>
  </si>
  <si>
    <t>6,2 =&gt; 6  TICKS AND RET &gt;=2</t>
  </si>
  <si>
    <t>IR 480 hl75, o75</t>
  </si>
  <si>
    <t>S24 3,1</t>
  </si>
  <si>
    <t>D24 4.35,1</t>
  </si>
  <si>
    <t>M25 5,2</t>
  </si>
  <si>
    <t>J25 6,1.5</t>
  </si>
  <si>
    <t>S25 6,2</t>
  </si>
  <si>
    <t>D25 6,2</t>
  </si>
  <si>
    <t>M26 6,2</t>
  </si>
  <si>
    <t>ALL H trades</t>
  </si>
  <si>
    <t xml:space="preserve">6th, 7th var in any 1 ir </t>
  </si>
  <si>
    <t>hold this full session with 3 ticks near hard sl</t>
  </si>
  <si>
    <t>AVOID US CPI DAY</t>
  </si>
  <si>
    <t>THEME CHANGING | SO JUST WAIT THIS ONE OUT</t>
  </si>
  <si>
    <t>MORE OPPORTUNITIES AHEAD</t>
  </si>
  <si>
    <t>TUE | AUD WPI | AVOID IR TRADES | DEAD SCALPING (UD)</t>
  </si>
  <si>
    <t>WED RBNZ, UK CPI, US CPI | MOMENTUM OUTRIGHT (UD ENTRY) TOTAL (D) ONLY | HAVE 250$ MAX SL</t>
  </si>
  <si>
    <t>THU AUD LABOUR DATA, US CORE RETAIL, PHILLY FED | AVOID TRADING FOR FRIYAY TRADES</t>
  </si>
  <si>
    <t>FRIYAY (UD)</t>
  </si>
  <si>
    <t>M25 6M FLY</t>
  </si>
  <si>
    <t>CUTS IN FRONT AND SPILLING FROM BACK RAISING BACK SPDS | ANANDH SIR VIEW</t>
  </si>
  <si>
    <t>HEDGED M25 6M SPD SHORT EXPOSURE</t>
  </si>
  <si>
    <t>SCALP AROUND IT FROM ADDING TO THISS POSITION DIRECTION</t>
  </si>
  <si>
    <t>M25 -28S  S25 -16B</t>
  </si>
  <si>
    <t>SCALP FROM ADDING DIRECTION</t>
  </si>
  <si>
    <t>D25 fly</t>
  </si>
  <si>
    <t>3MF</t>
  </si>
  <si>
    <t>sz (-3,-4)</t>
  </si>
  <si>
    <t>scalp around this</t>
  </si>
  <si>
    <t>SZ + SCALPING</t>
  </si>
  <si>
    <t>MAKE J25 CONDOR @ -4 S</t>
  </si>
  <si>
    <t>NEXT SESSION OPEN</t>
  </si>
  <si>
    <t>RBNZ CUTS 25 BPS (5.25%)</t>
  </si>
  <si>
    <t>US CORE CPI MOM JUL (P0.1% F0.2% A)</t>
  </si>
  <si>
    <t>US CPI YOY JUL (P3% F3% A2.9)</t>
  </si>
  <si>
    <t>US CPI MOM JUL (-0.1% 0.2% A)</t>
  </si>
  <si>
    <t>US CORE CPI YOY (P3.3% F3.2% A)</t>
  </si>
  <si>
    <t>AUD EMP CCHANGE (P52 F28 A52)</t>
  </si>
  <si>
    <t>HAWKISH REV</t>
  </si>
  <si>
    <t>UE (F4.1 A4.2%)</t>
  </si>
  <si>
    <t>UE DOVISH</t>
  </si>
  <si>
    <t>POST EVENT</t>
  </si>
  <si>
    <t>DOVISH DIR ENTRY / ANANDH SIR VIEW</t>
  </si>
  <si>
    <t>D24 SPD IS THE ANCHOR / PIVOT FOR CUTS ONLY</t>
  </si>
  <si>
    <t>J25 IS THE END</t>
  </si>
  <si>
    <t xml:space="preserve">SEP 25 IS FOR CUTS GETTING DISPLACED </t>
  </si>
  <si>
    <t>J25 S25 RANGED around -20,-21</t>
  </si>
  <si>
    <t>Scratchable</t>
  </si>
  <si>
    <t>used to exit m25 c</t>
  </si>
  <si>
    <t>US CORE RETAIL SALES (P0.5% F0.1 A0.4%)</t>
  </si>
  <si>
    <t>HAWKISH REV, HAWKISH DATA | BONDS WENT LOWER</t>
  </si>
  <si>
    <t>IJL CLIAMS (P234K F236 A227K)</t>
  </si>
  <si>
    <t>PHILLY FED (P13 F5 A-7)</t>
  </si>
  <si>
    <t>RETAIL SALES (P-0.2 F0.4 A1%)</t>
  </si>
  <si>
    <t>603PM</t>
  </si>
  <si>
    <t>SZ (-18,-16,-14) DOWNTREND OF HIGHS</t>
  </si>
  <si>
    <t>HOLD 1 EXTRA SCALP 2 INTRADAY</t>
  </si>
  <si>
    <t>exit all by tue</t>
  </si>
  <si>
    <t>usually takes 2 days</t>
  </si>
  <si>
    <t>16 aug 530am</t>
  </si>
  <si>
    <t>weekend risk trade scalp</t>
  </si>
  <si>
    <t>J25 SPD -&gt; J25 FLY</t>
  </si>
  <si>
    <t>SCALPING + DOWNTREND OF RZ (-9,-10) OF J25 SPD</t>
  </si>
  <si>
    <t>FLY RANGED (0,-1 TO -3,-4)</t>
  </si>
  <si>
    <t>Was not available @ hit so can try for -3 or even try adding @ -1</t>
  </si>
  <si>
    <t>NOW AVAILABLE @ HIT BUT FEW LOTS</t>
  </si>
  <si>
    <t>16 aug 7am</t>
  </si>
  <si>
    <t>M25 spd (1)</t>
  </si>
  <si>
    <t>\AGGRESSIVE SCALPING OR VAR2 HAVE BETTER TRADES</t>
  </si>
  <si>
    <t>HEDGING BY BACK 9MS</t>
  </si>
  <si>
    <t>hedging @ back for ret of curve structure</t>
  </si>
  <si>
    <t>16 aug morning 6am</t>
  </si>
  <si>
    <t>D24 spd</t>
  </si>
  <si>
    <t>VAR 4</t>
  </si>
  <si>
    <t xml:space="preserve">-26 RZ START SO CAN AVG AFTER EXITING 50% </t>
  </si>
  <si>
    <t>16 aug morning</t>
  </si>
  <si>
    <t>CAN BE AVERAGED AT -26 AFTER SCALPING 1 TICK 50%</t>
  </si>
  <si>
    <t>713PM</t>
  </si>
  <si>
    <t>S24 9MS</t>
  </si>
  <si>
    <t xml:space="preserve">LGAP </t>
  </si>
  <si>
    <t xml:space="preserve">ALL WHITES SHOULD HAVE CUTS PLACED | DOWNWARD POSTIONS | AT THAT INSTANCE 66 WASBID WITH LOW VOLUMES SO -65 SHORT WAS MATHEMATICALLY GOOD CAN RIDE THIS </t>
  </si>
  <si>
    <t>-70 IF ALL THIS HAWKISH MOVE RETRACES COMPLETELY IF NOT AVG LATER</t>
  </si>
  <si>
    <t>lgap failed as a lot of bid</t>
  </si>
  <si>
    <t>so scratch asap</t>
  </si>
  <si>
    <t>M25 C (3MS)</t>
  </si>
  <si>
    <t>DOVISH DIR ENTRY IN THE LONG RUN / ANANDH SIR VIEW</t>
  </si>
  <si>
    <t>Add @ -7 rz</t>
  </si>
  <si>
    <t>NOT AVAILABLE @ HIT</t>
  </si>
  <si>
    <t>S25 9MS (1)</t>
  </si>
  <si>
    <t>9MS</t>
  </si>
  <si>
    <t>HEDGING FRONT SHORT EXPOSURES A LITTLE</t>
  </si>
  <si>
    <t>1st session close</t>
  </si>
  <si>
    <t xml:space="preserve">RZ + RANGED </t>
  </si>
  <si>
    <t>2h40m</t>
  </si>
  <si>
    <t>240PM</t>
  </si>
  <si>
    <t>tripple kill</t>
  </si>
  <si>
    <t xml:space="preserve">2nd session </t>
  </si>
  <si>
    <t>RANGED (-4 TO -3)</t>
  </si>
  <si>
    <t>CUTS IN FRONT SO DIRECTION FROM BUYING AS BACK SPDS GO UP</t>
  </si>
  <si>
    <t>need j25 3ms -12 for</t>
  </si>
  <si>
    <t>exit via 6ms</t>
  </si>
  <si>
    <t>2nd ses</t>
  </si>
  <si>
    <t>J25 6MS -&gt; J25 C</t>
  </si>
  <si>
    <t xml:space="preserve">SCALPING + RANGED OF SPD </t>
  </si>
  <si>
    <t>J25 FLY -2 B S25 FLY -3 B</t>
  </si>
  <si>
    <t xml:space="preserve">SCALPING + RANGED </t>
  </si>
  <si>
    <t>CUTS AT BACK SHOULD BE LESS PRICED IN and spds should go up</t>
  </si>
  <si>
    <t>avg @ -13</t>
  </si>
  <si>
    <t>21aug 1130am</t>
  </si>
  <si>
    <t xml:space="preserve">CUTS AT BACK SHOULD BE LESS PRICED IN </t>
  </si>
  <si>
    <t>can make s25 fly @-2 rz exit 5 LOTS and exit j25 c 2 LOTS</t>
  </si>
  <si>
    <t>ranged (-3,-2)</t>
  </si>
  <si>
    <t>21 aug 1130am</t>
  </si>
  <si>
    <t xml:space="preserve">STRATS (B) </t>
  </si>
  <si>
    <t xml:space="preserve">RED FLY RANGES  7,9  (EXCEPT AROUND THEME CHANGING EVENTS) </t>
  </si>
  <si>
    <t>lgap 5,7</t>
  </si>
  <si>
    <t>var 5,7</t>
  </si>
  <si>
    <t>zones 5,7</t>
  </si>
  <si>
    <t>scalping 3,3</t>
  </si>
  <si>
    <t>fly combo 5,7</t>
  </si>
  <si>
    <t xml:space="preserve">LOOK FOR 2 TICKS IN WHITES </t>
  </si>
  <si>
    <t>sniper 14,18</t>
  </si>
  <si>
    <t>ANTICIPATION OF BLS AND TRYING TO TRADE MOMENTUM</t>
  </si>
  <si>
    <t>IR SEP25</t>
  </si>
  <si>
    <t>dead prices can act as hedge</t>
  </si>
  <si>
    <t>J25 6MS -21, -20</t>
  </si>
  <si>
    <t>S25 3MS -9</t>
  </si>
  <si>
    <t>S25 6MS -16</t>
  </si>
  <si>
    <t>JACKSON HOLE SYMPOSIUM + POWELL SPEECH @ 730PM</t>
  </si>
  <si>
    <t>powell speech</t>
  </si>
  <si>
    <t>Dovish outlook</t>
  </si>
  <si>
    <t>D24 FLY (2)</t>
  </si>
  <si>
    <t>RZ AROUND -6 TO -4</t>
  </si>
  <si>
    <t>&lt;=-10</t>
  </si>
  <si>
    <t>ADD @ -6 AND -5</t>
  </si>
  <si>
    <t>exit all by next weekend</t>
  </si>
  <si>
    <t>M25 6MS (1)</t>
  </si>
  <si>
    <t>M25 C SZ -12 SZ</t>
  </si>
  <si>
    <t>EXIT BY WED 2ND</t>
  </si>
  <si>
    <t xml:space="preserve">REDUCE </t>
  </si>
  <si>
    <t xml:space="preserve">failed at data + BULLOCK HAWKISH IN MORNING </t>
  </si>
  <si>
    <t>new strat</t>
  </si>
  <si>
    <t>M25 C (2)</t>
  </si>
  <si>
    <t>SZ (-12 TO -14)</t>
  </si>
  <si>
    <t>CUTS IN LONG RUN AS THIS WILL BE IMPACTED MOST BY FEB MAR APR MEETS WHERE MORE CHANCES OF CUTS (lowest is around 35)</t>
  </si>
  <si>
    <t>HEDGE FOR M25 6MS B</t>
  </si>
  <si>
    <t>Monthly CPI indicator (p3.8% f3.4% a3.5%)</t>
  </si>
  <si>
    <t>momentum J25 6MS</t>
  </si>
  <si>
    <t>c exit use -&gt; c for scratching</t>
  </si>
  <si>
    <t>night</t>
  </si>
  <si>
    <t>Scalping (sz) maybe | scratch immediately if flips</t>
  </si>
  <si>
    <t>few cuts at back in long run chance high</t>
  </si>
  <si>
    <t>THIS SHOULD HAVE BEEN 14 IF FRONT HAS 7-8 THIS SHOULD BE AT LEAST 14 OR 16</t>
  </si>
  <si>
    <t>Morning</t>
  </si>
  <si>
    <t>XT SEP24-DEC24</t>
  </si>
  <si>
    <t>ROLL (ROFL)</t>
  </si>
  <si>
    <t>morning</t>
  </si>
  <si>
    <t>sz(63)</t>
  </si>
  <si>
    <t xml:space="preserve">CUTS </t>
  </si>
  <si>
    <t>rz (-16)</t>
  </si>
  <si>
    <t>CUTS / DOVISH BIAS FAVOR</t>
  </si>
  <si>
    <t>US GDP 3% V 2.8%F</t>
  </si>
  <si>
    <t>ALL POSITIONS EXIT | R MONTH</t>
  </si>
  <si>
    <t>try intraday at extremes</t>
  </si>
  <si>
    <t>EXIT BEFORE EVENTS WITH DOVISH EXPECTATIONS</t>
  </si>
  <si>
    <t>AUS RETAIL SALES MOM 0% V 0.5% F</t>
  </si>
  <si>
    <t>EXIT B4 THU EVENT</t>
  </si>
  <si>
    <t>TUE PMI</t>
  </si>
  <si>
    <t>WED AUD GDP, BOC INT RATE, JOLTS</t>
  </si>
  <si>
    <t>THU US ISM NMFG PMI</t>
  </si>
  <si>
    <t>FRI US LABOUR DATA UE, NFP</t>
  </si>
  <si>
    <t>J25 C 3 LOTS EXIT + S25 FLY S -1</t>
  </si>
  <si>
    <t xml:space="preserve">September24 live (R) | REDUCE LOT SIZING 1ST HALF, AVOID POSITIONAL </t>
  </si>
  <si>
    <t>SEP.24</t>
  </si>
  <si>
    <t>morning entry + night hedge</t>
  </si>
  <si>
    <t>dovish view here</t>
  </si>
  <si>
    <t>rz (-6 to -4)</t>
  </si>
  <si>
    <t>DOVISH VIEW CUTS IN THESE QUARTER</t>
  </si>
  <si>
    <t>HOLD TILL THU EVE DATA</t>
  </si>
  <si>
    <t>DOVISH DATA RR</t>
  </si>
  <si>
    <t>4 sep, 5 sep</t>
  </si>
  <si>
    <t>SCALP AOTC</t>
  </si>
  <si>
    <t xml:space="preserve">INTRADAY TILL ROLL </t>
  </si>
  <si>
    <t>LOOK FOR VALUE PRICES</t>
  </si>
  <si>
    <t>EMPTY GRID BY WED 2ND SESSION</t>
  </si>
  <si>
    <t xml:space="preserve">17TH AUG ONWARDS MAKE LOT SIZING CHANGES </t>
  </si>
  <si>
    <t>UNTIL 17TH INTRADAY WITH D LOTS</t>
  </si>
  <si>
    <t>AUD GDP (1% V 1% PREV REV UP TO 1.3%)</t>
  </si>
  <si>
    <t>HAWKISH REVISIONS</t>
  </si>
  <si>
    <t>US JOLTS (7.6M V 8M)</t>
  </si>
  <si>
    <t>SCALPING + RANGED -12,-13</t>
  </si>
  <si>
    <t>INTRA + EVENT IN EVE</t>
  </si>
  <si>
    <t>SCALP + RANGED -12,-11</t>
  </si>
  <si>
    <t>S25 6MS OUTRIGHT</t>
  </si>
  <si>
    <t>SCALP FROM IR TRY . FAIL</t>
  </si>
  <si>
    <t>SCALP SZ 6MS S25 -&gt; S25 FLY -1 RZ</t>
  </si>
  <si>
    <t xml:space="preserve">CAN MAKE FLY S25 S @ -1 -&gt; HC </t>
  </si>
  <si>
    <t xml:space="preserve">6m spd scalp itself </t>
  </si>
  <si>
    <t xml:space="preserve">ISM NMFG PMI </t>
  </si>
  <si>
    <t>high volatility expected | get out</t>
  </si>
  <si>
    <t>US NFP AUG (P114K - &gt; 74k F164K A118k)</t>
  </si>
  <si>
    <t>UE RATE (P4.3% F4.2% A)</t>
  </si>
  <si>
    <t>EMPTY GRID ACHIEVED</t>
  </si>
  <si>
    <t>Avoid d24 spd</t>
  </si>
  <si>
    <t>TRADING STOP FOR 1 WEEK</t>
  </si>
  <si>
    <t>6ms lgap</t>
  </si>
  <si>
    <t>ir 2,3 most moving | behaves like red ir in hike cycle</t>
  </si>
  <si>
    <t>scenario analysis dashboard</t>
  </si>
  <si>
    <t>revamped trading workspace</t>
  </si>
  <si>
    <t>investigated curve movements based on economic data</t>
  </si>
  <si>
    <t>AU</t>
  </si>
  <si>
    <t>INT RATE: 4.35%</t>
  </si>
  <si>
    <t>UE 4.2%</t>
  </si>
  <si>
    <t>CPI YOY 3.8%</t>
  </si>
  <si>
    <t>GDP YOY 1%</t>
  </si>
  <si>
    <t>US</t>
  </si>
  <si>
    <t>INT RATE: 5%</t>
  </si>
  <si>
    <t xml:space="preserve">UE 4.2% </t>
  </si>
  <si>
    <t>CPI YOY 2.5%</t>
  </si>
  <si>
    <t>GDP YOY 3%</t>
  </si>
  <si>
    <t>Price making</t>
  </si>
  <si>
    <t>M25 FLY -&gt; m25 3ms</t>
  </si>
  <si>
    <t>RR, PRICING, CUTS BIAS IN LONG RUN</t>
  </si>
  <si>
    <t>RR, CUTS BIAS</t>
  </si>
  <si>
    <t>-26 WITH 1 PAYUP</t>
  </si>
  <si>
    <t>RZ (-65)</t>
  </si>
  <si>
    <t>book 75% in 1 tick in the money</t>
  </si>
  <si>
    <t xml:space="preserve">instead of 25% </t>
  </si>
  <si>
    <t>Aussie markets so &gt;=3 ticks is a dream</t>
  </si>
  <si>
    <t>M26 6MS -&gt; M26 FLY -&gt; m26 3ms</t>
  </si>
  <si>
    <t>SZ RANGED</t>
  </si>
  <si>
    <t>BUY SIDE ENTRY AS BACKS GO UP IF CUTS PLACED IN FRONT MORE  BIAS</t>
  </si>
  <si>
    <t>M26 FLY B -4 (SZ)</t>
  </si>
  <si>
    <t>not holding for too long</t>
  </si>
  <si>
    <t>YT ANTI DURING JPN NEWS</t>
  </si>
  <si>
    <t>M26 SPD - m26 spd</t>
  </si>
  <si>
    <t xml:space="preserve">if cuts in front backs should go up </t>
  </si>
  <si>
    <t>FOR M26 FLY @ -4</t>
  </si>
  <si>
    <t>too much exposure in front  |  REDUCE</t>
  </si>
  <si>
    <t xml:space="preserve">build exposure later around events </t>
  </si>
  <si>
    <t>PRICING WISE MAX</t>
  </si>
  <si>
    <t>close front contracts | except IR</t>
  </si>
  <si>
    <t>day stop trade FRI</t>
  </si>
  <si>
    <t>ANKIT</t>
  </si>
  <si>
    <t>MOST IMPORTANT</t>
  </si>
  <si>
    <t>50% reduce lots if intuitively failing instantly @ 1 tick anti</t>
  </si>
  <si>
    <t>SL @ -2 TICKS ALWAYS | THIS IS ALWAYS DEFINED</t>
  </si>
  <si>
    <t>RR IS 5:3 STILL SL @ 2 AND THEN LOT SIZE IS DECIDED</t>
  </si>
  <si>
    <t>PRICE TELLS POSSIBLE ENTRIES AND WHICH TRADES TO AVOID</t>
  </si>
  <si>
    <t>1 YEAR END WALA RATE = NEUTRAL RATE | IF 1st contract is d24 then d25 will be the interest rate OR where spread is 0 like j26 spd then j26 wala rate</t>
  </si>
  <si>
    <t>FRONT 2 AVOID B4 DATA AT ANY COST + HOW WILL (2ND FLY, 3RD SPD) onwards WILL MOVE</t>
  </si>
  <si>
    <t>October24 live (R+1) | REDUCE INTRADAY &gt;1D TRADES</t>
  </si>
  <si>
    <t>OCT.24</t>
  </si>
  <si>
    <t>IR DEC24</t>
  </si>
  <si>
    <t>RR (LOWEST PRICE 74)</t>
  </si>
  <si>
    <t>2ND SESSION</t>
  </si>
  <si>
    <t>intraday pricing + technical trade</t>
  </si>
  <si>
    <t xml:space="preserve">avoid front contract combos </t>
  </si>
  <si>
    <t>only front outrights</t>
  </si>
  <si>
    <t>look for belly and back trades</t>
  </si>
  <si>
    <t>close first contracts | except IR</t>
  </si>
  <si>
    <t>JOLTS (P7.6 F7.6 A8M)</t>
  </si>
  <si>
    <t>BONDS WENT UP!</t>
  </si>
  <si>
    <t>ISM MFG PMI (P47.2 F47.6 A47.2)</t>
  </si>
  <si>
    <t>XT DEC24</t>
  </si>
  <si>
    <t>MOMENTUM / ONE HAWKISH ONE DOVISH</t>
  </si>
  <si>
    <t>STRATS (D) | FULL MONTH</t>
  </si>
  <si>
    <t>IR1 4,4</t>
  </si>
  <si>
    <t>RED FLY 8,8</t>
  </si>
  <si>
    <t>VAR,HL 3,3</t>
  </si>
  <si>
    <t>VAL Z 4,4</t>
  </si>
  <si>
    <t>xt momntm 1</t>
  </si>
  <si>
    <t>SNP (1-2/ 2 WEEKS):7 OR 9</t>
  </si>
  <si>
    <t>IDENTIFY LOW RISK CONTRACTS</t>
  </si>
  <si>
    <t>CUTS BIAS HERE IN LONG RUN; LOW UPSIDE</t>
  </si>
  <si>
    <t>S25 1Y SPD</t>
  </si>
  <si>
    <t>S25DC -2 LONG SZ</t>
  </si>
  <si>
    <t>fri 1115am</t>
  </si>
  <si>
    <t>M25 SPD OUTRIGHT</t>
  </si>
  <si>
    <t>PRICE TRADE (FAIL)</t>
  </si>
  <si>
    <t>B4 EVENT</t>
  </si>
  <si>
    <t>RZ (-6,-5)</t>
  </si>
  <si>
    <t>US NFP (P140K -&gt; 154K F147K A254K)</t>
  </si>
  <si>
    <t>US UE (4.1% V 4.2%)</t>
  </si>
  <si>
    <t>BONDS DID NOT GO DOWN AS MUCH</t>
  </si>
  <si>
    <t xml:space="preserve">S25 6MS -&gt; S25 C </t>
  </si>
  <si>
    <t>SZ (-10)</t>
  </si>
  <si>
    <t>S1Y SPD</t>
  </si>
  <si>
    <t>SZ SCALPING</t>
  </si>
  <si>
    <t>YT DEC24</t>
  </si>
  <si>
    <t>5MINS</t>
  </si>
  <si>
    <t>var5 + rz</t>
  </si>
  <si>
    <t>M26 3MS</t>
  </si>
  <si>
    <t>FOR SOME STRUCTURE</t>
  </si>
  <si>
    <t>PRICE LOWS</t>
  </si>
  <si>
    <t>24MINS</t>
  </si>
  <si>
    <t>RZ (5,6)</t>
  </si>
  <si>
    <t>PRICE HIGHS + CUTS BIAS IN LONG RUN (LESS DOWNSIDE)</t>
  </si>
  <si>
    <t>HEDGED C</t>
  </si>
  <si>
    <t>SCRATCH 10 @ 5 ASAP | M25 20, J25 15</t>
  </si>
  <si>
    <t>THESE TRADES ARE NOT RESPECTED IN MKT</t>
  </si>
  <si>
    <t xml:space="preserve">FIND INTRADAY ONLY </t>
  </si>
  <si>
    <t>23 lots left at j25 -14 s</t>
  </si>
  <si>
    <t>LGAP TO RZ</t>
  </si>
  <si>
    <t>VAR + RZ (SL STOP)</t>
  </si>
  <si>
    <t>SZ + SCALP</t>
  </si>
  <si>
    <t>C @ -10 SZ</t>
  </si>
  <si>
    <t>-16 x 12lots</t>
  </si>
  <si>
    <t>PRICE TRADE TRY FOR SPD EXIT</t>
  </si>
  <si>
    <t>EXIT ALL BEFORE CPI</t>
  </si>
  <si>
    <t>SUDDENLY HAWKISH | NO ONE EXPECTING THESE MOVES</t>
  </si>
  <si>
    <t>THATS WHERE YOU CAN GET KILLED SO TIGHT SL TO REMOVE 50% OF EVERYTHING IN 2TICKS MAX</t>
  </si>
  <si>
    <t>DO. NOT. HOLD. FOR. LONGER.</t>
  </si>
  <si>
    <t>ir 2 entries | lots 3:4</t>
  </si>
  <si>
    <t>339AM</t>
  </si>
  <si>
    <t>CURVE EXITS LEFTOVER | SHIFTING EXPOSURE TO BACK</t>
  </si>
  <si>
    <t>WED RBNZ CUT EXPECTED | EXIT 50% IF SL NOT HIT</t>
  </si>
  <si>
    <t>THU US CPI | THEME CHANGING, NO TRADES EXCEPT INTRADAY MOMENTUM</t>
  </si>
  <si>
    <t xml:space="preserve">SL 1 TICK for all trades </t>
  </si>
  <si>
    <t>so no positional trading from now</t>
  </si>
  <si>
    <t>target also 1 tick</t>
  </si>
  <si>
    <t>RBNZ CUTS 50BP 4.75%</t>
  </si>
  <si>
    <t>NXT TRADE ON CPI</t>
  </si>
  <si>
    <t>scalping trades only with max 2 ticks SL 7 lots</t>
  </si>
  <si>
    <t>if back fly backup (1 tick anti) then 14 lots</t>
  </si>
  <si>
    <t>contracts: ir1, 3ms 3-6, 6ms 2-6, 1y 3-4</t>
  </si>
  <si>
    <t>US CPI MOM (P0.2% F0.1% A0.2%)</t>
  </si>
  <si>
    <t>ALL HAWKISH DATA</t>
  </si>
  <si>
    <t>US CPI YOY (P2.5% F2.3% A2.4%)</t>
  </si>
  <si>
    <t>OPPOSITE MOVE</t>
  </si>
  <si>
    <t>US CORE CPI MOM (0.3 V 0.2)</t>
  </si>
  <si>
    <t>ISRAEL HAMAS WAR NEWS + oil 2% up</t>
  </si>
  <si>
    <t>INTRADAY MOMENTUM + 3-10 AS HEDGE</t>
  </si>
  <si>
    <t>no momentum trades as well, ig</t>
  </si>
  <si>
    <t>day stop</t>
  </si>
  <si>
    <t>no event trading thanks to TT</t>
  </si>
  <si>
    <t>M26 6m SPD -&gt; D25 C</t>
  </si>
  <si>
    <t>HEDGED COMBO | M26 FLY S @ -2 FAILED SO D25 C</t>
  </si>
  <si>
    <t>faltu me structure banaya</t>
  </si>
  <si>
    <t>CURVE TRADING FAILED / HELPED TO SCRATCH</t>
  </si>
  <si>
    <t xml:space="preserve">HAWKISH DATA </t>
  </si>
  <si>
    <t>pre event</t>
  </si>
  <si>
    <t>FOR FLY STRUCTURE</t>
  </si>
  <si>
    <t>aotc</t>
  </si>
  <si>
    <t>only low lot scalping ASE (1,2)  intraday</t>
  </si>
  <si>
    <t>belly(16) backs (32)</t>
  </si>
  <si>
    <t>ir1 (7,15)</t>
  </si>
  <si>
    <t>50,25 doesnt matter|intraday</t>
  </si>
  <si>
    <t>WED UK CPI</t>
  </si>
  <si>
    <t>THU AUD JOB DATA, US RETAIL SALES</t>
  </si>
  <si>
    <t>HAWKSIH BIAS + PRICING WISE TOP | AGAINST TECHNICAL AS THIS IS NEAR SZ</t>
  </si>
  <si>
    <t>10am+</t>
  </si>
  <si>
    <t>but technical was followed next session would have gone 3 ticks anti</t>
  </si>
  <si>
    <t xml:space="preserve">S25 1Y </t>
  </si>
  <si>
    <t>AUD EMP CHANGE (64.1K V 25K)</t>
  </si>
  <si>
    <t xml:space="preserve">MOMENTUM DIRECTIONAL MOVES IN OUTRIGHTS AND FRONT SPDS | ALL WENT DOWN + 3-10 WENT DOWN </t>
  </si>
  <si>
    <t>AUD UE (4.1 V 4.2)</t>
  </si>
  <si>
    <t>FLY STRUCTURE SURVIVES</t>
  </si>
  <si>
    <t>NEXT TIME AS WELL MAKE HALF LOT FLY</t>
  </si>
  <si>
    <t>THEME CHANGING MAYBE</t>
  </si>
  <si>
    <t>avoid structures</t>
  </si>
  <si>
    <t xml:space="preserve">RZ </t>
  </si>
  <si>
    <t>PRICE WISE TOP + CUTS BIAS HERE</t>
  </si>
  <si>
    <t xml:space="preserve">COULD NOT HOLD AS HAD TO BE SELECTIVE </t>
  </si>
  <si>
    <t xml:space="preserve">LOW ACCOUNT </t>
  </si>
  <si>
    <t>SZ + SCALPING EVENT</t>
  </si>
  <si>
    <t>NEXT ENTRY @ -18</t>
  </si>
  <si>
    <t>18 OCT 3AM</t>
  </si>
  <si>
    <t>NEXT ENTRY @ -36</t>
  </si>
  <si>
    <t>within 12 hour trades | timeframe 12h</t>
  </si>
  <si>
    <t>EXIT ALL BY NEXT WED . ALL DONE EXCEPT J25 FLY</t>
  </si>
  <si>
    <t>ONLY EXITS AND INTRADAY NEXT WEEK</t>
  </si>
  <si>
    <t xml:space="preserve">after break volatility | follow assymetric </t>
  </si>
  <si>
    <t>tue</t>
  </si>
  <si>
    <t>holding too long too much</t>
  </si>
  <si>
    <t>hold less</t>
  </si>
  <si>
    <t>MIN VOL SCALPER TRY @ SZ</t>
  </si>
  <si>
    <t>MIN VOL NAHI LAGANA XT ME</t>
  </si>
  <si>
    <t>SCRATACH ORDER DID NOT GO</t>
  </si>
  <si>
    <t>TT STOP</t>
  </si>
  <si>
    <t>J25 3MS</t>
  </si>
  <si>
    <t>CUTS BIAS HERE</t>
  </si>
  <si>
    <t>EVENING</t>
  </si>
  <si>
    <t>M26 6MS</t>
  </si>
  <si>
    <t>Scalping @ rz</t>
  </si>
  <si>
    <t>can make structure, if front fly goes against, cuts should come here + low upside</t>
  </si>
  <si>
    <t>EXIT AS NO STRUCTURE BACKING ANYMORE AFTER TUE</t>
  </si>
  <si>
    <t>went to 2 (+1 tick) next day</t>
  </si>
  <si>
    <t>but rest of the backs stayed up</t>
  </si>
  <si>
    <t>Curve is steepening because of probability of Trump becoming President.</t>
  </si>
  <si>
    <t>cuts repricing should not go beyond Q3 25</t>
  </si>
  <si>
    <t>If Trump becomes President, we expect decent fiscal stimulus and more issuance from Treasuries which would lead to higher yields to make it lucrative for investors.</t>
  </si>
  <si>
    <t>Also Fiscal stimulus will lead to higher Growth and inflation, which could lead FED to do only few more cuts (2-3) or follow slow cut path, if economic figures continues to come strong. Might be alternate meeting cut might play or doing cut in next 2-3 meetings, after that long pause.</t>
  </si>
  <si>
    <t>TRUMP : HAWKISH | HARRIS : DOVISH</t>
  </si>
  <si>
    <t>PRICE LOWS AS PER MY CASES</t>
  </si>
  <si>
    <t>NEXT:</t>
  </si>
  <si>
    <t>POSITIONS FAILING | HARD NO TO POSITIONAL TRADING</t>
  </si>
  <si>
    <t xml:space="preserve">ONLY INTRADDAY | TRADE VOLATILITY </t>
  </si>
  <si>
    <t>CHECK FOR CROWDED TRADES, BE AWARE OF THOSE</t>
  </si>
  <si>
    <t>SMALL LOT SIZE WITH TIGHT SL</t>
  </si>
  <si>
    <t>SNIPER | FIND TRADES IN THE WHOLE WEEK WHERE 1 TICK IS AVAILABLE | 47</t>
  </si>
  <si>
    <t>November24 live EPILOGUE 1</t>
  </si>
  <si>
    <t>NOV.24</t>
  </si>
  <si>
    <t>Total PnL</t>
  </si>
  <si>
    <t>AVG WINS -1 TICK</t>
  </si>
  <si>
    <t>AVG WINS * 2</t>
  </si>
  <si>
    <t>IMPLIED EXPOSURE (worst case)</t>
  </si>
  <si>
    <t>allowed max risk / trade</t>
  </si>
  <si>
    <t>PRESENT PROCESS</t>
  </si>
  <si>
    <t>CAP DATE</t>
  </si>
  <si>
    <t>MAX 2 WEEKS THEN EMPTY GRID | MUST TAKE TIMEOUT | 0 TRADES AND THEN DEFENSIVE THE WHOLE NEXT WEEK</t>
  </si>
  <si>
    <t>MKT STATE TOTAL RISK/ENTRY ALLOWED</t>
  </si>
  <si>
    <t>TIMEOUT DECIDER</t>
  </si>
  <si>
    <t>CAP TARGET   (ADD 3K TO CI2410)</t>
  </si>
  <si>
    <t>Either cap by target or cap by new mkt state | EXIT ALL OR EMPTY GRID B4 THIS DATE</t>
  </si>
  <si>
    <t>MAX TOTAL RISK / 2 weeks</t>
  </si>
  <si>
    <t>THE DEVIL</t>
  </si>
  <si>
    <t>PRESENT PNL/ lot</t>
  </si>
  <si>
    <t>Available Balance (b4 risky bets) / lot | IR</t>
  </si>
  <si>
    <t>CURRENT</t>
  </si>
  <si>
    <t xml:space="preserve">AVG </t>
  </si>
  <si>
    <t>AVG WINS/LOT</t>
  </si>
  <si>
    <t>AVG LOSS/LOT</t>
  </si>
  <si>
    <t>#</t>
  </si>
  <si>
    <t>PERFORMANCE ANALYSIS</t>
  </si>
  <si>
    <t>CATEGORY</t>
  </si>
  <si>
    <t>TYPE</t>
  </si>
  <si>
    <t># ORDERS</t>
  </si>
  <si>
    <t>TOTAL LOTS</t>
  </si>
  <si>
    <t>AVG GAINS/LOT</t>
  </si>
  <si>
    <t>TOTAL GAINS</t>
  </si>
  <si>
    <t>WIN%</t>
  </si>
  <si>
    <t>AVG LOSS/ LOT</t>
  </si>
  <si>
    <t>TOTAL LOSS</t>
  </si>
  <si>
    <t>LOSS%</t>
  </si>
  <si>
    <t>G/L</t>
  </si>
  <si>
    <t>NET P/L</t>
  </si>
  <si>
    <t>MODE CLIP SIZE</t>
  </si>
  <si>
    <t>MAX LOSS</t>
  </si>
  <si>
    <t>G/L per lot</t>
  </si>
  <si>
    <t>W SCORE</t>
  </si>
  <si>
    <t>L SCORE</t>
  </si>
  <si>
    <t>SCORE1</t>
  </si>
  <si>
    <t>LOTS/ORDERS</t>
  </si>
  <si>
    <t>efficiency</t>
  </si>
  <si>
    <t>EFFICIENCY2</t>
  </si>
  <si>
    <t>RT</t>
  </si>
  <si>
    <t>RT%</t>
  </si>
  <si>
    <t>NET PL%</t>
  </si>
  <si>
    <t>W#</t>
  </si>
  <si>
    <t>PROFIT</t>
  </si>
  <si>
    <t>L#</t>
  </si>
  <si>
    <t>LOSS</t>
  </si>
  <si>
    <t>W%</t>
  </si>
  <si>
    <t>L%</t>
  </si>
  <si>
    <t>ORDERS</t>
  </si>
  <si>
    <t>TOTAL AMOUNT</t>
  </si>
  <si>
    <t>UNIT AMOUNT</t>
  </si>
  <si>
    <t>AVERAGE LOT</t>
  </si>
  <si>
    <t>ORDERS2</t>
  </si>
  <si>
    <t>TOTAL LOTS2</t>
  </si>
  <si>
    <t>TOTAL AMOUNT3</t>
  </si>
  <si>
    <t>UNIT AMOUNT4</t>
  </si>
  <si>
    <t>AVERAGE LOT2</t>
  </si>
  <si>
    <t>CURVE</t>
  </si>
  <si>
    <t>CONTRACTS I</t>
  </si>
  <si>
    <t>WHITES</t>
  </si>
  <si>
    <t>REDS</t>
  </si>
  <si>
    <t>CONTRACTS II</t>
  </si>
  <si>
    <t>OUTRIGHTS (IR,IB,YT, XT)</t>
  </si>
  <si>
    <t>OUTRIGHTS (IR,IB,YT)</t>
  </si>
  <si>
    <t>SPREADS</t>
  </si>
  <si>
    <t>W L/O</t>
  </si>
  <si>
    <t>W/R</t>
  </si>
  <si>
    <t>f:s lots/order</t>
  </si>
  <si>
    <t>FLIES</t>
  </si>
  <si>
    <t>R L/O</t>
  </si>
  <si>
    <t>R%</t>
  </si>
  <si>
    <t>f:s frequency</t>
  </si>
  <si>
    <t>total lots in contracts ii</t>
  </si>
  <si>
    <t>W/R PnL</t>
  </si>
  <si>
    <t>total orders</t>
  </si>
  <si>
    <t>TOTAL C PNL</t>
  </si>
  <si>
    <t>R:W LOTS/ORDER</t>
  </si>
  <si>
    <t>TIME</t>
  </si>
  <si>
    <t xml:space="preserve">W </t>
  </si>
  <si>
    <t>3MF (DF)</t>
  </si>
  <si>
    <t>6MF (C,DC)</t>
  </si>
  <si>
    <t>PI</t>
  </si>
  <si>
    <r>
      <rPr>
        <b/>
        <sz val="10"/>
        <color rgb="FFA6A6A6"/>
        <rFont val="Calibri"/>
        <family val="2"/>
      </rPr>
      <t xml:space="preserve">CONCLUSIONS </t>
    </r>
    <r>
      <rPr>
        <b/>
        <i/>
        <sz val="10"/>
        <color rgb="FFA6A6A6"/>
        <rFont val="Calibri"/>
        <family val="2"/>
      </rPr>
      <t>(so far) | Initial plan(s); if any &gt; Observations &gt; Conclusion</t>
    </r>
  </si>
  <si>
    <t>Gradualism</t>
  </si>
  <si>
    <t xml:space="preserve">Loss/lot was more for reds </t>
  </si>
  <si>
    <t>Majority of strats were working along with biases</t>
  </si>
  <si>
    <t>Work on statistical analysis</t>
  </si>
  <si>
    <t>Scaling up of avg. clip size</t>
  </si>
  <si>
    <t>3.5% of batch volume</t>
  </si>
  <si>
    <t>Continue work on stat analysis</t>
  </si>
  <si>
    <t>Test of money management</t>
  </si>
  <si>
    <t>Sunk cost fallacy (if held longer doesnt mean have to exit in profit)</t>
  </si>
  <si>
    <t>Outrigths worked better (can increase lots in these mkts)</t>
  </si>
  <si>
    <t>Reduced holding time worked better</t>
  </si>
  <si>
    <t>technical worked better but only to get entries</t>
  </si>
  <si>
    <t>Keep hedges prepared</t>
  </si>
  <si>
    <t>Be flexible to change bias as per mkt behaviour, be quick with it in transitioning mkt</t>
  </si>
  <si>
    <t>Prevent opportunity cost by managing risk (like reducing a few lots in an existing trade that is going no where)</t>
  </si>
  <si>
    <t>Avoid sunk cost fallacy by adapting to the mkt (have trailing SL or defined holding period)</t>
  </si>
  <si>
    <t>money management &gt; reduce lots or take defensive trades</t>
  </si>
  <si>
    <t>Seems less intuitive for more-lots outrights but it should work</t>
  </si>
  <si>
    <t>Curve trades of flies 1,2 in a month</t>
  </si>
  <si>
    <t>If increasing, go for 2x lots for 2 trades in a month which has high chance</t>
  </si>
  <si>
    <t>capitalise on the new mkt state</t>
  </si>
  <si>
    <t>RECOVER</t>
  </si>
  <si>
    <t>1,2 fly trades . done</t>
  </si>
  <si>
    <t>1 3-10 . done</t>
  </si>
  <si>
    <t>INTRADAY . US BANK NEWS FOLLOW</t>
  </si>
  <si>
    <t>INCREASE LOTS IN SPDS</t>
  </si>
  <si>
    <t>TRY MORE IN YT</t>
  </si>
  <si>
    <t>no 1:1 trades (at least in whites)</t>
  </si>
  <si>
    <t>FIND MORE # OF STRATS, NEW METHODS | mostly in BONDS</t>
  </si>
  <si>
    <t>WORK MORE IN ASE RULES (for 3-10)</t>
  </si>
  <si>
    <t xml:space="preserve">START WITH TEDS (RANGEBOUND, 1:1, 2 IN MAY) </t>
  </si>
  <si>
    <t>INCREASE FLY TRADES</t>
  </si>
  <si>
    <t>FIRST CURVE STRATEGY</t>
  </si>
  <si>
    <t xml:space="preserve">THEN SCALPING AROUND THEM </t>
  </si>
  <si>
    <t>NEED TO INCREASE REDS MORE THAN PREVIOUS (1-2) TO 3</t>
  </si>
  <si>
    <t>FOCUS ON TECHNICAL METHODS AND SCALE UP ON IT FIRST</t>
  </si>
  <si>
    <t>TECHNICAL MORE FREQUENT STRATS</t>
  </si>
  <si>
    <t>PRESENT</t>
  </si>
  <si>
    <t>AVG</t>
  </si>
  <si>
    <t>DATE</t>
  </si>
  <si>
    <t>TT time</t>
  </si>
  <si>
    <t>ABOVE</t>
  </si>
  <si>
    <t>EQUAL</t>
  </si>
  <si>
    <t>BELOW</t>
  </si>
  <si>
    <t>above/below</t>
  </si>
  <si>
    <t>B QTY</t>
  </si>
  <si>
    <t>S QTY</t>
  </si>
  <si>
    <t>ENTRY/AVG BUY</t>
  </si>
  <si>
    <t>DATES</t>
  </si>
  <si>
    <t>CPI report (P5.1% F6.2% A6.1%)</t>
  </si>
  <si>
    <t>IR High Volatility up</t>
  </si>
  <si>
    <t>IR SEP 23</t>
  </si>
  <si>
    <t>SPECULATION</t>
  </si>
  <si>
    <t>-</t>
  </si>
  <si>
    <t>BASED ON MOMENTUM SPECULATION</t>
  </si>
  <si>
    <t>IR JUN 23</t>
  </si>
  <si>
    <t>AFTER CPI NEWS (INFLATION LOWER THAN EXPECTED) FOLLOWING MOMENTUM</t>
  </si>
  <si>
    <t>HIGH VOLATILITY DURING RELEASES, CAREFUL</t>
  </si>
  <si>
    <t>IR MAR 23</t>
  </si>
  <si>
    <t>AFTER CPI NEWS (INFLATION LOWER THAN EXPECTED)</t>
  </si>
  <si>
    <t>IR DEC 22</t>
  </si>
  <si>
    <t>IR SEP 22</t>
  </si>
  <si>
    <t>ir dec 23</t>
  </si>
  <si>
    <t xml:space="preserve">2 TICK </t>
  </si>
  <si>
    <t>MINS</t>
  </si>
  <si>
    <t xml:space="preserve">PLANNED MOMENTUM </t>
  </si>
  <si>
    <t>RETAIL SALES (P0.9%, F0.5%, A0.2%)</t>
  </si>
  <si>
    <t>NEUTRAL POSITION (NET 0) TO MOMENTUM SIDE (B)</t>
  </si>
  <si>
    <t>TECHNICAL ISSUE; could not execute SELL on time</t>
  </si>
  <si>
    <t>EXIT PLAN RIGHT AFTER RETAIL SALES RELEASE (P 0.9%, F0.5%, A 0.2%) MKT WENT UP QUICKLY, THEN CAME DOWN SLOWLY</t>
  </si>
  <si>
    <t xml:space="preserve">PPI (YOY Q2 P4.9% A5.4% | QOQ P1.6%, F1.4% A1.4%) | </t>
  </si>
  <si>
    <t>IR Low volatility; High volatility later UP</t>
  </si>
  <si>
    <t>HOLDING (PARTLY BECAUSE OF TECHNICAL ISSUES) | BAD OBSERVATION</t>
  </si>
  <si>
    <t>PVT SECTOR CREDIT MOM P0.8% A0.9%</t>
  </si>
  <si>
    <t>IR DEC22</t>
  </si>
  <si>
    <t>SELLING WRT MKT DIRECTION</t>
  </si>
  <si>
    <t>REVERSE POSITION</t>
  </si>
  <si>
    <t>TECH ISSUE</t>
  </si>
  <si>
    <t>5 DAYS</t>
  </si>
  <si>
    <t>WOULD HAVE SOLD WAY EARLIER</t>
  </si>
  <si>
    <t>SOLD 2 ON LIMITS, COULD NOT TRACK</t>
  </si>
  <si>
    <t>IR SEP22</t>
  </si>
  <si>
    <t>IR MAR23</t>
  </si>
  <si>
    <t>IR JUN23</t>
  </si>
  <si>
    <t>SIGNAL ENTRY. REACTIVE EXIT OR FLIPPING POSITION</t>
  </si>
  <si>
    <t>0.1 TICKS OVERVALUED. EXPECTING 0.1 TICK DOWN</t>
  </si>
  <si>
    <t>EXPECTED SIDEWAYS MARKET &amp; BETTING ON OVERBOUGHT ZONE TO REVERSION</t>
  </si>
  <si>
    <t>HOLDING SINCE OVERPRICED</t>
  </si>
  <si>
    <t>added positions based on indicators</t>
  </si>
  <si>
    <t>SHOULD HAVE ADDED STOPLOSS</t>
  </si>
  <si>
    <t>MOMENTUM OR HOLD TILL REVERSION</t>
  </si>
  <si>
    <t>saved a loss position by following momentum</t>
  </si>
  <si>
    <t>SHOULD HAVE ADDED STOPLOSS; added stop order</t>
  </si>
  <si>
    <t>INTEREST RATE (P1.31% F 1.85%, A1.85%)</t>
  </si>
  <si>
    <t>Medium Volatility Up</t>
  </si>
  <si>
    <t>FUNDAMENTAL VALUE 97.4</t>
  </si>
  <si>
    <t>97.3 (0.03 BELOW)</t>
  </si>
  <si>
    <t>FUNDAMENTAL VALUE SELL (97.4)</t>
  </si>
  <si>
    <t>STOPLOSS GOT TRIGGERED</t>
  </si>
  <si>
    <t>WENT UP LATER TO 97.4; WENT TO 97.43</t>
  </si>
  <si>
    <t>PRICING WAS CORRECT</t>
  </si>
  <si>
    <t>NEED TO WORK ON STOPLOSS TARGET/STRATEGIES</t>
  </si>
  <si>
    <t>OPINION: STRATS WILL BE MORE USEFUL THAN TARGET</t>
  </si>
  <si>
    <t>TARGET CAN BE SET WHEN CALCULATED THEORETICALLY</t>
  </si>
  <si>
    <t>SIGNAL LONG SHORT ENTRY+PRICE MOMENTUM</t>
  </si>
  <si>
    <t>96.5 (0.07 ABOVE)</t>
  </si>
  <si>
    <t>LESS SELLERS BEYOND THAT POINT</t>
  </si>
  <si>
    <t>MOMENTUM  TILL 96.4; MORE BUYERS; (CHANGED 4 TIMES)</t>
  </si>
  <si>
    <t>KEPT INCREASING POSITION AS THE MOVE GOT STRONGER; BAD TIMING</t>
  </si>
  <si>
    <t>WAIT A LITTLE LONGER TO SEE THE VOLUMES; MANIPULATIVE ORDERS; RANGEBOUND</t>
  </si>
  <si>
    <t>DONT INCREASE ORDERS BY 2X; work on strength indicators</t>
  </si>
  <si>
    <t>order size should STAY small if move is not strong</t>
  </si>
  <si>
    <t>Westpac Consumer Sentiment (Aug) F-3% A-3%</t>
  </si>
  <si>
    <t>No Movement</t>
  </si>
  <si>
    <t>FUNDAMENTAL VWAP IB AVG -&gt; IR WAS 96.46;  MKT PRICE 96.27; REMAINING CONTRACTS VWAP PRICES MATCHED EXCEPT THIS</t>
  </si>
  <si>
    <t>96.21 (0.05 BELOW)</t>
  </si>
  <si>
    <t>0.05 BELOW; BUYERS LOW + LIMITING LOSS AT 0.05 RANGE CHECK</t>
  </si>
  <si>
    <t>BEFORE 96.46</t>
  </si>
  <si>
    <t>TIMING FOR ENTERING AT LOWER PRICE; ACTIVE TRADING</t>
  </si>
  <si>
    <t>OTHER CONTRACTS PRICES WERE MOVING TOWARDS THE FUNDAMENTALS; THIS WAS LAGGING</t>
  </si>
  <si>
    <t>STOPLOSS TRIGGERED</t>
  </si>
  <si>
    <t>BETTING (LOW CONFIDENCE)THAT CPI WILL BE BELOW EXPECTATIONS (SINCE OIL PRICES DECREASING SINCE JULY)</t>
  </si>
  <si>
    <t>97.24 (0.07 BELOW)</t>
  </si>
  <si>
    <t>0.07 BELOW (1B 96.3 SL23 EXEC, 1B 96.29 SL22 CANCELLED)</t>
  </si>
  <si>
    <t>around 96.32</t>
  </si>
  <si>
    <t>Fundamental is 96.318</t>
  </si>
  <si>
    <t>OFFSETTING ABOVE POSITION (LIKE STRADDLE)</t>
  </si>
  <si>
    <t>96.45 (0.04 ABOVE)</t>
  </si>
  <si>
    <t>DAY'S HIGH (1 BUY ORDER AT 96.45; REVERSING POSITION)</t>
  </si>
  <si>
    <t>AROUND 96.3</t>
  </si>
  <si>
    <t>ORDER PRESENCE</t>
  </si>
  <si>
    <t>STOPLOSS AND POSITION REVERSING ORDER TRYING</t>
  </si>
  <si>
    <t>OFFSETTING ABOVE POSITION (LIKE STRADDLE) + STRING BEHAVIOUR OF CURVES</t>
  </si>
  <si>
    <t>96.28 (0.07 ABOVE)</t>
  </si>
  <si>
    <t>0.07 ABOVE</t>
  </si>
  <si>
    <t>AROUND 96.14</t>
  </si>
  <si>
    <t>LAST ORDER PRESENCE</t>
  </si>
  <si>
    <t>STRING BEHAVIOUR CHECK</t>
  </si>
  <si>
    <t>BETTING (LOW CONFIDENCE)THAT US JUN CPI WILL BE BELOW EXPECTATIONS (SINCE OIL PRICES DECREASING SINCE JULY)</t>
  </si>
  <si>
    <t>96.23 (0.07 BELOW)</t>
  </si>
  <si>
    <t>0.007 BELOW</t>
  </si>
  <si>
    <t>ABOVE 96.32</t>
  </si>
  <si>
    <t>US CORE CPI (MOM P0.7% F0.5% A0.3%) | US CPI YOY JUL (P9.1% F8.7% 8.5%) | US CPI MOM JUL (P1.3% F0.2% A0%)</t>
  </si>
  <si>
    <t>High Volatility Up for all contracts til 1hr then starts to come down a littlw</t>
  </si>
  <si>
    <t>LESS THAN 1 HR</t>
  </si>
  <si>
    <t xml:space="preserve">NEED TO IMPROVE ENTRY TIMING DURING VOLATILE MOVEMENTS;SHOULD ENTER ASAP </t>
  </si>
  <si>
    <t>DEC22, MAR 23 LAGS (FOLLOWS) JUN SEP 23 GOING UP DURING HIGH VOLATILITY (SO FAR 2X)</t>
  </si>
  <si>
    <t>REMEMBER TO CANCEL PREVIOUS STOPLOSS AFTER THE MOVE ENDS</t>
  </si>
  <si>
    <t>NO NEED FOR RISK MANAGEMENT IN VOLATILE TRADES OF SHORT DURATION</t>
  </si>
  <si>
    <t>AFTER BOOKING PROFITS, NO TRADES FOR NOW</t>
  </si>
  <si>
    <t xml:space="preserve">JUN IS VERY VOLATILE; GO FOR LONG DURATION TRADES </t>
  </si>
  <si>
    <t>1 BIG GFOLLOWS ANOTHER BIG G (HIGH PROBABILITY)</t>
  </si>
  <si>
    <t>MORE THAN the NEXT 10 BASIS POINT PRICE (NEXT 0.1 PRICE range)</t>
  </si>
  <si>
    <t>NXT DAY END OF SESSION 1</t>
  </si>
  <si>
    <t>1 SESSION</t>
  </si>
  <si>
    <t>1 BIG G FOLLOWS ANOTHER BIG G (HIGH PROBABILITY); ONLY IF THE SESSION ENDS AT BIG G</t>
  </si>
  <si>
    <t>BAD TIMING; GREED</t>
  </si>
  <si>
    <t>MAR23 LEADS JUN23 SEP23 DEC23 WHEN GOING DOWN AFTER HIGH VOLATILITY</t>
  </si>
  <si>
    <t>NXT DAY END OF SESSION 2</t>
  </si>
  <si>
    <t>NEVER TRADE AFTER PROFIT IS BOOKED FOR THAT DAY</t>
  </si>
  <si>
    <t>OUTRIGHTS ARE DANGEROUS FOR LONG RUN</t>
  </si>
  <si>
    <t>NXT DAY END OF SESSION 3</t>
  </si>
  <si>
    <t>NEVER TRADE AFTER PROFIT IS BOOKED FOR THAT DAY; FOR NOW</t>
  </si>
  <si>
    <t>NXT DAY END OF SESSION 4</t>
  </si>
  <si>
    <t>FUNDAMENTALLY UNDERVALUED</t>
  </si>
  <si>
    <t>96.19 (0.05 BELOW)</t>
  </si>
  <si>
    <t>96.16 (0.05 BELOW)</t>
  </si>
  <si>
    <t>WENT DOWN TO 96.12; STOPLOSS PREVENTED</t>
  </si>
  <si>
    <t>VOLUME BASED INTRADAY</t>
  </si>
  <si>
    <t>96.24 (0.02 ABOVE)</t>
  </si>
  <si>
    <t>VOLUME</t>
  </si>
  <si>
    <t>LESS THAN 2 HRS</t>
  </si>
  <si>
    <t xml:space="preserve">STOPLOSS TRIGGERED </t>
  </si>
  <si>
    <t>went up to 96.24 in the next session open</t>
  </si>
  <si>
    <t>IR M23-S23</t>
  </si>
  <si>
    <t>CURVE ANALYSIS | DIRECTIONAL BASED</t>
  </si>
  <si>
    <t>-0.11 (HISTORICAL ANALYSIS)</t>
  </si>
  <si>
    <t>1-2 WEEKS HOLD</t>
  </si>
  <si>
    <t>CURVE ANALYSIS OF OUTRIGHTS, 6M SPDS AND THEIR DIRECTIONS</t>
  </si>
  <si>
    <t>96.5 (0.25 ABOVE) BASED ON EXPECTATIONS PRICING</t>
  </si>
  <si>
    <t>6 DAYS</t>
  </si>
  <si>
    <t>IR DEC23</t>
  </si>
  <si>
    <t>BELOW EMA</t>
  </si>
  <si>
    <t>96.35 (0.05 ABOVE)</t>
  </si>
  <si>
    <t>TOOK TOO LONG; MOVE REVERSED</t>
  </si>
  <si>
    <t>EARLY EXIT</t>
  </si>
  <si>
    <t>SHORT PERIODS; LESS THAN 1 HOUR</t>
  </si>
  <si>
    <t>96.15 (0.03 ABOVE)</t>
  </si>
  <si>
    <t>SEP22 REVERTS BACK TO FUNDAMENTAL IR PRICE BASED ON IB</t>
  </si>
  <si>
    <t>IR D22-2J23-D23 P</t>
  </si>
  <si>
    <t>CHANGED TO OUTRIGHT DURING MOMENTUM MOVE IN 1 SESSION</t>
  </si>
  <si>
    <t>IR S22-M24 P</t>
  </si>
  <si>
    <t>0.58 (HISTORICAL RANGES AVG) or IR S22=97.37</t>
  </si>
  <si>
    <t>FUNDAMENTAL AND HISTORICAL TECH ANALYSIS BASED TRADE</t>
  </si>
  <si>
    <t>CURVE ANALYSIS; HISTORICALLY SIMILAR SITUATION, IT SHOULD go down(t 1 week)</t>
  </si>
  <si>
    <t>NEW FUNDAMENTAL PRICE 97.37 MKT 97.40 (OVERVALUED); changed to 97.42 next day</t>
  </si>
  <si>
    <t>CURVE ANALYSIS</t>
  </si>
  <si>
    <t>2 ticks limit for loss</t>
  </si>
  <si>
    <t>FUNDAMENTAL VALUE</t>
  </si>
  <si>
    <t>fundamental gave a range</t>
  </si>
  <si>
    <t>IR MAR24</t>
  </si>
  <si>
    <t>G</t>
  </si>
  <si>
    <t>CURVE ANALYSIS; HISTORICALLY SIMILAR SITUATION, IT SHOULD COME UP</t>
  </si>
  <si>
    <t>historic analysis gave direction</t>
  </si>
  <si>
    <t>RBNZ INTEREST RATES (P2.5% F3% A3%) | AUS WAGE PRICE INDEX (P0.7% F0.8% A0.7%)</t>
  </si>
  <si>
    <t>MKT WENT UP WITHIN HOURS THEN CAME DOWN</t>
  </si>
  <si>
    <t>7BP BELOW</t>
  </si>
  <si>
    <t>CHANGED TO OUTRIGHT DURING MOMENTUM MOVE</t>
  </si>
  <si>
    <t>Work on order management</t>
  </si>
  <si>
    <t>TREND REVERSAL MOMENTUM; LEAD LAG</t>
  </si>
  <si>
    <t>3 TICKS (NEW LOW WILL BE MADE IF TRIGGERED; REVERSE TREND DIDNT LAST)</t>
  </si>
  <si>
    <t>FEW HOURS</t>
  </si>
  <si>
    <t>bought 2 but stoploss order for only 1 contracgt was given</t>
  </si>
  <si>
    <t>stoploss got triggered</t>
  </si>
  <si>
    <t>FUNDAMENTALS REVERT TO BEFORE MOVE LEVELS IF REVERSAL STARTS(AS PER LAST TIME)</t>
  </si>
  <si>
    <t>3 TICKS (WRT ABOVE POSITIONS</t>
  </si>
  <si>
    <t>Fundamentals prev</t>
  </si>
  <si>
    <t>IR S22-M23 UP</t>
  </si>
  <si>
    <t>IR S22-S23 UP</t>
  </si>
  <si>
    <t>4 TICKS (NEW LOW WILL BE MADE IF TRIGGERED; REVERSE TREND DIDNT LAST)</t>
  </si>
  <si>
    <t>early exit as move did not go as anticipated in hours</t>
  </si>
  <si>
    <t>LEAD LAG</t>
  </si>
  <si>
    <t>3 TICKS</t>
  </si>
  <si>
    <t>LAG 2 BP</t>
  </si>
  <si>
    <t xml:space="preserve">Did not exit early </t>
  </si>
  <si>
    <r>
      <rPr>
        <b/>
        <sz val="10"/>
        <color rgb="FF434343"/>
        <rFont val="Roboto"/>
      </rPr>
      <t>Employment Change (Jul</t>
    </r>
    <r>
      <rPr>
        <b/>
        <sz val="10"/>
        <color rgb="FF434343"/>
        <rFont val="Roboto"/>
      </rPr>
      <t xml:space="preserve">) (P88.4K F25K A-40.9K ) </t>
    </r>
  </si>
  <si>
    <t xml:space="preserve">BEFORE RESULTS GONE UP; AFTER RESULTS GONE LOW; </t>
  </si>
  <si>
    <t>MOMENTUM TRADES DID NOT WORK</t>
  </si>
  <si>
    <t>MANUALLY CANT GAUGE MOMENTUM EASILY</t>
  </si>
  <si>
    <t>NEED TO USE ALGOS/ASE IN OUTRIGHTS</t>
  </si>
  <si>
    <r>
      <rPr>
        <b/>
        <sz val="10"/>
        <color rgb="FF434343"/>
        <rFont val="Roboto"/>
      </rPr>
      <t>Unemployment Rate (Jul</t>
    </r>
    <r>
      <rPr>
        <b/>
        <sz val="10"/>
        <color rgb="FF434343"/>
        <rFont val="Roboto"/>
      </rPr>
      <t>) (P3.5% F3.5% A3.4% )</t>
    </r>
  </si>
  <si>
    <t xml:space="preserve">BEARISH </t>
  </si>
  <si>
    <t>VOLUME BASED TRADING IS SHOOTING WO AIMING PROPERLY</t>
  </si>
  <si>
    <t>WORK ON ASE/ALGOS STRATS</t>
  </si>
  <si>
    <t>OUTRIGHTS WILL LEAD TO BLUNDERS  IN FUTURE</t>
  </si>
  <si>
    <t>spd | fly strats</t>
  </si>
  <si>
    <t>M23 SPD</t>
  </si>
  <si>
    <t>HIKE CYCLE BEHAVIOR</t>
  </si>
  <si>
    <t>CURVE ANALYSIS | MOVEMENT wrt KINKS and overall AND SPREADS PE BET</t>
  </si>
  <si>
    <t>CA</t>
  </si>
  <si>
    <t>HEDGED LEG</t>
  </si>
  <si>
    <t>FEW DAYS MAYBE</t>
  </si>
  <si>
    <t>next session start</t>
  </si>
  <si>
    <t>ANTICIPATION OF CURVES OF SPREADS; MUCH BETTER PROFIT%</t>
  </si>
  <si>
    <t>OVERALL MOVEMENT OF CURVES WRT SITUATION (WHEN PREVIOUS  KINK WAS DIFFERENT THAN NOW (KINK SHIFTING TOWARDS TAIL END, WHITES GOING UP)); MORE TIME OBSERVING THEIR MOVEMENT IN ONE SESSION WILL BE HELPFUL</t>
  </si>
  <si>
    <t>LONG ON SPREAD; THE SHORT LEG FELL MORE THAN LONG LEG THATS WHY PROFIT</t>
  </si>
  <si>
    <t>SPREADS NATURE IS A LITTLE HEDGED; SO RISK IS ALREADY BETTER MANAGED THAN OUTRIGHT AND CAN HOLD LONGER</t>
  </si>
  <si>
    <t>FOCUS MORE ON THE SPREAD VALUES (IT TELLS THE RELATIVE MOVEMENT), DIRECTION DOESNT MATTER; BEHAVIOUR OF CURVES MATTER; HISTORIC MAY HELP BUT NOT RELIABLE</t>
  </si>
  <si>
    <t>THINK ABOUT BACKUP; SPREADS TO FLIES</t>
  </si>
  <si>
    <t>HIKE CYCLE BEHAVIOR (betting on hike expectations to increase by 5bp (hike cycle))</t>
  </si>
  <si>
    <t>4-5 ticks up (based on spread movement)</t>
  </si>
  <si>
    <t>2+ session (if no change - out; if direction follows trailing sl)</t>
  </si>
  <si>
    <t>ANTICIPATION OF CURVES OF SPREADS BASED ON KINK MOVEMENT</t>
  </si>
  <si>
    <t>OPENED 1-2 BP LOWER IN NEXT SESSION</t>
  </si>
  <si>
    <t>WRONG ANALYSIS; move did not last</t>
  </si>
  <si>
    <t>MAKE SURE SL IS GTC</t>
  </si>
  <si>
    <t>WRONG ANALYSIS</t>
  </si>
  <si>
    <t>EARLY EXIT AND CHANGED SPREAD TO M23 SHORT AT 0.1</t>
  </si>
  <si>
    <t>BEARISH, DOWNTREND BEGINS</t>
  </si>
  <si>
    <t>CURVES BASED ON EXPECTATIONS AND THEIR CASES FOR NEXT MEETS; SAFE PLAY</t>
  </si>
  <si>
    <t>DOWNTREND BEGAN AND FUNDAMENTAL PRICES WENT CLOSER TO 50BP</t>
  </si>
  <si>
    <t>~ 13-20 BP DOWN</t>
  </si>
  <si>
    <t>TILL MEETING DATE (2 WEEKS)</t>
  </si>
  <si>
    <t>OVERBOUGHT ZONE REACHING</t>
  </si>
  <si>
    <t>CURVES BASED ON EXPECTATIONS AND THEIR CASES FOR NEXT MEETS</t>
  </si>
  <si>
    <t>OVERBOUGHT ZONE TOUCHING</t>
  </si>
  <si>
    <t>~ 0.02-0.1</t>
  </si>
  <si>
    <t>FUNDAMENTAL, TECHNICAL</t>
  </si>
  <si>
    <t>1 WEEK; IF MOVE IS SAME AFTER THIS - SELL AT MKT</t>
  </si>
  <si>
    <t>PAST BEHAVIOUR BEFORE HIKES</t>
  </si>
  <si>
    <t>REWARD/RISK MISTAKE; NEXT TIME</t>
  </si>
  <si>
    <t>check ALL meetings' probability</t>
  </si>
  <si>
    <t>GTC ORDER DID NOT EXECUTE; DISAPPEARED FROM ASE! (Tech issue?)</t>
  </si>
  <si>
    <t>REWARD/RISK PLANNED; FOR NOW CAN BE &gt;=1</t>
  </si>
  <si>
    <t>~0.1</t>
  </si>
  <si>
    <t>FUNDAMENTAL CASES MAX 9.26 IF NO HIKES ON SEP DEC</t>
  </si>
  <si>
    <t>timing can be improved; maybe use TA</t>
  </si>
  <si>
    <t>QUEUE HOLDER IS USEFUL WITH GTC ORDER</t>
  </si>
  <si>
    <t>after finding a situation fundamentally, have patience and check technicals as well (mkt rxn)</t>
  </si>
  <si>
    <t>USE CALENDAR SPDS FOR SL; BETTER THAN applying manually in outrigths (blunders)</t>
  </si>
  <si>
    <t>~0.096</t>
  </si>
  <si>
    <t>2 SESSION</t>
  </si>
  <si>
    <t>BAD TIMING; check technical VALUES closely; might give you better entry situation</t>
  </si>
  <si>
    <t>Include values for ALL meetings (worst cases for the contract); that might give you better entry value</t>
  </si>
  <si>
    <t>Planned Reward/risk; RR can be &gt;=1</t>
  </si>
  <si>
    <t>If RR is not good; trade small lots (1-2) and add SL; Only after SL make a new trade</t>
  </si>
  <si>
    <t>CHECKING CALENDAR, OUTRIGHT, &amp; ASE PERFORMANCE (2 LOTS ON EACH)</t>
  </si>
  <si>
    <t xml:space="preserve">INDIVIDUALLY WOULD HAVE BEEN ABLE TO EXIT AT 15 RATHER THAN 14 </t>
  </si>
  <si>
    <t>IF possible, exit individually rather than CALENDAR</t>
  </si>
  <si>
    <t>FOR CLOSE CALL TRACK OUTRIGHTS; FOR PLANNED TRADES (LONG TERM) USE CALENDAR</t>
  </si>
  <si>
    <t>CONCLUSION: CHECK BOTH ASE AND CALENDAR FOR BETTER ENTRY AND EXIT</t>
  </si>
  <si>
    <t>RSI 7 ABOVE 85; MA still showing bullish; ANTICIPATING BEARISH MOVE (MIGHT BE EARISH)</t>
  </si>
  <si>
    <t>0.19 FINAL</t>
  </si>
  <si>
    <t>BUYING 1 AT 0.15, 0.19</t>
  </si>
  <si>
    <t>AVERAGING</t>
  </si>
  <si>
    <t>FUNDAMENTAL CASES WORST LIKELY</t>
  </si>
  <si>
    <t>&lt;=1WEEK</t>
  </si>
  <si>
    <t>NEAR MEETING</t>
  </si>
  <si>
    <t>WRONG FUNDAMENTAL ANALYSIS; ADFOSC3,4 SHOULD BE TAKEN 0!</t>
  </si>
  <si>
    <t>Double fill at 15; so increased from 17 to 19</t>
  </si>
  <si>
    <t>check OIs and track (if going down selloff)</t>
  </si>
  <si>
    <t xml:space="preserve">SL triggered </t>
  </si>
  <si>
    <t>work on better SL management</t>
  </si>
  <si>
    <t>Scalping; FLUCTUATING BW -7, -6 BP</t>
  </si>
  <si>
    <t>trying Scalping</t>
  </si>
  <si>
    <t>USE 3 QH (TOTAL 4 orders</t>
  </si>
  <si>
    <t>use GTC Orders Always</t>
  </si>
  <si>
    <t>SL triggered</t>
  </si>
  <si>
    <t>2 SESSIONS</t>
  </si>
  <si>
    <t>trying Scalping; have 2 bp ka gap B/S order</t>
  </si>
  <si>
    <t>successful; put GTC orders at extremes; track both ASE ans Calendar</t>
  </si>
  <si>
    <t>Patience Game; might take 2 sessions</t>
  </si>
  <si>
    <t xml:space="preserve">SL 2 bp </t>
  </si>
  <si>
    <t xml:space="preserve">Less risk averse </t>
  </si>
  <si>
    <t>took 1 lot only (take 1-2 lots if less risk averse trade is working; for now)</t>
  </si>
  <si>
    <t>successful; put GTC orders at extremes; &amp; go to sleep</t>
  </si>
  <si>
    <t>Patience Game; might take 2 sessions or in between 2 sessions</t>
  </si>
  <si>
    <t>D22 FLY</t>
  </si>
  <si>
    <t>Curve Strat based on current markets</t>
  </si>
  <si>
    <t>Indicators + price action</t>
  </si>
  <si>
    <t>Indicators</t>
  </si>
  <si>
    <t>Fundamentally overpriced as all other spreads came down except this one</t>
  </si>
  <si>
    <t>CANCELLED S23 SPD AS SPREAD CURVE MIGHT CHANGE</t>
  </si>
  <si>
    <t>1 session (less than 2 hours)</t>
  </si>
  <si>
    <t>QH 3</t>
  </si>
  <si>
    <t>Bettter than M23 SPD SHORT IF SPD CURVE MOVING UP</t>
  </si>
  <si>
    <r>
      <rPr>
        <b/>
        <sz val="10"/>
        <color rgb="FF434343"/>
        <rFont val="Roboto"/>
      </rPr>
      <t>Retail Sales (MoM) (Jul</t>
    </r>
    <r>
      <rPr>
        <b/>
        <sz val="10"/>
        <color rgb="FF434343"/>
        <rFont val="Roboto"/>
      </rPr>
      <t>) (P0.2% F0.3% A1.3% )</t>
    </r>
  </si>
  <si>
    <t>IR WENT DOWN</t>
  </si>
  <si>
    <t>Scalping 101</t>
  </si>
  <si>
    <t>at 7bp consistent so put trades at 6 and 8bp then shifted to 7 as per mkt prices</t>
  </si>
  <si>
    <r>
      <rPr>
        <b/>
        <sz val="10"/>
        <color rgb="FF434343"/>
        <rFont val="Roboto"/>
      </rPr>
      <t>Retail Sales (MoM) (Jul</t>
    </r>
    <r>
      <rPr>
        <b/>
        <sz val="10"/>
        <color rgb="FF434343"/>
        <rFont val="Roboto"/>
      </rPr>
      <t>) (P0.2% F0.3% A )</t>
    </r>
  </si>
  <si>
    <t>SPREADS WENT UP</t>
  </si>
  <si>
    <r>
      <rPr>
        <b/>
        <sz val="10"/>
        <color rgb="FF434343"/>
        <rFont val="Roboto"/>
      </rPr>
      <t>Retail Sales (MoM) (Jul</t>
    </r>
    <r>
      <rPr>
        <b/>
        <sz val="10"/>
        <color rgb="FF434343"/>
        <rFont val="Roboto"/>
      </rPr>
      <t>) (P0.2% F0.3% A1.5% )</t>
    </r>
  </si>
  <si>
    <t>TAIL END IR WENT DOWN BY 20-25BP</t>
  </si>
  <si>
    <t>Put trades around the most consistent price (7bp) like 6,8 and then at 7bp</t>
  </si>
  <si>
    <t>Remember to put GTC order</t>
  </si>
  <si>
    <t xml:space="preserve">next session </t>
  </si>
  <si>
    <t>1 session (&gt;3 hours)</t>
  </si>
  <si>
    <t>Got 1 legged</t>
  </si>
  <si>
    <t>did not put SL or exit the outright that was legged</t>
  </si>
  <si>
    <t>Add SL or exit immediately if got legged in 1 outright; NO MATTER WHAT</t>
  </si>
  <si>
    <t>MODEL + MKT REACTION</t>
  </si>
  <si>
    <t>NEW HIGH; BAD SL; HIGH SL</t>
  </si>
  <si>
    <t>INDICATOR + MODEL</t>
  </si>
  <si>
    <t>INVALID TRADE DUE TO 1 LEGGED MISTAKE</t>
  </si>
  <si>
    <t>workS late in early sessions of 2nd sessions</t>
  </si>
  <si>
    <t>DOESNT COUNT; cant do in live; need to be efficient</t>
  </si>
  <si>
    <t>MOMENTUM + EXPECTING CONDITIONS OF MODEL</t>
  </si>
  <si>
    <t>MODEL</t>
  </si>
  <si>
    <t>LESS RISK SO 1 TICK; SAME PRICE FOR LONG TIME</t>
  </si>
  <si>
    <t>NOT SURE; SO PREVIOUS SUPPORT REGION; NEED TO WORK</t>
  </si>
  <si>
    <t>2:1</t>
  </si>
  <si>
    <t>SESSION END</t>
  </si>
  <si>
    <t>SESSION END (LESS THAN 1 HR)</t>
  </si>
  <si>
    <t>good reward / risk</t>
  </si>
  <si>
    <t>trade result did not matter</t>
  </si>
  <si>
    <t>w/o model not at all confident based on mkt behavior; need to work on that</t>
  </si>
  <si>
    <t>If good reward/risk exists then no problem in execution</t>
  </si>
  <si>
    <t>FORGOT TO REMOVE PREVIOUS ORDERS</t>
  </si>
  <si>
    <t>BAD ORDER MANAGEMENT; FORGOT TO REMOVE ANY PREVIOUS TARGET</t>
  </si>
  <si>
    <t>LUCKY TO EXIT AT THE SAME TIME</t>
  </si>
  <si>
    <t>30-Aug-0222</t>
  </si>
  <si>
    <t>(ThisLeg.DisclosedRemainingQuantity + 10) can be used to prevent Single legged. for now</t>
  </si>
  <si>
    <t>Use PAYUP WITH 1 TICK (QTY TH = 15)</t>
  </si>
  <si>
    <t>IF ABLE TO TRACK LIVE EXIT AT THE SAME PRICE W/O HESITATION</t>
  </si>
  <si>
    <t>NO TRADES ABOVE 3 LOTS; FOR NOW</t>
  </si>
  <si>
    <t>NO TRADES W/O SL</t>
  </si>
  <si>
    <t>IF THE MODEL WORKS (MORE OFTEN) DONT LOOK AFTER EXECUTION; OR THE ORDER QTY</t>
  </si>
  <si>
    <t>MODEL + mkt rxn</t>
  </si>
  <si>
    <t>MODEL + MKT RXN; averaged buy till high before drop</t>
  </si>
  <si>
    <t xml:space="preserve">new high, </t>
  </si>
  <si>
    <t xml:space="preserve">model + mkt </t>
  </si>
  <si>
    <t>&lt;1 hr</t>
  </si>
  <si>
    <t>model+mkt</t>
  </si>
  <si>
    <t>&lt;30mins</t>
  </si>
  <si>
    <t>Model worked</t>
  </si>
  <si>
    <t>Dont forget to cancel stop loss after execution; TRY USING TT OCO</t>
  </si>
  <si>
    <t>Mkt went up exactly after this (2x)</t>
  </si>
  <si>
    <t>For strong moves it will converge with VWAP (most of the times) | 3MIN</t>
  </si>
  <si>
    <t>end of session</t>
  </si>
  <si>
    <t>1st session end and 2nd session beginning</t>
  </si>
  <si>
    <t>PAYUP WITH 1 TICK (QTY TH = 15) better option</t>
  </si>
  <si>
    <t>USE 2 LOTS NEAR END AND BEGINNING OF SESSION</t>
  </si>
  <si>
    <t>add another order at -0.07 and SL at -0.08</t>
  </si>
  <si>
    <t>outside range; new range zone</t>
  </si>
  <si>
    <t>bad risk reward; therefore single lot</t>
  </si>
  <si>
    <t>2nd session beginning me entry; long time no move</t>
  </si>
  <si>
    <t>Next session beginning</t>
  </si>
  <si>
    <t>USE 1 LOT IF NOT AT THE START</t>
  </si>
  <si>
    <t>SL Triggered</t>
  </si>
  <si>
    <t>Trade like this is better with few lots and active</t>
  </si>
  <si>
    <r>
      <rPr>
        <b/>
        <sz val="10"/>
        <color rgb="FF434343"/>
        <rFont val="Roboto"/>
      </rPr>
      <t>TRADE WITH 1 LOT; MKT BEHAVIOR IS HITTING POTENTIAL SL, TRADE SL.</t>
    </r>
    <r>
      <rPr>
        <sz val="10"/>
        <color rgb="FF434343"/>
        <rFont val="Roboto"/>
      </rPr>
      <t xml:space="preserve"> MKT BEHAVES IN A WAY TO HURT MOST TRADERS. BASICALLY TENDS TO LOOK FOR VOLUME AND ACTIVITY. BIG PLAYERS DERIEVE THEIR POWER FROM POTENTIALLY TRAPPED TRADERS. (THEY LOSE SOME THEN WIN BIG)</t>
    </r>
  </si>
  <si>
    <t>ORDER MGMT + TIMING IS KEY (BE FLEXIBLE)</t>
  </si>
  <si>
    <t>Scalping USEFUL AS A PASSIVE STRAT, CAN BE DONE USING ASE + GTC + ACTIVE + 1,2 LOT + QH=3 (IF MORE TRADES ONGOING QH=2)</t>
  </si>
  <si>
    <t>MAX SHOT 1,2; MAX CLIP 3</t>
  </si>
  <si>
    <t>LEAVE 1 LOT FOR 1ST SL TGT; POTENTIAL AREA. SL LIMIT INVERSELY PROPORTIONAL TO LOTS</t>
  </si>
  <si>
    <t>ALWAYS ASSUME THAT YOU MIGHT BE WRONG. &amp; LOOK FOR CONFIRMATIONS (MODELS/INDICATORS) AND NOT WISHFUL THINKING.</t>
  </si>
  <si>
    <t>Australian Private Capital Expenditure Q2: -0.3% (exp 1.0%; prev -0.3%)</t>
  </si>
  <si>
    <t>Australian Home Loans Value (M/M) Jul: -8.5% (exp -3.5%; prev -4.4%) - Investor Loans Value (M/M) Jul: -11.2% (exp -4.0%; prev -6.3%)</t>
  </si>
  <si>
    <t>Scalping: Change Qty Th of PAYUP Rule as per mkt behavior on a particular day</t>
  </si>
  <si>
    <t>&gt;2 hours &lt; 4 hours</t>
  </si>
  <si>
    <t>PAYUP WITH 1 TICK (QTY TH = 10) better option for today</t>
  </si>
  <si>
    <t>next session beginning</t>
  </si>
  <si>
    <t>1st session end entry</t>
  </si>
  <si>
    <t>GOT 1 LEGGED AT DEC23 AT 96.04*2 AND 96.05*2; GTC order at 1159am; but got double filled at 4*96.04 (better price)</t>
  </si>
  <si>
    <t xml:space="preserve">PAYUP WITH 1 TICK (QTY TH = 10) </t>
  </si>
  <si>
    <t>QH 2</t>
  </si>
  <si>
    <t>PAYUP WITH 1 TICK (QTY TH = 10) is still risky and desperate; should be15</t>
  </si>
  <si>
    <t>Now i can sell the outright at mkt beginning at profit or cost until i wait for the hedged leg to get hit</t>
  </si>
  <si>
    <t>take 1 lot if risk increases; got doubled filled with 2 lots each; or reduce risk chances by increasing threshold of Payup</t>
  </si>
  <si>
    <t>Scalping | double fill + 1 legged</t>
  </si>
  <si>
    <t>GOT OUT OF 1 LEGGED + DOUBLE FILLED AT COST</t>
  </si>
  <si>
    <t>GOT SINGLE LEGGED AGAIN! AND GOT OUT!</t>
  </si>
  <si>
    <t>PAYUP WITH 1 TICK (QTY TH = 10) is VERY risky and desperate; should be15 GOT SINGLE LEGGED TWICE</t>
  </si>
  <si>
    <t>Scalping | 1 legged</t>
  </si>
  <si>
    <t xml:space="preserve">GOT OUT OF 1 LEGGED  </t>
  </si>
  <si>
    <t>IF ABLE TO TRACK LIVE EXIT AT THE SAME PRICE W/O HESITATION = WORKED</t>
  </si>
  <si>
    <t>ALWAYS EXIT THE SINGLE LEGGED IMMEDIATELY AT COST</t>
  </si>
  <si>
    <t>QH=2 AND CONSECUTIVE ORDER</t>
  </si>
  <si>
    <t xml:space="preserve">1 LOT EACH; NEED MORE EFFICIENCY &amp; EXPERIENCE FOR 2-3 LOTS </t>
  </si>
  <si>
    <t>IF NOT CLEAR IDEA OF KINK WAIT AND OBSERVE BEFORE TRADING AND HOPING TO GET LUCKY!</t>
  </si>
  <si>
    <t>CANT USE GTC in live though</t>
  </si>
  <si>
    <t>dont use GTC for now</t>
  </si>
  <si>
    <t>better to use no rules and dont use GTC for now WHENEVER POSSIBLE</t>
  </si>
  <si>
    <t>Use Scalping strats ACTIVELY &amp; PROACTIVELY ONLY!</t>
  </si>
  <si>
    <t>TT GETS DISCONNECTED; AND ALL ORDERS GET CANCELLED!. IDK.</t>
  </si>
  <si>
    <t>6.44 PM IST</t>
  </si>
  <si>
    <t>Curve Analysis</t>
  </si>
  <si>
    <t>3 DAYS</t>
  </si>
  <si>
    <t>29AUG-1JUL</t>
  </si>
  <si>
    <t>ORDERS DISAPPEARED AFTER DISCONNECTION BUT STILL GOT IT. resolved</t>
  </si>
  <si>
    <t xml:space="preserve">USE FLIES IF THERE IS A RISK OF 'NAKED' SPD GOING THE WRONG WAY, NEED MORE EXPERIENCE </t>
  </si>
  <si>
    <t>NIGHT TIME HAS BEEN BETTER SO FAR...</t>
  </si>
  <si>
    <t>823AM (IST)</t>
  </si>
  <si>
    <t>Chrn</t>
  </si>
  <si>
    <t>w/o rules. active, less lots</t>
  </si>
  <si>
    <t>QH = 2</t>
  </si>
  <si>
    <t>Dont rely too much on Qty</t>
  </si>
  <si>
    <t>TT OCO</t>
  </si>
  <si>
    <t>bearish trend followed till 4 sessions</t>
  </si>
  <si>
    <t>Started as fundamentally overpriced; after learning about FRA pricing calculation mistake, still above; CASES BASED ON FUNDAMENTALS; WITH FRA OIS 17 AND W/O FRA 13; AVG AROUND 15.33; TARGET AT 15; AVG BUY AT 18.5</t>
  </si>
  <si>
    <t>IR pricing w &amp; w/o FRA; bad entry timing; technical side early entry</t>
  </si>
  <si>
    <t>22-&gt;18 (4th red) | both in calendars</t>
  </si>
  <si>
    <t>new high; later changed to 18 to cut losses (min profit in this case) &amp; mkt rxn + price action</t>
  </si>
  <si>
    <t>Average of IR pricing (w and w/o FRA) | CHECK FRA OIS 3,4 FOR TREND IDEA; TREND WENT UP BEFORE MEETING WEEK; RISK HIGH SO CHANGED TARGET FROM 13 TO 15 AND SL FROM 22 TO 18 (MIN PROFIT) (SL at Calendar)</t>
  </si>
  <si>
    <t>$518/$83 (changed b4 meeting date + price action + mkt rxn) | ELIMINATED LOSS | TRAILING SL</t>
  </si>
  <si>
    <t>1- 2 weeks b4 meeting week</t>
  </si>
  <si>
    <t>historical + pricing + trend</t>
  </si>
  <si>
    <t>MULTIVARIATE TRADING</t>
  </si>
  <si>
    <t>IR PRICING - CONSIDER FRA 1,2 ONLY AND CHECK FRA 3,4 FOR TRENDS</t>
  </si>
  <si>
    <t>IMPROVE TIMING BY TRACKING LONGER THAN 1,2 DAYS + ADD A BACK TO THE STRAT WITH T.A. OR SOME OTHER ANGLE AS WELL</t>
  </si>
  <si>
    <t>IMPROVE TIMING BY USING MULTIVARIATE STRATS</t>
  </si>
  <si>
    <t>WAIT FOR A BETTER CONDITION BY TRACKING A LONGER TREND</t>
  </si>
  <si>
    <t>PATIENCE + ADJUSTING AS PER MKT RXNS. BE FLEXIBLE TO CHANGE TARGETS AS WELL AS SL, BASED ON MKT RXNS; IT WENT DOWN TILL 6-7BP (THATS 13-14 TICKS WITHIN NEXT WEEK!!!) :)</t>
  </si>
  <si>
    <t>18 -&gt; 20</t>
  </si>
  <si>
    <t>15 -&gt; 15.5</t>
  </si>
  <si>
    <t xml:space="preserve">$417/-$250 (changed to riskier ratio) 1.6 &amp; $500/$250 = 2 | changed back to above | RISK AVERSE </t>
  </si>
  <si>
    <t>Chnaged the target and SL before session end | QH = 1</t>
  </si>
  <si>
    <t>a lot of support at 16 so selling half at 16 and keeping other half at 15; if opens higher sell all at 16 if lower sell at 14; if opens same  (18 with 19 high tgt remains at 15)</t>
  </si>
  <si>
    <t>OPENED LOWER AT 16 (50% @ 15 and 50% @ 14) touched 18 Previous SL would have triggered (remove SL at beginning</t>
  </si>
  <si>
    <t>SHOULD BE AT 15 BUT LACK OF CONFIDENCE BASED ON PRICE ACTION SO 50% @16 AND 50% @ 15</t>
  </si>
  <si>
    <t>TRAILING SL TRIGGERED; WENT TILL TARGET (16 AND 15) LATER</t>
  </si>
  <si>
    <t>MADE THE RATIONAL CHOICE SO NO ISSUE REGARDING THE TRADE</t>
  </si>
  <si>
    <t>session1 start- session 2 beginning</t>
  </si>
  <si>
    <t>Scalping delayed</t>
  </si>
  <si>
    <t>SINGLE LEGGED</t>
  </si>
  <si>
    <t>SINGLE LEGGED (piq =5 at mkt session 2 beginning)</t>
  </si>
  <si>
    <t>LUCK 100 + TIMING IN PIQ AFTER SINGLE LEGGED</t>
  </si>
  <si>
    <t>6OOAM</t>
  </si>
  <si>
    <t>MODEL + MKT RXN</t>
  </si>
  <si>
    <t>MODEL + MKT RXN (+ CURRENT HIGH STOP-1 1 LOT)</t>
  </si>
  <si>
    <t>NEW HIGH</t>
  </si>
  <si>
    <t>&lt;1 (early exit as per mkt)</t>
  </si>
  <si>
    <t>&lt;1 H</t>
  </si>
  <si>
    <t>REWARD/RISK = 1 WITH 1 LOT; TRADE DID NOT MATTER</t>
  </si>
  <si>
    <t xml:space="preserve">3MIN </t>
  </si>
  <si>
    <t>6.02 am</t>
  </si>
  <si>
    <t>MODEL + MKT RXN (+CURRENT HIGH STOP 1 LOT)</t>
  </si>
  <si>
    <t>&gt;1h (Exit at price nxt time before 1h)</t>
  </si>
  <si>
    <t>REWARD/RISK&lt;1; more lots was mistake (ONLY 1)</t>
  </si>
  <si>
    <t>7.30am</t>
  </si>
  <si>
    <t>WRONG MOMENTUM</t>
  </si>
  <si>
    <t>EXIT AS PER MKT</t>
  </si>
  <si>
    <t>RBA Interest Rate Decision (Sep) (P1.85%  F2.35% A2.35%)</t>
  </si>
  <si>
    <t>OUTRIGHT WENT UP (MAR JUN23 HIGHEST BY AROUND 10BP); THEN EQUAL TO EXPECTATION ANNOUNCED ALL CAME DOWN ; CONVERGED TO VWAP PRICE</t>
  </si>
  <si>
    <t xml:space="preserve">MODEL </t>
  </si>
  <si>
    <t>AVOID SL BEFORE ANNOUNCEMENT</t>
  </si>
  <si>
    <t>BIG MONEY WILL HURT AT SL</t>
  </si>
  <si>
    <t>MKT</t>
  </si>
  <si>
    <t>VWAP</t>
  </si>
  <si>
    <t>couple of hours</t>
  </si>
  <si>
    <t>IMPROVE TIMING OF MODEL; USE SMALLER LOTS AT RANGES</t>
  </si>
  <si>
    <t>BE MORE EFFICIENT + FLEXIBLE (AS PER MKT RXN)</t>
  </si>
  <si>
    <t>USE 1 LOT AT HIGHS; EXPECT MKT TO MOVE WITH EXTREME VOLATILITY</t>
  </si>
  <si>
    <t xml:space="preserve">WAITING GAME; WAIT ON EVENT DAYS MORE (5MIN CANDLE B4 ANNOUNCEMENT AND MULTI SIGNALS / CONSECUTIVE SIGNALS) </t>
  </si>
  <si>
    <t>SL WILL TRAP (SL IS NOT AN OPTION | CONVERT TO SPDS OR FLIES)</t>
  </si>
  <si>
    <t xml:space="preserve">FLIES SPDS ALSO VOLATILE; FLIES NEECHE BUY AAYE AFTER RESULTS; STOP LOSSES WERE GETTING TRIGGERED (MKT HURTS) </t>
  </si>
  <si>
    <t>MODEL + TECH AT STEEP HIGH</t>
  </si>
  <si>
    <t>AVOIDED OVER TRADING; GOOD</t>
  </si>
  <si>
    <t>TRUST THE MODEL; USE SMALLER LOTS AND MAKE REWARD TO RISK = 1</t>
  </si>
  <si>
    <t>TAKE ADVANTAGE OF 2 THINGS (SL RAGES; HIGHS/LOWS; OUTRIGHTS OFFER GREAT OPPORTUNITIES; WORTH THE RISK</t>
  </si>
  <si>
    <t>BACKUP PLAN (REVERSE POSITION IF BELOW EXP)/(CONVERT TO SPD OR FLY AND EXIT AT A BETTER PRICE WITHIN A WEEK)</t>
  </si>
  <si>
    <t>JUST NUMBERS; TRUST THE MODEL WITH SMALL LOTS AND IMPROVE TIMING; (WILL COME WITH EXPERIENCE)</t>
  </si>
  <si>
    <t>IMPROVE MODEL; WORK ON A BETTER BACKUP PLAN; MAYBE BY THINKING ABOUT SPREADS OR FLIES (CONVERT TO SPD OR FLY AND EXIT AT A BETTER PRICE WITHIN A WEEK) WORK ON THIS!! HOW TO CUT YOUR LOSSES EFFECTIVELY</t>
  </si>
  <si>
    <t>HIGH VOLATILITY UP NEAR MEETING ANNOUNCEMENT (UNEXPECTED LEVELS - 7-10BP FROM OPEN) | AFTER ANNOUNCEMENT MKT ON STEROIDS (VERY TOUGH TO GAUGE INDICATORS OR MODELS | ONLY MOMENTUM CAN BE GAUGED BUT NOT VERY EFFICIENT)</t>
  </si>
  <si>
    <t>J23 FLY</t>
  </si>
  <si>
    <t>ANOMALY IN CURVES</t>
  </si>
  <si>
    <t>BAD ORDER MGMT; FLY -&gt; SPD</t>
  </si>
  <si>
    <t>GDP (QoQ) (Q2)  (P0.8% F1% A0.9%) |</t>
  </si>
  <si>
    <t>GDP (YoY) (Q2) (P3.3% F3.5% A3.6%)</t>
  </si>
  <si>
    <t>CA - Kink near Dec23, extremely less chance of jun23 fly going negative. 1st at 30s 2nd at 10s 3rd fly at 0 or -1 4th fly at 2 or 3 (anomaly)</t>
  </si>
  <si>
    <t>&gt;0.03</t>
  </si>
  <si>
    <t>RISKY + BETTER CHANCE FROM ASE</t>
  </si>
  <si>
    <t>USE FOR TAILEND CONTRACTS (FAR REDS OR GREENS)</t>
  </si>
  <si>
    <t>look at other contracts' situation as well; might get a better trade</t>
  </si>
  <si>
    <t>USE 1 LOT CLIP TO AVOID GETTING LEGGED</t>
  </si>
  <si>
    <t>REMOVE ALL ASE ORDERS BEFORE A MAJOR EVENT</t>
  </si>
  <si>
    <t>SEP22 EXPIRY</t>
  </si>
  <si>
    <t>8.35AM (IST)</t>
  </si>
  <si>
    <t>LOWE SPEECH</t>
  </si>
  <si>
    <t>HIGH VOLATILITY UP IN IR (UPTO 16-18 BP) THEN WENT DOWN BY 6-7 BPS | SPDS WERE COMING DOWN BEFORE THEN WENT A LITTLE UP (2-3BPS)</t>
  </si>
  <si>
    <t>MKT RXN</t>
  </si>
  <si>
    <t>96.34 (BUT PUT IT AT 96.33 | MOMENTUM BET) worked; if not 96.34 would have been available; can use 1 tck momentum</t>
  </si>
  <si>
    <t>NEAR VWAP + MKT RXN</t>
  </si>
  <si>
    <t>1 HR</t>
  </si>
  <si>
    <t>IMPROVED TIMING | USED 1 LOTS BUT GOT UNLUCKY IN PIQ</t>
  </si>
  <si>
    <t>INSTEAD OF SELLING AT LOSS TRY TO BUY FROM OUTRIGHTS</t>
  </si>
  <si>
    <t>ANOMALY IN CURVES + KINK SHIFT TOWARDS TAIL + very less chances of going negative (downside of 2 ticks)</t>
  </si>
  <si>
    <t>CA + less downside fundamentally</t>
  </si>
  <si>
    <t>ASE + OUTRIGHTS</t>
  </si>
  <si>
    <t>GOT DOUBLE LEGGED INSTEAD OF ALL 3 LEGS; GOT IT AS THE MOVE FAVOURED; REMOVE BEFORE AN EXTREME EVENT</t>
  </si>
  <si>
    <t>ONLY BE IN THE HEDGE POSITION IF RANGEBOUND MOVEMENT NOT ON TREND</t>
  </si>
  <si>
    <t>REMOVE ALL ASE ORDERS B4 MAJOR EVENT OF AUD, USD, EZ</t>
  </si>
  <si>
    <t>JUST THE PRCING DIFFERENTIAL MATTERS; IF OUTRIGTHS ARE IN A RANGE (OR FLUCTUATING) THEY CAN BE BOUGHT TO MAKE FLIES</t>
  </si>
  <si>
    <t>JAHAN STABLE H WAHAN PE ORDER DAALNE SE LEGGED HONE KE CHANCES KAM HONGE</t>
  </si>
  <si>
    <t>ECB HIKES INT RATES (F75 A 75) 1.25%</t>
  </si>
  <si>
    <t xml:space="preserve">WHITES DOWN 1-4BP, REDS UP 3-4BP | </t>
  </si>
  <si>
    <t>US JOBLESS CLAIMS BELOW ESTIMATES</t>
  </si>
  <si>
    <t>WHITES WENT DOWN TILL 6BP, REDS CAME AT 0BP; 1 HR LATER M23 -8, J23 -7, S23 -6</t>
  </si>
  <si>
    <t>prev session end - 902 AM</t>
  </si>
  <si>
    <t>Scalping try</t>
  </si>
  <si>
    <t>PREV SESSION END - next session</t>
  </si>
  <si>
    <t>8-9 SEP</t>
  </si>
  <si>
    <t>qh = 1</t>
  </si>
  <si>
    <t>947 AM</t>
  </si>
  <si>
    <t>947am-b4 2nd session end</t>
  </si>
  <si>
    <t>933 AM- 944am</t>
  </si>
  <si>
    <t>1025 AM-1125pm</t>
  </si>
  <si>
    <t>Delayed; got legged at first; PIQ = 0; id not put target order until got all fills (7mins 1032am)</t>
  </si>
  <si>
    <t>2 shots on either extremes (-1 &amp; 4)</t>
  </si>
  <si>
    <t>have to be proactive if it gets double filled or single legged if mkt is volatile all of a sudden; less proactive when sideways</t>
  </si>
  <si>
    <t>1 @ -0.04 &amp; 1 @ -0.01</t>
  </si>
  <si>
    <t>forgot to remove ase order just b4 event; got double filled and single legged</t>
  </si>
  <si>
    <t>REMEMBER TO REMOVE ALL ASE ORDERS B4 EVENT</t>
  </si>
  <si>
    <t>INVALID TRADE</t>
  </si>
  <si>
    <t>INVALID trade</t>
  </si>
  <si>
    <t>got legged &amp; DOUBLE FILLED</t>
  </si>
  <si>
    <r>
      <rPr>
        <b/>
        <sz val="10"/>
        <color rgb="FF333333"/>
        <rFont val="Roboto"/>
      </rPr>
      <t>US CPI (YoY) (Aug</t>
    </r>
    <r>
      <rPr>
        <b/>
        <sz val="10"/>
        <color rgb="FF434343"/>
        <rFont val="Roboto"/>
      </rPr>
      <t>) | (F8.1% A8.3%)</t>
    </r>
  </si>
  <si>
    <t xml:space="preserve">HIGH VOLATILITY DOWN (10-14BP | MAR23 JUN23 14-15BP) | 1 HOUR AFTER RELEASE </t>
  </si>
  <si>
    <t>MKT RXN + TRYING FIBONACCI</t>
  </si>
  <si>
    <t>MKT RXN + INDICATORS (NOT EFFICIENT)</t>
  </si>
  <si>
    <t>WORK IN PROGRESS</t>
  </si>
  <si>
    <t>fibo</t>
  </si>
  <si>
    <t>6 PM (12SEP)</t>
  </si>
  <si>
    <t>BAD TRADE; DIRECTION RIGHT; TARGETING WRONG; FIBO WORKS FOR S/R; WORK ON APPLICATION OF FIBO BETTER</t>
  </si>
  <si>
    <t>GAVE A BETTER IDEA+EXPERIENCE ABOUT OUTRIGHTS</t>
  </si>
  <si>
    <t>MAKE SURE SL IS GTC ORDER</t>
  </si>
  <si>
    <t>COULD NOT MAKE A DECISION WHEN SL NOT PRESENT; MAKE SURE TO CHECK SL ORDER TYPE (IF &gt;1 SESSION)</t>
  </si>
  <si>
    <r>
      <rPr>
        <b/>
        <sz val="10"/>
        <color rgb="FF333333"/>
        <rFont val="Roboto"/>
      </rPr>
      <t>US CPI (MoM) (Aug</t>
    </r>
    <r>
      <rPr>
        <b/>
        <sz val="10"/>
        <color rgb="FF434343"/>
        <rFont val="Roboto"/>
      </rPr>
      <t>) | (F-0.1% A0.1%)</t>
    </r>
  </si>
  <si>
    <t>REW RANGE FORMED IN J24 SPD | FLUCTUATING A LOT</t>
  </si>
  <si>
    <t>US Core CPI (MoM) (Aug) | (F0.3% A0.6%)</t>
  </si>
  <si>
    <t>IR Mar23</t>
  </si>
  <si>
    <t xml:space="preserve">MKT RXN + STRONG MKT STRUCTURE (S/R) w (trying) Fibonacci </t>
  </si>
  <si>
    <t xml:space="preserve">PRICING FROM IB RETURNING TO PREVIOUS VALUES B4 US CPI (OR ATLEAST MOVING BACK IN THAT DIRECTION) </t>
  </si>
  <si>
    <t>MKT RXN + STRUCTURE (6 extra in the end right)</t>
  </si>
  <si>
    <t>96.06 (as per 96.11 price) (remember to put GTC)</t>
  </si>
  <si>
    <t>new lowest low forms (3rd)</t>
  </si>
  <si>
    <t>(FUNDAMENTAL PRICING CASES WITH RANGE AND MID POINT)</t>
  </si>
  <si>
    <t>EARLY Call on indicators (last 6 lots right timing; maybe hindsight bias) | INVALID TRADE : AVERAGING OVER DAYS IN OUTRIGHTS NOT ALLOWED IN LIVE; LEARNED SL TYPES AND BEHAVIOR OF OUTRIHGHTS</t>
  </si>
  <si>
    <t>work on uptrend in outrights (MAX TIME 1 DAY)</t>
  </si>
  <si>
    <t>96.11 BEST BUY 5 TIMES TOUCHED T:3m | LOW 96.08 (LOOK FOR THESE STRONG STRUCTURES) | USE FIBONACCI (got 3 lots only) | very strong support forms at 1-2 ticks below this price (@96.100) (96.08 this time; next session @96.09) | ANOTHER BUYING OPTION AT 96.09 (AS PER FUNDAMENTAL PRICING) AFTER UNEMPLOYMENT EVENT'</t>
  </si>
  <si>
    <t>wait for strong structures to form (easier to gauge using fibonacci) mkt tries to create S/R on these levels | put orders at THAT P and 1 tick below; SL 3-4 TICKS BELOW THAT</t>
  </si>
  <si>
    <t>FIBONACCI WITH STRONG MKT STRUCTURE (S/R) SHOULD BE USED; BUT WITH FEWER LOTS AS THEY WONT ALWAYS BE TRUE (WORK ON SL LEVELS)</t>
  </si>
  <si>
    <t>AFTER MOVE NEXT SESSION ALL RANGE BOUND BASED ON IR PRICING  (FUNDAMENTALS) | FRONTS WILL BE MORE DRIVEN BY FUNDAMENTALS</t>
  </si>
  <si>
    <t>DID NOT ANTICIPATE THE MOVEMENT FROM ECON. HEARING (UNAWARE ABOUT THE MEETING DETAILS)</t>
  </si>
  <si>
    <t>PRICING CHANGED FROM 40 TOWARDS 50BP AFTER MEETING</t>
  </si>
  <si>
    <t>WENT OPPOSITE; wasnt ready with any backup</t>
  </si>
  <si>
    <t>LEARNED TO USE PAYUP WITH SL</t>
  </si>
  <si>
    <t>FUNDAMENTALS ARE LAGGING; DIFFICULTY IN TRADING</t>
  </si>
  <si>
    <t>TT STOP w LTP | QTY &lt;=15 SL NOT GOOD</t>
  </si>
  <si>
    <t>TRYING SL TYPES AS THE TRADE FAILED ALREADY</t>
  </si>
  <si>
    <t>APPLY SL GTC IF TAKES &gt;1 SESSION</t>
  </si>
  <si>
    <t>ALWAYS PREPARE FOR THE OPPOSITE MOVE (BACKUPS OR HEDGE) EVEN IF THE ODDS DOESNT SEEM HIGH (example- strat is for move from 40bp to 25bp, prepare for a move towards 50bp (or opposite)</t>
  </si>
  <si>
    <t>get out quickly in outrigths (within 1 day)</t>
  </si>
  <si>
    <t>wrong trigger</t>
  </si>
  <si>
    <t>653AM</t>
  </si>
  <si>
    <t>IR SEP24</t>
  </si>
  <si>
    <t>UK CPI (YoY) (Aug) | (F10.2% A9.9%)</t>
  </si>
  <si>
    <t>LOW VOLATILITY UP (3-4BPS)</t>
  </si>
  <si>
    <t>5.30PM</t>
  </si>
  <si>
    <t xml:space="preserve">US PPI (MoM) (Aug) | (F-0.1% A-0.1%) </t>
  </si>
  <si>
    <t>US FUT RISES; OUTRIGHTS STARTS FALLING 25 MINS B4 RELEASE; NO MOVE AFTERWARDS</t>
  </si>
  <si>
    <t>MKT PREPARES FOR THE WORST (OR OPPOSITE CASE) B4 RELEASE</t>
  </si>
  <si>
    <t>FORECAST WAS - PPI INCREASES; INFLATION INCREASES IN FUTURE; INTEREST RATES RISE; PRICE FALL; BUT MKT MOVING UP (OPPOSITE) B4 RELEASE</t>
  </si>
  <si>
    <t xml:space="preserve">NXT MAJOR MOVE WILL BE AUS EMPLOYMENT CHANGE (MUCH HIGHER THAN PREVIOUS IS EXPECTED) WHICH IS GOOD; BETTER GROWTH </t>
  </si>
  <si>
    <t xml:space="preserve">Employment Change (Aug) | (P-40.9K F35K A33.5K) </t>
  </si>
  <si>
    <t>VERY LOW MOVEMENT</t>
  </si>
  <si>
    <t>Unemployment Rate (Aug) | (P3.4% F3.4% A3.5%)</t>
  </si>
  <si>
    <t>IB OCT22</t>
  </si>
  <si>
    <t>IB VALUATION AS PER 25 BP 32-33BP (trying IB trading)</t>
  </si>
  <si>
    <t>38.6BP PRICE (ORDER @97.330)</t>
  </si>
  <si>
    <t>97.4 (32 BP KA TARGET)</t>
  </si>
  <si>
    <t>15 SEP - 16 SEP</t>
  </si>
  <si>
    <t>FUNDAMENTAL PRICING WISE LESS RISK; MORE REWARD</t>
  </si>
  <si>
    <t>NO MOVE IN THE EVENT</t>
  </si>
  <si>
    <t>WENT TOWARDS 50BP AFTER SPEECH ON 16TH SEP</t>
  </si>
  <si>
    <t>OUTRIGHTS (4 TICKS SL; ONLY IF TGT &gt;=10 | ELSE 3 TICKS SL)</t>
  </si>
  <si>
    <t>TRADE WITH 1 SHOT AND 3 LOTS; WAIT FOR BETTER MKT STRUCTURE</t>
  </si>
  <si>
    <t>WORTH THE RISK IF CAPPED; WORK MORE ON MKT STRUCTURE</t>
  </si>
  <si>
    <t>USE DECISION TREES FOR STRATS</t>
  </si>
  <si>
    <t>AFTER MOVE NEXT SESSION ALL RANGE BOUND BASED ON IR PRICING (FUNDAMENTALS) | FRONT WILL BE MORE DRIVEN BY FUNDAMENTALS</t>
  </si>
  <si>
    <t>US Core Retail Sales (MoM) (Aug) | (P0.4% F0.1%A-0.3% )</t>
  </si>
  <si>
    <t>low volatility up then went back and then to new low</t>
  </si>
  <si>
    <r>
      <rPr>
        <b/>
        <sz val="10"/>
        <color rgb="FF333333"/>
        <rFont val="Roboto"/>
      </rPr>
      <t>US Initial Jobless Claim</t>
    </r>
    <r>
      <rPr>
        <b/>
        <sz val="10"/>
        <color rgb="FF434343"/>
        <rFont val="Roboto"/>
      </rPr>
      <t>s (P222K F226K A213k)</t>
    </r>
  </si>
  <si>
    <t>US Retail Sales (MoM) (Aug) | (P-0.4% F0.2% A0.3%)</t>
  </si>
  <si>
    <t>633 am</t>
  </si>
  <si>
    <t>LOWE SPEAKS (50BP/25BP)</t>
  </si>
  <si>
    <t>DOWN BY (4-5BP)</t>
  </si>
  <si>
    <t>TT STOP w BID (OR ASK)| QTY &lt;=15 OR 25 (OR BASED ON MKT) better SL; Add GTC if &gt;1 session strategy</t>
  </si>
  <si>
    <t>Try TT OCO with similar conditions</t>
  </si>
  <si>
    <t>AFTER SPEECH OUTRIGHTS WENT DOWN BY (10BP); WAS NOT PREPARED</t>
  </si>
  <si>
    <t>DISCIPLINE - ALWAYS TRADE LTD ORDERS WITH PROPER SL ( spreads and outrigths | max lots &lt;=3 PER STRATEGY ) | CHECK WORST CASES</t>
  </si>
  <si>
    <t>SL - CHECK SL ORDER TYPE AS GTC (NOT DAY) IF &gt;1 SESSION STRATEGY</t>
  </si>
  <si>
    <t xml:space="preserve">SL - STOP LOSS: TT STOP w BID (OR ASK) | QTY &lt;=15 OR 25 (OR BASED ON MKT) better SL; Add GTC if &gt;1 session strategy </t>
  </si>
  <si>
    <t>PLAN - ALWAYS PREPARE FOR THE OPPOSITE MOVE (BACKUPS OR HEDGE) EVEN IF THE ODDS DOESNT SEEM HIGH (example- strat is for move from 40bp to 25bp, prepare for a move towards 50bp (or opposite) | BACKUP GOIING INTO EVENT IS IMPORTANT</t>
  </si>
  <si>
    <t>SL - ADD PAYUP = 1 OR 2 IN SL IF MOVEMENT IS HIGH</t>
  </si>
  <si>
    <t>ORDER MGMT - USE 'CANCEL ALL' FROM ORDER BOOK BEFORE EVENT FIRST THEN EXECUTE IF ANY OTHER EVENT SETUP</t>
  </si>
  <si>
    <t>11.28AM</t>
  </si>
  <si>
    <t>IB VALUATION (trying IB Trading)</t>
  </si>
  <si>
    <t>IB PRICING TOWARDS 50BP</t>
  </si>
  <si>
    <t>(50BP PRICING NEAR)</t>
  </si>
  <si>
    <t>&lt;5 MINS</t>
  </si>
  <si>
    <t>SL TRIGGERED; direction correct</t>
  </si>
  <si>
    <t>Trade with &lt;=3 lots in outrigths</t>
  </si>
  <si>
    <t>MKT WILL TRY TO HIT THE SL; TAKE MORE RISK</t>
  </si>
  <si>
    <t>13.03pm</t>
  </si>
  <si>
    <t>mkt structure</t>
  </si>
  <si>
    <t>FIBO (+1 @ 96.14 &amp; 96.12) + RANGE</t>
  </si>
  <si>
    <t>RANGE BREAKS (asks qty &lt; =15)</t>
  </si>
  <si>
    <t>SUPPORT</t>
  </si>
  <si>
    <t>CHART analysis</t>
  </si>
  <si>
    <t>5.35pm</t>
  </si>
  <si>
    <t>SL TRIGGERED</t>
  </si>
  <si>
    <t>leave at mkt P within an hour if strat is for mins</t>
  </si>
  <si>
    <t>2.30pm</t>
  </si>
  <si>
    <t>CPI (YoY) (Aug) | (P9.1% F9.1% A9.1%)</t>
  </si>
  <si>
    <t>MISCLICK</t>
  </si>
  <si>
    <t>MOMENTUM + SIGNALS (+ASC TRI SIMILAR FORMATION TF10min)</t>
  </si>
  <si>
    <t xml:space="preserve"> TA</t>
  </si>
  <si>
    <t>NEW LOW + FALSE SIGNAL</t>
  </si>
  <si>
    <t>IF MOVE OPPOSITE (SELL ORDER AT SL)</t>
  </si>
  <si>
    <t>early exit; slow mkt - went till 96.09, came back</t>
  </si>
  <si>
    <t>move took 2 sessions, nxt session at 96.12 &amp; later to 96.16</t>
  </si>
  <si>
    <t>Research on duration of strat</t>
  </si>
  <si>
    <t>ASC TRI + EMA(25X200) TAKES 2 SESSIONS | RR &gt;=3 | AT LEAST 2 SESSIONS | LOOK FOR S/R AND PLACE SL 2 TICKS AROUND | timeframe 10 mins</t>
  </si>
  <si>
    <t>MOMENTUM + SIGNALS</t>
  </si>
  <si>
    <t>837pm</t>
  </si>
  <si>
    <t>work on mkt structure</t>
  </si>
  <si>
    <t>positive expectancy models w duration</t>
  </si>
  <si>
    <t>704AM</t>
  </si>
  <si>
    <t>POSITIONS 1 TICK AROUND</t>
  </si>
  <si>
    <t>1-2 SESSIONS</t>
  </si>
  <si>
    <t>???</t>
  </si>
  <si>
    <t>OUTRIGHTS MOVED (50-70BP)</t>
  </si>
  <si>
    <t>IR MAR 24</t>
  </si>
  <si>
    <t>TF 3MIN EMA MODEL (within an hour)</t>
  </si>
  <si>
    <t>model</t>
  </si>
  <si>
    <t>new high; move not yet over</t>
  </si>
  <si>
    <t>weak ema25 strong vwap (later converged to vwap)</t>
  </si>
  <si>
    <t>within 1 hour</t>
  </si>
  <si>
    <t>tema X 3 min | check other outrigths behaviour</t>
  </si>
  <si>
    <t xml:space="preserve">SLOW MKT - EARLY EXIT ( hour+10mins) </t>
  </si>
  <si>
    <t>move broke after 1hr; fell back by 1130 to 96.11</t>
  </si>
  <si>
    <t>CHECK OTHER OUTRIGHTS FOR 3min EMA model to get an idea of the move</t>
  </si>
  <si>
    <t>For weak moves AFTER EMA 25/200 | converge with 25EMA (later converged to vwap)</t>
  </si>
  <si>
    <t>CONFIRMATION - ALL OUTRIGHTS FALL BY 1 TICK AFTER X AND MOVE SLOWS FOR 10MINS AT LEAST</t>
  </si>
  <si>
    <t>CA + less downside CURVE MOVEMENT</t>
  </si>
  <si>
    <t>DIDNT NEED</t>
  </si>
  <si>
    <t>2 WEEKS+</t>
  </si>
  <si>
    <t>8 SEP-20SEP</t>
  </si>
  <si>
    <t>row 134</t>
  </si>
  <si>
    <t>fly before kink spread WILL be positive  [MATHS] | (kink spread that time bw dec23 &amp; mar24) j23fly was trading at -1, 0, 1</t>
  </si>
  <si>
    <t xml:space="preserve">LOOK FOR SUCH ANOMALIES </t>
  </si>
  <si>
    <t>Scalping (got legged IR JUN24)</t>
  </si>
  <si>
    <t>CONVERT SPD AT -4 AND SELL AT -4 TO GET OUT</t>
  </si>
  <si>
    <t>USE A FIXED SHOT. DONT ADD SHOTS TO THE SHOTS ALREADY IN QUEUE</t>
  </si>
  <si>
    <t>COULD HAVE BOUGHT SEP24 AT J24 SPD -4 THEN SELL AT MKT AS WELL</t>
  </si>
  <si>
    <t>453 AM</t>
  </si>
  <si>
    <t>707am</t>
  </si>
  <si>
    <t>do one directional</t>
  </si>
  <si>
    <t>628AM</t>
  </si>
  <si>
    <t>IB NOV22</t>
  </si>
  <si>
    <t>IB PRICING (CASES)</t>
  </si>
  <si>
    <t>96.955 (PAYUP = 2) | tt oco</t>
  </si>
  <si>
    <t>RANGE</t>
  </si>
  <si>
    <t>BP 49,33,21</t>
  </si>
  <si>
    <t>SL TRIGGERED (PAYUP = 2)</t>
  </si>
  <si>
    <t>NEED MORE TIME FOR IB | sl, cases and timing</t>
  </si>
  <si>
    <t>DO PAPER TRADING FOR IB!</t>
  </si>
  <si>
    <t>1033AM</t>
  </si>
  <si>
    <t>FED HIKES BY 75BP (3.25%)</t>
  </si>
  <si>
    <t>OUTRIGHTS WENT DOWN BY 9 BP THEN REBOUNDED A LITTLE</t>
  </si>
  <si>
    <t>1149am</t>
  </si>
  <si>
    <t>initial job less claims (F218K A213K)</t>
  </si>
  <si>
    <t>night session outrights moved DOWN 20bp</t>
  </si>
  <si>
    <t>402am</t>
  </si>
  <si>
    <t>21 - 22 sep</t>
  </si>
  <si>
    <t>partial fill (3 LOTS)</t>
  </si>
  <si>
    <t>8 SEP-23SEP</t>
  </si>
  <si>
    <t>ROW 134</t>
  </si>
  <si>
    <t>716 AM</t>
  </si>
  <si>
    <t>DELAYED FILL (DOUBLE LEGGED FOR 9MIN)</t>
  </si>
  <si>
    <t>STUCK AT PIQ = 0 AT DEC23</t>
  </si>
  <si>
    <t>FLIES ARE WAITING GAME + execution (execute only in less volatile mkts or rangebound)</t>
  </si>
  <si>
    <t>EXIT FLIES WITH FEW LOTS AND CHECK IF THE MKT DECIDES TO GIVE A BETTER PRICE WITH MOMENTUM; STAY IN THE MKT WITH FEW LOTS LEFT IF MOMENTUM IS PRESENT</t>
  </si>
  <si>
    <t>IF SINGLE LEGGED -&gt; BUY AT -0.05 AND SELL AT MARKET (-0.05)</t>
  </si>
  <si>
    <t>230pm (3lots)</t>
  </si>
  <si>
    <t>SINGLE LEGGED AT MKT OPEN FOR 6MINS</t>
  </si>
  <si>
    <t>DOUBLE FILLED AS WELL (total 6 lots)</t>
  </si>
  <si>
    <t xml:space="preserve">GTC ORDER </t>
  </si>
  <si>
    <t>CONSIDER CASE GETTING DOUBLE FILLED; AND THEN CALCULATE THE WORST CASE IF DOUBLE FILLED</t>
  </si>
  <si>
    <t>PEOPLE ARE GETTING DOUBLE FILLED SINGLE LEGGED IN WHITES AND EARLY REDS;</t>
  </si>
  <si>
    <t>ALL ABOUT EXECUTION AND BACKUPS IN Scalping</t>
  </si>
  <si>
    <t>26 sep (856am)</t>
  </si>
  <si>
    <t>exit at mkt (double filled; waited for a day)</t>
  </si>
  <si>
    <t>WHEN THIS HAPPENS NXT TIME - ADD EXTRA LOTS TO ENTER OPPOSITE SIDE TRADE</t>
  </si>
  <si>
    <t>FLY B4 KINK SPREAD +VE (LESS DOWNSIDE 1 TICK)</t>
  </si>
  <si>
    <t>IF DOUBLE LEGGED SELL S23 FLY AT 4 INSTEAD OF 5 OR MAKE S23 SPD</t>
  </si>
  <si>
    <t>3 T DAYS</t>
  </si>
  <si>
    <t>23SEP - 27 SEP</t>
  </si>
  <si>
    <t>GOT DOUBLE LEGGED MAR24 95.55 FOR 6 MINS @ PIQ = 9)</t>
  </si>
  <si>
    <t>452AM</t>
  </si>
  <si>
    <t>Scalping (trying in flies)</t>
  </si>
  <si>
    <t>548am</t>
  </si>
  <si>
    <t xml:space="preserve">STUCK AT PIQ = 0 AT MAR23 </t>
  </si>
  <si>
    <t>Scalping IN FLIES (TRY WITH MORE LOTS)</t>
  </si>
  <si>
    <t>DO IT IN THE DIRECTION OF CURVE MOVEMENT</t>
  </si>
  <si>
    <t>Scalping (single legged at IR JUN24 for 26MINS)</t>
  </si>
  <si>
    <t>make spd @ -0.07 and sell at mkt/sell jun24 at mkt or profit</t>
  </si>
  <si>
    <t>12 48pm</t>
  </si>
  <si>
    <t>SINGLE LEGGED (other side stuck at piq = 0) | SINGLE LEGGED FOR 26MINS</t>
  </si>
  <si>
    <t>MKT CLOSE GTC (1ST SESSION)</t>
  </si>
  <si>
    <t xml:space="preserve">KINK TRADING </t>
  </si>
  <si>
    <t>PUT ORDERS AT RESPECTIVE PRICES IN EACH CONTRACT (AFTER SINGLE LEGGED) SEP24 AT 95.77 MAR 24 95.57 (COST) JUN24 (4 LOTS SO 95.68 (+1))</t>
  </si>
  <si>
    <t>MKT CLOSE GTC GAVE DOUBLE FILLED SINGLE LEGGED ORDERS</t>
  </si>
  <si>
    <t>GIVE ORDERS RIGHT AFTER MKT OPEN, IG (AVOID WITH GTC IN FLIES | ONLY SMALL LOTS IN SPREADS)</t>
  </si>
  <si>
    <t>6.30 reached SEP24 AT M24 0 :)</t>
  </si>
  <si>
    <t>AVOID GTC IN FLY OUTRIGHTS</t>
  </si>
  <si>
    <t>TRIED GTC EXECUTION WITH 1 LOT; FAILED</t>
  </si>
  <si>
    <t>MKT CLOSE GTC  (1ST SESSION)</t>
  </si>
  <si>
    <t>Scalping (double filled single legged)</t>
  </si>
  <si>
    <t>after 3pm</t>
  </si>
  <si>
    <t>got 1 lot at a time (risky business)</t>
  </si>
  <si>
    <t>danger if mkt opens at a gap</t>
  </si>
  <si>
    <t>The more you wait the more dependent you'll be in luck (after getting single legged)</t>
  </si>
  <si>
    <t>M24 FLY - KINK TRADING (DOUBLE FILLED &amp; LEGGED) | EXEC FAIL - DONT USE GTC (TRY FF ASE RETRY WITH TIME B4 CLOSE AND AFTER OPEN)</t>
  </si>
  <si>
    <t>WAITED TO GET MAR24 AT 0 (OUT OF TIME)</t>
  </si>
  <si>
    <t>The more you wait the more dependent you'll be in LUCK (after getting single legged) | therefore LESS CONTROL (MAX 1 HOUR) | CHECK WORST CASE SL SCENARIOS + BACKUP | give SL before working on SL</t>
  </si>
  <si>
    <t>USE FF ASE RETRY (B4 CLOSE AND AFTER OPEN - TIME)</t>
  </si>
  <si>
    <t xml:space="preserve">DONT USE GTC WITH FLY outright </t>
  </si>
  <si>
    <t>EXECUTION FAILURE USING GTC B4 MKT CLOSE</t>
  </si>
  <si>
    <t>USE FF ASE RETRY (B4 CLOSE AND AFTER OPEN - TIME) | check IGNORE MARKET STATE</t>
  </si>
  <si>
    <t>KINK TRADING</t>
  </si>
  <si>
    <t>26,27 sep22</t>
  </si>
  <si>
    <t>EXECUTION SUCCESSFUL WHEN ORDER GIVEN AFTER MKT OPEN | 1 lot at a time</t>
  </si>
  <si>
    <t>use 1 lot at a time in outright; rest of the time use calendar</t>
  </si>
  <si>
    <t>~10PM</t>
  </si>
  <si>
    <t>27 sep 824 am</t>
  </si>
  <si>
    <t>1111AM</t>
  </si>
  <si>
    <t>SINGLE LEGGED FOR 4 MINS</t>
  </si>
  <si>
    <t>1.12pm</t>
  </si>
  <si>
    <t>PARTIAL FILL (2/3)</t>
  </si>
  <si>
    <t>233pm</t>
  </si>
  <si>
    <t>KINK TRADING + CURVE MOVEMENT</t>
  </si>
  <si>
    <t>FLUCTUATION B/W 3 AND 5</t>
  </si>
  <si>
    <t>NIGHT SESSION</t>
  </si>
  <si>
    <t>J24 S24</t>
  </si>
  <si>
    <t>full session</t>
  </si>
  <si>
    <t>orders 1 tick around as well (need to work on that)</t>
  </si>
  <si>
    <t>KINK TRADING + ANOMALY BEFORE KINK FLY +VE</t>
  </si>
  <si>
    <t>3 DAYS (FRI)</t>
  </si>
  <si>
    <t>B4 RBA MEETING EXIT IF GOES HIGH</t>
  </si>
  <si>
    <t>1106AM</t>
  </si>
  <si>
    <t>2 lots (partial fill) (2/3)</t>
  </si>
  <si>
    <t>orders given after market open works much better</t>
  </si>
  <si>
    <t>2 lots (partial fill) (1/3)</t>
  </si>
  <si>
    <t>EXIT AT COST</t>
  </si>
  <si>
    <t>AFTER 3</t>
  </si>
  <si>
    <t>4 OCT EXIT</t>
  </si>
  <si>
    <t>INVALID (GOT LEGGED) W/O SL</t>
  </si>
  <si>
    <t>ACTIVELY TRADE IF USING FLY outright</t>
  </si>
  <si>
    <t>403am</t>
  </si>
  <si>
    <t>AVOID/STOP Scalping IF RANGES ARE NOT PROMINENT (CANDLES) IN 10 - 15 MIN TF</t>
  </si>
  <si>
    <t>MKT BEHAVIOR IS TO PREPARE FOR THE WORST B4 EVENT (RIGHT NOW WORSE (OR OPPOSITE DIRECTION) IS 25 BP SO PRICED IN BP 45 TO 42 IN 3 DAYS)</t>
  </si>
  <si>
    <t>1.02PM</t>
  </si>
  <si>
    <t>Scalping (TRYING WITH FF RANGE PLAY) TEMPLATE - CHURN1</t>
  </si>
  <si>
    <t>Scalping (TRYING WITH FF RANGE PLAY with 1 lot) CHURN1=&gt; SAVED TEMPLATE | TF 15MIN</t>
  </si>
  <si>
    <t>(HIT AT THE MIDDLE EX =&gt; -0.05 and -0.03 is the range =&gt; hit at -0.04</t>
  </si>
  <si>
    <t xml:space="preserve">USEFUL FOR LEAVING THE ORDERS WITH 1 LOT WHEN AWAY </t>
  </si>
  <si>
    <t>1.48pm</t>
  </si>
  <si>
    <t>SELLING 1 LOT AT A TIME</t>
  </si>
  <si>
    <t>1156am</t>
  </si>
  <si>
    <t>TRYING TT OCO2; WORKS IN OUTRIGHTS</t>
  </si>
  <si>
    <r>
      <rPr>
        <b/>
        <sz val="10"/>
        <color rgb="FF434343"/>
        <rFont val="Roboto"/>
      </rPr>
      <t>CPI (YoY) (Sep</t>
    </r>
    <r>
      <rPr>
        <b/>
        <sz val="10"/>
        <color rgb="FF434343"/>
        <rFont val="Roboto"/>
      </rPr>
      <t>) | (P9.1% F9.7% A10%)</t>
    </r>
  </si>
  <si>
    <t>Scalping - USE A FIXED SHOT. DONT ADD SHOTS TO THE SHOTS ALREADY IN QUEUE (Chances of getting legged will increase) | BOTH LEGS QH=2 BETTER SO FAR | also do one side at a time</t>
  </si>
  <si>
    <t>ANOMALY TRADING - LOOK FOR ANOMALIES DURING KINK SHIFTING [MATHS] - POSITIVE EXPECTANCY TRADE; example - row 134 - row177,184,185 | -2 LEG QH = 1</t>
  </si>
  <si>
    <t xml:space="preserve">ORDER MGMT - DONT USE GTC IN FLY OUTRIGHTS (ONLY PUT ORDERS AFTER MKT OPEN) </t>
  </si>
  <si>
    <t>ORDR MGMT: Remove all orders before market close in session1. Add orders once the market starts.</t>
  </si>
  <si>
    <t>PLAN + DISCIPLINE- The more you wait the more dependent you'll be on LUCK (after getting single legged) | therefore LESS CONTROL (wait MAX 1 HOUR) | CHECK WORST CASE SL SCENARIOS + BACKUP | give SL before working on backup</t>
  </si>
  <si>
    <t>DISCIPLINE - IF UNSURE OR LESS CONFIDENT, NOT TAKING ANY TRADE IS BETTER (FOR A SHORT RUN) | OBSERVE AND PLAN AHEAD</t>
  </si>
  <si>
    <t>night ses. 6pm</t>
  </si>
  <si>
    <t>KINK SHIFT</t>
  </si>
  <si>
    <t>3 (Scalping) / HOLD 2 WEEKS</t>
  </si>
  <si>
    <t>CHURN OR 2 WEEKS</t>
  </si>
  <si>
    <t>FROM OUTRIGHTS</t>
  </si>
  <si>
    <t>ORDERED AT ; GOT AT -1</t>
  </si>
  <si>
    <t>RBA MEETING</t>
  </si>
  <si>
    <t>28SEP - 4OCT</t>
  </si>
  <si>
    <t>GOT LEGGED (EARLY EXIT AT 2 INSTEAD OF 3) | YET HAD TO WAIT 11 MINS</t>
  </si>
  <si>
    <t>TRIED EXITING BEFORE MEETING WHEN PRICE WAS NEAR 3</t>
  </si>
  <si>
    <t>FROM OUTRIGTHS</t>
  </si>
  <si>
    <t>TARGET EXIT WAS 3 BUT GOT LEGGED SO EXIT AT 2</t>
  </si>
  <si>
    <t>AVOID TRADES IN FLIES AND SPDS ON MEETING DAY</t>
  </si>
  <si>
    <t>RBA MEETING hikes by 25bp (e50bp a25)</t>
  </si>
  <si>
    <t>outights moved by 50 to 70 bp!!!!</t>
  </si>
  <si>
    <t>IB OCT</t>
  </si>
  <si>
    <t>SPECULATION AGAINST THE BETTER RISK REWARD</t>
  </si>
  <si>
    <t xml:space="preserve">HERD MENTALITY (TOOK A BET AS IT WAS SIM, DID NOT CARE) </t>
  </si>
  <si>
    <t>BORED</t>
  </si>
  <si>
    <t>POSITIVES - FELT LIKE STRATEGY AND NOT TRADE</t>
  </si>
  <si>
    <t>WAS ABLE TO CUT (GOOD)</t>
  </si>
  <si>
    <t>IT WAS A STRATEGY (IRRATIONAL &amp; BAD RR) AND NOT A TRADE; GOOD</t>
  </si>
  <si>
    <t>AVOID HERD MENTALITY</t>
  </si>
  <si>
    <t>STAY RATIONAL; ALWAYS CHECK THE RISK REWARD (DONT CONFUSE PROBABILITIES WITH OPINIONS/SPECULATIONS)</t>
  </si>
  <si>
    <t>TRIED HERD MENTALITY BUYING WITH 1 LOT; IF YOU LOOK AT WORSE - UNBEARABLE LOSS</t>
  </si>
  <si>
    <t>1036am</t>
  </si>
  <si>
    <t>J23 FLY - o</t>
  </si>
  <si>
    <t>AFTER HIKE 25</t>
  </si>
  <si>
    <t>REMOVED/CHECKED GTC ORDERS B4 MKT CLOSE</t>
  </si>
  <si>
    <t>IMPROVEMENT IN ORDER MGMT + DISCIPLINE</t>
  </si>
  <si>
    <t>NIGHT SES.</t>
  </si>
  <si>
    <t>1.30PM</t>
  </si>
  <si>
    <t>SELL AT 5 INSTEAD OF 6</t>
  </si>
  <si>
    <t>B4 RBA MEETING EXIT IF GOES HIGH &amp; HOLD SOME</t>
  </si>
  <si>
    <t>28SEP - 5OCT</t>
  </si>
  <si>
    <t>DOUBLE LEGGED FOR 33MINS | SELLING 2 LOTS AT A TIME</t>
  </si>
  <si>
    <t>NEXT DAY AFTER HIKE 25</t>
  </si>
  <si>
    <t>stay active if mkt have activity (get a backup ready) or exit within hour of legged</t>
  </si>
  <si>
    <t>NEED TO STAY ACTIVE FOR FLY outright if mkt is not in a range</t>
  </si>
  <si>
    <t>350am</t>
  </si>
  <si>
    <t>28 SEP - 6 OCT</t>
  </si>
  <si>
    <t>1 WEEK +</t>
  </si>
  <si>
    <t>28SEP - 7OCT</t>
  </si>
  <si>
    <r>
      <rPr>
        <b/>
        <u/>
        <sz val="10"/>
        <color rgb="FF333333"/>
        <rFont val="Roboto"/>
      </rPr>
      <t>Nonfarm Payrolls (Sep</t>
    </r>
    <r>
      <rPr>
        <b/>
        <sz val="10"/>
        <color rgb="FF434343"/>
        <rFont val="Roboto"/>
      </rPr>
      <t>) | (F250K A263K)</t>
    </r>
  </si>
  <si>
    <t>OUTRIGHTS (-7BP THEN REBOUNDING AFTER 30 MINS)</t>
  </si>
  <si>
    <r>
      <rPr>
        <b/>
        <u/>
        <sz val="10"/>
        <color rgb="FF333333"/>
        <rFont val="Roboto"/>
      </rPr>
      <t>Unemployment Rate (Sep</t>
    </r>
    <r>
      <rPr>
        <b/>
        <sz val="10"/>
        <color rgb="FF434343"/>
        <rFont val="Roboto"/>
      </rPr>
      <t>) | (F3.7% A3.5%)</t>
    </r>
  </si>
  <si>
    <t>Employment Change (Sep) | (F20K A21.1K)</t>
  </si>
  <si>
    <t>Kink shift + fluctuations b/w 3 and 5</t>
  </si>
  <si>
    <t>USE QH=1 AND ONLY ACTIVE QUOTING IN THE MIDDLE ONE FOR FLY outright</t>
  </si>
  <si>
    <t>hit but 1 tick payup!</t>
  </si>
  <si>
    <t>checking for fills</t>
  </si>
  <si>
    <t>TFF might affect IR jun23; check data</t>
  </si>
  <si>
    <t>Kink shift + fluctuations b/w 3 and 6</t>
  </si>
  <si>
    <t>IF GETTING FILLS ON CALENDAR EASILY; MOVE HAS STRONG CHANCE TO GO AGAINST YOU FOR AT LEAST 2 TICKS</t>
  </si>
  <si>
    <t>from outrights got double filled when the move came</t>
  </si>
  <si>
    <t>BAD EXECUTION WHEN MOVE CAME UNEXPECTEDLY</t>
  </si>
  <si>
    <r>
      <rPr>
        <b/>
        <sz val="10"/>
        <color rgb="FF434343"/>
        <rFont val="Roboto"/>
      </rPr>
      <t>NAB Business Confidence (Sep</t>
    </r>
    <r>
      <rPr>
        <b/>
        <sz val="10"/>
        <color rgb="FF434343"/>
        <rFont val="Roboto"/>
      </rPr>
      <t>) | (P10 A5)</t>
    </r>
  </si>
  <si>
    <t>Outrights are giving fills; Calendar will give but be ready for anti move</t>
  </si>
  <si>
    <t>UK MONTHLY GDP (F-0.2 A-0.3%)</t>
  </si>
  <si>
    <t>MKT BREAK</t>
  </si>
  <si>
    <t>UK YOU GDP | (F2.4% A2%)</t>
  </si>
  <si>
    <t>ECB SPEECH, FOMC MINUTES, US PPI</t>
  </si>
  <si>
    <t>DURING SPEECHES OR MINUTES USE CALENDARS AT DEFENSIVE POSITIONS ONLY</t>
  </si>
  <si>
    <t>YOU WILL GET FILLS ON A SAFE CONTRACT AT A SAFE PRICE EVEN IF LEGGED IT WILL BE A SPREAD</t>
  </si>
  <si>
    <t xml:space="preserve">PREFERRED FOR CALENDAR SPREADS ONLY AT DEFENSIVE POSITION </t>
  </si>
  <si>
    <t>KINK ANOMALY BUT DIRECTION OPPOSITE TO KINK TRADING FUNDAMENTAL</t>
  </si>
  <si>
    <t>DON'T GO OPPOSITE DIRECTION OF KINK TRADING FUNDAMENTAL; less win%</t>
  </si>
  <si>
    <t>USE CALENDAR SPD 1 TICK ON THE DEFENSIVE SIDE SUCH THAT YOU ARE IN THE DIRECTION</t>
  </si>
  <si>
    <t>THERE IS A LOT OF BAITING IN THE MKT</t>
  </si>
  <si>
    <t>IF LOWER THAN EXPECTED IS BEARISH FOR AUD THEN OUTRIGHTS WILL FALL</t>
  </si>
  <si>
    <t>got legged in the buying side (4 ticks away after 2 hrs)</t>
  </si>
  <si>
    <t>execute from outright when selling right side of kink</t>
  </si>
  <si>
    <t>D22 SPD CAL</t>
  </si>
  <si>
    <t>EXPECTING FRONT LOADING (WESTPAC 50BP EXPECTATIONS IN NOV NEWS)</t>
  </si>
  <si>
    <t>MOVEMENT IG</t>
  </si>
  <si>
    <t>TT STOP WITH A PAYUP EXECUTED AT 60</t>
  </si>
  <si>
    <t>ALL EXIT ORDERS AT MKT OPEN (+5MINS outrights)</t>
  </si>
  <si>
    <t>CHECKING SL IN CALENDARS WITH ASK QTY (IN THIS CASE ASK)</t>
  </si>
  <si>
    <t>USE LTP QTY (&gt;=100) WITH PAYUP=1 INSTEAD OF ASKS/BIDS</t>
  </si>
  <si>
    <t>KINK TRADING (SHOULD NOT GO NEGATIVE) | LESS DOWNSIDE</t>
  </si>
  <si>
    <t>(SHOULD NOT GO NEGATIVE) | LESS DOWNSIDE</t>
  </si>
  <si>
    <t xml:space="preserve">ENTRY got DOUBLE FILLED </t>
  </si>
  <si>
    <t>exit via outright 1 lot; 31 0ct another lot</t>
  </si>
  <si>
    <t>no problem in a less volatile market where fluctuations in outrights are occuring</t>
  </si>
  <si>
    <t>M24 SPD CAL</t>
  </si>
  <si>
    <t>WENT TO 0.01 LATER ON</t>
  </si>
  <si>
    <t>10.45AM</t>
  </si>
  <si>
    <t>DON'T GO OPPOSITE DIRECTION OF KINK TRADING FUNDAMENTAL</t>
  </si>
  <si>
    <t>USE CALENDAR SPD 1 TICK ON THE DEFENSIVE SIDE SUCH THAT YOU ARE IN THE DIRECTION OF CURVE/KINK TRADING</t>
  </si>
  <si>
    <t>you can move the 2nd queued order manually</t>
  </si>
  <si>
    <t>4.45pm</t>
  </si>
  <si>
    <t>WITHIN SECONDS</t>
  </si>
  <si>
    <t>PUT ORDERS AT -3 AND -4 IN SPDS AND CALENDAR</t>
  </si>
  <si>
    <t>AMAZING EXECUTION</t>
  </si>
  <si>
    <t>ENTERED OPPOSITE SIDE (-4) AND EXIT AS WELL IN HOURS LATER</t>
  </si>
  <si>
    <t>EXIT FROM OUTRIGHTS (ENTERED FROM CALENDAR)</t>
  </si>
  <si>
    <t>selling side triggered first</t>
  </si>
  <si>
    <t>JUN23 DE-FLY WAS AT -4, -5 (REST ALL +VE); ANOMALY LIKE; 2 NOV 22: IT WAS AT 1, 2</t>
  </si>
  <si>
    <t>~3HRS</t>
  </si>
  <si>
    <t>7.30PM</t>
  </si>
  <si>
    <t>AND THEN EXIT FROM CALENDAR AT -3</t>
  </si>
  <si>
    <t>AUTO PILOT</t>
  </si>
  <si>
    <t>SD23</t>
  </si>
  <si>
    <t>355AM</t>
  </si>
  <si>
    <t>JS24</t>
  </si>
  <si>
    <t>&gt;12 hrs</t>
  </si>
  <si>
    <t>JS24 C</t>
  </si>
  <si>
    <t xml:space="preserve">D23 FLY OUTRIGHT </t>
  </si>
  <si>
    <t>LEGGED!</t>
  </si>
  <si>
    <t>EXIT AT 1 TICK</t>
  </si>
  <si>
    <t>order qty 4; filled qty 1 (at least 2 needs to be filled )</t>
  </si>
  <si>
    <t>USE 1 LOT AT A TIME (IF ATTEMPTING FOR FLY)</t>
  </si>
  <si>
    <t>VERY RISKY (IN ILLIQUID MKT); STILL RISKY IN LIQUID MKT</t>
  </si>
  <si>
    <t>S23 SPD CAL</t>
  </si>
  <si>
    <t>weak</t>
  </si>
  <si>
    <t>Calendar exit</t>
  </si>
  <si>
    <t>NEW STRATS | WHITES, PRIMARY, OUTRIGHTS + more lots trades</t>
  </si>
  <si>
    <t>FLY EXECUTION</t>
  </si>
  <si>
    <t>DURING HIGH OR MEDIUM VOLATILITY; ASE OF CALENDARS MIGHT GIVE YOU DOUBLE FILLED OR EVEN SINGLE LEGGED IN CALENDAR | ASE OF OUTIGHTS WITH 1 PAYUP ON EITHER LEGS WILL GIVE 2 TICKS BAD PRICE</t>
  </si>
  <si>
    <t xml:space="preserve">BEST IS ALWAYS TO HIT AT 1 WORSE PRICE! </t>
  </si>
  <si>
    <t>OR AVOID ASE!</t>
  </si>
  <si>
    <t>HIT IN GAP OF CALENDAR FLY | MATURE WAY</t>
  </si>
  <si>
    <t>Scalping (w larger lots)</t>
  </si>
  <si>
    <t>practising with larger lots</t>
  </si>
  <si>
    <t>JUST NUMBERS</t>
  </si>
  <si>
    <t>Liq gap till 41</t>
  </si>
  <si>
    <t>3 ticks (ltq &gt;=45)</t>
  </si>
  <si>
    <t>45 was last Sz (broken) | might become Rz | 44 was day open</t>
  </si>
  <si>
    <t>so mkt prepared for the dovish (50bp) 44 to 41</t>
  </si>
  <si>
    <t>JS24 spd calendar</t>
  </si>
  <si>
    <t>DM24 SPD C</t>
  </si>
  <si>
    <t>3 days</t>
  </si>
  <si>
    <t>28 nov 22 509pm</t>
  </si>
  <si>
    <t>M24 SPD C</t>
  </si>
  <si>
    <t>25 nov 22 645am</t>
  </si>
  <si>
    <t>1st scalp win w 5 lots</t>
  </si>
  <si>
    <t>B/O of Rz (previously broken Sz)</t>
  </si>
  <si>
    <t>LAST OF Rz</t>
  </si>
  <si>
    <t>&gt;=53</t>
  </si>
  <si>
    <t>using trailing SL; moving 1 tick w target still same</t>
  </si>
  <si>
    <t>Trailing SL hit; went up till 53</t>
  </si>
  <si>
    <t>28-Nov-2022, 29 nov 22</t>
  </si>
  <si>
    <t>MON, tue</t>
  </si>
  <si>
    <t>510PM, 445am</t>
  </si>
  <si>
    <t>Bp distribution</t>
  </si>
  <si>
    <t>Curve anomaly + (rollover)</t>
  </si>
  <si>
    <t>D A M N!</t>
  </si>
  <si>
    <t>REACHED TARGET (took 2-3 days)</t>
  </si>
  <si>
    <t>615AM</t>
  </si>
  <si>
    <t>EMA 50 X 200 | SLANTING TREND</t>
  </si>
  <si>
    <t>IB FEB 23</t>
  </si>
  <si>
    <t>Hawkish slightly by LOWE</t>
  </si>
  <si>
    <t>CORRECT VIEWS</t>
  </si>
  <si>
    <t>IB DEC 23</t>
  </si>
  <si>
    <t>SRz Model</t>
  </si>
  <si>
    <t>FFRZ1</t>
  </si>
  <si>
    <t>Ranges (-6.5 to +10.5)</t>
  </si>
  <si>
    <t>Backs move more (got FFRZ2 as well) | YBAc5,c6,c7</t>
  </si>
  <si>
    <t>B4 backs wale are lagging (got FFRz1) | YBac3,c4</t>
  </si>
  <si>
    <t>far belly (ybac3) &amp; far back (ybac7) best wins</t>
  </si>
  <si>
    <t>Ranges (-4 to +10)</t>
  </si>
  <si>
    <t>FFRZ2 pe 1 lot and  FFRZ2 +4 pe 1 lot for backs</t>
  </si>
  <si>
    <t>for exit, need to be proactive</t>
  </si>
  <si>
    <t>721PM</t>
  </si>
  <si>
    <t>Ranges (-2.5 to +12.5)</t>
  </si>
  <si>
    <t>FFRZ2</t>
  </si>
  <si>
    <t>733PM</t>
  </si>
  <si>
    <t>737PM</t>
  </si>
  <si>
    <t>Ranges (-1 to +13)</t>
  </si>
  <si>
    <t>Touched AvgH</t>
  </si>
  <si>
    <t>AvgH</t>
  </si>
  <si>
    <t>11 range | 2 downside</t>
  </si>
  <si>
    <t>RET . Elsewhere touched daily avgOC</t>
  </si>
  <si>
    <t>Ret works | useful as GTC possible</t>
  </si>
  <si>
    <t>prev Rz becomes new Sz works | can even get at a better price</t>
  </si>
  <si>
    <t>prev rectangle zone ke mid se reversal le skta h</t>
  </si>
  <si>
    <t>440AM</t>
  </si>
  <si>
    <t>Bias for more recession</t>
  </si>
  <si>
    <t>3s10s went up in dovish data (both cpi and gdp dovish)</t>
  </si>
  <si>
    <t>Ret FFSz -&gt; FFRz</t>
  </si>
  <si>
    <t>Dovish view supports (up)</t>
  </si>
  <si>
    <t>Both legs anti!</t>
  </si>
  <si>
    <t>739am</t>
  </si>
  <si>
    <t>CHECKING RATIO (3:1) EXECUTION</t>
  </si>
  <si>
    <t>XT moves more than YT | similar to IR and their spds</t>
  </si>
  <si>
    <t>415AM</t>
  </si>
  <si>
    <t>Dovish up (picked when retraced a little)</t>
  </si>
  <si>
    <t>should go back to same level from where it dropped after dovish stance from RBA</t>
  </si>
  <si>
    <t xml:space="preserve">YT JUN23 </t>
  </si>
  <si>
    <t>Rz (97,17) + liq gap (97.12 to 97.20)</t>
  </si>
  <si>
    <t xml:space="preserve">5 ticks </t>
  </si>
  <si>
    <t>6 to 4</t>
  </si>
  <si>
    <t>310 J23</t>
  </si>
  <si>
    <t>US 210S SE LAG (US 210S @ 50+) DIFFERENTIAL OF 10</t>
  </si>
  <si>
    <t>28 MAR 2ND SESSION</t>
  </si>
  <si>
    <t xml:space="preserve">yt jun23 </t>
  </si>
  <si>
    <t>More risk &gt;&gt; bond buying &gt;&gt; price go up</t>
  </si>
  <si>
    <t>YT J23</t>
  </si>
  <si>
    <t>Sz (97.07,08)</t>
  </si>
  <si>
    <t>29 mar 10am</t>
  </si>
  <si>
    <t>3-10 went down due to selling of 10y</t>
  </si>
  <si>
    <t>yt j23</t>
  </si>
  <si>
    <t>3 Scalp and 2 legged (total 5)</t>
  </si>
  <si>
    <t>Xt also a lot of scalp</t>
  </si>
  <si>
    <t>31 mar 445pm</t>
  </si>
  <si>
    <t>ir j23</t>
  </si>
  <si>
    <t>OI + price + heavy buyers -&gt; new uptrend??</t>
  </si>
  <si>
    <t xml:space="preserve">GAP DOWN </t>
  </si>
  <si>
    <t>went to 39 | but next session</t>
  </si>
  <si>
    <t>Var (4th in quoted)</t>
  </si>
  <si>
    <t>s23 ted</t>
  </si>
  <si>
    <t>ret + lower than j23 ted (kink)</t>
  </si>
  <si>
    <t>yt price action breakdown works</t>
  </si>
  <si>
    <t>trend favourable | not ranged</t>
  </si>
  <si>
    <t>FIND TRENDING STRATS</t>
  </si>
  <si>
    <t>RANGE (-7 TO -4)</t>
  </si>
  <si>
    <t>ATTEMPTS</t>
  </si>
  <si>
    <t>WINS</t>
  </si>
  <si>
    <t>TOTAL CS</t>
  </si>
  <si>
    <t>WINS B</t>
  </si>
  <si>
    <t>WINS S</t>
  </si>
  <si>
    <t>T F W,L</t>
  </si>
  <si>
    <t>LOSS B</t>
  </si>
  <si>
    <t>T C W,L</t>
  </si>
  <si>
    <t>WIN CS</t>
  </si>
  <si>
    <t>LOSS S</t>
  </si>
  <si>
    <t>F C W,L</t>
  </si>
  <si>
    <t>again1</t>
  </si>
  <si>
    <t>LOSS CS</t>
  </si>
  <si>
    <t>T F C W,L</t>
  </si>
  <si>
    <t>TOTAL WIN CS</t>
  </si>
  <si>
    <t>GAINS B'</t>
  </si>
  <si>
    <t>TOTAL LOSS CS</t>
  </si>
  <si>
    <t>GAINS S</t>
  </si>
  <si>
    <t>GAINS</t>
  </si>
  <si>
    <t>O W</t>
  </si>
  <si>
    <t>O L</t>
  </si>
  <si>
    <t>S W</t>
  </si>
  <si>
    <t>S L</t>
  </si>
  <si>
    <t>F W</t>
  </si>
  <si>
    <t>F L</t>
  </si>
  <si>
    <t>CHANGE THE CHART RANGE AFTER EVERY QUARTER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</si>
</sst>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4" formatCode="_(&quot;$&quot;* #,##0.00_);_(&quot;$&quot;* \(#,##0.00\);_(&quot;$&quot;* &quot;-&quot;??_);_(@_)"/>
    <numFmt numFmtId="164" formatCode="&quot;$&quot;#,##0.00"/>
    <numFmt numFmtId="165" formatCode="0.000"/>
    <numFmt numFmtId="166" formatCode="d&quot;-&quot;mmm&quot;-&quot;yyyy"/>
    <numFmt numFmtId="167" formatCode="m/d/yyyy\ h:mm\ AM/PM"/>
    <numFmt numFmtId="168" formatCode="d\ mmm"/>
    <numFmt numFmtId="169" formatCode="d\ mmm\ h:mm\ AM/PM"/>
    <numFmt numFmtId="170" formatCode="d\ mmm\ yy\ h:mm\ AM/PM"/>
    <numFmt numFmtId="171" formatCode="d\-mmm\-yyyy"/>
    <numFmt numFmtId="172" formatCode="d\ mmm\ yy"/>
    <numFmt numFmtId="173" formatCode="ddd\ d\ mmm"/>
    <numFmt numFmtId="174" formatCode="mmmm\ d"/>
    <numFmt numFmtId="175" formatCode="mmmd"/>
    <numFmt numFmtId="176" formatCode="d\ mmm\ yyyy"/>
    <numFmt numFmtId="177" formatCode="&quot;$&quot;#,##0"/>
    <numFmt numFmtId="178" formatCode="0.0"/>
    <numFmt numFmtId="179" formatCode="0.0%"/>
  </numFmts>
  <fonts count="137">
    <font>
      <sz val="10"/>
      <color rgb="FF000000"/>
      <name val="Arial"/>
      <scheme val="minor"/>
    </font>
    <font>
      <b/>
      <sz val="18"/>
      <color rgb="FFFFFFFF"/>
      <name val="Roboto"/>
    </font>
    <font>
      <sz val="10"/>
      <name val="Arial"/>
      <family val="2"/>
    </font>
    <font>
      <b/>
      <sz val="18"/>
      <color theme="0"/>
      <name val="Roboto"/>
    </font>
    <font>
      <sz val="10"/>
      <color theme="1"/>
      <name val="Arial"/>
      <family val="2"/>
      <scheme val="minor"/>
    </font>
    <font>
      <b/>
      <sz val="10"/>
      <color rgb="FFEFEFEF"/>
      <name val="Roboto"/>
    </font>
    <font>
      <b/>
      <sz val="10"/>
      <color rgb="FFFFFFFF"/>
      <name val="Roboto"/>
    </font>
    <font>
      <b/>
      <sz val="10"/>
      <color theme="0"/>
      <name val="Roboto"/>
    </font>
    <font>
      <sz val="10"/>
      <color theme="0"/>
      <name val="Roboto"/>
    </font>
    <font>
      <b/>
      <sz val="10"/>
      <color rgb="FFF5F5F5"/>
      <name val="Roboto"/>
    </font>
    <font>
      <sz val="10"/>
      <color theme="1"/>
      <name val="Roboto"/>
    </font>
    <font>
      <sz val="10"/>
      <color rgb="FF434343"/>
      <name val="Roboto"/>
    </font>
    <font>
      <sz val="10"/>
      <color rgb="FFFFFFFF"/>
      <name val="Roboto"/>
    </font>
    <font>
      <sz val="11"/>
      <color rgb="FF000000"/>
      <name val="Inconsolata"/>
    </font>
    <font>
      <b/>
      <sz val="10"/>
      <color rgb="FF434343"/>
      <name val="Roboto"/>
    </font>
    <font>
      <b/>
      <sz val="10"/>
      <color theme="1"/>
      <name val="Roboto"/>
    </font>
    <font>
      <sz val="10"/>
      <color rgb="FF000000"/>
      <name val="Roboto"/>
    </font>
    <font>
      <sz val="10"/>
      <color rgb="FFEFEFEF"/>
      <name val="Roboto"/>
    </font>
    <font>
      <sz val="10"/>
      <color rgb="FFF3F3F3"/>
      <name val="Roboto"/>
    </font>
    <font>
      <sz val="10"/>
      <color rgb="FFB7B7B7"/>
      <name val="Roboto"/>
    </font>
    <font>
      <b/>
      <sz val="11"/>
      <color rgb="FFEFEFEF"/>
      <name val="Roboto"/>
    </font>
    <font>
      <b/>
      <sz val="10"/>
      <color rgb="FF666666"/>
      <name val="Roboto"/>
    </font>
    <font>
      <b/>
      <sz val="10"/>
      <color rgb="FFF3F3F3"/>
      <name val="Roboto"/>
    </font>
    <font>
      <sz val="11"/>
      <color rgb="FFEFEFEF"/>
      <name val="Roboto"/>
    </font>
    <font>
      <b/>
      <sz val="10"/>
      <color rgb="FF999999"/>
      <name val="Roboto"/>
    </font>
    <font>
      <sz val="10"/>
      <color rgb="FF666666"/>
      <name val="Roboto"/>
    </font>
    <font>
      <b/>
      <sz val="10"/>
      <color rgb="FF000000"/>
      <name val="Roboto"/>
    </font>
    <font>
      <b/>
      <sz val="10"/>
      <color theme="1"/>
      <name val="Arial"/>
      <family val="2"/>
      <scheme val="minor"/>
    </font>
    <font>
      <sz val="10"/>
      <color rgb="FFD9D9D9"/>
      <name val="Roboto"/>
    </font>
    <font>
      <sz val="10"/>
      <color rgb="FFEFEFEF"/>
      <name val="Arial"/>
      <family val="2"/>
      <scheme val="minor"/>
    </font>
    <font>
      <sz val="11"/>
      <color rgb="FFEFEFEF"/>
      <name val="Inconsolata"/>
    </font>
    <font>
      <b/>
      <sz val="10"/>
      <color rgb="FF980000"/>
      <name val="Roboto"/>
    </font>
    <font>
      <b/>
      <sz val="10"/>
      <color rgb="FF0000FF"/>
      <name val="Roboto"/>
    </font>
    <font>
      <sz val="11"/>
      <color rgb="FF000000"/>
      <name val="Roboto"/>
    </font>
    <font>
      <sz val="10"/>
      <color rgb="FF333333"/>
      <name val="Roboto"/>
    </font>
    <font>
      <sz val="11"/>
      <color rgb="FF434343"/>
      <name val="Roboto"/>
    </font>
    <font>
      <b/>
      <sz val="11"/>
      <color rgb="FF434343"/>
      <name val="Roboto"/>
    </font>
    <font>
      <b/>
      <u/>
      <sz val="10"/>
      <color rgb="FF0000FF"/>
      <name val="Roboto"/>
    </font>
    <font>
      <b/>
      <sz val="10"/>
      <color rgb="FF134F5C"/>
      <name val="Roboto"/>
    </font>
    <font>
      <b/>
      <sz val="11"/>
      <color theme="0"/>
      <name val="Calibri"/>
      <family val="2"/>
    </font>
    <font>
      <b/>
      <sz val="11"/>
      <color rgb="FFFFFFFF"/>
      <name val="Calibri"/>
      <family val="2"/>
    </font>
    <font>
      <b/>
      <sz val="11"/>
      <color rgb="FF434343"/>
      <name val="Calibri"/>
      <family val="2"/>
    </font>
    <font>
      <b/>
      <sz val="10"/>
      <color rgb="FF333333"/>
      <name val="Roboto"/>
    </font>
    <font>
      <b/>
      <u/>
      <sz val="10"/>
      <color rgb="FF333333"/>
      <name val="Roboto"/>
    </font>
    <font>
      <b/>
      <sz val="10"/>
      <color rgb="FFB25E43"/>
      <name val="Calibri"/>
      <family val="2"/>
    </font>
    <font>
      <b/>
      <sz val="10"/>
      <color theme="0"/>
      <name val="Calibri"/>
      <family val="2"/>
    </font>
    <font>
      <sz val="10"/>
      <color theme="0"/>
      <name val="Calibri"/>
      <family val="2"/>
    </font>
    <font>
      <sz val="10"/>
      <color theme="1"/>
      <name val="Calibri"/>
      <family val="2"/>
    </font>
    <font>
      <sz val="10"/>
      <color rgb="FF434343"/>
      <name val="Calibri"/>
      <family val="2"/>
    </font>
    <font>
      <sz val="10"/>
      <color rgb="FFFFFFFF"/>
      <name val="Calibri"/>
      <family val="2"/>
    </font>
    <font>
      <sz val="11"/>
      <color rgb="FF000000"/>
      <name val="Calibri"/>
      <family val="2"/>
    </font>
    <font>
      <b/>
      <sz val="10"/>
      <color rgb="FF434343"/>
      <name val="Calibri"/>
      <family val="2"/>
    </font>
    <font>
      <b/>
      <sz val="10"/>
      <color theme="1"/>
      <name val="Calibri"/>
      <family val="2"/>
    </font>
    <font>
      <i/>
      <sz val="10"/>
      <color rgb="FF434343"/>
      <name val="Calibri"/>
      <family val="2"/>
    </font>
    <font>
      <sz val="10"/>
      <color rgb="FF000000"/>
      <name val="Calibri"/>
      <family val="2"/>
    </font>
    <font>
      <i/>
      <sz val="10"/>
      <color rgb="FF000000"/>
      <name val="Calibri"/>
      <family val="2"/>
    </font>
    <font>
      <b/>
      <sz val="10"/>
      <color rgb="FFFFFFFF"/>
      <name val="Calibri"/>
      <family val="2"/>
    </font>
    <font>
      <sz val="11"/>
      <color rgb="FFFFFFFF"/>
      <name val="Calibri"/>
      <family val="2"/>
    </font>
    <font>
      <b/>
      <sz val="10"/>
      <color rgb="FFB7B7B7"/>
      <name val="Calibri"/>
      <family val="2"/>
    </font>
    <font>
      <b/>
      <sz val="10"/>
      <color rgb="FF333333"/>
      <name val="Calibri"/>
      <family val="2"/>
    </font>
    <font>
      <b/>
      <sz val="10"/>
      <color rgb="FFF5F5F5"/>
      <name val="Calibri"/>
      <family val="2"/>
    </font>
    <font>
      <sz val="8"/>
      <name val="Arial"/>
      <family val="2"/>
      <scheme val="minor"/>
    </font>
    <font>
      <u/>
      <sz val="10"/>
      <color theme="10"/>
      <name val="Arial"/>
      <family val="2"/>
      <scheme val="minor"/>
    </font>
    <font>
      <b/>
      <sz val="10"/>
      <color rgb="FF434343"/>
      <name val="Arial"/>
      <family val="2"/>
    </font>
    <font>
      <b/>
      <sz val="10"/>
      <color rgb="FF000000"/>
      <name val="Arial"/>
      <family val="2"/>
    </font>
    <font>
      <u/>
      <sz val="10"/>
      <color rgb="FFEFEFEF"/>
      <name val="Roboto"/>
    </font>
    <font>
      <sz val="10"/>
      <color rgb="FFA6A6A6"/>
      <name val="Roboto"/>
    </font>
    <font>
      <b/>
      <sz val="16"/>
      <color rgb="FFA6A6A6"/>
      <name val="Calibri"/>
      <family val="2"/>
    </font>
    <font>
      <b/>
      <sz val="10"/>
      <color rgb="FF000000"/>
      <name val="Calibri"/>
      <family val="2"/>
    </font>
    <font>
      <sz val="10"/>
      <color rgb="FF000000"/>
      <name val="Calibri"/>
      <family val="2"/>
    </font>
    <font>
      <b/>
      <sz val="12"/>
      <color theme="0" tint="-0.14999847407452621"/>
      <name val="Calibri"/>
      <family val="2"/>
    </font>
    <font>
      <b/>
      <sz val="10"/>
      <color rgb="FFA6A6A6"/>
      <name val="Calibri"/>
      <family val="2"/>
    </font>
    <font>
      <b/>
      <i/>
      <sz val="10"/>
      <color rgb="FFA6A6A6"/>
      <name val="Calibri"/>
      <family val="2"/>
    </font>
    <font>
      <sz val="11"/>
      <color rgb="FF444444"/>
      <name val="Calibri"/>
      <family val="2"/>
      <charset val="1"/>
    </font>
    <font>
      <b/>
      <sz val="16"/>
      <color theme="0"/>
      <name val="Roboto"/>
    </font>
    <font>
      <sz val="16"/>
      <name val="Arial"/>
      <family val="2"/>
    </font>
    <font>
      <b/>
      <sz val="16"/>
      <color rgb="FFFFFFFF"/>
      <name val="Roboto"/>
    </font>
    <font>
      <sz val="16"/>
      <color rgb="FF000000"/>
      <name val="Arial"/>
      <family val="2"/>
      <scheme val="minor"/>
    </font>
    <font>
      <sz val="10"/>
      <color theme="10"/>
      <name val="Arial"/>
      <family val="2"/>
      <scheme val="minor"/>
    </font>
    <font>
      <sz val="10"/>
      <color rgb="FF595959"/>
      <name val="Roboto"/>
    </font>
    <font>
      <b/>
      <sz val="10"/>
      <color rgb="FFE7E6E6"/>
      <name val="Calibri"/>
      <family val="2"/>
    </font>
    <font>
      <sz val="10"/>
      <color rgb="FF808080"/>
      <name val="Roboto"/>
    </font>
    <font>
      <sz val="15"/>
      <color rgb="FF2E3A59"/>
      <name val="Roboto"/>
      <family val="2"/>
      <charset val="1"/>
    </font>
    <font>
      <b/>
      <sz val="10"/>
      <color rgb="FF000000"/>
      <name val="Arial"/>
      <family val="2"/>
      <scheme val="minor"/>
    </font>
    <font>
      <sz val="12"/>
      <color rgb="FF000000"/>
      <name val="Calibri"/>
      <family val="2"/>
    </font>
    <font>
      <b/>
      <sz val="10"/>
      <color rgb="FFD0CECE"/>
      <name val="Calibri"/>
      <family val="2"/>
    </font>
    <font>
      <sz val="10"/>
      <color rgb="FF404040"/>
      <name val="Roboto"/>
    </font>
    <font>
      <b/>
      <sz val="12"/>
      <color rgb="FF000000"/>
      <name val="Calibri"/>
      <family val="2"/>
    </font>
    <font>
      <sz val="12"/>
      <color rgb="FF000000"/>
      <name val="Calibri"/>
      <family val="2"/>
    </font>
    <font>
      <b/>
      <sz val="12"/>
      <color theme="2" tint="-0.34998626667073579"/>
      <name val="Calibri"/>
      <family val="2"/>
    </font>
    <font>
      <b/>
      <sz val="12"/>
      <color theme="2" tint="-0.34998626667073579"/>
      <name val="Arial"/>
      <family val="2"/>
      <scheme val="minor"/>
    </font>
    <font>
      <b/>
      <sz val="12"/>
      <color rgb="FFF2F2F2"/>
      <name val="Calibri"/>
      <family val="2"/>
    </font>
    <font>
      <b/>
      <sz val="12"/>
      <color rgb="FF444444"/>
      <name val="Calibri"/>
      <family val="2"/>
    </font>
    <font>
      <sz val="12"/>
      <color rgb="FF444444"/>
      <name val="Calibri"/>
      <family val="2"/>
      <charset val="1"/>
    </font>
    <font>
      <sz val="10"/>
      <color rgb="FF000000"/>
      <name val="Arial"/>
      <family val="2"/>
      <scheme val="minor"/>
    </font>
    <font>
      <sz val="12"/>
      <color theme="2" tint="-0.34998626667073579"/>
      <name val="Calibri"/>
      <family val="2"/>
    </font>
    <font>
      <b/>
      <sz val="11"/>
      <color rgb="FF000000"/>
      <name val="Calibri"/>
      <family val="2"/>
    </font>
    <font>
      <b/>
      <sz val="10"/>
      <color theme="2" tint="-4.9989318521683403E-2"/>
      <name val="Calibri"/>
      <family val="2"/>
    </font>
    <font>
      <b/>
      <sz val="11"/>
      <color theme="2" tint="-4.9989318521683403E-2"/>
      <name val="Calibri"/>
      <family val="2"/>
    </font>
    <font>
      <b/>
      <sz val="16"/>
      <color theme="2" tint="-4.9989318521683403E-2"/>
      <name val="Calibri"/>
      <family val="2"/>
    </font>
    <font>
      <sz val="12"/>
      <color rgb="FF000000"/>
      <name val="Calibri"/>
      <charset val="1"/>
    </font>
    <font>
      <b/>
      <sz val="10"/>
      <color theme="1" tint="0.249977111117893"/>
      <name val="Arial"/>
      <scheme val="minor"/>
    </font>
    <font>
      <sz val="12"/>
      <color rgb="FF444444"/>
      <name val="Calibri"/>
      <family val="2"/>
    </font>
    <font>
      <b/>
      <sz val="12"/>
      <color theme="0"/>
      <name val="Calibri"/>
      <family val="2"/>
    </font>
    <font>
      <b/>
      <sz val="9"/>
      <color theme="0"/>
      <name val="Calibri"/>
      <family val="2"/>
    </font>
    <font>
      <sz val="12"/>
      <color theme="0"/>
      <name val="Calibri"/>
      <family val="2"/>
    </font>
    <font>
      <b/>
      <sz val="10"/>
      <color rgb="FFC00000"/>
      <name val="Arial"/>
      <scheme val="minor"/>
    </font>
    <font>
      <b/>
      <sz val="12"/>
      <color rgb="FFC00000"/>
      <name val="Arial"/>
      <scheme val="minor"/>
    </font>
    <font>
      <b/>
      <sz val="12"/>
      <color theme="1"/>
      <name val="Arial"/>
      <scheme val="minor"/>
    </font>
    <font>
      <sz val="10"/>
      <color theme="0" tint="-0.34998626667073579"/>
      <name val="Roboto"/>
    </font>
    <font>
      <sz val="11"/>
      <color theme="0" tint="-0.34998626667073579"/>
      <name val="Inconsolata"/>
    </font>
    <font>
      <b/>
      <sz val="10"/>
      <color theme="10"/>
      <name val="Arial"/>
      <family val="2"/>
      <scheme val="minor"/>
    </font>
    <font>
      <sz val="12"/>
      <color rgb="FFBDC1C6"/>
      <name val="Google Sans"/>
      <charset val="1"/>
    </font>
    <font>
      <sz val="10"/>
      <color theme="1" tint="0.249977111117893"/>
      <name val="Roboto"/>
    </font>
    <font>
      <b/>
      <sz val="10"/>
      <color theme="1" tint="0.249977111117893"/>
      <name val="Roboto"/>
    </font>
    <font>
      <b/>
      <u/>
      <sz val="10"/>
      <color rgb="FF000000"/>
      <name val="Arial"/>
      <scheme val="minor"/>
    </font>
    <font>
      <b/>
      <sz val="10"/>
      <color rgb="FF554840"/>
      <name val="Calibri"/>
    </font>
    <font>
      <sz val="10"/>
      <color rgb="FF000000"/>
      <name val="Arial"/>
    </font>
    <font>
      <sz val="10"/>
      <color theme="0" tint="-0.249977111117893"/>
      <name val="Roboto"/>
    </font>
    <font>
      <b/>
      <sz val="10"/>
      <color rgb="FF000000"/>
      <name val="Arial"/>
      <scheme val="minor"/>
    </font>
    <font>
      <b/>
      <sz val="10"/>
      <color theme="1"/>
      <name val="Arial"/>
      <scheme val="minor"/>
    </font>
    <font>
      <b/>
      <sz val="8"/>
      <color rgb="FFC00000"/>
      <name val="Arial"/>
      <scheme val="minor"/>
    </font>
    <font>
      <b/>
      <sz val="10"/>
      <color theme="0"/>
      <name val="Arial"/>
      <scheme val="minor"/>
    </font>
    <font>
      <sz val="10"/>
      <color theme="1"/>
      <name val="Arial"/>
      <scheme val="minor"/>
    </font>
    <font>
      <b/>
      <sz val="12"/>
      <color rgb="FFC65911"/>
      <name val="Arial"/>
      <scheme val="minor"/>
    </font>
    <font>
      <b/>
      <sz val="12"/>
      <color theme="8" tint="0.39997558519241921"/>
      <name val="Arial"/>
      <scheme val="minor"/>
    </font>
    <font>
      <b/>
      <sz val="12"/>
      <color theme="0" tint="-4.9989318521683403E-2"/>
      <name val="Arial"/>
      <scheme val="minor"/>
    </font>
    <font>
      <u/>
      <sz val="10"/>
      <color rgb="FF000000"/>
      <name val="Arial"/>
      <scheme val="minor"/>
    </font>
    <font>
      <b/>
      <sz val="11"/>
      <color theme="1" tint="0.34998626667073579"/>
      <name val="Roboto"/>
    </font>
    <font>
      <sz val="10"/>
      <color rgb="FF000000"/>
      <name val="Calibri"/>
    </font>
    <font>
      <b/>
      <sz val="10"/>
      <color rgb="FF000000"/>
      <name val="Calibri"/>
    </font>
    <font>
      <sz val="11"/>
      <color rgb="FF000000"/>
      <name val="Aptos Narrow"/>
      <charset val="1"/>
    </font>
    <font>
      <b/>
      <sz val="11"/>
      <color rgb="FF242424"/>
      <name val="Aptos Narrow"/>
      <charset val="1"/>
    </font>
    <font>
      <sz val="11"/>
      <color rgb="FF242424"/>
      <name val="Aptos Narrow"/>
      <charset val="1"/>
    </font>
    <font>
      <b/>
      <sz val="10"/>
      <color theme="0" tint="-4.9989318521683403E-2"/>
      <name val="Roboto"/>
    </font>
    <font>
      <b/>
      <sz val="10"/>
      <color rgb="FFC00000"/>
      <name val="Calibri"/>
      <family val="2"/>
    </font>
    <font>
      <b/>
      <sz val="12"/>
      <color theme="1"/>
      <name val="Calibri"/>
      <family val="2"/>
      <charset val="1"/>
    </font>
  </fonts>
  <fills count="104">
    <fill>
      <patternFill patternType="none"/>
    </fill>
    <fill>
      <patternFill patternType="gray125"/>
    </fill>
    <fill>
      <patternFill patternType="solid">
        <fgColor rgb="FF040404"/>
        <bgColor rgb="FF040404"/>
      </patternFill>
    </fill>
    <fill>
      <patternFill patternType="solid">
        <fgColor rgb="FF333333"/>
        <bgColor rgb="FF333333"/>
      </patternFill>
    </fill>
    <fill>
      <patternFill patternType="solid">
        <fgColor rgb="FF364158"/>
        <bgColor rgb="FF364158"/>
      </patternFill>
    </fill>
    <fill>
      <patternFill patternType="solid">
        <fgColor rgb="FF243B6A"/>
        <bgColor rgb="FF243B6A"/>
      </patternFill>
    </fill>
    <fill>
      <patternFill patternType="solid">
        <fgColor rgb="FFFFFFFF"/>
        <bgColor rgb="FFFFFFFF"/>
      </patternFill>
    </fill>
    <fill>
      <patternFill patternType="solid">
        <fgColor rgb="FFF3F3F3"/>
        <bgColor rgb="FFF3F3F3"/>
      </patternFill>
    </fill>
    <fill>
      <patternFill patternType="solid">
        <fgColor rgb="FFB7B7B7"/>
        <bgColor rgb="FFB7B7B7"/>
      </patternFill>
    </fill>
    <fill>
      <patternFill patternType="solid">
        <fgColor rgb="FF000000"/>
        <bgColor rgb="FF000000"/>
      </patternFill>
    </fill>
    <fill>
      <patternFill patternType="solid">
        <fgColor rgb="FF999999"/>
        <bgColor rgb="FF999999"/>
      </patternFill>
    </fill>
    <fill>
      <patternFill patternType="solid">
        <fgColor rgb="FFA61C00"/>
        <bgColor rgb="FFA61C00"/>
      </patternFill>
    </fill>
    <fill>
      <patternFill patternType="solid">
        <fgColor rgb="FFD9D9D9"/>
        <bgColor rgb="FFD9D9D9"/>
      </patternFill>
    </fill>
    <fill>
      <patternFill patternType="solid">
        <fgColor rgb="FFEFEFEF"/>
        <bgColor rgb="FFEFEFEF"/>
      </patternFill>
    </fill>
    <fill>
      <patternFill patternType="solid">
        <fgColor rgb="FFC0C5B2"/>
        <bgColor rgb="FFC0C5B2"/>
      </patternFill>
    </fill>
    <fill>
      <patternFill patternType="solid">
        <fgColor rgb="FFCCCCCC"/>
        <bgColor rgb="FFCCCCCC"/>
      </patternFill>
    </fill>
    <fill>
      <patternFill patternType="solid">
        <fgColor rgb="FFE6B8AF"/>
        <bgColor rgb="FFE6B8AF"/>
      </patternFill>
    </fill>
    <fill>
      <patternFill patternType="solid">
        <fgColor rgb="FF292929"/>
        <bgColor rgb="FF292929"/>
      </patternFill>
    </fill>
    <fill>
      <patternFill patternType="solid">
        <fgColor rgb="FFC9DAF8"/>
        <bgColor rgb="FFC9DAF8"/>
      </patternFill>
    </fill>
    <fill>
      <patternFill patternType="solid">
        <fgColor rgb="FF6D9EEB"/>
        <bgColor rgb="FF6D9EEB"/>
      </patternFill>
    </fill>
    <fill>
      <patternFill patternType="solid">
        <fgColor rgb="FF6FA8DC"/>
        <bgColor rgb="FF6FA8DC"/>
      </patternFill>
    </fill>
    <fill>
      <patternFill patternType="solid">
        <fgColor rgb="FFEA9999"/>
        <bgColor rgb="FFEA9999"/>
      </patternFill>
    </fill>
    <fill>
      <patternFill patternType="solid">
        <fgColor rgb="FFE06666"/>
        <bgColor rgb="FFE06666"/>
      </patternFill>
    </fill>
    <fill>
      <patternFill patternType="solid">
        <fgColor rgb="FFA4C2F4"/>
        <bgColor rgb="FFA4C2F4"/>
      </patternFill>
    </fill>
    <fill>
      <patternFill patternType="solid">
        <fgColor rgb="FFF4CCCC"/>
        <bgColor rgb="FFF4CCCC"/>
      </patternFill>
    </fill>
    <fill>
      <patternFill patternType="solid">
        <fgColor rgb="FF434343"/>
        <bgColor rgb="FF434343"/>
      </patternFill>
    </fill>
    <fill>
      <patternFill patternType="solid">
        <fgColor rgb="FF1C4587"/>
        <bgColor rgb="FF1C4587"/>
      </patternFill>
    </fill>
    <fill>
      <patternFill patternType="solid">
        <fgColor rgb="FF073763"/>
        <bgColor rgb="FF073763"/>
      </patternFill>
    </fill>
    <fill>
      <patternFill patternType="solid">
        <fgColor rgb="FF660000"/>
        <bgColor rgb="FF660000"/>
      </patternFill>
    </fill>
    <fill>
      <patternFill patternType="solid">
        <fgColor theme="1"/>
        <bgColor theme="1"/>
      </patternFill>
    </fill>
    <fill>
      <patternFill patternType="solid">
        <fgColor rgb="FFB7E1CD"/>
        <bgColor rgb="FFB7E1CD"/>
      </patternFill>
    </fill>
    <fill>
      <patternFill patternType="solid">
        <fgColor rgb="FFD9EAD3"/>
        <bgColor rgb="FFD9EAD3"/>
      </patternFill>
    </fill>
    <fill>
      <patternFill patternType="solid">
        <fgColor rgb="FF980000"/>
        <bgColor rgb="FF980000"/>
      </patternFill>
    </fill>
    <fill>
      <patternFill patternType="solid">
        <fgColor theme="2" tint="-0.34998626667073579"/>
        <bgColor rgb="FFF3F3F3"/>
      </patternFill>
    </fill>
    <fill>
      <patternFill patternType="solid">
        <fgColor rgb="FFA6A6A6"/>
        <bgColor indexed="64"/>
      </patternFill>
    </fill>
    <fill>
      <patternFill patternType="solid">
        <fgColor rgb="FFACB9CA"/>
        <bgColor indexed="64"/>
      </patternFill>
    </fill>
    <fill>
      <patternFill patternType="solid">
        <fgColor rgb="FFF4B084"/>
        <bgColor indexed="64"/>
      </patternFill>
    </fill>
    <fill>
      <patternFill patternType="solid">
        <fgColor rgb="FFAEAAAA"/>
        <bgColor indexed="64"/>
      </patternFill>
    </fill>
    <fill>
      <patternFill patternType="solid">
        <fgColor rgb="FF808080"/>
        <bgColor indexed="64"/>
      </patternFill>
    </fill>
    <fill>
      <patternFill patternType="solid">
        <fgColor rgb="FF757171"/>
        <bgColor indexed="64"/>
      </patternFill>
    </fill>
    <fill>
      <patternFill patternType="solid">
        <fgColor rgb="FFC65911"/>
        <bgColor indexed="64"/>
      </patternFill>
    </fill>
    <fill>
      <patternFill patternType="solid">
        <fgColor rgb="FFF7B1AD"/>
        <bgColor indexed="64"/>
      </patternFill>
    </fill>
    <fill>
      <patternFill patternType="solid">
        <fgColor rgb="FFD0CECE"/>
        <bgColor indexed="64"/>
      </patternFill>
    </fill>
    <fill>
      <patternFill patternType="solid">
        <fgColor rgb="FFD9E1F2"/>
        <bgColor indexed="64"/>
      </patternFill>
    </fill>
    <fill>
      <patternFill patternType="solid">
        <fgColor rgb="FFFF0000"/>
        <bgColor indexed="64"/>
      </patternFill>
    </fill>
    <fill>
      <patternFill patternType="solid">
        <fgColor rgb="FF8EA9DB"/>
        <bgColor indexed="64"/>
      </patternFill>
    </fill>
    <fill>
      <patternFill patternType="solid">
        <fgColor rgb="FF000000"/>
        <bgColor indexed="64"/>
      </patternFill>
    </fill>
    <fill>
      <patternFill patternType="solid">
        <fgColor rgb="FFC00000"/>
        <bgColor indexed="64"/>
      </patternFill>
    </fill>
    <fill>
      <patternFill patternType="solid">
        <fgColor rgb="FFD6DCE4"/>
        <bgColor indexed="64"/>
      </patternFill>
    </fill>
    <fill>
      <patternFill patternType="solid">
        <fgColor rgb="FF0D0D0D"/>
        <bgColor indexed="64"/>
      </patternFill>
    </fill>
    <fill>
      <patternFill patternType="solid">
        <fgColor rgb="FFF2F2F2"/>
        <bgColor indexed="64"/>
      </patternFill>
    </fill>
    <fill>
      <patternFill patternType="solid">
        <fgColor rgb="FFFFFFFF"/>
        <bgColor indexed="64"/>
      </patternFill>
    </fill>
    <fill>
      <patternFill patternType="solid">
        <fgColor rgb="FFDBDBDB"/>
        <bgColor indexed="64"/>
      </patternFill>
    </fill>
    <fill>
      <patternFill patternType="solid">
        <fgColor rgb="FFD9D9D9"/>
        <bgColor indexed="64"/>
      </patternFill>
    </fill>
    <fill>
      <patternFill patternType="solid">
        <fgColor rgb="FF262626"/>
        <bgColor indexed="64"/>
      </patternFill>
    </fill>
    <fill>
      <patternFill patternType="solid">
        <fgColor rgb="FF002060"/>
        <bgColor indexed="64"/>
      </patternFill>
    </fill>
    <fill>
      <patternFill patternType="solid">
        <fgColor rgb="FFB4C6E7"/>
        <bgColor indexed="64"/>
      </patternFill>
    </fill>
    <fill>
      <patternFill patternType="solid">
        <fgColor theme="3" tint="0.14999847407452621"/>
        <bgColor indexed="64"/>
      </patternFill>
    </fill>
    <fill>
      <patternFill patternType="solid">
        <fgColor theme="0" tint="-0.14999847407452621"/>
        <bgColor indexed="64"/>
      </patternFill>
    </fill>
    <fill>
      <patternFill patternType="solid">
        <fgColor theme="1" tint="4.9989318521683403E-2"/>
        <bgColor indexed="64"/>
      </patternFill>
    </fill>
    <fill>
      <patternFill patternType="solid">
        <fgColor theme="2" tint="-0.249977111117893"/>
        <bgColor indexed="64"/>
      </patternFill>
    </fill>
    <fill>
      <patternFill patternType="solid">
        <fgColor theme="1"/>
        <bgColor indexed="64"/>
      </patternFill>
    </fill>
    <fill>
      <patternFill patternType="solid">
        <fgColor theme="2" tint="-0.14999847407452621"/>
        <bgColor indexed="64"/>
      </patternFill>
    </fill>
    <fill>
      <patternFill patternType="solid">
        <fgColor theme="0" tint="-0.34998626667073579"/>
        <bgColor indexed="64"/>
      </patternFill>
    </fill>
    <fill>
      <patternFill patternType="solid">
        <fgColor rgb="FFBDD7EE"/>
        <bgColor indexed="64"/>
      </patternFill>
    </fill>
    <fill>
      <patternFill patternType="solid">
        <fgColor rgb="FFE7E6E6"/>
        <bgColor indexed="64"/>
      </patternFill>
    </fill>
    <fill>
      <patternFill patternType="solid">
        <fgColor theme="1" tint="0.14999847407452621"/>
        <bgColor indexed="64"/>
      </patternFill>
    </fill>
    <fill>
      <patternFill patternType="solid">
        <fgColor theme="2" tint="-0.34998626667073579"/>
        <bgColor indexed="64"/>
      </patternFill>
    </fill>
    <fill>
      <patternFill patternType="solid">
        <fgColor rgb="FFBFBFBF"/>
        <bgColor indexed="64"/>
      </patternFill>
    </fill>
    <fill>
      <patternFill patternType="solid">
        <fgColor rgb="FFFCE4D6"/>
        <bgColor indexed="64"/>
      </patternFill>
    </fill>
    <fill>
      <patternFill patternType="solid">
        <fgColor rgb="FF8497B0"/>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4" tint="-0.249977111117893"/>
        <bgColor indexed="64"/>
      </patternFill>
    </fill>
    <fill>
      <patternFill patternType="solid">
        <fgColor theme="1" tint="0.499984740745262"/>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5" tint="0.749992370372631"/>
        <bgColor indexed="64"/>
      </patternFill>
    </fill>
    <fill>
      <patternFill patternType="solid">
        <fgColor theme="8" tint="0.79998168889431442"/>
        <bgColor indexed="64"/>
      </patternFill>
    </fill>
    <fill>
      <patternFill patternType="solid">
        <fgColor rgb="FF660033"/>
        <bgColor rgb="FF333333"/>
      </patternFill>
    </fill>
    <fill>
      <patternFill patternType="solid">
        <fgColor theme="3" tint="0.249977111117893"/>
        <bgColor rgb="FF333333"/>
      </patternFill>
    </fill>
    <fill>
      <patternFill patternType="solid">
        <fgColor rgb="FF7030A0"/>
        <bgColor indexed="64"/>
      </patternFill>
    </fill>
    <fill>
      <patternFill patternType="solid">
        <fgColor theme="1" tint="0.34998626667073579"/>
        <bgColor indexed="64"/>
      </patternFill>
    </fill>
    <fill>
      <patternFill patternType="solid">
        <fgColor theme="5" tint="9.9978637043366805E-2"/>
        <bgColor indexed="64"/>
      </patternFill>
    </fill>
    <fill>
      <patternFill patternType="solid">
        <fgColor rgb="FF660033"/>
        <bgColor indexed="64"/>
      </patternFill>
    </fill>
    <fill>
      <patternFill patternType="solid">
        <fgColor theme="4" tint="0.79998168889431442"/>
        <bgColor theme="4" tint="0.79998168889431442"/>
      </patternFill>
    </fill>
    <fill>
      <patternFill patternType="solid">
        <fgColor theme="8" tint="0.59999389629810485"/>
        <bgColor indexed="64"/>
      </patternFill>
    </fill>
    <fill>
      <patternFill patternType="solid">
        <fgColor theme="5" tint="0.499984740745262"/>
        <bgColor indexed="64"/>
      </patternFill>
    </fill>
    <fill>
      <patternFill patternType="solid">
        <fgColor rgb="FFA37C7D"/>
        <bgColor indexed="64"/>
      </patternFill>
    </fill>
    <fill>
      <patternFill patternType="solid">
        <fgColor theme="6" tint="0.59999389629810485"/>
        <bgColor indexed="64"/>
      </patternFill>
    </fill>
    <fill>
      <patternFill patternType="solid">
        <fgColor rgb="FFF1BDFC"/>
        <bgColor indexed="64"/>
      </patternFill>
    </fill>
    <fill>
      <patternFill patternType="solid">
        <fgColor theme="6" tint="0.79998168889431442"/>
        <bgColor indexed="64"/>
      </patternFill>
    </fill>
    <fill>
      <patternFill patternType="solid">
        <fgColor theme="4"/>
        <bgColor indexed="64"/>
      </patternFill>
    </fill>
    <fill>
      <patternFill patternType="solid">
        <fgColor rgb="FFF0FC83"/>
        <bgColor indexed="64"/>
      </patternFill>
    </fill>
    <fill>
      <patternFill patternType="solid">
        <fgColor theme="6" tint="-0.249977111117893"/>
        <bgColor indexed="64"/>
      </patternFill>
    </fill>
    <fill>
      <patternFill patternType="solid">
        <fgColor rgb="FF30084F"/>
        <bgColor indexed="64"/>
      </patternFill>
    </fill>
    <fill>
      <patternFill patternType="solid">
        <fgColor rgb="FF46156B"/>
        <bgColor indexed="64"/>
      </patternFill>
    </fill>
    <fill>
      <patternFill patternType="solid">
        <fgColor rgb="FFFFC000"/>
        <bgColor indexed="64"/>
      </patternFill>
    </fill>
    <fill>
      <patternFill patternType="solid">
        <fgColor rgb="FF826F03"/>
        <bgColor indexed="64"/>
      </patternFill>
    </fill>
    <fill>
      <patternFill patternType="solid">
        <fgColor theme="9" tint="0.39997558519241921"/>
        <bgColor indexed="64"/>
      </patternFill>
    </fill>
    <fill>
      <patternFill patternType="solid">
        <fgColor theme="5" tint="0.89999084444715716"/>
        <bgColor indexed="64"/>
      </patternFill>
    </fill>
    <fill>
      <patternFill patternType="solid">
        <fgColor theme="8"/>
        <bgColor indexed="64"/>
      </patternFill>
    </fill>
    <fill>
      <patternFill patternType="solid">
        <fgColor theme="4" tint="0.79998168889431442"/>
        <bgColor indexed="64"/>
      </patternFill>
    </fill>
    <fill>
      <patternFill patternType="solid">
        <fgColor theme="5"/>
        <bgColor indexed="64"/>
      </patternFill>
    </fill>
  </fills>
  <borders count="35">
    <border>
      <left/>
      <right/>
      <top/>
      <bottom/>
      <diagonal/>
    </border>
    <border>
      <left style="thin">
        <color rgb="FF666666"/>
      </left>
      <right/>
      <top style="thin">
        <color rgb="FF666666"/>
      </top>
      <bottom style="thin">
        <color rgb="FF666666"/>
      </bottom>
      <diagonal/>
    </border>
    <border>
      <left/>
      <right/>
      <top style="thin">
        <color rgb="FF666666"/>
      </top>
      <bottom style="thin">
        <color rgb="FF666666"/>
      </bottom>
      <diagonal/>
    </border>
    <border>
      <left/>
      <right style="thin">
        <color rgb="FF666666"/>
      </right>
      <top style="thin">
        <color rgb="FF666666"/>
      </top>
      <bottom style="thin">
        <color rgb="FF666666"/>
      </bottom>
      <diagonal/>
    </border>
    <border>
      <left style="thin">
        <color rgb="FF666666"/>
      </left>
      <right style="thin">
        <color rgb="FF666666"/>
      </right>
      <top style="thin">
        <color rgb="FF666666"/>
      </top>
      <bottom style="thin">
        <color rgb="FF666666"/>
      </bottom>
      <diagonal/>
    </border>
    <border>
      <left/>
      <right/>
      <top style="thin">
        <color rgb="FF666666"/>
      </top>
      <bottom/>
      <diagonal/>
    </border>
    <border>
      <left style="thin">
        <color rgb="FF666666"/>
      </left>
      <right/>
      <top style="thin">
        <color rgb="FF666666"/>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bottom/>
      <diagonal/>
    </border>
    <border>
      <left style="thin">
        <color theme="0" tint="-0.24994659260841701"/>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style="thin">
        <color theme="0" tint="-0.24994659260841701"/>
      </bottom>
      <diagonal/>
    </border>
    <border>
      <left/>
      <right style="thin">
        <color theme="0" tint="-0.24994659260841701"/>
      </right>
      <top/>
      <bottom style="thin">
        <color theme="0" tint="-0.24994659260841701"/>
      </bottom>
      <diagonal/>
    </border>
    <border>
      <left style="thin">
        <color rgb="FF666666"/>
      </left>
      <right style="thin">
        <color rgb="FF666666"/>
      </right>
      <top style="thin">
        <color rgb="FF666666"/>
      </top>
      <bottom/>
      <diagonal/>
    </border>
    <border>
      <left/>
      <right style="thin">
        <color rgb="FF666666"/>
      </right>
      <top style="thin">
        <color rgb="FF666666"/>
      </top>
      <bottom/>
      <diagonal/>
    </border>
    <border>
      <left style="thin">
        <color theme="0" tint="-0.24994659260841701"/>
      </left>
      <right style="thin">
        <color theme="0" tint="-0.24994659260841701"/>
      </right>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right style="thin">
        <color theme="0" tint="-0.24994659260841701"/>
      </right>
      <top/>
      <bottom/>
      <diagonal/>
    </border>
    <border>
      <left style="thin">
        <color theme="0" tint="-0.24994659260841701"/>
      </left>
      <right style="thin">
        <color theme="0" tint="-0.24994659260841701"/>
      </right>
      <top/>
      <bottom/>
      <diagonal/>
    </border>
    <border>
      <left/>
      <right/>
      <top/>
      <bottom style="thin">
        <color rgb="FF000000"/>
      </bottom>
      <diagonal/>
    </border>
    <border>
      <left style="thin">
        <color rgb="FF595959"/>
      </left>
      <right/>
      <top/>
      <bottom style="thin">
        <color rgb="FF595959"/>
      </bottom>
      <diagonal/>
    </border>
    <border>
      <left style="thin">
        <color rgb="FF595959"/>
      </left>
      <right style="thin">
        <color rgb="FF595959"/>
      </right>
      <top/>
      <bottom style="thin">
        <color rgb="FF595959"/>
      </bottom>
      <diagonal/>
    </border>
    <border>
      <left/>
      <right style="thin">
        <color rgb="FF595959"/>
      </right>
      <top/>
      <bottom style="thin">
        <color rgb="FF595959"/>
      </bottom>
      <diagonal/>
    </border>
    <border>
      <left/>
      <right/>
      <top/>
      <bottom style="thin">
        <color rgb="FF595959"/>
      </bottom>
      <diagonal/>
    </border>
    <border>
      <left/>
      <right/>
      <top/>
      <bottom style="thick">
        <color theme="7" tint="-0.24994659260841701"/>
      </bottom>
      <diagonal/>
    </border>
    <border>
      <left/>
      <right/>
      <top style="thick">
        <color theme="7" tint="-0.24994659260841701"/>
      </top>
      <bottom/>
      <diagonal/>
    </border>
    <border>
      <left/>
      <right/>
      <top/>
      <bottom style="thin">
        <color indexed="64"/>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0" tint="-0.24994659260841701"/>
      </left>
      <right style="thin">
        <color theme="0" tint="-0.24994659260841701"/>
      </right>
      <top style="thin">
        <color theme="0" tint="-0.24994659260841701"/>
      </top>
      <bottom style="medium">
        <color rgb="FF000000"/>
      </bottom>
      <diagonal/>
    </border>
    <border>
      <left style="thin">
        <color rgb="FF666666"/>
      </left>
      <right/>
      <top/>
      <bottom/>
      <diagonal/>
    </border>
    <border>
      <left/>
      <right style="thin">
        <color rgb="FF666666"/>
      </right>
      <top/>
      <bottom/>
      <diagonal/>
    </border>
  </borders>
  <cellStyleXfs count="3">
    <xf numFmtId="0" fontId="0" fillId="0" borderId="0"/>
    <xf numFmtId="0" fontId="62" fillId="0" borderId="0" applyNumberFormat="0" applyFill="0" applyBorder="0" applyAlignment="0" applyProtection="0"/>
    <xf numFmtId="9" fontId="94" fillId="0" borderId="0" applyFont="0" applyFill="0" applyBorder="0" applyAlignment="0" applyProtection="0"/>
  </cellStyleXfs>
  <cellXfs count="700">
    <xf numFmtId="0" fontId="0" fillId="0" borderId="0" xfId="0"/>
    <xf numFmtId="0" fontId="7" fillId="3" borderId="4" xfId="0" applyFont="1" applyFill="1" applyBorder="1"/>
    <xf numFmtId="0" fontId="7" fillId="3" borderId="4" xfId="0" applyFont="1" applyFill="1" applyBorder="1" applyAlignment="1">
      <alignment horizontal="center"/>
    </xf>
    <xf numFmtId="0" fontId="6" fillId="3" borderId="4" xfId="0" applyFont="1" applyFill="1" applyBorder="1" applyAlignment="1">
      <alignment horizontal="center"/>
    </xf>
    <xf numFmtId="0" fontId="7" fillId="3" borderId="4" xfId="0" applyFont="1" applyFill="1" applyBorder="1" applyAlignment="1">
      <alignment horizontal="left"/>
    </xf>
    <xf numFmtId="0" fontId="8" fillId="3" borderId="4" xfId="0" applyFont="1" applyFill="1" applyBorder="1" applyAlignment="1">
      <alignment horizontal="left"/>
    </xf>
    <xf numFmtId="0" fontId="9" fillId="5" borderId="4" xfId="0" applyFont="1" applyFill="1" applyBorder="1"/>
    <xf numFmtId="165" fontId="7" fillId="3" borderId="4" xfId="0" applyNumberFormat="1" applyFont="1" applyFill="1" applyBorder="1"/>
    <xf numFmtId="2" fontId="8" fillId="3" borderId="4" xfId="0" applyNumberFormat="1" applyFont="1" applyFill="1" applyBorder="1" applyAlignment="1">
      <alignment horizontal="left"/>
    </xf>
    <xf numFmtId="0" fontId="8" fillId="3" borderId="4" xfId="0" applyFont="1" applyFill="1" applyBorder="1" applyAlignment="1">
      <alignment horizontal="center"/>
    </xf>
    <xf numFmtId="0" fontId="7" fillId="3" borderId="1" xfId="0" applyFont="1" applyFill="1" applyBorder="1"/>
    <xf numFmtId="0" fontId="7" fillId="0" borderId="0" xfId="0" applyFont="1"/>
    <xf numFmtId="166" fontId="11" fillId="0" borderId="0" xfId="0" applyNumberFormat="1" applyFont="1"/>
    <xf numFmtId="0" fontId="11" fillId="0" borderId="0" xfId="0" applyFont="1"/>
    <xf numFmtId="0" fontId="11" fillId="0" borderId="0" xfId="0" applyFont="1" applyAlignment="1">
      <alignment horizontal="center"/>
    </xf>
    <xf numFmtId="0" fontId="12" fillId="0" borderId="0" xfId="0" applyFont="1" applyAlignment="1">
      <alignment horizontal="center"/>
    </xf>
    <xf numFmtId="0" fontId="13" fillId="6" borderId="0" xfId="0" applyFont="1" applyFill="1"/>
    <xf numFmtId="0" fontId="14" fillId="0" borderId="0" xfId="0" applyFont="1"/>
    <xf numFmtId="165" fontId="14" fillId="0" borderId="0" xfId="0" applyNumberFormat="1" applyFont="1"/>
    <xf numFmtId="164" fontId="11" fillId="0" borderId="0" xfId="0" applyNumberFormat="1" applyFont="1" applyAlignment="1">
      <alignment horizontal="center"/>
    </xf>
    <xf numFmtId="165" fontId="11" fillId="0" borderId="0" xfId="0" applyNumberFormat="1" applyFont="1"/>
    <xf numFmtId="2" fontId="15" fillId="0" borderId="0" xfId="0" applyNumberFormat="1" applyFont="1" applyAlignment="1">
      <alignment horizontal="center"/>
    </xf>
    <xf numFmtId="0" fontId="15" fillId="0" borderId="0" xfId="0" applyFont="1" applyAlignment="1">
      <alignment horizontal="center"/>
    </xf>
    <xf numFmtId="166" fontId="11" fillId="7" borderId="0" xfId="0" applyNumberFormat="1" applyFont="1" applyFill="1"/>
    <xf numFmtId="0" fontId="11" fillId="7" borderId="0" xfId="0" applyFont="1" applyFill="1"/>
    <xf numFmtId="0" fontId="11" fillId="7" borderId="0" xfId="0" applyFont="1" applyFill="1" applyAlignment="1">
      <alignment horizontal="center"/>
    </xf>
    <xf numFmtId="168" fontId="11" fillId="0" borderId="0" xfId="0" applyNumberFormat="1" applyFont="1"/>
    <xf numFmtId="18" fontId="11" fillId="7" borderId="0" xfId="0" applyNumberFormat="1" applyFont="1" applyFill="1"/>
    <xf numFmtId="0" fontId="16" fillId="6" borderId="0" xfId="0" applyFont="1" applyFill="1"/>
    <xf numFmtId="0" fontId="4" fillId="0" borderId="0" xfId="0" applyFont="1"/>
    <xf numFmtId="0" fontId="6" fillId="9" borderId="0" xfId="0" applyFont="1" applyFill="1"/>
    <xf numFmtId="0" fontId="14" fillId="7" borderId="0" xfId="0" applyFont="1" applyFill="1"/>
    <xf numFmtId="170" fontId="11" fillId="0" borderId="0" xfId="0" applyNumberFormat="1" applyFont="1"/>
    <xf numFmtId="18" fontId="11" fillId="0" borderId="0" xfId="0" applyNumberFormat="1" applyFont="1"/>
    <xf numFmtId="0" fontId="14" fillId="0" borderId="0" xfId="0" applyFont="1" applyAlignment="1">
      <alignment horizontal="center"/>
    </xf>
    <xf numFmtId="172" fontId="11" fillId="0" borderId="0" xfId="0" applyNumberFormat="1" applyFont="1"/>
    <xf numFmtId="0" fontId="11" fillId="18" borderId="0" xfId="0" applyFont="1" applyFill="1" applyAlignment="1">
      <alignment horizontal="center"/>
    </xf>
    <xf numFmtId="0" fontId="15" fillId="0" borderId="0" xfId="0" applyFont="1"/>
    <xf numFmtId="0" fontId="17" fillId="0" borderId="0" xfId="0" applyFont="1"/>
    <xf numFmtId="0" fontId="5" fillId="0" borderId="0" xfId="0" applyFont="1"/>
    <xf numFmtId="0" fontId="17" fillId="0" borderId="0" xfId="0" applyFont="1" applyAlignment="1">
      <alignment horizontal="center"/>
    </xf>
    <xf numFmtId="165" fontId="5" fillId="0" borderId="0" xfId="0" applyNumberFormat="1" applyFont="1"/>
    <xf numFmtId="165" fontId="17" fillId="0" borderId="0" xfId="0" applyNumberFormat="1" applyFont="1"/>
    <xf numFmtId="10" fontId="17" fillId="0" borderId="0" xfId="0" applyNumberFormat="1" applyFont="1"/>
    <xf numFmtId="2" fontId="17" fillId="0" borderId="0" xfId="0" applyNumberFormat="1" applyFont="1"/>
    <xf numFmtId="0" fontId="17" fillId="0" borderId="0" xfId="0" applyFont="1" applyAlignment="1">
      <alignment horizontal="left"/>
    </xf>
    <xf numFmtId="0" fontId="9" fillId="0" borderId="0" xfId="0" applyFont="1"/>
    <xf numFmtId="164" fontId="18" fillId="0" borderId="0" xfId="0" applyNumberFormat="1" applyFont="1"/>
    <xf numFmtId="2" fontId="5" fillId="0" borderId="0" xfId="0" applyNumberFormat="1" applyFont="1"/>
    <xf numFmtId="0" fontId="5" fillId="0" borderId="0" xfId="0" applyFont="1" applyAlignment="1">
      <alignment horizontal="center"/>
    </xf>
    <xf numFmtId="0" fontId="19" fillId="0" borderId="0" xfId="0" applyFont="1"/>
    <xf numFmtId="0" fontId="18" fillId="0" borderId="0" xfId="0" applyFont="1"/>
    <xf numFmtId="0" fontId="20" fillId="0" borderId="0" xfId="0" applyFont="1"/>
    <xf numFmtId="0" fontId="21" fillId="0" borderId="0" xfId="0" applyFont="1"/>
    <xf numFmtId="164" fontId="14" fillId="0" borderId="0" xfId="0" applyNumberFormat="1" applyFont="1" applyAlignment="1">
      <alignment horizontal="center"/>
    </xf>
    <xf numFmtId="164" fontId="22" fillId="0" borderId="0" xfId="0" applyNumberFormat="1" applyFont="1"/>
    <xf numFmtId="0" fontId="23" fillId="0" borderId="0" xfId="0" applyFont="1"/>
    <xf numFmtId="0" fontId="22" fillId="0" borderId="0" xfId="0" applyFont="1"/>
    <xf numFmtId="0" fontId="20" fillId="0" borderId="0" xfId="0" applyFont="1" applyAlignment="1">
      <alignment horizontal="center"/>
    </xf>
    <xf numFmtId="165" fontId="10" fillId="0" borderId="0" xfId="0" applyNumberFormat="1" applyFont="1"/>
    <xf numFmtId="172" fontId="24" fillId="0" borderId="0" xfId="0" applyNumberFormat="1" applyFont="1" applyAlignment="1">
      <alignment horizontal="left"/>
    </xf>
    <xf numFmtId="0" fontId="10" fillId="0" borderId="0" xfId="0" applyFont="1"/>
    <xf numFmtId="164" fontId="15" fillId="0" borderId="0" xfId="0" applyNumberFormat="1" applyFont="1"/>
    <xf numFmtId="0" fontId="23" fillId="6" borderId="0" xfId="0" applyFont="1" applyFill="1"/>
    <xf numFmtId="164" fontId="27" fillId="0" borderId="0" xfId="0" applyNumberFormat="1" applyFont="1"/>
    <xf numFmtId="166" fontId="17" fillId="0" borderId="0" xfId="0" applyNumberFormat="1" applyFont="1"/>
    <xf numFmtId="165" fontId="28" fillId="0" borderId="0" xfId="0" applyNumberFormat="1" applyFont="1"/>
    <xf numFmtId="0" fontId="28" fillId="0" borderId="0" xfId="0" applyFont="1"/>
    <xf numFmtId="164" fontId="28" fillId="0" borderId="0" xfId="0" applyNumberFormat="1" applyFont="1"/>
    <xf numFmtId="2" fontId="25" fillId="0" borderId="0" xfId="0" applyNumberFormat="1" applyFont="1"/>
    <xf numFmtId="165" fontId="18" fillId="0" borderId="0" xfId="0" applyNumberFormat="1" applyFont="1"/>
    <xf numFmtId="2" fontId="18" fillId="0" borderId="0" xfId="0" applyNumberFormat="1" applyFont="1"/>
    <xf numFmtId="0" fontId="23" fillId="0" borderId="0" xfId="0" applyFont="1" applyAlignment="1">
      <alignment horizontal="center"/>
    </xf>
    <xf numFmtId="0" fontId="29" fillId="0" borderId="0" xfId="0" applyFont="1"/>
    <xf numFmtId="0" fontId="30" fillId="6" borderId="0" xfId="0" applyFont="1" applyFill="1"/>
    <xf numFmtId="0" fontId="10" fillId="0" borderId="0" xfId="0" applyFont="1" applyAlignment="1">
      <alignment horizontal="center"/>
    </xf>
    <xf numFmtId="165" fontId="15" fillId="0" borderId="0" xfId="0" applyNumberFormat="1" applyFont="1"/>
    <xf numFmtId="10" fontId="11" fillId="0" borderId="0" xfId="0" applyNumberFormat="1" applyFont="1"/>
    <xf numFmtId="2" fontId="11" fillId="0" borderId="0" xfId="0" applyNumberFormat="1" applyFont="1"/>
    <xf numFmtId="0" fontId="9" fillId="26" borderId="4" xfId="0" applyFont="1" applyFill="1" applyBorder="1"/>
    <xf numFmtId="0" fontId="9" fillId="27" borderId="4" xfId="0" applyFont="1" applyFill="1" applyBorder="1"/>
    <xf numFmtId="174" fontId="6" fillId="3" borderId="0" xfId="0" applyNumberFormat="1" applyFont="1" applyFill="1"/>
    <xf numFmtId="0" fontId="7" fillId="3" borderId="0" xfId="0" applyFont="1" applyFill="1"/>
    <xf numFmtId="0" fontId="7" fillId="3" borderId="0" xfId="0" applyFont="1" applyFill="1" applyAlignment="1">
      <alignment horizontal="center"/>
    </xf>
    <xf numFmtId="165" fontId="7" fillId="3" borderId="0" xfId="0" applyNumberFormat="1" applyFont="1" applyFill="1"/>
    <xf numFmtId="164" fontId="7" fillId="3" borderId="0" xfId="0" applyNumberFormat="1" applyFont="1" applyFill="1" applyAlignment="1">
      <alignment horizontal="center"/>
    </xf>
    <xf numFmtId="10" fontId="7" fillId="3" borderId="0" xfId="0" applyNumberFormat="1" applyFont="1" applyFill="1"/>
    <xf numFmtId="2" fontId="8" fillId="3" borderId="0" xfId="0" applyNumberFormat="1" applyFont="1" applyFill="1" applyAlignment="1">
      <alignment horizontal="center"/>
    </xf>
    <xf numFmtId="0" fontId="10" fillId="3" borderId="0" xfId="0" applyFont="1" applyFill="1" applyAlignment="1">
      <alignment horizontal="center"/>
    </xf>
    <xf numFmtId="4" fontId="11" fillId="0" borderId="0" xfId="0" applyNumberFormat="1" applyFont="1"/>
    <xf numFmtId="2" fontId="15" fillId="3" borderId="0" xfId="0" applyNumberFormat="1" applyFont="1" applyFill="1" applyAlignment="1">
      <alignment horizontal="center"/>
    </xf>
    <xf numFmtId="0" fontId="15" fillId="3" borderId="0" xfId="0" applyFont="1" applyFill="1" applyAlignment="1">
      <alignment horizontal="center"/>
    </xf>
    <xf numFmtId="164" fontId="11" fillId="0" borderId="0" xfId="0" applyNumberFormat="1" applyFont="1"/>
    <xf numFmtId="0" fontId="31" fillId="0" borderId="0" xfId="0" applyFont="1"/>
    <xf numFmtId="0" fontId="32" fillId="0" borderId="0" xfId="0" applyFont="1"/>
    <xf numFmtId="175" fontId="14" fillId="0" borderId="0" xfId="0" applyNumberFormat="1" applyFont="1" applyAlignment="1">
      <alignment horizontal="center"/>
    </xf>
    <xf numFmtId="0" fontId="33" fillId="0" borderId="0" xfId="0" applyFont="1"/>
    <xf numFmtId="176" fontId="11" fillId="0" borderId="0" xfId="0" applyNumberFormat="1" applyFont="1"/>
    <xf numFmtId="0" fontId="16" fillId="0" borderId="0" xfId="0" applyFont="1"/>
    <xf numFmtId="0" fontId="34" fillId="0" borderId="0" xfId="0" applyFont="1" applyAlignment="1">
      <alignment horizontal="center"/>
    </xf>
    <xf numFmtId="0" fontId="35" fillId="0" borderId="0" xfId="0" applyFont="1" applyAlignment="1">
      <alignment horizontal="center"/>
    </xf>
    <xf numFmtId="0" fontId="36" fillId="0" borderId="0" xfId="0" applyFont="1"/>
    <xf numFmtId="165" fontId="36" fillId="0" borderId="0" xfId="0" applyNumberFormat="1" applyFont="1"/>
    <xf numFmtId="165" fontId="35" fillId="0" borderId="0" xfId="0" applyNumberFormat="1" applyFont="1"/>
    <xf numFmtId="0" fontId="35" fillId="0" borderId="0" xfId="0" applyFont="1"/>
    <xf numFmtId="0" fontId="37" fillId="0" borderId="0" xfId="0" applyFont="1"/>
    <xf numFmtId="164" fontId="7" fillId="3" borderId="0" xfId="0" applyNumberFormat="1" applyFont="1" applyFill="1"/>
    <xf numFmtId="171" fontId="11" fillId="0" borderId="0" xfId="0" applyNumberFormat="1" applyFont="1"/>
    <xf numFmtId="0" fontId="38" fillId="0" borderId="0" xfId="0" applyFont="1"/>
    <xf numFmtId="175" fontId="11" fillId="0" borderId="0" xfId="0" applyNumberFormat="1" applyFont="1" applyAlignment="1">
      <alignment horizontal="center"/>
    </xf>
    <xf numFmtId="164" fontId="11" fillId="28" borderId="0" xfId="0" applyNumberFormat="1" applyFont="1" applyFill="1"/>
    <xf numFmtId="0" fontId="11" fillId="0" borderId="0" xfId="0" applyFont="1" applyAlignment="1">
      <alignment horizontal="left"/>
    </xf>
    <xf numFmtId="166" fontId="7" fillId="0" borderId="0" xfId="0" applyNumberFormat="1" applyFont="1"/>
    <xf numFmtId="18" fontId="7" fillId="0" borderId="0" xfId="0" applyNumberFormat="1" applyFont="1"/>
    <xf numFmtId="0" fontId="7" fillId="0" borderId="0" xfId="0" applyFont="1" applyAlignment="1">
      <alignment horizontal="center"/>
    </xf>
    <xf numFmtId="165" fontId="7" fillId="0" borderId="0" xfId="0" applyNumberFormat="1" applyFont="1"/>
    <xf numFmtId="164" fontId="7" fillId="0" borderId="0" xfId="0" applyNumberFormat="1" applyFont="1" applyAlignment="1">
      <alignment horizontal="center"/>
    </xf>
    <xf numFmtId="0" fontId="6" fillId="29" borderId="0" xfId="0" applyFont="1" applyFill="1"/>
    <xf numFmtId="164" fontId="11" fillId="30" borderId="0" xfId="0" applyNumberFormat="1" applyFont="1" applyFill="1" applyAlignment="1">
      <alignment horizontal="center"/>
    </xf>
    <xf numFmtId="0" fontId="11" fillId="3" borderId="0" xfId="0" applyFont="1" applyFill="1"/>
    <xf numFmtId="164" fontId="11" fillId="21" borderId="0" xfId="0" applyNumberFormat="1" applyFont="1" applyFill="1" applyAlignment="1">
      <alignment horizontal="center"/>
    </xf>
    <xf numFmtId="0" fontId="11" fillId="31" borderId="0" xfId="0" applyFont="1" applyFill="1"/>
    <xf numFmtId="0" fontId="9" fillId="29" borderId="0" xfId="0" applyFont="1" applyFill="1"/>
    <xf numFmtId="0" fontId="39" fillId="0" borderId="0" xfId="0" applyFont="1"/>
    <xf numFmtId="0" fontId="40" fillId="0" borderId="0" xfId="0" applyFont="1"/>
    <xf numFmtId="2" fontId="14" fillId="0" borderId="0" xfId="0" applyNumberFormat="1" applyFont="1" applyAlignment="1">
      <alignment horizontal="center"/>
    </xf>
    <xf numFmtId="0" fontId="41" fillId="0" borderId="0" xfId="0" applyFont="1"/>
    <xf numFmtId="0" fontId="26" fillId="0" borderId="0" xfId="0" applyFont="1" applyAlignment="1">
      <alignment horizontal="center"/>
    </xf>
    <xf numFmtId="0" fontId="39" fillId="29" borderId="0" xfId="0" applyFont="1" applyFill="1"/>
    <xf numFmtId="0" fontId="40" fillId="29" borderId="0" xfId="0" applyFont="1" applyFill="1"/>
    <xf numFmtId="0" fontId="14" fillId="3" borderId="0" xfId="0" applyFont="1" applyFill="1"/>
    <xf numFmtId="0" fontId="11" fillId="3" borderId="0" xfId="0" applyFont="1" applyFill="1" applyAlignment="1">
      <alignment horizontal="center"/>
    </xf>
    <xf numFmtId="165" fontId="14" fillId="3" borderId="0" xfId="0" applyNumberFormat="1" applyFont="1" applyFill="1"/>
    <xf numFmtId="164" fontId="11" fillId="3" borderId="0" xfId="0" applyNumberFormat="1" applyFont="1" applyFill="1" applyAlignment="1">
      <alignment horizontal="center"/>
    </xf>
    <xf numFmtId="165" fontId="11" fillId="3" borderId="0" xfId="0" applyNumberFormat="1" applyFont="1" applyFill="1"/>
    <xf numFmtId="10" fontId="11" fillId="3" borderId="0" xfId="0" applyNumberFormat="1" applyFont="1" applyFill="1"/>
    <xf numFmtId="0" fontId="9" fillId="3" borderId="0" xfId="0" applyFont="1" applyFill="1"/>
    <xf numFmtId="0" fontId="11" fillId="32" borderId="0" xfId="0" applyFont="1" applyFill="1"/>
    <xf numFmtId="0" fontId="9" fillId="25" borderId="0" xfId="0" applyFont="1" applyFill="1"/>
    <xf numFmtId="0" fontId="11" fillId="25" borderId="0" xfId="0" applyFont="1" applyFill="1"/>
    <xf numFmtId="0" fontId="14" fillId="25" borderId="0" xfId="0" applyFont="1" applyFill="1"/>
    <xf numFmtId="0" fontId="11" fillId="25" borderId="0" xfId="0" applyFont="1" applyFill="1" applyAlignment="1">
      <alignment horizontal="center"/>
    </xf>
    <xf numFmtId="165" fontId="14" fillId="25" borderId="0" xfId="0" applyNumberFormat="1" applyFont="1" applyFill="1"/>
    <xf numFmtId="164" fontId="11" fillId="25" borderId="0" xfId="0" applyNumberFormat="1" applyFont="1" applyFill="1" applyAlignment="1">
      <alignment horizontal="center"/>
    </xf>
    <xf numFmtId="165" fontId="11" fillId="25" borderId="0" xfId="0" applyNumberFormat="1" applyFont="1" applyFill="1"/>
    <xf numFmtId="0" fontId="15" fillId="25" borderId="0" xfId="0" applyFont="1" applyFill="1" applyAlignment="1">
      <alignment horizontal="center"/>
    </xf>
    <xf numFmtId="44" fontId="5" fillId="0" borderId="0" xfId="0" applyNumberFormat="1" applyFont="1"/>
    <xf numFmtId="4" fontId="17" fillId="0" borderId="0" xfId="0" applyNumberFormat="1" applyFont="1"/>
    <xf numFmtId="0" fontId="1" fillId="2" borderId="13" xfId="0" applyFont="1" applyFill="1" applyBorder="1" applyAlignment="1">
      <alignment horizontal="center"/>
    </xf>
    <xf numFmtId="0" fontId="6" fillId="3" borderId="0" xfId="0" applyFont="1" applyFill="1"/>
    <xf numFmtId="0" fontId="6" fillId="3" borderId="0" xfId="0" applyFont="1" applyFill="1" applyAlignment="1">
      <alignment horizontal="center"/>
    </xf>
    <xf numFmtId="0" fontId="7" fillId="3" borderId="0" xfId="0" applyFont="1" applyFill="1" applyAlignment="1">
      <alignment horizontal="left"/>
    </xf>
    <xf numFmtId="165" fontId="6" fillId="3" borderId="0" xfId="0" applyNumberFormat="1" applyFont="1" applyFill="1"/>
    <xf numFmtId="0" fontId="9" fillId="4" borderId="0" xfId="0" applyFont="1" applyFill="1"/>
    <xf numFmtId="0" fontId="9" fillId="5" borderId="0" xfId="0" applyFont="1" applyFill="1"/>
    <xf numFmtId="2" fontId="7" fillId="3" borderId="0" xfId="0" applyNumberFormat="1" applyFont="1" applyFill="1" applyAlignment="1">
      <alignment horizontal="left"/>
    </xf>
    <xf numFmtId="0" fontId="44" fillId="2" borderId="0" xfId="0" applyFont="1" applyFill="1"/>
    <xf numFmtId="0" fontId="45" fillId="2" borderId="0" xfId="0" applyFont="1" applyFill="1"/>
    <xf numFmtId="0" fontId="45" fillId="2" borderId="0" xfId="0" applyFont="1" applyFill="1" applyAlignment="1">
      <alignment horizontal="fill" wrapText="1"/>
    </xf>
    <xf numFmtId="0" fontId="45" fillId="2" borderId="0" xfId="0" applyFont="1" applyFill="1" applyAlignment="1">
      <alignment horizontal="fill"/>
    </xf>
    <xf numFmtId="0" fontId="45" fillId="2" borderId="0" xfId="0" applyFont="1" applyFill="1" applyAlignment="1">
      <alignment horizontal="center"/>
    </xf>
    <xf numFmtId="165" fontId="45" fillId="2" borderId="0" xfId="0" applyNumberFormat="1" applyFont="1" applyFill="1"/>
    <xf numFmtId="10" fontId="45" fillId="2" borderId="0" xfId="0" applyNumberFormat="1" applyFont="1" applyFill="1"/>
    <xf numFmtId="2" fontId="46" fillId="2" borderId="0" xfId="0" applyNumberFormat="1" applyFont="1" applyFill="1" applyAlignment="1">
      <alignment horizontal="center"/>
    </xf>
    <xf numFmtId="0" fontId="47" fillId="2" borderId="0" xfId="0" applyFont="1" applyFill="1" applyAlignment="1">
      <alignment horizontal="center"/>
    </xf>
    <xf numFmtId="166" fontId="48" fillId="0" borderId="12" xfId="0" applyNumberFormat="1" applyFont="1" applyBorder="1"/>
    <xf numFmtId="0" fontId="48" fillId="0" borderId="15" xfId="0" applyFont="1" applyBorder="1"/>
    <xf numFmtId="0" fontId="48" fillId="0" borderId="15" xfId="0" applyFont="1" applyBorder="1" applyAlignment="1">
      <alignment horizontal="fill" wrapText="1"/>
    </xf>
    <xf numFmtId="0" fontId="48" fillId="0" borderId="15" xfId="0" applyFont="1" applyBorder="1" applyAlignment="1">
      <alignment horizontal="fill"/>
    </xf>
    <xf numFmtId="0" fontId="48" fillId="0" borderId="15" xfId="0" applyFont="1" applyBorder="1" applyAlignment="1">
      <alignment horizontal="center"/>
    </xf>
    <xf numFmtId="0" fontId="49" fillId="0" borderId="15" xfId="0" applyFont="1" applyBorder="1" applyAlignment="1">
      <alignment horizontal="center"/>
    </xf>
    <xf numFmtId="0" fontId="50" fillId="6" borderId="15" xfId="0" applyFont="1" applyFill="1" applyBorder="1"/>
    <xf numFmtId="0" fontId="51" fillId="0" borderId="15" xfId="0" applyFont="1" applyBorder="1"/>
    <xf numFmtId="164" fontId="48" fillId="0" borderId="15" xfId="0" applyNumberFormat="1" applyFont="1" applyBorder="1" applyAlignment="1">
      <alignment horizontal="center"/>
    </xf>
    <xf numFmtId="165" fontId="48" fillId="0" borderId="15" xfId="0" applyNumberFormat="1" applyFont="1" applyBorder="1"/>
    <xf numFmtId="2" fontId="52" fillId="0" borderId="15" xfId="0" applyNumberFormat="1" applyFont="1" applyBorder="1" applyAlignment="1">
      <alignment horizontal="center"/>
    </xf>
    <xf numFmtId="0" fontId="52" fillId="0" borderId="15" xfId="0" applyFont="1" applyBorder="1" applyAlignment="1">
      <alignment horizontal="center"/>
    </xf>
    <xf numFmtId="166" fontId="48" fillId="7" borderId="16" xfId="0" applyNumberFormat="1" applyFont="1" applyFill="1" applyBorder="1"/>
    <xf numFmtId="0" fontId="48" fillId="7" borderId="7" xfId="0" applyFont="1" applyFill="1" applyBorder="1"/>
    <xf numFmtId="0" fontId="48" fillId="7" borderId="7" xfId="0" applyFont="1" applyFill="1" applyBorder="1" applyAlignment="1">
      <alignment horizontal="fill" wrapText="1"/>
    </xf>
    <xf numFmtId="0" fontId="48" fillId="7" borderId="7" xfId="0" applyFont="1" applyFill="1" applyBorder="1" applyAlignment="1">
      <alignment horizontal="fill"/>
    </xf>
    <xf numFmtId="0" fontId="48" fillId="7" borderId="7" xfId="0" applyFont="1" applyFill="1" applyBorder="1" applyAlignment="1">
      <alignment horizontal="center"/>
    </xf>
    <xf numFmtId="0" fontId="48" fillId="0" borderId="7" xfId="0" applyFont="1" applyBorder="1"/>
    <xf numFmtId="0" fontId="48" fillId="0" borderId="7" xfId="0" applyFont="1" applyBorder="1" applyAlignment="1">
      <alignment horizontal="center"/>
    </xf>
    <xf numFmtId="0" fontId="50" fillId="6" borderId="7" xfId="0" applyFont="1" applyFill="1" applyBorder="1"/>
    <xf numFmtId="0" fontId="51" fillId="0" borderId="7" xfId="0" applyFont="1" applyBorder="1"/>
    <xf numFmtId="165" fontId="51" fillId="0" borderId="7" xfId="0" applyNumberFormat="1" applyFont="1" applyBorder="1"/>
    <xf numFmtId="164" fontId="48" fillId="0" borderId="7" xfId="0" applyNumberFormat="1" applyFont="1" applyBorder="1" applyAlignment="1">
      <alignment horizontal="center"/>
    </xf>
    <xf numFmtId="167" fontId="48" fillId="0" borderId="7" xfId="0" applyNumberFormat="1" applyFont="1" applyBorder="1"/>
    <xf numFmtId="165" fontId="48" fillId="0" borderId="7" xfId="0" applyNumberFormat="1" applyFont="1" applyBorder="1"/>
    <xf numFmtId="2" fontId="52" fillId="0" borderId="7" xfId="0" applyNumberFormat="1" applyFont="1" applyBorder="1" applyAlignment="1">
      <alignment horizontal="center"/>
    </xf>
    <xf numFmtId="0" fontId="52" fillId="0" borderId="7" xfId="0" applyFont="1" applyBorder="1" applyAlignment="1">
      <alignment horizontal="center"/>
    </xf>
    <xf numFmtId="168" fontId="48" fillId="0" borderId="7" xfId="0" applyNumberFormat="1" applyFont="1" applyBorder="1"/>
    <xf numFmtId="0" fontId="47" fillId="7" borderId="7" xfId="0" applyFont="1" applyFill="1" applyBorder="1" applyAlignment="1">
      <alignment horizontal="fill" wrapText="1"/>
    </xf>
    <xf numFmtId="18" fontId="48" fillId="7" borderId="7" xfId="0" applyNumberFormat="1" applyFont="1" applyFill="1" applyBorder="1"/>
    <xf numFmtId="169" fontId="48" fillId="0" borderId="7" xfId="0" applyNumberFormat="1" applyFont="1" applyBorder="1"/>
    <xf numFmtId="0" fontId="54" fillId="6" borderId="7" xfId="0" applyFont="1" applyFill="1" applyBorder="1"/>
    <xf numFmtId="0" fontId="47" fillId="0" borderId="7" xfId="0" applyFont="1" applyBorder="1"/>
    <xf numFmtId="0" fontId="48" fillId="7" borderId="7" xfId="0" applyFont="1" applyFill="1" applyBorder="1" applyAlignment="1">
      <alignment horizontal="left"/>
    </xf>
    <xf numFmtId="0" fontId="48" fillId="8" borderId="7" xfId="0" applyFont="1" applyFill="1" applyBorder="1" applyAlignment="1">
      <alignment horizontal="center"/>
    </xf>
    <xf numFmtId="166" fontId="48" fillId="7" borderId="10" xfId="0" applyNumberFormat="1" applyFont="1" applyFill="1" applyBorder="1"/>
    <xf numFmtId="0" fontId="48" fillId="7" borderId="18" xfId="0" applyFont="1" applyFill="1" applyBorder="1"/>
    <xf numFmtId="0" fontId="48" fillId="7" borderId="18" xfId="0" applyFont="1" applyFill="1" applyBorder="1" applyAlignment="1">
      <alignment horizontal="fill" wrapText="1"/>
    </xf>
    <xf numFmtId="0" fontId="48" fillId="7" borderId="18" xfId="0" applyFont="1" applyFill="1" applyBorder="1" applyAlignment="1">
      <alignment horizontal="fill"/>
    </xf>
    <xf numFmtId="0" fontId="48" fillId="7" borderId="18" xfId="0" applyFont="1" applyFill="1" applyBorder="1" applyAlignment="1">
      <alignment horizontal="center"/>
    </xf>
    <xf numFmtId="0" fontId="48" fillId="0" borderId="18" xfId="0" applyFont="1" applyBorder="1"/>
    <xf numFmtId="0" fontId="48" fillId="0" borderId="18" xfId="0" applyFont="1" applyBorder="1" applyAlignment="1">
      <alignment horizontal="center"/>
    </xf>
    <xf numFmtId="0" fontId="50" fillId="6" borderId="18" xfId="0" applyFont="1" applyFill="1" applyBorder="1"/>
    <xf numFmtId="0" fontId="51" fillId="0" borderId="18" xfId="0" applyFont="1" applyBorder="1"/>
    <xf numFmtId="165" fontId="51" fillId="0" borderId="18" xfId="0" applyNumberFormat="1" applyFont="1" applyBorder="1"/>
    <xf numFmtId="164" fontId="48" fillId="0" borderId="18" xfId="0" applyNumberFormat="1" applyFont="1" applyBorder="1" applyAlignment="1">
      <alignment horizontal="center"/>
    </xf>
    <xf numFmtId="165" fontId="48" fillId="0" borderId="18" xfId="0" applyNumberFormat="1" applyFont="1" applyBorder="1"/>
    <xf numFmtId="2" fontId="52" fillId="0" borderId="18" xfId="0" applyNumberFormat="1" applyFont="1" applyBorder="1" applyAlignment="1">
      <alignment horizontal="center"/>
    </xf>
    <xf numFmtId="0" fontId="52" fillId="0" borderId="18" xfId="0" applyFont="1" applyBorder="1" applyAlignment="1">
      <alignment horizontal="center"/>
    </xf>
    <xf numFmtId="0" fontId="48" fillId="2" borderId="0" xfId="0" applyFont="1" applyFill="1"/>
    <xf numFmtId="0" fontId="48" fillId="2" borderId="0" xfId="0" applyFont="1" applyFill="1" applyAlignment="1">
      <alignment horizontal="fill" wrapText="1"/>
    </xf>
    <xf numFmtId="0" fontId="48" fillId="2" borderId="0" xfId="0" applyFont="1" applyFill="1" applyAlignment="1">
      <alignment horizontal="fill"/>
    </xf>
    <xf numFmtId="0" fontId="48" fillId="2" borderId="0" xfId="0" applyFont="1" applyFill="1" applyAlignment="1">
      <alignment horizontal="center"/>
    </xf>
    <xf numFmtId="0" fontId="51" fillId="2" borderId="0" xfId="0" applyFont="1" applyFill="1"/>
    <xf numFmtId="165" fontId="48" fillId="2" borderId="0" xfId="0" applyNumberFormat="1" applyFont="1" applyFill="1"/>
    <xf numFmtId="0" fontId="52" fillId="2" borderId="0" xfId="0" applyFont="1" applyFill="1" applyAlignment="1">
      <alignment horizontal="center"/>
    </xf>
    <xf numFmtId="166" fontId="48" fillId="7" borderId="12" xfId="0" applyNumberFormat="1" applyFont="1" applyFill="1" applyBorder="1"/>
    <xf numFmtId="18" fontId="48" fillId="7" borderId="15" xfId="0" applyNumberFormat="1" applyFont="1" applyFill="1" applyBorder="1"/>
    <xf numFmtId="0" fontId="48" fillId="7" borderId="15" xfId="0" applyFont="1" applyFill="1" applyBorder="1"/>
    <xf numFmtId="0" fontId="51" fillId="7" borderId="15" xfId="0" applyFont="1" applyFill="1" applyBorder="1" applyAlignment="1">
      <alignment horizontal="fill" wrapText="1"/>
    </xf>
    <xf numFmtId="0" fontId="48" fillId="7" borderId="15" xfId="0" applyFont="1" applyFill="1" applyBorder="1" applyAlignment="1">
      <alignment horizontal="fill"/>
    </xf>
    <xf numFmtId="0" fontId="48" fillId="7" borderId="15" xfId="0" applyFont="1" applyFill="1" applyBorder="1" applyAlignment="1">
      <alignment horizontal="center"/>
    </xf>
    <xf numFmtId="0" fontId="51" fillId="7" borderId="7" xfId="0" applyFont="1" applyFill="1" applyBorder="1" applyAlignment="1">
      <alignment horizontal="fill" wrapText="1"/>
    </xf>
    <xf numFmtId="170" fontId="48" fillId="0" borderId="7" xfId="0" applyNumberFormat="1" applyFont="1" applyBorder="1"/>
    <xf numFmtId="18" fontId="48" fillId="0" borderId="7" xfId="0" applyNumberFormat="1" applyFont="1" applyBorder="1"/>
    <xf numFmtId="171" fontId="48" fillId="7" borderId="16" xfId="0" applyNumberFormat="1" applyFont="1" applyFill="1" applyBorder="1"/>
    <xf numFmtId="0" fontId="51" fillId="0" borderId="7" xfId="0" applyFont="1" applyBorder="1" applyAlignment="1">
      <alignment horizontal="center"/>
    </xf>
    <xf numFmtId="166" fontId="54" fillId="7" borderId="16" xfId="0" applyNumberFormat="1" applyFont="1" applyFill="1" applyBorder="1"/>
    <xf numFmtId="0" fontId="54" fillId="7" borderId="7" xfId="0" applyFont="1" applyFill="1" applyBorder="1"/>
    <xf numFmtId="0" fontId="51" fillId="7" borderId="7" xfId="0" applyFont="1" applyFill="1" applyBorder="1" applyAlignment="1">
      <alignment horizontal="fill"/>
    </xf>
    <xf numFmtId="18" fontId="48" fillId="7" borderId="16" xfId="0" applyNumberFormat="1" applyFont="1" applyFill="1" applyBorder="1"/>
    <xf numFmtId="0" fontId="48" fillId="10" borderId="7" xfId="0" applyFont="1" applyFill="1" applyBorder="1" applyAlignment="1">
      <alignment horizontal="left"/>
    </xf>
    <xf numFmtId="0" fontId="51" fillId="10" borderId="7" xfId="0" applyFont="1" applyFill="1" applyBorder="1" applyAlignment="1">
      <alignment horizontal="left"/>
    </xf>
    <xf numFmtId="0" fontId="51" fillId="8" borderId="7" xfId="0" applyFont="1" applyFill="1" applyBorder="1" applyAlignment="1">
      <alignment horizontal="center"/>
    </xf>
    <xf numFmtId="172" fontId="48" fillId="0" borderId="7" xfId="0" applyNumberFormat="1" applyFont="1" applyBorder="1"/>
    <xf numFmtId="0" fontId="48" fillId="11" borderId="7" xfId="0" applyFont="1" applyFill="1" applyBorder="1" applyAlignment="1">
      <alignment horizontal="center"/>
    </xf>
    <xf numFmtId="0" fontId="48" fillId="12" borderId="7" xfId="0" applyFont="1" applyFill="1" applyBorder="1" applyAlignment="1">
      <alignment horizontal="center"/>
    </xf>
    <xf numFmtId="166" fontId="48" fillId="13" borderId="16" xfId="0" applyNumberFormat="1" applyFont="1" applyFill="1" applyBorder="1"/>
    <xf numFmtId="0" fontId="48" fillId="13" borderId="7" xfId="0" applyFont="1" applyFill="1" applyBorder="1"/>
    <xf numFmtId="0" fontId="51" fillId="13" borderId="7" xfId="0" applyFont="1" applyFill="1" applyBorder="1" applyAlignment="1">
      <alignment horizontal="fill" wrapText="1"/>
    </xf>
    <xf numFmtId="0" fontId="48" fillId="14" borderId="7" xfId="0" applyFont="1" applyFill="1" applyBorder="1"/>
    <xf numFmtId="0" fontId="48" fillId="15" borderId="7" xfId="0" applyFont="1" applyFill="1" applyBorder="1" applyAlignment="1">
      <alignment horizontal="center"/>
    </xf>
    <xf numFmtId="0" fontId="51" fillId="7" borderId="18" xfId="0" applyFont="1" applyFill="1" applyBorder="1" applyAlignment="1">
      <alignment horizontal="fill" wrapText="1"/>
    </xf>
    <xf numFmtId="0" fontId="48" fillId="16" borderId="7" xfId="0" applyFont="1" applyFill="1" applyBorder="1" applyAlignment="1">
      <alignment horizontal="center"/>
    </xf>
    <xf numFmtId="0" fontId="48" fillId="18" borderId="7" xfId="0" applyFont="1" applyFill="1" applyBorder="1" applyAlignment="1">
      <alignment horizontal="center"/>
    </xf>
    <xf numFmtId="0" fontId="57" fillId="17" borderId="7" xfId="0" applyFont="1" applyFill="1" applyBorder="1" applyAlignment="1">
      <alignment horizontal="fill" wrapText="1"/>
    </xf>
    <xf numFmtId="0" fontId="58" fillId="2" borderId="0" xfId="0" applyFont="1" applyFill="1"/>
    <xf numFmtId="0" fontId="52" fillId="0" borderId="19" xfId="0" applyFont="1" applyBorder="1"/>
    <xf numFmtId="0" fontId="48" fillId="0" borderId="20" xfId="0" applyFont="1" applyBorder="1"/>
    <xf numFmtId="0" fontId="48" fillId="0" borderId="20" xfId="0" applyFont="1" applyBorder="1" applyAlignment="1">
      <alignment horizontal="fill" wrapText="1"/>
    </xf>
    <xf numFmtId="0" fontId="48" fillId="0" borderId="20" xfId="0" applyFont="1" applyBorder="1" applyAlignment="1">
      <alignment horizontal="fill"/>
    </xf>
    <xf numFmtId="0" fontId="48" fillId="0" borderId="20" xfId="0" applyFont="1" applyBorder="1" applyAlignment="1">
      <alignment horizontal="center"/>
    </xf>
    <xf numFmtId="0" fontId="50" fillId="6" borderId="20" xfId="0" applyFont="1" applyFill="1" applyBorder="1"/>
    <xf numFmtId="0" fontId="51" fillId="0" borderId="20" xfId="0" applyFont="1" applyBorder="1"/>
    <xf numFmtId="164" fontId="48" fillId="0" borderId="20" xfId="0" applyNumberFormat="1" applyFont="1" applyBorder="1" applyAlignment="1">
      <alignment horizontal="center"/>
    </xf>
    <xf numFmtId="165" fontId="48" fillId="0" borderId="20" xfId="0" applyNumberFormat="1" applyFont="1" applyBorder="1"/>
    <xf numFmtId="2" fontId="52" fillId="0" borderId="20" xfId="0" applyNumberFormat="1" applyFont="1" applyBorder="1" applyAlignment="1">
      <alignment horizontal="center"/>
    </xf>
    <xf numFmtId="0" fontId="52" fillId="0" borderId="20" xfId="0" applyFont="1" applyBorder="1" applyAlignment="1">
      <alignment horizontal="center"/>
    </xf>
    <xf numFmtId="0" fontId="48" fillId="19" borderId="7" xfId="0" applyFont="1" applyFill="1" applyBorder="1" applyAlignment="1">
      <alignment horizontal="center"/>
    </xf>
    <xf numFmtId="0" fontId="48" fillId="20" borderId="7" xfId="0" applyFont="1" applyFill="1" applyBorder="1" applyAlignment="1">
      <alignment horizontal="center"/>
    </xf>
    <xf numFmtId="0" fontId="48" fillId="21" borderId="7" xfId="0" applyFont="1" applyFill="1" applyBorder="1" applyAlignment="1">
      <alignment horizontal="center"/>
    </xf>
    <xf numFmtId="0" fontId="48" fillId="10" borderId="7" xfId="0" applyFont="1" applyFill="1" applyBorder="1" applyAlignment="1">
      <alignment horizontal="center"/>
    </xf>
    <xf numFmtId="0" fontId="48" fillId="22" borderId="7" xfId="0" applyFont="1" applyFill="1" applyBorder="1" applyAlignment="1">
      <alignment horizontal="center"/>
    </xf>
    <xf numFmtId="0" fontId="48" fillId="7" borderId="16" xfId="0" applyFont="1" applyFill="1" applyBorder="1"/>
    <xf numFmtId="0" fontId="48" fillId="23" borderId="7" xfId="0" applyFont="1" applyFill="1" applyBorder="1" applyAlignment="1">
      <alignment horizontal="center"/>
    </xf>
    <xf numFmtId="0" fontId="49" fillId="0" borderId="7" xfId="0" applyFont="1" applyBorder="1" applyAlignment="1">
      <alignment horizontal="center"/>
    </xf>
    <xf numFmtId="0" fontId="48" fillId="24" borderId="7" xfId="0" applyFont="1" applyFill="1" applyBorder="1" applyAlignment="1">
      <alignment horizontal="center"/>
    </xf>
    <xf numFmtId="0" fontId="54" fillId="6" borderId="7" xfId="0" applyFont="1" applyFill="1" applyBorder="1" applyAlignment="1">
      <alignment horizontal="fill"/>
    </xf>
    <xf numFmtId="0" fontId="60" fillId="2" borderId="0" xfId="0" applyFont="1" applyFill="1"/>
    <xf numFmtId="0" fontId="48" fillId="6" borderId="7" xfId="0" applyFont="1" applyFill="1" applyBorder="1" applyAlignment="1">
      <alignment horizontal="center"/>
    </xf>
    <xf numFmtId="10" fontId="17" fillId="0" borderId="7" xfId="0" applyNumberFormat="1" applyFont="1" applyBorder="1"/>
    <xf numFmtId="0" fontId="48" fillId="33" borderId="7" xfId="0" applyFont="1" applyFill="1" applyBorder="1" applyAlignment="1">
      <alignment horizontal="center"/>
    </xf>
    <xf numFmtId="0" fontId="51" fillId="2" borderId="21" xfId="0" applyFont="1" applyFill="1" applyBorder="1"/>
    <xf numFmtId="0" fontId="48" fillId="34" borderId="7" xfId="0" applyFont="1" applyFill="1" applyBorder="1" applyAlignment="1">
      <alignment horizontal="center"/>
    </xf>
    <xf numFmtId="0" fontId="48" fillId="35" borderId="7" xfId="0" applyFont="1" applyFill="1" applyBorder="1" applyAlignment="1">
      <alignment horizontal="center"/>
    </xf>
    <xf numFmtId="0" fontId="48" fillId="36" borderId="7" xfId="0" applyFont="1" applyFill="1" applyBorder="1" applyAlignment="1">
      <alignment horizontal="center"/>
    </xf>
    <xf numFmtId="0" fontId="48" fillId="37" borderId="7" xfId="0" applyFont="1" applyFill="1" applyBorder="1" applyAlignment="1">
      <alignment horizontal="center"/>
    </xf>
    <xf numFmtId="0" fontId="48" fillId="38" borderId="7" xfId="0" applyFont="1" applyFill="1" applyBorder="1" applyAlignment="1">
      <alignment horizontal="center"/>
    </xf>
    <xf numFmtId="0" fontId="51" fillId="7" borderId="7" xfId="0" applyFont="1" applyFill="1" applyBorder="1"/>
    <xf numFmtId="0" fontId="48" fillId="39" borderId="7" xfId="0" applyFont="1" applyFill="1" applyBorder="1" applyAlignment="1">
      <alignment horizontal="center"/>
    </xf>
    <xf numFmtId="15" fontId="48" fillId="0" borderId="7" xfId="0" applyNumberFormat="1" applyFont="1" applyBorder="1"/>
    <xf numFmtId="0" fontId="48" fillId="40" borderId="7" xfId="0" applyFont="1" applyFill="1" applyBorder="1" applyAlignment="1">
      <alignment horizontal="center"/>
    </xf>
    <xf numFmtId="0" fontId="48" fillId="41" borderId="7" xfId="0" applyFont="1" applyFill="1" applyBorder="1" applyAlignment="1">
      <alignment horizontal="center"/>
    </xf>
    <xf numFmtId="0" fontId="48" fillId="42" borderId="7" xfId="0" applyFont="1" applyFill="1" applyBorder="1" applyAlignment="1">
      <alignment horizontal="center"/>
    </xf>
    <xf numFmtId="0" fontId="51" fillId="7" borderId="7" xfId="1" applyFont="1" applyFill="1" applyBorder="1" applyAlignment="1">
      <alignment horizontal="fill" wrapText="1"/>
    </xf>
    <xf numFmtId="0" fontId="63" fillId="7" borderId="7" xfId="0" applyFont="1" applyFill="1" applyBorder="1" applyAlignment="1">
      <alignment horizontal="fill" wrapText="1"/>
    </xf>
    <xf numFmtId="0" fontId="64" fillId="7" borderId="7" xfId="1" applyFont="1" applyFill="1" applyBorder="1" applyAlignment="1">
      <alignment horizontal="fill" wrapText="1"/>
    </xf>
    <xf numFmtId="0" fontId="63" fillId="7" borderId="7" xfId="1" applyFont="1" applyFill="1" applyBorder="1" applyAlignment="1">
      <alignment horizontal="fill" wrapText="1"/>
    </xf>
    <xf numFmtId="0" fontId="48" fillId="43" borderId="7" xfId="0" applyFont="1" applyFill="1" applyBorder="1" applyAlignment="1">
      <alignment horizontal="center"/>
    </xf>
    <xf numFmtId="0" fontId="48" fillId="44" borderId="7" xfId="0" applyFont="1" applyFill="1" applyBorder="1" applyAlignment="1">
      <alignment horizontal="center"/>
    </xf>
    <xf numFmtId="0" fontId="48" fillId="45" borderId="7" xfId="0" applyFont="1" applyFill="1" applyBorder="1" applyAlignment="1">
      <alignment horizontal="center"/>
    </xf>
    <xf numFmtId="0" fontId="48" fillId="7" borderId="7" xfId="1" applyFont="1" applyFill="1" applyBorder="1" applyAlignment="1">
      <alignment horizontal="fill"/>
    </xf>
    <xf numFmtId="0" fontId="48" fillId="47" borderId="7" xfId="0" applyFont="1" applyFill="1" applyBorder="1" applyAlignment="1">
      <alignment horizontal="center"/>
    </xf>
    <xf numFmtId="16" fontId="48" fillId="0" borderId="7" xfId="0" applyNumberFormat="1" applyFont="1" applyBorder="1"/>
    <xf numFmtId="0" fontId="48" fillId="48" borderId="7" xfId="0" applyFont="1" applyFill="1" applyBorder="1" applyAlignment="1">
      <alignment horizontal="center"/>
    </xf>
    <xf numFmtId="164" fontId="0" fillId="0" borderId="0" xfId="0" applyNumberFormat="1"/>
    <xf numFmtId="0" fontId="65" fillId="0" borderId="0" xfId="0" applyFont="1"/>
    <xf numFmtId="0" fontId="66" fillId="0" borderId="0" xfId="0" applyFont="1" applyAlignment="1">
      <alignment horizontal="center"/>
    </xf>
    <xf numFmtId="0" fontId="69" fillId="0" borderId="0" xfId="0" applyFont="1"/>
    <xf numFmtId="0" fontId="54" fillId="0" borderId="0" xfId="0" applyFont="1"/>
    <xf numFmtId="0" fontId="73" fillId="0" borderId="0" xfId="0" applyFont="1"/>
    <xf numFmtId="0" fontId="54" fillId="0" borderId="0" xfId="0" applyFont="1" applyAlignment="1">
      <alignment horizontal="center"/>
    </xf>
    <xf numFmtId="0" fontId="54" fillId="53" borderId="0" xfId="0" applyFont="1" applyFill="1"/>
    <xf numFmtId="0" fontId="54" fillId="0" borderId="0" xfId="0" applyFont="1" applyAlignment="1">
      <alignment horizontal="center" vertical="center"/>
    </xf>
    <xf numFmtId="164" fontId="17" fillId="0" borderId="0" xfId="0" applyNumberFormat="1" applyFont="1"/>
    <xf numFmtId="0" fontId="54" fillId="0" borderId="0" xfId="0" applyFont="1" applyAlignment="1">
      <alignment horizontal="right"/>
    </xf>
    <xf numFmtId="0" fontId="76" fillId="3" borderId="4" xfId="0" applyFont="1" applyFill="1" applyBorder="1" applyAlignment="1">
      <alignment horizontal="center"/>
    </xf>
    <xf numFmtId="0" fontId="77" fillId="0" borderId="0" xfId="0" applyFont="1"/>
    <xf numFmtId="0" fontId="78" fillId="3" borderId="4" xfId="1" applyFont="1" applyFill="1" applyBorder="1" applyAlignment="1">
      <alignment horizontal="right" vertical="center"/>
    </xf>
    <xf numFmtId="0" fontId="48" fillId="37" borderId="18" xfId="0" applyFont="1" applyFill="1" applyBorder="1" applyAlignment="1">
      <alignment horizontal="center"/>
    </xf>
    <xf numFmtId="0" fontId="48" fillId="41" borderId="18" xfId="0" applyFont="1" applyFill="1" applyBorder="1" applyAlignment="1">
      <alignment horizontal="center"/>
    </xf>
    <xf numFmtId="0" fontId="48" fillId="42" borderId="18" xfId="0" applyFont="1" applyFill="1" applyBorder="1" applyAlignment="1">
      <alignment horizontal="center"/>
    </xf>
    <xf numFmtId="0" fontId="79" fillId="0" borderId="0" xfId="0" applyFont="1"/>
    <xf numFmtId="0" fontId="48" fillId="0" borderId="7" xfId="0" applyFont="1" applyBorder="1" applyAlignment="1">
      <alignment vertical="top"/>
    </xf>
    <xf numFmtId="0" fontId="48" fillId="0" borderId="18" xfId="0" applyFont="1" applyBorder="1" applyAlignment="1">
      <alignment vertical="top"/>
    </xf>
    <xf numFmtId="2" fontId="80" fillId="0" borderId="7" xfId="0" applyNumberFormat="1" applyFont="1" applyBorder="1" applyAlignment="1">
      <alignment horizontal="left"/>
    </xf>
    <xf numFmtId="0" fontId="68" fillId="0" borderId="0" xfId="0" applyFont="1" applyAlignment="1">
      <alignment vertical="center"/>
    </xf>
    <xf numFmtId="0" fontId="68" fillId="0" borderId="0" xfId="0" applyFont="1"/>
    <xf numFmtId="178" fontId="54" fillId="0" borderId="0" xfId="0" applyNumberFormat="1" applyFont="1"/>
    <xf numFmtId="164" fontId="54" fillId="0" borderId="0" xfId="0" applyNumberFormat="1" applyFont="1" applyAlignment="1">
      <alignment vertical="center"/>
    </xf>
    <xf numFmtId="0" fontId="54" fillId="0" borderId="0" xfId="0" applyFont="1" applyAlignment="1">
      <alignment vertical="center"/>
    </xf>
    <xf numFmtId="174" fontId="6" fillId="3" borderId="0" xfId="0" applyNumberFormat="1" applyFont="1" applyFill="1" applyAlignment="1">
      <alignment horizontal="left" vertical="center"/>
    </xf>
    <xf numFmtId="164" fontId="81" fillId="0" borderId="0" xfId="0" applyNumberFormat="1" applyFont="1"/>
    <xf numFmtId="164" fontId="79" fillId="0" borderId="0" xfId="0" applyNumberFormat="1" applyFont="1"/>
    <xf numFmtId="20" fontId="11" fillId="0" borderId="0" xfId="0" applyNumberFormat="1" applyFont="1"/>
    <xf numFmtId="0" fontId="45" fillId="2" borderId="0" xfId="0" applyFont="1" applyFill="1" applyAlignment="1">
      <alignment horizontal="center" vertical="center"/>
    </xf>
    <xf numFmtId="0" fontId="48" fillId="0" borderId="15" xfId="0" applyFont="1" applyBorder="1" applyAlignment="1">
      <alignment horizontal="center" vertical="center"/>
    </xf>
    <xf numFmtId="0" fontId="48" fillId="0" borderId="7" xfId="0" applyFont="1" applyBorder="1" applyAlignment="1">
      <alignment horizontal="center" vertical="center"/>
    </xf>
    <xf numFmtId="0" fontId="48" fillId="0" borderId="18" xfId="0" applyFont="1" applyBorder="1" applyAlignment="1">
      <alignment horizontal="center" vertical="center"/>
    </xf>
    <xf numFmtId="0" fontId="48" fillId="2" borderId="0" xfId="0" applyFont="1" applyFill="1" applyAlignment="1">
      <alignment horizontal="center" vertical="center"/>
    </xf>
    <xf numFmtId="0" fontId="48" fillId="0" borderId="20" xfId="0" applyFont="1" applyBorder="1" applyAlignment="1">
      <alignment horizontal="center" vertical="center"/>
    </xf>
    <xf numFmtId="166" fontId="48" fillId="7" borderId="15" xfId="0" applyNumberFormat="1" applyFont="1" applyFill="1" applyBorder="1"/>
    <xf numFmtId="0" fontId="83" fillId="0" borderId="0" xfId="0" applyFont="1"/>
    <xf numFmtId="16" fontId="48" fillId="0" borderId="18" xfId="0" applyNumberFormat="1" applyFont="1" applyBorder="1"/>
    <xf numFmtId="166" fontId="48" fillId="7" borderId="0" xfId="0" applyNumberFormat="1" applyFont="1" applyFill="1"/>
    <xf numFmtId="0" fontId="48" fillId="7" borderId="0" xfId="0" applyFont="1" applyFill="1"/>
    <xf numFmtId="0" fontId="51" fillId="7" borderId="0" xfId="0" applyFont="1" applyFill="1" applyAlignment="1">
      <alignment horizontal="fill" wrapText="1"/>
    </xf>
    <xf numFmtId="0" fontId="48" fillId="7" borderId="0" xfId="0" applyFont="1" applyFill="1" applyAlignment="1">
      <alignment horizontal="center"/>
    </xf>
    <xf numFmtId="0" fontId="48" fillId="0" borderId="0" xfId="0" applyFont="1"/>
    <xf numFmtId="0" fontId="48" fillId="0" borderId="0" xfId="0" applyFont="1" applyAlignment="1">
      <alignment horizontal="center"/>
    </xf>
    <xf numFmtId="0" fontId="51" fillId="0" borderId="0" xfId="0" applyFont="1"/>
    <xf numFmtId="165" fontId="51" fillId="0" borderId="0" xfId="0" applyNumberFormat="1" applyFont="1"/>
    <xf numFmtId="0" fontId="48" fillId="0" borderId="0" xfId="0" applyFont="1" applyAlignment="1">
      <alignment horizontal="center" vertical="center"/>
    </xf>
    <xf numFmtId="164" fontId="48" fillId="0" borderId="0" xfId="0" applyNumberFormat="1" applyFont="1" applyAlignment="1">
      <alignment horizontal="center"/>
    </xf>
    <xf numFmtId="165" fontId="48" fillId="0" borderId="0" xfId="0" applyNumberFormat="1" applyFont="1"/>
    <xf numFmtId="0" fontId="52" fillId="0" borderId="0" xfId="0" applyFont="1" applyAlignment="1">
      <alignment horizontal="center"/>
    </xf>
    <xf numFmtId="0" fontId="48" fillId="0" borderId="0" xfId="0" applyFont="1" applyAlignment="1">
      <alignment vertical="top"/>
    </xf>
    <xf numFmtId="0" fontId="84" fillId="0" borderId="0" xfId="0" applyFont="1"/>
    <xf numFmtId="16" fontId="11" fillId="0" borderId="0" xfId="0" applyNumberFormat="1" applyFont="1" applyAlignment="1">
      <alignment horizontal="center"/>
    </xf>
    <xf numFmtId="164" fontId="20" fillId="0" borderId="0" xfId="0" applyNumberFormat="1" applyFont="1"/>
    <xf numFmtId="16" fontId="48" fillId="0" borderId="7" xfId="0" applyNumberFormat="1" applyFont="1" applyBorder="1" applyAlignment="1">
      <alignment horizontal="center"/>
    </xf>
    <xf numFmtId="0" fontId="48" fillId="50" borderId="7" xfId="0" applyFont="1" applyFill="1" applyBorder="1" applyAlignment="1">
      <alignment horizontal="center"/>
    </xf>
    <xf numFmtId="0" fontId="48" fillId="56" borderId="7" xfId="0" applyFont="1" applyFill="1" applyBorder="1" applyAlignment="1">
      <alignment horizontal="center"/>
    </xf>
    <xf numFmtId="0" fontId="86" fillId="0" borderId="0" xfId="0" applyFont="1"/>
    <xf numFmtId="10" fontId="86" fillId="0" borderId="0" xfId="0" applyNumberFormat="1" applyFont="1"/>
    <xf numFmtId="0" fontId="54" fillId="58" borderId="0" xfId="0" applyFont="1" applyFill="1"/>
    <xf numFmtId="0" fontId="88" fillId="0" borderId="0" xfId="0" applyFont="1"/>
    <xf numFmtId="0" fontId="89" fillId="49" borderId="22" xfId="0" applyFont="1" applyFill="1" applyBorder="1" applyAlignment="1">
      <alignment horizontal="center"/>
    </xf>
    <xf numFmtId="0" fontId="89" fillId="49" borderId="23" xfId="0" applyFont="1" applyFill="1" applyBorder="1" applyAlignment="1">
      <alignment horizontal="center"/>
    </xf>
    <xf numFmtId="0" fontId="89" fillId="49" borderId="24" xfId="0" applyFont="1" applyFill="1" applyBorder="1" applyAlignment="1">
      <alignment horizontal="center"/>
    </xf>
    <xf numFmtId="0" fontId="89" fillId="49" borderId="25" xfId="0" applyFont="1" applyFill="1" applyBorder="1" applyAlignment="1">
      <alignment horizontal="center"/>
    </xf>
    <xf numFmtId="0" fontId="90" fillId="49" borderId="23" xfId="0" applyFont="1" applyFill="1" applyBorder="1" applyAlignment="1">
      <alignment horizontal="center"/>
    </xf>
    <xf numFmtId="0" fontId="90" fillId="49" borderId="23" xfId="0" applyFont="1" applyFill="1" applyBorder="1"/>
    <xf numFmtId="0" fontId="91" fillId="55" borderId="0" xfId="0" applyFont="1" applyFill="1"/>
    <xf numFmtId="0" fontId="87" fillId="50" borderId="0" xfId="0" applyFont="1" applyFill="1" applyAlignment="1">
      <alignment horizontal="center" vertical="center"/>
    </xf>
    <xf numFmtId="9" fontId="92" fillId="0" borderId="0" xfId="0" quotePrefix="1" applyNumberFormat="1" applyFont="1" applyAlignment="1">
      <alignment horizontal="center"/>
    </xf>
    <xf numFmtId="178" fontId="92" fillId="0" borderId="0" xfId="0" quotePrefix="1" applyNumberFormat="1" applyFont="1" applyAlignment="1">
      <alignment horizontal="center"/>
    </xf>
    <xf numFmtId="0" fontId="91" fillId="54" borderId="0" xfId="0" applyFont="1" applyFill="1" applyAlignment="1">
      <alignment horizontal="center" vertical="center"/>
    </xf>
    <xf numFmtId="0" fontId="93" fillId="0" borderId="0" xfId="0" quotePrefix="1" applyFont="1" applyAlignment="1">
      <alignment horizontal="center" vertical="center"/>
    </xf>
    <xf numFmtId="0" fontId="87" fillId="51" borderId="0" xfId="0" applyFont="1" applyFill="1" applyAlignment="1">
      <alignment horizontal="center" vertical="center"/>
    </xf>
    <xf numFmtId="0" fontId="84" fillId="58" borderId="0" xfId="0" applyFont="1" applyFill="1"/>
    <xf numFmtId="177" fontId="87" fillId="60" borderId="0" xfId="0" applyNumberFormat="1" applyFont="1" applyFill="1" applyAlignment="1">
      <alignment horizontal="center" vertical="center"/>
    </xf>
    <xf numFmtId="0" fontId="95" fillId="0" borderId="0" xfId="0" applyFont="1"/>
    <xf numFmtId="9" fontId="95" fillId="0" borderId="0" xfId="2" applyFont="1"/>
    <xf numFmtId="0" fontId="54" fillId="58" borderId="0" xfId="0" applyFont="1" applyFill="1" applyAlignment="1">
      <alignment horizontal="left" vertical="top"/>
    </xf>
    <xf numFmtId="0" fontId="84" fillId="37" borderId="0" xfId="0" applyFont="1" applyFill="1" applyAlignment="1">
      <alignment horizontal="center"/>
    </xf>
    <xf numFmtId="0" fontId="84" fillId="0" borderId="0" xfId="0" applyFont="1" applyAlignment="1">
      <alignment horizontal="center"/>
    </xf>
    <xf numFmtId="177" fontId="84" fillId="0" borderId="0" xfId="0" applyNumberFormat="1" applyFont="1" applyAlignment="1">
      <alignment horizontal="center"/>
    </xf>
    <xf numFmtId="0" fontId="84" fillId="0" borderId="0" xfId="0" applyFont="1" applyAlignment="1">
      <alignment horizontal="center" vertical="center"/>
    </xf>
    <xf numFmtId="178" fontId="84" fillId="0" borderId="0" xfId="0" applyNumberFormat="1" applyFont="1" applyAlignment="1">
      <alignment horizontal="center"/>
    </xf>
    <xf numFmtId="178" fontId="84" fillId="0" borderId="0" xfId="0" applyNumberFormat="1" applyFont="1"/>
    <xf numFmtId="9" fontId="84" fillId="0" borderId="0" xfId="0" applyNumberFormat="1" applyFont="1" applyAlignment="1">
      <alignment horizontal="center"/>
    </xf>
    <xf numFmtId="0" fontId="84" fillId="52" borderId="0" xfId="0" applyFont="1" applyFill="1" applyAlignment="1">
      <alignment horizontal="center"/>
    </xf>
    <xf numFmtId="0" fontId="48" fillId="2" borderId="15" xfId="0" applyFont="1" applyFill="1" applyBorder="1" applyAlignment="1">
      <alignment vertical="top"/>
    </xf>
    <xf numFmtId="0" fontId="7" fillId="3" borderId="20" xfId="0" applyFont="1" applyFill="1" applyBorder="1"/>
    <xf numFmtId="0" fontId="7" fillId="3" borderId="19" xfId="0" applyFont="1" applyFill="1" applyBorder="1"/>
    <xf numFmtId="2" fontId="48" fillId="0" borderId="7" xfId="0" applyNumberFormat="1" applyFont="1" applyBorder="1" applyAlignment="1">
      <alignment vertical="top"/>
    </xf>
    <xf numFmtId="164" fontId="48" fillId="0" borderId="7" xfId="0" applyNumberFormat="1" applyFont="1" applyBorder="1" applyAlignment="1">
      <alignment vertical="top"/>
    </xf>
    <xf numFmtId="164" fontId="48" fillId="2" borderId="15" xfId="0" applyNumberFormat="1" applyFont="1" applyFill="1" applyBorder="1" applyAlignment="1">
      <alignment vertical="top"/>
    </xf>
    <xf numFmtId="0" fontId="96" fillId="58" borderId="0" xfId="0" applyFont="1" applyFill="1" applyAlignment="1">
      <alignment horizontal="center"/>
    </xf>
    <xf numFmtId="0" fontId="96" fillId="58" borderId="0" xfId="0" applyFont="1" applyFill="1"/>
    <xf numFmtId="0" fontId="96" fillId="58" borderId="0" xfId="0" applyFont="1" applyFill="1" applyAlignment="1">
      <alignment horizontal="center" vertical="center"/>
    </xf>
    <xf numFmtId="0" fontId="54" fillId="59" borderId="0" xfId="0" applyFont="1" applyFill="1"/>
    <xf numFmtId="0" fontId="69" fillId="59" borderId="0" xfId="0" applyFont="1" applyFill="1"/>
    <xf numFmtId="0" fontId="89" fillId="49" borderId="23" xfId="0" applyFont="1" applyFill="1" applyBorder="1" applyAlignment="1">
      <alignment horizontal="left"/>
    </xf>
    <xf numFmtId="0" fontId="54" fillId="62" borderId="0" xfId="0" applyFont="1" applyFill="1"/>
    <xf numFmtId="0" fontId="54" fillId="63" borderId="0" xfId="0" applyFont="1" applyFill="1"/>
    <xf numFmtId="177" fontId="84" fillId="63" borderId="0" xfId="0" applyNumberFormat="1" applyFont="1" applyFill="1" applyAlignment="1">
      <alignment horizontal="center"/>
    </xf>
    <xf numFmtId="0" fontId="84" fillId="63" borderId="0" xfId="0" applyFont="1" applyFill="1" applyAlignment="1">
      <alignment horizontal="center"/>
    </xf>
    <xf numFmtId="0" fontId="93" fillId="63" borderId="0" xfId="0" quotePrefix="1" applyFont="1" applyFill="1" applyAlignment="1">
      <alignment horizontal="center" vertical="center"/>
    </xf>
    <xf numFmtId="0" fontId="89" fillId="49" borderId="23" xfId="0" applyFont="1" applyFill="1" applyBorder="1" applyAlignment="1">
      <alignment horizontal="left" vertical="top"/>
    </xf>
    <xf numFmtId="1" fontId="54" fillId="0" borderId="0" xfId="0" applyNumberFormat="1" applyFont="1"/>
    <xf numFmtId="0" fontId="48" fillId="0" borderId="7" xfId="0" applyFont="1" applyBorder="1" applyAlignment="1">
      <alignment horizontal="left" vertical="top" wrapText="1"/>
    </xf>
    <xf numFmtId="0" fontId="84" fillId="39" borderId="0" xfId="0" applyFont="1" applyFill="1" applyAlignment="1">
      <alignment horizontal="center"/>
    </xf>
    <xf numFmtId="0" fontId="51" fillId="0" borderId="7" xfId="0" applyFont="1" applyBorder="1" applyAlignment="1">
      <alignment horizontal="left" vertical="top" wrapText="1"/>
    </xf>
    <xf numFmtId="0" fontId="45" fillId="2" borderId="0" xfId="0" applyFont="1" applyFill="1" applyAlignment="1">
      <alignment horizontal="left" vertical="top" wrapText="1"/>
    </xf>
    <xf numFmtId="0" fontId="48" fillId="0" borderId="15" xfId="0" applyFont="1" applyBorder="1" applyAlignment="1">
      <alignment horizontal="left" vertical="top" wrapText="1"/>
    </xf>
    <xf numFmtId="0" fontId="53" fillId="0" borderId="7" xfId="0" applyFont="1" applyBorder="1" applyAlignment="1">
      <alignment horizontal="left" vertical="top" wrapText="1"/>
    </xf>
    <xf numFmtId="0" fontId="48" fillId="0" borderId="18" xfId="0" applyFont="1" applyBorder="1" applyAlignment="1">
      <alignment horizontal="left" vertical="top" wrapText="1"/>
    </xf>
    <xf numFmtId="0" fontId="48" fillId="2" borderId="0" xfId="0" applyFont="1" applyFill="1" applyAlignment="1">
      <alignment horizontal="left" vertical="top" wrapText="1"/>
    </xf>
    <xf numFmtId="0" fontId="56" fillId="9" borderId="18" xfId="0" applyFont="1" applyFill="1" applyBorder="1" applyAlignment="1">
      <alignment horizontal="left" vertical="top" wrapText="1"/>
    </xf>
    <xf numFmtId="0" fontId="48" fillId="0" borderId="20" xfId="0" applyFont="1" applyBorder="1" applyAlignment="1">
      <alignment horizontal="left" vertical="top" wrapText="1"/>
    </xf>
    <xf numFmtId="0" fontId="56" fillId="46" borderId="18" xfId="0" applyFont="1" applyFill="1" applyBorder="1" applyAlignment="1">
      <alignment horizontal="left" vertical="top" wrapText="1"/>
    </xf>
    <xf numFmtId="0" fontId="51" fillId="0" borderId="18" xfId="0" applyFont="1" applyBorder="1" applyAlignment="1">
      <alignment horizontal="left" vertical="top" wrapText="1"/>
    </xf>
    <xf numFmtId="0" fontId="0" fillId="0" borderId="0" xfId="0" applyAlignment="1">
      <alignment horizontal="left" vertical="top" wrapText="1"/>
    </xf>
    <xf numFmtId="0" fontId="48" fillId="64" borderId="7" xfId="0" applyFont="1" applyFill="1" applyBorder="1" applyAlignment="1">
      <alignment horizontal="center"/>
    </xf>
    <xf numFmtId="0" fontId="48" fillId="0" borderId="11" xfId="0" applyFont="1" applyBorder="1" applyAlignment="1">
      <alignment horizontal="left" vertical="top" wrapText="1"/>
    </xf>
    <xf numFmtId="0" fontId="48" fillId="0" borderId="17" xfId="0" applyFont="1" applyBorder="1" applyAlignment="1">
      <alignment horizontal="left" vertical="top" wrapText="1"/>
    </xf>
    <xf numFmtId="0" fontId="50" fillId="6" borderId="7" xfId="0" applyFont="1" applyFill="1" applyBorder="1" applyAlignment="1">
      <alignment horizontal="left" vertical="top" wrapText="1"/>
    </xf>
    <xf numFmtId="0" fontId="54" fillId="6" borderId="7" xfId="0" applyFont="1" applyFill="1" applyBorder="1" applyAlignment="1">
      <alignment horizontal="left" vertical="top" wrapText="1"/>
    </xf>
    <xf numFmtId="0" fontId="55" fillId="6" borderId="7" xfId="0" applyFont="1" applyFill="1" applyBorder="1" applyAlignment="1">
      <alignment horizontal="left" vertical="top" wrapText="1"/>
    </xf>
    <xf numFmtId="0" fontId="47" fillId="0" borderId="7" xfId="0" applyFont="1" applyBorder="1" applyAlignment="1">
      <alignment horizontal="left" vertical="top" wrapText="1"/>
    </xf>
    <xf numFmtId="0" fontId="48" fillId="0" borderId="9" xfId="0" applyFont="1" applyBorder="1" applyAlignment="1">
      <alignment horizontal="left" vertical="top" wrapText="1"/>
    </xf>
    <xf numFmtId="0" fontId="57" fillId="17" borderId="7" xfId="0" applyFont="1" applyFill="1" applyBorder="1" applyAlignment="1">
      <alignment horizontal="left" vertical="top" wrapText="1"/>
    </xf>
    <xf numFmtId="0" fontId="48" fillId="0" borderId="8" xfId="0" applyFont="1" applyBorder="1" applyAlignment="1">
      <alignment horizontal="left" vertical="top" wrapText="1"/>
    </xf>
    <xf numFmtId="0" fontId="56" fillId="9" borderId="7" xfId="0" applyFont="1" applyFill="1" applyBorder="1" applyAlignment="1">
      <alignment horizontal="left" vertical="top" wrapText="1"/>
    </xf>
    <xf numFmtId="0" fontId="56" fillId="9" borderId="15" xfId="0" applyFont="1" applyFill="1" applyBorder="1" applyAlignment="1">
      <alignment horizontal="left" vertical="top" wrapText="1"/>
    </xf>
    <xf numFmtId="0" fontId="82" fillId="0" borderId="0" xfId="0" applyFont="1" applyAlignment="1">
      <alignment horizontal="left" vertical="top" wrapText="1"/>
    </xf>
    <xf numFmtId="0" fontId="73" fillId="0" borderId="0" xfId="0" applyFont="1" applyAlignment="1">
      <alignment horizontal="left" vertical="top" wrapText="1"/>
    </xf>
    <xf numFmtId="0" fontId="84" fillId="0" borderId="0" xfId="0" applyFont="1" applyAlignment="1">
      <alignment horizontal="left" vertical="top" wrapText="1"/>
    </xf>
    <xf numFmtId="0" fontId="48" fillId="46" borderId="7" xfId="0" applyFont="1" applyFill="1" applyBorder="1" applyAlignment="1">
      <alignment horizontal="left" vertical="top" wrapText="1"/>
    </xf>
    <xf numFmtId="0" fontId="85" fillId="2" borderId="0" xfId="0" applyFont="1" applyFill="1" applyAlignment="1">
      <alignment horizontal="left" vertical="top" wrapText="1"/>
    </xf>
    <xf numFmtId="0" fontId="48" fillId="65" borderId="7" xfId="0" applyFont="1" applyFill="1" applyBorder="1" applyAlignment="1">
      <alignment horizontal="center"/>
    </xf>
    <xf numFmtId="0" fontId="54" fillId="66" borderId="0" xfId="0" applyFont="1" applyFill="1"/>
    <xf numFmtId="0" fontId="99" fillId="66" borderId="0" xfId="0" applyFont="1" applyFill="1" applyAlignment="1">
      <alignment horizontal="center" vertical="center"/>
    </xf>
    <xf numFmtId="0" fontId="98" fillId="66" borderId="0" xfId="0" applyFont="1" applyFill="1" applyAlignment="1">
      <alignment horizontal="center" vertical="center"/>
    </xf>
    <xf numFmtId="0" fontId="97" fillId="66" borderId="0" xfId="0" applyFont="1" applyFill="1" applyAlignment="1">
      <alignment vertical="center"/>
    </xf>
    <xf numFmtId="0" fontId="99" fillId="66" borderId="0" xfId="0" applyFont="1" applyFill="1" applyAlignment="1">
      <alignment horizontal="left" vertical="center"/>
    </xf>
    <xf numFmtId="0" fontId="40" fillId="66" borderId="0" xfId="0" applyFont="1" applyFill="1" applyAlignment="1">
      <alignment horizontal="center" vertical="center"/>
    </xf>
    <xf numFmtId="0" fontId="49" fillId="66" borderId="0" xfId="0" applyFont="1" applyFill="1" applyAlignment="1">
      <alignment horizontal="center" vertical="center"/>
    </xf>
    <xf numFmtId="0" fontId="46" fillId="66" borderId="0" xfId="0" applyFont="1" applyFill="1" applyAlignment="1">
      <alignment horizontal="center" vertical="center"/>
    </xf>
    <xf numFmtId="2" fontId="97" fillId="66" borderId="0" xfId="0" applyNumberFormat="1" applyFont="1" applyFill="1" applyAlignment="1">
      <alignment horizontal="center" vertical="center"/>
    </xf>
    <xf numFmtId="2" fontId="95" fillId="0" borderId="0" xfId="0" applyNumberFormat="1" applyFont="1"/>
    <xf numFmtId="177" fontId="95" fillId="0" borderId="0" xfId="0" applyNumberFormat="1" applyFont="1"/>
    <xf numFmtId="177" fontId="54" fillId="0" borderId="0" xfId="0" applyNumberFormat="1" applyFont="1"/>
    <xf numFmtId="0" fontId="68" fillId="59" borderId="0" xfId="0" applyFont="1" applyFill="1" applyAlignment="1">
      <alignment vertical="center"/>
    </xf>
    <xf numFmtId="0" fontId="54" fillId="59" borderId="0" xfId="0" applyFont="1" applyFill="1" applyAlignment="1">
      <alignment horizontal="center"/>
    </xf>
    <xf numFmtId="0" fontId="68" fillId="59" borderId="0" xfId="0" applyFont="1" applyFill="1"/>
    <xf numFmtId="178" fontId="54" fillId="59" borderId="0" xfId="0" applyNumberFormat="1" applyFont="1" applyFill="1"/>
    <xf numFmtId="164" fontId="54" fillId="59" borderId="0" xfId="0" applyNumberFormat="1" applyFont="1" applyFill="1" applyAlignment="1">
      <alignment vertical="center"/>
    </xf>
    <xf numFmtId="0" fontId="54" fillId="59" borderId="0" xfId="0" applyFont="1" applyFill="1" applyAlignment="1">
      <alignment horizontal="center" vertical="center"/>
    </xf>
    <xf numFmtId="0" fontId="54" fillId="59" borderId="0" xfId="0" applyFont="1" applyFill="1" applyAlignment="1">
      <alignment vertical="center"/>
    </xf>
    <xf numFmtId="0" fontId="0" fillId="59" borderId="0" xfId="0" applyFill="1"/>
    <xf numFmtId="2" fontId="84" fillId="0" borderId="0" xfId="0" applyNumberFormat="1" applyFont="1"/>
    <xf numFmtId="178" fontId="68" fillId="67" borderId="0" xfId="0" applyNumberFormat="1" applyFont="1" applyFill="1" applyAlignment="1">
      <alignment horizontal="center" vertical="center"/>
    </xf>
    <xf numFmtId="2" fontId="54" fillId="0" borderId="0" xfId="0" applyNumberFormat="1" applyFont="1"/>
    <xf numFmtId="166" fontId="48" fillId="7" borderId="10" xfId="0" applyNumberFormat="1" applyFont="1" applyFill="1" applyBorder="1" applyAlignment="1">
      <alignment horizontal="left" vertical="top" wrapText="1"/>
    </xf>
    <xf numFmtId="0" fontId="51" fillId="7" borderId="18" xfId="0" applyFont="1" applyFill="1" applyBorder="1" applyAlignment="1">
      <alignment horizontal="fill"/>
    </xf>
    <xf numFmtId="0" fontId="48" fillId="0" borderId="18" xfId="0" applyFont="1" applyBorder="1" applyAlignment="1">
      <alignment horizontal="left" vertical="top"/>
    </xf>
    <xf numFmtId="0" fontId="48" fillId="0" borderId="9" xfId="0" applyFont="1" applyBorder="1" applyAlignment="1">
      <alignment horizontal="left" vertical="top"/>
    </xf>
    <xf numFmtId="0" fontId="51" fillId="7" borderId="7" xfId="1" applyFont="1" applyFill="1" applyBorder="1" applyAlignment="1">
      <alignment horizontal="fill"/>
    </xf>
    <xf numFmtId="0" fontId="48" fillId="0" borderId="7" xfId="0" applyFont="1" applyBorder="1" applyAlignment="1">
      <alignment horizontal="left" vertical="top"/>
    </xf>
    <xf numFmtId="0" fontId="48" fillId="0" borderId="17" xfId="0" applyFont="1" applyBorder="1" applyAlignment="1">
      <alignment horizontal="left" vertical="top"/>
    </xf>
    <xf numFmtId="0" fontId="51" fillId="0" borderId="18" xfId="0" applyFont="1" applyBorder="1" applyAlignment="1">
      <alignment horizontal="left" vertical="top"/>
    </xf>
    <xf numFmtId="0" fontId="54" fillId="54" borderId="0" xfId="0" applyFont="1" applyFill="1"/>
    <xf numFmtId="164" fontId="54" fillId="54" borderId="0" xfId="0" applyNumberFormat="1" applyFont="1" applyFill="1"/>
    <xf numFmtId="0" fontId="48" fillId="68" borderId="7" xfId="0" applyFont="1" applyFill="1" applyBorder="1" applyAlignment="1">
      <alignment horizontal="center"/>
    </xf>
    <xf numFmtId="0" fontId="48" fillId="69" borderId="7" xfId="0" applyFont="1" applyFill="1" applyBorder="1" applyAlignment="1">
      <alignment horizontal="center"/>
    </xf>
    <xf numFmtId="0" fontId="51" fillId="0" borderId="7" xfId="0" applyFont="1" applyBorder="1" applyAlignment="1">
      <alignment vertical="top" wrapText="1"/>
    </xf>
    <xf numFmtId="9" fontId="54" fillId="0" borderId="0" xfId="2" applyFont="1"/>
    <xf numFmtId="179" fontId="54" fillId="0" borderId="0" xfId="2" applyNumberFormat="1" applyFont="1"/>
    <xf numFmtId="0" fontId="48" fillId="70" borderId="7" xfId="0" applyFont="1" applyFill="1" applyBorder="1" applyAlignment="1">
      <alignment horizontal="center"/>
    </xf>
    <xf numFmtId="0" fontId="51" fillId="0" borderId="7" xfId="0" applyFont="1" applyBorder="1" applyAlignment="1">
      <alignment horizontal="center" vertical="top" wrapText="1"/>
    </xf>
    <xf numFmtId="0" fontId="48" fillId="0" borderId="7" xfId="0" applyFont="1" applyBorder="1" applyAlignment="1">
      <alignment vertical="top" wrapText="1"/>
    </xf>
    <xf numFmtId="0" fontId="51" fillId="7" borderId="7" xfId="0" applyFont="1" applyFill="1" applyBorder="1" applyAlignment="1">
      <alignment horizontal="left" vertical="top" wrapText="1"/>
    </xf>
    <xf numFmtId="0" fontId="51" fillId="7" borderId="7" xfId="0" applyFont="1" applyFill="1" applyBorder="1" applyAlignment="1">
      <alignment horizontal="left" vertical="center" wrapText="1"/>
    </xf>
    <xf numFmtId="0" fontId="48" fillId="71" borderId="7" xfId="0" applyFont="1" applyFill="1" applyBorder="1" applyAlignment="1">
      <alignment horizontal="center"/>
    </xf>
    <xf numFmtId="0" fontId="48" fillId="72" borderId="7" xfId="0" applyFont="1" applyFill="1" applyBorder="1" applyAlignment="1">
      <alignment horizontal="center"/>
    </xf>
    <xf numFmtId="0" fontId="48" fillId="73" borderId="7" xfId="0" applyFont="1" applyFill="1" applyBorder="1" applyAlignment="1">
      <alignment horizontal="center"/>
    </xf>
    <xf numFmtId="0" fontId="48" fillId="74" borderId="7" xfId="0" applyFont="1" applyFill="1" applyBorder="1" applyAlignment="1">
      <alignment horizontal="center"/>
    </xf>
    <xf numFmtId="0" fontId="48" fillId="75" borderId="7" xfId="0" applyFont="1" applyFill="1" applyBorder="1" applyAlignment="1">
      <alignment horizontal="center"/>
    </xf>
    <xf numFmtId="164" fontId="79" fillId="58" borderId="0" xfId="0" applyNumberFormat="1" applyFont="1" applyFill="1"/>
    <xf numFmtId="3" fontId="48" fillId="0" borderId="7" xfId="0" applyNumberFormat="1" applyFont="1" applyBorder="1" applyAlignment="1">
      <alignment horizontal="left" vertical="top" wrapText="1"/>
    </xf>
    <xf numFmtId="16" fontId="48" fillId="7" borderId="7" xfId="0" applyNumberFormat="1" applyFont="1" applyFill="1" applyBorder="1"/>
    <xf numFmtId="0" fontId="48" fillId="76" borderId="7" xfId="0" applyFont="1" applyFill="1" applyBorder="1" applyAlignment="1">
      <alignment horizontal="center"/>
    </xf>
    <xf numFmtId="0" fontId="48" fillId="77" borderId="7" xfId="0" applyFont="1" applyFill="1" applyBorder="1" applyAlignment="1">
      <alignment horizontal="center"/>
    </xf>
    <xf numFmtId="0" fontId="48" fillId="78" borderId="7" xfId="0" applyFont="1" applyFill="1" applyBorder="1" applyAlignment="1">
      <alignment horizontal="center"/>
    </xf>
    <xf numFmtId="16" fontId="60" fillId="2" borderId="0" xfId="0" applyNumberFormat="1" applyFont="1" applyFill="1"/>
    <xf numFmtId="16" fontId="48" fillId="0" borderId="7" xfId="0" applyNumberFormat="1" applyFont="1" applyBorder="1" applyAlignment="1">
      <alignment horizontal="left" vertical="top" wrapText="1"/>
    </xf>
    <xf numFmtId="0" fontId="48" fillId="71" borderId="7" xfId="0" applyFont="1" applyFill="1" applyBorder="1" applyAlignment="1">
      <alignment horizontal="left" vertical="top" wrapText="1"/>
    </xf>
    <xf numFmtId="164" fontId="48" fillId="58" borderId="15" xfId="0" applyNumberFormat="1" applyFont="1" applyFill="1" applyBorder="1" applyAlignment="1">
      <alignment horizontal="center"/>
    </xf>
    <xf numFmtId="164" fontId="48" fillId="58" borderId="7" xfId="0" applyNumberFormat="1" applyFont="1" applyFill="1" applyBorder="1" applyAlignment="1">
      <alignment horizontal="center"/>
    </xf>
    <xf numFmtId="0" fontId="48" fillId="58" borderId="7" xfId="0" applyFont="1" applyFill="1" applyBorder="1" applyAlignment="1">
      <alignment horizontal="center"/>
    </xf>
    <xf numFmtId="164" fontId="48" fillId="58" borderId="18" xfId="0" applyNumberFormat="1" applyFont="1" applyFill="1" applyBorder="1" applyAlignment="1">
      <alignment horizontal="center"/>
    </xf>
    <xf numFmtId="0" fontId="48" fillId="58" borderId="18" xfId="0" applyFont="1" applyFill="1" applyBorder="1" applyAlignment="1">
      <alignment horizontal="center"/>
    </xf>
    <xf numFmtId="164" fontId="48" fillId="58" borderId="0" xfId="0" applyNumberFormat="1" applyFont="1" applyFill="1" applyAlignment="1">
      <alignment horizontal="center"/>
    </xf>
    <xf numFmtId="0" fontId="48" fillId="58" borderId="15" xfId="0" applyFont="1" applyFill="1" applyBorder="1" applyAlignment="1">
      <alignment horizontal="center"/>
    </xf>
    <xf numFmtId="0" fontId="48" fillId="58" borderId="0" xfId="0" applyFont="1" applyFill="1"/>
    <xf numFmtId="164" fontId="48" fillId="58" borderId="20" xfId="0" applyNumberFormat="1" applyFont="1" applyFill="1" applyBorder="1" applyAlignment="1">
      <alignment horizontal="center"/>
    </xf>
    <xf numFmtId="0" fontId="48" fillId="58" borderId="20" xfId="0" applyFont="1" applyFill="1" applyBorder="1" applyAlignment="1">
      <alignment horizontal="center"/>
    </xf>
    <xf numFmtId="0" fontId="0" fillId="66" borderId="0" xfId="0" applyFill="1"/>
    <xf numFmtId="0" fontId="101" fillId="66" borderId="0" xfId="0" applyFont="1" applyFill="1"/>
    <xf numFmtId="0" fontId="102" fillId="0" borderId="0" xfId="0" quotePrefix="1" applyFont="1" applyAlignment="1">
      <alignment horizontal="center" vertical="center"/>
    </xf>
    <xf numFmtId="9" fontId="92" fillId="0" borderId="0" xfId="2" quotePrefix="1" applyFont="1" applyAlignment="1">
      <alignment horizontal="center"/>
    </xf>
    <xf numFmtId="0" fontId="103" fillId="59" borderId="0" xfId="0" applyFont="1" applyFill="1"/>
    <xf numFmtId="0" fontId="45" fillId="59" borderId="0" xfId="0" applyFont="1" applyFill="1"/>
    <xf numFmtId="0" fontId="7" fillId="79" borderId="20" xfId="0" applyFont="1" applyFill="1" applyBorder="1"/>
    <xf numFmtId="0" fontId="7" fillId="80" borderId="20" xfId="0" applyFont="1" applyFill="1" applyBorder="1"/>
    <xf numFmtId="0" fontId="104" fillId="59" borderId="0" xfId="0" applyFont="1" applyFill="1"/>
    <xf numFmtId="0" fontId="45" fillId="81" borderId="7" xfId="0" applyFont="1" applyFill="1" applyBorder="1" applyAlignment="1">
      <alignment horizontal="left" vertical="top" wrapText="1"/>
    </xf>
    <xf numFmtId="0" fontId="45" fillId="81" borderId="18" xfId="0" applyFont="1" applyFill="1" applyBorder="1" applyAlignment="1">
      <alignment horizontal="left" vertical="top" wrapText="1"/>
    </xf>
    <xf numFmtId="0" fontId="56" fillId="82" borderId="18" xfId="0" applyFont="1" applyFill="1" applyBorder="1" applyAlignment="1">
      <alignment horizontal="left" vertical="top" wrapText="1"/>
    </xf>
    <xf numFmtId="0" fontId="46" fillId="59" borderId="0" xfId="0" applyFont="1" applyFill="1"/>
    <xf numFmtId="0" fontId="105" fillId="59" borderId="0" xfId="0" applyFont="1" applyFill="1"/>
    <xf numFmtId="0" fontId="106" fillId="66" borderId="30" xfId="0" applyFont="1" applyFill="1" applyBorder="1" applyAlignment="1">
      <alignment horizontal="center" vertical="center"/>
    </xf>
    <xf numFmtId="0" fontId="106" fillId="61" borderId="29" xfId="0" applyFont="1" applyFill="1" applyBorder="1" applyAlignment="1">
      <alignment horizontal="center" vertical="center"/>
    </xf>
    <xf numFmtId="0" fontId="107" fillId="61" borderId="29" xfId="0" applyFont="1" applyFill="1" applyBorder="1" applyAlignment="1">
      <alignment horizontal="left" vertical="top" wrapText="1"/>
    </xf>
    <xf numFmtId="0" fontId="107" fillId="61" borderId="29" xfId="0" applyFont="1" applyFill="1" applyBorder="1"/>
    <xf numFmtId="0" fontId="108" fillId="83" borderId="29" xfId="0" applyFont="1" applyFill="1" applyBorder="1" applyAlignment="1">
      <alignment horizontal="center" vertical="center"/>
    </xf>
    <xf numFmtId="0" fontId="108" fillId="84" borderId="29" xfId="0" applyFont="1" applyFill="1" applyBorder="1" applyAlignment="1">
      <alignment horizontal="center" vertical="center"/>
    </xf>
    <xf numFmtId="164" fontId="109" fillId="0" borderId="7" xfId="0" applyNumberFormat="1" applyFont="1" applyBorder="1"/>
    <xf numFmtId="164" fontId="110" fillId="6" borderId="7" xfId="0" applyNumberFormat="1" applyFont="1" applyFill="1" applyBorder="1"/>
    <xf numFmtId="164" fontId="109" fillId="0" borderId="0" xfId="0" applyNumberFormat="1" applyFont="1"/>
    <xf numFmtId="164" fontId="111" fillId="2" borderId="14" xfId="1" applyNumberFormat="1" applyFont="1" applyFill="1" applyBorder="1" applyAlignment="1">
      <alignment horizontal="right" vertical="center"/>
    </xf>
    <xf numFmtId="2" fontId="113" fillId="0" borderId="0" xfId="0" applyNumberFormat="1" applyFont="1" applyAlignment="1">
      <alignment horizontal="right"/>
    </xf>
    <xf numFmtId="164" fontId="114" fillId="0" borderId="0" xfId="0" applyNumberFormat="1" applyFont="1"/>
    <xf numFmtId="0" fontId="50" fillId="0" borderId="0" xfId="0" applyFont="1"/>
    <xf numFmtId="0" fontId="56" fillId="81" borderId="18" xfId="0" applyFont="1" applyFill="1" applyBorder="1" applyAlignment="1">
      <alignment horizontal="left" vertical="top" wrapText="1"/>
    </xf>
    <xf numFmtId="16" fontId="118" fillId="0" borderId="0" xfId="0" applyNumberFormat="1" applyFont="1"/>
    <xf numFmtId="0" fontId="120" fillId="84" borderId="29" xfId="0" applyFont="1" applyFill="1" applyBorder="1" applyAlignment="1">
      <alignment horizontal="center" vertical="center"/>
    </xf>
    <xf numFmtId="0" fontId="121" fillId="66" borderId="30" xfId="0" applyFont="1" applyFill="1" applyBorder="1" applyAlignment="1">
      <alignment horizontal="center" vertical="center"/>
    </xf>
    <xf numFmtId="0" fontId="122" fillId="61" borderId="29" xfId="0" applyFont="1" applyFill="1" applyBorder="1"/>
    <xf numFmtId="0" fontId="107" fillId="66" borderId="30" xfId="0" applyFont="1" applyFill="1" applyBorder="1" applyAlignment="1">
      <alignment horizontal="center" vertical="center"/>
    </xf>
    <xf numFmtId="0" fontId="106" fillId="61" borderId="29" xfId="0" applyFont="1" applyFill="1" applyBorder="1"/>
    <xf numFmtId="0" fontId="120" fillId="83" borderId="29" xfId="0" applyFont="1" applyFill="1" applyBorder="1" applyAlignment="1">
      <alignment horizontal="center" vertical="center"/>
    </xf>
    <xf numFmtId="0" fontId="123" fillId="85" borderId="29" xfId="0" applyFont="1" applyFill="1" applyBorder="1"/>
    <xf numFmtId="1" fontId="124" fillId="66" borderId="29" xfId="0" applyNumberFormat="1" applyFont="1" applyFill="1" applyBorder="1" applyAlignment="1">
      <alignment horizontal="center" vertical="center"/>
    </xf>
    <xf numFmtId="0" fontId="123" fillId="0" borderId="29" xfId="0" applyFont="1" applyBorder="1"/>
    <xf numFmtId="1" fontId="125" fillId="66" borderId="29" xfId="0" applyNumberFormat="1" applyFont="1" applyFill="1" applyBorder="1" applyAlignment="1">
      <alignment horizontal="center" vertical="center"/>
    </xf>
    <xf numFmtId="164" fontId="123" fillId="0" borderId="29" xfId="0" applyNumberFormat="1" applyFont="1" applyBorder="1"/>
    <xf numFmtId="1" fontId="126" fillId="66" borderId="29" xfId="0" applyNumberFormat="1" applyFont="1" applyFill="1" applyBorder="1" applyAlignment="1">
      <alignment horizontal="center" vertical="center"/>
    </xf>
    <xf numFmtId="164" fontId="123" fillId="0" borderId="31" xfId="0" applyNumberFormat="1" applyFont="1" applyBorder="1"/>
    <xf numFmtId="0" fontId="10" fillId="0" borderId="21" xfId="0" applyFont="1" applyBorder="1" applyAlignment="1">
      <alignment horizontal="left" vertical="top" wrapText="1"/>
    </xf>
    <xf numFmtId="0" fontId="51" fillId="0" borderId="17" xfId="0" applyFont="1" applyBorder="1" applyAlignment="1">
      <alignment horizontal="left" vertical="top" wrapText="1"/>
    </xf>
    <xf numFmtId="0" fontId="68" fillId="0" borderId="18" xfId="0" applyFont="1" applyBorder="1" applyAlignment="1">
      <alignment horizontal="left" vertical="top" wrapText="1"/>
    </xf>
    <xf numFmtId="0" fontId="68" fillId="0" borderId="7" xfId="0" applyFont="1" applyBorder="1" applyAlignment="1">
      <alignment horizontal="left" vertical="top" wrapText="1"/>
    </xf>
    <xf numFmtId="0" fontId="54" fillId="0" borderId="18" xfId="0" applyFont="1" applyBorder="1" applyAlignment="1">
      <alignment horizontal="left" vertical="top" wrapText="1"/>
    </xf>
    <xf numFmtId="0" fontId="128" fillId="0" borderId="0" xfId="0" applyFont="1" applyAlignment="1">
      <alignment vertical="center"/>
    </xf>
    <xf numFmtId="0" fontId="48" fillId="63" borderId="7" xfId="0" applyFont="1" applyFill="1" applyBorder="1" applyAlignment="1">
      <alignment horizontal="center"/>
    </xf>
    <xf numFmtId="9" fontId="54" fillId="0" borderId="18" xfId="0" applyNumberFormat="1" applyFont="1" applyBorder="1" applyAlignment="1">
      <alignment horizontal="left" vertical="top" wrapText="1"/>
    </xf>
    <xf numFmtId="9" fontId="68" fillId="0" borderId="18" xfId="0" applyNumberFormat="1" applyFont="1" applyBorder="1" applyAlignment="1">
      <alignment horizontal="left" vertical="top" wrapText="1"/>
    </xf>
    <xf numFmtId="0" fontId="9" fillId="5" borderId="0" xfId="0" applyFont="1" applyFill="1" applyAlignment="1">
      <alignment horizontal="left" vertical="top" wrapText="1"/>
    </xf>
    <xf numFmtId="0" fontId="129" fillId="0" borderId="18" xfId="0" applyFont="1" applyBorder="1" applyAlignment="1">
      <alignment horizontal="left" vertical="top" wrapText="1"/>
    </xf>
    <xf numFmtId="0" fontId="48" fillId="86" borderId="7" xfId="0" applyFont="1" applyFill="1" applyBorder="1" applyAlignment="1">
      <alignment horizontal="center"/>
    </xf>
    <xf numFmtId="0" fontId="48" fillId="0" borderId="7" xfId="0" applyFont="1" applyBorder="1" applyAlignment="1">
      <alignment horizontal="center" wrapText="1"/>
    </xf>
    <xf numFmtId="0" fontId="48" fillId="87" borderId="7" xfId="0" applyFont="1" applyFill="1" applyBorder="1" applyAlignment="1">
      <alignment horizontal="center"/>
    </xf>
    <xf numFmtId="0" fontId="48" fillId="88" borderId="7" xfId="0" applyFont="1" applyFill="1" applyBorder="1" applyAlignment="1">
      <alignment horizontal="center"/>
    </xf>
    <xf numFmtId="0" fontId="54" fillId="0" borderId="7" xfId="0" applyFont="1" applyBorder="1" applyAlignment="1">
      <alignment horizontal="left" vertical="top" wrapText="1"/>
    </xf>
    <xf numFmtId="0" fontId="45" fillId="81" borderId="9" xfId="0" applyFont="1" applyFill="1" applyBorder="1" applyAlignment="1">
      <alignment horizontal="left" vertical="top" wrapText="1"/>
    </xf>
    <xf numFmtId="0" fontId="56" fillId="46" borderId="10" xfId="0" applyFont="1" applyFill="1" applyBorder="1" applyAlignment="1">
      <alignment horizontal="left" vertical="top" wrapText="1"/>
    </xf>
    <xf numFmtId="0" fontId="68" fillId="47" borderId="7" xfId="0" applyFont="1" applyFill="1" applyBorder="1" applyAlignment="1">
      <alignment horizontal="left" vertical="top" wrapText="1"/>
    </xf>
    <xf numFmtId="0" fontId="54" fillId="0" borderId="20" xfId="0" applyFont="1" applyBorder="1" applyAlignment="1">
      <alignment horizontal="left" vertical="top" wrapText="1"/>
    </xf>
    <xf numFmtId="0" fontId="54" fillId="58" borderId="32" xfId="0" applyFont="1" applyFill="1" applyBorder="1" applyAlignment="1">
      <alignment horizontal="left" vertical="top" wrapText="1"/>
    </xf>
    <xf numFmtId="0" fontId="130" fillId="58" borderId="32" xfId="0" applyFont="1" applyFill="1" applyBorder="1" applyAlignment="1">
      <alignment horizontal="left" vertical="top" wrapText="1"/>
    </xf>
    <xf numFmtId="0" fontId="131" fillId="0" borderId="0" xfId="0" applyFont="1"/>
    <xf numFmtId="0" fontId="48" fillId="89" borderId="7" xfId="0" applyFont="1" applyFill="1" applyBorder="1" applyAlignment="1">
      <alignment horizontal="center"/>
    </xf>
    <xf numFmtId="0" fontId="48" fillId="90" borderId="7" xfId="0" applyFont="1" applyFill="1" applyBorder="1" applyAlignment="1">
      <alignment horizontal="center"/>
    </xf>
    <xf numFmtId="0" fontId="48" fillId="91" borderId="7" xfId="0" applyFont="1" applyFill="1" applyBorder="1" applyAlignment="1">
      <alignment horizontal="center"/>
    </xf>
    <xf numFmtId="0" fontId="48" fillId="92" borderId="7" xfId="0" applyFont="1" applyFill="1" applyBorder="1" applyAlignment="1">
      <alignment horizontal="center"/>
    </xf>
    <xf numFmtId="0" fontId="48" fillId="93" borderId="7" xfId="0" applyFont="1" applyFill="1" applyBorder="1" applyAlignment="1">
      <alignment horizontal="center"/>
    </xf>
    <xf numFmtId="0" fontId="132" fillId="0" borderId="0" xfId="0" applyFont="1"/>
    <xf numFmtId="0" fontId="68" fillId="76" borderId="18" xfId="0" applyFont="1" applyFill="1" applyBorder="1" applyAlignment="1">
      <alignment horizontal="left" vertical="top" wrapText="1"/>
    </xf>
    <xf numFmtId="0" fontId="68" fillId="47" borderId="18" xfId="0" applyFont="1" applyFill="1" applyBorder="1" applyAlignment="1">
      <alignment horizontal="left" vertical="top" wrapText="1"/>
    </xf>
    <xf numFmtId="0" fontId="48" fillId="94" borderId="7" xfId="0" applyFont="1" applyFill="1" applyBorder="1" applyAlignment="1">
      <alignment horizontal="center"/>
    </xf>
    <xf numFmtId="0" fontId="133" fillId="0" borderId="0" xfId="0" applyFont="1"/>
    <xf numFmtId="0" fontId="54" fillId="63" borderId="18" xfId="0" applyFont="1" applyFill="1" applyBorder="1" applyAlignment="1">
      <alignment horizontal="left" vertical="top" wrapText="1"/>
    </xf>
    <xf numFmtId="0" fontId="45" fillId="95" borderId="18" xfId="0" applyFont="1" applyFill="1" applyBorder="1" applyAlignment="1">
      <alignment horizontal="left" vertical="top" wrapText="1"/>
    </xf>
    <xf numFmtId="0" fontId="45" fillId="96" borderId="18" xfId="0" applyFont="1" applyFill="1" applyBorder="1" applyAlignment="1">
      <alignment horizontal="left" vertical="top" wrapText="1"/>
    </xf>
    <xf numFmtId="0" fontId="15" fillId="0" borderId="0" xfId="0" applyFont="1" applyAlignment="1">
      <alignment horizontal="left" vertical="top" wrapText="1"/>
    </xf>
    <xf numFmtId="0" fontId="48" fillId="97" borderId="7" xfId="0" applyFont="1" applyFill="1" applyBorder="1" applyAlignment="1">
      <alignment horizontal="center"/>
    </xf>
    <xf numFmtId="1" fontId="84" fillId="0" borderId="0" xfId="0" applyNumberFormat="1" applyFont="1" applyAlignment="1">
      <alignment horizontal="center"/>
    </xf>
    <xf numFmtId="0" fontId="7" fillId="74" borderId="0" xfId="0" applyFont="1" applyFill="1" applyAlignment="1">
      <alignment horizontal="left"/>
    </xf>
    <xf numFmtId="0" fontId="68" fillId="98" borderId="18" xfId="0" applyFont="1" applyFill="1" applyBorder="1" applyAlignment="1">
      <alignment horizontal="left" vertical="top" wrapText="1"/>
    </xf>
    <xf numFmtId="0" fontId="51" fillId="89" borderId="7" xfId="0" applyFont="1" applyFill="1" applyBorder="1" applyAlignment="1">
      <alignment horizontal="left" vertical="top" wrapText="1"/>
    </xf>
    <xf numFmtId="0" fontId="68" fillId="89" borderId="18" xfId="0" applyFont="1" applyFill="1" applyBorder="1" applyAlignment="1">
      <alignment horizontal="left" vertical="top" wrapText="1"/>
    </xf>
    <xf numFmtId="49" fontId="54" fillId="0" borderId="18" xfId="0" applyNumberFormat="1" applyFont="1" applyBorder="1" applyAlignment="1">
      <alignment horizontal="left" vertical="top" wrapText="1"/>
    </xf>
    <xf numFmtId="16" fontId="119" fillId="0" borderId="0" xfId="0" applyNumberFormat="1" applyFont="1"/>
    <xf numFmtId="172" fontId="134" fillId="59" borderId="0" xfId="0" applyNumberFormat="1" applyFont="1" applyFill="1" applyAlignment="1">
      <alignment horizontal="left"/>
    </xf>
    <xf numFmtId="0" fontId="17" fillId="59" borderId="0" xfId="0" applyFont="1" applyFill="1" applyAlignment="1">
      <alignment horizontal="center"/>
    </xf>
    <xf numFmtId="0" fontId="17" fillId="59" borderId="0" xfId="0" applyFont="1" applyFill="1"/>
    <xf numFmtId="0" fontId="68" fillId="99" borderId="18" xfId="0" applyFont="1" applyFill="1" applyBorder="1" applyAlignment="1">
      <alignment horizontal="left" vertical="top" wrapText="1"/>
    </xf>
    <xf numFmtId="0" fontId="68" fillId="86" borderId="18" xfId="0" applyFont="1" applyFill="1" applyBorder="1" applyAlignment="1">
      <alignment horizontal="left" vertical="top" wrapText="1"/>
    </xf>
    <xf numFmtId="0" fontId="45" fillId="59" borderId="18" xfId="0" applyFont="1" applyFill="1" applyBorder="1" applyAlignment="1">
      <alignment horizontal="left" vertical="top" wrapText="1"/>
    </xf>
    <xf numFmtId="0" fontId="45" fillId="59" borderId="7" xfId="0" applyFont="1" applyFill="1" applyBorder="1" applyAlignment="1">
      <alignment horizontal="left" vertical="top" wrapText="1"/>
    </xf>
    <xf numFmtId="0" fontId="135" fillId="61" borderId="18" xfId="0" applyFont="1" applyFill="1" applyBorder="1" applyAlignment="1">
      <alignment horizontal="left" vertical="top" wrapText="1"/>
    </xf>
    <xf numFmtId="0" fontId="48" fillId="0" borderId="7" xfId="0" applyFont="1" applyBorder="1" applyAlignment="1">
      <alignment horizontal="left" vertical="center"/>
    </xf>
    <xf numFmtId="177" fontId="87" fillId="47" borderId="0" xfId="0" applyNumberFormat="1" applyFont="1" applyFill="1" applyAlignment="1">
      <alignment horizontal="center" vertical="center"/>
    </xf>
    <xf numFmtId="164" fontId="68" fillId="0" borderId="0" xfId="0" applyNumberFormat="1" applyFont="1" applyAlignment="1">
      <alignment vertical="center"/>
    </xf>
    <xf numFmtId="177" fontId="136" fillId="47" borderId="0" xfId="0" quotePrefix="1" applyNumberFormat="1" applyFont="1" applyFill="1" applyAlignment="1">
      <alignment horizontal="center"/>
    </xf>
    <xf numFmtId="0" fontId="54" fillId="100" borderId="18" xfId="0" applyFont="1" applyFill="1" applyBorder="1" applyAlignment="1">
      <alignment horizontal="left" vertical="top" wrapText="1"/>
    </xf>
    <xf numFmtId="166" fontId="48" fillId="100" borderId="16" xfId="0" applyNumberFormat="1" applyFont="1" applyFill="1" applyBorder="1"/>
    <xf numFmtId="166" fontId="48" fillId="100" borderId="10" xfId="0" applyNumberFormat="1" applyFont="1" applyFill="1" applyBorder="1"/>
    <xf numFmtId="0" fontId="48" fillId="100" borderId="7" xfId="0" applyFont="1" applyFill="1" applyBorder="1"/>
    <xf numFmtId="0" fontId="51" fillId="100" borderId="7" xfId="0" applyFont="1" applyFill="1" applyBorder="1" applyAlignment="1">
      <alignment horizontal="fill" wrapText="1"/>
    </xf>
    <xf numFmtId="0" fontId="48" fillId="100" borderId="7" xfId="0" applyFont="1" applyFill="1" applyBorder="1" applyAlignment="1">
      <alignment horizontal="fill"/>
    </xf>
    <xf numFmtId="0" fontId="48" fillId="100" borderId="7" xfId="0" applyFont="1" applyFill="1" applyBorder="1" applyAlignment="1">
      <alignment horizontal="center"/>
    </xf>
    <xf numFmtId="0" fontId="51" fillId="100" borderId="7" xfId="0" applyFont="1" applyFill="1" applyBorder="1"/>
    <xf numFmtId="0" fontId="48" fillId="100" borderId="7" xfId="0" applyFont="1" applyFill="1" applyBorder="1" applyAlignment="1">
      <alignment horizontal="center" vertical="center"/>
    </xf>
    <xf numFmtId="164" fontId="48" fillId="100" borderId="7" xfId="0" applyNumberFormat="1" applyFont="1" applyFill="1" applyBorder="1" applyAlignment="1">
      <alignment horizontal="center"/>
    </xf>
    <xf numFmtId="165" fontId="48" fillId="100" borderId="7" xfId="0" applyNumberFormat="1" applyFont="1" applyFill="1" applyBorder="1"/>
    <xf numFmtId="2" fontId="52" fillId="100" borderId="7" xfId="0" applyNumberFormat="1" applyFont="1" applyFill="1" applyBorder="1" applyAlignment="1">
      <alignment horizontal="center"/>
    </xf>
    <xf numFmtId="0" fontId="52" fillId="100" borderId="7" xfId="0" applyFont="1" applyFill="1" applyBorder="1" applyAlignment="1">
      <alignment horizontal="center"/>
    </xf>
    <xf numFmtId="0" fontId="68" fillId="100" borderId="18" xfId="0" applyFont="1" applyFill="1" applyBorder="1" applyAlignment="1">
      <alignment horizontal="left" vertical="top" wrapText="1"/>
    </xf>
    <xf numFmtId="0" fontId="68" fillId="100" borderId="7" xfId="0" applyFont="1" applyFill="1" applyBorder="1" applyAlignment="1">
      <alignment horizontal="left" vertical="top" wrapText="1"/>
    </xf>
    <xf numFmtId="2" fontId="48" fillId="100" borderId="7" xfId="0" applyNumberFormat="1" applyFont="1" applyFill="1" applyBorder="1" applyAlignment="1">
      <alignment vertical="top"/>
    </xf>
    <xf numFmtId="164" fontId="48" fillId="100" borderId="7" xfId="0" applyNumberFormat="1" applyFont="1" applyFill="1" applyBorder="1" applyAlignment="1">
      <alignment vertical="top"/>
    </xf>
    <xf numFmtId="0" fontId="48" fillId="100" borderId="7" xfId="0" applyFont="1" applyFill="1" applyBorder="1" applyAlignment="1">
      <alignment vertical="top"/>
    </xf>
    <xf numFmtId="0" fontId="48" fillId="100" borderId="0" xfId="0" applyFont="1" applyFill="1"/>
    <xf numFmtId="0" fontId="9" fillId="101" borderId="0" xfId="0" applyFont="1" applyFill="1"/>
    <xf numFmtId="0" fontId="45" fillId="2" borderId="0" xfId="0" applyFont="1" applyFill="1" applyAlignment="1">
      <alignment horizontal="left"/>
    </xf>
    <xf numFmtId="0" fontId="51" fillId="0" borderId="15" xfId="0" applyFont="1" applyBorder="1" applyAlignment="1">
      <alignment horizontal="left"/>
    </xf>
    <xf numFmtId="0" fontId="51" fillId="0" borderId="7" xfId="0" applyFont="1" applyBorder="1" applyAlignment="1">
      <alignment horizontal="left"/>
    </xf>
    <xf numFmtId="0" fontId="51" fillId="0" borderId="18" xfId="0" applyFont="1" applyBorder="1" applyAlignment="1">
      <alignment horizontal="left"/>
    </xf>
    <xf numFmtId="0" fontId="51" fillId="2" borderId="0" xfId="0" applyFont="1" applyFill="1" applyAlignment="1">
      <alignment horizontal="left"/>
    </xf>
    <xf numFmtId="173" fontId="51" fillId="0" borderId="7" xfId="0" applyNumberFormat="1" applyFont="1" applyBorder="1" applyAlignment="1">
      <alignment horizontal="left"/>
    </xf>
    <xf numFmtId="0" fontId="51" fillId="0" borderId="20" xfId="0" applyFont="1" applyBorder="1" applyAlignment="1">
      <alignment horizontal="left"/>
    </xf>
    <xf numFmtId="164" fontId="51" fillId="0" borderId="7" xfId="0" applyNumberFormat="1" applyFont="1" applyBorder="1" applyAlignment="1">
      <alignment horizontal="left"/>
    </xf>
    <xf numFmtId="0" fontId="51" fillId="7" borderId="7" xfId="0" applyFont="1" applyFill="1" applyBorder="1" applyAlignment="1">
      <alignment horizontal="left"/>
    </xf>
    <xf numFmtId="0" fontId="51" fillId="100" borderId="7" xfId="0" applyFont="1" applyFill="1" applyBorder="1" applyAlignment="1">
      <alignment horizontal="left"/>
    </xf>
    <xf numFmtId="0" fontId="68" fillId="44" borderId="18" xfId="0" applyFont="1" applyFill="1" applyBorder="1" applyAlignment="1">
      <alignment horizontal="left" vertical="top" wrapText="1"/>
    </xf>
    <xf numFmtId="16" fontId="48" fillId="91" borderId="7" xfId="0" applyNumberFormat="1" applyFont="1" applyFill="1" applyBorder="1" applyAlignment="1">
      <alignment horizontal="center"/>
    </xf>
    <xf numFmtId="0" fontId="68" fillId="77" borderId="18" xfId="0" applyFont="1" applyFill="1" applyBorder="1" applyAlignment="1">
      <alignment horizontal="left" vertical="top" wrapText="1"/>
    </xf>
    <xf numFmtId="0" fontId="45" fillId="61" borderId="18" xfId="0" applyFont="1" applyFill="1" applyBorder="1" applyAlignment="1">
      <alignment horizontal="left" vertical="top" wrapText="1"/>
    </xf>
    <xf numFmtId="0" fontId="45" fillId="2" borderId="0" xfId="0" applyFont="1" applyFill="1" applyAlignment="1">
      <alignment horizontal="left" vertical="center"/>
    </xf>
    <xf numFmtId="0" fontId="48" fillId="100" borderId="15" xfId="0" applyFont="1" applyFill="1" applyBorder="1" applyAlignment="1">
      <alignment horizontal="left" vertical="center"/>
    </xf>
    <xf numFmtId="0" fontId="48" fillId="100" borderId="7" xfId="0" applyFont="1" applyFill="1" applyBorder="1" applyAlignment="1">
      <alignment horizontal="left" vertical="center"/>
    </xf>
    <xf numFmtId="0" fontId="48" fillId="100" borderId="18" xfId="0" applyFont="1" applyFill="1" applyBorder="1" applyAlignment="1">
      <alignment horizontal="left" vertical="center"/>
    </xf>
    <xf numFmtId="0" fontId="48" fillId="100" borderId="0" xfId="0" applyFont="1" applyFill="1" applyAlignment="1">
      <alignment horizontal="left" vertical="center"/>
    </xf>
    <xf numFmtId="0" fontId="48" fillId="100" borderId="20" xfId="0" applyFont="1" applyFill="1" applyBorder="1" applyAlignment="1">
      <alignment horizontal="left" vertical="center"/>
    </xf>
    <xf numFmtId="0" fontId="48" fillId="100" borderId="7" xfId="0" applyFont="1" applyFill="1" applyBorder="1" applyAlignment="1">
      <alignment horizontal="left" vertical="center" wrapText="1"/>
    </xf>
    <xf numFmtId="0" fontId="48" fillId="2" borderId="0" xfId="0" applyFont="1" applyFill="1" applyAlignment="1">
      <alignment horizontal="left" vertical="center"/>
    </xf>
    <xf numFmtId="0" fontId="48" fillId="102" borderId="7" xfId="0" applyFont="1" applyFill="1" applyBorder="1" applyAlignment="1">
      <alignment horizontal="center"/>
    </xf>
    <xf numFmtId="165" fontId="45" fillId="2" borderId="0" xfId="0" applyNumberFormat="1" applyFont="1" applyFill="1" applyAlignment="1">
      <alignment horizontal="right"/>
    </xf>
    <xf numFmtId="165" fontId="51" fillId="0" borderId="15" xfId="0" applyNumberFormat="1" applyFont="1" applyBorder="1" applyAlignment="1">
      <alignment horizontal="right"/>
    </xf>
    <xf numFmtId="165" fontId="51" fillId="0" borderId="7" xfId="0" applyNumberFormat="1" applyFont="1" applyBorder="1" applyAlignment="1">
      <alignment horizontal="right"/>
    </xf>
    <xf numFmtId="165" fontId="51" fillId="0" borderId="18" xfId="0" applyNumberFormat="1" applyFont="1" applyBorder="1" applyAlignment="1">
      <alignment horizontal="right"/>
    </xf>
    <xf numFmtId="165" fontId="51" fillId="2" borderId="0" xfId="0" applyNumberFormat="1" applyFont="1" applyFill="1" applyAlignment="1">
      <alignment horizontal="right"/>
    </xf>
    <xf numFmtId="165" fontId="51" fillId="0" borderId="20" xfId="0" applyNumberFormat="1" applyFont="1" applyBorder="1" applyAlignment="1">
      <alignment horizontal="right"/>
    </xf>
    <xf numFmtId="0" fontId="48" fillId="7" borderId="7" xfId="0" applyFont="1" applyFill="1" applyBorder="1" applyAlignment="1">
      <alignment horizontal="right"/>
    </xf>
    <xf numFmtId="165" fontId="51" fillId="100" borderId="7" xfId="0" applyNumberFormat="1" applyFont="1" applyFill="1" applyBorder="1" applyAlignment="1">
      <alignment horizontal="right"/>
    </xf>
    <xf numFmtId="0" fontId="92" fillId="0" borderId="0" xfId="2" quotePrefix="1" applyNumberFormat="1" applyFont="1" applyAlignment="1">
      <alignment horizontal="center"/>
    </xf>
    <xf numFmtId="0" fontId="54" fillId="0" borderId="0" xfId="2" applyNumberFormat="1" applyFont="1"/>
    <xf numFmtId="177" fontId="84" fillId="0" borderId="0" xfId="0" applyNumberFormat="1" applyFont="1"/>
    <xf numFmtId="0" fontId="84" fillId="62" borderId="0" xfId="0" applyFont="1" applyFill="1" applyAlignment="1">
      <alignment horizontal="center" vertical="center"/>
    </xf>
    <xf numFmtId="0" fontId="93" fillId="62" borderId="0" xfId="0" quotePrefix="1" applyFont="1" applyFill="1" applyAlignment="1">
      <alignment horizontal="center" vertical="center"/>
    </xf>
    <xf numFmtId="0" fontId="87" fillId="86" borderId="0" xfId="0" applyFont="1" applyFill="1" applyAlignment="1">
      <alignment horizontal="center" vertical="center"/>
    </xf>
    <xf numFmtId="0" fontId="46" fillId="103" borderId="18" xfId="0" applyFont="1" applyFill="1" applyBorder="1" applyAlignment="1">
      <alignment horizontal="left" vertical="top" wrapText="1"/>
    </xf>
    <xf numFmtId="0" fontId="45" fillId="103" borderId="18" xfId="0" applyFont="1" applyFill="1" applyBorder="1" applyAlignment="1">
      <alignment horizontal="left" vertical="top" wrapText="1"/>
    </xf>
    <xf numFmtId="166" fontId="48" fillId="7" borderId="7" xfId="0" applyNumberFormat="1" applyFont="1" applyFill="1" applyBorder="1"/>
    <xf numFmtId="0" fontId="51" fillId="0" borderId="7" xfId="0" applyFont="1" applyBorder="1" applyAlignment="1">
      <alignment horizontal="left" wrapText="1"/>
    </xf>
    <xf numFmtId="16" fontId="60" fillId="2" borderId="8" xfId="0" applyNumberFormat="1" applyFont="1" applyFill="1" applyBorder="1"/>
    <xf numFmtId="0" fontId="48" fillId="7" borderId="7" xfId="0" applyFont="1" applyFill="1" applyBorder="1" applyAlignment="1">
      <alignment horizontal="left" vertical="top" wrapText="1"/>
    </xf>
    <xf numFmtId="0" fontId="0" fillId="0" borderId="0" xfId="0" applyAlignment="1">
      <alignment horizontal="left" vertical="top" wrapText="1" readingOrder="1"/>
    </xf>
    <xf numFmtId="0" fontId="68" fillId="0" borderId="18" xfId="0" applyFont="1" applyBorder="1" applyAlignment="1">
      <alignment horizontal="left" vertical="top"/>
    </xf>
    <xf numFmtId="0" fontId="1" fillId="2" borderId="33" xfId="0" applyFont="1" applyFill="1" applyBorder="1" applyAlignment="1">
      <alignment horizontal="center"/>
    </xf>
    <xf numFmtId="0" fontId="1" fillId="2" borderId="0" xfId="0" applyFont="1" applyFill="1" applyAlignment="1">
      <alignment horizontal="center"/>
    </xf>
    <xf numFmtId="164" fontId="1" fillId="2" borderId="6" xfId="0" applyNumberFormat="1" applyFont="1" applyFill="1" applyBorder="1" applyAlignment="1">
      <alignment horizontal="center"/>
    </xf>
    <xf numFmtId="164" fontId="1" fillId="2" borderId="5" xfId="0" applyNumberFormat="1" applyFont="1" applyFill="1" applyBorder="1" applyAlignment="1">
      <alignment horizontal="center"/>
    </xf>
    <xf numFmtId="0" fontId="1" fillId="2" borderId="6" xfId="0" applyFont="1" applyFill="1" applyBorder="1" applyAlignment="1">
      <alignment horizontal="center"/>
    </xf>
    <xf numFmtId="0" fontId="3" fillId="2" borderId="6" xfId="0" applyFont="1" applyFill="1" applyBorder="1" applyAlignment="1">
      <alignment horizontal="center"/>
    </xf>
    <xf numFmtId="0" fontId="1" fillId="2" borderId="34" xfId="0" applyFont="1" applyFill="1" applyBorder="1" applyAlignment="1">
      <alignment horizontal="center"/>
    </xf>
    <xf numFmtId="165" fontId="3" fillId="2" borderId="6" xfId="0" applyNumberFormat="1" applyFont="1" applyFill="1" applyBorder="1" applyAlignment="1">
      <alignment horizontal="center"/>
    </xf>
    <xf numFmtId="165" fontId="3" fillId="2" borderId="5" xfId="0" applyNumberFormat="1" applyFont="1" applyFill="1" applyBorder="1" applyAlignment="1">
      <alignment horizontal="center"/>
    </xf>
    <xf numFmtId="165" fontId="3" fillId="2" borderId="14" xfId="0" applyNumberFormat="1" applyFont="1" applyFill="1" applyBorder="1" applyAlignment="1">
      <alignment horizontal="center"/>
    </xf>
    <xf numFmtId="0" fontId="3" fillId="2" borderId="33" xfId="0" applyFont="1" applyFill="1" applyBorder="1" applyAlignment="1">
      <alignment horizontal="center"/>
    </xf>
    <xf numFmtId="0" fontId="3" fillId="2" borderId="0" xfId="0" applyFont="1" applyFill="1" applyAlignment="1">
      <alignment horizontal="center"/>
    </xf>
    <xf numFmtId="0" fontId="3" fillId="2" borderId="34" xfId="0" applyFont="1" applyFill="1" applyBorder="1" applyAlignment="1">
      <alignment horizontal="center"/>
    </xf>
    <xf numFmtId="0" fontId="71" fillId="61" borderId="28" xfId="0" applyFont="1" applyFill="1" applyBorder="1" applyAlignment="1">
      <alignment horizontal="left" vertical="center"/>
    </xf>
    <xf numFmtId="0" fontId="67" fillId="49" borderId="0" xfId="0" applyFont="1" applyFill="1" applyAlignment="1">
      <alignment horizontal="left" vertical="center"/>
    </xf>
    <xf numFmtId="0" fontId="67" fillId="54" borderId="0" xfId="0" applyFont="1" applyFill="1" applyAlignment="1">
      <alignment horizontal="left" vertical="center"/>
    </xf>
    <xf numFmtId="0" fontId="67" fillId="49" borderId="26" xfId="0" applyFont="1" applyFill="1" applyBorder="1" applyAlignment="1">
      <alignment horizontal="left" vertical="center"/>
    </xf>
    <xf numFmtId="0" fontId="67" fillId="54" borderId="26" xfId="0" applyFont="1" applyFill="1" applyBorder="1" applyAlignment="1">
      <alignment horizontal="left" vertical="center"/>
    </xf>
    <xf numFmtId="0" fontId="70" fillId="57" borderId="27" xfId="0" applyFont="1" applyFill="1" applyBorder="1" applyAlignment="1">
      <alignment horizontal="center" vertical="center"/>
    </xf>
    <xf numFmtId="0" fontId="70" fillId="57" borderId="21" xfId="0" applyFont="1" applyFill="1" applyBorder="1" applyAlignment="1">
      <alignment horizontal="center" vertical="center"/>
    </xf>
    <xf numFmtId="0" fontId="54" fillId="58" borderId="0" xfId="0" applyFont="1" applyFill="1" applyAlignment="1">
      <alignment horizontal="center"/>
    </xf>
    <xf numFmtId="0" fontId="68" fillId="59" borderId="0" xfId="0" applyFont="1" applyFill="1" applyAlignment="1">
      <alignment horizontal="center" vertical="center"/>
    </xf>
    <xf numFmtId="164" fontId="74" fillId="3" borderId="1" xfId="0" applyNumberFormat="1" applyFont="1" applyFill="1" applyBorder="1" applyAlignment="1">
      <alignment horizontal="center"/>
    </xf>
    <xf numFmtId="164" fontId="74" fillId="3" borderId="2" xfId="0" applyNumberFormat="1" applyFont="1" applyFill="1" applyBorder="1" applyAlignment="1">
      <alignment horizontal="center"/>
    </xf>
    <xf numFmtId="0" fontId="74" fillId="3" borderId="1" xfId="0" applyFont="1" applyFill="1" applyBorder="1" applyAlignment="1">
      <alignment horizontal="center"/>
    </xf>
    <xf numFmtId="0" fontId="76" fillId="3" borderId="1" xfId="0" applyFont="1" applyFill="1" applyBorder="1" applyAlignment="1">
      <alignment horizontal="center"/>
    </xf>
    <xf numFmtId="165" fontId="74" fillId="3" borderId="1" xfId="0" applyNumberFormat="1" applyFont="1" applyFill="1" applyBorder="1" applyAlignment="1">
      <alignment horizontal="center"/>
    </xf>
    <xf numFmtId="0" fontId="2" fillId="0" borderId="5" xfId="0" applyFont="1" applyBorder="1" applyAlignment="1"/>
    <xf numFmtId="0" fontId="2" fillId="0" borderId="14" xfId="0" applyFont="1" applyBorder="1" applyAlignment="1"/>
    <xf numFmtId="0" fontId="75" fillId="0" borderId="2" xfId="0" applyFont="1" applyBorder="1" applyAlignment="1"/>
    <xf numFmtId="0" fontId="75" fillId="0" borderId="3" xfId="0" applyFont="1" applyBorder="1" applyAlignment="1"/>
  </cellXfs>
  <cellStyles count="3">
    <cellStyle name="Hyperlink" xfId="1" builtinId="8"/>
    <cellStyle name="Normal" xfId="0" builtinId="0"/>
    <cellStyle name="Percent" xfId="2" builtinId="5"/>
  </cellStyles>
  <dxfs count="4731">
    <dxf>
      <font>
        <b/>
        <color rgb="FF554840"/>
      </font>
      <fill>
        <patternFill patternType="solid">
          <fgColor rgb="FFE2D0AA"/>
          <bgColor rgb="FFE2D0AA"/>
        </patternFill>
      </fill>
    </dxf>
    <dxf>
      <font>
        <b/>
        <color rgb="FF554840"/>
      </font>
      <fill>
        <patternFill patternType="solid">
          <fgColor rgb="FFE2D0AA"/>
          <bgColor rgb="FFE2D0AA"/>
        </patternFill>
      </fill>
    </dxf>
    <dxf>
      <font>
        <b/>
        <color theme="1"/>
      </font>
      <fill>
        <patternFill patternType="solid">
          <fgColor rgb="FFC0C5B2"/>
          <bgColor rgb="FFC0C5B2"/>
        </patternFill>
      </fill>
    </dxf>
    <dxf>
      <font>
        <b/>
      </font>
      <fill>
        <patternFill patternType="solid">
          <fgColor rgb="FFD9EAD3"/>
          <bgColor rgb="FFD9EAD3"/>
        </patternFill>
      </fill>
    </dxf>
    <dxf>
      <font>
        <b/>
        <color rgb="FF980000"/>
      </font>
      <fill>
        <patternFill patternType="solid">
          <fgColor rgb="FFF4CCCC"/>
          <bgColor rgb="FFF4CCCC"/>
        </patternFill>
      </fill>
    </dxf>
    <dxf>
      <font>
        <b/>
      </font>
      <fill>
        <patternFill patternType="solid">
          <fgColor rgb="FFD9EAD3"/>
          <bgColor rgb="FFD9EAD3"/>
        </patternFill>
      </fill>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theme="3" tint="4.9989318521683403E-2"/>
      </font>
      <fill>
        <patternFill patternType="solid">
          <fgColor rgb="FF5B0F00"/>
          <bgColor rgb="FF5B0F00"/>
        </patternFill>
      </fill>
      <border>
        <left style="thin">
          <color theme="1" tint="0.14996795556505021"/>
        </left>
        <right style="thin">
          <color theme="1" tint="0.14996795556505021"/>
        </right>
        <top style="thin">
          <color theme="1" tint="0.14996795556505021"/>
        </top>
        <bottom style="thin">
          <color theme="1" tint="0.14996795556505021"/>
        </bottom>
      </border>
    </dxf>
    <dxf>
      <font>
        <b/>
        <color rgb="FF000000"/>
      </font>
      <fill>
        <patternFill patternType="solid">
          <fgColor rgb="FF274E13"/>
          <bgColor rgb="FF274E13"/>
        </patternFill>
      </fill>
      <border>
        <left style="thin">
          <color theme="1" tint="0.14996795556505021"/>
        </left>
        <right style="thin">
          <color theme="1" tint="0.14996795556505021"/>
        </right>
        <top style="thin">
          <color theme="1" tint="0.14996795556505021"/>
        </top>
        <bottom style="thin">
          <color theme="1" tint="0.14996795556505021"/>
        </bottom>
      </border>
    </dxf>
    <dxf>
      <fill>
        <patternFill patternType="solid">
          <fgColor rgb="FF5B0F00"/>
          <bgColor rgb="FF5B0F00"/>
        </patternFill>
      </fill>
    </dxf>
    <dxf>
      <font>
        <b/>
        <color rgb="FF000000"/>
      </font>
      <fill>
        <patternFill patternType="solid">
          <fgColor rgb="FF274E13"/>
          <bgColor rgb="FF274E13"/>
        </patternFill>
      </fill>
    </dxf>
    <dxf>
      <font>
        <b/>
        <color rgb="FF5B0F00"/>
      </font>
      <fill>
        <patternFill patternType="none"/>
      </fill>
    </dxf>
    <dxf>
      <font>
        <b/>
        <color rgb="FF0C343D"/>
      </font>
      <fill>
        <patternFill patternType="none"/>
      </fill>
    </dxf>
    <dxf>
      <font>
        <color rgb="FFF5F5F5"/>
      </font>
      <fill>
        <patternFill patternType="solid">
          <fgColor rgb="FF5B0F00"/>
          <bgColor rgb="FF5B0F00"/>
        </patternFill>
      </fill>
    </dxf>
    <dxf>
      <font>
        <color rgb="FFF5F5F5"/>
      </font>
      <fill>
        <patternFill patternType="solid">
          <fgColor rgb="FF5B0F00"/>
          <bgColor rgb="FF5B0F00"/>
        </patternFill>
      </fill>
    </dxf>
    <dxf>
      <font>
        <color rgb="FFCCCCCC"/>
      </font>
      <fill>
        <patternFill patternType="solid">
          <fgColor rgb="FF5B0F00"/>
          <bgColor rgb="FF5B0F00"/>
        </patternFill>
      </fill>
    </dxf>
    <dxf>
      <font>
        <color rgb="FFCCCCCC"/>
      </font>
      <fill>
        <patternFill patternType="solid">
          <fgColor rgb="FF5B0F00"/>
          <bgColor rgb="FF5B0F00"/>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000000"/>
      </font>
      <fill>
        <patternFill patternType="solid">
          <fgColor rgb="FF85200C"/>
          <bgColor rgb="FF85200C"/>
        </patternFill>
      </fill>
    </dxf>
    <dxf>
      <font>
        <b/>
        <color rgb="FF000000"/>
      </font>
      <fill>
        <patternFill patternType="solid">
          <fgColor rgb="FF85200C"/>
          <bgColor rgb="FF85200C"/>
        </patternFill>
      </fill>
    </dxf>
    <dxf>
      <font>
        <b/>
        <color rgb="FF000000"/>
      </font>
      <fill>
        <patternFill patternType="solid">
          <fgColor rgb="FF85200C"/>
          <bgColor rgb="FF85200C"/>
        </patternFill>
      </fill>
    </dxf>
    <dxf>
      <font>
        <b/>
        <color rgb="FF000000"/>
      </font>
      <fill>
        <patternFill patternType="solid">
          <fgColor rgb="FF85200C"/>
          <bgColor rgb="FF85200C"/>
        </patternFill>
      </fill>
    </dxf>
    <dxf>
      <font>
        <b/>
        <color rgb="FF000000"/>
      </font>
      <fill>
        <patternFill patternType="solid">
          <fgColor rgb="FF85200C"/>
          <bgColor rgb="FF85200C"/>
        </patternFill>
      </fill>
    </dxf>
    <dxf>
      <font>
        <b/>
        <color rgb="FF000000"/>
      </font>
      <fill>
        <patternFill patternType="solid">
          <fgColor rgb="FF999999"/>
          <bgColor rgb="FF999999"/>
        </patternFill>
      </fill>
    </dxf>
    <dxf>
      <font>
        <b/>
        <color rgb="FF000000"/>
      </font>
      <fill>
        <patternFill patternType="solid">
          <fgColor rgb="FFA27547"/>
          <bgColor rgb="FFA27547"/>
        </patternFill>
      </fill>
    </dxf>
    <dxf>
      <font>
        <b/>
        <color rgb="FF000000"/>
      </font>
      <fill>
        <patternFill patternType="solid">
          <fgColor rgb="FF980000"/>
          <bgColor rgb="FF980000"/>
        </patternFill>
      </fill>
    </dxf>
    <dxf>
      <font>
        <b/>
        <color rgb="FF980000"/>
      </font>
      <fill>
        <patternFill patternType="solid">
          <fgColor rgb="FFF4CCCC"/>
          <bgColor rgb="FFF4CCCC"/>
        </patternFill>
      </fill>
    </dxf>
    <dxf>
      <font>
        <b/>
      </font>
      <fill>
        <patternFill patternType="solid">
          <fgColor rgb="FFD9EAD3"/>
          <bgColor rgb="FFD9EAD3"/>
        </patternFill>
      </fill>
    </dxf>
    <dxf>
      <font>
        <b/>
        <color rgb="FF554840"/>
      </font>
      <fill>
        <patternFill patternType="solid">
          <fgColor rgb="FFE2D0AA"/>
          <bgColor rgb="FFE2D0AA"/>
        </patternFill>
      </fill>
    </dxf>
    <dxf>
      <font>
        <b/>
        <color theme="1"/>
      </font>
      <fill>
        <patternFill patternType="solid">
          <fgColor rgb="FFC0C5B2"/>
          <bgColor rgb="FFC0C5B2"/>
        </patternFill>
      </fill>
    </dxf>
    <dxf>
      <fill>
        <patternFill patternType="solid">
          <fgColor rgb="FFC0C5B2"/>
          <bgColor rgb="FFC0C5B2"/>
        </patternFill>
      </fill>
    </dxf>
    <dxf>
      <fill>
        <patternFill patternType="solid">
          <fgColor rgb="FFA27547"/>
          <bgColor rgb="FFA27547"/>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color rgb="FFD9D9D9"/>
      </font>
      <fill>
        <patternFill patternType="solid">
          <fgColor rgb="FFD9D9D9"/>
          <bgColor rgb="FFD9D9D9"/>
        </patternFill>
      </fill>
    </dxf>
    <dxf>
      <font>
        <color rgb="FFD9D9D9"/>
      </font>
      <fill>
        <patternFill patternType="solid">
          <fgColor rgb="FFD9D9D9"/>
          <bgColor rgb="FFD9D9D9"/>
        </patternFill>
      </fill>
    </dxf>
    <dxf>
      <font>
        <b/>
      </font>
      <fill>
        <patternFill patternType="solid">
          <fgColor rgb="FFD9EAD3"/>
          <bgColor rgb="FFD9EAD3"/>
        </patternFill>
      </fill>
    </dxf>
    <dxf>
      <font>
        <b/>
        <color rgb="FF980000"/>
      </font>
      <fill>
        <patternFill patternType="solid">
          <fgColor rgb="FFF4CCCC"/>
          <bgColor rgb="FFF4CCCC"/>
        </patternFill>
      </fill>
    </dxf>
    <dxf>
      <font>
        <b/>
        <color theme="1"/>
      </font>
      <fill>
        <patternFill patternType="solid">
          <fgColor rgb="FFC0C5B2"/>
          <bgColor rgb="FFC0C5B2"/>
        </patternFill>
      </fill>
    </dxf>
    <dxf>
      <font>
        <b/>
        <color rgb="FF554840"/>
      </font>
      <fill>
        <patternFill patternType="solid">
          <fgColor rgb="FFE2D0AA"/>
          <bgColor rgb="FFE2D0AA"/>
        </patternFill>
      </fill>
    </dxf>
    <dxf>
      <font>
        <b/>
        <color theme="1"/>
      </font>
      <fill>
        <patternFill patternType="solid">
          <fgColor rgb="FFC0C5B2"/>
          <bgColor rgb="FFC0C5B2"/>
        </patternFill>
      </fill>
    </dxf>
    <dxf>
      <font>
        <b/>
        <color rgb="FF000000"/>
      </font>
      <fill>
        <patternFill patternType="solid">
          <fgColor rgb="FFD9EAD3"/>
          <bgColor rgb="FFD9EAD3"/>
        </patternFill>
      </fill>
    </dxf>
    <dxf>
      <font>
        <b/>
        <color rgb="FF980000"/>
      </font>
      <fill>
        <patternFill patternType="solid">
          <fgColor rgb="FFF4CCCC"/>
          <bgColor rgb="FFF4CCCC"/>
        </patternFill>
      </fill>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color rgb="FF554840"/>
      </font>
      <fill>
        <patternFill patternType="solid">
          <fgColor rgb="FFF3F3F3"/>
          <bgColor rgb="FFF3F3F3"/>
        </patternFill>
      </fill>
    </dxf>
    <dxf>
      <font>
        <b val="0"/>
        <i val="0"/>
        <strike val="0"/>
        <condense val="0"/>
        <extend val="0"/>
        <outline val="0"/>
        <shadow val="0"/>
        <u val="none"/>
        <vertAlign val="baseline"/>
        <sz val="12"/>
        <color rgb="FF000000"/>
        <name val="Calibri"/>
        <family val="2"/>
        <scheme val="none"/>
      </font>
      <numFmt numFmtId="178" formatCode="0.0"/>
      <alignment horizontal="center" vertical="bottom" textRotation="0" wrapText="0" indent="0" justifyLastLine="0" shrinkToFit="0" readingOrder="0"/>
    </dxf>
    <dxf>
      <font>
        <b val="0"/>
        <i val="0"/>
        <strike val="0"/>
        <condense val="0"/>
        <extend val="0"/>
        <outline val="0"/>
        <shadow val="0"/>
        <u val="none"/>
        <vertAlign val="baseline"/>
        <sz val="12"/>
        <color rgb="FF000000"/>
        <name val="Calibri"/>
        <family val="2"/>
        <scheme val="none"/>
      </font>
      <numFmt numFmtId="177" formatCode="&quot;$&quot;#,##0"/>
      <fill>
        <patternFill patternType="solid">
          <fgColor indexed="64"/>
          <bgColor theme="0" tint="-0.34998626667073579"/>
        </patternFill>
      </fill>
      <alignment horizontal="center" vertical="bottom" textRotation="0" wrapText="0" indent="0" justifyLastLine="0" shrinkToFit="0" readingOrder="0"/>
    </dxf>
    <dxf>
      <font>
        <b val="0"/>
        <i val="0"/>
        <strike val="0"/>
        <condense val="0"/>
        <extend val="0"/>
        <outline val="0"/>
        <shadow val="0"/>
        <u val="none"/>
        <vertAlign val="baseline"/>
        <sz val="12"/>
        <color rgb="FF000000"/>
        <name val="Calibri"/>
        <family val="2"/>
        <scheme val="none"/>
      </font>
      <numFmt numFmtId="177" formatCode="&quot;$&quot;#,##0"/>
      <alignment horizontal="center" vertical="bottom" textRotation="0" wrapText="0" indent="0" justifyLastLine="0" shrinkToFit="0" readingOrder="0"/>
    </dxf>
    <dxf>
      <font>
        <b val="0"/>
        <i val="0"/>
        <strike val="0"/>
        <condense val="0"/>
        <extend val="0"/>
        <outline val="0"/>
        <shadow val="0"/>
        <u val="none"/>
        <vertAlign val="baseline"/>
        <sz val="12"/>
        <color rgb="FF000000"/>
        <name val="Calibri"/>
        <family val="2"/>
        <scheme val="none"/>
      </font>
      <fill>
        <patternFill patternType="solid">
          <fgColor indexed="64"/>
          <bgColor theme="0" tint="-0.34998626667073579"/>
        </patternFill>
      </fill>
      <alignment horizontal="center" vertical="bottom" textRotation="0" wrapText="0" indent="0" justifyLastLine="0" shrinkToFit="0" readingOrder="0"/>
    </dxf>
    <dxf>
      <font>
        <b val="0"/>
        <i val="0"/>
        <strike val="0"/>
        <condense val="0"/>
        <extend val="0"/>
        <outline val="0"/>
        <shadow val="0"/>
        <u val="none"/>
        <vertAlign val="baseline"/>
        <sz val="12"/>
        <color rgb="FF000000"/>
        <name val="Calibri"/>
        <family val="2"/>
        <scheme val="none"/>
      </font>
      <numFmt numFmtId="177" formatCode="&quot;$&quot;#,##0"/>
      <alignment horizontal="center" vertical="bottom" textRotation="0" wrapText="0" indent="0" justifyLastLine="0" shrinkToFit="0" readingOrder="0"/>
    </dxf>
    <dxf>
      <font>
        <b val="0"/>
        <i val="0"/>
        <strike val="0"/>
        <condense val="0"/>
        <extend val="0"/>
        <outline val="0"/>
        <shadow val="0"/>
        <u val="none"/>
        <vertAlign val="baseline"/>
        <sz val="12"/>
        <color rgb="FF000000"/>
        <name val="Calibri"/>
        <family val="2"/>
        <scheme val="none"/>
      </font>
      <numFmt numFmtId="178" formatCode="0.0"/>
      <alignment horizontal="center" vertical="bottom" textRotation="0" wrapText="0" indent="0" justifyLastLine="0" shrinkToFit="0" readingOrder="0"/>
    </dxf>
    <dxf>
      <font>
        <b val="0"/>
        <i val="0"/>
        <strike val="0"/>
        <condense val="0"/>
        <extend val="0"/>
        <outline val="0"/>
        <shadow val="0"/>
        <u val="none"/>
        <vertAlign val="baseline"/>
        <sz val="12"/>
        <color rgb="FF000000"/>
        <name val="Calibri"/>
        <family val="2"/>
        <scheme val="none"/>
      </font>
      <numFmt numFmtId="177" formatCode="&quot;$&quot;#,##0"/>
      <fill>
        <patternFill patternType="solid">
          <fgColor indexed="64"/>
          <bgColor theme="0" tint="-0.34998626667073579"/>
        </patternFill>
      </fill>
      <alignment horizontal="center" vertical="bottom" textRotation="0" wrapText="0" indent="0" justifyLastLine="0" shrinkToFit="0" readingOrder="0"/>
    </dxf>
    <dxf>
      <font>
        <b val="0"/>
        <i val="0"/>
        <strike val="0"/>
        <condense val="0"/>
        <extend val="0"/>
        <outline val="0"/>
        <shadow val="0"/>
        <u val="none"/>
        <vertAlign val="baseline"/>
        <sz val="12"/>
        <color rgb="FF000000"/>
        <name val="Calibri"/>
        <family val="2"/>
        <scheme val="none"/>
      </font>
      <numFmt numFmtId="177" formatCode="&quot;$&quot;#,##0"/>
      <alignment horizontal="center" vertical="bottom" textRotation="0" wrapText="0" indent="0" justifyLastLine="0" shrinkToFit="0" readingOrder="0"/>
    </dxf>
    <dxf>
      <font>
        <b val="0"/>
        <i val="0"/>
        <strike val="0"/>
        <condense val="0"/>
        <extend val="0"/>
        <outline val="0"/>
        <shadow val="0"/>
        <u val="none"/>
        <vertAlign val="baseline"/>
        <sz val="12"/>
        <color rgb="FF000000"/>
        <name val="Calibri"/>
        <family val="2"/>
        <scheme val="none"/>
      </font>
      <fill>
        <patternFill patternType="solid">
          <fgColor indexed="64"/>
          <bgColor theme="0" tint="-0.34998626667073579"/>
        </patternFill>
      </fill>
    </dxf>
    <dxf>
      <font>
        <b val="0"/>
        <i val="0"/>
        <strike val="0"/>
        <condense val="0"/>
        <extend val="0"/>
        <outline val="0"/>
        <shadow val="0"/>
        <u val="none"/>
        <vertAlign val="baseline"/>
        <sz val="12"/>
        <color rgb="FF000000"/>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rgb="FF000000"/>
        <name val="Calibri"/>
        <family val="2"/>
        <scheme val="none"/>
      </font>
      <fill>
        <patternFill patternType="solid">
          <fgColor indexed="64"/>
          <bgColor rgb="FFAEAAAA"/>
        </patternFill>
      </fill>
      <alignment horizontal="center" vertical="bottom" textRotation="0" wrapText="0" indent="0" justifyLastLine="0" shrinkToFit="0" readingOrder="0"/>
    </dxf>
    <dxf>
      <font>
        <b/>
        <i val="0"/>
        <strike val="0"/>
        <condense val="0"/>
        <extend val="0"/>
        <outline val="0"/>
        <shadow val="0"/>
        <u val="none"/>
        <vertAlign val="baseline"/>
        <sz val="12"/>
        <color rgb="FF000000"/>
        <name val="Calibri"/>
        <family val="2"/>
        <scheme val="none"/>
      </font>
      <fill>
        <patternFill patternType="solid">
          <fgColor indexed="64"/>
          <bgColor rgb="FFF2F2F2"/>
        </patternFill>
      </fill>
      <alignment horizontal="center" vertical="center" textRotation="0" wrapText="0" indent="0" justifyLastLine="0" shrinkToFit="0" readingOrder="0"/>
    </dxf>
    <dxf>
      <border outline="0">
        <bottom style="thin">
          <color rgb="FF595959"/>
        </bottom>
      </border>
    </dxf>
    <dxf>
      <border outline="0">
        <top style="thin">
          <color rgb="FF595959"/>
        </top>
      </border>
    </dxf>
    <dxf>
      <font>
        <b val="0"/>
        <i val="0"/>
        <strike val="0"/>
        <condense val="0"/>
        <extend val="0"/>
        <outline val="0"/>
        <shadow val="0"/>
        <u val="none"/>
        <vertAlign val="baseline"/>
        <sz val="12"/>
        <color rgb="FF000000"/>
        <name val="Calibri"/>
        <family val="2"/>
        <scheme val="none"/>
      </font>
    </dxf>
    <dxf>
      <font>
        <b/>
        <i val="0"/>
        <strike val="0"/>
        <condense val="0"/>
        <extend val="0"/>
        <outline val="0"/>
        <shadow val="0"/>
        <u val="none"/>
        <vertAlign val="baseline"/>
        <sz val="12"/>
        <color theme="2" tint="-0.34998626667073579"/>
        <name val="Calibri"/>
        <family val="2"/>
        <scheme val="none"/>
      </font>
      <fill>
        <patternFill patternType="solid">
          <fgColor indexed="64"/>
          <bgColor rgb="FF0D0D0D"/>
        </patternFill>
      </fill>
      <alignment horizontal="center" vertical="bottom" textRotation="0" wrapText="0" indent="0" justifyLastLine="0" shrinkToFit="0" readingOrder="0"/>
      <border diagonalUp="0" diagonalDown="0" outline="0">
        <left style="thin">
          <color rgb="FF595959"/>
        </left>
        <right style="thin">
          <color rgb="FF595959"/>
        </right>
        <top/>
        <bottom/>
      </border>
    </dxf>
    <dxf>
      <font>
        <sz val="10"/>
        <name val="Calibri"/>
      </font>
      <numFmt numFmtId="0" formatCode="General"/>
    </dxf>
    <dxf>
      <font>
        <sz val="10"/>
        <name val="Calibri"/>
      </font>
    </dxf>
    <dxf>
      <font>
        <sz val="10"/>
        <name val="Calibri"/>
      </font>
    </dxf>
    <dxf>
      <font>
        <sz val="10"/>
        <name val="Calibri"/>
      </font>
      <numFmt numFmtId="1" formatCode="0"/>
    </dxf>
    <dxf>
      <font>
        <sz val="10"/>
        <name val="Calibri"/>
      </font>
      <numFmt numFmtId="178" formatCode="0.0"/>
    </dxf>
    <dxf>
      <font>
        <b/>
        <sz val="10"/>
        <name val="Calibri"/>
      </font>
      <numFmt numFmtId="178" formatCode="0.0"/>
      <fill>
        <patternFill patternType="solid">
          <fgColor indexed="64"/>
          <bgColor theme="2" tint="-0.34998626667073579"/>
        </patternFill>
      </fill>
      <alignment horizontal="center" vertical="center" textRotation="0" wrapText="0" indent="0" justifyLastLine="0" shrinkToFit="0" readingOrder="0"/>
    </dxf>
    <dxf>
      <font>
        <strike val="0"/>
        <outline val="0"/>
        <shadow val="0"/>
        <u val="none"/>
        <vertAlign val="baseline"/>
        <sz val="12"/>
        <name val="Calibri"/>
      </font>
      <numFmt numFmtId="178" formatCode="0.0"/>
    </dxf>
    <dxf>
      <font>
        <b val="0"/>
        <i val="0"/>
        <strike val="0"/>
        <condense val="0"/>
        <extend val="0"/>
        <outline val="0"/>
        <shadow val="0"/>
        <u val="none"/>
        <vertAlign val="baseline"/>
        <sz val="12"/>
        <color rgb="FF000000"/>
        <name val="Calibri"/>
        <family val="2"/>
        <scheme val="none"/>
      </font>
      <numFmt numFmtId="178" formatCode="0.0"/>
      <alignment horizontal="center" vertical="bottom" textRotation="0" wrapText="0" indent="0" justifyLastLine="0" shrinkToFit="0" readingOrder="0"/>
    </dxf>
    <dxf>
      <font>
        <b val="0"/>
        <i val="0"/>
        <strike val="0"/>
        <condense val="0"/>
        <extend val="0"/>
        <outline val="0"/>
        <shadow val="0"/>
        <u val="none"/>
        <vertAlign val="baseline"/>
        <sz val="12"/>
        <color rgb="FF000000"/>
        <name val="Calibri"/>
        <family val="2"/>
        <scheme val="none"/>
      </font>
      <numFmt numFmtId="178" formatCode="0.0"/>
      <alignment horizontal="center" vertical="bottom" textRotation="0" wrapText="0" indent="0" justifyLastLine="0" shrinkToFit="0" readingOrder="0"/>
    </dxf>
    <dxf>
      <font>
        <strike val="0"/>
        <outline val="0"/>
        <shadow val="0"/>
        <u val="none"/>
        <vertAlign val="baseline"/>
        <sz val="12"/>
        <name val="Calibri"/>
      </font>
      <numFmt numFmtId="178" formatCode="0.0"/>
      <alignment horizontal="center" vertical="bottom" textRotation="0" wrapText="0" indent="0" justifyLastLine="0" shrinkToFit="0" readingOrder="0"/>
    </dxf>
    <dxf>
      <font>
        <b/>
        <strike val="0"/>
        <outline val="0"/>
        <shadow val="0"/>
        <u val="none"/>
        <vertAlign val="baseline"/>
        <sz val="12"/>
        <name val="Calibri"/>
      </font>
      <numFmt numFmtId="177" formatCode="&quot;$&quot;#,##0"/>
      <fill>
        <patternFill patternType="solid">
          <fgColor indexed="64"/>
          <bgColor rgb="FFC00000"/>
        </patternFill>
      </fill>
      <alignment horizontal="center" vertical="center"/>
    </dxf>
    <dxf>
      <font>
        <b val="0"/>
        <i val="0"/>
        <strike val="0"/>
        <condense val="0"/>
        <extend val="0"/>
        <outline val="0"/>
        <shadow val="0"/>
        <u val="none"/>
        <vertAlign val="baseline"/>
        <sz val="10"/>
        <color rgb="FF000000"/>
        <name val="Calibri"/>
        <family val="2"/>
        <scheme val="none"/>
      </font>
      <alignment horizontal="general" vertical="center" textRotation="0" wrapText="0" indent="0" justifyLastLine="0" shrinkToFit="0" readingOrder="0"/>
    </dxf>
    <dxf>
      <font>
        <strike val="0"/>
        <outline val="0"/>
        <shadow val="0"/>
        <u val="none"/>
        <vertAlign val="baseline"/>
        <sz val="12"/>
        <name val="Calibri"/>
      </font>
      <numFmt numFmtId="0" formatCode="General"/>
      <alignment horizontal="center" vertical="center"/>
    </dxf>
    <dxf>
      <font>
        <b val="0"/>
        <i val="0"/>
        <strike val="0"/>
        <condense val="0"/>
        <extend val="0"/>
        <outline val="0"/>
        <shadow val="0"/>
        <u val="none"/>
        <vertAlign val="baseline"/>
        <sz val="10"/>
        <color rgb="FF000000"/>
        <name val="Calibri"/>
        <family val="2"/>
        <scheme val="none"/>
      </font>
      <alignment horizontal="center" vertical="center" textRotation="0" wrapText="0" indent="0" justifyLastLine="0" shrinkToFit="0" readingOrder="0"/>
    </dxf>
    <dxf>
      <font>
        <b/>
        <strike val="0"/>
        <outline val="0"/>
        <shadow val="0"/>
        <u val="none"/>
        <vertAlign val="baseline"/>
        <sz val="12"/>
        <name val="Calibri"/>
      </font>
      <numFmt numFmtId="177" formatCode="&quot;$&quot;#,##0"/>
      <fill>
        <patternFill patternType="solid">
          <fgColor indexed="64"/>
          <bgColor theme="2"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10"/>
        <color rgb="FF000000"/>
        <name val="Calibri"/>
        <family val="2"/>
        <scheme val="none"/>
      </font>
      <numFmt numFmtId="164" formatCode="&quot;$&quot;#,##0.00"/>
      <alignment horizontal="general" vertical="center" textRotation="0" wrapText="0" indent="0" justifyLastLine="0" shrinkToFit="0" readingOrder="0"/>
    </dxf>
    <dxf>
      <font>
        <strike val="0"/>
        <outline val="0"/>
        <shadow val="0"/>
        <u val="none"/>
        <vertAlign val="baseline"/>
        <sz val="12"/>
        <name val="Calibri"/>
      </font>
      <numFmt numFmtId="178" formatCode="0.0"/>
    </dxf>
    <dxf>
      <font>
        <b val="0"/>
        <i val="0"/>
        <strike val="0"/>
        <condense val="0"/>
        <extend val="0"/>
        <outline val="0"/>
        <shadow val="0"/>
        <u val="none"/>
        <vertAlign val="baseline"/>
        <sz val="10"/>
        <color rgb="FF000000"/>
        <name val="Calibri"/>
        <family val="2"/>
        <scheme val="none"/>
      </font>
      <numFmt numFmtId="178" formatCode="0.0"/>
    </dxf>
    <dxf>
      <font>
        <strike val="0"/>
        <outline val="0"/>
        <shadow val="0"/>
        <u val="none"/>
        <vertAlign val="baseline"/>
        <sz val="12"/>
        <name val="Calibri"/>
      </font>
      <numFmt numFmtId="0" formatCode="General"/>
    </dxf>
    <dxf>
      <font>
        <b val="0"/>
        <i val="0"/>
        <strike val="0"/>
        <condense val="0"/>
        <extend val="0"/>
        <outline val="0"/>
        <shadow val="0"/>
        <u val="none"/>
        <vertAlign val="baseline"/>
        <sz val="10"/>
        <color rgb="FF000000"/>
        <name val="Calibri"/>
        <family val="2"/>
        <scheme val="none"/>
      </font>
    </dxf>
    <dxf>
      <font>
        <strike val="0"/>
        <outline val="0"/>
        <shadow val="0"/>
        <u val="none"/>
        <vertAlign val="baseline"/>
        <sz val="12"/>
        <name val="Calibri"/>
      </font>
      <numFmt numFmtId="177" formatCode="&quot;$&quot;#,##0"/>
    </dxf>
    <dxf>
      <font>
        <b val="0"/>
        <i val="0"/>
        <strike val="0"/>
        <condense val="0"/>
        <extend val="0"/>
        <outline val="0"/>
        <shadow val="0"/>
        <u val="none"/>
        <vertAlign val="baseline"/>
        <sz val="10"/>
        <color rgb="FF000000"/>
        <name val="Calibri"/>
        <family val="2"/>
        <scheme val="none"/>
      </font>
    </dxf>
    <dxf>
      <font>
        <strike val="0"/>
        <outline val="0"/>
        <shadow val="0"/>
        <u val="none"/>
        <vertAlign val="baseline"/>
        <sz val="12"/>
        <name val="Calibri"/>
      </font>
      <numFmt numFmtId="177" formatCode="&quot;$&quot;#,##0"/>
    </dxf>
    <dxf>
      <font>
        <b val="0"/>
        <i val="0"/>
        <strike val="0"/>
        <condense val="0"/>
        <extend val="0"/>
        <outline val="0"/>
        <shadow val="0"/>
        <u val="none"/>
        <vertAlign val="baseline"/>
        <sz val="10"/>
        <color rgb="FF000000"/>
        <name val="Calibri"/>
        <family val="2"/>
        <scheme val="none"/>
      </font>
    </dxf>
    <dxf>
      <font>
        <strike val="0"/>
        <outline val="0"/>
        <shadow val="0"/>
        <u val="none"/>
        <vertAlign val="baseline"/>
        <sz val="12"/>
        <name val="Calibri"/>
      </font>
      <numFmt numFmtId="0" formatCode="General"/>
    </dxf>
    <dxf>
      <font>
        <b val="0"/>
        <i val="0"/>
        <strike val="0"/>
        <condense val="0"/>
        <extend val="0"/>
        <outline val="0"/>
        <shadow val="0"/>
        <u val="none"/>
        <vertAlign val="baseline"/>
        <sz val="10"/>
        <color rgb="FF000000"/>
        <name val="Calibri"/>
        <family val="2"/>
        <scheme val="none"/>
      </font>
    </dxf>
    <dxf>
      <font>
        <strike val="0"/>
        <outline val="0"/>
        <shadow val="0"/>
        <u val="none"/>
        <vertAlign val="baseline"/>
        <sz val="12"/>
        <name val="Calibri"/>
      </font>
      <numFmt numFmtId="177" formatCode="&quot;$&quot;#,##0"/>
    </dxf>
    <dxf>
      <font>
        <b val="0"/>
        <i val="0"/>
        <strike val="0"/>
        <condense val="0"/>
        <extend val="0"/>
        <outline val="0"/>
        <shadow val="0"/>
        <u val="none"/>
        <vertAlign val="baseline"/>
        <sz val="10"/>
        <color rgb="FF000000"/>
        <name val="Calibri"/>
        <family val="2"/>
        <scheme val="none"/>
      </font>
    </dxf>
    <dxf>
      <font>
        <strike val="0"/>
        <outline val="0"/>
        <shadow val="0"/>
        <u val="none"/>
        <vertAlign val="baseline"/>
        <sz val="12"/>
        <name val="Calibri"/>
      </font>
      <numFmt numFmtId="177" formatCode="&quot;$&quot;#,##0"/>
    </dxf>
    <dxf>
      <font>
        <b val="0"/>
        <i val="0"/>
        <strike val="0"/>
        <condense val="0"/>
        <extend val="0"/>
        <outline val="0"/>
        <shadow val="0"/>
        <u val="none"/>
        <vertAlign val="baseline"/>
        <sz val="10"/>
        <color rgb="FF000000"/>
        <name val="Calibri"/>
        <family val="2"/>
        <scheme val="none"/>
      </font>
    </dxf>
    <dxf>
      <font>
        <strike val="0"/>
        <outline val="0"/>
        <shadow val="0"/>
        <u val="none"/>
        <vertAlign val="baseline"/>
        <sz val="12"/>
        <name val="Calibri"/>
      </font>
      <numFmt numFmtId="0" formatCode="General"/>
      <fill>
        <patternFill patternType="solid">
          <fgColor indexed="64"/>
          <bgColor theme="0" tint="-0.34998626667073579"/>
        </patternFill>
      </fill>
    </dxf>
    <dxf>
      <font>
        <b val="0"/>
        <i val="0"/>
        <strike val="0"/>
        <condense val="0"/>
        <extend val="0"/>
        <outline val="0"/>
        <shadow val="0"/>
        <u val="none"/>
        <vertAlign val="baseline"/>
        <sz val="10"/>
        <color rgb="FF000000"/>
        <name val="Calibri"/>
        <family val="2"/>
        <scheme val="none"/>
      </font>
    </dxf>
    <dxf>
      <font>
        <strike val="0"/>
        <outline val="0"/>
        <shadow val="0"/>
        <u val="none"/>
        <vertAlign val="baseline"/>
        <sz val="12"/>
      </font>
      <fill>
        <patternFill patternType="solid">
          <fgColor indexed="64"/>
          <bgColor theme="2" tint="-0.14999847407452621"/>
        </patternFill>
      </fill>
      <alignment horizontal="center" vertical="center" textRotation="0" wrapText="0" indent="0" justifyLastLine="0" shrinkToFit="0" readingOrder="0"/>
    </dxf>
    <dxf>
      <font>
        <b/>
        <i val="0"/>
        <strike val="0"/>
        <condense val="0"/>
        <extend val="0"/>
        <outline val="0"/>
        <shadow val="0"/>
        <u val="none"/>
        <vertAlign val="baseline"/>
        <sz val="10"/>
        <color rgb="FF000000"/>
        <name val="Calibri"/>
        <family val="2"/>
        <scheme val="none"/>
      </font>
    </dxf>
    <dxf>
      <font>
        <strike val="0"/>
        <outline val="0"/>
        <shadow val="0"/>
        <u val="none"/>
        <vertAlign val="baseline"/>
        <sz val="12"/>
        <name val="Calibri"/>
        <family val="2"/>
        <scheme val="none"/>
      </font>
      <fill>
        <patternFill patternType="solid">
          <fgColor indexed="64"/>
          <bgColor rgb="FFAEAAAA"/>
        </patternFill>
      </fill>
      <alignment horizontal="center" vertical="bottom" textRotation="0" wrapText="0" indent="0" justifyLastLine="0" shrinkToFit="0" readingOrder="0"/>
    </dxf>
    <dxf>
      <font>
        <b val="0"/>
        <i val="0"/>
        <strike val="0"/>
        <condense val="0"/>
        <extend val="0"/>
        <outline val="0"/>
        <shadow val="0"/>
        <u val="none"/>
        <vertAlign val="baseline"/>
        <sz val="12"/>
        <color rgb="FF000000"/>
        <name val="Calibri"/>
        <family val="2"/>
        <scheme val="none"/>
      </font>
      <fill>
        <patternFill patternType="solid">
          <fgColor indexed="64"/>
          <bgColor rgb="FFAEAAAA"/>
        </patternFill>
      </fill>
      <alignment horizontal="center" vertical="bottom" textRotation="0" wrapText="0" indent="0" justifyLastLine="0" shrinkToFit="0" readingOrder="0"/>
    </dxf>
    <dxf>
      <font>
        <b/>
        <strike val="0"/>
        <outline val="0"/>
        <shadow val="0"/>
        <u val="none"/>
        <vertAlign val="baseline"/>
        <sz val="12"/>
        <name val="Calibri"/>
        <family val="2"/>
        <scheme val="none"/>
      </font>
      <fill>
        <patternFill patternType="solid">
          <fgColor indexed="64"/>
          <bgColor rgb="FFF2F2F2"/>
        </patternFill>
      </fill>
      <alignment horizontal="center" vertical="center" textRotation="0" wrapText="0" indent="0" justifyLastLine="0" shrinkToFit="0" readingOrder="0"/>
    </dxf>
    <dxf>
      <font>
        <b/>
        <i val="0"/>
        <strike val="0"/>
        <condense val="0"/>
        <extend val="0"/>
        <outline val="0"/>
        <shadow val="0"/>
        <u val="none"/>
        <vertAlign val="baseline"/>
        <sz val="12"/>
        <color rgb="FF000000"/>
        <name val="Calibri"/>
        <family val="2"/>
        <scheme val="none"/>
      </font>
      <fill>
        <patternFill patternType="solid">
          <fgColor indexed="64"/>
          <bgColor rgb="FFF2F2F2"/>
        </patternFill>
      </fill>
      <alignment horizontal="center" vertical="center" textRotation="0" wrapText="0" indent="0" justifyLastLine="0" shrinkToFit="0" readingOrder="0"/>
    </dxf>
    <dxf>
      <border outline="0">
        <bottom style="thin">
          <color rgb="FF595959"/>
        </bottom>
      </border>
    </dxf>
    <dxf>
      <border outline="0">
        <top style="thin">
          <color rgb="FF595959"/>
        </top>
      </border>
    </dxf>
    <dxf>
      <font>
        <sz val="10"/>
        <name val="Calibri"/>
      </font>
    </dxf>
    <dxf>
      <font>
        <b/>
        <i val="0"/>
        <strike val="0"/>
        <condense val="0"/>
        <extend val="0"/>
        <outline val="0"/>
        <shadow val="0"/>
        <u val="none"/>
        <vertAlign val="baseline"/>
        <sz val="12"/>
        <color theme="2" tint="-0.34998626667073579"/>
        <name val="Calibri"/>
        <scheme val="minor"/>
      </font>
      <fill>
        <patternFill patternType="solid">
          <fgColor indexed="64"/>
          <bgColor rgb="FF0D0D0D"/>
        </patternFill>
      </fill>
      <border diagonalUp="0" diagonalDown="0" outline="0">
        <left style="thin">
          <color rgb="FF595959"/>
        </left>
        <right style="thin">
          <color rgb="FF595959"/>
        </right>
        <top/>
        <bottom/>
      </border>
    </dxf>
    <dxf>
      <font>
        <b/>
        <i val="0"/>
        <color rgb="FF554840"/>
      </font>
      <fill>
        <patternFill patternType="solid">
          <bgColor rgb="FFE2D0AA"/>
        </patternFill>
      </fill>
    </dxf>
    <dxf>
      <font>
        <b/>
        <i val="0"/>
        <color rgb="FF375623"/>
      </font>
      <fill>
        <patternFill patternType="solid">
          <bgColor rgb="FFC0C5B2"/>
        </patternFill>
      </fill>
    </dxf>
    <dxf>
      <font>
        <color rgb="FF554840"/>
      </font>
      <fill>
        <patternFill patternType="solid">
          <bgColor rgb="FFE2D0AA"/>
        </patternFill>
      </fill>
    </dxf>
    <dxf>
      <font>
        <color rgb="FF554840"/>
      </font>
      <fill>
        <patternFill patternType="solid">
          <bgColor rgb="FFE2D0AA"/>
        </patternFill>
      </fill>
    </dxf>
    <dxf>
      <font>
        <b/>
        <i val="0"/>
        <color rgb="FF554840"/>
      </font>
      <fill>
        <patternFill patternType="solid">
          <bgColor rgb="FFE2D0AA"/>
        </patternFill>
      </fill>
    </dxf>
    <dxf>
      <font>
        <b/>
        <i val="0"/>
        <color rgb="FF375623"/>
      </font>
      <fill>
        <patternFill patternType="solid">
          <bgColor rgb="FFC0C5B2"/>
        </patternFill>
      </fill>
    </dxf>
    <dxf>
      <font>
        <b/>
        <i val="0"/>
        <color rgb="FF375623"/>
      </font>
      <fill>
        <patternFill patternType="solid">
          <bgColor rgb="FFC0C5B2"/>
        </patternFill>
      </fill>
    </dxf>
    <dxf>
      <font>
        <b val="0"/>
        <i val="0"/>
        <strike val="0"/>
        <condense val="0"/>
        <extend val="0"/>
        <outline val="0"/>
        <shadow val="0"/>
        <u val="none"/>
        <vertAlign val="baseline"/>
        <sz val="10"/>
        <color rgb="FF434343"/>
        <name val="Calibri"/>
        <family val="2"/>
        <scheme val="none"/>
      </font>
      <numFmt numFmtId="0" formatCode="General"/>
    </dxf>
    <dxf>
      <font>
        <b val="0"/>
        <i val="0"/>
        <strike val="0"/>
        <condense val="0"/>
        <extend val="0"/>
        <outline val="0"/>
        <shadow val="0"/>
        <u val="none"/>
        <vertAlign val="baseline"/>
        <sz val="10"/>
        <color rgb="FF434343"/>
        <name val="Calibri"/>
        <family val="2"/>
        <scheme val="none"/>
      </font>
      <numFmt numFmtId="0" formatCode="General"/>
    </dxf>
    <dxf>
      <font>
        <b val="0"/>
        <i val="0"/>
        <strike val="0"/>
        <condense val="0"/>
        <extend val="0"/>
        <outline val="0"/>
        <shadow val="0"/>
        <u val="none"/>
        <vertAlign val="baseline"/>
        <sz val="10"/>
        <color rgb="FF434343"/>
        <name val="Calibri"/>
        <family val="2"/>
        <scheme val="none"/>
      </font>
      <numFmt numFmtId="0" formatCode="General"/>
    </dxf>
    <dxf>
      <font>
        <b val="0"/>
        <i val="0"/>
        <strike val="0"/>
        <condense val="0"/>
        <extend val="0"/>
        <outline val="0"/>
        <shadow val="0"/>
        <u val="none"/>
        <vertAlign val="baseline"/>
        <sz val="10"/>
        <color rgb="FF434343"/>
        <name val="Calibri"/>
        <family val="2"/>
        <scheme val="none"/>
      </font>
      <numFmt numFmtId="0" formatCode="General"/>
    </dxf>
    <dxf>
      <font>
        <b val="0"/>
        <i val="0"/>
        <strike val="0"/>
        <condense val="0"/>
        <extend val="0"/>
        <outline val="0"/>
        <shadow val="0"/>
        <u val="none"/>
        <vertAlign val="baseline"/>
        <sz val="10"/>
        <color rgb="FF434343"/>
        <name val="Calibri"/>
        <family val="2"/>
        <scheme val="none"/>
      </font>
      <numFmt numFmtId="0" formatCode="General"/>
    </dxf>
    <dxf>
      <font>
        <b val="0"/>
        <i val="0"/>
        <strike val="0"/>
        <condense val="0"/>
        <extend val="0"/>
        <outline val="0"/>
        <shadow val="0"/>
        <u val="none"/>
        <vertAlign val="baseline"/>
        <sz val="10"/>
        <color rgb="FF434343"/>
        <name val="Calibri"/>
        <family val="2"/>
        <scheme val="none"/>
      </font>
      <numFmt numFmtId="0" formatCode="General"/>
    </dxf>
    <dxf>
      <font>
        <b val="0"/>
        <i val="0"/>
        <strike val="0"/>
        <condense val="0"/>
        <extend val="0"/>
        <outline val="0"/>
        <shadow val="0"/>
        <u val="none"/>
        <vertAlign val="baseline"/>
        <sz val="10"/>
        <color rgb="FF434343"/>
        <name val="Calibri"/>
        <family val="2"/>
        <scheme val="none"/>
      </font>
      <numFmt numFmtId="0" formatCode="General"/>
    </dxf>
    <dxf>
      <font>
        <b val="0"/>
        <i val="0"/>
        <strike val="0"/>
        <condense val="0"/>
        <extend val="0"/>
        <outline val="0"/>
        <shadow val="0"/>
        <u val="none"/>
        <vertAlign val="baseline"/>
        <sz val="10"/>
        <color rgb="FF434343"/>
        <name val="Calibri"/>
        <family val="2"/>
        <scheme val="none"/>
      </font>
      <numFmt numFmtId="0" formatCode="General"/>
    </dxf>
    <dxf>
      <font>
        <b val="0"/>
        <i val="0"/>
        <strike val="0"/>
        <condense val="0"/>
        <extend val="0"/>
        <outline val="0"/>
        <shadow val="0"/>
        <u val="none"/>
        <vertAlign val="baseline"/>
        <sz val="10"/>
        <color rgb="FF434343"/>
        <name val="Calibri"/>
        <family val="2"/>
        <scheme val="none"/>
      </font>
      <numFmt numFmtId="0" formatCode="General"/>
    </dxf>
    <dxf>
      <font>
        <b val="0"/>
        <i val="0"/>
        <strike val="0"/>
        <condense val="0"/>
        <extend val="0"/>
        <outline val="0"/>
        <shadow val="0"/>
        <u val="none"/>
        <vertAlign val="baseline"/>
        <sz val="10"/>
        <color rgb="FF434343"/>
        <name val="Calibri"/>
        <family val="2"/>
        <scheme val="none"/>
      </font>
      <numFmt numFmtId="0" formatCode="General"/>
    </dxf>
    <dxf>
      <font>
        <b val="0"/>
        <i val="0"/>
        <strike val="0"/>
        <condense val="0"/>
        <extend val="0"/>
        <outline val="0"/>
        <shadow val="0"/>
        <u val="none"/>
        <vertAlign val="baseline"/>
        <sz val="10"/>
        <color rgb="FF434343"/>
        <name val="Calibri"/>
        <family val="2"/>
        <scheme val="none"/>
      </font>
      <numFmt numFmtId="0" formatCode="General"/>
    </dxf>
    <dxf>
      <font>
        <b val="0"/>
        <i val="0"/>
        <strike val="0"/>
        <condense val="0"/>
        <extend val="0"/>
        <outline val="0"/>
        <shadow val="0"/>
        <u val="none"/>
        <vertAlign val="baseline"/>
        <sz val="10"/>
        <color rgb="FF434343"/>
        <name val="Calibri"/>
        <family val="2"/>
        <scheme val="none"/>
      </font>
      <numFmt numFmtId="0" formatCode="General"/>
    </dxf>
    <dxf>
      <font>
        <b val="0"/>
        <i val="0"/>
        <strike val="0"/>
        <condense val="0"/>
        <extend val="0"/>
        <outline val="0"/>
        <shadow val="0"/>
        <u val="none"/>
        <vertAlign val="baseline"/>
        <sz val="10"/>
        <color rgb="FF434343"/>
        <name val="Calibri"/>
        <family val="2"/>
        <scheme val="none"/>
      </font>
      <numFmt numFmtId="0" formatCode="General"/>
    </dxf>
    <dxf>
      <font>
        <b val="0"/>
        <i val="0"/>
        <strike val="0"/>
        <condense val="0"/>
        <extend val="0"/>
        <outline val="0"/>
        <shadow val="0"/>
        <u val="none"/>
        <vertAlign val="baseline"/>
        <sz val="10"/>
        <color rgb="FF434343"/>
        <name val="Calibri"/>
        <family val="2"/>
        <scheme val="none"/>
      </font>
      <numFmt numFmtId="0" formatCode="General"/>
    </dxf>
    <dxf>
      <font>
        <b val="0"/>
        <i val="0"/>
        <strike val="0"/>
        <condense val="0"/>
        <extend val="0"/>
        <outline val="0"/>
        <shadow val="0"/>
        <u val="none"/>
        <vertAlign val="baseline"/>
        <sz val="10"/>
        <color rgb="FF434343"/>
        <name val="Calibri"/>
        <family val="2"/>
        <scheme val="none"/>
      </font>
      <numFmt numFmtId="0" formatCode="General"/>
    </dxf>
    <dxf>
      <font>
        <b val="0"/>
        <i val="0"/>
        <strike val="0"/>
        <condense val="0"/>
        <extend val="0"/>
        <outline val="0"/>
        <shadow val="0"/>
        <u val="none"/>
        <vertAlign val="baseline"/>
        <sz val="10"/>
        <color rgb="FF434343"/>
        <name val="Calibri"/>
        <family val="2"/>
        <scheme val="none"/>
      </font>
      <numFmt numFmtId="0" formatCode="General"/>
    </dxf>
    <dxf>
      <font>
        <b val="0"/>
        <i val="0"/>
        <strike val="0"/>
        <condense val="0"/>
        <extend val="0"/>
        <outline val="0"/>
        <shadow val="0"/>
        <u val="none"/>
        <vertAlign val="baseline"/>
        <sz val="10"/>
        <color rgb="FF434343"/>
        <name val="Calibri"/>
        <family val="2"/>
        <scheme val="none"/>
      </font>
      <numFmt numFmtId="0" formatCode="General"/>
      <alignment horizontal="general" vertical="top"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numFmt numFmtId="0" formatCode="General"/>
      <alignment horizontal="general" vertical="top"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numFmt numFmtId="164" formatCode="&quot;$&quot;#,##0.00"/>
      <alignment horizontal="general" vertical="top"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alignment horizontal="general" vertical="top"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alignment horizontal="left" vertical="top"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alignment horizontal="left" vertical="top" textRotation="0" wrapText="1"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alignment horizontal="left" vertical="top" textRotation="0" wrapText="1"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alignment horizontal="left" vertical="top" textRotation="0" wrapText="1"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alignment horizontal="left" vertical="top" textRotation="0" wrapText="1"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alignment horizontal="left" vertical="top" textRotation="0" wrapText="1"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alignment horizontal="left" vertical="top" textRotation="0" wrapText="1"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alignment horizontal="left" vertical="top" textRotation="0" wrapText="1"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alignment horizontal="left" vertical="top" textRotation="0" wrapText="1"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i val="0"/>
        <strike val="0"/>
        <condense val="0"/>
        <extend val="0"/>
        <outline val="0"/>
        <shadow val="0"/>
        <u val="none"/>
        <vertAlign val="baseline"/>
        <sz val="10"/>
        <color theme="1"/>
        <name val="Calibri"/>
        <family val="2"/>
        <scheme val="none"/>
      </font>
      <numFmt numFmtId="2" formatCode="0.00"/>
      <alignment horizontal="center" vertical="bottom"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numFmt numFmtId="164" formatCode="&quot;$&quot;#,##0.00"/>
      <alignment horizontal="center" vertical="bottom"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numFmt numFmtId="165" formatCode="0.00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alignment horizontal="center" vertical="center"/>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i val="0"/>
        <strike val="0"/>
        <condense val="0"/>
        <extend val="0"/>
        <outline val="0"/>
        <shadow val="0"/>
        <u val="none"/>
        <vertAlign val="baseline"/>
        <sz val="10"/>
        <color rgb="FF434343"/>
        <name val="Calibri"/>
        <family val="2"/>
        <scheme val="none"/>
      </font>
      <alignment horizontal="left"/>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fill>
        <patternFill patternType="solid">
          <fgColor indexed="64"/>
          <bgColor theme="0" tint="-0.14999847407452621"/>
        </patternFill>
      </fill>
      <alignment horizontal="center" vertical="bottom"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numFmt numFmtId="164" formatCode="&quot;$&quot;#,##0.00"/>
      <fill>
        <patternFill patternType="solid">
          <fgColor indexed="64"/>
          <bgColor theme="0" tint="-0.14999847407452621"/>
        </patternFill>
      </fill>
      <alignment horizontal="center" vertical="bottom"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fill>
        <patternFill patternType="solid">
          <fgColor indexed="64"/>
          <bgColor theme="5" tint="0.89999084444715716"/>
        </patternFill>
      </fill>
      <alignment horizontal="left" vertical="center"/>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fill>
        <patternFill patternType="none">
          <fgColor indexed="64"/>
          <bgColor theme="0" tint="-0.249977111117893"/>
        </patternFill>
      </fill>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fill>
        <patternFill patternType="none">
          <fgColor indexed="64"/>
          <bgColor theme="0" tint="-0.249977111117893"/>
        </patternFill>
      </fill>
      <alignment horizontal="center" vertical="center"/>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i val="0"/>
        <strike val="0"/>
        <condense val="0"/>
        <extend val="0"/>
        <outline val="0"/>
        <shadow val="0"/>
        <u val="none"/>
        <vertAlign val="baseline"/>
        <sz val="10"/>
        <color rgb="FF434343"/>
        <name val="Calibri"/>
        <family val="2"/>
        <scheme val="none"/>
      </font>
      <numFmt numFmtId="165" formatCode="0.000"/>
      <alignment horizontal="right"/>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i val="0"/>
        <strike val="0"/>
        <condense val="0"/>
        <extend val="0"/>
        <outline val="0"/>
        <shadow val="0"/>
        <u val="none"/>
        <vertAlign val="baseline"/>
        <sz val="10"/>
        <color rgb="FF434343"/>
        <name val="Calibri"/>
        <family val="2"/>
        <scheme val="none"/>
      </font>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i val="0"/>
        <strike val="0"/>
        <condense val="0"/>
        <extend val="0"/>
        <outline val="0"/>
        <shadow val="0"/>
        <u val="none"/>
        <vertAlign val="baseline"/>
        <sz val="10"/>
        <color rgb="FF434343"/>
        <name val="Calibri"/>
        <family val="2"/>
        <scheme val="none"/>
      </font>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i val="0"/>
        <strike val="0"/>
        <condense val="0"/>
        <extend val="0"/>
        <outline val="0"/>
        <shadow val="0"/>
        <u val="none"/>
        <vertAlign val="baseline"/>
        <sz val="10"/>
        <color rgb="FF434343"/>
        <name val="Calibri"/>
        <family val="2"/>
        <scheme val="none"/>
      </font>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alignment horizontal="center" vertical="bottom"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alignment horizontal="center" vertical="bottom"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alignment horizontal="center" vertical="bottom"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rgb="FF434343"/>
        <name val="Calibri"/>
        <family val="2"/>
        <scheme val="none"/>
      </font>
      <alignment horizontal="center" vertical="bottom"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rgb="FF434343"/>
        <name val="Calibri"/>
        <family val="2"/>
        <scheme val="none"/>
      </font>
      <alignment horizontal="center" vertical="bottom"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rgb="FF434343"/>
        <name val="Calibri"/>
        <family val="2"/>
        <scheme val="none"/>
      </font>
      <alignment horizontal="center" vertical="bottom"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alignment horizontal="center" vertical="bottom"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alignment horizontal="center" vertical="bottom"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alignment horizontal="center" vertical="bottom"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alignment horizontal="center" vertical="bottom"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alignment horizontal="center" vertical="bottom"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alignment horizontal="center" vertical="bottom"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alignment horizontal="center" vertical="bottom"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fill>
        <patternFill patternType="solid">
          <fgColor rgb="FFF3F3F3"/>
          <bgColor rgb="FFF3F3F3"/>
        </patternFill>
      </fill>
      <alignment horizontal="center" vertical="bottom"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fill>
        <patternFill patternType="solid">
          <fgColor rgb="FFF3F3F3"/>
          <bgColor rgb="FFF3F3F3"/>
        </patternFill>
      </fill>
      <alignment horizontal="fill" vertical="bottom"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i val="0"/>
        <strike val="0"/>
        <condense val="0"/>
        <extend val="0"/>
        <outline val="0"/>
        <shadow val="0"/>
        <u val="none"/>
        <vertAlign val="baseline"/>
        <sz val="10"/>
        <color rgb="FF434343"/>
        <name val="Calibri"/>
        <family val="2"/>
        <scheme val="none"/>
      </font>
      <fill>
        <patternFill patternType="solid">
          <fgColor rgb="FFF3F3F3"/>
          <bgColor rgb="FFF3F3F3"/>
        </patternFill>
      </fill>
      <alignment horizontal="fill" vertical="bottom" textRotation="0" wrapText="1"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fill>
        <patternFill patternType="solid">
          <fgColor rgb="FFF3F3F3"/>
          <bgColor rgb="FFF3F3F3"/>
        </patternFill>
      </fill>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fill>
        <patternFill patternType="solid">
          <fgColor rgb="FFF3F3F3"/>
          <bgColor rgb="FFF3F3F3"/>
        </patternFill>
      </fill>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numFmt numFmtId="166" formatCode="d&quot;-&quot;mmm&quot;-&quot;yyyy"/>
      <fill>
        <patternFill patternType="solid">
          <fgColor rgb="FFF3F3F3"/>
          <bgColor rgb="FFF3F3F3"/>
        </patternFill>
      </fill>
      <border diagonalUp="0" diagonalDown="0">
        <left/>
        <right style="thin">
          <color theme="0" tint="-0.24994659260841701"/>
        </right>
        <top style="thin">
          <color theme="0" tint="-0.24994659260841701"/>
        </top>
        <bottom/>
        <vertical/>
        <horizontal/>
      </border>
    </dxf>
    <dxf>
      <font>
        <b val="0"/>
        <i val="0"/>
        <strike val="0"/>
        <condense val="0"/>
        <extend val="0"/>
        <outline val="0"/>
        <shadow val="0"/>
        <u val="none"/>
        <vertAlign val="baseline"/>
        <sz val="10"/>
        <color rgb="FF434343"/>
        <name val="Calibri"/>
        <family val="2"/>
        <scheme val="none"/>
      </font>
      <numFmt numFmtId="166" formatCode="d&quot;-&quot;mmm&quot;-&quot;yyyy"/>
      <fill>
        <patternFill patternType="solid">
          <fgColor rgb="FFF3F3F3"/>
          <bgColor rgb="FFF3F3F3"/>
        </patternFill>
      </fill>
      <border diagonalUp="0" diagonalDown="0" outline="0">
        <left/>
        <right style="thin">
          <color theme="0" tint="-0.24994659260841701"/>
        </right>
        <top style="thin">
          <color theme="0" tint="-0.24994659260841701"/>
        </top>
        <bottom style="thin">
          <color theme="0" tint="-0.24994659260841701"/>
        </bottom>
      </border>
    </dxf>
    <dxf>
      <border>
        <top style="thin">
          <color theme="0" tint="-0.24994659260841701"/>
        </top>
      </border>
    </dxf>
    <dxf>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434343"/>
        <name val="Calibri"/>
        <family val="2"/>
        <scheme val="none"/>
      </font>
    </dxf>
    <dxf>
      <font>
        <b/>
        <i val="0"/>
        <strike val="0"/>
        <condense val="0"/>
        <extend val="0"/>
        <outline val="0"/>
        <shadow val="0"/>
        <u val="none"/>
        <vertAlign val="baseline"/>
        <sz val="10"/>
        <color theme="0"/>
        <name val="Roboto"/>
        <scheme val="none"/>
      </font>
      <fill>
        <patternFill patternType="solid">
          <fgColor rgb="FF333333"/>
          <bgColor rgb="FF333333"/>
        </patternFill>
      </fill>
      <border diagonalUp="0" diagonalDown="0" outline="0">
        <left style="thin">
          <color theme="0" tint="-0.24994659260841701"/>
        </left>
        <right style="thin">
          <color theme="0" tint="-0.24994659260841701"/>
        </right>
        <top/>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i val="0"/>
        <color rgb="FF000000"/>
      </font>
      <fill>
        <patternFill patternType="solid">
          <bgColor rgb="FFC0C5B2"/>
        </patternFill>
      </fill>
    </dxf>
    <dxf>
      <font>
        <b/>
        <i val="0"/>
        <color rgb="FF554840"/>
      </font>
      <fill>
        <patternFill patternType="solid">
          <bgColor rgb="FFFFFFFF"/>
        </patternFill>
      </fill>
    </dxf>
    <dxf>
      <font>
        <b/>
        <i val="0"/>
        <color rgb="FF554840"/>
      </font>
      <fill>
        <patternFill patternType="solid">
          <bgColor rgb="FFE2D0AA"/>
        </patternFill>
      </fill>
    </dxf>
    <dxf>
      <font>
        <b/>
        <i val="0"/>
        <color rgb="FF554840"/>
      </font>
      <fill>
        <patternFill patternType="solid">
          <bgColor rgb="FFF3F3F3"/>
        </patternFill>
      </fill>
    </dxf>
    <dxf>
      <font>
        <b/>
        <i val="0"/>
        <color rgb="FF000000"/>
      </font>
      <fill>
        <patternFill patternType="solid">
          <bgColor rgb="FFC0C5B2"/>
        </patternFill>
      </fill>
    </dxf>
    <dxf>
      <font>
        <b/>
        <i val="0"/>
        <color rgb="FF554840"/>
      </font>
      <fill>
        <patternFill patternType="solid">
          <bgColor rgb="FFFFFFFF"/>
        </patternFill>
      </fill>
    </dxf>
    <dxf>
      <font>
        <b/>
        <i val="0"/>
        <color rgb="FF554840"/>
      </font>
      <fill>
        <patternFill patternType="solid">
          <bgColor rgb="FFE2D0AA"/>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000000"/>
      </font>
      <fill>
        <patternFill patternType="solid">
          <bgColor rgb="FFC0C5B2"/>
        </patternFill>
      </fill>
    </dxf>
    <dxf>
      <font>
        <b/>
        <i val="0"/>
        <color rgb="FF554840"/>
      </font>
      <fill>
        <patternFill patternType="solid">
          <bgColor rgb="FFFFFFFF"/>
        </patternFill>
      </fill>
    </dxf>
    <dxf>
      <font>
        <b/>
        <i val="0"/>
        <color rgb="FF554840"/>
      </font>
      <fill>
        <patternFill patternType="solid">
          <bgColor rgb="FFE2D0AA"/>
        </patternFill>
      </fill>
    </dxf>
    <dxf>
      <font>
        <b/>
        <i val="0"/>
        <color rgb="FF000000"/>
      </font>
      <fill>
        <patternFill patternType="solid">
          <bgColor rgb="FFC0C5B2"/>
        </patternFill>
      </fill>
    </dxf>
    <dxf>
      <font>
        <b/>
        <i val="0"/>
        <color rgb="FF554840"/>
      </font>
      <fill>
        <patternFill patternType="solid">
          <bgColor rgb="FFFFFFFF"/>
        </patternFill>
      </fill>
    </dxf>
    <dxf>
      <font>
        <b/>
        <i val="0"/>
        <color rgb="FF554840"/>
      </font>
      <fill>
        <patternFill patternType="solid">
          <bgColor rgb="FFE2D0AA"/>
        </patternFill>
      </fill>
    </dxf>
    <dxf>
      <font>
        <b/>
        <i val="0"/>
        <color theme="1"/>
      </font>
      <fill>
        <patternFill patternType="solid">
          <bgColor theme="0"/>
        </patternFill>
      </fill>
    </dxf>
    <dxf>
      <font>
        <b/>
        <i val="0"/>
        <color theme="1"/>
      </font>
      <fill>
        <patternFill patternType="solid">
          <bgColor rgb="FFC0C5B2"/>
        </patternFill>
      </fill>
    </dxf>
    <dxf>
      <font>
        <b/>
        <i val="0"/>
        <color theme="1"/>
      </font>
      <fill>
        <patternFill patternType="solid">
          <bgColor rgb="FFE2D0AA"/>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i val="0"/>
        <color rgb="FF000000"/>
      </font>
      <fill>
        <patternFill patternType="solid">
          <bgColor rgb="FFC0C5B2"/>
        </patternFill>
      </fill>
    </dxf>
    <dxf>
      <font>
        <b/>
        <i val="0"/>
        <color rgb="FF554840"/>
      </font>
      <fill>
        <patternFill patternType="solid">
          <bgColor rgb="FFFFFFFF"/>
        </patternFill>
      </fill>
    </dxf>
    <dxf>
      <font>
        <b/>
        <i val="0"/>
        <color rgb="FF554840"/>
      </font>
      <fill>
        <patternFill patternType="solid">
          <bgColor rgb="FFE2D0AA"/>
        </patternFill>
      </fill>
    </dxf>
    <dxf>
      <font>
        <b/>
        <i val="0"/>
        <color rgb="FF554840"/>
      </font>
      <fill>
        <patternFill patternType="solid">
          <bgColor rgb="FFF3F3F3"/>
        </patternFill>
      </fill>
    </dxf>
    <dxf>
      <font>
        <b/>
        <i val="0"/>
        <color theme="0"/>
      </font>
      <fill>
        <patternFill patternType="solid">
          <bgColor rgb="FF0070C0"/>
        </patternFill>
      </fill>
    </dxf>
    <dxf>
      <font>
        <b/>
        <i val="0"/>
        <color theme="0"/>
      </font>
      <fill>
        <patternFill patternType="solid">
          <bgColor theme="6" tint="-0.249977111117893"/>
        </patternFill>
      </fill>
    </dxf>
    <dxf>
      <font>
        <b/>
        <i val="0"/>
        <color theme="1" tint="4.9989318521683403E-2"/>
      </font>
      <fill>
        <patternFill patternType="solid">
          <bgColor rgb="FF00B050"/>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000000"/>
      </font>
      <fill>
        <patternFill patternType="solid">
          <bgColor rgb="FFC0C5B2"/>
        </patternFill>
      </fill>
    </dxf>
    <dxf>
      <font>
        <b/>
        <i val="0"/>
        <color rgb="FF554840"/>
      </font>
      <fill>
        <patternFill patternType="solid">
          <bgColor rgb="FFFFFFFF"/>
        </patternFill>
      </fill>
    </dxf>
    <dxf>
      <font>
        <b/>
        <i val="0"/>
        <color rgb="FF554840"/>
      </font>
      <fill>
        <patternFill patternType="solid">
          <bgColor rgb="FFE2D0AA"/>
        </patternFill>
      </fill>
    </dxf>
    <dxf>
      <font>
        <b/>
        <i val="0"/>
        <color rgb="FF000000"/>
      </font>
      <fill>
        <patternFill patternType="solid">
          <bgColor rgb="FFC0C5B2"/>
        </patternFill>
      </fill>
    </dxf>
    <dxf>
      <font>
        <b/>
        <i val="0"/>
        <color rgb="FF554840"/>
      </font>
      <fill>
        <patternFill patternType="solid">
          <bgColor rgb="FFFFFFFF"/>
        </patternFill>
      </fill>
    </dxf>
    <dxf>
      <font>
        <b/>
        <i val="0"/>
        <color rgb="FF554840"/>
      </font>
      <fill>
        <patternFill patternType="solid">
          <bgColor rgb="FFE2D0AA"/>
        </patternFill>
      </fill>
    </dxf>
    <dxf>
      <font>
        <b/>
        <i val="0"/>
        <color theme="1"/>
      </font>
      <fill>
        <patternFill patternType="solid">
          <bgColor theme="0"/>
        </patternFill>
      </fill>
    </dxf>
    <dxf>
      <font>
        <b/>
        <i val="0"/>
        <color theme="1"/>
      </font>
      <fill>
        <patternFill patternType="solid">
          <bgColor rgb="FFC0C5B2"/>
        </patternFill>
      </fill>
    </dxf>
    <dxf>
      <font>
        <b/>
        <i val="0"/>
        <color theme="1"/>
      </font>
      <fill>
        <patternFill patternType="solid">
          <bgColor rgb="FFE2D0AA"/>
        </patternFill>
      </fill>
    </dxf>
    <dxf>
      <font>
        <b/>
        <i val="0"/>
        <color rgb="FF000000"/>
      </font>
      <fill>
        <patternFill patternType="solid">
          <bgColor rgb="FFC0C5B2"/>
        </patternFill>
      </fill>
    </dxf>
    <dxf>
      <font>
        <b/>
        <i val="0"/>
        <color rgb="FF554840"/>
      </font>
      <fill>
        <patternFill patternType="solid">
          <bgColor rgb="FFFFFFFF"/>
        </patternFill>
      </fill>
    </dxf>
    <dxf>
      <font>
        <b/>
        <i val="0"/>
        <color rgb="FF554840"/>
      </font>
      <fill>
        <patternFill patternType="solid">
          <bgColor rgb="FFE2D0AA"/>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000000"/>
      </font>
      <fill>
        <patternFill patternType="solid">
          <bgColor rgb="FFC0C5B2"/>
        </patternFill>
      </fill>
    </dxf>
    <dxf>
      <font>
        <b/>
        <i val="0"/>
        <color rgb="FF554840"/>
      </font>
      <fill>
        <patternFill patternType="solid">
          <bgColor rgb="FFFFFFFF"/>
        </patternFill>
      </fill>
    </dxf>
    <dxf>
      <font>
        <b/>
        <i val="0"/>
        <color rgb="FF554840"/>
      </font>
      <fill>
        <patternFill patternType="solid">
          <bgColor rgb="FFE2D0AA"/>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i val="0"/>
        <color rgb="FF000000"/>
      </font>
      <fill>
        <patternFill patternType="solid">
          <bgColor rgb="FFC0C5B2"/>
        </patternFill>
      </fill>
    </dxf>
    <dxf>
      <font>
        <b/>
        <i val="0"/>
        <color rgb="FF554840"/>
      </font>
      <fill>
        <patternFill patternType="solid">
          <bgColor rgb="FFFFFFFF"/>
        </patternFill>
      </fill>
    </dxf>
    <dxf>
      <font>
        <b/>
        <i val="0"/>
        <color rgb="FF554840"/>
      </font>
      <fill>
        <patternFill patternType="solid">
          <bgColor rgb="FFE2D0AA"/>
        </patternFill>
      </fill>
    </dxf>
    <dxf>
      <font>
        <b/>
        <i val="0"/>
        <color theme="1"/>
      </font>
      <fill>
        <patternFill patternType="solid">
          <bgColor theme="0"/>
        </patternFill>
      </fill>
    </dxf>
    <dxf>
      <font>
        <b/>
        <i val="0"/>
        <color theme="1"/>
      </font>
      <fill>
        <patternFill patternType="solid">
          <bgColor rgb="FFC0C5B2"/>
        </patternFill>
      </fill>
    </dxf>
    <dxf>
      <font>
        <b/>
        <i val="0"/>
        <color theme="1"/>
      </font>
      <fill>
        <patternFill patternType="solid">
          <bgColor rgb="FFE2D0AA"/>
        </patternFill>
      </fill>
    </dxf>
    <dxf>
      <font>
        <b/>
        <i val="0"/>
        <color rgb="FF000000"/>
      </font>
      <fill>
        <patternFill patternType="solid">
          <bgColor rgb="FFC0C5B2"/>
        </patternFill>
      </fill>
    </dxf>
    <dxf>
      <font>
        <b/>
        <i val="0"/>
        <color rgb="FF554840"/>
      </font>
      <fill>
        <patternFill patternType="solid">
          <bgColor rgb="FFFFFFFF"/>
        </patternFill>
      </fill>
    </dxf>
    <dxf>
      <font>
        <b/>
        <i val="0"/>
        <color rgb="FF554840"/>
      </font>
      <fill>
        <patternFill patternType="solid">
          <bgColor rgb="FFE2D0AA"/>
        </patternFill>
      </fill>
    </dxf>
    <dxf>
      <font>
        <b/>
        <i val="0"/>
        <color rgb="FF554840"/>
      </font>
      <fill>
        <patternFill patternType="solid">
          <bgColor rgb="FFF3F3F3"/>
        </patternFill>
      </fill>
    </dxf>
    <dxf>
      <font>
        <b/>
        <i val="0"/>
        <color rgb="FF000000"/>
      </font>
      <fill>
        <patternFill patternType="solid">
          <bgColor rgb="FFC0C5B2"/>
        </patternFill>
      </fill>
    </dxf>
    <dxf>
      <font>
        <b/>
        <i val="0"/>
        <color rgb="FF554840"/>
      </font>
      <fill>
        <patternFill patternType="solid">
          <bgColor rgb="FFFFFFFF"/>
        </patternFill>
      </fill>
    </dxf>
    <dxf>
      <font>
        <b/>
        <i val="0"/>
        <color rgb="FF554840"/>
      </font>
      <fill>
        <patternFill patternType="solid">
          <bgColor rgb="FFE2D0AA"/>
        </patternFill>
      </fill>
    </dxf>
    <dxf>
      <font>
        <b/>
        <i val="0"/>
        <color rgb="FF554840"/>
      </font>
      <fill>
        <patternFill patternType="solid">
          <bgColor rgb="FFF3F3F3"/>
        </patternFill>
      </fill>
    </dxf>
    <dxf>
      <font>
        <b/>
        <i val="0"/>
        <color rgb="FF000000"/>
      </font>
      <fill>
        <patternFill patternType="solid">
          <bgColor rgb="FFC0C5B2"/>
        </patternFill>
      </fill>
    </dxf>
    <dxf>
      <font>
        <b/>
        <i val="0"/>
        <color rgb="FF554840"/>
      </font>
      <fill>
        <patternFill patternType="solid">
          <bgColor rgb="FFFFFFFF"/>
        </patternFill>
      </fill>
    </dxf>
    <dxf>
      <font>
        <b/>
        <i val="0"/>
        <color rgb="FF554840"/>
      </font>
      <fill>
        <patternFill patternType="solid">
          <bgColor rgb="FFE2D0AA"/>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000000"/>
      </font>
      <fill>
        <patternFill patternType="solid">
          <bgColor rgb="FFC0C5B2"/>
        </patternFill>
      </fill>
    </dxf>
    <dxf>
      <font>
        <b/>
        <i val="0"/>
        <color rgb="FF554840"/>
      </font>
      <fill>
        <patternFill patternType="solid">
          <bgColor rgb="FFFFFFFF"/>
        </patternFill>
      </fill>
    </dxf>
    <dxf>
      <font>
        <b/>
        <i val="0"/>
        <color rgb="FF554840"/>
      </font>
      <fill>
        <patternFill patternType="solid">
          <bgColor rgb="FFE2D0AA"/>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000000"/>
      </font>
      <fill>
        <patternFill patternType="solid">
          <bgColor rgb="FFC0C5B2"/>
        </patternFill>
      </fill>
    </dxf>
    <dxf>
      <font>
        <b/>
        <i val="0"/>
        <color rgb="FF554840"/>
      </font>
      <fill>
        <patternFill patternType="solid">
          <bgColor rgb="FFFFFFFF"/>
        </patternFill>
      </fill>
    </dxf>
    <dxf>
      <font>
        <b/>
        <i val="0"/>
        <color rgb="FF554840"/>
      </font>
      <fill>
        <patternFill patternType="solid">
          <bgColor rgb="FFE2D0AA"/>
        </patternFill>
      </fill>
    </dxf>
    <dxf>
      <font>
        <b/>
        <i val="0"/>
        <color theme="1"/>
      </font>
      <fill>
        <patternFill patternType="solid">
          <bgColor theme="0"/>
        </patternFill>
      </fill>
    </dxf>
    <dxf>
      <font>
        <b/>
        <i val="0"/>
        <color theme="1"/>
      </font>
      <fill>
        <patternFill patternType="solid">
          <bgColor rgb="FFC0C5B2"/>
        </patternFill>
      </fill>
    </dxf>
    <dxf>
      <font>
        <b/>
        <i val="0"/>
        <color theme="1"/>
      </font>
      <fill>
        <patternFill patternType="solid">
          <bgColor rgb="FFE2D0AA"/>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i val="0"/>
        <color rgb="FF000000"/>
      </font>
      <fill>
        <patternFill patternType="solid">
          <bgColor rgb="FFC0C5B2"/>
        </patternFill>
      </fill>
    </dxf>
    <dxf>
      <font>
        <b/>
        <i val="0"/>
        <color rgb="FF554840"/>
      </font>
      <fill>
        <patternFill patternType="solid">
          <bgColor rgb="FFFFFFFF"/>
        </patternFill>
      </fill>
    </dxf>
    <dxf>
      <font>
        <b/>
        <i val="0"/>
        <color rgb="FF554840"/>
      </font>
      <fill>
        <patternFill patternType="solid">
          <bgColor rgb="FFE2D0AA"/>
        </patternFill>
      </fill>
    </dxf>
    <dxf>
      <font>
        <b/>
        <i val="0"/>
        <color theme="1"/>
      </font>
      <fill>
        <patternFill patternType="solid">
          <bgColor theme="0"/>
        </patternFill>
      </fill>
    </dxf>
    <dxf>
      <font>
        <b/>
        <i val="0"/>
        <color theme="1"/>
      </font>
      <fill>
        <patternFill patternType="solid">
          <bgColor rgb="FFC0C5B2"/>
        </patternFill>
      </fill>
    </dxf>
    <dxf>
      <font>
        <b/>
        <i val="0"/>
        <color theme="1"/>
      </font>
      <fill>
        <patternFill patternType="solid">
          <bgColor rgb="FFE2D0AA"/>
        </patternFill>
      </fill>
    </dxf>
    <dxf>
      <font>
        <b/>
        <i val="0"/>
        <color theme="0"/>
      </font>
      <fill>
        <patternFill patternType="solid">
          <bgColor rgb="FF0070C0"/>
        </patternFill>
      </fill>
    </dxf>
    <dxf>
      <font>
        <b/>
        <i val="0"/>
        <color theme="0"/>
      </font>
      <fill>
        <patternFill patternType="solid">
          <bgColor theme="6" tint="-0.249977111117893"/>
        </patternFill>
      </fill>
    </dxf>
    <dxf>
      <font>
        <b/>
        <i val="0"/>
        <color theme="1" tint="4.9989318521683403E-2"/>
      </font>
      <fill>
        <patternFill patternType="solid">
          <bgColor rgb="FF00B050"/>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000000"/>
      </font>
      <fill>
        <patternFill patternType="solid">
          <bgColor rgb="FFC0C5B2"/>
        </patternFill>
      </fill>
    </dxf>
    <dxf>
      <font>
        <b/>
        <i val="0"/>
        <color rgb="FF554840"/>
      </font>
      <fill>
        <patternFill patternType="solid">
          <bgColor rgb="FFFFFFFF"/>
        </patternFill>
      </fill>
    </dxf>
    <dxf>
      <font>
        <b/>
        <i val="0"/>
        <color rgb="FF554840"/>
      </font>
      <fill>
        <patternFill patternType="solid">
          <bgColor rgb="FFE2D0AA"/>
        </patternFill>
      </fill>
    </dxf>
    <dxf>
      <font>
        <b/>
        <i val="0"/>
        <color rgb="FF000000"/>
      </font>
      <fill>
        <patternFill patternType="solid">
          <bgColor rgb="FFC0C5B2"/>
        </patternFill>
      </fill>
    </dxf>
    <dxf>
      <font>
        <b/>
        <i val="0"/>
        <color rgb="FF554840"/>
      </font>
      <fill>
        <patternFill patternType="solid">
          <bgColor rgb="FFFFFFFF"/>
        </patternFill>
      </fill>
    </dxf>
    <dxf>
      <font>
        <b/>
        <i val="0"/>
        <color rgb="FF554840"/>
      </font>
      <fill>
        <patternFill patternType="solid">
          <bgColor rgb="FFE2D0AA"/>
        </patternFill>
      </fill>
    </dxf>
    <dxf>
      <font>
        <b/>
        <i val="0"/>
        <color rgb="FF554840"/>
      </font>
      <fill>
        <patternFill patternType="solid">
          <bgColor rgb="FFF3F3F3"/>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000000"/>
      </font>
      <fill>
        <patternFill patternType="solid">
          <bgColor rgb="FFC0C5B2"/>
        </patternFill>
      </fill>
    </dxf>
    <dxf>
      <font>
        <b/>
        <i val="0"/>
        <color rgb="FF554840"/>
      </font>
      <fill>
        <patternFill patternType="solid">
          <bgColor rgb="FFFFFFFF"/>
        </patternFill>
      </fill>
    </dxf>
    <dxf>
      <font>
        <b/>
        <i val="0"/>
        <color rgb="FF554840"/>
      </font>
      <fill>
        <patternFill patternType="solid">
          <bgColor rgb="FFE2D0AA"/>
        </patternFill>
      </fill>
    </dxf>
    <dxf>
      <font>
        <b/>
        <i val="0"/>
        <color rgb="FF000000"/>
      </font>
      <fill>
        <patternFill patternType="solid">
          <bgColor rgb="FFC0C5B2"/>
        </patternFill>
      </fill>
    </dxf>
    <dxf>
      <font>
        <b/>
        <i val="0"/>
        <color rgb="FF554840"/>
      </font>
      <fill>
        <patternFill patternType="solid">
          <bgColor rgb="FFFFFFFF"/>
        </patternFill>
      </fill>
    </dxf>
    <dxf>
      <font>
        <b/>
        <i val="0"/>
        <color rgb="FF554840"/>
      </font>
      <fill>
        <patternFill patternType="solid">
          <bgColor rgb="FFE2D0AA"/>
        </patternFill>
      </fill>
    </dxf>
    <dxf>
      <font>
        <b/>
        <i val="0"/>
        <color rgb="FF554840"/>
      </font>
      <fill>
        <patternFill patternType="solid">
          <bgColor rgb="FFF3F3F3"/>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i val="0"/>
        <color rgb="FF000000"/>
      </font>
      <fill>
        <patternFill patternType="solid">
          <bgColor rgb="FFC0C5B2"/>
        </patternFill>
      </fill>
    </dxf>
    <dxf>
      <font>
        <b/>
        <i val="0"/>
        <color rgb="FF554840"/>
      </font>
      <fill>
        <patternFill patternType="solid">
          <bgColor rgb="FFFFFFFF"/>
        </patternFill>
      </fill>
    </dxf>
    <dxf>
      <font>
        <b/>
        <i val="0"/>
        <color rgb="FF554840"/>
      </font>
      <fill>
        <patternFill patternType="solid">
          <bgColor rgb="FFE2D0AA"/>
        </patternFill>
      </fill>
    </dxf>
    <dxf>
      <font>
        <b/>
        <i val="0"/>
        <color theme="1"/>
      </font>
      <fill>
        <patternFill patternType="solid">
          <bgColor theme="0"/>
        </patternFill>
      </fill>
    </dxf>
    <dxf>
      <font>
        <b/>
        <i val="0"/>
        <color theme="1"/>
      </font>
      <fill>
        <patternFill patternType="solid">
          <bgColor rgb="FFC0C5B2"/>
        </patternFill>
      </fill>
    </dxf>
    <dxf>
      <font>
        <b/>
        <i val="0"/>
        <color theme="1"/>
      </font>
      <fill>
        <patternFill patternType="solid">
          <bgColor rgb="FFE2D0AA"/>
        </patternFill>
      </fill>
    </dxf>
    <dxf>
      <font>
        <color rgb="FFD9D9D9"/>
      </font>
      <fill>
        <patternFill patternType="solid">
          <fgColor rgb="FFD9D9D9"/>
          <bgColor rgb="FFD9D9D9"/>
        </patternFill>
      </fill>
    </dxf>
    <dxf>
      <font>
        <b/>
        <i val="0"/>
        <color rgb="FF554840"/>
      </font>
      <fill>
        <patternFill patternType="solid">
          <bgColor rgb="FFF3F3F3"/>
        </patternFill>
      </fill>
    </dxf>
    <dxf>
      <font>
        <b/>
        <i val="0"/>
        <color theme="0"/>
      </font>
      <fill>
        <patternFill patternType="solid">
          <bgColor rgb="FF0070C0"/>
        </patternFill>
      </fill>
    </dxf>
    <dxf>
      <font>
        <b/>
        <i val="0"/>
        <color theme="0"/>
      </font>
      <fill>
        <patternFill patternType="solid">
          <bgColor theme="6" tint="-0.249977111117893"/>
        </patternFill>
      </fill>
    </dxf>
    <dxf>
      <font>
        <b/>
        <i val="0"/>
        <color theme="1" tint="4.9989318521683403E-2"/>
      </font>
      <fill>
        <patternFill patternType="solid">
          <bgColor rgb="FF00B050"/>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000000"/>
      </font>
      <fill>
        <patternFill patternType="solid">
          <fgColor rgb="FF999999"/>
          <bgColor rgb="FF999999"/>
        </patternFill>
      </fill>
    </dxf>
    <dxf>
      <font>
        <b/>
        <color rgb="FF000000"/>
      </font>
      <fill>
        <patternFill patternType="solid">
          <fgColor rgb="FFA27547"/>
          <bgColor rgb="FFA27547"/>
        </patternFill>
      </fill>
    </dxf>
    <dxf>
      <font>
        <b/>
        <color rgb="FF5B0F00"/>
      </font>
      <fill>
        <patternFill patternType="none"/>
      </fill>
    </dxf>
    <dxf>
      <font>
        <b/>
        <color rgb="FF0C343D"/>
      </font>
      <fill>
        <patternFill patternType="none"/>
      </fill>
    </dxf>
    <dxf>
      <font>
        <b/>
        <i val="0"/>
        <color rgb="FF554840"/>
      </font>
      <fill>
        <patternFill patternType="solid">
          <bgColor rgb="FFD9D9D9"/>
        </patternFill>
      </fill>
    </dxf>
    <dxf>
      <font>
        <color rgb="FFCCCCCC"/>
      </font>
      <fill>
        <patternFill patternType="solid">
          <fgColor rgb="FF5B0F00"/>
          <bgColor rgb="FF5B0F00"/>
        </patternFill>
      </fill>
    </dxf>
    <dxf>
      <font>
        <b/>
        <i val="0"/>
        <color theme="1"/>
      </font>
      <fill>
        <patternFill patternType="solid">
          <bgColor theme="5" tint="0.89999084444715716"/>
        </patternFill>
      </fill>
    </dxf>
    <dxf>
      <font>
        <b/>
        <i val="0"/>
        <color rgb="FF000000"/>
      </font>
      <fill>
        <patternFill patternType="solid">
          <bgColor rgb="FFC0C5B2"/>
        </patternFill>
      </fill>
    </dxf>
    <dxf>
      <font>
        <b/>
        <i val="0"/>
        <color rgb="FF554840"/>
      </font>
      <fill>
        <patternFill patternType="solid">
          <bgColor rgb="FFFFFFFF"/>
        </patternFill>
      </fill>
    </dxf>
    <dxf>
      <font>
        <b/>
        <i val="0"/>
        <color rgb="FF554840"/>
      </font>
      <fill>
        <patternFill patternType="solid">
          <bgColor rgb="FFE2D0AA"/>
        </patternFill>
      </fill>
    </dxf>
    <dxf>
      <font>
        <b/>
        <i val="0"/>
        <color theme="1"/>
      </font>
      <fill>
        <patternFill patternType="solid">
          <bgColor theme="0"/>
        </patternFill>
      </fill>
    </dxf>
    <dxf>
      <font>
        <b/>
        <i val="0"/>
        <color theme="1"/>
      </font>
      <fill>
        <patternFill patternType="solid">
          <bgColor rgb="FFC0C5B2"/>
        </patternFill>
      </fill>
    </dxf>
    <dxf>
      <font>
        <b/>
        <i val="0"/>
        <color theme="1"/>
      </font>
      <fill>
        <patternFill patternType="solid">
          <bgColor rgb="FFE2D0AA"/>
        </patternFill>
      </fill>
    </dxf>
    <dxf>
      <font>
        <b/>
        <i val="0"/>
        <color theme="0"/>
      </font>
      <fill>
        <patternFill patternType="solid">
          <bgColor rgb="FF0070C0"/>
        </patternFill>
      </fill>
    </dxf>
    <dxf>
      <font>
        <b/>
        <i val="0"/>
        <color theme="0"/>
      </font>
      <fill>
        <patternFill patternType="solid">
          <bgColor theme="6" tint="-0.249977111117893"/>
        </patternFill>
      </fill>
    </dxf>
    <dxf>
      <font>
        <b/>
        <i val="0"/>
        <color theme="1" tint="4.9989318521683403E-2"/>
      </font>
      <fill>
        <patternFill patternType="solid">
          <bgColor rgb="FF00B050"/>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000000"/>
      </font>
      <fill>
        <patternFill patternType="solid">
          <fgColor rgb="FF999999"/>
          <bgColor rgb="FF999999"/>
        </patternFill>
      </fill>
    </dxf>
    <dxf>
      <font>
        <b/>
        <color rgb="FF000000"/>
      </font>
      <fill>
        <patternFill patternType="solid">
          <fgColor rgb="FFA27547"/>
          <bgColor rgb="FFA27547"/>
        </patternFill>
      </fill>
    </dxf>
    <dxf>
      <font>
        <color rgb="FFD9D9D9"/>
      </font>
      <fill>
        <patternFill patternType="solid">
          <fgColor rgb="FFD9D9D9"/>
          <bgColor rgb="FFD9D9D9"/>
        </patternFill>
      </fill>
    </dxf>
    <dxf>
      <font>
        <b/>
        <i val="0"/>
        <color rgb="FF554840"/>
      </font>
      <fill>
        <patternFill patternType="solid">
          <bgColor rgb="FFF3F3F3"/>
        </patternFill>
      </fill>
    </dxf>
    <dxf>
      <font>
        <color rgb="FFF5F5F5"/>
      </font>
      <fill>
        <patternFill patternType="solid">
          <fgColor rgb="FF5B0F00"/>
          <bgColor rgb="FF5B0F00"/>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5B0F00"/>
      </font>
      <fill>
        <patternFill patternType="none"/>
      </fill>
    </dxf>
    <dxf>
      <font>
        <b/>
        <color rgb="FF0C343D"/>
      </font>
      <fill>
        <patternFill patternType="none"/>
      </fill>
    </dxf>
    <dxf>
      <font>
        <b/>
        <i val="0"/>
        <color rgb="FF554840"/>
      </font>
      <fill>
        <patternFill patternType="solid">
          <bgColor rgb="FFD9D9D9"/>
        </patternFill>
      </fill>
    </dxf>
    <dxf>
      <font>
        <color rgb="FFCCCCCC"/>
      </font>
      <fill>
        <patternFill patternType="solid">
          <fgColor rgb="FF5B0F00"/>
          <bgColor rgb="FF5B0F00"/>
        </patternFill>
      </fill>
    </dxf>
    <dxf>
      <font>
        <b/>
        <i val="0"/>
        <color theme="1"/>
      </font>
      <fill>
        <patternFill patternType="solid">
          <bgColor theme="5" tint="0.89999084444715716"/>
        </patternFill>
      </fill>
    </dxf>
    <dxf>
      <font>
        <b/>
        <i val="0"/>
        <color rgb="FF000000"/>
      </font>
      <fill>
        <patternFill patternType="solid">
          <bgColor rgb="FFC0C5B2"/>
        </patternFill>
      </fill>
    </dxf>
    <dxf>
      <font>
        <b/>
        <i val="0"/>
        <color rgb="FF554840"/>
      </font>
      <fill>
        <patternFill patternType="solid">
          <bgColor rgb="FFFFFFFF"/>
        </patternFill>
      </fill>
    </dxf>
    <dxf>
      <font>
        <b/>
        <i val="0"/>
        <color rgb="FF554840"/>
      </font>
      <fill>
        <patternFill patternType="solid">
          <bgColor rgb="FFE2D0AA"/>
        </patternFill>
      </fill>
    </dxf>
    <dxf>
      <font>
        <b/>
        <i val="0"/>
        <color theme="1"/>
      </font>
      <fill>
        <patternFill patternType="solid">
          <bgColor theme="0"/>
        </patternFill>
      </fill>
    </dxf>
    <dxf>
      <font>
        <b/>
        <i val="0"/>
        <color theme="1"/>
      </font>
      <fill>
        <patternFill patternType="solid">
          <bgColor rgb="FFC0C5B2"/>
        </patternFill>
      </fill>
    </dxf>
    <dxf>
      <font>
        <b/>
        <i val="0"/>
        <color theme="1"/>
      </font>
      <fill>
        <patternFill patternType="solid">
          <bgColor rgb="FFE2D0AA"/>
        </patternFill>
      </fill>
    </dxf>
    <dxf>
      <font>
        <b/>
        <i val="0"/>
        <color theme="0"/>
      </font>
      <fill>
        <patternFill patternType="solid">
          <bgColor rgb="FF0070C0"/>
        </patternFill>
      </fill>
    </dxf>
    <dxf>
      <font>
        <b/>
        <i val="0"/>
        <color theme="0"/>
      </font>
      <fill>
        <patternFill patternType="solid">
          <bgColor theme="6" tint="-0.249977111117893"/>
        </patternFill>
      </fill>
    </dxf>
    <dxf>
      <font>
        <b/>
        <i val="0"/>
        <color theme="1" tint="4.9989318521683403E-2"/>
      </font>
      <fill>
        <patternFill patternType="solid">
          <bgColor rgb="FF00B050"/>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000000"/>
      </font>
      <fill>
        <patternFill patternType="solid">
          <fgColor rgb="FF999999"/>
          <bgColor rgb="FF999999"/>
        </patternFill>
      </fill>
    </dxf>
    <dxf>
      <font>
        <b/>
        <color rgb="FF000000"/>
      </font>
      <fill>
        <patternFill patternType="solid">
          <fgColor rgb="FFA27547"/>
          <bgColor rgb="FFA27547"/>
        </patternFill>
      </fill>
    </dxf>
    <dxf>
      <font>
        <color rgb="FFD9D9D9"/>
      </font>
      <fill>
        <patternFill patternType="solid">
          <fgColor rgb="FFD9D9D9"/>
          <bgColor rgb="FFD9D9D9"/>
        </patternFill>
      </fill>
    </dxf>
    <dxf>
      <font>
        <b/>
        <i val="0"/>
        <color rgb="FF554840"/>
      </font>
      <fill>
        <patternFill patternType="solid">
          <bgColor rgb="FFF3F3F3"/>
        </patternFill>
      </fill>
    </dxf>
    <dxf>
      <font>
        <color rgb="FFF5F5F5"/>
      </font>
      <fill>
        <patternFill patternType="solid">
          <fgColor rgb="FF5B0F00"/>
          <bgColor rgb="FF5B0F00"/>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5B0F00"/>
      </font>
      <fill>
        <patternFill patternType="none"/>
      </fill>
    </dxf>
    <dxf>
      <font>
        <b/>
        <color rgb="FF0C343D"/>
      </font>
      <fill>
        <patternFill patternType="none"/>
      </fill>
    </dxf>
    <dxf>
      <font>
        <b/>
        <i val="0"/>
        <color rgb="FF554840"/>
      </font>
      <fill>
        <patternFill patternType="solid">
          <bgColor rgb="FFD9D9D9"/>
        </patternFill>
      </fill>
    </dxf>
    <dxf>
      <font>
        <color rgb="FFCCCCCC"/>
      </font>
      <fill>
        <patternFill patternType="solid">
          <fgColor rgb="FF5B0F00"/>
          <bgColor rgb="FF5B0F00"/>
        </patternFill>
      </fill>
    </dxf>
    <dxf>
      <font>
        <b/>
        <i val="0"/>
        <color theme="1"/>
      </font>
      <fill>
        <patternFill patternType="solid">
          <bgColor theme="5" tint="0.89999084444715716"/>
        </patternFill>
      </fill>
    </dxf>
    <dxf>
      <font>
        <b/>
        <i val="0"/>
        <color rgb="FF000000"/>
      </font>
      <fill>
        <patternFill patternType="solid">
          <bgColor rgb="FFC0C5B2"/>
        </patternFill>
      </fill>
    </dxf>
    <dxf>
      <font>
        <b/>
        <i val="0"/>
        <color rgb="FF554840"/>
      </font>
      <fill>
        <patternFill patternType="solid">
          <bgColor rgb="FFFFFFFF"/>
        </patternFill>
      </fill>
    </dxf>
    <dxf>
      <font>
        <b/>
        <i val="0"/>
        <color rgb="FF554840"/>
      </font>
      <fill>
        <patternFill patternType="solid">
          <bgColor rgb="FFE2D0AA"/>
        </patternFill>
      </fill>
    </dxf>
    <dxf>
      <font>
        <b/>
        <i val="0"/>
        <color theme="1"/>
      </font>
      <fill>
        <patternFill patternType="solid">
          <bgColor theme="0"/>
        </patternFill>
      </fill>
    </dxf>
    <dxf>
      <font>
        <b/>
        <i val="0"/>
        <color theme="1"/>
      </font>
      <fill>
        <patternFill patternType="solid">
          <bgColor rgb="FFC0C5B2"/>
        </patternFill>
      </fill>
    </dxf>
    <dxf>
      <font>
        <b/>
        <i val="0"/>
        <color theme="1"/>
      </font>
      <fill>
        <patternFill patternType="solid">
          <bgColor rgb="FFE2D0AA"/>
        </patternFill>
      </fill>
    </dxf>
    <dxf>
      <font>
        <b/>
        <i val="0"/>
        <color theme="0"/>
      </font>
      <fill>
        <patternFill patternType="solid">
          <bgColor rgb="FF0070C0"/>
        </patternFill>
      </fill>
    </dxf>
    <dxf>
      <font>
        <b/>
        <i val="0"/>
        <color theme="0"/>
      </font>
      <fill>
        <patternFill patternType="solid">
          <bgColor theme="6" tint="-0.249977111117893"/>
        </patternFill>
      </fill>
    </dxf>
    <dxf>
      <font>
        <b/>
        <i val="0"/>
        <color theme="1" tint="4.9989318521683403E-2"/>
      </font>
      <fill>
        <patternFill patternType="solid">
          <bgColor rgb="FF00B050"/>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000000"/>
      </font>
      <fill>
        <patternFill patternType="solid">
          <fgColor rgb="FF999999"/>
          <bgColor rgb="FF999999"/>
        </patternFill>
      </fill>
    </dxf>
    <dxf>
      <font>
        <b/>
        <color rgb="FF000000"/>
      </font>
      <fill>
        <patternFill patternType="solid">
          <fgColor rgb="FFA27547"/>
          <bgColor rgb="FFA27547"/>
        </patternFill>
      </fill>
    </dxf>
    <dxf>
      <font>
        <color rgb="FFD9D9D9"/>
      </font>
      <fill>
        <patternFill patternType="solid">
          <fgColor rgb="FFD9D9D9"/>
          <bgColor rgb="FFD9D9D9"/>
        </patternFill>
      </fill>
    </dxf>
    <dxf>
      <font>
        <b/>
        <i val="0"/>
        <color rgb="FF554840"/>
      </font>
      <fill>
        <patternFill patternType="solid">
          <bgColor rgb="FFF3F3F3"/>
        </patternFill>
      </fill>
    </dxf>
    <dxf>
      <font>
        <color rgb="FFF5F5F5"/>
      </font>
      <fill>
        <patternFill patternType="solid">
          <fgColor rgb="FF5B0F00"/>
          <bgColor rgb="FF5B0F00"/>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i val="0"/>
        <color theme="1"/>
      </font>
      <fill>
        <patternFill patternType="solid">
          <bgColor rgb="FF00B050"/>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B0F00"/>
      </font>
      <fill>
        <patternFill patternType="none"/>
      </fill>
    </dxf>
    <dxf>
      <font>
        <b/>
        <color rgb="FF0C343D"/>
      </font>
      <fill>
        <patternFill patternType="none"/>
      </fill>
    </dxf>
    <dxf>
      <font>
        <b/>
        <i val="0"/>
        <color rgb="FF554840"/>
      </font>
      <fill>
        <patternFill patternType="solid">
          <bgColor rgb="FFD9D9D9"/>
        </patternFill>
      </fill>
    </dxf>
    <dxf>
      <font>
        <color rgb="FFCCCCCC"/>
      </font>
      <fill>
        <patternFill patternType="solid">
          <fgColor rgb="FF5B0F00"/>
          <bgColor rgb="FF5B0F00"/>
        </patternFill>
      </fill>
    </dxf>
    <dxf>
      <font>
        <b/>
        <i val="0"/>
        <color theme="1"/>
      </font>
      <fill>
        <patternFill patternType="solid">
          <bgColor theme="5" tint="0.89999084444715716"/>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000000"/>
      </font>
      <fill>
        <patternFill patternType="solid">
          <bgColor rgb="FFC0C5B2"/>
        </patternFill>
      </fill>
    </dxf>
    <dxf>
      <font>
        <b/>
        <i val="0"/>
        <color rgb="FF554840"/>
      </font>
      <fill>
        <patternFill patternType="solid">
          <bgColor rgb="FFFFFFFF"/>
        </patternFill>
      </fill>
    </dxf>
    <dxf>
      <font>
        <b/>
        <i val="0"/>
        <color rgb="FF554840"/>
      </font>
      <fill>
        <patternFill patternType="solid">
          <bgColor rgb="FFE2D0AA"/>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i val="0"/>
        <color theme="1"/>
      </font>
      <fill>
        <patternFill patternType="solid">
          <bgColor theme="0"/>
        </patternFill>
      </fill>
    </dxf>
    <dxf>
      <font>
        <b/>
        <i val="0"/>
        <color theme="1"/>
      </font>
      <fill>
        <patternFill patternType="solid">
          <bgColor rgb="FFC0C5B2"/>
        </patternFill>
      </fill>
    </dxf>
    <dxf>
      <font>
        <b/>
        <i val="0"/>
        <color theme="1"/>
      </font>
      <fill>
        <patternFill patternType="solid">
          <bgColor rgb="FFE2D0AA"/>
        </patternFill>
      </fill>
    </dxf>
    <dxf>
      <font>
        <b/>
        <i val="0"/>
        <color theme="0"/>
      </font>
      <fill>
        <patternFill patternType="solid">
          <bgColor rgb="FF0070C0"/>
        </patternFill>
      </fill>
    </dxf>
    <dxf>
      <font>
        <b/>
        <i val="0"/>
        <color theme="0"/>
      </font>
      <fill>
        <patternFill patternType="solid">
          <bgColor theme="6" tint="-0.249977111117893"/>
        </patternFill>
      </fill>
    </dxf>
    <dxf>
      <font>
        <b/>
        <i val="0"/>
        <color theme="1" tint="4.9989318521683403E-2"/>
      </font>
      <fill>
        <patternFill patternType="solid">
          <bgColor rgb="FF00B050"/>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000000"/>
      </font>
      <fill>
        <patternFill patternType="solid">
          <fgColor rgb="FF999999"/>
          <bgColor rgb="FF999999"/>
        </patternFill>
      </fill>
    </dxf>
    <dxf>
      <font>
        <b/>
        <color rgb="FF000000"/>
      </font>
      <fill>
        <patternFill patternType="solid">
          <fgColor rgb="FFA27547"/>
          <bgColor rgb="FFA27547"/>
        </patternFill>
      </fill>
    </dxf>
    <dxf>
      <font>
        <color rgb="FFD9D9D9"/>
      </font>
      <fill>
        <patternFill patternType="solid">
          <fgColor rgb="FFD9D9D9"/>
          <bgColor rgb="FFD9D9D9"/>
        </patternFill>
      </fill>
    </dxf>
    <dxf>
      <font>
        <b/>
        <i val="0"/>
        <color rgb="FF554840"/>
      </font>
      <fill>
        <patternFill patternType="solid">
          <bgColor rgb="FFF3F3F3"/>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color rgb="FFF5F5F5"/>
      </font>
      <fill>
        <patternFill patternType="solid">
          <fgColor rgb="FF5B0F00"/>
          <bgColor rgb="FF5B0F00"/>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color rgb="FFD9D9D9"/>
      </font>
      <fill>
        <patternFill patternType="solid">
          <fgColor rgb="FFD9D9D9"/>
          <bgColor rgb="FFD9D9D9"/>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554840"/>
      </font>
      <fill>
        <patternFill patternType="solid">
          <bgColor rgb="FFF3F3F3"/>
        </patternFill>
      </fill>
    </dxf>
    <dxf>
      <font>
        <b/>
        <i val="0"/>
        <color rgb="FF554840"/>
      </font>
      <fill>
        <patternFill patternType="solid">
          <bgColor rgb="FFF3F3F3"/>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000000"/>
      </font>
      <fill>
        <patternFill patternType="solid">
          <bgColor rgb="FFC0C5B2"/>
        </patternFill>
      </fill>
    </dxf>
    <dxf>
      <font>
        <b/>
        <i val="0"/>
        <color rgb="FF554840"/>
      </font>
      <fill>
        <patternFill patternType="solid">
          <bgColor rgb="FFE2D0AA"/>
        </patternFill>
      </fill>
    </dxf>
    <dxf>
      <font>
        <b/>
        <i val="0"/>
        <color rgb="FF554840"/>
      </font>
      <fill>
        <patternFill patternType="solid">
          <bgColor rgb="FFFFFFFF"/>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554840"/>
      </font>
      <fill>
        <patternFill patternType="solid">
          <bgColor rgb="FFF3F3F3"/>
        </patternFill>
      </fill>
    </dxf>
    <dxf>
      <font>
        <b/>
        <i val="0"/>
        <color rgb="FF554840"/>
      </font>
      <fill>
        <patternFill patternType="solid">
          <bgColor rgb="FFF3F3F3"/>
        </patternFill>
      </fill>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000000"/>
      </font>
      <fill>
        <patternFill patternType="solid">
          <bgColor rgb="FFC0C5B2"/>
        </patternFill>
      </fill>
    </dxf>
    <dxf>
      <font>
        <b/>
        <i val="0"/>
        <color rgb="FF554840"/>
      </font>
      <fill>
        <patternFill patternType="solid">
          <bgColor rgb="FFE2D0AA"/>
        </patternFill>
      </fill>
    </dxf>
    <dxf>
      <font>
        <b/>
        <i val="0"/>
        <color rgb="FF554840"/>
      </font>
      <fill>
        <patternFill patternType="solid">
          <bgColor rgb="FFFFFFFF"/>
        </patternFill>
      </fill>
    </dxf>
    <dxf>
      <font>
        <b/>
        <i val="0"/>
        <color rgb="FF554840"/>
      </font>
      <fill>
        <patternFill patternType="solid">
          <bgColor rgb="FFF3F3F3"/>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color rgb="FFF3F3F3"/>
      </font>
      <fill>
        <patternFill patternType="solid">
          <fgColor rgb="FF0C343D"/>
          <bgColor rgb="FF0C343D"/>
        </patternFill>
      </fill>
    </dxf>
    <dxf>
      <font>
        <color rgb="FF191919"/>
      </font>
      <fill>
        <patternFill patternType="solid">
          <fgColor rgb="FF5B0F00"/>
          <bgColor rgb="FF5B0F00"/>
        </patternFill>
      </fill>
    </dxf>
    <dxf>
      <font>
        <b/>
        <color rgb="FFF3F3F3"/>
      </font>
      <fill>
        <patternFill patternType="solid">
          <fgColor rgb="FF5B0F00"/>
          <bgColor rgb="FF5B0F00"/>
        </patternFill>
      </fill>
    </dxf>
    <dxf>
      <font>
        <color rgb="FFF3F3F3"/>
      </font>
      <fill>
        <patternFill patternType="solid">
          <fgColor rgb="FF274E13"/>
          <bgColor rgb="FF274E13"/>
        </patternFill>
      </fill>
    </dxf>
    <dxf>
      <font>
        <b/>
        <color rgb="FF5B0F00"/>
      </font>
      <fill>
        <patternFill patternType="none"/>
      </fill>
    </dxf>
    <dxf>
      <font>
        <b/>
        <color rgb="FF0C343D"/>
      </font>
      <fill>
        <patternFill patternType="none"/>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color theme="0"/>
      </font>
      <fill>
        <patternFill patternType="solid">
          <bgColor rgb="FF11542F"/>
        </patternFill>
      </fill>
    </dxf>
    <dxf>
      <font>
        <color theme="0"/>
      </font>
      <fill>
        <patternFill patternType="solid">
          <bgColor rgb="FF660033"/>
        </patternFill>
      </fill>
    </dxf>
    <dxf>
      <font>
        <b/>
        <i val="0"/>
        <color theme="1"/>
      </font>
      <fill>
        <patternFill patternType="solid">
          <bgColor rgb="FF660033"/>
        </patternFill>
      </fill>
    </dxf>
    <dxf>
      <font>
        <color rgb="FFF5F5F5"/>
      </font>
      <fill>
        <patternFill patternType="solid">
          <fgColor rgb="FF5B0F00"/>
          <bgColor rgb="FF5B0F00"/>
        </patternFill>
      </fill>
    </dxf>
    <dxf>
      <font>
        <b/>
        <i val="0"/>
        <color rgb="FF554840"/>
      </font>
      <fill>
        <patternFill patternType="solid">
          <bgColor theme="0" tint="-0.14999847407452621"/>
        </patternFill>
      </fill>
      <border>
        <left style="thin">
          <color rgb="FFBFBFBF"/>
        </left>
        <right style="thin">
          <color rgb="FFBFBFBF"/>
        </right>
        <top style="thin">
          <color rgb="FFBFBFBF"/>
        </top>
        <bottom style="thin">
          <color rgb="FFBFBFBF"/>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554840"/>
      </font>
      <fill>
        <patternFill patternType="solid">
          <bgColor rgb="FFD9D9D9"/>
        </patternFill>
      </fill>
    </dxf>
    <dxf>
      <font>
        <color rgb="FFCCCCCC"/>
      </font>
      <fill>
        <patternFill patternType="solid">
          <fgColor rgb="FF5B0F00"/>
          <bgColor rgb="FF5B0F00"/>
        </patternFill>
      </fill>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theme="1"/>
      </font>
      <fill>
        <patternFill patternType="solid">
          <bgColor theme="5" tint="0.89999084444715716"/>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000000"/>
      </font>
      <fill>
        <patternFill patternType="solid">
          <bgColor rgb="FFC0C5B2"/>
        </patternFill>
      </fill>
    </dxf>
    <dxf>
      <font>
        <b/>
        <i val="0"/>
        <color rgb="FF554840"/>
      </font>
      <fill>
        <patternFill patternType="solid">
          <bgColor rgb="FFFFFFFF"/>
        </patternFill>
      </fill>
    </dxf>
    <dxf>
      <font>
        <b/>
        <i val="0"/>
        <color rgb="FF554840"/>
      </font>
      <fill>
        <patternFill patternType="solid">
          <bgColor rgb="FFE2D0AA"/>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i val="0"/>
        <color rgb="FFF5F5F5"/>
      </font>
      <fill>
        <patternFill patternType="solid">
          <bgColor rgb="FF5981F5"/>
        </patternFill>
      </fill>
    </dxf>
    <dxf>
      <font>
        <b/>
        <i val="0"/>
        <color rgb="FFF5F5F5"/>
      </font>
      <fill>
        <patternFill patternType="solid">
          <bgColor rgb="FFDF5653"/>
        </patternFill>
      </fill>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DF5653"/>
        </patternFill>
      </fill>
    </dxf>
    <dxf>
      <font>
        <b/>
        <i val="0"/>
        <color rgb="FFF5F5F5"/>
      </font>
      <fill>
        <patternFill patternType="solid">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i val="0"/>
        <color rgb="FFF5F5F5"/>
      </font>
      <fill>
        <patternFill patternType="solid">
          <bgColor rgb="FF5981F5"/>
        </patternFill>
      </fill>
    </dxf>
    <dxf>
      <font>
        <b/>
        <i val="0"/>
        <color rgb="FFF5F5F5"/>
      </font>
      <fill>
        <patternFill patternType="solid">
          <bgColor rgb="FFDF5653"/>
        </patternFill>
      </fill>
    </dxf>
    <dxf>
      <font>
        <b/>
        <i val="0"/>
        <color rgb="FFF5F5F5"/>
      </font>
      <fill>
        <patternFill patternType="solid">
          <bgColor rgb="FF5981F5"/>
        </patternFill>
      </fill>
    </dxf>
    <dxf>
      <font>
        <b/>
        <i val="0"/>
        <color rgb="FFF5F5F5"/>
      </font>
      <fill>
        <patternFill patternType="solid">
          <bgColor rgb="FFDF5653"/>
        </patternFill>
      </fill>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i val="0"/>
        <color rgb="FFF5F5F5"/>
      </font>
      <fill>
        <patternFill patternType="solid">
          <bgColor rgb="FF5981F5"/>
        </patternFill>
      </fill>
    </dxf>
    <dxf>
      <font>
        <b/>
        <i val="0"/>
        <color rgb="FFF5F5F5"/>
      </font>
      <fill>
        <patternFill patternType="solid">
          <bgColor rgb="FFDF5653"/>
        </patternFill>
      </fill>
    </dxf>
    <dxf>
      <font>
        <b/>
        <i val="0"/>
        <color rgb="FFF5F5F5"/>
      </font>
      <fill>
        <patternFill patternType="solid">
          <bgColor rgb="FF5981F5"/>
        </patternFill>
      </fill>
    </dxf>
    <dxf>
      <font>
        <b/>
        <i val="0"/>
        <color rgb="FFF5F5F5"/>
      </font>
      <fill>
        <patternFill patternType="solid">
          <bgColor rgb="FFDF5653"/>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F5F5F5"/>
      </font>
      <fill>
        <patternFill patternType="solid">
          <bgColor rgb="FF5981F5"/>
        </patternFill>
      </fill>
    </dxf>
    <dxf>
      <font>
        <b/>
        <i val="0"/>
        <color rgb="FFF5F5F5"/>
      </font>
      <fill>
        <patternFill patternType="solid">
          <bgColor rgb="FFDF5653"/>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theme="1"/>
      </font>
      <fill>
        <patternFill patternType="solid">
          <bgColor theme="0"/>
        </patternFill>
      </fill>
    </dxf>
    <dxf>
      <font>
        <b/>
        <i val="0"/>
        <color theme="1"/>
      </font>
      <fill>
        <patternFill patternType="solid">
          <bgColor rgb="FFC0C5B2"/>
        </patternFill>
      </fill>
    </dxf>
    <dxf>
      <font>
        <b/>
        <i val="0"/>
        <color theme="1"/>
      </font>
      <fill>
        <patternFill patternType="solid">
          <bgColor rgb="FFE2D0AA"/>
        </patternFill>
      </fill>
    </dxf>
    <dxf>
      <font>
        <b/>
        <i val="0"/>
        <color rgb="FFF5F5F5"/>
      </font>
      <fill>
        <patternFill patternType="solid">
          <bgColor rgb="FFDF5653"/>
        </patternFill>
      </fill>
    </dxf>
    <dxf>
      <font>
        <b/>
        <i val="0"/>
        <color theme="0"/>
      </font>
      <fill>
        <patternFill patternType="solid">
          <bgColor rgb="FF0070C0"/>
        </patternFill>
      </fill>
    </dxf>
    <dxf>
      <font>
        <b/>
        <i val="0"/>
        <color theme="0"/>
      </font>
      <fill>
        <patternFill patternType="solid">
          <bgColor theme="6" tint="-0.24997711111789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i val="0"/>
        <color rgb="FFF5F5F5"/>
      </font>
      <fill>
        <patternFill patternType="solid">
          <bgColor rgb="FF5981F5"/>
        </patternFill>
      </fill>
    </dxf>
    <dxf>
      <font>
        <b/>
        <i val="0"/>
        <color rgb="FFF5F5F5"/>
      </font>
      <fill>
        <patternFill patternType="solid">
          <bgColor rgb="FFDF5653"/>
        </patternFill>
      </fill>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i val="0"/>
        <color rgb="FFF5F5F5"/>
      </font>
      <fill>
        <patternFill patternType="solid">
          <bgColor rgb="FF5981F5"/>
        </patternFill>
      </fill>
    </dxf>
    <dxf>
      <font>
        <b/>
        <i val="0"/>
        <color rgb="FFF5F5F5"/>
      </font>
      <fill>
        <patternFill patternType="solid">
          <bgColor rgb="FFDF5653"/>
        </patternFill>
      </fill>
    </dxf>
    <dxf>
      <font>
        <b/>
        <i val="0"/>
        <color rgb="FFF5F5F5"/>
      </font>
      <fill>
        <patternFill patternType="solid">
          <bgColor rgb="FF5981F5"/>
        </patternFill>
      </fill>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i val="0"/>
        <color rgb="FFF5F5F5"/>
      </font>
      <fill>
        <patternFill patternType="solid">
          <bgColor rgb="FF5981F5"/>
        </patternFill>
      </fill>
    </dxf>
    <dxf>
      <font>
        <b/>
        <i val="0"/>
        <color rgb="FFF5F5F5"/>
      </font>
      <fill>
        <patternFill patternType="solid">
          <bgColor rgb="FFDF5653"/>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color rgb="FFF5F5F5"/>
      </font>
      <fill>
        <patternFill patternType="solid">
          <fgColor rgb="FFDF5653"/>
          <bgColor rgb="FFDF5653"/>
        </patternFill>
      </fill>
    </dxf>
    <dxf>
      <font>
        <b/>
        <color theme="0"/>
      </font>
      <fill>
        <patternFill patternType="solid">
          <fgColor rgb="FF5981F5"/>
          <bgColor rgb="FF5981F5"/>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tint="4.9989318521683403E-2"/>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theme="1"/>
      </font>
      <fill>
        <patternFill patternType="solid">
          <bgColor rgb="FF00B050"/>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theme="1"/>
      </font>
      <fill>
        <patternFill patternType="solid">
          <bgColor rgb="FF00B050"/>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theme="1"/>
      </font>
      <fill>
        <patternFill patternType="solid">
          <bgColor rgb="FF00B050"/>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theme="1"/>
      </font>
      <fill>
        <patternFill patternType="solid">
          <bgColor rgb="FF00B050"/>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theme="1"/>
      </font>
      <fill>
        <patternFill patternType="solid">
          <bgColor rgb="FF00B050"/>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theme="1"/>
      </font>
      <fill>
        <patternFill patternType="solid">
          <bgColor rgb="FF00B050"/>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theme="1"/>
      </font>
      <fill>
        <patternFill patternType="solid">
          <bgColor rgb="FF00B050"/>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theme="1"/>
      </font>
      <fill>
        <patternFill patternType="solid">
          <bgColor rgb="FF00B050"/>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i val="0"/>
        <color theme="1"/>
      </font>
      <fill>
        <patternFill patternType="solid">
          <bgColor rgb="FF00B050"/>
        </patternFill>
      </fill>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554840"/>
      </font>
      <fill>
        <patternFill patternType="solid">
          <fgColor rgb="FFFFFFFF"/>
          <bgColor rgb="FFFFFFFF"/>
        </patternFill>
      </fill>
      <border>
        <left style="thin">
          <color theme="0" tint="-0.24994659260841701"/>
        </left>
        <right style="thin">
          <color theme="0" tint="-0.24994659260841701"/>
        </right>
        <top style="thin">
          <color theme="0" tint="-0.24994659260841701"/>
        </top>
        <bottom style="thin">
          <color theme="0" tint="-0.24994659260841701"/>
        </bottom>
      </border>
    </dxf>
    <dxf>
      <font>
        <b/>
        <color rgb="FF000000"/>
      </font>
      <fill>
        <patternFill patternType="solid">
          <fgColor rgb="FF999999"/>
          <bgColor rgb="FF999999"/>
        </patternFill>
      </fill>
    </dxf>
    <dxf>
      <font>
        <b/>
        <color rgb="FF000000"/>
      </font>
      <fill>
        <patternFill patternType="solid">
          <fgColor rgb="FFA27547"/>
          <bgColor rgb="FFA27547"/>
        </patternFill>
      </fill>
    </dxf>
    <dxf>
      <font>
        <color rgb="FFD9D9D9"/>
      </font>
      <fill>
        <patternFill patternType="solid">
          <fgColor rgb="FFD9D9D9"/>
          <bgColor rgb="FFD9D9D9"/>
        </patternFill>
      </fill>
    </dxf>
    <dxf>
      <font>
        <color rgb="FFD9D9D9"/>
      </font>
      <fill>
        <patternFill patternType="solid">
          <fgColor rgb="FFD9D9D9"/>
          <bgColor rgb="FFD9D9D9"/>
        </patternFill>
      </fill>
    </dxf>
    <dxf>
      <font>
        <color rgb="FFD9D9D9"/>
      </font>
      <fill>
        <patternFill patternType="solid">
          <fgColor rgb="FFD9D9D9"/>
          <bgColor rgb="FFD9D9D9"/>
        </patternFill>
      </fill>
    </dxf>
    <dxf>
      <font>
        <color rgb="FF554840"/>
      </font>
      <fill>
        <patternFill patternType="solid">
          <fgColor rgb="FFF3F3F3"/>
          <bgColor rgb="FFF3F3F3"/>
        </patternFill>
      </fill>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color rgb="FF554840"/>
      </font>
      <fill>
        <patternFill patternType="solid">
          <fgColor rgb="FFF3F3F3"/>
          <bgColor rgb="FFF3F3F3"/>
        </patternFill>
      </fill>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color rgb="FF554840"/>
      </font>
      <fill>
        <patternFill patternType="solid">
          <fgColor rgb="FFF3F3F3"/>
          <bgColor rgb="FFF3F3F3"/>
        </patternFill>
      </fill>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color rgb="FF554840"/>
      </font>
      <fill>
        <patternFill patternType="solid">
          <fgColor rgb="FFF3F3F3"/>
          <bgColor rgb="FFF3F3F3"/>
        </patternFill>
      </fill>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color rgb="FF554840"/>
      </font>
      <fill>
        <patternFill patternType="solid">
          <fgColor rgb="FFF3F3F3"/>
          <bgColor rgb="FFF3F3F3"/>
        </patternFill>
      </fill>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color rgb="FF554840"/>
      </font>
      <fill>
        <patternFill patternType="solid">
          <fgColor rgb="FFF3F3F3"/>
          <bgColor rgb="FFF3F3F3"/>
        </patternFill>
      </fill>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color rgb="FF554840"/>
      </font>
      <fill>
        <patternFill patternType="solid">
          <fgColor rgb="FFF3F3F3"/>
          <bgColor rgb="FFF3F3F3"/>
        </patternFill>
      </fill>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color rgb="FFD9D9D9"/>
      </font>
      <fill>
        <patternFill patternType="solid">
          <fgColor rgb="FFD9D9D9"/>
          <bgColor rgb="FFD9D9D9"/>
        </patternFill>
      </fill>
    </dxf>
    <dxf>
      <font>
        <color rgb="FF554840"/>
      </font>
      <fill>
        <patternFill patternType="solid">
          <fgColor rgb="FFF3F3F3"/>
          <bgColor rgb="FFF3F3F3"/>
        </patternFill>
      </fill>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font>
      <fill>
        <patternFill patternType="solid">
          <fgColor rgb="FFD9EAD3"/>
          <bgColor rgb="FFD9EAD3"/>
        </patternFill>
      </fill>
    </dxf>
    <dxf>
      <font>
        <b/>
        <color rgb="FF980000"/>
      </font>
      <fill>
        <patternFill patternType="solid">
          <fgColor rgb="FFF4CCCC"/>
          <bgColor rgb="FFF4CCCC"/>
        </patternFill>
      </fill>
    </dxf>
    <dxf>
      <font>
        <b/>
      </font>
      <fill>
        <patternFill patternType="solid">
          <fgColor rgb="FFD9EAD3"/>
          <bgColor rgb="FFD9EAD3"/>
        </patternFill>
      </fill>
    </dxf>
    <dxf>
      <font>
        <b/>
        <color rgb="FF980000"/>
      </font>
      <fill>
        <patternFill patternType="solid">
          <fgColor rgb="FFF4CCCC"/>
          <bgColor rgb="FFF4CCCC"/>
        </patternFill>
      </fill>
    </dxf>
    <dxf>
      <font>
        <color rgb="FFD9D9D9"/>
      </font>
      <fill>
        <patternFill patternType="solid">
          <fgColor rgb="FFD9D9D9"/>
          <bgColor rgb="FFD9D9D9"/>
        </patternFill>
      </fill>
    </dxf>
    <dxf>
      <font>
        <color rgb="FFD9D9D9"/>
      </font>
      <fill>
        <patternFill patternType="solid">
          <fgColor rgb="FFD9D9D9"/>
          <bgColor rgb="FFD9D9D9"/>
        </patternFill>
      </fill>
    </dxf>
    <dxf>
      <font>
        <color rgb="FFD9D9D9"/>
      </font>
      <fill>
        <patternFill patternType="solid">
          <fgColor rgb="FFD9D9D9"/>
          <bgColor rgb="FFD9D9D9"/>
        </patternFill>
      </fill>
    </dxf>
    <dxf>
      <font>
        <color rgb="FFD9D9D9"/>
      </font>
      <fill>
        <patternFill patternType="solid">
          <fgColor rgb="FFD9D9D9"/>
          <bgColor rgb="FFD9D9D9"/>
        </patternFill>
      </fill>
    </dxf>
    <dxf>
      <font>
        <color rgb="FFD9D9D9"/>
      </font>
      <fill>
        <patternFill patternType="solid">
          <fgColor rgb="FFD9D9D9"/>
          <bgColor rgb="FFD9D9D9"/>
        </patternFill>
      </fill>
    </dxf>
    <dxf>
      <font>
        <color rgb="FFD9D9D9"/>
      </font>
      <fill>
        <patternFill patternType="solid">
          <fgColor rgb="FFD9D9D9"/>
          <bgColor rgb="FFD9D9D9"/>
        </patternFill>
      </fill>
    </dxf>
    <dxf>
      <font>
        <color rgb="FFD9D9D9"/>
      </font>
      <fill>
        <patternFill patternType="solid">
          <fgColor rgb="FFD9D9D9"/>
          <bgColor rgb="FFD9D9D9"/>
        </patternFill>
      </fill>
    </dxf>
    <dxf>
      <font>
        <color rgb="FFD9D9D9"/>
      </font>
      <fill>
        <patternFill patternType="solid">
          <fgColor rgb="FFD9D9D9"/>
          <bgColor rgb="FFD9D9D9"/>
        </patternFill>
      </fill>
    </dxf>
    <dxf>
      <font>
        <color rgb="FFD9D9D9"/>
      </font>
      <fill>
        <patternFill patternType="solid">
          <fgColor rgb="FFD9D9D9"/>
          <bgColor rgb="FFD9D9D9"/>
        </patternFill>
      </fill>
    </dxf>
    <dxf>
      <font>
        <color rgb="FFD9D9D9"/>
      </font>
      <fill>
        <patternFill patternType="solid">
          <fgColor rgb="FFD9D9D9"/>
          <bgColor rgb="FFD9D9D9"/>
        </patternFill>
      </fill>
    </dxf>
    <dxf>
      <font>
        <color rgb="FFD9D9D9"/>
      </font>
      <fill>
        <patternFill patternType="solid">
          <fgColor rgb="FFD9D9D9"/>
          <bgColor rgb="FFD9D9D9"/>
        </patternFill>
      </fill>
    </dxf>
    <dxf>
      <font>
        <color rgb="FFD9D9D9"/>
      </font>
      <fill>
        <patternFill patternType="solid">
          <fgColor rgb="FFD9D9D9"/>
          <bgColor rgb="FFD9D9D9"/>
        </patternFill>
      </fill>
    </dxf>
    <dxf>
      <font>
        <color rgb="FFD9D9D9"/>
      </font>
      <fill>
        <patternFill patternType="solid">
          <fgColor rgb="FFD9D9D9"/>
          <bgColor rgb="FFD9D9D9"/>
        </patternFill>
      </fill>
    </dxf>
    <dxf>
      <font>
        <color rgb="FFD9D9D9"/>
      </font>
      <fill>
        <patternFill patternType="solid">
          <fgColor rgb="FFD9D9D9"/>
          <bgColor rgb="FFD9D9D9"/>
        </patternFill>
      </fill>
    </dxf>
    <dxf>
      <font>
        <color rgb="FFD9D9D9"/>
      </font>
      <fill>
        <patternFill patternType="solid">
          <fgColor rgb="FFD9D9D9"/>
          <bgColor rgb="FFD9D9D9"/>
        </patternFill>
      </fill>
    </dxf>
    <dxf>
      <font>
        <color rgb="FFD9D9D9"/>
      </font>
      <fill>
        <patternFill patternType="solid">
          <fgColor rgb="FFD9D9D9"/>
          <bgColor rgb="FFD9D9D9"/>
        </patternFill>
      </fill>
    </dxf>
    <dxf>
      <font>
        <color rgb="FFD9D9D9"/>
      </font>
      <fill>
        <patternFill patternType="solid">
          <fgColor rgb="FFD9D9D9"/>
          <bgColor rgb="FFD9D9D9"/>
        </patternFill>
      </fill>
    </dxf>
    <dxf>
      <font>
        <color rgb="FF554840"/>
      </font>
      <fill>
        <patternFill patternType="solid">
          <fgColor rgb="FFF3F3F3"/>
          <bgColor rgb="FFF3F3F3"/>
        </patternFill>
      </fill>
    </dxf>
    <dxf>
      <font>
        <b/>
        <color rgb="FF554840"/>
      </font>
      <fill>
        <patternFill patternType="solid">
          <fgColor rgb="FFE2D0AA"/>
          <bgColor rgb="FFE2D0AA"/>
        </patternFill>
      </fill>
      <border>
        <left style="thin">
          <color theme="2" tint="-0.24994659260841701"/>
        </left>
        <right style="thin">
          <color theme="2" tint="-0.24994659260841701"/>
        </right>
        <top style="thin">
          <color theme="2" tint="-0.24994659260841701"/>
        </top>
        <bottom style="thin">
          <color theme="2" tint="-0.24994659260841701"/>
        </bottom>
      </border>
    </dxf>
    <dxf>
      <font>
        <b/>
        <color theme="1"/>
      </font>
      <fill>
        <patternFill patternType="solid">
          <fgColor rgb="FFC0C5B2"/>
          <bgColor rgb="FFC0C5B2"/>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color rgb="FF554840"/>
      </font>
      <fill>
        <patternFill patternType="solid">
          <bgColor rgb="FFF3F3F3"/>
        </patternFill>
      </fill>
    </dxf>
  </dxfs>
  <tableStyles count="0" defaultTableStyle="TableStyleMedium2" defaultPivotStyle="PivotStyleLight16"/>
  <colors>
    <mruColors>
      <color rgb="FFFFFFFF"/>
      <color rgb="FFE2D0AA"/>
      <color rgb="FFC0C5B2"/>
      <color rgb="FFD9D9D9"/>
      <color rgb="FF690202"/>
      <color rgb="FF826F03"/>
      <color rgb="FF46156B"/>
      <color rgb="FF30084F"/>
      <color rgb="FFF0FC83"/>
      <color rgb="FFF1BD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1.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5.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6.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7.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8.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9.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0.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1.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2.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3.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doughnutChart>
        <c:varyColors val="1"/>
        <c:ser>
          <c:idx val="0"/>
          <c:order val="0"/>
          <c:spPr>
            <a:ln w="57150">
              <a:noFill/>
            </a:ln>
            <a:effectLst>
              <a:softEdge rad="0"/>
            </a:effectLst>
          </c:spPr>
          <c:explosion val="1"/>
          <c:dPt>
            <c:idx val="0"/>
            <c:bubble3D val="0"/>
            <c:spPr>
              <a:solidFill>
                <a:schemeClr val="bg2"/>
              </a:solidFill>
              <a:ln w="282575" cap="flat">
                <a:solidFill>
                  <a:schemeClr val="tx1">
                    <a:lumMod val="85000"/>
                    <a:lumOff val="15000"/>
                  </a:schemeClr>
                </a:solidFill>
                <a:prstDash val="solid"/>
                <a:round/>
              </a:ln>
              <a:effectLst>
                <a:softEdge rad="0"/>
              </a:effectLst>
            </c:spPr>
            <c:extLst>
              <c:ext xmlns:c16="http://schemas.microsoft.com/office/drawing/2014/chart" uri="{C3380CC4-5D6E-409C-BE32-E72D297353CC}">
                <c16:uniqueId val="{00000002-1B36-40A4-907D-2F1D263F6518}"/>
              </c:ext>
            </c:extLst>
          </c:dPt>
          <c:dPt>
            <c:idx val="1"/>
            <c:bubble3D val="0"/>
            <c:spPr>
              <a:solidFill>
                <a:srgbClr val="660033"/>
              </a:solidFill>
              <a:ln w="282575">
                <a:solidFill>
                  <a:schemeClr val="tx2">
                    <a:lumMod val="85000"/>
                    <a:lumOff val="15000"/>
                  </a:schemeClr>
                </a:solidFill>
              </a:ln>
              <a:effectLst>
                <a:softEdge rad="0"/>
              </a:effectLst>
            </c:spPr>
            <c:extLst>
              <c:ext xmlns:c16="http://schemas.microsoft.com/office/drawing/2014/chart" uri="{C3380CC4-5D6E-409C-BE32-E72D297353CC}">
                <c16:uniqueId val="{00000001-1B36-40A4-907D-2F1D263F6518}"/>
              </c:ext>
            </c:extLst>
          </c:dPt>
          <c:dLbls>
            <c:dLbl>
              <c:idx val="1"/>
              <c:spPr>
                <a:solidFill>
                  <a:schemeClr val="tx2">
                    <a:lumMod val="85000"/>
                    <a:lumOff val="15000"/>
                  </a:schemeClr>
                </a:solid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660033"/>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1-1B36-40A4-907D-2F1D263F6518}"/>
                </c:ext>
              </c:extLst>
            </c:dLbl>
            <c:spPr>
              <a:solidFill>
                <a:schemeClr val="tx2">
                  <a:lumMod val="85000"/>
                  <a:lumOff val="15000"/>
                </a:schemeClr>
              </a:solid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lumMod val="85000"/>
                      </a:schemeClr>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val>
            <c:numRef>
              <c:f>('PERFORMANCE ANALYSIS'!$AH$14,'PERFORMANCE ANALYSIS'!$AJ$14)</c:f>
              <c:numCache>
                <c:formatCode>0%</c:formatCode>
                <c:ptCount val="2"/>
                <c:pt idx="0">
                  <c:v>0.78688524590163933</c:v>
                </c:pt>
                <c:pt idx="1">
                  <c:v>0.21311475409836064</c:v>
                </c:pt>
              </c:numCache>
            </c:numRef>
          </c:val>
          <c:extLst>
            <c:ext xmlns:c16="http://schemas.microsoft.com/office/drawing/2014/chart" uri="{C3380CC4-5D6E-409C-BE32-E72D297353CC}">
              <c16:uniqueId val="{00000000-1B36-40A4-907D-2F1D263F6518}"/>
            </c:ext>
          </c:extLst>
        </c:ser>
        <c:dLbls>
          <c:showLegendKey val="0"/>
          <c:showVal val="0"/>
          <c:showCatName val="0"/>
          <c:showSerName val="0"/>
          <c:showPercent val="0"/>
          <c:showBubbleSize val="0"/>
          <c:showLeaderLines val="1"/>
        </c:dLbls>
        <c:firstSliceAng val="0"/>
        <c:holeSize val="7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000" b="1" i="0" u="none" strike="noStrike" kern="1200" spc="0" baseline="0">
                <a:solidFill>
                  <a:schemeClr val="tx2">
                    <a:lumMod val="75000"/>
                    <a:lumOff val="25000"/>
                  </a:schemeClr>
                </a:solidFill>
                <a:latin typeface="+mn-lt"/>
                <a:ea typeface="+mn-ea"/>
                <a:cs typeface="+mn-cs"/>
              </a:defRPr>
            </a:pPr>
            <a:r>
              <a:rPr lang="en-IN" sz="1000" b="1">
                <a:solidFill>
                  <a:schemeClr val="tx2">
                    <a:lumMod val="75000"/>
                    <a:lumOff val="25000"/>
                  </a:schemeClr>
                </a:solidFill>
              </a:rPr>
              <a:t>WHITES</a:t>
            </a:r>
            <a:r>
              <a:rPr lang="en-IN" sz="1000" b="1" baseline="0">
                <a:solidFill>
                  <a:schemeClr val="tx2">
                    <a:lumMod val="75000"/>
                    <a:lumOff val="25000"/>
                  </a:schemeClr>
                </a:solidFill>
              </a:rPr>
              <a:t> V REDS</a:t>
            </a:r>
            <a:endParaRPr lang="en-IN" sz="1000" b="1">
              <a:solidFill>
                <a:schemeClr val="tx2">
                  <a:lumMod val="75000"/>
                  <a:lumOff val="25000"/>
                </a:schemeClr>
              </a:solidFill>
            </a:endParaRPr>
          </a:p>
        </c:rich>
      </c:tx>
      <c:overlay val="0"/>
      <c:spPr>
        <a:noFill/>
        <a:ln>
          <a:noFill/>
        </a:ln>
        <a:effectLst/>
      </c:spPr>
    </c:title>
    <c:autoTitleDeleted val="0"/>
    <c:plotArea>
      <c:layout>
        <c:manualLayout>
          <c:layoutTarget val="inner"/>
          <c:xMode val="edge"/>
          <c:yMode val="edge"/>
          <c:x val="4.8308076197431687E-2"/>
          <c:y val="0.16889057305713462"/>
          <c:w val="0.90338384760513668"/>
          <c:h val="0.71278155740716576"/>
        </c:manualLayout>
      </c:layout>
      <c:barChart>
        <c:barDir val="col"/>
        <c:grouping val="clustered"/>
        <c:varyColors val="0"/>
        <c:ser>
          <c:idx val="0"/>
          <c:order val="0"/>
          <c:spPr>
            <a:solidFill>
              <a:srgbClr val="262626"/>
            </a:solidFill>
            <a:ln w="190500">
              <a:solidFill>
                <a:schemeClr val="tx2">
                  <a:lumMod val="95000"/>
                  <a:lumOff val="5000"/>
                </a:schemeClr>
              </a:solidFill>
            </a:ln>
            <a:effectLst/>
          </c:spPr>
          <c:invertIfNegative val="1"/>
          <c:dLbls>
            <c:dLbl>
              <c:idx val="0"/>
              <c:spPr>
                <a:solidFill>
                  <a:schemeClr val="tx1">
                    <a:lumMod val="95000"/>
                    <a:lumOff val="5000"/>
                  </a:schemeClr>
                </a:solidFill>
                <a:ln>
                  <a:noFill/>
                </a:ln>
                <a:effectLst/>
              </c:spPr>
              <c:txPr>
                <a:bodyPr rot="0" spcFirstLastPara="1" vertOverflow="ellipsis" vert="horz" wrap="none" lIns="38100" tIns="19050" rIns="38100" bIns="19050" anchor="ctr" anchorCtr="1">
                  <a:noAutofit/>
                </a:bodyPr>
                <a:lstStyle/>
                <a:p>
                  <a:pPr>
                    <a:defRPr sz="2000" b="1" i="0" u="none" strike="noStrike" kern="1200" baseline="0">
                      <a:solidFill>
                        <a:schemeClr val="bg2">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704674796747968"/>
                      <c:h val="5.6274853912516083E-2"/>
                    </c:manualLayout>
                  </c15:layout>
                </c:ext>
                <c:ext xmlns:c16="http://schemas.microsoft.com/office/drawing/2014/chart" uri="{C3380CC4-5D6E-409C-BE32-E72D297353CC}">
                  <c16:uniqueId val="{00000001-255B-4F90-94F6-5845ED57AD4A}"/>
                </c:ext>
              </c:extLst>
            </c:dLbl>
            <c:dLbl>
              <c:idx val="1"/>
              <c:spPr>
                <a:solidFill>
                  <a:schemeClr val="tx1">
                    <a:lumMod val="95000"/>
                    <a:lumOff val="5000"/>
                  </a:schemeClr>
                </a:solidFill>
                <a:ln>
                  <a:noFill/>
                </a:ln>
                <a:effectLst/>
              </c:spPr>
              <c:txPr>
                <a:bodyPr rot="0" spcFirstLastPara="1" vertOverflow="ellipsis" vert="horz" wrap="none" lIns="38100" tIns="19050" rIns="38100" bIns="19050" anchor="ctr" anchorCtr="1">
                  <a:noAutofit/>
                </a:bodyPr>
                <a:lstStyle/>
                <a:p>
                  <a:pPr>
                    <a:defRPr sz="2000" b="1" i="0" u="none" strike="noStrike" kern="1200" baseline="0">
                      <a:solidFill>
                        <a:schemeClr val="bg2">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105013550135499"/>
                      <c:h val="6.6634840036352949E-2"/>
                    </c:manualLayout>
                  </c15:layout>
                </c:ext>
                <c:ext xmlns:c16="http://schemas.microsoft.com/office/drawing/2014/chart" uri="{C3380CC4-5D6E-409C-BE32-E72D297353CC}">
                  <c16:uniqueId val="{00000000-255B-4F90-94F6-5845ED57AD4A}"/>
                </c:ext>
              </c:extLst>
            </c:dLbl>
            <c:spPr>
              <a:solidFill>
                <a:schemeClr val="tx1">
                  <a:lumMod val="95000"/>
                  <a:lumOff val="5000"/>
                </a:schemeClr>
              </a:solidFill>
              <a:ln>
                <a:noFill/>
              </a:ln>
              <a:effectLst/>
            </c:spPr>
            <c:txPr>
              <a:bodyPr rot="0" spcFirstLastPara="1" vertOverflow="ellipsis" vert="horz" wrap="none" lIns="38100" tIns="19050" rIns="38100" bIns="19050" anchor="ctr" anchorCtr="1">
                <a:spAutoFit/>
              </a:bodyPr>
              <a:lstStyle/>
              <a:p>
                <a:pPr>
                  <a:defRPr sz="2000" b="1" i="0" u="none" strike="noStrike" kern="1200" baseline="0">
                    <a:solidFill>
                      <a:schemeClr val="bg2">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'PERFORMANCE ANALYSIS'!$B$6:$B$28</c15:sqref>
                  </c15:fullRef>
                </c:ext>
              </c:extLst>
              <c:f>'PERFORMANCE ANALYSIS'!$B$9:$B$11</c:f>
              <c:strCache>
                <c:ptCount val="3"/>
                <c:pt idx="0">
                  <c:v>WHITES</c:v>
                </c:pt>
                <c:pt idx="1">
                  <c:v>REDS</c:v>
                </c:pt>
                <c:pt idx="2">
                  <c:v>BONDS</c:v>
                </c:pt>
              </c:strCache>
            </c:strRef>
          </c:cat>
          <c:val>
            <c:numRef>
              <c:extLst>
                <c:ext xmlns:c15="http://schemas.microsoft.com/office/drawing/2012/chart" uri="{02D57815-91ED-43cb-92C2-25804820EDAC}">
                  <c15:fullRef>
                    <c15:sqref>'PERFORMANCE ANALYSIS'!$L$6:$L$28</c15:sqref>
                  </c15:fullRef>
                </c:ext>
              </c:extLst>
              <c:f>'PERFORMANCE ANALYSIS'!$L$9:$L$11</c:f>
              <c:numCache>
                <c:formatCode>"$"#,##0</c:formatCode>
                <c:ptCount val="3"/>
                <c:pt idx="0">
                  <c:v>832.00000000009618</c:v>
                </c:pt>
                <c:pt idx="1">
                  <c:v>-112.00000000000099</c:v>
                </c:pt>
                <c:pt idx="2">
                  <c:v>-57.999999999947249</c:v>
                </c:pt>
              </c:numCache>
            </c:numRef>
          </c:val>
          <c:extLst>
            <c:ext xmlns:c14="http://schemas.microsoft.com/office/drawing/2007/8/2/chart" uri="{6F2FDCE9-48DA-4B69-8628-5D25D57E5C99}">
              <c14:invertSolidFillFmt>
                <c14:spPr xmlns:c14="http://schemas.microsoft.com/office/drawing/2007/8/2/chart">
                  <a:solidFill>
                    <a:srgbClr val="DF007C"/>
                  </a:solidFill>
                  <a:ln w="190500">
                    <a:solidFill>
                      <a:schemeClr val="tx2">
                        <a:lumMod val="95000"/>
                        <a:lumOff val="5000"/>
                      </a:schemeClr>
                    </a:solidFill>
                  </a:ln>
                  <a:effectLst/>
                </c14:spPr>
              </c14:invertSolidFillFmt>
            </c:ext>
            <c:ext xmlns:c16="http://schemas.microsoft.com/office/drawing/2014/chart" uri="{C3380CC4-5D6E-409C-BE32-E72D297353CC}">
              <c16:uniqueId val="{00000000-8E34-4B94-963B-978F5911922C}"/>
            </c:ext>
          </c:extLst>
        </c:ser>
        <c:dLbls>
          <c:showLegendKey val="0"/>
          <c:showVal val="0"/>
          <c:showCatName val="0"/>
          <c:showSerName val="0"/>
          <c:showPercent val="0"/>
          <c:showBubbleSize val="0"/>
        </c:dLbls>
        <c:gapWidth val="300"/>
        <c:axId val="709832880"/>
        <c:axId val="611032896"/>
      </c:barChart>
      <c:catAx>
        <c:axId val="709832880"/>
        <c:scaling>
          <c:orientation val="minMax"/>
        </c:scaling>
        <c:delete val="0"/>
        <c:axPos val="b"/>
        <c:numFmt formatCode="General" sourceLinked="1"/>
        <c:majorTickMark val="none"/>
        <c:minorTickMark val="none"/>
        <c:tickLblPos val="low"/>
        <c:spPr>
          <a:noFill/>
          <a:ln w="9525" cap="flat" cmpd="sng" algn="ctr">
            <a:solidFill>
              <a:schemeClr val="tx2">
                <a:lumMod val="85000"/>
                <a:lumOff val="15000"/>
              </a:schemeClr>
            </a:solidFill>
            <a:round/>
          </a:ln>
          <a:effectLst/>
        </c:spPr>
        <c:txPr>
          <a:bodyPr rot="-60000000" spcFirstLastPara="1" vertOverflow="ellipsis" vert="horz" wrap="square" anchor="ctr" anchorCtr="1"/>
          <a:lstStyle/>
          <a:p>
            <a:pPr>
              <a:defRPr sz="900" b="1" i="0" u="none" strike="noStrike" kern="1200" baseline="0">
                <a:solidFill>
                  <a:schemeClr val="bg2">
                    <a:lumMod val="95000"/>
                  </a:schemeClr>
                </a:solidFill>
                <a:latin typeface="+mn-lt"/>
                <a:ea typeface="+mn-ea"/>
                <a:cs typeface="+mn-cs"/>
              </a:defRPr>
            </a:pPr>
            <a:endParaRPr lang="en-US"/>
          </a:p>
        </c:txPr>
        <c:crossAx val="611032896"/>
        <c:crosses val="autoZero"/>
        <c:auto val="1"/>
        <c:lblAlgn val="ctr"/>
        <c:lblOffset val="500"/>
        <c:noMultiLvlLbl val="0"/>
      </c:catAx>
      <c:valAx>
        <c:axId val="611032896"/>
        <c:scaling>
          <c:orientation val="minMax"/>
        </c:scaling>
        <c:delete val="1"/>
        <c:axPos val="l"/>
        <c:majorGridlines>
          <c:spPr>
            <a:ln w="9525" cap="flat" cmpd="sng" algn="ctr">
              <a:solidFill>
                <a:schemeClr val="tx2">
                  <a:lumMod val="95000"/>
                  <a:lumOff val="5000"/>
                </a:schemeClr>
              </a:solidFill>
              <a:round/>
            </a:ln>
            <a:effectLst/>
          </c:spPr>
        </c:majorGridlines>
        <c:numFmt formatCode="&quot;$&quot;#,##0" sourceLinked="1"/>
        <c:majorTickMark val="none"/>
        <c:minorTickMark val="none"/>
        <c:tickLblPos val="nextTo"/>
        <c:crossAx val="70983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000" b="1" i="0" u="none" strike="noStrike" kern="1200" spc="0" baseline="0">
                <a:solidFill>
                  <a:schemeClr val="tx2">
                    <a:lumMod val="75000"/>
                    <a:lumOff val="25000"/>
                  </a:schemeClr>
                </a:solidFill>
                <a:latin typeface="+mn-lt"/>
                <a:ea typeface="+mn-ea"/>
                <a:cs typeface="+mn-cs"/>
              </a:defRPr>
            </a:pPr>
            <a:r>
              <a:rPr lang="en-IN" sz="1000" b="1" baseline="0">
                <a:solidFill>
                  <a:schemeClr val="tx2">
                    <a:lumMod val="75000"/>
                    <a:lumOff val="25000"/>
                  </a:schemeClr>
                </a:solidFill>
              </a:rPr>
              <a:t>CONTRACTS</a:t>
            </a:r>
            <a:endParaRPr lang="en-IN" sz="1000" b="1">
              <a:solidFill>
                <a:schemeClr val="tx2">
                  <a:lumMod val="75000"/>
                  <a:lumOff val="25000"/>
                </a:schemeClr>
              </a:solidFill>
            </a:endParaRPr>
          </a:p>
        </c:rich>
      </c:tx>
      <c:overlay val="0"/>
      <c:spPr>
        <a:noFill/>
        <a:ln>
          <a:noFill/>
        </a:ln>
        <a:effectLst/>
      </c:spPr>
    </c:title>
    <c:autoTitleDeleted val="0"/>
    <c:plotArea>
      <c:layout>
        <c:manualLayout>
          <c:layoutTarget val="inner"/>
          <c:xMode val="edge"/>
          <c:yMode val="edge"/>
          <c:x val="2.4253472222222221E-2"/>
          <c:y val="0.17270820373378587"/>
          <c:w val="0.95149305555555552"/>
          <c:h val="0.68513794520879179"/>
        </c:manualLayout>
      </c:layout>
      <c:barChart>
        <c:barDir val="col"/>
        <c:grouping val="clustered"/>
        <c:varyColors val="0"/>
        <c:ser>
          <c:idx val="0"/>
          <c:order val="0"/>
          <c:spPr>
            <a:solidFill>
              <a:srgbClr val="262626"/>
            </a:solidFill>
            <a:ln w="142875">
              <a:solidFill>
                <a:schemeClr val="tx2">
                  <a:lumMod val="95000"/>
                  <a:lumOff val="5000"/>
                </a:schemeClr>
              </a:solidFill>
            </a:ln>
            <a:effectLst/>
          </c:spPr>
          <c:invertIfNegative val="1"/>
          <c:dLbls>
            <c:spPr>
              <a:solidFill>
                <a:schemeClr val="tx1">
                  <a:lumMod val="95000"/>
                  <a:lumOff val="5000"/>
                </a:schemeClr>
              </a:solidFill>
              <a:ln>
                <a:noFill/>
              </a:ln>
              <a:effectLst/>
            </c:spPr>
            <c:txPr>
              <a:bodyPr rot="0" spcFirstLastPara="1" vertOverflow="ellipsis" vert="horz" wrap="non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'PERFORMANCE ANALYSIS'!$B$6:$B$28</c15:sqref>
                  </c15:fullRef>
                </c:ext>
              </c:extLst>
              <c:f>'PERFORMANCE ANALYSIS'!$B$12:$B$16</c:f>
              <c:strCache>
                <c:ptCount val="5"/>
                <c:pt idx="0">
                  <c:v>OUTRIGHTS (IR,IB,YT, XT)</c:v>
                </c:pt>
                <c:pt idx="1">
                  <c:v>SPREADS</c:v>
                </c:pt>
                <c:pt idx="2">
                  <c:v>FLIES</c:v>
                </c:pt>
                <c:pt idx="3">
                  <c:v>TED</c:v>
                </c:pt>
                <c:pt idx="4">
                  <c:v>IR|YT</c:v>
                </c:pt>
              </c:strCache>
            </c:strRef>
          </c:cat>
          <c:val>
            <c:numRef>
              <c:extLst>
                <c:ext xmlns:c15="http://schemas.microsoft.com/office/drawing/2012/chart" uri="{02D57815-91ED-43cb-92C2-25804820EDAC}">
                  <c15:fullRef>
                    <c15:sqref>'PERFORMANCE ANALYSIS'!$L$6:$L$28</c15:sqref>
                  </c15:fullRef>
                </c:ext>
              </c:extLst>
              <c:f>'PERFORMANCE ANALYSIS'!$L$12:$L$16</c:f>
              <c:numCache>
                <c:formatCode>"$"#,##0</c:formatCode>
                <c:ptCount val="5"/>
                <c:pt idx="0">
                  <c:v>-433.79999999986865</c:v>
                </c:pt>
                <c:pt idx="1">
                  <c:v>911.9999999999992</c:v>
                </c:pt>
                <c:pt idx="2">
                  <c:v>-511.99999999999983</c:v>
                </c:pt>
                <c:pt idx="3">
                  <c:v>0</c:v>
                </c:pt>
                <c:pt idx="4">
                  <c:v>0</c:v>
                </c:pt>
              </c:numCache>
            </c:numRef>
          </c:val>
          <c:extLst>
            <c:ext xmlns:c14="http://schemas.microsoft.com/office/drawing/2007/8/2/chart" uri="{6F2FDCE9-48DA-4B69-8628-5D25D57E5C99}">
              <c14:invertSolidFillFmt>
                <c14:spPr xmlns:c14="http://schemas.microsoft.com/office/drawing/2007/8/2/chart">
                  <a:solidFill>
                    <a:srgbClr val="DF007C"/>
                  </a:solidFill>
                  <a:ln w="142875">
                    <a:solidFill>
                      <a:schemeClr val="tx2">
                        <a:lumMod val="95000"/>
                        <a:lumOff val="5000"/>
                      </a:schemeClr>
                    </a:solidFill>
                  </a:ln>
                  <a:effectLst/>
                </c14:spPr>
              </c14:invertSolidFillFmt>
            </c:ext>
            <c:ext xmlns:c16="http://schemas.microsoft.com/office/drawing/2014/chart" uri="{C3380CC4-5D6E-409C-BE32-E72D297353CC}">
              <c16:uniqueId val="{00000000-2A55-46DE-96FA-431449D879FC}"/>
            </c:ext>
          </c:extLst>
        </c:ser>
        <c:dLbls>
          <c:showLegendKey val="0"/>
          <c:showVal val="0"/>
          <c:showCatName val="0"/>
          <c:showSerName val="0"/>
          <c:showPercent val="0"/>
          <c:showBubbleSize val="0"/>
        </c:dLbls>
        <c:gapWidth val="500"/>
        <c:axId val="709832880"/>
        <c:axId val="611032896"/>
      </c:barChart>
      <c:catAx>
        <c:axId val="709832880"/>
        <c:scaling>
          <c:orientation val="minMax"/>
        </c:scaling>
        <c:delete val="0"/>
        <c:axPos val="b"/>
        <c:numFmt formatCode="General" sourceLinked="1"/>
        <c:majorTickMark val="none"/>
        <c:minorTickMark val="none"/>
        <c:tickLblPos val="low"/>
        <c:spPr>
          <a:noFill/>
          <a:ln w="9525" cap="flat" cmpd="sng" algn="ctr">
            <a:solidFill>
              <a:schemeClr val="tx2">
                <a:lumMod val="85000"/>
                <a:lumOff val="15000"/>
              </a:schemeClr>
            </a:solidFill>
            <a:round/>
          </a:ln>
          <a:effectLst/>
        </c:spPr>
        <c:txPr>
          <a:bodyPr rot="-60000000" spcFirstLastPara="1" vertOverflow="ellipsis" vert="horz" wrap="square" anchor="ctr" anchorCtr="1"/>
          <a:lstStyle/>
          <a:p>
            <a:pPr>
              <a:defRPr sz="900" b="1" i="0" u="none" strike="noStrike" kern="1200" baseline="0">
                <a:solidFill>
                  <a:schemeClr val="bg2">
                    <a:lumMod val="95000"/>
                  </a:schemeClr>
                </a:solidFill>
                <a:latin typeface="+mn-lt"/>
                <a:ea typeface="+mn-ea"/>
                <a:cs typeface="+mn-cs"/>
              </a:defRPr>
            </a:pPr>
            <a:endParaRPr lang="en-US"/>
          </a:p>
        </c:txPr>
        <c:crossAx val="611032896"/>
        <c:crosses val="autoZero"/>
        <c:auto val="1"/>
        <c:lblAlgn val="ctr"/>
        <c:lblOffset val="500"/>
        <c:noMultiLvlLbl val="0"/>
      </c:catAx>
      <c:valAx>
        <c:axId val="611032896"/>
        <c:scaling>
          <c:orientation val="minMax"/>
        </c:scaling>
        <c:delete val="1"/>
        <c:axPos val="l"/>
        <c:majorGridlines>
          <c:spPr>
            <a:ln w="9525" cap="flat" cmpd="sng" algn="ctr">
              <a:solidFill>
                <a:schemeClr val="tx2">
                  <a:lumMod val="95000"/>
                  <a:lumOff val="5000"/>
                </a:schemeClr>
              </a:solidFill>
              <a:round/>
            </a:ln>
            <a:effectLst/>
          </c:spPr>
        </c:majorGridlines>
        <c:numFmt formatCode="&quot;$&quot;#,##0" sourceLinked="1"/>
        <c:majorTickMark val="none"/>
        <c:minorTickMark val="none"/>
        <c:tickLblPos val="nextTo"/>
        <c:crossAx val="70983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bg2">
                    <a:lumMod val="95000"/>
                  </a:schemeClr>
                </a:solidFill>
                <a:latin typeface="+mn-lt"/>
                <a:ea typeface="+mn-ea"/>
                <a:cs typeface="+mn-cs"/>
              </a:defRPr>
            </a:pPr>
            <a:r>
              <a:rPr lang="en-US" b="1">
                <a:solidFill>
                  <a:schemeClr val="bg2">
                    <a:lumMod val="95000"/>
                  </a:schemeClr>
                </a:solidFill>
              </a:rPr>
              <a:t>SCORE1</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bg2">
                  <a:lumMod val="95000"/>
                </a:schemeClr>
              </a:solidFill>
              <a:latin typeface="+mn-lt"/>
              <a:ea typeface="+mn-ea"/>
              <a:cs typeface="+mn-cs"/>
            </a:defRPr>
          </a:pPr>
          <a:endParaRPr lang="en-US"/>
        </a:p>
      </c:txPr>
    </c:title>
    <c:autoTitleDeleted val="0"/>
    <c:plotArea>
      <c:layout>
        <c:manualLayout>
          <c:layoutTarget val="inner"/>
          <c:xMode val="edge"/>
          <c:yMode val="edge"/>
          <c:x val="1.2381412743123708E-2"/>
          <c:y val="0.17911534347566596"/>
          <c:w val="0.97523717451375258"/>
          <c:h val="0.56315690736909307"/>
        </c:manualLayout>
      </c:layout>
      <c:barChart>
        <c:barDir val="col"/>
        <c:grouping val="clustered"/>
        <c:varyColors val="0"/>
        <c:ser>
          <c:idx val="0"/>
          <c:order val="0"/>
          <c:spPr>
            <a:solidFill>
              <a:srgbClr val="262626"/>
            </a:solidFill>
            <a:ln>
              <a:noFill/>
            </a:ln>
            <a:effectLst/>
          </c:spPr>
          <c:invertIfNegative val="1"/>
          <c:dLbls>
            <c:spPr>
              <a:solidFill>
                <a:schemeClr val="tx2">
                  <a:lumMod val="85000"/>
                  <a:lumOff val="15000"/>
                </a:schemeClr>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'PERFORMANCE ANALYSIS'!$B$6:$B$28</c15:sqref>
                  </c15:fullRef>
                </c:ext>
              </c:extLst>
              <c:f>('PERFORMANCE ANALYSIS'!$B$6:$B$10,'PERFORMANCE ANALYSIS'!$B$12:$B$16)</c:f>
              <c:strCache>
                <c:ptCount val="10"/>
                <c:pt idx="0">
                  <c:v>TECHNICAL</c:v>
                </c:pt>
                <c:pt idx="1">
                  <c:v>FUNDAMENTAL</c:v>
                </c:pt>
                <c:pt idx="2">
                  <c:v>CURVE</c:v>
                </c:pt>
                <c:pt idx="3">
                  <c:v>WHITES</c:v>
                </c:pt>
                <c:pt idx="4">
                  <c:v>REDS</c:v>
                </c:pt>
                <c:pt idx="5">
                  <c:v>OUTRIGHTS (IR,IB,YT, XT)</c:v>
                </c:pt>
                <c:pt idx="6">
                  <c:v>SPREADS</c:v>
                </c:pt>
                <c:pt idx="7">
                  <c:v>FLIES</c:v>
                </c:pt>
                <c:pt idx="8">
                  <c:v>TED</c:v>
                </c:pt>
                <c:pt idx="9">
                  <c:v>IR|YT</c:v>
                </c:pt>
              </c:strCache>
            </c:strRef>
          </c:cat>
          <c:val>
            <c:numRef>
              <c:extLst>
                <c:ext xmlns:c15="http://schemas.microsoft.com/office/drawing/2012/chart" uri="{02D57815-91ED-43cb-92C2-25804820EDAC}">
                  <c15:fullRef>
                    <c15:sqref>'PERFORMANCE ANALYSIS'!$R$6:$R$28</c15:sqref>
                  </c15:fullRef>
                </c:ext>
              </c:extLst>
              <c:f>('PERFORMANCE ANALYSIS'!$R$6:$R$10,'PERFORMANCE ANALYSIS'!$R$12:$R$16)</c:f>
              <c:numCache>
                <c:formatCode>0.0</c:formatCode>
                <c:ptCount val="10"/>
                <c:pt idx="0">
                  <c:v>-3.6622270312804694</c:v>
                </c:pt>
                <c:pt idx="1">
                  <c:v>0.82848711390965502</c:v>
                </c:pt>
                <c:pt idx="2">
                  <c:v>-1.0940170940170966</c:v>
                </c:pt>
                <c:pt idx="3">
                  <c:v>2.3042735042741662</c:v>
                </c:pt>
                <c:pt idx="4">
                  <c:v>-1.2173913043478368</c:v>
                </c:pt>
                <c:pt idx="5">
                  <c:v>-10.862499999998398</c:v>
                </c:pt>
                <c:pt idx="6">
                  <c:v>2.7826086956521712</c:v>
                </c:pt>
                <c:pt idx="7">
                  <c:v>-7.6153846153846132</c:v>
                </c:pt>
                <c:pt idx="8">
                  <c:v>0</c:v>
                </c:pt>
                <c:pt idx="9">
                  <c:v>0</c:v>
                </c:pt>
              </c:numCache>
            </c:numRef>
          </c:val>
          <c:extLst>
            <c:ext xmlns:c14="http://schemas.microsoft.com/office/drawing/2007/8/2/chart" uri="{6F2FDCE9-48DA-4B69-8628-5D25D57E5C99}">
              <c14:invertSolidFillFmt>
                <c14:spPr xmlns:c14="http://schemas.microsoft.com/office/drawing/2007/8/2/chart">
                  <a:solidFill>
                    <a:srgbClr val="DF007C"/>
                  </a:solidFill>
                  <a:ln>
                    <a:noFill/>
                  </a:ln>
                  <a:effectLst/>
                </c14:spPr>
              </c14:invertSolidFillFmt>
            </c:ext>
            <c:ext xmlns:c16="http://schemas.microsoft.com/office/drawing/2014/chart" uri="{C3380CC4-5D6E-409C-BE32-E72D297353CC}">
              <c16:uniqueId val="{00000000-3285-4A37-917A-52A8AC95BC1F}"/>
            </c:ext>
          </c:extLst>
        </c:ser>
        <c:dLbls>
          <c:showLegendKey val="0"/>
          <c:showVal val="0"/>
          <c:showCatName val="0"/>
          <c:showSerName val="0"/>
          <c:showPercent val="0"/>
          <c:showBubbleSize val="0"/>
        </c:dLbls>
        <c:gapWidth val="500"/>
        <c:axId val="1864020511"/>
        <c:axId val="187232399"/>
      </c:barChart>
      <c:catAx>
        <c:axId val="1864020511"/>
        <c:scaling>
          <c:orientation val="minMax"/>
        </c:scaling>
        <c:delete val="0"/>
        <c:axPos val="b"/>
        <c:numFmt formatCode="General" sourceLinked="1"/>
        <c:majorTickMark val="none"/>
        <c:minorTickMark val="none"/>
        <c:tickLblPos val="low"/>
        <c:spPr>
          <a:noFill/>
          <a:ln w="9525" cap="flat" cmpd="sng" algn="ctr">
            <a:solidFill>
              <a:schemeClr val="tx2">
                <a:lumMod val="85000"/>
                <a:lumOff val="1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87232399"/>
        <c:crosses val="autoZero"/>
        <c:auto val="1"/>
        <c:lblAlgn val="ctr"/>
        <c:lblOffset val="450"/>
        <c:noMultiLvlLbl val="0"/>
      </c:catAx>
      <c:valAx>
        <c:axId val="187232399"/>
        <c:scaling>
          <c:orientation val="minMax"/>
        </c:scaling>
        <c:delete val="1"/>
        <c:axPos val="l"/>
        <c:numFmt formatCode="0.0" sourceLinked="1"/>
        <c:majorTickMark val="none"/>
        <c:minorTickMark val="none"/>
        <c:tickLblPos val="nextTo"/>
        <c:crossAx val="1864020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bg1">
                    <a:lumMod val="75000"/>
                  </a:schemeClr>
                </a:solidFill>
                <a:latin typeface="+mn-lt"/>
                <a:ea typeface="+mn-ea"/>
                <a:cs typeface="+mn-cs"/>
              </a:defRPr>
            </a:pPr>
            <a:r>
              <a:rPr lang="en-US" sz="1000" b="1" i="0" u="none" strike="noStrike" baseline="0">
                <a:solidFill>
                  <a:schemeClr val="bg1">
                    <a:lumMod val="75000"/>
                  </a:schemeClr>
                </a:solidFill>
                <a:effectLst/>
              </a:rPr>
              <a:t>AVERAGE </a:t>
            </a:r>
            <a:r>
              <a:rPr lang="en-US" b="1">
                <a:solidFill>
                  <a:schemeClr val="bg1">
                    <a:lumMod val="75000"/>
                  </a:schemeClr>
                </a:solidFill>
              </a:rPr>
              <a:t>PARTICIPATION -</a:t>
            </a:r>
            <a:r>
              <a:rPr lang="en-US" b="1" baseline="0">
                <a:solidFill>
                  <a:schemeClr val="bg1">
                    <a:lumMod val="75000"/>
                  </a:schemeClr>
                </a:solidFill>
              </a:rPr>
              <a:t> LOTS/ORDER </a:t>
            </a:r>
            <a:endParaRPr lang="en-US" b="1">
              <a:solidFill>
                <a:schemeClr val="bg1">
                  <a:lumMod val="75000"/>
                </a:schemeClr>
              </a:solidFill>
            </a:endParaRP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bg1">
                  <a:lumMod val="75000"/>
                </a:schemeClr>
              </a:solidFill>
              <a:latin typeface="+mn-lt"/>
              <a:ea typeface="+mn-ea"/>
              <a:cs typeface="+mn-cs"/>
            </a:defRPr>
          </a:pPr>
          <a:endParaRPr lang="en-US"/>
        </a:p>
      </c:txPr>
    </c:title>
    <c:autoTitleDeleted val="0"/>
    <c:plotArea>
      <c:layout>
        <c:manualLayout>
          <c:layoutTarget val="inner"/>
          <c:xMode val="edge"/>
          <c:yMode val="edge"/>
          <c:x val="3.6883319868413408E-2"/>
          <c:y val="0.2999968078654196"/>
          <c:w val="0.92623336026317316"/>
          <c:h val="0.52527468318064285"/>
        </c:manualLayout>
      </c:layout>
      <c:barChart>
        <c:barDir val="col"/>
        <c:grouping val="clustered"/>
        <c:varyColors val="0"/>
        <c:ser>
          <c:idx val="0"/>
          <c:order val="0"/>
          <c:spPr>
            <a:solidFill>
              <a:srgbClr val="262626"/>
            </a:solidFill>
            <a:ln w="95250">
              <a:noFill/>
            </a:ln>
            <a:effectLst/>
          </c:spPr>
          <c:invertIfNegative val="1"/>
          <c:dLbls>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'PERFORMANCE ANALYSIS'!$B$6:$B$28</c15:sqref>
                  </c15:fullRef>
                </c:ext>
              </c:extLst>
              <c:f>'PERFORMANCE ANALYSIS'!$B$12:$B$16</c:f>
              <c:strCache>
                <c:ptCount val="5"/>
                <c:pt idx="0">
                  <c:v>OUTRIGHTS (IR,IB,YT, XT)</c:v>
                </c:pt>
                <c:pt idx="1">
                  <c:v>SPREADS</c:v>
                </c:pt>
                <c:pt idx="2">
                  <c:v>FLIES</c:v>
                </c:pt>
                <c:pt idx="3">
                  <c:v>TED</c:v>
                </c:pt>
                <c:pt idx="4">
                  <c:v>IR|YT</c:v>
                </c:pt>
              </c:strCache>
            </c:strRef>
          </c:cat>
          <c:val>
            <c:numRef>
              <c:extLst>
                <c:ext xmlns:c15="http://schemas.microsoft.com/office/drawing/2012/chart" uri="{02D57815-91ED-43cb-92C2-25804820EDAC}">
                  <c15:fullRef>
                    <c15:sqref>'PERFORMANCE ANALYSIS'!$S$6:$S$28</c15:sqref>
                  </c15:fullRef>
                </c:ext>
              </c:extLst>
              <c:f>'PERFORMANCE ANALYSIS'!$S$12:$S$16</c:f>
              <c:numCache>
                <c:formatCode>0.0</c:formatCode>
                <c:ptCount val="5"/>
                <c:pt idx="0">
                  <c:v>4.875</c:v>
                </c:pt>
                <c:pt idx="1">
                  <c:v>11.518518518518519</c:v>
                </c:pt>
                <c:pt idx="2">
                  <c:v>18</c:v>
                </c:pt>
                <c:pt idx="3">
                  <c:v>0</c:v>
                </c:pt>
                <c:pt idx="4">
                  <c:v>0</c:v>
                </c:pt>
              </c:numCache>
            </c:numRef>
          </c:val>
          <c:extLst>
            <c:ext xmlns:c14="http://schemas.microsoft.com/office/drawing/2007/8/2/chart" uri="{6F2FDCE9-48DA-4B69-8628-5D25D57E5C99}">
              <c14:invertSolidFillFmt>
                <c14:spPr xmlns:c14="http://schemas.microsoft.com/office/drawing/2007/8/2/chart">
                  <a:solidFill>
                    <a:srgbClr val="FD2D00"/>
                  </a:solidFill>
                  <a:ln w="95250">
                    <a:noFill/>
                  </a:ln>
                  <a:effectLst/>
                </c14:spPr>
              </c14:invertSolidFillFmt>
            </c:ext>
            <c:ext xmlns:c16="http://schemas.microsoft.com/office/drawing/2014/chart" uri="{C3380CC4-5D6E-409C-BE32-E72D297353CC}">
              <c16:uniqueId val="{00000000-2471-442A-B8D3-9EC4F9857980}"/>
            </c:ext>
          </c:extLst>
        </c:ser>
        <c:dLbls>
          <c:showLegendKey val="0"/>
          <c:showVal val="0"/>
          <c:showCatName val="0"/>
          <c:showSerName val="0"/>
          <c:showPercent val="0"/>
          <c:showBubbleSize val="0"/>
        </c:dLbls>
        <c:gapWidth val="500"/>
        <c:axId val="1864020511"/>
        <c:axId val="187232399"/>
      </c:barChart>
      <c:catAx>
        <c:axId val="1864020511"/>
        <c:scaling>
          <c:orientation val="minMax"/>
        </c:scaling>
        <c:delete val="0"/>
        <c:axPos val="b"/>
        <c:numFmt formatCode="General" sourceLinked="1"/>
        <c:majorTickMark val="none"/>
        <c:minorTickMark val="none"/>
        <c:tickLblPos val="low"/>
        <c:spPr>
          <a:noFill/>
          <a:ln w="9525" cap="flat" cmpd="sng" algn="ctr">
            <a:solidFill>
              <a:schemeClr val="tx2">
                <a:lumMod val="85000"/>
                <a:lumOff val="15000"/>
              </a:schemeClr>
            </a:solid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187232399"/>
        <c:crosses val="autoZero"/>
        <c:auto val="1"/>
        <c:lblAlgn val="ctr"/>
        <c:lblOffset val="100"/>
        <c:noMultiLvlLbl val="0"/>
      </c:catAx>
      <c:valAx>
        <c:axId val="187232399"/>
        <c:scaling>
          <c:orientation val="minMax"/>
        </c:scaling>
        <c:delete val="1"/>
        <c:axPos val="l"/>
        <c:numFmt formatCode="0.0" sourceLinked="1"/>
        <c:majorTickMark val="none"/>
        <c:minorTickMark val="none"/>
        <c:tickLblPos val="nextTo"/>
        <c:crossAx val="1864020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tx2">
                    <a:lumMod val="75000"/>
                    <a:lumOff val="25000"/>
                  </a:schemeClr>
                </a:solidFill>
                <a:latin typeface="+mn-lt"/>
                <a:ea typeface="+mn-ea"/>
                <a:cs typeface="+mn-cs"/>
              </a:defRPr>
            </a:pPr>
            <a:r>
              <a:rPr lang="en-IN" sz="1000" b="1">
                <a:solidFill>
                  <a:schemeClr val="tx2">
                    <a:lumMod val="75000"/>
                    <a:lumOff val="25000"/>
                  </a:schemeClr>
                </a:solidFill>
              </a:rPr>
              <a:t>SETUP</a:t>
            </a:r>
          </a:p>
        </c:rich>
      </c:tx>
      <c:overlay val="0"/>
      <c:spPr>
        <a:noFill/>
        <a:ln>
          <a:noFill/>
        </a:ln>
        <a:effectLst/>
      </c:spPr>
    </c:title>
    <c:autoTitleDeleted val="0"/>
    <c:plotArea>
      <c:layout>
        <c:manualLayout>
          <c:layoutTarget val="inner"/>
          <c:xMode val="edge"/>
          <c:yMode val="edge"/>
          <c:x val="3.6020407610748574E-2"/>
          <c:y val="0.17237285291398274"/>
          <c:w val="0.92795918477850281"/>
          <c:h val="0.70929927755031752"/>
        </c:manualLayout>
      </c:layout>
      <c:barChart>
        <c:barDir val="col"/>
        <c:grouping val="clustered"/>
        <c:varyColors val="0"/>
        <c:ser>
          <c:idx val="0"/>
          <c:order val="0"/>
          <c:spPr>
            <a:solidFill>
              <a:schemeClr val="tx2">
                <a:lumMod val="85000"/>
                <a:lumOff val="15000"/>
              </a:schemeClr>
            </a:solidFill>
            <a:ln w="177800">
              <a:solidFill>
                <a:schemeClr val="tx2">
                  <a:lumMod val="95000"/>
                  <a:lumOff val="5000"/>
                </a:schemeClr>
              </a:solidFill>
            </a:ln>
            <a:effectLst/>
          </c:spPr>
          <c:invertIfNegative val="0"/>
          <c:dPt>
            <c:idx val="2"/>
            <c:invertIfNegative val="0"/>
            <c:bubble3D val="0"/>
            <c:spPr>
              <a:solidFill>
                <a:schemeClr val="tx2">
                  <a:lumMod val="85000"/>
                  <a:lumOff val="15000"/>
                </a:schemeClr>
              </a:solidFill>
              <a:ln w="180975">
                <a:solidFill>
                  <a:schemeClr val="tx2">
                    <a:lumMod val="95000"/>
                    <a:lumOff val="5000"/>
                  </a:schemeClr>
                </a:solidFill>
              </a:ln>
              <a:effectLst/>
            </c:spPr>
            <c:extLst>
              <c:ext xmlns:c16="http://schemas.microsoft.com/office/drawing/2014/chart" uri="{C3380CC4-5D6E-409C-BE32-E72D297353CC}">
                <c16:uniqueId val="{00000003-3DE2-43E5-ADD1-A3DB653E8C74}"/>
              </c:ext>
            </c:extLst>
          </c:dPt>
          <c:dLbls>
            <c:spPr>
              <a:solidFill>
                <a:schemeClr val="tx1">
                  <a:lumMod val="95000"/>
                  <a:lumOff val="5000"/>
                </a:schemeClr>
              </a:solidFill>
              <a:ln>
                <a:noFill/>
              </a:ln>
              <a:effectLst/>
            </c:spPr>
            <c:txPr>
              <a:bodyPr rot="0" spcFirstLastPara="1" vertOverflow="ellipsis" vert="horz" wrap="none" lIns="38100" tIns="19050" rIns="38100" bIns="19050" anchor="ctr" anchorCtr="1">
                <a:spAutoFit/>
              </a:bodyPr>
              <a:lstStyle/>
              <a:p>
                <a:pPr>
                  <a:defRPr sz="2000" b="1" i="0" u="none" strike="noStrike" kern="1200" baseline="0">
                    <a:solidFill>
                      <a:schemeClr val="bg2">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'PERFORMANCE ANALYSIS'!$B$6:$B$28</c15:sqref>
                  </c15:fullRef>
                </c:ext>
              </c:extLst>
              <c:f>'PERFORMANCE ANALYSIS'!$B$6:$B$8</c:f>
              <c:strCache>
                <c:ptCount val="3"/>
                <c:pt idx="0">
                  <c:v>TECHNICAL</c:v>
                </c:pt>
                <c:pt idx="1">
                  <c:v>FUNDAMENTAL</c:v>
                </c:pt>
                <c:pt idx="2">
                  <c:v>CURVE</c:v>
                </c:pt>
              </c:strCache>
            </c:strRef>
          </c:cat>
          <c:val>
            <c:numRef>
              <c:extLst>
                <c:ext xmlns:c15="http://schemas.microsoft.com/office/drawing/2012/chart" uri="{02D57815-91ED-43cb-92C2-25804820EDAC}">
                  <c15:fullRef>
                    <c15:sqref>'PERFORMANCE ANALYSIS'!$L$6:$L$28</c15:sqref>
                  </c15:fullRef>
                </c:ext>
              </c:extLst>
              <c:f>'PERFORMANCE ANALYSIS'!$L$6:$L$8</c:f>
              <c:numCache>
                <c:formatCode>"$"#,##0</c:formatCode>
                <c:ptCount val="3"/>
                <c:pt idx="0">
                  <c:v>-225.7999999999563</c:v>
                </c:pt>
                <c:pt idx="1">
                  <c:v>272.00000000005139</c:v>
                </c:pt>
                <c:pt idx="2">
                  <c:v>-479.99999999999989</c:v>
                </c:pt>
              </c:numCache>
            </c:numRef>
          </c:val>
          <c:extLst>
            <c:ext xmlns:c16="http://schemas.microsoft.com/office/drawing/2014/chart" uri="{C3380CC4-5D6E-409C-BE32-E72D297353CC}">
              <c16:uniqueId val="{00000000-68B6-4E0D-9635-34A8943EB731}"/>
            </c:ext>
          </c:extLst>
        </c:ser>
        <c:dLbls>
          <c:showLegendKey val="0"/>
          <c:showVal val="0"/>
          <c:showCatName val="0"/>
          <c:showSerName val="0"/>
          <c:showPercent val="0"/>
          <c:showBubbleSize val="0"/>
        </c:dLbls>
        <c:gapWidth val="500"/>
        <c:axId val="709832880"/>
        <c:axId val="611032896"/>
      </c:barChart>
      <c:catAx>
        <c:axId val="709832880"/>
        <c:scaling>
          <c:orientation val="minMax"/>
        </c:scaling>
        <c:delete val="0"/>
        <c:axPos val="b"/>
        <c:numFmt formatCode="General" sourceLinked="1"/>
        <c:majorTickMark val="none"/>
        <c:minorTickMark val="none"/>
        <c:tickLblPos val="low"/>
        <c:spPr>
          <a:noFill/>
          <a:ln w="9525" cap="flat" cmpd="sng" algn="ctr">
            <a:solidFill>
              <a:schemeClr val="tx2">
                <a:lumMod val="85000"/>
                <a:lumOff val="15000"/>
              </a:schemeClr>
            </a:solidFill>
            <a:round/>
          </a:ln>
          <a:effectLst/>
        </c:spPr>
        <c:txPr>
          <a:bodyPr rot="-60000000" spcFirstLastPara="1" vertOverflow="ellipsis" vert="horz" wrap="square" anchor="ctr" anchorCtr="1"/>
          <a:lstStyle/>
          <a:p>
            <a:pPr>
              <a:defRPr sz="900" b="1" i="0" u="none" strike="noStrike" kern="1200" baseline="0">
                <a:solidFill>
                  <a:schemeClr val="bg2">
                    <a:lumMod val="95000"/>
                  </a:schemeClr>
                </a:solidFill>
                <a:latin typeface="+mn-lt"/>
                <a:ea typeface="+mn-ea"/>
                <a:cs typeface="+mn-cs"/>
              </a:defRPr>
            </a:pPr>
            <a:endParaRPr lang="en-US"/>
          </a:p>
        </c:txPr>
        <c:crossAx val="611032896"/>
        <c:crosses val="autoZero"/>
        <c:auto val="1"/>
        <c:lblAlgn val="ctr"/>
        <c:lblOffset val="500"/>
        <c:noMultiLvlLbl val="0"/>
      </c:catAx>
      <c:valAx>
        <c:axId val="611032896"/>
        <c:scaling>
          <c:orientation val="minMax"/>
        </c:scaling>
        <c:delete val="1"/>
        <c:axPos val="l"/>
        <c:majorGridlines>
          <c:spPr>
            <a:ln w="9525" cap="flat" cmpd="sng" algn="ctr">
              <a:solidFill>
                <a:schemeClr val="tx2">
                  <a:lumMod val="95000"/>
                  <a:lumOff val="5000"/>
                </a:schemeClr>
              </a:solidFill>
              <a:round/>
            </a:ln>
            <a:effectLst/>
          </c:spPr>
        </c:majorGridlines>
        <c:numFmt formatCode="&quot;$&quot;#,##0" sourceLinked="1"/>
        <c:majorTickMark val="none"/>
        <c:minorTickMark val="none"/>
        <c:tickLblPos val="nextTo"/>
        <c:crossAx val="70983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bg1">
                    <a:lumMod val="75000"/>
                  </a:schemeClr>
                </a:solidFill>
                <a:latin typeface="+mn-lt"/>
                <a:ea typeface="+mn-ea"/>
                <a:cs typeface="+mn-cs"/>
              </a:defRPr>
            </a:pPr>
            <a:r>
              <a:rPr lang="en-US" sz="1000" b="1">
                <a:solidFill>
                  <a:schemeClr val="bg1">
                    <a:lumMod val="75000"/>
                  </a:schemeClr>
                </a:solidFill>
              </a:rPr>
              <a:t>TOTAL LOTS</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bg1">
                  <a:lumMod val="75000"/>
                </a:schemeClr>
              </a:solidFill>
              <a:latin typeface="+mn-lt"/>
              <a:ea typeface="+mn-ea"/>
              <a:cs typeface="+mn-cs"/>
            </a:defRPr>
          </a:pPr>
          <a:endParaRPr lang="en-US"/>
        </a:p>
      </c:txPr>
    </c:title>
    <c:autoTitleDeleted val="0"/>
    <c:plotArea>
      <c:layout>
        <c:manualLayout>
          <c:layoutTarget val="inner"/>
          <c:xMode val="edge"/>
          <c:yMode val="edge"/>
          <c:x val="3.6883319868413408E-2"/>
          <c:y val="0.27408119658119656"/>
          <c:w val="0.92623336026317316"/>
          <c:h val="0.52605598290598288"/>
        </c:manualLayout>
      </c:layout>
      <c:barChart>
        <c:barDir val="col"/>
        <c:grouping val="clustered"/>
        <c:varyColors val="0"/>
        <c:ser>
          <c:idx val="0"/>
          <c:order val="0"/>
          <c:tx>
            <c:v>participation</c:v>
          </c:tx>
          <c:spPr>
            <a:solidFill>
              <a:srgbClr val="0D0D0D"/>
            </a:solidFill>
            <a:ln w="152400">
              <a:noFill/>
            </a:ln>
            <a:effectLst/>
          </c:spPr>
          <c:invertIfNegative val="1"/>
          <c:dLbls>
            <c:spPr>
              <a:solidFill>
                <a:schemeClr val="tx2">
                  <a:lumMod val="85000"/>
                  <a:lumOff val="15000"/>
                </a:schemeClr>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2">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'PERFORMANCE ANALYSIS'!$B$6:$B$28</c15:sqref>
                  </c15:fullRef>
                </c:ext>
              </c:extLst>
              <c:f>'PERFORMANCE ANALYSIS'!$B$12:$B$16</c:f>
              <c:strCache>
                <c:ptCount val="5"/>
                <c:pt idx="0">
                  <c:v>OUTRIGHTS (IR,IB,YT, XT)</c:v>
                </c:pt>
                <c:pt idx="1">
                  <c:v>SPREADS</c:v>
                </c:pt>
                <c:pt idx="2">
                  <c:v>FLIES</c:v>
                </c:pt>
                <c:pt idx="3">
                  <c:v>TED</c:v>
                </c:pt>
                <c:pt idx="4">
                  <c:v>IR|YT</c:v>
                </c:pt>
              </c:strCache>
            </c:strRef>
          </c:cat>
          <c:val>
            <c:numRef>
              <c:extLst>
                <c:ext xmlns:c15="http://schemas.microsoft.com/office/drawing/2012/chart" uri="{02D57815-91ED-43cb-92C2-25804820EDAC}">
                  <c15:fullRef>
                    <c15:sqref>'PERFORMANCE ANALYSIS'!$D$6:$D$28</c15:sqref>
                  </c15:fullRef>
                </c:ext>
              </c:extLst>
              <c:f>'PERFORMANCE ANALYSIS'!$D$12:$D$16</c:f>
              <c:numCache>
                <c:formatCode>General</c:formatCode>
                <c:ptCount val="5"/>
                <c:pt idx="0">
                  <c:v>78</c:v>
                </c:pt>
                <c:pt idx="1">
                  <c:v>311</c:v>
                </c:pt>
                <c:pt idx="2">
                  <c:v>54</c:v>
                </c:pt>
                <c:pt idx="3">
                  <c:v>0</c:v>
                </c:pt>
                <c:pt idx="4">
                  <c:v>0</c:v>
                </c:pt>
              </c:numCache>
            </c:numRef>
          </c:val>
          <c:extLst>
            <c:ext xmlns:c14="http://schemas.microsoft.com/office/drawing/2007/8/2/chart" uri="{6F2FDCE9-48DA-4B69-8628-5D25D57E5C99}">
              <c14:invertSolidFillFmt>
                <c14:spPr xmlns:c14="http://schemas.microsoft.com/office/drawing/2007/8/2/chart">
                  <a:solidFill>
                    <a:srgbClr val="F2F2F2"/>
                  </a:solidFill>
                  <a:ln w="152400">
                    <a:noFill/>
                  </a:ln>
                  <a:effectLst/>
                </c14:spPr>
              </c14:invertSolidFillFmt>
            </c:ext>
            <c:ext xmlns:c16="http://schemas.microsoft.com/office/drawing/2014/chart" uri="{C3380CC4-5D6E-409C-BE32-E72D297353CC}">
              <c16:uniqueId val="{00000000-BC8C-49F1-9971-0369DC209ABD}"/>
            </c:ext>
          </c:extLst>
        </c:ser>
        <c:dLbls>
          <c:showLegendKey val="0"/>
          <c:showVal val="0"/>
          <c:showCatName val="0"/>
          <c:showSerName val="0"/>
          <c:showPercent val="0"/>
          <c:showBubbleSize val="0"/>
        </c:dLbls>
        <c:gapWidth val="250"/>
        <c:axId val="709832880"/>
        <c:axId val="611032896"/>
      </c:barChart>
      <c:catAx>
        <c:axId val="709832880"/>
        <c:scaling>
          <c:orientation val="minMax"/>
        </c:scaling>
        <c:delete val="0"/>
        <c:axPos val="b"/>
        <c:numFmt formatCode="General" sourceLinked="1"/>
        <c:majorTickMark val="none"/>
        <c:minorTickMark val="none"/>
        <c:tickLblPos val="low"/>
        <c:spPr>
          <a:noFill/>
          <a:ln w="9525" cap="flat" cmpd="sng" algn="ctr">
            <a:solidFill>
              <a:schemeClr val="tx2">
                <a:lumMod val="95000"/>
                <a:lumOff val="5000"/>
              </a:schemeClr>
            </a:solidFill>
            <a:round/>
          </a:ln>
          <a:effectLst/>
        </c:spPr>
        <c:txPr>
          <a:bodyPr rot="-60000000" spcFirstLastPara="1" vertOverflow="ellipsis" vert="horz" wrap="square" anchor="ctr" anchorCtr="1"/>
          <a:lstStyle/>
          <a:p>
            <a:pPr>
              <a:defRPr sz="900" b="1" i="0" u="none" strike="noStrike" kern="1200" baseline="0">
                <a:solidFill>
                  <a:schemeClr val="bg2">
                    <a:lumMod val="85000"/>
                  </a:schemeClr>
                </a:solidFill>
                <a:latin typeface="+mn-lt"/>
                <a:ea typeface="+mn-ea"/>
                <a:cs typeface="+mn-cs"/>
              </a:defRPr>
            </a:pPr>
            <a:endParaRPr lang="en-US"/>
          </a:p>
        </c:txPr>
        <c:crossAx val="611032896"/>
        <c:crosses val="autoZero"/>
        <c:auto val="1"/>
        <c:lblAlgn val="ctr"/>
        <c:lblOffset val="250"/>
        <c:noMultiLvlLbl val="0"/>
      </c:catAx>
      <c:valAx>
        <c:axId val="611032896"/>
        <c:scaling>
          <c:orientation val="minMax"/>
        </c:scaling>
        <c:delete val="1"/>
        <c:axPos val="l"/>
        <c:numFmt formatCode="General" sourceLinked="1"/>
        <c:majorTickMark val="none"/>
        <c:minorTickMark val="none"/>
        <c:tickLblPos val="nextTo"/>
        <c:crossAx val="70983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2298942660691805E-2"/>
          <c:y val="0.21519059822168313"/>
          <c:w val="0.97540211467861637"/>
          <c:h val="0.54494521199458257"/>
        </c:manualLayout>
      </c:layout>
      <c:barChart>
        <c:barDir val="col"/>
        <c:grouping val="clustered"/>
        <c:varyColors val="0"/>
        <c:ser>
          <c:idx val="0"/>
          <c:order val="0"/>
          <c:spPr>
            <a:solidFill>
              <a:schemeClr val="tx2">
                <a:lumMod val="95000"/>
                <a:lumOff val="5000"/>
              </a:schemeClr>
            </a:solidFill>
            <a:ln>
              <a:noFill/>
            </a:ln>
            <a:effectLst/>
          </c:spPr>
          <c:invertIfNegative val="0"/>
          <c:dLbls>
            <c:spPr>
              <a:solidFill>
                <a:srgbClr val="00C5C8"/>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lumMod val="95000"/>
                      </a:schemeClr>
                    </a:solidFill>
                    <a:latin typeface="Verdana Pro Black" panose="020B0A0403050404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'PERFORMANCE ANALYSIS'!$B$6:$B$28</c15:sqref>
                  </c15:fullRef>
                </c:ext>
              </c:extLst>
              <c:f>('PERFORMANCE ANALYSIS'!$B$6:$B$10,'PERFORMANCE ANALYSIS'!$B$12:$B$28)</c:f>
              <c:strCache>
                <c:ptCount val="22"/>
                <c:pt idx="0">
                  <c:v>TECHNICAL</c:v>
                </c:pt>
                <c:pt idx="1">
                  <c:v>FUNDAMENTAL</c:v>
                </c:pt>
                <c:pt idx="2">
                  <c:v>CURVE</c:v>
                </c:pt>
                <c:pt idx="3">
                  <c:v>WHITES</c:v>
                </c:pt>
                <c:pt idx="4">
                  <c:v>REDS</c:v>
                </c:pt>
                <c:pt idx="5">
                  <c:v>OUTRIGHTS (IR,IB,YT, XT)</c:v>
                </c:pt>
                <c:pt idx="6">
                  <c:v>SPREADS</c:v>
                </c:pt>
                <c:pt idx="7">
                  <c:v>FLIES</c:v>
                </c:pt>
                <c:pt idx="8">
                  <c:v>TED</c:v>
                </c:pt>
                <c:pt idx="9">
                  <c:v>IR|YT</c:v>
                </c:pt>
                <c:pt idx="10">
                  <c:v>M</c:v>
                </c:pt>
                <c:pt idx="11">
                  <c:v>H</c:v>
                </c:pt>
                <c:pt idx="12">
                  <c:v>D</c:v>
                </c:pt>
                <c:pt idx="13">
                  <c:v>W </c:v>
                </c:pt>
                <c:pt idx="14">
                  <c:v>3MS</c:v>
                </c:pt>
                <c:pt idx="15">
                  <c:v>3MF (DF)</c:v>
                </c:pt>
                <c:pt idx="16">
                  <c:v>6MS</c:v>
                </c:pt>
                <c:pt idx="17">
                  <c:v>6MF (C,DC)</c:v>
                </c:pt>
                <c:pt idx="18">
                  <c:v>9MS</c:v>
                </c:pt>
                <c:pt idx="19">
                  <c:v>1YS</c:v>
                </c:pt>
                <c:pt idx="20">
                  <c:v>P</c:v>
                </c:pt>
                <c:pt idx="21">
                  <c:v>I</c:v>
                </c:pt>
              </c:strCache>
            </c:strRef>
          </c:cat>
          <c:val>
            <c:numRef>
              <c:extLst>
                <c:ext xmlns:c15="http://schemas.microsoft.com/office/drawing/2012/chart" uri="{02D57815-91ED-43cb-92C2-25804820EDAC}">
                  <c15:fullRef>
                    <c15:sqref>'PERFORMANCE ANALYSIS'!$AT$6:$AT$16</c15:sqref>
                  </c15:fullRef>
                </c:ext>
              </c:extLst>
              <c:f>('PERFORMANCE ANALYSIS'!$AT$6:$AT$10,'PERFORMANCE ANALYSIS'!$AT$12:$AT$16)</c:f>
              <c:numCache>
                <c:formatCode>0.0</c:formatCode>
                <c:ptCount val="10"/>
                <c:pt idx="0">
                  <c:v>8.5555555555555554</c:v>
                </c:pt>
                <c:pt idx="1">
                  <c:v>9</c:v>
                </c:pt>
                <c:pt idx="2">
                  <c:v>2</c:v>
                </c:pt>
                <c:pt idx="3">
                  <c:v>8.4166666666666661</c:v>
                </c:pt>
                <c:pt idx="4">
                  <c:v>0</c:v>
                </c:pt>
                <c:pt idx="5">
                  <c:v>5.8</c:v>
                </c:pt>
                <c:pt idx="6">
                  <c:v>9.125</c:v>
                </c:pt>
                <c:pt idx="7">
                  <c:v>0</c:v>
                </c:pt>
                <c:pt idx="8">
                  <c:v>0</c:v>
                </c:pt>
                <c:pt idx="9">
                  <c:v>0</c:v>
                </c:pt>
              </c:numCache>
            </c:numRef>
          </c:val>
          <c:extLst>
            <c:ext xmlns:c16="http://schemas.microsoft.com/office/drawing/2014/chart" uri="{C3380CC4-5D6E-409C-BE32-E72D297353CC}">
              <c16:uniqueId val="{00000000-8699-4B03-B305-C86E6AC8BD64}"/>
            </c:ext>
          </c:extLst>
        </c:ser>
        <c:ser>
          <c:idx val="1"/>
          <c:order val="1"/>
          <c:tx>
            <c:v>losses</c:v>
          </c:tx>
          <c:spPr>
            <a:solidFill>
              <a:schemeClr val="tx2">
                <a:lumMod val="95000"/>
                <a:lumOff val="5000"/>
              </a:schemeClr>
            </a:solidFill>
            <a:ln>
              <a:noFill/>
            </a:ln>
            <a:effectLst/>
          </c:spPr>
          <c:invertIfNegative val="0"/>
          <c:dLbls>
            <c:spPr>
              <a:solidFill>
                <a:srgbClr val="DF007C"/>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lumMod val="95000"/>
                      </a:schemeClr>
                    </a:solidFill>
                    <a:latin typeface="Verdana Pro Black" panose="020B0A0403050404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TECHNICAL</c:v>
              </c:pt>
              <c:pt idx="1">
                <c:v>FUNDAMENTAL</c:v>
              </c:pt>
              <c:pt idx="2">
                <c:v>CURVE</c:v>
              </c:pt>
              <c:pt idx="3">
                <c:v>WHITES</c:v>
              </c:pt>
              <c:pt idx="4">
                <c:v>REDS</c:v>
              </c:pt>
              <c:pt idx="5">
                <c:v>OUTRIGHTS (IR,IB,YT, XT)</c:v>
              </c:pt>
              <c:pt idx="6">
                <c:v>SPREADS</c:v>
              </c:pt>
              <c:pt idx="7">
                <c:v>FLIES</c:v>
              </c:pt>
              <c:pt idx="8">
                <c:v>TED</c:v>
              </c:pt>
              <c:pt idx="9">
                <c:v>IR|YT</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'PERFORMANCE ANALYSIS'!$AY$6:$AY$16</c15:sqref>
                  </c15:fullRef>
                </c:ext>
              </c:extLst>
              <c:f>('PERFORMANCE ANALYSIS'!$AY$6:$AY$10,'PERFORMANCE ANALYSIS'!$AY$12:$AY$16)</c:f>
              <c:numCache>
                <c:formatCode>0.0</c:formatCode>
                <c:ptCount val="10"/>
                <c:pt idx="0">
                  <c:v>8.8000000000000007</c:v>
                </c:pt>
                <c:pt idx="1">
                  <c:v>12.2</c:v>
                </c:pt>
                <c:pt idx="2">
                  <c:v>21</c:v>
                </c:pt>
                <c:pt idx="3">
                  <c:v>9.5</c:v>
                </c:pt>
                <c:pt idx="4">
                  <c:v>23</c:v>
                </c:pt>
                <c:pt idx="5">
                  <c:v>3.375</c:v>
                </c:pt>
                <c:pt idx="6">
                  <c:v>13</c:v>
                </c:pt>
                <c:pt idx="7">
                  <c:v>21</c:v>
                </c:pt>
                <c:pt idx="8">
                  <c:v>0</c:v>
                </c:pt>
                <c:pt idx="9">
                  <c:v>0</c:v>
                </c:pt>
              </c:numCache>
            </c:numRef>
          </c:val>
          <c:extLst>
            <c:ext xmlns:c16="http://schemas.microsoft.com/office/drawing/2014/chart" uri="{C3380CC4-5D6E-409C-BE32-E72D297353CC}">
              <c16:uniqueId val="{00000001-8699-4B03-B305-C86E6AC8BD64}"/>
            </c:ext>
          </c:extLst>
        </c:ser>
        <c:dLbls>
          <c:showLegendKey val="0"/>
          <c:showVal val="0"/>
          <c:showCatName val="0"/>
          <c:showSerName val="0"/>
          <c:showPercent val="0"/>
          <c:showBubbleSize val="0"/>
        </c:dLbls>
        <c:gapWidth val="500"/>
        <c:overlap val="100"/>
        <c:axId val="154878527"/>
        <c:axId val="154879007"/>
      </c:barChart>
      <c:catAx>
        <c:axId val="154878527"/>
        <c:scaling>
          <c:orientation val="minMax"/>
        </c:scaling>
        <c:delete val="0"/>
        <c:axPos val="b"/>
        <c:numFmt formatCode="General" sourceLinked="1"/>
        <c:majorTickMark val="none"/>
        <c:minorTickMark val="none"/>
        <c:tickLblPos val="nextTo"/>
        <c:spPr>
          <a:noFill/>
          <a:ln w="9525" cap="flat" cmpd="sng" algn="ctr">
            <a:solidFill>
              <a:schemeClr val="tx2">
                <a:lumMod val="85000"/>
                <a:lumOff val="15000"/>
              </a:schemeClr>
            </a:solidFill>
            <a:round/>
          </a:ln>
          <a:effectLst/>
        </c:spPr>
        <c:txPr>
          <a:bodyPr rot="-60000000" spcFirstLastPara="1" vertOverflow="ellipsis" vert="horz" wrap="square" anchor="ctr" anchorCtr="1"/>
          <a:lstStyle/>
          <a:p>
            <a:pPr>
              <a:defRPr sz="900" b="0" i="0" u="none" strike="noStrike" kern="1200" baseline="0">
                <a:solidFill>
                  <a:schemeClr val="bg2">
                    <a:lumMod val="85000"/>
                  </a:schemeClr>
                </a:solidFill>
                <a:latin typeface="+mn-lt"/>
                <a:ea typeface="+mn-ea"/>
                <a:cs typeface="+mn-cs"/>
              </a:defRPr>
            </a:pPr>
            <a:endParaRPr lang="en-US"/>
          </a:p>
        </c:txPr>
        <c:crossAx val="154879007"/>
        <c:crosses val="autoZero"/>
        <c:auto val="1"/>
        <c:lblAlgn val="ctr"/>
        <c:lblOffset val="100"/>
        <c:noMultiLvlLbl val="0"/>
      </c:catAx>
      <c:valAx>
        <c:axId val="154879007"/>
        <c:scaling>
          <c:orientation val="minMax"/>
        </c:scaling>
        <c:delete val="1"/>
        <c:axPos val="l"/>
        <c:numFmt formatCode="0.0" sourceLinked="1"/>
        <c:majorTickMark val="none"/>
        <c:minorTickMark val="none"/>
        <c:tickLblPos val="nextTo"/>
        <c:crossAx val="154878527"/>
        <c:crosses val="autoZero"/>
        <c:crossBetween val="between"/>
      </c:valAx>
      <c:spPr>
        <a:noFill/>
        <a:ln>
          <a:noFill/>
        </a:ln>
        <a:effectLst/>
      </c:spPr>
    </c:plotArea>
    <c:plotVisOnly val="1"/>
    <c:dispBlanksAs val="gap"/>
    <c:showDLblsOverMax val="0"/>
  </c:chart>
  <c:spPr>
    <a:solidFill>
      <a:schemeClr val="tx2">
        <a:lumMod val="95000"/>
        <a:lumOff val="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2">
                <a:lumMod val="95000"/>
                <a:lumOff val="5000"/>
              </a:schemeClr>
            </a:solidFill>
            <a:ln>
              <a:noFill/>
            </a:ln>
            <a:effectLst/>
          </c:spPr>
          <c:invertIfNegative val="0"/>
          <c:dLbls>
            <c:spPr>
              <a:solidFill>
                <a:srgbClr val="00C5C8"/>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lumMod val="95000"/>
                      </a:schemeClr>
                    </a:solidFill>
                    <a:latin typeface="Verdana Pro Black" panose="020B0A0403050404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'PERFORMANCE ANALYSIS'!$B$6:$B$28</c15:sqref>
                  </c15:fullRef>
                </c:ext>
              </c:extLst>
              <c:f>('PERFORMANCE ANALYSIS'!$B$6:$B$10,'PERFORMANCE ANALYSIS'!$B$12:$B$28)</c:f>
              <c:strCache>
                <c:ptCount val="22"/>
                <c:pt idx="0">
                  <c:v>TECHNICAL</c:v>
                </c:pt>
                <c:pt idx="1">
                  <c:v>FUNDAMENTAL</c:v>
                </c:pt>
                <c:pt idx="2">
                  <c:v>CURVE</c:v>
                </c:pt>
                <c:pt idx="3">
                  <c:v>WHITES</c:v>
                </c:pt>
                <c:pt idx="4">
                  <c:v>REDS</c:v>
                </c:pt>
                <c:pt idx="5">
                  <c:v>OUTRIGHTS (IR,IB,YT, XT)</c:v>
                </c:pt>
                <c:pt idx="6">
                  <c:v>SPREADS</c:v>
                </c:pt>
                <c:pt idx="7">
                  <c:v>FLIES</c:v>
                </c:pt>
                <c:pt idx="8">
                  <c:v>TED</c:v>
                </c:pt>
                <c:pt idx="9">
                  <c:v>IR|YT</c:v>
                </c:pt>
                <c:pt idx="10">
                  <c:v>M</c:v>
                </c:pt>
                <c:pt idx="11">
                  <c:v>H</c:v>
                </c:pt>
                <c:pt idx="12">
                  <c:v>D</c:v>
                </c:pt>
                <c:pt idx="13">
                  <c:v>W </c:v>
                </c:pt>
                <c:pt idx="14">
                  <c:v>3MS</c:v>
                </c:pt>
                <c:pt idx="15">
                  <c:v>3MF (DF)</c:v>
                </c:pt>
                <c:pt idx="16">
                  <c:v>6MS</c:v>
                </c:pt>
                <c:pt idx="17">
                  <c:v>6MF (C,DC)</c:v>
                </c:pt>
                <c:pt idx="18">
                  <c:v>9MS</c:v>
                </c:pt>
                <c:pt idx="19">
                  <c:v>1YS</c:v>
                </c:pt>
                <c:pt idx="20">
                  <c:v>P</c:v>
                </c:pt>
                <c:pt idx="21">
                  <c:v>I</c:v>
                </c:pt>
              </c:strCache>
            </c:strRef>
          </c:cat>
          <c:val>
            <c:numRef>
              <c:extLst>
                <c:ext xmlns:c15="http://schemas.microsoft.com/office/drawing/2012/chart" uri="{02D57815-91ED-43cb-92C2-25804820EDAC}">
                  <c15:fullRef>
                    <c15:sqref>'PERFORMANCE ANALYSIS'!$AS$6:$AS$16</c15:sqref>
                  </c15:fullRef>
                </c:ext>
              </c:extLst>
              <c:f>('PERFORMANCE ANALYSIS'!$AS$6:$AS$10,'PERFORMANCE ANALYSIS'!$AS$12:$AS$16)</c:f>
              <c:numCache>
                <c:formatCode>"$"#,##0</c:formatCode>
                <c:ptCount val="10"/>
                <c:pt idx="0">
                  <c:v>16.444444444443963</c:v>
                </c:pt>
                <c:pt idx="1">
                  <c:v>15.999999999997883</c:v>
                </c:pt>
                <c:pt idx="2">
                  <c:v>15.99999999999997</c:v>
                </c:pt>
                <c:pt idx="3">
                  <c:v>15.99999999999894</c:v>
                </c:pt>
                <c:pt idx="4">
                  <c:v>0</c:v>
                </c:pt>
                <c:pt idx="5">
                  <c:v>16.7999999999995</c:v>
                </c:pt>
                <c:pt idx="6">
                  <c:v>15.999999999999998</c:v>
                </c:pt>
                <c:pt idx="7">
                  <c:v>0</c:v>
                </c:pt>
                <c:pt idx="8">
                  <c:v>0</c:v>
                </c:pt>
                <c:pt idx="9">
                  <c:v>0</c:v>
                </c:pt>
              </c:numCache>
            </c:numRef>
          </c:val>
          <c:extLst>
            <c:ext xmlns:c16="http://schemas.microsoft.com/office/drawing/2014/chart" uri="{C3380CC4-5D6E-409C-BE32-E72D297353CC}">
              <c16:uniqueId val="{00000000-8B5C-4399-82D8-1CD49D5F5519}"/>
            </c:ext>
          </c:extLst>
        </c:ser>
        <c:ser>
          <c:idx val="1"/>
          <c:order val="1"/>
          <c:tx>
            <c:v>losses</c:v>
          </c:tx>
          <c:spPr>
            <a:solidFill>
              <a:schemeClr val="tx2">
                <a:lumMod val="95000"/>
                <a:lumOff val="5000"/>
              </a:schemeClr>
            </a:solidFill>
            <a:ln>
              <a:noFill/>
            </a:ln>
            <a:effectLst/>
          </c:spPr>
          <c:invertIfNegative val="0"/>
          <c:dLbls>
            <c:spPr>
              <a:solidFill>
                <a:srgbClr val="DF007C"/>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lumMod val="95000"/>
                      </a:schemeClr>
                    </a:solidFill>
                    <a:latin typeface="Verdana Pro Black" panose="020B0A0403050404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TECHNICAL</c:v>
              </c:pt>
              <c:pt idx="1">
                <c:v>FUNDAMENTAL</c:v>
              </c:pt>
              <c:pt idx="2">
                <c:v>CURVE</c:v>
              </c:pt>
              <c:pt idx="3">
                <c:v>WHITES</c:v>
              </c:pt>
              <c:pt idx="4">
                <c:v>REDS</c:v>
              </c:pt>
              <c:pt idx="5">
                <c:v>OUTRIGHTS (IR,IB,YT, XT)</c:v>
              </c:pt>
              <c:pt idx="6">
                <c:v>SPREADS</c:v>
              </c:pt>
              <c:pt idx="7">
                <c:v>FLIES</c:v>
              </c:pt>
              <c:pt idx="8">
                <c:v>TED</c:v>
              </c:pt>
              <c:pt idx="9">
                <c:v>IR|YT</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'PERFORMANCE ANALYSIS'!$AX$6:$AX$16</c15:sqref>
                  </c15:fullRef>
                </c:ext>
              </c:extLst>
              <c:f>('PERFORMANCE ANALYSIS'!$AX$6:$AX$10,'PERFORMANCE ANALYSIS'!$AX$12:$AX$16)</c:f>
              <c:numCache>
                <c:formatCode>"$"#,##0</c:formatCode>
                <c:ptCount val="10"/>
                <c:pt idx="0">
                  <c:v>27.25157190635316</c:v>
                </c:pt>
                <c:pt idx="1">
                  <c:v>16.383143812704635</c:v>
                </c:pt>
                <c:pt idx="2">
                  <c:v>12.92307692307692</c:v>
                </c:pt>
                <c:pt idx="3">
                  <c:v>18.174358974352881</c:v>
                </c:pt>
                <c:pt idx="4">
                  <c:v>4.8695652173913473</c:v>
                </c:pt>
                <c:pt idx="5">
                  <c:v>32.224999999996484</c:v>
                </c:pt>
                <c:pt idx="6">
                  <c:v>26.434782608695674</c:v>
                </c:pt>
                <c:pt idx="7">
                  <c:v>12.92307692307692</c:v>
                </c:pt>
                <c:pt idx="8">
                  <c:v>0</c:v>
                </c:pt>
                <c:pt idx="9">
                  <c:v>0</c:v>
                </c:pt>
              </c:numCache>
            </c:numRef>
          </c:val>
          <c:extLst>
            <c:ext xmlns:c16="http://schemas.microsoft.com/office/drawing/2014/chart" uri="{C3380CC4-5D6E-409C-BE32-E72D297353CC}">
              <c16:uniqueId val="{00000001-8B5C-4399-82D8-1CD49D5F5519}"/>
            </c:ext>
          </c:extLst>
        </c:ser>
        <c:dLbls>
          <c:showLegendKey val="0"/>
          <c:showVal val="0"/>
          <c:showCatName val="0"/>
          <c:showSerName val="0"/>
          <c:showPercent val="0"/>
          <c:showBubbleSize val="0"/>
        </c:dLbls>
        <c:gapWidth val="500"/>
        <c:overlap val="100"/>
        <c:axId val="154878527"/>
        <c:axId val="154879007"/>
      </c:barChart>
      <c:catAx>
        <c:axId val="154878527"/>
        <c:scaling>
          <c:orientation val="minMax"/>
        </c:scaling>
        <c:delete val="0"/>
        <c:axPos val="b"/>
        <c:numFmt formatCode="General" sourceLinked="1"/>
        <c:majorTickMark val="none"/>
        <c:minorTickMark val="none"/>
        <c:tickLblPos val="nextTo"/>
        <c:spPr>
          <a:noFill/>
          <a:ln w="9525" cap="flat" cmpd="sng" algn="ctr">
            <a:solidFill>
              <a:schemeClr val="tx2">
                <a:lumMod val="85000"/>
                <a:lumOff val="15000"/>
              </a:schemeClr>
            </a:solidFill>
            <a:round/>
          </a:ln>
          <a:effectLst/>
        </c:spPr>
        <c:txPr>
          <a:bodyPr rot="-60000000" spcFirstLastPara="1" vertOverflow="ellipsis" vert="horz" wrap="square" anchor="ctr" anchorCtr="1"/>
          <a:lstStyle/>
          <a:p>
            <a:pPr>
              <a:defRPr sz="900" b="0" i="0" u="none" strike="noStrike" kern="1200" baseline="0">
                <a:solidFill>
                  <a:schemeClr val="bg2">
                    <a:lumMod val="85000"/>
                  </a:schemeClr>
                </a:solidFill>
                <a:latin typeface="+mn-lt"/>
                <a:ea typeface="+mn-ea"/>
                <a:cs typeface="+mn-cs"/>
              </a:defRPr>
            </a:pPr>
            <a:endParaRPr lang="en-US"/>
          </a:p>
        </c:txPr>
        <c:crossAx val="154879007"/>
        <c:crosses val="autoZero"/>
        <c:auto val="1"/>
        <c:lblAlgn val="ctr"/>
        <c:lblOffset val="100"/>
        <c:noMultiLvlLbl val="0"/>
      </c:catAx>
      <c:valAx>
        <c:axId val="154879007"/>
        <c:scaling>
          <c:orientation val="minMax"/>
        </c:scaling>
        <c:delete val="1"/>
        <c:axPos val="l"/>
        <c:numFmt formatCode="&quot;$&quot;#,##0" sourceLinked="1"/>
        <c:majorTickMark val="none"/>
        <c:minorTickMark val="none"/>
        <c:tickLblPos val="nextTo"/>
        <c:crossAx val="154878527"/>
        <c:crosses val="autoZero"/>
        <c:crossBetween val="between"/>
      </c:valAx>
      <c:spPr>
        <a:noFill/>
        <a:ln>
          <a:noFill/>
        </a:ln>
        <a:effectLst/>
      </c:spPr>
    </c:plotArea>
    <c:plotVisOnly val="1"/>
    <c:dispBlanksAs val="gap"/>
    <c:showDLblsOverMax val="0"/>
  </c:chart>
  <c:spPr>
    <a:solidFill>
      <a:schemeClr val="tx2">
        <a:lumMod val="95000"/>
        <a:lumOff val="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2">
                <a:lumMod val="95000"/>
                <a:lumOff val="5000"/>
              </a:schemeClr>
            </a:solidFill>
            <a:ln>
              <a:noFill/>
            </a:ln>
            <a:effectLst/>
          </c:spPr>
          <c:invertIfNegative val="0"/>
          <c:dLbls>
            <c:spPr>
              <a:solidFill>
                <a:srgbClr val="00C5C8"/>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lumMod val="95000"/>
                      </a:schemeClr>
                    </a:solidFill>
                    <a:latin typeface="Verdana Pro Black" panose="020B0A0403050404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'PERFORMANCE ANALYSIS'!$B$6:$B$28</c15:sqref>
                  </c15:fullRef>
                </c:ext>
              </c:extLst>
              <c:f>('PERFORMANCE ANALYSIS'!$B$6:$B$10,'PERFORMANCE ANALYSIS'!$B$12:$B$16)</c:f>
              <c:strCache>
                <c:ptCount val="10"/>
                <c:pt idx="0">
                  <c:v>TECHNICAL</c:v>
                </c:pt>
                <c:pt idx="1">
                  <c:v>FUNDAMENTAL</c:v>
                </c:pt>
                <c:pt idx="2">
                  <c:v>CURVE</c:v>
                </c:pt>
                <c:pt idx="3">
                  <c:v>WHITES</c:v>
                </c:pt>
                <c:pt idx="4">
                  <c:v>REDS</c:v>
                </c:pt>
                <c:pt idx="5">
                  <c:v>OUTRIGHTS (IR,IB,YT, XT)</c:v>
                </c:pt>
                <c:pt idx="6">
                  <c:v>SPREADS</c:v>
                </c:pt>
                <c:pt idx="7">
                  <c:v>FLIES</c:v>
                </c:pt>
                <c:pt idx="8">
                  <c:v>TED</c:v>
                </c:pt>
                <c:pt idx="9">
                  <c:v>IR|YT</c:v>
                </c:pt>
              </c:strCache>
            </c:strRef>
          </c:cat>
          <c:val>
            <c:numRef>
              <c:extLst>
                <c:ext xmlns:c15="http://schemas.microsoft.com/office/drawing/2012/chart" uri="{02D57815-91ED-43cb-92C2-25804820EDAC}">
                  <c15:fullRef>
                    <c15:sqref>'PERFORMANCE ANALYSIS'!$G$6:$G$28</c15:sqref>
                  </c15:fullRef>
                </c:ext>
              </c:extLst>
              <c:f>('PERFORMANCE ANALYSIS'!$G$6:$G$10,'PERFORMANCE ANALYSIS'!$G$12:$G$16)</c:f>
              <c:numCache>
                <c:formatCode>0%</c:formatCode>
                <c:ptCount val="10"/>
                <c:pt idx="0">
                  <c:v>0.26470588235294118</c:v>
                </c:pt>
                <c:pt idx="1">
                  <c:v>0.35294117647058826</c:v>
                </c:pt>
                <c:pt idx="2">
                  <c:v>0.1111111111111111</c:v>
                </c:pt>
                <c:pt idx="3">
                  <c:v>0.33333333333333331</c:v>
                </c:pt>
                <c:pt idx="4">
                  <c:v>0</c:v>
                </c:pt>
                <c:pt idx="5">
                  <c:v>0.3125</c:v>
                </c:pt>
                <c:pt idx="6">
                  <c:v>0.29629629629629628</c:v>
                </c:pt>
                <c:pt idx="7">
                  <c:v>0</c:v>
                </c:pt>
                <c:pt idx="8">
                  <c:v>0</c:v>
                </c:pt>
                <c:pt idx="9">
                  <c:v>0</c:v>
                </c:pt>
              </c:numCache>
            </c:numRef>
          </c:val>
          <c:extLst>
            <c:ext xmlns:c16="http://schemas.microsoft.com/office/drawing/2014/chart" uri="{C3380CC4-5D6E-409C-BE32-E72D297353CC}">
              <c16:uniqueId val="{00000000-7296-47F3-B818-E201934EA9A5}"/>
            </c:ext>
          </c:extLst>
        </c:ser>
        <c:ser>
          <c:idx val="1"/>
          <c:order val="1"/>
          <c:tx>
            <c:v>losses</c:v>
          </c:tx>
          <c:spPr>
            <a:solidFill>
              <a:schemeClr val="tx2">
                <a:lumMod val="95000"/>
                <a:lumOff val="5000"/>
              </a:schemeClr>
            </a:solidFill>
            <a:ln>
              <a:noFill/>
            </a:ln>
            <a:effectLst/>
          </c:spPr>
          <c:invertIfNegative val="0"/>
          <c:dLbls>
            <c:spPr>
              <a:solidFill>
                <a:srgbClr val="DF007C"/>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lumMod val="95000"/>
                      </a:schemeClr>
                    </a:solidFill>
                    <a:latin typeface="Verdana Pro Black" panose="020B0A0403050404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TECHNICAL</c:v>
              </c:pt>
              <c:pt idx="1">
                <c:v>FUNDAMENTAL</c:v>
              </c:pt>
              <c:pt idx="2">
                <c:v>CURVE</c:v>
              </c:pt>
              <c:pt idx="3">
                <c:v>WHITES</c:v>
              </c:pt>
              <c:pt idx="4">
                <c:v>REDS</c:v>
              </c:pt>
              <c:pt idx="5">
                <c:v>OUTRIGHTS (IR,IB,YT, XT)</c:v>
              </c:pt>
              <c:pt idx="6">
                <c:v>SPREADS</c:v>
              </c:pt>
              <c:pt idx="7">
                <c:v>FLIES</c:v>
              </c:pt>
              <c:pt idx="8">
                <c:v>TED</c:v>
              </c:pt>
              <c:pt idx="9">
                <c:v>IR|YT</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'PERFORMANCE ANALYSIS'!$J$6:$J$28</c15:sqref>
                  </c15:fullRef>
                </c:ext>
              </c:extLst>
              <c:f>('PERFORMANCE ANALYSIS'!$J$6:$J$10,'PERFORMANCE ANALYSIS'!$J$12:$J$16)</c:f>
              <c:numCache>
                <c:formatCode>0%</c:formatCode>
                <c:ptCount val="10"/>
                <c:pt idx="0">
                  <c:v>0.29411764705882354</c:v>
                </c:pt>
                <c:pt idx="1">
                  <c:v>0.29411764705882354</c:v>
                </c:pt>
                <c:pt idx="2">
                  <c:v>0.22222222222222221</c:v>
                </c:pt>
                <c:pt idx="3">
                  <c:v>0.16666666666666666</c:v>
                </c:pt>
                <c:pt idx="4">
                  <c:v>0.25</c:v>
                </c:pt>
                <c:pt idx="5">
                  <c:v>0.5</c:v>
                </c:pt>
                <c:pt idx="6">
                  <c:v>7.407407407407407E-2</c:v>
                </c:pt>
                <c:pt idx="7">
                  <c:v>0.66666666666666663</c:v>
                </c:pt>
                <c:pt idx="8">
                  <c:v>0</c:v>
                </c:pt>
                <c:pt idx="9">
                  <c:v>0</c:v>
                </c:pt>
              </c:numCache>
            </c:numRef>
          </c:val>
          <c:extLst>
            <c:ext xmlns:c16="http://schemas.microsoft.com/office/drawing/2014/chart" uri="{C3380CC4-5D6E-409C-BE32-E72D297353CC}">
              <c16:uniqueId val="{00000001-7296-47F3-B818-E201934EA9A5}"/>
            </c:ext>
          </c:extLst>
        </c:ser>
        <c:dLbls>
          <c:showLegendKey val="0"/>
          <c:showVal val="0"/>
          <c:showCatName val="0"/>
          <c:showSerName val="0"/>
          <c:showPercent val="0"/>
          <c:showBubbleSize val="0"/>
        </c:dLbls>
        <c:gapWidth val="500"/>
        <c:overlap val="100"/>
        <c:axId val="154878527"/>
        <c:axId val="154879007"/>
      </c:barChart>
      <c:catAx>
        <c:axId val="154878527"/>
        <c:scaling>
          <c:orientation val="minMax"/>
        </c:scaling>
        <c:delete val="0"/>
        <c:axPos val="b"/>
        <c:numFmt formatCode="General" sourceLinked="1"/>
        <c:majorTickMark val="none"/>
        <c:minorTickMark val="none"/>
        <c:tickLblPos val="nextTo"/>
        <c:spPr>
          <a:noFill/>
          <a:ln w="9525" cap="flat" cmpd="sng" algn="ctr">
            <a:solidFill>
              <a:schemeClr val="tx2">
                <a:lumMod val="85000"/>
                <a:lumOff val="15000"/>
              </a:schemeClr>
            </a:solidFill>
            <a:round/>
          </a:ln>
          <a:effectLst/>
        </c:spPr>
        <c:txPr>
          <a:bodyPr rot="-60000000" spcFirstLastPara="1" vertOverflow="ellipsis" vert="horz" wrap="square" anchor="ctr" anchorCtr="1"/>
          <a:lstStyle/>
          <a:p>
            <a:pPr>
              <a:defRPr sz="900" b="0" i="0" u="none" strike="noStrike" kern="1200" baseline="0">
                <a:solidFill>
                  <a:schemeClr val="bg2">
                    <a:lumMod val="85000"/>
                  </a:schemeClr>
                </a:solidFill>
                <a:latin typeface="+mn-lt"/>
                <a:ea typeface="+mn-ea"/>
                <a:cs typeface="+mn-cs"/>
              </a:defRPr>
            </a:pPr>
            <a:endParaRPr lang="en-US"/>
          </a:p>
        </c:txPr>
        <c:crossAx val="154879007"/>
        <c:crosses val="autoZero"/>
        <c:auto val="1"/>
        <c:lblAlgn val="ctr"/>
        <c:lblOffset val="100"/>
        <c:noMultiLvlLbl val="0"/>
      </c:catAx>
      <c:valAx>
        <c:axId val="154879007"/>
        <c:scaling>
          <c:orientation val="minMax"/>
          <c:max val="1"/>
        </c:scaling>
        <c:delete val="1"/>
        <c:axPos val="l"/>
        <c:numFmt formatCode="0%" sourceLinked="1"/>
        <c:majorTickMark val="none"/>
        <c:minorTickMark val="none"/>
        <c:tickLblPos val="nextTo"/>
        <c:crossAx val="154878527"/>
        <c:crosses val="autoZero"/>
        <c:crossBetween val="between"/>
      </c:valAx>
      <c:spPr>
        <a:noFill/>
        <a:ln>
          <a:noFill/>
        </a:ln>
        <a:effectLst/>
      </c:spPr>
    </c:plotArea>
    <c:plotVisOnly val="1"/>
    <c:dispBlanksAs val="gap"/>
    <c:showDLblsOverMax val="0"/>
  </c:chart>
  <c:spPr>
    <a:solidFill>
      <a:schemeClr val="tx2">
        <a:lumMod val="95000"/>
        <a:lumOff val="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0" i="0" u="none" strike="noStrike" kern="1200" spc="0" baseline="0">
                <a:solidFill>
                  <a:schemeClr val="bg2">
                    <a:lumMod val="65000"/>
                  </a:schemeClr>
                </a:solidFill>
                <a:latin typeface="+mn-lt"/>
                <a:ea typeface="+mn-ea"/>
                <a:cs typeface="+mn-cs"/>
              </a:defRPr>
            </a:pPr>
            <a:r>
              <a:rPr lang="en-US" sz="900">
                <a:solidFill>
                  <a:schemeClr val="bg2">
                    <a:lumMod val="65000"/>
                  </a:schemeClr>
                </a:solidFill>
              </a:rPr>
              <a:t># TRADES OR STRATEGIES</a:t>
            </a:r>
          </a:p>
        </c:rich>
      </c:tx>
      <c:overlay val="0"/>
      <c:spPr>
        <a:noFill/>
        <a:ln>
          <a:noFill/>
        </a:ln>
        <a:effectLst/>
      </c:spPr>
      <c:txPr>
        <a:bodyPr rot="0" spcFirstLastPara="1" vertOverflow="ellipsis" vert="horz" wrap="square" anchor="ctr" anchorCtr="1"/>
        <a:lstStyle/>
        <a:p>
          <a:pPr>
            <a:defRPr sz="900" b="0" i="0" u="none" strike="noStrike" kern="1200" spc="0" baseline="0">
              <a:solidFill>
                <a:schemeClr val="bg2">
                  <a:lumMod val="65000"/>
                </a:schemeClr>
              </a:solidFill>
              <a:latin typeface="+mn-lt"/>
              <a:ea typeface="+mn-ea"/>
              <a:cs typeface="+mn-cs"/>
            </a:defRPr>
          </a:pPr>
          <a:endParaRPr lang="en-US"/>
        </a:p>
      </c:txPr>
    </c:title>
    <c:autoTitleDeleted val="0"/>
    <c:plotArea>
      <c:layout/>
      <c:barChart>
        <c:barDir val="bar"/>
        <c:grouping val="percentStacked"/>
        <c:varyColors val="0"/>
        <c:ser>
          <c:idx val="0"/>
          <c:order val="0"/>
          <c:spPr>
            <a:solidFill>
              <a:schemeClr val="bg2">
                <a:lumMod val="95000"/>
              </a:schemeClr>
            </a:solidFill>
            <a:ln>
              <a:noFill/>
            </a:ln>
            <a:effectLst/>
          </c:spPr>
          <c:invertIfNegative val="0"/>
          <c:val>
            <c:numRef>
              <c:f>'PERFORMANCE ANALYSIS'!$C$9</c:f>
              <c:numCache>
                <c:formatCode>General</c:formatCode>
                <c:ptCount val="1"/>
                <c:pt idx="0">
                  <c:v>36</c:v>
                </c:pt>
              </c:numCache>
            </c:numRef>
          </c:val>
          <c:extLst>
            <c:ext xmlns:c16="http://schemas.microsoft.com/office/drawing/2014/chart" uri="{C3380CC4-5D6E-409C-BE32-E72D297353CC}">
              <c16:uniqueId val="{00000000-5E5F-48D0-ACFB-CED33CCCD652}"/>
            </c:ext>
          </c:extLst>
        </c:ser>
        <c:ser>
          <c:idx val="1"/>
          <c:order val="1"/>
          <c:spPr>
            <a:solidFill>
              <a:srgbClr val="660033"/>
            </a:solidFill>
            <a:ln>
              <a:noFill/>
            </a:ln>
            <a:effectLst/>
          </c:spPr>
          <c:invertIfNegative val="0"/>
          <c:val>
            <c:numRef>
              <c:f>'PERFORMANCE ANALYSIS'!$C$10</c:f>
              <c:numCache>
                <c:formatCode>General</c:formatCode>
                <c:ptCount val="1"/>
                <c:pt idx="0">
                  <c:v>4</c:v>
                </c:pt>
              </c:numCache>
            </c:numRef>
          </c:val>
          <c:extLst>
            <c:ext xmlns:c16="http://schemas.microsoft.com/office/drawing/2014/chart" uri="{C3380CC4-5D6E-409C-BE32-E72D297353CC}">
              <c16:uniqueId val="{00000001-5E5F-48D0-ACFB-CED33CCCD652}"/>
            </c:ext>
          </c:extLst>
        </c:ser>
        <c:dLbls>
          <c:showLegendKey val="0"/>
          <c:showVal val="0"/>
          <c:showCatName val="0"/>
          <c:showSerName val="0"/>
          <c:showPercent val="0"/>
          <c:showBubbleSize val="0"/>
        </c:dLbls>
        <c:gapWidth val="150"/>
        <c:overlap val="100"/>
        <c:axId val="1777694111"/>
        <c:axId val="1777694591"/>
      </c:barChart>
      <c:catAx>
        <c:axId val="1777694111"/>
        <c:scaling>
          <c:orientation val="minMax"/>
        </c:scaling>
        <c:delete val="1"/>
        <c:axPos val="l"/>
        <c:numFmt formatCode="General" sourceLinked="1"/>
        <c:majorTickMark val="none"/>
        <c:minorTickMark val="none"/>
        <c:tickLblPos val="nextTo"/>
        <c:crossAx val="1777694591"/>
        <c:crosses val="autoZero"/>
        <c:auto val="1"/>
        <c:lblAlgn val="ctr"/>
        <c:lblOffset val="100"/>
        <c:noMultiLvlLbl val="0"/>
      </c:catAx>
      <c:valAx>
        <c:axId val="1777694591"/>
        <c:scaling>
          <c:orientation val="minMax"/>
        </c:scaling>
        <c:delete val="1"/>
        <c:axPos val="b"/>
        <c:numFmt formatCode="0%" sourceLinked="1"/>
        <c:majorTickMark val="none"/>
        <c:minorTickMark val="none"/>
        <c:tickLblPos val="nextTo"/>
        <c:crossAx val="177769411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0" i="0" u="none" strike="noStrike" kern="1200" spc="0" baseline="0">
                <a:solidFill>
                  <a:schemeClr val="bg2">
                    <a:lumMod val="65000"/>
                  </a:schemeClr>
                </a:solidFill>
                <a:latin typeface="+mn-lt"/>
                <a:ea typeface="+mn-ea"/>
                <a:cs typeface="+mn-cs"/>
              </a:defRPr>
            </a:pPr>
            <a:r>
              <a:rPr lang="en-US" sz="900">
                <a:solidFill>
                  <a:schemeClr val="bg2">
                    <a:lumMod val="65000"/>
                  </a:schemeClr>
                </a:solidFill>
              </a:rPr>
              <a:t>LOTS / ORDER</a:t>
            </a:r>
          </a:p>
        </c:rich>
      </c:tx>
      <c:overlay val="0"/>
      <c:spPr>
        <a:noFill/>
        <a:ln>
          <a:noFill/>
        </a:ln>
        <a:effectLst/>
      </c:spPr>
      <c:txPr>
        <a:bodyPr rot="0" spcFirstLastPara="1" vertOverflow="ellipsis" vert="horz" wrap="square" anchor="ctr" anchorCtr="1"/>
        <a:lstStyle/>
        <a:p>
          <a:pPr>
            <a:defRPr sz="900" b="0" i="0" u="none" strike="noStrike" kern="1200" spc="0" baseline="0">
              <a:solidFill>
                <a:schemeClr val="bg2">
                  <a:lumMod val="65000"/>
                </a:schemeClr>
              </a:solidFill>
              <a:latin typeface="+mn-lt"/>
              <a:ea typeface="+mn-ea"/>
              <a:cs typeface="+mn-cs"/>
            </a:defRPr>
          </a:pPr>
          <a:endParaRPr lang="en-US"/>
        </a:p>
      </c:txPr>
    </c:title>
    <c:autoTitleDeleted val="0"/>
    <c:plotArea>
      <c:layout/>
      <c:barChart>
        <c:barDir val="bar"/>
        <c:grouping val="percentStacked"/>
        <c:varyColors val="0"/>
        <c:ser>
          <c:idx val="0"/>
          <c:order val="0"/>
          <c:spPr>
            <a:solidFill>
              <a:schemeClr val="bg2">
                <a:lumMod val="95000"/>
              </a:schemeClr>
            </a:solidFill>
            <a:ln>
              <a:noFill/>
            </a:ln>
            <a:effectLst/>
          </c:spPr>
          <c:invertIfNegative val="0"/>
          <c:val>
            <c:numRef>
              <c:f>'PERFORMANCE ANALYSIS'!$S$9</c:f>
              <c:numCache>
                <c:formatCode>0.0</c:formatCode>
                <c:ptCount val="1"/>
                <c:pt idx="0">
                  <c:v>9.3333333333333339</c:v>
                </c:pt>
              </c:numCache>
            </c:numRef>
          </c:val>
          <c:extLst>
            <c:ext xmlns:c16="http://schemas.microsoft.com/office/drawing/2014/chart" uri="{C3380CC4-5D6E-409C-BE32-E72D297353CC}">
              <c16:uniqueId val="{00000000-B36D-405B-9C5A-3F0192C62C0E}"/>
            </c:ext>
          </c:extLst>
        </c:ser>
        <c:ser>
          <c:idx val="1"/>
          <c:order val="1"/>
          <c:spPr>
            <a:solidFill>
              <a:srgbClr val="660033"/>
            </a:solidFill>
            <a:ln>
              <a:noFill/>
            </a:ln>
            <a:effectLst/>
          </c:spPr>
          <c:invertIfNegative val="0"/>
          <c:val>
            <c:numRef>
              <c:f>'PERFORMANCE ANALYSIS'!$S$10</c:f>
              <c:numCache>
                <c:formatCode>0.0</c:formatCode>
                <c:ptCount val="1"/>
                <c:pt idx="0">
                  <c:v>22.75</c:v>
                </c:pt>
              </c:numCache>
            </c:numRef>
          </c:val>
          <c:extLst>
            <c:ext xmlns:c16="http://schemas.microsoft.com/office/drawing/2014/chart" uri="{C3380CC4-5D6E-409C-BE32-E72D297353CC}">
              <c16:uniqueId val="{00000001-B36D-405B-9C5A-3F0192C62C0E}"/>
            </c:ext>
          </c:extLst>
        </c:ser>
        <c:dLbls>
          <c:showLegendKey val="0"/>
          <c:showVal val="0"/>
          <c:showCatName val="0"/>
          <c:showSerName val="0"/>
          <c:showPercent val="0"/>
          <c:showBubbleSize val="0"/>
        </c:dLbls>
        <c:gapWidth val="150"/>
        <c:overlap val="100"/>
        <c:axId val="1777694111"/>
        <c:axId val="1777694591"/>
      </c:barChart>
      <c:catAx>
        <c:axId val="1777694111"/>
        <c:scaling>
          <c:orientation val="minMax"/>
        </c:scaling>
        <c:delete val="1"/>
        <c:axPos val="l"/>
        <c:numFmt formatCode="General" sourceLinked="1"/>
        <c:majorTickMark val="none"/>
        <c:minorTickMark val="none"/>
        <c:tickLblPos val="nextTo"/>
        <c:crossAx val="1777694591"/>
        <c:crosses val="autoZero"/>
        <c:auto val="1"/>
        <c:lblAlgn val="ctr"/>
        <c:lblOffset val="100"/>
        <c:noMultiLvlLbl val="0"/>
      </c:catAx>
      <c:valAx>
        <c:axId val="1777694591"/>
        <c:scaling>
          <c:orientation val="minMax"/>
        </c:scaling>
        <c:delete val="1"/>
        <c:axPos val="b"/>
        <c:numFmt formatCode="0%" sourceLinked="1"/>
        <c:majorTickMark val="none"/>
        <c:minorTickMark val="none"/>
        <c:tickLblPos val="nextTo"/>
        <c:crossAx val="177769411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 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c:v>
          </c:tx>
          <c:spPr>
            <a:ln w="28575" cap="rnd">
              <a:solidFill>
                <a:schemeClr val="accent6"/>
              </a:solidFill>
              <a:round/>
            </a:ln>
            <a:effectLst/>
          </c:spPr>
          <c:marker>
            <c:symbol val="none"/>
          </c:marker>
          <c:val>
            <c:numRef>
              <c:f>'Journal Live'!$BM$3:$BM$1384</c:f>
              <c:numCache>
                <c:formatCode>General</c:formatCode>
                <c:ptCount val="138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-82.999999999995296</c:v>
                </c:pt>
                <c:pt idx="247">
                  <c:v>-82.999999999995296</c:v>
                </c:pt>
                <c:pt idx="248">
                  <c:v>-82.999999999995296</c:v>
                </c:pt>
                <c:pt idx="249">
                  <c:v>-82.999999999995296</c:v>
                </c:pt>
                <c:pt idx="250">
                  <c:v>-82.999999999995296</c:v>
                </c:pt>
                <c:pt idx="251">
                  <c:v>-82.999999999995296</c:v>
                </c:pt>
                <c:pt idx="252">
                  <c:v>-82.999999999995296</c:v>
                </c:pt>
                <c:pt idx="253">
                  <c:v>-82.999999999995296</c:v>
                </c:pt>
                <c:pt idx="254">
                  <c:v>-82.999999999995296</c:v>
                </c:pt>
                <c:pt idx="255">
                  <c:v>-82.999999999995296</c:v>
                </c:pt>
                <c:pt idx="256">
                  <c:v>-82.999999999995296</c:v>
                </c:pt>
                <c:pt idx="257">
                  <c:v>-82.999999999995296</c:v>
                </c:pt>
                <c:pt idx="258">
                  <c:v>-82.999999999995296</c:v>
                </c:pt>
                <c:pt idx="259">
                  <c:v>-82.999999999995296</c:v>
                </c:pt>
                <c:pt idx="260">
                  <c:v>-82.999999999995296</c:v>
                </c:pt>
                <c:pt idx="261">
                  <c:v>-82.999999999995296</c:v>
                </c:pt>
                <c:pt idx="262">
                  <c:v>-82.999999999995296</c:v>
                </c:pt>
                <c:pt idx="263">
                  <c:v>-82.999999999995296</c:v>
                </c:pt>
                <c:pt idx="264">
                  <c:v>-82.999999999995296</c:v>
                </c:pt>
                <c:pt idx="265">
                  <c:v>-82.999999999995296</c:v>
                </c:pt>
                <c:pt idx="266">
                  <c:v>-82.999999999995296</c:v>
                </c:pt>
                <c:pt idx="267">
                  <c:v>-82.999999999995296</c:v>
                </c:pt>
                <c:pt idx="268">
                  <c:v>-82.999999999995296</c:v>
                </c:pt>
                <c:pt idx="269">
                  <c:v>-82.999999999995296</c:v>
                </c:pt>
                <c:pt idx="270">
                  <c:v>-82.999999999995296</c:v>
                </c:pt>
                <c:pt idx="271">
                  <c:v>-82.999999999995296</c:v>
                </c:pt>
                <c:pt idx="272">
                  <c:v>-82.999999999995296</c:v>
                </c:pt>
                <c:pt idx="273">
                  <c:v>-82.999999999995296</c:v>
                </c:pt>
                <c:pt idx="274">
                  <c:v>-82.999999999995296</c:v>
                </c:pt>
                <c:pt idx="275">
                  <c:v>-82.999999999995296</c:v>
                </c:pt>
                <c:pt idx="276">
                  <c:v>-82.999999999995296</c:v>
                </c:pt>
                <c:pt idx="277">
                  <c:v>-82.999999999995296</c:v>
                </c:pt>
                <c:pt idx="278">
                  <c:v>-82.999999999995296</c:v>
                </c:pt>
                <c:pt idx="279">
                  <c:v>-82.999999999995296</c:v>
                </c:pt>
                <c:pt idx="280">
                  <c:v>-82.999999999995296</c:v>
                </c:pt>
                <c:pt idx="281">
                  <c:v>-82.999999999995296</c:v>
                </c:pt>
                <c:pt idx="282">
                  <c:v>-82.999999999995296</c:v>
                </c:pt>
                <c:pt idx="283">
                  <c:v>-82.999999999995296</c:v>
                </c:pt>
                <c:pt idx="284">
                  <c:v>-82.999999999995296</c:v>
                </c:pt>
                <c:pt idx="285">
                  <c:v>-82.999999999995296</c:v>
                </c:pt>
                <c:pt idx="286">
                  <c:v>-82.999999999995296</c:v>
                </c:pt>
                <c:pt idx="287">
                  <c:v>-82.999999999995296</c:v>
                </c:pt>
                <c:pt idx="288">
                  <c:v>-82.999999999995296</c:v>
                </c:pt>
                <c:pt idx="289">
                  <c:v>-82.999999999995296</c:v>
                </c:pt>
                <c:pt idx="290">
                  <c:v>-82.999999999995296</c:v>
                </c:pt>
                <c:pt idx="291">
                  <c:v>-82.999999999995296</c:v>
                </c:pt>
                <c:pt idx="292">
                  <c:v>-82.999999999995296</c:v>
                </c:pt>
                <c:pt idx="293">
                  <c:v>-82.999999999995296</c:v>
                </c:pt>
                <c:pt idx="294">
                  <c:v>-82.999999999995296</c:v>
                </c:pt>
                <c:pt idx="295">
                  <c:v>-82.999999999995296</c:v>
                </c:pt>
                <c:pt idx="296">
                  <c:v>-82.999999999995296</c:v>
                </c:pt>
                <c:pt idx="297">
                  <c:v>-82.999999999995296</c:v>
                </c:pt>
                <c:pt idx="298">
                  <c:v>-82.999999999995296</c:v>
                </c:pt>
                <c:pt idx="299">
                  <c:v>-82.999999999995296</c:v>
                </c:pt>
                <c:pt idx="300">
                  <c:v>-82.999999999995296</c:v>
                </c:pt>
                <c:pt idx="301">
                  <c:v>-82.999999999995296</c:v>
                </c:pt>
                <c:pt idx="302">
                  <c:v>-82.999999999995296</c:v>
                </c:pt>
                <c:pt idx="303">
                  <c:v>-82.999999999995296</c:v>
                </c:pt>
                <c:pt idx="304">
                  <c:v>-82.999999999995296</c:v>
                </c:pt>
                <c:pt idx="305">
                  <c:v>-82.999999999995296</c:v>
                </c:pt>
                <c:pt idx="306">
                  <c:v>-82.999999999995296</c:v>
                </c:pt>
                <c:pt idx="307">
                  <c:v>-82.999999999995296</c:v>
                </c:pt>
                <c:pt idx="308">
                  <c:v>-82.999999999995296</c:v>
                </c:pt>
                <c:pt idx="309">
                  <c:v>-82.999999999995296</c:v>
                </c:pt>
                <c:pt idx="310">
                  <c:v>-82.999999999995296</c:v>
                </c:pt>
                <c:pt idx="311">
                  <c:v>-82.999999999995296</c:v>
                </c:pt>
                <c:pt idx="312">
                  <c:v>-82.999999999995296</c:v>
                </c:pt>
                <c:pt idx="313">
                  <c:v>-82.999999999995296</c:v>
                </c:pt>
                <c:pt idx="314">
                  <c:v>-82.999999999995296</c:v>
                </c:pt>
                <c:pt idx="315">
                  <c:v>-82.999999999995296</c:v>
                </c:pt>
                <c:pt idx="316">
                  <c:v>-82.999999999995296</c:v>
                </c:pt>
                <c:pt idx="317">
                  <c:v>-82.999999999995296</c:v>
                </c:pt>
                <c:pt idx="318">
                  <c:v>-82.999999999995296</c:v>
                </c:pt>
                <c:pt idx="319">
                  <c:v>-82.999999999995296</c:v>
                </c:pt>
                <c:pt idx="320">
                  <c:v>-34.699999999995292</c:v>
                </c:pt>
                <c:pt idx="321">
                  <c:v>-34.699999999995292</c:v>
                </c:pt>
                <c:pt idx="322">
                  <c:v>-34.699999999995292</c:v>
                </c:pt>
                <c:pt idx="323">
                  <c:v>-34.699999999995292</c:v>
                </c:pt>
                <c:pt idx="324">
                  <c:v>-34.699999999995292</c:v>
                </c:pt>
                <c:pt idx="325">
                  <c:v>-34.699999999995292</c:v>
                </c:pt>
                <c:pt idx="326">
                  <c:v>-34.699999999995292</c:v>
                </c:pt>
                <c:pt idx="327">
                  <c:v>-34.699999999995292</c:v>
                </c:pt>
                <c:pt idx="328">
                  <c:v>-34.699999999995292</c:v>
                </c:pt>
                <c:pt idx="329">
                  <c:v>-34.699999999995292</c:v>
                </c:pt>
                <c:pt idx="330">
                  <c:v>-34.699999999995292</c:v>
                </c:pt>
                <c:pt idx="331">
                  <c:v>-34.699999999995292</c:v>
                </c:pt>
                <c:pt idx="332">
                  <c:v>-34.699999999995292</c:v>
                </c:pt>
                <c:pt idx="333">
                  <c:v>-34.699999999995292</c:v>
                </c:pt>
                <c:pt idx="334">
                  <c:v>-34.699999999995292</c:v>
                </c:pt>
                <c:pt idx="335">
                  <c:v>-34.699999999995292</c:v>
                </c:pt>
                <c:pt idx="336">
                  <c:v>-34.699999999995292</c:v>
                </c:pt>
                <c:pt idx="337">
                  <c:v>-34.699999999995292</c:v>
                </c:pt>
                <c:pt idx="338">
                  <c:v>-34.699999999995292</c:v>
                </c:pt>
                <c:pt idx="339">
                  <c:v>-34.699999999995292</c:v>
                </c:pt>
                <c:pt idx="340">
                  <c:v>-34.699999999995292</c:v>
                </c:pt>
                <c:pt idx="341">
                  <c:v>-34.699999999995292</c:v>
                </c:pt>
                <c:pt idx="342">
                  <c:v>-34.699999999995292</c:v>
                </c:pt>
                <c:pt idx="343">
                  <c:v>-34.699999999995292</c:v>
                </c:pt>
                <c:pt idx="344">
                  <c:v>-34.699999999995292</c:v>
                </c:pt>
                <c:pt idx="345">
                  <c:v>-34.699999999995292</c:v>
                </c:pt>
                <c:pt idx="346">
                  <c:v>-34.699999999995292</c:v>
                </c:pt>
                <c:pt idx="347">
                  <c:v>-34.699999999995292</c:v>
                </c:pt>
                <c:pt idx="348">
                  <c:v>-34.699999999995292</c:v>
                </c:pt>
                <c:pt idx="349">
                  <c:v>-34.699999999995292</c:v>
                </c:pt>
                <c:pt idx="350">
                  <c:v>-34.699999999995292</c:v>
                </c:pt>
                <c:pt idx="351">
                  <c:v>-34.699999999995292</c:v>
                </c:pt>
                <c:pt idx="352">
                  <c:v>-34.699999999995292</c:v>
                </c:pt>
                <c:pt idx="353">
                  <c:v>-18.699999999995292</c:v>
                </c:pt>
                <c:pt idx="354">
                  <c:v>-18.699999999995292</c:v>
                </c:pt>
                <c:pt idx="355">
                  <c:v>-18.699999999995292</c:v>
                </c:pt>
                <c:pt idx="356">
                  <c:v>-18.699999999995292</c:v>
                </c:pt>
                <c:pt idx="357">
                  <c:v>-18.699999999995292</c:v>
                </c:pt>
                <c:pt idx="358">
                  <c:v>-18.699999999995292</c:v>
                </c:pt>
                <c:pt idx="359">
                  <c:v>-18.699999999995292</c:v>
                </c:pt>
                <c:pt idx="360">
                  <c:v>-18.699999999995292</c:v>
                </c:pt>
                <c:pt idx="361">
                  <c:v>-18.699999999995292</c:v>
                </c:pt>
                <c:pt idx="362">
                  <c:v>-18.699999999995292</c:v>
                </c:pt>
                <c:pt idx="363">
                  <c:v>-18.699999999995292</c:v>
                </c:pt>
                <c:pt idx="364">
                  <c:v>-18.699999999995292</c:v>
                </c:pt>
                <c:pt idx="365">
                  <c:v>-18.699999999995292</c:v>
                </c:pt>
                <c:pt idx="366">
                  <c:v>-18.699999999995292</c:v>
                </c:pt>
                <c:pt idx="367">
                  <c:v>-18.699999999995292</c:v>
                </c:pt>
                <c:pt idx="368">
                  <c:v>-18.699999999995292</c:v>
                </c:pt>
                <c:pt idx="369">
                  <c:v>-18.699999999995292</c:v>
                </c:pt>
                <c:pt idx="370">
                  <c:v>-18.699999999995292</c:v>
                </c:pt>
                <c:pt idx="371">
                  <c:v>-2.6999999999952919</c:v>
                </c:pt>
                <c:pt idx="372">
                  <c:v>-2.6999999999952919</c:v>
                </c:pt>
                <c:pt idx="373">
                  <c:v>-2.6999999999952919</c:v>
                </c:pt>
                <c:pt idx="374">
                  <c:v>-2.6999999999952919</c:v>
                </c:pt>
                <c:pt idx="375">
                  <c:v>-2.6999999999952919</c:v>
                </c:pt>
                <c:pt idx="376">
                  <c:v>-2.6999999999952919</c:v>
                </c:pt>
                <c:pt idx="377">
                  <c:v>-2.6999999999952919</c:v>
                </c:pt>
                <c:pt idx="378">
                  <c:v>-2.6999999999952919</c:v>
                </c:pt>
                <c:pt idx="379">
                  <c:v>-2.6999999999952919</c:v>
                </c:pt>
                <c:pt idx="380">
                  <c:v>-2.6999999999952919</c:v>
                </c:pt>
                <c:pt idx="381">
                  <c:v>-2.6999999999952919</c:v>
                </c:pt>
                <c:pt idx="382">
                  <c:v>13.400000000004702</c:v>
                </c:pt>
                <c:pt idx="383">
                  <c:v>29.500000000004704</c:v>
                </c:pt>
                <c:pt idx="384">
                  <c:v>29.500000000004704</c:v>
                </c:pt>
                <c:pt idx="385">
                  <c:v>45.600000000004712</c:v>
                </c:pt>
                <c:pt idx="386">
                  <c:v>61.700000000004685</c:v>
                </c:pt>
                <c:pt idx="387">
                  <c:v>61.700000000004685</c:v>
                </c:pt>
                <c:pt idx="388">
                  <c:v>61.700000000004685</c:v>
                </c:pt>
                <c:pt idx="389">
                  <c:v>77.800000000004687</c:v>
                </c:pt>
                <c:pt idx="390">
                  <c:v>77.800000000004687</c:v>
                </c:pt>
                <c:pt idx="391">
                  <c:v>77.800000000004687</c:v>
                </c:pt>
                <c:pt idx="392">
                  <c:v>77.800000000004687</c:v>
                </c:pt>
                <c:pt idx="393">
                  <c:v>77.800000000004687</c:v>
                </c:pt>
                <c:pt idx="394">
                  <c:v>77.800000000004687</c:v>
                </c:pt>
                <c:pt idx="395">
                  <c:v>77.800000000004687</c:v>
                </c:pt>
                <c:pt idx="396">
                  <c:v>77.800000000004687</c:v>
                </c:pt>
                <c:pt idx="397">
                  <c:v>77.800000000004687</c:v>
                </c:pt>
                <c:pt idx="398">
                  <c:v>77.800000000004687</c:v>
                </c:pt>
                <c:pt idx="399">
                  <c:v>77.800000000004687</c:v>
                </c:pt>
                <c:pt idx="400">
                  <c:v>77.800000000004687</c:v>
                </c:pt>
                <c:pt idx="401">
                  <c:v>77.800000000004687</c:v>
                </c:pt>
                <c:pt idx="402">
                  <c:v>77.800000000004687</c:v>
                </c:pt>
                <c:pt idx="403">
                  <c:v>157.8000000000047</c:v>
                </c:pt>
                <c:pt idx="404">
                  <c:v>237.80000000000467</c:v>
                </c:pt>
                <c:pt idx="405">
                  <c:v>237.80000000000467</c:v>
                </c:pt>
                <c:pt idx="406">
                  <c:v>237.80000000000467</c:v>
                </c:pt>
                <c:pt idx="407">
                  <c:v>317.80000000000473</c:v>
                </c:pt>
                <c:pt idx="408">
                  <c:v>317.80000000000473</c:v>
                </c:pt>
                <c:pt idx="409">
                  <c:v>317.80000000000473</c:v>
                </c:pt>
                <c:pt idx="410">
                  <c:v>477.80000000000484</c:v>
                </c:pt>
                <c:pt idx="411">
                  <c:v>557.80000000000496</c:v>
                </c:pt>
                <c:pt idx="412">
                  <c:v>637.80000000000496</c:v>
                </c:pt>
                <c:pt idx="413">
                  <c:v>797.80000000000496</c:v>
                </c:pt>
                <c:pt idx="414">
                  <c:v>797.80000000000496</c:v>
                </c:pt>
                <c:pt idx="415">
                  <c:v>797.80000000000496</c:v>
                </c:pt>
                <c:pt idx="416">
                  <c:v>797.80000000000496</c:v>
                </c:pt>
                <c:pt idx="417">
                  <c:v>797.80000000000496</c:v>
                </c:pt>
                <c:pt idx="418">
                  <c:v>797.80000000000496</c:v>
                </c:pt>
                <c:pt idx="419">
                  <c:v>797.80000000000496</c:v>
                </c:pt>
                <c:pt idx="420">
                  <c:v>797.80000000000496</c:v>
                </c:pt>
                <c:pt idx="421">
                  <c:v>765.79999999998859</c:v>
                </c:pt>
                <c:pt idx="422">
                  <c:v>765.79999999998859</c:v>
                </c:pt>
                <c:pt idx="423">
                  <c:v>765.79999999998859</c:v>
                </c:pt>
                <c:pt idx="424">
                  <c:v>765.79999999998859</c:v>
                </c:pt>
                <c:pt idx="425">
                  <c:v>765.79999999998859</c:v>
                </c:pt>
                <c:pt idx="426">
                  <c:v>765.79999999998859</c:v>
                </c:pt>
                <c:pt idx="427">
                  <c:v>765.79999999998859</c:v>
                </c:pt>
                <c:pt idx="428">
                  <c:v>765.79999999998859</c:v>
                </c:pt>
                <c:pt idx="429">
                  <c:v>765.79999999998859</c:v>
                </c:pt>
                <c:pt idx="430">
                  <c:v>765.79999999998859</c:v>
                </c:pt>
                <c:pt idx="431">
                  <c:v>765.79999999998859</c:v>
                </c:pt>
                <c:pt idx="432">
                  <c:v>765.79999999998859</c:v>
                </c:pt>
                <c:pt idx="433">
                  <c:v>765.79999999998859</c:v>
                </c:pt>
                <c:pt idx="434">
                  <c:v>765.79999999998859</c:v>
                </c:pt>
                <c:pt idx="435">
                  <c:v>765.79999999998859</c:v>
                </c:pt>
                <c:pt idx="436">
                  <c:v>765.79999999998859</c:v>
                </c:pt>
                <c:pt idx="437">
                  <c:v>765.79999999998859</c:v>
                </c:pt>
                <c:pt idx="438">
                  <c:v>765.79999999998859</c:v>
                </c:pt>
                <c:pt idx="439">
                  <c:v>765.79999999998859</c:v>
                </c:pt>
                <c:pt idx="440">
                  <c:v>765.79999999998859</c:v>
                </c:pt>
                <c:pt idx="441">
                  <c:v>765.79999999998859</c:v>
                </c:pt>
                <c:pt idx="442">
                  <c:v>765.79999999998859</c:v>
                </c:pt>
                <c:pt idx="443">
                  <c:v>765.79999999998859</c:v>
                </c:pt>
                <c:pt idx="444">
                  <c:v>765.79999999998859</c:v>
                </c:pt>
                <c:pt idx="445">
                  <c:v>765.79999999998859</c:v>
                </c:pt>
                <c:pt idx="446">
                  <c:v>765.79999999998859</c:v>
                </c:pt>
                <c:pt idx="447">
                  <c:v>765.79999999998859</c:v>
                </c:pt>
                <c:pt idx="448">
                  <c:v>765.79999999998859</c:v>
                </c:pt>
                <c:pt idx="449">
                  <c:v>765.79999999998859</c:v>
                </c:pt>
                <c:pt idx="450">
                  <c:v>765.79999999998859</c:v>
                </c:pt>
                <c:pt idx="451">
                  <c:v>765.79999999998859</c:v>
                </c:pt>
                <c:pt idx="452">
                  <c:v>765.79999999998859</c:v>
                </c:pt>
                <c:pt idx="453">
                  <c:v>765.79999999998859</c:v>
                </c:pt>
                <c:pt idx="454">
                  <c:v>765.79999999998859</c:v>
                </c:pt>
                <c:pt idx="455">
                  <c:v>765.79999999998859</c:v>
                </c:pt>
                <c:pt idx="456">
                  <c:v>765.79999999998859</c:v>
                </c:pt>
                <c:pt idx="457">
                  <c:v>765.79999999998859</c:v>
                </c:pt>
                <c:pt idx="458">
                  <c:v>765.79999999998859</c:v>
                </c:pt>
                <c:pt idx="459">
                  <c:v>765.79999999998859</c:v>
                </c:pt>
                <c:pt idx="460">
                  <c:v>733.39999999997201</c:v>
                </c:pt>
                <c:pt idx="461">
                  <c:v>733.39999999997201</c:v>
                </c:pt>
                <c:pt idx="462">
                  <c:v>733.39999999997201</c:v>
                </c:pt>
                <c:pt idx="463">
                  <c:v>733.39999999997201</c:v>
                </c:pt>
                <c:pt idx="464">
                  <c:v>733.39999999997201</c:v>
                </c:pt>
                <c:pt idx="465">
                  <c:v>733.39999999997201</c:v>
                </c:pt>
                <c:pt idx="466">
                  <c:v>733.39999999997201</c:v>
                </c:pt>
                <c:pt idx="467">
                  <c:v>733.39999999997201</c:v>
                </c:pt>
                <c:pt idx="468">
                  <c:v>733.39999999997201</c:v>
                </c:pt>
                <c:pt idx="469">
                  <c:v>733.39999999997201</c:v>
                </c:pt>
                <c:pt idx="470">
                  <c:v>733.39999999997201</c:v>
                </c:pt>
                <c:pt idx="471">
                  <c:v>733.39999999997201</c:v>
                </c:pt>
                <c:pt idx="472">
                  <c:v>733.39999999997201</c:v>
                </c:pt>
                <c:pt idx="473">
                  <c:v>733.39999999997201</c:v>
                </c:pt>
                <c:pt idx="474">
                  <c:v>733.39999999997201</c:v>
                </c:pt>
                <c:pt idx="475">
                  <c:v>733.39999999997201</c:v>
                </c:pt>
                <c:pt idx="476">
                  <c:v>733.39999999997201</c:v>
                </c:pt>
                <c:pt idx="477">
                  <c:v>733.39999999997201</c:v>
                </c:pt>
                <c:pt idx="478">
                  <c:v>733.39999999997201</c:v>
                </c:pt>
                <c:pt idx="479">
                  <c:v>733.39999999997201</c:v>
                </c:pt>
                <c:pt idx="480">
                  <c:v>733.39999999997201</c:v>
                </c:pt>
                <c:pt idx="481">
                  <c:v>733.39999999997201</c:v>
                </c:pt>
                <c:pt idx="482">
                  <c:v>733.39999999997201</c:v>
                </c:pt>
                <c:pt idx="483">
                  <c:v>733.39999999997201</c:v>
                </c:pt>
                <c:pt idx="484">
                  <c:v>733.39999999997201</c:v>
                </c:pt>
                <c:pt idx="485">
                  <c:v>733.39999999997201</c:v>
                </c:pt>
                <c:pt idx="486">
                  <c:v>733.39999999997201</c:v>
                </c:pt>
                <c:pt idx="487">
                  <c:v>733.39999999997201</c:v>
                </c:pt>
                <c:pt idx="488">
                  <c:v>733.39999999997201</c:v>
                </c:pt>
                <c:pt idx="489">
                  <c:v>733.39999999997201</c:v>
                </c:pt>
                <c:pt idx="490">
                  <c:v>733.39999999997201</c:v>
                </c:pt>
                <c:pt idx="491">
                  <c:v>733.39999999997201</c:v>
                </c:pt>
                <c:pt idx="492">
                  <c:v>733.39999999997201</c:v>
                </c:pt>
                <c:pt idx="493">
                  <c:v>733.39999999997201</c:v>
                </c:pt>
                <c:pt idx="494">
                  <c:v>733.39999999997201</c:v>
                </c:pt>
                <c:pt idx="495">
                  <c:v>733.39999999997201</c:v>
                </c:pt>
                <c:pt idx="496">
                  <c:v>733.39999999997201</c:v>
                </c:pt>
                <c:pt idx="497">
                  <c:v>733.39999999997201</c:v>
                </c:pt>
                <c:pt idx="498">
                  <c:v>733.39999999997201</c:v>
                </c:pt>
                <c:pt idx="499">
                  <c:v>733.39999999997201</c:v>
                </c:pt>
                <c:pt idx="500">
                  <c:v>733.39999999997201</c:v>
                </c:pt>
                <c:pt idx="501">
                  <c:v>733.39999999997201</c:v>
                </c:pt>
                <c:pt idx="502">
                  <c:v>733.39999999997201</c:v>
                </c:pt>
                <c:pt idx="503">
                  <c:v>733.39999999997201</c:v>
                </c:pt>
                <c:pt idx="504">
                  <c:v>733.39999999997201</c:v>
                </c:pt>
                <c:pt idx="505">
                  <c:v>733.39999999997201</c:v>
                </c:pt>
                <c:pt idx="506">
                  <c:v>733.39999999997201</c:v>
                </c:pt>
                <c:pt idx="507">
                  <c:v>733.39999999997201</c:v>
                </c:pt>
                <c:pt idx="508">
                  <c:v>733.39999999997201</c:v>
                </c:pt>
                <c:pt idx="509">
                  <c:v>733.39999999997201</c:v>
                </c:pt>
                <c:pt idx="510">
                  <c:v>733.39999999997201</c:v>
                </c:pt>
                <c:pt idx="511">
                  <c:v>733.39999999997201</c:v>
                </c:pt>
                <c:pt idx="512">
                  <c:v>733.39999999997201</c:v>
                </c:pt>
                <c:pt idx="513">
                  <c:v>733.39999999997201</c:v>
                </c:pt>
                <c:pt idx="514">
                  <c:v>733.39999999997201</c:v>
                </c:pt>
                <c:pt idx="515">
                  <c:v>733.39999999997201</c:v>
                </c:pt>
                <c:pt idx="516">
                  <c:v>733.39999999997201</c:v>
                </c:pt>
                <c:pt idx="517">
                  <c:v>733.39999999997201</c:v>
                </c:pt>
                <c:pt idx="518">
                  <c:v>733.39999999997201</c:v>
                </c:pt>
                <c:pt idx="519">
                  <c:v>733.39999999997201</c:v>
                </c:pt>
                <c:pt idx="520">
                  <c:v>733.39999999997201</c:v>
                </c:pt>
                <c:pt idx="521">
                  <c:v>733.39999999997201</c:v>
                </c:pt>
                <c:pt idx="522">
                  <c:v>733.39999999997201</c:v>
                </c:pt>
                <c:pt idx="523">
                  <c:v>733.39999999997201</c:v>
                </c:pt>
                <c:pt idx="524">
                  <c:v>733.39999999997201</c:v>
                </c:pt>
                <c:pt idx="525">
                  <c:v>1373.3999999999721</c:v>
                </c:pt>
                <c:pt idx="526">
                  <c:v>1789.3999999999721</c:v>
                </c:pt>
                <c:pt idx="527">
                  <c:v>1789.3999999999721</c:v>
                </c:pt>
                <c:pt idx="528">
                  <c:v>1789.3999999999721</c:v>
                </c:pt>
                <c:pt idx="529">
                  <c:v>1789.3999999999721</c:v>
                </c:pt>
                <c:pt idx="530">
                  <c:v>1789.3999999999721</c:v>
                </c:pt>
                <c:pt idx="531">
                  <c:v>1789.3999999999721</c:v>
                </c:pt>
                <c:pt idx="532">
                  <c:v>1789.3999999999721</c:v>
                </c:pt>
                <c:pt idx="533">
                  <c:v>1789.3999999999721</c:v>
                </c:pt>
                <c:pt idx="534">
                  <c:v>1789.3999999999721</c:v>
                </c:pt>
                <c:pt idx="535">
                  <c:v>1789.3999999999721</c:v>
                </c:pt>
                <c:pt idx="536">
                  <c:v>1789.3999999999721</c:v>
                </c:pt>
                <c:pt idx="537">
                  <c:v>1789.3999999999721</c:v>
                </c:pt>
                <c:pt idx="538">
                  <c:v>1789.3999999999721</c:v>
                </c:pt>
                <c:pt idx="539">
                  <c:v>1789.3999999999721</c:v>
                </c:pt>
                <c:pt idx="540">
                  <c:v>1789.3999999999721</c:v>
                </c:pt>
                <c:pt idx="541">
                  <c:v>1789.3999999999721</c:v>
                </c:pt>
                <c:pt idx="542">
                  <c:v>1789.3999999999721</c:v>
                </c:pt>
                <c:pt idx="543">
                  <c:v>1789.3999999999721</c:v>
                </c:pt>
                <c:pt idx="544">
                  <c:v>1789.3999999999721</c:v>
                </c:pt>
                <c:pt idx="545">
                  <c:v>1789.3999999999721</c:v>
                </c:pt>
                <c:pt idx="546">
                  <c:v>1789.3999999999721</c:v>
                </c:pt>
                <c:pt idx="547">
                  <c:v>1789.3999999999721</c:v>
                </c:pt>
                <c:pt idx="548">
                  <c:v>1789.3999999999721</c:v>
                </c:pt>
                <c:pt idx="549">
                  <c:v>1789.3999999999721</c:v>
                </c:pt>
                <c:pt idx="550">
                  <c:v>1789.3999999999721</c:v>
                </c:pt>
                <c:pt idx="551">
                  <c:v>1789.3999999999721</c:v>
                </c:pt>
                <c:pt idx="552">
                  <c:v>1789.3999999999721</c:v>
                </c:pt>
                <c:pt idx="553">
                  <c:v>1789.3999999999721</c:v>
                </c:pt>
                <c:pt idx="554">
                  <c:v>1789.3999999999721</c:v>
                </c:pt>
                <c:pt idx="555">
                  <c:v>1789.3999999999721</c:v>
                </c:pt>
                <c:pt idx="556">
                  <c:v>1789.3999999999721</c:v>
                </c:pt>
                <c:pt idx="557">
                  <c:v>1789.3999999999721</c:v>
                </c:pt>
                <c:pt idx="558">
                  <c:v>1789.3999999999721</c:v>
                </c:pt>
                <c:pt idx="559">
                  <c:v>1789.3999999999721</c:v>
                </c:pt>
                <c:pt idx="560">
                  <c:v>1789.3999999999721</c:v>
                </c:pt>
                <c:pt idx="561">
                  <c:v>1789.3999999999721</c:v>
                </c:pt>
                <c:pt idx="562">
                  <c:v>1789.3999999999721</c:v>
                </c:pt>
                <c:pt idx="563">
                  <c:v>1789.3999999999721</c:v>
                </c:pt>
                <c:pt idx="564">
                  <c:v>1789.3999999999721</c:v>
                </c:pt>
                <c:pt idx="565">
                  <c:v>1789.3999999999721</c:v>
                </c:pt>
                <c:pt idx="566">
                  <c:v>1789.3999999999721</c:v>
                </c:pt>
                <c:pt idx="567">
                  <c:v>1789.3999999999721</c:v>
                </c:pt>
                <c:pt idx="568">
                  <c:v>1789.3999999999721</c:v>
                </c:pt>
                <c:pt idx="569">
                  <c:v>1901.3999999999721</c:v>
                </c:pt>
                <c:pt idx="570">
                  <c:v>1901.3999999999721</c:v>
                </c:pt>
                <c:pt idx="571">
                  <c:v>1901.3999999999721</c:v>
                </c:pt>
                <c:pt idx="572">
                  <c:v>1901.3999999999721</c:v>
                </c:pt>
                <c:pt idx="573">
                  <c:v>1901.3999999999721</c:v>
                </c:pt>
                <c:pt idx="574">
                  <c:v>1901.3999999999721</c:v>
                </c:pt>
                <c:pt idx="575">
                  <c:v>1901.3999999999721</c:v>
                </c:pt>
                <c:pt idx="576">
                  <c:v>1901.3999999999721</c:v>
                </c:pt>
                <c:pt idx="577">
                  <c:v>1901.3999999999721</c:v>
                </c:pt>
                <c:pt idx="578">
                  <c:v>1901.3999999999721</c:v>
                </c:pt>
                <c:pt idx="579">
                  <c:v>1901.3999999999721</c:v>
                </c:pt>
                <c:pt idx="580">
                  <c:v>1901.3999999999721</c:v>
                </c:pt>
                <c:pt idx="581">
                  <c:v>1901.3999999999721</c:v>
                </c:pt>
                <c:pt idx="582">
                  <c:v>1901.3999999999721</c:v>
                </c:pt>
                <c:pt idx="583">
                  <c:v>1901.3999999999721</c:v>
                </c:pt>
                <c:pt idx="584">
                  <c:v>1901.3999999999721</c:v>
                </c:pt>
                <c:pt idx="585">
                  <c:v>1901.3999999999721</c:v>
                </c:pt>
                <c:pt idx="586">
                  <c:v>1901.3999999999721</c:v>
                </c:pt>
                <c:pt idx="587">
                  <c:v>1901.3999999999721</c:v>
                </c:pt>
                <c:pt idx="588">
                  <c:v>1901.3999999999721</c:v>
                </c:pt>
                <c:pt idx="589">
                  <c:v>1901.3999999999721</c:v>
                </c:pt>
                <c:pt idx="590">
                  <c:v>1901.3999999999721</c:v>
                </c:pt>
                <c:pt idx="591">
                  <c:v>1901.3999999999721</c:v>
                </c:pt>
                <c:pt idx="592">
                  <c:v>1901.3999999999721</c:v>
                </c:pt>
                <c:pt idx="593">
                  <c:v>1901.3999999999721</c:v>
                </c:pt>
                <c:pt idx="594">
                  <c:v>1901.3999999999721</c:v>
                </c:pt>
                <c:pt idx="595">
                  <c:v>1901.3999999999721</c:v>
                </c:pt>
                <c:pt idx="596">
                  <c:v>1925.3999999999719</c:v>
                </c:pt>
                <c:pt idx="597">
                  <c:v>1925.3999999999719</c:v>
                </c:pt>
                <c:pt idx="598">
                  <c:v>1925.3999999999719</c:v>
                </c:pt>
                <c:pt idx="599">
                  <c:v>1925.3999999999719</c:v>
                </c:pt>
                <c:pt idx="600">
                  <c:v>1925.3999999999719</c:v>
                </c:pt>
                <c:pt idx="601">
                  <c:v>1925.3999999999719</c:v>
                </c:pt>
                <c:pt idx="602">
                  <c:v>1925.3999999999719</c:v>
                </c:pt>
                <c:pt idx="603">
                  <c:v>1925.3999999999719</c:v>
                </c:pt>
                <c:pt idx="604">
                  <c:v>1925.3999999999719</c:v>
                </c:pt>
                <c:pt idx="605">
                  <c:v>1925.3999999999719</c:v>
                </c:pt>
                <c:pt idx="606">
                  <c:v>1973.3999999999719</c:v>
                </c:pt>
                <c:pt idx="607">
                  <c:v>1973.3999999999719</c:v>
                </c:pt>
                <c:pt idx="608">
                  <c:v>1973.3999999999719</c:v>
                </c:pt>
                <c:pt idx="609">
                  <c:v>1973.3999999999719</c:v>
                </c:pt>
                <c:pt idx="610">
                  <c:v>1973.3999999999719</c:v>
                </c:pt>
                <c:pt idx="611">
                  <c:v>1973.3999999999719</c:v>
                </c:pt>
                <c:pt idx="612">
                  <c:v>1973.3999999999719</c:v>
                </c:pt>
                <c:pt idx="613">
                  <c:v>2053.3999999999719</c:v>
                </c:pt>
                <c:pt idx="614">
                  <c:v>2053.3999999999719</c:v>
                </c:pt>
                <c:pt idx="615">
                  <c:v>2053.3999999999719</c:v>
                </c:pt>
                <c:pt idx="616">
                  <c:v>2053.3999999999719</c:v>
                </c:pt>
                <c:pt idx="617">
                  <c:v>2053.3999999999719</c:v>
                </c:pt>
                <c:pt idx="618">
                  <c:v>2053.3999999999719</c:v>
                </c:pt>
                <c:pt idx="619">
                  <c:v>2053.3999999999719</c:v>
                </c:pt>
                <c:pt idx="620">
                  <c:v>2053.3999999999719</c:v>
                </c:pt>
                <c:pt idx="621">
                  <c:v>2053.3999999999719</c:v>
                </c:pt>
                <c:pt idx="622">
                  <c:v>2053.3999999999719</c:v>
                </c:pt>
                <c:pt idx="623">
                  <c:v>2053.3999999999719</c:v>
                </c:pt>
                <c:pt idx="624">
                  <c:v>2053.3999999999719</c:v>
                </c:pt>
                <c:pt idx="625">
                  <c:v>2053.3999999999719</c:v>
                </c:pt>
                <c:pt idx="626">
                  <c:v>2053.3999999999719</c:v>
                </c:pt>
                <c:pt idx="627">
                  <c:v>2053.3999999999719</c:v>
                </c:pt>
                <c:pt idx="628">
                  <c:v>2053.3999999999719</c:v>
                </c:pt>
                <c:pt idx="629">
                  <c:v>2053.3999999999719</c:v>
                </c:pt>
                <c:pt idx="630">
                  <c:v>2053.3999999999719</c:v>
                </c:pt>
                <c:pt idx="631">
                  <c:v>2053.3999999999719</c:v>
                </c:pt>
                <c:pt idx="632">
                  <c:v>2053.3999999999719</c:v>
                </c:pt>
                <c:pt idx="633">
                  <c:v>2053.3999999999719</c:v>
                </c:pt>
                <c:pt idx="634">
                  <c:v>2053.3999999999719</c:v>
                </c:pt>
                <c:pt idx="635">
                  <c:v>2053.3999999999719</c:v>
                </c:pt>
                <c:pt idx="636">
                  <c:v>2053.3999999999719</c:v>
                </c:pt>
                <c:pt idx="637">
                  <c:v>2053.3999999999719</c:v>
                </c:pt>
                <c:pt idx="638">
                  <c:v>2053.3999999999719</c:v>
                </c:pt>
                <c:pt idx="639">
                  <c:v>2053.3999999999719</c:v>
                </c:pt>
                <c:pt idx="640">
                  <c:v>2053.3999999999719</c:v>
                </c:pt>
                <c:pt idx="641">
                  <c:v>2053.3999999999719</c:v>
                </c:pt>
                <c:pt idx="642">
                  <c:v>2053.3999999999719</c:v>
                </c:pt>
                <c:pt idx="643">
                  <c:v>2053.3999999999719</c:v>
                </c:pt>
                <c:pt idx="644">
                  <c:v>2053.3999999999719</c:v>
                </c:pt>
                <c:pt idx="645">
                  <c:v>2053.3999999999719</c:v>
                </c:pt>
                <c:pt idx="646">
                  <c:v>2053.3999999999719</c:v>
                </c:pt>
                <c:pt idx="647">
                  <c:v>2053.3999999999719</c:v>
                </c:pt>
                <c:pt idx="648">
                  <c:v>2053.3999999999719</c:v>
                </c:pt>
                <c:pt idx="649">
                  <c:v>2053.3999999999719</c:v>
                </c:pt>
                <c:pt idx="650">
                  <c:v>2053.3999999999719</c:v>
                </c:pt>
                <c:pt idx="651">
                  <c:v>2053.3999999999719</c:v>
                </c:pt>
                <c:pt idx="652">
                  <c:v>2053.3999999999719</c:v>
                </c:pt>
                <c:pt idx="653">
                  <c:v>2053.3999999999719</c:v>
                </c:pt>
                <c:pt idx="654">
                  <c:v>2053.3999999999719</c:v>
                </c:pt>
                <c:pt idx="655">
                  <c:v>2053.3999999999719</c:v>
                </c:pt>
                <c:pt idx="656">
                  <c:v>2053.3999999999719</c:v>
                </c:pt>
                <c:pt idx="657">
                  <c:v>2053.3999999999719</c:v>
                </c:pt>
                <c:pt idx="658">
                  <c:v>2053.3999999999719</c:v>
                </c:pt>
                <c:pt idx="659">
                  <c:v>2053.3999999999719</c:v>
                </c:pt>
                <c:pt idx="660">
                  <c:v>2053.3999999999719</c:v>
                </c:pt>
                <c:pt idx="661">
                  <c:v>2053.3999999999719</c:v>
                </c:pt>
                <c:pt idx="662">
                  <c:v>2053.3999999999719</c:v>
                </c:pt>
                <c:pt idx="663">
                  <c:v>2053.3999999999719</c:v>
                </c:pt>
                <c:pt idx="664">
                  <c:v>2053.3999999999719</c:v>
                </c:pt>
                <c:pt idx="665">
                  <c:v>2053.3999999999719</c:v>
                </c:pt>
                <c:pt idx="666">
                  <c:v>2053.3999999999719</c:v>
                </c:pt>
                <c:pt idx="667">
                  <c:v>2053.3999999999719</c:v>
                </c:pt>
                <c:pt idx="668">
                  <c:v>2053.3999999999719</c:v>
                </c:pt>
                <c:pt idx="669">
                  <c:v>2053.3999999999719</c:v>
                </c:pt>
                <c:pt idx="670">
                  <c:v>2053.3999999999719</c:v>
                </c:pt>
                <c:pt idx="671">
                  <c:v>2053.3999999999719</c:v>
                </c:pt>
                <c:pt idx="672">
                  <c:v>2053.3999999999719</c:v>
                </c:pt>
                <c:pt idx="673">
                  <c:v>2053.3999999999719</c:v>
                </c:pt>
                <c:pt idx="674">
                  <c:v>2053.3999999999719</c:v>
                </c:pt>
                <c:pt idx="675">
                  <c:v>2053.3999999999719</c:v>
                </c:pt>
                <c:pt idx="676">
                  <c:v>2053.3999999999719</c:v>
                </c:pt>
                <c:pt idx="677">
                  <c:v>2053.3999999999719</c:v>
                </c:pt>
                <c:pt idx="678">
                  <c:v>2053.3999999999719</c:v>
                </c:pt>
                <c:pt idx="679">
                  <c:v>2053.3999999999719</c:v>
                </c:pt>
                <c:pt idx="680">
                  <c:v>2013.3999999999799</c:v>
                </c:pt>
                <c:pt idx="681">
                  <c:v>2013.3999999999799</c:v>
                </c:pt>
                <c:pt idx="682">
                  <c:v>2013.3999999999799</c:v>
                </c:pt>
                <c:pt idx="683">
                  <c:v>2013.3999999999799</c:v>
                </c:pt>
                <c:pt idx="684">
                  <c:v>2013.3999999999799</c:v>
                </c:pt>
                <c:pt idx="685">
                  <c:v>2013.3999999999799</c:v>
                </c:pt>
                <c:pt idx="686">
                  <c:v>2013.3999999999799</c:v>
                </c:pt>
                <c:pt idx="687">
                  <c:v>2013.3999999999799</c:v>
                </c:pt>
                <c:pt idx="688">
                  <c:v>2013.3999999999799</c:v>
                </c:pt>
                <c:pt idx="689">
                  <c:v>2013.3999999999799</c:v>
                </c:pt>
                <c:pt idx="690">
                  <c:v>2013.3999999999799</c:v>
                </c:pt>
                <c:pt idx="691">
                  <c:v>2013.3999999999799</c:v>
                </c:pt>
                <c:pt idx="692">
                  <c:v>2013.3999999999799</c:v>
                </c:pt>
                <c:pt idx="693">
                  <c:v>2013.3999999999799</c:v>
                </c:pt>
                <c:pt idx="694">
                  <c:v>2013.3999999999799</c:v>
                </c:pt>
                <c:pt idx="695">
                  <c:v>2013.3999999999799</c:v>
                </c:pt>
                <c:pt idx="696">
                  <c:v>2013.3999999999799</c:v>
                </c:pt>
                <c:pt idx="697">
                  <c:v>2013.3999999999799</c:v>
                </c:pt>
                <c:pt idx="698">
                  <c:v>2013.3999999999799</c:v>
                </c:pt>
                <c:pt idx="699">
                  <c:v>2013.3999999999799</c:v>
                </c:pt>
                <c:pt idx="700">
                  <c:v>2013.3999999999799</c:v>
                </c:pt>
                <c:pt idx="701">
                  <c:v>2013.3999999999799</c:v>
                </c:pt>
                <c:pt idx="702">
                  <c:v>2013.3999999999799</c:v>
                </c:pt>
                <c:pt idx="703">
                  <c:v>2013.3999999999799</c:v>
                </c:pt>
                <c:pt idx="704">
                  <c:v>2013.3999999999799</c:v>
                </c:pt>
                <c:pt idx="705">
                  <c:v>2013.3999999999799</c:v>
                </c:pt>
                <c:pt idx="706">
                  <c:v>2013.3999999999799</c:v>
                </c:pt>
                <c:pt idx="707">
                  <c:v>2013.3999999999799</c:v>
                </c:pt>
                <c:pt idx="708">
                  <c:v>2013.3999999999799</c:v>
                </c:pt>
                <c:pt idx="709">
                  <c:v>2013.3999999999799</c:v>
                </c:pt>
                <c:pt idx="710">
                  <c:v>2013.3999999999799</c:v>
                </c:pt>
                <c:pt idx="711">
                  <c:v>2013.3999999999799</c:v>
                </c:pt>
                <c:pt idx="712">
                  <c:v>2013.3999999999799</c:v>
                </c:pt>
                <c:pt idx="713">
                  <c:v>2013.3999999999799</c:v>
                </c:pt>
                <c:pt idx="714">
                  <c:v>2013.3999999999799</c:v>
                </c:pt>
                <c:pt idx="715">
                  <c:v>2013.3999999999799</c:v>
                </c:pt>
                <c:pt idx="716">
                  <c:v>2013.3999999999799</c:v>
                </c:pt>
                <c:pt idx="717">
                  <c:v>2013.3999999999799</c:v>
                </c:pt>
                <c:pt idx="718">
                  <c:v>2013.3999999999799</c:v>
                </c:pt>
                <c:pt idx="719">
                  <c:v>2013.3999999999799</c:v>
                </c:pt>
                <c:pt idx="720">
                  <c:v>2013.3999999999799</c:v>
                </c:pt>
                <c:pt idx="721">
                  <c:v>2013.3999999999799</c:v>
                </c:pt>
                <c:pt idx="722">
                  <c:v>2013.3999999999799</c:v>
                </c:pt>
                <c:pt idx="723">
                  <c:v>2013.3999999999799</c:v>
                </c:pt>
                <c:pt idx="724">
                  <c:v>2013.3999999999799</c:v>
                </c:pt>
                <c:pt idx="725">
                  <c:v>2013.3999999999799</c:v>
                </c:pt>
                <c:pt idx="726">
                  <c:v>2013.3999999999799</c:v>
                </c:pt>
                <c:pt idx="727">
                  <c:v>2013.3999999999799</c:v>
                </c:pt>
                <c:pt idx="728">
                  <c:v>2013.3999999999799</c:v>
                </c:pt>
                <c:pt idx="729">
                  <c:v>2013.3999999999799</c:v>
                </c:pt>
                <c:pt idx="730">
                  <c:v>2013.3999999999799</c:v>
                </c:pt>
                <c:pt idx="731">
                  <c:v>2013.3999999999799</c:v>
                </c:pt>
                <c:pt idx="732">
                  <c:v>2013.3999999999799</c:v>
                </c:pt>
                <c:pt idx="733">
                  <c:v>2013.3999999999799</c:v>
                </c:pt>
                <c:pt idx="734">
                  <c:v>2013.3999999999799</c:v>
                </c:pt>
                <c:pt idx="735">
                  <c:v>2013.3999999999799</c:v>
                </c:pt>
                <c:pt idx="736">
                  <c:v>2013.3999999999799</c:v>
                </c:pt>
                <c:pt idx="737">
                  <c:v>2013.3999999999799</c:v>
                </c:pt>
                <c:pt idx="738">
                  <c:v>2013.3999999999799</c:v>
                </c:pt>
                <c:pt idx="739">
                  <c:v>2013.3999999999799</c:v>
                </c:pt>
                <c:pt idx="740">
                  <c:v>2013.3999999999799</c:v>
                </c:pt>
                <c:pt idx="741">
                  <c:v>2013.3999999999799</c:v>
                </c:pt>
                <c:pt idx="742">
                  <c:v>2013.3999999999799</c:v>
                </c:pt>
                <c:pt idx="743">
                  <c:v>2013.3999999999799</c:v>
                </c:pt>
                <c:pt idx="744">
                  <c:v>2205.3999999999796</c:v>
                </c:pt>
                <c:pt idx="745">
                  <c:v>2205.3999999999796</c:v>
                </c:pt>
                <c:pt idx="746">
                  <c:v>2205.3999999999796</c:v>
                </c:pt>
                <c:pt idx="747">
                  <c:v>2205.3999999999796</c:v>
                </c:pt>
                <c:pt idx="748">
                  <c:v>2205.3999999999796</c:v>
                </c:pt>
                <c:pt idx="749">
                  <c:v>2205.3999999999796</c:v>
                </c:pt>
                <c:pt idx="750">
                  <c:v>2205.3999999999796</c:v>
                </c:pt>
                <c:pt idx="751">
                  <c:v>2205.3999999999796</c:v>
                </c:pt>
                <c:pt idx="752">
                  <c:v>2205.3999999999796</c:v>
                </c:pt>
                <c:pt idx="753">
                  <c:v>2205.3999999999796</c:v>
                </c:pt>
                <c:pt idx="754">
                  <c:v>2205.3999999999796</c:v>
                </c:pt>
                <c:pt idx="755">
                  <c:v>2205.3999999999796</c:v>
                </c:pt>
                <c:pt idx="756">
                  <c:v>2205.3999999999796</c:v>
                </c:pt>
                <c:pt idx="757">
                  <c:v>2205.3999999999796</c:v>
                </c:pt>
                <c:pt idx="758">
                  <c:v>2205.3999999999796</c:v>
                </c:pt>
                <c:pt idx="759">
                  <c:v>2205.3999999999796</c:v>
                </c:pt>
                <c:pt idx="760">
                  <c:v>2205.3999999999796</c:v>
                </c:pt>
                <c:pt idx="761">
                  <c:v>2205.3999999999796</c:v>
                </c:pt>
                <c:pt idx="762">
                  <c:v>2205.3999999999796</c:v>
                </c:pt>
                <c:pt idx="763">
                  <c:v>2205.3999999999796</c:v>
                </c:pt>
                <c:pt idx="764">
                  <c:v>2205.3999999999796</c:v>
                </c:pt>
                <c:pt idx="765">
                  <c:v>2253.3999999999814</c:v>
                </c:pt>
                <c:pt idx="766">
                  <c:v>2253.3999999999814</c:v>
                </c:pt>
                <c:pt idx="767">
                  <c:v>2253.3999999999814</c:v>
                </c:pt>
                <c:pt idx="768">
                  <c:v>2253.3999999999814</c:v>
                </c:pt>
                <c:pt idx="769">
                  <c:v>2253.3999999999814</c:v>
                </c:pt>
                <c:pt idx="770">
                  <c:v>2253.3999999999814</c:v>
                </c:pt>
                <c:pt idx="771">
                  <c:v>2253.3999999999814</c:v>
                </c:pt>
                <c:pt idx="772">
                  <c:v>2253.3999999999814</c:v>
                </c:pt>
                <c:pt idx="773">
                  <c:v>2253.3999999999814</c:v>
                </c:pt>
                <c:pt idx="774">
                  <c:v>2253.3999999999814</c:v>
                </c:pt>
                <c:pt idx="775">
                  <c:v>2253.3999999999814</c:v>
                </c:pt>
                <c:pt idx="776">
                  <c:v>2253.3999999999814</c:v>
                </c:pt>
                <c:pt idx="777">
                  <c:v>2253.3999999999814</c:v>
                </c:pt>
                <c:pt idx="778">
                  <c:v>2253.3999999999814</c:v>
                </c:pt>
                <c:pt idx="779">
                  <c:v>2253.3999999999814</c:v>
                </c:pt>
                <c:pt idx="780">
                  <c:v>2253.3999999999814</c:v>
                </c:pt>
                <c:pt idx="781">
                  <c:v>2253.3999999999814</c:v>
                </c:pt>
                <c:pt idx="782">
                  <c:v>2253.3999999999814</c:v>
                </c:pt>
                <c:pt idx="783">
                  <c:v>2253.3999999999814</c:v>
                </c:pt>
                <c:pt idx="784">
                  <c:v>2253.3999999999814</c:v>
                </c:pt>
                <c:pt idx="785">
                  <c:v>2253.3999999999814</c:v>
                </c:pt>
                <c:pt idx="786">
                  <c:v>2253.3999999999814</c:v>
                </c:pt>
                <c:pt idx="787">
                  <c:v>2253.3999999999814</c:v>
                </c:pt>
                <c:pt idx="788">
                  <c:v>2253.3999999999814</c:v>
                </c:pt>
                <c:pt idx="789">
                  <c:v>2253.3999999999814</c:v>
                </c:pt>
                <c:pt idx="790">
                  <c:v>2253.3999999999814</c:v>
                </c:pt>
                <c:pt idx="791">
                  <c:v>2253.3999999999814</c:v>
                </c:pt>
                <c:pt idx="792">
                  <c:v>2253.3999999999814</c:v>
                </c:pt>
                <c:pt idx="793">
                  <c:v>2253.3999999999814</c:v>
                </c:pt>
                <c:pt idx="794">
                  <c:v>2253.3999999999814</c:v>
                </c:pt>
                <c:pt idx="795">
                  <c:v>2253.3999999999814</c:v>
                </c:pt>
                <c:pt idx="796">
                  <c:v>2333.3999999999814</c:v>
                </c:pt>
                <c:pt idx="797">
                  <c:v>2333.3999999999814</c:v>
                </c:pt>
                <c:pt idx="798">
                  <c:v>2333.3999999999814</c:v>
                </c:pt>
                <c:pt idx="799">
                  <c:v>2333.3999999999814</c:v>
                </c:pt>
                <c:pt idx="800">
                  <c:v>2333.3999999999814</c:v>
                </c:pt>
                <c:pt idx="801">
                  <c:v>2333.3999999999814</c:v>
                </c:pt>
                <c:pt idx="802">
                  <c:v>2333.3999999999814</c:v>
                </c:pt>
                <c:pt idx="803">
                  <c:v>2333.3999999999814</c:v>
                </c:pt>
                <c:pt idx="804">
                  <c:v>2333.3999999999814</c:v>
                </c:pt>
                <c:pt idx="805">
                  <c:v>2333.3999999999814</c:v>
                </c:pt>
                <c:pt idx="806">
                  <c:v>2333.3999999999814</c:v>
                </c:pt>
                <c:pt idx="807">
                  <c:v>2333.3999999999814</c:v>
                </c:pt>
                <c:pt idx="808">
                  <c:v>2333.3999999999814</c:v>
                </c:pt>
                <c:pt idx="809">
                  <c:v>2333.3999999999814</c:v>
                </c:pt>
                <c:pt idx="810">
                  <c:v>2333.3999999999814</c:v>
                </c:pt>
                <c:pt idx="811">
                  <c:v>2333.3999999999814</c:v>
                </c:pt>
                <c:pt idx="812">
                  <c:v>2333.3999999999814</c:v>
                </c:pt>
                <c:pt idx="813">
                  <c:v>2333.3999999999814</c:v>
                </c:pt>
                <c:pt idx="814">
                  <c:v>2333.3999999999814</c:v>
                </c:pt>
                <c:pt idx="815">
                  <c:v>2333.3999999999814</c:v>
                </c:pt>
                <c:pt idx="816">
                  <c:v>2333.3999999999814</c:v>
                </c:pt>
                <c:pt idx="817">
                  <c:v>2333.3999999999814</c:v>
                </c:pt>
                <c:pt idx="818">
                  <c:v>2333.3999999999814</c:v>
                </c:pt>
                <c:pt idx="819">
                  <c:v>2333.3999999999814</c:v>
                </c:pt>
                <c:pt idx="820">
                  <c:v>2333.3999999999814</c:v>
                </c:pt>
                <c:pt idx="821">
                  <c:v>2333.3999999999814</c:v>
                </c:pt>
                <c:pt idx="822">
                  <c:v>2413.3999999999814</c:v>
                </c:pt>
                <c:pt idx="823">
                  <c:v>2413.3999999999814</c:v>
                </c:pt>
                <c:pt idx="824">
                  <c:v>2413.3999999999814</c:v>
                </c:pt>
                <c:pt idx="825">
                  <c:v>2413.3999999999814</c:v>
                </c:pt>
                <c:pt idx="826">
                  <c:v>2413.3999999999814</c:v>
                </c:pt>
                <c:pt idx="827">
                  <c:v>2413.3999999999814</c:v>
                </c:pt>
                <c:pt idx="828">
                  <c:v>2413.3999999999814</c:v>
                </c:pt>
                <c:pt idx="829">
                  <c:v>2413.3999999999814</c:v>
                </c:pt>
                <c:pt idx="830">
                  <c:v>2413.3999999999814</c:v>
                </c:pt>
                <c:pt idx="831">
                  <c:v>2413.3999999999814</c:v>
                </c:pt>
                <c:pt idx="832">
                  <c:v>2413.3999999999814</c:v>
                </c:pt>
                <c:pt idx="833">
                  <c:v>2413.3999999999814</c:v>
                </c:pt>
                <c:pt idx="834">
                  <c:v>2413.3999999999814</c:v>
                </c:pt>
                <c:pt idx="835">
                  <c:v>2413.3999999999814</c:v>
                </c:pt>
                <c:pt idx="836">
                  <c:v>2413.3999999999814</c:v>
                </c:pt>
                <c:pt idx="837">
                  <c:v>2413.3999999999814</c:v>
                </c:pt>
                <c:pt idx="838">
                  <c:v>2413.3999999999814</c:v>
                </c:pt>
                <c:pt idx="839">
                  <c:v>2413.3999999999814</c:v>
                </c:pt>
                <c:pt idx="840">
                  <c:v>2413.3999999999814</c:v>
                </c:pt>
                <c:pt idx="841">
                  <c:v>2413.3999999999814</c:v>
                </c:pt>
                <c:pt idx="842">
                  <c:v>2413.3999999999814</c:v>
                </c:pt>
                <c:pt idx="843">
                  <c:v>2413.3999999999814</c:v>
                </c:pt>
                <c:pt idx="844">
                  <c:v>2381.3999999999878</c:v>
                </c:pt>
                <c:pt idx="845">
                  <c:v>2381.3999999999878</c:v>
                </c:pt>
                <c:pt idx="846">
                  <c:v>2381.3999999999878</c:v>
                </c:pt>
                <c:pt idx="847">
                  <c:v>2381.3999999999878</c:v>
                </c:pt>
                <c:pt idx="848">
                  <c:v>2381.3999999999878</c:v>
                </c:pt>
                <c:pt idx="849">
                  <c:v>2381.3999999999878</c:v>
                </c:pt>
                <c:pt idx="850">
                  <c:v>2381.3999999999878</c:v>
                </c:pt>
                <c:pt idx="851">
                  <c:v>2381.3999999999878</c:v>
                </c:pt>
                <c:pt idx="852">
                  <c:v>2381.3999999999878</c:v>
                </c:pt>
                <c:pt idx="853">
                  <c:v>2381.3999999999878</c:v>
                </c:pt>
                <c:pt idx="854">
                  <c:v>2381.3999999999878</c:v>
                </c:pt>
                <c:pt idx="855">
                  <c:v>2381.3999999999878</c:v>
                </c:pt>
                <c:pt idx="856">
                  <c:v>2381.3999999999878</c:v>
                </c:pt>
                <c:pt idx="857">
                  <c:v>2381.3999999999878</c:v>
                </c:pt>
                <c:pt idx="858">
                  <c:v>2381.3999999999878</c:v>
                </c:pt>
                <c:pt idx="859">
                  <c:v>2381.3999999999878</c:v>
                </c:pt>
                <c:pt idx="860">
                  <c:v>2381.3999999999878</c:v>
                </c:pt>
                <c:pt idx="861">
                  <c:v>2381.3999999999878</c:v>
                </c:pt>
                <c:pt idx="862">
                  <c:v>2381.3999999999878</c:v>
                </c:pt>
                <c:pt idx="863">
                  <c:v>2381.3999999999878</c:v>
                </c:pt>
                <c:pt idx="864">
                  <c:v>2381.3999999999878</c:v>
                </c:pt>
                <c:pt idx="865">
                  <c:v>2381.3999999999878</c:v>
                </c:pt>
                <c:pt idx="866">
                  <c:v>2381.3999999999878</c:v>
                </c:pt>
                <c:pt idx="867">
                  <c:v>2381.3999999999878</c:v>
                </c:pt>
                <c:pt idx="868">
                  <c:v>2381.3999999999878</c:v>
                </c:pt>
                <c:pt idx="869">
                  <c:v>2381.3999999999878</c:v>
                </c:pt>
                <c:pt idx="870">
                  <c:v>2381.3999999999878</c:v>
                </c:pt>
                <c:pt idx="871">
                  <c:v>2381.3999999999878</c:v>
                </c:pt>
                <c:pt idx="872">
                  <c:v>2381.3999999999878</c:v>
                </c:pt>
                <c:pt idx="873">
                  <c:v>2381.3999999999878</c:v>
                </c:pt>
                <c:pt idx="874">
                  <c:v>2381.3999999999878</c:v>
                </c:pt>
                <c:pt idx="875">
                  <c:v>2381.3999999999878</c:v>
                </c:pt>
                <c:pt idx="876">
                  <c:v>2381.3999999999878</c:v>
                </c:pt>
                <c:pt idx="877">
                  <c:v>2381.3999999999878</c:v>
                </c:pt>
                <c:pt idx="878">
                  <c:v>2381.3999999999878</c:v>
                </c:pt>
                <c:pt idx="879">
                  <c:v>2381.3999999999878</c:v>
                </c:pt>
                <c:pt idx="880">
                  <c:v>2381.3999999999878</c:v>
                </c:pt>
                <c:pt idx="881">
                  <c:v>2381.3999999999878</c:v>
                </c:pt>
                <c:pt idx="882">
                  <c:v>2381.3999999999878</c:v>
                </c:pt>
                <c:pt idx="883">
                  <c:v>2381.3999999999878</c:v>
                </c:pt>
                <c:pt idx="884">
                  <c:v>2381.3999999999878</c:v>
                </c:pt>
                <c:pt idx="885">
                  <c:v>2381.3999999999878</c:v>
                </c:pt>
                <c:pt idx="886">
                  <c:v>2381.3999999999878</c:v>
                </c:pt>
                <c:pt idx="887">
                  <c:v>2381.3999999999878</c:v>
                </c:pt>
                <c:pt idx="888">
                  <c:v>2381.3999999999878</c:v>
                </c:pt>
                <c:pt idx="889">
                  <c:v>2381.3999999999878</c:v>
                </c:pt>
                <c:pt idx="890">
                  <c:v>2381.3999999999878</c:v>
                </c:pt>
                <c:pt idx="891">
                  <c:v>2381.3999999999878</c:v>
                </c:pt>
                <c:pt idx="892">
                  <c:v>2381.3999999999878</c:v>
                </c:pt>
                <c:pt idx="893">
                  <c:v>2381.3999999999878</c:v>
                </c:pt>
                <c:pt idx="894">
                  <c:v>2381.3999999999878</c:v>
                </c:pt>
                <c:pt idx="895">
                  <c:v>2381.3999999999878</c:v>
                </c:pt>
                <c:pt idx="896">
                  <c:v>2381.3999999999878</c:v>
                </c:pt>
                <c:pt idx="897">
                  <c:v>2381.3999999999878</c:v>
                </c:pt>
                <c:pt idx="898">
                  <c:v>2381.3999999999878</c:v>
                </c:pt>
                <c:pt idx="899">
                  <c:v>2381.3999999999878</c:v>
                </c:pt>
                <c:pt idx="900">
                  <c:v>2381.3999999999878</c:v>
                </c:pt>
                <c:pt idx="901">
                  <c:v>2381.3999999999878</c:v>
                </c:pt>
                <c:pt idx="902">
                  <c:v>2381.3999999999878</c:v>
                </c:pt>
                <c:pt idx="903">
                  <c:v>2381.3999999999878</c:v>
                </c:pt>
                <c:pt idx="904">
                  <c:v>2381.3999999999878</c:v>
                </c:pt>
                <c:pt idx="905">
                  <c:v>2381.3999999999878</c:v>
                </c:pt>
                <c:pt idx="906">
                  <c:v>2381.3999999999878</c:v>
                </c:pt>
                <c:pt idx="907">
                  <c:v>2381.3999999999878</c:v>
                </c:pt>
                <c:pt idx="908">
                  <c:v>2381.3999999999878</c:v>
                </c:pt>
                <c:pt idx="909">
                  <c:v>2381.3999999999878</c:v>
                </c:pt>
                <c:pt idx="910">
                  <c:v>2381.3999999999878</c:v>
                </c:pt>
                <c:pt idx="911">
                  <c:v>2381.3999999999878</c:v>
                </c:pt>
                <c:pt idx="912">
                  <c:v>2381.3999999999878</c:v>
                </c:pt>
                <c:pt idx="913">
                  <c:v>2381.3999999999878</c:v>
                </c:pt>
                <c:pt idx="914">
                  <c:v>2381.3999999999878</c:v>
                </c:pt>
                <c:pt idx="915">
                  <c:v>2381.3999999999878</c:v>
                </c:pt>
                <c:pt idx="916">
                  <c:v>2381.3999999999878</c:v>
                </c:pt>
                <c:pt idx="917">
                  <c:v>2381.3999999999878</c:v>
                </c:pt>
                <c:pt idx="918">
                  <c:v>2381.3999999999878</c:v>
                </c:pt>
                <c:pt idx="919">
                  <c:v>2381.3999999999878</c:v>
                </c:pt>
                <c:pt idx="920">
                  <c:v>2381.3999999999878</c:v>
                </c:pt>
                <c:pt idx="921">
                  <c:v>2381.3999999999878</c:v>
                </c:pt>
                <c:pt idx="922">
                  <c:v>2381.3999999999878</c:v>
                </c:pt>
                <c:pt idx="923">
                  <c:v>2381.3999999999878</c:v>
                </c:pt>
                <c:pt idx="924">
                  <c:v>2381.3999999999878</c:v>
                </c:pt>
                <c:pt idx="925">
                  <c:v>2381.3999999999878</c:v>
                </c:pt>
                <c:pt idx="926">
                  <c:v>2381.3999999999878</c:v>
                </c:pt>
                <c:pt idx="927">
                  <c:v>2381.3999999999878</c:v>
                </c:pt>
                <c:pt idx="928">
                  <c:v>2381.3999999999878</c:v>
                </c:pt>
                <c:pt idx="929">
                  <c:v>2381.3999999999878</c:v>
                </c:pt>
                <c:pt idx="930">
                  <c:v>2381.3999999999878</c:v>
                </c:pt>
                <c:pt idx="931">
                  <c:v>2381.3999999999878</c:v>
                </c:pt>
                <c:pt idx="932">
                  <c:v>2381.3999999999878</c:v>
                </c:pt>
                <c:pt idx="933">
                  <c:v>2381.3999999999878</c:v>
                </c:pt>
                <c:pt idx="934">
                  <c:v>2381.3999999999878</c:v>
                </c:pt>
                <c:pt idx="935">
                  <c:v>2381.3999999999878</c:v>
                </c:pt>
                <c:pt idx="936">
                  <c:v>2381.3999999999878</c:v>
                </c:pt>
                <c:pt idx="937">
                  <c:v>2381.3999999999878</c:v>
                </c:pt>
                <c:pt idx="938">
                  <c:v>2381.3999999999878</c:v>
                </c:pt>
                <c:pt idx="939">
                  <c:v>2381.3999999999878</c:v>
                </c:pt>
                <c:pt idx="940">
                  <c:v>2381.3999999999878</c:v>
                </c:pt>
                <c:pt idx="941">
                  <c:v>2381.3999999999878</c:v>
                </c:pt>
                <c:pt idx="942">
                  <c:v>2381.3999999999878</c:v>
                </c:pt>
                <c:pt idx="943">
                  <c:v>2381.3999999999878</c:v>
                </c:pt>
                <c:pt idx="944">
                  <c:v>2381.3999999999878</c:v>
                </c:pt>
                <c:pt idx="945">
                  <c:v>2381.3999999999878</c:v>
                </c:pt>
                <c:pt idx="946">
                  <c:v>2381.3999999999878</c:v>
                </c:pt>
                <c:pt idx="947">
                  <c:v>2381.3999999999878</c:v>
                </c:pt>
                <c:pt idx="948">
                  <c:v>2345.3999999999182</c:v>
                </c:pt>
                <c:pt idx="949">
                  <c:v>2345.3999999999182</c:v>
                </c:pt>
                <c:pt idx="950">
                  <c:v>2345.3999999999182</c:v>
                </c:pt>
                <c:pt idx="951">
                  <c:v>2345.3999999999182</c:v>
                </c:pt>
                <c:pt idx="952">
                  <c:v>2345.3999999999182</c:v>
                </c:pt>
                <c:pt idx="953">
                  <c:v>2345.3999999999182</c:v>
                </c:pt>
                <c:pt idx="954">
                  <c:v>2345.3999999999182</c:v>
                </c:pt>
                <c:pt idx="955">
                  <c:v>2345.3999999999182</c:v>
                </c:pt>
                <c:pt idx="956">
                  <c:v>2345.3999999999182</c:v>
                </c:pt>
                <c:pt idx="957">
                  <c:v>2345.3999999999182</c:v>
                </c:pt>
                <c:pt idx="958">
                  <c:v>2345.3999999999182</c:v>
                </c:pt>
                <c:pt idx="959">
                  <c:v>2345.3999999999182</c:v>
                </c:pt>
                <c:pt idx="960">
                  <c:v>2345.3999999999182</c:v>
                </c:pt>
                <c:pt idx="961">
                  <c:v>2345.3999999999182</c:v>
                </c:pt>
                <c:pt idx="962">
                  <c:v>2345.3999999999182</c:v>
                </c:pt>
                <c:pt idx="963">
                  <c:v>2345.3999999999182</c:v>
                </c:pt>
                <c:pt idx="964">
                  <c:v>2345.3999999999182</c:v>
                </c:pt>
                <c:pt idx="965">
                  <c:v>2345.3999999999182</c:v>
                </c:pt>
                <c:pt idx="966">
                  <c:v>2345.3999999999182</c:v>
                </c:pt>
                <c:pt idx="967">
                  <c:v>2345.3999999999182</c:v>
                </c:pt>
                <c:pt idx="968">
                  <c:v>2345.3999999999182</c:v>
                </c:pt>
                <c:pt idx="969">
                  <c:v>2345.3999999999182</c:v>
                </c:pt>
                <c:pt idx="970">
                  <c:v>2345.3999999999182</c:v>
                </c:pt>
                <c:pt idx="971">
                  <c:v>2345.3999999999182</c:v>
                </c:pt>
                <c:pt idx="972">
                  <c:v>2505.3999999999182</c:v>
                </c:pt>
                <c:pt idx="973">
                  <c:v>2505.3999999999182</c:v>
                </c:pt>
                <c:pt idx="974">
                  <c:v>2505.3999999999182</c:v>
                </c:pt>
                <c:pt idx="975">
                  <c:v>2505.3999999999182</c:v>
                </c:pt>
                <c:pt idx="976">
                  <c:v>2505.3999999999182</c:v>
                </c:pt>
                <c:pt idx="977">
                  <c:v>2505.3999999999182</c:v>
                </c:pt>
                <c:pt idx="978">
                  <c:v>2505.3999999999182</c:v>
                </c:pt>
                <c:pt idx="979">
                  <c:v>2505.3999999999182</c:v>
                </c:pt>
                <c:pt idx="980">
                  <c:v>2505.3999999999182</c:v>
                </c:pt>
                <c:pt idx="981">
                  <c:v>2505.3999999999182</c:v>
                </c:pt>
                <c:pt idx="982">
                  <c:v>2505.3999999999182</c:v>
                </c:pt>
                <c:pt idx="983">
                  <c:v>2505.3999999999182</c:v>
                </c:pt>
                <c:pt idx="984">
                  <c:v>2505.3999999999182</c:v>
                </c:pt>
                <c:pt idx="985">
                  <c:v>2505.3999999999182</c:v>
                </c:pt>
                <c:pt idx="986">
                  <c:v>2505.3999999999182</c:v>
                </c:pt>
                <c:pt idx="987">
                  <c:v>2505.3999999999182</c:v>
                </c:pt>
                <c:pt idx="988">
                  <c:v>2505.3999999999182</c:v>
                </c:pt>
                <c:pt idx="989">
                  <c:v>2505.3999999999182</c:v>
                </c:pt>
                <c:pt idx="990">
                  <c:v>2505.3999999999182</c:v>
                </c:pt>
                <c:pt idx="991">
                  <c:v>2505.3999999999182</c:v>
                </c:pt>
                <c:pt idx="992">
                  <c:v>2505.3999999999182</c:v>
                </c:pt>
                <c:pt idx="993">
                  <c:v>2505.3999999999182</c:v>
                </c:pt>
                <c:pt idx="994">
                  <c:v>2505.3999999999182</c:v>
                </c:pt>
                <c:pt idx="995">
                  <c:v>2505.3999999999182</c:v>
                </c:pt>
                <c:pt idx="996">
                  <c:v>2505.3999999999182</c:v>
                </c:pt>
                <c:pt idx="997">
                  <c:v>2505.3999999999182</c:v>
                </c:pt>
                <c:pt idx="998">
                  <c:v>2505.3999999999182</c:v>
                </c:pt>
                <c:pt idx="999">
                  <c:v>2505.3999999999182</c:v>
                </c:pt>
                <c:pt idx="1000">
                  <c:v>2505.3999999999182</c:v>
                </c:pt>
                <c:pt idx="1001">
                  <c:v>2505.3999999999182</c:v>
                </c:pt>
                <c:pt idx="1002">
                  <c:v>2505.3999999999182</c:v>
                </c:pt>
                <c:pt idx="1003">
                  <c:v>2505.3999999999182</c:v>
                </c:pt>
                <c:pt idx="1004">
                  <c:v>2505.3999999999182</c:v>
                </c:pt>
                <c:pt idx="1005">
                  <c:v>2505.3999999999182</c:v>
                </c:pt>
                <c:pt idx="1006">
                  <c:v>2505.3999999999182</c:v>
                </c:pt>
                <c:pt idx="1007">
                  <c:v>2505.3999999999182</c:v>
                </c:pt>
                <c:pt idx="1008">
                  <c:v>2505.3999999999182</c:v>
                </c:pt>
                <c:pt idx="1009">
                  <c:v>2505.3999999999182</c:v>
                </c:pt>
                <c:pt idx="1010">
                  <c:v>2505.3999999999182</c:v>
                </c:pt>
                <c:pt idx="1011">
                  <c:v>2505.3999999999182</c:v>
                </c:pt>
                <c:pt idx="1012">
                  <c:v>2505.3999999999182</c:v>
                </c:pt>
                <c:pt idx="1013">
                  <c:v>2505.3999999999182</c:v>
                </c:pt>
                <c:pt idx="1014">
                  <c:v>2505.3999999999182</c:v>
                </c:pt>
                <c:pt idx="1015">
                  <c:v>2505.3999999999182</c:v>
                </c:pt>
                <c:pt idx="1016">
                  <c:v>2505.3999999999182</c:v>
                </c:pt>
                <c:pt idx="1017">
                  <c:v>2505.3999999999182</c:v>
                </c:pt>
                <c:pt idx="1018">
                  <c:v>2505.3999999999182</c:v>
                </c:pt>
                <c:pt idx="1019">
                  <c:v>2505.3999999999182</c:v>
                </c:pt>
                <c:pt idx="1020">
                  <c:v>2505.3999999999182</c:v>
                </c:pt>
                <c:pt idx="1021">
                  <c:v>2505.3999999999182</c:v>
                </c:pt>
                <c:pt idx="1022">
                  <c:v>2505.3999999999182</c:v>
                </c:pt>
                <c:pt idx="1023">
                  <c:v>2505.3999999999182</c:v>
                </c:pt>
                <c:pt idx="1024">
                  <c:v>2505.3999999999182</c:v>
                </c:pt>
                <c:pt idx="1025">
                  <c:v>2505.3999999999182</c:v>
                </c:pt>
                <c:pt idx="1026">
                  <c:v>2553.3999999999201</c:v>
                </c:pt>
                <c:pt idx="1027">
                  <c:v>2745.3999999999201</c:v>
                </c:pt>
                <c:pt idx="1028">
                  <c:v>2745.3999999999201</c:v>
                </c:pt>
                <c:pt idx="1029">
                  <c:v>2745.3999999999201</c:v>
                </c:pt>
                <c:pt idx="1030">
                  <c:v>2745.3999999999201</c:v>
                </c:pt>
                <c:pt idx="1031">
                  <c:v>2745.3999999999201</c:v>
                </c:pt>
                <c:pt idx="1032">
                  <c:v>2745.3999999999201</c:v>
                </c:pt>
                <c:pt idx="1033">
                  <c:v>2745.3999999999201</c:v>
                </c:pt>
                <c:pt idx="1034">
                  <c:v>2745.3999999999201</c:v>
                </c:pt>
                <c:pt idx="1035">
                  <c:v>2745.3999999999201</c:v>
                </c:pt>
                <c:pt idx="1036">
                  <c:v>2745.3999999999201</c:v>
                </c:pt>
                <c:pt idx="1037">
                  <c:v>2745.3999999999201</c:v>
                </c:pt>
                <c:pt idx="1038">
                  <c:v>2745.3999999999201</c:v>
                </c:pt>
                <c:pt idx="1039">
                  <c:v>2745.3999999999201</c:v>
                </c:pt>
                <c:pt idx="1040">
                  <c:v>2745.3999999999201</c:v>
                </c:pt>
                <c:pt idx="1041">
                  <c:v>2745.3999999999201</c:v>
                </c:pt>
                <c:pt idx="1042">
                  <c:v>2745.3999999999201</c:v>
                </c:pt>
                <c:pt idx="1043">
                  <c:v>2745.3999999999201</c:v>
                </c:pt>
                <c:pt idx="1044">
                  <c:v>2745.3999999999201</c:v>
                </c:pt>
                <c:pt idx="1045">
                  <c:v>2745.3999999999201</c:v>
                </c:pt>
                <c:pt idx="1046">
                  <c:v>2745.3999999999201</c:v>
                </c:pt>
                <c:pt idx="1047">
                  <c:v>2745.3999999999201</c:v>
                </c:pt>
                <c:pt idx="1048">
                  <c:v>2745.3999999999201</c:v>
                </c:pt>
                <c:pt idx="1049">
                  <c:v>2745.3999999999201</c:v>
                </c:pt>
                <c:pt idx="1050">
                  <c:v>2745.3999999999201</c:v>
                </c:pt>
                <c:pt idx="1051">
                  <c:v>2745.3999999999201</c:v>
                </c:pt>
                <c:pt idx="1052">
                  <c:v>2745.3999999999201</c:v>
                </c:pt>
                <c:pt idx="1053">
                  <c:v>2745.3999999999201</c:v>
                </c:pt>
                <c:pt idx="1054">
                  <c:v>2745.3999999999201</c:v>
                </c:pt>
                <c:pt idx="1055">
                  <c:v>2745.3999999999201</c:v>
                </c:pt>
                <c:pt idx="1056">
                  <c:v>2745.3999999999201</c:v>
                </c:pt>
                <c:pt idx="1057">
                  <c:v>2745.3999999999201</c:v>
                </c:pt>
                <c:pt idx="1058">
                  <c:v>2745.3999999999201</c:v>
                </c:pt>
                <c:pt idx="1059">
                  <c:v>2745.3999999999201</c:v>
                </c:pt>
                <c:pt idx="1060">
                  <c:v>2745.3999999999201</c:v>
                </c:pt>
                <c:pt idx="1061">
                  <c:v>2745.3999999999201</c:v>
                </c:pt>
                <c:pt idx="1062">
                  <c:v>2745.3999999999201</c:v>
                </c:pt>
                <c:pt idx="1063">
                  <c:v>2745.3999999999201</c:v>
                </c:pt>
                <c:pt idx="1064">
                  <c:v>2817.3999999999569</c:v>
                </c:pt>
                <c:pt idx="1065">
                  <c:v>2817.3999999999569</c:v>
                </c:pt>
                <c:pt idx="1066">
                  <c:v>2817.3999999999569</c:v>
                </c:pt>
                <c:pt idx="1067">
                  <c:v>2817.3999999999569</c:v>
                </c:pt>
                <c:pt idx="1068">
                  <c:v>2817.3999999999569</c:v>
                </c:pt>
                <c:pt idx="1069">
                  <c:v>2817.3999999999569</c:v>
                </c:pt>
                <c:pt idx="1070">
                  <c:v>2817.3999999999569</c:v>
                </c:pt>
                <c:pt idx="1071">
                  <c:v>2817.3999999999569</c:v>
                </c:pt>
                <c:pt idx="1072">
                  <c:v>2817.3999999999569</c:v>
                </c:pt>
                <c:pt idx="1073">
                  <c:v>2817.3999999999569</c:v>
                </c:pt>
                <c:pt idx="1074">
                  <c:v>2817.3999999999569</c:v>
                </c:pt>
                <c:pt idx="1075">
                  <c:v>2817.3999999999569</c:v>
                </c:pt>
                <c:pt idx="1076">
                  <c:v>2817.3999999999569</c:v>
                </c:pt>
                <c:pt idx="1077">
                  <c:v>2849.3999999999569</c:v>
                </c:pt>
                <c:pt idx="1078">
                  <c:v>2849.3999999999569</c:v>
                </c:pt>
                <c:pt idx="1079">
                  <c:v>2885.4000000000265</c:v>
                </c:pt>
                <c:pt idx="1080">
                  <c:v>2885.4000000000265</c:v>
                </c:pt>
                <c:pt idx="1081">
                  <c:v>2849.4000000000592</c:v>
                </c:pt>
                <c:pt idx="1082">
                  <c:v>2849.4000000000592</c:v>
                </c:pt>
                <c:pt idx="1083">
                  <c:v>2849.4000000000592</c:v>
                </c:pt>
                <c:pt idx="1084">
                  <c:v>2849.4000000000592</c:v>
                </c:pt>
                <c:pt idx="1085">
                  <c:v>2849.4000000000592</c:v>
                </c:pt>
                <c:pt idx="1086">
                  <c:v>2849.4000000000592</c:v>
                </c:pt>
                <c:pt idx="1087">
                  <c:v>2849.4000000000592</c:v>
                </c:pt>
                <c:pt idx="1088">
                  <c:v>2849.4000000000592</c:v>
                </c:pt>
                <c:pt idx="1089">
                  <c:v>2849.4000000000592</c:v>
                </c:pt>
                <c:pt idx="1090">
                  <c:v>2849.4000000000592</c:v>
                </c:pt>
                <c:pt idx="1091">
                  <c:v>2849.4000000000592</c:v>
                </c:pt>
                <c:pt idx="1092">
                  <c:v>2849.4000000000592</c:v>
                </c:pt>
                <c:pt idx="1093">
                  <c:v>2849.4000000000592</c:v>
                </c:pt>
                <c:pt idx="1094">
                  <c:v>2849.4000000000592</c:v>
                </c:pt>
                <c:pt idx="1095">
                  <c:v>2849.4000000000592</c:v>
                </c:pt>
                <c:pt idx="1096">
                  <c:v>2849.4000000000592</c:v>
                </c:pt>
                <c:pt idx="1097">
                  <c:v>2849.4000000000592</c:v>
                </c:pt>
                <c:pt idx="1098">
                  <c:v>2849.4000000000592</c:v>
                </c:pt>
                <c:pt idx="1099">
                  <c:v>2849.4000000000592</c:v>
                </c:pt>
                <c:pt idx="1100">
                  <c:v>2849.4000000000592</c:v>
                </c:pt>
                <c:pt idx="1101">
                  <c:v>2849.4000000000592</c:v>
                </c:pt>
                <c:pt idx="1102">
                  <c:v>2993.4000000001329</c:v>
                </c:pt>
                <c:pt idx="1103">
                  <c:v>3065.4000000001697</c:v>
                </c:pt>
                <c:pt idx="1104">
                  <c:v>2633.4000000001533</c:v>
                </c:pt>
                <c:pt idx="1105">
                  <c:v>2633.4000000001533</c:v>
                </c:pt>
                <c:pt idx="1106">
                  <c:v>2633.4000000001533</c:v>
                </c:pt>
                <c:pt idx="1107">
                  <c:v>2633.4000000001533</c:v>
                </c:pt>
                <c:pt idx="1108">
                  <c:v>2633.4000000001533</c:v>
                </c:pt>
                <c:pt idx="1109">
                  <c:v>2633.4000000001533</c:v>
                </c:pt>
                <c:pt idx="1110">
                  <c:v>2633.4000000001533</c:v>
                </c:pt>
                <c:pt idx="1111">
                  <c:v>2633.4000000001533</c:v>
                </c:pt>
                <c:pt idx="1112">
                  <c:v>2633.4000000001533</c:v>
                </c:pt>
                <c:pt idx="1113">
                  <c:v>2633.4000000001533</c:v>
                </c:pt>
                <c:pt idx="1114">
                  <c:v>2633.4000000001533</c:v>
                </c:pt>
                <c:pt idx="1115">
                  <c:v>2633.4000000001533</c:v>
                </c:pt>
                <c:pt idx="1116">
                  <c:v>2633.4000000001533</c:v>
                </c:pt>
                <c:pt idx="1117">
                  <c:v>2633.4000000001533</c:v>
                </c:pt>
                <c:pt idx="1118">
                  <c:v>2633.4000000001533</c:v>
                </c:pt>
                <c:pt idx="1119">
                  <c:v>2633.4000000001533</c:v>
                </c:pt>
                <c:pt idx="1120">
                  <c:v>2633.4000000001533</c:v>
                </c:pt>
                <c:pt idx="1121">
                  <c:v>2597.4000000000838</c:v>
                </c:pt>
                <c:pt idx="1122">
                  <c:v>2597.4000000000838</c:v>
                </c:pt>
                <c:pt idx="1123">
                  <c:v>2597.4000000000838</c:v>
                </c:pt>
                <c:pt idx="1124">
                  <c:v>2597.4000000000838</c:v>
                </c:pt>
                <c:pt idx="1125">
                  <c:v>2597.4000000000838</c:v>
                </c:pt>
                <c:pt idx="1126">
                  <c:v>2597.4000000000838</c:v>
                </c:pt>
                <c:pt idx="1127">
                  <c:v>2597.4000000000838</c:v>
                </c:pt>
                <c:pt idx="1128">
                  <c:v>2597.4000000000838</c:v>
                </c:pt>
                <c:pt idx="1129">
                  <c:v>2597.4000000000838</c:v>
                </c:pt>
                <c:pt idx="1130">
                  <c:v>2597.4000000000838</c:v>
                </c:pt>
                <c:pt idx="1131">
                  <c:v>2597.4000000000838</c:v>
                </c:pt>
                <c:pt idx="1132">
                  <c:v>2597.4000000000838</c:v>
                </c:pt>
                <c:pt idx="1133">
                  <c:v>2597.4000000000838</c:v>
                </c:pt>
                <c:pt idx="1134">
                  <c:v>2597.4000000000838</c:v>
                </c:pt>
                <c:pt idx="1135">
                  <c:v>2525.4000000001492</c:v>
                </c:pt>
                <c:pt idx="1136">
                  <c:v>2525.4000000001492</c:v>
                </c:pt>
                <c:pt idx="1137">
                  <c:v>2525.4000000001492</c:v>
                </c:pt>
                <c:pt idx="1138">
                  <c:v>2525.4000000001492</c:v>
                </c:pt>
                <c:pt idx="1139">
                  <c:v>2525.4000000001492</c:v>
                </c:pt>
                <c:pt idx="1140">
                  <c:v>2525.4000000001492</c:v>
                </c:pt>
                <c:pt idx="1141">
                  <c:v>2573.4000000001492</c:v>
                </c:pt>
                <c:pt idx="1142">
                  <c:v>2573.4000000001492</c:v>
                </c:pt>
                <c:pt idx="1143">
                  <c:v>2582.0300000001416</c:v>
                </c:pt>
                <c:pt idx="1144">
                  <c:v>2582.0300000001416</c:v>
                </c:pt>
                <c:pt idx="1145">
                  <c:v>2582.0300000001416</c:v>
                </c:pt>
                <c:pt idx="1146">
                  <c:v>2582.0300000001416</c:v>
                </c:pt>
                <c:pt idx="1147">
                  <c:v>2582.0300000001416</c:v>
                </c:pt>
                <c:pt idx="1148">
                  <c:v>2582.0300000001416</c:v>
                </c:pt>
                <c:pt idx="1149">
                  <c:v>2582.0300000001416</c:v>
                </c:pt>
                <c:pt idx="1150">
                  <c:v>2582.0300000001416</c:v>
                </c:pt>
                <c:pt idx="1151">
                  <c:v>2582.0300000001416</c:v>
                </c:pt>
                <c:pt idx="1152">
                  <c:v>2582.0300000001416</c:v>
                </c:pt>
                <c:pt idx="1153">
                  <c:v>2582.0300000001416</c:v>
                </c:pt>
                <c:pt idx="1154">
                  <c:v>2582.0300000001416</c:v>
                </c:pt>
                <c:pt idx="1155">
                  <c:v>2582.0300000001416</c:v>
                </c:pt>
                <c:pt idx="1156">
                  <c:v>2582.0300000001416</c:v>
                </c:pt>
                <c:pt idx="1157">
                  <c:v>2582.0300000001416</c:v>
                </c:pt>
                <c:pt idx="1158">
                  <c:v>2582.0300000001416</c:v>
                </c:pt>
                <c:pt idx="1159">
                  <c:v>2582.0300000001416</c:v>
                </c:pt>
                <c:pt idx="1160">
                  <c:v>2582.0300000001416</c:v>
                </c:pt>
                <c:pt idx="1161">
                  <c:v>2582.0300000001416</c:v>
                </c:pt>
                <c:pt idx="1162">
                  <c:v>2582.0300000001416</c:v>
                </c:pt>
                <c:pt idx="1163">
                  <c:v>2582.0300000001416</c:v>
                </c:pt>
                <c:pt idx="1164">
                  <c:v>2582.0300000001416</c:v>
                </c:pt>
                <c:pt idx="1165">
                  <c:v>2582.0300000001416</c:v>
                </c:pt>
                <c:pt idx="1166">
                  <c:v>2582.0300000001416</c:v>
                </c:pt>
                <c:pt idx="1167">
                  <c:v>2582.0300000001416</c:v>
                </c:pt>
                <c:pt idx="1168">
                  <c:v>2582.0300000001416</c:v>
                </c:pt>
                <c:pt idx="1169">
                  <c:v>2582.0300000001416</c:v>
                </c:pt>
                <c:pt idx="1170">
                  <c:v>2582.0300000001416</c:v>
                </c:pt>
                <c:pt idx="1171">
                  <c:v>2582.0300000001416</c:v>
                </c:pt>
                <c:pt idx="1172">
                  <c:v>2582.0300000001416</c:v>
                </c:pt>
                <c:pt idx="1173">
                  <c:v>2582.0300000001416</c:v>
                </c:pt>
                <c:pt idx="1174">
                  <c:v>2582.0300000001416</c:v>
                </c:pt>
                <c:pt idx="1175">
                  <c:v>2582.0300000001416</c:v>
                </c:pt>
                <c:pt idx="1176">
                  <c:v>2582.0300000001416</c:v>
                </c:pt>
                <c:pt idx="1177">
                  <c:v>2582.0300000001416</c:v>
                </c:pt>
                <c:pt idx="1178">
                  <c:v>2694.0300000001416</c:v>
                </c:pt>
                <c:pt idx="1179">
                  <c:v>2694.0300000001416</c:v>
                </c:pt>
                <c:pt idx="1180">
                  <c:v>2694.0300000001416</c:v>
                </c:pt>
                <c:pt idx="1181">
                  <c:v>2694.0300000001416</c:v>
                </c:pt>
                <c:pt idx="1182">
                  <c:v>2694.0300000001416</c:v>
                </c:pt>
                <c:pt idx="1183">
                  <c:v>2694.0300000001416</c:v>
                </c:pt>
                <c:pt idx="1184">
                  <c:v>2694.0300000001416</c:v>
                </c:pt>
                <c:pt idx="1185">
                  <c:v>2694.0300000001416</c:v>
                </c:pt>
                <c:pt idx="1186">
                  <c:v>2694.0300000001416</c:v>
                </c:pt>
                <c:pt idx="1187">
                  <c:v>2694.0300000001416</c:v>
                </c:pt>
                <c:pt idx="1188">
                  <c:v>2658.0300000001744</c:v>
                </c:pt>
                <c:pt idx="1189">
                  <c:v>2694.0300000001416</c:v>
                </c:pt>
                <c:pt idx="1190">
                  <c:v>2694.0300000001416</c:v>
                </c:pt>
                <c:pt idx="1191">
                  <c:v>2694.0300000001416</c:v>
                </c:pt>
                <c:pt idx="1192">
                  <c:v>2694.0300000001416</c:v>
                </c:pt>
                <c:pt idx="1193">
                  <c:v>2694.0300000001416</c:v>
                </c:pt>
                <c:pt idx="1194">
                  <c:v>2694.0300000001416</c:v>
                </c:pt>
                <c:pt idx="1195">
                  <c:v>2694.0300000001416</c:v>
                </c:pt>
                <c:pt idx="1196">
                  <c:v>2838.0300000002153</c:v>
                </c:pt>
                <c:pt idx="1197">
                  <c:v>2874.0300000001826</c:v>
                </c:pt>
                <c:pt idx="1198">
                  <c:v>2874.0300000001826</c:v>
                </c:pt>
                <c:pt idx="1199">
                  <c:v>2874.0300000001826</c:v>
                </c:pt>
                <c:pt idx="1200">
                  <c:v>2874.0300000001826</c:v>
                </c:pt>
                <c:pt idx="1201">
                  <c:v>2874.0300000001826</c:v>
                </c:pt>
                <c:pt idx="1202">
                  <c:v>2874.0300000001826</c:v>
                </c:pt>
                <c:pt idx="1203">
                  <c:v>2874.0300000001826</c:v>
                </c:pt>
                <c:pt idx="1204">
                  <c:v>2874.0300000001826</c:v>
                </c:pt>
                <c:pt idx="1205">
                  <c:v>2874.0300000001826</c:v>
                </c:pt>
                <c:pt idx="1206">
                  <c:v>2874.0300000001826</c:v>
                </c:pt>
                <c:pt idx="1207">
                  <c:v>2874.0300000001826</c:v>
                </c:pt>
                <c:pt idx="1208">
                  <c:v>2874.0300000001826</c:v>
                </c:pt>
                <c:pt idx="1209">
                  <c:v>2874.0300000001826</c:v>
                </c:pt>
                <c:pt idx="1210">
                  <c:v>2874.0300000001826</c:v>
                </c:pt>
                <c:pt idx="1211">
                  <c:v>2874.0300000001826</c:v>
                </c:pt>
                <c:pt idx="1212">
                  <c:v>2874.0300000001826</c:v>
                </c:pt>
                <c:pt idx="1213">
                  <c:v>2874.0300000001826</c:v>
                </c:pt>
                <c:pt idx="1214">
                  <c:v>2874.0300000001826</c:v>
                </c:pt>
                <c:pt idx="1215">
                  <c:v>2874.0300000001826</c:v>
                </c:pt>
                <c:pt idx="1216">
                  <c:v>2874.0300000001826</c:v>
                </c:pt>
                <c:pt idx="1217">
                  <c:v>2874.0300000001826</c:v>
                </c:pt>
                <c:pt idx="1218">
                  <c:v>2874.0300000001826</c:v>
                </c:pt>
                <c:pt idx="1219">
                  <c:v>2874.0300000001826</c:v>
                </c:pt>
                <c:pt idx="1220">
                  <c:v>2910.0300000001498</c:v>
                </c:pt>
                <c:pt idx="1221">
                  <c:v>2910.0300000001498</c:v>
                </c:pt>
                <c:pt idx="1222">
                  <c:v>2910.0300000001498</c:v>
                </c:pt>
                <c:pt idx="1223">
                  <c:v>2910.0300000001498</c:v>
                </c:pt>
                <c:pt idx="1224">
                  <c:v>2910.0300000001498</c:v>
                </c:pt>
                <c:pt idx="1225">
                  <c:v>2910.0300000001498</c:v>
                </c:pt>
                <c:pt idx="1226">
                  <c:v>2910.0300000001498</c:v>
                </c:pt>
                <c:pt idx="1227">
                  <c:v>2910.0300000001498</c:v>
                </c:pt>
                <c:pt idx="1228">
                  <c:v>2910.0300000001498</c:v>
                </c:pt>
                <c:pt idx="1229">
                  <c:v>2910.0300000001498</c:v>
                </c:pt>
                <c:pt idx="1230">
                  <c:v>2910.0300000001498</c:v>
                </c:pt>
                <c:pt idx="1231">
                  <c:v>2910.0300000001498</c:v>
                </c:pt>
                <c:pt idx="1232">
                  <c:v>2910.0300000001498</c:v>
                </c:pt>
                <c:pt idx="1233">
                  <c:v>2910.0300000001498</c:v>
                </c:pt>
                <c:pt idx="1234">
                  <c:v>2910.0300000001498</c:v>
                </c:pt>
                <c:pt idx="1235">
                  <c:v>2910.0300000001498</c:v>
                </c:pt>
                <c:pt idx="1236">
                  <c:v>2910.0300000001498</c:v>
                </c:pt>
                <c:pt idx="1237">
                  <c:v>2910.0300000001498</c:v>
                </c:pt>
                <c:pt idx="1238">
                  <c:v>2910.0300000001498</c:v>
                </c:pt>
                <c:pt idx="1239">
                  <c:v>2910.0300000001498</c:v>
                </c:pt>
                <c:pt idx="1240">
                  <c:v>2910.0300000001498</c:v>
                </c:pt>
                <c:pt idx="1241">
                  <c:v>2910.0300000001498</c:v>
                </c:pt>
                <c:pt idx="1242">
                  <c:v>2910.0300000001498</c:v>
                </c:pt>
                <c:pt idx="1243">
                  <c:v>2910.0300000001498</c:v>
                </c:pt>
                <c:pt idx="1244">
                  <c:v>2910.0300000001498</c:v>
                </c:pt>
                <c:pt idx="1245">
                  <c:v>2910.0300000001498</c:v>
                </c:pt>
                <c:pt idx="1246">
                  <c:v>2910.0300000001498</c:v>
                </c:pt>
                <c:pt idx="1247">
                  <c:v>2910.0300000001498</c:v>
                </c:pt>
                <c:pt idx="1248">
                  <c:v>2910.0300000001498</c:v>
                </c:pt>
                <c:pt idx="1249">
                  <c:v>2910.0300000001498</c:v>
                </c:pt>
                <c:pt idx="1250">
                  <c:v>2910.0300000001498</c:v>
                </c:pt>
                <c:pt idx="1251">
                  <c:v>2910.0300000001498</c:v>
                </c:pt>
                <c:pt idx="1252">
                  <c:v>2910.0300000001498</c:v>
                </c:pt>
                <c:pt idx="1253">
                  <c:v>2910.0300000001498</c:v>
                </c:pt>
                <c:pt idx="1254">
                  <c:v>2910.0300000001498</c:v>
                </c:pt>
                <c:pt idx="1255">
                  <c:v>2910.0300000001498</c:v>
                </c:pt>
                <c:pt idx="1256">
                  <c:v>2910.0300000001498</c:v>
                </c:pt>
                <c:pt idx="1257">
                  <c:v>2910.0300000001498</c:v>
                </c:pt>
                <c:pt idx="1258">
                  <c:v>2910.0300000001498</c:v>
                </c:pt>
                <c:pt idx="1259">
                  <c:v>2910.0300000001498</c:v>
                </c:pt>
                <c:pt idx="1260">
                  <c:v>2910.0300000001498</c:v>
                </c:pt>
                <c:pt idx="1261">
                  <c:v>2910.0300000001498</c:v>
                </c:pt>
                <c:pt idx="1262">
                  <c:v>2910.0300000001498</c:v>
                </c:pt>
                <c:pt idx="1263">
                  <c:v>2910.0300000001498</c:v>
                </c:pt>
                <c:pt idx="1264">
                  <c:v>2910.0300000001498</c:v>
                </c:pt>
                <c:pt idx="1265">
                  <c:v>2910.0300000001498</c:v>
                </c:pt>
                <c:pt idx="1266">
                  <c:v>2910.0300000001498</c:v>
                </c:pt>
                <c:pt idx="1267">
                  <c:v>2910.0300000001498</c:v>
                </c:pt>
                <c:pt idx="1268">
                  <c:v>2910.0300000001498</c:v>
                </c:pt>
                <c:pt idx="1269">
                  <c:v>2910.0300000001498</c:v>
                </c:pt>
                <c:pt idx="1270">
                  <c:v>2910.0300000001498</c:v>
                </c:pt>
                <c:pt idx="1271">
                  <c:v>2910.0300000001498</c:v>
                </c:pt>
                <c:pt idx="1272">
                  <c:v>2910.0300000001498</c:v>
                </c:pt>
                <c:pt idx="1273">
                  <c:v>2910.0300000001498</c:v>
                </c:pt>
                <c:pt idx="1274">
                  <c:v>2910.0300000001498</c:v>
                </c:pt>
                <c:pt idx="1275">
                  <c:v>2910.0300000001498</c:v>
                </c:pt>
                <c:pt idx="1276">
                  <c:v>2878.0300000001334</c:v>
                </c:pt>
                <c:pt idx="1277">
                  <c:v>2878.0300000001334</c:v>
                </c:pt>
                <c:pt idx="1278">
                  <c:v>3118.0300000001334</c:v>
                </c:pt>
                <c:pt idx="1279">
                  <c:v>3118.0300000001334</c:v>
                </c:pt>
                <c:pt idx="1280">
                  <c:v>3310.0300000001334</c:v>
                </c:pt>
                <c:pt idx="1281">
                  <c:v>3310.0300000001334</c:v>
                </c:pt>
                <c:pt idx="1282">
                  <c:v>3310.0300000001334</c:v>
                </c:pt>
                <c:pt idx="1283">
                  <c:v>3310.0300000001334</c:v>
                </c:pt>
                <c:pt idx="1284">
                  <c:v>3310.0300000001334</c:v>
                </c:pt>
                <c:pt idx="1285">
                  <c:v>3310.0300000001334</c:v>
                </c:pt>
                <c:pt idx="1286">
                  <c:v>3310.0300000001334</c:v>
                </c:pt>
                <c:pt idx="1287">
                  <c:v>3342.0300000001334</c:v>
                </c:pt>
                <c:pt idx="1288">
                  <c:v>3342.0300000001334</c:v>
                </c:pt>
                <c:pt idx="1289">
                  <c:v>3342.0300000001334</c:v>
                </c:pt>
                <c:pt idx="1290">
                  <c:v>3342.0300000001334</c:v>
                </c:pt>
                <c:pt idx="1291">
                  <c:v>3342.0300000001334</c:v>
                </c:pt>
                <c:pt idx="1292">
                  <c:v>3342.0300000001334</c:v>
                </c:pt>
                <c:pt idx="1293">
                  <c:v>3342.0300000001334</c:v>
                </c:pt>
                <c:pt idx="1294">
                  <c:v>3342.0300000001334</c:v>
                </c:pt>
                <c:pt idx="1295">
                  <c:v>3342.0300000001334</c:v>
                </c:pt>
                <c:pt idx="1296">
                  <c:v>3342.0300000001334</c:v>
                </c:pt>
                <c:pt idx="1297">
                  <c:v>3342.0300000001334</c:v>
                </c:pt>
                <c:pt idx="1298">
                  <c:v>3342.0300000001334</c:v>
                </c:pt>
                <c:pt idx="1299">
                  <c:v>3342.0300000001334</c:v>
                </c:pt>
                <c:pt idx="1300">
                  <c:v>3342.0300000001334</c:v>
                </c:pt>
                <c:pt idx="1301">
                  <c:v>3342.0300000001334</c:v>
                </c:pt>
                <c:pt idx="1302">
                  <c:v>3342.0300000001334</c:v>
                </c:pt>
                <c:pt idx="1303">
                  <c:v>3342.0300000001334</c:v>
                </c:pt>
                <c:pt idx="1304">
                  <c:v>3342.0300000001334</c:v>
                </c:pt>
                <c:pt idx="1305">
                  <c:v>3342.0300000001334</c:v>
                </c:pt>
                <c:pt idx="1306">
                  <c:v>3342.0300000001334</c:v>
                </c:pt>
                <c:pt idx="1307">
                  <c:v>3342.0300000001334</c:v>
                </c:pt>
                <c:pt idx="1308">
                  <c:v>3342.0300000001334</c:v>
                </c:pt>
                <c:pt idx="1309">
                  <c:v>3342.0300000001334</c:v>
                </c:pt>
                <c:pt idx="1310">
                  <c:v>3342.0300000001334</c:v>
                </c:pt>
                <c:pt idx="1311">
                  <c:v>3342.0300000001334</c:v>
                </c:pt>
                <c:pt idx="1312">
                  <c:v>3342.0300000001334</c:v>
                </c:pt>
                <c:pt idx="1313">
                  <c:v>3342.0300000001334</c:v>
                </c:pt>
                <c:pt idx="1314">
                  <c:v>3342.0300000001334</c:v>
                </c:pt>
                <c:pt idx="1315">
                  <c:v>3342.0300000001334</c:v>
                </c:pt>
                <c:pt idx="1316">
                  <c:v>3342.0300000001334</c:v>
                </c:pt>
                <c:pt idx="1317">
                  <c:v>3342.0300000001334</c:v>
                </c:pt>
                <c:pt idx="1318">
                  <c:v>3342.0300000001334</c:v>
                </c:pt>
                <c:pt idx="1319">
                  <c:v>3342.0300000001334</c:v>
                </c:pt>
                <c:pt idx="1320">
                  <c:v>3342.0300000001334</c:v>
                </c:pt>
                <c:pt idx="1321">
                  <c:v>3342.0300000001334</c:v>
                </c:pt>
                <c:pt idx="1322">
                  <c:v>3398.0300000001621</c:v>
                </c:pt>
                <c:pt idx="1323">
                  <c:v>3398.0300000001621</c:v>
                </c:pt>
                <c:pt idx="1324">
                  <c:v>3398.0300000001621</c:v>
                </c:pt>
                <c:pt idx="1325">
                  <c:v>3398.0300000001621</c:v>
                </c:pt>
                <c:pt idx="1326">
                  <c:v>3398.0300000001621</c:v>
                </c:pt>
                <c:pt idx="1327">
                  <c:v>3398.0300000001621</c:v>
                </c:pt>
                <c:pt idx="1328">
                  <c:v>3398.0300000001621</c:v>
                </c:pt>
                <c:pt idx="1329">
                  <c:v>3398.0300000001621</c:v>
                </c:pt>
                <c:pt idx="1330">
                  <c:v>3398.0300000001621</c:v>
                </c:pt>
                <c:pt idx="1331">
                  <c:v>3398.0300000001621</c:v>
                </c:pt>
                <c:pt idx="1332">
                  <c:v>3398.0300000001621</c:v>
                </c:pt>
                <c:pt idx="1333">
                  <c:v>3398.0300000001621</c:v>
                </c:pt>
                <c:pt idx="1334">
                  <c:v>3398.0300000001621</c:v>
                </c:pt>
                <c:pt idx="1335">
                  <c:v>3398.0300000001621</c:v>
                </c:pt>
                <c:pt idx="1336">
                  <c:v>3398.0300000001621</c:v>
                </c:pt>
                <c:pt idx="1337">
                  <c:v>3398.0300000001621</c:v>
                </c:pt>
                <c:pt idx="1338">
                  <c:v>3398.0300000001621</c:v>
                </c:pt>
                <c:pt idx="1339">
                  <c:v>3398.0300000001621</c:v>
                </c:pt>
                <c:pt idx="1340">
                  <c:v>3398.0300000001621</c:v>
                </c:pt>
                <c:pt idx="1341">
                  <c:v>3398.0300000001621</c:v>
                </c:pt>
                <c:pt idx="1342">
                  <c:v>3398.0300000001621</c:v>
                </c:pt>
                <c:pt idx="1343">
                  <c:v>3398.0300000001621</c:v>
                </c:pt>
                <c:pt idx="1344">
                  <c:v>3398.0300000001621</c:v>
                </c:pt>
                <c:pt idx="1345">
                  <c:v>3398.0300000001621</c:v>
                </c:pt>
                <c:pt idx="1346">
                  <c:v>3398.0300000001621</c:v>
                </c:pt>
                <c:pt idx="1347">
                  <c:v>3398.0300000001621</c:v>
                </c:pt>
                <c:pt idx="1348">
                  <c:v>3398.0300000001621</c:v>
                </c:pt>
                <c:pt idx="1349">
                  <c:v>3398.0300000001621</c:v>
                </c:pt>
                <c:pt idx="1350">
                  <c:v>3398.0300000001621</c:v>
                </c:pt>
                <c:pt idx="1351">
                  <c:v>3398.0300000001621</c:v>
                </c:pt>
                <c:pt idx="1352">
                  <c:v>3398.0300000001621</c:v>
                </c:pt>
                <c:pt idx="1353">
                  <c:v>3398.0300000001621</c:v>
                </c:pt>
                <c:pt idx="1354">
                  <c:v>3398.0300000001621</c:v>
                </c:pt>
                <c:pt idx="1355">
                  <c:v>3398.0300000001621</c:v>
                </c:pt>
                <c:pt idx="1356">
                  <c:v>3398.0300000001621</c:v>
                </c:pt>
                <c:pt idx="1357">
                  <c:v>3398.0300000001621</c:v>
                </c:pt>
                <c:pt idx="1358">
                  <c:v>3398.0300000001621</c:v>
                </c:pt>
                <c:pt idx="1359">
                  <c:v>3398.0300000001621</c:v>
                </c:pt>
                <c:pt idx="1360">
                  <c:v>3398.0300000001621</c:v>
                </c:pt>
                <c:pt idx="1361">
                  <c:v>3398.0300000001621</c:v>
                </c:pt>
                <c:pt idx="1362">
                  <c:v>3638.0300000001621</c:v>
                </c:pt>
                <c:pt idx="1363">
                  <c:v>3638.0300000001621</c:v>
                </c:pt>
                <c:pt idx="1364">
                  <c:v>3638.0300000001621</c:v>
                </c:pt>
                <c:pt idx="1365">
                  <c:v>3638.0300000001621</c:v>
                </c:pt>
                <c:pt idx="1366">
                  <c:v>3638.0300000001621</c:v>
                </c:pt>
                <c:pt idx="1367">
                  <c:v>3638.0300000001621</c:v>
                </c:pt>
                <c:pt idx="1368">
                  <c:v>3638.0300000001621</c:v>
                </c:pt>
                <c:pt idx="1369">
                  <c:v>3638.0300000001621</c:v>
                </c:pt>
                <c:pt idx="1370">
                  <c:v>3638.0300000001621</c:v>
                </c:pt>
                <c:pt idx="1371">
                  <c:v>3638.0300000001621</c:v>
                </c:pt>
                <c:pt idx="1372">
                  <c:v>3638.0300000001621</c:v>
                </c:pt>
                <c:pt idx="1373">
                  <c:v>3638.0300000001621</c:v>
                </c:pt>
                <c:pt idx="1374">
                  <c:v>3638.0300000001621</c:v>
                </c:pt>
                <c:pt idx="1375">
                  <c:v>3638.0300000001621</c:v>
                </c:pt>
                <c:pt idx="1376">
                  <c:v>3638.0300000001621</c:v>
                </c:pt>
                <c:pt idx="1377">
                  <c:v>3638.0300000001621</c:v>
                </c:pt>
                <c:pt idx="1378">
                  <c:v>3638.0300000001621</c:v>
                </c:pt>
                <c:pt idx="1379">
                  <c:v>3638.0300000001621</c:v>
                </c:pt>
                <c:pt idx="1380">
                  <c:v>3638.0300000001621</c:v>
                </c:pt>
                <c:pt idx="1381">
                  <c:v>3638.0300000001621</c:v>
                </c:pt>
              </c:numCache>
            </c:numRef>
          </c:val>
          <c:smooth val="0"/>
          <c:extLst>
            <c:ext xmlns:c16="http://schemas.microsoft.com/office/drawing/2014/chart" uri="{C3380CC4-5D6E-409C-BE32-E72D297353CC}">
              <c16:uniqueId val="{00000000-E577-422D-9FFF-AF226C13E434}"/>
            </c:ext>
          </c:extLst>
        </c:ser>
        <c:ser>
          <c:idx val="1"/>
          <c:order val="1"/>
          <c:tx>
            <c:v>h</c:v>
          </c:tx>
          <c:spPr>
            <a:ln w="28575" cap="rnd">
              <a:solidFill>
                <a:schemeClr val="accent2"/>
              </a:solidFill>
              <a:round/>
            </a:ln>
            <a:effectLst/>
          </c:spPr>
          <c:marker>
            <c:symbol val="none"/>
          </c:marker>
          <c:val>
            <c:numRef>
              <c:f>'Journal Live'!$BN$3:$BN$1384</c:f>
              <c:numCache>
                <c:formatCode>General</c:formatCode>
                <c:ptCount val="138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31">
                  <c:v>0</c:v>
                </c:pt>
                <c:pt idx="132">
                  <c:v>0</c:v>
                </c:pt>
                <c:pt idx="133">
                  <c:v>0</c:v>
                </c:pt>
                <c:pt idx="134">
                  <c:v>0</c:v>
                </c:pt>
                <c:pt idx="135">
                  <c:v>0</c:v>
                </c:pt>
                <c:pt idx="136">
                  <c:v>0</c:v>
                </c:pt>
                <c:pt idx="137">
                  <c:v>-48.900000000001853</c:v>
                </c:pt>
                <c:pt idx="138">
                  <c:v>-16.500000000001869</c:v>
                </c:pt>
                <c:pt idx="139">
                  <c:v>-16.500000000001869</c:v>
                </c:pt>
                <c:pt idx="140">
                  <c:v>-16.500000000001869</c:v>
                </c:pt>
                <c:pt idx="141">
                  <c:v>-16.500000000001869</c:v>
                </c:pt>
                <c:pt idx="142">
                  <c:v>-16.500000000001869</c:v>
                </c:pt>
                <c:pt idx="143">
                  <c:v>-16.500000000001869</c:v>
                </c:pt>
                <c:pt idx="144">
                  <c:v>-16.500000000001869</c:v>
                </c:pt>
                <c:pt idx="145">
                  <c:v>-16.500000000001869</c:v>
                </c:pt>
                <c:pt idx="146">
                  <c:v>-16.500000000001869</c:v>
                </c:pt>
                <c:pt idx="147">
                  <c:v>-16.500000000001869</c:v>
                </c:pt>
                <c:pt idx="148">
                  <c:v>-16.500000000001869</c:v>
                </c:pt>
                <c:pt idx="149">
                  <c:v>-16.500000000001869</c:v>
                </c:pt>
                <c:pt idx="150">
                  <c:v>-16.500000000001869</c:v>
                </c:pt>
                <c:pt idx="151">
                  <c:v>-16.500000000001869</c:v>
                </c:pt>
                <c:pt idx="152">
                  <c:v>-16.500000000001869</c:v>
                </c:pt>
                <c:pt idx="153">
                  <c:v>-16.500000000001869</c:v>
                </c:pt>
                <c:pt idx="154">
                  <c:v>-16.500000000001869</c:v>
                </c:pt>
                <c:pt idx="155">
                  <c:v>-16.500000000001869</c:v>
                </c:pt>
                <c:pt idx="156">
                  <c:v>-16.500000000001869</c:v>
                </c:pt>
                <c:pt idx="157">
                  <c:v>-16.500000000001869</c:v>
                </c:pt>
                <c:pt idx="158">
                  <c:v>-16.500000000001869</c:v>
                </c:pt>
                <c:pt idx="159">
                  <c:v>-16.500000000001869</c:v>
                </c:pt>
                <c:pt idx="160">
                  <c:v>-16.500000000001869</c:v>
                </c:pt>
                <c:pt idx="161">
                  <c:v>-16.500000000001869</c:v>
                </c:pt>
                <c:pt idx="162">
                  <c:v>-16.500000000001869</c:v>
                </c:pt>
                <c:pt idx="163">
                  <c:v>-16.500000000001869</c:v>
                </c:pt>
                <c:pt idx="164">
                  <c:v>33.599999999998133</c:v>
                </c:pt>
                <c:pt idx="165">
                  <c:v>50.29999999999815</c:v>
                </c:pt>
                <c:pt idx="166">
                  <c:v>-33.199999999997104</c:v>
                </c:pt>
                <c:pt idx="167">
                  <c:v>-33.199999999997104</c:v>
                </c:pt>
                <c:pt idx="168">
                  <c:v>33.600000000002893</c:v>
                </c:pt>
                <c:pt idx="169">
                  <c:v>67.000000000002871</c:v>
                </c:pt>
                <c:pt idx="170">
                  <c:v>67.000000000002871</c:v>
                </c:pt>
                <c:pt idx="171">
                  <c:v>67.000000000002871</c:v>
                </c:pt>
                <c:pt idx="172">
                  <c:v>-16.499999999992383</c:v>
                </c:pt>
                <c:pt idx="173">
                  <c:v>-16.499999999992383</c:v>
                </c:pt>
                <c:pt idx="174">
                  <c:v>-33.200000000000927</c:v>
                </c:pt>
                <c:pt idx="175">
                  <c:v>-33.200000000000927</c:v>
                </c:pt>
                <c:pt idx="176">
                  <c:v>-33.200000000000927</c:v>
                </c:pt>
                <c:pt idx="177">
                  <c:v>-33.200000000000927</c:v>
                </c:pt>
                <c:pt idx="178">
                  <c:v>-33.200000000000927</c:v>
                </c:pt>
                <c:pt idx="179">
                  <c:v>-33.200000000000927</c:v>
                </c:pt>
                <c:pt idx="180">
                  <c:v>16.899999999999118</c:v>
                </c:pt>
                <c:pt idx="181">
                  <c:v>16.899999999999118</c:v>
                </c:pt>
                <c:pt idx="182">
                  <c:v>16.899999999999118</c:v>
                </c:pt>
                <c:pt idx="183">
                  <c:v>100.39999999999907</c:v>
                </c:pt>
                <c:pt idx="184">
                  <c:v>0.19999999999527063</c:v>
                </c:pt>
                <c:pt idx="185">
                  <c:v>0.19999999999527063</c:v>
                </c:pt>
                <c:pt idx="186">
                  <c:v>0.19999999999527063</c:v>
                </c:pt>
                <c:pt idx="187">
                  <c:v>0.19999999999527063</c:v>
                </c:pt>
                <c:pt idx="188">
                  <c:v>0.19999999999527063</c:v>
                </c:pt>
                <c:pt idx="189">
                  <c:v>16.899999999995284</c:v>
                </c:pt>
                <c:pt idx="190">
                  <c:v>100.39999999999527</c:v>
                </c:pt>
                <c:pt idx="191">
                  <c:v>100.39999999999527</c:v>
                </c:pt>
                <c:pt idx="192">
                  <c:v>100.39999999999527</c:v>
                </c:pt>
                <c:pt idx="193">
                  <c:v>150.49999999999528</c:v>
                </c:pt>
                <c:pt idx="194">
                  <c:v>236.8000000000149</c:v>
                </c:pt>
                <c:pt idx="195">
                  <c:v>236.8000000000149</c:v>
                </c:pt>
                <c:pt idx="196">
                  <c:v>236.8000000000149</c:v>
                </c:pt>
                <c:pt idx="197">
                  <c:v>236.8000000000149</c:v>
                </c:pt>
                <c:pt idx="198">
                  <c:v>286.90000000001487</c:v>
                </c:pt>
                <c:pt idx="199">
                  <c:v>286.90000000001487</c:v>
                </c:pt>
                <c:pt idx="200">
                  <c:v>286.90000000001487</c:v>
                </c:pt>
                <c:pt idx="201">
                  <c:v>286.90000000001487</c:v>
                </c:pt>
                <c:pt idx="202">
                  <c:v>337.00000000001489</c:v>
                </c:pt>
                <c:pt idx="203">
                  <c:v>337.00000000001489</c:v>
                </c:pt>
                <c:pt idx="204">
                  <c:v>337.00000000001489</c:v>
                </c:pt>
                <c:pt idx="205">
                  <c:v>337.00000000001489</c:v>
                </c:pt>
                <c:pt idx="206">
                  <c:v>337.00000000001489</c:v>
                </c:pt>
                <c:pt idx="207">
                  <c:v>337.00000000001489</c:v>
                </c:pt>
                <c:pt idx="208">
                  <c:v>337.00000000001489</c:v>
                </c:pt>
                <c:pt idx="209">
                  <c:v>337.00000000001489</c:v>
                </c:pt>
                <c:pt idx="210">
                  <c:v>337.00000000001489</c:v>
                </c:pt>
                <c:pt idx="211">
                  <c:v>337.00000000001489</c:v>
                </c:pt>
                <c:pt idx="212">
                  <c:v>337.00000000001489</c:v>
                </c:pt>
                <c:pt idx="213">
                  <c:v>337.00000000001489</c:v>
                </c:pt>
                <c:pt idx="214">
                  <c:v>337.00000000001489</c:v>
                </c:pt>
                <c:pt idx="215">
                  <c:v>337.00000000001489</c:v>
                </c:pt>
                <c:pt idx="216">
                  <c:v>337.00000000001489</c:v>
                </c:pt>
                <c:pt idx="217">
                  <c:v>337.00000000001489</c:v>
                </c:pt>
                <c:pt idx="218">
                  <c:v>337.00000000001489</c:v>
                </c:pt>
                <c:pt idx="219">
                  <c:v>337.00000000001489</c:v>
                </c:pt>
                <c:pt idx="220">
                  <c:v>337.00000000001489</c:v>
                </c:pt>
                <c:pt idx="221">
                  <c:v>337.00000000001489</c:v>
                </c:pt>
                <c:pt idx="222">
                  <c:v>337.00000000001489</c:v>
                </c:pt>
                <c:pt idx="223">
                  <c:v>439.60000000001492</c:v>
                </c:pt>
                <c:pt idx="224">
                  <c:v>439.60000000001492</c:v>
                </c:pt>
                <c:pt idx="225">
                  <c:v>439.60000000001492</c:v>
                </c:pt>
                <c:pt idx="226">
                  <c:v>439.60000000001492</c:v>
                </c:pt>
                <c:pt idx="227">
                  <c:v>286.60000000001492</c:v>
                </c:pt>
                <c:pt idx="228">
                  <c:v>286.60000000001492</c:v>
                </c:pt>
                <c:pt idx="229">
                  <c:v>184.60000000001494</c:v>
                </c:pt>
                <c:pt idx="230">
                  <c:v>184.60000000001494</c:v>
                </c:pt>
                <c:pt idx="231">
                  <c:v>184.60000000001494</c:v>
                </c:pt>
                <c:pt idx="232">
                  <c:v>184.60000000001494</c:v>
                </c:pt>
                <c:pt idx="233">
                  <c:v>184.60000000001494</c:v>
                </c:pt>
                <c:pt idx="234">
                  <c:v>184.60000000001494</c:v>
                </c:pt>
                <c:pt idx="235">
                  <c:v>184.60000000001494</c:v>
                </c:pt>
                <c:pt idx="236">
                  <c:v>184.60000000001494</c:v>
                </c:pt>
                <c:pt idx="237">
                  <c:v>184.60000000001494</c:v>
                </c:pt>
                <c:pt idx="238">
                  <c:v>184.60000000001494</c:v>
                </c:pt>
                <c:pt idx="239">
                  <c:v>184.60000000001494</c:v>
                </c:pt>
                <c:pt idx="240">
                  <c:v>184.60000000001494</c:v>
                </c:pt>
                <c:pt idx="241">
                  <c:v>184.60000000001494</c:v>
                </c:pt>
                <c:pt idx="242">
                  <c:v>184.60000000001494</c:v>
                </c:pt>
                <c:pt idx="243">
                  <c:v>184.60000000001494</c:v>
                </c:pt>
                <c:pt idx="244">
                  <c:v>184.60000000001494</c:v>
                </c:pt>
                <c:pt idx="245">
                  <c:v>184.60000000001494</c:v>
                </c:pt>
                <c:pt idx="246">
                  <c:v>184.60000000001494</c:v>
                </c:pt>
                <c:pt idx="247">
                  <c:v>184.60000000001494</c:v>
                </c:pt>
                <c:pt idx="248">
                  <c:v>184.60000000001494</c:v>
                </c:pt>
                <c:pt idx="249">
                  <c:v>184.60000000001494</c:v>
                </c:pt>
                <c:pt idx="250">
                  <c:v>184.60000000001494</c:v>
                </c:pt>
                <c:pt idx="251">
                  <c:v>217.80000000001493</c:v>
                </c:pt>
                <c:pt idx="252">
                  <c:v>234.40000000001493</c:v>
                </c:pt>
                <c:pt idx="253">
                  <c:v>251.00000000001495</c:v>
                </c:pt>
                <c:pt idx="254">
                  <c:v>251.00000000001495</c:v>
                </c:pt>
                <c:pt idx="255">
                  <c:v>251.00000000001495</c:v>
                </c:pt>
                <c:pt idx="256">
                  <c:v>251.00000000001495</c:v>
                </c:pt>
                <c:pt idx="257">
                  <c:v>251.00000000001495</c:v>
                </c:pt>
                <c:pt idx="258">
                  <c:v>251.00000000001495</c:v>
                </c:pt>
                <c:pt idx="259">
                  <c:v>251.00000000001495</c:v>
                </c:pt>
                <c:pt idx="260">
                  <c:v>251.00000000001495</c:v>
                </c:pt>
                <c:pt idx="261">
                  <c:v>251.00000000001495</c:v>
                </c:pt>
                <c:pt idx="262">
                  <c:v>251.00000000001495</c:v>
                </c:pt>
                <c:pt idx="263">
                  <c:v>251.00000000001495</c:v>
                </c:pt>
                <c:pt idx="264">
                  <c:v>251.00000000001495</c:v>
                </c:pt>
                <c:pt idx="265">
                  <c:v>251.00000000001495</c:v>
                </c:pt>
                <c:pt idx="266">
                  <c:v>251.00000000001495</c:v>
                </c:pt>
                <c:pt idx="267">
                  <c:v>251.00000000001495</c:v>
                </c:pt>
                <c:pt idx="268">
                  <c:v>251.00000000001495</c:v>
                </c:pt>
                <c:pt idx="269">
                  <c:v>251.00000000001495</c:v>
                </c:pt>
                <c:pt idx="270">
                  <c:v>251.00000000001495</c:v>
                </c:pt>
                <c:pt idx="271">
                  <c:v>251.00000000001495</c:v>
                </c:pt>
                <c:pt idx="272">
                  <c:v>251.00000000001495</c:v>
                </c:pt>
                <c:pt idx="273">
                  <c:v>251.00000000001495</c:v>
                </c:pt>
                <c:pt idx="274">
                  <c:v>251.00000000001495</c:v>
                </c:pt>
                <c:pt idx="275">
                  <c:v>251.00000000001495</c:v>
                </c:pt>
                <c:pt idx="276">
                  <c:v>251.00000000001495</c:v>
                </c:pt>
                <c:pt idx="277">
                  <c:v>251.00000000001495</c:v>
                </c:pt>
                <c:pt idx="278">
                  <c:v>251.00000000001495</c:v>
                </c:pt>
                <c:pt idx="279">
                  <c:v>251.00000000001495</c:v>
                </c:pt>
                <c:pt idx="280">
                  <c:v>300.80000000001502</c:v>
                </c:pt>
                <c:pt idx="281">
                  <c:v>300.80000000001502</c:v>
                </c:pt>
                <c:pt idx="282">
                  <c:v>300.80000000001502</c:v>
                </c:pt>
                <c:pt idx="283">
                  <c:v>300.80000000001502</c:v>
                </c:pt>
                <c:pt idx="284">
                  <c:v>300.80000000001502</c:v>
                </c:pt>
                <c:pt idx="285">
                  <c:v>300.80000000001502</c:v>
                </c:pt>
                <c:pt idx="286">
                  <c:v>300.80000000001502</c:v>
                </c:pt>
                <c:pt idx="287">
                  <c:v>383.30000000001502</c:v>
                </c:pt>
                <c:pt idx="288">
                  <c:v>383.30000000001502</c:v>
                </c:pt>
                <c:pt idx="289">
                  <c:v>383.30000000001502</c:v>
                </c:pt>
                <c:pt idx="290">
                  <c:v>383.30000000001502</c:v>
                </c:pt>
                <c:pt idx="291">
                  <c:v>383.30000000001502</c:v>
                </c:pt>
                <c:pt idx="292">
                  <c:v>383.30000000001502</c:v>
                </c:pt>
                <c:pt idx="293">
                  <c:v>383.30000000001502</c:v>
                </c:pt>
                <c:pt idx="294">
                  <c:v>383.30000000001502</c:v>
                </c:pt>
                <c:pt idx="295">
                  <c:v>399.70000000001505</c:v>
                </c:pt>
                <c:pt idx="296">
                  <c:v>399.70000000001505</c:v>
                </c:pt>
                <c:pt idx="297">
                  <c:v>399.70000000001505</c:v>
                </c:pt>
                <c:pt idx="298">
                  <c:v>399.70000000001505</c:v>
                </c:pt>
                <c:pt idx="299">
                  <c:v>399.70000000001505</c:v>
                </c:pt>
                <c:pt idx="300">
                  <c:v>399.70000000001505</c:v>
                </c:pt>
                <c:pt idx="301">
                  <c:v>399.70000000001505</c:v>
                </c:pt>
                <c:pt idx="302">
                  <c:v>399.70000000001505</c:v>
                </c:pt>
                <c:pt idx="303">
                  <c:v>399.70000000001505</c:v>
                </c:pt>
                <c:pt idx="304">
                  <c:v>399.70000000001505</c:v>
                </c:pt>
                <c:pt idx="305">
                  <c:v>399.70000000001505</c:v>
                </c:pt>
                <c:pt idx="306">
                  <c:v>399.70000000001505</c:v>
                </c:pt>
                <c:pt idx="307">
                  <c:v>399.70000000001505</c:v>
                </c:pt>
                <c:pt idx="308">
                  <c:v>399.70000000001505</c:v>
                </c:pt>
                <c:pt idx="309">
                  <c:v>399.70000000001505</c:v>
                </c:pt>
                <c:pt idx="310">
                  <c:v>399.70000000001505</c:v>
                </c:pt>
                <c:pt idx="311">
                  <c:v>399.70000000001505</c:v>
                </c:pt>
                <c:pt idx="312">
                  <c:v>399.70000000001505</c:v>
                </c:pt>
                <c:pt idx="313">
                  <c:v>399.70000000001505</c:v>
                </c:pt>
                <c:pt idx="314">
                  <c:v>399.70000000001505</c:v>
                </c:pt>
                <c:pt idx="315">
                  <c:v>399.70000000001505</c:v>
                </c:pt>
                <c:pt idx="316">
                  <c:v>399.70000000001505</c:v>
                </c:pt>
                <c:pt idx="317">
                  <c:v>399.70000000001505</c:v>
                </c:pt>
                <c:pt idx="318">
                  <c:v>415.80000000001507</c:v>
                </c:pt>
                <c:pt idx="319">
                  <c:v>576.80000000001496</c:v>
                </c:pt>
                <c:pt idx="320">
                  <c:v>576.80000000001496</c:v>
                </c:pt>
                <c:pt idx="321">
                  <c:v>576.80000000001496</c:v>
                </c:pt>
                <c:pt idx="322">
                  <c:v>576.80000000001496</c:v>
                </c:pt>
                <c:pt idx="323">
                  <c:v>576.80000000001496</c:v>
                </c:pt>
                <c:pt idx="324">
                  <c:v>576.80000000001496</c:v>
                </c:pt>
                <c:pt idx="325">
                  <c:v>576.80000000001496</c:v>
                </c:pt>
                <c:pt idx="326">
                  <c:v>576.80000000001496</c:v>
                </c:pt>
                <c:pt idx="327">
                  <c:v>576.80000000001496</c:v>
                </c:pt>
                <c:pt idx="328">
                  <c:v>576.80000000001496</c:v>
                </c:pt>
                <c:pt idx="329">
                  <c:v>576.80000000001496</c:v>
                </c:pt>
                <c:pt idx="330">
                  <c:v>576.80000000001496</c:v>
                </c:pt>
                <c:pt idx="331">
                  <c:v>576.80000000001496</c:v>
                </c:pt>
                <c:pt idx="332">
                  <c:v>576.80000000001496</c:v>
                </c:pt>
                <c:pt idx="333">
                  <c:v>703.20000000001494</c:v>
                </c:pt>
                <c:pt idx="334">
                  <c:v>703.20000000001494</c:v>
                </c:pt>
                <c:pt idx="335">
                  <c:v>703.20000000001494</c:v>
                </c:pt>
                <c:pt idx="336">
                  <c:v>703.20000000001494</c:v>
                </c:pt>
                <c:pt idx="337">
                  <c:v>703.20000000001494</c:v>
                </c:pt>
                <c:pt idx="338">
                  <c:v>703.20000000001494</c:v>
                </c:pt>
                <c:pt idx="339">
                  <c:v>703.20000000001494</c:v>
                </c:pt>
                <c:pt idx="340">
                  <c:v>829.60000000001492</c:v>
                </c:pt>
                <c:pt idx="341">
                  <c:v>829.60000000001492</c:v>
                </c:pt>
                <c:pt idx="342">
                  <c:v>829.60000000001492</c:v>
                </c:pt>
                <c:pt idx="343">
                  <c:v>829.60000000001492</c:v>
                </c:pt>
                <c:pt idx="344">
                  <c:v>586.60000000001492</c:v>
                </c:pt>
                <c:pt idx="345">
                  <c:v>262.60000000001492</c:v>
                </c:pt>
                <c:pt idx="346">
                  <c:v>262.60000000001492</c:v>
                </c:pt>
                <c:pt idx="347">
                  <c:v>262.60000000001492</c:v>
                </c:pt>
                <c:pt idx="348">
                  <c:v>262.60000000001492</c:v>
                </c:pt>
                <c:pt idx="349">
                  <c:v>262.60000000001492</c:v>
                </c:pt>
                <c:pt idx="350">
                  <c:v>262.60000000001492</c:v>
                </c:pt>
                <c:pt idx="351">
                  <c:v>278.60000000001492</c:v>
                </c:pt>
                <c:pt idx="352">
                  <c:v>278.60000000001492</c:v>
                </c:pt>
                <c:pt idx="353">
                  <c:v>278.60000000001492</c:v>
                </c:pt>
                <c:pt idx="354">
                  <c:v>278.60000000001492</c:v>
                </c:pt>
                <c:pt idx="355">
                  <c:v>278.60000000001492</c:v>
                </c:pt>
                <c:pt idx="356">
                  <c:v>278.60000000001492</c:v>
                </c:pt>
                <c:pt idx="357">
                  <c:v>278.60000000001492</c:v>
                </c:pt>
                <c:pt idx="358">
                  <c:v>278.60000000001492</c:v>
                </c:pt>
                <c:pt idx="359">
                  <c:v>278.60000000001492</c:v>
                </c:pt>
                <c:pt idx="360">
                  <c:v>278.60000000001492</c:v>
                </c:pt>
                <c:pt idx="361">
                  <c:v>278.60000000001492</c:v>
                </c:pt>
                <c:pt idx="362">
                  <c:v>278.60000000001492</c:v>
                </c:pt>
                <c:pt idx="363">
                  <c:v>278.60000000001492</c:v>
                </c:pt>
                <c:pt idx="364">
                  <c:v>278.60000000001492</c:v>
                </c:pt>
                <c:pt idx="365">
                  <c:v>278.60000000001492</c:v>
                </c:pt>
                <c:pt idx="366">
                  <c:v>278.60000000001492</c:v>
                </c:pt>
                <c:pt idx="367">
                  <c:v>278.60000000001492</c:v>
                </c:pt>
                <c:pt idx="368">
                  <c:v>278.60000000001492</c:v>
                </c:pt>
                <c:pt idx="369">
                  <c:v>278.60000000001492</c:v>
                </c:pt>
                <c:pt idx="370">
                  <c:v>294.60000000001492</c:v>
                </c:pt>
                <c:pt idx="371">
                  <c:v>294.60000000001492</c:v>
                </c:pt>
                <c:pt idx="372">
                  <c:v>294.60000000001492</c:v>
                </c:pt>
                <c:pt idx="373">
                  <c:v>294.60000000001492</c:v>
                </c:pt>
                <c:pt idx="374">
                  <c:v>294.60000000001492</c:v>
                </c:pt>
                <c:pt idx="375">
                  <c:v>294.60000000001492</c:v>
                </c:pt>
                <c:pt idx="376">
                  <c:v>294.60000000001492</c:v>
                </c:pt>
                <c:pt idx="377">
                  <c:v>407.30000000001496</c:v>
                </c:pt>
                <c:pt idx="378">
                  <c:v>407.30000000001496</c:v>
                </c:pt>
                <c:pt idx="379">
                  <c:v>439.50000000001495</c:v>
                </c:pt>
                <c:pt idx="380">
                  <c:v>439.50000000001495</c:v>
                </c:pt>
                <c:pt idx="381">
                  <c:v>455.60000000001497</c:v>
                </c:pt>
                <c:pt idx="382">
                  <c:v>455.60000000001497</c:v>
                </c:pt>
                <c:pt idx="383">
                  <c:v>455.60000000001497</c:v>
                </c:pt>
                <c:pt idx="384">
                  <c:v>471.700000000015</c:v>
                </c:pt>
                <c:pt idx="385">
                  <c:v>471.700000000015</c:v>
                </c:pt>
                <c:pt idx="386">
                  <c:v>471.700000000015</c:v>
                </c:pt>
                <c:pt idx="387">
                  <c:v>471.700000000015</c:v>
                </c:pt>
                <c:pt idx="388">
                  <c:v>471.700000000015</c:v>
                </c:pt>
                <c:pt idx="389">
                  <c:v>471.700000000015</c:v>
                </c:pt>
                <c:pt idx="390">
                  <c:v>471.700000000015</c:v>
                </c:pt>
                <c:pt idx="391">
                  <c:v>471.700000000015</c:v>
                </c:pt>
                <c:pt idx="392">
                  <c:v>471.700000000015</c:v>
                </c:pt>
                <c:pt idx="393">
                  <c:v>471.700000000015</c:v>
                </c:pt>
                <c:pt idx="394">
                  <c:v>471.700000000015</c:v>
                </c:pt>
                <c:pt idx="395">
                  <c:v>487.700000000015</c:v>
                </c:pt>
                <c:pt idx="396">
                  <c:v>487.700000000015</c:v>
                </c:pt>
                <c:pt idx="397">
                  <c:v>487.700000000015</c:v>
                </c:pt>
                <c:pt idx="398">
                  <c:v>567.70000000001505</c:v>
                </c:pt>
                <c:pt idx="399">
                  <c:v>647.70000000001505</c:v>
                </c:pt>
                <c:pt idx="400">
                  <c:v>727.70000000001505</c:v>
                </c:pt>
                <c:pt idx="401">
                  <c:v>727.70000000001505</c:v>
                </c:pt>
                <c:pt idx="402">
                  <c:v>887.70000000001517</c:v>
                </c:pt>
                <c:pt idx="403">
                  <c:v>887.70000000001517</c:v>
                </c:pt>
                <c:pt idx="404">
                  <c:v>887.70000000001517</c:v>
                </c:pt>
                <c:pt idx="405">
                  <c:v>887.70000000001517</c:v>
                </c:pt>
                <c:pt idx="406">
                  <c:v>887.70000000001517</c:v>
                </c:pt>
                <c:pt idx="407">
                  <c:v>887.70000000001517</c:v>
                </c:pt>
                <c:pt idx="408">
                  <c:v>1047.7000000000153</c:v>
                </c:pt>
                <c:pt idx="409">
                  <c:v>1127.7000000000153</c:v>
                </c:pt>
                <c:pt idx="410">
                  <c:v>1127.7000000000153</c:v>
                </c:pt>
                <c:pt idx="411">
                  <c:v>1127.7000000000153</c:v>
                </c:pt>
                <c:pt idx="412">
                  <c:v>1127.7000000000153</c:v>
                </c:pt>
                <c:pt idx="413">
                  <c:v>1127.7000000000153</c:v>
                </c:pt>
                <c:pt idx="414">
                  <c:v>1127.7000000000153</c:v>
                </c:pt>
                <c:pt idx="415">
                  <c:v>1207.7000000000153</c:v>
                </c:pt>
                <c:pt idx="416">
                  <c:v>1527.7000000000153</c:v>
                </c:pt>
                <c:pt idx="417">
                  <c:v>1543.7000000000153</c:v>
                </c:pt>
                <c:pt idx="418">
                  <c:v>1543.7000000000153</c:v>
                </c:pt>
                <c:pt idx="419">
                  <c:v>1543.7000000000153</c:v>
                </c:pt>
                <c:pt idx="420">
                  <c:v>1543.7000000000153</c:v>
                </c:pt>
                <c:pt idx="421">
                  <c:v>1543.7000000000153</c:v>
                </c:pt>
                <c:pt idx="422">
                  <c:v>1543.7000000000153</c:v>
                </c:pt>
                <c:pt idx="423">
                  <c:v>1543.7000000000153</c:v>
                </c:pt>
                <c:pt idx="424">
                  <c:v>1703.7000000000153</c:v>
                </c:pt>
                <c:pt idx="425">
                  <c:v>1703.7000000000153</c:v>
                </c:pt>
                <c:pt idx="426">
                  <c:v>1703.7000000000153</c:v>
                </c:pt>
                <c:pt idx="427">
                  <c:v>1703.7000000000153</c:v>
                </c:pt>
                <c:pt idx="428">
                  <c:v>1703.7000000000153</c:v>
                </c:pt>
                <c:pt idx="429">
                  <c:v>1703.7000000000153</c:v>
                </c:pt>
                <c:pt idx="430">
                  <c:v>1703.7000000000153</c:v>
                </c:pt>
                <c:pt idx="431">
                  <c:v>1783.7000000000153</c:v>
                </c:pt>
                <c:pt idx="432">
                  <c:v>1783.7000000000153</c:v>
                </c:pt>
                <c:pt idx="433">
                  <c:v>1783.7000000000153</c:v>
                </c:pt>
                <c:pt idx="434">
                  <c:v>1783.7000000000153</c:v>
                </c:pt>
                <c:pt idx="435">
                  <c:v>1783.7000000000153</c:v>
                </c:pt>
                <c:pt idx="436">
                  <c:v>1783.7000000000153</c:v>
                </c:pt>
                <c:pt idx="437">
                  <c:v>1783.7000000000153</c:v>
                </c:pt>
                <c:pt idx="438">
                  <c:v>1783.7000000000153</c:v>
                </c:pt>
                <c:pt idx="439">
                  <c:v>1783.7000000000153</c:v>
                </c:pt>
                <c:pt idx="440">
                  <c:v>1783.7000000000153</c:v>
                </c:pt>
                <c:pt idx="441">
                  <c:v>1783.7000000000153</c:v>
                </c:pt>
                <c:pt idx="442">
                  <c:v>1783.7000000000153</c:v>
                </c:pt>
                <c:pt idx="443">
                  <c:v>1783.7000000000153</c:v>
                </c:pt>
                <c:pt idx="444">
                  <c:v>1783.7000000000153</c:v>
                </c:pt>
                <c:pt idx="445">
                  <c:v>1783.7000000000153</c:v>
                </c:pt>
                <c:pt idx="446">
                  <c:v>1783.7000000000153</c:v>
                </c:pt>
                <c:pt idx="447">
                  <c:v>1783.7000000000153</c:v>
                </c:pt>
                <c:pt idx="448">
                  <c:v>1783.7000000000153</c:v>
                </c:pt>
                <c:pt idx="449">
                  <c:v>1783.7000000000153</c:v>
                </c:pt>
                <c:pt idx="450">
                  <c:v>1897.1000000000151</c:v>
                </c:pt>
                <c:pt idx="451">
                  <c:v>1897.1000000000151</c:v>
                </c:pt>
                <c:pt idx="452">
                  <c:v>1897.1000000000151</c:v>
                </c:pt>
                <c:pt idx="453">
                  <c:v>2059.1000000000154</c:v>
                </c:pt>
                <c:pt idx="454">
                  <c:v>2172.5000000000155</c:v>
                </c:pt>
                <c:pt idx="455">
                  <c:v>2172.5000000000155</c:v>
                </c:pt>
                <c:pt idx="456">
                  <c:v>2334.5000000000155</c:v>
                </c:pt>
                <c:pt idx="457">
                  <c:v>2447.9000000000156</c:v>
                </c:pt>
                <c:pt idx="458">
                  <c:v>2447.9000000000156</c:v>
                </c:pt>
                <c:pt idx="459">
                  <c:v>2447.9000000000156</c:v>
                </c:pt>
                <c:pt idx="460">
                  <c:v>2447.9000000000156</c:v>
                </c:pt>
                <c:pt idx="461">
                  <c:v>2447.9000000000156</c:v>
                </c:pt>
                <c:pt idx="462">
                  <c:v>2447.9000000000156</c:v>
                </c:pt>
                <c:pt idx="463">
                  <c:v>2511.9000000000156</c:v>
                </c:pt>
                <c:pt idx="464">
                  <c:v>2559.9000000000156</c:v>
                </c:pt>
                <c:pt idx="465">
                  <c:v>2671.9000000000156</c:v>
                </c:pt>
                <c:pt idx="466">
                  <c:v>2671.9000000000156</c:v>
                </c:pt>
                <c:pt idx="467">
                  <c:v>2671.9000000000156</c:v>
                </c:pt>
                <c:pt idx="468">
                  <c:v>2671.9000000000156</c:v>
                </c:pt>
                <c:pt idx="469">
                  <c:v>2671.9000000000156</c:v>
                </c:pt>
                <c:pt idx="470">
                  <c:v>2671.9000000000156</c:v>
                </c:pt>
                <c:pt idx="471">
                  <c:v>2671.9000000000156</c:v>
                </c:pt>
                <c:pt idx="472">
                  <c:v>2735.9000000000156</c:v>
                </c:pt>
                <c:pt idx="473">
                  <c:v>2735.9000000000156</c:v>
                </c:pt>
                <c:pt idx="474">
                  <c:v>2735.9000000000156</c:v>
                </c:pt>
                <c:pt idx="475">
                  <c:v>2735.9000000000156</c:v>
                </c:pt>
                <c:pt idx="476">
                  <c:v>2735.9000000000156</c:v>
                </c:pt>
                <c:pt idx="477">
                  <c:v>2735.9000000000156</c:v>
                </c:pt>
                <c:pt idx="478">
                  <c:v>2735.9000000000156</c:v>
                </c:pt>
                <c:pt idx="479">
                  <c:v>2735.9000000000156</c:v>
                </c:pt>
                <c:pt idx="480">
                  <c:v>2735.9000000000156</c:v>
                </c:pt>
                <c:pt idx="481">
                  <c:v>2735.9000000000156</c:v>
                </c:pt>
                <c:pt idx="482">
                  <c:v>2735.9000000000156</c:v>
                </c:pt>
                <c:pt idx="483">
                  <c:v>2735.9000000000156</c:v>
                </c:pt>
                <c:pt idx="484">
                  <c:v>2815.9000000000156</c:v>
                </c:pt>
                <c:pt idx="485">
                  <c:v>2815.9000000000156</c:v>
                </c:pt>
                <c:pt idx="486">
                  <c:v>2815.9000000000156</c:v>
                </c:pt>
                <c:pt idx="487">
                  <c:v>2815.9000000000156</c:v>
                </c:pt>
                <c:pt idx="488">
                  <c:v>2815.9000000000156</c:v>
                </c:pt>
                <c:pt idx="489">
                  <c:v>2943.9000000000156</c:v>
                </c:pt>
                <c:pt idx="490">
                  <c:v>2943.9000000000156</c:v>
                </c:pt>
                <c:pt idx="491">
                  <c:v>2943.9000000000156</c:v>
                </c:pt>
                <c:pt idx="492">
                  <c:v>2943.9000000000156</c:v>
                </c:pt>
                <c:pt idx="493">
                  <c:v>2943.9000000000156</c:v>
                </c:pt>
                <c:pt idx="494">
                  <c:v>2943.9000000000156</c:v>
                </c:pt>
                <c:pt idx="495">
                  <c:v>2871.9000000000156</c:v>
                </c:pt>
                <c:pt idx="496">
                  <c:v>2871.9000000000156</c:v>
                </c:pt>
                <c:pt idx="497">
                  <c:v>2871.9000000000156</c:v>
                </c:pt>
                <c:pt idx="498">
                  <c:v>2871.9000000000156</c:v>
                </c:pt>
                <c:pt idx="499">
                  <c:v>2871.9000000000156</c:v>
                </c:pt>
                <c:pt idx="500">
                  <c:v>2871.9000000000156</c:v>
                </c:pt>
                <c:pt idx="501">
                  <c:v>3159.9000000000156</c:v>
                </c:pt>
                <c:pt idx="502">
                  <c:v>3159.9000000000156</c:v>
                </c:pt>
                <c:pt idx="503">
                  <c:v>3415.9000000000156</c:v>
                </c:pt>
                <c:pt idx="504">
                  <c:v>3415.9000000000156</c:v>
                </c:pt>
                <c:pt idx="505">
                  <c:v>3415.9000000000156</c:v>
                </c:pt>
                <c:pt idx="506">
                  <c:v>3415.9000000000156</c:v>
                </c:pt>
                <c:pt idx="507">
                  <c:v>3415.9000000000156</c:v>
                </c:pt>
                <c:pt idx="508">
                  <c:v>3415.9000000000156</c:v>
                </c:pt>
                <c:pt idx="509">
                  <c:v>3415.9000000000156</c:v>
                </c:pt>
                <c:pt idx="510">
                  <c:v>3415.9000000000156</c:v>
                </c:pt>
                <c:pt idx="511">
                  <c:v>3415.9000000000156</c:v>
                </c:pt>
                <c:pt idx="512">
                  <c:v>3415.9000000000156</c:v>
                </c:pt>
                <c:pt idx="513">
                  <c:v>3415.9000000000156</c:v>
                </c:pt>
                <c:pt idx="514">
                  <c:v>3415.9000000000156</c:v>
                </c:pt>
                <c:pt idx="515">
                  <c:v>3415.9000000000156</c:v>
                </c:pt>
                <c:pt idx="516">
                  <c:v>3415.9000000000156</c:v>
                </c:pt>
                <c:pt idx="517">
                  <c:v>3415.9000000000156</c:v>
                </c:pt>
                <c:pt idx="518">
                  <c:v>3415.9000000000156</c:v>
                </c:pt>
                <c:pt idx="519">
                  <c:v>3415.9000000000156</c:v>
                </c:pt>
                <c:pt idx="520">
                  <c:v>3367.9000000000156</c:v>
                </c:pt>
                <c:pt idx="521">
                  <c:v>3367.9000000000156</c:v>
                </c:pt>
                <c:pt idx="522">
                  <c:v>3367.9000000000156</c:v>
                </c:pt>
                <c:pt idx="523">
                  <c:v>3367.9000000000156</c:v>
                </c:pt>
                <c:pt idx="524">
                  <c:v>3367.9000000000156</c:v>
                </c:pt>
                <c:pt idx="525">
                  <c:v>3367.9000000000156</c:v>
                </c:pt>
                <c:pt idx="526">
                  <c:v>3367.9000000000156</c:v>
                </c:pt>
                <c:pt idx="527">
                  <c:v>3367.9000000000156</c:v>
                </c:pt>
                <c:pt idx="528">
                  <c:v>3367.9000000000156</c:v>
                </c:pt>
                <c:pt idx="529">
                  <c:v>3367.9000000000156</c:v>
                </c:pt>
                <c:pt idx="530">
                  <c:v>3367.9000000000156</c:v>
                </c:pt>
                <c:pt idx="531">
                  <c:v>3367.9000000000156</c:v>
                </c:pt>
                <c:pt idx="532">
                  <c:v>3367.9000000000156</c:v>
                </c:pt>
                <c:pt idx="533">
                  <c:v>3367.9000000000156</c:v>
                </c:pt>
                <c:pt idx="534">
                  <c:v>3367.9000000000156</c:v>
                </c:pt>
                <c:pt idx="535">
                  <c:v>3367.9000000000156</c:v>
                </c:pt>
                <c:pt idx="536">
                  <c:v>3495.9000000000156</c:v>
                </c:pt>
                <c:pt idx="537">
                  <c:v>3189.6600000000153</c:v>
                </c:pt>
                <c:pt idx="538">
                  <c:v>3205.6600000000153</c:v>
                </c:pt>
                <c:pt idx="539">
                  <c:v>3445.6600000000149</c:v>
                </c:pt>
                <c:pt idx="540">
                  <c:v>3445.6600000000149</c:v>
                </c:pt>
                <c:pt idx="541">
                  <c:v>3445.6600000000149</c:v>
                </c:pt>
                <c:pt idx="542">
                  <c:v>3445.6600000000149</c:v>
                </c:pt>
                <c:pt idx="543">
                  <c:v>3557.6600000000149</c:v>
                </c:pt>
                <c:pt idx="544">
                  <c:v>3557.6600000000149</c:v>
                </c:pt>
                <c:pt idx="545">
                  <c:v>3557.6600000000149</c:v>
                </c:pt>
                <c:pt idx="546">
                  <c:v>3557.6600000000149</c:v>
                </c:pt>
                <c:pt idx="547">
                  <c:v>3077.6600000000149</c:v>
                </c:pt>
                <c:pt idx="548">
                  <c:v>2277.6600000000153</c:v>
                </c:pt>
                <c:pt idx="549">
                  <c:v>2549.6600000000153</c:v>
                </c:pt>
                <c:pt idx="550">
                  <c:v>2549.6600000000153</c:v>
                </c:pt>
                <c:pt idx="551">
                  <c:v>2549.6600000000153</c:v>
                </c:pt>
                <c:pt idx="552">
                  <c:v>2164.2520000000154</c:v>
                </c:pt>
                <c:pt idx="553">
                  <c:v>2164.2520000000154</c:v>
                </c:pt>
                <c:pt idx="554">
                  <c:v>2164.2520000000154</c:v>
                </c:pt>
                <c:pt idx="555">
                  <c:v>2164.2520000000154</c:v>
                </c:pt>
                <c:pt idx="556">
                  <c:v>2164.2520000000154</c:v>
                </c:pt>
                <c:pt idx="557">
                  <c:v>2164.2520000000154</c:v>
                </c:pt>
                <c:pt idx="558">
                  <c:v>2164.2520000000154</c:v>
                </c:pt>
                <c:pt idx="559">
                  <c:v>2164.2520000000154</c:v>
                </c:pt>
                <c:pt idx="560">
                  <c:v>2164.2520000000154</c:v>
                </c:pt>
                <c:pt idx="561">
                  <c:v>2164.2520000000154</c:v>
                </c:pt>
                <c:pt idx="562">
                  <c:v>2164.2520000000154</c:v>
                </c:pt>
                <c:pt idx="563">
                  <c:v>2164.2520000000154</c:v>
                </c:pt>
                <c:pt idx="564">
                  <c:v>2164.2520000000154</c:v>
                </c:pt>
                <c:pt idx="565">
                  <c:v>2164.2520000000154</c:v>
                </c:pt>
                <c:pt idx="566">
                  <c:v>2164.2520000000154</c:v>
                </c:pt>
                <c:pt idx="567">
                  <c:v>2164.2520000000154</c:v>
                </c:pt>
                <c:pt idx="568">
                  <c:v>2164.2520000000154</c:v>
                </c:pt>
                <c:pt idx="569">
                  <c:v>2164.2520000000154</c:v>
                </c:pt>
                <c:pt idx="570">
                  <c:v>2212.2520000000154</c:v>
                </c:pt>
                <c:pt idx="571">
                  <c:v>2212.2520000000154</c:v>
                </c:pt>
                <c:pt idx="572">
                  <c:v>2212.2520000000154</c:v>
                </c:pt>
                <c:pt idx="573">
                  <c:v>2212.2520000000154</c:v>
                </c:pt>
                <c:pt idx="574">
                  <c:v>2236.2520000000154</c:v>
                </c:pt>
                <c:pt idx="575">
                  <c:v>2236.2520000000154</c:v>
                </c:pt>
                <c:pt idx="576">
                  <c:v>2236.2520000000154</c:v>
                </c:pt>
                <c:pt idx="577">
                  <c:v>2236.2520000000154</c:v>
                </c:pt>
                <c:pt idx="578">
                  <c:v>2236.2520000000154</c:v>
                </c:pt>
                <c:pt idx="579">
                  <c:v>2236.2520000000154</c:v>
                </c:pt>
                <c:pt idx="580">
                  <c:v>2236.2520000000154</c:v>
                </c:pt>
                <c:pt idx="581">
                  <c:v>2236.2520000000154</c:v>
                </c:pt>
                <c:pt idx="582">
                  <c:v>2236.2520000000154</c:v>
                </c:pt>
                <c:pt idx="583">
                  <c:v>2236.2520000000154</c:v>
                </c:pt>
                <c:pt idx="584">
                  <c:v>2236.2520000000154</c:v>
                </c:pt>
                <c:pt idx="585">
                  <c:v>2236.2520000000154</c:v>
                </c:pt>
                <c:pt idx="586">
                  <c:v>2236.2520000000154</c:v>
                </c:pt>
                <c:pt idx="587">
                  <c:v>2236.2520000000154</c:v>
                </c:pt>
                <c:pt idx="588">
                  <c:v>2396.252000000015</c:v>
                </c:pt>
                <c:pt idx="589">
                  <c:v>2396.252000000015</c:v>
                </c:pt>
                <c:pt idx="590">
                  <c:v>2396.252000000015</c:v>
                </c:pt>
                <c:pt idx="591">
                  <c:v>2396.252000000015</c:v>
                </c:pt>
                <c:pt idx="592">
                  <c:v>2396.252000000015</c:v>
                </c:pt>
                <c:pt idx="593">
                  <c:v>2396.252000000015</c:v>
                </c:pt>
                <c:pt idx="594">
                  <c:v>2396.252000000015</c:v>
                </c:pt>
                <c:pt idx="595">
                  <c:v>2476.252000000015</c:v>
                </c:pt>
                <c:pt idx="596">
                  <c:v>2476.252000000015</c:v>
                </c:pt>
                <c:pt idx="597">
                  <c:v>2476.252000000015</c:v>
                </c:pt>
                <c:pt idx="598">
                  <c:v>2476.252000000015</c:v>
                </c:pt>
                <c:pt idx="599">
                  <c:v>2476.252000000015</c:v>
                </c:pt>
                <c:pt idx="600">
                  <c:v>2476.252000000015</c:v>
                </c:pt>
                <c:pt idx="601">
                  <c:v>2476.252000000015</c:v>
                </c:pt>
                <c:pt idx="602">
                  <c:v>2476.252000000015</c:v>
                </c:pt>
                <c:pt idx="603">
                  <c:v>2476.252000000015</c:v>
                </c:pt>
                <c:pt idx="604">
                  <c:v>2476.252000000015</c:v>
                </c:pt>
                <c:pt idx="605">
                  <c:v>2476.252000000015</c:v>
                </c:pt>
                <c:pt idx="606">
                  <c:v>2476.252000000015</c:v>
                </c:pt>
                <c:pt idx="607">
                  <c:v>2476.252000000015</c:v>
                </c:pt>
                <c:pt idx="608">
                  <c:v>2476.252000000015</c:v>
                </c:pt>
                <c:pt idx="609">
                  <c:v>2524.252000000015</c:v>
                </c:pt>
                <c:pt idx="610">
                  <c:v>2524.252000000015</c:v>
                </c:pt>
                <c:pt idx="611">
                  <c:v>2524.252000000015</c:v>
                </c:pt>
                <c:pt idx="612">
                  <c:v>2524.252000000015</c:v>
                </c:pt>
                <c:pt idx="613">
                  <c:v>2524.252000000015</c:v>
                </c:pt>
                <c:pt idx="614">
                  <c:v>2524.252000000015</c:v>
                </c:pt>
                <c:pt idx="615">
                  <c:v>2524.252000000015</c:v>
                </c:pt>
                <c:pt idx="616">
                  <c:v>2524.252000000015</c:v>
                </c:pt>
                <c:pt idx="617">
                  <c:v>2604.252000000015</c:v>
                </c:pt>
                <c:pt idx="618">
                  <c:v>2604.252000000015</c:v>
                </c:pt>
                <c:pt idx="619">
                  <c:v>2604.252000000015</c:v>
                </c:pt>
                <c:pt idx="620">
                  <c:v>2604.252000000015</c:v>
                </c:pt>
                <c:pt idx="621">
                  <c:v>2604.252000000015</c:v>
                </c:pt>
                <c:pt idx="622">
                  <c:v>2684.252000000015</c:v>
                </c:pt>
                <c:pt idx="623">
                  <c:v>2684.252000000015</c:v>
                </c:pt>
                <c:pt idx="624">
                  <c:v>2684.252000000015</c:v>
                </c:pt>
                <c:pt idx="625">
                  <c:v>2764.252000000015</c:v>
                </c:pt>
                <c:pt idx="626">
                  <c:v>2764.252000000015</c:v>
                </c:pt>
                <c:pt idx="627">
                  <c:v>2764.252000000015</c:v>
                </c:pt>
                <c:pt idx="628">
                  <c:v>2764.252000000015</c:v>
                </c:pt>
                <c:pt idx="629">
                  <c:v>2764.252000000015</c:v>
                </c:pt>
                <c:pt idx="630">
                  <c:v>2764.252000000015</c:v>
                </c:pt>
                <c:pt idx="631">
                  <c:v>2764.252000000015</c:v>
                </c:pt>
                <c:pt idx="632">
                  <c:v>2764.252000000015</c:v>
                </c:pt>
                <c:pt idx="633">
                  <c:v>2924.252000000015</c:v>
                </c:pt>
                <c:pt idx="634">
                  <c:v>2924.252000000015</c:v>
                </c:pt>
                <c:pt idx="635">
                  <c:v>2924.252000000015</c:v>
                </c:pt>
                <c:pt idx="636">
                  <c:v>2924.252000000015</c:v>
                </c:pt>
                <c:pt idx="637">
                  <c:v>2924.252000000015</c:v>
                </c:pt>
                <c:pt idx="638">
                  <c:v>2924.252000000015</c:v>
                </c:pt>
                <c:pt idx="639">
                  <c:v>2988.252000000015</c:v>
                </c:pt>
                <c:pt idx="640">
                  <c:v>2988.252000000015</c:v>
                </c:pt>
                <c:pt idx="641">
                  <c:v>2988.252000000015</c:v>
                </c:pt>
                <c:pt idx="642">
                  <c:v>2988.252000000015</c:v>
                </c:pt>
                <c:pt idx="643">
                  <c:v>2988.252000000015</c:v>
                </c:pt>
                <c:pt idx="644">
                  <c:v>2988.252000000015</c:v>
                </c:pt>
                <c:pt idx="645">
                  <c:v>2988.252000000015</c:v>
                </c:pt>
                <c:pt idx="646">
                  <c:v>2988.252000000015</c:v>
                </c:pt>
                <c:pt idx="647">
                  <c:v>2988.252000000015</c:v>
                </c:pt>
                <c:pt idx="648">
                  <c:v>2988.252000000015</c:v>
                </c:pt>
                <c:pt idx="649">
                  <c:v>2988.252000000015</c:v>
                </c:pt>
                <c:pt idx="650">
                  <c:v>2988.252000000015</c:v>
                </c:pt>
                <c:pt idx="651">
                  <c:v>2988.252000000015</c:v>
                </c:pt>
                <c:pt idx="652">
                  <c:v>2988.252000000015</c:v>
                </c:pt>
                <c:pt idx="653">
                  <c:v>2988.252000000015</c:v>
                </c:pt>
                <c:pt idx="654">
                  <c:v>2988.252000000015</c:v>
                </c:pt>
                <c:pt idx="655">
                  <c:v>2988.252000000015</c:v>
                </c:pt>
                <c:pt idx="656">
                  <c:v>2988.252000000015</c:v>
                </c:pt>
                <c:pt idx="657">
                  <c:v>2988.252000000015</c:v>
                </c:pt>
                <c:pt idx="658">
                  <c:v>2988.252000000015</c:v>
                </c:pt>
                <c:pt idx="659">
                  <c:v>2988.252000000015</c:v>
                </c:pt>
                <c:pt idx="660">
                  <c:v>2988.252000000015</c:v>
                </c:pt>
                <c:pt idx="661">
                  <c:v>2908.252000000015</c:v>
                </c:pt>
                <c:pt idx="662">
                  <c:v>2908.252000000015</c:v>
                </c:pt>
                <c:pt idx="663">
                  <c:v>2908.252000000015</c:v>
                </c:pt>
                <c:pt idx="664">
                  <c:v>2908.252000000015</c:v>
                </c:pt>
                <c:pt idx="665">
                  <c:v>2908.252000000015</c:v>
                </c:pt>
                <c:pt idx="666">
                  <c:v>2908.252000000015</c:v>
                </c:pt>
                <c:pt idx="667">
                  <c:v>2908.252000000015</c:v>
                </c:pt>
                <c:pt idx="668">
                  <c:v>2908.252000000015</c:v>
                </c:pt>
                <c:pt idx="669">
                  <c:v>2908.252000000015</c:v>
                </c:pt>
                <c:pt idx="670">
                  <c:v>2908.252000000015</c:v>
                </c:pt>
                <c:pt idx="671">
                  <c:v>2908.252000000015</c:v>
                </c:pt>
                <c:pt idx="672">
                  <c:v>2908.252000000015</c:v>
                </c:pt>
                <c:pt idx="673">
                  <c:v>2934.1420000000157</c:v>
                </c:pt>
                <c:pt idx="674">
                  <c:v>2934.1420000000157</c:v>
                </c:pt>
                <c:pt idx="675">
                  <c:v>2934.1420000000157</c:v>
                </c:pt>
                <c:pt idx="676">
                  <c:v>2934.1420000000157</c:v>
                </c:pt>
                <c:pt idx="677">
                  <c:v>2934.1420000000157</c:v>
                </c:pt>
                <c:pt idx="678">
                  <c:v>2934.1420000000157</c:v>
                </c:pt>
                <c:pt idx="679">
                  <c:v>2934.1420000000157</c:v>
                </c:pt>
                <c:pt idx="680">
                  <c:v>2934.1420000000157</c:v>
                </c:pt>
                <c:pt idx="681">
                  <c:v>2582.1420000000157</c:v>
                </c:pt>
                <c:pt idx="682">
                  <c:v>2550.1420000000157</c:v>
                </c:pt>
                <c:pt idx="683">
                  <c:v>2550.1420000000157</c:v>
                </c:pt>
                <c:pt idx="684">
                  <c:v>2550.1420000000157</c:v>
                </c:pt>
                <c:pt idx="685">
                  <c:v>2550.1420000000157</c:v>
                </c:pt>
                <c:pt idx="686">
                  <c:v>2550.1420000000157</c:v>
                </c:pt>
                <c:pt idx="687">
                  <c:v>2550.1420000000157</c:v>
                </c:pt>
                <c:pt idx="688">
                  <c:v>2550.1420000000157</c:v>
                </c:pt>
                <c:pt idx="689">
                  <c:v>2550.1420000000157</c:v>
                </c:pt>
                <c:pt idx="690">
                  <c:v>2550.1420000000157</c:v>
                </c:pt>
                <c:pt idx="691">
                  <c:v>2550.1420000000157</c:v>
                </c:pt>
                <c:pt idx="692">
                  <c:v>2550.1420000000157</c:v>
                </c:pt>
                <c:pt idx="693">
                  <c:v>2550.1420000000157</c:v>
                </c:pt>
                <c:pt idx="694">
                  <c:v>2870.1420000000157</c:v>
                </c:pt>
                <c:pt idx="695">
                  <c:v>2870.1420000000157</c:v>
                </c:pt>
                <c:pt idx="696">
                  <c:v>2870.1420000000157</c:v>
                </c:pt>
                <c:pt idx="697">
                  <c:v>2870.1420000000157</c:v>
                </c:pt>
                <c:pt idx="698">
                  <c:v>2870.1420000000157</c:v>
                </c:pt>
                <c:pt idx="699">
                  <c:v>2870.1420000000157</c:v>
                </c:pt>
                <c:pt idx="700">
                  <c:v>2870.1420000000157</c:v>
                </c:pt>
                <c:pt idx="701">
                  <c:v>2870.1420000000157</c:v>
                </c:pt>
                <c:pt idx="702">
                  <c:v>2870.1420000000157</c:v>
                </c:pt>
                <c:pt idx="703">
                  <c:v>2870.1420000000157</c:v>
                </c:pt>
                <c:pt idx="704">
                  <c:v>2902.1420000000157</c:v>
                </c:pt>
                <c:pt idx="705">
                  <c:v>2902.1420000000157</c:v>
                </c:pt>
                <c:pt idx="706">
                  <c:v>2902.1420000000157</c:v>
                </c:pt>
                <c:pt idx="707">
                  <c:v>2902.1420000000157</c:v>
                </c:pt>
                <c:pt idx="708">
                  <c:v>2902.1420000000157</c:v>
                </c:pt>
                <c:pt idx="709">
                  <c:v>2902.1420000000157</c:v>
                </c:pt>
                <c:pt idx="710">
                  <c:v>2902.1420000000157</c:v>
                </c:pt>
                <c:pt idx="711">
                  <c:v>2902.1420000000157</c:v>
                </c:pt>
                <c:pt idx="712">
                  <c:v>3094.1420000000153</c:v>
                </c:pt>
                <c:pt idx="713">
                  <c:v>3094.1420000000153</c:v>
                </c:pt>
                <c:pt idx="714">
                  <c:v>3094.1420000000153</c:v>
                </c:pt>
                <c:pt idx="715">
                  <c:v>3414.1420000000148</c:v>
                </c:pt>
                <c:pt idx="716">
                  <c:v>3414.1420000000148</c:v>
                </c:pt>
                <c:pt idx="717">
                  <c:v>3414.1420000000148</c:v>
                </c:pt>
                <c:pt idx="718">
                  <c:v>3414.1420000000148</c:v>
                </c:pt>
                <c:pt idx="719">
                  <c:v>3414.1420000000148</c:v>
                </c:pt>
                <c:pt idx="720">
                  <c:v>3574.1420000000148</c:v>
                </c:pt>
                <c:pt idx="721">
                  <c:v>3574.1420000000148</c:v>
                </c:pt>
                <c:pt idx="722">
                  <c:v>3574.1420000000148</c:v>
                </c:pt>
                <c:pt idx="723">
                  <c:v>3574.1420000000148</c:v>
                </c:pt>
                <c:pt idx="724">
                  <c:v>3574.1420000000148</c:v>
                </c:pt>
                <c:pt idx="725">
                  <c:v>3574.1420000000148</c:v>
                </c:pt>
                <c:pt idx="726">
                  <c:v>3574.1420000000148</c:v>
                </c:pt>
                <c:pt idx="727">
                  <c:v>3574.1420000000148</c:v>
                </c:pt>
                <c:pt idx="728">
                  <c:v>3574.1420000000148</c:v>
                </c:pt>
                <c:pt idx="729">
                  <c:v>3574.1420000000148</c:v>
                </c:pt>
                <c:pt idx="730">
                  <c:v>3574.1420000000148</c:v>
                </c:pt>
                <c:pt idx="731">
                  <c:v>3574.1420000000148</c:v>
                </c:pt>
                <c:pt idx="732">
                  <c:v>3574.1420000000148</c:v>
                </c:pt>
                <c:pt idx="733">
                  <c:v>3574.1420000000148</c:v>
                </c:pt>
                <c:pt idx="734">
                  <c:v>3622.1420000000148</c:v>
                </c:pt>
                <c:pt idx="735">
                  <c:v>3622.1420000000148</c:v>
                </c:pt>
                <c:pt idx="736">
                  <c:v>3622.1420000000148</c:v>
                </c:pt>
                <c:pt idx="737">
                  <c:v>3622.1420000000148</c:v>
                </c:pt>
                <c:pt idx="738">
                  <c:v>3622.1420000000148</c:v>
                </c:pt>
                <c:pt idx="739">
                  <c:v>3622.1420000000148</c:v>
                </c:pt>
                <c:pt idx="740">
                  <c:v>3622.1420000000148</c:v>
                </c:pt>
                <c:pt idx="741">
                  <c:v>3622.1420000000148</c:v>
                </c:pt>
                <c:pt idx="742">
                  <c:v>3814.1420000000148</c:v>
                </c:pt>
                <c:pt idx="743">
                  <c:v>3814.1420000000148</c:v>
                </c:pt>
                <c:pt idx="744">
                  <c:v>3814.1420000000148</c:v>
                </c:pt>
                <c:pt idx="745">
                  <c:v>3894.1420000000148</c:v>
                </c:pt>
                <c:pt idx="746">
                  <c:v>3894.1420000000148</c:v>
                </c:pt>
                <c:pt idx="747">
                  <c:v>3894.1420000000148</c:v>
                </c:pt>
                <c:pt idx="748">
                  <c:v>3894.1420000000148</c:v>
                </c:pt>
                <c:pt idx="749">
                  <c:v>3894.1420000000148</c:v>
                </c:pt>
                <c:pt idx="750">
                  <c:v>3894.1420000000148</c:v>
                </c:pt>
                <c:pt idx="751">
                  <c:v>3894.1420000000148</c:v>
                </c:pt>
                <c:pt idx="752">
                  <c:v>3894.1420000000148</c:v>
                </c:pt>
                <c:pt idx="753">
                  <c:v>3894.1420000000148</c:v>
                </c:pt>
                <c:pt idx="754">
                  <c:v>3894.1420000000148</c:v>
                </c:pt>
                <c:pt idx="755">
                  <c:v>3894.1420000000148</c:v>
                </c:pt>
                <c:pt idx="756">
                  <c:v>3894.1420000000148</c:v>
                </c:pt>
                <c:pt idx="757">
                  <c:v>3894.1420000000148</c:v>
                </c:pt>
                <c:pt idx="758">
                  <c:v>3894.1420000000148</c:v>
                </c:pt>
                <c:pt idx="759">
                  <c:v>3894.1420000000148</c:v>
                </c:pt>
                <c:pt idx="760">
                  <c:v>3894.1420000000148</c:v>
                </c:pt>
                <c:pt idx="761">
                  <c:v>3894.1420000000148</c:v>
                </c:pt>
                <c:pt idx="762">
                  <c:v>3894.1420000000148</c:v>
                </c:pt>
                <c:pt idx="763">
                  <c:v>3894.1420000000148</c:v>
                </c:pt>
                <c:pt idx="764">
                  <c:v>3894.1420000000148</c:v>
                </c:pt>
                <c:pt idx="765">
                  <c:v>3894.1420000000148</c:v>
                </c:pt>
                <c:pt idx="766">
                  <c:v>3894.1420000000148</c:v>
                </c:pt>
                <c:pt idx="767">
                  <c:v>3894.1420000000148</c:v>
                </c:pt>
                <c:pt idx="768">
                  <c:v>3894.1420000000148</c:v>
                </c:pt>
                <c:pt idx="769">
                  <c:v>3894.1420000000148</c:v>
                </c:pt>
                <c:pt idx="770">
                  <c:v>3894.1420000000148</c:v>
                </c:pt>
                <c:pt idx="771">
                  <c:v>3894.1420000000148</c:v>
                </c:pt>
                <c:pt idx="772">
                  <c:v>3894.1420000000148</c:v>
                </c:pt>
                <c:pt idx="773">
                  <c:v>3894.1420000000148</c:v>
                </c:pt>
                <c:pt idx="774">
                  <c:v>3894.1420000000148</c:v>
                </c:pt>
                <c:pt idx="775">
                  <c:v>3894.1420000000148</c:v>
                </c:pt>
                <c:pt idx="776">
                  <c:v>3894.1420000000148</c:v>
                </c:pt>
                <c:pt idx="777">
                  <c:v>3942.1420000000157</c:v>
                </c:pt>
                <c:pt idx="778">
                  <c:v>3942.1420000000157</c:v>
                </c:pt>
                <c:pt idx="779">
                  <c:v>3974.1420000000157</c:v>
                </c:pt>
                <c:pt idx="780">
                  <c:v>3974.1420000000157</c:v>
                </c:pt>
                <c:pt idx="781">
                  <c:v>3974.1420000000157</c:v>
                </c:pt>
                <c:pt idx="782">
                  <c:v>3974.1420000000157</c:v>
                </c:pt>
                <c:pt idx="783">
                  <c:v>3974.1420000000157</c:v>
                </c:pt>
                <c:pt idx="784">
                  <c:v>3974.1420000000157</c:v>
                </c:pt>
                <c:pt idx="785">
                  <c:v>4262.1420000000153</c:v>
                </c:pt>
                <c:pt idx="786">
                  <c:v>4262.1420000000153</c:v>
                </c:pt>
                <c:pt idx="787">
                  <c:v>4262.1420000000153</c:v>
                </c:pt>
                <c:pt idx="788">
                  <c:v>4262.1420000000153</c:v>
                </c:pt>
                <c:pt idx="789">
                  <c:v>4262.1420000000153</c:v>
                </c:pt>
                <c:pt idx="790">
                  <c:v>4262.1420000000153</c:v>
                </c:pt>
                <c:pt idx="791">
                  <c:v>4262.1420000000153</c:v>
                </c:pt>
                <c:pt idx="792">
                  <c:v>4262.1420000000153</c:v>
                </c:pt>
                <c:pt idx="793">
                  <c:v>4262.1420000000153</c:v>
                </c:pt>
                <c:pt idx="794">
                  <c:v>4262.1420000000153</c:v>
                </c:pt>
                <c:pt idx="795">
                  <c:v>4262.1420000000153</c:v>
                </c:pt>
                <c:pt idx="796">
                  <c:v>4262.1420000000153</c:v>
                </c:pt>
                <c:pt idx="797">
                  <c:v>4262.1420000000153</c:v>
                </c:pt>
                <c:pt idx="798">
                  <c:v>4262.1420000000153</c:v>
                </c:pt>
                <c:pt idx="799">
                  <c:v>4262.1420000000153</c:v>
                </c:pt>
                <c:pt idx="800">
                  <c:v>4262.1420000000153</c:v>
                </c:pt>
                <c:pt idx="801">
                  <c:v>4262.1420000000153</c:v>
                </c:pt>
                <c:pt idx="802">
                  <c:v>4262.1420000000153</c:v>
                </c:pt>
                <c:pt idx="803">
                  <c:v>4262.1420000000153</c:v>
                </c:pt>
                <c:pt idx="804">
                  <c:v>4262.1420000000153</c:v>
                </c:pt>
                <c:pt idx="805">
                  <c:v>4214.1420000000153</c:v>
                </c:pt>
                <c:pt idx="806">
                  <c:v>4214.1420000000153</c:v>
                </c:pt>
                <c:pt idx="807">
                  <c:v>4054.1420000000153</c:v>
                </c:pt>
                <c:pt idx="808">
                  <c:v>4134.1420000000153</c:v>
                </c:pt>
                <c:pt idx="809">
                  <c:v>4134.1420000000153</c:v>
                </c:pt>
                <c:pt idx="810">
                  <c:v>4134.1420000000153</c:v>
                </c:pt>
                <c:pt idx="811">
                  <c:v>4134.1420000000153</c:v>
                </c:pt>
                <c:pt idx="812">
                  <c:v>4134.1420000000153</c:v>
                </c:pt>
                <c:pt idx="813">
                  <c:v>4134.1420000000153</c:v>
                </c:pt>
                <c:pt idx="814">
                  <c:v>4134.1420000000153</c:v>
                </c:pt>
                <c:pt idx="815">
                  <c:v>4134.1420000000153</c:v>
                </c:pt>
                <c:pt idx="816">
                  <c:v>4134.1420000000153</c:v>
                </c:pt>
                <c:pt idx="817">
                  <c:v>4134.1420000000153</c:v>
                </c:pt>
                <c:pt idx="818">
                  <c:v>4134.1420000000153</c:v>
                </c:pt>
                <c:pt idx="819">
                  <c:v>4134.1420000000153</c:v>
                </c:pt>
                <c:pt idx="820">
                  <c:v>4134.1420000000153</c:v>
                </c:pt>
                <c:pt idx="821">
                  <c:v>4134.1420000000153</c:v>
                </c:pt>
                <c:pt idx="822">
                  <c:v>4134.1420000000153</c:v>
                </c:pt>
                <c:pt idx="823">
                  <c:v>4134.1420000000153</c:v>
                </c:pt>
                <c:pt idx="824">
                  <c:v>4134.1420000000153</c:v>
                </c:pt>
                <c:pt idx="825">
                  <c:v>4134.1420000000153</c:v>
                </c:pt>
                <c:pt idx="826">
                  <c:v>4134.1420000000153</c:v>
                </c:pt>
                <c:pt idx="827">
                  <c:v>4134.1420000000153</c:v>
                </c:pt>
                <c:pt idx="828">
                  <c:v>4134.1420000000153</c:v>
                </c:pt>
                <c:pt idx="829">
                  <c:v>4134.1420000000153</c:v>
                </c:pt>
                <c:pt idx="830">
                  <c:v>4134.1420000000153</c:v>
                </c:pt>
                <c:pt idx="831">
                  <c:v>4134.1420000000153</c:v>
                </c:pt>
                <c:pt idx="832">
                  <c:v>4134.1420000000153</c:v>
                </c:pt>
                <c:pt idx="833">
                  <c:v>4326.1420000000153</c:v>
                </c:pt>
                <c:pt idx="834">
                  <c:v>4326.1420000000153</c:v>
                </c:pt>
                <c:pt idx="835">
                  <c:v>4326.1420000000153</c:v>
                </c:pt>
                <c:pt idx="836">
                  <c:v>4326.1420000000153</c:v>
                </c:pt>
                <c:pt idx="837">
                  <c:v>4326.1420000000153</c:v>
                </c:pt>
                <c:pt idx="838">
                  <c:v>4326.1420000000153</c:v>
                </c:pt>
                <c:pt idx="839">
                  <c:v>4326.1420000000153</c:v>
                </c:pt>
                <c:pt idx="840">
                  <c:v>4406.1420000000153</c:v>
                </c:pt>
                <c:pt idx="841">
                  <c:v>4406.1420000000153</c:v>
                </c:pt>
                <c:pt idx="842">
                  <c:v>4406.1420000000153</c:v>
                </c:pt>
                <c:pt idx="843">
                  <c:v>4406.1420000000153</c:v>
                </c:pt>
                <c:pt idx="844">
                  <c:v>4406.1420000000153</c:v>
                </c:pt>
                <c:pt idx="845">
                  <c:v>4430.1420000000153</c:v>
                </c:pt>
                <c:pt idx="846">
                  <c:v>4430.1420000000153</c:v>
                </c:pt>
                <c:pt idx="847">
                  <c:v>4430.1420000000153</c:v>
                </c:pt>
                <c:pt idx="848">
                  <c:v>4430.1420000000153</c:v>
                </c:pt>
                <c:pt idx="849">
                  <c:v>4430.1420000000153</c:v>
                </c:pt>
                <c:pt idx="850">
                  <c:v>4430.1420000000153</c:v>
                </c:pt>
                <c:pt idx="851">
                  <c:v>4430.1420000000153</c:v>
                </c:pt>
                <c:pt idx="852">
                  <c:v>4430.1420000000153</c:v>
                </c:pt>
                <c:pt idx="853">
                  <c:v>4430.1420000000153</c:v>
                </c:pt>
                <c:pt idx="854">
                  <c:v>4430.1420000000153</c:v>
                </c:pt>
                <c:pt idx="855">
                  <c:v>4430.1420000000153</c:v>
                </c:pt>
                <c:pt idx="856">
                  <c:v>4430.1420000000153</c:v>
                </c:pt>
                <c:pt idx="857">
                  <c:v>4430.1420000000153</c:v>
                </c:pt>
                <c:pt idx="858">
                  <c:v>4430.1420000000153</c:v>
                </c:pt>
                <c:pt idx="859">
                  <c:v>4430.1420000000153</c:v>
                </c:pt>
                <c:pt idx="860">
                  <c:v>4430.1420000000153</c:v>
                </c:pt>
                <c:pt idx="861">
                  <c:v>4430.1420000000153</c:v>
                </c:pt>
                <c:pt idx="862">
                  <c:v>4430.1420000000153</c:v>
                </c:pt>
                <c:pt idx="863">
                  <c:v>4430.1420000000153</c:v>
                </c:pt>
                <c:pt idx="864">
                  <c:v>4430.1420000000153</c:v>
                </c:pt>
                <c:pt idx="865">
                  <c:v>4478.1420000000153</c:v>
                </c:pt>
                <c:pt idx="866">
                  <c:v>4478.1420000000153</c:v>
                </c:pt>
                <c:pt idx="867">
                  <c:v>4478.1420000000153</c:v>
                </c:pt>
                <c:pt idx="868">
                  <c:v>4478.1420000000153</c:v>
                </c:pt>
                <c:pt idx="869">
                  <c:v>4478.1420000000153</c:v>
                </c:pt>
                <c:pt idx="870">
                  <c:v>4478.1420000000153</c:v>
                </c:pt>
                <c:pt idx="871">
                  <c:v>4478.1420000000153</c:v>
                </c:pt>
                <c:pt idx="872">
                  <c:v>4478.1420000000153</c:v>
                </c:pt>
                <c:pt idx="873">
                  <c:v>4558.1420000000153</c:v>
                </c:pt>
                <c:pt idx="874">
                  <c:v>4558.1420000000153</c:v>
                </c:pt>
                <c:pt idx="875">
                  <c:v>4638.1420000000153</c:v>
                </c:pt>
                <c:pt idx="876">
                  <c:v>4638.1420000000153</c:v>
                </c:pt>
                <c:pt idx="877">
                  <c:v>4638.1420000000153</c:v>
                </c:pt>
                <c:pt idx="878">
                  <c:v>4638.1420000000153</c:v>
                </c:pt>
                <c:pt idx="879">
                  <c:v>4638.1420000000153</c:v>
                </c:pt>
                <c:pt idx="880">
                  <c:v>4638.1420000000153</c:v>
                </c:pt>
                <c:pt idx="881">
                  <c:v>4638.1420000000153</c:v>
                </c:pt>
                <c:pt idx="882">
                  <c:v>4638.1420000000153</c:v>
                </c:pt>
                <c:pt idx="883">
                  <c:v>4638.1420000000153</c:v>
                </c:pt>
                <c:pt idx="884">
                  <c:v>4638.1420000000153</c:v>
                </c:pt>
                <c:pt idx="885">
                  <c:v>4638.1420000000153</c:v>
                </c:pt>
                <c:pt idx="886">
                  <c:v>4638.1420000000153</c:v>
                </c:pt>
                <c:pt idx="887">
                  <c:v>4862.1420000000153</c:v>
                </c:pt>
                <c:pt idx="888">
                  <c:v>4862.1420000000153</c:v>
                </c:pt>
                <c:pt idx="889">
                  <c:v>4478.1420000000153</c:v>
                </c:pt>
                <c:pt idx="890">
                  <c:v>4478.1420000000153</c:v>
                </c:pt>
                <c:pt idx="891">
                  <c:v>4478.1420000000153</c:v>
                </c:pt>
                <c:pt idx="892">
                  <c:v>4478.1420000000153</c:v>
                </c:pt>
                <c:pt idx="893">
                  <c:v>4478.1420000000153</c:v>
                </c:pt>
                <c:pt idx="894">
                  <c:v>4478.1420000000153</c:v>
                </c:pt>
                <c:pt idx="895">
                  <c:v>4478.1420000000153</c:v>
                </c:pt>
                <c:pt idx="896">
                  <c:v>4478.1420000000153</c:v>
                </c:pt>
                <c:pt idx="897">
                  <c:v>4478.1420000000153</c:v>
                </c:pt>
                <c:pt idx="898">
                  <c:v>4478.1420000000153</c:v>
                </c:pt>
                <c:pt idx="899">
                  <c:v>4478.1420000000153</c:v>
                </c:pt>
                <c:pt idx="900">
                  <c:v>4478.1420000000153</c:v>
                </c:pt>
                <c:pt idx="901">
                  <c:v>4478.1420000000153</c:v>
                </c:pt>
                <c:pt idx="902">
                  <c:v>4558.1420000000153</c:v>
                </c:pt>
                <c:pt idx="903">
                  <c:v>4558.1420000000153</c:v>
                </c:pt>
                <c:pt idx="904">
                  <c:v>4558.1420000000153</c:v>
                </c:pt>
                <c:pt idx="905">
                  <c:v>4558.1420000000153</c:v>
                </c:pt>
                <c:pt idx="906">
                  <c:v>4558.1420000000153</c:v>
                </c:pt>
                <c:pt idx="907">
                  <c:v>4558.1420000000153</c:v>
                </c:pt>
                <c:pt idx="908">
                  <c:v>4558.1420000000153</c:v>
                </c:pt>
                <c:pt idx="909">
                  <c:v>4670.1420000000153</c:v>
                </c:pt>
                <c:pt idx="910">
                  <c:v>4670.1420000000153</c:v>
                </c:pt>
                <c:pt idx="911">
                  <c:v>4670.1420000000153</c:v>
                </c:pt>
                <c:pt idx="912">
                  <c:v>4670.1420000000153</c:v>
                </c:pt>
                <c:pt idx="913">
                  <c:v>4670.1420000000153</c:v>
                </c:pt>
                <c:pt idx="914">
                  <c:v>4670.1420000000153</c:v>
                </c:pt>
                <c:pt idx="915">
                  <c:v>4670.1420000000153</c:v>
                </c:pt>
                <c:pt idx="916">
                  <c:v>4670.1420000000153</c:v>
                </c:pt>
                <c:pt idx="917">
                  <c:v>4670.1420000000153</c:v>
                </c:pt>
                <c:pt idx="918">
                  <c:v>4670.1420000000153</c:v>
                </c:pt>
                <c:pt idx="919">
                  <c:v>4670.1420000000153</c:v>
                </c:pt>
                <c:pt idx="920">
                  <c:v>4670.1420000000153</c:v>
                </c:pt>
                <c:pt idx="921">
                  <c:v>4670.1420000000153</c:v>
                </c:pt>
                <c:pt idx="922">
                  <c:v>4670.1420000000153</c:v>
                </c:pt>
                <c:pt idx="923">
                  <c:v>4670.1420000000153</c:v>
                </c:pt>
                <c:pt idx="924">
                  <c:v>4670.1420000000153</c:v>
                </c:pt>
                <c:pt idx="925">
                  <c:v>4670.1420000000153</c:v>
                </c:pt>
                <c:pt idx="926">
                  <c:v>4670.1420000000153</c:v>
                </c:pt>
                <c:pt idx="927">
                  <c:v>4718.1420000000153</c:v>
                </c:pt>
                <c:pt idx="928">
                  <c:v>4718.1420000000153</c:v>
                </c:pt>
                <c:pt idx="929">
                  <c:v>4718.1420000000153</c:v>
                </c:pt>
                <c:pt idx="930">
                  <c:v>4718.1420000000153</c:v>
                </c:pt>
                <c:pt idx="931">
                  <c:v>4718.1420000000153</c:v>
                </c:pt>
                <c:pt idx="932">
                  <c:v>4718.1420000000153</c:v>
                </c:pt>
                <c:pt idx="933">
                  <c:v>4718.1420000000153</c:v>
                </c:pt>
                <c:pt idx="934">
                  <c:v>4718.1420000000153</c:v>
                </c:pt>
                <c:pt idx="935">
                  <c:v>4718.1420000000153</c:v>
                </c:pt>
                <c:pt idx="936">
                  <c:v>4718.1420000000153</c:v>
                </c:pt>
                <c:pt idx="937">
                  <c:v>4718.1420000000153</c:v>
                </c:pt>
                <c:pt idx="938">
                  <c:v>4798.1420000000153</c:v>
                </c:pt>
                <c:pt idx="939">
                  <c:v>4846.1420000000153</c:v>
                </c:pt>
                <c:pt idx="940">
                  <c:v>4846.1420000000153</c:v>
                </c:pt>
                <c:pt idx="941">
                  <c:v>4846.1420000000153</c:v>
                </c:pt>
                <c:pt idx="942">
                  <c:v>4846.1420000000153</c:v>
                </c:pt>
                <c:pt idx="943">
                  <c:v>4846.1420000000153</c:v>
                </c:pt>
                <c:pt idx="944">
                  <c:v>4846.1420000000153</c:v>
                </c:pt>
                <c:pt idx="945">
                  <c:v>4846.1420000000153</c:v>
                </c:pt>
                <c:pt idx="946">
                  <c:v>4846.1420000000153</c:v>
                </c:pt>
                <c:pt idx="947">
                  <c:v>4846.1420000000153</c:v>
                </c:pt>
                <c:pt idx="948">
                  <c:v>4846.1420000000153</c:v>
                </c:pt>
                <c:pt idx="949">
                  <c:v>4846.1420000000153</c:v>
                </c:pt>
                <c:pt idx="950">
                  <c:v>5550.1420000000153</c:v>
                </c:pt>
                <c:pt idx="951">
                  <c:v>5550.1420000000153</c:v>
                </c:pt>
                <c:pt idx="952">
                  <c:v>5550.1420000000153</c:v>
                </c:pt>
                <c:pt idx="953">
                  <c:v>5550.1420000000153</c:v>
                </c:pt>
                <c:pt idx="954">
                  <c:v>5550.1420000000153</c:v>
                </c:pt>
                <c:pt idx="955">
                  <c:v>5550.1420000000153</c:v>
                </c:pt>
                <c:pt idx="956">
                  <c:v>5550.1420000000153</c:v>
                </c:pt>
                <c:pt idx="957">
                  <c:v>5550.1420000000153</c:v>
                </c:pt>
                <c:pt idx="958">
                  <c:v>5550.1420000000153</c:v>
                </c:pt>
                <c:pt idx="959">
                  <c:v>5550.1420000000153</c:v>
                </c:pt>
                <c:pt idx="960">
                  <c:v>5550.1420000000153</c:v>
                </c:pt>
                <c:pt idx="961">
                  <c:v>5518.1420000000153</c:v>
                </c:pt>
                <c:pt idx="962">
                  <c:v>5518.1420000000153</c:v>
                </c:pt>
                <c:pt idx="963">
                  <c:v>5518.1420000000153</c:v>
                </c:pt>
                <c:pt idx="964">
                  <c:v>5518.1420000000153</c:v>
                </c:pt>
                <c:pt idx="965">
                  <c:v>5518.1420000000153</c:v>
                </c:pt>
                <c:pt idx="966">
                  <c:v>5518.1420000000153</c:v>
                </c:pt>
                <c:pt idx="967">
                  <c:v>5518.1420000000153</c:v>
                </c:pt>
                <c:pt idx="968">
                  <c:v>5518.1420000000153</c:v>
                </c:pt>
                <c:pt idx="969">
                  <c:v>5518.1420000000153</c:v>
                </c:pt>
                <c:pt idx="970">
                  <c:v>5518.1420000000153</c:v>
                </c:pt>
                <c:pt idx="971">
                  <c:v>5518.1420000000153</c:v>
                </c:pt>
                <c:pt idx="972">
                  <c:v>5518.1420000000153</c:v>
                </c:pt>
                <c:pt idx="973">
                  <c:v>5518.1420000000153</c:v>
                </c:pt>
                <c:pt idx="974">
                  <c:v>5710.1420000000153</c:v>
                </c:pt>
                <c:pt idx="975">
                  <c:v>5870.1420000000153</c:v>
                </c:pt>
                <c:pt idx="976">
                  <c:v>5870.1420000000153</c:v>
                </c:pt>
                <c:pt idx="977">
                  <c:v>5870.1420000000153</c:v>
                </c:pt>
                <c:pt idx="978">
                  <c:v>5870.1420000000153</c:v>
                </c:pt>
                <c:pt idx="979">
                  <c:v>5870.1420000000153</c:v>
                </c:pt>
                <c:pt idx="980">
                  <c:v>5870.1420000000153</c:v>
                </c:pt>
                <c:pt idx="981">
                  <c:v>5870.1420000000153</c:v>
                </c:pt>
                <c:pt idx="982">
                  <c:v>5870.1420000000153</c:v>
                </c:pt>
                <c:pt idx="983">
                  <c:v>5870.1420000000153</c:v>
                </c:pt>
                <c:pt idx="984">
                  <c:v>5870.1420000000153</c:v>
                </c:pt>
                <c:pt idx="985">
                  <c:v>5870.1420000000153</c:v>
                </c:pt>
                <c:pt idx="986">
                  <c:v>5870.1420000000153</c:v>
                </c:pt>
                <c:pt idx="987">
                  <c:v>5870.1420000000153</c:v>
                </c:pt>
                <c:pt idx="988">
                  <c:v>5870.1420000000153</c:v>
                </c:pt>
                <c:pt idx="989">
                  <c:v>5870.1420000000153</c:v>
                </c:pt>
                <c:pt idx="990">
                  <c:v>5870.1420000000153</c:v>
                </c:pt>
                <c:pt idx="991">
                  <c:v>5870.1420000000153</c:v>
                </c:pt>
                <c:pt idx="992">
                  <c:v>5870.1420000000153</c:v>
                </c:pt>
                <c:pt idx="993">
                  <c:v>5870.1420000000153</c:v>
                </c:pt>
                <c:pt idx="994">
                  <c:v>5870.1420000000153</c:v>
                </c:pt>
                <c:pt idx="995">
                  <c:v>5870.1420000000153</c:v>
                </c:pt>
                <c:pt idx="996">
                  <c:v>6110.1420000000153</c:v>
                </c:pt>
                <c:pt idx="997">
                  <c:v>6110.1420000000153</c:v>
                </c:pt>
                <c:pt idx="998">
                  <c:v>6110.1420000000153</c:v>
                </c:pt>
                <c:pt idx="999">
                  <c:v>6110.1420000000153</c:v>
                </c:pt>
                <c:pt idx="1000">
                  <c:v>6110.1420000000153</c:v>
                </c:pt>
                <c:pt idx="1001">
                  <c:v>6110.1420000000153</c:v>
                </c:pt>
                <c:pt idx="1002">
                  <c:v>6110.1420000000153</c:v>
                </c:pt>
                <c:pt idx="1003">
                  <c:v>6110.1420000000153</c:v>
                </c:pt>
                <c:pt idx="1004">
                  <c:v>6110.1420000000153</c:v>
                </c:pt>
                <c:pt idx="1005">
                  <c:v>6110.1420000000153</c:v>
                </c:pt>
                <c:pt idx="1006">
                  <c:v>6110.1420000000153</c:v>
                </c:pt>
                <c:pt idx="1007">
                  <c:v>6110.1420000000153</c:v>
                </c:pt>
                <c:pt idx="1008">
                  <c:v>6110.1420000000153</c:v>
                </c:pt>
                <c:pt idx="1009">
                  <c:v>6110.1420000000153</c:v>
                </c:pt>
                <c:pt idx="1010">
                  <c:v>6110.1420000000153</c:v>
                </c:pt>
                <c:pt idx="1011">
                  <c:v>6110.1420000000153</c:v>
                </c:pt>
                <c:pt idx="1012">
                  <c:v>6110.1420000000153</c:v>
                </c:pt>
                <c:pt idx="1013">
                  <c:v>6110.1420000000153</c:v>
                </c:pt>
                <c:pt idx="1014">
                  <c:v>6302.1420000000153</c:v>
                </c:pt>
                <c:pt idx="1015">
                  <c:v>6302.1420000000153</c:v>
                </c:pt>
                <c:pt idx="1016">
                  <c:v>6302.1420000000153</c:v>
                </c:pt>
                <c:pt idx="1017">
                  <c:v>6302.1420000000153</c:v>
                </c:pt>
                <c:pt idx="1018">
                  <c:v>6302.1420000000153</c:v>
                </c:pt>
                <c:pt idx="1019">
                  <c:v>6382.1420000000153</c:v>
                </c:pt>
                <c:pt idx="1020">
                  <c:v>6382.1420000000153</c:v>
                </c:pt>
                <c:pt idx="1021">
                  <c:v>6622.1420000000153</c:v>
                </c:pt>
                <c:pt idx="1022">
                  <c:v>6622.1420000000153</c:v>
                </c:pt>
                <c:pt idx="1023">
                  <c:v>6622.1420000000153</c:v>
                </c:pt>
                <c:pt idx="1024">
                  <c:v>6622.1420000000153</c:v>
                </c:pt>
                <c:pt idx="1025">
                  <c:v>6622.1420000000153</c:v>
                </c:pt>
                <c:pt idx="1026">
                  <c:v>6622.1420000000153</c:v>
                </c:pt>
                <c:pt idx="1027">
                  <c:v>6622.1420000000153</c:v>
                </c:pt>
                <c:pt idx="1028">
                  <c:v>6782.1420000000153</c:v>
                </c:pt>
                <c:pt idx="1029">
                  <c:v>6782.1420000000153</c:v>
                </c:pt>
                <c:pt idx="1030">
                  <c:v>6782.1420000000153</c:v>
                </c:pt>
                <c:pt idx="1031">
                  <c:v>6782.1420000000153</c:v>
                </c:pt>
                <c:pt idx="1032">
                  <c:v>6782.1420000000153</c:v>
                </c:pt>
                <c:pt idx="1033">
                  <c:v>6782.1420000000153</c:v>
                </c:pt>
                <c:pt idx="1034">
                  <c:v>6782.1420000000153</c:v>
                </c:pt>
                <c:pt idx="1035">
                  <c:v>6782.1420000000153</c:v>
                </c:pt>
                <c:pt idx="1036">
                  <c:v>6782.1420000000153</c:v>
                </c:pt>
                <c:pt idx="1037">
                  <c:v>6782.1420000000153</c:v>
                </c:pt>
                <c:pt idx="1038">
                  <c:v>6782.1420000000153</c:v>
                </c:pt>
                <c:pt idx="1039">
                  <c:v>6782.1420000000153</c:v>
                </c:pt>
                <c:pt idx="1040">
                  <c:v>6782.1420000000153</c:v>
                </c:pt>
                <c:pt idx="1041">
                  <c:v>6782.1420000000153</c:v>
                </c:pt>
                <c:pt idx="1042">
                  <c:v>6782.1420000000153</c:v>
                </c:pt>
                <c:pt idx="1043">
                  <c:v>6782.1420000000153</c:v>
                </c:pt>
                <c:pt idx="1044">
                  <c:v>6542.1420000000153</c:v>
                </c:pt>
                <c:pt idx="1045">
                  <c:v>6542.1420000000153</c:v>
                </c:pt>
                <c:pt idx="1046">
                  <c:v>6542.1420000000153</c:v>
                </c:pt>
                <c:pt idx="1047">
                  <c:v>6542.1420000000153</c:v>
                </c:pt>
                <c:pt idx="1048">
                  <c:v>7118.1420000000153</c:v>
                </c:pt>
                <c:pt idx="1049">
                  <c:v>7118.1420000000153</c:v>
                </c:pt>
                <c:pt idx="1050">
                  <c:v>7118.1420000000153</c:v>
                </c:pt>
                <c:pt idx="1051">
                  <c:v>7118.1420000000153</c:v>
                </c:pt>
                <c:pt idx="1052">
                  <c:v>7118.1420000000153</c:v>
                </c:pt>
                <c:pt idx="1053">
                  <c:v>7118.1420000000153</c:v>
                </c:pt>
                <c:pt idx="1054">
                  <c:v>7118.1420000000153</c:v>
                </c:pt>
                <c:pt idx="1055">
                  <c:v>7118.1420000000153</c:v>
                </c:pt>
                <c:pt idx="1056">
                  <c:v>7358.1420000000153</c:v>
                </c:pt>
                <c:pt idx="1057">
                  <c:v>7518.1420000000153</c:v>
                </c:pt>
                <c:pt idx="1058">
                  <c:v>7518.1420000000153</c:v>
                </c:pt>
                <c:pt idx="1059">
                  <c:v>7518.1420000000153</c:v>
                </c:pt>
                <c:pt idx="1060">
                  <c:v>7518.1420000000153</c:v>
                </c:pt>
                <c:pt idx="1061">
                  <c:v>7518.1420000000153</c:v>
                </c:pt>
                <c:pt idx="1062">
                  <c:v>7518.1420000000153</c:v>
                </c:pt>
                <c:pt idx="1063">
                  <c:v>7694.1420000000153</c:v>
                </c:pt>
                <c:pt idx="1064">
                  <c:v>7694.1420000000153</c:v>
                </c:pt>
                <c:pt idx="1065">
                  <c:v>7694.1420000000153</c:v>
                </c:pt>
                <c:pt idx="1066">
                  <c:v>7694.1420000000153</c:v>
                </c:pt>
                <c:pt idx="1067">
                  <c:v>7694.1420000000153</c:v>
                </c:pt>
                <c:pt idx="1068">
                  <c:v>7694.1420000000153</c:v>
                </c:pt>
                <c:pt idx="1069">
                  <c:v>7694.1420000000153</c:v>
                </c:pt>
                <c:pt idx="1070">
                  <c:v>7694.1420000000153</c:v>
                </c:pt>
                <c:pt idx="1071">
                  <c:v>7726.1420000000153</c:v>
                </c:pt>
                <c:pt idx="1072">
                  <c:v>7726.1420000000153</c:v>
                </c:pt>
                <c:pt idx="1073">
                  <c:v>7758.1420000000153</c:v>
                </c:pt>
                <c:pt idx="1074">
                  <c:v>7758.1420000000153</c:v>
                </c:pt>
                <c:pt idx="1075">
                  <c:v>7758.1420000000153</c:v>
                </c:pt>
                <c:pt idx="1076">
                  <c:v>7758.1420000000153</c:v>
                </c:pt>
                <c:pt idx="1077">
                  <c:v>7758.1420000000153</c:v>
                </c:pt>
                <c:pt idx="1078">
                  <c:v>7758.1420000000153</c:v>
                </c:pt>
                <c:pt idx="1079">
                  <c:v>7758.1420000000153</c:v>
                </c:pt>
                <c:pt idx="1080">
                  <c:v>7758.1420000000153</c:v>
                </c:pt>
                <c:pt idx="1081">
                  <c:v>7758.1420000000153</c:v>
                </c:pt>
                <c:pt idx="1082">
                  <c:v>7758.1420000000153</c:v>
                </c:pt>
                <c:pt idx="1083">
                  <c:v>7758.1420000000153</c:v>
                </c:pt>
                <c:pt idx="1084">
                  <c:v>7758.1420000000153</c:v>
                </c:pt>
                <c:pt idx="1085">
                  <c:v>7758.1420000000153</c:v>
                </c:pt>
                <c:pt idx="1086">
                  <c:v>7758.1420000000153</c:v>
                </c:pt>
                <c:pt idx="1087">
                  <c:v>7758.1420000000153</c:v>
                </c:pt>
                <c:pt idx="1088">
                  <c:v>7758.1420000000153</c:v>
                </c:pt>
                <c:pt idx="1089">
                  <c:v>7870.1420000000153</c:v>
                </c:pt>
                <c:pt idx="1090">
                  <c:v>7870.1420000000153</c:v>
                </c:pt>
                <c:pt idx="1091">
                  <c:v>7830.1420000000153</c:v>
                </c:pt>
                <c:pt idx="1092">
                  <c:v>7830.1420000000153</c:v>
                </c:pt>
                <c:pt idx="1093">
                  <c:v>7841.3420000000151</c:v>
                </c:pt>
                <c:pt idx="1094">
                  <c:v>7841.3420000000151</c:v>
                </c:pt>
                <c:pt idx="1095">
                  <c:v>7841.3420000000151</c:v>
                </c:pt>
                <c:pt idx="1096">
                  <c:v>7841.3420000000151</c:v>
                </c:pt>
                <c:pt idx="1097">
                  <c:v>7841.3420000000151</c:v>
                </c:pt>
                <c:pt idx="1098">
                  <c:v>7841.3420000000151</c:v>
                </c:pt>
                <c:pt idx="1099">
                  <c:v>7841.3420000000151</c:v>
                </c:pt>
                <c:pt idx="1100">
                  <c:v>7841.3420000000151</c:v>
                </c:pt>
                <c:pt idx="1101">
                  <c:v>7841.3420000000151</c:v>
                </c:pt>
                <c:pt idx="1102">
                  <c:v>7841.3420000000151</c:v>
                </c:pt>
                <c:pt idx="1103">
                  <c:v>7841.3420000000151</c:v>
                </c:pt>
                <c:pt idx="1104">
                  <c:v>7841.3420000000151</c:v>
                </c:pt>
                <c:pt idx="1105">
                  <c:v>7517.3420000000024</c:v>
                </c:pt>
                <c:pt idx="1106">
                  <c:v>7337.3420000000642</c:v>
                </c:pt>
                <c:pt idx="1107">
                  <c:v>7337.3420000000642</c:v>
                </c:pt>
                <c:pt idx="1108">
                  <c:v>7337.3420000000642</c:v>
                </c:pt>
                <c:pt idx="1109">
                  <c:v>7337.3420000000642</c:v>
                </c:pt>
                <c:pt idx="1110">
                  <c:v>7337.3420000000642</c:v>
                </c:pt>
                <c:pt idx="1111">
                  <c:v>7337.3420000000642</c:v>
                </c:pt>
                <c:pt idx="1112">
                  <c:v>7337.3420000000642</c:v>
                </c:pt>
                <c:pt idx="1113">
                  <c:v>7337.3420000000642</c:v>
                </c:pt>
                <c:pt idx="1114">
                  <c:v>7513.3420000000642</c:v>
                </c:pt>
                <c:pt idx="1115">
                  <c:v>7593.3420000000642</c:v>
                </c:pt>
                <c:pt idx="1116">
                  <c:v>7593.3420000000642</c:v>
                </c:pt>
                <c:pt idx="1117">
                  <c:v>7785.3420000000642</c:v>
                </c:pt>
                <c:pt idx="1118">
                  <c:v>7849.3420000000642</c:v>
                </c:pt>
                <c:pt idx="1119">
                  <c:v>7849.3420000000642</c:v>
                </c:pt>
                <c:pt idx="1120">
                  <c:v>8009.3420000000642</c:v>
                </c:pt>
                <c:pt idx="1121">
                  <c:v>8009.3420000000642</c:v>
                </c:pt>
                <c:pt idx="1122">
                  <c:v>8009.3420000000642</c:v>
                </c:pt>
                <c:pt idx="1123">
                  <c:v>8009.3420000000642</c:v>
                </c:pt>
                <c:pt idx="1124">
                  <c:v>8009.3420000000642</c:v>
                </c:pt>
                <c:pt idx="1125">
                  <c:v>8009.3420000000642</c:v>
                </c:pt>
                <c:pt idx="1126">
                  <c:v>8009.3420000000642</c:v>
                </c:pt>
                <c:pt idx="1127">
                  <c:v>8089.3420000000642</c:v>
                </c:pt>
                <c:pt idx="1128">
                  <c:v>8089.3420000000642</c:v>
                </c:pt>
                <c:pt idx="1129">
                  <c:v>8089.3420000000642</c:v>
                </c:pt>
                <c:pt idx="1130">
                  <c:v>8089.3420000000642</c:v>
                </c:pt>
                <c:pt idx="1131">
                  <c:v>8089.3420000000642</c:v>
                </c:pt>
                <c:pt idx="1132">
                  <c:v>8089.3420000000642</c:v>
                </c:pt>
                <c:pt idx="1133">
                  <c:v>8089.3420000000642</c:v>
                </c:pt>
                <c:pt idx="1134">
                  <c:v>8201.3420000000642</c:v>
                </c:pt>
                <c:pt idx="1135">
                  <c:v>8201.3420000000642</c:v>
                </c:pt>
                <c:pt idx="1136">
                  <c:v>8201.3420000000642</c:v>
                </c:pt>
                <c:pt idx="1137">
                  <c:v>8201.3420000000642</c:v>
                </c:pt>
                <c:pt idx="1138">
                  <c:v>8201.3420000000642</c:v>
                </c:pt>
                <c:pt idx="1139">
                  <c:v>8201.3420000000642</c:v>
                </c:pt>
                <c:pt idx="1140">
                  <c:v>8201.3420000000642</c:v>
                </c:pt>
                <c:pt idx="1141">
                  <c:v>8201.3420000000642</c:v>
                </c:pt>
                <c:pt idx="1142">
                  <c:v>8201.3420000000642</c:v>
                </c:pt>
                <c:pt idx="1143">
                  <c:v>8201.3420000000642</c:v>
                </c:pt>
                <c:pt idx="1144">
                  <c:v>8201.3420000000642</c:v>
                </c:pt>
                <c:pt idx="1145">
                  <c:v>8201.3420000000642</c:v>
                </c:pt>
                <c:pt idx="1146">
                  <c:v>8201.3420000000642</c:v>
                </c:pt>
                <c:pt idx="1147">
                  <c:v>8201.3420000000642</c:v>
                </c:pt>
                <c:pt idx="1148">
                  <c:v>8201.3420000000642</c:v>
                </c:pt>
                <c:pt idx="1149">
                  <c:v>7897.3420000000642</c:v>
                </c:pt>
                <c:pt idx="1150">
                  <c:v>8089.3420000000642</c:v>
                </c:pt>
                <c:pt idx="1151">
                  <c:v>8089.3420000000642</c:v>
                </c:pt>
                <c:pt idx="1152">
                  <c:v>8089.3420000000642</c:v>
                </c:pt>
                <c:pt idx="1153">
                  <c:v>8089.3420000000642</c:v>
                </c:pt>
                <c:pt idx="1154">
                  <c:v>8089.3420000000642</c:v>
                </c:pt>
                <c:pt idx="1155">
                  <c:v>8089.3420000000642</c:v>
                </c:pt>
                <c:pt idx="1156">
                  <c:v>8089.3420000000642</c:v>
                </c:pt>
                <c:pt idx="1157">
                  <c:v>8089.3420000000642</c:v>
                </c:pt>
                <c:pt idx="1158">
                  <c:v>8089.3420000000642</c:v>
                </c:pt>
                <c:pt idx="1159">
                  <c:v>8089.3420000000642</c:v>
                </c:pt>
                <c:pt idx="1160">
                  <c:v>8089.3420000000642</c:v>
                </c:pt>
                <c:pt idx="1161">
                  <c:v>8313.3420000000642</c:v>
                </c:pt>
                <c:pt idx="1162">
                  <c:v>8313.3420000000642</c:v>
                </c:pt>
                <c:pt idx="1163">
                  <c:v>8377.3420000000642</c:v>
                </c:pt>
                <c:pt idx="1164">
                  <c:v>8377.3420000000642</c:v>
                </c:pt>
                <c:pt idx="1165">
                  <c:v>8377.3420000000642</c:v>
                </c:pt>
                <c:pt idx="1166">
                  <c:v>8377.3420000000642</c:v>
                </c:pt>
                <c:pt idx="1167">
                  <c:v>8377.3420000000642</c:v>
                </c:pt>
                <c:pt idx="1168">
                  <c:v>8377.3420000000642</c:v>
                </c:pt>
                <c:pt idx="1169">
                  <c:v>8377.3420000000642</c:v>
                </c:pt>
                <c:pt idx="1170">
                  <c:v>8377.3420000000642</c:v>
                </c:pt>
                <c:pt idx="1171">
                  <c:v>8377.3420000000642</c:v>
                </c:pt>
                <c:pt idx="1172">
                  <c:v>8377.3420000000642</c:v>
                </c:pt>
                <c:pt idx="1173">
                  <c:v>8377.3420000000642</c:v>
                </c:pt>
                <c:pt idx="1174">
                  <c:v>8377.3420000000642</c:v>
                </c:pt>
                <c:pt idx="1175">
                  <c:v>8377.3420000000642</c:v>
                </c:pt>
                <c:pt idx="1176">
                  <c:v>8377.3420000000642</c:v>
                </c:pt>
                <c:pt idx="1177">
                  <c:v>8377.3420000000642</c:v>
                </c:pt>
                <c:pt idx="1178">
                  <c:v>8377.3420000000642</c:v>
                </c:pt>
                <c:pt idx="1179">
                  <c:v>8377.3420000000642</c:v>
                </c:pt>
                <c:pt idx="1180">
                  <c:v>8377.3420000000642</c:v>
                </c:pt>
                <c:pt idx="1181">
                  <c:v>8377.3420000000642</c:v>
                </c:pt>
                <c:pt idx="1182">
                  <c:v>8377.3420000000642</c:v>
                </c:pt>
                <c:pt idx="1183">
                  <c:v>8377.3420000000642</c:v>
                </c:pt>
                <c:pt idx="1184">
                  <c:v>8601.3420000000642</c:v>
                </c:pt>
                <c:pt idx="1185">
                  <c:v>8601.3420000000642</c:v>
                </c:pt>
                <c:pt idx="1186">
                  <c:v>8681.3420000000642</c:v>
                </c:pt>
                <c:pt idx="1187">
                  <c:v>8681.3420000000642</c:v>
                </c:pt>
                <c:pt idx="1188">
                  <c:v>8681.3420000000642</c:v>
                </c:pt>
                <c:pt idx="1189">
                  <c:v>8681.3420000000642</c:v>
                </c:pt>
                <c:pt idx="1190">
                  <c:v>8681.3420000000642</c:v>
                </c:pt>
                <c:pt idx="1191">
                  <c:v>8681.3420000000642</c:v>
                </c:pt>
                <c:pt idx="1192">
                  <c:v>8681.3420000000642</c:v>
                </c:pt>
                <c:pt idx="1193">
                  <c:v>8953.3420000000642</c:v>
                </c:pt>
                <c:pt idx="1194">
                  <c:v>8953.3420000000642</c:v>
                </c:pt>
                <c:pt idx="1195">
                  <c:v>8953.3420000000642</c:v>
                </c:pt>
                <c:pt idx="1196">
                  <c:v>8953.3420000000642</c:v>
                </c:pt>
                <c:pt idx="1197">
                  <c:v>8953.3420000000642</c:v>
                </c:pt>
                <c:pt idx="1198">
                  <c:v>8953.3420000000642</c:v>
                </c:pt>
                <c:pt idx="1199">
                  <c:v>8953.3420000000642</c:v>
                </c:pt>
                <c:pt idx="1200">
                  <c:v>8953.3420000000642</c:v>
                </c:pt>
                <c:pt idx="1201">
                  <c:v>8953.3420000000642</c:v>
                </c:pt>
                <c:pt idx="1202">
                  <c:v>8953.3420000000642</c:v>
                </c:pt>
                <c:pt idx="1203">
                  <c:v>8953.3420000000642</c:v>
                </c:pt>
                <c:pt idx="1204">
                  <c:v>8953.3420000000642</c:v>
                </c:pt>
                <c:pt idx="1205">
                  <c:v>8953.3420000000642</c:v>
                </c:pt>
                <c:pt idx="1206">
                  <c:v>8953.3420000000642</c:v>
                </c:pt>
                <c:pt idx="1207">
                  <c:v>8953.3420000000642</c:v>
                </c:pt>
                <c:pt idx="1208">
                  <c:v>8953.3420000000642</c:v>
                </c:pt>
                <c:pt idx="1209">
                  <c:v>8953.3420000000642</c:v>
                </c:pt>
                <c:pt idx="1210">
                  <c:v>8953.3420000000642</c:v>
                </c:pt>
                <c:pt idx="1211">
                  <c:v>8953.3420000000642</c:v>
                </c:pt>
                <c:pt idx="1212">
                  <c:v>8953.3420000000642</c:v>
                </c:pt>
                <c:pt idx="1213">
                  <c:v>8953.3420000000642</c:v>
                </c:pt>
                <c:pt idx="1214">
                  <c:v>8953.3420000000642</c:v>
                </c:pt>
                <c:pt idx="1215">
                  <c:v>8953.3420000000642</c:v>
                </c:pt>
                <c:pt idx="1216">
                  <c:v>8953.3420000000642</c:v>
                </c:pt>
                <c:pt idx="1217">
                  <c:v>8953.3420000000642</c:v>
                </c:pt>
                <c:pt idx="1218">
                  <c:v>8953.3420000000642</c:v>
                </c:pt>
                <c:pt idx="1219">
                  <c:v>8953.3420000000642</c:v>
                </c:pt>
                <c:pt idx="1220">
                  <c:v>8953.3420000000642</c:v>
                </c:pt>
                <c:pt idx="1221">
                  <c:v>9113.3420000000642</c:v>
                </c:pt>
                <c:pt idx="1222">
                  <c:v>9113.3420000000642</c:v>
                </c:pt>
                <c:pt idx="1223">
                  <c:v>9113.3420000000642</c:v>
                </c:pt>
                <c:pt idx="1224">
                  <c:v>9113.3420000000642</c:v>
                </c:pt>
                <c:pt idx="1225">
                  <c:v>9113.3420000000642</c:v>
                </c:pt>
                <c:pt idx="1226">
                  <c:v>9257.3420000000642</c:v>
                </c:pt>
                <c:pt idx="1227">
                  <c:v>9257.3420000000642</c:v>
                </c:pt>
                <c:pt idx="1228">
                  <c:v>9257.3420000000642</c:v>
                </c:pt>
                <c:pt idx="1229">
                  <c:v>9257.3420000000642</c:v>
                </c:pt>
                <c:pt idx="1230">
                  <c:v>9257.3420000000642</c:v>
                </c:pt>
                <c:pt idx="1231">
                  <c:v>9257.3420000000642</c:v>
                </c:pt>
                <c:pt idx="1232">
                  <c:v>9257.3420000000642</c:v>
                </c:pt>
                <c:pt idx="1233">
                  <c:v>9257.3420000000642</c:v>
                </c:pt>
                <c:pt idx="1234">
                  <c:v>9257.3420000000642</c:v>
                </c:pt>
                <c:pt idx="1235">
                  <c:v>9257.3420000000642</c:v>
                </c:pt>
                <c:pt idx="1236">
                  <c:v>9257.3420000000642</c:v>
                </c:pt>
                <c:pt idx="1237">
                  <c:v>9417.3420000000642</c:v>
                </c:pt>
                <c:pt idx="1238">
                  <c:v>9417.3420000000642</c:v>
                </c:pt>
                <c:pt idx="1239">
                  <c:v>9417.3420000000642</c:v>
                </c:pt>
                <c:pt idx="1240">
                  <c:v>9417.3420000000642</c:v>
                </c:pt>
                <c:pt idx="1241">
                  <c:v>9417.3420000000642</c:v>
                </c:pt>
                <c:pt idx="1242">
                  <c:v>9417.3420000000642</c:v>
                </c:pt>
                <c:pt idx="1243">
                  <c:v>9417.3420000000642</c:v>
                </c:pt>
                <c:pt idx="1244">
                  <c:v>9417.3420000000642</c:v>
                </c:pt>
                <c:pt idx="1245">
                  <c:v>9417.3420000000642</c:v>
                </c:pt>
                <c:pt idx="1246">
                  <c:v>9417.3420000000642</c:v>
                </c:pt>
                <c:pt idx="1247">
                  <c:v>9417.3420000000642</c:v>
                </c:pt>
                <c:pt idx="1248">
                  <c:v>9417.3420000000642</c:v>
                </c:pt>
                <c:pt idx="1249">
                  <c:v>9417.3420000000642</c:v>
                </c:pt>
                <c:pt idx="1250">
                  <c:v>9417.3420000000642</c:v>
                </c:pt>
                <c:pt idx="1251">
                  <c:v>9417.3420000000642</c:v>
                </c:pt>
                <c:pt idx="1252">
                  <c:v>9417.3420000000642</c:v>
                </c:pt>
                <c:pt idx="1253">
                  <c:v>9417.3420000000642</c:v>
                </c:pt>
                <c:pt idx="1254">
                  <c:v>9417.3420000000642</c:v>
                </c:pt>
                <c:pt idx="1255">
                  <c:v>9417.3420000000642</c:v>
                </c:pt>
                <c:pt idx="1256">
                  <c:v>9417.3420000000642</c:v>
                </c:pt>
                <c:pt idx="1257">
                  <c:v>9417.3420000000642</c:v>
                </c:pt>
                <c:pt idx="1258">
                  <c:v>9417.3420000000642</c:v>
                </c:pt>
                <c:pt idx="1259">
                  <c:v>9417.3420000000642</c:v>
                </c:pt>
                <c:pt idx="1260">
                  <c:v>9417.3420000000642</c:v>
                </c:pt>
                <c:pt idx="1261">
                  <c:v>9417.3420000000642</c:v>
                </c:pt>
                <c:pt idx="1262">
                  <c:v>9417.3420000000642</c:v>
                </c:pt>
                <c:pt idx="1263">
                  <c:v>9417.3420000000642</c:v>
                </c:pt>
                <c:pt idx="1264">
                  <c:v>9417.3420000000642</c:v>
                </c:pt>
                <c:pt idx="1265">
                  <c:v>9641.3420000000642</c:v>
                </c:pt>
                <c:pt idx="1266">
                  <c:v>9641.3420000000642</c:v>
                </c:pt>
                <c:pt idx="1267">
                  <c:v>9961.3420000000642</c:v>
                </c:pt>
                <c:pt idx="1268">
                  <c:v>9961.3420000000642</c:v>
                </c:pt>
                <c:pt idx="1269">
                  <c:v>9961.3420000000642</c:v>
                </c:pt>
                <c:pt idx="1270">
                  <c:v>9961.3420000000642</c:v>
                </c:pt>
                <c:pt idx="1271">
                  <c:v>9961.3420000000642</c:v>
                </c:pt>
                <c:pt idx="1272">
                  <c:v>9961.3420000000642</c:v>
                </c:pt>
                <c:pt idx="1273">
                  <c:v>9961.3420000000642</c:v>
                </c:pt>
                <c:pt idx="1274">
                  <c:v>9961.3420000000642</c:v>
                </c:pt>
                <c:pt idx="1275">
                  <c:v>9961.3420000000642</c:v>
                </c:pt>
                <c:pt idx="1276">
                  <c:v>9961.3420000000642</c:v>
                </c:pt>
                <c:pt idx="1277">
                  <c:v>9961.3420000000642</c:v>
                </c:pt>
                <c:pt idx="1278">
                  <c:v>9961.3420000000642</c:v>
                </c:pt>
                <c:pt idx="1279">
                  <c:v>9961.3420000000642</c:v>
                </c:pt>
                <c:pt idx="1280">
                  <c:v>9961.3420000000642</c:v>
                </c:pt>
                <c:pt idx="1281">
                  <c:v>9961.3420000000642</c:v>
                </c:pt>
                <c:pt idx="1282">
                  <c:v>9961.3420000000642</c:v>
                </c:pt>
                <c:pt idx="1283">
                  <c:v>9961.3420000000642</c:v>
                </c:pt>
                <c:pt idx="1284">
                  <c:v>9961.3420000000642</c:v>
                </c:pt>
                <c:pt idx="1285">
                  <c:v>9961.3420000000642</c:v>
                </c:pt>
                <c:pt idx="1286">
                  <c:v>9961.3420000000642</c:v>
                </c:pt>
                <c:pt idx="1287">
                  <c:v>9961.3420000000642</c:v>
                </c:pt>
                <c:pt idx="1288">
                  <c:v>9961.3420000000642</c:v>
                </c:pt>
                <c:pt idx="1289">
                  <c:v>9993.3420000000642</c:v>
                </c:pt>
                <c:pt idx="1290">
                  <c:v>9993.3420000000642</c:v>
                </c:pt>
                <c:pt idx="1291">
                  <c:v>10065.341999999999</c:v>
                </c:pt>
                <c:pt idx="1292">
                  <c:v>10065.341999999999</c:v>
                </c:pt>
                <c:pt idx="1293">
                  <c:v>10065.341999999999</c:v>
                </c:pt>
                <c:pt idx="1294">
                  <c:v>10065.341999999999</c:v>
                </c:pt>
                <c:pt idx="1295">
                  <c:v>10065.341999999999</c:v>
                </c:pt>
                <c:pt idx="1296">
                  <c:v>10065.341999999999</c:v>
                </c:pt>
                <c:pt idx="1297">
                  <c:v>10065.341999999999</c:v>
                </c:pt>
                <c:pt idx="1298">
                  <c:v>10065.341999999999</c:v>
                </c:pt>
                <c:pt idx="1299">
                  <c:v>10065.341999999999</c:v>
                </c:pt>
                <c:pt idx="1300">
                  <c:v>10065.341999999999</c:v>
                </c:pt>
                <c:pt idx="1301">
                  <c:v>10065.341999999999</c:v>
                </c:pt>
                <c:pt idx="1302">
                  <c:v>10065.341999999999</c:v>
                </c:pt>
                <c:pt idx="1303">
                  <c:v>10065.341999999999</c:v>
                </c:pt>
                <c:pt idx="1304">
                  <c:v>10065.341999999999</c:v>
                </c:pt>
                <c:pt idx="1305">
                  <c:v>10065.341999999999</c:v>
                </c:pt>
                <c:pt idx="1306">
                  <c:v>10257.341999999999</c:v>
                </c:pt>
                <c:pt idx="1307">
                  <c:v>10257.341999999999</c:v>
                </c:pt>
                <c:pt idx="1308">
                  <c:v>10369.341999999999</c:v>
                </c:pt>
                <c:pt idx="1309">
                  <c:v>10369.341999999999</c:v>
                </c:pt>
                <c:pt idx="1310">
                  <c:v>10257.341999999999</c:v>
                </c:pt>
                <c:pt idx="1311">
                  <c:v>10257.341999999999</c:v>
                </c:pt>
                <c:pt idx="1312">
                  <c:v>10257.341999999999</c:v>
                </c:pt>
                <c:pt idx="1313">
                  <c:v>10257.341999999999</c:v>
                </c:pt>
                <c:pt idx="1314">
                  <c:v>10257.341999999999</c:v>
                </c:pt>
                <c:pt idx="1315">
                  <c:v>10257.341999999999</c:v>
                </c:pt>
                <c:pt idx="1316">
                  <c:v>10257.341999999999</c:v>
                </c:pt>
                <c:pt idx="1317">
                  <c:v>10257.341999999999</c:v>
                </c:pt>
                <c:pt idx="1318">
                  <c:v>10257.341999999999</c:v>
                </c:pt>
                <c:pt idx="1319">
                  <c:v>10257.341999999999</c:v>
                </c:pt>
                <c:pt idx="1320">
                  <c:v>10257.341999999999</c:v>
                </c:pt>
                <c:pt idx="1321">
                  <c:v>10257.341999999999</c:v>
                </c:pt>
                <c:pt idx="1322">
                  <c:v>10257.341999999999</c:v>
                </c:pt>
                <c:pt idx="1323">
                  <c:v>10257.341999999999</c:v>
                </c:pt>
                <c:pt idx="1324">
                  <c:v>10257.341999999999</c:v>
                </c:pt>
                <c:pt idx="1325">
                  <c:v>10257.341999999999</c:v>
                </c:pt>
                <c:pt idx="1326">
                  <c:v>10257.341999999999</c:v>
                </c:pt>
                <c:pt idx="1327">
                  <c:v>10257.341999999999</c:v>
                </c:pt>
                <c:pt idx="1328">
                  <c:v>10257.341999999999</c:v>
                </c:pt>
                <c:pt idx="1329">
                  <c:v>10257.341999999999</c:v>
                </c:pt>
                <c:pt idx="1330">
                  <c:v>10257.341999999999</c:v>
                </c:pt>
                <c:pt idx="1331">
                  <c:v>10257.341999999999</c:v>
                </c:pt>
                <c:pt idx="1332">
                  <c:v>10257.341999999999</c:v>
                </c:pt>
                <c:pt idx="1333">
                  <c:v>10257.341999999999</c:v>
                </c:pt>
                <c:pt idx="1334">
                  <c:v>10257.341999999999</c:v>
                </c:pt>
                <c:pt idx="1335">
                  <c:v>10257.341999999999</c:v>
                </c:pt>
                <c:pt idx="1336">
                  <c:v>10257.341999999999</c:v>
                </c:pt>
                <c:pt idx="1337">
                  <c:v>10257.341999999999</c:v>
                </c:pt>
                <c:pt idx="1338">
                  <c:v>10257.341999999999</c:v>
                </c:pt>
                <c:pt idx="1339">
                  <c:v>10257.341999999999</c:v>
                </c:pt>
                <c:pt idx="1340">
                  <c:v>10257.341999999999</c:v>
                </c:pt>
                <c:pt idx="1341">
                  <c:v>10257.341999999999</c:v>
                </c:pt>
                <c:pt idx="1342">
                  <c:v>10257.341999999999</c:v>
                </c:pt>
                <c:pt idx="1343">
                  <c:v>10257.341999999999</c:v>
                </c:pt>
                <c:pt idx="1344">
                  <c:v>10605.342000000011</c:v>
                </c:pt>
                <c:pt idx="1345">
                  <c:v>10605.342000000011</c:v>
                </c:pt>
                <c:pt idx="1346">
                  <c:v>10941.342000000011</c:v>
                </c:pt>
                <c:pt idx="1347">
                  <c:v>10941.342000000011</c:v>
                </c:pt>
                <c:pt idx="1348">
                  <c:v>10941.342000000011</c:v>
                </c:pt>
                <c:pt idx="1349">
                  <c:v>10941.342000000011</c:v>
                </c:pt>
                <c:pt idx="1350">
                  <c:v>10941.342000000011</c:v>
                </c:pt>
                <c:pt idx="1351">
                  <c:v>10941.342000000011</c:v>
                </c:pt>
                <c:pt idx="1352">
                  <c:v>10941.342000000011</c:v>
                </c:pt>
                <c:pt idx="1353">
                  <c:v>11133.342000000011</c:v>
                </c:pt>
                <c:pt idx="1354">
                  <c:v>11133.342000000011</c:v>
                </c:pt>
                <c:pt idx="1355">
                  <c:v>11133.342000000011</c:v>
                </c:pt>
                <c:pt idx="1356">
                  <c:v>11133.342000000011</c:v>
                </c:pt>
                <c:pt idx="1357">
                  <c:v>11357.342000000011</c:v>
                </c:pt>
                <c:pt idx="1358">
                  <c:v>11357.342000000011</c:v>
                </c:pt>
                <c:pt idx="1359">
                  <c:v>11357.342000000011</c:v>
                </c:pt>
                <c:pt idx="1360">
                  <c:v>11613.342000000011</c:v>
                </c:pt>
                <c:pt idx="1361">
                  <c:v>11613.342000000011</c:v>
                </c:pt>
                <c:pt idx="1362">
                  <c:v>11613.342000000011</c:v>
                </c:pt>
                <c:pt idx="1363">
                  <c:v>11613.342000000011</c:v>
                </c:pt>
                <c:pt idx="1364">
                  <c:v>11613.342000000011</c:v>
                </c:pt>
                <c:pt idx="1365">
                  <c:v>11805.342000000011</c:v>
                </c:pt>
                <c:pt idx="1366">
                  <c:v>11805.342000000011</c:v>
                </c:pt>
                <c:pt idx="1367">
                  <c:v>11805.342000000011</c:v>
                </c:pt>
                <c:pt idx="1368">
                  <c:v>11805.342000000011</c:v>
                </c:pt>
                <c:pt idx="1369">
                  <c:v>11805.342000000011</c:v>
                </c:pt>
                <c:pt idx="1370">
                  <c:v>11805.342000000011</c:v>
                </c:pt>
                <c:pt idx="1371">
                  <c:v>11805.342000000011</c:v>
                </c:pt>
                <c:pt idx="1372">
                  <c:v>11805.342000000011</c:v>
                </c:pt>
                <c:pt idx="1373">
                  <c:v>11821.342000000011</c:v>
                </c:pt>
                <c:pt idx="1374">
                  <c:v>11821.342000000011</c:v>
                </c:pt>
                <c:pt idx="1375">
                  <c:v>11821.342000000011</c:v>
                </c:pt>
                <c:pt idx="1376">
                  <c:v>11821.342000000011</c:v>
                </c:pt>
                <c:pt idx="1377">
                  <c:v>11821.342000000011</c:v>
                </c:pt>
                <c:pt idx="1378">
                  <c:v>11821.342000000011</c:v>
                </c:pt>
                <c:pt idx="1379">
                  <c:v>11821.342000000011</c:v>
                </c:pt>
                <c:pt idx="1380">
                  <c:v>11821.342000000011</c:v>
                </c:pt>
                <c:pt idx="1381">
                  <c:v>11821.342000000011</c:v>
                </c:pt>
              </c:numCache>
            </c:numRef>
          </c:val>
          <c:smooth val="0"/>
          <c:extLst>
            <c:ext xmlns:c16="http://schemas.microsoft.com/office/drawing/2014/chart" uri="{C3380CC4-5D6E-409C-BE32-E72D297353CC}">
              <c16:uniqueId val="{00000001-E577-422D-9FFF-AF226C13E434}"/>
            </c:ext>
          </c:extLst>
        </c:ser>
        <c:ser>
          <c:idx val="2"/>
          <c:order val="2"/>
          <c:tx>
            <c:v>d</c:v>
          </c:tx>
          <c:spPr>
            <a:ln w="28575" cap="rnd">
              <a:solidFill>
                <a:schemeClr val="accent3"/>
              </a:solidFill>
              <a:round/>
            </a:ln>
            <a:effectLst/>
          </c:spPr>
          <c:marker>
            <c:symbol val="none"/>
          </c:marker>
          <c:val>
            <c:numRef>
              <c:f>'Journal Live'!$BO$3:$BO$1384</c:f>
              <c:numCache>
                <c:formatCode>General</c:formatCode>
                <c:ptCount val="138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31">
                  <c:v>0</c:v>
                </c:pt>
                <c:pt idx="132">
                  <c:v>0</c:v>
                </c:pt>
                <c:pt idx="133">
                  <c:v>16.300000000000015</c:v>
                </c:pt>
                <c:pt idx="134">
                  <c:v>16.300000000000015</c:v>
                </c:pt>
                <c:pt idx="135">
                  <c:v>16.300000000000015</c:v>
                </c:pt>
                <c:pt idx="136">
                  <c:v>82.699999999999989</c:v>
                </c:pt>
                <c:pt idx="137">
                  <c:v>82.699999999999989</c:v>
                </c:pt>
                <c:pt idx="138">
                  <c:v>82.699999999999989</c:v>
                </c:pt>
                <c:pt idx="139">
                  <c:v>82.699999999999989</c:v>
                </c:pt>
                <c:pt idx="140">
                  <c:v>82.699999999999989</c:v>
                </c:pt>
                <c:pt idx="141">
                  <c:v>132.5</c:v>
                </c:pt>
                <c:pt idx="142">
                  <c:v>298.5</c:v>
                </c:pt>
                <c:pt idx="143">
                  <c:v>298.5</c:v>
                </c:pt>
                <c:pt idx="144">
                  <c:v>298.5</c:v>
                </c:pt>
                <c:pt idx="145">
                  <c:v>298.5</c:v>
                </c:pt>
                <c:pt idx="146">
                  <c:v>216.99999999999997</c:v>
                </c:pt>
                <c:pt idx="147">
                  <c:v>216.99999999999997</c:v>
                </c:pt>
                <c:pt idx="148">
                  <c:v>216.99999999999997</c:v>
                </c:pt>
                <c:pt idx="149">
                  <c:v>216.99999999999997</c:v>
                </c:pt>
                <c:pt idx="150">
                  <c:v>216.99999999999997</c:v>
                </c:pt>
                <c:pt idx="151">
                  <c:v>216.99999999999997</c:v>
                </c:pt>
                <c:pt idx="152">
                  <c:v>250.2</c:v>
                </c:pt>
                <c:pt idx="153">
                  <c:v>250.2</c:v>
                </c:pt>
                <c:pt idx="154">
                  <c:v>250.2</c:v>
                </c:pt>
                <c:pt idx="155">
                  <c:v>250.2</c:v>
                </c:pt>
                <c:pt idx="156">
                  <c:v>283.39999999999998</c:v>
                </c:pt>
                <c:pt idx="157">
                  <c:v>283.39999999999998</c:v>
                </c:pt>
                <c:pt idx="158">
                  <c:v>283.39999999999998</c:v>
                </c:pt>
                <c:pt idx="159">
                  <c:v>383.59999999999997</c:v>
                </c:pt>
                <c:pt idx="160">
                  <c:v>383.59999999999997</c:v>
                </c:pt>
                <c:pt idx="161">
                  <c:v>383.59999999999997</c:v>
                </c:pt>
                <c:pt idx="162">
                  <c:v>383.59999999999997</c:v>
                </c:pt>
                <c:pt idx="163">
                  <c:v>383.59999999999997</c:v>
                </c:pt>
                <c:pt idx="164">
                  <c:v>383.59999999999997</c:v>
                </c:pt>
                <c:pt idx="165">
                  <c:v>383.59999999999997</c:v>
                </c:pt>
                <c:pt idx="166">
                  <c:v>383.59999999999997</c:v>
                </c:pt>
                <c:pt idx="167">
                  <c:v>383.59999999999997</c:v>
                </c:pt>
                <c:pt idx="168">
                  <c:v>383.59999999999997</c:v>
                </c:pt>
                <c:pt idx="169">
                  <c:v>383.59999999999997</c:v>
                </c:pt>
                <c:pt idx="170">
                  <c:v>383.59999999999997</c:v>
                </c:pt>
                <c:pt idx="171">
                  <c:v>383.59999999999997</c:v>
                </c:pt>
                <c:pt idx="172">
                  <c:v>383.59999999999997</c:v>
                </c:pt>
                <c:pt idx="173">
                  <c:v>383.59999999999997</c:v>
                </c:pt>
                <c:pt idx="174">
                  <c:v>383.59999999999997</c:v>
                </c:pt>
                <c:pt idx="175">
                  <c:v>383.59999999999997</c:v>
                </c:pt>
                <c:pt idx="176">
                  <c:v>383.59999999999997</c:v>
                </c:pt>
                <c:pt idx="177">
                  <c:v>383.59999999999997</c:v>
                </c:pt>
                <c:pt idx="178">
                  <c:v>383.59999999999997</c:v>
                </c:pt>
                <c:pt idx="179">
                  <c:v>450.40000000000003</c:v>
                </c:pt>
                <c:pt idx="180">
                  <c:v>450.40000000000003</c:v>
                </c:pt>
                <c:pt idx="181">
                  <c:v>450.40000000000003</c:v>
                </c:pt>
                <c:pt idx="182">
                  <c:v>450.40000000000003</c:v>
                </c:pt>
                <c:pt idx="183">
                  <c:v>450.40000000000003</c:v>
                </c:pt>
                <c:pt idx="184">
                  <c:v>450.40000000000003</c:v>
                </c:pt>
                <c:pt idx="185">
                  <c:v>450.40000000000003</c:v>
                </c:pt>
                <c:pt idx="186">
                  <c:v>450.40000000000003</c:v>
                </c:pt>
                <c:pt idx="187">
                  <c:v>450.40000000000003</c:v>
                </c:pt>
                <c:pt idx="188">
                  <c:v>450.40000000000003</c:v>
                </c:pt>
                <c:pt idx="189">
                  <c:v>450.40000000000003</c:v>
                </c:pt>
                <c:pt idx="190">
                  <c:v>450.40000000000003</c:v>
                </c:pt>
                <c:pt idx="191">
                  <c:v>450.40000000000003</c:v>
                </c:pt>
                <c:pt idx="192">
                  <c:v>433.70000000000005</c:v>
                </c:pt>
                <c:pt idx="193">
                  <c:v>433.70000000000005</c:v>
                </c:pt>
                <c:pt idx="194">
                  <c:v>433.70000000000005</c:v>
                </c:pt>
                <c:pt idx="195">
                  <c:v>433.70000000000005</c:v>
                </c:pt>
                <c:pt idx="196">
                  <c:v>433.70000000000005</c:v>
                </c:pt>
                <c:pt idx="197">
                  <c:v>467.10000000000008</c:v>
                </c:pt>
                <c:pt idx="198">
                  <c:v>467.10000000000008</c:v>
                </c:pt>
                <c:pt idx="199">
                  <c:v>483.80000000000007</c:v>
                </c:pt>
                <c:pt idx="200">
                  <c:v>617.4</c:v>
                </c:pt>
                <c:pt idx="201">
                  <c:v>717.59999999999991</c:v>
                </c:pt>
                <c:pt idx="202">
                  <c:v>717.59999999999991</c:v>
                </c:pt>
                <c:pt idx="203">
                  <c:v>717.59999999999991</c:v>
                </c:pt>
                <c:pt idx="204">
                  <c:v>717.59999999999991</c:v>
                </c:pt>
                <c:pt idx="205">
                  <c:v>717.59999999999991</c:v>
                </c:pt>
                <c:pt idx="206">
                  <c:v>717.59999999999991</c:v>
                </c:pt>
                <c:pt idx="207">
                  <c:v>717.59999999999991</c:v>
                </c:pt>
                <c:pt idx="208">
                  <c:v>717.59999999999991</c:v>
                </c:pt>
                <c:pt idx="209">
                  <c:v>717.59999999999991</c:v>
                </c:pt>
                <c:pt idx="210">
                  <c:v>717.59999999999991</c:v>
                </c:pt>
                <c:pt idx="211">
                  <c:v>853.59999999999991</c:v>
                </c:pt>
                <c:pt idx="212">
                  <c:v>853.59999999999991</c:v>
                </c:pt>
                <c:pt idx="213">
                  <c:v>853.59999999999991</c:v>
                </c:pt>
                <c:pt idx="214">
                  <c:v>853.59999999999991</c:v>
                </c:pt>
                <c:pt idx="215">
                  <c:v>887.59999999999991</c:v>
                </c:pt>
                <c:pt idx="216">
                  <c:v>1022.8</c:v>
                </c:pt>
                <c:pt idx="217">
                  <c:v>1022.8</c:v>
                </c:pt>
                <c:pt idx="218">
                  <c:v>1022.8</c:v>
                </c:pt>
                <c:pt idx="219">
                  <c:v>1022.8</c:v>
                </c:pt>
                <c:pt idx="220">
                  <c:v>1022.8</c:v>
                </c:pt>
                <c:pt idx="221">
                  <c:v>1022.8</c:v>
                </c:pt>
                <c:pt idx="222">
                  <c:v>1022.8</c:v>
                </c:pt>
                <c:pt idx="223">
                  <c:v>1022.8</c:v>
                </c:pt>
                <c:pt idx="224">
                  <c:v>1022.8</c:v>
                </c:pt>
                <c:pt idx="225">
                  <c:v>1022.8</c:v>
                </c:pt>
                <c:pt idx="226">
                  <c:v>1022.8</c:v>
                </c:pt>
                <c:pt idx="227">
                  <c:v>1022.8</c:v>
                </c:pt>
                <c:pt idx="228">
                  <c:v>1107.8</c:v>
                </c:pt>
                <c:pt idx="229">
                  <c:v>1107.8</c:v>
                </c:pt>
                <c:pt idx="230">
                  <c:v>1107.8</c:v>
                </c:pt>
                <c:pt idx="231">
                  <c:v>1192.8</c:v>
                </c:pt>
                <c:pt idx="232">
                  <c:v>1192.8</c:v>
                </c:pt>
                <c:pt idx="233">
                  <c:v>1192.8</c:v>
                </c:pt>
                <c:pt idx="234">
                  <c:v>1192.8</c:v>
                </c:pt>
                <c:pt idx="235">
                  <c:v>1192.8</c:v>
                </c:pt>
                <c:pt idx="236">
                  <c:v>1192.8</c:v>
                </c:pt>
                <c:pt idx="237">
                  <c:v>1192.8</c:v>
                </c:pt>
                <c:pt idx="238">
                  <c:v>1192.8</c:v>
                </c:pt>
                <c:pt idx="239">
                  <c:v>1192.8</c:v>
                </c:pt>
                <c:pt idx="240">
                  <c:v>1259.2</c:v>
                </c:pt>
                <c:pt idx="241">
                  <c:v>1259.2</c:v>
                </c:pt>
                <c:pt idx="242">
                  <c:v>1259.2</c:v>
                </c:pt>
                <c:pt idx="243">
                  <c:v>1292.4000000000001</c:v>
                </c:pt>
                <c:pt idx="244">
                  <c:v>1575.45</c:v>
                </c:pt>
                <c:pt idx="245">
                  <c:v>1575.45</c:v>
                </c:pt>
                <c:pt idx="246">
                  <c:v>1575.45</c:v>
                </c:pt>
                <c:pt idx="247">
                  <c:v>1525.65</c:v>
                </c:pt>
                <c:pt idx="248">
                  <c:v>1525.65</c:v>
                </c:pt>
                <c:pt idx="249">
                  <c:v>1525.65</c:v>
                </c:pt>
                <c:pt idx="250">
                  <c:v>1525.65</c:v>
                </c:pt>
                <c:pt idx="251">
                  <c:v>1525.65</c:v>
                </c:pt>
                <c:pt idx="252">
                  <c:v>1525.65</c:v>
                </c:pt>
                <c:pt idx="253">
                  <c:v>1525.65</c:v>
                </c:pt>
                <c:pt idx="254">
                  <c:v>1525.65</c:v>
                </c:pt>
                <c:pt idx="255">
                  <c:v>1525.65</c:v>
                </c:pt>
                <c:pt idx="256">
                  <c:v>1459.25</c:v>
                </c:pt>
                <c:pt idx="257">
                  <c:v>1459.25</c:v>
                </c:pt>
                <c:pt idx="258">
                  <c:v>1509.05</c:v>
                </c:pt>
                <c:pt idx="259">
                  <c:v>1509.05</c:v>
                </c:pt>
                <c:pt idx="260">
                  <c:v>1509.05</c:v>
                </c:pt>
                <c:pt idx="261">
                  <c:v>1210.25</c:v>
                </c:pt>
                <c:pt idx="262">
                  <c:v>1011.05</c:v>
                </c:pt>
                <c:pt idx="263">
                  <c:v>1011.05</c:v>
                </c:pt>
                <c:pt idx="264">
                  <c:v>1011.05</c:v>
                </c:pt>
                <c:pt idx="265">
                  <c:v>1011.05</c:v>
                </c:pt>
                <c:pt idx="266">
                  <c:v>1011.05</c:v>
                </c:pt>
                <c:pt idx="267">
                  <c:v>1011.05</c:v>
                </c:pt>
                <c:pt idx="268">
                  <c:v>1060.8499999999999</c:v>
                </c:pt>
                <c:pt idx="269">
                  <c:v>1060.8499999999999</c:v>
                </c:pt>
                <c:pt idx="270">
                  <c:v>1060.8499999999999</c:v>
                </c:pt>
                <c:pt idx="271">
                  <c:v>1060.8499999999999</c:v>
                </c:pt>
                <c:pt idx="272">
                  <c:v>1110.6499999999999</c:v>
                </c:pt>
                <c:pt idx="273">
                  <c:v>1210.2499999999998</c:v>
                </c:pt>
                <c:pt idx="274">
                  <c:v>1210.2499999999998</c:v>
                </c:pt>
                <c:pt idx="275">
                  <c:v>1210.2499999999998</c:v>
                </c:pt>
                <c:pt idx="276">
                  <c:v>1210.2499999999998</c:v>
                </c:pt>
                <c:pt idx="277">
                  <c:v>1210.2499999999998</c:v>
                </c:pt>
                <c:pt idx="278">
                  <c:v>1210.2499999999998</c:v>
                </c:pt>
                <c:pt idx="279">
                  <c:v>1210.2499999999998</c:v>
                </c:pt>
                <c:pt idx="280">
                  <c:v>1210.2499999999998</c:v>
                </c:pt>
                <c:pt idx="281">
                  <c:v>1210.2499999999998</c:v>
                </c:pt>
                <c:pt idx="282">
                  <c:v>1210.2499999999998</c:v>
                </c:pt>
                <c:pt idx="283">
                  <c:v>1243.2499999999998</c:v>
                </c:pt>
                <c:pt idx="284">
                  <c:v>1243.2499999999998</c:v>
                </c:pt>
                <c:pt idx="285">
                  <c:v>1291.5499999999997</c:v>
                </c:pt>
                <c:pt idx="286">
                  <c:v>1373.5499999999997</c:v>
                </c:pt>
                <c:pt idx="287">
                  <c:v>1373.5499999999997</c:v>
                </c:pt>
                <c:pt idx="288">
                  <c:v>1373.5499999999997</c:v>
                </c:pt>
                <c:pt idx="289">
                  <c:v>1373.5499999999997</c:v>
                </c:pt>
                <c:pt idx="290">
                  <c:v>1373.5499999999997</c:v>
                </c:pt>
                <c:pt idx="291">
                  <c:v>1373.5499999999997</c:v>
                </c:pt>
                <c:pt idx="292">
                  <c:v>1373.5499999999997</c:v>
                </c:pt>
                <c:pt idx="293">
                  <c:v>1373.5499999999997</c:v>
                </c:pt>
                <c:pt idx="294">
                  <c:v>1373.5499999999997</c:v>
                </c:pt>
                <c:pt idx="295">
                  <c:v>1373.5499999999997</c:v>
                </c:pt>
                <c:pt idx="296">
                  <c:v>1373.5499999999997</c:v>
                </c:pt>
                <c:pt idx="297">
                  <c:v>1373.5499999999997</c:v>
                </c:pt>
                <c:pt idx="298">
                  <c:v>1373.5499999999997</c:v>
                </c:pt>
                <c:pt idx="299">
                  <c:v>1373.5499999999997</c:v>
                </c:pt>
                <c:pt idx="300">
                  <c:v>1373.5499999999997</c:v>
                </c:pt>
                <c:pt idx="301">
                  <c:v>1373.5499999999997</c:v>
                </c:pt>
                <c:pt idx="302">
                  <c:v>1373.5499999999997</c:v>
                </c:pt>
                <c:pt idx="303">
                  <c:v>1373.5499999999997</c:v>
                </c:pt>
                <c:pt idx="304">
                  <c:v>1373.5499999999997</c:v>
                </c:pt>
                <c:pt idx="305">
                  <c:v>1373.5499999999997</c:v>
                </c:pt>
                <c:pt idx="306">
                  <c:v>1373.5499999999997</c:v>
                </c:pt>
                <c:pt idx="307">
                  <c:v>1373.5499999999997</c:v>
                </c:pt>
                <c:pt idx="308">
                  <c:v>1373.5499999999997</c:v>
                </c:pt>
                <c:pt idx="309">
                  <c:v>1373.5499999999997</c:v>
                </c:pt>
                <c:pt idx="310">
                  <c:v>1373.5499999999997</c:v>
                </c:pt>
                <c:pt idx="311">
                  <c:v>1373.5499999999997</c:v>
                </c:pt>
                <c:pt idx="312">
                  <c:v>922.74999999999955</c:v>
                </c:pt>
                <c:pt idx="313">
                  <c:v>922.74999999999955</c:v>
                </c:pt>
                <c:pt idx="314">
                  <c:v>471.94999999999942</c:v>
                </c:pt>
                <c:pt idx="315">
                  <c:v>471.94999999999942</c:v>
                </c:pt>
                <c:pt idx="316">
                  <c:v>471.94999999999942</c:v>
                </c:pt>
                <c:pt idx="317">
                  <c:v>471.94999999999942</c:v>
                </c:pt>
                <c:pt idx="318">
                  <c:v>471.94999999999942</c:v>
                </c:pt>
                <c:pt idx="319">
                  <c:v>471.94999999999942</c:v>
                </c:pt>
                <c:pt idx="320">
                  <c:v>471.94999999999942</c:v>
                </c:pt>
                <c:pt idx="321">
                  <c:v>471.94999999999942</c:v>
                </c:pt>
                <c:pt idx="322">
                  <c:v>552.94999999999948</c:v>
                </c:pt>
                <c:pt idx="323">
                  <c:v>552.94999999999948</c:v>
                </c:pt>
                <c:pt idx="324">
                  <c:v>552.94999999999948</c:v>
                </c:pt>
                <c:pt idx="325">
                  <c:v>552.94999999999948</c:v>
                </c:pt>
                <c:pt idx="326">
                  <c:v>552.94999999999948</c:v>
                </c:pt>
                <c:pt idx="327">
                  <c:v>552.94999999999948</c:v>
                </c:pt>
                <c:pt idx="328">
                  <c:v>552.94999999999948</c:v>
                </c:pt>
                <c:pt idx="329">
                  <c:v>552.94999999999948</c:v>
                </c:pt>
                <c:pt idx="330">
                  <c:v>552.94999999999948</c:v>
                </c:pt>
                <c:pt idx="331">
                  <c:v>552.94999999999948</c:v>
                </c:pt>
                <c:pt idx="332">
                  <c:v>552.94999999999948</c:v>
                </c:pt>
                <c:pt idx="333">
                  <c:v>552.94999999999948</c:v>
                </c:pt>
                <c:pt idx="334">
                  <c:v>552.94999999999948</c:v>
                </c:pt>
                <c:pt idx="335">
                  <c:v>552.94999999999948</c:v>
                </c:pt>
                <c:pt idx="336">
                  <c:v>552.94999999999948</c:v>
                </c:pt>
                <c:pt idx="337">
                  <c:v>552.94999999999948</c:v>
                </c:pt>
                <c:pt idx="338">
                  <c:v>-5.0000000000522959E-2</c:v>
                </c:pt>
                <c:pt idx="339">
                  <c:v>-5.0000000000522959E-2</c:v>
                </c:pt>
                <c:pt idx="340">
                  <c:v>-5.0000000000522959E-2</c:v>
                </c:pt>
                <c:pt idx="341">
                  <c:v>-632.05000000000052</c:v>
                </c:pt>
                <c:pt idx="342">
                  <c:v>-632.05000000000052</c:v>
                </c:pt>
                <c:pt idx="343">
                  <c:v>-632.05000000000052</c:v>
                </c:pt>
                <c:pt idx="344">
                  <c:v>-632.05000000000052</c:v>
                </c:pt>
                <c:pt idx="345">
                  <c:v>-632.05000000000052</c:v>
                </c:pt>
                <c:pt idx="346">
                  <c:v>-632.05000000000052</c:v>
                </c:pt>
                <c:pt idx="347">
                  <c:v>-632.05000000000052</c:v>
                </c:pt>
                <c:pt idx="348">
                  <c:v>-632.05000000000052</c:v>
                </c:pt>
                <c:pt idx="349">
                  <c:v>-632.05000000000052</c:v>
                </c:pt>
                <c:pt idx="350">
                  <c:v>-632.05000000000052</c:v>
                </c:pt>
                <c:pt idx="351">
                  <c:v>-632.05000000000052</c:v>
                </c:pt>
                <c:pt idx="352">
                  <c:v>-632.05000000000052</c:v>
                </c:pt>
                <c:pt idx="353">
                  <c:v>-632.05000000000052</c:v>
                </c:pt>
                <c:pt idx="354">
                  <c:v>-632.05000000000052</c:v>
                </c:pt>
                <c:pt idx="355">
                  <c:v>-632.05000000000052</c:v>
                </c:pt>
                <c:pt idx="356">
                  <c:v>-632.05000000000052</c:v>
                </c:pt>
                <c:pt idx="357">
                  <c:v>-632.05000000000052</c:v>
                </c:pt>
                <c:pt idx="358">
                  <c:v>-632.05000000000052</c:v>
                </c:pt>
                <c:pt idx="359">
                  <c:v>-632.05000000000052</c:v>
                </c:pt>
                <c:pt idx="360">
                  <c:v>-632.05000000000052</c:v>
                </c:pt>
                <c:pt idx="361">
                  <c:v>-632.05000000000052</c:v>
                </c:pt>
                <c:pt idx="362">
                  <c:v>-632.05000000000052</c:v>
                </c:pt>
                <c:pt idx="363">
                  <c:v>-632.05000000000052</c:v>
                </c:pt>
                <c:pt idx="364">
                  <c:v>-632.05000000000052</c:v>
                </c:pt>
                <c:pt idx="365">
                  <c:v>-632.05000000000052</c:v>
                </c:pt>
                <c:pt idx="366">
                  <c:v>-632.05000000000052</c:v>
                </c:pt>
                <c:pt idx="367">
                  <c:v>-632.05000000000052</c:v>
                </c:pt>
                <c:pt idx="368">
                  <c:v>-632.05000000000052</c:v>
                </c:pt>
                <c:pt idx="369">
                  <c:v>-632.05000000000052</c:v>
                </c:pt>
                <c:pt idx="370">
                  <c:v>-632.05000000000052</c:v>
                </c:pt>
                <c:pt idx="371">
                  <c:v>-632.05000000000052</c:v>
                </c:pt>
                <c:pt idx="372">
                  <c:v>-632.05000000000052</c:v>
                </c:pt>
                <c:pt idx="373">
                  <c:v>-632.05000000000052</c:v>
                </c:pt>
                <c:pt idx="374">
                  <c:v>-632.05000000000052</c:v>
                </c:pt>
                <c:pt idx="375">
                  <c:v>-632.05000000000052</c:v>
                </c:pt>
                <c:pt idx="376">
                  <c:v>-487.15000000000055</c:v>
                </c:pt>
                <c:pt idx="377">
                  <c:v>-487.15000000000055</c:v>
                </c:pt>
                <c:pt idx="378">
                  <c:v>-487.15000000000055</c:v>
                </c:pt>
                <c:pt idx="379">
                  <c:v>-487.15000000000055</c:v>
                </c:pt>
                <c:pt idx="380">
                  <c:v>-487.15000000000055</c:v>
                </c:pt>
                <c:pt idx="381">
                  <c:v>-487.15000000000055</c:v>
                </c:pt>
                <c:pt idx="382">
                  <c:v>-487.15000000000055</c:v>
                </c:pt>
                <c:pt idx="383">
                  <c:v>-487.15000000000055</c:v>
                </c:pt>
                <c:pt idx="384">
                  <c:v>-487.15000000000055</c:v>
                </c:pt>
                <c:pt idx="385">
                  <c:v>-487.15000000000055</c:v>
                </c:pt>
                <c:pt idx="386">
                  <c:v>-487.15000000000055</c:v>
                </c:pt>
                <c:pt idx="387">
                  <c:v>-487.15000000000055</c:v>
                </c:pt>
                <c:pt idx="388">
                  <c:v>-487.15000000000055</c:v>
                </c:pt>
                <c:pt idx="389">
                  <c:v>-487.15000000000055</c:v>
                </c:pt>
                <c:pt idx="390">
                  <c:v>-487.15000000000055</c:v>
                </c:pt>
                <c:pt idx="391">
                  <c:v>-487.15000000000055</c:v>
                </c:pt>
                <c:pt idx="392">
                  <c:v>-487.15000000000055</c:v>
                </c:pt>
                <c:pt idx="393">
                  <c:v>-487.15000000000055</c:v>
                </c:pt>
                <c:pt idx="394">
                  <c:v>-487.15000000000055</c:v>
                </c:pt>
                <c:pt idx="395">
                  <c:v>-487.15000000000055</c:v>
                </c:pt>
                <c:pt idx="396">
                  <c:v>-487.15000000000055</c:v>
                </c:pt>
                <c:pt idx="397">
                  <c:v>-487.15000000000055</c:v>
                </c:pt>
                <c:pt idx="398">
                  <c:v>-487.15000000000055</c:v>
                </c:pt>
                <c:pt idx="399">
                  <c:v>-487.15000000000055</c:v>
                </c:pt>
                <c:pt idx="400">
                  <c:v>-487.15000000000055</c:v>
                </c:pt>
                <c:pt idx="401">
                  <c:v>-487.15000000000055</c:v>
                </c:pt>
                <c:pt idx="402">
                  <c:v>-487.15000000000055</c:v>
                </c:pt>
                <c:pt idx="403">
                  <c:v>-487.15000000000055</c:v>
                </c:pt>
                <c:pt idx="404">
                  <c:v>-487.15000000000055</c:v>
                </c:pt>
                <c:pt idx="405">
                  <c:v>-487.15000000000055</c:v>
                </c:pt>
                <c:pt idx="406">
                  <c:v>-487.15000000000055</c:v>
                </c:pt>
                <c:pt idx="407">
                  <c:v>-487.15000000000055</c:v>
                </c:pt>
                <c:pt idx="408">
                  <c:v>-487.15000000000055</c:v>
                </c:pt>
                <c:pt idx="409">
                  <c:v>-487.15000000000055</c:v>
                </c:pt>
                <c:pt idx="410">
                  <c:v>-487.15000000000055</c:v>
                </c:pt>
                <c:pt idx="411">
                  <c:v>-487.15000000000055</c:v>
                </c:pt>
                <c:pt idx="412">
                  <c:v>-487.15000000000055</c:v>
                </c:pt>
                <c:pt idx="413">
                  <c:v>-487.15000000000055</c:v>
                </c:pt>
                <c:pt idx="414">
                  <c:v>-487.15000000000055</c:v>
                </c:pt>
                <c:pt idx="415">
                  <c:v>-487.15000000000055</c:v>
                </c:pt>
                <c:pt idx="416">
                  <c:v>-487.15000000000055</c:v>
                </c:pt>
                <c:pt idx="417">
                  <c:v>-487.15000000000055</c:v>
                </c:pt>
                <c:pt idx="418">
                  <c:v>-487.15000000000055</c:v>
                </c:pt>
                <c:pt idx="419">
                  <c:v>-487.15000000000055</c:v>
                </c:pt>
                <c:pt idx="420">
                  <c:v>-487.15000000000055</c:v>
                </c:pt>
                <c:pt idx="421">
                  <c:v>-487.15000000000055</c:v>
                </c:pt>
                <c:pt idx="422">
                  <c:v>-407.15000000000055</c:v>
                </c:pt>
                <c:pt idx="423">
                  <c:v>-407.15000000000055</c:v>
                </c:pt>
                <c:pt idx="424">
                  <c:v>-407.15000000000055</c:v>
                </c:pt>
                <c:pt idx="425">
                  <c:v>-327.15000000000055</c:v>
                </c:pt>
                <c:pt idx="426">
                  <c:v>-327.15000000000055</c:v>
                </c:pt>
                <c:pt idx="427">
                  <c:v>-327.15000000000055</c:v>
                </c:pt>
                <c:pt idx="428">
                  <c:v>-327.15000000000055</c:v>
                </c:pt>
                <c:pt idx="429">
                  <c:v>-327.15000000000055</c:v>
                </c:pt>
                <c:pt idx="430">
                  <c:v>-439.15000000000055</c:v>
                </c:pt>
                <c:pt idx="431">
                  <c:v>-439.15000000000055</c:v>
                </c:pt>
                <c:pt idx="432">
                  <c:v>-439.15000000000055</c:v>
                </c:pt>
                <c:pt idx="433">
                  <c:v>-439.15000000000055</c:v>
                </c:pt>
                <c:pt idx="434">
                  <c:v>-279.15000000000055</c:v>
                </c:pt>
                <c:pt idx="435">
                  <c:v>-279.15000000000055</c:v>
                </c:pt>
                <c:pt idx="436">
                  <c:v>-279.15000000000055</c:v>
                </c:pt>
                <c:pt idx="437">
                  <c:v>-279.15000000000055</c:v>
                </c:pt>
                <c:pt idx="438">
                  <c:v>-279.15000000000055</c:v>
                </c:pt>
                <c:pt idx="439">
                  <c:v>-279.15000000000055</c:v>
                </c:pt>
                <c:pt idx="440">
                  <c:v>-279.15000000000055</c:v>
                </c:pt>
                <c:pt idx="441">
                  <c:v>-279.15000000000055</c:v>
                </c:pt>
                <c:pt idx="442">
                  <c:v>-279.15000000000055</c:v>
                </c:pt>
                <c:pt idx="443">
                  <c:v>-311.55000000000058</c:v>
                </c:pt>
                <c:pt idx="444">
                  <c:v>-441.1500000000006</c:v>
                </c:pt>
                <c:pt idx="445">
                  <c:v>-424.95000000000056</c:v>
                </c:pt>
                <c:pt idx="446">
                  <c:v>-424.95000000000056</c:v>
                </c:pt>
                <c:pt idx="447">
                  <c:v>-424.95000000000056</c:v>
                </c:pt>
                <c:pt idx="448">
                  <c:v>-424.95000000000056</c:v>
                </c:pt>
                <c:pt idx="449">
                  <c:v>-424.95000000000056</c:v>
                </c:pt>
                <c:pt idx="450">
                  <c:v>-424.95000000000056</c:v>
                </c:pt>
                <c:pt idx="451">
                  <c:v>-424.95000000000056</c:v>
                </c:pt>
                <c:pt idx="452">
                  <c:v>-424.95000000000056</c:v>
                </c:pt>
                <c:pt idx="453">
                  <c:v>-424.95000000000056</c:v>
                </c:pt>
                <c:pt idx="454">
                  <c:v>-424.95000000000056</c:v>
                </c:pt>
                <c:pt idx="455">
                  <c:v>-424.95000000000056</c:v>
                </c:pt>
                <c:pt idx="456">
                  <c:v>-424.95000000000056</c:v>
                </c:pt>
                <c:pt idx="457">
                  <c:v>-424.95000000000056</c:v>
                </c:pt>
                <c:pt idx="458">
                  <c:v>-424.95000000000056</c:v>
                </c:pt>
                <c:pt idx="459">
                  <c:v>-424.95000000000056</c:v>
                </c:pt>
                <c:pt idx="460">
                  <c:v>-424.95000000000056</c:v>
                </c:pt>
                <c:pt idx="461">
                  <c:v>-424.95000000000056</c:v>
                </c:pt>
                <c:pt idx="462">
                  <c:v>-424.95000000000056</c:v>
                </c:pt>
                <c:pt idx="463">
                  <c:v>-424.95000000000056</c:v>
                </c:pt>
                <c:pt idx="464">
                  <c:v>-424.95000000000056</c:v>
                </c:pt>
                <c:pt idx="465">
                  <c:v>-424.95000000000056</c:v>
                </c:pt>
                <c:pt idx="466">
                  <c:v>-230.31000000000043</c:v>
                </c:pt>
                <c:pt idx="467">
                  <c:v>-86.310000000000116</c:v>
                </c:pt>
                <c:pt idx="468">
                  <c:v>-86.310000000000116</c:v>
                </c:pt>
                <c:pt idx="469">
                  <c:v>-86.310000000000116</c:v>
                </c:pt>
                <c:pt idx="470">
                  <c:v>-86.310000000000116</c:v>
                </c:pt>
                <c:pt idx="471">
                  <c:v>137.68999999999994</c:v>
                </c:pt>
                <c:pt idx="472">
                  <c:v>137.68999999999994</c:v>
                </c:pt>
                <c:pt idx="473">
                  <c:v>105.68999999999994</c:v>
                </c:pt>
                <c:pt idx="474">
                  <c:v>105.68999999999994</c:v>
                </c:pt>
                <c:pt idx="475">
                  <c:v>105.68999999999994</c:v>
                </c:pt>
                <c:pt idx="476">
                  <c:v>105.68999999999994</c:v>
                </c:pt>
                <c:pt idx="477">
                  <c:v>105.68999999999994</c:v>
                </c:pt>
                <c:pt idx="478">
                  <c:v>105.68999999999994</c:v>
                </c:pt>
                <c:pt idx="479">
                  <c:v>105.68999999999994</c:v>
                </c:pt>
                <c:pt idx="480">
                  <c:v>105.68999999999994</c:v>
                </c:pt>
                <c:pt idx="481">
                  <c:v>105.68999999999994</c:v>
                </c:pt>
                <c:pt idx="482">
                  <c:v>105.68999999999994</c:v>
                </c:pt>
                <c:pt idx="483">
                  <c:v>105.68999999999994</c:v>
                </c:pt>
                <c:pt idx="484">
                  <c:v>105.68999999999994</c:v>
                </c:pt>
                <c:pt idx="485">
                  <c:v>329.68999999999983</c:v>
                </c:pt>
                <c:pt idx="486">
                  <c:v>329.68999999999983</c:v>
                </c:pt>
                <c:pt idx="487">
                  <c:v>329.68999999999983</c:v>
                </c:pt>
                <c:pt idx="488">
                  <c:v>329.68999999999983</c:v>
                </c:pt>
                <c:pt idx="489">
                  <c:v>329.68999999999983</c:v>
                </c:pt>
                <c:pt idx="490">
                  <c:v>409.68999999999983</c:v>
                </c:pt>
                <c:pt idx="491">
                  <c:v>409.68999999999983</c:v>
                </c:pt>
                <c:pt idx="492">
                  <c:v>409.68999999999983</c:v>
                </c:pt>
                <c:pt idx="493">
                  <c:v>409.68999999999983</c:v>
                </c:pt>
                <c:pt idx="494">
                  <c:v>409.68999999999983</c:v>
                </c:pt>
                <c:pt idx="495">
                  <c:v>409.68999999999983</c:v>
                </c:pt>
                <c:pt idx="496">
                  <c:v>185.68999999999977</c:v>
                </c:pt>
                <c:pt idx="497">
                  <c:v>185.68999999999977</c:v>
                </c:pt>
                <c:pt idx="498">
                  <c:v>185.68999999999977</c:v>
                </c:pt>
                <c:pt idx="499">
                  <c:v>185.68999999999977</c:v>
                </c:pt>
                <c:pt idx="500">
                  <c:v>185.68999999999977</c:v>
                </c:pt>
                <c:pt idx="501">
                  <c:v>185.68999999999977</c:v>
                </c:pt>
                <c:pt idx="502">
                  <c:v>185.68999999999977</c:v>
                </c:pt>
                <c:pt idx="503">
                  <c:v>185.68999999999977</c:v>
                </c:pt>
                <c:pt idx="504">
                  <c:v>121.68999999999971</c:v>
                </c:pt>
                <c:pt idx="505">
                  <c:v>121.68999999999971</c:v>
                </c:pt>
                <c:pt idx="506">
                  <c:v>121.68999999999971</c:v>
                </c:pt>
                <c:pt idx="507">
                  <c:v>121.68999999999971</c:v>
                </c:pt>
                <c:pt idx="508">
                  <c:v>9.689999999999614</c:v>
                </c:pt>
                <c:pt idx="509">
                  <c:v>9.689999999999614</c:v>
                </c:pt>
                <c:pt idx="510">
                  <c:v>9.689999999999614</c:v>
                </c:pt>
                <c:pt idx="511">
                  <c:v>-694.31000000000051</c:v>
                </c:pt>
                <c:pt idx="512">
                  <c:v>-454.31000000000063</c:v>
                </c:pt>
                <c:pt idx="513">
                  <c:v>-1126.3100000000009</c:v>
                </c:pt>
                <c:pt idx="514">
                  <c:v>-1798.3100000000004</c:v>
                </c:pt>
                <c:pt idx="515">
                  <c:v>-1798.3100000000004</c:v>
                </c:pt>
                <c:pt idx="516">
                  <c:v>-1798.3100000000004</c:v>
                </c:pt>
                <c:pt idx="517">
                  <c:v>-1798.3100000000004</c:v>
                </c:pt>
                <c:pt idx="518">
                  <c:v>-1798.3100000000004</c:v>
                </c:pt>
                <c:pt idx="519">
                  <c:v>-1798.3100000000004</c:v>
                </c:pt>
                <c:pt idx="520">
                  <c:v>-1798.3100000000004</c:v>
                </c:pt>
                <c:pt idx="521">
                  <c:v>-1798.3100000000004</c:v>
                </c:pt>
                <c:pt idx="522">
                  <c:v>-1798.3100000000004</c:v>
                </c:pt>
                <c:pt idx="523">
                  <c:v>-1798.3100000000004</c:v>
                </c:pt>
                <c:pt idx="524">
                  <c:v>-1798.3100000000004</c:v>
                </c:pt>
                <c:pt idx="525">
                  <c:v>-1798.3100000000004</c:v>
                </c:pt>
                <c:pt idx="526">
                  <c:v>-1798.3100000000004</c:v>
                </c:pt>
                <c:pt idx="527">
                  <c:v>-1798.3100000000004</c:v>
                </c:pt>
                <c:pt idx="528">
                  <c:v>-1798.3100000000004</c:v>
                </c:pt>
                <c:pt idx="529">
                  <c:v>-1798.3100000000004</c:v>
                </c:pt>
                <c:pt idx="530">
                  <c:v>-1798.3100000000004</c:v>
                </c:pt>
                <c:pt idx="531">
                  <c:v>-1798.3100000000004</c:v>
                </c:pt>
                <c:pt idx="532">
                  <c:v>-1798.3100000000004</c:v>
                </c:pt>
                <c:pt idx="533">
                  <c:v>-1798.3100000000004</c:v>
                </c:pt>
                <c:pt idx="534">
                  <c:v>-1798.3100000000004</c:v>
                </c:pt>
                <c:pt idx="535">
                  <c:v>-1798.3100000000004</c:v>
                </c:pt>
                <c:pt idx="536">
                  <c:v>-1798.3100000000004</c:v>
                </c:pt>
                <c:pt idx="537">
                  <c:v>-1798.3100000000004</c:v>
                </c:pt>
                <c:pt idx="538">
                  <c:v>-1798.3100000000004</c:v>
                </c:pt>
                <c:pt idx="539">
                  <c:v>-1798.3100000000004</c:v>
                </c:pt>
                <c:pt idx="540">
                  <c:v>-1798.3100000000004</c:v>
                </c:pt>
                <c:pt idx="541">
                  <c:v>-1798.3100000000004</c:v>
                </c:pt>
                <c:pt idx="542">
                  <c:v>-1798.3100000000004</c:v>
                </c:pt>
                <c:pt idx="543">
                  <c:v>-1798.3100000000004</c:v>
                </c:pt>
                <c:pt idx="544">
                  <c:v>-1718.3100000000004</c:v>
                </c:pt>
                <c:pt idx="545">
                  <c:v>-1718.3100000000004</c:v>
                </c:pt>
                <c:pt idx="546">
                  <c:v>-1718.3100000000004</c:v>
                </c:pt>
                <c:pt idx="547">
                  <c:v>-1718.3100000000004</c:v>
                </c:pt>
                <c:pt idx="548">
                  <c:v>-1718.3100000000004</c:v>
                </c:pt>
                <c:pt idx="549">
                  <c:v>-1718.3100000000004</c:v>
                </c:pt>
                <c:pt idx="550">
                  <c:v>-1718.3100000000004</c:v>
                </c:pt>
                <c:pt idx="551">
                  <c:v>-1718.3100000000004</c:v>
                </c:pt>
                <c:pt idx="552">
                  <c:v>-1718.3100000000004</c:v>
                </c:pt>
                <c:pt idx="553">
                  <c:v>-1030.3100000000004</c:v>
                </c:pt>
                <c:pt idx="554">
                  <c:v>-870.3100000000004</c:v>
                </c:pt>
                <c:pt idx="555">
                  <c:v>-870.3100000000004</c:v>
                </c:pt>
                <c:pt idx="556">
                  <c:v>-870.3100000000004</c:v>
                </c:pt>
                <c:pt idx="557">
                  <c:v>-870.3100000000004</c:v>
                </c:pt>
                <c:pt idx="558">
                  <c:v>-358.3100000000004</c:v>
                </c:pt>
                <c:pt idx="559">
                  <c:v>-358.3100000000004</c:v>
                </c:pt>
                <c:pt idx="560">
                  <c:v>-358.3100000000004</c:v>
                </c:pt>
                <c:pt idx="561">
                  <c:v>-118.31000000000037</c:v>
                </c:pt>
                <c:pt idx="562">
                  <c:v>-6.3100000000002723</c:v>
                </c:pt>
                <c:pt idx="563">
                  <c:v>-6.3100000000002723</c:v>
                </c:pt>
                <c:pt idx="564">
                  <c:v>-6.3100000000002723</c:v>
                </c:pt>
                <c:pt idx="565">
                  <c:v>-6.3100000000002723</c:v>
                </c:pt>
                <c:pt idx="566">
                  <c:v>-6.3100000000002723</c:v>
                </c:pt>
                <c:pt idx="567">
                  <c:v>-6.3100000000002723</c:v>
                </c:pt>
                <c:pt idx="568">
                  <c:v>-6.3100000000002723</c:v>
                </c:pt>
                <c:pt idx="569">
                  <c:v>-6.3100000000002723</c:v>
                </c:pt>
                <c:pt idx="570">
                  <c:v>-6.3100000000002723</c:v>
                </c:pt>
                <c:pt idx="571">
                  <c:v>-6.3100000000002723</c:v>
                </c:pt>
                <c:pt idx="572">
                  <c:v>-6.3100000000002723</c:v>
                </c:pt>
                <c:pt idx="573">
                  <c:v>-6.3100000000002723</c:v>
                </c:pt>
                <c:pt idx="574">
                  <c:v>-6.3100000000002723</c:v>
                </c:pt>
                <c:pt idx="575">
                  <c:v>-6.3100000000002723</c:v>
                </c:pt>
                <c:pt idx="576">
                  <c:v>-6.3100000000002723</c:v>
                </c:pt>
                <c:pt idx="577">
                  <c:v>-6.3100000000002723</c:v>
                </c:pt>
                <c:pt idx="578">
                  <c:v>-6.3100000000002723</c:v>
                </c:pt>
                <c:pt idx="579">
                  <c:v>-6.3100000000002723</c:v>
                </c:pt>
                <c:pt idx="580">
                  <c:v>-6.3100000000002723</c:v>
                </c:pt>
                <c:pt idx="581">
                  <c:v>-6.3100000000002723</c:v>
                </c:pt>
                <c:pt idx="582">
                  <c:v>-6.3100000000002723</c:v>
                </c:pt>
                <c:pt idx="583">
                  <c:v>-118.31000000000022</c:v>
                </c:pt>
                <c:pt idx="584">
                  <c:v>-118.31000000000022</c:v>
                </c:pt>
                <c:pt idx="585">
                  <c:v>-118.31000000000022</c:v>
                </c:pt>
                <c:pt idx="586">
                  <c:v>-118.31000000000022</c:v>
                </c:pt>
                <c:pt idx="587">
                  <c:v>-118.31000000000022</c:v>
                </c:pt>
                <c:pt idx="588">
                  <c:v>-118.31000000000022</c:v>
                </c:pt>
                <c:pt idx="589">
                  <c:v>-118.31000000000022</c:v>
                </c:pt>
                <c:pt idx="590">
                  <c:v>-118.31000000000022</c:v>
                </c:pt>
                <c:pt idx="591">
                  <c:v>-118.31000000000022</c:v>
                </c:pt>
                <c:pt idx="592">
                  <c:v>-118.31000000000022</c:v>
                </c:pt>
                <c:pt idx="593">
                  <c:v>-118.31000000000022</c:v>
                </c:pt>
                <c:pt idx="594">
                  <c:v>-278.31000000000017</c:v>
                </c:pt>
                <c:pt idx="595">
                  <c:v>-278.31000000000017</c:v>
                </c:pt>
                <c:pt idx="596">
                  <c:v>-278.31000000000017</c:v>
                </c:pt>
                <c:pt idx="597">
                  <c:v>-278.31000000000017</c:v>
                </c:pt>
                <c:pt idx="598">
                  <c:v>-278.31000000000017</c:v>
                </c:pt>
                <c:pt idx="599">
                  <c:v>-278.31000000000017</c:v>
                </c:pt>
                <c:pt idx="600">
                  <c:v>-278.31000000000017</c:v>
                </c:pt>
                <c:pt idx="601">
                  <c:v>-278.31000000000017</c:v>
                </c:pt>
                <c:pt idx="602">
                  <c:v>-278.31000000000017</c:v>
                </c:pt>
                <c:pt idx="603">
                  <c:v>-278.31000000000017</c:v>
                </c:pt>
                <c:pt idx="604">
                  <c:v>-278.31000000000017</c:v>
                </c:pt>
                <c:pt idx="605">
                  <c:v>-278.31000000000017</c:v>
                </c:pt>
                <c:pt idx="606">
                  <c:v>-278.31000000000017</c:v>
                </c:pt>
                <c:pt idx="607">
                  <c:v>-278.31000000000017</c:v>
                </c:pt>
                <c:pt idx="608">
                  <c:v>-278.31000000000017</c:v>
                </c:pt>
                <c:pt idx="609">
                  <c:v>-278.31000000000017</c:v>
                </c:pt>
                <c:pt idx="610">
                  <c:v>-278.31000000000017</c:v>
                </c:pt>
                <c:pt idx="611">
                  <c:v>-278.31000000000017</c:v>
                </c:pt>
                <c:pt idx="612">
                  <c:v>-278.31000000000017</c:v>
                </c:pt>
                <c:pt idx="613">
                  <c:v>-278.31000000000017</c:v>
                </c:pt>
                <c:pt idx="614">
                  <c:v>-278.31000000000017</c:v>
                </c:pt>
                <c:pt idx="615">
                  <c:v>-278.31000000000017</c:v>
                </c:pt>
                <c:pt idx="616">
                  <c:v>-278.31000000000017</c:v>
                </c:pt>
                <c:pt idx="617">
                  <c:v>-278.31000000000017</c:v>
                </c:pt>
                <c:pt idx="618">
                  <c:v>-278.31000000000017</c:v>
                </c:pt>
                <c:pt idx="619">
                  <c:v>-278.31000000000017</c:v>
                </c:pt>
                <c:pt idx="620">
                  <c:v>-278.31000000000017</c:v>
                </c:pt>
                <c:pt idx="621">
                  <c:v>-358.31000000000023</c:v>
                </c:pt>
                <c:pt idx="622">
                  <c:v>-358.31000000000023</c:v>
                </c:pt>
                <c:pt idx="623">
                  <c:v>-358.31000000000023</c:v>
                </c:pt>
                <c:pt idx="624">
                  <c:v>-382.31000000000023</c:v>
                </c:pt>
                <c:pt idx="625">
                  <c:v>-382.31000000000023</c:v>
                </c:pt>
                <c:pt idx="626">
                  <c:v>-382.31000000000023</c:v>
                </c:pt>
                <c:pt idx="627">
                  <c:v>-382.31000000000023</c:v>
                </c:pt>
                <c:pt idx="628">
                  <c:v>-382.31000000000023</c:v>
                </c:pt>
                <c:pt idx="629">
                  <c:v>-222.31000000000029</c:v>
                </c:pt>
                <c:pt idx="630">
                  <c:v>-222.31000000000029</c:v>
                </c:pt>
                <c:pt idx="631">
                  <c:v>-222.31000000000029</c:v>
                </c:pt>
                <c:pt idx="632">
                  <c:v>-222.31000000000029</c:v>
                </c:pt>
                <c:pt idx="633">
                  <c:v>-222.31000000000029</c:v>
                </c:pt>
                <c:pt idx="634">
                  <c:v>-78.310000000000258</c:v>
                </c:pt>
                <c:pt idx="635">
                  <c:v>-78.310000000000258</c:v>
                </c:pt>
                <c:pt idx="636">
                  <c:v>-78.310000000000258</c:v>
                </c:pt>
                <c:pt idx="637">
                  <c:v>-78.310000000000258</c:v>
                </c:pt>
                <c:pt idx="638">
                  <c:v>-78.310000000000258</c:v>
                </c:pt>
                <c:pt idx="639">
                  <c:v>-78.310000000000258</c:v>
                </c:pt>
                <c:pt idx="640">
                  <c:v>-78.310000000000258</c:v>
                </c:pt>
                <c:pt idx="641">
                  <c:v>-78.310000000000258</c:v>
                </c:pt>
                <c:pt idx="642">
                  <c:v>-78.310000000000258</c:v>
                </c:pt>
                <c:pt idx="643">
                  <c:v>-78.310000000000258</c:v>
                </c:pt>
                <c:pt idx="644">
                  <c:v>-78.310000000000258</c:v>
                </c:pt>
                <c:pt idx="645">
                  <c:v>-78.310000000000258</c:v>
                </c:pt>
                <c:pt idx="646">
                  <c:v>-78.310000000000258</c:v>
                </c:pt>
                <c:pt idx="647">
                  <c:v>-78.310000000000258</c:v>
                </c:pt>
                <c:pt idx="648">
                  <c:v>-78.310000000000258</c:v>
                </c:pt>
                <c:pt idx="649">
                  <c:v>-78.310000000000258</c:v>
                </c:pt>
                <c:pt idx="650">
                  <c:v>-78.310000000000258</c:v>
                </c:pt>
                <c:pt idx="651">
                  <c:v>-78.310000000000258</c:v>
                </c:pt>
                <c:pt idx="652">
                  <c:v>-78.310000000000258</c:v>
                </c:pt>
                <c:pt idx="653">
                  <c:v>-78.310000000000258</c:v>
                </c:pt>
                <c:pt idx="654">
                  <c:v>-78.310000000000258</c:v>
                </c:pt>
                <c:pt idx="655">
                  <c:v>-30.310000000000265</c:v>
                </c:pt>
                <c:pt idx="656">
                  <c:v>-30.310000000000265</c:v>
                </c:pt>
                <c:pt idx="657">
                  <c:v>-110.31000000000026</c:v>
                </c:pt>
                <c:pt idx="658">
                  <c:v>-110.31000000000026</c:v>
                </c:pt>
                <c:pt idx="659">
                  <c:v>-110.31000000000026</c:v>
                </c:pt>
                <c:pt idx="660">
                  <c:v>-110.31000000000026</c:v>
                </c:pt>
                <c:pt idx="661">
                  <c:v>-110.31000000000026</c:v>
                </c:pt>
                <c:pt idx="662">
                  <c:v>-110.31000000000026</c:v>
                </c:pt>
                <c:pt idx="663">
                  <c:v>-110.31000000000026</c:v>
                </c:pt>
                <c:pt idx="664">
                  <c:v>-110.31000000000026</c:v>
                </c:pt>
                <c:pt idx="665">
                  <c:v>-110.31000000000026</c:v>
                </c:pt>
                <c:pt idx="666">
                  <c:v>-110.31000000000026</c:v>
                </c:pt>
                <c:pt idx="667">
                  <c:v>-110.31000000000026</c:v>
                </c:pt>
                <c:pt idx="668">
                  <c:v>-110.31000000000026</c:v>
                </c:pt>
                <c:pt idx="669">
                  <c:v>49.689999999999884</c:v>
                </c:pt>
                <c:pt idx="670">
                  <c:v>49.689999999999884</c:v>
                </c:pt>
                <c:pt idx="671">
                  <c:v>49.689999999999884</c:v>
                </c:pt>
                <c:pt idx="672">
                  <c:v>49.689999999999884</c:v>
                </c:pt>
                <c:pt idx="673">
                  <c:v>49.689999999999884</c:v>
                </c:pt>
                <c:pt idx="674">
                  <c:v>49.689999999999884</c:v>
                </c:pt>
                <c:pt idx="675">
                  <c:v>49.689999999999884</c:v>
                </c:pt>
                <c:pt idx="676">
                  <c:v>49.689999999999884</c:v>
                </c:pt>
                <c:pt idx="677">
                  <c:v>49.689999999999884</c:v>
                </c:pt>
                <c:pt idx="678">
                  <c:v>49.689999999999884</c:v>
                </c:pt>
                <c:pt idx="679">
                  <c:v>49.689999999999884</c:v>
                </c:pt>
                <c:pt idx="680">
                  <c:v>49.689999999999884</c:v>
                </c:pt>
                <c:pt idx="681">
                  <c:v>49.689999999999884</c:v>
                </c:pt>
                <c:pt idx="682">
                  <c:v>49.689999999999884</c:v>
                </c:pt>
                <c:pt idx="683">
                  <c:v>49.689999999999884</c:v>
                </c:pt>
                <c:pt idx="684">
                  <c:v>97.68999999999987</c:v>
                </c:pt>
                <c:pt idx="685">
                  <c:v>97.68999999999987</c:v>
                </c:pt>
                <c:pt idx="686">
                  <c:v>97.68999999999987</c:v>
                </c:pt>
                <c:pt idx="687">
                  <c:v>97.68999999999987</c:v>
                </c:pt>
                <c:pt idx="688">
                  <c:v>97.68999999999987</c:v>
                </c:pt>
                <c:pt idx="689">
                  <c:v>97.68999999999987</c:v>
                </c:pt>
                <c:pt idx="690">
                  <c:v>97.68999999999987</c:v>
                </c:pt>
                <c:pt idx="691">
                  <c:v>97.68999999999987</c:v>
                </c:pt>
                <c:pt idx="692">
                  <c:v>97.68999999999987</c:v>
                </c:pt>
                <c:pt idx="693">
                  <c:v>97.68999999999987</c:v>
                </c:pt>
                <c:pt idx="694">
                  <c:v>97.68999999999987</c:v>
                </c:pt>
                <c:pt idx="695">
                  <c:v>97.68999999999987</c:v>
                </c:pt>
                <c:pt idx="696">
                  <c:v>769.68999999999983</c:v>
                </c:pt>
                <c:pt idx="697">
                  <c:v>1201.6899999999998</c:v>
                </c:pt>
                <c:pt idx="698">
                  <c:v>1201.6899999999998</c:v>
                </c:pt>
                <c:pt idx="699">
                  <c:v>1201.6899999999998</c:v>
                </c:pt>
                <c:pt idx="700">
                  <c:v>1201.6899999999998</c:v>
                </c:pt>
                <c:pt idx="701">
                  <c:v>1201.6899999999998</c:v>
                </c:pt>
                <c:pt idx="702">
                  <c:v>1201.6899999999998</c:v>
                </c:pt>
                <c:pt idx="703">
                  <c:v>1201.6899999999998</c:v>
                </c:pt>
                <c:pt idx="704">
                  <c:v>1201.6899999999998</c:v>
                </c:pt>
                <c:pt idx="705">
                  <c:v>1201.6899999999998</c:v>
                </c:pt>
                <c:pt idx="706">
                  <c:v>1201.6899999999998</c:v>
                </c:pt>
                <c:pt idx="707">
                  <c:v>1201.6899999999998</c:v>
                </c:pt>
                <c:pt idx="708">
                  <c:v>1201.6899999999998</c:v>
                </c:pt>
                <c:pt idx="709">
                  <c:v>1201.6899999999998</c:v>
                </c:pt>
                <c:pt idx="710">
                  <c:v>1201.6899999999998</c:v>
                </c:pt>
                <c:pt idx="711">
                  <c:v>1201.6899999999998</c:v>
                </c:pt>
                <c:pt idx="712">
                  <c:v>1201.6899999999998</c:v>
                </c:pt>
                <c:pt idx="713">
                  <c:v>1201.6899999999998</c:v>
                </c:pt>
                <c:pt idx="714">
                  <c:v>1201.6899999999998</c:v>
                </c:pt>
                <c:pt idx="715">
                  <c:v>1201.6899999999998</c:v>
                </c:pt>
                <c:pt idx="716">
                  <c:v>1201.6899999999998</c:v>
                </c:pt>
                <c:pt idx="717">
                  <c:v>1201.6899999999998</c:v>
                </c:pt>
                <c:pt idx="718">
                  <c:v>1201.6899999999998</c:v>
                </c:pt>
                <c:pt idx="719">
                  <c:v>1201.6899999999998</c:v>
                </c:pt>
                <c:pt idx="720">
                  <c:v>1201.6899999999998</c:v>
                </c:pt>
                <c:pt idx="721">
                  <c:v>1201.6899999999998</c:v>
                </c:pt>
                <c:pt idx="722">
                  <c:v>1201.6899999999998</c:v>
                </c:pt>
                <c:pt idx="723">
                  <c:v>1281.6899999999998</c:v>
                </c:pt>
                <c:pt idx="724">
                  <c:v>1281.6899999999998</c:v>
                </c:pt>
                <c:pt idx="725">
                  <c:v>1601.6899999999998</c:v>
                </c:pt>
                <c:pt idx="726">
                  <c:v>1681.6899999999998</c:v>
                </c:pt>
                <c:pt idx="727">
                  <c:v>1681.6899999999998</c:v>
                </c:pt>
                <c:pt idx="728">
                  <c:v>1707.5800000000745</c:v>
                </c:pt>
                <c:pt idx="729">
                  <c:v>1707.5800000000745</c:v>
                </c:pt>
                <c:pt idx="730">
                  <c:v>1707.5800000000745</c:v>
                </c:pt>
                <c:pt idx="731">
                  <c:v>1707.5800000000745</c:v>
                </c:pt>
                <c:pt idx="732">
                  <c:v>1803.5800000000745</c:v>
                </c:pt>
                <c:pt idx="733">
                  <c:v>1899.5800000000745</c:v>
                </c:pt>
                <c:pt idx="734">
                  <c:v>1899.5800000000745</c:v>
                </c:pt>
                <c:pt idx="735">
                  <c:v>2171.5800000000745</c:v>
                </c:pt>
                <c:pt idx="736">
                  <c:v>2171.5800000000745</c:v>
                </c:pt>
                <c:pt idx="737">
                  <c:v>2171.5800000000745</c:v>
                </c:pt>
                <c:pt idx="738">
                  <c:v>2171.5800000000745</c:v>
                </c:pt>
                <c:pt idx="739">
                  <c:v>2171.5800000000745</c:v>
                </c:pt>
                <c:pt idx="740">
                  <c:v>2200.346666666715</c:v>
                </c:pt>
                <c:pt idx="741">
                  <c:v>2200.346666666715</c:v>
                </c:pt>
                <c:pt idx="742">
                  <c:v>2200.346666666715</c:v>
                </c:pt>
                <c:pt idx="743">
                  <c:v>2200.346666666715</c:v>
                </c:pt>
                <c:pt idx="744">
                  <c:v>2200.346666666715</c:v>
                </c:pt>
                <c:pt idx="745">
                  <c:v>2200.346666666715</c:v>
                </c:pt>
                <c:pt idx="746">
                  <c:v>2200.346666666715</c:v>
                </c:pt>
                <c:pt idx="747">
                  <c:v>2200.346666666715</c:v>
                </c:pt>
                <c:pt idx="748">
                  <c:v>2152.346666666715</c:v>
                </c:pt>
                <c:pt idx="749">
                  <c:v>2152.346666666715</c:v>
                </c:pt>
                <c:pt idx="750">
                  <c:v>2152.346666666715</c:v>
                </c:pt>
                <c:pt idx="751">
                  <c:v>2152.346666666715</c:v>
                </c:pt>
                <c:pt idx="752">
                  <c:v>2152.346666666715</c:v>
                </c:pt>
                <c:pt idx="753">
                  <c:v>2152.346666666715</c:v>
                </c:pt>
                <c:pt idx="754">
                  <c:v>2152.346666666715</c:v>
                </c:pt>
                <c:pt idx="755">
                  <c:v>2152.346666666715</c:v>
                </c:pt>
                <c:pt idx="756">
                  <c:v>2152.346666666715</c:v>
                </c:pt>
                <c:pt idx="757">
                  <c:v>2152.346666666715</c:v>
                </c:pt>
                <c:pt idx="758">
                  <c:v>2152.346666666715</c:v>
                </c:pt>
                <c:pt idx="759">
                  <c:v>2152.346666666715</c:v>
                </c:pt>
                <c:pt idx="760">
                  <c:v>2136.346666666715</c:v>
                </c:pt>
                <c:pt idx="761">
                  <c:v>2136.346666666715</c:v>
                </c:pt>
                <c:pt idx="762">
                  <c:v>2136.346666666715</c:v>
                </c:pt>
                <c:pt idx="763">
                  <c:v>2136.346666666715</c:v>
                </c:pt>
                <c:pt idx="764">
                  <c:v>2136.346666666715</c:v>
                </c:pt>
                <c:pt idx="765">
                  <c:v>2136.346666666715</c:v>
                </c:pt>
                <c:pt idx="766">
                  <c:v>2136.346666666715</c:v>
                </c:pt>
                <c:pt idx="767">
                  <c:v>2136.346666666715</c:v>
                </c:pt>
                <c:pt idx="768">
                  <c:v>2136.346666666715</c:v>
                </c:pt>
                <c:pt idx="769">
                  <c:v>2136.346666666715</c:v>
                </c:pt>
                <c:pt idx="770">
                  <c:v>2136.346666666715</c:v>
                </c:pt>
                <c:pt idx="771">
                  <c:v>2136.346666666715</c:v>
                </c:pt>
                <c:pt idx="772">
                  <c:v>2136.346666666715</c:v>
                </c:pt>
                <c:pt idx="773">
                  <c:v>2136.346666666715</c:v>
                </c:pt>
                <c:pt idx="774">
                  <c:v>2136.346666666715</c:v>
                </c:pt>
                <c:pt idx="775">
                  <c:v>2136.346666666715</c:v>
                </c:pt>
                <c:pt idx="776">
                  <c:v>2136.346666666715</c:v>
                </c:pt>
                <c:pt idx="777">
                  <c:v>2136.346666666715</c:v>
                </c:pt>
                <c:pt idx="778">
                  <c:v>2136.346666666715</c:v>
                </c:pt>
                <c:pt idx="779">
                  <c:v>2136.346666666715</c:v>
                </c:pt>
                <c:pt idx="780">
                  <c:v>2136.346666666715</c:v>
                </c:pt>
                <c:pt idx="781">
                  <c:v>2136.346666666715</c:v>
                </c:pt>
                <c:pt idx="782">
                  <c:v>2136.346666666715</c:v>
                </c:pt>
                <c:pt idx="783">
                  <c:v>2136.346666666715</c:v>
                </c:pt>
                <c:pt idx="784">
                  <c:v>2136.346666666715</c:v>
                </c:pt>
                <c:pt idx="785">
                  <c:v>2136.346666666715</c:v>
                </c:pt>
                <c:pt idx="786">
                  <c:v>2088.346666666715</c:v>
                </c:pt>
                <c:pt idx="787">
                  <c:v>2088.346666666715</c:v>
                </c:pt>
                <c:pt idx="788">
                  <c:v>2088.346666666715</c:v>
                </c:pt>
                <c:pt idx="789">
                  <c:v>2088.346666666715</c:v>
                </c:pt>
                <c:pt idx="790">
                  <c:v>2088.346666666715</c:v>
                </c:pt>
                <c:pt idx="791">
                  <c:v>2088.346666666715</c:v>
                </c:pt>
                <c:pt idx="792">
                  <c:v>2088.346666666715</c:v>
                </c:pt>
                <c:pt idx="793">
                  <c:v>2088.346666666715</c:v>
                </c:pt>
                <c:pt idx="794">
                  <c:v>2088.346666666715</c:v>
                </c:pt>
                <c:pt idx="795">
                  <c:v>2088.346666666715</c:v>
                </c:pt>
                <c:pt idx="796">
                  <c:v>2088.346666666715</c:v>
                </c:pt>
                <c:pt idx="797">
                  <c:v>2088.346666666715</c:v>
                </c:pt>
                <c:pt idx="798">
                  <c:v>2088.346666666715</c:v>
                </c:pt>
                <c:pt idx="799">
                  <c:v>2088.346666666715</c:v>
                </c:pt>
                <c:pt idx="800">
                  <c:v>2088.346666666715</c:v>
                </c:pt>
                <c:pt idx="801">
                  <c:v>2088.346666666715</c:v>
                </c:pt>
                <c:pt idx="802">
                  <c:v>2088.346666666715</c:v>
                </c:pt>
                <c:pt idx="803">
                  <c:v>2936.3466666667146</c:v>
                </c:pt>
                <c:pt idx="804">
                  <c:v>3992.3466666667146</c:v>
                </c:pt>
                <c:pt idx="805">
                  <c:v>3992.3466666667146</c:v>
                </c:pt>
                <c:pt idx="806">
                  <c:v>3992.3466666667146</c:v>
                </c:pt>
                <c:pt idx="807">
                  <c:v>3992.3466666667146</c:v>
                </c:pt>
                <c:pt idx="808">
                  <c:v>3992.3466666667146</c:v>
                </c:pt>
                <c:pt idx="809">
                  <c:v>4264.3466666667146</c:v>
                </c:pt>
                <c:pt idx="810">
                  <c:v>4264.3466666667146</c:v>
                </c:pt>
                <c:pt idx="811">
                  <c:v>4264.3466666667146</c:v>
                </c:pt>
                <c:pt idx="812">
                  <c:v>5192.3466666667146</c:v>
                </c:pt>
                <c:pt idx="813">
                  <c:v>5192.3466666667146</c:v>
                </c:pt>
                <c:pt idx="814">
                  <c:v>5192.3466666667146</c:v>
                </c:pt>
                <c:pt idx="815">
                  <c:v>5192.3466666667146</c:v>
                </c:pt>
                <c:pt idx="816">
                  <c:v>5192.3466666667146</c:v>
                </c:pt>
                <c:pt idx="817">
                  <c:v>5192.3466666667146</c:v>
                </c:pt>
                <c:pt idx="818">
                  <c:v>5192.3466666667146</c:v>
                </c:pt>
                <c:pt idx="819">
                  <c:v>5192.3466666667146</c:v>
                </c:pt>
                <c:pt idx="820">
                  <c:v>5192.3466666667146</c:v>
                </c:pt>
                <c:pt idx="821">
                  <c:v>5192.3466666667146</c:v>
                </c:pt>
                <c:pt idx="822">
                  <c:v>5192.3466666667146</c:v>
                </c:pt>
                <c:pt idx="823">
                  <c:v>5320.3466666667146</c:v>
                </c:pt>
                <c:pt idx="824">
                  <c:v>5320.3466666667146</c:v>
                </c:pt>
                <c:pt idx="825">
                  <c:v>5320.3466666667146</c:v>
                </c:pt>
                <c:pt idx="826">
                  <c:v>5320.3466666667146</c:v>
                </c:pt>
                <c:pt idx="827">
                  <c:v>5320.3466666667146</c:v>
                </c:pt>
                <c:pt idx="828">
                  <c:v>5320.3466666667146</c:v>
                </c:pt>
                <c:pt idx="829">
                  <c:v>5320.3466666667146</c:v>
                </c:pt>
                <c:pt idx="830">
                  <c:v>5320.3466666667146</c:v>
                </c:pt>
                <c:pt idx="831">
                  <c:v>5320.3466666667146</c:v>
                </c:pt>
                <c:pt idx="832">
                  <c:v>5320.3466666667146</c:v>
                </c:pt>
                <c:pt idx="833">
                  <c:v>5320.3466666667146</c:v>
                </c:pt>
                <c:pt idx="834">
                  <c:v>5320.3466666667146</c:v>
                </c:pt>
                <c:pt idx="835">
                  <c:v>5320.3466666667146</c:v>
                </c:pt>
                <c:pt idx="836">
                  <c:v>5320.3466666667146</c:v>
                </c:pt>
                <c:pt idx="837">
                  <c:v>5320.3466666667146</c:v>
                </c:pt>
                <c:pt idx="838">
                  <c:v>5320.3466666667146</c:v>
                </c:pt>
                <c:pt idx="839">
                  <c:v>5320.3466666667146</c:v>
                </c:pt>
                <c:pt idx="840">
                  <c:v>5320.3466666667146</c:v>
                </c:pt>
                <c:pt idx="841">
                  <c:v>5320.3466666667146</c:v>
                </c:pt>
                <c:pt idx="842">
                  <c:v>5320.3466666667146</c:v>
                </c:pt>
                <c:pt idx="843">
                  <c:v>5320.3466666667146</c:v>
                </c:pt>
                <c:pt idx="844">
                  <c:v>5320.3466666667146</c:v>
                </c:pt>
                <c:pt idx="845">
                  <c:v>5320.3466666667146</c:v>
                </c:pt>
                <c:pt idx="846">
                  <c:v>5320.3466666667146</c:v>
                </c:pt>
                <c:pt idx="847">
                  <c:v>5320.3466666667146</c:v>
                </c:pt>
                <c:pt idx="848">
                  <c:v>5320.3466666667146</c:v>
                </c:pt>
                <c:pt idx="849">
                  <c:v>5320.3466666667146</c:v>
                </c:pt>
                <c:pt idx="850">
                  <c:v>5320.3466666667146</c:v>
                </c:pt>
                <c:pt idx="851">
                  <c:v>5320.3466666667146</c:v>
                </c:pt>
                <c:pt idx="852">
                  <c:v>5320.3466666667146</c:v>
                </c:pt>
                <c:pt idx="853">
                  <c:v>5320.3466666667146</c:v>
                </c:pt>
                <c:pt idx="854">
                  <c:v>5320.3466666667146</c:v>
                </c:pt>
                <c:pt idx="855">
                  <c:v>5320.3466666667146</c:v>
                </c:pt>
                <c:pt idx="856">
                  <c:v>5320.3466666667146</c:v>
                </c:pt>
                <c:pt idx="857">
                  <c:v>5320.3466666667146</c:v>
                </c:pt>
                <c:pt idx="858">
                  <c:v>5320.3466666667146</c:v>
                </c:pt>
                <c:pt idx="859">
                  <c:v>5320.3466666667146</c:v>
                </c:pt>
                <c:pt idx="860">
                  <c:v>5320.3466666667146</c:v>
                </c:pt>
                <c:pt idx="861">
                  <c:v>5320.3466666667146</c:v>
                </c:pt>
                <c:pt idx="862">
                  <c:v>5320.3466666667146</c:v>
                </c:pt>
                <c:pt idx="863">
                  <c:v>5320.3466666667146</c:v>
                </c:pt>
                <c:pt idx="864">
                  <c:v>5320.3466666667146</c:v>
                </c:pt>
                <c:pt idx="865">
                  <c:v>5320.3466666667146</c:v>
                </c:pt>
                <c:pt idx="866">
                  <c:v>5320.3466666667146</c:v>
                </c:pt>
                <c:pt idx="867">
                  <c:v>5320.3466666667146</c:v>
                </c:pt>
                <c:pt idx="868">
                  <c:v>5320.3466666667146</c:v>
                </c:pt>
                <c:pt idx="869">
                  <c:v>5320.3466666667146</c:v>
                </c:pt>
                <c:pt idx="870">
                  <c:v>5544.3466666667146</c:v>
                </c:pt>
                <c:pt idx="871">
                  <c:v>5544.3466666667146</c:v>
                </c:pt>
                <c:pt idx="872">
                  <c:v>5544.3466666667146</c:v>
                </c:pt>
                <c:pt idx="873">
                  <c:v>5544.3466666667146</c:v>
                </c:pt>
                <c:pt idx="874">
                  <c:v>5544.3466666667146</c:v>
                </c:pt>
                <c:pt idx="875">
                  <c:v>5544.3466666667146</c:v>
                </c:pt>
                <c:pt idx="876">
                  <c:v>5544.3466666667146</c:v>
                </c:pt>
                <c:pt idx="877">
                  <c:v>5544.3466666667146</c:v>
                </c:pt>
                <c:pt idx="878">
                  <c:v>5544.3466666667146</c:v>
                </c:pt>
                <c:pt idx="879">
                  <c:v>5544.3466666667146</c:v>
                </c:pt>
                <c:pt idx="880">
                  <c:v>5544.3466666667146</c:v>
                </c:pt>
                <c:pt idx="881">
                  <c:v>5768.3466666667146</c:v>
                </c:pt>
                <c:pt idx="882">
                  <c:v>5768.3466666667146</c:v>
                </c:pt>
                <c:pt idx="883">
                  <c:v>5768.3466666667146</c:v>
                </c:pt>
                <c:pt idx="884">
                  <c:v>5768.3466666667146</c:v>
                </c:pt>
                <c:pt idx="885">
                  <c:v>5768.3466666667146</c:v>
                </c:pt>
                <c:pt idx="886">
                  <c:v>5768.3466666667146</c:v>
                </c:pt>
                <c:pt idx="887">
                  <c:v>5768.3466666667146</c:v>
                </c:pt>
                <c:pt idx="888">
                  <c:v>5768.3466666667146</c:v>
                </c:pt>
                <c:pt idx="889">
                  <c:v>5768.3466666667146</c:v>
                </c:pt>
                <c:pt idx="890">
                  <c:v>5768.3466666667146</c:v>
                </c:pt>
                <c:pt idx="891">
                  <c:v>5768.3466666667146</c:v>
                </c:pt>
                <c:pt idx="892">
                  <c:v>5768.3466666667146</c:v>
                </c:pt>
                <c:pt idx="893">
                  <c:v>5768.3466666667146</c:v>
                </c:pt>
                <c:pt idx="894">
                  <c:v>5768.3466666667146</c:v>
                </c:pt>
                <c:pt idx="895">
                  <c:v>5768.3466666667146</c:v>
                </c:pt>
                <c:pt idx="896">
                  <c:v>5768.3466666667146</c:v>
                </c:pt>
                <c:pt idx="897">
                  <c:v>5768.3466666667146</c:v>
                </c:pt>
                <c:pt idx="898">
                  <c:v>5768.3466666667146</c:v>
                </c:pt>
                <c:pt idx="899">
                  <c:v>5768.3466666667146</c:v>
                </c:pt>
                <c:pt idx="900">
                  <c:v>5768.3466666667146</c:v>
                </c:pt>
                <c:pt idx="901">
                  <c:v>5768.3466666667146</c:v>
                </c:pt>
                <c:pt idx="902">
                  <c:v>5768.3466666667146</c:v>
                </c:pt>
                <c:pt idx="903">
                  <c:v>5768.3466666667146</c:v>
                </c:pt>
                <c:pt idx="904">
                  <c:v>5768.3466666667146</c:v>
                </c:pt>
                <c:pt idx="905">
                  <c:v>5768.3466666667146</c:v>
                </c:pt>
                <c:pt idx="906">
                  <c:v>5768.3466666667146</c:v>
                </c:pt>
                <c:pt idx="907">
                  <c:v>5768.3466666667146</c:v>
                </c:pt>
                <c:pt idx="908">
                  <c:v>5768.3466666667146</c:v>
                </c:pt>
                <c:pt idx="909">
                  <c:v>5768.3466666667146</c:v>
                </c:pt>
                <c:pt idx="910">
                  <c:v>5816.3466666667146</c:v>
                </c:pt>
                <c:pt idx="911">
                  <c:v>5720.3466666667146</c:v>
                </c:pt>
                <c:pt idx="912">
                  <c:v>5768.3466666667146</c:v>
                </c:pt>
                <c:pt idx="913">
                  <c:v>5768.3466666667146</c:v>
                </c:pt>
                <c:pt idx="914">
                  <c:v>5768.3466666667146</c:v>
                </c:pt>
                <c:pt idx="915">
                  <c:v>5768.3466666667146</c:v>
                </c:pt>
                <c:pt idx="916">
                  <c:v>5768.3466666667146</c:v>
                </c:pt>
                <c:pt idx="917">
                  <c:v>5768.3466666667146</c:v>
                </c:pt>
                <c:pt idx="918">
                  <c:v>5768.3466666667146</c:v>
                </c:pt>
                <c:pt idx="919">
                  <c:v>5064.3466666667146</c:v>
                </c:pt>
                <c:pt idx="920">
                  <c:v>5064.3466666667146</c:v>
                </c:pt>
                <c:pt idx="921">
                  <c:v>5064.3466666667146</c:v>
                </c:pt>
                <c:pt idx="922">
                  <c:v>5064.3466666667146</c:v>
                </c:pt>
                <c:pt idx="923">
                  <c:v>5064.3466666667146</c:v>
                </c:pt>
                <c:pt idx="924">
                  <c:v>5064.3466666667146</c:v>
                </c:pt>
                <c:pt idx="925">
                  <c:v>5064.3466666667146</c:v>
                </c:pt>
                <c:pt idx="926">
                  <c:v>5064.3466666667146</c:v>
                </c:pt>
                <c:pt idx="927">
                  <c:v>5064.3466666667146</c:v>
                </c:pt>
                <c:pt idx="928">
                  <c:v>5064.3466666667146</c:v>
                </c:pt>
                <c:pt idx="929">
                  <c:v>5064.3466666667146</c:v>
                </c:pt>
                <c:pt idx="930">
                  <c:v>5064.3466666667146</c:v>
                </c:pt>
                <c:pt idx="931">
                  <c:v>5064.3466666667146</c:v>
                </c:pt>
                <c:pt idx="932">
                  <c:v>5064.3466666667146</c:v>
                </c:pt>
                <c:pt idx="933">
                  <c:v>5064.3466666667146</c:v>
                </c:pt>
                <c:pt idx="934">
                  <c:v>5064.3466666667146</c:v>
                </c:pt>
                <c:pt idx="935">
                  <c:v>5064.3466666667146</c:v>
                </c:pt>
                <c:pt idx="936">
                  <c:v>5064.3466666667146</c:v>
                </c:pt>
                <c:pt idx="937">
                  <c:v>5064.3466666667146</c:v>
                </c:pt>
                <c:pt idx="938">
                  <c:v>5064.3466666667146</c:v>
                </c:pt>
                <c:pt idx="939">
                  <c:v>5064.3466666667146</c:v>
                </c:pt>
                <c:pt idx="940">
                  <c:v>5064.3466666667146</c:v>
                </c:pt>
                <c:pt idx="941">
                  <c:v>5384.3466666667146</c:v>
                </c:pt>
                <c:pt idx="942">
                  <c:v>5384.3466666667146</c:v>
                </c:pt>
                <c:pt idx="943">
                  <c:v>5384.3466666667146</c:v>
                </c:pt>
                <c:pt idx="944">
                  <c:v>5384.3466666667146</c:v>
                </c:pt>
                <c:pt idx="945">
                  <c:v>5384.3466666667146</c:v>
                </c:pt>
                <c:pt idx="946">
                  <c:v>5384.3466666667146</c:v>
                </c:pt>
                <c:pt idx="947">
                  <c:v>5384.3466666667146</c:v>
                </c:pt>
                <c:pt idx="948">
                  <c:v>5384.3466666667146</c:v>
                </c:pt>
                <c:pt idx="949">
                  <c:v>5384.3466666667146</c:v>
                </c:pt>
                <c:pt idx="950">
                  <c:v>5384.3466666667146</c:v>
                </c:pt>
                <c:pt idx="951">
                  <c:v>5384.3466666667146</c:v>
                </c:pt>
                <c:pt idx="952">
                  <c:v>5464.3466666667146</c:v>
                </c:pt>
                <c:pt idx="953">
                  <c:v>5464.3466666667146</c:v>
                </c:pt>
                <c:pt idx="954">
                  <c:v>5464.3466666667146</c:v>
                </c:pt>
                <c:pt idx="955">
                  <c:v>5464.3466666667146</c:v>
                </c:pt>
                <c:pt idx="956">
                  <c:v>5488.3466666667146</c:v>
                </c:pt>
                <c:pt idx="957">
                  <c:v>5488.3466666667146</c:v>
                </c:pt>
                <c:pt idx="958">
                  <c:v>5488.3466666667146</c:v>
                </c:pt>
                <c:pt idx="959">
                  <c:v>5488.3466666667146</c:v>
                </c:pt>
                <c:pt idx="960">
                  <c:v>5488.3466666667146</c:v>
                </c:pt>
                <c:pt idx="961">
                  <c:v>5488.3466666667146</c:v>
                </c:pt>
                <c:pt idx="962">
                  <c:v>5488.3466666667146</c:v>
                </c:pt>
                <c:pt idx="963">
                  <c:v>5488.3466666667146</c:v>
                </c:pt>
                <c:pt idx="964">
                  <c:v>5488.3466666667146</c:v>
                </c:pt>
                <c:pt idx="965">
                  <c:v>5632.3466666667146</c:v>
                </c:pt>
                <c:pt idx="966">
                  <c:v>5632.3466666667146</c:v>
                </c:pt>
                <c:pt idx="967">
                  <c:v>5632.3466666667146</c:v>
                </c:pt>
                <c:pt idx="968">
                  <c:v>5632.3466666667146</c:v>
                </c:pt>
                <c:pt idx="969">
                  <c:v>5632.3466666667146</c:v>
                </c:pt>
                <c:pt idx="970">
                  <c:v>5696.3466666667146</c:v>
                </c:pt>
                <c:pt idx="971">
                  <c:v>5696.3466666667146</c:v>
                </c:pt>
                <c:pt idx="972">
                  <c:v>5696.3466666667146</c:v>
                </c:pt>
                <c:pt idx="973">
                  <c:v>5696.3466666667146</c:v>
                </c:pt>
                <c:pt idx="974">
                  <c:v>5696.3466666667146</c:v>
                </c:pt>
                <c:pt idx="975">
                  <c:v>5696.3466666667146</c:v>
                </c:pt>
                <c:pt idx="976">
                  <c:v>5696.3466666667146</c:v>
                </c:pt>
                <c:pt idx="977">
                  <c:v>5696.3466666667146</c:v>
                </c:pt>
                <c:pt idx="978">
                  <c:v>5696.3466666667146</c:v>
                </c:pt>
                <c:pt idx="979">
                  <c:v>5696.3466666667146</c:v>
                </c:pt>
                <c:pt idx="980">
                  <c:v>5696.3466666667146</c:v>
                </c:pt>
                <c:pt idx="981">
                  <c:v>6352.3466666667146</c:v>
                </c:pt>
                <c:pt idx="982">
                  <c:v>6352.3466666667146</c:v>
                </c:pt>
                <c:pt idx="983">
                  <c:v>6352.3466666667146</c:v>
                </c:pt>
                <c:pt idx="984">
                  <c:v>6352.3466666667146</c:v>
                </c:pt>
                <c:pt idx="985">
                  <c:v>6400.3466666667146</c:v>
                </c:pt>
                <c:pt idx="986">
                  <c:v>6400.3466666667146</c:v>
                </c:pt>
                <c:pt idx="987">
                  <c:v>6400.3466666667146</c:v>
                </c:pt>
                <c:pt idx="988">
                  <c:v>6400.3466666667146</c:v>
                </c:pt>
                <c:pt idx="989">
                  <c:v>6400.3466666667146</c:v>
                </c:pt>
                <c:pt idx="990">
                  <c:v>6400.3466666667146</c:v>
                </c:pt>
                <c:pt idx="991">
                  <c:v>6400.3466666667146</c:v>
                </c:pt>
                <c:pt idx="992">
                  <c:v>6400.3466666667146</c:v>
                </c:pt>
                <c:pt idx="993">
                  <c:v>6640.3466666667146</c:v>
                </c:pt>
                <c:pt idx="994">
                  <c:v>6640.3466666667146</c:v>
                </c:pt>
                <c:pt idx="995">
                  <c:v>6640.3466666667146</c:v>
                </c:pt>
                <c:pt idx="996">
                  <c:v>6640.3466666667146</c:v>
                </c:pt>
                <c:pt idx="997">
                  <c:v>6880.3466666667146</c:v>
                </c:pt>
                <c:pt idx="998">
                  <c:v>6880.3466666667146</c:v>
                </c:pt>
                <c:pt idx="999">
                  <c:v>6880.3466666667146</c:v>
                </c:pt>
                <c:pt idx="1000">
                  <c:v>6880.3466666667146</c:v>
                </c:pt>
                <c:pt idx="1001">
                  <c:v>6880.3466666667146</c:v>
                </c:pt>
                <c:pt idx="1002">
                  <c:v>6880.3466666667146</c:v>
                </c:pt>
                <c:pt idx="1003">
                  <c:v>6880.3466666667146</c:v>
                </c:pt>
                <c:pt idx="1004">
                  <c:v>6912.3466666667146</c:v>
                </c:pt>
                <c:pt idx="1005">
                  <c:v>6912.3466666667146</c:v>
                </c:pt>
                <c:pt idx="1006">
                  <c:v>6912.3466666667146</c:v>
                </c:pt>
                <c:pt idx="1007">
                  <c:v>6912.3466666667146</c:v>
                </c:pt>
                <c:pt idx="1008">
                  <c:v>6912.3466666667146</c:v>
                </c:pt>
                <c:pt idx="1009">
                  <c:v>6912.3466666667146</c:v>
                </c:pt>
                <c:pt idx="1010">
                  <c:v>6912.3466666667146</c:v>
                </c:pt>
                <c:pt idx="1011">
                  <c:v>6912.3466666667146</c:v>
                </c:pt>
                <c:pt idx="1012">
                  <c:v>6912.3466666667146</c:v>
                </c:pt>
                <c:pt idx="1013">
                  <c:v>6912.3466666667146</c:v>
                </c:pt>
                <c:pt idx="1014">
                  <c:v>6912.3466666667146</c:v>
                </c:pt>
                <c:pt idx="1015">
                  <c:v>6912.3466666667146</c:v>
                </c:pt>
                <c:pt idx="1016">
                  <c:v>6912.3466666667146</c:v>
                </c:pt>
                <c:pt idx="1017">
                  <c:v>6912.3466666667146</c:v>
                </c:pt>
                <c:pt idx="1018">
                  <c:v>6912.3466666667146</c:v>
                </c:pt>
                <c:pt idx="1019">
                  <c:v>6912.3466666667146</c:v>
                </c:pt>
                <c:pt idx="1020">
                  <c:v>6912.3466666667146</c:v>
                </c:pt>
                <c:pt idx="1021">
                  <c:v>6912.3466666667146</c:v>
                </c:pt>
                <c:pt idx="1022">
                  <c:v>6912.3466666667146</c:v>
                </c:pt>
                <c:pt idx="1023">
                  <c:v>6912.3466666667146</c:v>
                </c:pt>
                <c:pt idx="1024">
                  <c:v>6912.3466666667146</c:v>
                </c:pt>
                <c:pt idx="1025">
                  <c:v>6912.3466666667146</c:v>
                </c:pt>
                <c:pt idx="1026">
                  <c:v>6912.3466666667146</c:v>
                </c:pt>
                <c:pt idx="1027">
                  <c:v>6912.3466666667146</c:v>
                </c:pt>
                <c:pt idx="1028">
                  <c:v>6912.3466666667146</c:v>
                </c:pt>
                <c:pt idx="1029">
                  <c:v>6912.3466666667146</c:v>
                </c:pt>
                <c:pt idx="1030">
                  <c:v>6912.3466666667146</c:v>
                </c:pt>
                <c:pt idx="1031">
                  <c:v>6912.3466666667146</c:v>
                </c:pt>
                <c:pt idx="1032">
                  <c:v>6912.3466666667146</c:v>
                </c:pt>
                <c:pt idx="1033">
                  <c:v>6912.3466666667146</c:v>
                </c:pt>
                <c:pt idx="1034">
                  <c:v>6912.3466666667146</c:v>
                </c:pt>
                <c:pt idx="1035">
                  <c:v>6912.3466666667146</c:v>
                </c:pt>
                <c:pt idx="1036">
                  <c:v>6912.3466666667146</c:v>
                </c:pt>
                <c:pt idx="1037">
                  <c:v>6912.3466666667146</c:v>
                </c:pt>
                <c:pt idx="1038">
                  <c:v>6272.3466666667146</c:v>
                </c:pt>
                <c:pt idx="1039">
                  <c:v>6368.3466666667146</c:v>
                </c:pt>
                <c:pt idx="1040">
                  <c:v>6528.3466666667146</c:v>
                </c:pt>
                <c:pt idx="1041">
                  <c:v>5616.3466666667146</c:v>
                </c:pt>
                <c:pt idx="1042">
                  <c:v>5616.3466666667146</c:v>
                </c:pt>
                <c:pt idx="1043">
                  <c:v>5616.3466666667146</c:v>
                </c:pt>
                <c:pt idx="1044">
                  <c:v>5616.3466666667146</c:v>
                </c:pt>
                <c:pt idx="1045">
                  <c:v>5616.3466666667146</c:v>
                </c:pt>
                <c:pt idx="1046">
                  <c:v>5642.2366666667649</c:v>
                </c:pt>
                <c:pt idx="1047">
                  <c:v>5642.2366666667649</c:v>
                </c:pt>
                <c:pt idx="1048">
                  <c:v>5642.2366666667649</c:v>
                </c:pt>
                <c:pt idx="1049">
                  <c:v>5642.2366666667649</c:v>
                </c:pt>
                <c:pt idx="1050">
                  <c:v>5642.2366666667649</c:v>
                </c:pt>
                <c:pt idx="1051">
                  <c:v>5642.2366666667649</c:v>
                </c:pt>
                <c:pt idx="1052">
                  <c:v>5642.2366666667649</c:v>
                </c:pt>
                <c:pt idx="1053">
                  <c:v>5642.2366666667649</c:v>
                </c:pt>
                <c:pt idx="1054">
                  <c:v>5642.2366666667649</c:v>
                </c:pt>
                <c:pt idx="1055">
                  <c:v>5642.2366666667649</c:v>
                </c:pt>
                <c:pt idx="1056">
                  <c:v>5642.2366666667649</c:v>
                </c:pt>
                <c:pt idx="1057">
                  <c:v>5642.2366666667649</c:v>
                </c:pt>
                <c:pt idx="1058">
                  <c:v>5642.2366666667649</c:v>
                </c:pt>
                <c:pt idx="1059">
                  <c:v>5642.2366666667649</c:v>
                </c:pt>
                <c:pt idx="1060">
                  <c:v>5642.2366666667649</c:v>
                </c:pt>
                <c:pt idx="1061">
                  <c:v>5642.2366666667649</c:v>
                </c:pt>
                <c:pt idx="1062">
                  <c:v>5642.2366666667649</c:v>
                </c:pt>
                <c:pt idx="1063">
                  <c:v>5642.2366666667649</c:v>
                </c:pt>
                <c:pt idx="1064">
                  <c:v>5642.2366666667649</c:v>
                </c:pt>
                <c:pt idx="1065">
                  <c:v>5642.2366666667649</c:v>
                </c:pt>
                <c:pt idx="1066">
                  <c:v>5642.2366666667649</c:v>
                </c:pt>
                <c:pt idx="1067">
                  <c:v>5642.2366666667649</c:v>
                </c:pt>
                <c:pt idx="1068">
                  <c:v>5642.2366666667649</c:v>
                </c:pt>
                <c:pt idx="1069">
                  <c:v>5642.2366666667649</c:v>
                </c:pt>
                <c:pt idx="1070">
                  <c:v>5642.2366666667649</c:v>
                </c:pt>
                <c:pt idx="1071">
                  <c:v>5642.2366666667649</c:v>
                </c:pt>
                <c:pt idx="1072">
                  <c:v>5642.2366666667649</c:v>
                </c:pt>
                <c:pt idx="1073">
                  <c:v>5642.2366666667649</c:v>
                </c:pt>
                <c:pt idx="1074">
                  <c:v>5642.2366666667649</c:v>
                </c:pt>
                <c:pt idx="1075">
                  <c:v>5642.2366666667649</c:v>
                </c:pt>
                <c:pt idx="1076">
                  <c:v>5642.2366666667649</c:v>
                </c:pt>
                <c:pt idx="1077">
                  <c:v>5642.2366666667649</c:v>
                </c:pt>
                <c:pt idx="1078">
                  <c:v>5642.2366666667649</c:v>
                </c:pt>
                <c:pt idx="1079">
                  <c:v>5642.2366666667649</c:v>
                </c:pt>
                <c:pt idx="1080">
                  <c:v>5642.2366666667649</c:v>
                </c:pt>
                <c:pt idx="1081">
                  <c:v>5642.2366666667649</c:v>
                </c:pt>
                <c:pt idx="1082">
                  <c:v>5642.2366666667649</c:v>
                </c:pt>
                <c:pt idx="1083">
                  <c:v>5642.2366666667649</c:v>
                </c:pt>
                <c:pt idx="1084">
                  <c:v>5642.2366666667649</c:v>
                </c:pt>
                <c:pt idx="1085">
                  <c:v>5642.2366666667649</c:v>
                </c:pt>
                <c:pt idx="1086">
                  <c:v>5642.2366666667649</c:v>
                </c:pt>
                <c:pt idx="1087">
                  <c:v>5642.2366666667649</c:v>
                </c:pt>
                <c:pt idx="1088">
                  <c:v>5642.2366666667649</c:v>
                </c:pt>
                <c:pt idx="1089">
                  <c:v>5642.2366666667649</c:v>
                </c:pt>
                <c:pt idx="1090">
                  <c:v>5642.2366666667649</c:v>
                </c:pt>
                <c:pt idx="1091">
                  <c:v>5642.2366666667649</c:v>
                </c:pt>
                <c:pt idx="1092">
                  <c:v>5666.2366666667649</c:v>
                </c:pt>
                <c:pt idx="1093">
                  <c:v>5666.2366666667649</c:v>
                </c:pt>
                <c:pt idx="1094">
                  <c:v>5666.2366666667649</c:v>
                </c:pt>
                <c:pt idx="1095">
                  <c:v>5666.2366666667649</c:v>
                </c:pt>
                <c:pt idx="1096">
                  <c:v>5666.2366666667649</c:v>
                </c:pt>
                <c:pt idx="1097">
                  <c:v>5666.2366666667649</c:v>
                </c:pt>
                <c:pt idx="1098">
                  <c:v>5666.2366666667649</c:v>
                </c:pt>
                <c:pt idx="1099">
                  <c:v>5666.2366666667649</c:v>
                </c:pt>
                <c:pt idx="1100">
                  <c:v>5666.2366666667649</c:v>
                </c:pt>
                <c:pt idx="1101">
                  <c:v>5666.2366666667649</c:v>
                </c:pt>
                <c:pt idx="1102">
                  <c:v>5666.2366666667649</c:v>
                </c:pt>
                <c:pt idx="1103">
                  <c:v>5666.2366666667649</c:v>
                </c:pt>
                <c:pt idx="1104">
                  <c:v>5666.2366666667649</c:v>
                </c:pt>
                <c:pt idx="1105">
                  <c:v>5666.2366666667649</c:v>
                </c:pt>
                <c:pt idx="1106">
                  <c:v>5666.2366666667649</c:v>
                </c:pt>
                <c:pt idx="1107">
                  <c:v>5666.2366666667649</c:v>
                </c:pt>
                <c:pt idx="1108">
                  <c:v>5666.2366666667649</c:v>
                </c:pt>
                <c:pt idx="1109">
                  <c:v>5666.2366666667649</c:v>
                </c:pt>
                <c:pt idx="1110">
                  <c:v>5666.2366666667649</c:v>
                </c:pt>
                <c:pt idx="1111">
                  <c:v>5666.2366666667649</c:v>
                </c:pt>
                <c:pt idx="1112">
                  <c:v>5666.2366666667649</c:v>
                </c:pt>
                <c:pt idx="1113">
                  <c:v>5666.2366666667649</c:v>
                </c:pt>
                <c:pt idx="1114">
                  <c:v>5666.2366666667649</c:v>
                </c:pt>
                <c:pt idx="1115">
                  <c:v>5666.2366666667649</c:v>
                </c:pt>
                <c:pt idx="1116">
                  <c:v>5666.2366666667649</c:v>
                </c:pt>
                <c:pt idx="1117">
                  <c:v>5666.2366666667649</c:v>
                </c:pt>
                <c:pt idx="1118">
                  <c:v>5666.2366666667649</c:v>
                </c:pt>
                <c:pt idx="1119">
                  <c:v>5810.2366666667649</c:v>
                </c:pt>
                <c:pt idx="1120">
                  <c:v>5810.2366666667649</c:v>
                </c:pt>
                <c:pt idx="1121">
                  <c:v>5810.2366666667649</c:v>
                </c:pt>
                <c:pt idx="1122">
                  <c:v>5810.2366666667649</c:v>
                </c:pt>
                <c:pt idx="1123">
                  <c:v>5810.2366666667649</c:v>
                </c:pt>
                <c:pt idx="1124">
                  <c:v>5810.2366666667649</c:v>
                </c:pt>
                <c:pt idx="1125">
                  <c:v>5810.2366666667649</c:v>
                </c:pt>
                <c:pt idx="1126">
                  <c:v>5810.2366666667649</c:v>
                </c:pt>
                <c:pt idx="1127">
                  <c:v>5810.2366666667649</c:v>
                </c:pt>
                <c:pt idx="1128">
                  <c:v>6050.2366666667649</c:v>
                </c:pt>
                <c:pt idx="1129">
                  <c:v>6050.2366666667649</c:v>
                </c:pt>
                <c:pt idx="1130">
                  <c:v>6050.2366666667649</c:v>
                </c:pt>
                <c:pt idx="1131">
                  <c:v>6050.2366666667649</c:v>
                </c:pt>
                <c:pt idx="1132">
                  <c:v>6050.2366666667649</c:v>
                </c:pt>
                <c:pt idx="1133">
                  <c:v>6050.2366666667649</c:v>
                </c:pt>
                <c:pt idx="1134">
                  <c:v>6050.2366666667649</c:v>
                </c:pt>
                <c:pt idx="1135">
                  <c:v>6050.2366666667649</c:v>
                </c:pt>
                <c:pt idx="1136">
                  <c:v>6050.2366666667649</c:v>
                </c:pt>
                <c:pt idx="1137">
                  <c:v>6050.2366666667649</c:v>
                </c:pt>
                <c:pt idx="1138">
                  <c:v>6050.2366666667649</c:v>
                </c:pt>
                <c:pt idx="1139">
                  <c:v>5474.2366666667649</c:v>
                </c:pt>
                <c:pt idx="1140">
                  <c:v>5090.2366666667649</c:v>
                </c:pt>
                <c:pt idx="1141">
                  <c:v>5090.2366666667649</c:v>
                </c:pt>
                <c:pt idx="1142">
                  <c:v>5090.2366666667649</c:v>
                </c:pt>
                <c:pt idx="1143">
                  <c:v>5090.2366666667649</c:v>
                </c:pt>
                <c:pt idx="1144">
                  <c:v>5090.2366666667649</c:v>
                </c:pt>
                <c:pt idx="1145">
                  <c:v>5090.2366666667649</c:v>
                </c:pt>
                <c:pt idx="1146">
                  <c:v>5090.2366666667649</c:v>
                </c:pt>
                <c:pt idx="1147">
                  <c:v>5090.2366666667649</c:v>
                </c:pt>
                <c:pt idx="1148">
                  <c:v>4770.2366666667649</c:v>
                </c:pt>
                <c:pt idx="1149">
                  <c:v>4770.2366666667649</c:v>
                </c:pt>
                <c:pt idx="1150">
                  <c:v>4770.2366666667649</c:v>
                </c:pt>
                <c:pt idx="1151">
                  <c:v>4770.2366666667649</c:v>
                </c:pt>
                <c:pt idx="1152">
                  <c:v>4818.2366666667649</c:v>
                </c:pt>
                <c:pt idx="1153">
                  <c:v>4850.2366666667649</c:v>
                </c:pt>
                <c:pt idx="1154">
                  <c:v>4850.2366666667649</c:v>
                </c:pt>
                <c:pt idx="1155">
                  <c:v>4850.2366666667649</c:v>
                </c:pt>
                <c:pt idx="1156">
                  <c:v>4850.2366666667649</c:v>
                </c:pt>
                <c:pt idx="1157">
                  <c:v>4850.2366666667649</c:v>
                </c:pt>
                <c:pt idx="1158">
                  <c:v>4850.2366666667649</c:v>
                </c:pt>
                <c:pt idx="1159">
                  <c:v>4850.2366666667649</c:v>
                </c:pt>
                <c:pt idx="1160">
                  <c:v>5042.2366666667649</c:v>
                </c:pt>
                <c:pt idx="1161">
                  <c:v>5042.2366666667649</c:v>
                </c:pt>
                <c:pt idx="1162">
                  <c:v>5426.2366666667649</c:v>
                </c:pt>
                <c:pt idx="1163">
                  <c:v>5426.2366666667649</c:v>
                </c:pt>
                <c:pt idx="1164">
                  <c:v>5426.2366666667649</c:v>
                </c:pt>
                <c:pt idx="1165">
                  <c:v>5426.2366666667649</c:v>
                </c:pt>
                <c:pt idx="1166">
                  <c:v>5426.2366666667649</c:v>
                </c:pt>
                <c:pt idx="1167">
                  <c:v>5538.2366666667649</c:v>
                </c:pt>
                <c:pt idx="1168">
                  <c:v>5538.2366666667649</c:v>
                </c:pt>
                <c:pt idx="1169">
                  <c:v>5538.2366666667649</c:v>
                </c:pt>
                <c:pt idx="1170">
                  <c:v>5538.2366666667649</c:v>
                </c:pt>
                <c:pt idx="1171">
                  <c:v>5538.2366666667649</c:v>
                </c:pt>
                <c:pt idx="1172">
                  <c:v>5538.2366666667649</c:v>
                </c:pt>
                <c:pt idx="1173">
                  <c:v>5538.2366666667649</c:v>
                </c:pt>
                <c:pt idx="1174">
                  <c:v>5538.2366666667649</c:v>
                </c:pt>
                <c:pt idx="1175">
                  <c:v>5538.2366666667649</c:v>
                </c:pt>
                <c:pt idx="1176">
                  <c:v>5538.2366666667649</c:v>
                </c:pt>
                <c:pt idx="1177">
                  <c:v>5538.2366666667649</c:v>
                </c:pt>
                <c:pt idx="1178">
                  <c:v>5538.2366666667649</c:v>
                </c:pt>
                <c:pt idx="1179">
                  <c:v>5538.2366666667649</c:v>
                </c:pt>
                <c:pt idx="1180">
                  <c:v>5538.2366666667649</c:v>
                </c:pt>
                <c:pt idx="1181">
                  <c:v>5538.2366666667649</c:v>
                </c:pt>
                <c:pt idx="1182">
                  <c:v>5538.2366666667649</c:v>
                </c:pt>
                <c:pt idx="1183">
                  <c:v>5538.2366666667649</c:v>
                </c:pt>
                <c:pt idx="1184">
                  <c:v>5538.2366666667649</c:v>
                </c:pt>
                <c:pt idx="1185">
                  <c:v>5762.2366666667649</c:v>
                </c:pt>
                <c:pt idx="1186">
                  <c:v>5762.2366666667649</c:v>
                </c:pt>
                <c:pt idx="1187">
                  <c:v>5762.2366666667649</c:v>
                </c:pt>
                <c:pt idx="1188">
                  <c:v>5762.2366666667649</c:v>
                </c:pt>
                <c:pt idx="1189">
                  <c:v>5762.2366666667649</c:v>
                </c:pt>
                <c:pt idx="1190">
                  <c:v>5762.2366666667649</c:v>
                </c:pt>
                <c:pt idx="1191">
                  <c:v>5762.2366666667649</c:v>
                </c:pt>
                <c:pt idx="1192">
                  <c:v>5762.2366666667649</c:v>
                </c:pt>
                <c:pt idx="1193">
                  <c:v>5762.2366666667649</c:v>
                </c:pt>
                <c:pt idx="1194">
                  <c:v>5762.2366666667649</c:v>
                </c:pt>
                <c:pt idx="1195">
                  <c:v>5762.2366666667649</c:v>
                </c:pt>
                <c:pt idx="1196">
                  <c:v>5762.2366666667649</c:v>
                </c:pt>
                <c:pt idx="1197">
                  <c:v>5762.2366666667649</c:v>
                </c:pt>
                <c:pt idx="1198">
                  <c:v>5762.2366666667649</c:v>
                </c:pt>
                <c:pt idx="1199">
                  <c:v>5762.2366666667649</c:v>
                </c:pt>
                <c:pt idx="1200">
                  <c:v>5762.2366666667649</c:v>
                </c:pt>
                <c:pt idx="1201">
                  <c:v>5762.2366666667649</c:v>
                </c:pt>
                <c:pt idx="1202">
                  <c:v>5762.2366666667649</c:v>
                </c:pt>
                <c:pt idx="1203">
                  <c:v>5026.2366666667649</c:v>
                </c:pt>
                <c:pt idx="1204">
                  <c:v>5106.2366666667649</c:v>
                </c:pt>
                <c:pt idx="1205">
                  <c:v>5106.2366666667649</c:v>
                </c:pt>
                <c:pt idx="1206">
                  <c:v>5106.2366666667649</c:v>
                </c:pt>
                <c:pt idx="1207">
                  <c:v>5106.2366666667649</c:v>
                </c:pt>
                <c:pt idx="1208">
                  <c:v>5106.2366666667649</c:v>
                </c:pt>
                <c:pt idx="1209">
                  <c:v>5106.2366666667649</c:v>
                </c:pt>
                <c:pt idx="1210">
                  <c:v>5106.2366666667649</c:v>
                </c:pt>
                <c:pt idx="1211">
                  <c:v>5106.2366666667649</c:v>
                </c:pt>
                <c:pt idx="1212">
                  <c:v>5106.2366666667649</c:v>
                </c:pt>
                <c:pt idx="1213">
                  <c:v>5234.2366666667649</c:v>
                </c:pt>
                <c:pt idx="1214">
                  <c:v>5234.2366666667649</c:v>
                </c:pt>
                <c:pt idx="1215">
                  <c:v>5426.2366666667649</c:v>
                </c:pt>
                <c:pt idx="1216">
                  <c:v>5426.2366666667649</c:v>
                </c:pt>
                <c:pt idx="1217">
                  <c:v>5426.2366666667649</c:v>
                </c:pt>
                <c:pt idx="1218">
                  <c:v>5426.2366666667649</c:v>
                </c:pt>
                <c:pt idx="1219">
                  <c:v>5810.2366666667649</c:v>
                </c:pt>
                <c:pt idx="1220">
                  <c:v>5810.2366666667649</c:v>
                </c:pt>
                <c:pt idx="1221">
                  <c:v>5810.2366666667649</c:v>
                </c:pt>
                <c:pt idx="1222">
                  <c:v>5810.2366666667649</c:v>
                </c:pt>
                <c:pt idx="1223">
                  <c:v>5810.2366666667649</c:v>
                </c:pt>
                <c:pt idx="1224">
                  <c:v>5810.2366666667649</c:v>
                </c:pt>
                <c:pt idx="1225">
                  <c:v>3314.2366666667644</c:v>
                </c:pt>
                <c:pt idx="1226">
                  <c:v>3314.2366666667644</c:v>
                </c:pt>
                <c:pt idx="1227">
                  <c:v>2930.236666666764</c:v>
                </c:pt>
                <c:pt idx="1228">
                  <c:v>2930.236666666764</c:v>
                </c:pt>
                <c:pt idx="1229">
                  <c:v>2930.236666666764</c:v>
                </c:pt>
                <c:pt idx="1230">
                  <c:v>2930.236666666764</c:v>
                </c:pt>
                <c:pt idx="1231">
                  <c:v>2930.236666666764</c:v>
                </c:pt>
                <c:pt idx="1232">
                  <c:v>2930.236666666764</c:v>
                </c:pt>
                <c:pt idx="1233">
                  <c:v>2930.236666666764</c:v>
                </c:pt>
                <c:pt idx="1234">
                  <c:v>2930.236666666764</c:v>
                </c:pt>
                <c:pt idx="1235">
                  <c:v>3698.236666666764</c:v>
                </c:pt>
                <c:pt idx="1236">
                  <c:v>3730.236666666764</c:v>
                </c:pt>
                <c:pt idx="1237">
                  <c:v>3730.236666666764</c:v>
                </c:pt>
                <c:pt idx="1238">
                  <c:v>3730.236666666764</c:v>
                </c:pt>
                <c:pt idx="1239">
                  <c:v>3730.236666666764</c:v>
                </c:pt>
                <c:pt idx="1240">
                  <c:v>3794.236666666764</c:v>
                </c:pt>
                <c:pt idx="1241">
                  <c:v>3794.236666666764</c:v>
                </c:pt>
                <c:pt idx="1242">
                  <c:v>3794.236666666764</c:v>
                </c:pt>
                <c:pt idx="1243">
                  <c:v>3794.236666666764</c:v>
                </c:pt>
                <c:pt idx="1244">
                  <c:v>3794.236666666764</c:v>
                </c:pt>
                <c:pt idx="1245">
                  <c:v>3794.236666666764</c:v>
                </c:pt>
                <c:pt idx="1246">
                  <c:v>3794.236666666764</c:v>
                </c:pt>
                <c:pt idx="1247">
                  <c:v>3794.236666666764</c:v>
                </c:pt>
                <c:pt idx="1248">
                  <c:v>4706.236666666764</c:v>
                </c:pt>
                <c:pt idx="1249">
                  <c:v>4962.236666666764</c:v>
                </c:pt>
                <c:pt idx="1250">
                  <c:v>4962.236666666764</c:v>
                </c:pt>
                <c:pt idx="1251">
                  <c:v>4962.236666666764</c:v>
                </c:pt>
                <c:pt idx="1252">
                  <c:v>4962.236666666764</c:v>
                </c:pt>
                <c:pt idx="1253">
                  <c:v>4962.236666666764</c:v>
                </c:pt>
                <c:pt idx="1254">
                  <c:v>4962.236666666764</c:v>
                </c:pt>
                <c:pt idx="1255">
                  <c:v>4962.236666666764</c:v>
                </c:pt>
                <c:pt idx="1256">
                  <c:v>4962.236666666764</c:v>
                </c:pt>
                <c:pt idx="1257">
                  <c:v>4962.236666666764</c:v>
                </c:pt>
                <c:pt idx="1258">
                  <c:v>4962.236666666764</c:v>
                </c:pt>
                <c:pt idx="1259">
                  <c:v>4962.236666666764</c:v>
                </c:pt>
                <c:pt idx="1260">
                  <c:v>4962.236666666764</c:v>
                </c:pt>
                <c:pt idx="1261">
                  <c:v>4962.236666666764</c:v>
                </c:pt>
                <c:pt idx="1262">
                  <c:v>4962.236666666764</c:v>
                </c:pt>
                <c:pt idx="1263">
                  <c:v>4962.236666666764</c:v>
                </c:pt>
                <c:pt idx="1264">
                  <c:v>4962.236666666764</c:v>
                </c:pt>
                <c:pt idx="1265">
                  <c:v>4962.236666666764</c:v>
                </c:pt>
                <c:pt idx="1266">
                  <c:v>5186.236666666764</c:v>
                </c:pt>
                <c:pt idx="1267">
                  <c:v>5186.236666666764</c:v>
                </c:pt>
                <c:pt idx="1268">
                  <c:v>5186.236666666764</c:v>
                </c:pt>
                <c:pt idx="1269">
                  <c:v>5186.236666666764</c:v>
                </c:pt>
                <c:pt idx="1270">
                  <c:v>5186.236666666764</c:v>
                </c:pt>
                <c:pt idx="1271">
                  <c:v>5186.236666666764</c:v>
                </c:pt>
                <c:pt idx="1272">
                  <c:v>5186.236666666764</c:v>
                </c:pt>
                <c:pt idx="1273">
                  <c:v>5186.236666666764</c:v>
                </c:pt>
                <c:pt idx="1274">
                  <c:v>5186.236666666764</c:v>
                </c:pt>
                <c:pt idx="1275">
                  <c:v>5186.236666666764</c:v>
                </c:pt>
                <c:pt idx="1276">
                  <c:v>5186.236666666764</c:v>
                </c:pt>
                <c:pt idx="1277">
                  <c:v>5186.236666666764</c:v>
                </c:pt>
                <c:pt idx="1278">
                  <c:v>5186.236666666764</c:v>
                </c:pt>
                <c:pt idx="1279">
                  <c:v>5186.236666666764</c:v>
                </c:pt>
                <c:pt idx="1280">
                  <c:v>5186.236666666764</c:v>
                </c:pt>
                <c:pt idx="1281">
                  <c:v>5602.236666666764</c:v>
                </c:pt>
                <c:pt idx="1282">
                  <c:v>5602.236666666764</c:v>
                </c:pt>
                <c:pt idx="1283">
                  <c:v>5874.236666666764</c:v>
                </c:pt>
                <c:pt idx="1284">
                  <c:v>5874.236666666764</c:v>
                </c:pt>
                <c:pt idx="1285">
                  <c:v>6178.236666666764</c:v>
                </c:pt>
                <c:pt idx="1286">
                  <c:v>6178.236666666764</c:v>
                </c:pt>
                <c:pt idx="1287">
                  <c:v>6178.236666666764</c:v>
                </c:pt>
                <c:pt idx="1288">
                  <c:v>6178.236666666764</c:v>
                </c:pt>
                <c:pt idx="1289">
                  <c:v>6178.236666666764</c:v>
                </c:pt>
                <c:pt idx="1290">
                  <c:v>6370.236666666764</c:v>
                </c:pt>
                <c:pt idx="1291">
                  <c:v>6370.236666666764</c:v>
                </c:pt>
                <c:pt idx="1292">
                  <c:v>6370.236666666764</c:v>
                </c:pt>
                <c:pt idx="1293">
                  <c:v>6370.236666666764</c:v>
                </c:pt>
                <c:pt idx="1294">
                  <c:v>6370.236666666764</c:v>
                </c:pt>
                <c:pt idx="1295">
                  <c:v>6370.236666666764</c:v>
                </c:pt>
                <c:pt idx="1296">
                  <c:v>6370.236666666764</c:v>
                </c:pt>
                <c:pt idx="1297">
                  <c:v>6370.236666666764</c:v>
                </c:pt>
                <c:pt idx="1298">
                  <c:v>6370.236666666764</c:v>
                </c:pt>
                <c:pt idx="1299">
                  <c:v>6370.236666666764</c:v>
                </c:pt>
                <c:pt idx="1300">
                  <c:v>6594.236666666764</c:v>
                </c:pt>
                <c:pt idx="1301">
                  <c:v>6754.236666666764</c:v>
                </c:pt>
                <c:pt idx="1302">
                  <c:v>6946.236666666764</c:v>
                </c:pt>
                <c:pt idx="1303">
                  <c:v>6946.236666666764</c:v>
                </c:pt>
                <c:pt idx="1304">
                  <c:v>6946.236666666764</c:v>
                </c:pt>
                <c:pt idx="1305">
                  <c:v>7090.236666666764</c:v>
                </c:pt>
                <c:pt idx="1306">
                  <c:v>7090.236666666764</c:v>
                </c:pt>
                <c:pt idx="1307">
                  <c:v>7090.236666666764</c:v>
                </c:pt>
                <c:pt idx="1308">
                  <c:v>7090.236666666764</c:v>
                </c:pt>
                <c:pt idx="1309">
                  <c:v>6514.236666666764</c:v>
                </c:pt>
                <c:pt idx="1310">
                  <c:v>6514.236666666764</c:v>
                </c:pt>
                <c:pt idx="1311">
                  <c:v>6514.236666666764</c:v>
                </c:pt>
                <c:pt idx="1312">
                  <c:v>6514.236666666764</c:v>
                </c:pt>
                <c:pt idx="1313">
                  <c:v>6514.236666666764</c:v>
                </c:pt>
                <c:pt idx="1314">
                  <c:v>6514.236666666764</c:v>
                </c:pt>
                <c:pt idx="1315">
                  <c:v>6514.236666666764</c:v>
                </c:pt>
                <c:pt idx="1316">
                  <c:v>6514.236666666764</c:v>
                </c:pt>
                <c:pt idx="1317">
                  <c:v>6514.236666666764</c:v>
                </c:pt>
                <c:pt idx="1318">
                  <c:v>6514.236666666764</c:v>
                </c:pt>
                <c:pt idx="1319">
                  <c:v>6514.236666666764</c:v>
                </c:pt>
                <c:pt idx="1320">
                  <c:v>6514.236666666764</c:v>
                </c:pt>
                <c:pt idx="1321">
                  <c:v>6514.236666666764</c:v>
                </c:pt>
                <c:pt idx="1322">
                  <c:v>6514.236666666764</c:v>
                </c:pt>
                <c:pt idx="1323">
                  <c:v>6226.236666666764</c:v>
                </c:pt>
                <c:pt idx="1324">
                  <c:v>6226.236666666764</c:v>
                </c:pt>
                <c:pt idx="1325">
                  <c:v>6226.236666666764</c:v>
                </c:pt>
                <c:pt idx="1326">
                  <c:v>6226.236666666764</c:v>
                </c:pt>
                <c:pt idx="1327">
                  <c:v>6226.236666666764</c:v>
                </c:pt>
                <c:pt idx="1328">
                  <c:v>6226.236666666764</c:v>
                </c:pt>
                <c:pt idx="1329">
                  <c:v>6226.236666666764</c:v>
                </c:pt>
                <c:pt idx="1330">
                  <c:v>6226.236666666764</c:v>
                </c:pt>
                <c:pt idx="1331">
                  <c:v>6226.236666666764</c:v>
                </c:pt>
                <c:pt idx="1332">
                  <c:v>6226.236666666764</c:v>
                </c:pt>
                <c:pt idx="1333">
                  <c:v>6226.236666666764</c:v>
                </c:pt>
                <c:pt idx="1334">
                  <c:v>6226.236666666764</c:v>
                </c:pt>
                <c:pt idx="1335">
                  <c:v>6226.236666666764</c:v>
                </c:pt>
                <c:pt idx="1336">
                  <c:v>6226.236666666764</c:v>
                </c:pt>
                <c:pt idx="1337">
                  <c:v>7786.236666666764</c:v>
                </c:pt>
                <c:pt idx="1338">
                  <c:v>8546.236666666764</c:v>
                </c:pt>
                <c:pt idx="1339">
                  <c:v>8546.236666666764</c:v>
                </c:pt>
                <c:pt idx="1340">
                  <c:v>8546.236666666764</c:v>
                </c:pt>
                <c:pt idx="1341">
                  <c:v>8546.236666666764</c:v>
                </c:pt>
                <c:pt idx="1342">
                  <c:v>8546.236666666764</c:v>
                </c:pt>
                <c:pt idx="1343">
                  <c:v>8546.236666666764</c:v>
                </c:pt>
                <c:pt idx="1344">
                  <c:v>8546.236666666764</c:v>
                </c:pt>
                <c:pt idx="1345">
                  <c:v>8546.236666666764</c:v>
                </c:pt>
                <c:pt idx="1346">
                  <c:v>8546.236666666764</c:v>
                </c:pt>
                <c:pt idx="1347">
                  <c:v>10514.236666666764</c:v>
                </c:pt>
                <c:pt idx="1348">
                  <c:v>10514.236666666764</c:v>
                </c:pt>
                <c:pt idx="1349">
                  <c:v>10514.236666666764</c:v>
                </c:pt>
                <c:pt idx="1350">
                  <c:v>10514.236666666764</c:v>
                </c:pt>
                <c:pt idx="1351">
                  <c:v>10514.236666666764</c:v>
                </c:pt>
                <c:pt idx="1352">
                  <c:v>10514.236666666764</c:v>
                </c:pt>
                <c:pt idx="1353">
                  <c:v>10514.236666666764</c:v>
                </c:pt>
                <c:pt idx="1354">
                  <c:v>10514.236666666764</c:v>
                </c:pt>
                <c:pt idx="1355">
                  <c:v>10514.236666666764</c:v>
                </c:pt>
                <c:pt idx="1356">
                  <c:v>10514.236666666764</c:v>
                </c:pt>
                <c:pt idx="1357">
                  <c:v>10514.236666666764</c:v>
                </c:pt>
                <c:pt idx="1358">
                  <c:v>10514.236666666764</c:v>
                </c:pt>
                <c:pt idx="1359">
                  <c:v>10514.236666666764</c:v>
                </c:pt>
                <c:pt idx="1360">
                  <c:v>10514.236666666764</c:v>
                </c:pt>
                <c:pt idx="1361">
                  <c:v>10514.236666666764</c:v>
                </c:pt>
                <c:pt idx="1362">
                  <c:v>10514.236666666764</c:v>
                </c:pt>
                <c:pt idx="1363">
                  <c:v>10514.236666666764</c:v>
                </c:pt>
                <c:pt idx="1364">
                  <c:v>10514.236666666764</c:v>
                </c:pt>
                <c:pt idx="1365">
                  <c:v>10514.236666666764</c:v>
                </c:pt>
                <c:pt idx="1366">
                  <c:v>10514.236666666764</c:v>
                </c:pt>
                <c:pt idx="1367">
                  <c:v>10514.236666666764</c:v>
                </c:pt>
                <c:pt idx="1368">
                  <c:v>10514.236666666764</c:v>
                </c:pt>
                <c:pt idx="1369">
                  <c:v>10514.236666666764</c:v>
                </c:pt>
                <c:pt idx="1370">
                  <c:v>10514.236666666764</c:v>
                </c:pt>
                <c:pt idx="1371">
                  <c:v>10706.236666666764</c:v>
                </c:pt>
                <c:pt idx="1372">
                  <c:v>10706.236666666764</c:v>
                </c:pt>
                <c:pt idx="1373">
                  <c:v>10706.236666666764</c:v>
                </c:pt>
                <c:pt idx="1374">
                  <c:v>10706.236666666764</c:v>
                </c:pt>
                <c:pt idx="1375">
                  <c:v>10706.236666666764</c:v>
                </c:pt>
                <c:pt idx="1376">
                  <c:v>10706.236666666764</c:v>
                </c:pt>
                <c:pt idx="1377">
                  <c:v>10706.236666666764</c:v>
                </c:pt>
                <c:pt idx="1378">
                  <c:v>10706.236666666764</c:v>
                </c:pt>
                <c:pt idx="1379">
                  <c:v>10706.236666666764</c:v>
                </c:pt>
                <c:pt idx="1380">
                  <c:v>10706.236666666764</c:v>
                </c:pt>
                <c:pt idx="1381">
                  <c:v>10706.236666666764</c:v>
                </c:pt>
              </c:numCache>
            </c:numRef>
          </c:val>
          <c:smooth val="0"/>
          <c:extLst>
            <c:ext xmlns:c16="http://schemas.microsoft.com/office/drawing/2014/chart" uri="{C3380CC4-5D6E-409C-BE32-E72D297353CC}">
              <c16:uniqueId val="{00000002-E577-422D-9FFF-AF226C13E434}"/>
            </c:ext>
          </c:extLst>
        </c:ser>
        <c:ser>
          <c:idx val="3"/>
          <c:order val="3"/>
          <c:tx>
            <c:v>w</c:v>
          </c:tx>
          <c:spPr>
            <a:ln w="28575" cap="rnd">
              <a:solidFill>
                <a:schemeClr val="accent2">
                  <a:lumMod val="25000"/>
                  <a:lumOff val="75000"/>
                </a:schemeClr>
              </a:solidFill>
              <a:round/>
            </a:ln>
            <a:effectLst/>
          </c:spPr>
          <c:marker>
            <c:symbol val="none"/>
          </c:marker>
          <c:val>
            <c:numRef>
              <c:f>'Journal Live'!$BP$3:$BP$1384</c:f>
              <c:numCache>
                <c:formatCode>General</c:formatCode>
                <c:ptCount val="1382"/>
                <c:pt idx="0">
                  <c:v>400.6</c:v>
                </c:pt>
                <c:pt idx="1">
                  <c:v>400.6</c:v>
                </c:pt>
                <c:pt idx="2">
                  <c:v>400.6</c:v>
                </c:pt>
                <c:pt idx="3">
                  <c:v>400.6</c:v>
                </c:pt>
                <c:pt idx="4">
                  <c:v>400.6</c:v>
                </c:pt>
                <c:pt idx="5">
                  <c:v>400.6</c:v>
                </c:pt>
                <c:pt idx="6">
                  <c:v>400.6</c:v>
                </c:pt>
                <c:pt idx="7">
                  <c:v>400.6</c:v>
                </c:pt>
                <c:pt idx="8">
                  <c:v>400.6</c:v>
                </c:pt>
                <c:pt idx="9">
                  <c:v>400.6</c:v>
                </c:pt>
                <c:pt idx="10">
                  <c:v>400.6</c:v>
                </c:pt>
                <c:pt idx="11">
                  <c:v>400.6</c:v>
                </c:pt>
                <c:pt idx="12">
                  <c:v>400.6</c:v>
                </c:pt>
                <c:pt idx="13">
                  <c:v>400.6</c:v>
                </c:pt>
                <c:pt idx="14">
                  <c:v>400.6</c:v>
                </c:pt>
                <c:pt idx="15">
                  <c:v>400.6</c:v>
                </c:pt>
                <c:pt idx="16">
                  <c:v>400.6</c:v>
                </c:pt>
                <c:pt idx="17">
                  <c:v>400.6</c:v>
                </c:pt>
                <c:pt idx="18">
                  <c:v>400.6</c:v>
                </c:pt>
                <c:pt idx="19">
                  <c:v>400.6</c:v>
                </c:pt>
                <c:pt idx="20">
                  <c:v>400.6</c:v>
                </c:pt>
                <c:pt idx="21">
                  <c:v>400.6</c:v>
                </c:pt>
                <c:pt idx="22">
                  <c:v>400.6</c:v>
                </c:pt>
                <c:pt idx="23">
                  <c:v>400.6</c:v>
                </c:pt>
                <c:pt idx="24">
                  <c:v>400.6</c:v>
                </c:pt>
                <c:pt idx="25">
                  <c:v>400.6</c:v>
                </c:pt>
                <c:pt idx="26">
                  <c:v>400.6</c:v>
                </c:pt>
                <c:pt idx="27">
                  <c:v>400.6</c:v>
                </c:pt>
                <c:pt idx="28">
                  <c:v>400.6</c:v>
                </c:pt>
                <c:pt idx="29">
                  <c:v>400.6</c:v>
                </c:pt>
                <c:pt idx="30">
                  <c:v>400.6</c:v>
                </c:pt>
                <c:pt idx="31">
                  <c:v>400.6</c:v>
                </c:pt>
                <c:pt idx="32">
                  <c:v>400.6</c:v>
                </c:pt>
                <c:pt idx="33">
                  <c:v>400.6</c:v>
                </c:pt>
                <c:pt idx="34">
                  <c:v>400.6</c:v>
                </c:pt>
                <c:pt idx="35">
                  <c:v>400.6</c:v>
                </c:pt>
                <c:pt idx="36">
                  <c:v>400.6</c:v>
                </c:pt>
                <c:pt idx="37">
                  <c:v>400.6</c:v>
                </c:pt>
                <c:pt idx="38">
                  <c:v>400.6</c:v>
                </c:pt>
                <c:pt idx="39">
                  <c:v>400.6</c:v>
                </c:pt>
                <c:pt idx="40">
                  <c:v>400.6</c:v>
                </c:pt>
                <c:pt idx="41">
                  <c:v>400.6</c:v>
                </c:pt>
                <c:pt idx="42">
                  <c:v>400.6</c:v>
                </c:pt>
                <c:pt idx="43">
                  <c:v>400.6</c:v>
                </c:pt>
                <c:pt idx="44">
                  <c:v>400.6</c:v>
                </c:pt>
                <c:pt idx="45">
                  <c:v>400.6</c:v>
                </c:pt>
                <c:pt idx="46">
                  <c:v>400.6</c:v>
                </c:pt>
                <c:pt idx="47">
                  <c:v>400.6</c:v>
                </c:pt>
                <c:pt idx="48">
                  <c:v>400.6</c:v>
                </c:pt>
                <c:pt idx="49">
                  <c:v>400.6</c:v>
                </c:pt>
                <c:pt idx="50">
                  <c:v>400.6</c:v>
                </c:pt>
                <c:pt idx="51">
                  <c:v>400.6</c:v>
                </c:pt>
                <c:pt idx="52">
                  <c:v>400.6</c:v>
                </c:pt>
                <c:pt idx="53">
                  <c:v>400.6</c:v>
                </c:pt>
                <c:pt idx="54">
                  <c:v>400.6</c:v>
                </c:pt>
                <c:pt idx="55">
                  <c:v>400.6</c:v>
                </c:pt>
                <c:pt idx="56">
                  <c:v>400.6</c:v>
                </c:pt>
                <c:pt idx="57">
                  <c:v>400.6</c:v>
                </c:pt>
                <c:pt idx="58">
                  <c:v>400.6</c:v>
                </c:pt>
                <c:pt idx="59">
                  <c:v>400.6</c:v>
                </c:pt>
                <c:pt idx="60">
                  <c:v>400.6</c:v>
                </c:pt>
                <c:pt idx="61">
                  <c:v>400.6</c:v>
                </c:pt>
                <c:pt idx="62">
                  <c:v>400.6</c:v>
                </c:pt>
                <c:pt idx="63">
                  <c:v>400.6</c:v>
                </c:pt>
                <c:pt idx="64">
                  <c:v>400.6</c:v>
                </c:pt>
                <c:pt idx="65">
                  <c:v>400.6</c:v>
                </c:pt>
                <c:pt idx="66">
                  <c:v>400.6</c:v>
                </c:pt>
                <c:pt idx="67">
                  <c:v>400.6</c:v>
                </c:pt>
                <c:pt idx="68">
                  <c:v>400.6</c:v>
                </c:pt>
                <c:pt idx="69">
                  <c:v>400.6</c:v>
                </c:pt>
                <c:pt idx="70">
                  <c:v>400.6</c:v>
                </c:pt>
                <c:pt idx="71">
                  <c:v>400.6</c:v>
                </c:pt>
                <c:pt idx="72">
                  <c:v>400.6</c:v>
                </c:pt>
                <c:pt idx="73">
                  <c:v>400.6</c:v>
                </c:pt>
                <c:pt idx="74">
                  <c:v>400.6</c:v>
                </c:pt>
                <c:pt idx="75">
                  <c:v>400.6</c:v>
                </c:pt>
                <c:pt idx="76">
                  <c:v>400.6</c:v>
                </c:pt>
                <c:pt idx="77">
                  <c:v>400.6</c:v>
                </c:pt>
                <c:pt idx="78">
                  <c:v>400.6</c:v>
                </c:pt>
                <c:pt idx="79">
                  <c:v>400.6</c:v>
                </c:pt>
                <c:pt idx="80">
                  <c:v>400.6</c:v>
                </c:pt>
                <c:pt idx="81">
                  <c:v>400.6</c:v>
                </c:pt>
                <c:pt idx="82">
                  <c:v>400.6</c:v>
                </c:pt>
                <c:pt idx="83">
                  <c:v>400.6</c:v>
                </c:pt>
                <c:pt idx="84">
                  <c:v>400.6</c:v>
                </c:pt>
                <c:pt idx="85">
                  <c:v>400.6</c:v>
                </c:pt>
                <c:pt idx="86">
                  <c:v>400.6</c:v>
                </c:pt>
                <c:pt idx="87">
                  <c:v>400.6</c:v>
                </c:pt>
                <c:pt idx="88">
                  <c:v>400.6</c:v>
                </c:pt>
                <c:pt idx="89">
                  <c:v>400.6</c:v>
                </c:pt>
                <c:pt idx="90">
                  <c:v>400.6</c:v>
                </c:pt>
                <c:pt idx="91">
                  <c:v>368.6</c:v>
                </c:pt>
                <c:pt idx="92">
                  <c:v>368.6</c:v>
                </c:pt>
                <c:pt idx="93">
                  <c:v>368.6</c:v>
                </c:pt>
                <c:pt idx="94">
                  <c:v>368.6</c:v>
                </c:pt>
                <c:pt idx="95">
                  <c:v>368.6</c:v>
                </c:pt>
                <c:pt idx="96">
                  <c:v>368.6</c:v>
                </c:pt>
                <c:pt idx="97">
                  <c:v>368.6</c:v>
                </c:pt>
                <c:pt idx="98">
                  <c:v>368.6</c:v>
                </c:pt>
                <c:pt idx="99">
                  <c:v>368.6</c:v>
                </c:pt>
                <c:pt idx="100">
                  <c:v>368.6</c:v>
                </c:pt>
                <c:pt idx="101">
                  <c:v>335.99999999999994</c:v>
                </c:pt>
                <c:pt idx="102">
                  <c:v>335.99999999999994</c:v>
                </c:pt>
                <c:pt idx="103">
                  <c:v>335.99999999999994</c:v>
                </c:pt>
                <c:pt idx="104">
                  <c:v>335.99999999999994</c:v>
                </c:pt>
                <c:pt idx="105">
                  <c:v>335.99999999999994</c:v>
                </c:pt>
                <c:pt idx="106">
                  <c:v>335.99999999999994</c:v>
                </c:pt>
                <c:pt idx="107">
                  <c:v>335.99999999999994</c:v>
                </c:pt>
                <c:pt idx="108">
                  <c:v>335.99999999999994</c:v>
                </c:pt>
                <c:pt idx="109">
                  <c:v>335.99999999999994</c:v>
                </c:pt>
                <c:pt idx="110">
                  <c:v>335.99999999999994</c:v>
                </c:pt>
                <c:pt idx="111">
                  <c:v>335.99999999999994</c:v>
                </c:pt>
                <c:pt idx="112">
                  <c:v>335.99999999999994</c:v>
                </c:pt>
                <c:pt idx="113">
                  <c:v>320</c:v>
                </c:pt>
                <c:pt idx="114">
                  <c:v>288</c:v>
                </c:pt>
                <c:pt idx="115">
                  <c:v>288</c:v>
                </c:pt>
                <c:pt idx="116">
                  <c:v>240</c:v>
                </c:pt>
                <c:pt idx="117">
                  <c:v>240</c:v>
                </c:pt>
                <c:pt idx="118">
                  <c:v>240</c:v>
                </c:pt>
                <c:pt idx="119">
                  <c:v>0</c:v>
                </c:pt>
                <c:pt idx="120">
                  <c:v>0</c:v>
                </c:pt>
                <c:pt idx="121">
                  <c:v>0</c:v>
                </c:pt>
                <c:pt idx="122">
                  <c:v>0</c:v>
                </c:pt>
                <c:pt idx="123">
                  <c:v>0</c:v>
                </c:pt>
                <c:pt idx="124">
                  <c:v>0</c:v>
                </c:pt>
                <c:pt idx="125">
                  <c:v>0</c:v>
                </c:pt>
                <c:pt idx="126">
                  <c:v>0</c:v>
                </c:pt>
                <c:pt idx="127">
                  <c:v>0</c:v>
                </c:pt>
                <c:pt idx="128">
                  <c:v>0</c:v>
                </c:pt>
                <c:pt idx="131">
                  <c:v>0</c:v>
                </c:pt>
                <c:pt idx="132">
                  <c:v>0</c:v>
                </c:pt>
                <c:pt idx="133">
                  <c:v>0</c:v>
                </c:pt>
                <c:pt idx="134">
                  <c:v>0</c:v>
                </c:pt>
                <c:pt idx="135">
                  <c:v>0</c:v>
                </c:pt>
                <c:pt idx="136">
                  <c:v>0</c:v>
                </c:pt>
                <c:pt idx="137">
                  <c:v>0</c:v>
                </c:pt>
                <c:pt idx="138">
                  <c:v>167.20000000000002</c:v>
                </c:pt>
                <c:pt idx="139">
                  <c:v>167.20000000000002</c:v>
                </c:pt>
                <c:pt idx="140">
                  <c:v>167.20000000000002</c:v>
                </c:pt>
                <c:pt idx="141">
                  <c:v>167.20000000000002</c:v>
                </c:pt>
                <c:pt idx="142">
                  <c:v>167.20000000000002</c:v>
                </c:pt>
                <c:pt idx="143">
                  <c:v>350.90000000000003</c:v>
                </c:pt>
                <c:pt idx="144">
                  <c:v>350.90000000000003</c:v>
                </c:pt>
                <c:pt idx="145">
                  <c:v>350.90000000000003</c:v>
                </c:pt>
                <c:pt idx="146">
                  <c:v>350.90000000000003</c:v>
                </c:pt>
                <c:pt idx="147">
                  <c:v>350.90000000000003</c:v>
                </c:pt>
                <c:pt idx="148">
                  <c:v>302</c:v>
                </c:pt>
                <c:pt idx="149">
                  <c:v>318.59999999999997</c:v>
                </c:pt>
                <c:pt idx="150">
                  <c:v>318.59999999999997</c:v>
                </c:pt>
                <c:pt idx="151">
                  <c:v>318.59999999999997</c:v>
                </c:pt>
                <c:pt idx="152">
                  <c:v>318.59999999999997</c:v>
                </c:pt>
                <c:pt idx="153">
                  <c:v>318.59999999999997</c:v>
                </c:pt>
                <c:pt idx="154">
                  <c:v>318.59999999999997</c:v>
                </c:pt>
                <c:pt idx="155">
                  <c:v>318.59999999999997</c:v>
                </c:pt>
                <c:pt idx="156">
                  <c:v>351.79999999999995</c:v>
                </c:pt>
                <c:pt idx="157">
                  <c:v>351.79999999999995</c:v>
                </c:pt>
                <c:pt idx="158">
                  <c:v>351.79999999999995</c:v>
                </c:pt>
                <c:pt idx="159">
                  <c:v>351.79999999999995</c:v>
                </c:pt>
                <c:pt idx="160">
                  <c:v>351.79999999999995</c:v>
                </c:pt>
                <c:pt idx="161">
                  <c:v>351.79999999999995</c:v>
                </c:pt>
                <c:pt idx="162">
                  <c:v>351.79999999999995</c:v>
                </c:pt>
                <c:pt idx="163">
                  <c:v>351.79999999999995</c:v>
                </c:pt>
                <c:pt idx="164">
                  <c:v>351.79999999999995</c:v>
                </c:pt>
                <c:pt idx="165">
                  <c:v>351.79999999999995</c:v>
                </c:pt>
                <c:pt idx="166">
                  <c:v>351.79999999999995</c:v>
                </c:pt>
                <c:pt idx="167">
                  <c:v>351.79999999999995</c:v>
                </c:pt>
                <c:pt idx="168">
                  <c:v>351.79999999999995</c:v>
                </c:pt>
                <c:pt idx="169">
                  <c:v>351.79999999999995</c:v>
                </c:pt>
                <c:pt idx="170">
                  <c:v>351.79999999999995</c:v>
                </c:pt>
                <c:pt idx="171">
                  <c:v>351.79999999999995</c:v>
                </c:pt>
                <c:pt idx="172">
                  <c:v>351.79999999999995</c:v>
                </c:pt>
                <c:pt idx="173">
                  <c:v>351.79999999999995</c:v>
                </c:pt>
                <c:pt idx="174">
                  <c:v>351.79999999999995</c:v>
                </c:pt>
                <c:pt idx="175">
                  <c:v>351.79999999999995</c:v>
                </c:pt>
                <c:pt idx="176">
                  <c:v>351.79999999999995</c:v>
                </c:pt>
                <c:pt idx="177">
                  <c:v>351.79999999999995</c:v>
                </c:pt>
                <c:pt idx="178">
                  <c:v>351.79999999999995</c:v>
                </c:pt>
                <c:pt idx="179">
                  <c:v>351.79999999999995</c:v>
                </c:pt>
                <c:pt idx="180">
                  <c:v>351.79999999999995</c:v>
                </c:pt>
                <c:pt idx="181">
                  <c:v>351.79999999999995</c:v>
                </c:pt>
                <c:pt idx="182">
                  <c:v>351.79999999999995</c:v>
                </c:pt>
                <c:pt idx="183">
                  <c:v>351.79999999999995</c:v>
                </c:pt>
                <c:pt idx="184">
                  <c:v>351.79999999999995</c:v>
                </c:pt>
                <c:pt idx="185">
                  <c:v>351.79999999999995</c:v>
                </c:pt>
                <c:pt idx="186">
                  <c:v>351.79999999999995</c:v>
                </c:pt>
                <c:pt idx="187">
                  <c:v>351.79999999999995</c:v>
                </c:pt>
                <c:pt idx="188">
                  <c:v>351.79999999999995</c:v>
                </c:pt>
                <c:pt idx="189">
                  <c:v>451.99999999999994</c:v>
                </c:pt>
                <c:pt idx="190">
                  <c:v>451.99999999999994</c:v>
                </c:pt>
                <c:pt idx="191">
                  <c:v>451.99999999999994</c:v>
                </c:pt>
                <c:pt idx="192">
                  <c:v>451.99999999999994</c:v>
                </c:pt>
                <c:pt idx="193">
                  <c:v>451.99999999999994</c:v>
                </c:pt>
                <c:pt idx="194">
                  <c:v>451.99999999999994</c:v>
                </c:pt>
                <c:pt idx="195">
                  <c:v>451.99999999999994</c:v>
                </c:pt>
                <c:pt idx="196">
                  <c:v>451.99999999999994</c:v>
                </c:pt>
                <c:pt idx="197">
                  <c:v>451.99999999999994</c:v>
                </c:pt>
                <c:pt idx="198">
                  <c:v>451.99999999999994</c:v>
                </c:pt>
                <c:pt idx="199">
                  <c:v>451.99999999999994</c:v>
                </c:pt>
                <c:pt idx="200">
                  <c:v>451.99999999999994</c:v>
                </c:pt>
                <c:pt idx="201">
                  <c:v>451.99999999999994</c:v>
                </c:pt>
                <c:pt idx="202">
                  <c:v>451.99999999999994</c:v>
                </c:pt>
                <c:pt idx="203">
                  <c:v>451.99999999999994</c:v>
                </c:pt>
                <c:pt idx="204">
                  <c:v>451.99999999999994</c:v>
                </c:pt>
                <c:pt idx="205">
                  <c:v>451.99999999999994</c:v>
                </c:pt>
                <c:pt idx="206">
                  <c:v>451.99999999999994</c:v>
                </c:pt>
                <c:pt idx="207">
                  <c:v>451.99999999999994</c:v>
                </c:pt>
                <c:pt idx="208">
                  <c:v>451.99999999999994</c:v>
                </c:pt>
                <c:pt idx="209">
                  <c:v>451.99999999999994</c:v>
                </c:pt>
                <c:pt idx="210">
                  <c:v>451.99999999999994</c:v>
                </c:pt>
                <c:pt idx="211">
                  <c:v>451.99999999999994</c:v>
                </c:pt>
                <c:pt idx="212">
                  <c:v>451.99999999999994</c:v>
                </c:pt>
                <c:pt idx="213">
                  <c:v>451.99999999999994</c:v>
                </c:pt>
                <c:pt idx="214">
                  <c:v>451.99999999999994</c:v>
                </c:pt>
                <c:pt idx="215">
                  <c:v>451.99999999999994</c:v>
                </c:pt>
                <c:pt idx="216">
                  <c:v>451.99999999999994</c:v>
                </c:pt>
                <c:pt idx="217">
                  <c:v>451.99999999999994</c:v>
                </c:pt>
                <c:pt idx="218">
                  <c:v>451.99999999999994</c:v>
                </c:pt>
                <c:pt idx="219">
                  <c:v>451.99999999999994</c:v>
                </c:pt>
                <c:pt idx="220">
                  <c:v>451.99999999999994</c:v>
                </c:pt>
                <c:pt idx="221">
                  <c:v>451.99999999999994</c:v>
                </c:pt>
                <c:pt idx="222">
                  <c:v>451.99999999999994</c:v>
                </c:pt>
                <c:pt idx="223">
                  <c:v>451.99999999999994</c:v>
                </c:pt>
                <c:pt idx="224">
                  <c:v>451.99999999999994</c:v>
                </c:pt>
                <c:pt idx="225">
                  <c:v>451.99999999999994</c:v>
                </c:pt>
                <c:pt idx="226">
                  <c:v>451.99999999999994</c:v>
                </c:pt>
                <c:pt idx="227">
                  <c:v>451.99999999999994</c:v>
                </c:pt>
                <c:pt idx="228">
                  <c:v>451.99999999999994</c:v>
                </c:pt>
                <c:pt idx="229">
                  <c:v>451.99999999999994</c:v>
                </c:pt>
                <c:pt idx="230">
                  <c:v>451.99999999999994</c:v>
                </c:pt>
                <c:pt idx="231">
                  <c:v>451.99999999999994</c:v>
                </c:pt>
                <c:pt idx="232">
                  <c:v>451.99999999999994</c:v>
                </c:pt>
                <c:pt idx="233">
                  <c:v>451.99999999999994</c:v>
                </c:pt>
                <c:pt idx="234">
                  <c:v>451.99999999999994</c:v>
                </c:pt>
                <c:pt idx="235">
                  <c:v>451.99999999999994</c:v>
                </c:pt>
                <c:pt idx="236">
                  <c:v>451.99999999999994</c:v>
                </c:pt>
                <c:pt idx="237">
                  <c:v>451.99999999999994</c:v>
                </c:pt>
                <c:pt idx="238">
                  <c:v>451.99999999999994</c:v>
                </c:pt>
                <c:pt idx="239">
                  <c:v>451.99999999999994</c:v>
                </c:pt>
                <c:pt idx="240">
                  <c:v>451.99999999999994</c:v>
                </c:pt>
                <c:pt idx="241">
                  <c:v>451.99999999999994</c:v>
                </c:pt>
                <c:pt idx="242">
                  <c:v>451.99999999999994</c:v>
                </c:pt>
                <c:pt idx="243">
                  <c:v>451.99999999999994</c:v>
                </c:pt>
                <c:pt idx="244">
                  <c:v>451.99999999999994</c:v>
                </c:pt>
                <c:pt idx="245">
                  <c:v>451.99999999999994</c:v>
                </c:pt>
                <c:pt idx="246">
                  <c:v>368.99999999999994</c:v>
                </c:pt>
                <c:pt idx="247">
                  <c:v>368.99999999999994</c:v>
                </c:pt>
                <c:pt idx="248">
                  <c:v>252.10000000000008</c:v>
                </c:pt>
                <c:pt idx="249">
                  <c:v>252.10000000000008</c:v>
                </c:pt>
                <c:pt idx="250">
                  <c:v>252.10000000000008</c:v>
                </c:pt>
                <c:pt idx="251">
                  <c:v>252.10000000000008</c:v>
                </c:pt>
                <c:pt idx="252">
                  <c:v>252.10000000000008</c:v>
                </c:pt>
                <c:pt idx="253">
                  <c:v>252.10000000000008</c:v>
                </c:pt>
                <c:pt idx="254">
                  <c:v>252.10000000000008</c:v>
                </c:pt>
                <c:pt idx="255">
                  <c:v>252.10000000000008</c:v>
                </c:pt>
                <c:pt idx="256">
                  <c:v>252.10000000000008</c:v>
                </c:pt>
                <c:pt idx="257">
                  <c:v>252.10000000000008</c:v>
                </c:pt>
                <c:pt idx="258">
                  <c:v>252.10000000000008</c:v>
                </c:pt>
                <c:pt idx="259">
                  <c:v>252.10000000000008</c:v>
                </c:pt>
                <c:pt idx="260">
                  <c:v>252.10000000000008</c:v>
                </c:pt>
                <c:pt idx="261">
                  <c:v>252.10000000000008</c:v>
                </c:pt>
                <c:pt idx="262">
                  <c:v>252.10000000000008</c:v>
                </c:pt>
                <c:pt idx="263">
                  <c:v>252.10000000000008</c:v>
                </c:pt>
                <c:pt idx="264">
                  <c:v>252.10000000000008</c:v>
                </c:pt>
                <c:pt idx="265">
                  <c:v>252.10000000000008</c:v>
                </c:pt>
                <c:pt idx="266">
                  <c:v>252.10000000000008</c:v>
                </c:pt>
                <c:pt idx="267">
                  <c:v>252.10000000000008</c:v>
                </c:pt>
                <c:pt idx="268">
                  <c:v>252.10000000000008</c:v>
                </c:pt>
                <c:pt idx="269">
                  <c:v>252.10000000000008</c:v>
                </c:pt>
                <c:pt idx="270">
                  <c:v>252.10000000000008</c:v>
                </c:pt>
                <c:pt idx="271">
                  <c:v>252.10000000000008</c:v>
                </c:pt>
                <c:pt idx="272">
                  <c:v>252.10000000000008</c:v>
                </c:pt>
                <c:pt idx="273">
                  <c:v>252.10000000000008</c:v>
                </c:pt>
                <c:pt idx="274">
                  <c:v>252.10000000000008</c:v>
                </c:pt>
                <c:pt idx="275">
                  <c:v>252.10000000000008</c:v>
                </c:pt>
                <c:pt idx="276">
                  <c:v>252.10000000000008</c:v>
                </c:pt>
                <c:pt idx="277">
                  <c:v>252.10000000000008</c:v>
                </c:pt>
                <c:pt idx="278">
                  <c:v>252.10000000000008</c:v>
                </c:pt>
                <c:pt idx="279">
                  <c:v>252.10000000000008</c:v>
                </c:pt>
                <c:pt idx="280">
                  <c:v>252.10000000000008</c:v>
                </c:pt>
                <c:pt idx="281">
                  <c:v>252.10000000000008</c:v>
                </c:pt>
                <c:pt idx="282">
                  <c:v>252.10000000000008</c:v>
                </c:pt>
                <c:pt idx="283">
                  <c:v>252.10000000000008</c:v>
                </c:pt>
                <c:pt idx="284">
                  <c:v>252.10000000000008</c:v>
                </c:pt>
                <c:pt idx="285">
                  <c:v>252.10000000000008</c:v>
                </c:pt>
                <c:pt idx="286">
                  <c:v>252.10000000000008</c:v>
                </c:pt>
                <c:pt idx="287">
                  <c:v>252.10000000000008</c:v>
                </c:pt>
                <c:pt idx="288">
                  <c:v>252.10000000000008</c:v>
                </c:pt>
                <c:pt idx="289">
                  <c:v>252.10000000000008</c:v>
                </c:pt>
                <c:pt idx="290">
                  <c:v>252.10000000000008</c:v>
                </c:pt>
                <c:pt idx="291">
                  <c:v>252.10000000000008</c:v>
                </c:pt>
                <c:pt idx="292">
                  <c:v>252.10000000000008</c:v>
                </c:pt>
                <c:pt idx="293">
                  <c:v>252.10000000000008</c:v>
                </c:pt>
                <c:pt idx="294">
                  <c:v>252.10000000000008</c:v>
                </c:pt>
                <c:pt idx="295">
                  <c:v>252.10000000000008</c:v>
                </c:pt>
                <c:pt idx="296">
                  <c:v>252.10000000000008</c:v>
                </c:pt>
                <c:pt idx="297">
                  <c:v>252.10000000000008</c:v>
                </c:pt>
                <c:pt idx="298">
                  <c:v>252.10000000000008</c:v>
                </c:pt>
                <c:pt idx="299">
                  <c:v>252.10000000000008</c:v>
                </c:pt>
                <c:pt idx="300">
                  <c:v>252.10000000000008</c:v>
                </c:pt>
                <c:pt idx="301">
                  <c:v>252.10000000000008</c:v>
                </c:pt>
                <c:pt idx="302">
                  <c:v>25.30000000000004</c:v>
                </c:pt>
                <c:pt idx="303">
                  <c:v>25.30000000000004</c:v>
                </c:pt>
                <c:pt idx="304">
                  <c:v>25.30000000000004</c:v>
                </c:pt>
                <c:pt idx="305">
                  <c:v>25.30000000000004</c:v>
                </c:pt>
                <c:pt idx="306">
                  <c:v>25.30000000000004</c:v>
                </c:pt>
                <c:pt idx="307">
                  <c:v>25.30000000000004</c:v>
                </c:pt>
                <c:pt idx="308">
                  <c:v>25.30000000000004</c:v>
                </c:pt>
                <c:pt idx="309">
                  <c:v>25.30000000000004</c:v>
                </c:pt>
                <c:pt idx="310">
                  <c:v>25.30000000000004</c:v>
                </c:pt>
                <c:pt idx="311">
                  <c:v>25.30000000000004</c:v>
                </c:pt>
                <c:pt idx="312">
                  <c:v>25.30000000000004</c:v>
                </c:pt>
                <c:pt idx="313">
                  <c:v>25.30000000000004</c:v>
                </c:pt>
                <c:pt idx="314">
                  <c:v>25.30000000000004</c:v>
                </c:pt>
                <c:pt idx="315">
                  <c:v>25.30000000000004</c:v>
                </c:pt>
                <c:pt idx="316">
                  <c:v>25.30000000000004</c:v>
                </c:pt>
                <c:pt idx="317">
                  <c:v>25.30000000000004</c:v>
                </c:pt>
                <c:pt idx="318">
                  <c:v>25.30000000000004</c:v>
                </c:pt>
                <c:pt idx="319">
                  <c:v>25.30000000000004</c:v>
                </c:pt>
                <c:pt idx="320">
                  <c:v>25.30000000000004</c:v>
                </c:pt>
                <c:pt idx="321">
                  <c:v>25.30000000000004</c:v>
                </c:pt>
                <c:pt idx="322">
                  <c:v>25.30000000000004</c:v>
                </c:pt>
                <c:pt idx="323">
                  <c:v>-1270.7</c:v>
                </c:pt>
                <c:pt idx="324">
                  <c:v>-1270.7</c:v>
                </c:pt>
                <c:pt idx="325">
                  <c:v>-1270.7</c:v>
                </c:pt>
                <c:pt idx="326">
                  <c:v>-1270.7</c:v>
                </c:pt>
                <c:pt idx="327">
                  <c:v>-1270.7</c:v>
                </c:pt>
                <c:pt idx="328">
                  <c:v>-1270.7</c:v>
                </c:pt>
                <c:pt idx="329">
                  <c:v>-1270.7</c:v>
                </c:pt>
                <c:pt idx="330">
                  <c:v>-1270.7</c:v>
                </c:pt>
                <c:pt idx="331">
                  <c:v>-1270.7</c:v>
                </c:pt>
                <c:pt idx="332">
                  <c:v>-1270.7</c:v>
                </c:pt>
                <c:pt idx="333">
                  <c:v>-1270.7</c:v>
                </c:pt>
                <c:pt idx="334">
                  <c:v>-1270.7</c:v>
                </c:pt>
                <c:pt idx="335">
                  <c:v>-1270.7</c:v>
                </c:pt>
                <c:pt idx="336">
                  <c:v>-1270.7</c:v>
                </c:pt>
                <c:pt idx="337">
                  <c:v>-1270.7</c:v>
                </c:pt>
                <c:pt idx="338">
                  <c:v>-1270.7</c:v>
                </c:pt>
                <c:pt idx="339">
                  <c:v>-1270.7</c:v>
                </c:pt>
                <c:pt idx="340">
                  <c:v>-1270.7</c:v>
                </c:pt>
                <c:pt idx="341">
                  <c:v>-1270.7</c:v>
                </c:pt>
                <c:pt idx="342">
                  <c:v>-1270.7</c:v>
                </c:pt>
                <c:pt idx="343">
                  <c:v>-1270.7</c:v>
                </c:pt>
                <c:pt idx="344">
                  <c:v>-1270.7</c:v>
                </c:pt>
                <c:pt idx="345">
                  <c:v>-1270.7</c:v>
                </c:pt>
                <c:pt idx="346">
                  <c:v>-1270.7</c:v>
                </c:pt>
                <c:pt idx="347">
                  <c:v>-1270.7</c:v>
                </c:pt>
                <c:pt idx="348">
                  <c:v>-1270.7</c:v>
                </c:pt>
                <c:pt idx="349">
                  <c:v>-1270.7</c:v>
                </c:pt>
                <c:pt idx="350">
                  <c:v>-1270.7</c:v>
                </c:pt>
                <c:pt idx="351">
                  <c:v>-1270.7</c:v>
                </c:pt>
                <c:pt idx="352">
                  <c:v>-1270.7</c:v>
                </c:pt>
                <c:pt idx="353">
                  <c:v>-1270.7</c:v>
                </c:pt>
                <c:pt idx="354">
                  <c:v>-1270.7</c:v>
                </c:pt>
                <c:pt idx="355">
                  <c:v>-1270.7</c:v>
                </c:pt>
                <c:pt idx="356">
                  <c:v>-1270.7</c:v>
                </c:pt>
                <c:pt idx="357">
                  <c:v>-1270.7</c:v>
                </c:pt>
                <c:pt idx="358">
                  <c:v>-1270.7</c:v>
                </c:pt>
                <c:pt idx="359">
                  <c:v>-1270.7</c:v>
                </c:pt>
                <c:pt idx="360">
                  <c:v>-1270.7</c:v>
                </c:pt>
                <c:pt idx="361">
                  <c:v>-1270.7</c:v>
                </c:pt>
                <c:pt idx="362">
                  <c:v>-1270.7</c:v>
                </c:pt>
                <c:pt idx="363">
                  <c:v>-1270.7</c:v>
                </c:pt>
                <c:pt idx="364">
                  <c:v>-1270.7</c:v>
                </c:pt>
                <c:pt idx="365">
                  <c:v>-1270.7</c:v>
                </c:pt>
                <c:pt idx="366">
                  <c:v>-1270.7</c:v>
                </c:pt>
                <c:pt idx="367">
                  <c:v>-1270.7</c:v>
                </c:pt>
                <c:pt idx="368">
                  <c:v>-1270.7</c:v>
                </c:pt>
                <c:pt idx="369">
                  <c:v>-1270.7</c:v>
                </c:pt>
                <c:pt idx="370">
                  <c:v>-1270.7</c:v>
                </c:pt>
                <c:pt idx="371">
                  <c:v>-1270.7</c:v>
                </c:pt>
                <c:pt idx="372">
                  <c:v>-1270.7</c:v>
                </c:pt>
                <c:pt idx="373">
                  <c:v>-1270.7</c:v>
                </c:pt>
                <c:pt idx="374">
                  <c:v>-1270.7</c:v>
                </c:pt>
                <c:pt idx="375">
                  <c:v>-1270.7</c:v>
                </c:pt>
                <c:pt idx="376">
                  <c:v>-1270.7</c:v>
                </c:pt>
                <c:pt idx="377">
                  <c:v>-1270.7</c:v>
                </c:pt>
                <c:pt idx="378">
                  <c:v>-1270.7</c:v>
                </c:pt>
                <c:pt idx="379">
                  <c:v>-1270.7</c:v>
                </c:pt>
                <c:pt idx="380">
                  <c:v>-1270.7</c:v>
                </c:pt>
                <c:pt idx="381">
                  <c:v>-1270.7</c:v>
                </c:pt>
                <c:pt idx="382">
                  <c:v>-1270.7</c:v>
                </c:pt>
                <c:pt idx="383">
                  <c:v>-1270.7</c:v>
                </c:pt>
                <c:pt idx="384">
                  <c:v>-1270.7</c:v>
                </c:pt>
                <c:pt idx="385">
                  <c:v>-1270.7</c:v>
                </c:pt>
                <c:pt idx="386">
                  <c:v>-1270.7</c:v>
                </c:pt>
                <c:pt idx="387">
                  <c:v>-1270.7</c:v>
                </c:pt>
                <c:pt idx="388">
                  <c:v>-1270.7</c:v>
                </c:pt>
                <c:pt idx="389">
                  <c:v>-1270.7</c:v>
                </c:pt>
                <c:pt idx="390">
                  <c:v>-1270.7</c:v>
                </c:pt>
                <c:pt idx="391">
                  <c:v>-1270.7</c:v>
                </c:pt>
                <c:pt idx="392">
                  <c:v>-1270.7</c:v>
                </c:pt>
                <c:pt idx="393">
                  <c:v>-1270.7</c:v>
                </c:pt>
                <c:pt idx="394">
                  <c:v>-1270.7</c:v>
                </c:pt>
                <c:pt idx="395">
                  <c:v>-1270.7</c:v>
                </c:pt>
                <c:pt idx="396">
                  <c:v>-1270.7</c:v>
                </c:pt>
                <c:pt idx="397">
                  <c:v>-1270.7</c:v>
                </c:pt>
                <c:pt idx="398">
                  <c:v>-1270.7</c:v>
                </c:pt>
                <c:pt idx="399">
                  <c:v>-1270.7</c:v>
                </c:pt>
                <c:pt idx="400">
                  <c:v>-1270.7</c:v>
                </c:pt>
                <c:pt idx="401">
                  <c:v>-1270.7</c:v>
                </c:pt>
                <c:pt idx="402">
                  <c:v>-1270.7</c:v>
                </c:pt>
                <c:pt idx="403">
                  <c:v>-1270.7</c:v>
                </c:pt>
                <c:pt idx="404">
                  <c:v>-1270.7</c:v>
                </c:pt>
                <c:pt idx="405">
                  <c:v>-1270.7</c:v>
                </c:pt>
                <c:pt idx="406">
                  <c:v>-1270.7</c:v>
                </c:pt>
                <c:pt idx="407">
                  <c:v>-1270.7</c:v>
                </c:pt>
                <c:pt idx="408">
                  <c:v>-1270.7</c:v>
                </c:pt>
                <c:pt idx="409">
                  <c:v>-1270.7</c:v>
                </c:pt>
                <c:pt idx="410">
                  <c:v>-1270.7</c:v>
                </c:pt>
                <c:pt idx="411">
                  <c:v>-1270.7</c:v>
                </c:pt>
                <c:pt idx="412">
                  <c:v>-1270.7</c:v>
                </c:pt>
                <c:pt idx="413">
                  <c:v>-1270.7</c:v>
                </c:pt>
                <c:pt idx="414">
                  <c:v>-1270.7</c:v>
                </c:pt>
                <c:pt idx="415">
                  <c:v>-1270.7</c:v>
                </c:pt>
                <c:pt idx="416">
                  <c:v>-1270.7</c:v>
                </c:pt>
                <c:pt idx="417">
                  <c:v>-1270.7</c:v>
                </c:pt>
                <c:pt idx="418">
                  <c:v>-1270.7</c:v>
                </c:pt>
                <c:pt idx="419">
                  <c:v>-1270.7</c:v>
                </c:pt>
                <c:pt idx="420">
                  <c:v>-1270.7</c:v>
                </c:pt>
                <c:pt idx="421">
                  <c:v>-1270.7</c:v>
                </c:pt>
                <c:pt idx="422">
                  <c:v>-1270.7</c:v>
                </c:pt>
                <c:pt idx="423">
                  <c:v>-1270.7</c:v>
                </c:pt>
                <c:pt idx="424">
                  <c:v>-1270.7</c:v>
                </c:pt>
                <c:pt idx="425">
                  <c:v>-1270.7</c:v>
                </c:pt>
                <c:pt idx="426">
                  <c:v>-1270.7</c:v>
                </c:pt>
                <c:pt idx="427">
                  <c:v>-1270.7</c:v>
                </c:pt>
                <c:pt idx="428">
                  <c:v>-1270.7</c:v>
                </c:pt>
                <c:pt idx="429">
                  <c:v>-1270.7</c:v>
                </c:pt>
                <c:pt idx="430">
                  <c:v>-1270.7</c:v>
                </c:pt>
                <c:pt idx="431">
                  <c:v>-1270.7</c:v>
                </c:pt>
                <c:pt idx="432">
                  <c:v>-1270.7</c:v>
                </c:pt>
                <c:pt idx="433">
                  <c:v>-1270.7</c:v>
                </c:pt>
                <c:pt idx="434">
                  <c:v>-1270.7</c:v>
                </c:pt>
                <c:pt idx="435">
                  <c:v>-1270.7</c:v>
                </c:pt>
                <c:pt idx="436">
                  <c:v>-1270.7</c:v>
                </c:pt>
                <c:pt idx="437">
                  <c:v>-1270.7</c:v>
                </c:pt>
                <c:pt idx="438">
                  <c:v>-1270.7</c:v>
                </c:pt>
                <c:pt idx="439">
                  <c:v>-1270.7</c:v>
                </c:pt>
                <c:pt idx="440">
                  <c:v>-1270.7</c:v>
                </c:pt>
                <c:pt idx="441">
                  <c:v>-1270.7</c:v>
                </c:pt>
                <c:pt idx="442">
                  <c:v>-1270.7</c:v>
                </c:pt>
                <c:pt idx="443">
                  <c:v>-1270.7</c:v>
                </c:pt>
                <c:pt idx="444">
                  <c:v>-1270.7</c:v>
                </c:pt>
                <c:pt idx="445">
                  <c:v>-1270.7</c:v>
                </c:pt>
                <c:pt idx="446">
                  <c:v>-1270.7</c:v>
                </c:pt>
                <c:pt idx="447">
                  <c:v>-1270.7</c:v>
                </c:pt>
                <c:pt idx="448">
                  <c:v>-1270.7</c:v>
                </c:pt>
                <c:pt idx="449">
                  <c:v>-1270.7</c:v>
                </c:pt>
                <c:pt idx="450">
                  <c:v>-1270.7</c:v>
                </c:pt>
                <c:pt idx="451">
                  <c:v>-1270.7</c:v>
                </c:pt>
                <c:pt idx="452">
                  <c:v>-1270.7</c:v>
                </c:pt>
                <c:pt idx="453">
                  <c:v>-1270.7</c:v>
                </c:pt>
                <c:pt idx="454">
                  <c:v>-1270.7</c:v>
                </c:pt>
                <c:pt idx="455">
                  <c:v>-1270.7</c:v>
                </c:pt>
                <c:pt idx="456">
                  <c:v>-1270.7</c:v>
                </c:pt>
                <c:pt idx="457">
                  <c:v>-1270.7</c:v>
                </c:pt>
                <c:pt idx="458">
                  <c:v>-1270.7</c:v>
                </c:pt>
                <c:pt idx="459">
                  <c:v>-1270.7</c:v>
                </c:pt>
                <c:pt idx="460">
                  <c:v>-1270.7</c:v>
                </c:pt>
                <c:pt idx="461">
                  <c:v>-1270.7</c:v>
                </c:pt>
                <c:pt idx="462">
                  <c:v>-1270.7</c:v>
                </c:pt>
                <c:pt idx="463">
                  <c:v>-1270.7</c:v>
                </c:pt>
                <c:pt idx="464">
                  <c:v>-1270.7</c:v>
                </c:pt>
                <c:pt idx="465">
                  <c:v>-1270.7</c:v>
                </c:pt>
                <c:pt idx="466">
                  <c:v>-1270.7</c:v>
                </c:pt>
                <c:pt idx="467">
                  <c:v>-1270.7</c:v>
                </c:pt>
                <c:pt idx="468">
                  <c:v>-1270.7</c:v>
                </c:pt>
                <c:pt idx="469">
                  <c:v>-1270.7</c:v>
                </c:pt>
                <c:pt idx="470">
                  <c:v>-1270.7</c:v>
                </c:pt>
                <c:pt idx="471">
                  <c:v>-1270.7</c:v>
                </c:pt>
                <c:pt idx="472">
                  <c:v>-1270.7</c:v>
                </c:pt>
                <c:pt idx="473">
                  <c:v>-1270.7</c:v>
                </c:pt>
                <c:pt idx="474">
                  <c:v>-1270.7</c:v>
                </c:pt>
                <c:pt idx="475">
                  <c:v>-1270.7</c:v>
                </c:pt>
                <c:pt idx="476">
                  <c:v>-1270.7</c:v>
                </c:pt>
                <c:pt idx="477">
                  <c:v>-1270.7</c:v>
                </c:pt>
                <c:pt idx="478">
                  <c:v>-1270.7</c:v>
                </c:pt>
                <c:pt idx="479">
                  <c:v>-1270.7</c:v>
                </c:pt>
                <c:pt idx="480">
                  <c:v>-1270.7</c:v>
                </c:pt>
                <c:pt idx="481">
                  <c:v>-1270.7</c:v>
                </c:pt>
                <c:pt idx="482">
                  <c:v>-1270.7</c:v>
                </c:pt>
                <c:pt idx="483">
                  <c:v>-1270.7</c:v>
                </c:pt>
                <c:pt idx="484">
                  <c:v>-1270.7</c:v>
                </c:pt>
                <c:pt idx="485">
                  <c:v>-1270.7</c:v>
                </c:pt>
                <c:pt idx="486">
                  <c:v>-1270.7</c:v>
                </c:pt>
                <c:pt idx="487">
                  <c:v>-1270.7</c:v>
                </c:pt>
                <c:pt idx="488">
                  <c:v>-1270.7</c:v>
                </c:pt>
                <c:pt idx="489">
                  <c:v>-1270.7</c:v>
                </c:pt>
                <c:pt idx="490">
                  <c:v>-1270.7</c:v>
                </c:pt>
                <c:pt idx="491">
                  <c:v>-1270.7</c:v>
                </c:pt>
                <c:pt idx="492">
                  <c:v>-1270.7</c:v>
                </c:pt>
                <c:pt idx="493">
                  <c:v>-1270.7</c:v>
                </c:pt>
                <c:pt idx="494">
                  <c:v>-1270.7</c:v>
                </c:pt>
                <c:pt idx="495">
                  <c:v>-1270.7</c:v>
                </c:pt>
                <c:pt idx="496">
                  <c:v>-1270.7</c:v>
                </c:pt>
                <c:pt idx="497">
                  <c:v>-1270.7</c:v>
                </c:pt>
                <c:pt idx="498">
                  <c:v>-1270.7</c:v>
                </c:pt>
                <c:pt idx="499">
                  <c:v>-1270.7</c:v>
                </c:pt>
                <c:pt idx="500">
                  <c:v>-1270.7</c:v>
                </c:pt>
                <c:pt idx="501">
                  <c:v>-1270.7</c:v>
                </c:pt>
                <c:pt idx="502">
                  <c:v>-1270.7</c:v>
                </c:pt>
                <c:pt idx="503">
                  <c:v>-1270.7</c:v>
                </c:pt>
                <c:pt idx="504">
                  <c:v>-1270.7</c:v>
                </c:pt>
                <c:pt idx="505">
                  <c:v>-1270.7</c:v>
                </c:pt>
                <c:pt idx="506">
                  <c:v>-1270.7</c:v>
                </c:pt>
                <c:pt idx="507">
                  <c:v>-1270.7</c:v>
                </c:pt>
                <c:pt idx="508">
                  <c:v>-1270.7</c:v>
                </c:pt>
                <c:pt idx="509">
                  <c:v>-1270.7</c:v>
                </c:pt>
                <c:pt idx="510">
                  <c:v>-1270.7</c:v>
                </c:pt>
                <c:pt idx="511">
                  <c:v>-1270.7</c:v>
                </c:pt>
                <c:pt idx="512">
                  <c:v>-1270.7</c:v>
                </c:pt>
                <c:pt idx="513">
                  <c:v>-1270.7</c:v>
                </c:pt>
                <c:pt idx="514">
                  <c:v>-1270.7</c:v>
                </c:pt>
                <c:pt idx="515">
                  <c:v>-1270.7</c:v>
                </c:pt>
                <c:pt idx="516">
                  <c:v>-1270.7</c:v>
                </c:pt>
                <c:pt idx="517">
                  <c:v>-1270.7</c:v>
                </c:pt>
                <c:pt idx="518">
                  <c:v>-1270.7</c:v>
                </c:pt>
                <c:pt idx="519">
                  <c:v>-1270.7</c:v>
                </c:pt>
                <c:pt idx="520">
                  <c:v>-1270.7</c:v>
                </c:pt>
                <c:pt idx="521">
                  <c:v>-1270.7</c:v>
                </c:pt>
                <c:pt idx="522">
                  <c:v>-1270.7</c:v>
                </c:pt>
                <c:pt idx="523">
                  <c:v>-1270.7</c:v>
                </c:pt>
                <c:pt idx="524">
                  <c:v>-1270.7</c:v>
                </c:pt>
                <c:pt idx="525">
                  <c:v>-1270.7</c:v>
                </c:pt>
                <c:pt idx="526">
                  <c:v>-1270.7</c:v>
                </c:pt>
                <c:pt idx="527">
                  <c:v>-1270.7</c:v>
                </c:pt>
                <c:pt idx="528">
                  <c:v>-1270.7</c:v>
                </c:pt>
                <c:pt idx="529">
                  <c:v>-1270.7</c:v>
                </c:pt>
                <c:pt idx="530">
                  <c:v>-1270.7</c:v>
                </c:pt>
                <c:pt idx="531">
                  <c:v>-1270.7</c:v>
                </c:pt>
                <c:pt idx="532">
                  <c:v>-1270.7</c:v>
                </c:pt>
                <c:pt idx="533">
                  <c:v>-1270.7</c:v>
                </c:pt>
                <c:pt idx="534">
                  <c:v>-1270.7</c:v>
                </c:pt>
                <c:pt idx="535">
                  <c:v>-1270.7</c:v>
                </c:pt>
                <c:pt idx="536">
                  <c:v>-1270.7</c:v>
                </c:pt>
                <c:pt idx="537">
                  <c:v>-1270.7</c:v>
                </c:pt>
                <c:pt idx="538">
                  <c:v>-1270.7</c:v>
                </c:pt>
                <c:pt idx="539">
                  <c:v>-1270.7</c:v>
                </c:pt>
                <c:pt idx="540">
                  <c:v>-1270.7</c:v>
                </c:pt>
                <c:pt idx="541">
                  <c:v>-1270.7</c:v>
                </c:pt>
                <c:pt idx="542">
                  <c:v>-1270.7</c:v>
                </c:pt>
                <c:pt idx="543">
                  <c:v>-1270.7</c:v>
                </c:pt>
                <c:pt idx="544">
                  <c:v>-1270.7</c:v>
                </c:pt>
                <c:pt idx="545">
                  <c:v>-1270.7</c:v>
                </c:pt>
                <c:pt idx="546">
                  <c:v>-1270.7</c:v>
                </c:pt>
                <c:pt idx="547">
                  <c:v>-1270.7</c:v>
                </c:pt>
                <c:pt idx="548">
                  <c:v>-1270.7</c:v>
                </c:pt>
                <c:pt idx="549">
                  <c:v>-1270.7</c:v>
                </c:pt>
                <c:pt idx="550">
                  <c:v>-1270.7</c:v>
                </c:pt>
                <c:pt idx="551">
                  <c:v>-1270.7</c:v>
                </c:pt>
                <c:pt idx="552">
                  <c:v>-1270.7</c:v>
                </c:pt>
                <c:pt idx="553">
                  <c:v>-1270.7</c:v>
                </c:pt>
                <c:pt idx="554">
                  <c:v>-1270.7</c:v>
                </c:pt>
                <c:pt idx="555">
                  <c:v>-1270.7</c:v>
                </c:pt>
                <c:pt idx="556">
                  <c:v>-1270.7</c:v>
                </c:pt>
                <c:pt idx="557">
                  <c:v>-1270.7</c:v>
                </c:pt>
                <c:pt idx="558">
                  <c:v>-1270.7</c:v>
                </c:pt>
                <c:pt idx="559">
                  <c:v>-1270.7</c:v>
                </c:pt>
                <c:pt idx="560">
                  <c:v>-1270.7</c:v>
                </c:pt>
                <c:pt idx="561">
                  <c:v>-1110.7</c:v>
                </c:pt>
                <c:pt idx="562">
                  <c:v>-1110.7</c:v>
                </c:pt>
                <c:pt idx="563">
                  <c:v>-1110.7</c:v>
                </c:pt>
                <c:pt idx="564">
                  <c:v>-1110.7</c:v>
                </c:pt>
                <c:pt idx="565">
                  <c:v>-1110.7</c:v>
                </c:pt>
                <c:pt idx="566">
                  <c:v>-1110.7</c:v>
                </c:pt>
                <c:pt idx="567">
                  <c:v>-1110.7</c:v>
                </c:pt>
                <c:pt idx="568">
                  <c:v>-1110.7</c:v>
                </c:pt>
                <c:pt idx="569">
                  <c:v>-1110.7</c:v>
                </c:pt>
                <c:pt idx="570">
                  <c:v>-1110.7</c:v>
                </c:pt>
                <c:pt idx="571">
                  <c:v>-1110.7</c:v>
                </c:pt>
                <c:pt idx="572">
                  <c:v>-1110.7</c:v>
                </c:pt>
                <c:pt idx="573">
                  <c:v>-1110.7</c:v>
                </c:pt>
                <c:pt idx="574">
                  <c:v>-1110.7</c:v>
                </c:pt>
                <c:pt idx="575">
                  <c:v>-1110.7</c:v>
                </c:pt>
                <c:pt idx="576">
                  <c:v>-1110.7</c:v>
                </c:pt>
                <c:pt idx="577">
                  <c:v>-1110.7</c:v>
                </c:pt>
                <c:pt idx="578">
                  <c:v>-1110.7</c:v>
                </c:pt>
                <c:pt idx="579">
                  <c:v>-1110.7</c:v>
                </c:pt>
                <c:pt idx="580">
                  <c:v>-1110.7</c:v>
                </c:pt>
                <c:pt idx="581">
                  <c:v>-1110.7</c:v>
                </c:pt>
                <c:pt idx="582">
                  <c:v>-1110.7</c:v>
                </c:pt>
                <c:pt idx="583">
                  <c:v>-1110.7</c:v>
                </c:pt>
                <c:pt idx="584">
                  <c:v>-1110.7</c:v>
                </c:pt>
                <c:pt idx="585">
                  <c:v>-1110.7</c:v>
                </c:pt>
                <c:pt idx="586">
                  <c:v>-1110.7</c:v>
                </c:pt>
                <c:pt idx="587">
                  <c:v>-1110.7</c:v>
                </c:pt>
                <c:pt idx="588">
                  <c:v>-257.36666666666679</c:v>
                </c:pt>
                <c:pt idx="589">
                  <c:v>-257.36666666666679</c:v>
                </c:pt>
                <c:pt idx="590">
                  <c:v>-257.36666666666679</c:v>
                </c:pt>
                <c:pt idx="591">
                  <c:v>-257.36666666666679</c:v>
                </c:pt>
                <c:pt idx="592">
                  <c:v>-257.36666666666679</c:v>
                </c:pt>
                <c:pt idx="593">
                  <c:v>-257.36666666666679</c:v>
                </c:pt>
                <c:pt idx="594">
                  <c:v>-257.36666666666679</c:v>
                </c:pt>
                <c:pt idx="595">
                  <c:v>-97.366666666666788</c:v>
                </c:pt>
                <c:pt idx="596">
                  <c:v>-97.366666666666788</c:v>
                </c:pt>
                <c:pt idx="597">
                  <c:v>-97.366666666666788</c:v>
                </c:pt>
                <c:pt idx="598">
                  <c:v>-97.366666666666788</c:v>
                </c:pt>
                <c:pt idx="599">
                  <c:v>-97.366666666666788</c:v>
                </c:pt>
                <c:pt idx="600">
                  <c:v>-97.366666666666788</c:v>
                </c:pt>
                <c:pt idx="601">
                  <c:v>222.63333333333321</c:v>
                </c:pt>
                <c:pt idx="602">
                  <c:v>462.63333333333321</c:v>
                </c:pt>
                <c:pt idx="603">
                  <c:v>462.63333333333321</c:v>
                </c:pt>
                <c:pt idx="604">
                  <c:v>462.63333333333321</c:v>
                </c:pt>
                <c:pt idx="605">
                  <c:v>462.63333333333321</c:v>
                </c:pt>
                <c:pt idx="606">
                  <c:v>462.63333333333321</c:v>
                </c:pt>
                <c:pt idx="607">
                  <c:v>462.63333333333321</c:v>
                </c:pt>
                <c:pt idx="608">
                  <c:v>462.63333333333321</c:v>
                </c:pt>
                <c:pt idx="609">
                  <c:v>462.63333333333321</c:v>
                </c:pt>
                <c:pt idx="610">
                  <c:v>462.63333333333321</c:v>
                </c:pt>
                <c:pt idx="611">
                  <c:v>462.63333333333321</c:v>
                </c:pt>
                <c:pt idx="612">
                  <c:v>462.63333333333321</c:v>
                </c:pt>
                <c:pt idx="613">
                  <c:v>462.63333333333321</c:v>
                </c:pt>
                <c:pt idx="614">
                  <c:v>462.63333333333321</c:v>
                </c:pt>
                <c:pt idx="615">
                  <c:v>462.63333333333321</c:v>
                </c:pt>
                <c:pt idx="616">
                  <c:v>462.63333333333321</c:v>
                </c:pt>
                <c:pt idx="617">
                  <c:v>462.63333333333321</c:v>
                </c:pt>
                <c:pt idx="618">
                  <c:v>462.63333333333321</c:v>
                </c:pt>
                <c:pt idx="619">
                  <c:v>462.63333333333321</c:v>
                </c:pt>
                <c:pt idx="620">
                  <c:v>462.63333333333321</c:v>
                </c:pt>
                <c:pt idx="621">
                  <c:v>462.63333333333321</c:v>
                </c:pt>
                <c:pt idx="622">
                  <c:v>462.63333333333321</c:v>
                </c:pt>
                <c:pt idx="623">
                  <c:v>462.63333333333321</c:v>
                </c:pt>
                <c:pt idx="624">
                  <c:v>462.63333333333321</c:v>
                </c:pt>
                <c:pt idx="625">
                  <c:v>462.63333333333321</c:v>
                </c:pt>
                <c:pt idx="626">
                  <c:v>462.63333333333321</c:v>
                </c:pt>
                <c:pt idx="627">
                  <c:v>462.63333333333321</c:v>
                </c:pt>
                <c:pt idx="628">
                  <c:v>462.63333333333321</c:v>
                </c:pt>
                <c:pt idx="629">
                  <c:v>462.63333333333321</c:v>
                </c:pt>
                <c:pt idx="630">
                  <c:v>462.63333333333321</c:v>
                </c:pt>
                <c:pt idx="631">
                  <c:v>462.63333333333321</c:v>
                </c:pt>
                <c:pt idx="632">
                  <c:v>462.63333333333321</c:v>
                </c:pt>
                <c:pt idx="633">
                  <c:v>462.63333333333321</c:v>
                </c:pt>
                <c:pt idx="634">
                  <c:v>462.63333333333321</c:v>
                </c:pt>
                <c:pt idx="635">
                  <c:v>462.63333333333321</c:v>
                </c:pt>
                <c:pt idx="636">
                  <c:v>462.63333333333321</c:v>
                </c:pt>
                <c:pt idx="637">
                  <c:v>462.63333333333321</c:v>
                </c:pt>
                <c:pt idx="638">
                  <c:v>462.63333333333321</c:v>
                </c:pt>
                <c:pt idx="639">
                  <c:v>462.63333333333321</c:v>
                </c:pt>
                <c:pt idx="640">
                  <c:v>462.63333333333321</c:v>
                </c:pt>
                <c:pt idx="641">
                  <c:v>462.63333333333321</c:v>
                </c:pt>
                <c:pt idx="642">
                  <c:v>462.63333333333321</c:v>
                </c:pt>
                <c:pt idx="643">
                  <c:v>462.63333333333321</c:v>
                </c:pt>
                <c:pt idx="644">
                  <c:v>462.63333333333321</c:v>
                </c:pt>
                <c:pt idx="645">
                  <c:v>462.63333333333321</c:v>
                </c:pt>
                <c:pt idx="646">
                  <c:v>462.63333333333321</c:v>
                </c:pt>
                <c:pt idx="647">
                  <c:v>462.63333333333321</c:v>
                </c:pt>
                <c:pt idx="648">
                  <c:v>462.63333333333321</c:v>
                </c:pt>
                <c:pt idx="649">
                  <c:v>462.63333333333321</c:v>
                </c:pt>
                <c:pt idx="650">
                  <c:v>462.63333333333321</c:v>
                </c:pt>
                <c:pt idx="651">
                  <c:v>462.63333333333321</c:v>
                </c:pt>
                <c:pt idx="652">
                  <c:v>462.63333333333321</c:v>
                </c:pt>
                <c:pt idx="653">
                  <c:v>462.63333333333321</c:v>
                </c:pt>
                <c:pt idx="654">
                  <c:v>462.63333333333321</c:v>
                </c:pt>
                <c:pt idx="655">
                  <c:v>462.63333333333321</c:v>
                </c:pt>
                <c:pt idx="656">
                  <c:v>462.63333333333321</c:v>
                </c:pt>
                <c:pt idx="657">
                  <c:v>462.63333333333321</c:v>
                </c:pt>
                <c:pt idx="658">
                  <c:v>462.63333333333321</c:v>
                </c:pt>
                <c:pt idx="659">
                  <c:v>462.63333333333321</c:v>
                </c:pt>
                <c:pt idx="660">
                  <c:v>462.63333333333321</c:v>
                </c:pt>
                <c:pt idx="661">
                  <c:v>462.63333333333321</c:v>
                </c:pt>
                <c:pt idx="662">
                  <c:v>462.63333333333321</c:v>
                </c:pt>
                <c:pt idx="663">
                  <c:v>462.63333333333321</c:v>
                </c:pt>
                <c:pt idx="664">
                  <c:v>462.63333333333321</c:v>
                </c:pt>
                <c:pt idx="665">
                  <c:v>462.63333333333321</c:v>
                </c:pt>
                <c:pt idx="666">
                  <c:v>462.63333333333321</c:v>
                </c:pt>
                <c:pt idx="667">
                  <c:v>462.63333333333321</c:v>
                </c:pt>
                <c:pt idx="668">
                  <c:v>505.78333333334302</c:v>
                </c:pt>
                <c:pt idx="669">
                  <c:v>505.78333333334302</c:v>
                </c:pt>
                <c:pt idx="670">
                  <c:v>505.78333333334302</c:v>
                </c:pt>
                <c:pt idx="671">
                  <c:v>505.78333333334302</c:v>
                </c:pt>
                <c:pt idx="672">
                  <c:v>505.78333333334302</c:v>
                </c:pt>
                <c:pt idx="673">
                  <c:v>505.78333333334302</c:v>
                </c:pt>
                <c:pt idx="674">
                  <c:v>505.78333333334302</c:v>
                </c:pt>
                <c:pt idx="675">
                  <c:v>505.78333333334302</c:v>
                </c:pt>
                <c:pt idx="676">
                  <c:v>505.78333333334302</c:v>
                </c:pt>
                <c:pt idx="677">
                  <c:v>505.78333333334302</c:v>
                </c:pt>
                <c:pt idx="678">
                  <c:v>505.78333333334302</c:v>
                </c:pt>
                <c:pt idx="679">
                  <c:v>505.78333333334302</c:v>
                </c:pt>
                <c:pt idx="680">
                  <c:v>505.78333333334302</c:v>
                </c:pt>
                <c:pt idx="681">
                  <c:v>505.78333333334302</c:v>
                </c:pt>
                <c:pt idx="682">
                  <c:v>505.78333333334302</c:v>
                </c:pt>
                <c:pt idx="683">
                  <c:v>505.78333333334302</c:v>
                </c:pt>
                <c:pt idx="684">
                  <c:v>505.78333333334302</c:v>
                </c:pt>
                <c:pt idx="685">
                  <c:v>505.78333333334302</c:v>
                </c:pt>
                <c:pt idx="686">
                  <c:v>505.78333333334302</c:v>
                </c:pt>
                <c:pt idx="687">
                  <c:v>505.78333333334302</c:v>
                </c:pt>
                <c:pt idx="688">
                  <c:v>505.78333333334302</c:v>
                </c:pt>
                <c:pt idx="689">
                  <c:v>505.78333333334302</c:v>
                </c:pt>
                <c:pt idx="690">
                  <c:v>825.78333333334297</c:v>
                </c:pt>
                <c:pt idx="691">
                  <c:v>825.78333333334297</c:v>
                </c:pt>
                <c:pt idx="692">
                  <c:v>825.78333333334297</c:v>
                </c:pt>
                <c:pt idx="693">
                  <c:v>2169.7833333333429</c:v>
                </c:pt>
                <c:pt idx="694">
                  <c:v>2169.7833333333429</c:v>
                </c:pt>
                <c:pt idx="695">
                  <c:v>2169.7833333333429</c:v>
                </c:pt>
                <c:pt idx="696">
                  <c:v>2169.7833333333429</c:v>
                </c:pt>
                <c:pt idx="697">
                  <c:v>2169.7833333333429</c:v>
                </c:pt>
                <c:pt idx="698">
                  <c:v>2169.7833333333429</c:v>
                </c:pt>
                <c:pt idx="699">
                  <c:v>2169.7833333333429</c:v>
                </c:pt>
                <c:pt idx="700">
                  <c:v>2169.7833333333429</c:v>
                </c:pt>
                <c:pt idx="701">
                  <c:v>2169.7833333333429</c:v>
                </c:pt>
                <c:pt idx="702">
                  <c:v>2169.7833333333429</c:v>
                </c:pt>
                <c:pt idx="703">
                  <c:v>2169.7833333333429</c:v>
                </c:pt>
                <c:pt idx="704">
                  <c:v>2169.7833333333429</c:v>
                </c:pt>
                <c:pt idx="705">
                  <c:v>2169.7833333333429</c:v>
                </c:pt>
                <c:pt idx="706">
                  <c:v>2169.7833333333429</c:v>
                </c:pt>
                <c:pt idx="707">
                  <c:v>2169.7833333333429</c:v>
                </c:pt>
                <c:pt idx="708">
                  <c:v>2169.7833333333429</c:v>
                </c:pt>
                <c:pt idx="709">
                  <c:v>2169.7833333333429</c:v>
                </c:pt>
                <c:pt idx="710">
                  <c:v>2169.7833333333429</c:v>
                </c:pt>
                <c:pt idx="711">
                  <c:v>2169.7833333333429</c:v>
                </c:pt>
                <c:pt idx="712">
                  <c:v>2169.7833333333429</c:v>
                </c:pt>
                <c:pt idx="713">
                  <c:v>2169.7833333333429</c:v>
                </c:pt>
                <c:pt idx="714">
                  <c:v>2169.7833333333429</c:v>
                </c:pt>
                <c:pt idx="715">
                  <c:v>2169.7833333333429</c:v>
                </c:pt>
                <c:pt idx="716">
                  <c:v>2169.7833333333429</c:v>
                </c:pt>
                <c:pt idx="717">
                  <c:v>2169.7833333333429</c:v>
                </c:pt>
                <c:pt idx="718">
                  <c:v>2169.7833333333429</c:v>
                </c:pt>
                <c:pt idx="719">
                  <c:v>2169.7833333333429</c:v>
                </c:pt>
                <c:pt idx="720">
                  <c:v>2169.7833333333429</c:v>
                </c:pt>
                <c:pt idx="721">
                  <c:v>2169.7833333333429</c:v>
                </c:pt>
                <c:pt idx="722">
                  <c:v>2169.7833333333429</c:v>
                </c:pt>
                <c:pt idx="723">
                  <c:v>2169.7833333333429</c:v>
                </c:pt>
                <c:pt idx="724">
                  <c:v>2169.7833333333429</c:v>
                </c:pt>
                <c:pt idx="725">
                  <c:v>2169.7833333333429</c:v>
                </c:pt>
                <c:pt idx="726">
                  <c:v>2169.7833333333429</c:v>
                </c:pt>
                <c:pt idx="727">
                  <c:v>2169.7833333333429</c:v>
                </c:pt>
                <c:pt idx="728">
                  <c:v>2169.7833333333429</c:v>
                </c:pt>
                <c:pt idx="729">
                  <c:v>3049.7833333333429</c:v>
                </c:pt>
                <c:pt idx="730">
                  <c:v>3049.7833333333429</c:v>
                </c:pt>
                <c:pt idx="731">
                  <c:v>3049.7833333333429</c:v>
                </c:pt>
                <c:pt idx="732">
                  <c:v>3049.7833333333429</c:v>
                </c:pt>
                <c:pt idx="733">
                  <c:v>3049.7833333333429</c:v>
                </c:pt>
                <c:pt idx="734">
                  <c:v>3049.7833333333429</c:v>
                </c:pt>
                <c:pt idx="735">
                  <c:v>3049.7833333333429</c:v>
                </c:pt>
                <c:pt idx="736">
                  <c:v>3049.7833333333429</c:v>
                </c:pt>
                <c:pt idx="737">
                  <c:v>3049.7833333333429</c:v>
                </c:pt>
                <c:pt idx="738">
                  <c:v>3049.7833333333429</c:v>
                </c:pt>
                <c:pt idx="739">
                  <c:v>3049.7833333333429</c:v>
                </c:pt>
                <c:pt idx="740">
                  <c:v>3049.7833333333429</c:v>
                </c:pt>
                <c:pt idx="741">
                  <c:v>3049.7833333333429</c:v>
                </c:pt>
                <c:pt idx="742">
                  <c:v>3049.7833333333429</c:v>
                </c:pt>
                <c:pt idx="743">
                  <c:v>3049.7833333333429</c:v>
                </c:pt>
                <c:pt idx="744">
                  <c:v>3049.7833333333429</c:v>
                </c:pt>
                <c:pt idx="745">
                  <c:v>3049.7833333333429</c:v>
                </c:pt>
                <c:pt idx="746">
                  <c:v>3049.7833333333429</c:v>
                </c:pt>
                <c:pt idx="747">
                  <c:v>3049.7833333333429</c:v>
                </c:pt>
                <c:pt idx="748">
                  <c:v>3049.7833333333429</c:v>
                </c:pt>
                <c:pt idx="749">
                  <c:v>3049.7833333333429</c:v>
                </c:pt>
                <c:pt idx="750">
                  <c:v>3049.7833333333429</c:v>
                </c:pt>
                <c:pt idx="751">
                  <c:v>3049.7833333333429</c:v>
                </c:pt>
                <c:pt idx="752">
                  <c:v>3049.7833333333429</c:v>
                </c:pt>
                <c:pt idx="753">
                  <c:v>3049.7833333333429</c:v>
                </c:pt>
                <c:pt idx="754">
                  <c:v>3049.7833333333429</c:v>
                </c:pt>
                <c:pt idx="755">
                  <c:v>3049.7833333333429</c:v>
                </c:pt>
                <c:pt idx="756">
                  <c:v>3049.7833333333429</c:v>
                </c:pt>
                <c:pt idx="757">
                  <c:v>3049.7833333333429</c:v>
                </c:pt>
                <c:pt idx="758">
                  <c:v>3049.7833333333429</c:v>
                </c:pt>
                <c:pt idx="759">
                  <c:v>3049.7833333333429</c:v>
                </c:pt>
                <c:pt idx="760">
                  <c:v>3049.7833333333429</c:v>
                </c:pt>
                <c:pt idx="761">
                  <c:v>3049.7833333333429</c:v>
                </c:pt>
                <c:pt idx="762">
                  <c:v>3049.7833333333429</c:v>
                </c:pt>
                <c:pt idx="763">
                  <c:v>3049.7833333333429</c:v>
                </c:pt>
                <c:pt idx="764">
                  <c:v>3049.7833333333429</c:v>
                </c:pt>
                <c:pt idx="765">
                  <c:v>3049.7833333333429</c:v>
                </c:pt>
                <c:pt idx="766">
                  <c:v>3049.7833333333429</c:v>
                </c:pt>
                <c:pt idx="767">
                  <c:v>3049.7833333333429</c:v>
                </c:pt>
                <c:pt idx="768">
                  <c:v>3049.7833333333429</c:v>
                </c:pt>
                <c:pt idx="769">
                  <c:v>3049.7833333333429</c:v>
                </c:pt>
                <c:pt idx="770">
                  <c:v>3049.7833333333429</c:v>
                </c:pt>
                <c:pt idx="771">
                  <c:v>3049.7833333333429</c:v>
                </c:pt>
                <c:pt idx="772">
                  <c:v>3049.7833333333429</c:v>
                </c:pt>
                <c:pt idx="773">
                  <c:v>3049.7833333333429</c:v>
                </c:pt>
                <c:pt idx="774">
                  <c:v>3049.7833333333429</c:v>
                </c:pt>
                <c:pt idx="775">
                  <c:v>3049.7833333333429</c:v>
                </c:pt>
                <c:pt idx="776">
                  <c:v>3049.7833333333429</c:v>
                </c:pt>
                <c:pt idx="777">
                  <c:v>3049.7833333333429</c:v>
                </c:pt>
                <c:pt idx="778">
                  <c:v>3049.7833333333429</c:v>
                </c:pt>
                <c:pt idx="779">
                  <c:v>3049.7833333333429</c:v>
                </c:pt>
                <c:pt idx="780">
                  <c:v>3049.7833333333429</c:v>
                </c:pt>
                <c:pt idx="781">
                  <c:v>3049.7833333333429</c:v>
                </c:pt>
                <c:pt idx="782">
                  <c:v>3049.7833333333429</c:v>
                </c:pt>
                <c:pt idx="783">
                  <c:v>3049.7833333333429</c:v>
                </c:pt>
                <c:pt idx="784">
                  <c:v>3049.7833333333429</c:v>
                </c:pt>
                <c:pt idx="785">
                  <c:v>3049.7833333333429</c:v>
                </c:pt>
                <c:pt idx="786">
                  <c:v>3049.7833333333429</c:v>
                </c:pt>
                <c:pt idx="787">
                  <c:v>3049.7833333333429</c:v>
                </c:pt>
                <c:pt idx="788">
                  <c:v>3049.7833333333429</c:v>
                </c:pt>
                <c:pt idx="789">
                  <c:v>3049.7833333333429</c:v>
                </c:pt>
                <c:pt idx="790">
                  <c:v>3049.7833333333429</c:v>
                </c:pt>
                <c:pt idx="791">
                  <c:v>3049.7833333333429</c:v>
                </c:pt>
                <c:pt idx="792">
                  <c:v>3049.7833333333429</c:v>
                </c:pt>
                <c:pt idx="793">
                  <c:v>3049.7833333333429</c:v>
                </c:pt>
                <c:pt idx="794">
                  <c:v>3049.7833333333429</c:v>
                </c:pt>
                <c:pt idx="795">
                  <c:v>3049.7833333333429</c:v>
                </c:pt>
                <c:pt idx="796">
                  <c:v>3049.7833333333429</c:v>
                </c:pt>
                <c:pt idx="797">
                  <c:v>3049.7833333333429</c:v>
                </c:pt>
                <c:pt idx="798">
                  <c:v>3049.7833333333429</c:v>
                </c:pt>
                <c:pt idx="799">
                  <c:v>3049.7833333333429</c:v>
                </c:pt>
                <c:pt idx="800">
                  <c:v>3049.7833333333429</c:v>
                </c:pt>
                <c:pt idx="801">
                  <c:v>3049.7833333333429</c:v>
                </c:pt>
                <c:pt idx="802">
                  <c:v>3049.7833333333429</c:v>
                </c:pt>
                <c:pt idx="803">
                  <c:v>3049.7833333333429</c:v>
                </c:pt>
                <c:pt idx="804">
                  <c:v>3049.7833333333429</c:v>
                </c:pt>
                <c:pt idx="805">
                  <c:v>3049.7833333333429</c:v>
                </c:pt>
                <c:pt idx="806">
                  <c:v>3049.7833333333429</c:v>
                </c:pt>
                <c:pt idx="807">
                  <c:v>3049.7833333333429</c:v>
                </c:pt>
                <c:pt idx="808">
                  <c:v>3049.7833333333429</c:v>
                </c:pt>
                <c:pt idx="809">
                  <c:v>3049.7833333333429</c:v>
                </c:pt>
                <c:pt idx="810">
                  <c:v>3049.7833333333429</c:v>
                </c:pt>
                <c:pt idx="811">
                  <c:v>3049.7833333333429</c:v>
                </c:pt>
                <c:pt idx="812">
                  <c:v>3049.7833333333429</c:v>
                </c:pt>
                <c:pt idx="813">
                  <c:v>3049.7833333333429</c:v>
                </c:pt>
                <c:pt idx="814">
                  <c:v>3049.7833333333429</c:v>
                </c:pt>
                <c:pt idx="815">
                  <c:v>3049.7833333333429</c:v>
                </c:pt>
                <c:pt idx="816">
                  <c:v>3049.7833333333429</c:v>
                </c:pt>
                <c:pt idx="817">
                  <c:v>3049.7833333333429</c:v>
                </c:pt>
                <c:pt idx="818">
                  <c:v>3049.7833333333429</c:v>
                </c:pt>
                <c:pt idx="819">
                  <c:v>3049.7833333333429</c:v>
                </c:pt>
                <c:pt idx="820">
                  <c:v>3049.7833333333429</c:v>
                </c:pt>
                <c:pt idx="821">
                  <c:v>3049.7833333333429</c:v>
                </c:pt>
                <c:pt idx="822">
                  <c:v>3049.7833333333429</c:v>
                </c:pt>
                <c:pt idx="823">
                  <c:v>3049.7833333333429</c:v>
                </c:pt>
                <c:pt idx="824">
                  <c:v>3049.7833333333429</c:v>
                </c:pt>
                <c:pt idx="825">
                  <c:v>3049.7833333333429</c:v>
                </c:pt>
                <c:pt idx="826">
                  <c:v>3049.7833333333429</c:v>
                </c:pt>
                <c:pt idx="827">
                  <c:v>3049.7833333333429</c:v>
                </c:pt>
                <c:pt idx="828">
                  <c:v>3049.7833333333429</c:v>
                </c:pt>
                <c:pt idx="829">
                  <c:v>3049.7833333333429</c:v>
                </c:pt>
                <c:pt idx="830">
                  <c:v>3049.7833333333429</c:v>
                </c:pt>
                <c:pt idx="831">
                  <c:v>3049.7833333333429</c:v>
                </c:pt>
                <c:pt idx="832">
                  <c:v>3049.7833333333429</c:v>
                </c:pt>
                <c:pt idx="833">
                  <c:v>3049.7833333333429</c:v>
                </c:pt>
                <c:pt idx="834">
                  <c:v>3049.7833333333429</c:v>
                </c:pt>
                <c:pt idx="835">
                  <c:v>3049.7833333333429</c:v>
                </c:pt>
                <c:pt idx="836">
                  <c:v>3049.7833333333429</c:v>
                </c:pt>
                <c:pt idx="837">
                  <c:v>3049.7833333333429</c:v>
                </c:pt>
                <c:pt idx="838">
                  <c:v>3049.7833333333429</c:v>
                </c:pt>
                <c:pt idx="839">
                  <c:v>3049.7833333333429</c:v>
                </c:pt>
                <c:pt idx="840">
                  <c:v>3049.7833333333429</c:v>
                </c:pt>
                <c:pt idx="841">
                  <c:v>3049.7833333333429</c:v>
                </c:pt>
                <c:pt idx="842">
                  <c:v>3049.7833333333429</c:v>
                </c:pt>
                <c:pt idx="843">
                  <c:v>3049.7833333333429</c:v>
                </c:pt>
                <c:pt idx="844">
                  <c:v>3049.7833333333429</c:v>
                </c:pt>
                <c:pt idx="845">
                  <c:v>3049.7833333333429</c:v>
                </c:pt>
                <c:pt idx="846">
                  <c:v>3049.7833333333429</c:v>
                </c:pt>
                <c:pt idx="847">
                  <c:v>3049.7833333333429</c:v>
                </c:pt>
                <c:pt idx="848">
                  <c:v>3049.7833333333429</c:v>
                </c:pt>
                <c:pt idx="849">
                  <c:v>3049.7833333333429</c:v>
                </c:pt>
                <c:pt idx="850">
                  <c:v>3049.7833333333429</c:v>
                </c:pt>
                <c:pt idx="851">
                  <c:v>3049.7833333333429</c:v>
                </c:pt>
                <c:pt idx="852">
                  <c:v>3049.7833333333429</c:v>
                </c:pt>
                <c:pt idx="853">
                  <c:v>3049.7833333333429</c:v>
                </c:pt>
                <c:pt idx="854">
                  <c:v>3049.7833333333429</c:v>
                </c:pt>
                <c:pt idx="855">
                  <c:v>3049.7833333333429</c:v>
                </c:pt>
                <c:pt idx="856">
                  <c:v>3049.7833333333429</c:v>
                </c:pt>
                <c:pt idx="857">
                  <c:v>3049.7833333333429</c:v>
                </c:pt>
                <c:pt idx="858">
                  <c:v>3049.7833333333429</c:v>
                </c:pt>
                <c:pt idx="859">
                  <c:v>3049.7833333333429</c:v>
                </c:pt>
                <c:pt idx="860">
                  <c:v>3049.7833333333429</c:v>
                </c:pt>
                <c:pt idx="861">
                  <c:v>3049.7833333333429</c:v>
                </c:pt>
                <c:pt idx="862">
                  <c:v>3049.7833333333429</c:v>
                </c:pt>
                <c:pt idx="863">
                  <c:v>3049.7833333333429</c:v>
                </c:pt>
                <c:pt idx="864">
                  <c:v>3049.7833333333429</c:v>
                </c:pt>
                <c:pt idx="865">
                  <c:v>3049.7833333333429</c:v>
                </c:pt>
                <c:pt idx="866">
                  <c:v>3049.7833333333429</c:v>
                </c:pt>
                <c:pt idx="867">
                  <c:v>3049.7833333333429</c:v>
                </c:pt>
                <c:pt idx="868">
                  <c:v>3049.7833333333429</c:v>
                </c:pt>
                <c:pt idx="869">
                  <c:v>3049.7833333333429</c:v>
                </c:pt>
                <c:pt idx="870">
                  <c:v>3049.7833333333429</c:v>
                </c:pt>
                <c:pt idx="871">
                  <c:v>3049.7833333333429</c:v>
                </c:pt>
                <c:pt idx="872">
                  <c:v>3049.7833333333429</c:v>
                </c:pt>
                <c:pt idx="873">
                  <c:v>3049.7833333333429</c:v>
                </c:pt>
                <c:pt idx="874">
                  <c:v>3049.7833333333429</c:v>
                </c:pt>
                <c:pt idx="875">
                  <c:v>3049.7833333333429</c:v>
                </c:pt>
                <c:pt idx="876">
                  <c:v>3049.7833333333429</c:v>
                </c:pt>
                <c:pt idx="877">
                  <c:v>3049.7833333333429</c:v>
                </c:pt>
                <c:pt idx="878">
                  <c:v>3049.7833333333429</c:v>
                </c:pt>
                <c:pt idx="879">
                  <c:v>3049.7833333333429</c:v>
                </c:pt>
                <c:pt idx="880">
                  <c:v>3049.7833333333429</c:v>
                </c:pt>
                <c:pt idx="881">
                  <c:v>3049.7833333333429</c:v>
                </c:pt>
                <c:pt idx="882">
                  <c:v>3049.7833333333429</c:v>
                </c:pt>
                <c:pt idx="883">
                  <c:v>3049.7833333333429</c:v>
                </c:pt>
                <c:pt idx="884">
                  <c:v>3049.7833333333429</c:v>
                </c:pt>
                <c:pt idx="885">
                  <c:v>3049.7833333333429</c:v>
                </c:pt>
                <c:pt idx="886">
                  <c:v>3049.7833333333429</c:v>
                </c:pt>
                <c:pt idx="887">
                  <c:v>3049.7833333333429</c:v>
                </c:pt>
                <c:pt idx="888">
                  <c:v>2514.7233333332406</c:v>
                </c:pt>
                <c:pt idx="889">
                  <c:v>2514.7233333332406</c:v>
                </c:pt>
                <c:pt idx="890">
                  <c:v>2514.7233333332406</c:v>
                </c:pt>
                <c:pt idx="891">
                  <c:v>2514.7233333332406</c:v>
                </c:pt>
                <c:pt idx="892">
                  <c:v>2514.7233333332406</c:v>
                </c:pt>
                <c:pt idx="893">
                  <c:v>2514.7233333332406</c:v>
                </c:pt>
                <c:pt idx="894">
                  <c:v>2514.7233333332406</c:v>
                </c:pt>
                <c:pt idx="895">
                  <c:v>2514.7233333332406</c:v>
                </c:pt>
                <c:pt idx="896">
                  <c:v>2514.7233333332406</c:v>
                </c:pt>
                <c:pt idx="897">
                  <c:v>2514.7233333332406</c:v>
                </c:pt>
                <c:pt idx="898">
                  <c:v>2514.7233333332406</c:v>
                </c:pt>
                <c:pt idx="899">
                  <c:v>2514.7233333332406</c:v>
                </c:pt>
                <c:pt idx="900">
                  <c:v>2514.7233333332406</c:v>
                </c:pt>
                <c:pt idx="901">
                  <c:v>2514.7233333332406</c:v>
                </c:pt>
                <c:pt idx="902">
                  <c:v>2514.7233333332406</c:v>
                </c:pt>
                <c:pt idx="903">
                  <c:v>2514.7233333332406</c:v>
                </c:pt>
                <c:pt idx="904">
                  <c:v>2514.7233333332406</c:v>
                </c:pt>
                <c:pt idx="905">
                  <c:v>2514.7233333332406</c:v>
                </c:pt>
                <c:pt idx="906">
                  <c:v>2514.7233333332406</c:v>
                </c:pt>
                <c:pt idx="907">
                  <c:v>2514.7233333332406</c:v>
                </c:pt>
                <c:pt idx="908">
                  <c:v>2514.7233333332406</c:v>
                </c:pt>
                <c:pt idx="909">
                  <c:v>2514.7233333332406</c:v>
                </c:pt>
                <c:pt idx="910">
                  <c:v>2514.7233333332406</c:v>
                </c:pt>
                <c:pt idx="911">
                  <c:v>2514.7233333332406</c:v>
                </c:pt>
                <c:pt idx="912">
                  <c:v>2514.7233333332406</c:v>
                </c:pt>
                <c:pt idx="913">
                  <c:v>2514.7233333332406</c:v>
                </c:pt>
                <c:pt idx="914">
                  <c:v>2514.7233333332406</c:v>
                </c:pt>
                <c:pt idx="915">
                  <c:v>2514.7233333332406</c:v>
                </c:pt>
                <c:pt idx="916">
                  <c:v>2514.7233333332406</c:v>
                </c:pt>
                <c:pt idx="917">
                  <c:v>2514.7233333332406</c:v>
                </c:pt>
                <c:pt idx="918">
                  <c:v>2514.7233333332406</c:v>
                </c:pt>
                <c:pt idx="919">
                  <c:v>2514.7233333332406</c:v>
                </c:pt>
                <c:pt idx="920">
                  <c:v>2514.7233333332406</c:v>
                </c:pt>
                <c:pt idx="921">
                  <c:v>2802.7233333332406</c:v>
                </c:pt>
                <c:pt idx="922">
                  <c:v>2802.7233333332406</c:v>
                </c:pt>
                <c:pt idx="923">
                  <c:v>2802.7233333332406</c:v>
                </c:pt>
                <c:pt idx="924">
                  <c:v>2802.7233333332406</c:v>
                </c:pt>
                <c:pt idx="925">
                  <c:v>2802.7233333332406</c:v>
                </c:pt>
                <c:pt idx="926">
                  <c:v>2802.7233333332406</c:v>
                </c:pt>
                <c:pt idx="927">
                  <c:v>2802.7233333332406</c:v>
                </c:pt>
                <c:pt idx="928">
                  <c:v>2802.7233333332406</c:v>
                </c:pt>
                <c:pt idx="929">
                  <c:v>2802.7233333332406</c:v>
                </c:pt>
                <c:pt idx="930">
                  <c:v>2802.7233333332406</c:v>
                </c:pt>
                <c:pt idx="931">
                  <c:v>2802.7233333332406</c:v>
                </c:pt>
                <c:pt idx="932">
                  <c:v>2802.7233333332406</c:v>
                </c:pt>
                <c:pt idx="933">
                  <c:v>2802.7233333332406</c:v>
                </c:pt>
                <c:pt idx="934">
                  <c:v>2802.7233333332406</c:v>
                </c:pt>
                <c:pt idx="935">
                  <c:v>2802.7233333332406</c:v>
                </c:pt>
                <c:pt idx="936">
                  <c:v>2802.7233333332406</c:v>
                </c:pt>
                <c:pt idx="937">
                  <c:v>2802.7233333332406</c:v>
                </c:pt>
                <c:pt idx="938">
                  <c:v>2802.7233333332406</c:v>
                </c:pt>
                <c:pt idx="939">
                  <c:v>2802.7233333332406</c:v>
                </c:pt>
                <c:pt idx="940">
                  <c:v>2802.7233333332406</c:v>
                </c:pt>
                <c:pt idx="941">
                  <c:v>2802.7233333332406</c:v>
                </c:pt>
                <c:pt idx="942">
                  <c:v>3122.7233333332406</c:v>
                </c:pt>
                <c:pt idx="943">
                  <c:v>3122.7233333332406</c:v>
                </c:pt>
                <c:pt idx="944">
                  <c:v>3122.7233333332406</c:v>
                </c:pt>
                <c:pt idx="945">
                  <c:v>3122.7233333332406</c:v>
                </c:pt>
                <c:pt idx="946">
                  <c:v>3122.7233333332406</c:v>
                </c:pt>
                <c:pt idx="947">
                  <c:v>3122.7233333332406</c:v>
                </c:pt>
                <c:pt idx="948">
                  <c:v>3122.7233333332406</c:v>
                </c:pt>
                <c:pt idx="949">
                  <c:v>3122.7233333332406</c:v>
                </c:pt>
                <c:pt idx="950">
                  <c:v>3122.7233333332406</c:v>
                </c:pt>
                <c:pt idx="951">
                  <c:v>3410.7233333332406</c:v>
                </c:pt>
                <c:pt idx="952">
                  <c:v>3410.7233333332406</c:v>
                </c:pt>
                <c:pt idx="953">
                  <c:v>3410.7233333332406</c:v>
                </c:pt>
                <c:pt idx="954">
                  <c:v>3410.7233333332406</c:v>
                </c:pt>
                <c:pt idx="955">
                  <c:v>3410.7233333332406</c:v>
                </c:pt>
                <c:pt idx="956">
                  <c:v>3410.7233333332406</c:v>
                </c:pt>
                <c:pt idx="957">
                  <c:v>3410.7233333332406</c:v>
                </c:pt>
                <c:pt idx="958">
                  <c:v>3410.7233333332406</c:v>
                </c:pt>
                <c:pt idx="959">
                  <c:v>3410.7233333332406</c:v>
                </c:pt>
                <c:pt idx="960">
                  <c:v>3410.7233333332406</c:v>
                </c:pt>
                <c:pt idx="961">
                  <c:v>3410.7233333332406</c:v>
                </c:pt>
                <c:pt idx="962">
                  <c:v>3410.7233333332406</c:v>
                </c:pt>
                <c:pt idx="963">
                  <c:v>3410.7233333332406</c:v>
                </c:pt>
                <c:pt idx="964">
                  <c:v>3410.7233333332406</c:v>
                </c:pt>
                <c:pt idx="965">
                  <c:v>3410.7233333332406</c:v>
                </c:pt>
                <c:pt idx="966">
                  <c:v>3410.7233333332406</c:v>
                </c:pt>
                <c:pt idx="967">
                  <c:v>3410.7233333332406</c:v>
                </c:pt>
                <c:pt idx="968">
                  <c:v>3410.7233333332406</c:v>
                </c:pt>
                <c:pt idx="969">
                  <c:v>3410.7233333332406</c:v>
                </c:pt>
                <c:pt idx="970">
                  <c:v>3410.7233333332406</c:v>
                </c:pt>
                <c:pt idx="971">
                  <c:v>3410.7233333332406</c:v>
                </c:pt>
                <c:pt idx="972">
                  <c:v>3410.7233333332406</c:v>
                </c:pt>
                <c:pt idx="973">
                  <c:v>3410.7233333332406</c:v>
                </c:pt>
                <c:pt idx="974">
                  <c:v>3410.7233333332406</c:v>
                </c:pt>
                <c:pt idx="975">
                  <c:v>3410.7233333332406</c:v>
                </c:pt>
                <c:pt idx="976">
                  <c:v>3410.7233333332406</c:v>
                </c:pt>
                <c:pt idx="977">
                  <c:v>3410.7233333332406</c:v>
                </c:pt>
                <c:pt idx="978">
                  <c:v>3410.7233333332406</c:v>
                </c:pt>
                <c:pt idx="979">
                  <c:v>3410.7233333332406</c:v>
                </c:pt>
                <c:pt idx="980">
                  <c:v>3410.7233333332406</c:v>
                </c:pt>
                <c:pt idx="981">
                  <c:v>3410.7233333332406</c:v>
                </c:pt>
                <c:pt idx="982">
                  <c:v>3410.7233333332406</c:v>
                </c:pt>
                <c:pt idx="983">
                  <c:v>3410.7233333332406</c:v>
                </c:pt>
                <c:pt idx="984">
                  <c:v>3410.7233333332406</c:v>
                </c:pt>
                <c:pt idx="985">
                  <c:v>3410.7233333332406</c:v>
                </c:pt>
                <c:pt idx="986">
                  <c:v>3410.7233333332406</c:v>
                </c:pt>
                <c:pt idx="987">
                  <c:v>3410.7233333332406</c:v>
                </c:pt>
                <c:pt idx="988">
                  <c:v>3410.7233333332406</c:v>
                </c:pt>
                <c:pt idx="989">
                  <c:v>3410.7233333332406</c:v>
                </c:pt>
                <c:pt idx="990">
                  <c:v>3410.7233333332406</c:v>
                </c:pt>
                <c:pt idx="991">
                  <c:v>3410.7233333332406</c:v>
                </c:pt>
                <c:pt idx="992">
                  <c:v>3410.7233333332406</c:v>
                </c:pt>
                <c:pt idx="993">
                  <c:v>3410.7233333332406</c:v>
                </c:pt>
                <c:pt idx="994">
                  <c:v>3410.7233333332406</c:v>
                </c:pt>
                <c:pt idx="995">
                  <c:v>3410.7233333332406</c:v>
                </c:pt>
                <c:pt idx="996">
                  <c:v>3410.7233333332406</c:v>
                </c:pt>
                <c:pt idx="997">
                  <c:v>3410.7233333332406</c:v>
                </c:pt>
                <c:pt idx="998">
                  <c:v>3410.7233333332406</c:v>
                </c:pt>
                <c:pt idx="999">
                  <c:v>3410.7233333332406</c:v>
                </c:pt>
                <c:pt idx="1000">
                  <c:v>3410.7233333332406</c:v>
                </c:pt>
                <c:pt idx="1001">
                  <c:v>3410.7233333332406</c:v>
                </c:pt>
                <c:pt idx="1002">
                  <c:v>3410.7233333332406</c:v>
                </c:pt>
                <c:pt idx="1003">
                  <c:v>3762.7233333332406</c:v>
                </c:pt>
                <c:pt idx="1004">
                  <c:v>3762.7233333332406</c:v>
                </c:pt>
                <c:pt idx="1005">
                  <c:v>3762.7233333332406</c:v>
                </c:pt>
                <c:pt idx="1006">
                  <c:v>3762.7233333332406</c:v>
                </c:pt>
                <c:pt idx="1007">
                  <c:v>3762.7233333332406</c:v>
                </c:pt>
                <c:pt idx="1008">
                  <c:v>3762.7233333332406</c:v>
                </c:pt>
                <c:pt idx="1009">
                  <c:v>3762.7233333332406</c:v>
                </c:pt>
                <c:pt idx="1010">
                  <c:v>3762.7233333332406</c:v>
                </c:pt>
                <c:pt idx="1011">
                  <c:v>3762.7233333332406</c:v>
                </c:pt>
                <c:pt idx="1012">
                  <c:v>3762.7233333332406</c:v>
                </c:pt>
                <c:pt idx="1013">
                  <c:v>3762.7233333332406</c:v>
                </c:pt>
                <c:pt idx="1014">
                  <c:v>3762.7233333332406</c:v>
                </c:pt>
                <c:pt idx="1015">
                  <c:v>3762.7233333332406</c:v>
                </c:pt>
                <c:pt idx="1016">
                  <c:v>3762.7233333332406</c:v>
                </c:pt>
                <c:pt idx="1017">
                  <c:v>3762.7233333332406</c:v>
                </c:pt>
                <c:pt idx="1018">
                  <c:v>3762.7233333332406</c:v>
                </c:pt>
                <c:pt idx="1019">
                  <c:v>3762.7233333332406</c:v>
                </c:pt>
                <c:pt idx="1020">
                  <c:v>3762.7233333332406</c:v>
                </c:pt>
                <c:pt idx="1021">
                  <c:v>3762.7233333332406</c:v>
                </c:pt>
                <c:pt idx="1022">
                  <c:v>3762.7233333332406</c:v>
                </c:pt>
                <c:pt idx="1023">
                  <c:v>3762.7233333332406</c:v>
                </c:pt>
                <c:pt idx="1024">
                  <c:v>3762.7233333332406</c:v>
                </c:pt>
                <c:pt idx="1025">
                  <c:v>3762.7233333332406</c:v>
                </c:pt>
                <c:pt idx="1026">
                  <c:v>3762.7233333332406</c:v>
                </c:pt>
                <c:pt idx="1027">
                  <c:v>3762.7233333332406</c:v>
                </c:pt>
                <c:pt idx="1028">
                  <c:v>3762.7233333332406</c:v>
                </c:pt>
                <c:pt idx="1029">
                  <c:v>3762.7233333332406</c:v>
                </c:pt>
                <c:pt idx="1030">
                  <c:v>3762.7233333332406</c:v>
                </c:pt>
                <c:pt idx="1031">
                  <c:v>3762.7233333332406</c:v>
                </c:pt>
                <c:pt idx="1032">
                  <c:v>3762.7233333332406</c:v>
                </c:pt>
                <c:pt idx="1033">
                  <c:v>3762.7233333332406</c:v>
                </c:pt>
                <c:pt idx="1034">
                  <c:v>3762.7233333332406</c:v>
                </c:pt>
                <c:pt idx="1035">
                  <c:v>3762.7233333332406</c:v>
                </c:pt>
                <c:pt idx="1036">
                  <c:v>3762.7233333332406</c:v>
                </c:pt>
                <c:pt idx="1037">
                  <c:v>3762.7233333332406</c:v>
                </c:pt>
                <c:pt idx="1038">
                  <c:v>3762.7233333332406</c:v>
                </c:pt>
                <c:pt idx="1039">
                  <c:v>3762.7233333332406</c:v>
                </c:pt>
                <c:pt idx="1040">
                  <c:v>3826.7233333332406</c:v>
                </c:pt>
                <c:pt idx="1041">
                  <c:v>3826.7233333332406</c:v>
                </c:pt>
                <c:pt idx="1042">
                  <c:v>3826.7233333332406</c:v>
                </c:pt>
                <c:pt idx="1043">
                  <c:v>3826.7233333332406</c:v>
                </c:pt>
                <c:pt idx="1044">
                  <c:v>3826.7233333332406</c:v>
                </c:pt>
                <c:pt idx="1045">
                  <c:v>3826.7233333332406</c:v>
                </c:pt>
                <c:pt idx="1046">
                  <c:v>3826.7233333332406</c:v>
                </c:pt>
                <c:pt idx="1047">
                  <c:v>3826.7233333332406</c:v>
                </c:pt>
                <c:pt idx="1048">
                  <c:v>3826.7233333332406</c:v>
                </c:pt>
                <c:pt idx="1049">
                  <c:v>3826.7233333332406</c:v>
                </c:pt>
                <c:pt idx="1050">
                  <c:v>3826.7233333332406</c:v>
                </c:pt>
                <c:pt idx="1051">
                  <c:v>3826.7233333332406</c:v>
                </c:pt>
                <c:pt idx="1052">
                  <c:v>3826.7233333332406</c:v>
                </c:pt>
                <c:pt idx="1053">
                  <c:v>3826.7233333332406</c:v>
                </c:pt>
                <c:pt idx="1054">
                  <c:v>3826.7233333332406</c:v>
                </c:pt>
                <c:pt idx="1055">
                  <c:v>3826.7233333332406</c:v>
                </c:pt>
                <c:pt idx="1056">
                  <c:v>2882.7233333332406</c:v>
                </c:pt>
                <c:pt idx="1057">
                  <c:v>2882.7233333332406</c:v>
                </c:pt>
                <c:pt idx="1058">
                  <c:v>2882.7233333332406</c:v>
                </c:pt>
                <c:pt idx="1059">
                  <c:v>2882.7233333332406</c:v>
                </c:pt>
                <c:pt idx="1060">
                  <c:v>2882.7233333332406</c:v>
                </c:pt>
                <c:pt idx="1061">
                  <c:v>2882.7233333332406</c:v>
                </c:pt>
                <c:pt idx="1062">
                  <c:v>2882.7233333332406</c:v>
                </c:pt>
                <c:pt idx="1063">
                  <c:v>2882.7233333332406</c:v>
                </c:pt>
                <c:pt idx="1064">
                  <c:v>2882.7233333332406</c:v>
                </c:pt>
                <c:pt idx="1065">
                  <c:v>2882.7233333332406</c:v>
                </c:pt>
                <c:pt idx="1066">
                  <c:v>2882.7233333332406</c:v>
                </c:pt>
                <c:pt idx="1067">
                  <c:v>2882.7233333332406</c:v>
                </c:pt>
                <c:pt idx="1068">
                  <c:v>2882.7233333332406</c:v>
                </c:pt>
                <c:pt idx="1069">
                  <c:v>2882.7233333332406</c:v>
                </c:pt>
                <c:pt idx="1070">
                  <c:v>2882.7233333332406</c:v>
                </c:pt>
                <c:pt idx="1071">
                  <c:v>2882.7233333332406</c:v>
                </c:pt>
                <c:pt idx="1072">
                  <c:v>2882.7233333332406</c:v>
                </c:pt>
                <c:pt idx="1073">
                  <c:v>2882.7233333332406</c:v>
                </c:pt>
                <c:pt idx="1074">
                  <c:v>2882.7233333332406</c:v>
                </c:pt>
                <c:pt idx="1075">
                  <c:v>2882.7233333332406</c:v>
                </c:pt>
                <c:pt idx="1076">
                  <c:v>3202.7233333332406</c:v>
                </c:pt>
                <c:pt idx="1077">
                  <c:v>3202.7233333332406</c:v>
                </c:pt>
                <c:pt idx="1078">
                  <c:v>3122.7233333332406</c:v>
                </c:pt>
                <c:pt idx="1079">
                  <c:v>3122.7233333332406</c:v>
                </c:pt>
                <c:pt idx="1080">
                  <c:v>3122.7233333332406</c:v>
                </c:pt>
                <c:pt idx="1081">
                  <c:v>3122.7233333332406</c:v>
                </c:pt>
                <c:pt idx="1082">
                  <c:v>3122.7233333332406</c:v>
                </c:pt>
                <c:pt idx="1083">
                  <c:v>3122.7233333332406</c:v>
                </c:pt>
                <c:pt idx="1084">
                  <c:v>3122.7233333332406</c:v>
                </c:pt>
                <c:pt idx="1085">
                  <c:v>3122.7233333332406</c:v>
                </c:pt>
                <c:pt idx="1086">
                  <c:v>3122.7233333332406</c:v>
                </c:pt>
                <c:pt idx="1087">
                  <c:v>3122.7233333332406</c:v>
                </c:pt>
                <c:pt idx="1088">
                  <c:v>3122.7233333332406</c:v>
                </c:pt>
                <c:pt idx="1089">
                  <c:v>3122.7233333332406</c:v>
                </c:pt>
                <c:pt idx="1090">
                  <c:v>3122.7233333332406</c:v>
                </c:pt>
                <c:pt idx="1091">
                  <c:v>3122.7233333332406</c:v>
                </c:pt>
                <c:pt idx="1092">
                  <c:v>3122.7233333332406</c:v>
                </c:pt>
                <c:pt idx="1093">
                  <c:v>3122.7233333332406</c:v>
                </c:pt>
                <c:pt idx="1094">
                  <c:v>3122.7233333332406</c:v>
                </c:pt>
                <c:pt idx="1095">
                  <c:v>3122.7233333332406</c:v>
                </c:pt>
                <c:pt idx="1096">
                  <c:v>3122.7233333332406</c:v>
                </c:pt>
                <c:pt idx="1097">
                  <c:v>3122.7233333332406</c:v>
                </c:pt>
                <c:pt idx="1098">
                  <c:v>3122.7233333332406</c:v>
                </c:pt>
                <c:pt idx="1099">
                  <c:v>3122.7233333332406</c:v>
                </c:pt>
                <c:pt idx="1100">
                  <c:v>3122.7233333332406</c:v>
                </c:pt>
                <c:pt idx="1101">
                  <c:v>3122.7233333332406</c:v>
                </c:pt>
                <c:pt idx="1102">
                  <c:v>3122.7233333332406</c:v>
                </c:pt>
                <c:pt idx="1103">
                  <c:v>3122.7233333332406</c:v>
                </c:pt>
                <c:pt idx="1104">
                  <c:v>3122.7233333332406</c:v>
                </c:pt>
                <c:pt idx="1105">
                  <c:v>3122.7233333332406</c:v>
                </c:pt>
                <c:pt idx="1106">
                  <c:v>3122.7233333332406</c:v>
                </c:pt>
                <c:pt idx="1107">
                  <c:v>3191.7633333332024</c:v>
                </c:pt>
                <c:pt idx="1108">
                  <c:v>3191.7633333332024</c:v>
                </c:pt>
                <c:pt idx="1109">
                  <c:v>3191.7633333332024</c:v>
                </c:pt>
                <c:pt idx="1110">
                  <c:v>3191.7633333332024</c:v>
                </c:pt>
                <c:pt idx="1111">
                  <c:v>3191.7633333332024</c:v>
                </c:pt>
                <c:pt idx="1112">
                  <c:v>3191.7633333332024</c:v>
                </c:pt>
                <c:pt idx="1113">
                  <c:v>3191.7633333332024</c:v>
                </c:pt>
                <c:pt idx="1114">
                  <c:v>3191.7633333332024</c:v>
                </c:pt>
                <c:pt idx="1115">
                  <c:v>3191.7633333332024</c:v>
                </c:pt>
                <c:pt idx="1116">
                  <c:v>3191.7633333332024</c:v>
                </c:pt>
                <c:pt idx="1117">
                  <c:v>3191.7633333332024</c:v>
                </c:pt>
                <c:pt idx="1118">
                  <c:v>3191.7633333332024</c:v>
                </c:pt>
                <c:pt idx="1119">
                  <c:v>3191.7633333332024</c:v>
                </c:pt>
                <c:pt idx="1120">
                  <c:v>3191.7633333332024</c:v>
                </c:pt>
                <c:pt idx="1121">
                  <c:v>3191.7633333332024</c:v>
                </c:pt>
                <c:pt idx="1122">
                  <c:v>3191.7633333332024</c:v>
                </c:pt>
                <c:pt idx="1123">
                  <c:v>3191.7633333332024</c:v>
                </c:pt>
                <c:pt idx="1124">
                  <c:v>3191.7633333332024</c:v>
                </c:pt>
                <c:pt idx="1125">
                  <c:v>3191.7633333332024</c:v>
                </c:pt>
                <c:pt idx="1126">
                  <c:v>3191.7633333332024</c:v>
                </c:pt>
                <c:pt idx="1127">
                  <c:v>3191.7633333332024</c:v>
                </c:pt>
                <c:pt idx="1128">
                  <c:v>3191.7633333332024</c:v>
                </c:pt>
                <c:pt idx="1129">
                  <c:v>3191.7633333332024</c:v>
                </c:pt>
                <c:pt idx="1130">
                  <c:v>3191.7633333332024</c:v>
                </c:pt>
                <c:pt idx="1131">
                  <c:v>3191.7633333332024</c:v>
                </c:pt>
                <c:pt idx="1132">
                  <c:v>3191.7633333332024</c:v>
                </c:pt>
                <c:pt idx="1133">
                  <c:v>3191.7633333332024</c:v>
                </c:pt>
                <c:pt idx="1134">
                  <c:v>3191.7633333332024</c:v>
                </c:pt>
                <c:pt idx="1135">
                  <c:v>3191.7633333332024</c:v>
                </c:pt>
                <c:pt idx="1136">
                  <c:v>3191.7633333332024</c:v>
                </c:pt>
                <c:pt idx="1137">
                  <c:v>3191.7633333332024</c:v>
                </c:pt>
                <c:pt idx="1138">
                  <c:v>3191.7633333332024</c:v>
                </c:pt>
                <c:pt idx="1139">
                  <c:v>3191.7633333332024</c:v>
                </c:pt>
                <c:pt idx="1140">
                  <c:v>3191.7633333332024</c:v>
                </c:pt>
                <c:pt idx="1141">
                  <c:v>3191.7633333332024</c:v>
                </c:pt>
                <c:pt idx="1142">
                  <c:v>3191.7633333332024</c:v>
                </c:pt>
                <c:pt idx="1143">
                  <c:v>3191.7633333332024</c:v>
                </c:pt>
                <c:pt idx="1144">
                  <c:v>3191.7633333332024</c:v>
                </c:pt>
                <c:pt idx="1145">
                  <c:v>3191.7633333332024</c:v>
                </c:pt>
                <c:pt idx="1146">
                  <c:v>3191.7633333332024</c:v>
                </c:pt>
                <c:pt idx="1147">
                  <c:v>3191.7633333332024</c:v>
                </c:pt>
                <c:pt idx="1148">
                  <c:v>3191.7633333332024</c:v>
                </c:pt>
                <c:pt idx="1149">
                  <c:v>3191.7633333332024</c:v>
                </c:pt>
                <c:pt idx="1150">
                  <c:v>3191.7633333332024</c:v>
                </c:pt>
                <c:pt idx="1151">
                  <c:v>3191.7633333332024</c:v>
                </c:pt>
                <c:pt idx="1152">
                  <c:v>3191.7633333332024</c:v>
                </c:pt>
                <c:pt idx="1153">
                  <c:v>3191.7633333332024</c:v>
                </c:pt>
                <c:pt idx="1154">
                  <c:v>3191.7633333332024</c:v>
                </c:pt>
                <c:pt idx="1155">
                  <c:v>3191.7633333332024</c:v>
                </c:pt>
                <c:pt idx="1156">
                  <c:v>3191.7633333332024</c:v>
                </c:pt>
                <c:pt idx="1157">
                  <c:v>3191.7633333332024</c:v>
                </c:pt>
                <c:pt idx="1158">
                  <c:v>3191.7633333332024</c:v>
                </c:pt>
                <c:pt idx="1159">
                  <c:v>3191.7633333332024</c:v>
                </c:pt>
                <c:pt idx="1160">
                  <c:v>3191.7633333332024</c:v>
                </c:pt>
                <c:pt idx="1161">
                  <c:v>3191.7633333332024</c:v>
                </c:pt>
                <c:pt idx="1162">
                  <c:v>3191.7633333332024</c:v>
                </c:pt>
                <c:pt idx="1163">
                  <c:v>3191.7633333332024</c:v>
                </c:pt>
                <c:pt idx="1164">
                  <c:v>3191.7633333332024</c:v>
                </c:pt>
                <c:pt idx="1165">
                  <c:v>3191.7633333332024</c:v>
                </c:pt>
                <c:pt idx="1166">
                  <c:v>3191.7633333332024</c:v>
                </c:pt>
                <c:pt idx="1167">
                  <c:v>3191.7633333332024</c:v>
                </c:pt>
                <c:pt idx="1168">
                  <c:v>3191.7633333332024</c:v>
                </c:pt>
                <c:pt idx="1169">
                  <c:v>3191.7633333332024</c:v>
                </c:pt>
                <c:pt idx="1170">
                  <c:v>3191.7633333332024</c:v>
                </c:pt>
                <c:pt idx="1171">
                  <c:v>3191.7633333332024</c:v>
                </c:pt>
                <c:pt idx="1172">
                  <c:v>3191.7633333332024</c:v>
                </c:pt>
                <c:pt idx="1173">
                  <c:v>3191.7633333332024</c:v>
                </c:pt>
                <c:pt idx="1174">
                  <c:v>3191.7633333332024</c:v>
                </c:pt>
                <c:pt idx="1175">
                  <c:v>3191.7633333332024</c:v>
                </c:pt>
                <c:pt idx="1176">
                  <c:v>3191.7633333332024</c:v>
                </c:pt>
                <c:pt idx="1177">
                  <c:v>3191.7633333332024</c:v>
                </c:pt>
                <c:pt idx="1178">
                  <c:v>3191.7633333332024</c:v>
                </c:pt>
                <c:pt idx="1179">
                  <c:v>3191.7633333332024</c:v>
                </c:pt>
                <c:pt idx="1180">
                  <c:v>3191.7633333332024</c:v>
                </c:pt>
                <c:pt idx="1181">
                  <c:v>3191.7633333332024</c:v>
                </c:pt>
                <c:pt idx="1182">
                  <c:v>3191.7633333332024</c:v>
                </c:pt>
                <c:pt idx="1183">
                  <c:v>3191.7633333332024</c:v>
                </c:pt>
                <c:pt idx="1184">
                  <c:v>3191.7633333332024</c:v>
                </c:pt>
                <c:pt idx="1185">
                  <c:v>3191.7633333332024</c:v>
                </c:pt>
                <c:pt idx="1186">
                  <c:v>3191.7633333332024</c:v>
                </c:pt>
                <c:pt idx="1187">
                  <c:v>3191.7633333332024</c:v>
                </c:pt>
                <c:pt idx="1188">
                  <c:v>3191.7633333332024</c:v>
                </c:pt>
                <c:pt idx="1189">
                  <c:v>3191.7633333332024</c:v>
                </c:pt>
                <c:pt idx="1190">
                  <c:v>3191.7633333332024</c:v>
                </c:pt>
                <c:pt idx="1191">
                  <c:v>3191.7633333332024</c:v>
                </c:pt>
                <c:pt idx="1192">
                  <c:v>3191.7633333332024</c:v>
                </c:pt>
                <c:pt idx="1193">
                  <c:v>3191.7633333332024</c:v>
                </c:pt>
                <c:pt idx="1194">
                  <c:v>3191.7633333332024</c:v>
                </c:pt>
                <c:pt idx="1195">
                  <c:v>3191.7633333332024</c:v>
                </c:pt>
                <c:pt idx="1196">
                  <c:v>3191.7633333332024</c:v>
                </c:pt>
                <c:pt idx="1197">
                  <c:v>3191.7633333332024</c:v>
                </c:pt>
                <c:pt idx="1198">
                  <c:v>3191.7633333332024</c:v>
                </c:pt>
                <c:pt idx="1199">
                  <c:v>3191.7633333332024</c:v>
                </c:pt>
                <c:pt idx="1200">
                  <c:v>3191.7633333332024</c:v>
                </c:pt>
                <c:pt idx="1201">
                  <c:v>3191.7633333332024</c:v>
                </c:pt>
                <c:pt idx="1202">
                  <c:v>3191.7633333332024</c:v>
                </c:pt>
                <c:pt idx="1203">
                  <c:v>3191.7633333332024</c:v>
                </c:pt>
                <c:pt idx="1204">
                  <c:v>3191.7633333332024</c:v>
                </c:pt>
                <c:pt idx="1205">
                  <c:v>3191.7633333332024</c:v>
                </c:pt>
                <c:pt idx="1206">
                  <c:v>3191.7633333332024</c:v>
                </c:pt>
                <c:pt idx="1207">
                  <c:v>3191.7633333332024</c:v>
                </c:pt>
                <c:pt idx="1208">
                  <c:v>3191.7633333332024</c:v>
                </c:pt>
                <c:pt idx="1209">
                  <c:v>3191.7633333332024</c:v>
                </c:pt>
                <c:pt idx="1210">
                  <c:v>3191.7633333332024</c:v>
                </c:pt>
                <c:pt idx="1211">
                  <c:v>3191.7633333332024</c:v>
                </c:pt>
                <c:pt idx="1212">
                  <c:v>3191.7633333332024</c:v>
                </c:pt>
                <c:pt idx="1213">
                  <c:v>3191.7633333332024</c:v>
                </c:pt>
                <c:pt idx="1214">
                  <c:v>3191.7633333332024</c:v>
                </c:pt>
                <c:pt idx="1215">
                  <c:v>3191.7633333332024</c:v>
                </c:pt>
                <c:pt idx="1216">
                  <c:v>3191.7633333332024</c:v>
                </c:pt>
                <c:pt idx="1217">
                  <c:v>3191.7633333332024</c:v>
                </c:pt>
                <c:pt idx="1218">
                  <c:v>3191.7633333332024</c:v>
                </c:pt>
                <c:pt idx="1219">
                  <c:v>3191.7633333332024</c:v>
                </c:pt>
                <c:pt idx="1220">
                  <c:v>3191.7633333332024</c:v>
                </c:pt>
                <c:pt idx="1221">
                  <c:v>3191.7633333332024</c:v>
                </c:pt>
                <c:pt idx="1222">
                  <c:v>3191.7633333332024</c:v>
                </c:pt>
                <c:pt idx="1223">
                  <c:v>3191.7633333332024</c:v>
                </c:pt>
                <c:pt idx="1224">
                  <c:v>3191.7633333332024</c:v>
                </c:pt>
                <c:pt idx="1225">
                  <c:v>3191.7633333332024</c:v>
                </c:pt>
                <c:pt idx="1226">
                  <c:v>3191.7633333332024</c:v>
                </c:pt>
                <c:pt idx="1227">
                  <c:v>3191.7633333332024</c:v>
                </c:pt>
                <c:pt idx="1228">
                  <c:v>3191.7633333332024</c:v>
                </c:pt>
                <c:pt idx="1229">
                  <c:v>3191.7633333332024</c:v>
                </c:pt>
                <c:pt idx="1230">
                  <c:v>3191.7633333332024</c:v>
                </c:pt>
                <c:pt idx="1231">
                  <c:v>3191.7633333332024</c:v>
                </c:pt>
                <c:pt idx="1232">
                  <c:v>3191.7633333332024</c:v>
                </c:pt>
                <c:pt idx="1233">
                  <c:v>3191.7633333332024</c:v>
                </c:pt>
                <c:pt idx="1234">
                  <c:v>3191.7633333332024</c:v>
                </c:pt>
                <c:pt idx="1235">
                  <c:v>3191.7633333332024</c:v>
                </c:pt>
                <c:pt idx="1236">
                  <c:v>3191.7633333332024</c:v>
                </c:pt>
                <c:pt idx="1237">
                  <c:v>3191.7633333332024</c:v>
                </c:pt>
                <c:pt idx="1238">
                  <c:v>3191.7633333332024</c:v>
                </c:pt>
                <c:pt idx="1239">
                  <c:v>3191.7633333332024</c:v>
                </c:pt>
                <c:pt idx="1240">
                  <c:v>3191.7633333332024</c:v>
                </c:pt>
                <c:pt idx="1241">
                  <c:v>3191.7633333332024</c:v>
                </c:pt>
                <c:pt idx="1242">
                  <c:v>3191.7633333332024</c:v>
                </c:pt>
                <c:pt idx="1243">
                  <c:v>3191.7633333332024</c:v>
                </c:pt>
                <c:pt idx="1244">
                  <c:v>3191.7633333332024</c:v>
                </c:pt>
                <c:pt idx="1245">
                  <c:v>3191.7633333332024</c:v>
                </c:pt>
                <c:pt idx="1246">
                  <c:v>3191.7633333332024</c:v>
                </c:pt>
                <c:pt idx="1247">
                  <c:v>3191.7633333332024</c:v>
                </c:pt>
                <c:pt idx="1248">
                  <c:v>3191.7633333332024</c:v>
                </c:pt>
                <c:pt idx="1249">
                  <c:v>3191.7633333332024</c:v>
                </c:pt>
                <c:pt idx="1250">
                  <c:v>3191.7633333332024</c:v>
                </c:pt>
                <c:pt idx="1251">
                  <c:v>3191.7633333332024</c:v>
                </c:pt>
                <c:pt idx="1252">
                  <c:v>3191.7633333332024</c:v>
                </c:pt>
                <c:pt idx="1253">
                  <c:v>3191.7633333332024</c:v>
                </c:pt>
                <c:pt idx="1254">
                  <c:v>3191.7633333332024</c:v>
                </c:pt>
                <c:pt idx="1255">
                  <c:v>3191.7633333332024</c:v>
                </c:pt>
                <c:pt idx="1256">
                  <c:v>3191.7633333332024</c:v>
                </c:pt>
                <c:pt idx="1257">
                  <c:v>3191.7633333332024</c:v>
                </c:pt>
                <c:pt idx="1258">
                  <c:v>4237.0966666665354</c:v>
                </c:pt>
                <c:pt idx="1259">
                  <c:v>4237.0966666665354</c:v>
                </c:pt>
                <c:pt idx="1260">
                  <c:v>5158.6966666665357</c:v>
                </c:pt>
                <c:pt idx="1261">
                  <c:v>5158.6966666665357</c:v>
                </c:pt>
                <c:pt idx="1262">
                  <c:v>5158.6966666665357</c:v>
                </c:pt>
                <c:pt idx="1263">
                  <c:v>5158.6966666665357</c:v>
                </c:pt>
                <c:pt idx="1264">
                  <c:v>5158.6966666665357</c:v>
                </c:pt>
                <c:pt idx="1265">
                  <c:v>5158.6966666665357</c:v>
                </c:pt>
                <c:pt idx="1266">
                  <c:v>5158.6966666665357</c:v>
                </c:pt>
                <c:pt idx="1267">
                  <c:v>5158.6966666665357</c:v>
                </c:pt>
                <c:pt idx="1268">
                  <c:v>5158.6966666665357</c:v>
                </c:pt>
                <c:pt idx="1269">
                  <c:v>5158.6966666665357</c:v>
                </c:pt>
                <c:pt idx="1270">
                  <c:v>5158.6966666665357</c:v>
                </c:pt>
                <c:pt idx="1271">
                  <c:v>5158.6966666665357</c:v>
                </c:pt>
                <c:pt idx="1272">
                  <c:v>5158.6966666665357</c:v>
                </c:pt>
                <c:pt idx="1273">
                  <c:v>5158.6966666665357</c:v>
                </c:pt>
                <c:pt idx="1274">
                  <c:v>5158.6966666665357</c:v>
                </c:pt>
                <c:pt idx="1275">
                  <c:v>5158.6966666665357</c:v>
                </c:pt>
                <c:pt idx="1276">
                  <c:v>5158.6966666665357</c:v>
                </c:pt>
                <c:pt idx="1277">
                  <c:v>5328.4199999996163</c:v>
                </c:pt>
                <c:pt idx="1278">
                  <c:v>5328.4199999996163</c:v>
                </c:pt>
                <c:pt idx="1279">
                  <c:v>5328.4199999996163</c:v>
                </c:pt>
                <c:pt idx="1280">
                  <c:v>5328.4199999996163</c:v>
                </c:pt>
                <c:pt idx="1281">
                  <c:v>5328.4199999996163</c:v>
                </c:pt>
                <c:pt idx="1282">
                  <c:v>5328.4199999996163</c:v>
                </c:pt>
                <c:pt idx="1283">
                  <c:v>5328.4199999996163</c:v>
                </c:pt>
                <c:pt idx="1284">
                  <c:v>5395.6199999996161</c:v>
                </c:pt>
                <c:pt idx="1285">
                  <c:v>5395.6199999996161</c:v>
                </c:pt>
                <c:pt idx="1286">
                  <c:v>5395.6199999996161</c:v>
                </c:pt>
                <c:pt idx="1287">
                  <c:v>5395.6199999996161</c:v>
                </c:pt>
                <c:pt idx="1288">
                  <c:v>5395.6199999996161</c:v>
                </c:pt>
                <c:pt idx="1289">
                  <c:v>5395.6199999996161</c:v>
                </c:pt>
                <c:pt idx="1290">
                  <c:v>5395.6199999996161</c:v>
                </c:pt>
                <c:pt idx="1291">
                  <c:v>5395.6199999996161</c:v>
                </c:pt>
                <c:pt idx="1292">
                  <c:v>5395.6199999996161</c:v>
                </c:pt>
                <c:pt idx="1293">
                  <c:v>5395.6199999996161</c:v>
                </c:pt>
                <c:pt idx="1294">
                  <c:v>5395.6199999996161</c:v>
                </c:pt>
                <c:pt idx="1295">
                  <c:v>5395.6199999996161</c:v>
                </c:pt>
                <c:pt idx="1296">
                  <c:v>5395.6199999996161</c:v>
                </c:pt>
                <c:pt idx="1297">
                  <c:v>5395.6199999996161</c:v>
                </c:pt>
                <c:pt idx="1298">
                  <c:v>5395.6199999996161</c:v>
                </c:pt>
                <c:pt idx="1299">
                  <c:v>5395.6199999996161</c:v>
                </c:pt>
                <c:pt idx="1300">
                  <c:v>5395.6199999996161</c:v>
                </c:pt>
                <c:pt idx="1301">
                  <c:v>5395.6199999996161</c:v>
                </c:pt>
                <c:pt idx="1302">
                  <c:v>5395.6199999996161</c:v>
                </c:pt>
                <c:pt idx="1303">
                  <c:v>5395.6199999996161</c:v>
                </c:pt>
                <c:pt idx="1304">
                  <c:v>5395.6199999996161</c:v>
                </c:pt>
                <c:pt idx="1305">
                  <c:v>5395.6199999996161</c:v>
                </c:pt>
                <c:pt idx="1306">
                  <c:v>5395.6199999996161</c:v>
                </c:pt>
                <c:pt idx="1307">
                  <c:v>5395.6199999996161</c:v>
                </c:pt>
                <c:pt idx="1308">
                  <c:v>5395.6199999996161</c:v>
                </c:pt>
                <c:pt idx="1309">
                  <c:v>5395.6199999996161</c:v>
                </c:pt>
                <c:pt idx="1310">
                  <c:v>5395.6199999996161</c:v>
                </c:pt>
                <c:pt idx="1311">
                  <c:v>5395.6199999996161</c:v>
                </c:pt>
                <c:pt idx="1312">
                  <c:v>5395.6199999996161</c:v>
                </c:pt>
                <c:pt idx="1313">
                  <c:v>5395.6199999996161</c:v>
                </c:pt>
                <c:pt idx="1314">
                  <c:v>5395.6199999996161</c:v>
                </c:pt>
                <c:pt idx="1315">
                  <c:v>5395.6199999996161</c:v>
                </c:pt>
                <c:pt idx="1316">
                  <c:v>5395.6199999996161</c:v>
                </c:pt>
                <c:pt idx="1317">
                  <c:v>5395.6199999996161</c:v>
                </c:pt>
                <c:pt idx="1318">
                  <c:v>5395.6199999996161</c:v>
                </c:pt>
                <c:pt idx="1319">
                  <c:v>5395.6199999996161</c:v>
                </c:pt>
                <c:pt idx="1320">
                  <c:v>5395.6199999996161</c:v>
                </c:pt>
                <c:pt idx="1321">
                  <c:v>5395.6199999996161</c:v>
                </c:pt>
                <c:pt idx="1322">
                  <c:v>5395.6199999996161</c:v>
                </c:pt>
                <c:pt idx="1323">
                  <c:v>5395.6199999996161</c:v>
                </c:pt>
                <c:pt idx="1324">
                  <c:v>5395.6199999996161</c:v>
                </c:pt>
                <c:pt idx="1325">
                  <c:v>5395.6199999996161</c:v>
                </c:pt>
                <c:pt idx="1326">
                  <c:v>5395.6199999996161</c:v>
                </c:pt>
                <c:pt idx="1327">
                  <c:v>5395.6199999996161</c:v>
                </c:pt>
                <c:pt idx="1328">
                  <c:v>5395.6199999996161</c:v>
                </c:pt>
                <c:pt idx="1329">
                  <c:v>5395.6199999996161</c:v>
                </c:pt>
                <c:pt idx="1330">
                  <c:v>5395.6199999996161</c:v>
                </c:pt>
                <c:pt idx="1331">
                  <c:v>5395.6199999996161</c:v>
                </c:pt>
                <c:pt idx="1332">
                  <c:v>5395.6199999996161</c:v>
                </c:pt>
                <c:pt idx="1333">
                  <c:v>5395.6199999996161</c:v>
                </c:pt>
                <c:pt idx="1334">
                  <c:v>5395.6199999996161</c:v>
                </c:pt>
                <c:pt idx="1335">
                  <c:v>5395.6199999996161</c:v>
                </c:pt>
                <c:pt idx="1336">
                  <c:v>5395.6199999996161</c:v>
                </c:pt>
                <c:pt idx="1337">
                  <c:v>5395.6199999996161</c:v>
                </c:pt>
                <c:pt idx="1338">
                  <c:v>6099.6199999996161</c:v>
                </c:pt>
                <c:pt idx="1339">
                  <c:v>6099.6199999996161</c:v>
                </c:pt>
                <c:pt idx="1340">
                  <c:v>6099.6199999996161</c:v>
                </c:pt>
                <c:pt idx="1341">
                  <c:v>6099.6199999996161</c:v>
                </c:pt>
                <c:pt idx="1342">
                  <c:v>6099.6199999996161</c:v>
                </c:pt>
                <c:pt idx="1343">
                  <c:v>6099.6199999996161</c:v>
                </c:pt>
                <c:pt idx="1344">
                  <c:v>6099.6199999996161</c:v>
                </c:pt>
                <c:pt idx="1345">
                  <c:v>6099.6199999996161</c:v>
                </c:pt>
                <c:pt idx="1346">
                  <c:v>6099.6199999996161</c:v>
                </c:pt>
                <c:pt idx="1347">
                  <c:v>6099.6199999996161</c:v>
                </c:pt>
                <c:pt idx="1348">
                  <c:v>6099.6199999996161</c:v>
                </c:pt>
                <c:pt idx="1349">
                  <c:v>6099.6199999996161</c:v>
                </c:pt>
                <c:pt idx="1350">
                  <c:v>6099.6199999996161</c:v>
                </c:pt>
                <c:pt idx="1351">
                  <c:v>6099.6199999996161</c:v>
                </c:pt>
                <c:pt idx="1352">
                  <c:v>6099.6199999996161</c:v>
                </c:pt>
                <c:pt idx="1353">
                  <c:v>6099.6199999996161</c:v>
                </c:pt>
                <c:pt idx="1354">
                  <c:v>6099.6199999996161</c:v>
                </c:pt>
                <c:pt idx="1355">
                  <c:v>6099.6199999996161</c:v>
                </c:pt>
                <c:pt idx="1356">
                  <c:v>6099.6199999996161</c:v>
                </c:pt>
                <c:pt idx="1357">
                  <c:v>6099.6199999996161</c:v>
                </c:pt>
                <c:pt idx="1358">
                  <c:v>6099.6199999996161</c:v>
                </c:pt>
                <c:pt idx="1359">
                  <c:v>6099.6199999996161</c:v>
                </c:pt>
                <c:pt idx="1360">
                  <c:v>6099.6199999996161</c:v>
                </c:pt>
                <c:pt idx="1361">
                  <c:v>6099.6199999996161</c:v>
                </c:pt>
                <c:pt idx="1362">
                  <c:v>6099.6199999996161</c:v>
                </c:pt>
                <c:pt idx="1363">
                  <c:v>6099.6199999996161</c:v>
                </c:pt>
                <c:pt idx="1364">
                  <c:v>6099.6199999996161</c:v>
                </c:pt>
                <c:pt idx="1365">
                  <c:v>6099.6199999996161</c:v>
                </c:pt>
                <c:pt idx="1366">
                  <c:v>6099.6199999996161</c:v>
                </c:pt>
                <c:pt idx="1367">
                  <c:v>6099.6199999996161</c:v>
                </c:pt>
                <c:pt idx="1368">
                  <c:v>6099.6199999996161</c:v>
                </c:pt>
                <c:pt idx="1369">
                  <c:v>6099.6199999996161</c:v>
                </c:pt>
                <c:pt idx="1370">
                  <c:v>6099.6199999996161</c:v>
                </c:pt>
                <c:pt idx="1371">
                  <c:v>6099.6199999996161</c:v>
                </c:pt>
                <c:pt idx="1372">
                  <c:v>6099.6199999996161</c:v>
                </c:pt>
                <c:pt idx="1373">
                  <c:v>6099.6199999996161</c:v>
                </c:pt>
                <c:pt idx="1374">
                  <c:v>6099.6199999996161</c:v>
                </c:pt>
                <c:pt idx="1375">
                  <c:v>6099.6199999996161</c:v>
                </c:pt>
                <c:pt idx="1376">
                  <c:v>6099.6199999996161</c:v>
                </c:pt>
                <c:pt idx="1377">
                  <c:v>6099.6199999996161</c:v>
                </c:pt>
                <c:pt idx="1378">
                  <c:v>6099.6199999996161</c:v>
                </c:pt>
                <c:pt idx="1379">
                  <c:v>6099.6199999996161</c:v>
                </c:pt>
                <c:pt idx="1380">
                  <c:v>6099.6199999996161</c:v>
                </c:pt>
                <c:pt idx="1381">
                  <c:v>6099.6199999996161</c:v>
                </c:pt>
              </c:numCache>
            </c:numRef>
          </c:val>
          <c:smooth val="0"/>
          <c:extLst>
            <c:ext xmlns:c16="http://schemas.microsoft.com/office/drawing/2014/chart" uri="{C3380CC4-5D6E-409C-BE32-E72D297353CC}">
              <c16:uniqueId val="{00000003-E577-422D-9FFF-AF226C13E434}"/>
            </c:ext>
          </c:extLst>
        </c:ser>
        <c:dLbls>
          <c:showLegendKey val="0"/>
          <c:showVal val="0"/>
          <c:showCatName val="0"/>
          <c:showSerName val="0"/>
          <c:showPercent val="0"/>
          <c:showBubbleSize val="0"/>
        </c:dLbls>
        <c:smooth val="0"/>
        <c:axId val="1091285839"/>
        <c:axId val="1784275039"/>
      </c:lineChart>
      <c:catAx>
        <c:axId val="10912858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275039"/>
        <c:crosses val="autoZero"/>
        <c:auto val="1"/>
        <c:lblAlgn val="ctr"/>
        <c:lblOffset val="100"/>
        <c:noMultiLvlLbl val="0"/>
      </c:catAx>
      <c:valAx>
        <c:axId val="1784275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2858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2">
                    <a:lumMod val="50000"/>
                    <a:lumOff val="50000"/>
                  </a:schemeClr>
                </a:solidFill>
                <a:latin typeface="+mn-lt"/>
                <a:ea typeface="+mn-ea"/>
                <a:cs typeface="+mn-cs"/>
              </a:defRPr>
            </a:pPr>
            <a:r>
              <a:rPr lang="en-US">
                <a:solidFill>
                  <a:schemeClr val="tx2">
                    <a:lumMod val="50000"/>
                    <a:lumOff val="50000"/>
                  </a:schemeClr>
                </a:solidFill>
              </a:rPr>
              <a:t>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2">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tx1">
                <a:lumMod val="95000"/>
                <a:lumOff val="5000"/>
              </a:schemeClr>
            </a:solidFill>
            <a:ln>
              <a:noFill/>
            </a:ln>
            <a:effectLst/>
          </c:spPr>
          <c:invertIfNegative val="0"/>
          <c:dLbls>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 ANALYSIS'!$B$17:$B$20</c:f>
              <c:strCache>
                <c:ptCount val="4"/>
                <c:pt idx="0">
                  <c:v>M</c:v>
                </c:pt>
                <c:pt idx="1">
                  <c:v>H</c:v>
                </c:pt>
                <c:pt idx="2">
                  <c:v>D</c:v>
                </c:pt>
                <c:pt idx="3">
                  <c:v>W </c:v>
                </c:pt>
              </c:strCache>
            </c:strRef>
          </c:cat>
          <c:val>
            <c:numRef>
              <c:f>'PERFORMANCE ANALYSIS'!$L$17:$L$20</c:f>
              <c:numCache>
                <c:formatCode>"$"#,##0</c:formatCode>
                <c:ptCount val="4"/>
                <c:pt idx="0">
                  <c:v>-580.79999999984796</c:v>
                </c:pt>
                <c:pt idx="1">
                  <c:v>962.99999999994156</c:v>
                </c:pt>
                <c:pt idx="2">
                  <c:v>-415.99999999996299</c:v>
                </c:pt>
                <c:pt idx="3">
                  <c:v>0</c:v>
                </c:pt>
              </c:numCache>
            </c:numRef>
          </c:val>
          <c:extLst>
            <c:ext xmlns:c16="http://schemas.microsoft.com/office/drawing/2014/chart" uri="{C3380CC4-5D6E-409C-BE32-E72D297353CC}">
              <c16:uniqueId val="{00000000-6913-4CD5-9288-A80A188B0D3C}"/>
            </c:ext>
          </c:extLst>
        </c:ser>
        <c:dLbls>
          <c:showLegendKey val="0"/>
          <c:showVal val="0"/>
          <c:showCatName val="0"/>
          <c:showSerName val="0"/>
          <c:showPercent val="0"/>
          <c:showBubbleSize val="0"/>
        </c:dLbls>
        <c:gapWidth val="500"/>
        <c:overlap val="-27"/>
        <c:axId val="233047919"/>
        <c:axId val="1231145023"/>
      </c:barChart>
      <c:catAx>
        <c:axId val="23304791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31145023"/>
        <c:crosses val="autoZero"/>
        <c:auto val="1"/>
        <c:lblAlgn val="ctr"/>
        <c:lblOffset val="100"/>
        <c:noMultiLvlLbl val="0"/>
      </c:catAx>
      <c:valAx>
        <c:axId val="1231145023"/>
        <c:scaling>
          <c:orientation val="minMax"/>
        </c:scaling>
        <c:delete val="1"/>
        <c:axPos val="l"/>
        <c:numFmt formatCode="&quot;$&quot;#,##0" sourceLinked="1"/>
        <c:majorTickMark val="none"/>
        <c:minorTickMark val="none"/>
        <c:tickLblPos val="nextTo"/>
        <c:crossAx val="233047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 v</a:t>
            </a:r>
            <a:r>
              <a:rPr lang="en-IN" baseline="0"/>
              <a:t> 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F</c:v>
          </c:tx>
          <c:spPr>
            <a:ln w="28575" cap="rnd">
              <a:solidFill>
                <a:schemeClr val="accent1"/>
              </a:solidFill>
              <a:round/>
            </a:ln>
            <a:effectLst/>
          </c:spPr>
          <c:marker>
            <c:symbol val="none"/>
          </c:marker>
          <c:val>
            <c:numRef>
              <c:f>'Journal Live'!$BI$134:$BI$1384</c:f>
              <c:numCache>
                <c:formatCode>General</c:formatCode>
                <c:ptCount val="12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33.199999999999989</c:v>
                </c:pt>
                <c:pt idx="113">
                  <c:v>33.199999999999989</c:v>
                </c:pt>
                <c:pt idx="114">
                  <c:v>33.199999999999989</c:v>
                </c:pt>
                <c:pt idx="115">
                  <c:v>33.199999999999989</c:v>
                </c:pt>
                <c:pt idx="116">
                  <c:v>33.199999999999989</c:v>
                </c:pt>
                <c:pt idx="117">
                  <c:v>33.199999999999989</c:v>
                </c:pt>
                <c:pt idx="118">
                  <c:v>33.199999999999989</c:v>
                </c:pt>
                <c:pt idx="119">
                  <c:v>33.199999999999989</c:v>
                </c:pt>
                <c:pt idx="120">
                  <c:v>33.199999999999989</c:v>
                </c:pt>
                <c:pt idx="121">
                  <c:v>33.199999999999989</c:v>
                </c:pt>
                <c:pt idx="122">
                  <c:v>33.199999999999989</c:v>
                </c:pt>
                <c:pt idx="123">
                  <c:v>33.199999999999989</c:v>
                </c:pt>
                <c:pt idx="124">
                  <c:v>33.199999999999989</c:v>
                </c:pt>
                <c:pt idx="125">
                  <c:v>33.199999999999989</c:v>
                </c:pt>
                <c:pt idx="126">
                  <c:v>33.199999999999989</c:v>
                </c:pt>
                <c:pt idx="127">
                  <c:v>33.199999999999989</c:v>
                </c:pt>
                <c:pt idx="128">
                  <c:v>33.199999999999989</c:v>
                </c:pt>
                <c:pt idx="129">
                  <c:v>33.199999999999989</c:v>
                </c:pt>
                <c:pt idx="130">
                  <c:v>33.199999999999989</c:v>
                </c:pt>
                <c:pt idx="131">
                  <c:v>33.199999999999989</c:v>
                </c:pt>
                <c:pt idx="132">
                  <c:v>33.199999999999989</c:v>
                </c:pt>
                <c:pt idx="133">
                  <c:v>33.199999999999989</c:v>
                </c:pt>
                <c:pt idx="134">
                  <c:v>33.199999999999989</c:v>
                </c:pt>
                <c:pt idx="135">
                  <c:v>33.199999999999989</c:v>
                </c:pt>
                <c:pt idx="136">
                  <c:v>33.199999999999989</c:v>
                </c:pt>
                <c:pt idx="137">
                  <c:v>33.199999999999989</c:v>
                </c:pt>
                <c:pt idx="138">
                  <c:v>33.199999999999989</c:v>
                </c:pt>
                <c:pt idx="139">
                  <c:v>33.199999999999989</c:v>
                </c:pt>
                <c:pt idx="140">
                  <c:v>33.199999999999989</c:v>
                </c:pt>
                <c:pt idx="141">
                  <c:v>33.199999999999989</c:v>
                </c:pt>
                <c:pt idx="142">
                  <c:v>33.199999999999989</c:v>
                </c:pt>
                <c:pt idx="143">
                  <c:v>33.199999999999989</c:v>
                </c:pt>
                <c:pt idx="144">
                  <c:v>33.199999999999989</c:v>
                </c:pt>
                <c:pt idx="145">
                  <c:v>33.199999999999989</c:v>
                </c:pt>
                <c:pt idx="146">
                  <c:v>33.199999999999989</c:v>
                </c:pt>
                <c:pt idx="147">
                  <c:v>33.199999999999989</c:v>
                </c:pt>
                <c:pt idx="148">
                  <c:v>33.199999999999989</c:v>
                </c:pt>
                <c:pt idx="149">
                  <c:v>33.199999999999989</c:v>
                </c:pt>
                <c:pt idx="150">
                  <c:v>33.199999999999989</c:v>
                </c:pt>
                <c:pt idx="151">
                  <c:v>33.199999999999989</c:v>
                </c:pt>
                <c:pt idx="152">
                  <c:v>33.199999999999989</c:v>
                </c:pt>
                <c:pt idx="153">
                  <c:v>33.199999999999989</c:v>
                </c:pt>
                <c:pt idx="154">
                  <c:v>33.199999999999989</c:v>
                </c:pt>
                <c:pt idx="155">
                  <c:v>33.199999999999989</c:v>
                </c:pt>
                <c:pt idx="156">
                  <c:v>33.199999999999989</c:v>
                </c:pt>
                <c:pt idx="157">
                  <c:v>33.199999999999989</c:v>
                </c:pt>
                <c:pt idx="158">
                  <c:v>33.199999999999989</c:v>
                </c:pt>
                <c:pt idx="159">
                  <c:v>33.199999999999989</c:v>
                </c:pt>
                <c:pt idx="160">
                  <c:v>33.199999999999989</c:v>
                </c:pt>
                <c:pt idx="161">
                  <c:v>33.199999999999989</c:v>
                </c:pt>
                <c:pt idx="162">
                  <c:v>33.199999999999989</c:v>
                </c:pt>
                <c:pt idx="163">
                  <c:v>33.199999999999989</c:v>
                </c:pt>
                <c:pt idx="164">
                  <c:v>33.199999999999989</c:v>
                </c:pt>
                <c:pt idx="165">
                  <c:v>33.199999999999989</c:v>
                </c:pt>
                <c:pt idx="166">
                  <c:v>33.199999999999989</c:v>
                </c:pt>
                <c:pt idx="167">
                  <c:v>33.199999999999989</c:v>
                </c:pt>
                <c:pt idx="168">
                  <c:v>33.199999999999989</c:v>
                </c:pt>
                <c:pt idx="169">
                  <c:v>33.199999999999989</c:v>
                </c:pt>
                <c:pt idx="170">
                  <c:v>33.199999999999989</c:v>
                </c:pt>
                <c:pt idx="171">
                  <c:v>33.199999999999989</c:v>
                </c:pt>
                <c:pt idx="172">
                  <c:v>33.199999999999989</c:v>
                </c:pt>
                <c:pt idx="173">
                  <c:v>33.199999999999989</c:v>
                </c:pt>
                <c:pt idx="174">
                  <c:v>33.199999999999989</c:v>
                </c:pt>
                <c:pt idx="175">
                  <c:v>33.199999999999989</c:v>
                </c:pt>
                <c:pt idx="176">
                  <c:v>33.199999999999989</c:v>
                </c:pt>
                <c:pt idx="177">
                  <c:v>33.199999999999989</c:v>
                </c:pt>
                <c:pt idx="178">
                  <c:v>33.199999999999989</c:v>
                </c:pt>
                <c:pt idx="179">
                  <c:v>33.199999999999989</c:v>
                </c:pt>
                <c:pt idx="180">
                  <c:v>33.199999999999989</c:v>
                </c:pt>
                <c:pt idx="181">
                  <c:v>33.199999999999989</c:v>
                </c:pt>
                <c:pt idx="182">
                  <c:v>33.199999999999989</c:v>
                </c:pt>
                <c:pt idx="183">
                  <c:v>33.199999999999989</c:v>
                </c:pt>
                <c:pt idx="184">
                  <c:v>33.199999999999989</c:v>
                </c:pt>
                <c:pt idx="185">
                  <c:v>33.199999999999989</c:v>
                </c:pt>
                <c:pt idx="186">
                  <c:v>33.199999999999989</c:v>
                </c:pt>
                <c:pt idx="187">
                  <c:v>33.199999999999989</c:v>
                </c:pt>
                <c:pt idx="188">
                  <c:v>33.199999999999989</c:v>
                </c:pt>
                <c:pt idx="189">
                  <c:v>33.199999999999989</c:v>
                </c:pt>
                <c:pt idx="190">
                  <c:v>33.199999999999989</c:v>
                </c:pt>
                <c:pt idx="191">
                  <c:v>33.199999999999989</c:v>
                </c:pt>
                <c:pt idx="192">
                  <c:v>33.199999999999989</c:v>
                </c:pt>
                <c:pt idx="193">
                  <c:v>33.199999999999989</c:v>
                </c:pt>
                <c:pt idx="194">
                  <c:v>-1262.8</c:v>
                </c:pt>
                <c:pt idx="195">
                  <c:v>-1262.8</c:v>
                </c:pt>
                <c:pt idx="196">
                  <c:v>-1262.8</c:v>
                </c:pt>
                <c:pt idx="197">
                  <c:v>-1262.8</c:v>
                </c:pt>
                <c:pt idx="198">
                  <c:v>-1262.8</c:v>
                </c:pt>
                <c:pt idx="199">
                  <c:v>-1262.8</c:v>
                </c:pt>
                <c:pt idx="200">
                  <c:v>-1262.8</c:v>
                </c:pt>
                <c:pt idx="201">
                  <c:v>-1262.8</c:v>
                </c:pt>
                <c:pt idx="202">
                  <c:v>-1262.8</c:v>
                </c:pt>
                <c:pt idx="203">
                  <c:v>-1262.8</c:v>
                </c:pt>
                <c:pt idx="204">
                  <c:v>-1262.8</c:v>
                </c:pt>
                <c:pt idx="205">
                  <c:v>-1262.8</c:v>
                </c:pt>
                <c:pt idx="206">
                  <c:v>-1262.8</c:v>
                </c:pt>
                <c:pt idx="207">
                  <c:v>-1815.8</c:v>
                </c:pt>
                <c:pt idx="208">
                  <c:v>-1815.8</c:v>
                </c:pt>
                <c:pt idx="209">
                  <c:v>-1815.8</c:v>
                </c:pt>
                <c:pt idx="210">
                  <c:v>-2447.8000000000002</c:v>
                </c:pt>
                <c:pt idx="211">
                  <c:v>-2447.8000000000002</c:v>
                </c:pt>
                <c:pt idx="212">
                  <c:v>-2447.8000000000002</c:v>
                </c:pt>
                <c:pt idx="213">
                  <c:v>-2690.8</c:v>
                </c:pt>
                <c:pt idx="214">
                  <c:v>-3014.8</c:v>
                </c:pt>
                <c:pt idx="215">
                  <c:v>-3014.8</c:v>
                </c:pt>
                <c:pt idx="216">
                  <c:v>-3014.8</c:v>
                </c:pt>
                <c:pt idx="217">
                  <c:v>-3014.8</c:v>
                </c:pt>
                <c:pt idx="218">
                  <c:v>-3014.8</c:v>
                </c:pt>
                <c:pt idx="219">
                  <c:v>-3014.8</c:v>
                </c:pt>
                <c:pt idx="220">
                  <c:v>-3014.8</c:v>
                </c:pt>
                <c:pt idx="221">
                  <c:v>-3014.8</c:v>
                </c:pt>
                <c:pt idx="222">
                  <c:v>-3014.8</c:v>
                </c:pt>
                <c:pt idx="223">
                  <c:v>-3014.8</c:v>
                </c:pt>
                <c:pt idx="224">
                  <c:v>-3014.8</c:v>
                </c:pt>
                <c:pt idx="225">
                  <c:v>-3014.8</c:v>
                </c:pt>
                <c:pt idx="226">
                  <c:v>-3014.8</c:v>
                </c:pt>
                <c:pt idx="227">
                  <c:v>-3014.8</c:v>
                </c:pt>
                <c:pt idx="228">
                  <c:v>-3014.8</c:v>
                </c:pt>
                <c:pt idx="229">
                  <c:v>-3014.8</c:v>
                </c:pt>
                <c:pt idx="230">
                  <c:v>-3014.8</c:v>
                </c:pt>
                <c:pt idx="231">
                  <c:v>-3014.8</c:v>
                </c:pt>
                <c:pt idx="232">
                  <c:v>-3014.8</c:v>
                </c:pt>
                <c:pt idx="233">
                  <c:v>-3014.8</c:v>
                </c:pt>
                <c:pt idx="234">
                  <c:v>-3014.8</c:v>
                </c:pt>
                <c:pt idx="235">
                  <c:v>-3014.8</c:v>
                </c:pt>
                <c:pt idx="236">
                  <c:v>-3014.8</c:v>
                </c:pt>
                <c:pt idx="237">
                  <c:v>-3014.8</c:v>
                </c:pt>
                <c:pt idx="238">
                  <c:v>-3014.8</c:v>
                </c:pt>
                <c:pt idx="239">
                  <c:v>-3014.8</c:v>
                </c:pt>
                <c:pt idx="240">
                  <c:v>-3014.8</c:v>
                </c:pt>
                <c:pt idx="241">
                  <c:v>-3014.8</c:v>
                </c:pt>
                <c:pt idx="242">
                  <c:v>-3014.8</c:v>
                </c:pt>
                <c:pt idx="243">
                  <c:v>-3014.8</c:v>
                </c:pt>
                <c:pt idx="244">
                  <c:v>-3014.8</c:v>
                </c:pt>
                <c:pt idx="245">
                  <c:v>-3014.8</c:v>
                </c:pt>
                <c:pt idx="246">
                  <c:v>-3014.8</c:v>
                </c:pt>
                <c:pt idx="247">
                  <c:v>-3014.8</c:v>
                </c:pt>
                <c:pt idx="248">
                  <c:v>-3014.8</c:v>
                </c:pt>
                <c:pt idx="249">
                  <c:v>-3014.8</c:v>
                </c:pt>
                <c:pt idx="250">
                  <c:v>-3014.8</c:v>
                </c:pt>
                <c:pt idx="251">
                  <c:v>-3014.8</c:v>
                </c:pt>
                <c:pt idx="252">
                  <c:v>-3014.8</c:v>
                </c:pt>
                <c:pt idx="253">
                  <c:v>-3014.8</c:v>
                </c:pt>
                <c:pt idx="254">
                  <c:v>-3014.8</c:v>
                </c:pt>
                <c:pt idx="255">
                  <c:v>-3014.8</c:v>
                </c:pt>
                <c:pt idx="256">
                  <c:v>-3014.8</c:v>
                </c:pt>
                <c:pt idx="257">
                  <c:v>-3014.8</c:v>
                </c:pt>
                <c:pt idx="258">
                  <c:v>-3014.8</c:v>
                </c:pt>
                <c:pt idx="259">
                  <c:v>-3014.8</c:v>
                </c:pt>
                <c:pt idx="260">
                  <c:v>-3014.8</c:v>
                </c:pt>
                <c:pt idx="261">
                  <c:v>-3014.8</c:v>
                </c:pt>
                <c:pt idx="262">
                  <c:v>-3014.8</c:v>
                </c:pt>
                <c:pt idx="263">
                  <c:v>-3014.8</c:v>
                </c:pt>
                <c:pt idx="264">
                  <c:v>-3014.8</c:v>
                </c:pt>
                <c:pt idx="265">
                  <c:v>-3014.8</c:v>
                </c:pt>
                <c:pt idx="266">
                  <c:v>-3014.8</c:v>
                </c:pt>
                <c:pt idx="267">
                  <c:v>-3014.8</c:v>
                </c:pt>
                <c:pt idx="268">
                  <c:v>-3014.8</c:v>
                </c:pt>
                <c:pt idx="269">
                  <c:v>-3014.8</c:v>
                </c:pt>
                <c:pt idx="270">
                  <c:v>-3014.8</c:v>
                </c:pt>
                <c:pt idx="271">
                  <c:v>-3014.8</c:v>
                </c:pt>
                <c:pt idx="272">
                  <c:v>-3014.8</c:v>
                </c:pt>
                <c:pt idx="273">
                  <c:v>-3014.8</c:v>
                </c:pt>
                <c:pt idx="274">
                  <c:v>-3014.8</c:v>
                </c:pt>
                <c:pt idx="275">
                  <c:v>-3014.8</c:v>
                </c:pt>
                <c:pt idx="276">
                  <c:v>-3014.8</c:v>
                </c:pt>
                <c:pt idx="277">
                  <c:v>-3014.8</c:v>
                </c:pt>
                <c:pt idx="278">
                  <c:v>-3014.8</c:v>
                </c:pt>
                <c:pt idx="279">
                  <c:v>-3014.8</c:v>
                </c:pt>
                <c:pt idx="280">
                  <c:v>-3014.8</c:v>
                </c:pt>
                <c:pt idx="281">
                  <c:v>-3014.8</c:v>
                </c:pt>
                <c:pt idx="282">
                  <c:v>-3014.8</c:v>
                </c:pt>
                <c:pt idx="283">
                  <c:v>-3014.8</c:v>
                </c:pt>
                <c:pt idx="284">
                  <c:v>-3014.8</c:v>
                </c:pt>
                <c:pt idx="285">
                  <c:v>-3014.8</c:v>
                </c:pt>
                <c:pt idx="286">
                  <c:v>-3014.8</c:v>
                </c:pt>
                <c:pt idx="287">
                  <c:v>-3014.8</c:v>
                </c:pt>
                <c:pt idx="288">
                  <c:v>-3014.8</c:v>
                </c:pt>
                <c:pt idx="289">
                  <c:v>-3014.8</c:v>
                </c:pt>
                <c:pt idx="290">
                  <c:v>-3014.8</c:v>
                </c:pt>
                <c:pt idx="291">
                  <c:v>-3014.8</c:v>
                </c:pt>
                <c:pt idx="292">
                  <c:v>-3014.8</c:v>
                </c:pt>
                <c:pt idx="293">
                  <c:v>-3014.8</c:v>
                </c:pt>
                <c:pt idx="294">
                  <c:v>-3014.8</c:v>
                </c:pt>
                <c:pt idx="295">
                  <c:v>-3014.8</c:v>
                </c:pt>
                <c:pt idx="296">
                  <c:v>-3014.8</c:v>
                </c:pt>
                <c:pt idx="297">
                  <c:v>-3014.8</c:v>
                </c:pt>
                <c:pt idx="298">
                  <c:v>-3014.8</c:v>
                </c:pt>
                <c:pt idx="299">
                  <c:v>-3014.8</c:v>
                </c:pt>
                <c:pt idx="300">
                  <c:v>-3014.8</c:v>
                </c:pt>
                <c:pt idx="301">
                  <c:v>-3014.8</c:v>
                </c:pt>
                <c:pt idx="302">
                  <c:v>-3014.8</c:v>
                </c:pt>
                <c:pt idx="303">
                  <c:v>-3014.8</c:v>
                </c:pt>
                <c:pt idx="304">
                  <c:v>-3014.8</c:v>
                </c:pt>
                <c:pt idx="305">
                  <c:v>-3014.8</c:v>
                </c:pt>
                <c:pt idx="306">
                  <c:v>-3014.8</c:v>
                </c:pt>
                <c:pt idx="307">
                  <c:v>-3014.8</c:v>
                </c:pt>
                <c:pt idx="308">
                  <c:v>-3014.8</c:v>
                </c:pt>
                <c:pt idx="309">
                  <c:v>-3014.8</c:v>
                </c:pt>
                <c:pt idx="310">
                  <c:v>-3014.8</c:v>
                </c:pt>
                <c:pt idx="311">
                  <c:v>-3014.8</c:v>
                </c:pt>
                <c:pt idx="312">
                  <c:v>-3014.8</c:v>
                </c:pt>
                <c:pt idx="313">
                  <c:v>-3014.8</c:v>
                </c:pt>
                <c:pt idx="314">
                  <c:v>-3014.8</c:v>
                </c:pt>
                <c:pt idx="315">
                  <c:v>-3014.8</c:v>
                </c:pt>
                <c:pt idx="316">
                  <c:v>-3014.8</c:v>
                </c:pt>
                <c:pt idx="317">
                  <c:v>-3014.8</c:v>
                </c:pt>
                <c:pt idx="318">
                  <c:v>-3014.8</c:v>
                </c:pt>
                <c:pt idx="319">
                  <c:v>-3014.8</c:v>
                </c:pt>
                <c:pt idx="320">
                  <c:v>-3014.8</c:v>
                </c:pt>
                <c:pt idx="321">
                  <c:v>-3014.8</c:v>
                </c:pt>
                <c:pt idx="322">
                  <c:v>-3014.8</c:v>
                </c:pt>
                <c:pt idx="323">
                  <c:v>-3014.8</c:v>
                </c:pt>
                <c:pt idx="324">
                  <c:v>-3014.8</c:v>
                </c:pt>
                <c:pt idx="325">
                  <c:v>-3014.8</c:v>
                </c:pt>
                <c:pt idx="326">
                  <c:v>-3014.8</c:v>
                </c:pt>
                <c:pt idx="327">
                  <c:v>-3014.8</c:v>
                </c:pt>
                <c:pt idx="328">
                  <c:v>-3014.8</c:v>
                </c:pt>
                <c:pt idx="329">
                  <c:v>-3014.8</c:v>
                </c:pt>
                <c:pt idx="330">
                  <c:v>-3014.8</c:v>
                </c:pt>
                <c:pt idx="331">
                  <c:v>-3014.8</c:v>
                </c:pt>
                <c:pt idx="332">
                  <c:v>-3014.8</c:v>
                </c:pt>
                <c:pt idx="333">
                  <c:v>-3014.8</c:v>
                </c:pt>
                <c:pt idx="334">
                  <c:v>-3014.8</c:v>
                </c:pt>
                <c:pt idx="335">
                  <c:v>-3014.8</c:v>
                </c:pt>
                <c:pt idx="336">
                  <c:v>-3014.8</c:v>
                </c:pt>
                <c:pt idx="337">
                  <c:v>-3014.8</c:v>
                </c:pt>
                <c:pt idx="338">
                  <c:v>-3014.8</c:v>
                </c:pt>
                <c:pt idx="339">
                  <c:v>-3014.8</c:v>
                </c:pt>
                <c:pt idx="340">
                  <c:v>-3014.8</c:v>
                </c:pt>
                <c:pt idx="341">
                  <c:v>-3014.8</c:v>
                </c:pt>
                <c:pt idx="342">
                  <c:v>-3014.8</c:v>
                </c:pt>
                <c:pt idx="343">
                  <c:v>-3014.8</c:v>
                </c:pt>
                <c:pt idx="344">
                  <c:v>-3014.8</c:v>
                </c:pt>
                <c:pt idx="345">
                  <c:v>-3014.8</c:v>
                </c:pt>
                <c:pt idx="346">
                  <c:v>-3014.8</c:v>
                </c:pt>
                <c:pt idx="347">
                  <c:v>-3014.8</c:v>
                </c:pt>
                <c:pt idx="348">
                  <c:v>-3014.8</c:v>
                </c:pt>
                <c:pt idx="349">
                  <c:v>-3014.8</c:v>
                </c:pt>
                <c:pt idx="350">
                  <c:v>-3014.8</c:v>
                </c:pt>
                <c:pt idx="351">
                  <c:v>-3014.8</c:v>
                </c:pt>
                <c:pt idx="352">
                  <c:v>-3014.8</c:v>
                </c:pt>
                <c:pt idx="353">
                  <c:v>-3014.8</c:v>
                </c:pt>
                <c:pt idx="354">
                  <c:v>-3014.8</c:v>
                </c:pt>
                <c:pt idx="355">
                  <c:v>-3014.8</c:v>
                </c:pt>
                <c:pt idx="356">
                  <c:v>-3014.8</c:v>
                </c:pt>
                <c:pt idx="357">
                  <c:v>-3014.8</c:v>
                </c:pt>
                <c:pt idx="358">
                  <c:v>-3014.8</c:v>
                </c:pt>
                <c:pt idx="359">
                  <c:v>-3014.8</c:v>
                </c:pt>
                <c:pt idx="360">
                  <c:v>-3014.8</c:v>
                </c:pt>
                <c:pt idx="361">
                  <c:v>-3014.8</c:v>
                </c:pt>
                <c:pt idx="362">
                  <c:v>-3014.8</c:v>
                </c:pt>
                <c:pt idx="363">
                  <c:v>-3014.8</c:v>
                </c:pt>
                <c:pt idx="364">
                  <c:v>-3014.8</c:v>
                </c:pt>
                <c:pt idx="365">
                  <c:v>-3014.8</c:v>
                </c:pt>
                <c:pt idx="366">
                  <c:v>-3014.8</c:v>
                </c:pt>
                <c:pt idx="367">
                  <c:v>-3014.8</c:v>
                </c:pt>
                <c:pt idx="368">
                  <c:v>-3014.8</c:v>
                </c:pt>
                <c:pt idx="369">
                  <c:v>-3014.8</c:v>
                </c:pt>
                <c:pt idx="370">
                  <c:v>-3014.8</c:v>
                </c:pt>
                <c:pt idx="371">
                  <c:v>-3014.8</c:v>
                </c:pt>
                <c:pt idx="372">
                  <c:v>-2758.8</c:v>
                </c:pt>
                <c:pt idx="373">
                  <c:v>-2758.8</c:v>
                </c:pt>
                <c:pt idx="374">
                  <c:v>-2758.8</c:v>
                </c:pt>
                <c:pt idx="375">
                  <c:v>-2758.8</c:v>
                </c:pt>
                <c:pt idx="376">
                  <c:v>-2758.8</c:v>
                </c:pt>
                <c:pt idx="377">
                  <c:v>-2758.8</c:v>
                </c:pt>
                <c:pt idx="378">
                  <c:v>-2758.8</c:v>
                </c:pt>
                <c:pt idx="379">
                  <c:v>-2758.8</c:v>
                </c:pt>
                <c:pt idx="380">
                  <c:v>-2758.8</c:v>
                </c:pt>
                <c:pt idx="381">
                  <c:v>-2758.8</c:v>
                </c:pt>
                <c:pt idx="382">
                  <c:v>-2758.8</c:v>
                </c:pt>
                <c:pt idx="383">
                  <c:v>-2758.8</c:v>
                </c:pt>
                <c:pt idx="384">
                  <c:v>-2758.8</c:v>
                </c:pt>
                <c:pt idx="385">
                  <c:v>-2758.8</c:v>
                </c:pt>
                <c:pt idx="386">
                  <c:v>-2758.8</c:v>
                </c:pt>
                <c:pt idx="387">
                  <c:v>-2758.8</c:v>
                </c:pt>
                <c:pt idx="388">
                  <c:v>-2758.8</c:v>
                </c:pt>
                <c:pt idx="389">
                  <c:v>-2758.8</c:v>
                </c:pt>
                <c:pt idx="390">
                  <c:v>-2758.8</c:v>
                </c:pt>
                <c:pt idx="391">
                  <c:v>-2758.8</c:v>
                </c:pt>
                <c:pt idx="392">
                  <c:v>-2758.8</c:v>
                </c:pt>
                <c:pt idx="393">
                  <c:v>-2758.8</c:v>
                </c:pt>
                <c:pt idx="394">
                  <c:v>-2758.8</c:v>
                </c:pt>
                <c:pt idx="395">
                  <c:v>-2758.8</c:v>
                </c:pt>
                <c:pt idx="396">
                  <c:v>-2758.8</c:v>
                </c:pt>
                <c:pt idx="397">
                  <c:v>-2758.8</c:v>
                </c:pt>
                <c:pt idx="398">
                  <c:v>-2758.8</c:v>
                </c:pt>
                <c:pt idx="399">
                  <c:v>-2758.8</c:v>
                </c:pt>
                <c:pt idx="400">
                  <c:v>-2758.8</c:v>
                </c:pt>
                <c:pt idx="401">
                  <c:v>-2758.8</c:v>
                </c:pt>
                <c:pt idx="402">
                  <c:v>-2758.8</c:v>
                </c:pt>
                <c:pt idx="403">
                  <c:v>-2758.8</c:v>
                </c:pt>
                <c:pt idx="404">
                  <c:v>-2758.8</c:v>
                </c:pt>
                <c:pt idx="405">
                  <c:v>-2758.8</c:v>
                </c:pt>
                <c:pt idx="406">
                  <c:v>-2758.8</c:v>
                </c:pt>
                <c:pt idx="407">
                  <c:v>-2758.8</c:v>
                </c:pt>
                <c:pt idx="408">
                  <c:v>-2758.8</c:v>
                </c:pt>
                <c:pt idx="409">
                  <c:v>-2758.8</c:v>
                </c:pt>
                <c:pt idx="410">
                  <c:v>-2758.8</c:v>
                </c:pt>
                <c:pt idx="411">
                  <c:v>-2758.8</c:v>
                </c:pt>
                <c:pt idx="412">
                  <c:v>-2758.8</c:v>
                </c:pt>
                <c:pt idx="413">
                  <c:v>-2758.8</c:v>
                </c:pt>
                <c:pt idx="414">
                  <c:v>-2758.8</c:v>
                </c:pt>
                <c:pt idx="415">
                  <c:v>-2758.8</c:v>
                </c:pt>
                <c:pt idx="416">
                  <c:v>-2758.8</c:v>
                </c:pt>
                <c:pt idx="417">
                  <c:v>-2758.8</c:v>
                </c:pt>
                <c:pt idx="418">
                  <c:v>-2758.8</c:v>
                </c:pt>
                <c:pt idx="419">
                  <c:v>-2758.8</c:v>
                </c:pt>
                <c:pt idx="420">
                  <c:v>-2758.8</c:v>
                </c:pt>
                <c:pt idx="421">
                  <c:v>-2758.8</c:v>
                </c:pt>
                <c:pt idx="422">
                  <c:v>-2070.8000000000002</c:v>
                </c:pt>
                <c:pt idx="423">
                  <c:v>-1910.8000000000002</c:v>
                </c:pt>
                <c:pt idx="424">
                  <c:v>-1910.8000000000002</c:v>
                </c:pt>
                <c:pt idx="425">
                  <c:v>-1910.8000000000002</c:v>
                </c:pt>
                <c:pt idx="426">
                  <c:v>-1910.8000000000002</c:v>
                </c:pt>
                <c:pt idx="427">
                  <c:v>-1910.8000000000002</c:v>
                </c:pt>
                <c:pt idx="428">
                  <c:v>-1910.8000000000002</c:v>
                </c:pt>
                <c:pt idx="429">
                  <c:v>-1910.8000000000002</c:v>
                </c:pt>
                <c:pt idx="430">
                  <c:v>-1670.8000000000002</c:v>
                </c:pt>
                <c:pt idx="431">
                  <c:v>-1670.8000000000002</c:v>
                </c:pt>
                <c:pt idx="432">
                  <c:v>-1510.8000000000002</c:v>
                </c:pt>
                <c:pt idx="433">
                  <c:v>-1510.8000000000002</c:v>
                </c:pt>
                <c:pt idx="434">
                  <c:v>-1510.8000000000002</c:v>
                </c:pt>
                <c:pt idx="435">
                  <c:v>-1510.8000000000002</c:v>
                </c:pt>
                <c:pt idx="436">
                  <c:v>-1510.8000000000002</c:v>
                </c:pt>
                <c:pt idx="437">
                  <c:v>-1510.8000000000002</c:v>
                </c:pt>
                <c:pt idx="438">
                  <c:v>-1510.8000000000002</c:v>
                </c:pt>
                <c:pt idx="439">
                  <c:v>-1510.8000000000002</c:v>
                </c:pt>
                <c:pt idx="440">
                  <c:v>-1510.8000000000002</c:v>
                </c:pt>
                <c:pt idx="441">
                  <c:v>-1510.8000000000002</c:v>
                </c:pt>
                <c:pt idx="442">
                  <c:v>-1510.8000000000002</c:v>
                </c:pt>
                <c:pt idx="443">
                  <c:v>-1510.8000000000002</c:v>
                </c:pt>
                <c:pt idx="444">
                  <c:v>-1510.8000000000002</c:v>
                </c:pt>
                <c:pt idx="445">
                  <c:v>-1510.8000000000002</c:v>
                </c:pt>
                <c:pt idx="446">
                  <c:v>-1510.8000000000002</c:v>
                </c:pt>
                <c:pt idx="447">
                  <c:v>-1510.8000000000002</c:v>
                </c:pt>
                <c:pt idx="448">
                  <c:v>-1510.8000000000002</c:v>
                </c:pt>
                <c:pt idx="449">
                  <c:v>-1510.8000000000002</c:v>
                </c:pt>
                <c:pt idx="450">
                  <c:v>-1510.8000000000002</c:v>
                </c:pt>
                <c:pt idx="451">
                  <c:v>-1510.8000000000002</c:v>
                </c:pt>
                <c:pt idx="452">
                  <c:v>-1622.8000000000002</c:v>
                </c:pt>
                <c:pt idx="453">
                  <c:v>-1622.8000000000002</c:v>
                </c:pt>
                <c:pt idx="454">
                  <c:v>-1622.8000000000002</c:v>
                </c:pt>
                <c:pt idx="455">
                  <c:v>-1622.8000000000002</c:v>
                </c:pt>
                <c:pt idx="456">
                  <c:v>-1622.8000000000002</c:v>
                </c:pt>
                <c:pt idx="457">
                  <c:v>-1622.8000000000002</c:v>
                </c:pt>
                <c:pt idx="458">
                  <c:v>-1622.8000000000002</c:v>
                </c:pt>
                <c:pt idx="459">
                  <c:v>-769.46666666666692</c:v>
                </c:pt>
                <c:pt idx="460">
                  <c:v>-769.46666666666692</c:v>
                </c:pt>
                <c:pt idx="461">
                  <c:v>-769.46666666666692</c:v>
                </c:pt>
                <c:pt idx="462">
                  <c:v>-769.46666666666692</c:v>
                </c:pt>
                <c:pt idx="463">
                  <c:v>-769.46666666666692</c:v>
                </c:pt>
                <c:pt idx="464">
                  <c:v>-769.46666666666692</c:v>
                </c:pt>
                <c:pt idx="465">
                  <c:v>-769.46666666666692</c:v>
                </c:pt>
                <c:pt idx="466">
                  <c:v>-609.46666666666692</c:v>
                </c:pt>
                <c:pt idx="467">
                  <c:v>-609.46666666666692</c:v>
                </c:pt>
                <c:pt idx="468">
                  <c:v>-609.46666666666692</c:v>
                </c:pt>
                <c:pt idx="469">
                  <c:v>-609.46666666666692</c:v>
                </c:pt>
                <c:pt idx="470">
                  <c:v>-609.46666666666692</c:v>
                </c:pt>
                <c:pt idx="471">
                  <c:v>-609.46666666666692</c:v>
                </c:pt>
                <c:pt idx="472">
                  <c:v>-289.46666666666692</c:v>
                </c:pt>
                <c:pt idx="473">
                  <c:v>-49.466666666666924</c:v>
                </c:pt>
                <c:pt idx="474">
                  <c:v>-49.466666666666924</c:v>
                </c:pt>
                <c:pt idx="475">
                  <c:v>-49.466666666666924</c:v>
                </c:pt>
                <c:pt idx="476">
                  <c:v>-49.466666666666924</c:v>
                </c:pt>
                <c:pt idx="477">
                  <c:v>-49.466666666666924</c:v>
                </c:pt>
                <c:pt idx="478">
                  <c:v>-49.466666666666924</c:v>
                </c:pt>
                <c:pt idx="479">
                  <c:v>-49.466666666666924</c:v>
                </c:pt>
                <c:pt idx="480">
                  <c:v>-49.466666666666924</c:v>
                </c:pt>
                <c:pt idx="481">
                  <c:v>-49.466666666666924</c:v>
                </c:pt>
                <c:pt idx="482">
                  <c:v>-49.466666666666924</c:v>
                </c:pt>
                <c:pt idx="483">
                  <c:v>-49.466666666666924</c:v>
                </c:pt>
                <c:pt idx="484">
                  <c:v>-49.466666666666924</c:v>
                </c:pt>
                <c:pt idx="485">
                  <c:v>-49.466666666666924</c:v>
                </c:pt>
                <c:pt idx="486">
                  <c:v>-49.466666666666924</c:v>
                </c:pt>
                <c:pt idx="487">
                  <c:v>-49.466666666666924</c:v>
                </c:pt>
                <c:pt idx="488">
                  <c:v>-49.466666666666924</c:v>
                </c:pt>
                <c:pt idx="489">
                  <c:v>-49.466666666666924</c:v>
                </c:pt>
                <c:pt idx="490">
                  <c:v>-49.466666666666924</c:v>
                </c:pt>
                <c:pt idx="491">
                  <c:v>-49.466666666666924</c:v>
                </c:pt>
                <c:pt idx="492">
                  <c:v>-49.466666666666924</c:v>
                </c:pt>
                <c:pt idx="493">
                  <c:v>-49.466666666666924</c:v>
                </c:pt>
                <c:pt idx="494">
                  <c:v>-49.466666666666924</c:v>
                </c:pt>
                <c:pt idx="495">
                  <c:v>-49.466666666666924</c:v>
                </c:pt>
                <c:pt idx="496">
                  <c:v>-49.466666666666924</c:v>
                </c:pt>
                <c:pt idx="497">
                  <c:v>-49.466666666666924</c:v>
                </c:pt>
                <c:pt idx="498">
                  <c:v>-49.466666666666924</c:v>
                </c:pt>
                <c:pt idx="499">
                  <c:v>-49.466666666666924</c:v>
                </c:pt>
                <c:pt idx="500">
                  <c:v>-49.466666666666924</c:v>
                </c:pt>
                <c:pt idx="501">
                  <c:v>-49.466666666666924</c:v>
                </c:pt>
                <c:pt idx="502">
                  <c:v>-49.466666666666924</c:v>
                </c:pt>
                <c:pt idx="503">
                  <c:v>94.533333333333104</c:v>
                </c:pt>
                <c:pt idx="504">
                  <c:v>94.533333333333104</c:v>
                </c:pt>
                <c:pt idx="505">
                  <c:v>94.533333333333104</c:v>
                </c:pt>
                <c:pt idx="506">
                  <c:v>94.533333333333104</c:v>
                </c:pt>
                <c:pt idx="507">
                  <c:v>94.533333333333104</c:v>
                </c:pt>
                <c:pt idx="508">
                  <c:v>158.5333333333331</c:v>
                </c:pt>
                <c:pt idx="509">
                  <c:v>158.5333333333331</c:v>
                </c:pt>
                <c:pt idx="510">
                  <c:v>158.5333333333331</c:v>
                </c:pt>
                <c:pt idx="511">
                  <c:v>158.5333333333331</c:v>
                </c:pt>
                <c:pt idx="512">
                  <c:v>158.5333333333331</c:v>
                </c:pt>
                <c:pt idx="513">
                  <c:v>158.5333333333331</c:v>
                </c:pt>
                <c:pt idx="514">
                  <c:v>158.5333333333331</c:v>
                </c:pt>
                <c:pt idx="515">
                  <c:v>158.5333333333331</c:v>
                </c:pt>
                <c:pt idx="516">
                  <c:v>158.5333333333331</c:v>
                </c:pt>
                <c:pt idx="517">
                  <c:v>158.5333333333331</c:v>
                </c:pt>
                <c:pt idx="518">
                  <c:v>158.5333333333331</c:v>
                </c:pt>
                <c:pt idx="519">
                  <c:v>158.5333333333331</c:v>
                </c:pt>
                <c:pt idx="520">
                  <c:v>158.5333333333331</c:v>
                </c:pt>
                <c:pt idx="521">
                  <c:v>158.5333333333331</c:v>
                </c:pt>
                <c:pt idx="522">
                  <c:v>158.5333333333331</c:v>
                </c:pt>
                <c:pt idx="523">
                  <c:v>158.5333333333331</c:v>
                </c:pt>
                <c:pt idx="524">
                  <c:v>206.5333333333331</c:v>
                </c:pt>
                <c:pt idx="525">
                  <c:v>206.5333333333331</c:v>
                </c:pt>
                <c:pt idx="526">
                  <c:v>206.5333333333331</c:v>
                </c:pt>
                <c:pt idx="527">
                  <c:v>206.5333333333331</c:v>
                </c:pt>
                <c:pt idx="528">
                  <c:v>206.5333333333331</c:v>
                </c:pt>
                <c:pt idx="529">
                  <c:v>206.5333333333331</c:v>
                </c:pt>
                <c:pt idx="530">
                  <c:v>206.5333333333331</c:v>
                </c:pt>
                <c:pt idx="531">
                  <c:v>206.5333333333331</c:v>
                </c:pt>
                <c:pt idx="532">
                  <c:v>206.5333333333331</c:v>
                </c:pt>
                <c:pt idx="533">
                  <c:v>206.5333333333331</c:v>
                </c:pt>
                <c:pt idx="534">
                  <c:v>206.5333333333331</c:v>
                </c:pt>
                <c:pt idx="535">
                  <c:v>206.5333333333331</c:v>
                </c:pt>
                <c:pt idx="536">
                  <c:v>206.5333333333331</c:v>
                </c:pt>
                <c:pt idx="537">
                  <c:v>206.5333333333331</c:v>
                </c:pt>
                <c:pt idx="538">
                  <c:v>206.5333333333331</c:v>
                </c:pt>
                <c:pt idx="539">
                  <c:v>206.5333333333331</c:v>
                </c:pt>
                <c:pt idx="540">
                  <c:v>206.5333333333331</c:v>
                </c:pt>
                <c:pt idx="541">
                  <c:v>206.5333333333331</c:v>
                </c:pt>
                <c:pt idx="542">
                  <c:v>206.5333333333331</c:v>
                </c:pt>
                <c:pt idx="543">
                  <c:v>206.5333333333331</c:v>
                </c:pt>
                <c:pt idx="544">
                  <c:v>206.5333333333331</c:v>
                </c:pt>
                <c:pt idx="545">
                  <c:v>206.5333333333331</c:v>
                </c:pt>
                <c:pt idx="546">
                  <c:v>206.5333333333331</c:v>
                </c:pt>
                <c:pt idx="547">
                  <c:v>206.5333333333331</c:v>
                </c:pt>
                <c:pt idx="548">
                  <c:v>206.5333333333331</c:v>
                </c:pt>
                <c:pt idx="549">
                  <c:v>206.5333333333331</c:v>
                </c:pt>
                <c:pt idx="550">
                  <c:v>206.5333333333331</c:v>
                </c:pt>
                <c:pt idx="551">
                  <c:v>206.5333333333331</c:v>
                </c:pt>
                <c:pt idx="552">
                  <c:v>206.5333333333331</c:v>
                </c:pt>
                <c:pt idx="553">
                  <c:v>254.53333333333308</c:v>
                </c:pt>
                <c:pt idx="554">
                  <c:v>254.53333333333308</c:v>
                </c:pt>
                <c:pt idx="555">
                  <c:v>254.53333333333308</c:v>
                </c:pt>
                <c:pt idx="556">
                  <c:v>254.53333333333308</c:v>
                </c:pt>
                <c:pt idx="557">
                  <c:v>254.53333333333308</c:v>
                </c:pt>
                <c:pt idx="558">
                  <c:v>254.53333333333308</c:v>
                </c:pt>
                <c:pt idx="559">
                  <c:v>254.53333333333308</c:v>
                </c:pt>
                <c:pt idx="560">
                  <c:v>254.53333333333308</c:v>
                </c:pt>
                <c:pt idx="561">
                  <c:v>254.53333333333308</c:v>
                </c:pt>
                <c:pt idx="562">
                  <c:v>254.53333333333308</c:v>
                </c:pt>
                <c:pt idx="563">
                  <c:v>254.53333333333308</c:v>
                </c:pt>
                <c:pt idx="564">
                  <c:v>254.53333333333308</c:v>
                </c:pt>
                <c:pt idx="565">
                  <c:v>926.53333333333308</c:v>
                </c:pt>
                <c:pt idx="566">
                  <c:v>926.53333333333308</c:v>
                </c:pt>
                <c:pt idx="567">
                  <c:v>926.53333333333308</c:v>
                </c:pt>
                <c:pt idx="568">
                  <c:v>926.53333333333308</c:v>
                </c:pt>
                <c:pt idx="569">
                  <c:v>926.53333333333308</c:v>
                </c:pt>
                <c:pt idx="570">
                  <c:v>926.53333333333308</c:v>
                </c:pt>
                <c:pt idx="571">
                  <c:v>926.53333333333308</c:v>
                </c:pt>
                <c:pt idx="572">
                  <c:v>926.53333333333308</c:v>
                </c:pt>
                <c:pt idx="573">
                  <c:v>926.53333333333308</c:v>
                </c:pt>
                <c:pt idx="574">
                  <c:v>926.53333333333308</c:v>
                </c:pt>
                <c:pt idx="575">
                  <c:v>926.53333333333308</c:v>
                </c:pt>
                <c:pt idx="576">
                  <c:v>926.53333333333308</c:v>
                </c:pt>
                <c:pt idx="577">
                  <c:v>926.53333333333308</c:v>
                </c:pt>
                <c:pt idx="578">
                  <c:v>926.53333333333308</c:v>
                </c:pt>
                <c:pt idx="579">
                  <c:v>926.53333333333308</c:v>
                </c:pt>
                <c:pt idx="580">
                  <c:v>926.53333333333308</c:v>
                </c:pt>
                <c:pt idx="581">
                  <c:v>926.53333333333308</c:v>
                </c:pt>
                <c:pt idx="582">
                  <c:v>926.53333333333308</c:v>
                </c:pt>
                <c:pt idx="583">
                  <c:v>926.53333333333308</c:v>
                </c:pt>
                <c:pt idx="584">
                  <c:v>926.53333333333308</c:v>
                </c:pt>
                <c:pt idx="585">
                  <c:v>926.53333333333308</c:v>
                </c:pt>
                <c:pt idx="586">
                  <c:v>926.53333333333308</c:v>
                </c:pt>
                <c:pt idx="587">
                  <c:v>926.53333333333308</c:v>
                </c:pt>
                <c:pt idx="588">
                  <c:v>926.53333333333308</c:v>
                </c:pt>
                <c:pt idx="589">
                  <c:v>926.53333333333308</c:v>
                </c:pt>
                <c:pt idx="590">
                  <c:v>926.53333333333308</c:v>
                </c:pt>
                <c:pt idx="591">
                  <c:v>926.53333333333308</c:v>
                </c:pt>
                <c:pt idx="592">
                  <c:v>926.53333333333308</c:v>
                </c:pt>
                <c:pt idx="593">
                  <c:v>926.53333333333308</c:v>
                </c:pt>
                <c:pt idx="594">
                  <c:v>1246.5333333333331</c:v>
                </c:pt>
                <c:pt idx="595">
                  <c:v>1326.5333333333331</c:v>
                </c:pt>
                <c:pt idx="596">
                  <c:v>1326.5333333333331</c:v>
                </c:pt>
                <c:pt idx="597">
                  <c:v>1326.5333333333331</c:v>
                </c:pt>
                <c:pt idx="598">
                  <c:v>1326.5333333333331</c:v>
                </c:pt>
                <c:pt idx="599">
                  <c:v>1326.5333333333331</c:v>
                </c:pt>
                <c:pt idx="600">
                  <c:v>2206.5333333333328</c:v>
                </c:pt>
                <c:pt idx="601">
                  <c:v>2302.5333333333328</c:v>
                </c:pt>
                <c:pt idx="602">
                  <c:v>2398.5333333333328</c:v>
                </c:pt>
                <c:pt idx="603">
                  <c:v>2398.5333333333328</c:v>
                </c:pt>
                <c:pt idx="604">
                  <c:v>2398.5333333333328</c:v>
                </c:pt>
                <c:pt idx="605">
                  <c:v>2398.5333333333328</c:v>
                </c:pt>
                <c:pt idx="606">
                  <c:v>2398.5333333333328</c:v>
                </c:pt>
                <c:pt idx="607">
                  <c:v>2398.5333333333328</c:v>
                </c:pt>
                <c:pt idx="608">
                  <c:v>2398.5333333333328</c:v>
                </c:pt>
                <c:pt idx="609">
                  <c:v>2398.5333333333328</c:v>
                </c:pt>
                <c:pt idx="610">
                  <c:v>2398.5333333333328</c:v>
                </c:pt>
                <c:pt idx="611">
                  <c:v>2398.5333333333328</c:v>
                </c:pt>
                <c:pt idx="612">
                  <c:v>2398.5333333333328</c:v>
                </c:pt>
                <c:pt idx="613">
                  <c:v>2398.5333333333328</c:v>
                </c:pt>
                <c:pt idx="614">
                  <c:v>2398.5333333333328</c:v>
                </c:pt>
                <c:pt idx="615">
                  <c:v>2398.5333333333328</c:v>
                </c:pt>
                <c:pt idx="616">
                  <c:v>2398.5333333333328</c:v>
                </c:pt>
                <c:pt idx="617">
                  <c:v>2350.5333333333328</c:v>
                </c:pt>
                <c:pt idx="618">
                  <c:v>2350.5333333333328</c:v>
                </c:pt>
                <c:pt idx="619">
                  <c:v>2350.5333333333328</c:v>
                </c:pt>
                <c:pt idx="620">
                  <c:v>2350.5333333333328</c:v>
                </c:pt>
                <c:pt idx="621">
                  <c:v>2350.5333333333328</c:v>
                </c:pt>
                <c:pt idx="622">
                  <c:v>2350.5333333333328</c:v>
                </c:pt>
                <c:pt idx="623">
                  <c:v>2350.5333333333328</c:v>
                </c:pt>
                <c:pt idx="624">
                  <c:v>2350.5333333333328</c:v>
                </c:pt>
                <c:pt idx="625">
                  <c:v>2350.5333333333328</c:v>
                </c:pt>
                <c:pt idx="626">
                  <c:v>2350.5333333333328</c:v>
                </c:pt>
                <c:pt idx="627">
                  <c:v>2350.5333333333328</c:v>
                </c:pt>
                <c:pt idx="628">
                  <c:v>2350.5333333333328</c:v>
                </c:pt>
                <c:pt idx="629">
                  <c:v>2350.5333333333328</c:v>
                </c:pt>
                <c:pt idx="630">
                  <c:v>2350.5333333333328</c:v>
                </c:pt>
                <c:pt idx="631">
                  <c:v>2350.5333333333328</c:v>
                </c:pt>
                <c:pt idx="632">
                  <c:v>2350.5333333333328</c:v>
                </c:pt>
                <c:pt idx="633">
                  <c:v>2350.5333333333328</c:v>
                </c:pt>
                <c:pt idx="634">
                  <c:v>2350.5333333333328</c:v>
                </c:pt>
                <c:pt idx="635">
                  <c:v>2350.5333333333328</c:v>
                </c:pt>
                <c:pt idx="636">
                  <c:v>2350.5333333333328</c:v>
                </c:pt>
                <c:pt idx="637">
                  <c:v>2350.5333333333328</c:v>
                </c:pt>
                <c:pt idx="638">
                  <c:v>2350.5333333333328</c:v>
                </c:pt>
                <c:pt idx="639">
                  <c:v>2350.5333333333328</c:v>
                </c:pt>
                <c:pt idx="640">
                  <c:v>2350.5333333333328</c:v>
                </c:pt>
                <c:pt idx="641">
                  <c:v>2350.5333333333328</c:v>
                </c:pt>
                <c:pt idx="642">
                  <c:v>2350.5333333333328</c:v>
                </c:pt>
                <c:pt idx="643">
                  <c:v>2350.5333333333328</c:v>
                </c:pt>
                <c:pt idx="644">
                  <c:v>2350.5333333333328</c:v>
                </c:pt>
                <c:pt idx="645">
                  <c:v>2350.5333333333328</c:v>
                </c:pt>
                <c:pt idx="646">
                  <c:v>2350.5333333333328</c:v>
                </c:pt>
                <c:pt idx="647">
                  <c:v>2350.5333333333328</c:v>
                </c:pt>
                <c:pt idx="648">
                  <c:v>2350.5333333333328</c:v>
                </c:pt>
                <c:pt idx="649">
                  <c:v>2350.5333333333328</c:v>
                </c:pt>
                <c:pt idx="650">
                  <c:v>2350.5333333333328</c:v>
                </c:pt>
                <c:pt idx="651">
                  <c:v>2350.5333333333328</c:v>
                </c:pt>
                <c:pt idx="652">
                  <c:v>2350.5333333333328</c:v>
                </c:pt>
                <c:pt idx="653">
                  <c:v>2350.5333333333328</c:v>
                </c:pt>
                <c:pt idx="654">
                  <c:v>2350.5333333333328</c:v>
                </c:pt>
                <c:pt idx="655">
                  <c:v>2350.5333333333328</c:v>
                </c:pt>
                <c:pt idx="656">
                  <c:v>2350.5333333333328</c:v>
                </c:pt>
                <c:pt idx="657">
                  <c:v>2350.5333333333328</c:v>
                </c:pt>
                <c:pt idx="658">
                  <c:v>2350.5333333333328</c:v>
                </c:pt>
                <c:pt idx="659">
                  <c:v>2350.5333333333328</c:v>
                </c:pt>
                <c:pt idx="660">
                  <c:v>2350.5333333333328</c:v>
                </c:pt>
                <c:pt idx="661">
                  <c:v>2350.5333333333328</c:v>
                </c:pt>
                <c:pt idx="662">
                  <c:v>2350.5333333333328</c:v>
                </c:pt>
                <c:pt idx="663">
                  <c:v>2350.5333333333328</c:v>
                </c:pt>
                <c:pt idx="664">
                  <c:v>2350.5333333333328</c:v>
                </c:pt>
                <c:pt idx="665">
                  <c:v>2350.5333333333328</c:v>
                </c:pt>
                <c:pt idx="666">
                  <c:v>2350.5333333333328</c:v>
                </c:pt>
                <c:pt idx="667">
                  <c:v>2350.5333333333328</c:v>
                </c:pt>
                <c:pt idx="668">
                  <c:v>2350.5333333333328</c:v>
                </c:pt>
                <c:pt idx="669">
                  <c:v>2350.5333333333328</c:v>
                </c:pt>
                <c:pt idx="670">
                  <c:v>2350.5333333333328</c:v>
                </c:pt>
                <c:pt idx="671">
                  <c:v>2350.5333333333328</c:v>
                </c:pt>
                <c:pt idx="672">
                  <c:v>3198.5333333333328</c:v>
                </c:pt>
                <c:pt idx="673">
                  <c:v>4254.5333333333328</c:v>
                </c:pt>
                <c:pt idx="674">
                  <c:v>4254.5333333333328</c:v>
                </c:pt>
                <c:pt idx="675">
                  <c:v>4254.5333333333328</c:v>
                </c:pt>
                <c:pt idx="676">
                  <c:v>4254.5333333333328</c:v>
                </c:pt>
                <c:pt idx="677">
                  <c:v>4254.5333333333328</c:v>
                </c:pt>
                <c:pt idx="678">
                  <c:v>4526.5333333333328</c:v>
                </c:pt>
                <c:pt idx="679">
                  <c:v>4526.5333333333328</c:v>
                </c:pt>
                <c:pt idx="680">
                  <c:v>4526.5333333333328</c:v>
                </c:pt>
                <c:pt idx="681">
                  <c:v>5454.5333333333328</c:v>
                </c:pt>
                <c:pt idx="682">
                  <c:v>5454.5333333333328</c:v>
                </c:pt>
                <c:pt idx="683">
                  <c:v>5454.5333333333328</c:v>
                </c:pt>
                <c:pt idx="684">
                  <c:v>5454.5333333333328</c:v>
                </c:pt>
                <c:pt idx="685">
                  <c:v>5454.5333333333328</c:v>
                </c:pt>
                <c:pt idx="686">
                  <c:v>5454.5333333333328</c:v>
                </c:pt>
                <c:pt idx="687">
                  <c:v>5454.5333333333328</c:v>
                </c:pt>
                <c:pt idx="688">
                  <c:v>5454.5333333333328</c:v>
                </c:pt>
                <c:pt idx="689">
                  <c:v>5454.5333333333328</c:v>
                </c:pt>
                <c:pt idx="690">
                  <c:v>5454.5333333333328</c:v>
                </c:pt>
                <c:pt idx="691">
                  <c:v>5454.5333333333328</c:v>
                </c:pt>
                <c:pt idx="692">
                  <c:v>5454.5333333333328</c:v>
                </c:pt>
                <c:pt idx="693">
                  <c:v>5454.5333333333328</c:v>
                </c:pt>
                <c:pt idx="694">
                  <c:v>5454.5333333333328</c:v>
                </c:pt>
                <c:pt idx="695">
                  <c:v>5454.5333333333328</c:v>
                </c:pt>
                <c:pt idx="696">
                  <c:v>5454.5333333333328</c:v>
                </c:pt>
                <c:pt idx="697">
                  <c:v>5454.5333333333328</c:v>
                </c:pt>
                <c:pt idx="698">
                  <c:v>5454.5333333333328</c:v>
                </c:pt>
                <c:pt idx="699">
                  <c:v>5454.5333333333328</c:v>
                </c:pt>
                <c:pt idx="700">
                  <c:v>5454.5333333333328</c:v>
                </c:pt>
                <c:pt idx="701">
                  <c:v>5454.5333333333328</c:v>
                </c:pt>
                <c:pt idx="702">
                  <c:v>5454.5333333333328</c:v>
                </c:pt>
                <c:pt idx="703">
                  <c:v>5454.5333333333328</c:v>
                </c:pt>
                <c:pt idx="704">
                  <c:v>5454.5333333333328</c:v>
                </c:pt>
                <c:pt idx="705">
                  <c:v>5454.5333333333328</c:v>
                </c:pt>
                <c:pt idx="706">
                  <c:v>5454.5333333333328</c:v>
                </c:pt>
                <c:pt idx="707">
                  <c:v>5454.5333333333328</c:v>
                </c:pt>
                <c:pt idx="708">
                  <c:v>5454.5333333333328</c:v>
                </c:pt>
                <c:pt idx="709">
                  <c:v>5454.5333333333328</c:v>
                </c:pt>
                <c:pt idx="710">
                  <c:v>5454.5333333333328</c:v>
                </c:pt>
                <c:pt idx="711">
                  <c:v>5454.5333333333328</c:v>
                </c:pt>
                <c:pt idx="712">
                  <c:v>5454.5333333333328</c:v>
                </c:pt>
                <c:pt idx="713">
                  <c:v>5454.5333333333328</c:v>
                </c:pt>
                <c:pt idx="714">
                  <c:v>5454.5333333333328</c:v>
                </c:pt>
                <c:pt idx="715">
                  <c:v>5454.5333333333328</c:v>
                </c:pt>
                <c:pt idx="716">
                  <c:v>5454.5333333333328</c:v>
                </c:pt>
                <c:pt idx="717">
                  <c:v>5454.5333333333328</c:v>
                </c:pt>
                <c:pt idx="718">
                  <c:v>5454.5333333333328</c:v>
                </c:pt>
                <c:pt idx="719">
                  <c:v>5454.5333333333328</c:v>
                </c:pt>
                <c:pt idx="720">
                  <c:v>5454.5333333333328</c:v>
                </c:pt>
                <c:pt idx="721">
                  <c:v>5454.5333333333328</c:v>
                </c:pt>
                <c:pt idx="722">
                  <c:v>5454.5333333333328</c:v>
                </c:pt>
                <c:pt idx="723">
                  <c:v>5454.5333333333328</c:v>
                </c:pt>
                <c:pt idx="724">
                  <c:v>5454.5333333333328</c:v>
                </c:pt>
                <c:pt idx="725">
                  <c:v>5454.5333333333328</c:v>
                </c:pt>
                <c:pt idx="726">
                  <c:v>5454.5333333333328</c:v>
                </c:pt>
                <c:pt idx="727">
                  <c:v>5454.5333333333328</c:v>
                </c:pt>
                <c:pt idx="728">
                  <c:v>5454.5333333333328</c:v>
                </c:pt>
                <c:pt idx="729">
                  <c:v>5454.5333333333328</c:v>
                </c:pt>
                <c:pt idx="730">
                  <c:v>5454.5333333333328</c:v>
                </c:pt>
                <c:pt idx="731">
                  <c:v>5454.5333333333328</c:v>
                </c:pt>
                <c:pt idx="732">
                  <c:v>5454.5333333333328</c:v>
                </c:pt>
                <c:pt idx="733">
                  <c:v>5454.5333333333328</c:v>
                </c:pt>
                <c:pt idx="734">
                  <c:v>5454.5333333333328</c:v>
                </c:pt>
                <c:pt idx="735">
                  <c:v>5454.5333333333328</c:v>
                </c:pt>
                <c:pt idx="736">
                  <c:v>5454.5333333333328</c:v>
                </c:pt>
                <c:pt idx="737">
                  <c:v>5454.5333333333328</c:v>
                </c:pt>
                <c:pt idx="738">
                  <c:v>5454.5333333333328</c:v>
                </c:pt>
                <c:pt idx="739">
                  <c:v>5678.5333333333328</c:v>
                </c:pt>
                <c:pt idx="740">
                  <c:v>5678.5333333333328</c:v>
                </c:pt>
                <c:pt idx="741">
                  <c:v>5678.5333333333328</c:v>
                </c:pt>
                <c:pt idx="742">
                  <c:v>5678.5333333333328</c:v>
                </c:pt>
                <c:pt idx="743">
                  <c:v>5678.5333333333328</c:v>
                </c:pt>
                <c:pt idx="744">
                  <c:v>5678.5333333333328</c:v>
                </c:pt>
                <c:pt idx="745">
                  <c:v>5678.5333333333328</c:v>
                </c:pt>
                <c:pt idx="746">
                  <c:v>5678.5333333333328</c:v>
                </c:pt>
                <c:pt idx="747">
                  <c:v>5678.5333333333328</c:v>
                </c:pt>
                <c:pt idx="748">
                  <c:v>5678.5333333333328</c:v>
                </c:pt>
                <c:pt idx="749">
                  <c:v>5678.5333333333328</c:v>
                </c:pt>
                <c:pt idx="750">
                  <c:v>5678.5333333333328</c:v>
                </c:pt>
                <c:pt idx="751">
                  <c:v>5678.5333333333328</c:v>
                </c:pt>
                <c:pt idx="752">
                  <c:v>5678.5333333333328</c:v>
                </c:pt>
                <c:pt idx="753">
                  <c:v>5678.5333333333328</c:v>
                </c:pt>
                <c:pt idx="754">
                  <c:v>5678.5333333333328</c:v>
                </c:pt>
                <c:pt idx="755">
                  <c:v>5678.5333333333328</c:v>
                </c:pt>
                <c:pt idx="756">
                  <c:v>5678.5333333333328</c:v>
                </c:pt>
                <c:pt idx="757">
                  <c:v>5678.5333333333328</c:v>
                </c:pt>
                <c:pt idx="758">
                  <c:v>5678.5333333333328</c:v>
                </c:pt>
                <c:pt idx="759">
                  <c:v>5678.5333333333328</c:v>
                </c:pt>
                <c:pt idx="760">
                  <c:v>5678.5333333333328</c:v>
                </c:pt>
                <c:pt idx="761">
                  <c:v>5678.5333333333328</c:v>
                </c:pt>
                <c:pt idx="762">
                  <c:v>5678.5333333333328</c:v>
                </c:pt>
                <c:pt idx="763">
                  <c:v>5678.5333333333328</c:v>
                </c:pt>
                <c:pt idx="764">
                  <c:v>5966.5333333333328</c:v>
                </c:pt>
                <c:pt idx="765">
                  <c:v>5966.5333333333328</c:v>
                </c:pt>
                <c:pt idx="766">
                  <c:v>5966.5333333333328</c:v>
                </c:pt>
                <c:pt idx="767">
                  <c:v>5966.5333333333328</c:v>
                </c:pt>
                <c:pt idx="768">
                  <c:v>5966.5333333333328</c:v>
                </c:pt>
                <c:pt idx="769">
                  <c:v>5966.5333333333328</c:v>
                </c:pt>
                <c:pt idx="770">
                  <c:v>5966.5333333333328</c:v>
                </c:pt>
                <c:pt idx="771">
                  <c:v>5966.5333333333328</c:v>
                </c:pt>
                <c:pt idx="772">
                  <c:v>5966.5333333333328</c:v>
                </c:pt>
                <c:pt idx="773">
                  <c:v>5966.5333333333328</c:v>
                </c:pt>
                <c:pt idx="774">
                  <c:v>5966.5333333333328</c:v>
                </c:pt>
                <c:pt idx="775">
                  <c:v>5966.5333333333328</c:v>
                </c:pt>
                <c:pt idx="776">
                  <c:v>5966.5333333333328</c:v>
                </c:pt>
                <c:pt idx="777">
                  <c:v>5966.5333333333328</c:v>
                </c:pt>
                <c:pt idx="778">
                  <c:v>5966.5333333333328</c:v>
                </c:pt>
                <c:pt idx="779">
                  <c:v>5966.5333333333328</c:v>
                </c:pt>
                <c:pt idx="780">
                  <c:v>5870.5333333333328</c:v>
                </c:pt>
                <c:pt idx="781">
                  <c:v>5918.5333333333328</c:v>
                </c:pt>
                <c:pt idx="782">
                  <c:v>5918.5333333333328</c:v>
                </c:pt>
                <c:pt idx="783">
                  <c:v>5918.5333333333328</c:v>
                </c:pt>
                <c:pt idx="784">
                  <c:v>5918.5333333333328</c:v>
                </c:pt>
                <c:pt idx="785">
                  <c:v>5918.5333333333328</c:v>
                </c:pt>
                <c:pt idx="786">
                  <c:v>5918.5333333333328</c:v>
                </c:pt>
                <c:pt idx="787">
                  <c:v>5918.5333333333328</c:v>
                </c:pt>
                <c:pt idx="788">
                  <c:v>5918.5333333333328</c:v>
                </c:pt>
                <c:pt idx="789">
                  <c:v>5918.5333333333328</c:v>
                </c:pt>
                <c:pt idx="790">
                  <c:v>5918.5333333333328</c:v>
                </c:pt>
                <c:pt idx="791">
                  <c:v>5918.5333333333328</c:v>
                </c:pt>
                <c:pt idx="792">
                  <c:v>6206.5333333333328</c:v>
                </c:pt>
                <c:pt idx="793">
                  <c:v>6206.5333333333328</c:v>
                </c:pt>
                <c:pt idx="794">
                  <c:v>6206.5333333333328</c:v>
                </c:pt>
                <c:pt idx="795">
                  <c:v>6206.5333333333328</c:v>
                </c:pt>
                <c:pt idx="796">
                  <c:v>6206.5333333333328</c:v>
                </c:pt>
                <c:pt idx="797">
                  <c:v>6206.5333333333328</c:v>
                </c:pt>
                <c:pt idx="798">
                  <c:v>6206.5333333333328</c:v>
                </c:pt>
                <c:pt idx="799">
                  <c:v>6206.5333333333328</c:v>
                </c:pt>
                <c:pt idx="800">
                  <c:v>6206.5333333333328</c:v>
                </c:pt>
                <c:pt idx="801">
                  <c:v>6206.5333333333328</c:v>
                </c:pt>
                <c:pt idx="802">
                  <c:v>6206.5333333333328</c:v>
                </c:pt>
                <c:pt idx="803">
                  <c:v>6206.5333333333328</c:v>
                </c:pt>
                <c:pt idx="804">
                  <c:v>6206.5333333333328</c:v>
                </c:pt>
                <c:pt idx="805">
                  <c:v>6206.5333333333328</c:v>
                </c:pt>
                <c:pt idx="806">
                  <c:v>6206.5333333333328</c:v>
                </c:pt>
                <c:pt idx="807">
                  <c:v>6206.5333333333328</c:v>
                </c:pt>
                <c:pt idx="808">
                  <c:v>6206.5333333333328</c:v>
                </c:pt>
                <c:pt idx="809">
                  <c:v>6206.5333333333328</c:v>
                </c:pt>
                <c:pt idx="810">
                  <c:v>6206.5333333333328</c:v>
                </c:pt>
                <c:pt idx="811">
                  <c:v>6206.5333333333328</c:v>
                </c:pt>
                <c:pt idx="812">
                  <c:v>6206.5333333333328</c:v>
                </c:pt>
                <c:pt idx="813">
                  <c:v>6206.5333333333328</c:v>
                </c:pt>
                <c:pt idx="814">
                  <c:v>6206.5333333333328</c:v>
                </c:pt>
                <c:pt idx="815">
                  <c:v>6206.5333333333328</c:v>
                </c:pt>
                <c:pt idx="816">
                  <c:v>6206.5333333333328</c:v>
                </c:pt>
                <c:pt idx="817">
                  <c:v>6206.5333333333328</c:v>
                </c:pt>
                <c:pt idx="818">
                  <c:v>6206.5333333333328</c:v>
                </c:pt>
                <c:pt idx="819">
                  <c:v>6206.5333333333328</c:v>
                </c:pt>
                <c:pt idx="820">
                  <c:v>6206.5333333333328</c:v>
                </c:pt>
                <c:pt idx="821">
                  <c:v>6206.5333333333328</c:v>
                </c:pt>
                <c:pt idx="822">
                  <c:v>6494.5333333333328</c:v>
                </c:pt>
                <c:pt idx="823">
                  <c:v>6494.5333333333328</c:v>
                </c:pt>
                <c:pt idx="824">
                  <c:v>6494.5333333333328</c:v>
                </c:pt>
                <c:pt idx="825">
                  <c:v>6518.5333333333328</c:v>
                </c:pt>
                <c:pt idx="826">
                  <c:v>6518.5333333333328</c:v>
                </c:pt>
                <c:pt idx="827">
                  <c:v>6518.5333333333328</c:v>
                </c:pt>
                <c:pt idx="828">
                  <c:v>6518.5333333333328</c:v>
                </c:pt>
                <c:pt idx="829">
                  <c:v>6518.5333333333328</c:v>
                </c:pt>
                <c:pt idx="830">
                  <c:v>6518.5333333333328</c:v>
                </c:pt>
                <c:pt idx="831">
                  <c:v>6518.5333333333328</c:v>
                </c:pt>
                <c:pt idx="832">
                  <c:v>6518.5333333333328</c:v>
                </c:pt>
                <c:pt idx="833">
                  <c:v>6518.5333333333328</c:v>
                </c:pt>
                <c:pt idx="834">
                  <c:v>6518.5333333333328</c:v>
                </c:pt>
                <c:pt idx="835">
                  <c:v>6518.5333333333328</c:v>
                </c:pt>
                <c:pt idx="836">
                  <c:v>6518.5333333333328</c:v>
                </c:pt>
                <c:pt idx="837">
                  <c:v>6518.5333333333328</c:v>
                </c:pt>
                <c:pt idx="838">
                  <c:v>6518.5333333333328</c:v>
                </c:pt>
                <c:pt idx="839">
                  <c:v>6518.5333333333328</c:v>
                </c:pt>
                <c:pt idx="840">
                  <c:v>6518.5333333333328</c:v>
                </c:pt>
                <c:pt idx="841">
                  <c:v>6518.5333333333328</c:v>
                </c:pt>
                <c:pt idx="842">
                  <c:v>6518.5333333333328</c:v>
                </c:pt>
                <c:pt idx="843">
                  <c:v>6518.5333333333328</c:v>
                </c:pt>
                <c:pt idx="844">
                  <c:v>6518.5333333333328</c:v>
                </c:pt>
                <c:pt idx="845">
                  <c:v>6518.5333333333328</c:v>
                </c:pt>
                <c:pt idx="846">
                  <c:v>6518.5333333333328</c:v>
                </c:pt>
                <c:pt idx="847">
                  <c:v>6518.5333333333328</c:v>
                </c:pt>
                <c:pt idx="848">
                  <c:v>6518.5333333333328</c:v>
                </c:pt>
                <c:pt idx="849">
                  <c:v>6518.5333333333328</c:v>
                </c:pt>
                <c:pt idx="850">
                  <c:v>7174.5333333333328</c:v>
                </c:pt>
                <c:pt idx="851">
                  <c:v>7174.5333333333328</c:v>
                </c:pt>
                <c:pt idx="852">
                  <c:v>7174.5333333333328</c:v>
                </c:pt>
                <c:pt idx="853">
                  <c:v>7174.5333333333328</c:v>
                </c:pt>
                <c:pt idx="854">
                  <c:v>7174.5333333333328</c:v>
                </c:pt>
                <c:pt idx="855">
                  <c:v>7174.5333333333328</c:v>
                </c:pt>
                <c:pt idx="856">
                  <c:v>7174.5333333333328</c:v>
                </c:pt>
                <c:pt idx="857">
                  <c:v>7174.5333333333328</c:v>
                </c:pt>
                <c:pt idx="858">
                  <c:v>7174.5333333333328</c:v>
                </c:pt>
                <c:pt idx="859">
                  <c:v>7174.5333333333328</c:v>
                </c:pt>
                <c:pt idx="860">
                  <c:v>7174.5333333333328</c:v>
                </c:pt>
                <c:pt idx="861">
                  <c:v>7174.5333333333328</c:v>
                </c:pt>
                <c:pt idx="862">
                  <c:v>7174.5333333333328</c:v>
                </c:pt>
                <c:pt idx="863">
                  <c:v>7174.5333333333328</c:v>
                </c:pt>
                <c:pt idx="864">
                  <c:v>7174.5333333333328</c:v>
                </c:pt>
                <c:pt idx="865">
                  <c:v>7174.5333333333328</c:v>
                </c:pt>
                <c:pt idx="866">
                  <c:v>7174.5333333333328</c:v>
                </c:pt>
                <c:pt idx="867">
                  <c:v>7174.5333333333328</c:v>
                </c:pt>
                <c:pt idx="868">
                  <c:v>7174.5333333333328</c:v>
                </c:pt>
                <c:pt idx="869">
                  <c:v>7174.5333333333328</c:v>
                </c:pt>
                <c:pt idx="870">
                  <c:v>7174.5333333333328</c:v>
                </c:pt>
                <c:pt idx="871">
                  <c:v>7174.5333333333328</c:v>
                </c:pt>
                <c:pt idx="872">
                  <c:v>7174.5333333333328</c:v>
                </c:pt>
                <c:pt idx="873">
                  <c:v>7174.5333333333328</c:v>
                </c:pt>
                <c:pt idx="874">
                  <c:v>7526.5333333333328</c:v>
                </c:pt>
                <c:pt idx="875">
                  <c:v>7526.5333333333328</c:v>
                </c:pt>
                <c:pt idx="876">
                  <c:v>7526.5333333333328</c:v>
                </c:pt>
                <c:pt idx="877">
                  <c:v>7526.5333333333328</c:v>
                </c:pt>
                <c:pt idx="878">
                  <c:v>7526.5333333333328</c:v>
                </c:pt>
                <c:pt idx="879">
                  <c:v>7526.5333333333328</c:v>
                </c:pt>
                <c:pt idx="880">
                  <c:v>7526.5333333333328</c:v>
                </c:pt>
                <c:pt idx="881">
                  <c:v>7526.5333333333328</c:v>
                </c:pt>
                <c:pt idx="882">
                  <c:v>7526.5333333333328</c:v>
                </c:pt>
                <c:pt idx="883">
                  <c:v>7718.5333333333328</c:v>
                </c:pt>
                <c:pt idx="884">
                  <c:v>7718.5333333333328</c:v>
                </c:pt>
                <c:pt idx="885">
                  <c:v>7718.5333333333328</c:v>
                </c:pt>
                <c:pt idx="886">
                  <c:v>7718.5333333333328</c:v>
                </c:pt>
                <c:pt idx="887">
                  <c:v>7718.5333333333328</c:v>
                </c:pt>
                <c:pt idx="888">
                  <c:v>7718.5333333333328</c:v>
                </c:pt>
                <c:pt idx="889">
                  <c:v>7718.5333333333328</c:v>
                </c:pt>
                <c:pt idx="890">
                  <c:v>7718.5333333333328</c:v>
                </c:pt>
                <c:pt idx="891">
                  <c:v>7718.5333333333328</c:v>
                </c:pt>
                <c:pt idx="892">
                  <c:v>7718.5333333333328</c:v>
                </c:pt>
                <c:pt idx="893">
                  <c:v>7718.5333333333328</c:v>
                </c:pt>
                <c:pt idx="894">
                  <c:v>7718.5333333333328</c:v>
                </c:pt>
                <c:pt idx="895">
                  <c:v>7718.5333333333328</c:v>
                </c:pt>
                <c:pt idx="896">
                  <c:v>7718.5333333333328</c:v>
                </c:pt>
                <c:pt idx="897">
                  <c:v>7718.5333333333328</c:v>
                </c:pt>
                <c:pt idx="898">
                  <c:v>7718.5333333333328</c:v>
                </c:pt>
                <c:pt idx="899">
                  <c:v>7718.5333333333328</c:v>
                </c:pt>
                <c:pt idx="900">
                  <c:v>7718.5333333333328</c:v>
                </c:pt>
                <c:pt idx="901">
                  <c:v>7718.5333333333328</c:v>
                </c:pt>
                <c:pt idx="902">
                  <c:v>7718.5333333333328</c:v>
                </c:pt>
                <c:pt idx="903">
                  <c:v>7718.5333333333328</c:v>
                </c:pt>
                <c:pt idx="904">
                  <c:v>7718.5333333333328</c:v>
                </c:pt>
                <c:pt idx="905">
                  <c:v>7718.5333333333328</c:v>
                </c:pt>
                <c:pt idx="906">
                  <c:v>7718.5333333333328</c:v>
                </c:pt>
                <c:pt idx="907">
                  <c:v>7718.5333333333328</c:v>
                </c:pt>
                <c:pt idx="908">
                  <c:v>7718.5333333333328</c:v>
                </c:pt>
                <c:pt idx="909">
                  <c:v>7718.5333333333328</c:v>
                </c:pt>
                <c:pt idx="910">
                  <c:v>6806.5333333333328</c:v>
                </c:pt>
                <c:pt idx="911">
                  <c:v>6870.5333333333328</c:v>
                </c:pt>
                <c:pt idx="912">
                  <c:v>6870.5333333333328</c:v>
                </c:pt>
                <c:pt idx="913">
                  <c:v>6870.5333333333328</c:v>
                </c:pt>
                <c:pt idx="914">
                  <c:v>6870.5333333333328</c:v>
                </c:pt>
                <c:pt idx="915">
                  <c:v>6870.5333333333328</c:v>
                </c:pt>
                <c:pt idx="916">
                  <c:v>6870.5333333333328</c:v>
                </c:pt>
                <c:pt idx="917">
                  <c:v>6870.5333333333328</c:v>
                </c:pt>
                <c:pt idx="918">
                  <c:v>6870.5333333333328</c:v>
                </c:pt>
                <c:pt idx="919">
                  <c:v>6870.5333333333328</c:v>
                </c:pt>
                <c:pt idx="920">
                  <c:v>6870.5333333333328</c:v>
                </c:pt>
                <c:pt idx="921">
                  <c:v>6870.5333333333328</c:v>
                </c:pt>
                <c:pt idx="922">
                  <c:v>6870.5333333333328</c:v>
                </c:pt>
                <c:pt idx="923">
                  <c:v>6870.5333333333328</c:v>
                </c:pt>
                <c:pt idx="924">
                  <c:v>6870.5333333333328</c:v>
                </c:pt>
                <c:pt idx="925">
                  <c:v>6870.5333333333328</c:v>
                </c:pt>
                <c:pt idx="926">
                  <c:v>6870.5333333333328</c:v>
                </c:pt>
                <c:pt idx="927">
                  <c:v>5926.5333333333328</c:v>
                </c:pt>
                <c:pt idx="928">
                  <c:v>5926.5333333333328</c:v>
                </c:pt>
                <c:pt idx="929">
                  <c:v>5926.5333333333328</c:v>
                </c:pt>
                <c:pt idx="930">
                  <c:v>5926.5333333333328</c:v>
                </c:pt>
                <c:pt idx="931">
                  <c:v>5926.5333333333328</c:v>
                </c:pt>
                <c:pt idx="932">
                  <c:v>5926.5333333333328</c:v>
                </c:pt>
                <c:pt idx="933">
                  <c:v>5926.5333333333328</c:v>
                </c:pt>
                <c:pt idx="934">
                  <c:v>5926.5333333333328</c:v>
                </c:pt>
                <c:pt idx="935">
                  <c:v>5926.5333333333328</c:v>
                </c:pt>
                <c:pt idx="936">
                  <c:v>5926.5333333333328</c:v>
                </c:pt>
                <c:pt idx="937">
                  <c:v>5926.5333333333328</c:v>
                </c:pt>
                <c:pt idx="938">
                  <c:v>5926.5333333333328</c:v>
                </c:pt>
                <c:pt idx="939">
                  <c:v>5926.5333333333328</c:v>
                </c:pt>
                <c:pt idx="940">
                  <c:v>5926.5333333333328</c:v>
                </c:pt>
                <c:pt idx="941">
                  <c:v>5926.5333333333328</c:v>
                </c:pt>
                <c:pt idx="942">
                  <c:v>5926.5333333333328</c:v>
                </c:pt>
                <c:pt idx="943">
                  <c:v>5926.5333333333328</c:v>
                </c:pt>
                <c:pt idx="944">
                  <c:v>5926.5333333333328</c:v>
                </c:pt>
                <c:pt idx="945">
                  <c:v>5926.5333333333328</c:v>
                </c:pt>
                <c:pt idx="946">
                  <c:v>5926.5333333333328</c:v>
                </c:pt>
                <c:pt idx="947">
                  <c:v>6246.5333333333328</c:v>
                </c:pt>
                <c:pt idx="948">
                  <c:v>6246.5333333333328</c:v>
                </c:pt>
                <c:pt idx="949">
                  <c:v>6166.5333333333328</c:v>
                </c:pt>
                <c:pt idx="950">
                  <c:v>6166.5333333333328</c:v>
                </c:pt>
                <c:pt idx="951">
                  <c:v>6166.5333333333328</c:v>
                </c:pt>
                <c:pt idx="952">
                  <c:v>6166.5333333333328</c:v>
                </c:pt>
                <c:pt idx="953">
                  <c:v>6166.5333333333328</c:v>
                </c:pt>
                <c:pt idx="954">
                  <c:v>6166.5333333333328</c:v>
                </c:pt>
                <c:pt idx="955">
                  <c:v>6166.5333333333328</c:v>
                </c:pt>
                <c:pt idx="956">
                  <c:v>6166.5333333333328</c:v>
                </c:pt>
                <c:pt idx="957">
                  <c:v>6166.5333333333328</c:v>
                </c:pt>
                <c:pt idx="958">
                  <c:v>6166.5333333333328</c:v>
                </c:pt>
                <c:pt idx="959">
                  <c:v>6166.5333333333328</c:v>
                </c:pt>
                <c:pt idx="960">
                  <c:v>6166.5333333333328</c:v>
                </c:pt>
                <c:pt idx="961">
                  <c:v>6166.5333333333328</c:v>
                </c:pt>
                <c:pt idx="962">
                  <c:v>6166.5333333333328</c:v>
                </c:pt>
                <c:pt idx="963">
                  <c:v>6166.5333333333328</c:v>
                </c:pt>
                <c:pt idx="964">
                  <c:v>6166.5333333333328</c:v>
                </c:pt>
                <c:pt idx="965">
                  <c:v>6166.5333333333328</c:v>
                </c:pt>
                <c:pt idx="966">
                  <c:v>6166.5333333333328</c:v>
                </c:pt>
                <c:pt idx="967">
                  <c:v>6166.5333333333328</c:v>
                </c:pt>
                <c:pt idx="968">
                  <c:v>6166.5333333333328</c:v>
                </c:pt>
                <c:pt idx="969">
                  <c:v>6166.5333333333328</c:v>
                </c:pt>
                <c:pt idx="970">
                  <c:v>6166.5333333333328</c:v>
                </c:pt>
                <c:pt idx="971">
                  <c:v>6166.5333333333328</c:v>
                </c:pt>
                <c:pt idx="972">
                  <c:v>6166.5333333333328</c:v>
                </c:pt>
                <c:pt idx="973">
                  <c:v>6166.5333333333328</c:v>
                </c:pt>
                <c:pt idx="974">
                  <c:v>6166.5333333333328</c:v>
                </c:pt>
                <c:pt idx="975">
                  <c:v>6166.5333333333328</c:v>
                </c:pt>
                <c:pt idx="976">
                  <c:v>6166.5333333333328</c:v>
                </c:pt>
                <c:pt idx="977">
                  <c:v>6166.5333333333328</c:v>
                </c:pt>
                <c:pt idx="978">
                  <c:v>6166.5333333333328</c:v>
                </c:pt>
                <c:pt idx="979">
                  <c:v>6166.5333333333328</c:v>
                </c:pt>
                <c:pt idx="980">
                  <c:v>6166.5333333333328</c:v>
                </c:pt>
                <c:pt idx="981">
                  <c:v>6166.5333333333328</c:v>
                </c:pt>
                <c:pt idx="982">
                  <c:v>6166.5333333333328</c:v>
                </c:pt>
                <c:pt idx="983">
                  <c:v>6166.5333333333328</c:v>
                </c:pt>
                <c:pt idx="984">
                  <c:v>6166.5333333333328</c:v>
                </c:pt>
                <c:pt idx="985">
                  <c:v>6166.5333333333328</c:v>
                </c:pt>
                <c:pt idx="986">
                  <c:v>6166.5333333333328</c:v>
                </c:pt>
                <c:pt idx="987">
                  <c:v>6166.5333333333328</c:v>
                </c:pt>
                <c:pt idx="988">
                  <c:v>6166.5333333333328</c:v>
                </c:pt>
                <c:pt idx="989">
                  <c:v>6166.5333333333328</c:v>
                </c:pt>
                <c:pt idx="990">
                  <c:v>6166.5333333333328</c:v>
                </c:pt>
                <c:pt idx="991">
                  <c:v>6166.5333333333328</c:v>
                </c:pt>
                <c:pt idx="992">
                  <c:v>6166.5333333333328</c:v>
                </c:pt>
                <c:pt idx="993">
                  <c:v>6166.5333333333328</c:v>
                </c:pt>
                <c:pt idx="994">
                  <c:v>6166.5333333333328</c:v>
                </c:pt>
                <c:pt idx="995">
                  <c:v>6166.5333333333328</c:v>
                </c:pt>
                <c:pt idx="996">
                  <c:v>6166.5333333333328</c:v>
                </c:pt>
                <c:pt idx="997">
                  <c:v>6166.5333333333328</c:v>
                </c:pt>
                <c:pt idx="998">
                  <c:v>6166.5333333333328</c:v>
                </c:pt>
                <c:pt idx="999">
                  <c:v>6166.5333333333328</c:v>
                </c:pt>
                <c:pt idx="1000">
                  <c:v>6166.5333333333328</c:v>
                </c:pt>
                <c:pt idx="1001">
                  <c:v>6166.5333333333328</c:v>
                </c:pt>
                <c:pt idx="1002">
                  <c:v>6166.5333333333328</c:v>
                </c:pt>
                <c:pt idx="1003">
                  <c:v>6166.5333333333328</c:v>
                </c:pt>
                <c:pt idx="1004">
                  <c:v>6166.5333333333328</c:v>
                </c:pt>
                <c:pt idx="1005">
                  <c:v>6166.5333333333328</c:v>
                </c:pt>
                <c:pt idx="1006">
                  <c:v>6166.5333333333328</c:v>
                </c:pt>
                <c:pt idx="1007">
                  <c:v>6166.5333333333328</c:v>
                </c:pt>
                <c:pt idx="1008">
                  <c:v>6166.5333333333328</c:v>
                </c:pt>
                <c:pt idx="1009">
                  <c:v>6166.5333333333328</c:v>
                </c:pt>
                <c:pt idx="1010">
                  <c:v>6166.5333333333328</c:v>
                </c:pt>
                <c:pt idx="1011">
                  <c:v>6166.5333333333328</c:v>
                </c:pt>
                <c:pt idx="1012">
                  <c:v>6166.5333333333328</c:v>
                </c:pt>
                <c:pt idx="1013">
                  <c:v>6166.5333333333328</c:v>
                </c:pt>
                <c:pt idx="1014">
                  <c:v>6166.5333333333328</c:v>
                </c:pt>
                <c:pt idx="1015">
                  <c:v>6166.5333333333328</c:v>
                </c:pt>
                <c:pt idx="1016">
                  <c:v>6166.5333333333328</c:v>
                </c:pt>
                <c:pt idx="1017">
                  <c:v>6166.5333333333328</c:v>
                </c:pt>
                <c:pt idx="1018">
                  <c:v>6166.5333333333328</c:v>
                </c:pt>
                <c:pt idx="1019">
                  <c:v>6166.5333333333328</c:v>
                </c:pt>
                <c:pt idx="1020">
                  <c:v>6166.5333333333328</c:v>
                </c:pt>
                <c:pt idx="1021">
                  <c:v>6166.5333333333328</c:v>
                </c:pt>
                <c:pt idx="1022">
                  <c:v>6166.5333333333328</c:v>
                </c:pt>
                <c:pt idx="1023">
                  <c:v>6166.5333333333328</c:v>
                </c:pt>
                <c:pt idx="1024">
                  <c:v>6166.5333333333328</c:v>
                </c:pt>
                <c:pt idx="1025">
                  <c:v>6166.5333333333328</c:v>
                </c:pt>
                <c:pt idx="1026">
                  <c:v>6166.5333333333328</c:v>
                </c:pt>
                <c:pt idx="1027">
                  <c:v>6166.5333333333328</c:v>
                </c:pt>
                <c:pt idx="1028">
                  <c:v>6166.5333333333328</c:v>
                </c:pt>
                <c:pt idx="1029">
                  <c:v>6166.5333333333328</c:v>
                </c:pt>
                <c:pt idx="1030">
                  <c:v>6166.5333333333328</c:v>
                </c:pt>
                <c:pt idx="1031">
                  <c:v>6166.5333333333328</c:v>
                </c:pt>
                <c:pt idx="1032">
                  <c:v>6166.5333333333328</c:v>
                </c:pt>
                <c:pt idx="1033">
                  <c:v>6166.5333333333328</c:v>
                </c:pt>
                <c:pt idx="1034">
                  <c:v>6166.5333333333328</c:v>
                </c:pt>
                <c:pt idx="1035">
                  <c:v>6166.5333333333328</c:v>
                </c:pt>
                <c:pt idx="1036">
                  <c:v>6166.5333333333328</c:v>
                </c:pt>
                <c:pt idx="1037">
                  <c:v>6166.5333333333328</c:v>
                </c:pt>
                <c:pt idx="1038">
                  <c:v>6166.5333333333328</c:v>
                </c:pt>
                <c:pt idx="1039">
                  <c:v>6166.5333333333328</c:v>
                </c:pt>
                <c:pt idx="1040">
                  <c:v>6166.5333333333328</c:v>
                </c:pt>
                <c:pt idx="1041">
                  <c:v>6166.5333333333328</c:v>
                </c:pt>
                <c:pt idx="1042">
                  <c:v>6166.5333333333328</c:v>
                </c:pt>
                <c:pt idx="1043">
                  <c:v>6166.5333333333328</c:v>
                </c:pt>
                <c:pt idx="1044">
                  <c:v>6166.5333333333328</c:v>
                </c:pt>
                <c:pt idx="1045">
                  <c:v>6166.5333333333328</c:v>
                </c:pt>
                <c:pt idx="1046">
                  <c:v>6166.5333333333328</c:v>
                </c:pt>
                <c:pt idx="1047">
                  <c:v>6166.5333333333328</c:v>
                </c:pt>
                <c:pt idx="1048">
                  <c:v>6166.5333333333328</c:v>
                </c:pt>
                <c:pt idx="1049">
                  <c:v>6166.5333333333328</c:v>
                </c:pt>
                <c:pt idx="1050">
                  <c:v>6166.5333333333328</c:v>
                </c:pt>
                <c:pt idx="1051">
                  <c:v>6166.5333333333328</c:v>
                </c:pt>
                <c:pt idx="1052">
                  <c:v>6166.5333333333328</c:v>
                </c:pt>
                <c:pt idx="1053">
                  <c:v>6166.5333333333328</c:v>
                </c:pt>
                <c:pt idx="1054">
                  <c:v>6166.5333333333328</c:v>
                </c:pt>
                <c:pt idx="1055">
                  <c:v>6166.5333333333328</c:v>
                </c:pt>
                <c:pt idx="1056">
                  <c:v>6166.5333333333328</c:v>
                </c:pt>
                <c:pt idx="1057">
                  <c:v>6166.5333333333328</c:v>
                </c:pt>
                <c:pt idx="1058">
                  <c:v>6166.5333333333328</c:v>
                </c:pt>
                <c:pt idx="1059">
                  <c:v>6166.5333333333328</c:v>
                </c:pt>
                <c:pt idx="1060">
                  <c:v>6166.5333333333328</c:v>
                </c:pt>
                <c:pt idx="1061">
                  <c:v>6166.5333333333328</c:v>
                </c:pt>
                <c:pt idx="1062">
                  <c:v>6166.5333333333328</c:v>
                </c:pt>
                <c:pt idx="1063">
                  <c:v>6166.5333333333328</c:v>
                </c:pt>
                <c:pt idx="1064">
                  <c:v>6166.5333333333328</c:v>
                </c:pt>
                <c:pt idx="1065">
                  <c:v>6166.5333333333328</c:v>
                </c:pt>
                <c:pt idx="1066">
                  <c:v>6166.5333333333328</c:v>
                </c:pt>
                <c:pt idx="1067">
                  <c:v>6166.5333333333328</c:v>
                </c:pt>
                <c:pt idx="1068">
                  <c:v>6166.5333333333328</c:v>
                </c:pt>
                <c:pt idx="1069">
                  <c:v>6166.5333333333328</c:v>
                </c:pt>
                <c:pt idx="1070">
                  <c:v>6166.5333333333328</c:v>
                </c:pt>
                <c:pt idx="1071">
                  <c:v>6166.5333333333328</c:v>
                </c:pt>
                <c:pt idx="1072">
                  <c:v>6166.5333333333328</c:v>
                </c:pt>
                <c:pt idx="1073">
                  <c:v>6246.5333333333328</c:v>
                </c:pt>
                <c:pt idx="1074">
                  <c:v>6246.5333333333328</c:v>
                </c:pt>
                <c:pt idx="1075">
                  <c:v>6246.5333333333328</c:v>
                </c:pt>
                <c:pt idx="1076">
                  <c:v>6246.5333333333328</c:v>
                </c:pt>
                <c:pt idx="1077">
                  <c:v>6246.5333333333328</c:v>
                </c:pt>
                <c:pt idx="1078">
                  <c:v>6246.5333333333328</c:v>
                </c:pt>
                <c:pt idx="1079">
                  <c:v>6246.5333333333328</c:v>
                </c:pt>
                <c:pt idx="1080">
                  <c:v>6246.5333333333328</c:v>
                </c:pt>
                <c:pt idx="1081">
                  <c:v>6246.5333333333328</c:v>
                </c:pt>
                <c:pt idx="1082">
                  <c:v>6374.5333333333328</c:v>
                </c:pt>
                <c:pt idx="1083">
                  <c:v>6374.5333333333328</c:v>
                </c:pt>
                <c:pt idx="1084">
                  <c:v>6374.5333333333328</c:v>
                </c:pt>
                <c:pt idx="1085">
                  <c:v>6566.5333333333328</c:v>
                </c:pt>
                <c:pt idx="1086">
                  <c:v>6566.5333333333328</c:v>
                </c:pt>
                <c:pt idx="1087">
                  <c:v>6566.5333333333328</c:v>
                </c:pt>
                <c:pt idx="1088">
                  <c:v>6566.5333333333328</c:v>
                </c:pt>
                <c:pt idx="1089">
                  <c:v>6566.5333333333328</c:v>
                </c:pt>
                <c:pt idx="1090">
                  <c:v>6566.5333333333328</c:v>
                </c:pt>
                <c:pt idx="1091">
                  <c:v>6566.5333333333328</c:v>
                </c:pt>
                <c:pt idx="1092">
                  <c:v>6566.5333333333328</c:v>
                </c:pt>
                <c:pt idx="1093">
                  <c:v>6566.5333333333328</c:v>
                </c:pt>
                <c:pt idx="1094">
                  <c:v>6566.5333333333328</c:v>
                </c:pt>
                <c:pt idx="1095">
                  <c:v>6566.5333333333328</c:v>
                </c:pt>
                <c:pt idx="1096">
                  <c:v>6566.5333333333328</c:v>
                </c:pt>
                <c:pt idx="1097">
                  <c:v>6886.5333333333328</c:v>
                </c:pt>
                <c:pt idx="1098">
                  <c:v>6886.5333333333328</c:v>
                </c:pt>
                <c:pt idx="1099">
                  <c:v>6886.5333333333328</c:v>
                </c:pt>
                <c:pt idx="1100">
                  <c:v>6886.5333333333328</c:v>
                </c:pt>
                <c:pt idx="1101">
                  <c:v>6886.5333333333328</c:v>
                </c:pt>
                <c:pt idx="1102">
                  <c:v>6886.5333333333328</c:v>
                </c:pt>
                <c:pt idx="1103">
                  <c:v>6886.5333333333328</c:v>
                </c:pt>
                <c:pt idx="1104">
                  <c:v>7654.5333333333328</c:v>
                </c:pt>
                <c:pt idx="1105">
                  <c:v>7654.5333333333328</c:v>
                </c:pt>
                <c:pt idx="1106">
                  <c:v>7654.5333333333328</c:v>
                </c:pt>
                <c:pt idx="1107">
                  <c:v>7654.5333333333328</c:v>
                </c:pt>
                <c:pt idx="1108">
                  <c:v>7654.5333333333328</c:v>
                </c:pt>
                <c:pt idx="1109">
                  <c:v>7718.5333333333328</c:v>
                </c:pt>
                <c:pt idx="1110">
                  <c:v>7718.5333333333328</c:v>
                </c:pt>
                <c:pt idx="1111">
                  <c:v>7718.5333333333328</c:v>
                </c:pt>
                <c:pt idx="1112">
                  <c:v>7718.5333333333328</c:v>
                </c:pt>
                <c:pt idx="1113">
                  <c:v>7718.5333333333328</c:v>
                </c:pt>
                <c:pt idx="1114">
                  <c:v>7718.5333333333328</c:v>
                </c:pt>
                <c:pt idx="1115">
                  <c:v>7718.5333333333328</c:v>
                </c:pt>
                <c:pt idx="1116">
                  <c:v>7718.5333333333328</c:v>
                </c:pt>
                <c:pt idx="1117">
                  <c:v>8630.5333333333328</c:v>
                </c:pt>
                <c:pt idx="1118">
                  <c:v>8886.5333333333328</c:v>
                </c:pt>
                <c:pt idx="1119">
                  <c:v>8886.5333333333328</c:v>
                </c:pt>
                <c:pt idx="1120">
                  <c:v>8886.5333333333328</c:v>
                </c:pt>
                <c:pt idx="1121">
                  <c:v>8886.5333333333328</c:v>
                </c:pt>
                <c:pt idx="1122">
                  <c:v>8886.5333333333328</c:v>
                </c:pt>
                <c:pt idx="1123">
                  <c:v>8886.5333333333328</c:v>
                </c:pt>
                <c:pt idx="1124">
                  <c:v>8886.5333333333328</c:v>
                </c:pt>
                <c:pt idx="1125">
                  <c:v>8886.5333333333328</c:v>
                </c:pt>
                <c:pt idx="1126">
                  <c:v>8886.5333333333328</c:v>
                </c:pt>
                <c:pt idx="1127">
                  <c:v>8886.5333333333328</c:v>
                </c:pt>
                <c:pt idx="1128">
                  <c:v>8886.5333333333328</c:v>
                </c:pt>
                <c:pt idx="1129">
                  <c:v>9931.8666666666668</c:v>
                </c:pt>
                <c:pt idx="1130">
                  <c:v>9931.8666666666668</c:v>
                </c:pt>
                <c:pt idx="1131">
                  <c:v>10853.466666666667</c:v>
                </c:pt>
                <c:pt idx="1132">
                  <c:v>10853.466666666667</c:v>
                </c:pt>
                <c:pt idx="1133">
                  <c:v>10853.466666666667</c:v>
                </c:pt>
                <c:pt idx="1134">
                  <c:v>10853.466666666667</c:v>
                </c:pt>
                <c:pt idx="1135">
                  <c:v>10853.466666666667</c:v>
                </c:pt>
                <c:pt idx="1136">
                  <c:v>10853.466666666667</c:v>
                </c:pt>
                <c:pt idx="1137">
                  <c:v>10853.466666666667</c:v>
                </c:pt>
                <c:pt idx="1138">
                  <c:v>10853.466666666667</c:v>
                </c:pt>
                <c:pt idx="1139">
                  <c:v>10853.466666666667</c:v>
                </c:pt>
                <c:pt idx="1140">
                  <c:v>10853.466666666667</c:v>
                </c:pt>
                <c:pt idx="1141">
                  <c:v>10853.466666666667</c:v>
                </c:pt>
                <c:pt idx="1142">
                  <c:v>10853.466666666667</c:v>
                </c:pt>
                <c:pt idx="1143">
                  <c:v>10853.466666666667</c:v>
                </c:pt>
                <c:pt idx="1144">
                  <c:v>10853.466666666667</c:v>
                </c:pt>
                <c:pt idx="1145">
                  <c:v>10853.466666666667</c:v>
                </c:pt>
                <c:pt idx="1146">
                  <c:v>10853.466666666667</c:v>
                </c:pt>
                <c:pt idx="1147">
                  <c:v>10853.466666666667</c:v>
                </c:pt>
                <c:pt idx="1148">
                  <c:v>10853.466666666667</c:v>
                </c:pt>
                <c:pt idx="1149">
                  <c:v>10853.466666666667</c:v>
                </c:pt>
                <c:pt idx="1150">
                  <c:v>10853.466666666667</c:v>
                </c:pt>
                <c:pt idx="1151">
                  <c:v>10853.466666666667</c:v>
                </c:pt>
                <c:pt idx="1152">
                  <c:v>10853.466666666667</c:v>
                </c:pt>
                <c:pt idx="1153">
                  <c:v>10853.466666666667</c:v>
                </c:pt>
                <c:pt idx="1154">
                  <c:v>11157.466666666667</c:v>
                </c:pt>
                <c:pt idx="1155">
                  <c:v>11224.666666666668</c:v>
                </c:pt>
                <c:pt idx="1156">
                  <c:v>11224.666666666668</c:v>
                </c:pt>
                <c:pt idx="1157">
                  <c:v>11224.666666666668</c:v>
                </c:pt>
                <c:pt idx="1158">
                  <c:v>11224.666666666668</c:v>
                </c:pt>
                <c:pt idx="1159">
                  <c:v>11416.666666666668</c:v>
                </c:pt>
                <c:pt idx="1160">
                  <c:v>11416.666666666668</c:v>
                </c:pt>
                <c:pt idx="1161">
                  <c:v>11416.666666666668</c:v>
                </c:pt>
                <c:pt idx="1162">
                  <c:v>11416.666666666668</c:v>
                </c:pt>
                <c:pt idx="1163">
                  <c:v>11416.666666666668</c:v>
                </c:pt>
                <c:pt idx="1164">
                  <c:v>11416.666666666668</c:v>
                </c:pt>
                <c:pt idx="1165">
                  <c:v>11416.666666666668</c:v>
                </c:pt>
                <c:pt idx="1166">
                  <c:v>11416.666666666668</c:v>
                </c:pt>
                <c:pt idx="1167">
                  <c:v>11416.666666666668</c:v>
                </c:pt>
                <c:pt idx="1168">
                  <c:v>11416.666666666668</c:v>
                </c:pt>
                <c:pt idx="1169">
                  <c:v>11416.666666666668</c:v>
                </c:pt>
                <c:pt idx="1170">
                  <c:v>11416.666666666668</c:v>
                </c:pt>
                <c:pt idx="1171">
                  <c:v>11416.666666666668</c:v>
                </c:pt>
                <c:pt idx="1172">
                  <c:v>11416.666666666668</c:v>
                </c:pt>
                <c:pt idx="1173">
                  <c:v>11416.666666666668</c:v>
                </c:pt>
                <c:pt idx="1174">
                  <c:v>11416.666666666668</c:v>
                </c:pt>
                <c:pt idx="1175">
                  <c:v>11416.666666666668</c:v>
                </c:pt>
                <c:pt idx="1176">
                  <c:v>11416.666666666668</c:v>
                </c:pt>
                <c:pt idx="1177">
                  <c:v>11416.666666666668</c:v>
                </c:pt>
                <c:pt idx="1178">
                  <c:v>11416.666666666668</c:v>
                </c:pt>
                <c:pt idx="1179">
                  <c:v>11416.666666666668</c:v>
                </c:pt>
                <c:pt idx="1180">
                  <c:v>11416.666666666668</c:v>
                </c:pt>
                <c:pt idx="1181">
                  <c:v>11416.666666666668</c:v>
                </c:pt>
                <c:pt idx="1182">
                  <c:v>11416.666666666668</c:v>
                </c:pt>
                <c:pt idx="1183">
                  <c:v>11416.666666666668</c:v>
                </c:pt>
                <c:pt idx="1184">
                  <c:v>11416.666666666668</c:v>
                </c:pt>
                <c:pt idx="1185">
                  <c:v>11416.666666666668</c:v>
                </c:pt>
                <c:pt idx="1186">
                  <c:v>11416.666666666668</c:v>
                </c:pt>
                <c:pt idx="1187">
                  <c:v>11416.666666666668</c:v>
                </c:pt>
                <c:pt idx="1188">
                  <c:v>11416.666666666668</c:v>
                </c:pt>
                <c:pt idx="1189">
                  <c:v>11416.666666666668</c:v>
                </c:pt>
                <c:pt idx="1190">
                  <c:v>11416.666666666668</c:v>
                </c:pt>
                <c:pt idx="1191">
                  <c:v>11416.666666666668</c:v>
                </c:pt>
                <c:pt idx="1192">
                  <c:v>11416.666666666668</c:v>
                </c:pt>
                <c:pt idx="1193">
                  <c:v>11416.666666666668</c:v>
                </c:pt>
                <c:pt idx="1194">
                  <c:v>11416.666666666668</c:v>
                </c:pt>
                <c:pt idx="1195">
                  <c:v>11416.666666666668</c:v>
                </c:pt>
                <c:pt idx="1196">
                  <c:v>11416.666666666668</c:v>
                </c:pt>
                <c:pt idx="1197">
                  <c:v>11416.666666666668</c:v>
                </c:pt>
                <c:pt idx="1198">
                  <c:v>11416.666666666668</c:v>
                </c:pt>
                <c:pt idx="1199">
                  <c:v>11416.666666666668</c:v>
                </c:pt>
                <c:pt idx="1200">
                  <c:v>11416.666666666668</c:v>
                </c:pt>
                <c:pt idx="1201">
                  <c:v>11416.666666666668</c:v>
                </c:pt>
                <c:pt idx="1202">
                  <c:v>11416.666666666668</c:v>
                </c:pt>
                <c:pt idx="1203">
                  <c:v>11416.666666666668</c:v>
                </c:pt>
                <c:pt idx="1204">
                  <c:v>11416.666666666668</c:v>
                </c:pt>
                <c:pt idx="1205">
                  <c:v>11416.666666666668</c:v>
                </c:pt>
                <c:pt idx="1206">
                  <c:v>12976.666666666668</c:v>
                </c:pt>
                <c:pt idx="1207">
                  <c:v>13736.666666666668</c:v>
                </c:pt>
                <c:pt idx="1208">
                  <c:v>13736.666666666668</c:v>
                </c:pt>
                <c:pt idx="1209">
                  <c:v>14440.666666666668</c:v>
                </c:pt>
                <c:pt idx="1210">
                  <c:v>14440.666666666668</c:v>
                </c:pt>
                <c:pt idx="1211">
                  <c:v>14440.666666666668</c:v>
                </c:pt>
                <c:pt idx="1212">
                  <c:v>14440.666666666668</c:v>
                </c:pt>
                <c:pt idx="1213">
                  <c:v>14440.666666666668</c:v>
                </c:pt>
                <c:pt idx="1214">
                  <c:v>14440.666666666668</c:v>
                </c:pt>
                <c:pt idx="1215">
                  <c:v>14440.666666666668</c:v>
                </c:pt>
                <c:pt idx="1216">
                  <c:v>14440.666666666668</c:v>
                </c:pt>
                <c:pt idx="1217">
                  <c:v>14440.666666666668</c:v>
                </c:pt>
                <c:pt idx="1218">
                  <c:v>14440.666666666668</c:v>
                </c:pt>
                <c:pt idx="1219">
                  <c:v>14440.666666666668</c:v>
                </c:pt>
                <c:pt idx="1220">
                  <c:v>14440.666666666668</c:v>
                </c:pt>
                <c:pt idx="1221">
                  <c:v>14440.666666666668</c:v>
                </c:pt>
                <c:pt idx="1222">
                  <c:v>14440.666666666668</c:v>
                </c:pt>
                <c:pt idx="1223">
                  <c:v>14440.666666666668</c:v>
                </c:pt>
                <c:pt idx="1224">
                  <c:v>14440.666666666668</c:v>
                </c:pt>
                <c:pt idx="1225">
                  <c:v>14440.666666666668</c:v>
                </c:pt>
                <c:pt idx="1226">
                  <c:v>14440.666666666668</c:v>
                </c:pt>
                <c:pt idx="1227">
                  <c:v>14440.666666666668</c:v>
                </c:pt>
                <c:pt idx="1228">
                  <c:v>14440.666666666668</c:v>
                </c:pt>
                <c:pt idx="1229">
                  <c:v>14440.666666666668</c:v>
                </c:pt>
                <c:pt idx="1230">
                  <c:v>14440.666666666668</c:v>
                </c:pt>
                <c:pt idx="1231">
                  <c:v>14440.666666666668</c:v>
                </c:pt>
                <c:pt idx="1232">
                  <c:v>14440.666666666668</c:v>
                </c:pt>
                <c:pt idx="1233">
                  <c:v>14440.666666666668</c:v>
                </c:pt>
                <c:pt idx="1234">
                  <c:v>14440.666666666668</c:v>
                </c:pt>
                <c:pt idx="1235">
                  <c:v>14440.666666666668</c:v>
                </c:pt>
                <c:pt idx="1236">
                  <c:v>14440.666666666668</c:v>
                </c:pt>
                <c:pt idx="1237">
                  <c:v>14440.666666666668</c:v>
                </c:pt>
                <c:pt idx="1238">
                  <c:v>14440.666666666668</c:v>
                </c:pt>
                <c:pt idx="1239">
                  <c:v>14440.666666666668</c:v>
                </c:pt>
                <c:pt idx="1240">
                  <c:v>14440.666666666668</c:v>
                </c:pt>
                <c:pt idx="1241">
                  <c:v>14440.666666666668</c:v>
                </c:pt>
                <c:pt idx="1242">
                  <c:v>14440.666666666668</c:v>
                </c:pt>
                <c:pt idx="1243">
                  <c:v>14440.666666666668</c:v>
                </c:pt>
                <c:pt idx="1244">
                  <c:v>14440.666666666668</c:v>
                </c:pt>
                <c:pt idx="1245">
                  <c:v>14440.666666666668</c:v>
                </c:pt>
                <c:pt idx="1246">
                  <c:v>14440.666666666668</c:v>
                </c:pt>
                <c:pt idx="1247">
                  <c:v>14440.666666666668</c:v>
                </c:pt>
                <c:pt idx="1248">
                  <c:v>14440.666666666668</c:v>
                </c:pt>
                <c:pt idx="1249">
                  <c:v>14440.666666666668</c:v>
                </c:pt>
                <c:pt idx="1250">
                  <c:v>14440.666666666668</c:v>
                </c:pt>
              </c:numCache>
            </c:numRef>
          </c:val>
          <c:smooth val="0"/>
          <c:extLst>
            <c:ext xmlns:c16="http://schemas.microsoft.com/office/drawing/2014/chart" uri="{C3380CC4-5D6E-409C-BE32-E72D297353CC}">
              <c16:uniqueId val="{00000000-6BEE-4B9F-8ABE-1AA606EF128A}"/>
            </c:ext>
          </c:extLst>
        </c:ser>
        <c:ser>
          <c:idx val="1"/>
          <c:order val="1"/>
          <c:tx>
            <c:v>S</c:v>
          </c:tx>
          <c:spPr>
            <a:ln w="28575" cap="rnd">
              <a:solidFill>
                <a:schemeClr val="accent2"/>
              </a:solidFill>
              <a:round/>
            </a:ln>
            <a:effectLst/>
          </c:spPr>
          <c:marker>
            <c:symbol val="none"/>
          </c:marker>
          <c:val>
            <c:numRef>
              <c:f>'Journal Live'!$BJ$134:$BJ$1384</c:f>
              <c:numCache>
                <c:formatCode>General</c:formatCode>
                <c:ptCount val="1251"/>
                <c:pt idx="0">
                  <c:v>0</c:v>
                </c:pt>
                <c:pt idx="1">
                  <c:v>16.300000000000015</c:v>
                </c:pt>
                <c:pt idx="2">
                  <c:v>32.60000000000003</c:v>
                </c:pt>
                <c:pt idx="3">
                  <c:v>114.10000000000002</c:v>
                </c:pt>
                <c:pt idx="4">
                  <c:v>130.40000000000003</c:v>
                </c:pt>
                <c:pt idx="5">
                  <c:v>196.8</c:v>
                </c:pt>
                <c:pt idx="6">
                  <c:v>196.8</c:v>
                </c:pt>
                <c:pt idx="7">
                  <c:v>229.2</c:v>
                </c:pt>
                <c:pt idx="8">
                  <c:v>262.39999999999998</c:v>
                </c:pt>
                <c:pt idx="9">
                  <c:v>429.6</c:v>
                </c:pt>
                <c:pt idx="10">
                  <c:v>479.40000000000003</c:v>
                </c:pt>
                <c:pt idx="11">
                  <c:v>479.40000000000003</c:v>
                </c:pt>
                <c:pt idx="12">
                  <c:v>479.40000000000003</c:v>
                </c:pt>
                <c:pt idx="13">
                  <c:v>479.40000000000003</c:v>
                </c:pt>
                <c:pt idx="14">
                  <c:v>663.1</c:v>
                </c:pt>
                <c:pt idx="15">
                  <c:v>581.6</c:v>
                </c:pt>
                <c:pt idx="16">
                  <c:v>581.6</c:v>
                </c:pt>
                <c:pt idx="17">
                  <c:v>597.9</c:v>
                </c:pt>
                <c:pt idx="18">
                  <c:v>681.4</c:v>
                </c:pt>
                <c:pt idx="19">
                  <c:v>632.49999999999989</c:v>
                </c:pt>
                <c:pt idx="20">
                  <c:v>649.09999999999991</c:v>
                </c:pt>
                <c:pt idx="21">
                  <c:v>649.09999999999991</c:v>
                </c:pt>
                <c:pt idx="22">
                  <c:v>649.09999999999991</c:v>
                </c:pt>
                <c:pt idx="23">
                  <c:v>649.09999999999991</c:v>
                </c:pt>
                <c:pt idx="24">
                  <c:v>649.09999999999991</c:v>
                </c:pt>
                <c:pt idx="25">
                  <c:v>682.3</c:v>
                </c:pt>
                <c:pt idx="26">
                  <c:v>682.3</c:v>
                </c:pt>
                <c:pt idx="27">
                  <c:v>715.5</c:v>
                </c:pt>
                <c:pt idx="28">
                  <c:v>815.7</c:v>
                </c:pt>
                <c:pt idx="29">
                  <c:v>815.7</c:v>
                </c:pt>
                <c:pt idx="30">
                  <c:v>815.7</c:v>
                </c:pt>
                <c:pt idx="31">
                  <c:v>815.7</c:v>
                </c:pt>
                <c:pt idx="32">
                  <c:v>815.7</c:v>
                </c:pt>
                <c:pt idx="33">
                  <c:v>865.80000000000007</c:v>
                </c:pt>
                <c:pt idx="34">
                  <c:v>882.50000000000011</c:v>
                </c:pt>
                <c:pt idx="35">
                  <c:v>882.50000000000011</c:v>
                </c:pt>
                <c:pt idx="36">
                  <c:v>882.50000000000011</c:v>
                </c:pt>
                <c:pt idx="37">
                  <c:v>949.30000000000007</c:v>
                </c:pt>
                <c:pt idx="38">
                  <c:v>982.7</c:v>
                </c:pt>
                <c:pt idx="39">
                  <c:v>982.7</c:v>
                </c:pt>
                <c:pt idx="40">
                  <c:v>982.7</c:v>
                </c:pt>
                <c:pt idx="41">
                  <c:v>982.7</c:v>
                </c:pt>
                <c:pt idx="42">
                  <c:v>982.7</c:v>
                </c:pt>
                <c:pt idx="43">
                  <c:v>982.7</c:v>
                </c:pt>
                <c:pt idx="44">
                  <c:v>982.7</c:v>
                </c:pt>
                <c:pt idx="45">
                  <c:v>982.7</c:v>
                </c:pt>
                <c:pt idx="46">
                  <c:v>982.7</c:v>
                </c:pt>
                <c:pt idx="47">
                  <c:v>982.7</c:v>
                </c:pt>
                <c:pt idx="48">
                  <c:v>1049.5</c:v>
                </c:pt>
                <c:pt idx="49">
                  <c:v>1099.6000000000001</c:v>
                </c:pt>
                <c:pt idx="50">
                  <c:v>1099.6000000000001</c:v>
                </c:pt>
                <c:pt idx="51">
                  <c:v>1099.6000000000001</c:v>
                </c:pt>
                <c:pt idx="52">
                  <c:v>1183.1000000000001</c:v>
                </c:pt>
                <c:pt idx="53">
                  <c:v>1183.1000000000001</c:v>
                </c:pt>
                <c:pt idx="54">
                  <c:v>1183.1000000000001</c:v>
                </c:pt>
                <c:pt idx="55">
                  <c:v>1183.1000000000001</c:v>
                </c:pt>
                <c:pt idx="56">
                  <c:v>1183.1000000000001</c:v>
                </c:pt>
                <c:pt idx="57">
                  <c:v>1183.1000000000001</c:v>
                </c:pt>
                <c:pt idx="58">
                  <c:v>1199.8000000000002</c:v>
                </c:pt>
                <c:pt idx="59">
                  <c:v>1283.3000000000002</c:v>
                </c:pt>
                <c:pt idx="60">
                  <c:v>1383.5000000000002</c:v>
                </c:pt>
                <c:pt idx="61">
                  <c:v>1366.8000000000002</c:v>
                </c:pt>
                <c:pt idx="62">
                  <c:v>1416.9</c:v>
                </c:pt>
                <c:pt idx="63">
                  <c:v>1416.9</c:v>
                </c:pt>
                <c:pt idx="64">
                  <c:v>1416.9</c:v>
                </c:pt>
                <c:pt idx="65">
                  <c:v>1416.9</c:v>
                </c:pt>
                <c:pt idx="66">
                  <c:v>1450.3000000000002</c:v>
                </c:pt>
                <c:pt idx="67">
                  <c:v>1500.4</c:v>
                </c:pt>
                <c:pt idx="68">
                  <c:v>1517.1000000000001</c:v>
                </c:pt>
                <c:pt idx="69">
                  <c:v>1650.7</c:v>
                </c:pt>
                <c:pt idx="70">
                  <c:v>1750.9</c:v>
                </c:pt>
                <c:pt idx="71">
                  <c:v>1801</c:v>
                </c:pt>
                <c:pt idx="72">
                  <c:v>1801</c:v>
                </c:pt>
                <c:pt idx="73">
                  <c:v>1801</c:v>
                </c:pt>
                <c:pt idx="74">
                  <c:v>1801</c:v>
                </c:pt>
                <c:pt idx="75">
                  <c:v>1801</c:v>
                </c:pt>
                <c:pt idx="76">
                  <c:v>1801</c:v>
                </c:pt>
                <c:pt idx="77">
                  <c:v>1801</c:v>
                </c:pt>
                <c:pt idx="78">
                  <c:v>1801</c:v>
                </c:pt>
                <c:pt idx="79">
                  <c:v>1801</c:v>
                </c:pt>
                <c:pt idx="80">
                  <c:v>1937</c:v>
                </c:pt>
                <c:pt idx="81">
                  <c:v>1971</c:v>
                </c:pt>
                <c:pt idx="82">
                  <c:v>1971</c:v>
                </c:pt>
                <c:pt idx="83">
                  <c:v>1971</c:v>
                </c:pt>
                <c:pt idx="84">
                  <c:v>2005</c:v>
                </c:pt>
                <c:pt idx="85">
                  <c:v>2140.1999999999998</c:v>
                </c:pt>
                <c:pt idx="86">
                  <c:v>2140.1999999999998</c:v>
                </c:pt>
                <c:pt idx="87">
                  <c:v>2140.1999999999998</c:v>
                </c:pt>
                <c:pt idx="88">
                  <c:v>2140.1999999999998</c:v>
                </c:pt>
                <c:pt idx="89">
                  <c:v>2140.1999999999998</c:v>
                </c:pt>
                <c:pt idx="90">
                  <c:v>2140.1999999999998</c:v>
                </c:pt>
                <c:pt idx="91">
                  <c:v>2140.1999999999998</c:v>
                </c:pt>
                <c:pt idx="92">
                  <c:v>2242.7999999999997</c:v>
                </c:pt>
                <c:pt idx="93">
                  <c:v>2242.7999999999997</c:v>
                </c:pt>
                <c:pt idx="94">
                  <c:v>2242.7999999999997</c:v>
                </c:pt>
                <c:pt idx="95">
                  <c:v>2242.7999999999997</c:v>
                </c:pt>
                <c:pt idx="96">
                  <c:v>2089.7999999999997</c:v>
                </c:pt>
                <c:pt idx="97">
                  <c:v>2174.7999999999997</c:v>
                </c:pt>
                <c:pt idx="98">
                  <c:v>2072.7999999999997</c:v>
                </c:pt>
                <c:pt idx="99">
                  <c:v>2072.7999999999997</c:v>
                </c:pt>
                <c:pt idx="100">
                  <c:v>2157.7999999999997</c:v>
                </c:pt>
                <c:pt idx="101">
                  <c:v>2157.7999999999997</c:v>
                </c:pt>
                <c:pt idx="102">
                  <c:v>2157.7999999999997</c:v>
                </c:pt>
                <c:pt idx="103">
                  <c:v>2157.7999999999997</c:v>
                </c:pt>
                <c:pt idx="104">
                  <c:v>2157.7999999999997</c:v>
                </c:pt>
                <c:pt idx="105">
                  <c:v>2157.7999999999997</c:v>
                </c:pt>
                <c:pt idx="106">
                  <c:v>2157.7999999999997</c:v>
                </c:pt>
                <c:pt idx="107">
                  <c:v>2157.7999999999997</c:v>
                </c:pt>
                <c:pt idx="108">
                  <c:v>2157.7999999999997</c:v>
                </c:pt>
                <c:pt idx="109">
                  <c:v>2224.1999999999998</c:v>
                </c:pt>
                <c:pt idx="110">
                  <c:v>2224.1999999999998</c:v>
                </c:pt>
                <c:pt idx="111">
                  <c:v>2224.1999999999998</c:v>
                </c:pt>
                <c:pt idx="112">
                  <c:v>2224.1999999999998</c:v>
                </c:pt>
                <c:pt idx="113">
                  <c:v>2507.25</c:v>
                </c:pt>
                <c:pt idx="114">
                  <c:v>2507.25</c:v>
                </c:pt>
                <c:pt idx="115">
                  <c:v>2507.25</c:v>
                </c:pt>
                <c:pt idx="116">
                  <c:v>2457.4499999999998</c:v>
                </c:pt>
                <c:pt idx="117">
                  <c:v>2374.4499999999998</c:v>
                </c:pt>
                <c:pt idx="118">
                  <c:v>2374.4499999999998</c:v>
                </c:pt>
                <c:pt idx="119">
                  <c:v>2257.5500000000002</c:v>
                </c:pt>
                <c:pt idx="120">
                  <c:v>2290.75</c:v>
                </c:pt>
                <c:pt idx="121">
                  <c:v>2307.35</c:v>
                </c:pt>
                <c:pt idx="122">
                  <c:v>2323.9499999999998</c:v>
                </c:pt>
                <c:pt idx="123">
                  <c:v>2323.9499999999998</c:v>
                </c:pt>
                <c:pt idx="124">
                  <c:v>2323.9499999999998</c:v>
                </c:pt>
                <c:pt idx="125">
                  <c:v>2257.5499999999997</c:v>
                </c:pt>
                <c:pt idx="126">
                  <c:v>2257.5499999999997</c:v>
                </c:pt>
                <c:pt idx="127">
                  <c:v>2307.35</c:v>
                </c:pt>
                <c:pt idx="128">
                  <c:v>2307.35</c:v>
                </c:pt>
                <c:pt idx="129">
                  <c:v>2307.35</c:v>
                </c:pt>
                <c:pt idx="130">
                  <c:v>2008.55</c:v>
                </c:pt>
                <c:pt idx="131">
                  <c:v>1809.35</c:v>
                </c:pt>
                <c:pt idx="132">
                  <c:v>1892.35</c:v>
                </c:pt>
                <c:pt idx="133">
                  <c:v>1892.35</c:v>
                </c:pt>
                <c:pt idx="134">
                  <c:v>1892.35</c:v>
                </c:pt>
                <c:pt idx="135">
                  <c:v>1892.35</c:v>
                </c:pt>
                <c:pt idx="136">
                  <c:v>1892.35</c:v>
                </c:pt>
                <c:pt idx="137">
                  <c:v>1942.1499999999999</c:v>
                </c:pt>
                <c:pt idx="138">
                  <c:v>1942.1499999999999</c:v>
                </c:pt>
                <c:pt idx="139">
                  <c:v>1942.1499999999999</c:v>
                </c:pt>
                <c:pt idx="140">
                  <c:v>1942.1499999999999</c:v>
                </c:pt>
                <c:pt idx="141">
                  <c:v>1991.9499999999998</c:v>
                </c:pt>
                <c:pt idx="142">
                  <c:v>2091.5499999999997</c:v>
                </c:pt>
                <c:pt idx="143">
                  <c:v>2091.5499999999997</c:v>
                </c:pt>
                <c:pt idx="144">
                  <c:v>2091.5499999999997</c:v>
                </c:pt>
                <c:pt idx="145">
                  <c:v>2091.5499999999997</c:v>
                </c:pt>
                <c:pt idx="146">
                  <c:v>2091.5499999999997</c:v>
                </c:pt>
                <c:pt idx="147">
                  <c:v>2091.5499999999997</c:v>
                </c:pt>
                <c:pt idx="148">
                  <c:v>2091.5499999999997</c:v>
                </c:pt>
                <c:pt idx="149">
                  <c:v>2141.35</c:v>
                </c:pt>
                <c:pt idx="150">
                  <c:v>2141.35</c:v>
                </c:pt>
                <c:pt idx="151">
                  <c:v>2157.85</c:v>
                </c:pt>
                <c:pt idx="152">
                  <c:v>2190.85</c:v>
                </c:pt>
                <c:pt idx="153">
                  <c:v>2190.85</c:v>
                </c:pt>
                <c:pt idx="154">
                  <c:v>2239.15</c:v>
                </c:pt>
                <c:pt idx="155">
                  <c:v>2321.15</c:v>
                </c:pt>
                <c:pt idx="156">
                  <c:v>2403.65</c:v>
                </c:pt>
                <c:pt idx="157">
                  <c:v>2403.65</c:v>
                </c:pt>
                <c:pt idx="158">
                  <c:v>2469.25</c:v>
                </c:pt>
                <c:pt idx="159">
                  <c:v>2469.25</c:v>
                </c:pt>
                <c:pt idx="160">
                  <c:v>2469.25</c:v>
                </c:pt>
                <c:pt idx="161">
                  <c:v>2469.25</c:v>
                </c:pt>
                <c:pt idx="162">
                  <c:v>2469.25</c:v>
                </c:pt>
                <c:pt idx="163">
                  <c:v>2534.85</c:v>
                </c:pt>
                <c:pt idx="164">
                  <c:v>2551.25</c:v>
                </c:pt>
                <c:pt idx="165">
                  <c:v>2551.25</c:v>
                </c:pt>
                <c:pt idx="166">
                  <c:v>2551.25</c:v>
                </c:pt>
                <c:pt idx="167">
                  <c:v>2551.25</c:v>
                </c:pt>
                <c:pt idx="168">
                  <c:v>2551.25</c:v>
                </c:pt>
                <c:pt idx="169">
                  <c:v>2551.25</c:v>
                </c:pt>
                <c:pt idx="170">
                  <c:v>2551.25</c:v>
                </c:pt>
                <c:pt idx="171">
                  <c:v>2551.25</c:v>
                </c:pt>
                <c:pt idx="172">
                  <c:v>2551.25</c:v>
                </c:pt>
                <c:pt idx="173">
                  <c:v>2324.4499999999998</c:v>
                </c:pt>
                <c:pt idx="174">
                  <c:v>2324.4499999999998</c:v>
                </c:pt>
                <c:pt idx="175">
                  <c:v>2324.4499999999998</c:v>
                </c:pt>
                <c:pt idx="176">
                  <c:v>2324.4499999999998</c:v>
                </c:pt>
                <c:pt idx="177">
                  <c:v>2324.4499999999998</c:v>
                </c:pt>
                <c:pt idx="178">
                  <c:v>2324.4499999999998</c:v>
                </c:pt>
                <c:pt idx="179">
                  <c:v>2324.4499999999998</c:v>
                </c:pt>
                <c:pt idx="180">
                  <c:v>2324.4499999999998</c:v>
                </c:pt>
                <c:pt idx="181">
                  <c:v>1873.6499999999996</c:v>
                </c:pt>
                <c:pt idx="182">
                  <c:v>1873.6499999999996</c:v>
                </c:pt>
                <c:pt idx="183">
                  <c:v>1422.8499999999995</c:v>
                </c:pt>
                <c:pt idx="184">
                  <c:v>1422.8499999999995</c:v>
                </c:pt>
                <c:pt idx="185">
                  <c:v>1422.8499999999995</c:v>
                </c:pt>
                <c:pt idx="186">
                  <c:v>1438.9499999999994</c:v>
                </c:pt>
                <c:pt idx="187">
                  <c:v>1455.0499999999993</c:v>
                </c:pt>
                <c:pt idx="188">
                  <c:v>1616.0499999999993</c:v>
                </c:pt>
                <c:pt idx="189">
                  <c:v>1664.3499999999992</c:v>
                </c:pt>
                <c:pt idx="190">
                  <c:v>1664.3499999999992</c:v>
                </c:pt>
                <c:pt idx="191">
                  <c:v>1745.3499999999992</c:v>
                </c:pt>
                <c:pt idx="192">
                  <c:v>1745.3499999999992</c:v>
                </c:pt>
                <c:pt idx="193">
                  <c:v>1745.3499999999992</c:v>
                </c:pt>
                <c:pt idx="194">
                  <c:v>1745.3499999999992</c:v>
                </c:pt>
                <c:pt idx="195">
                  <c:v>1745.3499999999992</c:v>
                </c:pt>
                <c:pt idx="196">
                  <c:v>1745.3499999999992</c:v>
                </c:pt>
                <c:pt idx="197">
                  <c:v>1745.3499999999992</c:v>
                </c:pt>
                <c:pt idx="198">
                  <c:v>1745.3499999999992</c:v>
                </c:pt>
                <c:pt idx="199">
                  <c:v>1745.3499999999992</c:v>
                </c:pt>
                <c:pt idx="200">
                  <c:v>1745.3499999999992</c:v>
                </c:pt>
                <c:pt idx="201">
                  <c:v>1871.7499999999991</c:v>
                </c:pt>
                <c:pt idx="202">
                  <c:v>1998.149999999999</c:v>
                </c:pt>
                <c:pt idx="203">
                  <c:v>1998.149999999999</c:v>
                </c:pt>
                <c:pt idx="204">
                  <c:v>1998.149999999999</c:v>
                </c:pt>
                <c:pt idx="205">
                  <c:v>1998.149999999999</c:v>
                </c:pt>
                <c:pt idx="206">
                  <c:v>1998.149999999999</c:v>
                </c:pt>
                <c:pt idx="207">
                  <c:v>1998.149999999999</c:v>
                </c:pt>
                <c:pt idx="208">
                  <c:v>1998.149999999999</c:v>
                </c:pt>
                <c:pt idx="209">
                  <c:v>2124.5499999999988</c:v>
                </c:pt>
                <c:pt idx="210">
                  <c:v>2124.5499999999988</c:v>
                </c:pt>
                <c:pt idx="211">
                  <c:v>2124.5499999999988</c:v>
                </c:pt>
                <c:pt idx="212">
                  <c:v>2124.5499999999988</c:v>
                </c:pt>
                <c:pt idx="213">
                  <c:v>2124.5499999999988</c:v>
                </c:pt>
                <c:pt idx="214">
                  <c:v>2124.5499999999988</c:v>
                </c:pt>
                <c:pt idx="215">
                  <c:v>2124.5499999999988</c:v>
                </c:pt>
                <c:pt idx="216">
                  <c:v>2124.5499999999988</c:v>
                </c:pt>
                <c:pt idx="217">
                  <c:v>2124.5499999999988</c:v>
                </c:pt>
                <c:pt idx="218">
                  <c:v>2124.5499999999988</c:v>
                </c:pt>
                <c:pt idx="219">
                  <c:v>2124.5499999999988</c:v>
                </c:pt>
                <c:pt idx="220">
                  <c:v>2140.5499999999988</c:v>
                </c:pt>
                <c:pt idx="221">
                  <c:v>2140.5499999999988</c:v>
                </c:pt>
                <c:pt idx="222">
                  <c:v>2156.5499999999988</c:v>
                </c:pt>
                <c:pt idx="223">
                  <c:v>2156.5499999999988</c:v>
                </c:pt>
                <c:pt idx="224">
                  <c:v>2156.5499999999988</c:v>
                </c:pt>
                <c:pt idx="225">
                  <c:v>2156.5499999999988</c:v>
                </c:pt>
                <c:pt idx="226">
                  <c:v>2156.5499999999988</c:v>
                </c:pt>
                <c:pt idx="227">
                  <c:v>2156.5499999999988</c:v>
                </c:pt>
                <c:pt idx="228">
                  <c:v>2156.5499999999988</c:v>
                </c:pt>
                <c:pt idx="229">
                  <c:v>2156.5499999999988</c:v>
                </c:pt>
                <c:pt idx="230">
                  <c:v>2156.5499999999988</c:v>
                </c:pt>
                <c:pt idx="231">
                  <c:v>2156.5499999999988</c:v>
                </c:pt>
                <c:pt idx="232">
                  <c:v>2156.5499999999988</c:v>
                </c:pt>
                <c:pt idx="233">
                  <c:v>2156.5499999999988</c:v>
                </c:pt>
                <c:pt idx="234">
                  <c:v>2156.5499999999988</c:v>
                </c:pt>
                <c:pt idx="235">
                  <c:v>2156.5499999999988</c:v>
                </c:pt>
                <c:pt idx="236">
                  <c:v>2172.5499999999988</c:v>
                </c:pt>
                <c:pt idx="237">
                  <c:v>2124.5499999999988</c:v>
                </c:pt>
                <c:pt idx="238">
                  <c:v>2092.5499999999988</c:v>
                </c:pt>
                <c:pt idx="239">
                  <c:v>2108.5499999999988</c:v>
                </c:pt>
                <c:pt idx="240">
                  <c:v>2124.5499999999988</c:v>
                </c:pt>
                <c:pt idx="241">
                  <c:v>2140.5499999999988</c:v>
                </c:pt>
                <c:pt idx="242">
                  <c:v>2140.5499999999988</c:v>
                </c:pt>
                <c:pt idx="243">
                  <c:v>2140.5499999999988</c:v>
                </c:pt>
                <c:pt idx="244">
                  <c:v>2140.5499999999988</c:v>
                </c:pt>
                <c:pt idx="245">
                  <c:v>2285.4499999999989</c:v>
                </c:pt>
                <c:pt idx="246">
                  <c:v>2398.1499999999987</c:v>
                </c:pt>
                <c:pt idx="247">
                  <c:v>2398.1499999999987</c:v>
                </c:pt>
                <c:pt idx="248">
                  <c:v>2430.3499999999985</c:v>
                </c:pt>
                <c:pt idx="249">
                  <c:v>2430.3499999999985</c:v>
                </c:pt>
                <c:pt idx="250">
                  <c:v>2446.4499999999985</c:v>
                </c:pt>
                <c:pt idx="251">
                  <c:v>2462.5499999999984</c:v>
                </c:pt>
                <c:pt idx="252">
                  <c:v>2478.6499999999983</c:v>
                </c:pt>
                <c:pt idx="253">
                  <c:v>2494.7499999999982</c:v>
                </c:pt>
                <c:pt idx="254">
                  <c:v>2510.8499999999981</c:v>
                </c:pt>
                <c:pt idx="255">
                  <c:v>2526.949999999998</c:v>
                </c:pt>
                <c:pt idx="256">
                  <c:v>2526.949999999998</c:v>
                </c:pt>
                <c:pt idx="257">
                  <c:v>2526.949999999998</c:v>
                </c:pt>
                <c:pt idx="258">
                  <c:v>2543.0499999999979</c:v>
                </c:pt>
                <c:pt idx="259">
                  <c:v>2543.0499999999979</c:v>
                </c:pt>
                <c:pt idx="260">
                  <c:v>2543.0499999999979</c:v>
                </c:pt>
                <c:pt idx="261">
                  <c:v>2543.0499999999979</c:v>
                </c:pt>
                <c:pt idx="262">
                  <c:v>2543.0499999999979</c:v>
                </c:pt>
                <c:pt idx="263">
                  <c:v>2559.0499999999979</c:v>
                </c:pt>
                <c:pt idx="264">
                  <c:v>2575.0499999999979</c:v>
                </c:pt>
                <c:pt idx="265">
                  <c:v>2575.0499999999979</c:v>
                </c:pt>
                <c:pt idx="266">
                  <c:v>2575.0499999999979</c:v>
                </c:pt>
                <c:pt idx="267">
                  <c:v>2655.0499999999979</c:v>
                </c:pt>
                <c:pt idx="268">
                  <c:v>2735.0499999999979</c:v>
                </c:pt>
                <c:pt idx="269">
                  <c:v>2815.0499999999979</c:v>
                </c:pt>
                <c:pt idx="270">
                  <c:v>2815.0499999999979</c:v>
                </c:pt>
                <c:pt idx="271">
                  <c:v>2975.0499999999979</c:v>
                </c:pt>
                <c:pt idx="272">
                  <c:v>3055.0499999999979</c:v>
                </c:pt>
                <c:pt idx="273">
                  <c:v>3135.0499999999979</c:v>
                </c:pt>
                <c:pt idx="274">
                  <c:v>3135.0499999999979</c:v>
                </c:pt>
                <c:pt idx="275">
                  <c:v>3135.0499999999979</c:v>
                </c:pt>
                <c:pt idx="276">
                  <c:v>3215.0499999999979</c:v>
                </c:pt>
                <c:pt idx="277">
                  <c:v>3375.0499999999979</c:v>
                </c:pt>
                <c:pt idx="278">
                  <c:v>3455.0499999999979</c:v>
                </c:pt>
                <c:pt idx="279">
                  <c:v>3615.0499999999979</c:v>
                </c:pt>
                <c:pt idx="280">
                  <c:v>3695.0499999999979</c:v>
                </c:pt>
                <c:pt idx="281">
                  <c:v>3775.0499999999979</c:v>
                </c:pt>
                <c:pt idx="282">
                  <c:v>3935.0499999999979</c:v>
                </c:pt>
                <c:pt idx="283">
                  <c:v>3935.0499999999979</c:v>
                </c:pt>
                <c:pt idx="284">
                  <c:v>4015.0499999999979</c:v>
                </c:pt>
                <c:pt idx="285">
                  <c:v>4335.0499999999975</c:v>
                </c:pt>
                <c:pt idx="286">
                  <c:v>4351.0499999999975</c:v>
                </c:pt>
                <c:pt idx="287">
                  <c:v>4351.0499999999975</c:v>
                </c:pt>
                <c:pt idx="288">
                  <c:v>4351.0499999999975</c:v>
                </c:pt>
                <c:pt idx="289">
                  <c:v>4351.0499999999975</c:v>
                </c:pt>
                <c:pt idx="290">
                  <c:v>4351.0499999999975</c:v>
                </c:pt>
                <c:pt idx="291">
                  <c:v>4431.0499999999975</c:v>
                </c:pt>
                <c:pt idx="292">
                  <c:v>4431.0499999999975</c:v>
                </c:pt>
                <c:pt idx="293">
                  <c:v>4591.0499999999975</c:v>
                </c:pt>
                <c:pt idx="294">
                  <c:v>4671.0499999999975</c:v>
                </c:pt>
                <c:pt idx="295">
                  <c:v>4671.0499999999975</c:v>
                </c:pt>
                <c:pt idx="296">
                  <c:v>4671.0499999999975</c:v>
                </c:pt>
                <c:pt idx="297">
                  <c:v>4671.0499999999975</c:v>
                </c:pt>
                <c:pt idx="298">
                  <c:v>4671.0499999999975</c:v>
                </c:pt>
                <c:pt idx="299">
                  <c:v>4559.0499999999975</c:v>
                </c:pt>
                <c:pt idx="300">
                  <c:v>4639.0499999999975</c:v>
                </c:pt>
                <c:pt idx="301">
                  <c:v>4639.0499999999975</c:v>
                </c:pt>
                <c:pt idx="302">
                  <c:v>4639.0499999999975</c:v>
                </c:pt>
                <c:pt idx="303">
                  <c:v>4799.0499999999975</c:v>
                </c:pt>
                <c:pt idx="304">
                  <c:v>4799.0499999999975</c:v>
                </c:pt>
                <c:pt idx="305">
                  <c:v>4799.0499999999975</c:v>
                </c:pt>
                <c:pt idx="306">
                  <c:v>4799.0499999999975</c:v>
                </c:pt>
                <c:pt idx="307">
                  <c:v>4799.0499999999975</c:v>
                </c:pt>
                <c:pt idx="308">
                  <c:v>4799.0499999999975</c:v>
                </c:pt>
                <c:pt idx="309">
                  <c:v>4799.0499999999975</c:v>
                </c:pt>
                <c:pt idx="310">
                  <c:v>4799.0499999999975</c:v>
                </c:pt>
                <c:pt idx="311">
                  <c:v>4799.0499999999975</c:v>
                </c:pt>
                <c:pt idx="312">
                  <c:v>4766.6499999999978</c:v>
                </c:pt>
                <c:pt idx="313">
                  <c:v>4637.0499999999975</c:v>
                </c:pt>
                <c:pt idx="314">
                  <c:v>4653.2499999999973</c:v>
                </c:pt>
                <c:pt idx="315">
                  <c:v>4653.2499999999973</c:v>
                </c:pt>
                <c:pt idx="316">
                  <c:v>4653.2499999999973</c:v>
                </c:pt>
                <c:pt idx="317">
                  <c:v>4653.2499999999973</c:v>
                </c:pt>
                <c:pt idx="318">
                  <c:v>4653.2499999999973</c:v>
                </c:pt>
                <c:pt idx="319">
                  <c:v>4766.6499999999969</c:v>
                </c:pt>
                <c:pt idx="320">
                  <c:v>4766.6499999999969</c:v>
                </c:pt>
                <c:pt idx="321">
                  <c:v>4766.6499999999969</c:v>
                </c:pt>
                <c:pt idx="322">
                  <c:v>4928.6499999999969</c:v>
                </c:pt>
                <c:pt idx="323">
                  <c:v>5042.0499999999965</c:v>
                </c:pt>
                <c:pt idx="324">
                  <c:v>5042.0499999999965</c:v>
                </c:pt>
                <c:pt idx="325">
                  <c:v>5204.0499999999965</c:v>
                </c:pt>
                <c:pt idx="326">
                  <c:v>5317.4499999999971</c:v>
                </c:pt>
                <c:pt idx="327">
                  <c:v>5317.4499999999971</c:v>
                </c:pt>
                <c:pt idx="328">
                  <c:v>5317.4499999999971</c:v>
                </c:pt>
                <c:pt idx="329">
                  <c:v>5317.4499999999971</c:v>
                </c:pt>
                <c:pt idx="330">
                  <c:v>5317.4499999999971</c:v>
                </c:pt>
                <c:pt idx="331">
                  <c:v>5317.4499999999971</c:v>
                </c:pt>
                <c:pt idx="332">
                  <c:v>5381.4499999999971</c:v>
                </c:pt>
                <c:pt idx="333">
                  <c:v>5429.4499999999971</c:v>
                </c:pt>
                <c:pt idx="334">
                  <c:v>5541.4499999999971</c:v>
                </c:pt>
                <c:pt idx="335">
                  <c:v>5736.0899999999974</c:v>
                </c:pt>
                <c:pt idx="336">
                  <c:v>5880.0899999999974</c:v>
                </c:pt>
                <c:pt idx="337">
                  <c:v>5880.0899999999974</c:v>
                </c:pt>
                <c:pt idx="338">
                  <c:v>5880.0899999999974</c:v>
                </c:pt>
                <c:pt idx="339">
                  <c:v>5880.0899999999974</c:v>
                </c:pt>
                <c:pt idx="340">
                  <c:v>6104.0899999999974</c:v>
                </c:pt>
                <c:pt idx="341">
                  <c:v>6168.0899999999974</c:v>
                </c:pt>
                <c:pt idx="342">
                  <c:v>6136.0899999999974</c:v>
                </c:pt>
                <c:pt idx="343">
                  <c:v>6136.0899999999974</c:v>
                </c:pt>
                <c:pt idx="344">
                  <c:v>6136.0899999999974</c:v>
                </c:pt>
                <c:pt idx="345">
                  <c:v>6136.0899999999974</c:v>
                </c:pt>
                <c:pt idx="346">
                  <c:v>6136.0899999999974</c:v>
                </c:pt>
                <c:pt idx="347">
                  <c:v>6136.0899999999974</c:v>
                </c:pt>
                <c:pt idx="348">
                  <c:v>6136.0899999999974</c:v>
                </c:pt>
                <c:pt idx="349">
                  <c:v>6136.0899999999974</c:v>
                </c:pt>
                <c:pt idx="350">
                  <c:v>6136.0899999999974</c:v>
                </c:pt>
                <c:pt idx="351">
                  <c:v>6136.0899999999974</c:v>
                </c:pt>
                <c:pt idx="352">
                  <c:v>6136.0899999999974</c:v>
                </c:pt>
                <c:pt idx="353">
                  <c:v>6216.0899999999974</c:v>
                </c:pt>
                <c:pt idx="354">
                  <c:v>6440.0899999999974</c:v>
                </c:pt>
                <c:pt idx="355">
                  <c:v>6440.0899999999974</c:v>
                </c:pt>
                <c:pt idx="356">
                  <c:v>6440.0899999999974</c:v>
                </c:pt>
                <c:pt idx="357">
                  <c:v>6440.0899999999974</c:v>
                </c:pt>
                <c:pt idx="358">
                  <c:v>6568.0899999999974</c:v>
                </c:pt>
                <c:pt idx="359">
                  <c:v>6648.0899999999974</c:v>
                </c:pt>
                <c:pt idx="360">
                  <c:v>6648.0899999999974</c:v>
                </c:pt>
                <c:pt idx="361">
                  <c:v>6648.0899999999974</c:v>
                </c:pt>
                <c:pt idx="362">
                  <c:v>6648.0899999999974</c:v>
                </c:pt>
                <c:pt idx="363">
                  <c:v>6648.0899999999974</c:v>
                </c:pt>
                <c:pt idx="364">
                  <c:v>6648.0899999999974</c:v>
                </c:pt>
                <c:pt idx="365">
                  <c:v>6424.0899999999974</c:v>
                </c:pt>
                <c:pt idx="366">
                  <c:v>6424.0899999999974</c:v>
                </c:pt>
                <c:pt idx="367">
                  <c:v>6424.0899999999974</c:v>
                </c:pt>
                <c:pt idx="368">
                  <c:v>6424.0899999999974</c:v>
                </c:pt>
                <c:pt idx="369">
                  <c:v>6424.0899999999974</c:v>
                </c:pt>
                <c:pt idx="370">
                  <c:v>6712.0899999999974</c:v>
                </c:pt>
                <c:pt idx="371">
                  <c:v>6712.0899999999974</c:v>
                </c:pt>
                <c:pt idx="372">
                  <c:v>6712.0899999999974</c:v>
                </c:pt>
                <c:pt idx="373">
                  <c:v>6648.0899999999974</c:v>
                </c:pt>
                <c:pt idx="374">
                  <c:v>6648.0899999999974</c:v>
                </c:pt>
                <c:pt idx="375">
                  <c:v>6648.0899999999974</c:v>
                </c:pt>
                <c:pt idx="376">
                  <c:v>6648.0899999999974</c:v>
                </c:pt>
                <c:pt idx="377">
                  <c:v>6536.0899999999974</c:v>
                </c:pt>
                <c:pt idx="378">
                  <c:v>6536.0899999999974</c:v>
                </c:pt>
                <c:pt idx="379">
                  <c:v>6536.0899999999974</c:v>
                </c:pt>
                <c:pt idx="380">
                  <c:v>5832.0899999999974</c:v>
                </c:pt>
                <c:pt idx="381">
                  <c:v>6072.0899999999974</c:v>
                </c:pt>
                <c:pt idx="382">
                  <c:v>5400.0899999999974</c:v>
                </c:pt>
                <c:pt idx="383">
                  <c:v>4728.0899999999974</c:v>
                </c:pt>
                <c:pt idx="384">
                  <c:v>4728.0899999999974</c:v>
                </c:pt>
                <c:pt idx="385">
                  <c:v>4728.0899999999974</c:v>
                </c:pt>
                <c:pt idx="386">
                  <c:v>4728.0899999999974</c:v>
                </c:pt>
                <c:pt idx="387">
                  <c:v>4728.0899999999974</c:v>
                </c:pt>
                <c:pt idx="388">
                  <c:v>4728.0899999999974</c:v>
                </c:pt>
                <c:pt idx="389">
                  <c:v>4680.0899999999974</c:v>
                </c:pt>
                <c:pt idx="390">
                  <c:v>4680.0899999999974</c:v>
                </c:pt>
                <c:pt idx="391">
                  <c:v>4680.0899999999974</c:v>
                </c:pt>
                <c:pt idx="392">
                  <c:v>4680.0899999999974</c:v>
                </c:pt>
                <c:pt idx="393">
                  <c:v>4680.0899999999974</c:v>
                </c:pt>
                <c:pt idx="394">
                  <c:v>5320.0899999999974</c:v>
                </c:pt>
                <c:pt idx="395">
                  <c:v>5736.0899999999974</c:v>
                </c:pt>
                <c:pt idx="396">
                  <c:v>5736.0899999999974</c:v>
                </c:pt>
                <c:pt idx="397">
                  <c:v>5736.0899999999974</c:v>
                </c:pt>
                <c:pt idx="398">
                  <c:v>5736.0899999999974</c:v>
                </c:pt>
                <c:pt idx="399">
                  <c:v>5736.0899999999974</c:v>
                </c:pt>
                <c:pt idx="400">
                  <c:v>5736.0899999999974</c:v>
                </c:pt>
                <c:pt idx="401">
                  <c:v>5736.0899999999974</c:v>
                </c:pt>
                <c:pt idx="402">
                  <c:v>5736.0899999999974</c:v>
                </c:pt>
                <c:pt idx="403">
                  <c:v>5736.0899999999974</c:v>
                </c:pt>
                <c:pt idx="404">
                  <c:v>5736.0899999999974</c:v>
                </c:pt>
                <c:pt idx="405">
                  <c:v>5864.0899999999974</c:v>
                </c:pt>
                <c:pt idx="406">
                  <c:v>5557.8499999999967</c:v>
                </c:pt>
                <c:pt idx="407">
                  <c:v>5573.8499999999967</c:v>
                </c:pt>
                <c:pt idx="408">
                  <c:v>5813.8499999999967</c:v>
                </c:pt>
                <c:pt idx="409">
                  <c:v>5813.8499999999967</c:v>
                </c:pt>
                <c:pt idx="410">
                  <c:v>5813.8499999999967</c:v>
                </c:pt>
                <c:pt idx="411">
                  <c:v>5813.8499999999967</c:v>
                </c:pt>
                <c:pt idx="412">
                  <c:v>5925.8499999999967</c:v>
                </c:pt>
                <c:pt idx="413">
                  <c:v>6005.8499999999967</c:v>
                </c:pt>
                <c:pt idx="414">
                  <c:v>6005.8499999999967</c:v>
                </c:pt>
                <c:pt idx="415">
                  <c:v>6005.8499999999967</c:v>
                </c:pt>
                <c:pt idx="416">
                  <c:v>5525.8499999999967</c:v>
                </c:pt>
                <c:pt idx="417">
                  <c:v>4725.8499999999967</c:v>
                </c:pt>
                <c:pt idx="418">
                  <c:v>4997.8499999999967</c:v>
                </c:pt>
                <c:pt idx="419">
                  <c:v>4997.8499999999967</c:v>
                </c:pt>
                <c:pt idx="420">
                  <c:v>4997.8499999999967</c:v>
                </c:pt>
                <c:pt idx="421">
                  <c:v>4612.4419999999964</c:v>
                </c:pt>
                <c:pt idx="422">
                  <c:v>4612.4419999999964</c:v>
                </c:pt>
                <c:pt idx="423">
                  <c:v>4612.4419999999964</c:v>
                </c:pt>
                <c:pt idx="424">
                  <c:v>4612.4419999999964</c:v>
                </c:pt>
                <c:pt idx="425">
                  <c:v>4612.4419999999964</c:v>
                </c:pt>
                <c:pt idx="426">
                  <c:v>4612.4419999999964</c:v>
                </c:pt>
                <c:pt idx="427">
                  <c:v>5124.4419999999964</c:v>
                </c:pt>
                <c:pt idx="428">
                  <c:v>5444.4419999999964</c:v>
                </c:pt>
                <c:pt idx="429">
                  <c:v>5444.4419999999964</c:v>
                </c:pt>
                <c:pt idx="430">
                  <c:v>5444.4419999999964</c:v>
                </c:pt>
                <c:pt idx="431">
                  <c:v>5556.4419999999964</c:v>
                </c:pt>
                <c:pt idx="432">
                  <c:v>5556.4419999999964</c:v>
                </c:pt>
                <c:pt idx="433">
                  <c:v>5556.4419999999964</c:v>
                </c:pt>
                <c:pt idx="434">
                  <c:v>5556.4419999999964</c:v>
                </c:pt>
                <c:pt idx="435">
                  <c:v>5556.4419999999964</c:v>
                </c:pt>
                <c:pt idx="436">
                  <c:v>5556.4419999999964</c:v>
                </c:pt>
                <c:pt idx="437">
                  <c:v>5556.4419999999964</c:v>
                </c:pt>
                <c:pt idx="438">
                  <c:v>5668.4419999999964</c:v>
                </c:pt>
                <c:pt idx="439">
                  <c:v>5716.4419999999964</c:v>
                </c:pt>
                <c:pt idx="440">
                  <c:v>5716.4419999999964</c:v>
                </c:pt>
                <c:pt idx="441">
                  <c:v>5716.4419999999964</c:v>
                </c:pt>
                <c:pt idx="442">
                  <c:v>5716.4419999999964</c:v>
                </c:pt>
                <c:pt idx="443">
                  <c:v>5716.4419999999964</c:v>
                </c:pt>
                <c:pt idx="444">
                  <c:v>5716.4419999999964</c:v>
                </c:pt>
                <c:pt idx="445">
                  <c:v>5716.4419999999964</c:v>
                </c:pt>
                <c:pt idx="446">
                  <c:v>5716.4419999999964</c:v>
                </c:pt>
                <c:pt idx="447">
                  <c:v>5716.4419999999964</c:v>
                </c:pt>
                <c:pt idx="448">
                  <c:v>5716.4419999999964</c:v>
                </c:pt>
                <c:pt idx="449">
                  <c:v>5716.4419999999964</c:v>
                </c:pt>
                <c:pt idx="450">
                  <c:v>5716.4419999999964</c:v>
                </c:pt>
                <c:pt idx="451">
                  <c:v>5716.4419999999964</c:v>
                </c:pt>
                <c:pt idx="452">
                  <c:v>5716.4419999999964</c:v>
                </c:pt>
                <c:pt idx="453">
                  <c:v>5716.4419999999964</c:v>
                </c:pt>
                <c:pt idx="454">
                  <c:v>5716.4419999999964</c:v>
                </c:pt>
                <c:pt idx="455">
                  <c:v>5716.4419999999964</c:v>
                </c:pt>
                <c:pt idx="456">
                  <c:v>5716.4419999999964</c:v>
                </c:pt>
                <c:pt idx="457">
                  <c:v>5876.4419999999964</c:v>
                </c:pt>
                <c:pt idx="458">
                  <c:v>5876.4419999999964</c:v>
                </c:pt>
                <c:pt idx="459">
                  <c:v>5876.4419999999964</c:v>
                </c:pt>
                <c:pt idx="460">
                  <c:v>5876.4419999999964</c:v>
                </c:pt>
                <c:pt idx="461">
                  <c:v>5876.4419999999964</c:v>
                </c:pt>
                <c:pt idx="462">
                  <c:v>5876.4419999999964</c:v>
                </c:pt>
                <c:pt idx="463">
                  <c:v>5716.4419999999964</c:v>
                </c:pt>
                <c:pt idx="464">
                  <c:v>5716.4419999999964</c:v>
                </c:pt>
                <c:pt idx="465">
                  <c:v>5716.4419999999964</c:v>
                </c:pt>
                <c:pt idx="466">
                  <c:v>5716.4419999999964</c:v>
                </c:pt>
                <c:pt idx="467">
                  <c:v>5716.4419999999964</c:v>
                </c:pt>
                <c:pt idx="468">
                  <c:v>5716.4419999999964</c:v>
                </c:pt>
                <c:pt idx="469">
                  <c:v>5716.4419999999964</c:v>
                </c:pt>
                <c:pt idx="470">
                  <c:v>5716.4419999999964</c:v>
                </c:pt>
                <c:pt idx="471">
                  <c:v>5716.4419999999964</c:v>
                </c:pt>
                <c:pt idx="472">
                  <c:v>5716.4419999999964</c:v>
                </c:pt>
                <c:pt idx="473">
                  <c:v>5716.4419999999964</c:v>
                </c:pt>
                <c:pt idx="474">
                  <c:v>5716.4419999999964</c:v>
                </c:pt>
                <c:pt idx="475">
                  <c:v>5764.4419999999964</c:v>
                </c:pt>
                <c:pt idx="476">
                  <c:v>5764.4419999999964</c:v>
                </c:pt>
                <c:pt idx="477">
                  <c:v>5764.4419999999964</c:v>
                </c:pt>
                <c:pt idx="478">
                  <c:v>5812.4419999999964</c:v>
                </c:pt>
                <c:pt idx="479">
                  <c:v>5812.4419999999964</c:v>
                </c:pt>
                <c:pt idx="480">
                  <c:v>5812.4419999999964</c:v>
                </c:pt>
                <c:pt idx="481">
                  <c:v>5812.4419999999964</c:v>
                </c:pt>
                <c:pt idx="482">
                  <c:v>5892.4419999999964</c:v>
                </c:pt>
                <c:pt idx="483">
                  <c:v>5892.4419999999964</c:v>
                </c:pt>
                <c:pt idx="484">
                  <c:v>5892.4419999999964</c:v>
                </c:pt>
                <c:pt idx="485">
                  <c:v>5892.4419999999964</c:v>
                </c:pt>
                <c:pt idx="486">
                  <c:v>5972.4419999999964</c:v>
                </c:pt>
                <c:pt idx="487">
                  <c:v>5972.4419999999964</c:v>
                </c:pt>
                <c:pt idx="488">
                  <c:v>5972.4419999999964</c:v>
                </c:pt>
                <c:pt idx="489">
                  <c:v>5972.4419999999964</c:v>
                </c:pt>
                <c:pt idx="490">
                  <c:v>5892.4419999999964</c:v>
                </c:pt>
                <c:pt idx="491">
                  <c:v>5972.4419999999964</c:v>
                </c:pt>
                <c:pt idx="492">
                  <c:v>5972.4419999999964</c:v>
                </c:pt>
                <c:pt idx="493">
                  <c:v>5972.4419999999964</c:v>
                </c:pt>
                <c:pt idx="494">
                  <c:v>6052.4419999999964</c:v>
                </c:pt>
                <c:pt idx="495">
                  <c:v>6052.4419999999964</c:v>
                </c:pt>
                <c:pt idx="496">
                  <c:v>6052.4419999999964</c:v>
                </c:pt>
                <c:pt idx="497">
                  <c:v>6052.4419999999964</c:v>
                </c:pt>
                <c:pt idx="498">
                  <c:v>6212.4419999999964</c:v>
                </c:pt>
                <c:pt idx="499">
                  <c:v>6212.4419999999964</c:v>
                </c:pt>
                <c:pt idx="500">
                  <c:v>6212.4419999999964</c:v>
                </c:pt>
                <c:pt idx="501">
                  <c:v>6212.4419999999964</c:v>
                </c:pt>
                <c:pt idx="502">
                  <c:v>6372.4419999999964</c:v>
                </c:pt>
                <c:pt idx="503">
                  <c:v>6372.4419999999964</c:v>
                </c:pt>
                <c:pt idx="504">
                  <c:v>6372.4419999999964</c:v>
                </c:pt>
                <c:pt idx="505">
                  <c:v>6372.4419999999964</c:v>
                </c:pt>
                <c:pt idx="506">
                  <c:v>6372.4419999999964</c:v>
                </c:pt>
                <c:pt idx="507">
                  <c:v>6372.4419999999964</c:v>
                </c:pt>
                <c:pt idx="508">
                  <c:v>6372.4419999999964</c:v>
                </c:pt>
                <c:pt idx="509">
                  <c:v>6372.4419999999964</c:v>
                </c:pt>
                <c:pt idx="510">
                  <c:v>6372.4419999999964</c:v>
                </c:pt>
                <c:pt idx="511">
                  <c:v>6372.4419999999964</c:v>
                </c:pt>
                <c:pt idx="512">
                  <c:v>6372.4419999999964</c:v>
                </c:pt>
                <c:pt idx="513">
                  <c:v>6372.4419999999964</c:v>
                </c:pt>
                <c:pt idx="514">
                  <c:v>6372.4419999999964</c:v>
                </c:pt>
                <c:pt idx="515">
                  <c:v>6372.4419999999964</c:v>
                </c:pt>
                <c:pt idx="516">
                  <c:v>6372.4419999999964</c:v>
                </c:pt>
                <c:pt idx="517">
                  <c:v>6372.4419999999964</c:v>
                </c:pt>
                <c:pt idx="518">
                  <c:v>6372.4419999999964</c:v>
                </c:pt>
                <c:pt idx="519">
                  <c:v>6372.4419999999964</c:v>
                </c:pt>
                <c:pt idx="520">
                  <c:v>6372.4419999999964</c:v>
                </c:pt>
                <c:pt idx="521">
                  <c:v>6372.4419999999964</c:v>
                </c:pt>
                <c:pt idx="522">
                  <c:v>6372.4419999999964</c:v>
                </c:pt>
                <c:pt idx="523">
                  <c:v>6372.4419999999964</c:v>
                </c:pt>
                <c:pt idx="524">
                  <c:v>6372.4419999999964</c:v>
                </c:pt>
                <c:pt idx="525">
                  <c:v>6372.4419999999964</c:v>
                </c:pt>
                <c:pt idx="526">
                  <c:v>6292.4419999999964</c:v>
                </c:pt>
                <c:pt idx="527">
                  <c:v>6292.4419999999964</c:v>
                </c:pt>
                <c:pt idx="528">
                  <c:v>6292.4419999999964</c:v>
                </c:pt>
                <c:pt idx="529">
                  <c:v>6292.4419999999964</c:v>
                </c:pt>
                <c:pt idx="530">
                  <c:v>6212.4419999999964</c:v>
                </c:pt>
                <c:pt idx="531">
                  <c:v>6212.4419999999964</c:v>
                </c:pt>
                <c:pt idx="532">
                  <c:v>6212.4419999999964</c:v>
                </c:pt>
                <c:pt idx="533">
                  <c:v>6212.4419999999964</c:v>
                </c:pt>
                <c:pt idx="534">
                  <c:v>6212.4419999999964</c:v>
                </c:pt>
                <c:pt idx="535">
                  <c:v>6212.4419999999964</c:v>
                </c:pt>
                <c:pt idx="536">
                  <c:v>6228.4419999999964</c:v>
                </c:pt>
                <c:pt idx="537">
                  <c:v>6228.4419999999964</c:v>
                </c:pt>
                <c:pt idx="538">
                  <c:v>6388.4419999999964</c:v>
                </c:pt>
                <c:pt idx="539">
                  <c:v>6388.4419999999964</c:v>
                </c:pt>
                <c:pt idx="540">
                  <c:v>6468.4419999999964</c:v>
                </c:pt>
                <c:pt idx="541">
                  <c:v>6468.4419999999964</c:v>
                </c:pt>
                <c:pt idx="542">
                  <c:v>6468.4419999999964</c:v>
                </c:pt>
                <c:pt idx="543">
                  <c:v>6468.4419999999964</c:v>
                </c:pt>
                <c:pt idx="544">
                  <c:v>6468.4419999999964</c:v>
                </c:pt>
                <c:pt idx="545">
                  <c:v>6468.4419999999964</c:v>
                </c:pt>
                <c:pt idx="546">
                  <c:v>6468.4419999999964</c:v>
                </c:pt>
                <c:pt idx="547">
                  <c:v>6468.4419999999964</c:v>
                </c:pt>
                <c:pt idx="548">
                  <c:v>6468.4419999999964</c:v>
                </c:pt>
                <c:pt idx="549">
                  <c:v>6468.4419999999964</c:v>
                </c:pt>
                <c:pt idx="550">
                  <c:v>6116.4419999999964</c:v>
                </c:pt>
                <c:pt idx="551">
                  <c:v>6084.4419999999964</c:v>
                </c:pt>
                <c:pt idx="552">
                  <c:v>6084.4419999999964</c:v>
                </c:pt>
                <c:pt idx="553">
                  <c:v>6084.4419999999964</c:v>
                </c:pt>
                <c:pt idx="554">
                  <c:v>6084.4419999999964</c:v>
                </c:pt>
                <c:pt idx="555">
                  <c:v>6084.4419999999964</c:v>
                </c:pt>
                <c:pt idx="556">
                  <c:v>6084.4419999999964</c:v>
                </c:pt>
                <c:pt idx="557">
                  <c:v>6084.4419999999964</c:v>
                </c:pt>
                <c:pt idx="558">
                  <c:v>6084.4419999999964</c:v>
                </c:pt>
                <c:pt idx="559">
                  <c:v>6084.4419999999964</c:v>
                </c:pt>
                <c:pt idx="560">
                  <c:v>6084.4419999999964</c:v>
                </c:pt>
                <c:pt idx="561">
                  <c:v>6404.4419999999964</c:v>
                </c:pt>
                <c:pt idx="562">
                  <c:v>6404.4419999999964</c:v>
                </c:pt>
                <c:pt idx="563">
                  <c:v>6724.4419999999964</c:v>
                </c:pt>
                <c:pt idx="564">
                  <c:v>8068.4419999999964</c:v>
                </c:pt>
                <c:pt idx="565">
                  <c:v>8068.4419999999964</c:v>
                </c:pt>
                <c:pt idx="566">
                  <c:v>8500.4419999999973</c:v>
                </c:pt>
                <c:pt idx="567">
                  <c:v>8500.4419999999973</c:v>
                </c:pt>
                <c:pt idx="568">
                  <c:v>8500.4419999999973</c:v>
                </c:pt>
                <c:pt idx="569">
                  <c:v>8500.4419999999973</c:v>
                </c:pt>
                <c:pt idx="570">
                  <c:v>8500.4419999999973</c:v>
                </c:pt>
                <c:pt idx="571">
                  <c:v>8500.4419999999973</c:v>
                </c:pt>
                <c:pt idx="572">
                  <c:v>8500.4419999999973</c:v>
                </c:pt>
                <c:pt idx="573">
                  <c:v>8532.4419999999973</c:v>
                </c:pt>
                <c:pt idx="574">
                  <c:v>8532.4419999999973</c:v>
                </c:pt>
                <c:pt idx="575">
                  <c:v>8532.4419999999973</c:v>
                </c:pt>
                <c:pt idx="576">
                  <c:v>8532.4419999999973</c:v>
                </c:pt>
                <c:pt idx="577">
                  <c:v>8532.4419999999973</c:v>
                </c:pt>
                <c:pt idx="578">
                  <c:v>8532.4419999999973</c:v>
                </c:pt>
                <c:pt idx="579">
                  <c:v>8532.4419999999973</c:v>
                </c:pt>
                <c:pt idx="580">
                  <c:v>8532.4419999999973</c:v>
                </c:pt>
                <c:pt idx="581">
                  <c:v>8724.4419999999973</c:v>
                </c:pt>
                <c:pt idx="582">
                  <c:v>8724.4419999999973</c:v>
                </c:pt>
                <c:pt idx="583">
                  <c:v>8724.4419999999973</c:v>
                </c:pt>
                <c:pt idx="584">
                  <c:v>9044.4419999999973</c:v>
                </c:pt>
                <c:pt idx="585">
                  <c:v>9044.4419999999973</c:v>
                </c:pt>
                <c:pt idx="586">
                  <c:v>9044.4419999999973</c:v>
                </c:pt>
                <c:pt idx="587">
                  <c:v>9044.4419999999973</c:v>
                </c:pt>
                <c:pt idx="588">
                  <c:v>9044.4419999999973</c:v>
                </c:pt>
                <c:pt idx="589">
                  <c:v>9204.4419999999973</c:v>
                </c:pt>
                <c:pt idx="590">
                  <c:v>9204.4419999999973</c:v>
                </c:pt>
                <c:pt idx="591">
                  <c:v>9204.4419999999973</c:v>
                </c:pt>
                <c:pt idx="592">
                  <c:v>9284.4419999999973</c:v>
                </c:pt>
                <c:pt idx="593">
                  <c:v>9284.4419999999973</c:v>
                </c:pt>
                <c:pt idx="594">
                  <c:v>9284.4419999999973</c:v>
                </c:pt>
                <c:pt idx="595">
                  <c:v>9284.4419999999973</c:v>
                </c:pt>
                <c:pt idx="596">
                  <c:v>9284.4419999999973</c:v>
                </c:pt>
                <c:pt idx="597">
                  <c:v>9284.4419999999973</c:v>
                </c:pt>
                <c:pt idx="598">
                  <c:v>9284.4419999999973</c:v>
                </c:pt>
                <c:pt idx="599">
                  <c:v>9284.4419999999973</c:v>
                </c:pt>
                <c:pt idx="600">
                  <c:v>9284.4419999999973</c:v>
                </c:pt>
                <c:pt idx="601">
                  <c:v>9284.4419999999973</c:v>
                </c:pt>
                <c:pt idx="602">
                  <c:v>9284.4419999999973</c:v>
                </c:pt>
                <c:pt idx="603">
                  <c:v>9332.4419999999973</c:v>
                </c:pt>
                <c:pt idx="604">
                  <c:v>9604.4419999999973</c:v>
                </c:pt>
                <c:pt idx="605">
                  <c:v>9604.4419999999973</c:v>
                </c:pt>
                <c:pt idx="606">
                  <c:v>9604.4419999999973</c:v>
                </c:pt>
                <c:pt idx="607">
                  <c:v>9604.4419999999973</c:v>
                </c:pt>
                <c:pt idx="608">
                  <c:v>9604.4419999999973</c:v>
                </c:pt>
                <c:pt idx="609">
                  <c:v>9604.4419999999973</c:v>
                </c:pt>
                <c:pt idx="610">
                  <c:v>9604.4419999999973</c:v>
                </c:pt>
                <c:pt idx="611">
                  <c:v>9796.4419999999973</c:v>
                </c:pt>
                <c:pt idx="612">
                  <c:v>9796.4419999999973</c:v>
                </c:pt>
                <c:pt idx="613">
                  <c:v>9988.4419999999973</c:v>
                </c:pt>
                <c:pt idx="614">
                  <c:v>10068.441999999997</c:v>
                </c:pt>
                <c:pt idx="615">
                  <c:v>10068.441999999997</c:v>
                </c:pt>
                <c:pt idx="616">
                  <c:v>10068.441999999997</c:v>
                </c:pt>
                <c:pt idx="617">
                  <c:v>10068.441999999997</c:v>
                </c:pt>
                <c:pt idx="618">
                  <c:v>10068.441999999997</c:v>
                </c:pt>
                <c:pt idx="619">
                  <c:v>10068.441999999997</c:v>
                </c:pt>
                <c:pt idx="620">
                  <c:v>10068.441999999997</c:v>
                </c:pt>
                <c:pt idx="621">
                  <c:v>10068.441999999997</c:v>
                </c:pt>
                <c:pt idx="622">
                  <c:v>10068.441999999997</c:v>
                </c:pt>
                <c:pt idx="623">
                  <c:v>10068.441999999997</c:v>
                </c:pt>
                <c:pt idx="624">
                  <c:v>10068.441999999997</c:v>
                </c:pt>
                <c:pt idx="625">
                  <c:v>10068.441999999997</c:v>
                </c:pt>
                <c:pt idx="626">
                  <c:v>10068.441999999997</c:v>
                </c:pt>
                <c:pt idx="627">
                  <c:v>10068.441999999997</c:v>
                </c:pt>
                <c:pt idx="628">
                  <c:v>10068.441999999997</c:v>
                </c:pt>
                <c:pt idx="629">
                  <c:v>10052.441999999997</c:v>
                </c:pt>
                <c:pt idx="630">
                  <c:v>10052.441999999997</c:v>
                </c:pt>
                <c:pt idx="631">
                  <c:v>10052.441999999997</c:v>
                </c:pt>
                <c:pt idx="632">
                  <c:v>10052.441999999997</c:v>
                </c:pt>
                <c:pt idx="633">
                  <c:v>10052.441999999997</c:v>
                </c:pt>
                <c:pt idx="634">
                  <c:v>10052.441999999997</c:v>
                </c:pt>
                <c:pt idx="635">
                  <c:v>10052.441999999997</c:v>
                </c:pt>
                <c:pt idx="636">
                  <c:v>10052.441999999997</c:v>
                </c:pt>
                <c:pt idx="637">
                  <c:v>10052.441999999997</c:v>
                </c:pt>
                <c:pt idx="638">
                  <c:v>10052.441999999997</c:v>
                </c:pt>
                <c:pt idx="639">
                  <c:v>10052.441999999997</c:v>
                </c:pt>
                <c:pt idx="640">
                  <c:v>10052.441999999997</c:v>
                </c:pt>
                <c:pt idx="641">
                  <c:v>10052.441999999997</c:v>
                </c:pt>
                <c:pt idx="642">
                  <c:v>10052.441999999997</c:v>
                </c:pt>
                <c:pt idx="643">
                  <c:v>10052.441999999997</c:v>
                </c:pt>
                <c:pt idx="644">
                  <c:v>10052.441999999997</c:v>
                </c:pt>
                <c:pt idx="645">
                  <c:v>10052.441999999997</c:v>
                </c:pt>
                <c:pt idx="646">
                  <c:v>10100.441999999999</c:v>
                </c:pt>
                <c:pt idx="647">
                  <c:v>10100.441999999999</c:v>
                </c:pt>
                <c:pt idx="648">
                  <c:v>10132.441999999999</c:v>
                </c:pt>
                <c:pt idx="649">
                  <c:v>10132.441999999999</c:v>
                </c:pt>
                <c:pt idx="650">
                  <c:v>10132.441999999999</c:v>
                </c:pt>
                <c:pt idx="651">
                  <c:v>10132.441999999999</c:v>
                </c:pt>
                <c:pt idx="652">
                  <c:v>10132.441999999999</c:v>
                </c:pt>
                <c:pt idx="653">
                  <c:v>10132.441999999999</c:v>
                </c:pt>
                <c:pt idx="654">
                  <c:v>10420.441999999999</c:v>
                </c:pt>
                <c:pt idx="655">
                  <c:v>10372.441999999999</c:v>
                </c:pt>
                <c:pt idx="656">
                  <c:v>10372.441999999999</c:v>
                </c:pt>
                <c:pt idx="657">
                  <c:v>10372.441999999999</c:v>
                </c:pt>
                <c:pt idx="658">
                  <c:v>10372.441999999999</c:v>
                </c:pt>
                <c:pt idx="659">
                  <c:v>10372.441999999999</c:v>
                </c:pt>
                <c:pt idx="660">
                  <c:v>10372.441999999999</c:v>
                </c:pt>
                <c:pt idx="661">
                  <c:v>10372.441999999999</c:v>
                </c:pt>
                <c:pt idx="662">
                  <c:v>10372.441999999999</c:v>
                </c:pt>
                <c:pt idx="663">
                  <c:v>10372.441999999999</c:v>
                </c:pt>
                <c:pt idx="664">
                  <c:v>10372.441999999999</c:v>
                </c:pt>
                <c:pt idx="665">
                  <c:v>10452.441999999999</c:v>
                </c:pt>
                <c:pt idx="666">
                  <c:v>10452.441999999999</c:v>
                </c:pt>
                <c:pt idx="667">
                  <c:v>10452.441999999999</c:v>
                </c:pt>
                <c:pt idx="668">
                  <c:v>10452.441999999999</c:v>
                </c:pt>
                <c:pt idx="669">
                  <c:v>10452.441999999999</c:v>
                </c:pt>
                <c:pt idx="670">
                  <c:v>10452.441999999999</c:v>
                </c:pt>
                <c:pt idx="671">
                  <c:v>10452.441999999999</c:v>
                </c:pt>
                <c:pt idx="672">
                  <c:v>10452.441999999999</c:v>
                </c:pt>
                <c:pt idx="673">
                  <c:v>10452.441999999999</c:v>
                </c:pt>
                <c:pt idx="674">
                  <c:v>10452.441999999999</c:v>
                </c:pt>
                <c:pt idx="675">
                  <c:v>10452.441999999999</c:v>
                </c:pt>
                <c:pt idx="676">
                  <c:v>10292.441999999999</c:v>
                </c:pt>
                <c:pt idx="677">
                  <c:v>10372.441999999999</c:v>
                </c:pt>
                <c:pt idx="678">
                  <c:v>10372.441999999999</c:v>
                </c:pt>
                <c:pt idx="679">
                  <c:v>10372.441999999999</c:v>
                </c:pt>
                <c:pt idx="680">
                  <c:v>10372.441999999999</c:v>
                </c:pt>
                <c:pt idx="681">
                  <c:v>10372.441999999999</c:v>
                </c:pt>
                <c:pt idx="682">
                  <c:v>10372.441999999999</c:v>
                </c:pt>
                <c:pt idx="683">
                  <c:v>10372.441999999999</c:v>
                </c:pt>
                <c:pt idx="684">
                  <c:v>10372.441999999999</c:v>
                </c:pt>
                <c:pt idx="685">
                  <c:v>10372.441999999999</c:v>
                </c:pt>
                <c:pt idx="686">
                  <c:v>10372.441999999999</c:v>
                </c:pt>
                <c:pt idx="687">
                  <c:v>10372.441999999999</c:v>
                </c:pt>
                <c:pt idx="688">
                  <c:v>10372.441999999999</c:v>
                </c:pt>
                <c:pt idx="689">
                  <c:v>10372.441999999999</c:v>
                </c:pt>
                <c:pt idx="690">
                  <c:v>10372.441999999999</c:v>
                </c:pt>
                <c:pt idx="691">
                  <c:v>10452.441999999999</c:v>
                </c:pt>
                <c:pt idx="692">
                  <c:v>10580.441999999999</c:v>
                </c:pt>
                <c:pt idx="693">
                  <c:v>10580.441999999999</c:v>
                </c:pt>
                <c:pt idx="694">
                  <c:v>10580.441999999999</c:v>
                </c:pt>
                <c:pt idx="695">
                  <c:v>10580.441999999999</c:v>
                </c:pt>
                <c:pt idx="696">
                  <c:v>10580.441999999999</c:v>
                </c:pt>
                <c:pt idx="697">
                  <c:v>10580.441999999999</c:v>
                </c:pt>
                <c:pt idx="698">
                  <c:v>10580.441999999999</c:v>
                </c:pt>
                <c:pt idx="699">
                  <c:v>10580.441999999999</c:v>
                </c:pt>
                <c:pt idx="700">
                  <c:v>10580.441999999999</c:v>
                </c:pt>
                <c:pt idx="701">
                  <c:v>10580.441999999999</c:v>
                </c:pt>
                <c:pt idx="702">
                  <c:v>10772.441999999999</c:v>
                </c:pt>
                <c:pt idx="703">
                  <c:v>10772.441999999999</c:v>
                </c:pt>
                <c:pt idx="704">
                  <c:v>10772.441999999999</c:v>
                </c:pt>
                <c:pt idx="705">
                  <c:v>10772.441999999999</c:v>
                </c:pt>
                <c:pt idx="706">
                  <c:v>10772.441999999999</c:v>
                </c:pt>
                <c:pt idx="707">
                  <c:v>10772.441999999999</c:v>
                </c:pt>
                <c:pt idx="708">
                  <c:v>10772.441999999999</c:v>
                </c:pt>
                <c:pt idx="709">
                  <c:v>10852.441999999999</c:v>
                </c:pt>
                <c:pt idx="710">
                  <c:v>10852.441999999999</c:v>
                </c:pt>
                <c:pt idx="711">
                  <c:v>10852.441999999999</c:v>
                </c:pt>
                <c:pt idx="712">
                  <c:v>10884.441999999999</c:v>
                </c:pt>
                <c:pt idx="713">
                  <c:v>10884.441999999999</c:v>
                </c:pt>
                <c:pt idx="714">
                  <c:v>10884.441999999999</c:v>
                </c:pt>
                <c:pt idx="715">
                  <c:v>10884.441999999999</c:v>
                </c:pt>
                <c:pt idx="716">
                  <c:v>10884.441999999999</c:v>
                </c:pt>
                <c:pt idx="717">
                  <c:v>10884.441999999999</c:v>
                </c:pt>
                <c:pt idx="718">
                  <c:v>10884.441999999999</c:v>
                </c:pt>
                <c:pt idx="719">
                  <c:v>10884.441999999999</c:v>
                </c:pt>
                <c:pt idx="720">
                  <c:v>10884.441999999999</c:v>
                </c:pt>
                <c:pt idx="721">
                  <c:v>10884.441999999999</c:v>
                </c:pt>
                <c:pt idx="722">
                  <c:v>10884.441999999999</c:v>
                </c:pt>
                <c:pt idx="723">
                  <c:v>10884.441999999999</c:v>
                </c:pt>
                <c:pt idx="724">
                  <c:v>10884.441999999999</c:v>
                </c:pt>
                <c:pt idx="725">
                  <c:v>10884.441999999999</c:v>
                </c:pt>
                <c:pt idx="726">
                  <c:v>10884.441999999999</c:v>
                </c:pt>
                <c:pt idx="727">
                  <c:v>10884.441999999999</c:v>
                </c:pt>
                <c:pt idx="728">
                  <c:v>10884.441999999999</c:v>
                </c:pt>
                <c:pt idx="729">
                  <c:v>10884.441999999999</c:v>
                </c:pt>
                <c:pt idx="730">
                  <c:v>10884.441999999999</c:v>
                </c:pt>
                <c:pt idx="731">
                  <c:v>10884.441999999999</c:v>
                </c:pt>
                <c:pt idx="732">
                  <c:v>10884.441999999999</c:v>
                </c:pt>
                <c:pt idx="733">
                  <c:v>10884.441999999999</c:v>
                </c:pt>
                <c:pt idx="734">
                  <c:v>10932.441999999999</c:v>
                </c:pt>
                <c:pt idx="735">
                  <c:v>10932.441999999999</c:v>
                </c:pt>
                <c:pt idx="736">
                  <c:v>10932.441999999999</c:v>
                </c:pt>
                <c:pt idx="737">
                  <c:v>10932.441999999999</c:v>
                </c:pt>
                <c:pt idx="738">
                  <c:v>10932.441999999999</c:v>
                </c:pt>
                <c:pt idx="739">
                  <c:v>10932.441999999999</c:v>
                </c:pt>
                <c:pt idx="740">
                  <c:v>10932.441999999999</c:v>
                </c:pt>
                <c:pt idx="741">
                  <c:v>10932.441999999999</c:v>
                </c:pt>
                <c:pt idx="742">
                  <c:v>11012.441999999999</c:v>
                </c:pt>
                <c:pt idx="743">
                  <c:v>11012.441999999999</c:v>
                </c:pt>
                <c:pt idx="744">
                  <c:v>11092.441999999999</c:v>
                </c:pt>
                <c:pt idx="745">
                  <c:v>11092.441999999999</c:v>
                </c:pt>
                <c:pt idx="746">
                  <c:v>11092.441999999999</c:v>
                </c:pt>
                <c:pt idx="747">
                  <c:v>11092.441999999999</c:v>
                </c:pt>
                <c:pt idx="748">
                  <c:v>11092.441999999999</c:v>
                </c:pt>
                <c:pt idx="749">
                  <c:v>11092.441999999999</c:v>
                </c:pt>
                <c:pt idx="750">
                  <c:v>11316.441999999999</c:v>
                </c:pt>
                <c:pt idx="751">
                  <c:v>11316.441999999999</c:v>
                </c:pt>
                <c:pt idx="752">
                  <c:v>11316.441999999999</c:v>
                </c:pt>
                <c:pt idx="753">
                  <c:v>11316.441999999999</c:v>
                </c:pt>
                <c:pt idx="754">
                  <c:v>11316.441999999999</c:v>
                </c:pt>
                <c:pt idx="755">
                  <c:v>11316.441999999999</c:v>
                </c:pt>
                <c:pt idx="756">
                  <c:v>11540.441999999999</c:v>
                </c:pt>
                <c:pt idx="757">
                  <c:v>11540.441999999999</c:v>
                </c:pt>
                <c:pt idx="758">
                  <c:v>11540.441999999999</c:v>
                </c:pt>
                <c:pt idx="759">
                  <c:v>11540.441999999999</c:v>
                </c:pt>
                <c:pt idx="760">
                  <c:v>11620.441999999999</c:v>
                </c:pt>
                <c:pt idx="761">
                  <c:v>11844.441999999999</c:v>
                </c:pt>
                <c:pt idx="762">
                  <c:v>11844.441999999999</c:v>
                </c:pt>
                <c:pt idx="763">
                  <c:v>11844.441999999999</c:v>
                </c:pt>
                <c:pt idx="764">
                  <c:v>11844.441999999999</c:v>
                </c:pt>
                <c:pt idx="765">
                  <c:v>11844.441999999999</c:v>
                </c:pt>
                <c:pt idx="766">
                  <c:v>11844.441999999999</c:v>
                </c:pt>
                <c:pt idx="767">
                  <c:v>11844.441999999999</c:v>
                </c:pt>
                <c:pt idx="768">
                  <c:v>11844.441999999999</c:v>
                </c:pt>
                <c:pt idx="769">
                  <c:v>11844.441999999999</c:v>
                </c:pt>
                <c:pt idx="770">
                  <c:v>11844.441999999999</c:v>
                </c:pt>
                <c:pt idx="771">
                  <c:v>11924.441999999999</c:v>
                </c:pt>
                <c:pt idx="772">
                  <c:v>11924.441999999999</c:v>
                </c:pt>
                <c:pt idx="773">
                  <c:v>11924.441999999999</c:v>
                </c:pt>
                <c:pt idx="774">
                  <c:v>11924.441999999999</c:v>
                </c:pt>
                <c:pt idx="775">
                  <c:v>11924.441999999999</c:v>
                </c:pt>
                <c:pt idx="776">
                  <c:v>11924.441999999999</c:v>
                </c:pt>
                <c:pt idx="777">
                  <c:v>11924.441999999999</c:v>
                </c:pt>
                <c:pt idx="778">
                  <c:v>12036.441999999999</c:v>
                </c:pt>
                <c:pt idx="779">
                  <c:v>12084.441999999999</c:v>
                </c:pt>
                <c:pt idx="780">
                  <c:v>12084.441999999999</c:v>
                </c:pt>
                <c:pt idx="781">
                  <c:v>12084.441999999999</c:v>
                </c:pt>
                <c:pt idx="782">
                  <c:v>12084.441999999999</c:v>
                </c:pt>
                <c:pt idx="783">
                  <c:v>12084.441999999999</c:v>
                </c:pt>
                <c:pt idx="784">
                  <c:v>12084.441999999999</c:v>
                </c:pt>
                <c:pt idx="785">
                  <c:v>12084.441999999999</c:v>
                </c:pt>
                <c:pt idx="786">
                  <c:v>12084.441999999999</c:v>
                </c:pt>
                <c:pt idx="787">
                  <c:v>12084.441999999999</c:v>
                </c:pt>
                <c:pt idx="788">
                  <c:v>11380.441999999999</c:v>
                </c:pt>
                <c:pt idx="789">
                  <c:v>11380.441999999999</c:v>
                </c:pt>
                <c:pt idx="790">
                  <c:v>11380.441999999999</c:v>
                </c:pt>
                <c:pt idx="791">
                  <c:v>11380.441999999999</c:v>
                </c:pt>
                <c:pt idx="792">
                  <c:v>11380.441999999999</c:v>
                </c:pt>
                <c:pt idx="793">
                  <c:v>11380.441999999999</c:v>
                </c:pt>
                <c:pt idx="794">
                  <c:v>11380.441999999999</c:v>
                </c:pt>
                <c:pt idx="795">
                  <c:v>11380.441999999999</c:v>
                </c:pt>
                <c:pt idx="796">
                  <c:v>11428.441999999999</c:v>
                </c:pt>
                <c:pt idx="797">
                  <c:v>11428.441999999999</c:v>
                </c:pt>
                <c:pt idx="798">
                  <c:v>11428.441999999999</c:v>
                </c:pt>
                <c:pt idx="799">
                  <c:v>11428.441999999999</c:v>
                </c:pt>
                <c:pt idx="800">
                  <c:v>11428.441999999999</c:v>
                </c:pt>
                <c:pt idx="801">
                  <c:v>11428.441999999999</c:v>
                </c:pt>
                <c:pt idx="802">
                  <c:v>11428.441999999999</c:v>
                </c:pt>
                <c:pt idx="803">
                  <c:v>11428.441999999999</c:v>
                </c:pt>
                <c:pt idx="804">
                  <c:v>11428.441999999999</c:v>
                </c:pt>
                <c:pt idx="805">
                  <c:v>11428.441999999999</c:v>
                </c:pt>
                <c:pt idx="806">
                  <c:v>11428.441999999999</c:v>
                </c:pt>
                <c:pt idx="807">
                  <c:v>11508.441999999999</c:v>
                </c:pt>
                <c:pt idx="808">
                  <c:v>11556.441999999999</c:v>
                </c:pt>
                <c:pt idx="809">
                  <c:v>11556.441999999999</c:v>
                </c:pt>
                <c:pt idx="810">
                  <c:v>11876.441999999999</c:v>
                </c:pt>
                <c:pt idx="811">
                  <c:v>11876.441999999999</c:v>
                </c:pt>
                <c:pt idx="812">
                  <c:v>11876.441999999999</c:v>
                </c:pt>
                <c:pt idx="813">
                  <c:v>12196.441999999999</c:v>
                </c:pt>
                <c:pt idx="814">
                  <c:v>12196.441999999999</c:v>
                </c:pt>
                <c:pt idx="815">
                  <c:v>12196.441999999999</c:v>
                </c:pt>
                <c:pt idx="816">
                  <c:v>12196.441999999999</c:v>
                </c:pt>
                <c:pt idx="817">
                  <c:v>12196.441999999999</c:v>
                </c:pt>
                <c:pt idx="818">
                  <c:v>12196.441999999999</c:v>
                </c:pt>
                <c:pt idx="819">
                  <c:v>12900.441999999999</c:v>
                </c:pt>
                <c:pt idx="820">
                  <c:v>12900.441999999999</c:v>
                </c:pt>
                <c:pt idx="821">
                  <c:v>12980.441999999999</c:v>
                </c:pt>
                <c:pt idx="822">
                  <c:v>12980.441999999999</c:v>
                </c:pt>
                <c:pt idx="823">
                  <c:v>12980.441999999999</c:v>
                </c:pt>
                <c:pt idx="824">
                  <c:v>12980.441999999999</c:v>
                </c:pt>
                <c:pt idx="825">
                  <c:v>12980.441999999999</c:v>
                </c:pt>
                <c:pt idx="826">
                  <c:v>12980.441999999999</c:v>
                </c:pt>
                <c:pt idx="827">
                  <c:v>12980.441999999999</c:v>
                </c:pt>
                <c:pt idx="828">
                  <c:v>12980.441999999999</c:v>
                </c:pt>
                <c:pt idx="829">
                  <c:v>12980.441999999999</c:v>
                </c:pt>
                <c:pt idx="830">
                  <c:v>12948.441999999999</c:v>
                </c:pt>
                <c:pt idx="831">
                  <c:v>12948.441999999999</c:v>
                </c:pt>
                <c:pt idx="832">
                  <c:v>12948.441999999999</c:v>
                </c:pt>
                <c:pt idx="833">
                  <c:v>12948.441999999999</c:v>
                </c:pt>
                <c:pt idx="834">
                  <c:v>13092.441999999999</c:v>
                </c:pt>
                <c:pt idx="835">
                  <c:v>13092.441999999999</c:v>
                </c:pt>
                <c:pt idx="836">
                  <c:v>13092.441999999999</c:v>
                </c:pt>
                <c:pt idx="837">
                  <c:v>13092.441999999999</c:v>
                </c:pt>
                <c:pt idx="838">
                  <c:v>13092.441999999999</c:v>
                </c:pt>
                <c:pt idx="839">
                  <c:v>13156.441999999999</c:v>
                </c:pt>
                <c:pt idx="840">
                  <c:v>13156.441999999999</c:v>
                </c:pt>
                <c:pt idx="841">
                  <c:v>13316.441999999999</c:v>
                </c:pt>
                <c:pt idx="842">
                  <c:v>13316.441999999999</c:v>
                </c:pt>
                <c:pt idx="843">
                  <c:v>13508.441999999999</c:v>
                </c:pt>
                <c:pt idx="844">
                  <c:v>13668.441999999999</c:v>
                </c:pt>
                <c:pt idx="845">
                  <c:v>13668.441999999999</c:v>
                </c:pt>
                <c:pt idx="846">
                  <c:v>13668.441999999999</c:v>
                </c:pt>
                <c:pt idx="847">
                  <c:v>13668.441999999999</c:v>
                </c:pt>
                <c:pt idx="848">
                  <c:v>13668.441999999999</c:v>
                </c:pt>
                <c:pt idx="849">
                  <c:v>13668.441999999999</c:v>
                </c:pt>
                <c:pt idx="850">
                  <c:v>13668.441999999999</c:v>
                </c:pt>
                <c:pt idx="851">
                  <c:v>13668.441999999999</c:v>
                </c:pt>
                <c:pt idx="852">
                  <c:v>13668.441999999999</c:v>
                </c:pt>
                <c:pt idx="853">
                  <c:v>13668.441999999999</c:v>
                </c:pt>
                <c:pt idx="854">
                  <c:v>13716.441999999999</c:v>
                </c:pt>
                <c:pt idx="855">
                  <c:v>13716.441999999999</c:v>
                </c:pt>
                <c:pt idx="856">
                  <c:v>13716.441999999999</c:v>
                </c:pt>
                <c:pt idx="857">
                  <c:v>13716.441999999999</c:v>
                </c:pt>
                <c:pt idx="858">
                  <c:v>13716.441999999999</c:v>
                </c:pt>
                <c:pt idx="859">
                  <c:v>13716.441999999999</c:v>
                </c:pt>
                <c:pt idx="860">
                  <c:v>13716.441999999999</c:v>
                </c:pt>
                <c:pt idx="861">
                  <c:v>13716.441999999999</c:v>
                </c:pt>
                <c:pt idx="862">
                  <c:v>13956.441999999999</c:v>
                </c:pt>
                <c:pt idx="863">
                  <c:v>13956.441999999999</c:v>
                </c:pt>
                <c:pt idx="864">
                  <c:v>13956.441999999999</c:v>
                </c:pt>
                <c:pt idx="865">
                  <c:v>14196.441999999999</c:v>
                </c:pt>
                <c:pt idx="866">
                  <c:v>14436.441999999999</c:v>
                </c:pt>
                <c:pt idx="867">
                  <c:v>14436.441999999999</c:v>
                </c:pt>
                <c:pt idx="868">
                  <c:v>14436.441999999999</c:v>
                </c:pt>
                <c:pt idx="869">
                  <c:v>14436.441999999999</c:v>
                </c:pt>
                <c:pt idx="870">
                  <c:v>14436.441999999999</c:v>
                </c:pt>
                <c:pt idx="871">
                  <c:v>14436.441999999999</c:v>
                </c:pt>
                <c:pt idx="872">
                  <c:v>14436.441999999999</c:v>
                </c:pt>
                <c:pt idx="873">
                  <c:v>14468.441999999999</c:v>
                </c:pt>
                <c:pt idx="874">
                  <c:v>14468.441999999999</c:v>
                </c:pt>
                <c:pt idx="875">
                  <c:v>14468.441999999999</c:v>
                </c:pt>
                <c:pt idx="876">
                  <c:v>14468.441999999999</c:v>
                </c:pt>
                <c:pt idx="877">
                  <c:v>14468.441999999999</c:v>
                </c:pt>
                <c:pt idx="878">
                  <c:v>14468.441999999999</c:v>
                </c:pt>
                <c:pt idx="879">
                  <c:v>14468.441999999999</c:v>
                </c:pt>
                <c:pt idx="880">
                  <c:v>14468.441999999999</c:v>
                </c:pt>
                <c:pt idx="881">
                  <c:v>14468.441999999999</c:v>
                </c:pt>
                <c:pt idx="882">
                  <c:v>14468.441999999999</c:v>
                </c:pt>
                <c:pt idx="883">
                  <c:v>14468.441999999999</c:v>
                </c:pt>
                <c:pt idx="884">
                  <c:v>14468.441999999999</c:v>
                </c:pt>
                <c:pt idx="885">
                  <c:v>14468.441999999999</c:v>
                </c:pt>
                <c:pt idx="886">
                  <c:v>14468.441999999999</c:v>
                </c:pt>
                <c:pt idx="887">
                  <c:v>14468.441999999999</c:v>
                </c:pt>
                <c:pt idx="888">
                  <c:v>14548.441999999999</c:v>
                </c:pt>
                <c:pt idx="889">
                  <c:v>14548.441999999999</c:v>
                </c:pt>
                <c:pt idx="890">
                  <c:v>14788.441999999999</c:v>
                </c:pt>
                <c:pt idx="891">
                  <c:v>14788.441999999999</c:v>
                </c:pt>
                <c:pt idx="892">
                  <c:v>14788.441999999999</c:v>
                </c:pt>
                <c:pt idx="893">
                  <c:v>14788.441999999999</c:v>
                </c:pt>
                <c:pt idx="894">
                  <c:v>14788.441999999999</c:v>
                </c:pt>
                <c:pt idx="895">
                  <c:v>14788.441999999999</c:v>
                </c:pt>
                <c:pt idx="896">
                  <c:v>14980.441999999999</c:v>
                </c:pt>
                <c:pt idx="897">
                  <c:v>15140.441999999999</c:v>
                </c:pt>
                <c:pt idx="898">
                  <c:v>15140.441999999999</c:v>
                </c:pt>
                <c:pt idx="899">
                  <c:v>15140.441999999999</c:v>
                </c:pt>
                <c:pt idx="900">
                  <c:v>15140.441999999999</c:v>
                </c:pt>
                <c:pt idx="901">
                  <c:v>15140.441999999999</c:v>
                </c:pt>
                <c:pt idx="902">
                  <c:v>15140.441999999999</c:v>
                </c:pt>
                <c:pt idx="903">
                  <c:v>15140.441999999999</c:v>
                </c:pt>
                <c:pt idx="904">
                  <c:v>15140.441999999999</c:v>
                </c:pt>
                <c:pt idx="905">
                  <c:v>15140.441999999999</c:v>
                </c:pt>
                <c:pt idx="906">
                  <c:v>15140.441999999999</c:v>
                </c:pt>
                <c:pt idx="907">
                  <c:v>14500.441999999999</c:v>
                </c:pt>
                <c:pt idx="908">
                  <c:v>14596.441999999999</c:v>
                </c:pt>
                <c:pt idx="909">
                  <c:v>14756.441999999999</c:v>
                </c:pt>
                <c:pt idx="910">
                  <c:v>14756.441999999999</c:v>
                </c:pt>
                <c:pt idx="911">
                  <c:v>14756.441999999999</c:v>
                </c:pt>
                <c:pt idx="912">
                  <c:v>14756.441999999999</c:v>
                </c:pt>
                <c:pt idx="913">
                  <c:v>14516.441999999999</c:v>
                </c:pt>
                <c:pt idx="914">
                  <c:v>14516.441999999999</c:v>
                </c:pt>
                <c:pt idx="915">
                  <c:v>14516.441999999999</c:v>
                </c:pt>
                <c:pt idx="916">
                  <c:v>14516.441999999999</c:v>
                </c:pt>
                <c:pt idx="917">
                  <c:v>15092.441999999999</c:v>
                </c:pt>
                <c:pt idx="918">
                  <c:v>15092.441999999999</c:v>
                </c:pt>
                <c:pt idx="919">
                  <c:v>15092.441999999999</c:v>
                </c:pt>
                <c:pt idx="920">
                  <c:v>15092.441999999999</c:v>
                </c:pt>
                <c:pt idx="921">
                  <c:v>15092.441999999999</c:v>
                </c:pt>
                <c:pt idx="922">
                  <c:v>15092.441999999999</c:v>
                </c:pt>
                <c:pt idx="923">
                  <c:v>15092.441999999999</c:v>
                </c:pt>
                <c:pt idx="924">
                  <c:v>15092.441999999999</c:v>
                </c:pt>
                <c:pt idx="925">
                  <c:v>15332.441999999999</c:v>
                </c:pt>
                <c:pt idx="926">
                  <c:v>15492.441999999999</c:v>
                </c:pt>
                <c:pt idx="927">
                  <c:v>15492.441999999999</c:v>
                </c:pt>
                <c:pt idx="928">
                  <c:v>15492.441999999999</c:v>
                </c:pt>
                <c:pt idx="929">
                  <c:v>15492.441999999999</c:v>
                </c:pt>
                <c:pt idx="930">
                  <c:v>15492.441999999999</c:v>
                </c:pt>
                <c:pt idx="931">
                  <c:v>15492.441999999999</c:v>
                </c:pt>
                <c:pt idx="932">
                  <c:v>15668.441999999999</c:v>
                </c:pt>
                <c:pt idx="933">
                  <c:v>15668.441999999999</c:v>
                </c:pt>
                <c:pt idx="934">
                  <c:v>15668.441999999999</c:v>
                </c:pt>
                <c:pt idx="935">
                  <c:v>15668.441999999999</c:v>
                </c:pt>
                <c:pt idx="936">
                  <c:v>15668.441999999999</c:v>
                </c:pt>
                <c:pt idx="937">
                  <c:v>15668.441999999999</c:v>
                </c:pt>
                <c:pt idx="938">
                  <c:v>15668.441999999999</c:v>
                </c:pt>
                <c:pt idx="939">
                  <c:v>15668.441999999999</c:v>
                </c:pt>
                <c:pt idx="940">
                  <c:v>15700.441999999999</c:v>
                </c:pt>
                <c:pt idx="941">
                  <c:v>15700.441999999999</c:v>
                </c:pt>
                <c:pt idx="942">
                  <c:v>15732.441999999999</c:v>
                </c:pt>
                <c:pt idx="943">
                  <c:v>15732.441999999999</c:v>
                </c:pt>
                <c:pt idx="944">
                  <c:v>15732.441999999999</c:v>
                </c:pt>
                <c:pt idx="945">
                  <c:v>15732.441999999999</c:v>
                </c:pt>
                <c:pt idx="946">
                  <c:v>15764.441999999999</c:v>
                </c:pt>
                <c:pt idx="947">
                  <c:v>15764.441999999999</c:v>
                </c:pt>
                <c:pt idx="948">
                  <c:v>15764.441999999999</c:v>
                </c:pt>
                <c:pt idx="949">
                  <c:v>15764.441999999999</c:v>
                </c:pt>
                <c:pt idx="950">
                  <c:v>15764.441999999999</c:v>
                </c:pt>
                <c:pt idx="951">
                  <c:v>15764.441999999999</c:v>
                </c:pt>
                <c:pt idx="952">
                  <c:v>15764.441999999999</c:v>
                </c:pt>
                <c:pt idx="953">
                  <c:v>15764.441999999999</c:v>
                </c:pt>
                <c:pt idx="954">
                  <c:v>15764.441999999999</c:v>
                </c:pt>
                <c:pt idx="955">
                  <c:v>15764.441999999999</c:v>
                </c:pt>
                <c:pt idx="956">
                  <c:v>15764.441999999999</c:v>
                </c:pt>
                <c:pt idx="957">
                  <c:v>15764.441999999999</c:v>
                </c:pt>
                <c:pt idx="958">
                  <c:v>15876.441999999999</c:v>
                </c:pt>
                <c:pt idx="959">
                  <c:v>15876.441999999999</c:v>
                </c:pt>
                <c:pt idx="960">
                  <c:v>15836.441999999999</c:v>
                </c:pt>
                <c:pt idx="961">
                  <c:v>15860.441999999999</c:v>
                </c:pt>
                <c:pt idx="962">
                  <c:v>15871.642</c:v>
                </c:pt>
                <c:pt idx="963">
                  <c:v>15871.642</c:v>
                </c:pt>
                <c:pt idx="964">
                  <c:v>15871.642</c:v>
                </c:pt>
                <c:pt idx="965">
                  <c:v>15871.642</c:v>
                </c:pt>
                <c:pt idx="966">
                  <c:v>15871.642</c:v>
                </c:pt>
                <c:pt idx="967">
                  <c:v>15871.642</c:v>
                </c:pt>
                <c:pt idx="968">
                  <c:v>15871.642</c:v>
                </c:pt>
                <c:pt idx="969">
                  <c:v>15871.642</c:v>
                </c:pt>
                <c:pt idx="970">
                  <c:v>15871.642</c:v>
                </c:pt>
                <c:pt idx="971">
                  <c:v>15871.642</c:v>
                </c:pt>
                <c:pt idx="972">
                  <c:v>15871.642</c:v>
                </c:pt>
                <c:pt idx="973">
                  <c:v>15871.642</c:v>
                </c:pt>
                <c:pt idx="974">
                  <c:v>15871.642</c:v>
                </c:pt>
                <c:pt idx="975">
                  <c:v>15871.642</c:v>
                </c:pt>
                <c:pt idx="976">
                  <c:v>15871.642</c:v>
                </c:pt>
                <c:pt idx="977">
                  <c:v>15871.642</c:v>
                </c:pt>
                <c:pt idx="978">
                  <c:v>15871.642</c:v>
                </c:pt>
                <c:pt idx="979">
                  <c:v>15871.642</c:v>
                </c:pt>
                <c:pt idx="980">
                  <c:v>15871.642</c:v>
                </c:pt>
                <c:pt idx="981">
                  <c:v>15871.642</c:v>
                </c:pt>
                <c:pt idx="982">
                  <c:v>15887.642</c:v>
                </c:pt>
                <c:pt idx="983">
                  <c:v>16063.642</c:v>
                </c:pt>
                <c:pt idx="984">
                  <c:v>16143.642</c:v>
                </c:pt>
                <c:pt idx="985">
                  <c:v>16143.642</c:v>
                </c:pt>
                <c:pt idx="986">
                  <c:v>16335.642</c:v>
                </c:pt>
                <c:pt idx="987">
                  <c:v>16399.642</c:v>
                </c:pt>
                <c:pt idx="988">
                  <c:v>16543.642</c:v>
                </c:pt>
                <c:pt idx="989">
                  <c:v>16703.642</c:v>
                </c:pt>
                <c:pt idx="990">
                  <c:v>16703.642</c:v>
                </c:pt>
                <c:pt idx="991">
                  <c:v>16703.642</c:v>
                </c:pt>
                <c:pt idx="992">
                  <c:v>16895.642</c:v>
                </c:pt>
                <c:pt idx="993">
                  <c:v>16895.642</c:v>
                </c:pt>
                <c:pt idx="994">
                  <c:v>16895.642</c:v>
                </c:pt>
                <c:pt idx="995">
                  <c:v>16895.642</c:v>
                </c:pt>
                <c:pt idx="996">
                  <c:v>16975.642</c:v>
                </c:pt>
                <c:pt idx="997">
                  <c:v>17215.642</c:v>
                </c:pt>
                <c:pt idx="998">
                  <c:v>17215.642</c:v>
                </c:pt>
                <c:pt idx="999">
                  <c:v>17215.642</c:v>
                </c:pt>
                <c:pt idx="1000">
                  <c:v>17215.642</c:v>
                </c:pt>
                <c:pt idx="1001">
                  <c:v>17215.642</c:v>
                </c:pt>
                <c:pt idx="1002">
                  <c:v>17215.642</c:v>
                </c:pt>
                <c:pt idx="1003">
                  <c:v>17327.642</c:v>
                </c:pt>
                <c:pt idx="1004">
                  <c:v>17327.642</c:v>
                </c:pt>
                <c:pt idx="1005">
                  <c:v>17327.642</c:v>
                </c:pt>
                <c:pt idx="1006">
                  <c:v>17327.642</c:v>
                </c:pt>
                <c:pt idx="1007">
                  <c:v>17327.642</c:v>
                </c:pt>
                <c:pt idx="1008">
                  <c:v>16751.642</c:v>
                </c:pt>
                <c:pt idx="1009">
                  <c:v>16367.642</c:v>
                </c:pt>
                <c:pt idx="1010">
                  <c:v>16415.642</c:v>
                </c:pt>
                <c:pt idx="1011">
                  <c:v>16415.642</c:v>
                </c:pt>
                <c:pt idx="1012">
                  <c:v>16415.642</c:v>
                </c:pt>
                <c:pt idx="1013">
                  <c:v>16415.642</c:v>
                </c:pt>
                <c:pt idx="1014">
                  <c:v>16415.642</c:v>
                </c:pt>
                <c:pt idx="1015">
                  <c:v>16415.642</c:v>
                </c:pt>
                <c:pt idx="1016">
                  <c:v>16415.642</c:v>
                </c:pt>
                <c:pt idx="1017">
                  <c:v>16095.642</c:v>
                </c:pt>
                <c:pt idx="1018">
                  <c:v>15791.642</c:v>
                </c:pt>
                <c:pt idx="1019">
                  <c:v>15983.642</c:v>
                </c:pt>
                <c:pt idx="1020">
                  <c:v>15983.642</c:v>
                </c:pt>
                <c:pt idx="1021">
                  <c:v>16031.642</c:v>
                </c:pt>
                <c:pt idx="1022">
                  <c:v>16063.642</c:v>
                </c:pt>
                <c:pt idx="1023">
                  <c:v>16063.642</c:v>
                </c:pt>
                <c:pt idx="1024">
                  <c:v>16063.642</c:v>
                </c:pt>
                <c:pt idx="1025">
                  <c:v>16063.642</c:v>
                </c:pt>
                <c:pt idx="1026">
                  <c:v>16063.642</c:v>
                </c:pt>
                <c:pt idx="1027">
                  <c:v>16063.642</c:v>
                </c:pt>
                <c:pt idx="1028">
                  <c:v>16063.642</c:v>
                </c:pt>
                <c:pt idx="1029">
                  <c:v>16255.642</c:v>
                </c:pt>
                <c:pt idx="1030">
                  <c:v>16479.642</c:v>
                </c:pt>
                <c:pt idx="1031">
                  <c:v>16863.642</c:v>
                </c:pt>
                <c:pt idx="1032">
                  <c:v>16927.642</c:v>
                </c:pt>
                <c:pt idx="1033">
                  <c:v>16927.642</c:v>
                </c:pt>
                <c:pt idx="1034">
                  <c:v>16927.642</c:v>
                </c:pt>
                <c:pt idx="1035">
                  <c:v>16927.642</c:v>
                </c:pt>
                <c:pt idx="1036">
                  <c:v>17039.642</c:v>
                </c:pt>
                <c:pt idx="1037">
                  <c:v>17039.642</c:v>
                </c:pt>
                <c:pt idx="1038">
                  <c:v>17039.642</c:v>
                </c:pt>
                <c:pt idx="1039">
                  <c:v>17039.642</c:v>
                </c:pt>
                <c:pt idx="1040">
                  <c:v>17039.642</c:v>
                </c:pt>
                <c:pt idx="1041">
                  <c:v>17039.642</c:v>
                </c:pt>
                <c:pt idx="1042">
                  <c:v>17039.642</c:v>
                </c:pt>
                <c:pt idx="1043">
                  <c:v>17039.642</c:v>
                </c:pt>
                <c:pt idx="1044">
                  <c:v>17039.642</c:v>
                </c:pt>
                <c:pt idx="1045">
                  <c:v>17039.642</c:v>
                </c:pt>
                <c:pt idx="1046">
                  <c:v>17039.642</c:v>
                </c:pt>
                <c:pt idx="1047">
                  <c:v>17151.642</c:v>
                </c:pt>
                <c:pt idx="1048">
                  <c:v>17151.642</c:v>
                </c:pt>
                <c:pt idx="1049">
                  <c:v>17151.642</c:v>
                </c:pt>
                <c:pt idx="1050">
                  <c:v>17151.642</c:v>
                </c:pt>
                <c:pt idx="1051">
                  <c:v>17151.642</c:v>
                </c:pt>
                <c:pt idx="1052">
                  <c:v>17151.642</c:v>
                </c:pt>
                <c:pt idx="1053">
                  <c:v>17375.642</c:v>
                </c:pt>
                <c:pt idx="1054">
                  <c:v>17599.642</c:v>
                </c:pt>
                <c:pt idx="1055">
                  <c:v>17679.642</c:v>
                </c:pt>
                <c:pt idx="1056">
                  <c:v>17679.642</c:v>
                </c:pt>
                <c:pt idx="1057">
                  <c:v>17679.642</c:v>
                </c:pt>
                <c:pt idx="1058">
                  <c:v>17679.642</c:v>
                </c:pt>
                <c:pt idx="1059">
                  <c:v>17679.642</c:v>
                </c:pt>
                <c:pt idx="1060">
                  <c:v>17679.642</c:v>
                </c:pt>
                <c:pt idx="1061">
                  <c:v>17679.642</c:v>
                </c:pt>
                <c:pt idx="1062">
                  <c:v>17951.642</c:v>
                </c:pt>
                <c:pt idx="1063">
                  <c:v>17951.642</c:v>
                </c:pt>
                <c:pt idx="1064">
                  <c:v>17951.642</c:v>
                </c:pt>
                <c:pt idx="1065">
                  <c:v>17951.642</c:v>
                </c:pt>
                <c:pt idx="1066">
                  <c:v>17951.642</c:v>
                </c:pt>
                <c:pt idx="1067">
                  <c:v>17951.642</c:v>
                </c:pt>
                <c:pt idx="1068">
                  <c:v>17567.642</c:v>
                </c:pt>
                <c:pt idx="1069">
                  <c:v>17567.642</c:v>
                </c:pt>
                <c:pt idx="1070">
                  <c:v>17567.642</c:v>
                </c:pt>
                <c:pt idx="1071">
                  <c:v>17567.642</c:v>
                </c:pt>
                <c:pt idx="1072">
                  <c:v>16831.642</c:v>
                </c:pt>
                <c:pt idx="1073">
                  <c:v>16831.642</c:v>
                </c:pt>
                <c:pt idx="1074">
                  <c:v>16255.642</c:v>
                </c:pt>
                <c:pt idx="1075">
                  <c:v>16639.642</c:v>
                </c:pt>
                <c:pt idx="1076">
                  <c:v>16639.642</c:v>
                </c:pt>
                <c:pt idx="1077">
                  <c:v>16639.642</c:v>
                </c:pt>
                <c:pt idx="1078">
                  <c:v>16639.642</c:v>
                </c:pt>
                <c:pt idx="1079">
                  <c:v>16639.642</c:v>
                </c:pt>
                <c:pt idx="1080">
                  <c:v>16639.642</c:v>
                </c:pt>
                <c:pt idx="1081">
                  <c:v>16639.642</c:v>
                </c:pt>
                <c:pt idx="1082">
                  <c:v>16639.642</c:v>
                </c:pt>
                <c:pt idx="1083">
                  <c:v>16639.642</c:v>
                </c:pt>
                <c:pt idx="1084">
                  <c:v>16831.642</c:v>
                </c:pt>
                <c:pt idx="1085">
                  <c:v>16831.642</c:v>
                </c:pt>
                <c:pt idx="1086">
                  <c:v>16831.642</c:v>
                </c:pt>
                <c:pt idx="1087">
                  <c:v>16831.642</c:v>
                </c:pt>
                <c:pt idx="1088">
                  <c:v>17215.642</c:v>
                </c:pt>
                <c:pt idx="1089">
                  <c:v>17215.642</c:v>
                </c:pt>
                <c:pt idx="1090">
                  <c:v>17375.642</c:v>
                </c:pt>
                <c:pt idx="1091">
                  <c:v>17375.642</c:v>
                </c:pt>
                <c:pt idx="1092">
                  <c:v>17375.642</c:v>
                </c:pt>
                <c:pt idx="1093">
                  <c:v>17375.642</c:v>
                </c:pt>
                <c:pt idx="1094">
                  <c:v>14879.642</c:v>
                </c:pt>
                <c:pt idx="1095">
                  <c:v>15023.642</c:v>
                </c:pt>
                <c:pt idx="1096">
                  <c:v>14639.642</c:v>
                </c:pt>
                <c:pt idx="1097">
                  <c:v>14639.642</c:v>
                </c:pt>
                <c:pt idx="1098">
                  <c:v>14639.642</c:v>
                </c:pt>
                <c:pt idx="1099">
                  <c:v>14639.642</c:v>
                </c:pt>
                <c:pt idx="1100">
                  <c:v>14639.642</c:v>
                </c:pt>
                <c:pt idx="1101">
                  <c:v>14799.642</c:v>
                </c:pt>
                <c:pt idx="1102">
                  <c:v>14799.642</c:v>
                </c:pt>
                <c:pt idx="1103">
                  <c:v>14799.642</c:v>
                </c:pt>
                <c:pt idx="1104">
                  <c:v>14799.642</c:v>
                </c:pt>
                <c:pt idx="1105">
                  <c:v>14831.642</c:v>
                </c:pt>
                <c:pt idx="1106">
                  <c:v>14991.642</c:v>
                </c:pt>
                <c:pt idx="1107">
                  <c:v>14991.642</c:v>
                </c:pt>
                <c:pt idx="1108">
                  <c:v>14991.642</c:v>
                </c:pt>
                <c:pt idx="1109">
                  <c:v>14991.642</c:v>
                </c:pt>
                <c:pt idx="1110">
                  <c:v>14991.642</c:v>
                </c:pt>
                <c:pt idx="1111">
                  <c:v>15007.642</c:v>
                </c:pt>
                <c:pt idx="1112">
                  <c:v>15167.642</c:v>
                </c:pt>
                <c:pt idx="1113">
                  <c:v>15167.642</c:v>
                </c:pt>
                <c:pt idx="1114">
                  <c:v>15167.642</c:v>
                </c:pt>
                <c:pt idx="1115">
                  <c:v>15167.642</c:v>
                </c:pt>
                <c:pt idx="1116">
                  <c:v>15167.642</c:v>
                </c:pt>
                <c:pt idx="1117">
                  <c:v>15167.642</c:v>
                </c:pt>
                <c:pt idx="1118">
                  <c:v>15167.642</c:v>
                </c:pt>
                <c:pt idx="1119">
                  <c:v>15167.642</c:v>
                </c:pt>
                <c:pt idx="1120">
                  <c:v>15167.642</c:v>
                </c:pt>
                <c:pt idx="1121">
                  <c:v>15167.642</c:v>
                </c:pt>
                <c:pt idx="1122">
                  <c:v>15167.642</c:v>
                </c:pt>
                <c:pt idx="1123">
                  <c:v>15167.642</c:v>
                </c:pt>
                <c:pt idx="1124">
                  <c:v>15167.642</c:v>
                </c:pt>
                <c:pt idx="1125">
                  <c:v>15167.642</c:v>
                </c:pt>
                <c:pt idx="1126">
                  <c:v>15167.642</c:v>
                </c:pt>
                <c:pt idx="1127">
                  <c:v>15167.642</c:v>
                </c:pt>
                <c:pt idx="1128">
                  <c:v>15167.642</c:v>
                </c:pt>
                <c:pt idx="1129">
                  <c:v>15167.642</c:v>
                </c:pt>
                <c:pt idx="1130">
                  <c:v>15167.642</c:v>
                </c:pt>
                <c:pt idx="1131">
                  <c:v>15167.642</c:v>
                </c:pt>
                <c:pt idx="1132">
                  <c:v>15167.642</c:v>
                </c:pt>
                <c:pt idx="1133">
                  <c:v>15167.642</c:v>
                </c:pt>
                <c:pt idx="1134">
                  <c:v>15391.642</c:v>
                </c:pt>
                <c:pt idx="1135">
                  <c:v>15615.642</c:v>
                </c:pt>
                <c:pt idx="1136">
                  <c:v>15935.642</c:v>
                </c:pt>
                <c:pt idx="1137">
                  <c:v>15935.642</c:v>
                </c:pt>
                <c:pt idx="1138">
                  <c:v>15935.642</c:v>
                </c:pt>
                <c:pt idx="1139">
                  <c:v>15935.642</c:v>
                </c:pt>
                <c:pt idx="1140">
                  <c:v>15935.642</c:v>
                </c:pt>
                <c:pt idx="1141">
                  <c:v>15935.642</c:v>
                </c:pt>
                <c:pt idx="1142">
                  <c:v>15935.642</c:v>
                </c:pt>
                <c:pt idx="1143">
                  <c:v>15935.642</c:v>
                </c:pt>
                <c:pt idx="1144">
                  <c:v>15935.642</c:v>
                </c:pt>
                <c:pt idx="1145">
                  <c:v>15935.642</c:v>
                </c:pt>
                <c:pt idx="1146">
                  <c:v>15935.642</c:v>
                </c:pt>
                <c:pt idx="1147">
                  <c:v>16175.642</c:v>
                </c:pt>
                <c:pt idx="1148">
                  <c:v>16175.642</c:v>
                </c:pt>
                <c:pt idx="1149">
                  <c:v>16367.642</c:v>
                </c:pt>
                <c:pt idx="1150">
                  <c:v>16783.642</c:v>
                </c:pt>
                <c:pt idx="1151">
                  <c:v>16783.642</c:v>
                </c:pt>
                <c:pt idx="1152">
                  <c:v>17055.642</c:v>
                </c:pt>
                <c:pt idx="1153">
                  <c:v>17055.642</c:v>
                </c:pt>
                <c:pt idx="1154">
                  <c:v>17055.642</c:v>
                </c:pt>
                <c:pt idx="1155">
                  <c:v>17055.642</c:v>
                </c:pt>
                <c:pt idx="1156">
                  <c:v>17087.642</c:v>
                </c:pt>
                <c:pt idx="1157">
                  <c:v>17087.642</c:v>
                </c:pt>
                <c:pt idx="1158">
                  <c:v>17119.642</c:v>
                </c:pt>
                <c:pt idx="1159">
                  <c:v>17119.642</c:v>
                </c:pt>
                <c:pt idx="1160">
                  <c:v>17119.642</c:v>
                </c:pt>
                <c:pt idx="1161">
                  <c:v>17119.642</c:v>
                </c:pt>
                <c:pt idx="1162">
                  <c:v>17119.642</c:v>
                </c:pt>
                <c:pt idx="1163">
                  <c:v>17119.642</c:v>
                </c:pt>
                <c:pt idx="1164">
                  <c:v>17119.642</c:v>
                </c:pt>
                <c:pt idx="1165">
                  <c:v>17119.642</c:v>
                </c:pt>
                <c:pt idx="1166">
                  <c:v>17119.642</c:v>
                </c:pt>
                <c:pt idx="1167">
                  <c:v>17119.642</c:v>
                </c:pt>
                <c:pt idx="1168">
                  <c:v>17119.642</c:v>
                </c:pt>
                <c:pt idx="1169">
                  <c:v>17343.642</c:v>
                </c:pt>
                <c:pt idx="1170">
                  <c:v>17503.642</c:v>
                </c:pt>
                <c:pt idx="1171">
                  <c:v>17695.642</c:v>
                </c:pt>
                <c:pt idx="1172">
                  <c:v>17695.642</c:v>
                </c:pt>
                <c:pt idx="1173">
                  <c:v>17695.642</c:v>
                </c:pt>
                <c:pt idx="1174">
                  <c:v>17839.642</c:v>
                </c:pt>
                <c:pt idx="1175">
                  <c:v>18031.642</c:v>
                </c:pt>
                <c:pt idx="1176">
                  <c:v>18031.642</c:v>
                </c:pt>
                <c:pt idx="1177">
                  <c:v>18143.642</c:v>
                </c:pt>
                <c:pt idx="1178">
                  <c:v>17567.642</c:v>
                </c:pt>
                <c:pt idx="1179">
                  <c:v>17455.642</c:v>
                </c:pt>
                <c:pt idx="1180">
                  <c:v>17455.642</c:v>
                </c:pt>
                <c:pt idx="1181">
                  <c:v>17455.642</c:v>
                </c:pt>
                <c:pt idx="1182">
                  <c:v>17455.642</c:v>
                </c:pt>
                <c:pt idx="1183">
                  <c:v>17455.642</c:v>
                </c:pt>
                <c:pt idx="1184">
                  <c:v>17455.642</c:v>
                </c:pt>
                <c:pt idx="1185">
                  <c:v>17455.642</c:v>
                </c:pt>
                <c:pt idx="1186">
                  <c:v>17455.642</c:v>
                </c:pt>
                <c:pt idx="1187">
                  <c:v>17455.642</c:v>
                </c:pt>
                <c:pt idx="1188">
                  <c:v>17455.642</c:v>
                </c:pt>
                <c:pt idx="1189">
                  <c:v>17455.642</c:v>
                </c:pt>
                <c:pt idx="1190">
                  <c:v>17455.642</c:v>
                </c:pt>
                <c:pt idx="1191">
                  <c:v>17455.642</c:v>
                </c:pt>
                <c:pt idx="1192">
                  <c:v>17167.642</c:v>
                </c:pt>
                <c:pt idx="1193">
                  <c:v>17167.642</c:v>
                </c:pt>
                <c:pt idx="1194">
                  <c:v>17167.642</c:v>
                </c:pt>
                <c:pt idx="1195">
                  <c:v>17167.642</c:v>
                </c:pt>
                <c:pt idx="1196">
                  <c:v>17167.642</c:v>
                </c:pt>
                <c:pt idx="1197">
                  <c:v>17167.642</c:v>
                </c:pt>
                <c:pt idx="1198">
                  <c:v>17167.642</c:v>
                </c:pt>
                <c:pt idx="1199">
                  <c:v>17167.642</c:v>
                </c:pt>
                <c:pt idx="1200">
                  <c:v>17167.642</c:v>
                </c:pt>
                <c:pt idx="1201">
                  <c:v>17167.642</c:v>
                </c:pt>
                <c:pt idx="1202">
                  <c:v>17167.642</c:v>
                </c:pt>
                <c:pt idx="1203">
                  <c:v>17167.642</c:v>
                </c:pt>
                <c:pt idx="1204">
                  <c:v>16943.642</c:v>
                </c:pt>
                <c:pt idx="1205">
                  <c:v>16943.642</c:v>
                </c:pt>
                <c:pt idx="1206">
                  <c:v>16943.642</c:v>
                </c:pt>
                <c:pt idx="1207">
                  <c:v>16943.642</c:v>
                </c:pt>
                <c:pt idx="1208">
                  <c:v>16943.642</c:v>
                </c:pt>
                <c:pt idx="1209">
                  <c:v>16943.642</c:v>
                </c:pt>
                <c:pt idx="1210">
                  <c:v>16943.642</c:v>
                </c:pt>
                <c:pt idx="1211">
                  <c:v>16943.642</c:v>
                </c:pt>
                <c:pt idx="1212">
                  <c:v>16943.642</c:v>
                </c:pt>
                <c:pt idx="1213">
                  <c:v>16943.642</c:v>
                </c:pt>
                <c:pt idx="1214">
                  <c:v>16943.642</c:v>
                </c:pt>
                <c:pt idx="1215">
                  <c:v>17279.642</c:v>
                </c:pt>
                <c:pt idx="1216">
                  <c:v>19247.642</c:v>
                </c:pt>
                <c:pt idx="1217">
                  <c:v>19247.642</c:v>
                </c:pt>
                <c:pt idx="1218">
                  <c:v>19247.642</c:v>
                </c:pt>
                <c:pt idx="1219">
                  <c:v>19247.642</c:v>
                </c:pt>
                <c:pt idx="1220">
                  <c:v>19247.642</c:v>
                </c:pt>
                <c:pt idx="1221">
                  <c:v>19247.642</c:v>
                </c:pt>
                <c:pt idx="1222">
                  <c:v>19439.642</c:v>
                </c:pt>
                <c:pt idx="1223">
                  <c:v>19439.642</c:v>
                </c:pt>
                <c:pt idx="1224">
                  <c:v>19439.642</c:v>
                </c:pt>
                <c:pt idx="1225">
                  <c:v>19439.642</c:v>
                </c:pt>
                <c:pt idx="1226">
                  <c:v>19663.642</c:v>
                </c:pt>
                <c:pt idx="1227">
                  <c:v>19663.642</c:v>
                </c:pt>
                <c:pt idx="1228">
                  <c:v>19663.642</c:v>
                </c:pt>
                <c:pt idx="1229">
                  <c:v>19919.642</c:v>
                </c:pt>
                <c:pt idx="1230">
                  <c:v>19919.642</c:v>
                </c:pt>
                <c:pt idx="1231">
                  <c:v>20159.642</c:v>
                </c:pt>
                <c:pt idx="1232">
                  <c:v>20159.642</c:v>
                </c:pt>
                <c:pt idx="1233">
                  <c:v>20271.642</c:v>
                </c:pt>
                <c:pt idx="1234">
                  <c:v>20463.642</c:v>
                </c:pt>
                <c:pt idx="1235">
                  <c:v>20463.642</c:v>
                </c:pt>
                <c:pt idx="1236">
                  <c:v>20463.642</c:v>
                </c:pt>
                <c:pt idx="1237">
                  <c:v>20463.642</c:v>
                </c:pt>
                <c:pt idx="1238">
                  <c:v>20463.642</c:v>
                </c:pt>
                <c:pt idx="1239">
                  <c:v>20463.642</c:v>
                </c:pt>
                <c:pt idx="1240">
                  <c:v>20655.642</c:v>
                </c:pt>
                <c:pt idx="1241">
                  <c:v>20655.642</c:v>
                </c:pt>
                <c:pt idx="1242">
                  <c:v>20671.642</c:v>
                </c:pt>
                <c:pt idx="1243">
                  <c:v>20671.642</c:v>
                </c:pt>
                <c:pt idx="1244">
                  <c:v>20671.642</c:v>
                </c:pt>
                <c:pt idx="1245">
                  <c:v>20671.642</c:v>
                </c:pt>
                <c:pt idx="1246">
                  <c:v>20671.642</c:v>
                </c:pt>
                <c:pt idx="1247">
                  <c:v>20671.642</c:v>
                </c:pt>
                <c:pt idx="1248">
                  <c:v>20671.642</c:v>
                </c:pt>
                <c:pt idx="1249">
                  <c:v>20671.642</c:v>
                </c:pt>
                <c:pt idx="1250">
                  <c:v>20671.642</c:v>
                </c:pt>
              </c:numCache>
            </c:numRef>
          </c:val>
          <c:smooth val="0"/>
          <c:extLst>
            <c:ext xmlns:c16="http://schemas.microsoft.com/office/drawing/2014/chart" uri="{C3380CC4-5D6E-409C-BE32-E72D297353CC}">
              <c16:uniqueId val="{00000001-6BEE-4B9F-8ABE-1AA606EF128A}"/>
            </c:ext>
          </c:extLst>
        </c:ser>
        <c:dLbls>
          <c:showLegendKey val="0"/>
          <c:showVal val="0"/>
          <c:showCatName val="0"/>
          <c:showSerName val="0"/>
          <c:showPercent val="0"/>
          <c:showBubbleSize val="0"/>
        </c:dLbls>
        <c:smooth val="0"/>
        <c:axId val="834714912"/>
        <c:axId val="976044256"/>
      </c:lineChart>
      <c:catAx>
        <c:axId val="83471491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044256"/>
        <c:crosses val="autoZero"/>
        <c:auto val="1"/>
        <c:lblAlgn val="ctr"/>
        <c:lblOffset val="100"/>
        <c:noMultiLvlLbl val="0"/>
      </c:catAx>
      <c:valAx>
        <c:axId val="976044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714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 V 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W</c:v>
          </c:tx>
          <c:spPr>
            <a:ln w="28575" cap="rnd">
              <a:solidFill>
                <a:schemeClr val="tx1">
                  <a:lumMod val="50000"/>
                  <a:lumOff val="50000"/>
                </a:schemeClr>
              </a:solidFill>
              <a:round/>
            </a:ln>
            <a:effectLst/>
          </c:spPr>
          <c:marker>
            <c:symbol val="none"/>
          </c:marker>
          <c:val>
            <c:numRef>
              <c:f>'Journal Live'!$BK$134:$BK$1384</c:f>
              <c:numCache>
                <c:formatCode>General</c:formatCode>
                <c:ptCount val="1251"/>
                <c:pt idx="0">
                  <c:v>0</c:v>
                </c:pt>
                <c:pt idx="1">
                  <c:v>16.300000000000015</c:v>
                </c:pt>
                <c:pt idx="2">
                  <c:v>16.300000000000015</c:v>
                </c:pt>
                <c:pt idx="3">
                  <c:v>97.8</c:v>
                </c:pt>
                <c:pt idx="4">
                  <c:v>114.10000000000001</c:v>
                </c:pt>
                <c:pt idx="5">
                  <c:v>180.5</c:v>
                </c:pt>
                <c:pt idx="6">
                  <c:v>180.5</c:v>
                </c:pt>
                <c:pt idx="7">
                  <c:v>180.5</c:v>
                </c:pt>
                <c:pt idx="8">
                  <c:v>180.5</c:v>
                </c:pt>
                <c:pt idx="9">
                  <c:v>347.70000000000005</c:v>
                </c:pt>
                <c:pt idx="10">
                  <c:v>347.70000000000005</c:v>
                </c:pt>
                <c:pt idx="11">
                  <c:v>513.70000000000005</c:v>
                </c:pt>
                <c:pt idx="12">
                  <c:v>513.70000000000005</c:v>
                </c:pt>
                <c:pt idx="13">
                  <c:v>513.70000000000005</c:v>
                </c:pt>
                <c:pt idx="14">
                  <c:v>697.40000000000009</c:v>
                </c:pt>
                <c:pt idx="15">
                  <c:v>697.40000000000009</c:v>
                </c:pt>
                <c:pt idx="16">
                  <c:v>697.40000000000009</c:v>
                </c:pt>
                <c:pt idx="17">
                  <c:v>697.40000000000009</c:v>
                </c:pt>
                <c:pt idx="18">
                  <c:v>697.40000000000009</c:v>
                </c:pt>
                <c:pt idx="19">
                  <c:v>697.40000000000009</c:v>
                </c:pt>
                <c:pt idx="20">
                  <c:v>697.40000000000009</c:v>
                </c:pt>
                <c:pt idx="21">
                  <c:v>730.60000000000014</c:v>
                </c:pt>
                <c:pt idx="22">
                  <c:v>730.60000000000014</c:v>
                </c:pt>
                <c:pt idx="23">
                  <c:v>730.60000000000014</c:v>
                </c:pt>
                <c:pt idx="24">
                  <c:v>730.60000000000014</c:v>
                </c:pt>
                <c:pt idx="25">
                  <c:v>730.60000000000014</c:v>
                </c:pt>
                <c:pt idx="26">
                  <c:v>730.60000000000014</c:v>
                </c:pt>
                <c:pt idx="27">
                  <c:v>730.60000000000014</c:v>
                </c:pt>
                <c:pt idx="28">
                  <c:v>830.80000000000018</c:v>
                </c:pt>
                <c:pt idx="29">
                  <c:v>830.80000000000018</c:v>
                </c:pt>
                <c:pt idx="30">
                  <c:v>830.80000000000018</c:v>
                </c:pt>
                <c:pt idx="31">
                  <c:v>830.80000000000018</c:v>
                </c:pt>
                <c:pt idx="32">
                  <c:v>830.80000000000018</c:v>
                </c:pt>
                <c:pt idx="33">
                  <c:v>830.80000000000018</c:v>
                </c:pt>
                <c:pt idx="34">
                  <c:v>830.80000000000018</c:v>
                </c:pt>
                <c:pt idx="35">
                  <c:v>830.80000000000018</c:v>
                </c:pt>
                <c:pt idx="36">
                  <c:v>830.80000000000018</c:v>
                </c:pt>
                <c:pt idx="37">
                  <c:v>897.60000000000014</c:v>
                </c:pt>
                <c:pt idx="38">
                  <c:v>931.00000000000011</c:v>
                </c:pt>
                <c:pt idx="39">
                  <c:v>931.00000000000011</c:v>
                </c:pt>
                <c:pt idx="40">
                  <c:v>931.00000000000011</c:v>
                </c:pt>
                <c:pt idx="41">
                  <c:v>931.00000000000011</c:v>
                </c:pt>
                <c:pt idx="42">
                  <c:v>931.00000000000011</c:v>
                </c:pt>
                <c:pt idx="43">
                  <c:v>914.29999999999154</c:v>
                </c:pt>
                <c:pt idx="44">
                  <c:v>914.29999999999154</c:v>
                </c:pt>
                <c:pt idx="45">
                  <c:v>914.29999999999154</c:v>
                </c:pt>
                <c:pt idx="46">
                  <c:v>914.29999999999154</c:v>
                </c:pt>
                <c:pt idx="47">
                  <c:v>914.29999999999154</c:v>
                </c:pt>
                <c:pt idx="48">
                  <c:v>914.29999999999154</c:v>
                </c:pt>
                <c:pt idx="49">
                  <c:v>914.29999999999154</c:v>
                </c:pt>
                <c:pt idx="50">
                  <c:v>914.29999999999154</c:v>
                </c:pt>
                <c:pt idx="51">
                  <c:v>914.29999999999154</c:v>
                </c:pt>
                <c:pt idx="52">
                  <c:v>997.79999999999154</c:v>
                </c:pt>
                <c:pt idx="53">
                  <c:v>997.79999999999154</c:v>
                </c:pt>
                <c:pt idx="54">
                  <c:v>997.79999999999154</c:v>
                </c:pt>
                <c:pt idx="55">
                  <c:v>997.79999999999154</c:v>
                </c:pt>
                <c:pt idx="56">
                  <c:v>997.79999999999154</c:v>
                </c:pt>
                <c:pt idx="57">
                  <c:v>1148.0999999999972</c:v>
                </c:pt>
                <c:pt idx="58">
                  <c:v>1164.7999999999972</c:v>
                </c:pt>
                <c:pt idx="59">
                  <c:v>1248.2999999999972</c:v>
                </c:pt>
                <c:pt idx="60">
                  <c:v>1248.2999999999972</c:v>
                </c:pt>
                <c:pt idx="61">
                  <c:v>1231.5999999999972</c:v>
                </c:pt>
                <c:pt idx="62">
                  <c:v>1281.6999999999971</c:v>
                </c:pt>
                <c:pt idx="63">
                  <c:v>1368.0000000000168</c:v>
                </c:pt>
                <c:pt idx="64">
                  <c:v>1368.0000000000168</c:v>
                </c:pt>
                <c:pt idx="65">
                  <c:v>1368.0000000000168</c:v>
                </c:pt>
                <c:pt idx="66">
                  <c:v>1401.4000000000169</c:v>
                </c:pt>
                <c:pt idx="67">
                  <c:v>1451.5000000000168</c:v>
                </c:pt>
                <c:pt idx="68">
                  <c:v>1468.2000000000169</c:v>
                </c:pt>
                <c:pt idx="69">
                  <c:v>1601.8000000000168</c:v>
                </c:pt>
                <c:pt idx="70">
                  <c:v>1702.0000000000168</c:v>
                </c:pt>
                <c:pt idx="71">
                  <c:v>1752.1000000000167</c:v>
                </c:pt>
                <c:pt idx="72">
                  <c:v>1752.1000000000167</c:v>
                </c:pt>
                <c:pt idx="73">
                  <c:v>1752.1000000000167</c:v>
                </c:pt>
                <c:pt idx="74">
                  <c:v>1752.1000000000167</c:v>
                </c:pt>
                <c:pt idx="75">
                  <c:v>1752.1000000000167</c:v>
                </c:pt>
                <c:pt idx="76">
                  <c:v>1752.1000000000167</c:v>
                </c:pt>
                <c:pt idx="77">
                  <c:v>1734.8399999999833</c:v>
                </c:pt>
                <c:pt idx="78">
                  <c:v>1734.8399999999833</c:v>
                </c:pt>
                <c:pt idx="79">
                  <c:v>1734.8399999999833</c:v>
                </c:pt>
                <c:pt idx="80">
                  <c:v>1870.8399999999833</c:v>
                </c:pt>
                <c:pt idx="81">
                  <c:v>1870.8399999999833</c:v>
                </c:pt>
                <c:pt idx="82">
                  <c:v>1870.8399999999833</c:v>
                </c:pt>
                <c:pt idx="83">
                  <c:v>1870.8399999999833</c:v>
                </c:pt>
                <c:pt idx="84">
                  <c:v>1904.8399999999833</c:v>
                </c:pt>
                <c:pt idx="85">
                  <c:v>2040.0399999999834</c:v>
                </c:pt>
                <c:pt idx="86">
                  <c:v>2040.0399999999834</c:v>
                </c:pt>
                <c:pt idx="87">
                  <c:v>2056.9399999999678</c:v>
                </c:pt>
                <c:pt idx="88">
                  <c:v>2056.9399999999678</c:v>
                </c:pt>
                <c:pt idx="89">
                  <c:v>2056.9399999999678</c:v>
                </c:pt>
                <c:pt idx="90">
                  <c:v>2056.9399999999678</c:v>
                </c:pt>
                <c:pt idx="91">
                  <c:v>2056.9399999999678</c:v>
                </c:pt>
                <c:pt idx="92">
                  <c:v>2159.5399999999677</c:v>
                </c:pt>
                <c:pt idx="93">
                  <c:v>2159.5399999999677</c:v>
                </c:pt>
                <c:pt idx="94">
                  <c:v>2159.5399999999677</c:v>
                </c:pt>
                <c:pt idx="95">
                  <c:v>2159.5399999999677</c:v>
                </c:pt>
                <c:pt idx="96">
                  <c:v>2006.5399999999677</c:v>
                </c:pt>
                <c:pt idx="97">
                  <c:v>2006.5399999999677</c:v>
                </c:pt>
                <c:pt idx="98">
                  <c:v>1904.5399999999677</c:v>
                </c:pt>
                <c:pt idx="99">
                  <c:v>1904.5399999999677</c:v>
                </c:pt>
                <c:pt idx="100">
                  <c:v>1989.5399999999677</c:v>
                </c:pt>
                <c:pt idx="101">
                  <c:v>1989.5399999999677</c:v>
                </c:pt>
                <c:pt idx="102">
                  <c:v>1989.5399999999677</c:v>
                </c:pt>
                <c:pt idx="103">
                  <c:v>1989.5399999999677</c:v>
                </c:pt>
                <c:pt idx="104">
                  <c:v>1989.5399999999677</c:v>
                </c:pt>
                <c:pt idx="105">
                  <c:v>1989.5399999999677</c:v>
                </c:pt>
                <c:pt idx="106">
                  <c:v>1989.5399999999677</c:v>
                </c:pt>
                <c:pt idx="107">
                  <c:v>1989.5399999999677</c:v>
                </c:pt>
                <c:pt idx="108">
                  <c:v>1989.5399999999677</c:v>
                </c:pt>
                <c:pt idx="109">
                  <c:v>2055.9399999999678</c:v>
                </c:pt>
                <c:pt idx="110">
                  <c:v>2055.9399999999678</c:v>
                </c:pt>
                <c:pt idx="111">
                  <c:v>2055.9399999999678</c:v>
                </c:pt>
                <c:pt idx="112">
                  <c:v>2089.1399999999676</c:v>
                </c:pt>
                <c:pt idx="113">
                  <c:v>2372.1899999999678</c:v>
                </c:pt>
                <c:pt idx="114">
                  <c:v>2372.1899999999678</c:v>
                </c:pt>
                <c:pt idx="115">
                  <c:v>2289.1899999999723</c:v>
                </c:pt>
                <c:pt idx="116">
                  <c:v>2289.1899999999723</c:v>
                </c:pt>
                <c:pt idx="117">
                  <c:v>2206.1899999999723</c:v>
                </c:pt>
                <c:pt idx="118">
                  <c:v>2206.1899999999723</c:v>
                </c:pt>
                <c:pt idx="119">
                  <c:v>2206.1899999999723</c:v>
                </c:pt>
                <c:pt idx="120">
                  <c:v>2206.1899999999723</c:v>
                </c:pt>
                <c:pt idx="121">
                  <c:v>2222.7899999999722</c:v>
                </c:pt>
                <c:pt idx="122">
                  <c:v>2239.3899999999721</c:v>
                </c:pt>
                <c:pt idx="123">
                  <c:v>2239.3899999999721</c:v>
                </c:pt>
                <c:pt idx="124">
                  <c:v>2239.3899999999721</c:v>
                </c:pt>
                <c:pt idx="125">
                  <c:v>2172.989999999972</c:v>
                </c:pt>
                <c:pt idx="126">
                  <c:v>2172.989999999972</c:v>
                </c:pt>
                <c:pt idx="127">
                  <c:v>2172.989999999972</c:v>
                </c:pt>
                <c:pt idx="128">
                  <c:v>2172.989999999972</c:v>
                </c:pt>
                <c:pt idx="129">
                  <c:v>2172.989999999972</c:v>
                </c:pt>
                <c:pt idx="130">
                  <c:v>1874.1899999999721</c:v>
                </c:pt>
                <c:pt idx="131">
                  <c:v>1674.989999999972</c:v>
                </c:pt>
                <c:pt idx="132">
                  <c:v>1757.989999999972</c:v>
                </c:pt>
                <c:pt idx="133">
                  <c:v>1757.989999999972</c:v>
                </c:pt>
                <c:pt idx="134">
                  <c:v>1757.989999999972</c:v>
                </c:pt>
                <c:pt idx="135">
                  <c:v>1757.989999999972</c:v>
                </c:pt>
                <c:pt idx="136">
                  <c:v>1757.989999999972</c:v>
                </c:pt>
                <c:pt idx="137">
                  <c:v>1757.989999999972</c:v>
                </c:pt>
                <c:pt idx="138">
                  <c:v>1757.989999999972</c:v>
                </c:pt>
                <c:pt idx="139">
                  <c:v>1757.989999999972</c:v>
                </c:pt>
                <c:pt idx="140">
                  <c:v>1757.989999999972</c:v>
                </c:pt>
                <c:pt idx="141">
                  <c:v>1807.789999999972</c:v>
                </c:pt>
                <c:pt idx="142">
                  <c:v>1907.3899999999719</c:v>
                </c:pt>
                <c:pt idx="143">
                  <c:v>1907.3899999999719</c:v>
                </c:pt>
                <c:pt idx="144">
                  <c:v>1907.3899999999719</c:v>
                </c:pt>
                <c:pt idx="145">
                  <c:v>1907.3899999999719</c:v>
                </c:pt>
                <c:pt idx="146">
                  <c:v>1907.3899999999719</c:v>
                </c:pt>
                <c:pt idx="147">
                  <c:v>1907.3899999999719</c:v>
                </c:pt>
                <c:pt idx="148">
                  <c:v>1907.3899999999719</c:v>
                </c:pt>
                <c:pt idx="149">
                  <c:v>1907.3899999999719</c:v>
                </c:pt>
                <c:pt idx="150">
                  <c:v>1907.3899999999719</c:v>
                </c:pt>
                <c:pt idx="151">
                  <c:v>1923.8899999999719</c:v>
                </c:pt>
                <c:pt idx="152">
                  <c:v>1956.8899999999719</c:v>
                </c:pt>
                <c:pt idx="153">
                  <c:v>1956.8899999999719</c:v>
                </c:pt>
                <c:pt idx="154">
                  <c:v>1956.8899999999719</c:v>
                </c:pt>
                <c:pt idx="155">
                  <c:v>1956.8899999999719</c:v>
                </c:pt>
                <c:pt idx="156">
                  <c:v>2039.3899999999719</c:v>
                </c:pt>
                <c:pt idx="157">
                  <c:v>2039.3899999999719</c:v>
                </c:pt>
                <c:pt idx="158">
                  <c:v>2104.989999999972</c:v>
                </c:pt>
                <c:pt idx="159">
                  <c:v>2104.989999999972</c:v>
                </c:pt>
                <c:pt idx="160">
                  <c:v>2104.989999999972</c:v>
                </c:pt>
                <c:pt idx="161">
                  <c:v>2104.989999999972</c:v>
                </c:pt>
                <c:pt idx="162">
                  <c:v>2104.989999999972</c:v>
                </c:pt>
                <c:pt idx="163">
                  <c:v>2104.989999999972</c:v>
                </c:pt>
                <c:pt idx="164">
                  <c:v>2121.3899999999721</c:v>
                </c:pt>
                <c:pt idx="165">
                  <c:v>2121.3899999999721</c:v>
                </c:pt>
                <c:pt idx="166">
                  <c:v>2121.3899999999721</c:v>
                </c:pt>
                <c:pt idx="167">
                  <c:v>2121.3899999999721</c:v>
                </c:pt>
                <c:pt idx="168">
                  <c:v>2121.3899999999721</c:v>
                </c:pt>
                <c:pt idx="169">
                  <c:v>2121.3899999999721</c:v>
                </c:pt>
                <c:pt idx="170">
                  <c:v>2121.3899999999721</c:v>
                </c:pt>
                <c:pt idx="171">
                  <c:v>2121.3899999999721</c:v>
                </c:pt>
                <c:pt idx="172">
                  <c:v>2121.3899999999721</c:v>
                </c:pt>
                <c:pt idx="173">
                  <c:v>2121.3899999999721</c:v>
                </c:pt>
                <c:pt idx="174">
                  <c:v>2121.3899999999721</c:v>
                </c:pt>
                <c:pt idx="175">
                  <c:v>2121.3899999999721</c:v>
                </c:pt>
                <c:pt idx="176">
                  <c:v>2121.3899999999721</c:v>
                </c:pt>
                <c:pt idx="177">
                  <c:v>2121.3899999999721</c:v>
                </c:pt>
                <c:pt idx="178">
                  <c:v>2121.3899999999721</c:v>
                </c:pt>
                <c:pt idx="179">
                  <c:v>2250.9899999999925</c:v>
                </c:pt>
                <c:pt idx="180">
                  <c:v>2250.9899999999925</c:v>
                </c:pt>
                <c:pt idx="181">
                  <c:v>2250.9899999999925</c:v>
                </c:pt>
                <c:pt idx="182">
                  <c:v>2250.9899999999925</c:v>
                </c:pt>
                <c:pt idx="183">
                  <c:v>2250.9899999999925</c:v>
                </c:pt>
                <c:pt idx="184">
                  <c:v>2250.9899999999925</c:v>
                </c:pt>
                <c:pt idx="185">
                  <c:v>2250.9899999999925</c:v>
                </c:pt>
                <c:pt idx="186">
                  <c:v>2267.0899999999924</c:v>
                </c:pt>
                <c:pt idx="187">
                  <c:v>2283.1899999999923</c:v>
                </c:pt>
                <c:pt idx="188">
                  <c:v>2283.1899999999923</c:v>
                </c:pt>
                <c:pt idx="189">
                  <c:v>2331.4899999999925</c:v>
                </c:pt>
                <c:pt idx="190">
                  <c:v>2331.4899999999925</c:v>
                </c:pt>
                <c:pt idx="191">
                  <c:v>2412.4899999999925</c:v>
                </c:pt>
                <c:pt idx="192">
                  <c:v>2412.4899999999925</c:v>
                </c:pt>
                <c:pt idx="193">
                  <c:v>2412.4899999999925</c:v>
                </c:pt>
                <c:pt idx="194">
                  <c:v>2412.4899999999925</c:v>
                </c:pt>
                <c:pt idx="195">
                  <c:v>2412.4899999999925</c:v>
                </c:pt>
                <c:pt idx="196">
                  <c:v>2412.4899999999925</c:v>
                </c:pt>
                <c:pt idx="197">
                  <c:v>2412.4899999999925</c:v>
                </c:pt>
                <c:pt idx="198">
                  <c:v>2412.4899999999925</c:v>
                </c:pt>
                <c:pt idx="199">
                  <c:v>2412.4899999999925</c:v>
                </c:pt>
                <c:pt idx="200">
                  <c:v>2412.4899999999925</c:v>
                </c:pt>
                <c:pt idx="201">
                  <c:v>2538.8899999999926</c:v>
                </c:pt>
                <c:pt idx="202">
                  <c:v>2665.2899999999927</c:v>
                </c:pt>
                <c:pt idx="203">
                  <c:v>2665.2899999999927</c:v>
                </c:pt>
                <c:pt idx="204">
                  <c:v>2665.2899999999927</c:v>
                </c:pt>
                <c:pt idx="205">
                  <c:v>2665.2899999999927</c:v>
                </c:pt>
                <c:pt idx="206">
                  <c:v>2665.2899999999927</c:v>
                </c:pt>
                <c:pt idx="207">
                  <c:v>2112.2899999999927</c:v>
                </c:pt>
                <c:pt idx="208">
                  <c:v>2112.2899999999927</c:v>
                </c:pt>
                <c:pt idx="209">
                  <c:v>2238.6899999999928</c:v>
                </c:pt>
                <c:pt idx="210">
                  <c:v>1606.6899999999928</c:v>
                </c:pt>
                <c:pt idx="211">
                  <c:v>1606.6899999999928</c:v>
                </c:pt>
                <c:pt idx="212">
                  <c:v>1606.6899999999928</c:v>
                </c:pt>
                <c:pt idx="213">
                  <c:v>1606.6899999999928</c:v>
                </c:pt>
                <c:pt idx="214">
                  <c:v>1606.6899999999928</c:v>
                </c:pt>
                <c:pt idx="215">
                  <c:v>1606.6899999999928</c:v>
                </c:pt>
                <c:pt idx="216">
                  <c:v>1606.6899999999928</c:v>
                </c:pt>
                <c:pt idx="217">
                  <c:v>1606.6899999999928</c:v>
                </c:pt>
                <c:pt idx="218">
                  <c:v>1606.6899999999928</c:v>
                </c:pt>
                <c:pt idx="219">
                  <c:v>1606.6899999999928</c:v>
                </c:pt>
                <c:pt idx="220">
                  <c:v>1622.6899999999928</c:v>
                </c:pt>
                <c:pt idx="221">
                  <c:v>1622.6899999999928</c:v>
                </c:pt>
                <c:pt idx="222">
                  <c:v>1638.6899999999928</c:v>
                </c:pt>
                <c:pt idx="223">
                  <c:v>1638.6899999999928</c:v>
                </c:pt>
                <c:pt idx="224">
                  <c:v>1638.6899999999928</c:v>
                </c:pt>
                <c:pt idx="225">
                  <c:v>1638.6899999999928</c:v>
                </c:pt>
                <c:pt idx="226">
                  <c:v>1638.6899999999928</c:v>
                </c:pt>
                <c:pt idx="227">
                  <c:v>1638.6899999999928</c:v>
                </c:pt>
                <c:pt idx="228">
                  <c:v>1478.6900000000019</c:v>
                </c:pt>
                <c:pt idx="229">
                  <c:v>1478.6900000000019</c:v>
                </c:pt>
                <c:pt idx="230">
                  <c:v>1334.6899999999964</c:v>
                </c:pt>
                <c:pt idx="231">
                  <c:v>1382.6899999999528</c:v>
                </c:pt>
                <c:pt idx="232">
                  <c:v>1382.6899999999528</c:v>
                </c:pt>
                <c:pt idx="233">
                  <c:v>1382.6899999999528</c:v>
                </c:pt>
                <c:pt idx="234">
                  <c:v>1382.6899999999528</c:v>
                </c:pt>
                <c:pt idx="235">
                  <c:v>1382.6899999999528</c:v>
                </c:pt>
                <c:pt idx="236">
                  <c:v>1398.6899999999528</c:v>
                </c:pt>
                <c:pt idx="237">
                  <c:v>1350.6899999999528</c:v>
                </c:pt>
                <c:pt idx="238">
                  <c:v>1318.6899999999528</c:v>
                </c:pt>
                <c:pt idx="239">
                  <c:v>1334.6899999999528</c:v>
                </c:pt>
                <c:pt idx="240">
                  <c:v>1350.6899999999528</c:v>
                </c:pt>
                <c:pt idx="241">
                  <c:v>1366.6899999999528</c:v>
                </c:pt>
                <c:pt idx="242">
                  <c:v>1366.6899999999528</c:v>
                </c:pt>
                <c:pt idx="243">
                  <c:v>1366.6899999999528</c:v>
                </c:pt>
                <c:pt idx="244">
                  <c:v>1366.6899999999528</c:v>
                </c:pt>
                <c:pt idx="245">
                  <c:v>1511.5899999999529</c:v>
                </c:pt>
                <c:pt idx="246">
                  <c:v>1624.2899999999529</c:v>
                </c:pt>
                <c:pt idx="247">
                  <c:v>1624.2899999999529</c:v>
                </c:pt>
                <c:pt idx="248">
                  <c:v>1656.4899999999529</c:v>
                </c:pt>
                <c:pt idx="249">
                  <c:v>1656.4899999999529</c:v>
                </c:pt>
                <c:pt idx="250">
                  <c:v>1672.5899999999529</c:v>
                </c:pt>
                <c:pt idx="251">
                  <c:v>1688.6899999999528</c:v>
                </c:pt>
                <c:pt idx="252">
                  <c:v>1704.7899999999527</c:v>
                </c:pt>
                <c:pt idx="253">
                  <c:v>1720.8899999999526</c:v>
                </c:pt>
                <c:pt idx="254">
                  <c:v>1736.9899999999525</c:v>
                </c:pt>
                <c:pt idx="255">
                  <c:v>1753.0899999999524</c:v>
                </c:pt>
                <c:pt idx="256">
                  <c:v>1753.0899999999524</c:v>
                </c:pt>
                <c:pt idx="257">
                  <c:v>1753.0899999999524</c:v>
                </c:pt>
                <c:pt idx="258">
                  <c:v>1769.1899999999523</c:v>
                </c:pt>
                <c:pt idx="259">
                  <c:v>1769.1899999999523</c:v>
                </c:pt>
                <c:pt idx="260">
                  <c:v>1769.1899999999523</c:v>
                </c:pt>
                <c:pt idx="261">
                  <c:v>1769.1899999999523</c:v>
                </c:pt>
                <c:pt idx="262">
                  <c:v>1769.1899999999523</c:v>
                </c:pt>
                <c:pt idx="263">
                  <c:v>1785.1899999999523</c:v>
                </c:pt>
                <c:pt idx="264">
                  <c:v>1801.1899999999523</c:v>
                </c:pt>
                <c:pt idx="265">
                  <c:v>1801.1899999999523</c:v>
                </c:pt>
                <c:pt idx="266">
                  <c:v>1801.1899999999523</c:v>
                </c:pt>
                <c:pt idx="267">
                  <c:v>1881.1899999999523</c:v>
                </c:pt>
                <c:pt idx="268">
                  <c:v>1961.1899999999523</c:v>
                </c:pt>
                <c:pt idx="269">
                  <c:v>2041.1899999999523</c:v>
                </c:pt>
                <c:pt idx="270">
                  <c:v>2041.1899999999523</c:v>
                </c:pt>
                <c:pt idx="271">
                  <c:v>2201.1899999999523</c:v>
                </c:pt>
                <c:pt idx="272">
                  <c:v>2281.1899999999523</c:v>
                </c:pt>
                <c:pt idx="273">
                  <c:v>2361.1899999999523</c:v>
                </c:pt>
                <c:pt idx="274">
                  <c:v>2361.1899999999523</c:v>
                </c:pt>
                <c:pt idx="275">
                  <c:v>2361.1899999999523</c:v>
                </c:pt>
                <c:pt idx="276">
                  <c:v>2441.1899999999523</c:v>
                </c:pt>
                <c:pt idx="277">
                  <c:v>2601.1899999999523</c:v>
                </c:pt>
                <c:pt idx="278">
                  <c:v>2681.1899999999523</c:v>
                </c:pt>
                <c:pt idx="279">
                  <c:v>2841.1899999999523</c:v>
                </c:pt>
                <c:pt idx="280">
                  <c:v>2921.1899999999523</c:v>
                </c:pt>
                <c:pt idx="281">
                  <c:v>3001.1899999999523</c:v>
                </c:pt>
                <c:pt idx="282">
                  <c:v>3161.1899999999523</c:v>
                </c:pt>
                <c:pt idx="283">
                  <c:v>3161.1899999999523</c:v>
                </c:pt>
                <c:pt idx="284">
                  <c:v>3241.1899999999523</c:v>
                </c:pt>
                <c:pt idx="285">
                  <c:v>3561.1899999999523</c:v>
                </c:pt>
                <c:pt idx="286">
                  <c:v>3561.1899999999523</c:v>
                </c:pt>
                <c:pt idx="287">
                  <c:v>3561.1899999999523</c:v>
                </c:pt>
                <c:pt idx="288">
                  <c:v>3561.1899999999523</c:v>
                </c:pt>
                <c:pt idx="289">
                  <c:v>3561.1899999999523</c:v>
                </c:pt>
                <c:pt idx="290">
                  <c:v>3529.1899999999359</c:v>
                </c:pt>
                <c:pt idx="291">
                  <c:v>3609.1899999999359</c:v>
                </c:pt>
                <c:pt idx="292">
                  <c:v>3609.1899999999359</c:v>
                </c:pt>
                <c:pt idx="293">
                  <c:v>3769.1899999999359</c:v>
                </c:pt>
                <c:pt idx="294">
                  <c:v>3769.1899999999359</c:v>
                </c:pt>
                <c:pt idx="295">
                  <c:v>3721.1899999999341</c:v>
                </c:pt>
                <c:pt idx="296">
                  <c:v>3721.1899999999341</c:v>
                </c:pt>
                <c:pt idx="297">
                  <c:v>3721.1899999999341</c:v>
                </c:pt>
                <c:pt idx="298">
                  <c:v>3721.1899999999341</c:v>
                </c:pt>
                <c:pt idx="299">
                  <c:v>3609.1899999999341</c:v>
                </c:pt>
                <c:pt idx="300">
                  <c:v>3689.1899999999341</c:v>
                </c:pt>
                <c:pt idx="301">
                  <c:v>3689.1899999999341</c:v>
                </c:pt>
                <c:pt idx="302">
                  <c:v>3689.1899999999341</c:v>
                </c:pt>
                <c:pt idx="303">
                  <c:v>3849.1899999999341</c:v>
                </c:pt>
                <c:pt idx="304">
                  <c:v>3849.1899999999341</c:v>
                </c:pt>
                <c:pt idx="305">
                  <c:v>3849.1899999999341</c:v>
                </c:pt>
                <c:pt idx="306">
                  <c:v>3849.1899999999341</c:v>
                </c:pt>
                <c:pt idx="307">
                  <c:v>3849.1899999999341</c:v>
                </c:pt>
                <c:pt idx="308">
                  <c:v>3849.1899999999341</c:v>
                </c:pt>
                <c:pt idx="309">
                  <c:v>3849.1899999999341</c:v>
                </c:pt>
                <c:pt idx="310">
                  <c:v>3849.1899999999341</c:v>
                </c:pt>
                <c:pt idx="311">
                  <c:v>3849.1899999999341</c:v>
                </c:pt>
                <c:pt idx="312">
                  <c:v>3849.1899999999341</c:v>
                </c:pt>
                <c:pt idx="313">
                  <c:v>3849.1899999999341</c:v>
                </c:pt>
                <c:pt idx="314">
                  <c:v>3849.1899999999341</c:v>
                </c:pt>
                <c:pt idx="315">
                  <c:v>3849.1899999999341</c:v>
                </c:pt>
                <c:pt idx="316">
                  <c:v>3849.1899999999341</c:v>
                </c:pt>
                <c:pt idx="317">
                  <c:v>3849.1899999999341</c:v>
                </c:pt>
                <c:pt idx="318">
                  <c:v>3849.1899999999341</c:v>
                </c:pt>
                <c:pt idx="319">
                  <c:v>3962.5899999999342</c:v>
                </c:pt>
                <c:pt idx="320">
                  <c:v>3962.5899999999342</c:v>
                </c:pt>
                <c:pt idx="321">
                  <c:v>3962.5899999999342</c:v>
                </c:pt>
                <c:pt idx="322">
                  <c:v>4124.5899999999347</c:v>
                </c:pt>
                <c:pt idx="323">
                  <c:v>4237.9899999999343</c:v>
                </c:pt>
                <c:pt idx="324">
                  <c:v>4237.9899999999343</c:v>
                </c:pt>
                <c:pt idx="325">
                  <c:v>4237.9899999999343</c:v>
                </c:pt>
                <c:pt idx="326">
                  <c:v>4351.3899999999339</c:v>
                </c:pt>
                <c:pt idx="327">
                  <c:v>4351.3899999999339</c:v>
                </c:pt>
                <c:pt idx="328">
                  <c:v>4351.3899999999339</c:v>
                </c:pt>
                <c:pt idx="329">
                  <c:v>4351.3899999999339</c:v>
                </c:pt>
                <c:pt idx="330">
                  <c:v>4351.3899999999339</c:v>
                </c:pt>
                <c:pt idx="331">
                  <c:v>4351.3899999999339</c:v>
                </c:pt>
                <c:pt idx="332">
                  <c:v>4415.3899999999339</c:v>
                </c:pt>
                <c:pt idx="333">
                  <c:v>4463.3899999999339</c:v>
                </c:pt>
                <c:pt idx="334">
                  <c:v>4575.3899999999339</c:v>
                </c:pt>
                <c:pt idx="335">
                  <c:v>4575.3899999999339</c:v>
                </c:pt>
                <c:pt idx="336">
                  <c:v>4719.3899999999339</c:v>
                </c:pt>
                <c:pt idx="337">
                  <c:v>4719.3899999999339</c:v>
                </c:pt>
                <c:pt idx="338">
                  <c:v>4719.3899999999339</c:v>
                </c:pt>
                <c:pt idx="339">
                  <c:v>4719.3899999999339</c:v>
                </c:pt>
                <c:pt idx="340">
                  <c:v>4943.3899999999339</c:v>
                </c:pt>
                <c:pt idx="341">
                  <c:v>5007.3899999999339</c:v>
                </c:pt>
                <c:pt idx="342">
                  <c:v>4975.3899999999339</c:v>
                </c:pt>
                <c:pt idx="343">
                  <c:v>4975.3899999999339</c:v>
                </c:pt>
                <c:pt idx="344">
                  <c:v>4975.3899999999339</c:v>
                </c:pt>
                <c:pt idx="345">
                  <c:v>4975.3899999999339</c:v>
                </c:pt>
                <c:pt idx="346">
                  <c:v>4975.3899999999339</c:v>
                </c:pt>
                <c:pt idx="347">
                  <c:v>4975.3899999999339</c:v>
                </c:pt>
                <c:pt idx="348">
                  <c:v>4975.3899999999339</c:v>
                </c:pt>
                <c:pt idx="349">
                  <c:v>4975.3899999999339</c:v>
                </c:pt>
                <c:pt idx="350">
                  <c:v>4975.3899999999339</c:v>
                </c:pt>
                <c:pt idx="351">
                  <c:v>4975.3899999999339</c:v>
                </c:pt>
                <c:pt idx="352">
                  <c:v>4975.3899999999339</c:v>
                </c:pt>
                <c:pt idx="353">
                  <c:v>4975.3899999999339</c:v>
                </c:pt>
                <c:pt idx="354">
                  <c:v>4975.3899999999339</c:v>
                </c:pt>
                <c:pt idx="355">
                  <c:v>4975.3899999999339</c:v>
                </c:pt>
                <c:pt idx="356">
                  <c:v>4975.3899999999339</c:v>
                </c:pt>
                <c:pt idx="357">
                  <c:v>4975.3899999999339</c:v>
                </c:pt>
                <c:pt idx="358">
                  <c:v>5103.3899999999339</c:v>
                </c:pt>
                <c:pt idx="359">
                  <c:v>5103.3899999999339</c:v>
                </c:pt>
                <c:pt idx="360">
                  <c:v>5103.3899999999339</c:v>
                </c:pt>
                <c:pt idx="361">
                  <c:v>5103.3899999999339</c:v>
                </c:pt>
                <c:pt idx="362">
                  <c:v>5103.3899999999339</c:v>
                </c:pt>
                <c:pt idx="363">
                  <c:v>5103.3899999999339</c:v>
                </c:pt>
                <c:pt idx="364">
                  <c:v>5103.3899999999339</c:v>
                </c:pt>
                <c:pt idx="365">
                  <c:v>4879.3899999999339</c:v>
                </c:pt>
                <c:pt idx="366">
                  <c:v>4879.3899999999339</c:v>
                </c:pt>
                <c:pt idx="367">
                  <c:v>4879.3899999999339</c:v>
                </c:pt>
                <c:pt idx="368">
                  <c:v>4879.3899999999339</c:v>
                </c:pt>
                <c:pt idx="369">
                  <c:v>4879.3899999999339</c:v>
                </c:pt>
                <c:pt idx="370">
                  <c:v>5167.3899999999339</c:v>
                </c:pt>
                <c:pt idx="371">
                  <c:v>5167.3899999999339</c:v>
                </c:pt>
                <c:pt idx="372">
                  <c:v>5423.3899999999339</c:v>
                </c:pt>
                <c:pt idx="373">
                  <c:v>5359.3899999999339</c:v>
                </c:pt>
                <c:pt idx="374">
                  <c:v>5359.3899999999339</c:v>
                </c:pt>
                <c:pt idx="375">
                  <c:v>5359.3899999999339</c:v>
                </c:pt>
                <c:pt idx="376">
                  <c:v>5359.3899999999339</c:v>
                </c:pt>
                <c:pt idx="377">
                  <c:v>5247.3899999999339</c:v>
                </c:pt>
                <c:pt idx="378">
                  <c:v>5247.3899999999339</c:v>
                </c:pt>
                <c:pt idx="379">
                  <c:v>5247.3899999999339</c:v>
                </c:pt>
                <c:pt idx="380">
                  <c:v>4543.3899999999339</c:v>
                </c:pt>
                <c:pt idx="381">
                  <c:v>4783.3899999999339</c:v>
                </c:pt>
                <c:pt idx="382">
                  <c:v>4111.3899999999339</c:v>
                </c:pt>
                <c:pt idx="383">
                  <c:v>3439.3899999999344</c:v>
                </c:pt>
                <c:pt idx="384">
                  <c:v>3439.3899999999344</c:v>
                </c:pt>
                <c:pt idx="385">
                  <c:v>3439.3899999999344</c:v>
                </c:pt>
                <c:pt idx="386">
                  <c:v>3439.3899999999344</c:v>
                </c:pt>
                <c:pt idx="387">
                  <c:v>3439.3899999999344</c:v>
                </c:pt>
                <c:pt idx="388">
                  <c:v>3439.3899999999344</c:v>
                </c:pt>
                <c:pt idx="389">
                  <c:v>3391.3899999999344</c:v>
                </c:pt>
                <c:pt idx="390">
                  <c:v>3391.3899999999344</c:v>
                </c:pt>
                <c:pt idx="391">
                  <c:v>3391.3899999999344</c:v>
                </c:pt>
                <c:pt idx="392">
                  <c:v>3391.3899999999344</c:v>
                </c:pt>
                <c:pt idx="393">
                  <c:v>3391.3899999999344</c:v>
                </c:pt>
                <c:pt idx="394">
                  <c:v>4031.3899999999344</c:v>
                </c:pt>
                <c:pt idx="395">
                  <c:v>4447.3899999999348</c:v>
                </c:pt>
                <c:pt idx="396">
                  <c:v>4447.3899999999348</c:v>
                </c:pt>
                <c:pt idx="397">
                  <c:v>4447.3899999999348</c:v>
                </c:pt>
                <c:pt idx="398">
                  <c:v>4447.3899999999348</c:v>
                </c:pt>
                <c:pt idx="399">
                  <c:v>4447.3899999999348</c:v>
                </c:pt>
                <c:pt idx="400">
                  <c:v>4447.3899999999348</c:v>
                </c:pt>
                <c:pt idx="401">
                  <c:v>4447.3899999999348</c:v>
                </c:pt>
                <c:pt idx="402">
                  <c:v>4447.3899999999348</c:v>
                </c:pt>
                <c:pt idx="403">
                  <c:v>4447.3899999999348</c:v>
                </c:pt>
                <c:pt idx="404">
                  <c:v>4447.3899999999348</c:v>
                </c:pt>
                <c:pt idx="405">
                  <c:v>4575.3899999999348</c:v>
                </c:pt>
                <c:pt idx="406">
                  <c:v>4269.1499999999342</c:v>
                </c:pt>
                <c:pt idx="407">
                  <c:v>4285.1499999999342</c:v>
                </c:pt>
                <c:pt idx="408">
                  <c:v>4285.1499999999342</c:v>
                </c:pt>
                <c:pt idx="409">
                  <c:v>4285.1499999999342</c:v>
                </c:pt>
                <c:pt idx="410">
                  <c:v>4285.1499999999342</c:v>
                </c:pt>
                <c:pt idx="411">
                  <c:v>4285.1499999999342</c:v>
                </c:pt>
                <c:pt idx="412">
                  <c:v>4397.1499999999342</c:v>
                </c:pt>
                <c:pt idx="413">
                  <c:v>4397.1499999999342</c:v>
                </c:pt>
                <c:pt idx="414">
                  <c:v>4397.1499999999342</c:v>
                </c:pt>
                <c:pt idx="415">
                  <c:v>4397.1499999999342</c:v>
                </c:pt>
                <c:pt idx="416">
                  <c:v>3917.1499999999342</c:v>
                </c:pt>
                <c:pt idx="417">
                  <c:v>3117.1499999999342</c:v>
                </c:pt>
                <c:pt idx="418">
                  <c:v>3389.1499999999342</c:v>
                </c:pt>
                <c:pt idx="419">
                  <c:v>3389.1499999999342</c:v>
                </c:pt>
                <c:pt idx="420">
                  <c:v>3389.1499999999342</c:v>
                </c:pt>
                <c:pt idx="421">
                  <c:v>3003.7419999999343</c:v>
                </c:pt>
                <c:pt idx="422">
                  <c:v>3691.7419999999343</c:v>
                </c:pt>
                <c:pt idx="423">
                  <c:v>3691.7419999999343</c:v>
                </c:pt>
                <c:pt idx="424">
                  <c:v>3691.7419999999343</c:v>
                </c:pt>
                <c:pt idx="425">
                  <c:v>3691.7419999999343</c:v>
                </c:pt>
                <c:pt idx="426">
                  <c:v>3691.7419999999343</c:v>
                </c:pt>
                <c:pt idx="427">
                  <c:v>4203.7419999999347</c:v>
                </c:pt>
                <c:pt idx="428">
                  <c:v>4523.7419999999347</c:v>
                </c:pt>
                <c:pt idx="429">
                  <c:v>4523.7419999999347</c:v>
                </c:pt>
                <c:pt idx="430">
                  <c:v>4763.7419999999347</c:v>
                </c:pt>
                <c:pt idx="431">
                  <c:v>4875.7419999999347</c:v>
                </c:pt>
                <c:pt idx="432">
                  <c:v>4875.7419999999347</c:v>
                </c:pt>
                <c:pt idx="433">
                  <c:v>4875.7419999999347</c:v>
                </c:pt>
                <c:pt idx="434">
                  <c:v>4875.7419999999347</c:v>
                </c:pt>
                <c:pt idx="435">
                  <c:v>4875.7419999999347</c:v>
                </c:pt>
                <c:pt idx="436">
                  <c:v>4875.7419999999347</c:v>
                </c:pt>
                <c:pt idx="437">
                  <c:v>4875.7419999999347</c:v>
                </c:pt>
                <c:pt idx="438">
                  <c:v>4987.7419999999347</c:v>
                </c:pt>
                <c:pt idx="439">
                  <c:v>5035.7419999999347</c:v>
                </c:pt>
                <c:pt idx="440">
                  <c:v>5035.7419999999347</c:v>
                </c:pt>
                <c:pt idx="441">
                  <c:v>5035.7419999999347</c:v>
                </c:pt>
                <c:pt idx="442">
                  <c:v>5035.7419999999347</c:v>
                </c:pt>
                <c:pt idx="443">
                  <c:v>5035.7419999999347</c:v>
                </c:pt>
                <c:pt idx="444">
                  <c:v>5035.7419999999347</c:v>
                </c:pt>
                <c:pt idx="445">
                  <c:v>5035.7419999999347</c:v>
                </c:pt>
                <c:pt idx="446">
                  <c:v>5035.7419999999347</c:v>
                </c:pt>
                <c:pt idx="447">
                  <c:v>5035.7419999999347</c:v>
                </c:pt>
                <c:pt idx="448">
                  <c:v>5035.7419999999347</c:v>
                </c:pt>
                <c:pt idx="449">
                  <c:v>5035.7419999999347</c:v>
                </c:pt>
                <c:pt idx="450">
                  <c:v>5035.7419999999347</c:v>
                </c:pt>
                <c:pt idx="451">
                  <c:v>5035.7419999999347</c:v>
                </c:pt>
                <c:pt idx="452">
                  <c:v>4923.7419999999347</c:v>
                </c:pt>
                <c:pt idx="453">
                  <c:v>4923.7419999999347</c:v>
                </c:pt>
                <c:pt idx="454">
                  <c:v>4923.7419999999347</c:v>
                </c:pt>
                <c:pt idx="455">
                  <c:v>4923.7419999999347</c:v>
                </c:pt>
                <c:pt idx="456">
                  <c:v>4923.7419999999347</c:v>
                </c:pt>
                <c:pt idx="457">
                  <c:v>4923.7419999999347</c:v>
                </c:pt>
                <c:pt idx="458">
                  <c:v>4923.7419999999347</c:v>
                </c:pt>
                <c:pt idx="459">
                  <c:v>4923.7419999999347</c:v>
                </c:pt>
                <c:pt idx="460">
                  <c:v>4923.7419999999347</c:v>
                </c:pt>
                <c:pt idx="461">
                  <c:v>4923.7419999999347</c:v>
                </c:pt>
                <c:pt idx="462">
                  <c:v>4923.7419999999347</c:v>
                </c:pt>
                <c:pt idx="463">
                  <c:v>4763.7419999999347</c:v>
                </c:pt>
                <c:pt idx="464">
                  <c:v>4763.7419999999347</c:v>
                </c:pt>
                <c:pt idx="465">
                  <c:v>4763.7419999999347</c:v>
                </c:pt>
                <c:pt idx="466">
                  <c:v>4923.7419999999347</c:v>
                </c:pt>
                <c:pt idx="467">
                  <c:v>4923.7419999999347</c:v>
                </c:pt>
                <c:pt idx="468">
                  <c:v>4923.7419999999347</c:v>
                </c:pt>
                <c:pt idx="469">
                  <c:v>4923.7419999999347</c:v>
                </c:pt>
                <c:pt idx="470">
                  <c:v>4923.7419999999347</c:v>
                </c:pt>
                <c:pt idx="471">
                  <c:v>4923.7419999999347</c:v>
                </c:pt>
                <c:pt idx="472">
                  <c:v>5243.7419999999347</c:v>
                </c:pt>
                <c:pt idx="473">
                  <c:v>5483.7419999999347</c:v>
                </c:pt>
                <c:pt idx="474">
                  <c:v>5483.7419999999347</c:v>
                </c:pt>
                <c:pt idx="475">
                  <c:v>5531.7419999999347</c:v>
                </c:pt>
                <c:pt idx="476">
                  <c:v>5531.7419999999347</c:v>
                </c:pt>
                <c:pt idx="477">
                  <c:v>5531.7419999999347</c:v>
                </c:pt>
                <c:pt idx="478">
                  <c:v>5579.7419999999347</c:v>
                </c:pt>
                <c:pt idx="479">
                  <c:v>5579.7419999999347</c:v>
                </c:pt>
                <c:pt idx="480">
                  <c:v>5579.7419999999347</c:v>
                </c:pt>
                <c:pt idx="481">
                  <c:v>5579.7419999999347</c:v>
                </c:pt>
                <c:pt idx="482">
                  <c:v>5659.7419999999347</c:v>
                </c:pt>
                <c:pt idx="483">
                  <c:v>5659.7419999999347</c:v>
                </c:pt>
                <c:pt idx="484">
                  <c:v>5659.7419999999347</c:v>
                </c:pt>
                <c:pt idx="485">
                  <c:v>5659.7419999999347</c:v>
                </c:pt>
                <c:pt idx="486">
                  <c:v>5739.7419999999347</c:v>
                </c:pt>
                <c:pt idx="487">
                  <c:v>5739.7419999999347</c:v>
                </c:pt>
                <c:pt idx="488">
                  <c:v>5739.7419999999347</c:v>
                </c:pt>
                <c:pt idx="489">
                  <c:v>5739.7419999999347</c:v>
                </c:pt>
                <c:pt idx="490">
                  <c:v>5739.7419999999347</c:v>
                </c:pt>
                <c:pt idx="491">
                  <c:v>5739.7419999999347</c:v>
                </c:pt>
                <c:pt idx="492">
                  <c:v>5739.7419999999347</c:v>
                </c:pt>
                <c:pt idx="493">
                  <c:v>5739.7419999999347</c:v>
                </c:pt>
                <c:pt idx="494">
                  <c:v>5819.7419999999347</c:v>
                </c:pt>
                <c:pt idx="495">
                  <c:v>5819.7419999999347</c:v>
                </c:pt>
                <c:pt idx="496">
                  <c:v>5819.7419999999347</c:v>
                </c:pt>
                <c:pt idx="497">
                  <c:v>5819.7419999999347</c:v>
                </c:pt>
                <c:pt idx="498">
                  <c:v>5819.7419999999347</c:v>
                </c:pt>
                <c:pt idx="499">
                  <c:v>5819.7419999999347</c:v>
                </c:pt>
                <c:pt idx="500">
                  <c:v>5819.7419999999347</c:v>
                </c:pt>
                <c:pt idx="501">
                  <c:v>5819.7419999999347</c:v>
                </c:pt>
                <c:pt idx="502">
                  <c:v>5979.7419999999347</c:v>
                </c:pt>
                <c:pt idx="503">
                  <c:v>6123.7419999999347</c:v>
                </c:pt>
                <c:pt idx="504">
                  <c:v>6123.7419999999347</c:v>
                </c:pt>
                <c:pt idx="505">
                  <c:v>6123.7419999999347</c:v>
                </c:pt>
                <c:pt idx="506">
                  <c:v>6123.7419999999347</c:v>
                </c:pt>
                <c:pt idx="507">
                  <c:v>6123.7419999999347</c:v>
                </c:pt>
                <c:pt idx="508">
                  <c:v>6187.7419999999347</c:v>
                </c:pt>
                <c:pt idx="509">
                  <c:v>6187.7419999999347</c:v>
                </c:pt>
                <c:pt idx="510">
                  <c:v>6187.7419999999347</c:v>
                </c:pt>
                <c:pt idx="511">
                  <c:v>6187.7419999999347</c:v>
                </c:pt>
                <c:pt idx="512">
                  <c:v>6187.7419999999347</c:v>
                </c:pt>
                <c:pt idx="513">
                  <c:v>6187.7419999999347</c:v>
                </c:pt>
                <c:pt idx="514">
                  <c:v>6187.7419999999347</c:v>
                </c:pt>
                <c:pt idx="515">
                  <c:v>6187.7419999999347</c:v>
                </c:pt>
                <c:pt idx="516">
                  <c:v>6187.7419999999347</c:v>
                </c:pt>
                <c:pt idx="517">
                  <c:v>6187.7419999999347</c:v>
                </c:pt>
                <c:pt idx="518">
                  <c:v>6187.7419999999347</c:v>
                </c:pt>
                <c:pt idx="519">
                  <c:v>6187.7419999999347</c:v>
                </c:pt>
                <c:pt idx="520">
                  <c:v>6187.7419999999347</c:v>
                </c:pt>
                <c:pt idx="521">
                  <c:v>6187.7419999999347</c:v>
                </c:pt>
                <c:pt idx="522">
                  <c:v>6187.7419999999347</c:v>
                </c:pt>
                <c:pt idx="523">
                  <c:v>6187.7419999999347</c:v>
                </c:pt>
                <c:pt idx="524">
                  <c:v>6187.7419999999347</c:v>
                </c:pt>
                <c:pt idx="525">
                  <c:v>6187.7419999999347</c:v>
                </c:pt>
                <c:pt idx="526">
                  <c:v>6107.7419999999347</c:v>
                </c:pt>
                <c:pt idx="527">
                  <c:v>6107.7419999999347</c:v>
                </c:pt>
                <c:pt idx="528">
                  <c:v>6107.7419999999347</c:v>
                </c:pt>
                <c:pt idx="529">
                  <c:v>6107.7419999999347</c:v>
                </c:pt>
                <c:pt idx="530">
                  <c:v>6027.7419999999347</c:v>
                </c:pt>
                <c:pt idx="531">
                  <c:v>6027.7419999999347</c:v>
                </c:pt>
                <c:pt idx="532">
                  <c:v>6027.7419999999347</c:v>
                </c:pt>
                <c:pt idx="533">
                  <c:v>6027.7419999999347</c:v>
                </c:pt>
                <c:pt idx="534">
                  <c:v>6027.7419999999347</c:v>
                </c:pt>
                <c:pt idx="535">
                  <c:v>6027.7419999999347</c:v>
                </c:pt>
                <c:pt idx="536">
                  <c:v>6027.7419999999347</c:v>
                </c:pt>
                <c:pt idx="537">
                  <c:v>6027.7419999999347</c:v>
                </c:pt>
                <c:pt idx="538">
                  <c:v>6187.7419999999347</c:v>
                </c:pt>
                <c:pt idx="539">
                  <c:v>6187.7419999999347</c:v>
                </c:pt>
                <c:pt idx="540">
                  <c:v>6187.7419999999347</c:v>
                </c:pt>
                <c:pt idx="541">
                  <c:v>6187.7419999999347</c:v>
                </c:pt>
                <c:pt idx="542">
                  <c:v>6187.7419999999347</c:v>
                </c:pt>
                <c:pt idx="543">
                  <c:v>6187.7419999999347</c:v>
                </c:pt>
                <c:pt idx="544">
                  <c:v>6187.7419999999347</c:v>
                </c:pt>
                <c:pt idx="545">
                  <c:v>6187.7419999999347</c:v>
                </c:pt>
                <c:pt idx="546">
                  <c:v>6187.7419999999347</c:v>
                </c:pt>
                <c:pt idx="547">
                  <c:v>6187.7419999999347</c:v>
                </c:pt>
                <c:pt idx="548">
                  <c:v>6187.7419999999347</c:v>
                </c:pt>
                <c:pt idx="549">
                  <c:v>6187.7419999999347</c:v>
                </c:pt>
                <c:pt idx="550">
                  <c:v>5835.7419999999347</c:v>
                </c:pt>
                <c:pt idx="551">
                  <c:v>5803.7419999999347</c:v>
                </c:pt>
                <c:pt idx="552">
                  <c:v>5803.7419999999347</c:v>
                </c:pt>
                <c:pt idx="553">
                  <c:v>5803.7419999999347</c:v>
                </c:pt>
                <c:pt idx="554">
                  <c:v>5803.7419999999347</c:v>
                </c:pt>
                <c:pt idx="555">
                  <c:v>5803.7419999999347</c:v>
                </c:pt>
                <c:pt idx="556">
                  <c:v>5803.7419999999347</c:v>
                </c:pt>
                <c:pt idx="557">
                  <c:v>5803.7419999999347</c:v>
                </c:pt>
                <c:pt idx="558">
                  <c:v>5803.7419999999347</c:v>
                </c:pt>
                <c:pt idx="559">
                  <c:v>5803.7419999999347</c:v>
                </c:pt>
                <c:pt idx="560">
                  <c:v>5803.7419999999347</c:v>
                </c:pt>
                <c:pt idx="561">
                  <c:v>5803.7419999999347</c:v>
                </c:pt>
                <c:pt idx="562">
                  <c:v>5803.7419999999347</c:v>
                </c:pt>
                <c:pt idx="563">
                  <c:v>5803.7419999999347</c:v>
                </c:pt>
                <c:pt idx="564">
                  <c:v>5803.7419999999347</c:v>
                </c:pt>
                <c:pt idx="565">
                  <c:v>5803.7419999999347</c:v>
                </c:pt>
                <c:pt idx="566">
                  <c:v>6235.7419999999347</c:v>
                </c:pt>
                <c:pt idx="567">
                  <c:v>6235.7419999999347</c:v>
                </c:pt>
                <c:pt idx="568">
                  <c:v>6235.7419999999347</c:v>
                </c:pt>
                <c:pt idx="569">
                  <c:v>6235.7419999999347</c:v>
                </c:pt>
                <c:pt idx="570">
                  <c:v>6235.7419999999347</c:v>
                </c:pt>
                <c:pt idx="571">
                  <c:v>6235.7419999999347</c:v>
                </c:pt>
                <c:pt idx="572">
                  <c:v>6235.7419999999347</c:v>
                </c:pt>
                <c:pt idx="573">
                  <c:v>6267.7419999999347</c:v>
                </c:pt>
                <c:pt idx="574">
                  <c:v>6267.7419999999347</c:v>
                </c:pt>
                <c:pt idx="575">
                  <c:v>6267.7419999999347</c:v>
                </c:pt>
                <c:pt idx="576">
                  <c:v>6267.7419999999347</c:v>
                </c:pt>
                <c:pt idx="577">
                  <c:v>6267.7419999999347</c:v>
                </c:pt>
                <c:pt idx="578">
                  <c:v>6267.7419999999347</c:v>
                </c:pt>
                <c:pt idx="579">
                  <c:v>6267.7419999999347</c:v>
                </c:pt>
                <c:pt idx="580">
                  <c:v>6267.7419999999347</c:v>
                </c:pt>
                <c:pt idx="581">
                  <c:v>6267.7419999999347</c:v>
                </c:pt>
                <c:pt idx="582">
                  <c:v>6267.7419999999347</c:v>
                </c:pt>
                <c:pt idx="583">
                  <c:v>6267.7419999999347</c:v>
                </c:pt>
                <c:pt idx="584">
                  <c:v>6267.7419999999347</c:v>
                </c:pt>
                <c:pt idx="585">
                  <c:v>6267.7419999999347</c:v>
                </c:pt>
                <c:pt idx="586">
                  <c:v>6267.7419999999347</c:v>
                </c:pt>
                <c:pt idx="587">
                  <c:v>6267.7419999999347</c:v>
                </c:pt>
                <c:pt idx="588">
                  <c:v>6267.7419999999347</c:v>
                </c:pt>
                <c:pt idx="589">
                  <c:v>6427.7419999999347</c:v>
                </c:pt>
                <c:pt idx="590">
                  <c:v>6427.7419999999347</c:v>
                </c:pt>
                <c:pt idx="591">
                  <c:v>6427.7419999999347</c:v>
                </c:pt>
                <c:pt idx="592">
                  <c:v>6507.7419999999347</c:v>
                </c:pt>
                <c:pt idx="593">
                  <c:v>6507.7419999999347</c:v>
                </c:pt>
                <c:pt idx="594">
                  <c:v>6827.7419999999347</c:v>
                </c:pt>
                <c:pt idx="595">
                  <c:v>6827.7419999999347</c:v>
                </c:pt>
                <c:pt idx="596">
                  <c:v>6827.7419999999347</c:v>
                </c:pt>
                <c:pt idx="597">
                  <c:v>6827.7419999999347</c:v>
                </c:pt>
                <c:pt idx="598">
                  <c:v>6827.7419999999347</c:v>
                </c:pt>
                <c:pt idx="599">
                  <c:v>6827.7419999999347</c:v>
                </c:pt>
                <c:pt idx="600">
                  <c:v>6827.7419999999347</c:v>
                </c:pt>
                <c:pt idx="601">
                  <c:v>6923.7419999999347</c:v>
                </c:pt>
                <c:pt idx="602">
                  <c:v>7019.7419999999347</c:v>
                </c:pt>
                <c:pt idx="603">
                  <c:v>7067.7419999999347</c:v>
                </c:pt>
                <c:pt idx="604">
                  <c:v>7339.7419999999347</c:v>
                </c:pt>
                <c:pt idx="605">
                  <c:v>7339.7419999999347</c:v>
                </c:pt>
                <c:pt idx="606">
                  <c:v>7339.7419999999347</c:v>
                </c:pt>
                <c:pt idx="607">
                  <c:v>7339.7419999999347</c:v>
                </c:pt>
                <c:pt idx="608">
                  <c:v>7339.7419999999347</c:v>
                </c:pt>
                <c:pt idx="609">
                  <c:v>7339.7419999999347</c:v>
                </c:pt>
                <c:pt idx="610">
                  <c:v>7339.7419999999347</c:v>
                </c:pt>
                <c:pt idx="611">
                  <c:v>7339.7419999999347</c:v>
                </c:pt>
                <c:pt idx="612">
                  <c:v>7339.7419999999347</c:v>
                </c:pt>
                <c:pt idx="613">
                  <c:v>7531.7419999999347</c:v>
                </c:pt>
                <c:pt idx="614">
                  <c:v>7611.7419999999347</c:v>
                </c:pt>
                <c:pt idx="615">
                  <c:v>7611.7419999999347</c:v>
                </c:pt>
                <c:pt idx="616">
                  <c:v>7611.7419999999347</c:v>
                </c:pt>
                <c:pt idx="617">
                  <c:v>7563.7419999999347</c:v>
                </c:pt>
                <c:pt idx="618">
                  <c:v>7563.7419999999347</c:v>
                </c:pt>
                <c:pt idx="619">
                  <c:v>7563.7419999999347</c:v>
                </c:pt>
                <c:pt idx="620">
                  <c:v>7563.7419999999347</c:v>
                </c:pt>
                <c:pt idx="621">
                  <c:v>7563.7419999999347</c:v>
                </c:pt>
                <c:pt idx="622">
                  <c:v>7563.7419999999347</c:v>
                </c:pt>
                <c:pt idx="623">
                  <c:v>7563.7419999999347</c:v>
                </c:pt>
                <c:pt idx="624">
                  <c:v>7563.7419999999347</c:v>
                </c:pt>
                <c:pt idx="625">
                  <c:v>7563.7419999999347</c:v>
                </c:pt>
                <c:pt idx="626">
                  <c:v>7563.7419999999347</c:v>
                </c:pt>
                <c:pt idx="627">
                  <c:v>7563.7419999999347</c:v>
                </c:pt>
                <c:pt idx="628">
                  <c:v>7563.7419999999347</c:v>
                </c:pt>
                <c:pt idx="629">
                  <c:v>7547.7419999999347</c:v>
                </c:pt>
                <c:pt idx="630">
                  <c:v>7547.7419999999347</c:v>
                </c:pt>
                <c:pt idx="631">
                  <c:v>7547.7419999999347</c:v>
                </c:pt>
                <c:pt idx="632">
                  <c:v>7547.7419999999347</c:v>
                </c:pt>
                <c:pt idx="633">
                  <c:v>7547.7419999999347</c:v>
                </c:pt>
                <c:pt idx="634">
                  <c:v>7595.7419999999365</c:v>
                </c:pt>
                <c:pt idx="635">
                  <c:v>7595.7419999999365</c:v>
                </c:pt>
                <c:pt idx="636">
                  <c:v>7595.7419999999365</c:v>
                </c:pt>
                <c:pt idx="637">
                  <c:v>7595.7419999999365</c:v>
                </c:pt>
                <c:pt idx="638">
                  <c:v>7595.7419999999365</c:v>
                </c:pt>
                <c:pt idx="639">
                  <c:v>7595.7419999999365</c:v>
                </c:pt>
                <c:pt idx="640">
                  <c:v>7595.7419999999365</c:v>
                </c:pt>
                <c:pt idx="641">
                  <c:v>7595.7419999999365</c:v>
                </c:pt>
                <c:pt idx="642">
                  <c:v>7595.7419999999365</c:v>
                </c:pt>
                <c:pt idx="643">
                  <c:v>7595.7419999999365</c:v>
                </c:pt>
                <c:pt idx="644">
                  <c:v>7595.7419999999365</c:v>
                </c:pt>
                <c:pt idx="645">
                  <c:v>7595.7419999999365</c:v>
                </c:pt>
                <c:pt idx="646">
                  <c:v>7595.7419999999365</c:v>
                </c:pt>
                <c:pt idx="647">
                  <c:v>7595.7419999999365</c:v>
                </c:pt>
                <c:pt idx="648">
                  <c:v>7595.7419999999365</c:v>
                </c:pt>
                <c:pt idx="649">
                  <c:v>7595.7419999999365</c:v>
                </c:pt>
                <c:pt idx="650">
                  <c:v>7595.7419999999365</c:v>
                </c:pt>
                <c:pt idx="651">
                  <c:v>7595.7419999999365</c:v>
                </c:pt>
                <c:pt idx="652">
                  <c:v>7595.7419999999365</c:v>
                </c:pt>
                <c:pt idx="653">
                  <c:v>7595.7419999999365</c:v>
                </c:pt>
                <c:pt idx="654">
                  <c:v>7595.7419999999365</c:v>
                </c:pt>
                <c:pt idx="655">
                  <c:v>7595.7419999999365</c:v>
                </c:pt>
                <c:pt idx="656">
                  <c:v>7595.7419999999365</c:v>
                </c:pt>
                <c:pt idx="657">
                  <c:v>7595.7419999999365</c:v>
                </c:pt>
                <c:pt idx="658">
                  <c:v>7595.7419999999365</c:v>
                </c:pt>
                <c:pt idx="659">
                  <c:v>7595.7419999999365</c:v>
                </c:pt>
                <c:pt idx="660">
                  <c:v>7595.7419999999365</c:v>
                </c:pt>
                <c:pt idx="661">
                  <c:v>7595.7419999999365</c:v>
                </c:pt>
                <c:pt idx="662">
                  <c:v>7595.7419999999365</c:v>
                </c:pt>
                <c:pt idx="663">
                  <c:v>7595.7419999999365</c:v>
                </c:pt>
                <c:pt idx="664">
                  <c:v>7595.7419999999365</c:v>
                </c:pt>
                <c:pt idx="665">
                  <c:v>7675.7419999999365</c:v>
                </c:pt>
                <c:pt idx="666">
                  <c:v>7675.7419999999365</c:v>
                </c:pt>
                <c:pt idx="667">
                  <c:v>7675.7419999999365</c:v>
                </c:pt>
                <c:pt idx="668">
                  <c:v>7675.7419999999365</c:v>
                </c:pt>
                <c:pt idx="669">
                  <c:v>7675.7419999999365</c:v>
                </c:pt>
                <c:pt idx="670">
                  <c:v>7675.7419999999365</c:v>
                </c:pt>
                <c:pt idx="671">
                  <c:v>7675.7419999999365</c:v>
                </c:pt>
                <c:pt idx="672">
                  <c:v>8523.7419999999365</c:v>
                </c:pt>
                <c:pt idx="673">
                  <c:v>9579.7419999999365</c:v>
                </c:pt>
                <c:pt idx="674">
                  <c:v>9579.7419999999365</c:v>
                </c:pt>
                <c:pt idx="675">
                  <c:v>9579.7419999999365</c:v>
                </c:pt>
                <c:pt idx="676">
                  <c:v>9419.7419999999365</c:v>
                </c:pt>
                <c:pt idx="677">
                  <c:v>9499.7419999999365</c:v>
                </c:pt>
                <c:pt idx="678">
                  <c:v>9771.7419999999365</c:v>
                </c:pt>
                <c:pt idx="679">
                  <c:v>9771.7419999999365</c:v>
                </c:pt>
                <c:pt idx="680">
                  <c:v>9771.7419999999365</c:v>
                </c:pt>
                <c:pt idx="681">
                  <c:v>9771.7419999999365</c:v>
                </c:pt>
                <c:pt idx="682">
                  <c:v>9771.7419999999365</c:v>
                </c:pt>
                <c:pt idx="683">
                  <c:v>9771.7419999999365</c:v>
                </c:pt>
                <c:pt idx="684">
                  <c:v>9771.7419999999365</c:v>
                </c:pt>
                <c:pt idx="685">
                  <c:v>9771.7419999999365</c:v>
                </c:pt>
                <c:pt idx="686">
                  <c:v>9771.7419999999365</c:v>
                </c:pt>
                <c:pt idx="687">
                  <c:v>9771.7419999999365</c:v>
                </c:pt>
                <c:pt idx="688">
                  <c:v>9771.7419999999365</c:v>
                </c:pt>
                <c:pt idx="689">
                  <c:v>9771.7419999999365</c:v>
                </c:pt>
                <c:pt idx="690">
                  <c:v>9771.7419999999365</c:v>
                </c:pt>
                <c:pt idx="691">
                  <c:v>9851.7419999999365</c:v>
                </c:pt>
                <c:pt idx="692">
                  <c:v>9979.7419999999365</c:v>
                </c:pt>
                <c:pt idx="693">
                  <c:v>9979.7419999999365</c:v>
                </c:pt>
                <c:pt idx="694">
                  <c:v>9979.7419999999365</c:v>
                </c:pt>
                <c:pt idx="695">
                  <c:v>9979.7419999999365</c:v>
                </c:pt>
                <c:pt idx="696">
                  <c:v>9979.7419999999365</c:v>
                </c:pt>
                <c:pt idx="697">
                  <c:v>9979.7419999999365</c:v>
                </c:pt>
                <c:pt idx="698">
                  <c:v>9979.7419999999365</c:v>
                </c:pt>
                <c:pt idx="699">
                  <c:v>9979.7419999999365</c:v>
                </c:pt>
                <c:pt idx="700">
                  <c:v>9979.7419999999365</c:v>
                </c:pt>
                <c:pt idx="701">
                  <c:v>9979.7419999999365</c:v>
                </c:pt>
                <c:pt idx="702">
                  <c:v>10171.741999999937</c:v>
                </c:pt>
                <c:pt idx="703">
                  <c:v>10171.741999999937</c:v>
                </c:pt>
                <c:pt idx="704">
                  <c:v>10171.741999999937</c:v>
                </c:pt>
                <c:pt idx="705">
                  <c:v>10171.741999999937</c:v>
                </c:pt>
                <c:pt idx="706">
                  <c:v>10171.741999999937</c:v>
                </c:pt>
                <c:pt idx="707">
                  <c:v>10171.741999999937</c:v>
                </c:pt>
                <c:pt idx="708">
                  <c:v>10171.741999999937</c:v>
                </c:pt>
                <c:pt idx="709">
                  <c:v>10251.741999999937</c:v>
                </c:pt>
                <c:pt idx="710">
                  <c:v>10251.741999999937</c:v>
                </c:pt>
                <c:pt idx="711">
                  <c:v>10251.741999999937</c:v>
                </c:pt>
                <c:pt idx="712">
                  <c:v>10251.741999999937</c:v>
                </c:pt>
                <c:pt idx="713">
                  <c:v>10219.741999999944</c:v>
                </c:pt>
                <c:pt idx="714">
                  <c:v>10219.741999999944</c:v>
                </c:pt>
                <c:pt idx="715">
                  <c:v>10219.741999999944</c:v>
                </c:pt>
                <c:pt idx="716">
                  <c:v>10219.741999999944</c:v>
                </c:pt>
                <c:pt idx="717">
                  <c:v>10219.741999999944</c:v>
                </c:pt>
                <c:pt idx="718">
                  <c:v>10219.741999999944</c:v>
                </c:pt>
                <c:pt idx="719">
                  <c:v>10219.741999999944</c:v>
                </c:pt>
                <c:pt idx="720">
                  <c:v>10219.741999999944</c:v>
                </c:pt>
                <c:pt idx="721">
                  <c:v>10219.741999999944</c:v>
                </c:pt>
                <c:pt idx="722">
                  <c:v>10219.741999999944</c:v>
                </c:pt>
                <c:pt idx="723">
                  <c:v>10219.741999999944</c:v>
                </c:pt>
                <c:pt idx="724">
                  <c:v>10219.741999999944</c:v>
                </c:pt>
                <c:pt idx="725">
                  <c:v>10219.741999999944</c:v>
                </c:pt>
                <c:pt idx="726">
                  <c:v>10219.741999999944</c:v>
                </c:pt>
                <c:pt idx="727">
                  <c:v>10219.741999999944</c:v>
                </c:pt>
                <c:pt idx="728">
                  <c:v>10219.741999999944</c:v>
                </c:pt>
                <c:pt idx="729">
                  <c:v>10219.741999999944</c:v>
                </c:pt>
                <c:pt idx="730">
                  <c:v>10219.741999999944</c:v>
                </c:pt>
                <c:pt idx="731">
                  <c:v>10219.741999999944</c:v>
                </c:pt>
                <c:pt idx="732">
                  <c:v>10123.74199999994</c:v>
                </c:pt>
                <c:pt idx="733">
                  <c:v>10123.74199999994</c:v>
                </c:pt>
                <c:pt idx="734">
                  <c:v>10171.74199999994</c:v>
                </c:pt>
                <c:pt idx="735">
                  <c:v>10171.74199999994</c:v>
                </c:pt>
                <c:pt idx="736">
                  <c:v>10171.74199999994</c:v>
                </c:pt>
                <c:pt idx="737">
                  <c:v>10171.74199999994</c:v>
                </c:pt>
                <c:pt idx="738">
                  <c:v>10171.74199999994</c:v>
                </c:pt>
                <c:pt idx="739">
                  <c:v>10171.74199999994</c:v>
                </c:pt>
                <c:pt idx="740">
                  <c:v>10171.74199999994</c:v>
                </c:pt>
                <c:pt idx="741">
                  <c:v>10171.74199999994</c:v>
                </c:pt>
                <c:pt idx="742">
                  <c:v>10251.74199999994</c:v>
                </c:pt>
                <c:pt idx="743">
                  <c:v>10251.74199999994</c:v>
                </c:pt>
                <c:pt idx="744">
                  <c:v>10331.74199999994</c:v>
                </c:pt>
                <c:pt idx="745">
                  <c:v>10331.74199999994</c:v>
                </c:pt>
                <c:pt idx="746">
                  <c:v>10331.74199999994</c:v>
                </c:pt>
                <c:pt idx="747">
                  <c:v>10331.74199999994</c:v>
                </c:pt>
                <c:pt idx="748">
                  <c:v>10331.74199999994</c:v>
                </c:pt>
                <c:pt idx="749">
                  <c:v>10331.74199999994</c:v>
                </c:pt>
                <c:pt idx="750">
                  <c:v>10331.74199999994</c:v>
                </c:pt>
                <c:pt idx="751">
                  <c:v>10331.74199999994</c:v>
                </c:pt>
                <c:pt idx="752">
                  <c:v>10331.74199999994</c:v>
                </c:pt>
                <c:pt idx="753">
                  <c:v>10331.74199999994</c:v>
                </c:pt>
                <c:pt idx="754">
                  <c:v>10331.74199999994</c:v>
                </c:pt>
                <c:pt idx="755">
                  <c:v>10331.74199999994</c:v>
                </c:pt>
                <c:pt idx="756">
                  <c:v>10555.74199999994</c:v>
                </c:pt>
                <c:pt idx="757">
                  <c:v>10555.74199999994</c:v>
                </c:pt>
                <c:pt idx="758">
                  <c:v>10555.74199999994</c:v>
                </c:pt>
                <c:pt idx="759">
                  <c:v>10555.74199999994</c:v>
                </c:pt>
                <c:pt idx="760">
                  <c:v>10635.74199999994</c:v>
                </c:pt>
                <c:pt idx="761">
                  <c:v>10635.74199999994</c:v>
                </c:pt>
                <c:pt idx="762">
                  <c:v>10635.74199999994</c:v>
                </c:pt>
                <c:pt idx="763">
                  <c:v>10635.74199999994</c:v>
                </c:pt>
                <c:pt idx="764">
                  <c:v>10635.74199999994</c:v>
                </c:pt>
                <c:pt idx="765">
                  <c:v>10635.74199999994</c:v>
                </c:pt>
                <c:pt idx="766">
                  <c:v>10635.74199999994</c:v>
                </c:pt>
                <c:pt idx="767">
                  <c:v>10635.74199999994</c:v>
                </c:pt>
                <c:pt idx="768">
                  <c:v>10635.74199999994</c:v>
                </c:pt>
                <c:pt idx="769">
                  <c:v>10635.74199999994</c:v>
                </c:pt>
                <c:pt idx="770">
                  <c:v>10635.74199999994</c:v>
                </c:pt>
                <c:pt idx="771">
                  <c:v>10715.74199999994</c:v>
                </c:pt>
                <c:pt idx="772">
                  <c:v>10715.74199999994</c:v>
                </c:pt>
                <c:pt idx="773">
                  <c:v>10715.74199999994</c:v>
                </c:pt>
                <c:pt idx="774">
                  <c:v>10715.74199999994</c:v>
                </c:pt>
                <c:pt idx="775">
                  <c:v>10715.74199999994</c:v>
                </c:pt>
                <c:pt idx="776">
                  <c:v>10715.74199999994</c:v>
                </c:pt>
                <c:pt idx="777">
                  <c:v>10715.74199999994</c:v>
                </c:pt>
                <c:pt idx="778">
                  <c:v>10827.74199999994</c:v>
                </c:pt>
                <c:pt idx="779">
                  <c:v>10875.74199999994</c:v>
                </c:pt>
                <c:pt idx="780">
                  <c:v>10779.74199999994</c:v>
                </c:pt>
                <c:pt idx="781">
                  <c:v>10827.74199999994</c:v>
                </c:pt>
                <c:pt idx="782">
                  <c:v>10827.74199999994</c:v>
                </c:pt>
                <c:pt idx="783">
                  <c:v>10827.74199999994</c:v>
                </c:pt>
                <c:pt idx="784">
                  <c:v>10827.74199999994</c:v>
                </c:pt>
                <c:pt idx="785">
                  <c:v>10827.74199999994</c:v>
                </c:pt>
                <c:pt idx="786">
                  <c:v>10827.74199999994</c:v>
                </c:pt>
                <c:pt idx="787">
                  <c:v>10827.74199999994</c:v>
                </c:pt>
                <c:pt idx="788">
                  <c:v>10123.74199999994</c:v>
                </c:pt>
                <c:pt idx="789">
                  <c:v>10123.74199999994</c:v>
                </c:pt>
                <c:pt idx="790">
                  <c:v>10123.74199999994</c:v>
                </c:pt>
                <c:pt idx="791">
                  <c:v>10123.74199999994</c:v>
                </c:pt>
                <c:pt idx="792">
                  <c:v>10123.74199999994</c:v>
                </c:pt>
                <c:pt idx="793">
                  <c:v>10123.74199999994</c:v>
                </c:pt>
                <c:pt idx="794">
                  <c:v>10123.74199999994</c:v>
                </c:pt>
                <c:pt idx="795">
                  <c:v>10123.74199999994</c:v>
                </c:pt>
                <c:pt idx="796">
                  <c:v>10171.74199999994</c:v>
                </c:pt>
                <c:pt idx="797">
                  <c:v>10171.74199999994</c:v>
                </c:pt>
                <c:pt idx="798">
                  <c:v>10171.74199999994</c:v>
                </c:pt>
                <c:pt idx="799">
                  <c:v>10171.74199999994</c:v>
                </c:pt>
                <c:pt idx="800">
                  <c:v>10171.74199999994</c:v>
                </c:pt>
                <c:pt idx="801">
                  <c:v>10171.74199999994</c:v>
                </c:pt>
                <c:pt idx="802">
                  <c:v>10171.74199999994</c:v>
                </c:pt>
                <c:pt idx="803">
                  <c:v>10171.74199999994</c:v>
                </c:pt>
                <c:pt idx="804">
                  <c:v>10171.74199999994</c:v>
                </c:pt>
                <c:pt idx="805">
                  <c:v>10171.74199999994</c:v>
                </c:pt>
                <c:pt idx="806">
                  <c:v>10171.74199999994</c:v>
                </c:pt>
                <c:pt idx="807">
                  <c:v>10251.74199999994</c:v>
                </c:pt>
                <c:pt idx="808">
                  <c:v>10299.74199999994</c:v>
                </c:pt>
                <c:pt idx="809">
                  <c:v>10299.74199999994</c:v>
                </c:pt>
                <c:pt idx="810">
                  <c:v>10619.74199999994</c:v>
                </c:pt>
                <c:pt idx="811">
                  <c:v>10619.74199999994</c:v>
                </c:pt>
                <c:pt idx="812">
                  <c:v>10619.74199999994</c:v>
                </c:pt>
                <c:pt idx="813">
                  <c:v>10619.74199999994</c:v>
                </c:pt>
                <c:pt idx="814">
                  <c:v>10619.74199999994</c:v>
                </c:pt>
                <c:pt idx="815">
                  <c:v>10619.74199999994</c:v>
                </c:pt>
                <c:pt idx="816">
                  <c:v>10619.74199999994</c:v>
                </c:pt>
                <c:pt idx="817">
                  <c:v>10619.74199999994</c:v>
                </c:pt>
                <c:pt idx="818">
                  <c:v>10619.74199999994</c:v>
                </c:pt>
                <c:pt idx="819">
                  <c:v>10619.74199999994</c:v>
                </c:pt>
                <c:pt idx="820">
                  <c:v>10619.74199999994</c:v>
                </c:pt>
                <c:pt idx="821">
                  <c:v>10699.74199999994</c:v>
                </c:pt>
                <c:pt idx="822">
                  <c:v>10987.74199999994</c:v>
                </c:pt>
                <c:pt idx="823">
                  <c:v>10987.74199999994</c:v>
                </c:pt>
                <c:pt idx="824">
                  <c:v>10987.74199999994</c:v>
                </c:pt>
                <c:pt idx="825">
                  <c:v>11011.74199999994</c:v>
                </c:pt>
                <c:pt idx="826">
                  <c:v>11011.74199999994</c:v>
                </c:pt>
                <c:pt idx="827">
                  <c:v>11011.74199999994</c:v>
                </c:pt>
                <c:pt idx="828">
                  <c:v>11011.74199999994</c:v>
                </c:pt>
                <c:pt idx="829">
                  <c:v>11011.74199999994</c:v>
                </c:pt>
                <c:pt idx="830">
                  <c:v>10979.74199999994</c:v>
                </c:pt>
                <c:pt idx="831">
                  <c:v>10979.74199999994</c:v>
                </c:pt>
                <c:pt idx="832">
                  <c:v>10979.74199999994</c:v>
                </c:pt>
                <c:pt idx="833">
                  <c:v>10979.74199999994</c:v>
                </c:pt>
                <c:pt idx="834">
                  <c:v>11123.74199999994</c:v>
                </c:pt>
                <c:pt idx="835">
                  <c:v>11123.74199999994</c:v>
                </c:pt>
                <c:pt idx="836">
                  <c:v>11123.74199999994</c:v>
                </c:pt>
                <c:pt idx="837">
                  <c:v>11123.74199999994</c:v>
                </c:pt>
                <c:pt idx="838">
                  <c:v>11123.74199999994</c:v>
                </c:pt>
                <c:pt idx="839">
                  <c:v>11187.74199999994</c:v>
                </c:pt>
                <c:pt idx="840">
                  <c:v>11187.74199999994</c:v>
                </c:pt>
                <c:pt idx="841">
                  <c:v>11347.74199999994</c:v>
                </c:pt>
                <c:pt idx="842">
                  <c:v>11347.74199999994</c:v>
                </c:pt>
                <c:pt idx="843">
                  <c:v>11539.74199999994</c:v>
                </c:pt>
                <c:pt idx="844">
                  <c:v>11699.74199999994</c:v>
                </c:pt>
                <c:pt idx="845">
                  <c:v>11699.74199999994</c:v>
                </c:pt>
                <c:pt idx="846">
                  <c:v>11699.74199999994</c:v>
                </c:pt>
                <c:pt idx="847">
                  <c:v>11699.74199999994</c:v>
                </c:pt>
                <c:pt idx="848">
                  <c:v>11699.74199999994</c:v>
                </c:pt>
                <c:pt idx="849">
                  <c:v>11699.74199999994</c:v>
                </c:pt>
                <c:pt idx="850">
                  <c:v>12355.74199999994</c:v>
                </c:pt>
                <c:pt idx="851">
                  <c:v>12355.74199999994</c:v>
                </c:pt>
                <c:pt idx="852">
                  <c:v>12355.74199999994</c:v>
                </c:pt>
                <c:pt idx="853">
                  <c:v>12355.74199999994</c:v>
                </c:pt>
                <c:pt idx="854">
                  <c:v>12403.74199999994</c:v>
                </c:pt>
                <c:pt idx="855">
                  <c:v>12403.74199999994</c:v>
                </c:pt>
                <c:pt idx="856">
                  <c:v>12403.74199999994</c:v>
                </c:pt>
                <c:pt idx="857">
                  <c:v>12403.74199999994</c:v>
                </c:pt>
                <c:pt idx="858">
                  <c:v>12403.74199999994</c:v>
                </c:pt>
                <c:pt idx="859">
                  <c:v>12403.74199999994</c:v>
                </c:pt>
                <c:pt idx="860">
                  <c:v>12403.74199999994</c:v>
                </c:pt>
                <c:pt idx="861">
                  <c:v>12403.74199999994</c:v>
                </c:pt>
                <c:pt idx="862">
                  <c:v>12403.74199999994</c:v>
                </c:pt>
                <c:pt idx="863">
                  <c:v>12403.74199999994</c:v>
                </c:pt>
                <c:pt idx="864">
                  <c:v>12403.74199999994</c:v>
                </c:pt>
                <c:pt idx="865">
                  <c:v>12643.74199999994</c:v>
                </c:pt>
                <c:pt idx="866">
                  <c:v>12883.74199999994</c:v>
                </c:pt>
                <c:pt idx="867">
                  <c:v>12883.74199999994</c:v>
                </c:pt>
                <c:pt idx="868">
                  <c:v>12883.74199999994</c:v>
                </c:pt>
                <c:pt idx="869">
                  <c:v>12883.74199999994</c:v>
                </c:pt>
                <c:pt idx="870">
                  <c:v>12883.74199999994</c:v>
                </c:pt>
                <c:pt idx="871">
                  <c:v>12883.74199999994</c:v>
                </c:pt>
                <c:pt idx="872">
                  <c:v>12883.74199999994</c:v>
                </c:pt>
                <c:pt idx="873">
                  <c:v>12915.74199999994</c:v>
                </c:pt>
                <c:pt idx="874">
                  <c:v>12915.74199999994</c:v>
                </c:pt>
                <c:pt idx="875">
                  <c:v>12915.74199999994</c:v>
                </c:pt>
                <c:pt idx="876">
                  <c:v>12915.74199999994</c:v>
                </c:pt>
                <c:pt idx="877">
                  <c:v>12915.74199999994</c:v>
                </c:pt>
                <c:pt idx="878">
                  <c:v>12915.74199999994</c:v>
                </c:pt>
                <c:pt idx="879">
                  <c:v>12915.74199999994</c:v>
                </c:pt>
                <c:pt idx="880">
                  <c:v>12915.74199999994</c:v>
                </c:pt>
                <c:pt idx="881">
                  <c:v>12915.74199999994</c:v>
                </c:pt>
                <c:pt idx="882">
                  <c:v>12915.74199999994</c:v>
                </c:pt>
                <c:pt idx="883">
                  <c:v>13107.74199999994</c:v>
                </c:pt>
                <c:pt idx="884">
                  <c:v>13107.74199999994</c:v>
                </c:pt>
                <c:pt idx="885">
                  <c:v>13107.74199999994</c:v>
                </c:pt>
                <c:pt idx="886">
                  <c:v>13107.74199999994</c:v>
                </c:pt>
                <c:pt idx="887">
                  <c:v>13107.74199999994</c:v>
                </c:pt>
                <c:pt idx="888">
                  <c:v>13187.74199999994</c:v>
                </c:pt>
                <c:pt idx="889">
                  <c:v>13187.74199999994</c:v>
                </c:pt>
                <c:pt idx="890">
                  <c:v>13187.74199999994</c:v>
                </c:pt>
                <c:pt idx="891">
                  <c:v>13187.74199999994</c:v>
                </c:pt>
                <c:pt idx="892">
                  <c:v>13187.74199999994</c:v>
                </c:pt>
                <c:pt idx="893">
                  <c:v>13187.74199999994</c:v>
                </c:pt>
                <c:pt idx="894">
                  <c:v>13187.74199999994</c:v>
                </c:pt>
                <c:pt idx="895">
                  <c:v>13235.741999999942</c:v>
                </c:pt>
                <c:pt idx="896">
                  <c:v>13427.741999999942</c:v>
                </c:pt>
                <c:pt idx="897">
                  <c:v>13587.741999999942</c:v>
                </c:pt>
                <c:pt idx="898">
                  <c:v>13587.741999999942</c:v>
                </c:pt>
                <c:pt idx="899">
                  <c:v>13587.741999999942</c:v>
                </c:pt>
                <c:pt idx="900">
                  <c:v>13587.741999999942</c:v>
                </c:pt>
                <c:pt idx="901">
                  <c:v>13587.741999999942</c:v>
                </c:pt>
                <c:pt idx="902">
                  <c:v>13587.741999999942</c:v>
                </c:pt>
                <c:pt idx="903">
                  <c:v>13587.741999999942</c:v>
                </c:pt>
                <c:pt idx="904">
                  <c:v>13587.741999999942</c:v>
                </c:pt>
                <c:pt idx="905">
                  <c:v>13587.741999999942</c:v>
                </c:pt>
                <c:pt idx="906">
                  <c:v>13587.741999999942</c:v>
                </c:pt>
                <c:pt idx="907">
                  <c:v>12947.741999999942</c:v>
                </c:pt>
                <c:pt idx="908">
                  <c:v>13043.741999999942</c:v>
                </c:pt>
                <c:pt idx="909">
                  <c:v>13203.741999999942</c:v>
                </c:pt>
                <c:pt idx="910">
                  <c:v>12291.741999999942</c:v>
                </c:pt>
                <c:pt idx="911">
                  <c:v>12355.741999999942</c:v>
                </c:pt>
                <c:pt idx="912">
                  <c:v>12355.741999999942</c:v>
                </c:pt>
                <c:pt idx="913">
                  <c:v>12115.741999999942</c:v>
                </c:pt>
                <c:pt idx="914">
                  <c:v>12115.741999999942</c:v>
                </c:pt>
                <c:pt idx="915">
                  <c:v>12115.741999999942</c:v>
                </c:pt>
                <c:pt idx="916">
                  <c:v>12115.741999999942</c:v>
                </c:pt>
                <c:pt idx="917">
                  <c:v>12691.741999999942</c:v>
                </c:pt>
                <c:pt idx="918">
                  <c:v>12691.741999999942</c:v>
                </c:pt>
                <c:pt idx="919">
                  <c:v>12691.741999999942</c:v>
                </c:pt>
                <c:pt idx="920">
                  <c:v>12691.741999999942</c:v>
                </c:pt>
                <c:pt idx="921">
                  <c:v>12691.741999999942</c:v>
                </c:pt>
                <c:pt idx="922">
                  <c:v>12691.741999999942</c:v>
                </c:pt>
                <c:pt idx="923">
                  <c:v>12691.741999999942</c:v>
                </c:pt>
                <c:pt idx="924">
                  <c:v>12691.741999999942</c:v>
                </c:pt>
                <c:pt idx="925">
                  <c:v>12931.741999999942</c:v>
                </c:pt>
                <c:pt idx="926">
                  <c:v>13091.741999999942</c:v>
                </c:pt>
                <c:pt idx="927">
                  <c:v>13091.741999999942</c:v>
                </c:pt>
                <c:pt idx="928">
                  <c:v>13091.741999999942</c:v>
                </c:pt>
                <c:pt idx="929">
                  <c:v>13091.741999999942</c:v>
                </c:pt>
                <c:pt idx="930">
                  <c:v>13091.741999999942</c:v>
                </c:pt>
                <c:pt idx="931">
                  <c:v>13091.741999999942</c:v>
                </c:pt>
                <c:pt idx="932">
                  <c:v>13267.741999999942</c:v>
                </c:pt>
                <c:pt idx="933">
                  <c:v>13267.741999999942</c:v>
                </c:pt>
                <c:pt idx="934">
                  <c:v>13267.741999999942</c:v>
                </c:pt>
                <c:pt idx="935">
                  <c:v>13267.741999999942</c:v>
                </c:pt>
                <c:pt idx="936">
                  <c:v>13267.741999999942</c:v>
                </c:pt>
                <c:pt idx="937">
                  <c:v>13267.741999999942</c:v>
                </c:pt>
                <c:pt idx="938">
                  <c:v>13267.741999999942</c:v>
                </c:pt>
                <c:pt idx="939">
                  <c:v>13267.741999999942</c:v>
                </c:pt>
                <c:pt idx="940">
                  <c:v>13267.741999999942</c:v>
                </c:pt>
                <c:pt idx="941">
                  <c:v>13267.741999999942</c:v>
                </c:pt>
                <c:pt idx="942">
                  <c:v>13299.741999999942</c:v>
                </c:pt>
                <c:pt idx="943">
                  <c:v>13299.741999999942</c:v>
                </c:pt>
                <c:pt idx="944">
                  <c:v>13299.741999999942</c:v>
                </c:pt>
                <c:pt idx="945">
                  <c:v>13299.741999999942</c:v>
                </c:pt>
                <c:pt idx="946">
                  <c:v>13331.741999999942</c:v>
                </c:pt>
                <c:pt idx="947">
                  <c:v>13331.741999999942</c:v>
                </c:pt>
                <c:pt idx="948">
                  <c:v>13331.741999999942</c:v>
                </c:pt>
                <c:pt idx="949">
                  <c:v>13251.741999999942</c:v>
                </c:pt>
                <c:pt idx="950">
                  <c:v>13251.741999999942</c:v>
                </c:pt>
                <c:pt idx="951">
                  <c:v>13251.741999999942</c:v>
                </c:pt>
                <c:pt idx="952">
                  <c:v>13251.741999999942</c:v>
                </c:pt>
                <c:pt idx="953">
                  <c:v>13251.741999999942</c:v>
                </c:pt>
                <c:pt idx="954">
                  <c:v>13251.741999999942</c:v>
                </c:pt>
                <c:pt idx="955">
                  <c:v>13251.741999999942</c:v>
                </c:pt>
                <c:pt idx="956">
                  <c:v>13251.741999999942</c:v>
                </c:pt>
                <c:pt idx="957">
                  <c:v>13251.741999999942</c:v>
                </c:pt>
                <c:pt idx="958">
                  <c:v>13363.741999999942</c:v>
                </c:pt>
                <c:pt idx="959">
                  <c:v>13363.741999999942</c:v>
                </c:pt>
                <c:pt idx="960">
                  <c:v>13323.741999999942</c:v>
                </c:pt>
                <c:pt idx="961">
                  <c:v>13347.741999999942</c:v>
                </c:pt>
                <c:pt idx="962">
                  <c:v>13358.941999999943</c:v>
                </c:pt>
                <c:pt idx="963">
                  <c:v>13358.941999999943</c:v>
                </c:pt>
                <c:pt idx="964">
                  <c:v>13358.941999999943</c:v>
                </c:pt>
                <c:pt idx="965">
                  <c:v>13358.941999999943</c:v>
                </c:pt>
                <c:pt idx="966">
                  <c:v>13358.941999999943</c:v>
                </c:pt>
                <c:pt idx="967">
                  <c:v>13358.941999999943</c:v>
                </c:pt>
                <c:pt idx="968">
                  <c:v>13358.941999999943</c:v>
                </c:pt>
                <c:pt idx="969">
                  <c:v>13358.941999999943</c:v>
                </c:pt>
                <c:pt idx="970">
                  <c:v>13358.941999999943</c:v>
                </c:pt>
                <c:pt idx="971">
                  <c:v>13358.941999999943</c:v>
                </c:pt>
                <c:pt idx="972">
                  <c:v>13358.941999999943</c:v>
                </c:pt>
                <c:pt idx="973">
                  <c:v>13358.941999999943</c:v>
                </c:pt>
                <c:pt idx="974">
                  <c:v>13358.941999999943</c:v>
                </c:pt>
                <c:pt idx="975">
                  <c:v>13358.941999999943</c:v>
                </c:pt>
                <c:pt idx="976">
                  <c:v>13358.941999999943</c:v>
                </c:pt>
                <c:pt idx="977">
                  <c:v>13358.941999999943</c:v>
                </c:pt>
                <c:pt idx="978">
                  <c:v>13358.941999999943</c:v>
                </c:pt>
                <c:pt idx="979">
                  <c:v>13358.941999999943</c:v>
                </c:pt>
                <c:pt idx="980">
                  <c:v>13358.941999999943</c:v>
                </c:pt>
                <c:pt idx="981">
                  <c:v>13358.941999999943</c:v>
                </c:pt>
                <c:pt idx="982">
                  <c:v>13374.941999999943</c:v>
                </c:pt>
                <c:pt idx="983">
                  <c:v>13550.941999999943</c:v>
                </c:pt>
                <c:pt idx="984">
                  <c:v>13630.941999999943</c:v>
                </c:pt>
                <c:pt idx="985">
                  <c:v>13630.941999999943</c:v>
                </c:pt>
                <c:pt idx="986">
                  <c:v>13822.941999999943</c:v>
                </c:pt>
                <c:pt idx="987">
                  <c:v>13886.941999999943</c:v>
                </c:pt>
                <c:pt idx="988">
                  <c:v>14030.941999999943</c:v>
                </c:pt>
                <c:pt idx="989">
                  <c:v>14190.941999999943</c:v>
                </c:pt>
                <c:pt idx="990">
                  <c:v>14190.941999999943</c:v>
                </c:pt>
                <c:pt idx="991">
                  <c:v>14190.941999999943</c:v>
                </c:pt>
                <c:pt idx="992">
                  <c:v>14382.941999999943</c:v>
                </c:pt>
                <c:pt idx="993">
                  <c:v>14382.941999999943</c:v>
                </c:pt>
                <c:pt idx="994">
                  <c:v>14382.941999999943</c:v>
                </c:pt>
                <c:pt idx="995">
                  <c:v>14382.941999999943</c:v>
                </c:pt>
                <c:pt idx="996">
                  <c:v>14462.941999999943</c:v>
                </c:pt>
                <c:pt idx="997">
                  <c:v>14702.941999999943</c:v>
                </c:pt>
                <c:pt idx="998">
                  <c:v>14702.941999999943</c:v>
                </c:pt>
                <c:pt idx="999">
                  <c:v>14702.941999999943</c:v>
                </c:pt>
                <c:pt idx="1000">
                  <c:v>14702.941999999943</c:v>
                </c:pt>
                <c:pt idx="1001">
                  <c:v>14702.941999999943</c:v>
                </c:pt>
                <c:pt idx="1002">
                  <c:v>14702.941999999943</c:v>
                </c:pt>
                <c:pt idx="1003">
                  <c:v>14814.941999999943</c:v>
                </c:pt>
                <c:pt idx="1004">
                  <c:v>14814.941999999943</c:v>
                </c:pt>
                <c:pt idx="1005">
                  <c:v>14814.941999999943</c:v>
                </c:pt>
                <c:pt idx="1006">
                  <c:v>14814.941999999943</c:v>
                </c:pt>
                <c:pt idx="1007">
                  <c:v>14814.941999999943</c:v>
                </c:pt>
                <c:pt idx="1008">
                  <c:v>14238.941999999943</c:v>
                </c:pt>
                <c:pt idx="1009">
                  <c:v>13854.941999999943</c:v>
                </c:pt>
                <c:pt idx="1010">
                  <c:v>13902.941999999943</c:v>
                </c:pt>
                <c:pt idx="1011">
                  <c:v>13902.941999999943</c:v>
                </c:pt>
                <c:pt idx="1012">
                  <c:v>13902.941999999943</c:v>
                </c:pt>
                <c:pt idx="1013">
                  <c:v>13902.941999999943</c:v>
                </c:pt>
                <c:pt idx="1014">
                  <c:v>13902.941999999943</c:v>
                </c:pt>
                <c:pt idx="1015">
                  <c:v>13902.941999999943</c:v>
                </c:pt>
                <c:pt idx="1016">
                  <c:v>13902.941999999943</c:v>
                </c:pt>
                <c:pt idx="1017">
                  <c:v>13582.941999999943</c:v>
                </c:pt>
                <c:pt idx="1018">
                  <c:v>13278.941999999943</c:v>
                </c:pt>
                <c:pt idx="1019">
                  <c:v>13470.941999999943</c:v>
                </c:pt>
                <c:pt idx="1020">
                  <c:v>13470.941999999943</c:v>
                </c:pt>
                <c:pt idx="1021">
                  <c:v>13518.941999999943</c:v>
                </c:pt>
                <c:pt idx="1022">
                  <c:v>13550.941999999943</c:v>
                </c:pt>
                <c:pt idx="1023">
                  <c:v>13550.941999999943</c:v>
                </c:pt>
                <c:pt idx="1024">
                  <c:v>13550.941999999943</c:v>
                </c:pt>
                <c:pt idx="1025">
                  <c:v>13550.941999999943</c:v>
                </c:pt>
                <c:pt idx="1026">
                  <c:v>13550.941999999943</c:v>
                </c:pt>
                <c:pt idx="1027">
                  <c:v>13550.941999999943</c:v>
                </c:pt>
                <c:pt idx="1028">
                  <c:v>13550.941999999943</c:v>
                </c:pt>
                <c:pt idx="1029">
                  <c:v>13550.941999999943</c:v>
                </c:pt>
                <c:pt idx="1030">
                  <c:v>13550.941999999943</c:v>
                </c:pt>
                <c:pt idx="1031">
                  <c:v>13550.941999999943</c:v>
                </c:pt>
                <c:pt idx="1032">
                  <c:v>13614.941999999943</c:v>
                </c:pt>
                <c:pt idx="1033">
                  <c:v>13614.941999999943</c:v>
                </c:pt>
                <c:pt idx="1034">
                  <c:v>13614.941999999943</c:v>
                </c:pt>
                <c:pt idx="1035">
                  <c:v>13614.941999999943</c:v>
                </c:pt>
                <c:pt idx="1036">
                  <c:v>13614.941999999943</c:v>
                </c:pt>
                <c:pt idx="1037">
                  <c:v>13614.941999999943</c:v>
                </c:pt>
                <c:pt idx="1038">
                  <c:v>13614.941999999943</c:v>
                </c:pt>
                <c:pt idx="1039">
                  <c:v>13614.941999999943</c:v>
                </c:pt>
                <c:pt idx="1040">
                  <c:v>13614.941999999943</c:v>
                </c:pt>
                <c:pt idx="1041">
                  <c:v>13614.941999999943</c:v>
                </c:pt>
                <c:pt idx="1042">
                  <c:v>13614.941999999943</c:v>
                </c:pt>
                <c:pt idx="1043">
                  <c:v>13614.941999999943</c:v>
                </c:pt>
                <c:pt idx="1044">
                  <c:v>13614.941999999943</c:v>
                </c:pt>
                <c:pt idx="1045">
                  <c:v>13614.941999999943</c:v>
                </c:pt>
                <c:pt idx="1046">
                  <c:v>13614.941999999943</c:v>
                </c:pt>
                <c:pt idx="1047">
                  <c:v>13726.941999999943</c:v>
                </c:pt>
                <c:pt idx="1048">
                  <c:v>13726.941999999943</c:v>
                </c:pt>
                <c:pt idx="1049">
                  <c:v>13726.941999999943</c:v>
                </c:pt>
                <c:pt idx="1050">
                  <c:v>13726.941999999943</c:v>
                </c:pt>
                <c:pt idx="1051">
                  <c:v>13726.941999999943</c:v>
                </c:pt>
                <c:pt idx="1052">
                  <c:v>13726.941999999943</c:v>
                </c:pt>
                <c:pt idx="1053">
                  <c:v>13950.941999999943</c:v>
                </c:pt>
                <c:pt idx="1054">
                  <c:v>14174.941999999943</c:v>
                </c:pt>
                <c:pt idx="1055">
                  <c:v>14254.941999999943</c:v>
                </c:pt>
                <c:pt idx="1056">
                  <c:v>14254.941999999943</c:v>
                </c:pt>
                <c:pt idx="1057">
                  <c:v>14254.941999999943</c:v>
                </c:pt>
                <c:pt idx="1058">
                  <c:v>14254.941999999943</c:v>
                </c:pt>
                <c:pt idx="1059">
                  <c:v>14254.941999999943</c:v>
                </c:pt>
                <c:pt idx="1060">
                  <c:v>14254.941999999943</c:v>
                </c:pt>
                <c:pt idx="1061">
                  <c:v>14254.941999999943</c:v>
                </c:pt>
                <c:pt idx="1062">
                  <c:v>14526.941999999943</c:v>
                </c:pt>
                <c:pt idx="1063">
                  <c:v>14526.941999999943</c:v>
                </c:pt>
                <c:pt idx="1064">
                  <c:v>14526.941999999943</c:v>
                </c:pt>
                <c:pt idx="1065">
                  <c:v>14526.941999999943</c:v>
                </c:pt>
                <c:pt idx="1066">
                  <c:v>14526.941999999943</c:v>
                </c:pt>
                <c:pt idx="1067">
                  <c:v>14526.941999999943</c:v>
                </c:pt>
                <c:pt idx="1068">
                  <c:v>14526.941999999943</c:v>
                </c:pt>
                <c:pt idx="1069">
                  <c:v>14526.941999999943</c:v>
                </c:pt>
                <c:pt idx="1070">
                  <c:v>14526.941999999943</c:v>
                </c:pt>
                <c:pt idx="1071">
                  <c:v>14526.941999999943</c:v>
                </c:pt>
                <c:pt idx="1072">
                  <c:v>13790.941999999943</c:v>
                </c:pt>
                <c:pt idx="1073">
                  <c:v>13870.941999999943</c:v>
                </c:pt>
                <c:pt idx="1074">
                  <c:v>13294.941999999943</c:v>
                </c:pt>
                <c:pt idx="1075">
                  <c:v>13678.941999999943</c:v>
                </c:pt>
                <c:pt idx="1076">
                  <c:v>13678.941999999943</c:v>
                </c:pt>
                <c:pt idx="1077">
                  <c:v>13678.941999999943</c:v>
                </c:pt>
                <c:pt idx="1078">
                  <c:v>13678.941999999943</c:v>
                </c:pt>
                <c:pt idx="1079">
                  <c:v>13678.941999999943</c:v>
                </c:pt>
                <c:pt idx="1080">
                  <c:v>13678.941999999943</c:v>
                </c:pt>
                <c:pt idx="1081">
                  <c:v>13678.941999999943</c:v>
                </c:pt>
                <c:pt idx="1082">
                  <c:v>13678.941999999943</c:v>
                </c:pt>
                <c:pt idx="1083">
                  <c:v>13678.941999999943</c:v>
                </c:pt>
                <c:pt idx="1084">
                  <c:v>13678.941999999943</c:v>
                </c:pt>
                <c:pt idx="1085">
                  <c:v>13678.941999999943</c:v>
                </c:pt>
                <c:pt idx="1086">
                  <c:v>13678.941999999943</c:v>
                </c:pt>
                <c:pt idx="1087">
                  <c:v>13678.941999999943</c:v>
                </c:pt>
                <c:pt idx="1088">
                  <c:v>14062.941999999943</c:v>
                </c:pt>
                <c:pt idx="1089">
                  <c:v>14062.941999999943</c:v>
                </c:pt>
                <c:pt idx="1090">
                  <c:v>14222.941999999943</c:v>
                </c:pt>
                <c:pt idx="1091">
                  <c:v>14222.941999999943</c:v>
                </c:pt>
                <c:pt idx="1092">
                  <c:v>14222.941999999943</c:v>
                </c:pt>
                <c:pt idx="1093">
                  <c:v>14222.941999999943</c:v>
                </c:pt>
                <c:pt idx="1094">
                  <c:v>11726.941999999943</c:v>
                </c:pt>
                <c:pt idx="1095">
                  <c:v>11870.941999999943</c:v>
                </c:pt>
                <c:pt idx="1096">
                  <c:v>11486.941999999943</c:v>
                </c:pt>
                <c:pt idx="1097">
                  <c:v>11486.941999999943</c:v>
                </c:pt>
                <c:pt idx="1098">
                  <c:v>11486.941999999943</c:v>
                </c:pt>
                <c:pt idx="1099">
                  <c:v>11486.941999999943</c:v>
                </c:pt>
                <c:pt idx="1100">
                  <c:v>11486.941999999943</c:v>
                </c:pt>
                <c:pt idx="1101">
                  <c:v>11646.941999999943</c:v>
                </c:pt>
                <c:pt idx="1102">
                  <c:v>11646.941999999943</c:v>
                </c:pt>
                <c:pt idx="1103">
                  <c:v>11646.941999999943</c:v>
                </c:pt>
                <c:pt idx="1104">
                  <c:v>11646.941999999943</c:v>
                </c:pt>
                <c:pt idx="1105">
                  <c:v>11646.941999999943</c:v>
                </c:pt>
                <c:pt idx="1106">
                  <c:v>11806.941999999943</c:v>
                </c:pt>
                <c:pt idx="1107">
                  <c:v>11806.941999999943</c:v>
                </c:pt>
                <c:pt idx="1108">
                  <c:v>11806.941999999943</c:v>
                </c:pt>
                <c:pt idx="1109">
                  <c:v>11806.941999999943</c:v>
                </c:pt>
                <c:pt idx="1110">
                  <c:v>11806.941999999943</c:v>
                </c:pt>
                <c:pt idx="1111">
                  <c:v>11822.941999999943</c:v>
                </c:pt>
                <c:pt idx="1112">
                  <c:v>11982.941999999943</c:v>
                </c:pt>
                <c:pt idx="1113">
                  <c:v>11982.941999999943</c:v>
                </c:pt>
                <c:pt idx="1114">
                  <c:v>11982.941999999943</c:v>
                </c:pt>
                <c:pt idx="1115">
                  <c:v>11982.941999999943</c:v>
                </c:pt>
                <c:pt idx="1116">
                  <c:v>11982.941999999943</c:v>
                </c:pt>
                <c:pt idx="1117">
                  <c:v>12894.941999999943</c:v>
                </c:pt>
                <c:pt idx="1118">
                  <c:v>12894.941999999943</c:v>
                </c:pt>
                <c:pt idx="1119">
                  <c:v>12894.941999999943</c:v>
                </c:pt>
                <c:pt idx="1120">
                  <c:v>12894.941999999943</c:v>
                </c:pt>
                <c:pt idx="1121">
                  <c:v>12894.941999999943</c:v>
                </c:pt>
                <c:pt idx="1122">
                  <c:v>12894.941999999943</c:v>
                </c:pt>
                <c:pt idx="1123">
                  <c:v>12894.941999999943</c:v>
                </c:pt>
                <c:pt idx="1124">
                  <c:v>12894.941999999943</c:v>
                </c:pt>
                <c:pt idx="1125">
                  <c:v>12894.941999999943</c:v>
                </c:pt>
                <c:pt idx="1126">
                  <c:v>12894.941999999943</c:v>
                </c:pt>
                <c:pt idx="1127">
                  <c:v>12894.941999999943</c:v>
                </c:pt>
                <c:pt idx="1128">
                  <c:v>12894.941999999943</c:v>
                </c:pt>
                <c:pt idx="1129">
                  <c:v>12894.941999999943</c:v>
                </c:pt>
                <c:pt idx="1130">
                  <c:v>12894.941999999943</c:v>
                </c:pt>
                <c:pt idx="1131">
                  <c:v>12894.941999999943</c:v>
                </c:pt>
                <c:pt idx="1132">
                  <c:v>12894.941999999943</c:v>
                </c:pt>
                <c:pt idx="1133">
                  <c:v>12894.941999999943</c:v>
                </c:pt>
                <c:pt idx="1134">
                  <c:v>13118.941999999943</c:v>
                </c:pt>
                <c:pt idx="1135">
                  <c:v>13342.941999999943</c:v>
                </c:pt>
                <c:pt idx="1136">
                  <c:v>13662.941999999943</c:v>
                </c:pt>
                <c:pt idx="1137">
                  <c:v>13662.941999999943</c:v>
                </c:pt>
                <c:pt idx="1138">
                  <c:v>13662.941999999943</c:v>
                </c:pt>
                <c:pt idx="1139">
                  <c:v>13662.941999999943</c:v>
                </c:pt>
                <c:pt idx="1140">
                  <c:v>13662.941999999943</c:v>
                </c:pt>
                <c:pt idx="1141">
                  <c:v>13662.941999999943</c:v>
                </c:pt>
                <c:pt idx="1142">
                  <c:v>13662.941999999943</c:v>
                </c:pt>
                <c:pt idx="1143">
                  <c:v>13662.941999999943</c:v>
                </c:pt>
                <c:pt idx="1144">
                  <c:v>13662.941999999943</c:v>
                </c:pt>
                <c:pt idx="1145">
                  <c:v>13630.941999999926</c:v>
                </c:pt>
                <c:pt idx="1146">
                  <c:v>13630.941999999926</c:v>
                </c:pt>
                <c:pt idx="1147">
                  <c:v>13870.941999999926</c:v>
                </c:pt>
                <c:pt idx="1148">
                  <c:v>13870.941999999926</c:v>
                </c:pt>
                <c:pt idx="1149">
                  <c:v>14062.941999999926</c:v>
                </c:pt>
                <c:pt idx="1150">
                  <c:v>14478.941999999926</c:v>
                </c:pt>
                <c:pt idx="1151">
                  <c:v>14478.941999999926</c:v>
                </c:pt>
                <c:pt idx="1152">
                  <c:v>14750.941999999926</c:v>
                </c:pt>
                <c:pt idx="1153">
                  <c:v>14750.941999999926</c:v>
                </c:pt>
                <c:pt idx="1154">
                  <c:v>15054.941999999926</c:v>
                </c:pt>
                <c:pt idx="1155">
                  <c:v>15122.141999999927</c:v>
                </c:pt>
                <c:pt idx="1156">
                  <c:v>15154.141999999927</c:v>
                </c:pt>
                <c:pt idx="1157">
                  <c:v>15154.141999999927</c:v>
                </c:pt>
                <c:pt idx="1158">
                  <c:v>15186.141999999927</c:v>
                </c:pt>
                <c:pt idx="1159">
                  <c:v>15186.141999999927</c:v>
                </c:pt>
                <c:pt idx="1160">
                  <c:v>15186.141999999927</c:v>
                </c:pt>
                <c:pt idx="1161">
                  <c:v>15186.141999999927</c:v>
                </c:pt>
                <c:pt idx="1162">
                  <c:v>15186.141999999927</c:v>
                </c:pt>
                <c:pt idx="1163">
                  <c:v>15186.141999999927</c:v>
                </c:pt>
                <c:pt idx="1164">
                  <c:v>15186.141999999927</c:v>
                </c:pt>
                <c:pt idx="1165">
                  <c:v>15186.141999999927</c:v>
                </c:pt>
                <c:pt idx="1166">
                  <c:v>15186.141999999927</c:v>
                </c:pt>
                <c:pt idx="1167">
                  <c:v>15186.141999999927</c:v>
                </c:pt>
                <c:pt idx="1168">
                  <c:v>15186.141999999927</c:v>
                </c:pt>
                <c:pt idx="1169">
                  <c:v>15186.141999999927</c:v>
                </c:pt>
                <c:pt idx="1170">
                  <c:v>15186.141999999927</c:v>
                </c:pt>
                <c:pt idx="1171">
                  <c:v>15186.141999999927</c:v>
                </c:pt>
                <c:pt idx="1172">
                  <c:v>15186.141999999927</c:v>
                </c:pt>
                <c:pt idx="1173">
                  <c:v>15186.141999999927</c:v>
                </c:pt>
                <c:pt idx="1174">
                  <c:v>15186.141999999927</c:v>
                </c:pt>
                <c:pt idx="1175">
                  <c:v>15186.141999999927</c:v>
                </c:pt>
                <c:pt idx="1176">
                  <c:v>15186.141999999927</c:v>
                </c:pt>
                <c:pt idx="1177">
                  <c:v>15298.141999999927</c:v>
                </c:pt>
                <c:pt idx="1178">
                  <c:v>15298.141999999927</c:v>
                </c:pt>
                <c:pt idx="1179">
                  <c:v>15186.141999999927</c:v>
                </c:pt>
                <c:pt idx="1180">
                  <c:v>15186.141999999927</c:v>
                </c:pt>
                <c:pt idx="1181">
                  <c:v>15186.141999999927</c:v>
                </c:pt>
                <c:pt idx="1182">
                  <c:v>15186.141999999927</c:v>
                </c:pt>
                <c:pt idx="1183">
                  <c:v>15186.141999999927</c:v>
                </c:pt>
                <c:pt idx="1184">
                  <c:v>15186.141999999927</c:v>
                </c:pt>
                <c:pt idx="1185">
                  <c:v>15186.141999999927</c:v>
                </c:pt>
                <c:pt idx="1186">
                  <c:v>15186.141999999927</c:v>
                </c:pt>
                <c:pt idx="1187">
                  <c:v>15186.141999999927</c:v>
                </c:pt>
                <c:pt idx="1188">
                  <c:v>15186.141999999927</c:v>
                </c:pt>
                <c:pt idx="1189">
                  <c:v>15186.141999999927</c:v>
                </c:pt>
                <c:pt idx="1190">
                  <c:v>15186.141999999927</c:v>
                </c:pt>
                <c:pt idx="1191">
                  <c:v>15186.141999999927</c:v>
                </c:pt>
                <c:pt idx="1192">
                  <c:v>15186.141999999927</c:v>
                </c:pt>
                <c:pt idx="1193">
                  <c:v>15186.141999999927</c:v>
                </c:pt>
                <c:pt idx="1194">
                  <c:v>15186.141999999927</c:v>
                </c:pt>
                <c:pt idx="1195">
                  <c:v>15186.141999999927</c:v>
                </c:pt>
                <c:pt idx="1196">
                  <c:v>15186.141999999927</c:v>
                </c:pt>
                <c:pt idx="1197">
                  <c:v>15186.141999999927</c:v>
                </c:pt>
                <c:pt idx="1198">
                  <c:v>15186.141999999927</c:v>
                </c:pt>
                <c:pt idx="1199">
                  <c:v>15186.141999999927</c:v>
                </c:pt>
                <c:pt idx="1200">
                  <c:v>15186.141999999927</c:v>
                </c:pt>
                <c:pt idx="1201">
                  <c:v>15186.141999999927</c:v>
                </c:pt>
                <c:pt idx="1202">
                  <c:v>15186.141999999927</c:v>
                </c:pt>
                <c:pt idx="1203">
                  <c:v>15186.141999999927</c:v>
                </c:pt>
                <c:pt idx="1204">
                  <c:v>14962.141999999927</c:v>
                </c:pt>
                <c:pt idx="1205">
                  <c:v>14962.141999999927</c:v>
                </c:pt>
                <c:pt idx="1206">
                  <c:v>16522.141999999927</c:v>
                </c:pt>
                <c:pt idx="1207">
                  <c:v>17282.141999999927</c:v>
                </c:pt>
                <c:pt idx="1208">
                  <c:v>17282.141999999927</c:v>
                </c:pt>
                <c:pt idx="1209">
                  <c:v>17282.141999999927</c:v>
                </c:pt>
                <c:pt idx="1210">
                  <c:v>17282.141999999927</c:v>
                </c:pt>
                <c:pt idx="1211">
                  <c:v>17282.141999999927</c:v>
                </c:pt>
                <c:pt idx="1212">
                  <c:v>17282.141999999927</c:v>
                </c:pt>
                <c:pt idx="1213">
                  <c:v>17282.141999999927</c:v>
                </c:pt>
                <c:pt idx="1214">
                  <c:v>17282.141999999927</c:v>
                </c:pt>
                <c:pt idx="1215">
                  <c:v>17618.141999999927</c:v>
                </c:pt>
                <c:pt idx="1216">
                  <c:v>19586.141999999927</c:v>
                </c:pt>
                <c:pt idx="1217">
                  <c:v>19586.141999999927</c:v>
                </c:pt>
                <c:pt idx="1218">
                  <c:v>19586.141999999927</c:v>
                </c:pt>
                <c:pt idx="1219">
                  <c:v>19586.141999999927</c:v>
                </c:pt>
                <c:pt idx="1220">
                  <c:v>19586.141999999927</c:v>
                </c:pt>
                <c:pt idx="1221">
                  <c:v>19586.141999999927</c:v>
                </c:pt>
                <c:pt idx="1222">
                  <c:v>19778.141999999927</c:v>
                </c:pt>
                <c:pt idx="1223">
                  <c:v>19778.141999999927</c:v>
                </c:pt>
                <c:pt idx="1224">
                  <c:v>19778.141999999927</c:v>
                </c:pt>
                <c:pt idx="1225">
                  <c:v>19778.141999999927</c:v>
                </c:pt>
                <c:pt idx="1226">
                  <c:v>20002.141999999927</c:v>
                </c:pt>
                <c:pt idx="1227">
                  <c:v>20002.141999999927</c:v>
                </c:pt>
                <c:pt idx="1228">
                  <c:v>20002.141999999927</c:v>
                </c:pt>
                <c:pt idx="1229">
                  <c:v>20258.141999999927</c:v>
                </c:pt>
                <c:pt idx="1230">
                  <c:v>20258.141999999927</c:v>
                </c:pt>
                <c:pt idx="1231">
                  <c:v>20498.141999999927</c:v>
                </c:pt>
                <c:pt idx="1232">
                  <c:v>20498.141999999927</c:v>
                </c:pt>
                <c:pt idx="1233">
                  <c:v>20610.141999999927</c:v>
                </c:pt>
                <c:pt idx="1234">
                  <c:v>20802.141999999927</c:v>
                </c:pt>
                <c:pt idx="1235">
                  <c:v>20802.141999999927</c:v>
                </c:pt>
                <c:pt idx="1236">
                  <c:v>20802.141999999927</c:v>
                </c:pt>
                <c:pt idx="1237">
                  <c:v>20802.141999999927</c:v>
                </c:pt>
                <c:pt idx="1238">
                  <c:v>20802.141999999927</c:v>
                </c:pt>
                <c:pt idx="1239">
                  <c:v>20802.141999999927</c:v>
                </c:pt>
                <c:pt idx="1240">
                  <c:v>20994.141999999927</c:v>
                </c:pt>
                <c:pt idx="1241">
                  <c:v>20994.141999999927</c:v>
                </c:pt>
                <c:pt idx="1242">
                  <c:v>21010.141999999927</c:v>
                </c:pt>
                <c:pt idx="1243">
                  <c:v>21010.141999999927</c:v>
                </c:pt>
                <c:pt idx="1244">
                  <c:v>21010.141999999927</c:v>
                </c:pt>
                <c:pt idx="1245">
                  <c:v>21010.141999999927</c:v>
                </c:pt>
                <c:pt idx="1246">
                  <c:v>21010.141999999927</c:v>
                </c:pt>
                <c:pt idx="1247">
                  <c:v>21010.141999999927</c:v>
                </c:pt>
                <c:pt idx="1248">
                  <c:v>21010.141999999927</c:v>
                </c:pt>
                <c:pt idx="1249">
                  <c:v>21010.141999999927</c:v>
                </c:pt>
                <c:pt idx="1250">
                  <c:v>21010.141999999927</c:v>
                </c:pt>
              </c:numCache>
            </c:numRef>
          </c:val>
          <c:smooth val="0"/>
          <c:extLst>
            <c:ext xmlns:c16="http://schemas.microsoft.com/office/drawing/2014/chart" uri="{C3380CC4-5D6E-409C-BE32-E72D297353CC}">
              <c16:uniqueId val="{00000000-8917-4C6D-BE8C-FEBA40B90236}"/>
            </c:ext>
          </c:extLst>
        </c:ser>
        <c:ser>
          <c:idx val="1"/>
          <c:order val="1"/>
          <c:tx>
            <c:v>R</c:v>
          </c:tx>
          <c:spPr>
            <a:ln w="28575" cap="rnd">
              <a:solidFill>
                <a:srgbClr val="C00000"/>
              </a:solidFill>
              <a:round/>
            </a:ln>
            <a:effectLst/>
          </c:spPr>
          <c:marker>
            <c:symbol val="none"/>
          </c:marker>
          <c:val>
            <c:numRef>
              <c:f>'Journal Live'!$BL$134:$BL$1384</c:f>
              <c:numCache>
                <c:formatCode>General</c:formatCode>
                <c:ptCount val="1251"/>
                <c:pt idx="0">
                  <c:v>0</c:v>
                </c:pt>
                <c:pt idx="1">
                  <c:v>0</c:v>
                </c:pt>
                <c:pt idx="2">
                  <c:v>16.300000000000015</c:v>
                </c:pt>
                <c:pt idx="3">
                  <c:v>16.300000000000015</c:v>
                </c:pt>
                <c:pt idx="4">
                  <c:v>16.300000000000015</c:v>
                </c:pt>
                <c:pt idx="5">
                  <c:v>16.300000000000015</c:v>
                </c:pt>
                <c:pt idx="6">
                  <c:v>-32.600000000001842</c:v>
                </c:pt>
                <c:pt idx="7">
                  <c:v>-0.20000000000185736</c:v>
                </c:pt>
                <c:pt idx="8">
                  <c:v>32.999999999998153</c:v>
                </c:pt>
                <c:pt idx="9">
                  <c:v>32.999999999998153</c:v>
                </c:pt>
                <c:pt idx="10">
                  <c:v>82.799999999998164</c:v>
                </c:pt>
                <c:pt idx="11">
                  <c:v>82.799999999998164</c:v>
                </c:pt>
                <c:pt idx="12">
                  <c:v>82.799999999998164</c:v>
                </c:pt>
                <c:pt idx="13">
                  <c:v>82.799999999998164</c:v>
                </c:pt>
                <c:pt idx="14">
                  <c:v>82.799999999998164</c:v>
                </c:pt>
                <c:pt idx="15">
                  <c:v>1.2999999999981355</c:v>
                </c:pt>
                <c:pt idx="16">
                  <c:v>1.2999999999981355</c:v>
                </c:pt>
                <c:pt idx="17">
                  <c:v>17.59999999999814</c:v>
                </c:pt>
                <c:pt idx="18">
                  <c:v>101.09999999999815</c:v>
                </c:pt>
                <c:pt idx="19">
                  <c:v>52.199999999998099</c:v>
                </c:pt>
                <c:pt idx="20">
                  <c:v>68.799999999998064</c:v>
                </c:pt>
                <c:pt idx="21">
                  <c:v>68.799999999998064</c:v>
                </c:pt>
                <c:pt idx="22">
                  <c:v>68.799999999998064</c:v>
                </c:pt>
                <c:pt idx="23">
                  <c:v>68.799999999998064</c:v>
                </c:pt>
                <c:pt idx="24">
                  <c:v>68.799999999998064</c:v>
                </c:pt>
                <c:pt idx="25">
                  <c:v>101.99999999999807</c:v>
                </c:pt>
                <c:pt idx="26">
                  <c:v>101.99999999999807</c:v>
                </c:pt>
                <c:pt idx="27">
                  <c:v>135.19999999999806</c:v>
                </c:pt>
                <c:pt idx="28">
                  <c:v>135.19999999999806</c:v>
                </c:pt>
                <c:pt idx="29">
                  <c:v>135.19999999999806</c:v>
                </c:pt>
                <c:pt idx="30">
                  <c:v>135.19999999999806</c:v>
                </c:pt>
                <c:pt idx="31">
                  <c:v>135.19999999999806</c:v>
                </c:pt>
                <c:pt idx="32">
                  <c:v>135.19999999999806</c:v>
                </c:pt>
                <c:pt idx="33">
                  <c:v>185.29999999999805</c:v>
                </c:pt>
                <c:pt idx="34">
                  <c:v>201.99999999999807</c:v>
                </c:pt>
                <c:pt idx="35">
                  <c:v>118.50000000000281</c:v>
                </c:pt>
                <c:pt idx="36">
                  <c:v>118.50000000000281</c:v>
                </c:pt>
                <c:pt idx="37">
                  <c:v>118.50000000000281</c:v>
                </c:pt>
                <c:pt idx="38">
                  <c:v>118.50000000000281</c:v>
                </c:pt>
                <c:pt idx="39">
                  <c:v>118.50000000000281</c:v>
                </c:pt>
                <c:pt idx="40">
                  <c:v>118.50000000000281</c:v>
                </c:pt>
                <c:pt idx="41">
                  <c:v>35.00000000000756</c:v>
                </c:pt>
                <c:pt idx="42">
                  <c:v>35.00000000000756</c:v>
                </c:pt>
                <c:pt idx="43">
                  <c:v>35.00000000000756</c:v>
                </c:pt>
                <c:pt idx="44">
                  <c:v>35.00000000000756</c:v>
                </c:pt>
                <c:pt idx="45">
                  <c:v>35.00000000000756</c:v>
                </c:pt>
                <c:pt idx="46">
                  <c:v>35.00000000000756</c:v>
                </c:pt>
                <c:pt idx="47">
                  <c:v>35.00000000000756</c:v>
                </c:pt>
                <c:pt idx="48">
                  <c:v>101.80000000000761</c:v>
                </c:pt>
                <c:pt idx="49">
                  <c:v>151.90000000000765</c:v>
                </c:pt>
                <c:pt idx="50">
                  <c:v>84.700000000021021</c:v>
                </c:pt>
                <c:pt idx="51">
                  <c:v>67.900000000012426</c:v>
                </c:pt>
                <c:pt idx="52">
                  <c:v>67.900000000012426</c:v>
                </c:pt>
                <c:pt idx="53">
                  <c:v>-32.299999999991371</c:v>
                </c:pt>
                <c:pt idx="54">
                  <c:v>-32.299999999991371</c:v>
                </c:pt>
                <c:pt idx="55">
                  <c:v>-32.299999999991371</c:v>
                </c:pt>
                <c:pt idx="56">
                  <c:v>-32.299999999991371</c:v>
                </c:pt>
                <c:pt idx="57">
                  <c:v>-32.299999999991371</c:v>
                </c:pt>
                <c:pt idx="58">
                  <c:v>-32.299999999991371</c:v>
                </c:pt>
                <c:pt idx="59">
                  <c:v>-32.299999999991371</c:v>
                </c:pt>
                <c:pt idx="60">
                  <c:v>67.900000000008632</c:v>
                </c:pt>
                <c:pt idx="61">
                  <c:v>67.900000000008632</c:v>
                </c:pt>
                <c:pt idx="62">
                  <c:v>67.900000000008632</c:v>
                </c:pt>
                <c:pt idx="63">
                  <c:v>67.900000000008632</c:v>
                </c:pt>
                <c:pt idx="64">
                  <c:v>67.900000000008632</c:v>
                </c:pt>
                <c:pt idx="65">
                  <c:v>67.900000000008632</c:v>
                </c:pt>
                <c:pt idx="66">
                  <c:v>67.900000000008632</c:v>
                </c:pt>
                <c:pt idx="67">
                  <c:v>67.900000000008632</c:v>
                </c:pt>
                <c:pt idx="68">
                  <c:v>67.900000000008632</c:v>
                </c:pt>
                <c:pt idx="69">
                  <c:v>67.900000000008632</c:v>
                </c:pt>
                <c:pt idx="70">
                  <c:v>67.900000000008632</c:v>
                </c:pt>
                <c:pt idx="71">
                  <c:v>67.900000000008632</c:v>
                </c:pt>
                <c:pt idx="72">
                  <c:v>67.900000000008632</c:v>
                </c:pt>
                <c:pt idx="73">
                  <c:v>67.900000000008632</c:v>
                </c:pt>
                <c:pt idx="74">
                  <c:v>67.900000000008632</c:v>
                </c:pt>
                <c:pt idx="75">
                  <c:v>67.900000000008632</c:v>
                </c:pt>
                <c:pt idx="76">
                  <c:v>135.89999999999509</c:v>
                </c:pt>
                <c:pt idx="77">
                  <c:v>135.89999999999509</c:v>
                </c:pt>
                <c:pt idx="78">
                  <c:v>135.89999999999509</c:v>
                </c:pt>
                <c:pt idx="79">
                  <c:v>135.89999999999509</c:v>
                </c:pt>
                <c:pt idx="80">
                  <c:v>135.89999999999509</c:v>
                </c:pt>
                <c:pt idx="81">
                  <c:v>169.89999999999512</c:v>
                </c:pt>
                <c:pt idx="82">
                  <c:v>169.89999999999512</c:v>
                </c:pt>
                <c:pt idx="83">
                  <c:v>169.89999999999512</c:v>
                </c:pt>
                <c:pt idx="84">
                  <c:v>169.89999999999512</c:v>
                </c:pt>
                <c:pt idx="85">
                  <c:v>169.89999999999512</c:v>
                </c:pt>
                <c:pt idx="86">
                  <c:v>169.89999999999512</c:v>
                </c:pt>
                <c:pt idx="87">
                  <c:v>169.89999999999512</c:v>
                </c:pt>
                <c:pt idx="88">
                  <c:v>169.89999999999512</c:v>
                </c:pt>
                <c:pt idx="89">
                  <c:v>169.89999999999512</c:v>
                </c:pt>
                <c:pt idx="90">
                  <c:v>169.89999999999512</c:v>
                </c:pt>
                <c:pt idx="91">
                  <c:v>169.89999999999512</c:v>
                </c:pt>
                <c:pt idx="92">
                  <c:v>169.89999999999512</c:v>
                </c:pt>
                <c:pt idx="93">
                  <c:v>169.89999999999512</c:v>
                </c:pt>
                <c:pt idx="94">
                  <c:v>169.89999999999512</c:v>
                </c:pt>
                <c:pt idx="95">
                  <c:v>169.89999999999512</c:v>
                </c:pt>
                <c:pt idx="96">
                  <c:v>169.89999999999512</c:v>
                </c:pt>
                <c:pt idx="97">
                  <c:v>254.89999999999509</c:v>
                </c:pt>
                <c:pt idx="98">
                  <c:v>254.89999999999509</c:v>
                </c:pt>
                <c:pt idx="99">
                  <c:v>254.89999999999509</c:v>
                </c:pt>
                <c:pt idx="100">
                  <c:v>254.89999999999509</c:v>
                </c:pt>
                <c:pt idx="101">
                  <c:v>254.89999999999509</c:v>
                </c:pt>
                <c:pt idx="102">
                  <c:v>254.89999999999509</c:v>
                </c:pt>
                <c:pt idx="103">
                  <c:v>254.89999999999509</c:v>
                </c:pt>
                <c:pt idx="104">
                  <c:v>271.90000000000379</c:v>
                </c:pt>
                <c:pt idx="105">
                  <c:v>305.89999999999702</c:v>
                </c:pt>
                <c:pt idx="106">
                  <c:v>288.89999999998832</c:v>
                </c:pt>
                <c:pt idx="107">
                  <c:v>288.89999999998832</c:v>
                </c:pt>
                <c:pt idx="108">
                  <c:v>288.89999999998832</c:v>
                </c:pt>
                <c:pt idx="109">
                  <c:v>288.89999999998832</c:v>
                </c:pt>
                <c:pt idx="110">
                  <c:v>288.89999999998832</c:v>
                </c:pt>
                <c:pt idx="111">
                  <c:v>288.89999999998832</c:v>
                </c:pt>
                <c:pt idx="112">
                  <c:v>288.89999999998832</c:v>
                </c:pt>
                <c:pt idx="113">
                  <c:v>288.89999999998832</c:v>
                </c:pt>
                <c:pt idx="114">
                  <c:v>288.89999999998832</c:v>
                </c:pt>
                <c:pt idx="115">
                  <c:v>288.89999999998832</c:v>
                </c:pt>
                <c:pt idx="116">
                  <c:v>239.09999999998831</c:v>
                </c:pt>
                <c:pt idx="117">
                  <c:v>239.09999999998831</c:v>
                </c:pt>
                <c:pt idx="118">
                  <c:v>239.09999999998831</c:v>
                </c:pt>
                <c:pt idx="119">
                  <c:v>122.19999999998845</c:v>
                </c:pt>
                <c:pt idx="120">
                  <c:v>155.39999999998844</c:v>
                </c:pt>
                <c:pt idx="121">
                  <c:v>155.39999999998844</c:v>
                </c:pt>
                <c:pt idx="122">
                  <c:v>155.39999999998844</c:v>
                </c:pt>
                <c:pt idx="123">
                  <c:v>155.39999999998844</c:v>
                </c:pt>
                <c:pt idx="124">
                  <c:v>155.39999999998844</c:v>
                </c:pt>
                <c:pt idx="125">
                  <c:v>155.39999999998844</c:v>
                </c:pt>
                <c:pt idx="126">
                  <c:v>155.39999999998844</c:v>
                </c:pt>
                <c:pt idx="127">
                  <c:v>205.19999999998848</c:v>
                </c:pt>
                <c:pt idx="128">
                  <c:v>205.19999999998848</c:v>
                </c:pt>
                <c:pt idx="129">
                  <c:v>205.19999999998848</c:v>
                </c:pt>
                <c:pt idx="130">
                  <c:v>205.19999999998848</c:v>
                </c:pt>
                <c:pt idx="131">
                  <c:v>205.19999999998848</c:v>
                </c:pt>
                <c:pt idx="132">
                  <c:v>205.19999999998848</c:v>
                </c:pt>
                <c:pt idx="133">
                  <c:v>205.19999999998848</c:v>
                </c:pt>
                <c:pt idx="134">
                  <c:v>205.19999999998848</c:v>
                </c:pt>
                <c:pt idx="135">
                  <c:v>205.19999999998848</c:v>
                </c:pt>
                <c:pt idx="136">
                  <c:v>205.19999999998848</c:v>
                </c:pt>
                <c:pt idx="137">
                  <c:v>254.99999999998846</c:v>
                </c:pt>
                <c:pt idx="138">
                  <c:v>254.99999999998846</c:v>
                </c:pt>
                <c:pt idx="139">
                  <c:v>254.99999999998846</c:v>
                </c:pt>
                <c:pt idx="140">
                  <c:v>254.99999999998846</c:v>
                </c:pt>
                <c:pt idx="141">
                  <c:v>254.99999999998846</c:v>
                </c:pt>
                <c:pt idx="142">
                  <c:v>254.99999999998846</c:v>
                </c:pt>
                <c:pt idx="143">
                  <c:v>254.99999999998846</c:v>
                </c:pt>
                <c:pt idx="144">
                  <c:v>254.99999999998846</c:v>
                </c:pt>
                <c:pt idx="145">
                  <c:v>254.99999999998846</c:v>
                </c:pt>
                <c:pt idx="146">
                  <c:v>254.99999999998846</c:v>
                </c:pt>
                <c:pt idx="147">
                  <c:v>337.99999999998374</c:v>
                </c:pt>
                <c:pt idx="148">
                  <c:v>420.99999999997902</c:v>
                </c:pt>
                <c:pt idx="149">
                  <c:v>470.79999999997909</c:v>
                </c:pt>
                <c:pt idx="150">
                  <c:v>470.79999999997909</c:v>
                </c:pt>
                <c:pt idx="151">
                  <c:v>470.79999999997909</c:v>
                </c:pt>
                <c:pt idx="152">
                  <c:v>470.79999999997909</c:v>
                </c:pt>
                <c:pt idx="153">
                  <c:v>470.79999999997909</c:v>
                </c:pt>
                <c:pt idx="154">
                  <c:v>519.0999999999791</c:v>
                </c:pt>
                <c:pt idx="155">
                  <c:v>601.09999999997922</c:v>
                </c:pt>
                <c:pt idx="156">
                  <c:v>601.09999999997922</c:v>
                </c:pt>
                <c:pt idx="157">
                  <c:v>601.09999999997922</c:v>
                </c:pt>
                <c:pt idx="158">
                  <c:v>601.09999999997922</c:v>
                </c:pt>
                <c:pt idx="159">
                  <c:v>601.09999999997922</c:v>
                </c:pt>
                <c:pt idx="160">
                  <c:v>601.09999999997922</c:v>
                </c:pt>
                <c:pt idx="161">
                  <c:v>633.899999999996</c:v>
                </c:pt>
                <c:pt idx="162">
                  <c:v>633.899999999996</c:v>
                </c:pt>
                <c:pt idx="163">
                  <c:v>699.49999999999591</c:v>
                </c:pt>
                <c:pt idx="164">
                  <c:v>699.49999999999591</c:v>
                </c:pt>
                <c:pt idx="165">
                  <c:v>699.49999999999591</c:v>
                </c:pt>
                <c:pt idx="166">
                  <c:v>699.49999999999591</c:v>
                </c:pt>
                <c:pt idx="167">
                  <c:v>699.49999999999591</c:v>
                </c:pt>
                <c:pt idx="168">
                  <c:v>699.49999999999591</c:v>
                </c:pt>
                <c:pt idx="169">
                  <c:v>699.49999999999591</c:v>
                </c:pt>
                <c:pt idx="170">
                  <c:v>699.49999999999591</c:v>
                </c:pt>
                <c:pt idx="171">
                  <c:v>634.7000000000088</c:v>
                </c:pt>
                <c:pt idx="172">
                  <c:v>634.7000000000088</c:v>
                </c:pt>
                <c:pt idx="173">
                  <c:v>407.90000000000873</c:v>
                </c:pt>
                <c:pt idx="174">
                  <c:v>407.90000000000873</c:v>
                </c:pt>
                <c:pt idx="175">
                  <c:v>407.90000000000873</c:v>
                </c:pt>
                <c:pt idx="176">
                  <c:v>407.90000000000873</c:v>
                </c:pt>
                <c:pt idx="177">
                  <c:v>407.90000000000873</c:v>
                </c:pt>
                <c:pt idx="178">
                  <c:v>407.90000000000873</c:v>
                </c:pt>
                <c:pt idx="179">
                  <c:v>407.90000000000873</c:v>
                </c:pt>
                <c:pt idx="180">
                  <c:v>407.90000000000873</c:v>
                </c:pt>
                <c:pt idx="181">
                  <c:v>-42.899999999991394</c:v>
                </c:pt>
                <c:pt idx="182">
                  <c:v>-42.899999999991394</c:v>
                </c:pt>
                <c:pt idx="183">
                  <c:v>-493.69999999999152</c:v>
                </c:pt>
                <c:pt idx="184">
                  <c:v>-493.69999999999152</c:v>
                </c:pt>
                <c:pt idx="185">
                  <c:v>-493.69999999999152</c:v>
                </c:pt>
                <c:pt idx="186">
                  <c:v>-493.69999999999152</c:v>
                </c:pt>
                <c:pt idx="187">
                  <c:v>-493.69999999999152</c:v>
                </c:pt>
                <c:pt idx="188">
                  <c:v>-332.69999999999158</c:v>
                </c:pt>
                <c:pt idx="189">
                  <c:v>-332.69999999999158</c:v>
                </c:pt>
                <c:pt idx="190">
                  <c:v>-332.69999999999158</c:v>
                </c:pt>
                <c:pt idx="191">
                  <c:v>-332.69999999999158</c:v>
                </c:pt>
                <c:pt idx="192">
                  <c:v>-332.69999999999158</c:v>
                </c:pt>
                <c:pt idx="193">
                  <c:v>-332.69999999999158</c:v>
                </c:pt>
                <c:pt idx="194">
                  <c:v>-1628.6999999999916</c:v>
                </c:pt>
                <c:pt idx="195">
                  <c:v>-1628.6999999999916</c:v>
                </c:pt>
                <c:pt idx="196">
                  <c:v>-1628.6999999999916</c:v>
                </c:pt>
                <c:pt idx="197">
                  <c:v>-1628.6999999999916</c:v>
                </c:pt>
                <c:pt idx="198">
                  <c:v>-1628.6999999999916</c:v>
                </c:pt>
                <c:pt idx="199">
                  <c:v>-1628.6999999999916</c:v>
                </c:pt>
                <c:pt idx="200">
                  <c:v>-1628.6999999999916</c:v>
                </c:pt>
                <c:pt idx="201">
                  <c:v>-1628.6999999999916</c:v>
                </c:pt>
                <c:pt idx="202">
                  <c:v>-1628.6999999999916</c:v>
                </c:pt>
                <c:pt idx="203">
                  <c:v>-1628.6999999999916</c:v>
                </c:pt>
                <c:pt idx="204">
                  <c:v>-1628.6999999999916</c:v>
                </c:pt>
                <c:pt idx="205">
                  <c:v>-1628.6999999999916</c:v>
                </c:pt>
                <c:pt idx="206">
                  <c:v>-1628.6999999999916</c:v>
                </c:pt>
                <c:pt idx="207">
                  <c:v>-1628.6999999999916</c:v>
                </c:pt>
                <c:pt idx="208">
                  <c:v>-1628.6999999999916</c:v>
                </c:pt>
                <c:pt idx="209">
                  <c:v>-1628.6999999999916</c:v>
                </c:pt>
                <c:pt idx="210">
                  <c:v>-1628.6999999999916</c:v>
                </c:pt>
                <c:pt idx="211">
                  <c:v>-1628.6999999999916</c:v>
                </c:pt>
                <c:pt idx="212">
                  <c:v>-1676.0999999999935</c:v>
                </c:pt>
                <c:pt idx="213">
                  <c:v>-1919.0999999999935</c:v>
                </c:pt>
                <c:pt idx="214">
                  <c:v>-2243.0999999999935</c:v>
                </c:pt>
                <c:pt idx="215">
                  <c:v>-2243.0999999999935</c:v>
                </c:pt>
                <c:pt idx="216">
                  <c:v>-2243.0999999999935</c:v>
                </c:pt>
                <c:pt idx="217">
                  <c:v>-2243.0999999999935</c:v>
                </c:pt>
                <c:pt idx="218">
                  <c:v>-2243.0999999999935</c:v>
                </c:pt>
                <c:pt idx="219">
                  <c:v>-2243.0999999999935</c:v>
                </c:pt>
                <c:pt idx="220">
                  <c:v>-2243.0999999999935</c:v>
                </c:pt>
                <c:pt idx="221">
                  <c:v>-2243.0999999999935</c:v>
                </c:pt>
                <c:pt idx="222">
                  <c:v>-2243.0999999999935</c:v>
                </c:pt>
                <c:pt idx="223">
                  <c:v>-2243.0999999999935</c:v>
                </c:pt>
                <c:pt idx="224">
                  <c:v>-2243.0999999999935</c:v>
                </c:pt>
                <c:pt idx="225">
                  <c:v>-2243.0999999999935</c:v>
                </c:pt>
                <c:pt idx="226">
                  <c:v>-2243.0999999999935</c:v>
                </c:pt>
                <c:pt idx="227">
                  <c:v>-2243.0999999999935</c:v>
                </c:pt>
                <c:pt idx="228">
                  <c:v>-2243.0999999999935</c:v>
                </c:pt>
                <c:pt idx="229">
                  <c:v>-2243.0999999999935</c:v>
                </c:pt>
                <c:pt idx="230">
                  <c:v>-2243.0999999999935</c:v>
                </c:pt>
                <c:pt idx="231">
                  <c:v>-2243.0999999999935</c:v>
                </c:pt>
                <c:pt idx="232">
                  <c:v>-2243.0999999999935</c:v>
                </c:pt>
                <c:pt idx="233">
                  <c:v>-2243.0999999999935</c:v>
                </c:pt>
                <c:pt idx="234">
                  <c:v>-2243.0999999999935</c:v>
                </c:pt>
                <c:pt idx="235">
                  <c:v>-2243.0999999999935</c:v>
                </c:pt>
                <c:pt idx="236">
                  <c:v>-2243.0999999999935</c:v>
                </c:pt>
                <c:pt idx="237">
                  <c:v>-2243.0999999999935</c:v>
                </c:pt>
                <c:pt idx="238">
                  <c:v>-2243.0999999999935</c:v>
                </c:pt>
                <c:pt idx="239">
                  <c:v>-2243.0999999999935</c:v>
                </c:pt>
                <c:pt idx="240">
                  <c:v>-2243.0999999999935</c:v>
                </c:pt>
                <c:pt idx="241">
                  <c:v>-2243.0999999999935</c:v>
                </c:pt>
                <c:pt idx="242">
                  <c:v>-2243.0999999999935</c:v>
                </c:pt>
                <c:pt idx="243">
                  <c:v>-2243.0999999999935</c:v>
                </c:pt>
                <c:pt idx="244">
                  <c:v>-2243.0999999999935</c:v>
                </c:pt>
                <c:pt idx="245">
                  <c:v>-2243.0999999999935</c:v>
                </c:pt>
                <c:pt idx="246">
                  <c:v>-2243.0999999999935</c:v>
                </c:pt>
                <c:pt idx="247">
                  <c:v>-2243.0999999999935</c:v>
                </c:pt>
                <c:pt idx="248">
                  <c:v>-2243.0999999999935</c:v>
                </c:pt>
                <c:pt idx="249">
                  <c:v>-2243.0999999999935</c:v>
                </c:pt>
                <c:pt idx="250">
                  <c:v>-2243.0999999999935</c:v>
                </c:pt>
                <c:pt idx="251">
                  <c:v>-2243.0999999999935</c:v>
                </c:pt>
                <c:pt idx="252">
                  <c:v>-2243.0999999999935</c:v>
                </c:pt>
                <c:pt idx="253">
                  <c:v>-2243.0999999999935</c:v>
                </c:pt>
                <c:pt idx="254">
                  <c:v>-2243.0999999999935</c:v>
                </c:pt>
                <c:pt idx="255">
                  <c:v>-2243.0999999999935</c:v>
                </c:pt>
                <c:pt idx="256">
                  <c:v>-2243.0999999999935</c:v>
                </c:pt>
                <c:pt idx="257">
                  <c:v>-2243.0999999999935</c:v>
                </c:pt>
                <c:pt idx="258">
                  <c:v>-2243.0999999999935</c:v>
                </c:pt>
                <c:pt idx="259">
                  <c:v>-2243.0999999999935</c:v>
                </c:pt>
                <c:pt idx="260">
                  <c:v>-2243.0999999999935</c:v>
                </c:pt>
                <c:pt idx="261">
                  <c:v>-2243.0999999999935</c:v>
                </c:pt>
                <c:pt idx="262">
                  <c:v>-2243.0999999999935</c:v>
                </c:pt>
                <c:pt idx="263">
                  <c:v>-2243.0999999999935</c:v>
                </c:pt>
                <c:pt idx="264">
                  <c:v>-2243.0999999999935</c:v>
                </c:pt>
                <c:pt idx="265">
                  <c:v>-2243.0999999999935</c:v>
                </c:pt>
                <c:pt idx="266">
                  <c:v>-2243.0999999999935</c:v>
                </c:pt>
                <c:pt idx="267">
                  <c:v>-2243.0999999999935</c:v>
                </c:pt>
                <c:pt idx="268">
                  <c:v>-2243.0999999999935</c:v>
                </c:pt>
                <c:pt idx="269">
                  <c:v>-2243.0999999999935</c:v>
                </c:pt>
                <c:pt idx="270">
                  <c:v>-2243.0999999999935</c:v>
                </c:pt>
                <c:pt idx="271">
                  <c:v>-2243.0999999999935</c:v>
                </c:pt>
                <c:pt idx="272">
                  <c:v>-2243.0999999999935</c:v>
                </c:pt>
                <c:pt idx="273">
                  <c:v>-2243.0999999999935</c:v>
                </c:pt>
                <c:pt idx="274">
                  <c:v>-2243.0999999999935</c:v>
                </c:pt>
                <c:pt idx="275">
                  <c:v>-2243.0999999999935</c:v>
                </c:pt>
                <c:pt idx="276">
                  <c:v>-2243.0999999999935</c:v>
                </c:pt>
                <c:pt idx="277">
                  <c:v>-2243.0999999999935</c:v>
                </c:pt>
                <c:pt idx="278">
                  <c:v>-2243.0999999999935</c:v>
                </c:pt>
                <c:pt idx="279">
                  <c:v>-2243.0999999999935</c:v>
                </c:pt>
                <c:pt idx="280">
                  <c:v>-2243.0999999999935</c:v>
                </c:pt>
                <c:pt idx="281">
                  <c:v>-2243.0999999999935</c:v>
                </c:pt>
                <c:pt idx="282">
                  <c:v>-2243.0999999999935</c:v>
                </c:pt>
                <c:pt idx="283">
                  <c:v>-2243.0999999999935</c:v>
                </c:pt>
                <c:pt idx="284">
                  <c:v>-2243.0999999999935</c:v>
                </c:pt>
                <c:pt idx="285">
                  <c:v>-2243.0999999999935</c:v>
                </c:pt>
                <c:pt idx="286">
                  <c:v>-2227.0999999999935</c:v>
                </c:pt>
                <c:pt idx="287">
                  <c:v>-2227.0999999999935</c:v>
                </c:pt>
                <c:pt idx="288">
                  <c:v>-2227.0999999999935</c:v>
                </c:pt>
                <c:pt idx="289">
                  <c:v>-2227.0999999999935</c:v>
                </c:pt>
                <c:pt idx="290">
                  <c:v>-2227.0999999999935</c:v>
                </c:pt>
                <c:pt idx="291">
                  <c:v>-2227.0999999999935</c:v>
                </c:pt>
                <c:pt idx="292">
                  <c:v>-2227.0999999999935</c:v>
                </c:pt>
                <c:pt idx="293">
                  <c:v>-2227.0999999999935</c:v>
                </c:pt>
                <c:pt idx="294">
                  <c:v>-2147.0999999999935</c:v>
                </c:pt>
                <c:pt idx="295">
                  <c:v>-2147.0999999999935</c:v>
                </c:pt>
                <c:pt idx="296">
                  <c:v>-2211.0999999999808</c:v>
                </c:pt>
                <c:pt idx="297">
                  <c:v>-2211.0999999999808</c:v>
                </c:pt>
                <c:pt idx="298">
                  <c:v>-2211.0999999999808</c:v>
                </c:pt>
                <c:pt idx="299">
                  <c:v>-2211.0999999999808</c:v>
                </c:pt>
                <c:pt idx="300">
                  <c:v>-2211.0999999999808</c:v>
                </c:pt>
                <c:pt idx="301">
                  <c:v>-2211.0999999999808</c:v>
                </c:pt>
                <c:pt idx="302">
                  <c:v>-2211.0999999999808</c:v>
                </c:pt>
                <c:pt idx="303">
                  <c:v>-2211.0999999999808</c:v>
                </c:pt>
                <c:pt idx="304">
                  <c:v>-2211.0999999999808</c:v>
                </c:pt>
                <c:pt idx="305">
                  <c:v>-2211.0999999999808</c:v>
                </c:pt>
                <c:pt idx="306">
                  <c:v>-2211.0999999999808</c:v>
                </c:pt>
                <c:pt idx="307">
                  <c:v>-2211.0999999999808</c:v>
                </c:pt>
                <c:pt idx="308">
                  <c:v>-2211.0999999999808</c:v>
                </c:pt>
                <c:pt idx="309">
                  <c:v>-2211.0999999999808</c:v>
                </c:pt>
                <c:pt idx="310">
                  <c:v>-2211.0999999999808</c:v>
                </c:pt>
                <c:pt idx="311">
                  <c:v>-2211.0999999999808</c:v>
                </c:pt>
                <c:pt idx="312">
                  <c:v>-2243.4999999999809</c:v>
                </c:pt>
                <c:pt idx="313">
                  <c:v>-2373.0999999999808</c:v>
                </c:pt>
                <c:pt idx="314">
                  <c:v>-2356.899999999981</c:v>
                </c:pt>
                <c:pt idx="315">
                  <c:v>-2356.899999999981</c:v>
                </c:pt>
                <c:pt idx="316">
                  <c:v>-2356.899999999981</c:v>
                </c:pt>
                <c:pt idx="317">
                  <c:v>-2356.899999999981</c:v>
                </c:pt>
                <c:pt idx="318">
                  <c:v>-2356.899999999981</c:v>
                </c:pt>
                <c:pt idx="319">
                  <c:v>-2356.899999999981</c:v>
                </c:pt>
                <c:pt idx="320">
                  <c:v>-2356.899999999981</c:v>
                </c:pt>
                <c:pt idx="321">
                  <c:v>-2356.899999999981</c:v>
                </c:pt>
                <c:pt idx="322">
                  <c:v>-2356.899999999981</c:v>
                </c:pt>
                <c:pt idx="323">
                  <c:v>-2356.899999999981</c:v>
                </c:pt>
                <c:pt idx="324">
                  <c:v>-2356.899999999981</c:v>
                </c:pt>
                <c:pt idx="325">
                  <c:v>-2194.899999999981</c:v>
                </c:pt>
                <c:pt idx="326">
                  <c:v>-2194.899999999981</c:v>
                </c:pt>
                <c:pt idx="327">
                  <c:v>-2194.899999999981</c:v>
                </c:pt>
                <c:pt idx="328">
                  <c:v>-2194.899999999981</c:v>
                </c:pt>
                <c:pt idx="329">
                  <c:v>-2227.2999999999975</c:v>
                </c:pt>
                <c:pt idx="330">
                  <c:v>-2227.2999999999975</c:v>
                </c:pt>
                <c:pt idx="331">
                  <c:v>-2227.2999999999975</c:v>
                </c:pt>
                <c:pt idx="332">
                  <c:v>-2227.2999999999975</c:v>
                </c:pt>
                <c:pt idx="333">
                  <c:v>-2227.2999999999975</c:v>
                </c:pt>
                <c:pt idx="334">
                  <c:v>-2227.2999999999975</c:v>
                </c:pt>
                <c:pt idx="335">
                  <c:v>-2032.6599999999974</c:v>
                </c:pt>
                <c:pt idx="336">
                  <c:v>-2032.6599999999974</c:v>
                </c:pt>
                <c:pt idx="337">
                  <c:v>-2032.6599999999974</c:v>
                </c:pt>
                <c:pt idx="338">
                  <c:v>-2032.6599999999974</c:v>
                </c:pt>
                <c:pt idx="339">
                  <c:v>-2032.6599999999974</c:v>
                </c:pt>
                <c:pt idx="340">
                  <c:v>-2032.6599999999974</c:v>
                </c:pt>
                <c:pt idx="341">
                  <c:v>-2032.6599999999974</c:v>
                </c:pt>
                <c:pt idx="342">
                  <c:v>-2032.6599999999974</c:v>
                </c:pt>
                <c:pt idx="343">
                  <c:v>-2032.6599999999974</c:v>
                </c:pt>
                <c:pt idx="344">
                  <c:v>-2032.6599999999974</c:v>
                </c:pt>
                <c:pt idx="345">
                  <c:v>-2032.6599999999974</c:v>
                </c:pt>
                <c:pt idx="346">
                  <c:v>-2032.6599999999974</c:v>
                </c:pt>
                <c:pt idx="347">
                  <c:v>-2032.6599999999974</c:v>
                </c:pt>
                <c:pt idx="348">
                  <c:v>-2032.6599999999974</c:v>
                </c:pt>
                <c:pt idx="349">
                  <c:v>-2032.6599999999974</c:v>
                </c:pt>
                <c:pt idx="350">
                  <c:v>-2032.6599999999974</c:v>
                </c:pt>
                <c:pt idx="351">
                  <c:v>-2032.6599999999974</c:v>
                </c:pt>
                <c:pt idx="352">
                  <c:v>-2032.6599999999974</c:v>
                </c:pt>
                <c:pt idx="353">
                  <c:v>-1952.6599999999974</c:v>
                </c:pt>
                <c:pt idx="354">
                  <c:v>-1728.6599999999976</c:v>
                </c:pt>
                <c:pt idx="355">
                  <c:v>-1728.6599999999976</c:v>
                </c:pt>
                <c:pt idx="356">
                  <c:v>-1728.6599999999976</c:v>
                </c:pt>
                <c:pt idx="357">
                  <c:v>-1728.6599999999976</c:v>
                </c:pt>
                <c:pt idx="358">
                  <c:v>-1728.6599999999976</c:v>
                </c:pt>
                <c:pt idx="359">
                  <c:v>-1648.6599999999976</c:v>
                </c:pt>
                <c:pt idx="360">
                  <c:v>-1648.6599999999976</c:v>
                </c:pt>
                <c:pt idx="361">
                  <c:v>-1648.6599999999976</c:v>
                </c:pt>
                <c:pt idx="362">
                  <c:v>-1648.6599999999976</c:v>
                </c:pt>
                <c:pt idx="363">
                  <c:v>-1648.6599999999976</c:v>
                </c:pt>
                <c:pt idx="364">
                  <c:v>-1648.6599999999976</c:v>
                </c:pt>
                <c:pt idx="365">
                  <c:v>-1648.6599999999976</c:v>
                </c:pt>
                <c:pt idx="366">
                  <c:v>-1648.6599999999976</c:v>
                </c:pt>
                <c:pt idx="367">
                  <c:v>-1648.6599999999976</c:v>
                </c:pt>
                <c:pt idx="368">
                  <c:v>-1648.6599999999976</c:v>
                </c:pt>
                <c:pt idx="369">
                  <c:v>-1648.6599999999976</c:v>
                </c:pt>
                <c:pt idx="370">
                  <c:v>-1648.6599999999976</c:v>
                </c:pt>
                <c:pt idx="371">
                  <c:v>-1648.6599999999976</c:v>
                </c:pt>
                <c:pt idx="372">
                  <c:v>-1648.6599999999976</c:v>
                </c:pt>
                <c:pt idx="373">
                  <c:v>-1648.6599999999976</c:v>
                </c:pt>
                <c:pt idx="374">
                  <c:v>-1648.6599999999976</c:v>
                </c:pt>
                <c:pt idx="375">
                  <c:v>-1648.6599999999976</c:v>
                </c:pt>
                <c:pt idx="376">
                  <c:v>-1648.6599999999976</c:v>
                </c:pt>
                <c:pt idx="377">
                  <c:v>-1648.6599999999976</c:v>
                </c:pt>
                <c:pt idx="378">
                  <c:v>-1648.6599999999976</c:v>
                </c:pt>
                <c:pt idx="379">
                  <c:v>-1648.6599999999976</c:v>
                </c:pt>
                <c:pt idx="380">
                  <c:v>-1648.6599999999976</c:v>
                </c:pt>
                <c:pt idx="381">
                  <c:v>-1648.6599999999976</c:v>
                </c:pt>
                <c:pt idx="382">
                  <c:v>-1648.6599999999976</c:v>
                </c:pt>
                <c:pt idx="383">
                  <c:v>-1648.6599999999976</c:v>
                </c:pt>
                <c:pt idx="384">
                  <c:v>-1648.6599999999976</c:v>
                </c:pt>
                <c:pt idx="385">
                  <c:v>-1648.6599999999976</c:v>
                </c:pt>
                <c:pt idx="386">
                  <c:v>-1648.6599999999976</c:v>
                </c:pt>
                <c:pt idx="387">
                  <c:v>-1648.6599999999976</c:v>
                </c:pt>
                <c:pt idx="388">
                  <c:v>-1648.6599999999976</c:v>
                </c:pt>
                <c:pt idx="389">
                  <c:v>-1648.6599999999976</c:v>
                </c:pt>
                <c:pt idx="390">
                  <c:v>-1648.6599999999976</c:v>
                </c:pt>
                <c:pt idx="391">
                  <c:v>-1648.6599999999976</c:v>
                </c:pt>
                <c:pt idx="392">
                  <c:v>-1648.6599999999976</c:v>
                </c:pt>
                <c:pt idx="393">
                  <c:v>-1648.6599999999976</c:v>
                </c:pt>
                <c:pt idx="394">
                  <c:v>-1648.6599999999976</c:v>
                </c:pt>
                <c:pt idx="395">
                  <c:v>-1648.6599999999976</c:v>
                </c:pt>
                <c:pt idx="396">
                  <c:v>-1648.6599999999976</c:v>
                </c:pt>
                <c:pt idx="397">
                  <c:v>-1648.6599999999976</c:v>
                </c:pt>
                <c:pt idx="398">
                  <c:v>-1648.6599999999976</c:v>
                </c:pt>
                <c:pt idx="399">
                  <c:v>-1648.6599999999976</c:v>
                </c:pt>
                <c:pt idx="400">
                  <c:v>-1648.6599999999976</c:v>
                </c:pt>
                <c:pt idx="401">
                  <c:v>-1648.6599999999976</c:v>
                </c:pt>
                <c:pt idx="402">
                  <c:v>-1648.6599999999976</c:v>
                </c:pt>
                <c:pt idx="403">
                  <c:v>-1648.6599999999976</c:v>
                </c:pt>
                <c:pt idx="404">
                  <c:v>-1648.6599999999976</c:v>
                </c:pt>
                <c:pt idx="405">
                  <c:v>-1648.6599999999976</c:v>
                </c:pt>
                <c:pt idx="406">
                  <c:v>-1648.6599999999976</c:v>
                </c:pt>
                <c:pt idx="407">
                  <c:v>-1648.6599999999976</c:v>
                </c:pt>
                <c:pt idx="408">
                  <c:v>-1408.659999999998</c:v>
                </c:pt>
                <c:pt idx="409">
                  <c:v>-1408.659999999998</c:v>
                </c:pt>
                <c:pt idx="410">
                  <c:v>-1408.659999999998</c:v>
                </c:pt>
                <c:pt idx="411">
                  <c:v>-1408.659999999998</c:v>
                </c:pt>
                <c:pt idx="412">
                  <c:v>-1408.659999999998</c:v>
                </c:pt>
                <c:pt idx="413">
                  <c:v>-1328.659999999998</c:v>
                </c:pt>
                <c:pt idx="414">
                  <c:v>-1328.659999999998</c:v>
                </c:pt>
                <c:pt idx="415">
                  <c:v>-1328.659999999998</c:v>
                </c:pt>
                <c:pt idx="416">
                  <c:v>-1328.659999999998</c:v>
                </c:pt>
                <c:pt idx="417">
                  <c:v>-1328.659999999998</c:v>
                </c:pt>
                <c:pt idx="418">
                  <c:v>-1328.659999999998</c:v>
                </c:pt>
                <c:pt idx="419">
                  <c:v>-1328.659999999998</c:v>
                </c:pt>
                <c:pt idx="420">
                  <c:v>-1328.659999999998</c:v>
                </c:pt>
                <c:pt idx="421">
                  <c:v>-1328.659999999998</c:v>
                </c:pt>
                <c:pt idx="422">
                  <c:v>-1328.659999999998</c:v>
                </c:pt>
                <c:pt idx="423">
                  <c:v>-1168.659999999998</c:v>
                </c:pt>
                <c:pt idx="424">
                  <c:v>-1168.659999999998</c:v>
                </c:pt>
                <c:pt idx="425">
                  <c:v>-1168.659999999998</c:v>
                </c:pt>
                <c:pt idx="426">
                  <c:v>-1168.659999999998</c:v>
                </c:pt>
                <c:pt idx="427">
                  <c:v>-1168.659999999998</c:v>
                </c:pt>
                <c:pt idx="428">
                  <c:v>-1168.659999999998</c:v>
                </c:pt>
                <c:pt idx="429">
                  <c:v>-1168.659999999998</c:v>
                </c:pt>
                <c:pt idx="430">
                  <c:v>-1168.659999999998</c:v>
                </c:pt>
                <c:pt idx="431">
                  <c:v>-1168.659999999998</c:v>
                </c:pt>
                <c:pt idx="432">
                  <c:v>-1008.659999999998</c:v>
                </c:pt>
                <c:pt idx="433">
                  <c:v>-1008.659999999998</c:v>
                </c:pt>
                <c:pt idx="434">
                  <c:v>-1008.659999999998</c:v>
                </c:pt>
                <c:pt idx="435">
                  <c:v>-1008.659999999998</c:v>
                </c:pt>
                <c:pt idx="436">
                  <c:v>-1008.659999999998</c:v>
                </c:pt>
                <c:pt idx="437">
                  <c:v>-1008.659999999998</c:v>
                </c:pt>
                <c:pt idx="438">
                  <c:v>-1008.659999999998</c:v>
                </c:pt>
                <c:pt idx="439">
                  <c:v>-1008.659999999998</c:v>
                </c:pt>
                <c:pt idx="440">
                  <c:v>-1008.659999999998</c:v>
                </c:pt>
                <c:pt idx="441">
                  <c:v>-1008.659999999998</c:v>
                </c:pt>
                <c:pt idx="442">
                  <c:v>-1008.659999999998</c:v>
                </c:pt>
                <c:pt idx="443">
                  <c:v>-1008.659999999998</c:v>
                </c:pt>
                <c:pt idx="444">
                  <c:v>-1008.659999999998</c:v>
                </c:pt>
                <c:pt idx="445">
                  <c:v>-1008.659999999998</c:v>
                </c:pt>
                <c:pt idx="446">
                  <c:v>-1008.659999999998</c:v>
                </c:pt>
                <c:pt idx="447">
                  <c:v>-1008.659999999998</c:v>
                </c:pt>
                <c:pt idx="448">
                  <c:v>-1008.659999999998</c:v>
                </c:pt>
                <c:pt idx="449">
                  <c:v>-1008.659999999998</c:v>
                </c:pt>
                <c:pt idx="450">
                  <c:v>-1008.659999999998</c:v>
                </c:pt>
                <c:pt idx="451">
                  <c:v>-1008.659999999998</c:v>
                </c:pt>
                <c:pt idx="452">
                  <c:v>-1008.659999999998</c:v>
                </c:pt>
                <c:pt idx="453">
                  <c:v>-1008.659999999998</c:v>
                </c:pt>
                <c:pt idx="454">
                  <c:v>-1008.659999999998</c:v>
                </c:pt>
                <c:pt idx="455">
                  <c:v>-1008.659999999998</c:v>
                </c:pt>
                <c:pt idx="456">
                  <c:v>-1008.659999999998</c:v>
                </c:pt>
                <c:pt idx="457">
                  <c:v>-848.65999999999838</c:v>
                </c:pt>
                <c:pt idx="458">
                  <c:v>-848.65999999999838</c:v>
                </c:pt>
                <c:pt idx="459">
                  <c:v>4.673333333334881</c:v>
                </c:pt>
                <c:pt idx="460">
                  <c:v>4.673333333334881</c:v>
                </c:pt>
                <c:pt idx="461">
                  <c:v>4.673333333334881</c:v>
                </c:pt>
                <c:pt idx="462">
                  <c:v>4.673333333334881</c:v>
                </c:pt>
                <c:pt idx="463">
                  <c:v>4.673333333334881</c:v>
                </c:pt>
                <c:pt idx="464">
                  <c:v>4.673333333334881</c:v>
                </c:pt>
                <c:pt idx="465">
                  <c:v>4.673333333334881</c:v>
                </c:pt>
                <c:pt idx="466">
                  <c:v>4.673333333334881</c:v>
                </c:pt>
                <c:pt idx="467">
                  <c:v>4.673333333334881</c:v>
                </c:pt>
                <c:pt idx="468">
                  <c:v>4.673333333334881</c:v>
                </c:pt>
                <c:pt idx="469">
                  <c:v>4.673333333334881</c:v>
                </c:pt>
                <c:pt idx="470">
                  <c:v>4.673333333334881</c:v>
                </c:pt>
                <c:pt idx="471">
                  <c:v>4.673333333334881</c:v>
                </c:pt>
                <c:pt idx="472">
                  <c:v>4.673333333334881</c:v>
                </c:pt>
                <c:pt idx="473">
                  <c:v>4.673333333334881</c:v>
                </c:pt>
                <c:pt idx="474">
                  <c:v>4.673333333334881</c:v>
                </c:pt>
                <c:pt idx="475">
                  <c:v>4.673333333334881</c:v>
                </c:pt>
                <c:pt idx="476">
                  <c:v>4.673333333334881</c:v>
                </c:pt>
                <c:pt idx="477">
                  <c:v>4.673333333334881</c:v>
                </c:pt>
                <c:pt idx="478">
                  <c:v>4.673333333334881</c:v>
                </c:pt>
                <c:pt idx="479">
                  <c:v>4.673333333334881</c:v>
                </c:pt>
                <c:pt idx="480">
                  <c:v>4.673333333334881</c:v>
                </c:pt>
                <c:pt idx="481">
                  <c:v>4.673333333334881</c:v>
                </c:pt>
                <c:pt idx="482">
                  <c:v>4.673333333334881</c:v>
                </c:pt>
                <c:pt idx="483">
                  <c:v>4.673333333334881</c:v>
                </c:pt>
                <c:pt idx="484">
                  <c:v>4.673333333334881</c:v>
                </c:pt>
                <c:pt idx="485">
                  <c:v>4.673333333334881</c:v>
                </c:pt>
                <c:pt idx="486">
                  <c:v>4.673333333334881</c:v>
                </c:pt>
                <c:pt idx="487">
                  <c:v>4.673333333334881</c:v>
                </c:pt>
                <c:pt idx="488">
                  <c:v>4.673333333334881</c:v>
                </c:pt>
                <c:pt idx="489">
                  <c:v>4.673333333334881</c:v>
                </c:pt>
                <c:pt idx="490">
                  <c:v>-75.32666666666519</c:v>
                </c:pt>
                <c:pt idx="491">
                  <c:v>4.673333333334881</c:v>
                </c:pt>
                <c:pt idx="492">
                  <c:v>4.673333333334881</c:v>
                </c:pt>
                <c:pt idx="493">
                  <c:v>4.673333333334881</c:v>
                </c:pt>
                <c:pt idx="494">
                  <c:v>4.673333333334881</c:v>
                </c:pt>
                <c:pt idx="495">
                  <c:v>4.673333333334881</c:v>
                </c:pt>
                <c:pt idx="496">
                  <c:v>4.673333333334881</c:v>
                </c:pt>
                <c:pt idx="497">
                  <c:v>4.673333333334881</c:v>
                </c:pt>
                <c:pt idx="498">
                  <c:v>164.67333333333482</c:v>
                </c:pt>
                <c:pt idx="499">
                  <c:v>164.67333333333482</c:v>
                </c:pt>
                <c:pt idx="500">
                  <c:v>164.67333333333482</c:v>
                </c:pt>
                <c:pt idx="501">
                  <c:v>164.67333333333482</c:v>
                </c:pt>
                <c:pt idx="502">
                  <c:v>164.67333333333482</c:v>
                </c:pt>
                <c:pt idx="503">
                  <c:v>164.67333333333482</c:v>
                </c:pt>
                <c:pt idx="504">
                  <c:v>164.67333333333482</c:v>
                </c:pt>
                <c:pt idx="505">
                  <c:v>164.67333333333482</c:v>
                </c:pt>
                <c:pt idx="506">
                  <c:v>164.67333333333482</c:v>
                </c:pt>
                <c:pt idx="507">
                  <c:v>164.67333333333482</c:v>
                </c:pt>
                <c:pt idx="508">
                  <c:v>164.67333333333482</c:v>
                </c:pt>
                <c:pt idx="509">
                  <c:v>164.67333333333482</c:v>
                </c:pt>
                <c:pt idx="510">
                  <c:v>164.67333333333482</c:v>
                </c:pt>
                <c:pt idx="511">
                  <c:v>164.67333333333482</c:v>
                </c:pt>
                <c:pt idx="512">
                  <c:v>164.67333333333482</c:v>
                </c:pt>
                <c:pt idx="513">
                  <c:v>164.67333333333482</c:v>
                </c:pt>
                <c:pt idx="514">
                  <c:v>164.67333333333482</c:v>
                </c:pt>
                <c:pt idx="515">
                  <c:v>164.67333333333482</c:v>
                </c:pt>
                <c:pt idx="516">
                  <c:v>164.67333333333482</c:v>
                </c:pt>
                <c:pt idx="517">
                  <c:v>164.67333333333482</c:v>
                </c:pt>
                <c:pt idx="518">
                  <c:v>164.67333333333482</c:v>
                </c:pt>
                <c:pt idx="519">
                  <c:v>164.67333333333482</c:v>
                </c:pt>
                <c:pt idx="520">
                  <c:v>164.67333333333482</c:v>
                </c:pt>
                <c:pt idx="521">
                  <c:v>164.67333333333482</c:v>
                </c:pt>
                <c:pt idx="522">
                  <c:v>164.67333333333482</c:v>
                </c:pt>
                <c:pt idx="523">
                  <c:v>164.67333333333482</c:v>
                </c:pt>
                <c:pt idx="524">
                  <c:v>212.67333333333482</c:v>
                </c:pt>
                <c:pt idx="525">
                  <c:v>212.67333333333482</c:v>
                </c:pt>
                <c:pt idx="526">
                  <c:v>212.67333333333482</c:v>
                </c:pt>
                <c:pt idx="527">
                  <c:v>212.67333333333482</c:v>
                </c:pt>
                <c:pt idx="528">
                  <c:v>212.67333333333482</c:v>
                </c:pt>
                <c:pt idx="529">
                  <c:v>212.67333333333482</c:v>
                </c:pt>
                <c:pt idx="530">
                  <c:v>212.67333333333482</c:v>
                </c:pt>
                <c:pt idx="531">
                  <c:v>212.67333333333482</c:v>
                </c:pt>
                <c:pt idx="532">
                  <c:v>212.67333333333482</c:v>
                </c:pt>
                <c:pt idx="533">
                  <c:v>212.67333333333482</c:v>
                </c:pt>
                <c:pt idx="534">
                  <c:v>212.67333333333482</c:v>
                </c:pt>
                <c:pt idx="535">
                  <c:v>212.67333333333482</c:v>
                </c:pt>
                <c:pt idx="536">
                  <c:v>228.67333333333482</c:v>
                </c:pt>
                <c:pt idx="537">
                  <c:v>228.67333333333482</c:v>
                </c:pt>
                <c:pt idx="538">
                  <c:v>228.67333333333482</c:v>
                </c:pt>
                <c:pt idx="539">
                  <c:v>228.67333333333482</c:v>
                </c:pt>
                <c:pt idx="540">
                  <c:v>308.67333333333488</c:v>
                </c:pt>
                <c:pt idx="541">
                  <c:v>308.67333333333488</c:v>
                </c:pt>
                <c:pt idx="542">
                  <c:v>308.67333333333488</c:v>
                </c:pt>
                <c:pt idx="543">
                  <c:v>308.67333333333488</c:v>
                </c:pt>
                <c:pt idx="544">
                  <c:v>308.67333333333488</c:v>
                </c:pt>
                <c:pt idx="545">
                  <c:v>308.67333333333488</c:v>
                </c:pt>
                <c:pt idx="546">
                  <c:v>308.67333333333488</c:v>
                </c:pt>
                <c:pt idx="547">
                  <c:v>308.67333333333488</c:v>
                </c:pt>
                <c:pt idx="548">
                  <c:v>308.67333333333488</c:v>
                </c:pt>
                <c:pt idx="549">
                  <c:v>308.67333333333488</c:v>
                </c:pt>
                <c:pt idx="550">
                  <c:v>308.67333333333488</c:v>
                </c:pt>
                <c:pt idx="551">
                  <c:v>308.67333333333488</c:v>
                </c:pt>
                <c:pt idx="552">
                  <c:v>308.67333333333488</c:v>
                </c:pt>
                <c:pt idx="553">
                  <c:v>356.67333333333488</c:v>
                </c:pt>
                <c:pt idx="554">
                  <c:v>356.67333333333488</c:v>
                </c:pt>
                <c:pt idx="555">
                  <c:v>356.67333333333488</c:v>
                </c:pt>
                <c:pt idx="556">
                  <c:v>356.67333333333488</c:v>
                </c:pt>
                <c:pt idx="557">
                  <c:v>356.67333333333488</c:v>
                </c:pt>
                <c:pt idx="558">
                  <c:v>356.67333333333488</c:v>
                </c:pt>
                <c:pt idx="559">
                  <c:v>356.67333333333488</c:v>
                </c:pt>
                <c:pt idx="560">
                  <c:v>356.67333333333488</c:v>
                </c:pt>
                <c:pt idx="561">
                  <c:v>676.67333333333477</c:v>
                </c:pt>
                <c:pt idx="562">
                  <c:v>676.67333333333477</c:v>
                </c:pt>
                <c:pt idx="563">
                  <c:v>996.67333333333477</c:v>
                </c:pt>
                <c:pt idx="564">
                  <c:v>2340.673333333335</c:v>
                </c:pt>
                <c:pt idx="565">
                  <c:v>3012.673333333335</c:v>
                </c:pt>
                <c:pt idx="566">
                  <c:v>3012.673333333335</c:v>
                </c:pt>
                <c:pt idx="567">
                  <c:v>3012.673333333335</c:v>
                </c:pt>
                <c:pt idx="568">
                  <c:v>3012.673333333335</c:v>
                </c:pt>
                <c:pt idx="569">
                  <c:v>3012.673333333335</c:v>
                </c:pt>
                <c:pt idx="570">
                  <c:v>3012.673333333335</c:v>
                </c:pt>
                <c:pt idx="571">
                  <c:v>3012.673333333335</c:v>
                </c:pt>
                <c:pt idx="572">
                  <c:v>3012.673333333335</c:v>
                </c:pt>
                <c:pt idx="573">
                  <c:v>3012.673333333335</c:v>
                </c:pt>
                <c:pt idx="574">
                  <c:v>3012.673333333335</c:v>
                </c:pt>
                <c:pt idx="575">
                  <c:v>3012.673333333335</c:v>
                </c:pt>
                <c:pt idx="576">
                  <c:v>3012.673333333335</c:v>
                </c:pt>
                <c:pt idx="577">
                  <c:v>3012.673333333335</c:v>
                </c:pt>
                <c:pt idx="578">
                  <c:v>3012.673333333335</c:v>
                </c:pt>
                <c:pt idx="579">
                  <c:v>3012.673333333335</c:v>
                </c:pt>
                <c:pt idx="580">
                  <c:v>3012.673333333335</c:v>
                </c:pt>
                <c:pt idx="581">
                  <c:v>3204.6733333333345</c:v>
                </c:pt>
                <c:pt idx="582">
                  <c:v>3204.6733333333345</c:v>
                </c:pt>
                <c:pt idx="583">
                  <c:v>3204.6733333333345</c:v>
                </c:pt>
                <c:pt idx="584">
                  <c:v>3524.6733333333341</c:v>
                </c:pt>
                <c:pt idx="585">
                  <c:v>3524.6733333333341</c:v>
                </c:pt>
                <c:pt idx="586">
                  <c:v>3524.6733333333341</c:v>
                </c:pt>
                <c:pt idx="587">
                  <c:v>3524.6733333333341</c:v>
                </c:pt>
                <c:pt idx="588">
                  <c:v>3524.6733333333341</c:v>
                </c:pt>
                <c:pt idx="589">
                  <c:v>3524.6733333333341</c:v>
                </c:pt>
                <c:pt idx="590">
                  <c:v>3524.6733333333341</c:v>
                </c:pt>
                <c:pt idx="591">
                  <c:v>3524.6733333333341</c:v>
                </c:pt>
                <c:pt idx="592">
                  <c:v>3524.6733333333341</c:v>
                </c:pt>
                <c:pt idx="593">
                  <c:v>3524.6733333333341</c:v>
                </c:pt>
                <c:pt idx="594">
                  <c:v>3524.6733333333341</c:v>
                </c:pt>
                <c:pt idx="595">
                  <c:v>3604.6733333333341</c:v>
                </c:pt>
                <c:pt idx="596">
                  <c:v>3604.6733333333341</c:v>
                </c:pt>
                <c:pt idx="597">
                  <c:v>3604.6733333333341</c:v>
                </c:pt>
                <c:pt idx="598">
                  <c:v>3604.6733333333341</c:v>
                </c:pt>
                <c:pt idx="599">
                  <c:v>3604.6733333333341</c:v>
                </c:pt>
                <c:pt idx="600">
                  <c:v>4484.6733333333341</c:v>
                </c:pt>
                <c:pt idx="601">
                  <c:v>4484.6733333333341</c:v>
                </c:pt>
                <c:pt idx="602">
                  <c:v>4484.6733333333341</c:v>
                </c:pt>
                <c:pt idx="603">
                  <c:v>4484.6733333333341</c:v>
                </c:pt>
                <c:pt idx="604">
                  <c:v>4484.6733333333341</c:v>
                </c:pt>
                <c:pt idx="605">
                  <c:v>4484.6733333333341</c:v>
                </c:pt>
                <c:pt idx="606">
                  <c:v>4484.6733333333341</c:v>
                </c:pt>
                <c:pt idx="607">
                  <c:v>4484.6733333333341</c:v>
                </c:pt>
                <c:pt idx="608">
                  <c:v>4484.6733333333341</c:v>
                </c:pt>
                <c:pt idx="609">
                  <c:v>4484.6733333333341</c:v>
                </c:pt>
                <c:pt idx="610">
                  <c:v>4484.6733333333341</c:v>
                </c:pt>
                <c:pt idx="611">
                  <c:v>4676.6733333333341</c:v>
                </c:pt>
                <c:pt idx="612">
                  <c:v>4676.6733333333341</c:v>
                </c:pt>
                <c:pt idx="613">
                  <c:v>4676.6733333333341</c:v>
                </c:pt>
                <c:pt idx="614">
                  <c:v>4676.6733333333341</c:v>
                </c:pt>
                <c:pt idx="615">
                  <c:v>4676.6733333333341</c:v>
                </c:pt>
                <c:pt idx="616">
                  <c:v>4676.6733333333341</c:v>
                </c:pt>
                <c:pt idx="617">
                  <c:v>4676.6733333333341</c:v>
                </c:pt>
                <c:pt idx="618">
                  <c:v>4676.6733333333341</c:v>
                </c:pt>
                <c:pt idx="619">
                  <c:v>4676.6733333333341</c:v>
                </c:pt>
                <c:pt idx="620">
                  <c:v>4676.6733333333341</c:v>
                </c:pt>
                <c:pt idx="621">
                  <c:v>4676.6733333333341</c:v>
                </c:pt>
                <c:pt idx="622">
                  <c:v>4676.6733333333341</c:v>
                </c:pt>
                <c:pt idx="623">
                  <c:v>4676.6733333333341</c:v>
                </c:pt>
                <c:pt idx="624">
                  <c:v>4676.6733333333341</c:v>
                </c:pt>
                <c:pt idx="625">
                  <c:v>4676.6733333333341</c:v>
                </c:pt>
                <c:pt idx="626">
                  <c:v>4676.6733333333341</c:v>
                </c:pt>
                <c:pt idx="627">
                  <c:v>4676.6733333333341</c:v>
                </c:pt>
                <c:pt idx="628">
                  <c:v>4676.6733333333341</c:v>
                </c:pt>
                <c:pt idx="629">
                  <c:v>4676.6733333333341</c:v>
                </c:pt>
                <c:pt idx="630">
                  <c:v>4676.6733333333341</c:v>
                </c:pt>
                <c:pt idx="631">
                  <c:v>4676.6733333333341</c:v>
                </c:pt>
                <c:pt idx="632">
                  <c:v>4676.6733333333341</c:v>
                </c:pt>
                <c:pt idx="633">
                  <c:v>4676.6733333333341</c:v>
                </c:pt>
                <c:pt idx="634">
                  <c:v>4676.6733333333341</c:v>
                </c:pt>
                <c:pt idx="635">
                  <c:v>4676.6733333333341</c:v>
                </c:pt>
                <c:pt idx="636">
                  <c:v>4676.6733333333341</c:v>
                </c:pt>
                <c:pt idx="637">
                  <c:v>4676.6733333333341</c:v>
                </c:pt>
                <c:pt idx="638">
                  <c:v>4676.6733333333341</c:v>
                </c:pt>
                <c:pt idx="639">
                  <c:v>4676.6733333333341</c:v>
                </c:pt>
                <c:pt idx="640">
                  <c:v>4676.6733333333341</c:v>
                </c:pt>
                <c:pt idx="641">
                  <c:v>4676.6733333333341</c:v>
                </c:pt>
                <c:pt idx="642">
                  <c:v>4676.6733333333341</c:v>
                </c:pt>
                <c:pt idx="643">
                  <c:v>4676.6733333333341</c:v>
                </c:pt>
                <c:pt idx="644">
                  <c:v>4676.6733333333341</c:v>
                </c:pt>
                <c:pt idx="645">
                  <c:v>4676.6733333333341</c:v>
                </c:pt>
                <c:pt idx="646">
                  <c:v>4724.673333333335</c:v>
                </c:pt>
                <c:pt idx="647">
                  <c:v>4724.673333333335</c:v>
                </c:pt>
                <c:pt idx="648">
                  <c:v>4756.673333333335</c:v>
                </c:pt>
                <c:pt idx="649">
                  <c:v>4756.673333333335</c:v>
                </c:pt>
                <c:pt idx="650">
                  <c:v>4756.673333333335</c:v>
                </c:pt>
                <c:pt idx="651">
                  <c:v>4756.673333333335</c:v>
                </c:pt>
                <c:pt idx="652">
                  <c:v>4756.673333333335</c:v>
                </c:pt>
                <c:pt idx="653">
                  <c:v>4756.673333333335</c:v>
                </c:pt>
                <c:pt idx="654">
                  <c:v>5044.673333333335</c:v>
                </c:pt>
                <c:pt idx="655">
                  <c:v>4996.673333333335</c:v>
                </c:pt>
                <c:pt idx="656">
                  <c:v>4996.673333333335</c:v>
                </c:pt>
                <c:pt idx="657">
                  <c:v>4996.673333333335</c:v>
                </c:pt>
                <c:pt idx="658">
                  <c:v>4996.673333333335</c:v>
                </c:pt>
                <c:pt idx="659">
                  <c:v>4996.673333333335</c:v>
                </c:pt>
                <c:pt idx="660">
                  <c:v>4996.673333333335</c:v>
                </c:pt>
                <c:pt idx="661">
                  <c:v>4996.673333333335</c:v>
                </c:pt>
                <c:pt idx="662">
                  <c:v>4996.673333333335</c:v>
                </c:pt>
                <c:pt idx="663">
                  <c:v>4996.673333333335</c:v>
                </c:pt>
                <c:pt idx="664">
                  <c:v>4996.673333333335</c:v>
                </c:pt>
                <c:pt idx="665">
                  <c:v>4996.673333333335</c:v>
                </c:pt>
                <c:pt idx="666">
                  <c:v>4996.673333333335</c:v>
                </c:pt>
                <c:pt idx="667">
                  <c:v>4996.673333333335</c:v>
                </c:pt>
                <c:pt idx="668">
                  <c:v>4996.673333333335</c:v>
                </c:pt>
                <c:pt idx="669">
                  <c:v>4996.673333333335</c:v>
                </c:pt>
                <c:pt idx="670">
                  <c:v>4996.673333333335</c:v>
                </c:pt>
                <c:pt idx="671">
                  <c:v>4996.673333333335</c:v>
                </c:pt>
                <c:pt idx="672">
                  <c:v>4996.673333333335</c:v>
                </c:pt>
                <c:pt idx="673">
                  <c:v>4996.673333333335</c:v>
                </c:pt>
                <c:pt idx="674">
                  <c:v>4996.673333333335</c:v>
                </c:pt>
                <c:pt idx="675">
                  <c:v>4996.673333333335</c:v>
                </c:pt>
                <c:pt idx="676">
                  <c:v>4996.673333333335</c:v>
                </c:pt>
                <c:pt idx="677">
                  <c:v>4996.673333333335</c:v>
                </c:pt>
                <c:pt idx="678">
                  <c:v>4996.673333333335</c:v>
                </c:pt>
                <c:pt idx="679">
                  <c:v>4996.673333333335</c:v>
                </c:pt>
                <c:pt idx="680">
                  <c:v>4996.673333333335</c:v>
                </c:pt>
                <c:pt idx="681">
                  <c:v>5924.673333333335</c:v>
                </c:pt>
                <c:pt idx="682">
                  <c:v>5924.673333333335</c:v>
                </c:pt>
                <c:pt idx="683">
                  <c:v>5924.673333333335</c:v>
                </c:pt>
                <c:pt idx="684">
                  <c:v>5924.673333333335</c:v>
                </c:pt>
                <c:pt idx="685">
                  <c:v>5924.673333333335</c:v>
                </c:pt>
                <c:pt idx="686">
                  <c:v>5924.673333333335</c:v>
                </c:pt>
                <c:pt idx="687">
                  <c:v>5924.673333333335</c:v>
                </c:pt>
                <c:pt idx="688">
                  <c:v>5924.673333333335</c:v>
                </c:pt>
                <c:pt idx="689">
                  <c:v>5924.673333333335</c:v>
                </c:pt>
                <c:pt idx="690">
                  <c:v>5924.673333333335</c:v>
                </c:pt>
                <c:pt idx="691">
                  <c:v>5924.673333333335</c:v>
                </c:pt>
                <c:pt idx="692">
                  <c:v>5924.673333333335</c:v>
                </c:pt>
                <c:pt idx="693">
                  <c:v>5924.673333333335</c:v>
                </c:pt>
                <c:pt idx="694">
                  <c:v>5924.673333333335</c:v>
                </c:pt>
                <c:pt idx="695">
                  <c:v>5924.673333333335</c:v>
                </c:pt>
                <c:pt idx="696">
                  <c:v>5924.673333333335</c:v>
                </c:pt>
                <c:pt idx="697">
                  <c:v>5924.673333333335</c:v>
                </c:pt>
                <c:pt idx="698">
                  <c:v>5924.673333333335</c:v>
                </c:pt>
                <c:pt idx="699">
                  <c:v>5924.673333333335</c:v>
                </c:pt>
                <c:pt idx="700">
                  <c:v>5924.673333333335</c:v>
                </c:pt>
                <c:pt idx="701">
                  <c:v>5924.673333333335</c:v>
                </c:pt>
                <c:pt idx="702">
                  <c:v>5924.673333333335</c:v>
                </c:pt>
                <c:pt idx="703">
                  <c:v>5924.673333333335</c:v>
                </c:pt>
                <c:pt idx="704">
                  <c:v>5924.673333333335</c:v>
                </c:pt>
                <c:pt idx="705">
                  <c:v>5924.673333333335</c:v>
                </c:pt>
                <c:pt idx="706">
                  <c:v>5924.673333333335</c:v>
                </c:pt>
                <c:pt idx="707">
                  <c:v>5924.673333333335</c:v>
                </c:pt>
                <c:pt idx="708">
                  <c:v>5924.673333333335</c:v>
                </c:pt>
                <c:pt idx="709">
                  <c:v>5924.673333333335</c:v>
                </c:pt>
                <c:pt idx="710">
                  <c:v>5924.673333333335</c:v>
                </c:pt>
                <c:pt idx="711">
                  <c:v>5924.673333333335</c:v>
                </c:pt>
                <c:pt idx="712">
                  <c:v>5956.673333333335</c:v>
                </c:pt>
                <c:pt idx="713">
                  <c:v>5956.673333333335</c:v>
                </c:pt>
                <c:pt idx="714">
                  <c:v>5956.673333333335</c:v>
                </c:pt>
                <c:pt idx="715">
                  <c:v>5956.673333333335</c:v>
                </c:pt>
                <c:pt idx="716">
                  <c:v>5956.673333333335</c:v>
                </c:pt>
                <c:pt idx="717">
                  <c:v>5956.673333333335</c:v>
                </c:pt>
                <c:pt idx="718">
                  <c:v>5956.673333333335</c:v>
                </c:pt>
                <c:pt idx="719">
                  <c:v>5956.673333333335</c:v>
                </c:pt>
                <c:pt idx="720">
                  <c:v>5956.673333333335</c:v>
                </c:pt>
                <c:pt idx="721">
                  <c:v>5956.673333333335</c:v>
                </c:pt>
                <c:pt idx="722">
                  <c:v>5956.673333333335</c:v>
                </c:pt>
                <c:pt idx="723">
                  <c:v>5956.673333333335</c:v>
                </c:pt>
                <c:pt idx="724">
                  <c:v>5956.673333333335</c:v>
                </c:pt>
                <c:pt idx="725">
                  <c:v>5956.673333333335</c:v>
                </c:pt>
                <c:pt idx="726">
                  <c:v>5956.673333333335</c:v>
                </c:pt>
                <c:pt idx="727">
                  <c:v>5956.673333333335</c:v>
                </c:pt>
                <c:pt idx="728">
                  <c:v>5956.673333333335</c:v>
                </c:pt>
                <c:pt idx="729">
                  <c:v>5956.673333333335</c:v>
                </c:pt>
                <c:pt idx="730">
                  <c:v>5956.673333333335</c:v>
                </c:pt>
                <c:pt idx="731">
                  <c:v>5956.673333333335</c:v>
                </c:pt>
                <c:pt idx="732">
                  <c:v>5956.673333333335</c:v>
                </c:pt>
                <c:pt idx="733">
                  <c:v>5956.673333333335</c:v>
                </c:pt>
                <c:pt idx="734">
                  <c:v>5956.673333333335</c:v>
                </c:pt>
                <c:pt idx="735">
                  <c:v>5956.673333333335</c:v>
                </c:pt>
                <c:pt idx="736">
                  <c:v>5956.673333333335</c:v>
                </c:pt>
                <c:pt idx="737">
                  <c:v>5956.673333333335</c:v>
                </c:pt>
                <c:pt idx="738">
                  <c:v>5956.673333333335</c:v>
                </c:pt>
                <c:pt idx="739">
                  <c:v>6180.673333333335</c:v>
                </c:pt>
                <c:pt idx="740">
                  <c:v>6180.673333333335</c:v>
                </c:pt>
                <c:pt idx="741">
                  <c:v>6180.673333333335</c:v>
                </c:pt>
                <c:pt idx="742">
                  <c:v>6180.673333333335</c:v>
                </c:pt>
                <c:pt idx="743">
                  <c:v>6180.673333333335</c:v>
                </c:pt>
                <c:pt idx="744">
                  <c:v>6180.673333333335</c:v>
                </c:pt>
                <c:pt idx="745">
                  <c:v>6180.673333333335</c:v>
                </c:pt>
                <c:pt idx="746">
                  <c:v>6180.673333333335</c:v>
                </c:pt>
                <c:pt idx="747">
                  <c:v>6180.673333333335</c:v>
                </c:pt>
                <c:pt idx="748">
                  <c:v>6180.673333333335</c:v>
                </c:pt>
                <c:pt idx="749">
                  <c:v>6180.673333333335</c:v>
                </c:pt>
                <c:pt idx="750">
                  <c:v>6404.673333333335</c:v>
                </c:pt>
                <c:pt idx="751">
                  <c:v>6404.673333333335</c:v>
                </c:pt>
                <c:pt idx="752">
                  <c:v>6404.673333333335</c:v>
                </c:pt>
                <c:pt idx="753">
                  <c:v>6404.673333333335</c:v>
                </c:pt>
                <c:pt idx="754">
                  <c:v>6404.673333333335</c:v>
                </c:pt>
                <c:pt idx="755">
                  <c:v>6404.673333333335</c:v>
                </c:pt>
                <c:pt idx="756">
                  <c:v>6404.673333333335</c:v>
                </c:pt>
                <c:pt idx="757">
                  <c:v>6404.673333333335</c:v>
                </c:pt>
                <c:pt idx="758">
                  <c:v>6404.673333333335</c:v>
                </c:pt>
                <c:pt idx="759">
                  <c:v>6404.673333333335</c:v>
                </c:pt>
                <c:pt idx="760">
                  <c:v>6404.673333333335</c:v>
                </c:pt>
                <c:pt idx="761">
                  <c:v>6628.673333333335</c:v>
                </c:pt>
                <c:pt idx="762">
                  <c:v>6628.673333333335</c:v>
                </c:pt>
                <c:pt idx="763">
                  <c:v>6628.673333333335</c:v>
                </c:pt>
                <c:pt idx="764">
                  <c:v>6916.673333333335</c:v>
                </c:pt>
                <c:pt idx="765">
                  <c:v>6916.673333333335</c:v>
                </c:pt>
                <c:pt idx="766">
                  <c:v>6916.673333333335</c:v>
                </c:pt>
                <c:pt idx="767">
                  <c:v>6916.673333333335</c:v>
                </c:pt>
                <c:pt idx="768">
                  <c:v>6916.673333333335</c:v>
                </c:pt>
                <c:pt idx="769">
                  <c:v>6916.673333333335</c:v>
                </c:pt>
                <c:pt idx="770">
                  <c:v>6916.673333333335</c:v>
                </c:pt>
                <c:pt idx="771">
                  <c:v>6916.673333333335</c:v>
                </c:pt>
                <c:pt idx="772">
                  <c:v>6916.673333333335</c:v>
                </c:pt>
                <c:pt idx="773">
                  <c:v>6916.673333333335</c:v>
                </c:pt>
                <c:pt idx="774">
                  <c:v>6916.673333333335</c:v>
                </c:pt>
                <c:pt idx="775">
                  <c:v>6916.673333333335</c:v>
                </c:pt>
                <c:pt idx="776">
                  <c:v>6916.673333333335</c:v>
                </c:pt>
                <c:pt idx="777">
                  <c:v>6916.673333333335</c:v>
                </c:pt>
                <c:pt idx="778">
                  <c:v>6916.673333333335</c:v>
                </c:pt>
                <c:pt idx="779">
                  <c:v>6916.673333333335</c:v>
                </c:pt>
                <c:pt idx="780">
                  <c:v>6916.673333333335</c:v>
                </c:pt>
                <c:pt idx="781">
                  <c:v>6916.673333333335</c:v>
                </c:pt>
                <c:pt idx="782">
                  <c:v>6916.673333333335</c:v>
                </c:pt>
                <c:pt idx="783">
                  <c:v>6916.673333333335</c:v>
                </c:pt>
                <c:pt idx="784">
                  <c:v>6916.673333333335</c:v>
                </c:pt>
                <c:pt idx="785">
                  <c:v>6916.673333333335</c:v>
                </c:pt>
                <c:pt idx="786">
                  <c:v>6916.673333333335</c:v>
                </c:pt>
                <c:pt idx="787">
                  <c:v>6916.673333333335</c:v>
                </c:pt>
                <c:pt idx="788">
                  <c:v>6916.673333333335</c:v>
                </c:pt>
                <c:pt idx="789">
                  <c:v>6916.673333333335</c:v>
                </c:pt>
                <c:pt idx="790">
                  <c:v>6916.673333333335</c:v>
                </c:pt>
                <c:pt idx="791">
                  <c:v>6916.673333333335</c:v>
                </c:pt>
                <c:pt idx="792">
                  <c:v>7204.673333333335</c:v>
                </c:pt>
                <c:pt idx="793">
                  <c:v>7204.673333333335</c:v>
                </c:pt>
                <c:pt idx="794">
                  <c:v>7204.673333333335</c:v>
                </c:pt>
                <c:pt idx="795">
                  <c:v>7204.673333333335</c:v>
                </c:pt>
                <c:pt idx="796">
                  <c:v>7204.673333333335</c:v>
                </c:pt>
                <c:pt idx="797">
                  <c:v>7204.673333333335</c:v>
                </c:pt>
                <c:pt idx="798">
                  <c:v>7204.673333333335</c:v>
                </c:pt>
                <c:pt idx="799">
                  <c:v>7204.673333333335</c:v>
                </c:pt>
                <c:pt idx="800">
                  <c:v>7204.673333333335</c:v>
                </c:pt>
                <c:pt idx="801">
                  <c:v>7204.673333333335</c:v>
                </c:pt>
                <c:pt idx="802">
                  <c:v>7204.673333333335</c:v>
                </c:pt>
                <c:pt idx="803">
                  <c:v>7204.673333333335</c:v>
                </c:pt>
                <c:pt idx="804">
                  <c:v>7204.673333333335</c:v>
                </c:pt>
                <c:pt idx="805">
                  <c:v>7204.673333333335</c:v>
                </c:pt>
                <c:pt idx="806">
                  <c:v>7204.673333333335</c:v>
                </c:pt>
                <c:pt idx="807">
                  <c:v>7204.673333333335</c:v>
                </c:pt>
                <c:pt idx="808">
                  <c:v>7204.673333333335</c:v>
                </c:pt>
                <c:pt idx="809">
                  <c:v>7204.673333333335</c:v>
                </c:pt>
                <c:pt idx="810">
                  <c:v>7204.673333333335</c:v>
                </c:pt>
                <c:pt idx="811">
                  <c:v>7204.673333333335</c:v>
                </c:pt>
                <c:pt idx="812">
                  <c:v>7204.673333333335</c:v>
                </c:pt>
                <c:pt idx="813">
                  <c:v>7524.673333333335</c:v>
                </c:pt>
                <c:pt idx="814">
                  <c:v>7524.673333333335</c:v>
                </c:pt>
                <c:pt idx="815">
                  <c:v>7524.673333333335</c:v>
                </c:pt>
                <c:pt idx="816">
                  <c:v>7524.673333333335</c:v>
                </c:pt>
                <c:pt idx="817">
                  <c:v>7524.673333333335</c:v>
                </c:pt>
                <c:pt idx="818">
                  <c:v>7524.673333333335</c:v>
                </c:pt>
                <c:pt idx="819">
                  <c:v>8228.6733333333359</c:v>
                </c:pt>
                <c:pt idx="820">
                  <c:v>8228.6733333333359</c:v>
                </c:pt>
                <c:pt idx="821">
                  <c:v>8228.6733333333359</c:v>
                </c:pt>
                <c:pt idx="822">
                  <c:v>8228.6733333333359</c:v>
                </c:pt>
                <c:pt idx="823">
                  <c:v>8228.6733333333359</c:v>
                </c:pt>
                <c:pt idx="824">
                  <c:v>8228.6733333333359</c:v>
                </c:pt>
                <c:pt idx="825">
                  <c:v>8228.6733333333359</c:v>
                </c:pt>
                <c:pt idx="826">
                  <c:v>8228.6733333333359</c:v>
                </c:pt>
                <c:pt idx="827">
                  <c:v>8228.6733333333359</c:v>
                </c:pt>
                <c:pt idx="828">
                  <c:v>8228.6733333333359</c:v>
                </c:pt>
                <c:pt idx="829">
                  <c:v>8228.6733333333359</c:v>
                </c:pt>
                <c:pt idx="830">
                  <c:v>8228.6733333333359</c:v>
                </c:pt>
                <c:pt idx="831">
                  <c:v>8228.6733333333359</c:v>
                </c:pt>
                <c:pt idx="832">
                  <c:v>8228.6733333333359</c:v>
                </c:pt>
                <c:pt idx="833">
                  <c:v>8228.6733333333359</c:v>
                </c:pt>
                <c:pt idx="834">
                  <c:v>8228.6733333333359</c:v>
                </c:pt>
                <c:pt idx="835">
                  <c:v>8228.6733333333359</c:v>
                </c:pt>
                <c:pt idx="836">
                  <c:v>8228.6733333333359</c:v>
                </c:pt>
                <c:pt idx="837">
                  <c:v>8228.6733333333359</c:v>
                </c:pt>
                <c:pt idx="838">
                  <c:v>8228.6733333333359</c:v>
                </c:pt>
                <c:pt idx="839">
                  <c:v>8228.6733333333359</c:v>
                </c:pt>
                <c:pt idx="840">
                  <c:v>8228.6733333333359</c:v>
                </c:pt>
                <c:pt idx="841">
                  <c:v>8228.6733333333359</c:v>
                </c:pt>
                <c:pt idx="842">
                  <c:v>8228.6733333333359</c:v>
                </c:pt>
                <c:pt idx="843">
                  <c:v>8228.6733333333359</c:v>
                </c:pt>
                <c:pt idx="844">
                  <c:v>8228.6733333333359</c:v>
                </c:pt>
                <c:pt idx="845">
                  <c:v>8228.6733333333359</c:v>
                </c:pt>
                <c:pt idx="846">
                  <c:v>8228.6733333333359</c:v>
                </c:pt>
                <c:pt idx="847">
                  <c:v>8228.6733333333359</c:v>
                </c:pt>
                <c:pt idx="848">
                  <c:v>8228.6733333333359</c:v>
                </c:pt>
                <c:pt idx="849">
                  <c:v>8228.6733333333359</c:v>
                </c:pt>
                <c:pt idx="850">
                  <c:v>8228.6733333333359</c:v>
                </c:pt>
                <c:pt idx="851">
                  <c:v>8228.6733333333359</c:v>
                </c:pt>
                <c:pt idx="852">
                  <c:v>8228.6733333333359</c:v>
                </c:pt>
                <c:pt idx="853">
                  <c:v>8228.6733333333359</c:v>
                </c:pt>
                <c:pt idx="854">
                  <c:v>8228.6733333333359</c:v>
                </c:pt>
                <c:pt idx="855">
                  <c:v>8228.6733333333359</c:v>
                </c:pt>
                <c:pt idx="856">
                  <c:v>8228.6733333333359</c:v>
                </c:pt>
                <c:pt idx="857">
                  <c:v>8228.6733333333359</c:v>
                </c:pt>
                <c:pt idx="858">
                  <c:v>8228.6733333333359</c:v>
                </c:pt>
                <c:pt idx="859">
                  <c:v>8228.6733333333359</c:v>
                </c:pt>
                <c:pt idx="860">
                  <c:v>8228.6733333333359</c:v>
                </c:pt>
                <c:pt idx="861">
                  <c:v>8228.6733333333359</c:v>
                </c:pt>
                <c:pt idx="862">
                  <c:v>8468.6733333333359</c:v>
                </c:pt>
                <c:pt idx="863">
                  <c:v>8468.6733333333359</c:v>
                </c:pt>
                <c:pt idx="864">
                  <c:v>8468.6733333333359</c:v>
                </c:pt>
                <c:pt idx="865">
                  <c:v>8468.6733333333359</c:v>
                </c:pt>
                <c:pt idx="866">
                  <c:v>8468.6733333333359</c:v>
                </c:pt>
                <c:pt idx="867">
                  <c:v>8468.6733333333359</c:v>
                </c:pt>
                <c:pt idx="868">
                  <c:v>8468.6733333333359</c:v>
                </c:pt>
                <c:pt idx="869">
                  <c:v>8468.6733333333359</c:v>
                </c:pt>
                <c:pt idx="870">
                  <c:v>8468.6733333333359</c:v>
                </c:pt>
                <c:pt idx="871">
                  <c:v>8468.6733333333359</c:v>
                </c:pt>
                <c:pt idx="872">
                  <c:v>8468.6733333333359</c:v>
                </c:pt>
                <c:pt idx="873">
                  <c:v>8468.6733333333359</c:v>
                </c:pt>
                <c:pt idx="874">
                  <c:v>8820.6733333333359</c:v>
                </c:pt>
                <c:pt idx="875">
                  <c:v>8820.6733333333359</c:v>
                </c:pt>
                <c:pt idx="876">
                  <c:v>8820.6733333333359</c:v>
                </c:pt>
                <c:pt idx="877">
                  <c:v>8820.6733333333359</c:v>
                </c:pt>
                <c:pt idx="878">
                  <c:v>8820.6733333333359</c:v>
                </c:pt>
                <c:pt idx="879">
                  <c:v>8820.6733333333359</c:v>
                </c:pt>
                <c:pt idx="880">
                  <c:v>8820.6733333333359</c:v>
                </c:pt>
                <c:pt idx="881">
                  <c:v>8820.6733333333359</c:v>
                </c:pt>
                <c:pt idx="882">
                  <c:v>8820.6733333333359</c:v>
                </c:pt>
                <c:pt idx="883">
                  <c:v>8820.6733333333359</c:v>
                </c:pt>
                <c:pt idx="884">
                  <c:v>8820.6733333333359</c:v>
                </c:pt>
                <c:pt idx="885">
                  <c:v>8820.6733333333359</c:v>
                </c:pt>
                <c:pt idx="886">
                  <c:v>8820.6733333333359</c:v>
                </c:pt>
                <c:pt idx="887">
                  <c:v>8820.6733333333359</c:v>
                </c:pt>
                <c:pt idx="888">
                  <c:v>8820.6733333333359</c:v>
                </c:pt>
                <c:pt idx="889">
                  <c:v>8820.6733333333359</c:v>
                </c:pt>
                <c:pt idx="890">
                  <c:v>9060.6733333333359</c:v>
                </c:pt>
                <c:pt idx="891">
                  <c:v>9060.6733333333359</c:v>
                </c:pt>
                <c:pt idx="892">
                  <c:v>9060.6733333333359</c:v>
                </c:pt>
                <c:pt idx="893">
                  <c:v>9060.6733333333359</c:v>
                </c:pt>
                <c:pt idx="894">
                  <c:v>9060.6733333333359</c:v>
                </c:pt>
                <c:pt idx="895">
                  <c:v>9060.6733333333359</c:v>
                </c:pt>
                <c:pt idx="896">
                  <c:v>9060.6733333333359</c:v>
                </c:pt>
                <c:pt idx="897">
                  <c:v>9060.6733333333359</c:v>
                </c:pt>
                <c:pt idx="898">
                  <c:v>9060.6733333333359</c:v>
                </c:pt>
                <c:pt idx="899">
                  <c:v>9060.6733333333359</c:v>
                </c:pt>
                <c:pt idx="900">
                  <c:v>9060.6733333333359</c:v>
                </c:pt>
                <c:pt idx="901">
                  <c:v>9060.6733333333359</c:v>
                </c:pt>
                <c:pt idx="902">
                  <c:v>9060.6733333333359</c:v>
                </c:pt>
                <c:pt idx="903">
                  <c:v>9060.6733333333359</c:v>
                </c:pt>
                <c:pt idx="904">
                  <c:v>9060.6733333333359</c:v>
                </c:pt>
                <c:pt idx="905">
                  <c:v>9060.6733333333359</c:v>
                </c:pt>
                <c:pt idx="906">
                  <c:v>9060.6733333333359</c:v>
                </c:pt>
                <c:pt idx="907">
                  <c:v>9060.6733333333359</c:v>
                </c:pt>
                <c:pt idx="908">
                  <c:v>9060.6733333333359</c:v>
                </c:pt>
                <c:pt idx="909">
                  <c:v>9060.6733333333359</c:v>
                </c:pt>
                <c:pt idx="910">
                  <c:v>9060.6733333333359</c:v>
                </c:pt>
                <c:pt idx="911">
                  <c:v>9060.6733333333359</c:v>
                </c:pt>
                <c:pt idx="912">
                  <c:v>9060.6733333333359</c:v>
                </c:pt>
                <c:pt idx="913">
                  <c:v>9060.6733333333359</c:v>
                </c:pt>
                <c:pt idx="914">
                  <c:v>9060.6733333333359</c:v>
                </c:pt>
                <c:pt idx="915">
                  <c:v>9060.6733333333359</c:v>
                </c:pt>
                <c:pt idx="916">
                  <c:v>9060.6733333333359</c:v>
                </c:pt>
                <c:pt idx="917">
                  <c:v>9060.6733333333359</c:v>
                </c:pt>
                <c:pt idx="918">
                  <c:v>9060.6733333333359</c:v>
                </c:pt>
                <c:pt idx="919">
                  <c:v>9060.6733333333359</c:v>
                </c:pt>
                <c:pt idx="920">
                  <c:v>9060.6733333333359</c:v>
                </c:pt>
                <c:pt idx="921">
                  <c:v>9060.6733333333359</c:v>
                </c:pt>
                <c:pt idx="922">
                  <c:v>9060.6733333333359</c:v>
                </c:pt>
                <c:pt idx="923">
                  <c:v>9060.6733333333359</c:v>
                </c:pt>
                <c:pt idx="924">
                  <c:v>9060.6733333333359</c:v>
                </c:pt>
                <c:pt idx="925">
                  <c:v>9060.6733333333359</c:v>
                </c:pt>
                <c:pt idx="926">
                  <c:v>9060.6733333333359</c:v>
                </c:pt>
                <c:pt idx="927">
                  <c:v>8116.6733333333359</c:v>
                </c:pt>
                <c:pt idx="928">
                  <c:v>8116.6733333333359</c:v>
                </c:pt>
                <c:pt idx="929">
                  <c:v>8116.6733333333359</c:v>
                </c:pt>
                <c:pt idx="930">
                  <c:v>8116.6733333333359</c:v>
                </c:pt>
                <c:pt idx="931">
                  <c:v>8116.6733333333359</c:v>
                </c:pt>
                <c:pt idx="932">
                  <c:v>8116.6733333333359</c:v>
                </c:pt>
                <c:pt idx="933">
                  <c:v>8116.6733333333359</c:v>
                </c:pt>
                <c:pt idx="934">
                  <c:v>8116.6733333333359</c:v>
                </c:pt>
                <c:pt idx="935">
                  <c:v>8116.6733333333359</c:v>
                </c:pt>
                <c:pt idx="936">
                  <c:v>8116.6733333333359</c:v>
                </c:pt>
                <c:pt idx="937">
                  <c:v>8116.6733333333359</c:v>
                </c:pt>
                <c:pt idx="938">
                  <c:v>8116.6733333333359</c:v>
                </c:pt>
                <c:pt idx="939">
                  <c:v>8116.6733333333359</c:v>
                </c:pt>
                <c:pt idx="940">
                  <c:v>8148.6733333333359</c:v>
                </c:pt>
                <c:pt idx="941">
                  <c:v>8148.6733333333359</c:v>
                </c:pt>
                <c:pt idx="942">
                  <c:v>8148.6733333333359</c:v>
                </c:pt>
                <c:pt idx="943">
                  <c:v>8148.6733333333359</c:v>
                </c:pt>
                <c:pt idx="944">
                  <c:v>8148.6733333333359</c:v>
                </c:pt>
                <c:pt idx="945">
                  <c:v>8148.6733333333359</c:v>
                </c:pt>
                <c:pt idx="946">
                  <c:v>8148.6733333333359</c:v>
                </c:pt>
                <c:pt idx="947">
                  <c:v>8468.6733333333359</c:v>
                </c:pt>
                <c:pt idx="948">
                  <c:v>8468.6733333333359</c:v>
                </c:pt>
                <c:pt idx="949">
                  <c:v>8468.6733333333359</c:v>
                </c:pt>
                <c:pt idx="950">
                  <c:v>8468.6733333333359</c:v>
                </c:pt>
                <c:pt idx="951">
                  <c:v>8468.6733333333359</c:v>
                </c:pt>
                <c:pt idx="952">
                  <c:v>8468.6733333333359</c:v>
                </c:pt>
                <c:pt idx="953">
                  <c:v>8468.6733333333359</c:v>
                </c:pt>
                <c:pt idx="954">
                  <c:v>8468.6733333333359</c:v>
                </c:pt>
                <c:pt idx="955">
                  <c:v>8468.6733333333359</c:v>
                </c:pt>
                <c:pt idx="956">
                  <c:v>8468.6733333333359</c:v>
                </c:pt>
                <c:pt idx="957">
                  <c:v>8468.6733333333359</c:v>
                </c:pt>
                <c:pt idx="958">
                  <c:v>8468.6733333333359</c:v>
                </c:pt>
                <c:pt idx="959">
                  <c:v>8468.6733333333359</c:v>
                </c:pt>
                <c:pt idx="960">
                  <c:v>8468.6733333333359</c:v>
                </c:pt>
                <c:pt idx="961">
                  <c:v>8468.6733333333359</c:v>
                </c:pt>
                <c:pt idx="962">
                  <c:v>8468.6733333333359</c:v>
                </c:pt>
                <c:pt idx="963">
                  <c:v>8468.6733333333359</c:v>
                </c:pt>
                <c:pt idx="964">
                  <c:v>8468.6733333333359</c:v>
                </c:pt>
                <c:pt idx="965">
                  <c:v>8484.6733333333214</c:v>
                </c:pt>
                <c:pt idx="966">
                  <c:v>8484.6733333333214</c:v>
                </c:pt>
                <c:pt idx="967">
                  <c:v>8484.6733333333214</c:v>
                </c:pt>
                <c:pt idx="968">
                  <c:v>8484.6733333333214</c:v>
                </c:pt>
                <c:pt idx="969">
                  <c:v>8484.6733333333214</c:v>
                </c:pt>
                <c:pt idx="970">
                  <c:v>8484.6733333333214</c:v>
                </c:pt>
                <c:pt idx="971">
                  <c:v>8484.6733333333214</c:v>
                </c:pt>
                <c:pt idx="972">
                  <c:v>8484.6733333333214</c:v>
                </c:pt>
                <c:pt idx="973">
                  <c:v>8484.6733333333214</c:v>
                </c:pt>
                <c:pt idx="974">
                  <c:v>8484.6733333333214</c:v>
                </c:pt>
                <c:pt idx="975">
                  <c:v>8484.6733333333214</c:v>
                </c:pt>
                <c:pt idx="976">
                  <c:v>8484.6733333333214</c:v>
                </c:pt>
                <c:pt idx="977">
                  <c:v>8484.6733333333214</c:v>
                </c:pt>
                <c:pt idx="978">
                  <c:v>8484.6733333333214</c:v>
                </c:pt>
                <c:pt idx="979">
                  <c:v>8484.6733333333214</c:v>
                </c:pt>
                <c:pt idx="980">
                  <c:v>8484.6733333333214</c:v>
                </c:pt>
                <c:pt idx="981">
                  <c:v>8484.6733333333214</c:v>
                </c:pt>
                <c:pt idx="982">
                  <c:v>8484.6733333333214</c:v>
                </c:pt>
                <c:pt idx="983">
                  <c:v>8484.6733333333214</c:v>
                </c:pt>
                <c:pt idx="984">
                  <c:v>8484.6733333333214</c:v>
                </c:pt>
                <c:pt idx="985">
                  <c:v>8484.6733333333214</c:v>
                </c:pt>
                <c:pt idx="986">
                  <c:v>8484.6733333333214</c:v>
                </c:pt>
                <c:pt idx="987">
                  <c:v>8484.6733333333214</c:v>
                </c:pt>
                <c:pt idx="988">
                  <c:v>8484.6733333333214</c:v>
                </c:pt>
                <c:pt idx="989">
                  <c:v>8484.6733333333214</c:v>
                </c:pt>
                <c:pt idx="990">
                  <c:v>8484.6733333333214</c:v>
                </c:pt>
                <c:pt idx="991">
                  <c:v>8484.6733333333214</c:v>
                </c:pt>
                <c:pt idx="992">
                  <c:v>8484.6733333333214</c:v>
                </c:pt>
                <c:pt idx="993">
                  <c:v>8484.6733333333214</c:v>
                </c:pt>
                <c:pt idx="994">
                  <c:v>8484.6733333333214</c:v>
                </c:pt>
                <c:pt idx="995">
                  <c:v>8484.6733333333214</c:v>
                </c:pt>
                <c:pt idx="996">
                  <c:v>8484.6733333333214</c:v>
                </c:pt>
                <c:pt idx="997">
                  <c:v>8484.6733333333214</c:v>
                </c:pt>
                <c:pt idx="998">
                  <c:v>8484.6733333333214</c:v>
                </c:pt>
                <c:pt idx="999">
                  <c:v>8484.6733333333214</c:v>
                </c:pt>
                <c:pt idx="1000">
                  <c:v>8484.6733333333214</c:v>
                </c:pt>
                <c:pt idx="1001">
                  <c:v>8484.6733333333214</c:v>
                </c:pt>
                <c:pt idx="1002">
                  <c:v>8484.6733333333214</c:v>
                </c:pt>
                <c:pt idx="1003">
                  <c:v>8484.6733333333214</c:v>
                </c:pt>
                <c:pt idx="1004">
                  <c:v>8484.6733333333214</c:v>
                </c:pt>
                <c:pt idx="1005">
                  <c:v>8484.6733333333214</c:v>
                </c:pt>
                <c:pt idx="1006">
                  <c:v>8484.6733333333214</c:v>
                </c:pt>
                <c:pt idx="1007">
                  <c:v>8484.6733333333214</c:v>
                </c:pt>
                <c:pt idx="1008">
                  <c:v>8484.6733333333214</c:v>
                </c:pt>
                <c:pt idx="1009">
                  <c:v>8484.6733333333214</c:v>
                </c:pt>
                <c:pt idx="1010">
                  <c:v>8484.6733333333214</c:v>
                </c:pt>
                <c:pt idx="1011">
                  <c:v>8484.6733333333214</c:v>
                </c:pt>
                <c:pt idx="1012">
                  <c:v>8484.6733333333214</c:v>
                </c:pt>
                <c:pt idx="1013">
                  <c:v>8484.6733333333214</c:v>
                </c:pt>
                <c:pt idx="1014">
                  <c:v>8484.6733333333214</c:v>
                </c:pt>
                <c:pt idx="1015">
                  <c:v>8484.6733333333214</c:v>
                </c:pt>
                <c:pt idx="1016">
                  <c:v>8484.6733333333214</c:v>
                </c:pt>
                <c:pt idx="1017">
                  <c:v>8484.6733333333214</c:v>
                </c:pt>
                <c:pt idx="1018">
                  <c:v>8484.6733333333214</c:v>
                </c:pt>
                <c:pt idx="1019">
                  <c:v>8484.6733333333214</c:v>
                </c:pt>
                <c:pt idx="1020">
                  <c:v>8484.6733333333214</c:v>
                </c:pt>
                <c:pt idx="1021">
                  <c:v>8484.6733333333214</c:v>
                </c:pt>
                <c:pt idx="1022">
                  <c:v>8484.6733333333214</c:v>
                </c:pt>
                <c:pt idx="1023">
                  <c:v>8484.6733333333214</c:v>
                </c:pt>
                <c:pt idx="1024">
                  <c:v>8484.6733333333214</c:v>
                </c:pt>
                <c:pt idx="1025">
                  <c:v>8484.6733333333214</c:v>
                </c:pt>
                <c:pt idx="1026">
                  <c:v>8484.6733333333214</c:v>
                </c:pt>
                <c:pt idx="1027">
                  <c:v>8484.6733333333214</c:v>
                </c:pt>
                <c:pt idx="1028">
                  <c:v>8484.6733333333214</c:v>
                </c:pt>
                <c:pt idx="1029">
                  <c:v>8676.6733333333214</c:v>
                </c:pt>
                <c:pt idx="1030">
                  <c:v>8900.6733333333214</c:v>
                </c:pt>
                <c:pt idx="1031">
                  <c:v>9284.6733333333214</c:v>
                </c:pt>
                <c:pt idx="1032">
                  <c:v>9284.6733333333214</c:v>
                </c:pt>
                <c:pt idx="1033">
                  <c:v>9284.6733333333214</c:v>
                </c:pt>
                <c:pt idx="1034">
                  <c:v>9284.6733333333214</c:v>
                </c:pt>
                <c:pt idx="1035">
                  <c:v>9284.6733333333214</c:v>
                </c:pt>
                <c:pt idx="1036">
                  <c:v>9396.6733333333214</c:v>
                </c:pt>
                <c:pt idx="1037">
                  <c:v>9396.6733333333214</c:v>
                </c:pt>
                <c:pt idx="1038">
                  <c:v>9396.6733333333214</c:v>
                </c:pt>
                <c:pt idx="1039">
                  <c:v>9396.6733333333214</c:v>
                </c:pt>
                <c:pt idx="1040">
                  <c:v>9396.6733333333214</c:v>
                </c:pt>
                <c:pt idx="1041">
                  <c:v>9396.6733333333214</c:v>
                </c:pt>
                <c:pt idx="1042">
                  <c:v>9396.6733333333214</c:v>
                </c:pt>
                <c:pt idx="1043">
                  <c:v>9396.6733333333214</c:v>
                </c:pt>
                <c:pt idx="1044">
                  <c:v>9396.6733333333214</c:v>
                </c:pt>
                <c:pt idx="1045">
                  <c:v>9396.6733333333214</c:v>
                </c:pt>
                <c:pt idx="1046">
                  <c:v>9396.6733333333214</c:v>
                </c:pt>
                <c:pt idx="1047">
                  <c:v>9396.6733333333214</c:v>
                </c:pt>
                <c:pt idx="1048">
                  <c:v>9396.6733333333214</c:v>
                </c:pt>
                <c:pt idx="1049">
                  <c:v>9396.6733333333214</c:v>
                </c:pt>
                <c:pt idx="1050">
                  <c:v>9396.6733333333214</c:v>
                </c:pt>
                <c:pt idx="1051">
                  <c:v>9396.6733333333214</c:v>
                </c:pt>
                <c:pt idx="1052">
                  <c:v>9396.6733333333214</c:v>
                </c:pt>
                <c:pt idx="1053">
                  <c:v>9396.6733333333214</c:v>
                </c:pt>
                <c:pt idx="1054">
                  <c:v>9396.6733333333214</c:v>
                </c:pt>
                <c:pt idx="1055">
                  <c:v>9396.6733333333214</c:v>
                </c:pt>
                <c:pt idx="1056">
                  <c:v>9396.6733333333214</c:v>
                </c:pt>
                <c:pt idx="1057">
                  <c:v>9396.6733333333214</c:v>
                </c:pt>
                <c:pt idx="1058">
                  <c:v>9396.6733333333214</c:v>
                </c:pt>
                <c:pt idx="1059">
                  <c:v>9396.6733333333214</c:v>
                </c:pt>
                <c:pt idx="1060">
                  <c:v>9396.6733333333214</c:v>
                </c:pt>
                <c:pt idx="1061">
                  <c:v>9396.6733333333214</c:v>
                </c:pt>
                <c:pt idx="1062">
                  <c:v>9396.6733333333214</c:v>
                </c:pt>
                <c:pt idx="1063">
                  <c:v>9396.6733333333214</c:v>
                </c:pt>
                <c:pt idx="1064">
                  <c:v>9396.6733333333214</c:v>
                </c:pt>
                <c:pt idx="1065">
                  <c:v>9396.6733333333214</c:v>
                </c:pt>
                <c:pt idx="1066">
                  <c:v>9396.6733333333214</c:v>
                </c:pt>
                <c:pt idx="1067">
                  <c:v>9396.6733333333214</c:v>
                </c:pt>
                <c:pt idx="1068">
                  <c:v>9012.6733333333214</c:v>
                </c:pt>
                <c:pt idx="1069">
                  <c:v>9012.6733333333214</c:v>
                </c:pt>
                <c:pt idx="1070">
                  <c:v>9012.6733333333214</c:v>
                </c:pt>
                <c:pt idx="1071">
                  <c:v>9012.6733333333214</c:v>
                </c:pt>
                <c:pt idx="1072">
                  <c:v>9012.6733333333214</c:v>
                </c:pt>
                <c:pt idx="1073">
                  <c:v>9012.6733333333214</c:v>
                </c:pt>
                <c:pt idx="1074">
                  <c:v>9012.6733333333214</c:v>
                </c:pt>
                <c:pt idx="1075">
                  <c:v>9012.6733333333214</c:v>
                </c:pt>
                <c:pt idx="1076">
                  <c:v>9012.6733333333214</c:v>
                </c:pt>
                <c:pt idx="1077">
                  <c:v>9012.6733333333214</c:v>
                </c:pt>
                <c:pt idx="1078">
                  <c:v>9012.6733333333214</c:v>
                </c:pt>
                <c:pt idx="1079">
                  <c:v>9012.6733333333214</c:v>
                </c:pt>
                <c:pt idx="1080">
                  <c:v>9012.6733333333214</c:v>
                </c:pt>
                <c:pt idx="1081">
                  <c:v>9012.6733333333214</c:v>
                </c:pt>
                <c:pt idx="1082">
                  <c:v>9140.6733333333214</c:v>
                </c:pt>
                <c:pt idx="1083">
                  <c:v>9140.6733333333214</c:v>
                </c:pt>
                <c:pt idx="1084">
                  <c:v>9332.6733333333214</c:v>
                </c:pt>
                <c:pt idx="1085">
                  <c:v>9524.6733333333214</c:v>
                </c:pt>
                <c:pt idx="1086">
                  <c:v>9524.6733333333214</c:v>
                </c:pt>
                <c:pt idx="1087">
                  <c:v>9524.6733333333214</c:v>
                </c:pt>
                <c:pt idx="1088">
                  <c:v>9524.6733333333214</c:v>
                </c:pt>
                <c:pt idx="1089">
                  <c:v>9524.6733333333214</c:v>
                </c:pt>
                <c:pt idx="1090">
                  <c:v>9524.6733333333214</c:v>
                </c:pt>
                <c:pt idx="1091">
                  <c:v>9524.6733333333214</c:v>
                </c:pt>
                <c:pt idx="1092">
                  <c:v>9524.6733333333214</c:v>
                </c:pt>
                <c:pt idx="1093">
                  <c:v>9524.6733333333214</c:v>
                </c:pt>
                <c:pt idx="1094">
                  <c:v>9524.6733333333214</c:v>
                </c:pt>
                <c:pt idx="1095">
                  <c:v>9524.6733333333214</c:v>
                </c:pt>
                <c:pt idx="1096">
                  <c:v>9524.6733333333214</c:v>
                </c:pt>
                <c:pt idx="1097">
                  <c:v>9844.6733333333214</c:v>
                </c:pt>
                <c:pt idx="1098">
                  <c:v>9844.6733333333214</c:v>
                </c:pt>
                <c:pt idx="1099">
                  <c:v>9844.6733333333214</c:v>
                </c:pt>
                <c:pt idx="1100">
                  <c:v>9844.6733333333214</c:v>
                </c:pt>
                <c:pt idx="1101">
                  <c:v>9844.6733333333214</c:v>
                </c:pt>
                <c:pt idx="1102">
                  <c:v>9844.6733333333214</c:v>
                </c:pt>
                <c:pt idx="1103">
                  <c:v>9844.6733333333214</c:v>
                </c:pt>
                <c:pt idx="1104">
                  <c:v>10612.673333333321</c:v>
                </c:pt>
                <c:pt idx="1105">
                  <c:v>10644.673333333321</c:v>
                </c:pt>
                <c:pt idx="1106">
                  <c:v>10644.673333333321</c:v>
                </c:pt>
                <c:pt idx="1107">
                  <c:v>10644.673333333321</c:v>
                </c:pt>
                <c:pt idx="1108">
                  <c:v>10644.673333333321</c:v>
                </c:pt>
                <c:pt idx="1109">
                  <c:v>10708.673333333321</c:v>
                </c:pt>
                <c:pt idx="1110">
                  <c:v>10708.673333333321</c:v>
                </c:pt>
                <c:pt idx="1111">
                  <c:v>10708.673333333321</c:v>
                </c:pt>
                <c:pt idx="1112">
                  <c:v>10708.673333333321</c:v>
                </c:pt>
                <c:pt idx="1113">
                  <c:v>10708.673333333321</c:v>
                </c:pt>
                <c:pt idx="1114">
                  <c:v>10708.673333333321</c:v>
                </c:pt>
                <c:pt idx="1115">
                  <c:v>10708.673333333321</c:v>
                </c:pt>
                <c:pt idx="1116">
                  <c:v>10708.673333333321</c:v>
                </c:pt>
                <c:pt idx="1117">
                  <c:v>10708.673333333321</c:v>
                </c:pt>
                <c:pt idx="1118">
                  <c:v>10964.673333333321</c:v>
                </c:pt>
                <c:pt idx="1119">
                  <c:v>10964.673333333321</c:v>
                </c:pt>
                <c:pt idx="1120">
                  <c:v>10964.673333333321</c:v>
                </c:pt>
                <c:pt idx="1121">
                  <c:v>10964.673333333321</c:v>
                </c:pt>
                <c:pt idx="1122">
                  <c:v>10964.673333333321</c:v>
                </c:pt>
                <c:pt idx="1123">
                  <c:v>10964.673333333321</c:v>
                </c:pt>
                <c:pt idx="1124">
                  <c:v>10964.673333333321</c:v>
                </c:pt>
                <c:pt idx="1125">
                  <c:v>10964.673333333321</c:v>
                </c:pt>
                <c:pt idx="1126">
                  <c:v>10964.673333333321</c:v>
                </c:pt>
                <c:pt idx="1127">
                  <c:v>10964.673333333321</c:v>
                </c:pt>
                <c:pt idx="1128">
                  <c:v>10964.673333333321</c:v>
                </c:pt>
                <c:pt idx="1129">
                  <c:v>12010.006666666655</c:v>
                </c:pt>
                <c:pt idx="1130">
                  <c:v>12010.006666666655</c:v>
                </c:pt>
                <c:pt idx="1131">
                  <c:v>12931.606666666656</c:v>
                </c:pt>
                <c:pt idx="1132">
                  <c:v>12931.606666666656</c:v>
                </c:pt>
                <c:pt idx="1133">
                  <c:v>12931.606666666656</c:v>
                </c:pt>
                <c:pt idx="1134">
                  <c:v>12931.606666666656</c:v>
                </c:pt>
                <c:pt idx="1135">
                  <c:v>12931.606666666656</c:v>
                </c:pt>
                <c:pt idx="1136">
                  <c:v>12931.606666666656</c:v>
                </c:pt>
                <c:pt idx="1137">
                  <c:v>12931.606666666656</c:v>
                </c:pt>
                <c:pt idx="1138">
                  <c:v>12931.606666666656</c:v>
                </c:pt>
                <c:pt idx="1139">
                  <c:v>12931.606666666656</c:v>
                </c:pt>
                <c:pt idx="1140">
                  <c:v>12931.606666666656</c:v>
                </c:pt>
                <c:pt idx="1141">
                  <c:v>12931.606666666656</c:v>
                </c:pt>
                <c:pt idx="1142">
                  <c:v>12931.606666666656</c:v>
                </c:pt>
                <c:pt idx="1143">
                  <c:v>12931.606666666656</c:v>
                </c:pt>
                <c:pt idx="1144">
                  <c:v>12931.606666666656</c:v>
                </c:pt>
                <c:pt idx="1145">
                  <c:v>12931.606666666656</c:v>
                </c:pt>
                <c:pt idx="1146">
                  <c:v>12931.606666666656</c:v>
                </c:pt>
                <c:pt idx="1147">
                  <c:v>12931.606666666656</c:v>
                </c:pt>
                <c:pt idx="1148">
                  <c:v>12931.606666666656</c:v>
                </c:pt>
                <c:pt idx="1149">
                  <c:v>12931.606666666656</c:v>
                </c:pt>
                <c:pt idx="1150">
                  <c:v>12931.606666666656</c:v>
                </c:pt>
                <c:pt idx="1151">
                  <c:v>12931.606666666656</c:v>
                </c:pt>
                <c:pt idx="1152">
                  <c:v>12931.606666666656</c:v>
                </c:pt>
                <c:pt idx="1153">
                  <c:v>12931.606666666656</c:v>
                </c:pt>
                <c:pt idx="1154">
                  <c:v>12931.606666666656</c:v>
                </c:pt>
                <c:pt idx="1155">
                  <c:v>12931.606666666656</c:v>
                </c:pt>
                <c:pt idx="1156">
                  <c:v>12931.606666666656</c:v>
                </c:pt>
                <c:pt idx="1157">
                  <c:v>12931.606666666656</c:v>
                </c:pt>
                <c:pt idx="1158">
                  <c:v>12931.606666666656</c:v>
                </c:pt>
                <c:pt idx="1159">
                  <c:v>13123.606666666656</c:v>
                </c:pt>
                <c:pt idx="1160">
                  <c:v>13123.606666666656</c:v>
                </c:pt>
                <c:pt idx="1161">
                  <c:v>13123.606666666656</c:v>
                </c:pt>
                <c:pt idx="1162">
                  <c:v>13123.606666666656</c:v>
                </c:pt>
                <c:pt idx="1163">
                  <c:v>13123.606666666656</c:v>
                </c:pt>
                <c:pt idx="1164">
                  <c:v>13123.606666666656</c:v>
                </c:pt>
                <c:pt idx="1165">
                  <c:v>13123.606666666656</c:v>
                </c:pt>
                <c:pt idx="1166">
                  <c:v>13123.606666666656</c:v>
                </c:pt>
                <c:pt idx="1167">
                  <c:v>13123.606666666656</c:v>
                </c:pt>
                <c:pt idx="1168">
                  <c:v>13123.606666666656</c:v>
                </c:pt>
                <c:pt idx="1169">
                  <c:v>13347.606666666656</c:v>
                </c:pt>
                <c:pt idx="1170">
                  <c:v>13507.606666666656</c:v>
                </c:pt>
                <c:pt idx="1171">
                  <c:v>13699.606666666656</c:v>
                </c:pt>
                <c:pt idx="1172">
                  <c:v>13699.606666666656</c:v>
                </c:pt>
                <c:pt idx="1173">
                  <c:v>13699.606666666656</c:v>
                </c:pt>
                <c:pt idx="1174">
                  <c:v>13843.606666666656</c:v>
                </c:pt>
                <c:pt idx="1175">
                  <c:v>14035.606666666656</c:v>
                </c:pt>
                <c:pt idx="1176">
                  <c:v>14035.606666666656</c:v>
                </c:pt>
                <c:pt idx="1177">
                  <c:v>14035.606666666656</c:v>
                </c:pt>
                <c:pt idx="1178">
                  <c:v>13459.606666666656</c:v>
                </c:pt>
                <c:pt idx="1179">
                  <c:v>13459.606666666656</c:v>
                </c:pt>
                <c:pt idx="1180">
                  <c:v>13459.606666666656</c:v>
                </c:pt>
                <c:pt idx="1181">
                  <c:v>13459.606666666656</c:v>
                </c:pt>
                <c:pt idx="1182">
                  <c:v>13459.606666666656</c:v>
                </c:pt>
                <c:pt idx="1183">
                  <c:v>13459.606666666656</c:v>
                </c:pt>
                <c:pt idx="1184">
                  <c:v>13459.606666666656</c:v>
                </c:pt>
                <c:pt idx="1185">
                  <c:v>13459.606666666656</c:v>
                </c:pt>
                <c:pt idx="1186">
                  <c:v>13459.606666666656</c:v>
                </c:pt>
                <c:pt idx="1187">
                  <c:v>13459.606666666656</c:v>
                </c:pt>
                <c:pt idx="1188">
                  <c:v>13459.606666666656</c:v>
                </c:pt>
                <c:pt idx="1189">
                  <c:v>13459.606666666656</c:v>
                </c:pt>
                <c:pt idx="1190">
                  <c:v>13459.606666666656</c:v>
                </c:pt>
                <c:pt idx="1191">
                  <c:v>13459.606666666656</c:v>
                </c:pt>
                <c:pt idx="1192">
                  <c:v>13171.606666666656</c:v>
                </c:pt>
                <c:pt idx="1193">
                  <c:v>13171.606666666656</c:v>
                </c:pt>
                <c:pt idx="1194">
                  <c:v>13171.606666666656</c:v>
                </c:pt>
                <c:pt idx="1195">
                  <c:v>13171.606666666656</c:v>
                </c:pt>
                <c:pt idx="1196">
                  <c:v>13171.606666666656</c:v>
                </c:pt>
                <c:pt idx="1197">
                  <c:v>13171.606666666656</c:v>
                </c:pt>
                <c:pt idx="1198">
                  <c:v>13171.606666666656</c:v>
                </c:pt>
                <c:pt idx="1199">
                  <c:v>13171.606666666656</c:v>
                </c:pt>
                <c:pt idx="1200">
                  <c:v>13171.606666666656</c:v>
                </c:pt>
                <c:pt idx="1201">
                  <c:v>13171.606666666656</c:v>
                </c:pt>
                <c:pt idx="1202">
                  <c:v>13171.606666666656</c:v>
                </c:pt>
                <c:pt idx="1203">
                  <c:v>13171.606666666656</c:v>
                </c:pt>
                <c:pt idx="1204">
                  <c:v>13171.606666666656</c:v>
                </c:pt>
                <c:pt idx="1205">
                  <c:v>13171.606666666656</c:v>
                </c:pt>
                <c:pt idx="1206">
                  <c:v>13171.606666666656</c:v>
                </c:pt>
                <c:pt idx="1207">
                  <c:v>13171.606666666656</c:v>
                </c:pt>
                <c:pt idx="1208">
                  <c:v>13171.606666666656</c:v>
                </c:pt>
                <c:pt idx="1209">
                  <c:v>13875.606666666656</c:v>
                </c:pt>
                <c:pt idx="1210">
                  <c:v>13875.606666666656</c:v>
                </c:pt>
                <c:pt idx="1211">
                  <c:v>13875.606666666656</c:v>
                </c:pt>
                <c:pt idx="1212">
                  <c:v>13875.606666666656</c:v>
                </c:pt>
                <c:pt idx="1213">
                  <c:v>13875.606666666656</c:v>
                </c:pt>
                <c:pt idx="1214">
                  <c:v>13875.606666666656</c:v>
                </c:pt>
                <c:pt idx="1215">
                  <c:v>13875.606666666656</c:v>
                </c:pt>
                <c:pt idx="1216">
                  <c:v>13875.606666666656</c:v>
                </c:pt>
                <c:pt idx="1217">
                  <c:v>13875.606666666656</c:v>
                </c:pt>
                <c:pt idx="1218">
                  <c:v>13875.606666666656</c:v>
                </c:pt>
                <c:pt idx="1219">
                  <c:v>13875.606666666656</c:v>
                </c:pt>
                <c:pt idx="1220">
                  <c:v>13875.606666666656</c:v>
                </c:pt>
                <c:pt idx="1221">
                  <c:v>13875.606666666656</c:v>
                </c:pt>
                <c:pt idx="1222">
                  <c:v>13875.606666666656</c:v>
                </c:pt>
                <c:pt idx="1223">
                  <c:v>13875.606666666656</c:v>
                </c:pt>
                <c:pt idx="1224">
                  <c:v>13875.606666666656</c:v>
                </c:pt>
                <c:pt idx="1225">
                  <c:v>13875.606666666656</c:v>
                </c:pt>
                <c:pt idx="1226">
                  <c:v>13875.606666666656</c:v>
                </c:pt>
                <c:pt idx="1227">
                  <c:v>13875.606666666656</c:v>
                </c:pt>
                <c:pt idx="1228">
                  <c:v>13875.606666666656</c:v>
                </c:pt>
                <c:pt idx="1229">
                  <c:v>13875.606666666656</c:v>
                </c:pt>
                <c:pt idx="1230">
                  <c:v>13875.606666666656</c:v>
                </c:pt>
                <c:pt idx="1231">
                  <c:v>13875.606666666656</c:v>
                </c:pt>
                <c:pt idx="1232">
                  <c:v>13875.606666666656</c:v>
                </c:pt>
                <c:pt idx="1233">
                  <c:v>13875.606666666656</c:v>
                </c:pt>
                <c:pt idx="1234">
                  <c:v>13875.606666666656</c:v>
                </c:pt>
                <c:pt idx="1235">
                  <c:v>13875.606666666656</c:v>
                </c:pt>
                <c:pt idx="1236">
                  <c:v>13875.606666666656</c:v>
                </c:pt>
                <c:pt idx="1237">
                  <c:v>13875.606666666656</c:v>
                </c:pt>
                <c:pt idx="1238">
                  <c:v>13875.606666666656</c:v>
                </c:pt>
                <c:pt idx="1239">
                  <c:v>13875.606666666656</c:v>
                </c:pt>
                <c:pt idx="1240">
                  <c:v>13875.606666666656</c:v>
                </c:pt>
                <c:pt idx="1241">
                  <c:v>13875.606666666656</c:v>
                </c:pt>
                <c:pt idx="1242">
                  <c:v>13875.606666666656</c:v>
                </c:pt>
                <c:pt idx="1243">
                  <c:v>13875.606666666656</c:v>
                </c:pt>
                <c:pt idx="1244">
                  <c:v>13875.606666666656</c:v>
                </c:pt>
                <c:pt idx="1245">
                  <c:v>13875.606666666656</c:v>
                </c:pt>
                <c:pt idx="1246">
                  <c:v>13875.606666666656</c:v>
                </c:pt>
                <c:pt idx="1247">
                  <c:v>13875.606666666656</c:v>
                </c:pt>
                <c:pt idx="1248">
                  <c:v>13875.606666666656</c:v>
                </c:pt>
                <c:pt idx="1249">
                  <c:v>13875.606666666656</c:v>
                </c:pt>
                <c:pt idx="1250">
                  <c:v>13875.606666666656</c:v>
                </c:pt>
              </c:numCache>
            </c:numRef>
          </c:val>
          <c:smooth val="0"/>
          <c:extLst>
            <c:ext xmlns:c16="http://schemas.microsoft.com/office/drawing/2014/chart" uri="{C3380CC4-5D6E-409C-BE32-E72D297353CC}">
              <c16:uniqueId val="{00000001-8917-4C6D-BE8C-FEBA40B90236}"/>
            </c:ext>
          </c:extLst>
        </c:ser>
        <c:dLbls>
          <c:showLegendKey val="0"/>
          <c:showVal val="0"/>
          <c:showCatName val="0"/>
          <c:showSerName val="0"/>
          <c:showPercent val="0"/>
          <c:showBubbleSize val="0"/>
        </c:dLbls>
        <c:smooth val="0"/>
        <c:axId val="1175837680"/>
        <c:axId val="1163381056"/>
      </c:lineChart>
      <c:catAx>
        <c:axId val="117583768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381056"/>
        <c:crosses val="autoZero"/>
        <c:auto val="1"/>
        <c:lblAlgn val="ctr"/>
        <c:lblOffset val="100"/>
        <c:noMultiLvlLbl val="0"/>
      </c:catAx>
      <c:valAx>
        <c:axId val="1163381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837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OUTRIGHT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'Journal Live'!$BQ$134:$BQ$1384</c:f>
              <c:numCache>
                <c:formatCode>General</c:formatCode>
                <c:ptCount val="1251"/>
                <c:pt idx="0">
                  <c:v>0</c:v>
                </c:pt>
                <c:pt idx="1">
                  <c:v>0</c:v>
                </c:pt>
                <c:pt idx="2">
                  <c:v>0</c:v>
                </c:pt>
                <c:pt idx="3">
                  <c:v>0</c:v>
                </c:pt>
                <c:pt idx="4">
                  <c:v>0</c:v>
                </c:pt>
                <c:pt idx="5">
                  <c:v>0</c:v>
                </c:pt>
                <c:pt idx="6">
                  <c:v>-48.900000000001853</c:v>
                </c:pt>
                <c:pt idx="7">
                  <c:v>-48.900000000001853</c:v>
                </c:pt>
                <c:pt idx="8">
                  <c:v>-48.900000000001853</c:v>
                </c:pt>
                <c:pt idx="9">
                  <c:v>-48.900000000001853</c:v>
                </c:pt>
                <c:pt idx="10">
                  <c:v>-48.900000000001853</c:v>
                </c:pt>
                <c:pt idx="11">
                  <c:v>-48.900000000001853</c:v>
                </c:pt>
                <c:pt idx="12">
                  <c:v>-48.900000000001853</c:v>
                </c:pt>
                <c:pt idx="13">
                  <c:v>-48.900000000001853</c:v>
                </c:pt>
                <c:pt idx="14">
                  <c:v>-48.900000000001853</c:v>
                </c:pt>
                <c:pt idx="15">
                  <c:v>-48.900000000001853</c:v>
                </c:pt>
                <c:pt idx="16">
                  <c:v>-48.900000000001853</c:v>
                </c:pt>
                <c:pt idx="17">
                  <c:v>-48.900000000001853</c:v>
                </c:pt>
                <c:pt idx="18">
                  <c:v>-48.900000000001853</c:v>
                </c:pt>
                <c:pt idx="19">
                  <c:v>-48.900000000001853</c:v>
                </c:pt>
                <c:pt idx="20">
                  <c:v>-48.900000000001853</c:v>
                </c:pt>
                <c:pt idx="21">
                  <c:v>-48.900000000001853</c:v>
                </c:pt>
                <c:pt idx="22">
                  <c:v>-48.900000000001853</c:v>
                </c:pt>
                <c:pt idx="23">
                  <c:v>-48.900000000001853</c:v>
                </c:pt>
                <c:pt idx="24">
                  <c:v>-48.900000000001853</c:v>
                </c:pt>
                <c:pt idx="25">
                  <c:v>-48.900000000001853</c:v>
                </c:pt>
                <c:pt idx="26">
                  <c:v>-48.900000000001853</c:v>
                </c:pt>
                <c:pt idx="27">
                  <c:v>-48.900000000001853</c:v>
                </c:pt>
                <c:pt idx="28">
                  <c:v>-48.900000000001853</c:v>
                </c:pt>
                <c:pt idx="29">
                  <c:v>-48.900000000001853</c:v>
                </c:pt>
                <c:pt idx="30">
                  <c:v>-48.900000000001853</c:v>
                </c:pt>
                <c:pt idx="31">
                  <c:v>-48.900000000001853</c:v>
                </c:pt>
                <c:pt idx="32">
                  <c:v>-48.900000000001853</c:v>
                </c:pt>
                <c:pt idx="33">
                  <c:v>-48.900000000001853</c:v>
                </c:pt>
                <c:pt idx="34">
                  <c:v>-48.900000000001853</c:v>
                </c:pt>
                <c:pt idx="35">
                  <c:v>-132.39999999999711</c:v>
                </c:pt>
                <c:pt idx="36">
                  <c:v>-132.39999999999711</c:v>
                </c:pt>
                <c:pt idx="37">
                  <c:v>-132.39999999999711</c:v>
                </c:pt>
                <c:pt idx="38">
                  <c:v>-132.39999999999711</c:v>
                </c:pt>
                <c:pt idx="39">
                  <c:v>-132.39999999999711</c:v>
                </c:pt>
                <c:pt idx="40">
                  <c:v>-132.39999999999711</c:v>
                </c:pt>
                <c:pt idx="41">
                  <c:v>-215.89999999999236</c:v>
                </c:pt>
                <c:pt idx="42">
                  <c:v>-215.89999999999236</c:v>
                </c:pt>
                <c:pt idx="43">
                  <c:v>-232.6000000000009</c:v>
                </c:pt>
                <c:pt idx="44">
                  <c:v>-232.6000000000009</c:v>
                </c:pt>
                <c:pt idx="45">
                  <c:v>-232.6000000000009</c:v>
                </c:pt>
                <c:pt idx="46">
                  <c:v>-232.6000000000009</c:v>
                </c:pt>
                <c:pt idx="47">
                  <c:v>-232.6000000000009</c:v>
                </c:pt>
                <c:pt idx="48">
                  <c:v>-232.6000000000009</c:v>
                </c:pt>
                <c:pt idx="49">
                  <c:v>-232.6000000000009</c:v>
                </c:pt>
                <c:pt idx="50">
                  <c:v>-299.79999999998756</c:v>
                </c:pt>
                <c:pt idx="51">
                  <c:v>-316.59999999999616</c:v>
                </c:pt>
                <c:pt idx="52">
                  <c:v>-316.59999999999616</c:v>
                </c:pt>
                <c:pt idx="53">
                  <c:v>-416.79999999999995</c:v>
                </c:pt>
                <c:pt idx="54">
                  <c:v>-416.79999999999995</c:v>
                </c:pt>
                <c:pt idx="55">
                  <c:v>-416.79999999999995</c:v>
                </c:pt>
                <c:pt idx="56">
                  <c:v>-416.79999999999995</c:v>
                </c:pt>
                <c:pt idx="57">
                  <c:v>-266.49999999999426</c:v>
                </c:pt>
                <c:pt idx="58">
                  <c:v>-266.49999999999426</c:v>
                </c:pt>
                <c:pt idx="59">
                  <c:v>-266.49999999999426</c:v>
                </c:pt>
                <c:pt idx="60">
                  <c:v>-266.49999999999426</c:v>
                </c:pt>
                <c:pt idx="61">
                  <c:v>-266.49999999999426</c:v>
                </c:pt>
                <c:pt idx="62">
                  <c:v>-266.49999999999426</c:v>
                </c:pt>
                <c:pt idx="63">
                  <c:v>-180.19999999997464</c:v>
                </c:pt>
                <c:pt idx="64">
                  <c:v>-180.19999999997464</c:v>
                </c:pt>
                <c:pt idx="65">
                  <c:v>-180.19999999997464</c:v>
                </c:pt>
                <c:pt idx="66">
                  <c:v>-180.19999999997464</c:v>
                </c:pt>
                <c:pt idx="67">
                  <c:v>-180.19999999997464</c:v>
                </c:pt>
                <c:pt idx="68">
                  <c:v>-180.19999999997464</c:v>
                </c:pt>
                <c:pt idx="69">
                  <c:v>-180.19999999997464</c:v>
                </c:pt>
                <c:pt idx="70">
                  <c:v>-180.19999999997464</c:v>
                </c:pt>
                <c:pt idx="71">
                  <c:v>-180.19999999997464</c:v>
                </c:pt>
                <c:pt idx="72">
                  <c:v>-180.19999999997464</c:v>
                </c:pt>
                <c:pt idx="73">
                  <c:v>-180.19999999997464</c:v>
                </c:pt>
                <c:pt idx="74">
                  <c:v>-180.19999999997464</c:v>
                </c:pt>
                <c:pt idx="75">
                  <c:v>-180.19999999997464</c:v>
                </c:pt>
                <c:pt idx="76">
                  <c:v>-112.19999999998817</c:v>
                </c:pt>
                <c:pt idx="77">
                  <c:v>-129.46000000002152</c:v>
                </c:pt>
                <c:pt idx="78">
                  <c:v>-129.46000000002152</c:v>
                </c:pt>
                <c:pt idx="79">
                  <c:v>-129.46000000002152</c:v>
                </c:pt>
                <c:pt idx="80">
                  <c:v>-129.46000000002152</c:v>
                </c:pt>
                <c:pt idx="81">
                  <c:v>-129.46000000002152</c:v>
                </c:pt>
                <c:pt idx="82">
                  <c:v>-129.46000000002152</c:v>
                </c:pt>
                <c:pt idx="83">
                  <c:v>-129.46000000002152</c:v>
                </c:pt>
                <c:pt idx="84">
                  <c:v>-129.46000000002152</c:v>
                </c:pt>
                <c:pt idx="85">
                  <c:v>-129.46000000002152</c:v>
                </c:pt>
                <c:pt idx="86">
                  <c:v>-129.46000000002152</c:v>
                </c:pt>
                <c:pt idx="87">
                  <c:v>-112.56000000003689</c:v>
                </c:pt>
                <c:pt idx="88">
                  <c:v>-112.56000000003689</c:v>
                </c:pt>
                <c:pt idx="89">
                  <c:v>-112.56000000003689</c:v>
                </c:pt>
                <c:pt idx="90">
                  <c:v>-112.56000000003689</c:v>
                </c:pt>
                <c:pt idx="91">
                  <c:v>-112.56000000003689</c:v>
                </c:pt>
                <c:pt idx="92">
                  <c:v>-112.56000000003689</c:v>
                </c:pt>
                <c:pt idx="93">
                  <c:v>-112.56000000003689</c:v>
                </c:pt>
                <c:pt idx="94">
                  <c:v>-112.56000000003689</c:v>
                </c:pt>
                <c:pt idx="95">
                  <c:v>-112.56000000003689</c:v>
                </c:pt>
                <c:pt idx="96">
                  <c:v>-112.56000000003689</c:v>
                </c:pt>
                <c:pt idx="97">
                  <c:v>-112.56000000003689</c:v>
                </c:pt>
                <c:pt idx="98">
                  <c:v>-112.56000000003689</c:v>
                </c:pt>
                <c:pt idx="99">
                  <c:v>-112.56000000003689</c:v>
                </c:pt>
                <c:pt idx="100">
                  <c:v>-112.56000000003689</c:v>
                </c:pt>
                <c:pt idx="101">
                  <c:v>-112.56000000003689</c:v>
                </c:pt>
                <c:pt idx="102">
                  <c:v>-112.56000000003689</c:v>
                </c:pt>
                <c:pt idx="103">
                  <c:v>-112.56000000003689</c:v>
                </c:pt>
                <c:pt idx="104">
                  <c:v>-95.560000000028197</c:v>
                </c:pt>
                <c:pt idx="105">
                  <c:v>-61.560000000034961</c:v>
                </c:pt>
                <c:pt idx="106">
                  <c:v>-78.560000000043658</c:v>
                </c:pt>
                <c:pt idx="107">
                  <c:v>-78.560000000043658</c:v>
                </c:pt>
                <c:pt idx="108">
                  <c:v>-78.560000000043658</c:v>
                </c:pt>
                <c:pt idx="109">
                  <c:v>-78.560000000043658</c:v>
                </c:pt>
                <c:pt idx="110">
                  <c:v>-78.560000000043658</c:v>
                </c:pt>
                <c:pt idx="111">
                  <c:v>-78.560000000043658</c:v>
                </c:pt>
                <c:pt idx="112">
                  <c:v>-78.560000000043658</c:v>
                </c:pt>
                <c:pt idx="113">
                  <c:v>-78.560000000043658</c:v>
                </c:pt>
                <c:pt idx="114">
                  <c:v>-78.560000000043658</c:v>
                </c:pt>
                <c:pt idx="115">
                  <c:v>-161.56000000003894</c:v>
                </c:pt>
                <c:pt idx="116">
                  <c:v>-161.56000000003894</c:v>
                </c:pt>
                <c:pt idx="117">
                  <c:v>-161.56000000003894</c:v>
                </c:pt>
                <c:pt idx="118">
                  <c:v>-161.56000000003894</c:v>
                </c:pt>
                <c:pt idx="119">
                  <c:v>-161.56000000003894</c:v>
                </c:pt>
                <c:pt idx="120">
                  <c:v>-161.56000000003894</c:v>
                </c:pt>
                <c:pt idx="121">
                  <c:v>-161.56000000003894</c:v>
                </c:pt>
                <c:pt idx="122">
                  <c:v>-161.56000000003894</c:v>
                </c:pt>
                <c:pt idx="123">
                  <c:v>-161.56000000003894</c:v>
                </c:pt>
                <c:pt idx="124">
                  <c:v>-161.56000000003894</c:v>
                </c:pt>
                <c:pt idx="125">
                  <c:v>-161.56000000003894</c:v>
                </c:pt>
                <c:pt idx="126">
                  <c:v>-161.56000000003894</c:v>
                </c:pt>
                <c:pt idx="127">
                  <c:v>-161.56000000003894</c:v>
                </c:pt>
                <c:pt idx="128">
                  <c:v>-161.56000000003894</c:v>
                </c:pt>
                <c:pt idx="129">
                  <c:v>-161.56000000003894</c:v>
                </c:pt>
                <c:pt idx="130">
                  <c:v>-161.56000000003894</c:v>
                </c:pt>
                <c:pt idx="131">
                  <c:v>-161.56000000003894</c:v>
                </c:pt>
                <c:pt idx="132">
                  <c:v>-161.56000000003894</c:v>
                </c:pt>
                <c:pt idx="133">
                  <c:v>-161.56000000003894</c:v>
                </c:pt>
                <c:pt idx="134">
                  <c:v>-161.56000000003894</c:v>
                </c:pt>
                <c:pt idx="135">
                  <c:v>-161.56000000003894</c:v>
                </c:pt>
                <c:pt idx="136">
                  <c:v>-161.56000000003894</c:v>
                </c:pt>
                <c:pt idx="137">
                  <c:v>-161.56000000003894</c:v>
                </c:pt>
                <c:pt idx="138">
                  <c:v>-161.56000000003894</c:v>
                </c:pt>
                <c:pt idx="139">
                  <c:v>-161.56000000003894</c:v>
                </c:pt>
                <c:pt idx="140">
                  <c:v>-161.56000000003894</c:v>
                </c:pt>
                <c:pt idx="141">
                  <c:v>-161.56000000003894</c:v>
                </c:pt>
                <c:pt idx="142">
                  <c:v>-161.56000000003894</c:v>
                </c:pt>
                <c:pt idx="143">
                  <c:v>-161.56000000003894</c:v>
                </c:pt>
                <c:pt idx="144">
                  <c:v>-161.56000000003894</c:v>
                </c:pt>
                <c:pt idx="145">
                  <c:v>-161.56000000003894</c:v>
                </c:pt>
                <c:pt idx="146">
                  <c:v>-161.56000000003894</c:v>
                </c:pt>
                <c:pt idx="147">
                  <c:v>-78.560000000043644</c:v>
                </c:pt>
                <c:pt idx="148">
                  <c:v>4.4399999999516524</c:v>
                </c:pt>
                <c:pt idx="149">
                  <c:v>4.4399999999516524</c:v>
                </c:pt>
                <c:pt idx="150">
                  <c:v>4.4399999999516524</c:v>
                </c:pt>
                <c:pt idx="151">
                  <c:v>4.4399999999516524</c:v>
                </c:pt>
                <c:pt idx="152">
                  <c:v>4.4399999999516524</c:v>
                </c:pt>
                <c:pt idx="153">
                  <c:v>4.4399999999516524</c:v>
                </c:pt>
                <c:pt idx="154">
                  <c:v>4.4399999999516524</c:v>
                </c:pt>
                <c:pt idx="155">
                  <c:v>4.4399999999516524</c:v>
                </c:pt>
                <c:pt idx="156">
                  <c:v>4.4399999999516524</c:v>
                </c:pt>
                <c:pt idx="157">
                  <c:v>4.4399999999516524</c:v>
                </c:pt>
                <c:pt idx="158">
                  <c:v>4.4399999999516524</c:v>
                </c:pt>
                <c:pt idx="159">
                  <c:v>4.4399999999516524</c:v>
                </c:pt>
                <c:pt idx="160">
                  <c:v>4.4399999999516524</c:v>
                </c:pt>
                <c:pt idx="161">
                  <c:v>37.239999999968425</c:v>
                </c:pt>
                <c:pt idx="162">
                  <c:v>37.239999999968425</c:v>
                </c:pt>
                <c:pt idx="163">
                  <c:v>37.239999999968425</c:v>
                </c:pt>
                <c:pt idx="164">
                  <c:v>37.239999999968425</c:v>
                </c:pt>
                <c:pt idx="165">
                  <c:v>37.239999999968425</c:v>
                </c:pt>
                <c:pt idx="166">
                  <c:v>37.239999999968425</c:v>
                </c:pt>
                <c:pt idx="167">
                  <c:v>37.239999999968425</c:v>
                </c:pt>
                <c:pt idx="168">
                  <c:v>37.239999999968425</c:v>
                </c:pt>
                <c:pt idx="169">
                  <c:v>37.239999999968425</c:v>
                </c:pt>
                <c:pt idx="170">
                  <c:v>37.239999999968425</c:v>
                </c:pt>
                <c:pt idx="171">
                  <c:v>-27.560000000018682</c:v>
                </c:pt>
                <c:pt idx="172">
                  <c:v>-27.560000000018682</c:v>
                </c:pt>
                <c:pt idx="173">
                  <c:v>-27.560000000018682</c:v>
                </c:pt>
                <c:pt idx="174">
                  <c:v>-27.560000000018682</c:v>
                </c:pt>
                <c:pt idx="175">
                  <c:v>-27.560000000018682</c:v>
                </c:pt>
                <c:pt idx="176">
                  <c:v>-27.560000000018682</c:v>
                </c:pt>
                <c:pt idx="177">
                  <c:v>-27.560000000018682</c:v>
                </c:pt>
                <c:pt idx="178">
                  <c:v>-27.560000000018682</c:v>
                </c:pt>
                <c:pt idx="179">
                  <c:v>102.04000000000158</c:v>
                </c:pt>
                <c:pt idx="180">
                  <c:v>102.04000000000158</c:v>
                </c:pt>
                <c:pt idx="181">
                  <c:v>102.04000000000158</c:v>
                </c:pt>
                <c:pt idx="182">
                  <c:v>102.04000000000158</c:v>
                </c:pt>
                <c:pt idx="183">
                  <c:v>102.04000000000158</c:v>
                </c:pt>
                <c:pt idx="184">
                  <c:v>102.04000000000158</c:v>
                </c:pt>
                <c:pt idx="185">
                  <c:v>102.04000000000158</c:v>
                </c:pt>
                <c:pt idx="186">
                  <c:v>102.04000000000158</c:v>
                </c:pt>
                <c:pt idx="187">
                  <c:v>102.04000000000158</c:v>
                </c:pt>
                <c:pt idx="188">
                  <c:v>102.04000000000158</c:v>
                </c:pt>
                <c:pt idx="189">
                  <c:v>102.04000000000158</c:v>
                </c:pt>
                <c:pt idx="190">
                  <c:v>102.04000000000158</c:v>
                </c:pt>
                <c:pt idx="191">
                  <c:v>102.04000000000158</c:v>
                </c:pt>
                <c:pt idx="192">
                  <c:v>102.04000000000158</c:v>
                </c:pt>
                <c:pt idx="193">
                  <c:v>102.04000000000158</c:v>
                </c:pt>
                <c:pt idx="194">
                  <c:v>102.04000000000158</c:v>
                </c:pt>
                <c:pt idx="195">
                  <c:v>102.04000000000158</c:v>
                </c:pt>
                <c:pt idx="196">
                  <c:v>102.04000000000158</c:v>
                </c:pt>
                <c:pt idx="197">
                  <c:v>102.04000000000158</c:v>
                </c:pt>
                <c:pt idx="198">
                  <c:v>102.04000000000158</c:v>
                </c:pt>
                <c:pt idx="199">
                  <c:v>102.04000000000158</c:v>
                </c:pt>
                <c:pt idx="200">
                  <c:v>102.04000000000158</c:v>
                </c:pt>
                <c:pt idx="201">
                  <c:v>102.04000000000158</c:v>
                </c:pt>
                <c:pt idx="202">
                  <c:v>102.04000000000158</c:v>
                </c:pt>
                <c:pt idx="203">
                  <c:v>102.04000000000158</c:v>
                </c:pt>
                <c:pt idx="204">
                  <c:v>102.04000000000158</c:v>
                </c:pt>
                <c:pt idx="205">
                  <c:v>102.04000000000158</c:v>
                </c:pt>
                <c:pt idx="206">
                  <c:v>102.04000000000158</c:v>
                </c:pt>
                <c:pt idx="207">
                  <c:v>102.04000000000158</c:v>
                </c:pt>
                <c:pt idx="208">
                  <c:v>102.04000000000158</c:v>
                </c:pt>
                <c:pt idx="209">
                  <c:v>102.04000000000158</c:v>
                </c:pt>
                <c:pt idx="210">
                  <c:v>102.04000000000158</c:v>
                </c:pt>
                <c:pt idx="211">
                  <c:v>102.04000000000158</c:v>
                </c:pt>
                <c:pt idx="212">
                  <c:v>54.639999999999787</c:v>
                </c:pt>
                <c:pt idx="213">
                  <c:v>54.639999999999787</c:v>
                </c:pt>
                <c:pt idx="214">
                  <c:v>54.639999999999787</c:v>
                </c:pt>
                <c:pt idx="215">
                  <c:v>54.639999999999787</c:v>
                </c:pt>
                <c:pt idx="216">
                  <c:v>54.639999999999787</c:v>
                </c:pt>
                <c:pt idx="217">
                  <c:v>54.639999999999787</c:v>
                </c:pt>
                <c:pt idx="218">
                  <c:v>54.639999999999787</c:v>
                </c:pt>
                <c:pt idx="219">
                  <c:v>54.639999999999787</c:v>
                </c:pt>
                <c:pt idx="220">
                  <c:v>54.639999999999787</c:v>
                </c:pt>
                <c:pt idx="221">
                  <c:v>54.639999999999787</c:v>
                </c:pt>
                <c:pt idx="222">
                  <c:v>54.639999999999787</c:v>
                </c:pt>
                <c:pt idx="223">
                  <c:v>54.639999999999787</c:v>
                </c:pt>
                <c:pt idx="224">
                  <c:v>54.639999999999787</c:v>
                </c:pt>
                <c:pt idx="225">
                  <c:v>54.639999999999787</c:v>
                </c:pt>
                <c:pt idx="226">
                  <c:v>54.639999999999787</c:v>
                </c:pt>
                <c:pt idx="227">
                  <c:v>54.639999999999787</c:v>
                </c:pt>
                <c:pt idx="228">
                  <c:v>-105.35999999999112</c:v>
                </c:pt>
                <c:pt idx="229">
                  <c:v>-105.35999999999112</c:v>
                </c:pt>
                <c:pt idx="230">
                  <c:v>-249.35999999999657</c:v>
                </c:pt>
                <c:pt idx="231">
                  <c:v>-201.36000000004023</c:v>
                </c:pt>
                <c:pt idx="232">
                  <c:v>-201.36000000004023</c:v>
                </c:pt>
                <c:pt idx="233">
                  <c:v>-201.36000000004023</c:v>
                </c:pt>
                <c:pt idx="234">
                  <c:v>-201.36000000004023</c:v>
                </c:pt>
                <c:pt idx="235">
                  <c:v>-201.36000000004023</c:v>
                </c:pt>
                <c:pt idx="236">
                  <c:v>-201.36000000004023</c:v>
                </c:pt>
                <c:pt idx="237">
                  <c:v>-201.36000000004023</c:v>
                </c:pt>
                <c:pt idx="238">
                  <c:v>-201.36000000004023</c:v>
                </c:pt>
                <c:pt idx="239">
                  <c:v>-201.36000000004023</c:v>
                </c:pt>
                <c:pt idx="240">
                  <c:v>-201.36000000004023</c:v>
                </c:pt>
                <c:pt idx="241">
                  <c:v>-201.36000000004023</c:v>
                </c:pt>
                <c:pt idx="242">
                  <c:v>-201.36000000004023</c:v>
                </c:pt>
                <c:pt idx="243">
                  <c:v>-201.36000000004023</c:v>
                </c:pt>
                <c:pt idx="244">
                  <c:v>-201.36000000004023</c:v>
                </c:pt>
                <c:pt idx="245">
                  <c:v>-201.36000000004023</c:v>
                </c:pt>
                <c:pt idx="246">
                  <c:v>-201.36000000004023</c:v>
                </c:pt>
                <c:pt idx="247">
                  <c:v>-201.36000000004023</c:v>
                </c:pt>
                <c:pt idx="248">
                  <c:v>-201.36000000004023</c:v>
                </c:pt>
                <c:pt idx="249">
                  <c:v>-201.36000000004023</c:v>
                </c:pt>
                <c:pt idx="250">
                  <c:v>-201.36000000004023</c:v>
                </c:pt>
                <c:pt idx="251">
                  <c:v>-201.36000000004023</c:v>
                </c:pt>
                <c:pt idx="252">
                  <c:v>-201.36000000004023</c:v>
                </c:pt>
                <c:pt idx="253">
                  <c:v>-201.36000000004023</c:v>
                </c:pt>
                <c:pt idx="254">
                  <c:v>-201.36000000004023</c:v>
                </c:pt>
                <c:pt idx="255">
                  <c:v>-201.36000000004023</c:v>
                </c:pt>
                <c:pt idx="256">
                  <c:v>-201.36000000004023</c:v>
                </c:pt>
                <c:pt idx="257">
                  <c:v>-201.36000000004023</c:v>
                </c:pt>
                <c:pt idx="258">
                  <c:v>-201.36000000004023</c:v>
                </c:pt>
                <c:pt idx="259">
                  <c:v>-201.36000000004023</c:v>
                </c:pt>
                <c:pt idx="260">
                  <c:v>-201.36000000004023</c:v>
                </c:pt>
                <c:pt idx="261">
                  <c:v>-201.36000000004023</c:v>
                </c:pt>
                <c:pt idx="262">
                  <c:v>-201.36000000004023</c:v>
                </c:pt>
                <c:pt idx="263">
                  <c:v>-201.36000000004023</c:v>
                </c:pt>
                <c:pt idx="264">
                  <c:v>-201.36000000004023</c:v>
                </c:pt>
                <c:pt idx="265">
                  <c:v>-201.36000000004023</c:v>
                </c:pt>
                <c:pt idx="266">
                  <c:v>-201.36000000004023</c:v>
                </c:pt>
                <c:pt idx="267">
                  <c:v>-201.36000000004023</c:v>
                </c:pt>
                <c:pt idx="268">
                  <c:v>-201.36000000004023</c:v>
                </c:pt>
                <c:pt idx="269">
                  <c:v>-201.36000000004023</c:v>
                </c:pt>
                <c:pt idx="270">
                  <c:v>-201.36000000004023</c:v>
                </c:pt>
                <c:pt idx="271">
                  <c:v>-201.36000000004023</c:v>
                </c:pt>
                <c:pt idx="272">
                  <c:v>-201.36000000004023</c:v>
                </c:pt>
                <c:pt idx="273">
                  <c:v>-201.36000000004023</c:v>
                </c:pt>
                <c:pt idx="274">
                  <c:v>-201.36000000004023</c:v>
                </c:pt>
                <c:pt idx="275">
                  <c:v>-201.36000000004023</c:v>
                </c:pt>
                <c:pt idx="276">
                  <c:v>-201.36000000004023</c:v>
                </c:pt>
                <c:pt idx="277">
                  <c:v>-201.36000000004023</c:v>
                </c:pt>
                <c:pt idx="278">
                  <c:v>-201.36000000004023</c:v>
                </c:pt>
                <c:pt idx="279">
                  <c:v>-201.36000000004023</c:v>
                </c:pt>
                <c:pt idx="280">
                  <c:v>-201.36000000004023</c:v>
                </c:pt>
                <c:pt idx="281">
                  <c:v>-201.36000000004023</c:v>
                </c:pt>
                <c:pt idx="282">
                  <c:v>-201.36000000004023</c:v>
                </c:pt>
                <c:pt idx="283">
                  <c:v>-201.36000000004023</c:v>
                </c:pt>
                <c:pt idx="284">
                  <c:v>-201.36000000004023</c:v>
                </c:pt>
                <c:pt idx="285">
                  <c:v>-201.36000000004023</c:v>
                </c:pt>
                <c:pt idx="286">
                  <c:v>-201.36000000004023</c:v>
                </c:pt>
                <c:pt idx="287">
                  <c:v>-201.36000000004023</c:v>
                </c:pt>
                <c:pt idx="288">
                  <c:v>-201.36000000004023</c:v>
                </c:pt>
                <c:pt idx="289">
                  <c:v>-201.36000000004023</c:v>
                </c:pt>
                <c:pt idx="290">
                  <c:v>-233.3600000000566</c:v>
                </c:pt>
                <c:pt idx="291">
                  <c:v>-233.3600000000566</c:v>
                </c:pt>
                <c:pt idx="292">
                  <c:v>-233.3600000000566</c:v>
                </c:pt>
                <c:pt idx="293">
                  <c:v>-233.3600000000566</c:v>
                </c:pt>
                <c:pt idx="294">
                  <c:v>-233.3600000000566</c:v>
                </c:pt>
                <c:pt idx="295">
                  <c:v>-281.36000000005845</c:v>
                </c:pt>
                <c:pt idx="296">
                  <c:v>-345.36000000004572</c:v>
                </c:pt>
                <c:pt idx="297">
                  <c:v>-345.36000000004572</c:v>
                </c:pt>
                <c:pt idx="298">
                  <c:v>-345.36000000004572</c:v>
                </c:pt>
                <c:pt idx="299">
                  <c:v>-345.36000000004572</c:v>
                </c:pt>
                <c:pt idx="300">
                  <c:v>-345.36000000004572</c:v>
                </c:pt>
                <c:pt idx="301">
                  <c:v>-345.36000000004572</c:v>
                </c:pt>
                <c:pt idx="302">
                  <c:v>-345.36000000004572</c:v>
                </c:pt>
                <c:pt idx="303">
                  <c:v>-345.36000000004572</c:v>
                </c:pt>
                <c:pt idx="304">
                  <c:v>-345.36000000004572</c:v>
                </c:pt>
                <c:pt idx="305">
                  <c:v>-345.36000000004572</c:v>
                </c:pt>
                <c:pt idx="306">
                  <c:v>-345.36000000004572</c:v>
                </c:pt>
                <c:pt idx="307">
                  <c:v>-345.36000000004572</c:v>
                </c:pt>
                <c:pt idx="308">
                  <c:v>-345.36000000004572</c:v>
                </c:pt>
                <c:pt idx="309">
                  <c:v>-345.36000000004572</c:v>
                </c:pt>
                <c:pt idx="310">
                  <c:v>-345.36000000004572</c:v>
                </c:pt>
                <c:pt idx="311">
                  <c:v>-345.36000000004572</c:v>
                </c:pt>
                <c:pt idx="312">
                  <c:v>-345.36000000004572</c:v>
                </c:pt>
                <c:pt idx="313">
                  <c:v>-345.36000000004572</c:v>
                </c:pt>
                <c:pt idx="314">
                  <c:v>-345.36000000004572</c:v>
                </c:pt>
                <c:pt idx="315">
                  <c:v>-345.36000000004572</c:v>
                </c:pt>
                <c:pt idx="316">
                  <c:v>-345.36000000004572</c:v>
                </c:pt>
                <c:pt idx="317">
                  <c:v>-345.36000000004572</c:v>
                </c:pt>
                <c:pt idx="318">
                  <c:v>-345.36000000004572</c:v>
                </c:pt>
                <c:pt idx="319">
                  <c:v>-345.36000000004572</c:v>
                </c:pt>
                <c:pt idx="320">
                  <c:v>-345.36000000004572</c:v>
                </c:pt>
                <c:pt idx="321">
                  <c:v>-345.36000000004572</c:v>
                </c:pt>
                <c:pt idx="322">
                  <c:v>-345.36000000004572</c:v>
                </c:pt>
                <c:pt idx="323">
                  <c:v>-345.36000000004572</c:v>
                </c:pt>
                <c:pt idx="324">
                  <c:v>-345.36000000004572</c:v>
                </c:pt>
                <c:pt idx="325">
                  <c:v>-345.36000000004572</c:v>
                </c:pt>
                <c:pt idx="326">
                  <c:v>-345.36000000004572</c:v>
                </c:pt>
                <c:pt idx="327">
                  <c:v>-345.36000000004572</c:v>
                </c:pt>
                <c:pt idx="328">
                  <c:v>-345.36000000004572</c:v>
                </c:pt>
                <c:pt idx="329">
                  <c:v>-377.76000000006229</c:v>
                </c:pt>
                <c:pt idx="330">
                  <c:v>-377.76000000006229</c:v>
                </c:pt>
                <c:pt idx="331">
                  <c:v>-377.76000000006229</c:v>
                </c:pt>
                <c:pt idx="332">
                  <c:v>-377.76000000006229</c:v>
                </c:pt>
                <c:pt idx="333">
                  <c:v>-377.76000000006229</c:v>
                </c:pt>
                <c:pt idx="334">
                  <c:v>-377.76000000006229</c:v>
                </c:pt>
                <c:pt idx="335">
                  <c:v>-377.76000000006229</c:v>
                </c:pt>
                <c:pt idx="336">
                  <c:v>-377.76000000006229</c:v>
                </c:pt>
                <c:pt idx="337">
                  <c:v>-377.76000000006229</c:v>
                </c:pt>
                <c:pt idx="338">
                  <c:v>-377.76000000006229</c:v>
                </c:pt>
                <c:pt idx="339">
                  <c:v>-377.76000000006229</c:v>
                </c:pt>
                <c:pt idx="340">
                  <c:v>-377.76000000006229</c:v>
                </c:pt>
                <c:pt idx="341">
                  <c:v>-377.76000000006229</c:v>
                </c:pt>
                <c:pt idx="342">
                  <c:v>-377.76000000006229</c:v>
                </c:pt>
                <c:pt idx="343">
                  <c:v>-377.76000000006229</c:v>
                </c:pt>
                <c:pt idx="344">
                  <c:v>-377.76000000006229</c:v>
                </c:pt>
                <c:pt idx="345">
                  <c:v>-377.76000000006229</c:v>
                </c:pt>
                <c:pt idx="346">
                  <c:v>-377.76000000006229</c:v>
                </c:pt>
                <c:pt idx="347">
                  <c:v>-377.76000000006229</c:v>
                </c:pt>
                <c:pt idx="348">
                  <c:v>-377.76000000006229</c:v>
                </c:pt>
                <c:pt idx="349">
                  <c:v>-377.76000000006229</c:v>
                </c:pt>
                <c:pt idx="350">
                  <c:v>-377.76000000006229</c:v>
                </c:pt>
                <c:pt idx="351">
                  <c:v>-377.76000000006229</c:v>
                </c:pt>
                <c:pt idx="352">
                  <c:v>-377.76000000006229</c:v>
                </c:pt>
                <c:pt idx="353">
                  <c:v>-377.76000000006229</c:v>
                </c:pt>
                <c:pt idx="354">
                  <c:v>-377.76000000006229</c:v>
                </c:pt>
                <c:pt idx="355">
                  <c:v>-377.76000000006229</c:v>
                </c:pt>
                <c:pt idx="356">
                  <c:v>-377.76000000006229</c:v>
                </c:pt>
                <c:pt idx="357">
                  <c:v>-377.76000000006229</c:v>
                </c:pt>
                <c:pt idx="358">
                  <c:v>-377.76000000006229</c:v>
                </c:pt>
                <c:pt idx="359">
                  <c:v>-377.76000000006229</c:v>
                </c:pt>
                <c:pt idx="360">
                  <c:v>-377.76000000006229</c:v>
                </c:pt>
                <c:pt idx="361">
                  <c:v>-377.76000000006229</c:v>
                </c:pt>
                <c:pt idx="362">
                  <c:v>-377.76000000006229</c:v>
                </c:pt>
                <c:pt idx="363">
                  <c:v>-377.76000000006229</c:v>
                </c:pt>
                <c:pt idx="364">
                  <c:v>-377.76000000006229</c:v>
                </c:pt>
                <c:pt idx="365">
                  <c:v>-377.76000000006229</c:v>
                </c:pt>
                <c:pt idx="366">
                  <c:v>-377.76000000006229</c:v>
                </c:pt>
                <c:pt idx="367">
                  <c:v>-377.76000000006229</c:v>
                </c:pt>
                <c:pt idx="368">
                  <c:v>-377.76000000006229</c:v>
                </c:pt>
                <c:pt idx="369">
                  <c:v>-377.76000000006229</c:v>
                </c:pt>
                <c:pt idx="370">
                  <c:v>-377.76000000006229</c:v>
                </c:pt>
                <c:pt idx="371">
                  <c:v>-377.76000000006229</c:v>
                </c:pt>
                <c:pt idx="372">
                  <c:v>-377.76000000006229</c:v>
                </c:pt>
                <c:pt idx="373">
                  <c:v>-377.76000000006229</c:v>
                </c:pt>
                <c:pt idx="374">
                  <c:v>-377.76000000006229</c:v>
                </c:pt>
                <c:pt idx="375">
                  <c:v>-377.76000000006229</c:v>
                </c:pt>
                <c:pt idx="376">
                  <c:v>-377.76000000006229</c:v>
                </c:pt>
                <c:pt idx="377">
                  <c:v>-377.76000000006229</c:v>
                </c:pt>
                <c:pt idx="378">
                  <c:v>-377.76000000006229</c:v>
                </c:pt>
                <c:pt idx="379">
                  <c:v>-377.76000000006229</c:v>
                </c:pt>
                <c:pt idx="380">
                  <c:v>-377.76000000006229</c:v>
                </c:pt>
                <c:pt idx="381">
                  <c:v>-377.76000000006229</c:v>
                </c:pt>
                <c:pt idx="382">
                  <c:v>-377.76000000006229</c:v>
                </c:pt>
                <c:pt idx="383">
                  <c:v>-377.76000000006229</c:v>
                </c:pt>
                <c:pt idx="384">
                  <c:v>-377.76000000006229</c:v>
                </c:pt>
                <c:pt idx="385">
                  <c:v>-377.76000000006229</c:v>
                </c:pt>
                <c:pt idx="386">
                  <c:v>-377.76000000006229</c:v>
                </c:pt>
                <c:pt idx="387">
                  <c:v>-377.76000000006229</c:v>
                </c:pt>
                <c:pt idx="388">
                  <c:v>-377.76000000006229</c:v>
                </c:pt>
                <c:pt idx="389">
                  <c:v>-377.76000000006229</c:v>
                </c:pt>
                <c:pt idx="390">
                  <c:v>-377.76000000006229</c:v>
                </c:pt>
                <c:pt idx="391">
                  <c:v>-377.76000000006229</c:v>
                </c:pt>
                <c:pt idx="392">
                  <c:v>-377.76000000006229</c:v>
                </c:pt>
                <c:pt idx="393">
                  <c:v>-377.76000000006229</c:v>
                </c:pt>
                <c:pt idx="394">
                  <c:v>-377.76000000006229</c:v>
                </c:pt>
                <c:pt idx="395">
                  <c:v>-377.76000000006229</c:v>
                </c:pt>
                <c:pt idx="396">
                  <c:v>-377.76000000006229</c:v>
                </c:pt>
                <c:pt idx="397">
                  <c:v>-377.76000000006229</c:v>
                </c:pt>
                <c:pt idx="398">
                  <c:v>-377.76000000006229</c:v>
                </c:pt>
                <c:pt idx="399">
                  <c:v>-377.76000000006229</c:v>
                </c:pt>
                <c:pt idx="400">
                  <c:v>-377.76000000006229</c:v>
                </c:pt>
                <c:pt idx="401">
                  <c:v>-377.76000000006229</c:v>
                </c:pt>
                <c:pt idx="402">
                  <c:v>-377.76000000006229</c:v>
                </c:pt>
                <c:pt idx="403">
                  <c:v>-377.76000000006229</c:v>
                </c:pt>
                <c:pt idx="404">
                  <c:v>-377.76000000006229</c:v>
                </c:pt>
                <c:pt idx="405">
                  <c:v>-377.76000000006229</c:v>
                </c:pt>
                <c:pt idx="406">
                  <c:v>-377.76000000006229</c:v>
                </c:pt>
                <c:pt idx="407">
                  <c:v>-377.76000000006229</c:v>
                </c:pt>
                <c:pt idx="408">
                  <c:v>-377.76000000006229</c:v>
                </c:pt>
                <c:pt idx="409">
                  <c:v>-377.76000000006229</c:v>
                </c:pt>
                <c:pt idx="410">
                  <c:v>-377.76000000006229</c:v>
                </c:pt>
                <c:pt idx="411">
                  <c:v>-377.76000000006229</c:v>
                </c:pt>
                <c:pt idx="412">
                  <c:v>-377.76000000006229</c:v>
                </c:pt>
                <c:pt idx="413">
                  <c:v>-377.76000000006229</c:v>
                </c:pt>
                <c:pt idx="414">
                  <c:v>-377.76000000006229</c:v>
                </c:pt>
                <c:pt idx="415">
                  <c:v>-377.76000000006229</c:v>
                </c:pt>
                <c:pt idx="416">
                  <c:v>-377.76000000006229</c:v>
                </c:pt>
                <c:pt idx="417">
                  <c:v>-377.76000000006229</c:v>
                </c:pt>
                <c:pt idx="418">
                  <c:v>-377.76000000006229</c:v>
                </c:pt>
                <c:pt idx="419">
                  <c:v>-377.76000000006229</c:v>
                </c:pt>
                <c:pt idx="420">
                  <c:v>-377.76000000006229</c:v>
                </c:pt>
                <c:pt idx="421">
                  <c:v>-377.76000000006229</c:v>
                </c:pt>
                <c:pt idx="422">
                  <c:v>-377.76000000006229</c:v>
                </c:pt>
                <c:pt idx="423">
                  <c:v>-377.76000000006229</c:v>
                </c:pt>
                <c:pt idx="424">
                  <c:v>-377.76000000006229</c:v>
                </c:pt>
                <c:pt idx="425">
                  <c:v>-377.76000000006229</c:v>
                </c:pt>
                <c:pt idx="426">
                  <c:v>-377.76000000006229</c:v>
                </c:pt>
                <c:pt idx="427">
                  <c:v>-377.76000000006229</c:v>
                </c:pt>
                <c:pt idx="428">
                  <c:v>-377.76000000006229</c:v>
                </c:pt>
                <c:pt idx="429">
                  <c:v>-377.76000000006229</c:v>
                </c:pt>
                <c:pt idx="430">
                  <c:v>-377.76000000006229</c:v>
                </c:pt>
                <c:pt idx="431">
                  <c:v>-377.76000000006229</c:v>
                </c:pt>
                <c:pt idx="432">
                  <c:v>-377.76000000006229</c:v>
                </c:pt>
                <c:pt idx="433">
                  <c:v>-377.76000000006229</c:v>
                </c:pt>
                <c:pt idx="434">
                  <c:v>-377.76000000006229</c:v>
                </c:pt>
                <c:pt idx="435">
                  <c:v>-377.76000000006229</c:v>
                </c:pt>
                <c:pt idx="436">
                  <c:v>-377.76000000006229</c:v>
                </c:pt>
                <c:pt idx="437">
                  <c:v>-377.76000000006229</c:v>
                </c:pt>
                <c:pt idx="438">
                  <c:v>-377.76000000006229</c:v>
                </c:pt>
                <c:pt idx="439">
                  <c:v>-377.76000000006229</c:v>
                </c:pt>
                <c:pt idx="440">
                  <c:v>-377.76000000006229</c:v>
                </c:pt>
                <c:pt idx="441">
                  <c:v>-377.76000000006229</c:v>
                </c:pt>
                <c:pt idx="442">
                  <c:v>-377.76000000006229</c:v>
                </c:pt>
                <c:pt idx="443">
                  <c:v>-377.76000000006229</c:v>
                </c:pt>
                <c:pt idx="444">
                  <c:v>-377.76000000006229</c:v>
                </c:pt>
                <c:pt idx="445">
                  <c:v>-377.76000000006229</c:v>
                </c:pt>
                <c:pt idx="446">
                  <c:v>-377.76000000006229</c:v>
                </c:pt>
                <c:pt idx="447">
                  <c:v>-377.76000000006229</c:v>
                </c:pt>
                <c:pt idx="448">
                  <c:v>-377.76000000006229</c:v>
                </c:pt>
                <c:pt idx="449">
                  <c:v>-377.76000000006229</c:v>
                </c:pt>
                <c:pt idx="450">
                  <c:v>-377.76000000006229</c:v>
                </c:pt>
                <c:pt idx="451">
                  <c:v>-377.76000000006229</c:v>
                </c:pt>
                <c:pt idx="452">
                  <c:v>-377.76000000006229</c:v>
                </c:pt>
                <c:pt idx="453">
                  <c:v>-377.76000000006229</c:v>
                </c:pt>
                <c:pt idx="454">
                  <c:v>-377.76000000006229</c:v>
                </c:pt>
                <c:pt idx="455">
                  <c:v>-377.76000000006229</c:v>
                </c:pt>
                <c:pt idx="456">
                  <c:v>-377.76000000006229</c:v>
                </c:pt>
                <c:pt idx="457">
                  <c:v>-377.76000000006229</c:v>
                </c:pt>
                <c:pt idx="458">
                  <c:v>-377.76000000006229</c:v>
                </c:pt>
                <c:pt idx="459">
                  <c:v>-377.76000000006229</c:v>
                </c:pt>
                <c:pt idx="460">
                  <c:v>-377.76000000006229</c:v>
                </c:pt>
                <c:pt idx="461">
                  <c:v>-377.76000000006229</c:v>
                </c:pt>
                <c:pt idx="462">
                  <c:v>-377.76000000006229</c:v>
                </c:pt>
                <c:pt idx="463">
                  <c:v>-377.76000000006229</c:v>
                </c:pt>
                <c:pt idx="464">
                  <c:v>-377.76000000006229</c:v>
                </c:pt>
                <c:pt idx="465">
                  <c:v>-377.76000000006229</c:v>
                </c:pt>
                <c:pt idx="466">
                  <c:v>-377.76000000006229</c:v>
                </c:pt>
                <c:pt idx="467">
                  <c:v>-377.76000000006229</c:v>
                </c:pt>
                <c:pt idx="468">
                  <c:v>-377.76000000006229</c:v>
                </c:pt>
                <c:pt idx="469">
                  <c:v>-377.76000000006229</c:v>
                </c:pt>
                <c:pt idx="470">
                  <c:v>-377.76000000006229</c:v>
                </c:pt>
                <c:pt idx="471">
                  <c:v>-377.76000000006229</c:v>
                </c:pt>
                <c:pt idx="472">
                  <c:v>-377.76000000006229</c:v>
                </c:pt>
                <c:pt idx="473">
                  <c:v>-377.76000000006229</c:v>
                </c:pt>
                <c:pt idx="474">
                  <c:v>-377.76000000006229</c:v>
                </c:pt>
                <c:pt idx="475">
                  <c:v>-377.76000000006229</c:v>
                </c:pt>
                <c:pt idx="476">
                  <c:v>-377.76000000006229</c:v>
                </c:pt>
                <c:pt idx="477">
                  <c:v>-377.76000000006229</c:v>
                </c:pt>
                <c:pt idx="478">
                  <c:v>-377.76000000006229</c:v>
                </c:pt>
                <c:pt idx="479">
                  <c:v>-377.76000000006229</c:v>
                </c:pt>
                <c:pt idx="480">
                  <c:v>-377.76000000006229</c:v>
                </c:pt>
                <c:pt idx="481">
                  <c:v>-377.76000000006229</c:v>
                </c:pt>
                <c:pt idx="482">
                  <c:v>-377.76000000006229</c:v>
                </c:pt>
                <c:pt idx="483">
                  <c:v>-377.76000000006229</c:v>
                </c:pt>
                <c:pt idx="484">
                  <c:v>-377.76000000006229</c:v>
                </c:pt>
                <c:pt idx="485">
                  <c:v>-377.76000000006229</c:v>
                </c:pt>
                <c:pt idx="486">
                  <c:v>-377.76000000006229</c:v>
                </c:pt>
                <c:pt idx="487">
                  <c:v>-377.76000000006229</c:v>
                </c:pt>
                <c:pt idx="488">
                  <c:v>-377.76000000006229</c:v>
                </c:pt>
                <c:pt idx="489">
                  <c:v>-377.76000000006229</c:v>
                </c:pt>
                <c:pt idx="490">
                  <c:v>-377.76000000006229</c:v>
                </c:pt>
                <c:pt idx="491">
                  <c:v>-377.76000000006229</c:v>
                </c:pt>
                <c:pt idx="492">
                  <c:v>-377.76000000006229</c:v>
                </c:pt>
                <c:pt idx="493">
                  <c:v>-377.76000000006229</c:v>
                </c:pt>
                <c:pt idx="494">
                  <c:v>-377.76000000006229</c:v>
                </c:pt>
                <c:pt idx="495">
                  <c:v>-377.76000000006229</c:v>
                </c:pt>
                <c:pt idx="496">
                  <c:v>-377.76000000006229</c:v>
                </c:pt>
                <c:pt idx="497">
                  <c:v>-377.76000000006229</c:v>
                </c:pt>
                <c:pt idx="498">
                  <c:v>-377.76000000006229</c:v>
                </c:pt>
                <c:pt idx="499">
                  <c:v>-377.76000000006229</c:v>
                </c:pt>
                <c:pt idx="500">
                  <c:v>-457.76000000004638</c:v>
                </c:pt>
                <c:pt idx="501">
                  <c:v>-457.76000000004638</c:v>
                </c:pt>
                <c:pt idx="502">
                  <c:v>-457.76000000004638</c:v>
                </c:pt>
                <c:pt idx="503">
                  <c:v>-457.76000000004638</c:v>
                </c:pt>
                <c:pt idx="504">
                  <c:v>-457.76000000004638</c:v>
                </c:pt>
                <c:pt idx="505">
                  <c:v>-457.76000000004638</c:v>
                </c:pt>
                <c:pt idx="506">
                  <c:v>-457.76000000004638</c:v>
                </c:pt>
                <c:pt idx="507">
                  <c:v>-457.76000000004638</c:v>
                </c:pt>
                <c:pt idx="508">
                  <c:v>-457.76000000004638</c:v>
                </c:pt>
                <c:pt idx="509">
                  <c:v>-457.76000000004638</c:v>
                </c:pt>
                <c:pt idx="510">
                  <c:v>-457.76000000004638</c:v>
                </c:pt>
                <c:pt idx="511">
                  <c:v>-457.76000000004638</c:v>
                </c:pt>
                <c:pt idx="512">
                  <c:v>-457.76000000004638</c:v>
                </c:pt>
                <c:pt idx="513">
                  <c:v>-457.76000000004638</c:v>
                </c:pt>
                <c:pt idx="514">
                  <c:v>-457.76000000004638</c:v>
                </c:pt>
                <c:pt idx="515">
                  <c:v>-457.76000000004638</c:v>
                </c:pt>
                <c:pt idx="516">
                  <c:v>-457.76000000004638</c:v>
                </c:pt>
                <c:pt idx="517">
                  <c:v>-457.76000000004638</c:v>
                </c:pt>
                <c:pt idx="518">
                  <c:v>-457.76000000004638</c:v>
                </c:pt>
                <c:pt idx="519">
                  <c:v>-457.76000000004638</c:v>
                </c:pt>
                <c:pt idx="520">
                  <c:v>-457.76000000004638</c:v>
                </c:pt>
                <c:pt idx="521">
                  <c:v>-457.76000000004638</c:v>
                </c:pt>
                <c:pt idx="522">
                  <c:v>-457.76000000004638</c:v>
                </c:pt>
                <c:pt idx="523">
                  <c:v>-457.76000000004638</c:v>
                </c:pt>
                <c:pt idx="524">
                  <c:v>-457.76000000004638</c:v>
                </c:pt>
                <c:pt idx="525">
                  <c:v>-457.76000000004638</c:v>
                </c:pt>
                <c:pt idx="526">
                  <c:v>-457.76000000004638</c:v>
                </c:pt>
                <c:pt idx="527">
                  <c:v>-457.76000000004638</c:v>
                </c:pt>
                <c:pt idx="528">
                  <c:v>-457.76000000004638</c:v>
                </c:pt>
                <c:pt idx="529">
                  <c:v>-457.76000000004638</c:v>
                </c:pt>
                <c:pt idx="530">
                  <c:v>-457.76000000004638</c:v>
                </c:pt>
                <c:pt idx="531">
                  <c:v>-457.76000000004638</c:v>
                </c:pt>
                <c:pt idx="532">
                  <c:v>-457.76000000004638</c:v>
                </c:pt>
                <c:pt idx="533">
                  <c:v>-457.76000000004638</c:v>
                </c:pt>
                <c:pt idx="534">
                  <c:v>-457.76000000004638</c:v>
                </c:pt>
                <c:pt idx="535">
                  <c:v>-457.76000000004638</c:v>
                </c:pt>
                <c:pt idx="536">
                  <c:v>-457.76000000004638</c:v>
                </c:pt>
                <c:pt idx="537">
                  <c:v>-457.76000000004638</c:v>
                </c:pt>
                <c:pt idx="538">
                  <c:v>-457.76000000004638</c:v>
                </c:pt>
                <c:pt idx="539">
                  <c:v>-414.61000000003656</c:v>
                </c:pt>
                <c:pt idx="540">
                  <c:v>-414.61000000003656</c:v>
                </c:pt>
                <c:pt idx="541">
                  <c:v>-414.61000000003656</c:v>
                </c:pt>
                <c:pt idx="542">
                  <c:v>-388.72000000003555</c:v>
                </c:pt>
                <c:pt idx="543">
                  <c:v>-388.72000000003555</c:v>
                </c:pt>
                <c:pt idx="544">
                  <c:v>-388.72000000003555</c:v>
                </c:pt>
                <c:pt idx="545">
                  <c:v>-388.72000000003555</c:v>
                </c:pt>
                <c:pt idx="546">
                  <c:v>-388.72000000003555</c:v>
                </c:pt>
                <c:pt idx="547">
                  <c:v>-388.72000000003555</c:v>
                </c:pt>
                <c:pt idx="548">
                  <c:v>-388.72000000003555</c:v>
                </c:pt>
                <c:pt idx="549">
                  <c:v>-428.7200000000276</c:v>
                </c:pt>
                <c:pt idx="550">
                  <c:v>-428.7200000000276</c:v>
                </c:pt>
                <c:pt idx="551">
                  <c:v>-428.7200000000276</c:v>
                </c:pt>
                <c:pt idx="552">
                  <c:v>-428.7200000000276</c:v>
                </c:pt>
                <c:pt idx="553">
                  <c:v>-428.7200000000276</c:v>
                </c:pt>
                <c:pt idx="554">
                  <c:v>-428.7200000000276</c:v>
                </c:pt>
                <c:pt idx="555">
                  <c:v>-428.7200000000276</c:v>
                </c:pt>
                <c:pt idx="556">
                  <c:v>-428.7200000000276</c:v>
                </c:pt>
                <c:pt idx="557">
                  <c:v>-428.7200000000276</c:v>
                </c:pt>
                <c:pt idx="558">
                  <c:v>-428.7200000000276</c:v>
                </c:pt>
                <c:pt idx="559">
                  <c:v>-428.7200000000276</c:v>
                </c:pt>
                <c:pt idx="560">
                  <c:v>-428.7200000000276</c:v>
                </c:pt>
                <c:pt idx="561">
                  <c:v>-428.7200000000276</c:v>
                </c:pt>
                <c:pt idx="562">
                  <c:v>-428.7200000000276</c:v>
                </c:pt>
                <c:pt idx="563">
                  <c:v>-428.7200000000276</c:v>
                </c:pt>
                <c:pt idx="564">
                  <c:v>-428.7200000000276</c:v>
                </c:pt>
                <c:pt idx="565">
                  <c:v>-428.7200000000276</c:v>
                </c:pt>
                <c:pt idx="566">
                  <c:v>-428.7200000000276</c:v>
                </c:pt>
                <c:pt idx="567">
                  <c:v>-428.7200000000276</c:v>
                </c:pt>
                <c:pt idx="568">
                  <c:v>-428.7200000000276</c:v>
                </c:pt>
                <c:pt idx="569">
                  <c:v>-428.7200000000276</c:v>
                </c:pt>
                <c:pt idx="570">
                  <c:v>-428.7200000000276</c:v>
                </c:pt>
                <c:pt idx="571">
                  <c:v>-428.7200000000276</c:v>
                </c:pt>
                <c:pt idx="572">
                  <c:v>-428.7200000000276</c:v>
                </c:pt>
                <c:pt idx="573">
                  <c:v>-428.7200000000276</c:v>
                </c:pt>
                <c:pt idx="574">
                  <c:v>-428.7200000000276</c:v>
                </c:pt>
                <c:pt idx="575">
                  <c:v>-428.7200000000276</c:v>
                </c:pt>
                <c:pt idx="576">
                  <c:v>-428.7200000000276</c:v>
                </c:pt>
                <c:pt idx="577">
                  <c:v>-428.7200000000276</c:v>
                </c:pt>
                <c:pt idx="578">
                  <c:v>-428.7200000000276</c:v>
                </c:pt>
                <c:pt idx="579">
                  <c:v>-428.7200000000276</c:v>
                </c:pt>
                <c:pt idx="580">
                  <c:v>-428.7200000000276</c:v>
                </c:pt>
                <c:pt idx="581">
                  <c:v>-428.7200000000276</c:v>
                </c:pt>
                <c:pt idx="582">
                  <c:v>-428.7200000000276</c:v>
                </c:pt>
                <c:pt idx="583">
                  <c:v>-428.7200000000276</c:v>
                </c:pt>
                <c:pt idx="584">
                  <c:v>-428.7200000000276</c:v>
                </c:pt>
                <c:pt idx="585">
                  <c:v>-428.7200000000276</c:v>
                </c:pt>
                <c:pt idx="586">
                  <c:v>-428.7200000000276</c:v>
                </c:pt>
                <c:pt idx="587">
                  <c:v>-428.7200000000276</c:v>
                </c:pt>
                <c:pt idx="588">
                  <c:v>-428.7200000000276</c:v>
                </c:pt>
                <c:pt idx="589">
                  <c:v>-428.7200000000276</c:v>
                </c:pt>
                <c:pt idx="590">
                  <c:v>-428.7200000000276</c:v>
                </c:pt>
                <c:pt idx="591">
                  <c:v>-428.7200000000276</c:v>
                </c:pt>
                <c:pt idx="592">
                  <c:v>-428.7200000000276</c:v>
                </c:pt>
                <c:pt idx="593">
                  <c:v>-428.7200000000276</c:v>
                </c:pt>
                <c:pt idx="594">
                  <c:v>-428.7200000000276</c:v>
                </c:pt>
                <c:pt idx="595">
                  <c:v>-428.7200000000276</c:v>
                </c:pt>
                <c:pt idx="596">
                  <c:v>-428.7200000000276</c:v>
                </c:pt>
                <c:pt idx="597">
                  <c:v>-402.82999999995303</c:v>
                </c:pt>
                <c:pt idx="598">
                  <c:v>-402.82999999995303</c:v>
                </c:pt>
                <c:pt idx="599">
                  <c:v>-402.82999999995303</c:v>
                </c:pt>
                <c:pt idx="600">
                  <c:v>-402.82999999995303</c:v>
                </c:pt>
                <c:pt idx="601">
                  <c:v>-402.82999999995303</c:v>
                </c:pt>
                <c:pt idx="602">
                  <c:v>-402.82999999995303</c:v>
                </c:pt>
                <c:pt idx="603">
                  <c:v>-402.82999999995303</c:v>
                </c:pt>
                <c:pt idx="604">
                  <c:v>-402.82999999995303</c:v>
                </c:pt>
                <c:pt idx="605">
                  <c:v>-402.82999999995303</c:v>
                </c:pt>
                <c:pt idx="606">
                  <c:v>-402.82999999995303</c:v>
                </c:pt>
                <c:pt idx="607">
                  <c:v>-402.82999999995303</c:v>
                </c:pt>
                <c:pt idx="608">
                  <c:v>-402.82999999995303</c:v>
                </c:pt>
                <c:pt idx="609">
                  <c:v>-374.06333333331253</c:v>
                </c:pt>
                <c:pt idx="610">
                  <c:v>-374.06333333331253</c:v>
                </c:pt>
                <c:pt idx="611">
                  <c:v>-374.06333333331253</c:v>
                </c:pt>
                <c:pt idx="612">
                  <c:v>-314.06333333331025</c:v>
                </c:pt>
                <c:pt idx="613">
                  <c:v>-314.06333333331025</c:v>
                </c:pt>
                <c:pt idx="614">
                  <c:v>-314.06333333331025</c:v>
                </c:pt>
                <c:pt idx="615">
                  <c:v>-314.06333333331025</c:v>
                </c:pt>
                <c:pt idx="616">
                  <c:v>-314.06333333331025</c:v>
                </c:pt>
                <c:pt idx="617">
                  <c:v>-314.06333333331025</c:v>
                </c:pt>
                <c:pt idx="618">
                  <c:v>-314.06333333331025</c:v>
                </c:pt>
                <c:pt idx="619">
                  <c:v>-314.06333333331025</c:v>
                </c:pt>
                <c:pt idx="620">
                  <c:v>-314.06333333331025</c:v>
                </c:pt>
                <c:pt idx="621">
                  <c:v>-314.06333333331025</c:v>
                </c:pt>
                <c:pt idx="622">
                  <c:v>-314.06333333331025</c:v>
                </c:pt>
                <c:pt idx="623">
                  <c:v>-314.06333333331025</c:v>
                </c:pt>
                <c:pt idx="624">
                  <c:v>-314.06333333331025</c:v>
                </c:pt>
                <c:pt idx="625">
                  <c:v>-314.06333333331025</c:v>
                </c:pt>
                <c:pt idx="626">
                  <c:v>-314.06333333331025</c:v>
                </c:pt>
                <c:pt idx="627">
                  <c:v>-314.06333333331025</c:v>
                </c:pt>
                <c:pt idx="628">
                  <c:v>-314.06333333331025</c:v>
                </c:pt>
                <c:pt idx="629">
                  <c:v>-314.06333333331025</c:v>
                </c:pt>
                <c:pt idx="630">
                  <c:v>-314.06333333331025</c:v>
                </c:pt>
                <c:pt idx="631">
                  <c:v>-314.06333333331025</c:v>
                </c:pt>
                <c:pt idx="632">
                  <c:v>-314.06333333331025</c:v>
                </c:pt>
                <c:pt idx="633">
                  <c:v>-314.06333333331025</c:v>
                </c:pt>
                <c:pt idx="634">
                  <c:v>-266.06333333330844</c:v>
                </c:pt>
                <c:pt idx="635">
                  <c:v>-266.06333333330844</c:v>
                </c:pt>
                <c:pt idx="636">
                  <c:v>-266.06333333330844</c:v>
                </c:pt>
                <c:pt idx="637">
                  <c:v>-266.06333333330844</c:v>
                </c:pt>
                <c:pt idx="638">
                  <c:v>-266.06333333330844</c:v>
                </c:pt>
                <c:pt idx="639">
                  <c:v>-266.06333333330844</c:v>
                </c:pt>
                <c:pt idx="640">
                  <c:v>-266.06333333330844</c:v>
                </c:pt>
                <c:pt idx="641">
                  <c:v>-266.06333333330844</c:v>
                </c:pt>
                <c:pt idx="642">
                  <c:v>-266.06333333330844</c:v>
                </c:pt>
                <c:pt idx="643">
                  <c:v>-266.06333333330844</c:v>
                </c:pt>
                <c:pt idx="644">
                  <c:v>-266.06333333330844</c:v>
                </c:pt>
                <c:pt idx="645">
                  <c:v>-266.06333333330844</c:v>
                </c:pt>
                <c:pt idx="646">
                  <c:v>-266.06333333330844</c:v>
                </c:pt>
                <c:pt idx="647">
                  <c:v>-266.06333333330844</c:v>
                </c:pt>
                <c:pt idx="648">
                  <c:v>-266.06333333330844</c:v>
                </c:pt>
                <c:pt idx="649">
                  <c:v>-266.06333333330844</c:v>
                </c:pt>
                <c:pt idx="650">
                  <c:v>-266.06333333330844</c:v>
                </c:pt>
                <c:pt idx="651">
                  <c:v>-266.06333333330844</c:v>
                </c:pt>
                <c:pt idx="652">
                  <c:v>-266.06333333330844</c:v>
                </c:pt>
                <c:pt idx="653">
                  <c:v>-266.06333333330844</c:v>
                </c:pt>
                <c:pt idx="654">
                  <c:v>-266.06333333330844</c:v>
                </c:pt>
                <c:pt idx="655">
                  <c:v>-266.06333333330844</c:v>
                </c:pt>
                <c:pt idx="656">
                  <c:v>-266.06333333330844</c:v>
                </c:pt>
                <c:pt idx="657">
                  <c:v>-266.06333333330844</c:v>
                </c:pt>
                <c:pt idx="658">
                  <c:v>-266.06333333330844</c:v>
                </c:pt>
                <c:pt idx="659">
                  <c:v>-266.06333333330844</c:v>
                </c:pt>
                <c:pt idx="660">
                  <c:v>-266.06333333330844</c:v>
                </c:pt>
                <c:pt idx="661">
                  <c:v>-266.06333333330844</c:v>
                </c:pt>
                <c:pt idx="662">
                  <c:v>-266.06333333330844</c:v>
                </c:pt>
                <c:pt idx="663">
                  <c:v>-266.06333333330844</c:v>
                </c:pt>
                <c:pt idx="664">
                  <c:v>-266.06333333330844</c:v>
                </c:pt>
                <c:pt idx="665">
                  <c:v>-266.06333333330844</c:v>
                </c:pt>
                <c:pt idx="666">
                  <c:v>-266.06333333330844</c:v>
                </c:pt>
                <c:pt idx="667">
                  <c:v>-266.06333333330844</c:v>
                </c:pt>
                <c:pt idx="668">
                  <c:v>-266.06333333330844</c:v>
                </c:pt>
                <c:pt idx="669">
                  <c:v>-266.06333333330844</c:v>
                </c:pt>
                <c:pt idx="670">
                  <c:v>-266.06333333330844</c:v>
                </c:pt>
                <c:pt idx="671">
                  <c:v>-266.06333333330844</c:v>
                </c:pt>
                <c:pt idx="672">
                  <c:v>-266.06333333330844</c:v>
                </c:pt>
                <c:pt idx="673">
                  <c:v>-266.06333333330844</c:v>
                </c:pt>
                <c:pt idx="674">
                  <c:v>-266.06333333330844</c:v>
                </c:pt>
                <c:pt idx="675">
                  <c:v>-266.06333333330844</c:v>
                </c:pt>
                <c:pt idx="676">
                  <c:v>-266.06333333330844</c:v>
                </c:pt>
                <c:pt idx="677">
                  <c:v>-266.06333333330844</c:v>
                </c:pt>
                <c:pt idx="678">
                  <c:v>-266.06333333330844</c:v>
                </c:pt>
                <c:pt idx="679">
                  <c:v>-266.06333333330844</c:v>
                </c:pt>
                <c:pt idx="680">
                  <c:v>-266.06333333330844</c:v>
                </c:pt>
                <c:pt idx="681">
                  <c:v>-266.06333333330844</c:v>
                </c:pt>
                <c:pt idx="682">
                  <c:v>-266.06333333330844</c:v>
                </c:pt>
                <c:pt idx="683">
                  <c:v>-266.06333333330844</c:v>
                </c:pt>
                <c:pt idx="684">
                  <c:v>-266.06333333330844</c:v>
                </c:pt>
                <c:pt idx="685">
                  <c:v>-266.06333333330844</c:v>
                </c:pt>
                <c:pt idx="686">
                  <c:v>-266.06333333330844</c:v>
                </c:pt>
                <c:pt idx="687">
                  <c:v>-266.06333333330844</c:v>
                </c:pt>
                <c:pt idx="688">
                  <c:v>-266.06333333330844</c:v>
                </c:pt>
                <c:pt idx="689">
                  <c:v>-266.06333333330844</c:v>
                </c:pt>
                <c:pt idx="690">
                  <c:v>-266.06333333330844</c:v>
                </c:pt>
                <c:pt idx="691">
                  <c:v>-266.06333333330844</c:v>
                </c:pt>
                <c:pt idx="692">
                  <c:v>-266.06333333330844</c:v>
                </c:pt>
                <c:pt idx="693">
                  <c:v>-266.06333333330844</c:v>
                </c:pt>
                <c:pt idx="694">
                  <c:v>-266.06333333330844</c:v>
                </c:pt>
                <c:pt idx="695">
                  <c:v>-153.87333333301802</c:v>
                </c:pt>
                <c:pt idx="696">
                  <c:v>-153.87333333301802</c:v>
                </c:pt>
                <c:pt idx="697">
                  <c:v>-153.87333333301802</c:v>
                </c:pt>
                <c:pt idx="698">
                  <c:v>-153.87333333301802</c:v>
                </c:pt>
                <c:pt idx="699">
                  <c:v>-153.87333333301802</c:v>
                </c:pt>
                <c:pt idx="700">
                  <c:v>-153.87333333301802</c:v>
                </c:pt>
                <c:pt idx="701">
                  <c:v>-153.87333333301802</c:v>
                </c:pt>
                <c:pt idx="702">
                  <c:v>-153.87333333301802</c:v>
                </c:pt>
                <c:pt idx="703">
                  <c:v>-153.87333333301802</c:v>
                </c:pt>
                <c:pt idx="704">
                  <c:v>-153.87333333301802</c:v>
                </c:pt>
                <c:pt idx="705">
                  <c:v>-153.87333333301802</c:v>
                </c:pt>
                <c:pt idx="706">
                  <c:v>-153.87333333301802</c:v>
                </c:pt>
                <c:pt idx="707">
                  <c:v>-153.87333333301802</c:v>
                </c:pt>
                <c:pt idx="708">
                  <c:v>-153.87333333301802</c:v>
                </c:pt>
                <c:pt idx="709">
                  <c:v>-153.87333333301802</c:v>
                </c:pt>
                <c:pt idx="710">
                  <c:v>-153.87333333301802</c:v>
                </c:pt>
                <c:pt idx="711">
                  <c:v>-153.87333333301802</c:v>
                </c:pt>
                <c:pt idx="712">
                  <c:v>-153.87333333301802</c:v>
                </c:pt>
                <c:pt idx="713">
                  <c:v>-185.87333333301166</c:v>
                </c:pt>
                <c:pt idx="714">
                  <c:v>-185.87333333301166</c:v>
                </c:pt>
                <c:pt idx="715">
                  <c:v>-185.87333333301166</c:v>
                </c:pt>
                <c:pt idx="716">
                  <c:v>-185.87333333301166</c:v>
                </c:pt>
                <c:pt idx="717">
                  <c:v>-185.87333333301166</c:v>
                </c:pt>
                <c:pt idx="718">
                  <c:v>-185.87333333301166</c:v>
                </c:pt>
                <c:pt idx="719">
                  <c:v>-185.87333333301166</c:v>
                </c:pt>
                <c:pt idx="720">
                  <c:v>-185.87333333301166</c:v>
                </c:pt>
                <c:pt idx="721">
                  <c:v>-185.87333333301166</c:v>
                </c:pt>
                <c:pt idx="722">
                  <c:v>-185.87333333301166</c:v>
                </c:pt>
                <c:pt idx="723">
                  <c:v>-185.87333333301166</c:v>
                </c:pt>
                <c:pt idx="724">
                  <c:v>-185.87333333301166</c:v>
                </c:pt>
                <c:pt idx="725">
                  <c:v>-185.87333333301166</c:v>
                </c:pt>
                <c:pt idx="726">
                  <c:v>-185.87333333301166</c:v>
                </c:pt>
                <c:pt idx="727">
                  <c:v>-185.87333333301166</c:v>
                </c:pt>
                <c:pt idx="728">
                  <c:v>-185.87333333301166</c:v>
                </c:pt>
                <c:pt idx="729">
                  <c:v>-185.87333333301166</c:v>
                </c:pt>
                <c:pt idx="730">
                  <c:v>-185.87333333301166</c:v>
                </c:pt>
                <c:pt idx="731">
                  <c:v>-185.87333333301166</c:v>
                </c:pt>
                <c:pt idx="732">
                  <c:v>-281.8733333330153</c:v>
                </c:pt>
                <c:pt idx="733">
                  <c:v>-281.8733333330153</c:v>
                </c:pt>
                <c:pt idx="734">
                  <c:v>-281.8733333330153</c:v>
                </c:pt>
                <c:pt idx="735">
                  <c:v>-281.8733333330153</c:v>
                </c:pt>
                <c:pt idx="736">
                  <c:v>-281.8733333330153</c:v>
                </c:pt>
                <c:pt idx="737">
                  <c:v>-281.8733333330153</c:v>
                </c:pt>
                <c:pt idx="738">
                  <c:v>-281.8733333330153</c:v>
                </c:pt>
                <c:pt idx="739">
                  <c:v>-281.8733333330153</c:v>
                </c:pt>
                <c:pt idx="740">
                  <c:v>-281.8733333330153</c:v>
                </c:pt>
                <c:pt idx="741">
                  <c:v>-281.8733333330153</c:v>
                </c:pt>
                <c:pt idx="742">
                  <c:v>-281.8733333330153</c:v>
                </c:pt>
                <c:pt idx="743">
                  <c:v>-281.8733333330153</c:v>
                </c:pt>
                <c:pt idx="744">
                  <c:v>-281.8733333330153</c:v>
                </c:pt>
                <c:pt idx="745">
                  <c:v>-281.8733333330153</c:v>
                </c:pt>
                <c:pt idx="746">
                  <c:v>-281.8733333330153</c:v>
                </c:pt>
                <c:pt idx="747">
                  <c:v>-281.8733333330153</c:v>
                </c:pt>
                <c:pt idx="748">
                  <c:v>-281.8733333330153</c:v>
                </c:pt>
                <c:pt idx="749">
                  <c:v>-281.8733333330153</c:v>
                </c:pt>
                <c:pt idx="750">
                  <c:v>-281.8733333330153</c:v>
                </c:pt>
                <c:pt idx="751">
                  <c:v>-281.8733333330153</c:v>
                </c:pt>
                <c:pt idx="752">
                  <c:v>-281.8733333330153</c:v>
                </c:pt>
                <c:pt idx="753">
                  <c:v>-281.8733333330153</c:v>
                </c:pt>
                <c:pt idx="754">
                  <c:v>-281.8733333330153</c:v>
                </c:pt>
                <c:pt idx="755">
                  <c:v>-281.8733333330153</c:v>
                </c:pt>
                <c:pt idx="756">
                  <c:v>-281.8733333330153</c:v>
                </c:pt>
                <c:pt idx="757">
                  <c:v>-281.8733333330153</c:v>
                </c:pt>
                <c:pt idx="758">
                  <c:v>-281.8733333330153</c:v>
                </c:pt>
                <c:pt idx="759">
                  <c:v>-816.93333333311739</c:v>
                </c:pt>
                <c:pt idx="760">
                  <c:v>-816.93333333311739</c:v>
                </c:pt>
                <c:pt idx="761">
                  <c:v>-816.93333333311739</c:v>
                </c:pt>
                <c:pt idx="762">
                  <c:v>-816.93333333311739</c:v>
                </c:pt>
                <c:pt idx="763">
                  <c:v>-816.93333333311739</c:v>
                </c:pt>
                <c:pt idx="764">
                  <c:v>-816.93333333311739</c:v>
                </c:pt>
                <c:pt idx="765">
                  <c:v>-816.93333333311739</c:v>
                </c:pt>
                <c:pt idx="766">
                  <c:v>-816.93333333311739</c:v>
                </c:pt>
                <c:pt idx="767">
                  <c:v>-816.93333333311739</c:v>
                </c:pt>
                <c:pt idx="768">
                  <c:v>-816.93333333311739</c:v>
                </c:pt>
                <c:pt idx="769">
                  <c:v>-816.93333333311739</c:v>
                </c:pt>
                <c:pt idx="770">
                  <c:v>-816.93333333311739</c:v>
                </c:pt>
                <c:pt idx="771">
                  <c:v>-816.93333333311739</c:v>
                </c:pt>
                <c:pt idx="772">
                  <c:v>-816.93333333311739</c:v>
                </c:pt>
                <c:pt idx="773">
                  <c:v>-816.93333333311739</c:v>
                </c:pt>
                <c:pt idx="774">
                  <c:v>-816.93333333311739</c:v>
                </c:pt>
                <c:pt idx="775">
                  <c:v>-816.93333333311739</c:v>
                </c:pt>
                <c:pt idx="776">
                  <c:v>-816.93333333311739</c:v>
                </c:pt>
                <c:pt idx="777">
                  <c:v>-816.93333333311739</c:v>
                </c:pt>
                <c:pt idx="778">
                  <c:v>-816.93333333311739</c:v>
                </c:pt>
                <c:pt idx="779">
                  <c:v>-816.93333333311739</c:v>
                </c:pt>
                <c:pt idx="780">
                  <c:v>-816.93333333311739</c:v>
                </c:pt>
                <c:pt idx="781">
                  <c:v>-816.93333333311739</c:v>
                </c:pt>
                <c:pt idx="782">
                  <c:v>-816.93333333311739</c:v>
                </c:pt>
                <c:pt idx="783">
                  <c:v>-816.93333333311739</c:v>
                </c:pt>
                <c:pt idx="784">
                  <c:v>-816.93333333311739</c:v>
                </c:pt>
                <c:pt idx="785">
                  <c:v>-816.93333333311739</c:v>
                </c:pt>
                <c:pt idx="786">
                  <c:v>-816.93333333311739</c:v>
                </c:pt>
                <c:pt idx="787">
                  <c:v>-816.93333333311739</c:v>
                </c:pt>
                <c:pt idx="788">
                  <c:v>-816.93333333311739</c:v>
                </c:pt>
                <c:pt idx="789">
                  <c:v>-816.93333333311739</c:v>
                </c:pt>
                <c:pt idx="790">
                  <c:v>-816.93333333311739</c:v>
                </c:pt>
                <c:pt idx="791">
                  <c:v>-816.93333333311739</c:v>
                </c:pt>
                <c:pt idx="792">
                  <c:v>-816.93333333311739</c:v>
                </c:pt>
                <c:pt idx="793">
                  <c:v>-816.93333333311739</c:v>
                </c:pt>
                <c:pt idx="794">
                  <c:v>-816.93333333311739</c:v>
                </c:pt>
                <c:pt idx="795">
                  <c:v>-816.93333333311739</c:v>
                </c:pt>
                <c:pt idx="796">
                  <c:v>-816.93333333311739</c:v>
                </c:pt>
                <c:pt idx="797">
                  <c:v>-816.93333333311739</c:v>
                </c:pt>
                <c:pt idx="798">
                  <c:v>-816.93333333311739</c:v>
                </c:pt>
                <c:pt idx="799">
                  <c:v>-816.93333333311739</c:v>
                </c:pt>
                <c:pt idx="800">
                  <c:v>-816.93333333311739</c:v>
                </c:pt>
                <c:pt idx="801">
                  <c:v>-816.93333333311739</c:v>
                </c:pt>
                <c:pt idx="802">
                  <c:v>-816.93333333311739</c:v>
                </c:pt>
                <c:pt idx="803">
                  <c:v>-816.93333333311739</c:v>
                </c:pt>
                <c:pt idx="804">
                  <c:v>-816.93333333311739</c:v>
                </c:pt>
                <c:pt idx="805">
                  <c:v>-816.93333333311739</c:v>
                </c:pt>
                <c:pt idx="806">
                  <c:v>-816.93333333311739</c:v>
                </c:pt>
                <c:pt idx="807">
                  <c:v>-816.93333333311739</c:v>
                </c:pt>
                <c:pt idx="808">
                  <c:v>-816.93333333311739</c:v>
                </c:pt>
                <c:pt idx="809">
                  <c:v>-816.93333333311739</c:v>
                </c:pt>
                <c:pt idx="810">
                  <c:v>-816.93333333311739</c:v>
                </c:pt>
                <c:pt idx="811">
                  <c:v>-816.93333333311739</c:v>
                </c:pt>
                <c:pt idx="812">
                  <c:v>-816.93333333311739</c:v>
                </c:pt>
                <c:pt idx="813">
                  <c:v>-816.93333333311739</c:v>
                </c:pt>
                <c:pt idx="814">
                  <c:v>-816.93333333311739</c:v>
                </c:pt>
                <c:pt idx="815">
                  <c:v>-816.93333333311739</c:v>
                </c:pt>
                <c:pt idx="816">
                  <c:v>-816.93333333311739</c:v>
                </c:pt>
                <c:pt idx="817">
                  <c:v>-852.93333333318697</c:v>
                </c:pt>
                <c:pt idx="818">
                  <c:v>-852.93333333318697</c:v>
                </c:pt>
                <c:pt idx="819">
                  <c:v>-852.93333333318697</c:v>
                </c:pt>
                <c:pt idx="820">
                  <c:v>-852.93333333318697</c:v>
                </c:pt>
                <c:pt idx="821">
                  <c:v>-852.93333333318697</c:v>
                </c:pt>
                <c:pt idx="822">
                  <c:v>-852.93333333318697</c:v>
                </c:pt>
                <c:pt idx="823">
                  <c:v>-852.93333333318697</c:v>
                </c:pt>
                <c:pt idx="824">
                  <c:v>-852.93333333318697</c:v>
                </c:pt>
                <c:pt idx="825">
                  <c:v>-852.93333333318697</c:v>
                </c:pt>
                <c:pt idx="826">
                  <c:v>-852.93333333318697</c:v>
                </c:pt>
                <c:pt idx="827">
                  <c:v>-852.93333333318697</c:v>
                </c:pt>
                <c:pt idx="828">
                  <c:v>-852.93333333318697</c:v>
                </c:pt>
                <c:pt idx="829">
                  <c:v>-852.93333333318697</c:v>
                </c:pt>
                <c:pt idx="830">
                  <c:v>-852.93333333318697</c:v>
                </c:pt>
                <c:pt idx="831">
                  <c:v>-852.93333333318697</c:v>
                </c:pt>
                <c:pt idx="832">
                  <c:v>-852.93333333318697</c:v>
                </c:pt>
                <c:pt idx="833">
                  <c:v>-852.93333333318697</c:v>
                </c:pt>
                <c:pt idx="834">
                  <c:v>-852.93333333318697</c:v>
                </c:pt>
                <c:pt idx="835">
                  <c:v>-852.93333333318697</c:v>
                </c:pt>
                <c:pt idx="836">
                  <c:v>-852.93333333318697</c:v>
                </c:pt>
                <c:pt idx="837">
                  <c:v>-852.93333333318697</c:v>
                </c:pt>
                <c:pt idx="838">
                  <c:v>-852.93333333318697</c:v>
                </c:pt>
                <c:pt idx="839">
                  <c:v>-852.93333333318697</c:v>
                </c:pt>
                <c:pt idx="840">
                  <c:v>-852.93333333318697</c:v>
                </c:pt>
                <c:pt idx="841">
                  <c:v>-852.93333333318697</c:v>
                </c:pt>
                <c:pt idx="842">
                  <c:v>-852.93333333318697</c:v>
                </c:pt>
                <c:pt idx="843">
                  <c:v>-852.93333333318697</c:v>
                </c:pt>
                <c:pt idx="844">
                  <c:v>-852.93333333318697</c:v>
                </c:pt>
                <c:pt idx="845">
                  <c:v>-852.93333333318697</c:v>
                </c:pt>
                <c:pt idx="846">
                  <c:v>-852.93333333318697</c:v>
                </c:pt>
                <c:pt idx="847">
                  <c:v>-852.93333333318697</c:v>
                </c:pt>
                <c:pt idx="848">
                  <c:v>-852.93333333318697</c:v>
                </c:pt>
                <c:pt idx="849">
                  <c:v>-852.93333333318697</c:v>
                </c:pt>
                <c:pt idx="850">
                  <c:v>-852.93333333318697</c:v>
                </c:pt>
                <c:pt idx="851">
                  <c:v>-852.93333333318697</c:v>
                </c:pt>
                <c:pt idx="852">
                  <c:v>-852.93333333318697</c:v>
                </c:pt>
                <c:pt idx="853">
                  <c:v>-852.93333333318697</c:v>
                </c:pt>
                <c:pt idx="854">
                  <c:v>-852.93333333318697</c:v>
                </c:pt>
                <c:pt idx="855">
                  <c:v>-852.93333333318697</c:v>
                </c:pt>
                <c:pt idx="856">
                  <c:v>-852.93333333318697</c:v>
                </c:pt>
                <c:pt idx="857">
                  <c:v>-852.93333333318697</c:v>
                </c:pt>
                <c:pt idx="858">
                  <c:v>-852.93333333318697</c:v>
                </c:pt>
                <c:pt idx="859">
                  <c:v>-852.93333333318697</c:v>
                </c:pt>
                <c:pt idx="860">
                  <c:v>-852.93333333318697</c:v>
                </c:pt>
                <c:pt idx="861">
                  <c:v>-852.93333333318697</c:v>
                </c:pt>
                <c:pt idx="862">
                  <c:v>-852.93333333318697</c:v>
                </c:pt>
                <c:pt idx="863">
                  <c:v>-852.93333333318697</c:v>
                </c:pt>
                <c:pt idx="864">
                  <c:v>-852.93333333318697</c:v>
                </c:pt>
                <c:pt idx="865">
                  <c:v>-852.93333333318697</c:v>
                </c:pt>
                <c:pt idx="866">
                  <c:v>-852.93333333318697</c:v>
                </c:pt>
                <c:pt idx="867">
                  <c:v>-852.93333333318697</c:v>
                </c:pt>
                <c:pt idx="868">
                  <c:v>-852.93333333318697</c:v>
                </c:pt>
                <c:pt idx="869">
                  <c:v>-852.93333333318697</c:v>
                </c:pt>
                <c:pt idx="870">
                  <c:v>-852.93333333318697</c:v>
                </c:pt>
                <c:pt idx="871">
                  <c:v>-852.93333333318697</c:v>
                </c:pt>
                <c:pt idx="872">
                  <c:v>-852.93333333318697</c:v>
                </c:pt>
                <c:pt idx="873">
                  <c:v>-852.93333333318697</c:v>
                </c:pt>
                <c:pt idx="874">
                  <c:v>-852.93333333318697</c:v>
                </c:pt>
                <c:pt idx="875">
                  <c:v>-852.93333333318697</c:v>
                </c:pt>
                <c:pt idx="876">
                  <c:v>-852.93333333318697</c:v>
                </c:pt>
                <c:pt idx="877">
                  <c:v>-852.93333333318697</c:v>
                </c:pt>
                <c:pt idx="878">
                  <c:v>-852.93333333318697</c:v>
                </c:pt>
                <c:pt idx="879">
                  <c:v>-852.93333333318697</c:v>
                </c:pt>
                <c:pt idx="880">
                  <c:v>-852.93333333318697</c:v>
                </c:pt>
                <c:pt idx="881">
                  <c:v>-852.93333333318697</c:v>
                </c:pt>
                <c:pt idx="882">
                  <c:v>-852.93333333318697</c:v>
                </c:pt>
                <c:pt idx="883">
                  <c:v>-852.93333333318697</c:v>
                </c:pt>
                <c:pt idx="884">
                  <c:v>-852.93333333318697</c:v>
                </c:pt>
                <c:pt idx="885">
                  <c:v>-852.93333333318697</c:v>
                </c:pt>
                <c:pt idx="886">
                  <c:v>-852.93333333318697</c:v>
                </c:pt>
                <c:pt idx="887">
                  <c:v>-852.93333333318697</c:v>
                </c:pt>
                <c:pt idx="888">
                  <c:v>-852.93333333318697</c:v>
                </c:pt>
                <c:pt idx="889">
                  <c:v>-852.93333333318697</c:v>
                </c:pt>
                <c:pt idx="890">
                  <c:v>-852.93333333318697</c:v>
                </c:pt>
                <c:pt idx="891">
                  <c:v>-852.93333333318697</c:v>
                </c:pt>
                <c:pt idx="892">
                  <c:v>-852.93333333318697</c:v>
                </c:pt>
                <c:pt idx="893">
                  <c:v>-852.93333333318697</c:v>
                </c:pt>
                <c:pt idx="894">
                  <c:v>-852.93333333318697</c:v>
                </c:pt>
                <c:pt idx="895">
                  <c:v>-804.93333333318515</c:v>
                </c:pt>
                <c:pt idx="896">
                  <c:v>-804.93333333318515</c:v>
                </c:pt>
                <c:pt idx="897">
                  <c:v>-804.93333333318515</c:v>
                </c:pt>
                <c:pt idx="898">
                  <c:v>-804.93333333318515</c:v>
                </c:pt>
                <c:pt idx="899">
                  <c:v>-804.93333333318515</c:v>
                </c:pt>
                <c:pt idx="900">
                  <c:v>-804.93333333318515</c:v>
                </c:pt>
                <c:pt idx="901">
                  <c:v>-804.93333333318515</c:v>
                </c:pt>
                <c:pt idx="902">
                  <c:v>-804.93333333318515</c:v>
                </c:pt>
                <c:pt idx="903">
                  <c:v>-804.93333333318515</c:v>
                </c:pt>
                <c:pt idx="904">
                  <c:v>-804.93333333318515</c:v>
                </c:pt>
                <c:pt idx="905">
                  <c:v>-804.93333333318515</c:v>
                </c:pt>
                <c:pt idx="906">
                  <c:v>-804.93333333318515</c:v>
                </c:pt>
                <c:pt idx="907">
                  <c:v>-804.93333333318515</c:v>
                </c:pt>
                <c:pt idx="908">
                  <c:v>-804.93333333318515</c:v>
                </c:pt>
                <c:pt idx="909">
                  <c:v>-804.93333333318515</c:v>
                </c:pt>
                <c:pt idx="910">
                  <c:v>-804.93333333318515</c:v>
                </c:pt>
                <c:pt idx="911">
                  <c:v>-804.93333333318515</c:v>
                </c:pt>
                <c:pt idx="912">
                  <c:v>-804.93333333318515</c:v>
                </c:pt>
                <c:pt idx="913">
                  <c:v>-804.93333333318515</c:v>
                </c:pt>
                <c:pt idx="914">
                  <c:v>-804.93333333318515</c:v>
                </c:pt>
                <c:pt idx="915">
                  <c:v>-779.04333333313514</c:v>
                </c:pt>
                <c:pt idx="916">
                  <c:v>-779.04333333313514</c:v>
                </c:pt>
                <c:pt idx="917">
                  <c:v>-779.04333333313514</c:v>
                </c:pt>
                <c:pt idx="918">
                  <c:v>-779.04333333313514</c:v>
                </c:pt>
                <c:pt idx="919">
                  <c:v>-779.04333333313514</c:v>
                </c:pt>
                <c:pt idx="920">
                  <c:v>-779.04333333313514</c:v>
                </c:pt>
                <c:pt idx="921">
                  <c:v>-779.04333333313514</c:v>
                </c:pt>
                <c:pt idx="922">
                  <c:v>-779.04333333313514</c:v>
                </c:pt>
                <c:pt idx="923">
                  <c:v>-779.04333333313514</c:v>
                </c:pt>
                <c:pt idx="924">
                  <c:v>-779.04333333313514</c:v>
                </c:pt>
                <c:pt idx="925">
                  <c:v>-779.04333333313514</c:v>
                </c:pt>
                <c:pt idx="926">
                  <c:v>-779.04333333313514</c:v>
                </c:pt>
                <c:pt idx="927">
                  <c:v>-779.04333333313514</c:v>
                </c:pt>
                <c:pt idx="928">
                  <c:v>-779.04333333313514</c:v>
                </c:pt>
                <c:pt idx="929">
                  <c:v>-779.04333333313514</c:v>
                </c:pt>
                <c:pt idx="930">
                  <c:v>-779.04333333313514</c:v>
                </c:pt>
                <c:pt idx="931">
                  <c:v>-779.04333333313514</c:v>
                </c:pt>
                <c:pt idx="932">
                  <c:v>-779.04333333313514</c:v>
                </c:pt>
                <c:pt idx="933">
                  <c:v>-707.0433333330983</c:v>
                </c:pt>
                <c:pt idx="934">
                  <c:v>-707.0433333330983</c:v>
                </c:pt>
                <c:pt idx="935">
                  <c:v>-707.0433333330983</c:v>
                </c:pt>
                <c:pt idx="936">
                  <c:v>-707.0433333330983</c:v>
                </c:pt>
                <c:pt idx="937">
                  <c:v>-707.0433333330983</c:v>
                </c:pt>
                <c:pt idx="938">
                  <c:v>-707.0433333330983</c:v>
                </c:pt>
                <c:pt idx="939">
                  <c:v>-707.0433333330983</c:v>
                </c:pt>
                <c:pt idx="940">
                  <c:v>-707.0433333330983</c:v>
                </c:pt>
                <c:pt idx="941">
                  <c:v>-707.0433333330983</c:v>
                </c:pt>
                <c:pt idx="942">
                  <c:v>-707.0433333330983</c:v>
                </c:pt>
                <c:pt idx="943">
                  <c:v>-707.0433333330983</c:v>
                </c:pt>
                <c:pt idx="944">
                  <c:v>-707.0433333330983</c:v>
                </c:pt>
                <c:pt idx="945">
                  <c:v>-707.0433333330983</c:v>
                </c:pt>
                <c:pt idx="946">
                  <c:v>-707.0433333330983</c:v>
                </c:pt>
                <c:pt idx="947">
                  <c:v>-707.0433333330983</c:v>
                </c:pt>
                <c:pt idx="948">
                  <c:v>-671.04333333302873</c:v>
                </c:pt>
                <c:pt idx="949">
                  <c:v>-671.04333333302873</c:v>
                </c:pt>
                <c:pt idx="950">
                  <c:v>-707.04333333299599</c:v>
                </c:pt>
                <c:pt idx="951">
                  <c:v>-707.04333333299599</c:v>
                </c:pt>
                <c:pt idx="952">
                  <c:v>-707.04333333299599</c:v>
                </c:pt>
                <c:pt idx="953">
                  <c:v>-707.04333333299599</c:v>
                </c:pt>
                <c:pt idx="954">
                  <c:v>-707.04333333299599</c:v>
                </c:pt>
                <c:pt idx="955">
                  <c:v>-707.04333333299599</c:v>
                </c:pt>
                <c:pt idx="956">
                  <c:v>-707.04333333299599</c:v>
                </c:pt>
                <c:pt idx="957">
                  <c:v>-707.04333333299599</c:v>
                </c:pt>
                <c:pt idx="958">
                  <c:v>-707.04333333299599</c:v>
                </c:pt>
                <c:pt idx="959">
                  <c:v>-707.04333333299599</c:v>
                </c:pt>
                <c:pt idx="960">
                  <c:v>-707.04333333299599</c:v>
                </c:pt>
                <c:pt idx="961">
                  <c:v>-707.04333333299599</c:v>
                </c:pt>
                <c:pt idx="962">
                  <c:v>-707.04333333299599</c:v>
                </c:pt>
                <c:pt idx="963">
                  <c:v>-707.04333333299599</c:v>
                </c:pt>
                <c:pt idx="964">
                  <c:v>-707.04333333299599</c:v>
                </c:pt>
                <c:pt idx="965">
                  <c:v>-691.04333333301054</c:v>
                </c:pt>
                <c:pt idx="966">
                  <c:v>-691.04333333301054</c:v>
                </c:pt>
                <c:pt idx="967">
                  <c:v>-691.04333333301054</c:v>
                </c:pt>
                <c:pt idx="968">
                  <c:v>-691.04333333301054</c:v>
                </c:pt>
                <c:pt idx="969">
                  <c:v>-691.04333333301054</c:v>
                </c:pt>
                <c:pt idx="970">
                  <c:v>-691.04333333301054</c:v>
                </c:pt>
                <c:pt idx="971">
                  <c:v>-547.04333333293687</c:v>
                </c:pt>
                <c:pt idx="972">
                  <c:v>-475.04333333290003</c:v>
                </c:pt>
                <c:pt idx="973">
                  <c:v>-907.0433333329164</c:v>
                </c:pt>
                <c:pt idx="974">
                  <c:v>-1231.0433333329288</c:v>
                </c:pt>
                <c:pt idx="975">
                  <c:v>-1411.0433333328674</c:v>
                </c:pt>
                <c:pt idx="976">
                  <c:v>-1411.0433333328674</c:v>
                </c:pt>
                <c:pt idx="977">
                  <c:v>-1411.0433333328674</c:v>
                </c:pt>
                <c:pt idx="978">
                  <c:v>-1342.0033333329056</c:v>
                </c:pt>
                <c:pt idx="979">
                  <c:v>-1342.0033333329056</c:v>
                </c:pt>
                <c:pt idx="980">
                  <c:v>-1342.0033333329056</c:v>
                </c:pt>
                <c:pt idx="981">
                  <c:v>-1342.0033333329056</c:v>
                </c:pt>
                <c:pt idx="982">
                  <c:v>-1342.0033333329056</c:v>
                </c:pt>
                <c:pt idx="983">
                  <c:v>-1342.0033333329056</c:v>
                </c:pt>
                <c:pt idx="984">
                  <c:v>-1342.0033333329056</c:v>
                </c:pt>
                <c:pt idx="985">
                  <c:v>-1342.0033333329056</c:v>
                </c:pt>
                <c:pt idx="986">
                  <c:v>-1342.0033333329056</c:v>
                </c:pt>
                <c:pt idx="987">
                  <c:v>-1342.0033333329056</c:v>
                </c:pt>
                <c:pt idx="988">
                  <c:v>-1342.0033333329056</c:v>
                </c:pt>
                <c:pt idx="989">
                  <c:v>-1342.0033333329056</c:v>
                </c:pt>
                <c:pt idx="990">
                  <c:v>-1378.0033333329752</c:v>
                </c:pt>
                <c:pt idx="991">
                  <c:v>-1378.0033333329752</c:v>
                </c:pt>
                <c:pt idx="992">
                  <c:v>-1378.0033333329752</c:v>
                </c:pt>
                <c:pt idx="993">
                  <c:v>-1378.0033333329752</c:v>
                </c:pt>
                <c:pt idx="994">
                  <c:v>-1378.0033333329752</c:v>
                </c:pt>
                <c:pt idx="995">
                  <c:v>-1378.0033333329752</c:v>
                </c:pt>
                <c:pt idx="996">
                  <c:v>-1378.0033333329752</c:v>
                </c:pt>
                <c:pt idx="997">
                  <c:v>-1378.0033333329752</c:v>
                </c:pt>
                <c:pt idx="998">
                  <c:v>-1378.0033333329752</c:v>
                </c:pt>
                <c:pt idx="999">
                  <c:v>-1378.0033333329752</c:v>
                </c:pt>
                <c:pt idx="1000">
                  <c:v>-1378.0033333329752</c:v>
                </c:pt>
                <c:pt idx="1001">
                  <c:v>-1378.0033333329752</c:v>
                </c:pt>
                <c:pt idx="1002">
                  <c:v>-1378.0033333329752</c:v>
                </c:pt>
                <c:pt idx="1003">
                  <c:v>-1378.0033333329752</c:v>
                </c:pt>
                <c:pt idx="1004">
                  <c:v>-1450.0033333329097</c:v>
                </c:pt>
                <c:pt idx="1005">
                  <c:v>-1450.0033333329097</c:v>
                </c:pt>
                <c:pt idx="1006">
                  <c:v>-1450.0033333329097</c:v>
                </c:pt>
                <c:pt idx="1007">
                  <c:v>-1450.0033333329097</c:v>
                </c:pt>
                <c:pt idx="1008">
                  <c:v>-1450.0033333329097</c:v>
                </c:pt>
                <c:pt idx="1009">
                  <c:v>-1450.0033333329097</c:v>
                </c:pt>
                <c:pt idx="1010">
                  <c:v>-1450.0033333329097</c:v>
                </c:pt>
                <c:pt idx="1011">
                  <c:v>-1450.0033333329097</c:v>
                </c:pt>
                <c:pt idx="1012">
                  <c:v>-1441.3733333329176</c:v>
                </c:pt>
                <c:pt idx="1013">
                  <c:v>-1441.3733333329176</c:v>
                </c:pt>
                <c:pt idx="1014">
                  <c:v>-1441.3733333329176</c:v>
                </c:pt>
                <c:pt idx="1015">
                  <c:v>-1441.3733333329176</c:v>
                </c:pt>
                <c:pt idx="1016">
                  <c:v>-1441.3733333329176</c:v>
                </c:pt>
                <c:pt idx="1017">
                  <c:v>-1441.3733333329176</c:v>
                </c:pt>
                <c:pt idx="1018">
                  <c:v>-1441.3733333329176</c:v>
                </c:pt>
                <c:pt idx="1019">
                  <c:v>-1441.3733333329176</c:v>
                </c:pt>
                <c:pt idx="1020">
                  <c:v>-1441.3733333329176</c:v>
                </c:pt>
                <c:pt idx="1021">
                  <c:v>-1441.3733333329176</c:v>
                </c:pt>
                <c:pt idx="1022">
                  <c:v>-1441.3733333329176</c:v>
                </c:pt>
                <c:pt idx="1023">
                  <c:v>-1441.3733333329176</c:v>
                </c:pt>
                <c:pt idx="1024">
                  <c:v>-1441.3733333329176</c:v>
                </c:pt>
                <c:pt idx="1025">
                  <c:v>-1441.3733333329176</c:v>
                </c:pt>
                <c:pt idx="1026">
                  <c:v>-1441.3733333329176</c:v>
                </c:pt>
                <c:pt idx="1027">
                  <c:v>-1441.3733333329176</c:v>
                </c:pt>
                <c:pt idx="1028">
                  <c:v>-1441.3733333329176</c:v>
                </c:pt>
                <c:pt idx="1029">
                  <c:v>-1441.3733333329176</c:v>
                </c:pt>
                <c:pt idx="1030">
                  <c:v>-1441.3733333329176</c:v>
                </c:pt>
                <c:pt idx="1031">
                  <c:v>-1441.3733333329176</c:v>
                </c:pt>
                <c:pt idx="1032">
                  <c:v>-1441.3733333329176</c:v>
                </c:pt>
                <c:pt idx="1033">
                  <c:v>-1441.3733333329176</c:v>
                </c:pt>
                <c:pt idx="1034">
                  <c:v>-1441.3733333329176</c:v>
                </c:pt>
                <c:pt idx="1035">
                  <c:v>-1441.3733333329176</c:v>
                </c:pt>
                <c:pt idx="1036">
                  <c:v>-1441.3733333329176</c:v>
                </c:pt>
                <c:pt idx="1037">
                  <c:v>-1441.3733333329176</c:v>
                </c:pt>
                <c:pt idx="1038">
                  <c:v>-1441.3733333329176</c:v>
                </c:pt>
                <c:pt idx="1039">
                  <c:v>-1441.3733333329176</c:v>
                </c:pt>
                <c:pt idx="1040">
                  <c:v>-1441.3733333329176</c:v>
                </c:pt>
                <c:pt idx="1041">
                  <c:v>-1441.3733333329176</c:v>
                </c:pt>
                <c:pt idx="1042">
                  <c:v>-1441.3733333329176</c:v>
                </c:pt>
                <c:pt idx="1043">
                  <c:v>-1441.3733333329176</c:v>
                </c:pt>
                <c:pt idx="1044">
                  <c:v>-1441.3733333329176</c:v>
                </c:pt>
                <c:pt idx="1045">
                  <c:v>-1441.3733333329176</c:v>
                </c:pt>
                <c:pt idx="1046">
                  <c:v>-1441.3733333329176</c:v>
                </c:pt>
                <c:pt idx="1047">
                  <c:v>-1441.3733333329176</c:v>
                </c:pt>
                <c:pt idx="1048">
                  <c:v>-1441.3733333329176</c:v>
                </c:pt>
                <c:pt idx="1049">
                  <c:v>-1441.3733333329176</c:v>
                </c:pt>
                <c:pt idx="1050">
                  <c:v>-1441.3733333329176</c:v>
                </c:pt>
                <c:pt idx="1051">
                  <c:v>-1441.3733333329176</c:v>
                </c:pt>
                <c:pt idx="1052">
                  <c:v>-1441.3733333329176</c:v>
                </c:pt>
                <c:pt idx="1053">
                  <c:v>-1441.3733333329176</c:v>
                </c:pt>
                <c:pt idx="1054">
                  <c:v>-1441.3733333329176</c:v>
                </c:pt>
                <c:pt idx="1055">
                  <c:v>-1441.3733333329176</c:v>
                </c:pt>
                <c:pt idx="1056">
                  <c:v>-1441.3733333329176</c:v>
                </c:pt>
                <c:pt idx="1057">
                  <c:v>-1477.3733333328848</c:v>
                </c:pt>
                <c:pt idx="1058">
                  <c:v>-1441.3733333329176</c:v>
                </c:pt>
                <c:pt idx="1059">
                  <c:v>-1441.3733333329176</c:v>
                </c:pt>
                <c:pt idx="1060">
                  <c:v>-1441.3733333329176</c:v>
                </c:pt>
                <c:pt idx="1061">
                  <c:v>-1441.3733333329176</c:v>
                </c:pt>
                <c:pt idx="1062">
                  <c:v>-1441.3733333329176</c:v>
                </c:pt>
                <c:pt idx="1063">
                  <c:v>-1441.3733333329176</c:v>
                </c:pt>
                <c:pt idx="1064">
                  <c:v>-1441.3733333329176</c:v>
                </c:pt>
                <c:pt idx="1065">
                  <c:v>-1297.3733333328439</c:v>
                </c:pt>
                <c:pt idx="1066">
                  <c:v>-1261.3733333328767</c:v>
                </c:pt>
                <c:pt idx="1067">
                  <c:v>-1261.3733333328767</c:v>
                </c:pt>
                <c:pt idx="1068">
                  <c:v>-1261.3733333328767</c:v>
                </c:pt>
                <c:pt idx="1069">
                  <c:v>-1261.3733333328767</c:v>
                </c:pt>
                <c:pt idx="1070">
                  <c:v>-1261.3733333328767</c:v>
                </c:pt>
                <c:pt idx="1071">
                  <c:v>-1261.3733333328767</c:v>
                </c:pt>
                <c:pt idx="1072">
                  <c:v>-1261.3733333328767</c:v>
                </c:pt>
                <c:pt idx="1073">
                  <c:v>-1261.3733333328767</c:v>
                </c:pt>
                <c:pt idx="1074">
                  <c:v>-1261.3733333328767</c:v>
                </c:pt>
                <c:pt idx="1075">
                  <c:v>-1261.3733333328767</c:v>
                </c:pt>
                <c:pt idx="1076">
                  <c:v>-1261.3733333328767</c:v>
                </c:pt>
                <c:pt idx="1077">
                  <c:v>-1261.3733333328767</c:v>
                </c:pt>
                <c:pt idx="1078">
                  <c:v>-1261.3733333328767</c:v>
                </c:pt>
                <c:pt idx="1079">
                  <c:v>-1261.3733333328767</c:v>
                </c:pt>
                <c:pt idx="1080">
                  <c:v>-1261.3733333328767</c:v>
                </c:pt>
                <c:pt idx="1081">
                  <c:v>-1261.3733333328767</c:v>
                </c:pt>
                <c:pt idx="1082">
                  <c:v>-1261.3733333328767</c:v>
                </c:pt>
                <c:pt idx="1083">
                  <c:v>-1261.3733333328767</c:v>
                </c:pt>
                <c:pt idx="1084">
                  <c:v>-1261.3733333328767</c:v>
                </c:pt>
                <c:pt idx="1085">
                  <c:v>-1261.3733333328767</c:v>
                </c:pt>
                <c:pt idx="1086">
                  <c:v>-1261.3733333328767</c:v>
                </c:pt>
                <c:pt idx="1087">
                  <c:v>-1261.3733333328767</c:v>
                </c:pt>
                <c:pt idx="1088">
                  <c:v>-1261.3733333328767</c:v>
                </c:pt>
                <c:pt idx="1089">
                  <c:v>-1225.3733333329094</c:v>
                </c:pt>
                <c:pt idx="1090">
                  <c:v>-1225.3733333329094</c:v>
                </c:pt>
                <c:pt idx="1091">
                  <c:v>-1225.3733333329094</c:v>
                </c:pt>
                <c:pt idx="1092">
                  <c:v>-2016.5813333329609</c:v>
                </c:pt>
                <c:pt idx="1093">
                  <c:v>-2016.5813333329609</c:v>
                </c:pt>
                <c:pt idx="1094">
                  <c:v>-2016.5813333329609</c:v>
                </c:pt>
                <c:pt idx="1095">
                  <c:v>-2016.5813333329609</c:v>
                </c:pt>
                <c:pt idx="1096">
                  <c:v>-2016.5813333329609</c:v>
                </c:pt>
                <c:pt idx="1097">
                  <c:v>-2016.5813333329609</c:v>
                </c:pt>
                <c:pt idx="1098">
                  <c:v>-2016.5813333329609</c:v>
                </c:pt>
                <c:pt idx="1099">
                  <c:v>-2016.5813333329609</c:v>
                </c:pt>
                <c:pt idx="1100">
                  <c:v>-2016.5813333329609</c:v>
                </c:pt>
                <c:pt idx="1101">
                  <c:v>-2016.5813333329609</c:v>
                </c:pt>
                <c:pt idx="1102">
                  <c:v>-2016.5813333329609</c:v>
                </c:pt>
                <c:pt idx="1103">
                  <c:v>-2016.5813333329609</c:v>
                </c:pt>
                <c:pt idx="1104">
                  <c:v>-2016.5813333329609</c:v>
                </c:pt>
                <c:pt idx="1105">
                  <c:v>-2016.5813333329609</c:v>
                </c:pt>
                <c:pt idx="1106">
                  <c:v>-2016.5813333329609</c:v>
                </c:pt>
                <c:pt idx="1107">
                  <c:v>-2016.5813333329609</c:v>
                </c:pt>
                <c:pt idx="1108">
                  <c:v>-2016.5813333329609</c:v>
                </c:pt>
                <c:pt idx="1109">
                  <c:v>-2016.5813333329609</c:v>
                </c:pt>
                <c:pt idx="1110">
                  <c:v>-2016.5813333329609</c:v>
                </c:pt>
                <c:pt idx="1111">
                  <c:v>-2016.5813333329609</c:v>
                </c:pt>
                <c:pt idx="1112">
                  <c:v>-2016.5813333329609</c:v>
                </c:pt>
                <c:pt idx="1113">
                  <c:v>-2016.5813333329609</c:v>
                </c:pt>
                <c:pt idx="1114">
                  <c:v>-2016.5813333329609</c:v>
                </c:pt>
                <c:pt idx="1115">
                  <c:v>-2016.5813333329609</c:v>
                </c:pt>
                <c:pt idx="1116">
                  <c:v>-2016.5813333329609</c:v>
                </c:pt>
                <c:pt idx="1117">
                  <c:v>-2016.5813333329609</c:v>
                </c:pt>
                <c:pt idx="1118">
                  <c:v>-2016.5813333329609</c:v>
                </c:pt>
                <c:pt idx="1119">
                  <c:v>-2016.5813333329609</c:v>
                </c:pt>
                <c:pt idx="1120">
                  <c:v>-2016.5813333329609</c:v>
                </c:pt>
                <c:pt idx="1121">
                  <c:v>-2016.5813333329609</c:v>
                </c:pt>
                <c:pt idx="1122">
                  <c:v>-2016.5813333329609</c:v>
                </c:pt>
                <c:pt idx="1123">
                  <c:v>-2016.5813333329609</c:v>
                </c:pt>
                <c:pt idx="1124">
                  <c:v>-2016.5813333329609</c:v>
                </c:pt>
                <c:pt idx="1125">
                  <c:v>-2016.5813333329609</c:v>
                </c:pt>
                <c:pt idx="1126">
                  <c:v>-2016.5813333329609</c:v>
                </c:pt>
                <c:pt idx="1127">
                  <c:v>-2016.5813333329609</c:v>
                </c:pt>
                <c:pt idx="1128">
                  <c:v>-2016.5813333329609</c:v>
                </c:pt>
                <c:pt idx="1129">
                  <c:v>-2016.5813333329609</c:v>
                </c:pt>
                <c:pt idx="1130">
                  <c:v>-2016.5813333329609</c:v>
                </c:pt>
                <c:pt idx="1131">
                  <c:v>-2016.5813333329609</c:v>
                </c:pt>
                <c:pt idx="1132">
                  <c:v>-2016.5813333329609</c:v>
                </c:pt>
                <c:pt idx="1133">
                  <c:v>-2016.5813333329609</c:v>
                </c:pt>
                <c:pt idx="1134">
                  <c:v>-2016.5813333329609</c:v>
                </c:pt>
                <c:pt idx="1135">
                  <c:v>-2016.5813333329609</c:v>
                </c:pt>
                <c:pt idx="1136">
                  <c:v>-2016.5813333329609</c:v>
                </c:pt>
                <c:pt idx="1137">
                  <c:v>-2016.5813333329609</c:v>
                </c:pt>
                <c:pt idx="1138">
                  <c:v>-2016.5813333329609</c:v>
                </c:pt>
                <c:pt idx="1139">
                  <c:v>-2016.5813333329609</c:v>
                </c:pt>
                <c:pt idx="1140">
                  <c:v>-2016.5813333329609</c:v>
                </c:pt>
                <c:pt idx="1141">
                  <c:v>-2016.5813333329609</c:v>
                </c:pt>
                <c:pt idx="1142">
                  <c:v>-2016.5813333329609</c:v>
                </c:pt>
                <c:pt idx="1143">
                  <c:v>-2016.5813333329609</c:v>
                </c:pt>
                <c:pt idx="1144">
                  <c:v>-2016.5813333329609</c:v>
                </c:pt>
                <c:pt idx="1145">
                  <c:v>-2048.581333332977</c:v>
                </c:pt>
                <c:pt idx="1146">
                  <c:v>-2048.581333332977</c:v>
                </c:pt>
                <c:pt idx="1147">
                  <c:v>-2048.581333332977</c:v>
                </c:pt>
                <c:pt idx="1148">
                  <c:v>-1878.857999999896</c:v>
                </c:pt>
                <c:pt idx="1149">
                  <c:v>-1878.857999999896</c:v>
                </c:pt>
                <c:pt idx="1150">
                  <c:v>-1878.857999999896</c:v>
                </c:pt>
                <c:pt idx="1151">
                  <c:v>-1878.857999999896</c:v>
                </c:pt>
                <c:pt idx="1152">
                  <c:v>-1878.857999999896</c:v>
                </c:pt>
                <c:pt idx="1153">
                  <c:v>-1878.857999999896</c:v>
                </c:pt>
                <c:pt idx="1154">
                  <c:v>-1878.857999999896</c:v>
                </c:pt>
                <c:pt idx="1155">
                  <c:v>-1878.857999999896</c:v>
                </c:pt>
                <c:pt idx="1156">
                  <c:v>-1878.857999999896</c:v>
                </c:pt>
                <c:pt idx="1157">
                  <c:v>-1878.857999999896</c:v>
                </c:pt>
                <c:pt idx="1158">
                  <c:v>-1878.857999999896</c:v>
                </c:pt>
                <c:pt idx="1159">
                  <c:v>-1878.857999999896</c:v>
                </c:pt>
                <c:pt idx="1160">
                  <c:v>-1806.8579999999615</c:v>
                </c:pt>
                <c:pt idx="1161">
                  <c:v>-1806.8579999999615</c:v>
                </c:pt>
                <c:pt idx="1162">
                  <c:v>-1806.8579999999615</c:v>
                </c:pt>
                <c:pt idx="1163">
                  <c:v>-1806.8579999999615</c:v>
                </c:pt>
                <c:pt idx="1164">
                  <c:v>-1806.8579999999615</c:v>
                </c:pt>
                <c:pt idx="1165">
                  <c:v>-1806.8579999999615</c:v>
                </c:pt>
                <c:pt idx="1166">
                  <c:v>-1806.8579999999615</c:v>
                </c:pt>
                <c:pt idx="1167">
                  <c:v>-1806.8579999999615</c:v>
                </c:pt>
                <c:pt idx="1168">
                  <c:v>-1806.8579999999615</c:v>
                </c:pt>
                <c:pt idx="1169">
                  <c:v>-1806.8579999999615</c:v>
                </c:pt>
                <c:pt idx="1170">
                  <c:v>-1806.8579999999615</c:v>
                </c:pt>
                <c:pt idx="1171">
                  <c:v>-1806.8579999999615</c:v>
                </c:pt>
                <c:pt idx="1172">
                  <c:v>-1806.8579999999615</c:v>
                </c:pt>
                <c:pt idx="1173">
                  <c:v>-1806.8579999999615</c:v>
                </c:pt>
                <c:pt idx="1174">
                  <c:v>-1806.8579999999615</c:v>
                </c:pt>
                <c:pt idx="1175">
                  <c:v>-1806.8579999999615</c:v>
                </c:pt>
                <c:pt idx="1176">
                  <c:v>-1806.8579999999615</c:v>
                </c:pt>
                <c:pt idx="1177">
                  <c:v>-1806.8579999999615</c:v>
                </c:pt>
                <c:pt idx="1178">
                  <c:v>-1806.8579999999615</c:v>
                </c:pt>
                <c:pt idx="1179">
                  <c:v>-1806.8579999999615</c:v>
                </c:pt>
                <c:pt idx="1180">
                  <c:v>-1806.8579999999615</c:v>
                </c:pt>
                <c:pt idx="1181">
                  <c:v>-1806.8579999999615</c:v>
                </c:pt>
                <c:pt idx="1182">
                  <c:v>-1806.8579999999615</c:v>
                </c:pt>
                <c:pt idx="1183">
                  <c:v>-1806.8579999999615</c:v>
                </c:pt>
                <c:pt idx="1184">
                  <c:v>-1806.8579999999615</c:v>
                </c:pt>
                <c:pt idx="1185">
                  <c:v>-1878.8579999999984</c:v>
                </c:pt>
                <c:pt idx="1186">
                  <c:v>-1878.8579999999984</c:v>
                </c:pt>
                <c:pt idx="1187">
                  <c:v>-1878.8579999999984</c:v>
                </c:pt>
                <c:pt idx="1188">
                  <c:v>-1878.8579999999984</c:v>
                </c:pt>
                <c:pt idx="1189">
                  <c:v>-1878.8579999999984</c:v>
                </c:pt>
                <c:pt idx="1190">
                  <c:v>-1878.8579999999984</c:v>
                </c:pt>
                <c:pt idx="1191">
                  <c:v>-1822.8579999999697</c:v>
                </c:pt>
                <c:pt idx="1192">
                  <c:v>-1822.8579999999697</c:v>
                </c:pt>
                <c:pt idx="1193">
                  <c:v>-1822.8579999999697</c:v>
                </c:pt>
                <c:pt idx="1194">
                  <c:v>-1822.8579999999697</c:v>
                </c:pt>
                <c:pt idx="1195">
                  <c:v>-1822.8579999999697</c:v>
                </c:pt>
                <c:pt idx="1196">
                  <c:v>-1822.8579999999697</c:v>
                </c:pt>
                <c:pt idx="1197">
                  <c:v>-1822.8579999999697</c:v>
                </c:pt>
                <c:pt idx="1198">
                  <c:v>-1822.8579999999697</c:v>
                </c:pt>
                <c:pt idx="1199">
                  <c:v>-1822.8579999999697</c:v>
                </c:pt>
                <c:pt idx="1200">
                  <c:v>-1822.8579999999697</c:v>
                </c:pt>
                <c:pt idx="1201">
                  <c:v>-1822.8579999999697</c:v>
                </c:pt>
                <c:pt idx="1202">
                  <c:v>-1822.8579999999697</c:v>
                </c:pt>
                <c:pt idx="1203">
                  <c:v>-1996.8579999998115</c:v>
                </c:pt>
                <c:pt idx="1204">
                  <c:v>-1996.8579999998115</c:v>
                </c:pt>
                <c:pt idx="1205">
                  <c:v>-1996.8579999998115</c:v>
                </c:pt>
                <c:pt idx="1206">
                  <c:v>-1996.8579999998115</c:v>
                </c:pt>
                <c:pt idx="1207">
                  <c:v>-1996.8579999998115</c:v>
                </c:pt>
                <c:pt idx="1208">
                  <c:v>-1996.8579999998115</c:v>
                </c:pt>
                <c:pt idx="1209">
                  <c:v>-1996.8579999998115</c:v>
                </c:pt>
                <c:pt idx="1210">
                  <c:v>-1996.8579999998115</c:v>
                </c:pt>
                <c:pt idx="1211">
                  <c:v>-1996.8579999998115</c:v>
                </c:pt>
                <c:pt idx="1212">
                  <c:v>-1996.8579999998115</c:v>
                </c:pt>
                <c:pt idx="1213">
                  <c:v>-1648.8579999997983</c:v>
                </c:pt>
                <c:pt idx="1214">
                  <c:v>-1648.8579999997983</c:v>
                </c:pt>
                <c:pt idx="1215">
                  <c:v>-1648.8579999997983</c:v>
                </c:pt>
                <c:pt idx="1216">
                  <c:v>-1648.8579999997983</c:v>
                </c:pt>
                <c:pt idx="1217">
                  <c:v>-1648.8579999997983</c:v>
                </c:pt>
                <c:pt idx="1218">
                  <c:v>-1648.8579999997983</c:v>
                </c:pt>
                <c:pt idx="1219">
                  <c:v>-1648.8579999997983</c:v>
                </c:pt>
                <c:pt idx="1220">
                  <c:v>-1648.8579999997983</c:v>
                </c:pt>
                <c:pt idx="1221">
                  <c:v>-1648.8579999997983</c:v>
                </c:pt>
                <c:pt idx="1222">
                  <c:v>-1648.8579999997983</c:v>
                </c:pt>
                <c:pt idx="1223">
                  <c:v>-1648.8579999997983</c:v>
                </c:pt>
                <c:pt idx="1224">
                  <c:v>-1648.8579999997983</c:v>
                </c:pt>
                <c:pt idx="1225">
                  <c:v>-1648.8579999997983</c:v>
                </c:pt>
                <c:pt idx="1226">
                  <c:v>-1648.8579999997983</c:v>
                </c:pt>
                <c:pt idx="1227">
                  <c:v>-1648.8579999997983</c:v>
                </c:pt>
                <c:pt idx="1228">
                  <c:v>-1648.8579999997983</c:v>
                </c:pt>
                <c:pt idx="1229">
                  <c:v>-1648.8579999997983</c:v>
                </c:pt>
                <c:pt idx="1230">
                  <c:v>-1648.8579999997983</c:v>
                </c:pt>
                <c:pt idx="1231">
                  <c:v>-1648.8579999997983</c:v>
                </c:pt>
                <c:pt idx="1232">
                  <c:v>-1648.8579999997983</c:v>
                </c:pt>
                <c:pt idx="1233">
                  <c:v>-1648.8579999997983</c:v>
                </c:pt>
                <c:pt idx="1234">
                  <c:v>-1648.8579999997983</c:v>
                </c:pt>
                <c:pt idx="1235">
                  <c:v>-1648.8579999997983</c:v>
                </c:pt>
                <c:pt idx="1236">
                  <c:v>-1648.8579999997983</c:v>
                </c:pt>
                <c:pt idx="1237">
                  <c:v>-1648.8579999997983</c:v>
                </c:pt>
                <c:pt idx="1238">
                  <c:v>-1648.8579999997983</c:v>
                </c:pt>
                <c:pt idx="1239">
                  <c:v>-1648.8579999997983</c:v>
                </c:pt>
                <c:pt idx="1240">
                  <c:v>-1648.8579999997983</c:v>
                </c:pt>
                <c:pt idx="1241">
                  <c:v>-1648.8579999997983</c:v>
                </c:pt>
                <c:pt idx="1242">
                  <c:v>-1648.8579999997983</c:v>
                </c:pt>
                <c:pt idx="1243">
                  <c:v>-1648.8579999997983</c:v>
                </c:pt>
                <c:pt idx="1244">
                  <c:v>-1648.8579999997983</c:v>
                </c:pt>
                <c:pt idx="1245">
                  <c:v>-1648.8579999997983</c:v>
                </c:pt>
                <c:pt idx="1246">
                  <c:v>-1648.8579999997983</c:v>
                </c:pt>
                <c:pt idx="1247">
                  <c:v>-1648.8579999997983</c:v>
                </c:pt>
                <c:pt idx="1248">
                  <c:v>-1648.8579999997983</c:v>
                </c:pt>
                <c:pt idx="1249">
                  <c:v>-1648.8579999997983</c:v>
                </c:pt>
                <c:pt idx="1250">
                  <c:v>-1648.8579999997983</c:v>
                </c:pt>
              </c:numCache>
            </c:numRef>
          </c:val>
          <c:smooth val="0"/>
          <c:extLst>
            <c:ext xmlns:c16="http://schemas.microsoft.com/office/drawing/2014/chart" uri="{C3380CC4-5D6E-409C-BE32-E72D297353CC}">
              <c16:uniqueId val="{00000000-53FA-4C4E-9CBD-7779AB32E332}"/>
            </c:ext>
          </c:extLst>
        </c:ser>
        <c:dLbls>
          <c:showLegendKey val="0"/>
          <c:showVal val="0"/>
          <c:showCatName val="0"/>
          <c:showSerName val="0"/>
          <c:showPercent val="0"/>
          <c:showBubbleSize val="0"/>
        </c:dLbls>
        <c:smooth val="0"/>
        <c:axId val="1540283408"/>
        <c:axId val="1301928304"/>
      </c:lineChart>
      <c:catAx>
        <c:axId val="154028340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928304"/>
        <c:crosses val="autoZero"/>
        <c:auto val="1"/>
        <c:lblAlgn val="ctr"/>
        <c:lblOffset val="100"/>
        <c:noMultiLvlLbl val="0"/>
      </c:catAx>
      <c:valAx>
        <c:axId val="1301928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28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 F 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T</c:v>
          </c:tx>
          <c:spPr>
            <a:ln w="28575" cap="rnd">
              <a:solidFill>
                <a:srgbClr val="660033"/>
              </a:solidFill>
              <a:round/>
            </a:ln>
            <a:effectLst/>
          </c:spPr>
          <c:marker>
            <c:symbol val="none"/>
          </c:marker>
          <c:val>
            <c:numRef>
              <c:f>'Journal Live'!$BR$134:$BR$1384</c:f>
              <c:numCache>
                <c:formatCode>General</c:formatCode>
                <c:ptCount val="1251"/>
                <c:pt idx="0">
                  <c:v>0</c:v>
                </c:pt>
                <c:pt idx="1">
                  <c:v>16.300000000000015</c:v>
                </c:pt>
                <c:pt idx="2">
                  <c:v>32.60000000000003</c:v>
                </c:pt>
                <c:pt idx="3">
                  <c:v>114.10000000000002</c:v>
                </c:pt>
                <c:pt idx="4">
                  <c:v>130.40000000000003</c:v>
                </c:pt>
                <c:pt idx="5">
                  <c:v>196.8</c:v>
                </c:pt>
                <c:pt idx="6">
                  <c:v>147.89999999999816</c:v>
                </c:pt>
                <c:pt idx="7">
                  <c:v>180.29999999999814</c:v>
                </c:pt>
                <c:pt idx="8">
                  <c:v>213.49999999999815</c:v>
                </c:pt>
                <c:pt idx="9">
                  <c:v>380.69999999999817</c:v>
                </c:pt>
                <c:pt idx="10">
                  <c:v>430.49999999999818</c:v>
                </c:pt>
                <c:pt idx="11">
                  <c:v>596.49999999999818</c:v>
                </c:pt>
                <c:pt idx="12">
                  <c:v>596.49999999999818</c:v>
                </c:pt>
                <c:pt idx="13">
                  <c:v>596.49999999999818</c:v>
                </c:pt>
                <c:pt idx="14">
                  <c:v>780.19999999999823</c:v>
                </c:pt>
                <c:pt idx="15">
                  <c:v>698.69999999999823</c:v>
                </c:pt>
                <c:pt idx="16">
                  <c:v>698.69999999999823</c:v>
                </c:pt>
                <c:pt idx="17">
                  <c:v>714.99999999999818</c:v>
                </c:pt>
                <c:pt idx="18">
                  <c:v>798.49999999999818</c:v>
                </c:pt>
                <c:pt idx="19">
                  <c:v>749.59999999999809</c:v>
                </c:pt>
                <c:pt idx="20">
                  <c:v>766.19999999999811</c:v>
                </c:pt>
                <c:pt idx="21">
                  <c:v>799.39999999999816</c:v>
                </c:pt>
                <c:pt idx="22">
                  <c:v>799.39999999999816</c:v>
                </c:pt>
                <c:pt idx="23">
                  <c:v>799.39999999999816</c:v>
                </c:pt>
                <c:pt idx="24">
                  <c:v>799.39999999999816</c:v>
                </c:pt>
                <c:pt idx="25">
                  <c:v>832.5999999999982</c:v>
                </c:pt>
                <c:pt idx="26">
                  <c:v>832.5999999999982</c:v>
                </c:pt>
                <c:pt idx="27">
                  <c:v>865.79999999999814</c:v>
                </c:pt>
                <c:pt idx="28">
                  <c:v>965.99999999999818</c:v>
                </c:pt>
                <c:pt idx="29">
                  <c:v>965.99999999999818</c:v>
                </c:pt>
                <c:pt idx="30">
                  <c:v>965.99999999999818</c:v>
                </c:pt>
                <c:pt idx="31">
                  <c:v>965.99999999999818</c:v>
                </c:pt>
                <c:pt idx="32">
                  <c:v>965.99999999999818</c:v>
                </c:pt>
                <c:pt idx="33">
                  <c:v>1016.0999999999982</c:v>
                </c:pt>
                <c:pt idx="34">
                  <c:v>1032.7999999999981</c:v>
                </c:pt>
                <c:pt idx="35">
                  <c:v>949.30000000000291</c:v>
                </c:pt>
                <c:pt idx="36">
                  <c:v>949.30000000000291</c:v>
                </c:pt>
                <c:pt idx="37">
                  <c:v>1016.1000000000029</c:v>
                </c:pt>
                <c:pt idx="38">
                  <c:v>1049.500000000003</c:v>
                </c:pt>
                <c:pt idx="39">
                  <c:v>1049.500000000003</c:v>
                </c:pt>
                <c:pt idx="40">
                  <c:v>1049.500000000003</c:v>
                </c:pt>
                <c:pt idx="41">
                  <c:v>966.00000000000773</c:v>
                </c:pt>
                <c:pt idx="42">
                  <c:v>966.00000000000773</c:v>
                </c:pt>
                <c:pt idx="43">
                  <c:v>949.29999999999916</c:v>
                </c:pt>
                <c:pt idx="44">
                  <c:v>949.29999999999916</c:v>
                </c:pt>
                <c:pt idx="45">
                  <c:v>949.29999999999916</c:v>
                </c:pt>
                <c:pt idx="46">
                  <c:v>949.29999999999916</c:v>
                </c:pt>
                <c:pt idx="47">
                  <c:v>949.29999999999916</c:v>
                </c:pt>
                <c:pt idx="48">
                  <c:v>1016.0999999999992</c:v>
                </c:pt>
                <c:pt idx="49">
                  <c:v>1066.1999999999994</c:v>
                </c:pt>
                <c:pt idx="50">
                  <c:v>999.00000000001273</c:v>
                </c:pt>
                <c:pt idx="51">
                  <c:v>982.20000000000414</c:v>
                </c:pt>
                <c:pt idx="52">
                  <c:v>1065.7000000000041</c:v>
                </c:pt>
                <c:pt idx="53">
                  <c:v>965.50000000000034</c:v>
                </c:pt>
                <c:pt idx="54">
                  <c:v>965.50000000000034</c:v>
                </c:pt>
                <c:pt idx="55">
                  <c:v>965.50000000000034</c:v>
                </c:pt>
                <c:pt idx="56">
                  <c:v>965.50000000000034</c:v>
                </c:pt>
                <c:pt idx="57">
                  <c:v>1115.8000000000061</c:v>
                </c:pt>
                <c:pt idx="58">
                  <c:v>1115.8000000000061</c:v>
                </c:pt>
                <c:pt idx="59">
                  <c:v>1115.8000000000061</c:v>
                </c:pt>
                <c:pt idx="60">
                  <c:v>1115.8000000000061</c:v>
                </c:pt>
                <c:pt idx="61">
                  <c:v>1115.8000000000061</c:v>
                </c:pt>
                <c:pt idx="62">
                  <c:v>1115.8000000000061</c:v>
                </c:pt>
                <c:pt idx="63">
                  <c:v>1202.1000000000258</c:v>
                </c:pt>
                <c:pt idx="64">
                  <c:v>1202.1000000000258</c:v>
                </c:pt>
                <c:pt idx="65">
                  <c:v>1202.1000000000258</c:v>
                </c:pt>
                <c:pt idx="66">
                  <c:v>1235.5000000000259</c:v>
                </c:pt>
                <c:pt idx="67">
                  <c:v>1285.6000000000258</c:v>
                </c:pt>
                <c:pt idx="68">
                  <c:v>1302.3000000000259</c:v>
                </c:pt>
                <c:pt idx="69">
                  <c:v>1435.9000000000258</c:v>
                </c:pt>
                <c:pt idx="70">
                  <c:v>1536.1000000000258</c:v>
                </c:pt>
                <c:pt idx="71">
                  <c:v>1586.2000000000257</c:v>
                </c:pt>
                <c:pt idx="72">
                  <c:v>1586.2000000000257</c:v>
                </c:pt>
                <c:pt idx="73">
                  <c:v>1586.2000000000257</c:v>
                </c:pt>
                <c:pt idx="74">
                  <c:v>1586.2000000000257</c:v>
                </c:pt>
                <c:pt idx="75">
                  <c:v>1586.2000000000257</c:v>
                </c:pt>
                <c:pt idx="76">
                  <c:v>1654.2000000000121</c:v>
                </c:pt>
                <c:pt idx="77">
                  <c:v>1654.2000000000121</c:v>
                </c:pt>
                <c:pt idx="78">
                  <c:v>1654.2000000000121</c:v>
                </c:pt>
                <c:pt idx="79">
                  <c:v>1654.2000000000121</c:v>
                </c:pt>
                <c:pt idx="80">
                  <c:v>1790.2000000000121</c:v>
                </c:pt>
                <c:pt idx="81">
                  <c:v>1824.2000000000121</c:v>
                </c:pt>
                <c:pt idx="82">
                  <c:v>1824.2000000000121</c:v>
                </c:pt>
                <c:pt idx="83">
                  <c:v>1824.2000000000121</c:v>
                </c:pt>
                <c:pt idx="84">
                  <c:v>1858.2000000000121</c:v>
                </c:pt>
                <c:pt idx="85">
                  <c:v>1993.4000000000121</c:v>
                </c:pt>
                <c:pt idx="86">
                  <c:v>1993.4000000000121</c:v>
                </c:pt>
                <c:pt idx="87">
                  <c:v>2010.2999999999968</c:v>
                </c:pt>
                <c:pt idx="88">
                  <c:v>2010.2999999999968</c:v>
                </c:pt>
                <c:pt idx="89">
                  <c:v>2010.2999999999968</c:v>
                </c:pt>
                <c:pt idx="90">
                  <c:v>2010.2999999999968</c:v>
                </c:pt>
                <c:pt idx="91">
                  <c:v>2010.2999999999968</c:v>
                </c:pt>
                <c:pt idx="92">
                  <c:v>2112.8999999999969</c:v>
                </c:pt>
                <c:pt idx="93">
                  <c:v>2112.8999999999969</c:v>
                </c:pt>
                <c:pt idx="94">
                  <c:v>2112.8999999999969</c:v>
                </c:pt>
                <c:pt idx="95">
                  <c:v>2112.8999999999969</c:v>
                </c:pt>
                <c:pt idx="96">
                  <c:v>1959.8999999999969</c:v>
                </c:pt>
                <c:pt idx="97">
                  <c:v>2044.8999999999969</c:v>
                </c:pt>
                <c:pt idx="98">
                  <c:v>1942.8999999999969</c:v>
                </c:pt>
                <c:pt idx="99">
                  <c:v>1942.8999999999969</c:v>
                </c:pt>
                <c:pt idx="100">
                  <c:v>2027.8999999999969</c:v>
                </c:pt>
                <c:pt idx="101">
                  <c:v>2027.8999999999969</c:v>
                </c:pt>
                <c:pt idx="102">
                  <c:v>2027.8999999999969</c:v>
                </c:pt>
                <c:pt idx="103">
                  <c:v>2027.8999999999969</c:v>
                </c:pt>
                <c:pt idx="104">
                  <c:v>2044.9000000000055</c:v>
                </c:pt>
                <c:pt idx="105">
                  <c:v>2078.8999999999987</c:v>
                </c:pt>
                <c:pt idx="106">
                  <c:v>2061.8999999999901</c:v>
                </c:pt>
                <c:pt idx="107">
                  <c:v>2061.8999999999901</c:v>
                </c:pt>
                <c:pt idx="108">
                  <c:v>2061.8999999999901</c:v>
                </c:pt>
                <c:pt idx="109">
                  <c:v>2128.2999999999902</c:v>
                </c:pt>
                <c:pt idx="110">
                  <c:v>2128.2999999999902</c:v>
                </c:pt>
                <c:pt idx="111">
                  <c:v>2128.2999999999902</c:v>
                </c:pt>
                <c:pt idx="112">
                  <c:v>2161.49999999999</c:v>
                </c:pt>
                <c:pt idx="113">
                  <c:v>2444.5499999999902</c:v>
                </c:pt>
                <c:pt idx="114">
                  <c:v>2444.5499999999902</c:v>
                </c:pt>
                <c:pt idx="115">
                  <c:v>2444.5499999999902</c:v>
                </c:pt>
                <c:pt idx="116">
                  <c:v>2394.74999999999</c:v>
                </c:pt>
                <c:pt idx="117">
                  <c:v>2311.74999999999</c:v>
                </c:pt>
                <c:pt idx="118">
                  <c:v>2311.74999999999</c:v>
                </c:pt>
                <c:pt idx="119">
                  <c:v>2194.8499999999904</c:v>
                </c:pt>
                <c:pt idx="120">
                  <c:v>2228.0499999999902</c:v>
                </c:pt>
                <c:pt idx="121">
                  <c:v>2244.6499999999901</c:v>
                </c:pt>
                <c:pt idx="122">
                  <c:v>2261.24999999999</c:v>
                </c:pt>
                <c:pt idx="123">
                  <c:v>2261.24999999999</c:v>
                </c:pt>
                <c:pt idx="124">
                  <c:v>2261.24999999999</c:v>
                </c:pt>
                <c:pt idx="125">
                  <c:v>2194.8499999999899</c:v>
                </c:pt>
                <c:pt idx="126">
                  <c:v>2194.8499999999899</c:v>
                </c:pt>
                <c:pt idx="127">
                  <c:v>2244.6499999999901</c:v>
                </c:pt>
                <c:pt idx="128">
                  <c:v>2244.6499999999901</c:v>
                </c:pt>
                <c:pt idx="129">
                  <c:v>2244.6499999999901</c:v>
                </c:pt>
                <c:pt idx="130">
                  <c:v>2244.6499999999901</c:v>
                </c:pt>
                <c:pt idx="131">
                  <c:v>2244.6499999999901</c:v>
                </c:pt>
                <c:pt idx="132">
                  <c:v>2244.6499999999901</c:v>
                </c:pt>
                <c:pt idx="133">
                  <c:v>2244.6499999999901</c:v>
                </c:pt>
                <c:pt idx="134">
                  <c:v>2244.6499999999901</c:v>
                </c:pt>
                <c:pt idx="135">
                  <c:v>2244.6499999999901</c:v>
                </c:pt>
                <c:pt idx="136">
                  <c:v>2244.6499999999901</c:v>
                </c:pt>
                <c:pt idx="137">
                  <c:v>2244.6499999999901</c:v>
                </c:pt>
                <c:pt idx="138">
                  <c:v>2244.6499999999901</c:v>
                </c:pt>
                <c:pt idx="139">
                  <c:v>2244.6499999999901</c:v>
                </c:pt>
                <c:pt idx="140">
                  <c:v>2244.6499999999901</c:v>
                </c:pt>
                <c:pt idx="141">
                  <c:v>2294.4499999999903</c:v>
                </c:pt>
                <c:pt idx="142">
                  <c:v>2394.0499999999902</c:v>
                </c:pt>
                <c:pt idx="143">
                  <c:v>2394.0499999999902</c:v>
                </c:pt>
                <c:pt idx="144">
                  <c:v>2394.0499999999902</c:v>
                </c:pt>
                <c:pt idx="145">
                  <c:v>2394.0499999999902</c:v>
                </c:pt>
                <c:pt idx="146">
                  <c:v>2394.0499999999902</c:v>
                </c:pt>
                <c:pt idx="147">
                  <c:v>2477.0499999999856</c:v>
                </c:pt>
                <c:pt idx="148">
                  <c:v>2560.0499999999811</c:v>
                </c:pt>
                <c:pt idx="149">
                  <c:v>2560.0499999999811</c:v>
                </c:pt>
                <c:pt idx="150">
                  <c:v>2560.0499999999811</c:v>
                </c:pt>
                <c:pt idx="151">
                  <c:v>2576.5499999999811</c:v>
                </c:pt>
                <c:pt idx="152">
                  <c:v>2609.5499999999811</c:v>
                </c:pt>
                <c:pt idx="153">
                  <c:v>2609.5499999999811</c:v>
                </c:pt>
                <c:pt idx="154">
                  <c:v>2657.8499999999813</c:v>
                </c:pt>
                <c:pt idx="155">
                  <c:v>2739.8499999999813</c:v>
                </c:pt>
                <c:pt idx="156">
                  <c:v>2822.3499999999813</c:v>
                </c:pt>
                <c:pt idx="157">
                  <c:v>2822.3499999999813</c:v>
                </c:pt>
                <c:pt idx="158">
                  <c:v>2887.9499999999812</c:v>
                </c:pt>
                <c:pt idx="159">
                  <c:v>2887.9499999999812</c:v>
                </c:pt>
                <c:pt idx="160">
                  <c:v>2887.9499999999812</c:v>
                </c:pt>
                <c:pt idx="161">
                  <c:v>2920.7499999999977</c:v>
                </c:pt>
                <c:pt idx="162">
                  <c:v>2920.7499999999977</c:v>
                </c:pt>
                <c:pt idx="163">
                  <c:v>2986.3499999999976</c:v>
                </c:pt>
                <c:pt idx="164">
                  <c:v>3002.7499999999977</c:v>
                </c:pt>
                <c:pt idx="165">
                  <c:v>3002.7499999999977</c:v>
                </c:pt>
                <c:pt idx="166">
                  <c:v>3002.7499999999977</c:v>
                </c:pt>
                <c:pt idx="167">
                  <c:v>3002.7499999999977</c:v>
                </c:pt>
                <c:pt idx="168">
                  <c:v>3002.7499999999977</c:v>
                </c:pt>
                <c:pt idx="169">
                  <c:v>3002.7499999999977</c:v>
                </c:pt>
                <c:pt idx="170">
                  <c:v>3002.7499999999977</c:v>
                </c:pt>
                <c:pt idx="171">
                  <c:v>2937.9500000000107</c:v>
                </c:pt>
                <c:pt idx="172">
                  <c:v>2937.9500000000107</c:v>
                </c:pt>
                <c:pt idx="173">
                  <c:v>2711.1500000000106</c:v>
                </c:pt>
                <c:pt idx="174">
                  <c:v>2711.1500000000106</c:v>
                </c:pt>
                <c:pt idx="175">
                  <c:v>2711.1500000000106</c:v>
                </c:pt>
                <c:pt idx="176">
                  <c:v>2711.1500000000106</c:v>
                </c:pt>
                <c:pt idx="177">
                  <c:v>2711.1500000000106</c:v>
                </c:pt>
                <c:pt idx="178">
                  <c:v>2711.1500000000106</c:v>
                </c:pt>
                <c:pt idx="179">
                  <c:v>2840.7500000000309</c:v>
                </c:pt>
                <c:pt idx="180">
                  <c:v>2840.7500000000309</c:v>
                </c:pt>
                <c:pt idx="181">
                  <c:v>2389.9500000000307</c:v>
                </c:pt>
                <c:pt idx="182">
                  <c:v>2389.9500000000307</c:v>
                </c:pt>
                <c:pt idx="183">
                  <c:v>1939.1500000000306</c:v>
                </c:pt>
                <c:pt idx="184">
                  <c:v>1939.1500000000306</c:v>
                </c:pt>
                <c:pt idx="185">
                  <c:v>1939.1500000000306</c:v>
                </c:pt>
                <c:pt idx="186">
                  <c:v>1939.1500000000306</c:v>
                </c:pt>
                <c:pt idx="187">
                  <c:v>1939.1500000000306</c:v>
                </c:pt>
                <c:pt idx="188">
                  <c:v>2100.1500000000306</c:v>
                </c:pt>
                <c:pt idx="189">
                  <c:v>2100.1500000000306</c:v>
                </c:pt>
                <c:pt idx="190">
                  <c:v>2100.1500000000306</c:v>
                </c:pt>
                <c:pt idx="191">
                  <c:v>2100.1500000000306</c:v>
                </c:pt>
                <c:pt idx="192">
                  <c:v>2100.1500000000306</c:v>
                </c:pt>
                <c:pt idx="193">
                  <c:v>2100.1500000000306</c:v>
                </c:pt>
                <c:pt idx="194">
                  <c:v>2100.1500000000306</c:v>
                </c:pt>
                <c:pt idx="195">
                  <c:v>2100.1500000000306</c:v>
                </c:pt>
                <c:pt idx="196">
                  <c:v>2100.1500000000306</c:v>
                </c:pt>
                <c:pt idx="197">
                  <c:v>2100.1500000000306</c:v>
                </c:pt>
                <c:pt idx="198">
                  <c:v>2100.1500000000306</c:v>
                </c:pt>
                <c:pt idx="199">
                  <c:v>2100.1500000000306</c:v>
                </c:pt>
                <c:pt idx="200">
                  <c:v>2100.1500000000306</c:v>
                </c:pt>
                <c:pt idx="201">
                  <c:v>2100.1500000000306</c:v>
                </c:pt>
                <c:pt idx="202">
                  <c:v>2100.1500000000306</c:v>
                </c:pt>
                <c:pt idx="203">
                  <c:v>2100.1500000000306</c:v>
                </c:pt>
                <c:pt idx="204">
                  <c:v>2100.1500000000306</c:v>
                </c:pt>
                <c:pt idx="205">
                  <c:v>2100.1500000000306</c:v>
                </c:pt>
                <c:pt idx="206">
                  <c:v>2100.1500000000306</c:v>
                </c:pt>
                <c:pt idx="207">
                  <c:v>2100.1500000000306</c:v>
                </c:pt>
                <c:pt idx="208">
                  <c:v>2100.1500000000306</c:v>
                </c:pt>
                <c:pt idx="209">
                  <c:v>2100.1500000000306</c:v>
                </c:pt>
                <c:pt idx="210">
                  <c:v>2100.1500000000306</c:v>
                </c:pt>
                <c:pt idx="211">
                  <c:v>2100.1500000000306</c:v>
                </c:pt>
                <c:pt idx="212">
                  <c:v>2052.7500000000286</c:v>
                </c:pt>
                <c:pt idx="213">
                  <c:v>2052.7500000000286</c:v>
                </c:pt>
                <c:pt idx="214">
                  <c:v>2052.7500000000286</c:v>
                </c:pt>
                <c:pt idx="215">
                  <c:v>2052.7500000000286</c:v>
                </c:pt>
                <c:pt idx="216">
                  <c:v>2052.7500000000286</c:v>
                </c:pt>
                <c:pt idx="217">
                  <c:v>2052.7500000000286</c:v>
                </c:pt>
                <c:pt idx="218">
                  <c:v>2052.7500000000286</c:v>
                </c:pt>
                <c:pt idx="219">
                  <c:v>2052.7500000000286</c:v>
                </c:pt>
                <c:pt idx="220">
                  <c:v>2068.7500000000286</c:v>
                </c:pt>
                <c:pt idx="221">
                  <c:v>2068.7500000000286</c:v>
                </c:pt>
                <c:pt idx="222">
                  <c:v>2084.7500000000286</c:v>
                </c:pt>
                <c:pt idx="223">
                  <c:v>2084.7500000000286</c:v>
                </c:pt>
                <c:pt idx="224">
                  <c:v>2084.7500000000286</c:v>
                </c:pt>
                <c:pt idx="225">
                  <c:v>2084.7500000000286</c:v>
                </c:pt>
                <c:pt idx="226">
                  <c:v>2084.7500000000286</c:v>
                </c:pt>
                <c:pt idx="227">
                  <c:v>2084.7500000000286</c:v>
                </c:pt>
                <c:pt idx="228">
                  <c:v>1924.7500000000377</c:v>
                </c:pt>
                <c:pt idx="229">
                  <c:v>1924.7500000000377</c:v>
                </c:pt>
                <c:pt idx="230">
                  <c:v>1780.7500000000323</c:v>
                </c:pt>
                <c:pt idx="231">
                  <c:v>1828.7499999999886</c:v>
                </c:pt>
                <c:pt idx="232">
                  <c:v>1828.7499999999886</c:v>
                </c:pt>
                <c:pt idx="233">
                  <c:v>1828.7499999999886</c:v>
                </c:pt>
                <c:pt idx="234">
                  <c:v>1828.7499999999886</c:v>
                </c:pt>
                <c:pt idx="235">
                  <c:v>1828.7499999999886</c:v>
                </c:pt>
                <c:pt idx="236">
                  <c:v>1844.7499999999886</c:v>
                </c:pt>
                <c:pt idx="237">
                  <c:v>1796.7499999999886</c:v>
                </c:pt>
                <c:pt idx="238">
                  <c:v>1764.7499999999886</c:v>
                </c:pt>
                <c:pt idx="239">
                  <c:v>1780.7499999999886</c:v>
                </c:pt>
                <c:pt idx="240">
                  <c:v>1796.7499999999886</c:v>
                </c:pt>
                <c:pt idx="241">
                  <c:v>1812.7499999999886</c:v>
                </c:pt>
                <c:pt idx="242">
                  <c:v>1812.7499999999886</c:v>
                </c:pt>
                <c:pt idx="243">
                  <c:v>1812.7499999999886</c:v>
                </c:pt>
                <c:pt idx="244">
                  <c:v>1812.7499999999886</c:v>
                </c:pt>
                <c:pt idx="245">
                  <c:v>1957.6499999999887</c:v>
                </c:pt>
                <c:pt idx="246">
                  <c:v>2070.3499999999885</c:v>
                </c:pt>
                <c:pt idx="247">
                  <c:v>2070.3499999999885</c:v>
                </c:pt>
                <c:pt idx="248">
                  <c:v>2102.5499999999884</c:v>
                </c:pt>
                <c:pt idx="249">
                  <c:v>2102.5499999999884</c:v>
                </c:pt>
                <c:pt idx="250">
                  <c:v>2118.6499999999883</c:v>
                </c:pt>
                <c:pt idx="251">
                  <c:v>2134.7499999999882</c:v>
                </c:pt>
                <c:pt idx="252">
                  <c:v>2134.7499999999882</c:v>
                </c:pt>
                <c:pt idx="253">
                  <c:v>2150.8499999999881</c:v>
                </c:pt>
                <c:pt idx="254">
                  <c:v>2166.949999999988</c:v>
                </c:pt>
                <c:pt idx="255">
                  <c:v>2183.0499999999879</c:v>
                </c:pt>
                <c:pt idx="256">
                  <c:v>2183.0499999999879</c:v>
                </c:pt>
                <c:pt idx="257">
                  <c:v>2183.0499999999879</c:v>
                </c:pt>
                <c:pt idx="258">
                  <c:v>2199.1499999999878</c:v>
                </c:pt>
                <c:pt idx="259">
                  <c:v>2199.1499999999878</c:v>
                </c:pt>
                <c:pt idx="260">
                  <c:v>2199.1499999999878</c:v>
                </c:pt>
                <c:pt idx="261">
                  <c:v>2199.1499999999878</c:v>
                </c:pt>
                <c:pt idx="262">
                  <c:v>2199.1499999999878</c:v>
                </c:pt>
                <c:pt idx="263">
                  <c:v>2215.1499999999878</c:v>
                </c:pt>
                <c:pt idx="264">
                  <c:v>2231.1499999999878</c:v>
                </c:pt>
                <c:pt idx="265">
                  <c:v>2231.1499999999878</c:v>
                </c:pt>
                <c:pt idx="266">
                  <c:v>2231.1499999999878</c:v>
                </c:pt>
                <c:pt idx="267">
                  <c:v>2311.1499999999878</c:v>
                </c:pt>
                <c:pt idx="268">
                  <c:v>2391.1499999999878</c:v>
                </c:pt>
                <c:pt idx="269">
                  <c:v>2471.1499999999878</c:v>
                </c:pt>
                <c:pt idx="270">
                  <c:v>2471.1499999999878</c:v>
                </c:pt>
                <c:pt idx="271">
                  <c:v>2631.1499999999878</c:v>
                </c:pt>
                <c:pt idx="272">
                  <c:v>2711.1499999999878</c:v>
                </c:pt>
                <c:pt idx="273">
                  <c:v>2791.1499999999878</c:v>
                </c:pt>
                <c:pt idx="274">
                  <c:v>2791.1499999999878</c:v>
                </c:pt>
                <c:pt idx="275">
                  <c:v>2791.1499999999878</c:v>
                </c:pt>
                <c:pt idx="276">
                  <c:v>2871.1499999999878</c:v>
                </c:pt>
                <c:pt idx="277">
                  <c:v>3031.1499999999878</c:v>
                </c:pt>
                <c:pt idx="278">
                  <c:v>3111.1499999999878</c:v>
                </c:pt>
                <c:pt idx="279">
                  <c:v>3271.1499999999878</c:v>
                </c:pt>
                <c:pt idx="280">
                  <c:v>3351.1499999999878</c:v>
                </c:pt>
                <c:pt idx="281">
                  <c:v>3431.1499999999878</c:v>
                </c:pt>
                <c:pt idx="282">
                  <c:v>3591.1499999999878</c:v>
                </c:pt>
                <c:pt idx="283">
                  <c:v>3591.1499999999878</c:v>
                </c:pt>
                <c:pt idx="284">
                  <c:v>3671.1499999999878</c:v>
                </c:pt>
                <c:pt idx="285">
                  <c:v>3991.1499999999878</c:v>
                </c:pt>
                <c:pt idx="286">
                  <c:v>4007.1499999999878</c:v>
                </c:pt>
                <c:pt idx="287">
                  <c:v>4007.1499999999878</c:v>
                </c:pt>
                <c:pt idx="288">
                  <c:v>4007.1499999999878</c:v>
                </c:pt>
                <c:pt idx="289">
                  <c:v>4007.1499999999878</c:v>
                </c:pt>
                <c:pt idx="290">
                  <c:v>3975.1499999999714</c:v>
                </c:pt>
                <c:pt idx="291">
                  <c:v>4055.1499999999714</c:v>
                </c:pt>
                <c:pt idx="292">
                  <c:v>4055.1499999999714</c:v>
                </c:pt>
                <c:pt idx="293">
                  <c:v>4215.1499999999714</c:v>
                </c:pt>
                <c:pt idx="294">
                  <c:v>4295.1499999999714</c:v>
                </c:pt>
                <c:pt idx="295">
                  <c:v>4247.1499999999696</c:v>
                </c:pt>
                <c:pt idx="296">
                  <c:v>4183.1499999999824</c:v>
                </c:pt>
                <c:pt idx="297">
                  <c:v>4183.1499999999824</c:v>
                </c:pt>
                <c:pt idx="298">
                  <c:v>4183.1499999999824</c:v>
                </c:pt>
                <c:pt idx="299">
                  <c:v>4071.1499999999824</c:v>
                </c:pt>
                <c:pt idx="300">
                  <c:v>4151.1499999999824</c:v>
                </c:pt>
                <c:pt idx="301">
                  <c:v>4151.1499999999824</c:v>
                </c:pt>
                <c:pt idx="302">
                  <c:v>4151.1499999999824</c:v>
                </c:pt>
                <c:pt idx="303">
                  <c:v>4311.1499999999824</c:v>
                </c:pt>
                <c:pt idx="304">
                  <c:v>4311.1499999999824</c:v>
                </c:pt>
                <c:pt idx="305">
                  <c:v>4311.1499999999824</c:v>
                </c:pt>
                <c:pt idx="306">
                  <c:v>4311.1499999999824</c:v>
                </c:pt>
                <c:pt idx="307">
                  <c:v>4311.1499999999824</c:v>
                </c:pt>
                <c:pt idx="308">
                  <c:v>4311.1499999999824</c:v>
                </c:pt>
                <c:pt idx="309">
                  <c:v>4311.1499999999824</c:v>
                </c:pt>
                <c:pt idx="310">
                  <c:v>4311.1499999999824</c:v>
                </c:pt>
                <c:pt idx="311">
                  <c:v>4311.1499999999824</c:v>
                </c:pt>
                <c:pt idx="312">
                  <c:v>4278.7499999999827</c:v>
                </c:pt>
                <c:pt idx="313">
                  <c:v>4149.1499999999824</c:v>
                </c:pt>
                <c:pt idx="314">
                  <c:v>4165.3499999999822</c:v>
                </c:pt>
                <c:pt idx="315">
                  <c:v>4165.3499999999822</c:v>
                </c:pt>
                <c:pt idx="316">
                  <c:v>4165.3499999999822</c:v>
                </c:pt>
                <c:pt idx="317">
                  <c:v>4165.3499999999822</c:v>
                </c:pt>
                <c:pt idx="318">
                  <c:v>4165.3499999999822</c:v>
                </c:pt>
                <c:pt idx="319">
                  <c:v>4278.7499999999818</c:v>
                </c:pt>
                <c:pt idx="320">
                  <c:v>4278.7499999999818</c:v>
                </c:pt>
                <c:pt idx="321">
                  <c:v>4278.7499999999818</c:v>
                </c:pt>
                <c:pt idx="322">
                  <c:v>4440.7499999999818</c:v>
                </c:pt>
                <c:pt idx="323">
                  <c:v>4554.1499999999814</c:v>
                </c:pt>
                <c:pt idx="324">
                  <c:v>4554.1499999999814</c:v>
                </c:pt>
                <c:pt idx="325">
                  <c:v>4716.1499999999814</c:v>
                </c:pt>
                <c:pt idx="326">
                  <c:v>4829.5499999999811</c:v>
                </c:pt>
                <c:pt idx="327">
                  <c:v>4829.5499999999811</c:v>
                </c:pt>
                <c:pt idx="328">
                  <c:v>4829.5499999999811</c:v>
                </c:pt>
                <c:pt idx="329">
                  <c:v>4797.1499999999642</c:v>
                </c:pt>
                <c:pt idx="330">
                  <c:v>4797.1499999999642</c:v>
                </c:pt>
                <c:pt idx="331">
                  <c:v>4797.1499999999642</c:v>
                </c:pt>
                <c:pt idx="332">
                  <c:v>4861.1499999999642</c:v>
                </c:pt>
                <c:pt idx="333">
                  <c:v>4909.1499999999642</c:v>
                </c:pt>
                <c:pt idx="334">
                  <c:v>5021.1499999999642</c:v>
                </c:pt>
                <c:pt idx="335">
                  <c:v>5215.7899999999645</c:v>
                </c:pt>
                <c:pt idx="336">
                  <c:v>5359.7899999999645</c:v>
                </c:pt>
                <c:pt idx="337">
                  <c:v>5359.7899999999645</c:v>
                </c:pt>
                <c:pt idx="338">
                  <c:v>5359.7899999999645</c:v>
                </c:pt>
                <c:pt idx="339">
                  <c:v>5359.7899999999645</c:v>
                </c:pt>
                <c:pt idx="340">
                  <c:v>5583.7899999999645</c:v>
                </c:pt>
                <c:pt idx="341">
                  <c:v>5647.7899999999645</c:v>
                </c:pt>
                <c:pt idx="342">
                  <c:v>5615.7899999999645</c:v>
                </c:pt>
                <c:pt idx="343">
                  <c:v>5615.7899999999645</c:v>
                </c:pt>
                <c:pt idx="344">
                  <c:v>5615.7899999999645</c:v>
                </c:pt>
                <c:pt idx="345">
                  <c:v>5615.7899999999645</c:v>
                </c:pt>
                <c:pt idx="346">
                  <c:v>5615.7899999999645</c:v>
                </c:pt>
                <c:pt idx="347">
                  <c:v>5615.7899999999645</c:v>
                </c:pt>
                <c:pt idx="348">
                  <c:v>5615.7899999999645</c:v>
                </c:pt>
                <c:pt idx="349">
                  <c:v>5615.7899999999645</c:v>
                </c:pt>
                <c:pt idx="350">
                  <c:v>5615.7899999999645</c:v>
                </c:pt>
                <c:pt idx="351">
                  <c:v>5615.7899999999645</c:v>
                </c:pt>
                <c:pt idx="352">
                  <c:v>5615.7899999999645</c:v>
                </c:pt>
                <c:pt idx="353">
                  <c:v>5695.7899999999645</c:v>
                </c:pt>
                <c:pt idx="354">
                  <c:v>5919.7899999999645</c:v>
                </c:pt>
                <c:pt idx="355">
                  <c:v>5919.7899999999645</c:v>
                </c:pt>
                <c:pt idx="356">
                  <c:v>5919.7899999999645</c:v>
                </c:pt>
                <c:pt idx="357">
                  <c:v>5919.7899999999645</c:v>
                </c:pt>
                <c:pt idx="358">
                  <c:v>6047.7899999999645</c:v>
                </c:pt>
                <c:pt idx="359">
                  <c:v>6047.7899999999645</c:v>
                </c:pt>
                <c:pt idx="360">
                  <c:v>6047.7899999999645</c:v>
                </c:pt>
                <c:pt idx="361">
                  <c:v>6047.7899999999645</c:v>
                </c:pt>
                <c:pt idx="362">
                  <c:v>6047.7899999999645</c:v>
                </c:pt>
                <c:pt idx="363">
                  <c:v>6047.7899999999645</c:v>
                </c:pt>
                <c:pt idx="364">
                  <c:v>5975.7899999999645</c:v>
                </c:pt>
                <c:pt idx="365">
                  <c:v>5751.7899999999645</c:v>
                </c:pt>
                <c:pt idx="366">
                  <c:v>5751.7899999999645</c:v>
                </c:pt>
                <c:pt idx="367">
                  <c:v>5751.7899999999645</c:v>
                </c:pt>
                <c:pt idx="368">
                  <c:v>5751.7899999999645</c:v>
                </c:pt>
                <c:pt idx="369">
                  <c:v>5751.7899999999645</c:v>
                </c:pt>
                <c:pt idx="370">
                  <c:v>5751.7899999999645</c:v>
                </c:pt>
                <c:pt idx="371">
                  <c:v>5751.7899999999645</c:v>
                </c:pt>
                <c:pt idx="372">
                  <c:v>5751.7899999999645</c:v>
                </c:pt>
                <c:pt idx="373">
                  <c:v>5687.7899999999645</c:v>
                </c:pt>
                <c:pt idx="374">
                  <c:v>5687.7899999999645</c:v>
                </c:pt>
                <c:pt idx="375">
                  <c:v>5687.7899999999645</c:v>
                </c:pt>
                <c:pt idx="376">
                  <c:v>5687.7899999999645</c:v>
                </c:pt>
                <c:pt idx="377">
                  <c:v>5575.7899999999645</c:v>
                </c:pt>
                <c:pt idx="378">
                  <c:v>5575.7899999999645</c:v>
                </c:pt>
                <c:pt idx="379">
                  <c:v>5575.7899999999645</c:v>
                </c:pt>
                <c:pt idx="380">
                  <c:v>4871.7899999999645</c:v>
                </c:pt>
                <c:pt idx="381">
                  <c:v>5111.7899999999645</c:v>
                </c:pt>
                <c:pt idx="382">
                  <c:v>4439.7899999999645</c:v>
                </c:pt>
                <c:pt idx="383">
                  <c:v>4439.7899999999645</c:v>
                </c:pt>
                <c:pt idx="384">
                  <c:v>4439.7899999999645</c:v>
                </c:pt>
                <c:pt idx="385">
                  <c:v>4439.7899999999645</c:v>
                </c:pt>
                <c:pt idx="386">
                  <c:v>4439.7899999999645</c:v>
                </c:pt>
                <c:pt idx="387">
                  <c:v>4439.7899999999645</c:v>
                </c:pt>
                <c:pt idx="388">
                  <c:v>4439.7899999999645</c:v>
                </c:pt>
                <c:pt idx="389">
                  <c:v>4391.7899999999645</c:v>
                </c:pt>
                <c:pt idx="390">
                  <c:v>4391.7899999999645</c:v>
                </c:pt>
                <c:pt idx="391">
                  <c:v>4391.7899999999645</c:v>
                </c:pt>
                <c:pt idx="392">
                  <c:v>4391.7899999999645</c:v>
                </c:pt>
                <c:pt idx="393">
                  <c:v>4391.7899999999645</c:v>
                </c:pt>
                <c:pt idx="394">
                  <c:v>5031.7899999999645</c:v>
                </c:pt>
                <c:pt idx="395">
                  <c:v>5447.7899999999645</c:v>
                </c:pt>
                <c:pt idx="396">
                  <c:v>5447.7899999999645</c:v>
                </c:pt>
                <c:pt idx="397">
                  <c:v>5447.7899999999645</c:v>
                </c:pt>
                <c:pt idx="398">
                  <c:v>5447.7899999999645</c:v>
                </c:pt>
                <c:pt idx="399">
                  <c:v>5447.7899999999645</c:v>
                </c:pt>
                <c:pt idx="400">
                  <c:v>5447.7899999999645</c:v>
                </c:pt>
                <c:pt idx="401">
                  <c:v>5447.7899999999645</c:v>
                </c:pt>
                <c:pt idx="402">
                  <c:v>5447.7899999999645</c:v>
                </c:pt>
                <c:pt idx="403">
                  <c:v>5447.7899999999645</c:v>
                </c:pt>
                <c:pt idx="404">
                  <c:v>5447.7899999999645</c:v>
                </c:pt>
                <c:pt idx="405">
                  <c:v>5575.7899999999645</c:v>
                </c:pt>
                <c:pt idx="406">
                  <c:v>5269.5499999999638</c:v>
                </c:pt>
                <c:pt idx="407">
                  <c:v>5285.5499999999638</c:v>
                </c:pt>
                <c:pt idx="408">
                  <c:v>5525.5499999999629</c:v>
                </c:pt>
                <c:pt idx="409">
                  <c:v>5525.5499999999629</c:v>
                </c:pt>
                <c:pt idx="410">
                  <c:v>5525.5499999999629</c:v>
                </c:pt>
                <c:pt idx="411">
                  <c:v>5525.5499999999629</c:v>
                </c:pt>
                <c:pt idx="412">
                  <c:v>5637.5499999999629</c:v>
                </c:pt>
                <c:pt idx="413">
                  <c:v>5717.5499999999629</c:v>
                </c:pt>
                <c:pt idx="414">
                  <c:v>5717.5499999999629</c:v>
                </c:pt>
                <c:pt idx="415">
                  <c:v>5717.5499999999629</c:v>
                </c:pt>
                <c:pt idx="416">
                  <c:v>5237.5499999999629</c:v>
                </c:pt>
                <c:pt idx="417">
                  <c:v>4437.5499999999629</c:v>
                </c:pt>
                <c:pt idx="418">
                  <c:v>4709.5499999999629</c:v>
                </c:pt>
                <c:pt idx="419">
                  <c:v>4709.5499999999629</c:v>
                </c:pt>
                <c:pt idx="420">
                  <c:v>4709.5499999999629</c:v>
                </c:pt>
                <c:pt idx="421">
                  <c:v>4324.1419999999625</c:v>
                </c:pt>
                <c:pt idx="422">
                  <c:v>4324.1419999999625</c:v>
                </c:pt>
                <c:pt idx="423">
                  <c:v>4324.1419999999625</c:v>
                </c:pt>
                <c:pt idx="424">
                  <c:v>4324.1419999999625</c:v>
                </c:pt>
                <c:pt idx="425">
                  <c:v>4324.1419999999625</c:v>
                </c:pt>
                <c:pt idx="426">
                  <c:v>4324.1419999999625</c:v>
                </c:pt>
                <c:pt idx="427">
                  <c:v>4836.1419999999625</c:v>
                </c:pt>
                <c:pt idx="428">
                  <c:v>5156.1419999999625</c:v>
                </c:pt>
                <c:pt idx="429">
                  <c:v>5156.1419999999625</c:v>
                </c:pt>
                <c:pt idx="430">
                  <c:v>5396.1419999999625</c:v>
                </c:pt>
                <c:pt idx="431">
                  <c:v>5508.1419999999625</c:v>
                </c:pt>
                <c:pt idx="432">
                  <c:v>5668.1419999999625</c:v>
                </c:pt>
                <c:pt idx="433">
                  <c:v>5668.1419999999625</c:v>
                </c:pt>
                <c:pt idx="434">
                  <c:v>5668.1419999999625</c:v>
                </c:pt>
                <c:pt idx="435">
                  <c:v>5668.1419999999625</c:v>
                </c:pt>
                <c:pt idx="436">
                  <c:v>5668.1419999999625</c:v>
                </c:pt>
                <c:pt idx="437">
                  <c:v>5668.1419999999625</c:v>
                </c:pt>
                <c:pt idx="438">
                  <c:v>5780.1419999999625</c:v>
                </c:pt>
                <c:pt idx="439">
                  <c:v>5828.1419999999625</c:v>
                </c:pt>
                <c:pt idx="440">
                  <c:v>5828.1419999999625</c:v>
                </c:pt>
                <c:pt idx="441">
                  <c:v>5828.1419999999625</c:v>
                </c:pt>
                <c:pt idx="442">
                  <c:v>5828.1419999999625</c:v>
                </c:pt>
                <c:pt idx="443">
                  <c:v>5852.1419999999625</c:v>
                </c:pt>
                <c:pt idx="444">
                  <c:v>5852.1419999999625</c:v>
                </c:pt>
                <c:pt idx="445">
                  <c:v>5852.1419999999625</c:v>
                </c:pt>
                <c:pt idx="446">
                  <c:v>5852.1419999999625</c:v>
                </c:pt>
                <c:pt idx="447">
                  <c:v>5852.1419999999625</c:v>
                </c:pt>
                <c:pt idx="448">
                  <c:v>5852.1419999999625</c:v>
                </c:pt>
                <c:pt idx="449">
                  <c:v>5852.1419999999625</c:v>
                </c:pt>
                <c:pt idx="450">
                  <c:v>5852.1419999999625</c:v>
                </c:pt>
                <c:pt idx="451">
                  <c:v>5852.1419999999625</c:v>
                </c:pt>
                <c:pt idx="452">
                  <c:v>5852.1419999999625</c:v>
                </c:pt>
                <c:pt idx="453">
                  <c:v>5852.1419999999625</c:v>
                </c:pt>
                <c:pt idx="454">
                  <c:v>5852.1419999999625</c:v>
                </c:pt>
                <c:pt idx="455">
                  <c:v>5852.1419999999625</c:v>
                </c:pt>
                <c:pt idx="456">
                  <c:v>5852.1419999999625</c:v>
                </c:pt>
                <c:pt idx="457">
                  <c:v>5852.1419999999625</c:v>
                </c:pt>
                <c:pt idx="458">
                  <c:v>5948.1419999999625</c:v>
                </c:pt>
                <c:pt idx="459">
                  <c:v>6801.4753333332956</c:v>
                </c:pt>
                <c:pt idx="460">
                  <c:v>6801.4753333332956</c:v>
                </c:pt>
                <c:pt idx="461">
                  <c:v>6801.4753333332956</c:v>
                </c:pt>
                <c:pt idx="462">
                  <c:v>6801.4753333332956</c:v>
                </c:pt>
                <c:pt idx="463">
                  <c:v>6641.4753333332956</c:v>
                </c:pt>
                <c:pt idx="464">
                  <c:v>6721.4753333332956</c:v>
                </c:pt>
                <c:pt idx="465">
                  <c:v>6745.4753333332956</c:v>
                </c:pt>
                <c:pt idx="466">
                  <c:v>6745.4753333332956</c:v>
                </c:pt>
                <c:pt idx="467">
                  <c:v>6745.4753333332956</c:v>
                </c:pt>
                <c:pt idx="468">
                  <c:v>6745.4753333332956</c:v>
                </c:pt>
                <c:pt idx="469">
                  <c:v>6745.4753333332956</c:v>
                </c:pt>
                <c:pt idx="470">
                  <c:v>6745.4753333332956</c:v>
                </c:pt>
                <c:pt idx="471">
                  <c:v>6745.4753333332956</c:v>
                </c:pt>
                <c:pt idx="472">
                  <c:v>6745.4753333332956</c:v>
                </c:pt>
                <c:pt idx="473">
                  <c:v>6985.4753333332956</c:v>
                </c:pt>
                <c:pt idx="474">
                  <c:v>6985.4753333332956</c:v>
                </c:pt>
                <c:pt idx="475">
                  <c:v>7033.4753333332956</c:v>
                </c:pt>
                <c:pt idx="476">
                  <c:v>7033.4753333332956</c:v>
                </c:pt>
                <c:pt idx="477">
                  <c:v>7033.4753333332956</c:v>
                </c:pt>
                <c:pt idx="478">
                  <c:v>7081.4753333332956</c:v>
                </c:pt>
                <c:pt idx="479">
                  <c:v>7081.4753333332956</c:v>
                </c:pt>
                <c:pt idx="480">
                  <c:v>7081.4753333332956</c:v>
                </c:pt>
                <c:pt idx="481">
                  <c:v>7081.4753333332956</c:v>
                </c:pt>
                <c:pt idx="482">
                  <c:v>7161.4753333332956</c:v>
                </c:pt>
                <c:pt idx="483">
                  <c:v>7161.4753333332956</c:v>
                </c:pt>
                <c:pt idx="484">
                  <c:v>7161.4753333332956</c:v>
                </c:pt>
                <c:pt idx="485">
                  <c:v>7161.4753333332956</c:v>
                </c:pt>
                <c:pt idx="486">
                  <c:v>7241.4753333332956</c:v>
                </c:pt>
                <c:pt idx="487">
                  <c:v>7241.4753333332956</c:v>
                </c:pt>
                <c:pt idx="488">
                  <c:v>7241.4753333332956</c:v>
                </c:pt>
                <c:pt idx="489">
                  <c:v>7241.4753333332956</c:v>
                </c:pt>
                <c:pt idx="490">
                  <c:v>7241.4753333332956</c:v>
                </c:pt>
                <c:pt idx="491">
                  <c:v>7241.4753333332956</c:v>
                </c:pt>
                <c:pt idx="492">
                  <c:v>7241.4753333332956</c:v>
                </c:pt>
                <c:pt idx="493">
                  <c:v>7217.4753333332956</c:v>
                </c:pt>
                <c:pt idx="494">
                  <c:v>7297.4753333332956</c:v>
                </c:pt>
                <c:pt idx="495">
                  <c:v>7297.4753333332956</c:v>
                </c:pt>
                <c:pt idx="496">
                  <c:v>7297.4753333332956</c:v>
                </c:pt>
                <c:pt idx="497">
                  <c:v>7297.4753333332956</c:v>
                </c:pt>
                <c:pt idx="498">
                  <c:v>7457.4753333332956</c:v>
                </c:pt>
                <c:pt idx="499">
                  <c:v>7457.4753333332956</c:v>
                </c:pt>
                <c:pt idx="500">
                  <c:v>7377.4753333333119</c:v>
                </c:pt>
                <c:pt idx="501">
                  <c:v>7377.4753333333119</c:v>
                </c:pt>
                <c:pt idx="502">
                  <c:v>7537.4753333333119</c:v>
                </c:pt>
                <c:pt idx="503">
                  <c:v>7681.4753333333119</c:v>
                </c:pt>
                <c:pt idx="504">
                  <c:v>7681.4753333333119</c:v>
                </c:pt>
                <c:pt idx="505">
                  <c:v>7681.4753333333119</c:v>
                </c:pt>
                <c:pt idx="506">
                  <c:v>7681.4753333333119</c:v>
                </c:pt>
                <c:pt idx="507">
                  <c:v>7681.4753333333119</c:v>
                </c:pt>
                <c:pt idx="508">
                  <c:v>7681.4753333333119</c:v>
                </c:pt>
                <c:pt idx="509">
                  <c:v>7681.4753333333119</c:v>
                </c:pt>
                <c:pt idx="510">
                  <c:v>7681.4753333333119</c:v>
                </c:pt>
                <c:pt idx="511">
                  <c:v>7681.4753333333119</c:v>
                </c:pt>
                <c:pt idx="512">
                  <c:v>7681.4753333333119</c:v>
                </c:pt>
                <c:pt idx="513">
                  <c:v>7681.4753333333119</c:v>
                </c:pt>
                <c:pt idx="514">
                  <c:v>7681.4753333333119</c:v>
                </c:pt>
                <c:pt idx="515">
                  <c:v>7681.4753333333119</c:v>
                </c:pt>
                <c:pt idx="516">
                  <c:v>7681.4753333333119</c:v>
                </c:pt>
                <c:pt idx="517">
                  <c:v>7681.4753333333119</c:v>
                </c:pt>
                <c:pt idx="518">
                  <c:v>7681.4753333333119</c:v>
                </c:pt>
                <c:pt idx="519">
                  <c:v>7681.4753333333119</c:v>
                </c:pt>
                <c:pt idx="520">
                  <c:v>7681.4753333333119</c:v>
                </c:pt>
                <c:pt idx="521">
                  <c:v>7681.4753333333119</c:v>
                </c:pt>
                <c:pt idx="522">
                  <c:v>7681.4753333333119</c:v>
                </c:pt>
                <c:pt idx="523">
                  <c:v>7681.4753333333119</c:v>
                </c:pt>
                <c:pt idx="524">
                  <c:v>7729.4753333333119</c:v>
                </c:pt>
                <c:pt idx="525">
                  <c:v>7729.4753333333119</c:v>
                </c:pt>
                <c:pt idx="526">
                  <c:v>7649.4753333333119</c:v>
                </c:pt>
                <c:pt idx="527">
                  <c:v>7649.4753333333119</c:v>
                </c:pt>
                <c:pt idx="528">
                  <c:v>7649.4753333333119</c:v>
                </c:pt>
                <c:pt idx="529">
                  <c:v>7649.4753333333119</c:v>
                </c:pt>
                <c:pt idx="530">
                  <c:v>7649.4753333333119</c:v>
                </c:pt>
                <c:pt idx="531">
                  <c:v>7649.4753333333119</c:v>
                </c:pt>
                <c:pt idx="532">
                  <c:v>7649.4753333333119</c:v>
                </c:pt>
                <c:pt idx="533">
                  <c:v>7649.4753333333119</c:v>
                </c:pt>
                <c:pt idx="534">
                  <c:v>7649.4753333333119</c:v>
                </c:pt>
                <c:pt idx="535">
                  <c:v>7649.4753333333119</c:v>
                </c:pt>
                <c:pt idx="536">
                  <c:v>7665.4753333333119</c:v>
                </c:pt>
                <c:pt idx="537">
                  <c:v>7665.4753333333119</c:v>
                </c:pt>
                <c:pt idx="538">
                  <c:v>7825.4753333333119</c:v>
                </c:pt>
                <c:pt idx="539">
                  <c:v>7825.4753333333119</c:v>
                </c:pt>
                <c:pt idx="540">
                  <c:v>7905.4753333333119</c:v>
                </c:pt>
                <c:pt idx="541">
                  <c:v>7833.4753333333119</c:v>
                </c:pt>
                <c:pt idx="542">
                  <c:v>7833.4753333333119</c:v>
                </c:pt>
                <c:pt idx="543">
                  <c:v>7833.4753333333119</c:v>
                </c:pt>
                <c:pt idx="544">
                  <c:v>7833.4753333333119</c:v>
                </c:pt>
                <c:pt idx="545">
                  <c:v>7833.4753333333119</c:v>
                </c:pt>
                <c:pt idx="546">
                  <c:v>7833.4753333333119</c:v>
                </c:pt>
                <c:pt idx="547">
                  <c:v>7833.4753333333119</c:v>
                </c:pt>
                <c:pt idx="548">
                  <c:v>7833.4753333333119</c:v>
                </c:pt>
                <c:pt idx="549">
                  <c:v>7793.4753333333201</c:v>
                </c:pt>
                <c:pt idx="550">
                  <c:v>7441.4753333333201</c:v>
                </c:pt>
                <c:pt idx="551">
                  <c:v>7409.4753333333201</c:v>
                </c:pt>
                <c:pt idx="552">
                  <c:v>7409.4753333333201</c:v>
                </c:pt>
                <c:pt idx="553">
                  <c:v>7409.4753333333201</c:v>
                </c:pt>
                <c:pt idx="554">
                  <c:v>7409.4753333333201</c:v>
                </c:pt>
                <c:pt idx="555">
                  <c:v>7409.4753333333201</c:v>
                </c:pt>
                <c:pt idx="556">
                  <c:v>7409.4753333333201</c:v>
                </c:pt>
                <c:pt idx="557">
                  <c:v>7409.4753333333201</c:v>
                </c:pt>
                <c:pt idx="558">
                  <c:v>7409.4753333333201</c:v>
                </c:pt>
                <c:pt idx="559">
                  <c:v>7409.4753333333201</c:v>
                </c:pt>
                <c:pt idx="560">
                  <c:v>7409.4753333333201</c:v>
                </c:pt>
                <c:pt idx="561">
                  <c:v>7729.4753333333201</c:v>
                </c:pt>
                <c:pt idx="562">
                  <c:v>7729.4753333333201</c:v>
                </c:pt>
                <c:pt idx="563">
                  <c:v>8049.4753333333201</c:v>
                </c:pt>
                <c:pt idx="564">
                  <c:v>9393.475333333321</c:v>
                </c:pt>
                <c:pt idx="565">
                  <c:v>10065.475333333321</c:v>
                </c:pt>
                <c:pt idx="566">
                  <c:v>10065.475333333321</c:v>
                </c:pt>
                <c:pt idx="567">
                  <c:v>10065.475333333321</c:v>
                </c:pt>
                <c:pt idx="568">
                  <c:v>10065.475333333321</c:v>
                </c:pt>
                <c:pt idx="569">
                  <c:v>10065.475333333321</c:v>
                </c:pt>
                <c:pt idx="570">
                  <c:v>10065.475333333321</c:v>
                </c:pt>
                <c:pt idx="571">
                  <c:v>10065.475333333321</c:v>
                </c:pt>
                <c:pt idx="572">
                  <c:v>10065.475333333321</c:v>
                </c:pt>
                <c:pt idx="573">
                  <c:v>10097.475333333321</c:v>
                </c:pt>
                <c:pt idx="574">
                  <c:v>10097.475333333321</c:v>
                </c:pt>
                <c:pt idx="575">
                  <c:v>10097.475333333321</c:v>
                </c:pt>
                <c:pt idx="576">
                  <c:v>10097.475333333321</c:v>
                </c:pt>
                <c:pt idx="577">
                  <c:v>10097.475333333321</c:v>
                </c:pt>
                <c:pt idx="578">
                  <c:v>10097.475333333321</c:v>
                </c:pt>
                <c:pt idx="579">
                  <c:v>10097.475333333321</c:v>
                </c:pt>
                <c:pt idx="580">
                  <c:v>10097.475333333321</c:v>
                </c:pt>
                <c:pt idx="581">
                  <c:v>10289.475333333321</c:v>
                </c:pt>
                <c:pt idx="582">
                  <c:v>10289.475333333321</c:v>
                </c:pt>
                <c:pt idx="583">
                  <c:v>10289.475333333321</c:v>
                </c:pt>
                <c:pt idx="584">
                  <c:v>10609.475333333321</c:v>
                </c:pt>
                <c:pt idx="585">
                  <c:v>10609.475333333321</c:v>
                </c:pt>
                <c:pt idx="586">
                  <c:v>10609.475333333321</c:v>
                </c:pt>
                <c:pt idx="587">
                  <c:v>10609.475333333321</c:v>
                </c:pt>
                <c:pt idx="588">
                  <c:v>10609.475333333321</c:v>
                </c:pt>
                <c:pt idx="589">
                  <c:v>10769.475333333321</c:v>
                </c:pt>
                <c:pt idx="590">
                  <c:v>10769.475333333321</c:v>
                </c:pt>
                <c:pt idx="591">
                  <c:v>10769.475333333321</c:v>
                </c:pt>
                <c:pt idx="592">
                  <c:v>10849.475333333321</c:v>
                </c:pt>
                <c:pt idx="593">
                  <c:v>10849.475333333321</c:v>
                </c:pt>
                <c:pt idx="594">
                  <c:v>10849.475333333321</c:v>
                </c:pt>
                <c:pt idx="595">
                  <c:v>10929.475333333321</c:v>
                </c:pt>
                <c:pt idx="596">
                  <c:v>10929.475333333321</c:v>
                </c:pt>
                <c:pt idx="597">
                  <c:v>10929.475333333321</c:v>
                </c:pt>
                <c:pt idx="598">
                  <c:v>10929.475333333321</c:v>
                </c:pt>
                <c:pt idx="599">
                  <c:v>10929.475333333321</c:v>
                </c:pt>
                <c:pt idx="600">
                  <c:v>11809.475333333321</c:v>
                </c:pt>
                <c:pt idx="601">
                  <c:v>11905.475333333321</c:v>
                </c:pt>
                <c:pt idx="602">
                  <c:v>12001.475333333321</c:v>
                </c:pt>
                <c:pt idx="603">
                  <c:v>12001.475333333321</c:v>
                </c:pt>
                <c:pt idx="604">
                  <c:v>12001.475333333321</c:v>
                </c:pt>
                <c:pt idx="605">
                  <c:v>12001.475333333321</c:v>
                </c:pt>
                <c:pt idx="606">
                  <c:v>12001.475333333321</c:v>
                </c:pt>
                <c:pt idx="607">
                  <c:v>12001.475333333321</c:v>
                </c:pt>
                <c:pt idx="608">
                  <c:v>12001.475333333321</c:v>
                </c:pt>
                <c:pt idx="609">
                  <c:v>12001.475333333321</c:v>
                </c:pt>
                <c:pt idx="610">
                  <c:v>12001.475333333321</c:v>
                </c:pt>
                <c:pt idx="611">
                  <c:v>12193.475333333321</c:v>
                </c:pt>
                <c:pt idx="612">
                  <c:v>12253.475333333323</c:v>
                </c:pt>
                <c:pt idx="613">
                  <c:v>12445.475333333323</c:v>
                </c:pt>
                <c:pt idx="614">
                  <c:v>12525.475333333323</c:v>
                </c:pt>
                <c:pt idx="615">
                  <c:v>12525.475333333323</c:v>
                </c:pt>
                <c:pt idx="616">
                  <c:v>12525.475333333323</c:v>
                </c:pt>
                <c:pt idx="617">
                  <c:v>12477.475333333323</c:v>
                </c:pt>
                <c:pt idx="618">
                  <c:v>12477.475333333323</c:v>
                </c:pt>
                <c:pt idx="619">
                  <c:v>12477.475333333323</c:v>
                </c:pt>
                <c:pt idx="620">
                  <c:v>12477.475333333323</c:v>
                </c:pt>
                <c:pt idx="621">
                  <c:v>12477.475333333323</c:v>
                </c:pt>
                <c:pt idx="622">
                  <c:v>12477.475333333323</c:v>
                </c:pt>
                <c:pt idx="623">
                  <c:v>12477.475333333323</c:v>
                </c:pt>
                <c:pt idx="624">
                  <c:v>12477.475333333323</c:v>
                </c:pt>
                <c:pt idx="625">
                  <c:v>12477.475333333323</c:v>
                </c:pt>
                <c:pt idx="626">
                  <c:v>12477.475333333323</c:v>
                </c:pt>
                <c:pt idx="627">
                  <c:v>12477.475333333323</c:v>
                </c:pt>
                <c:pt idx="628">
                  <c:v>12477.475333333323</c:v>
                </c:pt>
                <c:pt idx="629">
                  <c:v>12461.475333333323</c:v>
                </c:pt>
                <c:pt idx="630">
                  <c:v>12461.475333333323</c:v>
                </c:pt>
                <c:pt idx="631">
                  <c:v>12461.475333333323</c:v>
                </c:pt>
                <c:pt idx="632">
                  <c:v>12461.475333333323</c:v>
                </c:pt>
                <c:pt idx="633">
                  <c:v>12461.475333333323</c:v>
                </c:pt>
                <c:pt idx="634">
                  <c:v>12509.475333333325</c:v>
                </c:pt>
                <c:pt idx="635">
                  <c:v>12509.475333333325</c:v>
                </c:pt>
                <c:pt idx="636">
                  <c:v>12509.475333333325</c:v>
                </c:pt>
                <c:pt idx="637">
                  <c:v>12509.475333333325</c:v>
                </c:pt>
                <c:pt idx="638">
                  <c:v>12509.475333333325</c:v>
                </c:pt>
                <c:pt idx="639">
                  <c:v>12509.475333333325</c:v>
                </c:pt>
                <c:pt idx="640">
                  <c:v>12509.475333333325</c:v>
                </c:pt>
                <c:pt idx="641">
                  <c:v>12509.475333333325</c:v>
                </c:pt>
                <c:pt idx="642">
                  <c:v>12509.475333333325</c:v>
                </c:pt>
                <c:pt idx="643">
                  <c:v>12509.475333333325</c:v>
                </c:pt>
                <c:pt idx="644">
                  <c:v>12509.475333333325</c:v>
                </c:pt>
                <c:pt idx="645">
                  <c:v>12509.475333333325</c:v>
                </c:pt>
                <c:pt idx="646">
                  <c:v>12557.475333333326</c:v>
                </c:pt>
                <c:pt idx="647">
                  <c:v>12557.475333333326</c:v>
                </c:pt>
                <c:pt idx="648">
                  <c:v>12589.475333333326</c:v>
                </c:pt>
                <c:pt idx="649">
                  <c:v>12589.475333333326</c:v>
                </c:pt>
                <c:pt idx="650">
                  <c:v>12589.475333333326</c:v>
                </c:pt>
                <c:pt idx="651">
                  <c:v>12589.475333333326</c:v>
                </c:pt>
                <c:pt idx="652">
                  <c:v>12589.475333333326</c:v>
                </c:pt>
                <c:pt idx="653">
                  <c:v>12589.475333333326</c:v>
                </c:pt>
                <c:pt idx="654">
                  <c:v>12877.475333333326</c:v>
                </c:pt>
                <c:pt idx="655">
                  <c:v>12829.475333333326</c:v>
                </c:pt>
                <c:pt idx="656">
                  <c:v>12829.475333333326</c:v>
                </c:pt>
                <c:pt idx="657">
                  <c:v>12829.475333333326</c:v>
                </c:pt>
                <c:pt idx="658">
                  <c:v>12829.475333333326</c:v>
                </c:pt>
                <c:pt idx="659">
                  <c:v>12829.475333333326</c:v>
                </c:pt>
                <c:pt idx="660">
                  <c:v>12829.475333333326</c:v>
                </c:pt>
                <c:pt idx="661">
                  <c:v>12829.475333333326</c:v>
                </c:pt>
                <c:pt idx="662">
                  <c:v>12829.475333333326</c:v>
                </c:pt>
                <c:pt idx="663">
                  <c:v>12829.475333333326</c:v>
                </c:pt>
                <c:pt idx="664">
                  <c:v>12829.475333333326</c:v>
                </c:pt>
                <c:pt idx="665">
                  <c:v>12909.475333333326</c:v>
                </c:pt>
                <c:pt idx="666">
                  <c:v>12909.475333333326</c:v>
                </c:pt>
                <c:pt idx="667">
                  <c:v>12909.475333333326</c:v>
                </c:pt>
                <c:pt idx="668">
                  <c:v>12909.475333333326</c:v>
                </c:pt>
                <c:pt idx="669">
                  <c:v>12909.475333333326</c:v>
                </c:pt>
                <c:pt idx="670">
                  <c:v>12909.475333333326</c:v>
                </c:pt>
                <c:pt idx="671">
                  <c:v>12909.475333333326</c:v>
                </c:pt>
                <c:pt idx="672">
                  <c:v>13757.475333333326</c:v>
                </c:pt>
                <c:pt idx="673">
                  <c:v>13757.475333333326</c:v>
                </c:pt>
                <c:pt idx="674">
                  <c:v>13709.475333333326</c:v>
                </c:pt>
                <c:pt idx="675">
                  <c:v>13709.475333333326</c:v>
                </c:pt>
                <c:pt idx="676">
                  <c:v>13549.475333333326</c:v>
                </c:pt>
                <c:pt idx="677">
                  <c:v>13629.475333333326</c:v>
                </c:pt>
                <c:pt idx="678">
                  <c:v>13901.475333333326</c:v>
                </c:pt>
                <c:pt idx="679">
                  <c:v>13901.475333333326</c:v>
                </c:pt>
                <c:pt idx="680">
                  <c:v>13901.475333333326</c:v>
                </c:pt>
                <c:pt idx="681">
                  <c:v>14829.475333333326</c:v>
                </c:pt>
                <c:pt idx="682">
                  <c:v>14829.475333333326</c:v>
                </c:pt>
                <c:pt idx="683">
                  <c:v>14829.475333333326</c:v>
                </c:pt>
                <c:pt idx="684">
                  <c:v>14829.475333333326</c:v>
                </c:pt>
                <c:pt idx="685">
                  <c:v>14829.475333333326</c:v>
                </c:pt>
                <c:pt idx="686">
                  <c:v>14829.475333333326</c:v>
                </c:pt>
                <c:pt idx="687">
                  <c:v>14829.475333333326</c:v>
                </c:pt>
                <c:pt idx="688">
                  <c:v>14829.475333333326</c:v>
                </c:pt>
                <c:pt idx="689">
                  <c:v>14829.475333333326</c:v>
                </c:pt>
                <c:pt idx="690">
                  <c:v>14829.475333333326</c:v>
                </c:pt>
                <c:pt idx="691">
                  <c:v>14829.475333333326</c:v>
                </c:pt>
                <c:pt idx="692">
                  <c:v>14957.475333333326</c:v>
                </c:pt>
                <c:pt idx="693">
                  <c:v>14957.475333333326</c:v>
                </c:pt>
                <c:pt idx="694">
                  <c:v>14957.475333333326</c:v>
                </c:pt>
                <c:pt idx="695">
                  <c:v>14957.475333333326</c:v>
                </c:pt>
                <c:pt idx="696">
                  <c:v>14957.475333333326</c:v>
                </c:pt>
                <c:pt idx="697">
                  <c:v>14957.475333333326</c:v>
                </c:pt>
                <c:pt idx="698">
                  <c:v>14957.475333333326</c:v>
                </c:pt>
                <c:pt idx="699">
                  <c:v>14957.475333333326</c:v>
                </c:pt>
                <c:pt idx="700">
                  <c:v>14957.475333333326</c:v>
                </c:pt>
                <c:pt idx="701">
                  <c:v>14957.475333333326</c:v>
                </c:pt>
                <c:pt idx="702">
                  <c:v>15149.475333333326</c:v>
                </c:pt>
                <c:pt idx="703">
                  <c:v>15149.475333333326</c:v>
                </c:pt>
                <c:pt idx="704">
                  <c:v>15149.475333333326</c:v>
                </c:pt>
                <c:pt idx="705">
                  <c:v>15149.475333333326</c:v>
                </c:pt>
                <c:pt idx="706">
                  <c:v>15149.475333333326</c:v>
                </c:pt>
                <c:pt idx="707">
                  <c:v>15149.475333333326</c:v>
                </c:pt>
                <c:pt idx="708">
                  <c:v>15149.475333333326</c:v>
                </c:pt>
                <c:pt idx="709">
                  <c:v>15229.475333333326</c:v>
                </c:pt>
                <c:pt idx="710">
                  <c:v>15229.475333333326</c:v>
                </c:pt>
                <c:pt idx="711">
                  <c:v>15229.475333333326</c:v>
                </c:pt>
                <c:pt idx="712">
                  <c:v>15261.475333333326</c:v>
                </c:pt>
                <c:pt idx="713">
                  <c:v>15229.475333333332</c:v>
                </c:pt>
                <c:pt idx="714">
                  <c:v>15253.475333333332</c:v>
                </c:pt>
                <c:pt idx="715">
                  <c:v>15253.475333333332</c:v>
                </c:pt>
                <c:pt idx="716">
                  <c:v>15253.475333333332</c:v>
                </c:pt>
                <c:pt idx="717">
                  <c:v>15253.475333333332</c:v>
                </c:pt>
                <c:pt idx="718">
                  <c:v>15253.475333333332</c:v>
                </c:pt>
                <c:pt idx="719">
                  <c:v>15253.475333333332</c:v>
                </c:pt>
                <c:pt idx="720">
                  <c:v>15253.475333333332</c:v>
                </c:pt>
                <c:pt idx="721">
                  <c:v>15253.475333333332</c:v>
                </c:pt>
                <c:pt idx="722">
                  <c:v>15253.475333333332</c:v>
                </c:pt>
                <c:pt idx="723">
                  <c:v>15253.475333333332</c:v>
                </c:pt>
                <c:pt idx="724">
                  <c:v>15253.475333333332</c:v>
                </c:pt>
                <c:pt idx="725">
                  <c:v>15253.475333333332</c:v>
                </c:pt>
                <c:pt idx="726">
                  <c:v>15253.475333333332</c:v>
                </c:pt>
                <c:pt idx="727">
                  <c:v>15253.475333333332</c:v>
                </c:pt>
                <c:pt idx="728">
                  <c:v>15253.475333333332</c:v>
                </c:pt>
                <c:pt idx="729">
                  <c:v>15253.475333333332</c:v>
                </c:pt>
                <c:pt idx="730">
                  <c:v>15253.475333333332</c:v>
                </c:pt>
                <c:pt idx="731">
                  <c:v>15253.475333333332</c:v>
                </c:pt>
                <c:pt idx="732">
                  <c:v>15157.475333333328</c:v>
                </c:pt>
                <c:pt idx="733">
                  <c:v>15157.475333333328</c:v>
                </c:pt>
                <c:pt idx="734">
                  <c:v>15205.475333333328</c:v>
                </c:pt>
                <c:pt idx="735">
                  <c:v>15205.475333333328</c:v>
                </c:pt>
                <c:pt idx="736">
                  <c:v>15205.475333333328</c:v>
                </c:pt>
                <c:pt idx="737">
                  <c:v>15205.475333333328</c:v>
                </c:pt>
                <c:pt idx="738">
                  <c:v>15205.475333333328</c:v>
                </c:pt>
                <c:pt idx="739">
                  <c:v>15429.475333333328</c:v>
                </c:pt>
                <c:pt idx="740">
                  <c:v>15429.475333333328</c:v>
                </c:pt>
                <c:pt idx="741">
                  <c:v>15429.475333333328</c:v>
                </c:pt>
                <c:pt idx="742">
                  <c:v>15509.475333333328</c:v>
                </c:pt>
                <c:pt idx="743">
                  <c:v>15509.475333333328</c:v>
                </c:pt>
                <c:pt idx="744">
                  <c:v>15589.475333333328</c:v>
                </c:pt>
                <c:pt idx="745">
                  <c:v>15589.475333333328</c:v>
                </c:pt>
                <c:pt idx="746">
                  <c:v>15589.475333333328</c:v>
                </c:pt>
                <c:pt idx="747">
                  <c:v>15589.475333333328</c:v>
                </c:pt>
                <c:pt idx="748">
                  <c:v>15637.475333333328</c:v>
                </c:pt>
                <c:pt idx="749">
                  <c:v>15637.475333333328</c:v>
                </c:pt>
                <c:pt idx="750">
                  <c:v>15861.475333333328</c:v>
                </c:pt>
                <c:pt idx="751">
                  <c:v>15861.475333333328</c:v>
                </c:pt>
                <c:pt idx="752">
                  <c:v>15861.475333333328</c:v>
                </c:pt>
                <c:pt idx="753">
                  <c:v>15861.475333333328</c:v>
                </c:pt>
                <c:pt idx="754">
                  <c:v>15861.475333333328</c:v>
                </c:pt>
                <c:pt idx="755">
                  <c:v>15861.475333333328</c:v>
                </c:pt>
                <c:pt idx="756">
                  <c:v>16085.475333333328</c:v>
                </c:pt>
                <c:pt idx="757">
                  <c:v>16085.475333333328</c:v>
                </c:pt>
                <c:pt idx="758">
                  <c:v>15701.475333333328</c:v>
                </c:pt>
                <c:pt idx="759">
                  <c:v>15701.475333333328</c:v>
                </c:pt>
                <c:pt idx="760">
                  <c:v>15781.475333333328</c:v>
                </c:pt>
                <c:pt idx="761">
                  <c:v>16005.475333333328</c:v>
                </c:pt>
                <c:pt idx="762">
                  <c:v>16005.475333333328</c:v>
                </c:pt>
                <c:pt idx="763">
                  <c:v>16005.475333333328</c:v>
                </c:pt>
                <c:pt idx="764">
                  <c:v>16293.475333333328</c:v>
                </c:pt>
                <c:pt idx="765">
                  <c:v>16293.475333333328</c:v>
                </c:pt>
                <c:pt idx="766">
                  <c:v>16293.475333333328</c:v>
                </c:pt>
                <c:pt idx="767">
                  <c:v>16293.475333333328</c:v>
                </c:pt>
                <c:pt idx="768">
                  <c:v>16293.475333333328</c:v>
                </c:pt>
                <c:pt idx="769">
                  <c:v>16293.475333333328</c:v>
                </c:pt>
                <c:pt idx="770">
                  <c:v>16293.475333333328</c:v>
                </c:pt>
                <c:pt idx="771">
                  <c:v>16373.475333333328</c:v>
                </c:pt>
                <c:pt idx="772">
                  <c:v>16373.475333333328</c:v>
                </c:pt>
                <c:pt idx="773">
                  <c:v>16373.475333333328</c:v>
                </c:pt>
                <c:pt idx="774">
                  <c:v>16373.475333333328</c:v>
                </c:pt>
                <c:pt idx="775">
                  <c:v>16373.475333333328</c:v>
                </c:pt>
                <c:pt idx="776">
                  <c:v>16373.475333333328</c:v>
                </c:pt>
                <c:pt idx="777">
                  <c:v>16373.475333333328</c:v>
                </c:pt>
                <c:pt idx="778">
                  <c:v>16485.475333333328</c:v>
                </c:pt>
                <c:pt idx="779">
                  <c:v>16533.475333333328</c:v>
                </c:pt>
                <c:pt idx="780">
                  <c:v>16437.475333333328</c:v>
                </c:pt>
                <c:pt idx="781">
                  <c:v>16485.475333333328</c:v>
                </c:pt>
                <c:pt idx="782">
                  <c:v>16485.475333333328</c:v>
                </c:pt>
                <c:pt idx="783">
                  <c:v>16485.475333333328</c:v>
                </c:pt>
                <c:pt idx="784">
                  <c:v>16485.475333333328</c:v>
                </c:pt>
                <c:pt idx="785">
                  <c:v>16485.475333333328</c:v>
                </c:pt>
                <c:pt idx="786">
                  <c:v>16485.475333333328</c:v>
                </c:pt>
                <c:pt idx="787">
                  <c:v>16485.475333333328</c:v>
                </c:pt>
                <c:pt idx="788">
                  <c:v>15781.475333333328</c:v>
                </c:pt>
                <c:pt idx="789">
                  <c:v>15781.475333333328</c:v>
                </c:pt>
                <c:pt idx="790">
                  <c:v>15781.475333333328</c:v>
                </c:pt>
                <c:pt idx="791">
                  <c:v>15781.475333333328</c:v>
                </c:pt>
                <c:pt idx="792">
                  <c:v>16069.475333333328</c:v>
                </c:pt>
                <c:pt idx="793">
                  <c:v>16069.475333333328</c:v>
                </c:pt>
                <c:pt idx="794">
                  <c:v>16069.475333333328</c:v>
                </c:pt>
                <c:pt idx="795">
                  <c:v>16069.475333333328</c:v>
                </c:pt>
                <c:pt idx="796">
                  <c:v>16117.475333333328</c:v>
                </c:pt>
                <c:pt idx="797">
                  <c:v>16117.475333333328</c:v>
                </c:pt>
                <c:pt idx="798">
                  <c:v>16117.475333333328</c:v>
                </c:pt>
                <c:pt idx="799">
                  <c:v>16117.475333333328</c:v>
                </c:pt>
                <c:pt idx="800">
                  <c:v>16117.475333333328</c:v>
                </c:pt>
                <c:pt idx="801">
                  <c:v>16117.475333333328</c:v>
                </c:pt>
                <c:pt idx="802">
                  <c:v>16117.475333333328</c:v>
                </c:pt>
                <c:pt idx="803">
                  <c:v>16117.475333333328</c:v>
                </c:pt>
                <c:pt idx="804">
                  <c:v>16117.475333333328</c:v>
                </c:pt>
                <c:pt idx="805">
                  <c:v>16117.475333333328</c:v>
                </c:pt>
                <c:pt idx="806">
                  <c:v>16117.475333333328</c:v>
                </c:pt>
                <c:pt idx="807">
                  <c:v>16197.475333333328</c:v>
                </c:pt>
                <c:pt idx="808">
                  <c:v>16245.475333333328</c:v>
                </c:pt>
                <c:pt idx="809">
                  <c:v>16245.475333333328</c:v>
                </c:pt>
                <c:pt idx="810">
                  <c:v>16245.475333333328</c:v>
                </c:pt>
                <c:pt idx="811">
                  <c:v>16245.475333333328</c:v>
                </c:pt>
                <c:pt idx="812">
                  <c:v>16245.475333333328</c:v>
                </c:pt>
                <c:pt idx="813">
                  <c:v>16245.475333333328</c:v>
                </c:pt>
                <c:pt idx="814">
                  <c:v>16245.475333333328</c:v>
                </c:pt>
                <c:pt idx="815">
                  <c:v>16245.475333333328</c:v>
                </c:pt>
                <c:pt idx="816">
                  <c:v>16245.475333333328</c:v>
                </c:pt>
                <c:pt idx="817">
                  <c:v>16209.475333333259</c:v>
                </c:pt>
                <c:pt idx="818">
                  <c:v>16209.475333333259</c:v>
                </c:pt>
                <c:pt idx="819">
                  <c:v>16913.475333333259</c:v>
                </c:pt>
                <c:pt idx="820">
                  <c:v>16913.475333333259</c:v>
                </c:pt>
                <c:pt idx="821">
                  <c:v>16993.475333333259</c:v>
                </c:pt>
                <c:pt idx="822">
                  <c:v>16993.475333333259</c:v>
                </c:pt>
                <c:pt idx="823">
                  <c:v>16993.475333333259</c:v>
                </c:pt>
                <c:pt idx="824">
                  <c:v>16993.475333333259</c:v>
                </c:pt>
                <c:pt idx="825">
                  <c:v>17017.475333333259</c:v>
                </c:pt>
                <c:pt idx="826">
                  <c:v>17017.475333333259</c:v>
                </c:pt>
                <c:pt idx="827">
                  <c:v>17017.475333333259</c:v>
                </c:pt>
                <c:pt idx="828">
                  <c:v>17017.475333333259</c:v>
                </c:pt>
                <c:pt idx="829">
                  <c:v>17017.475333333259</c:v>
                </c:pt>
                <c:pt idx="830">
                  <c:v>16985.475333333259</c:v>
                </c:pt>
                <c:pt idx="831">
                  <c:v>16985.475333333259</c:v>
                </c:pt>
                <c:pt idx="832">
                  <c:v>16985.475333333259</c:v>
                </c:pt>
                <c:pt idx="833">
                  <c:v>16985.475333333259</c:v>
                </c:pt>
                <c:pt idx="834">
                  <c:v>17129.475333333259</c:v>
                </c:pt>
                <c:pt idx="835">
                  <c:v>17129.475333333259</c:v>
                </c:pt>
                <c:pt idx="836">
                  <c:v>17129.475333333259</c:v>
                </c:pt>
                <c:pt idx="837">
                  <c:v>17129.475333333259</c:v>
                </c:pt>
                <c:pt idx="838">
                  <c:v>17129.475333333259</c:v>
                </c:pt>
                <c:pt idx="839">
                  <c:v>17193.475333333259</c:v>
                </c:pt>
                <c:pt idx="840">
                  <c:v>17193.475333333259</c:v>
                </c:pt>
                <c:pt idx="841">
                  <c:v>17353.475333333259</c:v>
                </c:pt>
                <c:pt idx="842">
                  <c:v>17353.475333333259</c:v>
                </c:pt>
                <c:pt idx="843">
                  <c:v>17545.475333333259</c:v>
                </c:pt>
                <c:pt idx="844">
                  <c:v>17705.475333333259</c:v>
                </c:pt>
                <c:pt idx="845">
                  <c:v>17705.475333333259</c:v>
                </c:pt>
                <c:pt idx="846">
                  <c:v>17705.475333333259</c:v>
                </c:pt>
                <c:pt idx="847">
                  <c:v>17705.475333333259</c:v>
                </c:pt>
                <c:pt idx="848">
                  <c:v>17705.475333333259</c:v>
                </c:pt>
                <c:pt idx="849">
                  <c:v>17705.475333333259</c:v>
                </c:pt>
                <c:pt idx="850">
                  <c:v>18361.475333333259</c:v>
                </c:pt>
                <c:pt idx="851">
                  <c:v>18361.475333333259</c:v>
                </c:pt>
                <c:pt idx="852">
                  <c:v>18361.475333333259</c:v>
                </c:pt>
                <c:pt idx="853">
                  <c:v>18361.475333333259</c:v>
                </c:pt>
                <c:pt idx="854">
                  <c:v>18409.475333333259</c:v>
                </c:pt>
                <c:pt idx="855">
                  <c:v>18409.475333333259</c:v>
                </c:pt>
                <c:pt idx="856">
                  <c:v>18409.475333333259</c:v>
                </c:pt>
                <c:pt idx="857">
                  <c:v>18409.475333333259</c:v>
                </c:pt>
                <c:pt idx="858">
                  <c:v>18409.475333333259</c:v>
                </c:pt>
                <c:pt idx="859">
                  <c:v>18409.475333333259</c:v>
                </c:pt>
                <c:pt idx="860">
                  <c:v>18409.475333333259</c:v>
                </c:pt>
                <c:pt idx="861">
                  <c:v>18409.475333333259</c:v>
                </c:pt>
                <c:pt idx="862">
                  <c:v>18649.475333333259</c:v>
                </c:pt>
                <c:pt idx="863">
                  <c:v>18649.475333333259</c:v>
                </c:pt>
                <c:pt idx="864">
                  <c:v>18649.475333333259</c:v>
                </c:pt>
                <c:pt idx="865">
                  <c:v>18889.475333333259</c:v>
                </c:pt>
                <c:pt idx="866">
                  <c:v>19129.475333333259</c:v>
                </c:pt>
                <c:pt idx="867">
                  <c:v>19129.475333333259</c:v>
                </c:pt>
                <c:pt idx="868">
                  <c:v>19129.475333333259</c:v>
                </c:pt>
                <c:pt idx="869">
                  <c:v>19129.475333333259</c:v>
                </c:pt>
                <c:pt idx="870">
                  <c:v>19129.475333333259</c:v>
                </c:pt>
                <c:pt idx="871">
                  <c:v>19129.475333333259</c:v>
                </c:pt>
                <c:pt idx="872">
                  <c:v>19129.475333333259</c:v>
                </c:pt>
                <c:pt idx="873">
                  <c:v>19161.475333333259</c:v>
                </c:pt>
                <c:pt idx="874">
                  <c:v>19161.475333333259</c:v>
                </c:pt>
                <c:pt idx="875">
                  <c:v>19161.475333333259</c:v>
                </c:pt>
                <c:pt idx="876">
                  <c:v>19161.475333333259</c:v>
                </c:pt>
                <c:pt idx="877">
                  <c:v>19161.475333333259</c:v>
                </c:pt>
                <c:pt idx="878">
                  <c:v>19161.475333333259</c:v>
                </c:pt>
                <c:pt idx="879">
                  <c:v>19161.475333333259</c:v>
                </c:pt>
                <c:pt idx="880">
                  <c:v>19161.475333333259</c:v>
                </c:pt>
                <c:pt idx="881">
                  <c:v>19161.475333333259</c:v>
                </c:pt>
                <c:pt idx="882">
                  <c:v>19161.475333333259</c:v>
                </c:pt>
                <c:pt idx="883">
                  <c:v>19353.475333333259</c:v>
                </c:pt>
                <c:pt idx="884">
                  <c:v>19353.475333333259</c:v>
                </c:pt>
                <c:pt idx="885">
                  <c:v>19353.475333333259</c:v>
                </c:pt>
                <c:pt idx="886">
                  <c:v>19353.475333333259</c:v>
                </c:pt>
                <c:pt idx="887">
                  <c:v>19353.475333333259</c:v>
                </c:pt>
                <c:pt idx="888">
                  <c:v>19433.475333333259</c:v>
                </c:pt>
                <c:pt idx="889">
                  <c:v>19433.475333333259</c:v>
                </c:pt>
                <c:pt idx="890">
                  <c:v>19673.475333333259</c:v>
                </c:pt>
                <c:pt idx="891">
                  <c:v>19673.475333333259</c:v>
                </c:pt>
                <c:pt idx="892">
                  <c:v>19673.475333333259</c:v>
                </c:pt>
                <c:pt idx="893">
                  <c:v>19673.475333333259</c:v>
                </c:pt>
                <c:pt idx="894">
                  <c:v>19673.475333333259</c:v>
                </c:pt>
                <c:pt idx="895">
                  <c:v>19721.475333333263</c:v>
                </c:pt>
                <c:pt idx="896">
                  <c:v>19913.475333333263</c:v>
                </c:pt>
                <c:pt idx="897">
                  <c:v>20073.475333333263</c:v>
                </c:pt>
                <c:pt idx="898">
                  <c:v>20073.475333333263</c:v>
                </c:pt>
                <c:pt idx="899">
                  <c:v>20073.475333333263</c:v>
                </c:pt>
                <c:pt idx="900">
                  <c:v>20073.475333333263</c:v>
                </c:pt>
                <c:pt idx="901">
                  <c:v>20073.475333333263</c:v>
                </c:pt>
                <c:pt idx="902">
                  <c:v>20073.475333333263</c:v>
                </c:pt>
                <c:pt idx="903">
                  <c:v>20073.475333333263</c:v>
                </c:pt>
                <c:pt idx="904">
                  <c:v>20073.475333333263</c:v>
                </c:pt>
                <c:pt idx="905">
                  <c:v>20073.475333333263</c:v>
                </c:pt>
                <c:pt idx="906">
                  <c:v>20073.475333333263</c:v>
                </c:pt>
                <c:pt idx="907">
                  <c:v>19433.475333333263</c:v>
                </c:pt>
                <c:pt idx="908">
                  <c:v>19529.475333333263</c:v>
                </c:pt>
                <c:pt idx="909">
                  <c:v>19689.475333333263</c:v>
                </c:pt>
                <c:pt idx="910">
                  <c:v>18777.475333333263</c:v>
                </c:pt>
                <c:pt idx="911">
                  <c:v>18841.475333333263</c:v>
                </c:pt>
                <c:pt idx="912">
                  <c:v>18841.475333333263</c:v>
                </c:pt>
                <c:pt idx="913">
                  <c:v>18601.475333333263</c:v>
                </c:pt>
                <c:pt idx="914">
                  <c:v>18601.475333333263</c:v>
                </c:pt>
                <c:pt idx="915">
                  <c:v>18601.475333333263</c:v>
                </c:pt>
                <c:pt idx="916">
                  <c:v>18601.475333333263</c:v>
                </c:pt>
                <c:pt idx="917">
                  <c:v>19177.475333333263</c:v>
                </c:pt>
                <c:pt idx="918">
                  <c:v>19177.475333333263</c:v>
                </c:pt>
                <c:pt idx="919">
                  <c:v>19177.475333333263</c:v>
                </c:pt>
                <c:pt idx="920">
                  <c:v>19177.475333333263</c:v>
                </c:pt>
                <c:pt idx="921">
                  <c:v>19177.475333333263</c:v>
                </c:pt>
                <c:pt idx="922">
                  <c:v>19177.475333333263</c:v>
                </c:pt>
                <c:pt idx="923">
                  <c:v>19177.475333333263</c:v>
                </c:pt>
                <c:pt idx="924">
                  <c:v>19177.475333333263</c:v>
                </c:pt>
                <c:pt idx="925">
                  <c:v>19417.475333333263</c:v>
                </c:pt>
                <c:pt idx="926">
                  <c:v>19577.475333333263</c:v>
                </c:pt>
                <c:pt idx="927">
                  <c:v>18633.475333333263</c:v>
                </c:pt>
                <c:pt idx="928">
                  <c:v>18633.475333333263</c:v>
                </c:pt>
                <c:pt idx="929">
                  <c:v>18633.475333333263</c:v>
                </c:pt>
                <c:pt idx="930">
                  <c:v>18633.475333333263</c:v>
                </c:pt>
                <c:pt idx="931">
                  <c:v>18633.475333333263</c:v>
                </c:pt>
                <c:pt idx="932">
                  <c:v>18809.475333333263</c:v>
                </c:pt>
                <c:pt idx="933">
                  <c:v>18881.475333333299</c:v>
                </c:pt>
                <c:pt idx="934">
                  <c:v>18881.475333333299</c:v>
                </c:pt>
                <c:pt idx="935">
                  <c:v>18881.475333333299</c:v>
                </c:pt>
                <c:pt idx="936">
                  <c:v>18881.475333333299</c:v>
                </c:pt>
                <c:pt idx="937">
                  <c:v>18881.475333333299</c:v>
                </c:pt>
                <c:pt idx="938">
                  <c:v>18881.475333333299</c:v>
                </c:pt>
                <c:pt idx="939">
                  <c:v>18881.475333333299</c:v>
                </c:pt>
                <c:pt idx="940">
                  <c:v>18913.475333333299</c:v>
                </c:pt>
                <c:pt idx="941">
                  <c:v>18913.475333333299</c:v>
                </c:pt>
                <c:pt idx="942">
                  <c:v>18945.475333333299</c:v>
                </c:pt>
                <c:pt idx="943">
                  <c:v>18945.475333333299</c:v>
                </c:pt>
                <c:pt idx="944">
                  <c:v>18945.475333333299</c:v>
                </c:pt>
                <c:pt idx="945">
                  <c:v>18945.475333333299</c:v>
                </c:pt>
                <c:pt idx="946">
                  <c:v>18977.475333333299</c:v>
                </c:pt>
                <c:pt idx="947">
                  <c:v>19297.475333333299</c:v>
                </c:pt>
                <c:pt idx="948">
                  <c:v>19333.475333333368</c:v>
                </c:pt>
                <c:pt idx="949">
                  <c:v>19253.475333333368</c:v>
                </c:pt>
                <c:pt idx="950">
                  <c:v>19217.475333333401</c:v>
                </c:pt>
                <c:pt idx="951">
                  <c:v>19217.475333333401</c:v>
                </c:pt>
                <c:pt idx="952">
                  <c:v>19217.475333333401</c:v>
                </c:pt>
                <c:pt idx="953">
                  <c:v>19217.475333333401</c:v>
                </c:pt>
                <c:pt idx="954">
                  <c:v>19217.475333333401</c:v>
                </c:pt>
                <c:pt idx="955">
                  <c:v>19217.475333333401</c:v>
                </c:pt>
                <c:pt idx="956">
                  <c:v>19217.475333333401</c:v>
                </c:pt>
                <c:pt idx="957">
                  <c:v>19217.475333333401</c:v>
                </c:pt>
                <c:pt idx="958">
                  <c:v>19329.475333333401</c:v>
                </c:pt>
                <c:pt idx="959">
                  <c:v>19329.475333333401</c:v>
                </c:pt>
                <c:pt idx="960">
                  <c:v>19289.475333333401</c:v>
                </c:pt>
                <c:pt idx="961">
                  <c:v>19313.475333333401</c:v>
                </c:pt>
                <c:pt idx="962">
                  <c:v>19324.675333333402</c:v>
                </c:pt>
                <c:pt idx="963">
                  <c:v>19324.675333333402</c:v>
                </c:pt>
                <c:pt idx="964">
                  <c:v>19324.675333333402</c:v>
                </c:pt>
                <c:pt idx="965">
                  <c:v>19340.675333333387</c:v>
                </c:pt>
                <c:pt idx="966">
                  <c:v>19340.675333333387</c:v>
                </c:pt>
                <c:pt idx="967">
                  <c:v>19340.675333333387</c:v>
                </c:pt>
                <c:pt idx="968">
                  <c:v>19340.675333333387</c:v>
                </c:pt>
                <c:pt idx="969">
                  <c:v>19340.675333333387</c:v>
                </c:pt>
                <c:pt idx="970">
                  <c:v>19340.675333333387</c:v>
                </c:pt>
                <c:pt idx="971">
                  <c:v>19484.67533333346</c:v>
                </c:pt>
                <c:pt idx="972">
                  <c:v>19556.675333333496</c:v>
                </c:pt>
                <c:pt idx="973">
                  <c:v>19124.675333333478</c:v>
                </c:pt>
                <c:pt idx="974">
                  <c:v>18800.675333333467</c:v>
                </c:pt>
                <c:pt idx="975">
                  <c:v>18800.675333333467</c:v>
                </c:pt>
                <c:pt idx="976">
                  <c:v>18800.675333333467</c:v>
                </c:pt>
                <c:pt idx="977">
                  <c:v>18800.675333333467</c:v>
                </c:pt>
                <c:pt idx="978">
                  <c:v>18800.675333333467</c:v>
                </c:pt>
                <c:pt idx="979">
                  <c:v>18800.675333333467</c:v>
                </c:pt>
                <c:pt idx="980">
                  <c:v>18800.675333333467</c:v>
                </c:pt>
                <c:pt idx="981">
                  <c:v>18800.675333333467</c:v>
                </c:pt>
                <c:pt idx="982">
                  <c:v>18816.675333333467</c:v>
                </c:pt>
                <c:pt idx="983">
                  <c:v>18992.675333333467</c:v>
                </c:pt>
                <c:pt idx="984">
                  <c:v>19072.675333333467</c:v>
                </c:pt>
                <c:pt idx="985">
                  <c:v>19072.675333333467</c:v>
                </c:pt>
                <c:pt idx="986">
                  <c:v>19264.675333333467</c:v>
                </c:pt>
                <c:pt idx="987">
                  <c:v>19328.675333333467</c:v>
                </c:pt>
                <c:pt idx="988">
                  <c:v>19472.675333333467</c:v>
                </c:pt>
                <c:pt idx="989">
                  <c:v>19632.675333333467</c:v>
                </c:pt>
                <c:pt idx="990">
                  <c:v>19596.675333333398</c:v>
                </c:pt>
                <c:pt idx="991">
                  <c:v>19596.675333333398</c:v>
                </c:pt>
                <c:pt idx="992">
                  <c:v>19788.675333333398</c:v>
                </c:pt>
                <c:pt idx="993">
                  <c:v>19788.675333333398</c:v>
                </c:pt>
                <c:pt idx="994">
                  <c:v>19788.675333333398</c:v>
                </c:pt>
                <c:pt idx="995">
                  <c:v>19788.675333333398</c:v>
                </c:pt>
                <c:pt idx="996">
                  <c:v>19868.675333333398</c:v>
                </c:pt>
                <c:pt idx="997">
                  <c:v>20108.675333333398</c:v>
                </c:pt>
                <c:pt idx="998">
                  <c:v>20108.675333333398</c:v>
                </c:pt>
                <c:pt idx="999">
                  <c:v>20108.675333333398</c:v>
                </c:pt>
                <c:pt idx="1000">
                  <c:v>20108.675333333398</c:v>
                </c:pt>
                <c:pt idx="1001">
                  <c:v>20108.675333333398</c:v>
                </c:pt>
                <c:pt idx="1002">
                  <c:v>20108.675333333398</c:v>
                </c:pt>
                <c:pt idx="1003">
                  <c:v>20220.675333333398</c:v>
                </c:pt>
                <c:pt idx="1004">
                  <c:v>20148.675333333464</c:v>
                </c:pt>
                <c:pt idx="1005">
                  <c:v>20148.675333333464</c:v>
                </c:pt>
                <c:pt idx="1006">
                  <c:v>20148.675333333464</c:v>
                </c:pt>
                <c:pt idx="1007">
                  <c:v>20148.675333333464</c:v>
                </c:pt>
                <c:pt idx="1008">
                  <c:v>19572.675333333464</c:v>
                </c:pt>
                <c:pt idx="1009">
                  <c:v>19188.675333333464</c:v>
                </c:pt>
                <c:pt idx="1010">
                  <c:v>19236.675333333464</c:v>
                </c:pt>
                <c:pt idx="1011">
                  <c:v>19236.675333333464</c:v>
                </c:pt>
                <c:pt idx="1012">
                  <c:v>19245.305333333457</c:v>
                </c:pt>
                <c:pt idx="1013">
                  <c:v>19245.305333333457</c:v>
                </c:pt>
                <c:pt idx="1014">
                  <c:v>19245.305333333457</c:v>
                </c:pt>
                <c:pt idx="1015">
                  <c:v>19245.305333333457</c:v>
                </c:pt>
                <c:pt idx="1016">
                  <c:v>19245.305333333457</c:v>
                </c:pt>
                <c:pt idx="1017">
                  <c:v>18925.305333333457</c:v>
                </c:pt>
                <c:pt idx="1018">
                  <c:v>18621.305333333457</c:v>
                </c:pt>
                <c:pt idx="1019">
                  <c:v>18813.305333333457</c:v>
                </c:pt>
                <c:pt idx="1020">
                  <c:v>18813.305333333457</c:v>
                </c:pt>
                <c:pt idx="1021">
                  <c:v>18861.305333333457</c:v>
                </c:pt>
                <c:pt idx="1022">
                  <c:v>18893.305333333457</c:v>
                </c:pt>
                <c:pt idx="1023">
                  <c:v>18893.305333333457</c:v>
                </c:pt>
                <c:pt idx="1024">
                  <c:v>18893.305333333457</c:v>
                </c:pt>
                <c:pt idx="1025">
                  <c:v>18893.305333333457</c:v>
                </c:pt>
                <c:pt idx="1026">
                  <c:v>18893.305333333457</c:v>
                </c:pt>
                <c:pt idx="1027">
                  <c:v>18893.305333333457</c:v>
                </c:pt>
                <c:pt idx="1028">
                  <c:v>18893.305333333457</c:v>
                </c:pt>
                <c:pt idx="1029">
                  <c:v>19085.305333333457</c:v>
                </c:pt>
                <c:pt idx="1030">
                  <c:v>19309.305333333457</c:v>
                </c:pt>
                <c:pt idx="1031">
                  <c:v>19693.305333333457</c:v>
                </c:pt>
                <c:pt idx="1032">
                  <c:v>19757.305333333457</c:v>
                </c:pt>
                <c:pt idx="1033">
                  <c:v>19757.305333333457</c:v>
                </c:pt>
                <c:pt idx="1034">
                  <c:v>19757.305333333457</c:v>
                </c:pt>
                <c:pt idx="1035">
                  <c:v>19757.305333333457</c:v>
                </c:pt>
                <c:pt idx="1036">
                  <c:v>19869.305333333457</c:v>
                </c:pt>
                <c:pt idx="1037">
                  <c:v>19869.305333333457</c:v>
                </c:pt>
                <c:pt idx="1038">
                  <c:v>19869.305333333457</c:v>
                </c:pt>
                <c:pt idx="1039">
                  <c:v>19869.305333333457</c:v>
                </c:pt>
                <c:pt idx="1040">
                  <c:v>19869.305333333457</c:v>
                </c:pt>
                <c:pt idx="1041">
                  <c:v>19869.305333333457</c:v>
                </c:pt>
                <c:pt idx="1042">
                  <c:v>19869.305333333457</c:v>
                </c:pt>
                <c:pt idx="1043">
                  <c:v>19869.305333333457</c:v>
                </c:pt>
                <c:pt idx="1044">
                  <c:v>19869.305333333457</c:v>
                </c:pt>
                <c:pt idx="1045">
                  <c:v>19869.305333333457</c:v>
                </c:pt>
                <c:pt idx="1046">
                  <c:v>19869.305333333457</c:v>
                </c:pt>
                <c:pt idx="1047">
                  <c:v>19981.305333333457</c:v>
                </c:pt>
                <c:pt idx="1048">
                  <c:v>19981.305333333457</c:v>
                </c:pt>
                <c:pt idx="1049">
                  <c:v>19981.305333333457</c:v>
                </c:pt>
                <c:pt idx="1050">
                  <c:v>19981.305333333457</c:v>
                </c:pt>
                <c:pt idx="1051">
                  <c:v>19981.305333333457</c:v>
                </c:pt>
                <c:pt idx="1052">
                  <c:v>19981.305333333457</c:v>
                </c:pt>
                <c:pt idx="1053">
                  <c:v>20205.305333333457</c:v>
                </c:pt>
                <c:pt idx="1054">
                  <c:v>20429.305333333457</c:v>
                </c:pt>
                <c:pt idx="1055">
                  <c:v>20509.305333333457</c:v>
                </c:pt>
                <c:pt idx="1056">
                  <c:v>20509.305333333457</c:v>
                </c:pt>
                <c:pt idx="1057">
                  <c:v>20473.30533333349</c:v>
                </c:pt>
                <c:pt idx="1058">
                  <c:v>20509.305333333457</c:v>
                </c:pt>
                <c:pt idx="1059">
                  <c:v>20509.305333333457</c:v>
                </c:pt>
                <c:pt idx="1060">
                  <c:v>20509.305333333457</c:v>
                </c:pt>
                <c:pt idx="1061">
                  <c:v>20509.305333333457</c:v>
                </c:pt>
                <c:pt idx="1062">
                  <c:v>20781.305333333457</c:v>
                </c:pt>
                <c:pt idx="1063">
                  <c:v>20781.305333333457</c:v>
                </c:pt>
                <c:pt idx="1064">
                  <c:v>20781.305333333457</c:v>
                </c:pt>
                <c:pt idx="1065">
                  <c:v>20925.30533333353</c:v>
                </c:pt>
                <c:pt idx="1066">
                  <c:v>20961.305333333497</c:v>
                </c:pt>
                <c:pt idx="1067">
                  <c:v>20961.305333333497</c:v>
                </c:pt>
                <c:pt idx="1068">
                  <c:v>20577.305333333497</c:v>
                </c:pt>
                <c:pt idx="1069">
                  <c:v>20577.305333333497</c:v>
                </c:pt>
                <c:pt idx="1070">
                  <c:v>20577.305333333497</c:v>
                </c:pt>
                <c:pt idx="1071">
                  <c:v>20577.305333333497</c:v>
                </c:pt>
                <c:pt idx="1072">
                  <c:v>19841.305333333497</c:v>
                </c:pt>
                <c:pt idx="1073">
                  <c:v>19841.305333333497</c:v>
                </c:pt>
                <c:pt idx="1074">
                  <c:v>19265.305333333497</c:v>
                </c:pt>
                <c:pt idx="1075">
                  <c:v>19649.305333333497</c:v>
                </c:pt>
                <c:pt idx="1076">
                  <c:v>19649.305333333497</c:v>
                </c:pt>
                <c:pt idx="1077">
                  <c:v>19649.305333333497</c:v>
                </c:pt>
                <c:pt idx="1078">
                  <c:v>19649.305333333497</c:v>
                </c:pt>
                <c:pt idx="1079">
                  <c:v>19649.305333333497</c:v>
                </c:pt>
                <c:pt idx="1080">
                  <c:v>19649.305333333497</c:v>
                </c:pt>
                <c:pt idx="1081">
                  <c:v>19649.305333333497</c:v>
                </c:pt>
                <c:pt idx="1082">
                  <c:v>19777.305333333497</c:v>
                </c:pt>
                <c:pt idx="1083">
                  <c:v>19777.305333333497</c:v>
                </c:pt>
                <c:pt idx="1084">
                  <c:v>19969.305333333497</c:v>
                </c:pt>
                <c:pt idx="1085">
                  <c:v>19969.305333333497</c:v>
                </c:pt>
                <c:pt idx="1086">
                  <c:v>19969.305333333497</c:v>
                </c:pt>
                <c:pt idx="1087">
                  <c:v>19969.305333333497</c:v>
                </c:pt>
                <c:pt idx="1088">
                  <c:v>20353.305333333497</c:v>
                </c:pt>
                <c:pt idx="1089">
                  <c:v>20389.305333333465</c:v>
                </c:pt>
                <c:pt idx="1090">
                  <c:v>20549.305333333465</c:v>
                </c:pt>
                <c:pt idx="1091">
                  <c:v>20549.305333333465</c:v>
                </c:pt>
                <c:pt idx="1092">
                  <c:v>20549.305333333465</c:v>
                </c:pt>
                <c:pt idx="1093">
                  <c:v>20549.305333333465</c:v>
                </c:pt>
                <c:pt idx="1094">
                  <c:v>18053.305333333465</c:v>
                </c:pt>
                <c:pt idx="1095">
                  <c:v>18197.305333333465</c:v>
                </c:pt>
                <c:pt idx="1096">
                  <c:v>18197.305333333465</c:v>
                </c:pt>
                <c:pt idx="1097">
                  <c:v>18517.305333333465</c:v>
                </c:pt>
                <c:pt idx="1098">
                  <c:v>18517.305333333465</c:v>
                </c:pt>
                <c:pt idx="1099">
                  <c:v>18517.305333333465</c:v>
                </c:pt>
                <c:pt idx="1100">
                  <c:v>18517.305333333465</c:v>
                </c:pt>
                <c:pt idx="1101">
                  <c:v>18677.305333333465</c:v>
                </c:pt>
                <c:pt idx="1102">
                  <c:v>18677.305333333465</c:v>
                </c:pt>
                <c:pt idx="1103">
                  <c:v>18677.305333333465</c:v>
                </c:pt>
                <c:pt idx="1104">
                  <c:v>19445.305333333465</c:v>
                </c:pt>
                <c:pt idx="1105">
                  <c:v>19477.305333333465</c:v>
                </c:pt>
                <c:pt idx="1106">
                  <c:v>19637.305333333465</c:v>
                </c:pt>
                <c:pt idx="1107">
                  <c:v>19637.305333333465</c:v>
                </c:pt>
                <c:pt idx="1108">
                  <c:v>19637.305333333465</c:v>
                </c:pt>
                <c:pt idx="1109">
                  <c:v>19701.305333333465</c:v>
                </c:pt>
                <c:pt idx="1110">
                  <c:v>19701.305333333465</c:v>
                </c:pt>
                <c:pt idx="1111">
                  <c:v>19717.305333333465</c:v>
                </c:pt>
                <c:pt idx="1112">
                  <c:v>19877.305333333465</c:v>
                </c:pt>
                <c:pt idx="1113">
                  <c:v>19877.305333333465</c:v>
                </c:pt>
                <c:pt idx="1114">
                  <c:v>19877.305333333465</c:v>
                </c:pt>
                <c:pt idx="1115">
                  <c:v>19877.305333333465</c:v>
                </c:pt>
                <c:pt idx="1116">
                  <c:v>19877.305333333465</c:v>
                </c:pt>
                <c:pt idx="1117">
                  <c:v>20789.305333333465</c:v>
                </c:pt>
                <c:pt idx="1118">
                  <c:v>20789.305333333465</c:v>
                </c:pt>
                <c:pt idx="1119">
                  <c:v>20789.305333333465</c:v>
                </c:pt>
                <c:pt idx="1120">
                  <c:v>20789.305333333465</c:v>
                </c:pt>
                <c:pt idx="1121">
                  <c:v>20789.305333333465</c:v>
                </c:pt>
                <c:pt idx="1122">
                  <c:v>20789.305333333465</c:v>
                </c:pt>
                <c:pt idx="1123">
                  <c:v>20789.305333333465</c:v>
                </c:pt>
                <c:pt idx="1124">
                  <c:v>20789.305333333465</c:v>
                </c:pt>
                <c:pt idx="1125">
                  <c:v>20789.305333333465</c:v>
                </c:pt>
                <c:pt idx="1126">
                  <c:v>20789.305333333465</c:v>
                </c:pt>
                <c:pt idx="1127">
                  <c:v>20789.305333333465</c:v>
                </c:pt>
                <c:pt idx="1128">
                  <c:v>20789.305333333465</c:v>
                </c:pt>
                <c:pt idx="1129">
                  <c:v>20789.305333333465</c:v>
                </c:pt>
                <c:pt idx="1130">
                  <c:v>20789.305333333465</c:v>
                </c:pt>
                <c:pt idx="1131">
                  <c:v>21710.905333333463</c:v>
                </c:pt>
                <c:pt idx="1132">
                  <c:v>21710.905333333463</c:v>
                </c:pt>
                <c:pt idx="1133">
                  <c:v>21710.905333333463</c:v>
                </c:pt>
                <c:pt idx="1134">
                  <c:v>21934.905333333463</c:v>
                </c:pt>
                <c:pt idx="1135">
                  <c:v>22158.905333333463</c:v>
                </c:pt>
                <c:pt idx="1136">
                  <c:v>22478.905333333463</c:v>
                </c:pt>
                <c:pt idx="1137">
                  <c:v>22478.905333333463</c:v>
                </c:pt>
                <c:pt idx="1138">
                  <c:v>22478.905333333463</c:v>
                </c:pt>
                <c:pt idx="1139">
                  <c:v>22478.905333333463</c:v>
                </c:pt>
                <c:pt idx="1140">
                  <c:v>22478.905333333463</c:v>
                </c:pt>
                <c:pt idx="1141">
                  <c:v>22478.905333333463</c:v>
                </c:pt>
                <c:pt idx="1142">
                  <c:v>22478.905333333463</c:v>
                </c:pt>
                <c:pt idx="1143">
                  <c:v>22478.905333333463</c:v>
                </c:pt>
                <c:pt idx="1144">
                  <c:v>22478.905333333463</c:v>
                </c:pt>
                <c:pt idx="1145">
                  <c:v>22478.905333333463</c:v>
                </c:pt>
                <c:pt idx="1146">
                  <c:v>22478.905333333463</c:v>
                </c:pt>
                <c:pt idx="1147">
                  <c:v>22718.905333333463</c:v>
                </c:pt>
                <c:pt idx="1148">
                  <c:v>22718.905333333463</c:v>
                </c:pt>
                <c:pt idx="1149">
                  <c:v>22910.905333333463</c:v>
                </c:pt>
                <c:pt idx="1150">
                  <c:v>23326.905333333463</c:v>
                </c:pt>
                <c:pt idx="1151">
                  <c:v>23326.905333333463</c:v>
                </c:pt>
                <c:pt idx="1152">
                  <c:v>23598.905333333463</c:v>
                </c:pt>
                <c:pt idx="1153">
                  <c:v>23598.905333333463</c:v>
                </c:pt>
                <c:pt idx="1154">
                  <c:v>23902.905333333463</c:v>
                </c:pt>
                <c:pt idx="1155">
                  <c:v>23970.105333333464</c:v>
                </c:pt>
                <c:pt idx="1156">
                  <c:v>24002.105333333464</c:v>
                </c:pt>
                <c:pt idx="1157">
                  <c:v>24002.105333333464</c:v>
                </c:pt>
                <c:pt idx="1158">
                  <c:v>24034.105333333464</c:v>
                </c:pt>
                <c:pt idx="1159">
                  <c:v>24226.105333333464</c:v>
                </c:pt>
                <c:pt idx="1160">
                  <c:v>24298.105333333398</c:v>
                </c:pt>
                <c:pt idx="1161">
                  <c:v>24298.105333333398</c:v>
                </c:pt>
                <c:pt idx="1162">
                  <c:v>24298.105333333398</c:v>
                </c:pt>
                <c:pt idx="1163">
                  <c:v>24298.105333333398</c:v>
                </c:pt>
                <c:pt idx="1164">
                  <c:v>24298.105333333398</c:v>
                </c:pt>
                <c:pt idx="1165">
                  <c:v>24298.105333333398</c:v>
                </c:pt>
                <c:pt idx="1166">
                  <c:v>24298.105333333398</c:v>
                </c:pt>
                <c:pt idx="1167">
                  <c:v>24298.105333333398</c:v>
                </c:pt>
                <c:pt idx="1168">
                  <c:v>24298.105333333398</c:v>
                </c:pt>
                <c:pt idx="1169">
                  <c:v>24522.105333333398</c:v>
                </c:pt>
                <c:pt idx="1170">
                  <c:v>24682.105333333398</c:v>
                </c:pt>
                <c:pt idx="1171">
                  <c:v>24874.105333333398</c:v>
                </c:pt>
                <c:pt idx="1172">
                  <c:v>24874.105333333398</c:v>
                </c:pt>
                <c:pt idx="1173">
                  <c:v>24874.105333333398</c:v>
                </c:pt>
                <c:pt idx="1174">
                  <c:v>25018.105333333398</c:v>
                </c:pt>
                <c:pt idx="1175">
                  <c:v>25210.105333333398</c:v>
                </c:pt>
                <c:pt idx="1176">
                  <c:v>25210.105333333398</c:v>
                </c:pt>
                <c:pt idx="1177">
                  <c:v>25322.105333333398</c:v>
                </c:pt>
                <c:pt idx="1178">
                  <c:v>24746.105333333398</c:v>
                </c:pt>
                <c:pt idx="1179">
                  <c:v>24634.105333333398</c:v>
                </c:pt>
                <c:pt idx="1180">
                  <c:v>24634.105333333398</c:v>
                </c:pt>
                <c:pt idx="1181">
                  <c:v>24634.105333333398</c:v>
                </c:pt>
                <c:pt idx="1182">
                  <c:v>24634.105333333398</c:v>
                </c:pt>
                <c:pt idx="1183">
                  <c:v>24634.105333333398</c:v>
                </c:pt>
                <c:pt idx="1184">
                  <c:v>24634.105333333398</c:v>
                </c:pt>
                <c:pt idx="1185">
                  <c:v>24562.105333333362</c:v>
                </c:pt>
                <c:pt idx="1186">
                  <c:v>24562.105333333362</c:v>
                </c:pt>
                <c:pt idx="1187">
                  <c:v>24562.105333333362</c:v>
                </c:pt>
                <c:pt idx="1188">
                  <c:v>24562.105333333362</c:v>
                </c:pt>
                <c:pt idx="1189">
                  <c:v>24562.105333333362</c:v>
                </c:pt>
                <c:pt idx="1190">
                  <c:v>24562.105333333362</c:v>
                </c:pt>
                <c:pt idx="1191">
                  <c:v>24618.105333333391</c:v>
                </c:pt>
                <c:pt idx="1192">
                  <c:v>24330.105333333391</c:v>
                </c:pt>
                <c:pt idx="1193">
                  <c:v>24330.105333333391</c:v>
                </c:pt>
                <c:pt idx="1194">
                  <c:v>24330.105333333391</c:v>
                </c:pt>
                <c:pt idx="1195">
                  <c:v>24330.105333333391</c:v>
                </c:pt>
                <c:pt idx="1196">
                  <c:v>24330.105333333391</c:v>
                </c:pt>
                <c:pt idx="1197">
                  <c:v>24330.105333333391</c:v>
                </c:pt>
                <c:pt idx="1198">
                  <c:v>24330.105333333391</c:v>
                </c:pt>
                <c:pt idx="1199">
                  <c:v>24330.105333333391</c:v>
                </c:pt>
                <c:pt idx="1200">
                  <c:v>24330.105333333391</c:v>
                </c:pt>
                <c:pt idx="1201">
                  <c:v>24330.105333333391</c:v>
                </c:pt>
                <c:pt idx="1202">
                  <c:v>24330.105333333391</c:v>
                </c:pt>
                <c:pt idx="1203">
                  <c:v>24156.105333333551</c:v>
                </c:pt>
                <c:pt idx="1204">
                  <c:v>23932.105333333551</c:v>
                </c:pt>
                <c:pt idx="1205">
                  <c:v>23932.105333333551</c:v>
                </c:pt>
                <c:pt idx="1206">
                  <c:v>23932.105333333551</c:v>
                </c:pt>
                <c:pt idx="1207">
                  <c:v>24692.105333333551</c:v>
                </c:pt>
                <c:pt idx="1208">
                  <c:v>24692.105333333551</c:v>
                </c:pt>
                <c:pt idx="1209">
                  <c:v>24692.105333333551</c:v>
                </c:pt>
                <c:pt idx="1210">
                  <c:v>24692.105333333551</c:v>
                </c:pt>
                <c:pt idx="1211">
                  <c:v>24692.105333333551</c:v>
                </c:pt>
                <c:pt idx="1212">
                  <c:v>24692.105333333551</c:v>
                </c:pt>
                <c:pt idx="1213">
                  <c:v>25040.105333333566</c:v>
                </c:pt>
                <c:pt idx="1214">
                  <c:v>25040.105333333566</c:v>
                </c:pt>
                <c:pt idx="1215">
                  <c:v>25376.105333333566</c:v>
                </c:pt>
                <c:pt idx="1216">
                  <c:v>25376.105333333566</c:v>
                </c:pt>
                <c:pt idx="1217">
                  <c:v>25376.105333333566</c:v>
                </c:pt>
                <c:pt idx="1218">
                  <c:v>25376.105333333566</c:v>
                </c:pt>
                <c:pt idx="1219">
                  <c:v>25376.105333333566</c:v>
                </c:pt>
                <c:pt idx="1220">
                  <c:v>25376.105333333566</c:v>
                </c:pt>
                <c:pt idx="1221">
                  <c:v>25376.105333333566</c:v>
                </c:pt>
                <c:pt idx="1222">
                  <c:v>25568.105333333566</c:v>
                </c:pt>
                <c:pt idx="1223">
                  <c:v>25568.105333333566</c:v>
                </c:pt>
                <c:pt idx="1224">
                  <c:v>25568.105333333566</c:v>
                </c:pt>
                <c:pt idx="1225">
                  <c:v>25568.105333333566</c:v>
                </c:pt>
                <c:pt idx="1226">
                  <c:v>25792.105333333566</c:v>
                </c:pt>
                <c:pt idx="1227">
                  <c:v>25792.105333333566</c:v>
                </c:pt>
                <c:pt idx="1228">
                  <c:v>25792.105333333566</c:v>
                </c:pt>
                <c:pt idx="1229">
                  <c:v>26048.105333333566</c:v>
                </c:pt>
                <c:pt idx="1230">
                  <c:v>26048.105333333566</c:v>
                </c:pt>
                <c:pt idx="1231">
                  <c:v>26288.105333333566</c:v>
                </c:pt>
                <c:pt idx="1232">
                  <c:v>26288.105333333566</c:v>
                </c:pt>
                <c:pt idx="1233">
                  <c:v>26400.105333333566</c:v>
                </c:pt>
                <c:pt idx="1234">
                  <c:v>26592.105333333566</c:v>
                </c:pt>
                <c:pt idx="1235">
                  <c:v>26592.105333333566</c:v>
                </c:pt>
                <c:pt idx="1236">
                  <c:v>26592.105333333566</c:v>
                </c:pt>
                <c:pt idx="1237">
                  <c:v>26592.105333333566</c:v>
                </c:pt>
                <c:pt idx="1238">
                  <c:v>26592.105333333566</c:v>
                </c:pt>
                <c:pt idx="1239">
                  <c:v>26592.105333333566</c:v>
                </c:pt>
                <c:pt idx="1240">
                  <c:v>26784.105333333566</c:v>
                </c:pt>
                <c:pt idx="1241">
                  <c:v>26784.105333333566</c:v>
                </c:pt>
                <c:pt idx="1242">
                  <c:v>26800.105333333566</c:v>
                </c:pt>
                <c:pt idx="1243">
                  <c:v>26800.105333333566</c:v>
                </c:pt>
                <c:pt idx="1244">
                  <c:v>26800.105333333566</c:v>
                </c:pt>
                <c:pt idx="1245">
                  <c:v>26800.105333333566</c:v>
                </c:pt>
                <c:pt idx="1246">
                  <c:v>26800.105333333566</c:v>
                </c:pt>
                <c:pt idx="1247">
                  <c:v>26800.105333333566</c:v>
                </c:pt>
                <c:pt idx="1248">
                  <c:v>26800.105333333566</c:v>
                </c:pt>
                <c:pt idx="1249">
                  <c:v>26800.105333333566</c:v>
                </c:pt>
                <c:pt idx="1250">
                  <c:v>26800.105333333566</c:v>
                </c:pt>
              </c:numCache>
            </c:numRef>
          </c:val>
          <c:smooth val="0"/>
          <c:extLst>
            <c:ext xmlns:c16="http://schemas.microsoft.com/office/drawing/2014/chart" uri="{C3380CC4-5D6E-409C-BE32-E72D297353CC}">
              <c16:uniqueId val="{00000000-BDC0-4D62-9F34-ED490E73A21D}"/>
            </c:ext>
          </c:extLst>
        </c:ser>
        <c:ser>
          <c:idx val="1"/>
          <c:order val="1"/>
          <c:tx>
            <c:v>F</c:v>
          </c:tx>
          <c:spPr>
            <a:ln w="28575" cap="rnd">
              <a:solidFill>
                <a:schemeClr val="accent2"/>
              </a:solidFill>
              <a:round/>
            </a:ln>
            <a:effectLst/>
          </c:spPr>
          <c:marker>
            <c:symbol val="none"/>
          </c:marker>
          <c:val>
            <c:numRef>
              <c:f>'Journal Live'!$BS$134:$BS$1384</c:f>
              <c:numCache>
                <c:formatCode>General</c:formatCode>
                <c:ptCount val="1251"/>
                <c:pt idx="0">
                  <c:v>0</c:v>
                </c:pt>
                <c:pt idx="1">
                  <c:v>0</c:v>
                </c:pt>
                <c:pt idx="2">
                  <c:v>0</c:v>
                </c:pt>
                <c:pt idx="3">
                  <c:v>81.499999999999986</c:v>
                </c:pt>
                <c:pt idx="4">
                  <c:v>97.8</c:v>
                </c:pt>
                <c:pt idx="5">
                  <c:v>164.2</c:v>
                </c:pt>
                <c:pt idx="6">
                  <c:v>115.29999999999814</c:v>
                </c:pt>
                <c:pt idx="7">
                  <c:v>115.29999999999814</c:v>
                </c:pt>
                <c:pt idx="8">
                  <c:v>115.29999999999814</c:v>
                </c:pt>
                <c:pt idx="9">
                  <c:v>282.49999999999818</c:v>
                </c:pt>
                <c:pt idx="10">
                  <c:v>282.49999999999818</c:v>
                </c:pt>
                <c:pt idx="11">
                  <c:v>282.49999999999818</c:v>
                </c:pt>
                <c:pt idx="12">
                  <c:v>282.49999999999818</c:v>
                </c:pt>
                <c:pt idx="13">
                  <c:v>282.49999999999818</c:v>
                </c:pt>
                <c:pt idx="14">
                  <c:v>466.19999999999823</c:v>
                </c:pt>
                <c:pt idx="15">
                  <c:v>466.19999999999823</c:v>
                </c:pt>
                <c:pt idx="16">
                  <c:v>466.19999999999823</c:v>
                </c:pt>
                <c:pt idx="17">
                  <c:v>466.19999999999823</c:v>
                </c:pt>
                <c:pt idx="18">
                  <c:v>466.19999999999823</c:v>
                </c:pt>
                <c:pt idx="19">
                  <c:v>466.19999999999823</c:v>
                </c:pt>
                <c:pt idx="20">
                  <c:v>466.19999999999823</c:v>
                </c:pt>
                <c:pt idx="21">
                  <c:v>466.19999999999823</c:v>
                </c:pt>
                <c:pt idx="22">
                  <c:v>466.19999999999823</c:v>
                </c:pt>
                <c:pt idx="23">
                  <c:v>466.19999999999823</c:v>
                </c:pt>
                <c:pt idx="24">
                  <c:v>466.19999999999823</c:v>
                </c:pt>
                <c:pt idx="25">
                  <c:v>466.19999999999823</c:v>
                </c:pt>
                <c:pt idx="26">
                  <c:v>466.19999999999823</c:v>
                </c:pt>
                <c:pt idx="27">
                  <c:v>466.19999999999823</c:v>
                </c:pt>
                <c:pt idx="28">
                  <c:v>466.19999999999823</c:v>
                </c:pt>
                <c:pt idx="29">
                  <c:v>466.19999999999823</c:v>
                </c:pt>
                <c:pt idx="30">
                  <c:v>466.19999999999823</c:v>
                </c:pt>
                <c:pt idx="31">
                  <c:v>466.19999999999823</c:v>
                </c:pt>
                <c:pt idx="32">
                  <c:v>466.19999999999823</c:v>
                </c:pt>
                <c:pt idx="33">
                  <c:v>466.19999999999823</c:v>
                </c:pt>
                <c:pt idx="34">
                  <c:v>466.19999999999823</c:v>
                </c:pt>
                <c:pt idx="35">
                  <c:v>466.19999999999823</c:v>
                </c:pt>
                <c:pt idx="36">
                  <c:v>466.19999999999823</c:v>
                </c:pt>
                <c:pt idx="37">
                  <c:v>466.19999999999823</c:v>
                </c:pt>
                <c:pt idx="38">
                  <c:v>466.19999999999823</c:v>
                </c:pt>
                <c:pt idx="39">
                  <c:v>466.19999999999823</c:v>
                </c:pt>
                <c:pt idx="40">
                  <c:v>466.19999999999823</c:v>
                </c:pt>
                <c:pt idx="41">
                  <c:v>466.19999999999823</c:v>
                </c:pt>
                <c:pt idx="42">
                  <c:v>466.19999999999823</c:v>
                </c:pt>
                <c:pt idx="43">
                  <c:v>466.19999999999823</c:v>
                </c:pt>
                <c:pt idx="44">
                  <c:v>466.19999999999823</c:v>
                </c:pt>
                <c:pt idx="45">
                  <c:v>466.19999999999823</c:v>
                </c:pt>
                <c:pt idx="46">
                  <c:v>466.19999999999823</c:v>
                </c:pt>
                <c:pt idx="47">
                  <c:v>466.19999999999823</c:v>
                </c:pt>
                <c:pt idx="48">
                  <c:v>466.19999999999823</c:v>
                </c:pt>
                <c:pt idx="49">
                  <c:v>466.19999999999823</c:v>
                </c:pt>
                <c:pt idx="50">
                  <c:v>466.19999999999823</c:v>
                </c:pt>
                <c:pt idx="51">
                  <c:v>466.19999999999823</c:v>
                </c:pt>
                <c:pt idx="52">
                  <c:v>466.19999999999823</c:v>
                </c:pt>
                <c:pt idx="53">
                  <c:v>466.19999999999823</c:v>
                </c:pt>
                <c:pt idx="54">
                  <c:v>466.19999999999823</c:v>
                </c:pt>
                <c:pt idx="55">
                  <c:v>466.19999999999823</c:v>
                </c:pt>
                <c:pt idx="56">
                  <c:v>466.19999999999823</c:v>
                </c:pt>
                <c:pt idx="57">
                  <c:v>466.19999999999823</c:v>
                </c:pt>
                <c:pt idx="58">
                  <c:v>466.19999999999823</c:v>
                </c:pt>
                <c:pt idx="59">
                  <c:v>466.19999999999823</c:v>
                </c:pt>
                <c:pt idx="60">
                  <c:v>466.19999999999823</c:v>
                </c:pt>
                <c:pt idx="61">
                  <c:v>466.19999999999823</c:v>
                </c:pt>
                <c:pt idx="62">
                  <c:v>466.19999999999823</c:v>
                </c:pt>
                <c:pt idx="63">
                  <c:v>466.19999999999823</c:v>
                </c:pt>
                <c:pt idx="64">
                  <c:v>466.19999999999823</c:v>
                </c:pt>
                <c:pt idx="65">
                  <c:v>466.19999999999823</c:v>
                </c:pt>
                <c:pt idx="66">
                  <c:v>466.19999999999823</c:v>
                </c:pt>
                <c:pt idx="67">
                  <c:v>466.19999999999823</c:v>
                </c:pt>
                <c:pt idx="68">
                  <c:v>466.19999999999823</c:v>
                </c:pt>
                <c:pt idx="69">
                  <c:v>466.19999999999823</c:v>
                </c:pt>
                <c:pt idx="70">
                  <c:v>466.19999999999823</c:v>
                </c:pt>
                <c:pt idx="71">
                  <c:v>466.19999999999823</c:v>
                </c:pt>
                <c:pt idx="72">
                  <c:v>466.19999999999823</c:v>
                </c:pt>
                <c:pt idx="73">
                  <c:v>466.19999999999823</c:v>
                </c:pt>
                <c:pt idx="74">
                  <c:v>466.19999999999823</c:v>
                </c:pt>
                <c:pt idx="75">
                  <c:v>466.19999999999823</c:v>
                </c:pt>
                <c:pt idx="76">
                  <c:v>534.1999999999847</c:v>
                </c:pt>
                <c:pt idx="77">
                  <c:v>516.93999999995128</c:v>
                </c:pt>
                <c:pt idx="78">
                  <c:v>516.93999999995128</c:v>
                </c:pt>
                <c:pt idx="79">
                  <c:v>516.93999999995128</c:v>
                </c:pt>
                <c:pt idx="80">
                  <c:v>516.93999999995128</c:v>
                </c:pt>
                <c:pt idx="81">
                  <c:v>516.93999999995128</c:v>
                </c:pt>
                <c:pt idx="82">
                  <c:v>516.93999999995128</c:v>
                </c:pt>
                <c:pt idx="83">
                  <c:v>516.93999999995128</c:v>
                </c:pt>
                <c:pt idx="84">
                  <c:v>516.93999999995128</c:v>
                </c:pt>
                <c:pt idx="85">
                  <c:v>652.13999999995133</c:v>
                </c:pt>
                <c:pt idx="86">
                  <c:v>652.13999999995133</c:v>
                </c:pt>
                <c:pt idx="87">
                  <c:v>652.13999999995133</c:v>
                </c:pt>
                <c:pt idx="88">
                  <c:v>652.13999999995133</c:v>
                </c:pt>
                <c:pt idx="89">
                  <c:v>652.13999999995133</c:v>
                </c:pt>
                <c:pt idx="90">
                  <c:v>652.13999999995133</c:v>
                </c:pt>
                <c:pt idx="91">
                  <c:v>652.13999999995133</c:v>
                </c:pt>
                <c:pt idx="92">
                  <c:v>652.13999999995133</c:v>
                </c:pt>
                <c:pt idx="93">
                  <c:v>652.13999999995133</c:v>
                </c:pt>
                <c:pt idx="94">
                  <c:v>652.13999999995133</c:v>
                </c:pt>
                <c:pt idx="95">
                  <c:v>652.13999999995133</c:v>
                </c:pt>
                <c:pt idx="96">
                  <c:v>652.13999999995133</c:v>
                </c:pt>
                <c:pt idx="97">
                  <c:v>652.13999999995133</c:v>
                </c:pt>
                <c:pt idx="98">
                  <c:v>550.13999999995133</c:v>
                </c:pt>
                <c:pt idx="99">
                  <c:v>550.13999999995133</c:v>
                </c:pt>
                <c:pt idx="100">
                  <c:v>635.13999999995133</c:v>
                </c:pt>
                <c:pt idx="101">
                  <c:v>635.13999999995133</c:v>
                </c:pt>
                <c:pt idx="102">
                  <c:v>635.13999999995133</c:v>
                </c:pt>
                <c:pt idx="103">
                  <c:v>635.13999999995133</c:v>
                </c:pt>
                <c:pt idx="104">
                  <c:v>635.13999999995133</c:v>
                </c:pt>
                <c:pt idx="105">
                  <c:v>635.13999999995133</c:v>
                </c:pt>
                <c:pt idx="106">
                  <c:v>635.13999999995133</c:v>
                </c:pt>
                <c:pt idx="107">
                  <c:v>635.13999999995133</c:v>
                </c:pt>
                <c:pt idx="108">
                  <c:v>635.13999999995133</c:v>
                </c:pt>
                <c:pt idx="109">
                  <c:v>635.13999999995133</c:v>
                </c:pt>
                <c:pt idx="110">
                  <c:v>635.13999999995133</c:v>
                </c:pt>
                <c:pt idx="111">
                  <c:v>635.13999999995133</c:v>
                </c:pt>
                <c:pt idx="112">
                  <c:v>635.13999999995133</c:v>
                </c:pt>
                <c:pt idx="113">
                  <c:v>635.13999999995133</c:v>
                </c:pt>
                <c:pt idx="114">
                  <c:v>635.13999999995133</c:v>
                </c:pt>
                <c:pt idx="115">
                  <c:v>552.13999999995599</c:v>
                </c:pt>
                <c:pt idx="116">
                  <c:v>552.13999999995599</c:v>
                </c:pt>
                <c:pt idx="117">
                  <c:v>552.13999999995599</c:v>
                </c:pt>
                <c:pt idx="118">
                  <c:v>552.13999999995599</c:v>
                </c:pt>
                <c:pt idx="119">
                  <c:v>435.23999999995613</c:v>
                </c:pt>
                <c:pt idx="120">
                  <c:v>435.23999999995613</c:v>
                </c:pt>
                <c:pt idx="121">
                  <c:v>435.23999999995613</c:v>
                </c:pt>
                <c:pt idx="122">
                  <c:v>435.23999999995613</c:v>
                </c:pt>
                <c:pt idx="123">
                  <c:v>435.23999999995613</c:v>
                </c:pt>
                <c:pt idx="124">
                  <c:v>435.23999999995613</c:v>
                </c:pt>
                <c:pt idx="125">
                  <c:v>435.23999999995613</c:v>
                </c:pt>
                <c:pt idx="126">
                  <c:v>435.23999999995613</c:v>
                </c:pt>
                <c:pt idx="127">
                  <c:v>435.23999999995613</c:v>
                </c:pt>
                <c:pt idx="128">
                  <c:v>435.23999999995613</c:v>
                </c:pt>
                <c:pt idx="129">
                  <c:v>435.23999999995613</c:v>
                </c:pt>
                <c:pt idx="130">
                  <c:v>435.23999999995613</c:v>
                </c:pt>
                <c:pt idx="131">
                  <c:v>435.23999999995613</c:v>
                </c:pt>
                <c:pt idx="132">
                  <c:v>435.23999999995613</c:v>
                </c:pt>
                <c:pt idx="133">
                  <c:v>435.23999999995613</c:v>
                </c:pt>
                <c:pt idx="134">
                  <c:v>435.23999999995613</c:v>
                </c:pt>
                <c:pt idx="135">
                  <c:v>435.23999999995613</c:v>
                </c:pt>
                <c:pt idx="136">
                  <c:v>435.23999999995613</c:v>
                </c:pt>
                <c:pt idx="137">
                  <c:v>485.03999999995608</c:v>
                </c:pt>
                <c:pt idx="138">
                  <c:v>485.03999999995608</c:v>
                </c:pt>
                <c:pt idx="139">
                  <c:v>485.03999999995608</c:v>
                </c:pt>
                <c:pt idx="140">
                  <c:v>485.03999999995608</c:v>
                </c:pt>
                <c:pt idx="141">
                  <c:v>485.03999999995608</c:v>
                </c:pt>
                <c:pt idx="142">
                  <c:v>485.03999999995608</c:v>
                </c:pt>
                <c:pt idx="143">
                  <c:v>485.03999999995608</c:v>
                </c:pt>
                <c:pt idx="144">
                  <c:v>485.03999999995608</c:v>
                </c:pt>
                <c:pt idx="145">
                  <c:v>485.03999999995608</c:v>
                </c:pt>
                <c:pt idx="146">
                  <c:v>485.03999999995608</c:v>
                </c:pt>
                <c:pt idx="147">
                  <c:v>485.03999999995608</c:v>
                </c:pt>
                <c:pt idx="148">
                  <c:v>485.03999999995608</c:v>
                </c:pt>
                <c:pt idx="149">
                  <c:v>485.03999999995608</c:v>
                </c:pt>
                <c:pt idx="150">
                  <c:v>485.03999999995608</c:v>
                </c:pt>
                <c:pt idx="151">
                  <c:v>485.03999999995608</c:v>
                </c:pt>
                <c:pt idx="152">
                  <c:v>485.03999999995608</c:v>
                </c:pt>
                <c:pt idx="153">
                  <c:v>485.03999999995608</c:v>
                </c:pt>
                <c:pt idx="154">
                  <c:v>485.03999999995608</c:v>
                </c:pt>
                <c:pt idx="155">
                  <c:v>485.03999999995608</c:v>
                </c:pt>
                <c:pt idx="156">
                  <c:v>485.03999999995608</c:v>
                </c:pt>
                <c:pt idx="157">
                  <c:v>485.03999999995608</c:v>
                </c:pt>
                <c:pt idx="158">
                  <c:v>485.03999999995608</c:v>
                </c:pt>
                <c:pt idx="159">
                  <c:v>485.03999999995608</c:v>
                </c:pt>
                <c:pt idx="160">
                  <c:v>485.03999999995608</c:v>
                </c:pt>
                <c:pt idx="161">
                  <c:v>485.03999999995608</c:v>
                </c:pt>
                <c:pt idx="162">
                  <c:v>485.03999999995608</c:v>
                </c:pt>
                <c:pt idx="163">
                  <c:v>485.03999999995608</c:v>
                </c:pt>
                <c:pt idx="164">
                  <c:v>485.03999999995608</c:v>
                </c:pt>
                <c:pt idx="165">
                  <c:v>485.03999999995608</c:v>
                </c:pt>
                <c:pt idx="166">
                  <c:v>485.03999999995608</c:v>
                </c:pt>
                <c:pt idx="167">
                  <c:v>485.03999999995608</c:v>
                </c:pt>
                <c:pt idx="168">
                  <c:v>485.03999999995608</c:v>
                </c:pt>
                <c:pt idx="169">
                  <c:v>485.03999999995608</c:v>
                </c:pt>
                <c:pt idx="170">
                  <c:v>485.03999999995608</c:v>
                </c:pt>
                <c:pt idx="171">
                  <c:v>485.03999999995608</c:v>
                </c:pt>
                <c:pt idx="172">
                  <c:v>485.03999999995608</c:v>
                </c:pt>
                <c:pt idx="173">
                  <c:v>485.03999999995608</c:v>
                </c:pt>
                <c:pt idx="174">
                  <c:v>485.03999999995608</c:v>
                </c:pt>
                <c:pt idx="175">
                  <c:v>485.03999999995608</c:v>
                </c:pt>
                <c:pt idx="176">
                  <c:v>485.03999999995608</c:v>
                </c:pt>
                <c:pt idx="177">
                  <c:v>485.03999999995608</c:v>
                </c:pt>
                <c:pt idx="178">
                  <c:v>485.03999999995608</c:v>
                </c:pt>
                <c:pt idx="179">
                  <c:v>614.63999999997634</c:v>
                </c:pt>
                <c:pt idx="180">
                  <c:v>614.63999999997634</c:v>
                </c:pt>
                <c:pt idx="181">
                  <c:v>163.83999999997621</c:v>
                </c:pt>
                <c:pt idx="182">
                  <c:v>163.83999999997621</c:v>
                </c:pt>
                <c:pt idx="183">
                  <c:v>-286.96000000002391</c:v>
                </c:pt>
                <c:pt idx="184">
                  <c:v>-286.96000000002391</c:v>
                </c:pt>
                <c:pt idx="185">
                  <c:v>-286.96000000002391</c:v>
                </c:pt>
                <c:pt idx="186">
                  <c:v>-286.96000000002391</c:v>
                </c:pt>
                <c:pt idx="187">
                  <c:v>-286.96000000002391</c:v>
                </c:pt>
                <c:pt idx="188">
                  <c:v>-286.96000000002391</c:v>
                </c:pt>
                <c:pt idx="189">
                  <c:v>-286.96000000002391</c:v>
                </c:pt>
                <c:pt idx="190">
                  <c:v>-286.96000000002391</c:v>
                </c:pt>
                <c:pt idx="191">
                  <c:v>-205.96000000002391</c:v>
                </c:pt>
                <c:pt idx="192">
                  <c:v>-205.96000000002391</c:v>
                </c:pt>
                <c:pt idx="193">
                  <c:v>-205.96000000002391</c:v>
                </c:pt>
                <c:pt idx="194">
                  <c:v>-205.96000000002391</c:v>
                </c:pt>
                <c:pt idx="195">
                  <c:v>-205.96000000002391</c:v>
                </c:pt>
                <c:pt idx="196">
                  <c:v>-205.96000000002391</c:v>
                </c:pt>
                <c:pt idx="197">
                  <c:v>-205.96000000002391</c:v>
                </c:pt>
                <c:pt idx="198">
                  <c:v>-205.96000000002391</c:v>
                </c:pt>
                <c:pt idx="199">
                  <c:v>-205.96000000002391</c:v>
                </c:pt>
                <c:pt idx="200">
                  <c:v>-205.96000000002391</c:v>
                </c:pt>
                <c:pt idx="201">
                  <c:v>-79.560000000023976</c:v>
                </c:pt>
                <c:pt idx="202">
                  <c:v>46.839999999975959</c:v>
                </c:pt>
                <c:pt idx="203">
                  <c:v>46.839999999975959</c:v>
                </c:pt>
                <c:pt idx="204">
                  <c:v>46.839999999975959</c:v>
                </c:pt>
                <c:pt idx="205">
                  <c:v>46.839999999975959</c:v>
                </c:pt>
                <c:pt idx="206">
                  <c:v>46.839999999975959</c:v>
                </c:pt>
                <c:pt idx="207">
                  <c:v>46.839999999975959</c:v>
                </c:pt>
                <c:pt idx="208">
                  <c:v>46.839999999975959</c:v>
                </c:pt>
                <c:pt idx="209">
                  <c:v>46.839999999975959</c:v>
                </c:pt>
                <c:pt idx="210">
                  <c:v>46.839999999975959</c:v>
                </c:pt>
                <c:pt idx="211">
                  <c:v>46.839999999975959</c:v>
                </c:pt>
                <c:pt idx="212">
                  <c:v>46.839999999975959</c:v>
                </c:pt>
                <c:pt idx="213">
                  <c:v>46.839999999975959</c:v>
                </c:pt>
                <c:pt idx="214">
                  <c:v>46.839999999975959</c:v>
                </c:pt>
                <c:pt idx="215">
                  <c:v>46.839999999975959</c:v>
                </c:pt>
                <c:pt idx="216">
                  <c:v>46.839999999975959</c:v>
                </c:pt>
                <c:pt idx="217">
                  <c:v>46.839999999975959</c:v>
                </c:pt>
                <c:pt idx="218">
                  <c:v>46.839999999975959</c:v>
                </c:pt>
                <c:pt idx="219">
                  <c:v>46.839999999975959</c:v>
                </c:pt>
                <c:pt idx="220">
                  <c:v>46.839999999975959</c:v>
                </c:pt>
                <c:pt idx="221">
                  <c:v>46.839999999975959</c:v>
                </c:pt>
                <c:pt idx="222">
                  <c:v>46.839999999975959</c:v>
                </c:pt>
                <c:pt idx="223">
                  <c:v>46.839999999975959</c:v>
                </c:pt>
                <c:pt idx="224">
                  <c:v>46.839999999975959</c:v>
                </c:pt>
                <c:pt idx="225">
                  <c:v>46.839999999975959</c:v>
                </c:pt>
                <c:pt idx="226">
                  <c:v>46.839999999975959</c:v>
                </c:pt>
                <c:pt idx="227">
                  <c:v>46.839999999975959</c:v>
                </c:pt>
                <c:pt idx="228">
                  <c:v>46.839999999975959</c:v>
                </c:pt>
                <c:pt idx="229">
                  <c:v>46.839999999975959</c:v>
                </c:pt>
                <c:pt idx="230">
                  <c:v>46.839999999975959</c:v>
                </c:pt>
                <c:pt idx="231">
                  <c:v>46.839999999975959</c:v>
                </c:pt>
                <c:pt idx="232">
                  <c:v>46.839999999975959</c:v>
                </c:pt>
                <c:pt idx="233">
                  <c:v>46.839999999975959</c:v>
                </c:pt>
                <c:pt idx="234">
                  <c:v>46.839999999975959</c:v>
                </c:pt>
                <c:pt idx="235">
                  <c:v>46.839999999975959</c:v>
                </c:pt>
                <c:pt idx="236">
                  <c:v>46.839999999975959</c:v>
                </c:pt>
                <c:pt idx="237">
                  <c:v>46.839999999975959</c:v>
                </c:pt>
                <c:pt idx="238">
                  <c:v>46.839999999975959</c:v>
                </c:pt>
                <c:pt idx="239">
                  <c:v>46.839999999975959</c:v>
                </c:pt>
                <c:pt idx="240">
                  <c:v>46.839999999975959</c:v>
                </c:pt>
                <c:pt idx="241">
                  <c:v>46.839999999975959</c:v>
                </c:pt>
                <c:pt idx="242">
                  <c:v>46.839999999975959</c:v>
                </c:pt>
                <c:pt idx="243">
                  <c:v>46.839999999975959</c:v>
                </c:pt>
                <c:pt idx="244">
                  <c:v>46.839999999975959</c:v>
                </c:pt>
                <c:pt idx="245">
                  <c:v>46.839999999975959</c:v>
                </c:pt>
                <c:pt idx="246">
                  <c:v>46.839999999975959</c:v>
                </c:pt>
                <c:pt idx="247">
                  <c:v>46.839999999975959</c:v>
                </c:pt>
                <c:pt idx="248">
                  <c:v>46.839999999975959</c:v>
                </c:pt>
                <c:pt idx="249">
                  <c:v>46.839999999975959</c:v>
                </c:pt>
                <c:pt idx="250">
                  <c:v>62.93999999997596</c:v>
                </c:pt>
                <c:pt idx="251">
                  <c:v>62.93999999997596</c:v>
                </c:pt>
                <c:pt idx="252">
                  <c:v>79.039999999975961</c:v>
                </c:pt>
                <c:pt idx="253">
                  <c:v>95.13999999997597</c:v>
                </c:pt>
                <c:pt idx="254">
                  <c:v>95.13999999997597</c:v>
                </c:pt>
                <c:pt idx="255">
                  <c:v>95.13999999997597</c:v>
                </c:pt>
                <c:pt idx="256">
                  <c:v>95.13999999997597</c:v>
                </c:pt>
                <c:pt idx="257">
                  <c:v>95.13999999997597</c:v>
                </c:pt>
                <c:pt idx="258">
                  <c:v>111.23999999997596</c:v>
                </c:pt>
                <c:pt idx="259">
                  <c:v>111.23999999997596</c:v>
                </c:pt>
                <c:pt idx="260">
                  <c:v>111.23999999997596</c:v>
                </c:pt>
                <c:pt idx="261">
                  <c:v>111.23999999997596</c:v>
                </c:pt>
                <c:pt idx="262">
                  <c:v>111.23999999997596</c:v>
                </c:pt>
                <c:pt idx="263">
                  <c:v>111.23999999997596</c:v>
                </c:pt>
                <c:pt idx="264">
                  <c:v>111.23999999997596</c:v>
                </c:pt>
                <c:pt idx="265">
                  <c:v>111.23999999997596</c:v>
                </c:pt>
                <c:pt idx="266">
                  <c:v>111.23999999997596</c:v>
                </c:pt>
                <c:pt idx="267">
                  <c:v>111.23999999997596</c:v>
                </c:pt>
                <c:pt idx="268">
                  <c:v>111.23999999997596</c:v>
                </c:pt>
                <c:pt idx="269">
                  <c:v>111.23999999997596</c:v>
                </c:pt>
                <c:pt idx="270">
                  <c:v>111.23999999997596</c:v>
                </c:pt>
                <c:pt idx="271">
                  <c:v>111.23999999997596</c:v>
                </c:pt>
                <c:pt idx="272">
                  <c:v>111.23999999997596</c:v>
                </c:pt>
                <c:pt idx="273">
                  <c:v>111.23999999997596</c:v>
                </c:pt>
                <c:pt idx="274">
                  <c:v>111.23999999997596</c:v>
                </c:pt>
                <c:pt idx="275">
                  <c:v>111.23999999997596</c:v>
                </c:pt>
                <c:pt idx="276">
                  <c:v>111.23999999997596</c:v>
                </c:pt>
                <c:pt idx="277">
                  <c:v>111.23999999997596</c:v>
                </c:pt>
                <c:pt idx="278">
                  <c:v>111.23999999997596</c:v>
                </c:pt>
                <c:pt idx="279">
                  <c:v>111.23999999997596</c:v>
                </c:pt>
                <c:pt idx="280">
                  <c:v>111.23999999997596</c:v>
                </c:pt>
                <c:pt idx="281">
                  <c:v>111.23999999997596</c:v>
                </c:pt>
                <c:pt idx="282">
                  <c:v>111.23999999997596</c:v>
                </c:pt>
                <c:pt idx="283">
                  <c:v>111.23999999997596</c:v>
                </c:pt>
                <c:pt idx="284">
                  <c:v>111.23999999997596</c:v>
                </c:pt>
                <c:pt idx="285">
                  <c:v>111.23999999997596</c:v>
                </c:pt>
                <c:pt idx="286">
                  <c:v>111.23999999997596</c:v>
                </c:pt>
                <c:pt idx="287">
                  <c:v>111.23999999997596</c:v>
                </c:pt>
                <c:pt idx="288">
                  <c:v>111.23999999997596</c:v>
                </c:pt>
                <c:pt idx="289">
                  <c:v>111.23999999997596</c:v>
                </c:pt>
                <c:pt idx="290">
                  <c:v>111.23999999997596</c:v>
                </c:pt>
                <c:pt idx="291">
                  <c:v>111.23999999997596</c:v>
                </c:pt>
                <c:pt idx="292">
                  <c:v>111.23999999997596</c:v>
                </c:pt>
                <c:pt idx="293">
                  <c:v>111.23999999997596</c:v>
                </c:pt>
                <c:pt idx="294">
                  <c:v>111.23999999997596</c:v>
                </c:pt>
                <c:pt idx="295">
                  <c:v>111.23999999997596</c:v>
                </c:pt>
                <c:pt idx="296">
                  <c:v>111.23999999997596</c:v>
                </c:pt>
                <c:pt idx="297">
                  <c:v>111.23999999997596</c:v>
                </c:pt>
                <c:pt idx="298">
                  <c:v>111.23999999997596</c:v>
                </c:pt>
                <c:pt idx="299">
                  <c:v>111.23999999997596</c:v>
                </c:pt>
                <c:pt idx="300">
                  <c:v>111.23999999997596</c:v>
                </c:pt>
                <c:pt idx="301">
                  <c:v>111.23999999997596</c:v>
                </c:pt>
                <c:pt idx="302">
                  <c:v>111.23999999997596</c:v>
                </c:pt>
                <c:pt idx="303">
                  <c:v>111.23999999997596</c:v>
                </c:pt>
                <c:pt idx="304">
                  <c:v>111.23999999997596</c:v>
                </c:pt>
                <c:pt idx="305">
                  <c:v>111.23999999997596</c:v>
                </c:pt>
                <c:pt idx="306">
                  <c:v>111.23999999997596</c:v>
                </c:pt>
                <c:pt idx="307">
                  <c:v>111.23999999997596</c:v>
                </c:pt>
                <c:pt idx="308">
                  <c:v>111.23999999997596</c:v>
                </c:pt>
                <c:pt idx="309">
                  <c:v>111.23999999997596</c:v>
                </c:pt>
                <c:pt idx="310">
                  <c:v>111.23999999997596</c:v>
                </c:pt>
                <c:pt idx="311">
                  <c:v>111.23999999997596</c:v>
                </c:pt>
                <c:pt idx="312">
                  <c:v>78.83999999997593</c:v>
                </c:pt>
                <c:pt idx="313">
                  <c:v>-50.760000000024093</c:v>
                </c:pt>
                <c:pt idx="314">
                  <c:v>-34.560000000024061</c:v>
                </c:pt>
                <c:pt idx="315">
                  <c:v>-34.560000000024061</c:v>
                </c:pt>
                <c:pt idx="316">
                  <c:v>-34.560000000024061</c:v>
                </c:pt>
                <c:pt idx="317">
                  <c:v>-34.560000000024061</c:v>
                </c:pt>
                <c:pt idx="318">
                  <c:v>-34.560000000024061</c:v>
                </c:pt>
                <c:pt idx="319">
                  <c:v>-34.560000000024061</c:v>
                </c:pt>
                <c:pt idx="320">
                  <c:v>-34.560000000024061</c:v>
                </c:pt>
                <c:pt idx="321">
                  <c:v>-34.560000000024061</c:v>
                </c:pt>
                <c:pt idx="322">
                  <c:v>-34.560000000024061</c:v>
                </c:pt>
                <c:pt idx="323">
                  <c:v>-34.560000000024061</c:v>
                </c:pt>
                <c:pt idx="324">
                  <c:v>-34.560000000024061</c:v>
                </c:pt>
                <c:pt idx="325">
                  <c:v>-34.560000000024061</c:v>
                </c:pt>
                <c:pt idx="326">
                  <c:v>-34.560000000024061</c:v>
                </c:pt>
                <c:pt idx="327">
                  <c:v>-34.560000000024061</c:v>
                </c:pt>
                <c:pt idx="328">
                  <c:v>-34.560000000024061</c:v>
                </c:pt>
                <c:pt idx="329">
                  <c:v>-34.560000000024061</c:v>
                </c:pt>
                <c:pt idx="330">
                  <c:v>-34.560000000024061</c:v>
                </c:pt>
                <c:pt idx="331">
                  <c:v>-34.560000000024061</c:v>
                </c:pt>
                <c:pt idx="332">
                  <c:v>-34.560000000024061</c:v>
                </c:pt>
                <c:pt idx="333">
                  <c:v>-34.560000000024061</c:v>
                </c:pt>
                <c:pt idx="334">
                  <c:v>-34.560000000024061</c:v>
                </c:pt>
                <c:pt idx="335">
                  <c:v>-34.560000000024061</c:v>
                </c:pt>
                <c:pt idx="336">
                  <c:v>109.43999999997625</c:v>
                </c:pt>
                <c:pt idx="337">
                  <c:v>109.43999999997625</c:v>
                </c:pt>
                <c:pt idx="338">
                  <c:v>109.43999999997625</c:v>
                </c:pt>
                <c:pt idx="339">
                  <c:v>109.43999999997625</c:v>
                </c:pt>
                <c:pt idx="340">
                  <c:v>333.43999999997629</c:v>
                </c:pt>
                <c:pt idx="341">
                  <c:v>333.43999999997629</c:v>
                </c:pt>
                <c:pt idx="342">
                  <c:v>301.43999999997629</c:v>
                </c:pt>
                <c:pt idx="343">
                  <c:v>301.43999999997629</c:v>
                </c:pt>
                <c:pt idx="344">
                  <c:v>301.43999999997629</c:v>
                </c:pt>
                <c:pt idx="345">
                  <c:v>301.43999999997629</c:v>
                </c:pt>
                <c:pt idx="346">
                  <c:v>301.43999999997629</c:v>
                </c:pt>
                <c:pt idx="347">
                  <c:v>301.43999999997629</c:v>
                </c:pt>
                <c:pt idx="348">
                  <c:v>301.43999999997629</c:v>
                </c:pt>
                <c:pt idx="349">
                  <c:v>301.43999999997629</c:v>
                </c:pt>
                <c:pt idx="350">
                  <c:v>301.43999999997629</c:v>
                </c:pt>
                <c:pt idx="351">
                  <c:v>301.43999999997629</c:v>
                </c:pt>
                <c:pt idx="352">
                  <c:v>301.43999999997629</c:v>
                </c:pt>
                <c:pt idx="353">
                  <c:v>301.43999999997629</c:v>
                </c:pt>
                <c:pt idx="354">
                  <c:v>301.43999999997629</c:v>
                </c:pt>
                <c:pt idx="355">
                  <c:v>301.43999999997629</c:v>
                </c:pt>
                <c:pt idx="356">
                  <c:v>301.43999999997629</c:v>
                </c:pt>
                <c:pt idx="357">
                  <c:v>301.43999999997629</c:v>
                </c:pt>
                <c:pt idx="358">
                  <c:v>301.43999999997629</c:v>
                </c:pt>
                <c:pt idx="359">
                  <c:v>301.43999999997629</c:v>
                </c:pt>
                <c:pt idx="360">
                  <c:v>301.43999999997629</c:v>
                </c:pt>
                <c:pt idx="361">
                  <c:v>301.43999999997629</c:v>
                </c:pt>
                <c:pt idx="362">
                  <c:v>301.43999999997629</c:v>
                </c:pt>
                <c:pt idx="363">
                  <c:v>301.43999999997629</c:v>
                </c:pt>
                <c:pt idx="364">
                  <c:v>229.43999999997624</c:v>
                </c:pt>
                <c:pt idx="365">
                  <c:v>229.43999999997624</c:v>
                </c:pt>
                <c:pt idx="366">
                  <c:v>229.43999999997624</c:v>
                </c:pt>
                <c:pt idx="367">
                  <c:v>229.43999999997624</c:v>
                </c:pt>
                <c:pt idx="368">
                  <c:v>229.43999999997624</c:v>
                </c:pt>
                <c:pt idx="369">
                  <c:v>229.43999999997624</c:v>
                </c:pt>
                <c:pt idx="370">
                  <c:v>517.43999999997618</c:v>
                </c:pt>
                <c:pt idx="371">
                  <c:v>517.43999999997618</c:v>
                </c:pt>
                <c:pt idx="372">
                  <c:v>773.43999999997607</c:v>
                </c:pt>
                <c:pt idx="373">
                  <c:v>709.43999999997595</c:v>
                </c:pt>
                <c:pt idx="374">
                  <c:v>709.43999999997595</c:v>
                </c:pt>
                <c:pt idx="375">
                  <c:v>709.43999999997595</c:v>
                </c:pt>
                <c:pt idx="376">
                  <c:v>709.43999999997595</c:v>
                </c:pt>
                <c:pt idx="377">
                  <c:v>597.43999999997584</c:v>
                </c:pt>
                <c:pt idx="378">
                  <c:v>597.43999999997584</c:v>
                </c:pt>
                <c:pt idx="379">
                  <c:v>597.43999999997584</c:v>
                </c:pt>
                <c:pt idx="380">
                  <c:v>597.43999999997584</c:v>
                </c:pt>
                <c:pt idx="381">
                  <c:v>597.43999999997584</c:v>
                </c:pt>
                <c:pt idx="382">
                  <c:v>-74.560000000024274</c:v>
                </c:pt>
                <c:pt idx="383">
                  <c:v>-746.56000000002393</c:v>
                </c:pt>
                <c:pt idx="384">
                  <c:v>-746.56000000002393</c:v>
                </c:pt>
                <c:pt idx="385">
                  <c:v>-746.56000000002393</c:v>
                </c:pt>
                <c:pt idx="386">
                  <c:v>-746.56000000002393</c:v>
                </c:pt>
                <c:pt idx="387">
                  <c:v>-746.56000000002393</c:v>
                </c:pt>
                <c:pt idx="388">
                  <c:v>-746.56000000002393</c:v>
                </c:pt>
                <c:pt idx="389">
                  <c:v>-746.56000000002393</c:v>
                </c:pt>
                <c:pt idx="390">
                  <c:v>-746.56000000002393</c:v>
                </c:pt>
                <c:pt idx="391">
                  <c:v>-746.56000000002393</c:v>
                </c:pt>
                <c:pt idx="392">
                  <c:v>-746.56000000002393</c:v>
                </c:pt>
                <c:pt idx="393">
                  <c:v>-746.56000000002393</c:v>
                </c:pt>
                <c:pt idx="394">
                  <c:v>-746.56000000002393</c:v>
                </c:pt>
                <c:pt idx="395">
                  <c:v>-330.56000000002388</c:v>
                </c:pt>
                <c:pt idx="396">
                  <c:v>-330.56000000002388</c:v>
                </c:pt>
                <c:pt idx="397">
                  <c:v>-330.56000000002388</c:v>
                </c:pt>
                <c:pt idx="398">
                  <c:v>-330.56000000002388</c:v>
                </c:pt>
                <c:pt idx="399">
                  <c:v>-330.56000000002388</c:v>
                </c:pt>
                <c:pt idx="400">
                  <c:v>-330.56000000002388</c:v>
                </c:pt>
                <c:pt idx="401">
                  <c:v>-330.56000000002388</c:v>
                </c:pt>
                <c:pt idx="402">
                  <c:v>-330.56000000002388</c:v>
                </c:pt>
                <c:pt idx="403">
                  <c:v>-330.56000000002388</c:v>
                </c:pt>
                <c:pt idx="404">
                  <c:v>-330.56000000002388</c:v>
                </c:pt>
                <c:pt idx="405">
                  <c:v>-330.56000000002388</c:v>
                </c:pt>
                <c:pt idx="406">
                  <c:v>-330.56000000002388</c:v>
                </c:pt>
                <c:pt idx="407">
                  <c:v>-330.56000000002388</c:v>
                </c:pt>
                <c:pt idx="408">
                  <c:v>-330.56000000002388</c:v>
                </c:pt>
                <c:pt idx="409">
                  <c:v>-330.56000000002388</c:v>
                </c:pt>
                <c:pt idx="410">
                  <c:v>-330.56000000002388</c:v>
                </c:pt>
                <c:pt idx="411">
                  <c:v>-330.56000000002388</c:v>
                </c:pt>
                <c:pt idx="412">
                  <c:v>-330.56000000002388</c:v>
                </c:pt>
                <c:pt idx="413">
                  <c:v>-330.56000000002388</c:v>
                </c:pt>
                <c:pt idx="414">
                  <c:v>-330.56000000002388</c:v>
                </c:pt>
                <c:pt idx="415">
                  <c:v>-330.56000000002388</c:v>
                </c:pt>
                <c:pt idx="416">
                  <c:v>-810.56000000002382</c:v>
                </c:pt>
                <c:pt idx="417">
                  <c:v>-810.56000000002382</c:v>
                </c:pt>
                <c:pt idx="418">
                  <c:v>-810.56000000002382</c:v>
                </c:pt>
                <c:pt idx="419">
                  <c:v>-810.56000000002382</c:v>
                </c:pt>
                <c:pt idx="420">
                  <c:v>-810.56000000002382</c:v>
                </c:pt>
                <c:pt idx="421">
                  <c:v>-810.56000000002382</c:v>
                </c:pt>
                <c:pt idx="422">
                  <c:v>-122.56000000002382</c:v>
                </c:pt>
                <c:pt idx="423">
                  <c:v>-122.56000000002382</c:v>
                </c:pt>
                <c:pt idx="424">
                  <c:v>-122.56000000002382</c:v>
                </c:pt>
                <c:pt idx="425">
                  <c:v>-122.56000000002382</c:v>
                </c:pt>
                <c:pt idx="426">
                  <c:v>-122.56000000002382</c:v>
                </c:pt>
                <c:pt idx="427">
                  <c:v>389.43999999997618</c:v>
                </c:pt>
                <c:pt idx="428">
                  <c:v>389.43999999997618</c:v>
                </c:pt>
                <c:pt idx="429">
                  <c:v>389.43999999997618</c:v>
                </c:pt>
                <c:pt idx="430">
                  <c:v>629.43999999997618</c:v>
                </c:pt>
                <c:pt idx="431">
                  <c:v>741.43999999997629</c:v>
                </c:pt>
                <c:pt idx="432">
                  <c:v>901.43999999997629</c:v>
                </c:pt>
                <c:pt idx="433">
                  <c:v>901.43999999997629</c:v>
                </c:pt>
                <c:pt idx="434">
                  <c:v>901.43999999997629</c:v>
                </c:pt>
                <c:pt idx="435">
                  <c:v>901.43999999997629</c:v>
                </c:pt>
                <c:pt idx="436">
                  <c:v>901.43999999997629</c:v>
                </c:pt>
                <c:pt idx="437">
                  <c:v>901.43999999997629</c:v>
                </c:pt>
                <c:pt idx="438">
                  <c:v>901.43999999997629</c:v>
                </c:pt>
                <c:pt idx="439">
                  <c:v>901.43999999997629</c:v>
                </c:pt>
                <c:pt idx="440">
                  <c:v>901.43999999997629</c:v>
                </c:pt>
                <c:pt idx="441">
                  <c:v>901.43999999997629</c:v>
                </c:pt>
                <c:pt idx="442">
                  <c:v>901.43999999997629</c:v>
                </c:pt>
                <c:pt idx="443">
                  <c:v>925.43999999997629</c:v>
                </c:pt>
                <c:pt idx="444">
                  <c:v>925.43999999997629</c:v>
                </c:pt>
                <c:pt idx="445">
                  <c:v>925.43999999997629</c:v>
                </c:pt>
                <c:pt idx="446">
                  <c:v>925.43999999997629</c:v>
                </c:pt>
                <c:pt idx="447">
                  <c:v>925.43999999997629</c:v>
                </c:pt>
                <c:pt idx="448">
                  <c:v>925.43999999997629</c:v>
                </c:pt>
                <c:pt idx="449">
                  <c:v>925.43999999997629</c:v>
                </c:pt>
                <c:pt idx="450">
                  <c:v>925.43999999997629</c:v>
                </c:pt>
                <c:pt idx="451">
                  <c:v>925.43999999997629</c:v>
                </c:pt>
                <c:pt idx="452">
                  <c:v>925.43999999997629</c:v>
                </c:pt>
                <c:pt idx="453">
                  <c:v>925.43999999997629</c:v>
                </c:pt>
                <c:pt idx="454">
                  <c:v>925.43999999997629</c:v>
                </c:pt>
                <c:pt idx="455">
                  <c:v>925.43999999997629</c:v>
                </c:pt>
                <c:pt idx="456">
                  <c:v>925.43999999997629</c:v>
                </c:pt>
                <c:pt idx="457">
                  <c:v>925.43999999997629</c:v>
                </c:pt>
                <c:pt idx="458">
                  <c:v>1021.4399999999761</c:v>
                </c:pt>
                <c:pt idx="459">
                  <c:v>1021.4399999999761</c:v>
                </c:pt>
                <c:pt idx="460">
                  <c:v>1021.4399999999761</c:v>
                </c:pt>
                <c:pt idx="461">
                  <c:v>1021.4399999999761</c:v>
                </c:pt>
                <c:pt idx="462">
                  <c:v>1021.4399999999761</c:v>
                </c:pt>
                <c:pt idx="463">
                  <c:v>1021.4399999999761</c:v>
                </c:pt>
                <c:pt idx="464">
                  <c:v>1021.4399999999761</c:v>
                </c:pt>
                <c:pt idx="465">
                  <c:v>1021.4399999999761</c:v>
                </c:pt>
                <c:pt idx="466">
                  <c:v>1021.4399999999761</c:v>
                </c:pt>
                <c:pt idx="467">
                  <c:v>1021.4399999999761</c:v>
                </c:pt>
                <c:pt idx="468">
                  <c:v>1021.4399999999761</c:v>
                </c:pt>
                <c:pt idx="469">
                  <c:v>1021.4399999999761</c:v>
                </c:pt>
                <c:pt idx="470">
                  <c:v>1021.4399999999761</c:v>
                </c:pt>
                <c:pt idx="471">
                  <c:v>1021.4399999999761</c:v>
                </c:pt>
                <c:pt idx="472">
                  <c:v>1021.4399999999761</c:v>
                </c:pt>
                <c:pt idx="473">
                  <c:v>1261.439999999976</c:v>
                </c:pt>
                <c:pt idx="474">
                  <c:v>1261.439999999976</c:v>
                </c:pt>
                <c:pt idx="475">
                  <c:v>1261.439999999976</c:v>
                </c:pt>
                <c:pt idx="476">
                  <c:v>1261.439999999976</c:v>
                </c:pt>
                <c:pt idx="477">
                  <c:v>1261.439999999976</c:v>
                </c:pt>
                <c:pt idx="478">
                  <c:v>1261.439999999976</c:v>
                </c:pt>
                <c:pt idx="479">
                  <c:v>1261.439999999976</c:v>
                </c:pt>
                <c:pt idx="480">
                  <c:v>1261.439999999976</c:v>
                </c:pt>
                <c:pt idx="481">
                  <c:v>1261.439999999976</c:v>
                </c:pt>
                <c:pt idx="482">
                  <c:v>1261.439999999976</c:v>
                </c:pt>
                <c:pt idx="483">
                  <c:v>1261.439999999976</c:v>
                </c:pt>
                <c:pt idx="484">
                  <c:v>1261.439999999976</c:v>
                </c:pt>
                <c:pt idx="485">
                  <c:v>1261.439999999976</c:v>
                </c:pt>
                <c:pt idx="486">
                  <c:v>1261.439999999976</c:v>
                </c:pt>
                <c:pt idx="487">
                  <c:v>1261.439999999976</c:v>
                </c:pt>
                <c:pt idx="488">
                  <c:v>1261.439999999976</c:v>
                </c:pt>
                <c:pt idx="489">
                  <c:v>1261.439999999976</c:v>
                </c:pt>
                <c:pt idx="490">
                  <c:v>1261.439999999976</c:v>
                </c:pt>
                <c:pt idx="491">
                  <c:v>1341.439999999976</c:v>
                </c:pt>
                <c:pt idx="492">
                  <c:v>1341.439999999976</c:v>
                </c:pt>
                <c:pt idx="493">
                  <c:v>1341.439999999976</c:v>
                </c:pt>
                <c:pt idx="494">
                  <c:v>1341.439999999976</c:v>
                </c:pt>
                <c:pt idx="495">
                  <c:v>1341.439999999976</c:v>
                </c:pt>
                <c:pt idx="496">
                  <c:v>1341.439999999976</c:v>
                </c:pt>
                <c:pt idx="497">
                  <c:v>1341.439999999976</c:v>
                </c:pt>
                <c:pt idx="498">
                  <c:v>1341.439999999976</c:v>
                </c:pt>
                <c:pt idx="499">
                  <c:v>1341.439999999976</c:v>
                </c:pt>
                <c:pt idx="500">
                  <c:v>1341.439999999976</c:v>
                </c:pt>
                <c:pt idx="501">
                  <c:v>1341.439999999976</c:v>
                </c:pt>
                <c:pt idx="502">
                  <c:v>1341.439999999976</c:v>
                </c:pt>
                <c:pt idx="503">
                  <c:v>1341.439999999976</c:v>
                </c:pt>
                <c:pt idx="504">
                  <c:v>1341.439999999976</c:v>
                </c:pt>
                <c:pt idx="505">
                  <c:v>1341.439999999976</c:v>
                </c:pt>
                <c:pt idx="506">
                  <c:v>1341.439999999976</c:v>
                </c:pt>
                <c:pt idx="507">
                  <c:v>1341.439999999976</c:v>
                </c:pt>
                <c:pt idx="508">
                  <c:v>1341.439999999976</c:v>
                </c:pt>
                <c:pt idx="509">
                  <c:v>1341.439999999976</c:v>
                </c:pt>
                <c:pt idx="510">
                  <c:v>1341.439999999976</c:v>
                </c:pt>
                <c:pt idx="511">
                  <c:v>1341.439999999976</c:v>
                </c:pt>
                <c:pt idx="512">
                  <c:v>1341.439999999976</c:v>
                </c:pt>
                <c:pt idx="513">
                  <c:v>1341.439999999976</c:v>
                </c:pt>
                <c:pt idx="514">
                  <c:v>1341.439999999976</c:v>
                </c:pt>
                <c:pt idx="515">
                  <c:v>1341.439999999976</c:v>
                </c:pt>
                <c:pt idx="516">
                  <c:v>1341.439999999976</c:v>
                </c:pt>
                <c:pt idx="517">
                  <c:v>1341.439999999976</c:v>
                </c:pt>
                <c:pt idx="518">
                  <c:v>1341.439999999976</c:v>
                </c:pt>
                <c:pt idx="519">
                  <c:v>1341.439999999976</c:v>
                </c:pt>
                <c:pt idx="520">
                  <c:v>1341.439999999976</c:v>
                </c:pt>
                <c:pt idx="521">
                  <c:v>1341.439999999976</c:v>
                </c:pt>
                <c:pt idx="522">
                  <c:v>1341.439999999976</c:v>
                </c:pt>
                <c:pt idx="523">
                  <c:v>1341.439999999976</c:v>
                </c:pt>
                <c:pt idx="524">
                  <c:v>1341.439999999976</c:v>
                </c:pt>
                <c:pt idx="525">
                  <c:v>1341.439999999976</c:v>
                </c:pt>
                <c:pt idx="526">
                  <c:v>1341.439999999976</c:v>
                </c:pt>
                <c:pt idx="527">
                  <c:v>1341.439999999976</c:v>
                </c:pt>
                <c:pt idx="528">
                  <c:v>1341.439999999976</c:v>
                </c:pt>
                <c:pt idx="529">
                  <c:v>1341.439999999976</c:v>
                </c:pt>
                <c:pt idx="530">
                  <c:v>1341.439999999976</c:v>
                </c:pt>
                <c:pt idx="531">
                  <c:v>1341.439999999976</c:v>
                </c:pt>
                <c:pt idx="532">
                  <c:v>1341.439999999976</c:v>
                </c:pt>
                <c:pt idx="533">
                  <c:v>1341.439999999976</c:v>
                </c:pt>
                <c:pt idx="534">
                  <c:v>1341.439999999976</c:v>
                </c:pt>
                <c:pt idx="535">
                  <c:v>1341.439999999976</c:v>
                </c:pt>
                <c:pt idx="536">
                  <c:v>1341.439999999976</c:v>
                </c:pt>
                <c:pt idx="537">
                  <c:v>1341.439999999976</c:v>
                </c:pt>
                <c:pt idx="538">
                  <c:v>1501.4399999999762</c:v>
                </c:pt>
                <c:pt idx="539">
                  <c:v>1544.589999999986</c:v>
                </c:pt>
                <c:pt idx="540">
                  <c:v>1544.589999999986</c:v>
                </c:pt>
                <c:pt idx="541">
                  <c:v>1544.589999999986</c:v>
                </c:pt>
                <c:pt idx="542">
                  <c:v>1570.4799999999871</c:v>
                </c:pt>
                <c:pt idx="543">
                  <c:v>1570.4799999999871</c:v>
                </c:pt>
                <c:pt idx="544">
                  <c:v>1570.4799999999871</c:v>
                </c:pt>
                <c:pt idx="545">
                  <c:v>1570.4799999999871</c:v>
                </c:pt>
                <c:pt idx="546">
                  <c:v>1570.4799999999871</c:v>
                </c:pt>
                <c:pt idx="547">
                  <c:v>1570.4799999999871</c:v>
                </c:pt>
                <c:pt idx="548">
                  <c:v>1570.4799999999871</c:v>
                </c:pt>
                <c:pt idx="549">
                  <c:v>1570.4799999999871</c:v>
                </c:pt>
                <c:pt idx="550">
                  <c:v>1570.4799999999871</c:v>
                </c:pt>
                <c:pt idx="551">
                  <c:v>1538.4799999999868</c:v>
                </c:pt>
                <c:pt idx="552">
                  <c:v>1538.4799999999868</c:v>
                </c:pt>
                <c:pt idx="553">
                  <c:v>1538.4799999999868</c:v>
                </c:pt>
                <c:pt idx="554">
                  <c:v>1538.4799999999868</c:v>
                </c:pt>
                <c:pt idx="555">
                  <c:v>1538.4799999999868</c:v>
                </c:pt>
                <c:pt idx="556">
                  <c:v>1538.4799999999868</c:v>
                </c:pt>
                <c:pt idx="557">
                  <c:v>1538.4799999999868</c:v>
                </c:pt>
                <c:pt idx="558">
                  <c:v>1538.4799999999868</c:v>
                </c:pt>
                <c:pt idx="559">
                  <c:v>1538.4799999999868</c:v>
                </c:pt>
                <c:pt idx="560">
                  <c:v>1538.4799999999868</c:v>
                </c:pt>
                <c:pt idx="561">
                  <c:v>1858.4799999999868</c:v>
                </c:pt>
                <c:pt idx="562">
                  <c:v>1858.4799999999868</c:v>
                </c:pt>
                <c:pt idx="563">
                  <c:v>1858.4799999999868</c:v>
                </c:pt>
                <c:pt idx="564">
                  <c:v>3202.4799999999868</c:v>
                </c:pt>
                <c:pt idx="565">
                  <c:v>3202.4799999999868</c:v>
                </c:pt>
                <c:pt idx="566">
                  <c:v>3634.4799999999868</c:v>
                </c:pt>
                <c:pt idx="567">
                  <c:v>3634.4799999999868</c:v>
                </c:pt>
                <c:pt idx="568">
                  <c:v>3634.4799999999868</c:v>
                </c:pt>
                <c:pt idx="569">
                  <c:v>3634.4799999999868</c:v>
                </c:pt>
                <c:pt idx="570">
                  <c:v>3634.4799999999868</c:v>
                </c:pt>
                <c:pt idx="571">
                  <c:v>3634.4799999999868</c:v>
                </c:pt>
                <c:pt idx="572">
                  <c:v>3634.4799999999868</c:v>
                </c:pt>
                <c:pt idx="573">
                  <c:v>3666.4799999999868</c:v>
                </c:pt>
                <c:pt idx="574">
                  <c:v>3666.4799999999868</c:v>
                </c:pt>
                <c:pt idx="575">
                  <c:v>3666.4799999999868</c:v>
                </c:pt>
                <c:pt idx="576">
                  <c:v>3666.4799999999868</c:v>
                </c:pt>
                <c:pt idx="577">
                  <c:v>3666.4799999999868</c:v>
                </c:pt>
                <c:pt idx="578">
                  <c:v>3666.4799999999868</c:v>
                </c:pt>
                <c:pt idx="579">
                  <c:v>3666.4799999999868</c:v>
                </c:pt>
                <c:pt idx="580">
                  <c:v>3666.4799999999868</c:v>
                </c:pt>
                <c:pt idx="581">
                  <c:v>3666.4799999999868</c:v>
                </c:pt>
                <c:pt idx="582">
                  <c:v>3666.4799999999868</c:v>
                </c:pt>
                <c:pt idx="583">
                  <c:v>3666.4799999999868</c:v>
                </c:pt>
                <c:pt idx="584">
                  <c:v>3666.4799999999868</c:v>
                </c:pt>
                <c:pt idx="585">
                  <c:v>3666.4799999999868</c:v>
                </c:pt>
                <c:pt idx="586">
                  <c:v>3666.4799999999868</c:v>
                </c:pt>
                <c:pt idx="587">
                  <c:v>3666.4799999999868</c:v>
                </c:pt>
                <c:pt idx="588">
                  <c:v>3666.4799999999868</c:v>
                </c:pt>
                <c:pt idx="589">
                  <c:v>3826.4799999999868</c:v>
                </c:pt>
                <c:pt idx="590">
                  <c:v>3826.4799999999868</c:v>
                </c:pt>
                <c:pt idx="591">
                  <c:v>3826.4799999999868</c:v>
                </c:pt>
                <c:pt idx="592">
                  <c:v>3826.4799999999868</c:v>
                </c:pt>
                <c:pt idx="593">
                  <c:v>3826.4799999999868</c:v>
                </c:pt>
                <c:pt idx="594">
                  <c:v>3826.4799999999868</c:v>
                </c:pt>
                <c:pt idx="595">
                  <c:v>3826.4799999999868</c:v>
                </c:pt>
                <c:pt idx="596">
                  <c:v>3826.4799999999868</c:v>
                </c:pt>
                <c:pt idx="597">
                  <c:v>3852.3700000000613</c:v>
                </c:pt>
                <c:pt idx="598">
                  <c:v>3852.3700000000613</c:v>
                </c:pt>
                <c:pt idx="599">
                  <c:v>3852.3700000000613</c:v>
                </c:pt>
                <c:pt idx="600">
                  <c:v>4732.3700000000608</c:v>
                </c:pt>
                <c:pt idx="601">
                  <c:v>4828.3700000000608</c:v>
                </c:pt>
                <c:pt idx="602">
                  <c:v>4828.3700000000608</c:v>
                </c:pt>
                <c:pt idx="603">
                  <c:v>4876.3700000000608</c:v>
                </c:pt>
                <c:pt idx="604">
                  <c:v>5148.3700000000608</c:v>
                </c:pt>
                <c:pt idx="605">
                  <c:v>5148.3700000000608</c:v>
                </c:pt>
                <c:pt idx="606">
                  <c:v>5148.3700000000608</c:v>
                </c:pt>
                <c:pt idx="607">
                  <c:v>5148.3700000000608</c:v>
                </c:pt>
                <c:pt idx="608">
                  <c:v>5148.3700000000608</c:v>
                </c:pt>
                <c:pt idx="609">
                  <c:v>5177.1366666667018</c:v>
                </c:pt>
                <c:pt idx="610">
                  <c:v>5177.1366666667018</c:v>
                </c:pt>
                <c:pt idx="611">
                  <c:v>5177.1366666667018</c:v>
                </c:pt>
                <c:pt idx="612">
                  <c:v>5177.1366666667018</c:v>
                </c:pt>
                <c:pt idx="613">
                  <c:v>5177.1366666667018</c:v>
                </c:pt>
                <c:pt idx="614">
                  <c:v>5177.1366666667018</c:v>
                </c:pt>
                <c:pt idx="615">
                  <c:v>5177.1366666667018</c:v>
                </c:pt>
                <c:pt idx="616">
                  <c:v>5177.1366666667018</c:v>
                </c:pt>
                <c:pt idx="617">
                  <c:v>5177.1366666667018</c:v>
                </c:pt>
                <c:pt idx="618">
                  <c:v>5177.1366666667018</c:v>
                </c:pt>
                <c:pt idx="619">
                  <c:v>5177.1366666667018</c:v>
                </c:pt>
                <c:pt idx="620">
                  <c:v>5177.1366666667018</c:v>
                </c:pt>
                <c:pt idx="621">
                  <c:v>5177.1366666667018</c:v>
                </c:pt>
                <c:pt idx="622">
                  <c:v>5177.1366666667018</c:v>
                </c:pt>
                <c:pt idx="623">
                  <c:v>5177.1366666667018</c:v>
                </c:pt>
                <c:pt idx="624">
                  <c:v>5177.1366666667018</c:v>
                </c:pt>
                <c:pt idx="625">
                  <c:v>5177.1366666667018</c:v>
                </c:pt>
                <c:pt idx="626">
                  <c:v>5177.1366666667018</c:v>
                </c:pt>
                <c:pt idx="627">
                  <c:v>5177.1366666667018</c:v>
                </c:pt>
                <c:pt idx="628">
                  <c:v>5177.1366666667018</c:v>
                </c:pt>
                <c:pt idx="629">
                  <c:v>5177.1366666667018</c:v>
                </c:pt>
                <c:pt idx="630">
                  <c:v>5177.1366666667018</c:v>
                </c:pt>
                <c:pt idx="631">
                  <c:v>5177.1366666667018</c:v>
                </c:pt>
                <c:pt idx="632">
                  <c:v>5177.1366666667018</c:v>
                </c:pt>
                <c:pt idx="633">
                  <c:v>5177.1366666667018</c:v>
                </c:pt>
                <c:pt idx="634">
                  <c:v>5177.1366666667018</c:v>
                </c:pt>
                <c:pt idx="635">
                  <c:v>5177.1366666667018</c:v>
                </c:pt>
                <c:pt idx="636">
                  <c:v>5177.1366666667018</c:v>
                </c:pt>
                <c:pt idx="637">
                  <c:v>5177.1366666667018</c:v>
                </c:pt>
                <c:pt idx="638">
                  <c:v>5177.1366666667018</c:v>
                </c:pt>
                <c:pt idx="639">
                  <c:v>5177.1366666667018</c:v>
                </c:pt>
                <c:pt idx="640">
                  <c:v>5177.1366666667018</c:v>
                </c:pt>
                <c:pt idx="641">
                  <c:v>5177.1366666667018</c:v>
                </c:pt>
                <c:pt idx="642">
                  <c:v>5177.1366666667018</c:v>
                </c:pt>
                <c:pt idx="643">
                  <c:v>5177.1366666667018</c:v>
                </c:pt>
                <c:pt idx="644">
                  <c:v>5177.1366666667018</c:v>
                </c:pt>
                <c:pt idx="645">
                  <c:v>5177.1366666667018</c:v>
                </c:pt>
                <c:pt idx="646">
                  <c:v>5177.1366666667018</c:v>
                </c:pt>
                <c:pt idx="647">
                  <c:v>5177.1366666667018</c:v>
                </c:pt>
                <c:pt idx="648">
                  <c:v>5177.1366666667018</c:v>
                </c:pt>
                <c:pt idx="649">
                  <c:v>5177.1366666667018</c:v>
                </c:pt>
                <c:pt idx="650">
                  <c:v>5177.1366666667018</c:v>
                </c:pt>
                <c:pt idx="651">
                  <c:v>5177.1366666667018</c:v>
                </c:pt>
                <c:pt idx="652">
                  <c:v>5177.1366666667018</c:v>
                </c:pt>
                <c:pt idx="653">
                  <c:v>5177.1366666667018</c:v>
                </c:pt>
                <c:pt idx="654">
                  <c:v>5177.1366666667018</c:v>
                </c:pt>
                <c:pt idx="655">
                  <c:v>5177.1366666667018</c:v>
                </c:pt>
                <c:pt idx="656">
                  <c:v>5177.1366666667018</c:v>
                </c:pt>
                <c:pt idx="657">
                  <c:v>5177.1366666667018</c:v>
                </c:pt>
                <c:pt idx="658">
                  <c:v>5177.1366666667018</c:v>
                </c:pt>
                <c:pt idx="659">
                  <c:v>5177.1366666667018</c:v>
                </c:pt>
                <c:pt idx="660">
                  <c:v>5177.1366666667018</c:v>
                </c:pt>
                <c:pt idx="661">
                  <c:v>5177.1366666667018</c:v>
                </c:pt>
                <c:pt idx="662">
                  <c:v>5177.1366666667018</c:v>
                </c:pt>
                <c:pt idx="663">
                  <c:v>5177.1366666667018</c:v>
                </c:pt>
                <c:pt idx="664">
                  <c:v>5177.1366666667018</c:v>
                </c:pt>
                <c:pt idx="665">
                  <c:v>5177.1366666667018</c:v>
                </c:pt>
                <c:pt idx="666">
                  <c:v>5177.1366666667018</c:v>
                </c:pt>
                <c:pt idx="667">
                  <c:v>5177.1366666667018</c:v>
                </c:pt>
                <c:pt idx="668">
                  <c:v>5177.1366666667018</c:v>
                </c:pt>
                <c:pt idx="669">
                  <c:v>5177.1366666667018</c:v>
                </c:pt>
                <c:pt idx="670">
                  <c:v>5177.1366666667018</c:v>
                </c:pt>
                <c:pt idx="671">
                  <c:v>5177.1366666667018</c:v>
                </c:pt>
                <c:pt idx="672">
                  <c:v>5177.1366666667018</c:v>
                </c:pt>
                <c:pt idx="673">
                  <c:v>5177.1366666667018</c:v>
                </c:pt>
                <c:pt idx="674">
                  <c:v>5129.1366666667018</c:v>
                </c:pt>
                <c:pt idx="675">
                  <c:v>5129.1366666667018</c:v>
                </c:pt>
                <c:pt idx="676">
                  <c:v>5129.1366666667018</c:v>
                </c:pt>
                <c:pt idx="677">
                  <c:v>5129.1366666667018</c:v>
                </c:pt>
                <c:pt idx="678">
                  <c:v>5401.1366666667018</c:v>
                </c:pt>
                <c:pt idx="679">
                  <c:v>5401.1366666667018</c:v>
                </c:pt>
                <c:pt idx="680">
                  <c:v>5401.1366666667018</c:v>
                </c:pt>
                <c:pt idx="681">
                  <c:v>5401.1366666667018</c:v>
                </c:pt>
                <c:pt idx="682">
                  <c:v>5401.1366666667018</c:v>
                </c:pt>
                <c:pt idx="683">
                  <c:v>5401.1366666667018</c:v>
                </c:pt>
                <c:pt idx="684">
                  <c:v>5401.1366666667018</c:v>
                </c:pt>
                <c:pt idx="685">
                  <c:v>5401.1366666667018</c:v>
                </c:pt>
                <c:pt idx="686">
                  <c:v>5401.1366666667018</c:v>
                </c:pt>
                <c:pt idx="687">
                  <c:v>5401.1366666667018</c:v>
                </c:pt>
                <c:pt idx="688">
                  <c:v>5401.1366666667018</c:v>
                </c:pt>
                <c:pt idx="689">
                  <c:v>5401.1366666667018</c:v>
                </c:pt>
                <c:pt idx="690">
                  <c:v>5401.1366666667018</c:v>
                </c:pt>
                <c:pt idx="691">
                  <c:v>5481.1366666667018</c:v>
                </c:pt>
                <c:pt idx="692">
                  <c:v>5481.1366666667018</c:v>
                </c:pt>
                <c:pt idx="693">
                  <c:v>5481.1366666667018</c:v>
                </c:pt>
                <c:pt idx="694">
                  <c:v>5481.1366666667018</c:v>
                </c:pt>
                <c:pt idx="695">
                  <c:v>5593.3266666669924</c:v>
                </c:pt>
                <c:pt idx="696">
                  <c:v>5593.3266666669924</c:v>
                </c:pt>
                <c:pt idx="697">
                  <c:v>5593.3266666669924</c:v>
                </c:pt>
                <c:pt idx="698">
                  <c:v>5593.3266666669924</c:v>
                </c:pt>
                <c:pt idx="699">
                  <c:v>5593.3266666669924</c:v>
                </c:pt>
                <c:pt idx="700">
                  <c:v>5593.3266666669924</c:v>
                </c:pt>
                <c:pt idx="701">
                  <c:v>5593.3266666669924</c:v>
                </c:pt>
                <c:pt idx="702">
                  <c:v>5593.3266666669924</c:v>
                </c:pt>
                <c:pt idx="703">
                  <c:v>5593.3266666669924</c:v>
                </c:pt>
                <c:pt idx="704">
                  <c:v>5593.3266666669924</c:v>
                </c:pt>
                <c:pt idx="705">
                  <c:v>5593.3266666669924</c:v>
                </c:pt>
                <c:pt idx="706">
                  <c:v>5593.3266666669924</c:v>
                </c:pt>
                <c:pt idx="707">
                  <c:v>5593.3266666669924</c:v>
                </c:pt>
                <c:pt idx="708">
                  <c:v>5593.3266666669924</c:v>
                </c:pt>
                <c:pt idx="709">
                  <c:v>5593.3266666669924</c:v>
                </c:pt>
                <c:pt idx="710">
                  <c:v>5593.3266666669924</c:v>
                </c:pt>
                <c:pt idx="711">
                  <c:v>5593.3266666669924</c:v>
                </c:pt>
                <c:pt idx="712">
                  <c:v>5593.3266666669924</c:v>
                </c:pt>
                <c:pt idx="713">
                  <c:v>5593.3266666669924</c:v>
                </c:pt>
                <c:pt idx="714">
                  <c:v>5593.3266666669924</c:v>
                </c:pt>
                <c:pt idx="715">
                  <c:v>5593.3266666669924</c:v>
                </c:pt>
                <c:pt idx="716">
                  <c:v>5593.3266666669924</c:v>
                </c:pt>
                <c:pt idx="717">
                  <c:v>5593.3266666669924</c:v>
                </c:pt>
                <c:pt idx="718">
                  <c:v>5593.3266666669924</c:v>
                </c:pt>
                <c:pt idx="719">
                  <c:v>5593.3266666669924</c:v>
                </c:pt>
                <c:pt idx="720">
                  <c:v>5593.3266666669924</c:v>
                </c:pt>
                <c:pt idx="721">
                  <c:v>5593.3266666669924</c:v>
                </c:pt>
                <c:pt idx="722">
                  <c:v>5593.3266666669924</c:v>
                </c:pt>
                <c:pt idx="723">
                  <c:v>5593.3266666669924</c:v>
                </c:pt>
                <c:pt idx="724">
                  <c:v>5593.3266666669924</c:v>
                </c:pt>
                <c:pt idx="725">
                  <c:v>5593.3266666669924</c:v>
                </c:pt>
                <c:pt idx="726">
                  <c:v>5593.3266666669924</c:v>
                </c:pt>
                <c:pt idx="727">
                  <c:v>5593.3266666669924</c:v>
                </c:pt>
                <c:pt idx="728">
                  <c:v>5593.3266666669924</c:v>
                </c:pt>
                <c:pt idx="729">
                  <c:v>5593.3266666669924</c:v>
                </c:pt>
                <c:pt idx="730">
                  <c:v>5593.3266666669924</c:v>
                </c:pt>
                <c:pt idx="731">
                  <c:v>5593.3266666669924</c:v>
                </c:pt>
                <c:pt idx="732">
                  <c:v>5593.3266666669924</c:v>
                </c:pt>
                <c:pt idx="733">
                  <c:v>5593.3266666669924</c:v>
                </c:pt>
                <c:pt idx="734">
                  <c:v>5593.3266666669924</c:v>
                </c:pt>
                <c:pt idx="735">
                  <c:v>5593.3266666669924</c:v>
                </c:pt>
                <c:pt idx="736">
                  <c:v>5593.3266666669924</c:v>
                </c:pt>
                <c:pt idx="737">
                  <c:v>5593.3266666669924</c:v>
                </c:pt>
                <c:pt idx="738">
                  <c:v>5593.3266666669924</c:v>
                </c:pt>
                <c:pt idx="739">
                  <c:v>5593.3266666669924</c:v>
                </c:pt>
                <c:pt idx="740">
                  <c:v>5593.3266666669924</c:v>
                </c:pt>
                <c:pt idx="741">
                  <c:v>5593.3266666669924</c:v>
                </c:pt>
                <c:pt idx="742">
                  <c:v>5593.3266666669924</c:v>
                </c:pt>
                <c:pt idx="743">
                  <c:v>5593.3266666669924</c:v>
                </c:pt>
                <c:pt idx="744">
                  <c:v>5593.3266666669924</c:v>
                </c:pt>
                <c:pt idx="745">
                  <c:v>5593.3266666669924</c:v>
                </c:pt>
                <c:pt idx="746">
                  <c:v>5593.3266666669924</c:v>
                </c:pt>
                <c:pt idx="747">
                  <c:v>5593.3266666669924</c:v>
                </c:pt>
                <c:pt idx="748">
                  <c:v>5641.3266666669924</c:v>
                </c:pt>
                <c:pt idx="749">
                  <c:v>5641.3266666669924</c:v>
                </c:pt>
                <c:pt idx="750">
                  <c:v>5641.3266666669924</c:v>
                </c:pt>
                <c:pt idx="751">
                  <c:v>5641.3266666669924</c:v>
                </c:pt>
                <c:pt idx="752">
                  <c:v>5641.3266666669924</c:v>
                </c:pt>
                <c:pt idx="753">
                  <c:v>5641.3266666669924</c:v>
                </c:pt>
                <c:pt idx="754">
                  <c:v>5641.3266666669924</c:v>
                </c:pt>
                <c:pt idx="755">
                  <c:v>5641.3266666669924</c:v>
                </c:pt>
                <c:pt idx="756">
                  <c:v>5641.3266666669924</c:v>
                </c:pt>
                <c:pt idx="757">
                  <c:v>5641.3266666669924</c:v>
                </c:pt>
                <c:pt idx="758">
                  <c:v>5257.3266666669924</c:v>
                </c:pt>
                <c:pt idx="759">
                  <c:v>4722.2666666668902</c:v>
                </c:pt>
                <c:pt idx="760">
                  <c:v>4722.2666666668902</c:v>
                </c:pt>
                <c:pt idx="761">
                  <c:v>4722.2666666668902</c:v>
                </c:pt>
                <c:pt idx="762">
                  <c:v>4722.2666666668902</c:v>
                </c:pt>
                <c:pt idx="763">
                  <c:v>4722.2666666668902</c:v>
                </c:pt>
                <c:pt idx="764">
                  <c:v>5010.2666666668902</c:v>
                </c:pt>
                <c:pt idx="765">
                  <c:v>5010.2666666668902</c:v>
                </c:pt>
                <c:pt idx="766">
                  <c:v>5010.2666666668902</c:v>
                </c:pt>
                <c:pt idx="767">
                  <c:v>5010.2666666668902</c:v>
                </c:pt>
                <c:pt idx="768">
                  <c:v>5010.2666666668902</c:v>
                </c:pt>
                <c:pt idx="769">
                  <c:v>5010.2666666668902</c:v>
                </c:pt>
                <c:pt idx="770">
                  <c:v>5010.2666666668902</c:v>
                </c:pt>
                <c:pt idx="771">
                  <c:v>5010.2666666668902</c:v>
                </c:pt>
                <c:pt idx="772">
                  <c:v>5010.2666666668902</c:v>
                </c:pt>
                <c:pt idx="773">
                  <c:v>5010.2666666668902</c:v>
                </c:pt>
                <c:pt idx="774">
                  <c:v>5010.2666666668902</c:v>
                </c:pt>
                <c:pt idx="775">
                  <c:v>5010.2666666668902</c:v>
                </c:pt>
                <c:pt idx="776">
                  <c:v>5010.2666666668902</c:v>
                </c:pt>
                <c:pt idx="777">
                  <c:v>5010.2666666668902</c:v>
                </c:pt>
                <c:pt idx="778">
                  <c:v>5010.2666666668902</c:v>
                </c:pt>
                <c:pt idx="779">
                  <c:v>5010.2666666668902</c:v>
                </c:pt>
                <c:pt idx="780">
                  <c:v>5010.2666666668902</c:v>
                </c:pt>
                <c:pt idx="781">
                  <c:v>5010.2666666668902</c:v>
                </c:pt>
                <c:pt idx="782">
                  <c:v>5010.2666666668902</c:v>
                </c:pt>
                <c:pt idx="783">
                  <c:v>5010.2666666668902</c:v>
                </c:pt>
                <c:pt idx="784">
                  <c:v>5010.2666666668902</c:v>
                </c:pt>
                <c:pt idx="785">
                  <c:v>5010.2666666668902</c:v>
                </c:pt>
                <c:pt idx="786">
                  <c:v>5010.2666666668902</c:v>
                </c:pt>
                <c:pt idx="787">
                  <c:v>5010.2666666668902</c:v>
                </c:pt>
                <c:pt idx="788">
                  <c:v>5010.2666666668902</c:v>
                </c:pt>
                <c:pt idx="789">
                  <c:v>5010.2666666668902</c:v>
                </c:pt>
                <c:pt idx="790">
                  <c:v>5010.2666666668902</c:v>
                </c:pt>
                <c:pt idx="791">
                  <c:v>5010.2666666668902</c:v>
                </c:pt>
                <c:pt idx="792">
                  <c:v>5010.2666666668902</c:v>
                </c:pt>
                <c:pt idx="793">
                  <c:v>5010.2666666668902</c:v>
                </c:pt>
                <c:pt idx="794">
                  <c:v>5010.2666666668902</c:v>
                </c:pt>
                <c:pt idx="795">
                  <c:v>5010.2666666668902</c:v>
                </c:pt>
                <c:pt idx="796">
                  <c:v>5010.2666666668902</c:v>
                </c:pt>
                <c:pt idx="797">
                  <c:v>5010.2666666668902</c:v>
                </c:pt>
                <c:pt idx="798">
                  <c:v>5010.2666666668902</c:v>
                </c:pt>
                <c:pt idx="799">
                  <c:v>5010.2666666668902</c:v>
                </c:pt>
                <c:pt idx="800">
                  <c:v>5010.2666666668902</c:v>
                </c:pt>
                <c:pt idx="801">
                  <c:v>5010.2666666668902</c:v>
                </c:pt>
                <c:pt idx="802">
                  <c:v>5010.2666666668902</c:v>
                </c:pt>
                <c:pt idx="803">
                  <c:v>5010.2666666668902</c:v>
                </c:pt>
                <c:pt idx="804">
                  <c:v>5010.2666666668902</c:v>
                </c:pt>
                <c:pt idx="805">
                  <c:v>5010.2666666668902</c:v>
                </c:pt>
                <c:pt idx="806">
                  <c:v>5010.2666666668902</c:v>
                </c:pt>
                <c:pt idx="807">
                  <c:v>5010.2666666668902</c:v>
                </c:pt>
                <c:pt idx="808">
                  <c:v>5010.2666666668902</c:v>
                </c:pt>
                <c:pt idx="809">
                  <c:v>5010.2666666668902</c:v>
                </c:pt>
                <c:pt idx="810">
                  <c:v>5010.2666666668902</c:v>
                </c:pt>
                <c:pt idx="811">
                  <c:v>5010.2666666668902</c:v>
                </c:pt>
                <c:pt idx="812">
                  <c:v>5010.2666666668902</c:v>
                </c:pt>
                <c:pt idx="813">
                  <c:v>5010.2666666668902</c:v>
                </c:pt>
                <c:pt idx="814">
                  <c:v>5010.2666666668902</c:v>
                </c:pt>
                <c:pt idx="815">
                  <c:v>5010.2666666668902</c:v>
                </c:pt>
                <c:pt idx="816">
                  <c:v>5010.2666666668902</c:v>
                </c:pt>
                <c:pt idx="817">
                  <c:v>5010.2666666668902</c:v>
                </c:pt>
                <c:pt idx="818">
                  <c:v>5010.2666666668902</c:v>
                </c:pt>
                <c:pt idx="819">
                  <c:v>5010.2666666668902</c:v>
                </c:pt>
                <c:pt idx="820">
                  <c:v>5010.2666666668902</c:v>
                </c:pt>
                <c:pt idx="821">
                  <c:v>5010.2666666668902</c:v>
                </c:pt>
                <c:pt idx="822">
                  <c:v>5010.2666666668902</c:v>
                </c:pt>
                <c:pt idx="823">
                  <c:v>5010.2666666668902</c:v>
                </c:pt>
                <c:pt idx="824">
                  <c:v>5010.2666666668902</c:v>
                </c:pt>
                <c:pt idx="825">
                  <c:v>5010.2666666668902</c:v>
                </c:pt>
                <c:pt idx="826">
                  <c:v>5010.2666666668902</c:v>
                </c:pt>
                <c:pt idx="827">
                  <c:v>5010.2666666668902</c:v>
                </c:pt>
                <c:pt idx="828">
                  <c:v>5010.2666666668902</c:v>
                </c:pt>
                <c:pt idx="829">
                  <c:v>5010.2666666668902</c:v>
                </c:pt>
                <c:pt idx="830">
                  <c:v>5010.2666666668902</c:v>
                </c:pt>
                <c:pt idx="831">
                  <c:v>5010.2666666668902</c:v>
                </c:pt>
                <c:pt idx="832">
                  <c:v>5010.2666666668902</c:v>
                </c:pt>
                <c:pt idx="833">
                  <c:v>5010.2666666668902</c:v>
                </c:pt>
                <c:pt idx="834">
                  <c:v>5010.2666666668902</c:v>
                </c:pt>
                <c:pt idx="835">
                  <c:v>5010.2666666668902</c:v>
                </c:pt>
                <c:pt idx="836">
                  <c:v>5010.2666666668902</c:v>
                </c:pt>
                <c:pt idx="837">
                  <c:v>5010.2666666668902</c:v>
                </c:pt>
                <c:pt idx="838">
                  <c:v>5010.2666666668902</c:v>
                </c:pt>
                <c:pt idx="839">
                  <c:v>5010.2666666668902</c:v>
                </c:pt>
                <c:pt idx="840">
                  <c:v>5010.2666666668902</c:v>
                </c:pt>
                <c:pt idx="841">
                  <c:v>5010.2666666668902</c:v>
                </c:pt>
                <c:pt idx="842">
                  <c:v>5010.2666666668902</c:v>
                </c:pt>
                <c:pt idx="843">
                  <c:v>5010.2666666668902</c:v>
                </c:pt>
                <c:pt idx="844">
                  <c:v>5010.2666666668902</c:v>
                </c:pt>
                <c:pt idx="845">
                  <c:v>5010.2666666668902</c:v>
                </c:pt>
                <c:pt idx="846">
                  <c:v>5010.2666666668902</c:v>
                </c:pt>
                <c:pt idx="847">
                  <c:v>5010.2666666668902</c:v>
                </c:pt>
                <c:pt idx="848">
                  <c:v>5010.2666666668902</c:v>
                </c:pt>
                <c:pt idx="849">
                  <c:v>5010.2666666668902</c:v>
                </c:pt>
                <c:pt idx="850">
                  <c:v>5010.2666666668902</c:v>
                </c:pt>
                <c:pt idx="851">
                  <c:v>5010.2666666668902</c:v>
                </c:pt>
                <c:pt idx="852">
                  <c:v>5010.2666666668902</c:v>
                </c:pt>
                <c:pt idx="853">
                  <c:v>5010.2666666668902</c:v>
                </c:pt>
                <c:pt idx="854">
                  <c:v>5010.2666666668902</c:v>
                </c:pt>
                <c:pt idx="855">
                  <c:v>5010.2666666668902</c:v>
                </c:pt>
                <c:pt idx="856">
                  <c:v>5010.2666666668902</c:v>
                </c:pt>
                <c:pt idx="857">
                  <c:v>5010.2666666668902</c:v>
                </c:pt>
                <c:pt idx="858">
                  <c:v>5010.2666666668902</c:v>
                </c:pt>
                <c:pt idx="859">
                  <c:v>5010.2666666668902</c:v>
                </c:pt>
                <c:pt idx="860">
                  <c:v>5010.2666666668902</c:v>
                </c:pt>
                <c:pt idx="861">
                  <c:v>5010.2666666668902</c:v>
                </c:pt>
                <c:pt idx="862">
                  <c:v>5010.2666666668902</c:v>
                </c:pt>
                <c:pt idx="863">
                  <c:v>5010.2666666668902</c:v>
                </c:pt>
                <c:pt idx="864">
                  <c:v>5010.2666666668902</c:v>
                </c:pt>
                <c:pt idx="865">
                  <c:v>5010.2666666668902</c:v>
                </c:pt>
                <c:pt idx="866">
                  <c:v>5010.2666666668902</c:v>
                </c:pt>
                <c:pt idx="867">
                  <c:v>5010.2666666668902</c:v>
                </c:pt>
                <c:pt idx="868">
                  <c:v>5010.2666666668902</c:v>
                </c:pt>
                <c:pt idx="869">
                  <c:v>5010.2666666668902</c:v>
                </c:pt>
                <c:pt idx="870">
                  <c:v>5010.2666666668902</c:v>
                </c:pt>
                <c:pt idx="871">
                  <c:v>5010.2666666668902</c:v>
                </c:pt>
                <c:pt idx="872">
                  <c:v>5010.2666666668902</c:v>
                </c:pt>
                <c:pt idx="873">
                  <c:v>5010.2666666668902</c:v>
                </c:pt>
                <c:pt idx="874">
                  <c:v>5362.2666666668902</c:v>
                </c:pt>
                <c:pt idx="875">
                  <c:v>5362.2666666668902</c:v>
                </c:pt>
                <c:pt idx="876">
                  <c:v>5362.2666666668902</c:v>
                </c:pt>
                <c:pt idx="877">
                  <c:v>5362.2666666668902</c:v>
                </c:pt>
                <c:pt idx="878">
                  <c:v>5362.2666666668902</c:v>
                </c:pt>
                <c:pt idx="879">
                  <c:v>5362.2666666668902</c:v>
                </c:pt>
                <c:pt idx="880">
                  <c:v>5362.2666666668902</c:v>
                </c:pt>
                <c:pt idx="881">
                  <c:v>5362.2666666668902</c:v>
                </c:pt>
                <c:pt idx="882">
                  <c:v>5362.2666666668902</c:v>
                </c:pt>
                <c:pt idx="883">
                  <c:v>5362.2666666668902</c:v>
                </c:pt>
                <c:pt idx="884">
                  <c:v>5362.2666666668902</c:v>
                </c:pt>
                <c:pt idx="885">
                  <c:v>5362.2666666668902</c:v>
                </c:pt>
                <c:pt idx="886">
                  <c:v>5362.2666666668902</c:v>
                </c:pt>
                <c:pt idx="887">
                  <c:v>5362.2666666668902</c:v>
                </c:pt>
                <c:pt idx="888">
                  <c:v>5362.2666666668902</c:v>
                </c:pt>
                <c:pt idx="889">
                  <c:v>5362.2666666668902</c:v>
                </c:pt>
                <c:pt idx="890">
                  <c:v>5362.2666666668902</c:v>
                </c:pt>
                <c:pt idx="891">
                  <c:v>5362.2666666668902</c:v>
                </c:pt>
                <c:pt idx="892">
                  <c:v>5362.2666666668902</c:v>
                </c:pt>
                <c:pt idx="893">
                  <c:v>5362.2666666668902</c:v>
                </c:pt>
                <c:pt idx="894">
                  <c:v>5362.2666666668902</c:v>
                </c:pt>
                <c:pt idx="895">
                  <c:v>5362.2666666668902</c:v>
                </c:pt>
                <c:pt idx="896">
                  <c:v>5362.2666666668902</c:v>
                </c:pt>
                <c:pt idx="897">
                  <c:v>5362.2666666668902</c:v>
                </c:pt>
                <c:pt idx="898">
                  <c:v>5362.2666666668902</c:v>
                </c:pt>
                <c:pt idx="899">
                  <c:v>5362.2666666668902</c:v>
                </c:pt>
                <c:pt idx="900">
                  <c:v>5362.2666666668902</c:v>
                </c:pt>
                <c:pt idx="901">
                  <c:v>5362.2666666668902</c:v>
                </c:pt>
                <c:pt idx="902">
                  <c:v>5362.2666666668902</c:v>
                </c:pt>
                <c:pt idx="903">
                  <c:v>5362.2666666668902</c:v>
                </c:pt>
                <c:pt idx="904">
                  <c:v>5362.2666666668902</c:v>
                </c:pt>
                <c:pt idx="905">
                  <c:v>5362.2666666668902</c:v>
                </c:pt>
                <c:pt idx="906">
                  <c:v>5362.2666666668902</c:v>
                </c:pt>
                <c:pt idx="907">
                  <c:v>5362.2666666668902</c:v>
                </c:pt>
                <c:pt idx="908">
                  <c:v>5362.2666666668902</c:v>
                </c:pt>
                <c:pt idx="909">
                  <c:v>5362.2666666668902</c:v>
                </c:pt>
                <c:pt idx="910">
                  <c:v>4450.2666666668902</c:v>
                </c:pt>
                <c:pt idx="911">
                  <c:v>4450.2666666668902</c:v>
                </c:pt>
                <c:pt idx="912">
                  <c:v>4450.2666666668902</c:v>
                </c:pt>
                <c:pt idx="913">
                  <c:v>4450.2666666668902</c:v>
                </c:pt>
                <c:pt idx="914">
                  <c:v>4450.2666666668902</c:v>
                </c:pt>
                <c:pt idx="915">
                  <c:v>4476.1566666669405</c:v>
                </c:pt>
                <c:pt idx="916">
                  <c:v>4476.1566666669405</c:v>
                </c:pt>
                <c:pt idx="917">
                  <c:v>5052.1566666669405</c:v>
                </c:pt>
                <c:pt idx="918">
                  <c:v>5052.1566666669405</c:v>
                </c:pt>
                <c:pt idx="919">
                  <c:v>5052.1566666669405</c:v>
                </c:pt>
                <c:pt idx="920">
                  <c:v>5052.1566666669405</c:v>
                </c:pt>
                <c:pt idx="921">
                  <c:v>5052.1566666669405</c:v>
                </c:pt>
                <c:pt idx="922">
                  <c:v>5052.1566666669405</c:v>
                </c:pt>
                <c:pt idx="923">
                  <c:v>5052.1566666669405</c:v>
                </c:pt>
                <c:pt idx="924">
                  <c:v>5052.1566666669405</c:v>
                </c:pt>
                <c:pt idx="925">
                  <c:v>5052.1566666669405</c:v>
                </c:pt>
                <c:pt idx="926">
                  <c:v>5052.1566666669405</c:v>
                </c:pt>
                <c:pt idx="927">
                  <c:v>5052.1566666669405</c:v>
                </c:pt>
                <c:pt idx="928">
                  <c:v>5052.1566666669405</c:v>
                </c:pt>
                <c:pt idx="929">
                  <c:v>5052.1566666669405</c:v>
                </c:pt>
                <c:pt idx="930">
                  <c:v>5052.1566666669405</c:v>
                </c:pt>
                <c:pt idx="931">
                  <c:v>5052.1566666669405</c:v>
                </c:pt>
                <c:pt idx="932">
                  <c:v>5228.1566666669405</c:v>
                </c:pt>
                <c:pt idx="933">
                  <c:v>5228.1566666669405</c:v>
                </c:pt>
                <c:pt idx="934">
                  <c:v>5228.1566666669405</c:v>
                </c:pt>
                <c:pt idx="935">
                  <c:v>5228.1566666669405</c:v>
                </c:pt>
                <c:pt idx="936">
                  <c:v>5228.1566666669405</c:v>
                </c:pt>
                <c:pt idx="937">
                  <c:v>5228.1566666669405</c:v>
                </c:pt>
                <c:pt idx="938">
                  <c:v>5228.1566666669405</c:v>
                </c:pt>
                <c:pt idx="939">
                  <c:v>5228.1566666669405</c:v>
                </c:pt>
                <c:pt idx="940">
                  <c:v>5228.1566666669405</c:v>
                </c:pt>
                <c:pt idx="941">
                  <c:v>5228.1566666669405</c:v>
                </c:pt>
                <c:pt idx="942">
                  <c:v>5228.1566666669405</c:v>
                </c:pt>
                <c:pt idx="943">
                  <c:v>5228.1566666669405</c:v>
                </c:pt>
                <c:pt idx="944">
                  <c:v>5228.1566666669405</c:v>
                </c:pt>
                <c:pt idx="945">
                  <c:v>5228.1566666669405</c:v>
                </c:pt>
                <c:pt idx="946">
                  <c:v>5228.1566666669405</c:v>
                </c:pt>
                <c:pt idx="947">
                  <c:v>5228.1566666669405</c:v>
                </c:pt>
                <c:pt idx="948">
                  <c:v>5228.1566666669405</c:v>
                </c:pt>
                <c:pt idx="949">
                  <c:v>5228.1566666669405</c:v>
                </c:pt>
                <c:pt idx="950">
                  <c:v>5228.1566666669405</c:v>
                </c:pt>
                <c:pt idx="951">
                  <c:v>5228.1566666669405</c:v>
                </c:pt>
                <c:pt idx="952">
                  <c:v>5228.1566666669405</c:v>
                </c:pt>
                <c:pt idx="953">
                  <c:v>5228.1566666669405</c:v>
                </c:pt>
                <c:pt idx="954">
                  <c:v>5228.1566666669405</c:v>
                </c:pt>
                <c:pt idx="955">
                  <c:v>5228.1566666669405</c:v>
                </c:pt>
                <c:pt idx="956">
                  <c:v>5228.1566666669405</c:v>
                </c:pt>
                <c:pt idx="957">
                  <c:v>5228.1566666669405</c:v>
                </c:pt>
                <c:pt idx="958">
                  <c:v>5228.1566666669405</c:v>
                </c:pt>
                <c:pt idx="959">
                  <c:v>5228.1566666669405</c:v>
                </c:pt>
                <c:pt idx="960">
                  <c:v>5228.1566666669405</c:v>
                </c:pt>
                <c:pt idx="961">
                  <c:v>5228.1566666669405</c:v>
                </c:pt>
                <c:pt idx="962">
                  <c:v>5228.1566666669405</c:v>
                </c:pt>
                <c:pt idx="963">
                  <c:v>5228.1566666669405</c:v>
                </c:pt>
                <c:pt idx="964">
                  <c:v>5228.1566666669405</c:v>
                </c:pt>
                <c:pt idx="965">
                  <c:v>5228.1566666669405</c:v>
                </c:pt>
                <c:pt idx="966">
                  <c:v>5228.1566666669405</c:v>
                </c:pt>
                <c:pt idx="967">
                  <c:v>5228.1566666669405</c:v>
                </c:pt>
                <c:pt idx="968">
                  <c:v>5228.1566666669405</c:v>
                </c:pt>
                <c:pt idx="969">
                  <c:v>5228.1566666669405</c:v>
                </c:pt>
                <c:pt idx="970">
                  <c:v>5228.1566666669405</c:v>
                </c:pt>
                <c:pt idx="971">
                  <c:v>5372.1566666670142</c:v>
                </c:pt>
                <c:pt idx="972">
                  <c:v>5444.1566666670515</c:v>
                </c:pt>
                <c:pt idx="973">
                  <c:v>5012.1566666670351</c:v>
                </c:pt>
                <c:pt idx="974">
                  <c:v>4688.1566666670224</c:v>
                </c:pt>
                <c:pt idx="975">
                  <c:v>4508.1566666670842</c:v>
                </c:pt>
                <c:pt idx="976">
                  <c:v>4508.1566666670842</c:v>
                </c:pt>
                <c:pt idx="977">
                  <c:v>4508.1566666670842</c:v>
                </c:pt>
                <c:pt idx="978">
                  <c:v>4577.196666667046</c:v>
                </c:pt>
                <c:pt idx="979">
                  <c:v>4577.196666667046</c:v>
                </c:pt>
                <c:pt idx="980">
                  <c:v>4577.196666667046</c:v>
                </c:pt>
                <c:pt idx="981">
                  <c:v>4577.196666667046</c:v>
                </c:pt>
                <c:pt idx="982">
                  <c:v>4577.196666667046</c:v>
                </c:pt>
                <c:pt idx="983">
                  <c:v>4577.196666667046</c:v>
                </c:pt>
                <c:pt idx="984">
                  <c:v>4577.196666667046</c:v>
                </c:pt>
                <c:pt idx="985">
                  <c:v>4577.196666667046</c:v>
                </c:pt>
                <c:pt idx="986">
                  <c:v>4577.196666667046</c:v>
                </c:pt>
                <c:pt idx="987">
                  <c:v>4577.196666667046</c:v>
                </c:pt>
                <c:pt idx="988">
                  <c:v>4577.196666667046</c:v>
                </c:pt>
                <c:pt idx="989">
                  <c:v>4577.196666667046</c:v>
                </c:pt>
                <c:pt idx="990">
                  <c:v>4577.196666667046</c:v>
                </c:pt>
                <c:pt idx="991">
                  <c:v>4577.196666667046</c:v>
                </c:pt>
                <c:pt idx="992">
                  <c:v>4577.196666667046</c:v>
                </c:pt>
                <c:pt idx="993">
                  <c:v>4577.196666667046</c:v>
                </c:pt>
                <c:pt idx="994">
                  <c:v>4577.196666667046</c:v>
                </c:pt>
                <c:pt idx="995">
                  <c:v>4577.196666667046</c:v>
                </c:pt>
                <c:pt idx="996">
                  <c:v>4577.196666667046</c:v>
                </c:pt>
                <c:pt idx="997">
                  <c:v>4577.196666667046</c:v>
                </c:pt>
                <c:pt idx="998">
                  <c:v>4577.196666667046</c:v>
                </c:pt>
                <c:pt idx="999">
                  <c:v>4577.196666667046</c:v>
                </c:pt>
                <c:pt idx="1000">
                  <c:v>4577.196666667046</c:v>
                </c:pt>
                <c:pt idx="1001">
                  <c:v>4577.196666667046</c:v>
                </c:pt>
                <c:pt idx="1002">
                  <c:v>4577.196666667046</c:v>
                </c:pt>
                <c:pt idx="1003">
                  <c:v>4577.196666667046</c:v>
                </c:pt>
                <c:pt idx="1004">
                  <c:v>4577.196666667046</c:v>
                </c:pt>
                <c:pt idx="1005">
                  <c:v>4577.196666667046</c:v>
                </c:pt>
                <c:pt idx="1006">
                  <c:v>4577.196666667046</c:v>
                </c:pt>
                <c:pt idx="1007">
                  <c:v>4577.196666667046</c:v>
                </c:pt>
                <c:pt idx="1008">
                  <c:v>4577.196666667046</c:v>
                </c:pt>
                <c:pt idx="1009">
                  <c:v>4577.196666667046</c:v>
                </c:pt>
                <c:pt idx="1010">
                  <c:v>4577.196666667046</c:v>
                </c:pt>
                <c:pt idx="1011">
                  <c:v>4577.196666667046</c:v>
                </c:pt>
                <c:pt idx="1012">
                  <c:v>4577.196666667046</c:v>
                </c:pt>
                <c:pt idx="1013">
                  <c:v>4577.196666667046</c:v>
                </c:pt>
                <c:pt idx="1014">
                  <c:v>4577.196666667046</c:v>
                </c:pt>
                <c:pt idx="1015">
                  <c:v>4577.196666667046</c:v>
                </c:pt>
                <c:pt idx="1016">
                  <c:v>4577.196666667046</c:v>
                </c:pt>
                <c:pt idx="1017">
                  <c:v>4577.196666667046</c:v>
                </c:pt>
                <c:pt idx="1018">
                  <c:v>4577.196666667046</c:v>
                </c:pt>
                <c:pt idx="1019">
                  <c:v>4577.196666667046</c:v>
                </c:pt>
                <c:pt idx="1020">
                  <c:v>4577.196666667046</c:v>
                </c:pt>
                <c:pt idx="1021">
                  <c:v>4577.196666667046</c:v>
                </c:pt>
                <c:pt idx="1022">
                  <c:v>4577.196666667046</c:v>
                </c:pt>
                <c:pt idx="1023">
                  <c:v>4577.196666667046</c:v>
                </c:pt>
                <c:pt idx="1024">
                  <c:v>4577.196666667046</c:v>
                </c:pt>
                <c:pt idx="1025">
                  <c:v>4577.196666667046</c:v>
                </c:pt>
                <c:pt idx="1026">
                  <c:v>4577.196666667046</c:v>
                </c:pt>
                <c:pt idx="1027">
                  <c:v>4577.196666667046</c:v>
                </c:pt>
                <c:pt idx="1028">
                  <c:v>4577.196666667046</c:v>
                </c:pt>
                <c:pt idx="1029">
                  <c:v>4577.196666667046</c:v>
                </c:pt>
                <c:pt idx="1030">
                  <c:v>4577.196666667046</c:v>
                </c:pt>
                <c:pt idx="1031">
                  <c:v>4577.196666667046</c:v>
                </c:pt>
                <c:pt idx="1032">
                  <c:v>4577.196666667046</c:v>
                </c:pt>
                <c:pt idx="1033">
                  <c:v>4577.196666667046</c:v>
                </c:pt>
                <c:pt idx="1034">
                  <c:v>4577.196666667046</c:v>
                </c:pt>
                <c:pt idx="1035">
                  <c:v>4577.196666667046</c:v>
                </c:pt>
                <c:pt idx="1036">
                  <c:v>4577.196666667046</c:v>
                </c:pt>
                <c:pt idx="1037">
                  <c:v>4577.196666667046</c:v>
                </c:pt>
                <c:pt idx="1038">
                  <c:v>4577.196666667046</c:v>
                </c:pt>
                <c:pt idx="1039">
                  <c:v>4577.196666667046</c:v>
                </c:pt>
                <c:pt idx="1040">
                  <c:v>4577.196666667046</c:v>
                </c:pt>
                <c:pt idx="1041">
                  <c:v>4577.196666667046</c:v>
                </c:pt>
                <c:pt idx="1042">
                  <c:v>4577.196666667046</c:v>
                </c:pt>
                <c:pt idx="1043">
                  <c:v>4577.196666667046</c:v>
                </c:pt>
                <c:pt idx="1044">
                  <c:v>4577.196666667046</c:v>
                </c:pt>
                <c:pt idx="1045">
                  <c:v>4577.196666667046</c:v>
                </c:pt>
                <c:pt idx="1046">
                  <c:v>4577.196666667046</c:v>
                </c:pt>
                <c:pt idx="1047">
                  <c:v>4577.196666667046</c:v>
                </c:pt>
                <c:pt idx="1048">
                  <c:v>4577.196666667046</c:v>
                </c:pt>
                <c:pt idx="1049">
                  <c:v>4577.196666667046</c:v>
                </c:pt>
                <c:pt idx="1050">
                  <c:v>4577.196666667046</c:v>
                </c:pt>
                <c:pt idx="1051">
                  <c:v>4577.196666667046</c:v>
                </c:pt>
                <c:pt idx="1052">
                  <c:v>4577.196666667046</c:v>
                </c:pt>
                <c:pt idx="1053">
                  <c:v>4577.196666667046</c:v>
                </c:pt>
                <c:pt idx="1054">
                  <c:v>4577.196666667046</c:v>
                </c:pt>
                <c:pt idx="1055">
                  <c:v>4577.196666667046</c:v>
                </c:pt>
                <c:pt idx="1056">
                  <c:v>4577.196666667046</c:v>
                </c:pt>
                <c:pt idx="1057">
                  <c:v>4577.196666667046</c:v>
                </c:pt>
                <c:pt idx="1058">
                  <c:v>4613.1966666670132</c:v>
                </c:pt>
                <c:pt idx="1059">
                  <c:v>4613.1966666670132</c:v>
                </c:pt>
                <c:pt idx="1060">
                  <c:v>4613.1966666670132</c:v>
                </c:pt>
                <c:pt idx="1061">
                  <c:v>4613.1966666670132</c:v>
                </c:pt>
                <c:pt idx="1062">
                  <c:v>4613.1966666670132</c:v>
                </c:pt>
                <c:pt idx="1063">
                  <c:v>4613.1966666670132</c:v>
                </c:pt>
                <c:pt idx="1064">
                  <c:v>4613.1966666670132</c:v>
                </c:pt>
                <c:pt idx="1065">
                  <c:v>4613.1966666670132</c:v>
                </c:pt>
                <c:pt idx="1066">
                  <c:v>4613.1966666670132</c:v>
                </c:pt>
                <c:pt idx="1067">
                  <c:v>4613.1966666670132</c:v>
                </c:pt>
                <c:pt idx="1068">
                  <c:v>4613.1966666670132</c:v>
                </c:pt>
                <c:pt idx="1069">
                  <c:v>4613.1966666670132</c:v>
                </c:pt>
                <c:pt idx="1070">
                  <c:v>4613.1966666670132</c:v>
                </c:pt>
                <c:pt idx="1071">
                  <c:v>4613.1966666670132</c:v>
                </c:pt>
                <c:pt idx="1072">
                  <c:v>4613.1966666670132</c:v>
                </c:pt>
                <c:pt idx="1073">
                  <c:v>4613.1966666670132</c:v>
                </c:pt>
                <c:pt idx="1074">
                  <c:v>4037.1966666670141</c:v>
                </c:pt>
                <c:pt idx="1075">
                  <c:v>4037.1966666670141</c:v>
                </c:pt>
                <c:pt idx="1076">
                  <c:v>4037.1966666670141</c:v>
                </c:pt>
                <c:pt idx="1077">
                  <c:v>4037.1966666670141</c:v>
                </c:pt>
                <c:pt idx="1078">
                  <c:v>4037.1966666670141</c:v>
                </c:pt>
                <c:pt idx="1079">
                  <c:v>4037.1966666670141</c:v>
                </c:pt>
                <c:pt idx="1080">
                  <c:v>4037.1966666670141</c:v>
                </c:pt>
                <c:pt idx="1081">
                  <c:v>4037.1966666670141</c:v>
                </c:pt>
                <c:pt idx="1082">
                  <c:v>4037.1966666670141</c:v>
                </c:pt>
                <c:pt idx="1083">
                  <c:v>4037.1966666670141</c:v>
                </c:pt>
                <c:pt idx="1084">
                  <c:v>4229.1966666670141</c:v>
                </c:pt>
                <c:pt idx="1085">
                  <c:v>4229.1966666670141</c:v>
                </c:pt>
                <c:pt idx="1086">
                  <c:v>4229.1966666670141</c:v>
                </c:pt>
                <c:pt idx="1087">
                  <c:v>4229.1966666670141</c:v>
                </c:pt>
                <c:pt idx="1088">
                  <c:v>4229.1966666670141</c:v>
                </c:pt>
                <c:pt idx="1089">
                  <c:v>4229.1966666670141</c:v>
                </c:pt>
                <c:pt idx="1090">
                  <c:v>4229.1966666670141</c:v>
                </c:pt>
                <c:pt idx="1091">
                  <c:v>4229.1966666670141</c:v>
                </c:pt>
                <c:pt idx="1092">
                  <c:v>3437.9886666669627</c:v>
                </c:pt>
                <c:pt idx="1093">
                  <c:v>3437.9886666669627</c:v>
                </c:pt>
                <c:pt idx="1094">
                  <c:v>3437.9886666669627</c:v>
                </c:pt>
                <c:pt idx="1095">
                  <c:v>3437.9886666669627</c:v>
                </c:pt>
                <c:pt idx="1096">
                  <c:v>3053.9886666669622</c:v>
                </c:pt>
                <c:pt idx="1097">
                  <c:v>3053.9886666669622</c:v>
                </c:pt>
                <c:pt idx="1098">
                  <c:v>3053.9886666669622</c:v>
                </c:pt>
                <c:pt idx="1099">
                  <c:v>3053.9886666669622</c:v>
                </c:pt>
                <c:pt idx="1100">
                  <c:v>3053.9886666669622</c:v>
                </c:pt>
                <c:pt idx="1101">
                  <c:v>3053.9886666669622</c:v>
                </c:pt>
                <c:pt idx="1102">
                  <c:v>3053.9886666669622</c:v>
                </c:pt>
                <c:pt idx="1103">
                  <c:v>3053.9886666669622</c:v>
                </c:pt>
                <c:pt idx="1104">
                  <c:v>3053.9886666669622</c:v>
                </c:pt>
                <c:pt idx="1105">
                  <c:v>3053.9886666669622</c:v>
                </c:pt>
                <c:pt idx="1106">
                  <c:v>3053.9886666669622</c:v>
                </c:pt>
                <c:pt idx="1107">
                  <c:v>3053.9886666669622</c:v>
                </c:pt>
                <c:pt idx="1108">
                  <c:v>3053.9886666669622</c:v>
                </c:pt>
                <c:pt idx="1109">
                  <c:v>3053.9886666669622</c:v>
                </c:pt>
                <c:pt idx="1110">
                  <c:v>3053.9886666669622</c:v>
                </c:pt>
                <c:pt idx="1111">
                  <c:v>3053.9886666669622</c:v>
                </c:pt>
                <c:pt idx="1112">
                  <c:v>3053.9886666669622</c:v>
                </c:pt>
                <c:pt idx="1113">
                  <c:v>3053.9886666669622</c:v>
                </c:pt>
                <c:pt idx="1114">
                  <c:v>3053.9886666669622</c:v>
                </c:pt>
                <c:pt idx="1115">
                  <c:v>3053.9886666669622</c:v>
                </c:pt>
                <c:pt idx="1116">
                  <c:v>3053.9886666669622</c:v>
                </c:pt>
                <c:pt idx="1117">
                  <c:v>3053.9886666669622</c:v>
                </c:pt>
                <c:pt idx="1118">
                  <c:v>3053.9886666669622</c:v>
                </c:pt>
                <c:pt idx="1119">
                  <c:v>3053.9886666669622</c:v>
                </c:pt>
                <c:pt idx="1120">
                  <c:v>3053.9886666669622</c:v>
                </c:pt>
                <c:pt idx="1121">
                  <c:v>3053.9886666669622</c:v>
                </c:pt>
                <c:pt idx="1122">
                  <c:v>3053.9886666669622</c:v>
                </c:pt>
                <c:pt idx="1123">
                  <c:v>3053.9886666669622</c:v>
                </c:pt>
                <c:pt idx="1124">
                  <c:v>3053.9886666669622</c:v>
                </c:pt>
                <c:pt idx="1125">
                  <c:v>3053.9886666669622</c:v>
                </c:pt>
                <c:pt idx="1126">
                  <c:v>3053.9886666669622</c:v>
                </c:pt>
                <c:pt idx="1127">
                  <c:v>3053.9886666669622</c:v>
                </c:pt>
                <c:pt idx="1128">
                  <c:v>3053.9886666669622</c:v>
                </c:pt>
                <c:pt idx="1129">
                  <c:v>3053.9886666669622</c:v>
                </c:pt>
                <c:pt idx="1130">
                  <c:v>3053.9886666669622</c:v>
                </c:pt>
                <c:pt idx="1131">
                  <c:v>3053.9886666669622</c:v>
                </c:pt>
                <c:pt idx="1132">
                  <c:v>3053.9886666669622</c:v>
                </c:pt>
                <c:pt idx="1133">
                  <c:v>3053.9886666669622</c:v>
                </c:pt>
                <c:pt idx="1134">
                  <c:v>3053.9886666669622</c:v>
                </c:pt>
                <c:pt idx="1135">
                  <c:v>3053.9886666669622</c:v>
                </c:pt>
                <c:pt idx="1136">
                  <c:v>3053.9886666669622</c:v>
                </c:pt>
                <c:pt idx="1137">
                  <c:v>3053.9886666669622</c:v>
                </c:pt>
                <c:pt idx="1138">
                  <c:v>3053.9886666669622</c:v>
                </c:pt>
                <c:pt idx="1139">
                  <c:v>3053.9886666669622</c:v>
                </c:pt>
                <c:pt idx="1140">
                  <c:v>3053.9886666669622</c:v>
                </c:pt>
                <c:pt idx="1141">
                  <c:v>3053.9886666669622</c:v>
                </c:pt>
                <c:pt idx="1142">
                  <c:v>3053.9886666669622</c:v>
                </c:pt>
                <c:pt idx="1143">
                  <c:v>3053.9886666669622</c:v>
                </c:pt>
                <c:pt idx="1144">
                  <c:v>3053.9886666669622</c:v>
                </c:pt>
                <c:pt idx="1145">
                  <c:v>3021.9886666669458</c:v>
                </c:pt>
                <c:pt idx="1146">
                  <c:v>3021.9886666669458</c:v>
                </c:pt>
                <c:pt idx="1147">
                  <c:v>3021.9886666669458</c:v>
                </c:pt>
                <c:pt idx="1148">
                  <c:v>3191.7120000000268</c:v>
                </c:pt>
                <c:pt idx="1149">
                  <c:v>3191.7120000000268</c:v>
                </c:pt>
                <c:pt idx="1150">
                  <c:v>3191.7120000000268</c:v>
                </c:pt>
                <c:pt idx="1151">
                  <c:v>3191.7120000000268</c:v>
                </c:pt>
                <c:pt idx="1152">
                  <c:v>3191.7120000000268</c:v>
                </c:pt>
                <c:pt idx="1153">
                  <c:v>3191.7120000000268</c:v>
                </c:pt>
                <c:pt idx="1154">
                  <c:v>3191.7120000000268</c:v>
                </c:pt>
                <c:pt idx="1155">
                  <c:v>3191.7120000000268</c:v>
                </c:pt>
                <c:pt idx="1156">
                  <c:v>3191.7120000000268</c:v>
                </c:pt>
                <c:pt idx="1157">
                  <c:v>3191.7120000000268</c:v>
                </c:pt>
                <c:pt idx="1158">
                  <c:v>3191.7120000000268</c:v>
                </c:pt>
                <c:pt idx="1159">
                  <c:v>3191.7120000000268</c:v>
                </c:pt>
                <c:pt idx="1160">
                  <c:v>3191.7120000000268</c:v>
                </c:pt>
                <c:pt idx="1161">
                  <c:v>3191.7120000000268</c:v>
                </c:pt>
                <c:pt idx="1162">
                  <c:v>3191.7120000000268</c:v>
                </c:pt>
                <c:pt idx="1163">
                  <c:v>3191.7120000000268</c:v>
                </c:pt>
                <c:pt idx="1164">
                  <c:v>3191.7120000000268</c:v>
                </c:pt>
                <c:pt idx="1165">
                  <c:v>3191.7120000000268</c:v>
                </c:pt>
                <c:pt idx="1166">
                  <c:v>3191.7120000000268</c:v>
                </c:pt>
                <c:pt idx="1167">
                  <c:v>3191.7120000000268</c:v>
                </c:pt>
                <c:pt idx="1168">
                  <c:v>3191.7120000000268</c:v>
                </c:pt>
                <c:pt idx="1169">
                  <c:v>3191.7120000000268</c:v>
                </c:pt>
                <c:pt idx="1170">
                  <c:v>3191.7120000000268</c:v>
                </c:pt>
                <c:pt idx="1171">
                  <c:v>3191.7120000000268</c:v>
                </c:pt>
                <c:pt idx="1172">
                  <c:v>3191.7120000000268</c:v>
                </c:pt>
                <c:pt idx="1173">
                  <c:v>3191.7120000000268</c:v>
                </c:pt>
                <c:pt idx="1174">
                  <c:v>3191.7120000000268</c:v>
                </c:pt>
                <c:pt idx="1175">
                  <c:v>3191.7120000000268</c:v>
                </c:pt>
                <c:pt idx="1176">
                  <c:v>3191.7120000000268</c:v>
                </c:pt>
                <c:pt idx="1177">
                  <c:v>3191.7120000000268</c:v>
                </c:pt>
                <c:pt idx="1178">
                  <c:v>3191.7120000000268</c:v>
                </c:pt>
                <c:pt idx="1179">
                  <c:v>3191.7120000000268</c:v>
                </c:pt>
                <c:pt idx="1180">
                  <c:v>3191.7120000000268</c:v>
                </c:pt>
                <c:pt idx="1181">
                  <c:v>3191.7120000000268</c:v>
                </c:pt>
                <c:pt idx="1182">
                  <c:v>3191.7120000000268</c:v>
                </c:pt>
                <c:pt idx="1183">
                  <c:v>3191.7120000000268</c:v>
                </c:pt>
                <c:pt idx="1184">
                  <c:v>3191.7120000000268</c:v>
                </c:pt>
                <c:pt idx="1185">
                  <c:v>3191.7120000000268</c:v>
                </c:pt>
                <c:pt idx="1186">
                  <c:v>3191.7120000000268</c:v>
                </c:pt>
                <c:pt idx="1187">
                  <c:v>3191.7120000000268</c:v>
                </c:pt>
                <c:pt idx="1188">
                  <c:v>3191.7120000000268</c:v>
                </c:pt>
                <c:pt idx="1189">
                  <c:v>3191.7120000000268</c:v>
                </c:pt>
                <c:pt idx="1190">
                  <c:v>3191.7120000000268</c:v>
                </c:pt>
                <c:pt idx="1191">
                  <c:v>3191.7120000000268</c:v>
                </c:pt>
                <c:pt idx="1192">
                  <c:v>3191.7120000000268</c:v>
                </c:pt>
                <c:pt idx="1193">
                  <c:v>3191.7120000000268</c:v>
                </c:pt>
                <c:pt idx="1194">
                  <c:v>3191.7120000000268</c:v>
                </c:pt>
                <c:pt idx="1195">
                  <c:v>3191.7120000000268</c:v>
                </c:pt>
                <c:pt idx="1196">
                  <c:v>3191.7120000000268</c:v>
                </c:pt>
                <c:pt idx="1197">
                  <c:v>3191.7120000000268</c:v>
                </c:pt>
                <c:pt idx="1198">
                  <c:v>3191.7120000000268</c:v>
                </c:pt>
                <c:pt idx="1199">
                  <c:v>3191.7120000000268</c:v>
                </c:pt>
                <c:pt idx="1200">
                  <c:v>3191.7120000000268</c:v>
                </c:pt>
                <c:pt idx="1201">
                  <c:v>3191.7120000000268</c:v>
                </c:pt>
                <c:pt idx="1202">
                  <c:v>3191.7120000000268</c:v>
                </c:pt>
                <c:pt idx="1203">
                  <c:v>3191.7120000000268</c:v>
                </c:pt>
                <c:pt idx="1204">
                  <c:v>3191.7120000000268</c:v>
                </c:pt>
                <c:pt idx="1205">
                  <c:v>3191.7120000000268</c:v>
                </c:pt>
                <c:pt idx="1206">
                  <c:v>4751.7120000000268</c:v>
                </c:pt>
                <c:pt idx="1207">
                  <c:v>5511.7120000000268</c:v>
                </c:pt>
                <c:pt idx="1208">
                  <c:v>5511.7120000000268</c:v>
                </c:pt>
                <c:pt idx="1209">
                  <c:v>6215.7120000000268</c:v>
                </c:pt>
                <c:pt idx="1210">
                  <c:v>6215.7120000000268</c:v>
                </c:pt>
                <c:pt idx="1211">
                  <c:v>6215.7120000000268</c:v>
                </c:pt>
                <c:pt idx="1212">
                  <c:v>6215.7120000000268</c:v>
                </c:pt>
                <c:pt idx="1213">
                  <c:v>6215.7120000000268</c:v>
                </c:pt>
                <c:pt idx="1214">
                  <c:v>6215.7120000000268</c:v>
                </c:pt>
                <c:pt idx="1215">
                  <c:v>6551.7120000000268</c:v>
                </c:pt>
                <c:pt idx="1216">
                  <c:v>8519.7120000000268</c:v>
                </c:pt>
                <c:pt idx="1217">
                  <c:v>8519.7120000000268</c:v>
                </c:pt>
                <c:pt idx="1218">
                  <c:v>8519.7120000000268</c:v>
                </c:pt>
                <c:pt idx="1219">
                  <c:v>8519.7120000000268</c:v>
                </c:pt>
                <c:pt idx="1220">
                  <c:v>8519.7120000000268</c:v>
                </c:pt>
                <c:pt idx="1221">
                  <c:v>8519.7120000000268</c:v>
                </c:pt>
                <c:pt idx="1222">
                  <c:v>8519.7120000000268</c:v>
                </c:pt>
                <c:pt idx="1223">
                  <c:v>8519.7120000000268</c:v>
                </c:pt>
                <c:pt idx="1224">
                  <c:v>8519.7120000000268</c:v>
                </c:pt>
                <c:pt idx="1225">
                  <c:v>8519.7120000000268</c:v>
                </c:pt>
                <c:pt idx="1226">
                  <c:v>8743.7120000000268</c:v>
                </c:pt>
                <c:pt idx="1227">
                  <c:v>8743.7120000000268</c:v>
                </c:pt>
                <c:pt idx="1228">
                  <c:v>8743.7120000000268</c:v>
                </c:pt>
                <c:pt idx="1229">
                  <c:v>8999.7120000000268</c:v>
                </c:pt>
                <c:pt idx="1230">
                  <c:v>8999.7120000000268</c:v>
                </c:pt>
                <c:pt idx="1231">
                  <c:v>8999.7120000000268</c:v>
                </c:pt>
                <c:pt idx="1232">
                  <c:v>8999.7120000000268</c:v>
                </c:pt>
                <c:pt idx="1233">
                  <c:v>8999.7120000000268</c:v>
                </c:pt>
                <c:pt idx="1234">
                  <c:v>8999.7120000000268</c:v>
                </c:pt>
                <c:pt idx="1235">
                  <c:v>8999.7120000000268</c:v>
                </c:pt>
                <c:pt idx="1236">
                  <c:v>8999.7120000000268</c:v>
                </c:pt>
                <c:pt idx="1237">
                  <c:v>8999.7120000000268</c:v>
                </c:pt>
                <c:pt idx="1238">
                  <c:v>8999.7120000000268</c:v>
                </c:pt>
                <c:pt idx="1239">
                  <c:v>8999.7120000000268</c:v>
                </c:pt>
                <c:pt idx="1240">
                  <c:v>8999.7120000000268</c:v>
                </c:pt>
                <c:pt idx="1241">
                  <c:v>8999.7120000000268</c:v>
                </c:pt>
                <c:pt idx="1242">
                  <c:v>8999.7120000000268</c:v>
                </c:pt>
                <c:pt idx="1243">
                  <c:v>8999.7120000000268</c:v>
                </c:pt>
                <c:pt idx="1244">
                  <c:v>8999.7120000000268</c:v>
                </c:pt>
                <c:pt idx="1245">
                  <c:v>8999.7120000000268</c:v>
                </c:pt>
                <c:pt idx="1246">
                  <c:v>8999.7120000000268</c:v>
                </c:pt>
                <c:pt idx="1247">
                  <c:v>8999.7120000000268</c:v>
                </c:pt>
                <c:pt idx="1248">
                  <c:v>8999.7120000000268</c:v>
                </c:pt>
                <c:pt idx="1249">
                  <c:v>8999.7120000000268</c:v>
                </c:pt>
                <c:pt idx="1250">
                  <c:v>8999.7120000000268</c:v>
                </c:pt>
              </c:numCache>
            </c:numRef>
          </c:val>
          <c:smooth val="0"/>
          <c:extLst>
            <c:ext xmlns:c16="http://schemas.microsoft.com/office/drawing/2014/chart" uri="{C3380CC4-5D6E-409C-BE32-E72D297353CC}">
              <c16:uniqueId val="{00000001-BDC0-4D62-9F34-ED490E73A21D}"/>
            </c:ext>
          </c:extLst>
        </c:ser>
        <c:ser>
          <c:idx val="2"/>
          <c:order val="2"/>
          <c:tx>
            <c:v>C</c:v>
          </c:tx>
          <c:spPr>
            <a:ln w="28575" cap="rnd">
              <a:solidFill>
                <a:srgbClr val="92D050"/>
              </a:solidFill>
              <a:round/>
            </a:ln>
            <a:effectLst/>
          </c:spPr>
          <c:marker>
            <c:symbol val="none"/>
          </c:marker>
          <c:val>
            <c:numRef>
              <c:f>'Journal Live'!$BT$134:$BT$1384</c:f>
              <c:numCache>
                <c:formatCode>General</c:formatCode>
                <c:ptCount val="1251"/>
                <c:pt idx="0">
                  <c:v>0</c:v>
                </c:pt>
                <c:pt idx="1">
                  <c:v>0</c:v>
                </c:pt>
                <c:pt idx="2">
                  <c:v>16.300000000000015</c:v>
                </c:pt>
                <c:pt idx="3">
                  <c:v>97.8</c:v>
                </c:pt>
                <c:pt idx="4">
                  <c:v>114.10000000000001</c:v>
                </c:pt>
                <c:pt idx="5">
                  <c:v>180.5</c:v>
                </c:pt>
                <c:pt idx="6">
                  <c:v>180.5</c:v>
                </c:pt>
                <c:pt idx="7">
                  <c:v>212.89999999999998</c:v>
                </c:pt>
                <c:pt idx="8">
                  <c:v>212.89999999999998</c:v>
                </c:pt>
                <c:pt idx="9">
                  <c:v>380.1</c:v>
                </c:pt>
                <c:pt idx="10">
                  <c:v>429.90000000000003</c:v>
                </c:pt>
                <c:pt idx="11">
                  <c:v>429.90000000000003</c:v>
                </c:pt>
                <c:pt idx="12">
                  <c:v>429.90000000000003</c:v>
                </c:pt>
                <c:pt idx="13">
                  <c:v>429.90000000000003</c:v>
                </c:pt>
                <c:pt idx="14">
                  <c:v>613.6</c:v>
                </c:pt>
                <c:pt idx="15">
                  <c:v>532.1</c:v>
                </c:pt>
                <c:pt idx="16">
                  <c:v>532.1</c:v>
                </c:pt>
                <c:pt idx="17">
                  <c:v>548.4</c:v>
                </c:pt>
                <c:pt idx="18">
                  <c:v>548.4</c:v>
                </c:pt>
                <c:pt idx="19">
                  <c:v>499.49999999999994</c:v>
                </c:pt>
                <c:pt idx="20">
                  <c:v>499.49999999999994</c:v>
                </c:pt>
                <c:pt idx="21">
                  <c:v>499.49999999999994</c:v>
                </c:pt>
                <c:pt idx="22">
                  <c:v>499.49999999999994</c:v>
                </c:pt>
                <c:pt idx="23">
                  <c:v>499.49999999999994</c:v>
                </c:pt>
                <c:pt idx="24">
                  <c:v>499.49999999999994</c:v>
                </c:pt>
                <c:pt idx="25">
                  <c:v>499.49999999999994</c:v>
                </c:pt>
                <c:pt idx="26">
                  <c:v>499.49999999999994</c:v>
                </c:pt>
                <c:pt idx="27">
                  <c:v>499.49999999999994</c:v>
                </c:pt>
                <c:pt idx="28">
                  <c:v>499.49999999999994</c:v>
                </c:pt>
                <c:pt idx="29">
                  <c:v>499.49999999999994</c:v>
                </c:pt>
                <c:pt idx="30">
                  <c:v>499.49999999999994</c:v>
                </c:pt>
                <c:pt idx="31">
                  <c:v>499.49999999999994</c:v>
                </c:pt>
                <c:pt idx="32">
                  <c:v>499.49999999999994</c:v>
                </c:pt>
                <c:pt idx="33">
                  <c:v>499.49999999999994</c:v>
                </c:pt>
                <c:pt idx="34">
                  <c:v>516.19999999999993</c:v>
                </c:pt>
                <c:pt idx="35">
                  <c:v>516.19999999999993</c:v>
                </c:pt>
                <c:pt idx="36">
                  <c:v>516.19999999999993</c:v>
                </c:pt>
                <c:pt idx="37">
                  <c:v>516.19999999999993</c:v>
                </c:pt>
                <c:pt idx="38">
                  <c:v>549.59999999999991</c:v>
                </c:pt>
                <c:pt idx="39">
                  <c:v>549.59999999999991</c:v>
                </c:pt>
                <c:pt idx="40">
                  <c:v>549.59999999999991</c:v>
                </c:pt>
                <c:pt idx="41">
                  <c:v>549.59999999999991</c:v>
                </c:pt>
                <c:pt idx="42">
                  <c:v>549.59999999999991</c:v>
                </c:pt>
                <c:pt idx="43">
                  <c:v>549.59999999999991</c:v>
                </c:pt>
                <c:pt idx="44">
                  <c:v>549.59999999999991</c:v>
                </c:pt>
                <c:pt idx="45">
                  <c:v>549.59999999999991</c:v>
                </c:pt>
                <c:pt idx="46">
                  <c:v>549.59999999999991</c:v>
                </c:pt>
                <c:pt idx="47">
                  <c:v>549.59999999999991</c:v>
                </c:pt>
                <c:pt idx="48">
                  <c:v>616.4</c:v>
                </c:pt>
                <c:pt idx="49">
                  <c:v>666.5</c:v>
                </c:pt>
                <c:pt idx="50">
                  <c:v>666.5</c:v>
                </c:pt>
                <c:pt idx="51">
                  <c:v>666.5</c:v>
                </c:pt>
                <c:pt idx="52">
                  <c:v>666.5</c:v>
                </c:pt>
                <c:pt idx="53">
                  <c:v>666.5</c:v>
                </c:pt>
                <c:pt idx="54">
                  <c:v>666.5</c:v>
                </c:pt>
                <c:pt idx="55">
                  <c:v>666.5</c:v>
                </c:pt>
                <c:pt idx="56">
                  <c:v>666.5</c:v>
                </c:pt>
                <c:pt idx="57">
                  <c:v>666.5</c:v>
                </c:pt>
                <c:pt idx="58">
                  <c:v>666.5</c:v>
                </c:pt>
                <c:pt idx="59">
                  <c:v>666.5</c:v>
                </c:pt>
                <c:pt idx="60">
                  <c:v>666.5</c:v>
                </c:pt>
                <c:pt idx="61">
                  <c:v>666.5</c:v>
                </c:pt>
                <c:pt idx="62">
                  <c:v>666.5</c:v>
                </c:pt>
                <c:pt idx="63">
                  <c:v>666.5</c:v>
                </c:pt>
                <c:pt idx="64">
                  <c:v>666.5</c:v>
                </c:pt>
                <c:pt idx="65">
                  <c:v>666.5</c:v>
                </c:pt>
                <c:pt idx="66">
                  <c:v>699.9</c:v>
                </c:pt>
                <c:pt idx="67">
                  <c:v>699.9</c:v>
                </c:pt>
                <c:pt idx="68">
                  <c:v>699.9</c:v>
                </c:pt>
                <c:pt idx="69">
                  <c:v>833.49999999999989</c:v>
                </c:pt>
                <c:pt idx="70">
                  <c:v>933.69999999999982</c:v>
                </c:pt>
                <c:pt idx="71">
                  <c:v>933.69999999999982</c:v>
                </c:pt>
                <c:pt idx="72">
                  <c:v>933.69999999999982</c:v>
                </c:pt>
                <c:pt idx="73">
                  <c:v>933.69999999999982</c:v>
                </c:pt>
                <c:pt idx="74">
                  <c:v>933.69999999999982</c:v>
                </c:pt>
                <c:pt idx="75">
                  <c:v>933.69999999999982</c:v>
                </c:pt>
                <c:pt idx="76">
                  <c:v>933.69999999999982</c:v>
                </c:pt>
                <c:pt idx="77">
                  <c:v>933.69999999999982</c:v>
                </c:pt>
                <c:pt idx="78">
                  <c:v>933.69999999999982</c:v>
                </c:pt>
                <c:pt idx="79">
                  <c:v>933.69999999999982</c:v>
                </c:pt>
                <c:pt idx="80">
                  <c:v>933.69999999999982</c:v>
                </c:pt>
                <c:pt idx="81">
                  <c:v>967.69999999999982</c:v>
                </c:pt>
                <c:pt idx="82">
                  <c:v>967.69999999999982</c:v>
                </c:pt>
                <c:pt idx="83">
                  <c:v>967.69999999999982</c:v>
                </c:pt>
                <c:pt idx="84">
                  <c:v>967.69999999999982</c:v>
                </c:pt>
                <c:pt idx="85">
                  <c:v>1102.8999999999999</c:v>
                </c:pt>
                <c:pt idx="86">
                  <c:v>1102.8999999999999</c:v>
                </c:pt>
                <c:pt idx="87">
                  <c:v>1102.8999999999999</c:v>
                </c:pt>
                <c:pt idx="88">
                  <c:v>1102.8999999999999</c:v>
                </c:pt>
                <c:pt idx="89">
                  <c:v>1102.8999999999999</c:v>
                </c:pt>
                <c:pt idx="90">
                  <c:v>1102.8999999999999</c:v>
                </c:pt>
                <c:pt idx="91">
                  <c:v>1102.8999999999999</c:v>
                </c:pt>
                <c:pt idx="92">
                  <c:v>1205.4999999999998</c:v>
                </c:pt>
                <c:pt idx="93">
                  <c:v>1205.4999999999998</c:v>
                </c:pt>
                <c:pt idx="94">
                  <c:v>1205.4999999999998</c:v>
                </c:pt>
                <c:pt idx="95">
                  <c:v>1205.4999999999998</c:v>
                </c:pt>
                <c:pt idx="96">
                  <c:v>1052.4999999999998</c:v>
                </c:pt>
                <c:pt idx="97">
                  <c:v>1137.4999999999998</c:v>
                </c:pt>
                <c:pt idx="98">
                  <c:v>1035.4999999999998</c:v>
                </c:pt>
                <c:pt idx="99">
                  <c:v>1035.4999999999998</c:v>
                </c:pt>
                <c:pt idx="100">
                  <c:v>1035.4999999999998</c:v>
                </c:pt>
                <c:pt idx="101">
                  <c:v>1035.4999999999998</c:v>
                </c:pt>
                <c:pt idx="102">
                  <c:v>1035.4999999999998</c:v>
                </c:pt>
                <c:pt idx="103">
                  <c:v>1035.4999999999998</c:v>
                </c:pt>
                <c:pt idx="104">
                  <c:v>1035.4999999999998</c:v>
                </c:pt>
                <c:pt idx="105">
                  <c:v>1035.4999999999998</c:v>
                </c:pt>
                <c:pt idx="106">
                  <c:v>1035.4999999999998</c:v>
                </c:pt>
                <c:pt idx="107">
                  <c:v>1035.4999999999998</c:v>
                </c:pt>
                <c:pt idx="108">
                  <c:v>1035.4999999999998</c:v>
                </c:pt>
                <c:pt idx="109">
                  <c:v>1101.8999999999999</c:v>
                </c:pt>
                <c:pt idx="110">
                  <c:v>1101.8999999999999</c:v>
                </c:pt>
                <c:pt idx="111">
                  <c:v>1101.8999999999999</c:v>
                </c:pt>
                <c:pt idx="112">
                  <c:v>1135.0999999999999</c:v>
                </c:pt>
                <c:pt idx="113">
                  <c:v>1418.1499999999999</c:v>
                </c:pt>
                <c:pt idx="114">
                  <c:v>1418.1499999999999</c:v>
                </c:pt>
                <c:pt idx="115">
                  <c:v>1418.1499999999999</c:v>
                </c:pt>
                <c:pt idx="116">
                  <c:v>1418.1499999999999</c:v>
                </c:pt>
                <c:pt idx="117">
                  <c:v>1335.1499999999999</c:v>
                </c:pt>
                <c:pt idx="118">
                  <c:v>1335.1499999999999</c:v>
                </c:pt>
                <c:pt idx="119">
                  <c:v>1335.1499999999999</c:v>
                </c:pt>
                <c:pt idx="120">
                  <c:v>1368.35</c:v>
                </c:pt>
                <c:pt idx="121">
                  <c:v>1384.9499999999998</c:v>
                </c:pt>
                <c:pt idx="122">
                  <c:v>1401.5499999999997</c:v>
                </c:pt>
                <c:pt idx="123">
                  <c:v>1401.5499999999997</c:v>
                </c:pt>
                <c:pt idx="124">
                  <c:v>1401.5499999999997</c:v>
                </c:pt>
                <c:pt idx="125">
                  <c:v>1335.1499999999996</c:v>
                </c:pt>
                <c:pt idx="126">
                  <c:v>1335.1499999999996</c:v>
                </c:pt>
                <c:pt idx="127">
                  <c:v>1384.9499999999996</c:v>
                </c:pt>
                <c:pt idx="128">
                  <c:v>1384.9499999999996</c:v>
                </c:pt>
                <c:pt idx="129">
                  <c:v>1384.9499999999996</c:v>
                </c:pt>
                <c:pt idx="130">
                  <c:v>1086.1499999999996</c:v>
                </c:pt>
                <c:pt idx="131">
                  <c:v>886.94999999999959</c:v>
                </c:pt>
                <c:pt idx="132">
                  <c:v>969.94999999999959</c:v>
                </c:pt>
                <c:pt idx="133">
                  <c:v>969.94999999999959</c:v>
                </c:pt>
                <c:pt idx="134">
                  <c:v>969.94999999999959</c:v>
                </c:pt>
                <c:pt idx="135">
                  <c:v>969.94999999999959</c:v>
                </c:pt>
                <c:pt idx="136">
                  <c:v>969.94999999999959</c:v>
                </c:pt>
                <c:pt idx="137">
                  <c:v>1019.7499999999995</c:v>
                </c:pt>
                <c:pt idx="138">
                  <c:v>1019.7499999999995</c:v>
                </c:pt>
                <c:pt idx="139">
                  <c:v>1019.7499999999995</c:v>
                </c:pt>
                <c:pt idx="140">
                  <c:v>1019.7499999999995</c:v>
                </c:pt>
                <c:pt idx="141">
                  <c:v>1069.5499999999995</c:v>
                </c:pt>
                <c:pt idx="142">
                  <c:v>1169.1499999999994</c:v>
                </c:pt>
                <c:pt idx="143">
                  <c:v>1169.1499999999994</c:v>
                </c:pt>
                <c:pt idx="144">
                  <c:v>1169.1499999999994</c:v>
                </c:pt>
                <c:pt idx="145">
                  <c:v>1169.1499999999994</c:v>
                </c:pt>
                <c:pt idx="146">
                  <c:v>1169.1499999999994</c:v>
                </c:pt>
                <c:pt idx="147">
                  <c:v>1169.1499999999994</c:v>
                </c:pt>
                <c:pt idx="148">
                  <c:v>1169.1499999999994</c:v>
                </c:pt>
                <c:pt idx="149">
                  <c:v>1218.9499999999994</c:v>
                </c:pt>
                <c:pt idx="150">
                  <c:v>1218.9499999999994</c:v>
                </c:pt>
                <c:pt idx="151">
                  <c:v>1235.4499999999994</c:v>
                </c:pt>
                <c:pt idx="152">
                  <c:v>1235.4499999999994</c:v>
                </c:pt>
                <c:pt idx="153">
                  <c:v>1235.4499999999994</c:v>
                </c:pt>
                <c:pt idx="154">
                  <c:v>1283.7499999999993</c:v>
                </c:pt>
                <c:pt idx="155">
                  <c:v>1365.7499999999993</c:v>
                </c:pt>
                <c:pt idx="156">
                  <c:v>1365.7499999999993</c:v>
                </c:pt>
                <c:pt idx="157">
                  <c:v>1365.7499999999993</c:v>
                </c:pt>
                <c:pt idx="158">
                  <c:v>1431.3499999999992</c:v>
                </c:pt>
                <c:pt idx="159">
                  <c:v>1431.3499999999992</c:v>
                </c:pt>
                <c:pt idx="160">
                  <c:v>1431.3499999999992</c:v>
                </c:pt>
                <c:pt idx="161">
                  <c:v>1431.3499999999992</c:v>
                </c:pt>
                <c:pt idx="162">
                  <c:v>1431.3499999999992</c:v>
                </c:pt>
                <c:pt idx="163">
                  <c:v>1431.3499999999992</c:v>
                </c:pt>
                <c:pt idx="164">
                  <c:v>1431.3499999999992</c:v>
                </c:pt>
                <c:pt idx="165">
                  <c:v>1431.3499999999992</c:v>
                </c:pt>
                <c:pt idx="166">
                  <c:v>1431.3499999999992</c:v>
                </c:pt>
                <c:pt idx="167">
                  <c:v>1431.3499999999992</c:v>
                </c:pt>
                <c:pt idx="168">
                  <c:v>1431.3499999999992</c:v>
                </c:pt>
                <c:pt idx="169">
                  <c:v>1431.3499999999992</c:v>
                </c:pt>
                <c:pt idx="170">
                  <c:v>1431.3499999999992</c:v>
                </c:pt>
                <c:pt idx="171">
                  <c:v>1431.3499999999992</c:v>
                </c:pt>
                <c:pt idx="172">
                  <c:v>1431.3499999999992</c:v>
                </c:pt>
                <c:pt idx="173">
                  <c:v>1204.5499999999993</c:v>
                </c:pt>
                <c:pt idx="174">
                  <c:v>1204.5499999999993</c:v>
                </c:pt>
                <c:pt idx="175">
                  <c:v>1204.5499999999993</c:v>
                </c:pt>
                <c:pt idx="176">
                  <c:v>1204.5499999999993</c:v>
                </c:pt>
                <c:pt idx="177">
                  <c:v>1204.5499999999993</c:v>
                </c:pt>
                <c:pt idx="178">
                  <c:v>1204.5499999999993</c:v>
                </c:pt>
                <c:pt idx="179">
                  <c:v>1204.5499999999993</c:v>
                </c:pt>
                <c:pt idx="180">
                  <c:v>1204.5499999999993</c:v>
                </c:pt>
                <c:pt idx="181">
                  <c:v>753.74999999999909</c:v>
                </c:pt>
                <c:pt idx="182">
                  <c:v>753.74999999999909</c:v>
                </c:pt>
                <c:pt idx="183">
                  <c:v>302.94999999999897</c:v>
                </c:pt>
                <c:pt idx="184">
                  <c:v>302.94999999999897</c:v>
                </c:pt>
                <c:pt idx="185">
                  <c:v>302.94999999999897</c:v>
                </c:pt>
                <c:pt idx="186">
                  <c:v>319.04999999999899</c:v>
                </c:pt>
                <c:pt idx="187">
                  <c:v>335.14999999999901</c:v>
                </c:pt>
                <c:pt idx="188">
                  <c:v>335.14999999999901</c:v>
                </c:pt>
                <c:pt idx="189">
                  <c:v>383.44999999999902</c:v>
                </c:pt>
                <c:pt idx="190">
                  <c:v>383.44999999999902</c:v>
                </c:pt>
                <c:pt idx="191">
                  <c:v>464.44999999999902</c:v>
                </c:pt>
                <c:pt idx="192">
                  <c:v>464.44999999999902</c:v>
                </c:pt>
                <c:pt idx="193">
                  <c:v>464.44999999999902</c:v>
                </c:pt>
                <c:pt idx="194">
                  <c:v>-831.55000000000098</c:v>
                </c:pt>
                <c:pt idx="195">
                  <c:v>-831.55000000000098</c:v>
                </c:pt>
                <c:pt idx="196">
                  <c:v>-831.55000000000098</c:v>
                </c:pt>
                <c:pt idx="197">
                  <c:v>-831.55000000000098</c:v>
                </c:pt>
                <c:pt idx="198">
                  <c:v>-831.55000000000098</c:v>
                </c:pt>
                <c:pt idx="199">
                  <c:v>-831.55000000000098</c:v>
                </c:pt>
                <c:pt idx="200">
                  <c:v>-831.55000000000098</c:v>
                </c:pt>
                <c:pt idx="201">
                  <c:v>-705.150000000001</c:v>
                </c:pt>
                <c:pt idx="202">
                  <c:v>-578.75000000000102</c:v>
                </c:pt>
                <c:pt idx="203">
                  <c:v>-578.75000000000102</c:v>
                </c:pt>
                <c:pt idx="204">
                  <c:v>-578.75000000000102</c:v>
                </c:pt>
                <c:pt idx="205">
                  <c:v>-578.75000000000102</c:v>
                </c:pt>
                <c:pt idx="206">
                  <c:v>-578.75000000000102</c:v>
                </c:pt>
                <c:pt idx="207">
                  <c:v>-1131.7500000000009</c:v>
                </c:pt>
                <c:pt idx="208">
                  <c:v>-1131.7500000000009</c:v>
                </c:pt>
                <c:pt idx="209">
                  <c:v>-1131.7500000000009</c:v>
                </c:pt>
                <c:pt idx="210">
                  <c:v>-1763.7500000000009</c:v>
                </c:pt>
                <c:pt idx="211">
                  <c:v>-1763.7500000000009</c:v>
                </c:pt>
                <c:pt idx="212">
                  <c:v>-1763.7500000000009</c:v>
                </c:pt>
                <c:pt idx="213">
                  <c:v>-2006.7500000000009</c:v>
                </c:pt>
                <c:pt idx="214">
                  <c:v>-2330.7500000000009</c:v>
                </c:pt>
                <c:pt idx="215">
                  <c:v>-2330.7500000000009</c:v>
                </c:pt>
                <c:pt idx="216">
                  <c:v>-2330.7500000000009</c:v>
                </c:pt>
                <c:pt idx="217">
                  <c:v>-2330.7500000000009</c:v>
                </c:pt>
                <c:pt idx="218">
                  <c:v>-2330.7500000000009</c:v>
                </c:pt>
                <c:pt idx="219">
                  <c:v>-2330.7500000000009</c:v>
                </c:pt>
                <c:pt idx="220">
                  <c:v>-2330.7500000000009</c:v>
                </c:pt>
                <c:pt idx="221">
                  <c:v>-2330.7500000000009</c:v>
                </c:pt>
                <c:pt idx="222">
                  <c:v>-2330.7500000000009</c:v>
                </c:pt>
                <c:pt idx="223">
                  <c:v>-2330.7500000000009</c:v>
                </c:pt>
                <c:pt idx="224">
                  <c:v>-2330.7500000000009</c:v>
                </c:pt>
                <c:pt idx="225">
                  <c:v>-2330.7500000000009</c:v>
                </c:pt>
                <c:pt idx="226">
                  <c:v>-2330.7500000000009</c:v>
                </c:pt>
                <c:pt idx="227">
                  <c:v>-2330.7500000000009</c:v>
                </c:pt>
                <c:pt idx="228">
                  <c:v>-2330.7500000000009</c:v>
                </c:pt>
                <c:pt idx="229">
                  <c:v>-2330.7500000000009</c:v>
                </c:pt>
                <c:pt idx="230">
                  <c:v>-2330.7500000000009</c:v>
                </c:pt>
                <c:pt idx="231">
                  <c:v>-2330.7500000000009</c:v>
                </c:pt>
                <c:pt idx="232">
                  <c:v>-2330.7500000000009</c:v>
                </c:pt>
                <c:pt idx="233">
                  <c:v>-2330.7500000000009</c:v>
                </c:pt>
                <c:pt idx="234">
                  <c:v>-2330.7500000000009</c:v>
                </c:pt>
                <c:pt idx="235">
                  <c:v>-2330.7500000000009</c:v>
                </c:pt>
                <c:pt idx="236">
                  <c:v>-2330.7500000000009</c:v>
                </c:pt>
                <c:pt idx="237">
                  <c:v>-2330.7500000000009</c:v>
                </c:pt>
                <c:pt idx="238">
                  <c:v>-2330.7500000000009</c:v>
                </c:pt>
                <c:pt idx="239">
                  <c:v>-2330.7500000000009</c:v>
                </c:pt>
                <c:pt idx="240">
                  <c:v>-2330.7500000000009</c:v>
                </c:pt>
                <c:pt idx="241">
                  <c:v>-2330.7500000000009</c:v>
                </c:pt>
                <c:pt idx="242">
                  <c:v>-2330.7500000000009</c:v>
                </c:pt>
                <c:pt idx="243">
                  <c:v>-2330.7500000000009</c:v>
                </c:pt>
                <c:pt idx="244">
                  <c:v>-2330.7500000000009</c:v>
                </c:pt>
                <c:pt idx="245">
                  <c:v>-2330.7500000000009</c:v>
                </c:pt>
                <c:pt idx="246">
                  <c:v>-2330.7500000000009</c:v>
                </c:pt>
                <c:pt idx="247">
                  <c:v>-2330.7500000000009</c:v>
                </c:pt>
                <c:pt idx="248">
                  <c:v>-2330.7500000000009</c:v>
                </c:pt>
                <c:pt idx="249">
                  <c:v>-2330.7500000000009</c:v>
                </c:pt>
                <c:pt idx="250">
                  <c:v>-2314.650000000001</c:v>
                </c:pt>
                <c:pt idx="251">
                  <c:v>-2314.650000000001</c:v>
                </c:pt>
                <c:pt idx="252">
                  <c:v>-2314.650000000001</c:v>
                </c:pt>
                <c:pt idx="253">
                  <c:v>-2298.5500000000011</c:v>
                </c:pt>
                <c:pt idx="254">
                  <c:v>-2298.5500000000011</c:v>
                </c:pt>
                <c:pt idx="255">
                  <c:v>-2298.5500000000011</c:v>
                </c:pt>
                <c:pt idx="256">
                  <c:v>-2298.5500000000011</c:v>
                </c:pt>
                <c:pt idx="257">
                  <c:v>-2298.5500000000011</c:v>
                </c:pt>
                <c:pt idx="258">
                  <c:v>-2282.4500000000012</c:v>
                </c:pt>
                <c:pt idx="259">
                  <c:v>-2282.4500000000012</c:v>
                </c:pt>
                <c:pt idx="260">
                  <c:v>-2282.4500000000012</c:v>
                </c:pt>
                <c:pt idx="261">
                  <c:v>-2282.4500000000012</c:v>
                </c:pt>
                <c:pt idx="262">
                  <c:v>-2282.4500000000012</c:v>
                </c:pt>
                <c:pt idx="263">
                  <c:v>-2282.4500000000012</c:v>
                </c:pt>
                <c:pt idx="264">
                  <c:v>-2282.4500000000012</c:v>
                </c:pt>
                <c:pt idx="265">
                  <c:v>-2282.4500000000012</c:v>
                </c:pt>
                <c:pt idx="266">
                  <c:v>-2282.4500000000012</c:v>
                </c:pt>
                <c:pt idx="267">
                  <c:v>-2282.4500000000012</c:v>
                </c:pt>
                <c:pt idx="268">
                  <c:v>-2282.4500000000012</c:v>
                </c:pt>
                <c:pt idx="269">
                  <c:v>-2282.4500000000012</c:v>
                </c:pt>
                <c:pt idx="270">
                  <c:v>-2282.4500000000012</c:v>
                </c:pt>
                <c:pt idx="271">
                  <c:v>-2282.4500000000012</c:v>
                </c:pt>
                <c:pt idx="272">
                  <c:v>-2282.4500000000012</c:v>
                </c:pt>
                <c:pt idx="273">
                  <c:v>-2282.4500000000012</c:v>
                </c:pt>
                <c:pt idx="274">
                  <c:v>-2282.4500000000012</c:v>
                </c:pt>
                <c:pt idx="275">
                  <c:v>-2282.4500000000012</c:v>
                </c:pt>
                <c:pt idx="276">
                  <c:v>-2282.4500000000012</c:v>
                </c:pt>
                <c:pt idx="277">
                  <c:v>-2282.4500000000012</c:v>
                </c:pt>
                <c:pt idx="278">
                  <c:v>-2282.4500000000012</c:v>
                </c:pt>
                <c:pt idx="279">
                  <c:v>-2282.4500000000012</c:v>
                </c:pt>
                <c:pt idx="280">
                  <c:v>-2282.4500000000012</c:v>
                </c:pt>
                <c:pt idx="281">
                  <c:v>-2282.4500000000012</c:v>
                </c:pt>
                <c:pt idx="282">
                  <c:v>-2282.4500000000012</c:v>
                </c:pt>
                <c:pt idx="283">
                  <c:v>-2282.4500000000012</c:v>
                </c:pt>
                <c:pt idx="284">
                  <c:v>-2282.4500000000012</c:v>
                </c:pt>
                <c:pt idx="285">
                  <c:v>-2282.4500000000012</c:v>
                </c:pt>
                <c:pt idx="286">
                  <c:v>-2282.4500000000012</c:v>
                </c:pt>
                <c:pt idx="287">
                  <c:v>-2282.4500000000012</c:v>
                </c:pt>
                <c:pt idx="288">
                  <c:v>-2282.4500000000012</c:v>
                </c:pt>
                <c:pt idx="289">
                  <c:v>-2282.4500000000012</c:v>
                </c:pt>
                <c:pt idx="290">
                  <c:v>-2282.4500000000012</c:v>
                </c:pt>
                <c:pt idx="291">
                  <c:v>-2282.4500000000012</c:v>
                </c:pt>
                <c:pt idx="292">
                  <c:v>-2282.4500000000012</c:v>
                </c:pt>
                <c:pt idx="293">
                  <c:v>-2282.4500000000012</c:v>
                </c:pt>
                <c:pt idx="294">
                  <c:v>-2282.4500000000012</c:v>
                </c:pt>
                <c:pt idx="295">
                  <c:v>-2282.4500000000012</c:v>
                </c:pt>
                <c:pt idx="296">
                  <c:v>-2282.4500000000012</c:v>
                </c:pt>
                <c:pt idx="297">
                  <c:v>-2282.4500000000012</c:v>
                </c:pt>
                <c:pt idx="298">
                  <c:v>-2282.4500000000012</c:v>
                </c:pt>
                <c:pt idx="299">
                  <c:v>-2282.4500000000012</c:v>
                </c:pt>
                <c:pt idx="300">
                  <c:v>-2282.4500000000012</c:v>
                </c:pt>
                <c:pt idx="301">
                  <c:v>-2282.4500000000012</c:v>
                </c:pt>
                <c:pt idx="302">
                  <c:v>-2282.4500000000012</c:v>
                </c:pt>
                <c:pt idx="303">
                  <c:v>-2282.4500000000012</c:v>
                </c:pt>
                <c:pt idx="304">
                  <c:v>-2282.4500000000012</c:v>
                </c:pt>
                <c:pt idx="305">
                  <c:v>-2282.4500000000012</c:v>
                </c:pt>
                <c:pt idx="306">
                  <c:v>-2282.4500000000012</c:v>
                </c:pt>
                <c:pt idx="307">
                  <c:v>-2282.4500000000012</c:v>
                </c:pt>
                <c:pt idx="308">
                  <c:v>-2282.4500000000012</c:v>
                </c:pt>
                <c:pt idx="309">
                  <c:v>-2282.4500000000012</c:v>
                </c:pt>
                <c:pt idx="310">
                  <c:v>-2282.4500000000012</c:v>
                </c:pt>
                <c:pt idx="311">
                  <c:v>-2282.4500000000012</c:v>
                </c:pt>
                <c:pt idx="312">
                  <c:v>-2282.4500000000012</c:v>
                </c:pt>
                <c:pt idx="313">
                  <c:v>-2282.4500000000012</c:v>
                </c:pt>
                <c:pt idx="314">
                  <c:v>-2282.4500000000012</c:v>
                </c:pt>
                <c:pt idx="315">
                  <c:v>-2282.4500000000012</c:v>
                </c:pt>
                <c:pt idx="316">
                  <c:v>-2282.4500000000012</c:v>
                </c:pt>
                <c:pt idx="317">
                  <c:v>-2282.4500000000012</c:v>
                </c:pt>
                <c:pt idx="318">
                  <c:v>-2282.4500000000012</c:v>
                </c:pt>
                <c:pt idx="319">
                  <c:v>-2282.4500000000012</c:v>
                </c:pt>
                <c:pt idx="320">
                  <c:v>-2282.4500000000012</c:v>
                </c:pt>
                <c:pt idx="321">
                  <c:v>-2282.4500000000012</c:v>
                </c:pt>
                <c:pt idx="322">
                  <c:v>-2120.4500000000012</c:v>
                </c:pt>
                <c:pt idx="323">
                  <c:v>-2007.0500000000013</c:v>
                </c:pt>
                <c:pt idx="324">
                  <c:v>-2007.0500000000013</c:v>
                </c:pt>
                <c:pt idx="325">
                  <c:v>-2007.0500000000013</c:v>
                </c:pt>
                <c:pt idx="326">
                  <c:v>-1893.6500000000012</c:v>
                </c:pt>
                <c:pt idx="327">
                  <c:v>-1893.6500000000012</c:v>
                </c:pt>
                <c:pt idx="328">
                  <c:v>-1893.6500000000012</c:v>
                </c:pt>
                <c:pt idx="329">
                  <c:v>-1893.6500000000012</c:v>
                </c:pt>
                <c:pt idx="330">
                  <c:v>-1893.6500000000012</c:v>
                </c:pt>
                <c:pt idx="331">
                  <c:v>-1893.6500000000012</c:v>
                </c:pt>
                <c:pt idx="332">
                  <c:v>-1893.6500000000012</c:v>
                </c:pt>
                <c:pt idx="333">
                  <c:v>-1893.6500000000012</c:v>
                </c:pt>
                <c:pt idx="334">
                  <c:v>-1893.6500000000012</c:v>
                </c:pt>
                <c:pt idx="335">
                  <c:v>-1893.6500000000012</c:v>
                </c:pt>
                <c:pt idx="336">
                  <c:v>-1749.650000000001</c:v>
                </c:pt>
                <c:pt idx="337">
                  <c:v>-1749.650000000001</c:v>
                </c:pt>
                <c:pt idx="338">
                  <c:v>-1749.650000000001</c:v>
                </c:pt>
                <c:pt idx="339">
                  <c:v>-1749.650000000001</c:v>
                </c:pt>
                <c:pt idx="340">
                  <c:v>-1525.650000000001</c:v>
                </c:pt>
                <c:pt idx="341">
                  <c:v>-1525.650000000001</c:v>
                </c:pt>
                <c:pt idx="342">
                  <c:v>-1525.650000000001</c:v>
                </c:pt>
                <c:pt idx="343">
                  <c:v>-1525.650000000001</c:v>
                </c:pt>
                <c:pt idx="344">
                  <c:v>-1525.650000000001</c:v>
                </c:pt>
                <c:pt idx="345">
                  <c:v>-1525.650000000001</c:v>
                </c:pt>
                <c:pt idx="346">
                  <c:v>-1525.650000000001</c:v>
                </c:pt>
                <c:pt idx="347">
                  <c:v>-1525.650000000001</c:v>
                </c:pt>
                <c:pt idx="348">
                  <c:v>-1525.650000000001</c:v>
                </c:pt>
                <c:pt idx="349">
                  <c:v>-1525.650000000001</c:v>
                </c:pt>
                <c:pt idx="350">
                  <c:v>-1525.650000000001</c:v>
                </c:pt>
                <c:pt idx="351">
                  <c:v>-1525.650000000001</c:v>
                </c:pt>
                <c:pt idx="352">
                  <c:v>-1525.650000000001</c:v>
                </c:pt>
                <c:pt idx="353">
                  <c:v>-1525.650000000001</c:v>
                </c:pt>
                <c:pt idx="354">
                  <c:v>-1301.650000000001</c:v>
                </c:pt>
                <c:pt idx="355">
                  <c:v>-1301.650000000001</c:v>
                </c:pt>
                <c:pt idx="356">
                  <c:v>-1301.650000000001</c:v>
                </c:pt>
                <c:pt idx="357">
                  <c:v>-1301.650000000001</c:v>
                </c:pt>
                <c:pt idx="358">
                  <c:v>-1301.650000000001</c:v>
                </c:pt>
                <c:pt idx="359">
                  <c:v>-1221.650000000001</c:v>
                </c:pt>
                <c:pt idx="360">
                  <c:v>-1221.650000000001</c:v>
                </c:pt>
                <c:pt idx="361">
                  <c:v>-1221.650000000001</c:v>
                </c:pt>
                <c:pt idx="362">
                  <c:v>-1221.650000000001</c:v>
                </c:pt>
                <c:pt idx="363">
                  <c:v>-1221.650000000001</c:v>
                </c:pt>
                <c:pt idx="364">
                  <c:v>-1221.650000000001</c:v>
                </c:pt>
                <c:pt idx="365">
                  <c:v>-1445.650000000001</c:v>
                </c:pt>
                <c:pt idx="366">
                  <c:v>-1445.650000000001</c:v>
                </c:pt>
                <c:pt idx="367">
                  <c:v>-1445.650000000001</c:v>
                </c:pt>
                <c:pt idx="368">
                  <c:v>-1445.650000000001</c:v>
                </c:pt>
                <c:pt idx="369">
                  <c:v>-1445.650000000001</c:v>
                </c:pt>
                <c:pt idx="370">
                  <c:v>-1157.650000000001</c:v>
                </c:pt>
                <c:pt idx="371">
                  <c:v>-1157.650000000001</c:v>
                </c:pt>
                <c:pt idx="372">
                  <c:v>-901.65000000000111</c:v>
                </c:pt>
                <c:pt idx="373">
                  <c:v>-965.65000000000123</c:v>
                </c:pt>
                <c:pt idx="374">
                  <c:v>-965.65000000000123</c:v>
                </c:pt>
                <c:pt idx="375">
                  <c:v>-965.65000000000123</c:v>
                </c:pt>
                <c:pt idx="376">
                  <c:v>-965.65000000000123</c:v>
                </c:pt>
                <c:pt idx="377">
                  <c:v>-965.65000000000123</c:v>
                </c:pt>
                <c:pt idx="378">
                  <c:v>-965.65000000000123</c:v>
                </c:pt>
                <c:pt idx="379">
                  <c:v>-965.65000000000123</c:v>
                </c:pt>
                <c:pt idx="380">
                  <c:v>-965.65000000000123</c:v>
                </c:pt>
                <c:pt idx="381">
                  <c:v>-965.65000000000123</c:v>
                </c:pt>
                <c:pt idx="382">
                  <c:v>-1637.6500000000015</c:v>
                </c:pt>
                <c:pt idx="383">
                  <c:v>-1637.6500000000015</c:v>
                </c:pt>
                <c:pt idx="384">
                  <c:v>-1637.6500000000015</c:v>
                </c:pt>
                <c:pt idx="385">
                  <c:v>-1637.6500000000015</c:v>
                </c:pt>
                <c:pt idx="386">
                  <c:v>-1637.6500000000015</c:v>
                </c:pt>
                <c:pt idx="387">
                  <c:v>-1637.6500000000015</c:v>
                </c:pt>
                <c:pt idx="388">
                  <c:v>-1637.6500000000015</c:v>
                </c:pt>
                <c:pt idx="389">
                  <c:v>-1637.6500000000015</c:v>
                </c:pt>
                <c:pt idx="390">
                  <c:v>-1637.6500000000015</c:v>
                </c:pt>
                <c:pt idx="391">
                  <c:v>-1637.6500000000015</c:v>
                </c:pt>
                <c:pt idx="392">
                  <c:v>-1637.6500000000015</c:v>
                </c:pt>
                <c:pt idx="393">
                  <c:v>-1637.6500000000015</c:v>
                </c:pt>
                <c:pt idx="394">
                  <c:v>-1637.6500000000015</c:v>
                </c:pt>
                <c:pt idx="395">
                  <c:v>-1637.6500000000015</c:v>
                </c:pt>
                <c:pt idx="396">
                  <c:v>-1637.6500000000015</c:v>
                </c:pt>
                <c:pt idx="397">
                  <c:v>-1637.6500000000015</c:v>
                </c:pt>
                <c:pt idx="398">
                  <c:v>-1637.6500000000015</c:v>
                </c:pt>
                <c:pt idx="399">
                  <c:v>-1637.6500000000015</c:v>
                </c:pt>
                <c:pt idx="400">
                  <c:v>-1637.6500000000015</c:v>
                </c:pt>
                <c:pt idx="401">
                  <c:v>-1637.6500000000015</c:v>
                </c:pt>
                <c:pt idx="402">
                  <c:v>-1637.6500000000015</c:v>
                </c:pt>
                <c:pt idx="403">
                  <c:v>-1637.6500000000015</c:v>
                </c:pt>
                <c:pt idx="404">
                  <c:v>-1637.6500000000015</c:v>
                </c:pt>
                <c:pt idx="405">
                  <c:v>-1637.6500000000015</c:v>
                </c:pt>
                <c:pt idx="406">
                  <c:v>-1637.6500000000015</c:v>
                </c:pt>
                <c:pt idx="407">
                  <c:v>-1637.6500000000015</c:v>
                </c:pt>
                <c:pt idx="408">
                  <c:v>-1637.6500000000015</c:v>
                </c:pt>
                <c:pt idx="409">
                  <c:v>-1637.6500000000015</c:v>
                </c:pt>
                <c:pt idx="410">
                  <c:v>-1637.6500000000015</c:v>
                </c:pt>
                <c:pt idx="411">
                  <c:v>-1637.6500000000015</c:v>
                </c:pt>
                <c:pt idx="412">
                  <c:v>-1637.6500000000015</c:v>
                </c:pt>
                <c:pt idx="413">
                  <c:v>-1637.6500000000015</c:v>
                </c:pt>
                <c:pt idx="414">
                  <c:v>-1637.6500000000015</c:v>
                </c:pt>
                <c:pt idx="415">
                  <c:v>-1637.6500000000015</c:v>
                </c:pt>
                <c:pt idx="416">
                  <c:v>-1637.6500000000015</c:v>
                </c:pt>
                <c:pt idx="417">
                  <c:v>-1637.6500000000015</c:v>
                </c:pt>
                <c:pt idx="418">
                  <c:v>-1637.6500000000015</c:v>
                </c:pt>
                <c:pt idx="419">
                  <c:v>-1637.6500000000015</c:v>
                </c:pt>
                <c:pt idx="420">
                  <c:v>-1637.6500000000015</c:v>
                </c:pt>
                <c:pt idx="421">
                  <c:v>-1637.6500000000015</c:v>
                </c:pt>
                <c:pt idx="422">
                  <c:v>-949.65000000000146</c:v>
                </c:pt>
                <c:pt idx="423">
                  <c:v>-789.65000000000146</c:v>
                </c:pt>
                <c:pt idx="424">
                  <c:v>-789.65000000000146</c:v>
                </c:pt>
                <c:pt idx="425">
                  <c:v>-789.65000000000146</c:v>
                </c:pt>
                <c:pt idx="426">
                  <c:v>-789.65000000000146</c:v>
                </c:pt>
                <c:pt idx="427">
                  <c:v>-277.65000000000146</c:v>
                </c:pt>
                <c:pt idx="428">
                  <c:v>42.349999999998829</c:v>
                </c:pt>
                <c:pt idx="429">
                  <c:v>42.349999999998829</c:v>
                </c:pt>
                <c:pt idx="430">
                  <c:v>282.34999999999889</c:v>
                </c:pt>
                <c:pt idx="431">
                  <c:v>394.349999999999</c:v>
                </c:pt>
                <c:pt idx="432">
                  <c:v>554.349999999999</c:v>
                </c:pt>
                <c:pt idx="433">
                  <c:v>554.349999999999</c:v>
                </c:pt>
                <c:pt idx="434">
                  <c:v>554.349999999999</c:v>
                </c:pt>
                <c:pt idx="435">
                  <c:v>554.349999999999</c:v>
                </c:pt>
                <c:pt idx="436">
                  <c:v>554.349999999999</c:v>
                </c:pt>
                <c:pt idx="437">
                  <c:v>554.349999999999</c:v>
                </c:pt>
                <c:pt idx="438">
                  <c:v>554.349999999999</c:v>
                </c:pt>
                <c:pt idx="439">
                  <c:v>554.349999999999</c:v>
                </c:pt>
                <c:pt idx="440">
                  <c:v>554.349999999999</c:v>
                </c:pt>
                <c:pt idx="441">
                  <c:v>554.349999999999</c:v>
                </c:pt>
                <c:pt idx="442">
                  <c:v>554.349999999999</c:v>
                </c:pt>
                <c:pt idx="443">
                  <c:v>554.349999999999</c:v>
                </c:pt>
                <c:pt idx="444">
                  <c:v>554.349999999999</c:v>
                </c:pt>
                <c:pt idx="445">
                  <c:v>554.349999999999</c:v>
                </c:pt>
                <c:pt idx="446">
                  <c:v>554.349999999999</c:v>
                </c:pt>
                <c:pt idx="447">
                  <c:v>554.349999999999</c:v>
                </c:pt>
                <c:pt idx="448">
                  <c:v>554.349999999999</c:v>
                </c:pt>
                <c:pt idx="449">
                  <c:v>554.349999999999</c:v>
                </c:pt>
                <c:pt idx="450">
                  <c:v>554.349999999999</c:v>
                </c:pt>
                <c:pt idx="451">
                  <c:v>554.349999999999</c:v>
                </c:pt>
                <c:pt idx="452">
                  <c:v>442.34999999999906</c:v>
                </c:pt>
                <c:pt idx="453">
                  <c:v>442.34999999999906</c:v>
                </c:pt>
                <c:pt idx="454">
                  <c:v>442.34999999999906</c:v>
                </c:pt>
                <c:pt idx="455">
                  <c:v>442.34999999999906</c:v>
                </c:pt>
                <c:pt idx="456">
                  <c:v>442.34999999999906</c:v>
                </c:pt>
                <c:pt idx="457">
                  <c:v>602.34999999999877</c:v>
                </c:pt>
                <c:pt idx="458">
                  <c:v>698.34999999999854</c:v>
                </c:pt>
                <c:pt idx="459">
                  <c:v>1551.6833333333318</c:v>
                </c:pt>
                <c:pt idx="460">
                  <c:v>1551.6833333333318</c:v>
                </c:pt>
                <c:pt idx="461">
                  <c:v>1551.6833333333318</c:v>
                </c:pt>
                <c:pt idx="462">
                  <c:v>1551.6833333333318</c:v>
                </c:pt>
                <c:pt idx="463">
                  <c:v>1551.6833333333318</c:v>
                </c:pt>
                <c:pt idx="464">
                  <c:v>1551.6833333333318</c:v>
                </c:pt>
                <c:pt idx="465">
                  <c:v>1551.6833333333318</c:v>
                </c:pt>
                <c:pt idx="466">
                  <c:v>1711.6833333333318</c:v>
                </c:pt>
                <c:pt idx="467">
                  <c:v>1711.6833333333318</c:v>
                </c:pt>
                <c:pt idx="468">
                  <c:v>1711.6833333333318</c:v>
                </c:pt>
                <c:pt idx="469">
                  <c:v>1711.6833333333318</c:v>
                </c:pt>
                <c:pt idx="470">
                  <c:v>1711.6833333333318</c:v>
                </c:pt>
                <c:pt idx="471">
                  <c:v>1711.6833333333318</c:v>
                </c:pt>
                <c:pt idx="472">
                  <c:v>2031.6833333333318</c:v>
                </c:pt>
                <c:pt idx="473">
                  <c:v>2271.6833333333316</c:v>
                </c:pt>
                <c:pt idx="474">
                  <c:v>2271.6833333333316</c:v>
                </c:pt>
                <c:pt idx="475">
                  <c:v>2271.6833333333316</c:v>
                </c:pt>
                <c:pt idx="476">
                  <c:v>2271.6833333333316</c:v>
                </c:pt>
                <c:pt idx="477">
                  <c:v>2271.6833333333316</c:v>
                </c:pt>
                <c:pt idx="478">
                  <c:v>2319.6833333333316</c:v>
                </c:pt>
                <c:pt idx="479">
                  <c:v>2319.6833333333316</c:v>
                </c:pt>
                <c:pt idx="480">
                  <c:v>2319.6833333333316</c:v>
                </c:pt>
                <c:pt idx="481">
                  <c:v>2319.6833333333316</c:v>
                </c:pt>
                <c:pt idx="482">
                  <c:v>2319.6833333333316</c:v>
                </c:pt>
                <c:pt idx="483">
                  <c:v>2319.6833333333316</c:v>
                </c:pt>
                <c:pt idx="484">
                  <c:v>2319.6833333333316</c:v>
                </c:pt>
                <c:pt idx="485">
                  <c:v>2319.6833333333316</c:v>
                </c:pt>
                <c:pt idx="486">
                  <c:v>2399.6833333333316</c:v>
                </c:pt>
                <c:pt idx="487">
                  <c:v>2399.6833333333316</c:v>
                </c:pt>
                <c:pt idx="488">
                  <c:v>2399.6833333333316</c:v>
                </c:pt>
                <c:pt idx="489">
                  <c:v>2399.6833333333316</c:v>
                </c:pt>
                <c:pt idx="490">
                  <c:v>2319.6833333333316</c:v>
                </c:pt>
                <c:pt idx="491">
                  <c:v>2399.6833333333316</c:v>
                </c:pt>
                <c:pt idx="492">
                  <c:v>2399.6833333333316</c:v>
                </c:pt>
                <c:pt idx="493">
                  <c:v>2399.6833333333316</c:v>
                </c:pt>
                <c:pt idx="494">
                  <c:v>2399.6833333333316</c:v>
                </c:pt>
                <c:pt idx="495">
                  <c:v>2399.6833333333316</c:v>
                </c:pt>
                <c:pt idx="496">
                  <c:v>2399.6833333333316</c:v>
                </c:pt>
                <c:pt idx="497">
                  <c:v>2399.6833333333316</c:v>
                </c:pt>
                <c:pt idx="498">
                  <c:v>2399.6833333333316</c:v>
                </c:pt>
                <c:pt idx="499">
                  <c:v>2399.6833333333316</c:v>
                </c:pt>
                <c:pt idx="500">
                  <c:v>2399.6833333333316</c:v>
                </c:pt>
                <c:pt idx="501">
                  <c:v>2399.6833333333316</c:v>
                </c:pt>
                <c:pt idx="502">
                  <c:v>2559.6833333333316</c:v>
                </c:pt>
                <c:pt idx="503">
                  <c:v>2703.6833333333316</c:v>
                </c:pt>
                <c:pt idx="504">
                  <c:v>2703.6833333333316</c:v>
                </c:pt>
                <c:pt idx="505">
                  <c:v>2703.6833333333316</c:v>
                </c:pt>
                <c:pt idx="506">
                  <c:v>2703.6833333333316</c:v>
                </c:pt>
                <c:pt idx="507">
                  <c:v>2703.6833333333316</c:v>
                </c:pt>
                <c:pt idx="508">
                  <c:v>2767.6833333333316</c:v>
                </c:pt>
                <c:pt idx="509">
                  <c:v>2767.6833333333316</c:v>
                </c:pt>
                <c:pt idx="510">
                  <c:v>2767.6833333333316</c:v>
                </c:pt>
                <c:pt idx="511">
                  <c:v>2767.6833333333316</c:v>
                </c:pt>
                <c:pt idx="512">
                  <c:v>2767.6833333333316</c:v>
                </c:pt>
                <c:pt idx="513">
                  <c:v>2767.6833333333316</c:v>
                </c:pt>
                <c:pt idx="514">
                  <c:v>2767.6833333333316</c:v>
                </c:pt>
                <c:pt idx="515">
                  <c:v>2767.6833333333316</c:v>
                </c:pt>
                <c:pt idx="516">
                  <c:v>2767.6833333333316</c:v>
                </c:pt>
                <c:pt idx="517">
                  <c:v>2767.6833333333316</c:v>
                </c:pt>
                <c:pt idx="518">
                  <c:v>2767.6833333333316</c:v>
                </c:pt>
                <c:pt idx="519">
                  <c:v>2767.6833333333316</c:v>
                </c:pt>
                <c:pt idx="520">
                  <c:v>2767.6833333333316</c:v>
                </c:pt>
                <c:pt idx="521">
                  <c:v>2767.6833333333316</c:v>
                </c:pt>
                <c:pt idx="522">
                  <c:v>2767.6833333333316</c:v>
                </c:pt>
                <c:pt idx="523">
                  <c:v>2767.6833333333316</c:v>
                </c:pt>
                <c:pt idx="524">
                  <c:v>2815.6833333333316</c:v>
                </c:pt>
                <c:pt idx="525">
                  <c:v>2815.6833333333316</c:v>
                </c:pt>
                <c:pt idx="526">
                  <c:v>2815.6833333333316</c:v>
                </c:pt>
                <c:pt idx="527">
                  <c:v>2815.6833333333316</c:v>
                </c:pt>
                <c:pt idx="528">
                  <c:v>2815.6833333333316</c:v>
                </c:pt>
                <c:pt idx="529">
                  <c:v>2815.6833333333316</c:v>
                </c:pt>
                <c:pt idx="530">
                  <c:v>2735.6833333333316</c:v>
                </c:pt>
                <c:pt idx="531">
                  <c:v>2735.6833333333316</c:v>
                </c:pt>
                <c:pt idx="532">
                  <c:v>2735.6833333333316</c:v>
                </c:pt>
                <c:pt idx="533">
                  <c:v>2735.6833333333316</c:v>
                </c:pt>
                <c:pt idx="534">
                  <c:v>2735.6833333333316</c:v>
                </c:pt>
                <c:pt idx="535">
                  <c:v>2735.6833333333316</c:v>
                </c:pt>
                <c:pt idx="536">
                  <c:v>2735.6833333333316</c:v>
                </c:pt>
                <c:pt idx="537">
                  <c:v>2735.6833333333316</c:v>
                </c:pt>
                <c:pt idx="538">
                  <c:v>2735.6833333333316</c:v>
                </c:pt>
                <c:pt idx="539">
                  <c:v>2735.6833333333316</c:v>
                </c:pt>
                <c:pt idx="540">
                  <c:v>2735.6833333333316</c:v>
                </c:pt>
                <c:pt idx="541">
                  <c:v>2735.6833333333316</c:v>
                </c:pt>
                <c:pt idx="542">
                  <c:v>2735.6833333333316</c:v>
                </c:pt>
                <c:pt idx="543">
                  <c:v>2735.6833333333316</c:v>
                </c:pt>
                <c:pt idx="544">
                  <c:v>2735.6833333333316</c:v>
                </c:pt>
                <c:pt idx="545">
                  <c:v>2735.6833333333316</c:v>
                </c:pt>
                <c:pt idx="546">
                  <c:v>2735.6833333333316</c:v>
                </c:pt>
                <c:pt idx="547">
                  <c:v>2735.6833333333316</c:v>
                </c:pt>
                <c:pt idx="548">
                  <c:v>2735.6833333333316</c:v>
                </c:pt>
                <c:pt idx="549">
                  <c:v>2735.6833333333316</c:v>
                </c:pt>
                <c:pt idx="550">
                  <c:v>2735.6833333333316</c:v>
                </c:pt>
                <c:pt idx="551">
                  <c:v>2735.6833333333316</c:v>
                </c:pt>
                <c:pt idx="552">
                  <c:v>2735.6833333333316</c:v>
                </c:pt>
                <c:pt idx="553">
                  <c:v>2783.6833333333316</c:v>
                </c:pt>
                <c:pt idx="554">
                  <c:v>2783.6833333333316</c:v>
                </c:pt>
                <c:pt idx="555">
                  <c:v>2783.6833333333316</c:v>
                </c:pt>
                <c:pt idx="556">
                  <c:v>2783.6833333333316</c:v>
                </c:pt>
                <c:pt idx="557">
                  <c:v>2783.6833333333316</c:v>
                </c:pt>
                <c:pt idx="558">
                  <c:v>2783.6833333333316</c:v>
                </c:pt>
                <c:pt idx="559">
                  <c:v>2783.6833333333316</c:v>
                </c:pt>
                <c:pt idx="560">
                  <c:v>2783.6833333333316</c:v>
                </c:pt>
                <c:pt idx="561">
                  <c:v>3103.6833333333316</c:v>
                </c:pt>
                <c:pt idx="562">
                  <c:v>3103.6833333333316</c:v>
                </c:pt>
                <c:pt idx="563">
                  <c:v>3103.6833333333316</c:v>
                </c:pt>
                <c:pt idx="564">
                  <c:v>4447.6833333333316</c:v>
                </c:pt>
                <c:pt idx="565">
                  <c:v>5119.6833333333316</c:v>
                </c:pt>
                <c:pt idx="566">
                  <c:v>5119.6833333333316</c:v>
                </c:pt>
                <c:pt idx="567">
                  <c:v>5119.6833333333316</c:v>
                </c:pt>
                <c:pt idx="568">
                  <c:v>5119.6833333333316</c:v>
                </c:pt>
                <c:pt idx="569">
                  <c:v>5119.6833333333316</c:v>
                </c:pt>
                <c:pt idx="570">
                  <c:v>5119.6833333333316</c:v>
                </c:pt>
                <c:pt idx="571">
                  <c:v>5119.6833333333316</c:v>
                </c:pt>
                <c:pt idx="572">
                  <c:v>5119.6833333333316</c:v>
                </c:pt>
                <c:pt idx="573">
                  <c:v>5119.6833333333316</c:v>
                </c:pt>
                <c:pt idx="574">
                  <c:v>5119.6833333333316</c:v>
                </c:pt>
                <c:pt idx="575">
                  <c:v>5119.6833333333316</c:v>
                </c:pt>
                <c:pt idx="576">
                  <c:v>5119.6833333333316</c:v>
                </c:pt>
                <c:pt idx="577">
                  <c:v>5119.6833333333316</c:v>
                </c:pt>
                <c:pt idx="578">
                  <c:v>5119.6833333333316</c:v>
                </c:pt>
                <c:pt idx="579">
                  <c:v>5119.6833333333316</c:v>
                </c:pt>
                <c:pt idx="580">
                  <c:v>5119.6833333333316</c:v>
                </c:pt>
                <c:pt idx="581">
                  <c:v>5119.6833333333316</c:v>
                </c:pt>
                <c:pt idx="582">
                  <c:v>5119.6833333333316</c:v>
                </c:pt>
                <c:pt idx="583">
                  <c:v>5119.6833333333316</c:v>
                </c:pt>
                <c:pt idx="584">
                  <c:v>5119.6833333333316</c:v>
                </c:pt>
                <c:pt idx="585">
                  <c:v>5119.6833333333316</c:v>
                </c:pt>
                <c:pt idx="586">
                  <c:v>5119.6833333333316</c:v>
                </c:pt>
                <c:pt idx="587">
                  <c:v>5119.6833333333316</c:v>
                </c:pt>
                <c:pt idx="588">
                  <c:v>5119.6833333333316</c:v>
                </c:pt>
                <c:pt idx="589">
                  <c:v>5119.6833333333316</c:v>
                </c:pt>
                <c:pt idx="590">
                  <c:v>5119.6833333333316</c:v>
                </c:pt>
                <c:pt idx="591">
                  <c:v>5119.6833333333316</c:v>
                </c:pt>
                <c:pt idx="592">
                  <c:v>5119.6833333333316</c:v>
                </c:pt>
                <c:pt idx="593">
                  <c:v>5119.6833333333316</c:v>
                </c:pt>
                <c:pt idx="594">
                  <c:v>5439.6833333333316</c:v>
                </c:pt>
                <c:pt idx="595">
                  <c:v>5519.6833333333316</c:v>
                </c:pt>
                <c:pt idx="596">
                  <c:v>5519.6833333333316</c:v>
                </c:pt>
                <c:pt idx="597">
                  <c:v>5519.6833333333316</c:v>
                </c:pt>
                <c:pt idx="598">
                  <c:v>5519.6833333333316</c:v>
                </c:pt>
                <c:pt idx="599">
                  <c:v>5519.6833333333316</c:v>
                </c:pt>
                <c:pt idx="600">
                  <c:v>6399.6833333333316</c:v>
                </c:pt>
                <c:pt idx="601">
                  <c:v>6495.6833333333316</c:v>
                </c:pt>
                <c:pt idx="602">
                  <c:v>6591.6833333333316</c:v>
                </c:pt>
                <c:pt idx="603">
                  <c:v>6591.6833333333316</c:v>
                </c:pt>
                <c:pt idx="604">
                  <c:v>6591.6833333333316</c:v>
                </c:pt>
                <c:pt idx="605">
                  <c:v>6591.6833333333316</c:v>
                </c:pt>
                <c:pt idx="606">
                  <c:v>6591.6833333333316</c:v>
                </c:pt>
                <c:pt idx="607">
                  <c:v>6591.6833333333316</c:v>
                </c:pt>
                <c:pt idx="608">
                  <c:v>6591.6833333333316</c:v>
                </c:pt>
                <c:pt idx="609">
                  <c:v>6591.6833333333316</c:v>
                </c:pt>
                <c:pt idx="610">
                  <c:v>6591.6833333333316</c:v>
                </c:pt>
                <c:pt idx="611">
                  <c:v>6591.6833333333316</c:v>
                </c:pt>
                <c:pt idx="612">
                  <c:v>6591.6833333333316</c:v>
                </c:pt>
                <c:pt idx="613">
                  <c:v>6591.6833333333316</c:v>
                </c:pt>
                <c:pt idx="614">
                  <c:v>6591.6833333333316</c:v>
                </c:pt>
                <c:pt idx="615">
                  <c:v>6591.6833333333316</c:v>
                </c:pt>
                <c:pt idx="616">
                  <c:v>6591.6833333333316</c:v>
                </c:pt>
                <c:pt idx="617">
                  <c:v>6543.6833333333316</c:v>
                </c:pt>
                <c:pt idx="618">
                  <c:v>6543.6833333333316</c:v>
                </c:pt>
                <c:pt idx="619">
                  <c:v>6543.6833333333316</c:v>
                </c:pt>
                <c:pt idx="620">
                  <c:v>6543.6833333333316</c:v>
                </c:pt>
                <c:pt idx="621">
                  <c:v>6543.6833333333316</c:v>
                </c:pt>
                <c:pt idx="622">
                  <c:v>6543.6833333333316</c:v>
                </c:pt>
                <c:pt idx="623">
                  <c:v>6543.6833333333316</c:v>
                </c:pt>
                <c:pt idx="624">
                  <c:v>6543.6833333333316</c:v>
                </c:pt>
                <c:pt idx="625">
                  <c:v>6543.6833333333316</c:v>
                </c:pt>
                <c:pt idx="626">
                  <c:v>6543.6833333333316</c:v>
                </c:pt>
                <c:pt idx="627">
                  <c:v>6543.6833333333316</c:v>
                </c:pt>
                <c:pt idx="628">
                  <c:v>6543.6833333333316</c:v>
                </c:pt>
                <c:pt idx="629">
                  <c:v>6527.6833333333316</c:v>
                </c:pt>
                <c:pt idx="630">
                  <c:v>6527.6833333333316</c:v>
                </c:pt>
                <c:pt idx="631">
                  <c:v>6527.6833333333316</c:v>
                </c:pt>
                <c:pt idx="632">
                  <c:v>6527.6833333333316</c:v>
                </c:pt>
                <c:pt idx="633">
                  <c:v>6527.6833333333316</c:v>
                </c:pt>
                <c:pt idx="634">
                  <c:v>6527.6833333333316</c:v>
                </c:pt>
                <c:pt idx="635">
                  <c:v>6527.6833333333316</c:v>
                </c:pt>
                <c:pt idx="636">
                  <c:v>6527.6833333333316</c:v>
                </c:pt>
                <c:pt idx="637">
                  <c:v>6527.6833333333316</c:v>
                </c:pt>
                <c:pt idx="638">
                  <c:v>6527.6833333333316</c:v>
                </c:pt>
                <c:pt idx="639">
                  <c:v>6527.6833333333316</c:v>
                </c:pt>
                <c:pt idx="640">
                  <c:v>6527.6833333333316</c:v>
                </c:pt>
                <c:pt idx="641">
                  <c:v>6527.6833333333316</c:v>
                </c:pt>
                <c:pt idx="642">
                  <c:v>6527.6833333333316</c:v>
                </c:pt>
                <c:pt idx="643">
                  <c:v>6527.6833333333316</c:v>
                </c:pt>
                <c:pt idx="644">
                  <c:v>6527.6833333333316</c:v>
                </c:pt>
                <c:pt idx="645">
                  <c:v>6527.6833333333316</c:v>
                </c:pt>
                <c:pt idx="646">
                  <c:v>6527.6833333333316</c:v>
                </c:pt>
                <c:pt idx="647">
                  <c:v>6527.6833333333316</c:v>
                </c:pt>
                <c:pt idx="648">
                  <c:v>6559.6833333333316</c:v>
                </c:pt>
                <c:pt idx="649">
                  <c:v>6559.6833333333316</c:v>
                </c:pt>
                <c:pt idx="650">
                  <c:v>6559.6833333333316</c:v>
                </c:pt>
                <c:pt idx="651">
                  <c:v>6559.6833333333316</c:v>
                </c:pt>
                <c:pt idx="652">
                  <c:v>6559.6833333333316</c:v>
                </c:pt>
                <c:pt idx="653">
                  <c:v>6559.6833333333316</c:v>
                </c:pt>
                <c:pt idx="654">
                  <c:v>6559.6833333333316</c:v>
                </c:pt>
                <c:pt idx="655">
                  <c:v>6511.6833333333316</c:v>
                </c:pt>
                <c:pt idx="656">
                  <c:v>6511.6833333333316</c:v>
                </c:pt>
                <c:pt idx="657">
                  <c:v>6511.6833333333316</c:v>
                </c:pt>
                <c:pt idx="658">
                  <c:v>6511.6833333333316</c:v>
                </c:pt>
                <c:pt idx="659">
                  <c:v>6511.6833333333316</c:v>
                </c:pt>
                <c:pt idx="660">
                  <c:v>6511.6833333333316</c:v>
                </c:pt>
                <c:pt idx="661">
                  <c:v>6511.6833333333316</c:v>
                </c:pt>
                <c:pt idx="662">
                  <c:v>6511.6833333333316</c:v>
                </c:pt>
                <c:pt idx="663">
                  <c:v>6511.6833333333316</c:v>
                </c:pt>
                <c:pt idx="664">
                  <c:v>6511.6833333333316</c:v>
                </c:pt>
                <c:pt idx="665">
                  <c:v>6511.6833333333316</c:v>
                </c:pt>
                <c:pt idx="666">
                  <c:v>6511.6833333333316</c:v>
                </c:pt>
                <c:pt idx="667">
                  <c:v>6511.6833333333316</c:v>
                </c:pt>
                <c:pt idx="668">
                  <c:v>6511.6833333333316</c:v>
                </c:pt>
                <c:pt idx="669">
                  <c:v>6511.6833333333316</c:v>
                </c:pt>
                <c:pt idx="670">
                  <c:v>6511.6833333333316</c:v>
                </c:pt>
                <c:pt idx="671">
                  <c:v>6511.6833333333316</c:v>
                </c:pt>
                <c:pt idx="672">
                  <c:v>7359.6833333333316</c:v>
                </c:pt>
                <c:pt idx="673">
                  <c:v>8415.6833333333325</c:v>
                </c:pt>
                <c:pt idx="674">
                  <c:v>8415.6833333333325</c:v>
                </c:pt>
                <c:pt idx="675">
                  <c:v>8415.6833333333325</c:v>
                </c:pt>
                <c:pt idx="676">
                  <c:v>8415.6833333333325</c:v>
                </c:pt>
                <c:pt idx="677">
                  <c:v>8415.6833333333325</c:v>
                </c:pt>
                <c:pt idx="678">
                  <c:v>8687.6833333333325</c:v>
                </c:pt>
                <c:pt idx="679">
                  <c:v>8687.6833333333325</c:v>
                </c:pt>
                <c:pt idx="680">
                  <c:v>8687.6833333333325</c:v>
                </c:pt>
                <c:pt idx="681">
                  <c:v>8687.6833333333325</c:v>
                </c:pt>
                <c:pt idx="682">
                  <c:v>8687.6833333333325</c:v>
                </c:pt>
                <c:pt idx="683">
                  <c:v>8687.6833333333325</c:v>
                </c:pt>
                <c:pt idx="684">
                  <c:v>8687.6833333333325</c:v>
                </c:pt>
                <c:pt idx="685">
                  <c:v>8687.6833333333325</c:v>
                </c:pt>
                <c:pt idx="686">
                  <c:v>8687.6833333333325</c:v>
                </c:pt>
                <c:pt idx="687">
                  <c:v>8687.6833333333325</c:v>
                </c:pt>
                <c:pt idx="688">
                  <c:v>8687.6833333333325</c:v>
                </c:pt>
                <c:pt idx="689">
                  <c:v>8687.6833333333325</c:v>
                </c:pt>
                <c:pt idx="690">
                  <c:v>8687.6833333333325</c:v>
                </c:pt>
                <c:pt idx="691">
                  <c:v>8767.6833333333325</c:v>
                </c:pt>
                <c:pt idx="692">
                  <c:v>8895.6833333333325</c:v>
                </c:pt>
                <c:pt idx="693">
                  <c:v>8895.6833333333325</c:v>
                </c:pt>
                <c:pt idx="694">
                  <c:v>8895.6833333333325</c:v>
                </c:pt>
                <c:pt idx="695">
                  <c:v>8895.6833333333325</c:v>
                </c:pt>
                <c:pt idx="696">
                  <c:v>8895.6833333333325</c:v>
                </c:pt>
                <c:pt idx="697">
                  <c:v>8895.6833333333325</c:v>
                </c:pt>
                <c:pt idx="698">
                  <c:v>8895.6833333333325</c:v>
                </c:pt>
                <c:pt idx="699">
                  <c:v>8895.6833333333325</c:v>
                </c:pt>
                <c:pt idx="700">
                  <c:v>8895.6833333333325</c:v>
                </c:pt>
                <c:pt idx="701">
                  <c:v>8895.6833333333325</c:v>
                </c:pt>
                <c:pt idx="702">
                  <c:v>8895.6833333333325</c:v>
                </c:pt>
                <c:pt idx="703">
                  <c:v>8895.6833333333325</c:v>
                </c:pt>
                <c:pt idx="704">
                  <c:v>8895.6833333333325</c:v>
                </c:pt>
                <c:pt idx="705">
                  <c:v>8895.6833333333325</c:v>
                </c:pt>
                <c:pt idx="706">
                  <c:v>8895.6833333333325</c:v>
                </c:pt>
                <c:pt idx="707">
                  <c:v>8895.6833333333325</c:v>
                </c:pt>
                <c:pt idx="708">
                  <c:v>8895.6833333333325</c:v>
                </c:pt>
                <c:pt idx="709">
                  <c:v>8895.6833333333325</c:v>
                </c:pt>
                <c:pt idx="710">
                  <c:v>8895.6833333333325</c:v>
                </c:pt>
                <c:pt idx="711">
                  <c:v>8895.6833333333325</c:v>
                </c:pt>
                <c:pt idx="712">
                  <c:v>8895.6833333333325</c:v>
                </c:pt>
                <c:pt idx="713">
                  <c:v>8895.6833333333325</c:v>
                </c:pt>
                <c:pt idx="714">
                  <c:v>8895.6833333333325</c:v>
                </c:pt>
                <c:pt idx="715">
                  <c:v>8895.6833333333325</c:v>
                </c:pt>
                <c:pt idx="716">
                  <c:v>8895.6833333333325</c:v>
                </c:pt>
                <c:pt idx="717">
                  <c:v>8895.6833333333325</c:v>
                </c:pt>
                <c:pt idx="718">
                  <c:v>8895.6833333333325</c:v>
                </c:pt>
                <c:pt idx="719">
                  <c:v>8895.6833333333325</c:v>
                </c:pt>
                <c:pt idx="720">
                  <c:v>8895.6833333333325</c:v>
                </c:pt>
                <c:pt idx="721">
                  <c:v>8895.6833333333325</c:v>
                </c:pt>
                <c:pt idx="722">
                  <c:v>8895.6833333333325</c:v>
                </c:pt>
                <c:pt idx="723">
                  <c:v>8895.6833333333325</c:v>
                </c:pt>
                <c:pt idx="724">
                  <c:v>8895.6833333333325</c:v>
                </c:pt>
                <c:pt idx="725">
                  <c:v>8895.6833333333325</c:v>
                </c:pt>
                <c:pt idx="726">
                  <c:v>8895.6833333333325</c:v>
                </c:pt>
                <c:pt idx="727">
                  <c:v>8895.6833333333325</c:v>
                </c:pt>
                <c:pt idx="728">
                  <c:v>8895.6833333333325</c:v>
                </c:pt>
                <c:pt idx="729">
                  <c:v>8895.6833333333325</c:v>
                </c:pt>
                <c:pt idx="730">
                  <c:v>8895.6833333333325</c:v>
                </c:pt>
                <c:pt idx="731">
                  <c:v>8895.6833333333325</c:v>
                </c:pt>
                <c:pt idx="732">
                  <c:v>8895.6833333333325</c:v>
                </c:pt>
                <c:pt idx="733">
                  <c:v>8895.6833333333325</c:v>
                </c:pt>
                <c:pt idx="734">
                  <c:v>8895.6833333333325</c:v>
                </c:pt>
                <c:pt idx="735">
                  <c:v>8895.6833333333325</c:v>
                </c:pt>
                <c:pt idx="736">
                  <c:v>8895.6833333333325</c:v>
                </c:pt>
                <c:pt idx="737">
                  <c:v>8895.6833333333325</c:v>
                </c:pt>
                <c:pt idx="738">
                  <c:v>8895.6833333333325</c:v>
                </c:pt>
                <c:pt idx="739">
                  <c:v>9119.6833333333325</c:v>
                </c:pt>
                <c:pt idx="740">
                  <c:v>9119.6833333333325</c:v>
                </c:pt>
                <c:pt idx="741">
                  <c:v>9119.6833333333325</c:v>
                </c:pt>
                <c:pt idx="742">
                  <c:v>9119.6833333333325</c:v>
                </c:pt>
                <c:pt idx="743">
                  <c:v>9119.6833333333325</c:v>
                </c:pt>
                <c:pt idx="744">
                  <c:v>9119.6833333333325</c:v>
                </c:pt>
                <c:pt idx="745">
                  <c:v>9119.6833333333325</c:v>
                </c:pt>
                <c:pt idx="746">
                  <c:v>9119.6833333333325</c:v>
                </c:pt>
                <c:pt idx="747">
                  <c:v>9119.6833333333325</c:v>
                </c:pt>
                <c:pt idx="748">
                  <c:v>9119.6833333333325</c:v>
                </c:pt>
                <c:pt idx="749">
                  <c:v>9119.6833333333325</c:v>
                </c:pt>
                <c:pt idx="750">
                  <c:v>9119.6833333333325</c:v>
                </c:pt>
                <c:pt idx="751">
                  <c:v>9119.6833333333325</c:v>
                </c:pt>
                <c:pt idx="752">
                  <c:v>9119.6833333333325</c:v>
                </c:pt>
                <c:pt idx="753">
                  <c:v>9119.6833333333325</c:v>
                </c:pt>
                <c:pt idx="754">
                  <c:v>9119.6833333333325</c:v>
                </c:pt>
                <c:pt idx="755">
                  <c:v>9119.6833333333325</c:v>
                </c:pt>
                <c:pt idx="756">
                  <c:v>9119.6833333333325</c:v>
                </c:pt>
                <c:pt idx="757">
                  <c:v>9119.6833333333325</c:v>
                </c:pt>
                <c:pt idx="758">
                  <c:v>9119.6833333333325</c:v>
                </c:pt>
                <c:pt idx="759">
                  <c:v>9119.6833333333325</c:v>
                </c:pt>
                <c:pt idx="760">
                  <c:v>9119.6833333333325</c:v>
                </c:pt>
                <c:pt idx="761">
                  <c:v>9343.6833333333325</c:v>
                </c:pt>
                <c:pt idx="762">
                  <c:v>9343.6833333333325</c:v>
                </c:pt>
                <c:pt idx="763">
                  <c:v>9343.6833333333325</c:v>
                </c:pt>
                <c:pt idx="764">
                  <c:v>9631.6833333333325</c:v>
                </c:pt>
                <c:pt idx="765">
                  <c:v>9631.6833333333325</c:v>
                </c:pt>
                <c:pt idx="766">
                  <c:v>9631.6833333333325</c:v>
                </c:pt>
                <c:pt idx="767">
                  <c:v>9631.6833333333325</c:v>
                </c:pt>
                <c:pt idx="768">
                  <c:v>9631.6833333333325</c:v>
                </c:pt>
                <c:pt idx="769">
                  <c:v>9631.6833333333325</c:v>
                </c:pt>
                <c:pt idx="770">
                  <c:v>9631.6833333333325</c:v>
                </c:pt>
                <c:pt idx="771">
                  <c:v>9711.6833333333325</c:v>
                </c:pt>
                <c:pt idx="772">
                  <c:v>9711.6833333333325</c:v>
                </c:pt>
                <c:pt idx="773">
                  <c:v>9711.6833333333325</c:v>
                </c:pt>
                <c:pt idx="774">
                  <c:v>9711.6833333333325</c:v>
                </c:pt>
                <c:pt idx="775">
                  <c:v>9711.6833333333325</c:v>
                </c:pt>
                <c:pt idx="776">
                  <c:v>9711.6833333333325</c:v>
                </c:pt>
                <c:pt idx="777">
                  <c:v>9711.6833333333325</c:v>
                </c:pt>
                <c:pt idx="778">
                  <c:v>9711.6833333333325</c:v>
                </c:pt>
                <c:pt idx="779">
                  <c:v>9711.6833333333325</c:v>
                </c:pt>
                <c:pt idx="780">
                  <c:v>9615.6833333333325</c:v>
                </c:pt>
                <c:pt idx="781">
                  <c:v>9663.6833333333325</c:v>
                </c:pt>
                <c:pt idx="782">
                  <c:v>9663.6833333333325</c:v>
                </c:pt>
                <c:pt idx="783">
                  <c:v>9663.6833333333325</c:v>
                </c:pt>
                <c:pt idx="784">
                  <c:v>9663.6833333333325</c:v>
                </c:pt>
                <c:pt idx="785">
                  <c:v>9663.6833333333325</c:v>
                </c:pt>
                <c:pt idx="786">
                  <c:v>9663.6833333333325</c:v>
                </c:pt>
                <c:pt idx="787">
                  <c:v>9663.6833333333325</c:v>
                </c:pt>
                <c:pt idx="788">
                  <c:v>9663.6833333333325</c:v>
                </c:pt>
                <c:pt idx="789">
                  <c:v>9663.6833333333325</c:v>
                </c:pt>
                <c:pt idx="790">
                  <c:v>9663.6833333333325</c:v>
                </c:pt>
                <c:pt idx="791">
                  <c:v>9663.6833333333325</c:v>
                </c:pt>
                <c:pt idx="792">
                  <c:v>9951.6833333333325</c:v>
                </c:pt>
                <c:pt idx="793">
                  <c:v>9951.6833333333325</c:v>
                </c:pt>
                <c:pt idx="794">
                  <c:v>9951.6833333333325</c:v>
                </c:pt>
                <c:pt idx="795">
                  <c:v>9951.6833333333325</c:v>
                </c:pt>
                <c:pt idx="796">
                  <c:v>9951.6833333333325</c:v>
                </c:pt>
                <c:pt idx="797">
                  <c:v>9951.6833333333325</c:v>
                </c:pt>
                <c:pt idx="798">
                  <c:v>9951.6833333333325</c:v>
                </c:pt>
                <c:pt idx="799">
                  <c:v>9951.6833333333325</c:v>
                </c:pt>
                <c:pt idx="800">
                  <c:v>9951.6833333333325</c:v>
                </c:pt>
                <c:pt idx="801">
                  <c:v>9951.6833333333325</c:v>
                </c:pt>
                <c:pt idx="802">
                  <c:v>9951.6833333333325</c:v>
                </c:pt>
                <c:pt idx="803">
                  <c:v>9951.6833333333325</c:v>
                </c:pt>
                <c:pt idx="804">
                  <c:v>9951.6833333333325</c:v>
                </c:pt>
                <c:pt idx="805">
                  <c:v>9951.6833333333325</c:v>
                </c:pt>
                <c:pt idx="806">
                  <c:v>9951.6833333333325</c:v>
                </c:pt>
                <c:pt idx="807">
                  <c:v>9951.6833333333325</c:v>
                </c:pt>
                <c:pt idx="808">
                  <c:v>9951.6833333333325</c:v>
                </c:pt>
                <c:pt idx="809">
                  <c:v>9951.6833333333325</c:v>
                </c:pt>
                <c:pt idx="810">
                  <c:v>10271.683333333332</c:v>
                </c:pt>
                <c:pt idx="811">
                  <c:v>10271.683333333332</c:v>
                </c:pt>
                <c:pt idx="812">
                  <c:v>10271.683333333332</c:v>
                </c:pt>
                <c:pt idx="813">
                  <c:v>10591.683333333332</c:v>
                </c:pt>
                <c:pt idx="814">
                  <c:v>10591.683333333332</c:v>
                </c:pt>
                <c:pt idx="815">
                  <c:v>10591.683333333332</c:v>
                </c:pt>
                <c:pt idx="816">
                  <c:v>10591.683333333332</c:v>
                </c:pt>
                <c:pt idx="817">
                  <c:v>10591.683333333332</c:v>
                </c:pt>
                <c:pt idx="818">
                  <c:v>10591.683333333332</c:v>
                </c:pt>
                <c:pt idx="819">
                  <c:v>10591.683333333332</c:v>
                </c:pt>
                <c:pt idx="820">
                  <c:v>10591.683333333332</c:v>
                </c:pt>
                <c:pt idx="821">
                  <c:v>10671.683333333332</c:v>
                </c:pt>
                <c:pt idx="822">
                  <c:v>10959.683333333332</c:v>
                </c:pt>
                <c:pt idx="823">
                  <c:v>10959.683333333332</c:v>
                </c:pt>
                <c:pt idx="824">
                  <c:v>10959.683333333332</c:v>
                </c:pt>
                <c:pt idx="825">
                  <c:v>10983.683333333332</c:v>
                </c:pt>
                <c:pt idx="826">
                  <c:v>10983.683333333332</c:v>
                </c:pt>
                <c:pt idx="827">
                  <c:v>10983.683333333332</c:v>
                </c:pt>
                <c:pt idx="828">
                  <c:v>10983.683333333332</c:v>
                </c:pt>
                <c:pt idx="829">
                  <c:v>10983.683333333332</c:v>
                </c:pt>
                <c:pt idx="830">
                  <c:v>10983.683333333332</c:v>
                </c:pt>
                <c:pt idx="831">
                  <c:v>10983.683333333332</c:v>
                </c:pt>
                <c:pt idx="832">
                  <c:v>10983.683333333332</c:v>
                </c:pt>
                <c:pt idx="833">
                  <c:v>10983.683333333332</c:v>
                </c:pt>
                <c:pt idx="834">
                  <c:v>10983.683333333332</c:v>
                </c:pt>
                <c:pt idx="835">
                  <c:v>10983.683333333332</c:v>
                </c:pt>
                <c:pt idx="836">
                  <c:v>10983.683333333332</c:v>
                </c:pt>
                <c:pt idx="837">
                  <c:v>10983.683333333332</c:v>
                </c:pt>
                <c:pt idx="838">
                  <c:v>10983.683333333332</c:v>
                </c:pt>
                <c:pt idx="839">
                  <c:v>10983.683333333332</c:v>
                </c:pt>
                <c:pt idx="840">
                  <c:v>10983.683333333332</c:v>
                </c:pt>
                <c:pt idx="841">
                  <c:v>10983.683333333332</c:v>
                </c:pt>
                <c:pt idx="842">
                  <c:v>10983.683333333332</c:v>
                </c:pt>
                <c:pt idx="843">
                  <c:v>10983.683333333332</c:v>
                </c:pt>
                <c:pt idx="844">
                  <c:v>10983.683333333332</c:v>
                </c:pt>
                <c:pt idx="845">
                  <c:v>10983.683333333332</c:v>
                </c:pt>
                <c:pt idx="846">
                  <c:v>10983.683333333332</c:v>
                </c:pt>
                <c:pt idx="847">
                  <c:v>10983.683333333332</c:v>
                </c:pt>
                <c:pt idx="848">
                  <c:v>10983.683333333332</c:v>
                </c:pt>
                <c:pt idx="849">
                  <c:v>10983.683333333332</c:v>
                </c:pt>
                <c:pt idx="850">
                  <c:v>11639.683333333332</c:v>
                </c:pt>
                <c:pt idx="851">
                  <c:v>11639.683333333332</c:v>
                </c:pt>
                <c:pt idx="852">
                  <c:v>11639.683333333332</c:v>
                </c:pt>
                <c:pt idx="853">
                  <c:v>11639.683333333332</c:v>
                </c:pt>
                <c:pt idx="854">
                  <c:v>11639.683333333332</c:v>
                </c:pt>
                <c:pt idx="855">
                  <c:v>11639.683333333332</c:v>
                </c:pt>
                <c:pt idx="856">
                  <c:v>11639.683333333332</c:v>
                </c:pt>
                <c:pt idx="857">
                  <c:v>11639.683333333332</c:v>
                </c:pt>
                <c:pt idx="858">
                  <c:v>11639.683333333332</c:v>
                </c:pt>
                <c:pt idx="859">
                  <c:v>11639.683333333332</c:v>
                </c:pt>
                <c:pt idx="860">
                  <c:v>11639.683333333332</c:v>
                </c:pt>
                <c:pt idx="861">
                  <c:v>11639.683333333332</c:v>
                </c:pt>
                <c:pt idx="862">
                  <c:v>11639.683333333332</c:v>
                </c:pt>
                <c:pt idx="863">
                  <c:v>11639.683333333332</c:v>
                </c:pt>
                <c:pt idx="864">
                  <c:v>11639.683333333332</c:v>
                </c:pt>
                <c:pt idx="865">
                  <c:v>11639.683333333332</c:v>
                </c:pt>
                <c:pt idx="866">
                  <c:v>11639.683333333332</c:v>
                </c:pt>
                <c:pt idx="867">
                  <c:v>11639.683333333332</c:v>
                </c:pt>
                <c:pt idx="868">
                  <c:v>11639.683333333332</c:v>
                </c:pt>
                <c:pt idx="869">
                  <c:v>11639.683333333332</c:v>
                </c:pt>
                <c:pt idx="870">
                  <c:v>11639.683333333332</c:v>
                </c:pt>
                <c:pt idx="871">
                  <c:v>11639.683333333332</c:v>
                </c:pt>
                <c:pt idx="872">
                  <c:v>11639.683333333332</c:v>
                </c:pt>
                <c:pt idx="873">
                  <c:v>11671.683333333332</c:v>
                </c:pt>
                <c:pt idx="874">
                  <c:v>12023.683333333332</c:v>
                </c:pt>
                <c:pt idx="875">
                  <c:v>12023.683333333332</c:v>
                </c:pt>
                <c:pt idx="876">
                  <c:v>12023.683333333332</c:v>
                </c:pt>
                <c:pt idx="877">
                  <c:v>12023.683333333332</c:v>
                </c:pt>
                <c:pt idx="878">
                  <c:v>12023.683333333332</c:v>
                </c:pt>
                <c:pt idx="879">
                  <c:v>12023.683333333332</c:v>
                </c:pt>
                <c:pt idx="880">
                  <c:v>12023.683333333332</c:v>
                </c:pt>
                <c:pt idx="881">
                  <c:v>12023.683333333332</c:v>
                </c:pt>
                <c:pt idx="882">
                  <c:v>12023.683333333332</c:v>
                </c:pt>
                <c:pt idx="883">
                  <c:v>12023.683333333332</c:v>
                </c:pt>
                <c:pt idx="884">
                  <c:v>12023.683333333332</c:v>
                </c:pt>
                <c:pt idx="885">
                  <c:v>12023.683333333332</c:v>
                </c:pt>
                <c:pt idx="886">
                  <c:v>12023.683333333332</c:v>
                </c:pt>
                <c:pt idx="887">
                  <c:v>12023.683333333332</c:v>
                </c:pt>
                <c:pt idx="888">
                  <c:v>12023.683333333332</c:v>
                </c:pt>
                <c:pt idx="889">
                  <c:v>12023.683333333332</c:v>
                </c:pt>
                <c:pt idx="890">
                  <c:v>12023.683333333332</c:v>
                </c:pt>
                <c:pt idx="891">
                  <c:v>12023.683333333332</c:v>
                </c:pt>
                <c:pt idx="892">
                  <c:v>12023.683333333332</c:v>
                </c:pt>
                <c:pt idx="893">
                  <c:v>12023.683333333332</c:v>
                </c:pt>
                <c:pt idx="894">
                  <c:v>12023.683333333332</c:v>
                </c:pt>
                <c:pt idx="895">
                  <c:v>12023.683333333332</c:v>
                </c:pt>
                <c:pt idx="896">
                  <c:v>12023.683333333332</c:v>
                </c:pt>
                <c:pt idx="897">
                  <c:v>12023.683333333332</c:v>
                </c:pt>
                <c:pt idx="898">
                  <c:v>12023.683333333332</c:v>
                </c:pt>
                <c:pt idx="899">
                  <c:v>12023.683333333332</c:v>
                </c:pt>
                <c:pt idx="900">
                  <c:v>12023.683333333332</c:v>
                </c:pt>
                <c:pt idx="901">
                  <c:v>12023.683333333332</c:v>
                </c:pt>
                <c:pt idx="902">
                  <c:v>12023.683333333332</c:v>
                </c:pt>
                <c:pt idx="903">
                  <c:v>12023.683333333332</c:v>
                </c:pt>
                <c:pt idx="904">
                  <c:v>12023.683333333332</c:v>
                </c:pt>
                <c:pt idx="905">
                  <c:v>12023.683333333332</c:v>
                </c:pt>
                <c:pt idx="906">
                  <c:v>12023.683333333332</c:v>
                </c:pt>
                <c:pt idx="907">
                  <c:v>12023.683333333332</c:v>
                </c:pt>
                <c:pt idx="908">
                  <c:v>12023.683333333332</c:v>
                </c:pt>
                <c:pt idx="909">
                  <c:v>12023.683333333332</c:v>
                </c:pt>
                <c:pt idx="910">
                  <c:v>12023.683333333332</c:v>
                </c:pt>
                <c:pt idx="911">
                  <c:v>12087.683333333332</c:v>
                </c:pt>
                <c:pt idx="912">
                  <c:v>12087.683333333332</c:v>
                </c:pt>
                <c:pt idx="913">
                  <c:v>11847.683333333332</c:v>
                </c:pt>
                <c:pt idx="914">
                  <c:v>11847.683333333332</c:v>
                </c:pt>
                <c:pt idx="915">
                  <c:v>11847.683333333332</c:v>
                </c:pt>
                <c:pt idx="916">
                  <c:v>11847.683333333332</c:v>
                </c:pt>
                <c:pt idx="917">
                  <c:v>11847.683333333332</c:v>
                </c:pt>
                <c:pt idx="918">
                  <c:v>11847.683333333332</c:v>
                </c:pt>
                <c:pt idx="919">
                  <c:v>11847.683333333332</c:v>
                </c:pt>
                <c:pt idx="920">
                  <c:v>11847.683333333332</c:v>
                </c:pt>
                <c:pt idx="921">
                  <c:v>11847.683333333332</c:v>
                </c:pt>
                <c:pt idx="922">
                  <c:v>11847.683333333332</c:v>
                </c:pt>
                <c:pt idx="923">
                  <c:v>11847.683333333332</c:v>
                </c:pt>
                <c:pt idx="924">
                  <c:v>11847.683333333332</c:v>
                </c:pt>
                <c:pt idx="925">
                  <c:v>11847.683333333332</c:v>
                </c:pt>
                <c:pt idx="926">
                  <c:v>11847.683333333332</c:v>
                </c:pt>
                <c:pt idx="927">
                  <c:v>10903.683333333332</c:v>
                </c:pt>
                <c:pt idx="928">
                  <c:v>10903.683333333332</c:v>
                </c:pt>
                <c:pt idx="929">
                  <c:v>10903.683333333332</c:v>
                </c:pt>
                <c:pt idx="930">
                  <c:v>10903.683333333332</c:v>
                </c:pt>
                <c:pt idx="931">
                  <c:v>10903.683333333332</c:v>
                </c:pt>
                <c:pt idx="932">
                  <c:v>10903.683333333332</c:v>
                </c:pt>
                <c:pt idx="933">
                  <c:v>10903.683333333332</c:v>
                </c:pt>
                <c:pt idx="934">
                  <c:v>10903.683333333332</c:v>
                </c:pt>
                <c:pt idx="935">
                  <c:v>10903.683333333332</c:v>
                </c:pt>
                <c:pt idx="936">
                  <c:v>10903.683333333332</c:v>
                </c:pt>
                <c:pt idx="937">
                  <c:v>10903.683333333332</c:v>
                </c:pt>
                <c:pt idx="938">
                  <c:v>10903.683333333332</c:v>
                </c:pt>
                <c:pt idx="939">
                  <c:v>10903.683333333332</c:v>
                </c:pt>
                <c:pt idx="940">
                  <c:v>10903.683333333332</c:v>
                </c:pt>
                <c:pt idx="941">
                  <c:v>10903.683333333332</c:v>
                </c:pt>
                <c:pt idx="942">
                  <c:v>10903.683333333332</c:v>
                </c:pt>
                <c:pt idx="943">
                  <c:v>10903.683333333332</c:v>
                </c:pt>
                <c:pt idx="944">
                  <c:v>10903.683333333332</c:v>
                </c:pt>
                <c:pt idx="945">
                  <c:v>10903.683333333332</c:v>
                </c:pt>
                <c:pt idx="946">
                  <c:v>10903.683333333332</c:v>
                </c:pt>
                <c:pt idx="947">
                  <c:v>11223.683333333332</c:v>
                </c:pt>
                <c:pt idx="948">
                  <c:v>11223.683333333332</c:v>
                </c:pt>
                <c:pt idx="949">
                  <c:v>11143.683333333332</c:v>
                </c:pt>
                <c:pt idx="950">
                  <c:v>11143.683333333332</c:v>
                </c:pt>
                <c:pt idx="951">
                  <c:v>11143.683333333332</c:v>
                </c:pt>
                <c:pt idx="952">
                  <c:v>11143.683333333332</c:v>
                </c:pt>
                <c:pt idx="953">
                  <c:v>11143.683333333332</c:v>
                </c:pt>
                <c:pt idx="954">
                  <c:v>11143.683333333332</c:v>
                </c:pt>
                <c:pt idx="955">
                  <c:v>11143.683333333332</c:v>
                </c:pt>
                <c:pt idx="956">
                  <c:v>11143.683333333332</c:v>
                </c:pt>
                <c:pt idx="957">
                  <c:v>11143.683333333332</c:v>
                </c:pt>
                <c:pt idx="958">
                  <c:v>11143.683333333332</c:v>
                </c:pt>
                <c:pt idx="959">
                  <c:v>11143.683333333332</c:v>
                </c:pt>
                <c:pt idx="960">
                  <c:v>11143.683333333332</c:v>
                </c:pt>
                <c:pt idx="961">
                  <c:v>11143.683333333332</c:v>
                </c:pt>
                <c:pt idx="962">
                  <c:v>11143.683333333332</c:v>
                </c:pt>
                <c:pt idx="963">
                  <c:v>11143.683333333332</c:v>
                </c:pt>
                <c:pt idx="964">
                  <c:v>11143.683333333332</c:v>
                </c:pt>
                <c:pt idx="965">
                  <c:v>11143.683333333332</c:v>
                </c:pt>
                <c:pt idx="966">
                  <c:v>11143.683333333332</c:v>
                </c:pt>
                <c:pt idx="967">
                  <c:v>11143.683333333332</c:v>
                </c:pt>
                <c:pt idx="968">
                  <c:v>11143.683333333332</c:v>
                </c:pt>
                <c:pt idx="969">
                  <c:v>11143.683333333332</c:v>
                </c:pt>
                <c:pt idx="970">
                  <c:v>11143.683333333332</c:v>
                </c:pt>
                <c:pt idx="971">
                  <c:v>11143.683333333332</c:v>
                </c:pt>
                <c:pt idx="972">
                  <c:v>11143.683333333332</c:v>
                </c:pt>
                <c:pt idx="973">
                  <c:v>11143.683333333332</c:v>
                </c:pt>
                <c:pt idx="974">
                  <c:v>11143.683333333332</c:v>
                </c:pt>
                <c:pt idx="975">
                  <c:v>11143.683333333332</c:v>
                </c:pt>
                <c:pt idx="976">
                  <c:v>11143.683333333332</c:v>
                </c:pt>
                <c:pt idx="977">
                  <c:v>11143.683333333332</c:v>
                </c:pt>
                <c:pt idx="978">
                  <c:v>11143.683333333332</c:v>
                </c:pt>
                <c:pt idx="979">
                  <c:v>11143.683333333332</c:v>
                </c:pt>
                <c:pt idx="980">
                  <c:v>11143.683333333332</c:v>
                </c:pt>
                <c:pt idx="981">
                  <c:v>11143.683333333332</c:v>
                </c:pt>
                <c:pt idx="982">
                  <c:v>11143.683333333332</c:v>
                </c:pt>
                <c:pt idx="983">
                  <c:v>11143.683333333332</c:v>
                </c:pt>
                <c:pt idx="984">
                  <c:v>11143.683333333332</c:v>
                </c:pt>
                <c:pt idx="985">
                  <c:v>11143.683333333332</c:v>
                </c:pt>
                <c:pt idx="986">
                  <c:v>11143.683333333332</c:v>
                </c:pt>
                <c:pt idx="987">
                  <c:v>11143.683333333332</c:v>
                </c:pt>
                <c:pt idx="988">
                  <c:v>11143.683333333332</c:v>
                </c:pt>
                <c:pt idx="989">
                  <c:v>11143.683333333332</c:v>
                </c:pt>
                <c:pt idx="990">
                  <c:v>11143.683333333332</c:v>
                </c:pt>
                <c:pt idx="991">
                  <c:v>11143.683333333332</c:v>
                </c:pt>
                <c:pt idx="992">
                  <c:v>11143.683333333332</c:v>
                </c:pt>
                <c:pt idx="993">
                  <c:v>11143.683333333332</c:v>
                </c:pt>
                <c:pt idx="994">
                  <c:v>11143.683333333332</c:v>
                </c:pt>
                <c:pt idx="995">
                  <c:v>11143.683333333332</c:v>
                </c:pt>
                <c:pt idx="996">
                  <c:v>11143.683333333332</c:v>
                </c:pt>
                <c:pt idx="997">
                  <c:v>11143.683333333332</c:v>
                </c:pt>
                <c:pt idx="998">
                  <c:v>11143.683333333332</c:v>
                </c:pt>
                <c:pt idx="999">
                  <c:v>11143.683333333332</c:v>
                </c:pt>
                <c:pt idx="1000">
                  <c:v>11143.683333333332</c:v>
                </c:pt>
                <c:pt idx="1001">
                  <c:v>11143.683333333332</c:v>
                </c:pt>
                <c:pt idx="1002">
                  <c:v>11143.683333333332</c:v>
                </c:pt>
                <c:pt idx="1003">
                  <c:v>11143.683333333332</c:v>
                </c:pt>
                <c:pt idx="1004">
                  <c:v>11143.683333333332</c:v>
                </c:pt>
                <c:pt idx="1005">
                  <c:v>11143.683333333332</c:v>
                </c:pt>
                <c:pt idx="1006">
                  <c:v>11143.683333333332</c:v>
                </c:pt>
                <c:pt idx="1007">
                  <c:v>11143.683333333332</c:v>
                </c:pt>
                <c:pt idx="1008">
                  <c:v>11143.683333333332</c:v>
                </c:pt>
                <c:pt idx="1009">
                  <c:v>11143.683333333332</c:v>
                </c:pt>
                <c:pt idx="1010">
                  <c:v>11143.683333333332</c:v>
                </c:pt>
                <c:pt idx="1011">
                  <c:v>11143.683333333332</c:v>
                </c:pt>
                <c:pt idx="1012">
                  <c:v>11143.683333333332</c:v>
                </c:pt>
                <c:pt idx="1013">
                  <c:v>11143.683333333332</c:v>
                </c:pt>
                <c:pt idx="1014">
                  <c:v>11143.683333333332</c:v>
                </c:pt>
                <c:pt idx="1015">
                  <c:v>11143.683333333332</c:v>
                </c:pt>
                <c:pt idx="1016">
                  <c:v>11143.683333333332</c:v>
                </c:pt>
                <c:pt idx="1017">
                  <c:v>11143.683333333332</c:v>
                </c:pt>
                <c:pt idx="1018">
                  <c:v>11143.683333333332</c:v>
                </c:pt>
                <c:pt idx="1019">
                  <c:v>11143.683333333332</c:v>
                </c:pt>
                <c:pt idx="1020">
                  <c:v>11143.683333333332</c:v>
                </c:pt>
                <c:pt idx="1021">
                  <c:v>11143.683333333332</c:v>
                </c:pt>
                <c:pt idx="1022">
                  <c:v>11143.683333333332</c:v>
                </c:pt>
                <c:pt idx="1023">
                  <c:v>11143.683333333332</c:v>
                </c:pt>
                <c:pt idx="1024">
                  <c:v>11143.683333333332</c:v>
                </c:pt>
                <c:pt idx="1025">
                  <c:v>11143.683333333332</c:v>
                </c:pt>
                <c:pt idx="1026">
                  <c:v>11143.683333333332</c:v>
                </c:pt>
                <c:pt idx="1027">
                  <c:v>11143.683333333332</c:v>
                </c:pt>
                <c:pt idx="1028">
                  <c:v>11143.683333333332</c:v>
                </c:pt>
                <c:pt idx="1029">
                  <c:v>11143.683333333332</c:v>
                </c:pt>
                <c:pt idx="1030">
                  <c:v>11143.683333333332</c:v>
                </c:pt>
                <c:pt idx="1031">
                  <c:v>11143.683333333332</c:v>
                </c:pt>
                <c:pt idx="1032">
                  <c:v>11143.683333333332</c:v>
                </c:pt>
                <c:pt idx="1033">
                  <c:v>11143.683333333332</c:v>
                </c:pt>
                <c:pt idx="1034">
                  <c:v>11143.683333333332</c:v>
                </c:pt>
                <c:pt idx="1035">
                  <c:v>11143.683333333332</c:v>
                </c:pt>
                <c:pt idx="1036">
                  <c:v>11255.683333333332</c:v>
                </c:pt>
                <c:pt idx="1037">
                  <c:v>11255.683333333332</c:v>
                </c:pt>
                <c:pt idx="1038">
                  <c:v>11255.683333333332</c:v>
                </c:pt>
                <c:pt idx="1039">
                  <c:v>11255.683333333332</c:v>
                </c:pt>
                <c:pt idx="1040">
                  <c:v>11255.683333333332</c:v>
                </c:pt>
                <c:pt idx="1041">
                  <c:v>11255.683333333332</c:v>
                </c:pt>
                <c:pt idx="1042">
                  <c:v>11255.683333333332</c:v>
                </c:pt>
                <c:pt idx="1043">
                  <c:v>11255.683333333332</c:v>
                </c:pt>
                <c:pt idx="1044">
                  <c:v>11255.683333333332</c:v>
                </c:pt>
                <c:pt idx="1045">
                  <c:v>11255.683333333332</c:v>
                </c:pt>
                <c:pt idx="1046">
                  <c:v>11255.683333333332</c:v>
                </c:pt>
                <c:pt idx="1047">
                  <c:v>11255.683333333332</c:v>
                </c:pt>
                <c:pt idx="1048">
                  <c:v>11255.683333333332</c:v>
                </c:pt>
                <c:pt idx="1049">
                  <c:v>11255.683333333332</c:v>
                </c:pt>
                <c:pt idx="1050">
                  <c:v>11255.683333333332</c:v>
                </c:pt>
                <c:pt idx="1051">
                  <c:v>11255.683333333332</c:v>
                </c:pt>
                <c:pt idx="1052">
                  <c:v>11255.683333333332</c:v>
                </c:pt>
                <c:pt idx="1053">
                  <c:v>11255.683333333332</c:v>
                </c:pt>
                <c:pt idx="1054">
                  <c:v>11255.683333333332</c:v>
                </c:pt>
                <c:pt idx="1055">
                  <c:v>11255.683333333332</c:v>
                </c:pt>
                <c:pt idx="1056">
                  <c:v>11255.683333333332</c:v>
                </c:pt>
                <c:pt idx="1057">
                  <c:v>11255.683333333332</c:v>
                </c:pt>
                <c:pt idx="1058">
                  <c:v>11255.683333333332</c:v>
                </c:pt>
                <c:pt idx="1059">
                  <c:v>11255.683333333332</c:v>
                </c:pt>
                <c:pt idx="1060">
                  <c:v>11255.683333333332</c:v>
                </c:pt>
                <c:pt idx="1061">
                  <c:v>11255.683333333332</c:v>
                </c:pt>
                <c:pt idx="1062">
                  <c:v>11255.683333333332</c:v>
                </c:pt>
                <c:pt idx="1063">
                  <c:v>11255.683333333332</c:v>
                </c:pt>
                <c:pt idx="1064">
                  <c:v>11255.683333333332</c:v>
                </c:pt>
                <c:pt idx="1065">
                  <c:v>11255.683333333332</c:v>
                </c:pt>
                <c:pt idx="1066">
                  <c:v>11255.683333333332</c:v>
                </c:pt>
                <c:pt idx="1067">
                  <c:v>11255.683333333332</c:v>
                </c:pt>
                <c:pt idx="1068">
                  <c:v>11255.683333333332</c:v>
                </c:pt>
                <c:pt idx="1069">
                  <c:v>11255.683333333332</c:v>
                </c:pt>
                <c:pt idx="1070">
                  <c:v>11255.683333333332</c:v>
                </c:pt>
                <c:pt idx="1071">
                  <c:v>11255.683333333332</c:v>
                </c:pt>
                <c:pt idx="1072">
                  <c:v>11255.683333333332</c:v>
                </c:pt>
                <c:pt idx="1073">
                  <c:v>11335.683333333332</c:v>
                </c:pt>
                <c:pt idx="1074">
                  <c:v>11335.683333333332</c:v>
                </c:pt>
                <c:pt idx="1075">
                  <c:v>11335.683333333332</c:v>
                </c:pt>
                <c:pt idx="1076">
                  <c:v>11335.683333333332</c:v>
                </c:pt>
                <c:pt idx="1077">
                  <c:v>11335.683333333332</c:v>
                </c:pt>
                <c:pt idx="1078">
                  <c:v>11335.683333333332</c:v>
                </c:pt>
                <c:pt idx="1079">
                  <c:v>11335.683333333332</c:v>
                </c:pt>
                <c:pt idx="1080">
                  <c:v>11335.683333333332</c:v>
                </c:pt>
                <c:pt idx="1081">
                  <c:v>11335.683333333332</c:v>
                </c:pt>
                <c:pt idx="1082">
                  <c:v>11335.683333333332</c:v>
                </c:pt>
                <c:pt idx="1083">
                  <c:v>11335.683333333332</c:v>
                </c:pt>
                <c:pt idx="1084">
                  <c:v>11527.683333333332</c:v>
                </c:pt>
                <c:pt idx="1085">
                  <c:v>11719.683333333332</c:v>
                </c:pt>
                <c:pt idx="1086">
                  <c:v>11719.683333333332</c:v>
                </c:pt>
                <c:pt idx="1087">
                  <c:v>11719.683333333332</c:v>
                </c:pt>
                <c:pt idx="1088">
                  <c:v>11719.683333333332</c:v>
                </c:pt>
                <c:pt idx="1089">
                  <c:v>11719.683333333332</c:v>
                </c:pt>
                <c:pt idx="1090">
                  <c:v>11719.683333333332</c:v>
                </c:pt>
                <c:pt idx="1091">
                  <c:v>11719.683333333332</c:v>
                </c:pt>
                <c:pt idx="1092">
                  <c:v>11719.683333333332</c:v>
                </c:pt>
                <c:pt idx="1093">
                  <c:v>11719.683333333332</c:v>
                </c:pt>
                <c:pt idx="1094">
                  <c:v>11719.683333333332</c:v>
                </c:pt>
                <c:pt idx="1095">
                  <c:v>11719.683333333332</c:v>
                </c:pt>
                <c:pt idx="1096">
                  <c:v>11719.683333333332</c:v>
                </c:pt>
                <c:pt idx="1097">
                  <c:v>11719.683333333332</c:v>
                </c:pt>
                <c:pt idx="1098">
                  <c:v>11719.683333333332</c:v>
                </c:pt>
                <c:pt idx="1099">
                  <c:v>11719.683333333332</c:v>
                </c:pt>
                <c:pt idx="1100">
                  <c:v>11719.683333333332</c:v>
                </c:pt>
                <c:pt idx="1101">
                  <c:v>11719.683333333332</c:v>
                </c:pt>
                <c:pt idx="1102">
                  <c:v>11719.683333333332</c:v>
                </c:pt>
                <c:pt idx="1103">
                  <c:v>11719.683333333332</c:v>
                </c:pt>
                <c:pt idx="1104">
                  <c:v>11719.683333333332</c:v>
                </c:pt>
                <c:pt idx="1105">
                  <c:v>11719.683333333332</c:v>
                </c:pt>
                <c:pt idx="1106">
                  <c:v>11719.683333333332</c:v>
                </c:pt>
                <c:pt idx="1107">
                  <c:v>11719.683333333332</c:v>
                </c:pt>
                <c:pt idx="1108">
                  <c:v>11719.683333333332</c:v>
                </c:pt>
                <c:pt idx="1109">
                  <c:v>11783.683333333332</c:v>
                </c:pt>
                <c:pt idx="1110">
                  <c:v>11783.683333333332</c:v>
                </c:pt>
                <c:pt idx="1111">
                  <c:v>11799.683333333332</c:v>
                </c:pt>
                <c:pt idx="1112">
                  <c:v>11959.683333333332</c:v>
                </c:pt>
                <c:pt idx="1113">
                  <c:v>11959.683333333332</c:v>
                </c:pt>
                <c:pt idx="1114">
                  <c:v>11959.683333333332</c:v>
                </c:pt>
                <c:pt idx="1115">
                  <c:v>11959.683333333332</c:v>
                </c:pt>
                <c:pt idx="1116">
                  <c:v>11959.683333333332</c:v>
                </c:pt>
                <c:pt idx="1117">
                  <c:v>12871.683333333332</c:v>
                </c:pt>
                <c:pt idx="1118">
                  <c:v>13127.683333333332</c:v>
                </c:pt>
                <c:pt idx="1119">
                  <c:v>13127.683333333332</c:v>
                </c:pt>
                <c:pt idx="1120">
                  <c:v>13127.683333333332</c:v>
                </c:pt>
                <c:pt idx="1121">
                  <c:v>13127.683333333332</c:v>
                </c:pt>
                <c:pt idx="1122">
                  <c:v>13127.683333333332</c:v>
                </c:pt>
                <c:pt idx="1123">
                  <c:v>13127.683333333332</c:v>
                </c:pt>
                <c:pt idx="1124">
                  <c:v>13127.683333333332</c:v>
                </c:pt>
                <c:pt idx="1125">
                  <c:v>13127.683333333332</c:v>
                </c:pt>
                <c:pt idx="1126">
                  <c:v>13127.683333333332</c:v>
                </c:pt>
                <c:pt idx="1127">
                  <c:v>13127.683333333332</c:v>
                </c:pt>
                <c:pt idx="1128">
                  <c:v>13127.683333333332</c:v>
                </c:pt>
                <c:pt idx="1129">
                  <c:v>14173.016666666666</c:v>
                </c:pt>
                <c:pt idx="1130">
                  <c:v>14173.016666666666</c:v>
                </c:pt>
                <c:pt idx="1131">
                  <c:v>14173.016666666666</c:v>
                </c:pt>
                <c:pt idx="1132">
                  <c:v>14173.016666666666</c:v>
                </c:pt>
                <c:pt idx="1133">
                  <c:v>14173.016666666666</c:v>
                </c:pt>
                <c:pt idx="1134">
                  <c:v>14173.016666666666</c:v>
                </c:pt>
                <c:pt idx="1135">
                  <c:v>14397.016666666666</c:v>
                </c:pt>
                <c:pt idx="1136">
                  <c:v>14397.016666666666</c:v>
                </c:pt>
                <c:pt idx="1137">
                  <c:v>14397.016666666666</c:v>
                </c:pt>
                <c:pt idx="1138">
                  <c:v>14397.016666666666</c:v>
                </c:pt>
                <c:pt idx="1139">
                  <c:v>14397.016666666666</c:v>
                </c:pt>
                <c:pt idx="1140">
                  <c:v>14397.016666666666</c:v>
                </c:pt>
                <c:pt idx="1141">
                  <c:v>14397.016666666666</c:v>
                </c:pt>
                <c:pt idx="1142">
                  <c:v>14397.016666666666</c:v>
                </c:pt>
                <c:pt idx="1143">
                  <c:v>14397.016666666666</c:v>
                </c:pt>
                <c:pt idx="1144">
                  <c:v>14397.016666666666</c:v>
                </c:pt>
                <c:pt idx="1145">
                  <c:v>14397.016666666666</c:v>
                </c:pt>
                <c:pt idx="1146">
                  <c:v>14397.016666666666</c:v>
                </c:pt>
                <c:pt idx="1147">
                  <c:v>14397.016666666666</c:v>
                </c:pt>
                <c:pt idx="1148">
                  <c:v>14397.016666666666</c:v>
                </c:pt>
                <c:pt idx="1149">
                  <c:v>14589.016666666666</c:v>
                </c:pt>
                <c:pt idx="1150">
                  <c:v>14589.016666666666</c:v>
                </c:pt>
                <c:pt idx="1151">
                  <c:v>14589.016666666666</c:v>
                </c:pt>
                <c:pt idx="1152">
                  <c:v>14589.016666666666</c:v>
                </c:pt>
                <c:pt idx="1153">
                  <c:v>14589.016666666666</c:v>
                </c:pt>
                <c:pt idx="1154">
                  <c:v>14893.016666666666</c:v>
                </c:pt>
                <c:pt idx="1155">
                  <c:v>14960.216666666667</c:v>
                </c:pt>
                <c:pt idx="1156">
                  <c:v>14960.216666666667</c:v>
                </c:pt>
                <c:pt idx="1157">
                  <c:v>14960.216666666667</c:v>
                </c:pt>
                <c:pt idx="1158">
                  <c:v>14960.216666666667</c:v>
                </c:pt>
                <c:pt idx="1159">
                  <c:v>15152.216666666667</c:v>
                </c:pt>
                <c:pt idx="1160">
                  <c:v>15152.216666666667</c:v>
                </c:pt>
                <c:pt idx="1161">
                  <c:v>15152.216666666667</c:v>
                </c:pt>
                <c:pt idx="1162">
                  <c:v>15152.216666666667</c:v>
                </c:pt>
                <c:pt idx="1163">
                  <c:v>15152.216666666667</c:v>
                </c:pt>
                <c:pt idx="1164">
                  <c:v>15152.216666666667</c:v>
                </c:pt>
                <c:pt idx="1165">
                  <c:v>15152.216666666667</c:v>
                </c:pt>
                <c:pt idx="1166">
                  <c:v>15152.216666666667</c:v>
                </c:pt>
                <c:pt idx="1167">
                  <c:v>15152.216666666667</c:v>
                </c:pt>
                <c:pt idx="1168">
                  <c:v>15152.216666666667</c:v>
                </c:pt>
                <c:pt idx="1169">
                  <c:v>15152.216666666667</c:v>
                </c:pt>
                <c:pt idx="1170">
                  <c:v>15152.216666666667</c:v>
                </c:pt>
                <c:pt idx="1171">
                  <c:v>15152.216666666667</c:v>
                </c:pt>
                <c:pt idx="1172">
                  <c:v>15152.216666666667</c:v>
                </c:pt>
                <c:pt idx="1173">
                  <c:v>15152.216666666667</c:v>
                </c:pt>
                <c:pt idx="1174">
                  <c:v>15152.216666666667</c:v>
                </c:pt>
                <c:pt idx="1175">
                  <c:v>15152.216666666667</c:v>
                </c:pt>
                <c:pt idx="1176">
                  <c:v>15152.216666666667</c:v>
                </c:pt>
                <c:pt idx="1177">
                  <c:v>15152.216666666667</c:v>
                </c:pt>
                <c:pt idx="1178">
                  <c:v>15152.216666666667</c:v>
                </c:pt>
                <c:pt idx="1179">
                  <c:v>15152.216666666667</c:v>
                </c:pt>
                <c:pt idx="1180">
                  <c:v>15152.216666666667</c:v>
                </c:pt>
                <c:pt idx="1181">
                  <c:v>15152.216666666667</c:v>
                </c:pt>
                <c:pt idx="1182">
                  <c:v>15152.216666666667</c:v>
                </c:pt>
                <c:pt idx="1183">
                  <c:v>15152.216666666667</c:v>
                </c:pt>
                <c:pt idx="1184">
                  <c:v>15152.216666666667</c:v>
                </c:pt>
                <c:pt idx="1185">
                  <c:v>15152.216666666667</c:v>
                </c:pt>
                <c:pt idx="1186">
                  <c:v>15152.216666666667</c:v>
                </c:pt>
                <c:pt idx="1187">
                  <c:v>15152.216666666667</c:v>
                </c:pt>
                <c:pt idx="1188">
                  <c:v>15152.216666666667</c:v>
                </c:pt>
                <c:pt idx="1189">
                  <c:v>15152.216666666667</c:v>
                </c:pt>
                <c:pt idx="1190">
                  <c:v>15152.216666666667</c:v>
                </c:pt>
                <c:pt idx="1191">
                  <c:v>15152.216666666667</c:v>
                </c:pt>
                <c:pt idx="1192">
                  <c:v>15152.216666666667</c:v>
                </c:pt>
                <c:pt idx="1193">
                  <c:v>15152.216666666667</c:v>
                </c:pt>
                <c:pt idx="1194">
                  <c:v>15152.216666666667</c:v>
                </c:pt>
                <c:pt idx="1195">
                  <c:v>15152.216666666667</c:v>
                </c:pt>
                <c:pt idx="1196">
                  <c:v>15152.216666666667</c:v>
                </c:pt>
                <c:pt idx="1197">
                  <c:v>15152.216666666667</c:v>
                </c:pt>
                <c:pt idx="1198">
                  <c:v>15152.216666666667</c:v>
                </c:pt>
                <c:pt idx="1199">
                  <c:v>15152.216666666667</c:v>
                </c:pt>
                <c:pt idx="1200">
                  <c:v>15152.216666666667</c:v>
                </c:pt>
                <c:pt idx="1201">
                  <c:v>15152.216666666667</c:v>
                </c:pt>
                <c:pt idx="1202">
                  <c:v>15152.216666666667</c:v>
                </c:pt>
                <c:pt idx="1203">
                  <c:v>15152.216666666667</c:v>
                </c:pt>
                <c:pt idx="1204">
                  <c:v>15152.216666666667</c:v>
                </c:pt>
                <c:pt idx="1205">
                  <c:v>15152.216666666667</c:v>
                </c:pt>
                <c:pt idx="1206">
                  <c:v>16712.216666666667</c:v>
                </c:pt>
                <c:pt idx="1207">
                  <c:v>17472.216666666667</c:v>
                </c:pt>
                <c:pt idx="1208">
                  <c:v>17472.216666666667</c:v>
                </c:pt>
                <c:pt idx="1209">
                  <c:v>18176.216666666667</c:v>
                </c:pt>
                <c:pt idx="1210">
                  <c:v>18176.216666666667</c:v>
                </c:pt>
                <c:pt idx="1211">
                  <c:v>18176.216666666667</c:v>
                </c:pt>
                <c:pt idx="1212">
                  <c:v>18176.216666666667</c:v>
                </c:pt>
                <c:pt idx="1213">
                  <c:v>18176.216666666667</c:v>
                </c:pt>
                <c:pt idx="1214">
                  <c:v>18176.216666666667</c:v>
                </c:pt>
                <c:pt idx="1215">
                  <c:v>18176.216666666667</c:v>
                </c:pt>
                <c:pt idx="1216">
                  <c:v>18176.216666666667</c:v>
                </c:pt>
                <c:pt idx="1217">
                  <c:v>18176.216666666667</c:v>
                </c:pt>
                <c:pt idx="1218">
                  <c:v>18176.216666666667</c:v>
                </c:pt>
                <c:pt idx="1219">
                  <c:v>18176.216666666667</c:v>
                </c:pt>
                <c:pt idx="1220">
                  <c:v>18176.216666666667</c:v>
                </c:pt>
                <c:pt idx="1221">
                  <c:v>18176.216666666667</c:v>
                </c:pt>
                <c:pt idx="1222">
                  <c:v>18176.216666666667</c:v>
                </c:pt>
                <c:pt idx="1223">
                  <c:v>18176.216666666667</c:v>
                </c:pt>
                <c:pt idx="1224">
                  <c:v>18176.216666666667</c:v>
                </c:pt>
                <c:pt idx="1225">
                  <c:v>18176.216666666667</c:v>
                </c:pt>
                <c:pt idx="1226">
                  <c:v>18176.216666666667</c:v>
                </c:pt>
                <c:pt idx="1227">
                  <c:v>18176.216666666667</c:v>
                </c:pt>
                <c:pt idx="1228">
                  <c:v>18176.216666666667</c:v>
                </c:pt>
                <c:pt idx="1229">
                  <c:v>18176.216666666667</c:v>
                </c:pt>
                <c:pt idx="1230">
                  <c:v>18176.216666666667</c:v>
                </c:pt>
                <c:pt idx="1231">
                  <c:v>18176.216666666667</c:v>
                </c:pt>
                <c:pt idx="1232">
                  <c:v>18176.216666666667</c:v>
                </c:pt>
                <c:pt idx="1233">
                  <c:v>18176.216666666667</c:v>
                </c:pt>
                <c:pt idx="1234">
                  <c:v>18176.216666666667</c:v>
                </c:pt>
                <c:pt idx="1235">
                  <c:v>18176.216666666667</c:v>
                </c:pt>
                <c:pt idx="1236">
                  <c:v>18176.216666666667</c:v>
                </c:pt>
                <c:pt idx="1237">
                  <c:v>18176.216666666667</c:v>
                </c:pt>
                <c:pt idx="1238">
                  <c:v>18176.216666666667</c:v>
                </c:pt>
                <c:pt idx="1239">
                  <c:v>18176.216666666667</c:v>
                </c:pt>
                <c:pt idx="1240">
                  <c:v>18368.216666666667</c:v>
                </c:pt>
                <c:pt idx="1241">
                  <c:v>18368.216666666667</c:v>
                </c:pt>
                <c:pt idx="1242">
                  <c:v>18368.216666666667</c:v>
                </c:pt>
                <c:pt idx="1243">
                  <c:v>18368.216666666667</c:v>
                </c:pt>
                <c:pt idx="1244">
                  <c:v>18368.216666666667</c:v>
                </c:pt>
                <c:pt idx="1245">
                  <c:v>18368.216666666667</c:v>
                </c:pt>
                <c:pt idx="1246">
                  <c:v>18368.216666666667</c:v>
                </c:pt>
                <c:pt idx="1247">
                  <c:v>18368.216666666667</c:v>
                </c:pt>
                <c:pt idx="1248">
                  <c:v>18368.216666666667</c:v>
                </c:pt>
                <c:pt idx="1249">
                  <c:v>18368.216666666667</c:v>
                </c:pt>
                <c:pt idx="1250">
                  <c:v>18368.216666666667</c:v>
                </c:pt>
              </c:numCache>
            </c:numRef>
          </c:val>
          <c:smooth val="0"/>
          <c:extLst>
            <c:ext xmlns:c16="http://schemas.microsoft.com/office/drawing/2014/chart" uri="{C3380CC4-5D6E-409C-BE32-E72D297353CC}">
              <c16:uniqueId val="{00000002-BDC0-4D62-9F34-ED490E73A21D}"/>
            </c:ext>
          </c:extLst>
        </c:ser>
        <c:dLbls>
          <c:showLegendKey val="0"/>
          <c:showVal val="0"/>
          <c:showCatName val="0"/>
          <c:showSerName val="0"/>
          <c:showPercent val="0"/>
          <c:showBubbleSize val="0"/>
        </c:dLbls>
        <c:smooth val="0"/>
        <c:axId val="2021748047"/>
        <c:axId val="682803775"/>
      </c:lineChart>
      <c:catAx>
        <c:axId val="202174804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803775"/>
        <c:crosses val="autoZero"/>
        <c:auto val="1"/>
        <c:lblAlgn val="ctr"/>
        <c:lblOffset val="100"/>
        <c:noMultiLvlLbl val="0"/>
      </c:catAx>
      <c:valAx>
        <c:axId val="682803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748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TFC COMBOS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TF</c:v>
          </c:tx>
          <c:spPr>
            <a:ln w="28575" cap="rnd">
              <a:solidFill>
                <a:schemeClr val="accent1"/>
              </a:solidFill>
              <a:round/>
            </a:ln>
            <a:effectLst/>
          </c:spPr>
          <c:marker>
            <c:symbol val="none"/>
          </c:marker>
          <c:val>
            <c:numRef>
              <c:f>'Journal Live'!$BU$134:$BU$1384</c:f>
              <c:numCache>
                <c:formatCode>General</c:formatCode>
                <c:ptCount val="1251"/>
                <c:pt idx="0">
                  <c:v>0</c:v>
                </c:pt>
                <c:pt idx="1">
                  <c:v>0</c:v>
                </c:pt>
                <c:pt idx="2">
                  <c:v>0</c:v>
                </c:pt>
                <c:pt idx="3">
                  <c:v>81.499999999999986</c:v>
                </c:pt>
                <c:pt idx="4">
                  <c:v>97.8</c:v>
                </c:pt>
                <c:pt idx="5">
                  <c:v>164.2</c:v>
                </c:pt>
                <c:pt idx="6">
                  <c:v>115.29999999999814</c:v>
                </c:pt>
                <c:pt idx="7">
                  <c:v>115.29999999999814</c:v>
                </c:pt>
                <c:pt idx="8">
                  <c:v>115.29999999999814</c:v>
                </c:pt>
                <c:pt idx="9">
                  <c:v>282.49999999999818</c:v>
                </c:pt>
                <c:pt idx="10">
                  <c:v>282.49999999999818</c:v>
                </c:pt>
                <c:pt idx="11">
                  <c:v>282.49999999999818</c:v>
                </c:pt>
                <c:pt idx="12">
                  <c:v>282.49999999999818</c:v>
                </c:pt>
                <c:pt idx="13">
                  <c:v>282.49999999999818</c:v>
                </c:pt>
                <c:pt idx="14">
                  <c:v>466.19999999999823</c:v>
                </c:pt>
                <c:pt idx="15">
                  <c:v>466.19999999999823</c:v>
                </c:pt>
                <c:pt idx="16">
                  <c:v>466.19999999999823</c:v>
                </c:pt>
                <c:pt idx="17">
                  <c:v>466.19999999999823</c:v>
                </c:pt>
                <c:pt idx="18">
                  <c:v>466.19999999999823</c:v>
                </c:pt>
                <c:pt idx="19">
                  <c:v>466.19999999999823</c:v>
                </c:pt>
                <c:pt idx="20">
                  <c:v>466.19999999999823</c:v>
                </c:pt>
                <c:pt idx="21">
                  <c:v>466.19999999999823</c:v>
                </c:pt>
                <c:pt idx="22">
                  <c:v>466.19999999999823</c:v>
                </c:pt>
                <c:pt idx="23">
                  <c:v>466.19999999999823</c:v>
                </c:pt>
                <c:pt idx="24">
                  <c:v>466.19999999999823</c:v>
                </c:pt>
                <c:pt idx="25">
                  <c:v>466.19999999999823</c:v>
                </c:pt>
                <c:pt idx="26">
                  <c:v>466.19999999999823</c:v>
                </c:pt>
                <c:pt idx="27">
                  <c:v>466.19999999999823</c:v>
                </c:pt>
                <c:pt idx="28">
                  <c:v>466.19999999999823</c:v>
                </c:pt>
                <c:pt idx="29">
                  <c:v>466.19999999999823</c:v>
                </c:pt>
                <c:pt idx="30">
                  <c:v>466.19999999999823</c:v>
                </c:pt>
                <c:pt idx="31">
                  <c:v>466.19999999999823</c:v>
                </c:pt>
                <c:pt idx="32">
                  <c:v>466.19999999999823</c:v>
                </c:pt>
                <c:pt idx="33">
                  <c:v>466.19999999999823</c:v>
                </c:pt>
                <c:pt idx="34">
                  <c:v>466.19999999999823</c:v>
                </c:pt>
                <c:pt idx="35">
                  <c:v>466.19999999999823</c:v>
                </c:pt>
                <c:pt idx="36">
                  <c:v>466.19999999999823</c:v>
                </c:pt>
                <c:pt idx="37">
                  <c:v>466.19999999999823</c:v>
                </c:pt>
                <c:pt idx="38">
                  <c:v>466.19999999999823</c:v>
                </c:pt>
                <c:pt idx="39">
                  <c:v>466.19999999999823</c:v>
                </c:pt>
                <c:pt idx="40">
                  <c:v>466.19999999999823</c:v>
                </c:pt>
                <c:pt idx="41">
                  <c:v>466.19999999999823</c:v>
                </c:pt>
                <c:pt idx="42">
                  <c:v>466.19999999999823</c:v>
                </c:pt>
                <c:pt idx="43">
                  <c:v>466.19999999999823</c:v>
                </c:pt>
                <c:pt idx="44">
                  <c:v>466.19999999999823</c:v>
                </c:pt>
                <c:pt idx="45">
                  <c:v>466.19999999999823</c:v>
                </c:pt>
                <c:pt idx="46">
                  <c:v>466.19999999999823</c:v>
                </c:pt>
                <c:pt idx="47">
                  <c:v>466.19999999999823</c:v>
                </c:pt>
                <c:pt idx="48">
                  <c:v>466.19999999999823</c:v>
                </c:pt>
                <c:pt idx="49">
                  <c:v>466.19999999999823</c:v>
                </c:pt>
                <c:pt idx="50">
                  <c:v>466.19999999999823</c:v>
                </c:pt>
                <c:pt idx="51">
                  <c:v>466.19999999999823</c:v>
                </c:pt>
                <c:pt idx="52">
                  <c:v>466.19999999999823</c:v>
                </c:pt>
                <c:pt idx="53">
                  <c:v>466.19999999999823</c:v>
                </c:pt>
                <c:pt idx="54">
                  <c:v>466.19999999999823</c:v>
                </c:pt>
                <c:pt idx="55">
                  <c:v>466.19999999999823</c:v>
                </c:pt>
                <c:pt idx="56">
                  <c:v>466.19999999999823</c:v>
                </c:pt>
                <c:pt idx="57">
                  <c:v>466.19999999999823</c:v>
                </c:pt>
                <c:pt idx="58">
                  <c:v>466.19999999999823</c:v>
                </c:pt>
                <c:pt idx="59">
                  <c:v>466.19999999999823</c:v>
                </c:pt>
                <c:pt idx="60">
                  <c:v>466.19999999999823</c:v>
                </c:pt>
                <c:pt idx="61">
                  <c:v>466.19999999999823</c:v>
                </c:pt>
                <c:pt idx="62">
                  <c:v>466.19999999999823</c:v>
                </c:pt>
                <c:pt idx="63">
                  <c:v>466.19999999999823</c:v>
                </c:pt>
                <c:pt idx="64">
                  <c:v>466.19999999999823</c:v>
                </c:pt>
                <c:pt idx="65">
                  <c:v>466.19999999999823</c:v>
                </c:pt>
                <c:pt idx="66">
                  <c:v>466.19999999999823</c:v>
                </c:pt>
                <c:pt idx="67">
                  <c:v>466.19999999999823</c:v>
                </c:pt>
                <c:pt idx="68">
                  <c:v>466.19999999999823</c:v>
                </c:pt>
                <c:pt idx="69">
                  <c:v>466.19999999999823</c:v>
                </c:pt>
                <c:pt idx="70">
                  <c:v>466.19999999999823</c:v>
                </c:pt>
                <c:pt idx="71">
                  <c:v>466.19999999999823</c:v>
                </c:pt>
                <c:pt idx="72">
                  <c:v>466.19999999999823</c:v>
                </c:pt>
                <c:pt idx="73">
                  <c:v>466.19999999999823</c:v>
                </c:pt>
                <c:pt idx="74">
                  <c:v>466.19999999999823</c:v>
                </c:pt>
                <c:pt idx="75">
                  <c:v>466.19999999999823</c:v>
                </c:pt>
                <c:pt idx="76">
                  <c:v>534.1999999999847</c:v>
                </c:pt>
                <c:pt idx="77">
                  <c:v>534.1999999999847</c:v>
                </c:pt>
                <c:pt idx="78">
                  <c:v>534.1999999999847</c:v>
                </c:pt>
                <c:pt idx="79">
                  <c:v>534.1999999999847</c:v>
                </c:pt>
                <c:pt idx="80">
                  <c:v>534.1999999999847</c:v>
                </c:pt>
                <c:pt idx="81">
                  <c:v>534.1999999999847</c:v>
                </c:pt>
                <c:pt idx="82">
                  <c:v>534.1999999999847</c:v>
                </c:pt>
                <c:pt idx="83">
                  <c:v>534.1999999999847</c:v>
                </c:pt>
                <c:pt idx="84">
                  <c:v>534.1999999999847</c:v>
                </c:pt>
                <c:pt idx="85">
                  <c:v>669.39999999998474</c:v>
                </c:pt>
                <c:pt idx="86">
                  <c:v>669.39999999998474</c:v>
                </c:pt>
                <c:pt idx="87">
                  <c:v>669.39999999998474</c:v>
                </c:pt>
                <c:pt idx="88">
                  <c:v>669.39999999998474</c:v>
                </c:pt>
                <c:pt idx="89">
                  <c:v>669.39999999998474</c:v>
                </c:pt>
                <c:pt idx="90">
                  <c:v>669.39999999998474</c:v>
                </c:pt>
                <c:pt idx="91">
                  <c:v>669.39999999998474</c:v>
                </c:pt>
                <c:pt idx="92">
                  <c:v>669.39999999998474</c:v>
                </c:pt>
                <c:pt idx="93">
                  <c:v>669.39999999998474</c:v>
                </c:pt>
                <c:pt idx="94">
                  <c:v>669.39999999998474</c:v>
                </c:pt>
                <c:pt idx="95">
                  <c:v>669.39999999998474</c:v>
                </c:pt>
                <c:pt idx="96">
                  <c:v>669.39999999998474</c:v>
                </c:pt>
                <c:pt idx="97">
                  <c:v>669.39999999998474</c:v>
                </c:pt>
                <c:pt idx="98">
                  <c:v>567.39999999998474</c:v>
                </c:pt>
                <c:pt idx="99">
                  <c:v>567.39999999998474</c:v>
                </c:pt>
                <c:pt idx="100">
                  <c:v>652.39999999998474</c:v>
                </c:pt>
                <c:pt idx="101">
                  <c:v>652.39999999998474</c:v>
                </c:pt>
                <c:pt idx="102">
                  <c:v>652.39999999998474</c:v>
                </c:pt>
                <c:pt idx="103">
                  <c:v>652.39999999998474</c:v>
                </c:pt>
                <c:pt idx="104">
                  <c:v>652.39999999998474</c:v>
                </c:pt>
                <c:pt idx="105">
                  <c:v>652.39999999998474</c:v>
                </c:pt>
                <c:pt idx="106">
                  <c:v>652.39999999998474</c:v>
                </c:pt>
                <c:pt idx="107">
                  <c:v>652.39999999998474</c:v>
                </c:pt>
                <c:pt idx="108">
                  <c:v>652.39999999998474</c:v>
                </c:pt>
                <c:pt idx="109">
                  <c:v>652.39999999998474</c:v>
                </c:pt>
                <c:pt idx="110">
                  <c:v>652.39999999998474</c:v>
                </c:pt>
                <c:pt idx="111">
                  <c:v>652.39999999998474</c:v>
                </c:pt>
                <c:pt idx="112">
                  <c:v>652.39999999998474</c:v>
                </c:pt>
                <c:pt idx="113">
                  <c:v>652.39999999998474</c:v>
                </c:pt>
                <c:pt idx="114">
                  <c:v>652.39999999998474</c:v>
                </c:pt>
                <c:pt idx="115">
                  <c:v>652.39999999998474</c:v>
                </c:pt>
                <c:pt idx="116">
                  <c:v>652.39999999998474</c:v>
                </c:pt>
                <c:pt idx="117">
                  <c:v>652.39999999998474</c:v>
                </c:pt>
                <c:pt idx="118">
                  <c:v>652.39999999998474</c:v>
                </c:pt>
                <c:pt idx="119">
                  <c:v>535.49999999998488</c:v>
                </c:pt>
                <c:pt idx="120">
                  <c:v>535.49999999998488</c:v>
                </c:pt>
                <c:pt idx="121">
                  <c:v>535.49999999998488</c:v>
                </c:pt>
                <c:pt idx="122">
                  <c:v>535.49999999998488</c:v>
                </c:pt>
                <c:pt idx="123">
                  <c:v>535.49999999998488</c:v>
                </c:pt>
                <c:pt idx="124">
                  <c:v>535.49999999998488</c:v>
                </c:pt>
                <c:pt idx="125">
                  <c:v>535.49999999998488</c:v>
                </c:pt>
                <c:pt idx="126">
                  <c:v>535.49999999998488</c:v>
                </c:pt>
                <c:pt idx="127">
                  <c:v>535.49999999998488</c:v>
                </c:pt>
                <c:pt idx="128">
                  <c:v>535.49999999998488</c:v>
                </c:pt>
                <c:pt idx="129">
                  <c:v>535.49999999998488</c:v>
                </c:pt>
                <c:pt idx="130">
                  <c:v>535.49999999998488</c:v>
                </c:pt>
                <c:pt idx="131">
                  <c:v>535.49999999998488</c:v>
                </c:pt>
                <c:pt idx="132">
                  <c:v>535.49999999998488</c:v>
                </c:pt>
                <c:pt idx="133">
                  <c:v>535.49999999998488</c:v>
                </c:pt>
                <c:pt idx="134">
                  <c:v>535.49999999998488</c:v>
                </c:pt>
                <c:pt idx="135">
                  <c:v>535.49999999998488</c:v>
                </c:pt>
                <c:pt idx="136">
                  <c:v>535.49999999998488</c:v>
                </c:pt>
                <c:pt idx="137">
                  <c:v>535.49999999998488</c:v>
                </c:pt>
                <c:pt idx="138">
                  <c:v>535.49999999998488</c:v>
                </c:pt>
                <c:pt idx="139">
                  <c:v>535.49999999998488</c:v>
                </c:pt>
                <c:pt idx="140">
                  <c:v>535.49999999998488</c:v>
                </c:pt>
                <c:pt idx="141">
                  <c:v>535.49999999998488</c:v>
                </c:pt>
                <c:pt idx="142">
                  <c:v>535.49999999998488</c:v>
                </c:pt>
                <c:pt idx="143">
                  <c:v>535.49999999998488</c:v>
                </c:pt>
                <c:pt idx="144">
                  <c:v>535.49999999998488</c:v>
                </c:pt>
                <c:pt idx="145">
                  <c:v>535.49999999998488</c:v>
                </c:pt>
                <c:pt idx="146">
                  <c:v>535.49999999998488</c:v>
                </c:pt>
                <c:pt idx="147">
                  <c:v>535.49999999998488</c:v>
                </c:pt>
                <c:pt idx="148">
                  <c:v>535.49999999998488</c:v>
                </c:pt>
                <c:pt idx="149">
                  <c:v>535.49999999998488</c:v>
                </c:pt>
                <c:pt idx="150">
                  <c:v>535.49999999998488</c:v>
                </c:pt>
                <c:pt idx="151">
                  <c:v>535.49999999998488</c:v>
                </c:pt>
                <c:pt idx="152">
                  <c:v>535.49999999998488</c:v>
                </c:pt>
                <c:pt idx="153">
                  <c:v>535.49999999998488</c:v>
                </c:pt>
                <c:pt idx="154">
                  <c:v>535.49999999998488</c:v>
                </c:pt>
                <c:pt idx="155">
                  <c:v>535.49999999998488</c:v>
                </c:pt>
                <c:pt idx="156">
                  <c:v>535.49999999998488</c:v>
                </c:pt>
                <c:pt idx="157">
                  <c:v>535.49999999998488</c:v>
                </c:pt>
                <c:pt idx="158">
                  <c:v>535.49999999998488</c:v>
                </c:pt>
                <c:pt idx="159">
                  <c:v>535.49999999998488</c:v>
                </c:pt>
                <c:pt idx="160">
                  <c:v>535.49999999998488</c:v>
                </c:pt>
                <c:pt idx="161">
                  <c:v>535.49999999998488</c:v>
                </c:pt>
                <c:pt idx="162">
                  <c:v>535.49999999998488</c:v>
                </c:pt>
                <c:pt idx="163">
                  <c:v>535.49999999998488</c:v>
                </c:pt>
                <c:pt idx="164">
                  <c:v>535.49999999998488</c:v>
                </c:pt>
                <c:pt idx="165">
                  <c:v>535.49999999998488</c:v>
                </c:pt>
                <c:pt idx="166">
                  <c:v>535.49999999998488</c:v>
                </c:pt>
                <c:pt idx="167">
                  <c:v>535.49999999998488</c:v>
                </c:pt>
                <c:pt idx="168">
                  <c:v>535.49999999998488</c:v>
                </c:pt>
                <c:pt idx="169">
                  <c:v>535.49999999998488</c:v>
                </c:pt>
                <c:pt idx="170">
                  <c:v>535.49999999998488</c:v>
                </c:pt>
                <c:pt idx="171">
                  <c:v>535.49999999998488</c:v>
                </c:pt>
                <c:pt idx="172">
                  <c:v>535.49999999998488</c:v>
                </c:pt>
                <c:pt idx="173">
                  <c:v>535.49999999998488</c:v>
                </c:pt>
                <c:pt idx="174">
                  <c:v>535.49999999998488</c:v>
                </c:pt>
                <c:pt idx="175">
                  <c:v>535.49999999998488</c:v>
                </c:pt>
                <c:pt idx="176">
                  <c:v>535.49999999998488</c:v>
                </c:pt>
                <c:pt idx="177">
                  <c:v>535.49999999998488</c:v>
                </c:pt>
                <c:pt idx="178">
                  <c:v>535.49999999998488</c:v>
                </c:pt>
                <c:pt idx="179">
                  <c:v>665.10000000000514</c:v>
                </c:pt>
                <c:pt idx="180">
                  <c:v>665.10000000000514</c:v>
                </c:pt>
                <c:pt idx="181">
                  <c:v>214.30000000000501</c:v>
                </c:pt>
                <c:pt idx="182">
                  <c:v>214.30000000000501</c:v>
                </c:pt>
                <c:pt idx="183">
                  <c:v>-236.49999999999511</c:v>
                </c:pt>
                <c:pt idx="184">
                  <c:v>-236.49999999999511</c:v>
                </c:pt>
                <c:pt idx="185">
                  <c:v>-236.49999999999511</c:v>
                </c:pt>
                <c:pt idx="186">
                  <c:v>-236.49999999999511</c:v>
                </c:pt>
                <c:pt idx="187">
                  <c:v>-236.49999999999511</c:v>
                </c:pt>
                <c:pt idx="188">
                  <c:v>-236.49999999999511</c:v>
                </c:pt>
                <c:pt idx="189">
                  <c:v>-236.49999999999511</c:v>
                </c:pt>
                <c:pt idx="190">
                  <c:v>-236.49999999999511</c:v>
                </c:pt>
                <c:pt idx="191">
                  <c:v>-236.49999999999511</c:v>
                </c:pt>
                <c:pt idx="192">
                  <c:v>-236.49999999999511</c:v>
                </c:pt>
                <c:pt idx="193">
                  <c:v>-236.49999999999511</c:v>
                </c:pt>
                <c:pt idx="194">
                  <c:v>-236.49999999999511</c:v>
                </c:pt>
                <c:pt idx="195">
                  <c:v>-236.49999999999511</c:v>
                </c:pt>
                <c:pt idx="196">
                  <c:v>-236.49999999999511</c:v>
                </c:pt>
                <c:pt idx="197">
                  <c:v>-236.49999999999511</c:v>
                </c:pt>
                <c:pt idx="198">
                  <c:v>-236.49999999999511</c:v>
                </c:pt>
                <c:pt idx="199">
                  <c:v>-236.49999999999511</c:v>
                </c:pt>
                <c:pt idx="200">
                  <c:v>-236.49999999999511</c:v>
                </c:pt>
                <c:pt idx="201">
                  <c:v>-236.49999999999511</c:v>
                </c:pt>
                <c:pt idx="202">
                  <c:v>-236.49999999999511</c:v>
                </c:pt>
                <c:pt idx="203">
                  <c:v>-236.49999999999511</c:v>
                </c:pt>
                <c:pt idx="204">
                  <c:v>-236.49999999999511</c:v>
                </c:pt>
                <c:pt idx="205">
                  <c:v>-236.49999999999511</c:v>
                </c:pt>
                <c:pt idx="206">
                  <c:v>-236.49999999999511</c:v>
                </c:pt>
                <c:pt idx="207">
                  <c:v>-236.49999999999511</c:v>
                </c:pt>
                <c:pt idx="208">
                  <c:v>-236.49999999999511</c:v>
                </c:pt>
                <c:pt idx="209">
                  <c:v>-236.49999999999511</c:v>
                </c:pt>
                <c:pt idx="210">
                  <c:v>-236.49999999999511</c:v>
                </c:pt>
                <c:pt idx="211">
                  <c:v>-236.49999999999511</c:v>
                </c:pt>
                <c:pt idx="212">
                  <c:v>-236.49999999999511</c:v>
                </c:pt>
                <c:pt idx="213">
                  <c:v>-236.49999999999511</c:v>
                </c:pt>
                <c:pt idx="214">
                  <c:v>-236.49999999999511</c:v>
                </c:pt>
                <c:pt idx="215">
                  <c:v>-236.49999999999511</c:v>
                </c:pt>
                <c:pt idx="216">
                  <c:v>-236.49999999999511</c:v>
                </c:pt>
                <c:pt idx="217">
                  <c:v>-236.49999999999511</c:v>
                </c:pt>
                <c:pt idx="218">
                  <c:v>-236.49999999999511</c:v>
                </c:pt>
                <c:pt idx="219">
                  <c:v>-236.49999999999511</c:v>
                </c:pt>
                <c:pt idx="220">
                  <c:v>-236.49999999999511</c:v>
                </c:pt>
                <c:pt idx="221">
                  <c:v>-236.49999999999511</c:v>
                </c:pt>
                <c:pt idx="222">
                  <c:v>-236.49999999999511</c:v>
                </c:pt>
                <c:pt idx="223">
                  <c:v>-236.49999999999511</c:v>
                </c:pt>
                <c:pt idx="224">
                  <c:v>-236.49999999999511</c:v>
                </c:pt>
                <c:pt idx="225">
                  <c:v>-236.49999999999511</c:v>
                </c:pt>
                <c:pt idx="226">
                  <c:v>-236.49999999999511</c:v>
                </c:pt>
                <c:pt idx="227">
                  <c:v>-236.49999999999511</c:v>
                </c:pt>
                <c:pt idx="228">
                  <c:v>-236.49999999999511</c:v>
                </c:pt>
                <c:pt idx="229">
                  <c:v>-236.49999999999511</c:v>
                </c:pt>
                <c:pt idx="230">
                  <c:v>-236.49999999999511</c:v>
                </c:pt>
                <c:pt idx="231">
                  <c:v>-236.49999999999511</c:v>
                </c:pt>
                <c:pt idx="232">
                  <c:v>-236.49999999999511</c:v>
                </c:pt>
                <c:pt idx="233">
                  <c:v>-236.49999999999511</c:v>
                </c:pt>
                <c:pt idx="234">
                  <c:v>-236.49999999999511</c:v>
                </c:pt>
                <c:pt idx="235">
                  <c:v>-236.49999999999511</c:v>
                </c:pt>
                <c:pt idx="236">
                  <c:v>-236.49999999999511</c:v>
                </c:pt>
                <c:pt idx="237">
                  <c:v>-236.49999999999511</c:v>
                </c:pt>
                <c:pt idx="238">
                  <c:v>-236.49999999999511</c:v>
                </c:pt>
                <c:pt idx="239">
                  <c:v>-236.49999999999511</c:v>
                </c:pt>
                <c:pt idx="240">
                  <c:v>-236.49999999999511</c:v>
                </c:pt>
                <c:pt idx="241">
                  <c:v>-236.49999999999511</c:v>
                </c:pt>
                <c:pt idx="242">
                  <c:v>-236.49999999999511</c:v>
                </c:pt>
                <c:pt idx="243">
                  <c:v>-236.49999999999511</c:v>
                </c:pt>
                <c:pt idx="244">
                  <c:v>-236.49999999999511</c:v>
                </c:pt>
                <c:pt idx="245">
                  <c:v>-236.49999999999511</c:v>
                </c:pt>
                <c:pt idx="246">
                  <c:v>-236.49999999999511</c:v>
                </c:pt>
                <c:pt idx="247">
                  <c:v>-236.49999999999511</c:v>
                </c:pt>
                <c:pt idx="248">
                  <c:v>-236.49999999999511</c:v>
                </c:pt>
                <c:pt idx="249">
                  <c:v>-236.49999999999511</c:v>
                </c:pt>
                <c:pt idx="250">
                  <c:v>-220.39999999999512</c:v>
                </c:pt>
                <c:pt idx="251">
                  <c:v>-220.39999999999512</c:v>
                </c:pt>
                <c:pt idx="252">
                  <c:v>-220.39999999999512</c:v>
                </c:pt>
                <c:pt idx="253">
                  <c:v>-204.29999999999512</c:v>
                </c:pt>
                <c:pt idx="254">
                  <c:v>-204.29999999999512</c:v>
                </c:pt>
                <c:pt idx="255">
                  <c:v>-204.29999999999512</c:v>
                </c:pt>
                <c:pt idx="256">
                  <c:v>-204.29999999999512</c:v>
                </c:pt>
                <c:pt idx="257">
                  <c:v>-204.29999999999512</c:v>
                </c:pt>
                <c:pt idx="258">
                  <c:v>-188.19999999999513</c:v>
                </c:pt>
                <c:pt idx="259">
                  <c:v>-188.19999999999513</c:v>
                </c:pt>
                <c:pt idx="260">
                  <c:v>-188.19999999999513</c:v>
                </c:pt>
                <c:pt idx="261">
                  <c:v>-188.19999999999513</c:v>
                </c:pt>
                <c:pt idx="262">
                  <c:v>-188.19999999999513</c:v>
                </c:pt>
                <c:pt idx="263">
                  <c:v>-188.19999999999513</c:v>
                </c:pt>
                <c:pt idx="264">
                  <c:v>-188.19999999999513</c:v>
                </c:pt>
                <c:pt idx="265">
                  <c:v>-188.19999999999513</c:v>
                </c:pt>
                <c:pt idx="266">
                  <c:v>-188.19999999999513</c:v>
                </c:pt>
                <c:pt idx="267">
                  <c:v>-188.19999999999513</c:v>
                </c:pt>
                <c:pt idx="268">
                  <c:v>-188.19999999999513</c:v>
                </c:pt>
                <c:pt idx="269">
                  <c:v>-188.19999999999513</c:v>
                </c:pt>
                <c:pt idx="270">
                  <c:v>-188.19999999999513</c:v>
                </c:pt>
                <c:pt idx="271">
                  <c:v>-188.19999999999513</c:v>
                </c:pt>
                <c:pt idx="272">
                  <c:v>-188.19999999999513</c:v>
                </c:pt>
                <c:pt idx="273">
                  <c:v>-188.19999999999513</c:v>
                </c:pt>
                <c:pt idx="274">
                  <c:v>-188.19999999999513</c:v>
                </c:pt>
                <c:pt idx="275">
                  <c:v>-188.19999999999513</c:v>
                </c:pt>
                <c:pt idx="276">
                  <c:v>-188.19999999999513</c:v>
                </c:pt>
                <c:pt idx="277">
                  <c:v>-188.19999999999513</c:v>
                </c:pt>
                <c:pt idx="278">
                  <c:v>-188.19999999999513</c:v>
                </c:pt>
                <c:pt idx="279">
                  <c:v>-188.19999999999513</c:v>
                </c:pt>
                <c:pt idx="280">
                  <c:v>-188.19999999999513</c:v>
                </c:pt>
                <c:pt idx="281">
                  <c:v>-188.19999999999513</c:v>
                </c:pt>
                <c:pt idx="282">
                  <c:v>-188.19999999999513</c:v>
                </c:pt>
                <c:pt idx="283">
                  <c:v>-188.19999999999513</c:v>
                </c:pt>
                <c:pt idx="284">
                  <c:v>-188.19999999999513</c:v>
                </c:pt>
                <c:pt idx="285">
                  <c:v>-188.19999999999513</c:v>
                </c:pt>
                <c:pt idx="286">
                  <c:v>-188.19999999999513</c:v>
                </c:pt>
                <c:pt idx="287">
                  <c:v>-188.19999999999513</c:v>
                </c:pt>
                <c:pt idx="288">
                  <c:v>-188.19999999999513</c:v>
                </c:pt>
                <c:pt idx="289">
                  <c:v>-188.19999999999513</c:v>
                </c:pt>
                <c:pt idx="290">
                  <c:v>-188.19999999999513</c:v>
                </c:pt>
                <c:pt idx="291">
                  <c:v>-188.19999999999513</c:v>
                </c:pt>
                <c:pt idx="292">
                  <c:v>-188.19999999999513</c:v>
                </c:pt>
                <c:pt idx="293">
                  <c:v>-188.19999999999513</c:v>
                </c:pt>
                <c:pt idx="294">
                  <c:v>-188.19999999999513</c:v>
                </c:pt>
                <c:pt idx="295">
                  <c:v>-188.19999999999513</c:v>
                </c:pt>
                <c:pt idx="296">
                  <c:v>-188.19999999999513</c:v>
                </c:pt>
                <c:pt idx="297">
                  <c:v>-188.19999999999513</c:v>
                </c:pt>
                <c:pt idx="298">
                  <c:v>-188.19999999999513</c:v>
                </c:pt>
                <c:pt idx="299">
                  <c:v>-188.19999999999513</c:v>
                </c:pt>
                <c:pt idx="300">
                  <c:v>-188.19999999999513</c:v>
                </c:pt>
                <c:pt idx="301">
                  <c:v>-188.19999999999513</c:v>
                </c:pt>
                <c:pt idx="302">
                  <c:v>-188.19999999999513</c:v>
                </c:pt>
                <c:pt idx="303">
                  <c:v>-188.19999999999513</c:v>
                </c:pt>
                <c:pt idx="304">
                  <c:v>-188.19999999999513</c:v>
                </c:pt>
                <c:pt idx="305">
                  <c:v>-188.19999999999513</c:v>
                </c:pt>
                <c:pt idx="306">
                  <c:v>-188.19999999999513</c:v>
                </c:pt>
                <c:pt idx="307">
                  <c:v>-188.19999999999513</c:v>
                </c:pt>
                <c:pt idx="308">
                  <c:v>-188.19999999999513</c:v>
                </c:pt>
                <c:pt idx="309">
                  <c:v>-188.19999999999513</c:v>
                </c:pt>
                <c:pt idx="310">
                  <c:v>-188.19999999999513</c:v>
                </c:pt>
                <c:pt idx="311">
                  <c:v>-188.19999999999513</c:v>
                </c:pt>
                <c:pt idx="312">
                  <c:v>-220.59999999999516</c:v>
                </c:pt>
                <c:pt idx="313">
                  <c:v>-350.19999999999516</c:v>
                </c:pt>
                <c:pt idx="314">
                  <c:v>-333.99999999999511</c:v>
                </c:pt>
                <c:pt idx="315">
                  <c:v>-333.99999999999511</c:v>
                </c:pt>
                <c:pt idx="316">
                  <c:v>-333.99999999999511</c:v>
                </c:pt>
                <c:pt idx="317">
                  <c:v>-333.99999999999511</c:v>
                </c:pt>
                <c:pt idx="318">
                  <c:v>-333.99999999999511</c:v>
                </c:pt>
                <c:pt idx="319">
                  <c:v>-333.99999999999511</c:v>
                </c:pt>
                <c:pt idx="320">
                  <c:v>-333.99999999999511</c:v>
                </c:pt>
                <c:pt idx="321">
                  <c:v>-333.99999999999511</c:v>
                </c:pt>
                <c:pt idx="322">
                  <c:v>-333.99999999999511</c:v>
                </c:pt>
                <c:pt idx="323">
                  <c:v>-333.99999999999511</c:v>
                </c:pt>
                <c:pt idx="324">
                  <c:v>-333.99999999999511</c:v>
                </c:pt>
                <c:pt idx="325">
                  <c:v>-333.99999999999511</c:v>
                </c:pt>
                <c:pt idx="326">
                  <c:v>-333.99999999999511</c:v>
                </c:pt>
                <c:pt idx="327">
                  <c:v>-333.99999999999511</c:v>
                </c:pt>
                <c:pt idx="328">
                  <c:v>-333.99999999999511</c:v>
                </c:pt>
                <c:pt idx="329">
                  <c:v>-333.99999999999511</c:v>
                </c:pt>
                <c:pt idx="330">
                  <c:v>-333.99999999999511</c:v>
                </c:pt>
                <c:pt idx="331">
                  <c:v>-333.99999999999511</c:v>
                </c:pt>
                <c:pt idx="332">
                  <c:v>-333.99999999999511</c:v>
                </c:pt>
                <c:pt idx="333">
                  <c:v>-333.99999999999511</c:v>
                </c:pt>
                <c:pt idx="334">
                  <c:v>-333.99999999999511</c:v>
                </c:pt>
                <c:pt idx="335">
                  <c:v>-333.99999999999511</c:v>
                </c:pt>
                <c:pt idx="336">
                  <c:v>-189.9999999999948</c:v>
                </c:pt>
                <c:pt idx="337">
                  <c:v>-189.9999999999948</c:v>
                </c:pt>
                <c:pt idx="338">
                  <c:v>-189.9999999999948</c:v>
                </c:pt>
                <c:pt idx="339">
                  <c:v>-189.9999999999948</c:v>
                </c:pt>
                <c:pt idx="340">
                  <c:v>34.000000000005258</c:v>
                </c:pt>
                <c:pt idx="341">
                  <c:v>34.000000000005258</c:v>
                </c:pt>
                <c:pt idx="342">
                  <c:v>2.000000000005258</c:v>
                </c:pt>
                <c:pt idx="343">
                  <c:v>2.000000000005258</c:v>
                </c:pt>
                <c:pt idx="344">
                  <c:v>2.000000000005258</c:v>
                </c:pt>
                <c:pt idx="345">
                  <c:v>2.000000000005258</c:v>
                </c:pt>
                <c:pt idx="346">
                  <c:v>2.000000000005258</c:v>
                </c:pt>
                <c:pt idx="347">
                  <c:v>2.000000000005258</c:v>
                </c:pt>
                <c:pt idx="348">
                  <c:v>2.000000000005258</c:v>
                </c:pt>
                <c:pt idx="349">
                  <c:v>2.000000000005258</c:v>
                </c:pt>
                <c:pt idx="350">
                  <c:v>2.000000000005258</c:v>
                </c:pt>
                <c:pt idx="351">
                  <c:v>2.000000000005258</c:v>
                </c:pt>
                <c:pt idx="352">
                  <c:v>2.000000000005258</c:v>
                </c:pt>
                <c:pt idx="353">
                  <c:v>2.000000000005258</c:v>
                </c:pt>
                <c:pt idx="354">
                  <c:v>2.000000000005258</c:v>
                </c:pt>
                <c:pt idx="355">
                  <c:v>2.000000000005258</c:v>
                </c:pt>
                <c:pt idx="356">
                  <c:v>2.000000000005258</c:v>
                </c:pt>
                <c:pt idx="357">
                  <c:v>2.000000000005258</c:v>
                </c:pt>
                <c:pt idx="358">
                  <c:v>2.000000000005258</c:v>
                </c:pt>
                <c:pt idx="359">
                  <c:v>2.000000000005258</c:v>
                </c:pt>
                <c:pt idx="360">
                  <c:v>2.000000000005258</c:v>
                </c:pt>
                <c:pt idx="361">
                  <c:v>2.000000000005258</c:v>
                </c:pt>
                <c:pt idx="362">
                  <c:v>2.000000000005258</c:v>
                </c:pt>
                <c:pt idx="363">
                  <c:v>2.000000000005258</c:v>
                </c:pt>
                <c:pt idx="364">
                  <c:v>-69.999999999994799</c:v>
                </c:pt>
                <c:pt idx="365">
                  <c:v>-69.999999999994799</c:v>
                </c:pt>
                <c:pt idx="366">
                  <c:v>-69.999999999994799</c:v>
                </c:pt>
                <c:pt idx="367">
                  <c:v>-69.999999999994799</c:v>
                </c:pt>
                <c:pt idx="368">
                  <c:v>-69.999999999994799</c:v>
                </c:pt>
                <c:pt idx="369">
                  <c:v>-69.999999999994799</c:v>
                </c:pt>
                <c:pt idx="370">
                  <c:v>-69.999999999994799</c:v>
                </c:pt>
                <c:pt idx="371">
                  <c:v>-69.999999999994799</c:v>
                </c:pt>
                <c:pt idx="372">
                  <c:v>-69.999999999994799</c:v>
                </c:pt>
                <c:pt idx="373">
                  <c:v>-133.99999999999486</c:v>
                </c:pt>
                <c:pt idx="374">
                  <c:v>-133.99999999999486</c:v>
                </c:pt>
                <c:pt idx="375">
                  <c:v>-133.99999999999486</c:v>
                </c:pt>
                <c:pt idx="376">
                  <c:v>-133.99999999999486</c:v>
                </c:pt>
                <c:pt idx="377">
                  <c:v>-245.99999999999494</c:v>
                </c:pt>
                <c:pt idx="378">
                  <c:v>-245.99999999999494</c:v>
                </c:pt>
                <c:pt idx="379">
                  <c:v>-245.99999999999494</c:v>
                </c:pt>
                <c:pt idx="380">
                  <c:v>-245.99999999999494</c:v>
                </c:pt>
                <c:pt idx="381">
                  <c:v>-245.99999999999494</c:v>
                </c:pt>
                <c:pt idx="382">
                  <c:v>-917.999999999995</c:v>
                </c:pt>
                <c:pt idx="383">
                  <c:v>-917.999999999995</c:v>
                </c:pt>
                <c:pt idx="384">
                  <c:v>-917.999999999995</c:v>
                </c:pt>
                <c:pt idx="385">
                  <c:v>-917.999999999995</c:v>
                </c:pt>
                <c:pt idx="386">
                  <c:v>-917.999999999995</c:v>
                </c:pt>
                <c:pt idx="387">
                  <c:v>-917.999999999995</c:v>
                </c:pt>
                <c:pt idx="388">
                  <c:v>-917.999999999995</c:v>
                </c:pt>
                <c:pt idx="389">
                  <c:v>-917.999999999995</c:v>
                </c:pt>
                <c:pt idx="390">
                  <c:v>-917.999999999995</c:v>
                </c:pt>
                <c:pt idx="391">
                  <c:v>-917.999999999995</c:v>
                </c:pt>
                <c:pt idx="392">
                  <c:v>-917.999999999995</c:v>
                </c:pt>
                <c:pt idx="393">
                  <c:v>-917.999999999995</c:v>
                </c:pt>
                <c:pt idx="394">
                  <c:v>-917.999999999995</c:v>
                </c:pt>
                <c:pt idx="395">
                  <c:v>-501.99999999999494</c:v>
                </c:pt>
                <c:pt idx="396">
                  <c:v>-501.99999999999494</c:v>
                </c:pt>
                <c:pt idx="397">
                  <c:v>-501.99999999999494</c:v>
                </c:pt>
                <c:pt idx="398">
                  <c:v>-501.99999999999494</c:v>
                </c:pt>
                <c:pt idx="399">
                  <c:v>-501.99999999999494</c:v>
                </c:pt>
                <c:pt idx="400">
                  <c:v>-501.99999999999494</c:v>
                </c:pt>
                <c:pt idx="401">
                  <c:v>-501.99999999999494</c:v>
                </c:pt>
                <c:pt idx="402">
                  <c:v>-501.99999999999494</c:v>
                </c:pt>
                <c:pt idx="403">
                  <c:v>-501.99999999999494</c:v>
                </c:pt>
                <c:pt idx="404">
                  <c:v>-501.99999999999494</c:v>
                </c:pt>
                <c:pt idx="405">
                  <c:v>-501.99999999999494</c:v>
                </c:pt>
                <c:pt idx="406">
                  <c:v>-501.99999999999494</c:v>
                </c:pt>
                <c:pt idx="407">
                  <c:v>-501.99999999999494</c:v>
                </c:pt>
                <c:pt idx="408">
                  <c:v>-501.99999999999494</c:v>
                </c:pt>
                <c:pt idx="409">
                  <c:v>-501.99999999999494</c:v>
                </c:pt>
                <c:pt idx="410">
                  <c:v>-501.99999999999494</c:v>
                </c:pt>
                <c:pt idx="411">
                  <c:v>-501.99999999999494</c:v>
                </c:pt>
                <c:pt idx="412">
                  <c:v>-501.99999999999494</c:v>
                </c:pt>
                <c:pt idx="413">
                  <c:v>-501.99999999999494</c:v>
                </c:pt>
                <c:pt idx="414">
                  <c:v>-501.99999999999494</c:v>
                </c:pt>
                <c:pt idx="415">
                  <c:v>-501.99999999999494</c:v>
                </c:pt>
                <c:pt idx="416">
                  <c:v>-981.999999999995</c:v>
                </c:pt>
                <c:pt idx="417">
                  <c:v>-981.999999999995</c:v>
                </c:pt>
                <c:pt idx="418">
                  <c:v>-981.999999999995</c:v>
                </c:pt>
                <c:pt idx="419">
                  <c:v>-981.999999999995</c:v>
                </c:pt>
                <c:pt idx="420">
                  <c:v>-981.999999999995</c:v>
                </c:pt>
                <c:pt idx="421">
                  <c:v>-981.999999999995</c:v>
                </c:pt>
                <c:pt idx="422">
                  <c:v>-981.999999999995</c:v>
                </c:pt>
                <c:pt idx="423">
                  <c:v>-981.999999999995</c:v>
                </c:pt>
                <c:pt idx="424">
                  <c:v>-981.999999999995</c:v>
                </c:pt>
                <c:pt idx="425">
                  <c:v>-981.999999999995</c:v>
                </c:pt>
                <c:pt idx="426">
                  <c:v>-981.999999999995</c:v>
                </c:pt>
                <c:pt idx="427">
                  <c:v>-469.999999999995</c:v>
                </c:pt>
                <c:pt idx="428">
                  <c:v>-469.999999999995</c:v>
                </c:pt>
                <c:pt idx="429">
                  <c:v>-469.999999999995</c:v>
                </c:pt>
                <c:pt idx="430">
                  <c:v>-229.99999999999497</c:v>
                </c:pt>
                <c:pt idx="431">
                  <c:v>-117.99999999999487</c:v>
                </c:pt>
                <c:pt idx="432">
                  <c:v>42.00000000000513</c:v>
                </c:pt>
                <c:pt idx="433">
                  <c:v>42.00000000000513</c:v>
                </c:pt>
                <c:pt idx="434">
                  <c:v>42.00000000000513</c:v>
                </c:pt>
                <c:pt idx="435">
                  <c:v>42.00000000000513</c:v>
                </c:pt>
                <c:pt idx="436">
                  <c:v>42.00000000000513</c:v>
                </c:pt>
                <c:pt idx="437">
                  <c:v>42.00000000000513</c:v>
                </c:pt>
                <c:pt idx="438">
                  <c:v>42.00000000000513</c:v>
                </c:pt>
                <c:pt idx="439">
                  <c:v>42.00000000000513</c:v>
                </c:pt>
                <c:pt idx="440">
                  <c:v>42.00000000000513</c:v>
                </c:pt>
                <c:pt idx="441">
                  <c:v>42.00000000000513</c:v>
                </c:pt>
                <c:pt idx="442">
                  <c:v>42.00000000000513</c:v>
                </c:pt>
                <c:pt idx="443">
                  <c:v>66.000000000005144</c:v>
                </c:pt>
                <c:pt idx="444">
                  <c:v>66.000000000005144</c:v>
                </c:pt>
                <c:pt idx="445">
                  <c:v>66.000000000005144</c:v>
                </c:pt>
                <c:pt idx="446">
                  <c:v>66.000000000005144</c:v>
                </c:pt>
                <c:pt idx="447">
                  <c:v>66.000000000005144</c:v>
                </c:pt>
                <c:pt idx="448">
                  <c:v>66.000000000005144</c:v>
                </c:pt>
                <c:pt idx="449">
                  <c:v>66.000000000005144</c:v>
                </c:pt>
                <c:pt idx="450">
                  <c:v>66.000000000005144</c:v>
                </c:pt>
                <c:pt idx="451">
                  <c:v>66.000000000005144</c:v>
                </c:pt>
                <c:pt idx="452">
                  <c:v>66.000000000005144</c:v>
                </c:pt>
                <c:pt idx="453">
                  <c:v>66.000000000005144</c:v>
                </c:pt>
                <c:pt idx="454">
                  <c:v>66.000000000005144</c:v>
                </c:pt>
                <c:pt idx="455">
                  <c:v>66.000000000005144</c:v>
                </c:pt>
                <c:pt idx="456">
                  <c:v>66.000000000005144</c:v>
                </c:pt>
                <c:pt idx="457">
                  <c:v>66.000000000005144</c:v>
                </c:pt>
                <c:pt idx="458">
                  <c:v>162.00000000000495</c:v>
                </c:pt>
                <c:pt idx="459">
                  <c:v>162.00000000000495</c:v>
                </c:pt>
                <c:pt idx="460">
                  <c:v>162.00000000000495</c:v>
                </c:pt>
                <c:pt idx="461">
                  <c:v>162.00000000000495</c:v>
                </c:pt>
                <c:pt idx="462">
                  <c:v>162.00000000000495</c:v>
                </c:pt>
                <c:pt idx="463">
                  <c:v>162.00000000000495</c:v>
                </c:pt>
                <c:pt idx="464">
                  <c:v>162.00000000000495</c:v>
                </c:pt>
                <c:pt idx="465">
                  <c:v>162.00000000000495</c:v>
                </c:pt>
                <c:pt idx="466">
                  <c:v>162.00000000000495</c:v>
                </c:pt>
                <c:pt idx="467">
                  <c:v>162.00000000000495</c:v>
                </c:pt>
                <c:pt idx="468">
                  <c:v>162.00000000000495</c:v>
                </c:pt>
                <c:pt idx="469">
                  <c:v>162.00000000000495</c:v>
                </c:pt>
                <c:pt idx="470">
                  <c:v>162.00000000000495</c:v>
                </c:pt>
                <c:pt idx="471">
                  <c:v>162.00000000000495</c:v>
                </c:pt>
                <c:pt idx="472">
                  <c:v>162.00000000000495</c:v>
                </c:pt>
                <c:pt idx="473">
                  <c:v>402.00000000000495</c:v>
                </c:pt>
                <c:pt idx="474">
                  <c:v>402.00000000000495</c:v>
                </c:pt>
                <c:pt idx="475">
                  <c:v>402.00000000000495</c:v>
                </c:pt>
                <c:pt idx="476">
                  <c:v>402.00000000000495</c:v>
                </c:pt>
                <c:pt idx="477">
                  <c:v>402.00000000000495</c:v>
                </c:pt>
                <c:pt idx="478">
                  <c:v>402.00000000000495</c:v>
                </c:pt>
                <c:pt idx="479">
                  <c:v>402.00000000000495</c:v>
                </c:pt>
                <c:pt idx="480">
                  <c:v>402.00000000000495</c:v>
                </c:pt>
                <c:pt idx="481">
                  <c:v>402.00000000000495</c:v>
                </c:pt>
                <c:pt idx="482">
                  <c:v>402.00000000000495</c:v>
                </c:pt>
                <c:pt idx="483">
                  <c:v>402.00000000000495</c:v>
                </c:pt>
                <c:pt idx="484">
                  <c:v>402.00000000000495</c:v>
                </c:pt>
                <c:pt idx="485">
                  <c:v>402.00000000000495</c:v>
                </c:pt>
                <c:pt idx="486">
                  <c:v>402.00000000000495</c:v>
                </c:pt>
                <c:pt idx="487">
                  <c:v>402.00000000000495</c:v>
                </c:pt>
                <c:pt idx="488">
                  <c:v>402.00000000000495</c:v>
                </c:pt>
                <c:pt idx="489">
                  <c:v>402.00000000000495</c:v>
                </c:pt>
                <c:pt idx="490">
                  <c:v>402.00000000000495</c:v>
                </c:pt>
                <c:pt idx="491">
                  <c:v>402.00000000000495</c:v>
                </c:pt>
                <c:pt idx="492">
                  <c:v>402.00000000000495</c:v>
                </c:pt>
                <c:pt idx="493">
                  <c:v>402.00000000000495</c:v>
                </c:pt>
                <c:pt idx="494">
                  <c:v>402.00000000000495</c:v>
                </c:pt>
                <c:pt idx="495">
                  <c:v>402.00000000000495</c:v>
                </c:pt>
                <c:pt idx="496">
                  <c:v>402.00000000000495</c:v>
                </c:pt>
                <c:pt idx="497">
                  <c:v>402.00000000000495</c:v>
                </c:pt>
                <c:pt idx="498">
                  <c:v>402.00000000000495</c:v>
                </c:pt>
                <c:pt idx="499">
                  <c:v>402.00000000000495</c:v>
                </c:pt>
                <c:pt idx="500">
                  <c:v>402.00000000000495</c:v>
                </c:pt>
                <c:pt idx="501">
                  <c:v>402.00000000000495</c:v>
                </c:pt>
                <c:pt idx="502">
                  <c:v>402.00000000000495</c:v>
                </c:pt>
                <c:pt idx="503">
                  <c:v>402.00000000000495</c:v>
                </c:pt>
                <c:pt idx="504">
                  <c:v>402.00000000000495</c:v>
                </c:pt>
                <c:pt idx="505">
                  <c:v>402.00000000000495</c:v>
                </c:pt>
                <c:pt idx="506">
                  <c:v>402.00000000000495</c:v>
                </c:pt>
                <c:pt idx="507">
                  <c:v>402.00000000000495</c:v>
                </c:pt>
                <c:pt idx="508">
                  <c:v>402.00000000000495</c:v>
                </c:pt>
                <c:pt idx="509">
                  <c:v>402.00000000000495</c:v>
                </c:pt>
                <c:pt idx="510">
                  <c:v>402.00000000000495</c:v>
                </c:pt>
                <c:pt idx="511">
                  <c:v>402.00000000000495</c:v>
                </c:pt>
                <c:pt idx="512">
                  <c:v>402.00000000000495</c:v>
                </c:pt>
                <c:pt idx="513">
                  <c:v>402.00000000000495</c:v>
                </c:pt>
                <c:pt idx="514">
                  <c:v>402.00000000000495</c:v>
                </c:pt>
                <c:pt idx="515">
                  <c:v>402.00000000000495</c:v>
                </c:pt>
                <c:pt idx="516">
                  <c:v>402.00000000000495</c:v>
                </c:pt>
                <c:pt idx="517">
                  <c:v>402.00000000000495</c:v>
                </c:pt>
                <c:pt idx="518">
                  <c:v>402.00000000000495</c:v>
                </c:pt>
                <c:pt idx="519">
                  <c:v>402.00000000000495</c:v>
                </c:pt>
                <c:pt idx="520">
                  <c:v>402.00000000000495</c:v>
                </c:pt>
                <c:pt idx="521">
                  <c:v>402.00000000000495</c:v>
                </c:pt>
                <c:pt idx="522">
                  <c:v>402.00000000000495</c:v>
                </c:pt>
                <c:pt idx="523">
                  <c:v>402.00000000000495</c:v>
                </c:pt>
                <c:pt idx="524">
                  <c:v>402.00000000000495</c:v>
                </c:pt>
                <c:pt idx="525">
                  <c:v>402.00000000000495</c:v>
                </c:pt>
                <c:pt idx="526">
                  <c:v>402.00000000000495</c:v>
                </c:pt>
                <c:pt idx="527">
                  <c:v>402.00000000000495</c:v>
                </c:pt>
                <c:pt idx="528">
                  <c:v>402.00000000000495</c:v>
                </c:pt>
                <c:pt idx="529">
                  <c:v>402.00000000000495</c:v>
                </c:pt>
                <c:pt idx="530">
                  <c:v>402.00000000000495</c:v>
                </c:pt>
                <c:pt idx="531">
                  <c:v>402.00000000000495</c:v>
                </c:pt>
                <c:pt idx="532">
                  <c:v>402.00000000000495</c:v>
                </c:pt>
                <c:pt idx="533">
                  <c:v>402.00000000000495</c:v>
                </c:pt>
                <c:pt idx="534">
                  <c:v>402.00000000000495</c:v>
                </c:pt>
                <c:pt idx="535">
                  <c:v>402.00000000000495</c:v>
                </c:pt>
                <c:pt idx="536">
                  <c:v>402.00000000000495</c:v>
                </c:pt>
                <c:pt idx="537">
                  <c:v>402.00000000000495</c:v>
                </c:pt>
                <c:pt idx="538">
                  <c:v>562.00000000000512</c:v>
                </c:pt>
                <c:pt idx="539">
                  <c:v>562.00000000000512</c:v>
                </c:pt>
                <c:pt idx="540">
                  <c:v>562.00000000000512</c:v>
                </c:pt>
                <c:pt idx="541">
                  <c:v>562.00000000000512</c:v>
                </c:pt>
                <c:pt idx="542">
                  <c:v>562.00000000000512</c:v>
                </c:pt>
                <c:pt idx="543">
                  <c:v>562.00000000000512</c:v>
                </c:pt>
                <c:pt idx="544">
                  <c:v>562.00000000000512</c:v>
                </c:pt>
                <c:pt idx="545">
                  <c:v>562.00000000000512</c:v>
                </c:pt>
                <c:pt idx="546">
                  <c:v>562.00000000000512</c:v>
                </c:pt>
                <c:pt idx="547">
                  <c:v>562.00000000000512</c:v>
                </c:pt>
                <c:pt idx="548">
                  <c:v>562.00000000000512</c:v>
                </c:pt>
                <c:pt idx="549">
                  <c:v>562.00000000000512</c:v>
                </c:pt>
                <c:pt idx="550">
                  <c:v>562.00000000000512</c:v>
                </c:pt>
                <c:pt idx="551">
                  <c:v>530.00000000000489</c:v>
                </c:pt>
                <c:pt idx="552">
                  <c:v>530.00000000000489</c:v>
                </c:pt>
                <c:pt idx="553">
                  <c:v>530.00000000000489</c:v>
                </c:pt>
                <c:pt idx="554">
                  <c:v>530.00000000000489</c:v>
                </c:pt>
                <c:pt idx="555">
                  <c:v>530.00000000000489</c:v>
                </c:pt>
                <c:pt idx="556">
                  <c:v>530.00000000000489</c:v>
                </c:pt>
                <c:pt idx="557">
                  <c:v>530.00000000000489</c:v>
                </c:pt>
                <c:pt idx="558">
                  <c:v>530.00000000000489</c:v>
                </c:pt>
                <c:pt idx="559">
                  <c:v>530.00000000000489</c:v>
                </c:pt>
                <c:pt idx="560">
                  <c:v>530.00000000000489</c:v>
                </c:pt>
                <c:pt idx="561">
                  <c:v>850.00000000000477</c:v>
                </c:pt>
                <c:pt idx="562">
                  <c:v>850.00000000000477</c:v>
                </c:pt>
                <c:pt idx="563">
                  <c:v>850.00000000000477</c:v>
                </c:pt>
                <c:pt idx="564">
                  <c:v>2194.0000000000045</c:v>
                </c:pt>
                <c:pt idx="565">
                  <c:v>2194.0000000000045</c:v>
                </c:pt>
                <c:pt idx="566">
                  <c:v>2194.0000000000045</c:v>
                </c:pt>
                <c:pt idx="567">
                  <c:v>2194.0000000000045</c:v>
                </c:pt>
                <c:pt idx="568">
                  <c:v>2194.0000000000045</c:v>
                </c:pt>
                <c:pt idx="569">
                  <c:v>2194.0000000000045</c:v>
                </c:pt>
                <c:pt idx="570">
                  <c:v>2194.0000000000045</c:v>
                </c:pt>
                <c:pt idx="571">
                  <c:v>2194.0000000000045</c:v>
                </c:pt>
                <c:pt idx="572">
                  <c:v>2194.0000000000045</c:v>
                </c:pt>
                <c:pt idx="573">
                  <c:v>2226.0000000000045</c:v>
                </c:pt>
                <c:pt idx="574">
                  <c:v>2226.0000000000045</c:v>
                </c:pt>
                <c:pt idx="575">
                  <c:v>2226.0000000000045</c:v>
                </c:pt>
                <c:pt idx="576">
                  <c:v>2226.0000000000045</c:v>
                </c:pt>
                <c:pt idx="577">
                  <c:v>2226.0000000000045</c:v>
                </c:pt>
                <c:pt idx="578">
                  <c:v>2226.0000000000045</c:v>
                </c:pt>
                <c:pt idx="579">
                  <c:v>2226.0000000000045</c:v>
                </c:pt>
                <c:pt idx="580">
                  <c:v>2226.0000000000045</c:v>
                </c:pt>
                <c:pt idx="581">
                  <c:v>2226.0000000000045</c:v>
                </c:pt>
                <c:pt idx="582">
                  <c:v>2226.0000000000045</c:v>
                </c:pt>
                <c:pt idx="583">
                  <c:v>2226.0000000000045</c:v>
                </c:pt>
                <c:pt idx="584">
                  <c:v>2226.0000000000045</c:v>
                </c:pt>
                <c:pt idx="585">
                  <c:v>2226.0000000000045</c:v>
                </c:pt>
                <c:pt idx="586">
                  <c:v>2226.0000000000045</c:v>
                </c:pt>
                <c:pt idx="587">
                  <c:v>2226.0000000000045</c:v>
                </c:pt>
                <c:pt idx="588">
                  <c:v>2226.0000000000045</c:v>
                </c:pt>
                <c:pt idx="589">
                  <c:v>2386.0000000000045</c:v>
                </c:pt>
                <c:pt idx="590">
                  <c:v>2386.0000000000045</c:v>
                </c:pt>
                <c:pt idx="591">
                  <c:v>2386.0000000000045</c:v>
                </c:pt>
                <c:pt idx="592">
                  <c:v>2386.0000000000045</c:v>
                </c:pt>
                <c:pt idx="593">
                  <c:v>2386.0000000000045</c:v>
                </c:pt>
                <c:pt idx="594">
                  <c:v>2386.0000000000045</c:v>
                </c:pt>
                <c:pt idx="595">
                  <c:v>2386.0000000000045</c:v>
                </c:pt>
                <c:pt idx="596">
                  <c:v>2386.0000000000045</c:v>
                </c:pt>
                <c:pt idx="597">
                  <c:v>2386.0000000000045</c:v>
                </c:pt>
                <c:pt idx="598">
                  <c:v>2386.0000000000045</c:v>
                </c:pt>
                <c:pt idx="599">
                  <c:v>2386.0000000000045</c:v>
                </c:pt>
                <c:pt idx="600">
                  <c:v>3266.0000000000045</c:v>
                </c:pt>
                <c:pt idx="601">
                  <c:v>3362.0000000000045</c:v>
                </c:pt>
                <c:pt idx="602">
                  <c:v>3362.0000000000045</c:v>
                </c:pt>
                <c:pt idx="603">
                  <c:v>3362.0000000000045</c:v>
                </c:pt>
                <c:pt idx="604">
                  <c:v>3362.0000000000045</c:v>
                </c:pt>
                <c:pt idx="605">
                  <c:v>3362.0000000000045</c:v>
                </c:pt>
                <c:pt idx="606">
                  <c:v>3362.0000000000045</c:v>
                </c:pt>
                <c:pt idx="607">
                  <c:v>3362.0000000000045</c:v>
                </c:pt>
                <c:pt idx="608">
                  <c:v>3362.0000000000045</c:v>
                </c:pt>
                <c:pt idx="609">
                  <c:v>3362.0000000000045</c:v>
                </c:pt>
                <c:pt idx="610">
                  <c:v>3362.0000000000045</c:v>
                </c:pt>
                <c:pt idx="611">
                  <c:v>3362.0000000000045</c:v>
                </c:pt>
                <c:pt idx="612">
                  <c:v>3362.0000000000045</c:v>
                </c:pt>
                <c:pt idx="613">
                  <c:v>3362.0000000000045</c:v>
                </c:pt>
                <c:pt idx="614">
                  <c:v>3362.0000000000045</c:v>
                </c:pt>
                <c:pt idx="615">
                  <c:v>3362.0000000000045</c:v>
                </c:pt>
                <c:pt idx="616">
                  <c:v>3362.0000000000045</c:v>
                </c:pt>
                <c:pt idx="617">
                  <c:v>3362.0000000000045</c:v>
                </c:pt>
                <c:pt idx="618">
                  <c:v>3362.0000000000045</c:v>
                </c:pt>
                <c:pt idx="619">
                  <c:v>3362.0000000000045</c:v>
                </c:pt>
                <c:pt idx="620">
                  <c:v>3362.0000000000045</c:v>
                </c:pt>
                <c:pt idx="621">
                  <c:v>3362.0000000000045</c:v>
                </c:pt>
                <c:pt idx="622">
                  <c:v>3362.0000000000045</c:v>
                </c:pt>
                <c:pt idx="623">
                  <c:v>3362.0000000000045</c:v>
                </c:pt>
                <c:pt idx="624">
                  <c:v>3362.0000000000045</c:v>
                </c:pt>
                <c:pt idx="625">
                  <c:v>3362.0000000000045</c:v>
                </c:pt>
                <c:pt idx="626">
                  <c:v>3362.0000000000045</c:v>
                </c:pt>
                <c:pt idx="627">
                  <c:v>3362.0000000000045</c:v>
                </c:pt>
                <c:pt idx="628">
                  <c:v>3362.0000000000045</c:v>
                </c:pt>
                <c:pt idx="629">
                  <c:v>3362.0000000000045</c:v>
                </c:pt>
                <c:pt idx="630">
                  <c:v>3362.0000000000045</c:v>
                </c:pt>
                <c:pt idx="631">
                  <c:v>3362.0000000000045</c:v>
                </c:pt>
                <c:pt idx="632">
                  <c:v>3362.0000000000045</c:v>
                </c:pt>
                <c:pt idx="633">
                  <c:v>3362.0000000000045</c:v>
                </c:pt>
                <c:pt idx="634">
                  <c:v>3362.0000000000045</c:v>
                </c:pt>
                <c:pt idx="635">
                  <c:v>3362.0000000000045</c:v>
                </c:pt>
                <c:pt idx="636">
                  <c:v>3362.0000000000045</c:v>
                </c:pt>
                <c:pt idx="637">
                  <c:v>3362.0000000000045</c:v>
                </c:pt>
                <c:pt idx="638">
                  <c:v>3362.0000000000045</c:v>
                </c:pt>
                <c:pt idx="639">
                  <c:v>3362.0000000000045</c:v>
                </c:pt>
                <c:pt idx="640">
                  <c:v>3362.0000000000045</c:v>
                </c:pt>
                <c:pt idx="641">
                  <c:v>3362.0000000000045</c:v>
                </c:pt>
                <c:pt idx="642">
                  <c:v>3362.0000000000045</c:v>
                </c:pt>
                <c:pt idx="643">
                  <c:v>3362.0000000000045</c:v>
                </c:pt>
                <c:pt idx="644">
                  <c:v>3362.0000000000045</c:v>
                </c:pt>
                <c:pt idx="645">
                  <c:v>3362.0000000000045</c:v>
                </c:pt>
                <c:pt idx="646">
                  <c:v>3362.0000000000045</c:v>
                </c:pt>
                <c:pt idx="647">
                  <c:v>3362.0000000000045</c:v>
                </c:pt>
                <c:pt idx="648">
                  <c:v>3362.0000000000045</c:v>
                </c:pt>
                <c:pt idx="649">
                  <c:v>3362.0000000000045</c:v>
                </c:pt>
                <c:pt idx="650">
                  <c:v>3362.0000000000045</c:v>
                </c:pt>
                <c:pt idx="651">
                  <c:v>3362.0000000000045</c:v>
                </c:pt>
                <c:pt idx="652">
                  <c:v>3362.0000000000045</c:v>
                </c:pt>
                <c:pt idx="653">
                  <c:v>3362.0000000000045</c:v>
                </c:pt>
                <c:pt idx="654">
                  <c:v>3362.0000000000045</c:v>
                </c:pt>
                <c:pt idx="655">
                  <c:v>3362.0000000000045</c:v>
                </c:pt>
                <c:pt idx="656">
                  <c:v>3362.0000000000045</c:v>
                </c:pt>
                <c:pt idx="657">
                  <c:v>3362.0000000000045</c:v>
                </c:pt>
                <c:pt idx="658">
                  <c:v>3362.0000000000045</c:v>
                </c:pt>
                <c:pt idx="659">
                  <c:v>3362.0000000000045</c:v>
                </c:pt>
                <c:pt idx="660">
                  <c:v>3362.0000000000045</c:v>
                </c:pt>
                <c:pt idx="661">
                  <c:v>3362.0000000000045</c:v>
                </c:pt>
                <c:pt idx="662">
                  <c:v>3362.0000000000045</c:v>
                </c:pt>
                <c:pt idx="663">
                  <c:v>3362.0000000000045</c:v>
                </c:pt>
                <c:pt idx="664">
                  <c:v>3362.0000000000045</c:v>
                </c:pt>
                <c:pt idx="665">
                  <c:v>3362.0000000000045</c:v>
                </c:pt>
                <c:pt idx="666">
                  <c:v>3362.0000000000045</c:v>
                </c:pt>
                <c:pt idx="667">
                  <c:v>3362.0000000000045</c:v>
                </c:pt>
                <c:pt idx="668">
                  <c:v>3362.0000000000045</c:v>
                </c:pt>
                <c:pt idx="669">
                  <c:v>3362.0000000000045</c:v>
                </c:pt>
                <c:pt idx="670">
                  <c:v>3362.0000000000045</c:v>
                </c:pt>
                <c:pt idx="671">
                  <c:v>3362.0000000000045</c:v>
                </c:pt>
                <c:pt idx="672">
                  <c:v>3362.0000000000045</c:v>
                </c:pt>
                <c:pt idx="673">
                  <c:v>3362.0000000000045</c:v>
                </c:pt>
                <c:pt idx="674">
                  <c:v>3314.0000000000045</c:v>
                </c:pt>
                <c:pt idx="675">
                  <c:v>3314.0000000000045</c:v>
                </c:pt>
                <c:pt idx="676">
                  <c:v>3314.0000000000045</c:v>
                </c:pt>
                <c:pt idx="677">
                  <c:v>3314.0000000000045</c:v>
                </c:pt>
                <c:pt idx="678">
                  <c:v>3586.0000000000045</c:v>
                </c:pt>
                <c:pt idx="679">
                  <c:v>3586.0000000000045</c:v>
                </c:pt>
                <c:pt idx="680">
                  <c:v>3586.0000000000045</c:v>
                </c:pt>
                <c:pt idx="681">
                  <c:v>3586.0000000000045</c:v>
                </c:pt>
                <c:pt idx="682">
                  <c:v>3586.0000000000045</c:v>
                </c:pt>
                <c:pt idx="683">
                  <c:v>3586.0000000000045</c:v>
                </c:pt>
                <c:pt idx="684">
                  <c:v>3586.0000000000045</c:v>
                </c:pt>
                <c:pt idx="685">
                  <c:v>3586.0000000000045</c:v>
                </c:pt>
                <c:pt idx="686">
                  <c:v>3586.0000000000045</c:v>
                </c:pt>
                <c:pt idx="687">
                  <c:v>3586.0000000000045</c:v>
                </c:pt>
                <c:pt idx="688">
                  <c:v>3586.0000000000045</c:v>
                </c:pt>
                <c:pt idx="689">
                  <c:v>3586.0000000000045</c:v>
                </c:pt>
                <c:pt idx="690">
                  <c:v>3586.0000000000045</c:v>
                </c:pt>
                <c:pt idx="691">
                  <c:v>3586.0000000000045</c:v>
                </c:pt>
                <c:pt idx="692">
                  <c:v>3586.0000000000045</c:v>
                </c:pt>
                <c:pt idx="693">
                  <c:v>3586.0000000000045</c:v>
                </c:pt>
                <c:pt idx="694">
                  <c:v>3586.0000000000045</c:v>
                </c:pt>
                <c:pt idx="695">
                  <c:v>3586.0000000000045</c:v>
                </c:pt>
                <c:pt idx="696">
                  <c:v>3586.0000000000045</c:v>
                </c:pt>
                <c:pt idx="697">
                  <c:v>3586.0000000000045</c:v>
                </c:pt>
                <c:pt idx="698">
                  <c:v>3586.0000000000045</c:v>
                </c:pt>
                <c:pt idx="699">
                  <c:v>3586.0000000000045</c:v>
                </c:pt>
                <c:pt idx="700">
                  <c:v>3586.0000000000045</c:v>
                </c:pt>
                <c:pt idx="701">
                  <c:v>3586.0000000000045</c:v>
                </c:pt>
                <c:pt idx="702">
                  <c:v>3586.0000000000045</c:v>
                </c:pt>
                <c:pt idx="703">
                  <c:v>3586.0000000000045</c:v>
                </c:pt>
                <c:pt idx="704">
                  <c:v>3586.0000000000045</c:v>
                </c:pt>
                <c:pt idx="705">
                  <c:v>3586.0000000000045</c:v>
                </c:pt>
                <c:pt idx="706">
                  <c:v>3586.0000000000045</c:v>
                </c:pt>
                <c:pt idx="707">
                  <c:v>3586.0000000000045</c:v>
                </c:pt>
                <c:pt idx="708">
                  <c:v>3586.0000000000045</c:v>
                </c:pt>
                <c:pt idx="709">
                  <c:v>3586.0000000000045</c:v>
                </c:pt>
                <c:pt idx="710">
                  <c:v>3586.0000000000045</c:v>
                </c:pt>
                <c:pt idx="711">
                  <c:v>3586.0000000000045</c:v>
                </c:pt>
                <c:pt idx="712">
                  <c:v>3586.0000000000045</c:v>
                </c:pt>
                <c:pt idx="713">
                  <c:v>3586.0000000000045</c:v>
                </c:pt>
                <c:pt idx="714">
                  <c:v>3586.0000000000045</c:v>
                </c:pt>
                <c:pt idx="715">
                  <c:v>3586.0000000000045</c:v>
                </c:pt>
                <c:pt idx="716">
                  <c:v>3586.0000000000045</c:v>
                </c:pt>
                <c:pt idx="717">
                  <c:v>3586.0000000000045</c:v>
                </c:pt>
                <c:pt idx="718">
                  <c:v>3586.0000000000045</c:v>
                </c:pt>
                <c:pt idx="719">
                  <c:v>3586.0000000000045</c:v>
                </c:pt>
                <c:pt idx="720">
                  <c:v>3586.0000000000045</c:v>
                </c:pt>
                <c:pt idx="721">
                  <c:v>3586.0000000000045</c:v>
                </c:pt>
                <c:pt idx="722">
                  <c:v>3586.0000000000045</c:v>
                </c:pt>
                <c:pt idx="723">
                  <c:v>3586.0000000000045</c:v>
                </c:pt>
                <c:pt idx="724">
                  <c:v>3586.0000000000045</c:v>
                </c:pt>
                <c:pt idx="725">
                  <c:v>3586.0000000000045</c:v>
                </c:pt>
                <c:pt idx="726">
                  <c:v>3586.0000000000045</c:v>
                </c:pt>
                <c:pt idx="727">
                  <c:v>3586.0000000000045</c:v>
                </c:pt>
                <c:pt idx="728">
                  <c:v>3586.0000000000045</c:v>
                </c:pt>
                <c:pt idx="729">
                  <c:v>3586.0000000000045</c:v>
                </c:pt>
                <c:pt idx="730">
                  <c:v>3586.0000000000045</c:v>
                </c:pt>
                <c:pt idx="731">
                  <c:v>3586.0000000000045</c:v>
                </c:pt>
                <c:pt idx="732">
                  <c:v>3586.0000000000045</c:v>
                </c:pt>
                <c:pt idx="733">
                  <c:v>3586.0000000000045</c:v>
                </c:pt>
                <c:pt idx="734">
                  <c:v>3586.0000000000045</c:v>
                </c:pt>
                <c:pt idx="735">
                  <c:v>3586.0000000000045</c:v>
                </c:pt>
                <c:pt idx="736">
                  <c:v>3586.0000000000045</c:v>
                </c:pt>
                <c:pt idx="737">
                  <c:v>3586.0000000000045</c:v>
                </c:pt>
                <c:pt idx="738">
                  <c:v>3586.0000000000045</c:v>
                </c:pt>
                <c:pt idx="739">
                  <c:v>3586.0000000000045</c:v>
                </c:pt>
                <c:pt idx="740">
                  <c:v>3586.0000000000045</c:v>
                </c:pt>
                <c:pt idx="741">
                  <c:v>3586.0000000000045</c:v>
                </c:pt>
                <c:pt idx="742">
                  <c:v>3586.0000000000045</c:v>
                </c:pt>
                <c:pt idx="743">
                  <c:v>3586.0000000000045</c:v>
                </c:pt>
                <c:pt idx="744">
                  <c:v>3586.0000000000045</c:v>
                </c:pt>
                <c:pt idx="745">
                  <c:v>3586.0000000000045</c:v>
                </c:pt>
                <c:pt idx="746">
                  <c:v>3586.0000000000045</c:v>
                </c:pt>
                <c:pt idx="747">
                  <c:v>3586.0000000000045</c:v>
                </c:pt>
                <c:pt idx="748">
                  <c:v>3634.0000000000045</c:v>
                </c:pt>
                <c:pt idx="749">
                  <c:v>3634.0000000000045</c:v>
                </c:pt>
                <c:pt idx="750">
                  <c:v>3634.0000000000045</c:v>
                </c:pt>
                <c:pt idx="751">
                  <c:v>3634.0000000000045</c:v>
                </c:pt>
                <c:pt idx="752">
                  <c:v>3634.0000000000045</c:v>
                </c:pt>
                <c:pt idx="753">
                  <c:v>3634.0000000000045</c:v>
                </c:pt>
                <c:pt idx="754">
                  <c:v>3634.0000000000045</c:v>
                </c:pt>
                <c:pt idx="755">
                  <c:v>3634.0000000000045</c:v>
                </c:pt>
                <c:pt idx="756">
                  <c:v>3634.0000000000045</c:v>
                </c:pt>
                <c:pt idx="757">
                  <c:v>3634.0000000000045</c:v>
                </c:pt>
                <c:pt idx="758">
                  <c:v>3250.0000000000045</c:v>
                </c:pt>
                <c:pt idx="759">
                  <c:v>3250.0000000000045</c:v>
                </c:pt>
                <c:pt idx="760">
                  <c:v>3250.0000000000045</c:v>
                </c:pt>
                <c:pt idx="761">
                  <c:v>3250.0000000000045</c:v>
                </c:pt>
                <c:pt idx="762">
                  <c:v>3250.0000000000045</c:v>
                </c:pt>
                <c:pt idx="763">
                  <c:v>3250.0000000000045</c:v>
                </c:pt>
                <c:pt idx="764">
                  <c:v>3538.0000000000045</c:v>
                </c:pt>
                <c:pt idx="765">
                  <c:v>3538.0000000000045</c:v>
                </c:pt>
                <c:pt idx="766">
                  <c:v>3538.0000000000045</c:v>
                </c:pt>
                <c:pt idx="767">
                  <c:v>3538.0000000000045</c:v>
                </c:pt>
                <c:pt idx="768">
                  <c:v>3538.0000000000045</c:v>
                </c:pt>
                <c:pt idx="769">
                  <c:v>3538.0000000000045</c:v>
                </c:pt>
                <c:pt idx="770">
                  <c:v>3538.0000000000045</c:v>
                </c:pt>
                <c:pt idx="771">
                  <c:v>3538.0000000000045</c:v>
                </c:pt>
                <c:pt idx="772">
                  <c:v>3538.0000000000045</c:v>
                </c:pt>
                <c:pt idx="773">
                  <c:v>3538.0000000000045</c:v>
                </c:pt>
                <c:pt idx="774">
                  <c:v>3538.0000000000045</c:v>
                </c:pt>
                <c:pt idx="775">
                  <c:v>3538.0000000000045</c:v>
                </c:pt>
                <c:pt idx="776">
                  <c:v>3538.0000000000045</c:v>
                </c:pt>
                <c:pt idx="777">
                  <c:v>3538.0000000000045</c:v>
                </c:pt>
                <c:pt idx="778">
                  <c:v>3538.0000000000045</c:v>
                </c:pt>
                <c:pt idx="779">
                  <c:v>3538.0000000000045</c:v>
                </c:pt>
                <c:pt idx="780">
                  <c:v>3538.0000000000045</c:v>
                </c:pt>
                <c:pt idx="781">
                  <c:v>3538.0000000000045</c:v>
                </c:pt>
                <c:pt idx="782">
                  <c:v>3538.0000000000045</c:v>
                </c:pt>
                <c:pt idx="783">
                  <c:v>3538.0000000000045</c:v>
                </c:pt>
                <c:pt idx="784">
                  <c:v>3538.0000000000045</c:v>
                </c:pt>
                <c:pt idx="785">
                  <c:v>3538.0000000000045</c:v>
                </c:pt>
                <c:pt idx="786">
                  <c:v>3538.0000000000045</c:v>
                </c:pt>
                <c:pt idx="787">
                  <c:v>3538.0000000000045</c:v>
                </c:pt>
                <c:pt idx="788">
                  <c:v>3538.0000000000045</c:v>
                </c:pt>
                <c:pt idx="789">
                  <c:v>3538.0000000000045</c:v>
                </c:pt>
                <c:pt idx="790">
                  <c:v>3538.0000000000045</c:v>
                </c:pt>
                <c:pt idx="791">
                  <c:v>3538.0000000000045</c:v>
                </c:pt>
                <c:pt idx="792">
                  <c:v>3538.0000000000045</c:v>
                </c:pt>
                <c:pt idx="793">
                  <c:v>3538.0000000000045</c:v>
                </c:pt>
                <c:pt idx="794">
                  <c:v>3538.0000000000045</c:v>
                </c:pt>
                <c:pt idx="795">
                  <c:v>3538.0000000000045</c:v>
                </c:pt>
                <c:pt idx="796">
                  <c:v>3538.0000000000045</c:v>
                </c:pt>
                <c:pt idx="797">
                  <c:v>3538.0000000000045</c:v>
                </c:pt>
                <c:pt idx="798">
                  <c:v>3538.0000000000045</c:v>
                </c:pt>
                <c:pt idx="799">
                  <c:v>3538.0000000000045</c:v>
                </c:pt>
                <c:pt idx="800">
                  <c:v>3538.0000000000045</c:v>
                </c:pt>
                <c:pt idx="801">
                  <c:v>3538.0000000000045</c:v>
                </c:pt>
                <c:pt idx="802">
                  <c:v>3538.0000000000045</c:v>
                </c:pt>
                <c:pt idx="803">
                  <c:v>3538.0000000000045</c:v>
                </c:pt>
                <c:pt idx="804">
                  <c:v>3538.0000000000045</c:v>
                </c:pt>
                <c:pt idx="805">
                  <c:v>3538.0000000000045</c:v>
                </c:pt>
                <c:pt idx="806">
                  <c:v>3538.0000000000045</c:v>
                </c:pt>
                <c:pt idx="807">
                  <c:v>3538.0000000000045</c:v>
                </c:pt>
                <c:pt idx="808">
                  <c:v>3538.0000000000045</c:v>
                </c:pt>
                <c:pt idx="809">
                  <c:v>3538.0000000000045</c:v>
                </c:pt>
                <c:pt idx="810">
                  <c:v>3538.0000000000045</c:v>
                </c:pt>
                <c:pt idx="811">
                  <c:v>3538.0000000000045</c:v>
                </c:pt>
                <c:pt idx="812">
                  <c:v>3538.0000000000045</c:v>
                </c:pt>
                <c:pt idx="813">
                  <c:v>3538.0000000000045</c:v>
                </c:pt>
                <c:pt idx="814">
                  <c:v>3538.0000000000045</c:v>
                </c:pt>
                <c:pt idx="815">
                  <c:v>3538.0000000000045</c:v>
                </c:pt>
                <c:pt idx="816">
                  <c:v>3538.0000000000045</c:v>
                </c:pt>
                <c:pt idx="817">
                  <c:v>3538.0000000000045</c:v>
                </c:pt>
                <c:pt idx="818">
                  <c:v>3538.0000000000045</c:v>
                </c:pt>
                <c:pt idx="819">
                  <c:v>3538.0000000000045</c:v>
                </c:pt>
                <c:pt idx="820">
                  <c:v>3538.0000000000045</c:v>
                </c:pt>
                <c:pt idx="821">
                  <c:v>3538.0000000000045</c:v>
                </c:pt>
                <c:pt idx="822">
                  <c:v>3538.0000000000045</c:v>
                </c:pt>
                <c:pt idx="823">
                  <c:v>3538.0000000000045</c:v>
                </c:pt>
                <c:pt idx="824">
                  <c:v>3538.0000000000045</c:v>
                </c:pt>
                <c:pt idx="825">
                  <c:v>3538.0000000000045</c:v>
                </c:pt>
                <c:pt idx="826">
                  <c:v>3538.0000000000045</c:v>
                </c:pt>
                <c:pt idx="827">
                  <c:v>3538.0000000000045</c:v>
                </c:pt>
                <c:pt idx="828">
                  <c:v>3538.0000000000045</c:v>
                </c:pt>
                <c:pt idx="829">
                  <c:v>3538.0000000000045</c:v>
                </c:pt>
                <c:pt idx="830">
                  <c:v>3538.0000000000045</c:v>
                </c:pt>
                <c:pt idx="831">
                  <c:v>3538.0000000000045</c:v>
                </c:pt>
                <c:pt idx="832">
                  <c:v>3538.0000000000045</c:v>
                </c:pt>
                <c:pt idx="833">
                  <c:v>3538.0000000000045</c:v>
                </c:pt>
                <c:pt idx="834">
                  <c:v>3538.0000000000045</c:v>
                </c:pt>
                <c:pt idx="835">
                  <c:v>3538.0000000000045</c:v>
                </c:pt>
                <c:pt idx="836">
                  <c:v>3538.0000000000045</c:v>
                </c:pt>
                <c:pt idx="837">
                  <c:v>3538.0000000000045</c:v>
                </c:pt>
                <c:pt idx="838">
                  <c:v>3538.0000000000045</c:v>
                </c:pt>
                <c:pt idx="839">
                  <c:v>3538.0000000000045</c:v>
                </c:pt>
                <c:pt idx="840">
                  <c:v>3538.0000000000045</c:v>
                </c:pt>
                <c:pt idx="841">
                  <c:v>3538.0000000000045</c:v>
                </c:pt>
                <c:pt idx="842">
                  <c:v>3538.0000000000045</c:v>
                </c:pt>
                <c:pt idx="843">
                  <c:v>3538.0000000000045</c:v>
                </c:pt>
                <c:pt idx="844">
                  <c:v>3538.0000000000045</c:v>
                </c:pt>
                <c:pt idx="845">
                  <c:v>3538.0000000000045</c:v>
                </c:pt>
                <c:pt idx="846">
                  <c:v>3538.0000000000045</c:v>
                </c:pt>
                <c:pt idx="847">
                  <c:v>3538.0000000000045</c:v>
                </c:pt>
                <c:pt idx="848">
                  <c:v>3538.0000000000045</c:v>
                </c:pt>
                <c:pt idx="849">
                  <c:v>3538.0000000000045</c:v>
                </c:pt>
                <c:pt idx="850">
                  <c:v>3538.0000000000045</c:v>
                </c:pt>
                <c:pt idx="851">
                  <c:v>3538.0000000000045</c:v>
                </c:pt>
                <c:pt idx="852">
                  <c:v>3538.0000000000045</c:v>
                </c:pt>
                <c:pt idx="853">
                  <c:v>3538.0000000000045</c:v>
                </c:pt>
                <c:pt idx="854">
                  <c:v>3538.0000000000045</c:v>
                </c:pt>
                <c:pt idx="855">
                  <c:v>3538.0000000000045</c:v>
                </c:pt>
                <c:pt idx="856">
                  <c:v>3538.0000000000045</c:v>
                </c:pt>
                <c:pt idx="857">
                  <c:v>3538.0000000000045</c:v>
                </c:pt>
                <c:pt idx="858">
                  <c:v>3538.0000000000045</c:v>
                </c:pt>
                <c:pt idx="859">
                  <c:v>3538.0000000000045</c:v>
                </c:pt>
                <c:pt idx="860">
                  <c:v>3538.0000000000045</c:v>
                </c:pt>
                <c:pt idx="861">
                  <c:v>3538.0000000000045</c:v>
                </c:pt>
                <c:pt idx="862">
                  <c:v>3538.0000000000045</c:v>
                </c:pt>
                <c:pt idx="863">
                  <c:v>3538.0000000000045</c:v>
                </c:pt>
                <c:pt idx="864">
                  <c:v>3538.0000000000045</c:v>
                </c:pt>
                <c:pt idx="865">
                  <c:v>3538.0000000000045</c:v>
                </c:pt>
                <c:pt idx="866">
                  <c:v>3538.0000000000045</c:v>
                </c:pt>
                <c:pt idx="867">
                  <c:v>3538.0000000000045</c:v>
                </c:pt>
                <c:pt idx="868">
                  <c:v>3538.0000000000045</c:v>
                </c:pt>
                <c:pt idx="869">
                  <c:v>3538.0000000000045</c:v>
                </c:pt>
                <c:pt idx="870">
                  <c:v>3538.0000000000045</c:v>
                </c:pt>
                <c:pt idx="871">
                  <c:v>3538.0000000000045</c:v>
                </c:pt>
                <c:pt idx="872">
                  <c:v>3538.0000000000045</c:v>
                </c:pt>
                <c:pt idx="873">
                  <c:v>3538.0000000000045</c:v>
                </c:pt>
                <c:pt idx="874">
                  <c:v>3538.0000000000045</c:v>
                </c:pt>
                <c:pt idx="875">
                  <c:v>3538.0000000000045</c:v>
                </c:pt>
                <c:pt idx="876">
                  <c:v>3538.0000000000045</c:v>
                </c:pt>
                <c:pt idx="877">
                  <c:v>3538.0000000000045</c:v>
                </c:pt>
                <c:pt idx="878">
                  <c:v>3538.0000000000045</c:v>
                </c:pt>
                <c:pt idx="879">
                  <c:v>3538.0000000000045</c:v>
                </c:pt>
                <c:pt idx="880">
                  <c:v>3538.0000000000045</c:v>
                </c:pt>
                <c:pt idx="881">
                  <c:v>3538.0000000000045</c:v>
                </c:pt>
                <c:pt idx="882">
                  <c:v>3538.0000000000045</c:v>
                </c:pt>
                <c:pt idx="883">
                  <c:v>3538.0000000000045</c:v>
                </c:pt>
                <c:pt idx="884">
                  <c:v>3538.0000000000045</c:v>
                </c:pt>
                <c:pt idx="885">
                  <c:v>3538.0000000000045</c:v>
                </c:pt>
                <c:pt idx="886">
                  <c:v>3538.0000000000045</c:v>
                </c:pt>
                <c:pt idx="887">
                  <c:v>3538.0000000000045</c:v>
                </c:pt>
                <c:pt idx="888">
                  <c:v>3538.0000000000045</c:v>
                </c:pt>
                <c:pt idx="889">
                  <c:v>3538.0000000000045</c:v>
                </c:pt>
                <c:pt idx="890">
                  <c:v>3538.0000000000045</c:v>
                </c:pt>
                <c:pt idx="891">
                  <c:v>3538.0000000000045</c:v>
                </c:pt>
                <c:pt idx="892">
                  <c:v>3538.0000000000045</c:v>
                </c:pt>
                <c:pt idx="893">
                  <c:v>3538.0000000000045</c:v>
                </c:pt>
                <c:pt idx="894">
                  <c:v>3538.0000000000045</c:v>
                </c:pt>
                <c:pt idx="895">
                  <c:v>3538.0000000000045</c:v>
                </c:pt>
                <c:pt idx="896">
                  <c:v>3538.0000000000045</c:v>
                </c:pt>
                <c:pt idx="897">
                  <c:v>3538.0000000000045</c:v>
                </c:pt>
                <c:pt idx="898">
                  <c:v>3538.0000000000045</c:v>
                </c:pt>
                <c:pt idx="899">
                  <c:v>3538.0000000000045</c:v>
                </c:pt>
                <c:pt idx="900">
                  <c:v>3538.0000000000045</c:v>
                </c:pt>
                <c:pt idx="901">
                  <c:v>3538.0000000000045</c:v>
                </c:pt>
                <c:pt idx="902">
                  <c:v>3538.0000000000045</c:v>
                </c:pt>
                <c:pt idx="903">
                  <c:v>3538.0000000000045</c:v>
                </c:pt>
                <c:pt idx="904">
                  <c:v>3538.0000000000045</c:v>
                </c:pt>
                <c:pt idx="905">
                  <c:v>3538.0000000000045</c:v>
                </c:pt>
                <c:pt idx="906">
                  <c:v>3538.0000000000045</c:v>
                </c:pt>
                <c:pt idx="907">
                  <c:v>3538.0000000000045</c:v>
                </c:pt>
                <c:pt idx="908">
                  <c:v>3538.0000000000045</c:v>
                </c:pt>
                <c:pt idx="909">
                  <c:v>3538.0000000000045</c:v>
                </c:pt>
                <c:pt idx="910">
                  <c:v>2626.0000000000045</c:v>
                </c:pt>
                <c:pt idx="911">
                  <c:v>2626.0000000000045</c:v>
                </c:pt>
                <c:pt idx="912">
                  <c:v>2626.0000000000045</c:v>
                </c:pt>
                <c:pt idx="913">
                  <c:v>2626.0000000000045</c:v>
                </c:pt>
                <c:pt idx="914">
                  <c:v>2626.0000000000045</c:v>
                </c:pt>
                <c:pt idx="915">
                  <c:v>2626.0000000000045</c:v>
                </c:pt>
                <c:pt idx="916">
                  <c:v>2626.0000000000045</c:v>
                </c:pt>
                <c:pt idx="917">
                  <c:v>3202.0000000000045</c:v>
                </c:pt>
                <c:pt idx="918">
                  <c:v>3202.0000000000045</c:v>
                </c:pt>
                <c:pt idx="919">
                  <c:v>3202.0000000000045</c:v>
                </c:pt>
                <c:pt idx="920">
                  <c:v>3202.0000000000045</c:v>
                </c:pt>
                <c:pt idx="921">
                  <c:v>3202.0000000000045</c:v>
                </c:pt>
                <c:pt idx="922">
                  <c:v>3202.0000000000045</c:v>
                </c:pt>
                <c:pt idx="923">
                  <c:v>3202.0000000000045</c:v>
                </c:pt>
                <c:pt idx="924">
                  <c:v>3202.0000000000045</c:v>
                </c:pt>
                <c:pt idx="925">
                  <c:v>3202.0000000000045</c:v>
                </c:pt>
                <c:pt idx="926">
                  <c:v>3202.0000000000045</c:v>
                </c:pt>
                <c:pt idx="927">
                  <c:v>3202.0000000000045</c:v>
                </c:pt>
                <c:pt idx="928">
                  <c:v>3202.0000000000045</c:v>
                </c:pt>
                <c:pt idx="929">
                  <c:v>3202.0000000000045</c:v>
                </c:pt>
                <c:pt idx="930">
                  <c:v>3202.0000000000045</c:v>
                </c:pt>
                <c:pt idx="931">
                  <c:v>3202.0000000000045</c:v>
                </c:pt>
                <c:pt idx="932">
                  <c:v>3378.0000000000045</c:v>
                </c:pt>
                <c:pt idx="933">
                  <c:v>3378.0000000000045</c:v>
                </c:pt>
                <c:pt idx="934">
                  <c:v>3378.0000000000045</c:v>
                </c:pt>
                <c:pt idx="935">
                  <c:v>3378.0000000000045</c:v>
                </c:pt>
                <c:pt idx="936">
                  <c:v>3378.0000000000045</c:v>
                </c:pt>
                <c:pt idx="937">
                  <c:v>3378.0000000000045</c:v>
                </c:pt>
                <c:pt idx="938">
                  <c:v>3378.0000000000045</c:v>
                </c:pt>
                <c:pt idx="939">
                  <c:v>3378.0000000000045</c:v>
                </c:pt>
                <c:pt idx="940">
                  <c:v>3378.0000000000045</c:v>
                </c:pt>
                <c:pt idx="941">
                  <c:v>3378.0000000000045</c:v>
                </c:pt>
                <c:pt idx="942">
                  <c:v>3378.0000000000045</c:v>
                </c:pt>
                <c:pt idx="943">
                  <c:v>3378.0000000000045</c:v>
                </c:pt>
                <c:pt idx="944">
                  <c:v>3378.0000000000045</c:v>
                </c:pt>
                <c:pt idx="945">
                  <c:v>3378.0000000000045</c:v>
                </c:pt>
                <c:pt idx="946">
                  <c:v>3378.0000000000045</c:v>
                </c:pt>
                <c:pt idx="947">
                  <c:v>3378.0000000000045</c:v>
                </c:pt>
                <c:pt idx="948">
                  <c:v>3378.0000000000045</c:v>
                </c:pt>
                <c:pt idx="949">
                  <c:v>3378.0000000000045</c:v>
                </c:pt>
                <c:pt idx="950">
                  <c:v>3378.0000000000045</c:v>
                </c:pt>
                <c:pt idx="951">
                  <c:v>3378.0000000000045</c:v>
                </c:pt>
                <c:pt idx="952">
                  <c:v>3378.0000000000045</c:v>
                </c:pt>
                <c:pt idx="953">
                  <c:v>3378.0000000000045</c:v>
                </c:pt>
                <c:pt idx="954">
                  <c:v>3378.0000000000045</c:v>
                </c:pt>
                <c:pt idx="955">
                  <c:v>3378.0000000000045</c:v>
                </c:pt>
                <c:pt idx="956">
                  <c:v>3378.0000000000045</c:v>
                </c:pt>
                <c:pt idx="957">
                  <c:v>3378.0000000000045</c:v>
                </c:pt>
                <c:pt idx="958">
                  <c:v>3378.0000000000045</c:v>
                </c:pt>
                <c:pt idx="959">
                  <c:v>3378.0000000000045</c:v>
                </c:pt>
                <c:pt idx="960">
                  <c:v>3378.0000000000045</c:v>
                </c:pt>
                <c:pt idx="961">
                  <c:v>3378.0000000000045</c:v>
                </c:pt>
                <c:pt idx="962">
                  <c:v>3378.0000000000045</c:v>
                </c:pt>
                <c:pt idx="963">
                  <c:v>3378.0000000000045</c:v>
                </c:pt>
                <c:pt idx="964">
                  <c:v>3378.0000000000045</c:v>
                </c:pt>
                <c:pt idx="965">
                  <c:v>3378.0000000000045</c:v>
                </c:pt>
                <c:pt idx="966">
                  <c:v>3378.0000000000045</c:v>
                </c:pt>
                <c:pt idx="967">
                  <c:v>3378.0000000000045</c:v>
                </c:pt>
                <c:pt idx="968">
                  <c:v>3378.0000000000045</c:v>
                </c:pt>
                <c:pt idx="969">
                  <c:v>3378.0000000000045</c:v>
                </c:pt>
                <c:pt idx="970">
                  <c:v>3378.0000000000045</c:v>
                </c:pt>
                <c:pt idx="971">
                  <c:v>3522.0000000000782</c:v>
                </c:pt>
                <c:pt idx="972">
                  <c:v>3594.0000000001151</c:v>
                </c:pt>
                <c:pt idx="973">
                  <c:v>3162.0000000000987</c:v>
                </c:pt>
                <c:pt idx="974">
                  <c:v>2838.0000000000864</c:v>
                </c:pt>
                <c:pt idx="975">
                  <c:v>2838.0000000000864</c:v>
                </c:pt>
                <c:pt idx="976">
                  <c:v>2838.0000000000864</c:v>
                </c:pt>
                <c:pt idx="977">
                  <c:v>2838.0000000000864</c:v>
                </c:pt>
                <c:pt idx="978">
                  <c:v>2838.0000000000864</c:v>
                </c:pt>
                <c:pt idx="979">
                  <c:v>2838.0000000000864</c:v>
                </c:pt>
                <c:pt idx="980">
                  <c:v>2838.0000000000864</c:v>
                </c:pt>
                <c:pt idx="981">
                  <c:v>2838.0000000000864</c:v>
                </c:pt>
                <c:pt idx="982">
                  <c:v>2838.0000000000864</c:v>
                </c:pt>
                <c:pt idx="983">
                  <c:v>2838.0000000000864</c:v>
                </c:pt>
                <c:pt idx="984">
                  <c:v>2838.0000000000864</c:v>
                </c:pt>
                <c:pt idx="985">
                  <c:v>2838.0000000000864</c:v>
                </c:pt>
                <c:pt idx="986">
                  <c:v>2838.0000000000864</c:v>
                </c:pt>
                <c:pt idx="987">
                  <c:v>2838.0000000000864</c:v>
                </c:pt>
                <c:pt idx="988">
                  <c:v>2838.0000000000864</c:v>
                </c:pt>
                <c:pt idx="989">
                  <c:v>2838.0000000000864</c:v>
                </c:pt>
                <c:pt idx="990">
                  <c:v>2838.0000000000864</c:v>
                </c:pt>
                <c:pt idx="991">
                  <c:v>2838.0000000000864</c:v>
                </c:pt>
                <c:pt idx="992">
                  <c:v>2838.0000000000864</c:v>
                </c:pt>
                <c:pt idx="993">
                  <c:v>2838.0000000000864</c:v>
                </c:pt>
                <c:pt idx="994">
                  <c:v>2838.0000000000864</c:v>
                </c:pt>
                <c:pt idx="995">
                  <c:v>2838.0000000000864</c:v>
                </c:pt>
                <c:pt idx="996">
                  <c:v>2838.0000000000864</c:v>
                </c:pt>
                <c:pt idx="997">
                  <c:v>2838.0000000000864</c:v>
                </c:pt>
                <c:pt idx="998">
                  <c:v>2838.0000000000864</c:v>
                </c:pt>
                <c:pt idx="999">
                  <c:v>2838.0000000000864</c:v>
                </c:pt>
                <c:pt idx="1000">
                  <c:v>2838.0000000000864</c:v>
                </c:pt>
                <c:pt idx="1001">
                  <c:v>2838.0000000000864</c:v>
                </c:pt>
                <c:pt idx="1002">
                  <c:v>2838.0000000000864</c:v>
                </c:pt>
                <c:pt idx="1003">
                  <c:v>2838.0000000000864</c:v>
                </c:pt>
                <c:pt idx="1004">
                  <c:v>2838.0000000000864</c:v>
                </c:pt>
                <c:pt idx="1005">
                  <c:v>2838.0000000000864</c:v>
                </c:pt>
                <c:pt idx="1006">
                  <c:v>2838.0000000000864</c:v>
                </c:pt>
                <c:pt idx="1007">
                  <c:v>2838.0000000000864</c:v>
                </c:pt>
                <c:pt idx="1008">
                  <c:v>2838.0000000000864</c:v>
                </c:pt>
                <c:pt idx="1009">
                  <c:v>2838.0000000000864</c:v>
                </c:pt>
                <c:pt idx="1010">
                  <c:v>2838.0000000000864</c:v>
                </c:pt>
                <c:pt idx="1011">
                  <c:v>2838.0000000000864</c:v>
                </c:pt>
                <c:pt idx="1012">
                  <c:v>2838.0000000000864</c:v>
                </c:pt>
                <c:pt idx="1013">
                  <c:v>2838.0000000000864</c:v>
                </c:pt>
                <c:pt idx="1014">
                  <c:v>2838.0000000000864</c:v>
                </c:pt>
                <c:pt idx="1015">
                  <c:v>2838.0000000000864</c:v>
                </c:pt>
                <c:pt idx="1016">
                  <c:v>2838.0000000000864</c:v>
                </c:pt>
                <c:pt idx="1017">
                  <c:v>2838.0000000000864</c:v>
                </c:pt>
                <c:pt idx="1018">
                  <c:v>2838.0000000000864</c:v>
                </c:pt>
                <c:pt idx="1019">
                  <c:v>2838.0000000000864</c:v>
                </c:pt>
                <c:pt idx="1020">
                  <c:v>2838.0000000000864</c:v>
                </c:pt>
                <c:pt idx="1021">
                  <c:v>2838.0000000000864</c:v>
                </c:pt>
                <c:pt idx="1022">
                  <c:v>2838.0000000000864</c:v>
                </c:pt>
                <c:pt idx="1023">
                  <c:v>2838.0000000000864</c:v>
                </c:pt>
                <c:pt idx="1024">
                  <c:v>2838.0000000000864</c:v>
                </c:pt>
                <c:pt idx="1025">
                  <c:v>2838.0000000000864</c:v>
                </c:pt>
                <c:pt idx="1026">
                  <c:v>2838.0000000000864</c:v>
                </c:pt>
                <c:pt idx="1027">
                  <c:v>2838.0000000000864</c:v>
                </c:pt>
                <c:pt idx="1028">
                  <c:v>2838.0000000000864</c:v>
                </c:pt>
                <c:pt idx="1029">
                  <c:v>2838.0000000000864</c:v>
                </c:pt>
                <c:pt idx="1030">
                  <c:v>2838.0000000000864</c:v>
                </c:pt>
                <c:pt idx="1031">
                  <c:v>2838.0000000000864</c:v>
                </c:pt>
                <c:pt idx="1032">
                  <c:v>2838.0000000000864</c:v>
                </c:pt>
                <c:pt idx="1033">
                  <c:v>2838.0000000000864</c:v>
                </c:pt>
                <c:pt idx="1034">
                  <c:v>2838.0000000000864</c:v>
                </c:pt>
                <c:pt idx="1035">
                  <c:v>2838.0000000000864</c:v>
                </c:pt>
                <c:pt idx="1036">
                  <c:v>2838.0000000000864</c:v>
                </c:pt>
                <c:pt idx="1037">
                  <c:v>2838.0000000000864</c:v>
                </c:pt>
                <c:pt idx="1038">
                  <c:v>2838.0000000000864</c:v>
                </c:pt>
                <c:pt idx="1039">
                  <c:v>2838.0000000000864</c:v>
                </c:pt>
                <c:pt idx="1040">
                  <c:v>2838.0000000000864</c:v>
                </c:pt>
                <c:pt idx="1041">
                  <c:v>2838.0000000000864</c:v>
                </c:pt>
                <c:pt idx="1042">
                  <c:v>2838.0000000000864</c:v>
                </c:pt>
                <c:pt idx="1043">
                  <c:v>2838.0000000000864</c:v>
                </c:pt>
                <c:pt idx="1044">
                  <c:v>2838.0000000000864</c:v>
                </c:pt>
                <c:pt idx="1045">
                  <c:v>2838.0000000000864</c:v>
                </c:pt>
                <c:pt idx="1046">
                  <c:v>2838.0000000000864</c:v>
                </c:pt>
                <c:pt idx="1047">
                  <c:v>2838.0000000000864</c:v>
                </c:pt>
                <c:pt idx="1048">
                  <c:v>2838.0000000000864</c:v>
                </c:pt>
                <c:pt idx="1049">
                  <c:v>2838.0000000000864</c:v>
                </c:pt>
                <c:pt idx="1050">
                  <c:v>2838.0000000000864</c:v>
                </c:pt>
                <c:pt idx="1051">
                  <c:v>2838.0000000000864</c:v>
                </c:pt>
                <c:pt idx="1052">
                  <c:v>2838.0000000000864</c:v>
                </c:pt>
                <c:pt idx="1053">
                  <c:v>2838.0000000000864</c:v>
                </c:pt>
                <c:pt idx="1054">
                  <c:v>2838.0000000000864</c:v>
                </c:pt>
                <c:pt idx="1055">
                  <c:v>2838.0000000000864</c:v>
                </c:pt>
                <c:pt idx="1056">
                  <c:v>2838.0000000000864</c:v>
                </c:pt>
                <c:pt idx="1057">
                  <c:v>2838.0000000000864</c:v>
                </c:pt>
                <c:pt idx="1058">
                  <c:v>2874.0000000000537</c:v>
                </c:pt>
                <c:pt idx="1059">
                  <c:v>2874.0000000000537</c:v>
                </c:pt>
                <c:pt idx="1060">
                  <c:v>2874.0000000000537</c:v>
                </c:pt>
                <c:pt idx="1061">
                  <c:v>2874.0000000000537</c:v>
                </c:pt>
                <c:pt idx="1062">
                  <c:v>2874.0000000000537</c:v>
                </c:pt>
                <c:pt idx="1063">
                  <c:v>2874.0000000000537</c:v>
                </c:pt>
                <c:pt idx="1064">
                  <c:v>2874.0000000000537</c:v>
                </c:pt>
                <c:pt idx="1065">
                  <c:v>2874.0000000000537</c:v>
                </c:pt>
                <c:pt idx="1066">
                  <c:v>2874.0000000000537</c:v>
                </c:pt>
                <c:pt idx="1067">
                  <c:v>2874.0000000000537</c:v>
                </c:pt>
                <c:pt idx="1068">
                  <c:v>2874.0000000000537</c:v>
                </c:pt>
                <c:pt idx="1069">
                  <c:v>2874.0000000000537</c:v>
                </c:pt>
                <c:pt idx="1070">
                  <c:v>2874.0000000000537</c:v>
                </c:pt>
                <c:pt idx="1071">
                  <c:v>2874.0000000000537</c:v>
                </c:pt>
                <c:pt idx="1072">
                  <c:v>2874.0000000000537</c:v>
                </c:pt>
                <c:pt idx="1073">
                  <c:v>2874.0000000000537</c:v>
                </c:pt>
                <c:pt idx="1074">
                  <c:v>2298.0000000000546</c:v>
                </c:pt>
                <c:pt idx="1075">
                  <c:v>2298.0000000000546</c:v>
                </c:pt>
                <c:pt idx="1076">
                  <c:v>2298.0000000000546</c:v>
                </c:pt>
                <c:pt idx="1077">
                  <c:v>2298.0000000000546</c:v>
                </c:pt>
                <c:pt idx="1078">
                  <c:v>2298.0000000000546</c:v>
                </c:pt>
                <c:pt idx="1079">
                  <c:v>2298.0000000000546</c:v>
                </c:pt>
                <c:pt idx="1080">
                  <c:v>2298.0000000000546</c:v>
                </c:pt>
                <c:pt idx="1081">
                  <c:v>2298.0000000000546</c:v>
                </c:pt>
                <c:pt idx="1082">
                  <c:v>2298.0000000000546</c:v>
                </c:pt>
                <c:pt idx="1083">
                  <c:v>2298.0000000000546</c:v>
                </c:pt>
                <c:pt idx="1084">
                  <c:v>2490.0000000000546</c:v>
                </c:pt>
                <c:pt idx="1085">
                  <c:v>2490.0000000000546</c:v>
                </c:pt>
                <c:pt idx="1086">
                  <c:v>2490.0000000000546</c:v>
                </c:pt>
                <c:pt idx="1087">
                  <c:v>2490.0000000000546</c:v>
                </c:pt>
                <c:pt idx="1088">
                  <c:v>2490.0000000000546</c:v>
                </c:pt>
                <c:pt idx="1089">
                  <c:v>2490.0000000000546</c:v>
                </c:pt>
                <c:pt idx="1090">
                  <c:v>2490.0000000000546</c:v>
                </c:pt>
                <c:pt idx="1091">
                  <c:v>2490.0000000000546</c:v>
                </c:pt>
                <c:pt idx="1092">
                  <c:v>2490.0000000000546</c:v>
                </c:pt>
                <c:pt idx="1093">
                  <c:v>2490.0000000000546</c:v>
                </c:pt>
                <c:pt idx="1094">
                  <c:v>2490.0000000000546</c:v>
                </c:pt>
                <c:pt idx="1095">
                  <c:v>2490.0000000000546</c:v>
                </c:pt>
                <c:pt idx="1096">
                  <c:v>2490.0000000000546</c:v>
                </c:pt>
                <c:pt idx="1097">
                  <c:v>2490.0000000000546</c:v>
                </c:pt>
                <c:pt idx="1098">
                  <c:v>2490.0000000000546</c:v>
                </c:pt>
                <c:pt idx="1099">
                  <c:v>2490.0000000000546</c:v>
                </c:pt>
                <c:pt idx="1100">
                  <c:v>2490.0000000000546</c:v>
                </c:pt>
                <c:pt idx="1101">
                  <c:v>2490.0000000000546</c:v>
                </c:pt>
                <c:pt idx="1102">
                  <c:v>2490.0000000000546</c:v>
                </c:pt>
                <c:pt idx="1103">
                  <c:v>2490.0000000000546</c:v>
                </c:pt>
                <c:pt idx="1104">
                  <c:v>2490.0000000000546</c:v>
                </c:pt>
                <c:pt idx="1105">
                  <c:v>2490.0000000000546</c:v>
                </c:pt>
                <c:pt idx="1106">
                  <c:v>2490.0000000000546</c:v>
                </c:pt>
                <c:pt idx="1107">
                  <c:v>2490.0000000000546</c:v>
                </c:pt>
                <c:pt idx="1108">
                  <c:v>2490.0000000000546</c:v>
                </c:pt>
                <c:pt idx="1109">
                  <c:v>2490.0000000000546</c:v>
                </c:pt>
                <c:pt idx="1110">
                  <c:v>2490.0000000000546</c:v>
                </c:pt>
                <c:pt idx="1111">
                  <c:v>2490.0000000000546</c:v>
                </c:pt>
                <c:pt idx="1112">
                  <c:v>2490.0000000000546</c:v>
                </c:pt>
                <c:pt idx="1113">
                  <c:v>2490.0000000000546</c:v>
                </c:pt>
                <c:pt idx="1114">
                  <c:v>2490.0000000000546</c:v>
                </c:pt>
                <c:pt idx="1115">
                  <c:v>2490.0000000000546</c:v>
                </c:pt>
                <c:pt idx="1116">
                  <c:v>2490.0000000000546</c:v>
                </c:pt>
                <c:pt idx="1117">
                  <c:v>2490.0000000000546</c:v>
                </c:pt>
                <c:pt idx="1118">
                  <c:v>2490.0000000000546</c:v>
                </c:pt>
                <c:pt idx="1119">
                  <c:v>2490.0000000000546</c:v>
                </c:pt>
                <c:pt idx="1120">
                  <c:v>2490.0000000000546</c:v>
                </c:pt>
                <c:pt idx="1121">
                  <c:v>2490.0000000000546</c:v>
                </c:pt>
                <c:pt idx="1122">
                  <c:v>2490.0000000000546</c:v>
                </c:pt>
                <c:pt idx="1123">
                  <c:v>2490.0000000000546</c:v>
                </c:pt>
                <c:pt idx="1124">
                  <c:v>2490.0000000000546</c:v>
                </c:pt>
                <c:pt idx="1125">
                  <c:v>2490.0000000000546</c:v>
                </c:pt>
                <c:pt idx="1126">
                  <c:v>2490.0000000000546</c:v>
                </c:pt>
                <c:pt idx="1127">
                  <c:v>2490.0000000000546</c:v>
                </c:pt>
                <c:pt idx="1128">
                  <c:v>2490.0000000000546</c:v>
                </c:pt>
                <c:pt idx="1129">
                  <c:v>2490.0000000000546</c:v>
                </c:pt>
                <c:pt idx="1130">
                  <c:v>2490.0000000000546</c:v>
                </c:pt>
                <c:pt idx="1131">
                  <c:v>2490.0000000000546</c:v>
                </c:pt>
                <c:pt idx="1132">
                  <c:v>2490.0000000000546</c:v>
                </c:pt>
                <c:pt idx="1133">
                  <c:v>2490.0000000000546</c:v>
                </c:pt>
                <c:pt idx="1134">
                  <c:v>2490.0000000000546</c:v>
                </c:pt>
                <c:pt idx="1135">
                  <c:v>2490.0000000000546</c:v>
                </c:pt>
                <c:pt idx="1136">
                  <c:v>2490.0000000000546</c:v>
                </c:pt>
                <c:pt idx="1137">
                  <c:v>2490.0000000000546</c:v>
                </c:pt>
                <c:pt idx="1138">
                  <c:v>2490.0000000000546</c:v>
                </c:pt>
                <c:pt idx="1139">
                  <c:v>2490.0000000000546</c:v>
                </c:pt>
                <c:pt idx="1140">
                  <c:v>2490.0000000000546</c:v>
                </c:pt>
                <c:pt idx="1141">
                  <c:v>2490.0000000000546</c:v>
                </c:pt>
                <c:pt idx="1142">
                  <c:v>2490.0000000000546</c:v>
                </c:pt>
                <c:pt idx="1143">
                  <c:v>2490.0000000000546</c:v>
                </c:pt>
                <c:pt idx="1144">
                  <c:v>2490.0000000000546</c:v>
                </c:pt>
                <c:pt idx="1145">
                  <c:v>2490.0000000000546</c:v>
                </c:pt>
                <c:pt idx="1146">
                  <c:v>2490.0000000000546</c:v>
                </c:pt>
                <c:pt idx="1147">
                  <c:v>2490.0000000000546</c:v>
                </c:pt>
                <c:pt idx="1148">
                  <c:v>2490.0000000000546</c:v>
                </c:pt>
                <c:pt idx="1149">
                  <c:v>2490.0000000000546</c:v>
                </c:pt>
                <c:pt idx="1150">
                  <c:v>2490.0000000000546</c:v>
                </c:pt>
                <c:pt idx="1151">
                  <c:v>2490.0000000000546</c:v>
                </c:pt>
                <c:pt idx="1152">
                  <c:v>2490.0000000000546</c:v>
                </c:pt>
                <c:pt idx="1153">
                  <c:v>2490.0000000000546</c:v>
                </c:pt>
                <c:pt idx="1154">
                  <c:v>2490.0000000000546</c:v>
                </c:pt>
                <c:pt idx="1155">
                  <c:v>2490.0000000000546</c:v>
                </c:pt>
                <c:pt idx="1156">
                  <c:v>2490.0000000000546</c:v>
                </c:pt>
                <c:pt idx="1157">
                  <c:v>2490.0000000000546</c:v>
                </c:pt>
                <c:pt idx="1158">
                  <c:v>2490.0000000000546</c:v>
                </c:pt>
                <c:pt idx="1159">
                  <c:v>2490.0000000000546</c:v>
                </c:pt>
                <c:pt idx="1160">
                  <c:v>2490.0000000000546</c:v>
                </c:pt>
                <c:pt idx="1161">
                  <c:v>2490.0000000000546</c:v>
                </c:pt>
                <c:pt idx="1162">
                  <c:v>2490.0000000000546</c:v>
                </c:pt>
                <c:pt idx="1163">
                  <c:v>2490.0000000000546</c:v>
                </c:pt>
                <c:pt idx="1164">
                  <c:v>2490.0000000000546</c:v>
                </c:pt>
                <c:pt idx="1165">
                  <c:v>2490.0000000000546</c:v>
                </c:pt>
                <c:pt idx="1166">
                  <c:v>2490.0000000000546</c:v>
                </c:pt>
                <c:pt idx="1167">
                  <c:v>2490.0000000000546</c:v>
                </c:pt>
                <c:pt idx="1168">
                  <c:v>2490.0000000000546</c:v>
                </c:pt>
                <c:pt idx="1169">
                  <c:v>2490.0000000000546</c:v>
                </c:pt>
                <c:pt idx="1170">
                  <c:v>2490.0000000000546</c:v>
                </c:pt>
                <c:pt idx="1171">
                  <c:v>2490.0000000000546</c:v>
                </c:pt>
                <c:pt idx="1172">
                  <c:v>2490.0000000000546</c:v>
                </c:pt>
                <c:pt idx="1173">
                  <c:v>2490.0000000000546</c:v>
                </c:pt>
                <c:pt idx="1174">
                  <c:v>2490.0000000000546</c:v>
                </c:pt>
                <c:pt idx="1175">
                  <c:v>2490.0000000000546</c:v>
                </c:pt>
                <c:pt idx="1176">
                  <c:v>2490.0000000000546</c:v>
                </c:pt>
                <c:pt idx="1177">
                  <c:v>2490.0000000000546</c:v>
                </c:pt>
                <c:pt idx="1178">
                  <c:v>2490.0000000000546</c:v>
                </c:pt>
                <c:pt idx="1179">
                  <c:v>2490.0000000000546</c:v>
                </c:pt>
                <c:pt idx="1180">
                  <c:v>2490.0000000000546</c:v>
                </c:pt>
                <c:pt idx="1181">
                  <c:v>2490.0000000000546</c:v>
                </c:pt>
                <c:pt idx="1182">
                  <c:v>2490.0000000000546</c:v>
                </c:pt>
                <c:pt idx="1183">
                  <c:v>2490.0000000000546</c:v>
                </c:pt>
                <c:pt idx="1184">
                  <c:v>2490.0000000000546</c:v>
                </c:pt>
                <c:pt idx="1185">
                  <c:v>2490.0000000000546</c:v>
                </c:pt>
                <c:pt idx="1186">
                  <c:v>2490.0000000000546</c:v>
                </c:pt>
                <c:pt idx="1187">
                  <c:v>2490.0000000000546</c:v>
                </c:pt>
                <c:pt idx="1188">
                  <c:v>2490.0000000000546</c:v>
                </c:pt>
                <c:pt idx="1189">
                  <c:v>2490.0000000000546</c:v>
                </c:pt>
                <c:pt idx="1190">
                  <c:v>2490.0000000000546</c:v>
                </c:pt>
                <c:pt idx="1191">
                  <c:v>2490.0000000000546</c:v>
                </c:pt>
                <c:pt idx="1192">
                  <c:v>2490.0000000000546</c:v>
                </c:pt>
                <c:pt idx="1193">
                  <c:v>2490.0000000000546</c:v>
                </c:pt>
                <c:pt idx="1194">
                  <c:v>2490.0000000000546</c:v>
                </c:pt>
                <c:pt idx="1195">
                  <c:v>2490.0000000000546</c:v>
                </c:pt>
                <c:pt idx="1196">
                  <c:v>2490.0000000000546</c:v>
                </c:pt>
                <c:pt idx="1197">
                  <c:v>2490.0000000000546</c:v>
                </c:pt>
                <c:pt idx="1198">
                  <c:v>2490.0000000000546</c:v>
                </c:pt>
                <c:pt idx="1199">
                  <c:v>2490.0000000000546</c:v>
                </c:pt>
                <c:pt idx="1200">
                  <c:v>2490.0000000000546</c:v>
                </c:pt>
                <c:pt idx="1201">
                  <c:v>2490.0000000000546</c:v>
                </c:pt>
                <c:pt idx="1202">
                  <c:v>2490.0000000000546</c:v>
                </c:pt>
                <c:pt idx="1203">
                  <c:v>2490.0000000000546</c:v>
                </c:pt>
                <c:pt idx="1204">
                  <c:v>2490.0000000000546</c:v>
                </c:pt>
                <c:pt idx="1205">
                  <c:v>2490.0000000000546</c:v>
                </c:pt>
                <c:pt idx="1206">
                  <c:v>2490.0000000000546</c:v>
                </c:pt>
                <c:pt idx="1207">
                  <c:v>3250.0000000000546</c:v>
                </c:pt>
                <c:pt idx="1208">
                  <c:v>3250.0000000000546</c:v>
                </c:pt>
                <c:pt idx="1209">
                  <c:v>3250.0000000000546</c:v>
                </c:pt>
                <c:pt idx="1210">
                  <c:v>3250.0000000000546</c:v>
                </c:pt>
                <c:pt idx="1211">
                  <c:v>3250.0000000000546</c:v>
                </c:pt>
                <c:pt idx="1212">
                  <c:v>3250.0000000000546</c:v>
                </c:pt>
                <c:pt idx="1213">
                  <c:v>3250.0000000000546</c:v>
                </c:pt>
                <c:pt idx="1214">
                  <c:v>3250.0000000000546</c:v>
                </c:pt>
                <c:pt idx="1215">
                  <c:v>3586.0000000000546</c:v>
                </c:pt>
                <c:pt idx="1216">
                  <c:v>3586.0000000000546</c:v>
                </c:pt>
                <c:pt idx="1217">
                  <c:v>3586.0000000000546</c:v>
                </c:pt>
                <c:pt idx="1218">
                  <c:v>3586.0000000000546</c:v>
                </c:pt>
                <c:pt idx="1219">
                  <c:v>3586.0000000000546</c:v>
                </c:pt>
                <c:pt idx="1220">
                  <c:v>3586.0000000000546</c:v>
                </c:pt>
                <c:pt idx="1221">
                  <c:v>3586.0000000000546</c:v>
                </c:pt>
                <c:pt idx="1222">
                  <c:v>3586.0000000000546</c:v>
                </c:pt>
                <c:pt idx="1223">
                  <c:v>3586.0000000000546</c:v>
                </c:pt>
                <c:pt idx="1224">
                  <c:v>3586.0000000000546</c:v>
                </c:pt>
                <c:pt idx="1225">
                  <c:v>3586.0000000000546</c:v>
                </c:pt>
                <c:pt idx="1226">
                  <c:v>3810.0000000000546</c:v>
                </c:pt>
                <c:pt idx="1227">
                  <c:v>3810.0000000000546</c:v>
                </c:pt>
                <c:pt idx="1228">
                  <c:v>3810.0000000000546</c:v>
                </c:pt>
                <c:pt idx="1229">
                  <c:v>4066.0000000000546</c:v>
                </c:pt>
                <c:pt idx="1230">
                  <c:v>4066.0000000000546</c:v>
                </c:pt>
                <c:pt idx="1231">
                  <c:v>4066.0000000000546</c:v>
                </c:pt>
                <c:pt idx="1232">
                  <c:v>4066.0000000000546</c:v>
                </c:pt>
                <c:pt idx="1233">
                  <c:v>4066.0000000000546</c:v>
                </c:pt>
                <c:pt idx="1234">
                  <c:v>4066.0000000000546</c:v>
                </c:pt>
                <c:pt idx="1235">
                  <c:v>4066.0000000000546</c:v>
                </c:pt>
                <c:pt idx="1236">
                  <c:v>4066.0000000000546</c:v>
                </c:pt>
                <c:pt idx="1237">
                  <c:v>4066.0000000000546</c:v>
                </c:pt>
                <c:pt idx="1238">
                  <c:v>4066.0000000000546</c:v>
                </c:pt>
                <c:pt idx="1239">
                  <c:v>4066.0000000000546</c:v>
                </c:pt>
                <c:pt idx="1240">
                  <c:v>4066.0000000000546</c:v>
                </c:pt>
                <c:pt idx="1241">
                  <c:v>4066.0000000000546</c:v>
                </c:pt>
                <c:pt idx="1242">
                  <c:v>4066.0000000000546</c:v>
                </c:pt>
                <c:pt idx="1243">
                  <c:v>4066.0000000000546</c:v>
                </c:pt>
                <c:pt idx="1244">
                  <c:v>4066.0000000000546</c:v>
                </c:pt>
                <c:pt idx="1245">
                  <c:v>4066.0000000000546</c:v>
                </c:pt>
                <c:pt idx="1246">
                  <c:v>4066.0000000000546</c:v>
                </c:pt>
                <c:pt idx="1247">
                  <c:v>4066.0000000000546</c:v>
                </c:pt>
                <c:pt idx="1248">
                  <c:v>4066.0000000000546</c:v>
                </c:pt>
                <c:pt idx="1249">
                  <c:v>4066.0000000000546</c:v>
                </c:pt>
                <c:pt idx="1250">
                  <c:v>4066.0000000000546</c:v>
                </c:pt>
              </c:numCache>
            </c:numRef>
          </c:val>
          <c:smooth val="0"/>
          <c:extLst>
            <c:ext xmlns:c16="http://schemas.microsoft.com/office/drawing/2014/chart" uri="{C3380CC4-5D6E-409C-BE32-E72D297353CC}">
              <c16:uniqueId val="{00000000-10BD-49B6-B178-39C79ED726D0}"/>
            </c:ext>
          </c:extLst>
        </c:ser>
        <c:ser>
          <c:idx val="1"/>
          <c:order val="1"/>
          <c:tx>
            <c:v>TC</c:v>
          </c:tx>
          <c:spPr>
            <a:ln w="28575" cap="rnd">
              <a:solidFill>
                <a:schemeClr val="accent2"/>
              </a:solidFill>
              <a:round/>
            </a:ln>
            <a:effectLst/>
          </c:spPr>
          <c:marker>
            <c:symbol val="none"/>
          </c:marker>
          <c:val>
            <c:numRef>
              <c:f>'Journal Live'!$BV$134:$BV$1384</c:f>
              <c:numCache>
                <c:formatCode>General</c:formatCode>
                <c:ptCount val="1251"/>
                <c:pt idx="0">
                  <c:v>0</c:v>
                </c:pt>
                <c:pt idx="1">
                  <c:v>0</c:v>
                </c:pt>
                <c:pt idx="2">
                  <c:v>16.300000000000015</c:v>
                </c:pt>
                <c:pt idx="3">
                  <c:v>97.8</c:v>
                </c:pt>
                <c:pt idx="4">
                  <c:v>114.10000000000001</c:v>
                </c:pt>
                <c:pt idx="5">
                  <c:v>180.5</c:v>
                </c:pt>
                <c:pt idx="6">
                  <c:v>180.5</c:v>
                </c:pt>
                <c:pt idx="7">
                  <c:v>212.89999999999998</c:v>
                </c:pt>
                <c:pt idx="8">
                  <c:v>212.89999999999998</c:v>
                </c:pt>
                <c:pt idx="9">
                  <c:v>380.1</c:v>
                </c:pt>
                <c:pt idx="10">
                  <c:v>429.90000000000003</c:v>
                </c:pt>
                <c:pt idx="11">
                  <c:v>429.90000000000003</c:v>
                </c:pt>
                <c:pt idx="12">
                  <c:v>429.90000000000003</c:v>
                </c:pt>
                <c:pt idx="13">
                  <c:v>429.90000000000003</c:v>
                </c:pt>
                <c:pt idx="14">
                  <c:v>613.6</c:v>
                </c:pt>
                <c:pt idx="15">
                  <c:v>532.1</c:v>
                </c:pt>
                <c:pt idx="16">
                  <c:v>532.1</c:v>
                </c:pt>
                <c:pt idx="17">
                  <c:v>548.4</c:v>
                </c:pt>
                <c:pt idx="18">
                  <c:v>548.4</c:v>
                </c:pt>
                <c:pt idx="19">
                  <c:v>499.49999999999994</c:v>
                </c:pt>
                <c:pt idx="20">
                  <c:v>499.49999999999994</c:v>
                </c:pt>
                <c:pt idx="21">
                  <c:v>499.49999999999994</c:v>
                </c:pt>
                <c:pt idx="22">
                  <c:v>499.49999999999994</c:v>
                </c:pt>
                <c:pt idx="23">
                  <c:v>499.49999999999994</c:v>
                </c:pt>
                <c:pt idx="24">
                  <c:v>499.49999999999994</c:v>
                </c:pt>
                <c:pt idx="25">
                  <c:v>499.49999999999994</c:v>
                </c:pt>
                <c:pt idx="26">
                  <c:v>499.49999999999994</c:v>
                </c:pt>
                <c:pt idx="27">
                  <c:v>499.49999999999994</c:v>
                </c:pt>
                <c:pt idx="28">
                  <c:v>499.49999999999994</c:v>
                </c:pt>
                <c:pt idx="29">
                  <c:v>499.49999999999994</c:v>
                </c:pt>
                <c:pt idx="30">
                  <c:v>499.49999999999994</c:v>
                </c:pt>
                <c:pt idx="31">
                  <c:v>499.49999999999994</c:v>
                </c:pt>
                <c:pt idx="32">
                  <c:v>499.49999999999994</c:v>
                </c:pt>
                <c:pt idx="33">
                  <c:v>499.49999999999994</c:v>
                </c:pt>
                <c:pt idx="34">
                  <c:v>516.19999999999993</c:v>
                </c:pt>
                <c:pt idx="35">
                  <c:v>516.19999999999993</c:v>
                </c:pt>
                <c:pt idx="36">
                  <c:v>516.19999999999993</c:v>
                </c:pt>
                <c:pt idx="37">
                  <c:v>516.19999999999993</c:v>
                </c:pt>
                <c:pt idx="38">
                  <c:v>549.59999999999991</c:v>
                </c:pt>
                <c:pt idx="39">
                  <c:v>549.59999999999991</c:v>
                </c:pt>
                <c:pt idx="40">
                  <c:v>549.59999999999991</c:v>
                </c:pt>
                <c:pt idx="41">
                  <c:v>549.59999999999991</c:v>
                </c:pt>
                <c:pt idx="42">
                  <c:v>549.59999999999991</c:v>
                </c:pt>
                <c:pt idx="43">
                  <c:v>549.59999999999991</c:v>
                </c:pt>
                <c:pt idx="44">
                  <c:v>549.59999999999991</c:v>
                </c:pt>
                <c:pt idx="45">
                  <c:v>549.59999999999991</c:v>
                </c:pt>
                <c:pt idx="46">
                  <c:v>549.59999999999991</c:v>
                </c:pt>
                <c:pt idx="47">
                  <c:v>549.59999999999991</c:v>
                </c:pt>
                <c:pt idx="48">
                  <c:v>616.4</c:v>
                </c:pt>
                <c:pt idx="49">
                  <c:v>666.5</c:v>
                </c:pt>
                <c:pt idx="50">
                  <c:v>666.5</c:v>
                </c:pt>
                <c:pt idx="51">
                  <c:v>666.5</c:v>
                </c:pt>
                <c:pt idx="52">
                  <c:v>666.5</c:v>
                </c:pt>
                <c:pt idx="53">
                  <c:v>666.5</c:v>
                </c:pt>
                <c:pt idx="54">
                  <c:v>666.5</c:v>
                </c:pt>
                <c:pt idx="55">
                  <c:v>666.5</c:v>
                </c:pt>
                <c:pt idx="56">
                  <c:v>666.5</c:v>
                </c:pt>
                <c:pt idx="57">
                  <c:v>666.5</c:v>
                </c:pt>
                <c:pt idx="58">
                  <c:v>666.5</c:v>
                </c:pt>
                <c:pt idx="59">
                  <c:v>666.5</c:v>
                </c:pt>
                <c:pt idx="60">
                  <c:v>666.5</c:v>
                </c:pt>
                <c:pt idx="61">
                  <c:v>666.5</c:v>
                </c:pt>
                <c:pt idx="62">
                  <c:v>666.5</c:v>
                </c:pt>
                <c:pt idx="63">
                  <c:v>666.5</c:v>
                </c:pt>
                <c:pt idx="64">
                  <c:v>666.5</c:v>
                </c:pt>
                <c:pt idx="65">
                  <c:v>666.5</c:v>
                </c:pt>
                <c:pt idx="66">
                  <c:v>699.9</c:v>
                </c:pt>
                <c:pt idx="67">
                  <c:v>699.9</c:v>
                </c:pt>
                <c:pt idx="68">
                  <c:v>699.9</c:v>
                </c:pt>
                <c:pt idx="69">
                  <c:v>833.49999999999989</c:v>
                </c:pt>
                <c:pt idx="70">
                  <c:v>933.69999999999982</c:v>
                </c:pt>
                <c:pt idx="71">
                  <c:v>933.69999999999982</c:v>
                </c:pt>
                <c:pt idx="72">
                  <c:v>933.69999999999982</c:v>
                </c:pt>
                <c:pt idx="73">
                  <c:v>933.69999999999982</c:v>
                </c:pt>
                <c:pt idx="74">
                  <c:v>933.69999999999982</c:v>
                </c:pt>
                <c:pt idx="75">
                  <c:v>933.69999999999982</c:v>
                </c:pt>
                <c:pt idx="76">
                  <c:v>933.69999999999982</c:v>
                </c:pt>
                <c:pt idx="77">
                  <c:v>933.69999999999982</c:v>
                </c:pt>
                <c:pt idx="78">
                  <c:v>933.69999999999982</c:v>
                </c:pt>
                <c:pt idx="79">
                  <c:v>933.69999999999982</c:v>
                </c:pt>
                <c:pt idx="80">
                  <c:v>933.69999999999982</c:v>
                </c:pt>
                <c:pt idx="81">
                  <c:v>967.69999999999982</c:v>
                </c:pt>
                <c:pt idx="82">
                  <c:v>967.69999999999982</c:v>
                </c:pt>
                <c:pt idx="83">
                  <c:v>967.69999999999982</c:v>
                </c:pt>
                <c:pt idx="84">
                  <c:v>967.69999999999982</c:v>
                </c:pt>
                <c:pt idx="85">
                  <c:v>1102.8999999999999</c:v>
                </c:pt>
                <c:pt idx="86">
                  <c:v>1102.8999999999999</c:v>
                </c:pt>
                <c:pt idx="87">
                  <c:v>1102.8999999999999</c:v>
                </c:pt>
                <c:pt idx="88">
                  <c:v>1102.8999999999999</c:v>
                </c:pt>
                <c:pt idx="89">
                  <c:v>1102.8999999999999</c:v>
                </c:pt>
                <c:pt idx="90">
                  <c:v>1102.8999999999999</c:v>
                </c:pt>
                <c:pt idx="91">
                  <c:v>1102.8999999999999</c:v>
                </c:pt>
                <c:pt idx="92">
                  <c:v>1205.4999999999998</c:v>
                </c:pt>
                <c:pt idx="93">
                  <c:v>1205.4999999999998</c:v>
                </c:pt>
                <c:pt idx="94">
                  <c:v>1205.4999999999998</c:v>
                </c:pt>
                <c:pt idx="95">
                  <c:v>1205.4999999999998</c:v>
                </c:pt>
                <c:pt idx="96">
                  <c:v>1052.4999999999998</c:v>
                </c:pt>
                <c:pt idx="97">
                  <c:v>1137.4999999999998</c:v>
                </c:pt>
                <c:pt idx="98">
                  <c:v>1035.4999999999998</c:v>
                </c:pt>
                <c:pt idx="99">
                  <c:v>1035.4999999999998</c:v>
                </c:pt>
                <c:pt idx="100">
                  <c:v>1035.4999999999998</c:v>
                </c:pt>
                <c:pt idx="101">
                  <c:v>1035.4999999999998</c:v>
                </c:pt>
                <c:pt idx="102">
                  <c:v>1035.4999999999998</c:v>
                </c:pt>
                <c:pt idx="103">
                  <c:v>1035.4999999999998</c:v>
                </c:pt>
                <c:pt idx="104">
                  <c:v>1035.4999999999998</c:v>
                </c:pt>
                <c:pt idx="105">
                  <c:v>1035.4999999999998</c:v>
                </c:pt>
                <c:pt idx="106">
                  <c:v>1035.4999999999998</c:v>
                </c:pt>
                <c:pt idx="107">
                  <c:v>1035.4999999999998</c:v>
                </c:pt>
                <c:pt idx="108">
                  <c:v>1035.4999999999998</c:v>
                </c:pt>
                <c:pt idx="109">
                  <c:v>1101.8999999999999</c:v>
                </c:pt>
                <c:pt idx="110">
                  <c:v>1101.8999999999999</c:v>
                </c:pt>
                <c:pt idx="111">
                  <c:v>1101.8999999999999</c:v>
                </c:pt>
                <c:pt idx="112">
                  <c:v>1135.0999999999999</c:v>
                </c:pt>
                <c:pt idx="113">
                  <c:v>1418.1499999999999</c:v>
                </c:pt>
                <c:pt idx="114">
                  <c:v>1418.1499999999999</c:v>
                </c:pt>
                <c:pt idx="115">
                  <c:v>1418.1499999999999</c:v>
                </c:pt>
                <c:pt idx="116">
                  <c:v>1418.1499999999999</c:v>
                </c:pt>
                <c:pt idx="117">
                  <c:v>1335.1499999999999</c:v>
                </c:pt>
                <c:pt idx="118">
                  <c:v>1335.1499999999999</c:v>
                </c:pt>
                <c:pt idx="119">
                  <c:v>1335.1499999999999</c:v>
                </c:pt>
                <c:pt idx="120">
                  <c:v>1368.35</c:v>
                </c:pt>
                <c:pt idx="121">
                  <c:v>1384.9499999999998</c:v>
                </c:pt>
                <c:pt idx="122">
                  <c:v>1401.5499999999997</c:v>
                </c:pt>
                <c:pt idx="123">
                  <c:v>1401.5499999999997</c:v>
                </c:pt>
                <c:pt idx="124">
                  <c:v>1401.5499999999997</c:v>
                </c:pt>
                <c:pt idx="125">
                  <c:v>1335.1499999999996</c:v>
                </c:pt>
                <c:pt idx="126">
                  <c:v>1335.1499999999996</c:v>
                </c:pt>
                <c:pt idx="127">
                  <c:v>1384.9499999999996</c:v>
                </c:pt>
                <c:pt idx="128">
                  <c:v>1384.9499999999996</c:v>
                </c:pt>
                <c:pt idx="129">
                  <c:v>1384.9499999999996</c:v>
                </c:pt>
                <c:pt idx="130">
                  <c:v>1384.9499999999996</c:v>
                </c:pt>
                <c:pt idx="131">
                  <c:v>1384.9499999999996</c:v>
                </c:pt>
                <c:pt idx="132">
                  <c:v>1384.9499999999996</c:v>
                </c:pt>
                <c:pt idx="133">
                  <c:v>1384.9499999999996</c:v>
                </c:pt>
                <c:pt idx="134">
                  <c:v>1384.9499999999996</c:v>
                </c:pt>
                <c:pt idx="135">
                  <c:v>1384.9499999999996</c:v>
                </c:pt>
                <c:pt idx="136">
                  <c:v>1384.9499999999996</c:v>
                </c:pt>
                <c:pt idx="137">
                  <c:v>1384.9499999999996</c:v>
                </c:pt>
                <c:pt idx="138">
                  <c:v>1384.9499999999996</c:v>
                </c:pt>
                <c:pt idx="139">
                  <c:v>1384.9499999999996</c:v>
                </c:pt>
                <c:pt idx="140">
                  <c:v>1384.9499999999996</c:v>
                </c:pt>
                <c:pt idx="141">
                  <c:v>1434.7499999999995</c:v>
                </c:pt>
                <c:pt idx="142">
                  <c:v>1534.3499999999995</c:v>
                </c:pt>
                <c:pt idx="143">
                  <c:v>1534.3499999999995</c:v>
                </c:pt>
                <c:pt idx="144">
                  <c:v>1534.3499999999995</c:v>
                </c:pt>
                <c:pt idx="145">
                  <c:v>1534.3499999999995</c:v>
                </c:pt>
                <c:pt idx="146">
                  <c:v>1534.3499999999995</c:v>
                </c:pt>
                <c:pt idx="147">
                  <c:v>1534.3499999999995</c:v>
                </c:pt>
                <c:pt idx="148">
                  <c:v>1534.3499999999995</c:v>
                </c:pt>
                <c:pt idx="149">
                  <c:v>1534.3499999999995</c:v>
                </c:pt>
                <c:pt idx="150">
                  <c:v>1534.3499999999995</c:v>
                </c:pt>
                <c:pt idx="151">
                  <c:v>1550.8499999999995</c:v>
                </c:pt>
                <c:pt idx="152">
                  <c:v>1550.8499999999995</c:v>
                </c:pt>
                <c:pt idx="153">
                  <c:v>1550.8499999999995</c:v>
                </c:pt>
                <c:pt idx="154">
                  <c:v>1599.1499999999994</c:v>
                </c:pt>
                <c:pt idx="155">
                  <c:v>1681.1499999999994</c:v>
                </c:pt>
                <c:pt idx="156">
                  <c:v>1681.1499999999994</c:v>
                </c:pt>
                <c:pt idx="157">
                  <c:v>1681.1499999999994</c:v>
                </c:pt>
                <c:pt idx="158">
                  <c:v>1746.7499999999993</c:v>
                </c:pt>
                <c:pt idx="159">
                  <c:v>1746.7499999999993</c:v>
                </c:pt>
                <c:pt idx="160">
                  <c:v>1746.7499999999993</c:v>
                </c:pt>
                <c:pt idx="161">
                  <c:v>1746.7499999999993</c:v>
                </c:pt>
                <c:pt idx="162">
                  <c:v>1746.7499999999993</c:v>
                </c:pt>
                <c:pt idx="163">
                  <c:v>1746.7499999999993</c:v>
                </c:pt>
                <c:pt idx="164">
                  <c:v>1746.7499999999993</c:v>
                </c:pt>
                <c:pt idx="165">
                  <c:v>1746.7499999999993</c:v>
                </c:pt>
                <c:pt idx="166">
                  <c:v>1746.7499999999993</c:v>
                </c:pt>
                <c:pt idx="167">
                  <c:v>1746.7499999999993</c:v>
                </c:pt>
                <c:pt idx="168">
                  <c:v>1746.7499999999993</c:v>
                </c:pt>
                <c:pt idx="169">
                  <c:v>1746.7499999999993</c:v>
                </c:pt>
                <c:pt idx="170">
                  <c:v>1746.7499999999993</c:v>
                </c:pt>
                <c:pt idx="171">
                  <c:v>1746.7499999999993</c:v>
                </c:pt>
                <c:pt idx="172">
                  <c:v>1746.7499999999993</c:v>
                </c:pt>
                <c:pt idx="173">
                  <c:v>1519.9499999999994</c:v>
                </c:pt>
                <c:pt idx="174">
                  <c:v>1519.9499999999994</c:v>
                </c:pt>
                <c:pt idx="175">
                  <c:v>1519.9499999999994</c:v>
                </c:pt>
                <c:pt idx="176">
                  <c:v>1519.9499999999994</c:v>
                </c:pt>
                <c:pt idx="177">
                  <c:v>1519.9499999999994</c:v>
                </c:pt>
                <c:pt idx="178">
                  <c:v>1519.9499999999994</c:v>
                </c:pt>
                <c:pt idx="179">
                  <c:v>1519.9499999999994</c:v>
                </c:pt>
                <c:pt idx="180">
                  <c:v>1519.9499999999994</c:v>
                </c:pt>
                <c:pt idx="181">
                  <c:v>1069.1499999999992</c:v>
                </c:pt>
                <c:pt idx="182">
                  <c:v>1069.1499999999992</c:v>
                </c:pt>
                <c:pt idx="183">
                  <c:v>618.349999999999</c:v>
                </c:pt>
                <c:pt idx="184">
                  <c:v>618.349999999999</c:v>
                </c:pt>
                <c:pt idx="185">
                  <c:v>618.349999999999</c:v>
                </c:pt>
                <c:pt idx="186">
                  <c:v>618.349999999999</c:v>
                </c:pt>
                <c:pt idx="187">
                  <c:v>618.349999999999</c:v>
                </c:pt>
                <c:pt idx="188">
                  <c:v>618.349999999999</c:v>
                </c:pt>
                <c:pt idx="189">
                  <c:v>618.349999999999</c:v>
                </c:pt>
                <c:pt idx="190">
                  <c:v>618.349999999999</c:v>
                </c:pt>
                <c:pt idx="191">
                  <c:v>618.349999999999</c:v>
                </c:pt>
                <c:pt idx="192">
                  <c:v>618.349999999999</c:v>
                </c:pt>
                <c:pt idx="193">
                  <c:v>618.349999999999</c:v>
                </c:pt>
                <c:pt idx="194">
                  <c:v>618.349999999999</c:v>
                </c:pt>
                <c:pt idx="195">
                  <c:v>618.349999999999</c:v>
                </c:pt>
                <c:pt idx="196">
                  <c:v>618.349999999999</c:v>
                </c:pt>
                <c:pt idx="197">
                  <c:v>618.349999999999</c:v>
                </c:pt>
                <c:pt idx="198">
                  <c:v>618.349999999999</c:v>
                </c:pt>
                <c:pt idx="199">
                  <c:v>618.349999999999</c:v>
                </c:pt>
                <c:pt idx="200">
                  <c:v>618.349999999999</c:v>
                </c:pt>
                <c:pt idx="201">
                  <c:v>618.349999999999</c:v>
                </c:pt>
                <c:pt idx="202">
                  <c:v>618.349999999999</c:v>
                </c:pt>
                <c:pt idx="203">
                  <c:v>618.349999999999</c:v>
                </c:pt>
                <c:pt idx="204">
                  <c:v>618.349999999999</c:v>
                </c:pt>
                <c:pt idx="205">
                  <c:v>618.349999999999</c:v>
                </c:pt>
                <c:pt idx="206">
                  <c:v>618.349999999999</c:v>
                </c:pt>
                <c:pt idx="207">
                  <c:v>618.349999999999</c:v>
                </c:pt>
                <c:pt idx="208">
                  <c:v>618.349999999999</c:v>
                </c:pt>
                <c:pt idx="209">
                  <c:v>618.349999999999</c:v>
                </c:pt>
                <c:pt idx="210">
                  <c:v>618.349999999999</c:v>
                </c:pt>
                <c:pt idx="211">
                  <c:v>618.349999999999</c:v>
                </c:pt>
                <c:pt idx="212">
                  <c:v>618.349999999999</c:v>
                </c:pt>
                <c:pt idx="213">
                  <c:v>618.349999999999</c:v>
                </c:pt>
                <c:pt idx="214">
                  <c:v>618.349999999999</c:v>
                </c:pt>
                <c:pt idx="215">
                  <c:v>618.349999999999</c:v>
                </c:pt>
                <c:pt idx="216">
                  <c:v>618.349999999999</c:v>
                </c:pt>
                <c:pt idx="217">
                  <c:v>618.349999999999</c:v>
                </c:pt>
                <c:pt idx="218">
                  <c:v>618.349999999999</c:v>
                </c:pt>
                <c:pt idx="219">
                  <c:v>618.349999999999</c:v>
                </c:pt>
                <c:pt idx="220">
                  <c:v>618.349999999999</c:v>
                </c:pt>
                <c:pt idx="221">
                  <c:v>618.349999999999</c:v>
                </c:pt>
                <c:pt idx="222">
                  <c:v>618.349999999999</c:v>
                </c:pt>
                <c:pt idx="223">
                  <c:v>618.349999999999</c:v>
                </c:pt>
                <c:pt idx="224">
                  <c:v>618.349999999999</c:v>
                </c:pt>
                <c:pt idx="225">
                  <c:v>618.349999999999</c:v>
                </c:pt>
                <c:pt idx="226">
                  <c:v>618.349999999999</c:v>
                </c:pt>
                <c:pt idx="227">
                  <c:v>618.349999999999</c:v>
                </c:pt>
                <c:pt idx="228">
                  <c:v>618.349999999999</c:v>
                </c:pt>
                <c:pt idx="229">
                  <c:v>618.349999999999</c:v>
                </c:pt>
                <c:pt idx="230">
                  <c:v>618.349999999999</c:v>
                </c:pt>
                <c:pt idx="231">
                  <c:v>618.349999999999</c:v>
                </c:pt>
                <c:pt idx="232">
                  <c:v>618.349999999999</c:v>
                </c:pt>
                <c:pt idx="233">
                  <c:v>618.349999999999</c:v>
                </c:pt>
                <c:pt idx="234">
                  <c:v>618.349999999999</c:v>
                </c:pt>
                <c:pt idx="235">
                  <c:v>618.349999999999</c:v>
                </c:pt>
                <c:pt idx="236">
                  <c:v>618.349999999999</c:v>
                </c:pt>
                <c:pt idx="237">
                  <c:v>618.349999999999</c:v>
                </c:pt>
                <c:pt idx="238">
                  <c:v>618.349999999999</c:v>
                </c:pt>
                <c:pt idx="239">
                  <c:v>618.349999999999</c:v>
                </c:pt>
                <c:pt idx="240">
                  <c:v>618.349999999999</c:v>
                </c:pt>
                <c:pt idx="241">
                  <c:v>618.349999999999</c:v>
                </c:pt>
                <c:pt idx="242">
                  <c:v>618.349999999999</c:v>
                </c:pt>
                <c:pt idx="243">
                  <c:v>618.349999999999</c:v>
                </c:pt>
                <c:pt idx="244">
                  <c:v>618.349999999999</c:v>
                </c:pt>
                <c:pt idx="245">
                  <c:v>618.349999999999</c:v>
                </c:pt>
                <c:pt idx="246">
                  <c:v>618.349999999999</c:v>
                </c:pt>
                <c:pt idx="247">
                  <c:v>618.349999999999</c:v>
                </c:pt>
                <c:pt idx="248">
                  <c:v>618.349999999999</c:v>
                </c:pt>
                <c:pt idx="249">
                  <c:v>618.349999999999</c:v>
                </c:pt>
                <c:pt idx="250">
                  <c:v>634.44999999999902</c:v>
                </c:pt>
                <c:pt idx="251">
                  <c:v>634.44999999999902</c:v>
                </c:pt>
                <c:pt idx="252">
                  <c:v>634.44999999999902</c:v>
                </c:pt>
                <c:pt idx="253">
                  <c:v>650.54999999999905</c:v>
                </c:pt>
                <c:pt idx="254">
                  <c:v>650.54999999999905</c:v>
                </c:pt>
                <c:pt idx="255">
                  <c:v>650.54999999999905</c:v>
                </c:pt>
                <c:pt idx="256">
                  <c:v>650.54999999999905</c:v>
                </c:pt>
                <c:pt idx="257">
                  <c:v>650.54999999999905</c:v>
                </c:pt>
                <c:pt idx="258">
                  <c:v>666.64999999999907</c:v>
                </c:pt>
                <c:pt idx="259">
                  <c:v>666.64999999999907</c:v>
                </c:pt>
                <c:pt idx="260">
                  <c:v>666.64999999999907</c:v>
                </c:pt>
                <c:pt idx="261">
                  <c:v>666.64999999999907</c:v>
                </c:pt>
                <c:pt idx="262">
                  <c:v>666.64999999999907</c:v>
                </c:pt>
                <c:pt idx="263">
                  <c:v>666.64999999999907</c:v>
                </c:pt>
                <c:pt idx="264">
                  <c:v>666.64999999999907</c:v>
                </c:pt>
                <c:pt idx="265">
                  <c:v>666.64999999999907</c:v>
                </c:pt>
                <c:pt idx="266">
                  <c:v>666.64999999999907</c:v>
                </c:pt>
                <c:pt idx="267">
                  <c:v>666.64999999999907</c:v>
                </c:pt>
                <c:pt idx="268">
                  <c:v>666.64999999999907</c:v>
                </c:pt>
                <c:pt idx="269">
                  <c:v>666.64999999999907</c:v>
                </c:pt>
                <c:pt idx="270">
                  <c:v>666.64999999999907</c:v>
                </c:pt>
                <c:pt idx="271">
                  <c:v>666.64999999999907</c:v>
                </c:pt>
                <c:pt idx="272">
                  <c:v>666.64999999999907</c:v>
                </c:pt>
                <c:pt idx="273">
                  <c:v>666.64999999999907</c:v>
                </c:pt>
                <c:pt idx="274">
                  <c:v>666.64999999999907</c:v>
                </c:pt>
                <c:pt idx="275">
                  <c:v>666.64999999999907</c:v>
                </c:pt>
                <c:pt idx="276">
                  <c:v>666.64999999999907</c:v>
                </c:pt>
                <c:pt idx="277">
                  <c:v>666.64999999999907</c:v>
                </c:pt>
                <c:pt idx="278">
                  <c:v>666.64999999999907</c:v>
                </c:pt>
                <c:pt idx="279">
                  <c:v>666.64999999999907</c:v>
                </c:pt>
                <c:pt idx="280">
                  <c:v>666.64999999999907</c:v>
                </c:pt>
                <c:pt idx="281">
                  <c:v>666.64999999999907</c:v>
                </c:pt>
                <c:pt idx="282">
                  <c:v>666.64999999999907</c:v>
                </c:pt>
                <c:pt idx="283">
                  <c:v>666.64999999999907</c:v>
                </c:pt>
                <c:pt idx="284">
                  <c:v>666.64999999999907</c:v>
                </c:pt>
                <c:pt idx="285">
                  <c:v>666.64999999999907</c:v>
                </c:pt>
                <c:pt idx="286">
                  <c:v>666.64999999999907</c:v>
                </c:pt>
                <c:pt idx="287">
                  <c:v>666.64999999999907</c:v>
                </c:pt>
                <c:pt idx="288">
                  <c:v>666.64999999999907</c:v>
                </c:pt>
                <c:pt idx="289">
                  <c:v>666.64999999999907</c:v>
                </c:pt>
                <c:pt idx="290">
                  <c:v>666.64999999999907</c:v>
                </c:pt>
                <c:pt idx="291">
                  <c:v>666.64999999999907</c:v>
                </c:pt>
                <c:pt idx="292">
                  <c:v>666.64999999999907</c:v>
                </c:pt>
                <c:pt idx="293">
                  <c:v>666.64999999999907</c:v>
                </c:pt>
                <c:pt idx="294">
                  <c:v>666.64999999999907</c:v>
                </c:pt>
                <c:pt idx="295">
                  <c:v>666.64999999999907</c:v>
                </c:pt>
                <c:pt idx="296">
                  <c:v>666.64999999999907</c:v>
                </c:pt>
                <c:pt idx="297">
                  <c:v>666.64999999999907</c:v>
                </c:pt>
                <c:pt idx="298">
                  <c:v>666.64999999999907</c:v>
                </c:pt>
                <c:pt idx="299">
                  <c:v>666.64999999999907</c:v>
                </c:pt>
                <c:pt idx="300">
                  <c:v>666.64999999999907</c:v>
                </c:pt>
                <c:pt idx="301">
                  <c:v>666.64999999999907</c:v>
                </c:pt>
                <c:pt idx="302">
                  <c:v>666.64999999999907</c:v>
                </c:pt>
                <c:pt idx="303">
                  <c:v>666.64999999999907</c:v>
                </c:pt>
                <c:pt idx="304">
                  <c:v>666.64999999999907</c:v>
                </c:pt>
                <c:pt idx="305">
                  <c:v>666.64999999999907</c:v>
                </c:pt>
                <c:pt idx="306">
                  <c:v>666.64999999999907</c:v>
                </c:pt>
                <c:pt idx="307">
                  <c:v>666.64999999999907</c:v>
                </c:pt>
                <c:pt idx="308">
                  <c:v>666.64999999999907</c:v>
                </c:pt>
                <c:pt idx="309">
                  <c:v>666.64999999999907</c:v>
                </c:pt>
                <c:pt idx="310">
                  <c:v>666.64999999999907</c:v>
                </c:pt>
                <c:pt idx="311">
                  <c:v>666.64999999999907</c:v>
                </c:pt>
                <c:pt idx="312">
                  <c:v>666.64999999999907</c:v>
                </c:pt>
                <c:pt idx="313">
                  <c:v>666.64999999999907</c:v>
                </c:pt>
                <c:pt idx="314">
                  <c:v>666.64999999999907</c:v>
                </c:pt>
                <c:pt idx="315">
                  <c:v>666.64999999999907</c:v>
                </c:pt>
                <c:pt idx="316">
                  <c:v>666.64999999999907</c:v>
                </c:pt>
                <c:pt idx="317">
                  <c:v>666.64999999999907</c:v>
                </c:pt>
                <c:pt idx="318">
                  <c:v>666.64999999999907</c:v>
                </c:pt>
                <c:pt idx="319">
                  <c:v>666.64999999999907</c:v>
                </c:pt>
                <c:pt idx="320">
                  <c:v>666.64999999999907</c:v>
                </c:pt>
                <c:pt idx="321">
                  <c:v>666.64999999999907</c:v>
                </c:pt>
                <c:pt idx="322">
                  <c:v>828.64999999999918</c:v>
                </c:pt>
                <c:pt idx="323">
                  <c:v>942.04999999999916</c:v>
                </c:pt>
                <c:pt idx="324">
                  <c:v>942.04999999999916</c:v>
                </c:pt>
                <c:pt idx="325">
                  <c:v>942.04999999999916</c:v>
                </c:pt>
                <c:pt idx="326">
                  <c:v>1055.4499999999994</c:v>
                </c:pt>
                <c:pt idx="327">
                  <c:v>1055.4499999999994</c:v>
                </c:pt>
                <c:pt idx="328">
                  <c:v>1055.4499999999994</c:v>
                </c:pt>
                <c:pt idx="329">
                  <c:v>1055.4499999999994</c:v>
                </c:pt>
                <c:pt idx="330">
                  <c:v>1055.4499999999994</c:v>
                </c:pt>
                <c:pt idx="331">
                  <c:v>1055.4499999999994</c:v>
                </c:pt>
                <c:pt idx="332">
                  <c:v>1055.4499999999994</c:v>
                </c:pt>
                <c:pt idx="333">
                  <c:v>1055.4499999999994</c:v>
                </c:pt>
                <c:pt idx="334">
                  <c:v>1055.4499999999994</c:v>
                </c:pt>
                <c:pt idx="335">
                  <c:v>1055.4499999999994</c:v>
                </c:pt>
                <c:pt idx="336">
                  <c:v>1199.4499999999996</c:v>
                </c:pt>
                <c:pt idx="337">
                  <c:v>1199.4499999999996</c:v>
                </c:pt>
                <c:pt idx="338">
                  <c:v>1199.4499999999996</c:v>
                </c:pt>
                <c:pt idx="339">
                  <c:v>1199.4499999999996</c:v>
                </c:pt>
                <c:pt idx="340">
                  <c:v>1423.4499999999996</c:v>
                </c:pt>
                <c:pt idx="341">
                  <c:v>1423.4499999999996</c:v>
                </c:pt>
                <c:pt idx="342">
                  <c:v>1423.4499999999996</c:v>
                </c:pt>
                <c:pt idx="343">
                  <c:v>1423.4499999999996</c:v>
                </c:pt>
                <c:pt idx="344">
                  <c:v>1423.4499999999996</c:v>
                </c:pt>
                <c:pt idx="345">
                  <c:v>1423.4499999999996</c:v>
                </c:pt>
                <c:pt idx="346">
                  <c:v>1423.4499999999996</c:v>
                </c:pt>
                <c:pt idx="347">
                  <c:v>1423.4499999999996</c:v>
                </c:pt>
                <c:pt idx="348">
                  <c:v>1423.4499999999996</c:v>
                </c:pt>
                <c:pt idx="349">
                  <c:v>1423.4499999999996</c:v>
                </c:pt>
                <c:pt idx="350">
                  <c:v>1423.4499999999996</c:v>
                </c:pt>
                <c:pt idx="351">
                  <c:v>1423.4499999999996</c:v>
                </c:pt>
                <c:pt idx="352">
                  <c:v>1423.4499999999996</c:v>
                </c:pt>
                <c:pt idx="353">
                  <c:v>1423.4499999999996</c:v>
                </c:pt>
                <c:pt idx="354">
                  <c:v>1647.4499999999994</c:v>
                </c:pt>
                <c:pt idx="355">
                  <c:v>1647.4499999999994</c:v>
                </c:pt>
                <c:pt idx="356">
                  <c:v>1647.4499999999994</c:v>
                </c:pt>
                <c:pt idx="357">
                  <c:v>1647.4499999999994</c:v>
                </c:pt>
                <c:pt idx="358">
                  <c:v>1647.4499999999994</c:v>
                </c:pt>
                <c:pt idx="359">
                  <c:v>1647.4499999999994</c:v>
                </c:pt>
                <c:pt idx="360">
                  <c:v>1647.4499999999994</c:v>
                </c:pt>
                <c:pt idx="361">
                  <c:v>1647.4499999999994</c:v>
                </c:pt>
                <c:pt idx="362">
                  <c:v>1647.4499999999994</c:v>
                </c:pt>
                <c:pt idx="363">
                  <c:v>1647.4499999999994</c:v>
                </c:pt>
                <c:pt idx="364">
                  <c:v>1647.4499999999994</c:v>
                </c:pt>
                <c:pt idx="365">
                  <c:v>1423.4499999999994</c:v>
                </c:pt>
                <c:pt idx="366">
                  <c:v>1423.4499999999994</c:v>
                </c:pt>
                <c:pt idx="367">
                  <c:v>1423.4499999999994</c:v>
                </c:pt>
                <c:pt idx="368">
                  <c:v>1423.4499999999994</c:v>
                </c:pt>
                <c:pt idx="369">
                  <c:v>1423.4499999999994</c:v>
                </c:pt>
                <c:pt idx="370">
                  <c:v>1423.4499999999994</c:v>
                </c:pt>
                <c:pt idx="371">
                  <c:v>1423.4499999999994</c:v>
                </c:pt>
                <c:pt idx="372">
                  <c:v>1423.4499999999994</c:v>
                </c:pt>
                <c:pt idx="373">
                  <c:v>1359.4499999999994</c:v>
                </c:pt>
                <c:pt idx="374">
                  <c:v>1359.4499999999994</c:v>
                </c:pt>
                <c:pt idx="375">
                  <c:v>1359.4499999999994</c:v>
                </c:pt>
                <c:pt idx="376">
                  <c:v>1359.4499999999994</c:v>
                </c:pt>
                <c:pt idx="377">
                  <c:v>1359.4499999999994</c:v>
                </c:pt>
                <c:pt idx="378">
                  <c:v>1359.4499999999994</c:v>
                </c:pt>
                <c:pt idx="379">
                  <c:v>1359.4499999999994</c:v>
                </c:pt>
                <c:pt idx="380">
                  <c:v>1359.4499999999994</c:v>
                </c:pt>
                <c:pt idx="381">
                  <c:v>1359.4499999999994</c:v>
                </c:pt>
                <c:pt idx="382">
                  <c:v>687.44999999999925</c:v>
                </c:pt>
                <c:pt idx="383">
                  <c:v>687.44999999999925</c:v>
                </c:pt>
                <c:pt idx="384">
                  <c:v>687.44999999999925</c:v>
                </c:pt>
                <c:pt idx="385">
                  <c:v>687.44999999999925</c:v>
                </c:pt>
                <c:pt idx="386">
                  <c:v>687.44999999999925</c:v>
                </c:pt>
                <c:pt idx="387">
                  <c:v>687.44999999999925</c:v>
                </c:pt>
                <c:pt idx="388">
                  <c:v>687.44999999999925</c:v>
                </c:pt>
                <c:pt idx="389">
                  <c:v>687.44999999999925</c:v>
                </c:pt>
                <c:pt idx="390">
                  <c:v>687.44999999999925</c:v>
                </c:pt>
                <c:pt idx="391">
                  <c:v>687.44999999999925</c:v>
                </c:pt>
                <c:pt idx="392">
                  <c:v>687.44999999999925</c:v>
                </c:pt>
                <c:pt idx="393">
                  <c:v>687.44999999999925</c:v>
                </c:pt>
                <c:pt idx="394">
                  <c:v>687.44999999999925</c:v>
                </c:pt>
                <c:pt idx="395">
                  <c:v>687.44999999999925</c:v>
                </c:pt>
                <c:pt idx="396">
                  <c:v>687.44999999999925</c:v>
                </c:pt>
                <c:pt idx="397">
                  <c:v>687.44999999999925</c:v>
                </c:pt>
                <c:pt idx="398">
                  <c:v>687.44999999999925</c:v>
                </c:pt>
                <c:pt idx="399">
                  <c:v>687.44999999999925</c:v>
                </c:pt>
                <c:pt idx="400">
                  <c:v>687.44999999999925</c:v>
                </c:pt>
                <c:pt idx="401">
                  <c:v>687.44999999999925</c:v>
                </c:pt>
                <c:pt idx="402">
                  <c:v>687.44999999999925</c:v>
                </c:pt>
                <c:pt idx="403">
                  <c:v>687.44999999999925</c:v>
                </c:pt>
                <c:pt idx="404">
                  <c:v>687.44999999999925</c:v>
                </c:pt>
                <c:pt idx="405">
                  <c:v>687.44999999999925</c:v>
                </c:pt>
                <c:pt idx="406">
                  <c:v>687.44999999999925</c:v>
                </c:pt>
                <c:pt idx="407">
                  <c:v>687.44999999999925</c:v>
                </c:pt>
                <c:pt idx="408">
                  <c:v>687.44999999999925</c:v>
                </c:pt>
                <c:pt idx="409">
                  <c:v>687.44999999999925</c:v>
                </c:pt>
                <c:pt idx="410">
                  <c:v>687.44999999999925</c:v>
                </c:pt>
                <c:pt idx="411">
                  <c:v>687.44999999999925</c:v>
                </c:pt>
                <c:pt idx="412">
                  <c:v>687.44999999999925</c:v>
                </c:pt>
                <c:pt idx="413">
                  <c:v>687.44999999999925</c:v>
                </c:pt>
                <c:pt idx="414">
                  <c:v>687.44999999999925</c:v>
                </c:pt>
                <c:pt idx="415">
                  <c:v>687.44999999999925</c:v>
                </c:pt>
                <c:pt idx="416">
                  <c:v>687.44999999999925</c:v>
                </c:pt>
                <c:pt idx="417">
                  <c:v>687.44999999999925</c:v>
                </c:pt>
                <c:pt idx="418">
                  <c:v>687.44999999999925</c:v>
                </c:pt>
                <c:pt idx="419">
                  <c:v>687.44999999999925</c:v>
                </c:pt>
                <c:pt idx="420">
                  <c:v>687.44999999999925</c:v>
                </c:pt>
                <c:pt idx="421">
                  <c:v>687.44999999999925</c:v>
                </c:pt>
                <c:pt idx="422">
                  <c:v>687.44999999999925</c:v>
                </c:pt>
                <c:pt idx="423">
                  <c:v>687.44999999999925</c:v>
                </c:pt>
                <c:pt idx="424">
                  <c:v>687.44999999999925</c:v>
                </c:pt>
                <c:pt idx="425">
                  <c:v>687.44999999999925</c:v>
                </c:pt>
                <c:pt idx="426">
                  <c:v>687.44999999999925</c:v>
                </c:pt>
                <c:pt idx="427">
                  <c:v>1199.4499999999994</c:v>
                </c:pt>
                <c:pt idx="428">
                  <c:v>1519.4499999999996</c:v>
                </c:pt>
                <c:pt idx="429">
                  <c:v>1519.4499999999996</c:v>
                </c:pt>
                <c:pt idx="430">
                  <c:v>1759.4499999999996</c:v>
                </c:pt>
                <c:pt idx="431">
                  <c:v>1871.4499999999996</c:v>
                </c:pt>
                <c:pt idx="432">
                  <c:v>2031.4499999999996</c:v>
                </c:pt>
                <c:pt idx="433">
                  <c:v>2031.4499999999996</c:v>
                </c:pt>
                <c:pt idx="434">
                  <c:v>2031.4499999999996</c:v>
                </c:pt>
                <c:pt idx="435">
                  <c:v>2031.4499999999996</c:v>
                </c:pt>
                <c:pt idx="436">
                  <c:v>2031.4499999999996</c:v>
                </c:pt>
                <c:pt idx="437">
                  <c:v>2031.4499999999996</c:v>
                </c:pt>
                <c:pt idx="438">
                  <c:v>2031.4499999999996</c:v>
                </c:pt>
                <c:pt idx="439">
                  <c:v>2031.4499999999996</c:v>
                </c:pt>
                <c:pt idx="440">
                  <c:v>2031.4499999999996</c:v>
                </c:pt>
                <c:pt idx="441">
                  <c:v>2031.4499999999996</c:v>
                </c:pt>
                <c:pt idx="442">
                  <c:v>2031.4499999999996</c:v>
                </c:pt>
                <c:pt idx="443">
                  <c:v>2031.4499999999996</c:v>
                </c:pt>
                <c:pt idx="444">
                  <c:v>2031.4499999999996</c:v>
                </c:pt>
                <c:pt idx="445">
                  <c:v>2031.4499999999996</c:v>
                </c:pt>
                <c:pt idx="446">
                  <c:v>2031.4499999999996</c:v>
                </c:pt>
                <c:pt idx="447">
                  <c:v>2031.4499999999996</c:v>
                </c:pt>
                <c:pt idx="448">
                  <c:v>2031.4499999999996</c:v>
                </c:pt>
                <c:pt idx="449">
                  <c:v>2031.4499999999996</c:v>
                </c:pt>
                <c:pt idx="450">
                  <c:v>2031.4499999999996</c:v>
                </c:pt>
                <c:pt idx="451">
                  <c:v>2031.4499999999996</c:v>
                </c:pt>
                <c:pt idx="452">
                  <c:v>2031.4499999999996</c:v>
                </c:pt>
                <c:pt idx="453">
                  <c:v>2031.4499999999996</c:v>
                </c:pt>
                <c:pt idx="454">
                  <c:v>2031.4499999999996</c:v>
                </c:pt>
                <c:pt idx="455">
                  <c:v>2031.4499999999996</c:v>
                </c:pt>
                <c:pt idx="456">
                  <c:v>2031.4499999999996</c:v>
                </c:pt>
                <c:pt idx="457">
                  <c:v>2031.4499999999996</c:v>
                </c:pt>
                <c:pt idx="458">
                  <c:v>2127.4499999999994</c:v>
                </c:pt>
                <c:pt idx="459">
                  <c:v>2980.7833333333328</c:v>
                </c:pt>
                <c:pt idx="460">
                  <c:v>2980.7833333333328</c:v>
                </c:pt>
                <c:pt idx="461">
                  <c:v>2980.7833333333328</c:v>
                </c:pt>
                <c:pt idx="462">
                  <c:v>2980.7833333333328</c:v>
                </c:pt>
                <c:pt idx="463">
                  <c:v>2980.7833333333328</c:v>
                </c:pt>
                <c:pt idx="464">
                  <c:v>2980.7833333333328</c:v>
                </c:pt>
                <c:pt idx="465">
                  <c:v>2980.7833333333328</c:v>
                </c:pt>
                <c:pt idx="466">
                  <c:v>2980.7833333333328</c:v>
                </c:pt>
                <c:pt idx="467">
                  <c:v>2980.7833333333328</c:v>
                </c:pt>
                <c:pt idx="468">
                  <c:v>2980.7833333333328</c:v>
                </c:pt>
                <c:pt idx="469">
                  <c:v>2980.7833333333328</c:v>
                </c:pt>
                <c:pt idx="470">
                  <c:v>2980.7833333333328</c:v>
                </c:pt>
                <c:pt idx="471">
                  <c:v>2980.7833333333328</c:v>
                </c:pt>
                <c:pt idx="472">
                  <c:v>2980.7833333333328</c:v>
                </c:pt>
                <c:pt idx="473">
                  <c:v>3220.7833333333328</c:v>
                </c:pt>
                <c:pt idx="474">
                  <c:v>3220.7833333333328</c:v>
                </c:pt>
                <c:pt idx="475">
                  <c:v>3220.7833333333328</c:v>
                </c:pt>
                <c:pt idx="476">
                  <c:v>3220.7833333333328</c:v>
                </c:pt>
                <c:pt idx="477">
                  <c:v>3220.7833333333328</c:v>
                </c:pt>
                <c:pt idx="478">
                  <c:v>3268.7833333333328</c:v>
                </c:pt>
                <c:pt idx="479">
                  <c:v>3268.7833333333328</c:v>
                </c:pt>
                <c:pt idx="480">
                  <c:v>3268.7833333333328</c:v>
                </c:pt>
                <c:pt idx="481">
                  <c:v>3268.7833333333328</c:v>
                </c:pt>
                <c:pt idx="482">
                  <c:v>3268.7833333333328</c:v>
                </c:pt>
                <c:pt idx="483">
                  <c:v>3268.7833333333328</c:v>
                </c:pt>
                <c:pt idx="484">
                  <c:v>3268.7833333333328</c:v>
                </c:pt>
                <c:pt idx="485">
                  <c:v>3268.7833333333328</c:v>
                </c:pt>
                <c:pt idx="486">
                  <c:v>3348.7833333333328</c:v>
                </c:pt>
                <c:pt idx="487">
                  <c:v>3348.7833333333328</c:v>
                </c:pt>
                <c:pt idx="488">
                  <c:v>3348.7833333333328</c:v>
                </c:pt>
                <c:pt idx="489">
                  <c:v>3348.7833333333328</c:v>
                </c:pt>
                <c:pt idx="490">
                  <c:v>3348.7833333333328</c:v>
                </c:pt>
                <c:pt idx="491">
                  <c:v>3348.7833333333328</c:v>
                </c:pt>
                <c:pt idx="492">
                  <c:v>3348.7833333333328</c:v>
                </c:pt>
                <c:pt idx="493">
                  <c:v>3348.7833333333328</c:v>
                </c:pt>
                <c:pt idx="494">
                  <c:v>3348.7833333333328</c:v>
                </c:pt>
                <c:pt idx="495">
                  <c:v>3348.7833333333328</c:v>
                </c:pt>
                <c:pt idx="496">
                  <c:v>3348.7833333333328</c:v>
                </c:pt>
                <c:pt idx="497">
                  <c:v>3348.7833333333328</c:v>
                </c:pt>
                <c:pt idx="498">
                  <c:v>3348.7833333333328</c:v>
                </c:pt>
                <c:pt idx="499">
                  <c:v>3348.7833333333328</c:v>
                </c:pt>
                <c:pt idx="500">
                  <c:v>3348.7833333333328</c:v>
                </c:pt>
                <c:pt idx="501">
                  <c:v>3348.7833333333328</c:v>
                </c:pt>
                <c:pt idx="502">
                  <c:v>3508.7833333333328</c:v>
                </c:pt>
                <c:pt idx="503">
                  <c:v>3652.7833333333328</c:v>
                </c:pt>
                <c:pt idx="504">
                  <c:v>3652.7833333333328</c:v>
                </c:pt>
                <c:pt idx="505">
                  <c:v>3652.7833333333328</c:v>
                </c:pt>
                <c:pt idx="506">
                  <c:v>3652.7833333333328</c:v>
                </c:pt>
                <c:pt idx="507">
                  <c:v>3652.7833333333328</c:v>
                </c:pt>
                <c:pt idx="508">
                  <c:v>3652.7833333333328</c:v>
                </c:pt>
                <c:pt idx="509">
                  <c:v>3652.7833333333328</c:v>
                </c:pt>
                <c:pt idx="510">
                  <c:v>3652.7833333333328</c:v>
                </c:pt>
                <c:pt idx="511">
                  <c:v>3652.7833333333328</c:v>
                </c:pt>
                <c:pt idx="512">
                  <c:v>3652.7833333333328</c:v>
                </c:pt>
                <c:pt idx="513">
                  <c:v>3652.7833333333328</c:v>
                </c:pt>
                <c:pt idx="514">
                  <c:v>3652.7833333333328</c:v>
                </c:pt>
                <c:pt idx="515">
                  <c:v>3652.7833333333328</c:v>
                </c:pt>
                <c:pt idx="516">
                  <c:v>3652.7833333333328</c:v>
                </c:pt>
                <c:pt idx="517">
                  <c:v>3652.7833333333328</c:v>
                </c:pt>
                <c:pt idx="518">
                  <c:v>3652.7833333333328</c:v>
                </c:pt>
                <c:pt idx="519">
                  <c:v>3652.7833333333328</c:v>
                </c:pt>
                <c:pt idx="520">
                  <c:v>3652.7833333333328</c:v>
                </c:pt>
                <c:pt idx="521">
                  <c:v>3652.7833333333328</c:v>
                </c:pt>
                <c:pt idx="522">
                  <c:v>3652.7833333333328</c:v>
                </c:pt>
                <c:pt idx="523">
                  <c:v>3652.7833333333328</c:v>
                </c:pt>
                <c:pt idx="524">
                  <c:v>3700.7833333333328</c:v>
                </c:pt>
                <c:pt idx="525">
                  <c:v>3700.7833333333328</c:v>
                </c:pt>
                <c:pt idx="526">
                  <c:v>3700.7833333333328</c:v>
                </c:pt>
                <c:pt idx="527">
                  <c:v>3700.7833333333328</c:v>
                </c:pt>
                <c:pt idx="528">
                  <c:v>3700.7833333333328</c:v>
                </c:pt>
                <c:pt idx="529">
                  <c:v>3700.7833333333328</c:v>
                </c:pt>
                <c:pt idx="530">
                  <c:v>3700.7833333333328</c:v>
                </c:pt>
                <c:pt idx="531">
                  <c:v>3700.7833333333328</c:v>
                </c:pt>
                <c:pt idx="532">
                  <c:v>3700.7833333333328</c:v>
                </c:pt>
                <c:pt idx="533">
                  <c:v>3700.7833333333328</c:v>
                </c:pt>
                <c:pt idx="534">
                  <c:v>3700.7833333333328</c:v>
                </c:pt>
                <c:pt idx="535">
                  <c:v>3700.7833333333328</c:v>
                </c:pt>
                <c:pt idx="536">
                  <c:v>3700.7833333333328</c:v>
                </c:pt>
                <c:pt idx="537">
                  <c:v>3700.7833333333328</c:v>
                </c:pt>
                <c:pt idx="538">
                  <c:v>3700.7833333333328</c:v>
                </c:pt>
                <c:pt idx="539">
                  <c:v>3700.7833333333328</c:v>
                </c:pt>
                <c:pt idx="540">
                  <c:v>3700.7833333333328</c:v>
                </c:pt>
                <c:pt idx="541">
                  <c:v>3700.7833333333328</c:v>
                </c:pt>
                <c:pt idx="542">
                  <c:v>3700.7833333333328</c:v>
                </c:pt>
                <c:pt idx="543">
                  <c:v>3700.7833333333328</c:v>
                </c:pt>
                <c:pt idx="544">
                  <c:v>3700.7833333333328</c:v>
                </c:pt>
                <c:pt idx="545">
                  <c:v>3700.7833333333328</c:v>
                </c:pt>
                <c:pt idx="546">
                  <c:v>3700.7833333333328</c:v>
                </c:pt>
                <c:pt idx="547">
                  <c:v>3700.7833333333328</c:v>
                </c:pt>
                <c:pt idx="548">
                  <c:v>3700.7833333333328</c:v>
                </c:pt>
                <c:pt idx="549">
                  <c:v>3700.7833333333328</c:v>
                </c:pt>
                <c:pt idx="550">
                  <c:v>3700.7833333333328</c:v>
                </c:pt>
                <c:pt idx="551">
                  <c:v>3700.7833333333328</c:v>
                </c:pt>
                <c:pt idx="552">
                  <c:v>3700.7833333333328</c:v>
                </c:pt>
                <c:pt idx="553">
                  <c:v>3700.7833333333328</c:v>
                </c:pt>
                <c:pt idx="554">
                  <c:v>3700.7833333333328</c:v>
                </c:pt>
                <c:pt idx="555">
                  <c:v>3700.7833333333328</c:v>
                </c:pt>
                <c:pt idx="556">
                  <c:v>3700.7833333333328</c:v>
                </c:pt>
                <c:pt idx="557">
                  <c:v>3700.7833333333328</c:v>
                </c:pt>
                <c:pt idx="558">
                  <c:v>3700.7833333333328</c:v>
                </c:pt>
                <c:pt idx="559">
                  <c:v>3700.7833333333328</c:v>
                </c:pt>
                <c:pt idx="560">
                  <c:v>3700.7833333333328</c:v>
                </c:pt>
                <c:pt idx="561">
                  <c:v>4020.7833333333328</c:v>
                </c:pt>
                <c:pt idx="562">
                  <c:v>4020.7833333333328</c:v>
                </c:pt>
                <c:pt idx="563">
                  <c:v>4020.7833333333328</c:v>
                </c:pt>
                <c:pt idx="564">
                  <c:v>5364.7833333333328</c:v>
                </c:pt>
                <c:pt idx="565">
                  <c:v>6036.7833333333328</c:v>
                </c:pt>
                <c:pt idx="566">
                  <c:v>6036.7833333333328</c:v>
                </c:pt>
                <c:pt idx="567">
                  <c:v>6036.7833333333328</c:v>
                </c:pt>
                <c:pt idx="568">
                  <c:v>6036.7833333333328</c:v>
                </c:pt>
                <c:pt idx="569">
                  <c:v>6036.7833333333328</c:v>
                </c:pt>
                <c:pt idx="570">
                  <c:v>6036.7833333333328</c:v>
                </c:pt>
                <c:pt idx="571">
                  <c:v>6036.7833333333328</c:v>
                </c:pt>
                <c:pt idx="572">
                  <c:v>6036.7833333333328</c:v>
                </c:pt>
                <c:pt idx="573">
                  <c:v>6036.7833333333328</c:v>
                </c:pt>
                <c:pt idx="574">
                  <c:v>6036.7833333333328</c:v>
                </c:pt>
                <c:pt idx="575">
                  <c:v>6036.7833333333328</c:v>
                </c:pt>
                <c:pt idx="576">
                  <c:v>6036.7833333333328</c:v>
                </c:pt>
                <c:pt idx="577">
                  <c:v>6036.7833333333328</c:v>
                </c:pt>
                <c:pt idx="578">
                  <c:v>6036.7833333333328</c:v>
                </c:pt>
                <c:pt idx="579">
                  <c:v>6036.7833333333328</c:v>
                </c:pt>
                <c:pt idx="580">
                  <c:v>6036.7833333333328</c:v>
                </c:pt>
                <c:pt idx="581">
                  <c:v>6036.7833333333328</c:v>
                </c:pt>
                <c:pt idx="582">
                  <c:v>6036.7833333333328</c:v>
                </c:pt>
                <c:pt idx="583">
                  <c:v>6036.7833333333328</c:v>
                </c:pt>
                <c:pt idx="584">
                  <c:v>6036.7833333333328</c:v>
                </c:pt>
                <c:pt idx="585">
                  <c:v>6036.7833333333328</c:v>
                </c:pt>
                <c:pt idx="586">
                  <c:v>6036.7833333333328</c:v>
                </c:pt>
                <c:pt idx="587">
                  <c:v>6036.7833333333328</c:v>
                </c:pt>
                <c:pt idx="588">
                  <c:v>6036.7833333333328</c:v>
                </c:pt>
                <c:pt idx="589">
                  <c:v>6036.7833333333328</c:v>
                </c:pt>
                <c:pt idx="590">
                  <c:v>6036.7833333333328</c:v>
                </c:pt>
                <c:pt idx="591">
                  <c:v>6036.7833333333328</c:v>
                </c:pt>
                <c:pt idx="592">
                  <c:v>6036.7833333333328</c:v>
                </c:pt>
                <c:pt idx="593">
                  <c:v>6036.7833333333328</c:v>
                </c:pt>
                <c:pt idx="594">
                  <c:v>6036.7833333333328</c:v>
                </c:pt>
                <c:pt idx="595">
                  <c:v>6116.7833333333328</c:v>
                </c:pt>
                <c:pt idx="596">
                  <c:v>6116.7833333333328</c:v>
                </c:pt>
                <c:pt idx="597">
                  <c:v>6116.7833333333328</c:v>
                </c:pt>
                <c:pt idx="598">
                  <c:v>6116.7833333333328</c:v>
                </c:pt>
                <c:pt idx="599">
                  <c:v>6116.7833333333328</c:v>
                </c:pt>
                <c:pt idx="600">
                  <c:v>6996.7833333333328</c:v>
                </c:pt>
                <c:pt idx="601">
                  <c:v>7092.7833333333328</c:v>
                </c:pt>
                <c:pt idx="602">
                  <c:v>7188.7833333333328</c:v>
                </c:pt>
                <c:pt idx="603">
                  <c:v>7188.7833333333328</c:v>
                </c:pt>
                <c:pt idx="604">
                  <c:v>7188.7833333333328</c:v>
                </c:pt>
                <c:pt idx="605">
                  <c:v>7188.7833333333328</c:v>
                </c:pt>
                <c:pt idx="606">
                  <c:v>7188.7833333333328</c:v>
                </c:pt>
                <c:pt idx="607">
                  <c:v>7188.7833333333328</c:v>
                </c:pt>
                <c:pt idx="608">
                  <c:v>7188.7833333333328</c:v>
                </c:pt>
                <c:pt idx="609">
                  <c:v>7188.7833333333328</c:v>
                </c:pt>
                <c:pt idx="610">
                  <c:v>7188.7833333333328</c:v>
                </c:pt>
                <c:pt idx="611">
                  <c:v>7188.7833333333328</c:v>
                </c:pt>
                <c:pt idx="612">
                  <c:v>7188.7833333333328</c:v>
                </c:pt>
                <c:pt idx="613">
                  <c:v>7188.7833333333328</c:v>
                </c:pt>
                <c:pt idx="614">
                  <c:v>7188.7833333333328</c:v>
                </c:pt>
                <c:pt idx="615">
                  <c:v>7188.7833333333328</c:v>
                </c:pt>
                <c:pt idx="616">
                  <c:v>7188.7833333333328</c:v>
                </c:pt>
                <c:pt idx="617">
                  <c:v>7140.7833333333328</c:v>
                </c:pt>
                <c:pt idx="618">
                  <c:v>7140.7833333333328</c:v>
                </c:pt>
                <c:pt idx="619">
                  <c:v>7140.7833333333328</c:v>
                </c:pt>
                <c:pt idx="620">
                  <c:v>7140.7833333333328</c:v>
                </c:pt>
                <c:pt idx="621">
                  <c:v>7140.7833333333328</c:v>
                </c:pt>
                <c:pt idx="622">
                  <c:v>7140.7833333333328</c:v>
                </c:pt>
                <c:pt idx="623">
                  <c:v>7140.7833333333328</c:v>
                </c:pt>
                <c:pt idx="624">
                  <c:v>7140.7833333333328</c:v>
                </c:pt>
                <c:pt idx="625">
                  <c:v>7140.7833333333328</c:v>
                </c:pt>
                <c:pt idx="626">
                  <c:v>7140.7833333333328</c:v>
                </c:pt>
                <c:pt idx="627">
                  <c:v>7140.7833333333328</c:v>
                </c:pt>
                <c:pt idx="628">
                  <c:v>7140.7833333333328</c:v>
                </c:pt>
                <c:pt idx="629">
                  <c:v>7124.7833333333328</c:v>
                </c:pt>
                <c:pt idx="630">
                  <c:v>7124.7833333333328</c:v>
                </c:pt>
                <c:pt idx="631">
                  <c:v>7124.7833333333328</c:v>
                </c:pt>
                <c:pt idx="632">
                  <c:v>7124.7833333333328</c:v>
                </c:pt>
                <c:pt idx="633">
                  <c:v>7124.7833333333328</c:v>
                </c:pt>
                <c:pt idx="634">
                  <c:v>7124.7833333333328</c:v>
                </c:pt>
                <c:pt idx="635">
                  <c:v>7124.7833333333328</c:v>
                </c:pt>
                <c:pt idx="636">
                  <c:v>7124.7833333333328</c:v>
                </c:pt>
                <c:pt idx="637">
                  <c:v>7124.7833333333328</c:v>
                </c:pt>
                <c:pt idx="638">
                  <c:v>7124.7833333333328</c:v>
                </c:pt>
                <c:pt idx="639">
                  <c:v>7124.7833333333328</c:v>
                </c:pt>
                <c:pt idx="640">
                  <c:v>7124.7833333333328</c:v>
                </c:pt>
                <c:pt idx="641">
                  <c:v>7124.7833333333328</c:v>
                </c:pt>
                <c:pt idx="642">
                  <c:v>7124.7833333333328</c:v>
                </c:pt>
                <c:pt idx="643">
                  <c:v>7124.7833333333328</c:v>
                </c:pt>
                <c:pt idx="644">
                  <c:v>7124.7833333333328</c:v>
                </c:pt>
                <c:pt idx="645">
                  <c:v>7124.7833333333328</c:v>
                </c:pt>
                <c:pt idx="646">
                  <c:v>7124.7833333333328</c:v>
                </c:pt>
                <c:pt idx="647">
                  <c:v>7124.7833333333328</c:v>
                </c:pt>
                <c:pt idx="648">
                  <c:v>7156.7833333333328</c:v>
                </c:pt>
                <c:pt idx="649">
                  <c:v>7156.7833333333328</c:v>
                </c:pt>
                <c:pt idx="650">
                  <c:v>7156.7833333333328</c:v>
                </c:pt>
                <c:pt idx="651">
                  <c:v>7156.7833333333328</c:v>
                </c:pt>
                <c:pt idx="652">
                  <c:v>7156.7833333333328</c:v>
                </c:pt>
                <c:pt idx="653">
                  <c:v>7156.7833333333328</c:v>
                </c:pt>
                <c:pt idx="654">
                  <c:v>7156.7833333333328</c:v>
                </c:pt>
                <c:pt idx="655">
                  <c:v>7108.7833333333328</c:v>
                </c:pt>
                <c:pt idx="656">
                  <c:v>7108.7833333333328</c:v>
                </c:pt>
                <c:pt idx="657">
                  <c:v>7108.7833333333328</c:v>
                </c:pt>
                <c:pt idx="658">
                  <c:v>7108.7833333333328</c:v>
                </c:pt>
                <c:pt idx="659">
                  <c:v>7108.7833333333328</c:v>
                </c:pt>
                <c:pt idx="660">
                  <c:v>7108.7833333333328</c:v>
                </c:pt>
                <c:pt idx="661">
                  <c:v>7108.7833333333328</c:v>
                </c:pt>
                <c:pt idx="662">
                  <c:v>7108.7833333333328</c:v>
                </c:pt>
                <c:pt idx="663">
                  <c:v>7108.7833333333328</c:v>
                </c:pt>
                <c:pt idx="664">
                  <c:v>7108.7833333333328</c:v>
                </c:pt>
                <c:pt idx="665">
                  <c:v>7108.7833333333328</c:v>
                </c:pt>
                <c:pt idx="666">
                  <c:v>7108.7833333333328</c:v>
                </c:pt>
                <c:pt idx="667">
                  <c:v>7108.7833333333328</c:v>
                </c:pt>
                <c:pt idx="668">
                  <c:v>7108.7833333333328</c:v>
                </c:pt>
                <c:pt idx="669">
                  <c:v>7108.7833333333328</c:v>
                </c:pt>
                <c:pt idx="670">
                  <c:v>7108.7833333333328</c:v>
                </c:pt>
                <c:pt idx="671">
                  <c:v>7108.7833333333328</c:v>
                </c:pt>
                <c:pt idx="672">
                  <c:v>7956.7833333333328</c:v>
                </c:pt>
                <c:pt idx="673">
                  <c:v>7956.7833333333328</c:v>
                </c:pt>
                <c:pt idx="674">
                  <c:v>7956.7833333333328</c:v>
                </c:pt>
                <c:pt idx="675">
                  <c:v>7956.7833333333328</c:v>
                </c:pt>
                <c:pt idx="676">
                  <c:v>7956.7833333333328</c:v>
                </c:pt>
                <c:pt idx="677">
                  <c:v>7956.7833333333328</c:v>
                </c:pt>
                <c:pt idx="678">
                  <c:v>8228.7833333333328</c:v>
                </c:pt>
                <c:pt idx="679">
                  <c:v>8228.7833333333328</c:v>
                </c:pt>
                <c:pt idx="680">
                  <c:v>8228.7833333333328</c:v>
                </c:pt>
                <c:pt idx="681">
                  <c:v>8228.7833333333328</c:v>
                </c:pt>
                <c:pt idx="682">
                  <c:v>8228.7833333333328</c:v>
                </c:pt>
                <c:pt idx="683">
                  <c:v>8228.7833333333328</c:v>
                </c:pt>
                <c:pt idx="684">
                  <c:v>8228.7833333333328</c:v>
                </c:pt>
                <c:pt idx="685">
                  <c:v>8228.7833333333328</c:v>
                </c:pt>
                <c:pt idx="686">
                  <c:v>8228.7833333333328</c:v>
                </c:pt>
                <c:pt idx="687">
                  <c:v>8228.7833333333328</c:v>
                </c:pt>
                <c:pt idx="688">
                  <c:v>8228.7833333333328</c:v>
                </c:pt>
                <c:pt idx="689">
                  <c:v>8228.7833333333328</c:v>
                </c:pt>
                <c:pt idx="690">
                  <c:v>8228.7833333333328</c:v>
                </c:pt>
                <c:pt idx="691">
                  <c:v>8228.7833333333328</c:v>
                </c:pt>
                <c:pt idx="692">
                  <c:v>8356.7833333333328</c:v>
                </c:pt>
                <c:pt idx="693">
                  <c:v>8356.7833333333328</c:v>
                </c:pt>
                <c:pt idx="694">
                  <c:v>8356.7833333333328</c:v>
                </c:pt>
                <c:pt idx="695">
                  <c:v>8356.7833333333328</c:v>
                </c:pt>
                <c:pt idx="696">
                  <c:v>8356.7833333333328</c:v>
                </c:pt>
                <c:pt idx="697">
                  <c:v>8356.7833333333328</c:v>
                </c:pt>
                <c:pt idx="698">
                  <c:v>8356.7833333333328</c:v>
                </c:pt>
                <c:pt idx="699">
                  <c:v>8356.7833333333328</c:v>
                </c:pt>
                <c:pt idx="700">
                  <c:v>8356.7833333333328</c:v>
                </c:pt>
                <c:pt idx="701">
                  <c:v>8356.7833333333328</c:v>
                </c:pt>
                <c:pt idx="702">
                  <c:v>8356.7833333333328</c:v>
                </c:pt>
                <c:pt idx="703">
                  <c:v>8356.7833333333328</c:v>
                </c:pt>
                <c:pt idx="704">
                  <c:v>8356.7833333333328</c:v>
                </c:pt>
                <c:pt idx="705">
                  <c:v>8356.7833333333328</c:v>
                </c:pt>
                <c:pt idx="706">
                  <c:v>8356.7833333333328</c:v>
                </c:pt>
                <c:pt idx="707">
                  <c:v>8356.7833333333328</c:v>
                </c:pt>
                <c:pt idx="708">
                  <c:v>8356.7833333333328</c:v>
                </c:pt>
                <c:pt idx="709">
                  <c:v>8356.7833333333328</c:v>
                </c:pt>
                <c:pt idx="710">
                  <c:v>8356.7833333333328</c:v>
                </c:pt>
                <c:pt idx="711">
                  <c:v>8356.7833333333328</c:v>
                </c:pt>
                <c:pt idx="712">
                  <c:v>8356.7833333333328</c:v>
                </c:pt>
                <c:pt idx="713">
                  <c:v>8356.7833333333328</c:v>
                </c:pt>
                <c:pt idx="714">
                  <c:v>8356.7833333333328</c:v>
                </c:pt>
                <c:pt idx="715">
                  <c:v>8356.7833333333328</c:v>
                </c:pt>
                <c:pt idx="716">
                  <c:v>8356.7833333333328</c:v>
                </c:pt>
                <c:pt idx="717">
                  <c:v>8356.7833333333328</c:v>
                </c:pt>
                <c:pt idx="718">
                  <c:v>8356.7833333333328</c:v>
                </c:pt>
                <c:pt idx="719">
                  <c:v>8356.7833333333328</c:v>
                </c:pt>
                <c:pt idx="720">
                  <c:v>8356.7833333333328</c:v>
                </c:pt>
                <c:pt idx="721">
                  <c:v>8356.7833333333328</c:v>
                </c:pt>
                <c:pt idx="722">
                  <c:v>8356.7833333333328</c:v>
                </c:pt>
                <c:pt idx="723">
                  <c:v>8356.7833333333328</c:v>
                </c:pt>
                <c:pt idx="724">
                  <c:v>8356.7833333333328</c:v>
                </c:pt>
                <c:pt idx="725">
                  <c:v>8356.7833333333328</c:v>
                </c:pt>
                <c:pt idx="726">
                  <c:v>8356.7833333333328</c:v>
                </c:pt>
                <c:pt idx="727">
                  <c:v>8356.7833333333328</c:v>
                </c:pt>
                <c:pt idx="728">
                  <c:v>8356.7833333333328</c:v>
                </c:pt>
                <c:pt idx="729">
                  <c:v>8356.7833333333328</c:v>
                </c:pt>
                <c:pt idx="730">
                  <c:v>8356.7833333333328</c:v>
                </c:pt>
                <c:pt idx="731">
                  <c:v>8356.7833333333328</c:v>
                </c:pt>
                <c:pt idx="732">
                  <c:v>8356.7833333333328</c:v>
                </c:pt>
                <c:pt idx="733">
                  <c:v>8356.7833333333328</c:v>
                </c:pt>
                <c:pt idx="734">
                  <c:v>8356.7833333333328</c:v>
                </c:pt>
                <c:pt idx="735">
                  <c:v>8356.7833333333328</c:v>
                </c:pt>
                <c:pt idx="736">
                  <c:v>8356.7833333333328</c:v>
                </c:pt>
                <c:pt idx="737">
                  <c:v>8356.7833333333328</c:v>
                </c:pt>
                <c:pt idx="738">
                  <c:v>8356.7833333333328</c:v>
                </c:pt>
                <c:pt idx="739">
                  <c:v>8580.7833333333328</c:v>
                </c:pt>
                <c:pt idx="740">
                  <c:v>8580.7833333333328</c:v>
                </c:pt>
                <c:pt idx="741">
                  <c:v>8580.7833333333328</c:v>
                </c:pt>
                <c:pt idx="742">
                  <c:v>8580.7833333333328</c:v>
                </c:pt>
                <c:pt idx="743">
                  <c:v>8580.7833333333328</c:v>
                </c:pt>
                <c:pt idx="744">
                  <c:v>8580.7833333333328</c:v>
                </c:pt>
                <c:pt idx="745">
                  <c:v>8580.7833333333328</c:v>
                </c:pt>
                <c:pt idx="746">
                  <c:v>8580.7833333333328</c:v>
                </c:pt>
                <c:pt idx="747">
                  <c:v>8580.7833333333328</c:v>
                </c:pt>
                <c:pt idx="748">
                  <c:v>8580.7833333333328</c:v>
                </c:pt>
                <c:pt idx="749">
                  <c:v>8580.7833333333328</c:v>
                </c:pt>
                <c:pt idx="750">
                  <c:v>8580.7833333333328</c:v>
                </c:pt>
                <c:pt idx="751">
                  <c:v>8580.7833333333328</c:v>
                </c:pt>
                <c:pt idx="752">
                  <c:v>8580.7833333333328</c:v>
                </c:pt>
                <c:pt idx="753">
                  <c:v>8580.7833333333328</c:v>
                </c:pt>
                <c:pt idx="754">
                  <c:v>8580.7833333333328</c:v>
                </c:pt>
                <c:pt idx="755">
                  <c:v>8580.7833333333328</c:v>
                </c:pt>
                <c:pt idx="756">
                  <c:v>8580.7833333333328</c:v>
                </c:pt>
                <c:pt idx="757">
                  <c:v>8580.7833333333328</c:v>
                </c:pt>
                <c:pt idx="758">
                  <c:v>8580.7833333333328</c:v>
                </c:pt>
                <c:pt idx="759">
                  <c:v>8580.7833333333328</c:v>
                </c:pt>
                <c:pt idx="760">
                  <c:v>8580.7833333333328</c:v>
                </c:pt>
                <c:pt idx="761">
                  <c:v>8804.7833333333328</c:v>
                </c:pt>
                <c:pt idx="762">
                  <c:v>8804.7833333333328</c:v>
                </c:pt>
                <c:pt idx="763">
                  <c:v>8804.7833333333328</c:v>
                </c:pt>
                <c:pt idx="764">
                  <c:v>9092.7833333333328</c:v>
                </c:pt>
                <c:pt idx="765">
                  <c:v>9092.7833333333328</c:v>
                </c:pt>
                <c:pt idx="766">
                  <c:v>9092.7833333333328</c:v>
                </c:pt>
                <c:pt idx="767">
                  <c:v>9092.7833333333328</c:v>
                </c:pt>
                <c:pt idx="768">
                  <c:v>9092.7833333333328</c:v>
                </c:pt>
                <c:pt idx="769">
                  <c:v>9092.7833333333328</c:v>
                </c:pt>
                <c:pt idx="770">
                  <c:v>9092.7833333333328</c:v>
                </c:pt>
                <c:pt idx="771">
                  <c:v>9172.7833333333328</c:v>
                </c:pt>
                <c:pt idx="772">
                  <c:v>9172.7833333333328</c:v>
                </c:pt>
                <c:pt idx="773">
                  <c:v>9172.7833333333328</c:v>
                </c:pt>
                <c:pt idx="774">
                  <c:v>9172.7833333333328</c:v>
                </c:pt>
                <c:pt idx="775">
                  <c:v>9172.7833333333328</c:v>
                </c:pt>
                <c:pt idx="776">
                  <c:v>9172.7833333333328</c:v>
                </c:pt>
                <c:pt idx="777">
                  <c:v>9172.7833333333328</c:v>
                </c:pt>
                <c:pt idx="778">
                  <c:v>9172.7833333333328</c:v>
                </c:pt>
                <c:pt idx="779">
                  <c:v>9172.7833333333328</c:v>
                </c:pt>
                <c:pt idx="780">
                  <c:v>9076.7833333333328</c:v>
                </c:pt>
                <c:pt idx="781">
                  <c:v>9124.7833333333328</c:v>
                </c:pt>
                <c:pt idx="782">
                  <c:v>9124.7833333333328</c:v>
                </c:pt>
                <c:pt idx="783">
                  <c:v>9124.7833333333328</c:v>
                </c:pt>
                <c:pt idx="784">
                  <c:v>9124.7833333333328</c:v>
                </c:pt>
                <c:pt idx="785">
                  <c:v>9124.7833333333328</c:v>
                </c:pt>
                <c:pt idx="786">
                  <c:v>9124.7833333333328</c:v>
                </c:pt>
                <c:pt idx="787">
                  <c:v>9124.7833333333328</c:v>
                </c:pt>
                <c:pt idx="788">
                  <c:v>9124.7833333333328</c:v>
                </c:pt>
                <c:pt idx="789">
                  <c:v>9124.7833333333328</c:v>
                </c:pt>
                <c:pt idx="790">
                  <c:v>9124.7833333333328</c:v>
                </c:pt>
                <c:pt idx="791">
                  <c:v>9124.7833333333328</c:v>
                </c:pt>
                <c:pt idx="792">
                  <c:v>9412.7833333333328</c:v>
                </c:pt>
                <c:pt idx="793">
                  <c:v>9412.7833333333328</c:v>
                </c:pt>
                <c:pt idx="794">
                  <c:v>9412.7833333333328</c:v>
                </c:pt>
                <c:pt idx="795">
                  <c:v>9412.7833333333328</c:v>
                </c:pt>
                <c:pt idx="796">
                  <c:v>9412.7833333333328</c:v>
                </c:pt>
                <c:pt idx="797">
                  <c:v>9412.7833333333328</c:v>
                </c:pt>
                <c:pt idx="798">
                  <c:v>9412.7833333333328</c:v>
                </c:pt>
                <c:pt idx="799">
                  <c:v>9412.7833333333328</c:v>
                </c:pt>
                <c:pt idx="800">
                  <c:v>9412.7833333333328</c:v>
                </c:pt>
                <c:pt idx="801">
                  <c:v>9412.7833333333328</c:v>
                </c:pt>
                <c:pt idx="802">
                  <c:v>9412.7833333333328</c:v>
                </c:pt>
                <c:pt idx="803">
                  <c:v>9412.7833333333328</c:v>
                </c:pt>
                <c:pt idx="804">
                  <c:v>9412.7833333333328</c:v>
                </c:pt>
                <c:pt idx="805">
                  <c:v>9412.7833333333328</c:v>
                </c:pt>
                <c:pt idx="806">
                  <c:v>9412.7833333333328</c:v>
                </c:pt>
                <c:pt idx="807">
                  <c:v>9412.7833333333328</c:v>
                </c:pt>
                <c:pt idx="808">
                  <c:v>9412.7833333333328</c:v>
                </c:pt>
                <c:pt idx="809">
                  <c:v>9412.7833333333328</c:v>
                </c:pt>
                <c:pt idx="810">
                  <c:v>9412.7833333333328</c:v>
                </c:pt>
                <c:pt idx="811">
                  <c:v>9412.7833333333328</c:v>
                </c:pt>
                <c:pt idx="812">
                  <c:v>9412.7833333333328</c:v>
                </c:pt>
                <c:pt idx="813">
                  <c:v>9412.7833333333328</c:v>
                </c:pt>
                <c:pt idx="814">
                  <c:v>9412.7833333333328</c:v>
                </c:pt>
                <c:pt idx="815">
                  <c:v>9412.7833333333328</c:v>
                </c:pt>
                <c:pt idx="816">
                  <c:v>9412.7833333333328</c:v>
                </c:pt>
                <c:pt idx="817">
                  <c:v>9412.7833333333328</c:v>
                </c:pt>
                <c:pt idx="818">
                  <c:v>9412.7833333333328</c:v>
                </c:pt>
                <c:pt idx="819">
                  <c:v>9412.7833333333328</c:v>
                </c:pt>
                <c:pt idx="820">
                  <c:v>9412.7833333333328</c:v>
                </c:pt>
                <c:pt idx="821">
                  <c:v>9492.7833333333328</c:v>
                </c:pt>
                <c:pt idx="822">
                  <c:v>9492.7833333333328</c:v>
                </c:pt>
                <c:pt idx="823">
                  <c:v>9492.7833333333328</c:v>
                </c:pt>
                <c:pt idx="824">
                  <c:v>9492.7833333333328</c:v>
                </c:pt>
                <c:pt idx="825">
                  <c:v>9516.7833333333328</c:v>
                </c:pt>
                <c:pt idx="826">
                  <c:v>9516.7833333333328</c:v>
                </c:pt>
                <c:pt idx="827">
                  <c:v>9516.7833333333328</c:v>
                </c:pt>
                <c:pt idx="828">
                  <c:v>9516.7833333333328</c:v>
                </c:pt>
                <c:pt idx="829">
                  <c:v>9516.7833333333328</c:v>
                </c:pt>
                <c:pt idx="830">
                  <c:v>9516.7833333333328</c:v>
                </c:pt>
                <c:pt idx="831">
                  <c:v>9516.7833333333328</c:v>
                </c:pt>
                <c:pt idx="832">
                  <c:v>9516.7833333333328</c:v>
                </c:pt>
                <c:pt idx="833">
                  <c:v>9516.7833333333328</c:v>
                </c:pt>
                <c:pt idx="834">
                  <c:v>9516.7833333333328</c:v>
                </c:pt>
                <c:pt idx="835">
                  <c:v>9516.7833333333328</c:v>
                </c:pt>
                <c:pt idx="836">
                  <c:v>9516.7833333333328</c:v>
                </c:pt>
                <c:pt idx="837">
                  <c:v>9516.7833333333328</c:v>
                </c:pt>
                <c:pt idx="838">
                  <c:v>9516.7833333333328</c:v>
                </c:pt>
                <c:pt idx="839">
                  <c:v>9516.7833333333328</c:v>
                </c:pt>
                <c:pt idx="840">
                  <c:v>9516.7833333333328</c:v>
                </c:pt>
                <c:pt idx="841">
                  <c:v>9516.7833333333328</c:v>
                </c:pt>
                <c:pt idx="842">
                  <c:v>9516.7833333333328</c:v>
                </c:pt>
                <c:pt idx="843">
                  <c:v>9516.7833333333328</c:v>
                </c:pt>
                <c:pt idx="844">
                  <c:v>9516.7833333333328</c:v>
                </c:pt>
                <c:pt idx="845">
                  <c:v>9516.7833333333328</c:v>
                </c:pt>
                <c:pt idx="846">
                  <c:v>9516.7833333333328</c:v>
                </c:pt>
                <c:pt idx="847">
                  <c:v>9516.7833333333328</c:v>
                </c:pt>
                <c:pt idx="848">
                  <c:v>9516.7833333333328</c:v>
                </c:pt>
                <c:pt idx="849">
                  <c:v>9516.7833333333328</c:v>
                </c:pt>
                <c:pt idx="850">
                  <c:v>10172.783333333333</c:v>
                </c:pt>
                <c:pt idx="851">
                  <c:v>10172.783333333333</c:v>
                </c:pt>
                <c:pt idx="852">
                  <c:v>10172.783333333333</c:v>
                </c:pt>
                <c:pt idx="853">
                  <c:v>10172.783333333333</c:v>
                </c:pt>
                <c:pt idx="854">
                  <c:v>10172.783333333333</c:v>
                </c:pt>
                <c:pt idx="855">
                  <c:v>10172.783333333333</c:v>
                </c:pt>
                <c:pt idx="856">
                  <c:v>10172.783333333333</c:v>
                </c:pt>
                <c:pt idx="857">
                  <c:v>10172.783333333333</c:v>
                </c:pt>
                <c:pt idx="858">
                  <c:v>10172.783333333333</c:v>
                </c:pt>
                <c:pt idx="859">
                  <c:v>10172.783333333333</c:v>
                </c:pt>
                <c:pt idx="860">
                  <c:v>10172.783333333333</c:v>
                </c:pt>
                <c:pt idx="861">
                  <c:v>10172.783333333333</c:v>
                </c:pt>
                <c:pt idx="862">
                  <c:v>10172.783333333333</c:v>
                </c:pt>
                <c:pt idx="863">
                  <c:v>10172.783333333333</c:v>
                </c:pt>
                <c:pt idx="864">
                  <c:v>10172.783333333333</c:v>
                </c:pt>
                <c:pt idx="865">
                  <c:v>10172.783333333333</c:v>
                </c:pt>
                <c:pt idx="866">
                  <c:v>10172.783333333333</c:v>
                </c:pt>
                <c:pt idx="867">
                  <c:v>10172.783333333333</c:v>
                </c:pt>
                <c:pt idx="868">
                  <c:v>10172.783333333333</c:v>
                </c:pt>
                <c:pt idx="869">
                  <c:v>10172.783333333333</c:v>
                </c:pt>
                <c:pt idx="870">
                  <c:v>10172.783333333333</c:v>
                </c:pt>
                <c:pt idx="871">
                  <c:v>10172.783333333333</c:v>
                </c:pt>
                <c:pt idx="872">
                  <c:v>10172.783333333333</c:v>
                </c:pt>
                <c:pt idx="873">
                  <c:v>10204.783333333333</c:v>
                </c:pt>
                <c:pt idx="874">
                  <c:v>10204.783333333333</c:v>
                </c:pt>
                <c:pt idx="875">
                  <c:v>10204.783333333333</c:v>
                </c:pt>
                <c:pt idx="876">
                  <c:v>10204.783333333333</c:v>
                </c:pt>
                <c:pt idx="877">
                  <c:v>10204.783333333333</c:v>
                </c:pt>
                <c:pt idx="878">
                  <c:v>10204.783333333333</c:v>
                </c:pt>
                <c:pt idx="879">
                  <c:v>10204.783333333333</c:v>
                </c:pt>
                <c:pt idx="880">
                  <c:v>10204.783333333333</c:v>
                </c:pt>
                <c:pt idx="881">
                  <c:v>10204.783333333333</c:v>
                </c:pt>
                <c:pt idx="882">
                  <c:v>10204.783333333333</c:v>
                </c:pt>
                <c:pt idx="883">
                  <c:v>10204.783333333333</c:v>
                </c:pt>
                <c:pt idx="884">
                  <c:v>10204.783333333333</c:v>
                </c:pt>
                <c:pt idx="885">
                  <c:v>10204.783333333333</c:v>
                </c:pt>
                <c:pt idx="886">
                  <c:v>10204.783333333333</c:v>
                </c:pt>
                <c:pt idx="887">
                  <c:v>10204.783333333333</c:v>
                </c:pt>
                <c:pt idx="888">
                  <c:v>10204.783333333333</c:v>
                </c:pt>
                <c:pt idx="889">
                  <c:v>10204.783333333333</c:v>
                </c:pt>
                <c:pt idx="890">
                  <c:v>10204.783333333333</c:v>
                </c:pt>
                <c:pt idx="891">
                  <c:v>10204.783333333333</c:v>
                </c:pt>
                <c:pt idx="892">
                  <c:v>10204.783333333333</c:v>
                </c:pt>
                <c:pt idx="893">
                  <c:v>10204.783333333333</c:v>
                </c:pt>
                <c:pt idx="894">
                  <c:v>10204.783333333333</c:v>
                </c:pt>
                <c:pt idx="895">
                  <c:v>10204.783333333333</c:v>
                </c:pt>
                <c:pt idx="896">
                  <c:v>10204.783333333333</c:v>
                </c:pt>
                <c:pt idx="897">
                  <c:v>10204.783333333333</c:v>
                </c:pt>
                <c:pt idx="898">
                  <c:v>10204.783333333333</c:v>
                </c:pt>
                <c:pt idx="899">
                  <c:v>10204.783333333333</c:v>
                </c:pt>
                <c:pt idx="900">
                  <c:v>10204.783333333333</c:v>
                </c:pt>
                <c:pt idx="901">
                  <c:v>10204.783333333333</c:v>
                </c:pt>
                <c:pt idx="902">
                  <c:v>10204.783333333333</c:v>
                </c:pt>
                <c:pt idx="903">
                  <c:v>10204.783333333333</c:v>
                </c:pt>
                <c:pt idx="904">
                  <c:v>10204.783333333333</c:v>
                </c:pt>
                <c:pt idx="905">
                  <c:v>10204.783333333333</c:v>
                </c:pt>
                <c:pt idx="906">
                  <c:v>10204.783333333333</c:v>
                </c:pt>
                <c:pt idx="907">
                  <c:v>10204.783333333333</c:v>
                </c:pt>
                <c:pt idx="908">
                  <c:v>10204.783333333333</c:v>
                </c:pt>
                <c:pt idx="909">
                  <c:v>10204.783333333333</c:v>
                </c:pt>
                <c:pt idx="910">
                  <c:v>10204.783333333333</c:v>
                </c:pt>
                <c:pt idx="911">
                  <c:v>10268.783333333333</c:v>
                </c:pt>
                <c:pt idx="912">
                  <c:v>10268.783333333333</c:v>
                </c:pt>
                <c:pt idx="913">
                  <c:v>10028.783333333333</c:v>
                </c:pt>
                <c:pt idx="914">
                  <c:v>10028.783333333333</c:v>
                </c:pt>
                <c:pt idx="915">
                  <c:v>10028.783333333333</c:v>
                </c:pt>
                <c:pt idx="916">
                  <c:v>10028.783333333333</c:v>
                </c:pt>
                <c:pt idx="917">
                  <c:v>10028.783333333333</c:v>
                </c:pt>
                <c:pt idx="918">
                  <c:v>10028.783333333333</c:v>
                </c:pt>
                <c:pt idx="919">
                  <c:v>10028.783333333333</c:v>
                </c:pt>
                <c:pt idx="920">
                  <c:v>10028.783333333333</c:v>
                </c:pt>
                <c:pt idx="921">
                  <c:v>10028.783333333333</c:v>
                </c:pt>
                <c:pt idx="922">
                  <c:v>10028.783333333333</c:v>
                </c:pt>
                <c:pt idx="923">
                  <c:v>10028.783333333333</c:v>
                </c:pt>
                <c:pt idx="924">
                  <c:v>10028.783333333333</c:v>
                </c:pt>
                <c:pt idx="925">
                  <c:v>10028.783333333333</c:v>
                </c:pt>
                <c:pt idx="926">
                  <c:v>10028.783333333333</c:v>
                </c:pt>
                <c:pt idx="927">
                  <c:v>9084.7833333333328</c:v>
                </c:pt>
                <c:pt idx="928">
                  <c:v>9084.7833333333328</c:v>
                </c:pt>
                <c:pt idx="929">
                  <c:v>9084.7833333333328</c:v>
                </c:pt>
                <c:pt idx="930">
                  <c:v>9084.7833333333328</c:v>
                </c:pt>
                <c:pt idx="931">
                  <c:v>9084.7833333333328</c:v>
                </c:pt>
                <c:pt idx="932">
                  <c:v>9084.7833333333328</c:v>
                </c:pt>
                <c:pt idx="933">
                  <c:v>9084.7833333333328</c:v>
                </c:pt>
                <c:pt idx="934">
                  <c:v>9084.7833333333328</c:v>
                </c:pt>
                <c:pt idx="935">
                  <c:v>9084.7833333333328</c:v>
                </c:pt>
                <c:pt idx="936">
                  <c:v>9084.7833333333328</c:v>
                </c:pt>
                <c:pt idx="937">
                  <c:v>9084.7833333333328</c:v>
                </c:pt>
                <c:pt idx="938">
                  <c:v>9084.7833333333328</c:v>
                </c:pt>
                <c:pt idx="939">
                  <c:v>9084.7833333333328</c:v>
                </c:pt>
                <c:pt idx="940">
                  <c:v>9084.7833333333328</c:v>
                </c:pt>
                <c:pt idx="941">
                  <c:v>9084.7833333333328</c:v>
                </c:pt>
                <c:pt idx="942">
                  <c:v>9084.7833333333328</c:v>
                </c:pt>
                <c:pt idx="943">
                  <c:v>9084.7833333333328</c:v>
                </c:pt>
                <c:pt idx="944">
                  <c:v>9084.7833333333328</c:v>
                </c:pt>
                <c:pt idx="945">
                  <c:v>9084.7833333333328</c:v>
                </c:pt>
                <c:pt idx="946">
                  <c:v>9084.7833333333328</c:v>
                </c:pt>
                <c:pt idx="947">
                  <c:v>9404.7833333333328</c:v>
                </c:pt>
                <c:pt idx="948">
                  <c:v>9404.7833333333328</c:v>
                </c:pt>
                <c:pt idx="949">
                  <c:v>9324.7833333333328</c:v>
                </c:pt>
                <c:pt idx="950">
                  <c:v>9324.7833333333328</c:v>
                </c:pt>
                <c:pt idx="951">
                  <c:v>9324.7833333333328</c:v>
                </c:pt>
                <c:pt idx="952">
                  <c:v>9324.7833333333328</c:v>
                </c:pt>
                <c:pt idx="953">
                  <c:v>9324.7833333333328</c:v>
                </c:pt>
                <c:pt idx="954">
                  <c:v>9324.7833333333328</c:v>
                </c:pt>
                <c:pt idx="955">
                  <c:v>9324.7833333333328</c:v>
                </c:pt>
                <c:pt idx="956">
                  <c:v>9324.7833333333328</c:v>
                </c:pt>
                <c:pt idx="957">
                  <c:v>9324.7833333333328</c:v>
                </c:pt>
                <c:pt idx="958">
                  <c:v>9324.7833333333328</c:v>
                </c:pt>
                <c:pt idx="959">
                  <c:v>9324.7833333333328</c:v>
                </c:pt>
                <c:pt idx="960">
                  <c:v>9324.7833333333328</c:v>
                </c:pt>
                <c:pt idx="961">
                  <c:v>9324.7833333333328</c:v>
                </c:pt>
                <c:pt idx="962">
                  <c:v>9324.7833333333328</c:v>
                </c:pt>
                <c:pt idx="963">
                  <c:v>9324.7833333333328</c:v>
                </c:pt>
                <c:pt idx="964">
                  <c:v>9324.7833333333328</c:v>
                </c:pt>
                <c:pt idx="965">
                  <c:v>9324.7833333333328</c:v>
                </c:pt>
                <c:pt idx="966">
                  <c:v>9324.7833333333328</c:v>
                </c:pt>
                <c:pt idx="967">
                  <c:v>9324.7833333333328</c:v>
                </c:pt>
                <c:pt idx="968">
                  <c:v>9324.7833333333328</c:v>
                </c:pt>
                <c:pt idx="969">
                  <c:v>9324.7833333333328</c:v>
                </c:pt>
                <c:pt idx="970">
                  <c:v>9324.7833333333328</c:v>
                </c:pt>
                <c:pt idx="971">
                  <c:v>9324.7833333333328</c:v>
                </c:pt>
                <c:pt idx="972">
                  <c:v>9324.7833333333328</c:v>
                </c:pt>
                <c:pt idx="973">
                  <c:v>9324.7833333333328</c:v>
                </c:pt>
                <c:pt idx="974">
                  <c:v>9324.7833333333328</c:v>
                </c:pt>
                <c:pt idx="975">
                  <c:v>9324.7833333333328</c:v>
                </c:pt>
                <c:pt idx="976">
                  <c:v>9324.7833333333328</c:v>
                </c:pt>
                <c:pt idx="977">
                  <c:v>9324.7833333333328</c:v>
                </c:pt>
                <c:pt idx="978">
                  <c:v>9324.7833333333328</c:v>
                </c:pt>
                <c:pt idx="979">
                  <c:v>9324.7833333333328</c:v>
                </c:pt>
                <c:pt idx="980">
                  <c:v>9324.7833333333328</c:v>
                </c:pt>
                <c:pt idx="981">
                  <c:v>9324.7833333333328</c:v>
                </c:pt>
                <c:pt idx="982">
                  <c:v>9324.7833333333328</c:v>
                </c:pt>
                <c:pt idx="983">
                  <c:v>9324.7833333333328</c:v>
                </c:pt>
                <c:pt idx="984">
                  <c:v>9324.7833333333328</c:v>
                </c:pt>
                <c:pt idx="985">
                  <c:v>9324.7833333333328</c:v>
                </c:pt>
                <c:pt idx="986">
                  <c:v>9324.7833333333328</c:v>
                </c:pt>
                <c:pt idx="987">
                  <c:v>9324.7833333333328</c:v>
                </c:pt>
                <c:pt idx="988">
                  <c:v>9324.7833333333328</c:v>
                </c:pt>
                <c:pt idx="989">
                  <c:v>9324.7833333333328</c:v>
                </c:pt>
                <c:pt idx="990">
                  <c:v>9324.7833333333328</c:v>
                </c:pt>
                <c:pt idx="991">
                  <c:v>9324.7833333333328</c:v>
                </c:pt>
                <c:pt idx="992">
                  <c:v>9324.7833333333328</c:v>
                </c:pt>
                <c:pt idx="993">
                  <c:v>9324.7833333333328</c:v>
                </c:pt>
                <c:pt idx="994">
                  <c:v>9324.7833333333328</c:v>
                </c:pt>
                <c:pt idx="995">
                  <c:v>9324.7833333333328</c:v>
                </c:pt>
                <c:pt idx="996">
                  <c:v>9324.7833333333328</c:v>
                </c:pt>
                <c:pt idx="997">
                  <c:v>9324.7833333333328</c:v>
                </c:pt>
                <c:pt idx="998">
                  <c:v>9324.7833333333328</c:v>
                </c:pt>
                <c:pt idx="999">
                  <c:v>9324.7833333333328</c:v>
                </c:pt>
                <c:pt idx="1000">
                  <c:v>9324.7833333333328</c:v>
                </c:pt>
                <c:pt idx="1001">
                  <c:v>9324.7833333333328</c:v>
                </c:pt>
                <c:pt idx="1002">
                  <c:v>9324.7833333333328</c:v>
                </c:pt>
                <c:pt idx="1003">
                  <c:v>9324.7833333333328</c:v>
                </c:pt>
                <c:pt idx="1004">
                  <c:v>9324.7833333333328</c:v>
                </c:pt>
                <c:pt idx="1005">
                  <c:v>9324.7833333333328</c:v>
                </c:pt>
                <c:pt idx="1006">
                  <c:v>9324.7833333333328</c:v>
                </c:pt>
                <c:pt idx="1007">
                  <c:v>9324.7833333333328</c:v>
                </c:pt>
                <c:pt idx="1008">
                  <c:v>9324.7833333333328</c:v>
                </c:pt>
                <c:pt idx="1009">
                  <c:v>9324.7833333333328</c:v>
                </c:pt>
                <c:pt idx="1010">
                  <c:v>9324.7833333333328</c:v>
                </c:pt>
                <c:pt idx="1011">
                  <c:v>9324.7833333333328</c:v>
                </c:pt>
                <c:pt idx="1012">
                  <c:v>9324.7833333333328</c:v>
                </c:pt>
                <c:pt idx="1013">
                  <c:v>9324.7833333333328</c:v>
                </c:pt>
                <c:pt idx="1014">
                  <c:v>9324.7833333333328</c:v>
                </c:pt>
                <c:pt idx="1015">
                  <c:v>9324.7833333333328</c:v>
                </c:pt>
                <c:pt idx="1016">
                  <c:v>9324.7833333333328</c:v>
                </c:pt>
                <c:pt idx="1017">
                  <c:v>9324.7833333333328</c:v>
                </c:pt>
                <c:pt idx="1018">
                  <c:v>9324.7833333333328</c:v>
                </c:pt>
                <c:pt idx="1019">
                  <c:v>9324.7833333333328</c:v>
                </c:pt>
                <c:pt idx="1020">
                  <c:v>9324.7833333333328</c:v>
                </c:pt>
                <c:pt idx="1021">
                  <c:v>9324.7833333333328</c:v>
                </c:pt>
                <c:pt idx="1022">
                  <c:v>9324.7833333333328</c:v>
                </c:pt>
                <c:pt idx="1023">
                  <c:v>9324.7833333333328</c:v>
                </c:pt>
                <c:pt idx="1024">
                  <c:v>9324.7833333333328</c:v>
                </c:pt>
                <c:pt idx="1025">
                  <c:v>9324.7833333333328</c:v>
                </c:pt>
                <c:pt idx="1026">
                  <c:v>9324.7833333333328</c:v>
                </c:pt>
                <c:pt idx="1027">
                  <c:v>9324.7833333333328</c:v>
                </c:pt>
                <c:pt idx="1028">
                  <c:v>9324.7833333333328</c:v>
                </c:pt>
                <c:pt idx="1029">
                  <c:v>9324.7833333333328</c:v>
                </c:pt>
                <c:pt idx="1030">
                  <c:v>9324.7833333333328</c:v>
                </c:pt>
                <c:pt idx="1031">
                  <c:v>9324.7833333333328</c:v>
                </c:pt>
                <c:pt idx="1032">
                  <c:v>9324.7833333333328</c:v>
                </c:pt>
                <c:pt idx="1033">
                  <c:v>9324.7833333333328</c:v>
                </c:pt>
                <c:pt idx="1034">
                  <c:v>9324.7833333333328</c:v>
                </c:pt>
                <c:pt idx="1035">
                  <c:v>9324.7833333333328</c:v>
                </c:pt>
                <c:pt idx="1036">
                  <c:v>9436.7833333333328</c:v>
                </c:pt>
                <c:pt idx="1037">
                  <c:v>9436.7833333333328</c:v>
                </c:pt>
                <c:pt idx="1038">
                  <c:v>9436.7833333333328</c:v>
                </c:pt>
                <c:pt idx="1039">
                  <c:v>9436.7833333333328</c:v>
                </c:pt>
                <c:pt idx="1040">
                  <c:v>9436.7833333333328</c:v>
                </c:pt>
                <c:pt idx="1041">
                  <c:v>9436.7833333333328</c:v>
                </c:pt>
                <c:pt idx="1042">
                  <c:v>9436.7833333333328</c:v>
                </c:pt>
                <c:pt idx="1043">
                  <c:v>9436.7833333333328</c:v>
                </c:pt>
                <c:pt idx="1044">
                  <c:v>9436.7833333333328</c:v>
                </c:pt>
                <c:pt idx="1045">
                  <c:v>9436.7833333333328</c:v>
                </c:pt>
                <c:pt idx="1046">
                  <c:v>9436.7833333333328</c:v>
                </c:pt>
                <c:pt idx="1047">
                  <c:v>9436.7833333333328</c:v>
                </c:pt>
                <c:pt idx="1048">
                  <c:v>9436.7833333333328</c:v>
                </c:pt>
                <c:pt idx="1049">
                  <c:v>9436.7833333333328</c:v>
                </c:pt>
                <c:pt idx="1050">
                  <c:v>9436.7833333333328</c:v>
                </c:pt>
                <c:pt idx="1051">
                  <c:v>9436.7833333333328</c:v>
                </c:pt>
                <c:pt idx="1052">
                  <c:v>9436.7833333333328</c:v>
                </c:pt>
                <c:pt idx="1053">
                  <c:v>9436.7833333333328</c:v>
                </c:pt>
                <c:pt idx="1054">
                  <c:v>9436.7833333333328</c:v>
                </c:pt>
                <c:pt idx="1055">
                  <c:v>9436.7833333333328</c:v>
                </c:pt>
                <c:pt idx="1056">
                  <c:v>9436.7833333333328</c:v>
                </c:pt>
                <c:pt idx="1057">
                  <c:v>9436.7833333333328</c:v>
                </c:pt>
                <c:pt idx="1058">
                  <c:v>9436.7833333333328</c:v>
                </c:pt>
                <c:pt idx="1059">
                  <c:v>9436.7833333333328</c:v>
                </c:pt>
                <c:pt idx="1060">
                  <c:v>9436.7833333333328</c:v>
                </c:pt>
                <c:pt idx="1061">
                  <c:v>9436.7833333333328</c:v>
                </c:pt>
                <c:pt idx="1062">
                  <c:v>9436.7833333333328</c:v>
                </c:pt>
                <c:pt idx="1063">
                  <c:v>9436.7833333333328</c:v>
                </c:pt>
                <c:pt idx="1064">
                  <c:v>9436.7833333333328</c:v>
                </c:pt>
                <c:pt idx="1065">
                  <c:v>9436.7833333333328</c:v>
                </c:pt>
                <c:pt idx="1066">
                  <c:v>9436.7833333333328</c:v>
                </c:pt>
                <c:pt idx="1067">
                  <c:v>9436.7833333333328</c:v>
                </c:pt>
                <c:pt idx="1068">
                  <c:v>9436.7833333333328</c:v>
                </c:pt>
                <c:pt idx="1069">
                  <c:v>9436.7833333333328</c:v>
                </c:pt>
                <c:pt idx="1070">
                  <c:v>9436.7833333333328</c:v>
                </c:pt>
                <c:pt idx="1071">
                  <c:v>9436.7833333333328</c:v>
                </c:pt>
                <c:pt idx="1072">
                  <c:v>9436.7833333333328</c:v>
                </c:pt>
                <c:pt idx="1073">
                  <c:v>9436.7833333333328</c:v>
                </c:pt>
                <c:pt idx="1074">
                  <c:v>9436.7833333333328</c:v>
                </c:pt>
                <c:pt idx="1075">
                  <c:v>9436.7833333333328</c:v>
                </c:pt>
                <c:pt idx="1076">
                  <c:v>9436.7833333333328</c:v>
                </c:pt>
                <c:pt idx="1077">
                  <c:v>9436.7833333333328</c:v>
                </c:pt>
                <c:pt idx="1078">
                  <c:v>9436.7833333333328</c:v>
                </c:pt>
                <c:pt idx="1079">
                  <c:v>9436.7833333333328</c:v>
                </c:pt>
                <c:pt idx="1080">
                  <c:v>9436.7833333333328</c:v>
                </c:pt>
                <c:pt idx="1081">
                  <c:v>9436.7833333333328</c:v>
                </c:pt>
                <c:pt idx="1082">
                  <c:v>9436.7833333333328</c:v>
                </c:pt>
                <c:pt idx="1083">
                  <c:v>9436.7833333333328</c:v>
                </c:pt>
                <c:pt idx="1084">
                  <c:v>9628.7833333333328</c:v>
                </c:pt>
                <c:pt idx="1085">
                  <c:v>9628.7833333333328</c:v>
                </c:pt>
                <c:pt idx="1086">
                  <c:v>9628.7833333333328</c:v>
                </c:pt>
                <c:pt idx="1087">
                  <c:v>9628.7833333333328</c:v>
                </c:pt>
                <c:pt idx="1088">
                  <c:v>9628.7833333333328</c:v>
                </c:pt>
                <c:pt idx="1089">
                  <c:v>9628.7833333333328</c:v>
                </c:pt>
                <c:pt idx="1090">
                  <c:v>9628.7833333333328</c:v>
                </c:pt>
                <c:pt idx="1091">
                  <c:v>9628.7833333333328</c:v>
                </c:pt>
                <c:pt idx="1092">
                  <c:v>9628.7833333333328</c:v>
                </c:pt>
                <c:pt idx="1093">
                  <c:v>9628.7833333333328</c:v>
                </c:pt>
                <c:pt idx="1094">
                  <c:v>9628.7833333333328</c:v>
                </c:pt>
                <c:pt idx="1095">
                  <c:v>9628.7833333333328</c:v>
                </c:pt>
                <c:pt idx="1096">
                  <c:v>9628.7833333333328</c:v>
                </c:pt>
                <c:pt idx="1097">
                  <c:v>9628.7833333333328</c:v>
                </c:pt>
                <c:pt idx="1098">
                  <c:v>9628.7833333333328</c:v>
                </c:pt>
                <c:pt idx="1099">
                  <c:v>9628.7833333333328</c:v>
                </c:pt>
                <c:pt idx="1100">
                  <c:v>9628.7833333333328</c:v>
                </c:pt>
                <c:pt idx="1101">
                  <c:v>9628.7833333333328</c:v>
                </c:pt>
                <c:pt idx="1102">
                  <c:v>9628.7833333333328</c:v>
                </c:pt>
                <c:pt idx="1103">
                  <c:v>9628.7833333333328</c:v>
                </c:pt>
                <c:pt idx="1104">
                  <c:v>9628.7833333333328</c:v>
                </c:pt>
                <c:pt idx="1105">
                  <c:v>9628.7833333333328</c:v>
                </c:pt>
                <c:pt idx="1106">
                  <c:v>9628.7833333333328</c:v>
                </c:pt>
                <c:pt idx="1107">
                  <c:v>9628.7833333333328</c:v>
                </c:pt>
                <c:pt idx="1108">
                  <c:v>9628.7833333333328</c:v>
                </c:pt>
                <c:pt idx="1109">
                  <c:v>9692.7833333333328</c:v>
                </c:pt>
                <c:pt idx="1110">
                  <c:v>9692.7833333333328</c:v>
                </c:pt>
                <c:pt idx="1111">
                  <c:v>9708.7833333333328</c:v>
                </c:pt>
                <c:pt idx="1112">
                  <c:v>9868.7833333333328</c:v>
                </c:pt>
                <c:pt idx="1113">
                  <c:v>9868.7833333333328</c:v>
                </c:pt>
                <c:pt idx="1114">
                  <c:v>9868.7833333333328</c:v>
                </c:pt>
                <c:pt idx="1115">
                  <c:v>9868.7833333333328</c:v>
                </c:pt>
                <c:pt idx="1116">
                  <c:v>9868.7833333333328</c:v>
                </c:pt>
                <c:pt idx="1117">
                  <c:v>10780.783333333333</c:v>
                </c:pt>
                <c:pt idx="1118">
                  <c:v>10780.783333333333</c:v>
                </c:pt>
                <c:pt idx="1119">
                  <c:v>10780.783333333333</c:v>
                </c:pt>
                <c:pt idx="1120">
                  <c:v>10780.783333333333</c:v>
                </c:pt>
                <c:pt idx="1121">
                  <c:v>10780.783333333333</c:v>
                </c:pt>
                <c:pt idx="1122">
                  <c:v>10780.783333333333</c:v>
                </c:pt>
                <c:pt idx="1123">
                  <c:v>10780.783333333333</c:v>
                </c:pt>
                <c:pt idx="1124">
                  <c:v>10780.783333333333</c:v>
                </c:pt>
                <c:pt idx="1125">
                  <c:v>10780.783333333333</c:v>
                </c:pt>
                <c:pt idx="1126">
                  <c:v>10780.783333333333</c:v>
                </c:pt>
                <c:pt idx="1127">
                  <c:v>10780.783333333333</c:v>
                </c:pt>
                <c:pt idx="1128">
                  <c:v>10780.783333333333</c:v>
                </c:pt>
                <c:pt idx="1129">
                  <c:v>10780.783333333333</c:v>
                </c:pt>
                <c:pt idx="1130">
                  <c:v>10780.783333333333</c:v>
                </c:pt>
                <c:pt idx="1131">
                  <c:v>10780.783333333333</c:v>
                </c:pt>
                <c:pt idx="1132">
                  <c:v>10780.783333333333</c:v>
                </c:pt>
                <c:pt idx="1133">
                  <c:v>10780.783333333333</c:v>
                </c:pt>
                <c:pt idx="1134">
                  <c:v>10780.783333333333</c:v>
                </c:pt>
                <c:pt idx="1135">
                  <c:v>11004.783333333333</c:v>
                </c:pt>
                <c:pt idx="1136">
                  <c:v>11004.783333333333</c:v>
                </c:pt>
                <c:pt idx="1137">
                  <c:v>11004.783333333333</c:v>
                </c:pt>
                <c:pt idx="1138">
                  <c:v>11004.783333333333</c:v>
                </c:pt>
                <c:pt idx="1139">
                  <c:v>11004.783333333333</c:v>
                </c:pt>
                <c:pt idx="1140">
                  <c:v>11004.783333333333</c:v>
                </c:pt>
                <c:pt idx="1141">
                  <c:v>11004.783333333333</c:v>
                </c:pt>
                <c:pt idx="1142">
                  <c:v>11004.783333333333</c:v>
                </c:pt>
                <c:pt idx="1143">
                  <c:v>11004.783333333333</c:v>
                </c:pt>
                <c:pt idx="1144">
                  <c:v>11004.783333333333</c:v>
                </c:pt>
                <c:pt idx="1145">
                  <c:v>11004.783333333333</c:v>
                </c:pt>
                <c:pt idx="1146">
                  <c:v>11004.783333333333</c:v>
                </c:pt>
                <c:pt idx="1147">
                  <c:v>11004.783333333333</c:v>
                </c:pt>
                <c:pt idx="1148">
                  <c:v>11004.783333333333</c:v>
                </c:pt>
                <c:pt idx="1149">
                  <c:v>11196.783333333333</c:v>
                </c:pt>
                <c:pt idx="1150">
                  <c:v>11196.783333333333</c:v>
                </c:pt>
                <c:pt idx="1151">
                  <c:v>11196.783333333333</c:v>
                </c:pt>
                <c:pt idx="1152">
                  <c:v>11196.783333333333</c:v>
                </c:pt>
                <c:pt idx="1153">
                  <c:v>11196.783333333333</c:v>
                </c:pt>
                <c:pt idx="1154">
                  <c:v>11500.783333333333</c:v>
                </c:pt>
                <c:pt idx="1155">
                  <c:v>11567.983333333334</c:v>
                </c:pt>
                <c:pt idx="1156">
                  <c:v>11567.983333333334</c:v>
                </c:pt>
                <c:pt idx="1157">
                  <c:v>11567.983333333334</c:v>
                </c:pt>
                <c:pt idx="1158">
                  <c:v>11567.983333333334</c:v>
                </c:pt>
                <c:pt idx="1159">
                  <c:v>11759.983333333334</c:v>
                </c:pt>
                <c:pt idx="1160">
                  <c:v>11759.983333333334</c:v>
                </c:pt>
                <c:pt idx="1161">
                  <c:v>11759.983333333334</c:v>
                </c:pt>
                <c:pt idx="1162">
                  <c:v>11759.983333333334</c:v>
                </c:pt>
                <c:pt idx="1163">
                  <c:v>11759.983333333334</c:v>
                </c:pt>
                <c:pt idx="1164">
                  <c:v>11759.983333333334</c:v>
                </c:pt>
                <c:pt idx="1165">
                  <c:v>11759.983333333334</c:v>
                </c:pt>
                <c:pt idx="1166">
                  <c:v>11759.983333333334</c:v>
                </c:pt>
                <c:pt idx="1167">
                  <c:v>11759.983333333334</c:v>
                </c:pt>
                <c:pt idx="1168">
                  <c:v>11759.983333333334</c:v>
                </c:pt>
                <c:pt idx="1169">
                  <c:v>11759.983333333334</c:v>
                </c:pt>
                <c:pt idx="1170">
                  <c:v>11759.983333333334</c:v>
                </c:pt>
                <c:pt idx="1171">
                  <c:v>11759.983333333334</c:v>
                </c:pt>
                <c:pt idx="1172">
                  <c:v>11759.983333333334</c:v>
                </c:pt>
                <c:pt idx="1173">
                  <c:v>11759.983333333334</c:v>
                </c:pt>
                <c:pt idx="1174">
                  <c:v>11759.983333333334</c:v>
                </c:pt>
                <c:pt idx="1175">
                  <c:v>11759.983333333334</c:v>
                </c:pt>
                <c:pt idx="1176">
                  <c:v>11759.983333333334</c:v>
                </c:pt>
                <c:pt idx="1177">
                  <c:v>11759.983333333334</c:v>
                </c:pt>
                <c:pt idx="1178">
                  <c:v>11759.983333333334</c:v>
                </c:pt>
                <c:pt idx="1179">
                  <c:v>11759.983333333334</c:v>
                </c:pt>
                <c:pt idx="1180">
                  <c:v>11759.983333333334</c:v>
                </c:pt>
                <c:pt idx="1181">
                  <c:v>11759.983333333334</c:v>
                </c:pt>
                <c:pt idx="1182">
                  <c:v>11759.983333333334</c:v>
                </c:pt>
                <c:pt idx="1183">
                  <c:v>11759.983333333334</c:v>
                </c:pt>
                <c:pt idx="1184">
                  <c:v>11759.983333333334</c:v>
                </c:pt>
                <c:pt idx="1185">
                  <c:v>11759.983333333334</c:v>
                </c:pt>
                <c:pt idx="1186">
                  <c:v>11759.983333333334</c:v>
                </c:pt>
                <c:pt idx="1187">
                  <c:v>11759.983333333334</c:v>
                </c:pt>
                <c:pt idx="1188">
                  <c:v>11759.983333333334</c:v>
                </c:pt>
                <c:pt idx="1189">
                  <c:v>11759.983333333334</c:v>
                </c:pt>
                <c:pt idx="1190">
                  <c:v>11759.983333333334</c:v>
                </c:pt>
                <c:pt idx="1191">
                  <c:v>11759.983333333334</c:v>
                </c:pt>
                <c:pt idx="1192">
                  <c:v>11759.983333333334</c:v>
                </c:pt>
                <c:pt idx="1193">
                  <c:v>11759.983333333334</c:v>
                </c:pt>
                <c:pt idx="1194">
                  <c:v>11759.983333333334</c:v>
                </c:pt>
                <c:pt idx="1195">
                  <c:v>11759.983333333334</c:v>
                </c:pt>
                <c:pt idx="1196">
                  <c:v>11759.983333333334</c:v>
                </c:pt>
                <c:pt idx="1197">
                  <c:v>11759.983333333334</c:v>
                </c:pt>
                <c:pt idx="1198">
                  <c:v>11759.983333333334</c:v>
                </c:pt>
                <c:pt idx="1199">
                  <c:v>11759.983333333334</c:v>
                </c:pt>
                <c:pt idx="1200">
                  <c:v>11759.983333333334</c:v>
                </c:pt>
                <c:pt idx="1201">
                  <c:v>11759.983333333334</c:v>
                </c:pt>
                <c:pt idx="1202">
                  <c:v>11759.983333333334</c:v>
                </c:pt>
                <c:pt idx="1203">
                  <c:v>11759.983333333334</c:v>
                </c:pt>
                <c:pt idx="1204">
                  <c:v>11759.983333333334</c:v>
                </c:pt>
                <c:pt idx="1205">
                  <c:v>11759.983333333334</c:v>
                </c:pt>
                <c:pt idx="1206">
                  <c:v>11759.983333333334</c:v>
                </c:pt>
                <c:pt idx="1207">
                  <c:v>12519.983333333334</c:v>
                </c:pt>
                <c:pt idx="1208">
                  <c:v>12519.983333333334</c:v>
                </c:pt>
                <c:pt idx="1209">
                  <c:v>12519.983333333334</c:v>
                </c:pt>
                <c:pt idx="1210">
                  <c:v>12519.983333333334</c:v>
                </c:pt>
                <c:pt idx="1211">
                  <c:v>12519.983333333334</c:v>
                </c:pt>
                <c:pt idx="1212">
                  <c:v>12519.983333333334</c:v>
                </c:pt>
                <c:pt idx="1213">
                  <c:v>12519.983333333334</c:v>
                </c:pt>
                <c:pt idx="1214">
                  <c:v>12519.983333333334</c:v>
                </c:pt>
                <c:pt idx="1215">
                  <c:v>12519.983333333334</c:v>
                </c:pt>
                <c:pt idx="1216">
                  <c:v>12519.983333333334</c:v>
                </c:pt>
                <c:pt idx="1217">
                  <c:v>12519.983333333334</c:v>
                </c:pt>
                <c:pt idx="1218">
                  <c:v>12519.983333333334</c:v>
                </c:pt>
                <c:pt idx="1219">
                  <c:v>12519.983333333334</c:v>
                </c:pt>
                <c:pt idx="1220">
                  <c:v>12519.983333333334</c:v>
                </c:pt>
                <c:pt idx="1221">
                  <c:v>12519.983333333334</c:v>
                </c:pt>
                <c:pt idx="1222">
                  <c:v>12519.983333333334</c:v>
                </c:pt>
                <c:pt idx="1223">
                  <c:v>12519.983333333334</c:v>
                </c:pt>
                <c:pt idx="1224">
                  <c:v>12519.983333333334</c:v>
                </c:pt>
                <c:pt idx="1225">
                  <c:v>12519.983333333334</c:v>
                </c:pt>
                <c:pt idx="1226">
                  <c:v>12519.983333333334</c:v>
                </c:pt>
                <c:pt idx="1227">
                  <c:v>12519.983333333334</c:v>
                </c:pt>
                <c:pt idx="1228">
                  <c:v>12519.983333333334</c:v>
                </c:pt>
                <c:pt idx="1229">
                  <c:v>12519.983333333334</c:v>
                </c:pt>
                <c:pt idx="1230">
                  <c:v>12519.983333333334</c:v>
                </c:pt>
                <c:pt idx="1231">
                  <c:v>12519.983333333334</c:v>
                </c:pt>
                <c:pt idx="1232">
                  <c:v>12519.983333333334</c:v>
                </c:pt>
                <c:pt idx="1233">
                  <c:v>12519.983333333334</c:v>
                </c:pt>
                <c:pt idx="1234">
                  <c:v>12519.983333333334</c:v>
                </c:pt>
                <c:pt idx="1235">
                  <c:v>12519.983333333334</c:v>
                </c:pt>
                <c:pt idx="1236">
                  <c:v>12519.983333333334</c:v>
                </c:pt>
                <c:pt idx="1237">
                  <c:v>12519.983333333334</c:v>
                </c:pt>
                <c:pt idx="1238">
                  <c:v>12519.983333333334</c:v>
                </c:pt>
                <c:pt idx="1239">
                  <c:v>12519.983333333334</c:v>
                </c:pt>
                <c:pt idx="1240">
                  <c:v>12711.983333333334</c:v>
                </c:pt>
                <c:pt idx="1241">
                  <c:v>12711.983333333334</c:v>
                </c:pt>
                <c:pt idx="1242">
                  <c:v>12711.983333333334</c:v>
                </c:pt>
                <c:pt idx="1243">
                  <c:v>12711.983333333334</c:v>
                </c:pt>
                <c:pt idx="1244">
                  <c:v>12711.983333333334</c:v>
                </c:pt>
                <c:pt idx="1245">
                  <c:v>12711.983333333334</c:v>
                </c:pt>
                <c:pt idx="1246">
                  <c:v>12711.983333333334</c:v>
                </c:pt>
                <c:pt idx="1247">
                  <c:v>12711.983333333334</c:v>
                </c:pt>
                <c:pt idx="1248">
                  <c:v>12711.983333333334</c:v>
                </c:pt>
                <c:pt idx="1249">
                  <c:v>12711.983333333334</c:v>
                </c:pt>
                <c:pt idx="1250">
                  <c:v>12711.983333333334</c:v>
                </c:pt>
              </c:numCache>
            </c:numRef>
          </c:val>
          <c:smooth val="0"/>
          <c:extLst>
            <c:ext xmlns:c16="http://schemas.microsoft.com/office/drawing/2014/chart" uri="{C3380CC4-5D6E-409C-BE32-E72D297353CC}">
              <c16:uniqueId val="{00000001-10BD-49B6-B178-39C79ED726D0}"/>
            </c:ext>
          </c:extLst>
        </c:ser>
        <c:ser>
          <c:idx val="2"/>
          <c:order val="2"/>
          <c:tx>
            <c:v>FC</c:v>
          </c:tx>
          <c:spPr>
            <a:ln w="28575" cap="rnd">
              <a:solidFill>
                <a:schemeClr val="accent3"/>
              </a:solidFill>
              <a:round/>
            </a:ln>
            <a:effectLst/>
          </c:spPr>
          <c:marker>
            <c:symbol val="none"/>
          </c:marker>
          <c:val>
            <c:numRef>
              <c:f>'Journal Live'!$BW$134:$BW$1384</c:f>
              <c:numCache>
                <c:formatCode>General</c:formatCode>
                <c:ptCount val="1251"/>
                <c:pt idx="0">
                  <c:v>0</c:v>
                </c:pt>
                <c:pt idx="1">
                  <c:v>0</c:v>
                </c:pt>
                <c:pt idx="2">
                  <c:v>0</c:v>
                </c:pt>
                <c:pt idx="3">
                  <c:v>81.499999999999986</c:v>
                </c:pt>
                <c:pt idx="4">
                  <c:v>97.8</c:v>
                </c:pt>
                <c:pt idx="5">
                  <c:v>164.2</c:v>
                </c:pt>
                <c:pt idx="6">
                  <c:v>164.2</c:v>
                </c:pt>
                <c:pt idx="7">
                  <c:v>164.2</c:v>
                </c:pt>
                <c:pt idx="8">
                  <c:v>164.2</c:v>
                </c:pt>
                <c:pt idx="9">
                  <c:v>331.4</c:v>
                </c:pt>
                <c:pt idx="10">
                  <c:v>331.4</c:v>
                </c:pt>
                <c:pt idx="11">
                  <c:v>331.4</c:v>
                </c:pt>
                <c:pt idx="12">
                  <c:v>331.4</c:v>
                </c:pt>
                <c:pt idx="13">
                  <c:v>331.4</c:v>
                </c:pt>
                <c:pt idx="14">
                  <c:v>515.1</c:v>
                </c:pt>
                <c:pt idx="15">
                  <c:v>515.1</c:v>
                </c:pt>
                <c:pt idx="16">
                  <c:v>515.1</c:v>
                </c:pt>
                <c:pt idx="17">
                  <c:v>515.1</c:v>
                </c:pt>
                <c:pt idx="18">
                  <c:v>515.1</c:v>
                </c:pt>
                <c:pt idx="19">
                  <c:v>515.1</c:v>
                </c:pt>
                <c:pt idx="20">
                  <c:v>515.1</c:v>
                </c:pt>
                <c:pt idx="21">
                  <c:v>515.1</c:v>
                </c:pt>
                <c:pt idx="22">
                  <c:v>515.1</c:v>
                </c:pt>
                <c:pt idx="23">
                  <c:v>515.1</c:v>
                </c:pt>
                <c:pt idx="24">
                  <c:v>515.1</c:v>
                </c:pt>
                <c:pt idx="25">
                  <c:v>515.1</c:v>
                </c:pt>
                <c:pt idx="26">
                  <c:v>515.1</c:v>
                </c:pt>
                <c:pt idx="27">
                  <c:v>515.1</c:v>
                </c:pt>
                <c:pt idx="28">
                  <c:v>515.1</c:v>
                </c:pt>
                <c:pt idx="29">
                  <c:v>515.1</c:v>
                </c:pt>
                <c:pt idx="30">
                  <c:v>515.1</c:v>
                </c:pt>
                <c:pt idx="31">
                  <c:v>515.1</c:v>
                </c:pt>
                <c:pt idx="32">
                  <c:v>515.1</c:v>
                </c:pt>
                <c:pt idx="33">
                  <c:v>515.1</c:v>
                </c:pt>
                <c:pt idx="34">
                  <c:v>515.1</c:v>
                </c:pt>
                <c:pt idx="35">
                  <c:v>515.1</c:v>
                </c:pt>
                <c:pt idx="36">
                  <c:v>515.1</c:v>
                </c:pt>
                <c:pt idx="37">
                  <c:v>515.1</c:v>
                </c:pt>
                <c:pt idx="38">
                  <c:v>515.1</c:v>
                </c:pt>
                <c:pt idx="39">
                  <c:v>515.1</c:v>
                </c:pt>
                <c:pt idx="40">
                  <c:v>515.1</c:v>
                </c:pt>
                <c:pt idx="41">
                  <c:v>515.1</c:v>
                </c:pt>
                <c:pt idx="42">
                  <c:v>515.1</c:v>
                </c:pt>
                <c:pt idx="43">
                  <c:v>515.1</c:v>
                </c:pt>
                <c:pt idx="44">
                  <c:v>515.1</c:v>
                </c:pt>
                <c:pt idx="45">
                  <c:v>515.1</c:v>
                </c:pt>
                <c:pt idx="46">
                  <c:v>515.1</c:v>
                </c:pt>
                <c:pt idx="47">
                  <c:v>515.1</c:v>
                </c:pt>
                <c:pt idx="48">
                  <c:v>515.1</c:v>
                </c:pt>
                <c:pt idx="49">
                  <c:v>515.1</c:v>
                </c:pt>
                <c:pt idx="50">
                  <c:v>515.1</c:v>
                </c:pt>
                <c:pt idx="51">
                  <c:v>515.1</c:v>
                </c:pt>
                <c:pt idx="52">
                  <c:v>515.1</c:v>
                </c:pt>
                <c:pt idx="53">
                  <c:v>515.1</c:v>
                </c:pt>
                <c:pt idx="54">
                  <c:v>515.1</c:v>
                </c:pt>
                <c:pt idx="55">
                  <c:v>515.1</c:v>
                </c:pt>
                <c:pt idx="56">
                  <c:v>515.1</c:v>
                </c:pt>
                <c:pt idx="57">
                  <c:v>515.1</c:v>
                </c:pt>
                <c:pt idx="58">
                  <c:v>515.1</c:v>
                </c:pt>
                <c:pt idx="59">
                  <c:v>515.1</c:v>
                </c:pt>
                <c:pt idx="60">
                  <c:v>515.1</c:v>
                </c:pt>
                <c:pt idx="61">
                  <c:v>515.1</c:v>
                </c:pt>
                <c:pt idx="62">
                  <c:v>515.1</c:v>
                </c:pt>
                <c:pt idx="63">
                  <c:v>515.1</c:v>
                </c:pt>
                <c:pt idx="64">
                  <c:v>515.1</c:v>
                </c:pt>
                <c:pt idx="65">
                  <c:v>515.1</c:v>
                </c:pt>
                <c:pt idx="66">
                  <c:v>515.1</c:v>
                </c:pt>
                <c:pt idx="67">
                  <c:v>515.1</c:v>
                </c:pt>
                <c:pt idx="68">
                  <c:v>515.1</c:v>
                </c:pt>
                <c:pt idx="69">
                  <c:v>515.1</c:v>
                </c:pt>
                <c:pt idx="70">
                  <c:v>515.1</c:v>
                </c:pt>
                <c:pt idx="71">
                  <c:v>515.1</c:v>
                </c:pt>
                <c:pt idx="72">
                  <c:v>515.1</c:v>
                </c:pt>
                <c:pt idx="73">
                  <c:v>515.1</c:v>
                </c:pt>
                <c:pt idx="74">
                  <c:v>515.1</c:v>
                </c:pt>
                <c:pt idx="75">
                  <c:v>515.1</c:v>
                </c:pt>
                <c:pt idx="76">
                  <c:v>515.1</c:v>
                </c:pt>
                <c:pt idx="77">
                  <c:v>515.1</c:v>
                </c:pt>
                <c:pt idx="78">
                  <c:v>515.1</c:v>
                </c:pt>
                <c:pt idx="79">
                  <c:v>515.1</c:v>
                </c:pt>
                <c:pt idx="80">
                  <c:v>515.1</c:v>
                </c:pt>
                <c:pt idx="81">
                  <c:v>515.1</c:v>
                </c:pt>
                <c:pt idx="82">
                  <c:v>515.1</c:v>
                </c:pt>
                <c:pt idx="83">
                  <c:v>515.1</c:v>
                </c:pt>
                <c:pt idx="84">
                  <c:v>515.1</c:v>
                </c:pt>
                <c:pt idx="85">
                  <c:v>650.30000000000007</c:v>
                </c:pt>
                <c:pt idx="86">
                  <c:v>650.30000000000007</c:v>
                </c:pt>
                <c:pt idx="87">
                  <c:v>650.30000000000007</c:v>
                </c:pt>
                <c:pt idx="88">
                  <c:v>650.30000000000007</c:v>
                </c:pt>
                <c:pt idx="89">
                  <c:v>650.30000000000007</c:v>
                </c:pt>
                <c:pt idx="90">
                  <c:v>650.30000000000007</c:v>
                </c:pt>
                <c:pt idx="91">
                  <c:v>650.30000000000007</c:v>
                </c:pt>
                <c:pt idx="92">
                  <c:v>650.30000000000007</c:v>
                </c:pt>
                <c:pt idx="93">
                  <c:v>650.30000000000007</c:v>
                </c:pt>
                <c:pt idx="94">
                  <c:v>650.30000000000007</c:v>
                </c:pt>
                <c:pt idx="95">
                  <c:v>650.30000000000007</c:v>
                </c:pt>
                <c:pt idx="96">
                  <c:v>650.30000000000007</c:v>
                </c:pt>
                <c:pt idx="97">
                  <c:v>650.30000000000007</c:v>
                </c:pt>
                <c:pt idx="98">
                  <c:v>548.30000000000007</c:v>
                </c:pt>
                <c:pt idx="99">
                  <c:v>548.30000000000007</c:v>
                </c:pt>
                <c:pt idx="100">
                  <c:v>548.30000000000007</c:v>
                </c:pt>
                <c:pt idx="101">
                  <c:v>548.30000000000007</c:v>
                </c:pt>
                <c:pt idx="102">
                  <c:v>548.30000000000007</c:v>
                </c:pt>
                <c:pt idx="103">
                  <c:v>548.30000000000007</c:v>
                </c:pt>
                <c:pt idx="104">
                  <c:v>548.30000000000007</c:v>
                </c:pt>
                <c:pt idx="105">
                  <c:v>548.30000000000007</c:v>
                </c:pt>
                <c:pt idx="106">
                  <c:v>548.30000000000007</c:v>
                </c:pt>
                <c:pt idx="107">
                  <c:v>548.30000000000007</c:v>
                </c:pt>
                <c:pt idx="108">
                  <c:v>548.30000000000007</c:v>
                </c:pt>
                <c:pt idx="109">
                  <c:v>548.30000000000007</c:v>
                </c:pt>
                <c:pt idx="110">
                  <c:v>548.30000000000007</c:v>
                </c:pt>
                <c:pt idx="111">
                  <c:v>548.30000000000007</c:v>
                </c:pt>
                <c:pt idx="112">
                  <c:v>548.30000000000007</c:v>
                </c:pt>
                <c:pt idx="113">
                  <c:v>548.30000000000007</c:v>
                </c:pt>
                <c:pt idx="114">
                  <c:v>548.30000000000007</c:v>
                </c:pt>
                <c:pt idx="115">
                  <c:v>548.30000000000007</c:v>
                </c:pt>
                <c:pt idx="116">
                  <c:v>548.30000000000007</c:v>
                </c:pt>
                <c:pt idx="117">
                  <c:v>548.30000000000007</c:v>
                </c:pt>
                <c:pt idx="118">
                  <c:v>548.30000000000007</c:v>
                </c:pt>
                <c:pt idx="119">
                  <c:v>548.30000000000007</c:v>
                </c:pt>
                <c:pt idx="120">
                  <c:v>548.30000000000007</c:v>
                </c:pt>
                <c:pt idx="121">
                  <c:v>548.30000000000007</c:v>
                </c:pt>
                <c:pt idx="122">
                  <c:v>548.30000000000007</c:v>
                </c:pt>
                <c:pt idx="123">
                  <c:v>548.30000000000007</c:v>
                </c:pt>
                <c:pt idx="124">
                  <c:v>548.30000000000007</c:v>
                </c:pt>
                <c:pt idx="125">
                  <c:v>548.30000000000007</c:v>
                </c:pt>
                <c:pt idx="126">
                  <c:v>548.30000000000007</c:v>
                </c:pt>
                <c:pt idx="127">
                  <c:v>548.30000000000007</c:v>
                </c:pt>
                <c:pt idx="128">
                  <c:v>548.30000000000007</c:v>
                </c:pt>
                <c:pt idx="129">
                  <c:v>548.30000000000007</c:v>
                </c:pt>
                <c:pt idx="130">
                  <c:v>548.30000000000007</c:v>
                </c:pt>
                <c:pt idx="131">
                  <c:v>548.30000000000007</c:v>
                </c:pt>
                <c:pt idx="132">
                  <c:v>548.30000000000007</c:v>
                </c:pt>
                <c:pt idx="133">
                  <c:v>548.30000000000007</c:v>
                </c:pt>
                <c:pt idx="134">
                  <c:v>548.30000000000007</c:v>
                </c:pt>
                <c:pt idx="135">
                  <c:v>548.30000000000007</c:v>
                </c:pt>
                <c:pt idx="136">
                  <c:v>548.30000000000007</c:v>
                </c:pt>
                <c:pt idx="137">
                  <c:v>598.1</c:v>
                </c:pt>
                <c:pt idx="138">
                  <c:v>598.1</c:v>
                </c:pt>
                <c:pt idx="139">
                  <c:v>598.1</c:v>
                </c:pt>
                <c:pt idx="140">
                  <c:v>598.1</c:v>
                </c:pt>
                <c:pt idx="141">
                  <c:v>598.1</c:v>
                </c:pt>
                <c:pt idx="142">
                  <c:v>598.1</c:v>
                </c:pt>
                <c:pt idx="143">
                  <c:v>598.1</c:v>
                </c:pt>
                <c:pt idx="144">
                  <c:v>598.1</c:v>
                </c:pt>
                <c:pt idx="145">
                  <c:v>598.1</c:v>
                </c:pt>
                <c:pt idx="146">
                  <c:v>598.1</c:v>
                </c:pt>
                <c:pt idx="147">
                  <c:v>598.1</c:v>
                </c:pt>
                <c:pt idx="148">
                  <c:v>598.1</c:v>
                </c:pt>
                <c:pt idx="149">
                  <c:v>598.1</c:v>
                </c:pt>
                <c:pt idx="150">
                  <c:v>598.1</c:v>
                </c:pt>
                <c:pt idx="151">
                  <c:v>598.1</c:v>
                </c:pt>
                <c:pt idx="152">
                  <c:v>598.1</c:v>
                </c:pt>
                <c:pt idx="153">
                  <c:v>598.1</c:v>
                </c:pt>
                <c:pt idx="154">
                  <c:v>598.1</c:v>
                </c:pt>
                <c:pt idx="155">
                  <c:v>598.1</c:v>
                </c:pt>
                <c:pt idx="156">
                  <c:v>598.1</c:v>
                </c:pt>
                <c:pt idx="157">
                  <c:v>598.1</c:v>
                </c:pt>
                <c:pt idx="158">
                  <c:v>598.1</c:v>
                </c:pt>
                <c:pt idx="159">
                  <c:v>598.1</c:v>
                </c:pt>
                <c:pt idx="160">
                  <c:v>598.1</c:v>
                </c:pt>
                <c:pt idx="161">
                  <c:v>598.1</c:v>
                </c:pt>
                <c:pt idx="162">
                  <c:v>598.1</c:v>
                </c:pt>
                <c:pt idx="163">
                  <c:v>598.1</c:v>
                </c:pt>
                <c:pt idx="164">
                  <c:v>598.1</c:v>
                </c:pt>
                <c:pt idx="165">
                  <c:v>598.1</c:v>
                </c:pt>
                <c:pt idx="166">
                  <c:v>598.1</c:v>
                </c:pt>
                <c:pt idx="167">
                  <c:v>598.1</c:v>
                </c:pt>
                <c:pt idx="168">
                  <c:v>598.1</c:v>
                </c:pt>
                <c:pt idx="169">
                  <c:v>598.1</c:v>
                </c:pt>
                <c:pt idx="170">
                  <c:v>598.1</c:v>
                </c:pt>
                <c:pt idx="171">
                  <c:v>598.1</c:v>
                </c:pt>
                <c:pt idx="172">
                  <c:v>598.1</c:v>
                </c:pt>
                <c:pt idx="173">
                  <c:v>598.1</c:v>
                </c:pt>
                <c:pt idx="174">
                  <c:v>598.1</c:v>
                </c:pt>
                <c:pt idx="175">
                  <c:v>598.1</c:v>
                </c:pt>
                <c:pt idx="176">
                  <c:v>598.1</c:v>
                </c:pt>
                <c:pt idx="177">
                  <c:v>598.1</c:v>
                </c:pt>
                <c:pt idx="178">
                  <c:v>598.1</c:v>
                </c:pt>
                <c:pt idx="179">
                  <c:v>598.1</c:v>
                </c:pt>
                <c:pt idx="180">
                  <c:v>598.1</c:v>
                </c:pt>
                <c:pt idx="181">
                  <c:v>147.2999999999999</c:v>
                </c:pt>
                <c:pt idx="182">
                  <c:v>147.2999999999999</c:v>
                </c:pt>
                <c:pt idx="183">
                  <c:v>-303.50000000000023</c:v>
                </c:pt>
                <c:pt idx="184">
                  <c:v>-303.50000000000023</c:v>
                </c:pt>
                <c:pt idx="185">
                  <c:v>-303.50000000000023</c:v>
                </c:pt>
                <c:pt idx="186">
                  <c:v>-303.50000000000023</c:v>
                </c:pt>
                <c:pt idx="187">
                  <c:v>-303.50000000000023</c:v>
                </c:pt>
                <c:pt idx="188">
                  <c:v>-303.50000000000023</c:v>
                </c:pt>
                <c:pt idx="189">
                  <c:v>-303.50000000000023</c:v>
                </c:pt>
                <c:pt idx="190">
                  <c:v>-303.50000000000023</c:v>
                </c:pt>
                <c:pt idx="191">
                  <c:v>-222.50000000000023</c:v>
                </c:pt>
                <c:pt idx="192">
                  <c:v>-222.50000000000023</c:v>
                </c:pt>
                <c:pt idx="193">
                  <c:v>-222.50000000000023</c:v>
                </c:pt>
                <c:pt idx="194">
                  <c:v>-222.50000000000023</c:v>
                </c:pt>
                <c:pt idx="195">
                  <c:v>-222.50000000000023</c:v>
                </c:pt>
                <c:pt idx="196">
                  <c:v>-222.50000000000023</c:v>
                </c:pt>
                <c:pt idx="197">
                  <c:v>-222.50000000000023</c:v>
                </c:pt>
                <c:pt idx="198">
                  <c:v>-222.50000000000023</c:v>
                </c:pt>
                <c:pt idx="199">
                  <c:v>-222.50000000000023</c:v>
                </c:pt>
                <c:pt idx="200">
                  <c:v>-222.50000000000023</c:v>
                </c:pt>
                <c:pt idx="201">
                  <c:v>-96.100000000000293</c:v>
                </c:pt>
                <c:pt idx="202">
                  <c:v>30.299999999999642</c:v>
                </c:pt>
                <c:pt idx="203">
                  <c:v>30.299999999999642</c:v>
                </c:pt>
                <c:pt idx="204">
                  <c:v>30.299999999999642</c:v>
                </c:pt>
                <c:pt idx="205">
                  <c:v>30.299999999999642</c:v>
                </c:pt>
                <c:pt idx="206">
                  <c:v>30.299999999999642</c:v>
                </c:pt>
                <c:pt idx="207">
                  <c:v>30.299999999999642</c:v>
                </c:pt>
                <c:pt idx="208">
                  <c:v>30.299999999999642</c:v>
                </c:pt>
                <c:pt idx="209">
                  <c:v>30.299999999999642</c:v>
                </c:pt>
                <c:pt idx="210">
                  <c:v>30.299999999999642</c:v>
                </c:pt>
                <c:pt idx="211">
                  <c:v>30.299999999999642</c:v>
                </c:pt>
                <c:pt idx="212">
                  <c:v>30.299999999999642</c:v>
                </c:pt>
                <c:pt idx="213">
                  <c:v>30.299999999999642</c:v>
                </c:pt>
                <c:pt idx="214">
                  <c:v>30.299999999999642</c:v>
                </c:pt>
                <c:pt idx="215">
                  <c:v>30.299999999999642</c:v>
                </c:pt>
                <c:pt idx="216">
                  <c:v>30.299999999999642</c:v>
                </c:pt>
                <c:pt idx="217">
                  <c:v>30.299999999999642</c:v>
                </c:pt>
                <c:pt idx="218">
                  <c:v>30.299999999999642</c:v>
                </c:pt>
                <c:pt idx="219">
                  <c:v>30.299999999999642</c:v>
                </c:pt>
                <c:pt idx="220">
                  <c:v>30.299999999999642</c:v>
                </c:pt>
                <c:pt idx="221">
                  <c:v>30.299999999999642</c:v>
                </c:pt>
                <c:pt idx="222">
                  <c:v>30.299999999999642</c:v>
                </c:pt>
                <c:pt idx="223">
                  <c:v>30.299999999999642</c:v>
                </c:pt>
                <c:pt idx="224">
                  <c:v>30.299999999999642</c:v>
                </c:pt>
                <c:pt idx="225">
                  <c:v>30.299999999999642</c:v>
                </c:pt>
                <c:pt idx="226">
                  <c:v>30.299999999999642</c:v>
                </c:pt>
                <c:pt idx="227">
                  <c:v>30.299999999999642</c:v>
                </c:pt>
                <c:pt idx="228">
                  <c:v>30.299999999999642</c:v>
                </c:pt>
                <c:pt idx="229">
                  <c:v>30.299999999999642</c:v>
                </c:pt>
                <c:pt idx="230">
                  <c:v>30.299999999999642</c:v>
                </c:pt>
                <c:pt idx="231">
                  <c:v>30.299999999999642</c:v>
                </c:pt>
                <c:pt idx="232">
                  <c:v>30.299999999999642</c:v>
                </c:pt>
                <c:pt idx="233">
                  <c:v>30.299999999999642</c:v>
                </c:pt>
                <c:pt idx="234">
                  <c:v>30.299999999999642</c:v>
                </c:pt>
                <c:pt idx="235">
                  <c:v>30.299999999999642</c:v>
                </c:pt>
                <c:pt idx="236">
                  <c:v>30.299999999999642</c:v>
                </c:pt>
                <c:pt idx="237">
                  <c:v>30.299999999999642</c:v>
                </c:pt>
                <c:pt idx="238">
                  <c:v>30.299999999999642</c:v>
                </c:pt>
                <c:pt idx="239">
                  <c:v>30.299999999999642</c:v>
                </c:pt>
                <c:pt idx="240">
                  <c:v>30.299999999999642</c:v>
                </c:pt>
                <c:pt idx="241">
                  <c:v>30.299999999999642</c:v>
                </c:pt>
                <c:pt idx="242">
                  <c:v>30.299999999999642</c:v>
                </c:pt>
                <c:pt idx="243">
                  <c:v>30.299999999999642</c:v>
                </c:pt>
                <c:pt idx="244">
                  <c:v>30.299999999999642</c:v>
                </c:pt>
                <c:pt idx="245">
                  <c:v>30.299999999999642</c:v>
                </c:pt>
                <c:pt idx="246">
                  <c:v>30.299999999999642</c:v>
                </c:pt>
                <c:pt idx="247">
                  <c:v>30.299999999999642</c:v>
                </c:pt>
                <c:pt idx="248">
                  <c:v>30.299999999999642</c:v>
                </c:pt>
                <c:pt idx="249">
                  <c:v>30.299999999999642</c:v>
                </c:pt>
                <c:pt idx="250">
                  <c:v>46.399999999999643</c:v>
                </c:pt>
                <c:pt idx="251">
                  <c:v>46.399999999999643</c:v>
                </c:pt>
                <c:pt idx="252">
                  <c:v>46.399999999999643</c:v>
                </c:pt>
                <c:pt idx="253">
                  <c:v>62.499999999999645</c:v>
                </c:pt>
                <c:pt idx="254">
                  <c:v>62.499999999999645</c:v>
                </c:pt>
                <c:pt idx="255">
                  <c:v>62.499999999999645</c:v>
                </c:pt>
                <c:pt idx="256">
                  <c:v>62.499999999999645</c:v>
                </c:pt>
                <c:pt idx="257">
                  <c:v>62.499999999999645</c:v>
                </c:pt>
                <c:pt idx="258">
                  <c:v>78.599999999999653</c:v>
                </c:pt>
                <c:pt idx="259">
                  <c:v>78.599999999999653</c:v>
                </c:pt>
                <c:pt idx="260">
                  <c:v>78.599999999999653</c:v>
                </c:pt>
                <c:pt idx="261">
                  <c:v>78.599999999999653</c:v>
                </c:pt>
                <c:pt idx="262">
                  <c:v>78.599999999999653</c:v>
                </c:pt>
                <c:pt idx="263">
                  <c:v>78.599999999999653</c:v>
                </c:pt>
                <c:pt idx="264">
                  <c:v>78.599999999999653</c:v>
                </c:pt>
                <c:pt idx="265">
                  <c:v>78.599999999999653</c:v>
                </c:pt>
                <c:pt idx="266">
                  <c:v>78.599999999999653</c:v>
                </c:pt>
                <c:pt idx="267">
                  <c:v>78.599999999999653</c:v>
                </c:pt>
                <c:pt idx="268">
                  <c:v>78.599999999999653</c:v>
                </c:pt>
                <c:pt idx="269">
                  <c:v>78.599999999999653</c:v>
                </c:pt>
                <c:pt idx="270">
                  <c:v>78.599999999999653</c:v>
                </c:pt>
                <c:pt idx="271">
                  <c:v>78.599999999999653</c:v>
                </c:pt>
                <c:pt idx="272">
                  <c:v>78.599999999999653</c:v>
                </c:pt>
                <c:pt idx="273">
                  <c:v>78.599999999999653</c:v>
                </c:pt>
                <c:pt idx="274">
                  <c:v>78.599999999999653</c:v>
                </c:pt>
                <c:pt idx="275">
                  <c:v>78.599999999999653</c:v>
                </c:pt>
                <c:pt idx="276">
                  <c:v>78.599999999999653</c:v>
                </c:pt>
                <c:pt idx="277">
                  <c:v>78.599999999999653</c:v>
                </c:pt>
                <c:pt idx="278">
                  <c:v>78.599999999999653</c:v>
                </c:pt>
                <c:pt idx="279">
                  <c:v>78.599999999999653</c:v>
                </c:pt>
                <c:pt idx="280">
                  <c:v>78.599999999999653</c:v>
                </c:pt>
                <c:pt idx="281">
                  <c:v>78.599999999999653</c:v>
                </c:pt>
                <c:pt idx="282">
                  <c:v>78.599999999999653</c:v>
                </c:pt>
                <c:pt idx="283">
                  <c:v>78.599999999999653</c:v>
                </c:pt>
                <c:pt idx="284">
                  <c:v>78.599999999999653</c:v>
                </c:pt>
                <c:pt idx="285">
                  <c:v>78.599999999999653</c:v>
                </c:pt>
                <c:pt idx="286">
                  <c:v>78.599999999999653</c:v>
                </c:pt>
                <c:pt idx="287">
                  <c:v>78.599999999999653</c:v>
                </c:pt>
                <c:pt idx="288">
                  <c:v>78.599999999999653</c:v>
                </c:pt>
                <c:pt idx="289">
                  <c:v>78.599999999999653</c:v>
                </c:pt>
                <c:pt idx="290">
                  <c:v>78.599999999999653</c:v>
                </c:pt>
                <c:pt idx="291">
                  <c:v>78.599999999999653</c:v>
                </c:pt>
                <c:pt idx="292">
                  <c:v>78.599999999999653</c:v>
                </c:pt>
                <c:pt idx="293">
                  <c:v>78.599999999999653</c:v>
                </c:pt>
                <c:pt idx="294">
                  <c:v>78.599999999999653</c:v>
                </c:pt>
                <c:pt idx="295">
                  <c:v>78.599999999999653</c:v>
                </c:pt>
                <c:pt idx="296">
                  <c:v>78.599999999999653</c:v>
                </c:pt>
                <c:pt idx="297">
                  <c:v>78.599999999999653</c:v>
                </c:pt>
                <c:pt idx="298">
                  <c:v>78.599999999999653</c:v>
                </c:pt>
                <c:pt idx="299">
                  <c:v>78.599999999999653</c:v>
                </c:pt>
                <c:pt idx="300">
                  <c:v>78.599999999999653</c:v>
                </c:pt>
                <c:pt idx="301">
                  <c:v>78.599999999999653</c:v>
                </c:pt>
                <c:pt idx="302">
                  <c:v>78.599999999999653</c:v>
                </c:pt>
                <c:pt idx="303">
                  <c:v>78.599999999999653</c:v>
                </c:pt>
                <c:pt idx="304">
                  <c:v>78.599999999999653</c:v>
                </c:pt>
                <c:pt idx="305">
                  <c:v>78.599999999999653</c:v>
                </c:pt>
                <c:pt idx="306">
                  <c:v>78.599999999999653</c:v>
                </c:pt>
                <c:pt idx="307">
                  <c:v>78.599999999999653</c:v>
                </c:pt>
                <c:pt idx="308">
                  <c:v>78.599999999999653</c:v>
                </c:pt>
                <c:pt idx="309">
                  <c:v>78.599999999999653</c:v>
                </c:pt>
                <c:pt idx="310">
                  <c:v>78.599999999999653</c:v>
                </c:pt>
                <c:pt idx="311">
                  <c:v>78.599999999999653</c:v>
                </c:pt>
                <c:pt idx="312">
                  <c:v>78.599999999999653</c:v>
                </c:pt>
                <c:pt idx="313">
                  <c:v>78.599999999999653</c:v>
                </c:pt>
                <c:pt idx="314">
                  <c:v>78.599999999999653</c:v>
                </c:pt>
                <c:pt idx="315">
                  <c:v>78.599999999999653</c:v>
                </c:pt>
                <c:pt idx="316">
                  <c:v>78.599999999999653</c:v>
                </c:pt>
                <c:pt idx="317">
                  <c:v>78.599999999999653</c:v>
                </c:pt>
                <c:pt idx="318">
                  <c:v>78.599999999999653</c:v>
                </c:pt>
                <c:pt idx="319">
                  <c:v>78.599999999999653</c:v>
                </c:pt>
                <c:pt idx="320">
                  <c:v>78.599999999999653</c:v>
                </c:pt>
                <c:pt idx="321">
                  <c:v>78.599999999999653</c:v>
                </c:pt>
                <c:pt idx="322">
                  <c:v>78.599999999999653</c:v>
                </c:pt>
                <c:pt idx="323">
                  <c:v>78.599999999999653</c:v>
                </c:pt>
                <c:pt idx="324">
                  <c:v>78.599999999999653</c:v>
                </c:pt>
                <c:pt idx="325">
                  <c:v>78.599999999999653</c:v>
                </c:pt>
                <c:pt idx="326">
                  <c:v>78.599999999999653</c:v>
                </c:pt>
                <c:pt idx="327">
                  <c:v>78.599999999999653</c:v>
                </c:pt>
                <c:pt idx="328">
                  <c:v>78.599999999999653</c:v>
                </c:pt>
                <c:pt idx="329">
                  <c:v>78.599999999999653</c:v>
                </c:pt>
                <c:pt idx="330">
                  <c:v>78.599999999999653</c:v>
                </c:pt>
                <c:pt idx="331">
                  <c:v>78.599999999999653</c:v>
                </c:pt>
                <c:pt idx="332">
                  <c:v>78.599999999999653</c:v>
                </c:pt>
                <c:pt idx="333">
                  <c:v>78.599999999999653</c:v>
                </c:pt>
                <c:pt idx="334">
                  <c:v>78.599999999999653</c:v>
                </c:pt>
                <c:pt idx="335">
                  <c:v>78.599999999999653</c:v>
                </c:pt>
                <c:pt idx="336">
                  <c:v>222.59999999999997</c:v>
                </c:pt>
                <c:pt idx="337">
                  <c:v>222.59999999999997</c:v>
                </c:pt>
                <c:pt idx="338">
                  <c:v>222.59999999999997</c:v>
                </c:pt>
                <c:pt idx="339">
                  <c:v>222.59999999999997</c:v>
                </c:pt>
                <c:pt idx="340">
                  <c:v>446.6</c:v>
                </c:pt>
                <c:pt idx="341">
                  <c:v>446.6</c:v>
                </c:pt>
                <c:pt idx="342">
                  <c:v>446.6</c:v>
                </c:pt>
                <c:pt idx="343">
                  <c:v>446.6</c:v>
                </c:pt>
                <c:pt idx="344">
                  <c:v>446.6</c:v>
                </c:pt>
                <c:pt idx="345">
                  <c:v>446.6</c:v>
                </c:pt>
                <c:pt idx="346">
                  <c:v>446.6</c:v>
                </c:pt>
                <c:pt idx="347">
                  <c:v>446.6</c:v>
                </c:pt>
                <c:pt idx="348">
                  <c:v>446.6</c:v>
                </c:pt>
                <c:pt idx="349">
                  <c:v>446.6</c:v>
                </c:pt>
                <c:pt idx="350">
                  <c:v>446.6</c:v>
                </c:pt>
                <c:pt idx="351">
                  <c:v>446.6</c:v>
                </c:pt>
                <c:pt idx="352">
                  <c:v>446.6</c:v>
                </c:pt>
                <c:pt idx="353">
                  <c:v>446.6</c:v>
                </c:pt>
                <c:pt idx="354">
                  <c:v>446.6</c:v>
                </c:pt>
                <c:pt idx="355">
                  <c:v>446.6</c:v>
                </c:pt>
                <c:pt idx="356">
                  <c:v>446.6</c:v>
                </c:pt>
                <c:pt idx="357">
                  <c:v>446.6</c:v>
                </c:pt>
                <c:pt idx="358">
                  <c:v>446.6</c:v>
                </c:pt>
                <c:pt idx="359">
                  <c:v>446.6</c:v>
                </c:pt>
                <c:pt idx="360">
                  <c:v>446.6</c:v>
                </c:pt>
                <c:pt idx="361">
                  <c:v>446.6</c:v>
                </c:pt>
                <c:pt idx="362">
                  <c:v>446.6</c:v>
                </c:pt>
                <c:pt idx="363">
                  <c:v>446.6</c:v>
                </c:pt>
                <c:pt idx="364">
                  <c:v>446.6</c:v>
                </c:pt>
                <c:pt idx="365">
                  <c:v>446.6</c:v>
                </c:pt>
                <c:pt idx="366">
                  <c:v>446.6</c:v>
                </c:pt>
                <c:pt idx="367">
                  <c:v>446.6</c:v>
                </c:pt>
                <c:pt idx="368">
                  <c:v>446.6</c:v>
                </c:pt>
                <c:pt idx="369">
                  <c:v>446.6</c:v>
                </c:pt>
                <c:pt idx="370">
                  <c:v>734.6</c:v>
                </c:pt>
                <c:pt idx="371">
                  <c:v>734.6</c:v>
                </c:pt>
                <c:pt idx="372">
                  <c:v>990.59999999999991</c:v>
                </c:pt>
                <c:pt idx="373">
                  <c:v>926.59999999999991</c:v>
                </c:pt>
                <c:pt idx="374">
                  <c:v>926.59999999999991</c:v>
                </c:pt>
                <c:pt idx="375">
                  <c:v>926.59999999999991</c:v>
                </c:pt>
                <c:pt idx="376">
                  <c:v>926.59999999999991</c:v>
                </c:pt>
                <c:pt idx="377">
                  <c:v>926.59999999999991</c:v>
                </c:pt>
                <c:pt idx="378">
                  <c:v>926.59999999999991</c:v>
                </c:pt>
                <c:pt idx="379">
                  <c:v>926.59999999999991</c:v>
                </c:pt>
                <c:pt idx="380">
                  <c:v>926.59999999999991</c:v>
                </c:pt>
                <c:pt idx="381">
                  <c:v>926.59999999999991</c:v>
                </c:pt>
                <c:pt idx="382">
                  <c:v>254.5999999999998</c:v>
                </c:pt>
                <c:pt idx="383">
                  <c:v>254.5999999999998</c:v>
                </c:pt>
                <c:pt idx="384">
                  <c:v>254.5999999999998</c:v>
                </c:pt>
                <c:pt idx="385">
                  <c:v>254.5999999999998</c:v>
                </c:pt>
                <c:pt idx="386">
                  <c:v>254.5999999999998</c:v>
                </c:pt>
                <c:pt idx="387">
                  <c:v>254.5999999999998</c:v>
                </c:pt>
                <c:pt idx="388">
                  <c:v>254.5999999999998</c:v>
                </c:pt>
                <c:pt idx="389">
                  <c:v>254.5999999999998</c:v>
                </c:pt>
                <c:pt idx="390">
                  <c:v>254.5999999999998</c:v>
                </c:pt>
                <c:pt idx="391">
                  <c:v>254.5999999999998</c:v>
                </c:pt>
                <c:pt idx="392">
                  <c:v>254.5999999999998</c:v>
                </c:pt>
                <c:pt idx="393">
                  <c:v>254.5999999999998</c:v>
                </c:pt>
                <c:pt idx="394">
                  <c:v>254.5999999999998</c:v>
                </c:pt>
                <c:pt idx="395">
                  <c:v>254.5999999999998</c:v>
                </c:pt>
                <c:pt idx="396">
                  <c:v>254.5999999999998</c:v>
                </c:pt>
                <c:pt idx="397">
                  <c:v>254.5999999999998</c:v>
                </c:pt>
                <c:pt idx="398">
                  <c:v>254.5999999999998</c:v>
                </c:pt>
                <c:pt idx="399">
                  <c:v>254.5999999999998</c:v>
                </c:pt>
                <c:pt idx="400">
                  <c:v>254.5999999999998</c:v>
                </c:pt>
                <c:pt idx="401">
                  <c:v>254.5999999999998</c:v>
                </c:pt>
                <c:pt idx="402">
                  <c:v>254.5999999999998</c:v>
                </c:pt>
                <c:pt idx="403">
                  <c:v>254.5999999999998</c:v>
                </c:pt>
                <c:pt idx="404">
                  <c:v>254.5999999999998</c:v>
                </c:pt>
                <c:pt idx="405">
                  <c:v>254.5999999999998</c:v>
                </c:pt>
                <c:pt idx="406">
                  <c:v>254.5999999999998</c:v>
                </c:pt>
                <c:pt idx="407">
                  <c:v>254.5999999999998</c:v>
                </c:pt>
                <c:pt idx="408">
                  <c:v>254.5999999999998</c:v>
                </c:pt>
                <c:pt idx="409">
                  <c:v>254.5999999999998</c:v>
                </c:pt>
                <c:pt idx="410">
                  <c:v>254.5999999999998</c:v>
                </c:pt>
                <c:pt idx="411">
                  <c:v>254.5999999999998</c:v>
                </c:pt>
                <c:pt idx="412">
                  <c:v>254.5999999999998</c:v>
                </c:pt>
                <c:pt idx="413">
                  <c:v>254.5999999999998</c:v>
                </c:pt>
                <c:pt idx="414">
                  <c:v>254.5999999999998</c:v>
                </c:pt>
                <c:pt idx="415">
                  <c:v>254.5999999999998</c:v>
                </c:pt>
                <c:pt idx="416">
                  <c:v>254.5999999999998</c:v>
                </c:pt>
                <c:pt idx="417">
                  <c:v>254.5999999999998</c:v>
                </c:pt>
                <c:pt idx="418">
                  <c:v>254.5999999999998</c:v>
                </c:pt>
                <c:pt idx="419">
                  <c:v>254.5999999999998</c:v>
                </c:pt>
                <c:pt idx="420">
                  <c:v>254.5999999999998</c:v>
                </c:pt>
                <c:pt idx="421">
                  <c:v>254.5999999999998</c:v>
                </c:pt>
                <c:pt idx="422">
                  <c:v>942.5999999999998</c:v>
                </c:pt>
                <c:pt idx="423">
                  <c:v>942.5999999999998</c:v>
                </c:pt>
                <c:pt idx="424">
                  <c:v>942.5999999999998</c:v>
                </c:pt>
                <c:pt idx="425">
                  <c:v>942.5999999999998</c:v>
                </c:pt>
                <c:pt idx="426">
                  <c:v>942.5999999999998</c:v>
                </c:pt>
                <c:pt idx="427">
                  <c:v>1454.6</c:v>
                </c:pt>
                <c:pt idx="428">
                  <c:v>1454.6</c:v>
                </c:pt>
                <c:pt idx="429">
                  <c:v>1454.6</c:v>
                </c:pt>
                <c:pt idx="430">
                  <c:v>1694.6</c:v>
                </c:pt>
                <c:pt idx="431">
                  <c:v>1806.6</c:v>
                </c:pt>
                <c:pt idx="432">
                  <c:v>1966.6</c:v>
                </c:pt>
                <c:pt idx="433">
                  <c:v>1966.6</c:v>
                </c:pt>
                <c:pt idx="434">
                  <c:v>1966.6</c:v>
                </c:pt>
                <c:pt idx="435">
                  <c:v>1966.6</c:v>
                </c:pt>
                <c:pt idx="436">
                  <c:v>1966.6</c:v>
                </c:pt>
                <c:pt idx="437">
                  <c:v>1966.6</c:v>
                </c:pt>
                <c:pt idx="438">
                  <c:v>1966.6</c:v>
                </c:pt>
                <c:pt idx="439">
                  <c:v>1966.6</c:v>
                </c:pt>
                <c:pt idx="440">
                  <c:v>1966.6</c:v>
                </c:pt>
                <c:pt idx="441">
                  <c:v>1966.6</c:v>
                </c:pt>
                <c:pt idx="442">
                  <c:v>1966.6</c:v>
                </c:pt>
                <c:pt idx="443">
                  <c:v>1966.6</c:v>
                </c:pt>
                <c:pt idx="444">
                  <c:v>1966.6</c:v>
                </c:pt>
                <c:pt idx="445">
                  <c:v>1966.6</c:v>
                </c:pt>
                <c:pt idx="446">
                  <c:v>1966.6</c:v>
                </c:pt>
                <c:pt idx="447">
                  <c:v>1966.6</c:v>
                </c:pt>
                <c:pt idx="448">
                  <c:v>1966.6</c:v>
                </c:pt>
                <c:pt idx="449">
                  <c:v>1966.6</c:v>
                </c:pt>
                <c:pt idx="450">
                  <c:v>1966.6</c:v>
                </c:pt>
                <c:pt idx="451">
                  <c:v>1966.6</c:v>
                </c:pt>
                <c:pt idx="452">
                  <c:v>1966.6</c:v>
                </c:pt>
                <c:pt idx="453">
                  <c:v>1966.6</c:v>
                </c:pt>
                <c:pt idx="454">
                  <c:v>1966.6</c:v>
                </c:pt>
                <c:pt idx="455">
                  <c:v>1966.6</c:v>
                </c:pt>
                <c:pt idx="456">
                  <c:v>1966.6</c:v>
                </c:pt>
                <c:pt idx="457">
                  <c:v>1966.6</c:v>
                </c:pt>
                <c:pt idx="458">
                  <c:v>2062.6</c:v>
                </c:pt>
                <c:pt idx="459">
                  <c:v>2062.6</c:v>
                </c:pt>
                <c:pt idx="460">
                  <c:v>2062.6</c:v>
                </c:pt>
                <c:pt idx="461">
                  <c:v>2062.6</c:v>
                </c:pt>
                <c:pt idx="462">
                  <c:v>2062.6</c:v>
                </c:pt>
                <c:pt idx="463">
                  <c:v>2062.6</c:v>
                </c:pt>
                <c:pt idx="464">
                  <c:v>2062.6</c:v>
                </c:pt>
                <c:pt idx="465">
                  <c:v>2062.6</c:v>
                </c:pt>
                <c:pt idx="466">
                  <c:v>2062.6</c:v>
                </c:pt>
                <c:pt idx="467">
                  <c:v>2062.6</c:v>
                </c:pt>
                <c:pt idx="468">
                  <c:v>2062.6</c:v>
                </c:pt>
                <c:pt idx="469">
                  <c:v>2062.6</c:v>
                </c:pt>
                <c:pt idx="470">
                  <c:v>2062.6</c:v>
                </c:pt>
                <c:pt idx="471">
                  <c:v>2062.6</c:v>
                </c:pt>
                <c:pt idx="472">
                  <c:v>2062.6</c:v>
                </c:pt>
                <c:pt idx="473">
                  <c:v>2302.6</c:v>
                </c:pt>
                <c:pt idx="474">
                  <c:v>2302.6</c:v>
                </c:pt>
                <c:pt idx="475">
                  <c:v>2302.6</c:v>
                </c:pt>
                <c:pt idx="476">
                  <c:v>2302.6</c:v>
                </c:pt>
                <c:pt idx="477">
                  <c:v>2302.6</c:v>
                </c:pt>
                <c:pt idx="478">
                  <c:v>2302.6</c:v>
                </c:pt>
                <c:pt idx="479">
                  <c:v>2302.6</c:v>
                </c:pt>
                <c:pt idx="480">
                  <c:v>2302.6</c:v>
                </c:pt>
                <c:pt idx="481">
                  <c:v>2302.6</c:v>
                </c:pt>
                <c:pt idx="482">
                  <c:v>2302.6</c:v>
                </c:pt>
                <c:pt idx="483">
                  <c:v>2302.6</c:v>
                </c:pt>
                <c:pt idx="484">
                  <c:v>2302.6</c:v>
                </c:pt>
                <c:pt idx="485">
                  <c:v>2302.6</c:v>
                </c:pt>
                <c:pt idx="486">
                  <c:v>2302.6</c:v>
                </c:pt>
                <c:pt idx="487">
                  <c:v>2302.6</c:v>
                </c:pt>
                <c:pt idx="488">
                  <c:v>2302.6</c:v>
                </c:pt>
                <c:pt idx="489">
                  <c:v>2302.6</c:v>
                </c:pt>
                <c:pt idx="490">
                  <c:v>2302.6</c:v>
                </c:pt>
                <c:pt idx="491">
                  <c:v>2382.6</c:v>
                </c:pt>
                <c:pt idx="492">
                  <c:v>2382.6</c:v>
                </c:pt>
                <c:pt idx="493">
                  <c:v>2382.6</c:v>
                </c:pt>
                <c:pt idx="494">
                  <c:v>2382.6</c:v>
                </c:pt>
                <c:pt idx="495">
                  <c:v>2382.6</c:v>
                </c:pt>
                <c:pt idx="496">
                  <c:v>2382.6</c:v>
                </c:pt>
                <c:pt idx="497">
                  <c:v>2382.6</c:v>
                </c:pt>
                <c:pt idx="498">
                  <c:v>2382.6</c:v>
                </c:pt>
                <c:pt idx="499">
                  <c:v>2382.6</c:v>
                </c:pt>
                <c:pt idx="500">
                  <c:v>2382.6</c:v>
                </c:pt>
                <c:pt idx="501">
                  <c:v>2382.6</c:v>
                </c:pt>
                <c:pt idx="502">
                  <c:v>2382.6</c:v>
                </c:pt>
                <c:pt idx="503">
                  <c:v>2382.6</c:v>
                </c:pt>
                <c:pt idx="504">
                  <c:v>2382.6</c:v>
                </c:pt>
                <c:pt idx="505">
                  <c:v>2382.6</c:v>
                </c:pt>
                <c:pt idx="506">
                  <c:v>2382.6</c:v>
                </c:pt>
                <c:pt idx="507">
                  <c:v>2382.6</c:v>
                </c:pt>
                <c:pt idx="508">
                  <c:v>2382.6</c:v>
                </c:pt>
                <c:pt idx="509">
                  <c:v>2382.6</c:v>
                </c:pt>
                <c:pt idx="510">
                  <c:v>2382.6</c:v>
                </c:pt>
                <c:pt idx="511">
                  <c:v>2382.6</c:v>
                </c:pt>
                <c:pt idx="512">
                  <c:v>2382.6</c:v>
                </c:pt>
                <c:pt idx="513">
                  <c:v>2382.6</c:v>
                </c:pt>
                <c:pt idx="514">
                  <c:v>2382.6</c:v>
                </c:pt>
                <c:pt idx="515">
                  <c:v>2382.6</c:v>
                </c:pt>
                <c:pt idx="516">
                  <c:v>2382.6</c:v>
                </c:pt>
                <c:pt idx="517">
                  <c:v>2382.6</c:v>
                </c:pt>
                <c:pt idx="518">
                  <c:v>2382.6</c:v>
                </c:pt>
                <c:pt idx="519">
                  <c:v>2382.6</c:v>
                </c:pt>
                <c:pt idx="520">
                  <c:v>2382.6</c:v>
                </c:pt>
                <c:pt idx="521">
                  <c:v>2382.6</c:v>
                </c:pt>
                <c:pt idx="522">
                  <c:v>2382.6</c:v>
                </c:pt>
                <c:pt idx="523">
                  <c:v>2382.6</c:v>
                </c:pt>
                <c:pt idx="524">
                  <c:v>2382.6</c:v>
                </c:pt>
                <c:pt idx="525">
                  <c:v>2382.6</c:v>
                </c:pt>
                <c:pt idx="526">
                  <c:v>2382.6</c:v>
                </c:pt>
                <c:pt idx="527">
                  <c:v>2382.6</c:v>
                </c:pt>
                <c:pt idx="528">
                  <c:v>2382.6</c:v>
                </c:pt>
                <c:pt idx="529">
                  <c:v>2382.6</c:v>
                </c:pt>
                <c:pt idx="530">
                  <c:v>2382.6</c:v>
                </c:pt>
                <c:pt idx="531">
                  <c:v>2382.6</c:v>
                </c:pt>
                <c:pt idx="532">
                  <c:v>2382.6</c:v>
                </c:pt>
                <c:pt idx="533">
                  <c:v>2382.6</c:v>
                </c:pt>
                <c:pt idx="534">
                  <c:v>2382.6</c:v>
                </c:pt>
                <c:pt idx="535">
                  <c:v>2382.6</c:v>
                </c:pt>
                <c:pt idx="536">
                  <c:v>2382.6</c:v>
                </c:pt>
                <c:pt idx="537">
                  <c:v>2382.6</c:v>
                </c:pt>
                <c:pt idx="538">
                  <c:v>2382.6</c:v>
                </c:pt>
                <c:pt idx="539">
                  <c:v>2382.6</c:v>
                </c:pt>
                <c:pt idx="540">
                  <c:v>2382.6</c:v>
                </c:pt>
                <c:pt idx="541">
                  <c:v>2382.6</c:v>
                </c:pt>
                <c:pt idx="542">
                  <c:v>2382.6</c:v>
                </c:pt>
                <c:pt idx="543">
                  <c:v>2382.6</c:v>
                </c:pt>
                <c:pt idx="544">
                  <c:v>2382.6</c:v>
                </c:pt>
                <c:pt idx="545">
                  <c:v>2382.6</c:v>
                </c:pt>
                <c:pt idx="546">
                  <c:v>2382.6</c:v>
                </c:pt>
                <c:pt idx="547">
                  <c:v>2382.6</c:v>
                </c:pt>
                <c:pt idx="548">
                  <c:v>2382.6</c:v>
                </c:pt>
                <c:pt idx="549">
                  <c:v>2382.6</c:v>
                </c:pt>
                <c:pt idx="550">
                  <c:v>2382.6</c:v>
                </c:pt>
                <c:pt idx="551">
                  <c:v>2382.6</c:v>
                </c:pt>
                <c:pt idx="552">
                  <c:v>2382.6</c:v>
                </c:pt>
                <c:pt idx="553">
                  <c:v>2382.6</c:v>
                </c:pt>
                <c:pt idx="554">
                  <c:v>2382.6</c:v>
                </c:pt>
                <c:pt idx="555">
                  <c:v>2382.6</c:v>
                </c:pt>
                <c:pt idx="556">
                  <c:v>2382.6</c:v>
                </c:pt>
                <c:pt idx="557">
                  <c:v>2382.6</c:v>
                </c:pt>
                <c:pt idx="558">
                  <c:v>2382.6</c:v>
                </c:pt>
                <c:pt idx="559">
                  <c:v>2382.6</c:v>
                </c:pt>
                <c:pt idx="560">
                  <c:v>2382.6</c:v>
                </c:pt>
                <c:pt idx="561">
                  <c:v>2702.6</c:v>
                </c:pt>
                <c:pt idx="562">
                  <c:v>2702.6</c:v>
                </c:pt>
                <c:pt idx="563">
                  <c:v>2702.6</c:v>
                </c:pt>
                <c:pt idx="564">
                  <c:v>4046.6</c:v>
                </c:pt>
                <c:pt idx="565">
                  <c:v>4046.6</c:v>
                </c:pt>
                <c:pt idx="566">
                  <c:v>4046.6</c:v>
                </c:pt>
                <c:pt idx="567">
                  <c:v>4046.6</c:v>
                </c:pt>
                <c:pt idx="568">
                  <c:v>4046.6</c:v>
                </c:pt>
                <c:pt idx="569">
                  <c:v>4046.6</c:v>
                </c:pt>
                <c:pt idx="570">
                  <c:v>4046.6</c:v>
                </c:pt>
                <c:pt idx="571">
                  <c:v>4046.6</c:v>
                </c:pt>
                <c:pt idx="572">
                  <c:v>4046.6</c:v>
                </c:pt>
                <c:pt idx="573">
                  <c:v>4046.6</c:v>
                </c:pt>
                <c:pt idx="574">
                  <c:v>4046.6</c:v>
                </c:pt>
                <c:pt idx="575">
                  <c:v>4046.6</c:v>
                </c:pt>
                <c:pt idx="576">
                  <c:v>4046.6</c:v>
                </c:pt>
                <c:pt idx="577">
                  <c:v>4046.6</c:v>
                </c:pt>
                <c:pt idx="578">
                  <c:v>4046.6</c:v>
                </c:pt>
                <c:pt idx="579">
                  <c:v>4046.6</c:v>
                </c:pt>
                <c:pt idx="580">
                  <c:v>4046.6</c:v>
                </c:pt>
                <c:pt idx="581">
                  <c:v>4046.6</c:v>
                </c:pt>
                <c:pt idx="582">
                  <c:v>4046.6</c:v>
                </c:pt>
                <c:pt idx="583">
                  <c:v>4046.6</c:v>
                </c:pt>
                <c:pt idx="584">
                  <c:v>4046.6</c:v>
                </c:pt>
                <c:pt idx="585">
                  <c:v>4046.6</c:v>
                </c:pt>
                <c:pt idx="586">
                  <c:v>4046.6</c:v>
                </c:pt>
                <c:pt idx="587">
                  <c:v>4046.6</c:v>
                </c:pt>
                <c:pt idx="588">
                  <c:v>4046.6</c:v>
                </c:pt>
                <c:pt idx="589">
                  <c:v>4046.6</c:v>
                </c:pt>
                <c:pt idx="590">
                  <c:v>4046.6</c:v>
                </c:pt>
                <c:pt idx="591">
                  <c:v>4046.6</c:v>
                </c:pt>
                <c:pt idx="592">
                  <c:v>4046.6</c:v>
                </c:pt>
                <c:pt idx="593">
                  <c:v>4046.6</c:v>
                </c:pt>
                <c:pt idx="594">
                  <c:v>4046.6</c:v>
                </c:pt>
                <c:pt idx="595">
                  <c:v>4046.6</c:v>
                </c:pt>
                <c:pt idx="596">
                  <c:v>4046.6</c:v>
                </c:pt>
                <c:pt idx="597">
                  <c:v>4046.6</c:v>
                </c:pt>
                <c:pt idx="598">
                  <c:v>4046.6</c:v>
                </c:pt>
                <c:pt idx="599">
                  <c:v>4046.6</c:v>
                </c:pt>
                <c:pt idx="600">
                  <c:v>4926.6000000000004</c:v>
                </c:pt>
                <c:pt idx="601">
                  <c:v>5022.6000000000004</c:v>
                </c:pt>
                <c:pt idx="602">
                  <c:v>5022.6000000000004</c:v>
                </c:pt>
                <c:pt idx="603">
                  <c:v>5022.6000000000004</c:v>
                </c:pt>
                <c:pt idx="604">
                  <c:v>5022.6000000000004</c:v>
                </c:pt>
                <c:pt idx="605">
                  <c:v>5022.6000000000004</c:v>
                </c:pt>
                <c:pt idx="606">
                  <c:v>5022.6000000000004</c:v>
                </c:pt>
                <c:pt idx="607">
                  <c:v>5022.6000000000004</c:v>
                </c:pt>
                <c:pt idx="608">
                  <c:v>5022.6000000000004</c:v>
                </c:pt>
                <c:pt idx="609">
                  <c:v>5022.6000000000004</c:v>
                </c:pt>
                <c:pt idx="610">
                  <c:v>5022.6000000000004</c:v>
                </c:pt>
                <c:pt idx="611">
                  <c:v>5022.6000000000004</c:v>
                </c:pt>
                <c:pt idx="612">
                  <c:v>5022.6000000000004</c:v>
                </c:pt>
                <c:pt idx="613">
                  <c:v>5022.6000000000004</c:v>
                </c:pt>
                <c:pt idx="614">
                  <c:v>5022.6000000000004</c:v>
                </c:pt>
                <c:pt idx="615">
                  <c:v>5022.6000000000004</c:v>
                </c:pt>
                <c:pt idx="616">
                  <c:v>5022.6000000000004</c:v>
                </c:pt>
                <c:pt idx="617">
                  <c:v>5022.6000000000004</c:v>
                </c:pt>
                <c:pt idx="618">
                  <c:v>5022.6000000000004</c:v>
                </c:pt>
                <c:pt idx="619">
                  <c:v>5022.6000000000004</c:v>
                </c:pt>
                <c:pt idx="620">
                  <c:v>5022.6000000000004</c:v>
                </c:pt>
                <c:pt idx="621">
                  <c:v>5022.6000000000004</c:v>
                </c:pt>
                <c:pt idx="622">
                  <c:v>5022.6000000000004</c:v>
                </c:pt>
                <c:pt idx="623">
                  <c:v>5022.6000000000004</c:v>
                </c:pt>
                <c:pt idx="624">
                  <c:v>5022.6000000000004</c:v>
                </c:pt>
                <c:pt idx="625">
                  <c:v>5022.6000000000004</c:v>
                </c:pt>
                <c:pt idx="626">
                  <c:v>5022.6000000000004</c:v>
                </c:pt>
                <c:pt idx="627">
                  <c:v>5022.6000000000004</c:v>
                </c:pt>
                <c:pt idx="628">
                  <c:v>5022.6000000000004</c:v>
                </c:pt>
                <c:pt idx="629">
                  <c:v>5022.6000000000004</c:v>
                </c:pt>
                <c:pt idx="630">
                  <c:v>5022.6000000000004</c:v>
                </c:pt>
                <c:pt idx="631">
                  <c:v>5022.6000000000004</c:v>
                </c:pt>
                <c:pt idx="632">
                  <c:v>5022.6000000000004</c:v>
                </c:pt>
                <c:pt idx="633">
                  <c:v>5022.6000000000004</c:v>
                </c:pt>
                <c:pt idx="634">
                  <c:v>5022.6000000000004</c:v>
                </c:pt>
                <c:pt idx="635">
                  <c:v>5022.6000000000004</c:v>
                </c:pt>
                <c:pt idx="636">
                  <c:v>5022.6000000000004</c:v>
                </c:pt>
                <c:pt idx="637">
                  <c:v>5022.6000000000004</c:v>
                </c:pt>
                <c:pt idx="638">
                  <c:v>5022.6000000000004</c:v>
                </c:pt>
                <c:pt idx="639">
                  <c:v>5022.6000000000004</c:v>
                </c:pt>
                <c:pt idx="640">
                  <c:v>5022.6000000000004</c:v>
                </c:pt>
                <c:pt idx="641">
                  <c:v>5022.6000000000004</c:v>
                </c:pt>
                <c:pt idx="642">
                  <c:v>5022.6000000000004</c:v>
                </c:pt>
                <c:pt idx="643">
                  <c:v>5022.6000000000004</c:v>
                </c:pt>
                <c:pt idx="644">
                  <c:v>5022.6000000000004</c:v>
                </c:pt>
                <c:pt idx="645">
                  <c:v>5022.6000000000004</c:v>
                </c:pt>
                <c:pt idx="646">
                  <c:v>5022.6000000000004</c:v>
                </c:pt>
                <c:pt idx="647">
                  <c:v>5022.6000000000004</c:v>
                </c:pt>
                <c:pt idx="648">
                  <c:v>5022.6000000000004</c:v>
                </c:pt>
                <c:pt idx="649">
                  <c:v>5022.6000000000004</c:v>
                </c:pt>
                <c:pt idx="650">
                  <c:v>5022.6000000000004</c:v>
                </c:pt>
                <c:pt idx="651">
                  <c:v>5022.6000000000004</c:v>
                </c:pt>
                <c:pt idx="652">
                  <c:v>5022.6000000000004</c:v>
                </c:pt>
                <c:pt idx="653">
                  <c:v>5022.6000000000004</c:v>
                </c:pt>
                <c:pt idx="654">
                  <c:v>5022.6000000000004</c:v>
                </c:pt>
                <c:pt idx="655">
                  <c:v>5022.6000000000004</c:v>
                </c:pt>
                <c:pt idx="656">
                  <c:v>5022.6000000000004</c:v>
                </c:pt>
                <c:pt idx="657">
                  <c:v>5022.6000000000004</c:v>
                </c:pt>
                <c:pt idx="658">
                  <c:v>5022.6000000000004</c:v>
                </c:pt>
                <c:pt idx="659">
                  <c:v>5022.6000000000004</c:v>
                </c:pt>
                <c:pt idx="660">
                  <c:v>5022.6000000000004</c:v>
                </c:pt>
                <c:pt idx="661">
                  <c:v>5022.6000000000004</c:v>
                </c:pt>
                <c:pt idx="662">
                  <c:v>5022.6000000000004</c:v>
                </c:pt>
                <c:pt idx="663">
                  <c:v>5022.6000000000004</c:v>
                </c:pt>
                <c:pt idx="664">
                  <c:v>5022.6000000000004</c:v>
                </c:pt>
                <c:pt idx="665">
                  <c:v>5022.6000000000004</c:v>
                </c:pt>
                <c:pt idx="666">
                  <c:v>5022.6000000000004</c:v>
                </c:pt>
                <c:pt idx="667">
                  <c:v>5022.6000000000004</c:v>
                </c:pt>
                <c:pt idx="668">
                  <c:v>5022.6000000000004</c:v>
                </c:pt>
                <c:pt idx="669">
                  <c:v>5022.6000000000004</c:v>
                </c:pt>
                <c:pt idx="670">
                  <c:v>5022.6000000000004</c:v>
                </c:pt>
                <c:pt idx="671">
                  <c:v>5022.6000000000004</c:v>
                </c:pt>
                <c:pt idx="672">
                  <c:v>5022.6000000000004</c:v>
                </c:pt>
                <c:pt idx="673">
                  <c:v>5022.6000000000004</c:v>
                </c:pt>
                <c:pt idx="674">
                  <c:v>5022.6000000000004</c:v>
                </c:pt>
                <c:pt idx="675">
                  <c:v>5022.6000000000004</c:v>
                </c:pt>
                <c:pt idx="676">
                  <c:v>5022.6000000000004</c:v>
                </c:pt>
                <c:pt idx="677">
                  <c:v>5022.6000000000004</c:v>
                </c:pt>
                <c:pt idx="678">
                  <c:v>5294.6</c:v>
                </c:pt>
                <c:pt idx="679">
                  <c:v>5294.6</c:v>
                </c:pt>
                <c:pt idx="680">
                  <c:v>5294.6</c:v>
                </c:pt>
                <c:pt idx="681">
                  <c:v>5294.6</c:v>
                </c:pt>
                <c:pt idx="682">
                  <c:v>5294.6</c:v>
                </c:pt>
                <c:pt idx="683">
                  <c:v>5294.6</c:v>
                </c:pt>
                <c:pt idx="684">
                  <c:v>5294.6</c:v>
                </c:pt>
                <c:pt idx="685">
                  <c:v>5294.6</c:v>
                </c:pt>
                <c:pt idx="686">
                  <c:v>5294.6</c:v>
                </c:pt>
                <c:pt idx="687">
                  <c:v>5294.6</c:v>
                </c:pt>
                <c:pt idx="688">
                  <c:v>5294.6</c:v>
                </c:pt>
                <c:pt idx="689">
                  <c:v>5294.6</c:v>
                </c:pt>
                <c:pt idx="690">
                  <c:v>5294.6</c:v>
                </c:pt>
                <c:pt idx="691">
                  <c:v>5374.6</c:v>
                </c:pt>
                <c:pt idx="692">
                  <c:v>5374.6</c:v>
                </c:pt>
                <c:pt idx="693">
                  <c:v>5374.6</c:v>
                </c:pt>
                <c:pt idx="694">
                  <c:v>5374.6</c:v>
                </c:pt>
                <c:pt idx="695">
                  <c:v>5374.6</c:v>
                </c:pt>
                <c:pt idx="696">
                  <c:v>5374.6</c:v>
                </c:pt>
                <c:pt idx="697">
                  <c:v>5374.6</c:v>
                </c:pt>
                <c:pt idx="698">
                  <c:v>5374.6</c:v>
                </c:pt>
                <c:pt idx="699">
                  <c:v>5374.6</c:v>
                </c:pt>
                <c:pt idx="700">
                  <c:v>5374.6</c:v>
                </c:pt>
                <c:pt idx="701">
                  <c:v>5374.6</c:v>
                </c:pt>
                <c:pt idx="702">
                  <c:v>5374.6</c:v>
                </c:pt>
                <c:pt idx="703">
                  <c:v>5374.6</c:v>
                </c:pt>
                <c:pt idx="704">
                  <c:v>5374.6</c:v>
                </c:pt>
                <c:pt idx="705">
                  <c:v>5374.6</c:v>
                </c:pt>
                <c:pt idx="706">
                  <c:v>5374.6</c:v>
                </c:pt>
                <c:pt idx="707">
                  <c:v>5374.6</c:v>
                </c:pt>
                <c:pt idx="708">
                  <c:v>5374.6</c:v>
                </c:pt>
                <c:pt idx="709">
                  <c:v>5374.6</c:v>
                </c:pt>
                <c:pt idx="710">
                  <c:v>5374.6</c:v>
                </c:pt>
                <c:pt idx="711">
                  <c:v>5374.6</c:v>
                </c:pt>
                <c:pt idx="712">
                  <c:v>5374.6</c:v>
                </c:pt>
                <c:pt idx="713">
                  <c:v>5374.6</c:v>
                </c:pt>
                <c:pt idx="714">
                  <c:v>5374.6</c:v>
                </c:pt>
                <c:pt idx="715">
                  <c:v>5374.6</c:v>
                </c:pt>
                <c:pt idx="716">
                  <c:v>5374.6</c:v>
                </c:pt>
                <c:pt idx="717">
                  <c:v>5374.6</c:v>
                </c:pt>
                <c:pt idx="718">
                  <c:v>5374.6</c:v>
                </c:pt>
                <c:pt idx="719">
                  <c:v>5374.6</c:v>
                </c:pt>
                <c:pt idx="720">
                  <c:v>5374.6</c:v>
                </c:pt>
                <c:pt idx="721">
                  <c:v>5374.6</c:v>
                </c:pt>
                <c:pt idx="722">
                  <c:v>5374.6</c:v>
                </c:pt>
                <c:pt idx="723">
                  <c:v>5374.6</c:v>
                </c:pt>
                <c:pt idx="724">
                  <c:v>5374.6</c:v>
                </c:pt>
                <c:pt idx="725">
                  <c:v>5374.6</c:v>
                </c:pt>
                <c:pt idx="726">
                  <c:v>5374.6</c:v>
                </c:pt>
                <c:pt idx="727">
                  <c:v>5374.6</c:v>
                </c:pt>
                <c:pt idx="728">
                  <c:v>5374.6</c:v>
                </c:pt>
                <c:pt idx="729">
                  <c:v>5374.6</c:v>
                </c:pt>
                <c:pt idx="730">
                  <c:v>5374.6</c:v>
                </c:pt>
                <c:pt idx="731">
                  <c:v>5374.6</c:v>
                </c:pt>
                <c:pt idx="732">
                  <c:v>5374.6</c:v>
                </c:pt>
                <c:pt idx="733">
                  <c:v>5374.6</c:v>
                </c:pt>
                <c:pt idx="734">
                  <c:v>5374.6</c:v>
                </c:pt>
                <c:pt idx="735">
                  <c:v>5374.6</c:v>
                </c:pt>
                <c:pt idx="736">
                  <c:v>5374.6</c:v>
                </c:pt>
                <c:pt idx="737">
                  <c:v>5374.6</c:v>
                </c:pt>
                <c:pt idx="738">
                  <c:v>5374.6</c:v>
                </c:pt>
                <c:pt idx="739">
                  <c:v>5374.6</c:v>
                </c:pt>
                <c:pt idx="740">
                  <c:v>5374.6</c:v>
                </c:pt>
                <c:pt idx="741">
                  <c:v>5374.6</c:v>
                </c:pt>
                <c:pt idx="742">
                  <c:v>5374.6</c:v>
                </c:pt>
                <c:pt idx="743">
                  <c:v>5374.6</c:v>
                </c:pt>
                <c:pt idx="744">
                  <c:v>5374.6</c:v>
                </c:pt>
                <c:pt idx="745">
                  <c:v>5374.6</c:v>
                </c:pt>
                <c:pt idx="746">
                  <c:v>5374.6</c:v>
                </c:pt>
                <c:pt idx="747">
                  <c:v>5374.6</c:v>
                </c:pt>
                <c:pt idx="748">
                  <c:v>5374.6</c:v>
                </c:pt>
                <c:pt idx="749">
                  <c:v>5374.6</c:v>
                </c:pt>
                <c:pt idx="750">
                  <c:v>5374.6</c:v>
                </c:pt>
                <c:pt idx="751">
                  <c:v>5374.6</c:v>
                </c:pt>
                <c:pt idx="752">
                  <c:v>5374.6</c:v>
                </c:pt>
                <c:pt idx="753">
                  <c:v>5374.6</c:v>
                </c:pt>
                <c:pt idx="754">
                  <c:v>5374.6</c:v>
                </c:pt>
                <c:pt idx="755">
                  <c:v>5374.6</c:v>
                </c:pt>
                <c:pt idx="756">
                  <c:v>5374.6</c:v>
                </c:pt>
                <c:pt idx="757">
                  <c:v>5374.6</c:v>
                </c:pt>
                <c:pt idx="758">
                  <c:v>5374.6</c:v>
                </c:pt>
                <c:pt idx="759">
                  <c:v>5374.6</c:v>
                </c:pt>
                <c:pt idx="760">
                  <c:v>5374.6</c:v>
                </c:pt>
                <c:pt idx="761">
                  <c:v>5374.6</c:v>
                </c:pt>
                <c:pt idx="762">
                  <c:v>5374.6</c:v>
                </c:pt>
                <c:pt idx="763">
                  <c:v>5374.6</c:v>
                </c:pt>
                <c:pt idx="764">
                  <c:v>5662.6</c:v>
                </c:pt>
                <c:pt idx="765">
                  <c:v>5662.6</c:v>
                </c:pt>
                <c:pt idx="766">
                  <c:v>5662.6</c:v>
                </c:pt>
                <c:pt idx="767">
                  <c:v>5662.6</c:v>
                </c:pt>
                <c:pt idx="768">
                  <c:v>5662.6</c:v>
                </c:pt>
                <c:pt idx="769">
                  <c:v>5662.6</c:v>
                </c:pt>
                <c:pt idx="770">
                  <c:v>5662.6</c:v>
                </c:pt>
                <c:pt idx="771">
                  <c:v>5662.6</c:v>
                </c:pt>
                <c:pt idx="772">
                  <c:v>5662.6</c:v>
                </c:pt>
                <c:pt idx="773">
                  <c:v>5662.6</c:v>
                </c:pt>
                <c:pt idx="774">
                  <c:v>5662.6</c:v>
                </c:pt>
                <c:pt idx="775">
                  <c:v>5662.6</c:v>
                </c:pt>
                <c:pt idx="776">
                  <c:v>5662.6</c:v>
                </c:pt>
                <c:pt idx="777">
                  <c:v>5662.6</c:v>
                </c:pt>
                <c:pt idx="778">
                  <c:v>5662.6</c:v>
                </c:pt>
                <c:pt idx="779">
                  <c:v>5662.6</c:v>
                </c:pt>
                <c:pt idx="780">
                  <c:v>5662.6</c:v>
                </c:pt>
                <c:pt idx="781">
                  <c:v>5662.6</c:v>
                </c:pt>
                <c:pt idx="782">
                  <c:v>5662.6</c:v>
                </c:pt>
                <c:pt idx="783">
                  <c:v>5662.6</c:v>
                </c:pt>
                <c:pt idx="784">
                  <c:v>5662.6</c:v>
                </c:pt>
                <c:pt idx="785">
                  <c:v>5662.6</c:v>
                </c:pt>
                <c:pt idx="786">
                  <c:v>5662.6</c:v>
                </c:pt>
                <c:pt idx="787">
                  <c:v>5662.6</c:v>
                </c:pt>
                <c:pt idx="788">
                  <c:v>5662.6</c:v>
                </c:pt>
                <c:pt idx="789">
                  <c:v>5662.6</c:v>
                </c:pt>
                <c:pt idx="790">
                  <c:v>5662.6</c:v>
                </c:pt>
                <c:pt idx="791">
                  <c:v>5662.6</c:v>
                </c:pt>
                <c:pt idx="792">
                  <c:v>5662.6</c:v>
                </c:pt>
                <c:pt idx="793">
                  <c:v>5662.6</c:v>
                </c:pt>
                <c:pt idx="794">
                  <c:v>5662.6</c:v>
                </c:pt>
                <c:pt idx="795">
                  <c:v>5662.6</c:v>
                </c:pt>
                <c:pt idx="796">
                  <c:v>5662.6</c:v>
                </c:pt>
                <c:pt idx="797">
                  <c:v>5662.6</c:v>
                </c:pt>
                <c:pt idx="798">
                  <c:v>5662.6</c:v>
                </c:pt>
                <c:pt idx="799">
                  <c:v>5662.6</c:v>
                </c:pt>
                <c:pt idx="800">
                  <c:v>5662.6</c:v>
                </c:pt>
                <c:pt idx="801">
                  <c:v>5662.6</c:v>
                </c:pt>
                <c:pt idx="802">
                  <c:v>5662.6</c:v>
                </c:pt>
                <c:pt idx="803">
                  <c:v>5662.6</c:v>
                </c:pt>
                <c:pt idx="804">
                  <c:v>5662.6</c:v>
                </c:pt>
                <c:pt idx="805">
                  <c:v>5662.6</c:v>
                </c:pt>
                <c:pt idx="806">
                  <c:v>5662.6</c:v>
                </c:pt>
                <c:pt idx="807">
                  <c:v>5662.6</c:v>
                </c:pt>
                <c:pt idx="808">
                  <c:v>5662.6</c:v>
                </c:pt>
                <c:pt idx="809">
                  <c:v>5662.6</c:v>
                </c:pt>
                <c:pt idx="810">
                  <c:v>5662.6</c:v>
                </c:pt>
                <c:pt idx="811">
                  <c:v>5662.6</c:v>
                </c:pt>
                <c:pt idx="812">
                  <c:v>5662.6</c:v>
                </c:pt>
                <c:pt idx="813">
                  <c:v>5662.6</c:v>
                </c:pt>
                <c:pt idx="814">
                  <c:v>5662.6</c:v>
                </c:pt>
                <c:pt idx="815">
                  <c:v>5662.6</c:v>
                </c:pt>
                <c:pt idx="816">
                  <c:v>5662.6</c:v>
                </c:pt>
                <c:pt idx="817">
                  <c:v>5662.6</c:v>
                </c:pt>
                <c:pt idx="818">
                  <c:v>5662.6</c:v>
                </c:pt>
                <c:pt idx="819">
                  <c:v>5662.6</c:v>
                </c:pt>
                <c:pt idx="820">
                  <c:v>5662.6</c:v>
                </c:pt>
                <c:pt idx="821">
                  <c:v>5662.6</c:v>
                </c:pt>
                <c:pt idx="822">
                  <c:v>5662.6</c:v>
                </c:pt>
                <c:pt idx="823">
                  <c:v>5662.6</c:v>
                </c:pt>
                <c:pt idx="824">
                  <c:v>5662.6</c:v>
                </c:pt>
                <c:pt idx="825">
                  <c:v>5662.6</c:v>
                </c:pt>
                <c:pt idx="826">
                  <c:v>5662.6</c:v>
                </c:pt>
                <c:pt idx="827">
                  <c:v>5662.6</c:v>
                </c:pt>
                <c:pt idx="828">
                  <c:v>5662.6</c:v>
                </c:pt>
                <c:pt idx="829">
                  <c:v>5662.6</c:v>
                </c:pt>
                <c:pt idx="830">
                  <c:v>5662.6</c:v>
                </c:pt>
                <c:pt idx="831">
                  <c:v>5662.6</c:v>
                </c:pt>
                <c:pt idx="832">
                  <c:v>5662.6</c:v>
                </c:pt>
                <c:pt idx="833">
                  <c:v>5662.6</c:v>
                </c:pt>
                <c:pt idx="834">
                  <c:v>5662.6</c:v>
                </c:pt>
                <c:pt idx="835">
                  <c:v>5662.6</c:v>
                </c:pt>
                <c:pt idx="836">
                  <c:v>5662.6</c:v>
                </c:pt>
                <c:pt idx="837">
                  <c:v>5662.6</c:v>
                </c:pt>
                <c:pt idx="838">
                  <c:v>5662.6</c:v>
                </c:pt>
                <c:pt idx="839">
                  <c:v>5662.6</c:v>
                </c:pt>
                <c:pt idx="840">
                  <c:v>5662.6</c:v>
                </c:pt>
                <c:pt idx="841">
                  <c:v>5662.6</c:v>
                </c:pt>
                <c:pt idx="842">
                  <c:v>5662.6</c:v>
                </c:pt>
                <c:pt idx="843">
                  <c:v>5662.6</c:v>
                </c:pt>
                <c:pt idx="844">
                  <c:v>5662.6</c:v>
                </c:pt>
                <c:pt idx="845">
                  <c:v>5662.6</c:v>
                </c:pt>
                <c:pt idx="846">
                  <c:v>5662.6</c:v>
                </c:pt>
                <c:pt idx="847">
                  <c:v>5662.6</c:v>
                </c:pt>
                <c:pt idx="848">
                  <c:v>5662.6</c:v>
                </c:pt>
                <c:pt idx="849">
                  <c:v>5662.6</c:v>
                </c:pt>
                <c:pt idx="850">
                  <c:v>5662.6</c:v>
                </c:pt>
                <c:pt idx="851">
                  <c:v>5662.6</c:v>
                </c:pt>
                <c:pt idx="852">
                  <c:v>5662.6</c:v>
                </c:pt>
                <c:pt idx="853">
                  <c:v>5662.6</c:v>
                </c:pt>
                <c:pt idx="854">
                  <c:v>5662.6</c:v>
                </c:pt>
                <c:pt idx="855">
                  <c:v>5662.6</c:v>
                </c:pt>
                <c:pt idx="856">
                  <c:v>5662.6</c:v>
                </c:pt>
                <c:pt idx="857">
                  <c:v>5662.6</c:v>
                </c:pt>
                <c:pt idx="858">
                  <c:v>5662.6</c:v>
                </c:pt>
                <c:pt idx="859">
                  <c:v>5662.6</c:v>
                </c:pt>
                <c:pt idx="860">
                  <c:v>5662.6</c:v>
                </c:pt>
                <c:pt idx="861">
                  <c:v>5662.6</c:v>
                </c:pt>
                <c:pt idx="862">
                  <c:v>5662.6</c:v>
                </c:pt>
                <c:pt idx="863">
                  <c:v>5662.6</c:v>
                </c:pt>
                <c:pt idx="864">
                  <c:v>5662.6</c:v>
                </c:pt>
                <c:pt idx="865">
                  <c:v>5662.6</c:v>
                </c:pt>
                <c:pt idx="866">
                  <c:v>5662.6</c:v>
                </c:pt>
                <c:pt idx="867">
                  <c:v>5662.6</c:v>
                </c:pt>
                <c:pt idx="868">
                  <c:v>5662.6</c:v>
                </c:pt>
                <c:pt idx="869">
                  <c:v>5662.6</c:v>
                </c:pt>
                <c:pt idx="870">
                  <c:v>5662.6</c:v>
                </c:pt>
                <c:pt idx="871">
                  <c:v>5662.6</c:v>
                </c:pt>
                <c:pt idx="872">
                  <c:v>5662.6</c:v>
                </c:pt>
                <c:pt idx="873">
                  <c:v>5662.6</c:v>
                </c:pt>
                <c:pt idx="874">
                  <c:v>6014.6</c:v>
                </c:pt>
                <c:pt idx="875">
                  <c:v>6014.6</c:v>
                </c:pt>
                <c:pt idx="876">
                  <c:v>6014.6</c:v>
                </c:pt>
                <c:pt idx="877">
                  <c:v>6014.6</c:v>
                </c:pt>
                <c:pt idx="878">
                  <c:v>6014.6</c:v>
                </c:pt>
                <c:pt idx="879">
                  <c:v>6014.6</c:v>
                </c:pt>
                <c:pt idx="880">
                  <c:v>6014.6</c:v>
                </c:pt>
                <c:pt idx="881">
                  <c:v>6014.6</c:v>
                </c:pt>
                <c:pt idx="882">
                  <c:v>6014.6</c:v>
                </c:pt>
                <c:pt idx="883">
                  <c:v>6014.6</c:v>
                </c:pt>
                <c:pt idx="884">
                  <c:v>6014.6</c:v>
                </c:pt>
                <c:pt idx="885">
                  <c:v>6014.6</c:v>
                </c:pt>
                <c:pt idx="886">
                  <c:v>6014.6</c:v>
                </c:pt>
                <c:pt idx="887">
                  <c:v>6014.6</c:v>
                </c:pt>
                <c:pt idx="888">
                  <c:v>6014.6</c:v>
                </c:pt>
                <c:pt idx="889">
                  <c:v>6014.6</c:v>
                </c:pt>
                <c:pt idx="890">
                  <c:v>6014.6</c:v>
                </c:pt>
                <c:pt idx="891">
                  <c:v>6014.6</c:v>
                </c:pt>
                <c:pt idx="892">
                  <c:v>6014.6</c:v>
                </c:pt>
                <c:pt idx="893">
                  <c:v>6014.6</c:v>
                </c:pt>
                <c:pt idx="894">
                  <c:v>6014.6</c:v>
                </c:pt>
                <c:pt idx="895">
                  <c:v>6014.6</c:v>
                </c:pt>
                <c:pt idx="896">
                  <c:v>6014.6</c:v>
                </c:pt>
                <c:pt idx="897">
                  <c:v>6014.6</c:v>
                </c:pt>
                <c:pt idx="898">
                  <c:v>6014.6</c:v>
                </c:pt>
                <c:pt idx="899">
                  <c:v>6014.6</c:v>
                </c:pt>
                <c:pt idx="900">
                  <c:v>6014.6</c:v>
                </c:pt>
                <c:pt idx="901">
                  <c:v>6014.6</c:v>
                </c:pt>
                <c:pt idx="902">
                  <c:v>6014.6</c:v>
                </c:pt>
                <c:pt idx="903">
                  <c:v>6014.6</c:v>
                </c:pt>
                <c:pt idx="904">
                  <c:v>6014.6</c:v>
                </c:pt>
                <c:pt idx="905">
                  <c:v>6014.6</c:v>
                </c:pt>
                <c:pt idx="906">
                  <c:v>6014.6</c:v>
                </c:pt>
                <c:pt idx="907">
                  <c:v>6014.6</c:v>
                </c:pt>
                <c:pt idx="908">
                  <c:v>6014.6</c:v>
                </c:pt>
                <c:pt idx="909">
                  <c:v>6014.6</c:v>
                </c:pt>
                <c:pt idx="910">
                  <c:v>6014.6</c:v>
                </c:pt>
                <c:pt idx="911">
                  <c:v>6014.6</c:v>
                </c:pt>
                <c:pt idx="912">
                  <c:v>6014.6</c:v>
                </c:pt>
                <c:pt idx="913">
                  <c:v>6014.6</c:v>
                </c:pt>
                <c:pt idx="914">
                  <c:v>6014.6</c:v>
                </c:pt>
                <c:pt idx="915">
                  <c:v>6014.6</c:v>
                </c:pt>
                <c:pt idx="916">
                  <c:v>6014.6</c:v>
                </c:pt>
                <c:pt idx="917">
                  <c:v>6014.6</c:v>
                </c:pt>
                <c:pt idx="918">
                  <c:v>6014.6</c:v>
                </c:pt>
                <c:pt idx="919">
                  <c:v>6014.6</c:v>
                </c:pt>
                <c:pt idx="920">
                  <c:v>6014.6</c:v>
                </c:pt>
                <c:pt idx="921">
                  <c:v>6014.6</c:v>
                </c:pt>
                <c:pt idx="922">
                  <c:v>6014.6</c:v>
                </c:pt>
                <c:pt idx="923">
                  <c:v>6014.6</c:v>
                </c:pt>
                <c:pt idx="924">
                  <c:v>6014.6</c:v>
                </c:pt>
                <c:pt idx="925">
                  <c:v>6014.6</c:v>
                </c:pt>
                <c:pt idx="926">
                  <c:v>6014.6</c:v>
                </c:pt>
                <c:pt idx="927">
                  <c:v>6014.6</c:v>
                </c:pt>
                <c:pt idx="928">
                  <c:v>6014.6</c:v>
                </c:pt>
                <c:pt idx="929">
                  <c:v>6014.6</c:v>
                </c:pt>
                <c:pt idx="930">
                  <c:v>6014.6</c:v>
                </c:pt>
                <c:pt idx="931">
                  <c:v>6014.6</c:v>
                </c:pt>
                <c:pt idx="932">
                  <c:v>6014.6</c:v>
                </c:pt>
                <c:pt idx="933">
                  <c:v>6014.6</c:v>
                </c:pt>
                <c:pt idx="934">
                  <c:v>6014.6</c:v>
                </c:pt>
                <c:pt idx="935">
                  <c:v>6014.6</c:v>
                </c:pt>
                <c:pt idx="936">
                  <c:v>6014.6</c:v>
                </c:pt>
                <c:pt idx="937">
                  <c:v>6014.6</c:v>
                </c:pt>
                <c:pt idx="938">
                  <c:v>6014.6</c:v>
                </c:pt>
                <c:pt idx="939">
                  <c:v>6014.6</c:v>
                </c:pt>
                <c:pt idx="940">
                  <c:v>6014.6</c:v>
                </c:pt>
                <c:pt idx="941">
                  <c:v>6014.6</c:v>
                </c:pt>
                <c:pt idx="942">
                  <c:v>6014.6</c:v>
                </c:pt>
                <c:pt idx="943">
                  <c:v>6014.6</c:v>
                </c:pt>
                <c:pt idx="944">
                  <c:v>6014.6</c:v>
                </c:pt>
                <c:pt idx="945">
                  <c:v>6014.6</c:v>
                </c:pt>
                <c:pt idx="946">
                  <c:v>6014.6</c:v>
                </c:pt>
                <c:pt idx="947">
                  <c:v>6014.6</c:v>
                </c:pt>
                <c:pt idx="948">
                  <c:v>6014.6</c:v>
                </c:pt>
                <c:pt idx="949">
                  <c:v>6014.6</c:v>
                </c:pt>
                <c:pt idx="950">
                  <c:v>6014.6</c:v>
                </c:pt>
                <c:pt idx="951">
                  <c:v>6014.6</c:v>
                </c:pt>
                <c:pt idx="952">
                  <c:v>6014.6</c:v>
                </c:pt>
                <c:pt idx="953">
                  <c:v>6014.6</c:v>
                </c:pt>
                <c:pt idx="954">
                  <c:v>6014.6</c:v>
                </c:pt>
                <c:pt idx="955">
                  <c:v>6014.6</c:v>
                </c:pt>
                <c:pt idx="956">
                  <c:v>6014.6</c:v>
                </c:pt>
                <c:pt idx="957">
                  <c:v>6014.6</c:v>
                </c:pt>
                <c:pt idx="958">
                  <c:v>6014.6</c:v>
                </c:pt>
                <c:pt idx="959">
                  <c:v>6014.6</c:v>
                </c:pt>
                <c:pt idx="960">
                  <c:v>6014.6</c:v>
                </c:pt>
                <c:pt idx="961">
                  <c:v>6014.6</c:v>
                </c:pt>
                <c:pt idx="962">
                  <c:v>6014.6</c:v>
                </c:pt>
                <c:pt idx="963">
                  <c:v>6014.6</c:v>
                </c:pt>
                <c:pt idx="964">
                  <c:v>6014.6</c:v>
                </c:pt>
                <c:pt idx="965">
                  <c:v>6014.6</c:v>
                </c:pt>
                <c:pt idx="966">
                  <c:v>6014.6</c:v>
                </c:pt>
                <c:pt idx="967">
                  <c:v>6014.6</c:v>
                </c:pt>
                <c:pt idx="968">
                  <c:v>6014.6</c:v>
                </c:pt>
                <c:pt idx="969">
                  <c:v>6014.6</c:v>
                </c:pt>
                <c:pt idx="970">
                  <c:v>6014.6</c:v>
                </c:pt>
                <c:pt idx="971">
                  <c:v>6014.6</c:v>
                </c:pt>
                <c:pt idx="972">
                  <c:v>6014.6</c:v>
                </c:pt>
                <c:pt idx="973">
                  <c:v>6014.6</c:v>
                </c:pt>
                <c:pt idx="974">
                  <c:v>6014.6</c:v>
                </c:pt>
                <c:pt idx="975">
                  <c:v>6014.6</c:v>
                </c:pt>
                <c:pt idx="976">
                  <c:v>6014.6</c:v>
                </c:pt>
                <c:pt idx="977">
                  <c:v>6014.6</c:v>
                </c:pt>
                <c:pt idx="978">
                  <c:v>6014.6</c:v>
                </c:pt>
                <c:pt idx="979">
                  <c:v>6014.6</c:v>
                </c:pt>
                <c:pt idx="980">
                  <c:v>6014.6</c:v>
                </c:pt>
                <c:pt idx="981">
                  <c:v>6014.6</c:v>
                </c:pt>
                <c:pt idx="982">
                  <c:v>6014.6</c:v>
                </c:pt>
                <c:pt idx="983">
                  <c:v>6014.6</c:v>
                </c:pt>
                <c:pt idx="984">
                  <c:v>6014.6</c:v>
                </c:pt>
                <c:pt idx="985">
                  <c:v>6014.6</c:v>
                </c:pt>
                <c:pt idx="986">
                  <c:v>6014.6</c:v>
                </c:pt>
                <c:pt idx="987">
                  <c:v>6014.6</c:v>
                </c:pt>
                <c:pt idx="988">
                  <c:v>6014.6</c:v>
                </c:pt>
                <c:pt idx="989">
                  <c:v>6014.6</c:v>
                </c:pt>
                <c:pt idx="990">
                  <c:v>6014.6</c:v>
                </c:pt>
                <c:pt idx="991">
                  <c:v>6014.6</c:v>
                </c:pt>
                <c:pt idx="992">
                  <c:v>6014.6</c:v>
                </c:pt>
                <c:pt idx="993">
                  <c:v>6014.6</c:v>
                </c:pt>
                <c:pt idx="994">
                  <c:v>6014.6</c:v>
                </c:pt>
                <c:pt idx="995">
                  <c:v>6014.6</c:v>
                </c:pt>
                <c:pt idx="996">
                  <c:v>6014.6</c:v>
                </c:pt>
                <c:pt idx="997">
                  <c:v>6014.6</c:v>
                </c:pt>
                <c:pt idx="998">
                  <c:v>6014.6</c:v>
                </c:pt>
                <c:pt idx="999">
                  <c:v>6014.6</c:v>
                </c:pt>
                <c:pt idx="1000">
                  <c:v>6014.6</c:v>
                </c:pt>
                <c:pt idx="1001">
                  <c:v>6014.6</c:v>
                </c:pt>
                <c:pt idx="1002">
                  <c:v>6014.6</c:v>
                </c:pt>
                <c:pt idx="1003">
                  <c:v>6014.6</c:v>
                </c:pt>
                <c:pt idx="1004">
                  <c:v>6014.6</c:v>
                </c:pt>
                <c:pt idx="1005">
                  <c:v>6014.6</c:v>
                </c:pt>
                <c:pt idx="1006">
                  <c:v>6014.6</c:v>
                </c:pt>
                <c:pt idx="1007">
                  <c:v>6014.6</c:v>
                </c:pt>
                <c:pt idx="1008">
                  <c:v>6014.6</c:v>
                </c:pt>
                <c:pt idx="1009">
                  <c:v>6014.6</c:v>
                </c:pt>
                <c:pt idx="1010">
                  <c:v>6014.6</c:v>
                </c:pt>
                <c:pt idx="1011">
                  <c:v>6014.6</c:v>
                </c:pt>
                <c:pt idx="1012">
                  <c:v>6014.6</c:v>
                </c:pt>
                <c:pt idx="1013">
                  <c:v>6014.6</c:v>
                </c:pt>
                <c:pt idx="1014">
                  <c:v>6014.6</c:v>
                </c:pt>
                <c:pt idx="1015">
                  <c:v>6014.6</c:v>
                </c:pt>
                <c:pt idx="1016">
                  <c:v>6014.6</c:v>
                </c:pt>
                <c:pt idx="1017">
                  <c:v>6014.6</c:v>
                </c:pt>
                <c:pt idx="1018">
                  <c:v>6014.6</c:v>
                </c:pt>
                <c:pt idx="1019">
                  <c:v>6014.6</c:v>
                </c:pt>
                <c:pt idx="1020">
                  <c:v>6014.6</c:v>
                </c:pt>
                <c:pt idx="1021">
                  <c:v>6014.6</c:v>
                </c:pt>
                <c:pt idx="1022">
                  <c:v>6014.6</c:v>
                </c:pt>
                <c:pt idx="1023">
                  <c:v>6014.6</c:v>
                </c:pt>
                <c:pt idx="1024">
                  <c:v>6014.6</c:v>
                </c:pt>
                <c:pt idx="1025">
                  <c:v>6014.6</c:v>
                </c:pt>
                <c:pt idx="1026">
                  <c:v>6014.6</c:v>
                </c:pt>
                <c:pt idx="1027">
                  <c:v>6014.6</c:v>
                </c:pt>
                <c:pt idx="1028">
                  <c:v>6014.6</c:v>
                </c:pt>
                <c:pt idx="1029">
                  <c:v>6014.6</c:v>
                </c:pt>
                <c:pt idx="1030">
                  <c:v>6014.6</c:v>
                </c:pt>
                <c:pt idx="1031">
                  <c:v>6014.6</c:v>
                </c:pt>
                <c:pt idx="1032">
                  <c:v>6014.6</c:v>
                </c:pt>
                <c:pt idx="1033">
                  <c:v>6014.6</c:v>
                </c:pt>
                <c:pt idx="1034">
                  <c:v>6014.6</c:v>
                </c:pt>
                <c:pt idx="1035">
                  <c:v>6014.6</c:v>
                </c:pt>
                <c:pt idx="1036">
                  <c:v>6014.6</c:v>
                </c:pt>
                <c:pt idx="1037">
                  <c:v>6014.6</c:v>
                </c:pt>
                <c:pt idx="1038">
                  <c:v>6014.6</c:v>
                </c:pt>
                <c:pt idx="1039">
                  <c:v>6014.6</c:v>
                </c:pt>
                <c:pt idx="1040">
                  <c:v>6014.6</c:v>
                </c:pt>
                <c:pt idx="1041">
                  <c:v>6014.6</c:v>
                </c:pt>
                <c:pt idx="1042">
                  <c:v>6014.6</c:v>
                </c:pt>
                <c:pt idx="1043">
                  <c:v>6014.6</c:v>
                </c:pt>
                <c:pt idx="1044">
                  <c:v>6014.6</c:v>
                </c:pt>
                <c:pt idx="1045">
                  <c:v>6014.6</c:v>
                </c:pt>
                <c:pt idx="1046">
                  <c:v>6014.6</c:v>
                </c:pt>
                <c:pt idx="1047">
                  <c:v>6014.6</c:v>
                </c:pt>
                <c:pt idx="1048">
                  <c:v>6014.6</c:v>
                </c:pt>
                <c:pt idx="1049">
                  <c:v>6014.6</c:v>
                </c:pt>
                <c:pt idx="1050">
                  <c:v>6014.6</c:v>
                </c:pt>
                <c:pt idx="1051">
                  <c:v>6014.6</c:v>
                </c:pt>
                <c:pt idx="1052">
                  <c:v>6014.6</c:v>
                </c:pt>
                <c:pt idx="1053">
                  <c:v>6014.6</c:v>
                </c:pt>
                <c:pt idx="1054">
                  <c:v>6014.6</c:v>
                </c:pt>
                <c:pt idx="1055">
                  <c:v>6014.6</c:v>
                </c:pt>
                <c:pt idx="1056">
                  <c:v>6014.6</c:v>
                </c:pt>
                <c:pt idx="1057">
                  <c:v>6014.6</c:v>
                </c:pt>
                <c:pt idx="1058">
                  <c:v>6014.6</c:v>
                </c:pt>
                <c:pt idx="1059">
                  <c:v>6014.6</c:v>
                </c:pt>
                <c:pt idx="1060">
                  <c:v>6014.6</c:v>
                </c:pt>
                <c:pt idx="1061">
                  <c:v>6014.6</c:v>
                </c:pt>
                <c:pt idx="1062">
                  <c:v>6014.6</c:v>
                </c:pt>
                <c:pt idx="1063">
                  <c:v>6014.6</c:v>
                </c:pt>
                <c:pt idx="1064">
                  <c:v>6014.6</c:v>
                </c:pt>
                <c:pt idx="1065">
                  <c:v>6014.6</c:v>
                </c:pt>
                <c:pt idx="1066">
                  <c:v>6014.6</c:v>
                </c:pt>
                <c:pt idx="1067">
                  <c:v>6014.6</c:v>
                </c:pt>
                <c:pt idx="1068">
                  <c:v>6014.6</c:v>
                </c:pt>
                <c:pt idx="1069">
                  <c:v>6014.6</c:v>
                </c:pt>
                <c:pt idx="1070">
                  <c:v>6014.6</c:v>
                </c:pt>
                <c:pt idx="1071">
                  <c:v>6014.6</c:v>
                </c:pt>
                <c:pt idx="1072">
                  <c:v>6014.6</c:v>
                </c:pt>
                <c:pt idx="1073">
                  <c:v>6014.6</c:v>
                </c:pt>
                <c:pt idx="1074">
                  <c:v>6014.6</c:v>
                </c:pt>
                <c:pt idx="1075">
                  <c:v>6014.6</c:v>
                </c:pt>
                <c:pt idx="1076">
                  <c:v>6014.6</c:v>
                </c:pt>
                <c:pt idx="1077">
                  <c:v>6014.6</c:v>
                </c:pt>
                <c:pt idx="1078">
                  <c:v>6014.6</c:v>
                </c:pt>
                <c:pt idx="1079">
                  <c:v>6014.6</c:v>
                </c:pt>
                <c:pt idx="1080">
                  <c:v>6014.6</c:v>
                </c:pt>
                <c:pt idx="1081">
                  <c:v>6014.6</c:v>
                </c:pt>
                <c:pt idx="1082">
                  <c:v>6014.6</c:v>
                </c:pt>
                <c:pt idx="1083">
                  <c:v>6014.6</c:v>
                </c:pt>
                <c:pt idx="1084">
                  <c:v>6206.6</c:v>
                </c:pt>
                <c:pt idx="1085">
                  <c:v>6206.6</c:v>
                </c:pt>
                <c:pt idx="1086">
                  <c:v>6206.6</c:v>
                </c:pt>
                <c:pt idx="1087">
                  <c:v>6206.6</c:v>
                </c:pt>
                <c:pt idx="1088">
                  <c:v>6206.6</c:v>
                </c:pt>
                <c:pt idx="1089">
                  <c:v>6206.6</c:v>
                </c:pt>
                <c:pt idx="1090">
                  <c:v>6206.6</c:v>
                </c:pt>
                <c:pt idx="1091">
                  <c:v>6206.6</c:v>
                </c:pt>
                <c:pt idx="1092">
                  <c:v>6206.6</c:v>
                </c:pt>
                <c:pt idx="1093">
                  <c:v>6206.6</c:v>
                </c:pt>
                <c:pt idx="1094">
                  <c:v>6206.6</c:v>
                </c:pt>
                <c:pt idx="1095">
                  <c:v>6206.6</c:v>
                </c:pt>
                <c:pt idx="1096">
                  <c:v>6206.6</c:v>
                </c:pt>
                <c:pt idx="1097">
                  <c:v>6206.6</c:v>
                </c:pt>
                <c:pt idx="1098">
                  <c:v>6206.6</c:v>
                </c:pt>
                <c:pt idx="1099">
                  <c:v>6206.6</c:v>
                </c:pt>
                <c:pt idx="1100">
                  <c:v>6206.6</c:v>
                </c:pt>
                <c:pt idx="1101">
                  <c:v>6206.6</c:v>
                </c:pt>
                <c:pt idx="1102">
                  <c:v>6206.6</c:v>
                </c:pt>
                <c:pt idx="1103">
                  <c:v>6206.6</c:v>
                </c:pt>
                <c:pt idx="1104">
                  <c:v>6206.6</c:v>
                </c:pt>
                <c:pt idx="1105">
                  <c:v>6206.6</c:v>
                </c:pt>
                <c:pt idx="1106">
                  <c:v>6206.6</c:v>
                </c:pt>
                <c:pt idx="1107">
                  <c:v>6206.6</c:v>
                </c:pt>
                <c:pt idx="1108">
                  <c:v>6206.6</c:v>
                </c:pt>
                <c:pt idx="1109">
                  <c:v>6206.6</c:v>
                </c:pt>
                <c:pt idx="1110">
                  <c:v>6206.6</c:v>
                </c:pt>
                <c:pt idx="1111">
                  <c:v>6206.6</c:v>
                </c:pt>
                <c:pt idx="1112">
                  <c:v>6206.6</c:v>
                </c:pt>
                <c:pt idx="1113">
                  <c:v>6206.6</c:v>
                </c:pt>
                <c:pt idx="1114">
                  <c:v>6206.6</c:v>
                </c:pt>
                <c:pt idx="1115">
                  <c:v>6206.6</c:v>
                </c:pt>
                <c:pt idx="1116">
                  <c:v>6206.6</c:v>
                </c:pt>
                <c:pt idx="1117">
                  <c:v>6206.6</c:v>
                </c:pt>
                <c:pt idx="1118">
                  <c:v>6206.6</c:v>
                </c:pt>
                <c:pt idx="1119">
                  <c:v>6206.6</c:v>
                </c:pt>
                <c:pt idx="1120">
                  <c:v>6206.6</c:v>
                </c:pt>
                <c:pt idx="1121">
                  <c:v>6206.6</c:v>
                </c:pt>
                <c:pt idx="1122">
                  <c:v>6206.6</c:v>
                </c:pt>
                <c:pt idx="1123">
                  <c:v>6206.6</c:v>
                </c:pt>
                <c:pt idx="1124">
                  <c:v>6206.6</c:v>
                </c:pt>
                <c:pt idx="1125">
                  <c:v>6206.6</c:v>
                </c:pt>
                <c:pt idx="1126">
                  <c:v>6206.6</c:v>
                </c:pt>
                <c:pt idx="1127">
                  <c:v>6206.6</c:v>
                </c:pt>
                <c:pt idx="1128">
                  <c:v>6206.6</c:v>
                </c:pt>
                <c:pt idx="1129">
                  <c:v>6206.6</c:v>
                </c:pt>
                <c:pt idx="1130">
                  <c:v>6206.6</c:v>
                </c:pt>
                <c:pt idx="1131">
                  <c:v>6206.6</c:v>
                </c:pt>
                <c:pt idx="1132">
                  <c:v>6206.6</c:v>
                </c:pt>
                <c:pt idx="1133">
                  <c:v>6206.6</c:v>
                </c:pt>
                <c:pt idx="1134">
                  <c:v>6206.6</c:v>
                </c:pt>
                <c:pt idx="1135">
                  <c:v>6206.6</c:v>
                </c:pt>
                <c:pt idx="1136">
                  <c:v>6206.6</c:v>
                </c:pt>
                <c:pt idx="1137">
                  <c:v>6206.6</c:v>
                </c:pt>
                <c:pt idx="1138">
                  <c:v>6206.6</c:v>
                </c:pt>
                <c:pt idx="1139">
                  <c:v>6206.6</c:v>
                </c:pt>
                <c:pt idx="1140">
                  <c:v>6206.6</c:v>
                </c:pt>
                <c:pt idx="1141">
                  <c:v>6206.6</c:v>
                </c:pt>
                <c:pt idx="1142">
                  <c:v>6206.6</c:v>
                </c:pt>
                <c:pt idx="1143">
                  <c:v>6206.6</c:v>
                </c:pt>
                <c:pt idx="1144">
                  <c:v>6206.6</c:v>
                </c:pt>
                <c:pt idx="1145">
                  <c:v>6206.6</c:v>
                </c:pt>
                <c:pt idx="1146">
                  <c:v>6206.6</c:v>
                </c:pt>
                <c:pt idx="1147">
                  <c:v>6206.6</c:v>
                </c:pt>
                <c:pt idx="1148">
                  <c:v>6206.6</c:v>
                </c:pt>
                <c:pt idx="1149">
                  <c:v>6206.6</c:v>
                </c:pt>
                <c:pt idx="1150">
                  <c:v>6206.6</c:v>
                </c:pt>
                <c:pt idx="1151">
                  <c:v>6206.6</c:v>
                </c:pt>
                <c:pt idx="1152">
                  <c:v>6206.6</c:v>
                </c:pt>
                <c:pt idx="1153">
                  <c:v>6206.6</c:v>
                </c:pt>
                <c:pt idx="1154">
                  <c:v>6206.6</c:v>
                </c:pt>
                <c:pt idx="1155">
                  <c:v>6206.6</c:v>
                </c:pt>
                <c:pt idx="1156">
                  <c:v>6206.6</c:v>
                </c:pt>
                <c:pt idx="1157">
                  <c:v>6206.6</c:v>
                </c:pt>
                <c:pt idx="1158">
                  <c:v>6206.6</c:v>
                </c:pt>
                <c:pt idx="1159">
                  <c:v>6206.6</c:v>
                </c:pt>
                <c:pt idx="1160">
                  <c:v>6206.6</c:v>
                </c:pt>
                <c:pt idx="1161">
                  <c:v>6206.6</c:v>
                </c:pt>
                <c:pt idx="1162">
                  <c:v>6206.6</c:v>
                </c:pt>
                <c:pt idx="1163">
                  <c:v>6206.6</c:v>
                </c:pt>
                <c:pt idx="1164">
                  <c:v>6206.6</c:v>
                </c:pt>
                <c:pt idx="1165">
                  <c:v>6206.6</c:v>
                </c:pt>
                <c:pt idx="1166">
                  <c:v>6206.6</c:v>
                </c:pt>
                <c:pt idx="1167">
                  <c:v>6206.6</c:v>
                </c:pt>
                <c:pt idx="1168">
                  <c:v>6206.6</c:v>
                </c:pt>
                <c:pt idx="1169">
                  <c:v>6206.6</c:v>
                </c:pt>
                <c:pt idx="1170">
                  <c:v>6206.6</c:v>
                </c:pt>
                <c:pt idx="1171">
                  <c:v>6206.6</c:v>
                </c:pt>
                <c:pt idx="1172">
                  <c:v>6206.6</c:v>
                </c:pt>
                <c:pt idx="1173">
                  <c:v>6206.6</c:v>
                </c:pt>
                <c:pt idx="1174">
                  <c:v>6206.6</c:v>
                </c:pt>
                <c:pt idx="1175">
                  <c:v>6206.6</c:v>
                </c:pt>
                <c:pt idx="1176">
                  <c:v>6206.6</c:v>
                </c:pt>
                <c:pt idx="1177">
                  <c:v>6206.6</c:v>
                </c:pt>
                <c:pt idx="1178">
                  <c:v>6206.6</c:v>
                </c:pt>
                <c:pt idx="1179">
                  <c:v>6206.6</c:v>
                </c:pt>
                <c:pt idx="1180">
                  <c:v>6206.6</c:v>
                </c:pt>
                <c:pt idx="1181">
                  <c:v>6206.6</c:v>
                </c:pt>
                <c:pt idx="1182">
                  <c:v>6206.6</c:v>
                </c:pt>
                <c:pt idx="1183">
                  <c:v>6206.6</c:v>
                </c:pt>
                <c:pt idx="1184">
                  <c:v>6206.6</c:v>
                </c:pt>
                <c:pt idx="1185">
                  <c:v>6206.6</c:v>
                </c:pt>
                <c:pt idx="1186">
                  <c:v>6206.6</c:v>
                </c:pt>
                <c:pt idx="1187">
                  <c:v>6206.6</c:v>
                </c:pt>
                <c:pt idx="1188">
                  <c:v>6206.6</c:v>
                </c:pt>
                <c:pt idx="1189">
                  <c:v>6206.6</c:v>
                </c:pt>
                <c:pt idx="1190">
                  <c:v>6206.6</c:v>
                </c:pt>
                <c:pt idx="1191">
                  <c:v>6206.6</c:v>
                </c:pt>
                <c:pt idx="1192">
                  <c:v>6206.6</c:v>
                </c:pt>
                <c:pt idx="1193">
                  <c:v>6206.6</c:v>
                </c:pt>
                <c:pt idx="1194">
                  <c:v>6206.6</c:v>
                </c:pt>
                <c:pt idx="1195">
                  <c:v>6206.6</c:v>
                </c:pt>
                <c:pt idx="1196">
                  <c:v>6206.6</c:v>
                </c:pt>
                <c:pt idx="1197">
                  <c:v>6206.6</c:v>
                </c:pt>
                <c:pt idx="1198">
                  <c:v>6206.6</c:v>
                </c:pt>
                <c:pt idx="1199">
                  <c:v>6206.6</c:v>
                </c:pt>
                <c:pt idx="1200">
                  <c:v>6206.6</c:v>
                </c:pt>
                <c:pt idx="1201">
                  <c:v>6206.6</c:v>
                </c:pt>
                <c:pt idx="1202">
                  <c:v>6206.6</c:v>
                </c:pt>
                <c:pt idx="1203">
                  <c:v>6206.6</c:v>
                </c:pt>
                <c:pt idx="1204">
                  <c:v>6206.6</c:v>
                </c:pt>
                <c:pt idx="1205">
                  <c:v>6206.6</c:v>
                </c:pt>
                <c:pt idx="1206">
                  <c:v>7766.6</c:v>
                </c:pt>
                <c:pt idx="1207">
                  <c:v>8526.6</c:v>
                </c:pt>
                <c:pt idx="1208">
                  <c:v>8526.6</c:v>
                </c:pt>
                <c:pt idx="1209">
                  <c:v>9230.6</c:v>
                </c:pt>
                <c:pt idx="1210">
                  <c:v>9230.6</c:v>
                </c:pt>
                <c:pt idx="1211">
                  <c:v>9230.6</c:v>
                </c:pt>
                <c:pt idx="1212">
                  <c:v>9230.6</c:v>
                </c:pt>
                <c:pt idx="1213">
                  <c:v>9230.6</c:v>
                </c:pt>
                <c:pt idx="1214">
                  <c:v>9230.6</c:v>
                </c:pt>
                <c:pt idx="1215">
                  <c:v>9230.6</c:v>
                </c:pt>
                <c:pt idx="1216">
                  <c:v>9230.6</c:v>
                </c:pt>
                <c:pt idx="1217">
                  <c:v>9230.6</c:v>
                </c:pt>
                <c:pt idx="1218">
                  <c:v>9230.6</c:v>
                </c:pt>
                <c:pt idx="1219">
                  <c:v>9230.6</c:v>
                </c:pt>
                <c:pt idx="1220">
                  <c:v>9230.6</c:v>
                </c:pt>
                <c:pt idx="1221">
                  <c:v>9230.6</c:v>
                </c:pt>
                <c:pt idx="1222">
                  <c:v>9230.6</c:v>
                </c:pt>
                <c:pt idx="1223">
                  <c:v>9230.6</c:v>
                </c:pt>
                <c:pt idx="1224">
                  <c:v>9230.6</c:v>
                </c:pt>
                <c:pt idx="1225">
                  <c:v>9230.6</c:v>
                </c:pt>
                <c:pt idx="1226">
                  <c:v>9230.6</c:v>
                </c:pt>
                <c:pt idx="1227">
                  <c:v>9230.6</c:v>
                </c:pt>
                <c:pt idx="1228">
                  <c:v>9230.6</c:v>
                </c:pt>
                <c:pt idx="1229">
                  <c:v>9230.6</c:v>
                </c:pt>
                <c:pt idx="1230">
                  <c:v>9230.6</c:v>
                </c:pt>
                <c:pt idx="1231">
                  <c:v>9230.6</c:v>
                </c:pt>
                <c:pt idx="1232">
                  <c:v>9230.6</c:v>
                </c:pt>
                <c:pt idx="1233">
                  <c:v>9230.6</c:v>
                </c:pt>
                <c:pt idx="1234">
                  <c:v>9230.6</c:v>
                </c:pt>
                <c:pt idx="1235">
                  <c:v>9230.6</c:v>
                </c:pt>
                <c:pt idx="1236">
                  <c:v>9230.6</c:v>
                </c:pt>
                <c:pt idx="1237">
                  <c:v>9230.6</c:v>
                </c:pt>
                <c:pt idx="1238">
                  <c:v>9230.6</c:v>
                </c:pt>
                <c:pt idx="1239">
                  <c:v>9230.6</c:v>
                </c:pt>
                <c:pt idx="1240">
                  <c:v>9230.6</c:v>
                </c:pt>
                <c:pt idx="1241">
                  <c:v>9230.6</c:v>
                </c:pt>
                <c:pt idx="1242">
                  <c:v>9230.6</c:v>
                </c:pt>
                <c:pt idx="1243">
                  <c:v>9230.6</c:v>
                </c:pt>
                <c:pt idx="1244">
                  <c:v>9230.6</c:v>
                </c:pt>
                <c:pt idx="1245">
                  <c:v>9230.6</c:v>
                </c:pt>
                <c:pt idx="1246">
                  <c:v>9230.6</c:v>
                </c:pt>
                <c:pt idx="1247">
                  <c:v>9230.6</c:v>
                </c:pt>
                <c:pt idx="1248">
                  <c:v>9230.6</c:v>
                </c:pt>
                <c:pt idx="1249">
                  <c:v>9230.6</c:v>
                </c:pt>
                <c:pt idx="1250">
                  <c:v>9230.6</c:v>
                </c:pt>
              </c:numCache>
            </c:numRef>
          </c:val>
          <c:smooth val="0"/>
          <c:extLst>
            <c:ext xmlns:c16="http://schemas.microsoft.com/office/drawing/2014/chart" uri="{C3380CC4-5D6E-409C-BE32-E72D297353CC}">
              <c16:uniqueId val="{00000002-10BD-49B6-B178-39C79ED726D0}"/>
            </c:ext>
          </c:extLst>
        </c:ser>
        <c:dLbls>
          <c:showLegendKey val="0"/>
          <c:showVal val="0"/>
          <c:showCatName val="0"/>
          <c:showSerName val="0"/>
          <c:showPercent val="0"/>
          <c:showBubbleSize val="0"/>
        </c:dLbls>
        <c:smooth val="0"/>
        <c:axId val="1846286239"/>
        <c:axId val="1729329055"/>
      </c:lineChart>
      <c:catAx>
        <c:axId val="1846286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329055"/>
        <c:crosses val="autoZero"/>
        <c:auto val="1"/>
        <c:lblAlgn val="ctr"/>
        <c:lblOffset val="100"/>
        <c:noMultiLvlLbl val="0"/>
      </c:catAx>
      <c:valAx>
        <c:axId val="1729329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286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bg1">
                    <a:lumMod val="75000"/>
                  </a:schemeClr>
                </a:solidFill>
                <a:latin typeface="+mn-lt"/>
                <a:ea typeface="+mn-ea"/>
                <a:cs typeface="+mn-cs"/>
              </a:defRPr>
            </a:pPr>
            <a:r>
              <a:rPr lang="en-US" sz="1000" b="1">
                <a:solidFill>
                  <a:schemeClr val="bg1">
                    <a:lumMod val="75000"/>
                  </a:schemeClr>
                </a:solidFill>
              </a:rPr>
              <a:t># OF TRADES</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bg1">
                  <a:lumMod val="75000"/>
                </a:schemeClr>
              </a:solidFill>
              <a:latin typeface="+mn-lt"/>
              <a:ea typeface="+mn-ea"/>
              <a:cs typeface="+mn-cs"/>
            </a:defRPr>
          </a:pPr>
          <a:endParaRPr lang="en-US"/>
        </a:p>
      </c:txPr>
    </c:title>
    <c:autoTitleDeleted val="0"/>
    <c:plotArea>
      <c:layout>
        <c:manualLayout>
          <c:layoutTarget val="inner"/>
          <c:xMode val="edge"/>
          <c:yMode val="edge"/>
          <c:x val="3.6883319868413408E-2"/>
          <c:y val="0.27408119658119656"/>
          <c:w val="0.92623336026317316"/>
          <c:h val="0.52605598290598288"/>
        </c:manualLayout>
      </c:layout>
      <c:barChart>
        <c:barDir val="col"/>
        <c:grouping val="clustered"/>
        <c:varyColors val="0"/>
        <c:ser>
          <c:idx val="0"/>
          <c:order val="0"/>
          <c:tx>
            <c:v>participation</c:v>
          </c:tx>
          <c:spPr>
            <a:solidFill>
              <a:srgbClr val="0D0D0D"/>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'PERFORMANCE ANALYSIS'!$B$6:$B$28</c15:sqref>
                  </c15:fullRef>
                </c:ext>
              </c:extLst>
              <c:f>'PERFORMANCE ANALYSIS'!$B$12:$B$16</c:f>
              <c:strCache>
                <c:ptCount val="5"/>
                <c:pt idx="0">
                  <c:v>OUTRIGHTS (IR,IB,YT, XT)</c:v>
                </c:pt>
                <c:pt idx="1">
                  <c:v>SPREADS</c:v>
                </c:pt>
                <c:pt idx="2">
                  <c:v>FLIES</c:v>
                </c:pt>
                <c:pt idx="3">
                  <c:v>TED</c:v>
                </c:pt>
                <c:pt idx="4">
                  <c:v>IR|YT</c:v>
                </c:pt>
              </c:strCache>
            </c:strRef>
          </c:cat>
          <c:val>
            <c:numRef>
              <c:extLst>
                <c:ext xmlns:c15="http://schemas.microsoft.com/office/drawing/2012/chart" uri="{02D57815-91ED-43cb-92C2-25804820EDAC}">
                  <c15:fullRef>
                    <c15:sqref>'PERFORMANCE ANALYSIS'!$C$6:$C$28</c15:sqref>
                  </c15:fullRef>
                </c:ext>
              </c:extLst>
              <c:f>'PERFORMANCE ANALYSIS'!$C$12:$C$16</c:f>
              <c:numCache>
                <c:formatCode>General</c:formatCode>
                <c:ptCount val="5"/>
                <c:pt idx="0">
                  <c:v>16</c:v>
                </c:pt>
                <c:pt idx="1">
                  <c:v>27</c:v>
                </c:pt>
                <c:pt idx="2">
                  <c:v>3</c:v>
                </c:pt>
                <c:pt idx="3">
                  <c:v>0</c:v>
                </c:pt>
                <c:pt idx="4">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EFA4-4503-807C-E9D9C76CBB25}"/>
            </c:ext>
          </c:extLst>
        </c:ser>
        <c:dLbls>
          <c:showLegendKey val="0"/>
          <c:showVal val="0"/>
          <c:showCatName val="0"/>
          <c:showSerName val="0"/>
          <c:showPercent val="0"/>
          <c:showBubbleSize val="0"/>
        </c:dLbls>
        <c:gapWidth val="500"/>
        <c:axId val="709832880"/>
        <c:axId val="611032896"/>
      </c:barChart>
      <c:catAx>
        <c:axId val="709832880"/>
        <c:scaling>
          <c:orientation val="minMax"/>
        </c:scaling>
        <c:delete val="0"/>
        <c:axPos val="b"/>
        <c:numFmt formatCode="General" sourceLinked="1"/>
        <c:majorTickMark val="none"/>
        <c:minorTickMark val="none"/>
        <c:tickLblPos val="low"/>
        <c:spPr>
          <a:noFill/>
          <a:ln w="9525" cap="flat" cmpd="sng" algn="ctr">
            <a:solidFill>
              <a:schemeClr val="tx2">
                <a:lumMod val="95000"/>
                <a:lumOff val="5000"/>
              </a:schemeClr>
            </a:solidFill>
            <a:round/>
          </a:ln>
          <a:effectLst/>
        </c:spPr>
        <c:txPr>
          <a:bodyPr rot="-60000000" spcFirstLastPara="1" vertOverflow="ellipsis" vert="horz" wrap="square" anchor="ctr" anchorCtr="1"/>
          <a:lstStyle/>
          <a:p>
            <a:pPr>
              <a:defRPr sz="900" b="1" i="0" u="none" strike="noStrike" kern="1200" baseline="0">
                <a:solidFill>
                  <a:schemeClr val="bg2">
                    <a:lumMod val="85000"/>
                  </a:schemeClr>
                </a:solidFill>
                <a:latin typeface="+mn-lt"/>
                <a:ea typeface="+mn-ea"/>
                <a:cs typeface="+mn-cs"/>
              </a:defRPr>
            </a:pPr>
            <a:endParaRPr lang="en-US"/>
          </a:p>
        </c:txPr>
        <c:crossAx val="611032896"/>
        <c:crosses val="autoZero"/>
        <c:auto val="1"/>
        <c:lblAlgn val="ctr"/>
        <c:lblOffset val="250"/>
        <c:noMultiLvlLbl val="0"/>
      </c:catAx>
      <c:valAx>
        <c:axId val="611032896"/>
        <c:scaling>
          <c:orientation val="minMax"/>
        </c:scaling>
        <c:delete val="1"/>
        <c:axPos val="l"/>
        <c:numFmt formatCode="General" sourceLinked="1"/>
        <c:majorTickMark val="none"/>
        <c:minorTickMark val="none"/>
        <c:tickLblPos val="nextTo"/>
        <c:crossAx val="70983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'Journal Live'!$BH$2420:$BH$2630</c:f>
              <c:numCache>
                <c:formatCode>"$"#,##0.00</c:formatCode>
                <c:ptCount val="211"/>
                <c:pt idx="0">
                  <c:v>0</c:v>
                </c:pt>
                <c:pt idx="1">
                  <c:v>0</c:v>
                </c:pt>
                <c:pt idx="2">
                  <c:v>48.000000000000043</c:v>
                </c:pt>
                <c:pt idx="3">
                  <c:v>160.00000000000003</c:v>
                </c:pt>
                <c:pt idx="4">
                  <c:v>272.00000000000011</c:v>
                </c:pt>
                <c:pt idx="5">
                  <c:v>272.00000000000011</c:v>
                </c:pt>
                <c:pt idx="6">
                  <c:v>184.99999999999682</c:v>
                </c:pt>
                <c:pt idx="7">
                  <c:v>124.99999999999454</c:v>
                </c:pt>
                <c:pt idx="8">
                  <c:v>124.99999999999454</c:v>
                </c:pt>
                <c:pt idx="9">
                  <c:v>124.99999999999454</c:v>
                </c:pt>
                <c:pt idx="10">
                  <c:v>124.99999999999454</c:v>
                </c:pt>
                <c:pt idx="11">
                  <c:v>124.99999999999454</c:v>
                </c:pt>
                <c:pt idx="12">
                  <c:v>124.99999999999454</c:v>
                </c:pt>
                <c:pt idx="13">
                  <c:v>124.99999999999454</c:v>
                </c:pt>
                <c:pt idx="14">
                  <c:v>172.9999999999946</c:v>
                </c:pt>
                <c:pt idx="15">
                  <c:v>172.9999999999946</c:v>
                </c:pt>
                <c:pt idx="16">
                  <c:v>172.9999999999946</c:v>
                </c:pt>
                <c:pt idx="17">
                  <c:v>172.9999999999946</c:v>
                </c:pt>
                <c:pt idx="18">
                  <c:v>172.9999999999946</c:v>
                </c:pt>
                <c:pt idx="19">
                  <c:v>172.9999999999946</c:v>
                </c:pt>
                <c:pt idx="20">
                  <c:v>124.99999999999469</c:v>
                </c:pt>
                <c:pt idx="21">
                  <c:v>124.99999999999469</c:v>
                </c:pt>
                <c:pt idx="22">
                  <c:v>124.99999999999469</c:v>
                </c:pt>
                <c:pt idx="23">
                  <c:v>124.99999999999469</c:v>
                </c:pt>
                <c:pt idx="24">
                  <c:v>156.99999999999542</c:v>
                </c:pt>
                <c:pt idx="25">
                  <c:v>156.99999999999542</c:v>
                </c:pt>
                <c:pt idx="26">
                  <c:v>396.99999999999545</c:v>
                </c:pt>
                <c:pt idx="27">
                  <c:v>476.99999999999551</c:v>
                </c:pt>
                <c:pt idx="28">
                  <c:v>588.99999999999557</c:v>
                </c:pt>
                <c:pt idx="29">
                  <c:v>588.99999999999557</c:v>
                </c:pt>
                <c:pt idx="30">
                  <c:v>588.99999999999557</c:v>
                </c:pt>
                <c:pt idx="31">
                  <c:v>588.99999999999557</c:v>
                </c:pt>
                <c:pt idx="32">
                  <c:v>588.99999999999557</c:v>
                </c:pt>
                <c:pt idx="33">
                  <c:v>668.99999999999557</c:v>
                </c:pt>
                <c:pt idx="34">
                  <c:v>668.99999999999557</c:v>
                </c:pt>
                <c:pt idx="35">
                  <c:v>668.99999999999557</c:v>
                </c:pt>
                <c:pt idx="36">
                  <c:v>608.99999999999329</c:v>
                </c:pt>
                <c:pt idx="37">
                  <c:v>560.99999999999147</c:v>
                </c:pt>
                <c:pt idx="38">
                  <c:v>560.99999999999147</c:v>
                </c:pt>
                <c:pt idx="39">
                  <c:v>560.99999999999147</c:v>
                </c:pt>
                <c:pt idx="40">
                  <c:v>512.99999999999147</c:v>
                </c:pt>
                <c:pt idx="41">
                  <c:v>48.99999999999153</c:v>
                </c:pt>
                <c:pt idx="42">
                  <c:v>-335.00000000000847</c:v>
                </c:pt>
                <c:pt idx="43">
                  <c:v>-223.00000000000836</c:v>
                </c:pt>
                <c:pt idx="44">
                  <c:v>-223.00000000000836</c:v>
                </c:pt>
                <c:pt idx="45">
                  <c:v>-175.00000000000836</c:v>
                </c:pt>
                <c:pt idx="46">
                  <c:v>-63.000000000008257</c:v>
                </c:pt>
                <c:pt idx="47">
                  <c:v>-179.00000000000824</c:v>
                </c:pt>
                <c:pt idx="48">
                  <c:v>-195.00000000003917</c:v>
                </c:pt>
                <c:pt idx="49">
                  <c:v>-291.00000000003911</c:v>
                </c:pt>
                <c:pt idx="50">
                  <c:v>-291.00000000003911</c:v>
                </c:pt>
                <c:pt idx="51">
                  <c:v>-291.00000000003911</c:v>
                </c:pt>
                <c:pt idx="52">
                  <c:v>-147.00000000003919</c:v>
                </c:pt>
                <c:pt idx="53">
                  <c:v>-147.00000000003919</c:v>
                </c:pt>
                <c:pt idx="54">
                  <c:v>28.999999999961403</c:v>
                </c:pt>
                <c:pt idx="55">
                  <c:v>28.999999999961403</c:v>
                </c:pt>
                <c:pt idx="56">
                  <c:v>28.999999999961403</c:v>
                </c:pt>
                <c:pt idx="57">
                  <c:v>28.999999999961403</c:v>
                </c:pt>
                <c:pt idx="58">
                  <c:v>28.999999999961403</c:v>
                </c:pt>
                <c:pt idx="59">
                  <c:v>28.999999999961403</c:v>
                </c:pt>
                <c:pt idx="60">
                  <c:v>124.99999999996149</c:v>
                </c:pt>
                <c:pt idx="61">
                  <c:v>220.99999999996157</c:v>
                </c:pt>
                <c:pt idx="62">
                  <c:v>380.99999999996152</c:v>
                </c:pt>
                <c:pt idx="63">
                  <c:v>380.99999999996152</c:v>
                </c:pt>
                <c:pt idx="64">
                  <c:v>380.99999999996152</c:v>
                </c:pt>
                <c:pt idx="65">
                  <c:v>380.99999999996152</c:v>
                </c:pt>
                <c:pt idx="66">
                  <c:v>380.99999999996152</c:v>
                </c:pt>
                <c:pt idx="67">
                  <c:v>380.99999999996152</c:v>
                </c:pt>
                <c:pt idx="68">
                  <c:v>604.99999999996135</c:v>
                </c:pt>
                <c:pt idx="69">
                  <c:v>604.99999999996135</c:v>
                </c:pt>
                <c:pt idx="70">
                  <c:v>604.99999999996135</c:v>
                </c:pt>
                <c:pt idx="71">
                  <c:v>988.99999999996135</c:v>
                </c:pt>
                <c:pt idx="72">
                  <c:v>988.99999999996135</c:v>
                </c:pt>
                <c:pt idx="73">
                  <c:v>1244.9999999999616</c:v>
                </c:pt>
                <c:pt idx="74">
                  <c:v>1244.9999999999616</c:v>
                </c:pt>
                <c:pt idx="75">
                  <c:v>1244.9999999999616</c:v>
                </c:pt>
                <c:pt idx="76">
                  <c:v>1244.9999999999616</c:v>
                </c:pt>
                <c:pt idx="77">
                  <c:v>1244.9999999999616</c:v>
                </c:pt>
                <c:pt idx="78">
                  <c:v>1244.9999999999616</c:v>
                </c:pt>
                <c:pt idx="79">
                  <c:v>1244.9999999999616</c:v>
                </c:pt>
                <c:pt idx="80">
                  <c:v>1244.9999999999616</c:v>
                </c:pt>
                <c:pt idx="81">
                  <c:v>1180.9999999999743</c:v>
                </c:pt>
                <c:pt idx="82">
                  <c:v>1020.9999999999746</c:v>
                </c:pt>
                <c:pt idx="83">
                  <c:v>140.99999999997567</c:v>
                </c:pt>
                <c:pt idx="84">
                  <c:v>-339.00000000002262</c:v>
                </c:pt>
                <c:pt idx="85">
                  <c:v>-339.00000000002262</c:v>
                </c:pt>
                <c:pt idx="86">
                  <c:v>-339.00000000002262</c:v>
                </c:pt>
                <c:pt idx="87">
                  <c:v>-339.00000000002262</c:v>
                </c:pt>
                <c:pt idx="88">
                  <c:v>-435.00000000002274</c:v>
                </c:pt>
                <c:pt idx="89">
                  <c:v>-435.00000000002274</c:v>
                </c:pt>
                <c:pt idx="90">
                  <c:v>-739.00000000002228</c:v>
                </c:pt>
                <c:pt idx="91">
                  <c:v>-739.00000000002228</c:v>
                </c:pt>
                <c:pt idx="92">
                  <c:v>-739.00000000002228</c:v>
                </c:pt>
                <c:pt idx="93">
                  <c:v>-739.00000000002228</c:v>
                </c:pt>
                <c:pt idx="94">
                  <c:v>-739.00000000002228</c:v>
                </c:pt>
                <c:pt idx="95">
                  <c:v>-739.00000000002228</c:v>
                </c:pt>
                <c:pt idx="96">
                  <c:v>-739.00000000002228</c:v>
                </c:pt>
                <c:pt idx="97">
                  <c:v>-739.00000000002228</c:v>
                </c:pt>
                <c:pt idx="98">
                  <c:v>-739.00000000002228</c:v>
                </c:pt>
                <c:pt idx="99">
                  <c:v>-659.00000000009504</c:v>
                </c:pt>
                <c:pt idx="100">
                  <c:v>-659.00000000009504</c:v>
                </c:pt>
                <c:pt idx="101">
                  <c:v>-659.00000000009504</c:v>
                </c:pt>
                <c:pt idx="102">
                  <c:v>-659.00000000009504</c:v>
                </c:pt>
                <c:pt idx="103">
                  <c:v>-659.00000000009504</c:v>
                </c:pt>
                <c:pt idx="104">
                  <c:v>-717.00000000004229</c:v>
                </c:pt>
                <c:pt idx="105">
                  <c:v>-717.00000000004229</c:v>
                </c:pt>
                <c:pt idx="106">
                  <c:v>-717.00000000004229</c:v>
                </c:pt>
                <c:pt idx="107">
                  <c:v>-717.00000000004229</c:v>
                </c:pt>
                <c:pt idx="108">
                  <c:v>-733.000000000005</c:v>
                </c:pt>
                <c:pt idx="109">
                  <c:v>-877.000000000005</c:v>
                </c:pt>
                <c:pt idx="110">
                  <c:v>-845.00000000000512</c:v>
                </c:pt>
                <c:pt idx="111">
                  <c:v>-845.00000000000512</c:v>
                </c:pt>
                <c:pt idx="112">
                  <c:v>-653.000000000005</c:v>
                </c:pt>
                <c:pt idx="113">
                  <c:v>-653.000000000005</c:v>
                </c:pt>
                <c:pt idx="114">
                  <c:v>-653.000000000005</c:v>
                </c:pt>
                <c:pt idx="115">
                  <c:v>-653.000000000005</c:v>
                </c:pt>
                <c:pt idx="116">
                  <c:v>-653.000000000005</c:v>
                </c:pt>
                <c:pt idx="117">
                  <c:v>-653.000000000005</c:v>
                </c:pt>
                <c:pt idx="118">
                  <c:v>-632.99999999999477</c:v>
                </c:pt>
                <c:pt idx="119">
                  <c:v>-632.99999999999477</c:v>
                </c:pt>
                <c:pt idx="120">
                  <c:v>-632.99999999999477</c:v>
                </c:pt>
                <c:pt idx="121">
                  <c:v>-600.9999999999784</c:v>
                </c:pt>
                <c:pt idx="122">
                  <c:v>-856.99999999997817</c:v>
                </c:pt>
                <c:pt idx="123">
                  <c:v>-696.99999999997806</c:v>
                </c:pt>
                <c:pt idx="124">
                  <c:v>-696.99999999997806</c:v>
                </c:pt>
                <c:pt idx="125">
                  <c:v>-760.99999999991985</c:v>
                </c:pt>
                <c:pt idx="126">
                  <c:v>-760.99999999991985</c:v>
                </c:pt>
                <c:pt idx="127">
                  <c:v>-760.99999999991985</c:v>
                </c:pt>
                <c:pt idx="128">
                  <c:v>-760.99999999991985</c:v>
                </c:pt>
                <c:pt idx="129">
                  <c:v>-808.9999999998762</c:v>
                </c:pt>
                <c:pt idx="130">
                  <c:v>-808.9999999998762</c:v>
                </c:pt>
                <c:pt idx="131">
                  <c:v>-808.9999999998762</c:v>
                </c:pt>
                <c:pt idx="132">
                  <c:v>-808.9999999998762</c:v>
                </c:pt>
                <c:pt idx="133">
                  <c:v>-866.99999999990587</c:v>
                </c:pt>
                <c:pt idx="134">
                  <c:v>-866.99999999990587</c:v>
                </c:pt>
                <c:pt idx="135">
                  <c:v>-866.99999999990587</c:v>
                </c:pt>
                <c:pt idx="136">
                  <c:v>-866.99999999990587</c:v>
                </c:pt>
                <c:pt idx="137">
                  <c:v>-866.99999999990587</c:v>
                </c:pt>
                <c:pt idx="138">
                  <c:v>-866.99999999990587</c:v>
                </c:pt>
                <c:pt idx="139">
                  <c:v>-901.79999999982476</c:v>
                </c:pt>
                <c:pt idx="140">
                  <c:v>-1495.7999999998474</c:v>
                </c:pt>
                <c:pt idx="141">
                  <c:v>-1495.7999999998474</c:v>
                </c:pt>
                <c:pt idx="142">
                  <c:v>-1495.7999999998474</c:v>
                </c:pt>
                <c:pt idx="143">
                  <c:v>-1495.7999999998474</c:v>
                </c:pt>
                <c:pt idx="144">
                  <c:v>-1495.7999999998474</c:v>
                </c:pt>
                <c:pt idx="145">
                  <c:v>-1495.7999999998474</c:v>
                </c:pt>
                <c:pt idx="146">
                  <c:v>-1383.7999999999493</c:v>
                </c:pt>
                <c:pt idx="147">
                  <c:v>-1239.7999999999493</c:v>
                </c:pt>
                <c:pt idx="148">
                  <c:v>-1239.7999999999493</c:v>
                </c:pt>
                <c:pt idx="149">
                  <c:v>-1239.7999999999493</c:v>
                </c:pt>
                <c:pt idx="150">
                  <c:v>-1239.7999999999493</c:v>
                </c:pt>
                <c:pt idx="151">
                  <c:v>-1495.7999999999493</c:v>
                </c:pt>
                <c:pt idx="152">
                  <c:v>-1239.799999999949</c:v>
                </c:pt>
                <c:pt idx="153">
                  <c:v>-1239.799999999949</c:v>
                </c:pt>
                <c:pt idx="154">
                  <c:v>-1239.799999999949</c:v>
                </c:pt>
                <c:pt idx="155">
                  <c:v>-1127.799999999949</c:v>
                </c:pt>
                <c:pt idx="156">
                  <c:v>-1015.7999999999496</c:v>
                </c:pt>
                <c:pt idx="157">
                  <c:v>-1015.7999999999496</c:v>
                </c:pt>
                <c:pt idx="158">
                  <c:v>-855.79999999994948</c:v>
                </c:pt>
                <c:pt idx="159">
                  <c:v>-855.79999999994948</c:v>
                </c:pt>
                <c:pt idx="160">
                  <c:v>-884.80000000000553</c:v>
                </c:pt>
                <c:pt idx="161">
                  <c:v>-884.80000000000553</c:v>
                </c:pt>
                <c:pt idx="162">
                  <c:v>-884.80000000000553</c:v>
                </c:pt>
                <c:pt idx="163">
                  <c:v>-996.80000000000655</c:v>
                </c:pt>
                <c:pt idx="164">
                  <c:v>-996.80000000000655</c:v>
                </c:pt>
                <c:pt idx="165">
                  <c:v>-996.80000000000655</c:v>
                </c:pt>
                <c:pt idx="166">
                  <c:v>-772.79999999989195</c:v>
                </c:pt>
                <c:pt idx="167">
                  <c:v>-772.79999999989195</c:v>
                </c:pt>
                <c:pt idx="168">
                  <c:v>-772.79999999989195</c:v>
                </c:pt>
                <c:pt idx="169">
                  <c:v>-772.79999999989195</c:v>
                </c:pt>
                <c:pt idx="170">
                  <c:v>-772.79999999989195</c:v>
                </c:pt>
                <c:pt idx="171">
                  <c:v>-772.79999999989195</c:v>
                </c:pt>
                <c:pt idx="172">
                  <c:v>-772.79999999989195</c:v>
                </c:pt>
                <c:pt idx="173">
                  <c:v>-772.79999999989195</c:v>
                </c:pt>
                <c:pt idx="174">
                  <c:v>-772.79999999989195</c:v>
                </c:pt>
                <c:pt idx="175">
                  <c:v>-772.79999999989195</c:v>
                </c:pt>
                <c:pt idx="176">
                  <c:v>-772.79999999989195</c:v>
                </c:pt>
                <c:pt idx="177">
                  <c:v>-772.79999999989195</c:v>
                </c:pt>
                <c:pt idx="178">
                  <c:v>-772.79999999989195</c:v>
                </c:pt>
                <c:pt idx="179">
                  <c:v>-772.79999999989195</c:v>
                </c:pt>
                <c:pt idx="180">
                  <c:v>-772.79999999989195</c:v>
                </c:pt>
                <c:pt idx="181">
                  <c:v>-772.79999999989195</c:v>
                </c:pt>
                <c:pt idx="182">
                  <c:v>-772.79999999989195</c:v>
                </c:pt>
                <c:pt idx="183">
                  <c:v>-772.79999999989195</c:v>
                </c:pt>
                <c:pt idx="184">
                  <c:v>-772.79999999989195</c:v>
                </c:pt>
                <c:pt idx="185">
                  <c:v>-772.79999999989195</c:v>
                </c:pt>
                <c:pt idx="186">
                  <c:v>-772.79999999989195</c:v>
                </c:pt>
                <c:pt idx="187">
                  <c:v>-772.79999999989195</c:v>
                </c:pt>
                <c:pt idx="188">
                  <c:v>-772.79999999989195</c:v>
                </c:pt>
                <c:pt idx="189">
                  <c:v>-772.79999999989195</c:v>
                </c:pt>
                <c:pt idx="190">
                  <c:v>-772.79999999989195</c:v>
                </c:pt>
                <c:pt idx="191">
                  <c:v>-772.79999999989195</c:v>
                </c:pt>
                <c:pt idx="192">
                  <c:v>-772.79999999989195</c:v>
                </c:pt>
                <c:pt idx="193">
                  <c:v>-772.79999999989195</c:v>
                </c:pt>
                <c:pt idx="194">
                  <c:v>-772.79999999989195</c:v>
                </c:pt>
                <c:pt idx="195">
                  <c:v>-772.79999999989195</c:v>
                </c:pt>
                <c:pt idx="196">
                  <c:v>-772.79999999989195</c:v>
                </c:pt>
                <c:pt idx="197">
                  <c:v>-772.79999999989195</c:v>
                </c:pt>
                <c:pt idx="198">
                  <c:v>-772.79999999989195</c:v>
                </c:pt>
                <c:pt idx="199">
                  <c:v>-772.79999999989195</c:v>
                </c:pt>
                <c:pt idx="200">
                  <c:v>-772.79999999989195</c:v>
                </c:pt>
                <c:pt idx="201">
                  <c:v>-772.79999999989195</c:v>
                </c:pt>
                <c:pt idx="202">
                  <c:v>-772.79999999989195</c:v>
                </c:pt>
                <c:pt idx="203">
                  <c:v>-772.79999999989195</c:v>
                </c:pt>
                <c:pt idx="204">
                  <c:v>-772.79999999989195</c:v>
                </c:pt>
                <c:pt idx="205">
                  <c:v>-772.79999999989195</c:v>
                </c:pt>
                <c:pt idx="206">
                  <c:v>-772.79999999989195</c:v>
                </c:pt>
                <c:pt idx="207">
                  <c:v>-772.79999999989195</c:v>
                </c:pt>
                <c:pt idx="208">
                  <c:v>-772.79999999989195</c:v>
                </c:pt>
                <c:pt idx="209">
                  <c:v>-772.79999999989195</c:v>
                </c:pt>
                <c:pt idx="210">
                  <c:v>-772.79999999989195</c:v>
                </c:pt>
              </c:numCache>
            </c:numRef>
          </c:val>
          <c:smooth val="0"/>
          <c:extLst>
            <c:ext xmlns:c16="http://schemas.microsoft.com/office/drawing/2014/chart" uri="{C3380CC4-5D6E-409C-BE32-E72D297353CC}">
              <c16:uniqueId val="{00000000-BFFE-4707-B7EE-3F238E0EF3D1}"/>
            </c:ext>
          </c:extLst>
        </c:ser>
        <c:dLbls>
          <c:showLegendKey val="0"/>
          <c:showVal val="0"/>
          <c:showCatName val="0"/>
          <c:showSerName val="0"/>
          <c:showPercent val="0"/>
          <c:showBubbleSize val="0"/>
        </c:dLbls>
        <c:smooth val="0"/>
        <c:axId val="42643976"/>
        <c:axId val="42646024"/>
      </c:lineChart>
      <c:catAx>
        <c:axId val="4264397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46024"/>
        <c:crosses val="autoZero"/>
        <c:auto val="1"/>
        <c:lblAlgn val="ctr"/>
        <c:lblOffset val="100"/>
        <c:noMultiLvlLbl val="0"/>
      </c:catAx>
      <c:valAx>
        <c:axId val="42646024"/>
        <c:scaling>
          <c:orientation val="minMax"/>
        </c:scaling>
        <c:delete val="0"/>
        <c:axPos val="l"/>
        <c:majorGridlines>
          <c:spPr>
            <a:ln w="9525" cap="flat" cmpd="sng" algn="ctr">
              <a:solidFill>
                <a:schemeClr val="tx1">
                  <a:lumMod val="50000"/>
                  <a:lumOff val="50000"/>
                  <a:alpha val="42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439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cked"/>
        <c:varyColors val="0"/>
        <c:ser>
          <c:idx val="0"/>
          <c:order val="0"/>
          <c:spPr>
            <a:ln w="28575" cap="rnd">
              <a:gradFill>
                <a:gsLst>
                  <a:gs pos="0">
                    <a:srgbClr val="00B050"/>
                  </a:gs>
                  <a:gs pos="100000">
                    <a:srgbClr val="C00000"/>
                  </a:gs>
                </a:gsLst>
                <a:lin ang="5400000" scaled="1"/>
              </a:gradFill>
              <a:round/>
            </a:ln>
            <a:effectLst/>
          </c:spPr>
          <c:marker>
            <c:symbol val="dot"/>
            <c:size val="2"/>
            <c:spPr>
              <a:solidFill>
                <a:schemeClr val="accent1"/>
              </a:solidFill>
              <a:ln w="9525">
                <a:solidFill>
                  <a:schemeClr val="accent1"/>
                </a:solidFill>
              </a:ln>
              <a:effectLst/>
            </c:spPr>
          </c:marker>
          <c:cat>
            <c:strRef>
              <c:f>'Journal Live'!$A$1387:$A$2630</c:f>
              <c:strCache>
                <c:ptCount val="1239"/>
                <c:pt idx="0">
                  <c:v>January 24 live</c:v>
                </c:pt>
                <c:pt idx="2">
                  <c:v>JAN.24</c:v>
                </c:pt>
                <c:pt idx="3">
                  <c:v>JAN.24</c:v>
                </c:pt>
                <c:pt idx="4">
                  <c:v>JAN.24</c:v>
                </c:pt>
                <c:pt idx="5">
                  <c:v>JAN.24</c:v>
                </c:pt>
                <c:pt idx="6">
                  <c:v>JAN.24</c:v>
                </c:pt>
                <c:pt idx="7">
                  <c:v>JAN.24</c:v>
                </c:pt>
                <c:pt idx="8">
                  <c:v>JAN.24</c:v>
                </c:pt>
                <c:pt idx="9">
                  <c:v>JAN.24</c:v>
                </c:pt>
                <c:pt idx="10">
                  <c:v>JAN.24</c:v>
                </c:pt>
                <c:pt idx="11">
                  <c:v>JAN.24</c:v>
                </c:pt>
                <c:pt idx="12">
                  <c:v>JAN.24</c:v>
                </c:pt>
                <c:pt idx="13">
                  <c:v>JAN.24</c:v>
                </c:pt>
                <c:pt idx="14">
                  <c:v>JAN.24</c:v>
                </c:pt>
                <c:pt idx="15">
                  <c:v>JAN.24</c:v>
                </c:pt>
                <c:pt idx="16">
                  <c:v>JAN.24</c:v>
                </c:pt>
                <c:pt idx="17">
                  <c:v>JAN.24</c:v>
                </c:pt>
                <c:pt idx="18">
                  <c:v>JAN.24</c:v>
                </c:pt>
                <c:pt idx="19">
                  <c:v>JAN.24</c:v>
                </c:pt>
                <c:pt idx="20">
                  <c:v>JAN.24</c:v>
                </c:pt>
                <c:pt idx="21">
                  <c:v>JAN.24</c:v>
                </c:pt>
                <c:pt idx="22">
                  <c:v>JAN.24</c:v>
                </c:pt>
                <c:pt idx="23">
                  <c:v>JAN.24</c:v>
                </c:pt>
                <c:pt idx="24">
                  <c:v>JAN.24</c:v>
                </c:pt>
                <c:pt idx="25">
                  <c:v>JAN.24</c:v>
                </c:pt>
                <c:pt idx="26">
                  <c:v>JAN.24</c:v>
                </c:pt>
                <c:pt idx="27">
                  <c:v>JAN.24</c:v>
                </c:pt>
                <c:pt idx="28">
                  <c:v>JAN.24</c:v>
                </c:pt>
                <c:pt idx="29">
                  <c:v>JAN.24</c:v>
                </c:pt>
                <c:pt idx="30">
                  <c:v>JAN.24</c:v>
                </c:pt>
                <c:pt idx="31">
                  <c:v>JAN.24</c:v>
                </c:pt>
                <c:pt idx="32">
                  <c:v>JAN.24</c:v>
                </c:pt>
                <c:pt idx="33">
                  <c:v>JAN.24</c:v>
                </c:pt>
                <c:pt idx="34">
                  <c:v>JAN.24</c:v>
                </c:pt>
                <c:pt idx="35">
                  <c:v>JAN.24</c:v>
                </c:pt>
                <c:pt idx="36">
                  <c:v>JAN.24</c:v>
                </c:pt>
                <c:pt idx="37">
                  <c:v>JAN.24</c:v>
                </c:pt>
                <c:pt idx="38">
                  <c:v>JAN.24</c:v>
                </c:pt>
                <c:pt idx="39">
                  <c:v>JAN.24</c:v>
                </c:pt>
                <c:pt idx="40">
                  <c:v>JAN.24</c:v>
                </c:pt>
                <c:pt idx="41">
                  <c:v>JAN.24</c:v>
                </c:pt>
                <c:pt idx="42">
                  <c:v>JAN.24</c:v>
                </c:pt>
                <c:pt idx="43">
                  <c:v>JAN.24</c:v>
                </c:pt>
                <c:pt idx="44">
                  <c:v>JAN.24</c:v>
                </c:pt>
                <c:pt idx="45">
                  <c:v>JAN.24</c:v>
                </c:pt>
                <c:pt idx="46">
                  <c:v>JAN.24</c:v>
                </c:pt>
                <c:pt idx="47">
                  <c:v>JAN.24</c:v>
                </c:pt>
                <c:pt idx="48">
                  <c:v>JAN.24</c:v>
                </c:pt>
                <c:pt idx="49">
                  <c:v>JAN.24</c:v>
                </c:pt>
                <c:pt idx="50">
                  <c:v>JAN.24</c:v>
                </c:pt>
                <c:pt idx="51">
                  <c:v>JAN.24</c:v>
                </c:pt>
                <c:pt idx="52">
                  <c:v>JAN.24</c:v>
                </c:pt>
                <c:pt idx="53">
                  <c:v>JAN.24</c:v>
                </c:pt>
                <c:pt idx="54">
                  <c:v>JAN.24</c:v>
                </c:pt>
                <c:pt idx="55">
                  <c:v>JAN.24</c:v>
                </c:pt>
                <c:pt idx="56">
                  <c:v>JAN.24</c:v>
                </c:pt>
                <c:pt idx="57">
                  <c:v>JAN.24</c:v>
                </c:pt>
                <c:pt idx="58">
                  <c:v>JAN.24</c:v>
                </c:pt>
                <c:pt idx="59">
                  <c:v>JAN.24</c:v>
                </c:pt>
                <c:pt idx="60">
                  <c:v>JAN.24</c:v>
                </c:pt>
                <c:pt idx="61">
                  <c:v>JAN.24</c:v>
                </c:pt>
                <c:pt idx="62">
                  <c:v>JAN.24</c:v>
                </c:pt>
                <c:pt idx="63">
                  <c:v>JAN.24</c:v>
                </c:pt>
                <c:pt idx="64">
                  <c:v>JAN.24</c:v>
                </c:pt>
                <c:pt idx="65">
                  <c:v>JAN.24</c:v>
                </c:pt>
                <c:pt idx="66">
                  <c:v>JAN.24</c:v>
                </c:pt>
                <c:pt idx="67">
                  <c:v>JAN.24</c:v>
                </c:pt>
                <c:pt idx="68">
                  <c:v>JAN.24</c:v>
                </c:pt>
                <c:pt idx="69">
                  <c:v>JAN.24</c:v>
                </c:pt>
                <c:pt idx="70">
                  <c:v>JAN.24</c:v>
                </c:pt>
                <c:pt idx="71">
                  <c:v>JAN.24</c:v>
                </c:pt>
                <c:pt idx="72">
                  <c:v>JAN.24</c:v>
                </c:pt>
                <c:pt idx="73">
                  <c:v>JAN.24</c:v>
                </c:pt>
                <c:pt idx="74">
                  <c:v>JAN.24</c:v>
                </c:pt>
                <c:pt idx="75">
                  <c:v>JAN.24</c:v>
                </c:pt>
                <c:pt idx="76">
                  <c:v>JAN.24</c:v>
                </c:pt>
                <c:pt idx="77">
                  <c:v>JAN.24</c:v>
                </c:pt>
                <c:pt idx="78">
                  <c:v>JAN.24</c:v>
                </c:pt>
                <c:pt idx="79">
                  <c:v>JAN.24</c:v>
                </c:pt>
                <c:pt idx="80">
                  <c:v>JAN.24</c:v>
                </c:pt>
                <c:pt idx="81">
                  <c:v>JAN.24</c:v>
                </c:pt>
                <c:pt idx="82">
                  <c:v>JAN.24</c:v>
                </c:pt>
                <c:pt idx="83">
                  <c:v>JAN.24</c:v>
                </c:pt>
                <c:pt idx="84">
                  <c:v>JAN.24</c:v>
                </c:pt>
                <c:pt idx="85">
                  <c:v>JAN.24</c:v>
                </c:pt>
                <c:pt idx="86">
                  <c:v>JAN.24</c:v>
                </c:pt>
                <c:pt idx="87">
                  <c:v>JAN.24</c:v>
                </c:pt>
                <c:pt idx="88">
                  <c:v>JAN.24</c:v>
                </c:pt>
                <c:pt idx="89">
                  <c:v>JAN.24</c:v>
                </c:pt>
                <c:pt idx="90">
                  <c:v>JAN.24</c:v>
                </c:pt>
                <c:pt idx="91">
                  <c:v>JAN.24</c:v>
                </c:pt>
                <c:pt idx="92">
                  <c:v>JAN.24</c:v>
                </c:pt>
                <c:pt idx="93">
                  <c:v>JAN.24</c:v>
                </c:pt>
                <c:pt idx="94">
                  <c:v>JAN.24</c:v>
                </c:pt>
                <c:pt idx="95">
                  <c:v>JAN.24</c:v>
                </c:pt>
                <c:pt idx="96">
                  <c:v>JAN.24</c:v>
                </c:pt>
                <c:pt idx="97">
                  <c:v>JAN.24</c:v>
                </c:pt>
                <c:pt idx="98">
                  <c:v>JAN.24</c:v>
                </c:pt>
                <c:pt idx="99">
                  <c:v>JAN.24</c:v>
                </c:pt>
                <c:pt idx="100">
                  <c:v>JAN.24</c:v>
                </c:pt>
                <c:pt idx="101">
                  <c:v>JAN.24</c:v>
                </c:pt>
                <c:pt idx="102">
                  <c:v>JAN.24</c:v>
                </c:pt>
                <c:pt idx="103">
                  <c:v>JAN.24</c:v>
                </c:pt>
                <c:pt idx="104">
                  <c:v>JAN.24</c:v>
                </c:pt>
                <c:pt idx="105">
                  <c:v>JAN.24</c:v>
                </c:pt>
                <c:pt idx="106">
                  <c:v>JAN.24</c:v>
                </c:pt>
                <c:pt idx="107">
                  <c:v>JAN.24</c:v>
                </c:pt>
                <c:pt idx="108">
                  <c:v>JAN.24</c:v>
                </c:pt>
                <c:pt idx="109">
                  <c:v>JAN.24</c:v>
                </c:pt>
                <c:pt idx="110">
                  <c:v>JAN.24</c:v>
                </c:pt>
                <c:pt idx="111">
                  <c:v>JAN.24</c:v>
                </c:pt>
                <c:pt idx="112">
                  <c:v>JAN.24</c:v>
                </c:pt>
                <c:pt idx="113">
                  <c:v>JAN.24</c:v>
                </c:pt>
                <c:pt idx="114">
                  <c:v>JAN.24</c:v>
                </c:pt>
                <c:pt idx="115">
                  <c:v>JAN.24</c:v>
                </c:pt>
                <c:pt idx="116">
                  <c:v>JAN.24</c:v>
                </c:pt>
                <c:pt idx="117">
                  <c:v>JAN.24</c:v>
                </c:pt>
                <c:pt idx="118">
                  <c:v>JAN.24</c:v>
                </c:pt>
                <c:pt idx="119">
                  <c:v>JAN.24</c:v>
                </c:pt>
                <c:pt idx="120">
                  <c:v>JAN.24</c:v>
                </c:pt>
                <c:pt idx="121">
                  <c:v>JAN.24</c:v>
                </c:pt>
                <c:pt idx="122">
                  <c:v>JAN.24</c:v>
                </c:pt>
                <c:pt idx="123">
                  <c:v>JAN.24</c:v>
                </c:pt>
                <c:pt idx="124">
                  <c:v>JAN.24</c:v>
                </c:pt>
                <c:pt idx="125">
                  <c:v>JAN.24</c:v>
                </c:pt>
                <c:pt idx="126">
                  <c:v>JAN.24</c:v>
                </c:pt>
                <c:pt idx="127">
                  <c:v>JAN.24</c:v>
                </c:pt>
                <c:pt idx="128">
                  <c:v>JAN.24</c:v>
                </c:pt>
                <c:pt idx="129">
                  <c:v>JAN.24</c:v>
                </c:pt>
                <c:pt idx="130">
                  <c:v>JAN.24</c:v>
                </c:pt>
                <c:pt idx="131">
                  <c:v>JAN.24</c:v>
                </c:pt>
                <c:pt idx="132">
                  <c:v>JAN.24</c:v>
                </c:pt>
                <c:pt idx="133">
                  <c:v>February 24 live</c:v>
                </c:pt>
                <c:pt idx="134">
                  <c:v>FEB.24</c:v>
                </c:pt>
                <c:pt idx="135">
                  <c:v>FEB.24</c:v>
                </c:pt>
                <c:pt idx="136">
                  <c:v>FEB.24</c:v>
                </c:pt>
                <c:pt idx="137">
                  <c:v>FEB.24</c:v>
                </c:pt>
                <c:pt idx="138">
                  <c:v>FEB.24</c:v>
                </c:pt>
                <c:pt idx="139">
                  <c:v>FEB.24</c:v>
                </c:pt>
                <c:pt idx="140">
                  <c:v>FEB.24</c:v>
                </c:pt>
                <c:pt idx="141">
                  <c:v>FEB.24</c:v>
                </c:pt>
                <c:pt idx="142">
                  <c:v>FEB.24</c:v>
                </c:pt>
                <c:pt idx="143">
                  <c:v>FEB.24</c:v>
                </c:pt>
                <c:pt idx="144">
                  <c:v>FEB.24</c:v>
                </c:pt>
                <c:pt idx="145">
                  <c:v>FEB.24</c:v>
                </c:pt>
                <c:pt idx="146">
                  <c:v>FEB.24</c:v>
                </c:pt>
                <c:pt idx="147">
                  <c:v>FEB.24</c:v>
                </c:pt>
                <c:pt idx="148">
                  <c:v>FEB.24</c:v>
                </c:pt>
                <c:pt idx="149">
                  <c:v>FEB.24</c:v>
                </c:pt>
                <c:pt idx="150">
                  <c:v>FEB.24</c:v>
                </c:pt>
                <c:pt idx="151">
                  <c:v>FEB.24</c:v>
                </c:pt>
                <c:pt idx="152">
                  <c:v>FEB.24</c:v>
                </c:pt>
                <c:pt idx="153">
                  <c:v>FEB.24</c:v>
                </c:pt>
                <c:pt idx="154">
                  <c:v>FEB.24</c:v>
                </c:pt>
                <c:pt idx="155">
                  <c:v>FEB.24</c:v>
                </c:pt>
                <c:pt idx="156">
                  <c:v>FEB.24</c:v>
                </c:pt>
                <c:pt idx="157">
                  <c:v>FEB.24</c:v>
                </c:pt>
                <c:pt idx="158">
                  <c:v>FEB.24</c:v>
                </c:pt>
                <c:pt idx="159">
                  <c:v>FEB.24</c:v>
                </c:pt>
                <c:pt idx="160">
                  <c:v>FEB.24</c:v>
                </c:pt>
                <c:pt idx="161">
                  <c:v>FEB.24</c:v>
                </c:pt>
                <c:pt idx="162">
                  <c:v>FEB.24</c:v>
                </c:pt>
                <c:pt idx="163">
                  <c:v>FEB.24</c:v>
                </c:pt>
                <c:pt idx="164">
                  <c:v>FEB.24</c:v>
                </c:pt>
                <c:pt idx="165">
                  <c:v>FEB.24</c:v>
                </c:pt>
                <c:pt idx="166">
                  <c:v>FEB.24</c:v>
                </c:pt>
                <c:pt idx="167">
                  <c:v>FEB.24</c:v>
                </c:pt>
                <c:pt idx="168">
                  <c:v>FEB.24</c:v>
                </c:pt>
                <c:pt idx="169">
                  <c:v>FEB.24</c:v>
                </c:pt>
                <c:pt idx="170">
                  <c:v>FEB.24</c:v>
                </c:pt>
                <c:pt idx="171">
                  <c:v>FEB.24</c:v>
                </c:pt>
                <c:pt idx="172">
                  <c:v>FEB.24</c:v>
                </c:pt>
                <c:pt idx="173">
                  <c:v>FEB.24</c:v>
                </c:pt>
                <c:pt idx="174">
                  <c:v>FEB.24</c:v>
                </c:pt>
                <c:pt idx="175">
                  <c:v>FEB.24</c:v>
                </c:pt>
                <c:pt idx="176">
                  <c:v>FEB.24</c:v>
                </c:pt>
                <c:pt idx="177">
                  <c:v>FEB.24</c:v>
                </c:pt>
                <c:pt idx="178">
                  <c:v>FEB.24</c:v>
                </c:pt>
                <c:pt idx="179">
                  <c:v>FEB.24</c:v>
                </c:pt>
                <c:pt idx="180">
                  <c:v>FEB.24</c:v>
                </c:pt>
                <c:pt idx="181">
                  <c:v>FEB.24</c:v>
                </c:pt>
                <c:pt idx="182">
                  <c:v>FEB.24</c:v>
                </c:pt>
                <c:pt idx="183">
                  <c:v>FEB.24</c:v>
                </c:pt>
                <c:pt idx="184">
                  <c:v>FEB.24</c:v>
                </c:pt>
                <c:pt idx="185">
                  <c:v>FEB.24</c:v>
                </c:pt>
                <c:pt idx="186">
                  <c:v>FEB.24</c:v>
                </c:pt>
                <c:pt idx="187">
                  <c:v>FEB.24</c:v>
                </c:pt>
                <c:pt idx="188">
                  <c:v>FEB.24</c:v>
                </c:pt>
                <c:pt idx="189">
                  <c:v>FEB.24</c:v>
                </c:pt>
                <c:pt idx="190">
                  <c:v>FEB.24</c:v>
                </c:pt>
                <c:pt idx="191">
                  <c:v>FEB.24</c:v>
                </c:pt>
                <c:pt idx="192">
                  <c:v>FEB.24</c:v>
                </c:pt>
                <c:pt idx="193">
                  <c:v>FEB.24</c:v>
                </c:pt>
                <c:pt idx="194">
                  <c:v>FEB.24</c:v>
                </c:pt>
                <c:pt idx="195">
                  <c:v>FEB.24</c:v>
                </c:pt>
                <c:pt idx="196">
                  <c:v>FEB.24</c:v>
                </c:pt>
                <c:pt idx="197">
                  <c:v>FEB.24</c:v>
                </c:pt>
                <c:pt idx="198">
                  <c:v>FEB.24</c:v>
                </c:pt>
                <c:pt idx="199">
                  <c:v>FEB.24</c:v>
                </c:pt>
                <c:pt idx="200">
                  <c:v>FEB.24</c:v>
                </c:pt>
                <c:pt idx="201">
                  <c:v>FEB.24</c:v>
                </c:pt>
                <c:pt idx="202">
                  <c:v>FEB.24</c:v>
                </c:pt>
                <c:pt idx="203">
                  <c:v>FEB.24</c:v>
                </c:pt>
                <c:pt idx="204">
                  <c:v>FEB.24</c:v>
                </c:pt>
                <c:pt idx="205">
                  <c:v>FEB.24</c:v>
                </c:pt>
                <c:pt idx="206">
                  <c:v>FEB.24</c:v>
                </c:pt>
                <c:pt idx="207">
                  <c:v>FEB.24</c:v>
                </c:pt>
                <c:pt idx="208">
                  <c:v>FEB.24</c:v>
                </c:pt>
                <c:pt idx="209">
                  <c:v>FEB.24</c:v>
                </c:pt>
                <c:pt idx="210">
                  <c:v>FEB.24</c:v>
                </c:pt>
                <c:pt idx="211">
                  <c:v>FEB.24</c:v>
                </c:pt>
                <c:pt idx="212">
                  <c:v>FEB.24</c:v>
                </c:pt>
                <c:pt idx="213">
                  <c:v>FEB.24</c:v>
                </c:pt>
                <c:pt idx="214">
                  <c:v>FEB.24</c:v>
                </c:pt>
                <c:pt idx="215">
                  <c:v>FEB.24</c:v>
                </c:pt>
                <c:pt idx="216">
                  <c:v>FEB.24</c:v>
                </c:pt>
                <c:pt idx="217">
                  <c:v>FEB.24</c:v>
                </c:pt>
                <c:pt idx="218">
                  <c:v>FEB.24</c:v>
                </c:pt>
                <c:pt idx="219">
                  <c:v>FEB.24</c:v>
                </c:pt>
                <c:pt idx="220">
                  <c:v>FEB.24</c:v>
                </c:pt>
                <c:pt idx="221">
                  <c:v>FEB.24</c:v>
                </c:pt>
                <c:pt idx="222">
                  <c:v>FEB.24</c:v>
                </c:pt>
                <c:pt idx="223">
                  <c:v>FEB.24</c:v>
                </c:pt>
                <c:pt idx="224">
                  <c:v>FEB.24</c:v>
                </c:pt>
                <c:pt idx="225">
                  <c:v>FEB.24</c:v>
                </c:pt>
                <c:pt idx="226">
                  <c:v>FEB.24</c:v>
                </c:pt>
                <c:pt idx="227">
                  <c:v>FEB.24</c:v>
                </c:pt>
                <c:pt idx="228">
                  <c:v>FEB.24</c:v>
                </c:pt>
                <c:pt idx="229">
                  <c:v>FEB.24</c:v>
                </c:pt>
                <c:pt idx="230">
                  <c:v>FEB.24</c:v>
                </c:pt>
                <c:pt idx="231">
                  <c:v>FEB.24</c:v>
                </c:pt>
                <c:pt idx="232">
                  <c:v>FEB.24</c:v>
                </c:pt>
                <c:pt idx="233">
                  <c:v>FEB.24</c:v>
                </c:pt>
                <c:pt idx="234">
                  <c:v>FEB.24</c:v>
                </c:pt>
                <c:pt idx="235">
                  <c:v>FEB.24</c:v>
                </c:pt>
                <c:pt idx="236">
                  <c:v>FEB.24</c:v>
                </c:pt>
                <c:pt idx="237">
                  <c:v>FEB.24</c:v>
                </c:pt>
                <c:pt idx="238">
                  <c:v>FEB.24</c:v>
                </c:pt>
                <c:pt idx="239">
                  <c:v>FEB.24</c:v>
                </c:pt>
                <c:pt idx="240">
                  <c:v>FEB.24</c:v>
                </c:pt>
                <c:pt idx="241">
                  <c:v>FEB.24</c:v>
                </c:pt>
                <c:pt idx="242">
                  <c:v>FEB.24</c:v>
                </c:pt>
                <c:pt idx="243">
                  <c:v>FEB.24</c:v>
                </c:pt>
                <c:pt idx="244">
                  <c:v>FEB.24</c:v>
                </c:pt>
                <c:pt idx="245">
                  <c:v>FEB.24</c:v>
                </c:pt>
                <c:pt idx="246">
                  <c:v>FEB.24</c:v>
                </c:pt>
                <c:pt idx="247">
                  <c:v>FEB.24</c:v>
                </c:pt>
                <c:pt idx="248">
                  <c:v>FEB.24</c:v>
                </c:pt>
                <c:pt idx="249">
                  <c:v>FEB.24</c:v>
                </c:pt>
                <c:pt idx="250">
                  <c:v>FEB.24</c:v>
                </c:pt>
                <c:pt idx="251">
                  <c:v>FEB.24</c:v>
                </c:pt>
                <c:pt idx="252">
                  <c:v>FEB.24</c:v>
                </c:pt>
                <c:pt idx="253">
                  <c:v>March 24 live</c:v>
                </c:pt>
                <c:pt idx="254">
                  <c:v>MAR.24</c:v>
                </c:pt>
                <c:pt idx="255">
                  <c:v>MAR.24</c:v>
                </c:pt>
                <c:pt idx="256">
                  <c:v>MAR.24</c:v>
                </c:pt>
                <c:pt idx="257">
                  <c:v>MAR.24</c:v>
                </c:pt>
                <c:pt idx="258">
                  <c:v>MAR.24</c:v>
                </c:pt>
                <c:pt idx="259">
                  <c:v>MAR.24</c:v>
                </c:pt>
                <c:pt idx="260">
                  <c:v>MAR.24</c:v>
                </c:pt>
                <c:pt idx="261">
                  <c:v>MAR.24</c:v>
                </c:pt>
                <c:pt idx="262">
                  <c:v>MAR.24</c:v>
                </c:pt>
                <c:pt idx="263">
                  <c:v>MAR.24</c:v>
                </c:pt>
                <c:pt idx="264">
                  <c:v>MAR.24</c:v>
                </c:pt>
                <c:pt idx="265">
                  <c:v>MAR.24</c:v>
                </c:pt>
                <c:pt idx="266">
                  <c:v>MAR.24</c:v>
                </c:pt>
                <c:pt idx="267">
                  <c:v>MAR.24</c:v>
                </c:pt>
                <c:pt idx="268">
                  <c:v>MAR.24</c:v>
                </c:pt>
                <c:pt idx="269">
                  <c:v>MAR.24</c:v>
                </c:pt>
                <c:pt idx="270">
                  <c:v>MAR.24</c:v>
                </c:pt>
                <c:pt idx="271">
                  <c:v>MAR.24</c:v>
                </c:pt>
                <c:pt idx="272">
                  <c:v>MAR.24</c:v>
                </c:pt>
                <c:pt idx="273">
                  <c:v>MAR.24</c:v>
                </c:pt>
                <c:pt idx="274">
                  <c:v>MAR.24</c:v>
                </c:pt>
                <c:pt idx="275">
                  <c:v>MAR.24</c:v>
                </c:pt>
                <c:pt idx="276">
                  <c:v>MAR.24</c:v>
                </c:pt>
                <c:pt idx="277">
                  <c:v>MAR.24</c:v>
                </c:pt>
                <c:pt idx="278">
                  <c:v>MAR.24</c:v>
                </c:pt>
                <c:pt idx="279">
                  <c:v>MAR.24</c:v>
                </c:pt>
                <c:pt idx="280">
                  <c:v>MAR.24</c:v>
                </c:pt>
                <c:pt idx="281">
                  <c:v>MAR.24</c:v>
                </c:pt>
                <c:pt idx="282">
                  <c:v>MAR.24</c:v>
                </c:pt>
                <c:pt idx="283">
                  <c:v>MAR.24</c:v>
                </c:pt>
                <c:pt idx="284">
                  <c:v>MAR.24</c:v>
                </c:pt>
                <c:pt idx="285">
                  <c:v>MAR.24</c:v>
                </c:pt>
                <c:pt idx="286">
                  <c:v>MAR.24</c:v>
                </c:pt>
                <c:pt idx="287">
                  <c:v>MAR.24</c:v>
                </c:pt>
                <c:pt idx="288">
                  <c:v>MAR.24</c:v>
                </c:pt>
                <c:pt idx="289">
                  <c:v>MAR.24</c:v>
                </c:pt>
                <c:pt idx="290">
                  <c:v>MAR.24</c:v>
                </c:pt>
                <c:pt idx="291">
                  <c:v>MAR.24</c:v>
                </c:pt>
                <c:pt idx="292">
                  <c:v>MAR.24</c:v>
                </c:pt>
                <c:pt idx="293">
                  <c:v>MAR.24</c:v>
                </c:pt>
                <c:pt idx="294">
                  <c:v>MAR.24</c:v>
                </c:pt>
                <c:pt idx="295">
                  <c:v>MAR.24</c:v>
                </c:pt>
                <c:pt idx="296">
                  <c:v>MAR.24</c:v>
                </c:pt>
                <c:pt idx="297">
                  <c:v>MAR.24</c:v>
                </c:pt>
                <c:pt idx="298">
                  <c:v>MAR.24</c:v>
                </c:pt>
                <c:pt idx="299">
                  <c:v>MAR.24</c:v>
                </c:pt>
                <c:pt idx="300">
                  <c:v>MAR.24</c:v>
                </c:pt>
                <c:pt idx="301">
                  <c:v>MAR.24</c:v>
                </c:pt>
                <c:pt idx="302">
                  <c:v>MAR.24</c:v>
                </c:pt>
                <c:pt idx="303">
                  <c:v>MAR.24</c:v>
                </c:pt>
                <c:pt idx="304">
                  <c:v>MAR.24</c:v>
                </c:pt>
                <c:pt idx="305">
                  <c:v>MAR.24</c:v>
                </c:pt>
                <c:pt idx="306">
                  <c:v>MAR.24</c:v>
                </c:pt>
                <c:pt idx="307">
                  <c:v>MAR.24</c:v>
                </c:pt>
                <c:pt idx="308">
                  <c:v>MAR.24</c:v>
                </c:pt>
                <c:pt idx="309">
                  <c:v>MAR.24</c:v>
                </c:pt>
                <c:pt idx="310">
                  <c:v>MAR.24</c:v>
                </c:pt>
                <c:pt idx="311">
                  <c:v>MAR.24</c:v>
                </c:pt>
                <c:pt idx="312">
                  <c:v>MAR.24</c:v>
                </c:pt>
                <c:pt idx="313">
                  <c:v>MAR.24</c:v>
                </c:pt>
                <c:pt idx="314">
                  <c:v>MAR.24</c:v>
                </c:pt>
                <c:pt idx="315">
                  <c:v>MAR.24</c:v>
                </c:pt>
                <c:pt idx="316">
                  <c:v>MAR.24</c:v>
                </c:pt>
                <c:pt idx="317">
                  <c:v>MAR.24</c:v>
                </c:pt>
                <c:pt idx="318">
                  <c:v>MAR.24</c:v>
                </c:pt>
                <c:pt idx="319">
                  <c:v>MAR.24</c:v>
                </c:pt>
                <c:pt idx="320">
                  <c:v>MAR.24</c:v>
                </c:pt>
                <c:pt idx="321">
                  <c:v>MAR.24</c:v>
                </c:pt>
                <c:pt idx="322">
                  <c:v>MAR.24</c:v>
                </c:pt>
                <c:pt idx="323">
                  <c:v>MAR.24</c:v>
                </c:pt>
                <c:pt idx="324">
                  <c:v>MAR.24</c:v>
                </c:pt>
                <c:pt idx="325">
                  <c:v>MAR.24</c:v>
                </c:pt>
                <c:pt idx="326">
                  <c:v>MAR.24</c:v>
                </c:pt>
                <c:pt idx="327">
                  <c:v>MAR.24</c:v>
                </c:pt>
                <c:pt idx="328">
                  <c:v>MAR.24</c:v>
                </c:pt>
                <c:pt idx="329">
                  <c:v>MAR.24</c:v>
                </c:pt>
                <c:pt idx="330">
                  <c:v>MAR.24</c:v>
                </c:pt>
                <c:pt idx="331">
                  <c:v>MAR.24</c:v>
                </c:pt>
                <c:pt idx="332">
                  <c:v>MAR.24</c:v>
                </c:pt>
                <c:pt idx="333">
                  <c:v>MAR.24</c:v>
                </c:pt>
                <c:pt idx="334">
                  <c:v>MAR.24</c:v>
                </c:pt>
                <c:pt idx="335">
                  <c:v>MAR.24</c:v>
                </c:pt>
                <c:pt idx="336">
                  <c:v>MAR.24</c:v>
                </c:pt>
                <c:pt idx="337">
                  <c:v>MAR.24</c:v>
                </c:pt>
                <c:pt idx="338">
                  <c:v>MAR.24</c:v>
                </c:pt>
                <c:pt idx="339">
                  <c:v>MAR.24</c:v>
                </c:pt>
                <c:pt idx="340">
                  <c:v>MAR.24</c:v>
                </c:pt>
                <c:pt idx="341">
                  <c:v>MAR.24</c:v>
                </c:pt>
                <c:pt idx="342">
                  <c:v>MAR.24</c:v>
                </c:pt>
                <c:pt idx="343">
                  <c:v>MAR.24</c:v>
                </c:pt>
                <c:pt idx="344">
                  <c:v>MAR.24</c:v>
                </c:pt>
                <c:pt idx="345">
                  <c:v>MAR.24</c:v>
                </c:pt>
                <c:pt idx="346">
                  <c:v>April 24 live</c:v>
                </c:pt>
                <c:pt idx="347">
                  <c:v>APR.24</c:v>
                </c:pt>
                <c:pt idx="348">
                  <c:v>APR.24</c:v>
                </c:pt>
                <c:pt idx="349">
                  <c:v>APR.24</c:v>
                </c:pt>
                <c:pt idx="350">
                  <c:v>APR.24</c:v>
                </c:pt>
                <c:pt idx="351">
                  <c:v>APR.24</c:v>
                </c:pt>
                <c:pt idx="352">
                  <c:v>APR.24</c:v>
                </c:pt>
                <c:pt idx="353">
                  <c:v>APR.24</c:v>
                </c:pt>
                <c:pt idx="354">
                  <c:v>APR.24</c:v>
                </c:pt>
                <c:pt idx="355">
                  <c:v>APR.24</c:v>
                </c:pt>
                <c:pt idx="356">
                  <c:v>APR.24</c:v>
                </c:pt>
                <c:pt idx="357">
                  <c:v>APR.24</c:v>
                </c:pt>
                <c:pt idx="358">
                  <c:v>APR.24</c:v>
                </c:pt>
                <c:pt idx="359">
                  <c:v>APR.24</c:v>
                </c:pt>
                <c:pt idx="360">
                  <c:v>APR.24</c:v>
                </c:pt>
                <c:pt idx="361">
                  <c:v>APR.24</c:v>
                </c:pt>
                <c:pt idx="362">
                  <c:v>APR.24</c:v>
                </c:pt>
                <c:pt idx="363">
                  <c:v>APR.24</c:v>
                </c:pt>
                <c:pt idx="364">
                  <c:v>APR.24</c:v>
                </c:pt>
                <c:pt idx="365">
                  <c:v>APR.24</c:v>
                </c:pt>
                <c:pt idx="366">
                  <c:v>APR.24</c:v>
                </c:pt>
                <c:pt idx="367">
                  <c:v>APR.24</c:v>
                </c:pt>
                <c:pt idx="368">
                  <c:v>APR.24</c:v>
                </c:pt>
                <c:pt idx="369">
                  <c:v>APR.24</c:v>
                </c:pt>
                <c:pt idx="370">
                  <c:v>APR.24</c:v>
                </c:pt>
                <c:pt idx="371">
                  <c:v>APR.24</c:v>
                </c:pt>
                <c:pt idx="372">
                  <c:v>APR.24</c:v>
                </c:pt>
                <c:pt idx="373">
                  <c:v>APR.24</c:v>
                </c:pt>
                <c:pt idx="374">
                  <c:v>APR.24</c:v>
                </c:pt>
                <c:pt idx="375">
                  <c:v>APR.24</c:v>
                </c:pt>
                <c:pt idx="376">
                  <c:v>APR.24</c:v>
                </c:pt>
                <c:pt idx="377">
                  <c:v>APR.24</c:v>
                </c:pt>
                <c:pt idx="378">
                  <c:v>APR.24</c:v>
                </c:pt>
                <c:pt idx="379">
                  <c:v>APR.24</c:v>
                </c:pt>
                <c:pt idx="380">
                  <c:v>APR.24</c:v>
                </c:pt>
                <c:pt idx="381">
                  <c:v>APR.24</c:v>
                </c:pt>
                <c:pt idx="382">
                  <c:v>APR.24</c:v>
                </c:pt>
                <c:pt idx="383">
                  <c:v>APR.24</c:v>
                </c:pt>
                <c:pt idx="384">
                  <c:v>APR.24</c:v>
                </c:pt>
                <c:pt idx="385">
                  <c:v>APR.24</c:v>
                </c:pt>
                <c:pt idx="386">
                  <c:v>APR.24</c:v>
                </c:pt>
                <c:pt idx="387">
                  <c:v>APR.24</c:v>
                </c:pt>
                <c:pt idx="388">
                  <c:v>APR.24</c:v>
                </c:pt>
                <c:pt idx="389">
                  <c:v>APR.24</c:v>
                </c:pt>
                <c:pt idx="390">
                  <c:v>APR.24</c:v>
                </c:pt>
                <c:pt idx="391">
                  <c:v>APR.24</c:v>
                </c:pt>
                <c:pt idx="392">
                  <c:v>APR.24</c:v>
                </c:pt>
                <c:pt idx="393">
                  <c:v>APR.24</c:v>
                </c:pt>
                <c:pt idx="394">
                  <c:v>APR.24</c:v>
                </c:pt>
                <c:pt idx="395">
                  <c:v>APR.24</c:v>
                </c:pt>
                <c:pt idx="396">
                  <c:v>APR.24</c:v>
                </c:pt>
                <c:pt idx="397">
                  <c:v>APR.24</c:v>
                </c:pt>
                <c:pt idx="398">
                  <c:v>APR.24</c:v>
                </c:pt>
                <c:pt idx="399">
                  <c:v>APR.24</c:v>
                </c:pt>
                <c:pt idx="400">
                  <c:v>APR.24</c:v>
                </c:pt>
                <c:pt idx="401">
                  <c:v>APR.24</c:v>
                </c:pt>
                <c:pt idx="402">
                  <c:v>APR.24</c:v>
                </c:pt>
                <c:pt idx="403">
                  <c:v>APR.24</c:v>
                </c:pt>
                <c:pt idx="404">
                  <c:v>APR.24</c:v>
                </c:pt>
                <c:pt idx="405">
                  <c:v>APR.24</c:v>
                </c:pt>
                <c:pt idx="406">
                  <c:v>APR.24</c:v>
                </c:pt>
                <c:pt idx="407">
                  <c:v>APR.24</c:v>
                </c:pt>
                <c:pt idx="408">
                  <c:v>APR.24</c:v>
                </c:pt>
                <c:pt idx="409">
                  <c:v>APR.24</c:v>
                </c:pt>
                <c:pt idx="410">
                  <c:v>APR.24</c:v>
                </c:pt>
                <c:pt idx="411">
                  <c:v>APR.24</c:v>
                </c:pt>
                <c:pt idx="412">
                  <c:v>APR.24</c:v>
                </c:pt>
                <c:pt idx="413">
                  <c:v>APR.24</c:v>
                </c:pt>
                <c:pt idx="414">
                  <c:v>APR.24</c:v>
                </c:pt>
                <c:pt idx="415">
                  <c:v>APR.24</c:v>
                </c:pt>
                <c:pt idx="416">
                  <c:v>APR.24</c:v>
                </c:pt>
                <c:pt idx="417">
                  <c:v>APR.24</c:v>
                </c:pt>
                <c:pt idx="418">
                  <c:v>APR.24</c:v>
                </c:pt>
                <c:pt idx="419">
                  <c:v>APR.24</c:v>
                </c:pt>
                <c:pt idx="420">
                  <c:v>APR.24</c:v>
                </c:pt>
                <c:pt idx="421">
                  <c:v>APR.24</c:v>
                </c:pt>
                <c:pt idx="422">
                  <c:v>APR.24</c:v>
                </c:pt>
                <c:pt idx="423">
                  <c:v>APR.24</c:v>
                </c:pt>
                <c:pt idx="424">
                  <c:v>APR.24</c:v>
                </c:pt>
                <c:pt idx="425">
                  <c:v>APR.24</c:v>
                </c:pt>
                <c:pt idx="426">
                  <c:v>APR.24</c:v>
                </c:pt>
                <c:pt idx="427">
                  <c:v>APR.24</c:v>
                </c:pt>
                <c:pt idx="428">
                  <c:v>APR.24</c:v>
                </c:pt>
                <c:pt idx="429">
                  <c:v>APR.24</c:v>
                </c:pt>
                <c:pt idx="430">
                  <c:v>APR.24</c:v>
                </c:pt>
                <c:pt idx="431">
                  <c:v>APR.24</c:v>
                </c:pt>
                <c:pt idx="432">
                  <c:v>APR.24</c:v>
                </c:pt>
                <c:pt idx="433">
                  <c:v>APR.24</c:v>
                </c:pt>
                <c:pt idx="434">
                  <c:v>APR.24</c:v>
                </c:pt>
                <c:pt idx="435">
                  <c:v>APR.24</c:v>
                </c:pt>
                <c:pt idx="436">
                  <c:v>APR.24</c:v>
                </c:pt>
                <c:pt idx="437">
                  <c:v>APR.24</c:v>
                </c:pt>
                <c:pt idx="438">
                  <c:v>APR.24</c:v>
                </c:pt>
                <c:pt idx="439">
                  <c:v>APR.24</c:v>
                </c:pt>
                <c:pt idx="440">
                  <c:v>APR.24</c:v>
                </c:pt>
                <c:pt idx="441">
                  <c:v>APR.24</c:v>
                </c:pt>
                <c:pt idx="442">
                  <c:v>APR.24</c:v>
                </c:pt>
                <c:pt idx="443">
                  <c:v>APR.24</c:v>
                </c:pt>
                <c:pt idx="444">
                  <c:v>APR.24</c:v>
                </c:pt>
                <c:pt idx="445">
                  <c:v>APR.24</c:v>
                </c:pt>
                <c:pt idx="446">
                  <c:v>APR.24</c:v>
                </c:pt>
                <c:pt idx="447">
                  <c:v>APR.24</c:v>
                </c:pt>
                <c:pt idx="448">
                  <c:v>APR.24</c:v>
                </c:pt>
                <c:pt idx="449">
                  <c:v>APR.24</c:v>
                </c:pt>
                <c:pt idx="450">
                  <c:v>APR.24</c:v>
                </c:pt>
                <c:pt idx="451">
                  <c:v>APR.24</c:v>
                </c:pt>
                <c:pt idx="452">
                  <c:v>APR.24</c:v>
                </c:pt>
                <c:pt idx="453">
                  <c:v>APR.24</c:v>
                </c:pt>
                <c:pt idx="454">
                  <c:v>APR.24</c:v>
                </c:pt>
                <c:pt idx="455">
                  <c:v>APR.24</c:v>
                </c:pt>
                <c:pt idx="456">
                  <c:v>APR.24</c:v>
                </c:pt>
                <c:pt idx="457">
                  <c:v>APR.24</c:v>
                </c:pt>
                <c:pt idx="458">
                  <c:v>APR.24</c:v>
                </c:pt>
                <c:pt idx="459">
                  <c:v>APR.24</c:v>
                </c:pt>
                <c:pt idx="460">
                  <c:v>APR.24</c:v>
                </c:pt>
                <c:pt idx="461">
                  <c:v>APR.24</c:v>
                </c:pt>
                <c:pt idx="462">
                  <c:v>APR.24</c:v>
                </c:pt>
                <c:pt idx="463">
                  <c:v>APR.24</c:v>
                </c:pt>
                <c:pt idx="464">
                  <c:v>APR.24</c:v>
                </c:pt>
                <c:pt idx="465">
                  <c:v>APR.24</c:v>
                </c:pt>
                <c:pt idx="466">
                  <c:v>APR.24</c:v>
                </c:pt>
                <c:pt idx="467">
                  <c:v>APR.24</c:v>
                </c:pt>
                <c:pt idx="468">
                  <c:v>APR.24</c:v>
                </c:pt>
                <c:pt idx="469">
                  <c:v>APR.24</c:v>
                </c:pt>
                <c:pt idx="470">
                  <c:v>APR.24</c:v>
                </c:pt>
                <c:pt idx="471">
                  <c:v>APR.24</c:v>
                </c:pt>
                <c:pt idx="472">
                  <c:v>APR.24</c:v>
                </c:pt>
                <c:pt idx="473">
                  <c:v>APR.24</c:v>
                </c:pt>
                <c:pt idx="474">
                  <c:v>APR.24</c:v>
                </c:pt>
                <c:pt idx="475">
                  <c:v>APR.24</c:v>
                </c:pt>
                <c:pt idx="476">
                  <c:v>APR.24</c:v>
                </c:pt>
                <c:pt idx="477">
                  <c:v>APR.24</c:v>
                </c:pt>
                <c:pt idx="478">
                  <c:v>APR.24</c:v>
                </c:pt>
                <c:pt idx="479">
                  <c:v>APR.24</c:v>
                </c:pt>
                <c:pt idx="480">
                  <c:v>APR.24</c:v>
                </c:pt>
                <c:pt idx="481">
                  <c:v>APR.24</c:v>
                </c:pt>
                <c:pt idx="482">
                  <c:v>APR.24</c:v>
                </c:pt>
                <c:pt idx="483">
                  <c:v>APR.24</c:v>
                </c:pt>
                <c:pt idx="484">
                  <c:v>APR.24</c:v>
                </c:pt>
                <c:pt idx="485">
                  <c:v>APR.24</c:v>
                </c:pt>
                <c:pt idx="486">
                  <c:v>APR.24</c:v>
                </c:pt>
                <c:pt idx="487">
                  <c:v>APR.24</c:v>
                </c:pt>
                <c:pt idx="488">
                  <c:v>APR.24</c:v>
                </c:pt>
                <c:pt idx="489">
                  <c:v>APR.24</c:v>
                </c:pt>
                <c:pt idx="490">
                  <c:v>APR.24</c:v>
                </c:pt>
                <c:pt idx="491">
                  <c:v>APR.24</c:v>
                </c:pt>
                <c:pt idx="492">
                  <c:v>APR.24</c:v>
                </c:pt>
                <c:pt idx="493">
                  <c:v>APR.24</c:v>
                </c:pt>
                <c:pt idx="494">
                  <c:v>APR.24</c:v>
                </c:pt>
                <c:pt idx="495">
                  <c:v>APR.24</c:v>
                </c:pt>
                <c:pt idx="496">
                  <c:v>APR.24</c:v>
                </c:pt>
                <c:pt idx="497">
                  <c:v>APR.24</c:v>
                </c:pt>
                <c:pt idx="498">
                  <c:v>APR.24</c:v>
                </c:pt>
                <c:pt idx="499">
                  <c:v>APR.24</c:v>
                </c:pt>
                <c:pt idx="500">
                  <c:v>APR.24</c:v>
                </c:pt>
                <c:pt idx="501">
                  <c:v>APR.24</c:v>
                </c:pt>
                <c:pt idx="502">
                  <c:v>APR.24</c:v>
                </c:pt>
                <c:pt idx="503">
                  <c:v>APR.24</c:v>
                </c:pt>
                <c:pt idx="504">
                  <c:v>APR.24</c:v>
                </c:pt>
                <c:pt idx="505">
                  <c:v>APR.24</c:v>
                </c:pt>
                <c:pt idx="506">
                  <c:v>APR.24</c:v>
                </c:pt>
                <c:pt idx="507">
                  <c:v>APR.24</c:v>
                </c:pt>
                <c:pt idx="508">
                  <c:v>APR.24</c:v>
                </c:pt>
                <c:pt idx="509">
                  <c:v>APR.24</c:v>
                </c:pt>
                <c:pt idx="510">
                  <c:v>APR.24</c:v>
                </c:pt>
                <c:pt idx="511">
                  <c:v>APR.24</c:v>
                </c:pt>
                <c:pt idx="512">
                  <c:v>APR.24</c:v>
                </c:pt>
                <c:pt idx="513">
                  <c:v>APR.24</c:v>
                </c:pt>
                <c:pt idx="514">
                  <c:v>APR.24</c:v>
                </c:pt>
                <c:pt idx="515">
                  <c:v>APR.24</c:v>
                </c:pt>
                <c:pt idx="516">
                  <c:v>APR.24</c:v>
                </c:pt>
                <c:pt idx="517">
                  <c:v>APR.24</c:v>
                </c:pt>
                <c:pt idx="518">
                  <c:v>APR.24</c:v>
                </c:pt>
                <c:pt idx="519">
                  <c:v>APR.24</c:v>
                </c:pt>
                <c:pt idx="520">
                  <c:v>APR.24</c:v>
                </c:pt>
                <c:pt idx="521">
                  <c:v>APR.24</c:v>
                </c:pt>
                <c:pt idx="522">
                  <c:v>APR.24</c:v>
                </c:pt>
                <c:pt idx="523">
                  <c:v>APR.24</c:v>
                </c:pt>
                <c:pt idx="524">
                  <c:v>APR.24</c:v>
                </c:pt>
                <c:pt idx="525">
                  <c:v>APR.24</c:v>
                </c:pt>
                <c:pt idx="526">
                  <c:v>APR.24</c:v>
                </c:pt>
                <c:pt idx="527">
                  <c:v>APR.24</c:v>
                </c:pt>
                <c:pt idx="528">
                  <c:v>APR.24</c:v>
                </c:pt>
                <c:pt idx="529">
                  <c:v>APR.24</c:v>
                </c:pt>
                <c:pt idx="530">
                  <c:v>APR.24</c:v>
                </c:pt>
                <c:pt idx="531">
                  <c:v>APR.24</c:v>
                </c:pt>
                <c:pt idx="532">
                  <c:v>APR.24</c:v>
                </c:pt>
                <c:pt idx="533">
                  <c:v>APR.24</c:v>
                </c:pt>
                <c:pt idx="534">
                  <c:v>APR.24</c:v>
                </c:pt>
                <c:pt idx="535">
                  <c:v>APR.24</c:v>
                </c:pt>
                <c:pt idx="536">
                  <c:v>APR.24</c:v>
                </c:pt>
                <c:pt idx="537">
                  <c:v>May 24 live</c:v>
                </c:pt>
                <c:pt idx="538">
                  <c:v>MAY.24</c:v>
                </c:pt>
                <c:pt idx="539">
                  <c:v>MAY.24</c:v>
                </c:pt>
                <c:pt idx="540">
                  <c:v>MAY.24</c:v>
                </c:pt>
                <c:pt idx="541">
                  <c:v>MAY.24</c:v>
                </c:pt>
                <c:pt idx="542">
                  <c:v>MAY.24</c:v>
                </c:pt>
                <c:pt idx="543">
                  <c:v>MAY.24</c:v>
                </c:pt>
                <c:pt idx="544">
                  <c:v>MAY.24</c:v>
                </c:pt>
                <c:pt idx="545">
                  <c:v>MAY.24</c:v>
                </c:pt>
                <c:pt idx="546">
                  <c:v>MAY.24</c:v>
                </c:pt>
                <c:pt idx="547">
                  <c:v>MAY.24</c:v>
                </c:pt>
                <c:pt idx="548">
                  <c:v>MAY.24</c:v>
                </c:pt>
                <c:pt idx="549">
                  <c:v>MAY.24</c:v>
                </c:pt>
                <c:pt idx="550">
                  <c:v>MAY.24</c:v>
                </c:pt>
                <c:pt idx="551">
                  <c:v>MAY.24</c:v>
                </c:pt>
                <c:pt idx="552">
                  <c:v>MAY.24</c:v>
                </c:pt>
                <c:pt idx="553">
                  <c:v>MAY.24</c:v>
                </c:pt>
                <c:pt idx="554">
                  <c:v>MAY.24</c:v>
                </c:pt>
                <c:pt idx="555">
                  <c:v>MAY.24</c:v>
                </c:pt>
                <c:pt idx="556">
                  <c:v>MAY.24</c:v>
                </c:pt>
                <c:pt idx="557">
                  <c:v>MAY.24</c:v>
                </c:pt>
                <c:pt idx="558">
                  <c:v>MAY.24</c:v>
                </c:pt>
                <c:pt idx="559">
                  <c:v>MAY.24</c:v>
                </c:pt>
                <c:pt idx="560">
                  <c:v>MAY.24</c:v>
                </c:pt>
                <c:pt idx="561">
                  <c:v>MAY.24</c:v>
                </c:pt>
                <c:pt idx="562">
                  <c:v>MAY.24</c:v>
                </c:pt>
                <c:pt idx="563">
                  <c:v>MAY.24</c:v>
                </c:pt>
                <c:pt idx="564">
                  <c:v>MAY.24</c:v>
                </c:pt>
                <c:pt idx="565">
                  <c:v>MAY.24</c:v>
                </c:pt>
                <c:pt idx="566">
                  <c:v>MAY.24</c:v>
                </c:pt>
                <c:pt idx="567">
                  <c:v>MAY.24</c:v>
                </c:pt>
                <c:pt idx="568">
                  <c:v>MAY.24</c:v>
                </c:pt>
                <c:pt idx="569">
                  <c:v>MAY.24</c:v>
                </c:pt>
                <c:pt idx="570">
                  <c:v>MAY.24</c:v>
                </c:pt>
                <c:pt idx="571">
                  <c:v>MAY.24</c:v>
                </c:pt>
                <c:pt idx="572">
                  <c:v>MAY.24</c:v>
                </c:pt>
                <c:pt idx="573">
                  <c:v>MAY.24</c:v>
                </c:pt>
                <c:pt idx="574">
                  <c:v>MAY.24</c:v>
                </c:pt>
                <c:pt idx="575">
                  <c:v>MAY.24</c:v>
                </c:pt>
                <c:pt idx="576">
                  <c:v>MAY.24</c:v>
                </c:pt>
                <c:pt idx="577">
                  <c:v>MAY.24</c:v>
                </c:pt>
                <c:pt idx="578">
                  <c:v>MAY.24</c:v>
                </c:pt>
                <c:pt idx="579">
                  <c:v>MAY.24</c:v>
                </c:pt>
                <c:pt idx="580">
                  <c:v>MAY.24</c:v>
                </c:pt>
                <c:pt idx="581">
                  <c:v>MAY.24</c:v>
                </c:pt>
                <c:pt idx="582">
                  <c:v>MAY.24</c:v>
                </c:pt>
                <c:pt idx="583">
                  <c:v>MAY.24</c:v>
                </c:pt>
                <c:pt idx="584">
                  <c:v>MAY.24</c:v>
                </c:pt>
                <c:pt idx="585">
                  <c:v>MAY.24</c:v>
                </c:pt>
                <c:pt idx="586">
                  <c:v>MAY.24</c:v>
                </c:pt>
                <c:pt idx="587">
                  <c:v>MAY.24</c:v>
                </c:pt>
                <c:pt idx="588">
                  <c:v>MAY.24</c:v>
                </c:pt>
                <c:pt idx="589">
                  <c:v>MAY.24</c:v>
                </c:pt>
                <c:pt idx="590">
                  <c:v>MAY.24</c:v>
                </c:pt>
                <c:pt idx="591">
                  <c:v>MAY.24</c:v>
                </c:pt>
                <c:pt idx="592">
                  <c:v>MAY.24</c:v>
                </c:pt>
                <c:pt idx="593">
                  <c:v>MAY.24</c:v>
                </c:pt>
                <c:pt idx="594">
                  <c:v>MAY.24</c:v>
                </c:pt>
                <c:pt idx="595">
                  <c:v>MAY.24</c:v>
                </c:pt>
                <c:pt idx="596">
                  <c:v>MAY.24</c:v>
                </c:pt>
                <c:pt idx="597">
                  <c:v>MAY.24</c:v>
                </c:pt>
                <c:pt idx="598">
                  <c:v>MAY.24</c:v>
                </c:pt>
                <c:pt idx="599">
                  <c:v>MAY.24</c:v>
                </c:pt>
                <c:pt idx="600">
                  <c:v>MAY.24</c:v>
                </c:pt>
                <c:pt idx="601">
                  <c:v>MAY.24</c:v>
                </c:pt>
                <c:pt idx="602">
                  <c:v>MAY.24</c:v>
                </c:pt>
                <c:pt idx="603">
                  <c:v>MAY.24</c:v>
                </c:pt>
                <c:pt idx="604">
                  <c:v>MAY.24</c:v>
                </c:pt>
                <c:pt idx="605">
                  <c:v>MAY.24</c:v>
                </c:pt>
                <c:pt idx="606">
                  <c:v>MAY.24</c:v>
                </c:pt>
                <c:pt idx="607">
                  <c:v>MAY.24</c:v>
                </c:pt>
                <c:pt idx="608">
                  <c:v>MAY.24</c:v>
                </c:pt>
                <c:pt idx="609">
                  <c:v>MAY.24</c:v>
                </c:pt>
                <c:pt idx="610">
                  <c:v>MAY.24</c:v>
                </c:pt>
                <c:pt idx="611">
                  <c:v>MAY.24</c:v>
                </c:pt>
                <c:pt idx="612">
                  <c:v>MAY.24</c:v>
                </c:pt>
                <c:pt idx="613">
                  <c:v>MAY.24</c:v>
                </c:pt>
                <c:pt idx="614">
                  <c:v>MAY.24</c:v>
                </c:pt>
                <c:pt idx="615">
                  <c:v>MAY.24</c:v>
                </c:pt>
                <c:pt idx="616">
                  <c:v>MAY.24</c:v>
                </c:pt>
                <c:pt idx="617">
                  <c:v>MAY.24</c:v>
                </c:pt>
                <c:pt idx="618">
                  <c:v>MAY.24</c:v>
                </c:pt>
                <c:pt idx="619">
                  <c:v>MAY.24</c:v>
                </c:pt>
                <c:pt idx="620">
                  <c:v>MAY.24</c:v>
                </c:pt>
                <c:pt idx="621">
                  <c:v>MAY.24</c:v>
                </c:pt>
                <c:pt idx="622">
                  <c:v>MAY.24</c:v>
                </c:pt>
                <c:pt idx="623">
                  <c:v>MAY.24</c:v>
                </c:pt>
                <c:pt idx="624">
                  <c:v>MAY.24</c:v>
                </c:pt>
                <c:pt idx="625">
                  <c:v>MAY.24</c:v>
                </c:pt>
                <c:pt idx="626">
                  <c:v>MAY.24</c:v>
                </c:pt>
                <c:pt idx="627">
                  <c:v>MAY.24</c:v>
                </c:pt>
                <c:pt idx="628">
                  <c:v>MAY.24</c:v>
                </c:pt>
                <c:pt idx="629">
                  <c:v>MAY.24</c:v>
                </c:pt>
                <c:pt idx="630">
                  <c:v>MAY.24</c:v>
                </c:pt>
                <c:pt idx="631">
                  <c:v>MAY.24</c:v>
                </c:pt>
                <c:pt idx="632">
                  <c:v>MAY.24</c:v>
                </c:pt>
                <c:pt idx="633">
                  <c:v>MAY.24</c:v>
                </c:pt>
                <c:pt idx="634">
                  <c:v>MAY.24</c:v>
                </c:pt>
                <c:pt idx="635">
                  <c:v>MAY.24</c:v>
                </c:pt>
                <c:pt idx="636">
                  <c:v>MAY.24</c:v>
                </c:pt>
                <c:pt idx="637">
                  <c:v>MAY.24</c:v>
                </c:pt>
                <c:pt idx="638">
                  <c:v>MAY.24</c:v>
                </c:pt>
                <c:pt idx="639">
                  <c:v>MAY.24</c:v>
                </c:pt>
                <c:pt idx="640">
                  <c:v>MAY.24</c:v>
                </c:pt>
                <c:pt idx="641">
                  <c:v>MAY.24</c:v>
                </c:pt>
                <c:pt idx="642">
                  <c:v>MAY.24</c:v>
                </c:pt>
                <c:pt idx="643">
                  <c:v>MAY.24</c:v>
                </c:pt>
                <c:pt idx="644">
                  <c:v>MAY.24</c:v>
                </c:pt>
                <c:pt idx="645">
                  <c:v>MAY.24</c:v>
                </c:pt>
                <c:pt idx="646">
                  <c:v>MAY.24</c:v>
                </c:pt>
                <c:pt idx="647">
                  <c:v>MAY.24</c:v>
                </c:pt>
                <c:pt idx="648">
                  <c:v>MAY.24</c:v>
                </c:pt>
                <c:pt idx="649">
                  <c:v>MAY.24</c:v>
                </c:pt>
                <c:pt idx="650">
                  <c:v>MAY.24</c:v>
                </c:pt>
                <c:pt idx="651">
                  <c:v>MAY.24</c:v>
                </c:pt>
                <c:pt idx="652">
                  <c:v>MAY.24</c:v>
                </c:pt>
                <c:pt idx="653">
                  <c:v>MAY.24</c:v>
                </c:pt>
                <c:pt idx="654">
                  <c:v>MAY.24</c:v>
                </c:pt>
                <c:pt idx="655">
                  <c:v>MAY.24</c:v>
                </c:pt>
                <c:pt idx="656">
                  <c:v>MAY.24</c:v>
                </c:pt>
                <c:pt idx="657">
                  <c:v>MAY.24</c:v>
                </c:pt>
                <c:pt idx="658">
                  <c:v>MAY.24</c:v>
                </c:pt>
                <c:pt idx="659">
                  <c:v>MAY.24</c:v>
                </c:pt>
                <c:pt idx="660">
                  <c:v>MAY.24</c:v>
                </c:pt>
                <c:pt idx="661">
                  <c:v>MAY.24</c:v>
                </c:pt>
                <c:pt idx="662">
                  <c:v>MAY.24</c:v>
                </c:pt>
                <c:pt idx="663">
                  <c:v>MAY.24</c:v>
                </c:pt>
                <c:pt idx="664">
                  <c:v>MAY.24</c:v>
                </c:pt>
                <c:pt idx="665">
                  <c:v>MAY.24</c:v>
                </c:pt>
                <c:pt idx="666">
                  <c:v>MAY.24</c:v>
                </c:pt>
                <c:pt idx="667">
                  <c:v>MAY.24</c:v>
                </c:pt>
                <c:pt idx="668">
                  <c:v>MAY.24</c:v>
                </c:pt>
                <c:pt idx="669">
                  <c:v>MAY.24</c:v>
                </c:pt>
                <c:pt idx="670">
                  <c:v>MAY.24</c:v>
                </c:pt>
                <c:pt idx="671">
                  <c:v>MAY.24</c:v>
                </c:pt>
                <c:pt idx="672">
                  <c:v>MAY.24</c:v>
                </c:pt>
                <c:pt idx="673">
                  <c:v>MAY.24</c:v>
                </c:pt>
                <c:pt idx="674">
                  <c:v>MAY.24</c:v>
                </c:pt>
                <c:pt idx="675">
                  <c:v>MAY.24</c:v>
                </c:pt>
                <c:pt idx="676">
                  <c:v>MAY.24</c:v>
                </c:pt>
                <c:pt idx="677">
                  <c:v>MAY.24</c:v>
                </c:pt>
                <c:pt idx="678">
                  <c:v>MAY.24</c:v>
                </c:pt>
                <c:pt idx="679">
                  <c:v>MAY.24</c:v>
                </c:pt>
                <c:pt idx="680">
                  <c:v>MAY.24</c:v>
                </c:pt>
                <c:pt idx="681">
                  <c:v>MAY.24</c:v>
                </c:pt>
                <c:pt idx="682">
                  <c:v>MAY.24 after disaster</c:v>
                </c:pt>
                <c:pt idx="683">
                  <c:v>MAY.24</c:v>
                </c:pt>
                <c:pt idx="684">
                  <c:v>MAY.24</c:v>
                </c:pt>
                <c:pt idx="685">
                  <c:v>MAY.24</c:v>
                </c:pt>
                <c:pt idx="686">
                  <c:v>MAY.24</c:v>
                </c:pt>
                <c:pt idx="687">
                  <c:v>MAY.24</c:v>
                </c:pt>
                <c:pt idx="688">
                  <c:v>MAY.24</c:v>
                </c:pt>
                <c:pt idx="689">
                  <c:v>MAY.24</c:v>
                </c:pt>
                <c:pt idx="690">
                  <c:v>MAY.24</c:v>
                </c:pt>
                <c:pt idx="691">
                  <c:v>MAY.24</c:v>
                </c:pt>
                <c:pt idx="692">
                  <c:v>MAY.24</c:v>
                </c:pt>
                <c:pt idx="693">
                  <c:v>MAY.24</c:v>
                </c:pt>
                <c:pt idx="694">
                  <c:v>MAY.24</c:v>
                </c:pt>
                <c:pt idx="695">
                  <c:v>MAY.24</c:v>
                </c:pt>
                <c:pt idx="696">
                  <c:v>MAY.24</c:v>
                </c:pt>
                <c:pt idx="697">
                  <c:v>MAY.24 recovery</c:v>
                </c:pt>
                <c:pt idx="698">
                  <c:v>MAY.24</c:v>
                </c:pt>
                <c:pt idx="699">
                  <c:v>MAY.24</c:v>
                </c:pt>
                <c:pt idx="700">
                  <c:v>MAY.24</c:v>
                </c:pt>
                <c:pt idx="701">
                  <c:v>MAY.24</c:v>
                </c:pt>
                <c:pt idx="702">
                  <c:v>MAY.24</c:v>
                </c:pt>
                <c:pt idx="703">
                  <c:v>MAY.24</c:v>
                </c:pt>
                <c:pt idx="704">
                  <c:v>MAY.24</c:v>
                </c:pt>
                <c:pt idx="705">
                  <c:v>MAY.24</c:v>
                </c:pt>
                <c:pt idx="706">
                  <c:v>MAY.24</c:v>
                </c:pt>
                <c:pt idx="707">
                  <c:v>MAY.24</c:v>
                </c:pt>
                <c:pt idx="708">
                  <c:v>MAY.24</c:v>
                </c:pt>
                <c:pt idx="709">
                  <c:v>MAY.24</c:v>
                </c:pt>
                <c:pt idx="710">
                  <c:v>MAY.24</c:v>
                </c:pt>
                <c:pt idx="711">
                  <c:v>MAY.24</c:v>
                </c:pt>
                <c:pt idx="712">
                  <c:v>MAY.24</c:v>
                </c:pt>
                <c:pt idx="713">
                  <c:v>MAY.24</c:v>
                </c:pt>
                <c:pt idx="714">
                  <c:v>MAY.24</c:v>
                </c:pt>
                <c:pt idx="715">
                  <c:v>MAY.24</c:v>
                </c:pt>
                <c:pt idx="716">
                  <c:v>MAY.24</c:v>
                </c:pt>
                <c:pt idx="717">
                  <c:v>MAY.24</c:v>
                </c:pt>
                <c:pt idx="718">
                  <c:v>MAY.24</c:v>
                </c:pt>
                <c:pt idx="719">
                  <c:v>MAY.24</c:v>
                </c:pt>
                <c:pt idx="720">
                  <c:v>MAY.24</c:v>
                </c:pt>
                <c:pt idx="721">
                  <c:v>MAY.24</c:v>
                </c:pt>
                <c:pt idx="722">
                  <c:v>MAY.24</c:v>
                </c:pt>
                <c:pt idx="723">
                  <c:v>MAY.24</c:v>
                </c:pt>
                <c:pt idx="724">
                  <c:v>MAY.24</c:v>
                </c:pt>
                <c:pt idx="725">
                  <c:v>MAY.24</c:v>
                </c:pt>
                <c:pt idx="726">
                  <c:v>MAY.24</c:v>
                </c:pt>
                <c:pt idx="727">
                  <c:v>MAY.24</c:v>
                </c:pt>
                <c:pt idx="728">
                  <c:v>MAY.24</c:v>
                </c:pt>
                <c:pt idx="729">
                  <c:v>MAY.24</c:v>
                </c:pt>
                <c:pt idx="730">
                  <c:v>MAY.24</c:v>
                </c:pt>
                <c:pt idx="731">
                  <c:v>MAY.24</c:v>
                </c:pt>
                <c:pt idx="732">
                  <c:v>June24 live</c:v>
                </c:pt>
                <c:pt idx="733">
                  <c:v>JUN.24</c:v>
                </c:pt>
                <c:pt idx="734">
                  <c:v>JUN.24</c:v>
                </c:pt>
                <c:pt idx="735">
                  <c:v>JUN.24</c:v>
                </c:pt>
                <c:pt idx="736">
                  <c:v>JUN.24</c:v>
                </c:pt>
                <c:pt idx="737">
                  <c:v>JUN.24</c:v>
                </c:pt>
                <c:pt idx="738">
                  <c:v>JUN.24</c:v>
                </c:pt>
                <c:pt idx="739">
                  <c:v>JUN.24</c:v>
                </c:pt>
                <c:pt idx="740">
                  <c:v>JUN.24</c:v>
                </c:pt>
                <c:pt idx="741">
                  <c:v>JUN.24</c:v>
                </c:pt>
                <c:pt idx="742">
                  <c:v>JUN.24</c:v>
                </c:pt>
                <c:pt idx="743">
                  <c:v>JUN.24</c:v>
                </c:pt>
                <c:pt idx="744">
                  <c:v>JUN.24</c:v>
                </c:pt>
                <c:pt idx="745">
                  <c:v>JUN.24</c:v>
                </c:pt>
                <c:pt idx="746">
                  <c:v>JUN.24</c:v>
                </c:pt>
                <c:pt idx="747">
                  <c:v>JUN.24</c:v>
                </c:pt>
                <c:pt idx="748">
                  <c:v>JUN.24</c:v>
                </c:pt>
                <c:pt idx="749">
                  <c:v>JUN.24</c:v>
                </c:pt>
                <c:pt idx="750">
                  <c:v>JUN.24</c:v>
                </c:pt>
                <c:pt idx="751">
                  <c:v>JUN.24</c:v>
                </c:pt>
                <c:pt idx="752">
                  <c:v>JUN.24</c:v>
                </c:pt>
                <c:pt idx="753">
                  <c:v>JUN.24</c:v>
                </c:pt>
                <c:pt idx="754">
                  <c:v>JUN.24</c:v>
                </c:pt>
                <c:pt idx="755">
                  <c:v>JUN.24</c:v>
                </c:pt>
                <c:pt idx="756">
                  <c:v>JUN.24</c:v>
                </c:pt>
                <c:pt idx="757">
                  <c:v>JUN.24</c:v>
                </c:pt>
                <c:pt idx="758">
                  <c:v>JUN.24</c:v>
                </c:pt>
                <c:pt idx="759">
                  <c:v>JUN.24</c:v>
                </c:pt>
                <c:pt idx="760">
                  <c:v>JUN.24</c:v>
                </c:pt>
                <c:pt idx="761">
                  <c:v>JUN.24</c:v>
                </c:pt>
                <c:pt idx="762">
                  <c:v>JUN.24</c:v>
                </c:pt>
                <c:pt idx="763">
                  <c:v>JUN.24</c:v>
                </c:pt>
                <c:pt idx="764">
                  <c:v>JUN.24</c:v>
                </c:pt>
                <c:pt idx="765">
                  <c:v>JUN.24</c:v>
                </c:pt>
                <c:pt idx="766">
                  <c:v>JUN.24</c:v>
                </c:pt>
                <c:pt idx="767">
                  <c:v>JUN.24</c:v>
                </c:pt>
                <c:pt idx="768">
                  <c:v>JUN.24</c:v>
                </c:pt>
                <c:pt idx="769">
                  <c:v>JUN.24</c:v>
                </c:pt>
                <c:pt idx="770">
                  <c:v>JUN.24</c:v>
                </c:pt>
                <c:pt idx="771">
                  <c:v>JUN.24</c:v>
                </c:pt>
                <c:pt idx="772">
                  <c:v>JUN.24</c:v>
                </c:pt>
                <c:pt idx="773">
                  <c:v>JUN.24</c:v>
                </c:pt>
                <c:pt idx="774">
                  <c:v>JUN.24</c:v>
                </c:pt>
                <c:pt idx="775">
                  <c:v>JUN.24</c:v>
                </c:pt>
                <c:pt idx="776">
                  <c:v>JUN.24</c:v>
                </c:pt>
                <c:pt idx="777">
                  <c:v>JUN.24</c:v>
                </c:pt>
                <c:pt idx="778">
                  <c:v>JUN.24</c:v>
                </c:pt>
                <c:pt idx="779">
                  <c:v>JUN.24</c:v>
                </c:pt>
                <c:pt idx="780">
                  <c:v>JUN.24</c:v>
                </c:pt>
                <c:pt idx="781">
                  <c:v>JUN.24</c:v>
                </c:pt>
                <c:pt idx="782">
                  <c:v>JUN.24</c:v>
                </c:pt>
                <c:pt idx="783">
                  <c:v>JUN.24</c:v>
                </c:pt>
                <c:pt idx="784">
                  <c:v>JUN.24</c:v>
                </c:pt>
                <c:pt idx="785">
                  <c:v>JUN.24</c:v>
                </c:pt>
                <c:pt idx="786">
                  <c:v>JUN.24</c:v>
                </c:pt>
                <c:pt idx="787">
                  <c:v>JUN.24</c:v>
                </c:pt>
                <c:pt idx="788">
                  <c:v>JUN.24</c:v>
                </c:pt>
                <c:pt idx="789">
                  <c:v>JUN.24</c:v>
                </c:pt>
                <c:pt idx="790">
                  <c:v>JUN.24</c:v>
                </c:pt>
                <c:pt idx="791">
                  <c:v>JUN.24</c:v>
                </c:pt>
                <c:pt idx="792">
                  <c:v>JUN.24</c:v>
                </c:pt>
                <c:pt idx="793">
                  <c:v>JUN.24</c:v>
                </c:pt>
                <c:pt idx="794">
                  <c:v>JUN.24</c:v>
                </c:pt>
                <c:pt idx="795">
                  <c:v>JUN.24</c:v>
                </c:pt>
                <c:pt idx="796">
                  <c:v>JUN.24</c:v>
                </c:pt>
                <c:pt idx="797">
                  <c:v>JUN.24</c:v>
                </c:pt>
                <c:pt idx="798">
                  <c:v>JUN.24</c:v>
                </c:pt>
                <c:pt idx="799">
                  <c:v>JUN.24</c:v>
                </c:pt>
                <c:pt idx="800">
                  <c:v>JUN.24</c:v>
                </c:pt>
                <c:pt idx="801">
                  <c:v>JUN.24</c:v>
                </c:pt>
                <c:pt idx="802">
                  <c:v>JUN.24</c:v>
                </c:pt>
                <c:pt idx="803">
                  <c:v>JUN.24</c:v>
                </c:pt>
                <c:pt idx="804">
                  <c:v>JUN.24</c:v>
                </c:pt>
                <c:pt idx="805">
                  <c:v>JUN.24</c:v>
                </c:pt>
                <c:pt idx="806">
                  <c:v>JUN.24</c:v>
                </c:pt>
                <c:pt idx="807">
                  <c:v>JUN.24</c:v>
                </c:pt>
                <c:pt idx="808">
                  <c:v>JUN.24</c:v>
                </c:pt>
                <c:pt idx="809">
                  <c:v>JUN.24</c:v>
                </c:pt>
                <c:pt idx="810">
                  <c:v>JUN.24</c:v>
                </c:pt>
                <c:pt idx="811">
                  <c:v>JUN.24</c:v>
                </c:pt>
                <c:pt idx="812">
                  <c:v>JUN.24</c:v>
                </c:pt>
                <c:pt idx="813">
                  <c:v>JUN.24</c:v>
                </c:pt>
                <c:pt idx="814">
                  <c:v>JUN.24</c:v>
                </c:pt>
                <c:pt idx="815">
                  <c:v>JUN.24</c:v>
                </c:pt>
                <c:pt idx="816">
                  <c:v>JUN.24</c:v>
                </c:pt>
                <c:pt idx="817">
                  <c:v>JUN.24</c:v>
                </c:pt>
                <c:pt idx="818">
                  <c:v>JUN.24</c:v>
                </c:pt>
                <c:pt idx="819">
                  <c:v>JUN.24</c:v>
                </c:pt>
                <c:pt idx="820">
                  <c:v>JUN.24</c:v>
                </c:pt>
                <c:pt idx="821">
                  <c:v>JUN.24</c:v>
                </c:pt>
                <c:pt idx="822">
                  <c:v>JUN.24</c:v>
                </c:pt>
                <c:pt idx="823">
                  <c:v>JUN.24</c:v>
                </c:pt>
                <c:pt idx="824">
                  <c:v>JUN.24</c:v>
                </c:pt>
                <c:pt idx="825">
                  <c:v>JUN.24</c:v>
                </c:pt>
                <c:pt idx="826">
                  <c:v>JUN.24</c:v>
                </c:pt>
                <c:pt idx="827">
                  <c:v>JUN.24</c:v>
                </c:pt>
                <c:pt idx="828">
                  <c:v>JUN.24</c:v>
                </c:pt>
                <c:pt idx="829">
                  <c:v>JUN.24</c:v>
                </c:pt>
                <c:pt idx="830">
                  <c:v>JUN.24</c:v>
                </c:pt>
                <c:pt idx="831">
                  <c:v>JUN.24</c:v>
                </c:pt>
                <c:pt idx="832">
                  <c:v>JUN.24</c:v>
                </c:pt>
                <c:pt idx="833">
                  <c:v>JUN.24</c:v>
                </c:pt>
                <c:pt idx="834">
                  <c:v>JUN.24</c:v>
                </c:pt>
                <c:pt idx="835">
                  <c:v>JUN.24</c:v>
                </c:pt>
                <c:pt idx="836">
                  <c:v>JUN.24</c:v>
                </c:pt>
                <c:pt idx="837">
                  <c:v>JUN.24</c:v>
                </c:pt>
                <c:pt idx="838">
                  <c:v>JUN.24</c:v>
                </c:pt>
                <c:pt idx="839">
                  <c:v>JUN.24</c:v>
                </c:pt>
                <c:pt idx="840">
                  <c:v>JUN.24</c:v>
                </c:pt>
                <c:pt idx="841">
                  <c:v>JUN.24</c:v>
                </c:pt>
                <c:pt idx="842">
                  <c:v>JUN.24</c:v>
                </c:pt>
                <c:pt idx="843">
                  <c:v>JUN.24</c:v>
                </c:pt>
                <c:pt idx="844">
                  <c:v>JUN.24</c:v>
                </c:pt>
                <c:pt idx="845">
                  <c:v>JUN.24</c:v>
                </c:pt>
                <c:pt idx="846">
                  <c:v>JUN.24</c:v>
                </c:pt>
                <c:pt idx="847">
                  <c:v>JUN.24</c:v>
                </c:pt>
                <c:pt idx="848">
                  <c:v>JUN.24</c:v>
                </c:pt>
                <c:pt idx="849">
                  <c:v>JUN.24</c:v>
                </c:pt>
                <c:pt idx="850">
                  <c:v>JUN.24</c:v>
                </c:pt>
                <c:pt idx="851">
                  <c:v>JUN.24</c:v>
                </c:pt>
                <c:pt idx="852">
                  <c:v>JUN.24</c:v>
                </c:pt>
                <c:pt idx="853">
                  <c:v>JUN.24</c:v>
                </c:pt>
                <c:pt idx="854">
                  <c:v>JUN.24</c:v>
                </c:pt>
                <c:pt idx="855">
                  <c:v>JUN.24</c:v>
                </c:pt>
                <c:pt idx="856">
                  <c:v>JUN.24</c:v>
                </c:pt>
                <c:pt idx="857">
                  <c:v>JUN.24</c:v>
                </c:pt>
                <c:pt idx="858">
                  <c:v>JUN.24</c:v>
                </c:pt>
                <c:pt idx="859">
                  <c:v>JUN.24</c:v>
                </c:pt>
                <c:pt idx="860">
                  <c:v>JUN.24</c:v>
                </c:pt>
                <c:pt idx="861">
                  <c:v>JUN.24</c:v>
                </c:pt>
                <c:pt idx="862">
                  <c:v>JUN.24</c:v>
                </c:pt>
                <c:pt idx="863">
                  <c:v>JUN.24</c:v>
                </c:pt>
                <c:pt idx="864">
                  <c:v>JUN.24</c:v>
                </c:pt>
                <c:pt idx="865">
                  <c:v>JUN.24</c:v>
                </c:pt>
                <c:pt idx="866">
                  <c:v>JUN.24</c:v>
                </c:pt>
                <c:pt idx="867">
                  <c:v>JUN.24</c:v>
                </c:pt>
                <c:pt idx="868">
                  <c:v>JUN.24</c:v>
                </c:pt>
                <c:pt idx="869">
                  <c:v>JUN.24</c:v>
                </c:pt>
                <c:pt idx="870">
                  <c:v>JUN.24</c:v>
                </c:pt>
                <c:pt idx="871">
                  <c:v>JUN.24</c:v>
                </c:pt>
                <c:pt idx="872">
                  <c:v>JUN.24</c:v>
                </c:pt>
                <c:pt idx="873">
                  <c:v>JUN.24</c:v>
                </c:pt>
                <c:pt idx="874">
                  <c:v>JUN.24</c:v>
                </c:pt>
                <c:pt idx="875">
                  <c:v>JUN.24</c:v>
                </c:pt>
                <c:pt idx="876">
                  <c:v>JUN.24</c:v>
                </c:pt>
                <c:pt idx="877">
                  <c:v>JUN.24</c:v>
                </c:pt>
                <c:pt idx="878">
                  <c:v>JUN.24</c:v>
                </c:pt>
                <c:pt idx="879">
                  <c:v>JUN.24</c:v>
                </c:pt>
                <c:pt idx="880">
                  <c:v>JUN.24 BLOWUP</c:v>
                </c:pt>
                <c:pt idx="881">
                  <c:v>JUN.24</c:v>
                </c:pt>
                <c:pt idx="882">
                  <c:v>JUN.24</c:v>
                </c:pt>
                <c:pt idx="883">
                  <c:v>JUN.24</c:v>
                </c:pt>
                <c:pt idx="884">
                  <c:v>JUN.24</c:v>
                </c:pt>
                <c:pt idx="885">
                  <c:v>JUN.24</c:v>
                </c:pt>
                <c:pt idx="886">
                  <c:v>JUN.24</c:v>
                </c:pt>
                <c:pt idx="887">
                  <c:v>JUN.24</c:v>
                </c:pt>
                <c:pt idx="888">
                  <c:v>JUN.24</c:v>
                </c:pt>
                <c:pt idx="889">
                  <c:v>July24 live (R+1) | REDUCE INTRADAY &gt;1D TRADES</c:v>
                </c:pt>
                <c:pt idx="890">
                  <c:v>JUL.24</c:v>
                </c:pt>
                <c:pt idx="891">
                  <c:v>JUL.24</c:v>
                </c:pt>
                <c:pt idx="892">
                  <c:v>JUL.24</c:v>
                </c:pt>
                <c:pt idx="893">
                  <c:v>JUL.24</c:v>
                </c:pt>
                <c:pt idx="894">
                  <c:v>JUL.24</c:v>
                </c:pt>
                <c:pt idx="895">
                  <c:v>JUL.24</c:v>
                </c:pt>
                <c:pt idx="896">
                  <c:v>JUL.24</c:v>
                </c:pt>
                <c:pt idx="897">
                  <c:v>JUL.24</c:v>
                </c:pt>
                <c:pt idx="898">
                  <c:v>JUL.24</c:v>
                </c:pt>
                <c:pt idx="899">
                  <c:v>JUL.24</c:v>
                </c:pt>
                <c:pt idx="900">
                  <c:v>JUL.24</c:v>
                </c:pt>
                <c:pt idx="901">
                  <c:v>JUL.24</c:v>
                </c:pt>
                <c:pt idx="902">
                  <c:v>JUL.24</c:v>
                </c:pt>
                <c:pt idx="903">
                  <c:v>JUL.24</c:v>
                </c:pt>
                <c:pt idx="904">
                  <c:v>JUL.24</c:v>
                </c:pt>
                <c:pt idx="905">
                  <c:v>JUL.24</c:v>
                </c:pt>
                <c:pt idx="906">
                  <c:v>JUL.24</c:v>
                </c:pt>
                <c:pt idx="907">
                  <c:v>JUL.24</c:v>
                </c:pt>
                <c:pt idx="908">
                  <c:v>JUL.24</c:v>
                </c:pt>
                <c:pt idx="909">
                  <c:v>JUL.24</c:v>
                </c:pt>
                <c:pt idx="910">
                  <c:v>JUL.24</c:v>
                </c:pt>
                <c:pt idx="911">
                  <c:v>JUL.24</c:v>
                </c:pt>
                <c:pt idx="912">
                  <c:v>JUL.24</c:v>
                </c:pt>
                <c:pt idx="913">
                  <c:v>JUL.24</c:v>
                </c:pt>
                <c:pt idx="914">
                  <c:v>JUL.24</c:v>
                </c:pt>
                <c:pt idx="915">
                  <c:v>JUL.24</c:v>
                </c:pt>
                <c:pt idx="916">
                  <c:v>JUL.24</c:v>
                </c:pt>
                <c:pt idx="917">
                  <c:v>JUL.24</c:v>
                </c:pt>
                <c:pt idx="918">
                  <c:v>JUL.24</c:v>
                </c:pt>
                <c:pt idx="919">
                  <c:v>JUL.24</c:v>
                </c:pt>
                <c:pt idx="920">
                  <c:v>JUL.24</c:v>
                </c:pt>
                <c:pt idx="921">
                  <c:v>JUL.24</c:v>
                </c:pt>
                <c:pt idx="922">
                  <c:v>JUL.24</c:v>
                </c:pt>
                <c:pt idx="923">
                  <c:v>JUL.24</c:v>
                </c:pt>
                <c:pt idx="924">
                  <c:v>JUL.24</c:v>
                </c:pt>
                <c:pt idx="925">
                  <c:v>JUL.24</c:v>
                </c:pt>
                <c:pt idx="926">
                  <c:v>JUL.24</c:v>
                </c:pt>
                <c:pt idx="927">
                  <c:v>JUL.24</c:v>
                </c:pt>
                <c:pt idx="928">
                  <c:v>JUL.24</c:v>
                </c:pt>
                <c:pt idx="929">
                  <c:v>JUL.24</c:v>
                </c:pt>
                <c:pt idx="930">
                  <c:v>JUL.24</c:v>
                </c:pt>
                <c:pt idx="931">
                  <c:v>JUL.24</c:v>
                </c:pt>
                <c:pt idx="932">
                  <c:v>JUL.24</c:v>
                </c:pt>
                <c:pt idx="933">
                  <c:v>JUL.24</c:v>
                </c:pt>
                <c:pt idx="934">
                  <c:v>JUL.24</c:v>
                </c:pt>
                <c:pt idx="935">
                  <c:v>JUL.24</c:v>
                </c:pt>
                <c:pt idx="936">
                  <c:v>JUL.24</c:v>
                </c:pt>
                <c:pt idx="937">
                  <c:v>JUL.24</c:v>
                </c:pt>
                <c:pt idx="938">
                  <c:v>JUL.24</c:v>
                </c:pt>
                <c:pt idx="939">
                  <c:v>JUL.24</c:v>
                </c:pt>
                <c:pt idx="940">
                  <c:v>JUL.24</c:v>
                </c:pt>
                <c:pt idx="941">
                  <c:v>JUL.24</c:v>
                </c:pt>
                <c:pt idx="942">
                  <c:v>JUL.24</c:v>
                </c:pt>
                <c:pt idx="943">
                  <c:v>JUL.24</c:v>
                </c:pt>
                <c:pt idx="944">
                  <c:v>JUL.24</c:v>
                </c:pt>
                <c:pt idx="945">
                  <c:v>JUL.24</c:v>
                </c:pt>
                <c:pt idx="946">
                  <c:v>JUL.24</c:v>
                </c:pt>
                <c:pt idx="947">
                  <c:v>JUL.24</c:v>
                </c:pt>
                <c:pt idx="948">
                  <c:v>JUL.24</c:v>
                </c:pt>
                <c:pt idx="949">
                  <c:v>JUL.24</c:v>
                </c:pt>
                <c:pt idx="950">
                  <c:v>JUL.24</c:v>
                </c:pt>
                <c:pt idx="951">
                  <c:v>JUL.24</c:v>
                </c:pt>
                <c:pt idx="952">
                  <c:v>JUL.24</c:v>
                </c:pt>
                <c:pt idx="953">
                  <c:v>JUL.24</c:v>
                </c:pt>
                <c:pt idx="954">
                  <c:v>JUL.24</c:v>
                </c:pt>
                <c:pt idx="955">
                  <c:v>JUL.24</c:v>
                </c:pt>
                <c:pt idx="956">
                  <c:v>JUL.24</c:v>
                </c:pt>
                <c:pt idx="957">
                  <c:v>JUL.24</c:v>
                </c:pt>
                <c:pt idx="958">
                  <c:v>JUL.24</c:v>
                </c:pt>
                <c:pt idx="959">
                  <c:v>JUL.24</c:v>
                </c:pt>
                <c:pt idx="960">
                  <c:v>JUL.24</c:v>
                </c:pt>
                <c:pt idx="961">
                  <c:v>JUL.24</c:v>
                </c:pt>
                <c:pt idx="962">
                  <c:v>JUL.24</c:v>
                </c:pt>
                <c:pt idx="963">
                  <c:v>JUL.24</c:v>
                </c:pt>
                <c:pt idx="964">
                  <c:v>JUL.24</c:v>
                </c:pt>
                <c:pt idx="965">
                  <c:v>JUL.24</c:v>
                </c:pt>
                <c:pt idx="966">
                  <c:v>JUL.24</c:v>
                </c:pt>
                <c:pt idx="967">
                  <c:v>JUL.24</c:v>
                </c:pt>
                <c:pt idx="968">
                  <c:v>JUL.24</c:v>
                </c:pt>
                <c:pt idx="969">
                  <c:v>JUL.24</c:v>
                </c:pt>
                <c:pt idx="970">
                  <c:v>JUL.24</c:v>
                </c:pt>
                <c:pt idx="971">
                  <c:v>JUL.24</c:v>
                </c:pt>
                <c:pt idx="972">
                  <c:v>JUL.24</c:v>
                </c:pt>
                <c:pt idx="973">
                  <c:v>JUL.24</c:v>
                </c:pt>
                <c:pt idx="974">
                  <c:v>JUL.24</c:v>
                </c:pt>
                <c:pt idx="975">
                  <c:v>JUL.24</c:v>
                </c:pt>
                <c:pt idx="976">
                  <c:v>JUL.24</c:v>
                </c:pt>
                <c:pt idx="977">
                  <c:v>JUL.24</c:v>
                </c:pt>
                <c:pt idx="978">
                  <c:v>JUL.24</c:v>
                </c:pt>
                <c:pt idx="979">
                  <c:v>JUL.24</c:v>
                </c:pt>
                <c:pt idx="980">
                  <c:v>JUL.24</c:v>
                </c:pt>
                <c:pt idx="981">
                  <c:v>JUL.24</c:v>
                </c:pt>
                <c:pt idx="982">
                  <c:v>JUL.24</c:v>
                </c:pt>
                <c:pt idx="983">
                  <c:v>JUL.24</c:v>
                </c:pt>
                <c:pt idx="984">
                  <c:v>JUL.24</c:v>
                </c:pt>
                <c:pt idx="985">
                  <c:v>JUL.24</c:v>
                </c:pt>
                <c:pt idx="986">
                  <c:v>JUL.24</c:v>
                </c:pt>
                <c:pt idx="987">
                  <c:v>JUL.24</c:v>
                </c:pt>
                <c:pt idx="988">
                  <c:v>JUL.24</c:v>
                </c:pt>
                <c:pt idx="989">
                  <c:v>JUL.24</c:v>
                </c:pt>
                <c:pt idx="990">
                  <c:v>August24 live (R-1) | REDUCE LOT SIZING 2ND HALF AND ONLY EXITS IN 2ND HALF</c:v>
                </c:pt>
                <c:pt idx="991">
                  <c:v>AUG.24</c:v>
                </c:pt>
                <c:pt idx="992">
                  <c:v>AUG.24</c:v>
                </c:pt>
                <c:pt idx="993">
                  <c:v>AUG.24.II</c:v>
                </c:pt>
                <c:pt idx="994">
                  <c:v>AUG.24</c:v>
                </c:pt>
                <c:pt idx="995">
                  <c:v>AUG.24</c:v>
                </c:pt>
                <c:pt idx="996">
                  <c:v>AUG.24</c:v>
                </c:pt>
                <c:pt idx="997">
                  <c:v>AUG.24</c:v>
                </c:pt>
                <c:pt idx="998">
                  <c:v>AUG.24</c:v>
                </c:pt>
                <c:pt idx="999">
                  <c:v>AUG.24</c:v>
                </c:pt>
                <c:pt idx="1000">
                  <c:v>AUG.24</c:v>
                </c:pt>
                <c:pt idx="1001">
                  <c:v>AUG.24</c:v>
                </c:pt>
                <c:pt idx="1002">
                  <c:v>AUG.24.II</c:v>
                </c:pt>
                <c:pt idx="1003">
                  <c:v>AUG.24.II</c:v>
                </c:pt>
                <c:pt idx="1004">
                  <c:v>AUG.24</c:v>
                </c:pt>
                <c:pt idx="1005">
                  <c:v>AUG.24</c:v>
                </c:pt>
                <c:pt idx="1006">
                  <c:v>AUG.24</c:v>
                </c:pt>
                <c:pt idx="1007">
                  <c:v>AUG.24.II</c:v>
                </c:pt>
                <c:pt idx="1008">
                  <c:v>AUG.24.II</c:v>
                </c:pt>
                <c:pt idx="1009">
                  <c:v>AUG.24</c:v>
                </c:pt>
                <c:pt idx="1010">
                  <c:v>AUG.24</c:v>
                </c:pt>
                <c:pt idx="1011">
                  <c:v>AUG.24</c:v>
                </c:pt>
                <c:pt idx="1012">
                  <c:v>AUG.24</c:v>
                </c:pt>
                <c:pt idx="1013">
                  <c:v>AUG.24</c:v>
                </c:pt>
                <c:pt idx="1014">
                  <c:v>AUG.24</c:v>
                </c:pt>
                <c:pt idx="1015">
                  <c:v>AUG.24</c:v>
                </c:pt>
                <c:pt idx="1016">
                  <c:v>AUG.24</c:v>
                </c:pt>
                <c:pt idx="1017">
                  <c:v>AUG.24</c:v>
                </c:pt>
                <c:pt idx="1018">
                  <c:v>AUG.24</c:v>
                </c:pt>
                <c:pt idx="1019">
                  <c:v>AUG.24</c:v>
                </c:pt>
                <c:pt idx="1020">
                  <c:v>AUG.24</c:v>
                </c:pt>
                <c:pt idx="1021">
                  <c:v>AUG.24</c:v>
                </c:pt>
                <c:pt idx="1022">
                  <c:v>AUG.24</c:v>
                </c:pt>
                <c:pt idx="1023">
                  <c:v>AUG.24</c:v>
                </c:pt>
                <c:pt idx="1024">
                  <c:v>AUG.24</c:v>
                </c:pt>
                <c:pt idx="1025">
                  <c:v>AUG.24</c:v>
                </c:pt>
                <c:pt idx="1026">
                  <c:v>AUG.24</c:v>
                </c:pt>
                <c:pt idx="1027">
                  <c:v>AUG.24</c:v>
                </c:pt>
                <c:pt idx="1028">
                  <c:v>AUG.24.II</c:v>
                </c:pt>
                <c:pt idx="1029">
                  <c:v>AUG.24</c:v>
                </c:pt>
                <c:pt idx="1030">
                  <c:v>AUG.24</c:v>
                </c:pt>
                <c:pt idx="1031">
                  <c:v>AUG.24</c:v>
                </c:pt>
                <c:pt idx="1032">
                  <c:v>AUG.24</c:v>
                </c:pt>
                <c:pt idx="1033">
                  <c:v>AUG.24</c:v>
                </c:pt>
                <c:pt idx="1034">
                  <c:v>AUG.24</c:v>
                </c:pt>
                <c:pt idx="1035">
                  <c:v>AUG.24</c:v>
                </c:pt>
                <c:pt idx="1036">
                  <c:v>AUG.24</c:v>
                </c:pt>
                <c:pt idx="1037">
                  <c:v>AUG.24</c:v>
                </c:pt>
                <c:pt idx="1038">
                  <c:v>AUG.24</c:v>
                </c:pt>
                <c:pt idx="1039">
                  <c:v>AUG.24</c:v>
                </c:pt>
                <c:pt idx="1040">
                  <c:v>AUG.24</c:v>
                </c:pt>
                <c:pt idx="1041">
                  <c:v>AUG.24</c:v>
                </c:pt>
                <c:pt idx="1042">
                  <c:v>AUG.24</c:v>
                </c:pt>
                <c:pt idx="1043">
                  <c:v>AUG.24</c:v>
                </c:pt>
                <c:pt idx="1044">
                  <c:v>AUG.24</c:v>
                </c:pt>
                <c:pt idx="1045">
                  <c:v>AUG.24</c:v>
                </c:pt>
                <c:pt idx="1046">
                  <c:v>AUG.24</c:v>
                </c:pt>
                <c:pt idx="1047">
                  <c:v>AUG.24</c:v>
                </c:pt>
                <c:pt idx="1048">
                  <c:v>AUG.24</c:v>
                </c:pt>
                <c:pt idx="1049">
                  <c:v>AUG.24</c:v>
                </c:pt>
                <c:pt idx="1050">
                  <c:v>AUG.24</c:v>
                </c:pt>
                <c:pt idx="1051">
                  <c:v>AUG.24</c:v>
                </c:pt>
                <c:pt idx="1052">
                  <c:v>AUG.24</c:v>
                </c:pt>
                <c:pt idx="1053">
                  <c:v>AUG.24</c:v>
                </c:pt>
                <c:pt idx="1054">
                  <c:v>AUG.24</c:v>
                </c:pt>
                <c:pt idx="1055">
                  <c:v>AUG.24</c:v>
                </c:pt>
                <c:pt idx="1056">
                  <c:v>AUG.24</c:v>
                </c:pt>
                <c:pt idx="1057">
                  <c:v>AUG.24</c:v>
                </c:pt>
                <c:pt idx="1058">
                  <c:v>AUG.24</c:v>
                </c:pt>
                <c:pt idx="1059">
                  <c:v>AUG.24</c:v>
                </c:pt>
                <c:pt idx="1060">
                  <c:v>AUG.24</c:v>
                </c:pt>
                <c:pt idx="1061">
                  <c:v>AUG.24</c:v>
                </c:pt>
                <c:pt idx="1062">
                  <c:v>AUG.24</c:v>
                </c:pt>
                <c:pt idx="1063">
                  <c:v>AUG.24</c:v>
                </c:pt>
                <c:pt idx="1064">
                  <c:v>AUG.24</c:v>
                </c:pt>
                <c:pt idx="1065">
                  <c:v>AUG.24</c:v>
                </c:pt>
                <c:pt idx="1066">
                  <c:v>AUG.24</c:v>
                </c:pt>
                <c:pt idx="1067">
                  <c:v>AUG.24</c:v>
                </c:pt>
                <c:pt idx="1068">
                  <c:v>AUG.24</c:v>
                </c:pt>
                <c:pt idx="1069">
                  <c:v>AUG.24</c:v>
                </c:pt>
                <c:pt idx="1070">
                  <c:v>AUG.24</c:v>
                </c:pt>
                <c:pt idx="1071">
                  <c:v>AUG.24</c:v>
                </c:pt>
                <c:pt idx="1072">
                  <c:v>AUG.24</c:v>
                </c:pt>
                <c:pt idx="1073">
                  <c:v>AUG.24</c:v>
                </c:pt>
                <c:pt idx="1074">
                  <c:v>AUG.24</c:v>
                </c:pt>
                <c:pt idx="1075">
                  <c:v>AUG.24</c:v>
                </c:pt>
                <c:pt idx="1076">
                  <c:v>AUG.24</c:v>
                </c:pt>
                <c:pt idx="1077">
                  <c:v>AUG.24</c:v>
                </c:pt>
                <c:pt idx="1078">
                  <c:v>AUG.24</c:v>
                </c:pt>
                <c:pt idx="1079">
                  <c:v>AUG.24</c:v>
                </c:pt>
                <c:pt idx="1080">
                  <c:v>AUG.24</c:v>
                </c:pt>
                <c:pt idx="1081">
                  <c:v>AUG.24</c:v>
                </c:pt>
                <c:pt idx="1082">
                  <c:v>AUG.24</c:v>
                </c:pt>
                <c:pt idx="1083">
                  <c:v>AUG.24</c:v>
                </c:pt>
                <c:pt idx="1084">
                  <c:v>AUG.24</c:v>
                </c:pt>
                <c:pt idx="1085">
                  <c:v>AUG.24</c:v>
                </c:pt>
                <c:pt idx="1086">
                  <c:v>AUG.24</c:v>
                </c:pt>
                <c:pt idx="1087">
                  <c:v>September24 live (R) | REDUCE LOT SIZING 1ST HALF, AVOID POSITIONAL </c:v>
                </c:pt>
                <c:pt idx="1088">
                  <c:v>SEP.24</c:v>
                </c:pt>
                <c:pt idx="1089">
                  <c:v>SEP.24</c:v>
                </c:pt>
                <c:pt idx="1090">
                  <c:v>SEP.24</c:v>
                </c:pt>
                <c:pt idx="1091">
                  <c:v>SEP.24</c:v>
                </c:pt>
                <c:pt idx="1092">
                  <c:v>SEP.24</c:v>
                </c:pt>
                <c:pt idx="1093">
                  <c:v>SEP.24</c:v>
                </c:pt>
                <c:pt idx="1094">
                  <c:v>SEP.24</c:v>
                </c:pt>
                <c:pt idx="1095">
                  <c:v>SEP.24</c:v>
                </c:pt>
                <c:pt idx="1096">
                  <c:v>SEP.24</c:v>
                </c:pt>
                <c:pt idx="1097">
                  <c:v>SEP.24</c:v>
                </c:pt>
                <c:pt idx="1098">
                  <c:v>SEP.24</c:v>
                </c:pt>
                <c:pt idx="1099">
                  <c:v>SEP.24</c:v>
                </c:pt>
                <c:pt idx="1100">
                  <c:v>SEP.24</c:v>
                </c:pt>
                <c:pt idx="1101">
                  <c:v>SEP.24</c:v>
                </c:pt>
                <c:pt idx="1102">
                  <c:v>SEP.24</c:v>
                </c:pt>
                <c:pt idx="1103">
                  <c:v>SEP.24</c:v>
                </c:pt>
                <c:pt idx="1104">
                  <c:v>SEP.24</c:v>
                </c:pt>
                <c:pt idx="1105">
                  <c:v>SEP.24</c:v>
                </c:pt>
                <c:pt idx="1106">
                  <c:v>SEP.24</c:v>
                </c:pt>
                <c:pt idx="1107">
                  <c:v>SEP.24</c:v>
                </c:pt>
                <c:pt idx="1108">
                  <c:v>SEP.24</c:v>
                </c:pt>
                <c:pt idx="1109">
                  <c:v>SEP.24</c:v>
                </c:pt>
                <c:pt idx="1110">
                  <c:v>SEP.24</c:v>
                </c:pt>
                <c:pt idx="1111">
                  <c:v>SEP.24</c:v>
                </c:pt>
                <c:pt idx="1112">
                  <c:v>SEP.24</c:v>
                </c:pt>
                <c:pt idx="1113">
                  <c:v>SEP.24</c:v>
                </c:pt>
                <c:pt idx="1114">
                  <c:v>SEP.24</c:v>
                </c:pt>
                <c:pt idx="1115">
                  <c:v>SEP.24</c:v>
                </c:pt>
                <c:pt idx="1116">
                  <c:v>SEP.24</c:v>
                </c:pt>
                <c:pt idx="1117">
                  <c:v>SEP.24</c:v>
                </c:pt>
                <c:pt idx="1118">
                  <c:v>SEP.24</c:v>
                </c:pt>
                <c:pt idx="1119">
                  <c:v>SEP.24</c:v>
                </c:pt>
                <c:pt idx="1120">
                  <c:v>SEP.24</c:v>
                </c:pt>
                <c:pt idx="1121">
                  <c:v>SEP.24</c:v>
                </c:pt>
                <c:pt idx="1122">
                  <c:v>SEP.24</c:v>
                </c:pt>
                <c:pt idx="1123">
                  <c:v>SEP.24</c:v>
                </c:pt>
                <c:pt idx="1124">
                  <c:v>SEP.24</c:v>
                </c:pt>
                <c:pt idx="1125">
                  <c:v>SEP.24</c:v>
                </c:pt>
                <c:pt idx="1126">
                  <c:v>October24 live (R+1) | REDUCE INTRADAY &gt;1D TRADES</c:v>
                </c:pt>
                <c:pt idx="1127">
                  <c:v>OCT.24</c:v>
                </c:pt>
                <c:pt idx="1128">
                  <c:v>OCT.24</c:v>
                </c:pt>
                <c:pt idx="1129">
                  <c:v>OCT.24</c:v>
                </c:pt>
                <c:pt idx="1130">
                  <c:v>OCT.24</c:v>
                </c:pt>
                <c:pt idx="1131">
                  <c:v>OCT.24</c:v>
                </c:pt>
                <c:pt idx="1132">
                  <c:v>OCT.24</c:v>
                </c:pt>
                <c:pt idx="1133">
                  <c:v>OCT.24</c:v>
                </c:pt>
                <c:pt idx="1134">
                  <c:v>OCT.24</c:v>
                </c:pt>
                <c:pt idx="1135">
                  <c:v>OCT.24</c:v>
                </c:pt>
                <c:pt idx="1136">
                  <c:v>OCT.24</c:v>
                </c:pt>
                <c:pt idx="1137">
                  <c:v>OCT.24</c:v>
                </c:pt>
                <c:pt idx="1138">
                  <c:v>OCT.24</c:v>
                </c:pt>
                <c:pt idx="1139">
                  <c:v>OCT.24</c:v>
                </c:pt>
                <c:pt idx="1140">
                  <c:v>OCT.24</c:v>
                </c:pt>
                <c:pt idx="1141">
                  <c:v>OCT.24</c:v>
                </c:pt>
                <c:pt idx="1142">
                  <c:v>OCT.24</c:v>
                </c:pt>
                <c:pt idx="1143">
                  <c:v>OCT.24</c:v>
                </c:pt>
                <c:pt idx="1144">
                  <c:v>OCT.24</c:v>
                </c:pt>
                <c:pt idx="1145">
                  <c:v>OCT.24</c:v>
                </c:pt>
                <c:pt idx="1146">
                  <c:v>OCT.24</c:v>
                </c:pt>
                <c:pt idx="1147">
                  <c:v>OCT.24</c:v>
                </c:pt>
                <c:pt idx="1148">
                  <c:v>OCT.24</c:v>
                </c:pt>
                <c:pt idx="1149">
                  <c:v>OCT.24</c:v>
                </c:pt>
                <c:pt idx="1150">
                  <c:v>OCT.24</c:v>
                </c:pt>
                <c:pt idx="1151">
                  <c:v>OCT.24</c:v>
                </c:pt>
                <c:pt idx="1152">
                  <c:v>OCT.24</c:v>
                </c:pt>
                <c:pt idx="1153">
                  <c:v>OCT.24</c:v>
                </c:pt>
                <c:pt idx="1154">
                  <c:v>OCT.24</c:v>
                </c:pt>
                <c:pt idx="1155">
                  <c:v>OCT.24</c:v>
                </c:pt>
                <c:pt idx="1156">
                  <c:v>OCT.24</c:v>
                </c:pt>
                <c:pt idx="1157">
                  <c:v>OCT.24</c:v>
                </c:pt>
                <c:pt idx="1158">
                  <c:v>OCT.24</c:v>
                </c:pt>
                <c:pt idx="1159">
                  <c:v>OCT.24</c:v>
                </c:pt>
                <c:pt idx="1160">
                  <c:v>OCT.24</c:v>
                </c:pt>
                <c:pt idx="1161">
                  <c:v>OCT.24</c:v>
                </c:pt>
                <c:pt idx="1162">
                  <c:v>OCT.24</c:v>
                </c:pt>
                <c:pt idx="1163">
                  <c:v>OCT.24</c:v>
                </c:pt>
                <c:pt idx="1164">
                  <c:v>OCT.24</c:v>
                </c:pt>
                <c:pt idx="1165">
                  <c:v>OCT.24</c:v>
                </c:pt>
                <c:pt idx="1166">
                  <c:v>OCT.24</c:v>
                </c:pt>
                <c:pt idx="1167">
                  <c:v>OCT.24</c:v>
                </c:pt>
                <c:pt idx="1168">
                  <c:v>OCT.24</c:v>
                </c:pt>
                <c:pt idx="1169">
                  <c:v>OCT.24</c:v>
                </c:pt>
                <c:pt idx="1170">
                  <c:v>OCT.24</c:v>
                </c:pt>
                <c:pt idx="1171">
                  <c:v>OCT.24</c:v>
                </c:pt>
                <c:pt idx="1172">
                  <c:v>OCT.24</c:v>
                </c:pt>
                <c:pt idx="1173">
                  <c:v>OCT.24</c:v>
                </c:pt>
                <c:pt idx="1174">
                  <c:v>OCT.24</c:v>
                </c:pt>
                <c:pt idx="1175">
                  <c:v>OCT.24</c:v>
                </c:pt>
                <c:pt idx="1176">
                  <c:v>OCT.24</c:v>
                </c:pt>
                <c:pt idx="1177">
                  <c:v>OCT.24</c:v>
                </c:pt>
                <c:pt idx="1178">
                  <c:v>OCT.24</c:v>
                </c:pt>
                <c:pt idx="1179">
                  <c:v>OCT.24</c:v>
                </c:pt>
                <c:pt idx="1180">
                  <c:v>OCT.24</c:v>
                </c:pt>
                <c:pt idx="1181">
                  <c:v>OCT.24</c:v>
                </c:pt>
                <c:pt idx="1182">
                  <c:v>OCT.24</c:v>
                </c:pt>
                <c:pt idx="1183">
                  <c:v>OCT.24</c:v>
                </c:pt>
                <c:pt idx="1184">
                  <c:v>OCT.24</c:v>
                </c:pt>
                <c:pt idx="1185">
                  <c:v>OCT.24</c:v>
                </c:pt>
                <c:pt idx="1186">
                  <c:v>OCT.24</c:v>
                </c:pt>
                <c:pt idx="1187">
                  <c:v>OCT.24</c:v>
                </c:pt>
                <c:pt idx="1188">
                  <c:v>OCT.24</c:v>
                </c:pt>
                <c:pt idx="1189">
                  <c:v>OCT.24</c:v>
                </c:pt>
                <c:pt idx="1190">
                  <c:v>OCT.24</c:v>
                </c:pt>
                <c:pt idx="1191">
                  <c:v>OCT.24</c:v>
                </c:pt>
                <c:pt idx="1192">
                  <c:v>OCT.24</c:v>
                </c:pt>
                <c:pt idx="1193">
                  <c:v>OCT.24</c:v>
                </c:pt>
                <c:pt idx="1194">
                  <c:v>OCT.24</c:v>
                </c:pt>
                <c:pt idx="1195">
                  <c:v>OCT.24</c:v>
                </c:pt>
                <c:pt idx="1196">
                  <c:v>OCT.24</c:v>
                </c:pt>
                <c:pt idx="1197">
                  <c:v>OCT.24</c:v>
                </c:pt>
                <c:pt idx="1198">
                  <c:v>OCT.24</c:v>
                </c:pt>
                <c:pt idx="1199">
                  <c:v>OCT.24</c:v>
                </c:pt>
                <c:pt idx="1200">
                  <c:v>OCT.24</c:v>
                </c:pt>
                <c:pt idx="1201">
                  <c:v>OCT.24</c:v>
                </c:pt>
                <c:pt idx="1202">
                  <c:v>OCT.24</c:v>
                </c:pt>
                <c:pt idx="1203">
                  <c:v>OCT.24</c:v>
                </c:pt>
                <c:pt idx="1204">
                  <c:v>OCT.24</c:v>
                </c:pt>
                <c:pt idx="1205">
                  <c:v>OCT.24</c:v>
                </c:pt>
                <c:pt idx="1206">
                  <c:v>OCT.24</c:v>
                </c:pt>
                <c:pt idx="1207">
                  <c:v>OCT.24</c:v>
                </c:pt>
                <c:pt idx="1208">
                  <c:v>OCT.24</c:v>
                </c:pt>
                <c:pt idx="1209">
                  <c:v>OCT.24</c:v>
                </c:pt>
                <c:pt idx="1210">
                  <c:v>OCT.24</c:v>
                </c:pt>
                <c:pt idx="1211">
                  <c:v>OCT.24</c:v>
                </c:pt>
                <c:pt idx="1212">
                  <c:v>OCT.24</c:v>
                </c:pt>
                <c:pt idx="1213">
                  <c:v>OCT.24</c:v>
                </c:pt>
                <c:pt idx="1214">
                  <c:v>OCT.24</c:v>
                </c:pt>
                <c:pt idx="1215">
                  <c:v>November24 live EPILOGUE 1</c:v>
                </c:pt>
                <c:pt idx="1216">
                  <c:v>NOV.24</c:v>
                </c:pt>
                <c:pt idx="1217">
                  <c:v>NOV.24</c:v>
                </c:pt>
                <c:pt idx="1218">
                  <c:v>NOV.24</c:v>
                </c:pt>
                <c:pt idx="1219">
                  <c:v>NOV.24</c:v>
                </c:pt>
                <c:pt idx="1220">
                  <c:v>NOV.24</c:v>
                </c:pt>
                <c:pt idx="1221">
                  <c:v>NOV.24</c:v>
                </c:pt>
                <c:pt idx="1222">
                  <c:v>NOV.24</c:v>
                </c:pt>
                <c:pt idx="1223">
                  <c:v>NOV.24</c:v>
                </c:pt>
                <c:pt idx="1224">
                  <c:v>NOV.24</c:v>
                </c:pt>
                <c:pt idx="1225">
                  <c:v>NOV.24</c:v>
                </c:pt>
                <c:pt idx="1226">
                  <c:v>NOV.24</c:v>
                </c:pt>
                <c:pt idx="1227">
                  <c:v>NOV.24</c:v>
                </c:pt>
                <c:pt idx="1228">
                  <c:v>NOV.24</c:v>
                </c:pt>
                <c:pt idx="1229">
                  <c:v>NOV.24</c:v>
                </c:pt>
                <c:pt idx="1230">
                  <c:v>NOV.24</c:v>
                </c:pt>
                <c:pt idx="1231">
                  <c:v>NOV.24</c:v>
                </c:pt>
                <c:pt idx="1232">
                  <c:v>NOV.24</c:v>
                </c:pt>
                <c:pt idx="1233">
                  <c:v>NOV.24</c:v>
                </c:pt>
                <c:pt idx="1234">
                  <c:v>NOV.24</c:v>
                </c:pt>
                <c:pt idx="1235">
                  <c:v>NOV.24</c:v>
                </c:pt>
                <c:pt idx="1236">
                  <c:v>NOV.24</c:v>
                </c:pt>
                <c:pt idx="1237">
                  <c:v>NOV.24</c:v>
                </c:pt>
                <c:pt idx="1238">
                  <c:v>NOV.24</c:v>
                </c:pt>
              </c:strCache>
            </c:strRef>
          </c:cat>
          <c:val>
            <c:numRef>
              <c:f>'Journal Live'!$BH$1387:$BH$2630</c:f>
              <c:numCache>
                <c:formatCode>"$"#,##0.00</c:formatCode>
                <c:ptCount val="1239"/>
                <c:pt idx="1">
                  <c:v>176.00000000000017</c:v>
                </c:pt>
                <c:pt idx="2">
                  <c:v>176.00000000000017</c:v>
                </c:pt>
                <c:pt idx="3">
                  <c:v>176.00000000000017</c:v>
                </c:pt>
                <c:pt idx="4">
                  <c:v>176.00000000000017</c:v>
                </c:pt>
                <c:pt idx="5">
                  <c:v>176.00000000000017</c:v>
                </c:pt>
                <c:pt idx="6">
                  <c:v>-159.99999999999983</c:v>
                </c:pt>
                <c:pt idx="7">
                  <c:v>96.000000000000171</c:v>
                </c:pt>
                <c:pt idx="8">
                  <c:v>1.4210854715202004E-13</c:v>
                </c:pt>
                <c:pt idx="9">
                  <c:v>1.4210854715202004E-13</c:v>
                </c:pt>
                <c:pt idx="10">
                  <c:v>1.4210854715202004E-13</c:v>
                </c:pt>
                <c:pt idx="11">
                  <c:v>272</c:v>
                </c:pt>
                <c:pt idx="12">
                  <c:v>272</c:v>
                </c:pt>
                <c:pt idx="13">
                  <c:v>272</c:v>
                </c:pt>
                <c:pt idx="14">
                  <c:v>464.00000000000017</c:v>
                </c:pt>
                <c:pt idx="15">
                  <c:v>464.00000000000017</c:v>
                </c:pt>
                <c:pt idx="16">
                  <c:v>464.00000000000017</c:v>
                </c:pt>
                <c:pt idx="17">
                  <c:v>1040.0000000000002</c:v>
                </c:pt>
                <c:pt idx="18">
                  <c:v>880.00000000000068</c:v>
                </c:pt>
                <c:pt idx="19">
                  <c:v>880.00000000000068</c:v>
                </c:pt>
                <c:pt idx="20">
                  <c:v>880.00000000000068</c:v>
                </c:pt>
                <c:pt idx="21">
                  <c:v>880.00000000000068</c:v>
                </c:pt>
                <c:pt idx="22">
                  <c:v>880.00000000000068</c:v>
                </c:pt>
                <c:pt idx="23">
                  <c:v>880.00000000000068</c:v>
                </c:pt>
                <c:pt idx="24">
                  <c:v>880.00000000000068</c:v>
                </c:pt>
                <c:pt idx="25">
                  <c:v>880.00000000000068</c:v>
                </c:pt>
                <c:pt idx="26">
                  <c:v>880.00000000000068</c:v>
                </c:pt>
                <c:pt idx="27">
                  <c:v>1008.0000000000007</c:v>
                </c:pt>
                <c:pt idx="28">
                  <c:v>1280.0000000000007</c:v>
                </c:pt>
                <c:pt idx="29">
                  <c:v>1616.0000000000005</c:v>
                </c:pt>
                <c:pt idx="30">
                  <c:v>1616.0000000000005</c:v>
                </c:pt>
                <c:pt idx="31">
                  <c:v>1616.0000000000005</c:v>
                </c:pt>
                <c:pt idx="32">
                  <c:v>1616.0000000000005</c:v>
                </c:pt>
                <c:pt idx="33">
                  <c:v>1616.0000000000005</c:v>
                </c:pt>
                <c:pt idx="34">
                  <c:v>1616.0000000000005</c:v>
                </c:pt>
                <c:pt idx="35">
                  <c:v>1616.0000000000005</c:v>
                </c:pt>
                <c:pt idx="36">
                  <c:v>1712</c:v>
                </c:pt>
                <c:pt idx="37">
                  <c:v>2000</c:v>
                </c:pt>
                <c:pt idx="38">
                  <c:v>2000</c:v>
                </c:pt>
                <c:pt idx="39">
                  <c:v>2384.0000000000005</c:v>
                </c:pt>
                <c:pt idx="40">
                  <c:v>2384.0000000000005</c:v>
                </c:pt>
                <c:pt idx="41">
                  <c:v>2384.0000000000005</c:v>
                </c:pt>
                <c:pt idx="42">
                  <c:v>944.00000000000068</c:v>
                </c:pt>
                <c:pt idx="43">
                  <c:v>1040.0000000000002</c:v>
                </c:pt>
                <c:pt idx="44">
                  <c:v>1136.0000000000002</c:v>
                </c:pt>
                <c:pt idx="45">
                  <c:v>1136.0000000000002</c:v>
                </c:pt>
                <c:pt idx="46">
                  <c:v>1136.0000000000002</c:v>
                </c:pt>
                <c:pt idx="47">
                  <c:v>1328</c:v>
                </c:pt>
                <c:pt idx="48">
                  <c:v>1328</c:v>
                </c:pt>
                <c:pt idx="49">
                  <c:v>1942.4</c:v>
                </c:pt>
                <c:pt idx="50">
                  <c:v>1942.4</c:v>
                </c:pt>
                <c:pt idx="51">
                  <c:v>2726.4000000000005</c:v>
                </c:pt>
                <c:pt idx="52">
                  <c:v>2726.4000000000005</c:v>
                </c:pt>
                <c:pt idx="53">
                  <c:v>2726.4000000000005</c:v>
                </c:pt>
                <c:pt idx="54">
                  <c:v>3078.400000000001</c:v>
                </c:pt>
                <c:pt idx="55">
                  <c:v>3078.400000000001</c:v>
                </c:pt>
                <c:pt idx="56">
                  <c:v>3078.400000000001</c:v>
                </c:pt>
                <c:pt idx="57">
                  <c:v>3078.400000000001</c:v>
                </c:pt>
                <c:pt idx="58">
                  <c:v>3078.400000000001</c:v>
                </c:pt>
                <c:pt idx="59">
                  <c:v>3078.400000000001</c:v>
                </c:pt>
                <c:pt idx="60">
                  <c:v>3078.400000000001</c:v>
                </c:pt>
                <c:pt idx="61">
                  <c:v>3078.400000000001</c:v>
                </c:pt>
                <c:pt idx="62">
                  <c:v>3158.400000000001</c:v>
                </c:pt>
                <c:pt idx="63">
                  <c:v>3350.400000000001</c:v>
                </c:pt>
                <c:pt idx="64">
                  <c:v>3606.400000000001</c:v>
                </c:pt>
                <c:pt idx="65">
                  <c:v>4118.4000000000005</c:v>
                </c:pt>
                <c:pt idx="66">
                  <c:v>4118.4000000000005</c:v>
                </c:pt>
                <c:pt idx="67">
                  <c:v>4118.4000000000005</c:v>
                </c:pt>
                <c:pt idx="68">
                  <c:v>4118.4000000000005</c:v>
                </c:pt>
                <c:pt idx="69">
                  <c:v>4118.4000000000005</c:v>
                </c:pt>
                <c:pt idx="70">
                  <c:v>4118.4000000000005</c:v>
                </c:pt>
                <c:pt idx="71">
                  <c:v>4006.4000000000005</c:v>
                </c:pt>
                <c:pt idx="72">
                  <c:v>4358.4000000000005</c:v>
                </c:pt>
                <c:pt idx="73">
                  <c:v>4438.4000000000005</c:v>
                </c:pt>
                <c:pt idx="74">
                  <c:v>4438.4000000000005</c:v>
                </c:pt>
                <c:pt idx="75">
                  <c:v>4438.4000000000005</c:v>
                </c:pt>
                <c:pt idx="76">
                  <c:v>4438.4000000000005</c:v>
                </c:pt>
                <c:pt idx="77">
                  <c:v>4438.4000000000005</c:v>
                </c:pt>
                <c:pt idx="78">
                  <c:v>4438.4000000000005</c:v>
                </c:pt>
                <c:pt idx="79">
                  <c:v>4438.4000000000005</c:v>
                </c:pt>
                <c:pt idx="80">
                  <c:v>4438.4000000000005</c:v>
                </c:pt>
                <c:pt idx="81">
                  <c:v>4438.4000000000005</c:v>
                </c:pt>
                <c:pt idx="82">
                  <c:v>4844.3999999999614</c:v>
                </c:pt>
                <c:pt idx="83">
                  <c:v>4844.3999999999614</c:v>
                </c:pt>
                <c:pt idx="84">
                  <c:v>4924.3999999999614</c:v>
                </c:pt>
                <c:pt idx="85">
                  <c:v>5004.3999999999623</c:v>
                </c:pt>
                <c:pt idx="86">
                  <c:v>5004.3999999999623</c:v>
                </c:pt>
                <c:pt idx="87">
                  <c:v>5004.3999999999623</c:v>
                </c:pt>
                <c:pt idx="88">
                  <c:v>5004.3999999999623</c:v>
                </c:pt>
                <c:pt idx="89">
                  <c:v>5004.3999999999623</c:v>
                </c:pt>
                <c:pt idx="90">
                  <c:v>5004.3999999999623</c:v>
                </c:pt>
                <c:pt idx="91">
                  <c:v>5004.3999999999623</c:v>
                </c:pt>
                <c:pt idx="92">
                  <c:v>5004.3999999999623</c:v>
                </c:pt>
                <c:pt idx="93">
                  <c:v>5084.3999999999623</c:v>
                </c:pt>
                <c:pt idx="94">
                  <c:v>5044.3999999999705</c:v>
                </c:pt>
                <c:pt idx="95">
                  <c:v>5044.3999999999705</c:v>
                </c:pt>
                <c:pt idx="96">
                  <c:v>5044.3999999999705</c:v>
                </c:pt>
                <c:pt idx="97">
                  <c:v>6996.3999999999705</c:v>
                </c:pt>
                <c:pt idx="98">
                  <c:v>6996.3999999999705</c:v>
                </c:pt>
                <c:pt idx="99">
                  <c:v>6996.3999999999705</c:v>
                </c:pt>
                <c:pt idx="100">
                  <c:v>6996.3999999999705</c:v>
                </c:pt>
                <c:pt idx="101">
                  <c:v>7042.7999999998628</c:v>
                </c:pt>
                <c:pt idx="102">
                  <c:v>7394.7999999998628</c:v>
                </c:pt>
                <c:pt idx="103">
                  <c:v>7394.7999999998628</c:v>
                </c:pt>
                <c:pt idx="104">
                  <c:v>7394.7999999998628</c:v>
                </c:pt>
                <c:pt idx="105">
                  <c:v>7394.7999999998628</c:v>
                </c:pt>
                <c:pt idx="106">
                  <c:v>7394.7999999998628</c:v>
                </c:pt>
                <c:pt idx="107">
                  <c:v>7394.7999999998628</c:v>
                </c:pt>
                <c:pt idx="108">
                  <c:v>7586.7999999996882</c:v>
                </c:pt>
                <c:pt idx="109">
                  <c:v>7842.7999999996882</c:v>
                </c:pt>
                <c:pt idx="110">
                  <c:v>8162.7999999996882</c:v>
                </c:pt>
                <c:pt idx="111">
                  <c:v>8866.7999999996882</c:v>
                </c:pt>
                <c:pt idx="112">
                  <c:v>9378.7999999996882</c:v>
                </c:pt>
                <c:pt idx="113">
                  <c:v>9378.7999999996882</c:v>
                </c:pt>
                <c:pt idx="114">
                  <c:v>9378.7999999996882</c:v>
                </c:pt>
                <c:pt idx="115">
                  <c:v>9378.7999999996882</c:v>
                </c:pt>
                <c:pt idx="116">
                  <c:v>9378.7999999996882</c:v>
                </c:pt>
                <c:pt idx="117">
                  <c:v>9378.7999999996882</c:v>
                </c:pt>
                <c:pt idx="118">
                  <c:v>9378.7999999996882</c:v>
                </c:pt>
                <c:pt idx="119">
                  <c:v>9602.7999999996882</c:v>
                </c:pt>
                <c:pt idx="120">
                  <c:v>9602.7999999996882</c:v>
                </c:pt>
                <c:pt idx="121">
                  <c:v>9481.9799999997977</c:v>
                </c:pt>
                <c:pt idx="122">
                  <c:v>9481.9799999997977</c:v>
                </c:pt>
                <c:pt idx="123">
                  <c:v>9481.9799999997977</c:v>
                </c:pt>
                <c:pt idx="124">
                  <c:v>9481.9799999997977</c:v>
                </c:pt>
                <c:pt idx="125">
                  <c:v>9481.9799999997977</c:v>
                </c:pt>
                <c:pt idx="126">
                  <c:v>9481.9799999997977</c:v>
                </c:pt>
                <c:pt idx="127">
                  <c:v>9481.9799999997977</c:v>
                </c:pt>
                <c:pt idx="128">
                  <c:v>9481.9799999997977</c:v>
                </c:pt>
                <c:pt idx="129">
                  <c:v>9481.9799999997977</c:v>
                </c:pt>
                <c:pt idx="130">
                  <c:v>9481.9799999997977</c:v>
                </c:pt>
                <c:pt idx="131">
                  <c:v>9481.9799999997977</c:v>
                </c:pt>
                <c:pt idx="132">
                  <c:v>9481.9799999997977</c:v>
                </c:pt>
                <c:pt idx="133">
                  <c:v>9481.9799999997977</c:v>
                </c:pt>
                <c:pt idx="134">
                  <c:v>9481.9799999997977</c:v>
                </c:pt>
                <c:pt idx="135">
                  <c:v>9325.3799999997918</c:v>
                </c:pt>
                <c:pt idx="136">
                  <c:v>9325.3799999997918</c:v>
                </c:pt>
                <c:pt idx="137">
                  <c:v>9325.3799999997918</c:v>
                </c:pt>
                <c:pt idx="138">
                  <c:v>9325.3799999997918</c:v>
                </c:pt>
                <c:pt idx="139">
                  <c:v>9021.3799999997918</c:v>
                </c:pt>
                <c:pt idx="140">
                  <c:v>9021.3799999997918</c:v>
                </c:pt>
                <c:pt idx="141">
                  <c:v>9213.3799999997918</c:v>
                </c:pt>
                <c:pt idx="142">
                  <c:v>10107.379999999792</c:v>
                </c:pt>
                <c:pt idx="143">
                  <c:v>10395.379999999792</c:v>
                </c:pt>
                <c:pt idx="144">
                  <c:v>10395.379999999792</c:v>
                </c:pt>
                <c:pt idx="145">
                  <c:v>10395.379999999792</c:v>
                </c:pt>
                <c:pt idx="146">
                  <c:v>10395.379999999792</c:v>
                </c:pt>
                <c:pt idx="147">
                  <c:v>10907.379999999792</c:v>
                </c:pt>
                <c:pt idx="148">
                  <c:v>11771.379999999792</c:v>
                </c:pt>
                <c:pt idx="149">
                  <c:v>11771.379999999792</c:v>
                </c:pt>
                <c:pt idx="150">
                  <c:v>11771.379999999792</c:v>
                </c:pt>
                <c:pt idx="151">
                  <c:v>11771.379999999792</c:v>
                </c:pt>
                <c:pt idx="152">
                  <c:v>11800.379999999765</c:v>
                </c:pt>
                <c:pt idx="153">
                  <c:v>11713.379999999761</c:v>
                </c:pt>
                <c:pt idx="154">
                  <c:v>12001.379999999761</c:v>
                </c:pt>
                <c:pt idx="155">
                  <c:v>12337.379999999761</c:v>
                </c:pt>
                <c:pt idx="156">
                  <c:v>12337.379999999761</c:v>
                </c:pt>
                <c:pt idx="157">
                  <c:v>12417.379999999761</c:v>
                </c:pt>
                <c:pt idx="158">
                  <c:v>12417.379999999761</c:v>
                </c:pt>
                <c:pt idx="159">
                  <c:v>14849.379999999761</c:v>
                </c:pt>
                <c:pt idx="160">
                  <c:v>14849.379999999761</c:v>
                </c:pt>
                <c:pt idx="161">
                  <c:v>14849.379999999761</c:v>
                </c:pt>
                <c:pt idx="162">
                  <c:v>14849.379999999761</c:v>
                </c:pt>
                <c:pt idx="163">
                  <c:v>14849.379999999761</c:v>
                </c:pt>
                <c:pt idx="164">
                  <c:v>14849.379999999761</c:v>
                </c:pt>
                <c:pt idx="165">
                  <c:v>14895.779999999653</c:v>
                </c:pt>
                <c:pt idx="166">
                  <c:v>14895.779999999653</c:v>
                </c:pt>
                <c:pt idx="167">
                  <c:v>15567.779999999653</c:v>
                </c:pt>
                <c:pt idx="168">
                  <c:v>15887.779999999653</c:v>
                </c:pt>
                <c:pt idx="169">
                  <c:v>15887.779999999653</c:v>
                </c:pt>
                <c:pt idx="170">
                  <c:v>15887.779999999653</c:v>
                </c:pt>
                <c:pt idx="171">
                  <c:v>16287.779999999653</c:v>
                </c:pt>
                <c:pt idx="172">
                  <c:v>16316.779999999628</c:v>
                </c:pt>
                <c:pt idx="173">
                  <c:v>16396.779999999628</c:v>
                </c:pt>
                <c:pt idx="174">
                  <c:v>16684.779999999628</c:v>
                </c:pt>
                <c:pt idx="175">
                  <c:v>16684.779999999628</c:v>
                </c:pt>
                <c:pt idx="176">
                  <c:v>16684.779999999628</c:v>
                </c:pt>
                <c:pt idx="177">
                  <c:v>16684.779999999628</c:v>
                </c:pt>
                <c:pt idx="178">
                  <c:v>16684.779999999628</c:v>
                </c:pt>
                <c:pt idx="179">
                  <c:v>17836.779999999628</c:v>
                </c:pt>
                <c:pt idx="180">
                  <c:v>17836.779999999628</c:v>
                </c:pt>
                <c:pt idx="181">
                  <c:v>17836.779999999628</c:v>
                </c:pt>
                <c:pt idx="182">
                  <c:v>17836.779999999628</c:v>
                </c:pt>
                <c:pt idx="183">
                  <c:v>17836.779999999628</c:v>
                </c:pt>
                <c:pt idx="184">
                  <c:v>17836.779999999628</c:v>
                </c:pt>
                <c:pt idx="185">
                  <c:v>17836.779999999628</c:v>
                </c:pt>
                <c:pt idx="186">
                  <c:v>19135.979999999898</c:v>
                </c:pt>
                <c:pt idx="187">
                  <c:v>17343.979999999898</c:v>
                </c:pt>
                <c:pt idx="188">
                  <c:v>17439.979999999894</c:v>
                </c:pt>
                <c:pt idx="189">
                  <c:v>17439.979999999894</c:v>
                </c:pt>
                <c:pt idx="190">
                  <c:v>17439.979999999894</c:v>
                </c:pt>
                <c:pt idx="191">
                  <c:v>17439.979999999894</c:v>
                </c:pt>
                <c:pt idx="192">
                  <c:v>17439.979999999894</c:v>
                </c:pt>
                <c:pt idx="193">
                  <c:v>17439.979999999894</c:v>
                </c:pt>
                <c:pt idx="194">
                  <c:v>17439.979999999894</c:v>
                </c:pt>
                <c:pt idx="195">
                  <c:v>17439.979999999894</c:v>
                </c:pt>
                <c:pt idx="196">
                  <c:v>17439.979999999894</c:v>
                </c:pt>
                <c:pt idx="197">
                  <c:v>15839.979999999894</c:v>
                </c:pt>
                <c:pt idx="198">
                  <c:v>15839.979999999894</c:v>
                </c:pt>
                <c:pt idx="199">
                  <c:v>15839.979999999894</c:v>
                </c:pt>
                <c:pt idx="200">
                  <c:v>15839.979999999894</c:v>
                </c:pt>
                <c:pt idx="201">
                  <c:v>15551.979999999894</c:v>
                </c:pt>
                <c:pt idx="202">
                  <c:v>15638.979999999814</c:v>
                </c:pt>
                <c:pt idx="203">
                  <c:v>15938.979999999814</c:v>
                </c:pt>
                <c:pt idx="204">
                  <c:v>16538.979999999814</c:v>
                </c:pt>
                <c:pt idx="205">
                  <c:v>17082.979999999814</c:v>
                </c:pt>
                <c:pt idx="206">
                  <c:v>16058.979999999814</c:v>
                </c:pt>
                <c:pt idx="207">
                  <c:v>16058.979999999814</c:v>
                </c:pt>
                <c:pt idx="208">
                  <c:v>16058.979999999814</c:v>
                </c:pt>
                <c:pt idx="209">
                  <c:v>16058.979999999814</c:v>
                </c:pt>
                <c:pt idx="210">
                  <c:v>16138.979999999814</c:v>
                </c:pt>
                <c:pt idx="211">
                  <c:v>16138.979999999814</c:v>
                </c:pt>
                <c:pt idx="212">
                  <c:v>16138.979999999814</c:v>
                </c:pt>
                <c:pt idx="213">
                  <c:v>16218.979999999814</c:v>
                </c:pt>
                <c:pt idx="214">
                  <c:v>16298.979999999814</c:v>
                </c:pt>
                <c:pt idx="215">
                  <c:v>16298.979999999814</c:v>
                </c:pt>
                <c:pt idx="216">
                  <c:v>16298.979999999814</c:v>
                </c:pt>
                <c:pt idx="217">
                  <c:v>16298.979999999814</c:v>
                </c:pt>
                <c:pt idx="218">
                  <c:v>16298.979999999814</c:v>
                </c:pt>
                <c:pt idx="219">
                  <c:v>16298.979999999814</c:v>
                </c:pt>
                <c:pt idx="220">
                  <c:v>16298.979999999814</c:v>
                </c:pt>
                <c:pt idx="221">
                  <c:v>16298.979999999814</c:v>
                </c:pt>
                <c:pt idx="222">
                  <c:v>16298.979999999814</c:v>
                </c:pt>
                <c:pt idx="223">
                  <c:v>16298.979999999814</c:v>
                </c:pt>
                <c:pt idx="224">
                  <c:v>16298.979999999814</c:v>
                </c:pt>
                <c:pt idx="225">
                  <c:v>16378.979999999814</c:v>
                </c:pt>
                <c:pt idx="226">
                  <c:v>16218.979999999814</c:v>
                </c:pt>
                <c:pt idx="227">
                  <c:v>15018.979999999814</c:v>
                </c:pt>
                <c:pt idx="228">
                  <c:v>14718.979999999814</c:v>
                </c:pt>
                <c:pt idx="229">
                  <c:v>14974.979999999814</c:v>
                </c:pt>
                <c:pt idx="230">
                  <c:v>14974.979999999814</c:v>
                </c:pt>
                <c:pt idx="231">
                  <c:v>14974.979999999814</c:v>
                </c:pt>
                <c:pt idx="232">
                  <c:v>14974.979999999814</c:v>
                </c:pt>
                <c:pt idx="233">
                  <c:v>14974.979999999814</c:v>
                </c:pt>
                <c:pt idx="234">
                  <c:v>14974.979999999814</c:v>
                </c:pt>
                <c:pt idx="235">
                  <c:v>14974.979999999814</c:v>
                </c:pt>
                <c:pt idx="236">
                  <c:v>14974.979999999814</c:v>
                </c:pt>
                <c:pt idx="237">
                  <c:v>14974.979999999814</c:v>
                </c:pt>
                <c:pt idx="238">
                  <c:v>14974.979999999814</c:v>
                </c:pt>
                <c:pt idx="239">
                  <c:v>14974.979999999814</c:v>
                </c:pt>
                <c:pt idx="240">
                  <c:v>14974.979999999814</c:v>
                </c:pt>
                <c:pt idx="241">
                  <c:v>14974.979999999814</c:v>
                </c:pt>
                <c:pt idx="242">
                  <c:v>14974.979999999814</c:v>
                </c:pt>
                <c:pt idx="243">
                  <c:v>14974.979999999814</c:v>
                </c:pt>
                <c:pt idx="244">
                  <c:v>14494.979999999814</c:v>
                </c:pt>
                <c:pt idx="245">
                  <c:v>14654.979999999814</c:v>
                </c:pt>
                <c:pt idx="246">
                  <c:v>14654.979999999814</c:v>
                </c:pt>
                <c:pt idx="247">
                  <c:v>14654.979999999814</c:v>
                </c:pt>
                <c:pt idx="248">
                  <c:v>14654.979999999814</c:v>
                </c:pt>
                <c:pt idx="249">
                  <c:v>14654.979999999814</c:v>
                </c:pt>
                <c:pt idx="250">
                  <c:v>14654.979999999814</c:v>
                </c:pt>
                <c:pt idx="251">
                  <c:v>14654.979999999814</c:v>
                </c:pt>
                <c:pt idx="252">
                  <c:v>14654.979999999814</c:v>
                </c:pt>
                <c:pt idx="253">
                  <c:v>14654.979999999814</c:v>
                </c:pt>
                <c:pt idx="254">
                  <c:v>14654.979999999814</c:v>
                </c:pt>
                <c:pt idx="255">
                  <c:v>14654.979999999814</c:v>
                </c:pt>
                <c:pt idx="256">
                  <c:v>14654.979999999814</c:v>
                </c:pt>
                <c:pt idx="257">
                  <c:v>14654.979999999814</c:v>
                </c:pt>
                <c:pt idx="258">
                  <c:v>14654.979999999814</c:v>
                </c:pt>
                <c:pt idx="259">
                  <c:v>14654.979999999814</c:v>
                </c:pt>
                <c:pt idx="260">
                  <c:v>14654.979999999814</c:v>
                </c:pt>
                <c:pt idx="261">
                  <c:v>14654.979999999814</c:v>
                </c:pt>
                <c:pt idx="262">
                  <c:v>15454.979999999814</c:v>
                </c:pt>
                <c:pt idx="263">
                  <c:v>15454.979999999814</c:v>
                </c:pt>
                <c:pt idx="264">
                  <c:v>15454.979999999814</c:v>
                </c:pt>
                <c:pt idx="265">
                  <c:v>15454.979999999814</c:v>
                </c:pt>
                <c:pt idx="266">
                  <c:v>15454.979999999814</c:v>
                </c:pt>
                <c:pt idx="267">
                  <c:v>15454.979999999814</c:v>
                </c:pt>
                <c:pt idx="268">
                  <c:v>18014.979999999814</c:v>
                </c:pt>
                <c:pt idx="269">
                  <c:v>18014.979999999814</c:v>
                </c:pt>
                <c:pt idx="270">
                  <c:v>18014.979999999814</c:v>
                </c:pt>
                <c:pt idx="271">
                  <c:v>18014.979999999814</c:v>
                </c:pt>
                <c:pt idx="272">
                  <c:v>18014.979999999814</c:v>
                </c:pt>
                <c:pt idx="273">
                  <c:v>18014.979999999814</c:v>
                </c:pt>
                <c:pt idx="274">
                  <c:v>18014.979999999814</c:v>
                </c:pt>
                <c:pt idx="275">
                  <c:v>18014.979999999814</c:v>
                </c:pt>
                <c:pt idx="276">
                  <c:v>18014.979999999814</c:v>
                </c:pt>
                <c:pt idx="277">
                  <c:v>18038.979999999814</c:v>
                </c:pt>
                <c:pt idx="278">
                  <c:v>18038.979999999814</c:v>
                </c:pt>
                <c:pt idx="279">
                  <c:v>18038.979999999814</c:v>
                </c:pt>
                <c:pt idx="280">
                  <c:v>18038.979999999814</c:v>
                </c:pt>
                <c:pt idx="281">
                  <c:v>18038.979999999814</c:v>
                </c:pt>
                <c:pt idx="282">
                  <c:v>18518.979999999814</c:v>
                </c:pt>
                <c:pt idx="283">
                  <c:v>18518.979999999814</c:v>
                </c:pt>
                <c:pt idx="284">
                  <c:v>18518.979999999814</c:v>
                </c:pt>
                <c:pt idx="285">
                  <c:v>18147.780000000021</c:v>
                </c:pt>
                <c:pt idx="286">
                  <c:v>18130.380000000019</c:v>
                </c:pt>
                <c:pt idx="287">
                  <c:v>18130.380000000019</c:v>
                </c:pt>
                <c:pt idx="288">
                  <c:v>18130.380000000019</c:v>
                </c:pt>
                <c:pt idx="289">
                  <c:v>18130.380000000019</c:v>
                </c:pt>
                <c:pt idx="290">
                  <c:v>18130.380000000019</c:v>
                </c:pt>
                <c:pt idx="291">
                  <c:v>21250.380000000019</c:v>
                </c:pt>
                <c:pt idx="292">
                  <c:v>21250.380000000019</c:v>
                </c:pt>
                <c:pt idx="293">
                  <c:v>21250.380000000019</c:v>
                </c:pt>
                <c:pt idx="294">
                  <c:v>21250.380000000019</c:v>
                </c:pt>
                <c:pt idx="295">
                  <c:v>21250.380000000019</c:v>
                </c:pt>
                <c:pt idx="296">
                  <c:v>21279.379999999994</c:v>
                </c:pt>
                <c:pt idx="297">
                  <c:v>20799.379999999976</c:v>
                </c:pt>
                <c:pt idx="298">
                  <c:v>20799.379999999976</c:v>
                </c:pt>
                <c:pt idx="299">
                  <c:v>20799.379999999976</c:v>
                </c:pt>
                <c:pt idx="300">
                  <c:v>20799.379999999976</c:v>
                </c:pt>
                <c:pt idx="301">
                  <c:v>20799.379999999976</c:v>
                </c:pt>
                <c:pt idx="302">
                  <c:v>20799.379999999976</c:v>
                </c:pt>
                <c:pt idx="303">
                  <c:v>20799.379999999976</c:v>
                </c:pt>
                <c:pt idx="304">
                  <c:v>21183.379999999976</c:v>
                </c:pt>
                <c:pt idx="305">
                  <c:v>21252.979999999978</c:v>
                </c:pt>
                <c:pt idx="306">
                  <c:v>21652.980000000181</c:v>
                </c:pt>
                <c:pt idx="307">
                  <c:v>21652.980000000181</c:v>
                </c:pt>
                <c:pt idx="308">
                  <c:v>21652.980000000181</c:v>
                </c:pt>
                <c:pt idx="309">
                  <c:v>21652.980000000181</c:v>
                </c:pt>
                <c:pt idx="310">
                  <c:v>21652.980000000181</c:v>
                </c:pt>
                <c:pt idx="311">
                  <c:v>21652.980000000181</c:v>
                </c:pt>
                <c:pt idx="312">
                  <c:v>21861.780000000188</c:v>
                </c:pt>
                <c:pt idx="313">
                  <c:v>21861.780000000188</c:v>
                </c:pt>
                <c:pt idx="314">
                  <c:v>22325.780000000188</c:v>
                </c:pt>
                <c:pt idx="315">
                  <c:v>22325.780000000188</c:v>
                </c:pt>
                <c:pt idx="316">
                  <c:v>22405.780000000188</c:v>
                </c:pt>
                <c:pt idx="317">
                  <c:v>22144.780000000177</c:v>
                </c:pt>
                <c:pt idx="318">
                  <c:v>22144.780000000177</c:v>
                </c:pt>
                <c:pt idx="319">
                  <c:v>22144.780000000177</c:v>
                </c:pt>
                <c:pt idx="320">
                  <c:v>22144.780000000177</c:v>
                </c:pt>
                <c:pt idx="321">
                  <c:v>22144.780000000177</c:v>
                </c:pt>
                <c:pt idx="322">
                  <c:v>22144.780000000177</c:v>
                </c:pt>
                <c:pt idx="323">
                  <c:v>22144.780000000177</c:v>
                </c:pt>
                <c:pt idx="324">
                  <c:v>22144.780000000177</c:v>
                </c:pt>
                <c:pt idx="325">
                  <c:v>22144.780000000177</c:v>
                </c:pt>
                <c:pt idx="326">
                  <c:v>22144.780000000177</c:v>
                </c:pt>
                <c:pt idx="327">
                  <c:v>22144.780000000177</c:v>
                </c:pt>
                <c:pt idx="328">
                  <c:v>22544.780000000177</c:v>
                </c:pt>
                <c:pt idx="329">
                  <c:v>22544.780000000177</c:v>
                </c:pt>
                <c:pt idx="330">
                  <c:v>23264.780000000177</c:v>
                </c:pt>
                <c:pt idx="331">
                  <c:v>23344.780000000177</c:v>
                </c:pt>
                <c:pt idx="332">
                  <c:v>23344.780000000177</c:v>
                </c:pt>
                <c:pt idx="333">
                  <c:v>25184.780000000177</c:v>
                </c:pt>
                <c:pt idx="334">
                  <c:v>26704.780000000177</c:v>
                </c:pt>
                <c:pt idx="335">
                  <c:v>26704.780000000177</c:v>
                </c:pt>
                <c:pt idx="336">
                  <c:v>26704.780000000177</c:v>
                </c:pt>
                <c:pt idx="337">
                  <c:v>26704.780000000177</c:v>
                </c:pt>
                <c:pt idx="338">
                  <c:v>26704.780000000177</c:v>
                </c:pt>
                <c:pt idx="339">
                  <c:v>26704.780000000177</c:v>
                </c:pt>
                <c:pt idx="340">
                  <c:v>26704.780000000177</c:v>
                </c:pt>
                <c:pt idx="341">
                  <c:v>26704.780000000177</c:v>
                </c:pt>
                <c:pt idx="342">
                  <c:v>26704.780000000177</c:v>
                </c:pt>
                <c:pt idx="343">
                  <c:v>26704.780000000177</c:v>
                </c:pt>
                <c:pt idx="344">
                  <c:v>26704.780000000177</c:v>
                </c:pt>
                <c:pt idx="345">
                  <c:v>26704.780000000177</c:v>
                </c:pt>
                <c:pt idx="346">
                  <c:v>26704.780000000177</c:v>
                </c:pt>
                <c:pt idx="347">
                  <c:v>26704.780000000177</c:v>
                </c:pt>
                <c:pt idx="348">
                  <c:v>26704.780000000177</c:v>
                </c:pt>
                <c:pt idx="349">
                  <c:v>26704.780000000177</c:v>
                </c:pt>
                <c:pt idx="350">
                  <c:v>26704.780000000177</c:v>
                </c:pt>
                <c:pt idx="351">
                  <c:v>26704.780000000177</c:v>
                </c:pt>
                <c:pt idx="352">
                  <c:v>26704.780000000177</c:v>
                </c:pt>
                <c:pt idx="353">
                  <c:v>26704.780000000177</c:v>
                </c:pt>
                <c:pt idx="354">
                  <c:v>27312.780000000177</c:v>
                </c:pt>
                <c:pt idx="355">
                  <c:v>27312.780000000177</c:v>
                </c:pt>
                <c:pt idx="356">
                  <c:v>27312.780000000177</c:v>
                </c:pt>
                <c:pt idx="357">
                  <c:v>26976.780000000177</c:v>
                </c:pt>
                <c:pt idx="358">
                  <c:v>27296.780000000177</c:v>
                </c:pt>
                <c:pt idx="359">
                  <c:v>27325.780000000152</c:v>
                </c:pt>
                <c:pt idx="360">
                  <c:v>27325.780000000152</c:v>
                </c:pt>
                <c:pt idx="361">
                  <c:v>27325.780000000152</c:v>
                </c:pt>
                <c:pt idx="362">
                  <c:v>27325.780000000152</c:v>
                </c:pt>
                <c:pt idx="363">
                  <c:v>27325.780000000152</c:v>
                </c:pt>
                <c:pt idx="364">
                  <c:v>27325.780000000152</c:v>
                </c:pt>
                <c:pt idx="365">
                  <c:v>30445.780000000152</c:v>
                </c:pt>
                <c:pt idx="366">
                  <c:v>30605.780000000152</c:v>
                </c:pt>
                <c:pt idx="367">
                  <c:v>30605.780000000152</c:v>
                </c:pt>
                <c:pt idx="368">
                  <c:v>30605.780000000152</c:v>
                </c:pt>
                <c:pt idx="369">
                  <c:v>30605.780000000152</c:v>
                </c:pt>
                <c:pt idx="370">
                  <c:v>30285.780000000152</c:v>
                </c:pt>
                <c:pt idx="371">
                  <c:v>30621.780000000152</c:v>
                </c:pt>
                <c:pt idx="372">
                  <c:v>30679.780000000181</c:v>
                </c:pt>
                <c:pt idx="373">
                  <c:v>31239.780000000181</c:v>
                </c:pt>
                <c:pt idx="374">
                  <c:v>31959.780000000181</c:v>
                </c:pt>
                <c:pt idx="375">
                  <c:v>31959.780000000181</c:v>
                </c:pt>
                <c:pt idx="376">
                  <c:v>31959.780000000181</c:v>
                </c:pt>
                <c:pt idx="377">
                  <c:v>31959.780000000181</c:v>
                </c:pt>
                <c:pt idx="378">
                  <c:v>31959.780000000181</c:v>
                </c:pt>
                <c:pt idx="379">
                  <c:v>31837.980000000094</c:v>
                </c:pt>
                <c:pt idx="380">
                  <c:v>31837.980000000094</c:v>
                </c:pt>
                <c:pt idx="381">
                  <c:v>31837.980000000094</c:v>
                </c:pt>
                <c:pt idx="382">
                  <c:v>31837.980000000094</c:v>
                </c:pt>
                <c:pt idx="383">
                  <c:v>32157.980000000094</c:v>
                </c:pt>
                <c:pt idx="384">
                  <c:v>31837.980000000094</c:v>
                </c:pt>
                <c:pt idx="385">
                  <c:v>31837.980000000094</c:v>
                </c:pt>
                <c:pt idx="386">
                  <c:v>31677.980000000094</c:v>
                </c:pt>
                <c:pt idx="387">
                  <c:v>31677.980000000094</c:v>
                </c:pt>
                <c:pt idx="388">
                  <c:v>31357.97999999993</c:v>
                </c:pt>
                <c:pt idx="389">
                  <c:v>31357.97999999993</c:v>
                </c:pt>
                <c:pt idx="390">
                  <c:v>31357.97999999993</c:v>
                </c:pt>
                <c:pt idx="391">
                  <c:v>31357.97999999993</c:v>
                </c:pt>
                <c:pt idx="392">
                  <c:v>31657.97999999993</c:v>
                </c:pt>
                <c:pt idx="393">
                  <c:v>31957.97999999993</c:v>
                </c:pt>
                <c:pt idx="394">
                  <c:v>32700.380000000179</c:v>
                </c:pt>
                <c:pt idx="395">
                  <c:v>32572.380000000205</c:v>
                </c:pt>
                <c:pt idx="396">
                  <c:v>32124.380000000205</c:v>
                </c:pt>
                <c:pt idx="397">
                  <c:v>32572.380000000205</c:v>
                </c:pt>
                <c:pt idx="398">
                  <c:v>32572.380000000205</c:v>
                </c:pt>
                <c:pt idx="399">
                  <c:v>31932.380000000205</c:v>
                </c:pt>
                <c:pt idx="400">
                  <c:v>31932.380000000205</c:v>
                </c:pt>
                <c:pt idx="401">
                  <c:v>30588.380000000205</c:v>
                </c:pt>
                <c:pt idx="402">
                  <c:v>29916.380000000208</c:v>
                </c:pt>
                <c:pt idx="403">
                  <c:v>29916.380000000208</c:v>
                </c:pt>
                <c:pt idx="404">
                  <c:v>29916.380000000208</c:v>
                </c:pt>
                <c:pt idx="405">
                  <c:v>29916.380000000208</c:v>
                </c:pt>
                <c:pt idx="406">
                  <c:v>29916.380000000208</c:v>
                </c:pt>
                <c:pt idx="407">
                  <c:v>29916.380000000208</c:v>
                </c:pt>
                <c:pt idx="408">
                  <c:v>29916.380000000208</c:v>
                </c:pt>
                <c:pt idx="409">
                  <c:v>29916.380000000208</c:v>
                </c:pt>
                <c:pt idx="410">
                  <c:v>29916.380000000208</c:v>
                </c:pt>
                <c:pt idx="411">
                  <c:v>29916.380000000208</c:v>
                </c:pt>
                <c:pt idx="412">
                  <c:v>29916.380000000208</c:v>
                </c:pt>
                <c:pt idx="413">
                  <c:v>29916.380000000208</c:v>
                </c:pt>
                <c:pt idx="414">
                  <c:v>29916.380000000208</c:v>
                </c:pt>
                <c:pt idx="415">
                  <c:v>29916.380000000208</c:v>
                </c:pt>
                <c:pt idx="416">
                  <c:v>30396.380000000208</c:v>
                </c:pt>
                <c:pt idx="417">
                  <c:v>30396.380000000208</c:v>
                </c:pt>
                <c:pt idx="418">
                  <c:v>30396.380000000208</c:v>
                </c:pt>
                <c:pt idx="419">
                  <c:v>30396.380000000208</c:v>
                </c:pt>
                <c:pt idx="420">
                  <c:v>30696.380000000208</c:v>
                </c:pt>
                <c:pt idx="421">
                  <c:v>30696.380000000208</c:v>
                </c:pt>
                <c:pt idx="422">
                  <c:v>31176.380000000208</c:v>
                </c:pt>
                <c:pt idx="423">
                  <c:v>32076.380000000208</c:v>
                </c:pt>
                <c:pt idx="424">
                  <c:v>32556.380000000208</c:v>
                </c:pt>
                <c:pt idx="425">
                  <c:v>32556.380000000208</c:v>
                </c:pt>
                <c:pt idx="426">
                  <c:v>32556.380000000208</c:v>
                </c:pt>
                <c:pt idx="427">
                  <c:v>32556.380000000208</c:v>
                </c:pt>
                <c:pt idx="428">
                  <c:v>32556.380000000208</c:v>
                </c:pt>
                <c:pt idx="429">
                  <c:v>32236.380000000208</c:v>
                </c:pt>
                <c:pt idx="430">
                  <c:v>32207.380000000154</c:v>
                </c:pt>
                <c:pt idx="431">
                  <c:v>32207.380000000154</c:v>
                </c:pt>
                <c:pt idx="432">
                  <c:v>32207.380000000154</c:v>
                </c:pt>
                <c:pt idx="433">
                  <c:v>32207.380000000154</c:v>
                </c:pt>
                <c:pt idx="434">
                  <c:v>32207.380000000154</c:v>
                </c:pt>
                <c:pt idx="435">
                  <c:v>32207.380000000154</c:v>
                </c:pt>
                <c:pt idx="436">
                  <c:v>32207.380000000154</c:v>
                </c:pt>
                <c:pt idx="437">
                  <c:v>32207.380000000154</c:v>
                </c:pt>
                <c:pt idx="438">
                  <c:v>32207.380000000154</c:v>
                </c:pt>
                <c:pt idx="439">
                  <c:v>32527.380000000154</c:v>
                </c:pt>
                <c:pt idx="440">
                  <c:v>32527.380000000154</c:v>
                </c:pt>
                <c:pt idx="441">
                  <c:v>32527.380000000154</c:v>
                </c:pt>
                <c:pt idx="442">
                  <c:v>32527.380000000154</c:v>
                </c:pt>
                <c:pt idx="443">
                  <c:v>32527.380000000154</c:v>
                </c:pt>
                <c:pt idx="444">
                  <c:v>33327.380000000157</c:v>
                </c:pt>
                <c:pt idx="445">
                  <c:v>33327.380000000157</c:v>
                </c:pt>
                <c:pt idx="446">
                  <c:v>34207.380000000157</c:v>
                </c:pt>
                <c:pt idx="447">
                  <c:v>34207.380000000157</c:v>
                </c:pt>
                <c:pt idx="448">
                  <c:v>34207.380000000157</c:v>
                </c:pt>
                <c:pt idx="449">
                  <c:v>35407.380000000157</c:v>
                </c:pt>
                <c:pt idx="450">
                  <c:v>35233.38000000015</c:v>
                </c:pt>
                <c:pt idx="451">
                  <c:v>35233.38000000015</c:v>
                </c:pt>
                <c:pt idx="452">
                  <c:v>35233.38000000015</c:v>
                </c:pt>
                <c:pt idx="453">
                  <c:v>35233.38000000015</c:v>
                </c:pt>
                <c:pt idx="454">
                  <c:v>35233.38000000015</c:v>
                </c:pt>
                <c:pt idx="455">
                  <c:v>35233.38000000015</c:v>
                </c:pt>
                <c:pt idx="456">
                  <c:v>35233.38000000015</c:v>
                </c:pt>
                <c:pt idx="457">
                  <c:v>35320.379999999328</c:v>
                </c:pt>
                <c:pt idx="458">
                  <c:v>35720.379999999532</c:v>
                </c:pt>
                <c:pt idx="459">
                  <c:v>35720.379999999532</c:v>
                </c:pt>
                <c:pt idx="460">
                  <c:v>35720.379999999532</c:v>
                </c:pt>
                <c:pt idx="461">
                  <c:v>35720.379999999532</c:v>
                </c:pt>
                <c:pt idx="462">
                  <c:v>35720.379999999532</c:v>
                </c:pt>
                <c:pt idx="463">
                  <c:v>35720.379999999532</c:v>
                </c:pt>
                <c:pt idx="464">
                  <c:v>35836.379999999423</c:v>
                </c:pt>
                <c:pt idx="465">
                  <c:v>35836.379999999423</c:v>
                </c:pt>
                <c:pt idx="466">
                  <c:v>35836.379999999423</c:v>
                </c:pt>
                <c:pt idx="467">
                  <c:v>35836.379999999423</c:v>
                </c:pt>
                <c:pt idx="468">
                  <c:v>35836.379999999423</c:v>
                </c:pt>
                <c:pt idx="469">
                  <c:v>35836.379999999423</c:v>
                </c:pt>
                <c:pt idx="470">
                  <c:v>35836.379999999423</c:v>
                </c:pt>
                <c:pt idx="471">
                  <c:v>35836.379999999423</c:v>
                </c:pt>
                <c:pt idx="472">
                  <c:v>35836.379999999423</c:v>
                </c:pt>
                <c:pt idx="473">
                  <c:v>35836.379999999423</c:v>
                </c:pt>
                <c:pt idx="474">
                  <c:v>35836.379999999423</c:v>
                </c:pt>
                <c:pt idx="475">
                  <c:v>35836.379999999423</c:v>
                </c:pt>
                <c:pt idx="476">
                  <c:v>36236.379999999423</c:v>
                </c:pt>
                <c:pt idx="477">
                  <c:v>36636.379999999423</c:v>
                </c:pt>
                <c:pt idx="478">
                  <c:v>37436.379999999423</c:v>
                </c:pt>
                <c:pt idx="479">
                  <c:v>38396.379999999423</c:v>
                </c:pt>
                <c:pt idx="480">
                  <c:v>38396.379999999423</c:v>
                </c:pt>
                <c:pt idx="481">
                  <c:v>38796.379999999423</c:v>
                </c:pt>
                <c:pt idx="482">
                  <c:v>39596.379999999423</c:v>
                </c:pt>
                <c:pt idx="483">
                  <c:v>40361.979999999618</c:v>
                </c:pt>
                <c:pt idx="484">
                  <c:v>37961.979999999618</c:v>
                </c:pt>
                <c:pt idx="485">
                  <c:v>35161.979999999618</c:v>
                </c:pt>
                <c:pt idx="486">
                  <c:v>31961.979999999618</c:v>
                </c:pt>
                <c:pt idx="487">
                  <c:v>31161.979999999618</c:v>
                </c:pt>
                <c:pt idx="488">
                  <c:v>31161.979999999618</c:v>
                </c:pt>
                <c:pt idx="489">
                  <c:v>31465.979999999618</c:v>
                </c:pt>
                <c:pt idx="490">
                  <c:v>31765.979999999618</c:v>
                </c:pt>
                <c:pt idx="491">
                  <c:v>31765.979999999618</c:v>
                </c:pt>
                <c:pt idx="492">
                  <c:v>31765.979999999618</c:v>
                </c:pt>
                <c:pt idx="493">
                  <c:v>31765.979999999618</c:v>
                </c:pt>
                <c:pt idx="494">
                  <c:v>31765.979999999618</c:v>
                </c:pt>
                <c:pt idx="495">
                  <c:v>31765.979999999618</c:v>
                </c:pt>
                <c:pt idx="496">
                  <c:v>31765.979999999618</c:v>
                </c:pt>
                <c:pt idx="497">
                  <c:v>31765.979999999618</c:v>
                </c:pt>
                <c:pt idx="498">
                  <c:v>31765.979999999618</c:v>
                </c:pt>
                <c:pt idx="499">
                  <c:v>31765.979999999618</c:v>
                </c:pt>
                <c:pt idx="500">
                  <c:v>34044.837142856763</c:v>
                </c:pt>
                <c:pt idx="501">
                  <c:v>35244.837142856763</c:v>
                </c:pt>
                <c:pt idx="502">
                  <c:v>35244.837142856763</c:v>
                </c:pt>
                <c:pt idx="503">
                  <c:v>35564.837142856763</c:v>
                </c:pt>
                <c:pt idx="504">
                  <c:v>35564.837142856763</c:v>
                </c:pt>
                <c:pt idx="505">
                  <c:v>35264.837142856763</c:v>
                </c:pt>
                <c:pt idx="506">
                  <c:v>35264.837142856763</c:v>
                </c:pt>
                <c:pt idx="507">
                  <c:v>36224.837142856763</c:v>
                </c:pt>
                <c:pt idx="508">
                  <c:v>38192.837142856763</c:v>
                </c:pt>
                <c:pt idx="509">
                  <c:v>37675.037142856745</c:v>
                </c:pt>
                <c:pt idx="510">
                  <c:v>37675.037142856745</c:v>
                </c:pt>
                <c:pt idx="511">
                  <c:v>37646.037142856687</c:v>
                </c:pt>
                <c:pt idx="512">
                  <c:v>37775.487142856568</c:v>
                </c:pt>
                <c:pt idx="513">
                  <c:v>37823.487142856568</c:v>
                </c:pt>
                <c:pt idx="514">
                  <c:v>37823.487142856568</c:v>
                </c:pt>
                <c:pt idx="515">
                  <c:v>37823.487142856568</c:v>
                </c:pt>
                <c:pt idx="516">
                  <c:v>37823.487142856568</c:v>
                </c:pt>
                <c:pt idx="517">
                  <c:v>37823.487142856568</c:v>
                </c:pt>
                <c:pt idx="518">
                  <c:v>37823.487142856568</c:v>
                </c:pt>
                <c:pt idx="519">
                  <c:v>37823.487142856568</c:v>
                </c:pt>
                <c:pt idx="520">
                  <c:v>39103.487142856568</c:v>
                </c:pt>
                <c:pt idx="521">
                  <c:v>39583.487142856568</c:v>
                </c:pt>
                <c:pt idx="522">
                  <c:v>44506.687142856565</c:v>
                </c:pt>
                <c:pt idx="523">
                  <c:v>44506.687142856565</c:v>
                </c:pt>
                <c:pt idx="524">
                  <c:v>45146.687142856565</c:v>
                </c:pt>
                <c:pt idx="525">
                  <c:v>45146.687142856565</c:v>
                </c:pt>
                <c:pt idx="526">
                  <c:v>45146.687142856565</c:v>
                </c:pt>
                <c:pt idx="527">
                  <c:v>43706.687142856565</c:v>
                </c:pt>
                <c:pt idx="528">
                  <c:v>43706.687142856565</c:v>
                </c:pt>
                <c:pt idx="529">
                  <c:v>43706.687142856565</c:v>
                </c:pt>
                <c:pt idx="530">
                  <c:v>43706.687142856565</c:v>
                </c:pt>
                <c:pt idx="531">
                  <c:v>43706.687142856565</c:v>
                </c:pt>
                <c:pt idx="532">
                  <c:v>43706.687142856565</c:v>
                </c:pt>
                <c:pt idx="533">
                  <c:v>43706.687142856565</c:v>
                </c:pt>
                <c:pt idx="534">
                  <c:v>43706.687142856565</c:v>
                </c:pt>
                <c:pt idx="535">
                  <c:v>43706.687142856565</c:v>
                </c:pt>
                <c:pt idx="536">
                  <c:v>43706.687142856565</c:v>
                </c:pt>
                <c:pt idx="537">
                  <c:v>43706.687142856565</c:v>
                </c:pt>
                <c:pt idx="538">
                  <c:v>43706.687142856565</c:v>
                </c:pt>
                <c:pt idx="539">
                  <c:v>43706.687142856565</c:v>
                </c:pt>
                <c:pt idx="540">
                  <c:v>43706.687142856565</c:v>
                </c:pt>
                <c:pt idx="541">
                  <c:v>43706.687142856565</c:v>
                </c:pt>
                <c:pt idx="542">
                  <c:v>43706.687142856565</c:v>
                </c:pt>
                <c:pt idx="543">
                  <c:v>43706.687142856565</c:v>
                </c:pt>
                <c:pt idx="544">
                  <c:v>43706.687142856565</c:v>
                </c:pt>
                <c:pt idx="545">
                  <c:v>43706.687142856565</c:v>
                </c:pt>
                <c:pt idx="546">
                  <c:v>43590.687142856506</c:v>
                </c:pt>
                <c:pt idx="547">
                  <c:v>43590.687142856506</c:v>
                </c:pt>
                <c:pt idx="548">
                  <c:v>46470.687142856506</c:v>
                </c:pt>
                <c:pt idx="549">
                  <c:v>46470.687142856506</c:v>
                </c:pt>
                <c:pt idx="550">
                  <c:v>46470.687142856506</c:v>
                </c:pt>
                <c:pt idx="551">
                  <c:v>46470.687142856506</c:v>
                </c:pt>
                <c:pt idx="552">
                  <c:v>47270.687142856506</c:v>
                </c:pt>
                <c:pt idx="553">
                  <c:v>49910.687142856506</c:v>
                </c:pt>
                <c:pt idx="554">
                  <c:v>51110.687142856506</c:v>
                </c:pt>
                <c:pt idx="555">
                  <c:v>52390.687142856506</c:v>
                </c:pt>
                <c:pt idx="556">
                  <c:v>53590.687142856506</c:v>
                </c:pt>
                <c:pt idx="557">
                  <c:v>53590.687142856506</c:v>
                </c:pt>
                <c:pt idx="558">
                  <c:v>53590.687142856506</c:v>
                </c:pt>
                <c:pt idx="559">
                  <c:v>53474.687142856528</c:v>
                </c:pt>
                <c:pt idx="560">
                  <c:v>53474.687142856528</c:v>
                </c:pt>
                <c:pt idx="561">
                  <c:v>53474.687142856528</c:v>
                </c:pt>
                <c:pt idx="562">
                  <c:v>53090.687142856528</c:v>
                </c:pt>
                <c:pt idx="563">
                  <c:v>51294.323506492889</c:v>
                </c:pt>
                <c:pt idx="564">
                  <c:v>51294.323506492889</c:v>
                </c:pt>
                <c:pt idx="565">
                  <c:v>50267.353506493135</c:v>
                </c:pt>
                <c:pt idx="566">
                  <c:v>50907.353506493135</c:v>
                </c:pt>
                <c:pt idx="567">
                  <c:v>50907.353506493135</c:v>
                </c:pt>
                <c:pt idx="568">
                  <c:v>50907.353506493135</c:v>
                </c:pt>
                <c:pt idx="569">
                  <c:v>51547.353506493135</c:v>
                </c:pt>
                <c:pt idx="570">
                  <c:v>51547.353506493135</c:v>
                </c:pt>
                <c:pt idx="571">
                  <c:v>53947.353506493135</c:v>
                </c:pt>
                <c:pt idx="572">
                  <c:v>54587.353506493135</c:v>
                </c:pt>
                <c:pt idx="573">
                  <c:v>54107.353506493229</c:v>
                </c:pt>
                <c:pt idx="574">
                  <c:v>54107.353506493229</c:v>
                </c:pt>
                <c:pt idx="575">
                  <c:v>54107.353506493229</c:v>
                </c:pt>
                <c:pt idx="576">
                  <c:v>54107.353506493229</c:v>
                </c:pt>
                <c:pt idx="577">
                  <c:v>54107.353506493229</c:v>
                </c:pt>
                <c:pt idx="578">
                  <c:v>54427.353506493229</c:v>
                </c:pt>
                <c:pt idx="579">
                  <c:v>54427.353506493229</c:v>
                </c:pt>
                <c:pt idx="580">
                  <c:v>54427.353506493229</c:v>
                </c:pt>
                <c:pt idx="581">
                  <c:v>54427.353506493229</c:v>
                </c:pt>
                <c:pt idx="582">
                  <c:v>54427.353506493229</c:v>
                </c:pt>
                <c:pt idx="583">
                  <c:v>54107.353506493229</c:v>
                </c:pt>
                <c:pt idx="584">
                  <c:v>54427.353506493397</c:v>
                </c:pt>
                <c:pt idx="585">
                  <c:v>54427.353506493397</c:v>
                </c:pt>
                <c:pt idx="586">
                  <c:v>54427.353506493397</c:v>
                </c:pt>
                <c:pt idx="587">
                  <c:v>54427.353506493397</c:v>
                </c:pt>
                <c:pt idx="588">
                  <c:v>54427.353506493397</c:v>
                </c:pt>
                <c:pt idx="589">
                  <c:v>54667.353506493397</c:v>
                </c:pt>
                <c:pt idx="590">
                  <c:v>54667.353506493397</c:v>
                </c:pt>
                <c:pt idx="591">
                  <c:v>55467.353506493397</c:v>
                </c:pt>
                <c:pt idx="592">
                  <c:v>55467.353506493397</c:v>
                </c:pt>
                <c:pt idx="593">
                  <c:v>56267.353506493397</c:v>
                </c:pt>
                <c:pt idx="594">
                  <c:v>56907.353506493397</c:v>
                </c:pt>
                <c:pt idx="595">
                  <c:v>57163.353506493397</c:v>
                </c:pt>
                <c:pt idx="596">
                  <c:v>57163.353506493397</c:v>
                </c:pt>
                <c:pt idx="597">
                  <c:v>57163.353506493397</c:v>
                </c:pt>
                <c:pt idx="598">
                  <c:v>58123.353506493397</c:v>
                </c:pt>
                <c:pt idx="599">
                  <c:v>58123.353506493397</c:v>
                </c:pt>
                <c:pt idx="600">
                  <c:v>58123.353506493397</c:v>
                </c:pt>
                <c:pt idx="601">
                  <c:v>58123.353506493397</c:v>
                </c:pt>
                <c:pt idx="602">
                  <c:v>58123.353506493397</c:v>
                </c:pt>
                <c:pt idx="603">
                  <c:v>58123.353506493397</c:v>
                </c:pt>
                <c:pt idx="604">
                  <c:v>58123.353506493397</c:v>
                </c:pt>
                <c:pt idx="605">
                  <c:v>58123.353506493397</c:v>
                </c:pt>
                <c:pt idx="606">
                  <c:v>58123.353506493397</c:v>
                </c:pt>
                <c:pt idx="607">
                  <c:v>57403.353506493397</c:v>
                </c:pt>
                <c:pt idx="608">
                  <c:v>57403.353506493397</c:v>
                </c:pt>
                <c:pt idx="609">
                  <c:v>57403.353506493397</c:v>
                </c:pt>
                <c:pt idx="610">
                  <c:v>56123.353506493397</c:v>
                </c:pt>
                <c:pt idx="611">
                  <c:v>55163.353506493397</c:v>
                </c:pt>
                <c:pt idx="612">
                  <c:v>55963.353506493397</c:v>
                </c:pt>
                <c:pt idx="613">
                  <c:v>56263.353506493397</c:v>
                </c:pt>
                <c:pt idx="614">
                  <c:v>56295.353506493397</c:v>
                </c:pt>
                <c:pt idx="615">
                  <c:v>56295.353506493397</c:v>
                </c:pt>
                <c:pt idx="616">
                  <c:v>56295.353506493397</c:v>
                </c:pt>
                <c:pt idx="617">
                  <c:v>56295.353506493397</c:v>
                </c:pt>
                <c:pt idx="618">
                  <c:v>56295.353506493397</c:v>
                </c:pt>
                <c:pt idx="619">
                  <c:v>56295.353506493397</c:v>
                </c:pt>
                <c:pt idx="620">
                  <c:v>56295.353506493397</c:v>
                </c:pt>
                <c:pt idx="621">
                  <c:v>56295.353506493397</c:v>
                </c:pt>
                <c:pt idx="622">
                  <c:v>56615.353506493557</c:v>
                </c:pt>
                <c:pt idx="623">
                  <c:v>57895.353506493557</c:v>
                </c:pt>
                <c:pt idx="624">
                  <c:v>57895.353506493557</c:v>
                </c:pt>
                <c:pt idx="625">
                  <c:v>58535.353506493557</c:v>
                </c:pt>
                <c:pt idx="626">
                  <c:v>58695.353506493557</c:v>
                </c:pt>
                <c:pt idx="627">
                  <c:v>59031.353506493557</c:v>
                </c:pt>
                <c:pt idx="628">
                  <c:v>59031.353506493557</c:v>
                </c:pt>
                <c:pt idx="629">
                  <c:v>61431.353506493557</c:v>
                </c:pt>
                <c:pt idx="630">
                  <c:v>61431.353506493557</c:v>
                </c:pt>
                <c:pt idx="631">
                  <c:v>61431.353506493557</c:v>
                </c:pt>
                <c:pt idx="632">
                  <c:v>59511.353506493258</c:v>
                </c:pt>
                <c:pt idx="633">
                  <c:v>57911.353506493353</c:v>
                </c:pt>
                <c:pt idx="634">
                  <c:v>55991.353506493055</c:v>
                </c:pt>
                <c:pt idx="635">
                  <c:v>54071.353506493055</c:v>
                </c:pt>
                <c:pt idx="636">
                  <c:v>52151.35350649344</c:v>
                </c:pt>
                <c:pt idx="637">
                  <c:v>54071.353506493739</c:v>
                </c:pt>
                <c:pt idx="638">
                  <c:v>54071.353506493739</c:v>
                </c:pt>
                <c:pt idx="639">
                  <c:v>54071.353506493739</c:v>
                </c:pt>
                <c:pt idx="640">
                  <c:v>52151.353506493739</c:v>
                </c:pt>
                <c:pt idx="641">
                  <c:v>51936.953506493737</c:v>
                </c:pt>
                <c:pt idx="642">
                  <c:v>50336.953506493737</c:v>
                </c:pt>
                <c:pt idx="643">
                  <c:v>50016.953506493737</c:v>
                </c:pt>
                <c:pt idx="644">
                  <c:v>50016.953506493737</c:v>
                </c:pt>
                <c:pt idx="645">
                  <c:v>50016.953506493737</c:v>
                </c:pt>
                <c:pt idx="646">
                  <c:v>50016.953506493737</c:v>
                </c:pt>
                <c:pt idx="647">
                  <c:v>50016.953506493737</c:v>
                </c:pt>
                <c:pt idx="648">
                  <c:v>50016.953506493737</c:v>
                </c:pt>
                <c:pt idx="649">
                  <c:v>50016.953506493737</c:v>
                </c:pt>
                <c:pt idx="650">
                  <c:v>50424.953506493737</c:v>
                </c:pt>
                <c:pt idx="651">
                  <c:v>50424.953506493737</c:v>
                </c:pt>
                <c:pt idx="652">
                  <c:v>50424.953506493737</c:v>
                </c:pt>
                <c:pt idx="653">
                  <c:v>50424.953506493737</c:v>
                </c:pt>
                <c:pt idx="654">
                  <c:v>50424.953506493737</c:v>
                </c:pt>
                <c:pt idx="655">
                  <c:v>50424.953506493737</c:v>
                </c:pt>
                <c:pt idx="656">
                  <c:v>50424.953506493737</c:v>
                </c:pt>
                <c:pt idx="657">
                  <c:v>50424.953506493737</c:v>
                </c:pt>
                <c:pt idx="658">
                  <c:v>50424.953506493737</c:v>
                </c:pt>
                <c:pt idx="659">
                  <c:v>50424.953506493737</c:v>
                </c:pt>
                <c:pt idx="660">
                  <c:v>50198.753506493646</c:v>
                </c:pt>
                <c:pt idx="661">
                  <c:v>48758.753506493646</c:v>
                </c:pt>
                <c:pt idx="662">
                  <c:v>48758.753506493646</c:v>
                </c:pt>
                <c:pt idx="663">
                  <c:v>48758.753506493646</c:v>
                </c:pt>
                <c:pt idx="664">
                  <c:v>48758.753506493646</c:v>
                </c:pt>
                <c:pt idx="665">
                  <c:v>48758.753506493646</c:v>
                </c:pt>
                <c:pt idx="666">
                  <c:v>44873.039220779363</c:v>
                </c:pt>
                <c:pt idx="667">
                  <c:v>42953.039220779363</c:v>
                </c:pt>
                <c:pt idx="668">
                  <c:v>37593.039220779363</c:v>
                </c:pt>
                <c:pt idx="669">
                  <c:v>37593.039220779363</c:v>
                </c:pt>
                <c:pt idx="670">
                  <c:v>37593.039220779363</c:v>
                </c:pt>
                <c:pt idx="671">
                  <c:v>39193.039220779363</c:v>
                </c:pt>
                <c:pt idx="672">
                  <c:v>38338.639220779361</c:v>
                </c:pt>
                <c:pt idx="673">
                  <c:v>38338.639220779361</c:v>
                </c:pt>
                <c:pt idx="674">
                  <c:v>38338.639220779361</c:v>
                </c:pt>
                <c:pt idx="675">
                  <c:v>39010.639220779361</c:v>
                </c:pt>
                <c:pt idx="676">
                  <c:v>39010.639220779361</c:v>
                </c:pt>
                <c:pt idx="677">
                  <c:v>39010.639220779361</c:v>
                </c:pt>
                <c:pt idx="678">
                  <c:v>39010.639220779361</c:v>
                </c:pt>
                <c:pt idx="679">
                  <c:v>39010.639220779361</c:v>
                </c:pt>
                <c:pt idx="680">
                  <c:v>39010.639220779361</c:v>
                </c:pt>
                <c:pt idx="681">
                  <c:v>39010.639220779361</c:v>
                </c:pt>
                <c:pt idx="682">
                  <c:v>39010.639220779361</c:v>
                </c:pt>
                <c:pt idx="683">
                  <c:v>39010.639220779361</c:v>
                </c:pt>
                <c:pt idx="684">
                  <c:v>39010.639220779361</c:v>
                </c:pt>
                <c:pt idx="685">
                  <c:v>39010.639220779361</c:v>
                </c:pt>
                <c:pt idx="686">
                  <c:v>39010.639220779361</c:v>
                </c:pt>
                <c:pt idx="687">
                  <c:v>39010.639220779361</c:v>
                </c:pt>
                <c:pt idx="688">
                  <c:v>39010.639220779361</c:v>
                </c:pt>
                <c:pt idx="689">
                  <c:v>39010.639220779361</c:v>
                </c:pt>
                <c:pt idx="690">
                  <c:v>39010.639220779361</c:v>
                </c:pt>
                <c:pt idx="691">
                  <c:v>39010.639220779361</c:v>
                </c:pt>
                <c:pt idx="692">
                  <c:v>39010.639220779361</c:v>
                </c:pt>
                <c:pt idx="693">
                  <c:v>39010.639220779361</c:v>
                </c:pt>
                <c:pt idx="694">
                  <c:v>39010.639220779361</c:v>
                </c:pt>
                <c:pt idx="695">
                  <c:v>39010.639220779361</c:v>
                </c:pt>
                <c:pt idx="696">
                  <c:v>39010.639220779361</c:v>
                </c:pt>
                <c:pt idx="697">
                  <c:v>39010.639220779361</c:v>
                </c:pt>
                <c:pt idx="698">
                  <c:v>41250.639220779361</c:v>
                </c:pt>
                <c:pt idx="699">
                  <c:v>41250.639220779361</c:v>
                </c:pt>
                <c:pt idx="700">
                  <c:v>41250.639220779361</c:v>
                </c:pt>
                <c:pt idx="701">
                  <c:v>41250.639220779361</c:v>
                </c:pt>
                <c:pt idx="702">
                  <c:v>41250.639220779361</c:v>
                </c:pt>
                <c:pt idx="703">
                  <c:v>42850.639220779361</c:v>
                </c:pt>
                <c:pt idx="704">
                  <c:v>42850.639220779361</c:v>
                </c:pt>
                <c:pt idx="705">
                  <c:v>42850.639220779361</c:v>
                </c:pt>
                <c:pt idx="706">
                  <c:v>43198.639220779289</c:v>
                </c:pt>
                <c:pt idx="707">
                  <c:v>43198.639220779289</c:v>
                </c:pt>
                <c:pt idx="708">
                  <c:v>43498.639220779289</c:v>
                </c:pt>
                <c:pt idx="709">
                  <c:v>44098.639220779289</c:v>
                </c:pt>
                <c:pt idx="710">
                  <c:v>44098.639220779289</c:v>
                </c:pt>
                <c:pt idx="711">
                  <c:v>44658.639220779289</c:v>
                </c:pt>
                <c:pt idx="712">
                  <c:v>46258.639220779289</c:v>
                </c:pt>
                <c:pt idx="713">
                  <c:v>46258.639220779289</c:v>
                </c:pt>
                <c:pt idx="714">
                  <c:v>46258.639220779289</c:v>
                </c:pt>
                <c:pt idx="715">
                  <c:v>46258.639220779289</c:v>
                </c:pt>
                <c:pt idx="716">
                  <c:v>46258.639220779289</c:v>
                </c:pt>
                <c:pt idx="717">
                  <c:v>46258.639220779289</c:v>
                </c:pt>
                <c:pt idx="718">
                  <c:v>46374.63922077918</c:v>
                </c:pt>
                <c:pt idx="719">
                  <c:v>46374.63922077918</c:v>
                </c:pt>
                <c:pt idx="720">
                  <c:v>46374.63922077918</c:v>
                </c:pt>
                <c:pt idx="721">
                  <c:v>46374.63922077918</c:v>
                </c:pt>
                <c:pt idx="722">
                  <c:v>46374.63922077918</c:v>
                </c:pt>
                <c:pt idx="723">
                  <c:v>49974.63922077918</c:v>
                </c:pt>
                <c:pt idx="724">
                  <c:v>50214.63922077918</c:v>
                </c:pt>
                <c:pt idx="725">
                  <c:v>50214.63922077918</c:v>
                </c:pt>
                <c:pt idx="726">
                  <c:v>50214.63922077918</c:v>
                </c:pt>
                <c:pt idx="727">
                  <c:v>50214.63922077918</c:v>
                </c:pt>
                <c:pt idx="728">
                  <c:v>50214.63922077918</c:v>
                </c:pt>
                <c:pt idx="729">
                  <c:v>50214.63922077918</c:v>
                </c:pt>
                <c:pt idx="730">
                  <c:v>50214.63922077918</c:v>
                </c:pt>
                <c:pt idx="731">
                  <c:v>50214.63922077918</c:v>
                </c:pt>
                <c:pt idx="732">
                  <c:v>50214.63922077918</c:v>
                </c:pt>
                <c:pt idx="733">
                  <c:v>50214.63922077918</c:v>
                </c:pt>
                <c:pt idx="734">
                  <c:v>50214.63922077918</c:v>
                </c:pt>
                <c:pt idx="735">
                  <c:v>50214.63922077918</c:v>
                </c:pt>
                <c:pt idx="736">
                  <c:v>50214.63922077918</c:v>
                </c:pt>
                <c:pt idx="737">
                  <c:v>50214.63922077918</c:v>
                </c:pt>
                <c:pt idx="738">
                  <c:v>50214.63922077918</c:v>
                </c:pt>
                <c:pt idx="739">
                  <c:v>50214.63922077918</c:v>
                </c:pt>
                <c:pt idx="740">
                  <c:v>50214.63922077918</c:v>
                </c:pt>
                <c:pt idx="741">
                  <c:v>50214.63922077918</c:v>
                </c:pt>
                <c:pt idx="742">
                  <c:v>50214.63922077918</c:v>
                </c:pt>
                <c:pt idx="743">
                  <c:v>50214.63922077918</c:v>
                </c:pt>
                <c:pt idx="744">
                  <c:v>50214.63922077918</c:v>
                </c:pt>
                <c:pt idx="745">
                  <c:v>50214.63922077918</c:v>
                </c:pt>
                <c:pt idx="746">
                  <c:v>50214.63922077918</c:v>
                </c:pt>
                <c:pt idx="747">
                  <c:v>50214.63922077918</c:v>
                </c:pt>
                <c:pt idx="748">
                  <c:v>50214.63922077918</c:v>
                </c:pt>
                <c:pt idx="749">
                  <c:v>50214.63922077918</c:v>
                </c:pt>
                <c:pt idx="750">
                  <c:v>50214.63922077918</c:v>
                </c:pt>
                <c:pt idx="751">
                  <c:v>50214.63922077918</c:v>
                </c:pt>
                <c:pt idx="752">
                  <c:v>50214.63922077918</c:v>
                </c:pt>
                <c:pt idx="753">
                  <c:v>50214.63922077918</c:v>
                </c:pt>
                <c:pt idx="754">
                  <c:v>50214.63922077918</c:v>
                </c:pt>
                <c:pt idx="755">
                  <c:v>50214.63922077918</c:v>
                </c:pt>
                <c:pt idx="756">
                  <c:v>51414.63922077918</c:v>
                </c:pt>
                <c:pt idx="757">
                  <c:v>51414.63922077918</c:v>
                </c:pt>
                <c:pt idx="758">
                  <c:v>51414.63922077918</c:v>
                </c:pt>
                <c:pt idx="759">
                  <c:v>51414.63922077918</c:v>
                </c:pt>
                <c:pt idx="760">
                  <c:v>51414.63922077918</c:v>
                </c:pt>
                <c:pt idx="761">
                  <c:v>51414.63922077918</c:v>
                </c:pt>
                <c:pt idx="762">
                  <c:v>51414.63922077918</c:v>
                </c:pt>
                <c:pt idx="763">
                  <c:v>51414.63922077918</c:v>
                </c:pt>
                <c:pt idx="764">
                  <c:v>51414.63922077918</c:v>
                </c:pt>
                <c:pt idx="765">
                  <c:v>51414.63922077918</c:v>
                </c:pt>
                <c:pt idx="766">
                  <c:v>51414.63922077918</c:v>
                </c:pt>
                <c:pt idx="767">
                  <c:v>51414.63922077918</c:v>
                </c:pt>
                <c:pt idx="768">
                  <c:v>53014.63922077918</c:v>
                </c:pt>
                <c:pt idx="769">
                  <c:v>53174.63922077918</c:v>
                </c:pt>
                <c:pt idx="770">
                  <c:v>53174.63922077918</c:v>
                </c:pt>
                <c:pt idx="771">
                  <c:v>53086.023836163797</c:v>
                </c:pt>
                <c:pt idx="772">
                  <c:v>53572.423836163798</c:v>
                </c:pt>
                <c:pt idx="773">
                  <c:v>53572.423836163798</c:v>
                </c:pt>
                <c:pt idx="774">
                  <c:v>53572.423836163798</c:v>
                </c:pt>
                <c:pt idx="775">
                  <c:v>53572.423836163798</c:v>
                </c:pt>
                <c:pt idx="776">
                  <c:v>55188.423836163798</c:v>
                </c:pt>
                <c:pt idx="777">
                  <c:v>55188.423836163798</c:v>
                </c:pt>
                <c:pt idx="778">
                  <c:v>55188.423836163798</c:v>
                </c:pt>
                <c:pt idx="779">
                  <c:v>55188.423836163798</c:v>
                </c:pt>
                <c:pt idx="780">
                  <c:v>55188.423836163798</c:v>
                </c:pt>
                <c:pt idx="781">
                  <c:v>55188.423836163798</c:v>
                </c:pt>
                <c:pt idx="782">
                  <c:v>55188.423836163798</c:v>
                </c:pt>
                <c:pt idx="783">
                  <c:v>55188.423836163798</c:v>
                </c:pt>
                <c:pt idx="784">
                  <c:v>55188.423836163798</c:v>
                </c:pt>
                <c:pt idx="785">
                  <c:v>55188.423836163798</c:v>
                </c:pt>
                <c:pt idx="786">
                  <c:v>55188.423836163798</c:v>
                </c:pt>
                <c:pt idx="787">
                  <c:v>55188.423836163798</c:v>
                </c:pt>
                <c:pt idx="788">
                  <c:v>55188.423836163798</c:v>
                </c:pt>
                <c:pt idx="789">
                  <c:v>54948.423836163798</c:v>
                </c:pt>
                <c:pt idx="790">
                  <c:v>54948.423836163798</c:v>
                </c:pt>
                <c:pt idx="791">
                  <c:v>54948.423836163798</c:v>
                </c:pt>
                <c:pt idx="792">
                  <c:v>54948.423836163798</c:v>
                </c:pt>
                <c:pt idx="793">
                  <c:v>56548.423836163798</c:v>
                </c:pt>
                <c:pt idx="794">
                  <c:v>57348.423836163791</c:v>
                </c:pt>
                <c:pt idx="795">
                  <c:v>58308.423836163791</c:v>
                </c:pt>
                <c:pt idx="796">
                  <c:v>58308.423836163791</c:v>
                </c:pt>
                <c:pt idx="797">
                  <c:v>58308.423836163791</c:v>
                </c:pt>
                <c:pt idx="798">
                  <c:v>58628.423836163958</c:v>
                </c:pt>
                <c:pt idx="799">
                  <c:v>58628.423836163958</c:v>
                </c:pt>
                <c:pt idx="800">
                  <c:v>58628.423836163958</c:v>
                </c:pt>
                <c:pt idx="801">
                  <c:v>58628.423836163958</c:v>
                </c:pt>
                <c:pt idx="802">
                  <c:v>58628.423836163958</c:v>
                </c:pt>
                <c:pt idx="803">
                  <c:v>58628.423836163958</c:v>
                </c:pt>
                <c:pt idx="804">
                  <c:v>59588.423836163958</c:v>
                </c:pt>
                <c:pt idx="805">
                  <c:v>59588.423836163958</c:v>
                </c:pt>
                <c:pt idx="806">
                  <c:v>59588.423836163958</c:v>
                </c:pt>
                <c:pt idx="807">
                  <c:v>59588.423836163958</c:v>
                </c:pt>
                <c:pt idx="808">
                  <c:v>59588.423836163958</c:v>
                </c:pt>
                <c:pt idx="809">
                  <c:v>60068.423836163958</c:v>
                </c:pt>
                <c:pt idx="810">
                  <c:v>60068.423836163958</c:v>
                </c:pt>
                <c:pt idx="811">
                  <c:v>58788.423836163958</c:v>
                </c:pt>
                <c:pt idx="812">
                  <c:v>58846.423836163987</c:v>
                </c:pt>
                <c:pt idx="813">
                  <c:v>58846.423836163987</c:v>
                </c:pt>
                <c:pt idx="814">
                  <c:v>58846.423836163987</c:v>
                </c:pt>
                <c:pt idx="815">
                  <c:v>58846.423836163987</c:v>
                </c:pt>
                <c:pt idx="816">
                  <c:v>58846.423836163987</c:v>
                </c:pt>
                <c:pt idx="817">
                  <c:v>58846.423836163987</c:v>
                </c:pt>
                <c:pt idx="818">
                  <c:v>58846.423836163987</c:v>
                </c:pt>
                <c:pt idx="819">
                  <c:v>58526.423836163987</c:v>
                </c:pt>
                <c:pt idx="820">
                  <c:v>58526.423836163987</c:v>
                </c:pt>
                <c:pt idx="821">
                  <c:v>59326.423836163987</c:v>
                </c:pt>
                <c:pt idx="822">
                  <c:v>59326.423836163987</c:v>
                </c:pt>
                <c:pt idx="823">
                  <c:v>59326.423836163987</c:v>
                </c:pt>
                <c:pt idx="824">
                  <c:v>59326.423836163987</c:v>
                </c:pt>
                <c:pt idx="825">
                  <c:v>59326.423836163987</c:v>
                </c:pt>
                <c:pt idx="826">
                  <c:v>59230.423836163987</c:v>
                </c:pt>
                <c:pt idx="827">
                  <c:v>59886.423836163987</c:v>
                </c:pt>
                <c:pt idx="828">
                  <c:v>59886.423836163987</c:v>
                </c:pt>
                <c:pt idx="829">
                  <c:v>59886.423836163987</c:v>
                </c:pt>
                <c:pt idx="830">
                  <c:v>59886.423836163987</c:v>
                </c:pt>
                <c:pt idx="831">
                  <c:v>59886.423836163987</c:v>
                </c:pt>
                <c:pt idx="832">
                  <c:v>59886.423836163987</c:v>
                </c:pt>
                <c:pt idx="833">
                  <c:v>59886.423836163987</c:v>
                </c:pt>
                <c:pt idx="834">
                  <c:v>58686.423836163987</c:v>
                </c:pt>
                <c:pt idx="835">
                  <c:v>53030.423836163987</c:v>
                </c:pt>
                <c:pt idx="836">
                  <c:v>53030.423836163987</c:v>
                </c:pt>
                <c:pt idx="837">
                  <c:v>53030.423836163987</c:v>
                </c:pt>
                <c:pt idx="838">
                  <c:v>53030.423836163987</c:v>
                </c:pt>
                <c:pt idx="839">
                  <c:v>53030.423836163987</c:v>
                </c:pt>
                <c:pt idx="840">
                  <c:v>53030.423836163987</c:v>
                </c:pt>
                <c:pt idx="841">
                  <c:v>53030.423836163987</c:v>
                </c:pt>
                <c:pt idx="842">
                  <c:v>53030.423836163987</c:v>
                </c:pt>
                <c:pt idx="843">
                  <c:v>55782.42383616398</c:v>
                </c:pt>
                <c:pt idx="844">
                  <c:v>55782.42383616398</c:v>
                </c:pt>
                <c:pt idx="845">
                  <c:v>56082.42383616398</c:v>
                </c:pt>
                <c:pt idx="846">
                  <c:v>56082.42383616398</c:v>
                </c:pt>
                <c:pt idx="847">
                  <c:v>56082.42383616398</c:v>
                </c:pt>
                <c:pt idx="848">
                  <c:v>56082.42383616398</c:v>
                </c:pt>
                <c:pt idx="849">
                  <c:v>56082.42383616398</c:v>
                </c:pt>
                <c:pt idx="850">
                  <c:v>56082.42383616398</c:v>
                </c:pt>
                <c:pt idx="851">
                  <c:v>55762.423836163813</c:v>
                </c:pt>
                <c:pt idx="852">
                  <c:v>55762.423836163813</c:v>
                </c:pt>
                <c:pt idx="853">
                  <c:v>56062.423836163813</c:v>
                </c:pt>
                <c:pt idx="854">
                  <c:v>56662.423836163813</c:v>
                </c:pt>
                <c:pt idx="855">
                  <c:v>57262.423836163813</c:v>
                </c:pt>
                <c:pt idx="856">
                  <c:v>57088.423836163805</c:v>
                </c:pt>
                <c:pt idx="857">
                  <c:v>53248.423836163201</c:v>
                </c:pt>
                <c:pt idx="858">
                  <c:v>51968.423836163201</c:v>
                </c:pt>
                <c:pt idx="859">
                  <c:v>51968.423836163201</c:v>
                </c:pt>
                <c:pt idx="860">
                  <c:v>49568.423836163201</c:v>
                </c:pt>
                <c:pt idx="861">
                  <c:v>49868.423836163201</c:v>
                </c:pt>
                <c:pt idx="862">
                  <c:v>46668.423836163201</c:v>
                </c:pt>
                <c:pt idx="863">
                  <c:v>44876.423836163201</c:v>
                </c:pt>
                <c:pt idx="864">
                  <c:v>44876.423836163201</c:v>
                </c:pt>
                <c:pt idx="865">
                  <c:v>44876.423836163201</c:v>
                </c:pt>
                <c:pt idx="866">
                  <c:v>44876.423836163201</c:v>
                </c:pt>
                <c:pt idx="867">
                  <c:v>44876.423836163201</c:v>
                </c:pt>
                <c:pt idx="868">
                  <c:v>44876.423836163201</c:v>
                </c:pt>
                <c:pt idx="869">
                  <c:v>43676.423836163201</c:v>
                </c:pt>
                <c:pt idx="870">
                  <c:v>42556.423836163201</c:v>
                </c:pt>
                <c:pt idx="871">
                  <c:v>42556.423836163201</c:v>
                </c:pt>
                <c:pt idx="872">
                  <c:v>42556.423836163201</c:v>
                </c:pt>
                <c:pt idx="873">
                  <c:v>42556.423836163201</c:v>
                </c:pt>
                <c:pt idx="874">
                  <c:v>42556.423836163201</c:v>
                </c:pt>
                <c:pt idx="875">
                  <c:v>42556.423836163201</c:v>
                </c:pt>
                <c:pt idx="876">
                  <c:v>42556.423836163201</c:v>
                </c:pt>
                <c:pt idx="877">
                  <c:v>42556.423836163201</c:v>
                </c:pt>
                <c:pt idx="878">
                  <c:v>42556.423836163201</c:v>
                </c:pt>
                <c:pt idx="879">
                  <c:v>42556.423836163201</c:v>
                </c:pt>
                <c:pt idx="880">
                  <c:v>42556.423836163201</c:v>
                </c:pt>
                <c:pt idx="881">
                  <c:v>42556.423836163201</c:v>
                </c:pt>
                <c:pt idx="882">
                  <c:v>42556.423836163201</c:v>
                </c:pt>
                <c:pt idx="883">
                  <c:v>42556.423836163201</c:v>
                </c:pt>
                <c:pt idx="884">
                  <c:v>42556.423836163201</c:v>
                </c:pt>
                <c:pt idx="885">
                  <c:v>42556.423836163201</c:v>
                </c:pt>
                <c:pt idx="886">
                  <c:v>42556.423836163201</c:v>
                </c:pt>
                <c:pt idx="887">
                  <c:v>42556.423836163201</c:v>
                </c:pt>
                <c:pt idx="888">
                  <c:v>42556.423836163201</c:v>
                </c:pt>
                <c:pt idx="889">
                  <c:v>42556.423836163201</c:v>
                </c:pt>
                <c:pt idx="890">
                  <c:v>42556.423836163201</c:v>
                </c:pt>
                <c:pt idx="891">
                  <c:v>42556.423836163201</c:v>
                </c:pt>
                <c:pt idx="892">
                  <c:v>42556.423836163201</c:v>
                </c:pt>
                <c:pt idx="893">
                  <c:v>42556.423836163201</c:v>
                </c:pt>
                <c:pt idx="894">
                  <c:v>42556.423836163201</c:v>
                </c:pt>
                <c:pt idx="895">
                  <c:v>42556.423836163201</c:v>
                </c:pt>
                <c:pt idx="896">
                  <c:v>42556.423836163201</c:v>
                </c:pt>
                <c:pt idx="897">
                  <c:v>42556.423836163201</c:v>
                </c:pt>
                <c:pt idx="898">
                  <c:v>42556.423836163201</c:v>
                </c:pt>
                <c:pt idx="899">
                  <c:v>42556.423836163201</c:v>
                </c:pt>
                <c:pt idx="900">
                  <c:v>42556.423836163201</c:v>
                </c:pt>
                <c:pt idx="901">
                  <c:v>42556.423836163201</c:v>
                </c:pt>
                <c:pt idx="902">
                  <c:v>42556.423836163201</c:v>
                </c:pt>
                <c:pt idx="903">
                  <c:v>42556.423836163201</c:v>
                </c:pt>
                <c:pt idx="904">
                  <c:v>42556.423836163201</c:v>
                </c:pt>
                <c:pt idx="905">
                  <c:v>42556.423836163201</c:v>
                </c:pt>
                <c:pt idx="906">
                  <c:v>42556.423836163201</c:v>
                </c:pt>
                <c:pt idx="907">
                  <c:v>42556.423836163201</c:v>
                </c:pt>
                <c:pt idx="908">
                  <c:v>42556.423836163201</c:v>
                </c:pt>
                <c:pt idx="909">
                  <c:v>42556.423836163201</c:v>
                </c:pt>
                <c:pt idx="910">
                  <c:v>42556.423836163201</c:v>
                </c:pt>
                <c:pt idx="911">
                  <c:v>42556.423836163201</c:v>
                </c:pt>
                <c:pt idx="912">
                  <c:v>42556.423836163201</c:v>
                </c:pt>
                <c:pt idx="913">
                  <c:v>42556.423836163201</c:v>
                </c:pt>
                <c:pt idx="914">
                  <c:v>40876.423836163201</c:v>
                </c:pt>
                <c:pt idx="915">
                  <c:v>41228.423836163201</c:v>
                </c:pt>
                <c:pt idx="916">
                  <c:v>41228.423836163201</c:v>
                </c:pt>
                <c:pt idx="917">
                  <c:v>41228.423836163201</c:v>
                </c:pt>
                <c:pt idx="918">
                  <c:v>41228.423836163201</c:v>
                </c:pt>
                <c:pt idx="919">
                  <c:v>41228.423836163201</c:v>
                </c:pt>
                <c:pt idx="920">
                  <c:v>41484.423836163209</c:v>
                </c:pt>
                <c:pt idx="921">
                  <c:v>41484.423836163209</c:v>
                </c:pt>
                <c:pt idx="922">
                  <c:v>41596.423836163209</c:v>
                </c:pt>
                <c:pt idx="923">
                  <c:v>41596.423836163209</c:v>
                </c:pt>
                <c:pt idx="924">
                  <c:v>41596.423836163209</c:v>
                </c:pt>
                <c:pt idx="925">
                  <c:v>41436.423836163238</c:v>
                </c:pt>
                <c:pt idx="926">
                  <c:v>41436.423836163238</c:v>
                </c:pt>
                <c:pt idx="927">
                  <c:v>41436.423836163238</c:v>
                </c:pt>
                <c:pt idx="928">
                  <c:v>41436.423836163238</c:v>
                </c:pt>
                <c:pt idx="929">
                  <c:v>41436.423836163238</c:v>
                </c:pt>
                <c:pt idx="930">
                  <c:v>41436.423836163238</c:v>
                </c:pt>
                <c:pt idx="931">
                  <c:v>41436.423836163238</c:v>
                </c:pt>
                <c:pt idx="932">
                  <c:v>41724.423836163238</c:v>
                </c:pt>
                <c:pt idx="933">
                  <c:v>41964.423836163238</c:v>
                </c:pt>
                <c:pt idx="934">
                  <c:v>41964.423836163238</c:v>
                </c:pt>
                <c:pt idx="935">
                  <c:v>41964.423836163238</c:v>
                </c:pt>
                <c:pt idx="936">
                  <c:v>41619.223836163059</c:v>
                </c:pt>
                <c:pt idx="937">
                  <c:v>41859.223836163059</c:v>
                </c:pt>
                <c:pt idx="938">
                  <c:v>42115.223836163059</c:v>
                </c:pt>
                <c:pt idx="939">
                  <c:v>42115.223836163059</c:v>
                </c:pt>
                <c:pt idx="940">
                  <c:v>42115.223836163059</c:v>
                </c:pt>
                <c:pt idx="941">
                  <c:v>42115.223836163059</c:v>
                </c:pt>
                <c:pt idx="942">
                  <c:v>42115.223836163059</c:v>
                </c:pt>
                <c:pt idx="943">
                  <c:v>42259.223836163059</c:v>
                </c:pt>
                <c:pt idx="944">
                  <c:v>42259.223836163059</c:v>
                </c:pt>
                <c:pt idx="945">
                  <c:v>41649.303836163061</c:v>
                </c:pt>
                <c:pt idx="946">
                  <c:v>41380.503836163058</c:v>
                </c:pt>
                <c:pt idx="947">
                  <c:v>40916.503836163058</c:v>
                </c:pt>
                <c:pt idx="948">
                  <c:v>41828.503836163058</c:v>
                </c:pt>
                <c:pt idx="949">
                  <c:v>41828.503836163058</c:v>
                </c:pt>
                <c:pt idx="950">
                  <c:v>41972.503836163058</c:v>
                </c:pt>
                <c:pt idx="951">
                  <c:v>41972.503836163058</c:v>
                </c:pt>
                <c:pt idx="952">
                  <c:v>41972.503836163058</c:v>
                </c:pt>
                <c:pt idx="953">
                  <c:v>41972.503836163058</c:v>
                </c:pt>
                <c:pt idx="954">
                  <c:v>42012.503836163021</c:v>
                </c:pt>
                <c:pt idx="955">
                  <c:v>42012.503836163021</c:v>
                </c:pt>
                <c:pt idx="956">
                  <c:v>42012.503836163021</c:v>
                </c:pt>
                <c:pt idx="957">
                  <c:v>42012.503836163021</c:v>
                </c:pt>
                <c:pt idx="958">
                  <c:v>42012.503836163021</c:v>
                </c:pt>
                <c:pt idx="959">
                  <c:v>42012.503836163021</c:v>
                </c:pt>
                <c:pt idx="960">
                  <c:v>42012.503836163021</c:v>
                </c:pt>
                <c:pt idx="961">
                  <c:v>42012.503836163021</c:v>
                </c:pt>
                <c:pt idx="962">
                  <c:v>42012.503836163021</c:v>
                </c:pt>
                <c:pt idx="963">
                  <c:v>42012.503836163021</c:v>
                </c:pt>
                <c:pt idx="964">
                  <c:v>42156.503836163021</c:v>
                </c:pt>
                <c:pt idx="965">
                  <c:v>42732.503836163021</c:v>
                </c:pt>
                <c:pt idx="966">
                  <c:v>42732.503836163021</c:v>
                </c:pt>
                <c:pt idx="967">
                  <c:v>42732.503836163021</c:v>
                </c:pt>
                <c:pt idx="968">
                  <c:v>42792.503836163021</c:v>
                </c:pt>
                <c:pt idx="969">
                  <c:v>42792.503836163021</c:v>
                </c:pt>
                <c:pt idx="970">
                  <c:v>42632.503836163021</c:v>
                </c:pt>
                <c:pt idx="971">
                  <c:v>42632.503836163021</c:v>
                </c:pt>
                <c:pt idx="972">
                  <c:v>42632.503836163021</c:v>
                </c:pt>
                <c:pt idx="973">
                  <c:v>42632.503836163021</c:v>
                </c:pt>
                <c:pt idx="974">
                  <c:v>42632.503836163021</c:v>
                </c:pt>
                <c:pt idx="975">
                  <c:v>42632.503836163021</c:v>
                </c:pt>
                <c:pt idx="976">
                  <c:v>43072.503836163021</c:v>
                </c:pt>
                <c:pt idx="977">
                  <c:v>42246.903836163023</c:v>
                </c:pt>
                <c:pt idx="978">
                  <c:v>42246.903836163023</c:v>
                </c:pt>
                <c:pt idx="979">
                  <c:v>42246.903836163023</c:v>
                </c:pt>
                <c:pt idx="980">
                  <c:v>42246.903836163023</c:v>
                </c:pt>
                <c:pt idx="981">
                  <c:v>42294.903836163023</c:v>
                </c:pt>
                <c:pt idx="982">
                  <c:v>42294.903836163023</c:v>
                </c:pt>
                <c:pt idx="983">
                  <c:v>42294.903836163023</c:v>
                </c:pt>
                <c:pt idx="984">
                  <c:v>42294.903836163023</c:v>
                </c:pt>
                <c:pt idx="985">
                  <c:v>42294.903836163023</c:v>
                </c:pt>
                <c:pt idx="986">
                  <c:v>42294.903836163023</c:v>
                </c:pt>
                <c:pt idx="987">
                  <c:v>42294.903836163023</c:v>
                </c:pt>
                <c:pt idx="988">
                  <c:v>42294.903836163023</c:v>
                </c:pt>
                <c:pt idx="989">
                  <c:v>42294.903836163023</c:v>
                </c:pt>
                <c:pt idx="990">
                  <c:v>42294.903836163023</c:v>
                </c:pt>
                <c:pt idx="991">
                  <c:v>42294.903836163023</c:v>
                </c:pt>
                <c:pt idx="992">
                  <c:v>42806.903836163023</c:v>
                </c:pt>
                <c:pt idx="993">
                  <c:v>41366.903836163023</c:v>
                </c:pt>
                <c:pt idx="994">
                  <c:v>41318.903836163023</c:v>
                </c:pt>
                <c:pt idx="995">
                  <c:v>41318.903836163023</c:v>
                </c:pt>
                <c:pt idx="996">
                  <c:v>41318.903836163023</c:v>
                </c:pt>
                <c:pt idx="997">
                  <c:v>41318.903836163023</c:v>
                </c:pt>
                <c:pt idx="998">
                  <c:v>41318.903836163023</c:v>
                </c:pt>
                <c:pt idx="999">
                  <c:v>41318.903836163023</c:v>
                </c:pt>
                <c:pt idx="1000">
                  <c:v>41366.903836163023</c:v>
                </c:pt>
                <c:pt idx="1001">
                  <c:v>41622.903836163023</c:v>
                </c:pt>
                <c:pt idx="1002">
                  <c:v>40758.903836163023</c:v>
                </c:pt>
                <c:pt idx="1003">
                  <c:v>38198.903836163023</c:v>
                </c:pt>
                <c:pt idx="1004">
                  <c:v>38198.903836163023</c:v>
                </c:pt>
                <c:pt idx="1005">
                  <c:v>38390.903836163023</c:v>
                </c:pt>
                <c:pt idx="1006">
                  <c:v>38390.903836163023</c:v>
                </c:pt>
                <c:pt idx="1007">
                  <c:v>38326.903836163023</c:v>
                </c:pt>
                <c:pt idx="1008">
                  <c:v>38086.903836163016</c:v>
                </c:pt>
                <c:pt idx="1009">
                  <c:v>38086.903836163016</c:v>
                </c:pt>
                <c:pt idx="1010">
                  <c:v>38086.903836163016</c:v>
                </c:pt>
                <c:pt idx="1011">
                  <c:v>38086.903836163016</c:v>
                </c:pt>
                <c:pt idx="1012">
                  <c:v>38086.903836163016</c:v>
                </c:pt>
                <c:pt idx="1013">
                  <c:v>38144.903836162965</c:v>
                </c:pt>
                <c:pt idx="1014">
                  <c:v>38144.903836162965</c:v>
                </c:pt>
                <c:pt idx="1015">
                  <c:v>38144.903836162965</c:v>
                </c:pt>
                <c:pt idx="1016">
                  <c:v>38144.903836162965</c:v>
                </c:pt>
                <c:pt idx="1017">
                  <c:v>38144.903836162965</c:v>
                </c:pt>
                <c:pt idx="1018">
                  <c:v>38144.903836162965</c:v>
                </c:pt>
                <c:pt idx="1019">
                  <c:v>38144.903836162965</c:v>
                </c:pt>
                <c:pt idx="1020">
                  <c:v>38144.903836162965</c:v>
                </c:pt>
                <c:pt idx="1021">
                  <c:v>38048.903836162965</c:v>
                </c:pt>
                <c:pt idx="1022">
                  <c:v>37920.903836162965</c:v>
                </c:pt>
                <c:pt idx="1023">
                  <c:v>37920.903836162965</c:v>
                </c:pt>
                <c:pt idx="1024">
                  <c:v>37920.903836162965</c:v>
                </c:pt>
                <c:pt idx="1025">
                  <c:v>37920.903836162965</c:v>
                </c:pt>
                <c:pt idx="1026">
                  <c:v>37920.903836162965</c:v>
                </c:pt>
                <c:pt idx="1028">
                  <c:v>0</c:v>
                </c:pt>
                <c:pt idx="1029">
                  <c:v>0</c:v>
                </c:pt>
                <c:pt idx="1030">
                  <c:v>48.000000000000043</c:v>
                </c:pt>
                <c:pt idx="1031">
                  <c:v>160.00000000000003</c:v>
                </c:pt>
                <c:pt idx="1032">
                  <c:v>272.00000000000011</c:v>
                </c:pt>
                <c:pt idx="1033">
                  <c:v>272.00000000000011</c:v>
                </c:pt>
                <c:pt idx="1034">
                  <c:v>184.99999999999682</c:v>
                </c:pt>
                <c:pt idx="1035">
                  <c:v>124.99999999999454</c:v>
                </c:pt>
                <c:pt idx="1036">
                  <c:v>124.99999999999454</c:v>
                </c:pt>
                <c:pt idx="1037">
                  <c:v>124.99999999999454</c:v>
                </c:pt>
                <c:pt idx="1038">
                  <c:v>124.99999999999454</c:v>
                </c:pt>
                <c:pt idx="1039">
                  <c:v>124.99999999999454</c:v>
                </c:pt>
                <c:pt idx="1040">
                  <c:v>124.99999999999454</c:v>
                </c:pt>
                <c:pt idx="1041">
                  <c:v>124.99999999999454</c:v>
                </c:pt>
                <c:pt idx="1042">
                  <c:v>172.9999999999946</c:v>
                </c:pt>
                <c:pt idx="1043">
                  <c:v>172.9999999999946</c:v>
                </c:pt>
                <c:pt idx="1044">
                  <c:v>172.9999999999946</c:v>
                </c:pt>
                <c:pt idx="1045">
                  <c:v>172.9999999999946</c:v>
                </c:pt>
                <c:pt idx="1046">
                  <c:v>172.9999999999946</c:v>
                </c:pt>
                <c:pt idx="1047">
                  <c:v>172.9999999999946</c:v>
                </c:pt>
                <c:pt idx="1048">
                  <c:v>124.99999999999469</c:v>
                </c:pt>
                <c:pt idx="1049">
                  <c:v>124.99999999999469</c:v>
                </c:pt>
                <c:pt idx="1050">
                  <c:v>124.99999999999469</c:v>
                </c:pt>
                <c:pt idx="1051">
                  <c:v>124.99999999999469</c:v>
                </c:pt>
                <c:pt idx="1052">
                  <c:v>156.99999999999542</c:v>
                </c:pt>
                <c:pt idx="1053">
                  <c:v>156.99999999999542</c:v>
                </c:pt>
                <c:pt idx="1054">
                  <c:v>396.99999999999545</c:v>
                </c:pt>
                <c:pt idx="1055">
                  <c:v>476.99999999999551</c:v>
                </c:pt>
                <c:pt idx="1056">
                  <c:v>588.99999999999557</c:v>
                </c:pt>
                <c:pt idx="1057">
                  <c:v>588.99999999999557</c:v>
                </c:pt>
                <c:pt idx="1058">
                  <c:v>588.99999999999557</c:v>
                </c:pt>
                <c:pt idx="1059">
                  <c:v>588.99999999999557</c:v>
                </c:pt>
                <c:pt idx="1060">
                  <c:v>588.99999999999557</c:v>
                </c:pt>
                <c:pt idx="1061">
                  <c:v>668.99999999999557</c:v>
                </c:pt>
                <c:pt idx="1062">
                  <c:v>668.99999999999557</c:v>
                </c:pt>
                <c:pt idx="1063">
                  <c:v>668.99999999999557</c:v>
                </c:pt>
                <c:pt idx="1064">
                  <c:v>608.99999999999329</c:v>
                </c:pt>
                <c:pt idx="1065">
                  <c:v>560.99999999999147</c:v>
                </c:pt>
                <c:pt idx="1066">
                  <c:v>560.99999999999147</c:v>
                </c:pt>
                <c:pt idx="1067">
                  <c:v>560.99999999999147</c:v>
                </c:pt>
                <c:pt idx="1068">
                  <c:v>512.99999999999147</c:v>
                </c:pt>
                <c:pt idx="1069">
                  <c:v>48.99999999999153</c:v>
                </c:pt>
                <c:pt idx="1070">
                  <c:v>-335.00000000000847</c:v>
                </c:pt>
                <c:pt idx="1071">
                  <c:v>-223.00000000000836</c:v>
                </c:pt>
                <c:pt idx="1072">
                  <c:v>-223.00000000000836</c:v>
                </c:pt>
                <c:pt idx="1073">
                  <c:v>-175.00000000000836</c:v>
                </c:pt>
                <c:pt idx="1074">
                  <c:v>-63.000000000008257</c:v>
                </c:pt>
                <c:pt idx="1075">
                  <c:v>-179.00000000000824</c:v>
                </c:pt>
                <c:pt idx="1076">
                  <c:v>-195.00000000003917</c:v>
                </c:pt>
                <c:pt idx="1077">
                  <c:v>-291.00000000003911</c:v>
                </c:pt>
                <c:pt idx="1078">
                  <c:v>-291.00000000003911</c:v>
                </c:pt>
                <c:pt idx="1079">
                  <c:v>-291.00000000003911</c:v>
                </c:pt>
                <c:pt idx="1080">
                  <c:v>-147.00000000003919</c:v>
                </c:pt>
                <c:pt idx="1081">
                  <c:v>-147.00000000003919</c:v>
                </c:pt>
                <c:pt idx="1082">
                  <c:v>28.999999999961403</c:v>
                </c:pt>
                <c:pt idx="1083">
                  <c:v>28.999999999961403</c:v>
                </c:pt>
                <c:pt idx="1084">
                  <c:v>28.999999999961403</c:v>
                </c:pt>
                <c:pt idx="1085">
                  <c:v>28.999999999961403</c:v>
                </c:pt>
                <c:pt idx="1086">
                  <c:v>28.999999999961403</c:v>
                </c:pt>
                <c:pt idx="1087">
                  <c:v>28.999999999961403</c:v>
                </c:pt>
                <c:pt idx="1088">
                  <c:v>124.99999999996149</c:v>
                </c:pt>
                <c:pt idx="1089">
                  <c:v>220.99999999996157</c:v>
                </c:pt>
                <c:pt idx="1090">
                  <c:v>380.99999999996152</c:v>
                </c:pt>
                <c:pt idx="1091">
                  <c:v>380.99999999996152</c:v>
                </c:pt>
                <c:pt idx="1092">
                  <c:v>380.99999999996152</c:v>
                </c:pt>
                <c:pt idx="1093">
                  <c:v>380.99999999996152</c:v>
                </c:pt>
                <c:pt idx="1094">
                  <c:v>380.99999999996152</c:v>
                </c:pt>
                <c:pt idx="1095">
                  <c:v>380.99999999996152</c:v>
                </c:pt>
                <c:pt idx="1096">
                  <c:v>604.99999999996135</c:v>
                </c:pt>
                <c:pt idx="1097">
                  <c:v>604.99999999996135</c:v>
                </c:pt>
                <c:pt idx="1098">
                  <c:v>604.99999999996135</c:v>
                </c:pt>
                <c:pt idx="1099">
                  <c:v>988.99999999996135</c:v>
                </c:pt>
                <c:pt idx="1100">
                  <c:v>988.99999999996135</c:v>
                </c:pt>
                <c:pt idx="1101">
                  <c:v>1244.9999999999616</c:v>
                </c:pt>
                <c:pt idx="1102">
                  <c:v>1244.9999999999616</c:v>
                </c:pt>
                <c:pt idx="1103">
                  <c:v>1244.9999999999616</c:v>
                </c:pt>
                <c:pt idx="1104">
                  <c:v>1244.9999999999616</c:v>
                </c:pt>
                <c:pt idx="1105">
                  <c:v>1244.9999999999616</c:v>
                </c:pt>
                <c:pt idx="1106">
                  <c:v>1244.9999999999616</c:v>
                </c:pt>
                <c:pt idx="1107">
                  <c:v>1244.9999999999616</c:v>
                </c:pt>
                <c:pt idx="1108">
                  <c:v>1244.9999999999616</c:v>
                </c:pt>
                <c:pt idx="1109">
                  <c:v>1180.9999999999743</c:v>
                </c:pt>
                <c:pt idx="1110">
                  <c:v>1020.9999999999746</c:v>
                </c:pt>
                <c:pt idx="1111">
                  <c:v>140.99999999997567</c:v>
                </c:pt>
                <c:pt idx="1112">
                  <c:v>-339.00000000002262</c:v>
                </c:pt>
                <c:pt idx="1113">
                  <c:v>-339.00000000002262</c:v>
                </c:pt>
                <c:pt idx="1114">
                  <c:v>-339.00000000002262</c:v>
                </c:pt>
                <c:pt idx="1115">
                  <c:v>-339.00000000002262</c:v>
                </c:pt>
                <c:pt idx="1116">
                  <c:v>-435.00000000002274</c:v>
                </c:pt>
                <c:pt idx="1117">
                  <c:v>-435.00000000002274</c:v>
                </c:pt>
                <c:pt idx="1118">
                  <c:v>-739.00000000002228</c:v>
                </c:pt>
                <c:pt idx="1119">
                  <c:v>-739.00000000002228</c:v>
                </c:pt>
                <c:pt idx="1120">
                  <c:v>-739.00000000002228</c:v>
                </c:pt>
                <c:pt idx="1121">
                  <c:v>-739.00000000002228</c:v>
                </c:pt>
                <c:pt idx="1122">
                  <c:v>-739.00000000002228</c:v>
                </c:pt>
                <c:pt idx="1123">
                  <c:v>-739.00000000002228</c:v>
                </c:pt>
                <c:pt idx="1124">
                  <c:v>-739.00000000002228</c:v>
                </c:pt>
                <c:pt idx="1125">
                  <c:v>-739.00000000002228</c:v>
                </c:pt>
                <c:pt idx="1126">
                  <c:v>-739.00000000002228</c:v>
                </c:pt>
                <c:pt idx="1127">
                  <c:v>-659.00000000009504</c:v>
                </c:pt>
                <c:pt idx="1128">
                  <c:v>-659.00000000009504</c:v>
                </c:pt>
                <c:pt idx="1129">
                  <c:v>-659.00000000009504</c:v>
                </c:pt>
                <c:pt idx="1130">
                  <c:v>-659.00000000009504</c:v>
                </c:pt>
                <c:pt idx="1131">
                  <c:v>-659.00000000009504</c:v>
                </c:pt>
                <c:pt idx="1132">
                  <c:v>-717.00000000004229</c:v>
                </c:pt>
                <c:pt idx="1133">
                  <c:v>-717.00000000004229</c:v>
                </c:pt>
                <c:pt idx="1134">
                  <c:v>-717.00000000004229</c:v>
                </c:pt>
                <c:pt idx="1135">
                  <c:v>-717.00000000004229</c:v>
                </c:pt>
                <c:pt idx="1136">
                  <c:v>-733.000000000005</c:v>
                </c:pt>
                <c:pt idx="1137">
                  <c:v>-877.000000000005</c:v>
                </c:pt>
                <c:pt idx="1138">
                  <c:v>-845.00000000000512</c:v>
                </c:pt>
                <c:pt idx="1139">
                  <c:v>-845.00000000000512</c:v>
                </c:pt>
                <c:pt idx="1140">
                  <c:v>-653.000000000005</c:v>
                </c:pt>
                <c:pt idx="1141">
                  <c:v>-653.000000000005</c:v>
                </c:pt>
                <c:pt idx="1142">
                  <c:v>-653.000000000005</c:v>
                </c:pt>
                <c:pt idx="1143">
                  <c:v>-653.000000000005</c:v>
                </c:pt>
                <c:pt idx="1144">
                  <c:v>-653.000000000005</c:v>
                </c:pt>
                <c:pt idx="1145">
                  <c:v>-653.000000000005</c:v>
                </c:pt>
                <c:pt idx="1146">
                  <c:v>-632.99999999999477</c:v>
                </c:pt>
                <c:pt idx="1147">
                  <c:v>-632.99999999999477</c:v>
                </c:pt>
                <c:pt idx="1148">
                  <c:v>-632.99999999999477</c:v>
                </c:pt>
                <c:pt idx="1149">
                  <c:v>-600.9999999999784</c:v>
                </c:pt>
                <c:pt idx="1150">
                  <c:v>-856.99999999997817</c:v>
                </c:pt>
                <c:pt idx="1151">
                  <c:v>-696.99999999997806</c:v>
                </c:pt>
                <c:pt idx="1152">
                  <c:v>-696.99999999997806</c:v>
                </c:pt>
                <c:pt idx="1153">
                  <c:v>-760.99999999991985</c:v>
                </c:pt>
                <c:pt idx="1154">
                  <c:v>-760.99999999991985</c:v>
                </c:pt>
                <c:pt idx="1155">
                  <c:v>-760.99999999991985</c:v>
                </c:pt>
                <c:pt idx="1156">
                  <c:v>-760.99999999991985</c:v>
                </c:pt>
                <c:pt idx="1157">
                  <c:v>-808.9999999998762</c:v>
                </c:pt>
                <c:pt idx="1158">
                  <c:v>-808.9999999998762</c:v>
                </c:pt>
                <c:pt idx="1159">
                  <c:v>-808.9999999998762</c:v>
                </c:pt>
                <c:pt idx="1160">
                  <c:v>-808.9999999998762</c:v>
                </c:pt>
                <c:pt idx="1161">
                  <c:v>-866.99999999990587</c:v>
                </c:pt>
                <c:pt idx="1162">
                  <c:v>-866.99999999990587</c:v>
                </c:pt>
                <c:pt idx="1163">
                  <c:v>-866.99999999990587</c:v>
                </c:pt>
                <c:pt idx="1164">
                  <c:v>-866.99999999990587</c:v>
                </c:pt>
                <c:pt idx="1165">
                  <c:v>-866.99999999990587</c:v>
                </c:pt>
                <c:pt idx="1166">
                  <c:v>-866.99999999990587</c:v>
                </c:pt>
                <c:pt idx="1167">
                  <c:v>-901.79999999982476</c:v>
                </c:pt>
                <c:pt idx="1168">
                  <c:v>-1495.7999999998474</c:v>
                </c:pt>
                <c:pt idx="1169">
                  <c:v>-1495.7999999998474</c:v>
                </c:pt>
                <c:pt idx="1170">
                  <c:v>-1495.7999999998474</c:v>
                </c:pt>
                <c:pt idx="1171">
                  <c:v>-1495.7999999998474</c:v>
                </c:pt>
                <c:pt idx="1172">
                  <c:v>-1495.7999999998474</c:v>
                </c:pt>
                <c:pt idx="1173">
                  <c:v>-1495.7999999998474</c:v>
                </c:pt>
                <c:pt idx="1174">
                  <c:v>-1383.7999999999493</c:v>
                </c:pt>
                <c:pt idx="1175">
                  <c:v>-1239.7999999999493</c:v>
                </c:pt>
                <c:pt idx="1176">
                  <c:v>-1239.7999999999493</c:v>
                </c:pt>
                <c:pt idx="1177">
                  <c:v>-1239.7999999999493</c:v>
                </c:pt>
                <c:pt idx="1178">
                  <c:v>-1239.7999999999493</c:v>
                </c:pt>
                <c:pt idx="1179">
                  <c:v>-1495.7999999999493</c:v>
                </c:pt>
                <c:pt idx="1180">
                  <c:v>-1239.799999999949</c:v>
                </c:pt>
                <c:pt idx="1181">
                  <c:v>-1239.799999999949</c:v>
                </c:pt>
                <c:pt idx="1182">
                  <c:v>-1239.799999999949</c:v>
                </c:pt>
                <c:pt idx="1183">
                  <c:v>-1127.799999999949</c:v>
                </c:pt>
                <c:pt idx="1184">
                  <c:v>-1015.7999999999496</c:v>
                </c:pt>
                <c:pt idx="1185">
                  <c:v>-1015.7999999999496</c:v>
                </c:pt>
                <c:pt idx="1186">
                  <c:v>-855.79999999994948</c:v>
                </c:pt>
                <c:pt idx="1187">
                  <c:v>-855.79999999994948</c:v>
                </c:pt>
                <c:pt idx="1188">
                  <c:v>-884.80000000000553</c:v>
                </c:pt>
                <c:pt idx="1189">
                  <c:v>-884.80000000000553</c:v>
                </c:pt>
                <c:pt idx="1190">
                  <c:v>-884.80000000000553</c:v>
                </c:pt>
                <c:pt idx="1191">
                  <c:v>-996.80000000000655</c:v>
                </c:pt>
                <c:pt idx="1192">
                  <c:v>-996.80000000000655</c:v>
                </c:pt>
                <c:pt idx="1193">
                  <c:v>-996.80000000000655</c:v>
                </c:pt>
                <c:pt idx="1194">
                  <c:v>-772.79999999989195</c:v>
                </c:pt>
                <c:pt idx="1195">
                  <c:v>-772.79999999989195</c:v>
                </c:pt>
                <c:pt idx="1196">
                  <c:v>-772.79999999989195</c:v>
                </c:pt>
                <c:pt idx="1197">
                  <c:v>-772.79999999989195</c:v>
                </c:pt>
                <c:pt idx="1198">
                  <c:v>-772.79999999989195</c:v>
                </c:pt>
                <c:pt idx="1199">
                  <c:v>-772.79999999989195</c:v>
                </c:pt>
                <c:pt idx="1200">
                  <c:v>-772.79999999989195</c:v>
                </c:pt>
                <c:pt idx="1201">
                  <c:v>-772.79999999989195</c:v>
                </c:pt>
                <c:pt idx="1202">
                  <c:v>-772.79999999989195</c:v>
                </c:pt>
                <c:pt idx="1203">
                  <c:v>-772.79999999989195</c:v>
                </c:pt>
                <c:pt idx="1204">
                  <c:v>-772.79999999989195</c:v>
                </c:pt>
                <c:pt idx="1205">
                  <c:v>-772.79999999989195</c:v>
                </c:pt>
                <c:pt idx="1206">
                  <c:v>-772.79999999989195</c:v>
                </c:pt>
                <c:pt idx="1207">
                  <c:v>-772.79999999989195</c:v>
                </c:pt>
                <c:pt idx="1208">
                  <c:v>-772.79999999989195</c:v>
                </c:pt>
                <c:pt idx="1209">
                  <c:v>-772.79999999989195</c:v>
                </c:pt>
                <c:pt idx="1210">
                  <c:v>-772.79999999989195</c:v>
                </c:pt>
                <c:pt idx="1211">
                  <c:v>-772.79999999989195</c:v>
                </c:pt>
                <c:pt idx="1212">
                  <c:v>-772.79999999989195</c:v>
                </c:pt>
                <c:pt idx="1213">
                  <c:v>-772.79999999989195</c:v>
                </c:pt>
                <c:pt idx="1214">
                  <c:v>-772.79999999989195</c:v>
                </c:pt>
                <c:pt idx="1215">
                  <c:v>-772.79999999989195</c:v>
                </c:pt>
                <c:pt idx="1216">
                  <c:v>-772.79999999989195</c:v>
                </c:pt>
                <c:pt idx="1217">
                  <c:v>-772.79999999989195</c:v>
                </c:pt>
                <c:pt idx="1218">
                  <c:v>-772.79999999989195</c:v>
                </c:pt>
                <c:pt idx="1219">
                  <c:v>-772.79999999989195</c:v>
                </c:pt>
                <c:pt idx="1220">
                  <c:v>-772.79999999989195</c:v>
                </c:pt>
                <c:pt idx="1221">
                  <c:v>-772.79999999989195</c:v>
                </c:pt>
                <c:pt idx="1222">
                  <c:v>-772.79999999989195</c:v>
                </c:pt>
                <c:pt idx="1223">
                  <c:v>-772.79999999989195</c:v>
                </c:pt>
                <c:pt idx="1224">
                  <c:v>-772.79999999989195</c:v>
                </c:pt>
                <c:pt idx="1225">
                  <c:v>-772.79999999989195</c:v>
                </c:pt>
                <c:pt idx="1226">
                  <c:v>-772.79999999989195</c:v>
                </c:pt>
                <c:pt idx="1227">
                  <c:v>-772.79999999989195</c:v>
                </c:pt>
                <c:pt idx="1228">
                  <c:v>-772.79999999989195</c:v>
                </c:pt>
                <c:pt idx="1229">
                  <c:v>-772.79999999989195</c:v>
                </c:pt>
                <c:pt idx="1230">
                  <c:v>-772.79999999989195</c:v>
                </c:pt>
                <c:pt idx="1231">
                  <c:v>-772.79999999989195</c:v>
                </c:pt>
                <c:pt idx="1232">
                  <c:v>-772.79999999989195</c:v>
                </c:pt>
                <c:pt idx="1233">
                  <c:v>-772.79999999989195</c:v>
                </c:pt>
                <c:pt idx="1234">
                  <c:v>-772.79999999989195</c:v>
                </c:pt>
                <c:pt idx="1235">
                  <c:v>-772.79999999989195</c:v>
                </c:pt>
                <c:pt idx="1236">
                  <c:v>-772.79999999989195</c:v>
                </c:pt>
                <c:pt idx="1237">
                  <c:v>-772.79999999989195</c:v>
                </c:pt>
                <c:pt idx="1238">
                  <c:v>-772.79999999989195</c:v>
                </c:pt>
              </c:numCache>
            </c:numRef>
          </c:val>
          <c:smooth val="0"/>
          <c:extLst>
            <c:ext xmlns:c16="http://schemas.microsoft.com/office/drawing/2014/chart" uri="{C3380CC4-5D6E-409C-BE32-E72D297353CC}">
              <c16:uniqueId val="{00000000-A0DC-49E5-9252-474ED36656F4}"/>
            </c:ext>
          </c:extLst>
        </c:ser>
        <c:dLbls>
          <c:showLegendKey val="0"/>
          <c:showVal val="0"/>
          <c:showCatName val="0"/>
          <c:showSerName val="0"/>
          <c:showPercent val="0"/>
          <c:showBubbleSize val="0"/>
        </c:dLbls>
        <c:marker val="1"/>
        <c:smooth val="0"/>
        <c:axId val="775754943"/>
        <c:axId val="1021057775"/>
      </c:lineChart>
      <c:catAx>
        <c:axId val="775754943"/>
        <c:scaling>
          <c:orientation val="minMax"/>
        </c:scaling>
        <c:delete val="0"/>
        <c:axPos val="b"/>
        <c:numFmt formatCode="General" sourceLinked="1"/>
        <c:majorTickMark val="none"/>
        <c:minorTickMark val="none"/>
        <c:tickLblPos val="low"/>
        <c:spPr>
          <a:noFill/>
          <a:ln w="9525" cap="flat" cmpd="sng" algn="ctr">
            <a:noFill/>
            <a:round/>
          </a:ln>
          <a:effectLst/>
        </c:spPr>
        <c:txPr>
          <a:bodyPr rot="-60000000" spcFirstLastPara="1" vertOverflow="ellipsis" vert="horz" wrap="square" anchor="ctr" anchorCtr="1"/>
          <a:lstStyle/>
          <a:p>
            <a:pPr>
              <a:defRPr sz="500" b="0" i="0" u="none" strike="noStrike" kern="1200" baseline="0">
                <a:solidFill>
                  <a:schemeClr val="tx1">
                    <a:lumMod val="75000"/>
                    <a:lumOff val="25000"/>
                  </a:schemeClr>
                </a:solidFill>
                <a:latin typeface="+mn-lt"/>
                <a:ea typeface="+mn-ea"/>
                <a:cs typeface="+mn-cs"/>
              </a:defRPr>
            </a:pPr>
            <a:endParaRPr lang="en-US"/>
          </a:p>
        </c:txPr>
        <c:crossAx val="1021057775"/>
        <c:crosses val="autoZero"/>
        <c:auto val="1"/>
        <c:lblAlgn val="ctr"/>
        <c:lblOffset val="100"/>
        <c:noMultiLvlLbl val="0"/>
      </c:catAx>
      <c:valAx>
        <c:axId val="1021057775"/>
        <c:scaling>
          <c:orientation val="minMax"/>
        </c:scaling>
        <c:delete val="0"/>
        <c:axPos val="l"/>
        <c:majorGridlines>
          <c:spPr>
            <a:ln w="9525" cap="flat" cmpd="sng" algn="ctr">
              <a:solidFill>
                <a:schemeClr val="tx1">
                  <a:lumMod val="75000"/>
                  <a:lumOff val="2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7757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 v 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9776090434035981E-2"/>
          <c:y val="0.15244299674267103"/>
          <c:w val="0.88519909220911641"/>
          <c:h val="0.71383210649157458"/>
        </c:manualLayout>
      </c:layout>
      <c:lineChart>
        <c:grouping val="standard"/>
        <c:varyColors val="0"/>
        <c:ser>
          <c:idx val="0"/>
          <c:order val="0"/>
          <c:tx>
            <c:v>F</c:v>
          </c:tx>
          <c:spPr>
            <a:ln w="28575" cap="rnd">
              <a:solidFill>
                <a:srgbClr val="619428"/>
              </a:solidFill>
              <a:round/>
            </a:ln>
            <a:effectLst/>
          </c:spPr>
          <c:marker>
            <c:symbol val="none"/>
          </c:marker>
          <c:cat>
            <c:strRef>
              <c:f>'Journal Live'!$A$1389:$A$2630</c:f>
              <c:strCache>
                <c:ptCount val="1237"/>
                <c:pt idx="0">
                  <c:v>JAN.24</c:v>
                </c:pt>
                <c:pt idx="1">
                  <c:v>JAN.24</c:v>
                </c:pt>
                <c:pt idx="2">
                  <c:v>JAN.24</c:v>
                </c:pt>
                <c:pt idx="3">
                  <c:v>JAN.24</c:v>
                </c:pt>
                <c:pt idx="4">
                  <c:v>JAN.24</c:v>
                </c:pt>
                <c:pt idx="5">
                  <c:v>JAN.24</c:v>
                </c:pt>
                <c:pt idx="6">
                  <c:v>JAN.24</c:v>
                </c:pt>
                <c:pt idx="7">
                  <c:v>JAN.24</c:v>
                </c:pt>
                <c:pt idx="8">
                  <c:v>JAN.24</c:v>
                </c:pt>
                <c:pt idx="9">
                  <c:v>JAN.24</c:v>
                </c:pt>
                <c:pt idx="10">
                  <c:v>JAN.24</c:v>
                </c:pt>
                <c:pt idx="11">
                  <c:v>JAN.24</c:v>
                </c:pt>
                <c:pt idx="12">
                  <c:v>JAN.24</c:v>
                </c:pt>
                <c:pt idx="13">
                  <c:v>JAN.24</c:v>
                </c:pt>
                <c:pt idx="14">
                  <c:v>JAN.24</c:v>
                </c:pt>
                <c:pt idx="15">
                  <c:v>JAN.24</c:v>
                </c:pt>
                <c:pt idx="16">
                  <c:v>JAN.24</c:v>
                </c:pt>
                <c:pt idx="17">
                  <c:v>JAN.24</c:v>
                </c:pt>
                <c:pt idx="18">
                  <c:v>JAN.24</c:v>
                </c:pt>
                <c:pt idx="19">
                  <c:v>JAN.24</c:v>
                </c:pt>
                <c:pt idx="20">
                  <c:v>JAN.24</c:v>
                </c:pt>
                <c:pt idx="21">
                  <c:v>JAN.24</c:v>
                </c:pt>
                <c:pt idx="22">
                  <c:v>JAN.24</c:v>
                </c:pt>
                <c:pt idx="23">
                  <c:v>JAN.24</c:v>
                </c:pt>
                <c:pt idx="24">
                  <c:v>JAN.24</c:v>
                </c:pt>
                <c:pt idx="25">
                  <c:v>JAN.24</c:v>
                </c:pt>
                <c:pt idx="26">
                  <c:v>JAN.24</c:v>
                </c:pt>
                <c:pt idx="27">
                  <c:v>JAN.24</c:v>
                </c:pt>
                <c:pt idx="28">
                  <c:v>JAN.24</c:v>
                </c:pt>
                <c:pt idx="29">
                  <c:v>JAN.24</c:v>
                </c:pt>
                <c:pt idx="30">
                  <c:v>JAN.24</c:v>
                </c:pt>
                <c:pt idx="31">
                  <c:v>JAN.24</c:v>
                </c:pt>
                <c:pt idx="32">
                  <c:v>JAN.24</c:v>
                </c:pt>
                <c:pt idx="33">
                  <c:v>JAN.24</c:v>
                </c:pt>
                <c:pt idx="34">
                  <c:v>JAN.24</c:v>
                </c:pt>
                <c:pt idx="35">
                  <c:v>JAN.24</c:v>
                </c:pt>
                <c:pt idx="36">
                  <c:v>JAN.24</c:v>
                </c:pt>
                <c:pt idx="37">
                  <c:v>JAN.24</c:v>
                </c:pt>
                <c:pt idx="38">
                  <c:v>JAN.24</c:v>
                </c:pt>
                <c:pt idx="39">
                  <c:v>JAN.24</c:v>
                </c:pt>
                <c:pt idx="40">
                  <c:v>JAN.24</c:v>
                </c:pt>
                <c:pt idx="41">
                  <c:v>JAN.24</c:v>
                </c:pt>
                <c:pt idx="42">
                  <c:v>JAN.24</c:v>
                </c:pt>
                <c:pt idx="43">
                  <c:v>JAN.24</c:v>
                </c:pt>
                <c:pt idx="44">
                  <c:v>JAN.24</c:v>
                </c:pt>
                <c:pt idx="45">
                  <c:v>JAN.24</c:v>
                </c:pt>
                <c:pt idx="46">
                  <c:v>JAN.24</c:v>
                </c:pt>
                <c:pt idx="47">
                  <c:v>JAN.24</c:v>
                </c:pt>
                <c:pt idx="48">
                  <c:v>JAN.24</c:v>
                </c:pt>
                <c:pt idx="49">
                  <c:v>JAN.24</c:v>
                </c:pt>
                <c:pt idx="50">
                  <c:v>JAN.24</c:v>
                </c:pt>
                <c:pt idx="51">
                  <c:v>JAN.24</c:v>
                </c:pt>
                <c:pt idx="52">
                  <c:v>JAN.24</c:v>
                </c:pt>
                <c:pt idx="53">
                  <c:v>JAN.24</c:v>
                </c:pt>
                <c:pt idx="54">
                  <c:v>JAN.24</c:v>
                </c:pt>
                <c:pt idx="55">
                  <c:v>JAN.24</c:v>
                </c:pt>
                <c:pt idx="56">
                  <c:v>JAN.24</c:v>
                </c:pt>
                <c:pt idx="57">
                  <c:v>JAN.24</c:v>
                </c:pt>
                <c:pt idx="58">
                  <c:v>JAN.24</c:v>
                </c:pt>
                <c:pt idx="59">
                  <c:v>JAN.24</c:v>
                </c:pt>
                <c:pt idx="60">
                  <c:v>JAN.24</c:v>
                </c:pt>
                <c:pt idx="61">
                  <c:v>JAN.24</c:v>
                </c:pt>
                <c:pt idx="62">
                  <c:v>JAN.24</c:v>
                </c:pt>
                <c:pt idx="63">
                  <c:v>JAN.24</c:v>
                </c:pt>
                <c:pt idx="64">
                  <c:v>JAN.24</c:v>
                </c:pt>
                <c:pt idx="65">
                  <c:v>JAN.24</c:v>
                </c:pt>
                <c:pt idx="66">
                  <c:v>JAN.24</c:v>
                </c:pt>
                <c:pt idx="67">
                  <c:v>JAN.24</c:v>
                </c:pt>
                <c:pt idx="68">
                  <c:v>JAN.24</c:v>
                </c:pt>
                <c:pt idx="69">
                  <c:v>JAN.24</c:v>
                </c:pt>
                <c:pt idx="70">
                  <c:v>JAN.24</c:v>
                </c:pt>
                <c:pt idx="71">
                  <c:v>JAN.24</c:v>
                </c:pt>
                <c:pt idx="72">
                  <c:v>JAN.24</c:v>
                </c:pt>
                <c:pt idx="73">
                  <c:v>JAN.24</c:v>
                </c:pt>
                <c:pt idx="74">
                  <c:v>JAN.24</c:v>
                </c:pt>
                <c:pt idx="75">
                  <c:v>JAN.24</c:v>
                </c:pt>
                <c:pt idx="76">
                  <c:v>JAN.24</c:v>
                </c:pt>
                <c:pt idx="77">
                  <c:v>JAN.24</c:v>
                </c:pt>
                <c:pt idx="78">
                  <c:v>JAN.24</c:v>
                </c:pt>
                <c:pt idx="79">
                  <c:v>JAN.24</c:v>
                </c:pt>
                <c:pt idx="80">
                  <c:v>JAN.24</c:v>
                </c:pt>
                <c:pt idx="81">
                  <c:v>JAN.24</c:v>
                </c:pt>
                <c:pt idx="82">
                  <c:v>JAN.24</c:v>
                </c:pt>
                <c:pt idx="83">
                  <c:v>JAN.24</c:v>
                </c:pt>
                <c:pt idx="84">
                  <c:v>JAN.24</c:v>
                </c:pt>
                <c:pt idx="85">
                  <c:v>JAN.24</c:v>
                </c:pt>
                <c:pt idx="86">
                  <c:v>JAN.24</c:v>
                </c:pt>
                <c:pt idx="87">
                  <c:v>JAN.24</c:v>
                </c:pt>
                <c:pt idx="88">
                  <c:v>JAN.24</c:v>
                </c:pt>
                <c:pt idx="89">
                  <c:v>JAN.24</c:v>
                </c:pt>
                <c:pt idx="90">
                  <c:v>JAN.24</c:v>
                </c:pt>
                <c:pt idx="91">
                  <c:v>JAN.24</c:v>
                </c:pt>
                <c:pt idx="92">
                  <c:v>JAN.24</c:v>
                </c:pt>
                <c:pt idx="93">
                  <c:v>JAN.24</c:v>
                </c:pt>
                <c:pt idx="94">
                  <c:v>JAN.24</c:v>
                </c:pt>
                <c:pt idx="95">
                  <c:v>JAN.24</c:v>
                </c:pt>
                <c:pt idx="96">
                  <c:v>JAN.24</c:v>
                </c:pt>
                <c:pt idx="97">
                  <c:v>JAN.24</c:v>
                </c:pt>
                <c:pt idx="98">
                  <c:v>JAN.24</c:v>
                </c:pt>
                <c:pt idx="99">
                  <c:v>JAN.24</c:v>
                </c:pt>
                <c:pt idx="100">
                  <c:v>JAN.24</c:v>
                </c:pt>
                <c:pt idx="101">
                  <c:v>JAN.24</c:v>
                </c:pt>
                <c:pt idx="102">
                  <c:v>JAN.24</c:v>
                </c:pt>
                <c:pt idx="103">
                  <c:v>JAN.24</c:v>
                </c:pt>
                <c:pt idx="104">
                  <c:v>JAN.24</c:v>
                </c:pt>
                <c:pt idx="105">
                  <c:v>JAN.24</c:v>
                </c:pt>
                <c:pt idx="106">
                  <c:v>JAN.24</c:v>
                </c:pt>
                <c:pt idx="107">
                  <c:v>JAN.24</c:v>
                </c:pt>
                <c:pt idx="108">
                  <c:v>JAN.24</c:v>
                </c:pt>
                <c:pt idx="109">
                  <c:v>JAN.24</c:v>
                </c:pt>
                <c:pt idx="110">
                  <c:v>JAN.24</c:v>
                </c:pt>
                <c:pt idx="111">
                  <c:v>JAN.24</c:v>
                </c:pt>
                <c:pt idx="112">
                  <c:v>JAN.24</c:v>
                </c:pt>
                <c:pt idx="113">
                  <c:v>JAN.24</c:v>
                </c:pt>
                <c:pt idx="114">
                  <c:v>JAN.24</c:v>
                </c:pt>
                <c:pt idx="115">
                  <c:v>JAN.24</c:v>
                </c:pt>
                <c:pt idx="116">
                  <c:v>JAN.24</c:v>
                </c:pt>
                <c:pt idx="117">
                  <c:v>JAN.24</c:v>
                </c:pt>
                <c:pt idx="118">
                  <c:v>JAN.24</c:v>
                </c:pt>
                <c:pt idx="119">
                  <c:v>JAN.24</c:v>
                </c:pt>
                <c:pt idx="120">
                  <c:v>JAN.24</c:v>
                </c:pt>
                <c:pt idx="121">
                  <c:v>JAN.24</c:v>
                </c:pt>
                <c:pt idx="122">
                  <c:v>JAN.24</c:v>
                </c:pt>
                <c:pt idx="123">
                  <c:v>JAN.24</c:v>
                </c:pt>
                <c:pt idx="124">
                  <c:v>JAN.24</c:v>
                </c:pt>
                <c:pt idx="125">
                  <c:v>JAN.24</c:v>
                </c:pt>
                <c:pt idx="126">
                  <c:v>JAN.24</c:v>
                </c:pt>
                <c:pt idx="127">
                  <c:v>JAN.24</c:v>
                </c:pt>
                <c:pt idx="128">
                  <c:v>JAN.24</c:v>
                </c:pt>
                <c:pt idx="129">
                  <c:v>JAN.24</c:v>
                </c:pt>
                <c:pt idx="130">
                  <c:v>JAN.24</c:v>
                </c:pt>
                <c:pt idx="131">
                  <c:v>February 24 live</c:v>
                </c:pt>
                <c:pt idx="132">
                  <c:v>FEB.24</c:v>
                </c:pt>
                <c:pt idx="133">
                  <c:v>FEB.24</c:v>
                </c:pt>
                <c:pt idx="134">
                  <c:v>FEB.24</c:v>
                </c:pt>
                <c:pt idx="135">
                  <c:v>FEB.24</c:v>
                </c:pt>
                <c:pt idx="136">
                  <c:v>FEB.24</c:v>
                </c:pt>
                <c:pt idx="137">
                  <c:v>FEB.24</c:v>
                </c:pt>
                <c:pt idx="138">
                  <c:v>FEB.24</c:v>
                </c:pt>
                <c:pt idx="139">
                  <c:v>FEB.24</c:v>
                </c:pt>
                <c:pt idx="140">
                  <c:v>FEB.24</c:v>
                </c:pt>
                <c:pt idx="141">
                  <c:v>FEB.24</c:v>
                </c:pt>
                <c:pt idx="142">
                  <c:v>FEB.24</c:v>
                </c:pt>
                <c:pt idx="143">
                  <c:v>FEB.24</c:v>
                </c:pt>
                <c:pt idx="144">
                  <c:v>FEB.24</c:v>
                </c:pt>
                <c:pt idx="145">
                  <c:v>FEB.24</c:v>
                </c:pt>
                <c:pt idx="146">
                  <c:v>FEB.24</c:v>
                </c:pt>
                <c:pt idx="147">
                  <c:v>FEB.24</c:v>
                </c:pt>
                <c:pt idx="148">
                  <c:v>FEB.24</c:v>
                </c:pt>
                <c:pt idx="149">
                  <c:v>FEB.24</c:v>
                </c:pt>
                <c:pt idx="150">
                  <c:v>FEB.24</c:v>
                </c:pt>
                <c:pt idx="151">
                  <c:v>FEB.24</c:v>
                </c:pt>
                <c:pt idx="152">
                  <c:v>FEB.24</c:v>
                </c:pt>
                <c:pt idx="153">
                  <c:v>FEB.24</c:v>
                </c:pt>
                <c:pt idx="154">
                  <c:v>FEB.24</c:v>
                </c:pt>
                <c:pt idx="155">
                  <c:v>FEB.24</c:v>
                </c:pt>
                <c:pt idx="156">
                  <c:v>FEB.24</c:v>
                </c:pt>
                <c:pt idx="157">
                  <c:v>FEB.24</c:v>
                </c:pt>
                <c:pt idx="158">
                  <c:v>FEB.24</c:v>
                </c:pt>
                <c:pt idx="159">
                  <c:v>FEB.24</c:v>
                </c:pt>
                <c:pt idx="160">
                  <c:v>FEB.24</c:v>
                </c:pt>
                <c:pt idx="161">
                  <c:v>FEB.24</c:v>
                </c:pt>
                <c:pt idx="162">
                  <c:v>FEB.24</c:v>
                </c:pt>
                <c:pt idx="163">
                  <c:v>FEB.24</c:v>
                </c:pt>
                <c:pt idx="164">
                  <c:v>FEB.24</c:v>
                </c:pt>
                <c:pt idx="165">
                  <c:v>FEB.24</c:v>
                </c:pt>
                <c:pt idx="166">
                  <c:v>FEB.24</c:v>
                </c:pt>
                <c:pt idx="167">
                  <c:v>FEB.24</c:v>
                </c:pt>
                <c:pt idx="168">
                  <c:v>FEB.24</c:v>
                </c:pt>
                <c:pt idx="169">
                  <c:v>FEB.24</c:v>
                </c:pt>
                <c:pt idx="170">
                  <c:v>FEB.24</c:v>
                </c:pt>
                <c:pt idx="171">
                  <c:v>FEB.24</c:v>
                </c:pt>
                <c:pt idx="172">
                  <c:v>FEB.24</c:v>
                </c:pt>
                <c:pt idx="173">
                  <c:v>FEB.24</c:v>
                </c:pt>
                <c:pt idx="174">
                  <c:v>FEB.24</c:v>
                </c:pt>
                <c:pt idx="175">
                  <c:v>FEB.24</c:v>
                </c:pt>
                <c:pt idx="176">
                  <c:v>FEB.24</c:v>
                </c:pt>
                <c:pt idx="177">
                  <c:v>FEB.24</c:v>
                </c:pt>
                <c:pt idx="178">
                  <c:v>FEB.24</c:v>
                </c:pt>
                <c:pt idx="179">
                  <c:v>FEB.24</c:v>
                </c:pt>
                <c:pt idx="180">
                  <c:v>FEB.24</c:v>
                </c:pt>
                <c:pt idx="181">
                  <c:v>FEB.24</c:v>
                </c:pt>
                <c:pt idx="182">
                  <c:v>FEB.24</c:v>
                </c:pt>
                <c:pt idx="183">
                  <c:v>FEB.24</c:v>
                </c:pt>
                <c:pt idx="184">
                  <c:v>FEB.24</c:v>
                </c:pt>
                <c:pt idx="185">
                  <c:v>FEB.24</c:v>
                </c:pt>
                <c:pt idx="186">
                  <c:v>FEB.24</c:v>
                </c:pt>
                <c:pt idx="187">
                  <c:v>FEB.24</c:v>
                </c:pt>
                <c:pt idx="188">
                  <c:v>FEB.24</c:v>
                </c:pt>
                <c:pt idx="189">
                  <c:v>FEB.24</c:v>
                </c:pt>
                <c:pt idx="190">
                  <c:v>FEB.24</c:v>
                </c:pt>
                <c:pt idx="191">
                  <c:v>FEB.24</c:v>
                </c:pt>
                <c:pt idx="192">
                  <c:v>FEB.24</c:v>
                </c:pt>
                <c:pt idx="193">
                  <c:v>FEB.24</c:v>
                </c:pt>
                <c:pt idx="194">
                  <c:v>FEB.24</c:v>
                </c:pt>
                <c:pt idx="195">
                  <c:v>FEB.24</c:v>
                </c:pt>
                <c:pt idx="196">
                  <c:v>FEB.24</c:v>
                </c:pt>
                <c:pt idx="197">
                  <c:v>FEB.24</c:v>
                </c:pt>
                <c:pt idx="198">
                  <c:v>FEB.24</c:v>
                </c:pt>
                <c:pt idx="199">
                  <c:v>FEB.24</c:v>
                </c:pt>
                <c:pt idx="200">
                  <c:v>FEB.24</c:v>
                </c:pt>
                <c:pt idx="201">
                  <c:v>FEB.24</c:v>
                </c:pt>
                <c:pt idx="202">
                  <c:v>FEB.24</c:v>
                </c:pt>
                <c:pt idx="203">
                  <c:v>FEB.24</c:v>
                </c:pt>
                <c:pt idx="204">
                  <c:v>FEB.24</c:v>
                </c:pt>
                <c:pt idx="205">
                  <c:v>FEB.24</c:v>
                </c:pt>
                <c:pt idx="206">
                  <c:v>FEB.24</c:v>
                </c:pt>
                <c:pt idx="207">
                  <c:v>FEB.24</c:v>
                </c:pt>
                <c:pt idx="208">
                  <c:v>FEB.24</c:v>
                </c:pt>
                <c:pt idx="209">
                  <c:v>FEB.24</c:v>
                </c:pt>
                <c:pt idx="210">
                  <c:v>FEB.24</c:v>
                </c:pt>
                <c:pt idx="211">
                  <c:v>FEB.24</c:v>
                </c:pt>
                <c:pt idx="212">
                  <c:v>FEB.24</c:v>
                </c:pt>
                <c:pt idx="213">
                  <c:v>FEB.24</c:v>
                </c:pt>
                <c:pt idx="214">
                  <c:v>FEB.24</c:v>
                </c:pt>
                <c:pt idx="215">
                  <c:v>FEB.24</c:v>
                </c:pt>
                <c:pt idx="216">
                  <c:v>FEB.24</c:v>
                </c:pt>
                <c:pt idx="217">
                  <c:v>FEB.24</c:v>
                </c:pt>
                <c:pt idx="218">
                  <c:v>FEB.24</c:v>
                </c:pt>
                <c:pt idx="219">
                  <c:v>FEB.24</c:v>
                </c:pt>
                <c:pt idx="220">
                  <c:v>FEB.24</c:v>
                </c:pt>
                <c:pt idx="221">
                  <c:v>FEB.24</c:v>
                </c:pt>
                <c:pt idx="222">
                  <c:v>FEB.24</c:v>
                </c:pt>
                <c:pt idx="223">
                  <c:v>FEB.24</c:v>
                </c:pt>
                <c:pt idx="224">
                  <c:v>FEB.24</c:v>
                </c:pt>
                <c:pt idx="225">
                  <c:v>FEB.24</c:v>
                </c:pt>
                <c:pt idx="226">
                  <c:v>FEB.24</c:v>
                </c:pt>
                <c:pt idx="227">
                  <c:v>FEB.24</c:v>
                </c:pt>
                <c:pt idx="228">
                  <c:v>FEB.24</c:v>
                </c:pt>
                <c:pt idx="229">
                  <c:v>FEB.24</c:v>
                </c:pt>
                <c:pt idx="230">
                  <c:v>FEB.24</c:v>
                </c:pt>
                <c:pt idx="231">
                  <c:v>FEB.24</c:v>
                </c:pt>
                <c:pt idx="232">
                  <c:v>FEB.24</c:v>
                </c:pt>
                <c:pt idx="233">
                  <c:v>FEB.24</c:v>
                </c:pt>
                <c:pt idx="234">
                  <c:v>FEB.24</c:v>
                </c:pt>
                <c:pt idx="235">
                  <c:v>FEB.24</c:v>
                </c:pt>
                <c:pt idx="236">
                  <c:v>FEB.24</c:v>
                </c:pt>
                <c:pt idx="237">
                  <c:v>FEB.24</c:v>
                </c:pt>
                <c:pt idx="238">
                  <c:v>FEB.24</c:v>
                </c:pt>
                <c:pt idx="239">
                  <c:v>FEB.24</c:v>
                </c:pt>
                <c:pt idx="240">
                  <c:v>FEB.24</c:v>
                </c:pt>
                <c:pt idx="241">
                  <c:v>FEB.24</c:v>
                </c:pt>
                <c:pt idx="242">
                  <c:v>FEB.24</c:v>
                </c:pt>
                <c:pt idx="243">
                  <c:v>FEB.24</c:v>
                </c:pt>
                <c:pt idx="244">
                  <c:v>FEB.24</c:v>
                </c:pt>
                <c:pt idx="245">
                  <c:v>FEB.24</c:v>
                </c:pt>
                <c:pt idx="246">
                  <c:v>FEB.24</c:v>
                </c:pt>
                <c:pt idx="247">
                  <c:v>FEB.24</c:v>
                </c:pt>
                <c:pt idx="248">
                  <c:v>FEB.24</c:v>
                </c:pt>
                <c:pt idx="249">
                  <c:v>FEB.24</c:v>
                </c:pt>
                <c:pt idx="250">
                  <c:v>FEB.24</c:v>
                </c:pt>
                <c:pt idx="251">
                  <c:v>March 24 live</c:v>
                </c:pt>
                <c:pt idx="252">
                  <c:v>MAR.24</c:v>
                </c:pt>
                <c:pt idx="253">
                  <c:v>MAR.24</c:v>
                </c:pt>
                <c:pt idx="254">
                  <c:v>MAR.24</c:v>
                </c:pt>
                <c:pt idx="255">
                  <c:v>MAR.24</c:v>
                </c:pt>
                <c:pt idx="256">
                  <c:v>MAR.24</c:v>
                </c:pt>
                <c:pt idx="257">
                  <c:v>MAR.24</c:v>
                </c:pt>
                <c:pt idx="258">
                  <c:v>MAR.24</c:v>
                </c:pt>
                <c:pt idx="259">
                  <c:v>MAR.24</c:v>
                </c:pt>
                <c:pt idx="260">
                  <c:v>MAR.24</c:v>
                </c:pt>
                <c:pt idx="261">
                  <c:v>MAR.24</c:v>
                </c:pt>
                <c:pt idx="262">
                  <c:v>MAR.24</c:v>
                </c:pt>
                <c:pt idx="263">
                  <c:v>MAR.24</c:v>
                </c:pt>
                <c:pt idx="264">
                  <c:v>MAR.24</c:v>
                </c:pt>
                <c:pt idx="265">
                  <c:v>MAR.24</c:v>
                </c:pt>
                <c:pt idx="266">
                  <c:v>MAR.24</c:v>
                </c:pt>
                <c:pt idx="267">
                  <c:v>MAR.24</c:v>
                </c:pt>
                <c:pt idx="268">
                  <c:v>MAR.24</c:v>
                </c:pt>
                <c:pt idx="269">
                  <c:v>MAR.24</c:v>
                </c:pt>
                <c:pt idx="270">
                  <c:v>MAR.24</c:v>
                </c:pt>
                <c:pt idx="271">
                  <c:v>MAR.24</c:v>
                </c:pt>
                <c:pt idx="272">
                  <c:v>MAR.24</c:v>
                </c:pt>
                <c:pt idx="273">
                  <c:v>MAR.24</c:v>
                </c:pt>
                <c:pt idx="274">
                  <c:v>MAR.24</c:v>
                </c:pt>
                <c:pt idx="275">
                  <c:v>MAR.24</c:v>
                </c:pt>
                <c:pt idx="276">
                  <c:v>MAR.24</c:v>
                </c:pt>
                <c:pt idx="277">
                  <c:v>MAR.24</c:v>
                </c:pt>
                <c:pt idx="278">
                  <c:v>MAR.24</c:v>
                </c:pt>
                <c:pt idx="279">
                  <c:v>MAR.24</c:v>
                </c:pt>
                <c:pt idx="280">
                  <c:v>MAR.24</c:v>
                </c:pt>
                <c:pt idx="281">
                  <c:v>MAR.24</c:v>
                </c:pt>
                <c:pt idx="282">
                  <c:v>MAR.24</c:v>
                </c:pt>
                <c:pt idx="283">
                  <c:v>MAR.24</c:v>
                </c:pt>
                <c:pt idx="284">
                  <c:v>MAR.24</c:v>
                </c:pt>
                <c:pt idx="285">
                  <c:v>MAR.24</c:v>
                </c:pt>
                <c:pt idx="286">
                  <c:v>MAR.24</c:v>
                </c:pt>
                <c:pt idx="287">
                  <c:v>MAR.24</c:v>
                </c:pt>
                <c:pt idx="288">
                  <c:v>MAR.24</c:v>
                </c:pt>
                <c:pt idx="289">
                  <c:v>MAR.24</c:v>
                </c:pt>
                <c:pt idx="290">
                  <c:v>MAR.24</c:v>
                </c:pt>
                <c:pt idx="291">
                  <c:v>MAR.24</c:v>
                </c:pt>
                <c:pt idx="292">
                  <c:v>MAR.24</c:v>
                </c:pt>
                <c:pt idx="293">
                  <c:v>MAR.24</c:v>
                </c:pt>
                <c:pt idx="294">
                  <c:v>MAR.24</c:v>
                </c:pt>
                <c:pt idx="295">
                  <c:v>MAR.24</c:v>
                </c:pt>
                <c:pt idx="296">
                  <c:v>MAR.24</c:v>
                </c:pt>
                <c:pt idx="297">
                  <c:v>MAR.24</c:v>
                </c:pt>
                <c:pt idx="298">
                  <c:v>MAR.24</c:v>
                </c:pt>
                <c:pt idx="299">
                  <c:v>MAR.24</c:v>
                </c:pt>
                <c:pt idx="300">
                  <c:v>MAR.24</c:v>
                </c:pt>
                <c:pt idx="301">
                  <c:v>MAR.24</c:v>
                </c:pt>
                <c:pt idx="302">
                  <c:v>MAR.24</c:v>
                </c:pt>
                <c:pt idx="303">
                  <c:v>MAR.24</c:v>
                </c:pt>
                <c:pt idx="304">
                  <c:v>MAR.24</c:v>
                </c:pt>
                <c:pt idx="305">
                  <c:v>MAR.24</c:v>
                </c:pt>
                <c:pt idx="306">
                  <c:v>MAR.24</c:v>
                </c:pt>
                <c:pt idx="307">
                  <c:v>MAR.24</c:v>
                </c:pt>
                <c:pt idx="308">
                  <c:v>MAR.24</c:v>
                </c:pt>
                <c:pt idx="309">
                  <c:v>MAR.24</c:v>
                </c:pt>
                <c:pt idx="310">
                  <c:v>MAR.24</c:v>
                </c:pt>
                <c:pt idx="311">
                  <c:v>MAR.24</c:v>
                </c:pt>
                <c:pt idx="312">
                  <c:v>MAR.24</c:v>
                </c:pt>
                <c:pt idx="313">
                  <c:v>MAR.24</c:v>
                </c:pt>
                <c:pt idx="314">
                  <c:v>MAR.24</c:v>
                </c:pt>
                <c:pt idx="315">
                  <c:v>MAR.24</c:v>
                </c:pt>
                <c:pt idx="316">
                  <c:v>MAR.24</c:v>
                </c:pt>
                <c:pt idx="317">
                  <c:v>MAR.24</c:v>
                </c:pt>
                <c:pt idx="318">
                  <c:v>MAR.24</c:v>
                </c:pt>
                <c:pt idx="319">
                  <c:v>MAR.24</c:v>
                </c:pt>
                <c:pt idx="320">
                  <c:v>MAR.24</c:v>
                </c:pt>
                <c:pt idx="321">
                  <c:v>MAR.24</c:v>
                </c:pt>
                <c:pt idx="322">
                  <c:v>MAR.24</c:v>
                </c:pt>
                <c:pt idx="323">
                  <c:v>MAR.24</c:v>
                </c:pt>
                <c:pt idx="324">
                  <c:v>MAR.24</c:v>
                </c:pt>
                <c:pt idx="325">
                  <c:v>MAR.24</c:v>
                </c:pt>
                <c:pt idx="326">
                  <c:v>MAR.24</c:v>
                </c:pt>
                <c:pt idx="327">
                  <c:v>MAR.24</c:v>
                </c:pt>
                <c:pt idx="328">
                  <c:v>MAR.24</c:v>
                </c:pt>
                <c:pt idx="329">
                  <c:v>MAR.24</c:v>
                </c:pt>
                <c:pt idx="330">
                  <c:v>MAR.24</c:v>
                </c:pt>
                <c:pt idx="331">
                  <c:v>MAR.24</c:v>
                </c:pt>
                <c:pt idx="332">
                  <c:v>MAR.24</c:v>
                </c:pt>
                <c:pt idx="333">
                  <c:v>MAR.24</c:v>
                </c:pt>
                <c:pt idx="334">
                  <c:v>MAR.24</c:v>
                </c:pt>
                <c:pt idx="335">
                  <c:v>MAR.24</c:v>
                </c:pt>
                <c:pt idx="336">
                  <c:v>MAR.24</c:v>
                </c:pt>
                <c:pt idx="337">
                  <c:v>MAR.24</c:v>
                </c:pt>
                <c:pt idx="338">
                  <c:v>MAR.24</c:v>
                </c:pt>
                <c:pt idx="339">
                  <c:v>MAR.24</c:v>
                </c:pt>
                <c:pt idx="340">
                  <c:v>MAR.24</c:v>
                </c:pt>
                <c:pt idx="341">
                  <c:v>MAR.24</c:v>
                </c:pt>
                <c:pt idx="342">
                  <c:v>MAR.24</c:v>
                </c:pt>
                <c:pt idx="343">
                  <c:v>MAR.24</c:v>
                </c:pt>
                <c:pt idx="344">
                  <c:v>April 24 live</c:v>
                </c:pt>
                <c:pt idx="345">
                  <c:v>APR.24</c:v>
                </c:pt>
                <c:pt idx="346">
                  <c:v>APR.24</c:v>
                </c:pt>
                <c:pt idx="347">
                  <c:v>APR.24</c:v>
                </c:pt>
                <c:pt idx="348">
                  <c:v>APR.24</c:v>
                </c:pt>
                <c:pt idx="349">
                  <c:v>APR.24</c:v>
                </c:pt>
                <c:pt idx="350">
                  <c:v>APR.24</c:v>
                </c:pt>
                <c:pt idx="351">
                  <c:v>APR.24</c:v>
                </c:pt>
                <c:pt idx="352">
                  <c:v>APR.24</c:v>
                </c:pt>
                <c:pt idx="353">
                  <c:v>APR.24</c:v>
                </c:pt>
                <c:pt idx="354">
                  <c:v>APR.24</c:v>
                </c:pt>
                <c:pt idx="355">
                  <c:v>APR.24</c:v>
                </c:pt>
                <c:pt idx="356">
                  <c:v>APR.24</c:v>
                </c:pt>
                <c:pt idx="357">
                  <c:v>APR.24</c:v>
                </c:pt>
                <c:pt idx="358">
                  <c:v>APR.24</c:v>
                </c:pt>
                <c:pt idx="359">
                  <c:v>APR.24</c:v>
                </c:pt>
                <c:pt idx="360">
                  <c:v>APR.24</c:v>
                </c:pt>
                <c:pt idx="361">
                  <c:v>APR.24</c:v>
                </c:pt>
                <c:pt idx="362">
                  <c:v>APR.24</c:v>
                </c:pt>
                <c:pt idx="363">
                  <c:v>APR.24</c:v>
                </c:pt>
                <c:pt idx="364">
                  <c:v>APR.24</c:v>
                </c:pt>
                <c:pt idx="365">
                  <c:v>APR.24</c:v>
                </c:pt>
                <c:pt idx="366">
                  <c:v>APR.24</c:v>
                </c:pt>
                <c:pt idx="367">
                  <c:v>APR.24</c:v>
                </c:pt>
                <c:pt idx="368">
                  <c:v>APR.24</c:v>
                </c:pt>
                <c:pt idx="369">
                  <c:v>APR.24</c:v>
                </c:pt>
                <c:pt idx="370">
                  <c:v>APR.24</c:v>
                </c:pt>
                <c:pt idx="371">
                  <c:v>APR.24</c:v>
                </c:pt>
                <c:pt idx="372">
                  <c:v>APR.24</c:v>
                </c:pt>
                <c:pt idx="373">
                  <c:v>APR.24</c:v>
                </c:pt>
                <c:pt idx="374">
                  <c:v>APR.24</c:v>
                </c:pt>
                <c:pt idx="375">
                  <c:v>APR.24</c:v>
                </c:pt>
                <c:pt idx="376">
                  <c:v>APR.24</c:v>
                </c:pt>
                <c:pt idx="377">
                  <c:v>APR.24</c:v>
                </c:pt>
                <c:pt idx="378">
                  <c:v>APR.24</c:v>
                </c:pt>
                <c:pt idx="379">
                  <c:v>APR.24</c:v>
                </c:pt>
                <c:pt idx="380">
                  <c:v>APR.24</c:v>
                </c:pt>
                <c:pt idx="381">
                  <c:v>APR.24</c:v>
                </c:pt>
                <c:pt idx="382">
                  <c:v>APR.24</c:v>
                </c:pt>
                <c:pt idx="383">
                  <c:v>APR.24</c:v>
                </c:pt>
                <c:pt idx="384">
                  <c:v>APR.24</c:v>
                </c:pt>
                <c:pt idx="385">
                  <c:v>APR.24</c:v>
                </c:pt>
                <c:pt idx="386">
                  <c:v>APR.24</c:v>
                </c:pt>
                <c:pt idx="387">
                  <c:v>APR.24</c:v>
                </c:pt>
                <c:pt idx="388">
                  <c:v>APR.24</c:v>
                </c:pt>
                <c:pt idx="389">
                  <c:v>APR.24</c:v>
                </c:pt>
                <c:pt idx="390">
                  <c:v>APR.24</c:v>
                </c:pt>
                <c:pt idx="391">
                  <c:v>APR.24</c:v>
                </c:pt>
                <c:pt idx="392">
                  <c:v>APR.24</c:v>
                </c:pt>
                <c:pt idx="393">
                  <c:v>APR.24</c:v>
                </c:pt>
                <c:pt idx="394">
                  <c:v>APR.24</c:v>
                </c:pt>
                <c:pt idx="395">
                  <c:v>APR.24</c:v>
                </c:pt>
                <c:pt idx="396">
                  <c:v>APR.24</c:v>
                </c:pt>
                <c:pt idx="397">
                  <c:v>APR.24</c:v>
                </c:pt>
                <c:pt idx="398">
                  <c:v>APR.24</c:v>
                </c:pt>
                <c:pt idx="399">
                  <c:v>APR.24</c:v>
                </c:pt>
                <c:pt idx="400">
                  <c:v>APR.24</c:v>
                </c:pt>
                <c:pt idx="401">
                  <c:v>APR.24</c:v>
                </c:pt>
                <c:pt idx="402">
                  <c:v>APR.24</c:v>
                </c:pt>
                <c:pt idx="403">
                  <c:v>APR.24</c:v>
                </c:pt>
                <c:pt idx="404">
                  <c:v>APR.24</c:v>
                </c:pt>
                <c:pt idx="405">
                  <c:v>APR.24</c:v>
                </c:pt>
                <c:pt idx="406">
                  <c:v>APR.24</c:v>
                </c:pt>
                <c:pt idx="407">
                  <c:v>APR.24</c:v>
                </c:pt>
                <c:pt idx="408">
                  <c:v>APR.24</c:v>
                </c:pt>
                <c:pt idx="409">
                  <c:v>APR.24</c:v>
                </c:pt>
                <c:pt idx="410">
                  <c:v>APR.24</c:v>
                </c:pt>
                <c:pt idx="411">
                  <c:v>APR.24</c:v>
                </c:pt>
                <c:pt idx="412">
                  <c:v>APR.24</c:v>
                </c:pt>
                <c:pt idx="413">
                  <c:v>APR.24</c:v>
                </c:pt>
                <c:pt idx="414">
                  <c:v>APR.24</c:v>
                </c:pt>
                <c:pt idx="415">
                  <c:v>APR.24</c:v>
                </c:pt>
                <c:pt idx="416">
                  <c:v>APR.24</c:v>
                </c:pt>
                <c:pt idx="417">
                  <c:v>APR.24</c:v>
                </c:pt>
                <c:pt idx="418">
                  <c:v>APR.24</c:v>
                </c:pt>
                <c:pt idx="419">
                  <c:v>APR.24</c:v>
                </c:pt>
                <c:pt idx="420">
                  <c:v>APR.24</c:v>
                </c:pt>
                <c:pt idx="421">
                  <c:v>APR.24</c:v>
                </c:pt>
                <c:pt idx="422">
                  <c:v>APR.24</c:v>
                </c:pt>
                <c:pt idx="423">
                  <c:v>APR.24</c:v>
                </c:pt>
                <c:pt idx="424">
                  <c:v>APR.24</c:v>
                </c:pt>
                <c:pt idx="425">
                  <c:v>APR.24</c:v>
                </c:pt>
                <c:pt idx="426">
                  <c:v>APR.24</c:v>
                </c:pt>
                <c:pt idx="427">
                  <c:v>APR.24</c:v>
                </c:pt>
                <c:pt idx="428">
                  <c:v>APR.24</c:v>
                </c:pt>
                <c:pt idx="429">
                  <c:v>APR.24</c:v>
                </c:pt>
                <c:pt idx="430">
                  <c:v>APR.24</c:v>
                </c:pt>
                <c:pt idx="431">
                  <c:v>APR.24</c:v>
                </c:pt>
                <c:pt idx="432">
                  <c:v>APR.24</c:v>
                </c:pt>
                <c:pt idx="433">
                  <c:v>APR.24</c:v>
                </c:pt>
                <c:pt idx="434">
                  <c:v>APR.24</c:v>
                </c:pt>
                <c:pt idx="435">
                  <c:v>APR.24</c:v>
                </c:pt>
                <c:pt idx="436">
                  <c:v>APR.24</c:v>
                </c:pt>
                <c:pt idx="437">
                  <c:v>APR.24</c:v>
                </c:pt>
                <c:pt idx="438">
                  <c:v>APR.24</c:v>
                </c:pt>
                <c:pt idx="439">
                  <c:v>APR.24</c:v>
                </c:pt>
                <c:pt idx="440">
                  <c:v>APR.24</c:v>
                </c:pt>
                <c:pt idx="441">
                  <c:v>APR.24</c:v>
                </c:pt>
                <c:pt idx="442">
                  <c:v>APR.24</c:v>
                </c:pt>
                <c:pt idx="443">
                  <c:v>APR.24</c:v>
                </c:pt>
                <c:pt idx="444">
                  <c:v>APR.24</c:v>
                </c:pt>
                <c:pt idx="445">
                  <c:v>APR.24</c:v>
                </c:pt>
                <c:pt idx="446">
                  <c:v>APR.24</c:v>
                </c:pt>
                <c:pt idx="447">
                  <c:v>APR.24</c:v>
                </c:pt>
                <c:pt idx="448">
                  <c:v>APR.24</c:v>
                </c:pt>
                <c:pt idx="449">
                  <c:v>APR.24</c:v>
                </c:pt>
                <c:pt idx="450">
                  <c:v>APR.24</c:v>
                </c:pt>
                <c:pt idx="451">
                  <c:v>APR.24</c:v>
                </c:pt>
                <c:pt idx="452">
                  <c:v>APR.24</c:v>
                </c:pt>
                <c:pt idx="453">
                  <c:v>APR.24</c:v>
                </c:pt>
                <c:pt idx="454">
                  <c:v>APR.24</c:v>
                </c:pt>
                <c:pt idx="455">
                  <c:v>APR.24</c:v>
                </c:pt>
                <c:pt idx="456">
                  <c:v>APR.24</c:v>
                </c:pt>
                <c:pt idx="457">
                  <c:v>APR.24</c:v>
                </c:pt>
                <c:pt idx="458">
                  <c:v>APR.24</c:v>
                </c:pt>
                <c:pt idx="459">
                  <c:v>APR.24</c:v>
                </c:pt>
                <c:pt idx="460">
                  <c:v>APR.24</c:v>
                </c:pt>
                <c:pt idx="461">
                  <c:v>APR.24</c:v>
                </c:pt>
                <c:pt idx="462">
                  <c:v>APR.24</c:v>
                </c:pt>
                <c:pt idx="463">
                  <c:v>APR.24</c:v>
                </c:pt>
                <c:pt idx="464">
                  <c:v>APR.24</c:v>
                </c:pt>
                <c:pt idx="465">
                  <c:v>APR.24</c:v>
                </c:pt>
                <c:pt idx="466">
                  <c:v>APR.24</c:v>
                </c:pt>
                <c:pt idx="467">
                  <c:v>APR.24</c:v>
                </c:pt>
                <c:pt idx="468">
                  <c:v>APR.24</c:v>
                </c:pt>
                <c:pt idx="469">
                  <c:v>APR.24</c:v>
                </c:pt>
                <c:pt idx="470">
                  <c:v>APR.24</c:v>
                </c:pt>
                <c:pt idx="471">
                  <c:v>APR.24</c:v>
                </c:pt>
                <c:pt idx="472">
                  <c:v>APR.24</c:v>
                </c:pt>
                <c:pt idx="473">
                  <c:v>APR.24</c:v>
                </c:pt>
                <c:pt idx="474">
                  <c:v>APR.24</c:v>
                </c:pt>
                <c:pt idx="475">
                  <c:v>APR.24</c:v>
                </c:pt>
                <c:pt idx="476">
                  <c:v>APR.24</c:v>
                </c:pt>
                <c:pt idx="477">
                  <c:v>APR.24</c:v>
                </c:pt>
                <c:pt idx="478">
                  <c:v>APR.24</c:v>
                </c:pt>
                <c:pt idx="479">
                  <c:v>APR.24</c:v>
                </c:pt>
                <c:pt idx="480">
                  <c:v>APR.24</c:v>
                </c:pt>
                <c:pt idx="481">
                  <c:v>APR.24</c:v>
                </c:pt>
                <c:pt idx="482">
                  <c:v>APR.24</c:v>
                </c:pt>
                <c:pt idx="483">
                  <c:v>APR.24</c:v>
                </c:pt>
                <c:pt idx="484">
                  <c:v>APR.24</c:v>
                </c:pt>
                <c:pt idx="485">
                  <c:v>APR.24</c:v>
                </c:pt>
                <c:pt idx="486">
                  <c:v>APR.24</c:v>
                </c:pt>
                <c:pt idx="487">
                  <c:v>APR.24</c:v>
                </c:pt>
                <c:pt idx="488">
                  <c:v>APR.24</c:v>
                </c:pt>
                <c:pt idx="489">
                  <c:v>APR.24</c:v>
                </c:pt>
                <c:pt idx="490">
                  <c:v>APR.24</c:v>
                </c:pt>
                <c:pt idx="491">
                  <c:v>APR.24</c:v>
                </c:pt>
                <c:pt idx="492">
                  <c:v>APR.24</c:v>
                </c:pt>
                <c:pt idx="493">
                  <c:v>APR.24</c:v>
                </c:pt>
                <c:pt idx="494">
                  <c:v>APR.24</c:v>
                </c:pt>
                <c:pt idx="495">
                  <c:v>APR.24</c:v>
                </c:pt>
                <c:pt idx="496">
                  <c:v>APR.24</c:v>
                </c:pt>
                <c:pt idx="497">
                  <c:v>APR.24</c:v>
                </c:pt>
                <c:pt idx="498">
                  <c:v>APR.24</c:v>
                </c:pt>
                <c:pt idx="499">
                  <c:v>APR.24</c:v>
                </c:pt>
                <c:pt idx="500">
                  <c:v>APR.24</c:v>
                </c:pt>
                <c:pt idx="501">
                  <c:v>APR.24</c:v>
                </c:pt>
                <c:pt idx="502">
                  <c:v>APR.24</c:v>
                </c:pt>
                <c:pt idx="503">
                  <c:v>APR.24</c:v>
                </c:pt>
                <c:pt idx="504">
                  <c:v>APR.24</c:v>
                </c:pt>
                <c:pt idx="505">
                  <c:v>APR.24</c:v>
                </c:pt>
                <c:pt idx="506">
                  <c:v>APR.24</c:v>
                </c:pt>
                <c:pt idx="507">
                  <c:v>APR.24</c:v>
                </c:pt>
                <c:pt idx="508">
                  <c:v>APR.24</c:v>
                </c:pt>
                <c:pt idx="509">
                  <c:v>APR.24</c:v>
                </c:pt>
                <c:pt idx="510">
                  <c:v>APR.24</c:v>
                </c:pt>
                <c:pt idx="511">
                  <c:v>APR.24</c:v>
                </c:pt>
                <c:pt idx="512">
                  <c:v>APR.24</c:v>
                </c:pt>
                <c:pt idx="513">
                  <c:v>APR.24</c:v>
                </c:pt>
                <c:pt idx="514">
                  <c:v>APR.24</c:v>
                </c:pt>
                <c:pt idx="515">
                  <c:v>APR.24</c:v>
                </c:pt>
                <c:pt idx="516">
                  <c:v>APR.24</c:v>
                </c:pt>
                <c:pt idx="517">
                  <c:v>APR.24</c:v>
                </c:pt>
                <c:pt idx="518">
                  <c:v>APR.24</c:v>
                </c:pt>
                <c:pt idx="519">
                  <c:v>APR.24</c:v>
                </c:pt>
                <c:pt idx="520">
                  <c:v>APR.24</c:v>
                </c:pt>
                <c:pt idx="521">
                  <c:v>APR.24</c:v>
                </c:pt>
                <c:pt idx="522">
                  <c:v>APR.24</c:v>
                </c:pt>
                <c:pt idx="523">
                  <c:v>APR.24</c:v>
                </c:pt>
                <c:pt idx="524">
                  <c:v>APR.24</c:v>
                </c:pt>
                <c:pt idx="525">
                  <c:v>APR.24</c:v>
                </c:pt>
                <c:pt idx="526">
                  <c:v>APR.24</c:v>
                </c:pt>
                <c:pt idx="527">
                  <c:v>APR.24</c:v>
                </c:pt>
                <c:pt idx="528">
                  <c:v>APR.24</c:v>
                </c:pt>
                <c:pt idx="529">
                  <c:v>APR.24</c:v>
                </c:pt>
                <c:pt idx="530">
                  <c:v>APR.24</c:v>
                </c:pt>
                <c:pt idx="531">
                  <c:v>APR.24</c:v>
                </c:pt>
                <c:pt idx="532">
                  <c:v>APR.24</c:v>
                </c:pt>
                <c:pt idx="533">
                  <c:v>APR.24</c:v>
                </c:pt>
                <c:pt idx="534">
                  <c:v>APR.24</c:v>
                </c:pt>
                <c:pt idx="535">
                  <c:v>May 24 live</c:v>
                </c:pt>
                <c:pt idx="536">
                  <c:v>MAY.24</c:v>
                </c:pt>
                <c:pt idx="537">
                  <c:v>MAY.24</c:v>
                </c:pt>
                <c:pt idx="538">
                  <c:v>MAY.24</c:v>
                </c:pt>
                <c:pt idx="539">
                  <c:v>MAY.24</c:v>
                </c:pt>
                <c:pt idx="540">
                  <c:v>MAY.24</c:v>
                </c:pt>
                <c:pt idx="541">
                  <c:v>MAY.24</c:v>
                </c:pt>
                <c:pt idx="542">
                  <c:v>MAY.24</c:v>
                </c:pt>
                <c:pt idx="543">
                  <c:v>MAY.24</c:v>
                </c:pt>
                <c:pt idx="544">
                  <c:v>MAY.24</c:v>
                </c:pt>
                <c:pt idx="545">
                  <c:v>MAY.24</c:v>
                </c:pt>
                <c:pt idx="546">
                  <c:v>MAY.24</c:v>
                </c:pt>
                <c:pt idx="547">
                  <c:v>MAY.24</c:v>
                </c:pt>
                <c:pt idx="548">
                  <c:v>MAY.24</c:v>
                </c:pt>
                <c:pt idx="549">
                  <c:v>MAY.24</c:v>
                </c:pt>
                <c:pt idx="550">
                  <c:v>MAY.24</c:v>
                </c:pt>
                <c:pt idx="551">
                  <c:v>MAY.24</c:v>
                </c:pt>
                <c:pt idx="552">
                  <c:v>MAY.24</c:v>
                </c:pt>
                <c:pt idx="553">
                  <c:v>MAY.24</c:v>
                </c:pt>
                <c:pt idx="554">
                  <c:v>MAY.24</c:v>
                </c:pt>
                <c:pt idx="555">
                  <c:v>MAY.24</c:v>
                </c:pt>
                <c:pt idx="556">
                  <c:v>MAY.24</c:v>
                </c:pt>
                <c:pt idx="557">
                  <c:v>MAY.24</c:v>
                </c:pt>
                <c:pt idx="558">
                  <c:v>MAY.24</c:v>
                </c:pt>
                <c:pt idx="559">
                  <c:v>MAY.24</c:v>
                </c:pt>
                <c:pt idx="560">
                  <c:v>MAY.24</c:v>
                </c:pt>
                <c:pt idx="561">
                  <c:v>MAY.24</c:v>
                </c:pt>
                <c:pt idx="562">
                  <c:v>MAY.24</c:v>
                </c:pt>
                <c:pt idx="563">
                  <c:v>MAY.24</c:v>
                </c:pt>
                <c:pt idx="564">
                  <c:v>MAY.24</c:v>
                </c:pt>
                <c:pt idx="565">
                  <c:v>MAY.24</c:v>
                </c:pt>
                <c:pt idx="566">
                  <c:v>MAY.24</c:v>
                </c:pt>
                <c:pt idx="567">
                  <c:v>MAY.24</c:v>
                </c:pt>
                <c:pt idx="568">
                  <c:v>MAY.24</c:v>
                </c:pt>
                <c:pt idx="569">
                  <c:v>MAY.24</c:v>
                </c:pt>
                <c:pt idx="570">
                  <c:v>MAY.24</c:v>
                </c:pt>
                <c:pt idx="571">
                  <c:v>MAY.24</c:v>
                </c:pt>
                <c:pt idx="572">
                  <c:v>MAY.24</c:v>
                </c:pt>
                <c:pt idx="573">
                  <c:v>MAY.24</c:v>
                </c:pt>
                <c:pt idx="574">
                  <c:v>MAY.24</c:v>
                </c:pt>
                <c:pt idx="575">
                  <c:v>MAY.24</c:v>
                </c:pt>
                <c:pt idx="576">
                  <c:v>MAY.24</c:v>
                </c:pt>
                <c:pt idx="577">
                  <c:v>MAY.24</c:v>
                </c:pt>
                <c:pt idx="578">
                  <c:v>MAY.24</c:v>
                </c:pt>
                <c:pt idx="579">
                  <c:v>MAY.24</c:v>
                </c:pt>
                <c:pt idx="580">
                  <c:v>MAY.24</c:v>
                </c:pt>
                <c:pt idx="581">
                  <c:v>MAY.24</c:v>
                </c:pt>
                <c:pt idx="582">
                  <c:v>MAY.24</c:v>
                </c:pt>
                <c:pt idx="583">
                  <c:v>MAY.24</c:v>
                </c:pt>
                <c:pt idx="584">
                  <c:v>MAY.24</c:v>
                </c:pt>
                <c:pt idx="585">
                  <c:v>MAY.24</c:v>
                </c:pt>
                <c:pt idx="586">
                  <c:v>MAY.24</c:v>
                </c:pt>
                <c:pt idx="587">
                  <c:v>MAY.24</c:v>
                </c:pt>
                <c:pt idx="588">
                  <c:v>MAY.24</c:v>
                </c:pt>
                <c:pt idx="589">
                  <c:v>MAY.24</c:v>
                </c:pt>
                <c:pt idx="590">
                  <c:v>MAY.24</c:v>
                </c:pt>
                <c:pt idx="591">
                  <c:v>MAY.24</c:v>
                </c:pt>
                <c:pt idx="592">
                  <c:v>MAY.24</c:v>
                </c:pt>
                <c:pt idx="593">
                  <c:v>MAY.24</c:v>
                </c:pt>
                <c:pt idx="594">
                  <c:v>MAY.24</c:v>
                </c:pt>
                <c:pt idx="595">
                  <c:v>MAY.24</c:v>
                </c:pt>
                <c:pt idx="596">
                  <c:v>MAY.24</c:v>
                </c:pt>
                <c:pt idx="597">
                  <c:v>MAY.24</c:v>
                </c:pt>
                <c:pt idx="598">
                  <c:v>MAY.24</c:v>
                </c:pt>
                <c:pt idx="599">
                  <c:v>MAY.24</c:v>
                </c:pt>
                <c:pt idx="600">
                  <c:v>MAY.24</c:v>
                </c:pt>
                <c:pt idx="601">
                  <c:v>MAY.24</c:v>
                </c:pt>
                <c:pt idx="602">
                  <c:v>MAY.24</c:v>
                </c:pt>
                <c:pt idx="603">
                  <c:v>MAY.24</c:v>
                </c:pt>
                <c:pt idx="604">
                  <c:v>MAY.24</c:v>
                </c:pt>
                <c:pt idx="605">
                  <c:v>MAY.24</c:v>
                </c:pt>
                <c:pt idx="606">
                  <c:v>MAY.24</c:v>
                </c:pt>
                <c:pt idx="607">
                  <c:v>MAY.24</c:v>
                </c:pt>
                <c:pt idx="608">
                  <c:v>MAY.24</c:v>
                </c:pt>
                <c:pt idx="609">
                  <c:v>MAY.24</c:v>
                </c:pt>
                <c:pt idx="610">
                  <c:v>MAY.24</c:v>
                </c:pt>
                <c:pt idx="611">
                  <c:v>MAY.24</c:v>
                </c:pt>
                <c:pt idx="612">
                  <c:v>MAY.24</c:v>
                </c:pt>
                <c:pt idx="613">
                  <c:v>MAY.24</c:v>
                </c:pt>
                <c:pt idx="614">
                  <c:v>MAY.24</c:v>
                </c:pt>
                <c:pt idx="615">
                  <c:v>MAY.24</c:v>
                </c:pt>
                <c:pt idx="616">
                  <c:v>MAY.24</c:v>
                </c:pt>
                <c:pt idx="617">
                  <c:v>MAY.24</c:v>
                </c:pt>
                <c:pt idx="618">
                  <c:v>MAY.24</c:v>
                </c:pt>
                <c:pt idx="619">
                  <c:v>MAY.24</c:v>
                </c:pt>
                <c:pt idx="620">
                  <c:v>MAY.24</c:v>
                </c:pt>
                <c:pt idx="621">
                  <c:v>MAY.24</c:v>
                </c:pt>
                <c:pt idx="622">
                  <c:v>MAY.24</c:v>
                </c:pt>
                <c:pt idx="623">
                  <c:v>MAY.24</c:v>
                </c:pt>
                <c:pt idx="624">
                  <c:v>MAY.24</c:v>
                </c:pt>
                <c:pt idx="625">
                  <c:v>MAY.24</c:v>
                </c:pt>
                <c:pt idx="626">
                  <c:v>MAY.24</c:v>
                </c:pt>
                <c:pt idx="627">
                  <c:v>MAY.24</c:v>
                </c:pt>
                <c:pt idx="628">
                  <c:v>MAY.24</c:v>
                </c:pt>
                <c:pt idx="629">
                  <c:v>MAY.24</c:v>
                </c:pt>
                <c:pt idx="630">
                  <c:v>MAY.24</c:v>
                </c:pt>
                <c:pt idx="631">
                  <c:v>MAY.24</c:v>
                </c:pt>
                <c:pt idx="632">
                  <c:v>MAY.24</c:v>
                </c:pt>
                <c:pt idx="633">
                  <c:v>MAY.24</c:v>
                </c:pt>
                <c:pt idx="634">
                  <c:v>MAY.24</c:v>
                </c:pt>
                <c:pt idx="635">
                  <c:v>MAY.24</c:v>
                </c:pt>
                <c:pt idx="636">
                  <c:v>MAY.24</c:v>
                </c:pt>
                <c:pt idx="637">
                  <c:v>MAY.24</c:v>
                </c:pt>
                <c:pt idx="638">
                  <c:v>MAY.24</c:v>
                </c:pt>
                <c:pt idx="639">
                  <c:v>MAY.24</c:v>
                </c:pt>
                <c:pt idx="640">
                  <c:v>MAY.24</c:v>
                </c:pt>
                <c:pt idx="641">
                  <c:v>MAY.24</c:v>
                </c:pt>
                <c:pt idx="642">
                  <c:v>MAY.24</c:v>
                </c:pt>
                <c:pt idx="643">
                  <c:v>MAY.24</c:v>
                </c:pt>
                <c:pt idx="644">
                  <c:v>MAY.24</c:v>
                </c:pt>
                <c:pt idx="645">
                  <c:v>MAY.24</c:v>
                </c:pt>
                <c:pt idx="646">
                  <c:v>MAY.24</c:v>
                </c:pt>
                <c:pt idx="647">
                  <c:v>MAY.24</c:v>
                </c:pt>
                <c:pt idx="648">
                  <c:v>MAY.24</c:v>
                </c:pt>
                <c:pt idx="649">
                  <c:v>MAY.24</c:v>
                </c:pt>
                <c:pt idx="650">
                  <c:v>MAY.24</c:v>
                </c:pt>
                <c:pt idx="651">
                  <c:v>MAY.24</c:v>
                </c:pt>
                <c:pt idx="652">
                  <c:v>MAY.24</c:v>
                </c:pt>
                <c:pt idx="653">
                  <c:v>MAY.24</c:v>
                </c:pt>
                <c:pt idx="654">
                  <c:v>MAY.24</c:v>
                </c:pt>
                <c:pt idx="655">
                  <c:v>MAY.24</c:v>
                </c:pt>
                <c:pt idx="656">
                  <c:v>MAY.24</c:v>
                </c:pt>
                <c:pt idx="657">
                  <c:v>MAY.24</c:v>
                </c:pt>
                <c:pt idx="658">
                  <c:v>MAY.24</c:v>
                </c:pt>
                <c:pt idx="659">
                  <c:v>MAY.24</c:v>
                </c:pt>
                <c:pt idx="660">
                  <c:v>MAY.24</c:v>
                </c:pt>
                <c:pt idx="661">
                  <c:v>MAY.24</c:v>
                </c:pt>
                <c:pt idx="662">
                  <c:v>MAY.24</c:v>
                </c:pt>
                <c:pt idx="663">
                  <c:v>MAY.24</c:v>
                </c:pt>
                <c:pt idx="664">
                  <c:v>MAY.24</c:v>
                </c:pt>
                <c:pt idx="665">
                  <c:v>MAY.24</c:v>
                </c:pt>
                <c:pt idx="666">
                  <c:v>MAY.24</c:v>
                </c:pt>
                <c:pt idx="667">
                  <c:v>MAY.24</c:v>
                </c:pt>
                <c:pt idx="668">
                  <c:v>MAY.24</c:v>
                </c:pt>
                <c:pt idx="669">
                  <c:v>MAY.24</c:v>
                </c:pt>
                <c:pt idx="670">
                  <c:v>MAY.24</c:v>
                </c:pt>
                <c:pt idx="671">
                  <c:v>MAY.24</c:v>
                </c:pt>
                <c:pt idx="672">
                  <c:v>MAY.24</c:v>
                </c:pt>
                <c:pt idx="673">
                  <c:v>MAY.24</c:v>
                </c:pt>
                <c:pt idx="674">
                  <c:v>MAY.24</c:v>
                </c:pt>
                <c:pt idx="675">
                  <c:v>MAY.24</c:v>
                </c:pt>
                <c:pt idx="676">
                  <c:v>MAY.24</c:v>
                </c:pt>
                <c:pt idx="677">
                  <c:v>MAY.24</c:v>
                </c:pt>
                <c:pt idx="678">
                  <c:v>MAY.24</c:v>
                </c:pt>
                <c:pt idx="679">
                  <c:v>MAY.24</c:v>
                </c:pt>
                <c:pt idx="680">
                  <c:v>MAY.24 after disaster</c:v>
                </c:pt>
                <c:pt idx="681">
                  <c:v>MAY.24</c:v>
                </c:pt>
                <c:pt idx="682">
                  <c:v>MAY.24</c:v>
                </c:pt>
                <c:pt idx="683">
                  <c:v>MAY.24</c:v>
                </c:pt>
                <c:pt idx="684">
                  <c:v>MAY.24</c:v>
                </c:pt>
                <c:pt idx="685">
                  <c:v>MAY.24</c:v>
                </c:pt>
                <c:pt idx="686">
                  <c:v>MAY.24</c:v>
                </c:pt>
                <c:pt idx="687">
                  <c:v>MAY.24</c:v>
                </c:pt>
                <c:pt idx="688">
                  <c:v>MAY.24</c:v>
                </c:pt>
                <c:pt idx="689">
                  <c:v>MAY.24</c:v>
                </c:pt>
                <c:pt idx="690">
                  <c:v>MAY.24</c:v>
                </c:pt>
                <c:pt idx="691">
                  <c:v>MAY.24</c:v>
                </c:pt>
                <c:pt idx="692">
                  <c:v>MAY.24</c:v>
                </c:pt>
                <c:pt idx="693">
                  <c:v>MAY.24</c:v>
                </c:pt>
                <c:pt idx="694">
                  <c:v>MAY.24</c:v>
                </c:pt>
                <c:pt idx="695">
                  <c:v>MAY.24 recovery</c:v>
                </c:pt>
                <c:pt idx="696">
                  <c:v>MAY.24</c:v>
                </c:pt>
                <c:pt idx="697">
                  <c:v>MAY.24</c:v>
                </c:pt>
                <c:pt idx="698">
                  <c:v>MAY.24</c:v>
                </c:pt>
                <c:pt idx="699">
                  <c:v>MAY.24</c:v>
                </c:pt>
                <c:pt idx="700">
                  <c:v>MAY.24</c:v>
                </c:pt>
                <c:pt idx="701">
                  <c:v>MAY.24</c:v>
                </c:pt>
                <c:pt idx="702">
                  <c:v>MAY.24</c:v>
                </c:pt>
                <c:pt idx="703">
                  <c:v>MAY.24</c:v>
                </c:pt>
                <c:pt idx="704">
                  <c:v>MAY.24</c:v>
                </c:pt>
                <c:pt idx="705">
                  <c:v>MAY.24</c:v>
                </c:pt>
                <c:pt idx="706">
                  <c:v>MAY.24</c:v>
                </c:pt>
                <c:pt idx="707">
                  <c:v>MAY.24</c:v>
                </c:pt>
                <c:pt idx="708">
                  <c:v>MAY.24</c:v>
                </c:pt>
                <c:pt idx="709">
                  <c:v>MAY.24</c:v>
                </c:pt>
                <c:pt idx="710">
                  <c:v>MAY.24</c:v>
                </c:pt>
                <c:pt idx="711">
                  <c:v>MAY.24</c:v>
                </c:pt>
                <c:pt idx="712">
                  <c:v>MAY.24</c:v>
                </c:pt>
                <c:pt idx="713">
                  <c:v>MAY.24</c:v>
                </c:pt>
                <c:pt idx="714">
                  <c:v>MAY.24</c:v>
                </c:pt>
                <c:pt idx="715">
                  <c:v>MAY.24</c:v>
                </c:pt>
                <c:pt idx="716">
                  <c:v>MAY.24</c:v>
                </c:pt>
                <c:pt idx="717">
                  <c:v>MAY.24</c:v>
                </c:pt>
                <c:pt idx="718">
                  <c:v>MAY.24</c:v>
                </c:pt>
                <c:pt idx="719">
                  <c:v>MAY.24</c:v>
                </c:pt>
                <c:pt idx="720">
                  <c:v>MAY.24</c:v>
                </c:pt>
                <c:pt idx="721">
                  <c:v>MAY.24</c:v>
                </c:pt>
                <c:pt idx="722">
                  <c:v>MAY.24</c:v>
                </c:pt>
                <c:pt idx="723">
                  <c:v>MAY.24</c:v>
                </c:pt>
                <c:pt idx="724">
                  <c:v>MAY.24</c:v>
                </c:pt>
                <c:pt idx="725">
                  <c:v>MAY.24</c:v>
                </c:pt>
                <c:pt idx="726">
                  <c:v>MAY.24</c:v>
                </c:pt>
                <c:pt idx="727">
                  <c:v>MAY.24</c:v>
                </c:pt>
                <c:pt idx="728">
                  <c:v>MAY.24</c:v>
                </c:pt>
                <c:pt idx="729">
                  <c:v>MAY.24</c:v>
                </c:pt>
                <c:pt idx="730">
                  <c:v>June24 live</c:v>
                </c:pt>
                <c:pt idx="731">
                  <c:v>JUN.24</c:v>
                </c:pt>
                <c:pt idx="732">
                  <c:v>JUN.24</c:v>
                </c:pt>
                <c:pt idx="733">
                  <c:v>JUN.24</c:v>
                </c:pt>
                <c:pt idx="734">
                  <c:v>JUN.24</c:v>
                </c:pt>
                <c:pt idx="735">
                  <c:v>JUN.24</c:v>
                </c:pt>
                <c:pt idx="736">
                  <c:v>JUN.24</c:v>
                </c:pt>
                <c:pt idx="737">
                  <c:v>JUN.24</c:v>
                </c:pt>
                <c:pt idx="738">
                  <c:v>JUN.24</c:v>
                </c:pt>
                <c:pt idx="739">
                  <c:v>JUN.24</c:v>
                </c:pt>
                <c:pt idx="740">
                  <c:v>JUN.24</c:v>
                </c:pt>
                <c:pt idx="741">
                  <c:v>JUN.24</c:v>
                </c:pt>
                <c:pt idx="742">
                  <c:v>JUN.24</c:v>
                </c:pt>
                <c:pt idx="743">
                  <c:v>JUN.24</c:v>
                </c:pt>
                <c:pt idx="744">
                  <c:v>JUN.24</c:v>
                </c:pt>
                <c:pt idx="745">
                  <c:v>JUN.24</c:v>
                </c:pt>
                <c:pt idx="746">
                  <c:v>JUN.24</c:v>
                </c:pt>
                <c:pt idx="747">
                  <c:v>JUN.24</c:v>
                </c:pt>
                <c:pt idx="748">
                  <c:v>JUN.24</c:v>
                </c:pt>
                <c:pt idx="749">
                  <c:v>JUN.24</c:v>
                </c:pt>
                <c:pt idx="750">
                  <c:v>JUN.24</c:v>
                </c:pt>
                <c:pt idx="751">
                  <c:v>JUN.24</c:v>
                </c:pt>
                <c:pt idx="752">
                  <c:v>JUN.24</c:v>
                </c:pt>
                <c:pt idx="753">
                  <c:v>JUN.24</c:v>
                </c:pt>
                <c:pt idx="754">
                  <c:v>JUN.24</c:v>
                </c:pt>
                <c:pt idx="755">
                  <c:v>JUN.24</c:v>
                </c:pt>
                <c:pt idx="756">
                  <c:v>JUN.24</c:v>
                </c:pt>
                <c:pt idx="757">
                  <c:v>JUN.24</c:v>
                </c:pt>
                <c:pt idx="758">
                  <c:v>JUN.24</c:v>
                </c:pt>
                <c:pt idx="759">
                  <c:v>JUN.24</c:v>
                </c:pt>
                <c:pt idx="760">
                  <c:v>JUN.24</c:v>
                </c:pt>
                <c:pt idx="761">
                  <c:v>JUN.24</c:v>
                </c:pt>
                <c:pt idx="762">
                  <c:v>JUN.24</c:v>
                </c:pt>
                <c:pt idx="763">
                  <c:v>JUN.24</c:v>
                </c:pt>
                <c:pt idx="764">
                  <c:v>JUN.24</c:v>
                </c:pt>
                <c:pt idx="765">
                  <c:v>JUN.24</c:v>
                </c:pt>
                <c:pt idx="766">
                  <c:v>JUN.24</c:v>
                </c:pt>
                <c:pt idx="767">
                  <c:v>JUN.24</c:v>
                </c:pt>
                <c:pt idx="768">
                  <c:v>JUN.24</c:v>
                </c:pt>
                <c:pt idx="769">
                  <c:v>JUN.24</c:v>
                </c:pt>
                <c:pt idx="770">
                  <c:v>JUN.24</c:v>
                </c:pt>
                <c:pt idx="771">
                  <c:v>JUN.24</c:v>
                </c:pt>
                <c:pt idx="772">
                  <c:v>JUN.24</c:v>
                </c:pt>
                <c:pt idx="773">
                  <c:v>JUN.24</c:v>
                </c:pt>
                <c:pt idx="774">
                  <c:v>JUN.24</c:v>
                </c:pt>
                <c:pt idx="775">
                  <c:v>JUN.24</c:v>
                </c:pt>
                <c:pt idx="776">
                  <c:v>JUN.24</c:v>
                </c:pt>
                <c:pt idx="777">
                  <c:v>JUN.24</c:v>
                </c:pt>
                <c:pt idx="778">
                  <c:v>JUN.24</c:v>
                </c:pt>
                <c:pt idx="779">
                  <c:v>JUN.24</c:v>
                </c:pt>
                <c:pt idx="780">
                  <c:v>JUN.24</c:v>
                </c:pt>
                <c:pt idx="781">
                  <c:v>JUN.24</c:v>
                </c:pt>
                <c:pt idx="782">
                  <c:v>JUN.24</c:v>
                </c:pt>
                <c:pt idx="783">
                  <c:v>JUN.24</c:v>
                </c:pt>
                <c:pt idx="784">
                  <c:v>JUN.24</c:v>
                </c:pt>
                <c:pt idx="785">
                  <c:v>JUN.24</c:v>
                </c:pt>
                <c:pt idx="786">
                  <c:v>JUN.24</c:v>
                </c:pt>
                <c:pt idx="787">
                  <c:v>JUN.24</c:v>
                </c:pt>
                <c:pt idx="788">
                  <c:v>JUN.24</c:v>
                </c:pt>
                <c:pt idx="789">
                  <c:v>JUN.24</c:v>
                </c:pt>
                <c:pt idx="790">
                  <c:v>JUN.24</c:v>
                </c:pt>
                <c:pt idx="791">
                  <c:v>JUN.24</c:v>
                </c:pt>
                <c:pt idx="792">
                  <c:v>JUN.24</c:v>
                </c:pt>
                <c:pt idx="793">
                  <c:v>JUN.24</c:v>
                </c:pt>
                <c:pt idx="794">
                  <c:v>JUN.24</c:v>
                </c:pt>
                <c:pt idx="795">
                  <c:v>JUN.24</c:v>
                </c:pt>
                <c:pt idx="796">
                  <c:v>JUN.24</c:v>
                </c:pt>
                <c:pt idx="797">
                  <c:v>JUN.24</c:v>
                </c:pt>
                <c:pt idx="798">
                  <c:v>JUN.24</c:v>
                </c:pt>
                <c:pt idx="799">
                  <c:v>JUN.24</c:v>
                </c:pt>
                <c:pt idx="800">
                  <c:v>JUN.24</c:v>
                </c:pt>
                <c:pt idx="801">
                  <c:v>JUN.24</c:v>
                </c:pt>
                <c:pt idx="802">
                  <c:v>JUN.24</c:v>
                </c:pt>
                <c:pt idx="803">
                  <c:v>JUN.24</c:v>
                </c:pt>
                <c:pt idx="804">
                  <c:v>JUN.24</c:v>
                </c:pt>
                <c:pt idx="805">
                  <c:v>JUN.24</c:v>
                </c:pt>
                <c:pt idx="806">
                  <c:v>JUN.24</c:v>
                </c:pt>
                <c:pt idx="807">
                  <c:v>JUN.24</c:v>
                </c:pt>
                <c:pt idx="808">
                  <c:v>JUN.24</c:v>
                </c:pt>
                <c:pt idx="809">
                  <c:v>JUN.24</c:v>
                </c:pt>
                <c:pt idx="810">
                  <c:v>JUN.24</c:v>
                </c:pt>
                <c:pt idx="811">
                  <c:v>JUN.24</c:v>
                </c:pt>
                <c:pt idx="812">
                  <c:v>JUN.24</c:v>
                </c:pt>
                <c:pt idx="813">
                  <c:v>JUN.24</c:v>
                </c:pt>
                <c:pt idx="814">
                  <c:v>JUN.24</c:v>
                </c:pt>
                <c:pt idx="815">
                  <c:v>JUN.24</c:v>
                </c:pt>
                <c:pt idx="816">
                  <c:v>JUN.24</c:v>
                </c:pt>
                <c:pt idx="817">
                  <c:v>JUN.24</c:v>
                </c:pt>
                <c:pt idx="818">
                  <c:v>JUN.24</c:v>
                </c:pt>
                <c:pt idx="819">
                  <c:v>JUN.24</c:v>
                </c:pt>
                <c:pt idx="820">
                  <c:v>JUN.24</c:v>
                </c:pt>
                <c:pt idx="821">
                  <c:v>JUN.24</c:v>
                </c:pt>
                <c:pt idx="822">
                  <c:v>JUN.24</c:v>
                </c:pt>
                <c:pt idx="823">
                  <c:v>JUN.24</c:v>
                </c:pt>
                <c:pt idx="824">
                  <c:v>JUN.24</c:v>
                </c:pt>
                <c:pt idx="825">
                  <c:v>JUN.24</c:v>
                </c:pt>
                <c:pt idx="826">
                  <c:v>JUN.24</c:v>
                </c:pt>
                <c:pt idx="827">
                  <c:v>JUN.24</c:v>
                </c:pt>
                <c:pt idx="828">
                  <c:v>JUN.24</c:v>
                </c:pt>
                <c:pt idx="829">
                  <c:v>JUN.24</c:v>
                </c:pt>
                <c:pt idx="830">
                  <c:v>JUN.24</c:v>
                </c:pt>
                <c:pt idx="831">
                  <c:v>JUN.24</c:v>
                </c:pt>
                <c:pt idx="832">
                  <c:v>JUN.24</c:v>
                </c:pt>
                <c:pt idx="833">
                  <c:v>JUN.24</c:v>
                </c:pt>
                <c:pt idx="834">
                  <c:v>JUN.24</c:v>
                </c:pt>
                <c:pt idx="835">
                  <c:v>JUN.24</c:v>
                </c:pt>
                <c:pt idx="836">
                  <c:v>JUN.24</c:v>
                </c:pt>
                <c:pt idx="837">
                  <c:v>JUN.24</c:v>
                </c:pt>
                <c:pt idx="838">
                  <c:v>JUN.24</c:v>
                </c:pt>
                <c:pt idx="839">
                  <c:v>JUN.24</c:v>
                </c:pt>
                <c:pt idx="840">
                  <c:v>JUN.24</c:v>
                </c:pt>
                <c:pt idx="841">
                  <c:v>JUN.24</c:v>
                </c:pt>
                <c:pt idx="842">
                  <c:v>JUN.24</c:v>
                </c:pt>
                <c:pt idx="843">
                  <c:v>JUN.24</c:v>
                </c:pt>
                <c:pt idx="844">
                  <c:v>JUN.24</c:v>
                </c:pt>
                <c:pt idx="845">
                  <c:v>JUN.24</c:v>
                </c:pt>
                <c:pt idx="846">
                  <c:v>JUN.24</c:v>
                </c:pt>
                <c:pt idx="847">
                  <c:v>JUN.24</c:v>
                </c:pt>
                <c:pt idx="848">
                  <c:v>JUN.24</c:v>
                </c:pt>
                <c:pt idx="849">
                  <c:v>JUN.24</c:v>
                </c:pt>
                <c:pt idx="850">
                  <c:v>JUN.24</c:v>
                </c:pt>
                <c:pt idx="851">
                  <c:v>JUN.24</c:v>
                </c:pt>
                <c:pt idx="852">
                  <c:v>JUN.24</c:v>
                </c:pt>
                <c:pt idx="853">
                  <c:v>JUN.24</c:v>
                </c:pt>
                <c:pt idx="854">
                  <c:v>JUN.24</c:v>
                </c:pt>
                <c:pt idx="855">
                  <c:v>JUN.24</c:v>
                </c:pt>
                <c:pt idx="856">
                  <c:v>JUN.24</c:v>
                </c:pt>
                <c:pt idx="857">
                  <c:v>JUN.24</c:v>
                </c:pt>
                <c:pt idx="858">
                  <c:v>JUN.24</c:v>
                </c:pt>
                <c:pt idx="859">
                  <c:v>JUN.24</c:v>
                </c:pt>
                <c:pt idx="860">
                  <c:v>JUN.24</c:v>
                </c:pt>
                <c:pt idx="861">
                  <c:v>JUN.24</c:v>
                </c:pt>
                <c:pt idx="862">
                  <c:v>JUN.24</c:v>
                </c:pt>
                <c:pt idx="863">
                  <c:v>JUN.24</c:v>
                </c:pt>
                <c:pt idx="864">
                  <c:v>JUN.24</c:v>
                </c:pt>
                <c:pt idx="865">
                  <c:v>JUN.24</c:v>
                </c:pt>
                <c:pt idx="866">
                  <c:v>JUN.24</c:v>
                </c:pt>
                <c:pt idx="867">
                  <c:v>JUN.24</c:v>
                </c:pt>
                <c:pt idx="868">
                  <c:v>JUN.24</c:v>
                </c:pt>
                <c:pt idx="869">
                  <c:v>JUN.24</c:v>
                </c:pt>
                <c:pt idx="870">
                  <c:v>JUN.24</c:v>
                </c:pt>
                <c:pt idx="871">
                  <c:v>JUN.24</c:v>
                </c:pt>
                <c:pt idx="872">
                  <c:v>JUN.24</c:v>
                </c:pt>
                <c:pt idx="873">
                  <c:v>JUN.24</c:v>
                </c:pt>
                <c:pt idx="874">
                  <c:v>JUN.24</c:v>
                </c:pt>
                <c:pt idx="875">
                  <c:v>JUN.24</c:v>
                </c:pt>
                <c:pt idx="876">
                  <c:v>JUN.24</c:v>
                </c:pt>
                <c:pt idx="877">
                  <c:v>JUN.24</c:v>
                </c:pt>
                <c:pt idx="878">
                  <c:v>JUN.24 BLOWUP</c:v>
                </c:pt>
                <c:pt idx="879">
                  <c:v>JUN.24</c:v>
                </c:pt>
                <c:pt idx="880">
                  <c:v>JUN.24</c:v>
                </c:pt>
                <c:pt idx="881">
                  <c:v>JUN.24</c:v>
                </c:pt>
                <c:pt idx="882">
                  <c:v>JUN.24</c:v>
                </c:pt>
                <c:pt idx="883">
                  <c:v>JUN.24</c:v>
                </c:pt>
                <c:pt idx="884">
                  <c:v>JUN.24</c:v>
                </c:pt>
                <c:pt idx="885">
                  <c:v>JUN.24</c:v>
                </c:pt>
                <c:pt idx="886">
                  <c:v>JUN.24</c:v>
                </c:pt>
                <c:pt idx="887">
                  <c:v>July24 live (R+1) | REDUCE INTRADAY &gt;1D TRADES</c:v>
                </c:pt>
                <c:pt idx="888">
                  <c:v>JUL.24</c:v>
                </c:pt>
                <c:pt idx="889">
                  <c:v>JUL.24</c:v>
                </c:pt>
                <c:pt idx="890">
                  <c:v>JUL.24</c:v>
                </c:pt>
                <c:pt idx="891">
                  <c:v>JUL.24</c:v>
                </c:pt>
                <c:pt idx="892">
                  <c:v>JUL.24</c:v>
                </c:pt>
                <c:pt idx="893">
                  <c:v>JUL.24</c:v>
                </c:pt>
                <c:pt idx="894">
                  <c:v>JUL.24</c:v>
                </c:pt>
                <c:pt idx="895">
                  <c:v>JUL.24</c:v>
                </c:pt>
                <c:pt idx="896">
                  <c:v>JUL.24</c:v>
                </c:pt>
                <c:pt idx="897">
                  <c:v>JUL.24</c:v>
                </c:pt>
                <c:pt idx="898">
                  <c:v>JUL.24</c:v>
                </c:pt>
                <c:pt idx="899">
                  <c:v>JUL.24</c:v>
                </c:pt>
                <c:pt idx="900">
                  <c:v>JUL.24</c:v>
                </c:pt>
                <c:pt idx="901">
                  <c:v>JUL.24</c:v>
                </c:pt>
                <c:pt idx="902">
                  <c:v>JUL.24</c:v>
                </c:pt>
                <c:pt idx="903">
                  <c:v>JUL.24</c:v>
                </c:pt>
                <c:pt idx="904">
                  <c:v>JUL.24</c:v>
                </c:pt>
                <c:pt idx="905">
                  <c:v>JUL.24</c:v>
                </c:pt>
                <c:pt idx="906">
                  <c:v>JUL.24</c:v>
                </c:pt>
                <c:pt idx="907">
                  <c:v>JUL.24</c:v>
                </c:pt>
                <c:pt idx="908">
                  <c:v>JUL.24</c:v>
                </c:pt>
                <c:pt idx="909">
                  <c:v>JUL.24</c:v>
                </c:pt>
                <c:pt idx="910">
                  <c:v>JUL.24</c:v>
                </c:pt>
                <c:pt idx="911">
                  <c:v>JUL.24</c:v>
                </c:pt>
                <c:pt idx="912">
                  <c:v>JUL.24</c:v>
                </c:pt>
                <c:pt idx="913">
                  <c:v>JUL.24</c:v>
                </c:pt>
                <c:pt idx="914">
                  <c:v>JUL.24</c:v>
                </c:pt>
                <c:pt idx="915">
                  <c:v>JUL.24</c:v>
                </c:pt>
                <c:pt idx="916">
                  <c:v>JUL.24</c:v>
                </c:pt>
                <c:pt idx="917">
                  <c:v>JUL.24</c:v>
                </c:pt>
                <c:pt idx="918">
                  <c:v>JUL.24</c:v>
                </c:pt>
                <c:pt idx="919">
                  <c:v>JUL.24</c:v>
                </c:pt>
                <c:pt idx="920">
                  <c:v>JUL.24</c:v>
                </c:pt>
                <c:pt idx="921">
                  <c:v>JUL.24</c:v>
                </c:pt>
                <c:pt idx="922">
                  <c:v>JUL.24</c:v>
                </c:pt>
                <c:pt idx="923">
                  <c:v>JUL.24</c:v>
                </c:pt>
                <c:pt idx="924">
                  <c:v>JUL.24</c:v>
                </c:pt>
                <c:pt idx="925">
                  <c:v>JUL.24</c:v>
                </c:pt>
                <c:pt idx="926">
                  <c:v>JUL.24</c:v>
                </c:pt>
                <c:pt idx="927">
                  <c:v>JUL.24</c:v>
                </c:pt>
                <c:pt idx="928">
                  <c:v>JUL.24</c:v>
                </c:pt>
                <c:pt idx="929">
                  <c:v>JUL.24</c:v>
                </c:pt>
                <c:pt idx="930">
                  <c:v>JUL.24</c:v>
                </c:pt>
                <c:pt idx="931">
                  <c:v>JUL.24</c:v>
                </c:pt>
                <c:pt idx="932">
                  <c:v>JUL.24</c:v>
                </c:pt>
                <c:pt idx="933">
                  <c:v>JUL.24</c:v>
                </c:pt>
                <c:pt idx="934">
                  <c:v>JUL.24</c:v>
                </c:pt>
                <c:pt idx="935">
                  <c:v>JUL.24</c:v>
                </c:pt>
                <c:pt idx="936">
                  <c:v>JUL.24</c:v>
                </c:pt>
                <c:pt idx="937">
                  <c:v>JUL.24</c:v>
                </c:pt>
                <c:pt idx="938">
                  <c:v>JUL.24</c:v>
                </c:pt>
                <c:pt idx="939">
                  <c:v>JUL.24</c:v>
                </c:pt>
                <c:pt idx="940">
                  <c:v>JUL.24</c:v>
                </c:pt>
                <c:pt idx="941">
                  <c:v>JUL.24</c:v>
                </c:pt>
                <c:pt idx="942">
                  <c:v>JUL.24</c:v>
                </c:pt>
                <c:pt idx="943">
                  <c:v>JUL.24</c:v>
                </c:pt>
                <c:pt idx="944">
                  <c:v>JUL.24</c:v>
                </c:pt>
                <c:pt idx="945">
                  <c:v>JUL.24</c:v>
                </c:pt>
                <c:pt idx="946">
                  <c:v>JUL.24</c:v>
                </c:pt>
                <c:pt idx="947">
                  <c:v>JUL.24</c:v>
                </c:pt>
                <c:pt idx="948">
                  <c:v>JUL.24</c:v>
                </c:pt>
                <c:pt idx="949">
                  <c:v>JUL.24</c:v>
                </c:pt>
                <c:pt idx="950">
                  <c:v>JUL.24</c:v>
                </c:pt>
                <c:pt idx="951">
                  <c:v>JUL.24</c:v>
                </c:pt>
                <c:pt idx="952">
                  <c:v>JUL.24</c:v>
                </c:pt>
                <c:pt idx="953">
                  <c:v>JUL.24</c:v>
                </c:pt>
                <c:pt idx="954">
                  <c:v>JUL.24</c:v>
                </c:pt>
                <c:pt idx="955">
                  <c:v>JUL.24</c:v>
                </c:pt>
                <c:pt idx="956">
                  <c:v>JUL.24</c:v>
                </c:pt>
                <c:pt idx="957">
                  <c:v>JUL.24</c:v>
                </c:pt>
                <c:pt idx="958">
                  <c:v>JUL.24</c:v>
                </c:pt>
                <c:pt idx="959">
                  <c:v>JUL.24</c:v>
                </c:pt>
                <c:pt idx="960">
                  <c:v>JUL.24</c:v>
                </c:pt>
                <c:pt idx="961">
                  <c:v>JUL.24</c:v>
                </c:pt>
                <c:pt idx="962">
                  <c:v>JUL.24</c:v>
                </c:pt>
                <c:pt idx="963">
                  <c:v>JUL.24</c:v>
                </c:pt>
                <c:pt idx="964">
                  <c:v>JUL.24</c:v>
                </c:pt>
                <c:pt idx="965">
                  <c:v>JUL.24</c:v>
                </c:pt>
                <c:pt idx="966">
                  <c:v>JUL.24</c:v>
                </c:pt>
                <c:pt idx="967">
                  <c:v>JUL.24</c:v>
                </c:pt>
                <c:pt idx="968">
                  <c:v>JUL.24</c:v>
                </c:pt>
                <c:pt idx="969">
                  <c:v>JUL.24</c:v>
                </c:pt>
                <c:pt idx="970">
                  <c:v>JUL.24</c:v>
                </c:pt>
                <c:pt idx="971">
                  <c:v>JUL.24</c:v>
                </c:pt>
                <c:pt idx="972">
                  <c:v>JUL.24</c:v>
                </c:pt>
                <c:pt idx="973">
                  <c:v>JUL.24</c:v>
                </c:pt>
                <c:pt idx="974">
                  <c:v>JUL.24</c:v>
                </c:pt>
                <c:pt idx="975">
                  <c:v>JUL.24</c:v>
                </c:pt>
                <c:pt idx="976">
                  <c:v>JUL.24</c:v>
                </c:pt>
                <c:pt idx="977">
                  <c:v>JUL.24</c:v>
                </c:pt>
                <c:pt idx="978">
                  <c:v>JUL.24</c:v>
                </c:pt>
                <c:pt idx="979">
                  <c:v>JUL.24</c:v>
                </c:pt>
                <c:pt idx="980">
                  <c:v>JUL.24</c:v>
                </c:pt>
                <c:pt idx="981">
                  <c:v>JUL.24</c:v>
                </c:pt>
                <c:pt idx="982">
                  <c:v>JUL.24</c:v>
                </c:pt>
                <c:pt idx="983">
                  <c:v>JUL.24</c:v>
                </c:pt>
                <c:pt idx="984">
                  <c:v>JUL.24</c:v>
                </c:pt>
                <c:pt idx="985">
                  <c:v>JUL.24</c:v>
                </c:pt>
                <c:pt idx="986">
                  <c:v>JUL.24</c:v>
                </c:pt>
                <c:pt idx="987">
                  <c:v>JUL.24</c:v>
                </c:pt>
                <c:pt idx="988">
                  <c:v>August24 live (R-1) | REDUCE LOT SIZING 2ND HALF AND ONLY EXITS IN 2ND HALF</c:v>
                </c:pt>
                <c:pt idx="989">
                  <c:v>AUG.24</c:v>
                </c:pt>
                <c:pt idx="990">
                  <c:v>AUG.24</c:v>
                </c:pt>
                <c:pt idx="991">
                  <c:v>AUG.24.II</c:v>
                </c:pt>
                <c:pt idx="992">
                  <c:v>AUG.24</c:v>
                </c:pt>
                <c:pt idx="993">
                  <c:v>AUG.24</c:v>
                </c:pt>
                <c:pt idx="994">
                  <c:v>AUG.24</c:v>
                </c:pt>
                <c:pt idx="995">
                  <c:v>AUG.24</c:v>
                </c:pt>
                <c:pt idx="996">
                  <c:v>AUG.24</c:v>
                </c:pt>
                <c:pt idx="997">
                  <c:v>AUG.24</c:v>
                </c:pt>
                <c:pt idx="998">
                  <c:v>AUG.24</c:v>
                </c:pt>
                <c:pt idx="999">
                  <c:v>AUG.24</c:v>
                </c:pt>
                <c:pt idx="1000">
                  <c:v>AUG.24.II</c:v>
                </c:pt>
                <c:pt idx="1001">
                  <c:v>AUG.24.II</c:v>
                </c:pt>
                <c:pt idx="1002">
                  <c:v>AUG.24</c:v>
                </c:pt>
                <c:pt idx="1003">
                  <c:v>AUG.24</c:v>
                </c:pt>
                <c:pt idx="1004">
                  <c:v>AUG.24</c:v>
                </c:pt>
                <c:pt idx="1005">
                  <c:v>AUG.24.II</c:v>
                </c:pt>
                <c:pt idx="1006">
                  <c:v>AUG.24.II</c:v>
                </c:pt>
                <c:pt idx="1007">
                  <c:v>AUG.24</c:v>
                </c:pt>
                <c:pt idx="1008">
                  <c:v>AUG.24</c:v>
                </c:pt>
                <c:pt idx="1009">
                  <c:v>AUG.24</c:v>
                </c:pt>
                <c:pt idx="1010">
                  <c:v>AUG.24</c:v>
                </c:pt>
                <c:pt idx="1011">
                  <c:v>AUG.24</c:v>
                </c:pt>
                <c:pt idx="1012">
                  <c:v>AUG.24</c:v>
                </c:pt>
                <c:pt idx="1013">
                  <c:v>AUG.24</c:v>
                </c:pt>
                <c:pt idx="1014">
                  <c:v>AUG.24</c:v>
                </c:pt>
                <c:pt idx="1015">
                  <c:v>AUG.24</c:v>
                </c:pt>
                <c:pt idx="1016">
                  <c:v>AUG.24</c:v>
                </c:pt>
                <c:pt idx="1017">
                  <c:v>AUG.24</c:v>
                </c:pt>
                <c:pt idx="1018">
                  <c:v>AUG.24</c:v>
                </c:pt>
                <c:pt idx="1019">
                  <c:v>AUG.24</c:v>
                </c:pt>
                <c:pt idx="1020">
                  <c:v>AUG.24</c:v>
                </c:pt>
                <c:pt idx="1021">
                  <c:v>AUG.24</c:v>
                </c:pt>
                <c:pt idx="1022">
                  <c:v>AUG.24</c:v>
                </c:pt>
                <c:pt idx="1023">
                  <c:v>AUG.24</c:v>
                </c:pt>
                <c:pt idx="1024">
                  <c:v>AUG.24</c:v>
                </c:pt>
                <c:pt idx="1025">
                  <c:v>AUG.24</c:v>
                </c:pt>
                <c:pt idx="1026">
                  <c:v>AUG.24.II</c:v>
                </c:pt>
                <c:pt idx="1027">
                  <c:v>AUG.24</c:v>
                </c:pt>
                <c:pt idx="1028">
                  <c:v>AUG.24</c:v>
                </c:pt>
                <c:pt idx="1029">
                  <c:v>AUG.24</c:v>
                </c:pt>
                <c:pt idx="1030">
                  <c:v>AUG.24</c:v>
                </c:pt>
                <c:pt idx="1031">
                  <c:v>AUG.24</c:v>
                </c:pt>
                <c:pt idx="1032">
                  <c:v>AUG.24</c:v>
                </c:pt>
                <c:pt idx="1033">
                  <c:v>AUG.24</c:v>
                </c:pt>
                <c:pt idx="1034">
                  <c:v>AUG.24</c:v>
                </c:pt>
                <c:pt idx="1035">
                  <c:v>AUG.24</c:v>
                </c:pt>
                <c:pt idx="1036">
                  <c:v>AUG.24</c:v>
                </c:pt>
                <c:pt idx="1037">
                  <c:v>AUG.24</c:v>
                </c:pt>
                <c:pt idx="1038">
                  <c:v>AUG.24</c:v>
                </c:pt>
                <c:pt idx="1039">
                  <c:v>AUG.24</c:v>
                </c:pt>
                <c:pt idx="1040">
                  <c:v>AUG.24</c:v>
                </c:pt>
                <c:pt idx="1041">
                  <c:v>AUG.24</c:v>
                </c:pt>
                <c:pt idx="1042">
                  <c:v>AUG.24</c:v>
                </c:pt>
                <c:pt idx="1043">
                  <c:v>AUG.24</c:v>
                </c:pt>
                <c:pt idx="1044">
                  <c:v>AUG.24</c:v>
                </c:pt>
                <c:pt idx="1045">
                  <c:v>AUG.24</c:v>
                </c:pt>
                <c:pt idx="1046">
                  <c:v>AUG.24</c:v>
                </c:pt>
                <c:pt idx="1047">
                  <c:v>AUG.24</c:v>
                </c:pt>
                <c:pt idx="1048">
                  <c:v>AUG.24</c:v>
                </c:pt>
                <c:pt idx="1049">
                  <c:v>AUG.24</c:v>
                </c:pt>
                <c:pt idx="1050">
                  <c:v>AUG.24</c:v>
                </c:pt>
                <c:pt idx="1051">
                  <c:v>AUG.24</c:v>
                </c:pt>
                <c:pt idx="1052">
                  <c:v>AUG.24</c:v>
                </c:pt>
                <c:pt idx="1053">
                  <c:v>AUG.24</c:v>
                </c:pt>
                <c:pt idx="1054">
                  <c:v>AUG.24</c:v>
                </c:pt>
                <c:pt idx="1055">
                  <c:v>AUG.24</c:v>
                </c:pt>
                <c:pt idx="1056">
                  <c:v>AUG.24</c:v>
                </c:pt>
                <c:pt idx="1057">
                  <c:v>AUG.24</c:v>
                </c:pt>
                <c:pt idx="1058">
                  <c:v>AUG.24</c:v>
                </c:pt>
                <c:pt idx="1059">
                  <c:v>AUG.24</c:v>
                </c:pt>
                <c:pt idx="1060">
                  <c:v>AUG.24</c:v>
                </c:pt>
                <c:pt idx="1061">
                  <c:v>AUG.24</c:v>
                </c:pt>
                <c:pt idx="1062">
                  <c:v>AUG.24</c:v>
                </c:pt>
                <c:pt idx="1063">
                  <c:v>AUG.24</c:v>
                </c:pt>
                <c:pt idx="1064">
                  <c:v>AUG.24</c:v>
                </c:pt>
                <c:pt idx="1065">
                  <c:v>AUG.24</c:v>
                </c:pt>
                <c:pt idx="1066">
                  <c:v>AUG.24</c:v>
                </c:pt>
                <c:pt idx="1067">
                  <c:v>AUG.24</c:v>
                </c:pt>
                <c:pt idx="1068">
                  <c:v>AUG.24</c:v>
                </c:pt>
                <c:pt idx="1069">
                  <c:v>AUG.24</c:v>
                </c:pt>
                <c:pt idx="1070">
                  <c:v>AUG.24</c:v>
                </c:pt>
                <c:pt idx="1071">
                  <c:v>AUG.24</c:v>
                </c:pt>
                <c:pt idx="1072">
                  <c:v>AUG.24</c:v>
                </c:pt>
                <c:pt idx="1073">
                  <c:v>AUG.24</c:v>
                </c:pt>
                <c:pt idx="1074">
                  <c:v>AUG.24</c:v>
                </c:pt>
                <c:pt idx="1075">
                  <c:v>AUG.24</c:v>
                </c:pt>
                <c:pt idx="1076">
                  <c:v>AUG.24</c:v>
                </c:pt>
                <c:pt idx="1077">
                  <c:v>AUG.24</c:v>
                </c:pt>
                <c:pt idx="1078">
                  <c:v>AUG.24</c:v>
                </c:pt>
                <c:pt idx="1079">
                  <c:v>AUG.24</c:v>
                </c:pt>
                <c:pt idx="1080">
                  <c:v>AUG.24</c:v>
                </c:pt>
                <c:pt idx="1081">
                  <c:v>AUG.24</c:v>
                </c:pt>
                <c:pt idx="1082">
                  <c:v>AUG.24</c:v>
                </c:pt>
                <c:pt idx="1083">
                  <c:v>AUG.24</c:v>
                </c:pt>
                <c:pt idx="1084">
                  <c:v>AUG.24</c:v>
                </c:pt>
                <c:pt idx="1085">
                  <c:v>September24 live (R) | REDUCE LOT SIZING 1ST HALF, AVOID POSITIONAL </c:v>
                </c:pt>
                <c:pt idx="1086">
                  <c:v>SEP.24</c:v>
                </c:pt>
                <c:pt idx="1087">
                  <c:v>SEP.24</c:v>
                </c:pt>
                <c:pt idx="1088">
                  <c:v>SEP.24</c:v>
                </c:pt>
                <c:pt idx="1089">
                  <c:v>SEP.24</c:v>
                </c:pt>
                <c:pt idx="1090">
                  <c:v>SEP.24</c:v>
                </c:pt>
                <c:pt idx="1091">
                  <c:v>SEP.24</c:v>
                </c:pt>
                <c:pt idx="1092">
                  <c:v>SEP.24</c:v>
                </c:pt>
                <c:pt idx="1093">
                  <c:v>SEP.24</c:v>
                </c:pt>
                <c:pt idx="1094">
                  <c:v>SEP.24</c:v>
                </c:pt>
                <c:pt idx="1095">
                  <c:v>SEP.24</c:v>
                </c:pt>
                <c:pt idx="1096">
                  <c:v>SEP.24</c:v>
                </c:pt>
                <c:pt idx="1097">
                  <c:v>SEP.24</c:v>
                </c:pt>
                <c:pt idx="1098">
                  <c:v>SEP.24</c:v>
                </c:pt>
                <c:pt idx="1099">
                  <c:v>SEP.24</c:v>
                </c:pt>
                <c:pt idx="1100">
                  <c:v>SEP.24</c:v>
                </c:pt>
                <c:pt idx="1101">
                  <c:v>SEP.24</c:v>
                </c:pt>
                <c:pt idx="1102">
                  <c:v>SEP.24</c:v>
                </c:pt>
                <c:pt idx="1103">
                  <c:v>SEP.24</c:v>
                </c:pt>
                <c:pt idx="1104">
                  <c:v>SEP.24</c:v>
                </c:pt>
                <c:pt idx="1105">
                  <c:v>SEP.24</c:v>
                </c:pt>
                <c:pt idx="1106">
                  <c:v>SEP.24</c:v>
                </c:pt>
                <c:pt idx="1107">
                  <c:v>SEP.24</c:v>
                </c:pt>
                <c:pt idx="1108">
                  <c:v>SEP.24</c:v>
                </c:pt>
                <c:pt idx="1109">
                  <c:v>SEP.24</c:v>
                </c:pt>
                <c:pt idx="1110">
                  <c:v>SEP.24</c:v>
                </c:pt>
                <c:pt idx="1111">
                  <c:v>SEP.24</c:v>
                </c:pt>
                <c:pt idx="1112">
                  <c:v>SEP.24</c:v>
                </c:pt>
                <c:pt idx="1113">
                  <c:v>SEP.24</c:v>
                </c:pt>
                <c:pt idx="1114">
                  <c:v>SEP.24</c:v>
                </c:pt>
                <c:pt idx="1115">
                  <c:v>SEP.24</c:v>
                </c:pt>
                <c:pt idx="1116">
                  <c:v>SEP.24</c:v>
                </c:pt>
                <c:pt idx="1117">
                  <c:v>SEP.24</c:v>
                </c:pt>
                <c:pt idx="1118">
                  <c:v>SEP.24</c:v>
                </c:pt>
                <c:pt idx="1119">
                  <c:v>SEP.24</c:v>
                </c:pt>
                <c:pt idx="1120">
                  <c:v>SEP.24</c:v>
                </c:pt>
                <c:pt idx="1121">
                  <c:v>SEP.24</c:v>
                </c:pt>
                <c:pt idx="1122">
                  <c:v>SEP.24</c:v>
                </c:pt>
                <c:pt idx="1123">
                  <c:v>SEP.24</c:v>
                </c:pt>
                <c:pt idx="1124">
                  <c:v>October24 live (R+1) | REDUCE INTRADAY &gt;1D TRADES</c:v>
                </c:pt>
                <c:pt idx="1125">
                  <c:v>OCT.24</c:v>
                </c:pt>
                <c:pt idx="1126">
                  <c:v>OCT.24</c:v>
                </c:pt>
                <c:pt idx="1127">
                  <c:v>OCT.24</c:v>
                </c:pt>
                <c:pt idx="1128">
                  <c:v>OCT.24</c:v>
                </c:pt>
                <c:pt idx="1129">
                  <c:v>OCT.24</c:v>
                </c:pt>
                <c:pt idx="1130">
                  <c:v>OCT.24</c:v>
                </c:pt>
                <c:pt idx="1131">
                  <c:v>OCT.24</c:v>
                </c:pt>
                <c:pt idx="1132">
                  <c:v>OCT.24</c:v>
                </c:pt>
                <c:pt idx="1133">
                  <c:v>OCT.24</c:v>
                </c:pt>
                <c:pt idx="1134">
                  <c:v>OCT.24</c:v>
                </c:pt>
                <c:pt idx="1135">
                  <c:v>OCT.24</c:v>
                </c:pt>
                <c:pt idx="1136">
                  <c:v>OCT.24</c:v>
                </c:pt>
                <c:pt idx="1137">
                  <c:v>OCT.24</c:v>
                </c:pt>
                <c:pt idx="1138">
                  <c:v>OCT.24</c:v>
                </c:pt>
                <c:pt idx="1139">
                  <c:v>OCT.24</c:v>
                </c:pt>
                <c:pt idx="1140">
                  <c:v>OCT.24</c:v>
                </c:pt>
                <c:pt idx="1141">
                  <c:v>OCT.24</c:v>
                </c:pt>
                <c:pt idx="1142">
                  <c:v>OCT.24</c:v>
                </c:pt>
                <c:pt idx="1143">
                  <c:v>OCT.24</c:v>
                </c:pt>
                <c:pt idx="1144">
                  <c:v>OCT.24</c:v>
                </c:pt>
                <c:pt idx="1145">
                  <c:v>OCT.24</c:v>
                </c:pt>
                <c:pt idx="1146">
                  <c:v>OCT.24</c:v>
                </c:pt>
                <c:pt idx="1147">
                  <c:v>OCT.24</c:v>
                </c:pt>
                <c:pt idx="1148">
                  <c:v>OCT.24</c:v>
                </c:pt>
                <c:pt idx="1149">
                  <c:v>OCT.24</c:v>
                </c:pt>
                <c:pt idx="1150">
                  <c:v>OCT.24</c:v>
                </c:pt>
                <c:pt idx="1151">
                  <c:v>OCT.24</c:v>
                </c:pt>
                <c:pt idx="1152">
                  <c:v>OCT.24</c:v>
                </c:pt>
                <c:pt idx="1153">
                  <c:v>OCT.24</c:v>
                </c:pt>
                <c:pt idx="1154">
                  <c:v>OCT.24</c:v>
                </c:pt>
                <c:pt idx="1155">
                  <c:v>OCT.24</c:v>
                </c:pt>
                <c:pt idx="1156">
                  <c:v>OCT.24</c:v>
                </c:pt>
                <c:pt idx="1157">
                  <c:v>OCT.24</c:v>
                </c:pt>
                <c:pt idx="1158">
                  <c:v>OCT.24</c:v>
                </c:pt>
                <c:pt idx="1159">
                  <c:v>OCT.24</c:v>
                </c:pt>
                <c:pt idx="1160">
                  <c:v>OCT.24</c:v>
                </c:pt>
                <c:pt idx="1161">
                  <c:v>OCT.24</c:v>
                </c:pt>
                <c:pt idx="1162">
                  <c:v>OCT.24</c:v>
                </c:pt>
                <c:pt idx="1163">
                  <c:v>OCT.24</c:v>
                </c:pt>
                <c:pt idx="1164">
                  <c:v>OCT.24</c:v>
                </c:pt>
                <c:pt idx="1165">
                  <c:v>OCT.24</c:v>
                </c:pt>
                <c:pt idx="1166">
                  <c:v>OCT.24</c:v>
                </c:pt>
                <c:pt idx="1167">
                  <c:v>OCT.24</c:v>
                </c:pt>
                <c:pt idx="1168">
                  <c:v>OCT.24</c:v>
                </c:pt>
                <c:pt idx="1169">
                  <c:v>OCT.24</c:v>
                </c:pt>
                <c:pt idx="1170">
                  <c:v>OCT.24</c:v>
                </c:pt>
                <c:pt idx="1171">
                  <c:v>OCT.24</c:v>
                </c:pt>
                <c:pt idx="1172">
                  <c:v>OCT.24</c:v>
                </c:pt>
                <c:pt idx="1173">
                  <c:v>OCT.24</c:v>
                </c:pt>
                <c:pt idx="1174">
                  <c:v>OCT.24</c:v>
                </c:pt>
                <c:pt idx="1175">
                  <c:v>OCT.24</c:v>
                </c:pt>
                <c:pt idx="1176">
                  <c:v>OCT.24</c:v>
                </c:pt>
                <c:pt idx="1177">
                  <c:v>OCT.24</c:v>
                </c:pt>
                <c:pt idx="1178">
                  <c:v>OCT.24</c:v>
                </c:pt>
                <c:pt idx="1179">
                  <c:v>OCT.24</c:v>
                </c:pt>
                <c:pt idx="1180">
                  <c:v>OCT.24</c:v>
                </c:pt>
                <c:pt idx="1181">
                  <c:v>OCT.24</c:v>
                </c:pt>
                <c:pt idx="1182">
                  <c:v>OCT.24</c:v>
                </c:pt>
                <c:pt idx="1183">
                  <c:v>OCT.24</c:v>
                </c:pt>
                <c:pt idx="1184">
                  <c:v>OCT.24</c:v>
                </c:pt>
                <c:pt idx="1185">
                  <c:v>OCT.24</c:v>
                </c:pt>
                <c:pt idx="1186">
                  <c:v>OCT.24</c:v>
                </c:pt>
                <c:pt idx="1187">
                  <c:v>OCT.24</c:v>
                </c:pt>
                <c:pt idx="1188">
                  <c:v>OCT.24</c:v>
                </c:pt>
                <c:pt idx="1189">
                  <c:v>OCT.24</c:v>
                </c:pt>
                <c:pt idx="1190">
                  <c:v>OCT.24</c:v>
                </c:pt>
                <c:pt idx="1191">
                  <c:v>OCT.24</c:v>
                </c:pt>
                <c:pt idx="1192">
                  <c:v>OCT.24</c:v>
                </c:pt>
                <c:pt idx="1193">
                  <c:v>OCT.24</c:v>
                </c:pt>
                <c:pt idx="1194">
                  <c:v>OCT.24</c:v>
                </c:pt>
                <c:pt idx="1195">
                  <c:v>OCT.24</c:v>
                </c:pt>
                <c:pt idx="1196">
                  <c:v>OCT.24</c:v>
                </c:pt>
                <c:pt idx="1197">
                  <c:v>OCT.24</c:v>
                </c:pt>
                <c:pt idx="1198">
                  <c:v>OCT.24</c:v>
                </c:pt>
                <c:pt idx="1199">
                  <c:v>OCT.24</c:v>
                </c:pt>
                <c:pt idx="1200">
                  <c:v>OCT.24</c:v>
                </c:pt>
                <c:pt idx="1201">
                  <c:v>OCT.24</c:v>
                </c:pt>
                <c:pt idx="1202">
                  <c:v>OCT.24</c:v>
                </c:pt>
                <c:pt idx="1203">
                  <c:v>OCT.24</c:v>
                </c:pt>
                <c:pt idx="1204">
                  <c:v>OCT.24</c:v>
                </c:pt>
                <c:pt idx="1205">
                  <c:v>OCT.24</c:v>
                </c:pt>
                <c:pt idx="1206">
                  <c:v>OCT.24</c:v>
                </c:pt>
                <c:pt idx="1207">
                  <c:v>OCT.24</c:v>
                </c:pt>
                <c:pt idx="1208">
                  <c:v>OCT.24</c:v>
                </c:pt>
                <c:pt idx="1209">
                  <c:v>OCT.24</c:v>
                </c:pt>
                <c:pt idx="1210">
                  <c:v>OCT.24</c:v>
                </c:pt>
                <c:pt idx="1211">
                  <c:v>OCT.24</c:v>
                </c:pt>
                <c:pt idx="1212">
                  <c:v>OCT.24</c:v>
                </c:pt>
                <c:pt idx="1213">
                  <c:v>November24 live EPILOGUE 1</c:v>
                </c:pt>
                <c:pt idx="1214">
                  <c:v>NOV.24</c:v>
                </c:pt>
                <c:pt idx="1215">
                  <c:v>NOV.24</c:v>
                </c:pt>
                <c:pt idx="1216">
                  <c:v>NOV.24</c:v>
                </c:pt>
                <c:pt idx="1217">
                  <c:v>NOV.24</c:v>
                </c:pt>
                <c:pt idx="1218">
                  <c:v>NOV.24</c:v>
                </c:pt>
                <c:pt idx="1219">
                  <c:v>NOV.24</c:v>
                </c:pt>
                <c:pt idx="1220">
                  <c:v>NOV.24</c:v>
                </c:pt>
                <c:pt idx="1221">
                  <c:v>NOV.24</c:v>
                </c:pt>
                <c:pt idx="1222">
                  <c:v>NOV.24</c:v>
                </c:pt>
                <c:pt idx="1223">
                  <c:v>NOV.24</c:v>
                </c:pt>
                <c:pt idx="1224">
                  <c:v>NOV.24</c:v>
                </c:pt>
                <c:pt idx="1225">
                  <c:v>NOV.24</c:v>
                </c:pt>
                <c:pt idx="1226">
                  <c:v>NOV.24</c:v>
                </c:pt>
                <c:pt idx="1227">
                  <c:v>NOV.24</c:v>
                </c:pt>
                <c:pt idx="1228">
                  <c:v>NOV.24</c:v>
                </c:pt>
                <c:pt idx="1229">
                  <c:v>NOV.24</c:v>
                </c:pt>
                <c:pt idx="1230">
                  <c:v>NOV.24</c:v>
                </c:pt>
                <c:pt idx="1231">
                  <c:v>NOV.24</c:v>
                </c:pt>
                <c:pt idx="1232">
                  <c:v>NOV.24</c:v>
                </c:pt>
                <c:pt idx="1233">
                  <c:v>NOV.24</c:v>
                </c:pt>
                <c:pt idx="1234">
                  <c:v>NOV.24</c:v>
                </c:pt>
                <c:pt idx="1235">
                  <c:v>NOV.24</c:v>
                </c:pt>
                <c:pt idx="1236">
                  <c:v>NOV.24</c:v>
                </c:pt>
              </c:strCache>
            </c:strRef>
          </c:cat>
          <c:val>
            <c:numRef>
              <c:f>'Journal Live'!$BI$1388:$BI$2630</c:f>
              <c:numCache>
                <c:formatCode>General</c:formatCode>
                <c:ptCount val="1238"/>
                <c:pt idx="0">
                  <c:v>0</c:v>
                </c:pt>
                <c:pt idx="1">
                  <c:v>0</c:v>
                </c:pt>
                <c:pt idx="2">
                  <c:v>0</c:v>
                </c:pt>
                <c:pt idx="3">
                  <c:v>0</c:v>
                </c:pt>
                <c:pt idx="4">
                  <c:v>0</c:v>
                </c:pt>
                <c:pt idx="5">
                  <c:v>256</c:v>
                </c:pt>
                <c:pt idx="6">
                  <c:v>256</c:v>
                </c:pt>
                <c:pt idx="7">
                  <c:v>256</c:v>
                </c:pt>
                <c:pt idx="8">
                  <c:v>256</c:v>
                </c:pt>
                <c:pt idx="9">
                  <c:v>256</c:v>
                </c:pt>
                <c:pt idx="10">
                  <c:v>256</c:v>
                </c:pt>
                <c:pt idx="11">
                  <c:v>256</c:v>
                </c:pt>
                <c:pt idx="12">
                  <c:v>256</c:v>
                </c:pt>
                <c:pt idx="13">
                  <c:v>256</c:v>
                </c:pt>
                <c:pt idx="14">
                  <c:v>256</c:v>
                </c:pt>
                <c:pt idx="15">
                  <c:v>256</c:v>
                </c:pt>
                <c:pt idx="16">
                  <c:v>256</c:v>
                </c:pt>
                <c:pt idx="17">
                  <c:v>256</c:v>
                </c:pt>
                <c:pt idx="18">
                  <c:v>256</c:v>
                </c:pt>
                <c:pt idx="19">
                  <c:v>256</c:v>
                </c:pt>
                <c:pt idx="20">
                  <c:v>256</c:v>
                </c:pt>
                <c:pt idx="21">
                  <c:v>256</c:v>
                </c:pt>
                <c:pt idx="22">
                  <c:v>256</c:v>
                </c:pt>
                <c:pt idx="23">
                  <c:v>256</c:v>
                </c:pt>
                <c:pt idx="24">
                  <c:v>256</c:v>
                </c:pt>
                <c:pt idx="25">
                  <c:v>256</c:v>
                </c:pt>
                <c:pt idx="26">
                  <c:v>256</c:v>
                </c:pt>
                <c:pt idx="27">
                  <c:v>256</c:v>
                </c:pt>
                <c:pt idx="28">
                  <c:v>256</c:v>
                </c:pt>
                <c:pt idx="29">
                  <c:v>256</c:v>
                </c:pt>
                <c:pt idx="30">
                  <c:v>256</c:v>
                </c:pt>
                <c:pt idx="31">
                  <c:v>256</c:v>
                </c:pt>
                <c:pt idx="32">
                  <c:v>256</c:v>
                </c:pt>
                <c:pt idx="33">
                  <c:v>256</c:v>
                </c:pt>
                <c:pt idx="34">
                  <c:v>256</c:v>
                </c:pt>
                <c:pt idx="35">
                  <c:v>544</c:v>
                </c:pt>
                <c:pt idx="36">
                  <c:v>544</c:v>
                </c:pt>
                <c:pt idx="37">
                  <c:v>544</c:v>
                </c:pt>
                <c:pt idx="38">
                  <c:v>544</c:v>
                </c:pt>
                <c:pt idx="39">
                  <c:v>544</c:v>
                </c:pt>
                <c:pt idx="40">
                  <c:v>544</c:v>
                </c:pt>
                <c:pt idx="41">
                  <c:v>544</c:v>
                </c:pt>
                <c:pt idx="42">
                  <c:v>544</c:v>
                </c:pt>
                <c:pt idx="43">
                  <c:v>544</c:v>
                </c:pt>
                <c:pt idx="44">
                  <c:v>544</c:v>
                </c:pt>
                <c:pt idx="45">
                  <c:v>735.99999999999989</c:v>
                </c:pt>
                <c:pt idx="46">
                  <c:v>735.99999999999989</c:v>
                </c:pt>
                <c:pt idx="47">
                  <c:v>1350.3999999999999</c:v>
                </c:pt>
                <c:pt idx="48">
                  <c:v>1350.3999999999999</c:v>
                </c:pt>
                <c:pt idx="49">
                  <c:v>2134.4</c:v>
                </c:pt>
                <c:pt idx="50">
                  <c:v>2134.4</c:v>
                </c:pt>
                <c:pt idx="51">
                  <c:v>2134.4</c:v>
                </c:pt>
                <c:pt idx="52">
                  <c:v>2134.4</c:v>
                </c:pt>
                <c:pt idx="53">
                  <c:v>2134.4</c:v>
                </c:pt>
                <c:pt idx="54">
                  <c:v>2134.4</c:v>
                </c:pt>
                <c:pt idx="55">
                  <c:v>2134.4</c:v>
                </c:pt>
                <c:pt idx="56">
                  <c:v>2134.4</c:v>
                </c:pt>
                <c:pt idx="57">
                  <c:v>2134.4</c:v>
                </c:pt>
                <c:pt idx="58">
                  <c:v>2134.4</c:v>
                </c:pt>
                <c:pt idx="59">
                  <c:v>2134.4</c:v>
                </c:pt>
                <c:pt idx="60">
                  <c:v>2134.4</c:v>
                </c:pt>
                <c:pt idx="61">
                  <c:v>2134.4</c:v>
                </c:pt>
                <c:pt idx="62">
                  <c:v>2134.4</c:v>
                </c:pt>
                <c:pt idx="63">
                  <c:v>2134.4</c:v>
                </c:pt>
                <c:pt idx="64">
                  <c:v>2134.4</c:v>
                </c:pt>
                <c:pt idx="65">
                  <c:v>4438.3999999999996</c:v>
                </c:pt>
                <c:pt idx="66">
                  <c:v>4438.3999999999996</c:v>
                </c:pt>
                <c:pt idx="67">
                  <c:v>2134.4</c:v>
                </c:pt>
                <c:pt idx="68">
                  <c:v>4438.3999999999996</c:v>
                </c:pt>
                <c:pt idx="69">
                  <c:v>2134.4</c:v>
                </c:pt>
                <c:pt idx="70">
                  <c:v>2486.4</c:v>
                </c:pt>
                <c:pt idx="71">
                  <c:v>2486.4</c:v>
                </c:pt>
                <c:pt idx="72">
                  <c:v>2486.4</c:v>
                </c:pt>
                <c:pt idx="73">
                  <c:v>2486.4</c:v>
                </c:pt>
                <c:pt idx="74">
                  <c:v>2486.4</c:v>
                </c:pt>
                <c:pt idx="75">
                  <c:v>2486.4</c:v>
                </c:pt>
                <c:pt idx="76">
                  <c:v>2486.4</c:v>
                </c:pt>
                <c:pt idx="77">
                  <c:v>2486.4</c:v>
                </c:pt>
                <c:pt idx="78">
                  <c:v>2486.4</c:v>
                </c:pt>
                <c:pt idx="79">
                  <c:v>2486.4</c:v>
                </c:pt>
                <c:pt idx="80">
                  <c:v>2486.4</c:v>
                </c:pt>
                <c:pt idx="81">
                  <c:v>2486.4</c:v>
                </c:pt>
                <c:pt idx="82">
                  <c:v>2486.4</c:v>
                </c:pt>
                <c:pt idx="83">
                  <c:v>2486.4</c:v>
                </c:pt>
                <c:pt idx="84">
                  <c:v>2486.4</c:v>
                </c:pt>
                <c:pt idx="85">
                  <c:v>2486.4</c:v>
                </c:pt>
                <c:pt idx="86">
                  <c:v>2486.4</c:v>
                </c:pt>
                <c:pt idx="87">
                  <c:v>2486.4</c:v>
                </c:pt>
                <c:pt idx="88">
                  <c:v>2486.4</c:v>
                </c:pt>
                <c:pt idx="89">
                  <c:v>2486.4</c:v>
                </c:pt>
                <c:pt idx="90">
                  <c:v>2486.4</c:v>
                </c:pt>
                <c:pt idx="91">
                  <c:v>2486.4</c:v>
                </c:pt>
                <c:pt idx="92">
                  <c:v>2486.4</c:v>
                </c:pt>
                <c:pt idx="93">
                  <c:v>2486.4</c:v>
                </c:pt>
                <c:pt idx="94">
                  <c:v>2486.4</c:v>
                </c:pt>
                <c:pt idx="95">
                  <c:v>4438.3999999999996</c:v>
                </c:pt>
                <c:pt idx="96">
                  <c:v>4438.3999999999996</c:v>
                </c:pt>
                <c:pt idx="97">
                  <c:v>4438.3999999999996</c:v>
                </c:pt>
                <c:pt idx="98">
                  <c:v>4438.3999999999996</c:v>
                </c:pt>
                <c:pt idx="99">
                  <c:v>4438.3999999999996</c:v>
                </c:pt>
                <c:pt idx="100">
                  <c:v>4438.3999999999996</c:v>
                </c:pt>
                <c:pt idx="101">
                  <c:v>4438.3999999999996</c:v>
                </c:pt>
                <c:pt idx="102">
                  <c:v>4438.3999999999996</c:v>
                </c:pt>
                <c:pt idx="103">
                  <c:v>4438.3999999999996</c:v>
                </c:pt>
                <c:pt idx="104">
                  <c:v>4438.3999999999996</c:v>
                </c:pt>
                <c:pt idx="105">
                  <c:v>4438.3999999999996</c:v>
                </c:pt>
                <c:pt idx="106">
                  <c:v>4438.3999999999996</c:v>
                </c:pt>
                <c:pt idx="107">
                  <c:v>4438.3999999999996</c:v>
                </c:pt>
                <c:pt idx="108">
                  <c:v>4438.3999999999996</c:v>
                </c:pt>
                <c:pt idx="109">
                  <c:v>4438.3999999999996</c:v>
                </c:pt>
                <c:pt idx="110">
                  <c:v>4438.3999999999996</c:v>
                </c:pt>
                <c:pt idx="111">
                  <c:v>4438.3999999999996</c:v>
                </c:pt>
                <c:pt idx="112">
                  <c:v>4438.3999999999996</c:v>
                </c:pt>
                <c:pt idx="113">
                  <c:v>4438.3999999999996</c:v>
                </c:pt>
                <c:pt idx="114">
                  <c:v>4438.3999999999996</c:v>
                </c:pt>
                <c:pt idx="115">
                  <c:v>4438.3999999999996</c:v>
                </c:pt>
                <c:pt idx="116">
                  <c:v>4438.3999999999996</c:v>
                </c:pt>
                <c:pt idx="117">
                  <c:v>4438.3999999999996</c:v>
                </c:pt>
                <c:pt idx="118">
                  <c:v>4438.3999999999996</c:v>
                </c:pt>
                <c:pt idx="119">
                  <c:v>4438.3999999999996</c:v>
                </c:pt>
                <c:pt idx="120">
                  <c:v>4438.3999999999996</c:v>
                </c:pt>
                <c:pt idx="121">
                  <c:v>4438.3999999999996</c:v>
                </c:pt>
                <c:pt idx="122">
                  <c:v>4438.3999999999996</c:v>
                </c:pt>
                <c:pt idx="123">
                  <c:v>4438.3999999999996</c:v>
                </c:pt>
                <c:pt idx="124">
                  <c:v>4438.3999999999996</c:v>
                </c:pt>
                <c:pt idx="125">
                  <c:v>4438.3999999999996</c:v>
                </c:pt>
                <c:pt idx="126">
                  <c:v>4438.3999999999996</c:v>
                </c:pt>
                <c:pt idx="127">
                  <c:v>4438.3999999999996</c:v>
                </c:pt>
                <c:pt idx="128">
                  <c:v>4438.3999999999996</c:v>
                </c:pt>
                <c:pt idx="129">
                  <c:v>4438.3999999999996</c:v>
                </c:pt>
                <c:pt idx="130">
                  <c:v>4438.3999999999996</c:v>
                </c:pt>
                <c:pt idx="131">
                  <c:v>27110.758121878131</c:v>
                </c:pt>
                <c:pt idx="132">
                  <c:v>4438.3999999999996</c:v>
                </c:pt>
                <c:pt idx="133">
                  <c:v>9348.4000000000015</c:v>
                </c:pt>
                <c:pt idx="134">
                  <c:v>9348.4000000000015</c:v>
                </c:pt>
                <c:pt idx="135">
                  <c:v>4438.3999999999996</c:v>
                </c:pt>
                <c:pt idx="136">
                  <c:v>4438.3999999999996</c:v>
                </c:pt>
                <c:pt idx="137">
                  <c:v>4134.3999999999996</c:v>
                </c:pt>
                <c:pt idx="138">
                  <c:v>9348.4000000000015</c:v>
                </c:pt>
                <c:pt idx="139">
                  <c:v>4326.4000000000005</c:v>
                </c:pt>
                <c:pt idx="140">
                  <c:v>4326.4000000000005</c:v>
                </c:pt>
                <c:pt idx="141">
                  <c:v>5220.4000000000005</c:v>
                </c:pt>
                <c:pt idx="142">
                  <c:v>5220.4000000000005</c:v>
                </c:pt>
                <c:pt idx="143">
                  <c:v>5220.4000000000005</c:v>
                </c:pt>
                <c:pt idx="144">
                  <c:v>5220.4000000000005</c:v>
                </c:pt>
                <c:pt idx="145">
                  <c:v>5220.4000000000005</c:v>
                </c:pt>
                <c:pt idx="146">
                  <c:v>5220.4000000000005</c:v>
                </c:pt>
                <c:pt idx="147">
                  <c:v>5220.4000000000005</c:v>
                </c:pt>
                <c:pt idx="148">
                  <c:v>5220.4000000000005</c:v>
                </c:pt>
                <c:pt idx="149">
                  <c:v>5220.4000000000005</c:v>
                </c:pt>
                <c:pt idx="150">
                  <c:v>5220.4000000000005</c:v>
                </c:pt>
                <c:pt idx="151">
                  <c:v>5220.4000000000005</c:v>
                </c:pt>
                <c:pt idx="152">
                  <c:v>9348.4000000000015</c:v>
                </c:pt>
                <c:pt idx="153">
                  <c:v>5220.4000000000005</c:v>
                </c:pt>
                <c:pt idx="154">
                  <c:v>5220.4000000000005</c:v>
                </c:pt>
                <c:pt idx="155">
                  <c:v>5220.4000000000005</c:v>
                </c:pt>
                <c:pt idx="156">
                  <c:v>9348.4000000000015</c:v>
                </c:pt>
                <c:pt idx="157">
                  <c:v>7652.4000000000015</c:v>
                </c:pt>
                <c:pt idx="158">
                  <c:v>7652.4000000000015</c:v>
                </c:pt>
                <c:pt idx="159">
                  <c:v>9348.4000000000015</c:v>
                </c:pt>
                <c:pt idx="160">
                  <c:v>7652.4000000000015</c:v>
                </c:pt>
                <c:pt idx="161">
                  <c:v>7652.4000000000015</c:v>
                </c:pt>
                <c:pt idx="162">
                  <c:v>9348.4000000000015</c:v>
                </c:pt>
                <c:pt idx="163">
                  <c:v>7652.4000000000015</c:v>
                </c:pt>
                <c:pt idx="164">
                  <c:v>7652.4000000000015</c:v>
                </c:pt>
                <c:pt idx="165">
                  <c:v>7652.4000000000015</c:v>
                </c:pt>
                <c:pt idx="166">
                  <c:v>7652.4000000000015</c:v>
                </c:pt>
                <c:pt idx="167">
                  <c:v>7652.4000000000015</c:v>
                </c:pt>
                <c:pt idx="168">
                  <c:v>7652.4000000000015</c:v>
                </c:pt>
                <c:pt idx="169">
                  <c:v>9348.4000000000015</c:v>
                </c:pt>
                <c:pt idx="170">
                  <c:v>7652.4000000000015</c:v>
                </c:pt>
                <c:pt idx="171">
                  <c:v>7652.4000000000015</c:v>
                </c:pt>
                <c:pt idx="172">
                  <c:v>7652.4000000000015</c:v>
                </c:pt>
                <c:pt idx="173">
                  <c:v>7652.4000000000015</c:v>
                </c:pt>
                <c:pt idx="174">
                  <c:v>7652.4000000000015</c:v>
                </c:pt>
                <c:pt idx="175">
                  <c:v>7652.4000000000015</c:v>
                </c:pt>
                <c:pt idx="176">
                  <c:v>7652.4000000000015</c:v>
                </c:pt>
                <c:pt idx="177">
                  <c:v>8804.4000000000015</c:v>
                </c:pt>
                <c:pt idx="178">
                  <c:v>8804.4000000000015</c:v>
                </c:pt>
                <c:pt idx="179">
                  <c:v>9348.4000000000015</c:v>
                </c:pt>
                <c:pt idx="180">
                  <c:v>8804.4000000000015</c:v>
                </c:pt>
                <c:pt idx="181">
                  <c:v>8804.4000000000015</c:v>
                </c:pt>
                <c:pt idx="182">
                  <c:v>8804.4000000000015</c:v>
                </c:pt>
                <c:pt idx="183">
                  <c:v>8804.4000000000015</c:v>
                </c:pt>
                <c:pt idx="184">
                  <c:v>8804.4000000000015</c:v>
                </c:pt>
                <c:pt idx="185">
                  <c:v>8804.4000000000015</c:v>
                </c:pt>
                <c:pt idx="186">
                  <c:v>8804.4000000000015</c:v>
                </c:pt>
                <c:pt idx="187">
                  <c:v>8804.4000000000015</c:v>
                </c:pt>
                <c:pt idx="188">
                  <c:v>8804.4000000000015</c:v>
                </c:pt>
                <c:pt idx="189">
                  <c:v>8804.4000000000015</c:v>
                </c:pt>
                <c:pt idx="190">
                  <c:v>8804.4000000000015</c:v>
                </c:pt>
                <c:pt idx="191">
                  <c:v>8804.4000000000015</c:v>
                </c:pt>
                <c:pt idx="192">
                  <c:v>9348.4000000000015</c:v>
                </c:pt>
                <c:pt idx="193">
                  <c:v>8804.4000000000015</c:v>
                </c:pt>
                <c:pt idx="194">
                  <c:v>8804.4000000000015</c:v>
                </c:pt>
                <c:pt idx="195">
                  <c:v>8804.4000000000015</c:v>
                </c:pt>
                <c:pt idx="196">
                  <c:v>8804.4000000000015</c:v>
                </c:pt>
                <c:pt idx="197">
                  <c:v>8804.4000000000015</c:v>
                </c:pt>
                <c:pt idx="198">
                  <c:v>9348.4000000000015</c:v>
                </c:pt>
                <c:pt idx="199">
                  <c:v>8804.4000000000015</c:v>
                </c:pt>
                <c:pt idx="200">
                  <c:v>8804.4000000000015</c:v>
                </c:pt>
                <c:pt idx="201">
                  <c:v>8804.4000000000015</c:v>
                </c:pt>
                <c:pt idx="202">
                  <c:v>8804.4000000000015</c:v>
                </c:pt>
                <c:pt idx="203">
                  <c:v>9348.4000000000015</c:v>
                </c:pt>
                <c:pt idx="204">
                  <c:v>9348.4000000000015</c:v>
                </c:pt>
                <c:pt idx="205">
                  <c:v>9348.4000000000015</c:v>
                </c:pt>
                <c:pt idx="206">
                  <c:v>9348.4000000000015</c:v>
                </c:pt>
                <c:pt idx="207">
                  <c:v>9348.4000000000015</c:v>
                </c:pt>
                <c:pt idx="208">
                  <c:v>9348.4000000000015</c:v>
                </c:pt>
                <c:pt idx="209">
                  <c:v>9348.4000000000015</c:v>
                </c:pt>
                <c:pt idx="210">
                  <c:v>9348.4000000000015</c:v>
                </c:pt>
                <c:pt idx="211">
                  <c:v>9348.4000000000015</c:v>
                </c:pt>
                <c:pt idx="212">
                  <c:v>9348.4000000000015</c:v>
                </c:pt>
                <c:pt idx="213">
                  <c:v>9348.4000000000015</c:v>
                </c:pt>
                <c:pt idx="214">
                  <c:v>9348.4000000000015</c:v>
                </c:pt>
                <c:pt idx="215">
                  <c:v>9348.4000000000015</c:v>
                </c:pt>
                <c:pt idx="216">
                  <c:v>9348.4000000000015</c:v>
                </c:pt>
                <c:pt idx="217">
                  <c:v>9348.4000000000015</c:v>
                </c:pt>
                <c:pt idx="218">
                  <c:v>9348.4000000000015</c:v>
                </c:pt>
                <c:pt idx="219">
                  <c:v>9348.4000000000015</c:v>
                </c:pt>
                <c:pt idx="220">
                  <c:v>9348.4000000000015</c:v>
                </c:pt>
                <c:pt idx="221">
                  <c:v>9348.4000000000015</c:v>
                </c:pt>
                <c:pt idx="222">
                  <c:v>9348.4000000000015</c:v>
                </c:pt>
                <c:pt idx="223">
                  <c:v>9348.4000000000015</c:v>
                </c:pt>
                <c:pt idx="224">
                  <c:v>9348.4000000000015</c:v>
                </c:pt>
                <c:pt idx="225">
                  <c:v>9348.4000000000015</c:v>
                </c:pt>
                <c:pt idx="226">
                  <c:v>9348.4000000000015</c:v>
                </c:pt>
                <c:pt idx="227">
                  <c:v>9348.4000000000015</c:v>
                </c:pt>
                <c:pt idx="228">
                  <c:v>9348.4000000000015</c:v>
                </c:pt>
                <c:pt idx="229">
                  <c:v>9348.4000000000015</c:v>
                </c:pt>
                <c:pt idx="230">
                  <c:v>9348.4000000000015</c:v>
                </c:pt>
                <c:pt idx="231">
                  <c:v>9348.4000000000015</c:v>
                </c:pt>
                <c:pt idx="232">
                  <c:v>9348.4000000000015</c:v>
                </c:pt>
                <c:pt idx="233">
                  <c:v>9348.4000000000015</c:v>
                </c:pt>
                <c:pt idx="234">
                  <c:v>9348.4000000000015</c:v>
                </c:pt>
                <c:pt idx="235">
                  <c:v>9348.4000000000015</c:v>
                </c:pt>
                <c:pt idx="236">
                  <c:v>9348.4000000000015</c:v>
                </c:pt>
                <c:pt idx="237">
                  <c:v>9348.4000000000015</c:v>
                </c:pt>
                <c:pt idx="238">
                  <c:v>9348.4000000000015</c:v>
                </c:pt>
                <c:pt idx="239">
                  <c:v>9348.4000000000015</c:v>
                </c:pt>
                <c:pt idx="240">
                  <c:v>9348.4000000000015</c:v>
                </c:pt>
                <c:pt idx="241">
                  <c:v>9348.4000000000015</c:v>
                </c:pt>
                <c:pt idx="242">
                  <c:v>9348.4000000000015</c:v>
                </c:pt>
                <c:pt idx="243">
                  <c:v>9348.4000000000015</c:v>
                </c:pt>
                <c:pt idx="244">
                  <c:v>9348.4000000000015</c:v>
                </c:pt>
                <c:pt idx="245">
                  <c:v>9348.4000000000015</c:v>
                </c:pt>
                <c:pt idx="246">
                  <c:v>9348.4000000000015</c:v>
                </c:pt>
                <c:pt idx="247">
                  <c:v>9348.4000000000015</c:v>
                </c:pt>
                <c:pt idx="248">
                  <c:v>9348.4000000000015</c:v>
                </c:pt>
                <c:pt idx="249">
                  <c:v>9348.4000000000015</c:v>
                </c:pt>
                <c:pt idx="250">
                  <c:v>9348.4000000000015</c:v>
                </c:pt>
                <c:pt idx="251">
                  <c:v>9348.4000000000015</c:v>
                </c:pt>
                <c:pt idx="252">
                  <c:v>9348.4000000000015</c:v>
                </c:pt>
                <c:pt idx="253">
                  <c:v>9348.4000000000015</c:v>
                </c:pt>
                <c:pt idx="254">
                  <c:v>9348.4000000000015</c:v>
                </c:pt>
                <c:pt idx="255">
                  <c:v>9348.4000000000015</c:v>
                </c:pt>
                <c:pt idx="256">
                  <c:v>9348.4000000000015</c:v>
                </c:pt>
                <c:pt idx="257">
                  <c:v>9348.4000000000015</c:v>
                </c:pt>
                <c:pt idx="258">
                  <c:v>9348.4000000000015</c:v>
                </c:pt>
                <c:pt idx="259">
                  <c:v>9348.4000000000015</c:v>
                </c:pt>
                <c:pt idx="260">
                  <c:v>10148.400000000001</c:v>
                </c:pt>
                <c:pt idx="261">
                  <c:v>10148.400000000001</c:v>
                </c:pt>
                <c:pt idx="262">
                  <c:v>10148.400000000001</c:v>
                </c:pt>
                <c:pt idx="263">
                  <c:v>10148.400000000001</c:v>
                </c:pt>
                <c:pt idx="264">
                  <c:v>10148.400000000001</c:v>
                </c:pt>
                <c:pt idx="265">
                  <c:v>10148.400000000001</c:v>
                </c:pt>
                <c:pt idx="266">
                  <c:v>12708.400000000001</c:v>
                </c:pt>
                <c:pt idx="267">
                  <c:v>12708.400000000001</c:v>
                </c:pt>
                <c:pt idx="268">
                  <c:v>12708.400000000001</c:v>
                </c:pt>
                <c:pt idx="269">
                  <c:v>12708.400000000001</c:v>
                </c:pt>
                <c:pt idx="270">
                  <c:v>12708.400000000001</c:v>
                </c:pt>
                <c:pt idx="271">
                  <c:v>12708.400000000001</c:v>
                </c:pt>
                <c:pt idx="272">
                  <c:v>12708.400000000001</c:v>
                </c:pt>
                <c:pt idx="273">
                  <c:v>12708.400000000001</c:v>
                </c:pt>
                <c:pt idx="274">
                  <c:v>12708.400000000001</c:v>
                </c:pt>
                <c:pt idx="275">
                  <c:v>12708.400000000001</c:v>
                </c:pt>
                <c:pt idx="276">
                  <c:v>12708.400000000001</c:v>
                </c:pt>
                <c:pt idx="277">
                  <c:v>12708.400000000001</c:v>
                </c:pt>
                <c:pt idx="278">
                  <c:v>12708.400000000001</c:v>
                </c:pt>
                <c:pt idx="279">
                  <c:v>12708.400000000001</c:v>
                </c:pt>
                <c:pt idx="280">
                  <c:v>12708.400000000001</c:v>
                </c:pt>
                <c:pt idx="281">
                  <c:v>12708.400000000001</c:v>
                </c:pt>
                <c:pt idx="282">
                  <c:v>12708.400000000001</c:v>
                </c:pt>
                <c:pt idx="283">
                  <c:v>12708.400000000001</c:v>
                </c:pt>
                <c:pt idx="284">
                  <c:v>12708.400000000001</c:v>
                </c:pt>
                <c:pt idx="285">
                  <c:v>12708.400000000001</c:v>
                </c:pt>
                <c:pt idx="286">
                  <c:v>12708.400000000001</c:v>
                </c:pt>
                <c:pt idx="287">
                  <c:v>12708.400000000001</c:v>
                </c:pt>
                <c:pt idx="288">
                  <c:v>12708.400000000001</c:v>
                </c:pt>
                <c:pt idx="289">
                  <c:v>15828.400000000001</c:v>
                </c:pt>
                <c:pt idx="290">
                  <c:v>15828.400000000001</c:v>
                </c:pt>
                <c:pt idx="291">
                  <c:v>15828.400000000001</c:v>
                </c:pt>
                <c:pt idx="292">
                  <c:v>15828.400000000001</c:v>
                </c:pt>
                <c:pt idx="293">
                  <c:v>15828.400000000001</c:v>
                </c:pt>
                <c:pt idx="294">
                  <c:v>15828.400000000001</c:v>
                </c:pt>
                <c:pt idx="295">
                  <c:v>15828.400000000001</c:v>
                </c:pt>
                <c:pt idx="296">
                  <c:v>15828.400000000001</c:v>
                </c:pt>
                <c:pt idx="297">
                  <c:v>15828.400000000001</c:v>
                </c:pt>
                <c:pt idx="298">
                  <c:v>15828.400000000001</c:v>
                </c:pt>
                <c:pt idx="299">
                  <c:v>15828.400000000001</c:v>
                </c:pt>
                <c:pt idx="300">
                  <c:v>15828.400000000001</c:v>
                </c:pt>
                <c:pt idx="301">
                  <c:v>15828.400000000001</c:v>
                </c:pt>
                <c:pt idx="302">
                  <c:v>15828.400000000001</c:v>
                </c:pt>
                <c:pt idx="303">
                  <c:v>15828.400000000001</c:v>
                </c:pt>
                <c:pt idx="304">
                  <c:v>15828.400000000001</c:v>
                </c:pt>
                <c:pt idx="305">
                  <c:v>15828.400000000001</c:v>
                </c:pt>
                <c:pt idx="306">
                  <c:v>15828.400000000001</c:v>
                </c:pt>
                <c:pt idx="307">
                  <c:v>15828.400000000001</c:v>
                </c:pt>
                <c:pt idx="308">
                  <c:v>15828.400000000001</c:v>
                </c:pt>
                <c:pt idx="309">
                  <c:v>15828.400000000001</c:v>
                </c:pt>
                <c:pt idx="310">
                  <c:v>15828.400000000001</c:v>
                </c:pt>
                <c:pt idx="311">
                  <c:v>15828.400000000001</c:v>
                </c:pt>
                <c:pt idx="312">
                  <c:v>15828.400000000001</c:v>
                </c:pt>
                <c:pt idx="313">
                  <c:v>15828.400000000001</c:v>
                </c:pt>
                <c:pt idx="314">
                  <c:v>15828.400000000001</c:v>
                </c:pt>
                <c:pt idx="315">
                  <c:v>15828.400000000001</c:v>
                </c:pt>
                <c:pt idx="316">
                  <c:v>15828.400000000001</c:v>
                </c:pt>
                <c:pt idx="317">
                  <c:v>15828.400000000001</c:v>
                </c:pt>
                <c:pt idx="318">
                  <c:v>15828.400000000001</c:v>
                </c:pt>
                <c:pt idx="319">
                  <c:v>15828.400000000001</c:v>
                </c:pt>
                <c:pt idx="320">
                  <c:v>15828.400000000001</c:v>
                </c:pt>
                <c:pt idx="321">
                  <c:v>15828.400000000001</c:v>
                </c:pt>
                <c:pt idx="322">
                  <c:v>15828.400000000001</c:v>
                </c:pt>
                <c:pt idx="323">
                  <c:v>15828.400000000001</c:v>
                </c:pt>
                <c:pt idx="324">
                  <c:v>15828.400000000001</c:v>
                </c:pt>
                <c:pt idx="325">
                  <c:v>15828.400000000001</c:v>
                </c:pt>
                <c:pt idx="326">
                  <c:v>15828.400000000001</c:v>
                </c:pt>
                <c:pt idx="327">
                  <c:v>15828.400000000001</c:v>
                </c:pt>
                <c:pt idx="328">
                  <c:v>15828.400000000001</c:v>
                </c:pt>
                <c:pt idx="329">
                  <c:v>15828.400000000001</c:v>
                </c:pt>
                <c:pt idx="330">
                  <c:v>15828.400000000001</c:v>
                </c:pt>
                <c:pt idx="331">
                  <c:v>17668.400000000001</c:v>
                </c:pt>
                <c:pt idx="332">
                  <c:v>19188.400000000001</c:v>
                </c:pt>
                <c:pt idx="333">
                  <c:v>19188.400000000001</c:v>
                </c:pt>
                <c:pt idx="334">
                  <c:v>19188.400000000001</c:v>
                </c:pt>
                <c:pt idx="335">
                  <c:v>19188.400000000001</c:v>
                </c:pt>
                <c:pt idx="336">
                  <c:v>19188.400000000001</c:v>
                </c:pt>
                <c:pt idx="337">
                  <c:v>19188.400000000001</c:v>
                </c:pt>
                <c:pt idx="338">
                  <c:v>19188.400000000001</c:v>
                </c:pt>
                <c:pt idx="339">
                  <c:v>19188.400000000001</c:v>
                </c:pt>
                <c:pt idx="340">
                  <c:v>19188.400000000001</c:v>
                </c:pt>
                <c:pt idx="341">
                  <c:v>19188.400000000001</c:v>
                </c:pt>
                <c:pt idx="342">
                  <c:v>19188.400000000001</c:v>
                </c:pt>
                <c:pt idx="343">
                  <c:v>19188.400000000001</c:v>
                </c:pt>
                <c:pt idx="344">
                  <c:v>19188.400000000001</c:v>
                </c:pt>
                <c:pt idx="345">
                  <c:v>19188.400000000001</c:v>
                </c:pt>
                <c:pt idx="346">
                  <c:v>19188.400000000001</c:v>
                </c:pt>
                <c:pt idx="347">
                  <c:v>19188.400000000001</c:v>
                </c:pt>
                <c:pt idx="348">
                  <c:v>19188.400000000001</c:v>
                </c:pt>
                <c:pt idx="349">
                  <c:v>19188.400000000001</c:v>
                </c:pt>
                <c:pt idx="350">
                  <c:v>19188.400000000001</c:v>
                </c:pt>
                <c:pt idx="351">
                  <c:v>19188.400000000001</c:v>
                </c:pt>
                <c:pt idx="352">
                  <c:v>19188.400000000001</c:v>
                </c:pt>
                <c:pt idx="353">
                  <c:v>19188.400000000001</c:v>
                </c:pt>
                <c:pt idx="354">
                  <c:v>19188.400000000001</c:v>
                </c:pt>
                <c:pt idx="355">
                  <c:v>19188.400000000001</c:v>
                </c:pt>
                <c:pt idx="356">
                  <c:v>19188.400000000001</c:v>
                </c:pt>
                <c:pt idx="357">
                  <c:v>19188.400000000001</c:v>
                </c:pt>
                <c:pt idx="358">
                  <c:v>19188.400000000001</c:v>
                </c:pt>
                <c:pt idx="359">
                  <c:v>19188.400000000001</c:v>
                </c:pt>
                <c:pt idx="360">
                  <c:v>19188.400000000001</c:v>
                </c:pt>
                <c:pt idx="361">
                  <c:v>19188.400000000001</c:v>
                </c:pt>
                <c:pt idx="362">
                  <c:v>19188.400000000001</c:v>
                </c:pt>
                <c:pt idx="363">
                  <c:v>22308.400000000001</c:v>
                </c:pt>
                <c:pt idx="364">
                  <c:v>22308.400000000001</c:v>
                </c:pt>
                <c:pt idx="365">
                  <c:v>22308.400000000001</c:v>
                </c:pt>
                <c:pt idx="366">
                  <c:v>22308.400000000001</c:v>
                </c:pt>
                <c:pt idx="367">
                  <c:v>22308.400000000001</c:v>
                </c:pt>
                <c:pt idx="368">
                  <c:v>22308.400000000001</c:v>
                </c:pt>
                <c:pt idx="369">
                  <c:v>22308.400000000001</c:v>
                </c:pt>
                <c:pt idx="370">
                  <c:v>22308.400000000001</c:v>
                </c:pt>
                <c:pt idx="371">
                  <c:v>22308.400000000001</c:v>
                </c:pt>
                <c:pt idx="372">
                  <c:v>22308.400000000001</c:v>
                </c:pt>
                <c:pt idx="373">
                  <c:v>22308.400000000001</c:v>
                </c:pt>
                <c:pt idx="374">
                  <c:v>22308.400000000001</c:v>
                </c:pt>
                <c:pt idx="375">
                  <c:v>22308.400000000001</c:v>
                </c:pt>
                <c:pt idx="376">
                  <c:v>22308.400000000001</c:v>
                </c:pt>
                <c:pt idx="377">
                  <c:v>22308.400000000001</c:v>
                </c:pt>
                <c:pt idx="378">
                  <c:v>22308.400000000001</c:v>
                </c:pt>
                <c:pt idx="379">
                  <c:v>22308.400000000001</c:v>
                </c:pt>
                <c:pt idx="380">
                  <c:v>22308.400000000001</c:v>
                </c:pt>
                <c:pt idx="381">
                  <c:v>22308.400000000001</c:v>
                </c:pt>
                <c:pt idx="382">
                  <c:v>22308.400000000001</c:v>
                </c:pt>
                <c:pt idx="383">
                  <c:v>22308.400000000001</c:v>
                </c:pt>
                <c:pt idx="384">
                  <c:v>22308.400000000001</c:v>
                </c:pt>
                <c:pt idx="385">
                  <c:v>22308.400000000001</c:v>
                </c:pt>
                <c:pt idx="386">
                  <c:v>22308.400000000001</c:v>
                </c:pt>
                <c:pt idx="387">
                  <c:v>22308.400000000001</c:v>
                </c:pt>
                <c:pt idx="388">
                  <c:v>22308.400000000001</c:v>
                </c:pt>
                <c:pt idx="389">
                  <c:v>22308.400000000001</c:v>
                </c:pt>
                <c:pt idx="390">
                  <c:v>22308.400000000001</c:v>
                </c:pt>
                <c:pt idx="391">
                  <c:v>22308.400000000001</c:v>
                </c:pt>
                <c:pt idx="392">
                  <c:v>22308.400000000001</c:v>
                </c:pt>
                <c:pt idx="393">
                  <c:v>22308.400000000001</c:v>
                </c:pt>
                <c:pt idx="394">
                  <c:v>22308.400000000001</c:v>
                </c:pt>
                <c:pt idx="395">
                  <c:v>22308.400000000001</c:v>
                </c:pt>
                <c:pt idx="396">
                  <c:v>22308.400000000001</c:v>
                </c:pt>
                <c:pt idx="397">
                  <c:v>22308.400000000001</c:v>
                </c:pt>
                <c:pt idx="398">
                  <c:v>22308.400000000001</c:v>
                </c:pt>
                <c:pt idx="399">
                  <c:v>22308.400000000001</c:v>
                </c:pt>
                <c:pt idx="400">
                  <c:v>22308.400000000001</c:v>
                </c:pt>
                <c:pt idx="401">
                  <c:v>22308.400000000001</c:v>
                </c:pt>
                <c:pt idx="402">
                  <c:v>22308.400000000001</c:v>
                </c:pt>
                <c:pt idx="403">
                  <c:v>22308.400000000001</c:v>
                </c:pt>
                <c:pt idx="404">
                  <c:v>22308.400000000001</c:v>
                </c:pt>
                <c:pt idx="405">
                  <c:v>22308.400000000001</c:v>
                </c:pt>
                <c:pt idx="406">
                  <c:v>22308.400000000001</c:v>
                </c:pt>
                <c:pt idx="407">
                  <c:v>22308.400000000001</c:v>
                </c:pt>
                <c:pt idx="408">
                  <c:v>22308.400000000001</c:v>
                </c:pt>
                <c:pt idx="409">
                  <c:v>22308.400000000001</c:v>
                </c:pt>
                <c:pt idx="410">
                  <c:v>22308.400000000001</c:v>
                </c:pt>
                <c:pt idx="411">
                  <c:v>22308.400000000001</c:v>
                </c:pt>
                <c:pt idx="412">
                  <c:v>22308.400000000001</c:v>
                </c:pt>
                <c:pt idx="413">
                  <c:v>22308.400000000001</c:v>
                </c:pt>
                <c:pt idx="414">
                  <c:v>22788.400000000001</c:v>
                </c:pt>
                <c:pt idx="415">
                  <c:v>22788.400000000001</c:v>
                </c:pt>
                <c:pt idx="416">
                  <c:v>22788.400000000001</c:v>
                </c:pt>
                <c:pt idx="417">
                  <c:v>22788.400000000001</c:v>
                </c:pt>
                <c:pt idx="418">
                  <c:v>22788.400000000001</c:v>
                </c:pt>
                <c:pt idx="419">
                  <c:v>22788.400000000001</c:v>
                </c:pt>
                <c:pt idx="420">
                  <c:v>22788.400000000001</c:v>
                </c:pt>
                <c:pt idx="421">
                  <c:v>22788.400000000001</c:v>
                </c:pt>
                <c:pt idx="422">
                  <c:v>23268.400000000001</c:v>
                </c:pt>
                <c:pt idx="423">
                  <c:v>23268.400000000001</c:v>
                </c:pt>
                <c:pt idx="424">
                  <c:v>23268.400000000001</c:v>
                </c:pt>
                <c:pt idx="425">
                  <c:v>23268.400000000001</c:v>
                </c:pt>
                <c:pt idx="426">
                  <c:v>23268.400000000001</c:v>
                </c:pt>
                <c:pt idx="427">
                  <c:v>22948.400000000001</c:v>
                </c:pt>
                <c:pt idx="428">
                  <c:v>22948.400000000001</c:v>
                </c:pt>
                <c:pt idx="429">
                  <c:v>22948.400000000001</c:v>
                </c:pt>
                <c:pt idx="430">
                  <c:v>22948.400000000001</c:v>
                </c:pt>
                <c:pt idx="431">
                  <c:v>22948.400000000001</c:v>
                </c:pt>
                <c:pt idx="432">
                  <c:v>22948.400000000001</c:v>
                </c:pt>
                <c:pt idx="433">
                  <c:v>22948.400000000001</c:v>
                </c:pt>
                <c:pt idx="434">
                  <c:v>22948.400000000001</c:v>
                </c:pt>
                <c:pt idx="435">
                  <c:v>22948.400000000001</c:v>
                </c:pt>
                <c:pt idx="436">
                  <c:v>22948.400000000001</c:v>
                </c:pt>
                <c:pt idx="437">
                  <c:v>22948.400000000001</c:v>
                </c:pt>
                <c:pt idx="438">
                  <c:v>22948.400000000001</c:v>
                </c:pt>
                <c:pt idx="439">
                  <c:v>22948.400000000001</c:v>
                </c:pt>
                <c:pt idx="440">
                  <c:v>22948.400000000001</c:v>
                </c:pt>
                <c:pt idx="441">
                  <c:v>22948.400000000001</c:v>
                </c:pt>
                <c:pt idx="442">
                  <c:v>23748.400000000001</c:v>
                </c:pt>
                <c:pt idx="443">
                  <c:v>23748.400000000001</c:v>
                </c:pt>
                <c:pt idx="444">
                  <c:v>23748.400000000001</c:v>
                </c:pt>
                <c:pt idx="445">
                  <c:v>23748.400000000001</c:v>
                </c:pt>
                <c:pt idx="446">
                  <c:v>23748.400000000001</c:v>
                </c:pt>
                <c:pt idx="447">
                  <c:v>23748.400000000001</c:v>
                </c:pt>
                <c:pt idx="448">
                  <c:v>23748.400000000001</c:v>
                </c:pt>
                <c:pt idx="449">
                  <c:v>23748.400000000001</c:v>
                </c:pt>
                <c:pt idx="450">
                  <c:v>23748.400000000001</c:v>
                </c:pt>
                <c:pt idx="451">
                  <c:v>23748.400000000001</c:v>
                </c:pt>
                <c:pt idx="452">
                  <c:v>23748.400000000001</c:v>
                </c:pt>
                <c:pt idx="453">
                  <c:v>23748.400000000001</c:v>
                </c:pt>
                <c:pt idx="454">
                  <c:v>23748.400000000001</c:v>
                </c:pt>
                <c:pt idx="455">
                  <c:v>23748.400000000001</c:v>
                </c:pt>
                <c:pt idx="456">
                  <c:v>23748.400000000001</c:v>
                </c:pt>
                <c:pt idx="457">
                  <c:v>23748.400000000001</c:v>
                </c:pt>
                <c:pt idx="458">
                  <c:v>23748.400000000001</c:v>
                </c:pt>
                <c:pt idx="459">
                  <c:v>23748.400000000001</c:v>
                </c:pt>
                <c:pt idx="460">
                  <c:v>23748.400000000001</c:v>
                </c:pt>
                <c:pt idx="461">
                  <c:v>23748.400000000001</c:v>
                </c:pt>
                <c:pt idx="462">
                  <c:v>23748.400000000001</c:v>
                </c:pt>
                <c:pt idx="463">
                  <c:v>23748.400000000001</c:v>
                </c:pt>
                <c:pt idx="464">
                  <c:v>23748.400000000001</c:v>
                </c:pt>
                <c:pt idx="465">
                  <c:v>23748.400000000001</c:v>
                </c:pt>
                <c:pt idx="466">
                  <c:v>23748.400000000001</c:v>
                </c:pt>
                <c:pt idx="467">
                  <c:v>23748.400000000001</c:v>
                </c:pt>
                <c:pt idx="468">
                  <c:v>23748.400000000001</c:v>
                </c:pt>
                <c:pt idx="469">
                  <c:v>23748.400000000001</c:v>
                </c:pt>
                <c:pt idx="470">
                  <c:v>23748.400000000001</c:v>
                </c:pt>
                <c:pt idx="471">
                  <c:v>23748.400000000001</c:v>
                </c:pt>
                <c:pt idx="472">
                  <c:v>23748.400000000001</c:v>
                </c:pt>
                <c:pt idx="473">
                  <c:v>23748.400000000001</c:v>
                </c:pt>
                <c:pt idx="474">
                  <c:v>23748.400000000001</c:v>
                </c:pt>
                <c:pt idx="475">
                  <c:v>23748.400000000001</c:v>
                </c:pt>
                <c:pt idx="476">
                  <c:v>23748.400000000001</c:v>
                </c:pt>
                <c:pt idx="477">
                  <c:v>23748.400000000001</c:v>
                </c:pt>
                <c:pt idx="478">
                  <c:v>23748.400000000001</c:v>
                </c:pt>
                <c:pt idx="479">
                  <c:v>23748.400000000001</c:v>
                </c:pt>
                <c:pt idx="480">
                  <c:v>23748.400000000001</c:v>
                </c:pt>
                <c:pt idx="481">
                  <c:v>23748.400000000001</c:v>
                </c:pt>
                <c:pt idx="482">
                  <c:v>21348.400000000001</c:v>
                </c:pt>
                <c:pt idx="483">
                  <c:v>18548.400000000001</c:v>
                </c:pt>
                <c:pt idx="484">
                  <c:v>15348.400000000001</c:v>
                </c:pt>
                <c:pt idx="485">
                  <c:v>15348.400000000001</c:v>
                </c:pt>
                <c:pt idx="486">
                  <c:v>15348.400000000001</c:v>
                </c:pt>
                <c:pt idx="487">
                  <c:v>15348.400000000001</c:v>
                </c:pt>
                <c:pt idx="488">
                  <c:v>15348.400000000001</c:v>
                </c:pt>
                <c:pt idx="489">
                  <c:v>15348.400000000001</c:v>
                </c:pt>
                <c:pt idx="490">
                  <c:v>15348.400000000001</c:v>
                </c:pt>
                <c:pt idx="491">
                  <c:v>15348.400000000001</c:v>
                </c:pt>
                <c:pt idx="492">
                  <c:v>15348.400000000001</c:v>
                </c:pt>
                <c:pt idx="493">
                  <c:v>15348.400000000001</c:v>
                </c:pt>
                <c:pt idx="494">
                  <c:v>15348.400000000001</c:v>
                </c:pt>
                <c:pt idx="495">
                  <c:v>15348.400000000001</c:v>
                </c:pt>
                <c:pt idx="496">
                  <c:v>15348.400000000001</c:v>
                </c:pt>
                <c:pt idx="497">
                  <c:v>15348.400000000001</c:v>
                </c:pt>
                <c:pt idx="498">
                  <c:v>17627.257142857143</c:v>
                </c:pt>
                <c:pt idx="499">
                  <c:v>18827.257142857143</c:v>
                </c:pt>
                <c:pt idx="500">
                  <c:v>18827.257142857143</c:v>
                </c:pt>
                <c:pt idx="501">
                  <c:v>18827.257142857143</c:v>
                </c:pt>
                <c:pt idx="502">
                  <c:v>18827.257142857143</c:v>
                </c:pt>
                <c:pt idx="503">
                  <c:v>18827.257142857143</c:v>
                </c:pt>
                <c:pt idx="504">
                  <c:v>18827.257142857143</c:v>
                </c:pt>
                <c:pt idx="505">
                  <c:v>18827.257142857143</c:v>
                </c:pt>
                <c:pt idx="506">
                  <c:v>20795.257142857143</c:v>
                </c:pt>
                <c:pt idx="507">
                  <c:v>20795.257142857143</c:v>
                </c:pt>
                <c:pt idx="508">
                  <c:v>20795.257142857143</c:v>
                </c:pt>
                <c:pt idx="509">
                  <c:v>20795.257142857143</c:v>
                </c:pt>
                <c:pt idx="510">
                  <c:v>20795.257142857143</c:v>
                </c:pt>
                <c:pt idx="511">
                  <c:v>20795.257142857143</c:v>
                </c:pt>
                <c:pt idx="512">
                  <c:v>20795.257142857143</c:v>
                </c:pt>
                <c:pt idx="513">
                  <c:v>20795.257142857143</c:v>
                </c:pt>
                <c:pt idx="514">
                  <c:v>20795.257142857143</c:v>
                </c:pt>
                <c:pt idx="515">
                  <c:v>20795.257142857143</c:v>
                </c:pt>
                <c:pt idx="516">
                  <c:v>20795.257142857143</c:v>
                </c:pt>
                <c:pt idx="517">
                  <c:v>20795.257142857143</c:v>
                </c:pt>
                <c:pt idx="518">
                  <c:v>20795.257142857143</c:v>
                </c:pt>
                <c:pt idx="519">
                  <c:v>20795.257142857143</c:v>
                </c:pt>
                <c:pt idx="520">
                  <c:v>25718.457142857143</c:v>
                </c:pt>
                <c:pt idx="521">
                  <c:v>25718.457142857143</c:v>
                </c:pt>
                <c:pt idx="522">
                  <c:v>25718.457142857143</c:v>
                </c:pt>
                <c:pt idx="523">
                  <c:v>25718.457142857143</c:v>
                </c:pt>
                <c:pt idx="524">
                  <c:v>25718.457142857143</c:v>
                </c:pt>
                <c:pt idx="525">
                  <c:v>25718.457142857143</c:v>
                </c:pt>
                <c:pt idx="526">
                  <c:v>25718.457142857143</c:v>
                </c:pt>
                <c:pt idx="527">
                  <c:v>25718.457142857143</c:v>
                </c:pt>
                <c:pt idx="528">
                  <c:v>25718.457142857143</c:v>
                </c:pt>
                <c:pt idx="529">
                  <c:v>25718.457142857143</c:v>
                </c:pt>
                <c:pt idx="530">
                  <c:v>25718.457142857143</c:v>
                </c:pt>
                <c:pt idx="531">
                  <c:v>25718.457142857143</c:v>
                </c:pt>
                <c:pt idx="532">
                  <c:v>25718.457142857143</c:v>
                </c:pt>
                <c:pt idx="533">
                  <c:v>25718.457142857143</c:v>
                </c:pt>
                <c:pt idx="534">
                  <c:v>25718.457142857143</c:v>
                </c:pt>
                <c:pt idx="535">
                  <c:v>25718.457142857143</c:v>
                </c:pt>
                <c:pt idx="536">
                  <c:v>25718.457142857143</c:v>
                </c:pt>
                <c:pt idx="537">
                  <c:v>25718.457142857143</c:v>
                </c:pt>
                <c:pt idx="538">
                  <c:v>25718.457142857143</c:v>
                </c:pt>
                <c:pt idx="539">
                  <c:v>25718.457142857143</c:v>
                </c:pt>
                <c:pt idx="540">
                  <c:v>25718.457142857143</c:v>
                </c:pt>
                <c:pt idx="541">
                  <c:v>25718.457142857143</c:v>
                </c:pt>
                <c:pt idx="542">
                  <c:v>25718.457142857143</c:v>
                </c:pt>
                <c:pt idx="543">
                  <c:v>25718.457142857143</c:v>
                </c:pt>
                <c:pt idx="544">
                  <c:v>25718.457142857143</c:v>
                </c:pt>
                <c:pt idx="545">
                  <c:v>25718.457142857143</c:v>
                </c:pt>
                <c:pt idx="546">
                  <c:v>25718.457142857143</c:v>
                </c:pt>
                <c:pt idx="547">
                  <c:v>25718.457142857143</c:v>
                </c:pt>
                <c:pt idx="548">
                  <c:v>25718.457142857143</c:v>
                </c:pt>
                <c:pt idx="549">
                  <c:v>25718.457142857143</c:v>
                </c:pt>
                <c:pt idx="550">
                  <c:v>25718.457142857143</c:v>
                </c:pt>
                <c:pt idx="551">
                  <c:v>25718.457142857143</c:v>
                </c:pt>
                <c:pt idx="552">
                  <c:v>25718.457142857143</c:v>
                </c:pt>
                <c:pt idx="553">
                  <c:v>25718.457142857143</c:v>
                </c:pt>
                <c:pt idx="554">
                  <c:v>25718.457142857143</c:v>
                </c:pt>
                <c:pt idx="555">
                  <c:v>27302.758121878131</c:v>
                </c:pt>
                <c:pt idx="556">
                  <c:v>25718.457142857143</c:v>
                </c:pt>
                <c:pt idx="557">
                  <c:v>25718.457142857143</c:v>
                </c:pt>
                <c:pt idx="558">
                  <c:v>25718.457142857143</c:v>
                </c:pt>
                <c:pt idx="559">
                  <c:v>25718.457142857143</c:v>
                </c:pt>
                <c:pt idx="560">
                  <c:v>25718.457142857143</c:v>
                </c:pt>
                <c:pt idx="561">
                  <c:v>23922.093506493507</c:v>
                </c:pt>
                <c:pt idx="562">
                  <c:v>23922.093506493507</c:v>
                </c:pt>
                <c:pt idx="563">
                  <c:v>23922.093506493507</c:v>
                </c:pt>
                <c:pt idx="564">
                  <c:v>24562.093506493511</c:v>
                </c:pt>
                <c:pt idx="565">
                  <c:v>24562.093506493511</c:v>
                </c:pt>
                <c:pt idx="566">
                  <c:v>24562.093506493511</c:v>
                </c:pt>
                <c:pt idx="567">
                  <c:v>25202.093506493511</c:v>
                </c:pt>
                <c:pt idx="568">
                  <c:v>28758.758121878131</c:v>
                </c:pt>
                <c:pt idx="569">
                  <c:v>27602.093506493511</c:v>
                </c:pt>
                <c:pt idx="570">
                  <c:v>28242.093506493511</c:v>
                </c:pt>
                <c:pt idx="571">
                  <c:v>28758.758121878131</c:v>
                </c:pt>
                <c:pt idx="572">
                  <c:v>28242.093506493511</c:v>
                </c:pt>
                <c:pt idx="573">
                  <c:v>28242.093506493511</c:v>
                </c:pt>
                <c:pt idx="574">
                  <c:v>28242.093506493511</c:v>
                </c:pt>
                <c:pt idx="575">
                  <c:v>28758.758121878131</c:v>
                </c:pt>
                <c:pt idx="576">
                  <c:v>27302.758121878131</c:v>
                </c:pt>
                <c:pt idx="577">
                  <c:v>28242.093506493511</c:v>
                </c:pt>
                <c:pt idx="578">
                  <c:v>28242.093506493511</c:v>
                </c:pt>
                <c:pt idx="579">
                  <c:v>28242.093506493511</c:v>
                </c:pt>
                <c:pt idx="580">
                  <c:v>28242.093506493511</c:v>
                </c:pt>
                <c:pt idx="581">
                  <c:v>28242.093506493511</c:v>
                </c:pt>
                <c:pt idx="582">
                  <c:v>28242.093506493511</c:v>
                </c:pt>
                <c:pt idx="583">
                  <c:v>28242.093506493511</c:v>
                </c:pt>
                <c:pt idx="584">
                  <c:v>28242.093506493511</c:v>
                </c:pt>
                <c:pt idx="585">
                  <c:v>28242.093506493511</c:v>
                </c:pt>
                <c:pt idx="586">
                  <c:v>28242.093506493511</c:v>
                </c:pt>
                <c:pt idx="587">
                  <c:v>28242.093506493511</c:v>
                </c:pt>
                <c:pt idx="588">
                  <c:v>28242.093506493511</c:v>
                </c:pt>
                <c:pt idx="589">
                  <c:v>28242.093506493511</c:v>
                </c:pt>
                <c:pt idx="590">
                  <c:v>28242.093506493511</c:v>
                </c:pt>
                <c:pt idx="591">
                  <c:v>28242.093506493511</c:v>
                </c:pt>
                <c:pt idx="592">
                  <c:v>28242.093506493511</c:v>
                </c:pt>
                <c:pt idx="593">
                  <c:v>28242.093506493511</c:v>
                </c:pt>
                <c:pt idx="594">
                  <c:v>28242.093506493511</c:v>
                </c:pt>
                <c:pt idx="595">
                  <c:v>28242.093506493511</c:v>
                </c:pt>
                <c:pt idx="596">
                  <c:v>28242.093506493511</c:v>
                </c:pt>
                <c:pt idx="597">
                  <c:v>28242.093506493511</c:v>
                </c:pt>
                <c:pt idx="598">
                  <c:v>28242.093506493511</c:v>
                </c:pt>
                <c:pt idx="599">
                  <c:v>28242.093506493511</c:v>
                </c:pt>
                <c:pt idx="600">
                  <c:v>28242.093506493511</c:v>
                </c:pt>
                <c:pt idx="601">
                  <c:v>28242.093506493511</c:v>
                </c:pt>
                <c:pt idx="602">
                  <c:v>28242.093506493511</c:v>
                </c:pt>
                <c:pt idx="603">
                  <c:v>28242.093506493511</c:v>
                </c:pt>
                <c:pt idx="604">
                  <c:v>28242.093506493511</c:v>
                </c:pt>
                <c:pt idx="605">
                  <c:v>28242.093506493511</c:v>
                </c:pt>
                <c:pt idx="606">
                  <c:v>28242.093506493511</c:v>
                </c:pt>
                <c:pt idx="607">
                  <c:v>28242.093506493511</c:v>
                </c:pt>
                <c:pt idx="608">
                  <c:v>28242.093506493511</c:v>
                </c:pt>
                <c:pt idx="609">
                  <c:v>28242.093506493511</c:v>
                </c:pt>
                <c:pt idx="610">
                  <c:v>28242.093506493511</c:v>
                </c:pt>
                <c:pt idx="611">
                  <c:v>28242.093506493511</c:v>
                </c:pt>
                <c:pt idx="612">
                  <c:v>28242.093506493511</c:v>
                </c:pt>
                <c:pt idx="613">
                  <c:v>28242.093506493511</c:v>
                </c:pt>
                <c:pt idx="614">
                  <c:v>28242.093506493511</c:v>
                </c:pt>
                <c:pt idx="615">
                  <c:v>28242.093506493511</c:v>
                </c:pt>
                <c:pt idx="616">
                  <c:v>28242.093506493511</c:v>
                </c:pt>
                <c:pt idx="617">
                  <c:v>28242.093506493511</c:v>
                </c:pt>
                <c:pt idx="618">
                  <c:v>28242.093506493511</c:v>
                </c:pt>
                <c:pt idx="619">
                  <c:v>28242.093506493511</c:v>
                </c:pt>
                <c:pt idx="620">
                  <c:v>28758.758121878131</c:v>
                </c:pt>
                <c:pt idx="621">
                  <c:v>28242.093506493511</c:v>
                </c:pt>
                <c:pt idx="622">
                  <c:v>28242.093506493511</c:v>
                </c:pt>
                <c:pt idx="623">
                  <c:v>28242.093506493511</c:v>
                </c:pt>
                <c:pt idx="624">
                  <c:v>28242.093506493511</c:v>
                </c:pt>
                <c:pt idx="625">
                  <c:v>28242.093506493511</c:v>
                </c:pt>
                <c:pt idx="626">
                  <c:v>28242.093506493511</c:v>
                </c:pt>
                <c:pt idx="627">
                  <c:v>28758.758121878131</c:v>
                </c:pt>
                <c:pt idx="628">
                  <c:v>30642.093506493511</c:v>
                </c:pt>
                <c:pt idx="629">
                  <c:v>30642.093506493511</c:v>
                </c:pt>
                <c:pt idx="630">
                  <c:v>30642.093506493511</c:v>
                </c:pt>
                <c:pt idx="631">
                  <c:v>30642.093506493511</c:v>
                </c:pt>
                <c:pt idx="632">
                  <c:v>30642.093506493511</c:v>
                </c:pt>
                <c:pt idx="633">
                  <c:v>30642.093506493511</c:v>
                </c:pt>
                <c:pt idx="634">
                  <c:v>30642.093506493511</c:v>
                </c:pt>
                <c:pt idx="635">
                  <c:v>30642.093506493511</c:v>
                </c:pt>
                <c:pt idx="636">
                  <c:v>30642.093506493511</c:v>
                </c:pt>
                <c:pt idx="637">
                  <c:v>30642.093506493511</c:v>
                </c:pt>
                <c:pt idx="638">
                  <c:v>30642.093506493511</c:v>
                </c:pt>
                <c:pt idx="639">
                  <c:v>28758.758121878131</c:v>
                </c:pt>
                <c:pt idx="640">
                  <c:v>30427.69350649351</c:v>
                </c:pt>
                <c:pt idx="641">
                  <c:v>30427.69350649351</c:v>
                </c:pt>
                <c:pt idx="642">
                  <c:v>28758.758121878131</c:v>
                </c:pt>
                <c:pt idx="643">
                  <c:v>30427.69350649351</c:v>
                </c:pt>
                <c:pt idx="644">
                  <c:v>30427.69350649351</c:v>
                </c:pt>
                <c:pt idx="645">
                  <c:v>32973.293506493508</c:v>
                </c:pt>
                <c:pt idx="646">
                  <c:v>30427.69350649351</c:v>
                </c:pt>
                <c:pt idx="647">
                  <c:v>32973.293506493508</c:v>
                </c:pt>
                <c:pt idx="648">
                  <c:v>30835.69350649351</c:v>
                </c:pt>
                <c:pt idx="649">
                  <c:v>30835.69350649351</c:v>
                </c:pt>
                <c:pt idx="650">
                  <c:v>30835.69350649351</c:v>
                </c:pt>
                <c:pt idx="651">
                  <c:v>30835.69350649351</c:v>
                </c:pt>
                <c:pt idx="652">
                  <c:v>30835.69350649351</c:v>
                </c:pt>
                <c:pt idx="653">
                  <c:v>30835.69350649351</c:v>
                </c:pt>
                <c:pt idx="654">
                  <c:v>30835.69350649351</c:v>
                </c:pt>
                <c:pt idx="655">
                  <c:v>30835.69350649351</c:v>
                </c:pt>
                <c:pt idx="656">
                  <c:v>30835.69350649351</c:v>
                </c:pt>
                <c:pt idx="657">
                  <c:v>30835.69350649351</c:v>
                </c:pt>
                <c:pt idx="658">
                  <c:v>30835.69350649351</c:v>
                </c:pt>
                <c:pt idx="659">
                  <c:v>30835.69350649351</c:v>
                </c:pt>
                <c:pt idx="660">
                  <c:v>30835.69350649351</c:v>
                </c:pt>
                <c:pt idx="661">
                  <c:v>30835.69350649351</c:v>
                </c:pt>
                <c:pt idx="662">
                  <c:v>30835.69350649351</c:v>
                </c:pt>
                <c:pt idx="663">
                  <c:v>30835.69350649351</c:v>
                </c:pt>
                <c:pt idx="664">
                  <c:v>30835.69350649351</c:v>
                </c:pt>
                <c:pt idx="665">
                  <c:v>30835.69350649351</c:v>
                </c:pt>
                <c:pt idx="666">
                  <c:v>32973.293506493508</c:v>
                </c:pt>
                <c:pt idx="667">
                  <c:v>25475.69350649351</c:v>
                </c:pt>
                <c:pt idx="668">
                  <c:v>25475.69350649351</c:v>
                </c:pt>
                <c:pt idx="669">
                  <c:v>25475.69350649351</c:v>
                </c:pt>
                <c:pt idx="670">
                  <c:v>29133.293506493508</c:v>
                </c:pt>
                <c:pt idx="671">
                  <c:v>24621.293506493508</c:v>
                </c:pt>
                <c:pt idx="672">
                  <c:v>24621.293506493508</c:v>
                </c:pt>
                <c:pt idx="673">
                  <c:v>25293.293506493508</c:v>
                </c:pt>
                <c:pt idx="674">
                  <c:v>29133.293506493508</c:v>
                </c:pt>
                <c:pt idx="675">
                  <c:v>25293.293506493508</c:v>
                </c:pt>
                <c:pt idx="676">
                  <c:v>25293.293506493508</c:v>
                </c:pt>
                <c:pt idx="677">
                  <c:v>25293.293506493508</c:v>
                </c:pt>
                <c:pt idx="678">
                  <c:v>25293.293506493508</c:v>
                </c:pt>
                <c:pt idx="679">
                  <c:v>25293.293506493508</c:v>
                </c:pt>
                <c:pt idx="680">
                  <c:v>25293.293506493508</c:v>
                </c:pt>
                <c:pt idx="681">
                  <c:v>25293.293506493508</c:v>
                </c:pt>
                <c:pt idx="682">
                  <c:v>25293.293506493508</c:v>
                </c:pt>
                <c:pt idx="683">
                  <c:v>27533.293506493508</c:v>
                </c:pt>
                <c:pt idx="684">
                  <c:v>25293.293506493508</c:v>
                </c:pt>
                <c:pt idx="685">
                  <c:v>25293.293506493508</c:v>
                </c:pt>
                <c:pt idx="686">
                  <c:v>25293.293506493508</c:v>
                </c:pt>
                <c:pt idx="687">
                  <c:v>25293.293506493508</c:v>
                </c:pt>
                <c:pt idx="688">
                  <c:v>25293.293506493508</c:v>
                </c:pt>
                <c:pt idx="689">
                  <c:v>25293.293506493508</c:v>
                </c:pt>
                <c:pt idx="690">
                  <c:v>25293.293506493508</c:v>
                </c:pt>
                <c:pt idx="691">
                  <c:v>25293.293506493508</c:v>
                </c:pt>
                <c:pt idx="692">
                  <c:v>25293.293506493508</c:v>
                </c:pt>
                <c:pt idx="693">
                  <c:v>25293.293506493508</c:v>
                </c:pt>
                <c:pt idx="694">
                  <c:v>25293.293506493508</c:v>
                </c:pt>
                <c:pt idx="695">
                  <c:v>25293.293506493508</c:v>
                </c:pt>
                <c:pt idx="696">
                  <c:v>27533.293506493508</c:v>
                </c:pt>
                <c:pt idx="697">
                  <c:v>27533.293506493508</c:v>
                </c:pt>
                <c:pt idx="698">
                  <c:v>27533.293506493508</c:v>
                </c:pt>
                <c:pt idx="699">
                  <c:v>27533.293506493508</c:v>
                </c:pt>
                <c:pt idx="700">
                  <c:v>27533.293506493508</c:v>
                </c:pt>
                <c:pt idx="701">
                  <c:v>29133.293506493508</c:v>
                </c:pt>
                <c:pt idx="702">
                  <c:v>32973.293506493508</c:v>
                </c:pt>
                <c:pt idx="703">
                  <c:v>29133.293506493508</c:v>
                </c:pt>
                <c:pt idx="704">
                  <c:v>29133.293506493508</c:v>
                </c:pt>
                <c:pt idx="705">
                  <c:v>29133.293506493508</c:v>
                </c:pt>
                <c:pt idx="706">
                  <c:v>29133.293506493508</c:v>
                </c:pt>
                <c:pt idx="707">
                  <c:v>29133.293506493508</c:v>
                </c:pt>
                <c:pt idx="708">
                  <c:v>29133.293506493508</c:v>
                </c:pt>
                <c:pt idx="709">
                  <c:v>29133.293506493508</c:v>
                </c:pt>
                <c:pt idx="710">
                  <c:v>29133.293506493508</c:v>
                </c:pt>
                <c:pt idx="711">
                  <c:v>32973.293506493508</c:v>
                </c:pt>
                <c:pt idx="712">
                  <c:v>29133.293506493508</c:v>
                </c:pt>
                <c:pt idx="713">
                  <c:v>29133.293506493508</c:v>
                </c:pt>
                <c:pt idx="714">
                  <c:v>32973.293506493508</c:v>
                </c:pt>
                <c:pt idx="715">
                  <c:v>32973.293506493508</c:v>
                </c:pt>
                <c:pt idx="716">
                  <c:v>29133.293506493508</c:v>
                </c:pt>
                <c:pt idx="717">
                  <c:v>29133.293506493508</c:v>
                </c:pt>
                <c:pt idx="718">
                  <c:v>32973.293506493508</c:v>
                </c:pt>
                <c:pt idx="719">
                  <c:v>29133.293506493508</c:v>
                </c:pt>
                <c:pt idx="720">
                  <c:v>29133.293506493508</c:v>
                </c:pt>
                <c:pt idx="721">
                  <c:v>32733.293506493508</c:v>
                </c:pt>
                <c:pt idx="722">
                  <c:v>32973.293506493508</c:v>
                </c:pt>
                <c:pt idx="723">
                  <c:v>32973.293506493508</c:v>
                </c:pt>
                <c:pt idx="724">
                  <c:v>32973.293506493508</c:v>
                </c:pt>
                <c:pt idx="725">
                  <c:v>32973.293506493508</c:v>
                </c:pt>
                <c:pt idx="726">
                  <c:v>32973.293506493508</c:v>
                </c:pt>
                <c:pt idx="727">
                  <c:v>32973.293506493508</c:v>
                </c:pt>
                <c:pt idx="728">
                  <c:v>32973.293506493508</c:v>
                </c:pt>
                <c:pt idx="729">
                  <c:v>32973.293506493508</c:v>
                </c:pt>
                <c:pt idx="730">
                  <c:v>32973.293506493508</c:v>
                </c:pt>
                <c:pt idx="731">
                  <c:v>28758.758121878131</c:v>
                </c:pt>
                <c:pt idx="732">
                  <c:v>29235.078121878127</c:v>
                </c:pt>
                <c:pt idx="733">
                  <c:v>32973.293506493508</c:v>
                </c:pt>
                <c:pt idx="734">
                  <c:v>32973.293506493508</c:v>
                </c:pt>
                <c:pt idx="735">
                  <c:v>32973.293506493508</c:v>
                </c:pt>
                <c:pt idx="736">
                  <c:v>32973.293506493508</c:v>
                </c:pt>
                <c:pt idx="737">
                  <c:v>32973.293506493508</c:v>
                </c:pt>
                <c:pt idx="738">
                  <c:v>29235.078121878127</c:v>
                </c:pt>
                <c:pt idx="739">
                  <c:v>32973.293506493508</c:v>
                </c:pt>
                <c:pt idx="740">
                  <c:v>32973.293506493508</c:v>
                </c:pt>
                <c:pt idx="741">
                  <c:v>32973.293506493508</c:v>
                </c:pt>
                <c:pt idx="742">
                  <c:v>32973.293506493508</c:v>
                </c:pt>
                <c:pt idx="743">
                  <c:v>32973.293506493508</c:v>
                </c:pt>
                <c:pt idx="744">
                  <c:v>32973.293506493508</c:v>
                </c:pt>
                <c:pt idx="745">
                  <c:v>32973.293506493508</c:v>
                </c:pt>
                <c:pt idx="746">
                  <c:v>32973.293506493508</c:v>
                </c:pt>
                <c:pt idx="747">
                  <c:v>32973.293506493508</c:v>
                </c:pt>
                <c:pt idx="748">
                  <c:v>32973.293506493508</c:v>
                </c:pt>
                <c:pt idx="749">
                  <c:v>32973.293506493508</c:v>
                </c:pt>
                <c:pt idx="750">
                  <c:v>32973.293506493508</c:v>
                </c:pt>
                <c:pt idx="751">
                  <c:v>32973.293506493508</c:v>
                </c:pt>
                <c:pt idx="752">
                  <c:v>32973.293506493508</c:v>
                </c:pt>
                <c:pt idx="753">
                  <c:v>32973.293506493508</c:v>
                </c:pt>
                <c:pt idx="754">
                  <c:v>32973.293506493508</c:v>
                </c:pt>
                <c:pt idx="755">
                  <c:v>32973.293506493508</c:v>
                </c:pt>
                <c:pt idx="756">
                  <c:v>32973.293506493508</c:v>
                </c:pt>
                <c:pt idx="757">
                  <c:v>32973.293506493508</c:v>
                </c:pt>
                <c:pt idx="758">
                  <c:v>32973.293506493508</c:v>
                </c:pt>
                <c:pt idx="759">
                  <c:v>32973.293506493508</c:v>
                </c:pt>
                <c:pt idx="760">
                  <c:v>32973.293506493508</c:v>
                </c:pt>
                <c:pt idx="761">
                  <c:v>32973.293506493508</c:v>
                </c:pt>
                <c:pt idx="762">
                  <c:v>36587.078121878127</c:v>
                </c:pt>
                <c:pt idx="763">
                  <c:v>32973.293506493508</c:v>
                </c:pt>
                <c:pt idx="764">
                  <c:v>32973.293506493508</c:v>
                </c:pt>
                <c:pt idx="765">
                  <c:v>32973.293506493508</c:v>
                </c:pt>
                <c:pt idx="766">
                  <c:v>34573.293506493508</c:v>
                </c:pt>
                <c:pt idx="767">
                  <c:v>34573.293506493508</c:v>
                </c:pt>
                <c:pt idx="768">
                  <c:v>34573.293506493508</c:v>
                </c:pt>
                <c:pt idx="769">
                  <c:v>34484.678121878125</c:v>
                </c:pt>
                <c:pt idx="770">
                  <c:v>34971.078121878127</c:v>
                </c:pt>
                <c:pt idx="771">
                  <c:v>34971.078121878127</c:v>
                </c:pt>
                <c:pt idx="772">
                  <c:v>34971.078121878127</c:v>
                </c:pt>
                <c:pt idx="773">
                  <c:v>34971.078121878127</c:v>
                </c:pt>
                <c:pt idx="774">
                  <c:v>36587.078121878127</c:v>
                </c:pt>
                <c:pt idx="775">
                  <c:v>36347.078121878127</c:v>
                </c:pt>
                <c:pt idx="776">
                  <c:v>36587.078121878127</c:v>
                </c:pt>
                <c:pt idx="777">
                  <c:v>36587.078121878127</c:v>
                </c:pt>
                <c:pt idx="778">
                  <c:v>36587.078121878127</c:v>
                </c:pt>
                <c:pt idx="779">
                  <c:v>36587.078121878127</c:v>
                </c:pt>
                <c:pt idx="780">
                  <c:v>36587.078121878127</c:v>
                </c:pt>
                <c:pt idx="781">
                  <c:v>36587.078121878127</c:v>
                </c:pt>
                <c:pt idx="782">
                  <c:v>36587.078121878127</c:v>
                </c:pt>
                <c:pt idx="783">
                  <c:v>36587.078121878127</c:v>
                </c:pt>
                <c:pt idx="784">
                  <c:v>36587.078121878127</c:v>
                </c:pt>
                <c:pt idx="785">
                  <c:v>36347.078121878127</c:v>
                </c:pt>
                <c:pt idx="786">
                  <c:v>36587.078121878127</c:v>
                </c:pt>
                <c:pt idx="787">
                  <c:v>36347.078121878127</c:v>
                </c:pt>
                <c:pt idx="788">
                  <c:v>36347.078121878127</c:v>
                </c:pt>
                <c:pt idx="789">
                  <c:v>36347.078121878127</c:v>
                </c:pt>
                <c:pt idx="790">
                  <c:v>36347.078121878127</c:v>
                </c:pt>
                <c:pt idx="791">
                  <c:v>36347.078121878127</c:v>
                </c:pt>
                <c:pt idx="792">
                  <c:v>36347.078121878127</c:v>
                </c:pt>
                <c:pt idx="793">
                  <c:v>36347.078121878127</c:v>
                </c:pt>
                <c:pt idx="794">
                  <c:v>36347.078121878127</c:v>
                </c:pt>
                <c:pt idx="795">
                  <c:v>37211.078121878127</c:v>
                </c:pt>
                <c:pt idx="796">
                  <c:v>36347.078121878127</c:v>
                </c:pt>
                <c:pt idx="797">
                  <c:v>36347.078121878127</c:v>
                </c:pt>
                <c:pt idx="798">
                  <c:v>37211.078121878127</c:v>
                </c:pt>
                <c:pt idx="799">
                  <c:v>36347.078121878127</c:v>
                </c:pt>
                <c:pt idx="800">
                  <c:v>36347.078121878127</c:v>
                </c:pt>
                <c:pt idx="801">
                  <c:v>37307.078121878127</c:v>
                </c:pt>
                <c:pt idx="802">
                  <c:v>37211.078121878127</c:v>
                </c:pt>
                <c:pt idx="803">
                  <c:v>37307.078121878127</c:v>
                </c:pt>
                <c:pt idx="804">
                  <c:v>37307.078121878127</c:v>
                </c:pt>
                <c:pt idx="805">
                  <c:v>37307.078121878127</c:v>
                </c:pt>
                <c:pt idx="806">
                  <c:v>37307.078121878127</c:v>
                </c:pt>
                <c:pt idx="807">
                  <c:v>37307.078121878127</c:v>
                </c:pt>
                <c:pt idx="808">
                  <c:v>37307.078121878127</c:v>
                </c:pt>
                <c:pt idx="809">
                  <c:v>37307.078121878127</c:v>
                </c:pt>
                <c:pt idx="810">
                  <c:v>37307.078121878127</c:v>
                </c:pt>
                <c:pt idx="811">
                  <c:v>37307.078121878127</c:v>
                </c:pt>
                <c:pt idx="812">
                  <c:v>37307.078121878127</c:v>
                </c:pt>
                <c:pt idx="813">
                  <c:v>37211.078121878127</c:v>
                </c:pt>
                <c:pt idx="814">
                  <c:v>29235.078121878127</c:v>
                </c:pt>
                <c:pt idx="815">
                  <c:v>37307.078121878127</c:v>
                </c:pt>
                <c:pt idx="816">
                  <c:v>37307.078121878127</c:v>
                </c:pt>
                <c:pt idx="817">
                  <c:v>37211.078121878127</c:v>
                </c:pt>
                <c:pt idx="818">
                  <c:v>37307.078121878127</c:v>
                </c:pt>
                <c:pt idx="819">
                  <c:v>37307.078121878127</c:v>
                </c:pt>
                <c:pt idx="820">
                  <c:v>37307.078121878127</c:v>
                </c:pt>
                <c:pt idx="821">
                  <c:v>37307.078121878127</c:v>
                </c:pt>
                <c:pt idx="822">
                  <c:v>37211.078121878127</c:v>
                </c:pt>
                <c:pt idx="823">
                  <c:v>29235.078121878127</c:v>
                </c:pt>
                <c:pt idx="824">
                  <c:v>37211.078121878127</c:v>
                </c:pt>
                <c:pt idx="825">
                  <c:v>37211.078121878127</c:v>
                </c:pt>
                <c:pt idx="826">
                  <c:v>37211.078121878127</c:v>
                </c:pt>
                <c:pt idx="827">
                  <c:v>29235.078121878127</c:v>
                </c:pt>
                <c:pt idx="828">
                  <c:v>29235.078121878127</c:v>
                </c:pt>
                <c:pt idx="829">
                  <c:v>37211.078121878127</c:v>
                </c:pt>
                <c:pt idx="830">
                  <c:v>37211.078121878127</c:v>
                </c:pt>
                <c:pt idx="831">
                  <c:v>36011.078121878127</c:v>
                </c:pt>
                <c:pt idx="832">
                  <c:v>30355.078121878127</c:v>
                </c:pt>
                <c:pt idx="833">
                  <c:v>30355.078121878127</c:v>
                </c:pt>
                <c:pt idx="834">
                  <c:v>29235.078121878127</c:v>
                </c:pt>
                <c:pt idx="835">
                  <c:v>29235.078121878127</c:v>
                </c:pt>
                <c:pt idx="836">
                  <c:v>30355.078121878127</c:v>
                </c:pt>
                <c:pt idx="837">
                  <c:v>29235.078121878127</c:v>
                </c:pt>
                <c:pt idx="838">
                  <c:v>29235.078121878127</c:v>
                </c:pt>
                <c:pt idx="839">
                  <c:v>30355.078121878127</c:v>
                </c:pt>
                <c:pt idx="840">
                  <c:v>30355.078121878127</c:v>
                </c:pt>
                <c:pt idx="841">
                  <c:v>30355.078121878127</c:v>
                </c:pt>
                <c:pt idx="842">
                  <c:v>30355.078121878127</c:v>
                </c:pt>
                <c:pt idx="843">
                  <c:v>30355.078121878127</c:v>
                </c:pt>
                <c:pt idx="844">
                  <c:v>30355.078121878127</c:v>
                </c:pt>
                <c:pt idx="845">
                  <c:v>30355.078121878127</c:v>
                </c:pt>
                <c:pt idx="846">
                  <c:v>29235.078121878127</c:v>
                </c:pt>
                <c:pt idx="847">
                  <c:v>30355.078121878127</c:v>
                </c:pt>
                <c:pt idx="848">
                  <c:v>30355.078121878127</c:v>
                </c:pt>
                <c:pt idx="849">
                  <c:v>30355.078121878127</c:v>
                </c:pt>
                <c:pt idx="850">
                  <c:v>29235.078121878127</c:v>
                </c:pt>
                <c:pt idx="851">
                  <c:v>30355.078121878127</c:v>
                </c:pt>
                <c:pt idx="852">
                  <c:v>30355.078121878127</c:v>
                </c:pt>
                <c:pt idx="853">
                  <c:v>30355.078121878127</c:v>
                </c:pt>
                <c:pt idx="854">
                  <c:v>30355.078121878127</c:v>
                </c:pt>
                <c:pt idx="855">
                  <c:v>30355.078121878127</c:v>
                </c:pt>
                <c:pt idx="856">
                  <c:v>30355.078121878127</c:v>
                </c:pt>
                <c:pt idx="857">
                  <c:v>30355.078121878127</c:v>
                </c:pt>
                <c:pt idx="858">
                  <c:v>30355.078121878127</c:v>
                </c:pt>
                <c:pt idx="859">
                  <c:v>30355.078121878127</c:v>
                </c:pt>
                <c:pt idx="860">
                  <c:v>30355.078121878127</c:v>
                </c:pt>
                <c:pt idx="861">
                  <c:v>30355.078121878127</c:v>
                </c:pt>
                <c:pt idx="862">
                  <c:v>29235.078121878127</c:v>
                </c:pt>
                <c:pt idx="863">
                  <c:v>29235.078121878127</c:v>
                </c:pt>
                <c:pt idx="864">
                  <c:v>30355.078121878127</c:v>
                </c:pt>
                <c:pt idx="865">
                  <c:v>30355.078121878127</c:v>
                </c:pt>
                <c:pt idx="866">
                  <c:v>30355.078121878127</c:v>
                </c:pt>
                <c:pt idx="867">
                  <c:v>29235.078121878127</c:v>
                </c:pt>
                <c:pt idx="868">
                  <c:v>29235.078121878127</c:v>
                </c:pt>
                <c:pt idx="869">
                  <c:v>29235.078121878127</c:v>
                </c:pt>
                <c:pt idx="870">
                  <c:v>29235.078121878127</c:v>
                </c:pt>
                <c:pt idx="871">
                  <c:v>29235.078121878127</c:v>
                </c:pt>
                <c:pt idx="872">
                  <c:v>29235.078121878127</c:v>
                </c:pt>
                <c:pt idx="873">
                  <c:v>29235.078121878127</c:v>
                </c:pt>
                <c:pt idx="874">
                  <c:v>29235.078121878127</c:v>
                </c:pt>
                <c:pt idx="875">
                  <c:v>29235.078121878127</c:v>
                </c:pt>
                <c:pt idx="876">
                  <c:v>29235.078121878127</c:v>
                </c:pt>
                <c:pt idx="877">
                  <c:v>29235.078121878127</c:v>
                </c:pt>
                <c:pt idx="878">
                  <c:v>29235.078121878127</c:v>
                </c:pt>
                <c:pt idx="879">
                  <c:v>29235.078121878127</c:v>
                </c:pt>
                <c:pt idx="880">
                  <c:v>29235.078121878127</c:v>
                </c:pt>
                <c:pt idx="881">
                  <c:v>29235.078121878127</c:v>
                </c:pt>
                <c:pt idx="882">
                  <c:v>29235.078121878127</c:v>
                </c:pt>
                <c:pt idx="883">
                  <c:v>29235.078121878127</c:v>
                </c:pt>
                <c:pt idx="884">
                  <c:v>29235.078121878127</c:v>
                </c:pt>
                <c:pt idx="885">
                  <c:v>29235.078121878127</c:v>
                </c:pt>
                <c:pt idx="886">
                  <c:v>29235.078121878127</c:v>
                </c:pt>
                <c:pt idx="887">
                  <c:v>29235.078121878127</c:v>
                </c:pt>
                <c:pt idx="888">
                  <c:v>-0.33068292040481395</c:v>
                </c:pt>
                <c:pt idx="889">
                  <c:v>29235.078121878127</c:v>
                </c:pt>
                <c:pt idx="890">
                  <c:v>29235.078121878127</c:v>
                </c:pt>
                <c:pt idx="891">
                  <c:v>29235.078121878127</c:v>
                </c:pt>
                <c:pt idx="892">
                  <c:v>29235.078121878127</c:v>
                </c:pt>
                <c:pt idx="893">
                  <c:v>29235.078121878127</c:v>
                </c:pt>
                <c:pt idx="894">
                  <c:v>29235.078121878127</c:v>
                </c:pt>
                <c:pt idx="895">
                  <c:v>29235.078121878127</c:v>
                </c:pt>
                <c:pt idx="896">
                  <c:v>29235.078121878127</c:v>
                </c:pt>
                <c:pt idx="897">
                  <c:v>29235.078121878127</c:v>
                </c:pt>
                <c:pt idx="898">
                  <c:v>29235.078121878127</c:v>
                </c:pt>
                <c:pt idx="899">
                  <c:v>29235.078121878127</c:v>
                </c:pt>
                <c:pt idx="900">
                  <c:v>29235.078121878127</c:v>
                </c:pt>
                <c:pt idx="901">
                  <c:v>29235.078121878127</c:v>
                </c:pt>
                <c:pt idx="902">
                  <c:v>29347.078121878127</c:v>
                </c:pt>
                <c:pt idx="903">
                  <c:v>29235.078121878127</c:v>
                </c:pt>
                <c:pt idx="904">
                  <c:v>29235.078121878127</c:v>
                </c:pt>
                <c:pt idx="905">
                  <c:v>29235.078121878127</c:v>
                </c:pt>
                <c:pt idx="906">
                  <c:v>29235.078121878127</c:v>
                </c:pt>
                <c:pt idx="907">
                  <c:v>29235.078121878127</c:v>
                </c:pt>
                <c:pt idx="908">
                  <c:v>29235.078121878127</c:v>
                </c:pt>
                <c:pt idx="909">
                  <c:v>29235.078121878127</c:v>
                </c:pt>
                <c:pt idx="910">
                  <c:v>29235.078121878127</c:v>
                </c:pt>
                <c:pt idx="911">
                  <c:v>29235.078121878127</c:v>
                </c:pt>
                <c:pt idx="912">
                  <c:v>29347.078121878127</c:v>
                </c:pt>
                <c:pt idx="913">
                  <c:v>29235.078121878127</c:v>
                </c:pt>
                <c:pt idx="914">
                  <c:v>29235.078121878127</c:v>
                </c:pt>
                <c:pt idx="915">
                  <c:v>29235.078121878127</c:v>
                </c:pt>
                <c:pt idx="916">
                  <c:v>29235.078121878127</c:v>
                </c:pt>
                <c:pt idx="917">
                  <c:v>29235.078121878127</c:v>
                </c:pt>
                <c:pt idx="918">
                  <c:v>29235.078121878127</c:v>
                </c:pt>
                <c:pt idx="919">
                  <c:v>29235.078121878127</c:v>
                </c:pt>
                <c:pt idx="920">
                  <c:v>29347.078121878127</c:v>
                </c:pt>
                <c:pt idx="921">
                  <c:v>29347.078121878127</c:v>
                </c:pt>
                <c:pt idx="922">
                  <c:v>29347.078121878127</c:v>
                </c:pt>
                <c:pt idx="923">
                  <c:v>29347.078121878127</c:v>
                </c:pt>
                <c:pt idx="924">
                  <c:v>29347.078121878127</c:v>
                </c:pt>
                <c:pt idx="925">
                  <c:v>29347.078121878127</c:v>
                </c:pt>
                <c:pt idx="926">
                  <c:v>29347.078121878127</c:v>
                </c:pt>
                <c:pt idx="927">
                  <c:v>29347.078121878127</c:v>
                </c:pt>
                <c:pt idx="928">
                  <c:v>29347.078121878127</c:v>
                </c:pt>
                <c:pt idx="929">
                  <c:v>29347.078121878127</c:v>
                </c:pt>
                <c:pt idx="930">
                  <c:v>28758.758121878131</c:v>
                </c:pt>
                <c:pt idx="931">
                  <c:v>29347.078121878127</c:v>
                </c:pt>
                <c:pt idx="932">
                  <c:v>29347.078121878127</c:v>
                </c:pt>
                <c:pt idx="933">
                  <c:v>29347.078121878127</c:v>
                </c:pt>
                <c:pt idx="934">
                  <c:v>29347.078121878127</c:v>
                </c:pt>
                <c:pt idx="935">
                  <c:v>29347.078121878127</c:v>
                </c:pt>
                <c:pt idx="936">
                  <c:v>29347.078121878127</c:v>
                </c:pt>
                <c:pt idx="937">
                  <c:v>29347.078121878127</c:v>
                </c:pt>
                <c:pt idx="938">
                  <c:v>29347.078121878127</c:v>
                </c:pt>
                <c:pt idx="939">
                  <c:v>28758.758121878131</c:v>
                </c:pt>
                <c:pt idx="940">
                  <c:v>29347.078121878127</c:v>
                </c:pt>
                <c:pt idx="941">
                  <c:v>29347.078121878127</c:v>
                </c:pt>
                <c:pt idx="942">
                  <c:v>29347.078121878127</c:v>
                </c:pt>
                <c:pt idx="943">
                  <c:v>28737.158121878128</c:v>
                </c:pt>
                <c:pt idx="944">
                  <c:v>28468.358121878129</c:v>
                </c:pt>
                <c:pt idx="945">
                  <c:v>28468.358121878129</c:v>
                </c:pt>
                <c:pt idx="946">
                  <c:v>29380.358121878129</c:v>
                </c:pt>
                <c:pt idx="947">
                  <c:v>29584.358121878129</c:v>
                </c:pt>
                <c:pt idx="948">
                  <c:v>29524.358121878129</c:v>
                </c:pt>
                <c:pt idx="949">
                  <c:v>29524.358121878129</c:v>
                </c:pt>
                <c:pt idx="950">
                  <c:v>29524.358121878129</c:v>
                </c:pt>
                <c:pt idx="951">
                  <c:v>29524.358121878129</c:v>
                </c:pt>
                <c:pt idx="952">
                  <c:v>29524.358121878129</c:v>
                </c:pt>
                <c:pt idx="953">
                  <c:v>29524.358121878129</c:v>
                </c:pt>
                <c:pt idx="954">
                  <c:v>29524.358121878129</c:v>
                </c:pt>
                <c:pt idx="955">
                  <c:v>29524.358121878129</c:v>
                </c:pt>
                <c:pt idx="956">
                  <c:v>29524.358121878129</c:v>
                </c:pt>
                <c:pt idx="957">
                  <c:v>29584.358121878129</c:v>
                </c:pt>
                <c:pt idx="958">
                  <c:v>29524.358121878129</c:v>
                </c:pt>
                <c:pt idx="959">
                  <c:v>29524.358121878129</c:v>
                </c:pt>
                <c:pt idx="960">
                  <c:v>29524.358121878129</c:v>
                </c:pt>
                <c:pt idx="961">
                  <c:v>29524.358121878129</c:v>
                </c:pt>
                <c:pt idx="962">
                  <c:v>29524.358121878129</c:v>
                </c:pt>
                <c:pt idx="963">
                  <c:v>29524.358121878129</c:v>
                </c:pt>
                <c:pt idx="964">
                  <c:v>29524.358121878129</c:v>
                </c:pt>
                <c:pt idx="965">
                  <c:v>29524.358121878129</c:v>
                </c:pt>
                <c:pt idx="966">
                  <c:v>29584.358121878129</c:v>
                </c:pt>
                <c:pt idx="967">
                  <c:v>28758.758121878131</c:v>
                </c:pt>
                <c:pt idx="968">
                  <c:v>29584.358121878129</c:v>
                </c:pt>
                <c:pt idx="969">
                  <c:v>29584.358121878129</c:v>
                </c:pt>
                <c:pt idx="970">
                  <c:v>29584.358121878129</c:v>
                </c:pt>
                <c:pt idx="971">
                  <c:v>29584.358121878129</c:v>
                </c:pt>
                <c:pt idx="972">
                  <c:v>29584.358121878129</c:v>
                </c:pt>
                <c:pt idx="973">
                  <c:v>29584.358121878129</c:v>
                </c:pt>
                <c:pt idx="974">
                  <c:v>29584.358121878129</c:v>
                </c:pt>
                <c:pt idx="975">
                  <c:v>28758.758121878131</c:v>
                </c:pt>
                <c:pt idx="976">
                  <c:v>28758.758121878131</c:v>
                </c:pt>
                <c:pt idx="977">
                  <c:v>28758.758121878131</c:v>
                </c:pt>
                <c:pt idx="978">
                  <c:v>28758.758121878131</c:v>
                </c:pt>
                <c:pt idx="979">
                  <c:v>28758.758121878131</c:v>
                </c:pt>
                <c:pt idx="980">
                  <c:v>28758.758121878131</c:v>
                </c:pt>
                <c:pt idx="981">
                  <c:v>28758.758121878131</c:v>
                </c:pt>
                <c:pt idx="982">
                  <c:v>28758.758121878131</c:v>
                </c:pt>
                <c:pt idx="983">
                  <c:v>28758.758121878131</c:v>
                </c:pt>
                <c:pt idx="984">
                  <c:v>28758.758121878131</c:v>
                </c:pt>
                <c:pt idx="985">
                  <c:v>28758.758121878131</c:v>
                </c:pt>
                <c:pt idx="986">
                  <c:v>28758.758121878131</c:v>
                </c:pt>
                <c:pt idx="987">
                  <c:v>28758.758121878131</c:v>
                </c:pt>
                <c:pt idx="988">
                  <c:v>28758.758121878131</c:v>
                </c:pt>
                <c:pt idx="989">
                  <c:v>-0.33068292040481395</c:v>
                </c:pt>
                <c:pt idx="990">
                  <c:v>27318.758121878131</c:v>
                </c:pt>
                <c:pt idx="991">
                  <c:v>27318.758121878131</c:v>
                </c:pt>
                <c:pt idx="992">
                  <c:v>27318.758121878131</c:v>
                </c:pt>
                <c:pt idx="993">
                  <c:v>27318.758121878131</c:v>
                </c:pt>
                <c:pt idx="994">
                  <c:v>27318.758121878131</c:v>
                </c:pt>
                <c:pt idx="995">
                  <c:v>27318.758121878131</c:v>
                </c:pt>
                <c:pt idx="996">
                  <c:v>27318.758121878131</c:v>
                </c:pt>
                <c:pt idx="997">
                  <c:v>27318.758121878131</c:v>
                </c:pt>
                <c:pt idx="998">
                  <c:v>27318.758121878131</c:v>
                </c:pt>
                <c:pt idx="999">
                  <c:v>27318.758121878131</c:v>
                </c:pt>
                <c:pt idx="1000">
                  <c:v>27318.758121878131</c:v>
                </c:pt>
                <c:pt idx="1001">
                  <c:v>27302.758121878131</c:v>
                </c:pt>
                <c:pt idx="1002">
                  <c:v>27302.758121878131</c:v>
                </c:pt>
                <c:pt idx="1003">
                  <c:v>27302.758121878131</c:v>
                </c:pt>
                <c:pt idx="1004">
                  <c:v>27110.758121878131</c:v>
                </c:pt>
                <c:pt idx="1005">
                  <c:v>27110.758121878131</c:v>
                </c:pt>
                <c:pt idx="1006">
                  <c:v>27110.758121878131</c:v>
                </c:pt>
                <c:pt idx="1007">
                  <c:v>27110.758121878131</c:v>
                </c:pt>
                <c:pt idx="1008">
                  <c:v>27110.758121878131</c:v>
                </c:pt>
                <c:pt idx="1009">
                  <c:v>27110.758121878131</c:v>
                </c:pt>
                <c:pt idx="1010">
                  <c:v>27110.758121878131</c:v>
                </c:pt>
                <c:pt idx="1011">
                  <c:v>27110.758121878131</c:v>
                </c:pt>
                <c:pt idx="1012">
                  <c:v>27110.758121878131</c:v>
                </c:pt>
                <c:pt idx="1013">
                  <c:v>27110.758121878131</c:v>
                </c:pt>
                <c:pt idx="1014">
                  <c:v>27110.758121878131</c:v>
                </c:pt>
                <c:pt idx="1015">
                  <c:v>27110.758121878131</c:v>
                </c:pt>
                <c:pt idx="1016">
                  <c:v>27110.758121878131</c:v>
                </c:pt>
                <c:pt idx="1017">
                  <c:v>27110.758121878131</c:v>
                </c:pt>
                <c:pt idx="1018">
                  <c:v>27110.758121878131</c:v>
                </c:pt>
                <c:pt idx="1019">
                  <c:v>27110.758121878131</c:v>
                </c:pt>
                <c:pt idx="1020">
                  <c:v>27110.758121878131</c:v>
                </c:pt>
                <c:pt idx="1021">
                  <c:v>27110.758121878131</c:v>
                </c:pt>
                <c:pt idx="1022">
                  <c:v>27110.758121878131</c:v>
                </c:pt>
                <c:pt idx="1023">
                  <c:v>27110.758121878131</c:v>
                </c:pt>
                <c:pt idx="1024">
                  <c:v>27110.758121878131</c:v>
                </c:pt>
                <c:pt idx="1025">
                  <c:v>27110.758121878131</c:v>
                </c:pt>
                <c:pt idx="1027">
                  <c:v>-143.99999999999949</c:v>
                </c:pt>
                <c:pt idx="1028">
                  <c:v>-143.99999999999949</c:v>
                </c:pt>
                <c:pt idx="1029">
                  <c:v>-143.99999999999949</c:v>
                </c:pt>
                <c:pt idx="1030">
                  <c:v>-143.99999999999949</c:v>
                </c:pt>
                <c:pt idx="1031">
                  <c:v>-143.99999999999949</c:v>
                </c:pt>
                <c:pt idx="1032">
                  <c:v>-143.99999999999949</c:v>
                </c:pt>
                <c:pt idx="1033">
                  <c:v>-143.99999999999949</c:v>
                </c:pt>
                <c:pt idx="1034">
                  <c:v>-143.99999999999949</c:v>
                </c:pt>
                <c:pt idx="1035">
                  <c:v>-143.99999999999949</c:v>
                </c:pt>
                <c:pt idx="1036">
                  <c:v>-143.99999999999949</c:v>
                </c:pt>
                <c:pt idx="1037">
                  <c:v>-143.99999999999949</c:v>
                </c:pt>
                <c:pt idx="1038">
                  <c:v>-143.99999999999949</c:v>
                </c:pt>
                <c:pt idx="1039">
                  <c:v>-143.99999999999949</c:v>
                </c:pt>
                <c:pt idx="1040">
                  <c:v>-143.99999999999949</c:v>
                </c:pt>
                <c:pt idx="1041">
                  <c:v>-143.99999999999949</c:v>
                </c:pt>
                <c:pt idx="1042">
                  <c:v>-143.99999999999949</c:v>
                </c:pt>
                <c:pt idx="1043">
                  <c:v>-143.99999999999949</c:v>
                </c:pt>
                <c:pt idx="1044">
                  <c:v>-143.99999999999949</c:v>
                </c:pt>
                <c:pt idx="1045">
                  <c:v>-143.99999999999949</c:v>
                </c:pt>
                <c:pt idx="1046">
                  <c:v>-143.99999999999949</c:v>
                </c:pt>
                <c:pt idx="1047">
                  <c:v>-143.99999999999949</c:v>
                </c:pt>
                <c:pt idx="1048">
                  <c:v>-143.99999999999949</c:v>
                </c:pt>
                <c:pt idx="1049">
                  <c:v>-143.99999999999949</c:v>
                </c:pt>
                <c:pt idx="1050">
                  <c:v>-143.99999999999949</c:v>
                </c:pt>
                <c:pt idx="1051">
                  <c:v>-143.99999999999949</c:v>
                </c:pt>
                <c:pt idx="1052">
                  <c:v>-143.99999999999949</c:v>
                </c:pt>
                <c:pt idx="1053">
                  <c:v>-143.99999999999949</c:v>
                </c:pt>
                <c:pt idx="1054">
                  <c:v>-143.99999999999949</c:v>
                </c:pt>
                <c:pt idx="1055">
                  <c:v>-143.99999999999949</c:v>
                </c:pt>
                <c:pt idx="1056">
                  <c:v>-143.99999999999949</c:v>
                </c:pt>
                <c:pt idx="1057">
                  <c:v>-143.99999999999949</c:v>
                </c:pt>
                <c:pt idx="1058">
                  <c:v>-143.99999999999949</c:v>
                </c:pt>
                <c:pt idx="1059">
                  <c:v>-143.99999999999949</c:v>
                </c:pt>
                <c:pt idx="1060">
                  <c:v>-143.99999999999949</c:v>
                </c:pt>
                <c:pt idx="1061">
                  <c:v>-143.99999999999949</c:v>
                </c:pt>
                <c:pt idx="1062">
                  <c:v>-143.99999999999949</c:v>
                </c:pt>
                <c:pt idx="1063">
                  <c:v>-143.99999999999949</c:v>
                </c:pt>
                <c:pt idx="1064">
                  <c:v>-143.99999999999949</c:v>
                </c:pt>
                <c:pt idx="1065">
                  <c:v>-143.99999999999949</c:v>
                </c:pt>
                <c:pt idx="1066">
                  <c:v>-143.99999999999949</c:v>
                </c:pt>
                <c:pt idx="1067">
                  <c:v>-143.99999999999949</c:v>
                </c:pt>
                <c:pt idx="1068">
                  <c:v>-143.99999999999949</c:v>
                </c:pt>
                <c:pt idx="1069">
                  <c:v>-143.99999999999949</c:v>
                </c:pt>
                <c:pt idx="1070">
                  <c:v>-143.99999999999949</c:v>
                </c:pt>
                <c:pt idx="1071">
                  <c:v>-143.99999999999949</c:v>
                </c:pt>
                <c:pt idx="1072">
                  <c:v>-143.99999999999949</c:v>
                </c:pt>
                <c:pt idx="1073">
                  <c:v>-143.99999999999949</c:v>
                </c:pt>
                <c:pt idx="1074">
                  <c:v>-143.99999999999949</c:v>
                </c:pt>
                <c:pt idx="1075">
                  <c:v>-143.99999999999949</c:v>
                </c:pt>
                <c:pt idx="1076">
                  <c:v>-143.99999999999949</c:v>
                </c:pt>
                <c:pt idx="1077">
                  <c:v>-143.99999999999949</c:v>
                </c:pt>
                <c:pt idx="1078">
                  <c:v>-143.99999999999949</c:v>
                </c:pt>
                <c:pt idx="1079">
                  <c:v>-143.99999999999949</c:v>
                </c:pt>
                <c:pt idx="1080">
                  <c:v>-143.99999999999949</c:v>
                </c:pt>
                <c:pt idx="1081">
                  <c:v>-143.99999999999949</c:v>
                </c:pt>
                <c:pt idx="1082">
                  <c:v>-143.99999999999949</c:v>
                </c:pt>
                <c:pt idx="1083">
                  <c:v>-143.99999999999949</c:v>
                </c:pt>
                <c:pt idx="1084">
                  <c:v>-143.99999999999949</c:v>
                </c:pt>
                <c:pt idx="1085">
                  <c:v>-143.99999999999949</c:v>
                </c:pt>
                <c:pt idx="1086">
                  <c:v>-143.99999999999949</c:v>
                </c:pt>
                <c:pt idx="1087">
                  <c:v>-143.99999999999949</c:v>
                </c:pt>
                <c:pt idx="1088">
                  <c:v>-143.99999999999949</c:v>
                </c:pt>
                <c:pt idx="1089">
                  <c:v>-143.99999999999949</c:v>
                </c:pt>
                <c:pt idx="1090">
                  <c:v>-143.99999999999949</c:v>
                </c:pt>
                <c:pt idx="1091">
                  <c:v>-143.99999999999949</c:v>
                </c:pt>
                <c:pt idx="1092">
                  <c:v>-143.99999999999949</c:v>
                </c:pt>
                <c:pt idx="1093">
                  <c:v>-143.99999999999949</c:v>
                </c:pt>
                <c:pt idx="1094">
                  <c:v>-143.99999999999949</c:v>
                </c:pt>
                <c:pt idx="1095">
                  <c:v>-143.99999999999949</c:v>
                </c:pt>
                <c:pt idx="1096">
                  <c:v>-143.99999999999949</c:v>
                </c:pt>
                <c:pt idx="1097">
                  <c:v>-143.99999999999949</c:v>
                </c:pt>
                <c:pt idx="1098">
                  <c:v>-143.99999999999949</c:v>
                </c:pt>
                <c:pt idx="1099">
                  <c:v>-143.99999999999949</c:v>
                </c:pt>
                <c:pt idx="1100">
                  <c:v>-143.99999999999949</c:v>
                </c:pt>
                <c:pt idx="1101">
                  <c:v>-143.99999999999949</c:v>
                </c:pt>
                <c:pt idx="1102">
                  <c:v>-143.99999999999949</c:v>
                </c:pt>
                <c:pt idx="1103">
                  <c:v>-143.99999999999949</c:v>
                </c:pt>
                <c:pt idx="1104">
                  <c:v>-143.99999999999949</c:v>
                </c:pt>
                <c:pt idx="1105">
                  <c:v>-143.99999999999949</c:v>
                </c:pt>
                <c:pt idx="1106">
                  <c:v>-143.99999999999949</c:v>
                </c:pt>
                <c:pt idx="1107">
                  <c:v>-143.99999999999949</c:v>
                </c:pt>
                <c:pt idx="1108">
                  <c:v>-143.99999999999949</c:v>
                </c:pt>
                <c:pt idx="1109">
                  <c:v>-143.99999999999949</c:v>
                </c:pt>
                <c:pt idx="1110">
                  <c:v>-143.99999999999949</c:v>
                </c:pt>
                <c:pt idx="1111">
                  <c:v>-143.99999999999949</c:v>
                </c:pt>
                <c:pt idx="1112">
                  <c:v>-143.99999999999949</c:v>
                </c:pt>
                <c:pt idx="1113">
                  <c:v>-143.99999999999949</c:v>
                </c:pt>
                <c:pt idx="1114">
                  <c:v>-143.99999999999949</c:v>
                </c:pt>
                <c:pt idx="1115">
                  <c:v>-143.99999999999949</c:v>
                </c:pt>
                <c:pt idx="1116">
                  <c:v>-143.99999999999949</c:v>
                </c:pt>
                <c:pt idx="1117">
                  <c:v>-143.99999999999949</c:v>
                </c:pt>
                <c:pt idx="1118">
                  <c:v>-143.99999999999949</c:v>
                </c:pt>
                <c:pt idx="1119">
                  <c:v>-143.99999999999949</c:v>
                </c:pt>
                <c:pt idx="1120">
                  <c:v>-143.99999999999949</c:v>
                </c:pt>
                <c:pt idx="1121">
                  <c:v>-143.99999999999949</c:v>
                </c:pt>
                <c:pt idx="1122">
                  <c:v>-143.99999999999949</c:v>
                </c:pt>
                <c:pt idx="1123">
                  <c:v>-143.99999999999949</c:v>
                </c:pt>
                <c:pt idx="1124">
                  <c:v>-143.99999999999949</c:v>
                </c:pt>
                <c:pt idx="1125">
                  <c:v>-143.99999999999949</c:v>
                </c:pt>
                <c:pt idx="1126">
                  <c:v>-143.99999999999949</c:v>
                </c:pt>
                <c:pt idx="1127">
                  <c:v>-143.99999999999949</c:v>
                </c:pt>
                <c:pt idx="1128">
                  <c:v>-143.99999999999949</c:v>
                </c:pt>
                <c:pt idx="1129">
                  <c:v>-143.99999999999949</c:v>
                </c:pt>
                <c:pt idx="1130">
                  <c:v>-143.99999999999949</c:v>
                </c:pt>
                <c:pt idx="1131">
                  <c:v>-143.99999999999949</c:v>
                </c:pt>
                <c:pt idx="1132">
                  <c:v>-143.99999999999949</c:v>
                </c:pt>
                <c:pt idx="1133">
                  <c:v>-143.99999999999949</c:v>
                </c:pt>
                <c:pt idx="1134">
                  <c:v>-143.99999999999949</c:v>
                </c:pt>
                <c:pt idx="1135">
                  <c:v>-143.99999999999949</c:v>
                </c:pt>
                <c:pt idx="1136">
                  <c:v>-143.99999999999949</c:v>
                </c:pt>
                <c:pt idx="1137">
                  <c:v>-143.99999999999949</c:v>
                </c:pt>
                <c:pt idx="1138">
                  <c:v>-143.99999999999949</c:v>
                </c:pt>
                <c:pt idx="1139">
                  <c:v>-143.99999999999949</c:v>
                </c:pt>
                <c:pt idx="1140">
                  <c:v>-143.99999999999949</c:v>
                </c:pt>
                <c:pt idx="1141">
                  <c:v>-143.99999999999949</c:v>
                </c:pt>
                <c:pt idx="1142">
                  <c:v>-143.99999999999949</c:v>
                </c:pt>
                <c:pt idx="1143">
                  <c:v>-143.99999999999949</c:v>
                </c:pt>
                <c:pt idx="1144">
                  <c:v>-143.99999999999949</c:v>
                </c:pt>
                <c:pt idx="1145">
                  <c:v>-143.99999999999949</c:v>
                </c:pt>
                <c:pt idx="1146">
                  <c:v>-143.99999999999949</c:v>
                </c:pt>
                <c:pt idx="1147">
                  <c:v>-143.99999999999949</c:v>
                </c:pt>
                <c:pt idx="1148">
                  <c:v>-143.99999999999949</c:v>
                </c:pt>
                <c:pt idx="1149">
                  <c:v>-143.99999999999949</c:v>
                </c:pt>
                <c:pt idx="1150">
                  <c:v>-143.99999999999949</c:v>
                </c:pt>
                <c:pt idx="1151">
                  <c:v>-143.99999999999949</c:v>
                </c:pt>
                <c:pt idx="1152">
                  <c:v>-143.99999999999949</c:v>
                </c:pt>
                <c:pt idx="1153">
                  <c:v>-143.99999999999949</c:v>
                </c:pt>
                <c:pt idx="1154">
                  <c:v>-143.99999999999949</c:v>
                </c:pt>
                <c:pt idx="1155">
                  <c:v>-143.99999999999949</c:v>
                </c:pt>
                <c:pt idx="1156">
                  <c:v>-143.99999999999949</c:v>
                </c:pt>
                <c:pt idx="1157">
                  <c:v>-143.99999999999949</c:v>
                </c:pt>
                <c:pt idx="1158">
                  <c:v>-143.99999999999949</c:v>
                </c:pt>
                <c:pt idx="1159">
                  <c:v>-143.99999999999949</c:v>
                </c:pt>
                <c:pt idx="1160">
                  <c:v>-143.99999999999949</c:v>
                </c:pt>
                <c:pt idx="1161">
                  <c:v>-143.99999999999949</c:v>
                </c:pt>
                <c:pt idx="1162">
                  <c:v>-143.99999999999949</c:v>
                </c:pt>
                <c:pt idx="1163">
                  <c:v>-143.99999999999949</c:v>
                </c:pt>
                <c:pt idx="1164">
                  <c:v>-143.99999999999949</c:v>
                </c:pt>
                <c:pt idx="1165">
                  <c:v>-143.99999999999949</c:v>
                </c:pt>
                <c:pt idx="1166">
                  <c:v>-143.99999999999949</c:v>
                </c:pt>
                <c:pt idx="1167">
                  <c:v>-143.99999999999949</c:v>
                </c:pt>
                <c:pt idx="1168">
                  <c:v>-143.99999999999949</c:v>
                </c:pt>
                <c:pt idx="1169">
                  <c:v>-143.99999999999949</c:v>
                </c:pt>
                <c:pt idx="1170">
                  <c:v>-143.99999999999949</c:v>
                </c:pt>
                <c:pt idx="1171">
                  <c:v>-143.99999999999949</c:v>
                </c:pt>
                <c:pt idx="1172">
                  <c:v>-143.99999999999949</c:v>
                </c:pt>
                <c:pt idx="1173">
                  <c:v>-143.99999999999949</c:v>
                </c:pt>
                <c:pt idx="1174">
                  <c:v>-143.99999999999949</c:v>
                </c:pt>
                <c:pt idx="1175">
                  <c:v>-143.99999999999949</c:v>
                </c:pt>
                <c:pt idx="1176">
                  <c:v>-143.99999999999949</c:v>
                </c:pt>
                <c:pt idx="1177">
                  <c:v>-143.99999999999949</c:v>
                </c:pt>
                <c:pt idx="1178">
                  <c:v>-143.99999999999949</c:v>
                </c:pt>
                <c:pt idx="1179">
                  <c:v>-143.99999999999949</c:v>
                </c:pt>
                <c:pt idx="1180">
                  <c:v>-143.99999999999949</c:v>
                </c:pt>
                <c:pt idx="1181">
                  <c:v>-143.99999999999949</c:v>
                </c:pt>
                <c:pt idx="1182">
                  <c:v>-143.99999999999949</c:v>
                </c:pt>
                <c:pt idx="1183">
                  <c:v>-143.99999999999949</c:v>
                </c:pt>
                <c:pt idx="1184">
                  <c:v>-143.99999999999949</c:v>
                </c:pt>
                <c:pt idx="1185">
                  <c:v>-143.99999999999949</c:v>
                </c:pt>
                <c:pt idx="1186">
                  <c:v>-143.99999999999949</c:v>
                </c:pt>
                <c:pt idx="1187">
                  <c:v>-143.99999999999949</c:v>
                </c:pt>
                <c:pt idx="1188">
                  <c:v>-143.99999999999949</c:v>
                </c:pt>
                <c:pt idx="1189">
                  <c:v>-143.99999999999949</c:v>
                </c:pt>
                <c:pt idx="1190">
                  <c:v>-143.99999999999949</c:v>
                </c:pt>
                <c:pt idx="1191">
                  <c:v>-143.99999999999949</c:v>
                </c:pt>
                <c:pt idx="1192">
                  <c:v>-143.99999999999949</c:v>
                </c:pt>
                <c:pt idx="1193">
                  <c:v>-143.99999999999949</c:v>
                </c:pt>
                <c:pt idx="1194">
                  <c:v>-143.99999999999949</c:v>
                </c:pt>
                <c:pt idx="1195">
                  <c:v>-143.99999999999949</c:v>
                </c:pt>
                <c:pt idx="1196">
                  <c:v>-143.99999999999949</c:v>
                </c:pt>
                <c:pt idx="1197">
                  <c:v>-143.99999999999949</c:v>
                </c:pt>
                <c:pt idx="1198">
                  <c:v>-143.99999999999949</c:v>
                </c:pt>
                <c:pt idx="1199">
                  <c:v>-143.99999999999949</c:v>
                </c:pt>
                <c:pt idx="1200">
                  <c:v>-143.99999999999949</c:v>
                </c:pt>
                <c:pt idx="1201">
                  <c:v>-143.99999999999949</c:v>
                </c:pt>
                <c:pt idx="1202">
                  <c:v>-143.99999999999949</c:v>
                </c:pt>
                <c:pt idx="1203">
                  <c:v>-143.99999999999949</c:v>
                </c:pt>
                <c:pt idx="1204">
                  <c:v>-143.99999999999949</c:v>
                </c:pt>
                <c:pt idx="1205">
                  <c:v>-143.99999999999949</c:v>
                </c:pt>
                <c:pt idx="1206">
                  <c:v>-143.99999999999949</c:v>
                </c:pt>
                <c:pt idx="1207">
                  <c:v>-143.99999999999949</c:v>
                </c:pt>
                <c:pt idx="1208">
                  <c:v>-143.99999999999949</c:v>
                </c:pt>
                <c:pt idx="1209">
                  <c:v>-143.99999999999949</c:v>
                </c:pt>
                <c:pt idx="1210">
                  <c:v>-143.99999999999949</c:v>
                </c:pt>
                <c:pt idx="1211">
                  <c:v>-143.99999999999949</c:v>
                </c:pt>
                <c:pt idx="1212">
                  <c:v>-143.99999999999949</c:v>
                </c:pt>
                <c:pt idx="1213">
                  <c:v>-143.99999999999949</c:v>
                </c:pt>
                <c:pt idx="1214">
                  <c:v>-143.99999999999949</c:v>
                </c:pt>
                <c:pt idx="1215">
                  <c:v>-143.99999999999949</c:v>
                </c:pt>
                <c:pt idx="1216">
                  <c:v>-143.99999999999949</c:v>
                </c:pt>
                <c:pt idx="1217">
                  <c:v>-143.99999999999949</c:v>
                </c:pt>
                <c:pt idx="1218">
                  <c:v>-143.99999999999949</c:v>
                </c:pt>
                <c:pt idx="1219">
                  <c:v>-143.99999999999949</c:v>
                </c:pt>
                <c:pt idx="1220">
                  <c:v>-143.99999999999949</c:v>
                </c:pt>
                <c:pt idx="1221">
                  <c:v>-143.99999999999949</c:v>
                </c:pt>
                <c:pt idx="1222">
                  <c:v>-143.99999999999949</c:v>
                </c:pt>
                <c:pt idx="1223">
                  <c:v>-143.99999999999949</c:v>
                </c:pt>
                <c:pt idx="1224">
                  <c:v>-143.99999999999949</c:v>
                </c:pt>
                <c:pt idx="1225">
                  <c:v>-143.99999999999949</c:v>
                </c:pt>
                <c:pt idx="1226">
                  <c:v>-143.99999999999949</c:v>
                </c:pt>
                <c:pt idx="1227">
                  <c:v>-143.99999999999949</c:v>
                </c:pt>
                <c:pt idx="1228">
                  <c:v>-143.99999999999949</c:v>
                </c:pt>
                <c:pt idx="1229">
                  <c:v>-143.99999999999949</c:v>
                </c:pt>
                <c:pt idx="1230">
                  <c:v>-143.99999999999949</c:v>
                </c:pt>
                <c:pt idx="1231">
                  <c:v>-143.99999999999949</c:v>
                </c:pt>
                <c:pt idx="1232">
                  <c:v>-143.99999999999949</c:v>
                </c:pt>
                <c:pt idx="1233">
                  <c:v>-143.99999999999949</c:v>
                </c:pt>
                <c:pt idx="1234">
                  <c:v>-143.99999999999949</c:v>
                </c:pt>
                <c:pt idx="1235">
                  <c:v>-143.99999999999949</c:v>
                </c:pt>
                <c:pt idx="1236">
                  <c:v>-143.99999999999949</c:v>
                </c:pt>
                <c:pt idx="1237">
                  <c:v>-143.99999999999949</c:v>
                </c:pt>
              </c:numCache>
            </c:numRef>
          </c:val>
          <c:smooth val="0"/>
          <c:extLst>
            <c:ext xmlns:c16="http://schemas.microsoft.com/office/drawing/2014/chart" uri="{C3380CC4-5D6E-409C-BE32-E72D297353CC}">
              <c16:uniqueId val="{00000000-D058-4A8C-BF0A-B0CFE33924A6}"/>
            </c:ext>
          </c:extLst>
        </c:ser>
        <c:ser>
          <c:idx val="1"/>
          <c:order val="1"/>
          <c:tx>
            <c:v>S</c:v>
          </c:tx>
          <c:spPr>
            <a:ln w="28575" cap="rnd">
              <a:solidFill>
                <a:srgbClr val="0070C0"/>
              </a:solidFill>
              <a:round/>
            </a:ln>
            <a:effectLst/>
          </c:spPr>
          <c:marker>
            <c:symbol val="none"/>
          </c:marker>
          <c:val>
            <c:numRef>
              <c:f>'Journal Live'!$BJ$1389:$BJ$2630</c:f>
              <c:numCache>
                <c:formatCode>General</c:formatCode>
                <c:ptCount val="1237"/>
                <c:pt idx="0">
                  <c:v>176.00000000000017</c:v>
                </c:pt>
                <c:pt idx="1">
                  <c:v>176.00000000000017</c:v>
                </c:pt>
                <c:pt idx="2">
                  <c:v>176.00000000000017</c:v>
                </c:pt>
                <c:pt idx="3">
                  <c:v>-159.99999999999983</c:v>
                </c:pt>
                <c:pt idx="4">
                  <c:v>-159.99999999999983</c:v>
                </c:pt>
                <c:pt idx="5">
                  <c:v>-255.99999999999986</c:v>
                </c:pt>
                <c:pt idx="6">
                  <c:v>-255.99999999999986</c:v>
                </c:pt>
                <c:pt idx="7">
                  <c:v>-255.99999999999986</c:v>
                </c:pt>
                <c:pt idx="8">
                  <c:v>16.000000000000028</c:v>
                </c:pt>
                <c:pt idx="9">
                  <c:v>16.000000000000028</c:v>
                </c:pt>
                <c:pt idx="10">
                  <c:v>16.000000000000028</c:v>
                </c:pt>
                <c:pt idx="11">
                  <c:v>208.0000000000002</c:v>
                </c:pt>
                <c:pt idx="12">
                  <c:v>208.0000000000002</c:v>
                </c:pt>
                <c:pt idx="13">
                  <c:v>208.0000000000002</c:v>
                </c:pt>
                <c:pt idx="14">
                  <c:v>784.00000000000023</c:v>
                </c:pt>
                <c:pt idx="15">
                  <c:v>624.00000000000068</c:v>
                </c:pt>
                <c:pt idx="16">
                  <c:v>624.00000000000068</c:v>
                </c:pt>
                <c:pt idx="17">
                  <c:v>624.00000000000068</c:v>
                </c:pt>
                <c:pt idx="18">
                  <c:v>624.00000000000068</c:v>
                </c:pt>
                <c:pt idx="19">
                  <c:v>624.00000000000068</c:v>
                </c:pt>
                <c:pt idx="20">
                  <c:v>624.00000000000068</c:v>
                </c:pt>
                <c:pt idx="21">
                  <c:v>624.00000000000068</c:v>
                </c:pt>
                <c:pt idx="22">
                  <c:v>624.00000000000068</c:v>
                </c:pt>
                <c:pt idx="23">
                  <c:v>624.00000000000068</c:v>
                </c:pt>
                <c:pt idx="24">
                  <c:v>752.00000000000068</c:v>
                </c:pt>
                <c:pt idx="25">
                  <c:v>1024.0000000000007</c:v>
                </c:pt>
                <c:pt idx="26">
                  <c:v>1360.0000000000005</c:v>
                </c:pt>
                <c:pt idx="27">
                  <c:v>1360.0000000000005</c:v>
                </c:pt>
                <c:pt idx="28">
                  <c:v>1360.0000000000005</c:v>
                </c:pt>
                <c:pt idx="29">
                  <c:v>1360.0000000000005</c:v>
                </c:pt>
                <c:pt idx="30">
                  <c:v>1360.0000000000005</c:v>
                </c:pt>
                <c:pt idx="31">
                  <c:v>1360.0000000000005</c:v>
                </c:pt>
                <c:pt idx="32">
                  <c:v>1360.0000000000005</c:v>
                </c:pt>
                <c:pt idx="33">
                  <c:v>1456</c:v>
                </c:pt>
                <c:pt idx="34">
                  <c:v>1456</c:v>
                </c:pt>
                <c:pt idx="35">
                  <c:v>1456</c:v>
                </c:pt>
                <c:pt idx="36">
                  <c:v>1840.0000000000005</c:v>
                </c:pt>
                <c:pt idx="37">
                  <c:v>1840.0000000000005</c:v>
                </c:pt>
                <c:pt idx="38">
                  <c:v>1840.0000000000005</c:v>
                </c:pt>
                <c:pt idx="39">
                  <c:v>400.00000000000068</c:v>
                </c:pt>
                <c:pt idx="40">
                  <c:v>400.00000000000068</c:v>
                </c:pt>
                <c:pt idx="41">
                  <c:v>496.00000000000063</c:v>
                </c:pt>
                <c:pt idx="42">
                  <c:v>496.00000000000063</c:v>
                </c:pt>
                <c:pt idx="43">
                  <c:v>496.00000000000063</c:v>
                </c:pt>
                <c:pt idx="44">
                  <c:v>496.00000000000063</c:v>
                </c:pt>
                <c:pt idx="45">
                  <c:v>496.00000000000063</c:v>
                </c:pt>
                <c:pt idx="46">
                  <c:v>496.00000000000063</c:v>
                </c:pt>
                <c:pt idx="47">
                  <c:v>496.00000000000063</c:v>
                </c:pt>
                <c:pt idx="48">
                  <c:v>496.00000000000063</c:v>
                </c:pt>
                <c:pt idx="49">
                  <c:v>496.00000000000063</c:v>
                </c:pt>
                <c:pt idx="50">
                  <c:v>496.00000000000063</c:v>
                </c:pt>
                <c:pt idx="51">
                  <c:v>848.00000000000091</c:v>
                </c:pt>
                <c:pt idx="52">
                  <c:v>848.00000000000091</c:v>
                </c:pt>
                <c:pt idx="53">
                  <c:v>848.00000000000091</c:v>
                </c:pt>
                <c:pt idx="54">
                  <c:v>848.00000000000091</c:v>
                </c:pt>
                <c:pt idx="55">
                  <c:v>848.00000000000091</c:v>
                </c:pt>
                <c:pt idx="56">
                  <c:v>848.00000000000091</c:v>
                </c:pt>
                <c:pt idx="57">
                  <c:v>848.00000000000091</c:v>
                </c:pt>
                <c:pt idx="58">
                  <c:v>848.00000000000091</c:v>
                </c:pt>
                <c:pt idx="59">
                  <c:v>848.00000000000091</c:v>
                </c:pt>
                <c:pt idx="60">
                  <c:v>1040.0000000000009</c:v>
                </c:pt>
                <c:pt idx="61">
                  <c:v>1296.0000000000009</c:v>
                </c:pt>
                <c:pt idx="62">
                  <c:v>1808.0000000000007</c:v>
                </c:pt>
                <c:pt idx="63">
                  <c:v>1808.0000000000007</c:v>
                </c:pt>
                <c:pt idx="64">
                  <c:v>4144.0000000000009</c:v>
                </c:pt>
                <c:pt idx="65">
                  <c:v>4144.0000000000009</c:v>
                </c:pt>
                <c:pt idx="66">
                  <c:v>1808.0000000000007</c:v>
                </c:pt>
                <c:pt idx="67">
                  <c:v>4144.0000000000009</c:v>
                </c:pt>
                <c:pt idx="68">
                  <c:v>1696.0000000000007</c:v>
                </c:pt>
                <c:pt idx="69">
                  <c:v>1696.0000000000007</c:v>
                </c:pt>
                <c:pt idx="70">
                  <c:v>1696.0000000000007</c:v>
                </c:pt>
                <c:pt idx="71">
                  <c:v>1696.0000000000007</c:v>
                </c:pt>
                <c:pt idx="72">
                  <c:v>1696.0000000000007</c:v>
                </c:pt>
                <c:pt idx="73">
                  <c:v>1696.0000000000007</c:v>
                </c:pt>
                <c:pt idx="74">
                  <c:v>1776.0000000000018</c:v>
                </c:pt>
                <c:pt idx="75">
                  <c:v>1696.0000000000007</c:v>
                </c:pt>
                <c:pt idx="76">
                  <c:v>1696.0000000000007</c:v>
                </c:pt>
                <c:pt idx="77">
                  <c:v>1776.0000000000018</c:v>
                </c:pt>
                <c:pt idx="78">
                  <c:v>1696.0000000000007</c:v>
                </c:pt>
                <c:pt idx="79">
                  <c:v>1696.0000000000007</c:v>
                </c:pt>
                <c:pt idx="80">
                  <c:v>1696.0000000000007</c:v>
                </c:pt>
                <c:pt idx="81">
                  <c:v>1696.0000000000007</c:v>
                </c:pt>
                <c:pt idx="82">
                  <c:v>1696.0000000000007</c:v>
                </c:pt>
                <c:pt idx="83">
                  <c:v>1776.0000000000018</c:v>
                </c:pt>
                <c:pt idx="84">
                  <c:v>1776.0000000000018</c:v>
                </c:pt>
                <c:pt idx="85">
                  <c:v>1776.0000000000018</c:v>
                </c:pt>
                <c:pt idx="86">
                  <c:v>1776.0000000000018</c:v>
                </c:pt>
                <c:pt idx="87">
                  <c:v>1776.0000000000018</c:v>
                </c:pt>
                <c:pt idx="88">
                  <c:v>1776.0000000000018</c:v>
                </c:pt>
                <c:pt idx="89">
                  <c:v>1776.0000000000018</c:v>
                </c:pt>
                <c:pt idx="90">
                  <c:v>1776.0000000000018</c:v>
                </c:pt>
                <c:pt idx="91">
                  <c:v>1776.0000000000018</c:v>
                </c:pt>
                <c:pt idx="92">
                  <c:v>1776.0000000000018</c:v>
                </c:pt>
                <c:pt idx="93">
                  <c:v>1776.0000000000018</c:v>
                </c:pt>
                <c:pt idx="94">
                  <c:v>4144.0000000000009</c:v>
                </c:pt>
                <c:pt idx="95">
                  <c:v>1776.0000000000018</c:v>
                </c:pt>
                <c:pt idx="96">
                  <c:v>1776.0000000000018</c:v>
                </c:pt>
                <c:pt idx="97">
                  <c:v>1776.0000000000018</c:v>
                </c:pt>
                <c:pt idx="98">
                  <c:v>1776.0000000000018</c:v>
                </c:pt>
                <c:pt idx="99">
                  <c:v>2128.0000000000014</c:v>
                </c:pt>
                <c:pt idx="100">
                  <c:v>2128.0000000000014</c:v>
                </c:pt>
                <c:pt idx="101">
                  <c:v>2128.0000000000014</c:v>
                </c:pt>
                <c:pt idx="102">
                  <c:v>2128.0000000000014</c:v>
                </c:pt>
                <c:pt idx="103">
                  <c:v>2128.0000000000014</c:v>
                </c:pt>
                <c:pt idx="104">
                  <c:v>2128.0000000000014</c:v>
                </c:pt>
                <c:pt idx="105">
                  <c:v>4144.0000000000009</c:v>
                </c:pt>
                <c:pt idx="106">
                  <c:v>2384.0000000000014</c:v>
                </c:pt>
                <c:pt idx="107">
                  <c:v>2704.0000000000014</c:v>
                </c:pt>
                <c:pt idx="108">
                  <c:v>3408.0000000000018</c:v>
                </c:pt>
                <c:pt idx="109">
                  <c:v>3920.0000000000009</c:v>
                </c:pt>
                <c:pt idx="110">
                  <c:v>3920.0000000000009</c:v>
                </c:pt>
                <c:pt idx="111">
                  <c:v>3920.0000000000009</c:v>
                </c:pt>
                <c:pt idx="112">
                  <c:v>3920.0000000000009</c:v>
                </c:pt>
                <c:pt idx="113">
                  <c:v>3920.0000000000009</c:v>
                </c:pt>
                <c:pt idx="114">
                  <c:v>3920.0000000000009</c:v>
                </c:pt>
                <c:pt idx="115">
                  <c:v>4144.0000000000009</c:v>
                </c:pt>
                <c:pt idx="116">
                  <c:v>4144.0000000000009</c:v>
                </c:pt>
                <c:pt idx="117">
                  <c:v>4144.0000000000009</c:v>
                </c:pt>
                <c:pt idx="118">
                  <c:v>4144.0000000000009</c:v>
                </c:pt>
                <c:pt idx="119">
                  <c:v>4144.0000000000009</c:v>
                </c:pt>
                <c:pt idx="120">
                  <c:v>4144.0000000000009</c:v>
                </c:pt>
                <c:pt idx="121">
                  <c:v>4144.0000000000009</c:v>
                </c:pt>
                <c:pt idx="122">
                  <c:v>4144.0000000000009</c:v>
                </c:pt>
                <c:pt idx="123">
                  <c:v>4144.0000000000009</c:v>
                </c:pt>
                <c:pt idx="124">
                  <c:v>4144.0000000000009</c:v>
                </c:pt>
                <c:pt idx="125">
                  <c:v>4144.0000000000009</c:v>
                </c:pt>
                <c:pt idx="126">
                  <c:v>4144.0000000000009</c:v>
                </c:pt>
                <c:pt idx="127">
                  <c:v>4144.0000000000009</c:v>
                </c:pt>
                <c:pt idx="128">
                  <c:v>4144.0000000000009</c:v>
                </c:pt>
                <c:pt idx="129">
                  <c:v>4144.0000000000009</c:v>
                </c:pt>
                <c:pt idx="130">
                  <c:v>15906.285714285719</c:v>
                </c:pt>
                <c:pt idx="131">
                  <c:v>4144.0000000000009</c:v>
                </c:pt>
                <c:pt idx="132">
                  <c:v>3279.9999999999918</c:v>
                </c:pt>
                <c:pt idx="133">
                  <c:v>3279.9999999999918</c:v>
                </c:pt>
                <c:pt idx="134">
                  <c:v>4144.0000000000009</c:v>
                </c:pt>
                <c:pt idx="135">
                  <c:v>4144.0000000000009</c:v>
                </c:pt>
                <c:pt idx="136">
                  <c:v>4144.0000000000009</c:v>
                </c:pt>
                <c:pt idx="137">
                  <c:v>3279.9999999999918</c:v>
                </c:pt>
                <c:pt idx="138">
                  <c:v>4144.0000000000009</c:v>
                </c:pt>
                <c:pt idx="139">
                  <c:v>4144.0000000000009</c:v>
                </c:pt>
                <c:pt idx="140">
                  <c:v>4432</c:v>
                </c:pt>
                <c:pt idx="141">
                  <c:v>4432</c:v>
                </c:pt>
                <c:pt idx="142">
                  <c:v>4432</c:v>
                </c:pt>
                <c:pt idx="143">
                  <c:v>4432</c:v>
                </c:pt>
                <c:pt idx="144">
                  <c:v>4944</c:v>
                </c:pt>
                <c:pt idx="145">
                  <c:v>5807.9999999999991</c:v>
                </c:pt>
                <c:pt idx="146">
                  <c:v>5807.9999999999991</c:v>
                </c:pt>
                <c:pt idx="147">
                  <c:v>5807.9999999999991</c:v>
                </c:pt>
                <c:pt idx="148">
                  <c:v>5807.9999999999991</c:v>
                </c:pt>
                <c:pt idx="149">
                  <c:v>5807.9999999999991</c:v>
                </c:pt>
                <c:pt idx="150">
                  <c:v>5807.9999999999991</c:v>
                </c:pt>
                <c:pt idx="151">
                  <c:v>3279.9999999999918</c:v>
                </c:pt>
                <c:pt idx="152">
                  <c:v>6431.9999999999991</c:v>
                </c:pt>
                <c:pt idx="153">
                  <c:v>6431.9999999999991</c:v>
                </c:pt>
                <c:pt idx="154">
                  <c:v>6431.9999999999991</c:v>
                </c:pt>
                <c:pt idx="155">
                  <c:v>3279.9999999999918</c:v>
                </c:pt>
                <c:pt idx="156">
                  <c:v>6431.9999999999991</c:v>
                </c:pt>
                <c:pt idx="157">
                  <c:v>6431.9999999999991</c:v>
                </c:pt>
                <c:pt idx="158">
                  <c:v>3279.9999999999918</c:v>
                </c:pt>
                <c:pt idx="159">
                  <c:v>7423.9999999999991</c:v>
                </c:pt>
                <c:pt idx="160">
                  <c:v>6431.9999999999991</c:v>
                </c:pt>
                <c:pt idx="161">
                  <c:v>3279.9999999999918</c:v>
                </c:pt>
                <c:pt idx="162">
                  <c:v>6431.9999999999991</c:v>
                </c:pt>
                <c:pt idx="163">
                  <c:v>6431.9999999999991</c:v>
                </c:pt>
                <c:pt idx="164">
                  <c:v>7103.9999999999991</c:v>
                </c:pt>
                <c:pt idx="165">
                  <c:v>7423.9999999999991</c:v>
                </c:pt>
                <c:pt idx="166">
                  <c:v>7423.9999999999991</c:v>
                </c:pt>
                <c:pt idx="167">
                  <c:v>7423.9999999999991</c:v>
                </c:pt>
                <c:pt idx="168">
                  <c:v>3279.9999999999918</c:v>
                </c:pt>
                <c:pt idx="169">
                  <c:v>7823.9999999999982</c:v>
                </c:pt>
                <c:pt idx="170">
                  <c:v>7823.9999999999982</c:v>
                </c:pt>
                <c:pt idx="171">
                  <c:v>8111.9999999999973</c:v>
                </c:pt>
                <c:pt idx="172">
                  <c:v>8111.9999999999973</c:v>
                </c:pt>
                <c:pt idx="173">
                  <c:v>8111.9999999999973</c:v>
                </c:pt>
                <c:pt idx="174">
                  <c:v>8111.9999999999973</c:v>
                </c:pt>
                <c:pt idx="175">
                  <c:v>8111.9999999999973</c:v>
                </c:pt>
                <c:pt idx="176">
                  <c:v>8111.9999999999973</c:v>
                </c:pt>
                <c:pt idx="177">
                  <c:v>8111.9999999999973</c:v>
                </c:pt>
                <c:pt idx="178">
                  <c:v>3279.9999999999918</c:v>
                </c:pt>
                <c:pt idx="179">
                  <c:v>8111.9999999999973</c:v>
                </c:pt>
                <c:pt idx="180">
                  <c:v>8111.9999999999973</c:v>
                </c:pt>
                <c:pt idx="181">
                  <c:v>8111.9999999999973</c:v>
                </c:pt>
                <c:pt idx="182">
                  <c:v>8111.9999999999973</c:v>
                </c:pt>
                <c:pt idx="183">
                  <c:v>8111.9999999999973</c:v>
                </c:pt>
                <c:pt idx="184">
                  <c:v>6319.9999999999964</c:v>
                </c:pt>
                <c:pt idx="185">
                  <c:v>6415.9999999999927</c:v>
                </c:pt>
                <c:pt idx="186">
                  <c:v>6415.9999999999927</c:v>
                </c:pt>
                <c:pt idx="187">
                  <c:v>6415.9999999999927</c:v>
                </c:pt>
                <c:pt idx="188">
                  <c:v>6415.9999999999927</c:v>
                </c:pt>
                <c:pt idx="189">
                  <c:v>6415.9999999999927</c:v>
                </c:pt>
                <c:pt idx="190">
                  <c:v>6415.9999999999927</c:v>
                </c:pt>
                <c:pt idx="191">
                  <c:v>3503.9999999999918</c:v>
                </c:pt>
                <c:pt idx="192">
                  <c:v>6415.9999999999927</c:v>
                </c:pt>
                <c:pt idx="193">
                  <c:v>6415.9999999999927</c:v>
                </c:pt>
                <c:pt idx="194">
                  <c:v>4815.9999999999927</c:v>
                </c:pt>
                <c:pt idx="195">
                  <c:v>4815.9999999999927</c:v>
                </c:pt>
                <c:pt idx="196">
                  <c:v>4815.9999999999927</c:v>
                </c:pt>
                <c:pt idx="197">
                  <c:v>3503.9999999999918</c:v>
                </c:pt>
                <c:pt idx="198">
                  <c:v>4527.9999999999927</c:v>
                </c:pt>
                <c:pt idx="199">
                  <c:v>4527.9999999999927</c:v>
                </c:pt>
                <c:pt idx="200">
                  <c:v>4527.9999999999927</c:v>
                </c:pt>
                <c:pt idx="201">
                  <c:v>4527.9999999999927</c:v>
                </c:pt>
                <c:pt idx="202">
                  <c:v>4527.9999999999927</c:v>
                </c:pt>
                <c:pt idx="203">
                  <c:v>3503.9999999999918</c:v>
                </c:pt>
                <c:pt idx="204">
                  <c:v>3503.9999999999918</c:v>
                </c:pt>
                <c:pt idx="205">
                  <c:v>3503.9999999999918</c:v>
                </c:pt>
                <c:pt idx="206">
                  <c:v>3503.9999999999918</c:v>
                </c:pt>
                <c:pt idx="207">
                  <c:v>3503.9999999999918</c:v>
                </c:pt>
                <c:pt idx="208">
                  <c:v>3503.9999999999918</c:v>
                </c:pt>
                <c:pt idx="209">
                  <c:v>3503.9999999999918</c:v>
                </c:pt>
                <c:pt idx="210">
                  <c:v>3503.9999999999918</c:v>
                </c:pt>
                <c:pt idx="211">
                  <c:v>3503.9999999999918</c:v>
                </c:pt>
                <c:pt idx="212">
                  <c:v>3503.9999999999918</c:v>
                </c:pt>
                <c:pt idx="213">
                  <c:v>3503.9999999999918</c:v>
                </c:pt>
                <c:pt idx="214">
                  <c:v>3503.9999999999918</c:v>
                </c:pt>
                <c:pt idx="215">
                  <c:v>3503.9999999999918</c:v>
                </c:pt>
                <c:pt idx="216">
                  <c:v>3503.9999999999918</c:v>
                </c:pt>
                <c:pt idx="217">
                  <c:v>3503.9999999999918</c:v>
                </c:pt>
                <c:pt idx="218">
                  <c:v>3503.9999999999918</c:v>
                </c:pt>
                <c:pt idx="219">
                  <c:v>3503.9999999999918</c:v>
                </c:pt>
                <c:pt idx="220">
                  <c:v>3503.9999999999918</c:v>
                </c:pt>
                <c:pt idx="221">
                  <c:v>3503.9999999999918</c:v>
                </c:pt>
                <c:pt idx="222">
                  <c:v>3503.9999999999918</c:v>
                </c:pt>
                <c:pt idx="223">
                  <c:v>3503.9999999999918</c:v>
                </c:pt>
                <c:pt idx="224">
                  <c:v>3503.9999999999918</c:v>
                </c:pt>
                <c:pt idx="225">
                  <c:v>3759.9999999999914</c:v>
                </c:pt>
                <c:pt idx="226">
                  <c:v>3759.9999999999914</c:v>
                </c:pt>
                <c:pt idx="227">
                  <c:v>3759.9999999999914</c:v>
                </c:pt>
                <c:pt idx="228">
                  <c:v>3759.9999999999914</c:v>
                </c:pt>
                <c:pt idx="229">
                  <c:v>3279.9999999999918</c:v>
                </c:pt>
                <c:pt idx="230">
                  <c:v>3759.9999999999914</c:v>
                </c:pt>
                <c:pt idx="231">
                  <c:v>3279.9999999999918</c:v>
                </c:pt>
                <c:pt idx="232">
                  <c:v>3759.9999999999914</c:v>
                </c:pt>
                <c:pt idx="233">
                  <c:v>3759.9999999999914</c:v>
                </c:pt>
                <c:pt idx="234">
                  <c:v>3759.9999999999914</c:v>
                </c:pt>
                <c:pt idx="235">
                  <c:v>3759.9999999999914</c:v>
                </c:pt>
                <c:pt idx="236">
                  <c:v>3759.9999999999914</c:v>
                </c:pt>
                <c:pt idx="237">
                  <c:v>3759.9999999999914</c:v>
                </c:pt>
                <c:pt idx="238">
                  <c:v>3759.9999999999914</c:v>
                </c:pt>
                <c:pt idx="239">
                  <c:v>3759.9999999999914</c:v>
                </c:pt>
                <c:pt idx="240">
                  <c:v>3759.9999999999914</c:v>
                </c:pt>
                <c:pt idx="241">
                  <c:v>3279.9999999999918</c:v>
                </c:pt>
                <c:pt idx="242">
                  <c:v>3279.9999999999918</c:v>
                </c:pt>
                <c:pt idx="243">
                  <c:v>3279.9999999999918</c:v>
                </c:pt>
                <c:pt idx="244">
                  <c:v>3279.9999999999918</c:v>
                </c:pt>
                <c:pt idx="245">
                  <c:v>3279.9999999999918</c:v>
                </c:pt>
                <c:pt idx="246">
                  <c:v>3279.9999999999918</c:v>
                </c:pt>
                <c:pt idx="247">
                  <c:v>3279.9999999999918</c:v>
                </c:pt>
                <c:pt idx="248">
                  <c:v>3279.9999999999918</c:v>
                </c:pt>
                <c:pt idx="249">
                  <c:v>3279.9999999999918</c:v>
                </c:pt>
                <c:pt idx="250">
                  <c:v>3279.9999999999918</c:v>
                </c:pt>
                <c:pt idx="251">
                  <c:v>3279.9999999999918</c:v>
                </c:pt>
                <c:pt idx="252">
                  <c:v>3279.9999999999918</c:v>
                </c:pt>
                <c:pt idx="253">
                  <c:v>3279.9999999999918</c:v>
                </c:pt>
                <c:pt idx="254">
                  <c:v>3279.9999999999918</c:v>
                </c:pt>
                <c:pt idx="255">
                  <c:v>3279.9999999999918</c:v>
                </c:pt>
                <c:pt idx="256">
                  <c:v>3279.9999999999918</c:v>
                </c:pt>
                <c:pt idx="257">
                  <c:v>3279.9999999999918</c:v>
                </c:pt>
                <c:pt idx="258">
                  <c:v>3279.9999999999918</c:v>
                </c:pt>
                <c:pt idx="259">
                  <c:v>3279.9999999999918</c:v>
                </c:pt>
                <c:pt idx="260">
                  <c:v>3279.9999999999918</c:v>
                </c:pt>
                <c:pt idx="261">
                  <c:v>3279.9999999999918</c:v>
                </c:pt>
                <c:pt idx="262">
                  <c:v>3279.9999999999918</c:v>
                </c:pt>
                <c:pt idx="263">
                  <c:v>3279.9999999999918</c:v>
                </c:pt>
                <c:pt idx="264">
                  <c:v>3279.9999999999918</c:v>
                </c:pt>
                <c:pt idx="265">
                  <c:v>3279.9999999999918</c:v>
                </c:pt>
                <c:pt idx="266">
                  <c:v>3279.9999999999918</c:v>
                </c:pt>
                <c:pt idx="267">
                  <c:v>3279.9999999999918</c:v>
                </c:pt>
                <c:pt idx="268">
                  <c:v>3279.9999999999918</c:v>
                </c:pt>
                <c:pt idx="269">
                  <c:v>3279.9999999999918</c:v>
                </c:pt>
                <c:pt idx="270">
                  <c:v>3279.9999999999918</c:v>
                </c:pt>
                <c:pt idx="271">
                  <c:v>3279.9999999999918</c:v>
                </c:pt>
                <c:pt idx="272">
                  <c:v>3279.9999999999918</c:v>
                </c:pt>
                <c:pt idx="273">
                  <c:v>3279.9999999999918</c:v>
                </c:pt>
                <c:pt idx="274">
                  <c:v>3279.9999999999918</c:v>
                </c:pt>
                <c:pt idx="275">
                  <c:v>3279.9999999999918</c:v>
                </c:pt>
                <c:pt idx="276">
                  <c:v>3279.9999999999918</c:v>
                </c:pt>
                <c:pt idx="277">
                  <c:v>3279.9999999999918</c:v>
                </c:pt>
                <c:pt idx="278">
                  <c:v>3279.9999999999918</c:v>
                </c:pt>
                <c:pt idx="279">
                  <c:v>3759.9999999999932</c:v>
                </c:pt>
                <c:pt idx="280">
                  <c:v>3759.9999999999932</c:v>
                </c:pt>
                <c:pt idx="281">
                  <c:v>3759.9999999999932</c:v>
                </c:pt>
                <c:pt idx="282">
                  <c:v>3759.9999999999932</c:v>
                </c:pt>
                <c:pt idx="283">
                  <c:v>3759.9999999999932</c:v>
                </c:pt>
                <c:pt idx="284">
                  <c:v>3759.9999999999932</c:v>
                </c:pt>
                <c:pt idx="285">
                  <c:v>3759.9999999999932</c:v>
                </c:pt>
                <c:pt idx="286">
                  <c:v>3759.9999999999932</c:v>
                </c:pt>
                <c:pt idx="287">
                  <c:v>3759.9999999999932</c:v>
                </c:pt>
                <c:pt idx="288">
                  <c:v>3759.9999999999932</c:v>
                </c:pt>
                <c:pt idx="289">
                  <c:v>3759.9999999999932</c:v>
                </c:pt>
                <c:pt idx="290">
                  <c:v>3759.9999999999932</c:v>
                </c:pt>
                <c:pt idx="291">
                  <c:v>3759.9999999999932</c:v>
                </c:pt>
                <c:pt idx="292">
                  <c:v>3759.9999999999932</c:v>
                </c:pt>
                <c:pt idx="293">
                  <c:v>3759.9999999999932</c:v>
                </c:pt>
                <c:pt idx="294">
                  <c:v>3759.9999999999932</c:v>
                </c:pt>
                <c:pt idx="295">
                  <c:v>3759.9999999999932</c:v>
                </c:pt>
                <c:pt idx="296">
                  <c:v>3759.9999999999932</c:v>
                </c:pt>
                <c:pt idx="297">
                  <c:v>3759.9999999999932</c:v>
                </c:pt>
                <c:pt idx="298">
                  <c:v>3759.9999999999932</c:v>
                </c:pt>
                <c:pt idx="299">
                  <c:v>3759.9999999999932</c:v>
                </c:pt>
                <c:pt idx="300">
                  <c:v>3759.9999999999932</c:v>
                </c:pt>
                <c:pt idx="301">
                  <c:v>4143.9999999999927</c:v>
                </c:pt>
                <c:pt idx="302">
                  <c:v>4143.9999999999927</c:v>
                </c:pt>
                <c:pt idx="303">
                  <c:v>4143.9999999999927</c:v>
                </c:pt>
                <c:pt idx="304">
                  <c:v>4143.9999999999927</c:v>
                </c:pt>
                <c:pt idx="305">
                  <c:v>4143.9999999999927</c:v>
                </c:pt>
                <c:pt idx="306">
                  <c:v>4143.9999999999927</c:v>
                </c:pt>
                <c:pt idx="307">
                  <c:v>4143.9999999999927</c:v>
                </c:pt>
                <c:pt idx="308">
                  <c:v>4143.9999999999927</c:v>
                </c:pt>
                <c:pt idx="309">
                  <c:v>4143.9999999999927</c:v>
                </c:pt>
                <c:pt idx="310">
                  <c:v>4143.9999999999927</c:v>
                </c:pt>
                <c:pt idx="311">
                  <c:v>4607.9999999999927</c:v>
                </c:pt>
                <c:pt idx="312">
                  <c:v>4607.9999999999927</c:v>
                </c:pt>
                <c:pt idx="313">
                  <c:v>4607.9999999999927</c:v>
                </c:pt>
                <c:pt idx="314">
                  <c:v>4607.9999999999927</c:v>
                </c:pt>
                <c:pt idx="315">
                  <c:v>4607.9999999999927</c:v>
                </c:pt>
                <c:pt idx="316">
                  <c:v>4607.9999999999927</c:v>
                </c:pt>
                <c:pt idx="317">
                  <c:v>4607.9999999999927</c:v>
                </c:pt>
                <c:pt idx="318">
                  <c:v>4607.9999999999927</c:v>
                </c:pt>
                <c:pt idx="319">
                  <c:v>4607.9999999999927</c:v>
                </c:pt>
                <c:pt idx="320">
                  <c:v>4607.9999999999927</c:v>
                </c:pt>
                <c:pt idx="321">
                  <c:v>4607.9999999999927</c:v>
                </c:pt>
                <c:pt idx="322">
                  <c:v>4607.9999999999927</c:v>
                </c:pt>
                <c:pt idx="323">
                  <c:v>4607.9999999999927</c:v>
                </c:pt>
                <c:pt idx="324">
                  <c:v>4607.9999999999927</c:v>
                </c:pt>
                <c:pt idx="325">
                  <c:v>5007.9999999999909</c:v>
                </c:pt>
                <c:pt idx="326">
                  <c:v>5007.9999999999909</c:v>
                </c:pt>
                <c:pt idx="327">
                  <c:v>5727.9999999999909</c:v>
                </c:pt>
                <c:pt idx="328">
                  <c:v>5727.9999999999909</c:v>
                </c:pt>
                <c:pt idx="329">
                  <c:v>5727.9999999999909</c:v>
                </c:pt>
                <c:pt idx="330">
                  <c:v>5727.9999999999909</c:v>
                </c:pt>
                <c:pt idx="331">
                  <c:v>5727.9999999999909</c:v>
                </c:pt>
                <c:pt idx="332">
                  <c:v>5727.9999999999909</c:v>
                </c:pt>
                <c:pt idx="333">
                  <c:v>5727.9999999999909</c:v>
                </c:pt>
                <c:pt idx="334">
                  <c:v>5727.9999999999909</c:v>
                </c:pt>
                <c:pt idx="335">
                  <c:v>5727.9999999999909</c:v>
                </c:pt>
                <c:pt idx="336">
                  <c:v>5727.9999999999909</c:v>
                </c:pt>
                <c:pt idx="337">
                  <c:v>5727.9999999999909</c:v>
                </c:pt>
                <c:pt idx="338">
                  <c:v>5727.9999999999909</c:v>
                </c:pt>
                <c:pt idx="339">
                  <c:v>5727.9999999999909</c:v>
                </c:pt>
                <c:pt idx="340">
                  <c:v>5727.9999999999909</c:v>
                </c:pt>
                <c:pt idx="341">
                  <c:v>5727.9999999999909</c:v>
                </c:pt>
                <c:pt idx="342">
                  <c:v>5727.9999999999909</c:v>
                </c:pt>
                <c:pt idx="343">
                  <c:v>5727.9999999999909</c:v>
                </c:pt>
                <c:pt idx="344">
                  <c:v>5727.9999999999909</c:v>
                </c:pt>
                <c:pt idx="345">
                  <c:v>5727.9999999999909</c:v>
                </c:pt>
                <c:pt idx="346">
                  <c:v>5727.9999999999909</c:v>
                </c:pt>
                <c:pt idx="347">
                  <c:v>5727.9999999999909</c:v>
                </c:pt>
                <c:pt idx="348">
                  <c:v>5727.9999999999909</c:v>
                </c:pt>
                <c:pt idx="349">
                  <c:v>5727.9999999999909</c:v>
                </c:pt>
                <c:pt idx="350">
                  <c:v>5727.9999999999909</c:v>
                </c:pt>
                <c:pt idx="351">
                  <c:v>6335.9999999999909</c:v>
                </c:pt>
                <c:pt idx="352">
                  <c:v>6335.9999999999909</c:v>
                </c:pt>
                <c:pt idx="353">
                  <c:v>6335.9999999999909</c:v>
                </c:pt>
                <c:pt idx="354">
                  <c:v>6335.9999999999909</c:v>
                </c:pt>
                <c:pt idx="355">
                  <c:v>6655.9999999999909</c:v>
                </c:pt>
                <c:pt idx="356">
                  <c:v>6655.9999999999909</c:v>
                </c:pt>
                <c:pt idx="357">
                  <c:v>6655.9999999999909</c:v>
                </c:pt>
                <c:pt idx="358">
                  <c:v>6655.9999999999909</c:v>
                </c:pt>
                <c:pt idx="359">
                  <c:v>6655.9999999999909</c:v>
                </c:pt>
                <c:pt idx="360">
                  <c:v>6655.9999999999909</c:v>
                </c:pt>
                <c:pt idx="361">
                  <c:v>6655.9999999999909</c:v>
                </c:pt>
                <c:pt idx="362">
                  <c:v>6655.9999999999909</c:v>
                </c:pt>
                <c:pt idx="363">
                  <c:v>6655.9999999999909</c:v>
                </c:pt>
                <c:pt idx="364">
                  <c:v>6655.9999999999909</c:v>
                </c:pt>
                <c:pt idx="365">
                  <c:v>6655.9999999999909</c:v>
                </c:pt>
                <c:pt idx="366">
                  <c:v>6655.9999999999909</c:v>
                </c:pt>
                <c:pt idx="367">
                  <c:v>6335.9999999999909</c:v>
                </c:pt>
                <c:pt idx="368">
                  <c:v>6671.9999999999909</c:v>
                </c:pt>
                <c:pt idx="369">
                  <c:v>6671.9999999999909</c:v>
                </c:pt>
                <c:pt idx="370">
                  <c:v>7231.9999999999909</c:v>
                </c:pt>
                <c:pt idx="371">
                  <c:v>7951.9999999999909</c:v>
                </c:pt>
                <c:pt idx="372">
                  <c:v>7951.9999999999909</c:v>
                </c:pt>
                <c:pt idx="373">
                  <c:v>7951.9999999999909</c:v>
                </c:pt>
                <c:pt idx="374">
                  <c:v>7951.9999999999909</c:v>
                </c:pt>
                <c:pt idx="375">
                  <c:v>7951.9999999999909</c:v>
                </c:pt>
                <c:pt idx="376">
                  <c:v>7951.9999999999909</c:v>
                </c:pt>
                <c:pt idx="377">
                  <c:v>7951.9999999999909</c:v>
                </c:pt>
                <c:pt idx="378">
                  <c:v>7951.9999999999909</c:v>
                </c:pt>
                <c:pt idx="379">
                  <c:v>7951.9999999999909</c:v>
                </c:pt>
                <c:pt idx="380">
                  <c:v>8271.9999999999909</c:v>
                </c:pt>
                <c:pt idx="381">
                  <c:v>7951.9999999999909</c:v>
                </c:pt>
                <c:pt idx="382">
                  <c:v>7951.9999999999909</c:v>
                </c:pt>
                <c:pt idx="383">
                  <c:v>7951.9999999999909</c:v>
                </c:pt>
                <c:pt idx="384">
                  <c:v>7951.9999999999909</c:v>
                </c:pt>
                <c:pt idx="385">
                  <c:v>7951.9999999999909</c:v>
                </c:pt>
                <c:pt idx="386">
                  <c:v>7951.9999999999909</c:v>
                </c:pt>
                <c:pt idx="387">
                  <c:v>7951.9999999999909</c:v>
                </c:pt>
                <c:pt idx="388">
                  <c:v>7951.9999999999909</c:v>
                </c:pt>
                <c:pt idx="389">
                  <c:v>7951.9999999999909</c:v>
                </c:pt>
                <c:pt idx="390">
                  <c:v>7951.9999999999909</c:v>
                </c:pt>
                <c:pt idx="391">
                  <c:v>7951.9999999999909</c:v>
                </c:pt>
                <c:pt idx="392">
                  <c:v>7951.9999999999909</c:v>
                </c:pt>
                <c:pt idx="393">
                  <c:v>7503.9999999999909</c:v>
                </c:pt>
                <c:pt idx="394">
                  <c:v>7951.9999999999909</c:v>
                </c:pt>
                <c:pt idx="395">
                  <c:v>7951.9999999999909</c:v>
                </c:pt>
                <c:pt idx="396">
                  <c:v>7311.9999999999909</c:v>
                </c:pt>
                <c:pt idx="397">
                  <c:v>7311.9999999999909</c:v>
                </c:pt>
                <c:pt idx="398">
                  <c:v>5967.9999999999918</c:v>
                </c:pt>
                <c:pt idx="399">
                  <c:v>5295.9999999999936</c:v>
                </c:pt>
                <c:pt idx="400">
                  <c:v>5295.9999999999936</c:v>
                </c:pt>
                <c:pt idx="401">
                  <c:v>5295.9999999999936</c:v>
                </c:pt>
                <c:pt idx="402">
                  <c:v>5295.9999999999936</c:v>
                </c:pt>
                <c:pt idx="403">
                  <c:v>5295.9999999999936</c:v>
                </c:pt>
                <c:pt idx="404">
                  <c:v>5295.9999999999936</c:v>
                </c:pt>
                <c:pt idx="405">
                  <c:v>5295.9999999999936</c:v>
                </c:pt>
                <c:pt idx="406">
                  <c:v>5295.9999999999936</c:v>
                </c:pt>
                <c:pt idx="407">
                  <c:v>5295.9999999999936</c:v>
                </c:pt>
                <c:pt idx="408">
                  <c:v>5295.9999999999936</c:v>
                </c:pt>
                <c:pt idx="409">
                  <c:v>5295.9999999999936</c:v>
                </c:pt>
                <c:pt idx="410">
                  <c:v>5295.9999999999936</c:v>
                </c:pt>
                <c:pt idx="411">
                  <c:v>5295.9999999999936</c:v>
                </c:pt>
                <c:pt idx="412">
                  <c:v>5295.9999999999936</c:v>
                </c:pt>
                <c:pt idx="413">
                  <c:v>5295.9999999999936</c:v>
                </c:pt>
                <c:pt idx="414">
                  <c:v>5295.9999999999936</c:v>
                </c:pt>
                <c:pt idx="415">
                  <c:v>5295.9999999999936</c:v>
                </c:pt>
                <c:pt idx="416">
                  <c:v>5295.9999999999936</c:v>
                </c:pt>
                <c:pt idx="417">
                  <c:v>5295.9999999999936</c:v>
                </c:pt>
                <c:pt idx="418">
                  <c:v>5295.9999999999936</c:v>
                </c:pt>
                <c:pt idx="419">
                  <c:v>5775.9999999999945</c:v>
                </c:pt>
                <c:pt idx="420">
                  <c:v>5775.9999999999945</c:v>
                </c:pt>
                <c:pt idx="421">
                  <c:v>5775.9999999999945</c:v>
                </c:pt>
                <c:pt idx="422">
                  <c:v>5775.9999999999945</c:v>
                </c:pt>
                <c:pt idx="423">
                  <c:v>5775.9999999999945</c:v>
                </c:pt>
                <c:pt idx="424">
                  <c:v>5775.9999999999945</c:v>
                </c:pt>
                <c:pt idx="425">
                  <c:v>5775.9999999999945</c:v>
                </c:pt>
                <c:pt idx="426">
                  <c:v>5775.9999999999945</c:v>
                </c:pt>
                <c:pt idx="427">
                  <c:v>5775.9999999999945</c:v>
                </c:pt>
                <c:pt idx="428">
                  <c:v>5775.9999999999945</c:v>
                </c:pt>
                <c:pt idx="429">
                  <c:v>5775.9999999999945</c:v>
                </c:pt>
                <c:pt idx="430">
                  <c:v>5775.9999999999945</c:v>
                </c:pt>
                <c:pt idx="431">
                  <c:v>5775.9999999999945</c:v>
                </c:pt>
                <c:pt idx="432">
                  <c:v>5775.9999999999945</c:v>
                </c:pt>
                <c:pt idx="433">
                  <c:v>5775.9999999999945</c:v>
                </c:pt>
                <c:pt idx="434">
                  <c:v>5775.9999999999945</c:v>
                </c:pt>
                <c:pt idx="435">
                  <c:v>5775.9999999999945</c:v>
                </c:pt>
                <c:pt idx="436">
                  <c:v>6095.9999999999945</c:v>
                </c:pt>
                <c:pt idx="437">
                  <c:v>6095.9999999999945</c:v>
                </c:pt>
                <c:pt idx="438">
                  <c:v>6095.9999999999945</c:v>
                </c:pt>
                <c:pt idx="439">
                  <c:v>6095.9999999999945</c:v>
                </c:pt>
                <c:pt idx="440">
                  <c:v>6095.9999999999945</c:v>
                </c:pt>
                <c:pt idx="441">
                  <c:v>6095.9999999999945</c:v>
                </c:pt>
                <c:pt idx="442">
                  <c:v>6095.9999999999945</c:v>
                </c:pt>
                <c:pt idx="443">
                  <c:v>6975.9999999999945</c:v>
                </c:pt>
                <c:pt idx="444">
                  <c:v>6975.9999999999945</c:v>
                </c:pt>
                <c:pt idx="445">
                  <c:v>6975.9999999999945</c:v>
                </c:pt>
                <c:pt idx="446">
                  <c:v>8175.9999999999945</c:v>
                </c:pt>
                <c:pt idx="447">
                  <c:v>8175.9999999999945</c:v>
                </c:pt>
                <c:pt idx="448">
                  <c:v>8175.9999999999945</c:v>
                </c:pt>
                <c:pt idx="449">
                  <c:v>8175.9999999999945</c:v>
                </c:pt>
                <c:pt idx="450">
                  <c:v>8175.9999999999945</c:v>
                </c:pt>
                <c:pt idx="451">
                  <c:v>8175.9999999999945</c:v>
                </c:pt>
                <c:pt idx="452">
                  <c:v>8175.9999999999945</c:v>
                </c:pt>
                <c:pt idx="453">
                  <c:v>8175.9999999999945</c:v>
                </c:pt>
                <c:pt idx="454">
                  <c:v>8175.9999999999945</c:v>
                </c:pt>
                <c:pt idx="455">
                  <c:v>8175.9999999999945</c:v>
                </c:pt>
                <c:pt idx="456">
                  <c:v>8175.9999999999945</c:v>
                </c:pt>
                <c:pt idx="457">
                  <c:v>8175.9999999999945</c:v>
                </c:pt>
                <c:pt idx="458">
                  <c:v>8175.9999999999945</c:v>
                </c:pt>
                <c:pt idx="459">
                  <c:v>8175.9999999999945</c:v>
                </c:pt>
                <c:pt idx="460">
                  <c:v>8175.9999999999945</c:v>
                </c:pt>
                <c:pt idx="461">
                  <c:v>8175.9999999999945</c:v>
                </c:pt>
                <c:pt idx="462">
                  <c:v>8175.9999999999945</c:v>
                </c:pt>
                <c:pt idx="463">
                  <c:v>8175.9999999999945</c:v>
                </c:pt>
                <c:pt idx="464">
                  <c:v>8175.9999999999945</c:v>
                </c:pt>
                <c:pt idx="465">
                  <c:v>8175.9999999999945</c:v>
                </c:pt>
                <c:pt idx="466">
                  <c:v>8175.9999999999945</c:v>
                </c:pt>
                <c:pt idx="467">
                  <c:v>8175.9999999999945</c:v>
                </c:pt>
                <c:pt idx="468">
                  <c:v>8175.9999999999945</c:v>
                </c:pt>
                <c:pt idx="469">
                  <c:v>8175.9999999999945</c:v>
                </c:pt>
                <c:pt idx="470">
                  <c:v>8175.9999999999945</c:v>
                </c:pt>
                <c:pt idx="471">
                  <c:v>8175.9999999999945</c:v>
                </c:pt>
                <c:pt idx="472">
                  <c:v>8175.9999999999945</c:v>
                </c:pt>
                <c:pt idx="473">
                  <c:v>8575.9999999999945</c:v>
                </c:pt>
                <c:pt idx="474">
                  <c:v>8975.9999999999945</c:v>
                </c:pt>
                <c:pt idx="475">
                  <c:v>9775.9999999999945</c:v>
                </c:pt>
                <c:pt idx="476">
                  <c:v>10735.999999999996</c:v>
                </c:pt>
                <c:pt idx="477">
                  <c:v>10735.999999999996</c:v>
                </c:pt>
                <c:pt idx="478">
                  <c:v>11135.999999999996</c:v>
                </c:pt>
                <c:pt idx="479">
                  <c:v>11935.999999999996</c:v>
                </c:pt>
                <c:pt idx="480">
                  <c:v>11935.999999999996</c:v>
                </c:pt>
                <c:pt idx="481">
                  <c:v>11935.999999999996</c:v>
                </c:pt>
                <c:pt idx="482">
                  <c:v>11935.999999999996</c:v>
                </c:pt>
                <c:pt idx="483">
                  <c:v>11935.999999999996</c:v>
                </c:pt>
                <c:pt idx="484">
                  <c:v>11135.999999999996</c:v>
                </c:pt>
                <c:pt idx="485">
                  <c:v>11135.999999999996</c:v>
                </c:pt>
                <c:pt idx="486">
                  <c:v>11439.999999999996</c:v>
                </c:pt>
                <c:pt idx="487">
                  <c:v>11439.999999999996</c:v>
                </c:pt>
                <c:pt idx="488">
                  <c:v>11439.999999999996</c:v>
                </c:pt>
                <c:pt idx="489">
                  <c:v>11439.999999999996</c:v>
                </c:pt>
                <c:pt idx="490">
                  <c:v>11439.999999999996</c:v>
                </c:pt>
                <c:pt idx="491">
                  <c:v>11439.999999999996</c:v>
                </c:pt>
                <c:pt idx="492">
                  <c:v>11439.999999999996</c:v>
                </c:pt>
                <c:pt idx="493">
                  <c:v>11439.999999999996</c:v>
                </c:pt>
                <c:pt idx="494">
                  <c:v>11439.999999999996</c:v>
                </c:pt>
                <c:pt idx="495">
                  <c:v>11439.999999999996</c:v>
                </c:pt>
                <c:pt idx="496">
                  <c:v>11439.999999999996</c:v>
                </c:pt>
                <c:pt idx="497">
                  <c:v>11439.999999999996</c:v>
                </c:pt>
                <c:pt idx="498">
                  <c:v>11439.999999999996</c:v>
                </c:pt>
                <c:pt idx="499">
                  <c:v>11439.999999999996</c:v>
                </c:pt>
                <c:pt idx="500">
                  <c:v>11759.999999999996</c:v>
                </c:pt>
                <c:pt idx="501">
                  <c:v>11759.999999999996</c:v>
                </c:pt>
                <c:pt idx="502">
                  <c:v>11759.999999999996</c:v>
                </c:pt>
                <c:pt idx="503">
                  <c:v>11759.999999999996</c:v>
                </c:pt>
                <c:pt idx="504">
                  <c:v>12719.999999999996</c:v>
                </c:pt>
                <c:pt idx="505">
                  <c:v>12719.999999999996</c:v>
                </c:pt>
                <c:pt idx="506">
                  <c:v>12719.999999999996</c:v>
                </c:pt>
                <c:pt idx="507">
                  <c:v>12719.999999999996</c:v>
                </c:pt>
                <c:pt idx="508">
                  <c:v>12719.999999999996</c:v>
                </c:pt>
                <c:pt idx="509">
                  <c:v>12719.999999999996</c:v>
                </c:pt>
                <c:pt idx="510">
                  <c:v>12767.999999999996</c:v>
                </c:pt>
                <c:pt idx="511">
                  <c:v>12767.999999999996</c:v>
                </c:pt>
                <c:pt idx="512">
                  <c:v>12767.999999999996</c:v>
                </c:pt>
                <c:pt idx="513">
                  <c:v>12767.999999999996</c:v>
                </c:pt>
                <c:pt idx="514">
                  <c:v>12767.999999999996</c:v>
                </c:pt>
                <c:pt idx="515">
                  <c:v>12767.999999999996</c:v>
                </c:pt>
                <c:pt idx="516">
                  <c:v>12767.999999999996</c:v>
                </c:pt>
                <c:pt idx="517">
                  <c:v>14047.999999999996</c:v>
                </c:pt>
                <c:pt idx="518">
                  <c:v>14527.999999999996</c:v>
                </c:pt>
                <c:pt idx="519">
                  <c:v>14527.999999999996</c:v>
                </c:pt>
                <c:pt idx="520">
                  <c:v>14527.999999999996</c:v>
                </c:pt>
                <c:pt idx="521">
                  <c:v>15167.999999999996</c:v>
                </c:pt>
                <c:pt idx="522">
                  <c:v>15167.999999999996</c:v>
                </c:pt>
                <c:pt idx="523">
                  <c:v>15167.999999999996</c:v>
                </c:pt>
                <c:pt idx="524">
                  <c:v>13727.999999999995</c:v>
                </c:pt>
                <c:pt idx="525">
                  <c:v>13727.999999999995</c:v>
                </c:pt>
                <c:pt idx="526">
                  <c:v>13727.999999999995</c:v>
                </c:pt>
                <c:pt idx="527">
                  <c:v>13727.999999999995</c:v>
                </c:pt>
                <c:pt idx="528">
                  <c:v>13727.999999999995</c:v>
                </c:pt>
                <c:pt idx="529">
                  <c:v>13727.999999999995</c:v>
                </c:pt>
                <c:pt idx="530">
                  <c:v>13727.999999999995</c:v>
                </c:pt>
                <c:pt idx="531">
                  <c:v>13727.999999999995</c:v>
                </c:pt>
                <c:pt idx="532">
                  <c:v>13727.999999999995</c:v>
                </c:pt>
                <c:pt idx="533">
                  <c:v>13727.999999999995</c:v>
                </c:pt>
                <c:pt idx="534">
                  <c:v>13727.999999999995</c:v>
                </c:pt>
                <c:pt idx="535">
                  <c:v>13727.999999999995</c:v>
                </c:pt>
                <c:pt idx="536">
                  <c:v>13727.999999999995</c:v>
                </c:pt>
                <c:pt idx="537">
                  <c:v>13727.999999999995</c:v>
                </c:pt>
                <c:pt idx="538">
                  <c:v>13727.999999999995</c:v>
                </c:pt>
                <c:pt idx="539">
                  <c:v>13727.999999999995</c:v>
                </c:pt>
                <c:pt idx="540">
                  <c:v>13727.999999999995</c:v>
                </c:pt>
                <c:pt idx="541">
                  <c:v>13727.999999999995</c:v>
                </c:pt>
                <c:pt idx="542">
                  <c:v>13727.999999999995</c:v>
                </c:pt>
                <c:pt idx="543">
                  <c:v>13727.999999999995</c:v>
                </c:pt>
                <c:pt idx="544">
                  <c:v>13727.999999999995</c:v>
                </c:pt>
                <c:pt idx="545">
                  <c:v>16607.999999999996</c:v>
                </c:pt>
                <c:pt idx="546">
                  <c:v>21247.999999999996</c:v>
                </c:pt>
                <c:pt idx="547">
                  <c:v>16607.999999999996</c:v>
                </c:pt>
                <c:pt idx="548">
                  <c:v>16607.999999999996</c:v>
                </c:pt>
                <c:pt idx="549">
                  <c:v>17407.999999999996</c:v>
                </c:pt>
                <c:pt idx="550">
                  <c:v>20047.999999999996</c:v>
                </c:pt>
                <c:pt idx="551">
                  <c:v>21247.999999999996</c:v>
                </c:pt>
                <c:pt idx="552">
                  <c:v>22527.999999999996</c:v>
                </c:pt>
                <c:pt idx="553">
                  <c:v>23728</c:v>
                </c:pt>
                <c:pt idx="554">
                  <c:v>16018.285714285717</c:v>
                </c:pt>
                <c:pt idx="555">
                  <c:v>23728</c:v>
                </c:pt>
                <c:pt idx="556">
                  <c:v>23728</c:v>
                </c:pt>
                <c:pt idx="557">
                  <c:v>23728</c:v>
                </c:pt>
                <c:pt idx="558">
                  <c:v>23728</c:v>
                </c:pt>
                <c:pt idx="559">
                  <c:v>23344</c:v>
                </c:pt>
                <c:pt idx="560">
                  <c:v>23344</c:v>
                </c:pt>
                <c:pt idx="561">
                  <c:v>23344</c:v>
                </c:pt>
                <c:pt idx="562">
                  <c:v>23344</c:v>
                </c:pt>
                <c:pt idx="563">
                  <c:v>23344</c:v>
                </c:pt>
                <c:pt idx="564">
                  <c:v>23344</c:v>
                </c:pt>
                <c:pt idx="565">
                  <c:v>23344</c:v>
                </c:pt>
                <c:pt idx="566">
                  <c:v>23344</c:v>
                </c:pt>
                <c:pt idx="567">
                  <c:v>18338.285714285717</c:v>
                </c:pt>
                <c:pt idx="568">
                  <c:v>23344</c:v>
                </c:pt>
                <c:pt idx="569">
                  <c:v>23344</c:v>
                </c:pt>
                <c:pt idx="570">
                  <c:v>18338.285714285717</c:v>
                </c:pt>
                <c:pt idx="571">
                  <c:v>23344</c:v>
                </c:pt>
                <c:pt idx="572">
                  <c:v>23344</c:v>
                </c:pt>
                <c:pt idx="573">
                  <c:v>23344</c:v>
                </c:pt>
                <c:pt idx="574">
                  <c:v>18338.285714285717</c:v>
                </c:pt>
                <c:pt idx="575">
                  <c:v>16018.285714285717</c:v>
                </c:pt>
                <c:pt idx="576">
                  <c:v>23664</c:v>
                </c:pt>
                <c:pt idx="577">
                  <c:v>23664</c:v>
                </c:pt>
                <c:pt idx="578">
                  <c:v>23664</c:v>
                </c:pt>
                <c:pt idx="579">
                  <c:v>23664</c:v>
                </c:pt>
                <c:pt idx="580">
                  <c:v>23344</c:v>
                </c:pt>
                <c:pt idx="581">
                  <c:v>23344</c:v>
                </c:pt>
                <c:pt idx="582">
                  <c:v>24912</c:v>
                </c:pt>
                <c:pt idx="583">
                  <c:v>23344</c:v>
                </c:pt>
                <c:pt idx="584">
                  <c:v>23344</c:v>
                </c:pt>
                <c:pt idx="585">
                  <c:v>26080</c:v>
                </c:pt>
                <c:pt idx="586">
                  <c:v>23584</c:v>
                </c:pt>
                <c:pt idx="587">
                  <c:v>23584</c:v>
                </c:pt>
                <c:pt idx="588">
                  <c:v>24384</c:v>
                </c:pt>
                <c:pt idx="589">
                  <c:v>24384</c:v>
                </c:pt>
                <c:pt idx="590">
                  <c:v>25184</c:v>
                </c:pt>
                <c:pt idx="591">
                  <c:v>25824</c:v>
                </c:pt>
                <c:pt idx="592">
                  <c:v>26080</c:v>
                </c:pt>
                <c:pt idx="593">
                  <c:v>26080</c:v>
                </c:pt>
                <c:pt idx="594">
                  <c:v>26080</c:v>
                </c:pt>
                <c:pt idx="595">
                  <c:v>27040</c:v>
                </c:pt>
                <c:pt idx="596">
                  <c:v>27040</c:v>
                </c:pt>
                <c:pt idx="597">
                  <c:v>27040</c:v>
                </c:pt>
                <c:pt idx="598">
                  <c:v>24912</c:v>
                </c:pt>
                <c:pt idx="599">
                  <c:v>27040</c:v>
                </c:pt>
                <c:pt idx="600">
                  <c:v>27040</c:v>
                </c:pt>
                <c:pt idx="601">
                  <c:v>27040</c:v>
                </c:pt>
                <c:pt idx="602">
                  <c:v>27040</c:v>
                </c:pt>
                <c:pt idx="603">
                  <c:v>27040</c:v>
                </c:pt>
                <c:pt idx="604">
                  <c:v>26320</c:v>
                </c:pt>
                <c:pt idx="605">
                  <c:v>26320</c:v>
                </c:pt>
                <c:pt idx="606">
                  <c:v>26320</c:v>
                </c:pt>
                <c:pt idx="607">
                  <c:v>25040</c:v>
                </c:pt>
                <c:pt idx="608">
                  <c:v>24080</c:v>
                </c:pt>
                <c:pt idx="609">
                  <c:v>24880</c:v>
                </c:pt>
                <c:pt idx="610">
                  <c:v>24880</c:v>
                </c:pt>
                <c:pt idx="611">
                  <c:v>24912</c:v>
                </c:pt>
                <c:pt idx="612">
                  <c:v>24912</c:v>
                </c:pt>
                <c:pt idx="613">
                  <c:v>24912</c:v>
                </c:pt>
                <c:pt idx="614">
                  <c:v>24912</c:v>
                </c:pt>
                <c:pt idx="615">
                  <c:v>24912</c:v>
                </c:pt>
                <c:pt idx="616">
                  <c:v>24912</c:v>
                </c:pt>
                <c:pt idx="617">
                  <c:v>24912</c:v>
                </c:pt>
                <c:pt idx="618">
                  <c:v>24912</c:v>
                </c:pt>
                <c:pt idx="619">
                  <c:v>18338.285714285717</c:v>
                </c:pt>
                <c:pt idx="620">
                  <c:v>26192</c:v>
                </c:pt>
                <c:pt idx="621">
                  <c:v>26192</c:v>
                </c:pt>
                <c:pt idx="622">
                  <c:v>26832</c:v>
                </c:pt>
                <c:pt idx="623">
                  <c:v>26992</c:v>
                </c:pt>
                <c:pt idx="624">
                  <c:v>27328</c:v>
                </c:pt>
                <c:pt idx="625">
                  <c:v>27328</c:v>
                </c:pt>
                <c:pt idx="626">
                  <c:v>18338.285714285717</c:v>
                </c:pt>
                <c:pt idx="627">
                  <c:v>27328</c:v>
                </c:pt>
                <c:pt idx="628">
                  <c:v>27328</c:v>
                </c:pt>
                <c:pt idx="629">
                  <c:v>27328</c:v>
                </c:pt>
                <c:pt idx="630">
                  <c:v>27328</c:v>
                </c:pt>
                <c:pt idx="631">
                  <c:v>27328</c:v>
                </c:pt>
                <c:pt idx="632">
                  <c:v>27328</c:v>
                </c:pt>
                <c:pt idx="633">
                  <c:v>27328</c:v>
                </c:pt>
                <c:pt idx="634">
                  <c:v>27328</c:v>
                </c:pt>
                <c:pt idx="635">
                  <c:v>27328</c:v>
                </c:pt>
                <c:pt idx="636">
                  <c:v>27328</c:v>
                </c:pt>
                <c:pt idx="637">
                  <c:v>25408</c:v>
                </c:pt>
                <c:pt idx="638">
                  <c:v>18338.285714285717</c:v>
                </c:pt>
                <c:pt idx="639">
                  <c:v>23808</c:v>
                </c:pt>
                <c:pt idx="640">
                  <c:v>23488</c:v>
                </c:pt>
                <c:pt idx="641">
                  <c:v>18338.285714285717</c:v>
                </c:pt>
                <c:pt idx="642">
                  <c:v>23488</c:v>
                </c:pt>
                <c:pt idx="643">
                  <c:v>23488</c:v>
                </c:pt>
                <c:pt idx="644">
                  <c:v>20002.285714285714</c:v>
                </c:pt>
                <c:pt idx="645">
                  <c:v>23488</c:v>
                </c:pt>
                <c:pt idx="646">
                  <c:v>20002.285714285714</c:v>
                </c:pt>
                <c:pt idx="647">
                  <c:v>23488</c:v>
                </c:pt>
                <c:pt idx="648">
                  <c:v>23488</c:v>
                </c:pt>
                <c:pt idx="649">
                  <c:v>23488</c:v>
                </c:pt>
                <c:pt idx="650">
                  <c:v>23488</c:v>
                </c:pt>
                <c:pt idx="651">
                  <c:v>23488</c:v>
                </c:pt>
                <c:pt idx="652">
                  <c:v>23488</c:v>
                </c:pt>
                <c:pt idx="653">
                  <c:v>23488</c:v>
                </c:pt>
                <c:pt idx="654">
                  <c:v>23488</c:v>
                </c:pt>
                <c:pt idx="655">
                  <c:v>23488</c:v>
                </c:pt>
                <c:pt idx="656">
                  <c:v>23488</c:v>
                </c:pt>
                <c:pt idx="657">
                  <c:v>23488</c:v>
                </c:pt>
                <c:pt idx="658">
                  <c:v>22048</c:v>
                </c:pt>
                <c:pt idx="659">
                  <c:v>22048</c:v>
                </c:pt>
                <c:pt idx="660">
                  <c:v>22048</c:v>
                </c:pt>
                <c:pt idx="661">
                  <c:v>22048</c:v>
                </c:pt>
                <c:pt idx="662">
                  <c:v>22048</c:v>
                </c:pt>
                <c:pt idx="663">
                  <c:v>18162.285714285714</c:v>
                </c:pt>
                <c:pt idx="664">
                  <c:v>16242.285714285714</c:v>
                </c:pt>
                <c:pt idx="665">
                  <c:v>20002.285714285714</c:v>
                </c:pt>
                <c:pt idx="666">
                  <c:v>16242.285714285714</c:v>
                </c:pt>
                <c:pt idx="667">
                  <c:v>16242.285714285714</c:v>
                </c:pt>
                <c:pt idx="668">
                  <c:v>17842.285714285714</c:v>
                </c:pt>
                <c:pt idx="669">
                  <c:v>17842.285714285714</c:v>
                </c:pt>
                <c:pt idx="670">
                  <c:v>17842.285714285714</c:v>
                </c:pt>
                <c:pt idx="671">
                  <c:v>17842.285714285714</c:v>
                </c:pt>
                <c:pt idx="672">
                  <c:v>17842.285714285714</c:v>
                </c:pt>
                <c:pt idx="673">
                  <c:v>17842.285714285714</c:v>
                </c:pt>
                <c:pt idx="674">
                  <c:v>17842.285714285714</c:v>
                </c:pt>
                <c:pt idx="675">
                  <c:v>17842.285714285714</c:v>
                </c:pt>
                <c:pt idx="676">
                  <c:v>17842.285714285714</c:v>
                </c:pt>
                <c:pt idx="677">
                  <c:v>17842.285714285714</c:v>
                </c:pt>
                <c:pt idx="678">
                  <c:v>17842.285714285714</c:v>
                </c:pt>
                <c:pt idx="679">
                  <c:v>17842.285714285714</c:v>
                </c:pt>
                <c:pt idx="680">
                  <c:v>17842.285714285714</c:v>
                </c:pt>
                <c:pt idx="681">
                  <c:v>17842.285714285714</c:v>
                </c:pt>
                <c:pt idx="682">
                  <c:v>17842.285714285714</c:v>
                </c:pt>
                <c:pt idx="683">
                  <c:v>17842.285714285714</c:v>
                </c:pt>
                <c:pt idx="684">
                  <c:v>17842.285714285714</c:v>
                </c:pt>
                <c:pt idx="685">
                  <c:v>17842.285714285714</c:v>
                </c:pt>
                <c:pt idx="686">
                  <c:v>17842.285714285714</c:v>
                </c:pt>
                <c:pt idx="687">
                  <c:v>17842.285714285714</c:v>
                </c:pt>
                <c:pt idx="688">
                  <c:v>17842.285714285714</c:v>
                </c:pt>
                <c:pt idx="689">
                  <c:v>17842.285714285714</c:v>
                </c:pt>
                <c:pt idx="690">
                  <c:v>17842.285714285714</c:v>
                </c:pt>
                <c:pt idx="691">
                  <c:v>17842.285714285714</c:v>
                </c:pt>
                <c:pt idx="692">
                  <c:v>17842.285714285714</c:v>
                </c:pt>
                <c:pt idx="693">
                  <c:v>17842.285714285714</c:v>
                </c:pt>
                <c:pt idx="694">
                  <c:v>17842.285714285714</c:v>
                </c:pt>
                <c:pt idx="695">
                  <c:v>17842.285714285714</c:v>
                </c:pt>
                <c:pt idx="696">
                  <c:v>17842.285714285714</c:v>
                </c:pt>
                <c:pt idx="697">
                  <c:v>17842.285714285714</c:v>
                </c:pt>
                <c:pt idx="698">
                  <c:v>17842.285714285714</c:v>
                </c:pt>
                <c:pt idx="699">
                  <c:v>17842.285714285714</c:v>
                </c:pt>
                <c:pt idx="700">
                  <c:v>17842.285714285714</c:v>
                </c:pt>
                <c:pt idx="701">
                  <c:v>20002.285714285714</c:v>
                </c:pt>
                <c:pt idx="702">
                  <c:v>17842.285714285714</c:v>
                </c:pt>
                <c:pt idx="703">
                  <c:v>17842.285714285714</c:v>
                </c:pt>
                <c:pt idx="704">
                  <c:v>17842.285714285714</c:v>
                </c:pt>
                <c:pt idx="705">
                  <c:v>17842.285714285714</c:v>
                </c:pt>
                <c:pt idx="706">
                  <c:v>17842.285714285714</c:v>
                </c:pt>
                <c:pt idx="707">
                  <c:v>17842.285714285714</c:v>
                </c:pt>
                <c:pt idx="708">
                  <c:v>18402.285714285714</c:v>
                </c:pt>
                <c:pt idx="709">
                  <c:v>20002.285714285714</c:v>
                </c:pt>
                <c:pt idx="710">
                  <c:v>20002.285714285714</c:v>
                </c:pt>
                <c:pt idx="711">
                  <c:v>20002.285714285714</c:v>
                </c:pt>
                <c:pt idx="712">
                  <c:v>20002.285714285714</c:v>
                </c:pt>
                <c:pt idx="713">
                  <c:v>20002.285714285714</c:v>
                </c:pt>
                <c:pt idx="714">
                  <c:v>20002.285714285714</c:v>
                </c:pt>
                <c:pt idx="715">
                  <c:v>20002.285714285714</c:v>
                </c:pt>
                <c:pt idx="716">
                  <c:v>20002.285714285714</c:v>
                </c:pt>
                <c:pt idx="717">
                  <c:v>20002.285714285714</c:v>
                </c:pt>
                <c:pt idx="718">
                  <c:v>20002.285714285714</c:v>
                </c:pt>
                <c:pt idx="719">
                  <c:v>20002.285714285714</c:v>
                </c:pt>
                <c:pt idx="720">
                  <c:v>20002.285714285714</c:v>
                </c:pt>
                <c:pt idx="721">
                  <c:v>20002.285714285714</c:v>
                </c:pt>
                <c:pt idx="722">
                  <c:v>20002.285714285714</c:v>
                </c:pt>
                <c:pt idx="723">
                  <c:v>20002.285714285714</c:v>
                </c:pt>
                <c:pt idx="724">
                  <c:v>20002.285714285714</c:v>
                </c:pt>
                <c:pt idx="725">
                  <c:v>20002.285714285714</c:v>
                </c:pt>
                <c:pt idx="726">
                  <c:v>20002.285714285714</c:v>
                </c:pt>
                <c:pt idx="727">
                  <c:v>20002.285714285714</c:v>
                </c:pt>
                <c:pt idx="728">
                  <c:v>20002.285714285714</c:v>
                </c:pt>
                <c:pt idx="729">
                  <c:v>20002.285714285714</c:v>
                </c:pt>
                <c:pt idx="730">
                  <c:v>18338.285714285717</c:v>
                </c:pt>
                <c:pt idx="731">
                  <c:v>17938.285714285706</c:v>
                </c:pt>
                <c:pt idx="732">
                  <c:v>20002.285714285714</c:v>
                </c:pt>
                <c:pt idx="733">
                  <c:v>20002.285714285714</c:v>
                </c:pt>
                <c:pt idx="734">
                  <c:v>20002.285714285714</c:v>
                </c:pt>
                <c:pt idx="735">
                  <c:v>20002.285714285714</c:v>
                </c:pt>
                <c:pt idx="736">
                  <c:v>20002.285714285714</c:v>
                </c:pt>
                <c:pt idx="737">
                  <c:v>17938.285714285706</c:v>
                </c:pt>
                <c:pt idx="738">
                  <c:v>20002.285714285714</c:v>
                </c:pt>
                <c:pt idx="739">
                  <c:v>20002.285714285714</c:v>
                </c:pt>
                <c:pt idx="740">
                  <c:v>21202.285714285714</c:v>
                </c:pt>
                <c:pt idx="741">
                  <c:v>20002.285714285714</c:v>
                </c:pt>
                <c:pt idx="742">
                  <c:v>20002.285714285714</c:v>
                </c:pt>
                <c:pt idx="743">
                  <c:v>20002.285714285714</c:v>
                </c:pt>
                <c:pt idx="744">
                  <c:v>20002.285714285714</c:v>
                </c:pt>
                <c:pt idx="745">
                  <c:v>21202.285714285714</c:v>
                </c:pt>
                <c:pt idx="746">
                  <c:v>20002.285714285714</c:v>
                </c:pt>
                <c:pt idx="747">
                  <c:v>20002.285714285714</c:v>
                </c:pt>
                <c:pt idx="748">
                  <c:v>20002.285714285714</c:v>
                </c:pt>
                <c:pt idx="749">
                  <c:v>20002.285714285714</c:v>
                </c:pt>
                <c:pt idx="750">
                  <c:v>20002.285714285714</c:v>
                </c:pt>
                <c:pt idx="751">
                  <c:v>20002.285714285714</c:v>
                </c:pt>
                <c:pt idx="752">
                  <c:v>20002.285714285714</c:v>
                </c:pt>
                <c:pt idx="753">
                  <c:v>21202.285714285714</c:v>
                </c:pt>
                <c:pt idx="754">
                  <c:v>21202.285714285714</c:v>
                </c:pt>
                <c:pt idx="755">
                  <c:v>21202.285714285714</c:v>
                </c:pt>
                <c:pt idx="756">
                  <c:v>21202.285714285714</c:v>
                </c:pt>
                <c:pt idx="757">
                  <c:v>21202.285714285714</c:v>
                </c:pt>
                <c:pt idx="758">
                  <c:v>21202.285714285714</c:v>
                </c:pt>
                <c:pt idx="759">
                  <c:v>21202.285714285714</c:v>
                </c:pt>
                <c:pt idx="760">
                  <c:v>21202.285714285714</c:v>
                </c:pt>
                <c:pt idx="761">
                  <c:v>21362.285714285714</c:v>
                </c:pt>
                <c:pt idx="762">
                  <c:v>21202.285714285714</c:v>
                </c:pt>
                <c:pt idx="763">
                  <c:v>21202.285714285714</c:v>
                </c:pt>
                <c:pt idx="764">
                  <c:v>21202.285714285714</c:v>
                </c:pt>
                <c:pt idx="765">
                  <c:v>21202.285714285714</c:v>
                </c:pt>
                <c:pt idx="766">
                  <c:v>21362.285714285714</c:v>
                </c:pt>
                <c:pt idx="767">
                  <c:v>21362.285714285714</c:v>
                </c:pt>
                <c:pt idx="768">
                  <c:v>21362.285714285714</c:v>
                </c:pt>
                <c:pt idx="769">
                  <c:v>21362.285714285714</c:v>
                </c:pt>
                <c:pt idx="770">
                  <c:v>21362.285714285714</c:v>
                </c:pt>
                <c:pt idx="771">
                  <c:v>21362.285714285714</c:v>
                </c:pt>
                <c:pt idx="772">
                  <c:v>21362.285714285714</c:v>
                </c:pt>
                <c:pt idx="773">
                  <c:v>21362.285714285714</c:v>
                </c:pt>
                <c:pt idx="774">
                  <c:v>24722.28571428571</c:v>
                </c:pt>
                <c:pt idx="775">
                  <c:v>21362.285714285714</c:v>
                </c:pt>
                <c:pt idx="776">
                  <c:v>21362.285714285714</c:v>
                </c:pt>
                <c:pt idx="777">
                  <c:v>21362.285714285714</c:v>
                </c:pt>
                <c:pt idx="778">
                  <c:v>21362.285714285714</c:v>
                </c:pt>
                <c:pt idx="779">
                  <c:v>21362.285714285714</c:v>
                </c:pt>
                <c:pt idx="780">
                  <c:v>21362.285714285714</c:v>
                </c:pt>
                <c:pt idx="781">
                  <c:v>21362.285714285714</c:v>
                </c:pt>
                <c:pt idx="782">
                  <c:v>21362.285714285714</c:v>
                </c:pt>
                <c:pt idx="783">
                  <c:v>21362.285714285714</c:v>
                </c:pt>
                <c:pt idx="784">
                  <c:v>24722.28571428571</c:v>
                </c:pt>
                <c:pt idx="785">
                  <c:v>21362.285714285714</c:v>
                </c:pt>
                <c:pt idx="786">
                  <c:v>21362.285714285714</c:v>
                </c:pt>
                <c:pt idx="787">
                  <c:v>24722.28571428571</c:v>
                </c:pt>
                <c:pt idx="788">
                  <c:v>21362.285714285714</c:v>
                </c:pt>
                <c:pt idx="789">
                  <c:v>21362.285714285714</c:v>
                </c:pt>
                <c:pt idx="790">
                  <c:v>22962.285714285714</c:v>
                </c:pt>
                <c:pt idx="791">
                  <c:v>23762.28571428571</c:v>
                </c:pt>
                <c:pt idx="792">
                  <c:v>24722.28571428571</c:v>
                </c:pt>
                <c:pt idx="793">
                  <c:v>24722.28571428571</c:v>
                </c:pt>
                <c:pt idx="794">
                  <c:v>25058.28571428571</c:v>
                </c:pt>
                <c:pt idx="795">
                  <c:v>24722.28571428571</c:v>
                </c:pt>
                <c:pt idx="796">
                  <c:v>24722.28571428571</c:v>
                </c:pt>
                <c:pt idx="797">
                  <c:v>25058.28571428571</c:v>
                </c:pt>
                <c:pt idx="798">
                  <c:v>24722.28571428571</c:v>
                </c:pt>
                <c:pt idx="799">
                  <c:v>24722.28571428571</c:v>
                </c:pt>
                <c:pt idx="800">
                  <c:v>23922.28571428571</c:v>
                </c:pt>
                <c:pt idx="801">
                  <c:v>25058.28571428571</c:v>
                </c:pt>
                <c:pt idx="802">
                  <c:v>24722.28571428571</c:v>
                </c:pt>
                <c:pt idx="803">
                  <c:v>24722.28571428571</c:v>
                </c:pt>
                <c:pt idx="804">
                  <c:v>24722.28571428571</c:v>
                </c:pt>
                <c:pt idx="805">
                  <c:v>23922.28571428571</c:v>
                </c:pt>
                <c:pt idx="806">
                  <c:v>23922.28571428571</c:v>
                </c:pt>
                <c:pt idx="807">
                  <c:v>23922.28571428571</c:v>
                </c:pt>
                <c:pt idx="808">
                  <c:v>23922.28571428571</c:v>
                </c:pt>
                <c:pt idx="809">
                  <c:v>23922.28571428571</c:v>
                </c:pt>
                <c:pt idx="810">
                  <c:v>23922.28571428571</c:v>
                </c:pt>
                <c:pt idx="811">
                  <c:v>23922.28571428571</c:v>
                </c:pt>
                <c:pt idx="812">
                  <c:v>25058.28571428571</c:v>
                </c:pt>
                <c:pt idx="813">
                  <c:v>17938.285714285706</c:v>
                </c:pt>
                <c:pt idx="814">
                  <c:v>23922.28571428571</c:v>
                </c:pt>
                <c:pt idx="815">
                  <c:v>24402.28571428571</c:v>
                </c:pt>
                <c:pt idx="816">
                  <c:v>25058.28571428571</c:v>
                </c:pt>
                <c:pt idx="817">
                  <c:v>24402.28571428571</c:v>
                </c:pt>
                <c:pt idx="818">
                  <c:v>24402.28571428571</c:v>
                </c:pt>
                <c:pt idx="819">
                  <c:v>24402.28571428571</c:v>
                </c:pt>
                <c:pt idx="820">
                  <c:v>24402.28571428571</c:v>
                </c:pt>
                <c:pt idx="821">
                  <c:v>25058.28571428571</c:v>
                </c:pt>
                <c:pt idx="822">
                  <c:v>17938.285714285706</c:v>
                </c:pt>
                <c:pt idx="823">
                  <c:v>25058.28571428571</c:v>
                </c:pt>
                <c:pt idx="824">
                  <c:v>25058.28571428571</c:v>
                </c:pt>
                <c:pt idx="825">
                  <c:v>25058.28571428571</c:v>
                </c:pt>
                <c:pt idx="826">
                  <c:v>17938.285714285706</c:v>
                </c:pt>
                <c:pt idx="827">
                  <c:v>17938.285714285706</c:v>
                </c:pt>
                <c:pt idx="828">
                  <c:v>25058.28571428571</c:v>
                </c:pt>
                <c:pt idx="829">
                  <c:v>25058.28571428571</c:v>
                </c:pt>
                <c:pt idx="830">
                  <c:v>25058.28571428571</c:v>
                </c:pt>
                <c:pt idx="831">
                  <c:v>25058.28571428571</c:v>
                </c:pt>
                <c:pt idx="832">
                  <c:v>25058.28571428571</c:v>
                </c:pt>
                <c:pt idx="833">
                  <c:v>17938.285714285706</c:v>
                </c:pt>
                <c:pt idx="834">
                  <c:v>17938.285714285706</c:v>
                </c:pt>
                <c:pt idx="835">
                  <c:v>25058.28571428571</c:v>
                </c:pt>
                <c:pt idx="836">
                  <c:v>17938.285714285706</c:v>
                </c:pt>
                <c:pt idx="837">
                  <c:v>17938.285714285706</c:v>
                </c:pt>
                <c:pt idx="838">
                  <c:v>25058.28571428571</c:v>
                </c:pt>
                <c:pt idx="839">
                  <c:v>27810.285714285706</c:v>
                </c:pt>
                <c:pt idx="840">
                  <c:v>27810.285714285706</c:v>
                </c:pt>
                <c:pt idx="841">
                  <c:v>27810.285714285706</c:v>
                </c:pt>
                <c:pt idx="842">
                  <c:v>27810.285714285706</c:v>
                </c:pt>
                <c:pt idx="843">
                  <c:v>27810.285714285706</c:v>
                </c:pt>
                <c:pt idx="844">
                  <c:v>19138.285714285706</c:v>
                </c:pt>
                <c:pt idx="845">
                  <c:v>17938.285714285706</c:v>
                </c:pt>
                <c:pt idx="846">
                  <c:v>27810.285714285706</c:v>
                </c:pt>
                <c:pt idx="847">
                  <c:v>27810.285714285706</c:v>
                </c:pt>
                <c:pt idx="848">
                  <c:v>19138.285714285706</c:v>
                </c:pt>
                <c:pt idx="849">
                  <c:v>17938.285714285706</c:v>
                </c:pt>
                <c:pt idx="850">
                  <c:v>27810.285714285706</c:v>
                </c:pt>
                <c:pt idx="851">
                  <c:v>27810.285714285706</c:v>
                </c:pt>
                <c:pt idx="852">
                  <c:v>27810.285714285706</c:v>
                </c:pt>
                <c:pt idx="853">
                  <c:v>27810.285714285706</c:v>
                </c:pt>
                <c:pt idx="854">
                  <c:v>26530.285714285706</c:v>
                </c:pt>
                <c:pt idx="855">
                  <c:v>26530.285714285706</c:v>
                </c:pt>
                <c:pt idx="856">
                  <c:v>24130.285714285706</c:v>
                </c:pt>
                <c:pt idx="857">
                  <c:v>24130.285714285706</c:v>
                </c:pt>
                <c:pt idx="858">
                  <c:v>20930.285714285706</c:v>
                </c:pt>
                <c:pt idx="859">
                  <c:v>19138.285714285706</c:v>
                </c:pt>
                <c:pt idx="860">
                  <c:v>19138.285714285706</c:v>
                </c:pt>
                <c:pt idx="861">
                  <c:v>17938.285714285706</c:v>
                </c:pt>
                <c:pt idx="862">
                  <c:v>17938.285714285706</c:v>
                </c:pt>
                <c:pt idx="863">
                  <c:v>19138.285714285706</c:v>
                </c:pt>
                <c:pt idx="864">
                  <c:v>19138.285714285706</c:v>
                </c:pt>
                <c:pt idx="865">
                  <c:v>17938.285714285706</c:v>
                </c:pt>
                <c:pt idx="866">
                  <c:v>17938.285714285706</c:v>
                </c:pt>
                <c:pt idx="867">
                  <c:v>17938.285714285706</c:v>
                </c:pt>
                <c:pt idx="868">
                  <c:v>17938.285714285706</c:v>
                </c:pt>
                <c:pt idx="869">
                  <c:v>17938.285714285706</c:v>
                </c:pt>
                <c:pt idx="870">
                  <c:v>17938.285714285706</c:v>
                </c:pt>
                <c:pt idx="871">
                  <c:v>17938.285714285706</c:v>
                </c:pt>
                <c:pt idx="872">
                  <c:v>17938.285714285706</c:v>
                </c:pt>
                <c:pt idx="873">
                  <c:v>17938.285714285706</c:v>
                </c:pt>
                <c:pt idx="874">
                  <c:v>17938.285714285706</c:v>
                </c:pt>
                <c:pt idx="875">
                  <c:v>17938.285714285706</c:v>
                </c:pt>
                <c:pt idx="876">
                  <c:v>17938.285714285706</c:v>
                </c:pt>
                <c:pt idx="877">
                  <c:v>17938.285714285706</c:v>
                </c:pt>
                <c:pt idx="878">
                  <c:v>17938.285714285706</c:v>
                </c:pt>
                <c:pt idx="879">
                  <c:v>17938.285714285706</c:v>
                </c:pt>
                <c:pt idx="880">
                  <c:v>17938.285714285706</c:v>
                </c:pt>
                <c:pt idx="881">
                  <c:v>17938.285714285706</c:v>
                </c:pt>
                <c:pt idx="882">
                  <c:v>17938.285714285706</c:v>
                </c:pt>
                <c:pt idx="883">
                  <c:v>17938.285714285706</c:v>
                </c:pt>
                <c:pt idx="884">
                  <c:v>17938.285714285706</c:v>
                </c:pt>
                <c:pt idx="885">
                  <c:v>17938.285714285706</c:v>
                </c:pt>
                <c:pt idx="886">
                  <c:v>17938.285714285706</c:v>
                </c:pt>
                <c:pt idx="887">
                  <c:v>-42.393045297317478</c:v>
                </c:pt>
                <c:pt idx="888">
                  <c:v>17938.285714285706</c:v>
                </c:pt>
                <c:pt idx="889">
                  <c:v>17938.285714285706</c:v>
                </c:pt>
                <c:pt idx="890">
                  <c:v>17938.285714285706</c:v>
                </c:pt>
                <c:pt idx="891">
                  <c:v>17938.285714285706</c:v>
                </c:pt>
                <c:pt idx="892">
                  <c:v>17938.285714285706</c:v>
                </c:pt>
                <c:pt idx="893">
                  <c:v>17938.285714285706</c:v>
                </c:pt>
                <c:pt idx="894">
                  <c:v>17938.285714285706</c:v>
                </c:pt>
                <c:pt idx="895">
                  <c:v>17938.285714285706</c:v>
                </c:pt>
                <c:pt idx="896">
                  <c:v>17938.285714285706</c:v>
                </c:pt>
                <c:pt idx="897">
                  <c:v>17938.285714285706</c:v>
                </c:pt>
                <c:pt idx="898">
                  <c:v>17938.285714285706</c:v>
                </c:pt>
                <c:pt idx="899">
                  <c:v>17938.285714285706</c:v>
                </c:pt>
                <c:pt idx="900">
                  <c:v>17938.285714285706</c:v>
                </c:pt>
                <c:pt idx="901">
                  <c:v>16866.285714285717</c:v>
                </c:pt>
                <c:pt idx="902">
                  <c:v>17938.285714285706</c:v>
                </c:pt>
                <c:pt idx="903">
                  <c:v>17938.285714285706</c:v>
                </c:pt>
                <c:pt idx="904">
                  <c:v>17938.285714285706</c:v>
                </c:pt>
                <c:pt idx="905">
                  <c:v>17938.285714285706</c:v>
                </c:pt>
                <c:pt idx="906">
                  <c:v>17938.285714285706</c:v>
                </c:pt>
                <c:pt idx="907">
                  <c:v>17938.285714285706</c:v>
                </c:pt>
                <c:pt idx="908">
                  <c:v>17938.285714285706</c:v>
                </c:pt>
                <c:pt idx="909">
                  <c:v>17938.285714285706</c:v>
                </c:pt>
                <c:pt idx="910">
                  <c:v>17938.285714285706</c:v>
                </c:pt>
                <c:pt idx="911">
                  <c:v>16866.285714285717</c:v>
                </c:pt>
                <c:pt idx="912">
                  <c:v>16610.28571428571</c:v>
                </c:pt>
                <c:pt idx="913">
                  <c:v>16610.28571428571</c:v>
                </c:pt>
                <c:pt idx="914">
                  <c:v>16610.28571428571</c:v>
                </c:pt>
                <c:pt idx="915">
                  <c:v>16610.28571428571</c:v>
                </c:pt>
                <c:pt idx="916">
                  <c:v>16610.28571428571</c:v>
                </c:pt>
                <c:pt idx="917">
                  <c:v>16866.285714285717</c:v>
                </c:pt>
                <c:pt idx="918">
                  <c:v>16866.285714285717</c:v>
                </c:pt>
                <c:pt idx="919">
                  <c:v>16866.285714285717</c:v>
                </c:pt>
                <c:pt idx="920">
                  <c:v>16866.285714285717</c:v>
                </c:pt>
                <c:pt idx="921">
                  <c:v>16866.285714285717</c:v>
                </c:pt>
                <c:pt idx="922">
                  <c:v>16866.285714285717</c:v>
                </c:pt>
                <c:pt idx="923">
                  <c:v>16866.285714285717</c:v>
                </c:pt>
                <c:pt idx="924">
                  <c:v>16866.285714285717</c:v>
                </c:pt>
                <c:pt idx="925">
                  <c:v>16866.285714285717</c:v>
                </c:pt>
                <c:pt idx="926">
                  <c:v>16866.285714285717</c:v>
                </c:pt>
                <c:pt idx="927">
                  <c:v>16866.285714285717</c:v>
                </c:pt>
                <c:pt idx="928">
                  <c:v>16866.285714285717</c:v>
                </c:pt>
                <c:pt idx="929">
                  <c:v>18338.285714285717</c:v>
                </c:pt>
                <c:pt idx="930">
                  <c:v>17394.285714285717</c:v>
                </c:pt>
                <c:pt idx="931">
                  <c:v>17394.285714285717</c:v>
                </c:pt>
                <c:pt idx="932">
                  <c:v>17394.285714285717</c:v>
                </c:pt>
                <c:pt idx="933">
                  <c:v>17394.285714285717</c:v>
                </c:pt>
                <c:pt idx="934">
                  <c:v>17634.285714285717</c:v>
                </c:pt>
                <c:pt idx="935">
                  <c:v>17890.285714285717</c:v>
                </c:pt>
                <c:pt idx="936">
                  <c:v>17890.285714285717</c:v>
                </c:pt>
                <c:pt idx="937">
                  <c:v>17890.285714285717</c:v>
                </c:pt>
                <c:pt idx="938">
                  <c:v>18338.285714285717</c:v>
                </c:pt>
                <c:pt idx="939">
                  <c:v>17890.285714285717</c:v>
                </c:pt>
                <c:pt idx="940">
                  <c:v>18034.285714285717</c:v>
                </c:pt>
                <c:pt idx="941">
                  <c:v>18034.285714285717</c:v>
                </c:pt>
                <c:pt idx="942">
                  <c:v>18034.285714285717</c:v>
                </c:pt>
                <c:pt idx="943">
                  <c:v>18034.285714285717</c:v>
                </c:pt>
                <c:pt idx="944">
                  <c:v>17570.285714285717</c:v>
                </c:pt>
                <c:pt idx="945">
                  <c:v>17570.285714285717</c:v>
                </c:pt>
                <c:pt idx="946">
                  <c:v>18290.285714285717</c:v>
                </c:pt>
                <c:pt idx="947">
                  <c:v>17570.285714285717</c:v>
                </c:pt>
                <c:pt idx="948">
                  <c:v>17570.285714285717</c:v>
                </c:pt>
                <c:pt idx="949">
                  <c:v>17570.285714285717</c:v>
                </c:pt>
                <c:pt idx="950">
                  <c:v>17570.285714285717</c:v>
                </c:pt>
                <c:pt idx="951">
                  <c:v>17570.285714285717</c:v>
                </c:pt>
                <c:pt idx="952">
                  <c:v>17570.285714285717</c:v>
                </c:pt>
                <c:pt idx="953">
                  <c:v>17570.285714285717</c:v>
                </c:pt>
                <c:pt idx="954">
                  <c:v>17570.285714285717</c:v>
                </c:pt>
                <c:pt idx="955">
                  <c:v>17570.285714285717</c:v>
                </c:pt>
                <c:pt idx="956">
                  <c:v>18290.285714285717</c:v>
                </c:pt>
                <c:pt idx="957">
                  <c:v>17570.285714285717</c:v>
                </c:pt>
                <c:pt idx="958">
                  <c:v>17570.285714285717</c:v>
                </c:pt>
                <c:pt idx="959">
                  <c:v>18290.285714285717</c:v>
                </c:pt>
                <c:pt idx="960">
                  <c:v>17570.285714285717</c:v>
                </c:pt>
                <c:pt idx="961">
                  <c:v>17714.285714285717</c:v>
                </c:pt>
                <c:pt idx="962">
                  <c:v>18290.285714285717</c:v>
                </c:pt>
                <c:pt idx="963">
                  <c:v>18290.285714285717</c:v>
                </c:pt>
                <c:pt idx="964">
                  <c:v>18290.285714285717</c:v>
                </c:pt>
                <c:pt idx="965">
                  <c:v>18290.285714285717</c:v>
                </c:pt>
                <c:pt idx="966">
                  <c:v>18290.285714285717</c:v>
                </c:pt>
                <c:pt idx="967">
                  <c:v>18290.285714285717</c:v>
                </c:pt>
                <c:pt idx="968">
                  <c:v>18290.285714285717</c:v>
                </c:pt>
                <c:pt idx="969">
                  <c:v>18290.285714285717</c:v>
                </c:pt>
                <c:pt idx="970">
                  <c:v>18290.285714285717</c:v>
                </c:pt>
                <c:pt idx="971">
                  <c:v>18290.285714285717</c:v>
                </c:pt>
                <c:pt idx="972">
                  <c:v>18290.285714285717</c:v>
                </c:pt>
                <c:pt idx="973">
                  <c:v>18290.285714285717</c:v>
                </c:pt>
                <c:pt idx="974">
                  <c:v>18290.285714285717</c:v>
                </c:pt>
                <c:pt idx="975">
                  <c:v>18290.285714285717</c:v>
                </c:pt>
                <c:pt idx="976">
                  <c:v>18290.285714285717</c:v>
                </c:pt>
                <c:pt idx="977">
                  <c:v>18290.285714285717</c:v>
                </c:pt>
                <c:pt idx="978">
                  <c:v>18338.285714285717</c:v>
                </c:pt>
                <c:pt idx="979">
                  <c:v>18338.285714285717</c:v>
                </c:pt>
                <c:pt idx="980">
                  <c:v>18338.285714285717</c:v>
                </c:pt>
                <c:pt idx="981">
                  <c:v>18338.285714285717</c:v>
                </c:pt>
                <c:pt idx="982">
                  <c:v>18338.285714285717</c:v>
                </c:pt>
                <c:pt idx="983">
                  <c:v>18338.285714285717</c:v>
                </c:pt>
                <c:pt idx="984">
                  <c:v>18338.285714285717</c:v>
                </c:pt>
                <c:pt idx="985">
                  <c:v>18338.285714285717</c:v>
                </c:pt>
                <c:pt idx="986">
                  <c:v>18338.285714285717</c:v>
                </c:pt>
                <c:pt idx="987">
                  <c:v>18338.285714285717</c:v>
                </c:pt>
                <c:pt idx="988">
                  <c:v>18338.285714285717</c:v>
                </c:pt>
                <c:pt idx="989">
                  <c:v>18850.285714285717</c:v>
                </c:pt>
                <c:pt idx="990">
                  <c:v>18850.285714285717</c:v>
                </c:pt>
                <c:pt idx="991">
                  <c:v>18802.285714285717</c:v>
                </c:pt>
                <c:pt idx="992">
                  <c:v>18802.285714285717</c:v>
                </c:pt>
                <c:pt idx="993">
                  <c:v>18802.285714285717</c:v>
                </c:pt>
                <c:pt idx="994">
                  <c:v>18802.285714285717</c:v>
                </c:pt>
                <c:pt idx="995">
                  <c:v>18802.285714285717</c:v>
                </c:pt>
                <c:pt idx="996">
                  <c:v>18802.285714285717</c:v>
                </c:pt>
                <c:pt idx="997">
                  <c:v>18850.285714285717</c:v>
                </c:pt>
                <c:pt idx="998">
                  <c:v>19106.285714285717</c:v>
                </c:pt>
                <c:pt idx="999">
                  <c:v>18242.285714285717</c:v>
                </c:pt>
                <c:pt idx="1000">
                  <c:v>15682.285714285717</c:v>
                </c:pt>
                <c:pt idx="1001">
                  <c:v>15682.285714285717</c:v>
                </c:pt>
                <c:pt idx="1002">
                  <c:v>15874.285714285717</c:v>
                </c:pt>
                <c:pt idx="1003">
                  <c:v>15874.285714285717</c:v>
                </c:pt>
                <c:pt idx="1004">
                  <c:v>15874.285714285717</c:v>
                </c:pt>
                <c:pt idx="1005">
                  <c:v>15874.285714285717</c:v>
                </c:pt>
                <c:pt idx="1006">
                  <c:v>15874.285714285717</c:v>
                </c:pt>
                <c:pt idx="1007">
                  <c:v>15874.285714285717</c:v>
                </c:pt>
                <c:pt idx="1008">
                  <c:v>15874.285714285717</c:v>
                </c:pt>
                <c:pt idx="1009">
                  <c:v>15874.285714285717</c:v>
                </c:pt>
                <c:pt idx="1010">
                  <c:v>15874.285714285717</c:v>
                </c:pt>
                <c:pt idx="1011">
                  <c:v>15874.285714285717</c:v>
                </c:pt>
                <c:pt idx="1012">
                  <c:v>15874.285714285717</c:v>
                </c:pt>
                <c:pt idx="1013">
                  <c:v>15874.285714285717</c:v>
                </c:pt>
                <c:pt idx="1014">
                  <c:v>16018.285714285717</c:v>
                </c:pt>
                <c:pt idx="1015">
                  <c:v>15874.285714285717</c:v>
                </c:pt>
                <c:pt idx="1016">
                  <c:v>15874.285714285717</c:v>
                </c:pt>
                <c:pt idx="1017">
                  <c:v>15874.285714285717</c:v>
                </c:pt>
                <c:pt idx="1018">
                  <c:v>15778.285714285717</c:v>
                </c:pt>
                <c:pt idx="1019">
                  <c:v>15650.285714285717</c:v>
                </c:pt>
                <c:pt idx="1020">
                  <c:v>15650.285714285717</c:v>
                </c:pt>
                <c:pt idx="1021">
                  <c:v>15650.285714285717</c:v>
                </c:pt>
                <c:pt idx="1022">
                  <c:v>15650.285714285717</c:v>
                </c:pt>
                <c:pt idx="1023">
                  <c:v>15650.285714285717</c:v>
                </c:pt>
                <c:pt idx="1024">
                  <c:v>15650.285714285717</c:v>
                </c:pt>
                <c:pt idx="1026">
                  <c:v>256.00000000000466</c:v>
                </c:pt>
                <c:pt idx="1027">
                  <c:v>256.00000000000466</c:v>
                </c:pt>
                <c:pt idx="1028">
                  <c:v>256.00000000000466</c:v>
                </c:pt>
                <c:pt idx="1029">
                  <c:v>256.00000000000466</c:v>
                </c:pt>
                <c:pt idx="1030">
                  <c:v>256.00000000000466</c:v>
                </c:pt>
                <c:pt idx="1031">
                  <c:v>256.00000000000466</c:v>
                </c:pt>
                <c:pt idx="1032">
                  <c:v>256.00000000000466</c:v>
                </c:pt>
                <c:pt idx="1033">
                  <c:v>256.00000000000466</c:v>
                </c:pt>
                <c:pt idx="1034">
                  <c:v>256.00000000000466</c:v>
                </c:pt>
                <c:pt idx="1035">
                  <c:v>256.00000000000466</c:v>
                </c:pt>
                <c:pt idx="1036">
                  <c:v>256.00000000000466</c:v>
                </c:pt>
                <c:pt idx="1037">
                  <c:v>256.00000000000466</c:v>
                </c:pt>
                <c:pt idx="1038">
                  <c:v>256.00000000000466</c:v>
                </c:pt>
                <c:pt idx="1039">
                  <c:v>256.00000000000466</c:v>
                </c:pt>
                <c:pt idx="1040">
                  <c:v>256.00000000000466</c:v>
                </c:pt>
                <c:pt idx="1041">
                  <c:v>256.00000000000466</c:v>
                </c:pt>
                <c:pt idx="1042">
                  <c:v>256.00000000000466</c:v>
                </c:pt>
                <c:pt idx="1043">
                  <c:v>256.00000000000466</c:v>
                </c:pt>
                <c:pt idx="1044">
                  <c:v>256.00000000000466</c:v>
                </c:pt>
                <c:pt idx="1045">
                  <c:v>256.00000000000466</c:v>
                </c:pt>
                <c:pt idx="1046">
                  <c:v>256.00000000000466</c:v>
                </c:pt>
                <c:pt idx="1047">
                  <c:v>256.00000000000466</c:v>
                </c:pt>
                <c:pt idx="1048">
                  <c:v>256.00000000000466</c:v>
                </c:pt>
                <c:pt idx="1049">
                  <c:v>256.00000000000466</c:v>
                </c:pt>
                <c:pt idx="1050">
                  <c:v>256.00000000000466</c:v>
                </c:pt>
                <c:pt idx="1051">
                  <c:v>256.00000000000466</c:v>
                </c:pt>
                <c:pt idx="1052">
                  <c:v>256.00000000000466</c:v>
                </c:pt>
                <c:pt idx="1053">
                  <c:v>256.00000000000466</c:v>
                </c:pt>
                <c:pt idx="1054">
                  <c:v>256.00000000000466</c:v>
                </c:pt>
                <c:pt idx="1055">
                  <c:v>256.00000000000466</c:v>
                </c:pt>
                <c:pt idx="1056">
                  <c:v>256.00000000000466</c:v>
                </c:pt>
                <c:pt idx="1057">
                  <c:v>256.00000000000466</c:v>
                </c:pt>
                <c:pt idx="1058">
                  <c:v>256.00000000000466</c:v>
                </c:pt>
                <c:pt idx="1059">
                  <c:v>256.00000000000466</c:v>
                </c:pt>
                <c:pt idx="1060">
                  <c:v>256.00000000000466</c:v>
                </c:pt>
                <c:pt idx="1061">
                  <c:v>256.00000000000466</c:v>
                </c:pt>
                <c:pt idx="1062">
                  <c:v>256.00000000000466</c:v>
                </c:pt>
                <c:pt idx="1063">
                  <c:v>256.00000000000466</c:v>
                </c:pt>
                <c:pt idx="1064">
                  <c:v>256.00000000000466</c:v>
                </c:pt>
                <c:pt idx="1065">
                  <c:v>256.00000000000466</c:v>
                </c:pt>
                <c:pt idx="1066">
                  <c:v>256.00000000000466</c:v>
                </c:pt>
                <c:pt idx="1067">
                  <c:v>256.00000000000466</c:v>
                </c:pt>
                <c:pt idx="1068">
                  <c:v>256.00000000000466</c:v>
                </c:pt>
                <c:pt idx="1069">
                  <c:v>256.00000000000466</c:v>
                </c:pt>
                <c:pt idx="1070">
                  <c:v>256.00000000000466</c:v>
                </c:pt>
                <c:pt idx="1071">
                  <c:v>256.00000000000466</c:v>
                </c:pt>
                <c:pt idx="1072">
                  <c:v>256.00000000000466</c:v>
                </c:pt>
                <c:pt idx="1073">
                  <c:v>256.00000000000466</c:v>
                </c:pt>
                <c:pt idx="1074">
                  <c:v>256.00000000000466</c:v>
                </c:pt>
                <c:pt idx="1075">
                  <c:v>256.00000000000466</c:v>
                </c:pt>
                <c:pt idx="1076">
                  <c:v>256.00000000000466</c:v>
                </c:pt>
                <c:pt idx="1077">
                  <c:v>256.00000000000466</c:v>
                </c:pt>
                <c:pt idx="1078">
                  <c:v>256.00000000000466</c:v>
                </c:pt>
                <c:pt idx="1079">
                  <c:v>256.00000000000466</c:v>
                </c:pt>
                <c:pt idx="1080">
                  <c:v>256.00000000000466</c:v>
                </c:pt>
                <c:pt idx="1081">
                  <c:v>256.00000000000466</c:v>
                </c:pt>
                <c:pt idx="1082">
                  <c:v>256.00000000000466</c:v>
                </c:pt>
                <c:pt idx="1083">
                  <c:v>256.00000000000466</c:v>
                </c:pt>
                <c:pt idx="1084">
                  <c:v>256.00000000000466</c:v>
                </c:pt>
                <c:pt idx="1085">
                  <c:v>256.00000000000466</c:v>
                </c:pt>
                <c:pt idx="1086">
                  <c:v>256.00000000000466</c:v>
                </c:pt>
                <c:pt idx="1087">
                  <c:v>256.00000000000466</c:v>
                </c:pt>
                <c:pt idx="1088">
                  <c:v>256.00000000000466</c:v>
                </c:pt>
                <c:pt idx="1089">
                  <c:v>256.00000000000466</c:v>
                </c:pt>
                <c:pt idx="1090">
                  <c:v>256.00000000000466</c:v>
                </c:pt>
                <c:pt idx="1091">
                  <c:v>256.00000000000466</c:v>
                </c:pt>
                <c:pt idx="1092">
                  <c:v>256.00000000000466</c:v>
                </c:pt>
                <c:pt idx="1093">
                  <c:v>256.00000000000466</c:v>
                </c:pt>
                <c:pt idx="1094">
                  <c:v>256.00000000000466</c:v>
                </c:pt>
                <c:pt idx="1095">
                  <c:v>256.00000000000466</c:v>
                </c:pt>
                <c:pt idx="1096">
                  <c:v>256.00000000000466</c:v>
                </c:pt>
                <c:pt idx="1097">
                  <c:v>256.00000000000466</c:v>
                </c:pt>
                <c:pt idx="1098">
                  <c:v>256.00000000000466</c:v>
                </c:pt>
                <c:pt idx="1099">
                  <c:v>256.00000000000466</c:v>
                </c:pt>
                <c:pt idx="1100">
                  <c:v>256.00000000000466</c:v>
                </c:pt>
                <c:pt idx="1101">
                  <c:v>256.00000000000466</c:v>
                </c:pt>
                <c:pt idx="1102">
                  <c:v>256.00000000000466</c:v>
                </c:pt>
                <c:pt idx="1103">
                  <c:v>256.00000000000466</c:v>
                </c:pt>
                <c:pt idx="1104">
                  <c:v>256.00000000000466</c:v>
                </c:pt>
                <c:pt idx="1105">
                  <c:v>256.00000000000466</c:v>
                </c:pt>
                <c:pt idx="1106">
                  <c:v>256.00000000000466</c:v>
                </c:pt>
                <c:pt idx="1107">
                  <c:v>256.00000000000466</c:v>
                </c:pt>
                <c:pt idx="1108">
                  <c:v>256.00000000000466</c:v>
                </c:pt>
                <c:pt idx="1109">
                  <c:v>256.00000000000466</c:v>
                </c:pt>
                <c:pt idx="1110">
                  <c:v>256.00000000000466</c:v>
                </c:pt>
                <c:pt idx="1111">
                  <c:v>256.00000000000466</c:v>
                </c:pt>
                <c:pt idx="1112">
                  <c:v>256.00000000000466</c:v>
                </c:pt>
                <c:pt idx="1113">
                  <c:v>256.00000000000466</c:v>
                </c:pt>
                <c:pt idx="1114">
                  <c:v>256.00000000000466</c:v>
                </c:pt>
                <c:pt idx="1115">
                  <c:v>256.00000000000466</c:v>
                </c:pt>
                <c:pt idx="1116">
                  <c:v>256.00000000000466</c:v>
                </c:pt>
                <c:pt idx="1117">
                  <c:v>256.00000000000466</c:v>
                </c:pt>
                <c:pt idx="1118">
                  <c:v>256.00000000000466</c:v>
                </c:pt>
                <c:pt idx="1119">
                  <c:v>256.00000000000466</c:v>
                </c:pt>
                <c:pt idx="1120">
                  <c:v>256.00000000000466</c:v>
                </c:pt>
                <c:pt idx="1121">
                  <c:v>256.00000000000466</c:v>
                </c:pt>
                <c:pt idx="1122">
                  <c:v>256.00000000000466</c:v>
                </c:pt>
                <c:pt idx="1123">
                  <c:v>256.00000000000466</c:v>
                </c:pt>
                <c:pt idx="1124">
                  <c:v>256.00000000000466</c:v>
                </c:pt>
                <c:pt idx="1125">
                  <c:v>256.00000000000466</c:v>
                </c:pt>
                <c:pt idx="1126">
                  <c:v>256.00000000000466</c:v>
                </c:pt>
                <c:pt idx="1127">
                  <c:v>256.00000000000466</c:v>
                </c:pt>
                <c:pt idx="1128">
                  <c:v>256.00000000000466</c:v>
                </c:pt>
                <c:pt idx="1129">
                  <c:v>256.00000000000466</c:v>
                </c:pt>
                <c:pt idx="1130">
                  <c:v>256.00000000000466</c:v>
                </c:pt>
                <c:pt idx="1131">
                  <c:v>256.00000000000466</c:v>
                </c:pt>
                <c:pt idx="1132">
                  <c:v>256.00000000000466</c:v>
                </c:pt>
                <c:pt idx="1133">
                  <c:v>256.00000000000466</c:v>
                </c:pt>
                <c:pt idx="1134">
                  <c:v>256.00000000000466</c:v>
                </c:pt>
                <c:pt idx="1135">
                  <c:v>256.00000000000466</c:v>
                </c:pt>
                <c:pt idx="1136">
                  <c:v>256.00000000000466</c:v>
                </c:pt>
                <c:pt idx="1137">
                  <c:v>256.00000000000466</c:v>
                </c:pt>
                <c:pt idx="1138">
                  <c:v>256.00000000000466</c:v>
                </c:pt>
                <c:pt idx="1139">
                  <c:v>256.00000000000466</c:v>
                </c:pt>
                <c:pt idx="1140">
                  <c:v>256.00000000000466</c:v>
                </c:pt>
                <c:pt idx="1141">
                  <c:v>256.00000000000466</c:v>
                </c:pt>
                <c:pt idx="1142">
                  <c:v>256.00000000000466</c:v>
                </c:pt>
                <c:pt idx="1143">
                  <c:v>256.00000000000466</c:v>
                </c:pt>
                <c:pt idx="1144">
                  <c:v>256.00000000000466</c:v>
                </c:pt>
                <c:pt idx="1145">
                  <c:v>256.00000000000466</c:v>
                </c:pt>
                <c:pt idx="1146">
                  <c:v>256.00000000000466</c:v>
                </c:pt>
                <c:pt idx="1147">
                  <c:v>256.00000000000466</c:v>
                </c:pt>
                <c:pt idx="1148">
                  <c:v>256.00000000000466</c:v>
                </c:pt>
                <c:pt idx="1149">
                  <c:v>256.00000000000466</c:v>
                </c:pt>
                <c:pt idx="1150">
                  <c:v>256.00000000000466</c:v>
                </c:pt>
                <c:pt idx="1151">
                  <c:v>256.00000000000466</c:v>
                </c:pt>
                <c:pt idx="1152">
                  <c:v>256.00000000000466</c:v>
                </c:pt>
                <c:pt idx="1153">
                  <c:v>256.00000000000466</c:v>
                </c:pt>
                <c:pt idx="1154">
                  <c:v>256.00000000000466</c:v>
                </c:pt>
                <c:pt idx="1155">
                  <c:v>256.00000000000466</c:v>
                </c:pt>
                <c:pt idx="1156">
                  <c:v>256.00000000000466</c:v>
                </c:pt>
                <c:pt idx="1157">
                  <c:v>256.00000000000466</c:v>
                </c:pt>
                <c:pt idx="1158">
                  <c:v>256.00000000000466</c:v>
                </c:pt>
                <c:pt idx="1159">
                  <c:v>256.00000000000466</c:v>
                </c:pt>
                <c:pt idx="1160">
                  <c:v>256.00000000000466</c:v>
                </c:pt>
                <c:pt idx="1161">
                  <c:v>256.00000000000466</c:v>
                </c:pt>
                <c:pt idx="1162">
                  <c:v>256.00000000000466</c:v>
                </c:pt>
                <c:pt idx="1163">
                  <c:v>256.00000000000466</c:v>
                </c:pt>
                <c:pt idx="1164">
                  <c:v>256.00000000000466</c:v>
                </c:pt>
                <c:pt idx="1165">
                  <c:v>256.00000000000466</c:v>
                </c:pt>
                <c:pt idx="1166">
                  <c:v>256.00000000000466</c:v>
                </c:pt>
                <c:pt idx="1167">
                  <c:v>256.00000000000466</c:v>
                </c:pt>
                <c:pt idx="1168">
                  <c:v>256.00000000000466</c:v>
                </c:pt>
                <c:pt idx="1169">
                  <c:v>256.00000000000466</c:v>
                </c:pt>
                <c:pt idx="1170">
                  <c:v>256.00000000000466</c:v>
                </c:pt>
                <c:pt idx="1171">
                  <c:v>256.00000000000466</c:v>
                </c:pt>
                <c:pt idx="1172">
                  <c:v>256.00000000000466</c:v>
                </c:pt>
                <c:pt idx="1173">
                  <c:v>256.00000000000466</c:v>
                </c:pt>
                <c:pt idx="1174">
                  <c:v>256.00000000000466</c:v>
                </c:pt>
                <c:pt idx="1175">
                  <c:v>256.00000000000466</c:v>
                </c:pt>
                <c:pt idx="1176">
                  <c:v>256.00000000000466</c:v>
                </c:pt>
                <c:pt idx="1177">
                  <c:v>256.00000000000466</c:v>
                </c:pt>
                <c:pt idx="1178">
                  <c:v>256.00000000000466</c:v>
                </c:pt>
                <c:pt idx="1179">
                  <c:v>256.00000000000466</c:v>
                </c:pt>
                <c:pt idx="1180">
                  <c:v>256.00000000000466</c:v>
                </c:pt>
                <c:pt idx="1181">
                  <c:v>256.00000000000466</c:v>
                </c:pt>
                <c:pt idx="1182">
                  <c:v>256.00000000000466</c:v>
                </c:pt>
                <c:pt idx="1183">
                  <c:v>256.00000000000466</c:v>
                </c:pt>
                <c:pt idx="1184">
                  <c:v>256.00000000000466</c:v>
                </c:pt>
                <c:pt idx="1185">
                  <c:v>256.00000000000466</c:v>
                </c:pt>
                <c:pt idx="1186">
                  <c:v>256.00000000000466</c:v>
                </c:pt>
                <c:pt idx="1187">
                  <c:v>256.00000000000466</c:v>
                </c:pt>
                <c:pt idx="1188">
                  <c:v>256.00000000000466</c:v>
                </c:pt>
                <c:pt idx="1189">
                  <c:v>256.00000000000466</c:v>
                </c:pt>
                <c:pt idx="1190">
                  <c:v>256.00000000000466</c:v>
                </c:pt>
                <c:pt idx="1191">
                  <c:v>256.00000000000466</c:v>
                </c:pt>
                <c:pt idx="1192">
                  <c:v>256.00000000000466</c:v>
                </c:pt>
                <c:pt idx="1193">
                  <c:v>256.00000000000466</c:v>
                </c:pt>
                <c:pt idx="1194">
                  <c:v>256.00000000000466</c:v>
                </c:pt>
                <c:pt idx="1195">
                  <c:v>256.00000000000466</c:v>
                </c:pt>
                <c:pt idx="1196">
                  <c:v>256.00000000000466</c:v>
                </c:pt>
                <c:pt idx="1197">
                  <c:v>256.00000000000466</c:v>
                </c:pt>
                <c:pt idx="1198">
                  <c:v>256.00000000000466</c:v>
                </c:pt>
                <c:pt idx="1199">
                  <c:v>256.00000000000466</c:v>
                </c:pt>
                <c:pt idx="1200">
                  <c:v>256.00000000000466</c:v>
                </c:pt>
                <c:pt idx="1201">
                  <c:v>256.00000000000466</c:v>
                </c:pt>
                <c:pt idx="1202">
                  <c:v>256.00000000000466</c:v>
                </c:pt>
                <c:pt idx="1203">
                  <c:v>256.00000000000466</c:v>
                </c:pt>
                <c:pt idx="1204">
                  <c:v>256.00000000000466</c:v>
                </c:pt>
                <c:pt idx="1205">
                  <c:v>256.00000000000466</c:v>
                </c:pt>
                <c:pt idx="1206">
                  <c:v>256.00000000000466</c:v>
                </c:pt>
                <c:pt idx="1207">
                  <c:v>256.00000000000466</c:v>
                </c:pt>
                <c:pt idx="1208">
                  <c:v>256.00000000000466</c:v>
                </c:pt>
                <c:pt idx="1209">
                  <c:v>256.00000000000466</c:v>
                </c:pt>
                <c:pt idx="1210">
                  <c:v>256.00000000000466</c:v>
                </c:pt>
                <c:pt idx="1211">
                  <c:v>256.00000000000466</c:v>
                </c:pt>
                <c:pt idx="1212">
                  <c:v>256.00000000000466</c:v>
                </c:pt>
                <c:pt idx="1213">
                  <c:v>256.00000000000466</c:v>
                </c:pt>
                <c:pt idx="1214">
                  <c:v>256.00000000000466</c:v>
                </c:pt>
                <c:pt idx="1215">
                  <c:v>256.00000000000466</c:v>
                </c:pt>
                <c:pt idx="1216">
                  <c:v>256.00000000000466</c:v>
                </c:pt>
                <c:pt idx="1217">
                  <c:v>256.00000000000466</c:v>
                </c:pt>
                <c:pt idx="1218">
                  <c:v>256.00000000000466</c:v>
                </c:pt>
                <c:pt idx="1219">
                  <c:v>256.00000000000466</c:v>
                </c:pt>
                <c:pt idx="1220">
                  <c:v>256.00000000000466</c:v>
                </c:pt>
                <c:pt idx="1221">
                  <c:v>256.00000000000466</c:v>
                </c:pt>
                <c:pt idx="1222">
                  <c:v>256.00000000000466</c:v>
                </c:pt>
                <c:pt idx="1223">
                  <c:v>256.00000000000466</c:v>
                </c:pt>
                <c:pt idx="1224">
                  <c:v>256.00000000000466</c:v>
                </c:pt>
                <c:pt idx="1225">
                  <c:v>256.00000000000466</c:v>
                </c:pt>
                <c:pt idx="1226">
                  <c:v>256.00000000000466</c:v>
                </c:pt>
                <c:pt idx="1227">
                  <c:v>256.00000000000466</c:v>
                </c:pt>
                <c:pt idx="1228">
                  <c:v>256.00000000000466</c:v>
                </c:pt>
                <c:pt idx="1229">
                  <c:v>256.00000000000466</c:v>
                </c:pt>
                <c:pt idx="1230">
                  <c:v>256.00000000000466</c:v>
                </c:pt>
                <c:pt idx="1231">
                  <c:v>256.00000000000466</c:v>
                </c:pt>
                <c:pt idx="1232">
                  <c:v>256.00000000000466</c:v>
                </c:pt>
                <c:pt idx="1233">
                  <c:v>256.00000000000466</c:v>
                </c:pt>
                <c:pt idx="1234">
                  <c:v>256.00000000000466</c:v>
                </c:pt>
                <c:pt idx="1235">
                  <c:v>256.00000000000466</c:v>
                </c:pt>
                <c:pt idx="1236">
                  <c:v>256.00000000000466</c:v>
                </c:pt>
              </c:numCache>
            </c:numRef>
          </c:val>
          <c:smooth val="0"/>
          <c:extLst>
            <c:ext xmlns:c16="http://schemas.microsoft.com/office/drawing/2014/chart" uri="{C3380CC4-5D6E-409C-BE32-E72D297353CC}">
              <c16:uniqueId val="{00000001-D058-4A8C-BF0A-B0CFE33924A6}"/>
            </c:ext>
          </c:extLst>
        </c:ser>
        <c:dLbls>
          <c:showLegendKey val="0"/>
          <c:showVal val="0"/>
          <c:showCatName val="0"/>
          <c:showSerName val="0"/>
          <c:showPercent val="0"/>
          <c:showBubbleSize val="0"/>
        </c:dLbls>
        <c:smooth val="0"/>
        <c:axId val="807504815"/>
        <c:axId val="1021000239"/>
      </c:lineChart>
      <c:catAx>
        <c:axId val="807504815"/>
        <c:scaling>
          <c:orientation val="minMax"/>
        </c:scaling>
        <c:delete val="0"/>
        <c:axPos val="b"/>
        <c:numFmt formatCode="General" sourceLinked="1"/>
        <c:majorTickMark val="none"/>
        <c:minorTickMark val="none"/>
        <c:tickLblPos val="low"/>
        <c:spPr>
          <a:noFill/>
          <a:ln w="9525" cap="flat" cmpd="sng" algn="ctr">
            <a:solidFill>
              <a:schemeClr val="tx2">
                <a:lumMod val="65000"/>
                <a:lumOff val="35000"/>
              </a:schemeClr>
            </a:solidFill>
            <a:round/>
          </a:ln>
          <a:effectLst/>
        </c:spPr>
        <c:txPr>
          <a:bodyPr rot="-60000000" spcFirstLastPara="1" vertOverflow="ellipsis" vert="horz" wrap="square" anchor="ctr" anchorCtr="1"/>
          <a:lstStyle/>
          <a:p>
            <a:pPr>
              <a:defRPr sz="600" b="0" i="0" u="none" strike="noStrike" kern="1200" baseline="0">
                <a:solidFill>
                  <a:schemeClr val="tx1">
                    <a:lumMod val="75000"/>
                    <a:lumOff val="25000"/>
                  </a:schemeClr>
                </a:solidFill>
                <a:latin typeface="+mn-lt"/>
                <a:ea typeface="+mn-ea"/>
                <a:cs typeface="+mn-cs"/>
              </a:defRPr>
            </a:pPr>
            <a:endParaRPr lang="en-US"/>
          </a:p>
        </c:txPr>
        <c:crossAx val="1021000239"/>
        <c:crosses val="autoZero"/>
        <c:auto val="1"/>
        <c:lblAlgn val="ctr"/>
        <c:lblOffset val="100"/>
        <c:noMultiLvlLbl val="0"/>
      </c:catAx>
      <c:valAx>
        <c:axId val="10210002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807504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'Journal Live'!$AM$1388</c:f>
              <c:strCache>
                <c:ptCount val="1"/>
              </c:strCache>
            </c:strRef>
          </c:tx>
          <c:spPr>
            <a:solidFill>
              <a:schemeClr val="tx1">
                <a:lumMod val="65000"/>
                <a:lumOff val="35000"/>
              </a:schemeClr>
            </a:solidFill>
            <a:ln>
              <a:noFill/>
            </a:ln>
            <a:effectLst/>
          </c:spPr>
          <c:invertIfNegative val="0"/>
          <c:cat>
            <c:strRef>
              <c:f>'Journal Live'!$A$1389:$A$2630</c:f>
              <c:strCache>
                <c:ptCount val="1237"/>
                <c:pt idx="0">
                  <c:v>JAN.24</c:v>
                </c:pt>
                <c:pt idx="1">
                  <c:v>JAN.24</c:v>
                </c:pt>
                <c:pt idx="2">
                  <c:v>JAN.24</c:v>
                </c:pt>
                <c:pt idx="3">
                  <c:v>JAN.24</c:v>
                </c:pt>
                <c:pt idx="4">
                  <c:v>JAN.24</c:v>
                </c:pt>
                <c:pt idx="5">
                  <c:v>JAN.24</c:v>
                </c:pt>
                <c:pt idx="6">
                  <c:v>JAN.24</c:v>
                </c:pt>
                <c:pt idx="7">
                  <c:v>JAN.24</c:v>
                </c:pt>
                <c:pt idx="8">
                  <c:v>JAN.24</c:v>
                </c:pt>
                <c:pt idx="9">
                  <c:v>JAN.24</c:v>
                </c:pt>
                <c:pt idx="10">
                  <c:v>JAN.24</c:v>
                </c:pt>
                <c:pt idx="11">
                  <c:v>JAN.24</c:v>
                </c:pt>
                <c:pt idx="12">
                  <c:v>JAN.24</c:v>
                </c:pt>
                <c:pt idx="13">
                  <c:v>JAN.24</c:v>
                </c:pt>
                <c:pt idx="14">
                  <c:v>JAN.24</c:v>
                </c:pt>
                <c:pt idx="15">
                  <c:v>JAN.24</c:v>
                </c:pt>
                <c:pt idx="16">
                  <c:v>JAN.24</c:v>
                </c:pt>
                <c:pt idx="17">
                  <c:v>JAN.24</c:v>
                </c:pt>
                <c:pt idx="18">
                  <c:v>JAN.24</c:v>
                </c:pt>
                <c:pt idx="19">
                  <c:v>JAN.24</c:v>
                </c:pt>
                <c:pt idx="20">
                  <c:v>JAN.24</c:v>
                </c:pt>
                <c:pt idx="21">
                  <c:v>JAN.24</c:v>
                </c:pt>
                <c:pt idx="22">
                  <c:v>JAN.24</c:v>
                </c:pt>
                <c:pt idx="23">
                  <c:v>JAN.24</c:v>
                </c:pt>
                <c:pt idx="24">
                  <c:v>JAN.24</c:v>
                </c:pt>
                <c:pt idx="25">
                  <c:v>JAN.24</c:v>
                </c:pt>
                <c:pt idx="26">
                  <c:v>JAN.24</c:v>
                </c:pt>
                <c:pt idx="27">
                  <c:v>JAN.24</c:v>
                </c:pt>
                <c:pt idx="28">
                  <c:v>JAN.24</c:v>
                </c:pt>
                <c:pt idx="29">
                  <c:v>JAN.24</c:v>
                </c:pt>
                <c:pt idx="30">
                  <c:v>JAN.24</c:v>
                </c:pt>
                <c:pt idx="31">
                  <c:v>JAN.24</c:v>
                </c:pt>
                <c:pt idx="32">
                  <c:v>JAN.24</c:v>
                </c:pt>
                <c:pt idx="33">
                  <c:v>JAN.24</c:v>
                </c:pt>
                <c:pt idx="34">
                  <c:v>JAN.24</c:v>
                </c:pt>
                <c:pt idx="35">
                  <c:v>JAN.24</c:v>
                </c:pt>
                <c:pt idx="36">
                  <c:v>JAN.24</c:v>
                </c:pt>
                <c:pt idx="37">
                  <c:v>JAN.24</c:v>
                </c:pt>
                <c:pt idx="38">
                  <c:v>JAN.24</c:v>
                </c:pt>
                <c:pt idx="39">
                  <c:v>JAN.24</c:v>
                </c:pt>
                <c:pt idx="40">
                  <c:v>JAN.24</c:v>
                </c:pt>
                <c:pt idx="41">
                  <c:v>JAN.24</c:v>
                </c:pt>
                <c:pt idx="42">
                  <c:v>JAN.24</c:v>
                </c:pt>
                <c:pt idx="43">
                  <c:v>JAN.24</c:v>
                </c:pt>
                <c:pt idx="44">
                  <c:v>JAN.24</c:v>
                </c:pt>
                <c:pt idx="45">
                  <c:v>JAN.24</c:v>
                </c:pt>
                <c:pt idx="46">
                  <c:v>JAN.24</c:v>
                </c:pt>
                <c:pt idx="47">
                  <c:v>JAN.24</c:v>
                </c:pt>
                <c:pt idx="48">
                  <c:v>JAN.24</c:v>
                </c:pt>
                <c:pt idx="49">
                  <c:v>JAN.24</c:v>
                </c:pt>
                <c:pt idx="50">
                  <c:v>JAN.24</c:v>
                </c:pt>
                <c:pt idx="51">
                  <c:v>JAN.24</c:v>
                </c:pt>
                <c:pt idx="52">
                  <c:v>JAN.24</c:v>
                </c:pt>
                <c:pt idx="53">
                  <c:v>JAN.24</c:v>
                </c:pt>
                <c:pt idx="54">
                  <c:v>JAN.24</c:v>
                </c:pt>
                <c:pt idx="55">
                  <c:v>JAN.24</c:v>
                </c:pt>
                <c:pt idx="56">
                  <c:v>JAN.24</c:v>
                </c:pt>
                <c:pt idx="57">
                  <c:v>JAN.24</c:v>
                </c:pt>
                <c:pt idx="58">
                  <c:v>JAN.24</c:v>
                </c:pt>
                <c:pt idx="59">
                  <c:v>JAN.24</c:v>
                </c:pt>
                <c:pt idx="60">
                  <c:v>JAN.24</c:v>
                </c:pt>
                <c:pt idx="61">
                  <c:v>JAN.24</c:v>
                </c:pt>
                <c:pt idx="62">
                  <c:v>JAN.24</c:v>
                </c:pt>
                <c:pt idx="63">
                  <c:v>JAN.24</c:v>
                </c:pt>
                <c:pt idx="64">
                  <c:v>JAN.24</c:v>
                </c:pt>
                <c:pt idx="65">
                  <c:v>JAN.24</c:v>
                </c:pt>
                <c:pt idx="66">
                  <c:v>JAN.24</c:v>
                </c:pt>
                <c:pt idx="67">
                  <c:v>JAN.24</c:v>
                </c:pt>
                <c:pt idx="68">
                  <c:v>JAN.24</c:v>
                </c:pt>
                <c:pt idx="69">
                  <c:v>JAN.24</c:v>
                </c:pt>
                <c:pt idx="70">
                  <c:v>JAN.24</c:v>
                </c:pt>
                <c:pt idx="71">
                  <c:v>JAN.24</c:v>
                </c:pt>
                <c:pt idx="72">
                  <c:v>JAN.24</c:v>
                </c:pt>
                <c:pt idx="73">
                  <c:v>JAN.24</c:v>
                </c:pt>
                <c:pt idx="74">
                  <c:v>JAN.24</c:v>
                </c:pt>
                <c:pt idx="75">
                  <c:v>JAN.24</c:v>
                </c:pt>
                <c:pt idx="76">
                  <c:v>JAN.24</c:v>
                </c:pt>
                <c:pt idx="77">
                  <c:v>JAN.24</c:v>
                </c:pt>
                <c:pt idx="78">
                  <c:v>JAN.24</c:v>
                </c:pt>
                <c:pt idx="79">
                  <c:v>JAN.24</c:v>
                </c:pt>
                <c:pt idx="80">
                  <c:v>JAN.24</c:v>
                </c:pt>
                <c:pt idx="81">
                  <c:v>JAN.24</c:v>
                </c:pt>
                <c:pt idx="82">
                  <c:v>JAN.24</c:v>
                </c:pt>
                <c:pt idx="83">
                  <c:v>JAN.24</c:v>
                </c:pt>
                <c:pt idx="84">
                  <c:v>JAN.24</c:v>
                </c:pt>
                <c:pt idx="85">
                  <c:v>JAN.24</c:v>
                </c:pt>
                <c:pt idx="86">
                  <c:v>JAN.24</c:v>
                </c:pt>
                <c:pt idx="87">
                  <c:v>JAN.24</c:v>
                </c:pt>
                <c:pt idx="88">
                  <c:v>JAN.24</c:v>
                </c:pt>
                <c:pt idx="89">
                  <c:v>JAN.24</c:v>
                </c:pt>
                <c:pt idx="90">
                  <c:v>JAN.24</c:v>
                </c:pt>
                <c:pt idx="91">
                  <c:v>JAN.24</c:v>
                </c:pt>
                <c:pt idx="92">
                  <c:v>JAN.24</c:v>
                </c:pt>
                <c:pt idx="93">
                  <c:v>JAN.24</c:v>
                </c:pt>
                <c:pt idx="94">
                  <c:v>JAN.24</c:v>
                </c:pt>
                <c:pt idx="95">
                  <c:v>JAN.24</c:v>
                </c:pt>
                <c:pt idx="96">
                  <c:v>JAN.24</c:v>
                </c:pt>
                <c:pt idx="97">
                  <c:v>JAN.24</c:v>
                </c:pt>
                <c:pt idx="98">
                  <c:v>JAN.24</c:v>
                </c:pt>
                <c:pt idx="99">
                  <c:v>JAN.24</c:v>
                </c:pt>
                <c:pt idx="100">
                  <c:v>JAN.24</c:v>
                </c:pt>
                <c:pt idx="101">
                  <c:v>JAN.24</c:v>
                </c:pt>
                <c:pt idx="102">
                  <c:v>JAN.24</c:v>
                </c:pt>
                <c:pt idx="103">
                  <c:v>JAN.24</c:v>
                </c:pt>
                <c:pt idx="104">
                  <c:v>JAN.24</c:v>
                </c:pt>
                <c:pt idx="105">
                  <c:v>JAN.24</c:v>
                </c:pt>
                <c:pt idx="106">
                  <c:v>JAN.24</c:v>
                </c:pt>
                <c:pt idx="107">
                  <c:v>JAN.24</c:v>
                </c:pt>
                <c:pt idx="108">
                  <c:v>JAN.24</c:v>
                </c:pt>
                <c:pt idx="109">
                  <c:v>JAN.24</c:v>
                </c:pt>
                <c:pt idx="110">
                  <c:v>JAN.24</c:v>
                </c:pt>
                <c:pt idx="111">
                  <c:v>JAN.24</c:v>
                </c:pt>
                <c:pt idx="112">
                  <c:v>JAN.24</c:v>
                </c:pt>
                <c:pt idx="113">
                  <c:v>JAN.24</c:v>
                </c:pt>
                <c:pt idx="114">
                  <c:v>JAN.24</c:v>
                </c:pt>
                <c:pt idx="115">
                  <c:v>JAN.24</c:v>
                </c:pt>
                <c:pt idx="116">
                  <c:v>JAN.24</c:v>
                </c:pt>
                <c:pt idx="117">
                  <c:v>JAN.24</c:v>
                </c:pt>
                <c:pt idx="118">
                  <c:v>JAN.24</c:v>
                </c:pt>
                <c:pt idx="119">
                  <c:v>JAN.24</c:v>
                </c:pt>
                <c:pt idx="120">
                  <c:v>JAN.24</c:v>
                </c:pt>
                <c:pt idx="121">
                  <c:v>JAN.24</c:v>
                </c:pt>
                <c:pt idx="122">
                  <c:v>JAN.24</c:v>
                </c:pt>
                <c:pt idx="123">
                  <c:v>JAN.24</c:v>
                </c:pt>
                <c:pt idx="124">
                  <c:v>JAN.24</c:v>
                </c:pt>
                <c:pt idx="125">
                  <c:v>JAN.24</c:v>
                </c:pt>
                <c:pt idx="126">
                  <c:v>JAN.24</c:v>
                </c:pt>
                <c:pt idx="127">
                  <c:v>JAN.24</c:v>
                </c:pt>
                <c:pt idx="128">
                  <c:v>JAN.24</c:v>
                </c:pt>
                <c:pt idx="129">
                  <c:v>JAN.24</c:v>
                </c:pt>
                <c:pt idx="130">
                  <c:v>JAN.24</c:v>
                </c:pt>
                <c:pt idx="131">
                  <c:v>February 24 live</c:v>
                </c:pt>
                <c:pt idx="132">
                  <c:v>FEB.24</c:v>
                </c:pt>
                <c:pt idx="133">
                  <c:v>FEB.24</c:v>
                </c:pt>
                <c:pt idx="134">
                  <c:v>FEB.24</c:v>
                </c:pt>
                <c:pt idx="135">
                  <c:v>FEB.24</c:v>
                </c:pt>
                <c:pt idx="136">
                  <c:v>FEB.24</c:v>
                </c:pt>
                <c:pt idx="137">
                  <c:v>FEB.24</c:v>
                </c:pt>
                <c:pt idx="138">
                  <c:v>FEB.24</c:v>
                </c:pt>
                <c:pt idx="139">
                  <c:v>FEB.24</c:v>
                </c:pt>
                <c:pt idx="140">
                  <c:v>FEB.24</c:v>
                </c:pt>
                <c:pt idx="141">
                  <c:v>FEB.24</c:v>
                </c:pt>
                <c:pt idx="142">
                  <c:v>FEB.24</c:v>
                </c:pt>
                <c:pt idx="143">
                  <c:v>FEB.24</c:v>
                </c:pt>
                <c:pt idx="144">
                  <c:v>FEB.24</c:v>
                </c:pt>
                <c:pt idx="145">
                  <c:v>FEB.24</c:v>
                </c:pt>
                <c:pt idx="146">
                  <c:v>FEB.24</c:v>
                </c:pt>
                <c:pt idx="147">
                  <c:v>FEB.24</c:v>
                </c:pt>
                <c:pt idx="148">
                  <c:v>FEB.24</c:v>
                </c:pt>
                <c:pt idx="149">
                  <c:v>FEB.24</c:v>
                </c:pt>
                <c:pt idx="150">
                  <c:v>FEB.24</c:v>
                </c:pt>
                <c:pt idx="151">
                  <c:v>FEB.24</c:v>
                </c:pt>
                <c:pt idx="152">
                  <c:v>FEB.24</c:v>
                </c:pt>
                <c:pt idx="153">
                  <c:v>FEB.24</c:v>
                </c:pt>
                <c:pt idx="154">
                  <c:v>FEB.24</c:v>
                </c:pt>
                <c:pt idx="155">
                  <c:v>FEB.24</c:v>
                </c:pt>
                <c:pt idx="156">
                  <c:v>FEB.24</c:v>
                </c:pt>
                <c:pt idx="157">
                  <c:v>FEB.24</c:v>
                </c:pt>
                <c:pt idx="158">
                  <c:v>FEB.24</c:v>
                </c:pt>
                <c:pt idx="159">
                  <c:v>FEB.24</c:v>
                </c:pt>
                <c:pt idx="160">
                  <c:v>FEB.24</c:v>
                </c:pt>
                <c:pt idx="161">
                  <c:v>FEB.24</c:v>
                </c:pt>
                <c:pt idx="162">
                  <c:v>FEB.24</c:v>
                </c:pt>
                <c:pt idx="163">
                  <c:v>FEB.24</c:v>
                </c:pt>
                <c:pt idx="164">
                  <c:v>FEB.24</c:v>
                </c:pt>
                <c:pt idx="165">
                  <c:v>FEB.24</c:v>
                </c:pt>
                <c:pt idx="166">
                  <c:v>FEB.24</c:v>
                </c:pt>
                <c:pt idx="167">
                  <c:v>FEB.24</c:v>
                </c:pt>
                <c:pt idx="168">
                  <c:v>FEB.24</c:v>
                </c:pt>
                <c:pt idx="169">
                  <c:v>FEB.24</c:v>
                </c:pt>
                <c:pt idx="170">
                  <c:v>FEB.24</c:v>
                </c:pt>
                <c:pt idx="171">
                  <c:v>FEB.24</c:v>
                </c:pt>
                <c:pt idx="172">
                  <c:v>FEB.24</c:v>
                </c:pt>
                <c:pt idx="173">
                  <c:v>FEB.24</c:v>
                </c:pt>
                <c:pt idx="174">
                  <c:v>FEB.24</c:v>
                </c:pt>
                <c:pt idx="175">
                  <c:v>FEB.24</c:v>
                </c:pt>
                <c:pt idx="176">
                  <c:v>FEB.24</c:v>
                </c:pt>
                <c:pt idx="177">
                  <c:v>FEB.24</c:v>
                </c:pt>
                <c:pt idx="178">
                  <c:v>FEB.24</c:v>
                </c:pt>
                <c:pt idx="179">
                  <c:v>FEB.24</c:v>
                </c:pt>
                <c:pt idx="180">
                  <c:v>FEB.24</c:v>
                </c:pt>
                <c:pt idx="181">
                  <c:v>FEB.24</c:v>
                </c:pt>
                <c:pt idx="182">
                  <c:v>FEB.24</c:v>
                </c:pt>
                <c:pt idx="183">
                  <c:v>FEB.24</c:v>
                </c:pt>
                <c:pt idx="184">
                  <c:v>FEB.24</c:v>
                </c:pt>
                <c:pt idx="185">
                  <c:v>FEB.24</c:v>
                </c:pt>
                <c:pt idx="186">
                  <c:v>FEB.24</c:v>
                </c:pt>
                <c:pt idx="187">
                  <c:v>FEB.24</c:v>
                </c:pt>
                <c:pt idx="188">
                  <c:v>FEB.24</c:v>
                </c:pt>
                <c:pt idx="189">
                  <c:v>FEB.24</c:v>
                </c:pt>
                <c:pt idx="190">
                  <c:v>FEB.24</c:v>
                </c:pt>
                <c:pt idx="191">
                  <c:v>FEB.24</c:v>
                </c:pt>
                <c:pt idx="192">
                  <c:v>FEB.24</c:v>
                </c:pt>
                <c:pt idx="193">
                  <c:v>FEB.24</c:v>
                </c:pt>
                <c:pt idx="194">
                  <c:v>FEB.24</c:v>
                </c:pt>
                <c:pt idx="195">
                  <c:v>FEB.24</c:v>
                </c:pt>
                <c:pt idx="196">
                  <c:v>FEB.24</c:v>
                </c:pt>
                <c:pt idx="197">
                  <c:v>FEB.24</c:v>
                </c:pt>
                <c:pt idx="198">
                  <c:v>FEB.24</c:v>
                </c:pt>
                <c:pt idx="199">
                  <c:v>FEB.24</c:v>
                </c:pt>
                <c:pt idx="200">
                  <c:v>FEB.24</c:v>
                </c:pt>
                <c:pt idx="201">
                  <c:v>FEB.24</c:v>
                </c:pt>
                <c:pt idx="202">
                  <c:v>FEB.24</c:v>
                </c:pt>
                <c:pt idx="203">
                  <c:v>FEB.24</c:v>
                </c:pt>
                <c:pt idx="204">
                  <c:v>FEB.24</c:v>
                </c:pt>
                <c:pt idx="205">
                  <c:v>FEB.24</c:v>
                </c:pt>
                <c:pt idx="206">
                  <c:v>FEB.24</c:v>
                </c:pt>
                <c:pt idx="207">
                  <c:v>FEB.24</c:v>
                </c:pt>
                <c:pt idx="208">
                  <c:v>FEB.24</c:v>
                </c:pt>
                <c:pt idx="209">
                  <c:v>FEB.24</c:v>
                </c:pt>
                <c:pt idx="210">
                  <c:v>FEB.24</c:v>
                </c:pt>
                <c:pt idx="211">
                  <c:v>FEB.24</c:v>
                </c:pt>
                <c:pt idx="212">
                  <c:v>FEB.24</c:v>
                </c:pt>
                <c:pt idx="213">
                  <c:v>FEB.24</c:v>
                </c:pt>
                <c:pt idx="214">
                  <c:v>FEB.24</c:v>
                </c:pt>
                <c:pt idx="215">
                  <c:v>FEB.24</c:v>
                </c:pt>
                <c:pt idx="216">
                  <c:v>FEB.24</c:v>
                </c:pt>
                <c:pt idx="217">
                  <c:v>FEB.24</c:v>
                </c:pt>
                <c:pt idx="218">
                  <c:v>FEB.24</c:v>
                </c:pt>
                <c:pt idx="219">
                  <c:v>FEB.24</c:v>
                </c:pt>
                <c:pt idx="220">
                  <c:v>FEB.24</c:v>
                </c:pt>
                <c:pt idx="221">
                  <c:v>FEB.24</c:v>
                </c:pt>
                <c:pt idx="222">
                  <c:v>FEB.24</c:v>
                </c:pt>
                <c:pt idx="223">
                  <c:v>FEB.24</c:v>
                </c:pt>
                <c:pt idx="224">
                  <c:v>FEB.24</c:v>
                </c:pt>
                <c:pt idx="225">
                  <c:v>FEB.24</c:v>
                </c:pt>
                <c:pt idx="226">
                  <c:v>FEB.24</c:v>
                </c:pt>
                <c:pt idx="227">
                  <c:v>FEB.24</c:v>
                </c:pt>
                <c:pt idx="228">
                  <c:v>FEB.24</c:v>
                </c:pt>
                <c:pt idx="229">
                  <c:v>FEB.24</c:v>
                </c:pt>
                <c:pt idx="230">
                  <c:v>FEB.24</c:v>
                </c:pt>
                <c:pt idx="231">
                  <c:v>FEB.24</c:v>
                </c:pt>
                <c:pt idx="232">
                  <c:v>FEB.24</c:v>
                </c:pt>
                <c:pt idx="233">
                  <c:v>FEB.24</c:v>
                </c:pt>
                <c:pt idx="234">
                  <c:v>FEB.24</c:v>
                </c:pt>
                <c:pt idx="235">
                  <c:v>FEB.24</c:v>
                </c:pt>
                <c:pt idx="236">
                  <c:v>FEB.24</c:v>
                </c:pt>
                <c:pt idx="237">
                  <c:v>FEB.24</c:v>
                </c:pt>
                <c:pt idx="238">
                  <c:v>FEB.24</c:v>
                </c:pt>
                <c:pt idx="239">
                  <c:v>FEB.24</c:v>
                </c:pt>
                <c:pt idx="240">
                  <c:v>FEB.24</c:v>
                </c:pt>
                <c:pt idx="241">
                  <c:v>FEB.24</c:v>
                </c:pt>
                <c:pt idx="242">
                  <c:v>FEB.24</c:v>
                </c:pt>
                <c:pt idx="243">
                  <c:v>FEB.24</c:v>
                </c:pt>
                <c:pt idx="244">
                  <c:v>FEB.24</c:v>
                </c:pt>
                <c:pt idx="245">
                  <c:v>FEB.24</c:v>
                </c:pt>
                <c:pt idx="246">
                  <c:v>FEB.24</c:v>
                </c:pt>
                <c:pt idx="247">
                  <c:v>FEB.24</c:v>
                </c:pt>
                <c:pt idx="248">
                  <c:v>FEB.24</c:v>
                </c:pt>
                <c:pt idx="249">
                  <c:v>FEB.24</c:v>
                </c:pt>
                <c:pt idx="250">
                  <c:v>FEB.24</c:v>
                </c:pt>
                <c:pt idx="251">
                  <c:v>March 24 live</c:v>
                </c:pt>
                <c:pt idx="252">
                  <c:v>MAR.24</c:v>
                </c:pt>
                <c:pt idx="253">
                  <c:v>MAR.24</c:v>
                </c:pt>
                <c:pt idx="254">
                  <c:v>MAR.24</c:v>
                </c:pt>
                <c:pt idx="255">
                  <c:v>MAR.24</c:v>
                </c:pt>
                <c:pt idx="256">
                  <c:v>MAR.24</c:v>
                </c:pt>
                <c:pt idx="257">
                  <c:v>MAR.24</c:v>
                </c:pt>
                <c:pt idx="258">
                  <c:v>MAR.24</c:v>
                </c:pt>
                <c:pt idx="259">
                  <c:v>MAR.24</c:v>
                </c:pt>
                <c:pt idx="260">
                  <c:v>MAR.24</c:v>
                </c:pt>
                <c:pt idx="261">
                  <c:v>MAR.24</c:v>
                </c:pt>
                <c:pt idx="262">
                  <c:v>MAR.24</c:v>
                </c:pt>
                <c:pt idx="263">
                  <c:v>MAR.24</c:v>
                </c:pt>
                <c:pt idx="264">
                  <c:v>MAR.24</c:v>
                </c:pt>
                <c:pt idx="265">
                  <c:v>MAR.24</c:v>
                </c:pt>
                <c:pt idx="266">
                  <c:v>MAR.24</c:v>
                </c:pt>
                <c:pt idx="267">
                  <c:v>MAR.24</c:v>
                </c:pt>
                <c:pt idx="268">
                  <c:v>MAR.24</c:v>
                </c:pt>
                <c:pt idx="269">
                  <c:v>MAR.24</c:v>
                </c:pt>
                <c:pt idx="270">
                  <c:v>MAR.24</c:v>
                </c:pt>
                <c:pt idx="271">
                  <c:v>MAR.24</c:v>
                </c:pt>
                <c:pt idx="272">
                  <c:v>MAR.24</c:v>
                </c:pt>
                <c:pt idx="273">
                  <c:v>MAR.24</c:v>
                </c:pt>
                <c:pt idx="274">
                  <c:v>MAR.24</c:v>
                </c:pt>
                <c:pt idx="275">
                  <c:v>MAR.24</c:v>
                </c:pt>
                <c:pt idx="276">
                  <c:v>MAR.24</c:v>
                </c:pt>
                <c:pt idx="277">
                  <c:v>MAR.24</c:v>
                </c:pt>
                <c:pt idx="278">
                  <c:v>MAR.24</c:v>
                </c:pt>
                <c:pt idx="279">
                  <c:v>MAR.24</c:v>
                </c:pt>
                <c:pt idx="280">
                  <c:v>MAR.24</c:v>
                </c:pt>
                <c:pt idx="281">
                  <c:v>MAR.24</c:v>
                </c:pt>
                <c:pt idx="282">
                  <c:v>MAR.24</c:v>
                </c:pt>
                <c:pt idx="283">
                  <c:v>MAR.24</c:v>
                </c:pt>
                <c:pt idx="284">
                  <c:v>MAR.24</c:v>
                </c:pt>
                <c:pt idx="285">
                  <c:v>MAR.24</c:v>
                </c:pt>
                <c:pt idx="286">
                  <c:v>MAR.24</c:v>
                </c:pt>
                <c:pt idx="287">
                  <c:v>MAR.24</c:v>
                </c:pt>
                <c:pt idx="288">
                  <c:v>MAR.24</c:v>
                </c:pt>
                <c:pt idx="289">
                  <c:v>MAR.24</c:v>
                </c:pt>
                <c:pt idx="290">
                  <c:v>MAR.24</c:v>
                </c:pt>
                <c:pt idx="291">
                  <c:v>MAR.24</c:v>
                </c:pt>
                <c:pt idx="292">
                  <c:v>MAR.24</c:v>
                </c:pt>
                <c:pt idx="293">
                  <c:v>MAR.24</c:v>
                </c:pt>
                <c:pt idx="294">
                  <c:v>MAR.24</c:v>
                </c:pt>
                <c:pt idx="295">
                  <c:v>MAR.24</c:v>
                </c:pt>
                <c:pt idx="296">
                  <c:v>MAR.24</c:v>
                </c:pt>
                <c:pt idx="297">
                  <c:v>MAR.24</c:v>
                </c:pt>
                <c:pt idx="298">
                  <c:v>MAR.24</c:v>
                </c:pt>
                <c:pt idx="299">
                  <c:v>MAR.24</c:v>
                </c:pt>
                <c:pt idx="300">
                  <c:v>MAR.24</c:v>
                </c:pt>
                <c:pt idx="301">
                  <c:v>MAR.24</c:v>
                </c:pt>
                <c:pt idx="302">
                  <c:v>MAR.24</c:v>
                </c:pt>
                <c:pt idx="303">
                  <c:v>MAR.24</c:v>
                </c:pt>
                <c:pt idx="304">
                  <c:v>MAR.24</c:v>
                </c:pt>
                <c:pt idx="305">
                  <c:v>MAR.24</c:v>
                </c:pt>
                <c:pt idx="306">
                  <c:v>MAR.24</c:v>
                </c:pt>
                <c:pt idx="307">
                  <c:v>MAR.24</c:v>
                </c:pt>
                <c:pt idx="308">
                  <c:v>MAR.24</c:v>
                </c:pt>
                <c:pt idx="309">
                  <c:v>MAR.24</c:v>
                </c:pt>
                <c:pt idx="310">
                  <c:v>MAR.24</c:v>
                </c:pt>
                <c:pt idx="311">
                  <c:v>MAR.24</c:v>
                </c:pt>
                <c:pt idx="312">
                  <c:v>MAR.24</c:v>
                </c:pt>
                <c:pt idx="313">
                  <c:v>MAR.24</c:v>
                </c:pt>
                <c:pt idx="314">
                  <c:v>MAR.24</c:v>
                </c:pt>
                <c:pt idx="315">
                  <c:v>MAR.24</c:v>
                </c:pt>
                <c:pt idx="316">
                  <c:v>MAR.24</c:v>
                </c:pt>
                <c:pt idx="317">
                  <c:v>MAR.24</c:v>
                </c:pt>
                <c:pt idx="318">
                  <c:v>MAR.24</c:v>
                </c:pt>
                <c:pt idx="319">
                  <c:v>MAR.24</c:v>
                </c:pt>
                <c:pt idx="320">
                  <c:v>MAR.24</c:v>
                </c:pt>
                <c:pt idx="321">
                  <c:v>MAR.24</c:v>
                </c:pt>
                <c:pt idx="322">
                  <c:v>MAR.24</c:v>
                </c:pt>
                <c:pt idx="323">
                  <c:v>MAR.24</c:v>
                </c:pt>
                <c:pt idx="324">
                  <c:v>MAR.24</c:v>
                </c:pt>
                <c:pt idx="325">
                  <c:v>MAR.24</c:v>
                </c:pt>
                <c:pt idx="326">
                  <c:v>MAR.24</c:v>
                </c:pt>
                <c:pt idx="327">
                  <c:v>MAR.24</c:v>
                </c:pt>
                <c:pt idx="328">
                  <c:v>MAR.24</c:v>
                </c:pt>
                <c:pt idx="329">
                  <c:v>MAR.24</c:v>
                </c:pt>
                <c:pt idx="330">
                  <c:v>MAR.24</c:v>
                </c:pt>
                <c:pt idx="331">
                  <c:v>MAR.24</c:v>
                </c:pt>
                <c:pt idx="332">
                  <c:v>MAR.24</c:v>
                </c:pt>
                <c:pt idx="333">
                  <c:v>MAR.24</c:v>
                </c:pt>
                <c:pt idx="334">
                  <c:v>MAR.24</c:v>
                </c:pt>
                <c:pt idx="335">
                  <c:v>MAR.24</c:v>
                </c:pt>
                <c:pt idx="336">
                  <c:v>MAR.24</c:v>
                </c:pt>
                <c:pt idx="337">
                  <c:v>MAR.24</c:v>
                </c:pt>
                <c:pt idx="338">
                  <c:v>MAR.24</c:v>
                </c:pt>
                <c:pt idx="339">
                  <c:v>MAR.24</c:v>
                </c:pt>
                <c:pt idx="340">
                  <c:v>MAR.24</c:v>
                </c:pt>
                <c:pt idx="341">
                  <c:v>MAR.24</c:v>
                </c:pt>
                <c:pt idx="342">
                  <c:v>MAR.24</c:v>
                </c:pt>
                <c:pt idx="343">
                  <c:v>MAR.24</c:v>
                </c:pt>
                <c:pt idx="344">
                  <c:v>April 24 live</c:v>
                </c:pt>
                <c:pt idx="345">
                  <c:v>APR.24</c:v>
                </c:pt>
                <c:pt idx="346">
                  <c:v>APR.24</c:v>
                </c:pt>
                <c:pt idx="347">
                  <c:v>APR.24</c:v>
                </c:pt>
                <c:pt idx="348">
                  <c:v>APR.24</c:v>
                </c:pt>
                <c:pt idx="349">
                  <c:v>APR.24</c:v>
                </c:pt>
                <c:pt idx="350">
                  <c:v>APR.24</c:v>
                </c:pt>
                <c:pt idx="351">
                  <c:v>APR.24</c:v>
                </c:pt>
                <c:pt idx="352">
                  <c:v>APR.24</c:v>
                </c:pt>
                <c:pt idx="353">
                  <c:v>APR.24</c:v>
                </c:pt>
                <c:pt idx="354">
                  <c:v>APR.24</c:v>
                </c:pt>
                <c:pt idx="355">
                  <c:v>APR.24</c:v>
                </c:pt>
                <c:pt idx="356">
                  <c:v>APR.24</c:v>
                </c:pt>
                <c:pt idx="357">
                  <c:v>APR.24</c:v>
                </c:pt>
                <c:pt idx="358">
                  <c:v>APR.24</c:v>
                </c:pt>
                <c:pt idx="359">
                  <c:v>APR.24</c:v>
                </c:pt>
                <c:pt idx="360">
                  <c:v>APR.24</c:v>
                </c:pt>
                <c:pt idx="361">
                  <c:v>APR.24</c:v>
                </c:pt>
                <c:pt idx="362">
                  <c:v>APR.24</c:v>
                </c:pt>
                <c:pt idx="363">
                  <c:v>APR.24</c:v>
                </c:pt>
                <c:pt idx="364">
                  <c:v>APR.24</c:v>
                </c:pt>
                <c:pt idx="365">
                  <c:v>APR.24</c:v>
                </c:pt>
                <c:pt idx="366">
                  <c:v>APR.24</c:v>
                </c:pt>
                <c:pt idx="367">
                  <c:v>APR.24</c:v>
                </c:pt>
                <c:pt idx="368">
                  <c:v>APR.24</c:v>
                </c:pt>
                <c:pt idx="369">
                  <c:v>APR.24</c:v>
                </c:pt>
                <c:pt idx="370">
                  <c:v>APR.24</c:v>
                </c:pt>
                <c:pt idx="371">
                  <c:v>APR.24</c:v>
                </c:pt>
                <c:pt idx="372">
                  <c:v>APR.24</c:v>
                </c:pt>
                <c:pt idx="373">
                  <c:v>APR.24</c:v>
                </c:pt>
                <c:pt idx="374">
                  <c:v>APR.24</c:v>
                </c:pt>
                <c:pt idx="375">
                  <c:v>APR.24</c:v>
                </c:pt>
                <c:pt idx="376">
                  <c:v>APR.24</c:v>
                </c:pt>
                <c:pt idx="377">
                  <c:v>APR.24</c:v>
                </c:pt>
                <c:pt idx="378">
                  <c:v>APR.24</c:v>
                </c:pt>
                <c:pt idx="379">
                  <c:v>APR.24</c:v>
                </c:pt>
                <c:pt idx="380">
                  <c:v>APR.24</c:v>
                </c:pt>
                <c:pt idx="381">
                  <c:v>APR.24</c:v>
                </c:pt>
                <c:pt idx="382">
                  <c:v>APR.24</c:v>
                </c:pt>
                <c:pt idx="383">
                  <c:v>APR.24</c:v>
                </c:pt>
                <c:pt idx="384">
                  <c:v>APR.24</c:v>
                </c:pt>
                <c:pt idx="385">
                  <c:v>APR.24</c:v>
                </c:pt>
                <c:pt idx="386">
                  <c:v>APR.24</c:v>
                </c:pt>
                <c:pt idx="387">
                  <c:v>APR.24</c:v>
                </c:pt>
                <c:pt idx="388">
                  <c:v>APR.24</c:v>
                </c:pt>
                <c:pt idx="389">
                  <c:v>APR.24</c:v>
                </c:pt>
                <c:pt idx="390">
                  <c:v>APR.24</c:v>
                </c:pt>
                <c:pt idx="391">
                  <c:v>APR.24</c:v>
                </c:pt>
                <c:pt idx="392">
                  <c:v>APR.24</c:v>
                </c:pt>
                <c:pt idx="393">
                  <c:v>APR.24</c:v>
                </c:pt>
                <c:pt idx="394">
                  <c:v>APR.24</c:v>
                </c:pt>
                <c:pt idx="395">
                  <c:v>APR.24</c:v>
                </c:pt>
                <c:pt idx="396">
                  <c:v>APR.24</c:v>
                </c:pt>
                <c:pt idx="397">
                  <c:v>APR.24</c:v>
                </c:pt>
                <c:pt idx="398">
                  <c:v>APR.24</c:v>
                </c:pt>
                <c:pt idx="399">
                  <c:v>APR.24</c:v>
                </c:pt>
                <c:pt idx="400">
                  <c:v>APR.24</c:v>
                </c:pt>
                <c:pt idx="401">
                  <c:v>APR.24</c:v>
                </c:pt>
                <c:pt idx="402">
                  <c:v>APR.24</c:v>
                </c:pt>
                <c:pt idx="403">
                  <c:v>APR.24</c:v>
                </c:pt>
                <c:pt idx="404">
                  <c:v>APR.24</c:v>
                </c:pt>
                <c:pt idx="405">
                  <c:v>APR.24</c:v>
                </c:pt>
                <c:pt idx="406">
                  <c:v>APR.24</c:v>
                </c:pt>
                <c:pt idx="407">
                  <c:v>APR.24</c:v>
                </c:pt>
                <c:pt idx="408">
                  <c:v>APR.24</c:v>
                </c:pt>
                <c:pt idx="409">
                  <c:v>APR.24</c:v>
                </c:pt>
                <c:pt idx="410">
                  <c:v>APR.24</c:v>
                </c:pt>
                <c:pt idx="411">
                  <c:v>APR.24</c:v>
                </c:pt>
                <c:pt idx="412">
                  <c:v>APR.24</c:v>
                </c:pt>
                <c:pt idx="413">
                  <c:v>APR.24</c:v>
                </c:pt>
                <c:pt idx="414">
                  <c:v>APR.24</c:v>
                </c:pt>
                <c:pt idx="415">
                  <c:v>APR.24</c:v>
                </c:pt>
                <c:pt idx="416">
                  <c:v>APR.24</c:v>
                </c:pt>
                <c:pt idx="417">
                  <c:v>APR.24</c:v>
                </c:pt>
                <c:pt idx="418">
                  <c:v>APR.24</c:v>
                </c:pt>
                <c:pt idx="419">
                  <c:v>APR.24</c:v>
                </c:pt>
                <c:pt idx="420">
                  <c:v>APR.24</c:v>
                </c:pt>
                <c:pt idx="421">
                  <c:v>APR.24</c:v>
                </c:pt>
                <c:pt idx="422">
                  <c:v>APR.24</c:v>
                </c:pt>
                <c:pt idx="423">
                  <c:v>APR.24</c:v>
                </c:pt>
                <c:pt idx="424">
                  <c:v>APR.24</c:v>
                </c:pt>
                <c:pt idx="425">
                  <c:v>APR.24</c:v>
                </c:pt>
                <c:pt idx="426">
                  <c:v>APR.24</c:v>
                </c:pt>
                <c:pt idx="427">
                  <c:v>APR.24</c:v>
                </c:pt>
                <c:pt idx="428">
                  <c:v>APR.24</c:v>
                </c:pt>
                <c:pt idx="429">
                  <c:v>APR.24</c:v>
                </c:pt>
                <c:pt idx="430">
                  <c:v>APR.24</c:v>
                </c:pt>
                <c:pt idx="431">
                  <c:v>APR.24</c:v>
                </c:pt>
                <c:pt idx="432">
                  <c:v>APR.24</c:v>
                </c:pt>
                <c:pt idx="433">
                  <c:v>APR.24</c:v>
                </c:pt>
                <c:pt idx="434">
                  <c:v>APR.24</c:v>
                </c:pt>
                <c:pt idx="435">
                  <c:v>APR.24</c:v>
                </c:pt>
                <c:pt idx="436">
                  <c:v>APR.24</c:v>
                </c:pt>
                <c:pt idx="437">
                  <c:v>APR.24</c:v>
                </c:pt>
                <c:pt idx="438">
                  <c:v>APR.24</c:v>
                </c:pt>
                <c:pt idx="439">
                  <c:v>APR.24</c:v>
                </c:pt>
                <c:pt idx="440">
                  <c:v>APR.24</c:v>
                </c:pt>
                <c:pt idx="441">
                  <c:v>APR.24</c:v>
                </c:pt>
                <c:pt idx="442">
                  <c:v>APR.24</c:v>
                </c:pt>
                <c:pt idx="443">
                  <c:v>APR.24</c:v>
                </c:pt>
                <c:pt idx="444">
                  <c:v>APR.24</c:v>
                </c:pt>
                <c:pt idx="445">
                  <c:v>APR.24</c:v>
                </c:pt>
                <c:pt idx="446">
                  <c:v>APR.24</c:v>
                </c:pt>
                <c:pt idx="447">
                  <c:v>APR.24</c:v>
                </c:pt>
                <c:pt idx="448">
                  <c:v>APR.24</c:v>
                </c:pt>
                <c:pt idx="449">
                  <c:v>APR.24</c:v>
                </c:pt>
                <c:pt idx="450">
                  <c:v>APR.24</c:v>
                </c:pt>
                <c:pt idx="451">
                  <c:v>APR.24</c:v>
                </c:pt>
                <c:pt idx="452">
                  <c:v>APR.24</c:v>
                </c:pt>
                <c:pt idx="453">
                  <c:v>APR.24</c:v>
                </c:pt>
                <c:pt idx="454">
                  <c:v>APR.24</c:v>
                </c:pt>
                <c:pt idx="455">
                  <c:v>APR.24</c:v>
                </c:pt>
                <c:pt idx="456">
                  <c:v>APR.24</c:v>
                </c:pt>
                <c:pt idx="457">
                  <c:v>APR.24</c:v>
                </c:pt>
                <c:pt idx="458">
                  <c:v>APR.24</c:v>
                </c:pt>
                <c:pt idx="459">
                  <c:v>APR.24</c:v>
                </c:pt>
                <c:pt idx="460">
                  <c:v>APR.24</c:v>
                </c:pt>
                <c:pt idx="461">
                  <c:v>APR.24</c:v>
                </c:pt>
                <c:pt idx="462">
                  <c:v>APR.24</c:v>
                </c:pt>
                <c:pt idx="463">
                  <c:v>APR.24</c:v>
                </c:pt>
                <c:pt idx="464">
                  <c:v>APR.24</c:v>
                </c:pt>
                <c:pt idx="465">
                  <c:v>APR.24</c:v>
                </c:pt>
                <c:pt idx="466">
                  <c:v>APR.24</c:v>
                </c:pt>
                <c:pt idx="467">
                  <c:v>APR.24</c:v>
                </c:pt>
                <c:pt idx="468">
                  <c:v>APR.24</c:v>
                </c:pt>
                <c:pt idx="469">
                  <c:v>APR.24</c:v>
                </c:pt>
                <c:pt idx="470">
                  <c:v>APR.24</c:v>
                </c:pt>
                <c:pt idx="471">
                  <c:v>APR.24</c:v>
                </c:pt>
                <c:pt idx="472">
                  <c:v>APR.24</c:v>
                </c:pt>
                <c:pt idx="473">
                  <c:v>APR.24</c:v>
                </c:pt>
                <c:pt idx="474">
                  <c:v>APR.24</c:v>
                </c:pt>
                <c:pt idx="475">
                  <c:v>APR.24</c:v>
                </c:pt>
                <c:pt idx="476">
                  <c:v>APR.24</c:v>
                </c:pt>
                <c:pt idx="477">
                  <c:v>APR.24</c:v>
                </c:pt>
                <c:pt idx="478">
                  <c:v>APR.24</c:v>
                </c:pt>
                <c:pt idx="479">
                  <c:v>APR.24</c:v>
                </c:pt>
                <c:pt idx="480">
                  <c:v>APR.24</c:v>
                </c:pt>
                <c:pt idx="481">
                  <c:v>APR.24</c:v>
                </c:pt>
                <c:pt idx="482">
                  <c:v>APR.24</c:v>
                </c:pt>
                <c:pt idx="483">
                  <c:v>APR.24</c:v>
                </c:pt>
                <c:pt idx="484">
                  <c:v>APR.24</c:v>
                </c:pt>
                <c:pt idx="485">
                  <c:v>APR.24</c:v>
                </c:pt>
                <c:pt idx="486">
                  <c:v>APR.24</c:v>
                </c:pt>
                <c:pt idx="487">
                  <c:v>APR.24</c:v>
                </c:pt>
                <c:pt idx="488">
                  <c:v>APR.24</c:v>
                </c:pt>
                <c:pt idx="489">
                  <c:v>APR.24</c:v>
                </c:pt>
                <c:pt idx="490">
                  <c:v>APR.24</c:v>
                </c:pt>
                <c:pt idx="491">
                  <c:v>APR.24</c:v>
                </c:pt>
                <c:pt idx="492">
                  <c:v>APR.24</c:v>
                </c:pt>
                <c:pt idx="493">
                  <c:v>APR.24</c:v>
                </c:pt>
                <c:pt idx="494">
                  <c:v>APR.24</c:v>
                </c:pt>
                <c:pt idx="495">
                  <c:v>APR.24</c:v>
                </c:pt>
                <c:pt idx="496">
                  <c:v>APR.24</c:v>
                </c:pt>
                <c:pt idx="497">
                  <c:v>APR.24</c:v>
                </c:pt>
                <c:pt idx="498">
                  <c:v>APR.24</c:v>
                </c:pt>
                <c:pt idx="499">
                  <c:v>APR.24</c:v>
                </c:pt>
                <c:pt idx="500">
                  <c:v>APR.24</c:v>
                </c:pt>
                <c:pt idx="501">
                  <c:v>APR.24</c:v>
                </c:pt>
                <c:pt idx="502">
                  <c:v>APR.24</c:v>
                </c:pt>
                <c:pt idx="503">
                  <c:v>APR.24</c:v>
                </c:pt>
                <c:pt idx="504">
                  <c:v>APR.24</c:v>
                </c:pt>
                <c:pt idx="505">
                  <c:v>APR.24</c:v>
                </c:pt>
                <c:pt idx="506">
                  <c:v>APR.24</c:v>
                </c:pt>
                <c:pt idx="507">
                  <c:v>APR.24</c:v>
                </c:pt>
                <c:pt idx="508">
                  <c:v>APR.24</c:v>
                </c:pt>
                <c:pt idx="509">
                  <c:v>APR.24</c:v>
                </c:pt>
                <c:pt idx="510">
                  <c:v>APR.24</c:v>
                </c:pt>
                <c:pt idx="511">
                  <c:v>APR.24</c:v>
                </c:pt>
                <c:pt idx="512">
                  <c:v>APR.24</c:v>
                </c:pt>
                <c:pt idx="513">
                  <c:v>APR.24</c:v>
                </c:pt>
                <c:pt idx="514">
                  <c:v>APR.24</c:v>
                </c:pt>
                <c:pt idx="515">
                  <c:v>APR.24</c:v>
                </c:pt>
                <c:pt idx="516">
                  <c:v>APR.24</c:v>
                </c:pt>
                <c:pt idx="517">
                  <c:v>APR.24</c:v>
                </c:pt>
                <c:pt idx="518">
                  <c:v>APR.24</c:v>
                </c:pt>
                <c:pt idx="519">
                  <c:v>APR.24</c:v>
                </c:pt>
                <c:pt idx="520">
                  <c:v>APR.24</c:v>
                </c:pt>
                <c:pt idx="521">
                  <c:v>APR.24</c:v>
                </c:pt>
                <c:pt idx="522">
                  <c:v>APR.24</c:v>
                </c:pt>
                <c:pt idx="523">
                  <c:v>APR.24</c:v>
                </c:pt>
                <c:pt idx="524">
                  <c:v>APR.24</c:v>
                </c:pt>
                <c:pt idx="525">
                  <c:v>APR.24</c:v>
                </c:pt>
                <c:pt idx="526">
                  <c:v>APR.24</c:v>
                </c:pt>
                <c:pt idx="527">
                  <c:v>APR.24</c:v>
                </c:pt>
                <c:pt idx="528">
                  <c:v>APR.24</c:v>
                </c:pt>
                <c:pt idx="529">
                  <c:v>APR.24</c:v>
                </c:pt>
                <c:pt idx="530">
                  <c:v>APR.24</c:v>
                </c:pt>
                <c:pt idx="531">
                  <c:v>APR.24</c:v>
                </c:pt>
                <c:pt idx="532">
                  <c:v>APR.24</c:v>
                </c:pt>
                <c:pt idx="533">
                  <c:v>APR.24</c:v>
                </c:pt>
                <c:pt idx="534">
                  <c:v>APR.24</c:v>
                </c:pt>
                <c:pt idx="535">
                  <c:v>May 24 live</c:v>
                </c:pt>
                <c:pt idx="536">
                  <c:v>MAY.24</c:v>
                </c:pt>
                <c:pt idx="537">
                  <c:v>MAY.24</c:v>
                </c:pt>
                <c:pt idx="538">
                  <c:v>MAY.24</c:v>
                </c:pt>
                <c:pt idx="539">
                  <c:v>MAY.24</c:v>
                </c:pt>
                <c:pt idx="540">
                  <c:v>MAY.24</c:v>
                </c:pt>
                <c:pt idx="541">
                  <c:v>MAY.24</c:v>
                </c:pt>
                <c:pt idx="542">
                  <c:v>MAY.24</c:v>
                </c:pt>
                <c:pt idx="543">
                  <c:v>MAY.24</c:v>
                </c:pt>
                <c:pt idx="544">
                  <c:v>MAY.24</c:v>
                </c:pt>
                <c:pt idx="545">
                  <c:v>MAY.24</c:v>
                </c:pt>
                <c:pt idx="546">
                  <c:v>MAY.24</c:v>
                </c:pt>
                <c:pt idx="547">
                  <c:v>MAY.24</c:v>
                </c:pt>
                <c:pt idx="548">
                  <c:v>MAY.24</c:v>
                </c:pt>
                <c:pt idx="549">
                  <c:v>MAY.24</c:v>
                </c:pt>
                <c:pt idx="550">
                  <c:v>MAY.24</c:v>
                </c:pt>
                <c:pt idx="551">
                  <c:v>MAY.24</c:v>
                </c:pt>
                <c:pt idx="552">
                  <c:v>MAY.24</c:v>
                </c:pt>
                <c:pt idx="553">
                  <c:v>MAY.24</c:v>
                </c:pt>
                <c:pt idx="554">
                  <c:v>MAY.24</c:v>
                </c:pt>
                <c:pt idx="555">
                  <c:v>MAY.24</c:v>
                </c:pt>
                <c:pt idx="556">
                  <c:v>MAY.24</c:v>
                </c:pt>
                <c:pt idx="557">
                  <c:v>MAY.24</c:v>
                </c:pt>
                <c:pt idx="558">
                  <c:v>MAY.24</c:v>
                </c:pt>
                <c:pt idx="559">
                  <c:v>MAY.24</c:v>
                </c:pt>
                <c:pt idx="560">
                  <c:v>MAY.24</c:v>
                </c:pt>
                <c:pt idx="561">
                  <c:v>MAY.24</c:v>
                </c:pt>
                <c:pt idx="562">
                  <c:v>MAY.24</c:v>
                </c:pt>
                <c:pt idx="563">
                  <c:v>MAY.24</c:v>
                </c:pt>
                <c:pt idx="564">
                  <c:v>MAY.24</c:v>
                </c:pt>
                <c:pt idx="565">
                  <c:v>MAY.24</c:v>
                </c:pt>
                <c:pt idx="566">
                  <c:v>MAY.24</c:v>
                </c:pt>
                <c:pt idx="567">
                  <c:v>MAY.24</c:v>
                </c:pt>
                <c:pt idx="568">
                  <c:v>MAY.24</c:v>
                </c:pt>
                <c:pt idx="569">
                  <c:v>MAY.24</c:v>
                </c:pt>
                <c:pt idx="570">
                  <c:v>MAY.24</c:v>
                </c:pt>
                <c:pt idx="571">
                  <c:v>MAY.24</c:v>
                </c:pt>
                <c:pt idx="572">
                  <c:v>MAY.24</c:v>
                </c:pt>
                <c:pt idx="573">
                  <c:v>MAY.24</c:v>
                </c:pt>
                <c:pt idx="574">
                  <c:v>MAY.24</c:v>
                </c:pt>
                <c:pt idx="575">
                  <c:v>MAY.24</c:v>
                </c:pt>
                <c:pt idx="576">
                  <c:v>MAY.24</c:v>
                </c:pt>
                <c:pt idx="577">
                  <c:v>MAY.24</c:v>
                </c:pt>
                <c:pt idx="578">
                  <c:v>MAY.24</c:v>
                </c:pt>
                <c:pt idx="579">
                  <c:v>MAY.24</c:v>
                </c:pt>
                <c:pt idx="580">
                  <c:v>MAY.24</c:v>
                </c:pt>
                <c:pt idx="581">
                  <c:v>MAY.24</c:v>
                </c:pt>
                <c:pt idx="582">
                  <c:v>MAY.24</c:v>
                </c:pt>
                <c:pt idx="583">
                  <c:v>MAY.24</c:v>
                </c:pt>
                <c:pt idx="584">
                  <c:v>MAY.24</c:v>
                </c:pt>
                <c:pt idx="585">
                  <c:v>MAY.24</c:v>
                </c:pt>
                <c:pt idx="586">
                  <c:v>MAY.24</c:v>
                </c:pt>
                <c:pt idx="587">
                  <c:v>MAY.24</c:v>
                </c:pt>
                <c:pt idx="588">
                  <c:v>MAY.24</c:v>
                </c:pt>
                <c:pt idx="589">
                  <c:v>MAY.24</c:v>
                </c:pt>
                <c:pt idx="590">
                  <c:v>MAY.24</c:v>
                </c:pt>
                <c:pt idx="591">
                  <c:v>MAY.24</c:v>
                </c:pt>
                <c:pt idx="592">
                  <c:v>MAY.24</c:v>
                </c:pt>
                <c:pt idx="593">
                  <c:v>MAY.24</c:v>
                </c:pt>
                <c:pt idx="594">
                  <c:v>MAY.24</c:v>
                </c:pt>
                <c:pt idx="595">
                  <c:v>MAY.24</c:v>
                </c:pt>
                <c:pt idx="596">
                  <c:v>MAY.24</c:v>
                </c:pt>
                <c:pt idx="597">
                  <c:v>MAY.24</c:v>
                </c:pt>
                <c:pt idx="598">
                  <c:v>MAY.24</c:v>
                </c:pt>
                <c:pt idx="599">
                  <c:v>MAY.24</c:v>
                </c:pt>
                <c:pt idx="600">
                  <c:v>MAY.24</c:v>
                </c:pt>
                <c:pt idx="601">
                  <c:v>MAY.24</c:v>
                </c:pt>
                <c:pt idx="602">
                  <c:v>MAY.24</c:v>
                </c:pt>
                <c:pt idx="603">
                  <c:v>MAY.24</c:v>
                </c:pt>
                <c:pt idx="604">
                  <c:v>MAY.24</c:v>
                </c:pt>
                <c:pt idx="605">
                  <c:v>MAY.24</c:v>
                </c:pt>
                <c:pt idx="606">
                  <c:v>MAY.24</c:v>
                </c:pt>
                <c:pt idx="607">
                  <c:v>MAY.24</c:v>
                </c:pt>
                <c:pt idx="608">
                  <c:v>MAY.24</c:v>
                </c:pt>
                <c:pt idx="609">
                  <c:v>MAY.24</c:v>
                </c:pt>
                <c:pt idx="610">
                  <c:v>MAY.24</c:v>
                </c:pt>
                <c:pt idx="611">
                  <c:v>MAY.24</c:v>
                </c:pt>
                <c:pt idx="612">
                  <c:v>MAY.24</c:v>
                </c:pt>
                <c:pt idx="613">
                  <c:v>MAY.24</c:v>
                </c:pt>
                <c:pt idx="614">
                  <c:v>MAY.24</c:v>
                </c:pt>
                <c:pt idx="615">
                  <c:v>MAY.24</c:v>
                </c:pt>
                <c:pt idx="616">
                  <c:v>MAY.24</c:v>
                </c:pt>
                <c:pt idx="617">
                  <c:v>MAY.24</c:v>
                </c:pt>
                <c:pt idx="618">
                  <c:v>MAY.24</c:v>
                </c:pt>
                <c:pt idx="619">
                  <c:v>MAY.24</c:v>
                </c:pt>
                <c:pt idx="620">
                  <c:v>MAY.24</c:v>
                </c:pt>
                <c:pt idx="621">
                  <c:v>MAY.24</c:v>
                </c:pt>
                <c:pt idx="622">
                  <c:v>MAY.24</c:v>
                </c:pt>
                <c:pt idx="623">
                  <c:v>MAY.24</c:v>
                </c:pt>
                <c:pt idx="624">
                  <c:v>MAY.24</c:v>
                </c:pt>
                <c:pt idx="625">
                  <c:v>MAY.24</c:v>
                </c:pt>
                <c:pt idx="626">
                  <c:v>MAY.24</c:v>
                </c:pt>
                <c:pt idx="627">
                  <c:v>MAY.24</c:v>
                </c:pt>
                <c:pt idx="628">
                  <c:v>MAY.24</c:v>
                </c:pt>
                <c:pt idx="629">
                  <c:v>MAY.24</c:v>
                </c:pt>
                <c:pt idx="630">
                  <c:v>MAY.24</c:v>
                </c:pt>
                <c:pt idx="631">
                  <c:v>MAY.24</c:v>
                </c:pt>
                <c:pt idx="632">
                  <c:v>MAY.24</c:v>
                </c:pt>
                <c:pt idx="633">
                  <c:v>MAY.24</c:v>
                </c:pt>
                <c:pt idx="634">
                  <c:v>MAY.24</c:v>
                </c:pt>
                <c:pt idx="635">
                  <c:v>MAY.24</c:v>
                </c:pt>
                <c:pt idx="636">
                  <c:v>MAY.24</c:v>
                </c:pt>
                <c:pt idx="637">
                  <c:v>MAY.24</c:v>
                </c:pt>
                <c:pt idx="638">
                  <c:v>MAY.24</c:v>
                </c:pt>
                <c:pt idx="639">
                  <c:v>MAY.24</c:v>
                </c:pt>
                <c:pt idx="640">
                  <c:v>MAY.24</c:v>
                </c:pt>
                <c:pt idx="641">
                  <c:v>MAY.24</c:v>
                </c:pt>
                <c:pt idx="642">
                  <c:v>MAY.24</c:v>
                </c:pt>
                <c:pt idx="643">
                  <c:v>MAY.24</c:v>
                </c:pt>
                <c:pt idx="644">
                  <c:v>MAY.24</c:v>
                </c:pt>
                <c:pt idx="645">
                  <c:v>MAY.24</c:v>
                </c:pt>
                <c:pt idx="646">
                  <c:v>MAY.24</c:v>
                </c:pt>
                <c:pt idx="647">
                  <c:v>MAY.24</c:v>
                </c:pt>
                <c:pt idx="648">
                  <c:v>MAY.24</c:v>
                </c:pt>
                <c:pt idx="649">
                  <c:v>MAY.24</c:v>
                </c:pt>
                <c:pt idx="650">
                  <c:v>MAY.24</c:v>
                </c:pt>
                <c:pt idx="651">
                  <c:v>MAY.24</c:v>
                </c:pt>
                <c:pt idx="652">
                  <c:v>MAY.24</c:v>
                </c:pt>
                <c:pt idx="653">
                  <c:v>MAY.24</c:v>
                </c:pt>
                <c:pt idx="654">
                  <c:v>MAY.24</c:v>
                </c:pt>
                <c:pt idx="655">
                  <c:v>MAY.24</c:v>
                </c:pt>
                <c:pt idx="656">
                  <c:v>MAY.24</c:v>
                </c:pt>
                <c:pt idx="657">
                  <c:v>MAY.24</c:v>
                </c:pt>
                <c:pt idx="658">
                  <c:v>MAY.24</c:v>
                </c:pt>
                <c:pt idx="659">
                  <c:v>MAY.24</c:v>
                </c:pt>
                <c:pt idx="660">
                  <c:v>MAY.24</c:v>
                </c:pt>
                <c:pt idx="661">
                  <c:v>MAY.24</c:v>
                </c:pt>
                <c:pt idx="662">
                  <c:v>MAY.24</c:v>
                </c:pt>
                <c:pt idx="663">
                  <c:v>MAY.24</c:v>
                </c:pt>
                <c:pt idx="664">
                  <c:v>MAY.24</c:v>
                </c:pt>
                <c:pt idx="665">
                  <c:v>MAY.24</c:v>
                </c:pt>
                <c:pt idx="666">
                  <c:v>MAY.24</c:v>
                </c:pt>
                <c:pt idx="667">
                  <c:v>MAY.24</c:v>
                </c:pt>
                <c:pt idx="668">
                  <c:v>MAY.24</c:v>
                </c:pt>
                <c:pt idx="669">
                  <c:v>MAY.24</c:v>
                </c:pt>
                <c:pt idx="670">
                  <c:v>MAY.24</c:v>
                </c:pt>
                <c:pt idx="671">
                  <c:v>MAY.24</c:v>
                </c:pt>
                <c:pt idx="672">
                  <c:v>MAY.24</c:v>
                </c:pt>
                <c:pt idx="673">
                  <c:v>MAY.24</c:v>
                </c:pt>
                <c:pt idx="674">
                  <c:v>MAY.24</c:v>
                </c:pt>
                <c:pt idx="675">
                  <c:v>MAY.24</c:v>
                </c:pt>
                <c:pt idx="676">
                  <c:v>MAY.24</c:v>
                </c:pt>
                <c:pt idx="677">
                  <c:v>MAY.24</c:v>
                </c:pt>
                <c:pt idx="678">
                  <c:v>MAY.24</c:v>
                </c:pt>
                <c:pt idx="679">
                  <c:v>MAY.24</c:v>
                </c:pt>
                <c:pt idx="680">
                  <c:v>MAY.24 after disaster</c:v>
                </c:pt>
                <c:pt idx="681">
                  <c:v>MAY.24</c:v>
                </c:pt>
                <c:pt idx="682">
                  <c:v>MAY.24</c:v>
                </c:pt>
                <c:pt idx="683">
                  <c:v>MAY.24</c:v>
                </c:pt>
                <c:pt idx="684">
                  <c:v>MAY.24</c:v>
                </c:pt>
                <c:pt idx="685">
                  <c:v>MAY.24</c:v>
                </c:pt>
                <c:pt idx="686">
                  <c:v>MAY.24</c:v>
                </c:pt>
                <c:pt idx="687">
                  <c:v>MAY.24</c:v>
                </c:pt>
                <c:pt idx="688">
                  <c:v>MAY.24</c:v>
                </c:pt>
                <c:pt idx="689">
                  <c:v>MAY.24</c:v>
                </c:pt>
                <c:pt idx="690">
                  <c:v>MAY.24</c:v>
                </c:pt>
                <c:pt idx="691">
                  <c:v>MAY.24</c:v>
                </c:pt>
                <c:pt idx="692">
                  <c:v>MAY.24</c:v>
                </c:pt>
                <c:pt idx="693">
                  <c:v>MAY.24</c:v>
                </c:pt>
                <c:pt idx="694">
                  <c:v>MAY.24</c:v>
                </c:pt>
                <c:pt idx="695">
                  <c:v>MAY.24 recovery</c:v>
                </c:pt>
                <c:pt idx="696">
                  <c:v>MAY.24</c:v>
                </c:pt>
                <c:pt idx="697">
                  <c:v>MAY.24</c:v>
                </c:pt>
                <c:pt idx="698">
                  <c:v>MAY.24</c:v>
                </c:pt>
                <c:pt idx="699">
                  <c:v>MAY.24</c:v>
                </c:pt>
                <c:pt idx="700">
                  <c:v>MAY.24</c:v>
                </c:pt>
                <c:pt idx="701">
                  <c:v>MAY.24</c:v>
                </c:pt>
                <c:pt idx="702">
                  <c:v>MAY.24</c:v>
                </c:pt>
                <c:pt idx="703">
                  <c:v>MAY.24</c:v>
                </c:pt>
                <c:pt idx="704">
                  <c:v>MAY.24</c:v>
                </c:pt>
                <c:pt idx="705">
                  <c:v>MAY.24</c:v>
                </c:pt>
                <c:pt idx="706">
                  <c:v>MAY.24</c:v>
                </c:pt>
                <c:pt idx="707">
                  <c:v>MAY.24</c:v>
                </c:pt>
                <c:pt idx="708">
                  <c:v>MAY.24</c:v>
                </c:pt>
                <c:pt idx="709">
                  <c:v>MAY.24</c:v>
                </c:pt>
                <c:pt idx="710">
                  <c:v>MAY.24</c:v>
                </c:pt>
                <c:pt idx="711">
                  <c:v>MAY.24</c:v>
                </c:pt>
                <c:pt idx="712">
                  <c:v>MAY.24</c:v>
                </c:pt>
                <c:pt idx="713">
                  <c:v>MAY.24</c:v>
                </c:pt>
                <c:pt idx="714">
                  <c:v>MAY.24</c:v>
                </c:pt>
                <c:pt idx="715">
                  <c:v>MAY.24</c:v>
                </c:pt>
                <c:pt idx="716">
                  <c:v>MAY.24</c:v>
                </c:pt>
                <c:pt idx="717">
                  <c:v>MAY.24</c:v>
                </c:pt>
                <c:pt idx="718">
                  <c:v>MAY.24</c:v>
                </c:pt>
                <c:pt idx="719">
                  <c:v>MAY.24</c:v>
                </c:pt>
                <c:pt idx="720">
                  <c:v>MAY.24</c:v>
                </c:pt>
                <c:pt idx="721">
                  <c:v>MAY.24</c:v>
                </c:pt>
                <c:pt idx="722">
                  <c:v>MAY.24</c:v>
                </c:pt>
                <c:pt idx="723">
                  <c:v>MAY.24</c:v>
                </c:pt>
                <c:pt idx="724">
                  <c:v>MAY.24</c:v>
                </c:pt>
                <c:pt idx="725">
                  <c:v>MAY.24</c:v>
                </c:pt>
                <c:pt idx="726">
                  <c:v>MAY.24</c:v>
                </c:pt>
                <c:pt idx="727">
                  <c:v>MAY.24</c:v>
                </c:pt>
                <c:pt idx="728">
                  <c:v>MAY.24</c:v>
                </c:pt>
                <c:pt idx="729">
                  <c:v>MAY.24</c:v>
                </c:pt>
                <c:pt idx="730">
                  <c:v>June24 live</c:v>
                </c:pt>
                <c:pt idx="731">
                  <c:v>JUN.24</c:v>
                </c:pt>
                <c:pt idx="732">
                  <c:v>JUN.24</c:v>
                </c:pt>
                <c:pt idx="733">
                  <c:v>JUN.24</c:v>
                </c:pt>
                <c:pt idx="734">
                  <c:v>JUN.24</c:v>
                </c:pt>
                <c:pt idx="735">
                  <c:v>JUN.24</c:v>
                </c:pt>
                <c:pt idx="736">
                  <c:v>JUN.24</c:v>
                </c:pt>
                <c:pt idx="737">
                  <c:v>JUN.24</c:v>
                </c:pt>
                <c:pt idx="738">
                  <c:v>JUN.24</c:v>
                </c:pt>
                <c:pt idx="739">
                  <c:v>JUN.24</c:v>
                </c:pt>
                <c:pt idx="740">
                  <c:v>JUN.24</c:v>
                </c:pt>
                <c:pt idx="741">
                  <c:v>JUN.24</c:v>
                </c:pt>
                <c:pt idx="742">
                  <c:v>JUN.24</c:v>
                </c:pt>
                <c:pt idx="743">
                  <c:v>JUN.24</c:v>
                </c:pt>
                <c:pt idx="744">
                  <c:v>JUN.24</c:v>
                </c:pt>
                <c:pt idx="745">
                  <c:v>JUN.24</c:v>
                </c:pt>
                <c:pt idx="746">
                  <c:v>JUN.24</c:v>
                </c:pt>
                <c:pt idx="747">
                  <c:v>JUN.24</c:v>
                </c:pt>
                <c:pt idx="748">
                  <c:v>JUN.24</c:v>
                </c:pt>
                <c:pt idx="749">
                  <c:v>JUN.24</c:v>
                </c:pt>
                <c:pt idx="750">
                  <c:v>JUN.24</c:v>
                </c:pt>
                <c:pt idx="751">
                  <c:v>JUN.24</c:v>
                </c:pt>
                <c:pt idx="752">
                  <c:v>JUN.24</c:v>
                </c:pt>
                <c:pt idx="753">
                  <c:v>JUN.24</c:v>
                </c:pt>
                <c:pt idx="754">
                  <c:v>JUN.24</c:v>
                </c:pt>
                <c:pt idx="755">
                  <c:v>JUN.24</c:v>
                </c:pt>
                <c:pt idx="756">
                  <c:v>JUN.24</c:v>
                </c:pt>
                <c:pt idx="757">
                  <c:v>JUN.24</c:v>
                </c:pt>
                <c:pt idx="758">
                  <c:v>JUN.24</c:v>
                </c:pt>
                <c:pt idx="759">
                  <c:v>JUN.24</c:v>
                </c:pt>
                <c:pt idx="760">
                  <c:v>JUN.24</c:v>
                </c:pt>
                <c:pt idx="761">
                  <c:v>JUN.24</c:v>
                </c:pt>
                <c:pt idx="762">
                  <c:v>JUN.24</c:v>
                </c:pt>
                <c:pt idx="763">
                  <c:v>JUN.24</c:v>
                </c:pt>
                <c:pt idx="764">
                  <c:v>JUN.24</c:v>
                </c:pt>
                <c:pt idx="765">
                  <c:v>JUN.24</c:v>
                </c:pt>
                <c:pt idx="766">
                  <c:v>JUN.24</c:v>
                </c:pt>
                <c:pt idx="767">
                  <c:v>JUN.24</c:v>
                </c:pt>
                <c:pt idx="768">
                  <c:v>JUN.24</c:v>
                </c:pt>
                <c:pt idx="769">
                  <c:v>JUN.24</c:v>
                </c:pt>
                <c:pt idx="770">
                  <c:v>JUN.24</c:v>
                </c:pt>
                <c:pt idx="771">
                  <c:v>JUN.24</c:v>
                </c:pt>
                <c:pt idx="772">
                  <c:v>JUN.24</c:v>
                </c:pt>
                <c:pt idx="773">
                  <c:v>JUN.24</c:v>
                </c:pt>
                <c:pt idx="774">
                  <c:v>JUN.24</c:v>
                </c:pt>
                <c:pt idx="775">
                  <c:v>JUN.24</c:v>
                </c:pt>
                <c:pt idx="776">
                  <c:v>JUN.24</c:v>
                </c:pt>
                <c:pt idx="777">
                  <c:v>JUN.24</c:v>
                </c:pt>
                <c:pt idx="778">
                  <c:v>JUN.24</c:v>
                </c:pt>
                <c:pt idx="779">
                  <c:v>JUN.24</c:v>
                </c:pt>
                <c:pt idx="780">
                  <c:v>JUN.24</c:v>
                </c:pt>
                <c:pt idx="781">
                  <c:v>JUN.24</c:v>
                </c:pt>
                <c:pt idx="782">
                  <c:v>JUN.24</c:v>
                </c:pt>
                <c:pt idx="783">
                  <c:v>JUN.24</c:v>
                </c:pt>
                <c:pt idx="784">
                  <c:v>JUN.24</c:v>
                </c:pt>
                <c:pt idx="785">
                  <c:v>JUN.24</c:v>
                </c:pt>
                <c:pt idx="786">
                  <c:v>JUN.24</c:v>
                </c:pt>
                <c:pt idx="787">
                  <c:v>JUN.24</c:v>
                </c:pt>
                <c:pt idx="788">
                  <c:v>JUN.24</c:v>
                </c:pt>
                <c:pt idx="789">
                  <c:v>JUN.24</c:v>
                </c:pt>
                <c:pt idx="790">
                  <c:v>JUN.24</c:v>
                </c:pt>
                <c:pt idx="791">
                  <c:v>JUN.24</c:v>
                </c:pt>
                <c:pt idx="792">
                  <c:v>JUN.24</c:v>
                </c:pt>
                <c:pt idx="793">
                  <c:v>JUN.24</c:v>
                </c:pt>
                <c:pt idx="794">
                  <c:v>JUN.24</c:v>
                </c:pt>
                <c:pt idx="795">
                  <c:v>JUN.24</c:v>
                </c:pt>
                <c:pt idx="796">
                  <c:v>JUN.24</c:v>
                </c:pt>
                <c:pt idx="797">
                  <c:v>JUN.24</c:v>
                </c:pt>
                <c:pt idx="798">
                  <c:v>JUN.24</c:v>
                </c:pt>
                <c:pt idx="799">
                  <c:v>JUN.24</c:v>
                </c:pt>
                <c:pt idx="800">
                  <c:v>JUN.24</c:v>
                </c:pt>
                <c:pt idx="801">
                  <c:v>JUN.24</c:v>
                </c:pt>
                <c:pt idx="802">
                  <c:v>JUN.24</c:v>
                </c:pt>
                <c:pt idx="803">
                  <c:v>JUN.24</c:v>
                </c:pt>
                <c:pt idx="804">
                  <c:v>JUN.24</c:v>
                </c:pt>
                <c:pt idx="805">
                  <c:v>JUN.24</c:v>
                </c:pt>
                <c:pt idx="806">
                  <c:v>JUN.24</c:v>
                </c:pt>
                <c:pt idx="807">
                  <c:v>JUN.24</c:v>
                </c:pt>
                <c:pt idx="808">
                  <c:v>JUN.24</c:v>
                </c:pt>
                <c:pt idx="809">
                  <c:v>JUN.24</c:v>
                </c:pt>
                <c:pt idx="810">
                  <c:v>JUN.24</c:v>
                </c:pt>
                <c:pt idx="811">
                  <c:v>JUN.24</c:v>
                </c:pt>
                <c:pt idx="812">
                  <c:v>JUN.24</c:v>
                </c:pt>
                <c:pt idx="813">
                  <c:v>JUN.24</c:v>
                </c:pt>
                <c:pt idx="814">
                  <c:v>JUN.24</c:v>
                </c:pt>
                <c:pt idx="815">
                  <c:v>JUN.24</c:v>
                </c:pt>
                <c:pt idx="816">
                  <c:v>JUN.24</c:v>
                </c:pt>
                <c:pt idx="817">
                  <c:v>JUN.24</c:v>
                </c:pt>
                <c:pt idx="818">
                  <c:v>JUN.24</c:v>
                </c:pt>
                <c:pt idx="819">
                  <c:v>JUN.24</c:v>
                </c:pt>
                <c:pt idx="820">
                  <c:v>JUN.24</c:v>
                </c:pt>
                <c:pt idx="821">
                  <c:v>JUN.24</c:v>
                </c:pt>
                <c:pt idx="822">
                  <c:v>JUN.24</c:v>
                </c:pt>
                <c:pt idx="823">
                  <c:v>JUN.24</c:v>
                </c:pt>
                <c:pt idx="824">
                  <c:v>JUN.24</c:v>
                </c:pt>
                <c:pt idx="825">
                  <c:v>JUN.24</c:v>
                </c:pt>
                <c:pt idx="826">
                  <c:v>JUN.24</c:v>
                </c:pt>
                <c:pt idx="827">
                  <c:v>JUN.24</c:v>
                </c:pt>
                <c:pt idx="828">
                  <c:v>JUN.24</c:v>
                </c:pt>
                <c:pt idx="829">
                  <c:v>JUN.24</c:v>
                </c:pt>
                <c:pt idx="830">
                  <c:v>JUN.24</c:v>
                </c:pt>
                <c:pt idx="831">
                  <c:v>JUN.24</c:v>
                </c:pt>
                <c:pt idx="832">
                  <c:v>JUN.24</c:v>
                </c:pt>
                <c:pt idx="833">
                  <c:v>JUN.24</c:v>
                </c:pt>
                <c:pt idx="834">
                  <c:v>JUN.24</c:v>
                </c:pt>
                <c:pt idx="835">
                  <c:v>JUN.24</c:v>
                </c:pt>
                <c:pt idx="836">
                  <c:v>JUN.24</c:v>
                </c:pt>
                <c:pt idx="837">
                  <c:v>JUN.24</c:v>
                </c:pt>
                <c:pt idx="838">
                  <c:v>JUN.24</c:v>
                </c:pt>
                <c:pt idx="839">
                  <c:v>JUN.24</c:v>
                </c:pt>
                <c:pt idx="840">
                  <c:v>JUN.24</c:v>
                </c:pt>
                <c:pt idx="841">
                  <c:v>JUN.24</c:v>
                </c:pt>
                <c:pt idx="842">
                  <c:v>JUN.24</c:v>
                </c:pt>
                <c:pt idx="843">
                  <c:v>JUN.24</c:v>
                </c:pt>
                <c:pt idx="844">
                  <c:v>JUN.24</c:v>
                </c:pt>
                <c:pt idx="845">
                  <c:v>JUN.24</c:v>
                </c:pt>
                <c:pt idx="846">
                  <c:v>JUN.24</c:v>
                </c:pt>
                <c:pt idx="847">
                  <c:v>JUN.24</c:v>
                </c:pt>
                <c:pt idx="848">
                  <c:v>JUN.24</c:v>
                </c:pt>
                <c:pt idx="849">
                  <c:v>JUN.24</c:v>
                </c:pt>
                <c:pt idx="850">
                  <c:v>JUN.24</c:v>
                </c:pt>
                <c:pt idx="851">
                  <c:v>JUN.24</c:v>
                </c:pt>
                <c:pt idx="852">
                  <c:v>JUN.24</c:v>
                </c:pt>
                <c:pt idx="853">
                  <c:v>JUN.24</c:v>
                </c:pt>
                <c:pt idx="854">
                  <c:v>JUN.24</c:v>
                </c:pt>
                <c:pt idx="855">
                  <c:v>JUN.24</c:v>
                </c:pt>
                <c:pt idx="856">
                  <c:v>JUN.24</c:v>
                </c:pt>
                <c:pt idx="857">
                  <c:v>JUN.24</c:v>
                </c:pt>
                <c:pt idx="858">
                  <c:v>JUN.24</c:v>
                </c:pt>
                <c:pt idx="859">
                  <c:v>JUN.24</c:v>
                </c:pt>
                <c:pt idx="860">
                  <c:v>JUN.24</c:v>
                </c:pt>
                <c:pt idx="861">
                  <c:v>JUN.24</c:v>
                </c:pt>
                <c:pt idx="862">
                  <c:v>JUN.24</c:v>
                </c:pt>
                <c:pt idx="863">
                  <c:v>JUN.24</c:v>
                </c:pt>
                <c:pt idx="864">
                  <c:v>JUN.24</c:v>
                </c:pt>
                <c:pt idx="865">
                  <c:v>JUN.24</c:v>
                </c:pt>
                <c:pt idx="866">
                  <c:v>JUN.24</c:v>
                </c:pt>
                <c:pt idx="867">
                  <c:v>JUN.24</c:v>
                </c:pt>
                <c:pt idx="868">
                  <c:v>JUN.24</c:v>
                </c:pt>
                <c:pt idx="869">
                  <c:v>JUN.24</c:v>
                </c:pt>
                <c:pt idx="870">
                  <c:v>JUN.24</c:v>
                </c:pt>
                <c:pt idx="871">
                  <c:v>JUN.24</c:v>
                </c:pt>
                <c:pt idx="872">
                  <c:v>JUN.24</c:v>
                </c:pt>
                <c:pt idx="873">
                  <c:v>JUN.24</c:v>
                </c:pt>
                <c:pt idx="874">
                  <c:v>JUN.24</c:v>
                </c:pt>
                <c:pt idx="875">
                  <c:v>JUN.24</c:v>
                </c:pt>
                <c:pt idx="876">
                  <c:v>JUN.24</c:v>
                </c:pt>
                <c:pt idx="877">
                  <c:v>JUN.24</c:v>
                </c:pt>
                <c:pt idx="878">
                  <c:v>JUN.24 BLOWUP</c:v>
                </c:pt>
                <c:pt idx="879">
                  <c:v>JUN.24</c:v>
                </c:pt>
                <c:pt idx="880">
                  <c:v>JUN.24</c:v>
                </c:pt>
                <c:pt idx="881">
                  <c:v>JUN.24</c:v>
                </c:pt>
                <c:pt idx="882">
                  <c:v>JUN.24</c:v>
                </c:pt>
                <c:pt idx="883">
                  <c:v>JUN.24</c:v>
                </c:pt>
                <c:pt idx="884">
                  <c:v>JUN.24</c:v>
                </c:pt>
                <c:pt idx="885">
                  <c:v>JUN.24</c:v>
                </c:pt>
                <c:pt idx="886">
                  <c:v>JUN.24</c:v>
                </c:pt>
                <c:pt idx="887">
                  <c:v>July24 live (R+1) | REDUCE INTRADAY &gt;1D TRADES</c:v>
                </c:pt>
                <c:pt idx="888">
                  <c:v>JUL.24</c:v>
                </c:pt>
                <c:pt idx="889">
                  <c:v>JUL.24</c:v>
                </c:pt>
                <c:pt idx="890">
                  <c:v>JUL.24</c:v>
                </c:pt>
                <c:pt idx="891">
                  <c:v>JUL.24</c:v>
                </c:pt>
                <c:pt idx="892">
                  <c:v>JUL.24</c:v>
                </c:pt>
                <c:pt idx="893">
                  <c:v>JUL.24</c:v>
                </c:pt>
                <c:pt idx="894">
                  <c:v>JUL.24</c:v>
                </c:pt>
                <c:pt idx="895">
                  <c:v>JUL.24</c:v>
                </c:pt>
                <c:pt idx="896">
                  <c:v>JUL.24</c:v>
                </c:pt>
                <c:pt idx="897">
                  <c:v>JUL.24</c:v>
                </c:pt>
                <c:pt idx="898">
                  <c:v>JUL.24</c:v>
                </c:pt>
                <c:pt idx="899">
                  <c:v>JUL.24</c:v>
                </c:pt>
                <c:pt idx="900">
                  <c:v>JUL.24</c:v>
                </c:pt>
                <c:pt idx="901">
                  <c:v>JUL.24</c:v>
                </c:pt>
                <c:pt idx="902">
                  <c:v>JUL.24</c:v>
                </c:pt>
                <c:pt idx="903">
                  <c:v>JUL.24</c:v>
                </c:pt>
                <c:pt idx="904">
                  <c:v>JUL.24</c:v>
                </c:pt>
                <c:pt idx="905">
                  <c:v>JUL.24</c:v>
                </c:pt>
                <c:pt idx="906">
                  <c:v>JUL.24</c:v>
                </c:pt>
                <c:pt idx="907">
                  <c:v>JUL.24</c:v>
                </c:pt>
                <c:pt idx="908">
                  <c:v>JUL.24</c:v>
                </c:pt>
                <c:pt idx="909">
                  <c:v>JUL.24</c:v>
                </c:pt>
                <c:pt idx="910">
                  <c:v>JUL.24</c:v>
                </c:pt>
                <c:pt idx="911">
                  <c:v>JUL.24</c:v>
                </c:pt>
                <c:pt idx="912">
                  <c:v>JUL.24</c:v>
                </c:pt>
                <c:pt idx="913">
                  <c:v>JUL.24</c:v>
                </c:pt>
                <c:pt idx="914">
                  <c:v>JUL.24</c:v>
                </c:pt>
                <c:pt idx="915">
                  <c:v>JUL.24</c:v>
                </c:pt>
                <c:pt idx="916">
                  <c:v>JUL.24</c:v>
                </c:pt>
                <c:pt idx="917">
                  <c:v>JUL.24</c:v>
                </c:pt>
                <c:pt idx="918">
                  <c:v>JUL.24</c:v>
                </c:pt>
                <c:pt idx="919">
                  <c:v>JUL.24</c:v>
                </c:pt>
                <c:pt idx="920">
                  <c:v>JUL.24</c:v>
                </c:pt>
                <c:pt idx="921">
                  <c:v>JUL.24</c:v>
                </c:pt>
                <c:pt idx="922">
                  <c:v>JUL.24</c:v>
                </c:pt>
                <c:pt idx="923">
                  <c:v>JUL.24</c:v>
                </c:pt>
                <c:pt idx="924">
                  <c:v>JUL.24</c:v>
                </c:pt>
                <c:pt idx="925">
                  <c:v>JUL.24</c:v>
                </c:pt>
                <c:pt idx="926">
                  <c:v>JUL.24</c:v>
                </c:pt>
                <c:pt idx="927">
                  <c:v>JUL.24</c:v>
                </c:pt>
                <c:pt idx="928">
                  <c:v>JUL.24</c:v>
                </c:pt>
                <c:pt idx="929">
                  <c:v>JUL.24</c:v>
                </c:pt>
                <c:pt idx="930">
                  <c:v>JUL.24</c:v>
                </c:pt>
                <c:pt idx="931">
                  <c:v>JUL.24</c:v>
                </c:pt>
                <c:pt idx="932">
                  <c:v>JUL.24</c:v>
                </c:pt>
                <c:pt idx="933">
                  <c:v>JUL.24</c:v>
                </c:pt>
                <c:pt idx="934">
                  <c:v>JUL.24</c:v>
                </c:pt>
                <c:pt idx="935">
                  <c:v>JUL.24</c:v>
                </c:pt>
                <c:pt idx="936">
                  <c:v>JUL.24</c:v>
                </c:pt>
                <c:pt idx="937">
                  <c:v>JUL.24</c:v>
                </c:pt>
                <c:pt idx="938">
                  <c:v>JUL.24</c:v>
                </c:pt>
                <c:pt idx="939">
                  <c:v>JUL.24</c:v>
                </c:pt>
                <c:pt idx="940">
                  <c:v>JUL.24</c:v>
                </c:pt>
                <c:pt idx="941">
                  <c:v>JUL.24</c:v>
                </c:pt>
                <c:pt idx="942">
                  <c:v>JUL.24</c:v>
                </c:pt>
                <c:pt idx="943">
                  <c:v>JUL.24</c:v>
                </c:pt>
                <c:pt idx="944">
                  <c:v>JUL.24</c:v>
                </c:pt>
                <c:pt idx="945">
                  <c:v>JUL.24</c:v>
                </c:pt>
                <c:pt idx="946">
                  <c:v>JUL.24</c:v>
                </c:pt>
                <c:pt idx="947">
                  <c:v>JUL.24</c:v>
                </c:pt>
                <c:pt idx="948">
                  <c:v>JUL.24</c:v>
                </c:pt>
                <c:pt idx="949">
                  <c:v>JUL.24</c:v>
                </c:pt>
                <c:pt idx="950">
                  <c:v>JUL.24</c:v>
                </c:pt>
                <c:pt idx="951">
                  <c:v>JUL.24</c:v>
                </c:pt>
                <c:pt idx="952">
                  <c:v>JUL.24</c:v>
                </c:pt>
                <c:pt idx="953">
                  <c:v>JUL.24</c:v>
                </c:pt>
                <c:pt idx="954">
                  <c:v>JUL.24</c:v>
                </c:pt>
                <c:pt idx="955">
                  <c:v>JUL.24</c:v>
                </c:pt>
                <c:pt idx="956">
                  <c:v>JUL.24</c:v>
                </c:pt>
                <c:pt idx="957">
                  <c:v>JUL.24</c:v>
                </c:pt>
                <c:pt idx="958">
                  <c:v>JUL.24</c:v>
                </c:pt>
                <c:pt idx="959">
                  <c:v>JUL.24</c:v>
                </c:pt>
                <c:pt idx="960">
                  <c:v>JUL.24</c:v>
                </c:pt>
                <c:pt idx="961">
                  <c:v>JUL.24</c:v>
                </c:pt>
                <c:pt idx="962">
                  <c:v>JUL.24</c:v>
                </c:pt>
                <c:pt idx="963">
                  <c:v>JUL.24</c:v>
                </c:pt>
                <c:pt idx="964">
                  <c:v>JUL.24</c:v>
                </c:pt>
                <c:pt idx="965">
                  <c:v>JUL.24</c:v>
                </c:pt>
                <c:pt idx="966">
                  <c:v>JUL.24</c:v>
                </c:pt>
                <c:pt idx="967">
                  <c:v>JUL.24</c:v>
                </c:pt>
                <c:pt idx="968">
                  <c:v>JUL.24</c:v>
                </c:pt>
                <c:pt idx="969">
                  <c:v>JUL.24</c:v>
                </c:pt>
                <c:pt idx="970">
                  <c:v>JUL.24</c:v>
                </c:pt>
                <c:pt idx="971">
                  <c:v>JUL.24</c:v>
                </c:pt>
                <c:pt idx="972">
                  <c:v>JUL.24</c:v>
                </c:pt>
                <c:pt idx="973">
                  <c:v>JUL.24</c:v>
                </c:pt>
                <c:pt idx="974">
                  <c:v>JUL.24</c:v>
                </c:pt>
                <c:pt idx="975">
                  <c:v>JUL.24</c:v>
                </c:pt>
                <c:pt idx="976">
                  <c:v>JUL.24</c:v>
                </c:pt>
                <c:pt idx="977">
                  <c:v>JUL.24</c:v>
                </c:pt>
                <c:pt idx="978">
                  <c:v>JUL.24</c:v>
                </c:pt>
                <c:pt idx="979">
                  <c:v>JUL.24</c:v>
                </c:pt>
                <c:pt idx="980">
                  <c:v>JUL.24</c:v>
                </c:pt>
                <c:pt idx="981">
                  <c:v>JUL.24</c:v>
                </c:pt>
                <c:pt idx="982">
                  <c:v>JUL.24</c:v>
                </c:pt>
                <c:pt idx="983">
                  <c:v>JUL.24</c:v>
                </c:pt>
                <c:pt idx="984">
                  <c:v>JUL.24</c:v>
                </c:pt>
                <c:pt idx="985">
                  <c:v>JUL.24</c:v>
                </c:pt>
                <c:pt idx="986">
                  <c:v>JUL.24</c:v>
                </c:pt>
                <c:pt idx="987">
                  <c:v>JUL.24</c:v>
                </c:pt>
                <c:pt idx="988">
                  <c:v>August24 live (R-1) | REDUCE LOT SIZING 2ND HALF AND ONLY EXITS IN 2ND HALF</c:v>
                </c:pt>
                <c:pt idx="989">
                  <c:v>AUG.24</c:v>
                </c:pt>
                <c:pt idx="990">
                  <c:v>AUG.24</c:v>
                </c:pt>
                <c:pt idx="991">
                  <c:v>AUG.24.II</c:v>
                </c:pt>
                <c:pt idx="992">
                  <c:v>AUG.24</c:v>
                </c:pt>
                <c:pt idx="993">
                  <c:v>AUG.24</c:v>
                </c:pt>
                <c:pt idx="994">
                  <c:v>AUG.24</c:v>
                </c:pt>
                <c:pt idx="995">
                  <c:v>AUG.24</c:v>
                </c:pt>
                <c:pt idx="996">
                  <c:v>AUG.24</c:v>
                </c:pt>
                <c:pt idx="997">
                  <c:v>AUG.24</c:v>
                </c:pt>
                <c:pt idx="998">
                  <c:v>AUG.24</c:v>
                </c:pt>
                <c:pt idx="999">
                  <c:v>AUG.24</c:v>
                </c:pt>
                <c:pt idx="1000">
                  <c:v>AUG.24.II</c:v>
                </c:pt>
                <c:pt idx="1001">
                  <c:v>AUG.24.II</c:v>
                </c:pt>
                <c:pt idx="1002">
                  <c:v>AUG.24</c:v>
                </c:pt>
                <c:pt idx="1003">
                  <c:v>AUG.24</c:v>
                </c:pt>
                <c:pt idx="1004">
                  <c:v>AUG.24</c:v>
                </c:pt>
                <c:pt idx="1005">
                  <c:v>AUG.24.II</c:v>
                </c:pt>
                <c:pt idx="1006">
                  <c:v>AUG.24.II</c:v>
                </c:pt>
                <c:pt idx="1007">
                  <c:v>AUG.24</c:v>
                </c:pt>
                <c:pt idx="1008">
                  <c:v>AUG.24</c:v>
                </c:pt>
                <c:pt idx="1009">
                  <c:v>AUG.24</c:v>
                </c:pt>
                <c:pt idx="1010">
                  <c:v>AUG.24</c:v>
                </c:pt>
                <c:pt idx="1011">
                  <c:v>AUG.24</c:v>
                </c:pt>
                <c:pt idx="1012">
                  <c:v>AUG.24</c:v>
                </c:pt>
                <c:pt idx="1013">
                  <c:v>AUG.24</c:v>
                </c:pt>
                <c:pt idx="1014">
                  <c:v>AUG.24</c:v>
                </c:pt>
                <c:pt idx="1015">
                  <c:v>AUG.24</c:v>
                </c:pt>
                <c:pt idx="1016">
                  <c:v>AUG.24</c:v>
                </c:pt>
                <c:pt idx="1017">
                  <c:v>AUG.24</c:v>
                </c:pt>
                <c:pt idx="1018">
                  <c:v>AUG.24</c:v>
                </c:pt>
                <c:pt idx="1019">
                  <c:v>AUG.24</c:v>
                </c:pt>
                <c:pt idx="1020">
                  <c:v>AUG.24</c:v>
                </c:pt>
                <c:pt idx="1021">
                  <c:v>AUG.24</c:v>
                </c:pt>
                <c:pt idx="1022">
                  <c:v>AUG.24</c:v>
                </c:pt>
                <c:pt idx="1023">
                  <c:v>AUG.24</c:v>
                </c:pt>
                <c:pt idx="1024">
                  <c:v>AUG.24</c:v>
                </c:pt>
                <c:pt idx="1025">
                  <c:v>AUG.24</c:v>
                </c:pt>
                <c:pt idx="1026">
                  <c:v>AUG.24.II</c:v>
                </c:pt>
                <c:pt idx="1027">
                  <c:v>AUG.24</c:v>
                </c:pt>
                <c:pt idx="1028">
                  <c:v>AUG.24</c:v>
                </c:pt>
                <c:pt idx="1029">
                  <c:v>AUG.24</c:v>
                </c:pt>
                <c:pt idx="1030">
                  <c:v>AUG.24</c:v>
                </c:pt>
                <c:pt idx="1031">
                  <c:v>AUG.24</c:v>
                </c:pt>
                <c:pt idx="1032">
                  <c:v>AUG.24</c:v>
                </c:pt>
                <c:pt idx="1033">
                  <c:v>AUG.24</c:v>
                </c:pt>
                <c:pt idx="1034">
                  <c:v>AUG.24</c:v>
                </c:pt>
                <c:pt idx="1035">
                  <c:v>AUG.24</c:v>
                </c:pt>
                <c:pt idx="1036">
                  <c:v>AUG.24</c:v>
                </c:pt>
                <c:pt idx="1037">
                  <c:v>AUG.24</c:v>
                </c:pt>
                <c:pt idx="1038">
                  <c:v>AUG.24</c:v>
                </c:pt>
                <c:pt idx="1039">
                  <c:v>AUG.24</c:v>
                </c:pt>
                <c:pt idx="1040">
                  <c:v>AUG.24</c:v>
                </c:pt>
                <c:pt idx="1041">
                  <c:v>AUG.24</c:v>
                </c:pt>
                <c:pt idx="1042">
                  <c:v>AUG.24</c:v>
                </c:pt>
                <c:pt idx="1043">
                  <c:v>AUG.24</c:v>
                </c:pt>
                <c:pt idx="1044">
                  <c:v>AUG.24</c:v>
                </c:pt>
                <c:pt idx="1045">
                  <c:v>AUG.24</c:v>
                </c:pt>
                <c:pt idx="1046">
                  <c:v>AUG.24</c:v>
                </c:pt>
                <c:pt idx="1047">
                  <c:v>AUG.24</c:v>
                </c:pt>
                <c:pt idx="1048">
                  <c:v>AUG.24</c:v>
                </c:pt>
                <c:pt idx="1049">
                  <c:v>AUG.24</c:v>
                </c:pt>
                <c:pt idx="1050">
                  <c:v>AUG.24</c:v>
                </c:pt>
                <c:pt idx="1051">
                  <c:v>AUG.24</c:v>
                </c:pt>
                <c:pt idx="1052">
                  <c:v>AUG.24</c:v>
                </c:pt>
                <c:pt idx="1053">
                  <c:v>AUG.24</c:v>
                </c:pt>
                <c:pt idx="1054">
                  <c:v>AUG.24</c:v>
                </c:pt>
                <c:pt idx="1055">
                  <c:v>AUG.24</c:v>
                </c:pt>
                <c:pt idx="1056">
                  <c:v>AUG.24</c:v>
                </c:pt>
                <c:pt idx="1057">
                  <c:v>AUG.24</c:v>
                </c:pt>
                <c:pt idx="1058">
                  <c:v>AUG.24</c:v>
                </c:pt>
                <c:pt idx="1059">
                  <c:v>AUG.24</c:v>
                </c:pt>
                <c:pt idx="1060">
                  <c:v>AUG.24</c:v>
                </c:pt>
                <c:pt idx="1061">
                  <c:v>AUG.24</c:v>
                </c:pt>
                <c:pt idx="1062">
                  <c:v>AUG.24</c:v>
                </c:pt>
                <c:pt idx="1063">
                  <c:v>AUG.24</c:v>
                </c:pt>
                <c:pt idx="1064">
                  <c:v>AUG.24</c:v>
                </c:pt>
                <c:pt idx="1065">
                  <c:v>AUG.24</c:v>
                </c:pt>
                <c:pt idx="1066">
                  <c:v>AUG.24</c:v>
                </c:pt>
                <c:pt idx="1067">
                  <c:v>AUG.24</c:v>
                </c:pt>
                <c:pt idx="1068">
                  <c:v>AUG.24</c:v>
                </c:pt>
                <c:pt idx="1069">
                  <c:v>AUG.24</c:v>
                </c:pt>
                <c:pt idx="1070">
                  <c:v>AUG.24</c:v>
                </c:pt>
                <c:pt idx="1071">
                  <c:v>AUG.24</c:v>
                </c:pt>
                <c:pt idx="1072">
                  <c:v>AUG.24</c:v>
                </c:pt>
                <c:pt idx="1073">
                  <c:v>AUG.24</c:v>
                </c:pt>
                <c:pt idx="1074">
                  <c:v>AUG.24</c:v>
                </c:pt>
                <c:pt idx="1075">
                  <c:v>AUG.24</c:v>
                </c:pt>
                <c:pt idx="1076">
                  <c:v>AUG.24</c:v>
                </c:pt>
                <c:pt idx="1077">
                  <c:v>AUG.24</c:v>
                </c:pt>
                <c:pt idx="1078">
                  <c:v>AUG.24</c:v>
                </c:pt>
                <c:pt idx="1079">
                  <c:v>AUG.24</c:v>
                </c:pt>
                <c:pt idx="1080">
                  <c:v>AUG.24</c:v>
                </c:pt>
                <c:pt idx="1081">
                  <c:v>AUG.24</c:v>
                </c:pt>
                <c:pt idx="1082">
                  <c:v>AUG.24</c:v>
                </c:pt>
                <c:pt idx="1083">
                  <c:v>AUG.24</c:v>
                </c:pt>
                <c:pt idx="1084">
                  <c:v>AUG.24</c:v>
                </c:pt>
                <c:pt idx="1085">
                  <c:v>September24 live (R) | REDUCE LOT SIZING 1ST HALF, AVOID POSITIONAL </c:v>
                </c:pt>
                <c:pt idx="1086">
                  <c:v>SEP.24</c:v>
                </c:pt>
                <c:pt idx="1087">
                  <c:v>SEP.24</c:v>
                </c:pt>
                <c:pt idx="1088">
                  <c:v>SEP.24</c:v>
                </c:pt>
                <c:pt idx="1089">
                  <c:v>SEP.24</c:v>
                </c:pt>
                <c:pt idx="1090">
                  <c:v>SEP.24</c:v>
                </c:pt>
                <c:pt idx="1091">
                  <c:v>SEP.24</c:v>
                </c:pt>
                <c:pt idx="1092">
                  <c:v>SEP.24</c:v>
                </c:pt>
                <c:pt idx="1093">
                  <c:v>SEP.24</c:v>
                </c:pt>
                <c:pt idx="1094">
                  <c:v>SEP.24</c:v>
                </c:pt>
                <c:pt idx="1095">
                  <c:v>SEP.24</c:v>
                </c:pt>
                <c:pt idx="1096">
                  <c:v>SEP.24</c:v>
                </c:pt>
                <c:pt idx="1097">
                  <c:v>SEP.24</c:v>
                </c:pt>
                <c:pt idx="1098">
                  <c:v>SEP.24</c:v>
                </c:pt>
                <c:pt idx="1099">
                  <c:v>SEP.24</c:v>
                </c:pt>
                <c:pt idx="1100">
                  <c:v>SEP.24</c:v>
                </c:pt>
                <c:pt idx="1101">
                  <c:v>SEP.24</c:v>
                </c:pt>
                <c:pt idx="1102">
                  <c:v>SEP.24</c:v>
                </c:pt>
                <c:pt idx="1103">
                  <c:v>SEP.24</c:v>
                </c:pt>
                <c:pt idx="1104">
                  <c:v>SEP.24</c:v>
                </c:pt>
                <c:pt idx="1105">
                  <c:v>SEP.24</c:v>
                </c:pt>
                <c:pt idx="1106">
                  <c:v>SEP.24</c:v>
                </c:pt>
                <c:pt idx="1107">
                  <c:v>SEP.24</c:v>
                </c:pt>
                <c:pt idx="1108">
                  <c:v>SEP.24</c:v>
                </c:pt>
                <c:pt idx="1109">
                  <c:v>SEP.24</c:v>
                </c:pt>
                <c:pt idx="1110">
                  <c:v>SEP.24</c:v>
                </c:pt>
                <c:pt idx="1111">
                  <c:v>SEP.24</c:v>
                </c:pt>
                <c:pt idx="1112">
                  <c:v>SEP.24</c:v>
                </c:pt>
                <c:pt idx="1113">
                  <c:v>SEP.24</c:v>
                </c:pt>
                <c:pt idx="1114">
                  <c:v>SEP.24</c:v>
                </c:pt>
                <c:pt idx="1115">
                  <c:v>SEP.24</c:v>
                </c:pt>
                <c:pt idx="1116">
                  <c:v>SEP.24</c:v>
                </c:pt>
                <c:pt idx="1117">
                  <c:v>SEP.24</c:v>
                </c:pt>
                <c:pt idx="1118">
                  <c:v>SEP.24</c:v>
                </c:pt>
                <c:pt idx="1119">
                  <c:v>SEP.24</c:v>
                </c:pt>
                <c:pt idx="1120">
                  <c:v>SEP.24</c:v>
                </c:pt>
                <c:pt idx="1121">
                  <c:v>SEP.24</c:v>
                </c:pt>
                <c:pt idx="1122">
                  <c:v>SEP.24</c:v>
                </c:pt>
                <c:pt idx="1123">
                  <c:v>SEP.24</c:v>
                </c:pt>
                <c:pt idx="1124">
                  <c:v>October24 live (R+1) | REDUCE INTRADAY &gt;1D TRADES</c:v>
                </c:pt>
                <c:pt idx="1125">
                  <c:v>OCT.24</c:v>
                </c:pt>
                <c:pt idx="1126">
                  <c:v>OCT.24</c:v>
                </c:pt>
                <c:pt idx="1127">
                  <c:v>OCT.24</c:v>
                </c:pt>
                <c:pt idx="1128">
                  <c:v>OCT.24</c:v>
                </c:pt>
                <c:pt idx="1129">
                  <c:v>OCT.24</c:v>
                </c:pt>
                <c:pt idx="1130">
                  <c:v>OCT.24</c:v>
                </c:pt>
                <c:pt idx="1131">
                  <c:v>OCT.24</c:v>
                </c:pt>
                <c:pt idx="1132">
                  <c:v>OCT.24</c:v>
                </c:pt>
                <c:pt idx="1133">
                  <c:v>OCT.24</c:v>
                </c:pt>
                <c:pt idx="1134">
                  <c:v>OCT.24</c:v>
                </c:pt>
                <c:pt idx="1135">
                  <c:v>OCT.24</c:v>
                </c:pt>
                <c:pt idx="1136">
                  <c:v>OCT.24</c:v>
                </c:pt>
                <c:pt idx="1137">
                  <c:v>OCT.24</c:v>
                </c:pt>
                <c:pt idx="1138">
                  <c:v>OCT.24</c:v>
                </c:pt>
                <c:pt idx="1139">
                  <c:v>OCT.24</c:v>
                </c:pt>
                <c:pt idx="1140">
                  <c:v>OCT.24</c:v>
                </c:pt>
                <c:pt idx="1141">
                  <c:v>OCT.24</c:v>
                </c:pt>
                <c:pt idx="1142">
                  <c:v>OCT.24</c:v>
                </c:pt>
                <c:pt idx="1143">
                  <c:v>OCT.24</c:v>
                </c:pt>
                <c:pt idx="1144">
                  <c:v>OCT.24</c:v>
                </c:pt>
                <c:pt idx="1145">
                  <c:v>OCT.24</c:v>
                </c:pt>
                <c:pt idx="1146">
                  <c:v>OCT.24</c:v>
                </c:pt>
                <c:pt idx="1147">
                  <c:v>OCT.24</c:v>
                </c:pt>
                <c:pt idx="1148">
                  <c:v>OCT.24</c:v>
                </c:pt>
                <c:pt idx="1149">
                  <c:v>OCT.24</c:v>
                </c:pt>
                <c:pt idx="1150">
                  <c:v>OCT.24</c:v>
                </c:pt>
                <c:pt idx="1151">
                  <c:v>OCT.24</c:v>
                </c:pt>
                <c:pt idx="1152">
                  <c:v>OCT.24</c:v>
                </c:pt>
                <c:pt idx="1153">
                  <c:v>OCT.24</c:v>
                </c:pt>
                <c:pt idx="1154">
                  <c:v>OCT.24</c:v>
                </c:pt>
                <c:pt idx="1155">
                  <c:v>OCT.24</c:v>
                </c:pt>
                <c:pt idx="1156">
                  <c:v>OCT.24</c:v>
                </c:pt>
                <c:pt idx="1157">
                  <c:v>OCT.24</c:v>
                </c:pt>
                <c:pt idx="1158">
                  <c:v>OCT.24</c:v>
                </c:pt>
                <c:pt idx="1159">
                  <c:v>OCT.24</c:v>
                </c:pt>
                <c:pt idx="1160">
                  <c:v>OCT.24</c:v>
                </c:pt>
                <c:pt idx="1161">
                  <c:v>OCT.24</c:v>
                </c:pt>
                <c:pt idx="1162">
                  <c:v>OCT.24</c:v>
                </c:pt>
                <c:pt idx="1163">
                  <c:v>OCT.24</c:v>
                </c:pt>
                <c:pt idx="1164">
                  <c:v>OCT.24</c:v>
                </c:pt>
                <c:pt idx="1165">
                  <c:v>OCT.24</c:v>
                </c:pt>
                <c:pt idx="1166">
                  <c:v>OCT.24</c:v>
                </c:pt>
                <c:pt idx="1167">
                  <c:v>OCT.24</c:v>
                </c:pt>
                <c:pt idx="1168">
                  <c:v>OCT.24</c:v>
                </c:pt>
                <c:pt idx="1169">
                  <c:v>OCT.24</c:v>
                </c:pt>
                <c:pt idx="1170">
                  <c:v>OCT.24</c:v>
                </c:pt>
                <c:pt idx="1171">
                  <c:v>OCT.24</c:v>
                </c:pt>
                <c:pt idx="1172">
                  <c:v>OCT.24</c:v>
                </c:pt>
                <c:pt idx="1173">
                  <c:v>OCT.24</c:v>
                </c:pt>
                <c:pt idx="1174">
                  <c:v>OCT.24</c:v>
                </c:pt>
                <c:pt idx="1175">
                  <c:v>OCT.24</c:v>
                </c:pt>
                <c:pt idx="1176">
                  <c:v>OCT.24</c:v>
                </c:pt>
                <c:pt idx="1177">
                  <c:v>OCT.24</c:v>
                </c:pt>
                <c:pt idx="1178">
                  <c:v>OCT.24</c:v>
                </c:pt>
                <c:pt idx="1179">
                  <c:v>OCT.24</c:v>
                </c:pt>
                <c:pt idx="1180">
                  <c:v>OCT.24</c:v>
                </c:pt>
                <c:pt idx="1181">
                  <c:v>OCT.24</c:v>
                </c:pt>
                <c:pt idx="1182">
                  <c:v>OCT.24</c:v>
                </c:pt>
                <c:pt idx="1183">
                  <c:v>OCT.24</c:v>
                </c:pt>
                <c:pt idx="1184">
                  <c:v>OCT.24</c:v>
                </c:pt>
                <c:pt idx="1185">
                  <c:v>OCT.24</c:v>
                </c:pt>
                <c:pt idx="1186">
                  <c:v>OCT.24</c:v>
                </c:pt>
                <c:pt idx="1187">
                  <c:v>OCT.24</c:v>
                </c:pt>
                <c:pt idx="1188">
                  <c:v>OCT.24</c:v>
                </c:pt>
                <c:pt idx="1189">
                  <c:v>OCT.24</c:v>
                </c:pt>
                <c:pt idx="1190">
                  <c:v>OCT.24</c:v>
                </c:pt>
                <c:pt idx="1191">
                  <c:v>OCT.24</c:v>
                </c:pt>
                <c:pt idx="1192">
                  <c:v>OCT.24</c:v>
                </c:pt>
                <c:pt idx="1193">
                  <c:v>OCT.24</c:v>
                </c:pt>
                <c:pt idx="1194">
                  <c:v>OCT.24</c:v>
                </c:pt>
                <c:pt idx="1195">
                  <c:v>OCT.24</c:v>
                </c:pt>
                <c:pt idx="1196">
                  <c:v>OCT.24</c:v>
                </c:pt>
                <c:pt idx="1197">
                  <c:v>OCT.24</c:v>
                </c:pt>
                <c:pt idx="1198">
                  <c:v>OCT.24</c:v>
                </c:pt>
                <c:pt idx="1199">
                  <c:v>OCT.24</c:v>
                </c:pt>
                <c:pt idx="1200">
                  <c:v>OCT.24</c:v>
                </c:pt>
                <c:pt idx="1201">
                  <c:v>OCT.24</c:v>
                </c:pt>
                <c:pt idx="1202">
                  <c:v>OCT.24</c:v>
                </c:pt>
                <c:pt idx="1203">
                  <c:v>OCT.24</c:v>
                </c:pt>
                <c:pt idx="1204">
                  <c:v>OCT.24</c:v>
                </c:pt>
                <c:pt idx="1205">
                  <c:v>OCT.24</c:v>
                </c:pt>
                <c:pt idx="1206">
                  <c:v>OCT.24</c:v>
                </c:pt>
                <c:pt idx="1207">
                  <c:v>OCT.24</c:v>
                </c:pt>
                <c:pt idx="1208">
                  <c:v>OCT.24</c:v>
                </c:pt>
                <c:pt idx="1209">
                  <c:v>OCT.24</c:v>
                </c:pt>
                <c:pt idx="1210">
                  <c:v>OCT.24</c:v>
                </c:pt>
                <c:pt idx="1211">
                  <c:v>OCT.24</c:v>
                </c:pt>
                <c:pt idx="1212">
                  <c:v>OCT.24</c:v>
                </c:pt>
                <c:pt idx="1213">
                  <c:v>November24 live EPILOGUE 1</c:v>
                </c:pt>
                <c:pt idx="1214">
                  <c:v>NOV.24</c:v>
                </c:pt>
                <c:pt idx="1215">
                  <c:v>NOV.24</c:v>
                </c:pt>
                <c:pt idx="1216">
                  <c:v>NOV.24</c:v>
                </c:pt>
                <c:pt idx="1217">
                  <c:v>NOV.24</c:v>
                </c:pt>
                <c:pt idx="1218">
                  <c:v>NOV.24</c:v>
                </c:pt>
                <c:pt idx="1219">
                  <c:v>NOV.24</c:v>
                </c:pt>
                <c:pt idx="1220">
                  <c:v>NOV.24</c:v>
                </c:pt>
                <c:pt idx="1221">
                  <c:v>NOV.24</c:v>
                </c:pt>
                <c:pt idx="1222">
                  <c:v>NOV.24</c:v>
                </c:pt>
                <c:pt idx="1223">
                  <c:v>NOV.24</c:v>
                </c:pt>
                <c:pt idx="1224">
                  <c:v>NOV.24</c:v>
                </c:pt>
                <c:pt idx="1225">
                  <c:v>NOV.24</c:v>
                </c:pt>
                <c:pt idx="1226">
                  <c:v>NOV.24</c:v>
                </c:pt>
                <c:pt idx="1227">
                  <c:v>NOV.24</c:v>
                </c:pt>
                <c:pt idx="1228">
                  <c:v>NOV.24</c:v>
                </c:pt>
                <c:pt idx="1229">
                  <c:v>NOV.24</c:v>
                </c:pt>
                <c:pt idx="1230">
                  <c:v>NOV.24</c:v>
                </c:pt>
                <c:pt idx="1231">
                  <c:v>NOV.24</c:v>
                </c:pt>
                <c:pt idx="1232">
                  <c:v>NOV.24</c:v>
                </c:pt>
                <c:pt idx="1233">
                  <c:v>NOV.24</c:v>
                </c:pt>
                <c:pt idx="1234">
                  <c:v>NOV.24</c:v>
                </c:pt>
                <c:pt idx="1235">
                  <c:v>NOV.24</c:v>
                </c:pt>
                <c:pt idx="1236">
                  <c:v>NOV.24</c:v>
                </c:pt>
              </c:strCache>
            </c:strRef>
          </c:cat>
          <c:val>
            <c:numRef>
              <c:f>'Journal Live'!$AM$1389:$AM$2630</c:f>
              <c:numCache>
                <c:formatCode>"$"#,##0.00</c:formatCode>
                <c:ptCount val="1237"/>
                <c:pt idx="0">
                  <c:v>-200</c:v>
                </c:pt>
                <c:pt idx="1">
                  <c:v>0</c:v>
                </c:pt>
                <c:pt idx="3">
                  <c:v>0</c:v>
                </c:pt>
                <c:pt idx="4">
                  <c:v>-768</c:v>
                </c:pt>
                <c:pt idx="5">
                  <c:v>-160</c:v>
                </c:pt>
                <c:pt idx="33">
                  <c:v>0</c:v>
                </c:pt>
                <c:pt idx="34">
                  <c:v>-336</c:v>
                </c:pt>
                <c:pt idx="35">
                  <c:v>0</c:v>
                </c:pt>
                <c:pt idx="36">
                  <c:v>-480</c:v>
                </c:pt>
                <c:pt idx="39">
                  <c:v>-128</c:v>
                </c:pt>
                <c:pt idx="40">
                  <c:v>-432</c:v>
                </c:pt>
                <c:pt idx="41">
                  <c:v>-240</c:v>
                </c:pt>
                <c:pt idx="43">
                  <c:v>-200</c:v>
                </c:pt>
                <c:pt idx="44">
                  <c:v>-1056</c:v>
                </c:pt>
                <c:pt idx="45">
                  <c:v>-384</c:v>
                </c:pt>
                <c:pt idx="46">
                  <c:v>0</c:v>
                </c:pt>
                <c:pt idx="47">
                  <c:v>-432</c:v>
                </c:pt>
                <c:pt idx="49">
                  <c:v>-576</c:v>
                </c:pt>
                <c:pt idx="51">
                  <c:v>-768</c:v>
                </c:pt>
                <c:pt idx="52">
                  <c:v>-704</c:v>
                </c:pt>
                <c:pt idx="53">
                  <c:v>0</c:v>
                </c:pt>
                <c:pt idx="57">
                  <c:v>-704</c:v>
                </c:pt>
                <c:pt idx="60">
                  <c:v>-160</c:v>
                </c:pt>
                <c:pt idx="61">
                  <c:v>-384</c:v>
                </c:pt>
                <c:pt idx="62">
                  <c:v>-512</c:v>
                </c:pt>
                <c:pt idx="63">
                  <c:v>-1024</c:v>
                </c:pt>
                <c:pt idx="64">
                  <c:v>-160</c:v>
                </c:pt>
                <c:pt idx="66">
                  <c:v>-160</c:v>
                </c:pt>
                <c:pt idx="67">
                  <c:v>0</c:v>
                </c:pt>
                <c:pt idx="68">
                  <c:v>0</c:v>
                </c:pt>
                <c:pt idx="69">
                  <c:v>-336</c:v>
                </c:pt>
                <c:pt idx="70">
                  <c:v>0</c:v>
                </c:pt>
                <c:pt idx="71">
                  <c:v>-160</c:v>
                </c:pt>
                <c:pt idx="72">
                  <c:v>-384</c:v>
                </c:pt>
                <c:pt idx="73">
                  <c:v>0</c:v>
                </c:pt>
                <c:pt idx="74">
                  <c:v>-320</c:v>
                </c:pt>
                <c:pt idx="75">
                  <c:v>-240</c:v>
                </c:pt>
                <c:pt idx="76">
                  <c:v>0</c:v>
                </c:pt>
                <c:pt idx="77">
                  <c:v>0</c:v>
                </c:pt>
                <c:pt idx="78">
                  <c:v>0</c:v>
                </c:pt>
                <c:pt idx="79">
                  <c:v>0</c:v>
                </c:pt>
                <c:pt idx="80">
                  <c:v>-232</c:v>
                </c:pt>
                <c:pt idx="81">
                  <c:v>0</c:v>
                </c:pt>
                <c:pt idx="82">
                  <c:v>-240</c:v>
                </c:pt>
                <c:pt idx="83">
                  <c:v>-880</c:v>
                </c:pt>
                <c:pt idx="84">
                  <c:v>-320</c:v>
                </c:pt>
                <c:pt idx="85">
                  <c:v>0</c:v>
                </c:pt>
                <c:pt idx="86">
                  <c:v>0</c:v>
                </c:pt>
                <c:pt idx="87">
                  <c:v>-1024</c:v>
                </c:pt>
                <c:pt idx="88">
                  <c:v>0</c:v>
                </c:pt>
                <c:pt idx="89">
                  <c:v>-1024</c:v>
                </c:pt>
                <c:pt idx="90">
                  <c:v>0</c:v>
                </c:pt>
                <c:pt idx="91">
                  <c:v>-160</c:v>
                </c:pt>
                <c:pt idx="92">
                  <c:v>-40</c:v>
                </c:pt>
                <c:pt idx="93">
                  <c:v>0</c:v>
                </c:pt>
                <c:pt idx="94">
                  <c:v>0</c:v>
                </c:pt>
                <c:pt idx="95">
                  <c:v>-960</c:v>
                </c:pt>
                <c:pt idx="96">
                  <c:v>0</c:v>
                </c:pt>
                <c:pt idx="97">
                  <c:v>0</c:v>
                </c:pt>
                <c:pt idx="98">
                  <c:v>0</c:v>
                </c:pt>
                <c:pt idx="99">
                  <c:v>-232</c:v>
                </c:pt>
                <c:pt idx="100">
                  <c:v>-96</c:v>
                </c:pt>
                <c:pt idx="101">
                  <c:v>0</c:v>
                </c:pt>
                <c:pt idx="102">
                  <c:v>0</c:v>
                </c:pt>
                <c:pt idx="106">
                  <c:v>-384</c:v>
                </c:pt>
                <c:pt idx="107">
                  <c:v>-512</c:v>
                </c:pt>
                <c:pt idx="108">
                  <c:v>-320</c:v>
                </c:pt>
                <c:pt idx="109">
                  <c:v>-1408</c:v>
                </c:pt>
                <c:pt idx="110">
                  <c:v>-2016</c:v>
                </c:pt>
                <c:pt idx="111">
                  <c:v>0</c:v>
                </c:pt>
                <c:pt idx="113">
                  <c:v>0</c:v>
                </c:pt>
                <c:pt idx="114">
                  <c:v>-704</c:v>
                </c:pt>
                <c:pt idx="115">
                  <c:v>0</c:v>
                </c:pt>
                <c:pt idx="116">
                  <c:v>0</c:v>
                </c:pt>
                <c:pt idx="117">
                  <c:v>-224</c:v>
                </c:pt>
                <c:pt idx="118">
                  <c:v>-512</c:v>
                </c:pt>
                <c:pt idx="119">
                  <c:v>-241.64000000000001</c:v>
                </c:pt>
                <c:pt idx="120">
                  <c:v>0</c:v>
                </c:pt>
                <c:pt idx="121">
                  <c:v>0</c:v>
                </c:pt>
                <c:pt idx="122">
                  <c:v>0</c:v>
                </c:pt>
                <c:pt idx="123">
                  <c:v>0</c:v>
                </c:pt>
                <c:pt idx="124">
                  <c:v>0</c:v>
                </c:pt>
                <c:pt idx="125">
                  <c:v>0</c:v>
                </c:pt>
                <c:pt idx="126">
                  <c:v>0</c:v>
                </c:pt>
                <c:pt idx="127">
                  <c:v>0</c:v>
                </c:pt>
                <c:pt idx="128">
                  <c:v>0</c:v>
                </c:pt>
                <c:pt idx="129">
                  <c:v>0</c:v>
                </c:pt>
                <c:pt idx="130">
                  <c:v>0</c:v>
                </c:pt>
                <c:pt idx="132">
                  <c:v>0</c:v>
                </c:pt>
                <c:pt idx="133">
                  <c:v>-348</c:v>
                </c:pt>
                <c:pt idx="134">
                  <c:v>0</c:v>
                </c:pt>
                <c:pt idx="135">
                  <c:v>-704</c:v>
                </c:pt>
                <c:pt idx="136">
                  <c:v>0</c:v>
                </c:pt>
                <c:pt idx="137">
                  <c:v>-1216</c:v>
                </c:pt>
                <c:pt idx="138">
                  <c:v>-160</c:v>
                </c:pt>
                <c:pt idx="139">
                  <c:v>0</c:v>
                </c:pt>
                <c:pt idx="140">
                  <c:v>-1056</c:v>
                </c:pt>
                <c:pt idx="141">
                  <c:v>-576</c:v>
                </c:pt>
                <c:pt idx="142">
                  <c:v>0</c:v>
                </c:pt>
                <c:pt idx="143">
                  <c:v>0</c:v>
                </c:pt>
                <c:pt idx="144">
                  <c:v>0</c:v>
                </c:pt>
                <c:pt idx="145">
                  <c:v>-768</c:v>
                </c:pt>
                <c:pt idx="146">
                  <c:v>-1152</c:v>
                </c:pt>
                <c:pt idx="147">
                  <c:v>0</c:v>
                </c:pt>
                <c:pt idx="148">
                  <c:v>0</c:v>
                </c:pt>
                <c:pt idx="149">
                  <c:v>0</c:v>
                </c:pt>
                <c:pt idx="150">
                  <c:v>-116</c:v>
                </c:pt>
                <c:pt idx="151">
                  <c:v>-116</c:v>
                </c:pt>
                <c:pt idx="152">
                  <c:v>-576</c:v>
                </c:pt>
                <c:pt idx="153">
                  <c:v>0</c:v>
                </c:pt>
                <c:pt idx="154">
                  <c:v>-1280</c:v>
                </c:pt>
                <c:pt idx="155">
                  <c:v>-160</c:v>
                </c:pt>
                <c:pt idx="156">
                  <c:v>0</c:v>
                </c:pt>
                <c:pt idx="157">
                  <c:v>-896.00000000000011</c:v>
                </c:pt>
                <c:pt idx="158">
                  <c:v>0</c:v>
                </c:pt>
                <c:pt idx="159">
                  <c:v>-320</c:v>
                </c:pt>
                <c:pt idx="160">
                  <c:v>0</c:v>
                </c:pt>
                <c:pt idx="161">
                  <c:v>0</c:v>
                </c:pt>
                <c:pt idx="162">
                  <c:v>0</c:v>
                </c:pt>
                <c:pt idx="163">
                  <c:v>-464</c:v>
                </c:pt>
                <c:pt idx="165">
                  <c:v>-1344</c:v>
                </c:pt>
                <c:pt idx="166">
                  <c:v>-640</c:v>
                </c:pt>
                <c:pt idx="167">
                  <c:v>-768</c:v>
                </c:pt>
                <c:pt idx="168">
                  <c:v>-160</c:v>
                </c:pt>
                <c:pt idx="169">
                  <c:v>-800</c:v>
                </c:pt>
                <c:pt idx="170">
                  <c:v>-232</c:v>
                </c:pt>
                <c:pt idx="171">
                  <c:v>-160</c:v>
                </c:pt>
                <c:pt idx="172">
                  <c:v>-832</c:v>
                </c:pt>
                <c:pt idx="173">
                  <c:v>0</c:v>
                </c:pt>
                <c:pt idx="174">
                  <c:v>-600</c:v>
                </c:pt>
                <c:pt idx="175">
                  <c:v>-320</c:v>
                </c:pt>
                <c:pt idx="176">
                  <c:v>-1120</c:v>
                </c:pt>
                <c:pt idx="177">
                  <c:v>-2304</c:v>
                </c:pt>
                <c:pt idx="178">
                  <c:v>0</c:v>
                </c:pt>
                <c:pt idx="179">
                  <c:v>0</c:v>
                </c:pt>
                <c:pt idx="180">
                  <c:v>0</c:v>
                </c:pt>
                <c:pt idx="181">
                  <c:v>0</c:v>
                </c:pt>
                <c:pt idx="182">
                  <c:v>0</c:v>
                </c:pt>
                <c:pt idx="183">
                  <c:v>0</c:v>
                </c:pt>
                <c:pt idx="184">
                  <c:v>-928</c:v>
                </c:pt>
                <c:pt idx="185">
                  <c:v>-1792</c:v>
                </c:pt>
                <c:pt idx="186">
                  <c:v>-1792</c:v>
                </c:pt>
                <c:pt idx="187">
                  <c:v>0</c:v>
                </c:pt>
                <c:pt idx="188">
                  <c:v>0</c:v>
                </c:pt>
                <c:pt idx="189">
                  <c:v>0</c:v>
                </c:pt>
                <c:pt idx="191">
                  <c:v>0</c:v>
                </c:pt>
                <c:pt idx="192">
                  <c:v>0</c:v>
                </c:pt>
                <c:pt idx="193">
                  <c:v>0</c:v>
                </c:pt>
                <c:pt idx="194">
                  <c:v>0</c:v>
                </c:pt>
                <c:pt idx="195">
                  <c:v>-800</c:v>
                </c:pt>
                <c:pt idx="196">
                  <c:v>0</c:v>
                </c:pt>
                <c:pt idx="197">
                  <c:v>0</c:v>
                </c:pt>
                <c:pt idx="198">
                  <c:v>0</c:v>
                </c:pt>
                <c:pt idx="199">
                  <c:v>-576</c:v>
                </c:pt>
                <c:pt idx="200">
                  <c:v>-696</c:v>
                </c:pt>
                <c:pt idx="201">
                  <c:v>-600</c:v>
                </c:pt>
                <c:pt idx="202">
                  <c:v>-600</c:v>
                </c:pt>
                <c:pt idx="203">
                  <c:v>-2640</c:v>
                </c:pt>
                <c:pt idx="204">
                  <c:v>-1280</c:v>
                </c:pt>
                <c:pt idx="205">
                  <c:v>-800</c:v>
                </c:pt>
                <c:pt idx="206">
                  <c:v>0</c:v>
                </c:pt>
                <c:pt idx="207">
                  <c:v>0</c:v>
                </c:pt>
                <c:pt idx="208">
                  <c:v>-160</c:v>
                </c:pt>
                <c:pt idx="209">
                  <c:v>0</c:v>
                </c:pt>
                <c:pt idx="210">
                  <c:v>0</c:v>
                </c:pt>
                <c:pt idx="211">
                  <c:v>-160</c:v>
                </c:pt>
                <c:pt idx="212">
                  <c:v>-160</c:v>
                </c:pt>
                <c:pt idx="213">
                  <c:v>-696</c:v>
                </c:pt>
                <c:pt idx="214">
                  <c:v>0</c:v>
                </c:pt>
                <c:pt idx="215">
                  <c:v>0</c:v>
                </c:pt>
                <c:pt idx="216">
                  <c:v>0</c:v>
                </c:pt>
                <c:pt idx="217">
                  <c:v>0</c:v>
                </c:pt>
                <c:pt idx="218">
                  <c:v>-232</c:v>
                </c:pt>
                <c:pt idx="219">
                  <c:v>0</c:v>
                </c:pt>
                <c:pt idx="220">
                  <c:v>0</c:v>
                </c:pt>
                <c:pt idx="221">
                  <c:v>0</c:v>
                </c:pt>
                <c:pt idx="222">
                  <c:v>0</c:v>
                </c:pt>
                <c:pt idx="223">
                  <c:v>-160</c:v>
                </c:pt>
                <c:pt idx="224">
                  <c:v>0</c:v>
                </c:pt>
                <c:pt idx="225">
                  <c:v>-600</c:v>
                </c:pt>
                <c:pt idx="226">
                  <c:v>-600</c:v>
                </c:pt>
                <c:pt idx="227">
                  <c:v>-512</c:v>
                </c:pt>
                <c:pt idx="228">
                  <c:v>-320</c:v>
                </c:pt>
                <c:pt idx="229">
                  <c:v>0</c:v>
                </c:pt>
                <c:pt idx="230">
                  <c:v>0</c:v>
                </c:pt>
                <c:pt idx="231">
                  <c:v>0</c:v>
                </c:pt>
                <c:pt idx="232">
                  <c:v>0</c:v>
                </c:pt>
                <c:pt idx="233">
                  <c:v>0</c:v>
                </c:pt>
                <c:pt idx="234">
                  <c:v>0</c:v>
                </c:pt>
                <c:pt idx="235">
                  <c:v>0</c:v>
                </c:pt>
                <c:pt idx="236">
                  <c:v>0</c:v>
                </c:pt>
                <c:pt idx="237">
                  <c:v>0</c:v>
                </c:pt>
                <c:pt idx="238">
                  <c:v>0</c:v>
                </c:pt>
                <c:pt idx="239">
                  <c:v>0</c:v>
                </c:pt>
                <c:pt idx="240">
                  <c:v>-696</c:v>
                </c:pt>
                <c:pt idx="241">
                  <c:v>0</c:v>
                </c:pt>
                <c:pt idx="242">
                  <c:v>-480</c:v>
                </c:pt>
                <c:pt idx="243">
                  <c:v>-320</c:v>
                </c:pt>
                <c:pt idx="244">
                  <c:v>0</c:v>
                </c:pt>
                <c:pt idx="245">
                  <c:v>0</c:v>
                </c:pt>
                <c:pt idx="246">
                  <c:v>0</c:v>
                </c:pt>
                <c:pt idx="247">
                  <c:v>0</c:v>
                </c:pt>
                <c:pt idx="248">
                  <c:v>0</c:v>
                </c:pt>
                <c:pt idx="249">
                  <c:v>0</c:v>
                </c:pt>
                <c:pt idx="250">
                  <c:v>0</c:v>
                </c:pt>
                <c:pt idx="252">
                  <c:v>0</c:v>
                </c:pt>
                <c:pt idx="253">
                  <c:v>0</c:v>
                </c:pt>
                <c:pt idx="254">
                  <c:v>0</c:v>
                </c:pt>
                <c:pt idx="255">
                  <c:v>0</c:v>
                </c:pt>
                <c:pt idx="256">
                  <c:v>0</c:v>
                </c:pt>
                <c:pt idx="257">
                  <c:v>0</c:v>
                </c:pt>
                <c:pt idx="258">
                  <c:v>0</c:v>
                </c:pt>
                <c:pt idx="259">
                  <c:v>0</c:v>
                </c:pt>
                <c:pt idx="260">
                  <c:v>-1600</c:v>
                </c:pt>
                <c:pt idx="261">
                  <c:v>-320</c:v>
                </c:pt>
                <c:pt idx="262">
                  <c:v>0</c:v>
                </c:pt>
                <c:pt idx="263">
                  <c:v>-320</c:v>
                </c:pt>
                <c:pt idx="264">
                  <c:v>-320</c:v>
                </c:pt>
                <c:pt idx="265">
                  <c:v>0</c:v>
                </c:pt>
                <c:pt idx="266">
                  <c:v>-640</c:v>
                </c:pt>
                <c:pt idx="267">
                  <c:v>0</c:v>
                </c:pt>
                <c:pt idx="268">
                  <c:v>0</c:v>
                </c:pt>
                <c:pt idx="269">
                  <c:v>0</c:v>
                </c:pt>
                <c:pt idx="270">
                  <c:v>-116</c:v>
                </c:pt>
                <c:pt idx="271">
                  <c:v>0</c:v>
                </c:pt>
                <c:pt idx="272">
                  <c:v>0</c:v>
                </c:pt>
                <c:pt idx="273">
                  <c:v>0</c:v>
                </c:pt>
                <c:pt idx="274">
                  <c:v>0</c:v>
                </c:pt>
                <c:pt idx="275">
                  <c:v>-192</c:v>
                </c:pt>
                <c:pt idx="276">
                  <c:v>-320</c:v>
                </c:pt>
                <c:pt idx="277">
                  <c:v>-320</c:v>
                </c:pt>
                <c:pt idx="278">
                  <c:v>0</c:v>
                </c:pt>
                <c:pt idx="279">
                  <c:v>0</c:v>
                </c:pt>
                <c:pt idx="280">
                  <c:v>-1600</c:v>
                </c:pt>
                <c:pt idx="281">
                  <c:v>0</c:v>
                </c:pt>
                <c:pt idx="282">
                  <c:v>0</c:v>
                </c:pt>
                <c:pt idx="283">
                  <c:v>-928</c:v>
                </c:pt>
                <c:pt idx="284">
                  <c:v>-116</c:v>
                </c:pt>
                <c:pt idx="285">
                  <c:v>0</c:v>
                </c:pt>
                <c:pt idx="286">
                  <c:v>0</c:v>
                </c:pt>
                <c:pt idx="287">
                  <c:v>0</c:v>
                </c:pt>
                <c:pt idx="288">
                  <c:v>0</c:v>
                </c:pt>
                <c:pt idx="289">
                  <c:v>-2800.0000000000005</c:v>
                </c:pt>
                <c:pt idx="290">
                  <c:v>0</c:v>
                </c:pt>
                <c:pt idx="291">
                  <c:v>-3200</c:v>
                </c:pt>
                <c:pt idx="292">
                  <c:v>0</c:v>
                </c:pt>
                <c:pt idx="293">
                  <c:v>0</c:v>
                </c:pt>
                <c:pt idx="294">
                  <c:v>-116</c:v>
                </c:pt>
                <c:pt idx="295">
                  <c:v>-320</c:v>
                </c:pt>
                <c:pt idx="296">
                  <c:v>0</c:v>
                </c:pt>
                <c:pt idx="297">
                  <c:v>0</c:v>
                </c:pt>
                <c:pt idx="298">
                  <c:v>0</c:v>
                </c:pt>
                <c:pt idx="299">
                  <c:v>0</c:v>
                </c:pt>
                <c:pt idx="300">
                  <c:v>0</c:v>
                </c:pt>
                <c:pt idx="301">
                  <c:v>0</c:v>
                </c:pt>
                <c:pt idx="302">
                  <c:v>-768</c:v>
                </c:pt>
                <c:pt idx="303">
                  <c:v>-464</c:v>
                </c:pt>
                <c:pt idx="304">
                  <c:v>-800</c:v>
                </c:pt>
                <c:pt idx="305">
                  <c:v>0</c:v>
                </c:pt>
                <c:pt idx="306">
                  <c:v>-1760</c:v>
                </c:pt>
                <c:pt idx="307">
                  <c:v>-1760</c:v>
                </c:pt>
                <c:pt idx="308">
                  <c:v>0</c:v>
                </c:pt>
                <c:pt idx="309">
                  <c:v>0</c:v>
                </c:pt>
                <c:pt idx="310">
                  <c:v>-464</c:v>
                </c:pt>
                <c:pt idx="311">
                  <c:v>0</c:v>
                </c:pt>
                <c:pt idx="312">
                  <c:v>-640</c:v>
                </c:pt>
                <c:pt idx="314">
                  <c:v>-160</c:v>
                </c:pt>
                <c:pt idx="315">
                  <c:v>-580</c:v>
                </c:pt>
                <c:pt idx="316">
                  <c:v>0</c:v>
                </c:pt>
                <c:pt idx="317">
                  <c:v>0</c:v>
                </c:pt>
                <c:pt idx="318">
                  <c:v>0</c:v>
                </c:pt>
                <c:pt idx="319">
                  <c:v>0</c:v>
                </c:pt>
                <c:pt idx="320">
                  <c:v>0</c:v>
                </c:pt>
                <c:pt idx="321">
                  <c:v>0</c:v>
                </c:pt>
                <c:pt idx="323">
                  <c:v>0</c:v>
                </c:pt>
                <c:pt idx="324">
                  <c:v>0</c:v>
                </c:pt>
                <c:pt idx="325">
                  <c:v>0</c:v>
                </c:pt>
                <c:pt idx="326">
                  <c:v>0</c:v>
                </c:pt>
                <c:pt idx="327">
                  <c:v>-320</c:v>
                </c:pt>
                <c:pt idx="328">
                  <c:v>-768</c:v>
                </c:pt>
                <c:pt idx="329">
                  <c:v>-160</c:v>
                </c:pt>
                <c:pt idx="330">
                  <c:v>-1760</c:v>
                </c:pt>
                <c:pt idx="331">
                  <c:v>-800</c:v>
                </c:pt>
                <c:pt idx="332">
                  <c:v>-2280</c:v>
                </c:pt>
                <c:pt idx="333">
                  <c:v>-800</c:v>
                </c:pt>
                <c:pt idx="334">
                  <c:v>0</c:v>
                </c:pt>
                <c:pt idx="335">
                  <c:v>0</c:v>
                </c:pt>
                <c:pt idx="336">
                  <c:v>0</c:v>
                </c:pt>
                <c:pt idx="337">
                  <c:v>0</c:v>
                </c:pt>
                <c:pt idx="338">
                  <c:v>-640</c:v>
                </c:pt>
                <c:pt idx="339">
                  <c:v>0</c:v>
                </c:pt>
                <c:pt idx="340">
                  <c:v>0</c:v>
                </c:pt>
                <c:pt idx="341">
                  <c:v>0</c:v>
                </c:pt>
                <c:pt idx="342">
                  <c:v>0</c:v>
                </c:pt>
                <c:pt idx="343">
                  <c:v>0</c:v>
                </c:pt>
                <c:pt idx="345">
                  <c:v>0</c:v>
                </c:pt>
                <c:pt idx="346">
                  <c:v>0</c:v>
                </c:pt>
                <c:pt idx="347">
                  <c:v>0</c:v>
                </c:pt>
                <c:pt idx="348">
                  <c:v>-960</c:v>
                </c:pt>
                <c:pt idx="349">
                  <c:v>-640</c:v>
                </c:pt>
                <c:pt idx="350">
                  <c:v>0</c:v>
                </c:pt>
                <c:pt idx="351">
                  <c:v>0</c:v>
                </c:pt>
                <c:pt idx="352">
                  <c:v>-448</c:v>
                </c:pt>
                <c:pt idx="353">
                  <c:v>0</c:v>
                </c:pt>
                <c:pt idx="354">
                  <c:v>0</c:v>
                </c:pt>
                <c:pt idx="355">
                  <c:v>-160</c:v>
                </c:pt>
                <c:pt idx="356">
                  <c:v>-640</c:v>
                </c:pt>
                <c:pt idx="357">
                  <c:v>-116</c:v>
                </c:pt>
                <c:pt idx="358">
                  <c:v>-320</c:v>
                </c:pt>
                <c:pt idx="359">
                  <c:v>-640</c:v>
                </c:pt>
                <c:pt idx="360">
                  <c:v>-640</c:v>
                </c:pt>
                <c:pt idx="361">
                  <c:v>0</c:v>
                </c:pt>
                <c:pt idx="362">
                  <c:v>0</c:v>
                </c:pt>
                <c:pt idx="363">
                  <c:v>-1280</c:v>
                </c:pt>
                <c:pt idx="364">
                  <c:v>-160</c:v>
                </c:pt>
                <c:pt idx="365">
                  <c:v>-640</c:v>
                </c:pt>
                <c:pt idx="366">
                  <c:v>0</c:v>
                </c:pt>
                <c:pt idx="367">
                  <c:v>0</c:v>
                </c:pt>
                <c:pt idx="368">
                  <c:v>-640</c:v>
                </c:pt>
                <c:pt idx="369">
                  <c:v>-672</c:v>
                </c:pt>
                <c:pt idx="370">
                  <c:v>-116</c:v>
                </c:pt>
                <c:pt idx="371">
                  <c:v>-800</c:v>
                </c:pt>
                <c:pt idx="372">
                  <c:v>-1440</c:v>
                </c:pt>
                <c:pt idx="373">
                  <c:v>-320</c:v>
                </c:pt>
                <c:pt idx="374">
                  <c:v>-320</c:v>
                </c:pt>
                <c:pt idx="375">
                  <c:v>0</c:v>
                </c:pt>
                <c:pt idx="376">
                  <c:v>0</c:v>
                </c:pt>
                <c:pt idx="377">
                  <c:v>-696</c:v>
                </c:pt>
                <c:pt idx="378">
                  <c:v>-600</c:v>
                </c:pt>
                <c:pt idx="379">
                  <c:v>0</c:v>
                </c:pt>
                <c:pt idx="380">
                  <c:v>-160</c:v>
                </c:pt>
                <c:pt idx="381">
                  <c:v>-640</c:v>
                </c:pt>
                <c:pt idx="382">
                  <c:v>-640</c:v>
                </c:pt>
                <c:pt idx="383">
                  <c:v>0</c:v>
                </c:pt>
                <c:pt idx="384">
                  <c:v>-320</c:v>
                </c:pt>
                <c:pt idx="385">
                  <c:v>-480</c:v>
                </c:pt>
                <c:pt idx="386">
                  <c:v>-320</c:v>
                </c:pt>
                <c:pt idx="387">
                  <c:v>0</c:v>
                </c:pt>
                <c:pt idx="388">
                  <c:v>0</c:v>
                </c:pt>
                <c:pt idx="389">
                  <c:v>0</c:v>
                </c:pt>
                <c:pt idx="390">
                  <c:v>-600</c:v>
                </c:pt>
                <c:pt idx="391">
                  <c:v>-600</c:v>
                </c:pt>
                <c:pt idx="392">
                  <c:v>-464</c:v>
                </c:pt>
                <c:pt idx="393">
                  <c:v>-128</c:v>
                </c:pt>
                <c:pt idx="394">
                  <c:v>-896</c:v>
                </c:pt>
                <c:pt idx="395">
                  <c:v>-1792</c:v>
                </c:pt>
                <c:pt idx="396">
                  <c:v>-960</c:v>
                </c:pt>
                <c:pt idx="397">
                  <c:v>-320</c:v>
                </c:pt>
                <c:pt idx="398">
                  <c:v>0</c:v>
                </c:pt>
                <c:pt idx="399">
                  <c:v>-1344</c:v>
                </c:pt>
                <c:pt idx="400">
                  <c:v>-448</c:v>
                </c:pt>
                <c:pt idx="402">
                  <c:v>-1600</c:v>
                </c:pt>
                <c:pt idx="403">
                  <c:v>-160</c:v>
                </c:pt>
                <c:pt idx="404">
                  <c:v>-960</c:v>
                </c:pt>
                <c:pt idx="405">
                  <c:v>-640</c:v>
                </c:pt>
                <c:pt idx="406">
                  <c:v>0</c:v>
                </c:pt>
                <c:pt idx="407">
                  <c:v>0</c:v>
                </c:pt>
                <c:pt idx="408">
                  <c:v>0</c:v>
                </c:pt>
                <c:pt idx="409">
                  <c:v>0</c:v>
                </c:pt>
                <c:pt idx="410">
                  <c:v>0</c:v>
                </c:pt>
                <c:pt idx="411">
                  <c:v>0</c:v>
                </c:pt>
                <c:pt idx="412">
                  <c:v>-960</c:v>
                </c:pt>
                <c:pt idx="413">
                  <c:v>0</c:v>
                </c:pt>
                <c:pt idx="414">
                  <c:v>-960</c:v>
                </c:pt>
                <c:pt idx="415">
                  <c:v>-600</c:v>
                </c:pt>
                <c:pt idx="416">
                  <c:v>-800</c:v>
                </c:pt>
                <c:pt idx="417">
                  <c:v>-960</c:v>
                </c:pt>
                <c:pt idx="418">
                  <c:v>-600</c:v>
                </c:pt>
                <c:pt idx="419">
                  <c:v>-1920</c:v>
                </c:pt>
                <c:pt idx="420">
                  <c:v>0</c:v>
                </c:pt>
                <c:pt idx="421">
                  <c:v>-600</c:v>
                </c:pt>
                <c:pt idx="422">
                  <c:v>-960</c:v>
                </c:pt>
                <c:pt idx="423">
                  <c:v>0</c:v>
                </c:pt>
                <c:pt idx="424">
                  <c:v>0</c:v>
                </c:pt>
                <c:pt idx="425">
                  <c:v>0</c:v>
                </c:pt>
                <c:pt idx="426">
                  <c:v>-2400</c:v>
                </c:pt>
                <c:pt idx="427">
                  <c:v>-1600</c:v>
                </c:pt>
                <c:pt idx="428">
                  <c:v>-116</c:v>
                </c:pt>
                <c:pt idx="429">
                  <c:v>0</c:v>
                </c:pt>
                <c:pt idx="430">
                  <c:v>0</c:v>
                </c:pt>
                <c:pt idx="431">
                  <c:v>-1440</c:v>
                </c:pt>
                <c:pt idx="432">
                  <c:v>-64</c:v>
                </c:pt>
                <c:pt idx="433">
                  <c:v>0</c:v>
                </c:pt>
                <c:pt idx="434">
                  <c:v>0</c:v>
                </c:pt>
                <c:pt idx="435">
                  <c:v>0</c:v>
                </c:pt>
                <c:pt idx="436">
                  <c:v>0</c:v>
                </c:pt>
                <c:pt idx="437">
                  <c:v>-640</c:v>
                </c:pt>
                <c:pt idx="438">
                  <c:v>-600</c:v>
                </c:pt>
                <c:pt idx="439">
                  <c:v>0</c:v>
                </c:pt>
                <c:pt idx="440">
                  <c:v>-480</c:v>
                </c:pt>
                <c:pt idx="441">
                  <c:v>0</c:v>
                </c:pt>
                <c:pt idx="442">
                  <c:v>-800</c:v>
                </c:pt>
                <c:pt idx="443">
                  <c:v>0</c:v>
                </c:pt>
                <c:pt idx="444">
                  <c:v>-2080</c:v>
                </c:pt>
                <c:pt idx="445">
                  <c:v>0</c:v>
                </c:pt>
                <c:pt idx="446">
                  <c:v>0</c:v>
                </c:pt>
                <c:pt idx="447">
                  <c:v>-2400</c:v>
                </c:pt>
                <c:pt idx="448">
                  <c:v>-232</c:v>
                </c:pt>
                <c:pt idx="449">
                  <c:v>0</c:v>
                </c:pt>
                <c:pt idx="450">
                  <c:v>0</c:v>
                </c:pt>
                <c:pt idx="451">
                  <c:v>0</c:v>
                </c:pt>
                <c:pt idx="452">
                  <c:v>0</c:v>
                </c:pt>
                <c:pt idx="453">
                  <c:v>0</c:v>
                </c:pt>
                <c:pt idx="454">
                  <c:v>0</c:v>
                </c:pt>
                <c:pt idx="455">
                  <c:v>-1740</c:v>
                </c:pt>
                <c:pt idx="456">
                  <c:v>-800</c:v>
                </c:pt>
                <c:pt idx="457">
                  <c:v>-160</c:v>
                </c:pt>
                <c:pt idx="458">
                  <c:v>-320</c:v>
                </c:pt>
                <c:pt idx="459">
                  <c:v>0</c:v>
                </c:pt>
                <c:pt idx="460">
                  <c:v>-1120</c:v>
                </c:pt>
                <c:pt idx="461">
                  <c:v>0</c:v>
                </c:pt>
                <c:pt idx="462">
                  <c:v>-464</c:v>
                </c:pt>
                <c:pt idx="463">
                  <c:v>0</c:v>
                </c:pt>
                <c:pt idx="464">
                  <c:v>0</c:v>
                </c:pt>
                <c:pt idx="465">
                  <c:v>-3200</c:v>
                </c:pt>
                <c:pt idx="466">
                  <c:v>-960</c:v>
                </c:pt>
                <c:pt idx="467">
                  <c:v>0</c:v>
                </c:pt>
                <c:pt idx="468">
                  <c:v>0</c:v>
                </c:pt>
                <c:pt idx="469">
                  <c:v>0</c:v>
                </c:pt>
                <c:pt idx="470">
                  <c:v>0</c:v>
                </c:pt>
                <c:pt idx="471">
                  <c:v>0</c:v>
                </c:pt>
                <c:pt idx="472">
                  <c:v>0</c:v>
                </c:pt>
                <c:pt idx="473">
                  <c:v>0</c:v>
                </c:pt>
                <c:pt idx="474">
                  <c:v>-800</c:v>
                </c:pt>
                <c:pt idx="475">
                  <c:v>-800</c:v>
                </c:pt>
                <c:pt idx="476">
                  <c:v>-800</c:v>
                </c:pt>
                <c:pt idx="477">
                  <c:v>-1920</c:v>
                </c:pt>
                <c:pt idx="478">
                  <c:v>-1600</c:v>
                </c:pt>
                <c:pt idx="479">
                  <c:v>-800</c:v>
                </c:pt>
                <c:pt idx="480">
                  <c:v>-1600</c:v>
                </c:pt>
                <c:pt idx="481">
                  <c:v>-348</c:v>
                </c:pt>
                <c:pt idx="482">
                  <c:v>-1600</c:v>
                </c:pt>
                <c:pt idx="483">
                  <c:v>-2800.0000000000005</c:v>
                </c:pt>
                <c:pt idx="484">
                  <c:v>-1920</c:v>
                </c:pt>
                <c:pt idx="485">
                  <c:v>-800</c:v>
                </c:pt>
                <c:pt idx="486">
                  <c:v>0</c:v>
                </c:pt>
                <c:pt idx="487">
                  <c:v>0</c:v>
                </c:pt>
                <c:pt idx="488">
                  <c:v>-600</c:v>
                </c:pt>
                <c:pt idx="489">
                  <c:v>0</c:v>
                </c:pt>
                <c:pt idx="490">
                  <c:v>-320</c:v>
                </c:pt>
                <c:pt idx="491">
                  <c:v>-1600</c:v>
                </c:pt>
                <c:pt idx="492">
                  <c:v>-600</c:v>
                </c:pt>
                <c:pt idx="493">
                  <c:v>0</c:v>
                </c:pt>
                <c:pt idx="494">
                  <c:v>0</c:v>
                </c:pt>
                <c:pt idx="495">
                  <c:v>0</c:v>
                </c:pt>
                <c:pt idx="496">
                  <c:v>0</c:v>
                </c:pt>
                <c:pt idx="497">
                  <c:v>0</c:v>
                </c:pt>
                <c:pt idx="498">
                  <c:v>0</c:v>
                </c:pt>
                <c:pt idx="499">
                  <c:v>-320</c:v>
                </c:pt>
                <c:pt idx="500">
                  <c:v>0</c:v>
                </c:pt>
                <c:pt idx="501">
                  <c:v>-640</c:v>
                </c:pt>
                <c:pt idx="502">
                  <c:v>-1920</c:v>
                </c:pt>
                <c:pt idx="503">
                  <c:v>-600</c:v>
                </c:pt>
                <c:pt idx="504">
                  <c:v>-600</c:v>
                </c:pt>
                <c:pt idx="505">
                  <c:v>-960</c:v>
                </c:pt>
                <c:pt idx="506">
                  <c:v>-1200</c:v>
                </c:pt>
                <c:pt idx="507">
                  <c:v>-1035.6000000000001</c:v>
                </c:pt>
                <c:pt idx="508">
                  <c:v>0</c:v>
                </c:pt>
                <c:pt idx="509">
                  <c:v>-116</c:v>
                </c:pt>
                <c:pt idx="510">
                  <c:v>-345.20000000000005</c:v>
                </c:pt>
                <c:pt idx="511">
                  <c:v>-448</c:v>
                </c:pt>
                <c:pt idx="512">
                  <c:v>-96</c:v>
                </c:pt>
                <c:pt idx="513">
                  <c:v>0</c:v>
                </c:pt>
                <c:pt idx="514">
                  <c:v>0</c:v>
                </c:pt>
                <c:pt idx="515">
                  <c:v>0</c:v>
                </c:pt>
                <c:pt idx="516">
                  <c:v>0</c:v>
                </c:pt>
                <c:pt idx="517">
                  <c:v>0</c:v>
                </c:pt>
                <c:pt idx="518">
                  <c:v>-1280</c:v>
                </c:pt>
                <c:pt idx="519">
                  <c:v>-736</c:v>
                </c:pt>
                <c:pt idx="520">
                  <c:v>-1952</c:v>
                </c:pt>
                <c:pt idx="521">
                  <c:v>0</c:v>
                </c:pt>
                <c:pt idx="522">
                  <c:v>-1280</c:v>
                </c:pt>
                <c:pt idx="523">
                  <c:v>0</c:v>
                </c:pt>
                <c:pt idx="524">
                  <c:v>0</c:v>
                </c:pt>
                <c:pt idx="525">
                  <c:v>-1600</c:v>
                </c:pt>
                <c:pt idx="526">
                  <c:v>0</c:v>
                </c:pt>
                <c:pt idx="527">
                  <c:v>-640</c:v>
                </c:pt>
                <c:pt idx="528">
                  <c:v>-600</c:v>
                </c:pt>
                <c:pt idx="529">
                  <c:v>-320</c:v>
                </c:pt>
                <c:pt idx="530">
                  <c:v>0</c:v>
                </c:pt>
                <c:pt idx="531">
                  <c:v>0</c:v>
                </c:pt>
                <c:pt idx="532">
                  <c:v>0</c:v>
                </c:pt>
                <c:pt idx="533">
                  <c:v>0</c:v>
                </c:pt>
                <c:pt idx="534">
                  <c:v>0</c:v>
                </c:pt>
                <c:pt idx="536">
                  <c:v>0</c:v>
                </c:pt>
                <c:pt idx="537">
                  <c:v>0</c:v>
                </c:pt>
                <c:pt idx="538">
                  <c:v>0</c:v>
                </c:pt>
                <c:pt idx="539">
                  <c:v>0</c:v>
                </c:pt>
                <c:pt idx="540">
                  <c:v>0</c:v>
                </c:pt>
                <c:pt idx="541">
                  <c:v>0</c:v>
                </c:pt>
                <c:pt idx="542">
                  <c:v>0</c:v>
                </c:pt>
                <c:pt idx="543">
                  <c:v>0</c:v>
                </c:pt>
                <c:pt idx="544">
                  <c:v>-116</c:v>
                </c:pt>
                <c:pt idx="545">
                  <c:v>0</c:v>
                </c:pt>
                <c:pt idx="546">
                  <c:v>-1920</c:v>
                </c:pt>
                <c:pt idx="547">
                  <c:v>0</c:v>
                </c:pt>
                <c:pt idx="548">
                  <c:v>0</c:v>
                </c:pt>
                <c:pt idx="549">
                  <c:v>0</c:v>
                </c:pt>
                <c:pt idx="550">
                  <c:v>-1600</c:v>
                </c:pt>
                <c:pt idx="551">
                  <c:v>-960</c:v>
                </c:pt>
                <c:pt idx="552">
                  <c:v>-2400</c:v>
                </c:pt>
                <c:pt idx="553">
                  <c:v>0</c:v>
                </c:pt>
                <c:pt idx="554">
                  <c:v>-960</c:v>
                </c:pt>
                <c:pt idx="555">
                  <c:v>0</c:v>
                </c:pt>
                <c:pt idx="556">
                  <c:v>0</c:v>
                </c:pt>
                <c:pt idx="557">
                  <c:v>-116</c:v>
                </c:pt>
                <c:pt idx="559">
                  <c:v>0</c:v>
                </c:pt>
                <c:pt idx="560">
                  <c:v>-384</c:v>
                </c:pt>
                <c:pt idx="561">
                  <c:v>-320</c:v>
                </c:pt>
                <c:pt idx="562">
                  <c:v>0</c:v>
                </c:pt>
                <c:pt idx="563">
                  <c:v>-949.30000000000007</c:v>
                </c:pt>
                <c:pt idx="564">
                  <c:v>-1200</c:v>
                </c:pt>
                <c:pt idx="565">
                  <c:v>0</c:v>
                </c:pt>
                <c:pt idx="566">
                  <c:v>0</c:v>
                </c:pt>
                <c:pt idx="567">
                  <c:v>-320</c:v>
                </c:pt>
                <c:pt idx="568">
                  <c:v>0</c:v>
                </c:pt>
                <c:pt idx="569">
                  <c:v>-1920</c:v>
                </c:pt>
                <c:pt idx="570">
                  <c:v>-640</c:v>
                </c:pt>
                <c:pt idx="571">
                  <c:v>-480</c:v>
                </c:pt>
                <c:pt idx="572">
                  <c:v>-640</c:v>
                </c:pt>
                <c:pt idx="573">
                  <c:v>-640</c:v>
                </c:pt>
                <c:pt idx="574">
                  <c:v>0</c:v>
                </c:pt>
                <c:pt idx="575">
                  <c:v>0</c:v>
                </c:pt>
                <c:pt idx="576">
                  <c:v>-640</c:v>
                </c:pt>
                <c:pt idx="577">
                  <c:v>0</c:v>
                </c:pt>
                <c:pt idx="578">
                  <c:v>-320</c:v>
                </c:pt>
                <c:pt idx="579">
                  <c:v>0</c:v>
                </c:pt>
                <c:pt idx="580">
                  <c:v>0</c:v>
                </c:pt>
                <c:pt idx="581">
                  <c:v>-640</c:v>
                </c:pt>
                <c:pt idx="582">
                  <c:v>-640</c:v>
                </c:pt>
                <c:pt idx="583">
                  <c:v>-640</c:v>
                </c:pt>
                <c:pt idx="584">
                  <c:v>0</c:v>
                </c:pt>
                <c:pt idx="585">
                  <c:v>0</c:v>
                </c:pt>
                <c:pt idx="586">
                  <c:v>0</c:v>
                </c:pt>
                <c:pt idx="587">
                  <c:v>-480</c:v>
                </c:pt>
                <c:pt idx="588">
                  <c:v>0</c:v>
                </c:pt>
                <c:pt idx="589">
                  <c:v>-1600</c:v>
                </c:pt>
                <c:pt idx="590">
                  <c:v>0</c:v>
                </c:pt>
                <c:pt idx="591">
                  <c:v>-1600</c:v>
                </c:pt>
                <c:pt idx="592">
                  <c:v>-1280</c:v>
                </c:pt>
                <c:pt idx="593">
                  <c:v>-256</c:v>
                </c:pt>
                <c:pt idx="594">
                  <c:v>0</c:v>
                </c:pt>
                <c:pt idx="595">
                  <c:v>0</c:v>
                </c:pt>
                <c:pt idx="596">
                  <c:v>-960</c:v>
                </c:pt>
                <c:pt idx="597">
                  <c:v>-320</c:v>
                </c:pt>
                <c:pt idx="598">
                  <c:v>0</c:v>
                </c:pt>
                <c:pt idx="599">
                  <c:v>0</c:v>
                </c:pt>
                <c:pt idx="600">
                  <c:v>0</c:v>
                </c:pt>
                <c:pt idx="601">
                  <c:v>0</c:v>
                </c:pt>
                <c:pt idx="602">
                  <c:v>0</c:v>
                </c:pt>
                <c:pt idx="603">
                  <c:v>0</c:v>
                </c:pt>
                <c:pt idx="604">
                  <c:v>0</c:v>
                </c:pt>
                <c:pt idx="605">
                  <c:v>-480</c:v>
                </c:pt>
                <c:pt idx="606">
                  <c:v>0</c:v>
                </c:pt>
                <c:pt idx="607">
                  <c:v>0</c:v>
                </c:pt>
                <c:pt idx="608">
                  <c:v>-1280</c:v>
                </c:pt>
                <c:pt idx="609">
                  <c:v>-1920</c:v>
                </c:pt>
                <c:pt idx="610">
                  <c:v>-1600</c:v>
                </c:pt>
                <c:pt idx="611">
                  <c:v>-600</c:v>
                </c:pt>
                <c:pt idx="612">
                  <c:v>-64</c:v>
                </c:pt>
                <c:pt idx="613">
                  <c:v>0</c:v>
                </c:pt>
                <c:pt idx="614">
                  <c:v>0</c:v>
                </c:pt>
                <c:pt idx="615">
                  <c:v>-960</c:v>
                </c:pt>
                <c:pt idx="616">
                  <c:v>0</c:v>
                </c:pt>
                <c:pt idx="617">
                  <c:v>-2400</c:v>
                </c:pt>
                <c:pt idx="618">
                  <c:v>-2400</c:v>
                </c:pt>
                <c:pt idx="619">
                  <c:v>0</c:v>
                </c:pt>
                <c:pt idx="620">
                  <c:v>-640</c:v>
                </c:pt>
                <c:pt idx="621">
                  <c:v>-2560</c:v>
                </c:pt>
                <c:pt idx="622">
                  <c:v>-600</c:v>
                </c:pt>
                <c:pt idx="623">
                  <c:v>-1280</c:v>
                </c:pt>
                <c:pt idx="624">
                  <c:v>-320</c:v>
                </c:pt>
                <c:pt idx="625">
                  <c:v>-672</c:v>
                </c:pt>
                <c:pt idx="626">
                  <c:v>-128</c:v>
                </c:pt>
                <c:pt idx="627">
                  <c:v>-576</c:v>
                </c:pt>
                <c:pt idx="628">
                  <c:v>0</c:v>
                </c:pt>
                <c:pt idx="629">
                  <c:v>0</c:v>
                </c:pt>
                <c:pt idx="630">
                  <c:v>-1440</c:v>
                </c:pt>
                <c:pt idx="631">
                  <c:v>-960</c:v>
                </c:pt>
                <c:pt idx="632">
                  <c:v>-1440</c:v>
                </c:pt>
                <c:pt idx="633">
                  <c:v>-1440</c:v>
                </c:pt>
                <c:pt idx="634">
                  <c:v>-1440</c:v>
                </c:pt>
                <c:pt idx="635">
                  <c:v>-960</c:v>
                </c:pt>
                <c:pt idx="636">
                  <c:v>0</c:v>
                </c:pt>
                <c:pt idx="637">
                  <c:v>0</c:v>
                </c:pt>
                <c:pt idx="638">
                  <c:v>-1920</c:v>
                </c:pt>
                <c:pt idx="639">
                  <c:v>0</c:v>
                </c:pt>
                <c:pt idx="640">
                  <c:v>-3200</c:v>
                </c:pt>
                <c:pt idx="641">
                  <c:v>0</c:v>
                </c:pt>
                <c:pt idx="642">
                  <c:v>0</c:v>
                </c:pt>
                <c:pt idx="643">
                  <c:v>0</c:v>
                </c:pt>
                <c:pt idx="644">
                  <c:v>-1280</c:v>
                </c:pt>
                <c:pt idx="645">
                  <c:v>0</c:v>
                </c:pt>
                <c:pt idx="646">
                  <c:v>-160</c:v>
                </c:pt>
                <c:pt idx="647">
                  <c:v>0</c:v>
                </c:pt>
                <c:pt idx="648">
                  <c:v>0</c:v>
                </c:pt>
                <c:pt idx="649">
                  <c:v>-640</c:v>
                </c:pt>
                <c:pt idx="650">
                  <c:v>0</c:v>
                </c:pt>
                <c:pt idx="651">
                  <c:v>-2624</c:v>
                </c:pt>
                <c:pt idx="652">
                  <c:v>0</c:v>
                </c:pt>
                <c:pt idx="653">
                  <c:v>0</c:v>
                </c:pt>
                <c:pt idx="654">
                  <c:v>0</c:v>
                </c:pt>
                <c:pt idx="655">
                  <c:v>0</c:v>
                </c:pt>
                <c:pt idx="656">
                  <c:v>0</c:v>
                </c:pt>
                <c:pt idx="657">
                  <c:v>0</c:v>
                </c:pt>
                <c:pt idx="658">
                  <c:v>-348</c:v>
                </c:pt>
                <c:pt idx="659">
                  <c:v>0</c:v>
                </c:pt>
                <c:pt idx="660">
                  <c:v>0</c:v>
                </c:pt>
                <c:pt idx="661">
                  <c:v>-640</c:v>
                </c:pt>
                <c:pt idx="662">
                  <c:v>0</c:v>
                </c:pt>
                <c:pt idx="663">
                  <c:v>0</c:v>
                </c:pt>
                <c:pt idx="664">
                  <c:v>-2720</c:v>
                </c:pt>
                <c:pt idx="665">
                  <c:v>-3840</c:v>
                </c:pt>
                <c:pt idx="666">
                  <c:v>-6080</c:v>
                </c:pt>
                <c:pt idx="667">
                  <c:v>0</c:v>
                </c:pt>
                <c:pt idx="668">
                  <c:v>0</c:v>
                </c:pt>
                <c:pt idx="669">
                  <c:v>-240</c:v>
                </c:pt>
                <c:pt idx="670">
                  <c:v>0</c:v>
                </c:pt>
                <c:pt idx="671">
                  <c:v>0</c:v>
                </c:pt>
                <c:pt idx="672">
                  <c:v>-1040</c:v>
                </c:pt>
                <c:pt idx="673">
                  <c:v>-1440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-800</c:v>
                </c:pt>
                <c:pt idx="697">
                  <c:v>0</c:v>
                </c:pt>
                <c:pt idx="698">
                  <c:v>0</c:v>
                </c:pt>
                <c:pt idx="699">
                  <c:v>0</c:v>
                </c:pt>
                <c:pt idx="700">
                  <c:v>0</c:v>
                </c:pt>
                <c:pt idx="701">
                  <c:v>-3200</c:v>
                </c:pt>
                <c:pt idx="702">
                  <c:v>-960</c:v>
                </c:pt>
                <c:pt idx="703">
                  <c:v>0</c:v>
                </c:pt>
                <c:pt idx="704">
                  <c:v>-348</c:v>
                </c:pt>
                <c:pt idx="705">
                  <c:v>-960</c:v>
                </c:pt>
                <c:pt idx="706">
                  <c:v>-600</c:v>
                </c:pt>
                <c:pt idx="707">
                  <c:v>-600</c:v>
                </c:pt>
                <c:pt idx="708">
                  <c:v>0</c:v>
                </c:pt>
                <c:pt idx="709">
                  <c:v>-1120</c:v>
                </c:pt>
                <c:pt idx="710">
                  <c:v>-2080</c:v>
                </c:pt>
                <c:pt idx="711">
                  <c:v>0</c:v>
                </c:pt>
                <c:pt idx="712">
                  <c:v>0</c:v>
                </c:pt>
                <c:pt idx="713">
                  <c:v>0</c:v>
                </c:pt>
                <c:pt idx="714">
                  <c:v>0</c:v>
                </c:pt>
                <c:pt idx="715">
                  <c:v>-600</c:v>
                </c:pt>
                <c:pt idx="716">
                  <c:v>-232</c:v>
                </c:pt>
                <c:pt idx="717">
                  <c:v>0</c:v>
                </c:pt>
                <c:pt idx="718">
                  <c:v>0</c:v>
                </c:pt>
                <c:pt idx="719">
                  <c:v>-40</c:v>
                </c:pt>
                <c:pt idx="720">
                  <c:v>-600</c:v>
                </c:pt>
                <c:pt idx="721">
                  <c:v>-800</c:v>
                </c:pt>
                <c:pt idx="722">
                  <c:v>-480</c:v>
                </c:pt>
                <c:pt idx="723">
                  <c:v>0</c:v>
                </c:pt>
                <c:pt idx="724">
                  <c:v>0</c:v>
                </c:pt>
                <c:pt idx="725">
                  <c:v>0</c:v>
                </c:pt>
                <c:pt idx="726">
                  <c:v>0</c:v>
                </c:pt>
                <c:pt idx="727">
                  <c:v>0</c:v>
                </c:pt>
                <c:pt idx="728">
                  <c:v>0</c:v>
                </c:pt>
                <c:pt idx="729">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-1920</c:v>
                </c:pt>
                <c:pt idx="748">
                  <c:v>0</c:v>
                </c:pt>
                <c:pt idx="749">
                  <c:v>0</c:v>
                </c:pt>
                <c:pt idx="750">
                  <c:v>0</c:v>
                </c:pt>
                <c:pt idx="751">
                  <c:v>0</c:v>
                </c:pt>
                <c:pt idx="752">
                  <c:v>0</c:v>
                </c:pt>
                <c:pt idx="753">
                  <c:v>0</c:v>
                </c:pt>
                <c:pt idx="754">
                  <c:v>-2400</c:v>
                </c:pt>
                <c:pt idx="755">
                  <c:v>0</c:v>
                </c:pt>
                <c:pt idx="756">
                  <c:v>0</c:v>
                </c:pt>
                <c:pt idx="757">
                  <c:v>0</c:v>
                </c:pt>
                <c:pt idx="758">
                  <c:v>0</c:v>
                </c:pt>
                <c:pt idx="759">
                  <c:v>0</c:v>
                </c:pt>
                <c:pt idx="760">
                  <c:v>0</c:v>
                </c:pt>
                <c:pt idx="761">
                  <c:v>0</c:v>
                </c:pt>
                <c:pt idx="762">
                  <c:v>0</c:v>
                </c:pt>
                <c:pt idx="763">
                  <c:v>-960</c:v>
                </c:pt>
                <c:pt idx="764">
                  <c:v>0</c:v>
                </c:pt>
                <c:pt idx="765">
                  <c:v>0</c:v>
                </c:pt>
                <c:pt idx="766">
                  <c:v>-3200</c:v>
                </c:pt>
                <c:pt idx="767">
                  <c:v>-1920</c:v>
                </c:pt>
                <c:pt idx="768">
                  <c:v>0</c:v>
                </c:pt>
                <c:pt idx="769">
                  <c:v>0</c:v>
                </c:pt>
                <c:pt idx="770">
                  <c:v>-1280</c:v>
                </c:pt>
                <c:pt idx="771">
                  <c:v>0</c:v>
                </c:pt>
                <c:pt idx="772">
                  <c:v>0</c:v>
                </c:pt>
                <c:pt idx="773">
                  <c:v>-640</c:v>
                </c:pt>
                <c:pt idx="774">
                  <c:v>-1056</c:v>
                </c:pt>
                <c:pt idx="775">
                  <c:v>0</c:v>
                </c:pt>
                <c:pt idx="776">
                  <c:v>0</c:v>
                </c:pt>
                <c:pt idx="777">
                  <c:v>0</c:v>
                </c:pt>
                <c:pt idx="778">
                  <c:v>0</c:v>
                </c:pt>
                <c:pt idx="779">
                  <c:v>0</c:v>
                </c:pt>
                <c:pt idx="780">
                  <c:v>-2400</c:v>
                </c:pt>
                <c:pt idx="781">
                  <c:v>-1920</c:v>
                </c:pt>
                <c:pt idx="782">
                  <c:v>-3200</c:v>
                </c:pt>
                <c:pt idx="783">
                  <c:v>0</c:v>
                </c:pt>
                <c:pt idx="784">
                  <c:v>-960</c:v>
                </c:pt>
                <c:pt idx="785">
                  <c:v>0</c:v>
                </c:pt>
                <c:pt idx="786">
                  <c:v>0</c:v>
                </c:pt>
                <c:pt idx="787">
                  <c:v>0</c:v>
                </c:pt>
                <c:pt idx="788">
                  <c:v>-2144</c:v>
                </c:pt>
                <c:pt idx="789">
                  <c:v>0</c:v>
                </c:pt>
                <c:pt idx="790">
                  <c:v>0</c:v>
                </c:pt>
                <c:pt idx="791">
                  <c:v>-1104</c:v>
                </c:pt>
                <c:pt idx="792">
                  <c:v>0</c:v>
                </c:pt>
                <c:pt idx="793">
                  <c:v>-1920</c:v>
                </c:pt>
                <c:pt idx="794">
                  <c:v>0</c:v>
                </c:pt>
                <c:pt idx="795">
                  <c:v>0</c:v>
                </c:pt>
                <c:pt idx="796">
                  <c:v>-640</c:v>
                </c:pt>
                <c:pt idx="797">
                  <c:v>0</c:v>
                </c:pt>
                <c:pt idx="798">
                  <c:v>0</c:v>
                </c:pt>
                <c:pt idx="799">
                  <c:v>-640</c:v>
                </c:pt>
                <c:pt idx="800">
                  <c:v>0</c:v>
                </c:pt>
                <c:pt idx="801">
                  <c:v>0</c:v>
                </c:pt>
                <c:pt idx="802">
                  <c:v>0</c:v>
                </c:pt>
                <c:pt idx="803">
                  <c:v>-1472</c:v>
                </c:pt>
                <c:pt idx="804">
                  <c:v>-1726.0000000000002</c:v>
                </c:pt>
                <c:pt idx="806">
                  <c:v>0</c:v>
                </c:pt>
                <c:pt idx="807">
                  <c:v>-960</c:v>
                </c:pt>
                <c:pt idx="808">
                  <c:v>0</c:v>
                </c:pt>
                <c:pt idx="809">
                  <c:v>-1280</c:v>
                </c:pt>
                <c:pt idx="810">
                  <c:v>-116</c:v>
                </c:pt>
                <c:pt idx="811">
                  <c:v>0</c:v>
                </c:pt>
                <c:pt idx="812">
                  <c:v>0</c:v>
                </c:pt>
                <c:pt idx="813">
                  <c:v>-1856</c:v>
                </c:pt>
                <c:pt idx="814">
                  <c:v>0</c:v>
                </c:pt>
                <c:pt idx="815">
                  <c:v>0</c:v>
                </c:pt>
                <c:pt idx="816">
                  <c:v>0</c:v>
                </c:pt>
                <c:pt idx="817">
                  <c:v>-640</c:v>
                </c:pt>
                <c:pt idx="818">
                  <c:v>0</c:v>
                </c:pt>
                <c:pt idx="819">
                  <c:v>-1600</c:v>
                </c:pt>
                <c:pt idx="820">
                  <c:v>-736</c:v>
                </c:pt>
                <c:pt idx="821">
                  <c:v>-1792</c:v>
                </c:pt>
                <c:pt idx="822">
                  <c:v>0</c:v>
                </c:pt>
                <c:pt idx="823">
                  <c:v>0</c:v>
                </c:pt>
                <c:pt idx="824">
                  <c:v>-640</c:v>
                </c:pt>
                <c:pt idx="825">
                  <c:v>0</c:v>
                </c:pt>
                <c:pt idx="826">
                  <c:v>-1664</c:v>
                </c:pt>
                <c:pt idx="827">
                  <c:v>0</c:v>
                </c:pt>
                <c:pt idx="828">
                  <c:v>0</c:v>
                </c:pt>
                <c:pt idx="829">
                  <c:v>0</c:v>
                </c:pt>
                <c:pt idx="830">
                  <c:v>-2400</c:v>
                </c:pt>
                <c:pt idx="831">
                  <c:v>0</c:v>
                </c:pt>
                <c:pt idx="832">
                  <c:v>-800</c:v>
                </c:pt>
                <c:pt idx="833">
                  <c:v>-2400</c:v>
                </c:pt>
                <c:pt idx="834">
                  <c:v>0</c:v>
                </c:pt>
                <c:pt idx="835">
                  <c:v>0</c:v>
                </c:pt>
                <c:pt idx="836">
                  <c:v>0</c:v>
                </c:pt>
                <c:pt idx="837">
                  <c:v>-1408</c:v>
                </c:pt>
                <c:pt idx="838">
                  <c:v>0</c:v>
                </c:pt>
                <c:pt idx="839">
                  <c:v>-640</c:v>
                </c:pt>
                <c:pt idx="840">
                  <c:v>-1920</c:v>
                </c:pt>
                <c:pt idx="841">
                  <c:v>-4704</c:v>
                </c:pt>
                <c:pt idx="842">
                  <c:v>-640</c:v>
                </c:pt>
                <c:pt idx="843">
                  <c:v>-600</c:v>
                </c:pt>
                <c:pt idx="844">
                  <c:v>0</c:v>
                </c:pt>
                <c:pt idx="845">
                  <c:v>0</c:v>
                </c:pt>
                <c:pt idx="846">
                  <c:v>0</c:v>
                </c:pt>
                <c:pt idx="847">
                  <c:v>-960</c:v>
                </c:pt>
                <c:pt idx="848">
                  <c:v>-640</c:v>
                </c:pt>
                <c:pt idx="849">
                  <c:v>-640</c:v>
                </c:pt>
                <c:pt idx="850">
                  <c:v>0</c:v>
                </c:pt>
                <c:pt idx="851">
                  <c:v>-600</c:v>
                </c:pt>
                <c:pt idx="852">
                  <c:v>-600</c:v>
                </c:pt>
                <c:pt idx="853">
                  <c:v>-600</c:v>
                </c:pt>
                <c:pt idx="854">
                  <c:v>-232</c:v>
                </c:pt>
                <c:pt idx="855">
                  <c:v>-1920</c:v>
                </c:pt>
                <c:pt idx="856">
                  <c:v>-1280</c:v>
                </c:pt>
                <c:pt idx="857">
                  <c:v>-1600</c:v>
                </c:pt>
                <c:pt idx="858">
                  <c:v>-3600</c:v>
                </c:pt>
                <c:pt idx="859">
                  <c:v>-600</c:v>
                </c:pt>
                <c:pt idx="860">
                  <c:v>-1920</c:v>
                </c:pt>
                <c:pt idx="861">
                  <c:v>-2112</c:v>
                </c:pt>
                <c:pt idx="862">
                  <c:v>0</c:v>
                </c:pt>
                <c:pt idx="863">
                  <c:v>0</c:v>
                </c:pt>
                <c:pt idx="864">
                  <c:v>0</c:v>
                </c:pt>
                <c:pt idx="865">
                  <c:v>0</c:v>
                </c:pt>
                <c:pt idx="866">
                  <c:v>0</c:v>
                </c:pt>
                <c:pt idx="867">
                  <c:v>0</c:v>
                </c:pt>
                <c:pt idx="868">
                  <c:v>-1120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8">
                  <c:v>0</c:v>
                </c:pt>
                <c:pt idx="889">
                  <c:v>0</c:v>
                </c:pt>
                <c:pt idx="890">
                  <c:v>0</c:v>
                </c:pt>
                <c:pt idx="891">
                  <c:v>0</c:v>
                </c:pt>
                <c:pt idx="892">
                  <c:v>0</c:v>
                </c:pt>
                <c:pt idx="893">
                  <c:v>0</c:v>
                </c:pt>
                <c:pt idx="894">
                  <c:v>0</c:v>
                </c:pt>
                <c:pt idx="895">
                  <c:v>-2304</c:v>
                </c:pt>
                <c:pt idx="896">
                  <c:v>-600</c:v>
                </c:pt>
                <c:pt idx="897">
                  <c:v>0</c:v>
                </c:pt>
                <c:pt idx="898">
                  <c:v>-2240</c:v>
                </c:pt>
                <c:pt idx="899">
                  <c:v>0</c:v>
                </c:pt>
                <c:pt idx="900">
                  <c:v>0</c:v>
                </c:pt>
                <c:pt idx="901">
                  <c:v>0</c:v>
                </c:pt>
                <c:pt idx="902">
                  <c:v>-1760</c:v>
                </c:pt>
                <c:pt idx="903">
                  <c:v>0</c:v>
                </c:pt>
                <c:pt idx="904">
                  <c:v>0</c:v>
                </c:pt>
                <c:pt idx="905">
                  <c:v>0</c:v>
                </c:pt>
                <c:pt idx="906">
                  <c:v>0</c:v>
                </c:pt>
                <c:pt idx="907">
                  <c:v>-128</c:v>
                </c:pt>
                <c:pt idx="908">
                  <c:v>-232</c:v>
                </c:pt>
                <c:pt idx="909">
                  <c:v>0</c:v>
                </c:pt>
                <c:pt idx="910">
                  <c:v>0</c:v>
                </c:pt>
                <c:pt idx="911">
                  <c:v>0</c:v>
                </c:pt>
                <c:pt idx="912">
                  <c:v>-1120</c:v>
                </c:pt>
                <c:pt idx="913">
                  <c:v>-352</c:v>
                </c:pt>
                <c:pt idx="914">
                  <c:v>-800</c:v>
                </c:pt>
                <c:pt idx="915">
                  <c:v>0</c:v>
                </c:pt>
                <c:pt idx="916">
                  <c:v>-1152</c:v>
                </c:pt>
                <c:pt idx="917">
                  <c:v>0</c:v>
                </c:pt>
                <c:pt idx="918">
                  <c:v>-1024</c:v>
                </c:pt>
                <c:pt idx="919">
                  <c:v>0</c:v>
                </c:pt>
                <c:pt idx="920">
                  <c:v>-224</c:v>
                </c:pt>
                <c:pt idx="921">
                  <c:v>0</c:v>
                </c:pt>
                <c:pt idx="922">
                  <c:v>-320</c:v>
                </c:pt>
                <c:pt idx="923">
                  <c:v>-160</c:v>
                </c:pt>
                <c:pt idx="924">
                  <c:v>-160</c:v>
                </c:pt>
                <c:pt idx="925">
                  <c:v>0</c:v>
                </c:pt>
                <c:pt idx="926">
                  <c:v>0</c:v>
                </c:pt>
                <c:pt idx="927">
                  <c:v>0</c:v>
                </c:pt>
                <c:pt idx="928">
                  <c:v>0</c:v>
                </c:pt>
                <c:pt idx="929">
                  <c:v>0</c:v>
                </c:pt>
                <c:pt idx="930">
                  <c:v>-576</c:v>
                </c:pt>
                <c:pt idx="931">
                  <c:v>-480</c:v>
                </c:pt>
                <c:pt idx="932">
                  <c:v>-116</c:v>
                </c:pt>
                <c:pt idx="933">
                  <c:v>0</c:v>
                </c:pt>
                <c:pt idx="934">
                  <c:v>-345.20000000000005</c:v>
                </c:pt>
                <c:pt idx="935">
                  <c:v>-480</c:v>
                </c:pt>
                <c:pt idx="936">
                  <c:v>-256</c:v>
                </c:pt>
                <c:pt idx="937">
                  <c:v>0</c:v>
                </c:pt>
                <c:pt idx="938">
                  <c:v>-64</c:v>
                </c:pt>
                <c:pt idx="939">
                  <c:v>0</c:v>
                </c:pt>
                <c:pt idx="940">
                  <c:v>0</c:v>
                </c:pt>
                <c:pt idx="941">
                  <c:v>0</c:v>
                </c:pt>
                <c:pt idx="942">
                  <c:v>0</c:v>
                </c:pt>
                <c:pt idx="943">
                  <c:v>-1088</c:v>
                </c:pt>
                <c:pt idx="944">
                  <c:v>-352</c:v>
                </c:pt>
                <c:pt idx="945">
                  <c:v>-224</c:v>
                </c:pt>
                <c:pt idx="946">
                  <c:v>0</c:v>
                </c:pt>
                <c:pt idx="947">
                  <c:v>-576</c:v>
                </c:pt>
                <c:pt idx="948">
                  <c:v>-288</c:v>
                </c:pt>
                <c:pt idx="949">
                  <c:v>0</c:v>
                </c:pt>
                <c:pt idx="950">
                  <c:v>0</c:v>
                </c:pt>
                <c:pt idx="951">
                  <c:v>0</c:v>
                </c:pt>
                <c:pt idx="952">
                  <c:v>-80</c:v>
                </c:pt>
                <c:pt idx="953">
                  <c:v>-384</c:v>
                </c:pt>
                <c:pt idx="954">
                  <c:v>0</c:v>
                </c:pt>
                <c:pt idx="955">
                  <c:v>-128</c:v>
                </c:pt>
                <c:pt idx="956">
                  <c:v>0</c:v>
                </c:pt>
                <c:pt idx="957">
                  <c:v>-352</c:v>
                </c:pt>
                <c:pt idx="958">
                  <c:v>0</c:v>
                </c:pt>
                <c:pt idx="959">
                  <c:v>0</c:v>
                </c:pt>
                <c:pt idx="960">
                  <c:v>-800</c:v>
                </c:pt>
                <c:pt idx="961">
                  <c:v>-512</c:v>
                </c:pt>
                <c:pt idx="962">
                  <c:v>-288</c:v>
                </c:pt>
                <c:pt idx="963">
                  <c:v>-1152</c:v>
                </c:pt>
                <c:pt idx="964">
                  <c:v>-512</c:v>
                </c:pt>
                <c:pt idx="965">
                  <c:v>-576</c:v>
                </c:pt>
                <c:pt idx="966">
                  <c:v>0</c:v>
                </c:pt>
                <c:pt idx="967">
                  <c:v>0</c:v>
                </c:pt>
                <c:pt idx="968">
                  <c:v>-160</c:v>
                </c:pt>
                <c:pt idx="969">
                  <c:v>-1088</c:v>
                </c:pt>
                <c:pt idx="970">
                  <c:v>0</c:v>
                </c:pt>
                <c:pt idx="971">
                  <c:v>0</c:v>
                </c:pt>
                <c:pt idx="972">
                  <c:v>0</c:v>
                </c:pt>
                <c:pt idx="973">
                  <c:v>0</c:v>
                </c:pt>
                <c:pt idx="974">
                  <c:v>-80</c:v>
                </c:pt>
                <c:pt idx="975">
                  <c:v>-928</c:v>
                </c:pt>
                <c:pt idx="976">
                  <c:v>-320</c:v>
                </c:pt>
                <c:pt idx="977">
                  <c:v>0</c:v>
                </c:pt>
                <c:pt idx="978">
                  <c:v>-116</c:v>
                </c:pt>
                <c:pt idx="979">
                  <c:v>-96</c:v>
                </c:pt>
                <c:pt idx="980">
                  <c:v>0</c:v>
                </c:pt>
                <c:pt idx="981">
                  <c:v>0</c:v>
                </c:pt>
                <c:pt idx="982">
                  <c:v>0</c:v>
                </c:pt>
                <c:pt idx="983">
                  <c:v>0</c:v>
                </c:pt>
                <c:pt idx="984">
                  <c:v>0</c:v>
                </c:pt>
                <c:pt idx="985">
                  <c:v>0</c:v>
                </c:pt>
                <c:pt idx="986">
                  <c:v>0</c:v>
                </c:pt>
                <c:pt idx="987">
                  <c:v>0</c:v>
                </c:pt>
                <c:pt idx="989">
                  <c:v>0</c:v>
                </c:pt>
                <c:pt idx="990">
                  <c:v>-1024</c:v>
                </c:pt>
                <c:pt idx="991">
                  <c:v>-864</c:v>
                </c:pt>
                <c:pt idx="992">
                  <c:v>-192</c:v>
                </c:pt>
                <c:pt idx="993">
                  <c:v>-512</c:v>
                </c:pt>
                <c:pt idx="994">
                  <c:v>0</c:v>
                </c:pt>
                <c:pt idx="995">
                  <c:v>0</c:v>
                </c:pt>
                <c:pt idx="996">
                  <c:v>0</c:v>
                </c:pt>
                <c:pt idx="997">
                  <c:v>0</c:v>
                </c:pt>
                <c:pt idx="998">
                  <c:v>-576</c:v>
                </c:pt>
                <c:pt idx="999">
                  <c:v>-512</c:v>
                </c:pt>
                <c:pt idx="1000">
                  <c:v>-576</c:v>
                </c:pt>
                <c:pt idx="1001">
                  <c:v>-1024</c:v>
                </c:pt>
                <c:pt idx="1002">
                  <c:v>-512</c:v>
                </c:pt>
                <c:pt idx="1003">
                  <c:v>-384</c:v>
                </c:pt>
                <c:pt idx="1004">
                  <c:v>0</c:v>
                </c:pt>
                <c:pt idx="1005">
                  <c:v>-128</c:v>
                </c:pt>
                <c:pt idx="1006">
                  <c:v>-160</c:v>
                </c:pt>
                <c:pt idx="1007">
                  <c:v>0</c:v>
                </c:pt>
                <c:pt idx="1008">
                  <c:v>0</c:v>
                </c:pt>
                <c:pt idx="1009">
                  <c:v>0</c:v>
                </c:pt>
                <c:pt idx="1010">
                  <c:v>0</c:v>
                </c:pt>
                <c:pt idx="1011">
                  <c:v>-116</c:v>
                </c:pt>
                <c:pt idx="1012">
                  <c:v>0</c:v>
                </c:pt>
                <c:pt idx="1013">
                  <c:v>0</c:v>
                </c:pt>
                <c:pt idx="1014">
                  <c:v>0</c:v>
                </c:pt>
                <c:pt idx="1015">
                  <c:v>0</c:v>
                </c:pt>
                <c:pt idx="1016">
                  <c:v>0</c:v>
                </c:pt>
                <c:pt idx="1017">
                  <c:v>0</c:v>
                </c:pt>
                <c:pt idx="1018">
                  <c:v>-64</c:v>
                </c:pt>
                <c:pt idx="1019">
                  <c:v>-192</c:v>
                </c:pt>
                <c:pt idx="1020">
                  <c:v>-128</c:v>
                </c:pt>
                <c:pt idx="1021">
                  <c:v>0</c:v>
                </c:pt>
                <c:pt idx="1022">
                  <c:v>0</c:v>
                </c:pt>
                <c:pt idx="1023">
                  <c:v>0</c:v>
                </c:pt>
                <c:pt idx="1024">
                  <c:v>0</c:v>
                </c:pt>
                <c:pt idx="1025">
                  <c:v>-96</c:v>
                </c:pt>
                <c:pt idx="1026">
                  <c:v>0</c:v>
                </c:pt>
                <c:pt idx="1027">
                  <c:v>0</c:v>
                </c:pt>
                <c:pt idx="1028">
                  <c:v>-96</c:v>
                </c:pt>
                <c:pt idx="1029">
                  <c:v>-224</c:v>
                </c:pt>
                <c:pt idx="1030">
                  <c:v>-224</c:v>
                </c:pt>
                <c:pt idx="1031">
                  <c:v>0</c:v>
                </c:pt>
                <c:pt idx="1032">
                  <c:v>-116</c:v>
                </c:pt>
                <c:pt idx="1033">
                  <c:v>-40</c:v>
                </c:pt>
                <c:pt idx="1034">
                  <c:v>0</c:v>
                </c:pt>
                <c:pt idx="1035">
                  <c:v>0</c:v>
                </c:pt>
                <c:pt idx="1036">
                  <c:v>0</c:v>
                </c:pt>
                <c:pt idx="1037">
                  <c:v>0</c:v>
                </c:pt>
                <c:pt idx="1038">
                  <c:v>0</c:v>
                </c:pt>
                <c:pt idx="1039">
                  <c:v>0</c:v>
                </c:pt>
                <c:pt idx="1040">
                  <c:v>-96</c:v>
                </c:pt>
                <c:pt idx="1041">
                  <c:v>0</c:v>
                </c:pt>
                <c:pt idx="1042">
                  <c:v>0</c:v>
                </c:pt>
                <c:pt idx="1043">
                  <c:v>0</c:v>
                </c:pt>
                <c:pt idx="1044">
                  <c:v>0</c:v>
                </c:pt>
                <c:pt idx="1045">
                  <c:v>0</c:v>
                </c:pt>
                <c:pt idx="1046">
                  <c:v>-96</c:v>
                </c:pt>
                <c:pt idx="1047">
                  <c:v>-80</c:v>
                </c:pt>
                <c:pt idx="1048">
                  <c:v>-96</c:v>
                </c:pt>
                <c:pt idx="1049">
                  <c:v>-160</c:v>
                </c:pt>
                <c:pt idx="1050">
                  <c:v>-48</c:v>
                </c:pt>
                <c:pt idx="1051">
                  <c:v>-64</c:v>
                </c:pt>
                <c:pt idx="1052">
                  <c:v>-160</c:v>
                </c:pt>
                <c:pt idx="1053">
                  <c:v>0</c:v>
                </c:pt>
                <c:pt idx="1054">
                  <c:v>-224</c:v>
                </c:pt>
                <c:pt idx="1055">
                  <c:v>-224</c:v>
                </c:pt>
                <c:pt idx="1056">
                  <c:v>-64</c:v>
                </c:pt>
                <c:pt idx="1057">
                  <c:v>-224</c:v>
                </c:pt>
                <c:pt idx="1058">
                  <c:v>-64</c:v>
                </c:pt>
                <c:pt idx="1059">
                  <c:v>-160</c:v>
                </c:pt>
                <c:pt idx="1060">
                  <c:v>0</c:v>
                </c:pt>
                <c:pt idx="1061">
                  <c:v>0</c:v>
                </c:pt>
                <c:pt idx="1062">
                  <c:v>-80</c:v>
                </c:pt>
                <c:pt idx="1063">
                  <c:v>-32</c:v>
                </c:pt>
                <c:pt idx="1064">
                  <c:v>0</c:v>
                </c:pt>
                <c:pt idx="1065">
                  <c:v>0</c:v>
                </c:pt>
                <c:pt idx="1066">
                  <c:v>-384</c:v>
                </c:pt>
                <c:pt idx="1067">
                  <c:v>-128</c:v>
                </c:pt>
                <c:pt idx="1068">
                  <c:v>-256</c:v>
                </c:pt>
                <c:pt idx="1069">
                  <c:v>-160</c:v>
                </c:pt>
                <c:pt idx="1070">
                  <c:v>0</c:v>
                </c:pt>
                <c:pt idx="1071">
                  <c:v>-96</c:v>
                </c:pt>
                <c:pt idx="1072">
                  <c:v>-224</c:v>
                </c:pt>
                <c:pt idx="1073">
                  <c:v>-232</c:v>
                </c:pt>
                <c:pt idx="1074">
                  <c:v>-64</c:v>
                </c:pt>
                <c:pt idx="1075">
                  <c:v>-96</c:v>
                </c:pt>
                <c:pt idx="1076">
                  <c:v>0</c:v>
                </c:pt>
                <c:pt idx="1077">
                  <c:v>0</c:v>
                </c:pt>
                <c:pt idx="1078">
                  <c:v>-96</c:v>
                </c:pt>
                <c:pt idx="1079">
                  <c:v>0</c:v>
                </c:pt>
                <c:pt idx="1080">
                  <c:v>-480</c:v>
                </c:pt>
                <c:pt idx="1081">
                  <c:v>0</c:v>
                </c:pt>
                <c:pt idx="1082">
                  <c:v>0</c:v>
                </c:pt>
                <c:pt idx="1083">
                  <c:v>0</c:v>
                </c:pt>
                <c:pt idx="1084">
                  <c:v>0</c:v>
                </c:pt>
                <c:pt idx="1086">
                  <c:v>-192</c:v>
                </c:pt>
                <c:pt idx="1087">
                  <c:v>-96</c:v>
                </c:pt>
                <c:pt idx="1088">
                  <c:v>-320</c:v>
                </c:pt>
                <c:pt idx="1089">
                  <c:v>0</c:v>
                </c:pt>
                <c:pt idx="1090">
                  <c:v>0</c:v>
                </c:pt>
                <c:pt idx="1091">
                  <c:v>0</c:v>
                </c:pt>
                <c:pt idx="1092">
                  <c:v>0</c:v>
                </c:pt>
                <c:pt idx="1093">
                  <c:v>-288</c:v>
                </c:pt>
                <c:pt idx="1094">
                  <c:v>-448</c:v>
                </c:pt>
                <c:pt idx="1095">
                  <c:v>-384</c:v>
                </c:pt>
                <c:pt idx="1096">
                  <c:v>-128</c:v>
                </c:pt>
                <c:pt idx="1097">
                  <c:v>-768</c:v>
                </c:pt>
                <c:pt idx="1098">
                  <c:v>0</c:v>
                </c:pt>
                <c:pt idx="1099">
                  <c:v>-512</c:v>
                </c:pt>
                <c:pt idx="1100">
                  <c:v>-96</c:v>
                </c:pt>
                <c:pt idx="1101">
                  <c:v>0</c:v>
                </c:pt>
                <c:pt idx="1102">
                  <c:v>0</c:v>
                </c:pt>
                <c:pt idx="1103">
                  <c:v>0</c:v>
                </c:pt>
                <c:pt idx="1104">
                  <c:v>0</c:v>
                </c:pt>
                <c:pt idx="1105">
                  <c:v>0</c:v>
                </c:pt>
                <c:pt idx="1106">
                  <c:v>0</c:v>
                </c:pt>
                <c:pt idx="1107">
                  <c:v>-64</c:v>
                </c:pt>
                <c:pt idx="1108">
                  <c:v>-160</c:v>
                </c:pt>
                <c:pt idx="1109">
                  <c:v>-960</c:v>
                </c:pt>
                <c:pt idx="1110">
                  <c:v>-192</c:v>
                </c:pt>
                <c:pt idx="1111">
                  <c:v>-512</c:v>
                </c:pt>
                <c:pt idx="1112">
                  <c:v>-96</c:v>
                </c:pt>
                <c:pt idx="1113">
                  <c:v>-512</c:v>
                </c:pt>
                <c:pt idx="1114">
                  <c:v>-192</c:v>
                </c:pt>
                <c:pt idx="1115">
                  <c:v>-160</c:v>
                </c:pt>
                <c:pt idx="1116">
                  <c:v>-160</c:v>
                </c:pt>
                <c:pt idx="1117">
                  <c:v>0</c:v>
                </c:pt>
                <c:pt idx="1118">
                  <c:v>0</c:v>
                </c:pt>
                <c:pt idx="1119">
                  <c:v>0</c:v>
                </c:pt>
                <c:pt idx="1120">
                  <c:v>0</c:v>
                </c:pt>
                <c:pt idx="1121">
                  <c:v>0</c:v>
                </c:pt>
                <c:pt idx="1122">
                  <c:v>0</c:v>
                </c:pt>
                <c:pt idx="1123">
                  <c:v>0</c:v>
                </c:pt>
                <c:pt idx="1125">
                  <c:v>-160</c:v>
                </c:pt>
                <c:pt idx="1126">
                  <c:v>0</c:v>
                </c:pt>
                <c:pt idx="1127">
                  <c:v>0</c:v>
                </c:pt>
                <c:pt idx="1128">
                  <c:v>0</c:v>
                </c:pt>
                <c:pt idx="1129">
                  <c:v>0</c:v>
                </c:pt>
                <c:pt idx="1130">
                  <c:v>-116</c:v>
                </c:pt>
                <c:pt idx="1131">
                  <c:v>0</c:v>
                </c:pt>
                <c:pt idx="1132">
                  <c:v>0</c:v>
                </c:pt>
                <c:pt idx="1133">
                  <c:v>0</c:v>
                </c:pt>
                <c:pt idx="1134">
                  <c:v>-96</c:v>
                </c:pt>
                <c:pt idx="1135">
                  <c:v>-144</c:v>
                </c:pt>
                <c:pt idx="1136">
                  <c:v>-64</c:v>
                </c:pt>
                <c:pt idx="1137">
                  <c:v>-64</c:v>
                </c:pt>
                <c:pt idx="1138">
                  <c:v>-384</c:v>
                </c:pt>
                <c:pt idx="1139">
                  <c:v>0</c:v>
                </c:pt>
                <c:pt idx="1140">
                  <c:v>0</c:v>
                </c:pt>
                <c:pt idx="1141">
                  <c:v>-384</c:v>
                </c:pt>
                <c:pt idx="1142">
                  <c:v>-64</c:v>
                </c:pt>
                <c:pt idx="1143">
                  <c:v>-160</c:v>
                </c:pt>
                <c:pt idx="1144">
                  <c:v>-40</c:v>
                </c:pt>
                <c:pt idx="1145">
                  <c:v>-128</c:v>
                </c:pt>
                <c:pt idx="1146">
                  <c:v>-768</c:v>
                </c:pt>
                <c:pt idx="1147">
                  <c:v>-64</c:v>
                </c:pt>
                <c:pt idx="1148">
                  <c:v>-832</c:v>
                </c:pt>
                <c:pt idx="1149">
                  <c:v>-320</c:v>
                </c:pt>
                <c:pt idx="1150">
                  <c:v>-128</c:v>
                </c:pt>
                <c:pt idx="1151">
                  <c:v>-128</c:v>
                </c:pt>
                <c:pt idx="1152">
                  <c:v>-128</c:v>
                </c:pt>
                <c:pt idx="1153">
                  <c:v>-192</c:v>
                </c:pt>
                <c:pt idx="1154">
                  <c:v>-384</c:v>
                </c:pt>
                <c:pt idx="1155">
                  <c:v>-96</c:v>
                </c:pt>
                <c:pt idx="1156">
                  <c:v>-352</c:v>
                </c:pt>
                <c:pt idx="1157">
                  <c:v>0</c:v>
                </c:pt>
                <c:pt idx="1158">
                  <c:v>0</c:v>
                </c:pt>
                <c:pt idx="1159">
                  <c:v>-116</c:v>
                </c:pt>
                <c:pt idx="1160">
                  <c:v>-192</c:v>
                </c:pt>
                <c:pt idx="1161">
                  <c:v>0</c:v>
                </c:pt>
                <c:pt idx="1162">
                  <c:v>0</c:v>
                </c:pt>
                <c:pt idx="1163">
                  <c:v>0</c:v>
                </c:pt>
                <c:pt idx="1164">
                  <c:v>0</c:v>
                </c:pt>
                <c:pt idx="1165">
                  <c:v>-348</c:v>
                </c:pt>
                <c:pt idx="1166">
                  <c:v>-360</c:v>
                </c:pt>
                <c:pt idx="1167">
                  <c:v>-1024</c:v>
                </c:pt>
                <c:pt idx="1168">
                  <c:v>-128</c:v>
                </c:pt>
                <c:pt idx="1169">
                  <c:v>-128</c:v>
                </c:pt>
                <c:pt idx="1170">
                  <c:v>0</c:v>
                </c:pt>
                <c:pt idx="1171">
                  <c:v>0</c:v>
                </c:pt>
                <c:pt idx="1172">
                  <c:v>-224</c:v>
                </c:pt>
                <c:pt idx="1173">
                  <c:v>-288</c:v>
                </c:pt>
                <c:pt idx="1174">
                  <c:v>-448</c:v>
                </c:pt>
                <c:pt idx="1175">
                  <c:v>0</c:v>
                </c:pt>
                <c:pt idx="1176">
                  <c:v>0</c:v>
                </c:pt>
                <c:pt idx="1177">
                  <c:v>-512</c:v>
                </c:pt>
                <c:pt idx="1178">
                  <c:v>-512</c:v>
                </c:pt>
                <c:pt idx="1179">
                  <c:v>-512</c:v>
                </c:pt>
                <c:pt idx="1180">
                  <c:v>0</c:v>
                </c:pt>
                <c:pt idx="1181">
                  <c:v>-128</c:v>
                </c:pt>
                <c:pt idx="1182">
                  <c:v>-224</c:v>
                </c:pt>
                <c:pt idx="1183">
                  <c:v>-512</c:v>
                </c:pt>
                <c:pt idx="1184">
                  <c:v>0</c:v>
                </c:pt>
                <c:pt idx="1185">
                  <c:v>-320</c:v>
                </c:pt>
                <c:pt idx="1186">
                  <c:v>-116</c:v>
                </c:pt>
                <c:pt idx="1187">
                  <c:v>-320</c:v>
                </c:pt>
                <c:pt idx="1188">
                  <c:v>-1024</c:v>
                </c:pt>
                <c:pt idx="1189">
                  <c:v>-736</c:v>
                </c:pt>
                <c:pt idx="1190">
                  <c:v>0</c:v>
                </c:pt>
                <c:pt idx="1191">
                  <c:v>0</c:v>
                </c:pt>
                <c:pt idx="1192">
                  <c:v>-448</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numCache>
            </c:numRef>
          </c:val>
          <c:extLst>
            <c:ext xmlns:c16="http://schemas.microsoft.com/office/drawing/2014/chart" uri="{C3380CC4-5D6E-409C-BE32-E72D297353CC}">
              <c16:uniqueId val="{00000000-2322-4D16-AA34-D7DAC2EF496A}"/>
            </c:ext>
          </c:extLst>
        </c:ser>
        <c:dLbls>
          <c:showLegendKey val="0"/>
          <c:showVal val="0"/>
          <c:showCatName val="0"/>
          <c:showSerName val="0"/>
          <c:showPercent val="0"/>
          <c:showBubbleSize val="0"/>
        </c:dLbls>
        <c:gapWidth val="219"/>
        <c:overlap val="-27"/>
        <c:axId val="779153615"/>
        <c:axId val="1021043391"/>
      </c:barChart>
      <c:catAx>
        <c:axId val="779153615"/>
        <c:scaling>
          <c:orientation val="minMax"/>
        </c:scaling>
        <c:delete val="1"/>
        <c:axPos val="b"/>
        <c:numFmt formatCode="General" sourceLinked="1"/>
        <c:majorTickMark val="none"/>
        <c:minorTickMark val="none"/>
        <c:tickLblPos val="high"/>
        <c:crossAx val="1021043391"/>
        <c:crosses val="autoZero"/>
        <c:auto val="1"/>
        <c:lblAlgn val="ctr"/>
        <c:lblOffset val="100"/>
        <c:noMultiLvlLbl val="0"/>
      </c:catAx>
      <c:valAx>
        <c:axId val="1021043391"/>
        <c:scaling>
          <c:orientation val="minMax"/>
        </c:scaling>
        <c:delete val="0"/>
        <c:axPos val="l"/>
        <c:majorGridlines>
          <c:spPr>
            <a:ln w="9525" cap="flat" cmpd="sng" algn="ctr">
              <a:solidFill>
                <a:schemeClr val="tx1">
                  <a:lumMod val="75000"/>
                  <a:lumOff val="2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79153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W v R</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w</c:v>
          </c:tx>
          <c:spPr>
            <a:ln w="19050" cap="rnd">
              <a:solidFill>
                <a:schemeClr val="bg1">
                  <a:lumMod val="95000"/>
                </a:schemeClr>
              </a:solidFill>
              <a:round/>
            </a:ln>
            <a:effectLst/>
          </c:spPr>
          <c:marker>
            <c:symbol val="none"/>
          </c:marker>
          <c:cat>
            <c:strRef>
              <c:f>'Journal Live'!$A$1388:$A$2630</c:f>
              <c:strCache>
                <c:ptCount val="1238"/>
                <c:pt idx="1">
                  <c:v>JAN.24</c:v>
                </c:pt>
                <c:pt idx="2">
                  <c:v>JAN.24</c:v>
                </c:pt>
                <c:pt idx="3">
                  <c:v>JAN.24</c:v>
                </c:pt>
                <c:pt idx="4">
                  <c:v>JAN.24</c:v>
                </c:pt>
                <c:pt idx="5">
                  <c:v>JAN.24</c:v>
                </c:pt>
                <c:pt idx="6">
                  <c:v>JAN.24</c:v>
                </c:pt>
                <c:pt idx="7">
                  <c:v>JAN.24</c:v>
                </c:pt>
                <c:pt idx="8">
                  <c:v>JAN.24</c:v>
                </c:pt>
                <c:pt idx="9">
                  <c:v>JAN.24</c:v>
                </c:pt>
                <c:pt idx="10">
                  <c:v>JAN.24</c:v>
                </c:pt>
                <c:pt idx="11">
                  <c:v>JAN.24</c:v>
                </c:pt>
                <c:pt idx="12">
                  <c:v>JAN.24</c:v>
                </c:pt>
                <c:pt idx="13">
                  <c:v>JAN.24</c:v>
                </c:pt>
                <c:pt idx="14">
                  <c:v>JAN.24</c:v>
                </c:pt>
                <c:pt idx="15">
                  <c:v>JAN.24</c:v>
                </c:pt>
                <c:pt idx="16">
                  <c:v>JAN.24</c:v>
                </c:pt>
                <c:pt idx="17">
                  <c:v>JAN.24</c:v>
                </c:pt>
                <c:pt idx="18">
                  <c:v>JAN.24</c:v>
                </c:pt>
                <c:pt idx="19">
                  <c:v>JAN.24</c:v>
                </c:pt>
                <c:pt idx="20">
                  <c:v>JAN.24</c:v>
                </c:pt>
                <c:pt idx="21">
                  <c:v>JAN.24</c:v>
                </c:pt>
                <c:pt idx="22">
                  <c:v>JAN.24</c:v>
                </c:pt>
                <c:pt idx="23">
                  <c:v>JAN.24</c:v>
                </c:pt>
                <c:pt idx="24">
                  <c:v>JAN.24</c:v>
                </c:pt>
                <c:pt idx="25">
                  <c:v>JAN.24</c:v>
                </c:pt>
                <c:pt idx="26">
                  <c:v>JAN.24</c:v>
                </c:pt>
                <c:pt idx="27">
                  <c:v>JAN.24</c:v>
                </c:pt>
                <c:pt idx="28">
                  <c:v>JAN.24</c:v>
                </c:pt>
                <c:pt idx="29">
                  <c:v>JAN.24</c:v>
                </c:pt>
                <c:pt idx="30">
                  <c:v>JAN.24</c:v>
                </c:pt>
                <c:pt idx="31">
                  <c:v>JAN.24</c:v>
                </c:pt>
                <c:pt idx="32">
                  <c:v>JAN.24</c:v>
                </c:pt>
                <c:pt idx="33">
                  <c:v>JAN.24</c:v>
                </c:pt>
                <c:pt idx="34">
                  <c:v>JAN.24</c:v>
                </c:pt>
                <c:pt idx="35">
                  <c:v>JAN.24</c:v>
                </c:pt>
                <c:pt idx="36">
                  <c:v>JAN.24</c:v>
                </c:pt>
                <c:pt idx="37">
                  <c:v>JAN.24</c:v>
                </c:pt>
                <c:pt idx="38">
                  <c:v>JAN.24</c:v>
                </c:pt>
                <c:pt idx="39">
                  <c:v>JAN.24</c:v>
                </c:pt>
                <c:pt idx="40">
                  <c:v>JAN.24</c:v>
                </c:pt>
                <c:pt idx="41">
                  <c:v>JAN.24</c:v>
                </c:pt>
                <c:pt idx="42">
                  <c:v>JAN.24</c:v>
                </c:pt>
                <c:pt idx="43">
                  <c:v>JAN.24</c:v>
                </c:pt>
                <c:pt idx="44">
                  <c:v>JAN.24</c:v>
                </c:pt>
                <c:pt idx="45">
                  <c:v>JAN.24</c:v>
                </c:pt>
                <c:pt idx="46">
                  <c:v>JAN.24</c:v>
                </c:pt>
                <c:pt idx="47">
                  <c:v>JAN.24</c:v>
                </c:pt>
                <c:pt idx="48">
                  <c:v>JAN.24</c:v>
                </c:pt>
                <c:pt idx="49">
                  <c:v>JAN.24</c:v>
                </c:pt>
                <c:pt idx="50">
                  <c:v>JAN.24</c:v>
                </c:pt>
                <c:pt idx="51">
                  <c:v>JAN.24</c:v>
                </c:pt>
                <c:pt idx="52">
                  <c:v>JAN.24</c:v>
                </c:pt>
                <c:pt idx="53">
                  <c:v>JAN.24</c:v>
                </c:pt>
                <c:pt idx="54">
                  <c:v>JAN.24</c:v>
                </c:pt>
                <c:pt idx="55">
                  <c:v>JAN.24</c:v>
                </c:pt>
                <c:pt idx="56">
                  <c:v>JAN.24</c:v>
                </c:pt>
                <c:pt idx="57">
                  <c:v>JAN.24</c:v>
                </c:pt>
                <c:pt idx="58">
                  <c:v>JAN.24</c:v>
                </c:pt>
                <c:pt idx="59">
                  <c:v>JAN.24</c:v>
                </c:pt>
                <c:pt idx="60">
                  <c:v>JAN.24</c:v>
                </c:pt>
                <c:pt idx="61">
                  <c:v>JAN.24</c:v>
                </c:pt>
                <c:pt idx="62">
                  <c:v>JAN.24</c:v>
                </c:pt>
                <c:pt idx="63">
                  <c:v>JAN.24</c:v>
                </c:pt>
                <c:pt idx="64">
                  <c:v>JAN.24</c:v>
                </c:pt>
                <c:pt idx="65">
                  <c:v>JAN.24</c:v>
                </c:pt>
                <c:pt idx="66">
                  <c:v>JAN.24</c:v>
                </c:pt>
                <c:pt idx="67">
                  <c:v>JAN.24</c:v>
                </c:pt>
                <c:pt idx="68">
                  <c:v>JAN.24</c:v>
                </c:pt>
                <c:pt idx="69">
                  <c:v>JAN.24</c:v>
                </c:pt>
                <c:pt idx="70">
                  <c:v>JAN.24</c:v>
                </c:pt>
                <c:pt idx="71">
                  <c:v>JAN.24</c:v>
                </c:pt>
                <c:pt idx="72">
                  <c:v>JAN.24</c:v>
                </c:pt>
                <c:pt idx="73">
                  <c:v>JAN.24</c:v>
                </c:pt>
                <c:pt idx="74">
                  <c:v>JAN.24</c:v>
                </c:pt>
                <c:pt idx="75">
                  <c:v>JAN.24</c:v>
                </c:pt>
                <c:pt idx="76">
                  <c:v>JAN.24</c:v>
                </c:pt>
                <c:pt idx="77">
                  <c:v>JAN.24</c:v>
                </c:pt>
                <c:pt idx="78">
                  <c:v>JAN.24</c:v>
                </c:pt>
                <c:pt idx="79">
                  <c:v>JAN.24</c:v>
                </c:pt>
                <c:pt idx="80">
                  <c:v>JAN.24</c:v>
                </c:pt>
                <c:pt idx="81">
                  <c:v>JAN.24</c:v>
                </c:pt>
                <c:pt idx="82">
                  <c:v>JAN.24</c:v>
                </c:pt>
                <c:pt idx="83">
                  <c:v>JAN.24</c:v>
                </c:pt>
                <c:pt idx="84">
                  <c:v>JAN.24</c:v>
                </c:pt>
                <c:pt idx="85">
                  <c:v>JAN.24</c:v>
                </c:pt>
                <c:pt idx="86">
                  <c:v>JAN.24</c:v>
                </c:pt>
                <c:pt idx="87">
                  <c:v>JAN.24</c:v>
                </c:pt>
                <c:pt idx="88">
                  <c:v>JAN.24</c:v>
                </c:pt>
                <c:pt idx="89">
                  <c:v>JAN.24</c:v>
                </c:pt>
                <c:pt idx="90">
                  <c:v>JAN.24</c:v>
                </c:pt>
                <c:pt idx="91">
                  <c:v>JAN.24</c:v>
                </c:pt>
                <c:pt idx="92">
                  <c:v>JAN.24</c:v>
                </c:pt>
                <c:pt idx="93">
                  <c:v>JAN.24</c:v>
                </c:pt>
                <c:pt idx="94">
                  <c:v>JAN.24</c:v>
                </c:pt>
                <c:pt idx="95">
                  <c:v>JAN.24</c:v>
                </c:pt>
                <c:pt idx="96">
                  <c:v>JAN.24</c:v>
                </c:pt>
                <c:pt idx="97">
                  <c:v>JAN.24</c:v>
                </c:pt>
                <c:pt idx="98">
                  <c:v>JAN.24</c:v>
                </c:pt>
                <c:pt idx="99">
                  <c:v>JAN.24</c:v>
                </c:pt>
                <c:pt idx="100">
                  <c:v>JAN.24</c:v>
                </c:pt>
                <c:pt idx="101">
                  <c:v>JAN.24</c:v>
                </c:pt>
                <c:pt idx="102">
                  <c:v>JAN.24</c:v>
                </c:pt>
                <c:pt idx="103">
                  <c:v>JAN.24</c:v>
                </c:pt>
                <c:pt idx="104">
                  <c:v>JAN.24</c:v>
                </c:pt>
                <c:pt idx="105">
                  <c:v>JAN.24</c:v>
                </c:pt>
                <c:pt idx="106">
                  <c:v>JAN.24</c:v>
                </c:pt>
                <c:pt idx="107">
                  <c:v>JAN.24</c:v>
                </c:pt>
                <c:pt idx="108">
                  <c:v>JAN.24</c:v>
                </c:pt>
                <c:pt idx="109">
                  <c:v>JAN.24</c:v>
                </c:pt>
                <c:pt idx="110">
                  <c:v>JAN.24</c:v>
                </c:pt>
                <c:pt idx="111">
                  <c:v>JAN.24</c:v>
                </c:pt>
                <c:pt idx="112">
                  <c:v>JAN.24</c:v>
                </c:pt>
                <c:pt idx="113">
                  <c:v>JAN.24</c:v>
                </c:pt>
                <c:pt idx="114">
                  <c:v>JAN.24</c:v>
                </c:pt>
                <c:pt idx="115">
                  <c:v>JAN.24</c:v>
                </c:pt>
                <c:pt idx="116">
                  <c:v>JAN.24</c:v>
                </c:pt>
                <c:pt idx="117">
                  <c:v>JAN.24</c:v>
                </c:pt>
                <c:pt idx="118">
                  <c:v>JAN.24</c:v>
                </c:pt>
                <c:pt idx="119">
                  <c:v>JAN.24</c:v>
                </c:pt>
                <c:pt idx="120">
                  <c:v>JAN.24</c:v>
                </c:pt>
                <c:pt idx="121">
                  <c:v>JAN.24</c:v>
                </c:pt>
                <c:pt idx="122">
                  <c:v>JAN.24</c:v>
                </c:pt>
                <c:pt idx="123">
                  <c:v>JAN.24</c:v>
                </c:pt>
                <c:pt idx="124">
                  <c:v>JAN.24</c:v>
                </c:pt>
                <c:pt idx="125">
                  <c:v>JAN.24</c:v>
                </c:pt>
                <c:pt idx="126">
                  <c:v>JAN.24</c:v>
                </c:pt>
                <c:pt idx="127">
                  <c:v>JAN.24</c:v>
                </c:pt>
                <c:pt idx="128">
                  <c:v>JAN.24</c:v>
                </c:pt>
                <c:pt idx="129">
                  <c:v>JAN.24</c:v>
                </c:pt>
                <c:pt idx="130">
                  <c:v>JAN.24</c:v>
                </c:pt>
                <c:pt idx="131">
                  <c:v>JAN.24</c:v>
                </c:pt>
                <c:pt idx="132">
                  <c:v>February 24 live</c:v>
                </c:pt>
                <c:pt idx="133">
                  <c:v>FEB.24</c:v>
                </c:pt>
                <c:pt idx="134">
                  <c:v>FEB.24</c:v>
                </c:pt>
                <c:pt idx="135">
                  <c:v>FEB.24</c:v>
                </c:pt>
                <c:pt idx="136">
                  <c:v>FEB.24</c:v>
                </c:pt>
                <c:pt idx="137">
                  <c:v>FEB.24</c:v>
                </c:pt>
                <c:pt idx="138">
                  <c:v>FEB.24</c:v>
                </c:pt>
                <c:pt idx="139">
                  <c:v>FEB.24</c:v>
                </c:pt>
                <c:pt idx="140">
                  <c:v>FEB.24</c:v>
                </c:pt>
                <c:pt idx="141">
                  <c:v>FEB.24</c:v>
                </c:pt>
                <c:pt idx="142">
                  <c:v>FEB.24</c:v>
                </c:pt>
                <c:pt idx="143">
                  <c:v>FEB.24</c:v>
                </c:pt>
                <c:pt idx="144">
                  <c:v>FEB.24</c:v>
                </c:pt>
                <c:pt idx="145">
                  <c:v>FEB.24</c:v>
                </c:pt>
                <c:pt idx="146">
                  <c:v>FEB.24</c:v>
                </c:pt>
                <c:pt idx="147">
                  <c:v>FEB.24</c:v>
                </c:pt>
                <c:pt idx="148">
                  <c:v>FEB.24</c:v>
                </c:pt>
                <c:pt idx="149">
                  <c:v>FEB.24</c:v>
                </c:pt>
                <c:pt idx="150">
                  <c:v>FEB.24</c:v>
                </c:pt>
                <c:pt idx="151">
                  <c:v>FEB.24</c:v>
                </c:pt>
                <c:pt idx="152">
                  <c:v>FEB.24</c:v>
                </c:pt>
                <c:pt idx="153">
                  <c:v>FEB.24</c:v>
                </c:pt>
                <c:pt idx="154">
                  <c:v>FEB.24</c:v>
                </c:pt>
                <c:pt idx="155">
                  <c:v>FEB.24</c:v>
                </c:pt>
                <c:pt idx="156">
                  <c:v>FEB.24</c:v>
                </c:pt>
                <c:pt idx="157">
                  <c:v>FEB.24</c:v>
                </c:pt>
                <c:pt idx="158">
                  <c:v>FEB.24</c:v>
                </c:pt>
                <c:pt idx="159">
                  <c:v>FEB.24</c:v>
                </c:pt>
                <c:pt idx="160">
                  <c:v>FEB.24</c:v>
                </c:pt>
                <c:pt idx="161">
                  <c:v>FEB.24</c:v>
                </c:pt>
                <c:pt idx="162">
                  <c:v>FEB.24</c:v>
                </c:pt>
                <c:pt idx="163">
                  <c:v>FEB.24</c:v>
                </c:pt>
                <c:pt idx="164">
                  <c:v>FEB.24</c:v>
                </c:pt>
                <c:pt idx="165">
                  <c:v>FEB.24</c:v>
                </c:pt>
                <c:pt idx="166">
                  <c:v>FEB.24</c:v>
                </c:pt>
                <c:pt idx="167">
                  <c:v>FEB.24</c:v>
                </c:pt>
                <c:pt idx="168">
                  <c:v>FEB.24</c:v>
                </c:pt>
                <c:pt idx="169">
                  <c:v>FEB.24</c:v>
                </c:pt>
                <c:pt idx="170">
                  <c:v>FEB.24</c:v>
                </c:pt>
                <c:pt idx="171">
                  <c:v>FEB.24</c:v>
                </c:pt>
                <c:pt idx="172">
                  <c:v>FEB.24</c:v>
                </c:pt>
                <c:pt idx="173">
                  <c:v>FEB.24</c:v>
                </c:pt>
                <c:pt idx="174">
                  <c:v>FEB.24</c:v>
                </c:pt>
                <c:pt idx="175">
                  <c:v>FEB.24</c:v>
                </c:pt>
                <c:pt idx="176">
                  <c:v>FEB.24</c:v>
                </c:pt>
                <c:pt idx="177">
                  <c:v>FEB.24</c:v>
                </c:pt>
                <c:pt idx="178">
                  <c:v>FEB.24</c:v>
                </c:pt>
                <c:pt idx="179">
                  <c:v>FEB.24</c:v>
                </c:pt>
                <c:pt idx="180">
                  <c:v>FEB.24</c:v>
                </c:pt>
                <c:pt idx="181">
                  <c:v>FEB.24</c:v>
                </c:pt>
                <c:pt idx="182">
                  <c:v>FEB.24</c:v>
                </c:pt>
                <c:pt idx="183">
                  <c:v>FEB.24</c:v>
                </c:pt>
                <c:pt idx="184">
                  <c:v>FEB.24</c:v>
                </c:pt>
                <c:pt idx="185">
                  <c:v>FEB.24</c:v>
                </c:pt>
                <c:pt idx="186">
                  <c:v>FEB.24</c:v>
                </c:pt>
                <c:pt idx="187">
                  <c:v>FEB.24</c:v>
                </c:pt>
                <c:pt idx="188">
                  <c:v>FEB.24</c:v>
                </c:pt>
                <c:pt idx="189">
                  <c:v>FEB.24</c:v>
                </c:pt>
                <c:pt idx="190">
                  <c:v>FEB.24</c:v>
                </c:pt>
                <c:pt idx="191">
                  <c:v>FEB.24</c:v>
                </c:pt>
                <c:pt idx="192">
                  <c:v>FEB.24</c:v>
                </c:pt>
                <c:pt idx="193">
                  <c:v>FEB.24</c:v>
                </c:pt>
                <c:pt idx="194">
                  <c:v>FEB.24</c:v>
                </c:pt>
                <c:pt idx="195">
                  <c:v>FEB.24</c:v>
                </c:pt>
                <c:pt idx="196">
                  <c:v>FEB.24</c:v>
                </c:pt>
                <c:pt idx="197">
                  <c:v>FEB.24</c:v>
                </c:pt>
                <c:pt idx="198">
                  <c:v>FEB.24</c:v>
                </c:pt>
                <c:pt idx="199">
                  <c:v>FEB.24</c:v>
                </c:pt>
                <c:pt idx="200">
                  <c:v>FEB.24</c:v>
                </c:pt>
                <c:pt idx="201">
                  <c:v>FEB.24</c:v>
                </c:pt>
                <c:pt idx="202">
                  <c:v>FEB.24</c:v>
                </c:pt>
                <c:pt idx="203">
                  <c:v>FEB.24</c:v>
                </c:pt>
                <c:pt idx="204">
                  <c:v>FEB.24</c:v>
                </c:pt>
                <c:pt idx="205">
                  <c:v>FEB.24</c:v>
                </c:pt>
                <c:pt idx="206">
                  <c:v>FEB.24</c:v>
                </c:pt>
                <c:pt idx="207">
                  <c:v>FEB.24</c:v>
                </c:pt>
                <c:pt idx="208">
                  <c:v>FEB.24</c:v>
                </c:pt>
                <c:pt idx="209">
                  <c:v>FEB.24</c:v>
                </c:pt>
                <c:pt idx="210">
                  <c:v>FEB.24</c:v>
                </c:pt>
                <c:pt idx="211">
                  <c:v>FEB.24</c:v>
                </c:pt>
                <c:pt idx="212">
                  <c:v>FEB.24</c:v>
                </c:pt>
                <c:pt idx="213">
                  <c:v>FEB.24</c:v>
                </c:pt>
                <c:pt idx="214">
                  <c:v>FEB.24</c:v>
                </c:pt>
                <c:pt idx="215">
                  <c:v>FEB.24</c:v>
                </c:pt>
                <c:pt idx="216">
                  <c:v>FEB.24</c:v>
                </c:pt>
                <c:pt idx="217">
                  <c:v>FEB.24</c:v>
                </c:pt>
                <c:pt idx="218">
                  <c:v>FEB.24</c:v>
                </c:pt>
                <c:pt idx="219">
                  <c:v>FEB.24</c:v>
                </c:pt>
                <c:pt idx="220">
                  <c:v>FEB.24</c:v>
                </c:pt>
                <c:pt idx="221">
                  <c:v>FEB.24</c:v>
                </c:pt>
                <c:pt idx="222">
                  <c:v>FEB.24</c:v>
                </c:pt>
                <c:pt idx="223">
                  <c:v>FEB.24</c:v>
                </c:pt>
                <c:pt idx="224">
                  <c:v>FEB.24</c:v>
                </c:pt>
                <c:pt idx="225">
                  <c:v>FEB.24</c:v>
                </c:pt>
                <c:pt idx="226">
                  <c:v>FEB.24</c:v>
                </c:pt>
                <c:pt idx="227">
                  <c:v>FEB.24</c:v>
                </c:pt>
                <c:pt idx="228">
                  <c:v>FEB.24</c:v>
                </c:pt>
                <c:pt idx="229">
                  <c:v>FEB.24</c:v>
                </c:pt>
                <c:pt idx="230">
                  <c:v>FEB.24</c:v>
                </c:pt>
                <c:pt idx="231">
                  <c:v>FEB.24</c:v>
                </c:pt>
                <c:pt idx="232">
                  <c:v>FEB.24</c:v>
                </c:pt>
                <c:pt idx="233">
                  <c:v>FEB.24</c:v>
                </c:pt>
                <c:pt idx="234">
                  <c:v>FEB.24</c:v>
                </c:pt>
                <c:pt idx="235">
                  <c:v>FEB.24</c:v>
                </c:pt>
                <c:pt idx="236">
                  <c:v>FEB.24</c:v>
                </c:pt>
                <c:pt idx="237">
                  <c:v>FEB.24</c:v>
                </c:pt>
                <c:pt idx="238">
                  <c:v>FEB.24</c:v>
                </c:pt>
                <c:pt idx="239">
                  <c:v>FEB.24</c:v>
                </c:pt>
                <c:pt idx="240">
                  <c:v>FEB.24</c:v>
                </c:pt>
                <c:pt idx="241">
                  <c:v>FEB.24</c:v>
                </c:pt>
                <c:pt idx="242">
                  <c:v>FEB.24</c:v>
                </c:pt>
                <c:pt idx="243">
                  <c:v>FEB.24</c:v>
                </c:pt>
                <c:pt idx="244">
                  <c:v>FEB.24</c:v>
                </c:pt>
                <c:pt idx="245">
                  <c:v>FEB.24</c:v>
                </c:pt>
                <c:pt idx="246">
                  <c:v>FEB.24</c:v>
                </c:pt>
                <c:pt idx="247">
                  <c:v>FEB.24</c:v>
                </c:pt>
                <c:pt idx="248">
                  <c:v>FEB.24</c:v>
                </c:pt>
                <c:pt idx="249">
                  <c:v>FEB.24</c:v>
                </c:pt>
                <c:pt idx="250">
                  <c:v>FEB.24</c:v>
                </c:pt>
                <c:pt idx="251">
                  <c:v>FEB.24</c:v>
                </c:pt>
                <c:pt idx="252">
                  <c:v>March 24 live</c:v>
                </c:pt>
                <c:pt idx="253">
                  <c:v>MAR.24</c:v>
                </c:pt>
                <c:pt idx="254">
                  <c:v>MAR.24</c:v>
                </c:pt>
                <c:pt idx="255">
                  <c:v>MAR.24</c:v>
                </c:pt>
                <c:pt idx="256">
                  <c:v>MAR.24</c:v>
                </c:pt>
                <c:pt idx="257">
                  <c:v>MAR.24</c:v>
                </c:pt>
                <c:pt idx="258">
                  <c:v>MAR.24</c:v>
                </c:pt>
                <c:pt idx="259">
                  <c:v>MAR.24</c:v>
                </c:pt>
                <c:pt idx="260">
                  <c:v>MAR.24</c:v>
                </c:pt>
                <c:pt idx="261">
                  <c:v>MAR.24</c:v>
                </c:pt>
                <c:pt idx="262">
                  <c:v>MAR.24</c:v>
                </c:pt>
                <c:pt idx="263">
                  <c:v>MAR.24</c:v>
                </c:pt>
                <c:pt idx="264">
                  <c:v>MAR.24</c:v>
                </c:pt>
                <c:pt idx="265">
                  <c:v>MAR.24</c:v>
                </c:pt>
                <c:pt idx="266">
                  <c:v>MAR.24</c:v>
                </c:pt>
                <c:pt idx="267">
                  <c:v>MAR.24</c:v>
                </c:pt>
                <c:pt idx="268">
                  <c:v>MAR.24</c:v>
                </c:pt>
                <c:pt idx="269">
                  <c:v>MAR.24</c:v>
                </c:pt>
                <c:pt idx="270">
                  <c:v>MAR.24</c:v>
                </c:pt>
                <c:pt idx="271">
                  <c:v>MAR.24</c:v>
                </c:pt>
                <c:pt idx="272">
                  <c:v>MAR.24</c:v>
                </c:pt>
                <c:pt idx="273">
                  <c:v>MAR.24</c:v>
                </c:pt>
                <c:pt idx="274">
                  <c:v>MAR.24</c:v>
                </c:pt>
                <c:pt idx="275">
                  <c:v>MAR.24</c:v>
                </c:pt>
                <c:pt idx="276">
                  <c:v>MAR.24</c:v>
                </c:pt>
                <c:pt idx="277">
                  <c:v>MAR.24</c:v>
                </c:pt>
                <c:pt idx="278">
                  <c:v>MAR.24</c:v>
                </c:pt>
                <c:pt idx="279">
                  <c:v>MAR.24</c:v>
                </c:pt>
                <c:pt idx="280">
                  <c:v>MAR.24</c:v>
                </c:pt>
                <c:pt idx="281">
                  <c:v>MAR.24</c:v>
                </c:pt>
                <c:pt idx="282">
                  <c:v>MAR.24</c:v>
                </c:pt>
                <c:pt idx="283">
                  <c:v>MAR.24</c:v>
                </c:pt>
                <c:pt idx="284">
                  <c:v>MAR.24</c:v>
                </c:pt>
                <c:pt idx="285">
                  <c:v>MAR.24</c:v>
                </c:pt>
                <c:pt idx="286">
                  <c:v>MAR.24</c:v>
                </c:pt>
                <c:pt idx="287">
                  <c:v>MAR.24</c:v>
                </c:pt>
                <c:pt idx="288">
                  <c:v>MAR.24</c:v>
                </c:pt>
                <c:pt idx="289">
                  <c:v>MAR.24</c:v>
                </c:pt>
                <c:pt idx="290">
                  <c:v>MAR.24</c:v>
                </c:pt>
                <c:pt idx="291">
                  <c:v>MAR.24</c:v>
                </c:pt>
                <c:pt idx="292">
                  <c:v>MAR.24</c:v>
                </c:pt>
                <c:pt idx="293">
                  <c:v>MAR.24</c:v>
                </c:pt>
                <c:pt idx="294">
                  <c:v>MAR.24</c:v>
                </c:pt>
                <c:pt idx="295">
                  <c:v>MAR.24</c:v>
                </c:pt>
                <c:pt idx="296">
                  <c:v>MAR.24</c:v>
                </c:pt>
                <c:pt idx="297">
                  <c:v>MAR.24</c:v>
                </c:pt>
                <c:pt idx="298">
                  <c:v>MAR.24</c:v>
                </c:pt>
                <c:pt idx="299">
                  <c:v>MAR.24</c:v>
                </c:pt>
                <c:pt idx="300">
                  <c:v>MAR.24</c:v>
                </c:pt>
                <c:pt idx="301">
                  <c:v>MAR.24</c:v>
                </c:pt>
                <c:pt idx="302">
                  <c:v>MAR.24</c:v>
                </c:pt>
                <c:pt idx="303">
                  <c:v>MAR.24</c:v>
                </c:pt>
                <c:pt idx="304">
                  <c:v>MAR.24</c:v>
                </c:pt>
                <c:pt idx="305">
                  <c:v>MAR.24</c:v>
                </c:pt>
                <c:pt idx="306">
                  <c:v>MAR.24</c:v>
                </c:pt>
                <c:pt idx="307">
                  <c:v>MAR.24</c:v>
                </c:pt>
                <c:pt idx="308">
                  <c:v>MAR.24</c:v>
                </c:pt>
                <c:pt idx="309">
                  <c:v>MAR.24</c:v>
                </c:pt>
                <c:pt idx="310">
                  <c:v>MAR.24</c:v>
                </c:pt>
                <c:pt idx="311">
                  <c:v>MAR.24</c:v>
                </c:pt>
                <c:pt idx="312">
                  <c:v>MAR.24</c:v>
                </c:pt>
                <c:pt idx="313">
                  <c:v>MAR.24</c:v>
                </c:pt>
                <c:pt idx="314">
                  <c:v>MAR.24</c:v>
                </c:pt>
                <c:pt idx="315">
                  <c:v>MAR.24</c:v>
                </c:pt>
                <c:pt idx="316">
                  <c:v>MAR.24</c:v>
                </c:pt>
                <c:pt idx="317">
                  <c:v>MAR.24</c:v>
                </c:pt>
                <c:pt idx="318">
                  <c:v>MAR.24</c:v>
                </c:pt>
                <c:pt idx="319">
                  <c:v>MAR.24</c:v>
                </c:pt>
                <c:pt idx="320">
                  <c:v>MAR.24</c:v>
                </c:pt>
                <c:pt idx="321">
                  <c:v>MAR.24</c:v>
                </c:pt>
                <c:pt idx="322">
                  <c:v>MAR.24</c:v>
                </c:pt>
                <c:pt idx="323">
                  <c:v>MAR.24</c:v>
                </c:pt>
                <c:pt idx="324">
                  <c:v>MAR.24</c:v>
                </c:pt>
                <c:pt idx="325">
                  <c:v>MAR.24</c:v>
                </c:pt>
                <c:pt idx="326">
                  <c:v>MAR.24</c:v>
                </c:pt>
                <c:pt idx="327">
                  <c:v>MAR.24</c:v>
                </c:pt>
                <c:pt idx="328">
                  <c:v>MAR.24</c:v>
                </c:pt>
                <c:pt idx="329">
                  <c:v>MAR.24</c:v>
                </c:pt>
                <c:pt idx="330">
                  <c:v>MAR.24</c:v>
                </c:pt>
                <c:pt idx="331">
                  <c:v>MAR.24</c:v>
                </c:pt>
                <c:pt idx="332">
                  <c:v>MAR.24</c:v>
                </c:pt>
                <c:pt idx="333">
                  <c:v>MAR.24</c:v>
                </c:pt>
                <c:pt idx="334">
                  <c:v>MAR.24</c:v>
                </c:pt>
                <c:pt idx="335">
                  <c:v>MAR.24</c:v>
                </c:pt>
                <c:pt idx="336">
                  <c:v>MAR.24</c:v>
                </c:pt>
                <c:pt idx="337">
                  <c:v>MAR.24</c:v>
                </c:pt>
                <c:pt idx="338">
                  <c:v>MAR.24</c:v>
                </c:pt>
                <c:pt idx="339">
                  <c:v>MAR.24</c:v>
                </c:pt>
                <c:pt idx="340">
                  <c:v>MAR.24</c:v>
                </c:pt>
                <c:pt idx="341">
                  <c:v>MAR.24</c:v>
                </c:pt>
                <c:pt idx="342">
                  <c:v>MAR.24</c:v>
                </c:pt>
                <c:pt idx="343">
                  <c:v>MAR.24</c:v>
                </c:pt>
                <c:pt idx="344">
                  <c:v>MAR.24</c:v>
                </c:pt>
                <c:pt idx="345">
                  <c:v>April 24 live</c:v>
                </c:pt>
                <c:pt idx="346">
                  <c:v>APR.24</c:v>
                </c:pt>
                <c:pt idx="347">
                  <c:v>APR.24</c:v>
                </c:pt>
                <c:pt idx="348">
                  <c:v>APR.24</c:v>
                </c:pt>
                <c:pt idx="349">
                  <c:v>APR.24</c:v>
                </c:pt>
                <c:pt idx="350">
                  <c:v>APR.24</c:v>
                </c:pt>
                <c:pt idx="351">
                  <c:v>APR.24</c:v>
                </c:pt>
                <c:pt idx="352">
                  <c:v>APR.24</c:v>
                </c:pt>
                <c:pt idx="353">
                  <c:v>APR.24</c:v>
                </c:pt>
                <c:pt idx="354">
                  <c:v>APR.24</c:v>
                </c:pt>
                <c:pt idx="355">
                  <c:v>APR.24</c:v>
                </c:pt>
                <c:pt idx="356">
                  <c:v>APR.24</c:v>
                </c:pt>
                <c:pt idx="357">
                  <c:v>APR.24</c:v>
                </c:pt>
                <c:pt idx="358">
                  <c:v>APR.24</c:v>
                </c:pt>
                <c:pt idx="359">
                  <c:v>APR.24</c:v>
                </c:pt>
                <c:pt idx="360">
                  <c:v>APR.24</c:v>
                </c:pt>
                <c:pt idx="361">
                  <c:v>APR.24</c:v>
                </c:pt>
                <c:pt idx="362">
                  <c:v>APR.24</c:v>
                </c:pt>
                <c:pt idx="363">
                  <c:v>APR.24</c:v>
                </c:pt>
                <c:pt idx="364">
                  <c:v>APR.24</c:v>
                </c:pt>
                <c:pt idx="365">
                  <c:v>APR.24</c:v>
                </c:pt>
                <c:pt idx="366">
                  <c:v>APR.24</c:v>
                </c:pt>
                <c:pt idx="367">
                  <c:v>APR.24</c:v>
                </c:pt>
                <c:pt idx="368">
                  <c:v>APR.24</c:v>
                </c:pt>
                <c:pt idx="369">
                  <c:v>APR.24</c:v>
                </c:pt>
                <c:pt idx="370">
                  <c:v>APR.24</c:v>
                </c:pt>
                <c:pt idx="371">
                  <c:v>APR.24</c:v>
                </c:pt>
                <c:pt idx="372">
                  <c:v>APR.24</c:v>
                </c:pt>
                <c:pt idx="373">
                  <c:v>APR.24</c:v>
                </c:pt>
                <c:pt idx="374">
                  <c:v>APR.24</c:v>
                </c:pt>
                <c:pt idx="375">
                  <c:v>APR.24</c:v>
                </c:pt>
                <c:pt idx="376">
                  <c:v>APR.24</c:v>
                </c:pt>
                <c:pt idx="377">
                  <c:v>APR.24</c:v>
                </c:pt>
                <c:pt idx="378">
                  <c:v>APR.24</c:v>
                </c:pt>
                <c:pt idx="379">
                  <c:v>APR.24</c:v>
                </c:pt>
                <c:pt idx="380">
                  <c:v>APR.24</c:v>
                </c:pt>
                <c:pt idx="381">
                  <c:v>APR.24</c:v>
                </c:pt>
                <c:pt idx="382">
                  <c:v>APR.24</c:v>
                </c:pt>
                <c:pt idx="383">
                  <c:v>APR.24</c:v>
                </c:pt>
                <c:pt idx="384">
                  <c:v>APR.24</c:v>
                </c:pt>
                <c:pt idx="385">
                  <c:v>APR.24</c:v>
                </c:pt>
                <c:pt idx="386">
                  <c:v>APR.24</c:v>
                </c:pt>
                <c:pt idx="387">
                  <c:v>APR.24</c:v>
                </c:pt>
                <c:pt idx="388">
                  <c:v>APR.24</c:v>
                </c:pt>
                <c:pt idx="389">
                  <c:v>APR.24</c:v>
                </c:pt>
                <c:pt idx="390">
                  <c:v>APR.24</c:v>
                </c:pt>
                <c:pt idx="391">
                  <c:v>APR.24</c:v>
                </c:pt>
                <c:pt idx="392">
                  <c:v>APR.24</c:v>
                </c:pt>
                <c:pt idx="393">
                  <c:v>APR.24</c:v>
                </c:pt>
                <c:pt idx="394">
                  <c:v>APR.24</c:v>
                </c:pt>
                <c:pt idx="395">
                  <c:v>APR.24</c:v>
                </c:pt>
                <c:pt idx="396">
                  <c:v>APR.24</c:v>
                </c:pt>
                <c:pt idx="397">
                  <c:v>APR.24</c:v>
                </c:pt>
                <c:pt idx="398">
                  <c:v>APR.24</c:v>
                </c:pt>
                <c:pt idx="399">
                  <c:v>APR.24</c:v>
                </c:pt>
                <c:pt idx="400">
                  <c:v>APR.24</c:v>
                </c:pt>
                <c:pt idx="401">
                  <c:v>APR.24</c:v>
                </c:pt>
                <c:pt idx="402">
                  <c:v>APR.24</c:v>
                </c:pt>
                <c:pt idx="403">
                  <c:v>APR.24</c:v>
                </c:pt>
                <c:pt idx="404">
                  <c:v>APR.24</c:v>
                </c:pt>
                <c:pt idx="405">
                  <c:v>APR.24</c:v>
                </c:pt>
                <c:pt idx="406">
                  <c:v>APR.24</c:v>
                </c:pt>
                <c:pt idx="407">
                  <c:v>APR.24</c:v>
                </c:pt>
                <c:pt idx="408">
                  <c:v>APR.24</c:v>
                </c:pt>
                <c:pt idx="409">
                  <c:v>APR.24</c:v>
                </c:pt>
                <c:pt idx="410">
                  <c:v>APR.24</c:v>
                </c:pt>
                <c:pt idx="411">
                  <c:v>APR.24</c:v>
                </c:pt>
                <c:pt idx="412">
                  <c:v>APR.24</c:v>
                </c:pt>
                <c:pt idx="413">
                  <c:v>APR.24</c:v>
                </c:pt>
                <c:pt idx="414">
                  <c:v>APR.24</c:v>
                </c:pt>
                <c:pt idx="415">
                  <c:v>APR.24</c:v>
                </c:pt>
                <c:pt idx="416">
                  <c:v>APR.24</c:v>
                </c:pt>
                <c:pt idx="417">
                  <c:v>APR.24</c:v>
                </c:pt>
                <c:pt idx="418">
                  <c:v>APR.24</c:v>
                </c:pt>
                <c:pt idx="419">
                  <c:v>APR.24</c:v>
                </c:pt>
                <c:pt idx="420">
                  <c:v>APR.24</c:v>
                </c:pt>
                <c:pt idx="421">
                  <c:v>APR.24</c:v>
                </c:pt>
                <c:pt idx="422">
                  <c:v>APR.24</c:v>
                </c:pt>
                <c:pt idx="423">
                  <c:v>APR.24</c:v>
                </c:pt>
                <c:pt idx="424">
                  <c:v>APR.24</c:v>
                </c:pt>
                <c:pt idx="425">
                  <c:v>APR.24</c:v>
                </c:pt>
                <c:pt idx="426">
                  <c:v>APR.24</c:v>
                </c:pt>
                <c:pt idx="427">
                  <c:v>APR.24</c:v>
                </c:pt>
                <c:pt idx="428">
                  <c:v>APR.24</c:v>
                </c:pt>
                <c:pt idx="429">
                  <c:v>APR.24</c:v>
                </c:pt>
                <c:pt idx="430">
                  <c:v>APR.24</c:v>
                </c:pt>
                <c:pt idx="431">
                  <c:v>APR.24</c:v>
                </c:pt>
                <c:pt idx="432">
                  <c:v>APR.24</c:v>
                </c:pt>
                <c:pt idx="433">
                  <c:v>APR.24</c:v>
                </c:pt>
                <c:pt idx="434">
                  <c:v>APR.24</c:v>
                </c:pt>
                <c:pt idx="435">
                  <c:v>APR.24</c:v>
                </c:pt>
                <c:pt idx="436">
                  <c:v>APR.24</c:v>
                </c:pt>
                <c:pt idx="437">
                  <c:v>APR.24</c:v>
                </c:pt>
                <c:pt idx="438">
                  <c:v>APR.24</c:v>
                </c:pt>
                <c:pt idx="439">
                  <c:v>APR.24</c:v>
                </c:pt>
                <c:pt idx="440">
                  <c:v>APR.24</c:v>
                </c:pt>
                <c:pt idx="441">
                  <c:v>APR.24</c:v>
                </c:pt>
                <c:pt idx="442">
                  <c:v>APR.24</c:v>
                </c:pt>
                <c:pt idx="443">
                  <c:v>APR.24</c:v>
                </c:pt>
                <c:pt idx="444">
                  <c:v>APR.24</c:v>
                </c:pt>
                <c:pt idx="445">
                  <c:v>APR.24</c:v>
                </c:pt>
                <c:pt idx="446">
                  <c:v>APR.24</c:v>
                </c:pt>
                <c:pt idx="447">
                  <c:v>APR.24</c:v>
                </c:pt>
                <c:pt idx="448">
                  <c:v>APR.24</c:v>
                </c:pt>
                <c:pt idx="449">
                  <c:v>APR.24</c:v>
                </c:pt>
                <c:pt idx="450">
                  <c:v>APR.24</c:v>
                </c:pt>
                <c:pt idx="451">
                  <c:v>APR.24</c:v>
                </c:pt>
                <c:pt idx="452">
                  <c:v>APR.24</c:v>
                </c:pt>
                <c:pt idx="453">
                  <c:v>APR.24</c:v>
                </c:pt>
                <c:pt idx="454">
                  <c:v>APR.24</c:v>
                </c:pt>
                <c:pt idx="455">
                  <c:v>APR.24</c:v>
                </c:pt>
                <c:pt idx="456">
                  <c:v>APR.24</c:v>
                </c:pt>
                <c:pt idx="457">
                  <c:v>APR.24</c:v>
                </c:pt>
                <c:pt idx="458">
                  <c:v>APR.24</c:v>
                </c:pt>
                <c:pt idx="459">
                  <c:v>APR.24</c:v>
                </c:pt>
                <c:pt idx="460">
                  <c:v>APR.24</c:v>
                </c:pt>
                <c:pt idx="461">
                  <c:v>APR.24</c:v>
                </c:pt>
                <c:pt idx="462">
                  <c:v>APR.24</c:v>
                </c:pt>
                <c:pt idx="463">
                  <c:v>APR.24</c:v>
                </c:pt>
                <c:pt idx="464">
                  <c:v>APR.24</c:v>
                </c:pt>
                <c:pt idx="465">
                  <c:v>APR.24</c:v>
                </c:pt>
                <c:pt idx="466">
                  <c:v>APR.24</c:v>
                </c:pt>
                <c:pt idx="467">
                  <c:v>APR.24</c:v>
                </c:pt>
                <c:pt idx="468">
                  <c:v>APR.24</c:v>
                </c:pt>
                <c:pt idx="469">
                  <c:v>APR.24</c:v>
                </c:pt>
                <c:pt idx="470">
                  <c:v>APR.24</c:v>
                </c:pt>
                <c:pt idx="471">
                  <c:v>APR.24</c:v>
                </c:pt>
                <c:pt idx="472">
                  <c:v>APR.24</c:v>
                </c:pt>
                <c:pt idx="473">
                  <c:v>APR.24</c:v>
                </c:pt>
                <c:pt idx="474">
                  <c:v>APR.24</c:v>
                </c:pt>
                <c:pt idx="475">
                  <c:v>APR.24</c:v>
                </c:pt>
                <c:pt idx="476">
                  <c:v>APR.24</c:v>
                </c:pt>
                <c:pt idx="477">
                  <c:v>APR.24</c:v>
                </c:pt>
                <c:pt idx="478">
                  <c:v>APR.24</c:v>
                </c:pt>
                <c:pt idx="479">
                  <c:v>APR.24</c:v>
                </c:pt>
                <c:pt idx="480">
                  <c:v>APR.24</c:v>
                </c:pt>
                <c:pt idx="481">
                  <c:v>APR.24</c:v>
                </c:pt>
                <c:pt idx="482">
                  <c:v>APR.24</c:v>
                </c:pt>
                <c:pt idx="483">
                  <c:v>APR.24</c:v>
                </c:pt>
                <c:pt idx="484">
                  <c:v>APR.24</c:v>
                </c:pt>
                <c:pt idx="485">
                  <c:v>APR.24</c:v>
                </c:pt>
                <c:pt idx="486">
                  <c:v>APR.24</c:v>
                </c:pt>
                <c:pt idx="487">
                  <c:v>APR.24</c:v>
                </c:pt>
                <c:pt idx="488">
                  <c:v>APR.24</c:v>
                </c:pt>
                <c:pt idx="489">
                  <c:v>APR.24</c:v>
                </c:pt>
                <c:pt idx="490">
                  <c:v>APR.24</c:v>
                </c:pt>
                <c:pt idx="491">
                  <c:v>APR.24</c:v>
                </c:pt>
                <c:pt idx="492">
                  <c:v>APR.24</c:v>
                </c:pt>
                <c:pt idx="493">
                  <c:v>APR.24</c:v>
                </c:pt>
                <c:pt idx="494">
                  <c:v>APR.24</c:v>
                </c:pt>
                <c:pt idx="495">
                  <c:v>APR.24</c:v>
                </c:pt>
                <c:pt idx="496">
                  <c:v>APR.24</c:v>
                </c:pt>
                <c:pt idx="497">
                  <c:v>APR.24</c:v>
                </c:pt>
                <c:pt idx="498">
                  <c:v>APR.24</c:v>
                </c:pt>
                <c:pt idx="499">
                  <c:v>APR.24</c:v>
                </c:pt>
                <c:pt idx="500">
                  <c:v>APR.24</c:v>
                </c:pt>
                <c:pt idx="501">
                  <c:v>APR.24</c:v>
                </c:pt>
                <c:pt idx="502">
                  <c:v>APR.24</c:v>
                </c:pt>
                <c:pt idx="503">
                  <c:v>APR.24</c:v>
                </c:pt>
                <c:pt idx="504">
                  <c:v>APR.24</c:v>
                </c:pt>
                <c:pt idx="505">
                  <c:v>APR.24</c:v>
                </c:pt>
                <c:pt idx="506">
                  <c:v>APR.24</c:v>
                </c:pt>
                <c:pt idx="507">
                  <c:v>APR.24</c:v>
                </c:pt>
                <c:pt idx="508">
                  <c:v>APR.24</c:v>
                </c:pt>
                <c:pt idx="509">
                  <c:v>APR.24</c:v>
                </c:pt>
                <c:pt idx="510">
                  <c:v>APR.24</c:v>
                </c:pt>
                <c:pt idx="511">
                  <c:v>APR.24</c:v>
                </c:pt>
                <c:pt idx="512">
                  <c:v>APR.24</c:v>
                </c:pt>
                <c:pt idx="513">
                  <c:v>APR.24</c:v>
                </c:pt>
                <c:pt idx="514">
                  <c:v>APR.24</c:v>
                </c:pt>
                <c:pt idx="515">
                  <c:v>APR.24</c:v>
                </c:pt>
                <c:pt idx="516">
                  <c:v>APR.24</c:v>
                </c:pt>
                <c:pt idx="517">
                  <c:v>APR.24</c:v>
                </c:pt>
                <c:pt idx="518">
                  <c:v>APR.24</c:v>
                </c:pt>
                <c:pt idx="519">
                  <c:v>APR.24</c:v>
                </c:pt>
                <c:pt idx="520">
                  <c:v>APR.24</c:v>
                </c:pt>
                <c:pt idx="521">
                  <c:v>APR.24</c:v>
                </c:pt>
                <c:pt idx="522">
                  <c:v>APR.24</c:v>
                </c:pt>
                <c:pt idx="523">
                  <c:v>APR.24</c:v>
                </c:pt>
                <c:pt idx="524">
                  <c:v>APR.24</c:v>
                </c:pt>
                <c:pt idx="525">
                  <c:v>APR.24</c:v>
                </c:pt>
                <c:pt idx="526">
                  <c:v>APR.24</c:v>
                </c:pt>
                <c:pt idx="527">
                  <c:v>APR.24</c:v>
                </c:pt>
                <c:pt idx="528">
                  <c:v>APR.24</c:v>
                </c:pt>
                <c:pt idx="529">
                  <c:v>APR.24</c:v>
                </c:pt>
                <c:pt idx="530">
                  <c:v>APR.24</c:v>
                </c:pt>
                <c:pt idx="531">
                  <c:v>APR.24</c:v>
                </c:pt>
                <c:pt idx="532">
                  <c:v>APR.24</c:v>
                </c:pt>
                <c:pt idx="533">
                  <c:v>APR.24</c:v>
                </c:pt>
                <c:pt idx="534">
                  <c:v>APR.24</c:v>
                </c:pt>
                <c:pt idx="535">
                  <c:v>APR.24</c:v>
                </c:pt>
                <c:pt idx="536">
                  <c:v>May 24 live</c:v>
                </c:pt>
                <c:pt idx="537">
                  <c:v>MAY.24</c:v>
                </c:pt>
                <c:pt idx="538">
                  <c:v>MAY.24</c:v>
                </c:pt>
                <c:pt idx="539">
                  <c:v>MAY.24</c:v>
                </c:pt>
                <c:pt idx="540">
                  <c:v>MAY.24</c:v>
                </c:pt>
                <c:pt idx="541">
                  <c:v>MAY.24</c:v>
                </c:pt>
                <c:pt idx="542">
                  <c:v>MAY.24</c:v>
                </c:pt>
                <c:pt idx="543">
                  <c:v>MAY.24</c:v>
                </c:pt>
                <c:pt idx="544">
                  <c:v>MAY.24</c:v>
                </c:pt>
                <c:pt idx="545">
                  <c:v>MAY.24</c:v>
                </c:pt>
                <c:pt idx="546">
                  <c:v>MAY.24</c:v>
                </c:pt>
                <c:pt idx="547">
                  <c:v>MAY.24</c:v>
                </c:pt>
                <c:pt idx="548">
                  <c:v>MAY.24</c:v>
                </c:pt>
                <c:pt idx="549">
                  <c:v>MAY.24</c:v>
                </c:pt>
                <c:pt idx="550">
                  <c:v>MAY.24</c:v>
                </c:pt>
                <c:pt idx="551">
                  <c:v>MAY.24</c:v>
                </c:pt>
                <c:pt idx="552">
                  <c:v>MAY.24</c:v>
                </c:pt>
                <c:pt idx="553">
                  <c:v>MAY.24</c:v>
                </c:pt>
                <c:pt idx="554">
                  <c:v>MAY.24</c:v>
                </c:pt>
                <c:pt idx="555">
                  <c:v>MAY.24</c:v>
                </c:pt>
                <c:pt idx="556">
                  <c:v>MAY.24</c:v>
                </c:pt>
                <c:pt idx="557">
                  <c:v>MAY.24</c:v>
                </c:pt>
                <c:pt idx="558">
                  <c:v>MAY.24</c:v>
                </c:pt>
                <c:pt idx="559">
                  <c:v>MAY.24</c:v>
                </c:pt>
                <c:pt idx="560">
                  <c:v>MAY.24</c:v>
                </c:pt>
                <c:pt idx="561">
                  <c:v>MAY.24</c:v>
                </c:pt>
                <c:pt idx="562">
                  <c:v>MAY.24</c:v>
                </c:pt>
                <c:pt idx="563">
                  <c:v>MAY.24</c:v>
                </c:pt>
                <c:pt idx="564">
                  <c:v>MAY.24</c:v>
                </c:pt>
                <c:pt idx="565">
                  <c:v>MAY.24</c:v>
                </c:pt>
                <c:pt idx="566">
                  <c:v>MAY.24</c:v>
                </c:pt>
                <c:pt idx="567">
                  <c:v>MAY.24</c:v>
                </c:pt>
                <c:pt idx="568">
                  <c:v>MAY.24</c:v>
                </c:pt>
                <c:pt idx="569">
                  <c:v>MAY.24</c:v>
                </c:pt>
                <c:pt idx="570">
                  <c:v>MAY.24</c:v>
                </c:pt>
                <c:pt idx="571">
                  <c:v>MAY.24</c:v>
                </c:pt>
                <c:pt idx="572">
                  <c:v>MAY.24</c:v>
                </c:pt>
                <c:pt idx="573">
                  <c:v>MAY.24</c:v>
                </c:pt>
                <c:pt idx="574">
                  <c:v>MAY.24</c:v>
                </c:pt>
                <c:pt idx="575">
                  <c:v>MAY.24</c:v>
                </c:pt>
                <c:pt idx="576">
                  <c:v>MAY.24</c:v>
                </c:pt>
                <c:pt idx="577">
                  <c:v>MAY.24</c:v>
                </c:pt>
                <c:pt idx="578">
                  <c:v>MAY.24</c:v>
                </c:pt>
                <c:pt idx="579">
                  <c:v>MAY.24</c:v>
                </c:pt>
                <c:pt idx="580">
                  <c:v>MAY.24</c:v>
                </c:pt>
                <c:pt idx="581">
                  <c:v>MAY.24</c:v>
                </c:pt>
                <c:pt idx="582">
                  <c:v>MAY.24</c:v>
                </c:pt>
                <c:pt idx="583">
                  <c:v>MAY.24</c:v>
                </c:pt>
                <c:pt idx="584">
                  <c:v>MAY.24</c:v>
                </c:pt>
                <c:pt idx="585">
                  <c:v>MAY.24</c:v>
                </c:pt>
                <c:pt idx="586">
                  <c:v>MAY.24</c:v>
                </c:pt>
                <c:pt idx="587">
                  <c:v>MAY.24</c:v>
                </c:pt>
                <c:pt idx="588">
                  <c:v>MAY.24</c:v>
                </c:pt>
                <c:pt idx="589">
                  <c:v>MAY.24</c:v>
                </c:pt>
                <c:pt idx="590">
                  <c:v>MAY.24</c:v>
                </c:pt>
                <c:pt idx="591">
                  <c:v>MAY.24</c:v>
                </c:pt>
                <c:pt idx="592">
                  <c:v>MAY.24</c:v>
                </c:pt>
                <c:pt idx="593">
                  <c:v>MAY.24</c:v>
                </c:pt>
                <c:pt idx="594">
                  <c:v>MAY.24</c:v>
                </c:pt>
                <c:pt idx="595">
                  <c:v>MAY.24</c:v>
                </c:pt>
                <c:pt idx="596">
                  <c:v>MAY.24</c:v>
                </c:pt>
                <c:pt idx="597">
                  <c:v>MAY.24</c:v>
                </c:pt>
                <c:pt idx="598">
                  <c:v>MAY.24</c:v>
                </c:pt>
                <c:pt idx="599">
                  <c:v>MAY.24</c:v>
                </c:pt>
                <c:pt idx="600">
                  <c:v>MAY.24</c:v>
                </c:pt>
                <c:pt idx="601">
                  <c:v>MAY.24</c:v>
                </c:pt>
                <c:pt idx="602">
                  <c:v>MAY.24</c:v>
                </c:pt>
                <c:pt idx="603">
                  <c:v>MAY.24</c:v>
                </c:pt>
                <c:pt idx="604">
                  <c:v>MAY.24</c:v>
                </c:pt>
                <c:pt idx="605">
                  <c:v>MAY.24</c:v>
                </c:pt>
                <c:pt idx="606">
                  <c:v>MAY.24</c:v>
                </c:pt>
                <c:pt idx="607">
                  <c:v>MAY.24</c:v>
                </c:pt>
                <c:pt idx="608">
                  <c:v>MAY.24</c:v>
                </c:pt>
                <c:pt idx="609">
                  <c:v>MAY.24</c:v>
                </c:pt>
                <c:pt idx="610">
                  <c:v>MAY.24</c:v>
                </c:pt>
                <c:pt idx="611">
                  <c:v>MAY.24</c:v>
                </c:pt>
                <c:pt idx="612">
                  <c:v>MAY.24</c:v>
                </c:pt>
                <c:pt idx="613">
                  <c:v>MAY.24</c:v>
                </c:pt>
                <c:pt idx="614">
                  <c:v>MAY.24</c:v>
                </c:pt>
                <c:pt idx="615">
                  <c:v>MAY.24</c:v>
                </c:pt>
                <c:pt idx="616">
                  <c:v>MAY.24</c:v>
                </c:pt>
                <c:pt idx="617">
                  <c:v>MAY.24</c:v>
                </c:pt>
                <c:pt idx="618">
                  <c:v>MAY.24</c:v>
                </c:pt>
                <c:pt idx="619">
                  <c:v>MAY.24</c:v>
                </c:pt>
                <c:pt idx="620">
                  <c:v>MAY.24</c:v>
                </c:pt>
                <c:pt idx="621">
                  <c:v>MAY.24</c:v>
                </c:pt>
                <c:pt idx="622">
                  <c:v>MAY.24</c:v>
                </c:pt>
                <c:pt idx="623">
                  <c:v>MAY.24</c:v>
                </c:pt>
                <c:pt idx="624">
                  <c:v>MAY.24</c:v>
                </c:pt>
                <c:pt idx="625">
                  <c:v>MAY.24</c:v>
                </c:pt>
                <c:pt idx="626">
                  <c:v>MAY.24</c:v>
                </c:pt>
                <c:pt idx="627">
                  <c:v>MAY.24</c:v>
                </c:pt>
                <c:pt idx="628">
                  <c:v>MAY.24</c:v>
                </c:pt>
                <c:pt idx="629">
                  <c:v>MAY.24</c:v>
                </c:pt>
                <c:pt idx="630">
                  <c:v>MAY.24</c:v>
                </c:pt>
                <c:pt idx="631">
                  <c:v>MAY.24</c:v>
                </c:pt>
                <c:pt idx="632">
                  <c:v>MAY.24</c:v>
                </c:pt>
                <c:pt idx="633">
                  <c:v>MAY.24</c:v>
                </c:pt>
                <c:pt idx="634">
                  <c:v>MAY.24</c:v>
                </c:pt>
                <c:pt idx="635">
                  <c:v>MAY.24</c:v>
                </c:pt>
                <c:pt idx="636">
                  <c:v>MAY.24</c:v>
                </c:pt>
                <c:pt idx="637">
                  <c:v>MAY.24</c:v>
                </c:pt>
                <c:pt idx="638">
                  <c:v>MAY.24</c:v>
                </c:pt>
                <c:pt idx="639">
                  <c:v>MAY.24</c:v>
                </c:pt>
                <c:pt idx="640">
                  <c:v>MAY.24</c:v>
                </c:pt>
                <c:pt idx="641">
                  <c:v>MAY.24</c:v>
                </c:pt>
                <c:pt idx="642">
                  <c:v>MAY.24</c:v>
                </c:pt>
                <c:pt idx="643">
                  <c:v>MAY.24</c:v>
                </c:pt>
                <c:pt idx="644">
                  <c:v>MAY.24</c:v>
                </c:pt>
                <c:pt idx="645">
                  <c:v>MAY.24</c:v>
                </c:pt>
                <c:pt idx="646">
                  <c:v>MAY.24</c:v>
                </c:pt>
                <c:pt idx="647">
                  <c:v>MAY.24</c:v>
                </c:pt>
                <c:pt idx="648">
                  <c:v>MAY.24</c:v>
                </c:pt>
                <c:pt idx="649">
                  <c:v>MAY.24</c:v>
                </c:pt>
                <c:pt idx="650">
                  <c:v>MAY.24</c:v>
                </c:pt>
                <c:pt idx="651">
                  <c:v>MAY.24</c:v>
                </c:pt>
                <c:pt idx="652">
                  <c:v>MAY.24</c:v>
                </c:pt>
                <c:pt idx="653">
                  <c:v>MAY.24</c:v>
                </c:pt>
                <c:pt idx="654">
                  <c:v>MAY.24</c:v>
                </c:pt>
                <c:pt idx="655">
                  <c:v>MAY.24</c:v>
                </c:pt>
                <c:pt idx="656">
                  <c:v>MAY.24</c:v>
                </c:pt>
                <c:pt idx="657">
                  <c:v>MAY.24</c:v>
                </c:pt>
                <c:pt idx="658">
                  <c:v>MAY.24</c:v>
                </c:pt>
                <c:pt idx="659">
                  <c:v>MAY.24</c:v>
                </c:pt>
                <c:pt idx="660">
                  <c:v>MAY.24</c:v>
                </c:pt>
                <c:pt idx="661">
                  <c:v>MAY.24</c:v>
                </c:pt>
                <c:pt idx="662">
                  <c:v>MAY.24</c:v>
                </c:pt>
                <c:pt idx="663">
                  <c:v>MAY.24</c:v>
                </c:pt>
                <c:pt idx="664">
                  <c:v>MAY.24</c:v>
                </c:pt>
                <c:pt idx="665">
                  <c:v>MAY.24</c:v>
                </c:pt>
                <c:pt idx="666">
                  <c:v>MAY.24</c:v>
                </c:pt>
                <c:pt idx="667">
                  <c:v>MAY.24</c:v>
                </c:pt>
                <c:pt idx="668">
                  <c:v>MAY.24</c:v>
                </c:pt>
                <c:pt idx="669">
                  <c:v>MAY.24</c:v>
                </c:pt>
                <c:pt idx="670">
                  <c:v>MAY.24</c:v>
                </c:pt>
                <c:pt idx="671">
                  <c:v>MAY.24</c:v>
                </c:pt>
                <c:pt idx="672">
                  <c:v>MAY.24</c:v>
                </c:pt>
                <c:pt idx="673">
                  <c:v>MAY.24</c:v>
                </c:pt>
                <c:pt idx="674">
                  <c:v>MAY.24</c:v>
                </c:pt>
                <c:pt idx="675">
                  <c:v>MAY.24</c:v>
                </c:pt>
                <c:pt idx="676">
                  <c:v>MAY.24</c:v>
                </c:pt>
                <c:pt idx="677">
                  <c:v>MAY.24</c:v>
                </c:pt>
                <c:pt idx="678">
                  <c:v>MAY.24</c:v>
                </c:pt>
                <c:pt idx="679">
                  <c:v>MAY.24</c:v>
                </c:pt>
                <c:pt idx="680">
                  <c:v>MAY.24</c:v>
                </c:pt>
                <c:pt idx="681">
                  <c:v>MAY.24 after disaster</c:v>
                </c:pt>
                <c:pt idx="682">
                  <c:v>MAY.24</c:v>
                </c:pt>
                <c:pt idx="683">
                  <c:v>MAY.24</c:v>
                </c:pt>
                <c:pt idx="684">
                  <c:v>MAY.24</c:v>
                </c:pt>
                <c:pt idx="685">
                  <c:v>MAY.24</c:v>
                </c:pt>
                <c:pt idx="686">
                  <c:v>MAY.24</c:v>
                </c:pt>
                <c:pt idx="687">
                  <c:v>MAY.24</c:v>
                </c:pt>
                <c:pt idx="688">
                  <c:v>MAY.24</c:v>
                </c:pt>
                <c:pt idx="689">
                  <c:v>MAY.24</c:v>
                </c:pt>
                <c:pt idx="690">
                  <c:v>MAY.24</c:v>
                </c:pt>
                <c:pt idx="691">
                  <c:v>MAY.24</c:v>
                </c:pt>
                <c:pt idx="692">
                  <c:v>MAY.24</c:v>
                </c:pt>
                <c:pt idx="693">
                  <c:v>MAY.24</c:v>
                </c:pt>
                <c:pt idx="694">
                  <c:v>MAY.24</c:v>
                </c:pt>
                <c:pt idx="695">
                  <c:v>MAY.24</c:v>
                </c:pt>
                <c:pt idx="696">
                  <c:v>MAY.24 recovery</c:v>
                </c:pt>
                <c:pt idx="697">
                  <c:v>MAY.24</c:v>
                </c:pt>
                <c:pt idx="698">
                  <c:v>MAY.24</c:v>
                </c:pt>
                <c:pt idx="699">
                  <c:v>MAY.24</c:v>
                </c:pt>
                <c:pt idx="700">
                  <c:v>MAY.24</c:v>
                </c:pt>
                <c:pt idx="701">
                  <c:v>MAY.24</c:v>
                </c:pt>
                <c:pt idx="702">
                  <c:v>MAY.24</c:v>
                </c:pt>
                <c:pt idx="703">
                  <c:v>MAY.24</c:v>
                </c:pt>
                <c:pt idx="704">
                  <c:v>MAY.24</c:v>
                </c:pt>
                <c:pt idx="705">
                  <c:v>MAY.24</c:v>
                </c:pt>
                <c:pt idx="706">
                  <c:v>MAY.24</c:v>
                </c:pt>
                <c:pt idx="707">
                  <c:v>MAY.24</c:v>
                </c:pt>
                <c:pt idx="708">
                  <c:v>MAY.24</c:v>
                </c:pt>
                <c:pt idx="709">
                  <c:v>MAY.24</c:v>
                </c:pt>
                <c:pt idx="710">
                  <c:v>MAY.24</c:v>
                </c:pt>
                <c:pt idx="711">
                  <c:v>MAY.24</c:v>
                </c:pt>
                <c:pt idx="712">
                  <c:v>MAY.24</c:v>
                </c:pt>
                <c:pt idx="713">
                  <c:v>MAY.24</c:v>
                </c:pt>
                <c:pt idx="714">
                  <c:v>MAY.24</c:v>
                </c:pt>
                <c:pt idx="715">
                  <c:v>MAY.24</c:v>
                </c:pt>
                <c:pt idx="716">
                  <c:v>MAY.24</c:v>
                </c:pt>
                <c:pt idx="717">
                  <c:v>MAY.24</c:v>
                </c:pt>
                <c:pt idx="718">
                  <c:v>MAY.24</c:v>
                </c:pt>
                <c:pt idx="719">
                  <c:v>MAY.24</c:v>
                </c:pt>
                <c:pt idx="720">
                  <c:v>MAY.24</c:v>
                </c:pt>
                <c:pt idx="721">
                  <c:v>MAY.24</c:v>
                </c:pt>
                <c:pt idx="722">
                  <c:v>MAY.24</c:v>
                </c:pt>
                <c:pt idx="723">
                  <c:v>MAY.24</c:v>
                </c:pt>
                <c:pt idx="724">
                  <c:v>MAY.24</c:v>
                </c:pt>
                <c:pt idx="725">
                  <c:v>MAY.24</c:v>
                </c:pt>
                <c:pt idx="726">
                  <c:v>MAY.24</c:v>
                </c:pt>
                <c:pt idx="727">
                  <c:v>MAY.24</c:v>
                </c:pt>
                <c:pt idx="728">
                  <c:v>MAY.24</c:v>
                </c:pt>
                <c:pt idx="729">
                  <c:v>MAY.24</c:v>
                </c:pt>
                <c:pt idx="730">
                  <c:v>MAY.24</c:v>
                </c:pt>
                <c:pt idx="731">
                  <c:v>June24 live</c:v>
                </c:pt>
                <c:pt idx="732">
                  <c:v>JUN.24</c:v>
                </c:pt>
                <c:pt idx="733">
                  <c:v>JUN.24</c:v>
                </c:pt>
                <c:pt idx="734">
                  <c:v>JUN.24</c:v>
                </c:pt>
                <c:pt idx="735">
                  <c:v>JUN.24</c:v>
                </c:pt>
                <c:pt idx="736">
                  <c:v>JUN.24</c:v>
                </c:pt>
                <c:pt idx="737">
                  <c:v>JUN.24</c:v>
                </c:pt>
                <c:pt idx="738">
                  <c:v>JUN.24</c:v>
                </c:pt>
                <c:pt idx="739">
                  <c:v>JUN.24</c:v>
                </c:pt>
                <c:pt idx="740">
                  <c:v>JUN.24</c:v>
                </c:pt>
                <c:pt idx="741">
                  <c:v>JUN.24</c:v>
                </c:pt>
                <c:pt idx="742">
                  <c:v>JUN.24</c:v>
                </c:pt>
                <c:pt idx="743">
                  <c:v>JUN.24</c:v>
                </c:pt>
                <c:pt idx="744">
                  <c:v>JUN.24</c:v>
                </c:pt>
                <c:pt idx="745">
                  <c:v>JUN.24</c:v>
                </c:pt>
                <c:pt idx="746">
                  <c:v>JUN.24</c:v>
                </c:pt>
                <c:pt idx="747">
                  <c:v>JUN.24</c:v>
                </c:pt>
                <c:pt idx="748">
                  <c:v>JUN.24</c:v>
                </c:pt>
                <c:pt idx="749">
                  <c:v>JUN.24</c:v>
                </c:pt>
                <c:pt idx="750">
                  <c:v>JUN.24</c:v>
                </c:pt>
                <c:pt idx="751">
                  <c:v>JUN.24</c:v>
                </c:pt>
                <c:pt idx="752">
                  <c:v>JUN.24</c:v>
                </c:pt>
                <c:pt idx="753">
                  <c:v>JUN.24</c:v>
                </c:pt>
                <c:pt idx="754">
                  <c:v>JUN.24</c:v>
                </c:pt>
                <c:pt idx="755">
                  <c:v>JUN.24</c:v>
                </c:pt>
                <c:pt idx="756">
                  <c:v>JUN.24</c:v>
                </c:pt>
                <c:pt idx="757">
                  <c:v>JUN.24</c:v>
                </c:pt>
                <c:pt idx="758">
                  <c:v>JUN.24</c:v>
                </c:pt>
                <c:pt idx="759">
                  <c:v>JUN.24</c:v>
                </c:pt>
                <c:pt idx="760">
                  <c:v>JUN.24</c:v>
                </c:pt>
                <c:pt idx="761">
                  <c:v>JUN.24</c:v>
                </c:pt>
                <c:pt idx="762">
                  <c:v>JUN.24</c:v>
                </c:pt>
                <c:pt idx="763">
                  <c:v>JUN.24</c:v>
                </c:pt>
                <c:pt idx="764">
                  <c:v>JUN.24</c:v>
                </c:pt>
                <c:pt idx="765">
                  <c:v>JUN.24</c:v>
                </c:pt>
                <c:pt idx="766">
                  <c:v>JUN.24</c:v>
                </c:pt>
                <c:pt idx="767">
                  <c:v>JUN.24</c:v>
                </c:pt>
                <c:pt idx="768">
                  <c:v>JUN.24</c:v>
                </c:pt>
                <c:pt idx="769">
                  <c:v>JUN.24</c:v>
                </c:pt>
                <c:pt idx="770">
                  <c:v>JUN.24</c:v>
                </c:pt>
                <c:pt idx="771">
                  <c:v>JUN.24</c:v>
                </c:pt>
                <c:pt idx="772">
                  <c:v>JUN.24</c:v>
                </c:pt>
                <c:pt idx="773">
                  <c:v>JUN.24</c:v>
                </c:pt>
                <c:pt idx="774">
                  <c:v>JUN.24</c:v>
                </c:pt>
                <c:pt idx="775">
                  <c:v>JUN.24</c:v>
                </c:pt>
                <c:pt idx="776">
                  <c:v>JUN.24</c:v>
                </c:pt>
                <c:pt idx="777">
                  <c:v>JUN.24</c:v>
                </c:pt>
                <c:pt idx="778">
                  <c:v>JUN.24</c:v>
                </c:pt>
                <c:pt idx="779">
                  <c:v>JUN.24</c:v>
                </c:pt>
                <c:pt idx="780">
                  <c:v>JUN.24</c:v>
                </c:pt>
                <c:pt idx="781">
                  <c:v>JUN.24</c:v>
                </c:pt>
                <c:pt idx="782">
                  <c:v>JUN.24</c:v>
                </c:pt>
                <c:pt idx="783">
                  <c:v>JUN.24</c:v>
                </c:pt>
                <c:pt idx="784">
                  <c:v>JUN.24</c:v>
                </c:pt>
                <c:pt idx="785">
                  <c:v>JUN.24</c:v>
                </c:pt>
                <c:pt idx="786">
                  <c:v>JUN.24</c:v>
                </c:pt>
                <c:pt idx="787">
                  <c:v>JUN.24</c:v>
                </c:pt>
                <c:pt idx="788">
                  <c:v>JUN.24</c:v>
                </c:pt>
                <c:pt idx="789">
                  <c:v>JUN.24</c:v>
                </c:pt>
                <c:pt idx="790">
                  <c:v>JUN.24</c:v>
                </c:pt>
                <c:pt idx="791">
                  <c:v>JUN.24</c:v>
                </c:pt>
                <c:pt idx="792">
                  <c:v>JUN.24</c:v>
                </c:pt>
                <c:pt idx="793">
                  <c:v>JUN.24</c:v>
                </c:pt>
                <c:pt idx="794">
                  <c:v>JUN.24</c:v>
                </c:pt>
                <c:pt idx="795">
                  <c:v>JUN.24</c:v>
                </c:pt>
                <c:pt idx="796">
                  <c:v>JUN.24</c:v>
                </c:pt>
                <c:pt idx="797">
                  <c:v>JUN.24</c:v>
                </c:pt>
                <c:pt idx="798">
                  <c:v>JUN.24</c:v>
                </c:pt>
                <c:pt idx="799">
                  <c:v>JUN.24</c:v>
                </c:pt>
                <c:pt idx="800">
                  <c:v>JUN.24</c:v>
                </c:pt>
                <c:pt idx="801">
                  <c:v>JUN.24</c:v>
                </c:pt>
                <c:pt idx="802">
                  <c:v>JUN.24</c:v>
                </c:pt>
                <c:pt idx="803">
                  <c:v>JUN.24</c:v>
                </c:pt>
                <c:pt idx="804">
                  <c:v>JUN.24</c:v>
                </c:pt>
                <c:pt idx="805">
                  <c:v>JUN.24</c:v>
                </c:pt>
                <c:pt idx="806">
                  <c:v>JUN.24</c:v>
                </c:pt>
                <c:pt idx="807">
                  <c:v>JUN.24</c:v>
                </c:pt>
                <c:pt idx="808">
                  <c:v>JUN.24</c:v>
                </c:pt>
                <c:pt idx="809">
                  <c:v>JUN.24</c:v>
                </c:pt>
                <c:pt idx="810">
                  <c:v>JUN.24</c:v>
                </c:pt>
                <c:pt idx="811">
                  <c:v>JUN.24</c:v>
                </c:pt>
                <c:pt idx="812">
                  <c:v>JUN.24</c:v>
                </c:pt>
                <c:pt idx="813">
                  <c:v>JUN.24</c:v>
                </c:pt>
                <c:pt idx="814">
                  <c:v>JUN.24</c:v>
                </c:pt>
                <c:pt idx="815">
                  <c:v>JUN.24</c:v>
                </c:pt>
                <c:pt idx="816">
                  <c:v>JUN.24</c:v>
                </c:pt>
                <c:pt idx="817">
                  <c:v>JUN.24</c:v>
                </c:pt>
                <c:pt idx="818">
                  <c:v>JUN.24</c:v>
                </c:pt>
                <c:pt idx="819">
                  <c:v>JUN.24</c:v>
                </c:pt>
                <c:pt idx="820">
                  <c:v>JUN.24</c:v>
                </c:pt>
                <c:pt idx="821">
                  <c:v>JUN.24</c:v>
                </c:pt>
                <c:pt idx="822">
                  <c:v>JUN.24</c:v>
                </c:pt>
                <c:pt idx="823">
                  <c:v>JUN.24</c:v>
                </c:pt>
                <c:pt idx="824">
                  <c:v>JUN.24</c:v>
                </c:pt>
                <c:pt idx="825">
                  <c:v>JUN.24</c:v>
                </c:pt>
                <c:pt idx="826">
                  <c:v>JUN.24</c:v>
                </c:pt>
                <c:pt idx="827">
                  <c:v>JUN.24</c:v>
                </c:pt>
                <c:pt idx="828">
                  <c:v>JUN.24</c:v>
                </c:pt>
                <c:pt idx="829">
                  <c:v>JUN.24</c:v>
                </c:pt>
                <c:pt idx="830">
                  <c:v>JUN.24</c:v>
                </c:pt>
                <c:pt idx="831">
                  <c:v>JUN.24</c:v>
                </c:pt>
                <c:pt idx="832">
                  <c:v>JUN.24</c:v>
                </c:pt>
                <c:pt idx="833">
                  <c:v>JUN.24</c:v>
                </c:pt>
                <c:pt idx="834">
                  <c:v>JUN.24</c:v>
                </c:pt>
                <c:pt idx="835">
                  <c:v>JUN.24</c:v>
                </c:pt>
                <c:pt idx="836">
                  <c:v>JUN.24</c:v>
                </c:pt>
                <c:pt idx="837">
                  <c:v>JUN.24</c:v>
                </c:pt>
                <c:pt idx="838">
                  <c:v>JUN.24</c:v>
                </c:pt>
                <c:pt idx="839">
                  <c:v>JUN.24</c:v>
                </c:pt>
                <c:pt idx="840">
                  <c:v>JUN.24</c:v>
                </c:pt>
                <c:pt idx="841">
                  <c:v>JUN.24</c:v>
                </c:pt>
                <c:pt idx="842">
                  <c:v>JUN.24</c:v>
                </c:pt>
                <c:pt idx="843">
                  <c:v>JUN.24</c:v>
                </c:pt>
                <c:pt idx="844">
                  <c:v>JUN.24</c:v>
                </c:pt>
                <c:pt idx="845">
                  <c:v>JUN.24</c:v>
                </c:pt>
                <c:pt idx="846">
                  <c:v>JUN.24</c:v>
                </c:pt>
                <c:pt idx="847">
                  <c:v>JUN.24</c:v>
                </c:pt>
                <c:pt idx="848">
                  <c:v>JUN.24</c:v>
                </c:pt>
                <c:pt idx="849">
                  <c:v>JUN.24</c:v>
                </c:pt>
                <c:pt idx="850">
                  <c:v>JUN.24</c:v>
                </c:pt>
                <c:pt idx="851">
                  <c:v>JUN.24</c:v>
                </c:pt>
                <c:pt idx="852">
                  <c:v>JUN.24</c:v>
                </c:pt>
                <c:pt idx="853">
                  <c:v>JUN.24</c:v>
                </c:pt>
                <c:pt idx="854">
                  <c:v>JUN.24</c:v>
                </c:pt>
                <c:pt idx="855">
                  <c:v>JUN.24</c:v>
                </c:pt>
                <c:pt idx="856">
                  <c:v>JUN.24</c:v>
                </c:pt>
                <c:pt idx="857">
                  <c:v>JUN.24</c:v>
                </c:pt>
                <c:pt idx="858">
                  <c:v>JUN.24</c:v>
                </c:pt>
                <c:pt idx="859">
                  <c:v>JUN.24</c:v>
                </c:pt>
                <c:pt idx="860">
                  <c:v>JUN.24</c:v>
                </c:pt>
                <c:pt idx="861">
                  <c:v>JUN.24</c:v>
                </c:pt>
                <c:pt idx="862">
                  <c:v>JUN.24</c:v>
                </c:pt>
                <c:pt idx="863">
                  <c:v>JUN.24</c:v>
                </c:pt>
                <c:pt idx="864">
                  <c:v>JUN.24</c:v>
                </c:pt>
                <c:pt idx="865">
                  <c:v>JUN.24</c:v>
                </c:pt>
                <c:pt idx="866">
                  <c:v>JUN.24</c:v>
                </c:pt>
                <c:pt idx="867">
                  <c:v>JUN.24</c:v>
                </c:pt>
                <c:pt idx="868">
                  <c:v>JUN.24</c:v>
                </c:pt>
                <c:pt idx="869">
                  <c:v>JUN.24</c:v>
                </c:pt>
                <c:pt idx="870">
                  <c:v>JUN.24</c:v>
                </c:pt>
                <c:pt idx="871">
                  <c:v>JUN.24</c:v>
                </c:pt>
                <c:pt idx="872">
                  <c:v>JUN.24</c:v>
                </c:pt>
                <c:pt idx="873">
                  <c:v>JUN.24</c:v>
                </c:pt>
                <c:pt idx="874">
                  <c:v>JUN.24</c:v>
                </c:pt>
                <c:pt idx="875">
                  <c:v>JUN.24</c:v>
                </c:pt>
                <c:pt idx="876">
                  <c:v>JUN.24</c:v>
                </c:pt>
                <c:pt idx="877">
                  <c:v>JUN.24</c:v>
                </c:pt>
                <c:pt idx="878">
                  <c:v>JUN.24</c:v>
                </c:pt>
                <c:pt idx="879">
                  <c:v>JUN.24 BLOWUP</c:v>
                </c:pt>
                <c:pt idx="880">
                  <c:v>JUN.24</c:v>
                </c:pt>
                <c:pt idx="881">
                  <c:v>JUN.24</c:v>
                </c:pt>
                <c:pt idx="882">
                  <c:v>JUN.24</c:v>
                </c:pt>
                <c:pt idx="883">
                  <c:v>JUN.24</c:v>
                </c:pt>
                <c:pt idx="884">
                  <c:v>JUN.24</c:v>
                </c:pt>
                <c:pt idx="885">
                  <c:v>JUN.24</c:v>
                </c:pt>
                <c:pt idx="886">
                  <c:v>JUN.24</c:v>
                </c:pt>
                <c:pt idx="887">
                  <c:v>JUN.24</c:v>
                </c:pt>
                <c:pt idx="888">
                  <c:v>July24 live (R+1) | REDUCE INTRADAY &gt;1D TRADES</c:v>
                </c:pt>
                <c:pt idx="889">
                  <c:v>JUL.24</c:v>
                </c:pt>
                <c:pt idx="890">
                  <c:v>JUL.24</c:v>
                </c:pt>
                <c:pt idx="891">
                  <c:v>JUL.24</c:v>
                </c:pt>
                <c:pt idx="892">
                  <c:v>JUL.24</c:v>
                </c:pt>
                <c:pt idx="893">
                  <c:v>JUL.24</c:v>
                </c:pt>
                <c:pt idx="894">
                  <c:v>JUL.24</c:v>
                </c:pt>
                <c:pt idx="895">
                  <c:v>JUL.24</c:v>
                </c:pt>
                <c:pt idx="896">
                  <c:v>JUL.24</c:v>
                </c:pt>
                <c:pt idx="897">
                  <c:v>JUL.24</c:v>
                </c:pt>
                <c:pt idx="898">
                  <c:v>JUL.24</c:v>
                </c:pt>
                <c:pt idx="899">
                  <c:v>JUL.24</c:v>
                </c:pt>
                <c:pt idx="900">
                  <c:v>JUL.24</c:v>
                </c:pt>
                <c:pt idx="901">
                  <c:v>JUL.24</c:v>
                </c:pt>
                <c:pt idx="902">
                  <c:v>JUL.24</c:v>
                </c:pt>
                <c:pt idx="903">
                  <c:v>JUL.24</c:v>
                </c:pt>
                <c:pt idx="904">
                  <c:v>JUL.24</c:v>
                </c:pt>
                <c:pt idx="905">
                  <c:v>JUL.24</c:v>
                </c:pt>
                <c:pt idx="906">
                  <c:v>JUL.24</c:v>
                </c:pt>
                <c:pt idx="907">
                  <c:v>JUL.24</c:v>
                </c:pt>
                <c:pt idx="908">
                  <c:v>JUL.24</c:v>
                </c:pt>
                <c:pt idx="909">
                  <c:v>JUL.24</c:v>
                </c:pt>
                <c:pt idx="910">
                  <c:v>JUL.24</c:v>
                </c:pt>
                <c:pt idx="911">
                  <c:v>JUL.24</c:v>
                </c:pt>
                <c:pt idx="912">
                  <c:v>JUL.24</c:v>
                </c:pt>
                <c:pt idx="913">
                  <c:v>JUL.24</c:v>
                </c:pt>
                <c:pt idx="914">
                  <c:v>JUL.24</c:v>
                </c:pt>
                <c:pt idx="915">
                  <c:v>JUL.24</c:v>
                </c:pt>
                <c:pt idx="916">
                  <c:v>JUL.24</c:v>
                </c:pt>
                <c:pt idx="917">
                  <c:v>JUL.24</c:v>
                </c:pt>
                <c:pt idx="918">
                  <c:v>JUL.24</c:v>
                </c:pt>
                <c:pt idx="919">
                  <c:v>JUL.24</c:v>
                </c:pt>
                <c:pt idx="920">
                  <c:v>JUL.24</c:v>
                </c:pt>
                <c:pt idx="921">
                  <c:v>JUL.24</c:v>
                </c:pt>
                <c:pt idx="922">
                  <c:v>JUL.24</c:v>
                </c:pt>
                <c:pt idx="923">
                  <c:v>JUL.24</c:v>
                </c:pt>
                <c:pt idx="924">
                  <c:v>JUL.24</c:v>
                </c:pt>
                <c:pt idx="925">
                  <c:v>JUL.24</c:v>
                </c:pt>
                <c:pt idx="926">
                  <c:v>JUL.24</c:v>
                </c:pt>
                <c:pt idx="927">
                  <c:v>JUL.24</c:v>
                </c:pt>
                <c:pt idx="928">
                  <c:v>JUL.24</c:v>
                </c:pt>
                <c:pt idx="929">
                  <c:v>JUL.24</c:v>
                </c:pt>
                <c:pt idx="930">
                  <c:v>JUL.24</c:v>
                </c:pt>
                <c:pt idx="931">
                  <c:v>JUL.24</c:v>
                </c:pt>
                <c:pt idx="932">
                  <c:v>JUL.24</c:v>
                </c:pt>
                <c:pt idx="933">
                  <c:v>JUL.24</c:v>
                </c:pt>
                <c:pt idx="934">
                  <c:v>JUL.24</c:v>
                </c:pt>
                <c:pt idx="935">
                  <c:v>JUL.24</c:v>
                </c:pt>
                <c:pt idx="936">
                  <c:v>JUL.24</c:v>
                </c:pt>
                <c:pt idx="937">
                  <c:v>JUL.24</c:v>
                </c:pt>
                <c:pt idx="938">
                  <c:v>JUL.24</c:v>
                </c:pt>
                <c:pt idx="939">
                  <c:v>JUL.24</c:v>
                </c:pt>
                <c:pt idx="940">
                  <c:v>JUL.24</c:v>
                </c:pt>
                <c:pt idx="941">
                  <c:v>JUL.24</c:v>
                </c:pt>
                <c:pt idx="942">
                  <c:v>JUL.24</c:v>
                </c:pt>
                <c:pt idx="943">
                  <c:v>JUL.24</c:v>
                </c:pt>
                <c:pt idx="944">
                  <c:v>JUL.24</c:v>
                </c:pt>
                <c:pt idx="945">
                  <c:v>JUL.24</c:v>
                </c:pt>
                <c:pt idx="946">
                  <c:v>JUL.24</c:v>
                </c:pt>
                <c:pt idx="947">
                  <c:v>JUL.24</c:v>
                </c:pt>
                <c:pt idx="948">
                  <c:v>JUL.24</c:v>
                </c:pt>
                <c:pt idx="949">
                  <c:v>JUL.24</c:v>
                </c:pt>
                <c:pt idx="950">
                  <c:v>JUL.24</c:v>
                </c:pt>
                <c:pt idx="951">
                  <c:v>JUL.24</c:v>
                </c:pt>
                <c:pt idx="952">
                  <c:v>JUL.24</c:v>
                </c:pt>
                <c:pt idx="953">
                  <c:v>JUL.24</c:v>
                </c:pt>
                <c:pt idx="954">
                  <c:v>JUL.24</c:v>
                </c:pt>
                <c:pt idx="955">
                  <c:v>JUL.24</c:v>
                </c:pt>
                <c:pt idx="956">
                  <c:v>JUL.24</c:v>
                </c:pt>
                <c:pt idx="957">
                  <c:v>JUL.24</c:v>
                </c:pt>
                <c:pt idx="958">
                  <c:v>JUL.24</c:v>
                </c:pt>
                <c:pt idx="959">
                  <c:v>JUL.24</c:v>
                </c:pt>
                <c:pt idx="960">
                  <c:v>JUL.24</c:v>
                </c:pt>
                <c:pt idx="961">
                  <c:v>JUL.24</c:v>
                </c:pt>
                <c:pt idx="962">
                  <c:v>JUL.24</c:v>
                </c:pt>
                <c:pt idx="963">
                  <c:v>JUL.24</c:v>
                </c:pt>
                <c:pt idx="964">
                  <c:v>JUL.24</c:v>
                </c:pt>
                <c:pt idx="965">
                  <c:v>JUL.24</c:v>
                </c:pt>
                <c:pt idx="966">
                  <c:v>JUL.24</c:v>
                </c:pt>
                <c:pt idx="967">
                  <c:v>JUL.24</c:v>
                </c:pt>
                <c:pt idx="968">
                  <c:v>JUL.24</c:v>
                </c:pt>
                <c:pt idx="969">
                  <c:v>JUL.24</c:v>
                </c:pt>
                <c:pt idx="970">
                  <c:v>JUL.24</c:v>
                </c:pt>
                <c:pt idx="971">
                  <c:v>JUL.24</c:v>
                </c:pt>
                <c:pt idx="972">
                  <c:v>JUL.24</c:v>
                </c:pt>
                <c:pt idx="973">
                  <c:v>JUL.24</c:v>
                </c:pt>
                <c:pt idx="974">
                  <c:v>JUL.24</c:v>
                </c:pt>
                <c:pt idx="975">
                  <c:v>JUL.24</c:v>
                </c:pt>
                <c:pt idx="976">
                  <c:v>JUL.24</c:v>
                </c:pt>
                <c:pt idx="977">
                  <c:v>JUL.24</c:v>
                </c:pt>
                <c:pt idx="978">
                  <c:v>JUL.24</c:v>
                </c:pt>
                <c:pt idx="979">
                  <c:v>JUL.24</c:v>
                </c:pt>
                <c:pt idx="980">
                  <c:v>JUL.24</c:v>
                </c:pt>
                <c:pt idx="981">
                  <c:v>JUL.24</c:v>
                </c:pt>
                <c:pt idx="982">
                  <c:v>JUL.24</c:v>
                </c:pt>
                <c:pt idx="983">
                  <c:v>JUL.24</c:v>
                </c:pt>
                <c:pt idx="984">
                  <c:v>JUL.24</c:v>
                </c:pt>
                <c:pt idx="985">
                  <c:v>JUL.24</c:v>
                </c:pt>
                <c:pt idx="986">
                  <c:v>JUL.24</c:v>
                </c:pt>
                <c:pt idx="987">
                  <c:v>JUL.24</c:v>
                </c:pt>
                <c:pt idx="988">
                  <c:v>JUL.24</c:v>
                </c:pt>
                <c:pt idx="989">
                  <c:v>August24 live (R-1) | REDUCE LOT SIZING 2ND HALF AND ONLY EXITS IN 2ND HALF</c:v>
                </c:pt>
                <c:pt idx="990">
                  <c:v>AUG.24</c:v>
                </c:pt>
                <c:pt idx="991">
                  <c:v>AUG.24</c:v>
                </c:pt>
                <c:pt idx="992">
                  <c:v>AUG.24.II</c:v>
                </c:pt>
                <c:pt idx="993">
                  <c:v>AUG.24</c:v>
                </c:pt>
                <c:pt idx="994">
                  <c:v>AUG.24</c:v>
                </c:pt>
                <c:pt idx="995">
                  <c:v>AUG.24</c:v>
                </c:pt>
                <c:pt idx="996">
                  <c:v>AUG.24</c:v>
                </c:pt>
                <c:pt idx="997">
                  <c:v>AUG.24</c:v>
                </c:pt>
                <c:pt idx="998">
                  <c:v>AUG.24</c:v>
                </c:pt>
                <c:pt idx="999">
                  <c:v>AUG.24</c:v>
                </c:pt>
                <c:pt idx="1000">
                  <c:v>AUG.24</c:v>
                </c:pt>
                <c:pt idx="1001">
                  <c:v>AUG.24.II</c:v>
                </c:pt>
                <c:pt idx="1002">
                  <c:v>AUG.24.II</c:v>
                </c:pt>
                <c:pt idx="1003">
                  <c:v>AUG.24</c:v>
                </c:pt>
                <c:pt idx="1004">
                  <c:v>AUG.24</c:v>
                </c:pt>
                <c:pt idx="1005">
                  <c:v>AUG.24</c:v>
                </c:pt>
                <c:pt idx="1006">
                  <c:v>AUG.24.II</c:v>
                </c:pt>
                <c:pt idx="1007">
                  <c:v>AUG.24.II</c:v>
                </c:pt>
                <c:pt idx="1008">
                  <c:v>AUG.24</c:v>
                </c:pt>
                <c:pt idx="1009">
                  <c:v>AUG.24</c:v>
                </c:pt>
                <c:pt idx="1010">
                  <c:v>AUG.24</c:v>
                </c:pt>
                <c:pt idx="1011">
                  <c:v>AUG.24</c:v>
                </c:pt>
                <c:pt idx="1012">
                  <c:v>AUG.24</c:v>
                </c:pt>
                <c:pt idx="1013">
                  <c:v>AUG.24</c:v>
                </c:pt>
                <c:pt idx="1014">
                  <c:v>AUG.24</c:v>
                </c:pt>
                <c:pt idx="1015">
                  <c:v>AUG.24</c:v>
                </c:pt>
                <c:pt idx="1016">
                  <c:v>AUG.24</c:v>
                </c:pt>
                <c:pt idx="1017">
                  <c:v>AUG.24</c:v>
                </c:pt>
                <c:pt idx="1018">
                  <c:v>AUG.24</c:v>
                </c:pt>
                <c:pt idx="1019">
                  <c:v>AUG.24</c:v>
                </c:pt>
                <c:pt idx="1020">
                  <c:v>AUG.24</c:v>
                </c:pt>
                <c:pt idx="1021">
                  <c:v>AUG.24</c:v>
                </c:pt>
                <c:pt idx="1022">
                  <c:v>AUG.24</c:v>
                </c:pt>
                <c:pt idx="1023">
                  <c:v>AUG.24</c:v>
                </c:pt>
                <c:pt idx="1024">
                  <c:v>AUG.24</c:v>
                </c:pt>
                <c:pt idx="1025">
                  <c:v>AUG.24</c:v>
                </c:pt>
                <c:pt idx="1026">
                  <c:v>AUG.24</c:v>
                </c:pt>
                <c:pt idx="1027">
                  <c:v>AUG.24.II</c:v>
                </c:pt>
                <c:pt idx="1028">
                  <c:v>AUG.24</c:v>
                </c:pt>
                <c:pt idx="1029">
                  <c:v>AUG.24</c:v>
                </c:pt>
                <c:pt idx="1030">
                  <c:v>AUG.24</c:v>
                </c:pt>
                <c:pt idx="1031">
                  <c:v>AUG.24</c:v>
                </c:pt>
                <c:pt idx="1032">
                  <c:v>AUG.24</c:v>
                </c:pt>
                <c:pt idx="1033">
                  <c:v>AUG.24</c:v>
                </c:pt>
                <c:pt idx="1034">
                  <c:v>AUG.24</c:v>
                </c:pt>
                <c:pt idx="1035">
                  <c:v>AUG.24</c:v>
                </c:pt>
                <c:pt idx="1036">
                  <c:v>AUG.24</c:v>
                </c:pt>
                <c:pt idx="1037">
                  <c:v>AUG.24</c:v>
                </c:pt>
                <c:pt idx="1038">
                  <c:v>AUG.24</c:v>
                </c:pt>
                <c:pt idx="1039">
                  <c:v>AUG.24</c:v>
                </c:pt>
                <c:pt idx="1040">
                  <c:v>AUG.24</c:v>
                </c:pt>
                <c:pt idx="1041">
                  <c:v>AUG.24</c:v>
                </c:pt>
                <c:pt idx="1042">
                  <c:v>AUG.24</c:v>
                </c:pt>
                <c:pt idx="1043">
                  <c:v>AUG.24</c:v>
                </c:pt>
                <c:pt idx="1044">
                  <c:v>AUG.24</c:v>
                </c:pt>
                <c:pt idx="1045">
                  <c:v>AUG.24</c:v>
                </c:pt>
                <c:pt idx="1046">
                  <c:v>AUG.24</c:v>
                </c:pt>
                <c:pt idx="1047">
                  <c:v>AUG.24</c:v>
                </c:pt>
                <c:pt idx="1048">
                  <c:v>AUG.24</c:v>
                </c:pt>
                <c:pt idx="1049">
                  <c:v>AUG.24</c:v>
                </c:pt>
                <c:pt idx="1050">
                  <c:v>AUG.24</c:v>
                </c:pt>
                <c:pt idx="1051">
                  <c:v>AUG.24</c:v>
                </c:pt>
                <c:pt idx="1052">
                  <c:v>AUG.24</c:v>
                </c:pt>
                <c:pt idx="1053">
                  <c:v>AUG.24</c:v>
                </c:pt>
                <c:pt idx="1054">
                  <c:v>AUG.24</c:v>
                </c:pt>
                <c:pt idx="1055">
                  <c:v>AUG.24</c:v>
                </c:pt>
                <c:pt idx="1056">
                  <c:v>AUG.24</c:v>
                </c:pt>
                <c:pt idx="1057">
                  <c:v>AUG.24</c:v>
                </c:pt>
                <c:pt idx="1058">
                  <c:v>AUG.24</c:v>
                </c:pt>
                <c:pt idx="1059">
                  <c:v>AUG.24</c:v>
                </c:pt>
                <c:pt idx="1060">
                  <c:v>AUG.24</c:v>
                </c:pt>
                <c:pt idx="1061">
                  <c:v>AUG.24</c:v>
                </c:pt>
                <c:pt idx="1062">
                  <c:v>AUG.24</c:v>
                </c:pt>
                <c:pt idx="1063">
                  <c:v>AUG.24</c:v>
                </c:pt>
                <c:pt idx="1064">
                  <c:v>AUG.24</c:v>
                </c:pt>
                <c:pt idx="1065">
                  <c:v>AUG.24</c:v>
                </c:pt>
                <c:pt idx="1066">
                  <c:v>AUG.24</c:v>
                </c:pt>
                <c:pt idx="1067">
                  <c:v>AUG.24</c:v>
                </c:pt>
                <c:pt idx="1068">
                  <c:v>AUG.24</c:v>
                </c:pt>
                <c:pt idx="1069">
                  <c:v>AUG.24</c:v>
                </c:pt>
                <c:pt idx="1070">
                  <c:v>AUG.24</c:v>
                </c:pt>
                <c:pt idx="1071">
                  <c:v>AUG.24</c:v>
                </c:pt>
                <c:pt idx="1072">
                  <c:v>AUG.24</c:v>
                </c:pt>
                <c:pt idx="1073">
                  <c:v>AUG.24</c:v>
                </c:pt>
                <c:pt idx="1074">
                  <c:v>AUG.24</c:v>
                </c:pt>
                <c:pt idx="1075">
                  <c:v>AUG.24</c:v>
                </c:pt>
                <c:pt idx="1076">
                  <c:v>AUG.24</c:v>
                </c:pt>
                <c:pt idx="1077">
                  <c:v>AUG.24</c:v>
                </c:pt>
                <c:pt idx="1078">
                  <c:v>AUG.24</c:v>
                </c:pt>
                <c:pt idx="1079">
                  <c:v>AUG.24</c:v>
                </c:pt>
                <c:pt idx="1080">
                  <c:v>AUG.24</c:v>
                </c:pt>
                <c:pt idx="1081">
                  <c:v>AUG.24</c:v>
                </c:pt>
                <c:pt idx="1082">
                  <c:v>AUG.24</c:v>
                </c:pt>
                <c:pt idx="1083">
                  <c:v>AUG.24</c:v>
                </c:pt>
                <c:pt idx="1084">
                  <c:v>AUG.24</c:v>
                </c:pt>
                <c:pt idx="1085">
                  <c:v>AUG.24</c:v>
                </c:pt>
                <c:pt idx="1086">
                  <c:v>September24 live (R) | REDUCE LOT SIZING 1ST HALF, AVOID POSITIONAL </c:v>
                </c:pt>
                <c:pt idx="1087">
                  <c:v>SEP.24</c:v>
                </c:pt>
                <c:pt idx="1088">
                  <c:v>SEP.24</c:v>
                </c:pt>
                <c:pt idx="1089">
                  <c:v>SEP.24</c:v>
                </c:pt>
                <c:pt idx="1090">
                  <c:v>SEP.24</c:v>
                </c:pt>
                <c:pt idx="1091">
                  <c:v>SEP.24</c:v>
                </c:pt>
                <c:pt idx="1092">
                  <c:v>SEP.24</c:v>
                </c:pt>
                <c:pt idx="1093">
                  <c:v>SEP.24</c:v>
                </c:pt>
                <c:pt idx="1094">
                  <c:v>SEP.24</c:v>
                </c:pt>
                <c:pt idx="1095">
                  <c:v>SEP.24</c:v>
                </c:pt>
                <c:pt idx="1096">
                  <c:v>SEP.24</c:v>
                </c:pt>
                <c:pt idx="1097">
                  <c:v>SEP.24</c:v>
                </c:pt>
                <c:pt idx="1098">
                  <c:v>SEP.24</c:v>
                </c:pt>
                <c:pt idx="1099">
                  <c:v>SEP.24</c:v>
                </c:pt>
                <c:pt idx="1100">
                  <c:v>SEP.24</c:v>
                </c:pt>
                <c:pt idx="1101">
                  <c:v>SEP.24</c:v>
                </c:pt>
                <c:pt idx="1102">
                  <c:v>SEP.24</c:v>
                </c:pt>
                <c:pt idx="1103">
                  <c:v>SEP.24</c:v>
                </c:pt>
                <c:pt idx="1104">
                  <c:v>SEP.24</c:v>
                </c:pt>
                <c:pt idx="1105">
                  <c:v>SEP.24</c:v>
                </c:pt>
                <c:pt idx="1106">
                  <c:v>SEP.24</c:v>
                </c:pt>
                <c:pt idx="1107">
                  <c:v>SEP.24</c:v>
                </c:pt>
                <c:pt idx="1108">
                  <c:v>SEP.24</c:v>
                </c:pt>
                <c:pt idx="1109">
                  <c:v>SEP.24</c:v>
                </c:pt>
                <c:pt idx="1110">
                  <c:v>SEP.24</c:v>
                </c:pt>
                <c:pt idx="1111">
                  <c:v>SEP.24</c:v>
                </c:pt>
                <c:pt idx="1112">
                  <c:v>SEP.24</c:v>
                </c:pt>
                <c:pt idx="1113">
                  <c:v>SEP.24</c:v>
                </c:pt>
                <c:pt idx="1114">
                  <c:v>SEP.24</c:v>
                </c:pt>
                <c:pt idx="1115">
                  <c:v>SEP.24</c:v>
                </c:pt>
                <c:pt idx="1116">
                  <c:v>SEP.24</c:v>
                </c:pt>
                <c:pt idx="1117">
                  <c:v>SEP.24</c:v>
                </c:pt>
                <c:pt idx="1118">
                  <c:v>SEP.24</c:v>
                </c:pt>
                <c:pt idx="1119">
                  <c:v>SEP.24</c:v>
                </c:pt>
                <c:pt idx="1120">
                  <c:v>SEP.24</c:v>
                </c:pt>
                <c:pt idx="1121">
                  <c:v>SEP.24</c:v>
                </c:pt>
                <c:pt idx="1122">
                  <c:v>SEP.24</c:v>
                </c:pt>
                <c:pt idx="1123">
                  <c:v>SEP.24</c:v>
                </c:pt>
                <c:pt idx="1124">
                  <c:v>SEP.24</c:v>
                </c:pt>
                <c:pt idx="1125">
                  <c:v>October24 live (R+1) | REDUCE INTRADAY &gt;1D TRADES</c:v>
                </c:pt>
                <c:pt idx="1126">
                  <c:v>OCT.24</c:v>
                </c:pt>
                <c:pt idx="1127">
                  <c:v>OCT.24</c:v>
                </c:pt>
                <c:pt idx="1128">
                  <c:v>OCT.24</c:v>
                </c:pt>
                <c:pt idx="1129">
                  <c:v>OCT.24</c:v>
                </c:pt>
                <c:pt idx="1130">
                  <c:v>OCT.24</c:v>
                </c:pt>
                <c:pt idx="1131">
                  <c:v>OCT.24</c:v>
                </c:pt>
                <c:pt idx="1132">
                  <c:v>OCT.24</c:v>
                </c:pt>
                <c:pt idx="1133">
                  <c:v>OCT.24</c:v>
                </c:pt>
                <c:pt idx="1134">
                  <c:v>OCT.24</c:v>
                </c:pt>
                <c:pt idx="1135">
                  <c:v>OCT.24</c:v>
                </c:pt>
                <c:pt idx="1136">
                  <c:v>OCT.24</c:v>
                </c:pt>
                <c:pt idx="1137">
                  <c:v>OCT.24</c:v>
                </c:pt>
                <c:pt idx="1138">
                  <c:v>OCT.24</c:v>
                </c:pt>
                <c:pt idx="1139">
                  <c:v>OCT.24</c:v>
                </c:pt>
                <c:pt idx="1140">
                  <c:v>OCT.24</c:v>
                </c:pt>
                <c:pt idx="1141">
                  <c:v>OCT.24</c:v>
                </c:pt>
                <c:pt idx="1142">
                  <c:v>OCT.24</c:v>
                </c:pt>
                <c:pt idx="1143">
                  <c:v>OCT.24</c:v>
                </c:pt>
                <c:pt idx="1144">
                  <c:v>OCT.24</c:v>
                </c:pt>
                <c:pt idx="1145">
                  <c:v>OCT.24</c:v>
                </c:pt>
                <c:pt idx="1146">
                  <c:v>OCT.24</c:v>
                </c:pt>
                <c:pt idx="1147">
                  <c:v>OCT.24</c:v>
                </c:pt>
                <c:pt idx="1148">
                  <c:v>OCT.24</c:v>
                </c:pt>
                <c:pt idx="1149">
                  <c:v>OCT.24</c:v>
                </c:pt>
                <c:pt idx="1150">
                  <c:v>OCT.24</c:v>
                </c:pt>
                <c:pt idx="1151">
                  <c:v>OCT.24</c:v>
                </c:pt>
                <c:pt idx="1152">
                  <c:v>OCT.24</c:v>
                </c:pt>
                <c:pt idx="1153">
                  <c:v>OCT.24</c:v>
                </c:pt>
                <c:pt idx="1154">
                  <c:v>OCT.24</c:v>
                </c:pt>
                <c:pt idx="1155">
                  <c:v>OCT.24</c:v>
                </c:pt>
                <c:pt idx="1156">
                  <c:v>OCT.24</c:v>
                </c:pt>
                <c:pt idx="1157">
                  <c:v>OCT.24</c:v>
                </c:pt>
                <c:pt idx="1158">
                  <c:v>OCT.24</c:v>
                </c:pt>
                <c:pt idx="1159">
                  <c:v>OCT.24</c:v>
                </c:pt>
                <c:pt idx="1160">
                  <c:v>OCT.24</c:v>
                </c:pt>
                <c:pt idx="1161">
                  <c:v>OCT.24</c:v>
                </c:pt>
                <c:pt idx="1162">
                  <c:v>OCT.24</c:v>
                </c:pt>
                <c:pt idx="1163">
                  <c:v>OCT.24</c:v>
                </c:pt>
                <c:pt idx="1164">
                  <c:v>OCT.24</c:v>
                </c:pt>
                <c:pt idx="1165">
                  <c:v>OCT.24</c:v>
                </c:pt>
                <c:pt idx="1166">
                  <c:v>OCT.24</c:v>
                </c:pt>
                <c:pt idx="1167">
                  <c:v>OCT.24</c:v>
                </c:pt>
                <c:pt idx="1168">
                  <c:v>OCT.24</c:v>
                </c:pt>
                <c:pt idx="1169">
                  <c:v>OCT.24</c:v>
                </c:pt>
                <c:pt idx="1170">
                  <c:v>OCT.24</c:v>
                </c:pt>
                <c:pt idx="1171">
                  <c:v>OCT.24</c:v>
                </c:pt>
                <c:pt idx="1172">
                  <c:v>OCT.24</c:v>
                </c:pt>
                <c:pt idx="1173">
                  <c:v>OCT.24</c:v>
                </c:pt>
                <c:pt idx="1174">
                  <c:v>OCT.24</c:v>
                </c:pt>
                <c:pt idx="1175">
                  <c:v>OCT.24</c:v>
                </c:pt>
                <c:pt idx="1176">
                  <c:v>OCT.24</c:v>
                </c:pt>
                <c:pt idx="1177">
                  <c:v>OCT.24</c:v>
                </c:pt>
                <c:pt idx="1178">
                  <c:v>OCT.24</c:v>
                </c:pt>
                <c:pt idx="1179">
                  <c:v>OCT.24</c:v>
                </c:pt>
                <c:pt idx="1180">
                  <c:v>OCT.24</c:v>
                </c:pt>
                <c:pt idx="1181">
                  <c:v>OCT.24</c:v>
                </c:pt>
                <c:pt idx="1182">
                  <c:v>OCT.24</c:v>
                </c:pt>
                <c:pt idx="1183">
                  <c:v>OCT.24</c:v>
                </c:pt>
                <c:pt idx="1184">
                  <c:v>OCT.24</c:v>
                </c:pt>
                <c:pt idx="1185">
                  <c:v>OCT.24</c:v>
                </c:pt>
                <c:pt idx="1186">
                  <c:v>OCT.24</c:v>
                </c:pt>
                <c:pt idx="1187">
                  <c:v>OCT.24</c:v>
                </c:pt>
                <c:pt idx="1188">
                  <c:v>OCT.24</c:v>
                </c:pt>
                <c:pt idx="1189">
                  <c:v>OCT.24</c:v>
                </c:pt>
                <c:pt idx="1190">
                  <c:v>OCT.24</c:v>
                </c:pt>
                <c:pt idx="1191">
                  <c:v>OCT.24</c:v>
                </c:pt>
                <c:pt idx="1192">
                  <c:v>OCT.24</c:v>
                </c:pt>
                <c:pt idx="1193">
                  <c:v>OCT.24</c:v>
                </c:pt>
                <c:pt idx="1194">
                  <c:v>OCT.24</c:v>
                </c:pt>
                <c:pt idx="1195">
                  <c:v>OCT.24</c:v>
                </c:pt>
                <c:pt idx="1196">
                  <c:v>OCT.24</c:v>
                </c:pt>
                <c:pt idx="1197">
                  <c:v>OCT.24</c:v>
                </c:pt>
                <c:pt idx="1198">
                  <c:v>OCT.24</c:v>
                </c:pt>
                <c:pt idx="1199">
                  <c:v>OCT.24</c:v>
                </c:pt>
                <c:pt idx="1200">
                  <c:v>OCT.24</c:v>
                </c:pt>
                <c:pt idx="1201">
                  <c:v>OCT.24</c:v>
                </c:pt>
                <c:pt idx="1202">
                  <c:v>OCT.24</c:v>
                </c:pt>
                <c:pt idx="1203">
                  <c:v>OCT.24</c:v>
                </c:pt>
                <c:pt idx="1204">
                  <c:v>OCT.24</c:v>
                </c:pt>
                <c:pt idx="1205">
                  <c:v>OCT.24</c:v>
                </c:pt>
                <c:pt idx="1206">
                  <c:v>OCT.24</c:v>
                </c:pt>
                <c:pt idx="1207">
                  <c:v>OCT.24</c:v>
                </c:pt>
                <c:pt idx="1208">
                  <c:v>OCT.24</c:v>
                </c:pt>
                <c:pt idx="1209">
                  <c:v>OCT.24</c:v>
                </c:pt>
                <c:pt idx="1210">
                  <c:v>OCT.24</c:v>
                </c:pt>
                <c:pt idx="1211">
                  <c:v>OCT.24</c:v>
                </c:pt>
                <c:pt idx="1212">
                  <c:v>OCT.24</c:v>
                </c:pt>
                <c:pt idx="1213">
                  <c:v>OCT.24</c:v>
                </c:pt>
                <c:pt idx="1214">
                  <c:v>November24 live EPILOGUE 1</c:v>
                </c:pt>
                <c:pt idx="1215">
                  <c:v>NOV.24</c:v>
                </c:pt>
                <c:pt idx="1216">
                  <c:v>NOV.24</c:v>
                </c:pt>
                <c:pt idx="1217">
                  <c:v>NOV.24</c:v>
                </c:pt>
                <c:pt idx="1218">
                  <c:v>NOV.24</c:v>
                </c:pt>
                <c:pt idx="1219">
                  <c:v>NOV.24</c:v>
                </c:pt>
                <c:pt idx="1220">
                  <c:v>NOV.24</c:v>
                </c:pt>
                <c:pt idx="1221">
                  <c:v>NOV.24</c:v>
                </c:pt>
                <c:pt idx="1222">
                  <c:v>NOV.24</c:v>
                </c:pt>
                <c:pt idx="1223">
                  <c:v>NOV.24</c:v>
                </c:pt>
                <c:pt idx="1224">
                  <c:v>NOV.24</c:v>
                </c:pt>
                <c:pt idx="1225">
                  <c:v>NOV.24</c:v>
                </c:pt>
                <c:pt idx="1226">
                  <c:v>NOV.24</c:v>
                </c:pt>
                <c:pt idx="1227">
                  <c:v>NOV.24</c:v>
                </c:pt>
                <c:pt idx="1228">
                  <c:v>NOV.24</c:v>
                </c:pt>
                <c:pt idx="1229">
                  <c:v>NOV.24</c:v>
                </c:pt>
                <c:pt idx="1230">
                  <c:v>NOV.24</c:v>
                </c:pt>
                <c:pt idx="1231">
                  <c:v>NOV.24</c:v>
                </c:pt>
                <c:pt idx="1232">
                  <c:v>NOV.24</c:v>
                </c:pt>
                <c:pt idx="1233">
                  <c:v>NOV.24</c:v>
                </c:pt>
                <c:pt idx="1234">
                  <c:v>NOV.24</c:v>
                </c:pt>
                <c:pt idx="1235">
                  <c:v>NOV.24</c:v>
                </c:pt>
                <c:pt idx="1236">
                  <c:v>NOV.24</c:v>
                </c:pt>
                <c:pt idx="1237">
                  <c:v>NOV.24</c:v>
                </c:pt>
              </c:strCache>
            </c:strRef>
          </c:cat>
          <c:val>
            <c:numRef>
              <c:f>'Journal Live'!$BK$1387:$BK$2630</c:f>
              <c:numCache>
                <c:formatCode>General</c:formatCode>
                <c:ptCount val="1239"/>
                <c:pt idx="1">
                  <c:v>176.00000000000017</c:v>
                </c:pt>
                <c:pt idx="2">
                  <c:v>176.00000000000017</c:v>
                </c:pt>
                <c:pt idx="3">
                  <c:v>176.00000000000017</c:v>
                </c:pt>
                <c:pt idx="4">
                  <c:v>176.00000000000017</c:v>
                </c:pt>
                <c:pt idx="5">
                  <c:v>-159.99999999999983</c:v>
                </c:pt>
                <c:pt idx="6">
                  <c:v>-159.99999999999983</c:v>
                </c:pt>
                <c:pt idx="7">
                  <c:v>-255.99999999999986</c:v>
                </c:pt>
                <c:pt idx="8">
                  <c:v>-255.99999999999986</c:v>
                </c:pt>
                <c:pt idx="9">
                  <c:v>-255.99999999999986</c:v>
                </c:pt>
                <c:pt idx="10">
                  <c:v>16.000000000000028</c:v>
                </c:pt>
                <c:pt idx="11">
                  <c:v>16.000000000000028</c:v>
                </c:pt>
                <c:pt idx="12">
                  <c:v>16.000000000000028</c:v>
                </c:pt>
                <c:pt idx="13">
                  <c:v>208.0000000000002</c:v>
                </c:pt>
                <c:pt idx="14">
                  <c:v>208.0000000000002</c:v>
                </c:pt>
                <c:pt idx="15">
                  <c:v>208.0000000000002</c:v>
                </c:pt>
                <c:pt idx="16">
                  <c:v>784.00000000000023</c:v>
                </c:pt>
                <c:pt idx="17">
                  <c:v>624.00000000000068</c:v>
                </c:pt>
                <c:pt idx="18">
                  <c:v>624.00000000000068</c:v>
                </c:pt>
                <c:pt idx="19">
                  <c:v>624.00000000000068</c:v>
                </c:pt>
                <c:pt idx="20">
                  <c:v>624.00000000000068</c:v>
                </c:pt>
                <c:pt idx="21">
                  <c:v>624.00000000000068</c:v>
                </c:pt>
                <c:pt idx="22">
                  <c:v>624.00000000000068</c:v>
                </c:pt>
                <c:pt idx="23">
                  <c:v>624.00000000000068</c:v>
                </c:pt>
                <c:pt idx="24">
                  <c:v>624.00000000000068</c:v>
                </c:pt>
                <c:pt idx="25">
                  <c:v>624.00000000000068</c:v>
                </c:pt>
                <c:pt idx="26">
                  <c:v>752.00000000000068</c:v>
                </c:pt>
                <c:pt idx="27">
                  <c:v>1024.0000000000007</c:v>
                </c:pt>
                <c:pt idx="28">
                  <c:v>1360.0000000000005</c:v>
                </c:pt>
                <c:pt idx="29">
                  <c:v>1360.0000000000005</c:v>
                </c:pt>
                <c:pt idx="30">
                  <c:v>1360.0000000000005</c:v>
                </c:pt>
                <c:pt idx="31">
                  <c:v>1360.0000000000005</c:v>
                </c:pt>
                <c:pt idx="32">
                  <c:v>1360.0000000000005</c:v>
                </c:pt>
                <c:pt idx="33">
                  <c:v>1360.0000000000005</c:v>
                </c:pt>
                <c:pt idx="34">
                  <c:v>1360.0000000000005</c:v>
                </c:pt>
                <c:pt idx="35">
                  <c:v>1456</c:v>
                </c:pt>
                <c:pt idx="36">
                  <c:v>1456</c:v>
                </c:pt>
                <c:pt idx="37">
                  <c:v>1456</c:v>
                </c:pt>
                <c:pt idx="38">
                  <c:v>1840.0000000000005</c:v>
                </c:pt>
                <c:pt idx="39">
                  <c:v>1840.0000000000005</c:v>
                </c:pt>
                <c:pt idx="40">
                  <c:v>1840.0000000000005</c:v>
                </c:pt>
                <c:pt idx="41">
                  <c:v>400.00000000000068</c:v>
                </c:pt>
                <c:pt idx="42">
                  <c:v>400.00000000000068</c:v>
                </c:pt>
                <c:pt idx="43">
                  <c:v>496.00000000000063</c:v>
                </c:pt>
                <c:pt idx="44">
                  <c:v>496.00000000000063</c:v>
                </c:pt>
                <c:pt idx="45">
                  <c:v>496.00000000000063</c:v>
                </c:pt>
                <c:pt idx="46">
                  <c:v>688.00000000000045</c:v>
                </c:pt>
                <c:pt idx="47">
                  <c:v>688.00000000000045</c:v>
                </c:pt>
                <c:pt idx="48">
                  <c:v>1302.4000000000005</c:v>
                </c:pt>
                <c:pt idx="49">
                  <c:v>1302.4000000000005</c:v>
                </c:pt>
                <c:pt idx="50">
                  <c:v>1302.4000000000005</c:v>
                </c:pt>
                <c:pt idx="51">
                  <c:v>1302.4000000000005</c:v>
                </c:pt>
                <c:pt idx="52">
                  <c:v>1302.4000000000005</c:v>
                </c:pt>
                <c:pt idx="53">
                  <c:v>1654.400000000001</c:v>
                </c:pt>
                <c:pt idx="54">
                  <c:v>1654.400000000001</c:v>
                </c:pt>
                <c:pt idx="55">
                  <c:v>1654.400000000001</c:v>
                </c:pt>
                <c:pt idx="56">
                  <c:v>1654.400000000001</c:v>
                </c:pt>
                <c:pt idx="57">
                  <c:v>1654.400000000001</c:v>
                </c:pt>
                <c:pt idx="58">
                  <c:v>1654.400000000001</c:v>
                </c:pt>
                <c:pt idx="59">
                  <c:v>1654.400000000001</c:v>
                </c:pt>
                <c:pt idx="60">
                  <c:v>1654.400000000001</c:v>
                </c:pt>
                <c:pt idx="61">
                  <c:v>1654.400000000001</c:v>
                </c:pt>
                <c:pt idx="62">
                  <c:v>1846.400000000001</c:v>
                </c:pt>
                <c:pt idx="63">
                  <c:v>2102.400000000001</c:v>
                </c:pt>
                <c:pt idx="64">
                  <c:v>2614.4000000000005</c:v>
                </c:pt>
                <c:pt idx="65">
                  <c:v>2614.4000000000005</c:v>
                </c:pt>
                <c:pt idx="66">
                  <c:v>6973.5799999999363</c:v>
                </c:pt>
                <c:pt idx="67">
                  <c:v>6973.5799999999363</c:v>
                </c:pt>
                <c:pt idx="68">
                  <c:v>2614.4000000000005</c:v>
                </c:pt>
                <c:pt idx="69">
                  <c:v>6973.5799999999363</c:v>
                </c:pt>
                <c:pt idx="70">
                  <c:v>2502.4000000000005</c:v>
                </c:pt>
                <c:pt idx="71">
                  <c:v>2502.4000000000005</c:v>
                </c:pt>
                <c:pt idx="72">
                  <c:v>2502.4000000000005</c:v>
                </c:pt>
                <c:pt idx="73">
                  <c:v>2502.4000000000005</c:v>
                </c:pt>
                <c:pt idx="74">
                  <c:v>2502.4000000000005</c:v>
                </c:pt>
                <c:pt idx="75">
                  <c:v>2502.4000000000005</c:v>
                </c:pt>
                <c:pt idx="76">
                  <c:v>2582.4000000000015</c:v>
                </c:pt>
                <c:pt idx="77">
                  <c:v>2502.4000000000005</c:v>
                </c:pt>
                <c:pt idx="78">
                  <c:v>2502.4000000000005</c:v>
                </c:pt>
                <c:pt idx="79">
                  <c:v>2582.4000000000015</c:v>
                </c:pt>
                <c:pt idx="80">
                  <c:v>2502.4000000000005</c:v>
                </c:pt>
                <c:pt idx="81">
                  <c:v>2502.4000000000005</c:v>
                </c:pt>
                <c:pt idx="82">
                  <c:v>2502.4000000000005</c:v>
                </c:pt>
                <c:pt idx="83">
                  <c:v>2502.4000000000005</c:v>
                </c:pt>
                <c:pt idx="84">
                  <c:v>2502.4000000000005</c:v>
                </c:pt>
                <c:pt idx="85">
                  <c:v>2582.4000000000015</c:v>
                </c:pt>
                <c:pt idx="86">
                  <c:v>2582.4000000000015</c:v>
                </c:pt>
                <c:pt idx="87">
                  <c:v>2582.4000000000015</c:v>
                </c:pt>
                <c:pt idx="88">
                  <c:v>2582.4000000000015</c:v>
                </c:pt>
                <c:pt idx="89">
                  <c:v>2582.4000000000015</c:v>
                </c:pt>
                <c:pt idx="90">
                  <c:v>2582.4000000000015</c:v>
                </c:pt>
                <c:pt idx="91">
                  <c:v>2582.4000000000015</c:v>
                </c:pt>
                <c:pt idx="92">
                  <c:v>2582.4000000000015</c:v>
                </c:pt>
                <c:pt idx="93">
                  <c:v>2582.4000000000015</c:v>
                </c:pt>
                <c:pt idx="94">
                  <c:v>2582.4000000000015</c:v>
                </c:pt>
                <c:pt idx="95">
                  <c:v>2582.4000000000015</c:v>
                </c:pt>
                <c:pt idx="96">
                  <c:v>6973.5799999999363</c:v>
                </c:pt>
                <c:pt idx="97">
                  <c:v>4534.4000000000015</c:v>
                </c:pt>
                <c:pt idx="98">
                  <c:v>4534.4000000000015</c:v>
                </c:pt>
                <c:pt idx="99">
                  <c:v>4534.4000000000015</c:v>
                </c:pt>
                <c:pt idx="100">
                  <c:v>4534.4000000000015</c:v>
                </c:pt>
                <c:pt idx="101">
                  <c:v>4886.4000000000015</c:v>
                </c:pt>
                <c:pt idx="102">
                  <c:v>4886.4000000000015</c:v>
                </c:pt>
                <c:pt idx="103">
                  <c:v>4886.4000000000015</c:v>
                </c:pt>
                <c:pt idx="104">
                  <c:v>4886.4000000000015</c:v>
                </c:pt>
                <c:pt idx="105">
                  <c:v>4886.4000000000015</c:v>
                </c:pt>
                <c:pt idx="106">
                  <c:v>4886.4000000000015</c:v>
                </c:pt>
                <c:pt idx="107">
                  <c:v>6973.5799999999363</c:v>
                </c:pt>
                <c:pt idx="108">
                  <c:v>5334.3999999998268</c:v>
                </c:pt>
                <c:pt idx="109">
                  <c:v>5654.3999999998268</c:v>
                </c:pt>
                <c:pt idx="110">
                  <c:v>6358.3999999998277</c:v>
                </c:pt>
                <c:pt idx="111">
                  <c:v>6870.3999999998268</c:v>
                </c:pt>
                <c:pt idx="112">
                  <c:v>6870.3999999998268</c:v>
                </c:pt>
                <c:pt idx="113">
                  <c:v>6870.3999999998268</c:v>
                </c:pt>
                <c:pt idx="114">
                  <c:v>6870.3999999998268</c:v>
                </c:pt>
                <c:pt idx="115">
                  <c:v>6870.3999999998268</c:v>
                </c:pt>
                <c:pt idx="116">
                  <c:v>6870.3999999998268</c:v>
                </c:pt>
                <c:pt idx="117">
                  <c:v>6973.5799999999363</c:v>
                </c:pt>
                <c:pt idx="118">
                  <c:v>6973.5799999999363</c:v>
                </c:pt>
                <c:pt idx="119">
                  <c:v>7094.3999999998268</c:v>
                </c:pt>
                <c:pt idx="120">
                  <c:v>6973.5799999999363</c:v>
                </c:pt>
                <c:pt idx="121">
                  <c:v>6973.5799999999363</c:v>
                </c:pt>
                <c:pt idx="122">
                  <c:v>6973.5799999999363</c:v>
                </c:pt>
                <c:pt idx="123">
                  <c:v>6973.5799999999363</c:v>
                </c:pt>
                <c:pt idx="124">
                  <c:v>6973.5799999999363</c:v>
                </c:pt>
                <c:pt idx="125">
                  <c:v>6973.5799999999363</c:v>
                </c:pt>
                <c:pt idx="126">
                  <c:v>6973.5799999999363</c:v>
                </c:pt>
                <c:pt idx="127">
                  <c:v>6973.5799999999363</c:v>
                </c:pt>
                <c:pt idx="128">
                  <c:v>6973.5799999999363</c:v>
                </c:pt>
                <c:pt idx="129">
                  <c:v>6973.5799999999363</c:v>
                </c:pt>
                <c:pt idx="130">
                  <c:v>6973.5799999999363</c:v>
                </c:pt>
                <c:pt idx="131">
                  <c:v>6973.5799999999363</c:v>
                </c:pt>
                <c:pt idx="132">
                  <c:v>14245.423836163525</c:v>
                </c:pt>
                <c:pt idx="133">
                  <c:v>6973.5799999999363</c:v>
                </c:pt>
                <c:pt idx="134">
                  <c:v>8717.579999999929</c:v>
                </c:pt>
                <c:pt idx="135">
                  <c:v>8717.579999999929</c:v>
                </c:pt>
                <c:pt idx="136">
                  <c:v>6973.5799999999363</c:v>
                </c:pt>
                <c:pt idx="137">
                  <c:v>6973.5799999999363</c:v>
                </c:pt>
                <c:pt idx="138">
                  <c:v>6669.5799999999363</c:v>
                </c:pt>
                <c:pt idx="139">
                  <c:v>8717.579999999929</c:v>
                </c:pt>
                <c:pt idx="140">
                  <c:v>6861.5799999999372</c:v>
                </c:pt>
                <c:pt idx="141">
                  <c:v>6861.5799999999372</c:v>
                </c:pt>
                <c:pt idx="142">
                  <c:v>7149.5799999999363</c:v>
                </c:pt>
                <c:pt idx="143">
                  <c:v>7149.5799999999363</c:v>
                </c:pt>
                <c:pt idx="144">
                  <c:v>7149.5799999999363</c:v>
                </c:pt>
                <c:pt idx="145">
                  <c:v>7149.5799999999363</c:v>
                </c:pt>
                <c:pt idx="146">
                  <c:v>7661.5799999999363</c:v>
                </c:pt>
                <c:pt idx="147">
                  <c:v>8525.5799999999363</c:v>
                </c:pt>
                <c:pt idx="148">
                  <c:v>8525.5799999999363</c:v>
                </c:pt>
                <c:pt idx="149">
                  <c:v>8525.5799999999363</c:v>
                </c:pt>
                <c:pt idx="150">
                  <c:v>8525.5799999999363</c:v>
                </c:pt>
                <c:pt idx="151">
                  <c:v>8525.5799999999363</c:v>
                </c:pt>
                <c:pt idx="152">
                  <c:v>8525.5799999999363</c:v>
                </c:pt>
                <c:pt idx="153">
                  <c:v>8717.579999999929</c:v>
                </c:pt>
                <c:pt idx="154">
                  <c:v>9149.5799999999363</c:v>
                </c:pt>
                <c:pt idx="155">
                  <c:v>9149.5799999999363</c:v>
                </c:pt>
                <c:pt idx="156">
                  <c:v>9149.5799999999363</c:v>
                </c:pt>
                <c:pt idx="157">
                  <c:v>8717.579999999929</c:v>
                </c:pt>
                <c:pt idx="158">
                  <c:v>11581.579999999936</c:v>
                </c:pt>
                <c:pt idx="159">
                  <c:v>11581.579999999936</c:v>
                </c:pt>
                <c:pt idx="160">
                  <c:v>8717.579999999929</c:v>
                </c:pt>
                <c:pt idx="161">
                  <c:v>12573.579999999936</c:v>
                </c:pt>
                <c:pt idx="162">
                  <c:v>11581.579999999936</c:v>
                </c:pt>
                <c:pt idx="163">
                  <c:v>8717.579999999929</c:v>
                </c:pt>
                <c:pt idx="164">
                  <c:v>11581.579999999936</c:v>
                </c:pt>
                <c:pt idx="165">
                  <c:v>11581.579999999936</c:v>
                </c:pt>
                <c:pt idx="166">
                  <c:v>12253.579999999936</c:v>
                </c:pt>
                <c:pt idx="167">
                  <c:v>12573.579999999936</c:v>
                </c:pt>
                <c:pt idx="168">
                  <c:v>12573.579999999936</c:v>
                </c:pt>
                <c:pt idx="169">
                  <c:v>12573.579999999936</c:v>
                </c:pt>
                <c:pt idx="170">
                  <c:v>8717.579999999929</c:v>
                </c:pt>
                <c:pt idx="171">
                  <c:v>12973.579999999936</c:v>
                </c:pt>
                <c:pt idx="172">
                  <c:v>12973.579999999936</c:v>
                </c:pt>
                <c:pt idx="173">
                  <c:v>13261.579999999934</c:v>
                </c:pt>
                <c:pt idx="174">
                  <c:v>13261.579999999934</c:v>
                </c:pt>
                <c:pt idx="175">
                  <c:v>13261.579999999934</c:v>
                </c:pt>
                <c:pt idx="176">
                  <c:v>13261.579999999934</c:v>
                </c:pt>
                <c:pt idx="177">
                  <c:v>13261.579999999934</c:v>
                </c:pt>
                <c:pt idx="178">
                  <c:v>13261.579999999934</c:v>
                </c:pt>
                <c:pt idx="179">
                  <c:v>13261.579999999934</c:v>
                </c:pt>
                <c:pt idx="180">
                  <c:v>8717.579999999929</c:v>
                </c:pt>
                <c:pt idx="181">
                  <c:v>13261.579999999934</c:v>
                </c:pt>
                <c:pt idx="182">
                  <c:v>13261.579999999934</c:v>
                </c:pt>
                <c:pt idx="183">
                  <c:v>13261.579999999934</c:v>
                </c:pt>
                <c:pt idx="184">
                  <c:v>13261.579999999934</c:v>
                </c:pt>
                <c:pt idx="185">
                  <c:v>13261.579999999934</c:v>
                </c:pt>
                <c:pt idx="186">
                  <c:v>11469.579999999934</c:v>
                </c:pt>
                <c:pt idx="187">
                  <c:v>11565.579999999931</c:v>
                </c:pt>
                <c:pt idx="188">
                  <c:v>11565.579999999931</c:v>
                </c:pt>
                <c:pt idx="189">
                  <c:v>11565.579999999931</c:v>
                </c:pt>
                <c:pt idx="190">
                  <c:v>11565.579999999931</c:v>
                </c:pt>
                <c:pt idx="191">
                  <c:v>11565.579999999931</c:v>
                </c:pt>
                <c:pt idx="192">
                  <c:v>11565.579999999931</c:v>
                </c:pt>
                <c:pt idx="193">
                  <c:v>9197.579999999929</c:v>
                </c:pt>
                <c:pt idx="194">
                  <c:v>11565.579999999931</c:v>
                </c:pt>
                <c:pt idx="195">
                  <c:v>11565.579999999931</c:v>
                </c:pt>
                <c:pt idx="196">
                  <c:v>9965.5799999999308</c:v>
                </c:pt>
                <c:pt idx="197">
                  <c:v>9965.5799999999308</c:v>
                </c:pt>
                <c:pt idx="198">
                  <c:v>9965.5799999999308</c:v>
                </c:pt>
                <c:pt idx="199">
                  <c:v>9197.579999999929</c:v>
                </c:pt>
                <c:pt idx="200">
                  <c:v>9677.5799999999308</c:v>
                </c:pt>
                <c:pt idx="201">
                  <c:v>9677.5799999999308</c:v>
                </c:pt>
                <c:pt idx="202">
                  <c:v>9677.5799999999308</c:v>
                </c:pt>
                <c:pt idx="203">
                  <c:v>9677.5799999999308</c:v>
                </c:pt>
                <c:pt idx="204">
                  <c:v>10221.579999999931</c:v>
                </c:pt>
                <c:pt idx="205">
                  <c:v>9197.579999999929</c:v>
                </c:pt>
                <c:pt idx="206">
                  <c:v>9197.579999999929</c:v>
                </c:pt>
                <c:pt idx="207">
                  <c:v>9197.579999999929</c:v>
                </c:pt>
                <c:pt idx="208">
                  <c:v>9197.579999999929</c:v>
                </c:pt>
                <c:pt idx="209">
                  <c:v>9197.579999999929</c:v>
                </c:pt>
                <c:pt idx="210">
                  <c:v>9197.579999999929</c:v>
                </c:pt>
                <c:pt idx="211">
                  <c:v>9197.579999999929</c:v>
                </c:pt>
                <c:pt idx="212">
                  <c:v>9197.579999999929</c:v>
                </c:pt>
                <c:pt idx="213">
                  <c:v>9197.579999999929</c:v>
                </c:pt>
                <c:pt idx="214">
                  <c:v>9197.579999999929</c:v>
                </c:pt>
                <c:pt idx="215">
                  <c:v>9197.579999999929</c:v>
                </c:pt>
                <c:pt idx="216">
                  <c:v>9197.579999999929</c:v>
                </c:pt>
                <c:pt idx="217">
                  <c:v>9197.579999999929</c:v>
                </c:pt>
                <c:pt idx="218">
                  <c:v>9197.579999999929</c:v>
                </c:pt>
                <c:pt idx="219">
                  <c:v>9197.579999999929</c:v>
                </c:pt>
                <c:pt idx="220">
                  <c:v>9197.579999999929</c:v>
                </c:pt>
                <c:pt idx="221">
                  <c:v>9197.579999999929</c:v>
                </c:pt>
                <c:pt idx="222">
                  <c:v>9197.579999999929</c:v>
                </c:pt>
                <c:pt idx="223">
                  <c:v>9197.579999999929</c:v>
                </c:pt>
                <c:pt idx="224">
                  <c:v>9197.579999999929</c:v>
                </c:pt>
                <c:pt idx="225">
                  <c:v>9197.579999999929</c:v>
                </c:pt>
                <c:pt idx="226">
                  <c:v>9197.579999999929</c:v>
                </c:pt>
                <c:pt idx="227">
                  <c:v>9197.579999999929</c:v>
                </c:pt>
                <c:pt idx="228">
                  <c:v>9197.579999999929</c:v>
                </c:pt>
                <c:pt idx="229">
                  <c:v>9197.579999999929</c:v>
                </c:pt>
                <c:pt idx="230">
                  <c:v>9197.579999999929</c:v>
                </c:pt>
                <c:pt idx="231">
                  <c:v>8717.579999999929</c:v>
                </c:pt>
                <c:pt idx="232">
                  <c:v>9197.579999999929</c:v>
                </c:pt>
                <c:pt idx="233">
                  <c:v>8717.579999999929</c:v>
                </c:pt>
                <c:pt idx="234">
                  <c:v>9197.579999999929</c:v>
                </c:pt>
                <c:pt idx="235">
                  <c:v>9197.579999999929</c:v>
                </c:pt>
                <c:pt idx="236">
                  <c:v>9197.579999999929</c:v>
                </c:pt>
                <c:pt idx="237">
                  <c:v>9197.579999999929</c:v>
                </c:pt>
                <c:pt idx="238">
                  <c:v>9197.579999999929</c:v>
                </c:pt>
                <c:pt idx="239">
                  <c:v>9197.579999999929</c:v>
                </c:pt>
                <c:pt idx="240">
                  <c:v>9197.579999999929</c:v>
                </c:pt>
                <c:pt idx="241">
                  <c:v>9197.579999999929</c:v>
                </c:pt>
                <c:pt idx="242">
                  <c:v>9197.579999999929</c:v>
                </c:pt>
                <c:pt idx="243">
                  <c:v>8717.579999999929</c:v>
                </c:pt>
                <c:pt idx="244">
                  <c:v>8717.579999999929</c:v>
                </c:pt>
                <c:pt idx="245">
                  <c:v>8717.579999999929</c:v>
                </c:pt>
                <c:pt idx="246">
                  <c:v>8717.579999999929</c:v>
                </c:pt>
                <c:pt idx="247">
                  <c:v>8717.579999999929</c:v>
                </c:pt>
                <c:pt idx="248">
                  <c:v>8717.579999999929</c:v>
                </c:pt>
                <c:pt idx="249">
                  <c:v>8717.579999999929</c:v>
                </c:pt>
                <c:pt idx="250">
                  <c:v>8717.579999999929</c:v>
                </c:pt>
                <c:pt idx="251">
                  <c:v>8717.579999999929</c:v>
                </c:pt>
                <c:pt idx="252">
                  <c:v>8717.579999999929</c:v>
                </c:pt>
                <c:pt idx="253">
                  <c:v>8717.579999999929</c:v>
                </c:pt>
                <c:pt idx="254">
                  <c:v>8717.579999999929</c:v>
                </c:pt>
                <c:pt idx="255">
                  <c:v>8717.579999999929</c:v>
                </c:pt>
                <c:pt idx="256">
                  <c:v>8717.579999999929</c:v>
                </c:pt>
                <c:pt idx="257">
                  <c:v>8717.579999999929</c:v>
                </c:pt>
                <c:pt idx="258">
                  <c:v>8717.579999999929</c:v>
                </c:pt>
                <c:pt idx="259">
                  <c:v>8717.579999999929</c:v>
                </c:pt>
                <c:pt idx="260">
                  <c:v>8717.579999999929</c:v>
                </c:pt>
                <c:pt idx="261">
                  <c:v>8717.579999999929</c:v>
                </c:pt>
                <c:pt idx="262">
                  <c:v>8717.579999999929</c:v>
                </c:pt>
                <c:pt idx="263">
                  <c:v>8717.579999999929</c:v>
                </c:pt>
                <c:pt idx="264">
                  <c:v>8717.579999999929</c:v>
                </c:pt>
                <c:pt idx="265">
                  <c:v>8717.579999999929</c:v>
                </c:pt>
                <c:pt idx="266">
                  <c:v>8717.579999999929</c:v>
                </c:pt>
                <c:pt idx="267">
                  <c:v>11277.579999999929</c:v>
                </c:pt>
                <c:pt idx="268">
                  <c:v>11277.579999999929</c:v>
                </c:pt>
                <c:pt idx="269">
                  <c:v>11277.579999999929</c:v>
                </c:pt>
                <c:pt idx="270">
                  <c:v>11277.579999999929</c:v>
                </c:pt>
                <c:pt idx="271">
                  <c:v>11277.579999999929</c:v>
                </c:pt>
                <c:pt idx="272">
                  <c:v>11277.579999999929</c:v>
                </c:pt>
                <c:pt idx="273">
                  <c:v>11277.579999999929</c:v>
                </c:pt>
                <c:pt idx="274">
                  <c:v>11277.579999999929</c:v>
                </c:pt>
                <c:pt idx="275">
                  <c:v>11277.579999999929</c:v>
                </c:pt>
                <c:pt idx="276">
                  <c:v>11277.579999999929</c:v>
                </c:pt>
                <c:pt idx="277">
                  <c:v>11277.579999999929</c:v>
                </c:pt>
                <c:pt idx="278">
                  <c:v>11277.579999999929</c:v>
                </c:pt>
                <c:pt idx="279">
                  <c:v>11277.579999999929</c:v>
                </c:pt>
                <c:pt idx="280">
                  <c:v>11277.579999999929</c:v>
                </c:pt>
                <c:pt idx="281">
                  <c:v>11757.579999999931</c:v>
                </c:pt>
                <c:pt idx="282">
                  <c:v>11757.579999999931</c:v>
                </c:pt>
                <c:pt idx="283">
                  <c:v>11757.579999999931</c:v>
                </c:pt>
                <c:pt idx="284">
                  <c:v>11757.579999999931</c:v>
                </c:pt>
                <c:pt idx="285">
                  <c:v>11757.579999999931</c:v>
                </c:pt>
                <c:pt idx="286">
                  <c:v>11757.579999999931</c:v>
                </c:pt>
                <c:pt idx="287">
                  <c:v>11757.579999999931</c:v>
                </c:pt>
                <c:pt idx="288">
                  <c:v>11757.579999999931</c:v>
                </c:pt>
                <c:pt idx="289">
                  <c:v>11757.579999999931</c:v>
                </c:pt>
                <c:pt idx="290">
                  <c:v>14877.579999999931</c:v>
                </c:pt>
                <c:pt idx="291">
                  <c:v>14877.579999999931</c:v>
                </c:pt>
                <c:pt idx="292">
                  <c:v>14877.579999999931</c:v>
                </c:pt>
                <c:pt idx="293">
                  <c:v>14877.579999999931</c:v>
                </c:pt>
                <c:pt idx="294">
                  <c:v>14877.579999999931</c:v>
                </c:pt>
                <c:pt idx="295">
                  <c:v>14877.579999999931</c:v>
                </c:pt>
                <c:pt idx="296">
                  <c:v>14877.579999999931</c:v>
                </c:pt>
                <c:pt idx="297">
                  <c:v>14877.579999999931</c:v>
                </c:pt>
                <c:pt idx="298">
                  <c:v>14877.579999999931</c:v>
                </c:pt>
                <c:pt idx="299">
                  <c:v>14877.579999999931</c:v>
                </c:pt>
                <c:pt idx="300">
                  <c:v>14877.579999999931</c:v>
                </c:pt>
                <c:pt idx="301">
                  <c:v>14877.579999999931</c:v>
                </c:pt>
                <c:pt idx="302">
                  <c:v>14877.579999999931</c:v>
                </c:pt>
                <c:pt idx="303">
                  <c:v>15261.579999999931</c:v>
                </c:pt>
                <c:pt idx="304">
                  <c:v>15261.579999999931</c:v>
                </c:pt>
                <c:pt idx="305">
                  <c:v>15661.580000000136</c:v>
                </c:pt>
                <c:pt idx="306">
                  <c:v>15661.580000000136</c:v>
                </c:pt>
                <c:pt idx="307">
                  <c:v>15661.580000000136</c:v>
                </c:pt>
                <c:pt idx="308">
                  <c:v>15661.580000000136</c:v>
                </c:pt>
                <c:pt idx="309">
                  <c:v>15661.580000000136</c:v>
                </c:pt>
                <c:pt idx="310">
                  <c:v>15661.580000000136</c:v>
                </c:pt>
                <c:pt idx="311">
                  <c:v>15661.580000000136</c:v>
                </c:pt>
                <c:pt idx="312">
                  <c:v>15661.580000000136</c:v>
                </c:pt>
                <c:pt idx="313">
                  <c:v>16125.580000000136</c:v>
                </c:pt>
                <c:pt idx="314">
                  <c:v>16125.580000000136</c:v>
                </c:pt>
                <c:pt idx="315">
                  <c:v>16125.580000000136</c:v>
                </c:pt>
                <c:pt idx="316">
                  <c:v>16125.580000000136</c:v>
                </c:pt>
                <c:pt idx="317">
                  <c:v>16125.580000000136</c:v>
                </c:pt>
                <c:pt idx="318">
                  <c:v>16125.580000000136</c:v>
                </c:pt>
                <c:pt idx="319">
                  <c:v>16125.580000000136</c:v>
                </c:pt>
                <c:pt idx="320">
                  <c:v>16125.580000000136</c:v>
                </c:pt>
                <c:pt idx="321">
                  <c:v>16125.580000000136</c:v>
                </c:pt>
                <c:pt idx="322">
                  <c:v>16125.580000000136</c:v>
                </c:pt>
                <c:pt idx="323">
                  <c:v>16125.580000000136</c:v>
                </c:pt>
                <c:pt idx="324">
                  <c:v>16125.580000000136</c:v>
                </c:pt>
                <c:pt idx="325">
                  <c:v>16125.580000000136</c:v>
                </c:pt>
                <c:pt idx="326">
                  <c:v>16125.580000000136</c:v>
                </c:pt>
                <c:pt idx="327">
                  <c:v>16525.580000000136</c:v>
                </c:pt>
                <c:pt idx="328">
                  <c:v>16525.580000000136</c:v>
                </c:pt>
                <c:pt idx="329">
                  <c:v>17245.580000000136</c:v>
                </c:pt>
                <c:pt idx="330">
                  <c:v>17245.580000000136</c:v>
                </c:pt>
                <c:pt idx="331">
                  <c:v>17245.580000000136</c:v>
                </c:pt>
                <c:pt idx="332">
                  <c:v>19085.580000000136</c:v>
                </c:pt>
                <c:pt idx="333">
                  <c:v>19085.580000000136</c:v>
                </c:pt>
                <c:pt idx="334">
                  <c:v>19085.580000000136</c:v>
                </c:pt>
                <c:pt idx="335">
                  <c:v>19085.580000000136</c:v>
                </c:pt>
                <c:pt idx="336">
                  <c:v>19085.580000000136</c:v>
                </c:pt>
                <c:pt idx="337">
                  <c:v>19085.580000000136</c:v>
                </c:pt>
                <c:pt idx="338">
                  <c:v>19085.580000000136</c:v>
                </c:pt>
                <c:pt idx="339">
                  <c:v>19085.580000000136</c:v>
                </c:pt>
                <c:pt idx="340">
                  <c:v>19085.580000000136</c:v>
                </c:pt>
                <c:pt idx="341">
                  <c:v>19085.580000000136</c:v>
                </c:pt>
                <c:pt idx="342">
                  <c:v>19085.580000000136</c:v>
                </c:pt>
                <c:pt idx="343">
                  <c:v>19085.580000000136</c:v>
                </c:pt>
                <c:pt idx="344">
                  <c:v>19085.580000000136</c:v>
                </c:pt>
                <c:pt idx="345">
                  <c:v>19085.580000000136</c:v>
                </c:pt>
                <c:pt idx="346">
                  <c:v>19085.580000000136</c:v>
                </c:pt>
                <c:pt idx="347">
                  <c:v>19085.580000000136</c:v>
                </c:pt>
                <c:pt idx="348">
                  <c:v>19085.580000000136</c:v>
                </c:pt>
                <c:pt idx="349">
                  <c:v>19085.580000000136</c:v>
                </c:pt>
                <c:pt idx="350">
                  <c:v>19085.580000000136</c:v>
                </c:pt>
                <c:pt idx="351">
                  <c:v>19085.580000000136</c:v>
                </c:pt>
                <c:pt idx="352">
                  <c:v>19085.580000000136</c:v>
                </c:pt>
                <c:pt idx="353">
                  <c:v>19693.580000000136</c:v>
                </c:pt>
                <c:pt idx="354">
                  <c:v>19693.580000000136</c:v>
                </c:pt>
                <c:pt idx="355">
                  <c:v>19693.580000000136</c:v>
                </c:pt>
                <c:pt idx="356">
                  <c:v>19693.580000000136</c:v>
                </c:pt>
                <c:pt idx="357">
                  <c:v>20013.580000000136</c:v>
                </c:pt>
                <c:pt idx="358">
                  <c:v>20013.580000000136</c:v>
                </c:pt>
                <c:pt idx="359">
                  <c:v>20013.580000000136</c:v>
                </c:pt>
                <c:pt idx="360">
                  <c:v>20013.580000000136</c:v>
                </c:pt>
                <c:pt idx="361">
                  <c:v>20013.580000000136</c:v>
                </c:pt>
                <c:pt idx="362">
                  <c:v>20013.580000000136</c:v>
                </c:pt>
                <c:pt idx="363">
                  <c:v>20013.580000000136</c:v>
                </c:pt>
                <c:pt idx="364">
                  <c:v>23133.580000000136</c:v>
                </c:pt>
                <c:pt idx="365">
                  <c:v>23133.580000000136</c:v>
                </c:pt>
                <c:pt idx="366">
                  <c:v>23133.580000000136</c:v>
                </c:pt>
                <c:pt idx="367">
                  <c:v>23133.580000000136</c:v>
                </c:pt>
                <c:pt idx="368">
                  <c:v>23133.580000000136</c:v>
                </c:pt>
                <c:pt idx="369">
                  <c:v>22813.580000000136</c:v>
                </c:pt>
                <c:pt idx="370">
                  <c:v>23149.580000000136</c:v>
                </c:pt>
                <c:pt idx="371">
                  <c:v>23149.580000000136</c:v>
                </c:pt>
                <c:pt idx="372">
                  <c:v>23709.580000000136</c:v>
                </c:pt>
                <c:pt idx="373">
                  <c:v>24429.580000000136</c:v>
                </c:pt>
                <c:pt idx="374">
                  <c:v>24429.580000000136</c:v>
                </c:pt>
                <c:pt idx="375">
                  <c:v>24429.580000000136</c:v>
                </c:pt>
                <c:pt idx="376">
                  <c:v>24429.580000000136</c:v>
                </c:pt>
                <c:pt idx="377">
                  <c:v>24429.580000000136</c:v>
                </c:pt>
                <c:pt idx="378">
                  <c:v>24429.580000000136</c:v>
                </c:pt>
                <c:pt idx="379">
                  <c:v>24429.580000000136</c:v>
                </c:pt>
                <c:pt idx="380">
                  <c:v>24429.580000000136</c:v>
                </c:pt>
                <c:pt idx="381">
                  <c:v>24429.580000000136</c:v>
                </c:pt>
                <c:pt idx="382">
                  <c:v>24749.580000000136</c:v>
                </c:pt>
                <c:pt idx="383">
                  <c:v>24429.580000000136</c:v>
                </c:pt>
                <c:pt idx="384">
                  <c:v>24429.580000000136</c:v>
                </c:pt>
                <c:pt idx="385">
                  <c:v>24429.580000000136</c:v>
                </c:pt>
                <c:pt idx="386">
                  <c:v>24429.580000000136</c:v>
                </c:pt>
                <c:pt idx="387">
                  <c:v>24429.580000000136</c:v>
                </c:pt>
                <c:pt idx="388">
                  <c:v>24429.580000000136</c:v>
                </c:pt>
                <c:pt idx="389">
                  <c:v>24429.580000000136</c:v>
                </c:pt>
                <c:pt idx="390">
                  <c:v>24429.580000000136</c:v>
                </c:pt>
                <c:pt idx="391">
                  <c:v>24429.580000000136</c:v>
                </c:pt>
                <c:pt idx="392">
                  <c:v>24429.580000000136</c:v>
                </c:pt>
                <c:pt idx="393">
                  <c:v>24429.580000000136</c:v>
                </c:pt>
                <c:pt idx="394">
                  <c:v>24429.580000000136</c:v>
                </c:pt>
                <c:pt idx="395">
                  <c:v>23981.580000000136</c:v>
                </c:pt>
                <c:pt idx="396">
                  <c:v>24429.580000000136</c:v>
                </c:pt>
                <c:pt idx="397">
                  <c:v>24429.580000000136</c:v>
                </c:pt>
                <c:pt idx="398">
                  <c:v>23789.580000000136</c:v>
                </c:pt>
                <c:pt idx="399">
                  <c:v>23789.580000000136</c:v>
                </c:pt>
                <c:pt idx="400">
                  <c:v>22445.580000000136</c:v>
                </c:pt>
                <c:pt idx="401">
                  <c:v>21773.58000000014</c:v>
                </c:pt>
                <c:pt idx="402">
                  <c:v>21773.58000000014</c:v>
                </c:pt>
                <c:pt idx="403">
                  <c:v>21773.58000000014</c:v>
                </c:pt>
                <c:pt idx="404">
                  <c:v>21773.58000000014</c:v>
                </c:pt>
                <c:pt idx="405">
                  <c:v>21773.58000000014</c:v>
                </c:pt>
                <c:pt idx="406">
                  <c:v>21773.58000000014</c:v>
                </c:pt>
                <c:pt idx="407">
                  <c:v>21773.58000000014</c:v>
                </c:pt>
                <c:pt idx="408">
                  <c:v>21773.58000000014</c:v>
                </c:pt>
                <c:pt idx="409">
                  <c:v>21773.58000000014</c:v>
                </c:pt>
                <c:pt idx="410">
                  <c:v>21773.58000000014</c:v>
                </c:pt>
                <c:pt idx="411">
                  <c:v>21773.58000000014</c:v>
                </c:pt>
                <c:pt idx="412">
                  <c:v>21773.58000000014</c:v>
                </c:pt>
                <c:pt idx="413">
                  <c:v>21773.58000000014</c:v>
                </c:pt>
                <c:pt idx="414">
                  <c:v>21773.58000000014</c:v>
                </c:pt>
                <c:pt idx="415">
                  <c:v>22253.58000000014</c:v>
                </c:pt>
                <c:pt idx="416">
                  <c:v>22253.58000000014</c:v>
                </c:pt>
                <c:pt idx="417">
                  <c:v>22253.58000000014</c:v>
                </c:pt>
                <c:pt idx="418">
                  <c:v>22253.58000000014</c:v>
                </c:pt>
                <c:pt idx="419">
                  <c:v>22253.58000000014</c:v>
                </c:pt>
                <c:pt idx="420">
                  <c:v>22253.58000000014</c:v>
                </c:pt>
                <c:pt idx="421">
                  <c:v>22733.58000000014</c:v>
                </c:pt>
                <c:pt idx="422">
                  <c:v>22733.58000000014</c:v>
                </c:pt>
                <c:pt idx="423">
                  <c:v>23213.58000000014</c:v>
                </c:pt>
                <c:pt idx="424">
                  <c:v>23213.58000000014</c:v>
                </c:pt>
                <c:pt idx="425">
                  <c:v>23213.58000000014</c:v>
                </c:pt>
                <c:pt idx="426">
                  <c:v>23213.58000000014</c:v>
                </c:pt>
                <c:pt idx="427">
                  <c:v>23213.58000000014</c:v>
                </c:pt>
                <c:pt idx="428">
                  <c:v>22893.58000000014</c:v>
                </c:pt>
                <c:pt idx="429">
                  <c:v>22893.58000000014</c:v>
                </c:pt>
                <c:pt idx="430">
                  <c:v>22893.58000000014</c:v>
                </c:pt>
                <c:pt idx="431">
                  <c:v>22893.58000000014</c:v>
                </c:pt>
                <c:pt idx="432">
                  <c:v>22893.58000000014</c:v>
                </c:pt>
                <c:pt idx="433">
                  <c:v>22893.58000000014</c:v>
                </c:pt>
                <c:pt idx="434">
                  <c:v>22893.58000000014</c:v>
                </c:pt>
                <c:pt idx="435">
                  <c:v>22893.58000000014</c:v>
                </c:pt>
                <c:pt idx="436">
                  <c:v>22893.58000000014</c:v>
                </c:pt>
                <c:pt idx="437">
                  <c:v>22893.58000000014</c:v>
                </c:pt>
                <c:pt idx="438">
                  <c:v>22893.58000000014</c:v>
                </c:pt>
                <c:pt idx="439">
                  <c:v>22893.58000000014</c:v>
                </c:pt>
                <c:pt idx="440">
                  <c:v>22893.58000000014</c:v>
                </c:pt>
                <c:pt idx="441">
                  <c:v>22893.58000000014</c:v>
                </c:pt>
                <c:pt idx="442">
                  <c:v>22893.58000000014</c:v>
                </c:pt>
                <c:pt idx="443">
                  <c:v>23693.58000000014</c:v>
                </c:pt>
                <c:pt idx="444">
                  <c:v>23693.58000000014</c:v>
                </c:pt>
                <c:pt idx="445">
                  <c:v>24573.58000000014</c:v>
                </c:pt>
                <c:pt idx="446">
                  <c:v>24573.58000000014</c:v>
                </c:pt>
                <c:pt idx="447">
                  <c:v>24573.58000000014</c:v>
                </c:pt>
                <c:pt idx="448">
                  <c:v>24573.58000000014</c:v>
                </c:pt>
                <c:pt idx="449">
                  <c:v>24573.58000000014</c:v>
                </c:pt>
                <c:pt idx="450">
                  <c:v>24573.58000000014</c:v>
                </c:pt>
                <c:pt idx="451">
                  <c:v>24573.58000000014</c:v>
                </c:pt>
                <c:pt idx="452">
                  <c:v>24573.58000000014</c:v>
                </c:pt>
                <c:pt idx="453">
                  <c:v>24573.58000000014</c:v>
                </c:pt>
                <c:pt idx="454">
                  <c:v>24573.58000000014</c:v>
                </c:pt>
                <c:pt idx="455">
                  <c:v>24573.58000000014</c:v>
                </c:pt>
                <c:pt idx="456">
                  <c:v>24573.58000000014</c:v>
                </c:pt>
                <c:pt idx="457">
                  <c:v>24973.580000000344</c:v>
                </c:pt>
                <c:pt idx="458">
                  <c:v>24973.580000000344</c:v>
                </c:pt>
                <c:pt idx="459">
                  <c:v>24973.580000000344</c:v>
                </c:pt>
                <c:pt idx="460">
                  <c:v>24973.580000000344</c:v>
                </c:pt>
                <c:pt idx="461">
                  <c:v>24973.580000000344</c:v>
                </c:pt>
                <c:pt idx="462">
                  <c:v>24973.580000000344</c:v>
                </c:pt>
                <c:pt idx="463">
                  <c:v>24973.580000000344</c:v>
                </c:pt>
                <c:pt idx="464">
                  <c:v>24973.580000000344</c:v>
                </c:pt>
                <c:pt idx="465">
                  <c:v>24973.580000000344</c:v>
                </c:pt>
                <c:pt idx="466">
                  <c:v>24973.580000000344</c:v>
                </c:pt>
                <c:pt idx="467">
                  <c:v>24973.580000000344</c:v>
                </c:pt>
                <c:pt idx="468">
                  <c:v>24973.580000000344</c:v>
                </c:pt>
                <c:pt idx="469">
                  <c:v>24973.580000000344</c:v>
                </c:pt>
                <c:pt idx="470">
                  <c:v>24973.580000000344</c:v>
                </c:pt>
                <c:pt idx="471">
                  <c:v>24973.580000000344</c:v>
                </c:pt>
                <c:pt idx="472">
                  <c:v>24973.580000000344</c:v>
                </c:pt>
                <c:pt idx="473">
                  <c:v>24973.580000000344</c:v>
                </c:pt>
                <c:pt idx="474">
                  <c:v>24973.580000000344</c:v>
                </c:pt>
                <c:pt idx="475">
                  <c:v>25373.580000000344</c:v>
                </c:pt>
                <c:pt idx="476">
                  <c:v>25773.580000000344</c:v>
                </c:pt>
                <c:pt idx="477">
                  <c:v>26573.580000000344</c:v>
                </c:pt>
                <c:pt idx="478">
                  <c:v>27533.580000000344</c:v>
                </c:pt>
                <c:pt idx="479">
                  <c:v>27533.580000000344</c:v>
                </c:pt>
                <c:pt idx="480">
                  <c:v>27933.580000000344</c:v>
                </c:pt>
                <c:pt idx="481">
                  <c:v>28733.580000000344</c:v>
                </c:pt>
                <c:pt idx="482">
                  <c:v>28733.580000000344</c:v>
                </c:pt>
                <c:pt idx="483">
                  <c:v>26333.580000000344</c:v>
                </c:pt>
                <c:pt idx="484">
                  <c:v>23533.580000000344</c:v>
                </c:pt>
                <c:pt idx="485">
                  <c:v>20333.580000000344</c:v>
                </c:pt>
                <c:pt idx="486">
                  <c:v>19533.580000000344</c:v>
                </c:pt>
                <c:pt idx="487">
                  <c:v>19533.580000000344</c:v>
                </c:pt>
                <c:pt idx="488">
                  <c:v>19837.580000000344</c:v>
                </c:pt>
                <c:pt idx="489">
                  <c:v>19837.580000000344</c:v>
                </c:pt>
                <c:pt idx="490">
                  <c:v>19837.580000000344</c:v>
                </c:pt>
                <c:pt idx="491">
                  <c:v>19837.580000000344</c:v>
                </c:pt>
                <c:pt idx="492">
                  <c:v>19837.580000000344</c:v>
                </c:pt>
                <c:pt idx="493">
                  <c:v>19837.580000000344</c:v>
                </c:pt>
                <c:pt idx="494">
                  <c:v>19837.580000000344</c:v>
                </c:pt>
                <c:pt idx="495">
                  <c:v>19837.580000000344</c:v>
                </c:pt>
                <c:pt idx="496">
                  <c:v>19837.580000000344</c:v>
                </c:pt>
                <c:pt idx="497">
                  <c:v>19837.580000000344</c:v>
                </c:pt>
                <c:pt idx="498">
                  <c:v>19837.580000000344</c:v>
                </c:pt>
                <c:pt idx="499">
                  <c:v>22116.437142857485</c:v>
                </c:pt>
                <c:pt idx="500">
                  <c:v>23316.437142857485</c:v>
                </c:pt>
                <c:pt idx="501">
                  <c:v>23316.437142857485</c:v>
                </c:pt>
                <c:pt idx="502">
                  <c:v>23636.437142857485</c:v>
                </c:pt>
                <c:pt idx="503">
                  <c:v>23636.437142857485</c:v>
                </c:pt>
                <c:pt idx="504">
                  <c:v>23636.437142857485</c:v>
                </c:pt>
                <c:pt idx="505">
                  <c:v>23636.437142857485</c:v>
                </c:pt>
                <c:pt idx="506">
                  <c:v>24596.437142857485</c:v>
                </c:pt>
                <c:pt idx="507">
                  <c:v>24596.437142857485</c:v>
                </c:pt>
                <c:pt idx="508">
                  <c:v>24596.437142857485</c:v>
                </c:pt>
                <c:pt idx="509">
                  <c:v>24596.437142857485</c:v>
                </c:pt>
                <c:pt idx="510">
                  <c:v>24596.437142857485</c:v>
                </c:pt>
                <c:pt idx="511">
                  <c:v>24596.437142857485</c:v>
                </c:pt>
                <c:pt idx="512">
                  <c:v>24644.437142857485</c:v>
                </c:pt>
                <c:pt idx="513">
                  <c:v>24644.437142857485</c:v>
                </c:pt>
                <c:pt idx="514">
                  <c:v>24644.437142857485</c:v>
                </c:pt>
                <c:pt idx="515">
                  <c:v>24644.437142857485</c:v>
                </c:pt>
                <c:pt idx="516">
                  <c:v>24644.437142857485</c:v>
                </c:pt>
                <c:pt idx="517">
                  <c:v>24644.437142857485</c:v>
                </c:pt>
                <c:pt idx="518">
                  <c:v>24644.437142857485</c:v>
                </c:pt>
                <c:pt idx="519">
                  <c:v>25924.437142857485</c:v>
                </c:pt>
                <c:pt idx="520">
                  <c:v>25924.437142857485</c:v>
                </c:pt>
                <c:pt idx="521">
                  <c:v>30847.637142857486</c:v>
                </c:pt>
                <c:pt idx="522">
                  <c:v>30847.637142857486</c:v>
                </c:pt>
                <c:pt idx="523">
                  <c:v>31487.637142857486</c:v>
                </c:pt>
                <c:pt idx="524">
                  <c:v>31487.637142857486</c:v>
                </c:pt>
                <c:pt idx="525">
                  <c:v>31487.637142857486</c:v>
                </c:pt>
                <c:pt idx="526">
                  <c:v>30047.637142857486</c:v>
                </c:pt>
                <c:pt idx="527">
                  <c:v>30047.637142857486</c:v>
                </c:pt>
                <c:pt idx="528">
                  <c:v>30047.637142857486</c:v>
                </c:pt>
                <c:pt idx="529">
                  <c:v>30047.637142857486</c:v>
                </c:pt>
                <c:pt idx="530">
                  <c:v>30047.637142857486</c:v>
                </c:pt>
                <c:pt idx="531">
                  <c:v>30047.637142857486</c:v>
                </c:pt>
                <c:pt idx="532">
                  <c:v>30047.637142857486</c:v>
                </c:pt>
                <c:pt idx="533">
                  <c:v>30047.637142857486</c:v>
                </c:pt>
                <c:pt idx="534">
                  <c:v>30047.637142857486</c:v>
                </c:pt>
                <c:pt idx="535">
                  <c:v>30047.637142857486</c:v>
                </c:pt>
                <c:pt idx="536">
                  <c:v>30047.637142857486</c:v>
                </c:pt>
                <c:pt idx="537">
                  <c:v>30047.637142857486</c:v>
                </c:pt>
                <c:pt idx="538">
                  <c:v>30047.637142857486</c:v>
                </c:pt>
                <c:pt idx="539">
                  <c:v>30047.637142857486</c:v>
                </c:pt>
                <c:pt idx="540">
                  <c:v>30047.637142857486</c:v>
                </c:pt>
                <c:pt idx="541">
                  <c:v>30047.637142857486</c:v>
                </c:pt>
                <c:pt idx="542">
                  <c:v>30047.637142857486</c:v>
                </c:pt>
                <c:pt idx="543">
                  <c:v>30047.637142857486</c:v>
                </c:pt>
                <c:pt idx="544">
                  <c:v>30047.637142857486</c:v>
                </c:pt>
                <c:pt idx="545">
                  <c:v>30047.637142857486</c:v>
                </c:pt>
                <c:pt idx="546">
                  <c:v>30047.637142857486</c:v>
                </c:pt>
                <c:pt idx="547">
                  <c:v>30047.637142857486</c:v>
                </c:pt>
                <c:pt idx="548">
                  <c:v>33887.637142857486</c:v>
                </c:pt>
                <c:pt idx="549">
                  <c:v>30047.637142857486</c:v>
                </c:pt>
                <c:pt idx="550">
                  <c:v>30047.637142857486</c:v>
                </c:pt>
                <c:pt idx="551">
                  <c:v>30047.637142857486</c:v>
                </c:pt>
                <c:pt idx="552">
                  <c:v>32687.637142857486</c:v>
                </c:pt>
                <c:pt idx="553">
                  <c:v>33887.637142857486</c:v>
                </c:pt>
                <c:pt idx="554">
                  <c:v>35167.637142857486</c:v>
                </c:pt>
                <c:pt idx="555">
                  <c:v>36367.637142857486</c:v>
                </c:pt>
                <c:pt idx="556">
                  <c:v>14725.423836163412</c:v>
                </c:pt>
                <c:pt idx="557">
                  <c:v>36367.637142857486</c:v>
                </c:pt>
                <c:pt idx="558">
                  <c:v>36367.637142857486</c:v>
                </c:pt>
                <c:pt idx="559">
                  <c:v>36367.637142857486</c:v>
                </c:pt>
                <c:pt idx="560">
                  <c:v>36367.637142857486</c:v>
                </c:pt>
                <c:pt idx="561">
                  <c:v>35983.637142857486</c:v>
                </c:pt>
                <c:pt idx="562">
                  <c:v>34187.273506493846</c:v>
                </c:pt>
                <c:pt idx="563">
                  <c:v>34187.273506493846</c:v>
                </c:pt>
                <c:pt idx="564">
                  <c:v>34187.273506493846</c:v>
                </c:pt>
                <c:pt idx="565">
                  <c:v>34827.273506493846</c:v>
                </c:pt>
                <c:pt idx="566">
                  <c:v>34827.273506493846</c:v>
                </c:pt>
                <c:pt idx="567">
                  <c:v>34827.273506493846</c:v>
                </c:pt>
                <c:pt idx="568">
                  <c:v>35467.273506493846</c:v>
                </c:pt>
                <c:pt idx="569">
                  <c:v>16085.423836163443</c:v>
                </c:pt>
                <c:pt idx="570">
                  <c:v>35467.273506493846</c:v>
                </c:pt>
                <c:pt idx="571">
                  <c:v>36107.273506493846</c:v>
                </c:pt>
                <c:pt idx="572">
                  <c:v>16085.423836163443</c:v>
                </c:pt>
                <c:pt idx="573">
                  <c:v>36107.273506493846</c:v>
                </c:pt>
                <c:pt idx="574">
                  <c:v>36107.273506493846</c:v>
                </c:pt>
                <c:pt idx="575">
                  <c:v>36107.273506493846</c:v>
                </c:pt>
                <c:pt idx="576">
                  <c:v>16085.423836163443</c:v>
                </c:pt>
                <c:pt idx="577">
                  <c:v>14725.423836163412</c:v>
                </c:pt>
                <c:pt idx="578">
                  <c:v>36107.273506493846</c:v>
                </c:pt>
                <c:pt idx="579">
                  <c:v>36107.273506493846</c:v>
                </c:pt>
                <c:pt idx="580">
                  <c:v>36107.273506493846</c:v>
                </c:pt>
                <c:pt idx="581">
                  <c:v>36107.273506493846</c:v>
                </c:pt>
                <c:pt idx="582">
                  <c:v>35787.273506493846</c:v>
                </c:pt>
                <c:pt idx="583">
                  <c:v>35787.273506493846</c:v>
                </c:pt>
                <c:pt idx="584">
                  <c:v>37355.273506493846</c:v>
                </c:pt>
                <c:pt idx="585">
                  <c:v>35787.273506493846</c:v>
                </c:pt>
                <c:pt idx="586">
                  <c:v>35787.273506493846</c:v>
                </c:pt>
                <c:pt idx="587">
                  <c:v>38523.273506493846</c:v>
                </c:pt>
                <c:pt idx="588">
                  <c:v>36027.273506493846</c:v>
                </c:pt>
                <c:pt idx="589">
                  <c:v>36027.273506493846</c:v>
                </c:pt>
                <c:pt idx="590">
                  <c:v>36827.273506493846</c:v>
                </c:pt>
                <c:pt idx="591">
                  <c:v>36827.273506493846</c:v>
                </c:pt>
                <c:pt idx="592">
                  <c:v>37627.273506493846</c:v>
                </c:pt>
                <c:pt idx="593">
                  <c:v>38267.273506493846</c:v>
                </c:pt>
                <c:pt idx="594">
                  <c:v>38523.273506493846</c:v>
                </c:pt>
                <c:pt idx="595">
                  <c:v>38523.273506493846</c:v>
                </c:pt>
                <c:pt idx="596">
                  <c:v>38523.273506493846</c:v>
                </c:pt>
                <c:pt idx="597">
                  <c:v>39483.273506493846</c:v>
                </c:pt>
                <c:pt idx="598">
                  <c:v>39483.273506493846</c:v>
                </c:pt>
                <c:pt idx="599">
                  <c:v>39483.273506493846</c:v>
                </c:pt>
                <c:pt idx="600">
                  <c:v>37355.273506493846</c:v>
                </c:pt>
                <c:pt idx="601">
                  <c:v>39483.273506493846</c:v>
                </c:pt>
                <c:pt idx="602">
                  <c:v>39483.273506493846</c:v>
                </c:pt>
                <c:pt idx="603">
                  <c:v>39483.273506493846</c:v>
                </c:pt>
                <c:pt idx="604">
                  <c:v>39483.273506493846</c:v>
                </c:pt>
                <c:pt idx="605">
                  <c:v>39483.273506493846</c:v>
                </c:pt>
                <c:pt idx="606">
                  <c:v>38763.273506493846</c:v>
                </c:pt>
                <c:pt idx="607">
                  <c:v>38763.273506493846</c:v>
                </c:pt>
                <c:pt idx="608">
                  <c:v>38763.273506493846</c:v>
                </c:pt>
                <c:pt idx="609">
                  <c:v>37483.273506493846</c:v>
                </c:pt>
                <c:pt idx="610">
                  <c:v>36523.273506493846</c:v>
                </c:pt>
                <c:pt idx="611">
                  <c:v>37323.273506493846</c:v>
                </c:pt>
                <c:pt idx="612">
                  <c:v>37323.273506493846</c:v>
                </c:pt>
                <c:pt idx="613">
                  <c:v>37355.273506493846</c:v>
                </c:pt>
                <c:pt idx="614">
                  <c:v>37355.273506493846</c:v>
                </c:pt>
                <c:pt idx="615">
                  <c:v>37355.273506493846</c:v>
                </c:pt>
                <c:pt idx="616">
                  <c:v>37355.273506493846</c:v>
                </c:pt>
                <c:pt idx="617">
                  <c:v>37355.273506493846</c:v>
                </c:pt>
                <c:pt idx="618">
                  <c:v>37355.273506493846</c:v>
                </c:pt>
                <c:pt idx="619">
                  <c:v>37355.273506493846</c:v>
                </c:pt>
                <c:pt idx="620">
                  <c:v>37355.273506493846</c:v>
                </c:pt>
                <c:pt idx="621">
                  <c:v>16085.423836163443</c:v>
                </c:pt>
                <c:pt idx="622">
                  <c:v>38635.273506493846</c:v>
                </c:pt>
                <c:pt idx="623">
                  <c:v>38635.273506493846</c:v>
                </c:pt>
                <c:pt idx="624">
                  <c:v>39275.273506493846</c:v>
                </c:pt>
                <c:pt idx="625">
                  <c:v>39435.273506493846</c:v>
                </c:pt>
                <c:pt idx="626">
                  <c:v>39771.273506493846</c:v>
                </c:pt>
                <c:pt idx="627">
                  <c:v>39771.273506493846</c:v>
                </c:pt>
                <c:pt idx="628">
                  <c:v>16085.423836163443</c:v>
                </c:pt>
                <c:pt idx="629">
                  <c:v>39771.273506493846</c:v>
                </c:pt>
                <c:pt idx="630">
                  <c:v>39771.273506493846</c:v>
                </c:pt>
                <c:pt idx="631">
                  <c:v>39771.273506493846</c:v>
                </c:pt>
                <c:pt idx="632">
                  <c:v>39771.273506493846</c:v>
                </c:pt>
                <c:pt idx="633">
                  <c:v>39771.273506493846</c:v>
                </c:pt>
                <c:pt idx="634">
                  <c:v>39771.273506493846</c:v>
                </c:pt>
                <c:pt idx="635">
                  <c:v>39771.273506493846</c:v>
                </c:pt>
                <c:pt idx="636">
                  <c:v>39771.273506493846</c:v>
                </c:pt>
                <c:pt idx="637">
                  <c:v>39771.273506493846</c:v>
                </c:pt>
                <c:pt idx="638">
                  <c:v>39771.273506493846</c:v>
                </c:pt>
                <c:pt idx="639">
                  <c:v>37851.273506493846</c:v>
                </c:pt>
                <c:pt idx="640">
                  <c:v>16085.423836163443</c:v>
                </c:pt>
                <c:pt idx="641">
                  <c:v>36036.873506493845</c:v>
                </c:pt>
                <c:pt idx="642">
                  <c:v>35716.873506493845</c:v>
                </c:pt>
                <c:pt idx="643">
                  <c:v>16085.423836163443</c:v>
                </c:pt>
                <c:pt idx="644">
                  <c:v>35716.873506493845</c:v>
                </c:pt>
                <c:pt idx="645">
                  <c:v>35716.873506493845</c:v>
                </c:pt>
                <c:pt idx="646">
                  <c:v>31576.759220779561</c:v>
                </c:pt>
                <c:pt idx="647">
                  <c:v>35716.873506493845</c:v>
                </c:pt>
                <c:pt idx="648">
                  <c:v>31576.759220779561</c:v>
                </c:pt>
                <c:pt idx="649">
                  <c:v>36124.873506493845</c:v>
                </c:pt>
                <c:pt idx="650">
                  <c:v>36124.873506493845</c:v>
                </c:pt>
                <c:pt idx="651">
                  <c:v>36124.873506493845</c:v>
                </c:pt>
                <c:pt idx="652">
                  <c:v>36124.873506493845</c:v>
                </c:pt>
                <c:pt idx="653">
                  <c:v>36124.873506493845</c:v>
                </c:pt>
                <c:pt idx="654">
                  <c:v>36124.873506493845</c:v>
                </c:pt>
                <c:pt idx="655">
                  <c:v>36124.873506493845</c:v>
                </c:pt>
                <c:pt idx="656">
                  <c:v>36124.873506493845</c:v>
                </c:pt>
                <c:pt idx="657">
                  <c:v>36124.873506493845</c:v>
                </c:pt>
                <c:pt idx="658">
                  <c:v>36124.873506493845</c:v>
                </c:pt>
                <c:pt idx="659">
                  <c:v>36124.873506493845</c:v>
                </c:pt>
                <c:pt idx="660">
                  <c:v>34684.873506493845</c:v>
                </c:pt>
                <c:pt idx="661">
                  <c:v>34684.873506493845</c:v>
                </c:pt>
                <c:pt idx="662">
                  <c:v>34684.873506493845</c:v>
                </c:pt>
                <c:pt idx="663">
                  <c:v>34684.873506493845</c:v>
                </c:pt>
                <c:pt idx="664">
                  <c:v>34684.873506493845</c:v>
                </c:pt>
                <c:pt idx="665">
                  <c:v>30799.159220779558</c:v>
                </c:pt>
                <c:pt idx="666">
                  <c:v>28879.159220779558</c:v>
                </c:pt>
                <c:pt idx="667">
                  <c:v>31576.759220779561</c:v>
                </c:pt>
                <c:pt idx="668">
                  <c:v>23519.159220779562</c:v>
                </c:pt>
                <c:pt idx="669">
                  <c:v>23519.159220779562</c:v>
                </c:pt>
                <c:pt idx="670">
                  <c:v>23519.159220779562</c:v>
                </c:pt>
                <c:pt idx="671">
                  <c:v>25576.759220779561</c:v>
                </c:pt>
                <c:pt idx="672">
                  <c:v>22664.759220779561</c:v>
                </c:pt>
                <c:pt idx="673">
                  <c:v>22664.759220779561</c:v>
                </c:pt>
                <c:pt idx="674">
                  <c:v>23336.759220779561</c:v>
                </c:pt>
                <c:pt idx="675">
                  <c:v>25576.759220779561</c:v>
                </c:pt>
                <c:pt idx="676">
                  <c:v>23336.759220779561</c:v>
                </c:pt>
                <c:pt idx="677">
                  <c:v>23336.759220779561</c:v>
                </c:pt>
                <c:pt idx="678">
                  <c:v>23336.759220779561</c:v>
                </c:pt>
                <c:pt idx="679">
                  <c:v>23336.759220779561</c:v>
                </c:pt>
                <c:pt idx="680">
                  <c:v>23336.759220779561</c:v>
                </c:pt>
                <c:pt idx="681">
                  <c:v>23336.759220779561</c:v>
                </c:pt>
                <c:pt idx="682">
                  <c:v>23336.759220779561</c:v>
                </c:pt>
                <c:pt idx="683">
                  <c:v>23336.759220779561</c:v>
                </c:pt>
                <c:pt idx="684">
                  <c:v>25576.759220779561</c:v>
                </c:pt>
                <c:pt idx="685">
                  <c:v>23336.759220779561</c:v>
                </c:pt>
                <c:pt idx="686">
                  <c:v>23336.759220779561</c:v>
                </c:pt>
                <c:pt idx="687">
                  <c:v>23336.759220779561</c:v>
                </c:pt>
                <c:pt idx="688">
                  <c:v>23336.759220779561</c:v>
                </c:pt>
                <c:pt idx="689">
                  <c:v>23336.759220779561</c:v>
                </c:pt>
                <c:pt idx="690">
                  <c:v>23336.759220779561</c:v>
                </c:pt>
                <c:pt idx="691">
                  <c:v>23336.759220779561</c:v>
                </c:pt>
                <c:pt idx="692">
                  <c:v>23336.759220779561</c:v>
                </c:pt>
                <c:pt idx="693">
                  <c:v>23336.759220779561</c:v>
                </c:pt>
                <c:pt idx="694">
                  <c:v>23336.759220779561</c:v>
                </c:pt>
                <c:pt idx="695">
                  <c:v>23336.759220779561</c:v>
                </c:pt>
                <c:pt idx="696">
                  <c:v>23336.759220779561</c:v>
                </c:pt>
                <c:pt idx="697">
                  <c:v>25576.759220779561</c:v>
                </c:pt>
                <c:pt idx="698">
                  <c:v>25576.759220779561</c:v>
                </c:pt>
                <c:pt idx="699">
                  <c:v>25576.759220779561</c:v>
                </c:pt>
                <c:pt idx="700">
                  <c:v>25576.759220779561</c:v>
                </c:pt>
                <c:pt idx="701">
                  <c:v>25576.759220779561</c:v>
                </c:pt>
                <c:pt idx="702">
                  <c:v>25576.759220779561</c:v>
                </c:pt>
                <c:pt idx="703">
                  <c:v>31576.759220779561</c:v>
                </c:pt>
                <c:pt idx="704">
                  <c:v>25576.759220779561</c:v>
                </c:pt>
                <c:pt idx="705">
                  <c:v>25576.759220779561</c:v>
                </c:pt>
                <c:pt idx="706">
                  <c:v>25576.759220779561</c:v>
                </c:pt>
                <c:pt idx="707">
                  <c:v>25576.759220779561</c:v>
                </c:pt>
                <c:pt idx="708">
                  <c:v>25576.759220779561</c:v>
                </c:pt>
                <c:pt idx="709">
                  <c:v>25576.759220779561</c:v>
                </c:pt>
                <c:pt idx="710">
                  <c:v>26136.759220779561</c:v>
                </c:pt>
                <c:pt idx="711">
                  <c:v>27736.759220779561</c:v>
                </c:pt>
                <c:pt idx="712">
                  <c:v>31576.759220779561</c:v>
                </c:pt>
                <c:pt idx="713">
                  <c:v>27736.759220779561</c:v>
                </c:pt>
                <c:pt idx="714">
                  <c:v>27736.759220779561</c:v>
                </c:pt>
                <c:pt idx="715">
                  <c:v>31576.759220779561</c:v>
                </c:pt>
                <c:pt idx="716">
                  <c:v>31576.759220779561</c:v>
                </c:pt>
                <c:pt idx="717">
                  <c:v>27736.759220779561</c:v>
                </c:pt>
                <c:pt idx="718">
                  <c:v>27736.759220779561</c:v>
                </c:pt>
                <c:pt idx="719">
                  <c:v>31576.759220779561</c:v>
                </c:pt>
                <c:pt idx="720">
                  <c:v>27736.759220779561</c:v>
                </c:pt>
                <c:pt idx="721">
                  <c:v>27736.759220779561</c:v>
                </c:pt>
                <c:pt idx="722">
                  <c:v>31336.759220779561</c:v>
                </c:pt>
                <c:pt idx="723">
                  <c:v>31576.759220779561</c:v>
                </c:pt>
                <c:pt idx="724">
                  <c:v>31576.759220779561</c:v>
                </c:pt>
                <c:pt idx="725">
                  <c:v>31576.759220779561</c:v>
                </c:pt>
                <c:pt idx="726">
                  <c:v>31576.759220779561</c:v>
                </c:pt>
                <c:pt idx="727">
                  <c:v>31576.759220779561</c:v>
                </c:pt>
                <c:pt idx="728">
                  <c:v>31576.759220779561</c:v>
                </c:pt>
                <c:pt idx="729">
                  <c:v>31576.759220779561</c:v>
                </c:pt>
                <c:pt idx="730">
                  <c:v>31576.759220779561</c:v>
                </c:pt>
                <c:pt idx="731">
                  <c:v>31576.759220779561</c:v>
                </c:pt>
                <c:pt idx="732">
                  <c:v>16085.423836163443</c:v>
                </c:pt>
                <c:pt idx="733">
                  <c:v>17144.143836163403</c:v>
                </c:pt>
                <c:pt idx="734">
                  <c:v>31576.759220779561</c:v>
                </c:pt>
                <c:pt idx="735">
                  <c:v>31576.759220779561</c:v>
                </c:pt>
                <c:pt idx="736">
                  <c:v>31576.759220779561</c:v>
                </c:pt>
                <c:pt idx="737">
                  <c:v>31576.759220779561</c:v>
                </c:pt>
                <c:pt idx="738">
                  <c:v>31576.759220779561</c:v>
                </c:pt>
                <c:pt idx="739">
                  <c:v>17144.143836163403</c:v>
                </c:pt>
                <c:pt idx="740">
                  <c:v>31576.759220779561</c:v>
                </c:pt>
                <c:pt idx="741">
                  <c:v>31576.759220779561</c:v>
                </c:pt>
                <c:pt idx="742">
                  <c:v>32776.759220779561</c:v>
                </c:pt>
                <c:pt idx="743">
                  <c:v>31576.759220779561</c:v>
                </c:pt>
                <c:pt idx="744">
                  <c:v>31576.759220779561</c:v>
                </c:pt>
                <c:pt idx="745">
                  <c:v>31576.759220779561</c:v>
                </c:pt>
                <c:pt idx="746">
                  <c:v>31576.759220779561</c:v>
                </c:pt>
                <c:pt idx="747">
                  <c:v>32776.759220779561</c:v>
                </c:pt>
                <c:pt idx="748">
                  <c:v>31576.759220779561</c:v>
                </c:pt>
                <c:pt idx="749">
                  <c:v>31576.759220779561</c:v>
                </c:pt>
                <c:pt idx="750">
                  <c:v>31576.759220779561</c:v>
                </c:pt>
                <c:pt idx="751">
                  <c:v>31576.759220779561</c:v>
                </c:pt>
                <c:pt idx="752">
                  <c:v>31576.759220779561</c:v>
                </c:pt>
                <c:pt idx="753">
                  <c:v>31576.759220779561</c:v>
                </c:pt>
                <c:pt idx="754">
                  <c:v>31576.759220779561</c:v>
                </c:pt>
                <c:pt idx="755">
                  <c:v>32776.759220779561</c:v>
                </c:pt>
                <c:pt idx="756">
                  <c:v>32776.759220779561</c:v>
                </c:pt>
                <c:pt idx="757">
                  <c:v>32776.759220779561</c:v>
                </c:pt>
                <c:pt idx="758">
                  <c:v>32776.759220779561</c:v>
                </c:pt>
                <c:pt idx="759">
                  <c:v>32776.759220779561</c:v>
                </c:pt>
                <c:pt idx="760">
                  <c:v>32776.759220779561</c:v>
                </c:pt>
                <c:pt idx="761">
                  <c:v>32776.759220779561</c:v>
                </c:pt>
                <c:pt idx="762">
                  <c:v>32776.759220779561</c:v>
                </c:pt>
                <c:pt idx="763">
                  <c:v>34464.143836164178</c:v>
                </c:pt>
                <c:pt idx="764">
                  <c:v>32776.759220779561</c:v>
                </c:pt>
                <c:pt idx="765">
                  <c:v>32776.759220779561</c:v>
                </c:pt>
                <c:pt idx="766">
                  <c:v>32776.759220779561</c:v>
                </c:pt>
                <c:pt idx="767">
                  <c:v>32776.759220779561</c:v>
                </c:pt>
                <c:pt idx="768">
                  <c:v>32936.759220779561</c:v>
                </c:pt>
                <c:pt idx="769">
                  <c:v>32936.759220779561</c:v>
                </c:pt>
                <c:pt idx="770">
                  <c:v>32848.143836164178</c:v>
                </c:pt>
                <c:pt idx="771">
                  <c:v>32848.143836164178</c:v>
                </c:pt>
                <c:pt idx="772">
                  <c:v>32848.143836164178</c:v>
                </c:pt>
                <c:pt idx="773">
                  <c:v>32848.143836164178</c:v>
                </c:pt>
                <c:pt idx="774">
                  <c:v>32848.143836164178</c:v>
                </c:pt>
                <c:pt idx="775">
                  <c:v>34464.143836164178</c:v>
                </c:pt>
                <c:pt idx="776">
                  <c:v>35024.14383616417</c:v>
                </c:pt>
                <c:pt idx="777">
                  <c:v>34464.143836164178</c:v>
                </c:pt>
                <c:pt idx="778">
                  <c:v>34464.143836164178</c:v>
                </c:pt>
                <c:pt idx="779">
                  <c:v>34464.143836164178</c:v>
                </c:pt>
                <c:pt idx="780">
                  <c:v>34464.143836164178</c:v>
                </c:pt>
                <c:pt idx="781">
                  <c:v>34464.143836164178</c:v>
                </c:pt>
                <c:pt idx="782">
                  <c:v>34464.143836164178</c:v>
                </c:pt>
                <c:pt idx="783">
                  <c:v>34464.143836164178</c:v>
                </c:pt>
                <c:pt idx="784">
                  <c:v>34464.143836164178</c:v>
                </c:pt>
                <c:pt idx="785">
                  <c:v>34464.143836164178</c:v>
                </c:pt>
                <c:pt idx="786">
                  <c:v>35024.14383616417</c:v>
                </c:pt>
                <c:pt idx="787">
                  <c:v>34464.143836164178</c:v>
                </c:pt>
                <c:pt idx="788">
                  <c:v>34224.143836164178</c:v>
                </c:pt>
                <c:pt idx="789">
                  <c:v>35024.14383616417</c:v>
                </c:pt>
                <c:pt idx="790">
                  <c:v>34224.143836164178</c:v>
                </c:pt>
                <c:pt idx="791">
                  <c:v>34224.143836164178</c:v>
                </c:pt>
                <c:pt idx="792">
                  <c:v>34224.143836164178</c:v>
                </c:pt>
                <c:pt idx="793">
                  <c:v>35024.14383616417</c:v>
                </c:pt>
                <c:pt idx="794">
                  <c:v>35024.14383616417</c:v>
                </c:pt>
                <c:pt idx="795">
                  <c:v>35024.14383616417</c:v>
                </c:pt>
                <c:pt idx="796">
                  <c:v>34608.14383616417</c:v>
                </c:pt>
                <c:pt idx="797">
                  <c:v>35024.14383616417</c:v>
                </c:pt>
                <c:pt idx="798">
                  <c:v>35024.14383616417</c:v>
                </c:pt>
                <c:pt idx="799">
                  <c:v>34608.14383616417</c:v>
                </c:pt>
                <c:pt idx="800">
                  <c:v>35024.14383616417</c:v>
                </c:pt>
                <c:pt idx="801">
                  <c:v>35024.14383616417</c:v>
                </c:pt>
                <c:pt idx="802">
                  <c:v>34224.14383616417</c:v>
                </c:pt>
                <c:pt idx="803">
                  <c:v>34608.14383616417</c:v>
                </c:pt>
                <c:pt idx="804">
                  <c:v>35024.14383616417</c:v>
                </c:pt>
                <c:pt idx="805">
                  <c:v>35024.14383616417</c:v>
                </c:pt>
                <c:pt idx="806">
                  <c:v>35024.14383616417</c:v>
                </c:pt>
                <c:pt idx="807">
                  <c:v>34224.14383616417</c:v>
                </c:pt>
                <c:pt idx="808">
                  <c:v>34224.14383616417</c:v>
                </c:pt>
                <c:pt idx="809">
                  <c:v>34224.14383616417</c:v>
                </c:pt>
                <c:pt idx="810">
                  <c:v>34224.14383616417</c:v>
                </c:pt>
                <c:pt idx="811">
                  <c:v>34224.14383616417</c:v>
                </c:pt>
                <c:pt idx="812">
                  <c:v>34224.14383616417</c:v>
                </c:pt>
                <c:pt idx="813">
                  <c:v>34224.14383616417</c:v>
                </c:pt>
                <c:pt idx="814">
                  <c:v>34608.14383616417</c:v>
                </c:pt>
                <c:pt idx="815">
                  <c:v>17144.143836163403</c:v>
                </c:pt>
                <c:pt idx="816">
                  <c:v>34224.14383616417</c:v>
                </c:pt>
                <c:pt idx="817">
                  <c:v>34704.14383616417</c:v>
                </c:pt>
                <c:pt idx="818">
                  <c:v>34608.14383616417</c:v>
                </c:pt>
                <c:pt idx="819">
                  <c:v>34704.14383616417</c:v>
                </c:pt>
                <c:pt idx="820">
                  <c:v>34704.14383616417</c:v>
                </c:pt>
                <c:pt idx="821">
                  <c:v>34704.14383616417</c:v>
                </c:pt>
                <c:pt idx="822">
                  <c:v>34704.14383616417</c:v>
                </c:pt>
                <c:pt idx="823">
                  <c:v>34608.14383616417</c:v>
                </c:pt>
                <c:pt idx="824">
                  <c:v>17144.143836163403</c:v>
                </c:pt>
                <c:pt idx="825">
                  <c:v>34608.14383616417</c:v>
                </c:pt>
                <c:pt idx="826">
                  <c:v>34608.14383616417</c:v>
                </c:pt>
                <c:pt idx="827">
                  <c:v>34608.14383616417</c:v>
                </c:pt>
                <c:pt idx="828">
                  <c:v>17144.143836163403</c:v>
                </c:pt>
                <c:pt idx="829">
                  <c:v>17144.143836163403</c:v>
                </c:pt>
                <c:pt idx="830">
                  <c:v>34608.14383616417</c:v>
                </c:pt>
                <c:pt idx="831">
                  <c:v>34608.14383616417</c:v>
                </c:pt>
                <c:pt idx="832">
                  <c:v>33408.14383616417</c:v>
                </c:pt>
                <c:pt idx="833">
                  <c:v>27752.14383616417</c:v>
                </c:pt>
                <c:pt idx="834">
                  <c:v>27752.14383616417</c:v>
                </c:pt>
                <c:pt idx="835">
                  <c:v>17144.143836163403</c:v>
                </c:pt>
                <c:pt idx="836">
                  <c:v>17144.143836163403</c:v>
                </c:pt>
                <c:pt idx="837">
                  <c:v>27752.14383616417</c:v>
                </c:pt>
                <c:pt idx="838">
                  <c:v>17144.143836163403</c:v>
                </c:pt>
                <c:pt idx="839">
                  <c:v>17144.143836163403</c:v>
                </c:pt>
                <c:pt idx="840">
                  <c:v>27752.14383616417</c:v>
                </c:pt>
                <c:pt idx="841">
                  <c:v>30504.143836164167</c:v>
                </c:pt>
                <c:pt idx="842">
                  <c:v>30504.143836164167</c:v>
                </c:pt>
                <c:pt idx="843">
                  <c:v>30504.143836164167</c:v>
                </c:pt>
                <c:pt idx="844">
                  <c:v>30504.143836164167</c:v>
                </c:pt>
                <c:pt idx="845">
                  <c:v>30504.143836164167</c:v>
                </c:pt>
                <c:pt idx="846">
                  <c:v>19464.143836163403</c:v>
                </c:pt>
                <c:pt idx="847">
                  <c:v>17144.143836163403</c:v>
                </c:pt>
                <c:pt idx="848">
                  <c:v>30504.143836164167</c:v>
                </c:pt>
                <c:pt idx="849">
                  <c:v>30184.143836164003</c:v>
                </c:pt>
                <c:pt idx="850">
                  <c:v>19464.143836163403</c:v>
                </c:pt>
                <c:pt idx="851">
                  <c:v>17144.143836163403</c:v>
                </c:pt>
                <c:pt idx="852">
                  <c:v>30184.143836164003</c:v>
                </c:pt>
                <c:pt idx="853">
                  <c:v>30184.143836164003</c:v>
                </c:pt>
                <c:pt idx="854">
                  <c:v>30184.143836164003</c:v>
                </c:pt>
                <c:pt idx="855">
                  <c:v>26344.143836163403</c:v>
                </c:pt>
                <c:pt idx="856">
                  <c:v>25064.143836163403</c:v>
                </c:pt>
                <c:pt idx="857">
                  <c:v>25064.143836163403</c:v>
                </c:pt>
                <c:pt idx="858">
                  <c:v>22664.143836163403</c:v>
                </c:pt>
                <c:pt idx="859">
                  <c:v>22664.143836163403</c:v>
                </c:pt>
                <c:pt idx="860">
                  <c:v>19464.143836163403</c:v>
                </c:pt>
                <c:pt idx="861">
                  <c:v>19464.143836163403</c:v>
                </c:pt>
                <c:pt idx="862">
                  <c:v>19464.143836163403</c:v>
                </c:pt>
                <c:pt idx="863">
                  <c:v>17144.143836163403</c:v>
                </c:pt>
                <c:pt idx="864">
                  <c:v>17144.143836163403</c:v>
                </c:pt>
                <c:pt idx="865">
                  <c:v>19464.143836163403</c:v>
                </c:pt>
                <c:pt idx="866">
                  <c:v>19464.143836163403</c:v>
                </c:pt>
                <c:pt idx="867">
                  <c:v>18264.143836163403</c:v>
                </c:pt>
                <c:pt idx="868">
                  <c:v>17144.143836163403</c:v>
                </c:pt>
                <c:pt idx="869">
                  <c:v>17144.143836163403</c:v>
                </c:pt>
                <c:pt idx="870">
                  <c:v>17144.143836163403</c:v>
                </c:pt>
                <c:pt idx="871">
                  <c:v>17144.143836163403</c:v>
                </c:pt>
                <c:pt idx="872">
                  <c:v>17144.143836163403</c:v>
                </c:pt>
                <c:pt idx="873">
                  <c:v>17144.143836163403</c:v>
                </c:pt>
                <c:pt idx="874">
                  <c:v>17144.143836163403</c:v>
                </c:pt>
                <c:pt idx="875">
                  <c:v>17144.143836163403</c:v>
                </c:pt>
                <c:pt idx="876">
                  <c:v>17144.143836163403</c:v>
                </c:pt>
                <c:pt idx="877">
                  <c:v>17144.143836163403</c:v>
                </c:pt>
                <c:pt idx="878">
                  <c:v>17144.143836163403</c:v>
                </c:pt>
                <c:pt idx="879">
                  <c:v>17144.143836163403</c:v>
                </c:pt>
                <c:pt idx="880">
                  <c:v>17144.143836163403</c:v>
                </c:pt>
                <c:pt idx="881">
                  <c:v>17144.143836163403</c:v>
                </c:pt>
                <c:pt idx="882">
                  <c:v>17144.143836163403</c:v>
                </c:pt>
                <c:pt idx="883">
                  <c:v>17144.143836163403</c:v>
                </c:pt>
                <c:pt idx="884">
                  <c:v>17144.143836163403</c:v>
                </c:pt>
                <c:pt idx="885">
                  <c:v>17144.143836163403</c:v>
                </c:pt>
                <c:pt idx="886">
                  <c:v>17144.143836163403</c:v>
                </c:pt>
                <c:pt idx="887">
                  <c:v>17144.143836163403</c:v>
                </c:pt>
                <c:pt idx="888">
                  <c:v>17144.143836163403</c:v>
                </c:pt>
                <c:pt idx="889">
                  <c:v>2260.1334672059916</c:v>
                </c:pt>
                <c:pt idx="890">
                  <c:v>17144.143836163403</c:v>
                </c:pt>
                <c:pt idx="891">
                  <c:v>17144.143836163403</c:v>
                </c:pt>
                <c:pt idx="892">
                  <c:v>17144.143836163403</c:v>
                </c:pt>
                <c:pt idx="893">
                  <c:v>17144.143836163403</c:v>
                </c:pt>
                <c:pt idx="894">
                  <c:v>17144.143836163403</c:v>
                </c:pt>
                <c:pt idx="895">
                  <c:v>17144.143836163403</c:v>
                </c:pt>
                <c:pt idx="896">
                  <c:v>17144.143836163403</c:v>
                </c:pt>
                <c:pt idx="897">
                  <c:v>17144.143836163403</c:v>
                </c:pt>
                <c:pt idx="898">
                  <c:v>17144.143836163403</c:v>
                </c:pt>
                <c:pt idx="899">
                  <c:v>17144.143836163403</c:v>
                </c:pt>
                <c:pt idx="900">
                  <c:v>17144.143836163403</c:v>
                </c:pt>
                <c:pt idx="901">
                  <c:v>17144.143836163403</c:v>
                </c:pt>
                <c:pt idx="902">
                  <c:v>17144.143836163403</c:v>
                </c:pt>
                <c:pt idx="903">
                  <c:v>15912.143836163443</c:v>
                </c:pt>
                <c:pt idx="904">
                  <c:v>17144.143836163403</c:v>
                </c:pt>
                <c:pt idx="905">
                  <c:v>17144.143836163403</c:v>
                </c:pt>
                <c:pt idx="906">
                  <c:v>17144.143836163403</c:v>
                </c:pt>
                <c:pt idx="907">
                  <c:v>17144.143836163403</c:v>
                </c:pt>
                <c:pt idx="908">
                  <c:v>17144.143836163403</c:v>
                </c:pt>
                <c:pt idx="909">
                  <c:v>17144.143836163403</c:v>
                </c:pt>
                <c:pt idx="910">
                  <c:v>17144.143836163403</c:v>
                </c:pt>
                <c:pt idx="911">
                  <c:v>17144.143836163403</c:v>
                </c:pt>
                <c:pt idx="912">
                  <c:v>17144.143836163403</c:v>
                </c:pt>
                <c:pt idx="913">
                  <c:v>15912.143836163443</c:v>
                </c:pt>
                <c:pt idx="914">
                  <c:v>15816.143836163405</c:v>
                </c:pt>
                <c:pt idx="915">
                  <c:v>15816.143836163405</c:v>
                </c:pt>
                <c:pt idx="916">
                  <c:v>15816.143836163405</c:v>
                </c:pt>
                <c:pt idx="917">
                  <c:v>15816.143836163405</c:v>
                </c:pt>
                <c:pt idx="918">
                  <c:v>15816.143836163405</c:v>
                </c:pt>
                <c:pt idx="919">
                  <c:v>16072.14383616341</c:v>
                </c:pt>
                <c:pt idx="920">
                  <c:v>16072.14383616341</c:v>
                </c:pt>
                <c:pt idx="921">
                  <c:v>16072.14383616341</c:v>
                </c:pt>
                <c:pt idx="922">
                  <c:v>16072.14383616341</c:v>
                </c:pt>
                <c:pt idx="923">
                  <c:v>16072.14383616341</c:v>
                </c:pt>
                <c:pt idx="924">
                  <c:v>15912.143836163443</c:v>
                </c:pt>
                <c:pt idx="925">
                  <c:v>15912.143836163443</c:v>
                </c:pt>
                <c:pt idx="926">
                  <c:v>15912.143836163443</c:v>
                </c:pt>
                <c:pt idx="927">
                  <c:v>15912.143836163443</c:v>
                </c:pt>
                <c:pt idx="928">
                  <c:v>15912.143836163443</c:v>
                </c:pt>
                <c:pt idx="929">
                  <c:v>15912.143836163443</c:v>
                </c:pt>
                <c:pt idx="930">
                  <c:v>15912.143836163443</c:v>
                </c:pt>
                <c:pt idx="931">
                  <c:v>16085.423836163443</c:v>
                </c:pt>
                <c:pt idx="932">
                  <c:v>16440.143836163443</c:v>
                </c:pt>
                <c:pt idx="933">
                  <c:v>16440.143836163443</c:v>
                </c:pt>
                <c:pt idx="934">
                  <c:v>16440.143836163443</c:v>
                </c:pt>
                <c:pt idx="935">
                  <c:v>16440.143836163443</c:v>
                </c:pt>
                <c:pt idx="936">
                  <c:v>16680.143836163443</c:v>
                </c:pt>
                <c:pt idx="937">
                  <c:v>16936.143836163443</c:v>
                </c:pt>
                <c:pt idx="938">
                  <c:v>16936.143836163443</c:v>
                </c:pt>
                <c:pt idx="939">
                  <c:v>16936.143836163443</c:v>
                </c:pt>
                <c:pt idx="940">
                  <c:v>16085.423836163443</c:v>
                </c:pt>
                <c:pt idx="941">
                  <c:v>16936.143836163443</c:v>
                </c:pt>
                <c:pt idx="942">
                  <c:v>17080.143836163443</c:v>
                </c:pt>
                <c:pt idx="943">
                  <c:v>17080.143836163443</c:v>
                </c:pt>
                <c:pt idx="944">
                  <c:v>16470.223836163445</c:v>
                </c:pt>
                <c:pt idx="945">
                  <c:v>16201.423836163443</c:v>
                </c:pt>
                <c:pt idx="946">
                  <c:v>15737.423836163443</c:v>
                </c:pt>
                <c:pt idx="947">
                  <c:v>15737.423836163443</c:v>
                </c:pt>
                <c:pt idx="948">
                  <c:v>16085.423836163443</c:v>
                </c:pt>
                <c:pt idx="949">
                  <c:v>15881.423836163443</c:v>
                </c:pt>
                <c:pt idx="950">
                  <c:v>15881.423836163443</c:v>
                </c:pt>
                <c:pt idx="951">
                  <c:v>15881.423836163443</c:v>
                </c:pt>
                <c:pt idx="952">
                  <c:v>15881.423836163443</c:v>
                </c:pt>
                <c:pt idx="953">
                  <c:v>15881.423836163443</c:v>
                </c:pt>
                <c:pt idx="954">
                  <c:v>15881.423836163443</c:v>
                </c:pt>
                <c:pt idx="955">
                  <c:v>15881.423836163443</c:v>
                </c:pt>
                <c:pt idx="956">
                  <c:v>15881.423836163443</c:v>
                </c:pt>
                <c:pt idx="957">
                  <c:v>15881.423836163443</c:v>
                </c:pt>
                <c:pt idx="958">
                  <c:v>16085.423836163443</c:v>
                </c:pt>
                <c:pt idx="959">
                  <c:v>15881.423836163443</c:v>
                </c:pt>
                <c:pt idx="960">
                  <c:v>15881.423836163443</c:v>
                </c:pt>
                <c:pt idx="961">
                  <c:v>16025.423836163443</c:v>
                </c:pt>
                <c:pt idx="962">
                  <c:v>15881.423836163443</c:v>
                </c:pt>
                <c:pt idx="963">
                  <c:v>16025.423836163443</c:v>
                </c:pt>
                <c:pt idx="964">
                  <c:v>16025.423836163443</c:v>
                </c:pt>
                <c:pt idx="965">
                  <c:v>16025.423836163443</c:v>
                </c:pt>
                <c:pt idx="966">
                  <c:v>16025.423836163443</c:v>
                </c:pt>
                <c:pt idx="967">
                  <c:v>16085.423836163443</c:v>
                </c:pt>
                <c:pt idx="968">
                  <c:v>16085.423836163443</c:v>
                </c:pt>
                <c:pt idx="969">
                  <c:v>16085.423836163443</c:v>
                </c:pt>
                <c:pt idx="970">
                  <c:v>16085.423836163443</c:v>
                </c:pt>
                <c:pt idx="971">
                  <c:v>16085.423836163443</c:v>
                </c:pt>
                <c:pt idx="972">
                  <c:v>16085.423836163443</c:v>
                </c:pt>
                <c:pt idx="973">
                  <c:v>16085.423836163443</c:v>
                </c:pt>
                <c:pt idx="974">
                  <c:v>16085.423836163443</c:v>
                </c:pt>
                <c:pt idx="975">
                  <c:v>16085.423836163443</c:v>
                </c:pt>
                <c:pt idx="976">
                  <c:v>16085.423836163443</c:v>
                </c:pt>
                <c:pt idx="977">
                  <c:v>16085.423836163443</c:v>
                </c:pt>
                <c:pt idx="978">
                  <c:v>16085.423836163443</c:v>
                </c:pt>
                <c:pt idx="979">
                  <c:v>16085.423836163443</c:v>
                </c:pt>
                <c:pt idx="980">
                  <c:v>16085.423836163443</c:v>
                </c:pt>
                <c:pt idx="981">
                  <c:v>16085.423836163443</c:v>
                </c:pt>
                <c:pt idx="982">
                  <c:v>16085.423836163443</c:v>
                </c:pt>
                <c:pt idx="983">
                  <c:v>16085.423836163443</c:v>
                </c:pt>
                <c:pt idx="984">
                  <c:v>16085.423836163443</c:v>
                </c:pt>
                <c:pt idx="985">
                  <c:v>16085.423836163443</c:v>
                </c:pt>
                <c:pt idx="986">
                  <c:v>16085.423836163443</c:v>
                </c:pt>
                <c:pt idx="987">
                  <c:v>16085.423836163443</c:v>
                </c:pt>
                <c:pt idx="988">
                  <c:v>16085.423836163443</c:v>
                </c:pt>
                <c:pt idx="989">
                  <c:v>16085.423836163443</c:v>
                </c:pt>
                <c:pt idx="990">
                  <c:v>2260.1334672059916</c:v>
                </c:pt>
                <c:pt idx="991">
                  <c:v>14645.423836163443</c:v>
                </c:pt>
                <c:pt idx="992">
                  <c:v>14645.423836163443</c:v>
                </c:pt>
                <c:pt idx="993">
                  <c:v>14645.423836163443</c:v>
                </c:pt>
                <c:pt idx="994">
                  <c:v>14645.423836163443</c:v>
                </c:pt>
                <c:pt idx="995">
                  <c:v>14645.423836163443</c:v>
                </c:pt>
                <c:pt idx="996">
                  <c:v>14645.423836163443</c:v>
                </c:pt>
                <c:pt idx="997">
                  <c:v>14693.423836163443</c:v>
                </c:pt>
                <c:pt idx="998">
                  <c:v>14949.423836163445</c:v>
                </c:pt>
                <c:pt idx="999">
                  <c:v>14949.423836163445</c:v>
                </c:pt>
                <c:pt idx="1000">
                  <c:v>14949.423836163445</c:v>
                </c:pt>
                <c:pt idx="1001">
                  <c:v>14949.423836163445</c:v>
                </c:pt>
                <c:pt idx="1002">
                  <c:v>14725.423836163412</c:v>
                </c:pt>
                <c:pt idx="1003">
                  <c:v>14725.423836163412</c:v>
                </c:pt>
                <c:pt idx="1004">
                  <c:v>14725.423836163412</c:v>
                </c:pt>
                <c:pt idx="1005">
                  <c:v>14245.423836163525</c:v>
                </c:pt>
                <c:pt idx="1006">
                  <c:v>14245.423836163525</c:v>
                </c:pt>
                <c:pt idx="1007">
                  <c:v>14245.423836163525</c:v>
                </c:pt>
                <c:pt idx="1008">
                  <c:v>14245.423836163525</c:v>
                </c:pt>
                <c:pt idx="1009">
                  <c:v>14245.423836163525</c:v>
                </c:pt>
                <c:pt idx="1010">
                  <c:v>14245.423836163525</c:v>
                </c:pt>
                <c:pt idx="1011">
                  <c:v>14245.423836163525</c:v>
                </c:pt>
                <c:pt idx="1012">
                  <c:v>14245.423836163525</c:v>
                </c:pt>
                <c:pt idx="1013">
                  <c:v>14245.423836163525</c:v>
                </c:pt>
                <c:pt idx="1014">
                  <c:v>14245.423836163525</c:v>
                </c:pt>
                <c:pt idx="1015">
                  <c:v>14245.423836163525</c:v>
                </c:pt>
                <c:pt idx="1016">
                  <c:v>14245.423836163525</c:v>
                </c:pt>
                <c:pt idx="1017">
                  <c:v>14245.423836163525</c:v>
                </c:pt>
                <c:pt idx="1018">
                  <c:v>14245.423836163525</c:v>
                </c:pt>
                <c:pt idx="1019">
                  <c:v>14245.423836163525</c:v>
                </c:pt>
                <c:pt idx="1020">
                  <c:v>14245.423836163525</c:v>
                </c:pt>
                <c:pt idx="1021">
                  <c:v>14245.423836163525</c:v>
                </c:pt>
                <c:pt idx="1022">
                  <c:v>14245.423836163525</c:v>
                </c:pt>
                <c:pt idx="1023">
                  <c:v>14245.423836163525</c:v>
                </c:pt>
                <c:pt idx="1024">
                  <c:v>14245.423836163525</c:v>
                </c:pt>
                <c:pt idx="1025">
                  <c:v>14245.423836163525</c:v>
                </c:pt>
                <c:pt idx="1026">
                  <c:v>14245.423836163525</c:v>
                </c:pt>
                <c:pt idx="1028">
                  <c:v>-607.99999999991883</c:v>
                </c:pt>
                <c:pt idx="1029">
                  <c:v>-607.99999999991883</c:v>
                </c:pt>
                <c:pt idx="1030">
                  <c:v>-607.99999999991883</c:v>
                </c:pt>
                <c:pt idx="1031">
                  <c:v>-607.99999999991883</c:v>
                </c:pt>
                <c:pt idx="1032">
                  <c:v>-607.99999999991883</c:v>
                </c:pt>
                <c:pt idx="1033">
                  <c:v>-607.99999999991883</c:v>
                </c:pt>
                <c:pt idx="1034">
                  <c:v>-607.99999999991883</c:v>
                </c:pt>
                <c:pt idx="1035">
                  <c:v>-607.99999999991883</c:v>
                </c:pt>
                <c:pt idx="1036">
                  <c:v>-607.99999999991883</c:v>
                </c:pt>
                <c:pt idx="1037">
                  <c:v>-607.99999999991883</c:v>
                </c:pt>
                <c:pt idx="1038">
                  <c:v>-607.99999999991883</c:v>
                </c:pt>
                <c:pt idx="1039">
                  <c:v>-607.99999999991883</c:v>
                </c:pt>
                <c:pt idx="1040">
                  <c:v>-607.99999999991883</c:v>
                </c:pt>
                <c:pt idx="1041">
                  <c:v>-607.99999999991883</c:v>
                </c:pt>
                <c:pt idx="1042">
                  <c:v>-607.99999999991883</c:v>
                </c:pt>
                <c:pt idx="1043">
                  <c:v>-607.99999999991883</c:v>
                </c:pt>
                <c:pt idx="1044">
                  <c:v>-607.99999999991883</c:v>
                </c:pt>
                <c:pt idx="1045">
                  <c:v>-607.99999999991883</c:v>
                </c:pt>
                <c:pt idx="1046">
                  <c:v>-607.99999999991883</c:v>
                </c:pt>
                <c:pt idx="1047">
                  <c:v>-607.99999999991883</c:v>
                </c:pt>
                <c:pt idx="1048">
                  <c:v>-607.99999999991883</c:v>
                </c:pt>
                <c:pt idx="1049">
                  <c:v>-607.99999999991883</c:v>
                </c:pt>
                <c:pt idx="1050">
                  <c:v>-607.99999999991883</c:v>
                </c:pt>
                <c:pt idx="1051">
                  <c:v>-607.99999999991883</c:v>
                </c:pt>
                <c:pt idx="1052">
                  <c:v>-607.99999999991883</c:v>
                </c:pt>
                <c:pt idx="1053">
                  <c:v>-607.99999999991883</c:v>
                </c:pt>
                <c:pt idx="1054">
                  <c:v>-607.99999999991883</c:v>
                </c:pt>
                <c:pt idx="1055">
                  <c:v>-607.99999999991883</c:v>
                </c:pt>
                <c:pt idx="1056">
                  <c:v>-607.99999999991883</c:v>
                </c:pt>
                <c:pt idx="1057">
                  <c:v>-607.99999999991883</c:v>
                </c:pt>
                <c:pt idx="1058">
                  <c:v>-607.99999999991883</c:v>
                </c:pt>
                <c:pt idx="1059">
                  <c:v>-607.99999999991883</c:v>
                </c:pt>
                <c:pt idx="1060">
                  <c:v>-607.99999999991883</c:v>
                </c:pt>
                <c:pt idx="1061">
                  <c:v>-607.99999999991883</c:v>
                </c:pt>
                <c:pt idx="1062">
                  <c:v>-607.99999999991883</c:v>
                </c:pt>
                <c:pt idx="1063">
                  <c:v>-607.99999999991883</c:v>
                </c:pt>
                <c:pt idx="1064">
                  <c:v>-607.99999999991883</c:v>
                </c:pt>
                <c:pt idx="1065">
                  <c:v>-607.99999999991883</c:v>
                </c:pt>
                <c:pt idx="1066">
                  <c:v>-607.99999999991883</c:v>
                </c:pt>
                <c:pt idx="1067">
                  <c:v>-607.99999999991883</c:v>
                </c:pt>
                <c:pt idx="1068">
                  <c:v>-607.99999999991883</c:v>
                </c:pt>
                <c:pt idx="1069">
                  <c:v>-607.99999999991883</c:v>
                </c:pt>
                <c:pt idx="1070">
                  <c:v>-607.99999999991883</c:v>
                </c:pt>
                <c:pt idx="1071">
                  <c:v>-607.99999999991883</c:v>
                </c:pt>
                <c:pt idx="1072">
                  <c:v>-607.99999999991883</c:v>
                </c:pt>
                <c:pt idx="1073">
                  <c:v>-607.99999999991883</c:v>
                </c:pt>
                <c:pt idx="1074">
                  <c:v>-607.99999999991883</c:v>
                </c:pt>
                <c:pt idx="1075">
                  <c:v>-607.99999999991883</c:v>
                </c:pt>
                <c:pt idx="1076">
                  <c:v>-607.99999999991883</c:v>
                </c:pt>
                <c:pt idx="1077">
                  <c:v>-607.99999999991883</c:v>
                </c:pt>
                <c:pt idx="1078">
                  <c:v>-607.99999999991883</c:v>
                </c:pt>
                <c:pt idx="1079">
                  <c:v>-607.99999999991883</c:v>
                </c:pt>
                <c:pt idx="1080">
                  <c:v>-607.99999999991883</c:v>
                </c:pt>
                <c:pt idx="1081">
                  <c:v>-607.99999999991883</c:v>
                </c:pt>
                <c:pt idx="1082">
                  <c:v>-607.99999999991883</c:v>
                </c:pt>
                <c:pt idx="1083">
                  <c:v>-607.99999999991883</c:v>
                </c:pt>
                <c:pt idx="1084">
                  <c:v>-607.99999999991883</c:v>
                </c:pt>
                <c:pt idx="1085">
                  <c:v>-607.99999999991883</c:v>
                </c:pt>
                <c:pt idx="1086">
                  <c:v>-607.99999999991883</c:v>
                </c:pt>
                <c:pt idx="1087">
                  <c:v>-607.99999999991883</c:v>
                </c:pt>
                <c:pt idx="1088">
                  <c:v>-607.99999999991883</c:v>
                </c:pt>
                <c:pt idx="1089">
                  <c:v>-607.99999999991883</c:v>
                </c:pt>
                <c:pt idx="1090">
                  <c:v>-607.99999999991883</c:v>
                </c:pt>
                <c:pt idx="1091">
                  <c:v>-607.99999999991883</c:v>
                </c:pt>
                <c:pt idx="1092">
                  <c:v>-607.99999999991883</c:v>
                </c:pt>
                <c:pt idx="1093">
                  <c:v>-607.99999999991883</c:v>
                </c:pt>
                <c:pt idx="1094">
                  <c:v>-607.99999999991883</c:v>
                </c:pt>
                <c:pt idx="1095">
                  <c:v>-607.99999999991883</c:v>
                </c:pt>
                <c:pt idx="1096">
                  <c:v>-607.99999999991883</c:v>
                </c:pt>
                <c:pt idx="1097">
                  <c:v>-607.99999999991883</c:v>
                </c:pt>
                <c:pt idx="1098">
                  <c:v>-607.99999999991883</c:v>
                </c:pt>
                <c:pt idx="1099">
                  <c:v>-607.99999999991883</c:v>
                </c:pt>
                <c:pt idx="1100">
                  <c:v>-607.99999999991883</c:v>
                </c:pt>
                <c:pt idx="1101">
                  <c:v>-607.99999999991883</c:v>
                </c:pt>
                <c:pt idx="1102">
                  <c:v>-607.99999999991883</c:v>
                </c:pt>
                <c:pt idx="1103">
                  <c:v>-607.99999999991883</c:v>
                </c:pt>
                <c:pt idx="1104">
                  <c:v>-607.99999999991883</c:v>
                </c:pt>
                <c:pt idx="1105">
                  <c:v>-607.99999999991883</c:v>
                </c:pt>
                <c:pt idx="1106">
                  <c:v>-607.99999999991883</c:v>
                </c:pt>
                <c:pt idx="1107">
                  <c:v>-607.99999999991883</c:v>
                </c:pt>
                <c:pt idx="1108">
                  <c:v>-607.99999999991883</c:v>
                </c:pt>
                <c:pt idx="1109">
                  <c:v>-607.99999999991883</c:v>
                </c:pt>
                <c:pt idx="1110">
                  <c:v>-607.99999999991883</c:v>
                </c:pt>
                <c:pt idx="1111">
                  <c:v>-607.99999999991883</c:v>
                </c:pt>
                <c:pt idx="1112">
                  <c:v>-607.99999999991883</c:v>
                </c:pt>
                <c:pt idx="1113">
                  <c:v>-607.99999999991883</c:v>
                </c:pt>
                <c:pt idx="1114">
                  <c:v>-607.99999999991883</c:v>
                </c:pt>
                <c:pt idx="1115">
                  <c:v>-607.99999999991883</c:v>
                </c:pt>
                <c:pt idx="1116">
                  <c:v>-607.99999999991883</c:v>
                </c:pt>
                <c:pt idx="1117">
                  <c:v>-607.99999999991883</c:v>
                </c:pt>
                <c:pt idx="1118">
                  <c:v>-607.99999999991883</c:v>
                </c:pt>
                <c:pt idx="1119">
                  <c:v>-607.99999999991883</c:v>
                </c:pt>
                <c:pt idx="1120">
                  <c:v>-607.99999999991883</c:v>
                </c:pt>
                <c:pt idx="1121">
                  <c:v>-607.99999999991883</c:v>
                </c:pt>
                <c:pt idx="1122">
                  <c:v>-607.99999999991883</c:v>
                </c:pt>
                <c:pt idx="1123">
                  <c:v>-607.99999999991883</c:v>
                </c:pt>
                <c:pt idx="1124">
                  <c:v>-607.99999999991883</c:v>
                </c:pt>
                <c:pt idx="1125">
                  <c:v>-607.99999999991883</c:v>
                </c:pt>
                <c:pt idx="1126">
                  <c:v>-607.99999999991883</c:v>
                </c:pt>
                <c:pt idx="1127">
                  <c:v>-607.99999999991883</c:v>
                </c:pt>
                <c:pt idx="1128">
                  <c:v>-607.99999999991883</c:v>
                </c:pt>
                <c:pt idx="1129">
                  <c:v>-607.99999999991883</c:v>
                </c:pt>
                <c:pt idx="1130">
                  <c:v>-607.99999999991883</c:v>
                </c:pt>
                <c:pt idx="1131">
                  <c:v>-607.99999999991883</c:v>
                </c:pt>
                <c:pt idx="1132">
                  <c:v>-607.99999999991883</c:v>
                </c:pt>
                <c:pt idx="1133">
                  <c:v>-607.99999999991883</c:v>
                </c:pt>
                <c:pt idx="1134">
                  <c:v>-607.99999999991883</c:v>
                </c:pt>
                <c:pt idx="1135">
                  <c:v>-607.99999999991883</c:v>
                </c:pt>
                <c:pt idx="1136">
                  <c:v>-607.99999999991883</c:v>
                </c:pt>
                <c:pt idx="1137">
                  <c:v>-607.99999999991883</c:v>
                </c:pt>
                <c:pt idx="1138">
                  <c:v>-607.99999999991883</c:v>
                </c:pt>
                <c:pt idx="1139">
                  <c:v>-607.99999999991883</c:v>
                </c:pt>
                <c:pt idx="1140">
                  <c:v>-607.99999999991883</c:v>
                </c:pt>
                <c:pt idx="1141">
                  <c:v>-607.99999999991883</c:v>
                </c:pt>
                <c:pt idx="1142">
                  <c:v>-607.99999999991883</c:v>
                </c:pt>
                <c:pt idx="1143">
                  <c:v>-607.99999999991883</c:v>
                </c:pt>
                <c:pt idx="1144">
                  <c:v>-607.99999999991883</c:v>
                </c:pt>
                <c:pt idx="1145">
                  <c:v>-607.99999999991883</c:v>
                </c:pt>
                <c:pt idx="1146">
                  <c:v>-607.99999999991883</c:v>
                </c:pt>
                <c:pt idx="1147">
                  <c:v>-607.99999999991883</c:v>
                </c:pt>
                <c:pt idx="1148">
                  <c:v>-607.99999999991883</c:v>
                </c:pt>
                <c:pt idx="1149">
                  <c:v>-607.99999999991883</c:v>
                </c:pt>
                <c:pt idx="1150">
                  <c:v>-607.99999999991883</c:v>
                </c:pt>
                <c:pt idx="1151">
                  <c:v>-607.99999999991883</c:v>
                </c:pt>
                <c:pt idx="1152">
                  <c:v>-607.99999999991883</c:v>
                </c:pt>
                <c:pt idx="1153">
                  <c:v>-607.99999999991883</c:v>
                </c:pt>
                <c:pt idx="1154">
                  <c:v>-607.99999999991883</c:v>
                </c:pt>
                <c:pt idx="1155">
                  <c:v>-607.99999999991883</c:v>
                </c:pt>
                <c:pt idx="1156">
                  <c:v>-607.99999999991883</c:v>
                </c:pt>
                <c:pt idx="1157">
                  <c:v>-607.99999999991883</c:v>
                </c:pt>
                <c:pt idx="1158">
                  <c:v>-607.99999999991883</c:v>
                </c:pt>
                <c:pt idx="1159">
                  <c:v>-607.99999999991883</c:v>
                </c:pt>
                <c:pt idx="1160">
                  <c:v>-607.99999999991883</c:v>
                </c:pt>
                <c:pt idx="1161">
                  <c:v>-607.99999999991883</c:v>
                </c:pt>
                <c:pt idx="1162">
                  <c:v>-607.99999999991883</c:v>
                </c:pt>
                <c:pt idx="1163">
                  <c:v>-607.99999999991883</c:v>
                </c:pt>
                <c:pt idx="1164">
                  <c:v>-607.99999999991883</c:v>
                </c:pt>
                <c:pt idx="1165">
                  <c:v>-607.99999999991883</c:v>
                </c:pt>
                <c:pt idx="1166">
                  <c:v>-607.99999999991883</c:v>
                </c:pt>
                <c:pt idx="1167">
                  <c:v>-607.99999999991883</c:v>
                </c:pt>
                <c:pt idx="1168">
                  <c:v>-607.99999999991883</c:v>
                </c:pt>
                <c:pt idx="1169">
                  <c:v>-607.99999999991883</c:v>
                </c:pt>
                <c:pt idx="1170">
                  <c:v>-607.99999999991883</c:v>
                </c:pt>
                <c:pt idx="1171">
                  <c:v>-607.99999999991883</c:v>
                </c:pt>
                <c:pt idx="1172">
                  <c:v>-607.99999999991883</c:v>
                </c:pt>
                <c:pt idx="1173">
                  <c:v>-607.99999999991883</c:v>
                </c:pt>
                <c:pt idx="1174">
                  <c:v>-607.99999999991883</c:v>
                </c:pt>
                <c:pt idx="1175">
                  <c:v>-607.99999999991883</c:v>
                </c:pt>
                <c:pt idx="1176">
                  <c:v>-607.99999999991883</c:v>
                </c:pt>
                <c:pt idx="1177">
                  <c:v>-607.99999999991883</c:v>
                </c:pt>
                <c:pt idx="1178">
                  <c:v>-607.99999999991883</c:v>
                </c:pt>
                <c:pt idx="1179">
                  <c:v>-607.99999999991883</c:v>
                </c:pt>
                <c:pt idx="1180">
                  <c:v>-607.99999999991883</c:v>
                </c:pt>
                <c:pt idx="1181">
                  <c:v>-607.99999999991883</c:v>
                </c:pt>
                <c:pt idx="1182">
                  <c:v>-607.99999999991883</c:v>
                </c:pt>
                <c:pt idx="1183">
                  <c:v>-607.99999999991883</c:v>
                </c:pt>
                <c:pt idx="1184">
                  <c:v>-607.99999999991883</c:v>
                </c:pt>
                <c:pt idx="1185">
                  <c:v>-607.99999999991883</c:v>
                </c:pt>
                <c:pt idx="1186">
                  <c:v>-607.99999999991883</c:v>
                </c:pt>
                <c:pt idx="1187">
                  <c:v>-607.99999999991883</c:v>
                </c:pt>
                <c:pt idx="1188">
                  <c:v>-607.99999999991883</c:v>
                </c:pt>
                <c:pt idx="1189">
                  <c:v>-607.99999999991883</c:v>
                </c:pt>
                <c:pt idx="1190">
                  <c:v>-607.99999999991883</c:v>
                </c:pt>
                <c:pt idx="1191">
                  <c:v>-607.99999999991883</c:v>
                </c:pt>
                <c:pt idx="1192">
                  <c:v>-607.99999999991883</c:v>
                </c:pt>
                <c:pt idx="1193">
                  <c:v>-607.99999999991883</c:v>
                </c:pt>
                <c:pt idx="1194">
                  <c:v>-607.99999999991883</c:v>
                </c:pt>
                <c:pt idx="1195">
                  <c:v>-607.99999999991883</c:v>
                </c:pt>
                <c:pt idx="1196">
                  <c:v>-607.99999999991883</c:v>
                </c:pt>
                <c:pt idx="1197">
                  <c:v>-607.99999999991883</c:v>
                </c:pt>
                <c:pt idx="1198">
                  <c:v>-607.99999999991883</c:v>
                </c:pt>
                <c:pt idx="1199">
                  <c:v>-607.99999999991883</c:v>
                </c:pt>
                <c:pt idx="1200">
                  <c:v>-607.99999999991883</c:v>
                </c:pt>
                <c:pt idx="1201">
                  <c:v>-607.99999999991883</c:v>
                </c:pt>
                <c:pt idx="1202">
                  <c:v>-607.99999999991883</c:v>
                </c:pt>
                <c:pt idx="1203">
                  <c:v>-607.99999999991883</c:v>
                </c:pt>
                <c:pt idx="1204">
                  <c:v>-607.99999999991883</c:v>
                </c:pt>
                <c:pt idx="1205">
                  <c:v>-607.99999999991883</c:v>
                </c:pt>
                <c:pt idx="1206">
                  <c:v>-607.99999999991883</c:v>
                </c:pt>
                <c:pt idx="1207">
                  <c:v>-607.99999999991883</c:v>
                </c:pt>
                <c:pt idx="1208">
                  <c:v>-607.99999999991883</c:v>
                </c:pt>
                <c:pt idx="1209">
                  <c:v>-607.99999999991883</c:v>
                </c:pt>
                <c:pt idx="1210">
                  <c:v>-607.99999999991883</c:v>
                </c:pt>
                <c:pt idx="1211">
                  <c:v>-607.99999999991883</c:v>
                </c:pt>
                <c:pt idx="1212">
                  <c:v>-607.99999999991883</c:v>
                </c:pt>
                <c:pt idx="1213">
                  <c:v>-607.99999999991883</c:v>
                </c:pt>
                <c:pt idx="1214">
                  <c:v>-607.99999999991883</c:v>
                </c:pt>
                <c:pt idx="1215">
                  <c:v>-607.99999999991883</c:v>
                </c:pt>
                <c:pt idx="1216">
                  <c:v>-607.99999999991883</c:v>
                </c:pt>
                <c:pt idx="1217">
                  <c:v>-607.99999999991883</c:v>
                </c:pt>
                <c:pt idx="1218">
                  <c:v>-607.99999999991883</c:v>
                </c:pt>
                <c:pt idx="1219">
                  <c:v>-607.99999999991883</c:v>
                </c:pt>
                <c:pt idx="1220">
                  <c:v>-607.99999999991883</c:v>
                </c:pt>
                <c:pt idx="1221">
                  <c:v>-607.99999999991883</c:v>
                </c:pt>
                <c:pt idx="1222">
                  <c:v>-607.99999999991883</c:v>
                </c:pt>
                <c:pt idx="1223">
                  <c:v>-607.99999999991883</c:v>
                </c:pt>
                <c:pt idx="1224">
                  <c:v>-607.99999999991883</c:v>
                </c:pt>
                <c:pt idx="1225">
                  <c:v>-607.99999999991883</c:v>
                </c:pt>
                <c:pt idx="1226">
                  <c:v>-607.99999999991883</c:v>
                </c:pt>
                <c:pt idx="1227">
                  <c:v>-607.99999999991883</c:v>
                </c:pt>
                <c:pt idx="1228">
                  <c:v>-607.99999999991883</c:v>
                </c:pt>
                <c:pt idx="1229">
                  <c:v>-607.99999999991883</c:v>
                </c:pt>
                <c:pt idx="1230">
                  <c:v>-607.99999999991883</c:v>
                </c:pt>
                <c:pt idx="1231">
                  <c:v>-607.99999999991883</c:v>
                </c:pt>
                <c:pt idx="1232">
                  <c:v>-607.99999999991883</c:v>
                </c:pt>
                <c:pt idx="1233">
                  <c:v>-607.99999999991883</c:v>
                </c:pt>
                <c:pt idx="1234">
                  <c:v>-607.99999999991883</c:v>
                </c:pt>
                <c:pt idx="1235">
                  <c:v>-607.99999999991883</c:v>
                </c:pt>
                <c:pt idx="1236">
                  <c:v>-607.99999999991883</c:v>
                </c:pt>
                <c:pt idx="1237">
                  <c:v>-607.99999999991883</c:v>
                </c:pt>
                <c:pt idx="1238">
                  <c:v>-607.99999999991883</c:v>
                </c:pt>
              </c:numCache>
            </c:numRef>
          </c:val>
          <c:smooth val="0"/>
          <c:extLst>
            <c:ext xmlns:c16="http://schemas.microsoft.com/office/drawing/2014/chart" uri="{C3380CC4-5D6E-409C-BE32-E72D297353CC}">
              <c16:uniqueId val="{00000000-D2FA-4D23-968F-8C25F858B35C}"/>
            </c:ext>
          </c:extLst>
        </c:ser>
        <c:ser>
          <c:idx val="1"/>
          <c:order val="1"/>
          <c:tx>
            <c:v>r</c:v>
          </c:tx>
          <c:spPr>
            <a:ln w="19050" cap="rnd">
              <a:solidFill>
                <a:srgbClr val="660033"/>
              </a:solidFill>
              <a:round/>
            </a:ln>
            <a:effectLst/>
          </c:spPr>
          <c:marker>
            <c:symbol val="none"/>
          </c:marker>
          <c:val>
            <c:numRef>
              <c:f>'Journal Live'!$BL$1388:$BL$2630</c:f>
              <c:numCache>
                <c:formatCode>General</c:formatCode>
                <c:ptCount val="1238"/>
                <c:pt idx="0">
                  <c:v>0</c:v>
                </c:pt>
                <c:pt idx="1">
                  <c:v>0</c:v>
                </c:pt>
                <c:pt idx="2">
                  <c:v>0</c:v>
                </c:pt>
                <c:pt idx="3">
                  <c:v>0</c:v>
                </c:pt>
                <c:pt idx="4">
                  <c:v>0</c:v>
                </c:pt>
                <c:pt idx="5">
                  <c:v>256</c:v>
                </c:pt>
                <c:pt idx="6">
                  <c:v>256</c:v>
                </c:pt>
                <c:pt idx="7">
                  <c:v>256</c:v>
                </c:pt>
                <c:pt idx="8">
                  <c:v>256</c:v>
                </c:pt>
                <c:pt idx="9">
                  <c:v>256</c:v>
                </c:pt>
                <c:pt idx="10">
                  <c:v>256</c:v>
                </c:pt>
                <c:pt idx="11">
                  <c:v>256</c:v>
                </c:pt>
                <c:pt idx="12">
                  <c:v>256</c:v>
                </c:pt>
                <c:pt idx="13">
                  <c:v>256</c:v>
                </c:pt>
                <c:pt idx="14">
                  <c:v>256</c:v>
                </c:pt>
                <c:pt idx="15">
                  <c:v>256</c:v>
                </c:pt>
                <c:pt idx="16">
                  <c:v>256</c:v>
                </c:pt>
                <c:pt idx="17">
                  <c:v>256</c:v>
                </c:pt>
                <c:pt idx="18">
                  <c:v>256</c:v>
                </c:pt>
                <c:pt idx="19">
                  <c:v>256</c:v>
                </c:pt>
                <c:pt idx="20">
                  <c:v>256</c:v>
                </c:pt>
                <c:pt idx="21">
                  <c:v>256</c:v>
                </c:pt>
                <c:pt idx="22">
                  <c:v>256</c:v>
                </c:pt>
                <c:pt idx="23">
                  <c:v>256</c:v>
                </c:pt>
                <c:pt idx="24">
                  <c:v>256</c:v>
                </c:pt>
                <c:pt idx="25">
                  <c:v>256</c:v>
                </c:pt>
                <c:pt idx="26">
                  <c:v>256</c:v>
                </c:pt>
                <c:pt idx="27">
                  <c:v>256</c:v>
                </c:pt>
                <c:pt idx="28">
                  <c:v>256</c:v>
                </c:pt>
                <c:pt idx="29">
                  <c:v>256</c:v>
                </c:pt>
                <c:pt idx="30">
                  <c:v>256</c:v>
                </c:pt>
                <c:pt idx="31">
                  <c:v>256</c:v>
                </c:pt>
                <c:pt idx="32">
                  <c:v>256</c:v>
                </c:pt>
                <c:pt idx="33">
                  <c:v>256</c:v>
                </c:pt>
                <c:pt idx="34">
                  <c:v>256</c:v>
                </c:pt>
                <c:pt idx="35">
                  <c:v>544</c:v>
                </c:pt>
                <c:pt idx="36">
                  <c:v>544</c:v>
                </c:pt>
                <c:pt idx="37">
                  <c:v>544</c:v>
                </c:pt>
                <c:pt idx="38">
                  <c:v>544</c:v>
                </c:pt>
                <c:pt idx="39">
                  <c:v>544</c:v>
                </c:pt>
                <c:pt idx="40">
                  <c:v>544</c:v>
                </c:pt>
                <c:pt idx="41">
                  <c:v>544</c:v>
                </c:pt>
                <c:pt idx="42">
                  <c:v>544</c:v>
                </c:pt>
                <c:pt idx="43">
                  <c:v>544</c:v>
                </c:pt>
                <c:pt idx="44">
                  <c:v>544</c:v>
                </c:pt>
                <c:pt idx="45">
                  <c:v>544</c:v>
                </c:pt>
                <c:pt idx="46">
                  <c:v>544</c:v>
                </c:pt>
                <c:pt idx="47">
                  <c:v>544</c:v>
                </c:pt>
                <c:pt idx="48">
                  <c:v>544</c:v>
                </c:pt>
                <c:pt idx="49">
                  <c:v>1328.0000000000002</c:v>
                </c:pt>
                <c:pt idx="50">
                  <c:v>1328.0000000000002</c:v>
                </c:pt>
                <c:pt idx="51">
                  <c:v>1328.0000000000002</c:v>
                </c:pt>
                <c:pt idx="52">
                  <c:v>1328.0000000000002</c:v>
                </c:pt>
                <c:pt idx="53">
                  <c:v>1328.0000000000002</c:v>
                </c:pt>
                <c:pt idx="54">
                  <c:v>1328.0000000000002</c:v>
                </c:pt>
                <c:pt idx="55">
                  <c:v>1328.0000000000002</c:v>
                </c:pt>
                <c:pt idx="56">
                  <c:v>1328.0000000000002</c:v>
                </c:pt>
                <c:pt idx="57">
                  <c:v>1328.0000000000002</c:v>
                </c:pt>
                <c:pt idx="58">
                  <c:v>1328.0000000000002</c:v>
                </c:pt>
                <c:pt idx="59">
                  <c:v>1328.0000000000002</c:v>
                </c:pt>
                <c:pt idx="60">
                  <c:v>1408.0000000000002</c:v>
                </c:pt>
                <c:pt idx="61">
                  <c:v>1408.0000000000002</c:v>
                </c:pt>
                <c:pt idx="62">
                  <c:v>1408.0000000000002</c:v>
                </c:pt>
                <c:pt idx="63">
                  <c:v>1408.0000000000002</c:v>
                </c:pt>
                <c:pt idx="64">
                  <c:v>1408.0000000000002</c:v>
                </c:pt>
                <c:pt idx="65">
                  <c:v>2000.0000000000002</c:v>
                </c:pt>
                <c:pt idx="66">
                  <c:v>2000.0000000000002</c:v>
                </c:pt>
                <c:pt idx="67">
                  <c:v>1408.0000000000002</c:v>
                </c:pt>
                <c:pt idx="68">
                  <c:v>2000.0000000000002</c:v>
                </c:pt>
                <c:pt idx="69">
                  <c:v>1408.0000000000002</c:v>
                </c:pt>
                <c:pt idx="70">
                  <c:v>1760.0000000000002</c:v>
                </c:pt>
                <c:pt idx="71">
                  <c:v>1840.0000000000002</c:v>
                </c:pt>
                <c:pt idx="72">
                  <c:v>1840.0000000000002</c:v>
                </c:pt>
                <c:pt idx="73">
                  <c:v>1840.0000000000002</c:v>
                </c:pt>
                <c:pt idx="74">
                  <c:v>1840.0000000000002</c:v>
                </c:pt>
                <c:pt idx="75">
                  <c:v>2000.0000000000002</c:v>
                </c:pt>
                <c:pt idx="76">
                  <c:v>1840.0000000000002</c:v>
                </c:pt>
                <c:pt idx="77">
                  <c:v>1840.0000000000002</c:v>
                </c:pt>
                <c:pt idx="78">
                  <c:v>2000.0000000000002</c:v>
                </c:pt>
                <c:pt idx="79">
                  <c:v>1840.0000000000002</c:v>
                </c:pt>
                <c:pt idx="80">
                  <c:v>1840.0000000000002</c:v>
                </c:pt>
                <c:pt idx="81">
                  <c:v>1840.0000000000002</c:v>
                </c:pt>
                <c:pt idx="82">
                  <c:v>1920.0000000000002</c:v>
                </c:pt>
                <c:pt idx="83">
                  <c:v>1920.0000000000002</c:v>
                </c:pt>
                <c:pt idx="84">
                  <c:v>1920.0000000000002</c:v>
                </c:pt>
                <c:pt idx="85">
                  <c:v>1920.0000000000002</c:v>
                </c:pt>
                <c:pt idx="86">
                  <c:v>1920.0000000000002</c:v>
                </c:pt>
                <c:pt idx="87">
                  <c:v>1920.0000000000002</c:v>
                </c:pt>
                <c:pt idx="88">
                  <c:v>1920.0000000000002</c:v>
                </c:pt>
                <c:pt idx="89">
                  <c:v>1920.0000000000002</c:v>
                </c:pt>
                <c:pt idx="90">
                  <c:v>1920.0000000000002</c:v>
                </c:pt>
                <c:pt idx="91">
                  <c:v>2000.0000000000002</c:v>
                </c:pt>
                <c:pt idx="92">
                  <c:v>2000.0000000000002</c:v>
                </c:pt>
                <c:pt idx="93">
                  <c:v>2000.0000000000002</c:v>
                </c:pt>
                <c:pt idx="94">
                  <c:v>2000.0000000000002</c:v>
                </c:pt>
                <c:pt idx="95">
                  <c:v>2000.0000000000002</c:v>
                </c:pt>
                <c:pt idx="96">
                  <c:v>2000.0000000000002</c:v>
                </c:pt>
                <c:pt idx="97">
                  <c:v>2000.0000000000002</c:v>
                </c:pt>
                <c:pt idx="98">
                  <c:v>2000.0000000000002</c:v>
                </c:pt>
                <c:pt idx="99">
                  <c:v>2000.0000000000002</c:v>
                </c:pt>
                <c:pt idx="100">
                  <c:v>2000.0000000000002</c:v>
                </c:pt>
                <c:pt idx="101">
                  <c:v>2000.0000000000002</c:v>
                </c:pt>
                <c:pt idx="102">
                  <c:v>2000.0000000000002</c:v>
                </c:pt>
                <c:pt idx="103">
                  <c:v>2000.0000000000002</c:v>
                </c:pt>
                <c:pt idx="104">
                  <c:v>2000.0000000000002</c:v>
                </c:pt>
                <c:pt idx="105">
                  <c:v>2000.0000000000002</c:v>
                </c:pt>
                <c:pt idx="106">
                  <c:v>2000.0000000000002</c:v>
                </c:pt>
                <c:pt idx="107">
                  <c:v>2000.0000000000002</c:v>
                </c:pt>
                <c:pt idx="108">
                  <c:v>2000.0000000000002</c:v>
                </c:pt>
                <c:pt idx="109">
                  <c:v>2000.0000000000002</c:v>
                </c:pt>
                <c:pt idx="110">
                  <c:v>2000.0000000000002</c:v>
                </c:pt>
                <c:pt idx="111">
                  <c:v>2000.0000000000002</c:v>
                </c:pt>
                <c:pt idx="112">
                  <c:v>2000.0000000000002</c:v>
                </c:pt>
                <c:pt idx="113">
                  <c:v>2000.0000000000002</c:v>
                </c:pt>
                <c:pt idx="114">
                  <c:v>2000.0000000000002</c:v>
                </c:pt>
                <c:pt idx="115">
                  <c:v>2000.0000000000002</c:v>
                </c:pt>
                <c:pt idx="116">
                  <c:v>2000.0000000000002</c:v>
                </c:pt>
                <c:pt idx="117">
                  <c:v>2000.0000000000002</c:v>
                </c:pt>
                <c:pt idx="118">
                  <c:v>2000.0000000000002</c:v>
                </c:pt>
                <c:pt idx="119">
                  <c:v>2000.0000000000002</c:v>
                </c:pt>
                <c:pt idx="120">
                  <c:v>2000.0000000000002</c:v>
                </c:pt>
                <c:pt idx="121">
                  <c:v>2000.0000000000002</c:v>
                </c:pt>
                <c:pt idx="122">
                  <c:v>2000.0000000000002</c:v>
                </c:pt>
                <c:pt idx="123">
                  <c:v>2000.0000000000002</c:v>
                </c:pt>
                <c:pt idx="124">
                  <c:v>2000.0000000000002</c:v>
                </c:pt>
                <c:pt idx="125">
                  <c:v>2000.0000000000002</c:v>
                </c:pt>
                <c:pt idx="126">
                  <c:v>2000.0000000000002</c:v>
                </c:pt>
                <c:pt idx="127">
                  <c:v>2000.0000000000002</c:v>
                </c:pt>
                <c:pt idx="128">
                  <c:v>2000.0000000000002</c:v>
                </c:pt>
                <c:pt idx="129">
                  <c:v>2000.0000000000002</c:v>
                </c:pt>
                <c:pt idx="130">
                  <c:v>2000.0000000000002</c:v>
                </c:pt>
                <c:pt idx="131">
                  <c:v>21038.800000000316</c:v>
                </c:pt>
                <c:pt idx="132">
                  <c:v>2000.0000000000002</c:v>
                </c:pt>
                <c:pt idx="133">
                  <c:v>4181.9999999999991</c:v>
                </c:pt>
                <c:pt idx="134">
                  <c:v>4181.9999999999991</c:v>
                </c:pt>
                <c:pt idx="135">
                  <c:v>2000.0000000000002</c:v>
                </c:pt>
                <c:pt idx="136">
                  <c:v>2000.0000000000002</c:v>
                </c:pt>
                <c:pt idx="137">
                  <c:v>2000.0000000000002</c:v>
                </c:pt>
                <c:pt idx="138">
                  <c:v>4181.9999999999991</c:v>
                </c:pt>
                <c:pt idx="139">
                  <c:v>2000.0000000000002</c:v>
                </c:pt>
                <c:pt idx="140">
                  <c:v>2000.0000000000002</c:v>
                </c:pt>
                <c:pt idx="141">
                  <c:v>2894.0000000000005</c:v>
                </c:pt>
                <c:pt idx="142">
                  <c:v>2894.0000000000005</c:v>
                </c:pt>
                <c:pt idx="143">
                  <c:v>2894.0000000000005</c:v>
                </c:pt>
                <c:pt idx="144">
                  <c:v>2894.0000000000005</c:v>
                </c:pt>
                <c:pt idx="145">
                  <c:v>2894.0000000000005</c:v>
                </c:pt>
                <c:pt idx="146">
                  <c:v>2894.0000000000005</c:v>
                </c:pt>
                <c:pt idx="147">
                  <c:v>2894.0000000000005</c:v>
                </c:pt>
                <c:pt idx="148">
                  <c:v>2894.0000000000005</c:v>
                </c:pt>
                <c:pt idx="149">
                  <c:v>2894.0000000000005</c:v>
                </c:pt>
                <c:pt idx="150">
                  <c:v>2894.0000000000005</c:v>
                </c:pt>
                <c:pt idx="151">
                  <c:v>2894.0000000000005</c:v>
                </c:pt>
                <c:pt idx="152">
                  <c:v>4181.9999999999991</c:v>
                </c:pt>
                <c:pt idx="153">
                  <c:v>2894.0000000000005</c:v>
                </c:pt>
                <c:pt idx="154">
                  <c:v>2894.0000000000005</c:v>
                </c:pt>
                <c:pt idx="155">
                  <c:v>2974.0000000000005</c:v>
                </c:pt>
                <c:pt idx="156">
                  <c:v>4181.9999999999991</c:v>
                </c:pt>
                <c:pt idx="157">
                  <c:v>2974.0000000000005</c:v>
                </c:pt>
                <c:pt idx="158">
                  <c:v>2974.0000000000005</c:v>
                </c:pt>
                <c:pt idx="159">
                  <c:v>4181.9999999999991</c:v>
                </c:pt>
                <c:pt idx="160">
                  <c:v>2974.0000000000005</c:v>
                </c:pt>
                <c:pt idx="161">
                  <c:v>2974.0000000000005</c:v>
                </c:pt>
                <c:pt idx="162">
                  <c:v>4181.9999999999991</c:v>
                </c:pt>
                <c:pt idx="163">
                  <c:v>2974.0000000000005</c:v>
                </c:pt>
                <c:pt idx="164">
                  <c:v>2974.0000000000005</c:v>
                </c:pt>
                <c:pt idx="165">
                  <c:v>2974.0000000000005</c:v>
                </c:pt>
                <c:pt idx="166">
                  <c:v>2974.0000000000005</c:v>
                </c:pt>
                <c:pt idx="167">
                  <c:v>2974.0000000000005</c:v>
                </c:pt>
                <c:pt idx="168">
                  <c:v>2974.0000000000005</c:v>
                </c:pt>
                <c:pt idx="169">
                  <c:v>4181.9999999999991</c:v>
                </c:pt>
                <c:pt idx="170">
                  <c:v>2974.0000000000005</c:v>
                </c:pt>
                <c:pt idx="171">
                  <c:v>3054.0000000000005</c:v>
                </c:pt>
                <c:pt idx="172">
                  <c:v>3054.0000000000005</c:v>
                </c:pt>
                <c:pt idx="173">
                  <c:v>3054.0000000000005</c:v>
                </c:pt>
                <c:pt idx="174">
                  <c:v>3054.0000000000005</c:v>
                </c:pt>
                <c:pt idx="175">
                  <c:v>3054.0000000000005</c:v>
                </c:pt>
                <c:pt idx="176">
                  <c:v>3054.0000000000005</c:v>
                </c:pt>
                <c:pt idx="177">
                  <c:v>4206</c:v>
                </c:pt>
                <c:pt idx="178">
                  <c:v>4206</c:v>
                </c:pt>
                <c:pt idx="179">
                  <c:v>4181.9999999999991</c:v>
                </c:pt>
                <c:pt idx="180">
                  <c:v>4206</c:v>
                </c:pt>
                <c:pt idx="181">
                  <c:v>4206</c:v>
                </c:pt>
                <c:pt idx="182">
                  <c:v>4206</c:v>
                </c:pt>
                <c:pt idx="183">
                  <c:v>4206</c:v>
                </c:pt>
                <c:pt idx="184">
                  <c:v>4206</c:v>
                </c:pt>
                <c:pt idx="185">
                  <c:v>4206</c:v>
                </c:pt>
                <c:pt idx="186">
                  <c:v>4206</c:v>
                </c:pt>
                <c:pt idx="187">
                  <c:v>4206</c:v>
                </c:pt>
                <c:pt idx="188">
                  <c:v>4206</c:v>
                </c:pt>
                <c:pt idx="189">
                  <c:v>4206</c:v>
                </c:pt>
                <c:pt idx="190">
                  <c:v>4206</c:v>
                </c:pt>
                <c:pt idx="191">
                  <c:v>4206</c:v>
                </c:pt>
                <c:pt idx="192">
                  <c:v>5106</c:v>
                </c:pt>
                <c:pt idx="193">
                  <c:v>4206</c:v>
                </c:pt>
                <c:pt idx="194">
                  <c:v>4206</c:v>
                </c:pt>
                <c:pt idx="195">
                  <c:v>4206</c:v>
                </c:pt>
                <c:pt idx="196">
                  <c:v>4206</c:v>
                </c:pt>
                <c:pt idx="197">
                  <c:v>4206</c:v>
                </c:pt>
                <c:pt idx="198">
                  <c:v>5106</c:v>
                </c:pt>
                <c:pt idx="199">
                  <c:v>4206</c:v>
                </c:pt>
                <c:pt idx="200">
                  <c:v>4206</c:v>
                </c:pt>
                <c:pt idx="201">
                  <c:v>4506</c:v>
                </c:pt>
                <c:pt idx="202">
                  <c:v>5106</c:v>
                </c:pt>
                <c:pt idx="203">
                  <c:v>5106</c:v>
                </c:pt>
                <c:pt idx="204">
                  <c:v>5106</c:v>
                </c:pt>
                <c:pt idx="205">
                  <c:v>5106</c:v>
                </c:pt>
                <c:pt idx="206">
                  <c:v>5106</c:v>
                </c:pt>
                <c:pt idx="207">
                  <c:v>5106</c:v>
                </c:pt>
                <c:pt idx="208">
                  <c:v>4066</c:v>
                </c:pt>
                <c:pt idx="209">
                  <c:v>5186</c:v>
                </c:pt>
                <c:pt idx="210">
                  <c:v>5186</c:v>
                </c:pt>
                <c:pt idx="211">
                  <c:v>5266</c:v>
                </c:pt>
                <c:pt idx="212">
                  <c:v>5346</c:v>
                </c:pt>
                <c:pt idx="213">
                  <c:v>5346</c:v>
                </c:pt>
                <c:pt idx="214">
                  <c:v>5346</c:v>
                </c:pt>
                <c:pt idx="215">
                  <c:v>5346</c:v>
                </c:pt>
                <c:pt idx="216">
                  <c:v>5346</c:v>
                </c:pt>
                <c:pt idx="217">
                  <c:v>5346</c:v>
                </c:pt>
                <c:pt idx="218">
                  <c:v>5346</c:v>
                </c:pt>
                <c:pt idx="219">
                  <c:v>5346</c:v>
                </c:pt>
                <c:pt idx="220">
                  <c:v>5426</c:v>
                </c:pt>
                <c:pt idx="221">
                  <c:v>5266</c:v>
                </c:pt>
                <c:pt idx="222">
                  <c:v>4066</c:v>
                </c:pt>
                <c:pt idx="223">
                  <c:v>5426</c:v>
                </c:pt>
                <c:pt idx="224">
                  <c:v>5266</c:v>
                </c:pt>
                <c:pt idx="225">
                  <c:v>4066</c:v>
                </c:pt>
                <c:pt idx="226">
                  <c:v>4021.9999999999991</c:v>
                </c:pt>
                <c:pt idx="227">
                  <c:v>4021.9999999999991</c:v>
                </c:pt>
                <c:pt idx="228">
                  <c:v>4021.9999999999991</c:v>
                </c:pt>
                <c:pt idx="229">
                  <c:v>4021.9999999999991</c:v>
                </c:pt>
                <c:pt idx="230">
                  <c:v>4181.9999999999991</c:v>
                </c:pt>
                <c:pt idx="231">
                  <c:v>4021.9999999999991</c:v>
                </c:pt>
                <c:pt idx="232">
                  <c:v>4021.9999999999991</c:v>
                </c:pt>
                <c:pt idx="233">
                  <c:v>4021.9999999999991</c:v>
                </c:pt>
                <c:pt idx="234">
                  <c:v>4021.9999999999991</c:v>
                </c:pt>
                <c:pt idx="235">
                  <c:v>4021.9999999999991</c:v>
                </c:pt>
                <c:pt idx="236">
                  <c:v>4021.9999999999991</c:v>
                </c:pt>
                <c:pt idx="237">
                  <c:v>4021.9999999999991</c:v>
                </c:pt>
                <c:pt idx="238">
                  <c:v>4021.9999999999991</c:v>
                </c:pt>
                <c:pt idx="239">
                  <c:v>4021.9999999999991</c:v>
                </c:pt>
                <c:pt idx="240">
                  <c:v>4021.9999999999991</c:v>
                </c:pt>
                <c:pt idx="241">
                  <c:v>4021.9999999999991</c:v>
                </c:pt>
                <c:pt idx="242">
                  <c:v>4021.9999999999991</c:v>
                </c:pt>
                <c:pt idx="243">
                  <c:v>4181.9999999999991</c:v>
                </c:pt>
                <c:pt idx="244">
                  <c:v>4181.9999999999991</c:v>
                </c:pt>
                <c:pt idx="245">
                  <c:v>4181.9999999999991</c:v>
                </c:pt>
                <c:pt idx="246">
                  <c:v>4181.9999999999991</c:v>
                </c:pt>
                <c:pt idx="247">
                  <c:v>4181.9999999999991</c:v>
                </c:pt>
                <c:pt idx="248">
                  <c:v>4181.9999999999991</c:v>
                </c:pt>
                <c:pt idx="249">
                  <c:v>4181.9999999999991</c:v>
                </c:pt>
                <c:pt idx="250">
                  <c:v>4181.9999999999991</c:v>
                </c:pt>
                <c:pt idx="251">
                  <c:v>4181.9999999999991</c:v>
                </c:pt>
                <c:pt idx="252">
                  <c:v>4181.9999999999991</c:v>
                </c:pt>
                <c:pt idx="253">
                  <c:v>4181.9999999999991</c:v>
                </c:pt>
                <c:pt idx="254">
                  <c:v>4181.9999999999991</c:v>
                </c:pt>
                <c:pt idx="255">
                  <c:v>4181.9999999999991</c:v>
                </c:pt>
                <c:pt idx="256">
                  <c:v>4181.9999999999991</c:v>
                </c:pt>
                <c:pt idx="257">
                  <c:v>4181.9999999999991</c:v>
                </c:pt>
                <c:pt idx="258">
                  <c:v>4181.9999999999991</c:v>
                </c:pt>
                <c:pt idx="259">
                  <c:v>4181.9999999999991</c:v>
                </c:pt>
                <c:pt idx="260">
                  <c:v>4981.9999999999991</c:v>
                </c:pt>
                <c:pt idx="261">
                  <c:v>4981.9999999999991</c:v>
                </c:pt>
                <c:pt idx="262">
                  <c:v>4981.9999999999991</c:v>
                </c:pt>
                <c:pt idx="263">
                  <c:v>4981.9999999999991</c:v>
                </c:pt>
                <c:pt idx="264">
                  <c:v>4981.9999999999991</c:v>
                </c:pt>
                <c:pt idx="265">
                  <c:v>4981.9999999999991</c:v>
                </c:pt>
                <c:pt idx="266">
                  <c:v>4981.9999999999991</c:v>
                </c:pt>
                <c:pt idx="267">
                  <c:v>4981.9999999999991</c:v>
                </c:pt>
                <c:pt idx="268">
                  <c:v>4981.9999999999991</c:v>
                </c:pt>
                <c:pt idx="269">
                  <c:v>4981.9999999999991</c:v>
                </c:pt>
                <c:pt idx="270">
                  <c:v>4981.9999999999991</c:v>
                </c:pt>
                <c:pt idx="271">
                  <c:v>4981.9999999999991</c:v>
                </c:pt>
                <c:pt idx="272">
                  <c:v>4981.9999999999991</c:v>
                </c:pt>
                <c:pt idx="273">
                  <c:v>4981.9999999999991</c:v>
                </c:pt>
                <c:pt idx="274">
                  <c:v>4981.9999999999991</c:v>
                </c:pt>
                <c:pt idx="275">
                  <c:v>4981.9999999999991</c:v>
                </c:pt>
                <c:pt idx="276">
                  <c:v>4981.9999999999991</c:v>
                </c:pt>
                <c:pt idx="277">
                  <c:v>4981.9999999999991</c:v>
                </c:pt>
                <c:pt idx="278">
                  <c:v>4981.9999999999991</c:v>
                </c:pt>
                <c:pt idx="279">
                  <c:v>4981.9999999999991</c:v>
                </c:pt>
                <c:pt idx="280">
                  <c:v>4981.9999999999991</c:v>
                </c:pt>
                <c:pt idx="281">
                  <c:v>4981.9999999999991</c:v>
                </c:pt>
                <c:pt idx="282">
                  <c:v>4981.9999999999991</c:v>
                </c:pt>
                <c:pt idx="283">
                  <c:v>4981.9999999999991</c:v>
                </c:pt>
                <c:pt idx="284">
                  <c:v>4981.9999999999991</c:v>
                </c:pt>
                <c:pt idx="285">
                  <c:v>4981.9999999999991</c:v>
                </c:pt>
                <c:pt idx="286">
                  <c:v>4981.9999999999991</c:v>
                </c:pt>
                <c:pt idx="287">
                  <c:v>4981.9999999999991</c:v>
                </c:pt>
                <c:pt idx="288">
                  <c:v>4981.9999999999991</c:v>
                </c:pt>
                <c:pt idx="289">
                  <c:v>4981.9999999999991</c:v>
                </c:pt>
                <c:pt idx="290">
                  <c:v>4981.9999999999991</c:v>
                </c:pt>
                <c:pt idx="291">
                  <c:v>4981.9999999999991</c:v>
                </c:pt>
                <c:pt idx="292">
                  <c:v>4981.9999999999991</c:v>
                </c:pt>
                <c:pt idx="293">
                  <c:v>4981.9999999999991</c:v>
                </c:pt>
                <c:pt idx="294">
                  <c:v>4981.9999999999991</c:v>
                </c:pt>
                <c:pt idx="295">
                  <c:v>4981.9999999999991</c:v>
                </c:pt>
                <c:pt idx="296">
                  <c:v>4981.9999999999991</c:v>
                </c:pt>
                <c:pt idx="297">
                  <c:v>4981.9999999999991</c:v>
                </c:pt>
                <c:pt idx="298">
                  <c:v>4981.9999999999991</c:v>
                </c:pt>
                <c:pt idx="299">
                  <c:v>4981.9999999999991</c:v>
                </c:pt>
                <c:pt idx="300">
                  <c:v>4981.9999999999991</c:v>
                </c:pt>
                <c:pt idx="301">
                  <c:v>4981.9999999999991</c:v>
                </c:pt>
                <c:pt idx="302">
                  <c:v>4981.9999999999991</c:v>
                </c:pt>
                <c:pt idx="303">
                  <c:v>4981.9999999999991</c:v>
                </c:pt>
                <c:pt idx="304">
                  <c:v>4981.9999999999991</c:v>
                </c:pt>
                <c:pt idx="305">
                  <c:v>4981.9999999999991</c:v>
                </c:pt>
                <c:pt idx="306">
                  <c:v>4981.9999999999991</c:v>
                </c:pt>
                <c:pt idx="307">
                  <c:v>4981.9999999999991</c:v>
                </c:pt>
                <c:pt idx="308">
                  <c:v>4981.9999999999991</c:v>
                </c:pt>
                <c:pt idx="309">
                  <c:v>4981.9999999999991</c:v>
                </c:pt>
                <c:pt idx="310">
                  <c:v>4981.9999999999991</c:v>
                </c:pt>
                <c:pt idx="311">
                  <c:v>4981.9999999999991</c:v>
                </c:pt>
                <c:pt idx="312">
                  <c:v>4981.9999999999991</c:v>
                </c:pt>
                <c:pt idx="313">
                  <c:v>4981.9999999999991</c:v>
                </c:pt>
                <c:pt idx="314">
                  <c:v>5061.9999999999991</c:v>
                </c:pt>
                <c:pt idx="315">
                  <c:v>5061.9999999999991</c:v>
                </c:pt>
                <c:pt idx="316">
                  <c:v>5061.9999999999991</c:v>
                </c:pt>
                <c:pt idx="317">
                  <c:v>5061.9999999999991</c:v>
                </c:pt>
                <c:pt idx="318">
                  <c:v>5061.9999999999991</c:v>
                </c:pt>
                <c:pt idx="319">
                  <c:v>5061.9999999999991</c:v>
                </c:pt>
                <c:pt idx="320">
                  <c:v>5061.9999999999991</c:v>
                </c:pt>
                <c:pt idx="321">
                  <c:v>5061.9999999999991</c:v>
                </c:pt>
                <c:pt idx="322">
                  <c:v>5061.9999999999991</c:v>
                </c:pt>
                <c:pt idx="323">
                  <c:v>5061.9999999999991</c:v>
                </c:pt>
                <c:pt idx="324">
                  <c:v>5061.9999999999991</c:v>
                </c:pt>
                <c:pt idx="325">
                  <c:v>5061.9999999999991</c:v>
                </c:pt>
                <c:pt idx="326">
                  <c:v>5061.9999999999991</c:v>
                </c:pt>
                <c:pt idx="327">
                  <c:v>5061.9999999999991</c:v>
                </c:pt>
                <c:pt idx="328">
                  <c:v>5061.9999999999991</c:v>
                </c:pt>
                <c:pt idx="329">
                  <c:v>5141.9999999999991</c:v>
                </c:pt>
                <c:pt idx="330">
                  <c:v>5141.9999999999991</c:v>
                </c:pt>
                <c:pt idx="331">
                  <c:v>5141.9999999999991</c:v>
                </c:pt>
                <c:pt idx="332">
                  <c:v>6661.9999999999991</c:v>
                </c:pt>
                <c:pt idx="333">
                  <c:v>6661.9999999999991</c:v>
                </c:pt>
                <c:pt idx="334">
                  <c:v>6661.9999999999991</c:v>
                </c:pt>
                <c:pt idx="335">
                  <c:v>6661.9999999999991</c:v>
                </c:pt>
                <c:pt idx="336">
                  <c:v>6661.9999999999991</c:v>
                </c:pt>
                <c:pt idx="337">
                  <c:v>6661.9999999999991</c:v>
                </c:pt>
                <c:pt idx="338">
                  <c:v>6661.9999999999991</c:v>
                </c:pt>
                <c:pt idx="339">
                  <c:v>6661.9999999999991</c:v>
                </c:pt>
                <c:pt idx="340">
                  <c:v>6661.9999999999991</c:v>
                </c:pt>
                <c:pt idx="341">
                  <c:v>6661.9999999999991</c:v>
                </c:pt>
                <c:pt idx="342">
                  <c:v>6661.9999999999991</c:v>
                </c:pt>
                <c:pt idx="343">
                  <c:v>6661.9999999999991</c:v>
                </c:pt>
                <c:pt idx="344">
                  <c:v>6661.9999999999991</c:v>
                </c:pt>
                <c:pt idx="345">
                  <c:v>6661.9999999999991</c:v>
                </c:pt>
                <c:pt idx="346">
                  <c:v>6661.9999999999991</c:v>
                </c:pt>
                <c:pt idx="347">
                  <c:v>6661.9999999999991</c:v>
                </c:pt>
                <c:pt idx="348">
                  <c:v>6661.9999999999991</c:v>
                </c:pt>
                <c:pt idx="349">
                  <c:v>6661.9999999999991</c:v>
                </c:pt>
                <c:pt idx="350">
                  <c:v>6661.9999999999991</c:v>
                </c:pt>
                <c:pt idx="351">
                  <c:v>6661.9999999999991</c:v>
                </c:pt>
                <c:pt idx="352">
                  <c:v>6661.9999999999991</c:v>
                </c:pt>
                <c:pt idx="353">
                  <c:v>6661.9999999999991</c:v>
                </c:pt>
                <c:pt idx="354">
                  <c:v>6661.9999999999991</c:v>
                </c:pt>
                <c:pt idx="355">
                  <c:v>6325.9999999999991</c:v>
                </c:pt>
                <c:pt idx="356">
                  <c:v>6325.9999999999991</c:v>
                </c:pt>
                <c:pt idx="357">
                  <c:v>6325.9999999999991</c:v>
                </c:pt>
                <c:pt idx="358">
                  <c:v>6325.9999999999991</c:v>
                </c:pt>
                <c:pt idx="359">
                  <c:v>6325.9999999999991</c:v>
                </c:pt>
                <c:pt idx="360">
                  <c:v>6325.9999999999991</c:v>
                </c:pt>
                <c:pt idx="361">
                  <c:v>6325.9999999999991</c:v>
                </c:pt>
                <c:pt idx="362">
                  <c:v>6325.9999999999991</c:v>
                </c:pt>
                <c:pt idx="363">
                  <c:v>6325.9999999999991</c:v>
                </c:pt>
                <c:pt idx="364">
                  <c:v>6485.9999999999991</c:v>
                </c:pt>
                <c:pt idx="365">
                  <c:v>6485.9999999999991</c:v>
                </c:pt>
                <c:pt idx="366">
                  <c:v>6485.9999999999991</c:v>
                </c:pt>
                <c:pt idx="367">
                  <c:v>6485.9999999999991</c:v>
                </c:pt>
                <c:pt idx="368">
                  <c:v>6485.9999999999991</c:v>
                </c:pt>
                <c:pt idx="369">
                  <c:v>6485.9999999999991</c:v>
                </c:pt>
                <c:pt idx="370">
                  <c:v>6485.9999999999991</c:v>
                </c:pt>
                <c:pt idx="371">
                  <c:v>6485.9999999999991</c:v>
                </c:pt>
                <c:pt idx="372">
                  <c:v>6485.9999999999991</c:v>
                </c:pt>
                <c:pt idx="373">
                  <c:v>6485.9999999999991</c:v>
                </c:pt>
                <c:pt idx="374">
                  <c:v>6485.9999999999991</c:v>
                </c:pt>
                <c:pt idx="375">
                  <c:v>6485.9999999999991</c:v>
                </c:pt>
                <c:pt idx="376">
                  <c:v>6485.9999999999991</c:v>
                </c:pt>
                <c:pt idx="377">
                  <c:v>6485.9999999999991</c:v>
                </c:pt>
                <c:pt idx="378">
                  <c:v>6485.9999999999991</c:v>
                </c:pt>
                <c:pt idx="379">
                  <c:v>6485.9999999999991</c:v>
                </c:pt>
                <c:pt idx="380">
                  <c:v>6485.9999999999991</c:v>
                </c:pt>
                <c:pt idx="381">
                  <c:v>6485.9999999999991</c:v>
                </c:pt>
                <c:pt idx="382">
                  <c:v>6485.9999999999991</c:v>
                </c:pt>
                <c:pt idx="383">
                  <c:v>6485.9999999999991</c:v>
                </c:pt>
                <c:pt idx="384">
                  <c:v>6325.9999999999991</c:v>
                </c:pt>
                <c:pt idx="385">
                  <c:v>6325.9999999999991</c:v>
                </c:pt>
                <c:pt idx="386">
                  <c:v>6005.9999999998354</c:v>
                </c:pt>
                <c:pt idx="387">
                  <c:v>6005.9999999998354</c:v>
                </c:pt>
                <c:pt idx="388">
                  <c:v>6005.9999999998354</c:v>
                </c:pt>
                <c:pt idx="389">
                  <c:v>6005.9999999998354</c:v>
                </c:pt>
                <c:pt idx="390">
                  <c:v>6305.9999999998354</c:v>
                </c:pt>
                <c:pt idx="391">
                  <c:v>6605.9999999998354</c:v>
                </c:pt>
                <c:pt idx="392">
                  <c:v>6605.9999999998354</c:v>
                </c:pt>
                <c:pt idx="393">
                  <c:v>6477.9999999998608</c:v>
                </c:pt>
                <c:pt idx="394">
                  <c:v>6477.9999999998608</c:v>
                </c:pt>
                <c:pt idx="395">
                  <c:v>6477.9999999998608</c:v>
                </c:pt>
                <c:pt idx="396">
                  <c:v>6477.9999999998608</c:v>
                </c:pt>
                <c:pt idx="397">
                  <c:v>6477.9999999998608</c:v>
                </c:pt>
                <c:pt idx="398">
                  <c:v>6477.9999999998608</c:v>
                </c:pt>
                <c:pt idx="399">
                  <c:v>6477.9999999998608</c:v>
                </c:pt>
                <c:pt idx="400">
                  <c:v>6477.9999999998608</c:v>
                </c:pt>
                <c:pt idx="401">
                  <c:v>6477.9999999998608</c:v>
                </c:pt>
                <c:pt idx="402">
                  <c:v>6477.9999999998608</c:v>
                </c:pt>
                <c:pt idx="403">
                  <c:v>6477.9999999998608</c:v>
                </c:pt>
                <c:pt idx="404">
                  <c:v>6477.9999999998608</c:v>
                </c:pt>
                <c:pt idx="405">
                  <c:v>6477.9999999998608</c:v>
                </c:pt>
                <c:pt idx="406">
                  <c:v>6477.9999999998608</c:v>
                </c:pt>
                <c:pt idx="407">
                  <c:v>6477.9999999998608</c:v>
                </c:pt>
                <c:pt idx="408">
                  <c:v>6477.9999999998608</c:v>
                </c:pt>
                <c:pt idx="409">
                  <c:v>6477.9999999998608</c:v>
                </c:pt>
                <c:pt idx="410">
                  <c:v>6477.9999999998608</c:v>
                </c:pt>
                <c:pt idx="411">
                  <c:v>6477.9999999998608</c:v>
                </c:pt>
                <c:pt idx="412">
                  <c:v>6477.9999999998608</c:v>
                </c:pt>
                <c:pt idx="413">
                  <c:v>6477.9999999998608</c:v>
                </c:pt>
                <c:pt idx="414">
                  <c:v>6477.9999999998608</c:v>
                </c:pt>
                <c:pt idx="415">
                  <c:v>6477.9999999998608</c:v>
                </c:pt>
                <c:pt idx="416">
                  <c:v>6477.9999999998608</c:v>
                </c:pt>
                <c:pt idx="417">
                  <c:v>6477.9999999998608</c:v>
                </c:pt>
                <c:pt idx="418">
                  <c:v>6777.9999999998608</c:v>
                </c:pt>
                <c:pt idx="419">
                  <c:v>6777.9999999998608</c:v>
                </c:pt>
                <c:pt idx="420">
                  <c:v>6777.9999999998608</c:v>
                </c:pt>
                <c:pt idx="421">
                  <c:v>7677.9999999998608</c:v>
                </c:pt>
                <c:pt idx="422">
                  <c:v>7677.9999999998608</c:v>
                </c:pt>
                <c:pt idx="423">
                  <c:v>7677.9999999998608</c:v>
                </c:pt>
                <c:pt idx="424">
                  <c:v>7677.9999999998608</c:v>
                </c:pt>
                <c:pt idx="425">
                  <c:v>7677.9999999998608</c:v>
                </c:pt>
                <c:pt idx="426">
                  <c:v>7677.9999999998608</c:v>
                </c:pt>
                <c:pt idx="427">
                  <c:v>7677.9999999998608</c:v>
                </c:pt>
                <c:pt idx="428">
                  <c:v>7677.9999999998608</c:v>
                </c:pt>
                <c:pt idx="429">
                  <c:v>7677.9999999998608</c:v>
                </c:pt>
                <c:pt idx="430">
                  <c:v>7677.9999999998608</c:v>
                </c:pt>
                <c:pt idx="431">
                  <c:v>7677.9999999998608</c:v>
                </c:pt>
                <c:pt idx="432">
                  <c:v>7677.9999999998608</c:v>
                </c:pt>
                <c:pt idx="433">
                  <c:v>7677.9999999998608</c:v>
                </c:pt>
                <c:pt idx="434">
                  <c:v>7677.9999999998608</c:v>
                </c:pt>
                <c:pt idx="435">
                  <c:v>7677.9999999998608</c:v>
                </c:pt>
                <c:pt idx="436">
                  <c:v>7677.9999999998608</c:v>
                </c:pt>
                <c:pt idx="437">
                  <c:v>7997.9999999998608</c:v>
                </c:pt>
                <c:pt idx="438">
                  <c:v>7997.9999999998608</c:v>
                </c:pt>
                <c:pt idx="439">
                  <c:v>7997.9999999998608</c:v>
                </c:pt>
                <c:pt idx="440">
                  <c:v>7997.9999999998608</c:v>
                </c:pt>
                <c:pt idx="441">
                  <c:v>7997.9999999998608</c:v>
                </c:pt>
                <c:pt idx="442">
                  <c:v>7997.9999999998608</c:v>
                </c:pt>
                <c:pt idx="443">
                  <c:v>7997.9999999998608</c:v>
                </c:pt>
                <c:pt idx="444">
                  <c:v>7997.9999999998608</c:v>
                </c:pt>
                <c:pt idx="445">
                  <c:v>7997.9999999998608</c:v>
                </c:pt>
                <c:pt idx="446">
                  <c:v>7997.9999999998608</c:v>
                </c:pt>
                <c:pt idx="447">
                  <c:v>9197.9999999998618</c:v>
                </c:pt>
                <c:pt idx="448">
                  <c:v>9197.9999999998618</c:v>
                </c:pt>
                <c:pt idx="449">
                  <c:v>9197.9999999998618</c:v>
                </c:pt>
                <c:pt idx="450">
                  <c:v>9197.9999999998618</c:v>
                </c:pt>
                <c:pt idx="451">
                  <c:v>9197.9999999998618</c:v>
                </c:pt>
                <c:pt idx="452">
                  <c:v>9197.9999999998618</c:v>
                </c:pt>
                <c:pt idx="453">
                  <c:v>9197.9999999998618</c:v>
                </c:pt>
                <c:pt idx="454">
                  <c:v>9197.9999999998618</c:v>
                </c:pt>
                <c:pt idx="455">
                  <c:v>9197.9999999998618</c:v>
                </c:pt>
                <c:pt idx="456">
                  <c:v>9197.9999999998618</c:v>
                </c:pt>
                <c:pt idx="457">
                  <c:v>9197.9999999998618</c:v>
                </c:pt>
                <c:pt idx="458">
                  <c:v>9197.9999999998618</c:v>
                </c:pt>
                <c:pt idx="459">
                  <c:v>9197.9999999998618</c:v>
                </c:pt>
                <c:pt idx="460">
                  <c:v>9197.9999999998618</c:v>
                </c:pt>
                <c:pt idx="461">
                  <c:v>9197.9999999998618</c:v>
                </c:pt>
                <c:pt idx="462">
                  <c:v>9197.9999999998618</c:v>
                </c:pt>
                <c:pt idx="463">
                  <c:v>9197.9999999998618</c:v>
                </c:pt>
                <c:pt idx="464">
                  <c:v>9197.9999999998618</c:v>
                </c:pt>
                <c:pt idx="465">
                  <c:v>9197.9999999998618</c:v>
                </c:pt>
                <c:pt idx="466">
                  <c:v>9197.9999999998618</c:v>
                </c:pt>
                <c:pt idx="467">
                  <c:v>9197.9999999998618</c:v>
                </c:pt>
                <c:pt idx="468">
                  <c:v>9197.9999999998618</c:v>
                </c:pt>
                <c:pt idx="469">
                  <c:v>9197.9999999998618</c:v>
                </c:pt>
                <c:pt idx="470">
                  <c:v>9197.9999999998618</c:v>
                </c:pt>
                <c:pt idx="471">
                  <c:v>9197.9999999998618</c:v>
                </c:pt>
                <c:pt idx="472">
                  <c:v>9197.9999999998618</c:v>
                </c:pt>
                <c:pt idx="473">
                  <c:v>9197.9999999998618</c:v>
                </c:pt>
                <c:pt idx="474">
                  <c:v>9197.9999999998618</c:v>
                </c:pt>
                <c:pt idx="475">
                  <c:v>9197.9999999998618</c:v>
                </c:pt>
                <c:pt idx="476">
                  <c:v>9197.9999999998618</c:v>
                </c:pt>
                <c:pt idx="477">
                  <c:v>9197.9999999998618</c:v>
                </c:pt>
                <c:pt idx="478">
                  <c:v>9197.9999999998618</c:v>
                </c:pt>
                <c:pt idx="479">
                  <c:v>9197.9999999998618</c:v>
                </c:pt>
                <c:pt idx="480">
                  <c:v>9197.9999999998618</c:v>
                </c:pt>
                <c:pt idx="481">
                  <c:v>9197.9999999998618</c:v>
                </c:pt>
                <c:pt idx="482">
                  <c:v>9197.9999999998618</c:v>
                </c:pt>
                <c:pt idx="483">
                  <c:v>9197.9999999998618</c:v>
                </c:pt>
                <c:pt idx="484">
                  <c:v>9197.9999999998618</c:v>
                </c:pt>
                <c:pt idx="485">
                  <c:v>9197.9999999998618</c:v>
                </c:pt>
                <c:pt idx="486">
                  <c:v>9197.9999999998618</c:v>
                </c:pt>
                <c:pt idx="487">
                  <c:v>9197.9999999998618</c:v>
                </c:pt>
                <c:pt idx="488">
                  <c:v>9497.9999999998618</c:v>
                </c:pt>
                <c:pt idx="489">
                  <c:v>9497.9999999998618</c:v>
                </c:pt>
                <c:pt idx="490">
                  <c:v>9497.9999999998618</c:v>
                </c:pt>
                <c:pt idx="491">
                  <c:v>9497.9999999998618</c:v>
                </c:pt>
                <c:pt idx="492">
                  <c:v>9497.9999999998618</c:v>
                </c:pt>
                <c:pt idx="493">
                  <c:v>9497.9999999998618</c:v>
                </c:pt>
                <c:pt idx="494">
                  <c:v>9497.9999999998618</c:v>
                </c:pt>
                <c:pt idx="495">
                  <c:v>9497.9999999998618</c:v>
                </c:pt>
                <c:pt idx="496">
                  <c:v>9497.9999999998618</c:v>
                </c:pt>
                <c:pt idx="497">
                  <c:v>9497.9999999998618</c:v>
                </c:pt>
                <c:pt idx="498">
                  <c:v>9497.9999999998618</c:v>
                </c:pt>
                <c:pt idx="499">
                  <c:v>9497.9999999998618</c:v>
                </c:pt>
                <c:pt idx="500">
                  <c:v>9497.9999999998618</c:v>
                </c:pt>
                <c:pt idx="501">
                  <c:v>9497.9999999998618</c:v>
                </c:pt>
                <c:pt idx="502">
                  <c:v>9497.9999999998618</c:v>
                </c:pt>
                <c:pt idx="503">
                  <c:v>9197.9999999998618</c:v>
                </c:pt>
                <c:pt idx="504">
                  <c:v>9197.9999999998618</c:v>
                </c:pt>
                <c:pt idx="505">
                  <c:v>9197.9999999998618</c:v>
                </c:pt>
                <c:pt idx="506">
                  <c:v>11165.999999999862</c:v>
                </c:pt>
                <c:pt idx="507">
                  <c:v>11165.999999999862</c:v>
                </c:pt>
                <c:pt idx="508">
                  <c:v>11165.999999999862</c:v>
                </c:pt>
                <c:pt idx="509">
                  <c:v>11165.999999999862</c:v>
                </c:pt>
                <c:pt idx="510">
                  <c:v>11165.999999999862</c:v>
                </c:pt>
                <c:pt idx="511">
                  <c:v>11165.999999999862</c:v>
                </c:pt>
                <c:pt idx="512">
                  <c:v>11165.999999999862</c:v>
                </c:pt>
                <c:pt idx="513">
                  <c:v>11165.999999999862</c:v>
                </c:pt>
                <c:pt idx="514">
                  <c:v>11165.999999999862</c:v>
                </c:pt>
                <c:pt idx="515">
                  <c:v>11165.999999999862</c:v>
                </c:pt>
                <c:pt idx="516">
                  <c:v>11165.999999999862</c:v>
                </c:pt>
                <c:pt idx="517">
                  <c:v>11165.999999999862</c:v>
                </c:pt>
                <c:pt idx="518">
                  <c:v>11165.999999999862</c:v>
                </c:pt>
                <c:pt idx="519">
                  <c:v>11645.999999999862</c:v>
                </c:pt>
                <c:pt idx="520">
                  <c:v>11645.999999999862</c:v>
                </c:pt>
                <c:pt idx="521">
                  <c:v>11645.999999999862</c:v>
                </c:pt>
                <c:pt idx="522">
                  <c:v>11645.999999999862</c:v>
                </c:pt>
                <c:pt idx="523">
                  <c:v>11645.999999999862</c:v>
                </c:pt>
                <c:pt idx="524">
                  <c:v>11645.999999999862</c:v>
                </c:pt>
                <c:pt idx="525">
                  <c:v>11645.999999999862</c:v>
                </c:pt>
                <c:pt idx="526">
                  <c:v>11645.999999999862</c:v>
                </c:pt>
                <c:pt idx="527">
                  <c:v>11645.999999999862</c:v>
                </c:pt>
                <c:pt idx="528">
                  <c:v>11645.999999999862</c:v>
                </c:pt>
                <c:pt idx="529">
                  <c:v>11645.999999999862</c:v>
                </c:pt>
                <c:pt idx="530">
                  <c:v>11645.999999999862</c:v>
                </c:pt>
                <c:pt idx="531">
                  <c:v>11645.999999999862</c:v>
                </c:pt>
                <c:pt idx="532">
                  <c:v>11645.999999999862</c:v>
                </c:pt>
                <c:pt idx="533">
                  <c:v>11645.999999999862</c:v>
                </c:pt>
                <c:pt idx="534">
                  <c:v>11645.999999999862</c:v>
                </c:pt>
                <c:pt idx="535">
                  <c:v>11645.999999999862</c:v>
                </c:pt>
                <c:pt idx="536">
                  <c:v>11645.999999999862</c:v>
                </c:pt>
                <c:pt idx="537">
                  <c:v>11645.999999999862</c:v>
                </c:pt>
                <c:pt idx="538">
                  <c:v>11645.999999999862</c:v>
                </c:pt>
                <c:pt idx="539">
                  <c:v>11645.999999999862</c:v>
                </c:pt>
                <c:pt idx="540">
                  <c:v>11645.999999999862</c:v>
                </c:pt>
                <c:pt idx="541">
                  <c:v>11645.999999999862</c:v>
                </c:pt>
                <c:pt idx="542">
                  <c:v>11645.999999999862</c:v>
                </c:pt>
                <c:pt idx="543">
                  <c:v>11645.999999999862</c:v>
                </c:pt>
                <c:pt idx="544">
                  <c:v>11645.999999999862</c:v>
                </c:pt>
                <c:pt idx="545">
                  <c:v>11645.999999999862</c:v>
                </c:pt>
                <c:pt idx="546">
                  <c:v>14525.999999999862</c:v>
                </c:pt>
                <c:pt idx="547">
                  <c:v>15325.999999999862</c:v>
                </c:pt>
                <c:pt idx="548">
                  <c:v>14525.999999999862</c:v>
                </c:pt>
                <c:pt idx="549">
                  <c:v>14525.999999999862</c:v>
                </c:pt>
                <c:pt idx="550">
                  <c:v>15325.999999999862</c:v>
                </c:pt>
                <c:pt idx="551">
                  <c:v>15325.999999999862</c:v>
                </c:pt>
                <c:pt idx="552">
                  <c:v>15325.999999999862</c:v>
                </c:pt>
                <c:pt idx="553">
                  <c:v>15325.999999999862</c:v>
                </c:pt>
                <c:pt idx="554">
                  <c:v>15325.999999999862</c:v>
                </c:pt>
                <c:pt idx="555">
                  <c:v>20606.800000000316</c:v>
                </c:pt>
                <c:pt idx="556">
                  <c:v>15325.999999999862</c:v>
                </c:pt>
                <c:pt idx="557">
                  <c:v>15325.999999999862</c:v>
                </c:pt>
                <c:pt idx="558">
                  <c:v>15325.999999999862</c:v>
                </c:pt>
                <c:pt idx="559">
                  <c:v>15325.999999999862</c:v>
                </c:pt>
                <c:pt idx="560">
                  <c:v>15325.999999999862</c:v>
                </c:pt>
                <c:pt idx="561">
                  <c:v>15325.999999999862</c:v>
                </c:pt>
                <c:pt idx="562">
                  <c:v>15325.999999999862</c:v>
                </c:pt>
                <c:pt idx="563">
                  <c:v>15325.999999999862</c:v>
                </c:pt>
                <c:pt idx="564">
                  <c:v>15325.999999999862</c:v>
                </c:pt>
                <c:pt idx="565">
                  <c:v>15325.999999999862</c:v>
                </c:pt>
                <c:pt idx="566">
                  <c:v>15325.999999999862</c:v>
                </c:pt>
                <c:pt idx="567">
                  <c:v>15325.999999999862</c:v>
                </c:pt>
                <c:pt idx="568">
                  <c:v>23278.800000000327</c:v>
                </c:pt>
                <c:pt idx="569">
                  <c:v>17725.999999999862</c:v>
                </c:pt>
                <c:pt idx="570">
                  <c:v>17725.999999999862</c:v>
                </c:pt>
                <c:pt idx="571">
                  <c:v>23278.800000000327</c:v>
                </c:pt>
                <c:pt idx="572">
                  <c:v>17245.999999999956</c:v>
                </c:pt>
                <c:pt idx="573">
                  <c:v>17245.999999999956</c:v>
                </c:pt>
                <c:pt idx="574">
                  <c:v>17245.999999999956</c:v>
                </c:pt>
                <c:pt idx="575">
                  <c:v>23278.800000000327</c:v>
                </c:pt>
                <c:pt idx="576">
                  <c:v>20606.800000000316</c:v>
                </c:pt>
                <c:pt idx="577">
                  <c:v>17565.999999999956</c:v>
                </c:pt>
                <c:pt idx="578">
                  <c:v>17565.999999999956</c:v>
                </c:pt>
                <c:pt idx="579">
                  <c:v>17565.999999999956</c:v>
                </c:pt>
                <c:pt idx="580">
                  <c:v>17565.999999999956</c:v>
                </c:pt>
                <c:pt idx="581">
                  <c:v>17565.999999999956</c:v>
                </c:pt>
                <c:pt idx="582">
                  <c:v>17886.00000000012</c:v>
                </c:pt>
                <c:pt idx="583">
                  <c:v>18186.00000000012</c:v>
                </c:pt>
                <c:pt idx="584">
                  <c:v>17886.00000000012</c:v>
                </c:pt>
                <c:pt idx="585">
                  <c:v>17886.00000000012</c:v>
                </c:pt>
                <c:pt idx="586">
                  <c:v>17886.00000000012</c:v>
                </c:pt>
                <c:pt idx="587">
                  <c:v>17886.00000000012</c:v>
                </c:pt>
                <c:pt idx="588">
                  <c:v>17886.00000000012</c:v>
                </c:pt>
                <c:pt idx="589">
                  <c:v>17886.00000000012</c:v>
                </c:pt>
                <c:pt idx="590">
                  <c:v>17886.00000000012</c:v>
                </c:pt>
                <c:pt idx="591">
                  <c:v>17886.00000000012</c:v>
                </c:pt>
                <c:pt idx="592">
                  <c:v>17886.00000000012</c:v>
                </c:pt>
                <c:pt idx="593">
                  <c:v>17886.00000000012</c:v>
                </c:pt>
                <c:pt idx="594">
                  <c:v>17886.00000000012</c:v>
                </c:pt>
                <c:pt idx="595">
                  <c:v>17886.00000000012</c:v>
                </c:pt>
                <c:pt idx="596">
                  <c:v>17886.00000000012</c:v>
                </c:pt>
                <c:pt idx="597">
                  <c:v>17886.00000000012</c:v>
                </c:pt>
                <c:pt idx="598">
                  <c:v>17886.00000000012</c:v>
                </c:pt>
                <c:pt idx="599">
                  <c:v>18186.00000000012</c:v>
                </c:pt>
                <c:pt idx="600">
                  <c:v>17886.00000000012</c:v>
                </c:pt>
                <c:pt idx="601">
                  <c:v>17886.00000000012</c:v>
                </c:pt>
                <c:pt idx="602">
                  <c:v>17886.00000000012</c:v>
                </c:pt>
                <c:pt idx="603">
                  <c:v>17886.00000000012</c:v>
                </c:pt>
                <c:pt idx="604">
                  <c:v>17886.00000000012</c:v>
                </c:pt>
                <c:pt idx="605">
                  <c:v>17886.00000000012</c:v>
                </c:pt>
                <c:pt idx="606">
                  <c:v>17886.00000000012</c:v>
                </c:pt>
                <c:pt idx="607">
                  <c:v>17886.00000000012</c:v>
                </c:pt>
                <c:pt idx="608">
                  <c:v>17886.00000000012</c:v>
                </c:pt>
                <c:pt idx="609">
                  <c:v>17886.00000000012</c:v>
                </c:pt>
                <c:pt idx="610">
                  <c:v>17886.00000000012</c:v>
                </c:pt>
                <c:pt idx="611">
                  <c:v>18186.00000000012</c:v>
                </c:pt>
                <c:pt idx="612">
                  <c:v>18186.00000000012</c:v>
                </c:pt>
                <c:pt idx="613">
                  <c:v>18186.00000000012</c:v>
                </c:pt>
                <c:pt idx="614">
                  <c:v>18186.00000000012</c:v>
                </c:pt>
                <c:pt idx="615">
                  <c:v>18186.00000000012</c:v>
                </c:pt>
                <c:pt idx="616">
                  <c:v>18186.00000000012</c:v>
                </c:pt>
                <c:pt idx="617">
                  <c:v>18186.00000000012</c:v>
                </c:pt>
                <c:pt idx="618">
                  <c:v>18186.00000000012</c:v>
                </c:pt>
                <c:pt idx="619">
                  <c:v>18186.00000000012</c:v>
                </c:pt>
                <c:pt idx="620">
                  <c:v>23278.800000000327</c:v>
                </c:pt>
                <c:pt idx="621">
                  <c:v>18506.000000000284</c:v>
                </c:pt>
                <c:pt idx="622">
                  <c:v>18506.000000000284</c:v>
                </c:pt>
                <c:pt idx="623">
                  <c:v>18506.000000000284</c:v>
                </c:pt>
                <c:pt idx="624">
                  <c:v>18506.000000000284</c:v>
                </c:pt>
                <c:pt idx="625">
                  <c:v>18506.000000000284</c:v>
                </c:pt>
                <c:pt idx="626">
                  <c:v>18506.000000000284</c:v>
                </c:pt>
                <c:pt idx="627">
                  <c:v>23278.800000000327</c:v>
                </c:pt>
                <c:pt idx="628">
                  <c:v>20906.000000000284</c:v>
                </c:pt>
                <c:pt idx="629">
                  <c:v>20906.000000000284</c:v>
                </c:pt>
                <c:pt idx="630">
                  <c:v>18985.999999999985</c:v>
                </c:pt>
                <c:pt idx="631">
                  <c:v>17386.000000000076</c:v>
                </c:pt>
                <c:pt idx="632">
                  <c:v>15465.999999999776</c:v>
                </c:pt>
                <c:pt idx="633">
                  <c:v>13545.999999999778</c:v>
                </c:pt>
                <c:pt idx="634">
                  <c:v>11626.00000000016</c:v>
                </c:pt>
                <c:pt idx="635">
                  <c:v>11626.00000000016</c:v>
                </c:pt>
                <c:pt idx="636">
                  <c:v>11626.00000000016</c:v>
                </c:pt>
                <c:pt idx="637">
                  <c:v>11626.00000000016</c:v>
                </c:pt>
                <c:pt idx="638">
                  <c:v>11626.00000000016</c:v>
                </c:pt>
                <c:pt idx="639">
                  <c:v>23278.800000000327</c:v>
                </c:pt>
                <c:pt idx="640">
                  <c:v>11626.00000000016</c:v>
                </c:pt>
                <c:pt idx="641">
                  <c:v>11626.00000000016</c:v>
                </c:pt>
                <c:pt idx="642">
                  <c:v>23278.800000000327</c:v>
                </c:pt>
                <c:pt idx="643">
                  <c:v>11626.00000000016</c:v>
                </c:pt>
                <c:pt idx="644">
                  <c:v>11626.00000000016</c:v>
                </c:pt>
                <c:pt idx="645">
                  <c:v>15726.00000000016</c:v>
                </c:pt>
                <c:pt idx="646">
                  <c:v>11626.000000000158</c:v>
                </c:pt>
                <c:pt idx="647">
                  <c:v>15726.00000000016</c:v>
                </c:pt>
                <c:pt idx="648">
                  <c:v>11626.000000000158</c:v>
                </c:pt>
                <c:pt idx="649">
                  <c:v>11626.000000000158</c:v>
                </c:pt>
                <c:pt idx="650">
                  <c:v>11626.000000000158</c:v>
                </c:pt>
                <c:pt idx="651">
                  <c:v>11626.000000000158</c:v>
                </c:pt>
                <c:pt idx="652">
                  <c:v>11626.000000000158</c:v>
                </c:pt>
                <c:pt idx="653">
                  <c:v>11626.000000000158</c:v>
                </c:pt>
                <c:pt idx="654">
                  <c:v>11626.000000000158</c:v>
                </c:pt>
                <c:pt idx="655">
                  <c:v>11626.000000000158</c:v>
                </c:pt>
                <c:pt idx="656">
                  <c:v>11626.000000000158</c:v>
                </c:pt>
                <c:pt idx="657">
                  <c:v>11626.000000000158</c:v>
                </c:pt>
                <c:pt idx="658">
                  <c:v>11626.000000000158</c:v>
                </c:pt>
                <c:pt idx="659">
                  <c:v>11626.000000000158</c:v>
                </c:pt>
                <c:pt idx="660">
                  <c:v>11626.000000000158</c:v>
                </c:pt>
                <c:pt idx="661">
                  <c:v>11626.000000000158</c:v>
                </c:pt>
                <c:pt idx="662">
                  <c:v>11626.000000000158</c:v>
                </c:pt>
                <c:pt idx="663">
                  <c:v>11626.000000000158</c:v>
                </c:pt>
                <c:pt idx="664">
                  <c:v>11626.000000000158</c:v>
                </c:pt>
                <c:pt idx="665">
                  <c:v>11626.000000000158</c:v>
                </c:pt>
                <c:pt idx="666">
                  <c:v>15726.00000000016</c:v>
                </c:pt>
                <c:pt idx="667">
                  <c:v>11626.000000000158</c:v>
                </c:pt>
                <c:pt idx="668">
                  <c:v>11626.000000000158</c:v>
                </c:pt>
                <c:pt idx="669">
                  <c:v>13226.00000000016</c:v>
                </c:pt>
                <c:pt idx="670">
                  <c:v>14826.00000000016</c:v>
                </c:pt>
                <c:pt idx="671">
                  <c:v>13226.00000000016</c:v>
                </c:pt>
                <c:pt idx="672">
                  <c:v>13226.00000000016</c:v>
                </c:pt>
                <c:pt idx="673">
                  <c:v>13226.00000000016</c:v>
                </c:pt>
                <c:pt idx="674">
                  <c:v>14826.00000000016</c:v>
                </c:pt>
                <c:pt idx="675">
                  <c:v>13226.00000000016</c:v>
                </c:pt>
                <c:pt idx="676">
                  <c:v>13226.00000000016</c:v>
                </c:pt>
                <c:pt idx="677">
                  <c:v>13226.00000000016</c:v>
                </c:pt>
                <c:pt idx="678">
                  <c:v>13226.00000000016</c:v>
                </c:pt>
                <c:pt idx="679">
                  <c:v>13226.00000000016</c:v>
                </c:pt>
                <c:pt idx="680">
                  <c:v>13226.00000000016</c:v>
                </c:pt>
                <c:pt idx="681">
                  <c:v>13226.00000000016</c:v>
                </c:pt>
                <c:pt idx="682">
                  <c:v>13226.00000000016</c:v>
                </c:pt>
                <c:pt idx="683">
                  <c:v>13226.00000000016</c:v>
                </c:pt>
                <c:pt idx="684">
                  <c:v>13226.00000000016</c:v>
                </c:pt>
                <c:pt idx="685">
                  <c:v>13226.00000000016</c:v>
                </c:pt>
                <c:pt idx="686">
                  <c:v>13226.00000000016</c:v>
                </c:pt>
                <c:pt idx="687">
                  <c:v>13226.00000000016</c:v>
                </c:pt>
                <c:pt idx="688">
                  <c:v>13226.00000000016</c:v>
                </c:pt>
                <c:pt idx="689">
                  <c:v>13226.00000000016</c:v>
                </c:pt>
                <c:pt idx="690">
                  <c:v>13226.00000000016</c:v>
                </c:pt>
                <c:pt idx="691">
                  <c:v>13226.00000000016</c:v>
                </c:pt>
                <c:pt idx="692">
                  <c:v>13226.00000000016</c:v>
                </c:pt>
                <c:pt idx="693">
                  <c:v>13226.00000000016</c:v>
                </c:pt>
                <c:pt idx="694">
                  <c:v>13226.00000000016</c:v>
                </c:pt>
                <c:pt idx="695">
                  <c:v>13226.00000000016</c:v>
                </c:pt>
                <c:pt idx="696">
                  <c:v>13226.00000000016</c:v>
                </c:pt>
                <c:pt idx="697">
                  <c:v>13226.00000000016</c:v>
                </c:pt>
                <c:pt idx="698">
                  <c:v>13226.00000000016</c:v>
                </c:pt>
                <c:pt idx="699">
                  <c:v>13226.00000000016</c:v>
                </c:pt>
                <c:pt idx="700">
                  <c:v>13226.00000000016</c:v>
                </c:pt>
                <c:pt idx="701">
                  <c:v>14826.00000000016</c:v>
                </c:pt>
                <c:pt idx="702">
                  <c:v>15726.00000000016</c:v>
                </c:pt>
                <c:pt idx="703">
                  <c:v>14826.00000000016</c:v>
                </c:pt>
                <c:pt idx="704">
                  <c:v>14826.00000000016</c:v>
                </c:pt>
                <c:pt idx="705">
                  <c:v>14826.00000000016</c:v>
                </c:pt>
                <c:pt idx="706">
                  <c:v>15126.00000000016</c:v>
                </c:pt>
                <c:pt idx="707">
                  <c:v>15726.00000000016</c:v>
                </c:pt>
                <c:pt idx="708">
                  <c:v>15726.00000000016</c:v>
                </c:pt>
                <c:pt idx="709">
                  <c:v>15726.00000000016</c:v>
                </c:pt>
                <c:pt idx="710">
                  <c:v>15726.00000000016</c:v>
                </c:pt>
                <c:pt idx="711">
                  <c:v>15726.00000000016</c:v>
                </c:pt>
                <c:pt idx="712">
                  <c:v>15726.00000000016</c:v>
                </c:pt>
                <c:pt idx="713">
                  <c:v>15726.00000000016</c:v>
                </c:pt>
                <c:pt idx="714">
                  <c:v>15726.00000000016</c:v>
                </c:pt>
                <c:pt idx="715">
                  <c:v>15726.00000000016</c:v>
                </c:pt>
                <c:pt idx="716">
                  <c:v>15726.00000000016</c:v>
                </c:pt>
                <c:pt idx="717">
                  <c:v>15726.00000000016</c:v>
                </c:pt>
                <c:pt idx="718">
                  <c:v>15726.00000000016</c:v>
                </c:pt>
                <c:pt idx="719">
                  <c:v>15726.00000000016</c:v>
                </c:pt>
                <c:pt idx="720">
                  <c:v>15726.00000000016</c:v>
                </c:pt>
                <c:pt idx="721">
                  <c:v>15726.00000000016</c:v>
                </c:pt>
                <c:pt idx="722">
                  <c:v>15726.00000000016</c:v>
                </c:pt>
                <c:pt idx="723">
                  <c:v>15726.00000000016</c:v>
                </c:pt>
                <c:pt idx="724">
                  <c:v>15726.00000000016</c:v>
                </c:pt>
                <c:pt idx="725">
                  <c:v>15726.00000000016</c:v>
                </c:pt>
                <c:pt idx="726">
                  <c:v>15726.00000000016</c:v>
                </c:pt>
                <c:pt idx="727">
                  <c:v>15726.00000000016</c:v>
                </c:pt>
                <c:pt idx="728">
                  <c:v>15726.00000000016</c:v>
                </c:pt>
                <c:pt idx="729">
                  <c:v>15726.00000000016</c:v>
                </c:pt>
                <c:pt idx="730">
                  <c:v>15726.00000000016</c:v>
                </c:pt>
                <c:pt idx="731">
                  <c:v>23278.800000000327</c:v>
                </c:pt>
                <c:pt idx="732">
                  <c:v>22616.400000000325</c:v>
                </c:pt>
                <c:pt idx="733">
                  <c:v>15726.00000000016</c:v>
                </c:pt>
                <c:pt idx="734">
                  <c:v>15726.00000000016</c:v>
                </c:pt>
                <c:pt idx="735">
                  <c:v>15726.00000000016</c:v>
                </c:pt>
                <c:pt idx="736">
                  <c:v>15726.00000000016</c:v>
                </c:pt>
                <c:pt idx="737">
                  <c:v>15726.00000000016</c:v>
                </c:pt>
                <c:pt idx="738">
                  <c:v>22616.400000000325</c:v>
                </c:pt>
                <c:pt idx="739">
                  <c:v>15726.00000000016</c:v>
                </c:pt>
                <c:pt idx="740">
                  <c:v>15726.00000000016</c:v>
                </c:pt>
                <c:pt idx="741">
                  <c:v>15726.00000000016</c:v>
                </c:pt>
                <c:pt idx="742">
                  <c:v>15726.00000000016</c:v>
                </c:pt>
                <c:pt idx="743">
                  <c:v>15726.00000000016</c:v>
                </c:pt>
                <c:pt idx="744">
                  <c:v>15726.00000000016</c:v>
                </c:pt>
                <c:pt idx="745">
                  <c:v>15726.00000000016</c:v>
                </c:pt>
                <c:pt idx="746">
                  <c:v>15726.00000000016</c:v>
                </c:pt>
                <c:pt idx="747">
                  <c:v>15726.00000000016</c:v>
                </c:pt>
                <c:pt idx="748">
                  <c:v>15726.00000000016</c:v>
                </c:pt>
                <c:pt idx="749">
                  <c:v>15726.00000000016</c:v>
                </c:pt>
                <c:pt idx="750">
                  <c:v>15726.00000000016</c:v>
                </c:pt>
                <c:pt idx="751">
                  <c:v>15726.00000000016</c:v>
                </c:pt>
                <c:pt idx="752">
                  <c:v>15726.00000000016</c:v>
                </c:pt>
                <c:pt idx="753">
                  <c:v>15726.00000000016</c:v>
                </c:pt>
                <c:pt idx="754">
                  <c:v>15726.00000000016</c:v>
                </c:pt>
                <c:pt idx="755">
                  <c:v>15726.00000000016</c:v>
                </c:pt>
                <c:pt idx="756">
                  <c:v>15726.00000000016</c:v>
                </c:pt>
                <c:pt idx="757">
                  <c:v>15726.00000000016</c:v>
                </c:pt>
                <c:pt idx="758">
                  <c:v>15726.00000000016</c:v>
                </c:pt>
                <c:pt idx="759">
                  <c:v>15726.00000000016</c:v>
                </c:pt>
                <c:pt idx="760">
                  <c:v>15726.00000000016</c:v>
                </c:pt>
                <c:pt idx="761">
                  <c:v>15726.00000000016</c:v>
                </c:pt>
                <c:pt idx="762">
                  <c:v>17812.400000000162</c:v>
                </c:pt>
                <c:pt idx="763">
                  <c:v>15726.00000000016</c:v>
                </c:pt>
                <c:pt idx="764">
                  <c:v>15726.00000000016</c:v>
                </c:pt>
                <c:pt idx="765">
                  <c:v>15726.00000000016</c:v>
                </c:pt>
                <c:pt idx="766">
                  <c:v>17326.00000000016</c:v>
                </c:pt>
                <c:pt idx="767">
                  <c:v>17326.00000000016</c:v>
                </c:pt>
                <c:pt idx="768">
                  <c:v>17326.00000000016</c:v>
                </c:pt>
                <c:pt idx="769">
                  <c:v>17326.00000000016</c:v>
                </c:pt>
                <c:pt idx="770">
                  <c:v>17812.400000000162</c:v>
                </c:pt>
                <c:pt idx="771">
                  <c:v>17812.400000000162</c:v>
                </c:pt>
                <c:pt idx="772">
                  <c:v>17812.400000000162</c:v>
                </c:pt>
                <c:pt idx="773">
                  <c:v>17812.400000000162</c:v>
                </c:pt>
                <c:pt idx="774">
                  <c:v>17812.400000000162</c:v>
                </c:pt>
                <c:pt idx="775">
                  <c:v>20372.400000000162</c:v>
                </c:pt>
                <c:pt idx="776">
                  <c:v>17812.400000000162</c:v>
                </c:pt>
                <c:pt idx="777">
                  <c:v>17812.400000000162</c:v>
                </c:pt>
                <c:pt idx="778">
                  <c:v>17812.400000000162</c:v>
                </c:pt>
                <c:pt idx="779">
                  <c:v>17812.400000000162</c:v>
                </c:pt>
                <c:pt idx="780">
                  <c:v>17812.400000000162</c:v>
                </c:pt>
                <c:pt idx="781">
                  <c:v>17812.400000000162</c:v>
                </c:pt>
                <c:pt idx="782">
                  <c:v>17812.400000000162</c:v>
                </c:pt>
                <c:pt idx="783">
                  <c:v>17812.400000000162</c:v>
                </c:pt>
                <c:pt idx="784">
                  <c:v>17812.400000000162</c:v>
                </c:pt>
                <c:pt idx="785">
                  <c:v>20372.400000000162</c:v>
                </c:pt>
                <c:pt idx="786">
                  <c:v>17812.400000000162</c:v>
                </c:pt>
                <c:pt idx="787">
                  <c:v>17812.400000000162</c:v>
                </c:pt>
                <c:pt idx="788">
                  <c:v>20372.400000000162</c:v>
                </c:pt>
                <c:pt idx="789">
                  <c:v>17812.400000000162</c:v>
                </c:pt>
                <c:pt idx="790">
                  <c:v>17812.400000000162</c:v>
                </c:pt>
                <c:pt idx="791">
                  <c:v>19412.400000000162</c:v>
                </c:pt>
                <c:pt idx="792">
                  <c:v>19412.400000000162</c:v>
                </c:pt>
                <c:pt idx="793">
                  <c:v>20372.400000000162</c:v>
                </c:pt>
                <c:pt idx="794">
                  <c:v>20372.400000000162</c:v>
                </c:pt>
                <c:pt idx="795">
                  <c:v>22308.400000000325</c:v>
                </c:pt>
                <c:pt idx="796">
                  <c:v>20692.400000000325</c:v>
                </c:pt>
                <c:pt idx="797">
                  <c:v>20692.400000000325</c:v>
                </c:pt>
                <c:pt idx="798">
                  <c:v>22308.400000000325</c:v>
                </c:pt>
                <c:pt idx="799">
                  <c:v>20692.400000000325</c:v>
                </c:pt>
                <c:pt idx="800">
                  <c:v>20692.400000000325</c:v>
                </c:pt>
                <c:pt idx="801">
                  <c:v>21652.400000000325</c:v>
                </c:pt>
                <c:pt idx="802">
                  <c:v>22308.400000000325</c:v>
                </c:pt>
                <c:pt idx="803">
                  <c:v>21652.400000000325</c:v>
                </c:pt>
                <c:pt idx="804">
                  <c:v>21652.400000000325</c:v>
                </c:pt>
                <c:pt idx="805">
                  <c:v>21652.400000000325</c:v>
                </c:pt>
                <c:pt idx="806">
                  <c:v>21652.400000000325</c:v>
                </c:pt>
                <c:pt idx="807">
                  <c:v>21652.400000000325</c:v>
                </c:pt>
                <c:pt idx="808">
                  <c:v>21652.400000000325</c:v>
                </c:pt>
                <c:pt idx="809">
                  <c:v>21652.400000000325</c:v>
                </c:pt>
                <c:pt idx="810">
                  <c:v>21652.400000000325</c:v>
                </c:pt>
                <c:pt idx="811">
                  <c:v>21652.400000000325</c:v>
                </c:pt>
                <c:pt idx="812">
                  <c:v>21652.400000000325</c:v>
                </c:pt>
                <c:pt idx="813">
                  <c:v>22308.400000000325</c:v>
                </c:pt>
                <c:pt idx="814">
                  <c:v>22616.400000000325</c:v>
                </c:pt>
                <c:pt idx="815">
                  <c:v>21652.400000000325</c:v>
                </c:pt>
                <c:pt idx="816">
                  <c:v>21652.400000000325</c:v>
                </c:pt>
                <c:pt idx="817">
                  <c:v>22308.400000000325</c:v>
                </c:pt>
                <c:pt idx="818">
                  <c:v>21652.400000000325</c:v>
                </c:pt>
                <c:pt idx="819">
                  <c:v>21652.400000000325</c:v>
                </c:pt>
                <c:pt idx="820">
                  <c:v>21652.400000000325</c:v>
                </c:pt>
                <c:pt idx="821">
                  <c:v>21652.400000000325</c:v>
                </c:pt>
                <c:pt idx="822">
                  <c:v>22308.400000000325</c:v>
                </c:pt>
                <c:pt idx="823">
                  <c:v>22616.400000000325</c:v>
                </c:pt>
                <c:pt idx="824">
                  <c:v>22308.400000000325</c:v>
                </c:pt>
                <c:pt idx="825">
                  <c:v>22308.400000000325</c:v>
                </c:pt>
                <c:pt idx="826">
                  <c:v>22308.400000000325</c:v>
                </c:pt>
                <c:pt idx="827">
                  <c:v>22616.400000000325</c:v>
                </c:pt>
                <c:pt idx="828">
                  <c:v>22616.400000000325</c:v>
                </c:pt>
                <c:pt idx="829">
                  <c:v>22308.400000000325</c:v>
                </c:pt>
                <c:pt idx="830">
                  <c:v>22308.400000000325</c:v>
                </c:pt>
                <c:pt idx="831">
                  <c:v>22308.400000000325</c:v>
                </c:pt>
                <c:pt idx="832">
                  <c:v>22308.400000000325</c:v>
                </c:pt>
                <c:pt idx="833">
                  <c:v>22308.400000000325</c:v>
                </c:pt>
                <c:pt idx="834">
                  <c:v>22616.400000000325</c:v>
                </c:pt>
                <c:pt idx="835">
                  <c:v>22616.400000000325</c:v>
                </c:pt>
                <c:pt idx="836">
                  <c:v>22308.400000000325</c:v>
                </c:pt>
                <c:pt idx="837">
                  <c:v>22616.400000000325</c:v>
                </c:pt>
                <c:pt idx="838">
                  <c:v>22616.400000000325</c:v>
                </c:pt>
                <c:pt idx="839">
                  <c:v>22308.400000000325</c:v>
                </c:pt>
                <c:pt idx="840">
                  <c:v>22308.400000000325</c:v>
                </c:pt>
                <c:pt idx="841">
                  <c:v>22308.400000000325</c:v>
                </c:pt>
                <c:pt idx="842">
                  <c:v>22608.400000000325</c:v>
                </c:pt>
                <c:pt idx="843">
                  <c:v>22608.400000000325</c:v>
                </c:pt>
                <c:pt idx="844">
                  <c:v>22608.400000000325</c:v>
                </c:pt>
                <c:pt idx="845">
                  <c:v>22616.400000000325</c:v>
                </c:pt>
                <c:pt idx="846">
                  <c:v>22616.400000000325</c:v>
                </c:pt>
                <c:pt idx="847">
                  <c:v>22608.400000000325</c:v>
                </c:pt>
                <c:pt idx="848">
                  <c:v>22608.400000000325</c:v>
                </c:pt>
                <c:pt idx="849">
                  <c:v>22616.400000000325</c:v>
                </c:pt>
                <c:pt idx="850">
                  <c:v>22616.400000000325</c:v>
                </c:pt>
                <c:pt idx="851">
                  <c:v>23508.400000000325</c:v>
                </c:pt>
                <c:pt idx="852">
                  <c:v>24108.400000000325</c:v>
                </c:pt>
                <c:pt idx="853">
                  <c:v>24108.400000000325</c:v>
                </c:pt>
                <c:pt idx="854">
                  <c:v>24108.400000000325</c:v>
                </c:pt>
                <c:pt idx="855">
                  <c:v>24108.400000000325</c:v>
                </c:pt>
                <c:pt idx="856">
                  <c:v>24108.400000000325</c:v>
                </c:pt>
                <c:pt idx="857">
                  <c:v>24108.400000000325</c:v>
                </c:pt>
                <c:pt idx="858">
                  <c:v>24408.400000000325</c:v>
                </c:pt>
                <c:pt idx="859">
                  <c:v>24408.400000000325</c:v>
                </c:pt>
                <c:pt idx="860">
                  <c:v>22616.400000000325</c:v>
                </c:pt>
                <c:pt idx="861">
                  <c:v>22616.400000000325</c:v>
                </c:pt>
                <c:pt idx="862">
                  <c:v>22616.400000000325</c:v>
                </c:pt>
                <c:pt idx="863">
                  <c:v>22616.400000000325</c:v>
                </c:pt>
                <c:pt idx="864">
                  <c:v>22616.400000000325</c:v>
                </c:pt>
                <c:pt idx="865">
                  <c:v>22616.400000000325</c:v>
                </c:pt>
                <c:pt idx="866">
                  <c:v>22616.400000000325</c:v>
                </c:pt>
                <c:pt idx="867">
                  <c:v>22616.400000000325</c:v>
                </c:pt>
                <c:pt idx="868">
                  <c:v>22616.400000000325</c:v>
                </c:pt>
                <c:pt idx="869">
                  <c:v>22616.400000000325</c:v>
                </c:pt>
                <c:pt idx="870">
                  <c:v>22616.400000000325</c:v>
                </c:pt>
                <c:pt idx="871">
                  <c:v>22616.400000000325</c:v>
                </c:pt>
                <c:pt idx="872">
                  <c:v>22616.400000000325</c:v>
                </c:pt>
                <c:pt idx="873">
                  <c:v>22616.400000000325</c:v>
                </c:pt>
                <c:pt idx="874">
                  <c:v>22616.400000000325</c:v>
                </c:pt>
                <c:pt idx="875">
                  <c:v>22616.400000000325</c:v>
                </c:pt>
                <c:pt idx="876">
                  <c:v>22616.400000000325</c:v>
                </c:pt>
                <c:pt idx="877">
                  <c:v>22616.400000000325</c:v>
                </c:pt>
                <c:pt idx="878">
                  <c:v>22616.400000000325</c:v>
                </c:pt>
                <c:pt idx="879">
                  <c:v>22616.400000000325</c:v>
                </c:pt>
                <c:pt idx="880">
                  <c:v>22616.400000000325</c:v>
                </c:pt>
                <c:pt idx="881">
                  <c:v>22616.400000000325</c:v>
                </c:pt>
                <c:pt idx="882">
                  <c:v>22616.400000000325</c:v>
                </c:pt>
                <c:pt idx="883">
                  <c:v>22616.400000000325</c:v>
                </c:pt>
                <c:pt idx="884">
                  <c:v>22616.400000000325</c:v>
                </c:pt>
                <c:pt idx="885">
                  <c:v>22616.400000000325</c:v>
                </c:pt>
                <c:pt idx="886">
                  <c:v>22616.400000000325</c:v>
                </c:pt>
                <c:pt idx="887">
                  <c:v>22616.400000000325</c:v>
                </c:pt>
                <c:pt idx="888">
                  <c:v>1428.8986379096184</c:v>
                </c:pt>
                <c:pt idx="889">
                  <c:v>22616.400000000325</c:v>
                </c:pt>
                <c:pt idx="890">
                  <c:v>22616.400000000325</c:v>
                </c:pt>
                <c:pt idx="891">
                  <c:v>22616.400000000325</c:v>
                </c:pt>
                <c:pt idx="892">
                  <c:v>22616.400000000325</c:v>
                </c:pt>
                <c:pt idx="893">
                  <c:v>22616.400000000325</c:v>
                </c:pt>
                <c:pt idx="894">
                  <c:v>22616.400000000325</c:v>
                </c:pt>
                <c:pt idx="895">
                  <c:v>22616.400000000325</c:v>
                </c:pt>
                <c:pt idx="896">
                  <c:v>22616.400000000325</c:v>
                </c:pt>
                <c:pt idx="897">
                  <c:v>22616.400000000325</c:v>
                </c:pt>
                <c:pt idx="898">
                  <c:v>22616.400000000325</c:v>
                </c:pt>
                <c:pt idx="899">
                  <c:v>22616.400000000325</c:v>
                </c:pt>
                <c:pt idx="900">
                  <c:v>22616.400000000325</c:v>
                </c:pt>
                <c:pt idx="901">
                  <c:v>22616.400000000325</c:v>
                </c:pt>
                <c:pt idx="902">
                  <c:v>22728.400000000325</c:v>
                </c:pt>
                <c:pt idx="903">
                  <c:v>22616.400000000325</c:v>
                </c:pt>
                <c:pt idx="904">
                  <c:v>22616.400000000325</c:v>
                </c:pt>
                <c:pt idx="905">
                  <c:v>22616.400000000325</c:v>
                </c:pt>
                <c:pt idx="906">
                  <c:v>22616.400000000325</c:v>
                </c:pt>
                <c:pt idx="907">
                  <c:v>22616.400000000325</c:v>
                </c:pt>
                <c:pt idx="908">
                  <c:v>22616.400000000325</c:v>
                </c:pt>
                <c:pt idx="909">
                  <c:v>22616.400000000325</c:v>
                </c:pt>
                <c:pt idx="910">
                  <c:v>22616.400000000325</c:v>
                </c:pt>
                <c:pt idx="911">
                  <c:v>22616.400000000325</c:v>
                </c:pt>
                <c:pt idx="912">
                  <c:v>22728.400000000325</c:v>
                </c:pt>
                <c:pt idx="913">
                  <c:v>22616.400000000325</c:v>
                </c:pt>
                <c:pt idx="914">
                  <c:v>22616.400000000325</c:v>
                </c:pt>
                <c:pt idx="915">
                  <c:v>22616.400000000325</c:v>
                </c:pt>
                <c:pt idx="916">
                  <c:v>22616.400000000325</c:v>
                </c:pt>
                <c:pt idx="917">
                  <c:v>22616.400000000325</c:v>
                </c:pt>
                <c:pt idx="918">
                  <c:v>22616.400000000325</c:v>
                </c:pt>
                <c:pt idx="919">
                  <c:v>22616.400000000325</c:v>
                </c:pt>
                <c:pt idx="920">
                  <c:v>22728.400000000325</c:v>
                </c:pt>
                <c:pt idx="921">
                  <c:v>22728.400000000325</c:v>
                </c:pt>
                <c:pt idx="922">
                  <c:v>22728.400000000325</c:v>
                </c:pt>
                <c:pt idx="923">
                  <c:v>22728.400000000325</c:v>
                </c:pt>
                <c:pt idx="924">
                  <c:v>22728.400000000325</c:v>
                </c:pt>
                <c:pt idx="925">
                  <c:v>22728.400000000325</c:v>
                </c:pt>
                <c:pt idx="926">
                  <c:v>22728.400000000325</c:v>
                </c:pt>
                <c:pt idx="927">
                  <c:v>22728.400000000325</c:v>
                </c:pt>
                <c:pt idx="928">
                  <c:v>22728.400000000325</c:v>
                </c:pt>
                <c:pt idx="929">
                  <c:v>22728.400000000325</c:v>
                </c:pt>
                <c:pt idx="930">
                  <c:v>23278.800000000327</c:v>
                </c:pt>
                <c:pt idx="931">
                  <c:v>22728.400000000325</c:v>
                </c:pt>
                <c:pt idx="932">
                  <c:v>22728.400000000325</c:v>
                </c:pt>
                <c:pt idx="933">
                  <c:v>22728.400000000325</c:v>
                </c:pt>
                <c:pt idx="934">
                  <c:v>22728.400000000325</c:v>
                </c:pt>
                <c:pt idx="935">
                  <c:v>22728.400000000325</c:v>
                </c:pt>
                <c:pt idx="936">
                  <c:v>22728.400000000325</c:v>
                </c:pt>
                <c:pt idx="937">
                  <c:v>22728.400000000325</c:v>
                </c:pt>
                <c:pt idx="938">
                  <c:v>22728.400000000325</c:v>
                </c:pt>
                <c:pt idx="939">
                  <c:v>23278.800000000327</c:v>
                </c:pt>
                <c:pt idx="940">
                  <c:v>22728.400000000325</c:v>
                </c:pt>
                <c:pt idx="941">
                  <c:v>22728.400000000325</c:v>
                </c:pt>
                <c:pt idx="942">
                  <c:v>22728.400000000325</c:v>
                </c:pt>
                <c:pt idx="943">
                  <c:v>22728.400000000325</c:v>
                </c:pt>
                <c:pt idx="944">
                  <c:v>22728.400000000325</c:v>
                </c:pt>
                <c:pt idx="945">
                  <c:v>22728.400000000325</c:v>
                </c:pt>
                <c:pt idx="946">
                  <c:v>23640.400000000325</c:v>
                </c:pt>
                <c:pt idx="947">
                  <c:v>24216.400000000325</c:v>
                </c:pt>
                <c:pt idx="948">
                  <c:v>23640.400000000325</c:v>
                </c:pt>
                <c:pt idx="949">
                  <c:v>23640.400000000325</c:v>
                </c:pt>
                <c:pt idx="950">
                  <c:v>23640.400000000325</c:v>
                </c:pt>
                <c:pt idx="951">
                  <c:v>23640.400000000325</c:v>
                </c:pt>
                <c:pt idx="952">
                  <c:v>23640.400000000325</c:v>
                </c:pt>
                <c:pt idx="953">
                  <c:v>23640.400000000325</c:v>
                </c:pt>
                <c:pt idx="954">
                  <c:v>23640.400000000325</c:v>
                </c:pt>
                <c:pt idx="955">
                  <c:v>23640.400000000325</c:v>
                </c:pt>
                <c:pt idx="956">
                  <c:v>23640.400000000325</c:v>
                </c:pt>
                <c:pt idx="957">
                  <c:v>24216.400000000325</c:v>
                </c:pt>
                <c:pt idx="958">
                  <c:v>23640.400000000325</c:v>
                </c:pt>
                <c:pt idx="959">
                  <c:v>23640.400000000325</c:v>
                </c:pt>
                <c:pt idx="960">
                  <c:v>24216.400000000325</c:v>
                </c:pt>
                <c:pt idx="961">
                  <c:v>23640.400000000325</c:v>
                </c:pt>
                <c:pt idx="962">
                  <c:v>23640.400000000325</c:v>
                </c:pt>
                <c:pt idx="963">
                  <c:v>24216.400000000325</c:v>
                </c:pt>
                <c:pt idx="964">
                  <c:v>24216.400000000325</c:v>
                </c:pt>
                <c:pt idx="965">
                  <c:v>24216.400000000325</c:v>
                </c:pt>
                <c:pt idx="966">
                  <c:v>24216.400000000325</c:v>
                </c:pt>
                <c:pt idx="967">
                  <c:v>23278.800000000327</c:v>
                </c:pt>
                <c:pt idx="968">
                  <c:v>24056.400000000325</c:v>
                </c:pt>
                <c:pt idx="969">
                  <c:v>24056.400000000325</c:v>
                </c:pt>
                <c:pt idx="970">
                  <c:v>24056.400000000325</c:v>
                </c:pt>
                <c:pt idx="971">
                  <c:v>24056.400000000325</c:v>
                </c:pt>
                <c:pt idx="972">
                  <c:v>24056.400000000325</c:v>
                </c:pt>
                <c:pt idx="973">
                  <c:v>24056.400000000325</c:v>
                </c:pt>
                <c:pt idx="974">
                  <c:v>24056.400000000325</c:v>
                </c:pt>
                <c:pt idx="975">
                  <c:v>23278.800000000327</c:v>
                </c:pt>
                <c:pt idx="976">
                  <c:v>23230.800000000327</c:v>
                </c:pt>
                <c:pt idx="977">
                  <c:v>23230.800000000327</c:v>
                </c:pt>
                <c:pt idx="978">
                  <c:v>23230.800000000327</c:v>
                </c:pt>
                <c:pt idx="979">
                  <c:v>23278.800000000327</c:v>
                </c:pt>
                <c:pt idx="980">
                  <c:v>23278.800000000327</c:v>
                </c:pt>
                <c:pt idx="981">
                  <c:v>23278.800000000327</c:v>
                </c:pt>
                <c:pt idx="982">
                  <c:v>23278.800000000327</c:v>
                </c:pt>
                <c:pt idx="983">
                  <c:v>23278.800000000327</c:v>
                </c:pt>
                <c:pt idx="984">
                  <c:v>23278.800000000327</c:v>
                </c:pt>
                <c:pt idx="985">
                  <c:v>23278.800000000327</c:v>
                </c:pt>
                <c:pt idx="986">
                  <c:v>23278.800000000327</c:v>
                </c:pt>
                <c:pt idx="987">
                  <c:v>23278.800000000327</c:v>
                </c:pt>
                <c:pt idx="988">
                  <c:v>23278.800000000327</c:v>
                </c:pt>
                <c:pt idx="989">
                  <c:v>1428.8986379096184</c:v>
                </c:pt>
                <c:pt idx="990">
                  <c:v>23790.800000000327</c:v>
                </c:pt>
                <c:pt idx="991">
                  <c:v>23790.800000000327</c:v>
                </c:pt>
                <c:pt idx="992">
                  <c:v>23790.800000000327</c:v>
                </c:pt>
                <c:pt idx="993">
                  <c:v>23790.800000000327</c:v>
                </c:pt>
                <c:pt idx="994">
                  <c:v>23790.800000000327</c:v>
                </c:pt>
                <c:pt idx="995">
                  <c:v>23790.800000000327</c:v>
                </c:pt>
                <c:pt idx="996">
                  <c:v>23790.800000000327</c:v>
                </c:pt>
                <c:pt idx="997">
                  <c:v>23790.800000000327</c:v>
                </c:pt>
                <c:pt idx="998">
                  <c:v>22926.800000000327</c:v>
                </c:pt>
                <c:pt idx="999">
                  <c:v>20366.800000000327</c:v>
                </c:pt>
                <c:pt idx="1000">
                  <c:v>20366.800000000327</c:v>
                </c:pt>
                <c:pt idx="1001">
                  <c:v>20606.800000000316</c:v>
                </c:pt>
                <c:pt idx="1002">
                  <c:v>20606.800000000316</c:v>
                </c:pt>
                <c:pt idx="1003">
                  <c:v>20606.800000000316</c:v>
                </c:pt>
                <c:pt idx="1004">
                  <c:v>21038.800000000316</c:v>
                </c:pt>
                <c:pt idx="1005">
                  <c:v>21038.800000000316</c:v>
                </c:pt>
                <c:pt idx="1006">
                  <c:v>21038.800000000316</c:v>
                </c:pt>
                <c:pt idx="1007">
                  <c:v>21038.800000000316</c:v>
                </c:pt>
                <c:pt idx="1008">
                  <c:v>21038.800000000316</c:v>
                </c:pt>
                <c:pt idx="1009">
                  <c:v>21038.800000000316</c:v>
                </c:pt>
                <c:pt idx="1010">
                  <c:v>21038.800000000316</c:v>
                </c:pt>
                <c:pt idx="1011">
                  <c:v>21038.800000000316</c:v>
                </c:pt>
                <c:pt idx="1012">
                  <c:v>21038.800000000316</c:v>
                </c:pt>
                <c:pt idx="1013">
                  <c:v>21038.800000000316</c:v>
                </c:pt>
                <c:pt idx="1014">
                  <c:v>21038.800000000316</c:v>
                </c:pt>
                <c:pt idx="1015">
                  <c:v>21038.800000000316</c:v>
                </c:pt>
                <c:pt idx="1016">
                  <c:v>21038.800000000316</c:v>
                </c:pt>
                <c:pt idx="1017">
                  <c:v>21038.800000000316</c:v>
                </c:pt>
                <c:pt idx="1018">
                  <c:v>21038.800000000316</c:v>
                </c:pt>
                <c:pt idx="1019">
                  <c:v>21038.800000000316</c:v>
                </c:pt>
                <c:pt idx="1020">
                  <c:v>21038.800000000316</c:v>
                </c:pt>
                <c:pt idx="1021">
                  <c:v>21038.800000000316</c:v>
                </c:pt>
                <c:pt idx="1022">
                  <c:v>21038.800000000316</c:v>
                </c:pt>
                <c:pt idx="1023">
                  <c:v>21038.800000000316</c:v>
                </c:pt>
                <c:pt idx="1024">
                  <c:v>21038.800000000316</c:v>
                </c:pt>
                <c:pt idx="1025">
                  <c:v>21038.800000000316</c:v>
                </c:pt>
                <c:pt idx="1027">
                  <c:v>911.99999999999966</c:v>
                </c:pt>
                <c:pt idx="1028">
                  <c:v>911.99999999999966</c:v>
                </c:pt>
                <c:pt idx="1029">
                  <c:v>911.99999999999966</c:v>
                </c:pt>
                <c:pt idx="1030">
                  <c:v>911.99999999999966</c:v>
                </c:pt>
                <c:pt idx="1031">
                  <c:v>911.99999999999966</c:v>
                </c:pt>
                <c:pt idx="1032">
                  <c:v>911.99999999999966</c:v>
                </c:pt>
                <c:pt idx="1033">
                  <c:v>911.99999999999966</c:v>
                </c:pt>
                <c:pt idx="1034">
                  <c:v>911.99999999999966</c:v>
                </c:pt>
                <c:pt idx="1035">
                  <c:v>911.99999999999966</c:v>
                </c:pt>
                <c:pt idx="1036">
                  <c:v>911.99999999999966</c:v>
                </c:pt>
                <c:pt idx="1037">
                  <c:v>911.99999999999966</c:v>
                </c:pt>
                <c:pt idx="1038">
                  <c:v>911.99999999999966</c:v>
                </c:pt>
                <c:pt idx="1039">
                  <c:v>911.99999999999966</c:v>
                </c:pt>
                <c:pt idx="1040">
                  <c:v>911.99999999999966</c:v>
                </c:pt>
                <c:pt idx="1041">
                  <c:v>911.99999999999966</c:v>
                </c:pt>
                <c:pt idx="1042">
                  <c:v>911.99999999999966</c:v>
                </c:pt>
                <c:pt idx="1043">
                  <c:v>911.99999999999966</c:v>
                </c:pt>
                <c:pt idx="1044">
                  <c:v>911.99999999999966</c:v>
                </c:pt>
                <c:pt idx="1045">
                  <c:v>911.99999999999966</c:v>
                </c:pt>
                <c:pt idx="1046">
                  <c:v>911.99999999999966</c:v>
                </c:pt>
                <c:pt idx="1047">
                  <c:v>911.99999999999966</c:v>
                </c:pt>
                <c:pt idx="1048">
                  <c:v>911.99999999999966</c:v>
                </c:pt>
                <c:pt idx="1049">
                  <c:v>911.99999999999966</c:v>
                </c:pt>
                <c:pt idx="1050">
                  <c:v>911.99999999999966</c:v>
                </c:pt>
                <c:pt idx="1051">
                  <c:v>911.99999999999966</c:v>
                </c:pt>
                <c:pt idx="1052">
                  <c:v>911.99999999999966</c:v>
                </c:pt>
                <c:pt idx="1053">
                  <c:v>911.99999999999966</c:v>
                </c:pt>
                <c:pt idx="1054">
                  <c:v>911.99999999999966</c:v>
                </c:pt>
                <c:pt idx="1055">
                  <c:v>911.99999999999966</c:v>
                </c:pt>
                <c:pt idx="1056">
                  <c:v>911.99999999999966</c:v>
                </c:pt>
                <c:pt idx="1057">
                  <c:v>911.99999999999966</c:v>
                </c:pt>
                <c:pt idx="1058">
                  <c:v>911.99999999999966</c:v>
                </c:pt>
                <c:pt idx="1059">
                  <c:v>911.99999999999966</c:v>
                </c:pt>
                <c:pt idx="1060">
                  <c:v>911.99999999999966</c:v>
                </c:pt>
                <c:pt idx="1061">
                  <c:v>911.99999999999966</c:v>
                </c:pt>
                <c:pt idx="1062">
                  <c:v>911.99999999999966</c:v>
                </c:pt>
                <c:pt idx="1063">
                  <c:v>911.99999999999966</c:v>
                </c:pt>
                <c:pt idx="1064">
                  <c:v>911.99999999999966</c:v>
                </c:pt>
                <c:pt idx="1065">
                  <c:v>911.99999999999966</c:v>
                </c:pt>
                <c:pt idx="1066">
                  <c:v>911.99999999999966</c:v>
                </c:pt>
                <c:pt idx="1067">
                  <c:v>911.99999999999966</c:v>
                </c:pt>
                <c:pt idx="1068">
                  <c:v>911.99999999999966</c:v>
                </c:pt>
                <c:pt idx="1069">
                  <c:v>911.99999999999966</c:v>
                </c:pt>
                <c:pt idx="1070">
                  <c:v>911.99999999999966</c:v>
                </c:pt>
                <c:pt idx="1071">
                  <c:v>911.99999999999966</c:v>
                </c:pt>
                <c:pt idx="1072">
                  <c:v>911.99999999999966</c:v>
                </c:pt>
                <c:pt idx="1073">
                  <c:v>911.99999999999966</c:v>
                </c:pt>
                <c:pt idx="1074">
                  <c:v>911.99999999999966</c:v>
                </c:pt>
                <c:pt idx="1075">
                  <c:v>911.99999999999966</c:v>
                </c:pt>
                <c:pt idx="1076">
                  <c:v>911.99999999999966</c:v>
                </c:pt>
                <c:pt idx="1077">
                  <c:v>911.99999999999966</c:v>
                </c:pt>
                <c:pt idx="1078">
                  <c:v>911.99999999999966</c:v>
                </c:pt>
                <c:pt idx="1079">
                  <c:v>911.99999999999966</c:v>
                </c:pt>
                <c:pt idx="1080">
                  <c:v>911.99999999999966</c:v>
                </c:pt>
                <c:pt idx="1081">
                  <c:v>911.99999999999966</c:v>
                </c:pt>
                <c:pt idx="1082">
                  <c:v>911.99999999999966</c:v>
                </c:pt>
                <c:pt idx="1083">
                  <c:v>911.99999999999966</c:v>
                </c:pt>
                <c:pt idx="1084">
                  <c:v>911.99999999999966</c:v>
                </c:pt>
                <c:pt idx="1085">
                  <c:v>911.99999999999966</c:v>
                </c:pt>
                <c:pt idx="1086">
                  <c:v>911.99999999999966</c:v>
                </c:pt>
                <c:pt idx="1087">
                  <c:v>911.99999999999966</c:v>
                </c:pt>
                <c:pt idx="1088">
                  <c:v>911.99999999999966</c:v>
                </c:pt>
                <c:pt idx="1089">
                  <c:v>911.99999999999966</c:v>
                </c:pt>
                <c:pt idx="1090">
                  <c:v>911.99999999999966</c:v>
                </c:pt>
                <c:pt idx="1091">
                  <c:v>911.99999999999966</c:v>
                </c:pt>
                <c:pt idx="1092">
                  <c:v>911.99999999999966</c:v>
                </c:pt>
                <c:pt idx="1093">
                  <c:v>911.99999999999966</c:v>
                </c:pt>
                <c:pt idx="1094">
                  <c:v>911.99999999999966</c:v>
                </c:pt>
                <c:pt idx="1095">
                  <c:v>911.99999999999966</c:v>
                </c:pt>
                <c:pt idx="1096">
                  <c:v>911.99999999999966</c:v>
                </c:pt>
                <c:pt idx="1097">
                  <c:v>911.99999999999966</c:v>
                </c:pt>
                <c:pt idx="1098">
                  <c:v>911.99999999999966</c:v>
                </c:pt>
                <c:pt idx="1099">
                  <c:v>911.99999999999966</c:v>
                </c:pt>
                <c:pt idx="1100">
                  <c:v>911.99999999999966</c:v>
                </c:pt>
                <c:pt idx="1101">
                  <c:v>911.99999999999966</c:v>
                </c:pt>
                <c:pt idx="1102">
                  <c:v>911.99999999999966</c:v>
                </c:pt>
                <c:pt idx="1103">
                  <c:v>911.99999999999966</c:v>
                </c:pt>
                <c:pt idx="1104">
                  <c:v>911.99999999999966</c:v>
                </c:pt>
                <c:pt idx="1105">
                  <c:v>911.99999999999966</c:v>
                </c:pt>
                <c:pt idx="1106">
                  <c:v>911.99999999999966</c:v>
                </c:pt>
                <c:pt idx="1107">
                  <c:v>911.99999999999966</c:v>
                </c:pt>
                <c:pt idx="1108">
                  <c:v>911.99999999999966</c:v>
                </c:pt>
                <c:pt idx="1109">
                  <c:v>911.99999999999966</c:v>
                </c:pt>
                <c:pt idx="1110">
                  <c:v>911.99999999999966</c:v>
                </c:pt>
                <c:pt idx="1111">
                  <c:v>911.99999999999966</c:v>
                </c:pt>
                <c:pt idx="1112">
                  <c:v>911.99999999999966</c:v>
                </c:pt>
                <c:pt idx="1113">
                  <c:v>911.99999999999966</c:v>
                </c:pt>
                <c:pt idx="1114">
                  <c:v>911.99999999999966</c:v>
                </c:pt>
                <c:pt idx="1115">
                  <c:v>911.99999999999966</c:v>
                </c:pt>
                <c:pt idx="1116">
                  <c:v>911.99999999999966</c:v>
                </c:pt>
                <c:pt idx="1117">
                  <c:v>911.99999999999966</c:v>
                </c:pt>
                <c:pt idx="1118">
                  <c:v>911.99999999999966</c:v>
                </c:pt>
                <c:pt idx="1119">
                  <c:v>911.99999999999966</c:v>
                </c:pt>
                <c:pt idx="1120">
                  <c:v>911.99999999999966</c:v>
                </c:pt>
                <c:pt idx="1121">
                  <c:v>911.99999999999966</c:v>
                </c:pt>
                <c:pt idx="1122">
                  <c:v>911.99999999999966</c:v>
                </c:pt>
                <c:pt idx="1123">
                  <c:v>911.99999999999966</c:v>
                </c:pt>
                <c:pt idx="1124">
                  <c:v>911.99999999999966</c:v>
                </c:pt>
                <c:pt idx="1125">
                  <c:v>911.99999999999966</c:v>
                </c:pt>
                <c:pt idx="1126">
                  <c:v>911.99999999999966</c:v>
                </c:pt>
                <c:pt idx="1127">
                  <c:v>911.99999999999966</c:v>
                </c:pt>
                <c:pt idx="1128">
                  <c:v>911.99999999999966</c:v>
                </c:pt>
                <c:pt idx="1129">
                  <c:v>911.99999999999966</c:v>
                </c:pt>
                <c:pt idx="1130">
                  <c:v>911.99999999999966</c:v>
                </c:pt>
                <c:pt idx="1131">
                  <c:v>911.99999999999966</c:v>
                </c:pt>
                <c:pt idx="1132">
                  <c:v>911.99999999999966</c:v>
                </c:pt>
                <c:pt idx="1133">
                  <c:v>911.99999999999966</c:v>
                </c:pt>
                <c:pt idx="1134">
                  <c:v>911.99999999999966</c:v>
                </c:pt>
                <c:pt idx="1135">
                  <c:v>911.99999999999966</c:v>
                </c:pt>
                <c:pt idx="1136">
                  <c:v>911.99999999999966</c:v>
                </c:pt>
                <c:pt idx="1137">
                  <c:v>911.99999999999966</c:v>
                </c:pt>
                <c:pt idx="1138">
                  <c:v>911.99999999999966</c:v>
                </c:pt>
                <c:pt idx="1139">
                  <c:v>911.99999999999966</c:v>
                </c:pt>
                <c:pt idx="1140">
                  <c:v>911.99999999999966</c:v>
                </c:pt>
                <c:pt idx="1141">
                  <c:v>911.99999999999966</c:v>
                </c:pt>
                <c:pt idx="1142">
                  <c:v>911.99999999999966</c:v>
                </c:pt>
                <c:pt idx="1143">
                  <c:v>911.99999999999966</c:v>
                </c:pt>
                <c:pt idx="1144">
                  <c:v>911.99999999999966</c:v>
                </c:pt>
                <c:pt idx="1145">
                  <c:v>911.99999999999966</c:v>
                </c:pt>
                <c:pt idx="1146">
                  <c:v>911.99999999999966</c:v>
                </c:pt>
                <c:pt idx="1147">
                  <c:v>911.99999999999966</c:v>
                </c:pt>
                <c:pt idx="1148">
                  <c:v>911.99999999999966</c:v>
                </c:pt>
                <c:pt idx="1149">
                  <c:v>911.99999999999966</c:v>
                </c:pt>
                <c:pt idx="1150">
                  <c:v>911.99999999999966</c:v>
                </c:pt>
                <c:pt idx="1151">
                  <c:v>911.99999999999966</c:v>
                </c:pt>
                <c:pt idx="1152">
                  <c:v>911.99999999999966</c:v>
                </c:pt>
                <c:pt idx="1153">
                  <c:v>911.99999999999966</c:v>
                </c:pt>
                <c:pt idx="1154">
                  <c:v>911.99999999999966</c:v>
                </c:pt>
                <c:pt idx="1155">
                  <c:v>911.99999999999966</c:v>
                </c:pt>
                <c:pt idx="1156">
                  <c:v>911.99999999999966</c:v>
                </c:pt>
                <c:pt idx="1157">
                  <c:v>911.99999999999966</c:v>
                </c:pt>
                <c:pt idx="1158">
                  <c:v>911.99999999999966</c:v>
                </c:pt>
                <c:pt idx="1159">
                  <c:v>911.99999999999966</c:v>
                </c:pt>
                <c:pt idx="1160">
                  <c:v>911.99999999999966</c:v>
                </c:pt>
                <c:pt idx="1161">
                  <c:v>911.99999999999966</c:v>
                </c:pt>
                <c:pt idx="1162">
                  <c:v>911.99999999999966</c:v>
                </c:pt>
                <c:pt idx="1163">
                  <c:v>911.99999999999966</c:v>
                </c:pt>
                <c:pt idx="1164">
                  <c:v>911.99999999999966</c:v>
                </c:pt>
                <c:pt idx="1165">
                  <c:v>911.99999999999966</c:v>
                </c:pt>
                <c:pt idx="1166">
                  <c:v>911.99999999999966</c:v>
                </c:pt>
                <c:pt idx="1167">
                  <c:v>911.99999999999966</c:v>
                </c:pt>
                <c:pt idx="1168">
                  <c:v>911.99999999999966</c:v>
                </c:pt>
                <c:pt idx="1169">
                  <c:v>911.99999999999966</c:v>
                </c:pt>
                <c:pt idx="1170">
                  <c:v>911.99999999999966</c:v>
                </c:pt>
                <c:pt idx="1171">
                  <c:v>911.99999999999966</c:v>
                </c:pt>
                <c:pt idx="1172">
                  <c:v>911.99999999999966</c:v>
                </c:pt>
                <c:pt idx="1173">
                  <c:v>911.99999999999966</c:v>
                </c:pt>
                <c:pt idx="1174">
                  <c:v>911.99999999999966</c:v>
                </c:pt>
                <c:pt idx="1175">
                  <c:v>911.99999999999966</c:v>
                </c:pt>
                <c:pt idx="1176">
                  <c:v>911.99999999999966</c:v>
                </c:pt>
                <c:pt idx="1177">
                  <c:v>911.99999999999966</c:v>
                </c:pt>
                <c:pt idx="1178">
                  <c:v>911.99999999999966</c:v>
                </c:pt>
                <c:pt idx="1179">
                  <c:v>911.99999999999966</c:v>
                </c:pt>
                <c:pt idx="1180">
                  <c:v>911.99999999999966</c:v>
                </c:pt>
                <c:pt idx="1181">
                  <c:v>911.99999999999966</c:v>
                </c:pt>
                <c:pt idx="1182">
                  <c:v>911.99999999999966</c:v>
                </c:pt>
                <c:pt idx="1183">
                  <c:v>911.99999999999966</c:v>
                </c:pt>
                <c:pt idx="1184">
                  <c:v>911.99999999999966</c:v>
                </c:pt>
                <c:pt idx="1185">
                  <c:v>911.99999999999966</c:v>
                </c:pt>
                <c:pt idx="1186">
                  <c:v>911.99999999999966</c:v>
                </c:pt>
                <c:pt idx="1187">
                  <c:v>911.99999999999966</c:v>
                </c:pt>
                <c:pt idx="1188">
                  <c:v>911.99999999999966</c:v>
                </c:pt>
                <c:pt idx="1189">
                  <c:v>911.99999999999966</c:v>
                </c:pt>
                <c:pt idx="1190">
                  <c:v>911.99999999999966</c:v>
                </c:pt>
                <c:pt idx="1191">
                  <c:v>911.99999999999966</c:v>
                </c:pt>
                <c:pt idx="1192">
                  <c:v>911.99999999999966</c:v>
                </c:pt>
                <c:pt idx="1193">
                  <c:v>911.99999999999966</c:v>
                </c:pt>
                <c:pt idx="1194">
                  <c:v>911.99999999999966</c:v>
                </c:pt>
                <c:pt idx="1195">
                  <c:v>911.99999999999966</c:v>
                </c:pt>
                <c:pt idx="1196">
                  <c:v>911.99999999999966</c:v>
                </c:pt>
                <c:pt idx="1197">
                  <c:v>911.99999999999966</c:v>
                </c:pt>
                <c:pt idx="1198">
                  <c:v>911.99999999999966</c:v>
                </c:pt>
                <c:pt idx="1199">
                  <c:v>911.99999999999966</c:v>
                </c:pt>
                <c:pt idx="1200">
                  <c:v>911.99999999999966</c:v>
                </c:pt>
                <c:pt idx="1201">
                  <c:v>911.99999999999966</c:v>
                </c:pt>
                <c:pt idx="1202">
                  <c:v>911.99999999999966</c:v>
                </c:pt>
                <c:pt idx="1203">
                  <c:v>911.99999999999966</c:v>
                </c:pt>
                <c:pt idx="1204">
                  <c:v>911.99999999999966</c:v>
                </c:pt>
                <c:pt idx="1205">
                  <c:v>911.99999999999966</c:v>
                </c:pt>
                <c:pt idx="1206">
                  <c:v>911.99999999999966</c:v>
                </c:pt>
                <c:pt idx="1207">
                  <c:v>911.99999999999966</c:v>
                </c:pt>
                <c:pt idx="1208">
                  <c:v>911.99999999999966</c:v>
                </c:pt>
                <c:pt idx="1209">
                  <c:v>911.99999999999966</c:v>
                </c:pt>
                <c:pt idx="1210">
                  <c:v>911.99999999999966</c:v>
                </c:pt>
                <c:pt idx="1211">
                  <c:v>911.99999999999966</c:v>
                </c:pt>
                <c:pt idx="1212">
                  <c:v>911.99999999999966</c:v>
                </c:pt>
                <c:pt idx="1213">
                  <c:v>911.99999999999966</c:v>
                </c:pt>
                <c:pt idx="1214">
                  <c:v>911.99999999999966</c:v>
                </c:pt>
                <c:pt idx="1215">
                  <c:v>911.99999999999966</c:v>
                </c:pt>
                <c:pt idx="1216">
                  <c:v>911.99999999999966</c:v>
                </c:pt>
                <c:pt idx="1217">
                  <c:v>911.99999999999966</c:v>
                </c:pt>
                <c:pt idx="1218">
                  <c:v>911.99999999999966</c:v>
                </c:pt>
                <c:pt idx="1219">
                  <c:v>911.99999999999966</c:v>
                </c:pt>
                <c:pt idx="1220">
                  <c:v>911.99999999999966</c:v>
                </c:pt>
                <c:pt idx="1221">
                  <c:v>911.99999999999966</c:v>
                </c:pt>
                <c:pt idx="1222">
                  <c:v>911.99999999999966</c:v>
                </c:pt>
                <c:pt idx="1223">
                  <c:v>911.99999999999966</c:v>
                </c:pt>
                <c:pt idx="1224">
                  <c:v>911.99999999999966</c:v>
                </c:pt>
                <c:pt idx="1225">
                  <c:v>911.99999999999966</c:v>
                </c:pt>
                <c:pt idx="1226">
                  <c:v>911.99999999999966</c:v>
                </c:pt>
                <c:pt idx="1227">
                  <c:v>911.99999999999966</c:v>
                </c:pt>
                <c:pt idx="1228">
                  <c:v>911.99999999999966</c:v>
                </c:pt>
                <c:pt idx="1229">
                  <c:v>911.99999999999966</c:v>
                </c:pt>
                <c:pt idx="1230">
                  <c:v>911.99999999999966</c:v>
                </c:pt>
                <c:pt idx="1231">
                  <c:v>911.99999999999966</c:v>
                </c:pt>
                <c:pt idx="1232">
                  <c:v>911.99999999999966</c:v>
                </c:pt>
                <c:pt idx="1233">
                  <c:v>911.99999999999966</c:v>
                </c:pt>
                <c:pt idx="1234">
                  <c:v>911.99999999999966</c:v>
                </c:pt>
                <c:pt idx="1235">
                  <c:v>911.99999999999966</c:v>
                </c:pt>
                <c:pt idx="1236">
                  <c:v>911.99999999999966</c:v>
                </c:pt>
                <c:pt idx="1237">
                  <c:v>911.99999999999966</c:v>
                </c:pt>
              </c:numCache>
            </c:numRef>
          </c:val>
          <c:smooth val="0"/>
          <c:extLst>
            <c:ext xmlns:c16="http://schemas.microsoft.com/office/drawing/2014/chart" uri="{C3380CC4-5D6E-409C-BE32-E72D297353CC}">
              <c16:uniqueId val="{00000001-D2FA-4D23-968F-8C25F858B35C}"/>
            </c:ext>
          </c:extLst>
        </c:ser>
        <c:dLbls>
          <c:showLegendKey val="0"/>
          <c:showVal val="0"/>
          <c:showCatName val="0"/>
          <c:showSerName val="0"/>
          <c:showPercent val="0"/>
          <c:showBubbleSize val="0"/>
        </c:dLbls>
        <c:smooth val="0"/>
        <c:axId val="860743679"/>
        <c:axId val="1122017903"/>
      </c:lineChart>
      <c:catAx>
        <c:axId val="860743679"/>
        <c:scaling>
          <c:orientation val="minMax"/>
        </c:scaling>
        <c:delete val="0"/>
        <c:axPos val="b"/>
        <c:numFmt formatCode="General" sourceLinked="1"/>
        <c:majorTickMark val="none"/>
        <c:minorTickMark val="none"/>
        <c:tickLblPos val="low"/>
        <c:spPr>
          <a:noFill/>
          <a:ln w="9525" cap="flat" cmpd="sng" algn="ctr">
            <a:solidFill>
              <a:schemeClr val="tx2">
                <a:lumMod val="65000"/>
                <a:lumOff val="35000"/>
              </a:schemeClr>
            </a:solidFill>
            <a:round/>
          </a:ln>
          <a:effectLst/>
        </c:spPr>
        <c:txPr>
          <a:bodyPr rot="-6000000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crossAx val="1122017903"/>
        <c:crosses val="autoZero"/>
        <c:auto val="1"/>
        <c:lblAlgn val="ctr"/>
        <c:lblOffset val="100"/>
        <c:noMultiLvlLbl val="0"/>
      </c:catAx>
      <c:valAx>
        <c:axId val="1122017903"/>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86074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 v 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9776090434035981E-2"/>
          <c:y val="0.15244299674267103"/>
          <c:w val="0.88519909220911641"/>
          <c:h val="0.71383210649157458"/>
        </c:manualLayout>
      </c:layout>
      <c:lineChart>
        <c:grouping val="standard"/>
        <c:varyColors val="0"/>
        <c:ser>
          <c:idx val="0"/>
          <c:order val="0"/>
          <c:tx>
            <c:v>F</c:v>
          </c:tx>
          <c:spPr>
            <a:ln w="28575" cap="rnd">
              <a:solidFill>
                <a:srgbClr val="619428"/>
              </a:solidFill>
              <a:round/>
            </a:ln>
            <a:effectLst/>
          </c:spPr>
          <c:marker>
            <c:symbol val="none"/>
          </c:marker>
          <c:cat>
            <c:strRef>
              <c:f>'Journal Live'!$A$1389:$A$2630</c:f>
              <c:strCache>
                <c:ptCount val="1237"/>
                <c:pt idx="0">
                  <c:v>JAN.24</c:v>
                </c:pt>
                <c:pt idx="1">
                  <c:v>JAN.24</c:v>
                </c:pt>
                <c:pt idx="2">
                  <c:v>JAN.24</c:v>
                </c:pt>
                <c:pt idx="3">
                  <c:v>JAN.24</c:v>
                </c:pt>
                <c:pt idx="4">
                  <c:v>JAN.24</c:v>
                </c:pt>
                <c:pt idx="5">
                  <c:v>JAN.24</c:v>
                </c:pt>
                <c:pt idx="6">
                  <c:v>JAN.24</c:v>
                </c:pt>
                <c:pt idx="7">
                  <c:v>JAN.24</c:v>
                </c:pt>
                <c:pt idx="8">
                  <c:v>JAN.24</c:v>
                </c:pt>
                <c:pt idx="9">
                  <c:v>JAN.24</c:v>
                </c:pt>
                <c:pt idx="10">
                  <c:v>JAN.24</c:v>
                </c:pt>
                <c:pt idx="11">
                  <c:v>JAN.24</c:v>
                </c:pt>
                <c:pt idx="12">
                  <c:v>JAN.24</c:v>
                </c:pt>
                <c:pt idx="13">
                  <c:v>JAN.24</c:v>
                </c:pt>
                <c:pt idx="14">
                  <c:v>JAN.24</c:v>
                </c:pt>
                <c:pt idx="15">
                  <c:v>JAN.24</c:v>
                </c:pt>
                <c:pt idx="16">
                  <c:v>JAN.24</c:v>
                </c:pt>
                <c:pt idx="17">
                  <c:v>JAN.24</c:v>
                </c:pt>
                <c:pt idx="18">
                  <c:v>JAN.24</c:v>
                </c:pt>
                <c:pt idx="19">
                  <c:v>JAN.24</c:v>
                </c:pt>
                <c:pt idx="20">
                  <c:v>JAN.24</c:v>
                </c:pt>
                <c:pt idx="21">
                  <c:v>JAN.24</c:v>
                </c:pt>
                <c:pt idx="22">
                  <c:v>JAN.24</c:v>
                </c:pt>
                <c:pt idx="23">
                  <c:v>JAN.24</c:v>
                </c:pt>
                <c:pt idx="24">
                  <c:v>JAN.24</c:v>
                </c:pt>
                <c:pt idx="25">
                  <c:v>JAN.24</c:v>
                </c:pt>
                <c:pt idx="26">
                  <c:v>JAN.24</c:v>
                </c:pt>
                <c:pt idx="27">
                  <c:v>JAN.24</c:v>
                </c:pt>
                <c:pt idx="28">
                  <c:v>JAN.24</c:v>
                </c:pt>
                <c:pt idx="29">
                  <c:v>JAN.24</c:v>
                </c:pt>
                <c:pt idx="30">
                  <c:v>JAN.24</c:v>
                </c:pt>
                <c:pt idx="31">
                  <c:v>JAN.24</c:v>
                </c:pt>
                <c:pt idx="32">
                  <c:v>JAN.24</c:v>
                </c:pt>
                <c:pt idx="33">
                  <c:v>JAN.24</c:v>
                </c:pt>
                <c:pt idx="34">
                  <c:v>JAN.24</c:v>
                </c:pt>
                <c:pt idx="35">
                  <c:v>JAN.24</c:v>
                </c:pt>
                <c:pt idx="36">
                  <c:v>JAN.24</c:v>
                </c:pt>
                <c:pt idx="37">
                  <c:v>JAN.24</c:v>
                </c:pt>
                <c:pt idx="38">
                  <c:v>JAN.24</c:v>
                </c:pt>
                <c:pt idx="39">
                  <c:v>JAN.24</c:v>
                </c:pt>
                <c:pt idx="40">
                  <c:v>JAN.24</c:v>
                </c:pt>
                <c:pt idx="41">
                  <c:v>JAN.24</c:v>
                </c:pt>
                <c:pt idx="42">
                  <c:v>JAN.24</c:v>
                </c:pt>
                <c:pt idx="43">
                  <c:v>JAN.24</c:v>
                </c:pt>
                <c:pt idx="44">
                  <c:v>JAN.24</c:v>
                </c:pt>
                <c:pt idx="45">
                  <c:v>JAN.24</c:v>
                </c:pt>
                <c:pt idx="46">
                  <c:v>JAN.24</c:v>
                </c:pt>
                <c:pt idx="47">
                  <c:v>JAN.24</c:v>
                </c:pt>
                <c:pt idx="48">
                  <c:v>JAN.24</c:v>
                </c:pt>
                <c:pt idx="49">
                  <c:v>JAN.24</c:v>
                </c:pt>
                <c:pt idx="50">
                  <c:v>JAN.24</c:v>
                </c:pt>
                <c:pt idx="51">
                  <c:v>JAN.24</c:v>
                </c:pt>
                <c:pt idx="52">
                  <c:v>JAN.24</c:v>
                </c:pt>
                <c:pt idx="53">
                  <c:v>JAN.24</c:v>
                </c:pt>
                <c:pt idx="54">
                  <c:v>JAN.24</c:v>
                </c:pt>
                <c:pt idx="55">
                  <c:v>JAN.24</c:v>
                </c:pt>
                <c:pt idx="56">
                  <c:v>JAN.24</c:v>
                </c:pt>
                <c:pt idx="57">
                  <c:v>JAN.24</c:v>
                </c:pt>
                <c:pt idx="58">
                  <c:v>JAN.24</c:v>
                </c:pt>
                <c:pt idx="59">
                  <c:v>JAN.24</c:v>
                </c:pt>
                <c:pt idx="60">
                  <c:v>JAN.24</c:v>
                </c:pt>
                <c:pt idx="61">
                  <c:v>JAN.24</c:v>
                </c:pt>
                <c:pt idx="62">
                  <c:v>JAN.24</c:v>
                </c:pt>
                <c:pt idx="63">
                  <c:v>JAN.24</c:v>
                </c:pt>
                <c:pt idx="64">
                  <c:v>JAN.24</c:v>
                </c:pt>
                <c:pt idx="65">
                  <c:v>JAN.24</c:v>
                </c:pt>
                <c:pt idx="66">
                  <c:v>JAN.24</c:v>
                </c:pt>
                <c:pt idx="67">
                  <c:v>JAN.24</c:v>
                </c:pt>
                <c:pt idx="68">
                  <c:v>JAN.24</c:v>
                </c:pt>
                <c:pt idx="69">
                  <c:v>JAN.24</c:v>
                </c:pt>
                <c:pt idx="70">
                  <c:v>JAN.24</c:v>
                </c:pt>
                <c:pt idx="71">
                  <c:v>JAN.24</c:v>
                </c:pt>
                <c:pt idx="72">
                  <c:v>JAN.24</c:v>
                </c:pt>
                <c:pt idx="73">
                  <c:v>JAN.24</c:v>
                </c:pt>
                <c:pt idx="74">
                  <c:v>JAN.24</c:v>
                </c:pt>
                <c:pt idx="75">
                  <c:v>JAN.24</c:v>
                </c:pt>
                <c:pt idx="76">
                  <c:v>JAN.24</c:v>
                </c:pt>
                <c:pt idx="77">
                  <c:v>JAN.24</c:v>
                </c:pt>
                <c:pt idx="78">
                  <c:v>JAN.24</c:v>
                </c:pt>
                <c:pt idx="79">
                  <c:v>JAN.24</c:v>
                </c:pt>
                <c:pt idx="80">
                  <c:v>JAN.24</c:v>
                </c:pt>
                <c:pt idx="81">
                  <c:v>JAN.24</c:v>
                </c:pt>
                <c:pt idx="82">
                  <c:v>JAN.24</c:v>
                </c:pt>
                <c:pt idx="83">
                  <c:v>JAN.24</c:v>
                </c:pt>
                <c:pt idx="84">
                  <c:v>JAN.24</c:v>
                </c:pt>
                <c:pt idx="85">
                  <c:v>JAN.24</c:v>
                </c:pt>
                <c:pt idx="86">
                  <c:v>JAN.24</c:v>
                </c:pt>
                <c:pt idx="87">
                  <c:v>JAN.24</c:v>
                </c:pt>
                <c:pt idx="88">
                  <c:v>JAN.24</c:v>
                </c:pt>
                <c:pt idx="89">
                  <c:v>JAN.24</c:v>
                </c:pt>
                <c:pt idx="90">
                  <c:v>JAN.24</c:v>
                </c:pt>
                <c:pt idx="91">
                  <c:v>JAN.24</c:v>
                </c:pt>
                <c:pt idx="92">
                  <c:v>JAN.24</c:v>
                </c:pt>
                <c:pt idx="93">
                  <c:v>JAN.24</c:v>
                </c:pt>
                <c:pt idx="94">
                  <c:v>JAN.24</c:v>
                </c:pt>
                <c:pt idx="95">
                  <c:v>JAN.24</c:v>
                </c:pt>
                <c:pt idx="96">
                  <c:v>JAN.24</c:v>
                </c:pt>
                <c:pt idx="97">
                  <c:v>JAN.24</c:v>
                </c:pt>
                <c:pt idx="98">
                  <c:v>JAN.24</c:v>
                </c:pt>
                <c:pt idx="99">
                  <c:v>JAN.24</c:v>
                </c:pt>
                <c:pt idx="100">
                  <c:v>JAN.24</c:v>
                </c:pt>
                <c:pt idx="101">
                  <c:v>JAN.24</c:v>
                </c:pt>
                <c:pt idx="102">
                  <c:v>JAN.24</c:v>
                </c:pt>
                <c:pt idx="103">
                  <c:v>JAN.24</c:v>
                </c:pt>
                <c:pt idx="104">
                  <c:v>JAN.24</c:v>
                </c:pt>
                <c:pt idx="105">
                  <c:v>JAN.24</c:v>
                </c:pt>
                <c:pt idx="106">
                  <c:v>JAN.24</c:v>
                </c:pt>
                <c:pt idx="107">
                  <c:v>JAN.24</c:v>
                </c:pt>
                <c:pt idx="108">
                  <c:v>JAN.24</c:v>
                </c:pt>
                <c:pt idx="109">
                  <c:v>JAN.24</c:v>
                </c:pt>
                <c:pt idx="110">
                  <c:v>JAN.24</c:v>
                </c:pt>
                <c:pt idx="111">
                  <c:v>JAN.24</c:v>
                </c:pt>
                <c:pt idx="112">
                  <c:v>JAN.24</c:v>
                </c:pt>
                <c:pt idx="113">
                  <c:v>JAN.24</c:v>
                </c:pt>
                <c:pt idx="114">
                  <c:v>JAN.24</c:v>
                </c:pt>
                <c:pt idx="115">
                  <c:v>JAN.24</c:v>
                </c:pt>
                <c:pt idx="116">
                  <c:v>JAN.24</c:v>
                </c:pt>
                <c:pt idx="117">
                  <c:v>JAN.24</c:v>
                </c:pt>
                <c:pt idx="118">
                  <c:v>JAN.24</c:v>
                </c:pt>
                <c:pt idx="119">
                  <c:v>JAN.24</c:v>
                </c:pt>
                <c:pt idx="120">
                  <c:v>JAN.24</c:v>
                </c:pt>
                <c:pt idx="121">
                  <c:v>JAN.24</c:v>
                </c:pt>
                <c:pt idx="122">
                  <c:v>JAN.24</c:v>
                </c:pt>
                <c:pt idx="123">
                  <c:v>JAN.24</c:v>
                </c:pt>
                <c:pt idx="124">
                  <c:v>JAN.24</c:v>
                </c:pt>
                <c:pt idx="125">
                  <c:v>JAN.24</c:v>
                </c:pt>
                <c:pt idx="126">
                  <c:v>JAN.24</c:v>
                </c:pt>
                <c:pt idx="127">
                  <c:v>JAN.24</c:v>
                </c:pt>
                <c:pt idx="128">
                  <c:v>JAN.24</c:v>
                </c:pt>
                <c:pt idx="129">
                  <c:v>JAN.24</c:v>
                </c:pt>
                <c:pt idx="130">
                  <c:v>JAN.24</c:v>
                </c:pt>
                <c:pt idx="131">
                  <c:v>February 24 live</c:v>
                </c:pt>
                <c:pt idx="132">
                  <c:v>FEB.24</c:v>
                </c:pt>
                <c:pt idx="133">
                  <c:v>FEB.24</c:v>
                </c:pt>
                <c:pt idx="134">
                  <c:v>FEB.24</c:v>
                </c:pt>
                <c:pt idx="135">
                  <c:v>FEB.24</c:v>
                </c:pt>
                <c:pt idx="136">
                  <c:v>FEB.24</c:v>
                </c:pt>
                <c:pt idx="137">
                  <c:v>FEB.24</c:v>
                </c:pt>
                <c:pt idx="138">
                  <c:v>FEB.24</c:v>
                </c:pt>
                <c:pt idx="139">
                  <c:v>FEB.24</c:v>
                </c:pt>
                <c:pt idx="140">
                  <c:v>FEB.24</c:v>
                </c:pt>
                <c:pt idx="141">
                  <c:v>FEB.24</c:v>
                </c:pt>
                <c:pt idx="142">
                  <c:v>FEB.24</c:v>
                </c:pt>
                <c:pt idx="143">
                  <c:v>FEB.24</c:v>
                </c:pt>
                <c:pt idx="144">
                  <c:v>FEB.24</c:v>
                </c:pt>
                <c:pt idx="145">
                  <c:v>FEB.24</c:v>
                </c:pt>
                <c:pt idx="146">
                  <c:v>FEB.24</c:v>
                </c:pt>
                <c:pt idx="147">
                  <c:v>FEB.24</c:v>
                </c:pt>
                <c:pt idx="148">
                  <c:v>FEB.24</c:v>
                </c:pt>
                <c:pt idx="149">
                  <c:v>FEB.24</c:v>
                </c:pt>
                <c:pt idx="150">
                  <c:v>FEB.24</c:v>
                </c:pt>
                <c:pt idx="151">
                  <c:v>FEB.24</c:v>
                </c:pt>
                <c:pt idx="152">
                  <c:v>FEB.24</c:v>
                </c:pt>
                <c:pt idx="153">
                  <c:v>FEB.24</c:v>
                </c:pt>
                <c:pt idx="154">
                  <c:v>FEB.24</c:v>
                </c:pt>
                <c:pt idx="155">
                  <c:v>FEB.24</c:v>
                </c:pt>
                <c:pt idx="156">
                  <c:v>FEB.24</c:v>
                </c:pt>
                <c:pt idx="157">
                  <c:v>FEB.24</c:v>
                </c:pt>
                <c:pt idx="158">
                  <c:v>FEB.24</c:v>
                </c:pt>
                <c:pt idx="159">
                  <c:v>FEB.24</c:v>
                </c:pt>
                <c:pt idx="160">
                  <c:v>FEB.24</c:v>
                </c:pt>
                <c:pt idx="161">
                  <c:v>FEB.24</c:v>
                </c:pt>
                <c:pt idx="162">
                  <c:v>FEB.24</c:v>
                </c:pt>
                <c:pt idx="163">
                  <c:v>FEB.24</c:v>
                </c:pt>
                <c:pt idx="164">
                  <c:v>FEB.24</c:v>
                </c:pt>
                <c:pt idx="165">
                  <c:v>FEB.24</c:v>
                </c:pt>
                <c:pt idx="166">
                  <c:v>FEB.24</c:v>
                </c:pt>
                <c:pt idx="167">
                  <c:v>FEB.24</c:v>
                </c:pt>
                <c:pt idx="168">
                  <c:v>FEB.24</c:v>
                </c:pt>
                <c:pt idx="169">
                  <c:v>FEB.24</c:v>
                </c:pt>
                <c:pt idx="170">
                  <c:v>FEB.24</c:v>
                </c:pt>
                <c:pt idx="171">
                  <c:v>FEB.24</c:v>
                </c:pt>
                <c:pt idx="172">
                  <c:v>FEB.24</c:v>
                </c:pt>
                <c:pt idx="173">
                  <c:v>FEB.24</c:v>
                </c:pt>
                <c:pt idx="174">
                  <c:v>FEB.24</c:v>
                </c:pt>
                <c:pt idx="175">
                  <c:v>FEB.24</c:v>
                </c:pt>
                <c:pt idx="176">
                  <c:v>FEB.24</c:v>
                </c:pt>
                <c:pt idx="177">
                  <c:v>FEB.24</c:v>
                </c:pt>
                <c:pt idx="178">
                  <c:v>FEB.24</c:v>
                </c:pt>
                <c:pt idx="179">
                  <c:v>FEB.24</c:v>
                </c:pt>
                <c:pt idx="180">
                  <c:v>FEB.24</c:v>
                </c:pt>
                <c:pt idx="181">
                  <c:v>FEB.24</c:v>
                </c:pt>
                <c:pt idx="182">
                  <c:v>FEB.24</c:v>
                </c:pt>
                <c:pt idx="183">
                  <c:v>FEB.24</c:v>
                </c:pt>
                <c:pt idx="184">
                  <c:v>FEB.24</c:v>
                </c:pt>
                <c:pt idx="185">
                  <c:v>FEB.24</c:v>
                </c:pt>
                <c:pt idx="186">
                  <c:v>FEB.24</c:v>
                </c:pt>
                <c:pt idx="187">
                  <c:v>FEB.24</c:v>
                </c:pt>
                <c:pt idx="188">
                  <c:v>FEB.24</c:v>
                </c:pt>
                <c:pt idx="189">
                  <c:v>FEB.24</c:v>
                </c:pt>
                <c:pt idx="190">
                  <c:v>FEB.24</c:v>
                </c:pt>
                <c:pt idx="191">
                  <c:v>FEB.24</c:v>
                </c:pt>
                <c:pt idx="192">
                  <c:v>FEB.24</c:v>
                </c:pt>
                <c:pt idx="193">
                  <c:v>FEB.24</c:v>
                </c:pt>
                <c:pt idx="194">
                  <c:v>FEB.24</c:v>
                </c:pt>
                <c:pt idx="195">
                  <c:v>FEB.24</c:v>
                </c:pt>
                <c:pt idx="196">
                  <c:v>FEB.24</c:v>
                </c:pt>
                <c:pt idx="197">
                  <c:v>FEB.24</c:v>
                </c:pt>
                <c:pt idx="198">
                  <c:v>FEB.24</c:v>
                </c:pt>
                <c:pt idx="199">
                  <c:v>FEB.24</c:v>
                </c:pt>
                <c:pt idx="200">
                  <c:v>FEB.24</c:v>
                </c:pt>
                <c:pt idx="201">
                  <c:v>FEB.24</c:v>
                </c:pt>
                <c:pt idx="202">
                  <c:v>FEB.24</c:v>
                </c:pt>
                <c:pt idx="203">
                  <c:v>FEB.24</c:v>
                </c:pt>
                <c:pt idx="204">
                  <c:v>FEB.24</c:v>
                </c:pt>
                <c:pt idx="205">
                  <c:v>FEB.24</c:v>
                </c:pt>
                <c:pt idx="206">
                  <c:v>FEB.24</c:v>
                </c:pt>
                <c:pt idx="207">
                  <c:v>FEB.24</c:v>
                </c:pt>
                <c:pt idx="208">
                  <c:v>FEB.24</c:v>
                </c:pt>
                <c:pt idx="209">
                  <c:v>FEB.24</c:v>
                </c:pt>
                <c:pt idx="210">
                  <c:v>FEB.24</c:v>
                </c:pt>
                <c:pt idx="211">
                  <c:v>FEB.24</c:v>
                </c:pt>
                <c:pt idx="212">
                  <c:v>FEB.24</c:v>
                </c:pt>
                <c:pt idx="213">
                  <c:v>FEB.24</c:v>
                </c:pt>
                <c:pt idx="214">
                  <c:v>FEB.24</c:v>
                </c:pt>
                <c:pt idx="215">
                  <c:v>FEB.24</c:v>
                </c:pt>
                <c:pt idx="216">
                  <c:v>FEB.24</c:v>
                </c:pt>
                <c:pt idx="217">
                  <c:v>FEB.24</c:v>
                </c:pt>
                <c:pt idx="218">
                  <c:v>FEB.24</c:v>
                </c:pt>
                <c:pt idx="219">
                  <c:v>FEB.24</c:v>
                </c:pt>
                <c:pt idx="220">
                  <c:v>FEB.24</c:v>
                </c:pt>
                <c:pt idx="221">
                  <c:v>FEB.24</c:v>
                </c:pt>
                <c:pt idx="222">
                  <c:v>FEB.24</c:v>
                </c:pt>
                <c:pt idx="223">
                  <c:v>FEB.24</c:v>
                </c:pt>
                <c:pt idx="224">
                  <c:v>FEB.24</c:v>
                </c:pt>
                <c:pt idx="225">
                  <c:v>FEB.24</c:v>
                </c:pt>
                <c:pt idx="226">
                  <c:v>FEB.24</c:v>
                </c:pt>
                <c:pt idx="227">
                  <c:v>FEB.24</c:v>
                </c:pt>
                <c:pt idx="228">
                  <c:v>FEB.24</c:v>
                </c:pt>
                <c:pt idx="229">
                  <c:v>FEB.24</c:v>
                </c:pt>
                <c:pt idx="230">
                  <c:v>FEB.24</c:v>
                </c:pt>
                <c:pt idx="231">
                  <c:v>FEB.24</c:v>
                </c:pt>
                <c:pt idx="232">
                  <c:v>FEB.24</c:v>
                </c:pt>
                <c:pt idx="233">
                  <c:v>FEB.24</c:v>
                </c:pt>
                <c:pt idx="234">
                  <c:v>FEB.24</c:v>
                </c:pt>
                <c:pt idx="235">
                  <c:v>FEB.24</c:v>
                </c:pt>
                <c:pt idx="236">
                  <c:v>FEB.24</c:v>
                </c:pt>
                <c:pt idx="237">
                  <c:v>FEB.24</c:v>
                </c:pt>
                <c:pt idx="238">
                  <c:v>FEB.24</c:v>
                </c:pt>
                <c:pt idx="239">
                  <c:v>FEB.24</c:v>
                </c:pt>
                <c:pt idx="240">
                  <c:v>FEB.24</c:v>
                </c:pt>
                <c:pt idx="241">
                  <c:v>FEB.24</c:v>
                </c:pt>
                <c:pt idx="242">
                  <c:v>FEB.24</c:v>
                </c:pt>
                <c:pt idx="243">
                  <c:v>FEB.24</c:v>
                </c:pt>
                <c:pt idx="244">
                  <c:v>FEB.24</c:v>
                </c:pt>
                <c:pt idx="245">
                  <c:v>FEB.24</c:v>
                </c:pt>
                <c:pt idx="246">
                  <c:v>FEB.24</c:v>
                </c:pt>
                <c:pt idx="247">
                  <c:v>FEB.24</c:v>
                </c:pt>
                <c:pt idx="248">
                  <c:v>FEB.24</c:v>
                </c:pt>
                <c:pt idx="249">
                  <c:v>FEB.24</c:v>
                </c:pt>
                <c:pt idx="250">
                  <c:v>FEB.24</c:v>
                </c:pt>
                <c:pt idx="251">
                  <c:v>March 24 live</c:v>
                </c:pt>
                <c:pt idx="252">
                  <c:v>MAR.24</c:v>
                </c:pt>
                <c:pt idx="253">
                  <c:v>MAR.24</c:v>
                </c:pt>
                <c:pt idx="254">
                  <c:v>MAR.24</c:v>
                </c:pt>
                <c:pt idx="255">
                  <c:v>MAR.24</c:v>
                </c:pt>
                <c:pt idx="256">
                  <c:v>MAR.24</c:v>
                </c:pt>
                <c:pt idx="257">
                  <c:v>MAR.24</c:v>
                </c:pt>
                <c:pt idx="258">
                  <c:v>MAR.24</c:v>
                </c:pt>
                <c:pt idx="259">
                  <c:v>MAR.24</c:v>
                </c:pt>
                <c:pt idx="260">
                  <c:v>MAR.24</c:v>
                </c:pt>
                <c:pt idx="261">
                  <c:v>MAR.24</c:v>
                </c:pt>
                <c:pt idx="262">
                  <c:v>MAR.24</c:v>
                </c:pt>
                <c:pt idx="263">
                  <c:v>MAR.24</c:v>
                </c:pt>
                <c:pt idx="264">
                  <c:v>MAR.24</c:v>
                </c:pt>
                <c:pt idx="265">
                  <c:v>MAR.24</c:v>
                </c:pt>
                <c:pt idx="266">
                  <c:v>MAR.24</c:v>
                </c:pt>
                <c:pt idx="267">
                  <c:v>MAR.24</c:v>
                </c:pt>
                <c:pt idx="268">
                  <c:v>MAR.24</c:v>
                </c:pt>
                <c:pt idx="269">
                  <c:v>MAR.24</c:v>
                </c:pt>
                <c:pt idx="270">
                  <c:v>MAR.24</c:v>
                </c:pt>
                <c:pt idx="271">
                  <c:v>MAR.24</c:v>
                </c:pt>
                <c:pt idx="272">
                  <c:v>MAR.24</c:v>
                </c:pt>
                <c:pt idx="273">
                  <c:v>MAR.24</c:v>
                </c:pt>
                <c:pt idx="274">
                  <c:v>MAR.24</c:v>
                </c:pt>
                <c:pt idx="275">
                  <c:v>MAR.24</c:v>
                </c:pt>
                <c:pt idx="276">
                  <c:v>MAR.24</c:v>
                </c:pt>
                <c:pt idx="277">
                  <c:v>MAR.24</c:v>
                </c:pt>
                <c:pt idx="278">
                  <c:v>MAR.24</c:v>
                </c:pt>
                <c:pt idx="279">
                  <c:v>MAR.24</c:v>
                </c:pt>
                <c:pt idx="280">
                  <c:v>MAR.24</c:v>
                </c:pt>
                <c:pt idx="281">
                  <c:v>MAR.24</c:v>
                </c:pt>
                <c:pt idx="282">
                  <c:v>MAR.24</c:v>
                </c:pt>
                <c:pt idx="283">
                  <c:v>MAR.24</c:v>
                </c:pt>
                <c:pt idx="284">
                  <c:v>MAR.24</c:v>
                </c:pt>
                <c:pt idx="285">
                  <c:v>MAR.24</c:v>
                </c:pt>
                <c:pt idx="286">
                  <c:v>MAR.24</c:v>
                </c:pt>
                <c:pt idx="287">
                  <c:v>MAR.24</c:v>
                </c:pt>
                <c:pt idx="288">
                  <c:v>MAR.24</c:v>
                </c:pt>
                <c:pt idx="289">
                  <c:v>MAR.24</c:v>
                </c:pt>
                <c:pt idx="290">
                  <c:v>MAR.24</c:v>
                </c:pt>
                <c:pt idx="291">
                  <c:v>MAR.24</c:v>
                </c:pt>
                <c:pt idx="292">
                  <c:v>MAR.24</c:v>
                </c:pt>
                <c:pt idx="293">
                  <c:v>MAR.24</c:v>
                </c:pt>
                <c:pt idx="294">
                  <c:v>MAR.24</c:v>
                </c:pt>
                <c:pt idx="295">
                  <c:v>MAR.24</c:v>
                </c:pt>
                <c:pt idx="296">
                  <c:v>MAR.24</c:v>
                </c:pt>
                <c:pt idx="297">
                  <c:v>MAR.24</c:v>
                </c:pt>
                <c:pt idx="298">
                  <c:v>MAR.24</c:v>
                </c:pt>
                <c:pt idx="299">
                  <c:v>MAR.24</c:v>
                </c:pt>
                <c:pt idx="300">
                  <c:v>MAR.24</c:v>
                </c:pt>
                <c:pt idx="301">
                  <c:v>MAR.24</c:v>
                </c:pt>
                <c:pt idx="302">
                  <c:v>MAR.24</c:v>
                </c:pt>
                <c:pt idx="303">
                  <c:v>MAR.24</c:v>
                </c:pt>
                <c:pt idx="304">
                  <c:v>MAR.24</c:v>
                </c:pt>
                <c:pt idx="305">
                  <c:v>MAR.24</c:v>
                </c:pt>
                <c:pt idx="306">
                  <c:v>MAR.24</c:v>
                </c:pt>
                <c:pt idx="307">
                  <c:v>MAR.24</c:v>
                </c:pt>
                <c:pt idx="308">
                  <c:v>MAR.24</c:v>
                </c:pt>
                <c:pt idx="309">
                  <c:v>MAR.24</c:v>
                </c:pt>
                <c:pt idx="310">
                  <c:v>MAR.24</c:v>
                </c:pt>
                <c:pt idx="311">
                  <c:v>MAR.24</c:v>
                </c:pt>
                <c:pt idx="312">
                  <c:v>MAR.24</c:v>
                </c:pt>
                <c:pt idx="313">
                  <c:v>MAR.24</c:v>
                </c:pt>
                <c:pt idx="314">
                  <c:v>MAR.24</c:v>
                </c:pt>
                <c:pt idx="315">
                  <c:v>MAR.24</c:v>
                </c:pt>
                <c:pt idx="316">
                  <c:v>MAR.24</c:v>
                </c:pt>
                <c:pt idx="317">
                  <c:v>MAR.24</c:v>
                </c:pt>
                <c:pt idx="318">
                  <c:v>MAR.24</c:v>
                </c:pt>
                <c:pt idx="319">
                  <c:v>MAR.24</c:v>
                </c:pt>
                <c:pt idx="320">
                  <c:v>MAR.24</c:v>
                </c:pt>
                <c:pt idx="321">
                  <c:v>MAR.24</c:v>
                </c:pt>
                <c:pt idx="322">
                  <c:v>MAR.24</c:v>
                </c:pt>
                <c:pt idx="323">
                  <c:v>MAR.24</c:v>
                </c:pt>
                <c:pt idx="324">
                  <c:v>MAR.24</c:v>
                </c:pt>
                <c:pt idx="325">
                  <c:v>MAR.24</c:v>
                </c:pt>
                <c:pt idx="326">
                  <c:v>MAR.24</c:v>
                </c:pt>
                <c:pt idx="327">
                  <c:v>MAR.24</c:v>
                </c:pt>
                <c:pt idx="328">
                  <c:v>MAR.24</c:v>
                </c:pt>
                <c:pt idx="329">
                  <c:v>MAR.24</c:v>
                </c:pt>
                <c:pt idx="330">
                  <c:v>MAR.24</c:v>
                </c:pt>
                <c:pt idx="331">
                  <c:v>MAR.24</c:v>
                </c:pt>
                <c:pt idx="332">
                  <c:v>MAR.24</c:v>
                </c:pt>
                <c:pt idx="333">
                  <c:v>MAR.24</c:v>
                </c:pt>
                <c:pt idx="334">
                  <c:v>MAR.24</c:v>
                </c:pt>
                <c:pt idx="335">
                  <c:v>MAR.24</c:v>
                </c:pt>
                <c:pt idx="336">
                  <c:v>MAR.24</c:v>
                </c:pt>
                <c:pt idx="337">
                  <c:v>MAR.24</c:v>
                </c:pt>
                <c:pt idx="338">
                  <c:v>MAR.24</c:v>
                </c:pt>
                <c:pt idx="339">
                  <c:v>MAR.24</c:v>
                </c:pt>
                <c:pt idx="340">
                  <c:v>MAR.24</c:v>
                </c:pt>
                <c:pt idx="341">
                  <c:v>MAR.24</c:v>
                </c:pt>
                <c:pt idx="342">
                  <c:v>MAR.24</c:v>
                </c:pt>
                <c:pt idx="343">
                  <c:v>MAR.24</c:v>
                </c:pt>
                <c:pt idx="344">
                  <c:v>April 24 live</c:v>
                </c:pt>
                <c:pt idx="345">
                  <c:v>APR.24</c:v>
                </c:pt>
                <c:pt idx="346">
                  <c:v>APR.24</c:v>
                </c:pt>
                <c:pt idx="347">
                  <c:v>APR.24</c:v>
                </c:pt>
                <c:pt idx="348">
                  <c:v>APR.24</c:v>
                </c:pt>
                <c:pt idx="349">
                  <c:v>APR.24</c:v>
                </c:pt>
                <c:pt idx="350">
                  <c:v>APR.24</c:v>
                </c:pt>
                <c:pt idx="351">
                  <c:v>APR.24</c:v>
                </c:pt>
                <c:pt idx="352">
                  <c:v>APR.24</c:v>
                </c:pt>
                <c:pt idx="353">
                  <c:v>APR.24</c:v>
                </c:pt>
                <c:pt idx="354">
                  <c:v>APR.24</c:v>
                </c:pt>
                <c:pt idx="355">
                  <c:v>APR.24</c:v>
                </c:pt>
                <c:pt idx="356">
                  <c:v>APR.24</c:v>
                </c:pt>
                <c:pt idx="357">
                  <c:v>APR.24</c:v>
                </c:pt>
                <c:pt idx="358">
                  <c:v>APR.24</c:v>
                </c:pt>
                <c:pt idx="359">
                  <c:v>APR.24</c:v>
                </c:pt>
                <c:pt idx="360">
                  <c:v>APR.24</c:v>
                </c:pt>
                <c:pt idx="361">
                  <c:v>APR.24</c:v>
                </c:pt>
                <c:pt idx="362">
                  <c:v>APR.24</c:v>
                </c:pt>
                <c:pt idx="363">
                  <c:v>APR.24</c:v>
                </c:pt>
                <c:pt idx="364">
                  <c:v>APR.24</c:v>
                </c:pt>
                <c:pt idx="365">
                  <c:v>APR.24</c:v>
                </c:pt>
                <c:pt idx="366">
                  <c:v>APR.24</c:v>
                </c:pt>
                <c:pt idx="367">
                  <c:v>APR.24</c:v>
                </c:pt>
                <c:pt idx="368">
                  <c:v>APR.24</c:v>
                </c:pt>
                <c:pt idx="369">
                  <c:v>APR.24</c:v>
                </c:pt>
                <c:pt idx="370">
                  <c:v>APR.24</c:v>
                </c:pt>
                <c:pt idx="371">
                  <c:v>APR.24</c:v>
                </c:pt>
                <c:pt idx="372">
                  <c:v>APR.24</c:v>
                </c:pt>
                <c:pt idx="373">
                  <c:v>APR.24</c:v>
                </c:pt>
                <c:pt idx="374">
                  <c:v>APR.24</c:v>
                </c:pt>
                <c:pt idx="375">
                  <c:v>APR.24</c:v>
                </c:pt>
                <c:pt idx="376">
                  <c:v>APR.24</c:v>
                </c:pt>
                <c:pt idx="377">
                  <c:v>APR.24</c:v>
                </c:pt>
                <c:pt idx="378">
                  <c:v>APR.24</c:v>
                </c:pt>
                <c:pt idx="379">
                  <c:v>APR.24</c:v>
                </c:pt>
                <c:pt idx="380">
                  <c:v>APR.24</c:v>
                </c:pt>
                <c:pt idx="381">
                  <c:v>APR.24</c:v>
                </c:pt>
                <c:pt idx="382">
                  <c:v>APR.24</c:v>
                </c:pt>
                <c:pt idx="383">
                  <c:v>APR.24</c:v>
                </c:pt>
                <c:pt idx="384">
                  <c:v>APR.24</c:v>
                </c:pt>
                <c:pt idx="385">
                  <c:v>APR.24</c:v>
                </c:pt>
                <c:pt idx="386">
                  <c:v>APR.24</c:v>
                </c:pt>
                <c:pt idx="387">
                  <c:v>APR.24</c:v>
                </c:pt>
                <c:pt idx="388">
                  <c:v>APR.24</c:v>
                </c:pt>
                <c:pt idx="389">
                  <c:v>APR.24</c:v>
                </c:pt>
                <c:pt idx="390">
                  <c:v>APR.24</c:v>
                </c:pt>
                <c:pt idx="391">
                  <c:v>APR.24</c:v>
                </c:pt>
                <c:pt idx="392">
                  <c:v>APR.24</c:v>
                </c:pt>
                <c:pt idx="393">
                  <c:v>APR.24</c:v>
                </c:pt>
                <c:pt idx="394">
                  <c:v>APR.24</c:v>
                </c:pt>
                <c:pt idx="395">
                  <c:v>APR.24</c:v>
                </c:pt>
                <c:pt idx="396">
                  <c:v>APR.24</c:v>
                </c:pt>
                <c:pt idx="397">
                  <c:v>APR.24</c:v>
                </c:pt>
                <c:pt idx="398">
                  <c:v>APR.24</c:v>
                </c:pt>
                <c:pt idx="399">
                  <c:v>APR.24</c:v>
                </c:pt>
                <c:pt idx="400">
                  <c:v>APR.24</c:v>
                </c:pt>
                <c:pt idx="401">
                  <c:v>APR.24</c:v>
                </c:pt>
                <c:pt idx="402">
                  <c:v>APR.24</c:v>
                </c:pt>
                <c:pt idx="403">
                  <c:v>APR.24</c:v>
                </c:pt>
                <c:pt idx="404">
                  <c:v>APR.24</c:v>
                </c:pt>
                <c:pt idx="405">
                  <c:v>APR.24</c:v>
                </c:pt>
                <c:pt idx="406">
                  <c:v>APR.24</c:v>
                </c:pt>
                <c:pt idx="407">
                  <c:v>APR.24</c:v>
                </c:pt>
                <c:pt idx="408">
                  <c:v>APR.24</c:v>
                </c:pt>
                <c:pt idx="409">
                  <c:v>APR.24</c:v>
                </c:pt>
                <c:pt idx="410">
                  <c:v>APR.24</c:v>
                </c:pt>
                <c:pt idx="411">
                  <c:v>APR.24</c:v>
                </c:pt>
                <c:pt idx="412">
                  <c:v>APR.24</c:v>
                </c:pt>
                <c:pt idx="413">
                  <c:v>APR.24</c:v>
                </c:pt>
                <c:pt idx="414">
                  <c:v>APR.24</c:v>
                </c:pt>
                <c:pt idx="415">
                  <c:v>APR.24</c:v>
                </c:pt>
                <c:pt idx="416">
                  <c:v>APR.24</c:v>
                </c:pt>
                <c:pt idx="417">
                  <c:v>APR.24</c:v>
                </c:pt>
                <c:pt idx="418">
                  <c:v>APR.24</c:v>
                </c:pt>
                <c:pt idx="419">
                  <c:v>APR.24</c:v>
                </c:pt>
                <c:pt idx="420">
                  <c:v>APR.24</c:v>
                </c:pt>
                <c:pt idx="421">
                  <c:v>APR.24</c:v>
                </c:pt>
                <c:pt idx="422">
                  <c:v>APR.24</c:v>
                </c:pt>
                <c:pt idx="423">
                  <c:v>APR.24</c:v>
                </c:pt>
                <c:pt idx="424">
                  <c:v>APR.24</c:v>
                </c:pt>
                <c:pt idx="425">
                  <c:v>APR.24</c:v>
                </c:pt>
                <c:pt idx="426">
                  <c:v>APR.24</c:v>
                </c:pt>
                <c:pt idx="427">
                  <c:v>APR.24</c:v>
                </c:pt>
                <c:pt idx="428">
                  <c:v>APR.24</c:v>
                </c:pt>
                <c:pt idx="429">
                  <c:v>APR.24</c:v>
                </c:pt>
                <c:pt idx="430">
                  <c:v>APR.24</c:v>
                </c:pt>
                <c:pt idx="431">
                  <c:v>APR.24</c:v>
                </c:pt>
                <c:pt idx="432">
                  <c:v>APR.24</c:v>
                </c:pt>
                <c:pt idx="433">
                  <c:v>APR.24</c:v>
                </c:pt>
                <c:pt idx="434">
                  <c:v>APR.24</c:v>
                </c:pt>
                <c:pt idx="435">
                  <c:v>APR.24</c:v>
                </c:pt>
                <c:pt idx="436">
                  <c:v>APR.24</c:v>
                </c:pt>
                <c:pt idx="437">
                  <c:v>APR.24</c:v>
                </c:pt>
                <c:pt idx="438">
                  <c:v>APR.24</c:v>
                </c:pt>
                <c:pt idx="439">
                  <c:v>APR.24</c:v>
                </c:pt>
                <c:pt idx="440">
                  <c:v>APR.24</c:v>
                </c:pt>
                <c:pt idx="441">
                  <c:v>APR.24</c:v>
                </c:pt>
                <c:pt idx="442">
                  <c:v>APR.24</c:v>
                </c:pt>
                <c:pt idx="443">
                  <c:v>APR.24</c:v>
                </c:pt>
                <c:pt idx="444">
                  <c:v>APR.24</c:v>
                </c:pt>
                <c:pt idx="445">
                  <c:v>APR.24</c:v>
                </c:pt>
                <c:pt idx="446">
                  <c:v>APR.24</c:v>
                </c:pt>
                <c:pt idx="447">
                  <c:v>APR.24</c:v>
                </c:pt>
                <c:pt idx="448">
                  <c:v>APR.24</c:v>
                </c:pt>
                <c:pt idx="449">
                  <c:v>APR.24</c:v>
                </c:pt>
                <c:pt idx="450">
                  <c:v>APR.24</c:v>
                </c:pt>
                <c:pt idx="451">
                  <c:v>APR.24</c:v>
                </c:pt>
                <c:pt idx="452">
                  <c:v>APR.24</c:v>
                </c:pt>
                <c:pt idx="453">
                  <c:v>APR.24</c:v>
                </c:pt>
                <c:pt idx="454">
                  <c:v>APR.24</c:v>
                </c:pt>
                <c:pt idx="455">
                  <c:v>APR.24</c:v>
                </c:pt>
                <c:pt idx="456">
                  <c:v>APR.24</c:v>
                </c:pt>
                <c:pt idx="457">
                  <c:v>APR.24</c:v>
                </c:pt>
                <c:pt idx="458">
                  <c:v>APR.24</c:v>
                </c:pt>
                <c:pt idx="459">
                  <c:v>APR.24</c:v>
                </c:pt>
                <c:pt idx="460">
                  <c:v>APR.24</c:v>
                </c:pt>
                <c:pt idx="461">
                  <c:v>APR.24</c:v>
                </c:pt>
                <c:pt idx="462">
                  <c:v>APR.24</c:v>
                </c:pt>
                <c:pt idx="463">
                  <c:v>APR.24</c:v>
                </c:pt>
                <c:pt idx="464">
                  <c:v>APR.24</c:v>
                </c:pt>
                <c:pt idx="465">
                  <c:v>APR.24</c:v>
                </c:pt>
                <c:pt idx="466">
                  <c:v>APR.24</c:v>
                </c:pt>
                <c:pt idx="467">
                  <c:v>APR.24</c:v>
                </c:pt>
                <c:pt idx="468">
                  <c:v>APR.24</c:v>
                </c:pt>
                <c:pt idx="469">
                  <c:v>APR.24</c:v>
                </c:pt>
                <c:pt idx="470">
                  <c:v>APR.24</c:v>
                </c:pt>
                <c:pt idx="471">
                  <c:v>APR.24</c:v>
                </c:pt>
                <c:pt idx="472">
                  <c:v>APR.24</c:v>
                </c:pt>
                <c:pt idx="473">
                  <c:v>APR.24</c:v>
                </c:pt>
                <c:pt idx="474">
                  <c:v>APR.24</c:v>
                </c:pt>
                <c:pt idx="475">
                  <c:v>APR.24</c:v>
                </c:pt>
                <c:pt idx="476">
                  <c:v>APR.24</c:v>
                </c:pt>
                <c:pt idx="477">
                  <c:v>APR.24</c:v>
                </c:pt>
                <c:pt idx="478">
                  <c:v>APR.24</c:v>
                </c:pt>
                <c:pt idx="479">
                  <c:v>APR.24</c:v>
                </c:pt>
                <c:pt idx="480">
                  <c:v>APR.24</c:v>
                </c:pt>
                <c:pt idx="481">
                  <c:v>APR.24</c:v>
                </c:pt>
                <c:pt idx="482">
                  <c:v>APR.24</c:v>
                </c:pt>
                <c:pt idx="483">
                  <c:v>APR.24</c:v>
                </c:pt>
                <c:pt idx="484">
                  <c:v>APR.24</c:v>
                </c:pt>
                <c:pt idx="485">
                  <c:v>APR.24</c:v>
                </c:pt>
                <c:pt idx="486">
                  <c:v>APR.24</c:v>
                </c:pt>
                <c:pt idx="487">
                  <c:v>APR.24</c:v>
                </c:pt>
                <c:pt idx="488">
                  <c:v>APR.24</c:v>
                </c:pt>
                <c:pt idx="489">
                  <c:v>APR.24</c:v>
                </c:pt>
                <c:pt idx="490">
                  <c:v>APR.24</c:v>
                </c:pt>
                <c:pt idx="491">
                  <c:v>APR.24</c:v>
                </c:pt>
                <c:pt idx="492">
                  <c:v>APR.24</c:v>
                </c:pt>
                <c:pt idx="493">
                  <c:v>APR.24</c:v>
                </c:pt>
                <c:pt idx="494">
                  <c:v>APR.24</c:v>
                </c:pt>
                <c:pt idx="495">
                  <c:v>APR.24</c:v>
                </c:pt>
                <c:pt idx="496">
                  <c:v>APR.24</c:v>
                </c:pt>
                <c:pt idx="497">
                  <c:v>APR.24</c:v>
                </c:pt>
                <c:pt idx="498">
                  <c:v>APR.24</c:v>
                </c:pt>
                <c:pt idx="499">
                  <c:v>APR.24</c:v>
                </c:pt>
                <c:pt idx="500">
                  <c:v>APR.24</c:v>
                </c:pt>
                <c:pt idx="501">
                  <c:v>APR.24</c:v>
                </c:pt>
                <c:pt idx="502">
                  <c:v>APR.24</c:v>
                </c:pt>
                <c:pt idx="503">
                  <c:v>APR.24</c:v>
                </c:pt>
                <c:pt idx="504">
                  <c:v>APR.24</c:v>
                </c:pt>
                <c:pt idx="505">
                  <c:v>APR.24</c:v>
                </c:pt>
                <c:pt idx="506">
                  <c:v>APR.24</c:v>
                </c:pt>
                <c:pt idx="507">
                  <c:v>APR.24</c:v>
                </c:pt>
                <c:pt idx="508">
                  <c:v>APR.24</c:v>
                </c:pt>
                <c:pt idx="509">
                  <c:v>APR.24</c:v>
                </c:pt>
                <c:pt idx="510">
                  <c:v>APR.24</c:v>
                </c:pt>
                <c:pt idx="511">
                  <c:v>APR.24</c:v>
                </c:pt>
                <c:pt idx="512">
                  <c:v>APR.24</c:v>
                </c:pt>
                <c:pt idx="513">
                  <c:v>APR.24</c:v>
                </c:pt>
                <c:pt idx="514">
                  <c:v>APR.24</c:v>
                </c:pt>
                <c:pt idx="515">
                  <c:v>APR.24</c:v>
                </c:pt>
                <c:pt idx="516">
                  <c:v>APR.24</c:v>
                </c:pt>
                <c:pt idx="517">
                  <c:v>APR.24</c:v>
                </c:pt>
                <c:pt idx="518">
                  <c:v>APR.24</c:v>
                </c:pt>
                <c:pt idx="519">
                  <c:v>APR.24</c:v>
                </c:pt>
                <c:pt idx="520">
                  <c:v>APR.24</c:v>
                </c:pt>
                <c:pt idx="521">
                  <c:v>APR.24</c:v>
                </c:pt>
                <c:pt idx="522">
                  <c:v>APR.24</c:v>
                </c:pt>
                <c:pt idx="523">
                  <c:v>APR.24</c:v>
                </c:pt>
                <c:pt idx="524">
                  <c:v>APR.24</c:v>
                </c:pt>
                <c:pt idx="525">
                  <c:v>APR.24</c:v>
                </c:pt>
                <c:pt idx="526">
                  <c:v>APR.24</c:v>
                </c:pt>
                <c:pt idx="527">
                  <c:v>APR.24</c:v>
                </c:pt>
                <c:pt idx="528">
                  <c:v>APR.24</c:v>
                </c:pt>
                <c:pt idx="529">
                  <c:v>APR.24</c:v>
                </c:pt>
                <c:pt idx="530">
                  <c:v>APR.24</c:v>
                </c:pt>
                <c:pt idx="531">
                  <c:v>APR.24</c:v>
                </c:pt>
                <c:pt idx="532">
                  <c:v>APR.24</c:v>
                </c:pt>
                <c:pt idx="533">
                  <c:v>APR.24</c:v>
                </c:pt>
                <c:pt idx="534">
                  <c:v>APR.24</c:v>
                </c:pt>
                <c:pt idx="535">
                  <c:v>May 24 live</c:v>
                </c:pt>
                <c:pt idx="536">
                  <c:v>MAY.24</c:v>
                </c:pt>
                <c:pt idx="537">
                  <c:v>MAY.24</c:v>
                </c:pt>
                <c:pt idx="538">
                  <c:v>MAY.24</c:v>
                </c:pt>
                <c:pt idx="539">
                  <c:v>MAY.24</c:v>
                </c:pt>
                <c:pt idx="540">
                  <c:v>MAY.24</c:v>
                </c:pt>
                <c:pt idx="541">
                  <c:v>MAY.24</c:v>
                </c:pt>
                <c:pt idx="542">
                  <c:v>MAY.24</c:v>
                </c:pt>
                <c:pt idx="543">
                  <c:v>MAY.24</c:v>
                </c:pt>
                <c:pt idx="544">
                  <c:v>MAY.24</c:v>
                </c:pt>
                <c:pt idx="545">
                  <c:v>MAY.24</c:v>
                </c:pt>
                <c:pt idx="546">
                  <c:v>MAY.24</c:v>
                </c:pt>
                <c:pt idx="547">
                  <c:v>MAY.24</c:v>
                </c:pt>
                <c:pt idx="548">
                  <c:v>MAY.24</c:v>
                </c:pt>
                <c:pt idx="549">
                  <c:v>MAY.24</c:v>
                </c:pt>
                <c:pt idx="550">
                  <c:v>MAY.24</c:v>
                </c:pt>
                <c:pt idx="551">
                  <c:v>MAY.24</c:v>
                </c:pt>
                <c:pt idx="552">
                  <c:v>MAY.24</c:v>
                </c:pt>
                <c:pt idx="553">
                  <c:v>MAY.24</c:v>
                </c:pt>
                <c:pt idx="554">
                  <c:v>MAY.24</c:v>
                </c:pt>
                <c:pt idx="555">
                  <c:v>MAY.24</c:v>
                </c:pt>
                <c:pt idx="556">
                  <c:v>MAY.24</c:v>
                </c:pt>
                <c:pt idx="557">
                  <c:v>MAY.24</c:v>
                </c:pt>
                <c:pt idx="558">
                  <c:v>MAY.24</c:v>
                </c:pt>
                <c:pt idx="559">
                  <c:v>MAY.24</c:v>
                </c:pt>
                <c:pt idx="560">
                  <c:v>MAY.24</c:v>
                </c:pt>
                <c:pt idx="561">
                  <c:v>MAY.24</c:v>
                </c:pt>
                <c:pt idx="562">
                  <c:v>MAY.24</c:v>
                </c:pt>
                <c:pt idx="563">
                  <c:v>MAY.24</c:v>
                </c:pt>
                <c:pt idx="564">
                  <c:v>MAY.24</c:v>
                </c:pt>
                <c:pt idx="565">
                  <c:v>MAY.24</c:v>
                </c:pt>
                <c:pt idx="566">
                  <c:v>MAY.24</c:v>
                </c:pt>
                <c:pt idx="567">
                  <c:v>MAY.24</c:v>
                </c:pt>
                <c:pt idx="568">
                  <c:v>MAY.24</c:v>
                </c:pt>
                <c:pt idx="569">
                  <c:v>MAY.24</c:v>
                </c:pt>
                <c:pt idx="570">
                  <c:v>MAY.24</c:v>
                </c:pt>
                <c:pt idx="571">
                  <c:v>MAY.24</c:v>
                </c:pt>
                <c:pt idx="572">
                  <c:v>MAY.24</c:v>
                </c:pt>
                <c:pt idx="573">
                  <c:v>MAY.24</c:v>
                </c:pt>
                <c:pt idx="574">
                  <c:v>MAY.24</c:v>
                </c:pt>
                <c:pt idx="575">
                  <c:v>MAY.24</c:v>
                </c:pt>
                <c:pt idx="576">
                  <c:v>MAY.24</c:v>
                </c:pt>
                <c:pt idx="577">
                  <c:v>MAY.24</c:v>
                </c:pt>
                <c:pt idx="578">
                  <c:v>MAY.24</c:v>
                </c:pt>
                <c:pt idx="579">
                  <c:v>MAY.24</c:v>
                </c:pt>
                <c:pt idx="580">
                  <c:v>MAY.24</c:v>
                </c:pt>
                <c:pt idx="581">
                  <c:v>MAY.24</c:v>
                </c:pt>
                <c:pt idx="582">
                  <c:v>MAY.24</c:v>
                </c:pt>
                <c:pt idx="583">
                  <c:v>MAY.24</c:v>
                </c:pt>
                <c:pt idx="584">
                  <c:v>MAY.24</c:v>
                </c:pt>
                <c:pt idx="585">
                  <c:v>MAY.24</c:v>
                </c:pt>
                <c:pt idx="586">
                  <c:v>MAY.24</c:v>
                </c:pt>
                <c:pt idx="587">
                  <c:v>MAY.24</c:v>
                </c:pt>
                <c:pt idx="588">
                  <c:v>MAY.24</c:v>
                </c:pt>
                <c:pt idx="589">
                  <c:v>MAY.24</c:v>
                </c:pt>
                <c:pt idx="590">
                  <c:v>MAY.24</c:v>
                </c:pt>
                <c:pt idx="591">
                  <c:v>MAY.24</c:v>
                </c:pt>
                <c:pt idx="592">
                  <c:v>MAY.24</c:v>
                </c:pt>
                <c:pt idx="593">
                  <c:v>MAY.24</c:v>
                </c:pt>
                <c:pt idx="594">
                  <c:v>MAY.24</c:v>
                </c:pt>
                <c:pt idx="595">
                  <c:v>MAY.24</c:v>
                </c:pt>
                <c:pt idx="596">
                  <c:v>MAY.24</c:v>
                </c:pt>
                <c:pt idx="597">
                  <c:v>MAY.24</c:v>
                </c:pt>
                <c:pt idx="598">
                  <c:v>MAY.24</c:v>
                </c:pt>
                <c:pt idx="599">
                  <c:v>MAY.24</c:v>
                </c:pt>
                <c:pt idx="600">
                  <c:v>MAY.24</c:v>
                </c:pt>
                <c:pt idx="601">
                  <c:v>MAY.24</c:v>
                </c:pt>
                <c:pt idx="602">
                  <c:v>MAY.24</c:v>
                </c:pt>
                <c:pt idx="603">
                  <c:v>MAY.24</c:v>
                </c:pt>
                <c:pt idx="604">
                  <c:v>MAY.24</c:v>
                </c:pt>
                <c:pt idx="605">
                  <c:v>MAY.24</c:v>
                </c:pt>
                <c:pt idx="606">
                  <c:v>MAY.24</c:v>
                </c:pt>
                <c:pt idx="607">
                  <c:v>MAY.24</c:v>
                </c:pt>
                <c:pt idx="608">
                  <c:v>MAY.24</c:v>
                </c:pt>
                <c:pt idx="609">
                  <c:v>MAY.24</c:v>
                </c:pt>
                <c:pt idx="610">
                  <c:v>MAY.24</c:v>
                </c:pt>
                <c:pt idx="611">
                  <c:v>MAY.24</c:v>
                </c:pt>
                <c:pt idx="612">
                  <c:v>MAY.24</c:v>
                </c:pt>
                <c:pt idx="613">
                  <c:v>MAY.24</c:v>
                </c:pt>
                <c:pt idx="614">
                  <c:v>MAY.24</c:v>
                </c:pt>
                <c:pt idx="615">
                  <c:v>MAY.24</c:v>
                </c:pt>
                <c:pt idx="616">
                  <c:v>MAY.24</c:v>
                </c:pt>
                <c:pt idx="617">
                  <c:v>MAY.24</c:v>
                </c:pt>
                <c:pt idx="618">
                  <c:v>MAY.24</c:v>
                </c:pt>
                <c:pt idx="619">
                  <c:v>MAY.24</c:v>
                </c:pt>
                <c:pt idx="620">
                  <c:v>MAY.24</c:v>
                </c:pt>
                <c:pt idx="621">
                  <c:v>MAY.24</c:v>
                </c:pt>
                <c:pt idx="622">
                  <c:v>MAY.24</c:v>
                </c:pt>
                <c:pt idx="623">
                  <c:v>MAY.24</c:v>
                </c:pt>
                <c:pt idx="624">
                  <c:v>MAY.24</c:v>
                </c:pt>
                <c:pt idx="625">
                  <c:v>MAY.24</c:v>
                </c:pt>
                <c:pt idx="626">
                  <c:v>MAY.24</c:v>
                </c:pt>
                <c:pt idx="627">
                  <c:v>MAY.24</c:v>
                </c:pt>
                <c:pt idx="628">
                  <c:v>MAY.24</c:v>
                </c:pt>
                <c:pt idx="629">
                  <c:v>MAY.24</c:v>
                </c:pt>
                <c:pt idx="630">
                  <c:v>MAY.24</c:v>
                </c:pt>
                <c:pt idx="631">
                  <c:v>MAY.24</c:v>
                </c:pt>
                <c:pt idx="632">
                  <c:v>MAY.24</c:v>
                </c:pt>
                <c:pt idx="633">
                  <c:v>MAY.24</c:v>
                </c:pt>
                <c:pt idx="634">
                  <c:v>MAY.24</c:v>
                </c:pt>
                <c:pt idx="635">
                  <c:v>MAY.24</c:v>
                </c:pt>
                <c:pt idx="636">
                  <c:v>MAY.24</c:v>
                </c:pt>
                <c:pt idx="637">
                  <c:v>MAY.24</c:v>
                </c:pt>
                <c:pt idx="638">
                  <c:v>MAY.24</c:v>
                </c:pt>
                <c:pt idx="639">
                  <c:v>MAY.24</c:v>
                </c:pt>
                <c:pt idx="640">
                  <c:v>MAY.24</c:v>
                </c:pt>
                <c:pt idx="641">
                  <c:v>MAY.24</c:v>
                </c:pt>
                <c:pt idx="642">
                  <c:v>MAY.24</c:v>
                </c:pt>
                <c:pt idx="643">
                  <c:v>MAY.24</c:v>
                </c:pt>
                <c:pt idx="644">
                  <c:v>MAY.24</c:v>
                </c:pt>
                <c:pt idx="645">
                  <c:v>MAY.24</c:v>
                </c:pt>
                <c:pt idx="646">
                  <c:v>MAY.24</c:v>
                </c:pt>
                <c:pt idx="647">
                  <c:v>MAY.24</c:v>
                </c:pt>
                <c:pt idx="648">
                  <c:v>MAY.24</c:v>
                </c:pt>
                <c:pt idx="649">
                  <c:v>MAY.24</c:v>
                </c:pt>
                <c:pt idx="650">
                  <c:v>MAY.24</c:v>
                </c:pt>
                <c:pt idx="651">
                  <c:v>MAY.24</c:v>
                </c:pt>
                <c:pt idx="652">
                  <c:v>MAY.24</c:v>
                </c:pt>
                <c:pt idx="653">
                  <c:v>MAY.24</c:v>
                </c:pt>
                <c:pt idx="654">
                  <c:v>MAY.24</c:v>
                </c:pt>
                <c:pt idx="655">
                  <c:v>MAY.24</c:v>
                </c:pt>
                <c:pt idx="656">
                  <c:v>MAY.24</c:v>
                </c:pt>
                <c:pt idx="657">
                  <c:v>MAY.24</c:v>
                </c:pt>
                <c:pt idx="658">
                  <c:v>MAY.24</c:v>
                </c:pt>
                <c:pt idx="659">
                  <c:v>MAY.24</c:v>
                </c:pt>
                <c:pt idx="660">
                  <c:v>MAY.24</c:v>
                </c:pt>
                <c:pt idx="661">
                  <c:v>MAY.24</c:v>
                </c:pt>
                <c:pt idx="662">
                  <c:v>MAY.24</c:v>
                </c:pt>
                <c:pt idx="663">
                  <c:v>MAY.24</c:v>
                </c:pt>
                <c:pt idx="664">
                  <c:v>MAY.24</c:v>
                </c:pt>
                <c:pt idx="665">
                  <c:v>MAY.24</c:v>
                </c:pt>
                <c:pt idx="666">
                  <c:v>MAY.24</c:v>
                </c:pt>
                <c:pt idx="667">
                  <c:v>MAY.24</c:v>
                </c:pt>
                <c:pt idx="668">
                  <c:v>MAY.24</c:v>
                </c:pt>
                <c:pt idx="669">
                  <c:v>MAY.24</c:v>
                </c:pt>
                <c:pt idx="670">
                  <c:v>MAY.24</c:v>
                </c:pt>
                <c:pt idx="671">
                  <c:v>MAY.24</c:v>
                </c:pt>
                <c:pt idx="672">
                  <c:v>MAY.24</c:v>
                </c:pt>
                <c:pt idx="673">
                  <c:v>MAY.24</c:v>
                </c:pt>
                <c:pt idx="674">
                  <c:v>MAY.24</c:v>
                </c:pt>
                <c:pt idx="675">
                  <c:v>MAY.24</c:v>
                </c:pt>
                <c:pt idx="676">
                  <c:v>MAY.24</c:v>
                </c:pt>
                <c:pt idx="677">
                  <c:v>MAY.24</c:v>
                </c:pt>
                <c:pt idx="678">
                  <c:v>MAY.24</c:v>
                </c:pt>
                <c:pt idx="679">
                  <c:v>MAY.24</c:v>
                </c:pt>
                <c:pt idx="680">
                  <c:v>MAY.24 after disaster</c:v>
                </c:pt>
                <c:pt idx="681">
                  <c:v>MAY.24</c:v>
                </c:pt>
                <c:pt idx="682">
                  <c:v>MAY.24</c:v>
                </c:pt>
                <c:pt idx="683">
                  <c:v>MAY.24</c:v>
                </c:pt>
                <c:pt idx="684">
                  <c:v>MAY.24</c:v>
                </c:pt>
                <c:pt idx="685">
                  <c:v>MAY.24</c:v>
                </c:pt>
                <c:pt idx="686">
                  <c:v>MAY.24</c:v>
                </c:pt>
                <c:pt idx="687">
                  <c:v>MAY.24</c:v>
                </c:pt>
                <c:pt idx="688">
                  <c:v>MAY.24</c:v>
                </c:pt>
                <c:pt idx="689">
                  <c:v>MAY.24</c:v>
                </c:pt>
                <c:pt idx="690">
                  <c:v>MAY.24</c:v>
                </c:pt>
                <c:pt idx="691">
                  <c:v>MAY.24</c:v>
                </c:pt>
                <c:pt idx="692">
                  <c:v>MAY.24</c:v>
                </c:pt>
                <c:pt idx="693">
                  <c:v>MAY.24</c:v>
                </c:pt>
                <c:pt idx="694">
                  <c:v>MAY.24</c:v>
                </c:pt>
                <c:pt idx="695">
                  <c:v>MAY.24 recovery</c:v>
                </c:pt>
                <c:pt idx="696">
                  <c:v>MAY.24</c:v>
                </c:pt>
                <c:pt idx="697">
                  <c:v>MAY.24</c:v>
                </c:pt>
                <c:pt idx="698">
                  <c:v>MAY.24</c:v>
                </c:pt>
                <c:pt idx="699">
                  <c:v>MAY.24</c:v>
                </c:pt>
                <c:pt idx="700">
                  <c:v>MAY.24</c:v>
                </c:pt>
                <c:pt idx="701">
                  <c:v>MAY.24</c:v>
                </c:pt>
                <c:pt idx="702">
                  <c:v>MAY.24</c:v>
                </c:pt>
                <c:pt idx="703">
                  <c:v>MAY.24</c:v>
                </c:pt>
                <c:pt idx="704">
                  <c:v>MAY.24</c:v>
                </c:pt>
                <c:pt idx="705">
                  <c:v>MAY.24</c:v>
                </c:pt>
                <c:pt idx="706">
                  <c:v>MAY.24</c:v>
                </c:pt>
                <c:pt idx="707">
                  <c:v>MAY.24</c:v>
                </c:pt>
                <c:pt idx="708">
                  <c:v>MAY.24</c:v>
                </c:pt>
                <c:pt idx="709">
                  <c:v>MAY.24</c:v>
                </c:pt>
                <c:pt idx="710">
                  <c:v>MAY.24</c:v>
                </c:pt>
                <c:pt idx="711">
                  <c:v>MAY.24</c:v>
                </c:pt>
                <c:pt idx="712">
                  <c:v>MAY.24</c:v>
                </c:pt>
                <c:pt idx="713">
                  <c:v>MAY.24</c:v>
                </c:pt>
                <c:pt idx="714">
                  <c:v>MAY.24</c:v>
                </c:pt>
                <c:pt idx="715">
                  <c:v>MAY.24</c:v>
                </c:pt>
                <c:pt idx="716">
                  <c:v>MAY.24</c:v>
                </c:pt>
                <c:pt idx="717">
                  <c:v>MAY.24</c:v>
                </c:pt>
                <c:pt idx="718">
                  <c:v>MAY.24</c:v>
                </c:pt>
                <c:pt idx="719">
                  <c:v>MAY.24</c:v>
                </c:pt>
                <c:pt idx="720">
                  <c:v>MAY.24</c:v>
                </c:pt>
                <c:pt idx="721">
                  <c:v>MAY.24</c:v>
                </c:pt>
                <c:pt idx="722">
                  <c:v>MAY.24</c:v>
                </c:pt>
                <c:pt idx="723">
                  <c:v>MAY.24</c:v>
                </c:pt>
                <c:pt idx="724">
                  <c:v>MAY.24</c:v>
                </c:pt>
                <c:pt idx="725">
                  <c:v>MAY.24</c:v>
                </c:pt>
                <c:pt idx="726">
                  <c:v>MAY.24</c:v>
                </c:pt>
                <c:pt idx="727">
                  <c:v>MAY.24</c:v>
                </c:pt>
                <c:pt idx="728">
                  <c:v>MAY.24</c:v>
                </c:pt>
                <c:pt idx="729">
                  <c:v>MAY.24</c:v>
                </c:pt>
                <c:pt idx="730">
                  <c:v>June24 live</c:v>
                </c:pt>
                <c:pt idx="731">
                  <c:v>JUN.24</c:v>
                </c:pt>
                <c:pt idx="732">
                  <c:v>JUN.24</c:v>
                </c:pt>
                <c:pt idx="733">
                  <c:v>JUN.24</c:v>
                </c:pt>
                <c:pt idx="734">
                  <c:v>JUN.24</c:v>
                </c:pt>
                <c:pt idx="735">
                  <c:v>JUN.24</c:v>
                </c:pt>
                <c:pt idx="736">
                  <c:v>JUN.24</c:v>
                </c:pt>
                <c:pt idx="737">
                  <c:v>JUN.24</c:v>
                </c:pt>
                <c:pt idx="738">
                  <c:v>JUN.24</c:v>
                </c:pt>
                <c:pt idx="739">
                  <c:v>JUN.24</c:v>
                </c:pt>
                <c:pt idx="740">
                  <c:v>JUN.24</c:v>
                </c:pt>
                <c:pt idx="741">
                  <c:v>JUN.24</c:v>
                </c:pt>
                <c:pt idx="742">
                  <c:v>JUN.24</c:v>
                </c:pt>
                <c:pt idx="743">
                  <c:v>JUN.24</c:v>
                </c:pt>
                <c:pt idx="744">
                  <c:v>JUN.24</c:v>
                </c:pt>
                <c:pt idx="745">
                  <c:v>JUN.24</c:v>
                </c:pt>
                <c:pt idx="746">
                  <c:v>JUN.24</c:v>
                </c:pt>
                <c:pt idx="747">
                  <c:v>JUN.24</c:v>
                </c:pt>
                <c:pt idx="748">
                  <c:v>JUN.24</c:v>
                </c:pt>
                <c:pt idx="749">
                  <c:v>JUN.24</c:v>
                </c:pt>
                <c:pt idx="750">
                  <c:v>JUN.24</c:v>
                </c:pt>
                <c:pt idx="751">
                  <c:v>JUN.24</c:v>
                </c:pt>
                <c:pt idx="752">
                  <c:v>JUN.24</c:v>
                </c:pt>
                <c:pt idx="753">
                  <c:v>JUN.24</c:v>
                </c:pt>
                <c:pt idx="754">
                  <c:v>JUN.24</c:v>
                </c:pt>
                <c:pt idx="755">
                  <c:v>JUN.24</c:v>
                </c:pt>
                <c:pt idx="756">
                  <c:v>JUN.24</c:v>
                </c:pt>
                <c:pt idx="757">
                  <c:v>JUN.24</c:v>
                </c:pt>
                <c:pt idx="758">
                  <c:v>JUN.24</c:v>
                </c:pt>
                <c:pt idx="759">
                  <c:v>JUN.24</c:v>
                </c:pt>
                <c:pt idx="760">
                  <c:v>JUN.24</c:v>
                </c:pt>
                <c:pt idx="761">
                  <c:v>JUN.24</c:v>
                </c:pt>
                <c:pt idx="762">
                  <c:v>JUN.24</c:v>
                </c:pt>
                <c:pt idx="763">
                  <c:v>JUN.24</c:v>
                </c:pt>
                <c:pt idx="764">
                  <c:v>JUN.24</c:v>
                </c:pt>
                <c:pt idx="765">
                  <c:v>JUN.24</c:v>
                </c:pt>
                <c:pt idx="766">
                  <c:v>JUN.24</c:v>
                </c:pt>
                <c:pt idx="767">
                  <c:v>JUN.24</c:v>
                </c:pt>
                <c:pt idx="768">
                  <c:v>JUN.24</c:v>
                </c:pt>
                <c:pt idx="769">
                  <c:v>JUN.24</c:v>
                </c:pt>
                <c:pt idx="770">
                  <c:v>JUN.24</c:v>
                </c:pt>
                <c:pt idx="771">
                  <c:v>JUN.24</c:v>
                </c:pt>
                <c:pt idx="772">
                  <c:v>JUN.24</c:v>
                </c:pt>
                <c:pt idx="773">
                  <c:v>JUN.24</c:v>
                </c:pt>
                <c:pt idx="774">
                  <c:v>JUN.24</c:v>
                </c:pt>
                <c:pt idx="775">
                  <c:v>JUN.24</c:v>
                </c:pt>
                <c:pt idx="776">
                  <c:v>JUN.24</c:v>
                </c:pt>
                <c:pt idx="777">
                  <c:v>JUN.24</c:v>
                </c:pt>
                <c:pt idx="778">
                  <c:v>JUN.24</c:v>
                </c:pt>
                <c:pt idx="779">
                  <c:v>JUN.24</c:v>
                </c:pt>
                <c:pt idx="780">
                  <c:v>JUN.24</c:v>
                </c:pt>
                <c:pt idx="781">
                  <c:v>JUN.24</c:v>
                </c:pt>
                <c:pt idx="782">
                  <c:v>JUN.24</c:v>
                </c:pt>
                <c:pt idx="783">
                  <c:v>JUN.24</c:v>
                </c:pt>
                <c:pt idx="784">
                  <c:v>JUN.24</c:v>
                </c:pt>
                <c:pt idx="785">
                  <c:v>JUN.24</c:v>
                </c:pt>
                <c:pt idx="786">
                  <c:v>JUN.24</c:v>
                </c:pt>
                <c:pt idx="787">
                  <c:v>JUN.24</c:v>
                </c:pt>
                <c:pt idx="788">
                  <c:v>JUN.24</c:v>
                </c:pt>
                <c:pt idx="789">
                  <c:v>JUN.24</c:v>
                </c:pt>
                <c:pt idx="790">
                  <c:v>JUN.24</c:v>
                </c:pt>
                <c:pt idx="791">
                  <c:v>JUN.24</c:v>
                </c:pt>
                <c:pt idx="792">
                  <c:v>JUN.24</c:v>
                </c:pt>
                <c:pt idx="793">
                  <c:v>JUN.24</c:v>
                </c:pt>
                <c:pt idx="794">
                  <c:v>JUN.24</c:v>
                </c:pt>
                <c:pt idx="795">
                  <c:v>JUN.24</c:v>
                </c:pt>
                <c:pt idx="796">
                  <c:v>JUN.24</c:v>
                </c:pt>
                <c:pt idx="797">
                  <c:v>JUN.24</c:v>
                </c:pt>
                <c:pt idx="798">
                  <c:v>JUN.24</c:v>
                </c:pt>
                <c:pt idx="799">
                  <c:v>JUN.24</c:v>
                </c:pt>
                <c:pt idx="800">
                  <c:v>JUN.24</c:v>
                </c:pt>
                <c:pt idx="801">
                  <c:v>JUN.24</c:v>
                </c:pt>
                <c:pt idx="802">
                  <c:v>JUN.24</c:v>
                </c:pt>
                <c:pt idx="803">
                  <c:v>JUN.24</c:v>
                </c:pt>
                <c:pt idx="804">
                  <c:v>JUN.24</c:v>
                </c:pt>
                <c:pt idx="805">
                  <c:v>JUN.24</c:v>
                </c:pt>
                <c:pt idx="806">
                  <c:v>JUN.24</c:v>
                </c:pt>
                <c:pt idx="807">
                  <c:v>JUN.24</c:v>
                </c:pt>
                <c:pt idx="808">
                  <c:v>JUN.24</c:v>
                </c:pt>
                <c:pt idx="809">
                  <c:v>JUN.24</c:v>
                </c:pt>
                <c:pt idx="810">
                  <c:v>JUN.24</c:v>
                </c:pt>
                <c:pt idx="811">
                  <c:v>JUN.24</c:v>
                </c:pt>
                <c:pt idx="812">
                  <c:v>JUN.24</c:v>
                </c:pt>
                <c:pt idx="813">
                  <c:v>JUN.24</c:v>
                </c:pt>
                <c:pt idx="814">
                  <c:v>JUN.24</c:v>
                </c:pt>
                <c:pt idx="815">
                  <c:v>JUN.24</c:v>
                </c:pt>
                <c:pt idx="816">
                  <c:v>JUN.24</c:v>
                </c:pt>
                <c:pt idx="817">
                  <c:v>JUN.24</c:v>
                </c:pt>
                <c:pt idx="818">
                  <c:v>JUN.24</c:v>
                </c:pt>
                <c:pt idx="819">
                  <c:v>JUN.24</c:v>
                </c:pt>
                <c:pt idx="820">
                  <c:v>JUN.24</c:v>
                </c:pt>
                <c:pt idx="821">
                  <c:v>JUN.24</c:v>
                </c:pt>
                <c:pt idx="822">
                  <c:v>JUN.24</c:v>
                </c:pt>
                <c:pt idx="823">
                  <c:v>JUN.24</c:v>
                </c:pt>
                <c:pt idx="824">
                  <c:v>JUN.24</c:v>
                </c:pt>
                <c:pt idx="825">
                  <c:v>JUN.24</c:v>
                </c:pt>
                <c:pt idx="826">
                  <c:v>JUN.24</c:v>
                </c:pt>
                <c:pt idx="827">
                  <c:v>JUN.24</c:v>
                </c:pt>
                <c:pt idx="828">
                  <c:v>JUN.24</c:v>
                </c:pt>
                <c:pt idx="829">
                  <c:v>JUN.24</c:v>
                </c:pt>
                <c:pt idx="830">
                  <c:v>JUN.24</c:v>
                </c:pt>
                <c:pt idx="831">
                  <c:v>JUN.24</c:v>
                </c:pt>
                <c:pt idx="832">
                  <c:v>JUN.24</c:v>
                </c:pt>
                <c:pt idx="833">
                  <c:v>JUN.24</c:v>
                </c:pt>
                <c:pt idx="834">
                  <c:v>JUN.24</c:v>
                </c:pt>
                <c:pt idx="835">
                  <c:v>JUN.24</c:v>
                </c:pt>
                <c:pt idx="836">
                  <c:v>JUN.24</c:v>
                </c:pt>
                <c:pt idx="837">
                  <c:v>JUN.24</c:v>
                </c:pt>
                <c:pt idx="838">
                  <c:v>JUN.24</c:v>
                </c:pt>
                <c:pt idx="839">
                  <c:v>JUN.24</c:v>
                </c:pt>
                <c:pt idx="840">
                  <c:v>JUN.24</c:v>
                </c:pt>
                <c:pt idx="841">
                  <c:v>JUN.24</c:v>
                </c:pt>
                <c:pt idx="842">
                  <c:v>JUN.24</c:v>
                </c:pt>
                <c:pt idx="843">
                  <c:v>JUN.24</c:v>
                </c:pt>
                <c:pt idx="844">
                  <c:v>JUN.24</c:v>
                </c:pt>
                <c:pt idx="845">
                  <c:v>JUN.24</c:v>
                </c:pt>
                <c:pt idx="846">
                  <c:v>JUN.24</c:v>
                </c:pt>
                <c:pt idx="847">
                  <c:v>JUN.24</c:v>
                </c:pt>
                <c:pt idx="848">
                  <c:v>JUN.24</c:v>
                </c:pt>
                <c:pt idx="849">
                  <c:v>JUN.24</c:v>
                </c:pt>
                <c:pt idx="850">
                  <c:v>JUN.24</c:v>
                </c:pt>
                <c:pt idx="851">
                  <c:v>JUN.24</c:v>
                </c:pt>
                <c:pt idx="852">
                  <c:v>JUN.24</c:v>
                </c:pt>
                <c:pt idx="853">
                  <c:v>JUN.24</c:v>
                </c:pt>
                <c:pt idx="854">
                  <c:v>JUN.24</c:v>
                </c:pt>
                <c:pt idx="855">
                  <c:v>JUN.24</c:v>
                </c:pt>
                <c:pt idx="856">
                  <c:v>JUN.24</c:v>
                </c:pt>
                <c:pt idx="857">
                  <c:v>JUN.24</c:v>
                </c:pt>
                <c:pt idx="858">
                  <c:v>JUN.24</c:v>
                </c:pt>
                <c:pt idx="859">
                  <c:v>JUN.24</c:v>
                </c:pt>
                <c:pt idx="860">
                  <c:v>JUN.24</c:v>
                </c:pt>
                <c:pt idx="861">
                  <c:v>JUN.24</c:v>
                </c:pt>
                <c:pt idx="862">
                  <c:v>JUN.24</c:v>
                </c:pt>
                <c:pt idx="863">
                  <c:v>JUN.24</c:v>
                </c:pt>
                <c:pt idx="864">
                  <c:v>JUN.24</c:v>
                </c:pt>
                <c:pt idx="865">
                  <c:v>JUN.24</c:v>
                </c:pt>
                <c:pt idx="866">
                  <c:v>JUN.24</c:v>
                </c:pt>
                <c:pt idx="867">
                  <c:v>JUN.24</c:v>
                </c:pt>
                <c:pt idx="868">
                  <c:v>JUN.24</c:v>
                </c:pt>
                <c:pt idx="869">
                  <c:v>JUN.24</c:v>
                </c:pt>
                <c:pt idx="870">
                  <c:v>JUN.24</c:v>
                </c:pt>
                <c:pt idx="871">
                  <c:v>JUN.24</c:v>
                </c:pt>
                <c:pt idx="872">
                  <c:v>JUN.24</c:v>
                </c:pt>
                <c:pt idx="873">
                  <c:v>JUN.24</c:v>
                </c:pt>
                <c:pt idx="874">
                  <c:v>JUN.24</c:v>
                </c:pt>
                <c:pt idx="875">
                  <c:v>JUN.24</c:v>
                </c:pt>
                <c:pt idx="876">
                  <c:v>JUN.24</c:v>
                </c:pt>
                <c:pt idx="877">
                  <c:v>JUN.24</c:v>
                </c:pt>
                <c:pt idx="878">
                  <c:v>JUN.24 BLOWUP</c:v>
                </c:pt>
                <c:pt idx="879">
                  <c:v>JUN.24</c:v>
                </c:pt>
                <c:pt idx="880">
                  <c:v>JUN.24</c:v>
                </c:pt>
                <c:pt idx="881">
                  <c:v>JUN.24</c:v>
                </c:pt>
                <c:pt idx="882">
                  <c:v>JUN.24</c:v>
                </c:pt>
                <c:pt idx="883">
                  <c:v>JUN.24</c:v>
                </c:pt>
                <c:pt idx="884">
                  <c:v>JUN.24</c:v>
                </c:pt>
                <c:pt idx="885">
                  <c:v>JUN.24</c:v>
                </c:pt>
                <c:pt idx="886">
                  <c:v>JUN.24</c:v>
                </c:pt>
                <c:pt idx="887">
                  <c:v>July24 live (R+1) | REDUCE INTRADAY &gt;1D TRADES</c:v>
                </c:pt>
                <c:pt idx="888">
                  <c:v>JUL.24</c:v>
                </c:pt>
                <c:pt idx="889">
                  <c:v>JUL.24</c:v>
                </c:pt>
                <c:pt idx="890">
                  <c:v>JUL.24</c:v>
                </c:pt>
                <c:pt idx="891">
                  <c:v>JUL.24</c:v>
                </c:pt>
                <c:pt idx="892">
                  <c:v>JUL.24</c:v>
                </c:pt>
                <c:pt idx="893">
                  <c:v>JUL.24</c:v>
                </c:pt>
                <c:pt idx="894">
                  <c:v>JUL.24</c:v>
                </c:pt>
                <c:pt idx="895">
                  <c:v>JUL.24</c:v>
                </c:pt>
                <c:pt idx="896">
                  <c:v>JUL.24</c:v>
                </c:pt>
                <c:pt idx="897">
                  <c:v>JUL.24</c:v>
                </c:pt>
                <c:pt idx="898">
                  <c:v>JUL.24</c:v>
                </c:pt>
                <c:pt idx="899">
                  <c:v>JUL.24</c:v>
                </c:pt>
                <c:pt idx="900">
                  <c:v>JUL.24</c:v>
                </c:pt>
                <c:pt idx="901">
                  <c:v>JUL.24</c:v>
                </c:pt>
                <c:pt idx="902">
                  <c:v>JUL.24</c:v>
                </c:pt>
                <c:pt idx="903">
                  <c:v>JUL.24</c:v>
                </c:pt>
                <c:pt idx="904">
                  <c:v>JUL.24</c:v>
                </c:pt>
                <c:pt idx="905">
                  <c:v>JUL.24</c:v>
                </c:pt>
                <c:pt idx="906">
                  <c:v>JUL.24</c:v>
                </c:pt>
                <c:pt idx="907">
                  <c:v>JUL.24</c:v>
                </c:pt>
                <c:pt idx="908">
                  <c:v>JUL.24</c:v>
                </c:pt>
                <c:pt idx="909">
                  <c:v>JUL.24</c:v>
                </c:pt>
                <c:pt idx="910">
                  <c:v>JUL.24</c:v>
                </c:pt>
                <c:pt idx="911">
                  <c:v>JUL.24</c:v>
                </c:pt>
                <c:pt idx="912">
                  <c:v>JUL.24</c:v>
                </c:pt>
                <c:pt idx="913">
                  <c:v>JUL.24</c:v>
                </c:pt>
                <c:pt idx="914">
                  <c:v>JUL.24</c:v>
                </c:pt>
                <c:pt idx="915">
                  <c:v>JUL.24</c:v>
                </c:pt>
                <c:pt idx="916">
                  <c:v>JUL.24</c:v>
                </c:pt>
                <c:pt idx="917">
                  <c:v>JUL.24</c:v>
                </c:pt>
                <c:pt idx="918">
                  <c:v>JUL.24</c:v>
                </c:pt>
                <c:pt idx="919">
                  <c:v>JUL.24</c:v>
                </c:pt>
                <c:pt idx="920">
                  <c:v>JUL.24</c:v>
                </c:pt>
                <c:pt idx="921">
                  <c:v>JUL.24</c:v>
                </c:pt>
                <c:pt idx="922">
                  <c:v>JUL.24</c:v>
                </c:pt>
                <c:pt idx="923">
                  <c:v>JUL.24</c:v>
                </c:pt>
                <c:pt idx="924">
                  <c:v>JUL.24</c:v>
                </c:pt>
                <c:pt idx="925">
                  <c:v>JUL.24</c:v>
                </c:pt>
                <c:pt idx="926">
                  <c:v>JUL.24</c:v>
                </c:pt>
                <c:pt idx="927">
                  <c:v>JUL.24</c:v>
                </c:pt>
                <c:pt idx="928">
                  <c:v>JUL.24</c:v>
                </c:pt>
                <c:pt idx="929">
                  <c:v>JUL.24</c:v>
                </c:pt>
                <c:pt idx="930">
                  <c:v>JUL.24</c:v>
                </c:pt>
                <c:pt idx="931">
                  <c:v>JUL.24</c:v>
                </c:pt>
                <c:pt idx="932">
                  <c:v>JUL.24</c:v>
                </c:pt>
                <c:pt idx="933">
                  <c:v>JUL.24</c:v>
                </c:pt>
                <c:pt idx="934">
                  <c:v>JUL.24</c:v>
                </c:pt>
                <c:pt idx="935">
                  <c:v>JUL.24</c:v>
                </c:pt>
                <c:pt idx="936">
                  <c:v>JUL.24</c:v>
                </c:pt>
                <c:pt idx="937">
                  <c:v>JUL.24</c:v>
                </c:pt>
                <c:pt idx="938">
                  <c:v>JUL.24</c:v>
                </c:pt>
                <c:pt idx="939">
                  <c:v>JUL.24</c:v>
                </c:pt>
                <c:pt idx="940">
                  <c:v>JUL.24</c:v>
                </c:pt>
                <c:pt idx="941">
                  <c:v>JUL.24</c:v>
                </c:pt>
                <c:pt idx="942">
                  <c:v>JUL.24</c:v>
                </c:pt>
                <c:pt idx="943">
                  <c:v>JUL.24</c:v>
                </c:pt>
                <c:pt idx="944">
                  <c:v>JUL.24</c:v>
                </c:pt>
                <c:pt idx="945">
                  <c:v>JUL.24</c:v>
                </c:pt>
                <c:pt idx="946">
                  <c:v>JUL.24</c:v>
                </c:pt>
                <c:pt idx="947">
                  <c:v>JUL.24</c:v>
                </c:pt>
                <c:pt idx="948">
                  <c:v>JUL.24</c:v>
                </c:pt>
                <c:pt idx="949">
                  <c:v>JUL.24</c:v>
                </c:pt>
                <c:pt idx="950">
                  <c:v>JUL.24</c:v>
                </c:pt>
                <c:pt idx="951">
                  <c:v>JUL.24</c:v>
                </c:pt>
                <c:pt idx="952">
                  <c:v>JUL.24</c:v>
                </c:pt>
                <c:pt idx="953">
                  <c:v>JUL.24</c:v>
                </c:pt>
                <c:pt idx="954">
                  <c:v>JUL.24</c:v>
                </c:pt>
                <c:pt idx="955">
                  <c:v>JUL.24</c:v>
                </c:pt>
                <c:pt idx="956">
                  <c:v>JUL.24</c:v>
                </c:pt>
                <c:pt idx="957">
                  <c:v>JUL.24</c:v>
                </c:pt>
                <c:pt idx="958">
                  <c:v>JUL.24</c:v>
                </c:pt>
                <c:pt idx="959">
                  <c:v>JUL.24</c:v>
                </c:pt>
                <c:pt idx="960">
                  <c:v>JUL.24</c:v>
                </c:pt>
                <c:pt idx="961">
                  <c:v>JUL.24</c:v>
                </c:pt>
                <c:pt idx="962">
                  <c:v>JUL.24</c:v>
                </c:pt>
                <c:pt idx="963">
                  <c:v>JUL.24</c:v>
                </c:pt>
                <c:pt idx="964">
                  <c:v>JUL.24</c:v>
                </c:pt>
                <c:pt idx="965">
                  <c:v>JUL.24</c:v>
                </c:pt>
                <c:pt idx="966">
                  <c:v>JUL.24</c:v>
                </c:pt>
                <c:pt idx="967">
                  <c:v>JUL.24</c:v>
                </c:pt>
                <c:pt idx="968">
                  <c:v>JUL.24</c:v>
                </c:pt>
                <c:pt idx="969">
                  <c:v>JUL.24</c:v>
                </c:pt>
                <c:pt idx="970">
                  <c:v>JUL.24</c:v>
                </c:pt>
                <c:pt idx="971">
                  <c:v>JUL.24</c:v>
                </c:pt>
                <c:pt idx="972">
                  <c:v>JUL.24</c:v>
                </c:pt>
                <c:pt idx="973">
                  <c:v>JUL.24</c:v>
                </c:pt>
                <c:pt idx="974">
                  <c:v>JUL.24</c:v>
                </c:pt>
                <c:pt idx="975">
                  <c:v>JUL.24</c:v>
                </c:pt>
                <c:pt idx="976">
                  <c:v>JUL.24</c:v>
                </c:pt>
                <c:pt idx="977">
                  <c:v>JUL.24</c:v>
                </c:pt>
                <c:pt idx="978">
                  <c:v>JUL.24</c:v>
                </c:pt>
                <c:pt idx="979">
                  <c:v>JUL.24</c:v>
                </c:pt>
                <c:pt idx="980">
                  <c:v>JUL.24</c:v>
                </c:pt>
                <c:pt idx="981">
                  <c:v>JUL.24</c:v>
                </c:pt>
                <c:pt idx="982">
                  <c:v>JUL.24</c:v>
                </c:pt>
                <c:pt idx="983">
                  <c:v>JUL.24</c:v>
                </c:pt>
                <c:pt idx="984">
                  <c:v>JUL.24</c:v>
                </c:pt>
                <c:pt idx="985">
                  <c:v>JUL.24</c:v>
                </c:pt>
                <c:pt idx="986">
                  <c:v>JUL.24</c:v>
                </c:pt>
                <c:pt idx="987">
                  <c:v>JUL.24</c:v>
                </c:pt>
                <c:pt idx="988">
                  <c:v>August24 live (R-1) | REDUCE LOT SIZING 2ND HALF AND ONLY EXITS IN 2ND HALF</c:v>
                </c:pt>
                <c:pt idx="989">
                  <c:v>AUG.24</c:v>
                </c:pt>
                <c:pt idx="990">
                  <c:v>AUG.24</c:v>
                </c:pt>
                <c:pt idx="991">
                  <c:v>AUG.24.II</c:v>
                </c:pt>
                <c:pt idx="992">
                  <c:v>AUG.24</c:v>
                </c:pt>
                <c:pt idx="993">
                  <c:v>AUG.24</c:v>
                </c:pt>
                <c:pt idx="994">
                  <c:v>AUG.24</c:v>
                </c:pt>
                <c:pt idx="995">
                  <c:v>AUG.24</c:v>
                </c:pt>
                <c:pt idx="996">
                  <c:v>AUG.24</c:v>
                </c:pt>
                <c:pt idx="997">
                  <c:v>AUG.24</c:v>
                </c:pt>
                <c:pt idx="998">
                  <c:v>AUG.24</c:v>
                </c:pt>
                <c:pt idx="999">
                  <c:v>AUG.24</c:v>
                </c:pt>
                <c:pt idx="1000">
                  <c:v>AUG.24.II</c:v>
                </c:pt>
                <c:pt idx="1001">
                  <c:v>AUG.24.II</c:v>
                </c:pt>
                <c:pt idx="1002">
                  <c:v>AUG.24</c:v>
                </c:pt>
                <c:pt idx="1003">
                  <c:v>AUG.24</c:v>
                </c:pt>
                <c:pt idx="1004">
                  <c:v>AUG.24</c:v>
                </c:pt>
                <c:pt idx="1005">
                  <c:v>AUG.24.II</c:v>
                </c:pt>
                <c:pt idx="1006">
                  <c:v>AUG.24.II</c:v>
                </c:pt>
                <c:pt idx="1007">
                  <c:v>AUG.24</c:v>
                </c:pt>
                <c:pt idx="1008">
                  <c:v>AUG.24</c:v>
                </c:pt>
                <c:pt idx="1009">
                  <c:v>AUG.24</c:v>
                </c:pt>
                <c:pt idx="1010">
                  <c:v>AUG.24</c:v>
                </c:pt>
                <c:pt idx="1011">
                  <c:v>AUG.24</c:v>
                </c:pt>
                <c:pt idx="1012">
                  <c:v>AUG.24</c:v>
                </c:pt>
                <c:pt idx="1013">
                  <c:v>AUG.24</c:v>
                </c:pt>
                <c:pt idx="1014">
                  <c:v>AUG.24</c:v>
                </c:pt>
                <c:pt idx="1015">
                  <c:v>AUG.24</c:v>
                </c:pt>
                <c:pt idx="1016">
                  <c:v>AUG.24</c:v>
                </c:pt>
                <c:pt idx="1017">
                  <c:v>AUG.24</c:v>
                </c:pt>
                <c:pt idx="1018">
                  <c:v>AUG.24</c:v>
                </c:pt>
                <c:pt idx="1019">
                  <c:v>AUG.24</c:v>
                </c:pt>
                <c:pt idx="1020">
                  <c:v>AUG.24</c:v>
                </c:pt>
                <c:pt idx="1021">
                  <c:v>AUG.24</c:v>
                </c:pt>
                <c:pt idx="1022">
                  <c:v>AUG.24</c:v>
                </c:pt>
                <c:pt idx="1023">
                  <c:v>AUG.24</c:v>
                </c:pt>
                <c:pt idx="1024">
                  <c:v>AUG.24</c:v>
                </c:pt>
                <c:pt idx="1025">
                  <c:v>AUG.24</c:v>
                </c:pt>
                <c:pt idx="1026">
                  <c:v>AUG.24.II</c:v>
                </c:pt>
                <c:pt idx="1027">
                  <c:v>AUG.24</c:v>
                </c:pt>
                <c:pt idx="1028">
                  <c:v>AUG.24</c:v>
                </c:pt>
                <c:pt idx="1029">
                  <c:v>AUG.24</c:v>
                </c:pt>
                <c:pt idx="1030">
                  <c:v>AUG.24</c:v>
                </c:pt>
                <c:pt idx="1031">
                  <c:v>AUG.24</c:v>
                </c:pt>
                <c:pt idx="1032">
                  <c:v>AUG.24</c:v>
                </c:pt>
                <c:pt idx="1033">
                  <c:v>AUG.24</c:v>
                </c:pt>
                <c:pt idx="1034">
                  <c:v>AUG.24</c:v>
                </c:pt>
                <c:pt idx="1035">
                  <c:v>AUG.24</c:v>
                </c:pt>
                <c:pt idx="1036">
                  <c:v>AUG.24</c:v>
                </c:pt>
                <c:pt idx="1037">
                  <c:v>AUG.24</c:v>
                </c:pt>
                <c:pt idx="1038">
                  <c:v>AUG.24</c:v>
                </c:pt>
                <c:pt idx="1039">
                  <c:v>AUG.24</c:v>
                </c:pt>
                <c:pt idx="1040">
                  <c:v>AUG.24</c:v>
                </c:pt>
                <c:pt idx="1041">
                  <c:v>AUG.24</c:v>
                </c:pt>
                <c:pt idx="1042">
                  <c:v>AUG.24</c:v>
                </c:pt>
                <c:pt idx="1043">
                  <c:v>AUG.24</c:v>
                </c:pt>
                <c:pt idx="1044">
                  <c:v>AUG.24</c:v>
                </c:pt>
                <c:pt idx="1045">
                  <c:v>AUG.24</c:v>
                </c:pt>
                <c:pt idx="1046">
                  <c:v>AUG.24</c:v>
                </c:pt>
                <c:pt idx="1047">
                  <c:v>AUG.24</c:v>
                </c:pt>
                <c:pt idx="1048">
                  <c:v>AUG.24</c:v>
                </c:pt>
                <c:pt idx="1049">
                  <c:v>AUG.24</c:v>
                </c:pt>
                <c:pt idx="1050">
                  <c:v>AUG.24</c:v>
                </c:pt>
                <c:pt idx="1051">
                  <c:v>AUG.24</c:v>
                </c:pt>
                <c:pt idx="1052">
                  <c:v>AUG.24</c:v>
                </c:pt>
                <c:pt idx="1053">
                  <c:v>AUG.24</c:v>
                </c:pt>
                <c:pt idx="1054">
                  <c:v>AUG.24</c:v>
                </c:pt>
                <c:pt idx="1055">
                  <c:v>AUG.24</c:v>
                </c:pt>
                <c:pt idx="1056">
                  <c:v>AUG.24</c:v>
                </c:pt>
                <c:pt idx="1057">
                  <c:v>AUG.24</c:v>
                </c:pt>
                <c:pt idx="1058">
                  <c:v>AUG.24</c:v>
                </c:pt>
                <c:pt idx="1059">
                  <c:v>AUG.24</c:v>
                </c:pt>
                <c:pt idx="1060">
                  <c:v>AUG.24</c:v>
                </c:pt>
                <c:pt idx="1061">
                  <c:v>AUG.24</c:v>
                </c:pt>
                <c:pt idx="1062">
                  <c:v>AUG.24</c:v>
                </c:pt>
                <c:pt idx="1063">
                  <c:v>AUG.24</c:v>
                </c:pt>
                <c:pt idx="1064">
                  <c:v>AUG.24</c:v>
                </c:pt>
                <c:pt idx="1065">
                  <c:v>AUG.24</c:v>
                </c:pt>
                <c:pt idx="1066">
                  <c:v>AUG.24</c:v>
                </c:pt>
                <c:pt idx="1067">
                  <c:v>AUG.24</c:v>
                </c:pt>
                <c:pt idx="1068">
                  <c:v>AUG.24</c:v>
                </c:pt>
                <c:pt idx="1069">
                  <c:v>AUG.24</c:v>
                </c:pt>
                <c:pt idx="1070">
                  <c:v>AUG.24</c:v>
                </c:pt>
                <c:pt idx="1071">
                  <c:v>AUG.24</c:v>
                </c:pt>
                <c:pt idx="1072">
                  <c:v>AUG.24</c:v>
                </c:pt>
                <c:pt idx="1073">
                  <c:v>AUG.24</c:v>
                </c:pt>
                <c:pt idx="1074">
                  <c:v>AUG.24</c:v>
                </c:pt>
                <c:pt idx="1075">
                  <c:v>AUG.24</c:v>
                </c:pt>
                <c:pt idx="1076">
                  <c:v>AUG.24</c:v>
                </c:pt>
                <c:pt idx="1077">
                  <c:v>AUG.24</c:v>
                </c:pt>
                <c:pt idx="1078">
                  <c:v>AUG.24</c:v>
                </c:pt>
                <c:pt idx="1079">
                  <c:v>AUG.24</c:v>
                </c:pt>
                <c:pt idx="1080">
                  <c:v>AUG.24</c:v>
                </c:pt>
                <c:pt idx="1081">
                  <c:v>AUG.24</c:v>
                </c:pt>
                <c:pt idx="1082">
                  <c:v>AUG.24</c:v>
                </c:pt>
                <c:pt idx="1083">
                  <c:v>AUG.24</c:v>
                </c:pt>
                <c:pt idx="1084">
                  <c:v>AUG.24</c:v>
                </c:pt>
                <c:pt idx="1085">
                  <c:v>September24 live (R) | REDUCE LOT SIZING 1ST HALF, AVOID POSITIONAL </c:v>
                </c:pt>
                <c:pt idx="1086">
                  <c:v>SEP.24</c:v>
                </c:pt>
                <c:pt idx="1087">
                  <c:v>SEP.24</c:v>
                </c:pt>
                <c:pt idx="1088">
                  <c:v>SEP.24</c:v>
                </c:pt>
                <c:pt idx="1089">
                  <c:v>SEP.24</c:v>
                </c:pt>
                <c:pt idx="1090">
                  <c:v>SEP.24</c:v>
                </c:pt>
                <c:pt idx="1091">
                  <c:v>SEP.24</c:v>
                </c:pt>
                <c:pt idx="1092">
                  <c:v>SEP.24</c:v>
                </c:pt>
                <c:pt idx="1093">
                  <c:v>SEP.24</c:v>
                </c:pt>
                <c:pt idx="1094">
                  <c:v>SEP.24</c:v>
                </c:pt>
                <c:pt idx="1095">
                  <c:v>SEP.24</c:v>
                </c:pt>
                <c:pt idx="1096">
                  <c:v>SEP.24</c:v>
                </c:pt>
                <c:pt idx="1097">
                  <c:v>SEP.24</c:v>
                </c:pt>
                <c:pt idx="1098">
                  <c:v>SEP.24</c:v>
                </c:pt>
                <c:pt idx="1099">
                  <c:v>SEP.24</c:v>
                </c:pt>
                <c:pt idx="1100">
                  <c:v>SEP.24</c:v>
                </c:pt>
                <c:pt idx="1101">
                  <c:v>SEP.24</c:v>
                </c:pt>
                <c:pt idx="1102">
                  <c:v>SEP.24</c:v>
                </c:pt>
                <c:pt idx="1103">
                  <c:v>SEP.24</c:v>
                </c:pt>
                <c:pt idx="1104">
                  <c:v>SEP.24</c:v>
                </c:pt>
                <c:pt idx="1105">
                  <c:v>SEP.24</c:v>
                </c:pt>
                <c:pt idx="1106">
                  <c:v>SEP.24</c:v>
                </c:pt>
                <c:pt idx="1107">
                  <c:v>SEP.24</c:v>
                </c:pt>
                <c:pt idx="1108">
                  <c:v>SEP.24</c:v>
                </c:pt>
                <c:pt idx="1109">
                  <c:v>SEP.24</c:v>
                </c:pt>
                <c:pt idx="1110">
                  <c:v>SEP.24</c:v>
                </c:pt>
                <c:pt idx="1111">
                  <c:v>SEP.24</c:v>
                </c:pt>
                <c:pt idx="1112">
                  <c:v>SEP.24</c:v>
                </c:pt>
                <c:pt idx="1113">
                  <c:v>SEP.24</c:v>
                </c:pt>
                <c:pt idx="1114">
                  <c:v>SEP.24</c:v>
                </c:pt>
                <c:pt idx="1115">
                  <c:v>SEP.24</c:v>
                </c:pt>
                <c:pt idx="1116">
                  <c:v>SEP.24</c:v>
                </c:pt>
                <c:pt idx="1117">
                  <c:v>SEP.24</c:v>
                </c:pt>
                <c:pt idx="1118">
                  <c:v>SEP.24</c:v>
                </c:pt>
                <c:pt idx="1119">
                  <c:v>SEP.24</c:v>
                </c:pt>
                <c:pt idx="1120">
                  <c:v>SEP.24</c:v>
                </c:pt>
                <c:pt idx="1121">
                  <c:v>SEP.24</c:v>
                </c:pt>
                <c:pt idx="1122">
                  <c:v>SEP.24</c:v>
                </c:pt>
                <c:pt idx="1123">
                  <c:v>SEP.24</c:v>
                </c:pt>
                <c:pt idx="1124">
                  <c:v>October24 live (R+1) | REDUCE INTRADAY &gt;1D TRADES</c:v>
                </c:pt>
                <c:pt idx="1125">
                  <c:v>OCT.24</c:v>
                </c:pt>
                <c:pt idx="1126">
                  <c:v>OCT.24</c:v>
                </c:pt>
                <c:pt idx="1127">
                  <c:v>OCT.24</c:v>
                </c:pt>
                <c:pt idx="1128">
                  <c:v>OCT.24</c:v>
                </c:pt>
                <c:pt idx="1129">
                  <c:v>OCT.24</c:v>
                </c:pt>
                <c:pt idx="1130">
                  <c:v>OCT.24</c:v>
                </c:pt>
                <c:pt idx="1131">
                  <c:v>OCT.24</c:v>
                </c:pt>
                <c:pt idx="1132">
                  <c:v>OCT.24</c:v>
                </c:pt>
                <c:pt idx="1133">
                  <c:v>OCT.24</c:v>
                </c:pt>
                <c:pt idx="1134">
                  <c:v>OCT.24</c:v>
                </c:pt>
                <c:pt idx="1135">
                  <c:v>OCT.24</c:v>
                </c:pt>
                <c:pt idx="1136">
                  <c:v>OCT.24</c:v>
                </c:pt>
                <c:pt idx="1137">
                  <c:v>OCT.24</c:v>
                </c:pt>
                <c:pt idx="1138">
                  <c:v>OCT.24</c:v>
                </c:pt>
                <c:pt idx="1139">
                  <c:v>OCT.24</c:v>
                </c:pt>
                <c:pt idx="1140">
                  <c:v>OCT.24</c:v>
                </c:pt>
                <c:pt idx="1141">
                  <c:v>OCT.24</c:v>
                </c:pt>
                <c:pt idx="1142">
                  <c:v>OCT.24</c:v>
                </c:pt>
                <c:pt idx="1143">
                  <c:v>OCT.24</c:v>
                </c:pt>
                <c:pt idx="1144">
                  <c:v>OCT.24</c:v>
                </c:pt>
                <c:pt idx="1145">
                  <c:v>OCT.24</c:v>
                </c:pt>
                <c:pt idx="1146">
                  <c:v>OCT.24</c:v>
                </c:pt>
                <c:pt idx="1147">
                  <c:v>OCT.24</c:v>
                </c:pt>
                <c:pt idx="1148">
                  <c:v>OCT.24</c:v>
                </c:pt>
                <c:pt idx="1149">
                  <c:v>OCT.24</c:v>
                </c:pt>
                <c:pt idx="1150">
                  <c:v>OCT.24</c:v>
                </c:pt>
                <c:pt idx="1151">
                  <c:v>OCT.24</c:v>
                </c:pt>
                <c:pt idx="1152">
                  <c:v>OCT.24</c:v>
                </c:pt>
                <c:pt idx="1153">
                  <c:v>OCT.24</c:v>
                </c:pt>
                <c:pt idx="1154">
                  <c:v>OCT.24</c:v>
                </c:pt>
                <c:pt idx="1155">
                  <c:v>OCT.24</c:v>
                </c:pt>
                <c:pt idx="1156">
                  <c:v>OCT.24</c:v>
                </c:pt>
                <c:pt idx="1157">
                  <c:v>OCT.24</c:v>
                </c:pt>
                <c:pt idx="1158">
                  <c:v>OCT.24</c:v>
                </c:pt>
                <c:pt idx="1159">
                  <c:v>OCT.24</c:v>
                </c:pt>
                <c:pt idx="1160">
                  <c:v>OCT.24</c:v>
                </c:pt>
                <c:pt idx="1161">
                  <c:v>OCT.24</c:v>
                </c:pt>
                <c:pt idx="1162">
                  <c:v>OCT.24</c:v>
                </c:pt>
                <c:pt idx="1163">
                  <c:v>OCT.24</c:v>
                </c:pt>
                <c:pt idx="1164">
                  <c:v>OCT.24</c:v>
                </c:pt>
                <c:pt idx="1165">
                  <c:v>OCT.24</c:v>
                </c:pt>
                <c:pt idx="1166">
                  <c:v>OCT.24</c:v>
                </c:pt>
                <c:pt idx="1167">
                  <c:v>OCT.24</c:v>
                </c:pt>
                <c:pt idx="1168">
                  <c:v>OCT.24</c:v>
                </c:pt>
                <c:pt idx="1169">
                  <c:v>OCT.24</c:v>
                </c:pt>
                <c:pt idx="1170">
                  <c:v>OCT.24</c:v>
                </c:pt>
                <c:pt idx="1171">
                  <c:v>OCT.24</c:v>
                </c:pt>
                <c:pt idx="1172">
                  <c:v>OCT.24</c:v>
                </c:pt>
                <c:pt idx="1173">
                  <c:v>OCT.24</c:v>
                </c:pt>
                <c:pt idx="1174">
                  <c:v>OCT.24</c:v>
                </c:pt>
                <c:pt idx="1175">
                  <c:v>OCT.24</c:v>
                </c:pt>
                <c:pt idx="1176">
                  <c:v>OCT.24</c:v>
                </c:pt>
                <c:pt idx="1177">
                  <c:v>OCT.24</c:v>
                </c:pt>
                <c:pt idx="1178">
                  <c:v>OCT.24</c:v>
                </c:pt>
                <c:pt idx="1179">
                  <c:v>OCT.24</c:v>
                </c:pt>
                <c:pt idx="1180">
                  <c:v>OCT.24</c:v>
                </c:pt>
                <c:pt idx="1181">
                  <c:v>OCT.24</c:v>
                </c:pt>
                <c:pt idx="1182">
                  <c:v>OCT.24</c:v>
                </c:pt>
                <c:pt idx="1183">
                  <c:v>OCT.24</c:v>
                </c:pt>
                <c:pt idx="1184">
                  <c:v>OCT.24</c:v>
                </c:pt>
                <c:pt idx="1185">
                  <c:v>OCT.24</c:v>
                </c:pt>
                <c:pt idx="1186">
                  <c:v>OCT.24</c:v>
                </c:pt>
                <c:pt idx="1187">
                  <c:v>OCT.24</c:v>
                </c:pt>
                <c:pt idx="1188">
                  <c:v>OCT.24</c:v>
                </c:pt>
                <c:pt idx="1189">
                  <c:v>OCT.24</c:v>
                </c:pt>
                <c:pt idx="1190">
                  <c:v>OCT.24</c:v>
                </c:pt>
                <c:pt idx="1191">
                  <c:v>OCT.24</c:v>
                </c:pt>
                <c:pt idx="1192">
                  <c:v>OCT.24</c:v>
                </c:pt>
                <c:pt idx="1193">
                  <c:v>OCT.24</c:v>
                </c:pt>
                <c:pt idx="1194">
                  <c:v>OCT.24</c:v>
                </c:pt>
                <c:pt idx="1195">
                  <c:v>OCT.24</c:v>
                </c:pt>
                <c:pt idx="1196">
                  <c:v>OCT.24</c:v>
                </c:pt>
                <c:pt idx="1197">
                  <c:v>OCT.24</c:v>
                </c:pt>
                <c:pt idx="1198">
                  <c:v>OCT.24</c:v>
                </c:pt>
                <c:pt idx="1199">
                  <c:v>OCT.24</c:v>
                </c:pt>
                <c:pt idx="1200">
                  <c:v>OCT.24</c:v>
                </c:pt>
                <c:pt idx="1201">
                  <c:v>OCT.24</c:v>
                </c:pt>
                <c:pt idx="1202">
                  <c:v>OCT.24</c:v>
                </c:pt>
                <c:pt idx="1203">
                  <c:v>OCT.24</c:v>
                </c:pt>
                <c:pt idx="1204">
                  <c:v>OCT.24</c:v>
                </c:pt>
                <c:pt idx="1205">
                  <c:v>OCT.24</c:v>
                </c:pt>
                <c:pt idx="1206">
                  <c:v>OCT.24</c:v>
                </c:pt>
                <c:pt idx="1207">
                  <c:v>OCT.24</c:v>
                </c:pt>
                <c:pt idx="1208">
                  <c:v>OCT.24</c:v>
                </c:pt>
                <c:pt idx="1209">
                  <c:v>OCT.24</c:v>
                </c:pt>
                <c:pt idx="1210">
                  <c:v>OCT.24</c:v>
                </c:pt>
                <c:pt idx="1211">
                  <c:v>OCT.24</c:v>
                </c:pt>
                <c:pt idx="1212">
                  <c:v>OCT.24</c:v>
                </c:pt>
                <c:pt idx="1213">
                  <c:v>November24 live EPILOGUE 1</c:v>
                </c:pt>
                <c:pt idx="1214">
                  <c:v>NOV.24</c:v>
                </c:pt>
                <c:pt idx="1215">
                  <c:v>NOV.24</c:v>
                </c:pt>
                <c:pt idx="1216">
                  <c:v>NOV.24</c:v>
                </c:pt>
                <c:pt idx="1217">
                  <c:v>NOV.24</c:v>
                </c:pt>
                <c:pt idx="1218">
                  <c:v>NOV.24</c:v>
                </c:pt>
                <c:pt idx="1219">
                  <c:v>NOV.24</c:v>
                </c:pt>
                <c:pt idx="1220">
                  <c:v>NOV.24</c:v>
                </c:pt>
                <c:pt idx="1221">
                  <c:v>NOV.24</c:v>
                </c:pt>
                <c:pt idx="1222">
                  <c:v>NOV.24</c:v>
                </c:pt>
                <c:pt idx="1223">
                  <c:v>NOV.24</c:v>
                </c:pt>
                <c:pt idx="1224">
                  <c:v>NOV.24</c:v>
                </c:pt>
                <c:pt idx="1225">
                  <c:v>NOV.24</c:v>
                </c:pt>
                <c:pt idx="1226">
                  <c:v>NOV.24</c:v>
                </c:pt>
                <c:pt idx="1227">
                  <c:v>NOV.24</c:v>
                </c:pt>
                <c:pt idx="1228">
                  <c:v>NOV.24</c:v>
                </c:pt>
                <c:pt idx="1229">
                  <c:v>NOV.24</c:v>
                </c:pt>
                <c:pt idx="1230">
                  <c:v>NOV.24</c:v>
                </c:pt>
                <c:pt idx="1231">
                  <c:v>NOV.24</c:v>
                </c:pt>
                <c:pt idx="1232">
                  <c:v>NOV.24</c:v>
                </c:pt>
                <c:pt idx="1233">
                  <c:v>NOV.24</c:v>
                </c:pt>
                <c:pt idx="1234">
                  <c:v>NOV.24</c:v>
                </c:pt>
                <c:pt idx="1235">
                  <c:v>NOV.24</c:v>
                </c:pt>
                <c:pt idx="1236">
                  <c:v>NOV.24</c:v>
                </c:pt>
              </c:strCache>
            </c:strRef>
          </c:cat>
          <c:val>
            <c:numRef>
              <c:f>'Journal Live'!$BI$1388:$BI$2630</c:f>
              <c:numCache>
                <c:formatCode>General</c:formatCode>
                <c:ptCount val="1238"/>
                <c:pt idx="0">
                  <c:v>0</c:v>
                </c:pt>
                <c:pt idx="1">
                  <c:v>0</c:v>
                </c:pt>
                <c:pt idx="2">
                  <c:v>0</c:v>
                </c:pt>
                <c:pt idx="3">
                  <c:v>0</c:v>
                </c:pt>
                <c:pt idx="4">
                  <c:v>0</c:v>
                </c:pt>
                <c:pt idx="5">
                  <c:v>256</c:v>
                </c:pt>
                <c:pt idx="6">
                  <c:v>256</c:v>
                </c:pt>
                <c:pt idx="7">
                  <c:v>256</c:v>
                </c:pt>
                <c:pt idx="8">
                  <c:v>256</c:v>
                </c:pt>
                <c:pt idx="9">
                  <c:v>256</c:v>
                </c:pt>
                <c:pt idx="10">
                  <c:v>256</c:v>
                </c:pt>
                <c:pt idx="11">
                  <c:v>256</c:v>
                </c:pt>
                <c:pt idx="12">
                  <c:v>256</c:v>
                </c:pt>
                <c:pt idx="13">
                  <c:v>256</c:v>
                </c:pt>
                <c:pt idx="14">
                  <c:v>256</c:v>
                </c:pt>
                <c:pt idx="15">
                  <c:v>256</c:v>
                </c:pt>
                <c:pt idx="16">
                  <c:v>256</c:v>
                </c:pt>
                <c:pt idx="17">
                  <c:v>256</c:v>
                </c:pt>
                <c:pt idx="18">
                  <c:v>256</c:v>
                </c:pt>
                <c:pt idx="19">
                  <c:v>256</c:v>
                </c:pt>
                <c:pt idx="20">
                  <c:v>256</c:v>
                </c:pt>
                <c:pt idx="21">
                  <c:v>256</c:v>
                </c:pt>
                <c:pt idx="22">
                  <c:v>256</c:v>
                </c:pt>
                <c:pt idx="23">
                  <c:v>256</c:v>
                </c:pt>
                <c:pt idx="24">
                  <c:v>256</c:v>
                </c:pt>
                <c:pt idx="25">
                  <c:v>256</c:v>
                </c:pt>
                <c:pt idx="26">
                  <c:v>256</c:v>
                </c:pt>
                <c:pt idx="27">
                  <c:v>256</c:v>
                </c:pt>
                <c:pt idx="28">
                  <c:v>256</c:v>
                </c:pt>
                <c:pt idx="29">
                  <c:v>256</c:v>
                </c:pt>
                <c:pt idx="30">
                  <c:v>256</c:v>
                </c:pt>
                <c:pt idx="31">
                  <c:v>256</c:v>
                </c:pt>
                <c:pt idx="32">
                  <c:v>256</c:v>
                </c:pt>
                <c:pt idx="33">
                  <c:v>256</c:v>
                </c:pt>
                <c:pt idx="34">
                  <c:v>256</c:v>
                </c:pt>
                <c:pt idx="35">
                  <c:v>544</c:v>
                </c:pt>
                <c:pt idx="36">
                  <c:v>544</c:v>
                </c:pt>
                <c:pt idx="37">
                  <c:v>544</c:v>
                </c:pt>
                <c:pt idx="38">
                  <c:v>544</c:v>
                </c:pt>
                <c:pt idx="39">
                  <c:v>544</c:v>
                </c:pt>
                <c:pt idx="40">
                  <c:v>544</c:v>
                </c:pt>
                <c:pt idx="41">
                  <c:v>544</c:v>
                </c:pt>
                <c:pt idx="42">
                  <c:v>544</c:v>
                </c:pt>
                <c:pt idx="43">
                  <c:v>544</c:v>
                </c:pt>
                <c:pt idx="44">
                  <c:v>544</c:v>
                </c:pt>
                <c:pt idx="45">
                  <c:v>735.99999999999989</c:v>
                </c:pt>
                <c:pt idx="46">
                  <c:v>735.99999999999989</c:v>
                </c:pt>
                <c:pt idx="47">
                  <c:v>1350.3999999999999</c:v>
                </c:pt>
                <c:pt idx="48">
                  <c:v>1350.3999999999999</c:v>
                </c:pt>
                <c:pt idx="49">
                  <c:v>2134.4</c:v>
                </c:pt>
                <c:pt idx="50">
                  <c:v>2134.4</c:v>
                </c:pt>
                <c:pt idx="51">
                  <c:v>2134.4</c:v>
                </c:pt>
                <c:pt idx="52">
                  <c:v>2134.4</c:v>
                </c:pt>
                <c:pt idx="53">
                  <c:v>2134.4</c:v>
                </c:pt>
                <c:pt idx="54">
                  <c:v>2134.4</c:v>
                </c:pt>
                <c:pt idx="55">
                  <c:v>2134.4</c:v>
                </c:pt>
                <c:pt idx="56">
                  <c:v>2134.4</c:v>
                </c:pt>
                <c:pt idx="57">
                  <c:v>2134.4</c:v>
                </c:pt>
                <c:pt idx="58">
                  <c:v>2134.4</c:v>
                </c:pt>
                <c:pt idx="59">
                  <c:v>2134.4</c:v>
                </c:pt>
                <c:pt idx="60">
                  <c:v>2134.4</c:v>
                </c:pt>
                <c:pt idx="61">
                  <c:v>2134.4</c:v>
                </c:pt>
                <c:pt idx="62">
                  <c:v>2134.4</c:v>
                </c:pt>
                <c:pt idx="63">
                  <c:v>2134.4</c:v>
                </c:pt>
                <c:pt idx="64">
                  <c:v>2134.4</c:v>
                </c:pt>
                <c:pt idx="65">
                  <c:v>4438.3999999999996</c:v>
                </c:pt>
                <c:pt idx="66">
                  <c:v>4438.3999999999996</c:v>
                </c:pt>
                <c:pt idx="67">
                  <c:v>2134.4</c:v>
                </c:pt>
                <c:pt idx="68">
                  <c:v>4438.3999999999996</c:v>
                </c:pt>
                <c:pt idx="69">
                  <c:v>2134.4</c:v>
                </c:pt>
                <c:pt idx="70">
                  <c:v>2486.4</c:v>
                </c:pt>
                <c:pt idx="71">
                  <c:v>2486.4</c:v>
                </c:pt>
                <c:pt idx="72">
                  <c:v>2486.4</c:v>
                </c:pt>
                <c:pt idx="73">
                  <c:v>2486.4</c:v>
                </c:pt>
                <c:pt idx="74">
                  <c:v>2486.4</c:v>
                </c:pt>
                <c:pt idx="75">
                  <c:v>2486.4</c:v>
                </c:pt>
                <c:pt idx="76">
                  <c:v>2486.4</c:v>
                </c:pt>
                <c:pt idx="77">
                  <c:v>2486.4</c:v>
                </c:pt>
                <c:pt idx="78">
                  <c:v>2486.4</c:v>
                </c:pt>
                <c:pt idx="79">
                  <c:v>2486.4</c:v>
                </c:pt>
                <c:pt idx="80">
                  <c:v>2486.4</c:v>
                </c:pt>
                <c:pt idx="81">
                  <c:v>2486.4</c:v>
                </c:pt>
                <c:pt idx="82">
                  <c:v>2486.4</c:v>
                </c:pt>
                <c:pt idx="83">
                  <c:v>2486.4</c:v>
                </c:pt>
                <c:pt idx="84">
                  <c:v>2486.4</c:v>
                </c:pt>
                <c:pt idx="85">
                  <c:v>2486.4</c:v>
                </c:pt>
                <c:pt idx="86">
                  <c:v>2486.4</c:v>
                </c:pt>
                <c:pt idx="87">
                  <c:v>2486.4</c:v>
                </c:pt>
                <c:pt idx="88">
                  <c:v>2486.4</c:v>
                </c:pt>
                <c:pt idx="89">
                  <c:v>2486.4</c:v>
                </c:pt>
                <c:pt idx="90">
                  <c:v>2486.4</c:v>
                </c:pt>
                <c:pt idx="91">
                  <c:v>2486.4</c:v>
                </c:pt>
                <c:pt idx="92">
                  <c:v>2486.4</c:v>
                </c:pt>
                <c:pt idx="93">
                  <c:v>2486.4</c:v>
                </c:pt>
                <c:pt idx="94">
                  <c:v>2486.4</c:v>
                </c:pt>
                <c:pt idx="95">
                  <c:v>4438.3999999999996</c:v>
                </c:pt>
                <c:pt idx="96">
                  <c:v>4438.3999999999996</c:v>
                </c:pt>
                <c:pt idx="97">
                  <c:v>4438.3999999999996</c:v>
                </c:pt>
                <c:pt idx="98">
                  <c:v>4438.3999999999996</c:v>
                </c:pt>
                <c:pt idx="99">
                  <c:v>4438.3999999999996</c:v>
                </c:pt>
                <c:pt idx="100">
                  <c:v>4438.3999999999996</c:v>
                </c:pt>
                <c:pt idx="101">
                  <c:v>4438.3999999999996</c:v>
                </c:pt>
                <c:pt idx="102">
                  <c:v>4438.3999999999996</c:v>
                </c:pt>
                <c:pt idx="103">
                  <c:v>4438.3999999999996</c:v>
                </c:pt>
                <c:pt idx="104">
                  <c:v>4438.3999999999996</c:v>
                </c:pt>
                <c:pt idx="105">
                  <c:v>4438.3999999999996</c:v>
                </c:pt>
                <c:pt idx="106">
                  <c:v>4438.3999999999996</c:v>
                </c:pt>
                <c:pt idx="107">
                  <c:v>4438.3999999999996</c:v>
                </c:pt>
                <c:pt idx="108">
                  <c:v>4438.3999999999996</c:v>
                </c:pt>
                <c:pt idx="109">
                  <c:v>4438.3999999999996</c:v>
                </c:pt>
                <c:pt idx="110">
                  <c:v>4438.3999999999996</c:v>
                </c:pt>
                <c:pt idx="111">
                  <c:v>4438.3999999999996</c:v>
                </c:pt>
                <c:pt idx="112">
                  <c:v>4438.3999999999996</c:v>
                </c:pt>
                <c:pt idx="113">
                  <c:v>4438.3999999999996</c:v>
                </c:pt>
                <c:pt idx="114">
                  <c:v>4438.3999999999996</c:v>
                </c:pt>
                <c:pt idx="115">
                  <c:v>4438.3999999999996</c:v>
                </c:pt>
                <c:pt idx="116">
                  <c:v>4438.3999999999996</c:v>
                </c:pt>
                <c:pt idx="117">
                  <c:v>4438.3999999999996</c:v>
                </c:pt>
                <c:pt idx="118">
                  <c:v>4438.3999999999996</c:v>
                </c:pt>
                <c:pt idx="119">
                  <c:v>4438.3999999999996</c:v>
                </c:pt>
                <c:pt idx="120">
                  <c:v>4438.3999999999996</c:v>
                </c:pt>
                <c:pt idx="121">
                  <c:v>4438.3999999999996</c:v>
                </c:pt>
                <c:pt idx="122">
                  <c:v>4438.3999999999996</c:v>
                </c:pt>
                <c:pt idx="123">
                  <c:v>4438.3999999999996</c:v>
                </c:pt>
                <c:pt idx="124">
                  <c:v>4438.3999999999996</c:v>
                </c:pt>
                <c:pt idx="125">
                  <c:v>4438.3999999999996</c:v>
                </c:pt>
                <c:pt idx="126">
                  <c:v>4438.3999999999996</c:v>
                </c:pt>
                <c:pt idx="127">
                  <c:v>4438.3999999999996</c:v>
                </c:pt>
                <c:pt idx="128">
                  <c:v>4438.3999999999996</c:v>
                </c:pt>
                <c:pt idx="129">
                  <c:v>4438.3999999999996</c:v>
                </c:pt>
                <c:pt idx="130">
                  <c:v>4438.3999999999996</c:v>
                </c:pt>
                <c:pt idx="131">
                  <c:v>27110.758121878131</c:v>
                </c:pt>
                <c:pt idx="132">
                  <c:v>4438.3999999999996</c:v>
                </c:pt>
                <c:pt idx="133">
                  <c:v>9348.4000000000015</c:v>
                </c:pt>
                <c:pt idx="134">
                  <c:v>9348.4000000000015</c:v>
                </c:pt>
                <c:pt idx="135">
                  <c:v>4438.3999999999996</c:v>
                </c:pt>
                <c:pt idx="136">
                  <c:v>4438.3999999999996</c:v>
                </c:pt>
                <c:pt idx="137">
                  <c:v>4134.3999999999996</c:v>
                </c:pt>
                <c:pt idx="138">
                  <c:v>9348.4000000000015</c:v>
                </c:pt>
                <c:pt idx="139">
                  <c:v>4326.4000000000005</c:v>
                </c:pt>
                <c:pt idx="140">
                  <c:v>4326.4000000000005</c:v>
                </c:pt>
                <c:pt idx="141">
                  <c:v>5220.4000000000005</c:v>
                </c:pt>
                <c:pt idx="142">
                  <c:v>5220.4000000000005</c:v>
                </c:pt>
                <c:pt idx="143">
                  <c:v>5220.4000000000005</c:v>
                </c:pt>
                <c:pt idx="144">
                  <c:v>5220.4000000000005</c:v>
                </c:pt>
                <c:pt idx="145">
                  <c:v>5220.4000000000005</c:v>
                </c:pt>
                <c:pt idx="146">
                  <c:v>5220.4000000000005</c:v>
                </c:pt>
                <c:pt idx="147">
                  <c:v>5220.4000000000005</c:v>
                </c:pt>
                <c:pt idx="148">
                  <c:v>5220.4000000000005</c:v>
                </c:pt>
                <c:pt idx="149">
                  <c:v>5220.4000000000005</c:v>
                </c:pt>
                <c:pt idx="150">
                  <c:v>5220.4000000000005</c:v>
                </c:pt>
                <c:pt idx="151">
                  <c:v>5220.4000000000005</c:v>
                </c:pt>
                <c:pt idx="152">
                  <c:v>9348.4000000000015</c:v>
                </c:pt>
                <c:pt idx="153">
                  <c:v>5220.4000000000005</c:v>
                </c:pt>
                <c:pt idx="154">
                  <c:v>5220.4000000000005</c:v>
                </c:pt>
                <c:pt idx="155">
                  <c:v>5220.4000000000005</c:v>
                </c:pt>
                <c:pt idx="156">
                  <c:v>9348.4000000000015</c:v>
                </c:pt>
                <c:pt idx="157">
                  <c:v>7652.4000000000015</c:v>
                </c:pt>
                <c:pt idx="158">
                  <c:v>7652.4000000000015</c:v>
                </c:pt>
                <c:pt idx="159">
                  <c:v>9348.4000000000015</c:v>
                </c:pt>
                <c:pt idx="160">
                  <c:v>7652.4000000000015</c:v>
                </c:pt>
                <c:pt idx="161">
                  <c:v>7652.4000000000015</c:v>
                </c:pt>
                <c:pt idx="162">
                  <c:v>9348.4000000000015</c:v>
                </c:pt>
                <c:pt idx="163">
                  <c:v>7652.4000000000015</c:v>
                </c:pt>
                <c:pt idx="164">
                  <c:v>7652.4000000000015</c:v>
                </c:pt>
                <c:pt idx="165">
                  <c:v>7652.4000000000015</c:v>
                </c:pt>
                <c:pt idx="166">
                  <c:v>7652.4000000000015</c:v>
                </c:pt>
                <c:pt idx="167">
                  <c:v>7652.4000000000015</c:v>
                </c:pt>
                <c:pt idx="168">
                  <c:v>7652.4000000000015</c:v>
                </c:pt>
                <c:pt idx="169">
                  <c:v>9348.4000000000015</c:v>
                </c:pt>
                <c:pt idx="170">
                  <c:v>7652.4000000000015</c:v>
                </c:pt>
                <c:pt idx="171">
                  <c:v>7652.4000000000015</c:v>
                </c:pt>
                <c:pt idx="172">
                  <c:v>7652.4000000000015</c:v>
                </c:pt>
                <c:pt idx="173">
                  <c:v>7652.4000000000015</c:v>
                </c:pt>
                <c:pt idx="174">
                  <c:v>7652.4000000000015</c:v>
                </c:pt>
                <c:pt idx="175">
                  <c:v>7652.4000000000015</c:v>
                </c:pt>
                <c:pt idx="176">
                  <c:v>7652.4000000000015</c:v>
                </c:pt>
                <c:pt idx="177">
                  <c:v>8804.4000000000015</c:v>
                </c:pt>
                <c:pt idx="178">
                  <c:v>8804.4000000000015</c:v>
                </c:pt>
                <c:pt idx="179">
                  <c:v>9348.4000000000015</c:v>
                </c:pt>
                <c:pt idx="180">
                  <c:v>8804.4000000000015</c:v>
                </c:pt>
                <c:pt idx="181">
                  <c:v>8804.4000000000015</c:v>
                </c:pt>
                <c:pt idx="182">
                  <c:v>8804.4000000000015</c:v>
                </c:pt>
                <c:pt idx="183">
                  <c:v>8804.4000000000015</c:v>
                </c:pt>
                <c:pt idx="184">
                  <c:v>8804.4000000000015</c:v>
                </c:pt>
                <c:pt idx="185">
                  <c:v>8804.4000000000015</c:v>
                </c:pt>
                <c:pt idx="186">
                  <c:v>8804.4000000000015</c:v>
                </c:pt>
                <c:pt idx="187">
                  <c:v>8804.4000000000015</c:v>
                </c:pt>
                <c:pt idx="188">
                  <c:v>8804.4000000000015</c:v>
                </c:pt>
                <c:pt idx="189">
                  <c:v>8804.4000000000015</c:v>
                </c:pt>
                <c:pt idx="190">
                  <c:v>8804.4000000000015</c:v>
                </c:pt>
                <c:pt idx="191">
                  <c:v>8804.4000000000015</c:v>
                </c:pt>
                <c:pt idx="192">
                  <c:v>9348.4000000000015</c:v>
                </c:pt>
                <c:pt idx="193">
                  <c:v>8804.4000000000015</c:v>
                </c:pt>
                <c:pt idx="194">
                  <c:v>8804.4000000000015</c:v>
                </c:pt>
                <c:pt idx="195">
                  <c:v>8804.4000000000015</c:v>
                </c:pt>
                <c:pt idx="196">
                  <c:v>8804.4000000000015</c:v>
                </c:pt>
                <c:pt idx="197">
                  <c:v>8804.4000000000015</c:v>
                </c:pt>
                <c:pt idx="198">
                  <c:v>9348.4000000000015</c:v>
                </c:pt>
                <c:pt idx="199">
                  <c:v>8804.4000000000015</c:v>
                </c:pt>
                <c:pt idx="200">
                  <c:v>8804.4000000000015</c:v>
                </c:pt>
                <c:pt idx="201">
                  <c:v>8804.4000000000015</c:v>
                </c:pt>
                <c:pt idx="202">
                  <c:v>8804.4000000000015</c:v>
                </c:pt>
                <c:pt idx="203">
                  <c:v>9348.4000000000015</c:v>
                </c:pt>
                <c:pt idx="204">
                  <c:v>9348.4000000000015</c:v>
                </c:pt>
                <c:pt idx="205">
                  <c:v>9348.4000000000015</c:v>
                </c:pt>
                <c:pt idx="206">
                  <c:v>9348.4000000000015</c:v>
                </c:pt>
                <c:pt idx="207">
                  <c:v>9348.4000000000015</c:v>
                </c:pt>
                <c:pt idx="208">
                  <c:v>9348.4000000000015</c:v>
                </c:pt>
                <c:pt idx="209">
                  <c:v>9348.4000000000015</c:v>
                </c:pt>
                <c:pt idx="210">
                  <c:v>9348.4000000000015</c:v>
                </c:pt>
                <c:pt idx="211">
                  <c:v>9348.4000000000015</c:v>
                </c:pt>
                <c:pt idx="212">
                  <c:v>9348.4000000000015</c:v>
                </c:pt>
                <c:pt idx="213">
                  <c:v>9348.4000000000015</c:v>
                </c:pt>
                <c:pt idx="214">
                  <c:v>9348.4000000000015</c:v>
                </c:pt>
                <c:pt idx="215">
                  <c:v>9348.4000000000015</c:v>
                </c:pt>
                <c:pt idx="216">
                  <c:v>9348.4000000000015</c:v>
                </c:pt>
                <c:pt idx="217">
                  <c:v>9348.4000000000015</c:v>
                </c:pt>
                <c:pt idx="218">
                  <c:v>9348.4000000000015</c:v>
                </c:pt>
                <c:pt idx="219">
                  <c:v>9348.4000000000015</c:v>
                </c:pt>
                <c:pt idx="220">
                  <c:v>9348.4000000000015</c:v>
                </c:pt>
                <c:pt idx="221">
                  <c:v>9348.4000000000015</c:v>
                </c:pt>
                <c:pt idx="222">
                  <c:v>9348.4000000000015</c:v>
                </c:pt>
                <c:pt idx="223">
                  <c:v>9348.4000000000015</c:v>
                </c:pt>
                <c:pt idx="224">
                  <c:v>9348.4000000000015</c:v>
                </c:pt>
                <c:pt idx="225">
                  <c:v>9348.4000000000015</c:v>
                </c:pt>
                <c:pt idx="226">
                  <c:v>9348.4000000000015</c:v>
                </c:pt>
                <c:pt idx="227">
                  <c:v>9348.4000000000015</c:v>
                </c:pt>
                <c:pt idx="228">
                  <c:v>9348.4000000000015</c:v>
                </c:pt>
                <c:pt idx="229">
                  <c:v>9348.4000000000015</c:v>
                </c:pt>
                <c:pt idx="230">
                  <c:v>9348.4000000000015</c:v>
                </c:pt>
                <c:pt idx="231">
                  <c:v>9348.4000000000015</c:v>
                </c:pt>
                <c:pt idx="232">
                  <c:v>9348.4000000000015</c:v>
                </c:pt>
                <c:pt idx="233">
                  <c:v>9348.4000000000015</c:v>
                </c:pt>
                <c:pt idx="234">
                  <c:v>9348.4000000000015</c:v>
                </c:pt>
                <c:pt idx="235">
                  <c:v>9348.4000000000015</c:v>
                </c:pt>
                <c:pt idx="236">
                  <c:v>9348.4000000000015</c:v>
                </c:pt>
                <c:pt idx="237">
                  <c:v>9348.4000000000015</c:v>
                </c:pt>
                <c:pt idx="238">
                  <c:v>9348.4000000000015</c:v>
                </c:pt>
                <c:pt idx="239">
                  <c:v>9348.4000000000015</c:v>
                </c:pt>
                <c:pt idx="240">
                  <c:v>9348.4000000000015</c:v>
                </c:pt>
                <c:pt idx="241">
                  <c:v>9348.4000000000015</c:v>
                </c:pt>
                <c:pt idx="242">
                  <c:v>9348.4000000000015</c:v>
                </c:pt>
                <c:pt idx="243">
                  <c:v>9348.4000000000015</c:v>
                </c:pt>
                <c:pt idx="244">
                  <c:v>9348.4000000000015</c:v>
                </c:pt>
                <c:pt idx="245">
                  <c:v>9348.4000000000015</c:v>
                </c:pt>
                <c:pt idx="246">
                  <c:v>9348.4000000000015</c:v>
                </c:pt>
                <c:pt idx="247">
                  <c:v>9348.4000000000015</c:v>
                </c:pt>
                <c:pt idx="248">
                  <c:v>9348.4000000000015</c:v>
                </c:pt>
                <c:pt idx="249">
                  <c:v>9348.4000000000015</c:v>
                </c:pt>
                <c:pt idx="250">
                  <c:v>9348.4000000000015</c:v>
                </c:pt>
                <c:pt idx="251">
                  <c:v>9348.4000000000015</c:v>
                </c:pt>
                <c:pt idx="252">
                  <c:v>9348.4000000000015</c:v>
                </c:pt>
                <c:pt idx="253">
                  <c:v>9348.4000000000015</c:v>
                </c:pt>
                <c:pt idx="254">
                  <c:v>9348.4000000000015</c:v>
                </c:pt>
                <c:pt idx="255">
                  <c:v>9348.4000000000015</c:v>
                </c:pt>
                <c:pt idx="256">
                  <c:v>9348.4000000000015</c:v>
                </c:pt>
                <c:pt idx="257">
                  <c:v>9348.4000000000015</c:v>
                </c:pt>
                <c:pt idx="258">
                  <c:v>9348.4000000000015</c:v>
                </c:pt>
                <c:pt idx="259">
                  <c:v>9348.4000000000015</c:v>
                </c:pt>
                <c:pt idx="260">
                  <c:v>10148.400000000001</c:v>
                </c:pt>
                <c:pt idx="261">
                  <c:v>10148.400000000001</c:v>
                </c:pt>
                <c:pt idx="262">
                  <c:v>10148.400000000001</c:v>
                </c:pt>
                <c:pt idx="263">
                  <c:v>10148.400000000001</c:v>
                </c:pt>
                <c:pt idx="264">
                  <c:v>10148.400000000001</c:v>
                </c:pt>
                <c:pt idx="265">
                  <c:v>10148.400000000001</c:v>
                </c:pt>
                <c:pt idx="266">
                  <c:v>12708.400000000001</c:v>
                </c:pt>
                <c:pt idx="267">
                  <c:v>12708.400000000001</c:v>
                </c:pt>
                <c:pt idx="268">
                  <c:v>12708.400000000001</c:v>
                </c:pt>
                <c:pt idx="269">
                  <c:v>12708.400000000001</c:v>
                </c:pt>
                <c:pt idx="270">
                  <c:v>12708.400000000001</c:v>
                </c:pt>
                <c:pt idx="271">
                  <c:v>12708.400000000001</c:v>
                </c:pt>
                <c:pt idx="272">
                  <c:v>12708.400000000001</c:v>
                </c:pt>
                <c:pt idx="273">
                  <c:v>12708.400000000001</c:v>
                </c:pt>
                <c:pt idx="274">
                  <c:v>12708.400000000001</c:v>
                </c:pt>
                <c:pt idx="275">
                  <c:v>12708.400000000001</c:v>
                </c:pt>
                <c:pt idx="276">
                  <c:v>12708.400000000001</c:v>
                </c:pt>
                <c:pt idx="277">
                  <c:v>12708.400000000001</c:v>
                </c:pt>
                <c:pt idx="278">
                  <c:v>12708.400000000001</c:v>
                </c:pt>
                <c:pt idx="279">
                  <c:v>12708.400000000001</c:v>
                </c:pt>
                <c:pt idx="280">
                  <c:v>12708.400000000001</c:v>
                </c:pt>
                <c:pt idx="281">
                  <c:v>12708.400000000001</c:v>
                </c:pt>
                <c:pt idx="282">
                  <c:v>12708.400000000001</c:v>
                </c:pt>
                <c:pt idx="283">
                  <c:v>12708.400000000001</c:v>
                </c:pt>
                <c:pt idx="284">
                  <c:v>12708.400000000001</c:v>
                </c:pt>
                <c:pt idx="285">
                  <c:v>12708.400000000001</c:v>
                </c:pt>
                <c:pt idx="286">
                  <c:v>12708.400000000001</c:v>
                </c:pt>
                <c:pt idx="287">
                  <c:v>12708.400000000001</c:v>
                </c:pt>
                <c:pt idx="288">
                  <c:v>12708.400000000001</c:v>
                </c:pt>
                <c:pt idx="289">
                  <c:v>15828.400000000001</c:v>
                </c:pt>
                <c:pt idx="290">
                  <c:v>15828.400000000001</c:v>
                </c:pt>
                <c:pt idx="291">
                  <c:v>15828.400000000001</c:v>
                </c:pt>
                <c:pt idx="292">
                  <c:v>15828.400000000001</c:v>
                </c:pt>
                <c:pt idx="293">
                  <c:v>15828.400000000001</c:v>
                </c:pt>
                <c:pt idx="294">
                  <c:v>15828.400000000001</c:v>
                </c:pt>
                <c:pt idx="295">
                  <c:v>15828.400000000001</c:v>
                </c:pt>
                <c:pt idx="296">
                  <c:v>15828.400000000001</c:v>
                </c:pt>
                <c:pt idx="297">
                  <c:v>15828.400000000001</c:v>
                </c:pt>
                <c:pt idx="298">
                  <c:v>15828.400000000001</c:v>
                </c:pt>
                <c:pt idx="299">
                  <c:v>15828.400000000001</c:v>
                </c:pt>
                <c:pt idx="300">
                  <c:v>15828.400000000001</c:v>
                </c:pt>
                <c:pt idx="301">
                  <c:v>15828.400000000001</c:v>
                </c:pt>
                <c:pt idx="302">
                  <c:v>15828.400000000001</c:v>
                </c:pt>
                <c:pt idx="303">
                  <c:v>15828.400000000001</c:v>
                </c:pt>
                <c:pt idx="304">
                  <c:v>15828.400000000001</c:v>
                </c:pt>
                <c:pt idx="305">
                  <c:v>15828.400000000001</c:v>
                </c:pt>
                <c:pt idx="306">
                  <c:v>15828.400000000001</c:v>
                </c:pt>
                <c:pt idx="307">
                  <c:v>15828.400000000001</c:v>
                </c:pt>
                <c:pt idx="308">
                  <c:v>15828.400000000001</c:v>
                </c:pt>
                <c:pt idx="309">
                  <c:v>15828.400000000001</c:v>
                </c:pt>
                <c:pt idx="310">
                  <c:v>15828.400000000001</c:v>
                </c:pt>
                <c:pt idx="311">
                  <c:v>15828.400000000001</c:v>
                </c:pt>
                <c:pt idx="312">
                  <c:v>15828.400000000001</c:v>
                </c:pt>
                <c:pt idx="313">
                  <c:v>15828.400000000001</c:v>
                </c:pt>
                <c:pt idx="314">
                  <c:v>15828.400000000001</c:v>
                </c:pt>
                <c:pt idx="315">
                  <c:v>15828.400000000001</c:v>
                </c:pt>
                <c:pt idx="316">
                  <c:v>15828.400000000001</c:v>
                </c:pt>
                <c:pt idx="317">
                  <c:v>15828.400000000001</c:v>
                </c:pt>
                <c:pt idx="318">
                  <c:v>15828.400000000001</c:v>
                </c:pt>
                <c:pt idx="319">
                  <c:v>15828.400000000001</c:v>
                </c:pt>
                <c:pt idx="320">
                  <c:v>15828.400000000001</c:v>
                </c:pt>
                <c:pt idx="321">
                  <c:v>15828.400000000001</c:v>
                </c:pt>
                <c:pt idx="322">
                  <c:v>15828.400000000001</c:v>
                </c:pt>
                <c:pt idx="323">
                  <c:v>15828.400000000001</c:v>
                </c:pt>
                <c:pt idx="324">
                  <c:v>15828.400000000001</c:v>
                </c:pt>
                <c:pt idx="325">
                  <c:v>15828.400000000001</c:v>
                </c:pt>
                <c:pt idx="326">
                  <c:v>15828.400000000001</c:v>
                </c:pt>
                <c:pt idx="327">
                  <c:v>15828.400000000001</c:v>
                </c:pt>
                <c:pt idx="328">
                  <c:v>15828.400000000001</c:v>
                </c:pt>
                <c:pt idx="329">
                  <c:v>15828.400000000001</c:v>
                </c:pt>
                <c:pt idx="330">
                  <c:v>15828.400000000001</c:v>
                </c:pt>
                <c:pt idx="331">
                  <c:v>17668.400000000001</c:v>
                </c:pt>
                <c:pt idx="332">
                  <c:v>19188.400000000001</c:v>
                </c:pt>
                <c:pt idx="333">
                  <c:v>19188.400000000001</c:v>
                </c:pt>
                <c:pt idx="334">
                  <c:v>19188.400000000001</c:v>
                </c:pt>
                <c:pt idx="335">
                  <c:v>19188.400000000001</c:v>
                </c:pt>
                <c:pt idx="336">
                  <c:v>19188.400000000001</c:v>
                </c:pt>
                <c:pt idx="337">
                  <c:v>19188.400000000001</c:v>
                </c:pt>
                <c:pt idx="338">
                  <c:v>19188.400000000001</c:v>
                </c:pt>
                <c:pt idx="339">
                  <c:v>19188.400000000001</c:v>
                </c:pt>
                <c:pt idx="340">
                  <c:v>19188.400000000001</c:v>
                </c:pt>
                <c:pt idx="341">
                  <c:v>19188.400000000001</c:v>
                </c:pt>
                <c:pt idx="342">
                  <c:v>19188.400000000001</c:v>
                </c:pt>
                <c:pt idx="343">
                  <c:v>19188.400000000001</c:v>
                </c:pt>
                <c:pt idx="344">
                  <c:v>19188.400000000001</c:v>
                </c:pt>
                <c:pt idx="345">
                  <c:v>19188.400000000001</c:v>
                </c:pt>
                <c:pt idx="346">
                  <c:v>19188.400000000001</c:v>
                </c:pt>
                <c:pt idx="347">
                  <c:v>19188.400000000001</c:v>
                </c:pt>
                <c:pt idx="348">
                  <c:v>19188.400000000001</c:v>
                </c:pt>
                <c:pt idx="349">
                  <c:v>19188.400000000001</c:v>
                </c:pt>
                <c:pt idx="350">
                  <c:v>19188.400000000001</c:v>
                </c:pt>
                <c:pt idx="351">
                  <c:v>19188.400000000001</c:v>
                </c:pt>
                <c:pt idx="352">
                  <c:v>19188.400000000001</c:v>
                </c:pt>
                <c:pt idx="353">
                  <c:v>19188.400000000001</c:v>
                </c:pt>
                <c:pt idx="354">
                  <c:v>19188.400000000001</c:v>
                </c:pt>
                <c:pt idx="355">
                  <c:v>19188.400000000001</c:v>
                </c:pt>
                <c:pt idx="356">
                  <c:v>19188.400000000001</c:v>
                </c:pt>
                <c:pt idx="357">
                  <c:v>19188.400000000001</c:v>
                </c:pt>
                <c:pt idx="358">
                  <c:v>19188.400000000001</c:v>
                </c:pt>
                <c:pt idx="359">
                  <c:v>19188.400000000001</c:v>
                </c:pt>
                <c:pt idx="360">
                  <c:v>19188.400000000001</c:v>
                </c:pt>
                <c:pt idx="361">
                  <c:v>19188.400000000001</c:v>
                </c:pt>
                <c:pt idx="362">
                  <c:v>19188.400000000001</c:v>
                </c:pt>
                <c:pt idx="363">
                  <c:v>22308.400000000001</c:v>
                </c:pt>
                <c:pt idx="364">
                  <c:v>22308.400000000001</c:v>
                </c:pt>
                <c:pt idx="365">
                  <c:v>22308.400000000001</c:v>
                </c:pt>
                <c:pt idx="366">
                  <c:v>22308.400000000001</c:v>
                </c:pt>
                <c:pt idx="367">
                  <c:v>22308.400000000001</c:v>
                </c:pt>
                <c:pt idx="368">
                  <c:v>22308.400000000001</c:v>
                </c:pt>
                <c:pt idx="369">
                  <c:v>22308.400000000001</c:v>
                </c:pt>
                <c:pt idx="370">
                  <c:v>22308.400000000001</c:v>
                </c:pt>
                <c:pt idx="371">
                  <c:v>22308.400000000001</c:v>
                </c:pt>
                <c:pt idx="372">
                  <c:v>22308.400000000001</c:v>
                </c:pt>
                <c:pt idx="373">
                  <c:v>22308.400000000001</c:v>
                </c:pt>
                <c:pt idx="374">
                  <c:v>22308.400000000001</c:v>
                </c:pt>
                <c:pt idx="375">
                  <c:v>22308.400000000001</c:v>
                </c:pt>
                <c:pt idx="376">
                  <c:v>22308.400000000001</c:v>
                </c:pt>
                <c:pt idx="377">
                  <c:v>22308.400000000001</c:v>
                </c:pt>
                <c:pt idx="378">
                  <c:v>22308.400000000001</c:v>
                </c:pt>
                <c:pt idx="379">
                  <c:v>22308.400000000001</c:v>
                </c:pt>
                <c:pt idx="380">
                  <c:v>22308.400000000001</c:v>
                </c:pt>
                <c:pt idx="381">
                  <c:v>22308.400000000001</c:v>
                </c:pt>
                <c:pt idx="382">
                  <c:v>22308.400000000001</c:v>
                </c:pt>
                <c:pt idx="383">
                  <c:v>22308.400000000001</c:v>
                </c:pt>
                <c:pt idx="384">
                  <c:v>22308.400000000001</c:v>
                </c:pt>
                <c:pt idx="385">
                  <c:v>22308.400000000001</c:v>
                </c:pt>
                <c:pt idx="386">
                  <c:v>22308.400000000001</c:v>
                </c:pt>
                <c:pt idx="387">
                  <c:v>22308.400000000001</c:v>
                </c:pt>
                <c:pt idx="388">
                  <c:v>22308.400000000001</c:v>
                </c:pt>
                <c:pt idx="389">
                  <c:v>22308.400000000001</c:v>
                </c:pt>
                <c:pt idx="390">
                  <c:v>22308.400000000001</c:v>
                </c:pt>
                <c:pt idx="391">
                  <c:v>22308.400000000001</c:v>
                </c:pt>
                <c:pt idx="392">
                  <c:v>22308.400000000001</c:v>
                </c:pt>
                <c:pt idx="393">
                  <c:v>22308.400000000001</c:v>
                </c:pt>
                <c:pt idx="394">
                  <c:v>22308.400000000001</c:v>
                </c:pt>
                <c:pt idx="395">
                  <c:v>22308.400000000001</c:v>
                </c:pt>
                <c:pt idx="396">
                  <c:v>22308.400000000001</c:v>
                </c:pt>
                <c:pt idx="397">
                  <c:v>22308.400000000001</c:v>
                </c:pt>
                <c:pt idx="398">
                  <c:v>22308.400000000001</c:v>
                </c:pt>
                <c:pt idx="399">
                  <c:v>22308.400000000001</c:v>
                </c:pt>
                <c:pt idx="400">
                  <c:v>22308.400000000001</c:v>
                </c:pt>
                <c:pt idx="401">
                  <c:v>22308.400000000001</c:v>
                </c:pt>
                <c:pt idx="402">
                  <c:v>22308.400000000001</c:v>
                </c:pt>
                <c:pt idx="403">
                  <c:v>22308.400000000001</c:v>
                </c:pt>
                <c:pt idx="404">
                  <c:v>22308.400000000001</c:v>
                </c:pt>
                <c:pt idx="405">
                  <c:v>22308.400000000001</c:v>
                </c:pt>
                <c:pt idx="406">
                  <c:v>22308.400000000001</c:v>
                </c:pt>
                <c:pt idx="407">
                  <c:v>22308.400000000001</c:v>
                </c:pt>
                <c:pt idx="408">
                  <c:v>22308.400000000001</c:v>
                </c:pt>
                <c:pt idx="409">
                  <c:v>22308.400000000001</c:v>
                </c:pt>
                <c:pt idx="410">
                  <c:v>22308.400000000001</c:v>
                </c:pt>
                <c:pt idx="411">
                  <c:v>22308.400000000001</c:v>
                </c:pt>
                <c:pt idx="412">
                  <c:v>22308.400000000001</c:v>
                </c:pt>
                <c:pt idx="413">
                  <c:v>22308.400000000001</c:v>
                </c:pt>
                <c:pt idx="414">
                  <c:v>22788.400000000001</c:v>
                </c:pt>
                <c:pt idx="415">
                  <c:v>22788.400000000001</c:v>
                </c:pt>
                <c:pt idx="416">
                  <c:v>22788.400000000001</c:v>
                </c:pt>
                <c:pt idx="417">
                  <c:v>22788.400000000001</c:v>
                </c:pt>
                <c:pt idx="418">
                  <c:v>22788.400000000001</c:v>
                </c:pt>
                <c:pt idx="419">
                  <c:v>22788.400000000001</c:v>
                </c:pt>
                <c:pt idx="420">
                  <c:v>22788.400000000001</c:v>
                </c:pt>
                <c:pt idx="421">
                  <c:v>22788.400000000001</c:v>
                </c:pt>
                <c:pt idx="422">
                  <c:v>23268.400000000001</c:v>
                </c:pt>
                <c:pt idx="423">
                  <c:v>23268.400000000001</c:v>
                </c:pt>
                <c:pt idx="424">
                  <c:v>23268.400000000001</c:v>
                </c:pt>
                <c:pt idx="425">
                  <c:v>23268.400000000001</c:v>
                </c:pt>
                <c:pt idx="426">
                  <c:v>23268.400000000001</c:v>
                </c:pt>
                <c:pt idx="427">
                  <c:v>22948.400000000001</c:v>
                </c:pt>
                <c:pt idx="428">
                  <c:v>22948.400000000001</c:v>
                </c:pt>
                <c:pt idx="429">
                  <c:v>22948.400000000001</c:v>
                </c:pt>
                <c:pt idx="430">
                  <c:v>22948.400000000001</c:v>
                </c:pt>
                <c:pt idx="431">
                  <c:v>22948.400000000001</c:v>
                </c:pt>
                <c:pt idx="432">
                  <c:v>22948.400000000001</c:v>
                </c:pt>
                <c:pt idx="433">
                  <c:v>22948.400000000001</c:v>
                </c:pt>
                <c:pt idx="434">
                  <c:v>22948.400000000001</c:v>
                </c:pt>
                <c:pt idx="435">
                  <c:v>22948.400000000001</c:v>
                </c:pt>
                <c:pt idx="436">
                  <c:v>22948.400000000001</c:v>
                </c:pt>
                <c:pt idx="437">
                  <c:v>22948.400000000001</c:v>
                </c:pt>
                <c:pt idx="438">
                  <c:v>22948.400000000001</c:v>
                </c:pt>
                <c:pt idx="439">
                  <c:v>22948.400000000001</c:v>
                </c:pt>
                <c:pt idx="440">
                  <c:v>22948.400000000001</c:v>
                </c:pt>
                <c:pt idx="441">
                  <c:v>22948.400000000001</c:v>
                </c:pt>
                <c:pt idx="442">
                  <c:v>23748.400000000001</c:v>
                </c:pt>
                <c:pt idx="443">
                  <c:v>23748.400000000001</c:v>
                </c:pt>
                <c:pt idx="444">
                  <c:v>23748.400000000001</c:v>
                </c:pt>
                <c:pt idx="445">
                  <c:v>23748.400000000001</c:v>
                </c:pt>
                <c:pt idx="446">
                  <c:v>23748.400000000001</c:v>
                </c:pt>
                <c:pt idx="447">
                  <c:v>23748.400000000001</c:v>
                </c:pt>
                <c:pt idx="448">
                  <c:v>23748.400000000001</c:v>
                </c:pt>
                <c:pt idx="449">
                  <c:v>23748.400000000001</c:v>
                </c:pt>
                <c:pt idx="450">
                  <c:v>23748.400000000001</c:v>
                </c:pt>
                <c:pt idx="451">
                  <c:v>23748.400000000001</c:v>
                </c:pt>
                <c:pt idx="452">
                  <c:v>23748.400000000001</c:v>
                </c:pt>
                <c:pt idx="453">
                  <c:v>23748.400000000001</c:v>
                </c:pt>
                <c:pt idx="454">
                  <c:v>23748.400000000001</c:v>
                </c:pt>
                <c:pt idx="455">
                  <c:v>23748.400000000001</c:v>
                </c:pt>
                <c:pt idx="456">
                  <c:v>23748.400000000001</c:v>
                </c:pt>
                <c:pt idx="457">
                  <c:v>23748.400000000001</c:v>
                </c:pt>
                <c:pt idx="458">
                  <c:v>23748.400000000001</c:v>
                </c:pt>
                <c:pt idx="459">
                  <c:v>23748.400000000001</c:v>
                </c:pt>
                <c:pt idx="460">
                  <c:v>23748.400000000001</c:v>
                </c:pt>
                <c:pt idx="461">
                  <c:v>23748.400000000001</c:v>
                </c:pt>
                <c:pt idx="462">
                  <c:v>23748.400000000001</c:v>
                </c:pt>
                <c:pt idx="463">
                  <c:v>23748.400000000001</c:v>
                </c:pt>
                <c:pt idx="464">
                  <c:v>23748.400000000001</c:v>
                </c:pt>
                <c:pt idx="465">
                  <c:v>23748.400000000001</c:v>
                </c:pt>
                <c:pt idx="466">
                  <c:v>23748.400000000001</c:v>
                </c:pt>
                <c:pt idx="467">
                  <c:v>23748.400000000001</c:v>
                </c:pt>
                <c:pt idx="468">
                  <c:v>23748.400000000001</c:v>
                </c:pt>
                <c:pt idx="469">
                  <c:v>23748.400000000001</c:v>
                </c:pt>
                <c:pt idx="470">
                  <c:v>23748.400000000001</c:v>
                </c:pt>
                <c:pt idx="471">
                  <c:v>23748.400000000001</c:v>
                </c:pt>
                <c:pt idx="472">
                  <c:v>23748.400000000001</c:v>
                </c:pt>
                <c:pt idx="473">
                  <c:v>23748.400000000001</c:v>
                </c:pt>
                <c:pt idx="474">
                  <c:v>23748.400000000001</c:v>
                </c:pt>
                <c:pt idx="475">
                  <c:v>23748.400000000001</c:v>
                </c:pt>
                <c:pt idx="476">
                  <c:v>23748.400000000001</c:v>
                </c:pt>
                <c:pt idx="477">
                  <c:v>23748.400000000001</c:v>
                </c:pt>
                <c:pt idx="478">
                  <c:v>23748.400000000001</c:v>
                </c:pt>
                <c:pt idx="479">
                  <c:v>23748.400000000001</c:v>
                </c:pt>
                <c:pt idx="480">
                  <c:v>23748.400000000001</c:v>
                </c:pt>
                <c:pt idx="481">
                  <c:v>23748.400000000001</c:v>
                </c:pt>
                <c:pt idx="482">
                  <c:v>21348.400000000001</c:v>
                </c:pt>
                <c:pt idx="483">
                  <c:v>18548.400000000001</c:v>
                </c:pt>
                <c:pt idx="484">
                  <c:v>15348.400000000001</c:v>
                </c:pt>
                <c:pt idx="485">
                  <c:v>15348.400000000001</c:v>
                </c:pt>
                <c:pt idx="486">
                  <c:v>15348.400000000001</c:v>
                </c:pt>
                <c:pt idx="487">
                  <c:v>15348.400000000001</c:v>
                </c:pt>
                <c:pt idx="488">
                  <c:v>15348.400000000001</c:v>
                </c:pt>
                <c:pt idx="489">
                  <c:v>15348.400000000001</c:v>
                </c:pt>
                <c:pt idx="490">
                  <c:v>15348.400000000001</c:v>
                </c:pt>
                <c:pt idx="491">
                  <c:v>15348.400000000001</c:v>
                </c:pt>
                <c:pt idx="492">
                  <c:v>15348.400000000001</c:v>
                </c:pt>
                <c:pt idx="493">
                  <c:v>15348.400000000001</c:v>
                </c:pt>
                <c:pt idx="494">
                  <c:v>15348.400000000001</c:v>
                </c:pt>
                <c:pt idx="495">
                  <c:v>15348.400000000001</c:v>
                </c:pt>
                <c:pt idx="496">
                  <c:v>15348.400000000001</c:v>
                </c:pt>
                <c:pt idx="497">
                  <c:v>15348.400000000001</c:v>
                </c:pt>
                <c:pt idx="498">
                  <c:v>17627.257142857143</c:v>
                </c:pt>
                <c:pt idx="499">
                  <c:v>18827.257142857143</c:v>
                </c:pt>
                <c:pt idx="500">
                  <c:v>18827.257142857143</c:v>
                </c:pt>
                <c:pt idx="501">
                  <c:v>18827.257142857143</c:v>
                </c:pt>
                <c:pt idx="502">
                  <c:v>18827.257142857143</c:v>
                </c:pt>
                <c:pt idx="503">
                  <c:v>18827.257142857143</c:v>
                </c:pt>
                <c:pt idx="504">
                  <c:v>18827.257142857143</c:v>
                </c:pt>
                <c:pt idx="505">
                  <c:v>18827.257142857143</c:v>
                </c:pt>
                <c:pt idx="506">
                  <c:v>20795.257142857143</c:v>
                </c:pt>
                <c:pt idx="507">
                  <c:v>20795.257142857143</c:v>
                </c:pt>
                <c:pt idx="508">
                  <c:v>20795.257142857143</c:v>
                </c:pt>
                <c:pt idx="509">
                  <c:v>20795.257142857143</c:v>
                </c:pt>
                <c:pt idx="510">
                  <c:v>20795.257142857143</c:v>
                </c:pt>
                <c:pt idx="511">
                  <c:v>20795.257142857143</c:v>
                </c:pt>
                <c:pt idx="512">
                  <c:v>20795.257142857143</c:v>
                </c:pt>
                <c:pt idx="513">
                  <c:v>20795.257142857143</c:v>
                </c:pt>
                <c:pt idx="514">
                  <c:v>20795.257142857143</c:v>
                </c:pt>
                <c:pt idx="515">
                  <c:v>20795.257142857143</c:v>
                </c:pt>
                <c:pt idx="516">
                  <c:v>20795.257142857143</c:v>
                </c:pt>
                <c:pt idx="517">
                  <c:v>20795.257142857143</c:v>
                </c:pt>
                <c:pt idx="518">
                  <c:v>20795.257142857143</c:v>
                </c:pt>
                <c:pt idx="519">
                  <c:v>20795.257142857143</c:v>
                </c:pt>
                <c:pt idx="520">
                  <c:v>25718.457142857143</c:v>
                </c:pt>
                <c:pt idx="521">
                  <c:v>25718.457142857143</c:v>
                </c:pt>
                <c:pt idx="522">
                  <c:v>25718.457142857143</c:v>
                </c:pt>
                <c:pt idx="523">
                  <c:v>25718.457142857143</c:v>
                </c:pt>
                <c:pt idx="524">
                  <c:v>25718.457142857143</c:v>
                </c:pt>
                <c:pt idx="525">
                  <c:v>25718.457142857143</c:v>
                </c:pt>
                <c:pt idx="526">
                  <c:v>25718.457142857143</c:v>
                </c:pt>
                <c:pt idx="527">
                  <c:v>25718.457142857143</c:v>
                </c:pt>
                <c:pt idx="528">
                  <c:v>25718.457142857143</c:v>
                </c:pt>
                <c:pt idx="529">
                  <c:v>25718.457142857143</c:v>
                </c:pt>
                <c:pt idx="530">
                  <c:v>25718.457142857143</c:v>
                </c:pt>
                <c:pt idx="531">
                  <c:v>25718.457142857143</c:v>
                </c:pt>
                <c:pt idx="532">
                  <c:v>25718.457142857143</c:v>
                </c:pt>
                <c:pt idx="533">
                  <c:v>25718.457142857143</c:v>
                </c:pt>
                <c:pt idx="534">
                  <c:v>25718.457142857143</c:v>
                </c:pt>
                <c:pt idx="535">
                  <c:v>25718.457142857143</c:v>
                </c:pt>
                <c:pt idx="536">
                  <c:v>25718.457142857143</c:v>
                </c:pt>
                <c:pt idx="537">
                  <c:v>25718.457142857143</c:v>
                </c:pt>
                <c:pt idx="538">
                  <c:v>25718.457142857143</c:v>
                </c:pt>
                <c:pt idx="539">
                  <c:v>25718.457142857143</c:v>
                </c:pt>
                <c:pt idx="540">
                  <c:v>25718.457142857143</c:v>
                </c:pt>
                <c:pt idx="541">
                  <c:v>25718.457142857143</c:v>
                </c:pt>
                <c:pt idx="542">
                  <c:v>25718.457142857143</c:v>
                </c:pt>
                <c:pt idx="543">
                  <c:v>25718.457142857143</c:v>
                </c:pt>
                <c:pt idx="544">
                  <c:v>25718.457142857143</c:v>
                </c:pt>
                <c:pt idx="545">
                  <c:v>25718.457142857143</c:v>
                </c:pt>
                <c:pt idx="546">
                  <c:v>25718.457142857143</c:v>
                </c:pt>
                <c:pt idx="547">
                  <c:v>25718.457142857143</c:v>
                </c:pt>
                <c:pt idx="548">
                  <c:v>25718.457142857143</c:v>
                </c:pt>
                <c:pt idx="549">
                  <c:v>25718.457142857143</c:v>
                </c:pt>
                <c:pt idx="550">
                  <c:v>25718.457142857143</c:v>
                </c:pt>
                <c:pt idx="551">
                  <c:v>25718.457142857143</c:v>
                </c:pt>
                <c:pt idx="552">
                  <c:v>25718.457142857143</c:v>
                </c:pt>
                <c:pt idx="553">
                  <c:v>25718.457142857143</c:v>
                </c:pt>
                <c:pt idx="554">
                  <c:v>25718.457142857143</c:v>
                </c:pt>
                <c:pt idx="555">
                  <c:v>27302.758121878131</c:v>
                </c:pt>
                <c:pt idx="556">
                  <c:v>25718.457142857143</c:v>
                </c:pt>
                <c:pt idx="557">
                  <c:v>25718.457142857143</c:v>
                </c:pt>
                <c:pt idx="558">
                  <c:v>25718.457142857143</c:v>
                </c:pt>
                <c:pt idx="559">
                  <c:v>25718.457142857143</c:v>
                </c:pt>
                <c:pt idx="560">
                  <c:v>25718.457142857143</c:v>
                </c:pt>
                <c:pt idx="561">
                  <c:v>23922.093506493507</c:v>
                </c:pt>
                <c:pt idx="562">
                  <c:v>23922.093506493507</c:v>
                </c:pt>
                <c:pt idx="563">
                  <c:v>23922.093506493507</c:v>
                </c:pt>
                <c:pt idx="564">
                  <c:v>24562.093506493511</c:v>
                </c:pt>
                <c:pt idx="565">
                  <c:v>24562.093506493511</c:v>
                </c:pt>
                <c:pt idx="566">
                  <c:v>24562.093506493511</c:v>
                </c:pt>
                <c:pt idx="567">
                  <c:v>25202.093506493511</c:v>
                </c:pt>
                <c:pt idx="568">
                  <c:v>28758.758121878131</c:v>
                </c:pt>
                <c:pt idx="569">
                  <c:v>27602.093506493511</c:v>
                </c:pt>
                <c:pt idx="570">
                  <c:v>28242.093506493511</c:v>
                </c:pt>
                <c:pt idx="571">
                  <c:v>28758.758121878131</c:v>
                </c:pt>
                <c:pt idx="572">
                  <c:v>28242.093506493511</c:v>
                </c:pt>
                <c:pt idx="573">
                  <c:v>28242.093506493511</c:v>
                </c:pt>
                <c:pt idx="574">
                  <c:v>28242.093506493511</c:v>
                </c:pt>
                <c:pt idx="575">
                  <c:v>28758.758121878131</c:v>
                </c:pt>
                <c:pt idx="576">
                  <c:v>27302.758121878131</c:v>
                </c:pt>
                <c:pt idx="577">
                  <c:v>28242.093506493511</c:v>
                </c:pt>
                <c:pt idx="578">
                  <c:v>28242.093506493511</c:v>
                </c:pt>
                <c:pt idx="579">
                  <c:v>28242.093506493511</c:v>
                </c:pt>
                <c:pt idx="580">
                  <c:v>28242.093506493511</c:v>
                </c:pt>
                <c:pt idx="581">
                  <c:v>28242.093506493511</c:v>
                </c:pt>
                <c:pt idx="582">
                  <c:v>28242.093506493511</c:v>
                </c:pt>
                <c:pt idx="583">
                  <c:v>28242.093506493511</c:v>
                </c:pt>
                <c:pt idx="584">
                  <c:v>28242.093506493511</c:v>
                </c:pt>
                <c:pt idx="585">
                  <c:v>28242.093506493511</c:v>
                </c:pt>
                <c:pt idx="586">
                  <c:v>28242.093506493511</c:v>
                </c:pt>
                <c:pt idx="587">
                  <c:v>28242.093506493511</c:v>
                </c:pt>
                <c:pt idx="588">
                  <c:v>28242.093506493511</c:v>
                </c:pt>
                <c:pt idx="589">
                  <c:v>28242.093506493511</c:v>
                </c:pt>
                <c:pt idx="590">
                  <c:v>28242.093506493511</c:v>
                </c:pt>
                <c:pt idx="591">
                  <c:v>28242.093506493511</c:v>
                </c:pt>
                <c:pt idx="592">
                  <c:v>28242.093506493511</c:v>
                </c:pt>
                <c:pt idx="593">
                  <c:v>28242.093506493511</c:v>
                </c:pt>
                <c:pt idx="594">
                  <c:v>28242.093506493511</c:v>
                </c:pt>
                <c:pt idx="595">
                  <c:v>28242.093506493511</c:v>
                </c:pt>
                <c:pt idx="596">
                  <c:v>28242.093506493511</c:v>
                </c:pt>
                <c:pt idx="597">
                  <c:v>28242.093506493511</c:v>
                </c:pt>
                <c:pt idx="598">
                  <c:v>28242.093506493511</c:v>
                </c:pt>
                <c:pt idx="599">
                  <c:v>28242.093506493511</c:v>
                </c:pt>
                <c:pt idx="600">
                  <c:v>28242.093506493511</c:v>
                </c:pt>
                <c:pt idx="601">
                  <c:v>28242.093506493511</c:v>
                </c:pt>
                <c:pt idx="602">
                  <c:v>28242.093506493511</c:v>
                </c:pt>
                <c:pt idx="603">
                  <c:v>28242.093506493511</c:v>
                </c:pt>
                <c:pt idx="604">
                  <c:v>28242.093506493511</c:v>
                </c:pt>
                <c:pt idx="605">
                  <c:v>28242.093506493511</c:v>
                </c:pt>
                <c:pt idx="606">
                  <c:v>28242.093506493511</c:v>
                </c:pt>
                <c:pt idx="607">
                  <c:v>28242.093506493511</c:v>
                </c:pt>
                <c:pt idx="608">
                  <c:v>28242.093506493511</c:v>
                </c:pt>
                <c:pt idx="609">
                  <c:v>28242.093506493511</c:v>
                </c:pt>
                <c:pt idx="610">
                  <c:v>28242.093506493511</c:v>
                </c:pt>
                <c:pt idx="611">
                  <c:v>28242.093506493511</c:v>
                </c:pt>
                <c:pt idx="612">
                  <c:v>28242.093506493511</c:v>
                </c:pt>
                <c:pt idx="613">
                  <c:v>28242.093506493511</c:v>
                </c:pt>
                <c:pt idx="614">
                  <c:v>28242.093506493511</c:v>
                </c:pt>
                <c:pt idx="615">
                  <c:v>28242.093506493511</c:v>
                </c:pt>
                <c:pt idx="616">
                  <c:v>28242.093506493511</c:v>
                </c:pt>
                <c:pt idx="617">
                  <c:v>28242.093506493511</c:v>
                </c:pt>
                <c:pt idx="618">
                  <c:v>28242.093506493511</c:v>
                </c:pt>
                <c:pt idx="619">
                  <c:v>28242.093506493511</c:v>
                </c:pt>
                <c:pt idx="620">
                  <c:v>28758.758121878131</c:v>
                </c:pt>
                <c:pt idx="621">
                  <c:v>28242.093506493511</c:v>
                </c:pt>
                <c:pt idx="622">
                  <c:v>28242.093506493511</c:v>
                </c:pt>
                <c:pt idx="623">
                  <c:v>28242.093506493511</c:v>
                </c:pt>
                <c:pt idx="624">
                  <c:v>28242.093506493511</c:v>
                </c:pt>
                <c:pt idx="625">
                  <c:v>28242.093506493511</c:v>
                </c:pt>
                <c:pt idx="626">
                  <c:v>28242.093506493511</c:v>
                </c:pt>
                <c:pt idx="627">
                  <c:v>28758.758121878131</c:v>
                </c:pt>
                <c:pt idx="628">
                  <c:v>30642.093506493511</c:v>
                </c:pt>
                <c:pt idx="629">
                  <c:v>30642.093506493511</c:v>
                </c:pt>
                <c:pt idx="630">
                  <c:v>30642.093506493511</c:v>
                </c:pt>
                <c:pt idx="631">
                  <c:v>30642.093506493511</c:v>
                </c:pt>
                <c:pt idx="632">
                  <c:v>30642.093506493511</c:v>
                </c:pt>
                <c:pt idx="633">
                  <c:v>30642.093506493511</c:v>
                </c:pt>
                <c:pt idx="634">
                  <c:v>30642.093506493511</c:v>
                </c:pt>
                <c:pt idx="635">
                  <c:v>30642.093506493511</c:v>
                </c:pt>
                <c:pt idx="636">
                  <c:v>30642.093506493511</c:v>
                </c:pt>
                <c:pt idx="637">
                  <c:v>30642.093506493511</c:v>
                </c:pt>
                <c:pt idx="638">
                  <c:v>30642.093506493511</c:v>
                </c:pt>
                <c:pt idx="639">
                  <c:v>28758.758121878131</c:v>
                </c:pt>
                <c:pt idx="640">
                  <c:v>30427.69350649351</c:v>
                </c:pt>
                <c:pt idx="641">
                  <c:v>30427.69350649351</c:v>
                </c:pt>
                <c:pt idx="642">
                  <c:v>28758.758121878131</c:v>
                </c:pt>
                <c:pt idx="643">
                  <c:v>30427.69350649351</c:v>
                </c:pt>
                <c:pt idx="644">
                  <c:v>30427.69350649351</c:v>
                </c:pt>
                <c:pt idx="645">
                  <c:v>32973.293506493508</c:v>
                </c:pt>
                <c:pt idx="646">
                  <c:v>30427.69350649351</c:v>
                </c:pt>
                <c:pt idx="647">
                  <c:v>32973.293506493508</c:v>
                </c:pt>
                <c:pt idx="648">
                  <c:v>30835.69350649351</c:v>
                </c:pt>
                <c:pt idx="649">
                  <c:v>30835.69350649351</c:v>
                </c:pt>
                <c:pt idx="650">
                  <c:v>30835.69350649351</c:v>
                </c:pt>
                <c:pt idx="651">
                  <c:v>30835.69350649351</c:v>
                </c:pt>
                <c:pt idx="652">
                  <c:v>30835.69350649351</c:v>
                </c:pt>
                <c:pt idx="653">
                  <c:v>30835.69350649351</c:v>
                </c:pt>
                <c:pt idx="654">
                  <c:v>30835.69350649351</c:v>
                </c:pt>
                <c:pt idx="655">
                  <c:v>30835.69350649351</c:v>
                </c:pt>
                <c:pt idx="656">
                  <c:v>30835.69350649351</c:v>
                </c:pt>
                <c:pt idx="657">
                  <c:v>30835.69350649351</c:v>
                </c:pt>
                <c:pt idx="658">
                  <c:v>30835.69350649351</c:v>
                </c:pt>
                <c:pt idx="659">
                  <c:v>30835.69350649351</c:v>
                </c:pt>
                <c:pt idx="660">
                  <c:v>30835.69350649351</c:v>
                </c:pt>
                <c:pt idx="661">
                  <c:v>30835.69350649351</c:v>
                </c:pt>
                <c:pt idx="662">
                  <c:v>30835.69350649351</c:v>
                </c:pt>
                <c:pt idx="663">
                  <c:v>30835.69350649351</c:v>
                </c:pt>
                <c:pt idx="664">
                  <c:v>30835.69350649351</c:v>
                </c:pt>
                <c:pt idx="665">
                  <c:v>30835.69350649351</c:v>
                </c:pt>
                <c:pt idx="666">
                  <c:v>32973.293506493508</c:v>
                </c:pt>
                <c:pt idx="667">
                  <c:v>25475.69350649351</c:v>
                </c:pt>
                <c:pt idx="668">
                  <c:v>25475.69350649351</c:v>
                </c:pt>
                <c:pt idx="669">
                  <c:v>25475.69350649351</c:v>
                </c:pt>
                <c:pt idx="670">
                  <c:v>29133.293506493508</c:v>
                </c:pt>
                <c:pt idx="671">
                  <c:v>24621.293506493508</c:v>
                </c:pt>
                <c:pt idx="672">
                  <c:v>24621.293506493508</c:v>
                </c:pt>
                <c:pt idx="673">
                  <c:v>25293.293506493508</c:v>
                </c:pt>
                <c:pt idx="674">
                  <c:v>29133.293506493508</c:v>
                </c:pt>
                <c:pt idx="675">
                  <c:v>25293.293506493508</c:v>
                </c:pt>
                <c:pt idx="676">
                  <c:v>25293.293506493508</c:v>
                </c:pt>
                <c:pt idx="677">
                  <c:v>25293.293506493508</c:v>
                </c:pt>
                <c:pt idx="678">
                  <c:v>25293.293506493508</c:v>
                </c:pt>
                <c:pt idx="679">
                  <c:v>25293.293506493508</c:v>
                </c:pt>
                <c:pt idx="680">
                  <c:v>25293.293506493508</c:v>
                </c:pt>
                <c:pt idx="681">
                  <c:v>25293.293506493508</c:v>
                </c:pt>
                <c:pt idx="682">
                  <c:v>25293.293506493508</c:v>
                </c:pt>
                <c:pt idx="683">
                  <c:v>27533.293506493508</c:v>
                </c:pt>
                <c:pt idx="684">
                  <c:v>25293.293506493508</c:v>
                </c:pt>
                <c:pt idx="685">
                  <c:v>25293.293506493508</c:v>
                </c:pt>
                <c:pt idx="686">
                  <c:v>25293.293506493508</c:v>
                </c:pt>
                <c:pt idx="687">
                  <c:v>25293.293506493508</c:v>
                </c:pt>
                <c:pt idx="688">
                  <c:v>25293.293506493508</c:v>
                </c:pt>
                <c:pt idx="689">
                  <c:v>25293.293506493508</c:v>
                </c:pt>
                <c:pt idx="690">
                  <c:v>25293.293506493508</c:v>
                </c:pt>
                <c:pt idx="691">
                  <c:v>25293.293506493508</c:v>
                </c:pt>
                <c:pt idx="692">
                  <c:v>25293.293506493508</c:v>
                </c:pt>
                <c:pt idx="693">
                  <c:v>25293.293506493508</c:v>
                </c:pt>
                <c:pt idx="694">
                  <c:v>25293.293506493508</c:v>
                </c:pt>
                <c:pt idx="695">
                  <c:v>25293.293506493508</c:v>
                </c:pt>
                <c:pt idx="696">
                  <c:v>27533.293506493508</c:v>
                </c:pt>
                <c:pt idx="697">
                  <c:v>27533.293506493508</c:v>
                </c:pt>
                <c:pt idx="698">
                  <c:v>27533.293506493508</c:v>
                </c:pt>
                <c:pt idx="699">
                  <c:v>27533.293506493508</c:v>
                </c:pt>
                <c:pt idx="700">
                  <c:v>27533.293506493508</c:v>
                </c:pt>
                <c:pt idx="701">
                  <c:v>29133.293506493508</c:v>
                </c:pt>
                <c:pt idx="702">
                  <c:v>32973.293506493508</c:v>
                </c:pt>
                <c:pt idx="703">
                  <c:v>29133.293506493508</c:v>
                </c:pt>
                <c:pt idx="704">
                  <c:v>29133.293506493508</c:v>
                </c:pt>
                <c:pt idx="705">
                  <c:v>29133.293506493508</c:v>
                </c:pt>
                <c:pt idx="706">
                  <c:v>29133.293506493508</c:v>
                </c:pt>
                <c:pt idx="707">
                  <c:v>29133.293506493508</c:v>
                </c:pt>
                <c:pt idx="708">
                  <c:v>29133.293506493508</c:v>
                </c:pt>
                <c:pt idx="709">
                  <c:v>29133.293506493508</c:v>
                </c:pt>
                <c:pt idx="710">
                  <c:v>29133.293506493508</c:v>
                </c:pt>
                <c:pt idx="711">
                  <c:v>32973.293506493508</c:v>
                </c:pt>
                <c:pt idx="712">
                  <c:v>29133.293506493508</c:v>
                </c:pt>
                <c:pt idx="713">
                  <c:v>29133.293506493508</c:v>
                </c:pt>
                <c:pt idx="714">
                  <c:v>32973.293506493508</c:v>
                </c:pt>
                <c:pt idx="715">
                  <c:v>32973.293506493508</c:v>
                </c:pt>
                <c:pt idx="716">
                  <c:v>29133.293506493508</c:v>
                </c:pt>
                <c:pt idx="717">
                  <c:v>29133.293506493508</c:v>
                </c:pt>
                <c:pt idx="718">
                  <c:v>32973.293506493508</c:v>
                </c:pt>
                <c:pt idx="719">
                  <c:v>29133.293506493508</c:v>
                </c:pt>
                <c:pt idx="720">
                  <c:v>29133.293506493508</c:v>
                </c:pt>
                <c:pt idx="721">
                  <c:v>32733.293506493508</c:v>
                </c:pt>
                <c:pt idx="722">
                  <c:v>32973.293506493508</c:v>
                </c:pt>
                <c:pt idx="723">
                  <c:v>32973.293506493508</c:v>
                </c:pt>
                <c:pt idx="724">
                  <c:v>32973.293506493508</c:v>
                </c:pt>
                <c:pt idx="725">
                  <c:v>32973.293506493508</c:v>
                </c:pt>
                <c:pt idx="726">
                  <c:v>32973.293506493508</c:v>
                </c:pt>
                <c:pt idx="727">
                  <c:v>32973.293506493508</c:v>
                </c:pt>
                <c:pt idx="728">
                  <c:v>32973.293506493508</c:v>
                </c:pt>
                <c:pt idx="729">
                  <c:v>32973.293506493508</c:v>
                </c:pt>
                <c:pt idx="730">
                  <c:v>32973.293506493508</c:v>
                </c:pt>
                <c:pt idx="731">
                  <c:v>28758.758121878131</c:v>
                </c:pt>
                <c:pt idx="732">
                  <c:v>29235.078121878127</c:v>
                </c:pt>
                <c:pt idx="733">
                  <c:v>32973.293506493508</c:v>
                </c:pt>
                <c:pt idx="734">
                  <c:v>32973.293506493508</c:v>
                </c:pt>
                <c:pt idx="735">
                  <c:v>32973.293506493508</c:v>
                </c:pt>
                <c:pt idx="736">
                  <c:v>32973.293506493508</c:v>
                </c:pt>
                <c:pt idx="737">
                  <c:v>32973.293506493508</c:v>
                </c:pt>
                <c:pt idx="738">
                  <c:v>29235.078121878127</c:v>
                </c:pt>
                <c:pt idx="739">
                  <c:v>32973.293506493508</c:v>
                </c:pt>
                <c:pt idx="740">
                  <c:v>32973.293506493508</c:v>
                </c:pt>
                <c:pt idx="741">
                  <c:v>32973.293506493508</c:v>
                </c:pt>
                <c:pt idx="742">
                  <c:v>32973.293506493508</c:v>
                </c:pt>
                <c:pt idx="743">
                  <c:v>32973.293506493508</c:v>
                </c:pt>
                <c:pt idx="744">
                  <c:v>32973.293506493508</c:v>
                </c:pt>
                <c:pt idx="745">
                  <c:v>32973.293506493508</c:v>
                </c:pt>
                <c:pt idx="746">
                  <c:v>32973.293506493508</c:v>
                </c:pt>
                <c:pt idx="747">
                  <c:v>32973.293506493508</c:v>
                </c:pt>
                <c:pt idx="748">
                  <c:v>32973.293506493508</c:v>
                </c:pt>
                <c:pt idx="749">
                  <c:v>32973.293506493508</c:v>
                </c:pt>
                <c:pt idx="750">
                  <c:v>32973.293506493508</c:v>
                </c:pt>
                <c:pt idx="751">
                  <c:v>32973.293506493508</c:v>
                </c:pt>
                <c:pt idx="752">
                  <c:v>32973.293506493508</c:v>
                </c:pt>
                <c:pt idx="753">
                  <c:v>32973.293506493508</c:v>
                </c:pt>
                <c:pt idx="754">
                  <c:v>32973.293506493508</c:v>
                </c:pt>
                <c:pt idx="755">
                  <c:v>32973.293506493508</c:v>
                </c:pt>
                <c:pt idx="756">
                  <c:v>32973.293506493508</c:v>
                </c:pt>
                <c:pt idx="757">
                  <c:v>32973.293506493508</c:v>
                </c:pt>
                <c:pt idx="758">
                  <c:v>32973.293506493508</c:v>
                </c:pt>
                <c:pt idx="759">
                  <c:v>32973.293506493508</c:v>
                </c:pt>
                <c:pt idx="760">
                  <c:v>32973.293506493508</c:v>
                </c:pt>
                <c:pt idx="761">
                  <c:v>32973.293506493508</c:v>
                </c:pt>
                <c:pt idx="762">
                  <c:v>36587.078121878127</c:v>
                </c:pt>
                <c:pt idx="763">
                  <c:v>32973.293506493508</c:v>
                </c:pt>
                <c:pt idx="764">
                  <c:v>32973.293506493508</c:v>
                </c:pt>
                <c:pt idx="765">
                  <c:v>32973.293506493508</c:v>
                </c:pt>
                <c:pt idx="766">
                  <c:v>34573.293506493508</c:v>
                </c:pt>
                <c:pt idx="767">
                  <c:v>34573.293506493508</c:v>
                </c:pt>
                <c:pt idx="768">
                  <c:v>34573.293506493508</c:v>
                </c:pt>
                <c:pt idx="769">
                  <c:v>34484.678121878125</c:v>
                </c:pt>
                <c:pt idx="770">
                  <c:v>34971.078121878127</c:v>
                </c:pt>
                <c:pt idx="771">
                  <c:v>34971.078121878127</c:v>
                </c:pt>
                <c:pt idx="772">
                  <c:v>34971.078121878127</c:v>
                </c:pt>
                <c:pt idx="773">
                  <c:v>34971.078121878127</c:v>
                </c:pt>
                <c:pt idx="774">
                  <c:v>36587.078121878127</c:v>
                </c:pt>
                <c:pt idx="775">
                  <c:v>36347.078121878127</c:v>
                </c:pt>
                <c:pt idx="776">
                  <c:v>36587.078121878127</c:v>
                </c:pt>
                <c:pt idx="777">
                  <c:v>36587.078121878127</c:v>
                </c:pt>
                <c:pt idx="778">
                  <c:v>36587.078121878127</c:v>
                </c:pt>
                <c:pt idx="779">
                  <c:v>36587.078121878127</c:v>
                </c:pt>
                <c:pt idx="780">
                  <c:v>36587.078121878127</c:v>
                </c:pt>
                <c:pt idx="781">
                  <c:v>36587.078121878127</c:v>
                </c:pt>
                <c:pt idx="782">
                  <c:v>36587.078121878127</c:v>
                </c:pt>
                <c:pt idx="783">
                  <c:v>36587.078121878127</c:v>
                </c:pt>
                <c:pt idx="784">
                  <c:v>36587.078121878127</c:v>
                </c:pt>
                <c:pt idx="785">
                  <c:v>36347.078121878127</c:v>
                </c:pt>
                <c:pt idx="786">
                  <c:v>36587.078121878127</c:v>
                </c:pt>
                <c:pt idx="787">
                  <c:v>36347.078121878127</c:v>
                </c:pt>
                <c:pt idx="788">
                  <c:v>36347.078121878127</c:v>
                </c:pt>
                <c:pt idx="789">
                  <c:v>36347.078121878127</c:v>
                </c:pt>
                <c:pt idx="790">
                  <c:v>36347.078121878127</c:v>
                </c:pt>
                <c:pt idx="791">
                  <c:v>36347.078121878127</c:v>
                </c:pt>
                <c:pt idx="792">
                  <c:v>36347.078121878127</c:v>
                </c:pt>
                <c:pt idx="793">
                  <c:v>36347.078121878127</c:v>
                </c:pt>
                <c:pt idx="794">
                  <c:v>36347.078121878127</c:v>
                </c:pt>
                <c:pt idx="795">
                  <c:v>37211.078121878127</c:v>
                </c:pt>
                <c:pt idx="796">
                  <c:v>36347.078121878127</c:v>
                </c:pt>
                <c:pt idx="797">
                  <c:v>36347.078121878127</c:v>
                </c:pt>
                <c:pt idx="798">
                  <c:v>37211.078121878127</c:v>
                </c:pt>
                <c:pt idx="799">
                  <c:v>36347.078121878127</c:v>
                </c:pt>
                <c:pt idx="800">
                  <c:v>36347.078121878127</c:v>
                </c:pt>
                <c:pt idx="801">
                  <c:v>37307.078121878127</c:v>
                </c:pt>
                <c:pt idx="802">
                  <c:v>37211.078121878127</c:v>
                </c:pt>
                <c:pt idx="803">
                  <c:v>37307.078121878127</c:v>
                </c:pt>
                <c:pt idx="804">
                  <c:v>37307.078121878127</c:v>
                </c:pt>
                <c:pt idx="805">
                  <c:v>37307.078121878127</c:v>
                </c:pt>
                <c:pt idx="806">
                  <c:v>37307.078121878127</c:v>
                </c:pt>
                <c:pt idx="807">
                  <c:v>37307.078121878127</c:v>
                </c:pt>
                <c:pt idx="808">
                  <c:v>37307.078121878127</c:v>
                </c:pt>
                <c:pt idx="809">
                  <c:v>37307.078121878127</c:v>
                </c:pt>
                <c:pt idx="810">
                  <c:v>37307.078121878127</c:v>
                </c:pt>
                <c:pt idx="811">
                  <c:v>37307.078121878127</c:v>
                </c:pt>
                <c:pt idx="812">
                  <c:v>37307.078121878127</c:v>
                </c:pt>
                <c:pt idx="813">
                  <c:v>37211.078121878127</c:v>
                </c:pt>
                <c:pt idx="814">
                  <c:v>29235.078121878127</c:v>
                </c:pt>
                <c:pt idx="815">
                  <c:v>37307.078121878127</c:v>
                </c:pt>
                <c:pt idx="816">
                  <c:v>37307.078121878127</c:v>
                </c:pt>
                <c:pt idx="817">
                  <c:v>37211.078121878127</c:v>
                </c:pt>
                <c:pt idx="818">
                  <c:v>37307.078121878127</c:v>
                </c:pt>
                <c:pt idx="819">
                  <c:v>37307.078121878127</c:v>
                </c:pt>
                <c:pt idx="820">
                  <c:v>37307.078121878127</c:v>
                </c:pt>
                <c:pt idx="821">
                  <c:v>37307.078121878127</c:v>
                </c:pt>
                <c:pt idx="822">
                  <c:v>37211.078121878127</c:v>
                </c:pt>
                <c:pt idx="823">
                  <c:v>29235.078121878127</c:v>
                </c:pt>
                <c:pt idx="824">
                  <c:v>37211.078121878127</c:v>
                </c:pt>
                <c:pt idx="825">
                  <c:v>37211.078121878127</c:v>
                </c:pt>
                <c:pt idx="826">
                  <c:v>37211.078121878127</c:v>
                </c:pt>
                <c:pt idx="827">
                  <c:v>29235.078121878127</c:v>
                </c:pt>
                <c:pt idx="828">
                  <c:v>29235.078121878127</c:v>
                </c:pt>
                <c:pt idx="829">
                  <c:v>37211.078121878127</c:v>
                </c:pt>
                <c:pt idx="830">
                  <c:v>37211.078121878127</c:v>
                </c:pt>
                <c:pt idx="831">
                  <c:v>36011.078121878127</c:v>
                </c:pt>
                <c:pt idx="832">
                  <c:v>30355.078121878127</c:v>
                </c:pt>
                <c:pt idx="833">
                  <c:v>30355.078121878127</c:v>
                </c:pt>
                <c:pt idx="834">
                  <c:v>29235.078121878127</c:v>
                </c:pt>
                <c:pt idx="835">
                  <c:v>29235.078121878127</c:v>
                </c:pt>
                <c:pt idx="836">
                  <c:v>30355.078121878127</c:v>
                </c:pt>
                <c:pt idx="837">
                  <c:v>29235.078121878127</c:v>
                </c:pt>
                <c:pt idx="838">
                  <c:v>29235.078121878127</c:v>
                </c:pt>
                <c:pt idx="839">
                  <c:v>30355.078121878127</c:v>
                </c:pt>
                <c:pt idx="840">
                  <c:v>30355.078121878127</c:v>
                </c:pt>
                <c:pt idx="841">
                  <c:v>30355.078121878127</c:v>
                </c:pt>
                <c:pt idx="842">
                  <c:v>30355.078121878127</c:v>
                </c:pt>
                <c:pt idx="843">
                  <c:v>30355.078121878127</c:v>
                </c:pt>
                <c:pt idx="844">
                  <c:v>30355.078121878127</c:v>
                </c:pt>
                <c:pt idx="845">
                  <c:v>30355.078121878127</c:v>
                </c:pt>
                <c:pt idx="846">
                  <c:v>29235.078121878127</c:v>
                </c:pt>
                <c:pt idx="847">
                  <c:v>30355.078121878127</c:v>
                </c:pt>
                <c:pt idx="848">
                  <c:v>30355.078121878127</c:v>
                </c:pt>
                <c:pt idx="849">
                  <c:v>30355.078121878127</c:v>
                </c:pt>
                <c:pt idx="850">
                  <c:v>29235.078121878127</c:v>
                </c:pt>
                <c:pt idx="851">
                  <c:v>30355.078121878127</c:v>
                </c:pt>
                <c:pt idx="852">
                  <c:v>30355.078121878127</c:v>
                </c:pt>
                <c:pt idx="853">
                  <c:v>30355.078121878127</c:v>
                </c:pt>
                <c:pt idx="854">
                  <c:v>30355.078121878127</c:v>
                </c:pt>
                <c:pt idx="855">
                  <c:v>30355.078121878127</c:v>
                </c:pt>
                <c:pt idx="856">
                  <c:v>30355.078121878127</c:v>
                </c:pt>
                <c:pt idx="857">
                  <c:v>30355.078121878127</c:v>
                </c:pt>
                <c:pt idx="858">
                  <c:v>30355.078121878127</c:v>
                </c:pt>
                <c:pt idx="859">
                  <c:v>30355.078121878127</c:v>
                </c:pt>
                <c:pt idx="860">
                  <c:v>30355.078121878127</c:v>
                </c:pt>
                <c:pt idx="861">
                  <c:v>30355.078121878127</c:v>
                </c:pt>
                <c:pt idx="862">
                  <c:v>29235.078121878127</c:v>
                </c:pt>
                <c:pt idx="863">
                  <c:v>29235.078121878127</c:v>
                </c:pt>
                <c:pt idx="864">
                  <c:v>30355.078121878127</c:v>
                </c:pt>
                <c:pt idx="865">
                  <c:v>30355.078121878127</c:v>
                </c:pt>
                <c:pt idx="866">
                  <c:v>30355.078121878127</c:v>
                </c:pt>
                <c:pt idx="867">
                  <c:v>29235.078121878127</c:v>
                </c:pt>
                <c:pt idx="868">
                  <c:v>29235.078121878127</c:v>
                </c:pt>
                <c:pt idx="869">
                  <c:v>29235.078121878127</c:v>
                </c:pt>
                <c:pt idx="870">
                  <c:v>29235.078121878127</c:v>
                </c:pt>
                <c:pt idx="871">
                  <c:v>29235.078121878127</c:v>
                </c:pt>
                <c:pt idx="872">
                  <c:v>29235.078121878127</c:v>
                </c:pt>
                <c:pt idx="873">
                  <c:v>29235.078121878127</c:v>
                </c:pt>
                <c:pt idx="874">
                  <c:v>29235.078121878127</c:v>
                </c:pt>
                <c:pt idx="875">
                  <c:v>29235.078121878127</c:v>
                </c:pt>
                <c:pt idx="876">
                  <c:v>29235.078121878127</c:v>
                </c:pt>
                <c:pt idx="877">
                  <c:v>29235.078121878127</c:v>
                </c:pt>
                <c:pt idx="878">
                  <c:v>29235.078121878127</c:v>
                </c:pt>
                <c:pt idx="879">
                  <c:v>29235.078121878127</c:v>
                </c:pt>
                <c:pt idx="880">
                  <c:v>29235.078121878127</c:v>
                </c:pt>
                <c:pt idx="881">
                  <c:v>29235.078121878127</c:v>
                </c:pt>
                <c:pt idx="882">
                  <c:v>29235.078121878127</c:v>
                </c:pt>
                <c:pt idx="883">
                  <c:v>29235.078121878127</c:v>
                </c:pt>
                <c:pt idx="884">
                  <c:v>29235.078121878127</c:v>
                </c:pt>
                <c:pt idx="885">
                  <c:v>29235.078121878127</c:v>
                </c:pt>
                <c:pt idx="886">
                  <c:v>29235.078121878127</c:v>
                </c:pt>
                <c:pt idx="887">
                  <c:v>29235.078121878127</c:v>
                </c:pt>
                <c:pt idx="888">
                  <c:v>-0.33068292040481395</c:v>
                </c:pt>
                <c:pt idx="889">
                  <c:v>29235.078121878127</c:v>
                </c:pt>
                <c:pt idx="890">
                  <c:v>29235.078121878127</c:v>
                </c:pt>
                <c:pt idx="891">
                  <c:v>29235.078121878127</c:v>
                </c:pt>
                <c:pt idx="892">
                  <c:v>29235.078121878127</c:v>
                </c:pt>
                <c:pt idx="893">
                  <c:v>29235.078121878127</c:v>
                </c:pt>
                <c:pt idx="894">
                  <c:v>29235.078121878127</c:v>
                </c:pt>
                <c:pt idx="895">
                  <c:v>29235.078121878127</c:v>
                </c:pt>
                <c:pt idx="896">
                  <c:v>29235.078121878127</c:v>
                </c:pt>
                <c:pt idx="897">
                  <c:v>29235.078121878127</c:v>
                </c:pt>
                <c:pt idx="898">
                  <c:v>29235.078121878127</c:v>
                </c:pt>
                <c:pt idx="899">
                  <c:v>29235.078121878127</c:v>
                </c:pt>
                <c:pt idx="900">
                  <c:v>29235.078121878127</c:v>
                </c:pt>
                <c:pt idx="901">
                  <c:v>29235.078121878127</c:v>
                </c:pt>
                <c:pt idx="902">
                  <c:v>29347.078121878127</c:v>
                </c:pt>
                <c:pt idx="903">
                  <c:v>29235.078121878127</c:v>
                </c:pt>
                <c:pt idx="904">
                  <c:v>29235.078121878127</c:v>
                </c:pt>
                <c:pt idx="905">
                  <c:v>29235.078121878127</c:v>
                </c:pt>
                <c:pt idx="906">
                  <c:v>29235.078121878127</c:v>
                </c:pt>
                <c:pt idx="907">
                  <c:v>29235.078121878127</c:v>
                </c:pt>
                <c:pt idx="908">
                  <c:v>29235.078121878127</c:v>
                </c:pt>
                <c:pt idx="909">
                  <c:v>29235.078121878127</c:v>
                </c:pt>
                <c:pt idx="910">
                  <c:v>29235.078121878127</c:v>
                </c:pt>
                <c:pt idx="911">
                  <c:v>29235.078121878127</c:v>
                </c:pt>
                <c:pt idx="912">
                  <c:v>29347.078121878127</c:v>
                </c:pt>
                <c:pt idx="913">
                  <c:v>29235.078121878127</c:v>
                </c:pt>
                <c:pt idx="914">
                  <c:v>29235.078121878127</c:v>
                </c:pt>
                <c:pt idx="915">
                  <c:v>29235.078121878127</c:v>
                </c:pt>
                <c:pt idx="916">
                  <c:v>29235.078121878127</c:v>
                </c:pt>
                <c:pt idx="917">
                  <c:v>29235.078121878127</c:v>
                </c:pt>
                <c:pt idx="918">
                  <c:v>29235.078121878127</c:v>
                </c:pt>
                <c:pt idx="919">
                  <c:v>29235.078121878127</c:v>
                </c:pt>
                <c:pt idx="920">
                  <c:v>29347.078121878127</c:v>
                </c:pt>
                <c:pt idx="921">
                  <c:v>29347.078121878127</c:v>
                </c:pt>
                <c:pt idx="922">
                  <c:v>29347.078121878127</c:v>
                </c:pt>
                <c:pt idx="923">
                  <c:v>29347.078121878127</c:v>
                </c:pt>
                <c:pt idx="924">
                  <c:v>29347.078121878127</c:v>
                </c:pt>
                <c:pt idx="925">
                  <c:v>29347.078121878127</c:v>
                </c:pt>
                <c:pt idx="926">
                  <c:v>29347.078121878127</c:v>
                </c:pt>
                <c:pt idx="927">
                  <c:v>29347.078121878127</c:v>
                </c:pt>
                <c:pt idx="928">
                  <c:v>29347.078121878127</c:v>
                </c:pt>
                <c:pt idx="929">
                  <c:v>29347.078121878127</c:v>
                </c:pt>
                <c:pt idx="930">
                  <c:v>28758.758121878131</c:v>
                </c:pt>
                <c:pt idx="931">
                  <c:v>29347.078121878127</c:v>
                </c:pt>
                <c:pt idx="932">
                  <c:v>29347.078121878127</c:v>
                </c:pt>
                <c:pt idx="933">
                  <c:v>29347.078121878127</c:v>
                </c:pt>
                <c:pt idx="934">
                  <c:v>29347.078121878127</c:v>
                </c:pt>
                <c:pt idx="935">
                  <c:v>29347.078121878127</c:v>
                </c:pt>
                <c:pt idx="936">
                  <c:v>29347.078121878127</c:v>
                </c:pt>
                <c:pt idx="937">
                  <c:v>29347.078121878127</c:v>
                </c:pt>
                <c:pt idx="938">
                  <c:v>29347.078121878127</c:v>
                </c:pt>
                <c:pt idx="939">
                  <c:v>28758.758121878131</c:v>
                </c:pt>
                <c:pt idx="940">
                  <c:v>29347.078121878127</c:v>
                </c:pt>
                <c:pt idx="941">
                  <c:v>29347.078121878127</c:v>
                </c:pt>
                <c:pt idx="942">
                  <c:v>29347.078121878127</c:v>
                </c:pt>
                <c:pt idx="943">
                  <c:v>28737.158121878128</c:v>
                </c:pt>
                <c:pt idx="944">
                  <c:v>28468.358121878129</c:v>
                </c:pt>
                <c:pt idx="945">
                  <c:v>28468.358121878129</c:v>
                </c:pt>
                <c:pt idx="946">
                  <c:v>29380.358121878129</c:v>
                </c:pt>
                <c:pt idx="947">
                  <c:v>29584.358121878129</c:v>
                </c:pt>
                <c:pt idx="948">
                  <c:v>29524.358121878129</c:v>
                </c:pt>
                <c:pt idx="949">
                  <c:v>29524.358121878129</c:v>
                </c:pt>
                <c:pt idx="950">
                  <c:v>29524.358121878129</c:v>
                </c:pt>
                <c:pt idx="951">
                  <c:v>29524.358121878129</c:v>
                </c:pt>
                <c:pt idx="952">
                  <c:v>29524.358121878129</c:v>
                </c:pt>
                <c:pt idx="953">
                  <c:v>29524.358121878129</c:v>
                </c:pt>
                <c:pt idx="954">
                  <c:v>29524.358121878129</c:v>
                </c:pt>
                <c:pt idx="955">
                  <c:v>29524.358121878129</c:v>
                </c:pt>
                <c:pt idx="956">
                  <c:v>29524.358121878129</c:v>
                </c:pt>
                <c:pt idx="957">
                  <c:v>29584.358121878129</c:v>
                </c:pt>
                <c:pt idx="958">
                  <c:v>29524.358121878129</c:v>
                </c:pt>
                <c:pt idx="959">
                  <c:v>29524.358121878129</c:v>
                </c:pt>
                <c:pt idx="960">
                  <c:v>29524.358121878129</c:v>
                </c:pt>
                <c:pt idx="961">
                  <c:v>29524.358121878129</c:v>
                </c:pt>
                <c:pt idx="962">
                  <c:v>29524.358121878129</c:v>
                </c:pt>
                <c:pt idx="963">
                  <c:v>29524.358121878129</c:v>
                </c:pt>
                <c:pt idx="964">
                  <c:v>29524.358121878129</c:v>
                </c:pt>
                <c:pt idx="965">
                  <c:v>29524.358121878129</c:v>
                </c:pt>
                <c:pt idx="966">
                  <c:v>29584.358121878129</c:v>
                </c:pt>
                <c:pt idx="967">
                  <c:v>28758.758121878131</c:v>
                </c:pt>
                <c:pt idx="968">
                  <c:v>29584.358121878129</c:v>
                </c:pt>
                <c:pt idx="969">
                  <c:v>29584.358121878129</c:v>
                </c:pt>
                <c:pt idx="970">
                  <c:v>29584.358121878129</c:v>
                </c:pt>
                <c:pt idx="971">
                  <c:v>29584.358121878129</c:v>
                </c:pt>
                <c:pt idx="972">
                  <c:v>29584.358121878129</c:v>
                </c:pt>
                <c:pt idx="973">
                  <c:v>29584.358121878129</c:v>
                </c:pt>
                <c:pt idx="974">
                  <c:v>29584.358121878129</c:v>
                </c:pt>
                <c:pt idx="975">
                  <c:v>28758.758121878131</c:v>
                </c:pt>
                <c:pt idx="976">
                  <c:v>28758.758121878131</c:v>
                </c:pt>
                <c:pt idx="977">
                  <c:v>28758.758121878131</c:v>
                </c:pt>
                <c:pt idx="978">
                  <c:v>28758.758121878131</c:v>
                </c:pt>
                <c:pt idx="979">
                  <c:v>28758.758121878131</c:v>
                </c:pt>
                <c:pt idx="980">
                  <c:v>28758.758121878131</c:v>
                </c:pt>
                <c:pt idx="981">
                  <c:v>28758.758121878131</c:v>
                </c:pt>
                <c:pt idx="982">
                  <c:v>28758.758121878131</c:v>
                </c:pt>
                <c:pt idx="983">
                  <c:v>28758.758121878131</c:v>
                </c:pt>
                <c:pt idx="984">
                  <c:v>28758.758121878131</c:v>
                </c:pt>
                <c:pt idx="985">
                  <c:v>28758.758121878131</c:v>
                </c:pt>
                <c:pt idx="986">
                  <c:v>28758.758121878131</c:v>
                </c:pt>
                <c:pt idx="987">
                  <c:v>28758.758121878131</c:v>
                </c:pt>
                <c:pt idx="988">
                  <c:v>28758.758121878131</c:v>
                </c:pt>
                <c:pt idx="989">
                  <c:v>-0.33068292040481395</c:v>
                </c:pt>
                <c:pt idx="990">
                  <c:v>27318.758121878131</c:v>
                </c:pt>
                <c:pt idx="991">
                  <c:v>27318.758121878131</c:v>
                </c:pt>
                <c:pt idx="992">
                  <c:v>27318.758121878131</c:v>
                </c:pt>
                <c:pt idx="993">
                  <c:v>27318.758121878131</c:v>
                </c:pt>
                <c:pt idx="994">
                  <c:v>27318.758121878131</c:v>
                </c:pt>
                <c:pt idx="995">
                  <c:v>27318.758121878131</c:v>
                </c:pt>
                <c:pt idx="996">
                  <c:v>27318.758121878131</c:v>
                </c:pt>
                <c:pt idx="997">
                  <c:v>27318.758121878131</c:v>
                </c:pt>
                <c:pt idx="998">
                  <c:v>27318.758121878131</c:v>
                </c:pt>
                <c:pt idx="999">
                  <c:v>27318.758121878131</c:v>
                </c:pt>
                <c:pt idx="1000">
                  <c:v>27318.758121878131</c:v>
                </c:pt>
                <c:pt idx="1001">
                  <c:v>27302.758121878131</c:v>
                </c:pt>
                <c:pt idx="1002">
                  <c:v>27302.758121878131</c:v>
                </c:pt>
                <c:pt idx="1003">
                  <c:v>27302.758121878131</c:v>
                </c:pt>
                <c:pt idx="1004">
                  <c:v>27110.758121878131</c:v>
                </c:pt>
                <c:pt idx="1005">
                  <c:v>27110.758121878131</c:v>
                </c:pt>
                <c:pt idx="1006">
                  <c:v>27110.758121878131</c:v>
                </c:pt>
                <c:pt idx="1007">
                  <c:v>27110.758121878131</c:v>
                </c:pt>
                <c:pt idx="1008">
                  <c:v>27110.758121878131</c:v>
                </c:pt>
                <c:pt idx="1009">
                  <c:v>27110.758121878131</c:v>
                </c:pt>
                <c:pt idx="1010">
                  <c:v>27110.758121878131</c:v>
                </c:pt>
                <c:pt idx="1011">
                  <c:v>27110.758121878131</c:v>
                </c:pt>
                <c:pt idx="1012">
                  <c:v>27110.758121878131</c:v>
                </c:pt>
                <c:pt idx="1013">
                  <c:v>27110.758121878131</c:v>
                </c:pt>
                <c:pt idx="1014">
                  <c:v>27110.758121878131</c:v>
                </c:pt>
                <c:pt idx="1015">
                  <c:v>27110.758121878131</c:v>
                </c:pt>
                <c:pt idx="1016">
                  <c:v>27110.758121878131</c:v>
                </c:pt>
                <c:pt idx="1017">
                  <c:v>27110.758121878131</c:v>
                </c:pt>
                <c:pt idx="1018">
                  <c:v>27110.758121878131</c:v>
                </c:pt>
                <c:pt idx="1019">
                  <c:v>27110.758121878131</c:v>
                </c:pt>
                <c:pt idx="1020">
                  <c:v>27110.758121878131</c:v>
                </c:pt>
                <c:pt idx="1021">
                  <c:v>27110.758121878131</c:v>
                </c:pt>
                <c:pt idx="1022">
                  <c:v>27110.758121878131</c:v>
                </c:pt>
                <c:pt idx="1023">
                  <c:v>27110.758121878131</c:v>
                </c:pt>
                <c:pt idx="1024">
                  <c:v>27110.758121878131</c:v>
                </c:pt>
                <c:pt idx="1025">
                  <c:v>27110.758121878131</c:v>
                </c:pt>
                <c:pt idx="1027">
                  <c:v>-143.99999999999949</c:v>
                </c:pt>
                <c:pt idx="1028">
                  <c:v>-143.99999999999949</c:v>
                </c:pt>
                <c:pt idx="1029">
                  <c:v>-143.99999999999949</c:v>
                </c:pt>
                <c:pt idx="1030">
                  <c:v>-143.99999999999949</c:v>
                </c:pt>
                <c:pt idx="1031">
                  <c:v>-143.99999999999949</c:v>
                </c:pt>
                <c:pt idx="1032">
                  <c:v>-143.99999999999949</c:v>
                </c:pt>
                <c:pt idx="1033">
                  <c:v>-143.99999999999949</c:v>
                </c:pt>
                <c:pt idx="1034">
                  <c:v>-143.99999999999949</c:v>
                </c:pt>
                <c:pt idx="1035">
                  <c:v>-143.99999999999949</c:v>
                </c:pt>
                <c:pt idx="1036">
                  <c:v>-143.99999999999949</c:v>
                </c:pt>
                <c:pt idx="1037">
                  <c:v>-143.99999999999949</c:v>
                </c:pt>
                <c:pt idx="1038">
                  <c:v>-143.99999999999949</c:v>
                </c:pt>
                <c:pt idx="1039">
                  <c:v>-143.99999999999949</c:v>
                </c:pt>
                <c:pt idx="1040">
                  <c:v>-143.99999999999949</c:v>
                </c:pt>
                <c:pt idx="1041">
                  <c:v>-143.99999999999949</c:v>
                </c:pt>
                <c:pt idx="1042">
                  <c:v>-143.99999999999949</c:v>
                </c:pt>
                <c:pt idx="1043">
                  <c:v>-143.99999999999949</c:v>
                </c:pt>
                <c:pt idx="1044">
                  <c:v>-143.99999999999949</c:v>
                </c:pt>
                <c:pt idx="1045">
                  <c:v>-143.99999999999949</c:v>
                </c:pt>
                <c:pt idx="1046">
                  <c:v>-143.99999999999949</c:v>
                </c:pt>
                <c:pt idx="1047">
                  <c:v>-143.99999999999949</c:v>
                </c:pt>
                <c:pt idx="1048">
                  <c:v>-143.99999999999949</c:v>
                </c:pt>
                <c:pt idx="1049">
                  <c:v>-143.99999999999949</c:v>
                </c:pt>
                <c:pt idx="1050">
                  <c:v>-143.99999999999949</c:v>
                </c:pt>
                <c:pt idx="1051">
                  <c:v>-143.99999999999949</c:v>
                </c:pt>
                <c:pt idx="1052">
                  <c:v>-143.99999999999949</c:v>
                </c:pt>
                <c:pt idx="1053">
                  <c:v>-143.99999999999949</c:v>
                </c:pt>
                <c:pt idx="1054">
                  <c:v>-143.99999999999949</c:v>
                </c:pt>
                <c:pt idx="1055">
                  <c:v>-143.99999999999949</c:v>
                </c:pt>
                <c:pt idx="1056">
                  <c:v>-143.99999999999949</c:v>
                </c:pt>
                <c:pt idx="1057">
                  <c:v>-143.99999999999949</c:v>
                </c:pt>
                <c:pt idx="1058">
                  <c:v>-143.99999999999949</c:v>
                </c:pt>
                <c:pt idx="1059">
                  <c:v>-143.99999999999949</c:v>
                </c:pt>
                <c:pt idx="1060">
                  <c:v>-143.99999999999949</c:v>
                </c:pt>
                <c:pt idx="1061">
                  <c:v>-143.99999999999949</c:v>
                </c:pt>
                <c:pt idx="1062">
                  <c:v>-143.99999999999949</c:v>
                </c:pt>
                <c:pt idx="1063">
                  <c:v>-143.99999999999949</c:v>
                </c:pt>
                <c:pt idx="1064">
                  <c:v>-143.99999999999949</c:v>
                </c:pt>
                <c:pt idx="1065">
                  <c:v>-143.99999999999949</c:v>
                </c:pt>
                <c:pt idx="1066">
                  <c:v>-143.99999999999949</c:v>
                </c:pt>
                <c:pt idx="1067">
                  <c:v>-143.99999999999949</c:v>
                </c:pt>
                <c:pt idx="1068">
                  <c:v>-143.99999999999949</c:v>
                </c:pt>
                <c:pt idx="1069">
                  <c:v>-143.99999999999949</c:v>
                </c:pt>
                <c:pt idx="1070">
                  <c:v>-143.99999999999949</c:v>
                </c:pt>
                <c:pt idx="1071">
                  <c:v>-143.99999999999949</c:v>
                </c:pt>
                <c:pt idx="1072">
                  <c:v>-143.99999999999949</c:v>
                </c:pt>
                <c:pt idx="1073">
                  <c:v>-143.99999999999949</c:v>
                </c:pt>
                <c:pt idx="1074">
                  <c:v>-143.99999999999949</c:v>
                </c:pt>
                <c:pt idx="1075">
                  <c:v>-143.99999999999949</c:v>
                </c:pt>
                <c:pt idx="1076">
                  <c:v>-143.99999999999949</c:v>
                </c:pt>
                <c:pt idx="1077">
                  <c:v>-143.99999999999949</c:v>
                </c:pt>
                <c:pt idx="1078">
                  <c:v>-143.99999999999949</c:v>
                </c:pt>
                <c:pt idx="1079">
                  <c:v>-143.99999999999949</c:v>
                </c:pt>
                <c:pt idx="1080">
                  <c:v>-143.99999999999949</c:v>
                </c:pt>
                <c:pt idx="1081">
                  <c:v>-143.99999999999949</c:v>
                </c:pt>
                <c:pt idx="1082">
                  <c:v>-143.99999999999949</c:v>
                </c:pt>
                <c:pt idx="1083">
                  <c:v>-143.99999999999949</c:v>
                </c:pt>
                <c:pt idx="1084">
                  <c:v>-143.99999999999949</c:v>
                </c:pt>
                <c:pt idx="1085">
                  <c:v>-143.99999999999949</c:v>
                </c:pt>
                <c:pt idx="1086">
                  <c:v>-143.99999999999949</c:v>
                </c:pt>
                <c:pt idx="1087">
                  <c:v>-143.99999999999949</c:v>
                </c:pt>
                <c:pt idx="1088">
                  <c:v>-143.99999999999949</c:v>
                </c:pt>
                <c:pt idx="1089">
                  <c:v>-143.99999999999949</c:v>
                </c:pt>
                <c:pt idx="1090">
                  <c:v>-143.99999999999949</c:v>
                </c:pt>
                <c:pt idx="1091">
                  <c:v>-143.99999999999949</c:v>
                </c:pt>
                <c:pt idx="1092">
                  <c:v>-143.99999999999949</c:v>
                </c:pt>
                <c:pt idx="1093">
                  <c:v>-143.99999999999949</c:v>
                </c:pt>
                <c:pt idx="1094">
                  <c:v>-143.99999999999949</c:v>
                </c:pt>
                <c:pt idx="1095">
                  <c:v>-143.99999999999949</c:v>
                </c:pt>
                <c:pt idx="1096">
                  <c:v>-143.99999999999949</c:v>
                </c:pt>
                <c:pt idx="1097">
                  <c:v>-143.99999999999949</c:v>
                </c:pt>
                <c:pt idx="1098">
                  <c:v>-143.99999999999949</c:v>
                </c:pt>
                <c:pt idx="1099">
                  <c:v>-143.99999999999949</c:v>
                </c:pt>
                <c:pt idx="1100">
                  <c:v>-143.99999999999949</c:v>
                </c:pt>
                <c:pt idx="1101">
                  <c:v>-143.99999999999949</c:v>
                </c:pt>
                <c:pt idx="1102">
                  <c:v>-143.99999999999949</c:v>
                </c:pt>
                <c:pt idx="1103">
                  <c:v>-143.99999999999949</c:v>
                </c:pt>
                <c:pt idx="1104">
                  <c:v>-143.99999999999949</c:v>
                </c:pt>
                <c:pt idx="1105">
                  <c:v>-143.99999999999949</c:v>
                </c:pt>
                <c:pt idx="1106">
                  <c:v>-143.99999999999949</c:v>
                </c:pt>
                <c:pt idx="1107">
                  <c:v>-143.99999999999949</c:v>
                </c:pt>
                <c:pt idx="1108">
                  <c:v>-143.99999999999949</c:v>
                </c:pt>
                <c:pt idx="1109">
                  <c:v>-143.99999999999949</c:v>
                </c:pt>
                <c:pt idx="1110">
                  <c:v>-143.99999999999949</c:v>
                </c:pt>
                <c:pt idx="1111">
                  <c:v>-143.99999999999949</c:v>
                </c:pt>
                <c:pt idx="1112">
                  <c:v>-143.99999999999949</c:v>
                </c:pt>
                <c:pt idx="1113">
                  <c:v>-143.99999999999949</c:v>
                </c:pt>
                <c:pt idx="1114">
                  <c:v>-143.99999999999949</c:v>
                </c:pt>
                <c:pt idx="1115">
                  <c:v>-143.99999999999949</c:v>
                </c:pt>
                <c:pt idx="1116">
                  <c:v>-143.99999999999949</c:v>
                </c:pt>
                <c:pt idx="1117">
                  <c:v>-143.99999999999949</c:v>
                </c:pt>
                <c:pt idx="1118">
                  <c:v>-143.99999999999949</c:v>
                </c:pt>
                <c:pt idx="1119">
                  <c:v>-143.99999999999949</c:v>
                </c:pt>
                <c:pt idx="1120">
                  <c:v>-143.99999999999949</c:v>
                </c:pt>
                <c:pt idx="1121">
                  <c:v>-143.99999999999949</c:v>
                </c:pt>
                <c:pt idx="1122">
                  <c:v>-143.99999999999949</c:v>
                </c:pt>
                <c:pt idx="1123">
                  <c:v>-143.99999999999949</c:v>
                </c:pt>
                <c:pt idx="1124">
                  <c:v>-143.99999999999949</c:v>
                </c:pt>
                <c:pt idx="1125">
                  <c:v>-143.99999999999949</c:v>
                </c:pt>
                <c:pt idx="1126">
                  <c:v>-143.99999999999949</c:v>
                </c:pt>
                <c:pt idx="1127">
                  <c:v>-143.99999999999949</c:v>
                </c:pt>
                <c:pt idx="1128">
                  <c:v>-143.99999999999949</c:v>
                </c:pt>
                <c:pt idx="1129">
                  <c:v>-143.99999999999949</c:v>
                </c:pt>
                <c:pt idx="1130">
                  <c:v>-143.99999999999949</c:v>
                </c:pt>
                <c:pt idx="1131">
                  <c:v>-143.99999999999949</c:v>
                </c:pt>
                <c:pt idx="1132">
                  <c:v>-143.99999999999949</c:v>
                </c:pt>
                <c:pt idx="1133">
                  <c:v>-143.99999999999949</c:v>
                </c:pt>
                <c:pt idx="1134">
                  <c:v>-143.99999999999949</c:v>
                </c:pt>
                <c:pt idx="1135">
                  <c:v>-143.99999999999949</c:v>
                </c:pt>
                <c:pt idx="1136">
                  <c:v>-143.99999999999949</c:v>
                </c:pt>
                <c:pt idx="1137">
                  <c:v>-143.99999999999949</c:v>
                </c:pt>
                <c:pt idx="1138">
                  <c:v>-143.99999999999949</c:v>
                </c:pt>
                <c:pt idx="1139">
                  <c:v>-143.99999999999949</c:v>
                </c:pt>
                <c:pt idx="1140">
                  <c:v>-143.99999999999949</c:v>
                </c:pt>
                <c:pt idx="1141">
                  <c:v>-143.99999999999949</c:v>
                </c:pt>
                <c:pt idx="1142">
                  <c:v>-143.99999999999949</c:v>
                </c:pt>
                <c:pt idx="1143">
                  <c:v>-143.99999999999949</c:v>
                </c:pt>
                <c:pt idx="1144">
                  <c:v>-143.99999999999949</c:v>
                </c:pt>
                <c:pt idx="1145">
                  <c:v>-143.99999999999949</c:v>
                </c:pt>
                <c:pt idx="1146">
                  <c:v>-143.99999999999949</c:v>
                </c:pt>
                <c:pt idx="1147">
                  <c:v>-143.99999999999949</c:v>
                </c:pt>
                <c:pt idx="1148">
                  <c:v>-143.99999999999949</c:v>
                </c:pt>
                <c:pt idx="1149">
                  <c:v>-143.99999999999949</c:v>
                </c:pt>
                <c:pt idx="1150">
                  <c:v>-143.99999999999949</c:v>
                </c:pt>
                <c:pt idx="1151">
                  <c:v>-143.99999999999949</c:v>
                </c:pt>
                <c:pt idx="1152">
                  <c:v>-143.99999999999949</c:v>
                </c:pt>
                <c:pt idx="1153">
                  <c:v>-143.99999999999949</c:v>
                </c:pt>
                <c:pt idx="1154">
                  <c:v>-143.99999999999949</c:v>
                </c:pt>
                <c:pt idx="1155">
                  <c:v>-143.99999999999949</c:v>
                </c:pt>
                <c:pt idx="1156">
                  <c:v>-143.99999999999949</c:v>
                </c:pt>
                <c:pt idx="1157">
                  <c:v>-143.99999999999949</c:v>
                </c:pt>
                <c:pt idx="1158">
                  <c:v>-143.99999999999949</c:v>
                </c:pt>
                <c:pt idx="1159">
                  <c:v>-143.99999999999949</c:v>
                </c:pt>
                <c:pt idx="1160">
                  <c:v>-143.99999999999949</c:v>
                </c:pt>
                <c:pt idx="1161">
                  <c:v>-143.99999999999949</c:v>
                </c:pt>
                <c:pt idx="1162">
                  <c:v>-143.99999999999949</c:v>
                </c:pt>
                <c:pt idx="1163">
                  <c:v>-143.99999999999949</c:v>
                </c:pt>
                <c:pt idx="1164">
                  <c:v>-143.99999999999949</c:v>
                </c:pt>
                <c:pt idx="1165">
                  <c:v>-143.99999999999949</c:v>
                </c:pt>
                <c:pt idx="1166">
                  <c:v>-143.99999999999949</c:v>
                </c:pt>
                <c:pt idx="1167">
                  <c:v>-143.99999999999949</c:v>
                </c:pt>
                <c:pt idx="1168">
                  <c:v>-143.99999999999949</c:v>
                </c:pt>
                <c:pt idx="1169">
                  <c:v>-143.99999999999949</c:v>
                </c:pt>
                <c:pt idx="1170">
                  <c:v>-143.99999999999949</c:v>
                </c:pt>
                <c:pt idx="1171">
                  <c:v>-143.99999999999949</c:v>
                </c:pt>
                <c:pt idx="1172">
                  <c:v>-143.99999999999949</c:v>
                </c:pt>
                <c:pt idx="1173">
                  <c:v>-143.99999999999949</c:v>
                </c:pt>
                <c:pt idx="1174">
                  <c:v>-143.99999999999949</c:v>
                </c:pt>
                <c:pt idx="1175">
                  <c:v>-143.99999999999949</c:v>
                </c:pt>
                <c:pt idx="1176">
                  <c:v>-143.99999999999949</c:v>
                </c:pt>
                <c:pt idx="1177">
                  <c:v>-143.99999999999949</c:v>
                </c:pt>
                <c:pt idx="1178">
                  <c:v>-143.99999999999949</c:v>
                </c:pt>
                <c:pt idx="1179">
                  <c:v>-143.99999999999949</c:v>
                </c:pt>
                <c:pt idx="1180">
                  <c:v>-143.99999999999949</c:v>
                </c:pt>
                <c:pt idx="1181">
                  <c:v>-143.99999999999949</c:v>
                </c:pt>
                <c:pt idx="1182">
                  <c:v>-143.99999999999949</c:v>
                </c:pt>
                <c:pt idx="1183">
                  <c:v>-143.99999999999949</c:v>
                </c:pt>
                <c:pt idx="1184">
                  <c:v>-143.99999999999949</c:v>
                </c:pt>
                <c:pt idx="1185">
                  <c:v>-143.99999999999949</c:v>
                </c:pt>
                <c:pt idx="1186">
                  <c:v>-143.99999999999949</c:v>
                </c:pt>
                <c:pt idx="1187">
                  <c:v>-143.99999999999949</c:v>
                </c:pt>
                <c:pt idx="1188">
                  <c:v>-143.99999999999949</c:v>
                </c:pt>
                <c:pt idx="1189">
                  <c:v>-143.99999999999949</c:v>
                </c:pt>
                <c:pt idx="1190">
                  <c:v>-143.99999999999949</c:v>
                </c:pt>
                <c:pt idx="1191">
                  <c:v>-143.99999999999949</c:v>
                </c:pt>
                <c:pt idx="1192">
                  <c:v>-143.99999999999949</c:v>
                </c:pt>
                <c:pt idx="1193">
                  <c:v>-143.99999999999949</c:v>
                </c:pt>
                <c:pt idx="1194">
                  <c:v>-143.99999999999949</c:v>
                </c:pt>
                <c:pt idx="1195">
                  <c:v>-143.99999999999949</c:v>
                </c:pt>
                <c:pt idx="1196">
                  <c:v>-143.99999999999949</c:v>
                </c:pt>
                <c:pt idx="1197">
                  <c:v>-143.99999999999949</c:v>
                </c:pt>
                <c:pt idx="1198">
                  <c:v>-143.99999999999949</c:v>
                </c:pt>
                <c:pt idx="1199">
                  <c:v>-143.99999999999949</c:v>
                </c:pt>
                <c:pt idx="1200">
                  <c:v>-143.99999999999949</c:v>
                </c:pt>
                <c:pt idx="1201">
                  <c:v>-143.99999999999949</c:v>
                </c:pt>
                <c:pt idx="1202">
                  <c:v>-143.99999999999949</c:v>
                </c:pt>
                <c:pt idx="1203">
                  <c:v>-143.99999999999949</c:v>
                </c:pt>
                <c:pt idx="1204">
                  <c:v>-143.99999999999949</c:v>
                </c:pt>
                <c:pt idx="1205">
                  <c:v>-143.99999999999949</c:v>
                </c:pt>
                <c:pt idx="1206">
                  <c:v>-143.99999999999949</c:v>
                </c:pt>
                <c:pt idx="1207">
                  <c:v>-143.99999999999949</c:v>
                </c:pt>
                <c:pt idx="1208">
                  <c:v>-143.99999999999949</c:v>
                </c:pt>
                <c:pt idx="1209">
                  <c:v>-143.99999999999949</c:v>
                </c:pt>
                <c:pt idx="1210">
                  <c:v>-143.99999999999949</c:v>
                </c:pt>
                <c:pt idx="1211">
                  <c:v>-143.99999999999949</c:v>
                </c:pt>
                <c:pt idx="1212">
                  <c:v>-143.99999999999949</c:v>
                </c:pt>
                <c:pt idx="1213">
                  <c:v>-143.99999999999949</c:v>
                </c:pt>
                <c:pt idx="1214">
                  <c:v>-143.99999999999949</c:v>
                </c:pt>
                <c:pt idx="1215">
                  <c:v>-143.99999999999949</c:v>
                </c:pt>
                <c:pt idx="1216">
                  <c:v>-143.99999999999949</c:v>
                </c:pt>
                <c:pt idx="1217">
                  <c:v>-143.99999999999949</c:v>
                </c:pt>
                <c:pt idx="1218">
                  <c:v>-143.99999999999949</c:v>
                </c:pt>
                <c:pt idx="1219">
                  <c:v>-143.99999999999949</c:v>
                </c:pt>
                <c:pt idx="1220">
                  <c:v>-143.99999999999949</c:v>
                </c:pt>
                <c:pt idx="1221">
                  <c:v>-143.99999999999949</c:v>
                </c:pt>
                <c:pt idx="1222">
                  <c:v>-143.99999999999949</c:v>
                </c:pt>
                <c:pt idx="1223">
                  <c:v>-143.99999999999949</c:v>
                </c:pt>
                <c:pt idx="1224">
                  <c:v>-143.99999999999949</c:v>
                </c:pt>
                <c:pt idx="1225">
                  <c:v>-143.99999999999949</c:v>
                </c:pt>
                <c:pt idx="1226">
                  <c:v>-143.99999999999949</c:v>
                </c:pt>
                <c:pt idx="1227">
                  <c:v>-143.99999999999949</c:v>
                </c:pt>
                <c:pt idx="1228">
                  <c:v>-143.99999999999949</c:v>
                </c:pt>
                <c:pt idx="1229">
                  <c:v>-143.99999999999949</c:v>
                </c:pt>
                <c:pt idx="1230">
                  <c:v>-143.99999999999949</c:v>
                </c:pt>
                <c:pt idx="1231">
                  <c:v>-143.99999999999949</c:v>
                </c:pt>
                <c:pt idx="1232">
                  <c:v>-143.99999999999949</c:v>
                </c:pt>
                <c:pt idx="1233">
                  <c:v>-143.99999999999949</c:v>
                </c:pt>
                <c:pt idx="1234">
                  <c:v>-143.99999999999949</c:v>
                </c:pt>
                <c:pt idx="1235">
                  <c:v>-143.99999999999949</c:v>
                </c:pt>
                <c:pt idx="1236">
                  <c:v>-143.99999999999949</c:v>
                </c:pt>
                <c:pt idx="1237">
                  <c:v>-143.99999999999949</c:v>
                </c:pt>
              </c:numCache>
            </c:numRef>
          </c:val>
          <c:smooth val="0"/>
          <c:extLst>
            <c:ext xmlns:c16="http://schemas.microsoft.com/office/drawing/2014/chart" uri="{C3380CC4-5D6E-409C-BE32-E72D297353CC}">
              <c16:uniqueId val="{00000000-D34F-4DB9-92BB-AAB5D2D1FF32}"/>
            </c:ext>
          </c:extLst>
        </c:ser>
        <c:ser>
          <c:idx val="1"/>
          <c:order val="1"/>
          <c:tx>
            <c:v>S</c:v>
          </c:tx>
          <c:spPr>
            <a:ln w="28575" cap="rnd">
              <a:solidFill>
                <a:srgbClr val="0070C0"/>
              </a:solidFill>
              <a:round/>
            </a:ln>
            <a:effectLst/>
          </c:spPr>
          <c:marker>
            <c:symbol val="none"/>
          </c:marker>
          <c:val>
            <c:numRef>
              <c:f>'Journal Live'!$BJ$1389:$BJ$2630</c:f>
              <c:numCache>
                <c:formatCode>General</c:formatCode>
                <c:ptCount val="1237"/>
                <c:pt idx="0">
                  <c:v>176.00000000000017</c:v>
                </c:pt>
                <c:pt idx="1">
                  <c:v>176.00000000000017</c:v>
                </c:pt>
                <c:pt idx="2">
                  <c:v>176.00000000000017</c:v>
                </c:pt>
                <c:pt idx="3">
                  <c:v>-159.99999999999983</c:v>
                </c:pt>
                <c:pt idx="4">
                  <c:v>-159.99999999999983</c:v>
                </c:pt>
                <c:pt idx="5">
                  <c:v>-255.99999999999986</c:v>
                </c:pt>
                <c:pt idx="6">
                  <c:v>-255.99999999999986</c:v>
                </c:pt>
                <c:pt idx="7">
                  <c:v>-255.99999999999986</c:v>
                </c:pt>
                <c:pt idx="8">
                  <c:v>16.000000000000028</c:v>
                </c:pt>
                <c:pt idx="9">
                  <c:v>16.000000000000028</c:v>
                </c:pt>
                <c:pt idx="10">
                  <c:v>16.000000000000028</c:v>
                </c:pt>
                <c:pt idx="11">
                  <c:v>208.0000000000002</c:v>
                </c:pt>
                <c:pt idx="12">
                  <c:v>208.0000000000002</c:v>
                </c:pt>
                <c:pt idx="13">
                  <c:v>208.0000000000002</c:v>
                </c:pt>
                <c:pt idx="14">
                  <c:v>784.00000000000023</c:v>
                </c:pt>
                <c:pt idx="15">
                  <c:v>624.00000000000068</c:v>
                </c:pt>
                <c:pt idx="16">
                  <c:v>624.00000000000068</c:v>
                </c:pt>
                <c:pt idx="17">
                  <c:v>624.00000000000068</c:v>
                </c:pt>
                <c:pt idx="18">
                  <c:v>624.00000000000068</c:v>
                </c:pt>
                <c:pt idx="19">
                  <c:v>624.00000000000068</c:v>
                </c:pt>
                <c:pt idx="20">
                  <c:v>624.00000000000068</c:v>
                </c:pt>
                <c:pt idx="21">
                  <c:v>624.00000000000068</c:v>
                </c:pt>
                <c:pt idx="22">
                  <c:v>624.00000000000068</c:v>
                </c:pt>
                <c:pt idx="23">
                  <c:v>624.00000000000068</c:v>
                </c:pt>
                <c:pt idx="24">
                  <c:v>752.00000000000068</c:v>
                </c:pt>
                <c:pt idx="25">
                  <c:v>1024.0000000000007</c:v>
                </c:pt>
                <c:pt idx="26">
                  <c:v>1360.0000000000005</c:v>
                </c:pt>
                <c:pt idx="27">
                  <c:v>1360.0000000000005</c:v>
                </c:pt>
                <c:pt idx="28">
                  <c:v>1360.0000000000005</c:v>
                </c:pt>
                <c:pt idx="29">
                  <c:v>1360.0000000000005</c:v>
                </c:pt>
                <c:pt idx="30">
                  <c:v>1360.0000000000005</c:v>
                </c:pt>
                <c:pt idx="31">
                  <c:v>1360.0000000000005</c:v>
                </c:pt>
                <c:pt idx="32">
                  <c:v>1360.0000000000005</c:v>
                </c:pt>
                <c:pt idx="33">
                  <c:v>1456</c:v>
                </c:pt>
                <c:pt idx="34">
                  <c:v>1456</c:v>
                </c:pt>
                <c:pt idx="35">
                  <c:v>1456</c:v>
                </c:pt>
                <c:pt idx="36">
                  <c:v>1840.0000000000005</c:v>
                </c:pt>
                <c:pt idx="37">
                  <c:v>1840.0000000000005</c:v>
                </c:pt>
                <c:pt idx="38">
                  <c:v>1840.0000000000005</c:v>
                </c:pt>
                <c:pt idx="39">
                  <c:v>400.00000000000068</c:v>
                </c:pt>
                <c:pt idx="40">
                  <c:v>400.00000000000068</c:v>
                </c:pt>
                <c:pt idx="41">
                  <c:v>496.00000000000063</c:v>
                </c:pt>
                <c:pt idx="42">
                  <c:v>496.00000000000063</c:v>
                </c:pt>
                <c:pt idx="43">
                  <c:v>496.00000000000063</c:v>
                </c:pt>
                <c:pt idx="44">
                  <c:v>496.00000000000063</c:v>
                </c:pt>
                <c:pt idx="45">
                  <c:v>496.00000000000063</c:v>
                </c:pt>
                <c:pt idx="46">
                  <c:v>496.00000000000063</c:v>
                </c:pt>
                <c:pt idx="47">
                  <c:v>496.00000000000063</c:v>
                </c:pt>
                <c:pt idx="48">
                  <c:v>496.00000000000063</c:v>
                </c:pt>
                <c:pt idx="49">
                  <c:v>496.00000000000063</c:v>
                </c:pt>
                <c:pt idx="50">
                  <c:v>496.00000000000063</c:v>
                </c:pt>
                <c:pt idx="51">
                  <c:v>848.00000000000091</c:v>
                </c:pt>
                <c:pt idx="52">
                  <c:v>848.00000000000091</c:v>
                </c:pt>
                <c:pt idx="53">
                  <c:v>848.00000000000091</c:v>
                </c:pt>
                <c:pt idx="54">
                  <c:v>848.00000000000091</c:v>
                </c:pt>
                <c:pt idx="55">
                  <c:v>848.00000000000091</c:v>
                </c:pt>
                <c:pt idx="56">
                  <c:v>848.00000000000091</c:v>
                </c:pt>
                <c:pt idx="57">
                  <c:v>848.00000000000091</c:v>
                </c:pt>
                <c:pt idx="58">
                  <c:v>848.00000000000091</c:v>
                </c:pt>
                <c:pt idx="59">
                  <c:v>848.00000000000091</c:v>
                </c:pt>
                <c:pt idx="60">
                  <c:v>1040.0000000000009</c:v>
                </c:pt>
                <c:pt idx="61">
                  <c:v>1296.0000000000009</c:v>
                </c:pt>
                <c:pt idx="62">
                  <c:v>1808.0000000000007</c:v>
                </c:pt>
                <c:pt idx="63">
                  <c:v>1808.0000000000007</c:v>
                </c:pt>
                <c:pt idx="64">
                  <c:v>4144.0000000000009</c:v>
                </c:pt>
                <c:pt idx="65">
                  <c:v>4144.0000000000009</c:v>
                </c:pt>
                <c:pt idx="66">
                  <c:v>1808.0000000000007</c:v>
                </c:pt>
                <c:pt idx="67">
                  <c:v>4144.0000000000009</c:v>
                </c:pt>
                <c:pt idx="68">
                  <c:v>1696.0000000000007</c:v>
                </c:pt>
                <c:pt idx="69">
                  <c:v>1696.0000000000007</c:v>
                </c:pt>
                <c:pt idx="70">
                  <c:v>1696.0000000000007</c:v>
                </c:pt>
                <c:pt idx="71">
                  <c:v>1696.0000000000007</c:v>
                </c:pt>
                <c:pt idx="72">
                  <c:v>1696.0000000000007</c:v>
                </c:pt>
                <c:pt idx="73">
                  <c:v>1696.0000000000007</c:v>
                </c:pt>
                <c:pt idx="74">
                  <c:v>1776.0000000000018</c:v>
                </c:pt>
                <c:pt idx="75">
                  <c:v>1696.0000000000007</c:v>
                </c:pt>
                <c:pt idx="76">
                  <c:v>1696.0000000000007</c:v>
                </c:pt>
                <c:pt idx="77">
                  <c:v>1776.0000000000018</c:v>
                </c:pt>
                <c:pt idx="78">
                  <c:v>1696.0000000000007</c:v>
                </c:pt>
                <c:pt idx="79">
                  <c:v>1696.0000000000007</c:v>
                </c:pt>
                <c:pt idx="80">
                  <c:v>1696.0000000000007</c:v>
                </c:pt>
                <c:pt idx="81">
                  <c:v>1696.0000000000007</c:v>
                </c:pt>
                <c:pt idx="82">
                  <c:v>1696.0000000000007</c:v>
                </c:pt>
                <c:pt idx="83">
                  <c:v>1776.0000000000018</c:v>
                </c:pt>
                <c:pt idx="84">
                  <c:v>1776.0000000000018</c:v>
                </c:pt>
                <c:pt idx="85">
                  <c:v>1776.0000000000018</c:v>
                </c:pt>
                <c:pt idx="86">
                  <c:v>1776.0000000000018</c:v>
                </c:pt>
                <c:pt idx="87">
                  <c:v>1776.0000000000018</c:v>
                </c:pt>
                <c:pt idx="88">
                  <c:v>1776.0000000000018</c:v>
                </c:pt>
                <c:pt idx="89">
                  <c:v>1776.0000000000018</c:v>
                </c:pt>
                <c:pt idx="90">
                  <c:v>1776.0000000000018</c:v>
                </c:pt>
                <c:pt idx="91">
                  <c:v>1776.0000000000018</c:v>
                </c:pt>
                <c:pt idx="92">
                  <c:v>1776.0000000000018</c:v>
                </c:pt>
                <c:pt idx="93">
                  <c:v>1776.0000000000018</c:v>
                </c:pt>
                <c:pt idx="94">
                  <c:v>4144.0000000000009</c:v>
                </c:pt>
                <c:pt idx="95">
                  <c:v>1776.0000000000018</c:v>
                </c:pt>
                <c:pt idx="96">
                  <c:v>1776.0000000000018</c:v>
                </c:pt>
                <c:pt idx="97">
                  <c:v>1776.0000000000018</c:v>
                </c:pt>
                <c:pt idx="98">
                  <c:v>1776.0000000000018</c:v>
                </c:pt>
                <c:pt idx="99">
                  <c:v>2128.0000000000014</c:v>
                </c:pt>
                <c:pt idx="100">
                  <c:v>2128.0000000000014</c:v>
                </c:pt>
                <c:pt idx="101">
                  <c:v>2128.0000000000014</c:v>
                </c:pt>
                <c:pt idx="102">
                  <c:v>2128.0000000000014</c:v>
                </c:pt>
                <c:pt idx="103">
                  <c:v>2128.0000000000014</c:v>
                </c:pt>
                <c:pt idx="104">
                  <c:v>2128.0000000000014</c:v>
                </c:pt>
                <c:pt idx="105">
                  <c:v>4144.0000000000009</c:v>
                </c:pt>
                <c:pt idx="106">
                  <c:v>2384.0000000000014</c:v>
                </c:pt>
                <c:pt idx="107">
                  <c:v>2704.0000000000014</c:v>
                </c:pt>
                <c:pt idx="108">
                  <c:v>3408.0000000000018</c:v>
                </c:pt>
                <c:pt idx="109">
                  <c:v>3920.0000000000009</c:v>
                </c:pt>
                <c:pt idx="110">
                  <c:v>3920.0000000000009</c:v>
                </c:pt>
                <c:pt idx="111">
                  <c:v>3920.0000000000009</c:v>
                </c:pt>
                <c:pt idx="112">
                  <c:v>3920.0000000000009</c:v>
                </c:pt>
                <c:pt idx="113">
                  <c:v>3920.0000000000009</c:v>
                </c:pt>
                <c:pt idx="114">
                  <c:v>3920.0000000000009</c:v>
                </c:pt>
                <c:pt idx="115">
                  <c:v>4144.0000000000009</c:v>
                </c:pt>
                <c:pt idx="116">
                  <c:v>4144.0000000000009</c:v>
                </c:pt>
                <c:pt idx="117">
                  <c:v>4144.0000000000009</c:v>
                </c:pt>
                <c:pt idx="118">
                  <c:v>4144.0000000000009</c:v>
                </c:pt>
                <c:pt idx="119">
                  <c:v>4144.0000000000009</c:v>
                </c:pt>
                <c:pt idx="120">
                  <c:v>4144.0000000000009</c:v>
                </c:pt>
                <c:pt idx="121">
                  <c:v>4144.0000000000009</c:v>
                </c:pt>
                <c:pt idx="122">
                  <c:v>4144.0000000000009</c:v>
                </c:pt>
                <c:pt idx="123">
                  <c:v>4144.0000000000009</c:v>
                </c:pt>
                <c:pt idx="124">
                  <c:v>4144.0000000000009</c:v>
                </c:pt>
                <c:pt idx="125">
                  <c:v>4144.0000000000009</c:v>
                </c:pt>
                <c:pt idx="126">
                  <c:v>4144.0000000000009</c:v>
                </c:pt>
                <c:pt idx="127">
                  <c:v>4144.0000000000009</c:v>
                </c:pt>
                <c:pt idx="128">
                  <c:v>4144.0000000000009</c:v>
                </c:pt>
                <c:pt idx="129">
                  <c:v>4144.0000000000009</c:v>
                </c:pt>
                <c:pt idx="130">
                  <c:v>15906.285714285719</c:v>
                </c:pt>
                <c:pt idx="131">
                  <c:v>4144.0000000000009</c:v>
                </c:pt>
                <c:pt idx="132">
                  <c:v>3279.9999999999918</c:v>
                </c:pt>
                <c:pt idx="133">
                  <c:v>3279.9999999999918</c:v>
                </c:pt>
                <c:pt idx="134">
                  <c:v>4144.0000000000009</c:v>
                </c:pt>
                <c:pt idx="135">
                  <c:v>4144.0000000000009</c:v>
                </c:pt>
                <c:pt idx="136">
                  <c:v>4144.0000000000009</c:v>
                </c:pt>
                <c:pt idx="137">
                  <c:v>3279.9999999999918</c:v>
                </c:pt>
                <c:pt idx="138">
                  <c:v>4144.0000000000009</c:v>
                </c:pt>
                <c:pt idx="139">
                  <c:v>4144.0000000000009</c:v>
                </c:pt>
                <c:pt idx="140">
                  <c:v>4432</c:v>
                </c:pt>
                <c:pt idx="141">
                  <c:v>4432</c:v>
                </c:pt>
                <c:pt idx="142">
                  <c:v>4432</c:v>
                </c:pt>
                <c:pt idx="143">
                  <c:v>4432</c:v>
                </c:pt>
                <c:pt idx="144">
                  <c:v>4944</c:v>
                </c:pt>
                <c:pt idx="145">
                  <c:v>5807.9999999999991</c:v>
                </c:pt>
                <c:pt idx="146">
                  <c:v>5807.9999999999991</c:v>
                </c:pt>
                <c:pt idx="147">
                  <c:v>5807.9999999999991</c:v>
                </c:pt>
                <c:pt idx="148">
                  <c:v>5807.9999999999991</c:v>
                </c:pt>
                <c:pt idx="149">
                  <c:v>5807.9999999999991</c:v>
                </c:pt>
                <c:pt idx="150">
                  <c:v>5807.9999999999991</c:v>
                </c:pt>
                <c:pt idx="151">
                  <c:v>3279.9999999999918</c:v>
                </c:pt>
                <c:pt idx="152">
                  <c:v>6431.9999999999991</c:v>
                </c:pt>
                <c:pt idx="153">
                  <c:v>6431.9999999999991</c:v>
                </c:pt>
                <c:pt idx="154">
                  <c:v>6431.9999999999991</c:v>
                </c:pt>
                <c:pt idx="155">
                  <c:v>3279.9999999999918</c:v>
                </c:pt>
                <c:pt idx="156">
                  <c:v>6431.9999999999991</c:v>
                </c:pt>
                <c:pt idx="157">
                  <c:v>6431.9999999999991</c:v>
                </c:pt>
                <c:pt idx="158">
                  <c:v>3279.9999999999918</c:v>
                </c:pt>
                <c:pt idx="159">
                  <c:v>7423.9999999999991</c:v>
                </c:pt>
                <c:pt idx="160">
                  <c:v>6431.9999999999991</c:v>
                </c:pt>
                <c:pt idx="161">
                  <c:v>3279.9999999999918</c:v>
                </c:pt>
                <c:pt idx="162">
                  <c:v>6431.9999999999991</c:v>
                </c:pt>
                <c:pt idx="163">
                  <c:v>6431.9999999999991</c:v>
                </c:pt>
                <c:pt idx="164">
                  <c:v>7103.9999999999991</c:v>
                </c:pt>
                <c:pt idx="165">
                  <c:v>7423.9999999999991</c:v>
                </c:pt>
                <c:pt idx="166">
                  <c:v>7423.9999999999991</c:v>
                </c:pt>
                <c:pt idx="167">
                  <c:v>7423.9999999999991</c:v>
                </c:pt>
                <c:pt idx="168">
                  <c:v>3279.9999999999918</c:v>
                </c:pt>
                <c:pt idx="169">
                  <c:v>7823.9999999999982</c:v>
                </c:pt>
                <c:pt idx="170">
                  <c:v>7823.9999999999982</c:v>
                </c:pt>
                <c:pt idx="171">
                  <c:v>8111.9999999999973</c:v>
                </c:pt>
                <c:pt idx="172">
                  <c:v>8111.9999999999973</c:v>
                </c:pt>
                <c:pt idx="173">
                  <c:v>8111.9999999999973</c:v>
                </c:pt>
                <c:pt idx="174">
                  <c:v>8111.9999999999973</c:v>
                </c:pt>
                <c:pt idx="175">
                  <c:v>8111.9999999999973</c:v>
                </c:pt>
                <c:pt idx="176">
                  <c:v>8111.9999999999973</c:v>
                </c:pt>
                <c:pt idx="177">
                  <c:v>8111.9999999999973</c:v>
                </c:pt>
                <c:pt idx="178">
                  <c:v>3279.9999999999918</c:v>
                </c:pt>
                <c:pt idx="179">
                  <c:v>8111.9999999999973</c:v>
                </c:pt>
                <c:pt idx="180">
                  <c:v>8111.9999999999973</c:v>
                </c:pt>
                <c:pt idx="181">
                  <c:v>8111.9999999999973</c:v>
                </c:pt>
                <c:pt idx="182">
                  <c:v>8111.9999999999973</c:v>
                </c:pt>
                <c:pt idx="183">
                  <c:v>8111.9999999999973</c:v>
                </c:pt>
                <c:pt idx="184">
                  <c:v>6319.9999999999964</c:v>
                </c:pt>
                <c:pt idx="185">
                  <c:v>6415.9999999999927</c:v>
                </c:pt>
                <c:pt idx="186">
                  <c:v>6415.9999999999927</c:v>
                </c:pt>
                <c:pt idx="187">
                  <c:v>6415.9999999999927</c:v>
                </c:pt>
                <c:pt idx="188">
                  <c:v>6415.9999999999927</c:v>
                </c:pt>
                <c:pt idx="189">
                  <c:v>6415.9999999999927</c:v>
                </c:pt>
                <c:pt idx="190">
                  <c:v>6415.9999999999927</c:v>
                </c:pt>
                <c:pt idx="191">
                  <c:v>3503.9999999999918</c:v>
                </c:pt>
                <c:pt idx="192">
                  <c:v>6415.9999999999927</c:v>
                </c:pt>
                <c:pt idx="193">
                  <c:v>6415.9999999999927</c:v>
                </c:pt>
                <c:pt idx="194">
                  <c:v>4815.9999999999927</c:v>
                </c:pt>
                <c:pt idx="195">
                  <c:v>4815.9999999999927</c:v>
                </c:pt>
                <c:pt idx="196">
                  <c:v>4815.9999999999927</c:v>
                </c:pt>
                <c:pt idx="197">
                  <c:v>3503.9999999999918</c:v>
                </c:pt>
                <c:pt idx="198">
                  <c:v>4527.9999999999927</c:v>
                </c:pt>
                <c:pt idx="199">
                  <c:v>4527.9999999999927</c:v>
                </c:pt>
                <c:pt idx="200">
                  <c:v>4527.9999999999927</c:v>
                </c:pt>
                <c:pt idx="201">
                  <c:v>4527.9999999999927</c:v>
                </c:pt>
                <c:pt idx="202">
                  <c:v>4527.9999999999927</c:v>
                </c:pt>
                <c:pt idx="203">
                  <c:v>3503.9999999999918</c:v>
                </c:pt>
                <c:pt idx="204">
                  <c:v>3503.9999999999918</c:v>
                </c:pt>
                <c:pt idx="205">
                  <c:v>3503.9999999999918</c:v>
                </c:pt>
                <c:pt idx="206">
                  <c:v>3503.9999999999918</c:v>
                </c:pt>
                <c:pt idx="207">
                  <c:v>3503.9999999999918</c:v>
                </c:pt>
                <c:pt idx="208">
                  <c:v>3503.9999999999918</c:v>
                </c:pt>
                <c:pt idx="209">
                  <c:v>3503.9999999999918</c:v>
                </c:pt>
                <c:pt idx="210">
                  <c:v>3503.9999999999918</c:v>
                </c:pt>
                <c:pt idx="211">
                  <c:v>3503.9999999999918</c:v>
                </c:pt>
                <c:pt idx="212">
                  <c:v>3503.9999999999918</c:v>
                </c:pt>
                <c:pt idx="213">
                  <c:v>3503.9999999999918</c:v>
                </c:pt>
                <c:pt idx="214">
                  <c:v>3503.9999999999918</c:v>
                </c:pt>
                <c:pt idx="215">
                  <c:v>3503.9999999999918</c:v>
                </c:pt>
                <c:pt idx="216">
                  <c:v>3503.9999999999918</c:v>
                </c:pt>
                <c:pt idx="217">
                  <c:v>3503.9999999999918</c:v>
                </c:pt>
                <c:pt idx="218">
                  <c:v>3503.9999999999918</c:v>
                </c:pt>
                <c:pt idx="219">
                  <c:v>3503.9999999999918</c:v>
                </c:pt>
                <c:pt idx="220">
                  <c:v>3503.9999999999918</c:v>
                </c:pt>
                <c:pt idx="221">
                  <c:v>3503.9999999999918</c:v>
                </c:pt>
                <c:pt idx="222">
                  <c:v>3503.9999999999918</c:v>
                </c:pt>
                <c:pt idx="223">
                  <c:v>3503.9999999999918</c:v>
                </c:pt>
                <c:pt idx="224">
                  <c:v>3503.9999999999918</c:v>
                </c:pt>
                <c:pt idx="225">
                  <c:v>3759.9999999999914</c:v>
                </c:pt>
                <c:pt idx="226">
                  <c:v>3759.9999999999914</c:v>
                </c:pt>
                <c:pt idx="227">
                  <c:v>3759.9999999999914</c:v>
                </c:pt>
                <c:pt idx="228">
                  <c:v>3759.9999999999914</c:v>
                </c:pt>
                <c:pt idx="229">
                  <c:v>3279.9999999999918</c:v>
                </c:pt>
                <c:pt idx="230">
                  <c:v>3759.9999999999914</c:v>
                </c:pt>
                <c:pt idx="231">
                  <c:v>3279.9999999999918</c:v>
                </c:pt>
                <c:pt idx="232">
                  <c:v>3759.9999999999914</c:v>
                </c:pt>
                <c:pt idx="233">
                  <c:v>3759.9999999999914</c:v>
                </c:pt>
                <c:pt idx="234">
                  <c:v>3759.9999999999914</c:v>
                </c:pt>
                <c:pt idx="235">
                  <c:v>3759.9999999999914</c:v>
                </c:pt>
                <c:pt idx="236">
                  <c:v>3759.9999999999914</c:v>
                </c:pt>
                <c:pt idx="237">
                  <c:v>3759.9999999999914</c:v>
                </c:pt>
                <c:pt idx="238">
                  <c:v>3759.9999999999914</c:v>
                </c:pt>
                <c:pt idx="239">
                  <c:v>3759.9999999999914</c:v>
                </c:pt>
                <c:pt idx="240">
                  <c:v>3759.9999999999914</c:v>
                </c:pt>
                <c:pt idx="241">
                  <c:v>3279.9999999999918</c:v>
                </c:pt>
                <c:pt idx="242">
                  <c:v>3279.9999999999918</c:v>
                </c:pt>
                <c:pt idx="243">
                  <c:v>3279.9999999999918</c:v>
                </c:pt>
                <c:pt idx="244">
                  <c:v>3279.9999999999918</c:v>
                </c:pt>
                <c:pt idx="245">
                  <c:v>3279.9999999999918</c:v>
                </c:pt>
                <c:pt idx="246">
                  <c:v>3279.9999999999918</c:v>
                </c:pt>
                <c:pt idx="247">
                  <c:v>3279.9999999999918</c:v>
                </c:pt>
                <c:pt idx="248">
                  <c:v>3279.9999999999918</c:v>
                </c:pt>
                <c:pt idx="249">
                  <c:v>3279.9999999999918</c:v>
                </c:pt>
                <c:pt idx="250">
                  <c:v>3279.9999999999918</c:v>
                </c:pt>
                <c:pt idx="251">
                  <c:v>3279.9999999999918</c:v>
                </c:pt>
                <c:pt idx="252">
                  <c:v>3279.9999999999918</c:v>
                </c:pt>
                <c:pt idx="253">
                  <c:v>3279.9999999999918</c:v>
                </c:pt>
                <c:pt idx="254">
                  <c:v>3279.9999999999918</c:v>
                </c:pt>
                <c:pt idx="255">
                  <c:v>3279.9999999999918</c:v>
                </c:pt>
                <c:pt idx="256">
                  <c:v>3279.9999999999918</c:v>
                </c:pt>
                <c:pt idx="257">
                  <c:v>3279.9999999999918</c:v>
                </c:pt>
                <c:pt idx="258">
                  <c:v>3279.9999999999918</c:v>
                </c:pt>
                <c:pt idx="259">
                  <c:v>3279.9999999999918</c:v>
                </c:pt>
                <c:pt idx="260">
                  <c:v>3279.9999999999918</c:v>
                </c:pt>
                <c:pt idx="261">
                  <c:v>3279.9999999999918</c:v>
                </c:pt>
                <c:pt idx="262">
                  <c:v>3279.9999999999918</c:v>
                </c:pt>
                <c:pt idx="263">
                  <c:v>3279.9999999999918</c:v>
                </c:pt>
                <c:pt idx="264">
                  <c:v>3279.9999999999918</c:v>
                </c:pt>
                <c:pt idx="265">
                  <c:v>3279.9999999999918</c:v>
                </c:pt>
                <c:pt idx="266">
                  <c:v>3279.9999999999918</c:v>
                </c:pt>
                <c:pt idx="267">
                  <c:v>3279.9999999999918</c:v>
                </c:pt>
                <c:pt idx="268">
                  <c:v>3279.9999999999918</c:v>
                </c:pt>
                <c:pt idx="269">
                  <c:v>3279.9999999999918</c:v>
                </c:pt>
                <c:pt idx="270">
                  <c:v>3279.9999999999918</c:v>
                </c:pt>
                <c:pt idx="271">
                  <c:v>3279.9999999999918</c:v>
                </c:pt>
                <c:pt idx="272">
                  <c:v>3279.9999999999918</c:v>
                </c:pt>
                <c:pt idx="273">
                  <c:v>3279.9999999999918</c:v>
                </c:pt>
                <c:pt idx="274">
                  <c:v>3279.9999999999918</c:v>
                </c:pt>
                <c:pt idx="275">
                  <c:v>3279.9999999999918</c:v>
                </c:pt>
                <c:pt idx="276">
                  <c:v>3279.9999999999918</c:v>
                </c:pt>
                <c:pt idx="277">
                  <c:v>3279.9999999999918</c:v>
                </c:pt>
                <c:pt idx="278">
                  <c:v>3279.9999999999918</c:v>
                </c:pt>
                <c:pt idx="279">
                  <c:v>3759.9999999999932</c:v>
                </c:pt>
                <c:pt idx="280">
                  <c:v>3759.9999999999932</c:v>
                </c:pt>
                <c:pt idx="281">
                  <c:v>3759.9999999999932</c:v>
                </c:pt>
                <c:pt idx="282">
                  <c:v>3759.9999999999932</c:v>
                </c:pt>
                <c:pt idx="283">
                  <c:v>3759.9999999999932</c:v>
                </c:pt>
                <c:pt idx="284">
                  <c:v>3759.9999999999932</c:v>
                </c:pt>
                <c:pt idx="285">
                  <c:v>3759.9999999999932</c:v>
                </c:pt>
                <c:pt idx="286">
                  <c:v>3759.9999999999932</c:v>
                </c:pt>
                <c:pt idx="287">
                  <c:v>3759.9999999999932</c:v>
                </c:pt>
                <c:pt idx="288">
                  <c:v>3759.9999999999932</c:v>
                </c:pt>
                <c:pt idx="289">
                  <c:v>3759.9999999999932</c:v>
                </c:pt>
                <c:pt idx="290">
                  <c:v>3759.9999999999932</c:v>
                </c:pt>
                <c:pt idx="291">
                  <c:v>3759.9999999999932</c:v>
                </c:pt>
                <c:pt idx="292">
                  <c:v>3759.9999999999932</c:v>
                </c:pt>
                <c:pt idx="293">
                  <c:v>3759.9999999999932</c:v>
                </c:pt>
                <c:pt idx="294">
                  <c:v>3759.9999999999932</c:v>
                </c:pt>
                <c:pt idx="295">
                  <c:v>3759.9999999999932</c:v>
                </c:pt>
                <c:pt idx="296">
                  <c:v>3759.9999999999932</c:v>
                </c:pt>
                <c:pt idx="297">
                  <c:v>3759.9999999999932</c:v>
                </c:pt>
                <c:pt idx="298">
                  <c:v>3759.9999999999932</c:v>
                </c:pt>
                <c:pt idx="299">
                  <c:v>3759.9999999999932</c:v>
                </c:pt>
                <c:pt idx="300">
                  <c:v>3759.9999999999932</c:v>
                </c:pt>
                <c:pt idx="301">
                  <c:v>4143.9999999999927</c:v>
                </c:pt>
                <c:pt idx="302">
                  <c:v>4143.9999999999927</c:v>
                </c:pt>
                <c:pt idx="303">
                  <c:v>4143.9999999999927</c:v>
                </c:pt>
                <c:pt idx="304">
                  <c:v>4143.9999999999927</c:v>
                </c:pt>
                <c:pt idx="305">
                  <c:v>4143.9999999999927</c:v>
                </c:pt>
                <c:pt idx="306">
                  <c:v>4143.9999999999927</c:v>
                </c:pt>
                <c:pt idx="307">
                  <c:v>4143.9999999999927</c:v>
                </c:pt>
                <c:pt idx="308">
                  <c:v>4143.9999999999927</c:v>
                </c:pt>
                <c:pt idx="309">
                  <c:v>4143.9999999999927</c:v>
                </c:pt>
                <c:pt idx="310">
                  <c:v>4143.9999999999927</c:v>
                </c:pt>
                <c:pt idx="311">
                  <c:v>4607.9999999999927</c:v>
                </c:pt>
                <c:pt idx="312">
                  <c:v>4607.9999999999927</c:v>
                </c:pt>
                <c:pt idx="313">
                  <c:v>4607.9999999999927</c:v>
                </c:pt>
                <c:pt idx="314">
                  <c:v>4607.9999999999927</c:v>
                </c:pt>
                <c:pt idx="315">
                  <c:v>4607.9999999999927</c:v>
                </c:pt>
                <c:pt idx="316">
                  <c:v>4607.9999999999927</c:v>
                </c:pt>
                <c:pt idx="317">
                  <c:v>4607.9999999999927</c:v>
                </c:pt>
                <c:pt idx="318">
                  <c:v>4607.9999999999927</c:v>
                </c:pt>
                <c:pt idx="319">
                  <c:v>4607.9999999999927</c:v>
                </c:pt>
                <c:pt idx="320">
                  <c:v>4607.9999999999927</c:v>
                </c:pt>
                <c:pt idx="321">
                  <c:v>4607.9999999999927</c:v>
                </c:pt>
                <c:pt idx="322">
                  <c:v>4607.9999999999927</c:v>
                </c:pt>
                <c:pt idx="323">
                  <c:v>4607.9999999999927</c:v>
                </c:pt>
                <c:pt idx="324">
                  <c:v>4607.9999999999927</c:v>
                </c:pt>
                <c:pt idx="325">
                  <c:v>5007.9999999999909</c:v>
                </c:pt>
                <c:pt idx="326">
                  <c:v>5007.9999999999909</c:v>
                </c:pt>
                <c:pt idx="327">
                  <c:v>5727.9999999999909</c:v>
                </c:pt>
                <c:pt idx="328">
                  <c:v>5727.9999999999909</c:v>
                </c:pt>
                <c:pt idx="329">
                  <c:v>5727.9999999999909</c:v>
                </c:pt>
                <c:pt idx="330">
                  <c:v>5727.9999999999909</c:v>
                </c:pt>
                <c:pt idx="331">
                  <c:v>5727.9999999999909</c:v>
                </c:pt>
                <c:pt idx="332">
                  <c:v>5727.9999999999909</c:v>
                </c:pt>
                <c:pt idx="333">
                  <c:v>5727.9999999999909</c:v>
                </c:pt>
                <c:pt idx="334">
                  <c:v>5727.9999999999909</c:v>
                </c:pt>
                <c:pt idx="335">
                  <c:v>5727.9999999999909</c:v>
                </c:pt>
                <c:pt idx="336">
                  <c:v>5727.9999999999909</c:v>
                </c:pt>
                <c:pt idx="337">
                  <c:v>5727.9999999999909</c:v>
                </c:pt>
                <c:pt idx="338">
                  <c:v>5727.9999999999909</c:v>
                </c:pt>
                <c:pt idx="339">
                  <c:v>5727.9999999999909</c:v>
                </c:pt>
                <c:pt idx="340">
                  <c:v>5727.9999999999909</c:v>
                </c:pt>
                <c:pt idx="341">
                  <c:v>5727.9999999999909</c:v>
                </c:pt>
                <c:pt idx="342">
                  <c:v>5727.9999999999909</c:v>
                </c:pt>
                <c:pt idx="343">
                  <c:v>5727.9999999999909</c:v>
                </c:pt>
                <c:pt idx="344">
                  <c:v>5727.9999999999909</c:v>
                </c:pt>
                <c:pt idx="345">
                  <c:v>5727.9999999999909</c:v>
                </c:pt>
                <c:pt idx="346">
                  <c:v>5727.9999999999909</c:v>
                </c:pt>
                <c:pt idx="347">
                  <c:v>5727.9999999999909</c:v>
                </c:pt>
                <c:pt idx="348">
                  <c:v>5727.9999999999909</c:v>
                </c:pt>
                <c:pt idx="349">
                  <c:v>5727.9999999999909</c:v>
                </c:pt>
                <c:pt idx="350">
                  <c:v>5727.9999999999909</c:v>
                </c:pt>
                <c:pt idx="351">
                  <c:v>6335.9999999999909</c:v>
                </c:pt>
                <c:pt idx="352">
                  <c:v>6335.9999999999909</c:v>
                </c:pt>
                <c:pt idx="353">
                  <c:v>6335.9999999999909</c:v>
                </c:pt>
                <c:pt idx="354">
                  <c:v>6335.9999999999909</c:v>
                </c:pt>
                <c:pt idx="355">
                  <c:v>6655.9999999999909</c:v>
                </c:pt>
                <c:pt idx="356">
                  <c:v>6655.9999999999909</c:v>
                </c:pt>
                <c:pt idx="357">
                  <c:v>6655.9999999999909</c:v>
                </c:pt>
                <c:pt idx="358">
                  <c:v>6655.9999999999909</c:v>
                </c:pt>
                <c:pt idx="359">
                  <c:v>6655.9999999999909</c:v>
                </c:pt>
                <c:pt idx="360">
                  <c:v>6655.9999999999909</c:v>
                </c:pt>
                <c:pt idx="361">
                  <c:v>6655.9999999999909</c:v>
                </c:pt>
                <c:pt idx="362">
                  <c:v>6655.9999999999909</c:v>
                </c:pt>
                <c:pt idx="363">
                  <c:v>6655.9999999999909</c:v>
                </c:pt>
                <c:pt idx="364">
                  <c:v>6655.9999999999909</c:v>
                </c:pt>
                <c:pt idx="365">
                  <c:v>6655.9999999999909</c:v>
                </c:pt>
                <c:pt idx="366">
                  <c:v>6655.9999999999909</c:v>
                </c:pt>
                <c:pt idx="367">
                  <c:v>6335.9999999999909</c:v>
                </c:pt>
                <c:pt idx="368">
                  <c:v>6671.9999999999909</c:v>
                </c:pt>
                <c:pt idx="369">
                  <c:v>6671.9999999999909</c:v>
                </c:pt>
                <c:pt idx="370">
                  <c:v>7231.9999999999909</c:v>
                </c:pt>
                <c:pt idx="371">
                  <c:v>7951.9999999999909</c:v>
                </c:pt>
                <c:pt idx="372">
                  <c:v>7951.9999999999909</c:v>
                </c:pt>
                <c:pt idx="373">
                  <c:v>7951.9999999999909</c:v>
                </c:pt>
                <c:pt idx="374">
                  <c:v>7951.9999999999909</c:v>
                </c:pt>
                <c:pt idx="375">
                  <c:v>7951.9999999999909</c:v>
                </c:pt>
                <c:pt idx="376">
                  <c:v>7951.9999999999909</c:v>
                </c:pt>
                <c:pt idx="377">
                  <c:v>7951.9999999999909</c:v>
                </c:pt>
                <c:pt idx="378">
                  <c:v>7951.9999999999909</c:v>
                </c:pt>
                <c:pt idx="379">
                  <c:v>7951.9999999999909</c:v>
                </c:pt>
                <c:pt idx="380">
                  <c:v>8271.9999999999909</c:v>
                </c:pt>
                <c:pt idx="381">
                  <c:v>7951.9999999999909</c:v>
                </c:pt>
                <c:pt idx="382">
                  <c:v>7951.9999999999909</c:v>
                </c:pt>
                <c:pt idx="383">
                  <c:v>7951.9999999999909</c:v>
                </c:pt>
                <c:pt idx="384">
                  <c:v>7951.9999999999909</c:v>
                </c:pt>
                <c:pt idx="385">
                  <c:v>7951.9999999999909</c:v>
                </c:pt>
                <c:pt idx="386">
                  <c:v>7951.9999999999909</c:v>
                </c:pt>
                <c:pt idx="387">
                  <c:v>7951.9999999999909</c:v>
                </c:pt>
                <c:pt idx="388">
                  <c:v>7951.9999999999909</c:v>
                </c:pt>
                <c:pt idx="389">
                  <c:v>7951.9999999999909</c:v>
                </c:pt>
                <c:pt idx="390">
                  <c:v>7951.9999999999909</c:v>
                </c:pt>
                <c:pt idx="391">
                  <c:v>7951.9999999999909</c:v>
                </c:pt>
                <c:pt idx="392">
                  <c:v>7951.9999999999909</c:v>
                </c:pt>
                <c:pt idx="393">
                  <c:v>7503.9999999999909</c:v>
                </c:pt>
                <c:pt idx="394">
                  <c:v>7951.9999999999909</c:v>
                </c:pt>
                <c:pt idx="395">
                  <c:v>7951.9999999999909</c:v>
                </c:pt>
                <c:pt idx="396">
                  <c:v>7311.9999999999909</c:v>
                </c:pt>
                <c:pt idx="397">
                  <c:v>7311.9999999999909</c:v>
                </c:pt>
                <c:pt idx="398">
                  <c:v>5967.9999999999918</c:v>
                </c:pt>
                <c:pt idx="399">
                  <c:v>5295.9999999999936</c:v>
                </c:pt>
                <c:pt idx="400">
                  <c:v>5295.9999999999936</c:v>
                </c:pt>
                <c:pt idx="401">
                  <c:v>5295.9999999999936</c:v>
                </c:pt>
                <c:pt idx="402">
                  <c:v>5295.9999999999936</c:v>
                </c:pt>
                <c:pt idx="403">
                  <c:v>5295.9999999999936</c:v>
                </c:pt>
                <c:pt idx="404">
                  <c:v>5295.9999999999936</c:v>
                </c:pt>
                <c:pt idx="405">
                  <c:v>5295.9999999999936</c:v>
                </c:pt>
                <c:pt idx="406">
                  <c:v>5295.9999999999936</c:v>
                </c:pt>
                <c:pt idx="407">
                  <c:v>5295.9999999999936</c:v>
                </c:pt>
                <c:pt idx="408">
                  <c:v>5295.9999999999936</c:v>
                </c:pt>
                <c:pt idx="409">
                  <c:v>5295.9999999999936</c:v>
                </c:pt>
                <c:pt idx="410">
                  <c:v>5295.9999999999936</c:v>
                </c:pt>
                <c:pt idx="411">
                  <c:v>5295.9999999999936</c:v>
                </c:pt>
                <c:pt idx="412">
                  <c:v>5295.9999999999936</c:v>
                </c:pt>
                <c:pt idx="413">
                  <c:v>5295.9999999999936</c:v>
                </c:pt>
                <c:pt idx="414">
                  <c:v>5295.9999999999936</c:v>
                </c:pt>
                <c:pt idx="415">
                  <c:v>5295.9999999999936</c:v>
                </c:pt>
                <c:pt idx="416">
                  <c:v>5295.9999999999936</c:v>
                </c:pt>
                <c:pt idx="417">
                  <c:v>5295.9999999999936</c:v>
                </c:pt>
                <c:pt idx="418">
                  <c:v>5295.9999999999936</c:v>
                </c:pt>
                <c:pt idx="419">
                  <c:v>5775.9999999999945</c:v>
                </c:pt>
                <c:pt idx="420">
                  <c:v>5775.9999999999945</c:v>
                </c:pt>
                <c:pt idx="421">
                  <c:v>5775.9999999999945</c:v>
                </c:pt>
                <c:pt idx="422">
                  <c:v>5775.9999999999945</c:v>
                </c:pt>
                <c:pt idx="423">
                  <c:v>5775.9999999999945</c:v>
                </c:pt>
                <c:pt idx="424">
                  <c:v>5775.9999999999945</c:v>
                </c:pt>
                <c:pt idx="425">
                  <c:v>5775.9999999999945</c:v>
                </c:pt>
                <c:pt idx="426">
                  <c:v>5775.9999999999945</c:v>
                </c:pt>
                <c:pt idx="427">
                  <c:v>5775.9999999999945</c:v>
                </c:pt>
                <c:pt idx="428">
                  <c:v>5775.9999999999945</c:v>
                </c:pt>
                <c:pt idx="429">
                  <c:v>5775.9999999999945</c:v>
                </c:pt>
                <c:pt idx="430">
                  <c:v>5775.9999999999945</c:v>
                </c:pt>
                <c:pt idx="431">
                  <c:v>5775.9999999999945</c:v>
                </c:pt>
                <c:pt idx="432">
                  <c:v>5775.9999999999945</c:v>
                </c:pt>
                <c:pt idx="433">
                  <c:v>5775.9999999999945</c:v>
                </c:pt>
                <c:pt idx="434">
                  <c:v>5775.9999999999945</c:v>
                </c:pt>
                <c:pt idx="435">
                  <c:v>5775.9999999999945</c:v>
                </c:pt>
                <c:pt idx="436">
                  <c:v>6095.9999999999945</c:v>
                </c:pt>
                <c:pt idx="437">
                  <c:v>6095.9999999999945</c:v>
                </c:pt>
                <c:pt idx="438">
                  <c:v>6095.9999999999945</c:v>
                </c:pt>
                <c:pt idx="439">
                  <c:v>6095.9999999999945</c:v>
                </c:pt>
                <c:pt idx="440">
                  <c:v>6095.9999999999945</c:v>
                </c:pt>
                <c:pt idx="441">
                  <c:v>6095.9999999999945</c:v>
                </c:pt>
                <c:pt idx="442">
                  <c:v>6095.9999999999945</c:v>
                </c:pt>
                <c:pt idx="443">
                  <c:v>6975.9999999999945</c:v>
                </c:pt>
                <c:pt idx="444">
                  <c:v>6975.9999999999945</c:v>
                </c:pt>
                <c:pt idx="445">
                  <c:v>6975.9999999999945</c:v>
                </c:pt>
                <c:pt idx="446">
                  <c:v>8175.9999999999945</c:v>
                </c:pt>
                <c:pt idx="447">
                  <c:v>8175.9999999999945</c:v>
                </c:pt>
                <c:pt idx="448">
                  <c:v>8175.9999999999945</c:v>
                </c:pt>
                <c:pt idx="449">
                  <c:v>8175.9999999999945</c:v>
                </c:pt>
                <c:pt idx="450">
                  <c:v>8175.9999999999945</c:v>
                </c:pt>
                <c:pt idx="451">
                  <c:v>8175.9999999999945</c:v>
                </c:pt>
                <c:pt idx="452">
                  <c:v>8175.9999999999945</c:v>
                </c:pt>
                <c:pt idx="453">
                  <c:v>8175.9999999999945</c:v>
                </c:pt>
                <c:pt idx="454">
                  <c:v>8175.9999999999945</c:v>
                </c:pt>
                <c:pt idx="455">
                  <c:v>8175.9999999999945</c:v>
                </c:pt>
                <c:pt idx="456">
                  <c:v>8175.9999999999945</c:v>
                </c:pt>
                <c:pt idx="457">
                  <c:v>8175.9999999999945</c:v>
                </c:pt>
                <c:pt idx="458">
                  <c:v>8175.9999999999945</c:v>
                </c:pt>
                <c:pt idx="459">
                  <c:v>8175.9999999999945</c:v>
                </c:pt>
                <c:pt idx="460">
                  <c:v>8175.9999999999945</c:v>
                </c:pt>
                <c:pt idx="461">
                  <c:v>8175.9999999999945</c:v>
                </c:pt>
                <c:pt idx="462">
                  <c:v>8175.9999999999945</c:v>
                </c:pt>
                <c:pt idx="463">
                  <c:v>8175.9999999999945</c:v>
                </c:pt>
                <c:pt idx="464">
                  <c:v>8175.9999999999945</c:v>
                </c:pt>
                <c:pt idx="465">
                  <c:v>8175.9999999999945</c:v>
                </c:pt>
                <c:pt idx="466">
                  <c:v>8175.9999999999945</c:v>
                </c:pt>
                <c:pt idx="467">
                  <c:v>8175.9999999999945</c:v>
                </c:pt>
                <c:pt idx="468">
                  <c:v>8175.9999999999945</c:v>
                </c:pt>
                <c:pt idx="469">
                  <c:v>8175.9999999999945</c:v>
                </c:pt>
                <c:pt idx="470">
                  <c:v>8175.9999999999945</c:v>
                </c:pt>
                <c:pt idx="471">
                  <c:v>8175.9999999999945</c:v>
                </c:pt>
                <c:pt idx="472">
                  <c:v>8175.9999999999945</c:v>
                </c:pt>
                <c:pt idx="473">
                  <c:v>8575.9999999999945</c:v>
                </c:pt>
                <c:pt idx="474">
                  <c:v>8975.9999999999945</c:v>
                </c:pt>
                <c:pt idx="475">
                  <c:v>9775.9999999999945</c:v>
                </c:pt>
                <c:pt idx="476">
                  <c:v>10735.999999999996</c:v>
                </c:pt>
                <c:pt idx="477">
                  <c:v>10735.999999999996</c:v>
                </c:pt>
                <c:pt idx="478">
                  <c:v>11135.999999999996</c:v>
                </c:pt>
                <c:pt idx="479">
                  <c:v>11935.999999999996</c:v>
                </c:pt>
                <c:pt idx="480">
                  <c:v>11935.999999999996</c:v>
                </c:pt>
                <c:pt idx="481">
                  <c:v>11935.999999999996</c:v>
                </c:pt>
                <c:pt idx="482">
                  <c:v>11935.999999999996</c:v>
                </c:pt>
                <c:pt idx="483">
                  <c:v>11935.999999999996</c:v>
                </c:pt>
                <c:pt idx="484">
                  <c:v>11135.999999999996</c:v>
                </c:pt>
                <c:pt idx="485">
                  <c:v>11135.999999999996</c:v>
                </c:pt>
                <c:pt idx="486">
                  <c:v>11439.999999999996</c:v>
                </c:pt>
                <c:pt idx="487">
                  <c:v>11439.999999999996</c:v>
                </c:pt>
                <c:pt idx="488">
                  <c:v>11439.999999999996</c:v>
                </c:pt>
                <c:pt idx="489">
                  <c:v>11439.999999999996</c:v>
                </c:pt>
                <c:pt idx="490">
                  <c:v>11439.999999999996</c:v>
                </c:pt>
                <c:pt idx="491">
                  <c:v>11439.999999999996</c:v>
                </c:pt>
                <c:pt idx="492">
                  <c:v>11439.999999999996</c:v>
                </c:pt>
                <c:pt idx="493">
                  <c:v>11439.999999999996</c:v>
                </c:pt>
                <c:pt idx="494">
                  <c:v>11439.999999999996</c:v>
                </c:pt>
                <c:pt idx="495">
                  <c:v>11439.999999999996</c:v>
                </c:pt>
                <c:pt idx="496">
                  <c:v>11439.999999999996</c:v>
                </c:pt>
                <c:pt idx="497">
                  <c:v>11439.999999999996</c:v>
                </c:pt>
                <c:pt idx="498">
                  <c:v>11439.999999999996</c:v>
                </c:pt>
                <c:pt idx="499">
                  <c:v>11439.999999999996</c:v>
                </c:pt>
                <c:pt idx="500">
                  <c:v>11759.999999999996</c:v>
                </c:pt>
                <c:pt idx="501">
                  <c:v>11759.999999999996</c:v>
                </c:pt>
                <c:pt idx="502">
                  <c:v>11759.999999999996</c:v>
                </c:pt>
                <c:pt idx="503">
                  <c:v>11759.999999999996</c:v>
                </c:pt>
                <c:pt idx="504">
                  <c:v>12719.999999999996</c:v>
                </c:pt>
                <c:pt idx="505">
                  <c:v>12719.999999999996</c:v>
                </c:pt>
                <c:pt idx="506">
                  <c:v>12719.999999999996</c:v>
                </c:pt>
                <c:pt idx="507">
                  <c:v>12719.999999999996</c:v>
                </c:pt>
                <c:pt idx="508">
                  <c:v>12719.999999999996</c:v>
                </c:pt>
                <c:pt idx="509">
                  <c:v>12719.999999999996</c:v>
                </c:pt>
                <c:pt idx="510">
                  <c:v>12767.999999999996</c:v>
                </c:pt>
                <c:pt idx="511">
                  <c:v>12767.999999999996</c:v>
                </c:pt>
                <c:pt idx="512">
                  <c:v>12767.999999999996</c:v>
                </c:pt>
                <c:pt idx="513">
                  <c:v>12767.999999999996</c:v>
                </c:pt>
                <c:pt idx="514">
                  <c:v>12767.999999999996</c:v>
                </c:pt>
                <c:pt idx="515">
                  <c:v>12767.999999999996</c:v>
                </c:pt>
                <c:pt idx="516">
                  <c:v>12767.999999999996</c:v>
                </c:pt>
                <c:pt idx="517">
                  <c:v>14047.999999999996</c:v>
                </c:pt>
                <c:pt idx="518">
                  <c:v>14527.999999999996</c:v>
                </c:pt>
                <c:pt idx="519">
                  <c:v>14527.999999999996</c:v>
                </c:pt>
                <c:pt idx="520">
                  <c:v>14527.999999999996</c:v>
                </c:pt>
                <c:pt idx="521">
                  <c:v>15167.999999999996</c:v>
                </c:pt>
                <c:pt idx="522">
                  <c:v>15167.999999999996</c:v>
                </c:pt>
                <c:pt idx="523">
                  <c:v>15167.999999999996</c:v>
                </c:pt>
                <c:pt idx="524">
                  <c:v>13727.999999999995</c:v>
                </c:pt>
                <c:pt idx="525">
                  <c:v>13727.999999999995</c:v>
                </c:pt>
                <c:pt idx="526">
                  <c:v>13727.999999999995</c:v>
                </c:pt>
                <c:pt idx="527">
                  <c:v>13727.999999999995</c:v>
                </c:pt>
                <c:pt idx="528">
                  <c:v>13727.999999999995</c:v>
                </c:pt>
                <c:pt idx="529">
                  <c:v>13727.999999999995</c:v>
                </c:pt>
                <c:pt idx="530">
                  <c:v>13727.999999999995</c:v>
                </c:pt>
                <c:pt idx="531">
                  <c:v>13727.999999999995</c:v>
                </c:pt>
                <c:pt idx="532">
                  <c:v>13727.999999999995</c:v>
                </c:pt>
                <c:pt idx="533">
                  <c:v>13727.999999999995</c:v>
                </c:pt>
                <c:pt idx="534">
                  <c:v>13727.999999999995</c:v>
                </c:pt>
                <c:pt idx="535">
                  <c:v>13727.999999999995</c:v>
                </c:pt>
                <c:pt idx="536">
                  <c:v>13727.999999999995</c:v>
                </c:pt>
                <c:pt idx="537">
                  <c:v>13727.999999999995</c:v>
                </c:pt>
                <c:pt idx="538">
                  <c:v>13727.999999999995</c:v>
                </c:pt>
                <c:pt idx="539">
                  <c:v>13727.999999999995</c:v>
                </c:pt>
                <c:pt idx="540">
                  <c:v>13727.999999999995</c:v>
                </c:pt>
                <c:pt idx="541">
                  <c:v>13727.999999999995</c:v>
                </c:pt>
                <c:pt idx="542">
                  <c:v>13727.999999999995</c:v>
                </c:pt>
                <c:pt idx="543">
                  <c:v>13727.999999999995</c:v>
                </c:pt>
                <c:pt idx="544">
                  <c:v>13727.999999999995</c:v>
                </c:pt>
                <c:pt idx="545">
                  <c:v>16607.999999999996</c:v>
                </c:pt>
                <c:pt idx="546">
                  <c:v>21247.999999999996</c:v>
                </c:pt>
                <c:pt idx="547">
                  <c:v>16607.999999999996</c:v>
                </c:pt>
                <c:pt idx="548">
                  <c:v>16607.999999999996</c:v>
                </c:pt>
                <c:pt idx="549">
                  <c:v>17407.999999999996</c:v>
                </c:pt>
                <c:pt idx="550">
                  <c:v>20047.999999999996</c:v>
                </c:pt>
                <c:pt idx="551">
                  <c:v>21247.999999999996</c:v>
                </c:pt>
                <c:pt idx="552">
                  <c:v>22527.999999999996</c:v>
                </c:pt>
                <c:pt idx="553">
                  <c:v>23728</c:v>
                </c:pt>
                <c:pt idx="554">
                  <c:v>16018.285714285717</c:v>
                </c:pt>
                <c:pt idx="555">
                  <c:v>23728</c:v>
                </c:pt>
                <c:pt idx="556">
                  <c:v>23728</c:v>
                </c:pt>
                <c:pt idx="557">
                  <c:v>23728</c:v>
                </c:pt>
                <c:pt idx="558">
                  <c:v>23728</c:v>
                </c:pt>
                <c:pt idx="559">
                  <c:v>23344</c:v>
                </c:pt>
                <c:pt idx="560">
                  <c:v>23344</c:v>
                </c:pt>
                <c:pt idx="561">
                  <c:v>23344</c:v>
                </c:pt>
                <c:pt idx="562">
                  <c:v>23344</c:v>
                </c:pt>
                <c:pt idx="563">
                  <c:v>23344</c:v>
                </c:pt>
                <c:pt idx="564">
                  <c:v>23344</c:v>
                </c:pt>
                <c:pt idx="565">
                  <c:v>23344</c:v>
                </c:pt>
                <c:pt idx="566">
                  <c:v>23344</c:v>
                </c:pt>
                <c:pt idx="567">
                  <c:v>18338.285714285717</c:v>
                </c:pt>
                <c:pt idx="568">
                  <c:v>23344</c:v>
                </c:pt>
                <c:pt idx="569">
                  <c:v>23344</c:v>
                </c:pt>
                <c:pt idx="570">
                  <c:v>18338.285714285717</c:v>
                </c:pt>
                <c:pt idx="571">
                  <c:v>23344</c:v>
                </c:pt>
                <c:pt idx="572">
                  <c:v>23344</c:v>
                </c:pt>
                <c:pt idx="573">
                  <c:v>23344</c:v>
                </c:pt>
                <c:pt idx="574">
                  <c:v>18338.285714285717</c:v>
                </c:pt>
                <c:pt idx="575">
                  <c:v>16018.285714285717</c:v>
                </c:pt>
                <c:pt idx="576">
                  <c:v>23664</c:v>
                </c:pt>
                <c:pt idx="577">
                  <c:v>23664</c:v>
                </c:pt>
                <c:pt idx="578">
                  <c:v>23664</c:v>
                </c:pt>
                <c:pt idx="579">
                  <c:v>23664</c:v>
                </c:pt>
                <c:pt idx="580">
                  <c:v>23344</c:v>
                </c:pt>
                <c:pt idx="581">
                  <c:v>23344</c:v>
                </c:pt>
                <c:pt idx="582">
                  <c:v>24912</c:v>
                </c:pt>
                <c:pt idx="583">
                  <c:v>23344</c:v>
                </c:pt>
                <c:pt idx="584">
                  <c:v>23344</c:v>
                </c:pt>
                <c:pt idx="585">
                  <c:v>26080</c:v>
                </c:pt>
                <c:pt idx="586">
                  <c:v>23584</c:v>
                </c:pt>
                <c:pt idx="587">
                  <c:v>23584</c:v>
                </c:pt>
                <c:pt idx="588">
                  <c:v>24384</c:v>
                </c:pt>
                <c:pt idx="589">
                  <c:v>24384</c:v>
                </c:pt>
                <c:pt idx="590">
                  <c:v>25184</c:v>
                </c:pt>
                <c:pt idx="591">
                  <c:v>25824</c:v>
                </c:pt>
                <c:pt idx="592">
                  <c:v>26080</c:v>
                </c:pt>
                <c:pt idx="593">
                  <c:v>26080</c:v>
                </c:pt>
                <c:pt idx="594">
                  <c:v>26080</c:v>
                </c:pt>
                <c:pt idx="595">
                  <c:v>27040</c:v>
                </c:pt>
                <c:pt idx="596">
                  <c:v>27040</c:v>
                </c:pt>
                <c:pt idx="597">
                  <c:v>27040</c:v>
                </c:pt>
                <c:pt idx="598">
                  <c:v>24912</c:v>
                </c:pt>
                <c:pt idx="599">
                  <c:v>27040</c:v>
                </c:pt>
                <c:pt idx="600">
                  <c:v>27040</c:v>
                </c:pt>
                <c:pt idx="601">
                  <c:v>27040</c:v>
                </c:pt>
                <c:pt idx="602">
                  <c:v>27040</c:v>
                </c:pt>
                <c:pt idx="603">
                  <c:v>27040</c:v>
                </c:pt>
                <c:pt idx="604">
                  <c:v>26320</c:v>
                </c:pt>
                <c:pt idx="605">
                  <c:v>26320</c:v>
                </c:pt>
                <c:pt idx="606">
                  <c:v>26320</c:v>
                </c:pt>
                <c:pt idx="607">
                  <c:v>25040</c:v>
                </c:pt>
                <c:pt idx="608">
                  <c:v>24080</c:v>
                </c:pt>
                <c:pt idx="609">
                  <c:v>24880</c:v>
                </c:pt>
                <c:pt idx="610">
                  <c:v>24880</c:v>
                </c:pt>
                <c:pt idx="611">
                  <c:v>24912</c:v>
                </c:pt>
                <c:pt idx="612">
                  <c:v>24912</c:v>
                </c:pt>
                <c:pt idx="613">
                  <c:v>24912</c:v>
                </c:pt>
                <c:pt idx="614">
                  <c:v>24912</c:v>
                </c:pt>
                <c:pt idx="615">
                  <c:v>24912</c:v>
                </c:pt>
                <c:pt idx="616">
                  <c:v>24912</c:v>
                </c:pt>
                <c:pt idx="617">
                  <c:v>24912</c:v>
                </c:pt>
                <c:pt idx="618">
                  <c:v>24912</c:v>
                </c:pt>
                <c:pt idx="619">
                  <c:v>18338.285714285717</c:v>
                </c:pt>
                <c:pt idx="620">
                  <c:v>26192</c:v>
                </c:pt>
                <c:pt idx="621">
                  <c:v>26192</c:v>
                </c:pt>
                <c:pt idx="622">
                  <c:v>26832</c:v>
                </c:pt>
                <c:pt idx="623">
                  <c:v>26992</c:v>
                </c:pt>
                <c:pt idx="624">
                  <c:v>27328</c:v>
                </c:pt>
                <c:pt idx="625">
                  <c:v>27328</c:v>
                </c:pt>
                <c:pt idx="626">
                  <c:v>18338.285714285717</c:v>
                </c:pt>
                <c:pt idx="627">
                  <c:v>27328</c:v>
                </c:pt>
                <c:pt idx="628">
                  <c:v>27328</c:v>
                </c:pt>
                <c:pt idx="629">
                  <c:v>27328</c:v>
                </c:pt>
                <c:pt idx="630">
                  <c:v>27328</c:v>
                </c:pt>
                <c:pt idx="631">
                  <c:v>27328</c:v>
                </c:pt>
                <c:pt idx="632">
                  <c:v>27328</c:v>
                </c:pt>
                <c:pt idx="633">
                  <c:v>27328</c:v>
                </c:pt>
                <c:pt idx="634">
                  <c:v>27328</c:v>
                </c:pt>
                <c:pt idx="635">
                  <c:v>27328</c:v>
                </c:pt>
                <c:pt idx="636">
                  <c:v>27328</c:v>
                </c:pt>
                <c:pt idx="637">
                  <c:v>25408</c:v>
                </c:pt>
                <c:pt idx="638">
                  <c:v>18338.285714285717</c:v>
                </c:pt>
                <c:pt idx="639">
                  <c:v>23808</c:v>
                </c:pt>
                <c:pt idx="640">
                  <c:v>23488</c:v>
                </c:pt>
                <c:pt idx="641">
                  <c:v>18338.285714285717</c:v>
                </c:pt>
                <c:pt idx="642">
                  <c:v>23488</c:v>
                </c:pt>
                <c:pt idx="643">
                  <c:v>23488</c:v>
                </c:pt>
                <c:pt idx="644">
                  <c:v>20002.285714285714</c:v>
                </c:pt>
                <c:pt idx="645">
                  <c:v>23488</c:v>
                </c:pt>
                <c:pt idx="646">
                  <c:v>20002.285714285714</c:v>
                </c:pt>
                <c:pt idx="647">
                  <c:v>23488</c:v>
                </c:pt>
                <c:pt idx="648">
                  <c:v>23488</c:v>
                </c:pt>
                <c:pt idx="649">
                  <c:v>23488</c:v>
                </c:pt>
                <c:pt idx="650">
                  <c:v>23488</c:v>
                </c:pt>
                <c:pt idx="651">
                  <c:v>23488</c:v>
                </c:pt>
                <c:pt idx="652">
                  <c:v>23488</c:v>
                </c:pt>
                <c:pt idx="653">
                  <c:v>23488</c:v>
                </c:pt>
                <c:pt idx="654">
                  <c:v>23488</c:v>
                </c:pt>
                <c:pt idx="655">
                  <c:v>23488</c:v>
                </c:pt>
                <c:pt idx="656">
                  <c:v>23488</c:v>
                </c:pt>
                <c:pt idx="657">
                  <c:v>23488</c:v>
                </c:pt>
                <c:pt idx="658">
                  <c:v>22048</c:v>
                </c:pt>
                <c:pt idx="659">
                  <c:v>22048</c:v>
                </c:pt>
                <c:pt idx="660">
                  <c:v>22048</c:v>
                </c:pt>
                <c:pt idx="661">
                  <c:v>22048</c:v>
                </c:pt>
                <c:pt idx="662">
                  <c:v>22048</c:v>
                </c:pt>
                <c:pt idx="663">
                  <c:v>18162.285714285714</c:v>
                </c:pt>
                <c:pt idx="664">
                  <c:v>16242.285714285714</c:v>
                </c:pt>
                <c:pt idx="665">
                  <c:v>20002.285714285714</c:v>
                </c:pt>
                <c:pt idx="666">
                  <c:v>16242.285714285714</c:v>
                </c:pt>
                <c:pt idx="667">
                  <c:v>16242.285714285714</c:v>
                </c:pt>
                <c:pt idx="668">
                  <c:v>17842.285714285714</c:v>
                </c:pt>
                <c:pt idx="669">
                  <c:v>17842.285714285714</c:v>
                </c:pt>
                <c:pt idx="670">
                  <c:v>17842.285714285714</c:v>
                </c:pt>
                <c:pt idx="671">
                  <c:v>17842.285714285714</c:v>
                </c:pt>
                <c:pt idx="672">
                  <c:v>17842.285714285714</c:v>
                </c:pt>
                <c:pt idx="673">
                  <c:v>17842.285714285714</c:v>
                </c:pt>
                <c:pt idx="674">
                  <c:v>17842.285714285714</c:v>
                </c:pt>
                <c:pt idx="675">
                  <c:v>17842.285714285714</c:v>
                </c:pt>
                <c:pt idx="676">
                  <c:v>17842.285714285714</c:v>
                </c:pt>
                <c:pt idx="677">
                  <c:v>17842.285714285714</c:v>
                </c:pt>
                <c:pt idx="678">
                  <c:v>17842.285714285714</c:v>
                </c:pt>
                <c:pt idx="679">
                  <c:v>17842.285714285714</c:v>
                </c:pt>
                <c:pt idx="680">
                  <c:v>17842.285714285714</c:v>
                </c:pt>
                <c:pt idx="681">
                  <c:v>17842.285714285714</c:v>
                </c:pt>
                <c:pt idx="682">
                  <c:v>17842.285714285714</c:v>
                </c:pt>
                <c:pt idx="683">
                  <c:v>17842.285714285714</c:v>
                </c:pt>
                <c:pt idx="684">
                  <c:v>17842.285714285714</c:v>
                </c:pt>
                <c:pt idx="685">
                  <c:v>17842.285714285714</c:v>
                </c:pt>
                <c:pt idx="686">
                  <c:v>17842.285714285714</c:v>
                </c:pt>
                <c:pt idx="687">
                  <c:v>17842.285714285714</c:v>
                </c:pt>
                <c:pt idx="688">
                  <c:v>17842.285714285714</c:v>
                </c:pt>
                <c:pt idx="689">
                  <c:v>17842.285714285714</c:v>
                </c:pt>
                <c:pt idx="690">
                  <c:v>17842.285714285714</c:v>
                </c:pt>
                <c:pt idx="691">
                  <c:v>17842.285714285714</c:v>
                </c:pt>
                <c:pt idx="692">
                  <c:v>17842.285714285714</c:v>
                </c:pt>
                <c:pt idx="693">
                  <c:v>17842.285714285714</c:v>
                </c:pt>
                <c:pt idx="694">
                  <c:v>17842.285714285714</c:v>
                </c:pt>
                <c:pt idx="695">
                  <c:v>17842.285714285714</c:v>
                </c:pt>
                <c:pt idx="696">
                  <c:v>17842.285714285714</c:v>
                </c:pt>
                <c:pt idx="697">
                  <c:v>17842.285714285714</c:v>
                </c:pt>
                <c:pt idx="698">
                  <c:v>17842.285714285714</c:v>
                </c:pt>
                <c:pt idx="699">
                  <c:v>17842.285714285714</c:v>
                </c:pt>
                <c:pt idx="700">
                  <c:v>17842.285714285714</c:v>
                </c:pt>
                <c:pt idx="701">
                  <c:v>20002.285714285714</c:v>
                </c:pt>
                <c:pt idx="702">
                  <c:v>17842.285714285714</c:v>
                </c:pt>
                <c:pt idx="703">
                  <c:v>17842.285714285714</c:v>
                </c:pt>
                <c:pt idx="704">
                  <c:v>17842.285714285714</c:v>
                </c:pt>
                <c:pt idx="705">
                  <c:v>17842.285714285714</c:v>
                </c:pt>
                <c:pt idx="706">
                  <c:v>17842.285714285714</c:v>
                </c:pt>
                <c:pt idx="707">
                  <c:v>17842.285714285714</c:v>
                </c:pt>
                <c:pt idx="708">
                  <c:v>18402.285714285714</c:v>
                </c:pt>
                <c:pt idx="709">
                  <c:v>20002.285714285714</c:v>
                </c:pt>
                <c:pt idx="710">
                  <c:v>20002.285714285714</c:v>
                </c:pt>
                <c:pt idx="711">
                  <c:v>20002.285714285714</c:v>
                </c:pt>
                <c:pt idx="712">
                  <c:v>20002.285714285714</c:v>
                </c:pt>
                <c:pt idx="713">
                  <c:v>20002.285714285714</c:v>
                </c:pt>
                <c:pt idx="714">
                  <c:v>20002.285714285714</c:v>
                </c:pt>
                <c:pt idx="715">
                  <c:v>20002.285714285714</c:v>
                </c:pt>
                <c:pt idx="716">
                  <c:v>20002.285714285714</c:v>
                </c:pt>
                <c:pt idx="717">
                  <c:v>20002.285714285714</c:v>
                </c:pt>
                <c:pt idx="718">
                  <c:v>20002.285714285714</c:v>
                </c:pt>
                <c:pt idx="719">
                  <c:v>20002.285714285714</c:v>
                </c:pt>
                <c:pt idx="720">
                  <c:v>20002.285714285714</c:v>
                </c:pt>
                <c:pt idx="721">
                  <c:v>20002.285714285714</c:v>
                </c:pt>
                <c:pt idx="722">
                  <c:v>20002.285714285714</c:v>
                </c:pt>
                <c:pt idx="723">
                  <c:v>20002.285714285714</c:v>
                </c:pt>
                <c:pt idx="724">
                  <c:v>20002.285714285714</c:v>
                </c:pt>
                <c:pt idx="725">
                  <c:v>20002.285714285714</c:v>
                </c:pt>
                <c:pt idx="726">
                  <c:v>20002.285714285714</c:v>
                </c:pt>
                <c:pt idx="727">
                  <c:v>20002.285714285714</c:v>
                </c:pt>
                <c:pt idx="728">
                  <c:v>20002.285714285714</c:v>
                </c:pt>
                <c:pt idx="729">
                  <c:v>20002.285714285714</c:v>
                </c:pt>
                <c:pt idx="730">
                  <c:v>18338.285714285717</c:v>
                </c:pt>
                <c:pt idx="731">
                  <c:v>17938.285714285706</c:v>
                </c:pt>
                <c:pt idx="732">
                  <c:v>20002.285714285714</c:v>
                </c:pt>
                <c:pt idx="733">
                  <c:v>20002.285714285714</c:v>
                </c:pt>
                <c:pt idx="734">
                  <c:v>20002.285714285714</c:v>
                </c:pt>
                <c:pt idx="735">
                  <c:v>20002.285714285714</c:v>
                </c:pt>
                <c:pt idx="736">
                  <c:v>20002.285714285714</c:v>
                </c:pt>
                <c:pt idx="737">
                  <c:v>17938.285714285706</c:v>
                </c:pt>
                <c:pt idx="738">
                  <c:v>20002.285714285714</c:v>
                </c:pt>
                <c:pt idx="739">
                  <c:v>20002.285714285714</c:v>
                </c:pt>
                <c:pt idx="740">
                  <c:v>21202.285714285714</c:v>
                </c:pt>
                <c:pt idx="741">
                  <c:v>20002.285714285714</c:v>
                </c:pt>
                <c:pt idx="742">
                  <c:v>20002.285714285714</c:v>
                </c:pt>
                <c:pt idx="743">
                  <c:v>20002.285714285714</c:v>
                </c:pt>
                <c:pt idx="744">
                  <c:v>20002.285714285714</c:v>
                </c:pt>
                <c:pt idx="745">
                  <c:v>21202.285714285714</c:v>
                </c:pt>
                <c:pt idx="746">
                  <c:v>20002.285714285714</c:v>
                </c:pt>
                <c:pt idx="747">
                  <c:v>20002.285714285714</c:v>
                </c:pt>
                <c:pt idx="748">
                  <c:v>20002.285714285714</c:v>
                </c:pt>
                <c:pt idx="749">
                  <c:v>20002.285714285714</c:v>
                </c:pt>
                <c:pt idx="750">
                  <c:v>20002.285714285714</c:v>
                </c:pt>
                <c:pt idx="751">
                  <c:v>20002.285714285714</c:v>
                </c:pt>
                <c:pt idx="752">
                  <c:v>20002.285714285714</c:v>
                </c:pt>
                <c:pt idx="753">
                  <c:v>21202.285714285714</c:v>
                </c:pt>
                <c:pt idx="754">
                  <c:v>21202.285714285714</c:v>
                </c:pt>
                <c:pt idx="755">
                  <c:v>21202.285714285714</c:v>
                </c:pt>
                <c:pt idx="756">
                  <c:v>21202.285714285714</c:v>
                </c:pt>
                <c:pt idx="757">
                  <c:v>21202.285714285714</c:v>
                </c:pt>
                <c:pt idx="758">
                  <c:v>21202.285714285714</c:v>
                </c:pt>
                <c:pt idx="759">
                  <c:v>21202.285714285714</c:v>
                </c:pt>
                <c:pt idx="760">
                  <c:v>21202.285714285714</c:v>
                </c:pt>
                <c:pt idx="761">
                  <c:v>21362.285714285714</c:v>
                </c:pt>
                <c:pt idx="762">
                  <c:v>21202.285714285714</c:v>
                </c:pt>
                <c:pt idx="763">
                  <c:v>21202.285714285714</c:v>
                </c:pt>
                <c:pt idx="764">
                  <c:v>21202.285714285714</c:v>
                </c:pt>
                <c:pt idx="765">
                  <c:v>21202.285714285714</c:v>
                </c:pt>
                <c:pt idx="766">
                  <c:v>21362.285714285714</c:v>
                </c:pt>
                <c:pt idx="767">
                  <c:v>21362.285714285714</c:v>
                </c:pt>
                <c:pt idx="768">
                  <c:v>21362.285714285714</c:v>
                </c:pt>
                <c:pt idx="769">
                  <c:v>21362.285714285714</c:v>
                </c:pt>
                <c:pt idx="770">
                  <c:v>21362.285714285714</c:v>
                </c:pt>
                <c:pt idx="771">
                  <c:v>21362.285714285714</c:v>
                </c:pt>
                <c:pt idx="772">
                  <c:v>21362.285714285714</c:v>
                </c:pt>
                <c:pt idx="773">
                  <c:v>21362.285714285714</c:v>
                </c:pt>
                <c:pt idx="774">
                  <c:v>24722.28571428571</c:v>
                </c:pt>
                <c:pt idx="775">
                  <c:v>21362.285714285714</c:v>
                </c:pt>
                <c:pt idx="776">
                  <c:v>21362.285714285714</c:v>
                </c:pt>
                <c:pt idx="777">
                  <c:v>21362.285714285714</c:v>
                </c:pt>
                <c:pt idx="778">
                  <c:v>21362.285714285714</c:v>
                </c:pt>
                <c:pt idx="779">
                  <c:v>21362.285714285714</c:v>
                </c:pt>
                <c:pt idx="780">
                  <c:v>21362.285714285714</c:v>
                </c:pt>
                <c:pt idx="781">
                  <c:v>21362.285714285714</c:v>
                </c:pt>
                <c:pt idx="782">
                  <c:v>21362.285714285714</c:v>
                </c:pt>
                <c:pt idx="783">
                  <c:v>21362.285714285714</c:v>
                </c:pt>
                <c:pt idx="784">
                  <c:v>24722.28571428571</c:v>
                </c:pt>
                <c:pt idx="785">
                  <c:v>21362.285714285714</c:v>
                </c:pt>
                <c:pt idx="786">
                  <c:v>21362.285714285714</c:v>
                </c:pt>
                <c:pt idx="787">
                  <c:v>24722.28571428571</c:v>
                </c:pt>
                <c:pt idx="788">
                  <c:v>21362.285714285714</c:v>
                </c:pt>
                <c:pt idx="789">
                  <c:v>21362.285714285714</c:v>
                </c:pt>
                <c:pt idx="790">
                  <c:v>22962.285714285714</c:v>
                </c:pt>
                <c:pt idx="791">
                  <c:v>23762.28571428571</c:v>
                </c:pt>
                <c:pt idx="792">
                  <c:v>24722.28571428571</c:v>
                </c:pt>
                <c:pt idx="793">
                  <c:v>24722.28571428571</c:v>
                </c:pt>
                <c:pt idx="794">
                  <c:v>25058.28571428571</c:v>
                </c:pt>
                <c:pt idx="795">
                  <c:v>24722.28571428571</c:v>
                </c:pt>
                <c:pt idx="796">
                  <c:v>24722.28571428571</c:v>
                </c:pt>
                <c:pt idx="797">
                  <c:v>25058.28571428571</c:v>
                </c:pt>
                <c:pt idx="798">
                  <c:v>24722.28571428571</c:v>
                </c:pt>
                <c:pt idx="799">
                  <c:v>24722.28571428571</c:v>
                </c:pt>
                <c:pt idx="800">
                  <c:v>23922.28571428571</c:v>
                </c:pt>
                <c:pt idx="801">
                  <c:v>25058.28571428571</c:v>
                </c:pt>
                <c:pt idx="802">
                  <c:v>24722.28571428571</c:v>
                </c:pt>
                <c:pt idx="803">
                  <c:v>24722.28571428571</c:v>
                </c:pt>
                <c:pt idx="804">
                  <c:v>24722.28571428571</c:v>
                </c:pt>
                <c:pt idx="805">
                  <c:v>23922.28571428571</c:v>
                </c:pt>
                <c:pt idx="806">
                  <c:v>23922.28571428571</c:v>
                </c:pt>
                <c:pt idx="807">
                  <c:v>23922.28571428571</c:v>
                </c:pt>
                <c:pt idx="808">
                  <c:v>23922.28571428571</c:v>
                </c:pt>
                <c:pt idx="809">
                  <c:v>23922.28571428571</c:v>
                </c:pt>
                <c:pt idx="810">
                  <c:v>23922.28571428571</c:v>
                </c:pt>
                <c:pt idx="811">
                  <c:v>23922.28571428571</c:v>
                </c:pt>
                <c:pt idx="812">
                  <c:v>25058.28571428571</c:v>
                </c:pt>
                <c:pt idx="813">
                  <c:v>17938.285714285706</c:v>
                </c:pt>
                <c:pt idx="814">
                  <c:v>23922.28571428571</c:v>
                </c:pt>
                <c:pt idx="815">
                  <c:v>24402.28571428571</c:v>
                </c:pt>
                <c:pt idx="816">
                  <c:v>25058.28571428571</c:v>
                </c:pt>
                <c:pt idx="817">
                  <c:v>24402.28571428571</c:v>
                </c:pt>
                <c:pt idx="818">
                  <c:v>24402.28571428571</c:v>
                </c:pt>
                <c:pt idx="819">
                  <c:v>24402.28571428571</c:v>
                </c:pt>
                <c:pt idx="820">
                  <c:v>24402.28571428571</c:v>
                </c:pt>
                <c:pt idx="821">
                  <c:v>25058.28571428571</c:v>
                </c:pt>
                <c:pt idx="822">
                  <c:v>17938.285714285706</c:v>
                </c:pt>
                <c:pt idx="823">
                  <c:v>25058.28571428571</c:v>
                </c:pt>
                <c:pt idx="824">
                  <c:v>25058.28571428571</c:v>
                </c:pt>
                <c:pt idx="825">
                  <c:v>25058.28571428571</c:v>
                </c:pt>
                <c:pt idx="826">
                  <c:v>17938.285714285706</c:v>
                </c:pt>
                <c:pt idx="827">
                  <c:v>17938.285714285706</c:v>
                </c:pt>
                <c:pt idx="828">
                  <c:v>25058.28571428571</c:v>
                </c:pt>
                <c:pt idx="829">
                  <c:v>25058.28571428571</c:v>
                </c:pt>
                <c:pt idx="830">
                  <c:v>25058.28571428571</c:v>
                </c:pt>
                <c:pt idx="831">
                  <c:v>25058.28571428571</c:v>
                </c:pt>
                <c:pt idx="832">
                  <c:v>25058.28571428571</c:v>
                </c:pt>
                <c:pt idx="833">
                  <c:v>17938.285714285706</c:v>
                </c:pt>
                <c:pt idx="834">
                  <c:v>17938.285714285706</c:v>
                </c:pt>
                <c:pt idx="835">
                  <c:v>25058.28571428571</c:v>
                </c:pt>
                <c:pt idx="836">
                  <c:v>17938.285714285706</c:v>
                </c:pt>
                <c:pt idx="837">
                  <c:v>17938.285714285706</c:v>
                </c:pt>
                <c:pt idx="838">
                  <c:v>25058.28571428571</c:v>
                </c:pt>
                <c:pt idx="839">
                  <c:v>27810.285714285706</c:v>
                </c:pt>
                <c:pt idx="840">
                  <c:v>27810.285714285706</c:v>
                </c:pt>
                <c:pt idx="841">
                  <c:v>27810.285714285706</c:v>
                </c:pt>
                <c:pt idx="842">
                  <c:v>27810.285714285706</c:v>
                </c:pt>
                <c:pt idx="843">
                  <c:v>27810.285714285706</c:v>
                </c:pt>
                <c:pt idx="844">
                  <c:v>19138.285714285706</c:v>
                </c:pt>
                <c:pt idx="845">
                  <c:v>17938.285714285706</c:v>
                </c:pt>
                <c:pt idx="846">
                  <c:v>27810.285714285706</c:v>
                </c:pt>
                <c:pt idx="847">
                  <c:v>27810.285714285706</c:v>
                </c:pt>
                <c:pt idx="848">
                  <c:v>19138.285714285706</c:v>
                </c:pt>
                <c:pt idx="849">
                  <c:v>17938.285714285706</c:v>
                </c:pt>
                <c:pt idx="850">
                  <c:v>27810.285714285706</c:v>
                </c:pt>
                <c:pt idx="851">
                  <c:v>27810.285714285706</c:v>
                </c:pt>
                <c:pt idx="852">
                  <c:v>27810.285714285706</c:v>
                </c:pt>
                <c:pt idx="853">
                  <c:v>27810.285714285706</c:v>
                </c:pt>
                <c:pt idx="854">
                  <c:v>26530.285714285706</c:v>
                </c:pt>
                <c:pt idx="855">
                  <c:v>26530.285714285706</c:v>
                </c:pt>
                <c:pt idx="856">
                  <c:v>24130.285714285706</c:v>
                </c:pt>
                <c:pt idx="857">
                  <c:v>24130.285714285706</c:v>
                </c:pt>
                <c:pt idx="858">
                  <c:v>20930.285714285706</c:v>
                </c:pt>
                <c:pt idx="859">
                  <c:v>19138.285714285706</c:v>
                </c:pt>
                <c:pt idx="860">
                  <c:v>19138.285714285706</c:v>
                </c:pt>
                <c:pt idx="861">
                  <c:v>17938.285714285706</c:v>
                </c:pt>
                <c:pt idx="862">
                  <c:v>17938.285714285706</c:v>
                </c:pt>
                <c:pt idx="863">
                  <c:v>19138.285714285706</c:v>
                </c:pt>
                <c:pt idx="864">
                  <c:v>19138.285714285706</c:v>
                </c:pt>
                <c:pt idx="865">
                  <c:v>17938.285714285706</c:v>
                </c:pt>
                <c:pt idx="866">
                  <c:v>17938.285714285706</c:v>
                </c:pt>
                <c:pt idx="867">
                  <c:v>17938.285714285706</c:v>
                </c:pt>
                <c:pt idx="868">
                  <c:v>17938.285714285706</c:v>
                </c:pt>
                <c:pt idx="869">
                  <c:v>17938.285714285706</c:v>
                </c:pt>
                <c:pt idx="870">
                  <c:v>17938.285714285706</c:v>
                </c:pt>
                <c:pt idx="871">
                  <c:v>17938.285714285706</c:v>
                </c:pt>
                <c:pt idx="872">
                  <c:v>17938.285714285706</c:v>
                </c:pt>
                <c:pt idx="873">
                  <c:v>17938.285714285706</c:v>
                </c:pt>
                <c:pt idx="874">
                  <c:v>17938.285714285706</c:v>
                </c:pt>
                <c:pt idx="875">
                  <c:v>17938.285714285706</c:v>
                </c:pt>
                <c:pt idx="876">
                  <c:v>17938.285714285706</c:v>
                </c:pt>
                <c:pt idx="877">
                  <c:v>17938.285714285706</c:v>
                </c:pt>
                <c:pt idx="878">
                  <c:v>17938.285714285706</c:v>
                </c:pt>
                <c:pt idx="879">
                  <c:v>17938.285714285706</c:v>
                </c:pt>
                <c:pt idx="880">
                  <c:v>17938.285714285706</c:v>
                </c:pt>
                <c:pt idx="881">
                  <c:v>17938.285714285706</c:v>
                </c:pt>
                <c:pt idx="882">
                  <c:v>17938.285714285706</c:v>
                </c:pt>
                <c:pt idx="883">
                  <c:v>17938.285714285706</c:v>
                </c:pt>
                <c:pt idx="884">
                  <c:v>17938.285714285706</c:v>
                </c:pt>
                <c:pt idx="885">
                  <c:v>17938.285714285706</c:v>
                </c:pt>
                <c:pt idx="886">
                  <c:v>17938.285714285706</c:v>
                </c:pt>
                <c:pt idx="887">
                  <c:v>-42.393045297317478</c:v>
                </c:pt>
                <c:pt idx="888">
                  <c:v>17938.285714285706</c:v>
                </c:pt>
                <c:pt idx="889">
                  <c:v>17938.285714285706</c:v>
                </c:pt>
                <c:pt idx="890">
                  <c:v>17938.285714285706</c:v>
                </c:pt>
                <c:pt idx="891">
                  <c:v>17938.285714285706</c:v>
                </c:pt>
                <c:pt idx="892">
                  <c:v>17938.285714285706</c:v>
                </c:pt>
                <c:pt idx="893">
                  <c:v>17938.285714285706</c:v>
                </c:pt>
                <c:pt idx="894">
                  <c:v>17938.285714285706</c:v>
                </c:pt>
                <c:pt idx="895">
                  <c:v>17938.285714285706</c:v>
                </c:pt>
                <c:pt idx="896">
                  <c:v>17938.285714285706</c:v>
                </c:pt>
                <c:pt idx="897">
                  <c:v>17938.285714285706</c:v>
                </c:pt>
                <c:pt idx="898">
                  <c:v>17938.285714285706</c:v>
                </c:pt>
                <c:pt idx="899">
                  <c:v>17938.285714285706</c:v>
                </c:pt>
                <c:pt idx="900">
                  <c:v>17938.285714285706</c:v>
                </c:pt>
                <c:pt idx="901">
                  <c:v>16866.285714285717</c:v>
                </c:pt>
                <c:pt idx="902">
                  <c:v>17938.285714285706</c:v>
                </c:pt>
                <c:pt idx="903">
                  <c:v>17938.285714285706</c:v>
                </c:pt>
                <c:pt idx="904">
                  <c:v>17938.285714285706</c:v>
                </c:pt>
                <c:pt idx="905">
                  <c:v>17938.285714285706</c:v>
                </c:pt>
                <c:pt idx="906">
                  <c:v>17938.285714285706</c:v>
                </c:pt>
                <c:pt idx="907">
                  <c:v>17938.285714285706</c:v>
                </c:pt>
                <c:pt idx="908">
                  <c:v>17938.285714285706</c:v>
                </c:pt>
                <c:pt idx="909">
                  <c:v>17938.285714285706</c:v>
                </c:pt>
                <c:pt idx="910">
                  <c:v>17938.285714285706</c:v>
                </c:pt>
                <c:pt idx="911">
                  <c:v>16866.285714285717</c:v>
                </c:pt>
                <c:pt idx="912">
                  <c:v>16610.28571428571</c:v>
                </c:pt>
                <c:pt idx="913">
                  <c:v>16610.28571428571</c:v>
                </c:pt>
                <c:pt idx="914">
                  <c:v>16610.28571428571</c:v>
                </c:pt>
                <c:pt idx="915">
                  <c:v>16610.28571428571</c:v>
                </c:pt>
                <c:pt idx="916">
                  <c:v>16610.28571428571</c:v>
                </c:pt>
                <c:pt idx="917">
                  <c:v>16866.285714285717</c:v>
                </c:pt>
                <c:pt idx="918">
                  <c:v>16866.285714285717</c:v>
                </c:pt>
                <c:pt idx="919">
                  <c:v>16866.285714285717</c:v>
                </c:pt>
                <c:pt idx="920">
                  <c:v>16866.285714285717</c:v>
                </c:pt>
                <c:pt idx="921">
                  <c:v>16866.285714285717</c:v>
                </c:pt>
                <c:pt idx="922">
                  <c:v>16866.285714285717</c:v>
                </c:pt>
                <c:pt idx="923">
                  <c:v>16866.285714285717</c:v>
                </c:pt>
                <c:pt idx="924">
                  <c:v>16866.285714285717</c:v>
                </c:pt>
                <c:pt idx="925">
                  <c:v>16866.285714285717</c:v>
                </c:pt>
                <c:pt idx="926">
                  <c:v>16866.285714285717</c:v>
                </c:pt>
                <c:pt idx="927">
                  <c:v>16866.285714285717</c:v>
                </c:pt>
                <c:pt idx="928">
                  <c:v>16866.285714285717</c:v>
                </c:pt>
                <c:pt idx="929">
                  <c:v>18338.285714285717</c:v>
                </c:pt>
                <c:pt idx="930">
                  <c:v>17394.285714285717</c:v>
                </c:pt>
                <c:pt idx="931">
                  <c:v>17394.285714285717</c:v>
                </c:pt>
                <c:pt idx="932">
                  <c:v>17394.285714285717</c:v>
                </c:pt>
                <c:pt idx="933">
                  <c:v>17394.285714285717</c:v>
                </c:pt>
                <c:pt idx="934">
                  <c:v>17634.285714285717</c:v>
                </c:pt>
                <c:pt idx="935">
                  <c:v>17890.285714285717</c:v>
                </c:pt>
                <c:pt idx="936">
                  <c:v>17890.285714285717</c:v>
                </c:pt>
                <c:pt idx="937">
                  <c:v>17890.285714285717</c:v>
                </c:pt>
                <c:pt idx="938">
                  <c:v>18338.285714285717</c:v>
                </c:pt>
                <c:pt idx="939">
                  <c:v>17890.285714285717</c:v>
                </c:pt>
                <c:pt idx="940">
                  <c:v>18034.285714285717</c:v>
                </c:pt>
                <c:pt idx="941">
                  <c:v>18034.285714285717</c:v>
                </c:pt>
                <c:pt idx="942">
                  <c:v>18034.285714285717</c:v>
                </c:pt>
                <c:pt idx="943">
                  <c:v>18034.285714285717</c:v>
                </c:pt>
                <c:pt idx="944">
                  <c:v>17570.285714285717</c:v>
                </c:pt>
                <c:pt idx="945">
                  <c:v>17570.285714285717</c:v>
                </c:pt>
                <c:pt idx="946">
                  <c:v>18290.285714285717</c:v>
                </c:pt>
                <c:pt idx="947">
                  <c:v>17570.285714285717</c:v>
                </c:pt>
                <c:pt idx="948">
                  <c:v>17570.285714285717</c:v>
                </c:pt>
                <c:pt idx="949">
                  <c:v>17570.285714285717</c:v>
                </c:pt>
                <c:pt idx="950">
                  <c:v>17570.285714285717</c:v>
                </c:pt>
                <c:pt idx="951">
                  <c:v>17570.285714285717</c:v>
                </c:pt>
                <c:pt idx="952">
                  <c:v>17570.285714285717</c:v>
                </c:pt>
                <c:pt idx="953">
                  <c:v>17570.285714285717</c:v>
                </c:pt>
                <c:pt idx="954">
                  <c:v>17570.285714285717</c:v>
                </c:pt>
                <c:pt idx="955">
                  <c:v>17570.285714285717</c:v>
                </c:pt>
                <c:pt idx="956">
                  <c:v>18290.285714285717</c:v>
                </c:pt>
                <c:pt idx="957">
                  <c:v>17570.285714285717</c:v>
                </c:pt>
                <c:pt idx="958">
                  <c:v>17570.285714285717</c:v>
                </c:pt>
                <c:pt idx="959">
                  <c:v>18290.285714285717</c:v>
                </c:pt>
                <c:pt idx="960">
                  <c:v>17570.285714285717</c:v>
                </c:pt>
                <c:pt idx="961">
                  <c:v>17714.285714285717</c:v>
                </c:pt>
                <c:pt idx="962">
                  <c:v>18290.285714285717</c:v>
                </c:pt>
                <c:pt idx="963">
                  <c:v>18290.285714285717</c:v>
                </c:pt>
                <c:pt idx="964">
                  <c:v>18290.285714285717</c:v>
                </c:pt>
                <c:pt idx="965">
                  <c:v>18290.285714285717</c:v>
                </c:pt>
                <c:pt idx="966">
                  <c:v>18290.285714285717</c:v>
                </c:pt>
                <c:pt idx="967">
                  <c:v>18290.285714285717</c:v>
                </c:pt>
                <c:pt idx="968">
                  <c:v>18290.285714285717</c:v>
                </c:pt>
                <c:pt idx="969">
                  <c:v>18290.285714285717</c:v>
                </c:pt>
                <c:pt idx="970">
                  <c:v>18290.285714285717</c:v>
                </c:pt>
                <c:pt idx="971">
                  <c:v>18290.285714285717</c:v>
                </c:pt>
                <c:pt idx="972">
                  <c:v>18290.285714285717</c:v>
                </c:pt>
                <c:pt idx="973">
                  <c:v>18290.285714285717</c:v>
                </c:pt>
                <c:pt idx="974">
                  <c:v>18290.285714285717</c:v>
                </c:pt>
                <c:pt idx="975">
                  <c:v>18290.285714285717</c:v>
                </c:pt>
                <c:pt idx="976">
                  <c:v>18290.285714285717</c:v>
                </c:pt>
                <c:pt idx="977">
                  <c:v>18290.285714285717</c:v>
                </c:pt>
                <c:pt idx="978">
                  <c:v>18338.285714285717</c:v>
                </c:pt>
                <c:pt idx="979">
                  <c:v>18338.285714285717</c:v>
                </c:pt>
                <c:pt idx="980">
                  <c:v>18338.285714285717</c:v>
                </c:pt>
                <c:pt idx="981">
                  <c:v>18338.285714285717</c:v>
                </c:pt>
                <c:pt idx="982">
                  <c:v>18338.285714285717</c:v>
                </c:pt>
                <c:pt idx="983">
                  <c:v>18338.285714285717</c:v>
                </c:pt>
                <c:pt idx="984">
                  <c:v>18338.285714285717</c:v>
                </c:pt>
                <c:pt idx="985">
                  <c:v>18338.285714285717</c:v>
                </c:pt>
                <c:pt idx="986">
                  <c:v>18338.285714285717</c:v>
                </c:pt>
                <c:pt idx="987">
                  <c:v>18338.285714285717</c:v>
                </c:pt>
                <c:pt idx="988">
                  <c:v>18338.285714285717</c:v>
                </c:pt>
                <c:pt idx="989">
                  <c:v>18850.285714285717</c:v>
                </c:pt>
                <c:pt idx="990">
                  <c:v>18850.285714285717</c:v>
                </c:pt>
                <c:pt idx="991">
                  <c:v>18802.285714285717</c:v>
                </c:pt>
                <c:pt idx="992">
                  <c:v>18802.285714285717</c:v>
                </c:pt>
                <c:pt idx="993">
                  <c:v>18802.285714285717</c:v>
                </c:pt>
                <c:pt idx="994">
                  <c:v>18802.285714285717</c:v>
                </c:pt>
                <c:pt idx="995">
                  <c:v>18802.285714285717</c:v>
                </c:pt>
                <c:pt idx="996">
                  <c:v>18802.285714285717</c:v>
                </c:pt>
                <c:pt idx="997">
                  <c:v>18850.285714285717</c:v>
                </c:pt>
                <c:pt idx="998">
                  <c:v>19106.285714285717</c:v>
                </c:pt>
                <c:pt idx="999">
                  <c:v>18242.285714285717</c:v>
                </c:pt>
                <c:pt idx="1000">
                  <c:v>15682.285714285717</c:v>
                </c:pt>
                <c:pt idx="1001">
                  <c:v>15682.285714285717</c:v>
                </c:pt>
                <c:pt idx="1002">
                  <c:v>15874.285714285717</c:v>
                </c:pt>
                <c:pt idx="1003">
                  <c:v>15874.285714285717</c:v>
                </c:pt>
                <c:pt idx="1004">
                  <c:v>15874.285714285717</c:v>
                </c:pt>
                <c:pt idx="1005">
                  <c:v>15874.285714285717</c:v>
                </c:pt>
                <c:pt idx="1006">
                  <c:v>15874.285714285717</c:v>
                </c:pt>
                <c:pt idx="1007">
                  <c:v>15874.285714285717</c:v>
                </c:pt>
                <c:pt idx="1008">
                  <c:v>15874.285714285717</c:v>
                </c:pt>
                <c:pt idx="1009">
                  <c:v>15874.285714285717</c:v>
                </c:pt>
                <c:pt idx="1010">
                  <c:v>15874.285714285717</c:v>
                </c:pt>
                <c:pt idx="1011">
                  <c:v>15874.285714285717</c:v>
                </c:pt>
                <c:pt idx="1012">
                  <c:v>15874.285714285717</c:v>
                </c:pt>
                <c:pt idx="1013">
                  <c:v>15874.285714285717</c:v>
                </c:pt>
                <c:pt idx="1014">
                  <c:v>16018.285714285717</c:v>
                </c:pt>
                <c:pt idx="1015">
                  <c:v>15874.285714285717</c:v>
                </c:pt>
                <c:pt idx="1016">
                  <c:v>15874.285714285717</c:v>
                </c:pt>
                <c:pt idx="1017">
                  <c:v>15874.285714285717</c:v>
                </c:pt>
                <c:pt idx="1018">
                  <c:v>15778.285714285717</c:v>
                </c:pt>
                <c:pt idx="1019">
                  <c:v>15650.285714285717</c:v>
                </c:pt>
                <c:pt idx="1020">
                  <c:v>15650.285714285717</c:v>
                </c:pt>
                <c:pt idx="1021">
                  <c:v>15650.285714285717</c:v>
                </c:pt>
                <c:pt idx="1022">
                  <c:v>15650.285714285717</c:v>
                </c:pt>
                <c:pt idx="1023">
                  <c:v>15650.285714285717</c:v>
                </c:pt>
                <c:pt idx="1024">
                  <c:v>15650.285714285717</c:v>
                </c:pt>
                <c:pt idx="1026">
                  <c:v>256.00000000000466</c:v>
                </c:pt>
                <c:pt idx="1027">
                  <c:v>256.00000000000466</c:v>
                </c:pt>
                <c:pt idx="1028">
                  <c:v>256.00000000000466</c:v>
                </c:pt>
                <c:pt idx="1029">
                  <c:v>256.00000000000466</c:v>
                </c:pt>
                <c:pt idx="1030">
                  <c:v>256.00000000000466</c:v>
                </c:pt>
                <c:pt idx="1031">
                  <c:v>256.00000000000466</c:v>
                </c:pt>
                <c:pt idx="1032">
                  <c:v>256.00000000000466</c:v>
                </c:pt>
                <c:pt idx="1033">
                  <c:v>256.00000000000466</c:v>
                </c:pt>
                <c:pt idx="1034">
                  <c:v>256.00000000000466</c:v>
                </c:pt>
                <c:pt idx="1035">
                  <c:v>256.00000000000466</c:v>
                </c:pt>
                <c:pt idx="1036">
                  <c:v>256.00000000000466</c:v>
                </c:pt>
                <c:pt idx="1037">
                  <c:v>256.00000000000466</c:v>
                </c:pt>
                <c:pt idx="1038">
                  <c:v>256.00000000000466</c:v>
                </c:pt>
                <c:pt idx="1039">
                  <c:v>256.00000000000466</c:v>
                </c:pt>
                <c:pt idx="1040">
                  <c:v>256.00000000000466</c:v>
                </c:pt>
                <c:pt idx="1041">
                  <c:v>256.00000000000466</c:v>
                </c:pt>
                <c:pt idx="1042">
                  <c:v>256.00000000000466</c:v>
                </c:pt>
                <c:pt idx="1043">
                  <c:v>256.00000000000466</c:v>
                </c:pt>
                <c:pt idx="1044">
                  <c:v>256.00000000000466</c:v>
                </c:pt>
                <c:pt idx="1045">
                  <c:v>256.00000000000466</c:v>
                </c:pt>
                <c:pt idx="1046">
                  <c:v>256.00000000000466</c:v>
                </c:pt>
                <c:pt idx="1047">
                  <c:v>256.00000000000466</c:v>
                </c:pt>
                <c:pt idx="1048">
                  <c:v>256.00000000000466</c:v>
                </c:pt>
                <c:pt idx="1049">
                  <c:v>256.00000000000466</c:v>
                </c:pt>
                <c:pt idx="1050">
                  <c:v>256.00000000000466</c:v>
                </c:pt>
                <c:pt idx="1051">
                  <c:v>256.00000000000466</c:v>
                </c:pt>
                <c:pt idx="1052">
                  <c:v>256.00000000000466</c:v>
                </c:pt>
                <c:pt idx="1053">
                  <c:v>256.00000000000466</c:v>
                </c:pt>
                <c:pt idx="1054">
                  <c:v>256.00000000000466</c:v>
                </c:pt>
                <c:pt idx="1055">
                  <c:v>256.00000000000466</c:v>
                </c:pt>
                <c:pt idx="1056">
                  <c:v>256.00000000000466</c:v>
                </c:pt>
                <c:pt idx="1057">
                  <c:v>256.00000000000466</c:v>
                </c:pt>
                <c:pt idx="1058">
                  <c:v>256.00000000000466</c:v>
                </c:pt>
                <c:pt idx="1059">
                  <c:v>256.00000000000466</c:v>
                </c:pt>
                <c:pt idx="1060">
                  <c:v>256.00000000000466</c:v>
                </c:pt>
                <c:pt idx="1061">
                  <c:v>256.00000000000466</c:v>
                </c:pt>
                <c:pt idx="1062">
                  <c:v>256.00000000000466</c:v>
                </c:pt>
                <c:pt idx="1063">
                  <c:v>256.00000000000466</c:v>
                </c:pt>
                <c:pt idx="1064">
                  <c:v>256.00000000000466</c:v>
                </c:pt>
                <c:pt idx="1065">
                  <c:v>256.00000000000466</c:v>
                </c:pt>
                <c:pt idx="1066">
                  <c:v>256.00000000000466</c:v>
                </c:pt>
                <c:pt idx="1067">
                  <c:v>256.00000000000466</c:v>
                </c:pt>
                <c:pt idx="1068">
                  <c:v>256.00000000000466</c:v>
                </c:pt>
                <c:pt idx="1069">
                  <c:v>256.00000000000466</c:v>
                </c:pt>
                <c:pt idx="1070">
                  <c:v>256.00000000000466</c:v>
                </c:pt>
                <c:pt idx="1071">
                  <c:v>256.00000000000466</c:v>
                </c:pt>
                <c:pt idx="1072">
                  <c:v>256.00000000000466</c:v>
                </c:pt>
                <c:pt idx="1073">
                  <c:v>256.00000000000466</c:v>
                </c:pt>
                <c:pt idx="1074">
                  <c:v>256.00000000000466</c:v>
                </c:pt>
                <c:pt idx="1075">
                  <c:v>256.00000000000466</c:v>
                </c:pt>
                <c:pt idx="1076">
                  <c:v>256.00000000000466</c:v>
                </c:pt>
                <c:pt idx="1077">
                  <c:v>256.00000000000466</c:v>
                </c:pt>
                <c:pt idx="1078">
                  <c:v>256.00000000000466</c:v>
                </c:pt>
                <c:pt idx="1079">
                  <c:v>256.00000000000466</c:v>
                </c:pt>
                <c:pt idx="1080">
                  <c:v>256.00000000000466</c:v>
                </c:pt>
                <c:pt idx="1081">
                  <c:v>256.00000000000466</c:v>
                </c:pt>
                <c:pt idx="1082">
                  <c:v>256.00000000000466</c:v>
                </c:pt>
                <c:pt idx="1083">
                  <c:v>256.00000000000466</c:v>
                </c:pt>
                <c:pt idx="1084">
                  <c:v>256.00000000000466</c:v>
                </c:pt>
                <c:pt idx="1085">
                  <c:v>256.00000000000466</c:v>
                </c:pt>
                <c:pt idx="1086">
                  <c:v>256.00000000000466</c:v>
                </c:pt>
                <c:pt idx="1087">
                  <c:v>256.00000000000466</c:v>
                </c:pt>
                <c:pt idx="1088">
                  <c:v>256.00000000000466</c:v>
                </c:pt>
                <c:pt idx="1089">
                  <c:v>256.00000000000466</c:v>
                </c:pt>
                <c:pt idx="1090">
                  <c:v>256.00000000000466</c:v>
                </c:pt>
                <c:pt idx="1091">
                  <c:v>256.00000000000466</c:v>
                </c:pt>
                <c:pt idx="1092">
                  <c:v>256.00000000000466</c:v>
                </c:pt>
                <c:pt idx="1093">
                  <c:v>256.00000000000466</c:v>
                </c:pt>
                <c:pt idx="1094">
                  <c:v>256.00000000000466</c:v>
                </c:pt>
                <c:pt idx="1095">
                  <c:v>256.00000000000466</c:v>
                </c:pt>
                <c:pt idx="1096">
                  <c:v>256.00000000000466</c:v>
                </c:pt>
                <c:pt idx="1097">
                  <c:v>256.00000000000466</c:v>
                </c:pt>
                <c:pt idx="1098">
                  <c:v>256.00000000000466</c:v>
                </c:pt>
                <c:pt idx="1099">
                  <c:v>256.00000000000466</c:v>
                </c:pt>
                <c:pt idx="1100">
                  <c:v>256.00000000000466</c:v>
                </c:pt>
                <c:pt idx="1101">
                  <c:v>256.00000000000466</c:v>
                </c:pt>
                <c:pt idx="1102">
                  <c:v>256.00000000000466</c:v>
                </c:pt>
                <c:pt idx="1103">
                  <c:v>256.00000000000466</c:v>
                </c:pt>
                <c:pt idx="1104">
                  <c:v>256.00000000000466</c:v>
                </c:pt>
                <c:pt idx="1105">
                  <c:v>256.00000000000466</c:v>
                </c:pt>
                <c:pt idx="1106">
                  <c:v>256.00000000000466</c:v>
                </c:pt>
                <c:pt idx="1107">
                  <c:v>256.00000000000466</c:v>
                </c:pt>
                <c:pt idx="1108">
                  <c:v>256.00000000000466</c:v>
                </c:pt>
                <c:pt idx="1109">
                  <c:v>256.00000000000466</c:v>
                </c:pt>
                <c:pt idx="1110">
                  <c:v>256.00000000000466</c:v>
                </c:pt>
                <c:pt idx="1111">
                  <c:v>256.00000000000466</c:v>
                </c:pt>
                <c:pt idx="1112">
                  <c:v>256.00000000000466</c:v>
                </c:pt>
                <c:pt idx="1113">
                  <c:v>256.00000000000466</c:v>
                </c:pt>
                <c:pt idx="1114">
                  <c:v>256.00000000000466</c:v>
                </c:pt>
                <c:pt idx="1115">
                  <c:v>256.00000000000466</c:v>
                </c:pt>
                <c:pt idx="1116">
                  <c:v>256.00000000000466</c:v>
                </c:pt>
                <c:pt idx="1117">
                  <c:v>256.00000000000466</c:v>
                </c:pt>
                <c:pt idx="1118">
                  <c:v>256.00000000000466</c:v>
                </c:pt>
                <c:pt idx="1119">
                  <c:v>256.00000000000466</c:v>
                </c:pt>
                <c:pt idx="1120">
                  <c:v>256.00000000000466</c:v>
                </c:pt>
                <c:pt idx="1121">
                  <c:v>256.00000000000466</c:v>
                </c:pt>
                <c:pt idx="1122">
                  <c:v>256.00000000000466</c:v>
                </c:pt>
                <c:pt idx="1123">
                  <c:v>256.00000000000466</c:v>
                </c:pt>
                <c:pt idx="1124">
                  <c:v>256.00000000000466</c:v>
                </c:pt>
                <c:pt idx="1125">
                  <c:v>256.00000000000466</c:v>
                </c:pt>
                <c:pt idx="1126">
                  <c:v>256.00000000000466</c:v>
                </c:pt>
                <c:pt idx="1127">
                  <c:v>256.00000000000466</c:v>
                </c:pt>
                <c:pt idx="1128">
                  <c:v>256.00000000000466</c:v>
                </c:pt>
                <c:pt idx="1129">
                  <c:v>256.00000000000466</c:v>
                </c:pt>
                <c:pt idx="1130">
                  <c:v>256.00000000000466</c:v>
                </c:pt>
                <c:pt idx="1131">
                  <c:v>256.00000000000466</c:v>
                </c:pt>
                <c:pt idx="1132">
                  <c:v>256.00000000000466</c:v>
                </c:pt>
                <c:pt idx="1133">
                  <c:v>256.00000000000466</c:v>
                </c:pt>
                <c:pt idx="1134">
                  <c:v>256.00000000000466</c:v>
                </c:pt>
                <c:pt idx="1135">
                  <c:v>256.00000000000466</c:v>
                </c:pt>
                <c:pt idx="1136">
                  <c:v>256.00000000000466</c:v>
                </c:pt>
                <c:pt idx="1137">
                  <c:v>256.00000000000466</c:v>
                </c:pt>
                <c:pt idx="1138">
                  <c:v>256.00000000000466</c:v>
                </c:pt>
                <c:pt idx="1139">
                  <c:v>256.00000000000466</c:v>
                </c:pt>
                <c:pt idx="1140">
                  <c:v>256.00000000000466</c:v>
                </c:pt>
                <c:pt idx="1141">
                  <c:v>256.00000000000466</c:v>
                </c:pt>
                <c:pt idx="1142">
                  <c:v>256.00000000000466</c:v>
                </c:pt>
                <c:pt idx="1143">
                  <c:v>256.00000000000466</c:v>
                </c:pt>
                <c:pt idx="1144">
                  <c:v>256.00000000000466</c:v>
                </c:pt>
                <c:pt idx="1145">
                  <c:v>256.00000000000466</c:v>
                </c:pt>
                <c:pt idx="1146">
                  <c:v>256.00000000000466</c:v>
                </c:pt>
                <c:pt idx="1147">
                  <c:v>256.00000000000466</c:v>
                </c:pt>
                <c:pt idx="1148">
                  <c:v>256.00000000000466</c:v>
                </c:pt>
                <c:pt idx="1149">
                  <c:v>256.00000000000466</c:v>
                </c:pt>
                <c:pt idx="1150">
                  <c:v>256.00000000000466</c:v>
                </c:pt>
                <c:pt idx="1151">
                  <c:v>256.00000000000466</c:v>
                </c:pt>
                <c:pt idx="1152">
                  <c:v>256.00000000000466</c:v>
                </c:pt>
                <c:pt idx="1153">
                  <c:v>256.00000000000466</c:v>
                </c:pt>
                <c:pt idx="1154">
                  <c:v>256.00000000000466</c:v>
                </c:pt>
                <c:pt idx="1155">
                  <c:v>256.00000000000466</c:v>
                </c:pt>
                <c:pt idx="1156">
                  <c:v>256.00000000000466</c:v>
                </c:pt>
                <c:pt idx="1157">
                  <c:v>256.00000000000466</c:v>
                </c:pt>
                <c:pt idx="1158">
                  <c:v>256.00000000000466</c:v>
                </c:pt>
                <c:pt idx="1159">
                  <c:v>256.00000000000466</c:v>
                </c:pt>
                <c:pt idx="1160">
                  <c:v>256.00000000000466</c:v>
                </c:pt>
                <c:pt idx="1161">
                  <c:v>256.00000000000466</c:v>
                </c:pt>
                <c:pt idx="1162">
                  <c:v>256.00000000000466</c:v>
                </c:pt>
                <c:pt idx="1163">
                  <c:v>256.00000000000466</c:v>
                </c:pt>
                <c:pt idx="1164">
                  <c:v>256.00000000000466</c:v>
                </c:pt>
                <c:pt idx="1165">
                  <c:v>256.00000000000466</c:v>
                </c:pt>
                <c:pt idx="1166">
                  <c:v>256.00000000000466</c:v>
                </c:pt>
                <c:pt idx="1167">
                  <c:v>256.00000000000466</c:v>
                </c:pt>
                <c:pt idx="1168">
                  <c:v>256.00000000000466</c:v>
                </c:pt>
                <c:pt idx="1169">
                  <c:v>256.00000000000466</c:v>
                </c:pt>
                <c:pt idx="1170">
                  <c:v>256.00000000000466</c:v>
                </c:pt>
                <c:pt idx="1171">
                  <c:v>256.00000000000466</c:v>
                </c:pt>
                <c:pt idx="1172">
                  <c:v>256.00000000000466</c:v>
                </c:pt>
                <c:pt idx="1173">
                  <c:v>256.00000000000466</c:v>
                </c:pt>
                <c:pt idx="1174">
                  <c:v>256.00000000000466</c:v>
                </c:pt>
                <c:pt idx="1175">
                  <c:v>256.00000000000466</c:v>
                </c:pt>
                <c:pt idx="1176">
                  <c:v>256.00000000000466</c:v>
                </c:pt>
                <c:pt idx="1177">
                  <c:v>256.00000000000466</c:v>
                </c:pt>
                <c:pt idx="1178">
                  <c:v>256.00000000000466</c:v>
                </c:pt>
                <c:pt idx="1179">
                  <c:v>256.00000000000466</c:v>
                </c:pt>
                <c:pt idx="1180">
                  <c:v>256.00000000000466</c:v>
                </c:pt>
                <c:pt idx="1181">
                  <c:v>256.00000000000466</c:v>
                </c:pt>
                <c:pt idx="1182">
                  <c:v>256.00000000000466</c:v>
                </c:pt>
                <c:pt idx="1183">
                  <c:v>256.00000000000466</c:v>
                </c:pt>
                <c:pt idx="1184">
                  <c:v>256.00000000000466</c:v>
                </c:pt>
                <c:pt idx="1185">
                  <c:v>256.00000000000466</c:v>
                </c:pt>
                <c:pt idx="1186">
                  <c:v>256.00000000000466</c:v>
                </c:pt>
                <c:pt idx="1187">
                  <c:v>256.00000000000466</c:v>
                </c:pt>
                <c:pt idx="1188">
                  <c:v>256.00000000000466</c:v>
                </c:pt>
                <c:pt idx="1189">
                  <c:v>256.00000000000466</c:v>
                </c:pt>
                <c:pt idx="1190">
                  <c:v>256.00000000000466</c:v>
                </c:pt>
                <c:pt idx="1191">
                  <c:v>256.00000000000466</c:v>
                </c:pt>
                <c:pt idx="1192">
                  <c:v>256.00000000000466</c:v>
                </c:pt>
                <c:pt idx="1193">
                  <c:v>256.00000000000466</c:v>
                </c:pt>
                <c:pt idx="1194">
                  <c:v>256.00000000000466</c:v>
                </c:pt>
                <c:pt idx="1195">
                  <c:v>256.00000000000466</c:v>
                </c:pt>
                <c:pt idx="1196">
                  <c:v>256.00000000000466</c:v>
                </c:pt>
                <c:pt idx="1197">
                  <c:v>256.00000000000466</c:v>
                </c:pt>
                <c:pt idx="1198">
                  <c:v>256.00000000000466</c:v>
                </c:pt>
                <c:pt idx="1199">
                  <c:v>256.00000000000466</c:v>
                </c:pt>
                <c:pt idx="1200">
                  <c:v>256.00000000000466</c:v>
                </c:pt>
                <c:pt idx="1201">
                  <c:v>256.00000000000466</c:v>
                </c:pt>
                <c:pt idx="1202">
                  <c:v>256.00000000000466</c:v>
                </c:pt>
                <c:pt idx="1203">
                  <c:v>256.00000000000466</c:v>
                </c:pt>
                <c:pt idx="1204">
                  <c:v>256.00000000000466</c:v>
                </c:pt>
                <c:pt idx="1205">
                  <c:v>256.00000000000466</c:v>
                </c:pt>
                <c:pt idx="1206">
                  <c:v>256.00000000000466</c:v>
                </c:pt>
                <c:pt idx="1207">
                  <c:v>256.00000000000466</c:v>
                </c:pt>
                <c:pt idx="1208">
                  <c:v>256.00000000000466</c:v>
                </c:pt>
                <c:pt idx="1209">
                  <c:v>256.00000000000466</c:v>
                </c:pt>
                <c:pt idx="1210">
                  <c:v>256.00000000000466</c:v>
                </c:pt>
                <c:pt idx="1211">
                  <c:v>256.00000000000466</c:v>
                </c:pt>
                <c:pt idx="1212">
                  <c:v>256.00000000000466</c:v>
                </c:pt>
                <c:pt idx="1213">
                  <c:v>256.00000000000466</c:v>
                </c:pt>
                <c:pt idx="1214">
                  <c:v>256.00000000000466</c:v>
                </c:pt>
                <c:pt idx="1215">
                  <c:v>256.00000000000466</c:v>
                </c:pt>
                <c:pt idx="1216">
                  <c:v>256.00000000000466</c:v>
                </c:pt>
                <c:pt idx="1217">
                  <c:v>256.00000000000466</c:v>
                </c:pt>
                <c:pt idx="1218">
                  <c:v>256.00000000000466</c:v>
                </c:pt>
                <c:pt idx="1219">
                  <c:v>256.00000000000466</c:v>
                </c:pt>
                <c:pt idx="1220">
                  <c:v>256.00000000000466</c:v>
                </c:pt>
                <c:pt idx="1221">
                  <c:v>256.00000000000466</c:v>
                </c:pt>
                <c:pt idx="1222">
                  <c:v>256.00000000000466</c:v>
                </c:pt>
                <c:pt idx="1223">
                  <c:v>256.00000000000466</c:v>
                </c:pt>
                <c:pt idx="1224">
                  <c:v>256.00000000000466</c:v>
                </c:pt>
                <c:pt idx="1225">
                  <c:v>256.00000000000466</c:v>
                </c:pt>
                <c:pt idx="1226">
                  <c:v>256.00000000000466</c:v>
                </c:pt>
                <c:pt idx="1227">
                  <c:v>256.00000000000466</c:v>
                </c:pt>
                <c:pt idx="1228">
                  <c:v>256.00000000000466</c:v>
                </c:pt>
                <c:pt idx="1229">
                  <c:v>256.00000000000466</c:v>
                </c:pt>
                <c:pt idx="1230">
                  <c:v>256.00000000000466</c:v>
                </c:pt>
                <c:pt idx="1231">
                  <c:v>256.00000000000466</c:v>
                </c:pt>
                <c:pt idx="1232">
                  <c:v>256.00000000000466</c:v>
                </c:pt>
                <c:pt idx="1233">
                  <c:v>256.00000000000466</c:v>
                </c:pt>
                <c:pt idx="1234">
                  <c:v>256.00000000000466</c:v>
                </c:pt>
                <c:pt idx="1235">
                  <c:v>256.00000000000466</c:v>
                </c:pt>
                <c:pt idx="1236">
                  <c:v>256.00000000000466</c:v>
                </c:pt>
              </c:numCache>
            </c:numRef>
          </c:val>
          <c:smooth val="0"/>
          <c:extLst>
            <c:ext xmlns:c16="http://schemas.microsoft.com/office/drawing/2014/chart" uri="{C3380CC4-5D6E-409C-BE32-E72D297353CC}">
              <c16:uniqueId val="{00000001-D34F-4DB9-92BB-AAB5D2D1FF32}"/>
            </c:ext>
          </c:extLst>
        </c:ser>
        <c:dLbls>
          <c:showLegendKey val="0"/>
          <c:showVal val="0"/>
          <c:showCatName val="0"/>
          <c:showSerName val="0"/>
          <c:showPercent val="0"/>
          <c:showBubbleSize val="0"/>
        </c:dLbls>
        <c:smooth val="0"/>
        <c:axId val="807504815"/>
        <c:axId val="1021000239"/>
      </c:lineChart>
      <c:catAx>
        <c:axId val="807504815"/>
        <c:scaling>
          <c:orientation val="minMax"/>
        </c:scaling>
        <c:delete val="0"/>
        <c:axPos val="b"/>
        <c:numFmt formatCode="General" sourceLinked="1"/>
        <c:majorTickMark val="none"/>
        <c:minorTickMark val="none"/>
        <c:tickLblPos val="low"/>
        <c:spPr>
          <a:noFill/>
          <a:ln w="9525" cap="flat" cmpd="sng" algn="ctr">
            <a:solidFill>
              <a:schemeClr val="tx2">
                <a:lumMod val="65000"/>
                <a:lumOff val="35000"/>
              </a:schemeClr>
            </a:solidFill>
            <a:round/>
          </a:ln>
          <a:effectLst/>
        </c:spPr>
        <c:txPr>
          <a:bodyPr rot="-60000000" spcFirstLastPara="1" vertOverflow="ellipsis" vert="horz" wrap="square" anchor="ctr" anchorCtr="1"/>
          <a:lstStyle/>
          <a:p>
            <a:pPr>
              <a:defRPr sz="600" b="0" i="0" u="none" strike="noStrike" kern="1200" baseline="0">
                <a:solidFill>
                  <a:schemeClr val="tx1">
                    <a:lumMod val="75000"/>
                    <a:lumOff val="25000"/>
                  </a:schemeClr>
                </a:solidFill>
                <a:latin typeface="+mn-lt"/>
                <a:ea typeface="+mn-ea"/>
                <a:cs typeface="+mn-cs"/>
              </a:defRPr>
            </a:pPr>
            <a:endParaRPr lang="en-US"/>
          </a:p>
        </c:txPr>
        <c:crossAx val="1021000239"/>
        <c:crosses val="autoZero"/>
        <c:auto val="1"/>
        <c:lblAlgn val="ctr"/>
        <c:lblOffset val="100"/>
        <c:noMultiLvlLbl val="0"/>
      </c:catAx>
      <c:valAx>
        <c:axId val="10210002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807504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'Journal Live'!$AM$1388</c:f>
              <c:strCache>
                <c:ptCount val="1"/>
              </c:strCache>
            </c:strRef>
          </c:tx>
          <c:spPr>
            <a:solidFill>
              <a:schemeClr val="tx1">
                <a:lumMod val="65000"/>
                <a:lumOff val="35000"/>
              </a:schemeClr>
            </a:solidFill>
            <a:ln>
              <a:noFill/>
            </a:ln>
            <a:effectLst/>
          </c:spPr>
          <c:invertIfNegative val="0"/>
          <c:cat>
            <c:strRef>
              <c:f>'Journal Live'!$A$1389:$A$2630</c:f>
              <c:strCache>
                <c:ptCount val="1237"/>
                <c:pt idx="0">
                  <c:v>JAN.24</c:v>
                </c:pt>
                <c:pt idx="1">
                  <c:v>JAN.24</c:v>
                </c:pt>
                <c:pt idx="2">
                  <c:v>JAN.24</c:v>
                </c:pt>
                <c:pt idx="3">
                  <c:v>JAN.24</c:v>
                </c:pt>
                <c:pt idx="4">
                  <c:v>JAN.24</c:v>
                </c:pt>
                <c:pt idx="5">
                  <c:v>JAN.24</c:v>
                </c:pt>
                <c:pt idx="6">
                  <c:v>JAN.24</c:v>
                </c:pt>
                <c:pt idx="7">
                  <c:v>JAN.24</c:v>
                </c:pt>
                <c:pt idx="8">
                  <c:v>JAN.24</c:v>
                </c:pt>
                <c:pt idx="9">
                  <c:v>JAN.24</c:v>
                </c:pt>
                <c:pt idx="10">
                  <c:v>JAN.24</c:v>
                </c:pt>
                <c:pt idx="11">
                  <c:v>JAN.24</c:v>
                </c:pt>
                <c:pt idx="12">
                  <c:v>JAN.24</c:v>
                </c:pt>
                <c:pt idx="13">
                  <c:v>JAN.24</c:v>
                </c:pt>
                <c:pt idx="14">
                  <c:v>JAN.24</c:v>
                </c:pt>
                <c:pt idx="15">
                  <c:v>JAN.24</c:v>
                </c:pt>
                <c:pt idx="16">
                  <c:v>JAN.24</c:v>
                </c:pt>
                <c:pt idx="17">
                  <c:v>JAN.24</c:v>
                </c:pt>
                <c:pt idx="18">
                  <c:v>JAN.24</c:v>
                </c:pt>
                <c:pt idx="19">
                  <c:v>JAN.24</c:v>
                </c:pt>
                <c:pt idx="20">
                  <c:v>JAN.24</c:v>
                </c:pt>
                <c:pt idx="21">
                  <c:v>JAN.24</c:v>
                </c:pt>
                <c:pt idx="22">
                  <c:v>JAN.24</c:v>
                </c:pt>
                <c:pt idx="23">
                  <c:v>JAN.24</c:v>
                </c:pt>
                <c:pt idx="24">
                  <c:v>JAN.24</c:v>
                </c:pt>
                <c:pt idx="25">
                  <c:v>JAN.24</c:v>
                </c:pt>
                <c:pt idx="26">
                  <c:v>JAN.24</c:v>
                </c:pt>
                <c:pt idx="27">
                  <c:v>JAN.24</c:v>
                </c:pt>
                <c:pt idx="28">
                  <c:v>JAN.24</c:v>
                </c:pt>
                <c:pt idx="29">
                  <c:v>JAN.24</c:v>
                </c:pt>
                <c:pt idx="30">
                  <c:v>JAN.24</c:v>
                </c:pt>
                <c:pt idx="31">
                  <c:v>JAN.24</c:v>
                </c:pt>
                <c:pt idx="32">
                  <c:v>JAN.24</c:v>
                </c:pt>
                <c:pt idx="33">
                  <c:v>JAN.24</c:v>
                </c:pt>
                <c:pt idx="34">
                  <c:v>JAN.24</c:v>
                </c:pt>
                <c:pt idx="35">
                  <c:v>JAN.24</c:v>
                </c:pt>
                <c:pt idx="36">
                  <c:v>JAN.24</c:v>
                </c:pt>
                <c:pt idx="37">
                  <c:v>JAN.24</c:v>
                </c:pt>
                <c:pt idx="38">
                  <c:v>JAN.24</c:v>
                </c:pt>
                <c:pt idx="39">
                  <c:v>JAN.24</c:v>
                </c:pt>
                <c:pt idx="40">
                  <c:v>JAN.24</c:v>
                </c:pt>
                <c:pt idx="41">
                  <c:v>JAN.24</c:v>
                </c:pt>
                <c:pt idx="42">
                  <c:v>JAN.24</c:v>
                </c:pt>
                <c:pt idx="43">
                  <c:v>JAN.24</c:v>
                </c:pt>
                <c:pt idx="44">
                  <c:v>JAN.24</c:v>
                </c:pt>
                <c:pt idx="45">
                  <c:v>JAN.24</c:v>
                </c:pt>
                <c:pt idx="46">
                  <c:v>JAN.24</c:v>
                </c:pt>
                <c:pt idx="47">
                  <c:v>JAN.24</c:v>
                </c:pt>
                <c:pt idx="48">
                  <c:v>JAN.24</c:v>
                </c:pt>
                <c:pt idx="49">
                  <c:v>JAN.24</c:v>
                </c:pt>
                <c:pt idx="50">
                  <c:v>JAN.24</c:v>
                </c:pt>
                <c:pt idx="51">
                  <c:v>JAN.24</c:v>
                </c:pt>
                <c:pt idx="52">
                  <c:v>JAN.24</c:v>
                </c:pt>
                <c:pt idx="53">
                  <c:v>JAN.24</c:v>
                </c:pt>
                <c:pt idx="54">
                  <c:v>JAN.24</c:v>
                </c:pt>
                <c:pt idx="55">
                  <c:v>JAN.24</c:v>
                </c:pt>
                <c:pt idx="56">
                  <c:v>JAN.24</c:v>
                </c:pt>
                <c:pt idx="57">
                  <c:v>JAN.24</c:v>
                </c:pt>
                <c:pt idx="58">
                  <c:v>JAN.24</c:v>
                </c:pt>
                <c:pt idx="59">
                  <c:v>JAN.24</c:v>
                </c:pt>
                <c:pt idx="60">
                  <c:v>JAN.24</c:v>
                </c:pt>
                <c:pt idx="61">
                  <c:v>JAN.24</c:v>
                </c:pt>
                <c:pt idx="62">
                  <c:v>JAN.24</c:v>
                </c:pt>
                <c:pt idx="63">
                  <c:v>JAN.24</c:v>
                </c:pt>
                <c:pt idx="64">
                  <c:v>JAN.24</c:v>
                </c:pt>
                <c:pt idx="65">
                  <c:v>JAN.24</c:v>
                </c:pt>
                <c:pt idx="66">
                  <c:v>JAN.24</c:v>
                </c:pt>
                <c:pt idx="67">
                  <c:v>JAN.24</c:v>
                </c:pt>
                <c:pt idx="68">
                  <c:v>JAN.24</c:v>
                </c:pt>
                <c:pt idx="69">
                  <c:v>JAN.24</c:v>
                </c:pt>
                <c:pt idx="70">
                  <c:v>JAN.24</c:v>
                </c:pt>
                <c:pt idx="71">
                  <c:v>JAN.24</c:v>
                </c:pt>
                <c:pt idx="72">
                  <c:v>JAN.24</c:v>
                </c:pt>
                <c:pt idx="73">
                  <c:v>JAN.24</c:v>
                </c:pt>
                <c:pt idx="74">
                  <c:v>JAN.24</c:v>
                </c:pt>
                <c:pt idx="75">
                  <c:v>JAN.24</c:v>
                </c:pt>
                <c:pt idx="76">
                  <c:v>JAN.24</c:v>
                </c:pt>
                <c:pt idx="77">
                  <c:v>JAN.24</c:v>
                </c:pt>
                <c:pt idx="78">
                  <c:v>JAN.24</c:v>
                </c:pt>
                <c:pt idx="79">
                  <c:v>JAN.24</c:v>
                </c:pt>
                <c:pt idx="80">
                  <c:v>JAN.24</c:v>
                </c:pt>
                <c:pt idx="81">
                  <c:v>JAN.24</c:v>
                </c:pt>
                <c:pt idx="82">
                  <c:v>JAN.24</c:v>
                </c:pt>
                <c:pt idx="83">
                  <c:v>JAN.24</c:v>
                </c:pt>
                <c:pt idx="84">
                  <c:v>JAN.24</c:v>
                </c:pt>
                <c:pt idx="85">
                  <c:v>JAN.24</c:v>
                </c:pt>
                <c:pt idx="86">
                  <c:v>JAN.24</c:v>
                </c:pt>
                <c:pt idx="87">
                  <c:v>JAN.24</c:v>
                </c:pt>
                <c:pt idx="88">
                  <c:v>JAN.24</c:v>
                </c:pt>
                <c:pt idx="89">
                  <c:v>JAN.24</c:v>
                </c:pt>
                <c:pt idx="90">
                  <c:v>JAN.24</c:v>
                </c:pt>
                <c:pt idx="91">
                  <c:v>JAN.24</c:v>
                </c:pt>
                <c:pt idx="92">
                  <c:v>JAN.24</c:v>
                </c:pt>
                <c:pt idx="93">
                  <c:v>JAN.24</c:v>
                </c:pt>
                <c:pt idx="94">
                  <c:v>JAN.24</c:v>
                </c:pt>
                <c:pt idx="95">
                  <c:v>JAN.24</c:v>
                </c:pt>
                <c:pt idx="96">
                  <c:v>JAN.24</c:v>
                </c:pt>
                <c:pt idx="97">
                  <c:v>JAN.24</c:v>
                </c:pt>
                <c:pt idx="98">
                  <c:v>JAN.24</c:v>
                </c:pt>
                <c:pt idx="99">
                  <c:v>JAN.24</c:v>
                </c:pt>
                <c:pt idx="100">
                  <c:v>JAN.24</c:v>
                </c:pt>
                <c:pt idx="101">
                  <c:v>JAN.24</c:v>
                </c:pt>
                <c:pt idx="102">
                  <c:v>JAN.24</c:v>
                </c:pt>
                <c:pt idx="103">
                  <c:v>JAN.24</c:v>
                </c:pt>
                <c:pt idx="104">
                  <c:v>JAN.24</c:v>
                </c:pt>
                <c:pt idx="105">
                  <c:v>JAN.24</c:v>
                </c:pt>
                <c:pt idx="106">
                  <c:v>JAN.24</c:v>
                </c:pt>
                <c:pt idx="107">
                  <c:v>JAN.24</c:v>
                </c:pt>
                <c:pt idx="108">
                  <c:v>JAN.24</c:v>
                </c:pt>
                <c:pt idx="109">
                  <c:v>JAN.24</c:v>
                </c:pt>
                <c:pt idx="110">
                  <c:v>JAN.24</c:v>
                </c:pt>
                <c:pt idx="111">
                  <c:v>JAN.24</c:v>
                </c:pt>
                <c:pt idx="112">
                  <c:v>JAN.24</c:v>
                </c:pt>
                <c:pt idx="113">
                  <c:v>JAN.24</c:v>
                </c:pt>
                <c:pt idx="114">
                  <c:v>JAN.24</c:v>
                </c:pt>
                <c:pt idx="115">
                  <c:v>JAN.24</c:v>
                </c:pt>
                <c:pt idx="116">
                  <c:v>JAN.24</c:v>
                </c:pt>
                <c:pt idx="117">
                  <c:v>JAN.24</c:v>
                </c:pt>
                <c:pt idx="118">
                  <c:v>JAN.24</c:v>
                </c:pt>
                <c:pt idx="119">
                  <c:v>JAN.24</c:v>
                </c:pt>
                <c:pt idx="120">
                  <c:v>JAN.24</c:v>
                </c:pt>
                <c:pt idx="121">
                  <c:v>JAN.24</c:v>
                </c:pt>
                <c:pt idx="122">
                  <c:v>JAN.24</c:v>
                </c:pt>
                <c:pt idx="123">
                  <c:v>JAN.24</c:v>
                </c:pt>
                <c:pt idx="124">
                  <c:v>JAN.24</c:v>
                </c:pt>
                <c:pt idx="125">
                  <c:v>JAN.24</c:v>
                </c:pt>
                <c:pt idx="126">
                  <c:v>JAN.24</c:v>
                </c:pt>
                <c:pt idx="127">
                  <c:v>JAN.24</c:v>
                </c:pt>
                <c:pt idx="128">
                  <c:v>JAN.24</c:v>
                </c:pt>
                <c:pt idx="129">
                  <c:v>JAN.24</c:v>
                </c:pt>
                <c:pt idx="130">
                  <c:v>JAN.24</c:v>
                </c:pt>
                <c:pt idx="131">
                  <c:v>February 24 live</c:v>
                </c:pt>
                <c:pt idx="132">
                  <c:v>FEB.24</c:v>
                </c:pt>
                <c:pt idx="133">
                  <c:v>FEB.24</c:v>
                </c:pt>
                <c:pt idx="134">
                  <c:v>FEB.24</c:v>
                </c:pt>
                <c:pt idx="135">
                  <c:v>FEB.24</c:v>
                </c:pt>
                <c:pt idx="136">
                  <c:v>FEB.24</c:v>
                </c:pt>
                <c:pt idx="137">
                  <c:v>FEB.24</c:v>
                </c:pt>
                <c:pt idx="138">
                  <c:v>FEB.24</c:v>
                </c:pt>
                <c:pt idx="139">
                  <c:v>FEB.24</c:v>
                </c:pt>
                <c:pt idx="140">
                  <c:v>FEB.24</c:v>
                </c:pt>
                <c:pt idx="141">
                  <c:v>FEB.24</c:v>
                </c:pt>
                <c:pt idx="142">
                  <c:v>FEB.24</c:v>
                </c:pt>
                <c:pt idx="143">
                  <c:v>FEB.24</c:v>
                </c:pt>
                <c:pt idx="144">
                  <c:v>FEB.24</c:v>
                </c:pt>
                <c:pt idx="145">
                  <c:v>FEB.24</c:v>
                </c:pt>
                <c:pt idx="146">
                  <c:v>FEB.24</c:v>
                </c:pt>
                <c:pt idx="147">
                  <c:v>FEB.24</c:v>
                </c:pt>
                <c:pt idx="148">
                  <c:v>FEB.24</c:v>
                </c:pt>
                <c:pt idx="149">
                  <c:v>FEB.24</c:v>
                </c:pt>
                <c:pt idx="150">
                  <c:v>FEB.24</c:v>
                </c:pt>
                <c:pt idx="151">
                  <c:v>FEB.24</c:v>
                </c:pt>
                <c:pt idx="152">
                  <c:v>FEB.24</c:v>
                </c:pt>
                <c:pt idx="153">
                  <c:v>FEB.24</c:v>
                </c:pt>
                <c:pt idx="154">
                  <c:v>FEB.24</c:v>
                </c:pt>
                <c:pt idx="155">
                  <c:v>FEB.24</c:v>
                </c:pt>
                <c:pt idx="156">
                  <c:v>FEB.24</c:v>
                </c:pt>
                <c:pt idx="157">
                  <c:v>FEB.24</c:v>
                </c:pt>
                <c:pt idx="158">
                  <c:v>FEB.24</c:v>
                </c:pt>
                <c:pt idx="159">
                  <c:v>FEB.24</c:v>
                </c:pt>
                <c:pt idx="160">
                  <c:v>FEB.24</c:v>
                </c:pt>
                <c:pt idx="161">
                  <c:v>FEB.24</c:v>
                </c:pt>
                <c:pt idx="162">
                  <c:v>FEB.24</c:v>
                </c:pt>
                <c:pt idx="163">
                  <c:v>FEB.24</c:v>
                </c:pt>
                <c:pt idx="164">
                  <c:v>FEB.24</c:v>
                </c:pt>
                <c:pt idx="165">
                  <c:v>FEB.24</c:v>
                </c:pt>
                <c:pt idx="166">
                  <c:v>FEB.24</c:v>
                </c:pt>
                <c:pt idx="167">
                  <c:v>FEB.24</c:v>
                </c:pt>
                <c:pt idx="168">
                  <c:v>FEB.24</c:v>
                </c:pt>
                <c:pt idx="169">
                  <c:v>FEB.24</c:v>
                </c:pt>
                <c:pt idx="170">
                  <c:v>FEB.24</c:v>
                </c:pt>
                <c:pt idx="171">
                  <c:v>FEB.24</c:v>
                </c:pt>
                <c:pt idx="172">
                  <c:v>FEB.24</c:v>
                </c:pt>
                <c:pt idx="173">
                  <c:v>FEB.24</c:v>
                </c:pt>
                <c:pt idx="174">
                  <c:v>FEB.24</c:v>
                </c:pt>
                <c:pt idx="175">
                  <c:v>FEB.24</c:v>
                </c:pt>
                <c:pt idx="176">
                  <c:v>FEB.24</c:v>
                </c:pt>
                <c:pt idx="177">
                  <c:v>FEB.24</c:v>
                </c:pt>
                <c:pt idx="178">
                  <c:v>FEB.24</c:v>
                </c:pt>
                <c:pt idx="179">
                  <c:v>FEB.24</c:v>
                </c:pt>
                <c:pt idx="180">
                  <c:v>FEB.24</c:v>
                </c:pt>
                <c:pt idx="181">
                  <c:v>FEB.24</c:v>
                </c:pt>
                <c:pt idx="182">
                  <c:v>FEB.24</c:v>
                </c:pt>
                <c:pt idx="183">
                  <c:v>FEB.24</c:v>
                </c:pt>
                <c:pt idx="184">
                  <c:v>FEB.24</c:v>
                </c:pt>
                <c:pt idx="185">
                  <c:v>FEB.24</c:v>
                </c:pt>
                <c:pt idx="186">
                  <c:v>FEB.24</c:v>
                </c:pt>
                <c:pt idx="187">
                  <c:v>FEB.24</c:v>
                </c:pt>
                <c:pt idx="188">
                  <c:v>FEB.24</c:v>
                </c:pt>
                <c:pt idx="189">
                  <c:v>FEB.24</c:v>
                </c:pt>
                <c:pt idx="190">
                  <c:v>FEB.24</c:v>
                </c:pt>
                <c:pt idx="191">
                  <c:v>FEB.24</c:v>
                </c:pt>
                <c:pt idx="192">
                  <c:v>FEB.24</c:v>
                </c:pt>
                <c:pt idx="193">
                  <c:v>FEB.24</c:v>
                </c:pt>
                <c:pt idx="194">
                  <c:v>FEB.24</c:v>
                </c:pt>
                <c:pt idx="195">
                  <c:v>FEB.24</c:v>
                </c:pt>
                <c:pt idx="196">
                  <c:v>FEB.24</c:v>
                </c:pt>
                <c:pt idx="197">
                  <c:v>FEB.24</c:v>
                </c:pt>
                <c:pt idx="198">
                  <c:v>FEB.24</c:v>
                </c:pt>
                <c:pt idx="199">
                  <c:v>FEB.24</c:v>
                </c:pt>
                <c:pt idx="200">
                  <c:v>FEB.24</c:v>
                </c:pt>
                <c:pt idx="201">
                  <c:v>FEB.24</c:v>
                </c:pt>
                <c:pt idx="202">
                  <c:v>FEB.24</c:v>
                </c:pt>
                <c:pt idx="203">
                  <c:v>FEB.24</c:v>
                </c:pt>
                <c:pt idx="204">
                  <c:v>FEB.24</c:v>
                </c:pt>
                <c:pt idx="205">
                  <c:v>FEB.24</c:v>
                </c:pt>
                <c:pt idx="206">
                  <c:v>FEB.24</c:v>
                </c:pt>
                <c:pt idx="207">
                  <c:v>FEB.24</c:v>
                </c:pt>
                <c:pt idx="208">
                  <c:v>FEB.24</c:v>
                </c:pt>
                <c:pt idx="209">
                  <c:v>FEB.24</c:v>
                </c:pt>
                <c:pt idx="210">
                  <c:v>FEB.24</c:v>
                </c:pt>
                <c:pt idx="211">
                  <c:v>FEB.24</c:v>
                </c:pt>
                <c:pt idx="212">
                  <c:v>FEB.24</c:v>
                </c:pt>
                <c:pt idx="213">
                  <c:v>FEB.24</c:v>
                </c:pt>
                <c:pt idx="214">
                  <c:v>FEB.24</c:v>
                </c:pt>
                <c:pt idx="215">
                  <c:v>FEB.24</c:v>
                </c:pt>
                <c:pt idx="216">
                  <c:v>FEB.24</c:v>
                </c:pt>
                <c:pt idx="217">
                  <c:v>FEB.24</c:v>
                </c:pt>
                <c:pt idx="218">
                  <c:v>FEB.24</c:v>
                </c:pt>
                <c:pt idx="219">
                  <c:v>FEB.24</c:v>
                </c:pt>
                <c:pt idx="220">
                  <c:v>FEB.24</c:v>
                </c:pt>
                <c:pt idx="221">
                  <c:v>FEB.24</c:v>
                </c:pt>
                <c:pt idx="222">
                  <c:v>FEB.24</c:v>
                </c:pt>
                <c:pt idx="223">
                  <c:v>FEB.24</c:v>
                </c:pt>
                <c:pt idx="224">
                  <c:v>FEB.24</c:v>
                </c:pt>
                <c:pt idx="225">
                  <c:v>FEB.24</c:v>
                </c:pt>
                <c:pt idx="226">
                  <c:v>FEB.24</c:v>
                </c:pt>
                <c:pt idx="227">
                  <c:v>FEB.24</c:v>
                </c:pt>
                <c:pt idx="228">
                  <c:v>FEB.24</c:v>
                </c:pt>
                <c:pt idx="229">
                  <c:v>FEB.24</c:v>
                </c:pt>
                <c:pt idx="230">
                  <c:v>FEB.24</c:v>
                </c:pt>
                <c:pt idx="231">
                  <c:v>FEB.24</c:v>
                </c:pt>
                <c:pt idx="232">
                  <c:v>FEB.24</c:v>
                </c:pt>
                <c:pt idx="233">
                  <c:v>FEB.24</c:v>
                </c:pt>
                <c:pt idx="234">
                  <c:v>FEB.24</c:v>
                </c:pt>
                <c:pt idx="235">
                  <c:v>FEB.24</c:v>
                </c:pt>
                <c:pt idx="236">
                  <c:v>FEB.24</c:v>
                </c:pt>
                <c:pt idx="237">
                  <c:v>FEB.24</c:v>
                </c:pt>
                <c:pt idx="238">
                  <c:v>FEB.24</c:v>
                </c:pt>
                <c:pt idx="239">
                  <c:v>FEB.24</c:v>
                </c:pt>
                <c:pt idx="240">
                  <c:v>FEB.24</c:v>
                </c:pt>
                <c:pt idx="241">
                  <c:v>FEB.24</c:v>
                </c:pt>
                <c:pt idx="242">
                  <c:v>FEB.24</c:v>
                </c:pt>
                <c:pt idx="243">
                  <c:v>FEB.24</c:v>
                </c:pt>
                <c:pt idx="244">
                  <c:v>FEB.24</c:v>
                </c:pt>
                <c:pt idx="245">
                  <c:v>FEB.24</c:v>
                </c:pt>
                <c:pt idx="246">
                  <c:v>FEB.24</c:v>
                </c:pt>
                <c:pt idx="247">
                  <c:v>FEB.24</c:v>
                </c:pt>
                <c:pt idx="248">
                  <c:v>FEB.24</c:v>
                </c:pt>
                <c:pt idx="249">
                  <c:v>FEB.24</c:v>
                </c:pt>
                <c:pt idx="250">
                  <c:v>FEB.24</c:v>
                </c:pt>
                <c:pt idx="251">
                  <c:v>March 24 live</c:v>
                </c:pt>
                <c:pt idx="252">
                  <c:v>MAR.24</c:v>
                </c:pt>
                <c:pt idx="253">
                  <c:v>MAR.24</c:v>
                </c:pt>
                <c:pt idx="254">
                  <c:v>MAR.24</c:v>
                </c:pt>
                <c:pt idx="255">
                  <c:v>MAR.24</c:v>
                </c:pt>
                <c:pt idx="256">
                  <c:v>MAR.24</c:v>
                </c:pt>
                <c:pt idx="257">
                  <c:v>MAR.24</c:v>
                </c:pt>
                <c:pt idx="258">
                  <c:v>MAR.24</c:v>
                </c:pt>
                <c:pt idx="259">
                  <c:v>MAR.24</c:v>
                </c:pt>
                <c:pt idx="260">
                  <c:v>MAR.24</c:v>
                </c:pt>
                <c:pt idx="261">
                  <c:v>MAR.24</c:v>
                </c:pt>
                <c:pt idx="262">
                  <c:v>MAR.24</c:v>
                </c:pt>
                <c:pt idx="263">
                  <c:v>MAR.24</c:v>
                </c:pt>
                <c:pt idx="264">
                  <c:v>MAR.24</c:v>
                </c:pt>
                <c:pt idx="265">
                  <c:v>MAR.24</c:v>
                </c:pt>
                <c:pt idx="266">
                  <c:v>MAR.24</c:v>
                </c:pt>
                <c:pt idx="267">
                  <c:v>MAR.24</c:v>
                </c:pt>
                <c:pt idx="268">
                  <c:v>MAR.24</c:v>
                </c:pt>
                <c:pt idx="269">
                  <c:v>MAR.24</c:v>
                </c:pt>
                <c:pt idx="270">
                  <c:v>MAR.24</c:v>
                </c:pt>
                <c:pt idx="271">
                  <c:v>MAR.24</c:v>
                </c:pt>
                <c:pt idx="272">
                  <c:v>MAR.24</c:v>
                </c:pt>
                <c:pt idx="273">
                  <c:v>MAR.24</c:v>
                </c:pt>
                <c:pt idx="274">
                  <c:v>MAR.24</c:v>
                </c:pt>
                <c:pt idx="275">
                  <c:v>MAR.24</c:v>
                </c:pt>
                <c:pt idx="276">
                  <c:v>MAR.24</c:v>
                </c:pt>
                <c:pt idx="277">
                  <c:v>MAR.24</c:v>
                </c:pt>
                <c:pt idx="278">
                  <c:v>MAR.24</c:v>
                </c:pt>
                <c:pt idx="279">
                  <c:v>MAR.24</c:v>
                </c:pt>
                <c:pt idx="280">
                  <c:v>MAR.24</c:v>
                </c:pt>
                <c:pt idx="281">
                  <c:v>MAR.24</c:v>
                </c:pt>
                <c:pt idx="282">
                  <c:v>MAR.24</c:v>
                </c:pt>
                <c:pt idx="283">
                  <c:v>MAR.24</c:v>
                </c:pt>
                <c:pt idx="284">
                  <c:v>MAR.24</c:v>
                </c:pt>
                <c:pt idx="285">
                  <c:v>MAR.24</c:v>
                </c:pt>
                <c:pt idx="286">
                  <c:v>MAR.24</c:v>
                </c:pt>
                <c:pt idx="287">
                  <c:v>MAR.24</c:v>
                </c:pt>
                <c:pt idx="288">
                  <c:v>MAR.24</c:v>
                </c:pt>
                <c:pt idx="289">
                  <c:v>MAR.24</c:v>
                </c:pt>
                <c:pt idx="290">
                  <c:v>MAR.24</c:v>
                </c:pt>
                <c:pt idx="291">
                  <c:v>MAR.24</c:v>
                </c:pt>
                <c:pt idx="292">
                  <c:v>MAR.24</c:v>
                </c:pt>
                <c:pt idx="293">
                  <c:v>MAR.24</c:v>
                </c:pt>
                <c:pt idx="294">
                  <c:v>MAR.24</c:v>
                </c:pt>
                <c:pt idx="295">
                  <c:v>MAR.24</c:v>
                </c:pt>
                <c:pt idx="296">
                  <c:v>MAR.24</c:v>
                </c:pt>
                <c:pt idx="297">
                  <c:v>MAR.24</c:v>
                </c:pt>
                <c:pt idx="298">
                  <c:v>MAR.24</c:v>
                </c:pt>
                <c:pt idx="299">
                  <c:v>MAR.24</c:v>
                </c:pt>
                <c:pt idx="300">
                  <c:v>MAR.24</c:v>
                </c:pt>
                <c:pt idx="301">
                  <c:v>MAR.24</c:v>
                </c:pt>
                <c:pt idx="302">
                  <c:v>MAR.24</c:v>
                </c:pt>
                <c:pt idx="303">
                  <c:v>MAR.24</c:v>
                </c:pt>
                <c:pt idx="304">
                  <c:v>MAR.24</c:v>
                </c:pt>
                <c:pt idx="305">
                  <c:v>MAR.24</c:v>
                </c:pt>
                <c:pt idx="306">
                  <c:v>MAR.24</c:v>
                </c:pt>
                <c:pt idx="307">
                  <c:v>MAR.24</c:v>
                </c:pt>
                <c:pt idx="308">
                  <c:v>MAR.24</c:v>
                </c:pt>
                <c:pt idx="309">
                  <c:v>MAR.24</c:v>
                </c:pt>
                <c:pt idx="310">
                  <c:v>MAR.24</c:v>
                </c:pt>
                <c:pt idx="311">
                  <c:v>MAR.24</c:v>
                </c:pt>
                <c:pt idx="312">
                  <c:v>MAR.24</c:v>
                </c:pt>
                <c:pt idx="313">
                  <c:v>MAR.24</c:v>
                </c:pt>
                <c:pt idx="314">
                  <c:v>MAR.24</c:v>
                </c:pt>
                <c:pt idx="315">
                  <c:v>MAR.24</c:v>
                </c:pt>
                <c:pt idx="316">
                  <c:v>MAR.24</c:v>
                </c:pt>
                <c:pt idx="317">
                  <c:v>MAR.24</c:v>
                </c:pt>
                <c:pt idx="318">
                  <c:v>MAR.24</c:v>
                </c:pt>
                <c:pt idx="319">
                  <c:v>MAR.24</c:v>
                </c:pt>
                <c:pt idx="320">
                  <c:v>MAR.24</c:v>
                </c:pt>
                <c:pt idx="321">
                  <c:v>MAR.24</c:v>
                </c:pt>
                <c:pt idx="322">
                  <c:v>MAR.24</c:v>
                </c:pt>
                <c:pt idx="323">
                  <c:v>MAR.24</c:v>
                </c:pt>
                <c:pt idx="324">
                  <c:v>MAR.24</c:v>
                </c:pt>
                <c:pt idx="325">
                  <c:v>MAR.24</c:v>
                </c:pt>
                <c:pt idx="326">
                  <c:v>MAR.24</c:v>
                </c:pt>
                <c:pt idx="327">
                  <c:v>MAR.24</c:v>
                </c:pt>
                <c:pt idx="328">
                  <c:v>MAR.24</c:v>
                </c:pt>
                <c:pt idx="329">
                  <c:v>MAR.24</c:v>
                </c:pt>
                <c:pt idx="330">
                  <c:v>MAR.24</c:v>
                </c:pt>
                <c:pt idx="331">
                  <c:v>MAR.24</c:v>
                </c:pt>
                <c:pt idx="332">
                  <c:v>MAR.24</c:v>
                </c:pt>
                <c:pt idx="333">
                  <c:v>MAR.24</c:v>
                </c:pt>
                <c:pt idx="334">
                  <c:v>MAR.24</c:v>
                </c:pt>
                <c:pt idx="335">
                  <c:v>MAR.24</c:v>
                </c:pt>
                <c:pt idx="336">
                  <c:v>MAR.24</c:v>
                </c:pt>
                <c:pt idx="337">
                  <c:v>MAR.24</c:v>
                </c:pt>
                <c:pt idx="338">
                  <c:v>MAR.24</c:v>
                </c:pt>
                <c:pt idx="339">
                  <c:v>MAR.24</c:v>
                </c:pt>
                <c:pt idx="340">
                  <c:v>MAR.24</c:v>
                </c:pt>
                <c:pt idx="341">
                  <c:v>MAR.24</c:v>
                </c:pt>
                <c:pt idx="342">
                  <c:v>MAR.24</c:v>
                </c:pt>
                <c:pt idx="343">
                  <c:v>MAR.24</c:v>
                </c:pt>
                <c:pt idx="344">
                  <c:v>April 24 live</c:v>
                </c:pt>
                <c:pt idx="345">
                  <c:v>APR.24</c:v>
                </c:pt>
                <c:pt idx="346">
                  <c:v>APR.24</c:v>
                </c:pt>
                <c:pt idx="347">
                  <c:v>APR.24</c:v>
                </c:pt>
                <c:pt idx="348">
                  <c:v>APR.24</c:v>
                </c:pt>
                <c:pt idx="349">
                  <c:v>APR.24</c:v>
                </c:pt>
                <c:pt idx="350">
                  <c:v>APR.24</c:v>
                </c:pt>
                <c:pt idx="351">
                  <c:v>APR.24</c:v>
                </c:pt>
                <c:pt idx="352">
                  <c:v>APR.24</c:v>
                </c:pt>
                <c:pt idx="353">
                  <c:v>APR.24</c:v>
                </c:pt>
                <c:pt idx="354">
                  <c:v>APR.24</c:v>
                </c:pt>
                <c:pt idx="355">
                  <c:v>APR.24</c:v>
                </c:pt>
                <c:pt idx="356">
                  <c:v>APR.24</c:v>
                </c:pt>
                <c:pt idx="357">
                  <c:v>APR.24</c:v>
                </c:pt>
                <c:pt idx="358">
                  <c:v>APR.24</c:v>
                </c:pt>
                <c:pt idx="359">
                  <c:v>APR.24</c:v>
                </c:pt>
                <c:pt idx="360">
                  <c:v>APR.24</c:v>
                </c:pt>
                <c:pt idx="361">
                  <c:v>APR.24</c:v>
                </c:pt>
                <c:pt idx="362">
                  <c:v>APR.24</c:v>
                </c:pt>
                <c:pt idx="363">
                  <c:v>APR.24</c:v>
                </c:pt>
                <c:pt idx="364">
                  <c:v>APR.24</c:v>
                </c:pt>
                <c:pt idx="365">
                  <c:v>APR.24</c:v>
                </c:pt>
                <c:pt idx="366">
                  <c:v>APR.24</c:v>
                </c:pt>
                <c:pt idx="367">
                  <c:v>APR.24</c:v>
                </c:pt>
                <c:pt idx="368">
                  <c:v>APR.24</c:v>
                </c:pt>
                <c:pt idx="369">
                  <c:v>APR.24</c:v>
                </c:pt>
                <c:pt idx="370">
                  <c:v>APR.24</c:v>
                </c:pt>
                <c:pt idx="371">
                  <c:v>APR.24</c:v>
                </c:pt>
                <c:pt idx="372">
                  <c:v>APR.24</c:v>
                </c:pt>
                <c:pt idx="373">
                  <c:v>APR.24</c:v>
                </c:pt>
                <c:pt idx="374">
                  <c:v>APR.24</c:v>
                </c:pt>
                <c:pt idx="375">
                  <c:v>APR.24</c:v>
                </c:pt>
                <c:pt idx="376">
                  <c:v>APR.24</c:v>
                </c:pt>
                <c:pt idx="377">
                  <c:v>APR.24</c:v>
                </c:pt>
                <c:pt idx="378">
                  <c:v>APR.24</c:v>
                </c:pt>
                <c:pt idx="379">
                  <c:v>APR.24</c:v>
                </c:pt>
                <c:pt idx="380">
                  <c:v>APR.24</c:v>
                </c:pt>
                <c:pt idx="381">
                  <c:v>APR.24</c:v>
                </c:pt>
                <c:pt idx="382">
                  <c:v>APR.24</c:v>
                </c:pt>
                <c:pt idx="383">
                  <c:v>APR.24</c:v>
                </c:pt>
                <c:pt idx="384">
                  <c:v>APR.24</c:v>
                </c:pt>
                <c:pt idx="385">
                  <c:v>APR.24</c:v>
                </c:pt>
                <c:pt idx="386">
                  <c:v>APR.24</c:v>
                </c:pt>
                <c:pt idx="387">
                  <c:v>APR.24</c:v>
                </c:pt>
                <c:pt idx="388">
                  <c:v>APR.24</c:v>
                </c:pt>
                <c:pt idx="389">
                  <c:v>APR.24</c:v>
                </c:pt>
                <c:pt idx="390">
                  <c:v>APR.24</c:v>
                </c:pt>
                <c:pt idx="391">
                  <c:v>APR.24</c:v>
                </c:pt>
                <c:pt idx="392">
                  <c:v>APR.24</c:v>
                </c:pt>
                <c:pt idx="393">
                  <c:v>APR.24</c:v>
                </c:pt>
                <c:pt idx="394">
                  <c:v>APR.24</c:v>
                </c:pt>
                <c:pt idx="395">
                  <c:v>APR.24</c:v>
                </c:pt>
                <c:pt idx="396">
                  <c:v>APR.24</c:v>
                </c:pt>
                <c:pt idx="397">
                  <c:v>APR.24</c:v>
                </c:pt>
                <c:pt idx="398">
                  <c:v>APR.24</c:v>
                </c:pt>
                <c:pt idx="399">
                  <c:v>APR.24</c:v>
                </c:pt>
                <c:pt idx="400">
                  <c:v>APR.24</c:v>
                </c:pt>
                <c:pt idx="401">
                  <c:v>APR.24</c:v>
                </c:pt>
                <c:pt idx="402">
                  <c:v>APR.24</c:v>
                </c:pt>
                <c:pt idx="403">
                  <c:v>APR.24</c:v>
                </c:pt>
                <c:pt idx="404">
                  <c:v>APR.24</c:v>
                </c:pt>
                <c:pt idx="405">
                  <c:v>APR.24</c:v>
                </c:pt>
                <c:pt idx="406">
                  <c:v>APR.24</c:v>
                </c:pt>
                <c:pt idx="407">
                  <c:v>APR.24</c:v>
                </c:pt>
                <c:pt idx="408">
                  <c:v>APR.24</c:v>
                </c:pt>
                <c:pt idx="409">
                  <c:v>APR.24</c:v>
                </c:pt>
                <c:pt idx="410">
                  <c:v>APR.24</c:v>
                </c:pt>
                <c:pt idx="411">
                  <c:v>APR.24</c:v>
                </c:pt>
                <c:pt idx="412">
                  <c:v>APR.24</c:v>
                </c:pt>
                <c:pt idx="413">
                  <c:v>APR.24</c:v>
                </c:pt>
                <c:pt idx="414">
                  <c:v>APR.24</c:v>
                </c:pt>
                <c:pt idx="415">
                  <c:v>APR.24</c:v>
                </c:pt>
                <c:pt idx="416">
                  <c:v>APR.24</c:v>
                </c:pt>
                <c:pt idx="417">
                  <c:v>APR.24</c:v>
                </c:pt>
                <c:pt idx="418">
                  <c:v>APR.24</c:v>
                </c:pt>
                <c:pt idx="419">
                  <c:v>APR.24</c:v>
                </c:pt>
                <c:pt idx="420">
                  <c:v>APR.24</c:v>
                </c:pt>
                <c:pt idx="421">
                  <c:v>APR.24</c:v>
                </c:pt>
                <c:pt idx="422">
                  <c:v>APR.24</c:v>
                </c:pt>
                <c:pt idx="423">
                  <c:v>APR.24</c:v>
                </c:pt>
                <c:pt idx="424">
                  <c:v>APR.24</c:v>
                </c:pt>
                <c:pt idx="425">
                  <c:v>APR.24</c:v>
                </c:pt>
                <c:pt idx="426">
                  <c:v>APR.24</c:v>
                </c:pt>
                <c:pt idx="427">
                  <c:v>APR.24</c:v>
                </c:pt>
                <c:pt idx="428">
                  <c:v>APR.24</c:v>
                </c:pt>
                <c:pt idx="429">
                  <c:v>APR.24</c:v>
                </c:pt>
                <c:pt idx="430">
                  <c:v>APR.24</c:v>
                </c:pt>
                <c:pt idx="431">
                  <c:v>APR.24</c:v>
                </c:pt>
                <c:pt idx="432">
                  <c:v>APR.24</c:v>
                </c:pt>
                <c:pt idx="433">
                  <c:v>APR.24</c:v>
                </c:pt>
                <c:pt idx="434">
                  <c:v>APR.24</c:v>
                </c:pt>
                <c:pt idx="435">
                  <c:v>APR.24</c:v>
                </c:pt>
                <c:pt idx="436">
                  <c:v>APR.24</c:v>
                </c:pt>
                <c:pt idx="437">
                  <c:v>APR.24</c:v>
                </c:pt>
                <c:pt idx="438">
                  <c:v>APR.24</c:v>
                </c:pt>
                <c:pt idx="439">
                  <c:v>APR.24</c:v>
                </c:pt>
                <c:pt idx="440">
                  <c:v>APR.24</c:v>
                </c:pt>
                <c:pt idx="441">
                  <c:v>APR.24</c:v>
                </c:pt>
                <c:pt idx="442">
                  <c:v>APR.24</c:v>
                </c:pt>
                <c:pt idx="443">
                  <c:v>APR.24</c:v>
                </c:pt>
                <c:pt idx="444">
                  <c:v>APR.24</c:v>
                </c:pt>
                <c:pt idx="445">
                  <c:v>APR.24</c:v>
                </c:pt>
                <c:pt idx="446">
                  <c:v>APR.24</c:v>
                </c:pt>
                <c:pt idx="447">
                  <c:v>APR.24</c:v>
                </c:pt>
                <c:pt idx="448">
                  <c:v>APR.24</c:v>
                </c:pt>
                <c:pt idx="449">
                  <c:v>APR.24</c:v>
                </c:pt>
                <c:pt idx="450">
                  <c:v>APR.24</c:v>
                </c:pt>
                <c:pt idx="451">
                  <c:v>APR.24</c:v>
                </c:pt>
                <c:pt idx="452">
                  <c:v>APR.24</c:v>
                </c:pt>
                <c:pt idx="453">
                  <c:v>APR.24</c:v>
                </c:pt>
                <c:pt idx="454">
                  <c:v>APR.24</c:v>
                </c:pt>
                <c:pt idx="455">
                  <c:v>APR.24</c:v>
                </c:pt>
                <c:pt idx="456">
                  <c:v>APR.24</c:v>
                </c:pt>
                <c:pt idx="457">
                  <c:v>APR.24</c:v>
                </c:pt>
                <c:pt idx="458">
                  <c:v>APR.24</c:v>
                </c:pt>
                <c:pt idx="459">
                  <c:v>APR.24</c:v>
                </c:pt>
                <c:pt idx="460">
                  <c:v>APR.24</c:v>
                </c:pt>
                <c:pt idx="461">
                  <c:v>APR.24</c:v>
                </c:pt>
                <c:pt idx="462">
                  <c:v>APR.24</c:v>
                </c:pt>
                <c:pt idx="463">
                  <c:v>APR.24</c:v>
                </c:pt>
                <c:pt idx="464">
                  <c:v>APR.24</c:v>
                </c:pt>
                <c:pt idx="465">
                  <c:v>APR.24</c:v>
                </c:pt>
                <c:pt idx="466">
                  <c:v>APR.24</c:v>
                </c:pt>
                <c:pt idx="467">
                  <c:v>APR.24</c:v>
                </c:pt>
                <c:pt idx="468">
                  <c:v>APR.24</c:v>
                </c:pt>
                <c:pt idx="469">
                  <c:v>APR.24</c:v>
                </c:pt>
                <c:pt idx="470">
                  <c:v>APR.24</c:v>
                </c:pt>
                <c:pt idx="471">
                  <c:v>APR.24</c:v>
                </c:pt>
                <c:pt idx="472">
                  <c:v>APR.24</c:v>
                </c:pt>
                <c:pt idx="473">
                  <c:v>APR.24</c:v>
                </c:pt>
                <c:pt idx="474">
                  <c:v>APR.24</c:v>
                </c:pt>
                <c:pt idx="475">
                  <c:v>APR.24</c:v>
                </c:pt>
                <c:pt idx="476">
                  <c:v>APR.24</c:v>
                </c:pt>
                <c:pt idx="477">
                  <c:v>APR.24</c:v>
                </c:pt>
                <c:pt idx="478">
                  <c:v>APR.24</c:v>
                </c:pt>
                <c:pt idx="479">
                  <c:v>APR.24</c:v>
                </c:pt>
                <c:pt idx="480">
                  <c:v>APR.24</c:v>
                </c:pt>
                <c:pt idx="481">
                  <c:v>APR.24</c:v>
                </c:pt>
                <c:pt idx="482">
                  <c:v>APR.24</c:v>
                </c:pt>
                <c:pt idx="483">
                  <c:v>APR.24</c:v>
                </c:pt>
                <c:pt idx="484">
                  <c:v>APR.24</c:v>
                </c:pt>
                <c:pt idx="485">
                  <c:v>APR.24</c:v>
                </c:pt>
                <c:pt idx="486">
                  <c:v>APR.24</c:v>
                </c:pt>
                <c:pt idx="487">
                  <c:v>APR.24</c:v>
                </c:pt>
                <c:pt idx="488">
                  <c:v>APR.24</c:v>
                </c:pt>
                <c:pt idx="489">
                  <c:v>APR.24</c:v>
                </c:pt>
                <c:pt idx="490">
                  <c:v>APR.24</c:v>
                </c:pt>
                <c:pt idx="491">
                  <c:v>APR.24</c:v>
                </c:pt>
                <c:pt idx="492">
                  <c:v>APR.24</c:v>
                </c:pt>
                <c:pt idx="493">
                  <c:v>APR.24</c:v>
                </c:pt>
                <c:pt idx="494">
                  <c:v>APR.24</c:v>
                </c:pt>
                <c:pt idx="495">
                  <c:v>APR.24</c:v>
                </c:pt>
                <c:pt idx="496">
                  <c:v>APR.24</c:v>
                </c:pt>
                <c:pt idx="497">
                  <c:v>APR.24</c:v>
                </c:pt>
                <c:pt idx="498">
                  <c:v>APR.24</c:v>
                </c:pt>
                <c:pt idx="499">
                  <c:v>APR.24</c:v>
                </c:pt>
                <c:pt idx="500">
                  <c:v>APR.24</c:v>
                </c:pt>
                <c:pt idx="501">
                  <c:v>APR.24</c:v>
                </c:pt>
                <c:pt idx="502">
                  <c:v>APR.24</c:v>
                </c:pt>
                <c:pt idx="503">
                  <c:v>APR.24</c:v>
                </c:pt>
                <c:pt idx="504">
                  <c:v>APR.24</c:v>
                </c:pt>
                <c:pt idx="505">
                  <c:v>APR.24</c:v>
                </c:pt>
                <c:pt idx="506">
                  <c:v>APR.24</c:v>
                </c:pt>
                <c:pt idx="507">
                  <c:v>APR.24</c:v>
                </c:pt>
                <c:pt idx="508">
                  <c:v>APR.24</c:v>
                </c:pt>
                <c:pt idx="509">
                  <c:v>APR.24</c:v>
                </c:pt>
                <c:pt idx="510">
                  <c:v>APR.24</c:v>
                </c:pt>
                <c:pt idx="511">
                  <c:v>APR.24</c:v>
                </c:pt>
                <c:pt idx="512">
                  <c:v>APR.24</c:v>
                </c:pt>
                <c:pt idx="513">
                  <c:v>APR.24</c:v>
                </c:pt>
                <c:pt idx="514">
                  <c:v>APR.24</c:v>
                </c:pt>
                <c:pt idx="515">
                  <c:v>APR.24</c:v>
                </c:pt>
                <c:pt idx="516">
                  <c:v>APR.24</c:v>
                </c:pt>
                <c:pt idx="517">
                  <c:v>APR.24</c:v>
                </c:pt>
                <c:pt idx="518">
                  <c:v>APR.24</c:v>
                </c:pt>
                <c:pt idx="519">
                  <c:v>APR.24</c:v>
                </c:pt>
                <c:pt idx="520">
                  <c:v>APR.24</c:v>
                </c:pt>
                <c:pt idx="521">
                  <c:v>APR.24</c:v>
                </c:pt>
                <c:pt idx="522">
                  <c:v>APR.24</c:v>
                </c:pt>
                <c:pt idx="523">
                  <c:v>APR.24</c:v>
                </c:pt>
                <c:pt idx="524">
                  <c:v>APR.24</c:v>
                </c:pt>
                <c:pt idx="525">
                  <c:v>APR.24</c:v>
                </c:pt>
                <c:pt idx="526">
                  <c:v>APR.24</c:v>
                </c:pt>
                <c:pt idx="527">
                  <c:v>APR.24</c:v>
                </c:pt>
                <c:pt idx="528">
                  <c:v>APR.24</c:v>
                </c:pt>
                <c:pt idx="529">
                  <c:v>APR.24</c:v>
                </c:pt>
                <c:pt idx="530">
                  <c:v>APR.24</c:v>
                </c:pt>
                <c:pt idx="531">
                  <c:v>APR.24</c:v>
                </c:pt>
                <c:pt idx="532">
                  <c:v>APR.24</c:v>
                </c:pt>
                <c:pt idx="533">
                  <c:v>APR.24</c:v>
                </c:pt>
                <c:pt idx="534">
                  <c:v>APR.24</c:v>
                </c:pt>
                <c:pt idx="535">
                  <c:v>May 24 live</c:v>
                </c:pt>
                <c:pt idx="536">
                  <c:v>MAY.24</c:v>
                </c:pt>
                <c:pt idx="537">
                  <c:v>MAY.24</c:v>
                </c:pt>
                <c:pt idx="538">
                  <c:v>MAY.24</c:v>
                </c:pt>
                <c:pt idx="539">
                  <c:v>MAY.24</c:v>
                </c:pt>
                <c:pt idx="540">
                  <c:v>MAY.24</c:v>
                </c:pt>
                <c:pt idx="541">
                  <c:v>MAY.24</c:v>
                </c:pt>
                <c:pt idx="542">
                  <c:v>MAY.24</c:v>
                </c:pt>
                <c:pt idx="543">
                  <c:v>MAY.24</c:v>
                </c:pt>
                <c:pt idx="544">
                  <c:v>MAY.24</c:v>
                </c:pt>
                <c:pt idx="545">
                  <c:v>MAY.24</c:v>
                </c:pt>
                <c:pt idx="546">
                  <c:v>MAY.24</c:v>
                </c:pt>
                <c:pt idx="547">
                  <c:v>MAY.24</c:v>
                </c:pt>
                <c:pt idx="548">
                  <c:v>MAY.24</c:v>
                </c:pt>
                <c:pt idx="549">
                  <c:v>MAY.24</c:v>
                </c:pt>
                <c:pt idx="550">
                  <c:v>MAY.24</c:v>
                </c:pt>
                <c:pt idx="551">
                  <c:v>MAY.24</c:v>
                </c:pt>
                <c:pt idx="552">
                  <c:v>MAY.24</c:v>
                </c:pt>
                <c:pt idx="553">
                  <c:v>MAY.24</c:v>
                </c:pt>
                <c:pt idx="554">
                  <c:v>MAY.24</c:v>
                </c:pt>
                <c:pt idx="555">
                  <c:v>MAY.24</c:v>
                </c:pt>
                <c:pt idx="556">
                  <c:v>MAY.24</c:v>
                </c:pt>
                <c:pt idx="557">
                  <c:v>MAY.24</c:v>
                </c:pt>
                <c:pt idx="558">
                  <c:v>MAY.24</c:v>
                </c:pt>
                <c:pt idx="559">
                  <c:v>MAY.24</c:v>
                </c:pt>
                <c:pt idx="560">
                  <c:v>MAY.24</c:v>
                </c:pt>
                <c:pt idx="561">
                  <c:v>MAY.24</c:v>
                </c:pt>
                <c:pt idx="562">
                  <c:v>MAY.24</c:v>
                </c:pt>
                <c:pt idx="563">
                  <c:v>MAY.24</c:v>
                </c:pt>
                <c:pt idx="564">
                  <c:v>MAY.24</c:v>
                </c:pt>
                <c:pt idx="565">
                  <c:v>MAY.24</c:v>
                </c:pt>
                <c:pt idx="566">
                  <c:v>MAY.24</c:v>
                </c:pt>
                <c:pt idx="567">
                  <c:v>MAY.24</c:v>
                </c:pt>
                <c:pt idx="568">
                  <c:v>MAY.24</c:v>
                </c:pt>
                <c:pt idx="569">
                  <c:v>MAY.24</c:v>
                </c:pt>
                <c:pt idx="570">
                  <c:v>MAY.24</c:v>
                </c:pt>
                <c:pt idx="571">
                  <c:v>MAY.24</c:v>
                </c:pt>
                <c:pt idx="572">
                  <c:v>MAY.24</c:v>
                </c:pt>
                <c:pt idx="573">
                  <c:v>MAY.24</c:v>
                </c:pt>
                <c:pt idx="574">
                  <c:v>MAY.24</c:v>
                </c:pt>
                <c:pt idx="575">
                  <c:v>MAY.24</c:v>
                </c:pt>
                <c:pt idx="576">
                  <c:v>MAY.24</c:v>
                </c:pt>
                <c:pt idx="577">
                  <c:v>MAY.24</c:v>
                </c:pt>
                <c:pt idx="578">
                  <c:v>MAY.24</c:v>
                </c:pt>
                <c:pt idx="579">
                  <c:v>MAY.24</c:v>
                </c:pt>
                <c:pt idx="580">
                  <c:v>MAY.24</c:v>
                </c:pt>
                <c:pt idx="581">
                  <c:v>MAY.24</c:v>
                </c:pt>
                <c:pt idx="582">
                  <c:v>MAY.24</c:v>
                </c:pt>
                <c:pt idx="583">
                  <c:v>MAY.24</c:v>
                </c:pt>
                <c:pt idx="584">
                  <c:v>MAY.24</c:v>
                </c:pt>
                <c:pt idx="585">
                  <c:v>MAY.24</c:v>
                </c:pt>
                <c:pt idx="586">
                  <c:v>MAY.24</c:v>
                </c:pt>
                <c:pt idx="587">
                  <c:v>MAY.24</c:v>
                </c:pt>
                <c:pt idx="588">
                  <c:v>MAY.24</c:v>
                </c:pt>
                <c:pt idx="589">
                  <c:v>MAY.24</c:v>
                </c:pt>
                <c:pt idx="590">
                  <c:v>MAY.24</c:v>
                </c:pt>
                <c:pt idx="591">
                  <c:v>MAY.24</c:v>
                </c:pt>
                <c:pt idx="592">
                  <c:v>MAY.24</c:v>
                </c:pt>
                <c:pt idx="593">
                  <c:v>MAY.24</c:v>
                </c:pt>
                <c:pt idx="594">
                  <c:v>MAY.24</c:v>
                </c:pt>
                <c:pt idx="595">
                  <c:v>MAY.24</c:v>
                </c:pt>
                <c:pt idx="596">
                  <c:v>MAY.24</c:v>
                </c:pt>
                <c:pt idx="597">
                  <c:v>MAY.24</c:v>
                </c:pt>
                <c:pt idx="598">
                  <c:v>MAY.24</c:v>
                </c:pt>
                <c:pt idx="599">
                  <c:v>MAY.24</c:v>
                </c:pt>
                <c:pt idx="600">
                  <c:v>MAY.24</c:v>
                </c:pt>
                <c:pt idx="601">
                  <c:v>MAY.24</c:v>
                </c:pt>
                <c:pt idx="602">
                  <c:v>MAY.24</c:v>
                </c:pt>
                <c:pt idx="603">
                  <c:v>MAY.24</c:v>
                </c:pt>
                <c:pt idx="604">
                  <c:v>MAY.24</c:v>
                </c:pt>
                <c:pt idx="605">
                  <c:v>MAY.24</c:v>
                </c:pt>
                <c:pt idx="606">
                  <c:v>MAY.24</c:v>
                </c:pt>
                <c:pt idx="607">
                  <c:v>MAY.24</c:v>
                </c:pt>
                <c:pt idx="608">
                  <c:v>MAY.24</c:v>
                </c:pt>
                <c:pt idx="609">
                  <c:v>MAY.24</c:v>
                </c:pt>
                <c:pt idx="610">
                  <c:v>MAY.24</c:v>
                </c:pt>
                <c:pt idx="611">
                  <c:v>MAY.24</c:v>
                </c:pt>
                <c:pt idx="612">
                  <c:v>MAY.24</c:v>
                </c:pt>
                <c:pt idx="613">
                  <c:v>MAY.24</c:v>
                </c:pt>
                <c:pt idx="614">
                  <c:v>MAY.24</c:v>
                </c:pt>
                <c:pt idx="615">
                  <c:v>MAY.24</c:v>
                </c:pt>
                <c:pt idx="616">
                  <c:v>MAY.24</c:v>
                </c:pt>
                <c:pt idx="617">
                  <c:v>MAY.24</c:v>
                </c:pt>
                <c:pt idx="618">
                  <c:v>MAY.24</c:v>
                </c:pt>
                <c:pt idx="619">
                  <c:v>MAY.24</c:v>
                </c:pt>
                <c:pt idx="620">
                  <c:v>MAY.24</c:v>
                </c:pt>
                <c:pt idx="621">
                  <c:v>MAY.24</c:v>
                </c:pt>
                <c:pt idx="622">
                  <c:v>MAY.24</c:v>
                </c:pt>
                <c:pt idx="623">
                  <c:v>MAY.24</c:v>
                </c:pt>
                <c:pt idx="624">
                  <c:v>MAY.24</c:v>
                </c:pt>
                <c:pt idx="625">
                  <c:v>MAY.24</c:v>
                </c:pt>
                <c:pt idx="626">
                  <c:v>MAY.24</c:v>
                </c:pt>
                <c:pt idx="627">
                  <c:v>MAY.24</c:v>
                </c:pt>
                <c:pt idx="628">
                  <c:v>MAY.24</c:v>
                </c:pt>
                <c:pt idx="629">
                  <c:v>MAY.24</c:v>
                </c:pt>
                <c:pt idx="630">
                  <c:v>MAY.24</c:v>
                </c:pt>
                <c:pt idx="631">
                  <c:v>MAY.24</c:v>
                </c:pt>
                <c:pt idx="632">
                  <c:v>MAY.24</c:v>
                </c:pt>
                <c:pt idx="633">
                  <c:v>MAY.24</c:v>
                </c:pt>
                <c:pt idx="634">
                  <c:v>MAY.24</c:v>
                </c:pt>
                <c:pt idx="635">
                  <c:v>MAY.24</c:v>
                </c:pt>
                <c:pt idx="636">
                  <c:v>MAY.24</c:v>
                </c:pt>
                <c:pt idx="637">
                  <c:v>MAY.24</c:v>
                </c:pt>
                <c:pt idx="638">
                  <c:v>MAY.24</c:v>
                </c:pt>
                <c:pt idx="639">
                  <c:v>MAY.24</c:v>
                </c:pt>
                <c:pt idx="640">
                  <c:v>MAY.24</c:v>
                </c:pt>
                <c:pt idx="641">
                  <c:v>MAY.24</c:v>
                </c:pt>
                <c:pt idx="642">
                  <c:v>MAY.24</c:v>
                </c:pt>
                <c:pt idx="643">
                  <c:v>MAY.24</c:v>
                </c:pt>
                <c:pt idx="644">
                  <c:v>MAY.24</c:v>
                </c:pt>
                <c:pt idx="645">
                  <c:v>MAY.24</c:v>
                </c:pt>
                <c:pt idx="646">
                  <c:v>MAY.24</c:v>
                </c:pt>
                <c:pt idx="647">
                  <c:v>MAY.24</c:v>
                </c:pt>
                <c:pt idx="648">
                  <c:v>MAY.24</c:v>
                </c:pt>
                <c:pt idx="649">
                  <c:v>MAY.24</c:v>
                </c:pt>
                <c:pt idx="650">
                  <c:v>MAY.24</c:v>
                </c:pt>
                <c:pt idx="651">
                  <c:v>MAY.24</c:v>
                </c:pt>
                <c:pt idx="652">
                  <c:v>MAY.24</c:v>
                </c:pt>
                <c:pt idx="653">
                  <c:v>MAY.24</c:v>
                </c:pt>
                <c:pt idx="654">
                  <c:v>MAY.24</c:v>
                </c:pt>
                <c:pt idx="655">
                  <c:v>MAY.24</c:v>
                </c:pt>
                <c:pt idx="656">
                  <c:v>MAY.24</c:v>
                </c:pt>
                <c:pt idx="657">
                  <c:v>MAY.24</c:v>
                </c:pt>
                <c:pt idx="658">
                  <c:v>MAY.24</c:v>
                </c:pt>
                <c:pt idx="659">
                  <c:v>MAY.24</c:v>
                </c:pt>
                <c:pt idx="660">
                  <c:v>MAY.24</c:v>
                </c:pt>
                <c:pt idx="661">
                  <c:v>MAY.24</c:v>
                </c:pt>
                <c:pt idx="662">
                  <c:v>MAY.24</c:v>
                </c:pt>
                <c:pt idx="663">
                  <c:v>MAY.24</c:v>
                </c:pt>
                <c:pt idx="664">
                  <c:v>MAY.24</c:v>
                </c:pt>
                <c:pt idx="665">
                  <c:v>MAY.24</c:v>
                </c:pt>
                <c:pt idx="666">
                  <c:v>MAY.24</c:v>
                </c:pt>
                <c:pt idx="667">
                  <c:v>MAY.24</c:v>
                </c:pt>
                <c:pt idx="668">
                  <c:v>MAY.24</c:v>
                </c:pt>
                <c:pt idx="669">
                  <c:v>MAY.24</c:v>
                </c:pt>
                <c:pt idx="670">
                  <c:v>MAY.24</c:v>
                </c:pt>
                <c:pt idx="671">
                  <c:v>MAY.24</c:v>
                </c:pt>
                <c:pt idx="672">
                  <c:v>MAY.24</c:v>
                </c:pt>
                <c:pt idx="673">
                  <c:v>MAY.24</c:v>
                </c:pt>
                <c:pt idx="674">
                  <c:v>MAY.24</c:v>
                </c:pt>
                <c:pt idx="675">
                  <c:v>MAY.24</c:v>
                </c:pt>
                <c:pt idx="676">
                  <c:v>MAY.24</c:v>
                </c:pt>
                <c:pt idx="677">
                  <c:v>MAY.24</c:v>
                </c:pt>
                <c:pt idx="678">
                  <c:v>MAY.24</c:v>
                </c:pt>
                <c:pt idx="679">
                  <c:v>MAY.24</c:v>
                </c:pt>
                <c:pt idx="680">
                  <c:v>MAY.24 after disaster</c:v>
                </c:pt>
                <c:pt idx="681">
                  <c:v>MAY.24</c:v>
                </c:pt>
                <c:pt idx="682">
                  <c:v>MAY.24</c:v>
                </c:pt>
                <c:pt idx="683">
                  <c:v>MAY.24</c:v>
                </c:pt>
                <c:pt idx="684">
                  <c:v>MAY.24</c:v>
                </c:pt>
                <c:pt idx="685">
                  <c:v>MAY.24</c:v>
                </c:pt>
                <c:pt idx="686">
                  <c:v>MAY.24</c:v>
                </c:pt>
                <c:pt idx="687">
                  <c:v>MAY.24</c:v>
                </c:pt>
                <c:pt idx="688">
                  <c:v>MAY.24</c:v>
                </c:pt>
                <c:pt idx="689">
                  <c:v>MAY.24</c:v>
                </c:pt>
                <c:pt idx="690">
                  <c:v>MAY.24</c:v>
                </c:pt>
                <c:pt idx="691">
                  <c:v>MAY.24</c:v>
                </c:pt>
                <c:pt idx="692">
                  <c:v>MAY.24</c:v>
                </c:pt>
                <c:pt idx="693">
                  <c:v>MAY.24</c:v>
                </c:pt>
                <c:pt idx="694">
                  <c:v>MAY.24</c:v>
                </c:pt>
                <c:pt idx="695">
                  <c:v>MAY.24 recovery</c:v>
                </c:pt>
                <c:pt idx="696">
                  <c:v>MAY.24</c:v>
                </c:pt>
                <c:pt idx="697">
                  <c:v>MAY.24</c:v>
                </c:pt>
                <c:pt idx="698">
                  <c:v>MAY.24</c:v>
                </c:pt>
                <c:pt idx="699">
                  <c:v>MAY.24</c:v>
                </c:pt>
                <c:pt idx="700">
                  <c:v>MAY.24</c:v>
                </c:pt>
                <c:pt idx="701">
                  <c:v>MAY.24</c:v>
                </c:pt>
                <c:pt idx="702">
                  <c:v>MAY.24</c:v>
                </c:pt>
                <c:pt idx="703">
                  <c:v>MAY.24</c:v>
                </c:pt>
                <c:pt idx="704">
                  <c:v>MAY.24</c:v>
                </c:pt>
                <c:pt idx="705">
                  <c:v>MAY.24</c:v>
                </c:pt>
                <c:pt idx="706">
                  <c:v>MAY.24</c:v>
                </c:pt>
                <c:pt idx="707">
                  <c:v>MAY.24</c:v>
                </c:pt>
                <c:pt idx="708">
                  <c:v>MAY.24</c:v>
                </c:pt>
                <c:pt idx="709">
                  <c:v>MAY.24</c:v>
                </c:pt>
                <c:pt idx="710">
                  <c:v>MAY.24</c:v>
                </c:pt>
                <c:pt idx="711">
                  <c:v>MAY.24</c:v>
                </c:pt>
                <c:pt idx="712">
                  <c:v>MAY.24</c:v>
                </c:pt>
                <c:pt idx="713">
                  <c:v>MAY.24</c:v>
                </c:pt>
                <c:pt idx="714">
                  <c:v>MAY.24</c:v>
                </c:pt>
                <c:pt idx="715">
                  <c:v>MAY.24</c:v>
                </c:pt>
                <c:pt idx="716">
                  <c:v>MAY.24</c:v>
                </c:pt>
                <c:pt idx="717">
                  <c:v>MAY.24</c:v>
                </c:pt>
                <c:pt idx="718">
                  <c:v>MAY.24</c:v>
                </c:pt>
                <c:pt idx="719">
                  <c:v>MAY.24</c:v>
                </c:pt>
                <c:pt idx="720">
                  <c:v>MAY.24</c:v>
                </c:pt>
                <c:pt idx="721">
                  <c:v>MAY.24</c:v>
                </c:pt>
                <c:pt idx="722">
                  <c:v>MAY.24</c:v>
                </c:pt>
                <c:pt idx="723">
                  <c:v>MAY.24</c:v>
                </c:pt>
                <c:pt idx="724">
                  <c:v>MAY.24</c:v>
                </c:pt>
                <c:pt idx="725">
                  <c:v>MAY.24</c:v>
                </c:pt>
                <c:pt idx="726">
                  <c:v>MAY.24</c:v>
                </c:pt>
                <c:pt idx="727">
                  <c:v>MAY.24</c:v>
                </c:pt>
                <c:pt idx="728">
                  <c:v>MAY.24</c:v>
                </c:pt>
                <c:pt idx="729">
                  <c:v>MAY.24</c:v>
                </c:pt>
                <c:pt idx="730">
                  <c:v>June24 live</c:v>
                </c:pt>
                <c:pt idx="731">
                  <c:v>JUN.24</c:v>
                </c:pt>
                <c:pt idx="732">
                  <c:v>JUN.24</c:v>
                </c:pt>
                <c:pt idx="733">
                  <c:v>JUN.24</c:v>
                </c:pt>
                <c:pt idx="734">
                  <c:v>JUN.24</c:v>
                </c:pt>
                <c:pt idx="735">
                  <c:v>JUN.24</c:v>
                </c:pt>
                <c:pt idx="736">
                  <c:v>JUN.24</c:v>
                </c:pt>
                <c:pt idx="737">
                  <c:v>JUN.24</c:v>
                </c:pt>
                <c:pt idx="738">
                  <c:v>JUN.24</c:v>
                </c:pt>
                <c:pt idx="739">
                  <c:v>JUN.24</c:v>
                </c:pt>
                <c:pt idx="740">
                  <c:v>JUN.24</c:v>
                </c:pt>
                <c:pt idx="741">
                  <c:v>JUN.24</c:v>
                </c:pt>
                <c:pt idx="742">
                  <c:v>JUN.24</c:v>
                </c:pt>
                <c:pt idx="743">
                  <c:v>JUN.24</c:v>
                </c:pt>
                <c:pt idx="744">
                  <c:v>JUN.24</c:v>
                </c:pt>
                <c:pt idx="745">
                  <c:v>JUN.24</c:v>
                </c:pt>
                <c:pt idx="746">
                  <c:v>JUN.24</c:v>
                </c:pt>
                <c:pt idx="747">
                  <c:v>JUN.24</c:v>
                </c:pt>
                <c:pt idx="748">
                  <c:v>JUN.24</c:v>
                </c:pt>
                <c:pt idx="749">
                  <c:v>JUN.24</c:v>
                </c:pt>
                <c:pt idx="750">
                  <c:v>JUN.24</c:v>
                </c:pt>
                <c:pt idx="751">
                  <c:v>JUN.24</c:v>
                </c:pt>
                <c:pt idx="752">
                  <c:v>JUN.24</c:v>
                </c:pt>
                <c:pt idx="753">
                  <c:v>JUN.24</c:v>
                </c:pt>
                <c:pt idx="754">
                  <c:v>JUN.24</c:v>
                </c:pt>
                <c:pt idx="755">
                  <c:v>JUN.24</c:v>
                </c:pt>
                <c:pt idx="756">
                  <c:v>JUN.24</c:v>
                </c:pt>
                <c:pt idx="757">
                  <c:v>JUN.24</c:v>
                </c:pt>
                <c:pt idx="758">
                  <c:v>JUN.24</c:v>
                </c:pt>
                <c:pt idx="759">
                  <c:v>JUN.24</c:v>
                </c:pt>
                <c:pt idx="760">
                  <c:v>JUN.24</c:v>
                </c:pt>
                <c:pt idx="761">
                  <c:v>JUN.24</c:v>
                </c:pt>
                <c:pt idx="762">
                  <c:v>JUN.24</c:v>
                </c:pt>
                <c:pt idx="763">
                  <c:v>JUN.24</c:v>
                </c:pt>
                <c:pt idx="764">
                  <c:v>JUN.24</c:v>
                </c:pt>
                <c:pt idx="765">
                  <c:v>JUN.24</c:v>
                </c:pt>
                <c:pt idx="766">
                  <c:v>JUN.24</c:v>
                </c:pt>
                <c:pt idx="767">
                  <c:v>JUN.24</c:v>
                </c:pt>
                <c:pt idx="768">
                  <c:v>JUN.24</c:v>
                </c:pt>
                <c:pt idx="769">
                  <c:v>JUN.24</c:v>
                </c:pt>
                <c:pt idx="770">
                  <c:v>JUN.24</c:v>
                </c:pt>
                <c:pt idx="771">
                  <c:v>JUN.24</c:v>
                </c:pt>
                <c:pt idx="772">
                  <c:v>JUN.24</c:v>
                </c:pt>
                <c:pt idx="773">
                  <c:v>JUN.24</c:v>
                </c:pt>
                <c:pt idx="774">
                  <c:v>JUN.24</c:v>
                </c:pt>
                <c:pt idx="775">
                  <c:v>JUN.24</c:v>
                </c:pt>
                <c:pt idx="776">
                  <c:v>JUN.24</c:v>
                </c:pt>
                <c:pt idx="777">
                  <c:v>JUN.24</c:v>
                </c:pt>
                <c:pt idx="778">
                  <c:v>JUN.24</c:v>
                </c:pt>
                <c:pt idx="779">
                  <c:v>JUN.24</c:v>
                </c:pt>
                <c:pt idx="780">
                  <c:v>JUN.24</c:v>
                </c:pt>
                <c:pt idx="781">
                  <c:v>JUN.24</c:v>
                </c:pt>
                <c:pt idx="782">
                  <c:v>JUN.24</c:v>
                </c:pt>
                <c:pt idx="783">
                  <c:v>JUN.24</c:v>
                </c:pt>
                <c:pt idx="784">
                  <c:v>JUN.24</c:v>
                </c:pt>
                <c:pt idx="785">
                  <c:v>JUN.24</c:v>
                </c:pt>
                <c:pt idx="786">
                  <c:v>JUN.24</c:v>
                </c:pt>
                <c:pt idx="787">
                  <c:v>JUN.24</c:v>
                </c:pt>
                <c:pt idx="788">
                  <c:v>JUN.24</c:v>
                </c:pt>
                <c:pt idx="789">
                  <c:v>JUN.24</c:v>
                </c:pt>
                <c:pt idx="790">
                  <c:v>JUN.24</c:v>
                </c:pt>
                <c:pt idx="791">
                  <c:v>JUN.24</c:v>
                </c:pt>
                <c:pt idx="792">
                  <c:v>JUN.24</c:v>
                </c:pt>
                <c:pt idx="793">
                  <c:v>JUN.24</c:v>
                </c:pt>
                <c:pt idx="794">
                  <c:v>JUN.24</c:v>
                </c:pt>
                <c:pt idx="795">
                  <c:v>JUN.24</c:v>
                </c:pt>
                <c:pt idx="796">
                  <c:v>JUN.24</c:v>
                </c:pt>
                <c:pt idx="797">
                  <c:v>JUN.24</c:v>
                </c:pt>
                <c:pt idx="798">
                  <c:v>JUN.24</c:v>
                </c:pt>
                <c:pt idx="799">
                  <c:v>JUN.24</c:v>
                </c:pt>
                <c:pt idx="800">
                  <c:v>JUN.24</c:v>
                </c:pt>
                <c:pt idx="801">
                  <c:v>JUN.24</c:v>
                </c:pt>
                <c:pt idx="802">
                  <c:v>JUN.24</c:v>
                </c:pt>
                <c:pt idx="803">
                  <c:v>JUN.24</c:v>
                </c:pt>
                <c:pt idx="804">
                  <c:v>JUN.24</c:v>
                </c:pt>
                <c:pt idx="805">
                  <c:v>JUN.24</c:v>
                </c:pt>
                <c:pt idx="806">
                  <c:v>JUN.24</c:v>
                </c:pt>
                <c:pt idx="807">
                  <c:v>JUN.24</c:v>
                </c:pt>
                <c:pt idx="808">
                  <c:v>JUN.24</c:v>
                </c:pt>
                <c:pt idx="809">
                  <c:v>JUN.24</c:v>
                </c:pt>
                <c:pt idx="810">
                  <c:v>JUN.24</c:v>
                </c:pt>
                <c:pt idx="811">
                  <c:v>JUN.24</c:v>
                </c:pt>
                <c:pt idx="812">
                  <c:v>JUN.24</c:v>
                </c:pt>
                <c:pt idx="813">
                  <c:v>JUN.24</c:v>
                </c:pt>
                <c:pt idx="814">
                  <c:v>JUN.24</c:v>
                </c:pt>
                <c:pt idx="815">
                  <c:v>JUN.24</c:v>
                </c:pt>
                <c:pt idx="816">
                  <c:v>JUN.24</c:v>
                </c:pt>
                <c:pt idx="817">
                  <c:v>JUN.24</c:v>
                </c:pt>
                <c:pt idx="818">
                  <c:v>JUN.24</c:v>
                </c:pt>
                <c:pt idx="819">
                  <c:v>JUN.24</c:v>
                </c:pt>
                <c:pt idx="820">
                  <c:v>JUN.24</c:v>
                </c:pt>
                <c:pt idx="821">
                  <c:v>JUN.24</c:v>
                </c:pt>
                <c:pt idx="822">
                  <c:v>JUN.24</c:v>
                </c:pt>
                <c:pt idx="823">
                  <c:v>JUN.24</c:v>
                </c:pt>
                <c:pt idx="824">
                  <c:v>JUN.24</c:v>
                </c:pt>
                <c:pt idx="825">
                  <c:v>JUN.24</c:v>
                </c:pt>
                <c:pt idx="826">
                  <c:v>JUN.24</c:v>
                </c:pt>
                <c:pt idx="827">
                  <c:v>JUN.24</c:v>
                </c:pt>
                <c:pt idx="828">
                  <c:v>JUN.24</c:v>
                </c:pt>
                <c:pt idx="829">
                  <c:v>JUN.24</c:v>
                </c:pt>
                <c:pt idx="830">
                  <c:v>JUN.24</c:v>
                </c:pt>
                <c:pt idx="831">
                  <c:v>JUN.24</c:v>
                </c:pt>
                <c:pt idx="832">
                  <c:v>JUN.24</c:v>
                </c:pt>
                <c:pt idx="833">
                  <c:v>JUN.24</c:v>
                </c:pt>
                <c:pt idx="834">
                  <c:v>JUN.24</c:v>
                </c:pt>
                <c:pt idx="835">
                  <c:v>JUN.24</c:v>
                </c:pt>
                <c:pt idx="836">
                  <c:v>JUN.24</c:v>
                </c:pt>
                <c:pt idx="837">
                  <c:v>JUN.24</c:v>
                </c:pt>
                <c:pt idx="838">
                  <c:v>JUN.24</c:v>
                </c:pt>
                <c:pt idx="839">
                  <c:v>JUN.24</c:v>
                </c:pt>
                <c:pt idx="840">
                  <c:v>JUN.24</c:v>
                </c:pt>
                <c:pt idx="841">
                  <c:v>JUN.24</c:v>
                </c:pt>
                <c:pt idx="842">
                  <c:v>JUN.24</c:v>
                </c:pt>
                <c:pt idx="843">
                  <c:v>JUN.24</c:v>
                </c:pt>
                <c:pt idx="844">
                  <c:v>JUN.24</c:v>
                </c:pt>
                <c:pt idx="845">
                  <c:v>JUN.24</c:v>
                </c:pt>
                <c:pt idx="846">
                  <c:v>JUN.24</c:v>
                </c:pt>
                <c:pt idx="847">
                  <c:v>JUN.24</c:v>
                </c:pt>
                <c:pt idx="848">
                  <c:v>JUN.24</c:v>
                </c:pt>
                <c:pt idx="849">
                  <c:v>JUN.24</c:v>
                </c:pt>
                <c:pt idx="850">
                  <c:v>JUN.24</c:v>
                </c:pt>
                <c:pt idx="851">
                  <c:v>JUN.24</c:v>
                </c:pt>
                <c:pt idx="852">
                  <c:v>JUN.24</c:v>
                </c:pt>
                <c:pt idx="853">
                  <c:v>JUN.24</c:v>
                </c:pt>
                <c:pt idx="854">
                  <c:v>JUN.24</c:v>
                </c:pt>
                <c:pt idx="855">
                  <c:v>JUN.24</c:v>
                </c:pt>
                <c:pt idx="856">
                  <c:v>JUN.24</c:v>
                </c:pt>
                <c:pt idx="857">
                  <c:v>JUN.24</c:v>
                </c:pt>
                <c:pt idx="858">
                  <c:v>JUN.24</c:v>
                </c:pt>
                <c:pt idx="859">
                  <c:v>JUN.24</c:v>
                </c:pt>
                <c:pt idx="860">
                  <c:v>JUN.24</c:v>
                </c:pt>
                <c:pt idx="861">
                  <c:v>JUN.24</c:v>
                </c:pt>
                <c:pt idx="862">
                  <c:v>JUN.24</c:v>
                </c:pt>
                <c:pt idx="863">
                  <c:v>JUN.24</c:v>
                </c:pt>
                <c:pt idx="864">
                  <c:v>JUN.24</c:v>
                </c:pt>
                <c:pt idx="865">
                  <c:v>JUN.24</c:v>
                </c:pt>
                <c:pt idx="866">
                  <c:v>JUN.24</c:v>
                </c:pt>
                <c:pt idx="867">
                  <c:v>JUN.24</c:v>
                </c:pt>
                <c:pt idx="868">
                  <c:v>JUN.24</c:v>
                </c:pt>
                <c:pt idx="869">
                  <c:v>JUN.24</c:v>
                </c:pt>
                <c:pt idx="870">
                  <c:v>JUN.24</c:v>
                </c:pt>
                <c:pt idx="871">
                  <c:v>JUN.24</c:v>
                </c:pt>
                <c:pt idx="872">
                  <c:v>JUN.24</c:v>
                </c:pt>
                <c:pt idx="873">
                  <c:v>JUN.24</c:v>
                </c:pt>
                <c:pt idx="874">
                  <c:v>JUN.24</c:v>
                </c:pt>
                <c:pt idx="875">
                  <c:v>JUN.24</c:v>
                </c:pt>
                <c:pt idx="876">
                  <c:v>JUN.24</c:v>
                </c:pt>
                <c:pt idx="877">
                  <c:v>JUN.24</c:v>
                </c:pt>
                <c:pt idx="878">
                  <c:v>JUN.24 BLOWUP</c:v>
                </c:pt>
                <c:pt idx="879">
                  <c:v>JUN.24</c:v>
                </c:pt>
                <c:pt idx="880">
                  <c:v>JUN.24</c:v>
                </c:pt>
                <c:pt idx="881">
                  <c:v>JUN.24</c:v>
                </c:pt>
                <c:pt idx="882">
                  <c:v>JUN.24</c:v>
                </c:pt>
                <c:pt idx="883">
                  <c:v>JUN.24</c:v>
                </c:pt>
                <c:pt idx="884">
                  <c:v>JUN.24</c:v>
                </c:pt>
                <c:pt idx="885">
                  <c:v>JUN.24</c:v>
                </c:pt>
                <c:pt idx="886">
                  <c:v>JUN.24</c:v>
                </c:pt>
                <c:pt idx="887">
                  <c:v>July24 live (R+1) | REDUCE INTRADAY &gt;1D TRADES</c:v>
                </c:pt>
                <c:pt idx="888">
                  <c:v>JUL.24</c:v>
                </c:pt>
                <c:pt idx="889">
                  <c:v>JUL.24</c:v>
                </c:pt>
                <c:pt idx="890">
                  <c:v>JUL.24</c:v>
                </c:pt>
                <c:pt idx="891">
                  <c:v>JUL.24</c:v>
                </c:pt>
                <c:pt idx="892">
                  <c:v>JUL.24</c:v>
                </c:pt>
                <c:pt idx="893">
                  <c:v>JUL.24</c:v>
                </c:pt>
                <c:pt idx="894">
                  <c:v>JUL.24</c:v>
                </c:pt>
                <c:pt idx="895">
                  <c:v>JUL.24</c:v>
                </c:pt>
                <c:pt idx="896">
                  <c:v>JUL.24</c:v>
                </c:pt>
                <c:pt idx="897">
                  <c:v>JUL.24</c:v>
                </c:pt>
                <c:pt idx="898">
                  <c:v>JUL.24</c:v>
                </c:pt>
                <c:pt idx="899">
                  <c:v>JUL.24</c:v>
                </c:pt>
                <c:pt idx="900">
                  <c:v>JUL.24</c:v>
                </c:pt>
                <c:pt idx="901">
                  <c:v>JUL.24</c:v>
                </c:pt>
                <c:pt idx="902">
                  <c:v>JUL.24</c:v>
                </c:pt>
                <c:pt idx="903">
                  <c:v>JUL.24</c:v>
                </c:pt>
                <c:pt idx="904">
                  <c:v>JUL.24</c:v>
                </c:pt>
                <c:pt idx="905">
                  <c:v>JUL.24</c:v>
                </c:pt>
                <c:pt idx="906">
                  <c:v>JUL.24</c:v>
                </c:pt>
                <c:pt idx="907">
                  <c:v>JUL.24</c:v>
                </c:pt>
                <c:pt idx="908">
                  <c:v>JUL.24</c:v>
                </c:pt>
                <c:pt idx="909">
                  <c:v>JUL.24</c:v>
                </c:pt>
                <c:pt idx="910">
                  <c:v>JUL.24</c:v>
                </c:pt>
                <c:pt idx="911">
                  <c:v>JUL.24</c:v>
                </c:pt>
                <c:pt idx="912">
                  <c:v>JUL.24</c:v>
                </c:pt>
                <c:pt idx="913">
                  <c:v>JUL.24</c:v>
                </c:pt>
                <c:pt idx="914">
                  <c:v>JUL.24</c:v>
                </c:pt>
                <c:pt idx="915">
                  <c:v>JUL.24</c:v>
                </c:pt>
                <c:pt idx="916">
                  <c:v>JUL.24</c:v>
                </c:pt>
                <c:pt idx="917">
                  <c:v>JUL.24</c:v>
                </c:pt>
                <c:pt idx="918">
                  <c:v>JUL.24</c:v>
                </c:pt>
                <c:pt idx="919">
                  <c:v>JUL.24</c:v>
                </c:pt>
                <c:pt idx="920">
                  <c:v>JUL.24</c:v>
                </c:pt>
                <c:pt idx="921">
                  <c:v>JUL.24</c:v>
                </c:pt>
                <c:pt idx="922">
                  <c:v>JUL.24</c:v>
                </c:pt>
                <c:pt idx="923">
                  <c:v>JUL.24</c:v>
                </c:pt>
                <c:pt idx="924">
                  <c:v>JUL.24</c:v>
                </c:pt>
                <c:pt idx="925">
                  <c:v>JUL.24</c:v>
                </c:pt>
                <c:pt idx="926">
                  <c:v>JUL.24</c:v>
                </c:pt>
                <c:pt idx="927">
                  <c:v>JUL.24</c:v>
                </c:pt>
                <c:pt idx="928">
                  <c:v>JUL.24</c:v>
                </c:pt>
                <c:pt idx="929">
                  <c:v>JUL.24</c:v>
                </c:pt>
                <c:pt idx="930">
                  <c:v>JUL.24</c:v>
                </c:pt>
                <c:pt idx="931">
                  <c:v>JUL.24</c:v>
                </c:pt>
                <c:pt idx="932">
                  <c:v>JUL.24</c:v>
                </c:pt>
                <c:pt idx="933">
                  <c:v>JUL.24</c:v>
                </c:pt>
                <c:pt idx="934">
                  <c:v>JUL.24</c:v>
                </c:pt>
                <c:pt idx="935">
                  <c:v>JUL.24</c:v>
                </c:pt>
                <c:pt idx="936">
                  <c:v>JUL.24</c:v>
                </c:pt>
                <c:pt idx="937">
                  <c:v>JUL.24</c:v>
                </c:pt>
                <c:pt idx="938">
                  <c:v>JUL.24</c:v>
                </c:pt>
                <c:pt idx="939">
                  <c:v>JUL.24</c:v>
                </c:pt>
                <c:pt idx="940">
                  <c:v>JUL.24</c:v>
                </c:pt>
                <c:pt idx="941">
                  <c:v>JUL.24</c:v>
                </c:pt>
                <c:pt idx="942">
                  <c:v>JUL.24</c:v>
                </c:pt>
                <c:pt idx="943">
                  <c:v>JUL.24</c:v>
                </c:pt>
                <c:pt idx="944">
                  <c:v>JUL.24</c:v>
                </c:pt>
                <c:pt idx="945">
                  <c:v>JUL.24</c:v>
                </c:pt>
                <c:pt idx="946">
                  <c:v>JUL.24</c:v>
                </c:pt>
                <c:pt idx="947">
                  <c:v>JUL.24</c:v>
                </c:pt>
                <c:pt idx="948">
                  <c:v>JUL.24</c:v>
                </c:pt>
                <c:pt idx="949">
                  <c:v>JUL.24</c:v>
                </c:pt>
                <c:pt idx="950">
                  <c:v>JUL.24</c:v>
                </c:pt>
                <c:pt idx="951">
                  <c:v>JUL.24</c:v>
                </c:pt>
                <c:pt idx="952">
                  <c:v>JUL.24</c:v>
                </c:pt>
                <c:pt idx="953">
                  <c:v>JUL.24</c:v>
                </c:pt>
                <c:pt idx="954">
                  <c:v>JUL.24</c:v>
                </c:pt>
                <c:pt idx="955">
                  <c:v>JUL.24</c:v>
                </c:pt>
                <c:pt idx="956">
                  <c:v>JUL.24</c:v>
                </c:pt>
                <c:pt idx="957">
                  <c:v>JUL.24</c:v>
                </c:pt>
                <c:pt idx="958">
                  <c:v>JUL.24</c:v>
                </c:pt>
                <c:pt idx="959">
                  <c:v>JUL.24</c:v>
                </c:pt>
                <c:pt idx="960">
                  <c:v>JUL.24</c:v>
                </c:pt>
                <c:pt idx="961">
                  <c:v>JUL.24</c:v>
                </c:pt>
                <c:pt idx="962">
                  <c:v>JUL.24</c:v>
                </c:pt>
                <c:pt idx="963">
                  <c:v>JUL.24</c:v>
                </c:pt>
                <c:pt idx="964">
                  <c:v>JUL.24</c:v>
                </c:pt>
                <c:pt idx="965">
                  <c:v>JUL.24</c:v>
                </c:pt>
                <c:pt idx="966">
                  <c:v>JUL.24</c:v>
                </c:pt>
                <c:pt idx="967">
                  <c:v>JUL.24</c:v>
                </c:pt>
                <c:pt idx="968">
                  <c:v>JUL.24</c:v>
                </c:pt>
                <c:pt idx="969">
                  <c:v>JUL.24</c:v>
                </c:pt>
                <c:pt idx="970">
                  <c:v>JUL.24</c:v>
                </c:pt>
                <c:pt idx="971">
                  <c:v>JUL.24</c:v>
                </c:pt>
                <c:pt idx="972">
                  <c:v>JUL.24</c:v>
                </c:pt>
                <c:pt idx="973">
                  <c:v>JUL.24</c:v>
                </c:pt>
                <c:pt idx="974">
                  <c:v>JUL.24</c:v>
                </c:pt>
                <c:pt idx="975">
                  <c:v>JUL.24</c:v>
                </c:pt>
                <c:pt idx="976">
                  <c:v>JUL.24</c:v>
                </c:pt>
                <c:pt idx="977">
                  <c:v>JUL.24</c:v>
                </c:pt>
                <c:pt idx="978">
                  <c:v>JUL.24</c:v>
                </c:pt>
                <c:pt idx="979">
                  <c:v>JUL.24</c:v>
                </c:pt>
                <c:pt idx="980">
                  <c:v>JUL.24</c:v>
                </c:pt>
                <c:pt idx="981">
                  <c:v>JUL.24</c:v>
                </c:pt>
                <c:pt idx="982">
                  <c:v>JUL.24</c:v>
                </c:pt>
                <c:pt idx="983">
                  <c:v>JUL.24</c:v>
                </c:pt>
                <c:pt idx="984">
                  <c:v>JUL.24</c:v>
                </c:pt>
                <c:pt idx="985">
                  <c:v>JUL.24</c:v>
                </c:pt>
                <c:pt idx="986">
                  <c:v>JUL.24</c:v>
                </c:pt>
                <c:pt idx="987">
                  <c:v>JUL.24</c:v>
                </c:pt>
                <c:pt idx="988">
                  <c:v>August24 live (R-1) | REDUCE LOT SIZING 2ND HALF AND ONLY EXITS IN 2ND HALF</c:v>
                </c:pt>
                <c:pt idx="989">
                  <c:v>AUG.24</c:v>
                </c:pt>
                <c:pt idx="990">
                  <c:v>AUG.24</c:v>
                </c:pt>
                <c:pt idx="991">
                  <c:v>AUG.24.II</c:v>
                </c:pt>
                <c:pt idx="992">
                  <c:v>AUG.24</c:v>
                </c:pt>
                <c:pt idx="993">
                  <c:v>AUG.24</c:v>
                </c:pt>
                <c:pt idx="994">
                  <c:v>AUG.24</c:v>
                </c:pt>
                <c:pt idx="995">
                  <c:v>AUG.24</c:v>
                </c:pt>
                <c:pt idx="996">
                  <c:v>AUG.24</c:v>
                </c:pt>
                <c:pt idx="997">
                  <c:v>AUG.24</c:v>
                </c:pt>
                <c:pt idx="998">
                  <c:v>AUG.24</c:v>
                </c:pt>
                <c:pt idx="999">
                  <c:v>AUG.24</c:v>
                </c:pt>
                <c:pt idx="1000">
                  <c:v>AUG.24.II</c:v>
                </c:pt>
                <c:pt idx="1001">
                  <c:v>AUG.24.II</c:v>
                </c:pt>
                <c:pt idx="1002">
                  <c:v>AUG.24</c:v>
                </c:pt>
                <c:pt idx="1003">
                  <c:v>AUG.24</c:v>
                </c:pt>
                <c:pt idx="1004">
                  <c:v>AUG.24</c:v>
                </c:pt>
                <c:pt idx="1005">
                  <c:v>AUG.24.II</c:v>
                </c:pt>
                <c:pt idx="1006">
                  <c:v>AUG.24.II</c:v>
                </c:pt>
                <c:pt idx="1007">
                  <c:v>AUG.24</c:v>
                </c:pt>
                <c:pt idx="1008">
                  <c:v>AUG.24</c:v>
                </c:pt>
                <c:pt idx="1009">
                  <c:v>AUG.24</c:v>
                </c:pt>
                <c:pt idx="1010">
                  <c:v>AUG.24</c:v>
                </c:pt>
                <c:pt idx="1011">
                  <c:v>AUG.24</c:v>
                </c:pt>
                <c:pt idx="1012">
                  <c:v>AUG.24</c:v>
                </c:pt>
                <c:pt idx="1013">
                  <c:v>AUG.24</c:v>
                </c:pt>
                <c:pt idx="1014">
                  <c:v>AUG.24</c:v>
                </c:pt>
                <c:pt idx="1015">
                  <c:v>AUG.24</c:v>
                </c:pt>
                <c:pt idx="1016">
                  <c:v>AUG.24</c:v>
                </c:pt>
                <c:pt idx="1017">
                  <c:v>AUG.24</c:v>
                </c:pt>
                <c:pt idx="1018">
                  <c:v>AUG.24</c:v>
                </c:pt>
                <c:pt idx="1019">
                  <c:v>AUG.24</c:v>
                </c:pt>
                <c:pt idx="1020">
                  <c:v>AUG.24</c:v>
                </c:pt>
                <c:pt idx="1021">
                  <c:v>AUG.24</c:v>
                </c:pt>
                <c:pt idx="1022">
                  <c:v>AUG.24</c:v>
                </c:pt>
                <c:pt idx="1023">
                  <c:v>AUG.24</c:v>
                </c:pt>
                <c:pt idx="1024">
                  <c:v>AUG.24</c:v>
                </c:pt>
                <c:pt idx="1025">
                  <c:v>AUG.24</c:v>
                </c:pt>
                <c:pt idx="1026">
                  <c:v>AUG.24.II</c:v>
                </c:pt>
                <c:pt idx="1027">
                  <c:v>AUG.24</c:v>
                </c:pt>
                <c:pt idx="1028">
                  <c:v>AUG.24</c:v>
                </c:pt>
                <c:pt idx="1029">
                  <c:v>AUG.24</c:v>
                </c:pt>
                <c:pt idx="1030">
                  <c:v>AUG.24</c:v>
                </c:pt>
                <c:pt idx="1031">
                  <c:v>AUG.24</c:v>
                </c:pt>
                <c:pt idx="1032">
                  <c:v>AUG.24</c:v>
                </c:pt>
                <c:pt idx="1033">
                  <c:v>AUG.24</c:v>
                </c:pt>
                <c:pt idx="1034">
                  <c:v>AUG.24</c:v>
                </c:pt>
                <c:pt idx="1035">
                  <c:v>AUG.24</c:v>
                </c:pt>
                <c:pt idx="1036">
                  <c:v>AUG.24</c:v>
                </c:pt>
                <c:pt idx="1037">
                  <c:v>AUG.24</c:v>
                </c:pt>
                <c:pt idx="1038">
                  <c:v>AUG.24</c:v>
                </c:pt>
                <c:pt idx="1039">
                  <c:v>AUG.24</c:v>
                </c:pt>
                <c:pt idx="1040">
                  <c:v>AUG.24</c:v>
                </c:pt>
                <c:pt idx="1041">
                  <c:v>AUG.24</c:v>
                </c:pt>
                <c:pt idx="1042">
                  <c:v>AUG.24</c:v>
                </c:pt>
                <c:pt idx="1043">
                  <c:v>AUG.24</c:v>
                </c:pt>
                <c:pt idx="1044">
                  <c:v>AUG.24</c:v>
                </c:pt>
                <c:pt idx="1045">
                  <c:v>AUG.24</c:v>
                </c:pt>
                <c:pt idx="1046">
                  <c:v>AUG.24</c:v>
                </c:pt>
                <c:pt idx="1047">
                  <c:v>AUG.24</c:v>
                </c:pt>
                <c:pt idx="1048">
                  <c:v>AUG.24</c:v>
                </c:pt>
                <c:pt idx="1049">
                  <c:v>AUG.24</c:v>
                </c:pt>
                <c:pt idx="1050">
                  <c:v>AUG.24</c:v>
                </c:pt>
                <c:pt idx="1051">
                  <c:v>AUG.24</c:v>
                </c:pt>
                <c:pt idx="1052">
                  <c:v>AUG.24</c:v>
                </c:pt>
                <c:pt idx="1053">
                  <c:v>AUG.24</c:v>
                </c:pt>
                <c:pt idx="1054">
                  <c:v>AUG.24</c:v>
                </c:pt>
                <c:pt idx="1055">
                  <c:v>AUG.24</c:v>
                </c:pt>
                <c:pt idx="1056">
                  <c:v>AUG.24</c:v>
                </c:pt>
                <c:pt idx="1057">
                  <c:v>AUG.24</c:v>
                </c:pt>
                <c:pt idx="1058">
                  <c:v>AUG.24</c:v>
                </c:pt>
                <c:pt idx="1059">
                  <c:v>AUG.24</c:v>
                </c:pt>
                <c:pt idx="1060">
                  <c:v>AUG.24</c:v>
                </c:pt>
                <c:pt idx="1061">
                  <c:v>AUG.24</c:v>
                </c:pt>
                <c:pt idx="1062">
                  <c:v>AUG.24</c:v>
                </c:pt>
                <c:pt idx="1063">
                  <c:v>AUG.24</c:v>
                </c:pt>
                <c:pt idx="1064">
                  <c:v>AUG.24</c:v>
                </c:pt>
                <c:pt idx="1065">
                  <c:v>AUG.24</c:v>
                </c:pt>
                <c:pt idx="1066">
                  <c:v>AUG.24</c:v>
                </c:pt>
                <c:pt idx="1067">
                  <c:v>AUG.24</c:v>
                </c:pt>
                <c:pt idx="1068">
                  <c:v>AUG.24</c:v>
                </c:pt>
                <c:pt idx="1069">
                  <c:v>AUG.24</c:v>
                </c:pt>
                <c:pt idx="1070">
                  <c:v>AUG.24</c:v>
                </c:pt>
                <c:pt idx="1071">
                  <c:v>AUG.24</c:v>
                </c:pt>
                <c:pt idx="1072">
                  <c:v>AUG.24</c:v>
                </c:pt>
                <c:pt idx="1073">
                  <c:v>AUG.24</c:v>
                </c:pt>
                <c:pt idx="1074">
                  <c:v>AUG.24</c:v>
                </c:pt>
                <c:pt idx="1075">
                  <c:v>AUG.24</c:v>
                </c:pt>
                <c:pt idx="1076">
                  <c:v>AUG.24</c:v>
                </c:pt>
                <c:pt idx="1077">
                  <c:v>AUG.24</c:v>
                </c:pt>
                <c:pt idx="1078">
                  <c:v>AUG.24</c:v>
                </c:pt>
                <c:pt idx="1079">
                  <c:v>AUG.24</c:v>
                </c:pt>
                <c:pt idx="1080">
                  <c:v>AUG.24</c:v>
                </c:pt>
                <c:pt idx="1081">
                  <c:v>AUG.24</c:v>
                </c:pt>
                <c:pt idx="1082">
                  <c:v>AUG.24</c:v>
                </c:pt>
                <c:pt idx="1083">
                  <c:v>AUG.24</c:v>
                </c:pt>
                <c:pt idx="1084">
                  <c:v>AUG.24</c:v>
                </c:pt>
                <c:pt idx="1085">
                  <c:v>September24 live (R) | REDUCE LOT SIZING 1ST HALF, AVOID POSITIONAL </c:v>
                </c:pt>
                <c:pt idx="1086">
                  <c:v>SEP.24</c:v>
                </c:pt>
                <c:pt idx="1087">
                  <c:v>SEP.24</c:v>
                </c:pt>
                <c:pt idx="1088">
                  <c:v>SEP.24</c:v>
                </c:pt>
                <c:pt idx="1089">
                  <c:v>SEP.24</c:v>
                </c:pt>
                <c:pt idx="1090">
                  <c:v>SEP.24</c:v>
                </c:pt>
                <c:pt idx="1091">
                  <c:v>SEP.24</c:v>
                </c:pt>
                <c:pt idx="1092">
                  <c:v>SEP.24</c:v>
                </c:pt>
                <c:pt idx="1093">
                  <c:v>SEP.24</c:v>
                </c:pt>
                <c:pt idx="1094">
                  <c:v>SEP.24</c:v>
                </c:pt>
                <c:pt idx="1095">
                  <c:v>SEP.24</c:v>
                </c:pt>
                <c:pt idx="1096">
                  <c:v>SEP.24</c:v>
                </c:pt>
                <c:pt idx="1097">
                  <c:v>SEP.24</c:v>
                </c:pt>
                <c:pt idx="1098">
                  <c:v>SEP.24</c:v>
                </c:pt>
                <c:pt idx="1099">
                  <c:v>SEP.24</c:v>
                </c:pt>
                <c:pt idx="1100">
                  <c:v>SEP.24</c:v>
                </c:pt>
                <c:pt idx="1101">
                  <c:v>SEP.24</c:v>
                </c:pt>
                <c:pt idx="1102">
                  <c:v>SEP.24</c:v>
                </c:pt>
                <c:pt idx="1103">
                  <c:v>SEP.24</c:v>
                </c:pt>
                <c:pt idx="1104">
                  <c:v>SEP.24</c:v>
                </c:pt>
                <c:pt idx="1105">
                  <c:v>SEP.24</c:v>
                </c:pt>
                <c:pt idx="1106">
                  <c:v>SEP.24</c:v>
                </c:pt>
                <c:pt idx="1107">
                  <c:v>SEP.24</c:v>
                </c:pt>
                <c:pt idx="1108">
                  <c:v>SEP.24</c:v>
                </c:pt>
                <c:pt idx="1109">
                  <c:v>SEP.24</c:v>
                </c:pt>
                <c:pt idx="1110">
                  <c:v>SEP.24</c:v>
                </c:pt>
                <c:pt idx="1111">
                  <c:v>SEP.24</c:v>
                </c:pt>
                <c:pt idx="1112">
                  <c:v>SEP.24</c:v>
                </c:pt>
                <c:pt idx="1113">
                  <c:v>SEP.24</c:v>
                </c:pt>
                <c:pt idx="1114">
                  <c:v>SEP.24</c:v>
                </c:pt>
                <c:pt idx="1115">
                  <c:v>SEP.24</c:v>
                </c:pt>
                <c:pt idx="1116">
                  <c:v>SEP.24</c:v>
                </c:pt>
                <c:pt idx="1117">
                  <c:v>SEP.24</c:v>
                </c:pt>
                <c:pt idx="1118">
                  <c:v>SEP.24</c:v>
                </c:pt>
                <c:pt idx="1119">
                  <c:v>SEP.24</c:v>
                </c:pt>
                <c:pt idx="1120">
                  <c:v>SEP.24</c:v>
                </c:pt>
                <c:pt idx="1121">
                  <c:v>SEP.24</c:v>
                </c:pt>
                <c:pt idx="1122">
                  <c:v>SEP.24</c:v>
                </c:pt>
                <c:pt idx="1123">
                  <c:v>SEP.24</c:v>
                </c:pt>
                <c:pt idx="1124">
                  <c:v>October24 live (R+1) | REDUCE INTRADAY &gt;1D TRADES</c:v>
                </c:pt>
                <c:pt idx="1125">
                  <c:v>OCT.24</c:v>
                </c:pt>
                <c:pt idx="1126">
                  <c:v>OCT.24</c:v>
                </c:pt>
                <c:pt idx="1127">
                  <c:v>OCT.24</c:v>
                </c:pt>
                <c:pt idx="1128">
                  <c:v>OCT.24</c:v>
                </c:pt>
                <c:pt idx="1129">
                  <c:v>OCT.24</c:v>
                </c:pt>
                <c:pt idx="1130">
                  <c:v>OCT.24</c:v>
                </c:pt>
                <c:pt idx="1131">
                  <c:v>OCT.24</c:v>
                </c:pt>
                <c:pt idx="1132">
                  <c:v>OCT.24</c:v>
                </c:pt>
                <c:pt idx="1133">
                  <c:v>OCT.24</c:v>
                </c:pt>
                <c:pt idx="1134">
                  <c:v>OCT.24</c:v>
                </c:pt>
                <c:pt idx="1135">
                  <c:v>OCT.24</c:v>
                </c:pt>
                <c:pt idx="1136">
                  <c:v>OCT.24</c:v>
                </c:pt>
                <c:pt idx="1137">
                  <c:v>OCT.24</c:v>
                </c:pt>
                <c:pt idx="1138">
                  <c:v>OCT.24</c:v>
                </c:pt>
                <c:pt idx="1139">
                  <c:v>OCT.24</c:v>
                </c:pt>
                <c:pt idx="1140">
                  <c:v>OCT.24</c:v>
                </c:pt>
                <c:pt idx="1141">
                  <c:v>OCT.24</c:v>
                </c:pt>
                <c:pt idx="1142">
                  <c:v>OCT.24</c:v>
                </c:pt>
                <c:pt idx="1143">
                  <c:v>OCT.24</c:v>
                </c:pt>
                <c:pt idx="1144">
                  <c:v>OCT.24</c:v>
                </c:pt>
                <c:pt idx="1145">
                  <c:v>OCT.24</c:v>
                </c:pt>
                <c:pt idx="1146">
                  <c:v>OCT.24</c:v>
                </c:pt>
                <c:pt idx="1147">
                  <c:v>OCT.24</c:v>
                </c:pt>
                <c:pt idx="1148">
                  <c:v>OCT.24</c:v>
                </c:pt>
                <c:pt idx="1149">
                  <c:v>OCT.24</c:v>
                </c:pt>
                <c:pt idx="1150">
                  <c:v>OCT.24</c:v>
                </c:pt>
                <c:pt idx="1151">
                  <c:v>OCT.24</c:v>
                </c:pt>
                <c:pt idx="1152">
                  <c:v>OCT.24</c:v>
                </c:pt>
                <c:pt idx="1153">
                  <c:v>OCT.24</c:v>
                </c:pt>
                <c:pt idx="1154">
                  <c:v>OCT.24</c:v>
                </c:pt>
                <c:pt idx="1155">
                  <c:v>OCT.24</c:v>
                </c:pt>
                <c:pt idx="1156">
                  <c:v>OCT.24</c:v>
                </c:pt>
                <c:pt idx="1157">
                  <c:v>OCT.24</c:v>
                </c:pt>
                <c:pt idx="1158">
                  <c:v>OCT.24</c:v>
                </c:pt>
                <c:pt idx="1159">
                  <c:v>OCT.24</c:v>
                </c:pt>
                <c:pt idx="1160">
                  <c:v>OCT.24</c:v>
                </c:pt>
                <c:pt idx="1161">
                  <c:v>OCT.24</c:v>
                </c:pt>
                <c:pt idx="1162">
                  <c:v>OCT.24</c:v>
                </c:pt>
                <c:pt idx="1163">
                  <c:v>OCT.24</c:v>
                </c:pt>
                <c:pt idx="1164">
                  <c:v>OCT.24</c:v>
                </c:pt>
                <c:pt idx="1165">
                  <c:v>OCT.24</c:v>
                </c:pt>
                <c:pt idx="1166">
                  <c:v>OCT.24</c:v>
                </c:pt>
                <c:pt idx="1167">
                  <c:v>OCT.24</c:v>
                </c:pt>
                <c:pt idx="1168">
                  <c:v>OCT.24</c:v>
                </c:pt>
                <c:pt idx="1169">
                  <c:v>OCT.24</c:v>
                </c:pt>
                <c:pt idx="1170">
                  <c:v>OCT.24</c:v>
                </c:pt>
                <c:pt idx="1171">
                  <c:v>OCT.24</c:v>
                </c:pt>
                <c:pt idx="1172">
                  <c:v>OCT.24</c:v>
                </c:pt>
                <c:pt idx="1173">
                  <c:v>OCT.24</c:v>
                </c:pt>
                <c:pt idx="1174">
                  <c:v>OCT.24</c:v>
                </c:pt>
                <c:pt idx="1175">
                  <c:v>OCT.24</c:v>
                </c:pt>
                <c:pt idx="1176">
                  <c:v>OCT.24</c:v>
                </c:pt>
                <c:pt idx="1177">
                  <c:v>OCT.24</c:v>
                </c:pt>
                <c:pt idx="1178">
                  <c:v>OCT.24</c:v>
                </c:pt>
                <c:pt idx="1179">
                  <c:v>OCT.24</c:v>
                </c:pt>
                <c:pt idx="1180">
                  <c:v>OCT.24</c:v>
                </c:pt>
                <c:pt idx="1181">
                  <c:v>OCT.24</c:v>
                </c:pt>
                <c:pt idx="1182">
                  <c:v>OCT.24</c:v>
                </c:pt>
                <c:pt idx="1183">
                  <c:v>OCT.24</c:v>
                </c:pt>
                <c:pt idx="1184">
                  <c:v>OCT.24</c:v>
                </c:pt>
                <c:pt idx="1185">
                  <c:v>OCT.24</c:v>
                </c:pt>
                <c:pt idx="1186">
                  <c:v>OCT.24</c:v>
                </c:pt>
                <c:pt idx="1187">
                  <c:v>OCT.24</c:v>
                </c:pt>
                <c:pt idx="1188">
                  <c:v>OCT.24</c:v>
                </c:pt>
                <c:pt idx="1189">
                  <c:v>OCT.24</c:v>
                </c:pt>
                <c:pt idx="1190">
                  <c:v>OCT.24</c:v>
                </c:pt>
                <c:pt idx="1191">
                  <c:v>OCT.24</c:v>
                </c:pt>
                <c:pt idx="1192">
                  <c:v>OCT.24</c:v>
                </c:pt>
                <c:pt idx="1193">
                  <c:v>OCT.24</c:v>
                </c:pt>
                <c:pt idx="1194">
                  <c:v>OCT.24</c:v>
                </c:pt>
                <c:pt idx="1195">
                  <c:v>OCT.24</c:v>
                </c:pt>
                <c:pt idx="1196">
                  <c:v>OCT.24</c:v>
                </c:pt>
                <c:pt idx="1197">
                  <c:v>OCT.24</c:v>
                </c:pt>
                <c:pt idx="1198">
                  <c:v>OCT.24</c:v>
                </c:pt>
                <c:pt idx="1199">
                  <c:v>OCT.24</c:v>
                </c:pt>
                <c:pt idx="1200">
                  <c:v>OCT.24</c:v>
                </c:pt>
                <c:pt idx="1201">
                  <c:v>OCT.24</c:v>
                </c:pt>
                <c:pt idx="1202">
                  <c:v>OCT.24</c:v>
                </c:pt>
                <c:pt idx="1203">
                  <c:v>OCT.24</c:v>
                </c:pt>
                <c:pt idx="1204">
                  <c:v>OCT.24</c:v>
                </c:pt>
                <c:pt idx="1205">
                  <c:v>OCT.24</c:v>
                </c:pt>
                <c:pt idx="1206">
                  <c:v>OCT.24</c:v>
                </c:pt>
                <c:pt idx="1207">
                  <c:v>OCT.24</c:v>
                </c:pt>
                <c:pt idx="1208">
                  <c:v>OCT.24</c:v>
                </c:pt>
                <c:pt idx="1209">
                  <c:v>OCT.24</c:v>
                </c:pt>
                <c:pt idx="1210">
                  <c:v>OCT.24</c:v>
                </c:pt>
                <c:pt idx="1211">
                  <c:v>OCT.24</c:v>
                </c:pt>
                <c:pt idx="1212">
                  <c:v>OCT.24</c:v>
                </c:pt>
                <c:pt idx="1213">
                  <c:v>November24 live EPILOGUE 1</c:v>
                </c:pt>
                <c:pt idx="1214">
                  <c:v>NOV.24</c:v>
                </c:pt>
                <c:pt idx="1215">
                  <c:v>NOV.24</c:v>
                </c:pt>
                <c:pt idx="1216">
                  <c:v>NOV.24</c:v>
                </c:pt>
                <c:pt idx="1217">
                  <c:v>NOV.24</c:v>
                </c:pt>
                <c:pt idx="1218">
                  <c:v>NOV.24</c:v>
                </c:pt>
                <c:pt idx="1219">
                  <c:v>NOV.24</c:v>
                </c:pt>
                <c:pt idx="1220">
                  <c:v>NOV.24</c:v>
                </c:pt>
                <c:pt idx="1221">
                  <c:v>NOV.24</c:v>
                </c:pt>
                <c:pt idx="1222">
                  <c:v>NOV.24</c:v>
                </c:pt>
                <c:pt idx="1223">
                  <c:v>NOV.24</c:v>
                </c:pt>
                <c:pt idx="1224">
                  <c:v>NOV.24</c:v>
                </c:pt>
                <c:pt idx="1225">
                  <c:v>NOV.24</c:v>
                </c:pt>
                <c:pt idx="1226">
                  <c:v>NOV.24</c:v>
                </c:pt>
                <c:pt idx="1227">
                  <c:v>NOV.24</c:v>
                </c:pt>
                <c:pt idx="1228">
                  <c:v>NOV.24</c:v>
                </c:pt>
                <c:pt idx="1229">
                  <c:v>NOV.24</c:v>
                </c:pt>
                <c:pt idx="1230">
                  <c:v>NOV.24</c:v>
                </c:pt>
                <c:pt idx="1231">
                  <c:v>NOV.24</c:v>
                </c:pt>
                <c:pt idx="1232">
                  <c:v>NOV.24</c:v>
                </c:pt>
                <c:pt idx="1233">
                  <c:v>NOV.24</c:v>
                </c:pt>
                <c:pt idx="1234">
                  <c:v>NOV.24</c:v>
                </c:pt>
                <c:pt idx="1235">
                  <c:v>NOV.24</c:v>
                </c:pt>
                <c:pt idx="1236">
                  <c:v>NOV.24</c:v>
                </c:pt>
              </c:strCache>
            </c:strRef>
          </c:cat>
          <c:val>
            <c:numRef>
              <c:f>'Journal Live'!$AM$1389:$AM$2630</c:f>
              <c:numCache>
                <c:formatCode>"$"#,##0.00</c:formatCode>
                <c:ptCount val="1237"/>
                <c:pt idx="0">
                  <c:v>-200</c:v>
                </c:pt>
                <c:pt idx="1">
                  <c:v>0</c:v>
                </c:pt>
                <c:pt idx="3">
                  <c:v>0</c:v>
                </c:pt>
                <c:pt idx="4">
                  <c:v>-768</c:v>
                </c:pt>
                <c:pt idx="5">
                  <c:v>-160</c:v>
                </c:pt>
                <c:pt idx="33">
                  <c:v>0</c:v>
                </c:pt>
                <c:pt idx="34">
                  <c:v>-336</c:v>
                </c:pt>
                <c:pt idx="35">
                  <c:v>0</c:v>
                </c:pt>
                <c:pt idx="36">
                  <c:v>-480</c:v>
                </c:pt>
                <c:pt idx="39">
                  <c:v>-128</c:v>
                </c:pt>
                <c:pt idx="40">
                  <c:v>-432</c:v>
                </c:pt>
                <c:pt idx="41">
                  <c:v>-240</c:v>
                </c:pt>
                <c:pt idx="43">
                  <c:v>-200</c:v>
                </c:pt>
                <c:pt idx="44">
                  <c:v>-1056</c:v>
                </c:pt>
                <c:pt idx="45">
                  <c:v>-384</c:v>
                </c:pt>
                <c:pt idx="46">
                  <c:v>0</c:v>
                </c:pt>
                <c:pt idx="47">
                  <c:v>-432</c:v>
                </c:pt>
                <c:pt idx="49">
                  <c:v>-576</c:v>
                </c:pt>
                <c:pt idx="51">
                  <c:v>-768</c:v>
                </c:pt>
                <c:pt idx="52">
                  <c:v>-704</c:v>
                </c:pt>
                <c:pt idx="53">
                  <c:v>0</c:v>
                </c:pt>
                <c:pt idx="57">
                  <c:v>-704</c:v>
                </c:pt>
                <c:pt idx="60">
                  <c:v>-160</c:v>
                </c:pt>
                <c:pt idx="61">
                  <c:v>-384</c:v>
                </c:pt>
                <c:pt idx="62">
                  <c:v>-512</c:v>
                </c:pt>
                <c:pt idx="63">
                  <c:v>-1024</c:v>
                </c:pt>
                <c:pt idx="64">
                  <c:v>-160</c:v>
                </c:pt>
                <c:pt idx="66">
                  <c:v>-160</c:v>
                </c:pt>
                <c:pt idx="67">
                  <c:v>0</c:v>
                </c:pt>
                <c:pt idx="68">
                  <c:v>0</c:v>
                </c:pt>
                <c:pt idx="69">
                  <c:v>-336</c:v>
                </c:pt>
                <c:pt idx="70">
                  <c:v>0</c:v>
                </c:pt>
                <c:pt idx="71">
                  <c:v>-160</c:v>
                </c:pt>
                <c:pt idx="72">
                  <c:v>-384</c:v>
                </c:pt>
                <c:pt idx="73">
                  <c:v>0</c:v>
                </c:pt>
                <c:pt idx="74">
                  <c:v>-320</c:v>
                </c:pt>
                <c:pt idx="75">
                  <c:v>-240</c:v>
                </c:pt>
                <c:pt idx="76">
                  <c:v>0</c:v>
                </c:pt>
                <c:pt idx="77">
                  <c:v>0</c:v>
                </c:pt>
                <c:pt idx="78">
                  <c:v>0</c:v>
                </c:pt>
                <c:pt idx="79">
                  <c:v>0</c:v>
                </c:pt>
                <c:pt idx="80">
                  <c:v>-232</c:v>
                </c:pt>
                <c:pt idx="81">
                  <c:v>0</c:v>
                </c:pt>
                <c:pt idx="82">
                  <c:v>-240</c:v>
                </c:pt>
                <c:pt idx="83">
                  <c:v>-880</c:v>
                </c:pt>
                <c:pt idx="84">
                  <c:v>-320</c:v>
                </c:pt>
                <c:pt idx="85">
                  <c:v>0</c:v>
                </c:pt>
                <c:pt idx="86">
                  <c:v>0</c:v>
                </c:pt>
                <c:pt idx="87">
                  <c:v>-1024</c:v>
                </c:pt>
                <c:pt idx="88">
                  <c:v>0</c:v>
                </c:pt>
                <c:pt idx="89">
                  <c:v>-1024</c:v>
                </c:pt>
                <c:pt idx="90">
                  <c:v>0</c:v>
                </c:pt>
                <c:pt idx="91">
                  <c:v>-160</c:v>
                </c:pt>
                <c:pt idx="92">
                  <c:v>-40</c:v>
                </c:pt>
                <c:pt idx="93">
                  <c:v>0</c:v>
                </c:pt>
                <c:pt idx="94">
                  <c:v>0</c:v>
                </c:pt>
                <c:pt idx="95">
                  <c:v>-960</c:v>
                </c:pt>
                <c:pt idx="96">
                  <c:v>0</c:v>
                </c:pt>
                <c:pt idx="97">
                  <c:v>0</c:v>
                </c:pt>
                <c:pt idx="98">
                  <c:v>0</c:v>
                </c:pt>
                <c:pt idx="99">
                  <c:v>-232</c:v>
                </c:pt>
                <c:pt idx="100">
                  <c:v>-96</c:v>
                </c:pt>
                <c:pt idx="101">
                  <c:v>0</c:v>
                </c:pt>
                <c:pt idx="102">
                  <c:v>0</c:v>
                </c:pt>
                <c:pt idx="106">
                  <c:v>-384</c:v>
                </c:pt>
                <c:pt idx="107">
                  <c:v>-512</c:v>
                </c:pt>
                <c:pt idx="108">
                  <c:v>-320</c:v>
                </c:pt>
                <c:pt idx="109">
                  <c:v>-1408</c:v>
                </c:pt>
                <c:pt idx="110">
                  <c:v>-2016</c:v>
                </c:pt>
                <c:pt idx="111">
                  <c:v>0</c:v>
                </c:pt>
                <c:pt idx="113">
                  <c:v>0</c:v>
                </c:pt>
                <c:pt idx="114">
                  <c:v>-704</c:v>
                </c:pt>
                <c:pt idx="115">
                  <c:v>0</c:v>
                </c:pt>
                <c:pt idx="116">
                  <c:v>0</c:v>
                </c:pt>
                <c:pt idx="117">
                  <c:v>-224</c:v>
                </c:pt>
                <c:pt idx="118">
                  <c:v>-512</c:v>
                </c:pt>
                <c:pt idx="119">
                  <c:v>-241.64000000000001</c:v>
                </c:pt>
                <c:pt idx="120">
                  <c:v>0</c:v>
                </c:pt>
                <c:pt idx="121">
                  <c:v>0</c:v>
                </c:pt>
                <c:pt idx="122">
                  <c:v>0</c:v>
                </c:pt>
                <c:pt idx="123">
                  <c:v>0</c:v>
                </c:pt>
                <c:pt idx="124">
                  <c:v>0</c:v>
                </c:pt>
                <c:pt idx="125">
                  <c:v>0</c:v>
                </c:pt>
                <c:pt idx="126">
                  <c:v>0</c:v>
                </c:pt>
                <c:pt idx="127">
                  <c:v>0</c:v>
                </c:pt>
                <c:pt idx="128">
                  <c:v>0</c:v>
                </c:pt>
                <c:pt idx="129">
                  <c:v>0</c:v>
                </c:pt>
                <c:pt idx="130">
                  <c:v>0</c:v>
                </c:pt>
                <c:pt idx="132">
                  <c:v>0</c:v>
                </c:pt>
                <c:pt idx="133">
                  <c:v>-348</c:v>
                </c:pt>
                <c:pt idx="134">
                  <c:v>0</c:v>
                </c:pt>
                <c:pt idx="135">
                  <c:v>-704</c:v>
                </c:pt>
                <c:pt idx="136">
                  <c:v>0</c:v>
                </c:pt>
                <c:pt idx="137">
                  <c:v>-1216</c:v>
                </c:pt>
                <c:pt idx="138">
                  <c:v>-160</c:v>
                </c:pt>
                <c:pt idx="139">
                  <c:v>0</c:v>
                </c:pt>
                <c:pt idx="140">
                  <c:v>-1056</c:v>
                </c:pt>
                <c:pt idx="141">
                  <c:v>-576</c:v>
                </c:pt>
                <c:pt idx="142">
                  <c:v>0</c:v>
                </c:pt>
                <c:pt idx="143">
                  <c:v>0</c:v>
                </c:pt>
                <c:pt idx="144">
                  <c:v>0</c:v>
                </c:pt>
                <c:pt idx="145">
                  <c:v>-768</c:v>
                </c:pt>
                <c:pt idx="146">
                  <c:v>-1152</c:v>
                </c:pt>
                <c:pt idx="147">
                  <c:v>0</c:v>
                </c:pt>
                <c:pt idx="148">
                  <c:v>0</c:v>
                </c:pt>
                <c:pt idx="149">
                  <c:v>0</c:v>
                </c:pt>
                <c:pt idx="150">
                  <c:v>-116</c:v>
                </c:pt>
                <c:pt idx="151">
                  <c:v>-116</c:v>
                </c:pt>
                <c:pt idx="152">
                  <c:v>-576</c:v>
                </c:pt>
                <c:pt idx="153">
                  <c:v>0</c:v>
                </c:pt>
                <c:pt idx="154">
                  <c:v>-1280</c:v>
                </c:pt>
                <c:pt idx="155">
                  <c:v>-160</c:v>
                </c:pt>
                <c:pt idx="156">
                  <c:v>0</c:v>
                </c:pt>
                <c:pt idx="157">
                  <c:v>-896.00000000000011</c:v>
                </c:pt>
                <c:pt idx="158">
                  <c:v>0</c:v>
                </c:pt>
                <c:pt idx="159">
                  <c:v>-320</c:v>
                </c:pt>
                <c:pt idx="160">
                  <c:v>0</c:v>
                </c:pt>
                <c:pt idx="161">
                  <c:v>0</c:v>
                </c:pt>
                <c:pt idx="162">
                  <c:v>0</c:v>
                </c:pt>
                <c:pt idx="163">
                  <c:v>-464</c:v>
                </c:pt>
                <c:pt idx="165">
                  <c:v>-1344</c:v>
                </c:pt>
                <c:pt idx="166">
                  <c:v>-640</c:v>
                </c:pt>
                <c:pt idx="167">
                  <c:v>-768</c:v>
                </c:pt>
                <c:pt idx="168">
                  <c:v>-160</c:v>
                </c:pt>
                <c:pt idx="169">
                  <c:v>-800</c:v>
                </c:pt>
                <c:pt idx="170">
                  <c:v>-232</c:v>
                </c:pt>
                <c:pt idx="171">
                  <c:v>-160</c:v>
                </c:pt>
                <c:pt idx="172">
                  <c:v>-832</c:v>
                </c:pt>
                <c:pt idx="173">
                  <c:v>0</c:v>
                </c:pt>
                <c:pt idx="174">
                  <c:v>-600</c:v>
                </c:pt>
                <c:pt idx="175">
                  <c:v>-320</c:v>
                </c:pt>
                <c:pt idx="176">
                  <c:v>-1120</c:v>
                </c:pt>
                <c:pt idx="177">
                  <c:v>-2304</c:v>
                </c:pt>
                <c:pt idx="178">
                  <c:v>0</c:v>
                </c:pt>
                <c:pt idx="179">
                  <c:v>0</c:v>
                </c:pt>
                <c:pt idx="180">
                  <c:v>0</c:v>
                </c:pt>
                <c:pt idx="181">
                  <c:v>0</c:v>
                </c:pt>
                <c:pt idx="182">
                  <c:v>0</c:v>
                </c:pt>
                <c:pt idx="183">
                  <c:v>0</c:v>
                </c:pt>
                <c:pt idx="184">
                  <c:v>-928</c:v>
                </c:pt>
                <c:pt idx="185">
                  <c:v>-1792</c:v>
                </c:pt>
                <c:pt idx="186">
                  <c:v>-1792</c:v>
                </c:pt>
                <c:pt idx="187">
                  <c:v>0</c:v>
                </c:pt>
                <c:pt idx="188">
                  <c:v>0</c:v>
                </c:pt>
                <c:pt idx="189">
                  <c:v>0</c:v>
                </c:pt>
                <c:pt idx="191">
                  <c:v>0</c:v>
                </c:pt>
                <c:pt idx="192">
                  <c:v>0</c:v>
                </c:pt>
                <c:pt idx="193">
                  <c:v>0</c:v>
                </c:pt>
                <c:pt idx="194">
                  <c:v>0</c:v>
                </c:pt>
                <c:pt idx="195">
                  <c:v>-800</c:v>
                </c:pt>
                <c:pt idx="196">
                  <c:v>0</c:v>
                </c:pt>
                <c:pt idx="197">
                  <c:v>0</c:v>
                </c:pt>
                <c:pt idx="198">
                  <c:v>0</c:v>
                </c:pt>
                <c:pt idx="199">
                  <c:v>-576</c:v>
                </c:pt>
                <c:pt idx="200">
                  <c:v>-696</c:v>
                </c:pt>
                <c:pt idx="201">
                  <c:v>-600</c:v>
                </c:pt>
                <c:pt idx="202">
                  <c:v>-600</c:v>
                </c:pt>
                <c:pt idx="203">
                  <c:v>-2640</c:v>
                </c:pt>
                <c:pt idx="204">
                  <c:v>-1280</c:v>
                </c:pt>
                <c:pt idx="205">
                  <c:v>-800</c:v>
                </c:pt>
                <c:pt idx="206">
                  <c:v>0</c:v>
                </c:pt>
                <c:pt idx="207">
                  <c:v>0</c:v>
                </c:pt>
                <c:pt idx="208">
                  <c:v>-160</c:v>
                </c:pt>
                <c:pt idx="209">
                  <c:v>0</c:v>
                </c:pt>
                <c:pt idx="210">
                  <c:v>0</c:v>
                </c:pt>
                <c:pt idx="211">
                  <c:v>-160</c:v>
                </c:pt>
                <c:pt idx="212">
                  <c:v>-160</c:v>
                </c:pt>
                <c:pt idx="213">
                  <c:v>-696</c:v>
                </c:pt>
                <c:pt idx="214">
                  <c:v>0</c:v>
                </c:pt>
                <c:pt idx="215">
                  <c:v>0</c:v>
                </c:pt>
                <c:pt idx="216">
                  <c:v>0</c:v>
                </c:pt>
                <c:pt idx="217">
                  <c:v>0</c:v>
                </c:pt>
                <c:pt idx="218">
                  <c:v>-232</c:v>
                </c:pt>
                <c:pt idx="219">
                  <c:v>0</c:v>
                </c:pt>
                <c:pt idx="220">
                  <c:v>0</c:v>
                </c:pt>
                <c:pt idx="221">
                  <c:v>0</c:v>
                </c:pt>
                <c:pt idx="222">
                  <c:v>0</c:v>
                </c:pt>
                <c:pt idx="223">
                  <c:v>-160</c:v>
                </c:pt>
                <c:pt idx="224">
                  <c:v>0</c:v>
                </c:pt>
                <c:pt idx="225">
                  <c:v>-600</c:v>
                </c:pt>
                <c:pt idx="226">
                  <c:v>-600</c:v>
                </c:pt>
                <c:pt idx="227">
                  <c:v>-512</c:v>
                </c:pt>
                <c:pt idx="228">
                  <c:v>-320</c:v>
                </c:pt>
                <c:pt idx="229">
                  <c:v>0</c:v>
                </c:pt>
                <c:pt idx="230">
                  <c:v>0</c:v>
                </c:pt>
                <c:pt idx="231">
                  <c:v>0</c:v>
                </c:pt>
                <c:pt idx="232">
                  <c:v>0</c:v>
                </c:pt>
                <c:pt idx="233">
                  <c:v>0</c:v>
                </c:pt>
                <c:pt idx="234">
                  <c:v>0</c:v>
                </c:pt>
                <c:pt idx="235">
                  <c:v>0</c:v>
                </c:pt>
                <c:pt idx="236">
                  <c:v>0</c:v>
                </c:pt>
                <c:pt idx="237">
                  <c:v>0</c:v>
                </c:pt>
                <c:pt idx="238">
                  <c:v>0</c:v>
                </c:pt>
                <c:pt idx="239">
                  <c:v>0</c:v>
                </c:pt>
                <c:pt idx="240">
                  <c:v>-696</c:v>
                </c:pt>
                <c:pt idx="241">
                  <c:v>0</c:v>
                </c:pt>
                <c:pt idx="242">
                  <c:v>-480</c:v>
                </c:pt>
                <c:pt idx="243">
                  <c:v>-320</c:v>
                </c:pt>
                <c:pt idx="244">
                  <c:v>0</c:v>
                </c:pt>
                <c:pt idx="245">
                  <c:v>0</c:v>
                </c:pt>
                <c:pt idx="246">
                  <c:v>0</c:v>
                </c:pt>
                <c:pt idx="247">
                  <c:v>0</c:v>
                </c:pt>
                <c:pt idx="248">
                  <c:v>0</c:v>
                </c:pt>
                <c:pt idx="249">
                  <c:v>0</c:v>
                </c:pt>
                <c:pt idx="250">
                  <c:v>0</c:v>
                </c:pt>
                <c:pt idx="252">
                  <c:v>0</c:v>
                </c:pt>
                <c:pt idx="253">
                  <c:v>0</c:v>
                </c:pt>
                <c:pt idx="254">
                  <c:v>0</c:v>
                </c:pt>
                <c:pt idx="255">
                  <c:v>0</c:v>
                </c:pt>
                <c:pt idx="256">
                  <c:v>0</c:v>
                </c:pt>
                <c:pt idx="257">
                  <c:v>0</c:v>
                </c:pt>
                <c:pt idx="258">
                  <c:v>0</c:v>
                </c:pt>
                <c:pt idx="259">
                  <c:v>0</c:v>
                </c:pt>
                <c:pt idx="260">
                  <c:v>-1600</c:v>
                </c:pt>
                <c:pt idx="261">
                  <c:v>-320</c:v>
                </c:pt>
                <c:pt idx="262">
                  <c:v>0</c:v>
                </c:pt>
                <c:pt idx="263">
                  <c:v>-320</c:v>
                </c:pt>
                <c:pt idx="264">
                  <c:v>-320</c:v>
                </c:pt>
                <c:pt idx="265">
                  <c:v>0</c:v>
                </c:pt>
                <c:pt idx="266">
                  <c:v>-640</c:v>
                </c:pt>
                <c:pt idx="267">
                  <c:v>0</c:v>
                </c:pt>
                <c:pt idx="268">
                  <c:v>0</c:v>
                </c:pt>
                <c:pt idx="269">
                  <c:v>0</c:v>
                </c:pt>
                <c:pt idx="270">
                  <c:v>-116</c:v>
                </c:pt>
                <c:pt idx="271">
                  <c:v>0</c:v>
                </c:pt>
                <c:pt idx="272">
                  <c:v>0</c:v>
                </c:pt>
                <c:pt idx="273">
                  <c:v>0</c:v>
                </c:pt>
                <c:pt idx="274">
                  <c:v>0</c:v>
                </c:pt>
                <c:pt idx="275">
                  <c:v>-192</c:v>
                </c:pt>
                <c:pt idx="276">
                  <c:v>-320</c:v>
                </c:pt>
                <c:pt idx="277">
                  <c:v>-320</c:v>
                </c:pt>
                <c:pt idx="278">
                  <c:v>0</c:v>
                </c:pt>
                <c:pt idx="279">
                  <c:v>0</c:v>
                </c:pt>
                <c:pt idx="280">
                  <c:v>-1600</c:v>
                </c:pt>
                <c:pt idx="281">
                  <c:v>0</c:v>
                </c:pt>
                <c:pt idx="282">
                  <c:v>0</c:v>
                </c:pt>
                <c:pt idx="283">
                  <c:v>-928</c:v>
                </c:pt>
                <c:pt idx="284">
                  <c:v>-116</c:v>
                </c:pt>
                <c:pt idx="285">
                  <c:v>0</c:v>
                </c:pt>
                <c:pt idx="286">
                  <c:v>0</c:v>
                </c:pt>
                <c:pt idx="287">
                  <c:v>0</c:v>
                </c:pt>
                <c:pt idx="288">
                  <c:v>0</c:v>
                </c:pt>
                <c:pt idx="289">
                  <c:v>-2800.0000000000005</c:v>
                </c:pt>
                <c:pt idx="290">
                  <c:v>0</c:v>
                </c:pt>
                <c:pt idx="291">
                  <c:v>-3200</c:v>
                </c:pt>
                <c:pt idx="292">
                  <c:v>0</c:v>
                </c:pt>
                <c:pt idx="293">
                  <c:v>0</c:v>
                </c:pt>
                <c:pt idx="294">
                  <c:v>-116</c:v>
                </c:pt>
                <c:pt idx="295">
                  <c:v>-320</c:v>
                </c:pt>
                <c:pt idx="296">
                  <c:v>0</c:v>
                </c:pt>
                <c:pt idx="297">
                  <c:v>0</c:v>
                </c:pt>
                <c:pt idx="298">
                  <c:v>0</c:v>
                </c:pt>
                <c:pt idx="299">
                  <c:v>0</c:v>
                </c:pt>
                <c:pt idx="300">
                  <c:v>0</c:v>
                </c:pt>
                <c:pt idx="301">
                  <c:v>0</c:v>
                </c:pt>
                <c:pt idx="302">
                  <c:v>-768</c:v>
                </c:pt>
                <c:pt idx="303">
                  <c:v>-464</c:v>
                </c:pt>
                <c:pt idx="304">
                  <c:v>-800</c:v>
                </c:pt>
                <c:pt idx="305">
                  <c:v>0</c:v>
                </c:pt>
                <c:pt idx="306">
                  <c:v>-1760</c:v>
                </c:pt>
                <c:pt idx="307">
                  <c:v>-1760</c:v>
                </c:pt>
                <c:pt idx="308">
                  <c:v>0</c:v>
                </c:pt>
                <c:pt idx="309">
                  <c:v>0</c:v>
                </c:pt>
                <c:pt idx="310">
                  <c:v>-464</c:v>
                </c:pt>
                <c:pt idx="311">
                  <c:v>0</c:v>
                </c:pt>
                <c:pt idx="312">
                  <c:v>-640</c:v>
                </c:pt>
                <c:pt idx="314">
                  <c:v>-160</c:v>
                </c:pt>
                <c:pt idx="315">
                  <c:v>-580</c:v>
                </c:pt>
                <c:pt idx="316">
                  <c:v>0</c:v>
                </c:pt>
                <c:pt idx="317">
                  <c:v>0</c:v>
                </c:pt>
                <c:pt idx="318">
                  <c:v>0</c:v>
                </c:pt>
                <c:pt idx="319">
                  <c:v>0</c:v>
                </c:pt>
                <c:pt idx="320">
                  <c:v>0</c:v>
                </c:pt>
                <c:pt idx="321">
                  <c:v>0</c:v>
                </c:pt>
                <c:pt idx="323">
                  <c:v>0</c:v>
                </c:pt>
                <c:pt idx="324">
                  <c:v>0</c:v>
                </c:pt>
                <c:pt idx="325">
                  <c:v>0</c:v>
                </c:pt>
                <c:pt idx="326">
                  <c:v>0</c:v>
                </c:pt>
                <c:pt idx="327">
                  <c:v>-320</c:v>
                </c:pt>
                <c:pt idx="328">
                  <c:v>-768</c:v>
                </c:pt>
                <c:pt idx="329">
                  <c:v>-160</c:v>
                </c:pt>
                <c:pt idx="330">
                  <c:v>-1760</c:v>
                </c:pt>
                <c:pt idx="331">
                  <c:v>-800</c:v>
                </c:pt>
                <c:pt idx="332">
                  <c:v>-2280</c:v>
                </c:pt>
                <c:pt idx="333">
                  <c:v>-800</c:v>
                </c:pt>
                <c:pt idx="334">
                  <c:v>0</c:v>
                </c:pt>
                <c:pt idx="335">
                  <c:v>0</c:v>
                </c:pt>
                <c:pt idx="336">
                  <c:v>0</c:v>
                </c:pt>
                <c:pt idx="337">
                  <c:v>0</c:v>
                </c:pt>
                <c:pt idx="338">
                  <c:v>-640</c:v>
                </c:pt>
                <c:pt idx="339">
                  <c:v>0</c:v>
                </c:pt>
                <c:pt idx="340">
                  <c:v>0</c:v>
                </c:pt>
                <c:pt idx="341">
                  <c:v>0</c:v>
                </c:pt>
                <c:pt idx="342">
                  <c:v>0</c:v>
                </c:pt>
                <c:pt idx="343">
                  <c:v>0</c:v>
                </c:pt>
                <c:pt idx="345">
                  <c:v>0</c:v>
                </c:pt>
                <c:pt idx="346">
                  <c:v>0</c:v>
                </c:pt>
                <c:pt idx="347">
                  <c:v>0</c:v>
                </c:pt>
                <c:pt idx="348">
                  <c:v>-960</c:v>
                </c:pt>
                <c:pt idx="349">
                  <c:v>-640</c:v>
                </c:pt>
                <c:pt idx="350">
                  <c:v>0</c:v>
                </c:pt>
                <c:pt idx="351">
                  <c:v>0</c:v>
                </c:pt>
                <c:pt idx="352">
                  <c:v>-448</c:v>
                </c:pt>
                <c:pt idx="353">
                  <c:v>0</c:v>
                </c:pt>
                <c:pt idx="354">
                  <c:v>0</c:v>
                </c:pt>
                <c:pt idx="355">
                  <c:v>-160</c:v>
                </c:pt>
                <c:pt idx="356">
                  <c:v>-640</c:v>
                </c:pt>
                <c:pt idx="357">
                  <c:v>-116</c:v>
                </c:pt>
                <c:pt idx="358">
                  <c:v>-320</c:v>
                </c:pt>
                <c:pt idx="359">
                  <c:v>-640</c:v>
                </c:pt>
                <c:pt idx="360">
                  <c:v>-640</c:v>
                </c:pt>
                <c:pt idx="361">
                  <c:v>0</c:v>
                </c:pt>
                <c:pt idx="362">
                  <c:v>0</c:v>
                </c:pt>
                <c:pt idx="363">
                  <c:v>-1280</c:v>
                </c:pt>
                <c:pt idx="364">
                  <c:v>-160</c:v>
                </c:pt>
                <c:pt idx="365">
                  <c:v>-640</c:v>
                </c:pt>
                <c:pt idx="366">
                  <c:v>0</c:v>
                </c:pt>
                <c:pt idx="367">
                  <c:v>0</c:v>
                </c:pt>
                <c:pt idx="368">
                  <c:v>-640</c:v>
                </c:pt>
                <c:pt idx="369">
                  <c:v>-672</c:v>
                </c:pt>
                <c:pt idx="370">
                  <c:v>-116</c:v>
                </c:pt>
                <c:pt idx="371">
                  <c:v>-800</c:v>
                </c:pt>
                <c:pt idx="372">
                  <c:v>-1440</c:v>
                </c:pt>
                <c:pt idx="373">
                  <c:v>-320</c:v>
                </c:pt>
                <c:pt idx="374">
                  <c:v>-320</c:v>
                </c:pt>
                <c:pt idx="375">
                  <c:v>0</c:v>
                </c:pt>
                <c:pt idx="376">
                  <c:v>0</c:v>
                </c:pt>
                <c:pt idx="377">
                  <c:v>-696</c:v>
                </c:pt>
                <c:pt idx="378">
                  <c:v>-600</c:v>
                </c:pt>
                <c:pt idx="379">
                  <c:v>0</c:v>
                </c:pt>
                <c:pt idx="380">
                  <c:v>-160</c:v>
                </c:pt>
                <c:pt idx="381">
                  <c:v>-640</c:v>
                </c:pt>
                <c:pt idx="382">
                  <c:v>-640</c:v>
                </c:pt>
                <c:pt idx="383">
                  <c:v>0</c:v>
                </c:pt>
                <c:pt idx="384">
                  <c:v>-320</c:v>
                </c:pt>
                <c:pt idx="385">
                  <c:v>-480</c:v>
                </c:pt>
                <c:pt idx="386">
                  <c:v>-320</c:v>
                </c:pt>
                <c:pt idx="387">
                  <c:v>0</c:v>
                </c:pt>
                <c:pt idx="388">
                  <c:v>0</c:v>
                </c:pt>
                <c:pt idx="389">
                  <c:v>0</c:v>
                </c:pt>
                <c:pt idx="390">
                  <c:v>-600</c:v>
                </c:pt>
                <c:pt idx="391">
                  <c:v>-600</c:v>
                </c:pt>
                <c:pt idx="392">
                  <c:v>-464</c:v>
                </c:pt>
                <c:pt idx="393">
                  <c:v>-128</c:v>
                </c:pt>
                <c:pt idx="394">
                  <c:v>-896</c:v>
                </c:pt>
                <c:pt idx="395">
                  <c:v>-1792</c:v>
                </c:pt>
                <c:pt idx="396">
                  <c:v>-960</c:v>
                </c:pt>
                <c:pt idx="397">
                  <c:v>-320</c:v>
                </c:pt>
                <c:pt idx="398">
                  <c:v>0</c:v>
                </c:pt>
                <c:pt idx="399">
                  <c:v>-1344</c:v>
                </c:pt>
                <c:pt idx="400">
                  <c:v>-448</c:v>
                </c:pt>
                <c:pt idx="402">
                  <c:v>-1600</c:v>
                </c:pt>
                <c:pt idx="403">
                  <c:v>-160</c:v>
                </c:pt>
                <c:pt idx="404">
                  <c:v>-960</c:v>
                </c:pt>
                <c:pt idx="405">
                  <c:v>-640</c:v>
                </c:pt>
                <c:pt idx="406">
                  <c:v>0</c:v>
                </c:pt>
                <c:pt idx="407">
                  <c:v>0</c:v>
                </c:pt>
                <c:pt idx="408">
                  <c:v>0</c:v>
                </c:pt>
                <c:pt idx="409">
                  <c:v>0</c:v>
                </c:pt>
                <c:pt idx="410">
                  <c:v>0</c:v>
                </c:pt>
                <c:pt idx="411">
                  <c:v>0</c:v>
                </c:pt>
                <c:pt idx="412">
                  <c:v>-960</c:v>
                </c:pt>
                <c:pt idx="413">
                  <c:v>0</c:v>
                </c:pt>
                <c:pt idx="414">
                  <c:v>-960</c:v>
                </c:pt>
                <c:pt idx="415">
                  <c:v>-600</c:v>
                </c:pt>
                <c:pt idx="416">
                  <c:v>-800</c:v>
                </c:pt>
                <c:pt idx="417">
                  <c:v>-960</c:v>
                </c:pt>
                <c:pt idx="418">
                  <c:v>-600</c:v>
                </c:pt>
                <c:pt idx="419">
                  <c:v>-1920</c:v>
                </c:pt>
                <c:pt idx="420">
                  <c:v>0</c:v>
                </c:pt>
                <c:pt idx="421">
                  <c:v>-600</c:v>
                </c:pt>
                <c:pt idx="422">
                  <c:v>-960</c:v>
                </c:pt>
                <c:pt idx="423">
                  <c:v>0</c:v>
                </c:pt>
                <c:pt idx="424">
                  <c:v>0</c:v>
                </c:pt>
                <c:pt idx="425">
                  <c:v>0</c:v>
                </c:pt>
                <c:pt idx="426">
                  <c:v>-2400</c:v>
                </c:pt>
                <c:pt idx="427">
                  <c:v>-1600</c:v>
                </c:pt>
                <c:pt idx="428">
                  <c:v>-116</c:v>
                </c:pt>
                <c:pt idx="429">
                  <c:v>0</c:v>
                </c:pt>
                <c:pt idx="430">
                  <c:v>0</c:v>
                </c:pt>
                <c:pt idx="431">
                  <c:v>-1440</c:v>
                </c:pt>
                <c:pt idx="432">
                  <c:v>-64</c:v>
                </c:pt>
                <c:pt idx="433">
                  <c:v>0</c:v>
                </c:pt>
                <c:pt idx="434">
                  <c:v>0</c:v>
                </c:pt>
                <c:pt idx="435">
                  <c:v>0</c:v>
                </c:pt>
                <c:pt idx="436">
                  <c:v>0</c:v>
                </c:pt>
                <c:pt idx="437">
                  <c:v>-640</c:v>
                </c:pt>
                <c:pt idx="438">
                  <c:v>-600</c:v>
                </c:pt>
                <c:pt idx="439">
                  <c:v>0</c:v>
                </c:pt>
                <c:pt idx="440">
                  <c:v>-480</c:v>
                </c:pt>
                <c:pt idx="441">
                  <c:v>0</c:v>
                </c:pt>
                <c:pt idx="442">
                  <c:v>-800</c:v>
                </c:pt>
                <c:pt idx="443">
                  <c:v>0</c:v>
                </c:pt>
                <c:pt idx="444">
                  <c:v>-2080</c:v>
                </c:pt>
                <c:pt idx="445">
                  <c:v>0</c:v>
                </c:pt>
                <c:pt idx="446">
                  <c:v>0</c:v>
                </c:pt>
                <c:pt idx="447">
                  <c:v>-2400</c:v>
                </c:pt>
                <c:pt idx="448">
                  <c:v>-232</c:v>
                </c:pt>
                <c:pt idx="449">
                  <c:v>0</c:v>
                </c:pt>
                <c:pt idx="450">
                  <c:v>0</c:v>
                </c:pt>
                <c:pt idx="451">
                  <c:v>0</c:v>
                </c:pt>
                <c:pt idx="452">
                  <c:v>0</c:v>
                </c:pt>
                <c:pt idx="453">
                  <c:v>0</c:v>
                </c:pt>
                <c:pt idx="454">
                  <c:v>0</c:v>
                </c:pt>
                <c:pt idx="455">
                  <c:v>-1740</c:v>
                </c:pt>
                <c:pt idx="456">
                  <c:v>-800</c:v>
                </c:pt>
                <c:pt idx="457">
                  <c:v>-160</c:v>
                </c:pt>
                <c:pt idx="458">
                  <c:v>-320</c:v>
                </c:pt>
                <c:pt idx="459">
                  <c:v>0</c:v>
                </c:pt>
                <c:pt idx="460">
                  <c:v>-1120</c:v>
                </c:pt>
                <c:pt idx="461">
                  <c:v>0</c:v>
                </c:pt>
                <c:pt idx="462">
                  <c:v>-464</c:v>
                </c:pt>
                <c:pt idx="463">
                  <c:v>0</c:v>
                </c:pt>
                <c:pt idx="464">
                  <c:v>0</c:v>
                </c:pt>
                <c:pt idx="465">
                  <c:v>-3200</c:v>
                </c:pt>
                <c:pt idx="466">
                  <c:v>-960</c:v>
                </c:pt>
                <c:pt idx="467">
                  <c:v>0</c:v>
                </c:pt>
                <c:pt idx="468">
                  <c:v>0</c:v>
                </c:pt>
                <c:pt idx="469">
                  <c:v>0</c:v>
                </c:pt>
                <c:pt idx="470">
                  <c:v>0</c:v>
                </c:pt>
                <c:pt idx="471">
                  <c:v>0</c:v>
                </c:pt>
                <c:pt idx="472">
                  <c:v>0</c:v>
                </c:pt>
                <c:pt idx="473">
                  <c:v>0</c:v>
                </c:pt>
                <c:pt idx="474">
                  <c:v>-800</c:v>
                </c:pt>
                <c:pt idx="475">
                  <c:v>-800</c:v>
                </c:pt>
                <c:pt idx="476">
                  <c:v>-800</c:v>
                </c:pt>
                <c:pt idx="477">
                  <c:v>-1920</c:v>
                </c:pt>
                <c:pt idx="478">
                  <c:v>-1600</c:v>
                </c:pt>
                <c:pt idx="479">
                  <c:v>-800</c:v>
                </c:pt>
                <c:pt idx="480">
                  <c:v>-1600</c:v>
                </c:pt>
                <c:pt idx="481">
                  <c:v>-348</c:v>
                </c:pt>
                <c:pt idx="482">
                  <c:v>-1600</c:v>
                </c:pt>
                <c:pt idx="483">
                  <c:v>-2800.0000000000005</c:v>
                </c:pt>
                <c:pt idx="484">
                  <c:v>-1920</c:v>
                </c:pt>
                <c:pt idx="485">
                  <c:v>-800</c:v>
                </c:pt>
                <c:pt idx="486">
                  <c:v>0</c:v>
                </c:pt>
                <c:pt idx="487">
                  <c:v>0</c:v>
                </c:pt>
                <c:pt idx="488">
                  <c:v>-600</c:v>
                </c:pt>
                <c:pt idx="489">
                  <c:v>0</c:v>
                </c:pt>
                <c:pt idx="490">
                  <c:v>-320</c:v>
                </c:pt>
                <c:pt idx="491">
                  <c:v>-1600</c:v>
                </c:pt>
                <c:pt idx="492">
                  <c:v>-600</c:v>
                </c:pt>
                <c:pt idx="493">
                  <c:v>0</c:v>
                </c:pt>
                <c:pt idx="494">
                  <c:v>0</c:v>
                </c:pt>
                <c:pt idx="495">
                  <c:v>0</c:v>
                </c:pt>
                <c:pt idx="496">
                  <c:v>0</c:v>
                </c:pt>
                <c:pt idx="497">
                  <c:v>0</c:v>
                </c:pt>
                <c:pt idx="498">
                  <c:v>0</c:v>
                </c:pt>
                <c:pt idx="499">
                  <c:v>-320</c:v>
                </c:pt>
                <c:pt idx="500">
                  <c:v>0</c:v>
                </c:pt>
                <c:pt idx="501">
                  <c:v>-640</c:v>
                </c:pt>
                <c:pt idx="502">
                  <c:v>-1920</c:v>
                </c:pt>
                <c:pt idx="503">
                  <c:v>-600</c:v>
                </c:pt>
                <c:pt idx="504">
                  <c:v>-600</c:v>
                </c:pt>
                <c:pt idx="505">
                  <c:v>-960</c:v>
                </c:pt>
                <c:pt idx="506">
                  <c:v>-1200</c:v>
                </c:pt>
                <c:pt idx="507">
                  <c:v>-1035.6000000000001</c:v>
                </c:pt>
                <c:pt idx="508">
                  <c:v>0</c:v>
                </c:pt>
                <c:pt idx="509">
                  <c:v>-116</c:v>
                </c:pt>
                <c:pt idx="510">
                  <c:v>-345.20000000000005</c:v>
                </c:pt>
                <c:pt idx="511">
                  <c:v>-448</c:v>
                </c:pt>
                <c:pt idx="512">
                  <c:v>-96</c:v>
                </c:pt>
                <c:pt idx="513">
                  <c:v>0</c:v>
                </c:pt>
                <c:pt idx="514">
                  <c:v>0</c:v>
                </c:pt>
                <c:pt idx="515">
                  <c:v>0</c:v>
                </c:pt>
                <c:pt idx="516">
                  <c:v>0</c:v>
                </c:pt>
                <c:pt idx="517">
                  <c:v>0</c:v>
                </c:pt>
                <c:pt idx="518">
                  <c:v>-1280</c:v>
                </c:pt>
                <c:pt idx="519">
                  <c:v>-736</c:v>
                </c:pt>
                <c:pt idx="520">
                  <c:v>-1952</c:v>
                </c:pt>
                <c:pt idx="521">
                  <c:v>0</c:v>
                </c:pt>
                <c:pt idx="522">
                  <c:v>-1280</c:v>
                </c:pt>
                <c:pt idx="523">
                  <c:v>0</c:v>
                </c:pt>
                <c:pt idx="524">
                  <c:v>0</c:v>
                </c:pt>
                <c:pt idx="525">
                  <c:v>-1600</c:v>
                </c:pt>
                <c:pt idx="526">
                  <c:v>0</c:v>
                </c:pt>
                <c:pt idx="527">
                  <c:v>-640</c:v>
                </c:pt>
                <c:pt idx="528">
                  <c:v>-600</c:v>
                </c:pt>
                <c:pt idx="529">
                  <c:v>-320</c:v>
                </c:pt>
                <c:pt idx="530">
                  <c:v>0</c:v>
                </c:pt>
                <c:pt idx="531">
                  <c:v>0</c:v>
                </c:pt>
                <c:pt idx="532">
                  <c:v>0</c:v>
                </c:pt>
                <c:pt idx="533">
                  <c:v>0</c:v>
                </c:pt>
                <c:pt idx="534">
                  <c:v>0</c:v>
                </c:pt>
                <c:pt idx="536">
                  <c:v>0</c:v>
                </c:pt>
                <c:pt idx="537">
                  <c:v>0</c:v>
                </c:pt>
                <c:pt idx="538">
                  <c:v>0</c:v>
                </c:pt>
                <c:pt idx="539">
                  <c:v>0</c:v>
                </c:pt>
                <c:pt idx="540">
                  <c:v>0</c:v>
                </c:pt>
                <c:pt idx="541">
                  <c:v>0</c:v>
                </c:pt>
                <c:pt idx="542">
                  <c:v>0</c:v>
                </c:pt>
                <c:pt idx="543">
                  <c:v>0</c:v>
                </c:pt>
                <c:pt idx="544">
                  <c:v>-116</c:v>
                </c:pt>
                <c:pt idx="545">
                  <c:v>0</c:v>
                </c:pt>
                <c:pt idx="546">
                  <c:v>-1920</c:v>
                </c:pt>
                <c:pt idx="547">
                  <c:v>0</c:v>
                </c:pt>
                <c:pt idx="548">
                  <c:v>0</c:v>
                </c:pt>
                <c:pt idx="549">
                  <c:v>0</c:v>
                </c:pt>
                <c:pt idx="550">
                  <c:v>-1600</c:v>
                </c:pt>
                <c:pt idx="551">
                  <c:v>-960</c:v>
                </c:pt>
                <c:pt idx="552">
                  <c:v>-2400</c:v>
                </c:pt>
                <c:pt idx="553">
                  <c:v>0</c:v>
                </c:pt>
                <c:pt idx="554">
                  <c:v>-960</c:v>
                </c:pt>
                <c:pt idx="555">
                  <c:v>0</c:v>
                </c:pt>
                <c:pt idx="556">
                  <c:v>0</c:v>
                </c:pt>
                <c:pt idx="557">
                  <c:v>-116</c:v>
                </c:pt>
                <c:pt idx="559">
                  <c:v>0</c:v>
                </c:pt>
                <c:pt idx="560">
                  <c:v>-384</c:v>
                </c:pt>
                <c:pt idx="561">
                  <c:v>-320</c:v>
                </c:pt>
                <c:pt idx="562">
                  <c:v>0</c:v>
                </c:pt>
                <c:pt idx="563">
                  <c:v>-949.30000000000007</c:v>
                </c:pt>
                <c:pt idx="564">
                  <c:v>-1200</c:v>
                </c:pt>
                <c:pt idx="565">
                  <c:v>0</c:v>
                </c:pt>
                <c:pt idx="566">
                  <c:v>0</c:v>
                </c:pt>
                <c:pt idx="567">
                  <c:v>-320</c:v>
                </c:pt>
                <c:pt idx="568">
                  <c:v>0</c:v>
                </c:pt>
                <c:pt idx="569">
                  <c:v>-1920</c:v>
                </c:pt>
                <c:pt idx="570">
                  <c:v>-640</c:v>
                </c:pt>
                <c:pt idx="571">
                  <c:v>-480</c:v>
                </c:pt>
                <c:pt idx="572">
                  <c:v>-640</c:v>
                </c:pt>
                <c:pt idx="573">
                  <c:v>-640</c:v>
                </c:pt>
                <c:pt idx="574">
                  <c:v>0</c:v>
                </c:pt>
                <c:pt idx="575">
                  <c:v>0</c:v>
                </c:pt>
                <c:pt idx="576">
                  <c:v>-640</c:v>
                </c:pt>
                <c:pt idx="577">
                  <c:v>0</c:v>
                </c:pt>
                <c:pt idx="578">
                  <c:v>-320</c:v>
                </c:pt>
                <c:pt idx="579">
                  <c:v>0</c:v>
                </c:pt>
                <c:pt idx="580">
                  <c:v>0</c:v>
                </c:pt>
                <c:pt idx="581">
                  <c:v>-640</c:v>
                </c:pt>
                <c:pt idx="582">
                  <c:v>-640</c:v>
                </c:pt>
                <c:pt idx="583">
                  <c:v>-640</c:v>
                </c:pt>
                <c:pt idx="584">
                  <c:v>0</c:v>
                </c:pt>
                <c:pt idx="585">
                  <c:v>0</c:v>
                </c:pt>
                <c:pt idx="586">
                  <c:v>0</c:v>
                </c:pt>
                <c:pt idx="587">
                  <c:v>-480</c:v>
                </c:pt>
                <c:pt idx="588">
                  <c:v>0</c:v>
                </c:pt>
                <c:pt idx="589">
                  <c:v>-1600</c:v>
                </c:pt>
                <c:pt idx="590">
                  <c:v>0</c:v>
                </c:pt>
                <c:pt idx="591">
                  <c:v>-1600</c:v>
                </c:pt>
                <c:pt idx="592">
                  <c:v>-1280</c:v>
                </c:pt>
                <c:pt idx="593">
                  <c:v>-256</c:v>
                </c:pt>
                <c:pt idx="594">
                  <c:v>0</c:v>
                </c:pt>
                <c:pt idx="595">
                  <c:v>0</c:v>
                </c:pt>
                <c:pt idx="596">
                  <c:v>-960</c:v>
                </c:pt>
                <c:pt idx="597">
                  <c:v>-320</c:v>
                </c:pt>
                <c:pt idx="598">
                  <c:v>0</c:v>
                </c:pt>
                <c:pt idx="599">
                  <c:v>0</c:v>
                </c:pt>
                <c:pt idx="600">
                  <c:v>0</c:v>
                </c:pt>
                <c:pt idx="601">
                  <c:v>0</c:v>
                </c:pt>
                <c:pt idx="602">
                  <c:v>0</c:v>
                </c:pt>
                <c:pt idx="603">
                  <c:v>0</c:v>
                </c:pt>
                <c:pt idx="604">
                  <c:v>0</c:v>
                </c:pt>
                <c:pt idx="605">
                  <c:v>-480</c:v>
                </c:pt>
                <c:pt idx="606">
                  <c:v>0</c:v>
                </c:pt>
                <c:pt idx="607">
                  <c:v>0</c:v>
                </c:pt>
                <c:pt idx="608">
                  <c:v>-1280</c:v>
                </c:pt>
                <c:pt idx="609">
                  <c:v>-1920</c:v>
                </c:pt>
                <c:pt idx="610">
                  <c:v>-1600</c:v>
                </c:pt>
                <c:pt idx="611">
                  <c:v>-600</c:v>
                </c:pt>
                <c:pt idx="612">
                  <c:v>-64</c:v>
                </c:pt>
                <c:pt idx="613">
                  <c:v>0</c:v>
                </c:pt>
                <c:pt idx="614">
                  <c:v>0</c:v>
                </c:pt>
                <c:pt idx="615">
                  <c:v>-960</c:v>
                </c:pt>
                <c:pt idx="616">
                  <c:v>0</c:v>
                </c:pt>
                <c:pt idx="617">
                  <c:v>-2400</c:v>
                </c:pt>
                <c:pt idx="618">
                  <c:v>-2400</c:v>
                </c:pt>
                <c:pt idx="619">
                  <c:v>0</c:v>
                </c:pt>
                <c:pt idx="620">
                  <c:v>-640</c:v>
                </c:pt>
                <c:pt idx="621">
                  <c:v>-2560</c:v>
                </c:pt>
                <c:pt idx="622">
                  <c:v>-600</c:v>
                </c:pt>
                <c:pt idx="623">
                  <c:v>-1280</c:v>
                </c:pt>
                <c:pt idx="624">
                  <c:v>-320</c:v>
                </c:pt>
                <c:pt idx="625">
                  <c:v>-672</c:v>
                </c:pt>
                <c:pt idx="626">
                  <c:v>-128</c:v>
                </c:pt>
                <c:pt idx="627">
                  <c:v>-576</c:v>
                </c:pt>
                <c:pt idx="628">
                  <c:v>0</c:v>
                </c:pt>
                <c:pt idx="629">
                  <c:v>0</c:v>
                </c:pt>
                <c:pt idx="630">
                  <c:v>-1440</c:v>
                </c:pt>
                <c:pt idx="631">
                  <c:v>-960</c:v>
                </c:pt>
                <c:pt idx="632">
                  <c:v>-1440</c:v>
                </c:pt>
                <c:pt idx="633">
                  <c:v>-1440</c:v>
                </c:pt>
                <c:pt idx="634">
                  <c:v>-1440</c:v>
                </c:pt>
                <c:pt idx="635">
                  <c:v>-960</c:v>
                </c:pt>
                <c:pt idx="636">
                  <c:v>0</c:v>
                </c:pt>
                <c:pt idx="637">
                  <c:v>0</c:v>
                </c:pt>
                <c:pt idx="638">
                  <c:v>-1920</c:v>
                </c:pt>
                <c:pt idx="639">
                  <c:v>0</c:v>
                </c:pt>
                <c:pt idx="640">
                  <c:v>-3200</c:v>
                </c:pt>
                <c:pt idx="641">
                  <c:v>0</c:v>
                </c:pt>
                <c:pt idx="642">
                  <c:v>0</c:v>
                </c:pt>
                <c:pt idx="643">
                  <c:v>0</c:v>
                </c:pt>
                <c:pt idx="644">
                  <c:v>-1280</c:v>
                </c:pt>
                <c:pt idx="645">
                  <c:v>0</c:v>
                </c:pt>
                <c:pt idx="646">
                  <c:v>-160</c:v>
                </c:pt>
                <c:pt idx="647">
                  <c:v>0</c:v>
                </c:pt>
                <c:pt idx="648">
                  <c:v>0</c:v>
                </c:pt>
                <c:pt idx="649">
                  <c:v>-640</c:v>
                </c:pt>
                <c:pt idx="650">
                  <c:v>0</c:v>
                </c:pt>
                <c:pt idx="651">
                  <c:v>-2624</c:v>
                </c:pt>
                <c:pt idx="652">
                  <c:v>0</c:v>
                </c:pt>
                <c:pt idx="653">
                  <c:v>0</c:v>
                </c:pt>
                <c:pt idx="654">
                  <c:v>0</c:v>
                </c:pt>
                <c:pt idx="655">
                  <c:v>0</c:v>
                </c:pt>
                <c:pt idx="656">
                  <c:v>0</c:v>
                </c:pt>
                <c:pt idx="657">
                  <c:v>0</c:v>
                </c:pt>
                <c:pt idx="658">
                  <c:v>-348</c:v>
                </c:pt>
                <c:pt idx="659">
                  <c:v>0</c:v>
                </c:pt>
                <c:pt idx="660">
                  <c:v>0</c:v>
                </c:pt>
                <c:pt idx="661">
                  <c:v>-640</c:v>
                </c:pt>
                <c:pt idx="662">
                  <c:v>0</c:v>
                </c:pt>
                <c:pt idx="663">
                  <c:v>0</c:v>
                </c:pt>
                <c:pt idx="664">
                  <c:v>-2720</c:v>
                </c:pt>
                <c:pt idx="665">
                  <c:v>-3840</c:v>
                </c:pt>
                <c:pt idx="666">
                  <c:v>-6080</c:v>
                </c:pt>
                <c:pt idx="667">
                  <c:v>0</c:v>
                </c:pt>
                <c:pt idx="668">
                  <c:v>0</c:v>
                </c:pt>
                <c:pt idx="669">
                  <c:v>-240</c:v>
                </c:pt>
                <c:pt idx="670">
                  <c:v>0</c:v>
                </c:pt>
                <c:pt idx="671">
                  <c:v>0</c:v>
                </c:pt>
                <c:pt idx="672">
                  <c:v>-1040</c:v>
                </c:pt>
                <c:pt idx="673">
                  <c:v>-1440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-800</c:v>
                </c:pt>
                <c:pt idx="697">
                  <c:v>0</c:v>
                </c:pt>
                <c:pt idx="698">
                  <c:v>0</c:v>
                </c:pt>
                <c:pt idx="699">
                  <c:v>0</c:v>
                </c:pt>
                <c:pt idx="700">
                  <c:v>0</c:v>
                </c:pt>
                <c:pt idx="701">
                  <c:v>-3200</c:v>
                </c:pt>
                <c:pt idx="702">
                  <c:v>-960</c:v>
                </c:pt>
                <c:pt idx="703">
                  <c:v>0</c:v>
                </c:pt>
                <c:pt idx="704">
                  <c:v>-348</c:v>
                </c:pt>
                <c:pt idx="705">
                  <c:v>-960</c:v>
                </c:pt>
                <c:pt idx="706">
                  <c:v>-600</c:v>
                </c:pt>
                <c:pt idx="707">
                  <c:v>-600</c:v>
                </c:pt>
                <c:pt idx="708">
                  <c:v>0</c:v>
                </c:pt>
                <c:pt idx="709">
                  <c:v>-1120</c:v>
                </c:pt>
                <c:pt idx="710">
                  <c:v>-2080</c:v>
                </c:pt>
                <c:pt idx="711">
                  <c:v>0</c:v>
                </c:pt>
                <c:pt idx="712">
                  <c:v>0</c:v>
                </c:pt>
                <c:pt idx="713">
                  <c:v>0</c:v>
                </c:pt>
                <c:pt idx="714">
                  <c:v>0</c:v>
                </c:pt>
                <c:pt idx="715">
                  <c:v>-600</c:v>
                </c:pt>
                <c:pt idx="716">
                  <c:v>-232</c:v>
                </c:pt>
                <c:pt idx="717">
                  <c:v>0</c:v>
                </c:pt>
                <c:pt idx="718">
                  <c:v>0</c:v>
                </c:pt>
                <c:pt idx="719">
                  <c:v>-40</c:v>
                </c:pt>
                <c:pt idx="720">
                  <c:v>-600</c:v>
                </c:pt>
                <c:pt idx="721">
                  <c:v>-800</c:v>
                </c:pt>
                <c:pt idx="722">
                  <c:v>-480</c:v>
                </c:pt>
                <c:pt idx="723">
                  <c:v>0</c:v>
                </c:pt>
                <c:pt idx="724">
                  <c:v>0</c:v>
                </c:pt>
                <c:pt idx="725">
                  <c:v>0</c:v>
                </c:pt>
                <c:pt idx="726">
                  <c:v>0</c:v>
                </c:pt>
                <c:pt idx="727">
                  <c:v>0</c:v>
                </c:pt>
                <c:pt idx="728">
                  <c:v>0</c:v>
                </c:pt>
                <c:pt idx="729">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-1920</c:v>
                </c:pt>
                <c:pt idx="748">
                  <c:v>0</c:v>
                </c:pt>
                <c:pt idx="749">
                  <c:v>0</c:v>
                </c:pt>
                <c:pt idx="750">
                  <c:v>0</c:v>
                </c:pt>
                <c:pt idx="751">
                  <c:v>0</c:v>
                </c:pt>
                <c:pt idx="752">
                  <c:v>0</c:v>
                </c:pt>
                <c:pt idx="753">
                  <c:v>0</c:v>
                </c:pt>
                <c:pt idx="754">
                  <c:v>-2400</c:v>
                </c:pt>
                <c:pt idx="755">
                  <c:v>0</c:v>
                </c:pt>
                <c:pt idx="756">
                  <c:v>0</c:v>
                </c:pt>
                <c:pt idx="757">
                  <c:v>0</c:v>
                </c:pt>
                <c:pt idx="758">
                  <c:v>0</c:v>
                </c:pt>
                <c:pt idx="759">
                  <c:v>0</c:v>
                </c:pt>
                <c:pt idx="760">
                  <c:v>0</c:v>
                </c:pt>
                <c:pt idx="761">
                  <c:v>0</c:v>
                </c:pt>
                <c:pt idx="762">
                  <c:v>0</c:v>
                </c:pt>
                <c:pt idx="763">
                  <c:v>-960</c:v>
                </c:pt>
                <c:pt idx="764">
                  <c:v>0</c:v>
                </c:pt>
                <c:pt idx="765">
                  <c:v>0</c:v>
                </c:pt>
                <c:pt idx="766">
                  <c:v>-3200</c:v>
                </c:pt>
                <c:pt idx="767">
                  <c:v>-1920</c:v>
                </c:pt>
                <c:pt idx="768">
                  <c:v>0</c:v>
                </c:pt>
                <c:pt idx="769">
                  <c:v>0</c:v>
                </c:pt>
                <c:pt idx="770">
                  <c:v>-1280</c:v>
                </c:pt>
                <c:pt idx="771">
                  <c:v>0</c:v>
                </c:pt>
                <c:pt idx="772">
                  <c:v>0</c:v>
                </c:pt>
                <c:pt idx="773">
                  <c:v>-640</c:v>
                </c:pt>
                <c:pt idx="774">
                  <c:v>-1056</c:v>
                </c:pt>
                <c:pt idx="775">
                  <c:v>0</c:v>
                </c:pt>
                <c:pt idx="776">
                  <c:v>0</c:v>
                </c:pt>
                <c:pt idx="777">
                  <c:v>0</c:v>
                </c:pt>
                <c:pt idx="778">
                  <c:v>0</c:v>
                </c:pt>
                <c:pt idx="779">
                  <c:v>0</c:v>
                </c:pt>
                <c:pt idx="780">
                  <c:v>-2400</c:v>
                </c:pt>
                <c:pt idx="781">
                  <c:v>-1920</c:v>
                </c:pt>
                <c:pt idx="782">
                  <c:v>-3200</c:v>
                </c:pt>
                <c:pt idx="783">
                  <c:v>0</c:v>
                </c:pt>
                <c:pt idx="784">
                  <c:v>-960</c:v>
                </c:pt>
                <c:pt idx="785">
                  <c:v>0</c:v>
                </c:pt>
                <c:pt idx="786">
                  <c:v>0</c:v>
                </c:pt>
                <c:pt idx="787">
                  <c:v>0</c:v>
                </c:pt>
                <c:pt idx="788">
                  <c:v>-2144</c:v>
                </c:pt>
                <c:pt idx="789">
                  <c:v>0</c:v>
                </c:pt>
                <c:pt idx="790">
                  <c:v>0</c:v>
                </c:pt>
                <c:pt idx="791">
                  <c:v>-1104</c:v>
                </c:pt>
                <c:pt idx="792">
                  <c:v>0</c:v>
                </c:pt>
                <c:pt idx="793">
                  <c:v>-1920</c:v>
                </c:pt>
                <c:pt idx="794">
                  <c:v>0</c:v>
                </c:pt>
                <c:pt idx="795">
                  <c:v>0</c:v>
                </c:pt>
                <c:pt idx="796">
                  <c:v>-640</c:v>
                </c:pt>
                <c:pt idx="797">
                  <c:v>0</c:v>
                </c:pt>
                <c:pt idx="798">
                  <c:v>0</c:v>
                </c:pt>
                <c:pt idx="799">
                  <c:v>-640</c:v>
                </c:pt>
                <c:pt idx="800">
                  <c:v>0</c:v>
                </c:pt>
                <c:pt idx="801">
                  <c:v>0</c:v>
                </c:pt>
                <c:pt idx="802">
                  <c:v>0</c:v>
                </c:pt>
                <c:pt idx="803">
                  <c:v>-1472</c:v>
                </c:pt>
                <c:pt idx="804">
                  <c:v>-1726.0000000000002</c:v>
                </c:pt>
                <c:pt idx="806">
                  <c:v>0</c:v>
                </c:pt>
                <c:pt idx="807">
                  <c:v>-960</c:v>
                </c:pt>
                <c:pt idx="808">
                  <c:v>0</c:v>
                </c:pt>
                <c:pt idx="809">
                  <c:v>-1280</c:v>
                </c:pt>
                <c:pt idx="810">
                  <c:v>-116</c:v>
                </c:pt>
                <c:pt idx="811">
                  <c:v>0</c:v>
                </c:pt>
                <c:pt idx="812">
                  <c:v>0</c:v>
                </c:pt>
                <c:pt idx="813">
                  <c:v>-1856</c:v>
                </c:pt>
                <c:pt idx="814">
                  <c:v>0</c:v>
                </c:pt>
                <c:pt idx="815">
                  <c:v>0</c:v>
                </c:pt>
                <c:pt idx="816">
                  <c:v>0</c:v>
                </c:pt>
                <c:pt idx="817">
                  <c:v>-640</c:v>
                </c:pt>
                <c:pt idx="818">
                  <c:v>0</c:v>
                </c:pt>
                <c:pt idx="819">
                  <c:v>-1600</c:v>
                </c:pt>
                <c:pt idx="820">
                  <c:v>-736</c:v>
                </c:pt>
                <c:pt idx="821">
                  <c:v>-1792</c:v>
                </c:pt>
                <c:pt idx="822">
                  <c:v>0</c:v>
                </c:pt>
                <c:pt idx="823">
                  <c:v>0</c:v>
                </c:pt>
                <c:pt idx="824">
                  <c:v>-640</c:v>
                </c:pt>
                <c:pt idx="825">
                  <c:v>0</c:v>
                </c:pt>
                <c:pt idx="826">
                  <c:v>-1664</c:v>
                </c:pt>
                <c:pt idx="827">
                  <c:v>0</c:v>
                </c:pt>
                <c:pt idx="828">
                  <c:v>0</c:v>
                </c:pt>
                <c:pt idx="829">
                  <c:v>0</c:v>
                </c:pt>
                <c:pt idx="830">
                  <c:v>-2400</c:v>
                </c:pt>
                <c:pt idx="831">
                  <c:v>0</c:v>
                </c:pt>
                <c:pt idx="832">
                  <c:v>-800</c:v>
                </c:pt>
                <c:pt idx="833">
                  <c:v>-2400</c:v>
                </c:pt>
                <c:pt idx="834">
                  <c:v>0</c:v>
                </c:pt>
                <c:pt idx="835">
                  <c:v>0</c:v>
                </c:pt>
                <c:pt idx="836">
                  <c:v>0</c:v>
                </c:pt>
                <c:pt idx="837">
                  <c:v>-1408</c:v>
                </c:pt>
                <c:pt idx="838">
                  <c:v>0</c:v>
                </c:pt>
                <c:pt idx="839">
                  <c:v>-640</c:v>
                </c:pt>
                <c:pt idx="840">
                  <c:v>-1920</c:v>
                </c:pt>
                <c:pt idx="841">
                  <c:v>-4704</c:v>
                </c:pt>
                <c:pt idx="842">
                  <c:v>-640</c:v>
                </c:pt>
                <c:pt idx="843">
                  <c:v>-600</c:v>
                </c:pt>
                <c:pt idx="844">
                  <c:v>0</c:v>
                </c:pt>
                <c:pt idx="845">
                  <c:v>0</c:v>
                </c:pt>
                <c:pt idx="846">
                  <c:v>0</c:v>
                </c:pt>
                <c:pt idx="847">
                  <c:v>-960</c:v>
                </c:pt>
                <c:pt idx="848">
                  <c:v>-640</c:v>
                </c:pt>
                <c:pt idx="849">
                  <c:v>-640</c:v>
                </c:pt>
                <c:pt idx="850">
                  <c:v>0</c:v>
                </c:pt>
                <c:pt idx="851">
                  <c:v>-600</c:v>
                </c:pt>
                <c:pt idx="852">
                  <c:v>-600</c:v>
                </c:pt>
                <c:pt idx="853">
                  <c:v>-600</c:v>
                </c:pt>
                <c:pt idx="854">
                  <c:v>-232</c:v>
                </c:pt>
                <c:pt idx="855">
                  <c:v>-1920</c:v>
                </c:pt>
                <c:pt idx="856">
                  <c:v>-1280</c:v>
                </c:pt>
                <c:pt idx="857">
                  <c:v>-1600</c:v>
                </c:pt>
                <c:pt idx="858">
                  <c:v>-3600</c:v>
                </c:pt>
                <c:pt idx="859">
                  <c:v>-600</c:v>
                </c:pt>
                <c:pt idx="860">
                  <c:v>-1920</c:v>
                </c:pt>
                <c:pt idx="861">
                  <c:v>-2112</c:v>
                </c:pt>
                <c:pt idx="862">
                  <c:v>0</c:v>
                </c:pt>
                <c:pt idx="863">
                  <c:v>0</c:v>
                </c:pt>
                <c:pt idx="864">
                  <c:v>0</c:v>
                </c:pt>
                <c:pt idx="865">
                  <c:v>0</c:v>
                </c:pt>
                <c:pt idx="866">
                  <c:v>0</c:v>
                </c:pt>
                <c:pt idx="867">
                  <c:v>0</c:v>
                </c:pt>
                <c:pt idx="868">
                  <c:v>-1120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8">
                  <c:v>0</c:v>
                </c:pt>
                <c:pt idx="889">
                  <c:v>0</c:v>
                </c:pt>
                <c:pt idx="890">
                  <c:v>0</c:v>
                </c:pt>
                <c:pt idx="891">
                  <c:v>0</c:v>
                </c:pt>
                <c:pt idx="892">
                  <c:v>0</c:v>
                </c:pt>
                <c:pt idx="893">
                  <c:v>0</c:v>
                </c:pt>
                <c:pt idx="894">
                  <c:v>0</c:v>
                </c:pt>
                <c:pt idx="895">
                  <c:v>-2304</c:v>
                </c:pt>
                <c:pt idx="896">
                  <c:v>-600</c:v>
                </c:pt>
                <c:pt idx="897">
                  <c:v>0</c:v>
                </c:pt>
                <c:pt idx="898">
                  <c:v>-2240</c:v>
                </c:pt>
                <c:pt idx="899">
                  <c:v>0</c:v>
                </c:pt>
                <c:pt idx="900">
                  <c:v>0</c:v>
                </c:pt>
                <c:pt idx="901">
                  <c:v>0</c:v>
                </c:pt>
                <c:pt idx="902">
                  <c:v>-1760</c:v>
                </c:pt>
                <c:pt idx="903">
                  <c:v>0</c:v>
                </c:pt>
                <c:pt idx="904">
                  <c:v>0</c:v>
                </c:pt>
                <c:pt idx="905">
                  <c:v>0</c:v>
                </c:pt>
                <c:pt idx="906">
                  <c:v>0</c:v>
                </c:pt>
                <c:pt idx="907">
                  <c:v>-128</c:v>
                </c:pt>
                <c:pt idx="908">
                  <c:v>-232</c:v>
                </c:pt>
                <c:pt idx="909">
                  <c:v>0</c:v>
                </c:pt>
                <c:pt idx="910">
                  <c:v>0</c:v>
                </c:pt>
                <c:pt idx="911">
                  <c:v>0</c:v>
                </c:pt>
                <c:pt idx="912">
                  <c:v>-1120</c:v>
                </c:pt>
                <c:pt idx="913">
                  <c:v>-352</c:v>
                </c:pt>
                <c:pt idx="914">
                  <c:v>-800</c:v>
                </c:pt>
                <c:pt idx="915">
                  <c:v>0</c:v>
                </c:pt>
                <c:pt idx="916">
                  <c:v>-1152</c:v>
                </c:pt>
                <c:pt idx="917">
                  <c:v>0</c:v>
                </c:pt>
                <c:pt idx="918">
                  <c:v>-1024</c:v>
                </c:pt>
                <c:pt idx="919">
                  <c:v>0</c:v>
                </c:pt>
                <c:pt idx="920">
                  <c:v>-224</c:v>
                </c:pt>
                <c:pt idx="921">
                  <c:v>0</c:v>
                </c:pt>
                <c:pt idx="922">
                  <c:v>-320</c:v>
                </c:pt>
                <c:pt idx="923">
                  <c:v>-160</c:v>
                </c:pt>
                <c:pt idx="924">
                  <c:v>-160</c:v>
                </c:pt>
                <c:pt idx="925">
                  <c:v>0</c:v>
                </c:pt>
                <c:pt idx="926">
                  <c:v>0</c:v>
                </c:pt>
                <c:pt idx="927">
                  <c:v>0</c:v>
                </c:pt>
                <c:pt idx="928">
                  <c:v>0</c:v>
                </c:pt>
                <c:pt idx="929">
                  <c:v>0</c:v>
                </c:pt>
                <c:pt idx="930">
                  <c:v>-576</c:v>
                </c:pt>
                <c:pt idx="931">
                  <c:v>-480</c:v>
                </c:pt>
                <c:pt idx="932">
                  <c:v>-116</c:v>
                </c:pt>
                <c:pt idx="933">
                  <c:v>0</c:v>
                </c:pt>
                <c:pt idx="934">
                  <c:v>-345.20000000000005</c:v>
                </c:pt>
                <c:pt idx="935">
                  <c:v>-480</c:v>
                </c:pt>
                <c:pt idx="936">
                  <c:v>-256</c:v>
                </c:pt>
                <c:pt idx="937">
                  <c:v>0</c:v>
                </c:pt>
                <c:pt idx="938">
                  <c:v>-64</c:v>
                </c:pt>
                <c:pt idx="939">
                  <c:v>0</c:v>
                </c:pt>
                <c:pt idx="940">
                  <c:v>0</c:v>
                </c:pt>
                <c:pt idx="941">
                  <c:v>0</c:v>
                </c:pt>
                <c:pt idx="942">
                  <c:v>0</c:v>
                </c:pt>
                <c:pt idx="943">
                  <c:v>-1088</c:v>
                </c:pt>
                <c:pt idx="944">
                  <c:v>-352</c:v>
                </c:pt>
                <c:pt idx="945">
                  <c:v>-224</c:v>
                </c:pt>
                <c:pt idx="946">
                  <c:v>0</c:v>
                </c:pt>
                <c:pt idx="947">
                  <c:v>-576</c:v>
                </c:pt>
                <c:pt idx="948">
                  <c:v>-288</c:v>
                </c:pt>
                <c:pt idx="949">
                  <c:v>0</c:v>
                </c:pt>
                <c:pt idx="950">
                  <c:v>0</c:v>
                </c:pt>
                <c:pt idx="951">
                  <c:v>0</c:v>
                </c:pt>
                <c:pt idx="952">
                  <c:v>-80</c:v>
                </c:pt>
                <c:pt idx="953">
                  <c:v>-384</c:v>
                </c:pt>
                <c:pt idx="954">
                  <c:v>0</c:v>
                </c:pt>
                <c:pt idx="955">
                  <c:v>-128</c:v>
                </c:pt>
                <c:pt idx="956">
                  <c:v>0</c:v>
                </c:pt>
                <c:pt idx="957">
                  <c:v>-352</c:v>
                </c:pt>
                <c:pt idx="958">
                  <c:v>0</c:v>
                </c:pt>
                <c:pt idx="959">
                  <c:v>0</c:v>
                </c:pt>
                <c:pt idx="960">
                  <c:v>-800</c:v>
                </c:pt>
                <c:pt idx="961">
                  <c:v>-512</c:v>
                </c:pt>
                <c:pt idx="962">
                  <c:v>-288</c:v>
                </c:pt>
                <c:pt idx="963">
                  <c:v>-1152</c:v>
                </c:pt>
                <c:pt idx="964">
                  <c:v>-512</c:v>
                </c:pt>
                <c:pt idx="965">
                  <c:v>-576</c:v>
                </c:pt>
                <c:pt idx="966">
                  <c:v>0</c:v>
                </c:pt>
                <c:pt idx="967">
                  <c:v>0</c:v>
                </c:pt>
                <c:pt idx="968">
                  <c:v>-160</c:v>
                </c:pt>
                <c:pt idx="969">
                  <c:v>-1088</c:v>
                </c:pt>
                <c:pt idx="970">
                  <c:v>0</c:v>
                </c:pt>
                <c:pt idx="971">
                  <c:v>0</c:v>
                </c:pt>
                <c:pt idx="972">
                  <c:v>0</c:v>
                </c:pt>
                <c:pt idx="973">
                  <c:v>0</c:v>
                </c:pt>
                <c:pt idx="974">
                  <c:v>-80</c:v>
                </c:pt>
                <c:pt idx="975">
                  <c:v>-928</c:v>
                </c:pt>
                <c:pt idx="976">
                  <c:v>-320</c:v>
                </c:pt>
                <c:pt idx="977">
                  <c:v>0</c:v>
                </c:pt>
                <c:pt idx="978">
                  <c:v>-116</c:v>
                </c:pt>
                <c:pt idx="979">
                  <c:v>-96</c:v>
                </c:pt>
                <c:pt idx="980">
                  <c:v>0</c:v>
                </c:pt>
                <c:pt idx="981">
                  <c:v>0</c:v>
                </c:pt>
                <c:pt idx="982">
                  <c:v>0</c:v>
                </c:pt>
                <c:pt idx="983">
                  <c:v>0</c:v>
                </c:pt>
                <c:pt idx="984">
                  <c:v>0</c:v>
                </c:pt>
                <c:pt idx="985">
                  <c:v>0</c:v>
                </c:pt>
                <c:pt idx="986">
                  <c:v>0</c:v>
                </c:pt>
                <c:pt idx="987">
                  <c:v>0</c:v>
                </c:pt>
                <c:pt idx="989">
                  <c:v>0</c:v>
                </c:pt>
                <c:pt idx="990">
                  <c:v>-1024</c:v>
                </c:pt>
                <c:pt idx="991">
                  <c:v>-864</c:v>
                </c:pt>
                <c:pt idx="992">
                  <c:v>-192</c:v>
                </c:pt>
                <c:pt idx="993">
                  <c:v>-512</c:v>
                </c:pt>
                <c:pt idx="994">
                  <c:v>0</c:v>
                </c:pt>
                <c:pt idx="995">
                  <c:v>0</c:v>
                </c:pt>
                <c:pt idx="996">
                  <c:v>0</c:v>
                </c:pt>
                <c:pt idx="997">
                  <c:v>0</c:v>
                </c:pt>
                <c:pt idx="998">
                  <c:v>-576</c:v>
                </c:pt>
                <c:pt idx="999">
                  <c:v>-512</c:v>
                </c:pt>
                <c:pt idx="1000">
                  <c:v>-576</c:v>
                </c:pt>
                <c:pt idx="1001">
                  <c:v>-1024</c:v>
                </c:pt>
                <c:pt idx="1002">
                  <c:v>-512</c:v>
                </c:pt>
                <c:pt idx="1003">
                  <c:v>-384</c:v>
                </c:pt>
                <c:pt idx="1004">
                  <c:v>0</c:v>
                </c:pt>
                <c:pt idx="1005">
                  <c:v>-128</c:v>
                </c:pt>
                <c:pt idx="1006">
                  <c:v>-160</c:v>
                </c:pt>
                <c:pt idx="1007">
                  <c:v>0</c:v>
                </c:pt>
                <c:pt idx="1008">
                  <c:v>0</c:v>
                </c:pt>
                <c:pt idx="1009">
                  <c:v>0</c:v>
                </c:pt>
                <c:pt idx="1010">
                  <c:v>0</c:v>
                </c:pt>
                <c:pt idx="1011">
                  <c:v>-116</c:v>
                </c:pt>
                <c:pt idx="1012">
                  <c:v>0</c:v>
                </c:pt>
                <c:pt idx="1013">
                  <c:v>0</c:v>
                </c:pt>
                <c:pt idx="1014">
                  <c:v>0</c:v>
                </c:pt>
                <c:pt idx="1015">
                  <c:v>0</c:v>
                </c:pt>
                <c:pt idx="1016">
                  <c:v>0</c:v>
                </c:pt>
                <c:pt idx="1017">
                  <c:v>0</c:v>
                </c:pt>
                <c:pt idx="1018">
                  <c:v>-64</c:v>
                </c:pt>
                <c:pt idx="1019">
                  <c:v>-192</c:v>
                </c:pt>
                <c:pt idx="1020">
                  <c:v>-128</c:v>
                </c:pt>
                <c:pt idx="1021">
                  <c:v>0</c:v>
                </c:pt>
                <c:pt idx="1022">
                  <c:v>0</c:v>
                </c:pt>
                <c:pt idx="1023">
                  <c:v>0</c:v>
                </c:pt>
                <c:pt idx="1024">
                  <c:v>0</c:v>
                </c:pt>
                <c:pt idx="1025">
                  <c:v>-96</c:v>
                </c:pt>
                <c:pt idx="1026">
                  <c:v>0</c:v>
                </c:pt>
                <c:pt idx="1027">
                  <c:v>0</c:v>
                </c:pt>
                <c:pt idx="1028">
                  <c:v>-96</c:v>
                </c:pt>
                <c:pt idx="1029">
                  <c:v>-224</c:v>
                </c:pt>
                <c:pt idx="1030">
                  <c:v>-224</c:v>
                </c:pt>
                <c:pt idx="1031">
                  <c:v>0</c:v>
                </c:pt>
                <c:pt idx="1032">
                  <c:v>-116</c:v>
                </c:pt>
                <c:pt idx="1033">
                  <c:v>-40</c:v>
                </c:pt>
                <c:pt idx="1034">
                  <c:v>0</c:v>
                </c:pt>
                <c:pt idx="1035">
                  <c:v>0</c:v>
                </c:pt>
                <c:pt idx="1036">
                  <c:v>0</c:v>
                </c:pt>
                <c:pt idx="1037">
                  <c:v>0</c:v>
                </c:pt>
                <c:pt idx="1038">
                  <c:v>0</c:v>
                </c:pt>
                <c:pt idx="1039">
                  <c:v>0</c:v>
                </c:pt>
                <c:pt idx="1040">
                  <c:v>-96</c:v>
                </c:pt>
                <c:pt idx="1041">
                  <c:v>0</c:v>
                </c:pt>
                <c:pt idx="1042">
                  <c:v>0</c:v>
                </c:pt>
                <c:pt idx="1043">
                  <c:v>0</c:v>
                </c:pt>
                <c:pt idx="1044">
                  <c:v>0</c:v>
                </c:pt>
                <c:pt idx="1045">
                  <c:v>0</c:v>
                </c:pt>
                <c:pt idx="1046">
                  <c:v>-96</c:v>
                </c:pt>
                <c:pt idx="1047">
                  <c:v>-80</c:v>
                </c:pt>
                <c:pt idx="1048">
                  <c:v>-96</c:v>
                </c:pt>
                <c:pt idx="1049">
                  <c:v>-160</c:v>
                </c:pt>
                <c:pt idx="1050">
                  <c:v>-48</c:v>
                </c:pt>
                <c:pt idx="1051">
                  <c:v>-64</c:v>
                </c:pt>
                <c:pt idx="1052">
                  <c:v>-160</c:v>
                </c:pt>
                <c:pt idx="1053">
                  <c:v>0</c:v>
                </c:pt>
                <c:pt idx="1054">
                  <c:v>-224</c:v>
                </c:pt>
                <c:pt idx="1055">
                  <c:v>-224</c:v>
                </c:pt>
                <c:pt idx="1056">
                  <c:v>-64</c:v>
                </c:pt>
                <c:pt idx="1057">
                  <c:v>-224</c:v>
                </c:pt>
                <c:pt idx="1058">
                  <c:v>-64</c:v>
                </c:pt>
                <c:pt idx="1059">
                  <c:v>-160</c:v>
                </c:pt>
                <c:pt idx="1060">
                  <c:v>0</c:v>
                </c:pt>
                <c:pt idx="1061">
                  <c:v>0</c:v>
                </c:pt>
                <c:pt idx="1062">
                  <c:v>-80</c:v>
                </c:pt>
                <c:pt idx="1063">
                  <c:v>-32</c:v>
                </c:pt>
                <c:pt idx="1064">
                  <c:v>0</c:v>
                </c:pt>
                <c:pt idx="1065">
                  <c:v>0</c:v>
                </c:pt>
                <c:pt idx="1066">
                  <c:v>-384</c:v>
                </c:pt>
                <c:pt idx="1067">
                  <c:v>-128</c:v>
                </c:pt>
                <c:pt idx="1068">
                  <c:v>-256</c:v>
                </c:pt>
                <c:pt idx="1069">
                  <c:v>-160</c:v>
                </c:pt>
                <c:pt idx="1070">
                  <c:v>0</c:v>
                </c:pt>
                <c:pt idx="1071">
                  <c:v>-96</c:v>
                </c:pt>
                <c:pt idx="1072">
                  <c:v>-224</c:v>
                </c:pt>
                <c:pt idx="1073">
                  <c:v>-232</c:v>
                </c:pt>
                <c:pt idx="1074">
                  <c:v>-64</c:v>
                </c:pt>
                <c:pt idx="1075">
                  <c:v>-96</c:v>
                </c:pt>
                <c:pt idx="1076">
                  <c:v>0</c:v>
                </c:pt>
                <c:pt idx="1077">
                  <c:v>0</c:v>
                </c:pt>
                <c:pt idx="1078">
                  <c:v>-96</c:v>
                </c:pt>
                <c:pt idx="1079">
                  <c:v>0</c:v>
                </c:pt>
                <c:pt idx="1080">
                  <c:v>-480</c:v>
                </c:pt>
                <c:pt idx="1081">
                  <c:v>0</c:v>
                </c:pt>
                <c:pt idx="1082">
                  <c:v>0</c:v>
                </c:pt>
                <c:pt idx="1083">
                  <c:v>0</c:v>
                </c:pt>
                <c:pt idx="1084">
                  <c:v>0</c:v>
                </c:pt>
                <c:pt idx="1086">
                  <c:v>-192</c:v>
                </c:pt>
                <c:pt idx="1087">
                  <c:v>-96</c:v>
                </c:pt>
                <c:pt idx="1088">
                  <c:v>-320</c:v>
                </c:pt>
                <c:pt idx="1089">
                  <c:v>0</c:v>
                </c:pt>
                <c:pt idx="1090">
                  <c:v>0</c:v>
                </c:pt>
                <c:pt idx="1091">
                  <c:v>0</c:v>
                </c:pt>
                <c:pt idx="1092">
                  <c:v>0</c:v>
                </c:pt>
                <c:pt idx="1093">
                  <c:v>-288</c:v>
                </c:pt>
                <c:pt idx="1094">
                  <c:v>-448</c:v>
                </c:pt>
                <c:pt idx="1095">
                  <c:v>-384</c:v>
                </c:pt>
                <c:pt idx="1096">
                  <c:v>-128</c:v>
                </c:pt>
                <c:pt idx="1097">
                  <c:v>-768</c:v>
                </c:pt>
                <c:pt idx="1098">
                  <c:v>0</c:v>
                </c:pt>
                <c:pt idx="1099">
                  <c:v>-512</c:v>
                </c:pt>
                <c:pt idx="1100">
                  <c:v>-96</c:v>
                </c:pt>
                <c:pt idx="1101">
                  <c:v>0</c:v>
                </c:pt>
                <c:pt idx="1102">
                  <c:v>0</c:v>
                </c:pt>
                <c:pt idx="1103">
                  <c:v>0</c:v>
                </c:pt>
                <c:pt idx="1104">
                  <c:v>0</c:v>
                </c:pt>
                <c:pt idx="1105">
                  <c:v>0</c:v>
                </c:pt>
                <c:pt idx="1106">
                  <c:v>0</c:v>
                </c:pt>
                <c:pt idx="1107">
                  <c:v>-64</c:v>
                </c:pt>
                <c:pt idx="1108">
                  <c:v>-160</c:v>
                </c:pt>
                <c:pt idx="1109">
                  <c:v>-960</c:v>
                </c:pt>
                <c:pt idx="1110">
                  <c:v>-192</c:v>
                </c:pt>
                <c:pt idx="1111">
                  <c:v>-512</c:v>
                </c:pt>
                <c:pt idx="1112">
                  <c:v>-96</c:v>
                </c:pt>
                <c:pt idx="1113">
                  <c:v>-512</c:v>
                </c:pt>
                <c:pt idx="1114">
                  <c:v>-192</c:v>
                </c:pt>
                <c:pt idx="1115">
                  <c:v>-160</c:v>
                </c:pt>
                <c:pt idx="1116">
                  <c:v>-160</c:v>
                </c:pt>
                <c:pt idx="1117">
                  <c:v>0</c:v>
                </c:pt>
                <c:pt idx="1118">
                  <c:v>0</c:v>
                </c:pt>
                <c:pt idx="1119">
                  <c:v>0</c:v>
                </c:pt>
                <c:pt idx="1120">
                  <c:v>0</c:v>
                </c:pt>
                <c:pt idx="1121">
                  <c:v>0</c:v>
                </c:pt>
                <c:pt idx="1122">
                  <c:v>0</c:v>
                </c:pt>
                <c:pt idx="1123">
                  <c:v>0</c:v>
                </c:pt>
                <c:pt idx="1125">
                  <c:v>-160</c:v>
                </c:pt>
                <c:pt idx="1126">
                  <c:v>0</c:v>
                </c:pt>
                <c:pt idx="1127">
                  <c:v>0</c:v>
                </c:pt>
                <c:pt idx="1128">
                  <c:v>0</c:v>
                </c:pt>
                <c:pt idx="1129">
                  <c:v>0</c:v>
                </c:pt>
                <c:pt idx="1130">
                  <c:v>-116</c:v>
                </c:pt>
                <c:pt idx="1131">
                  <c:v>0</c:v>
                </c:pt>
                <c:pt idx="1132">
                  <c:v>0</c:v>
                </c:pt>
                <c:pt idx="1133">
                  <c:v>0</c:v>
                </c:pt>
                <c:pt idx="1134">
                  <c:v>-96</c:v>
                </c:pt>
                <c:pt idx="1135">
                  <c:v>-144</c:v>
                </c:pt>
                <c:pt idx="1136">
                  <c:v>-64</c:v>
                </c:pt>
                <c:pt idx="1137">
                  <c:v>-64</c:v>
                </c:pt>
                <c:pt idx="1138">
                  <c:v>-384</c:v>
                </c:pt>
                <c:pt idx="1139">
                  <c:v>0</c:v>
                </c:pt>
                <c:pt idx="1140">
                  <c:v>0</c:v>
                </c:pt>
                <c:pt idx="1141">
                  <c:v>-384</c:v>
                </c:pt>
                <c:pt idx="1142">
                  <c:v>-64</c:v>
                </c:pt>
                <c:pt idx="1143">
                  <c:v>-160</c:v>
                </c:pt>
                <c:pt idx="1144">
                  <c:v>-40</c:v>
                </c:pt>
                <c:pt idx="1145">
                  <c:v>-128</c:v>
                </c:pt>
                <c:pt idx="1146">
                  <c:v>-768</c:v>
                </c:pt>
                <c:pt idx="1147">
                  <c:v>-64</c:v>
                </c:pt>
                <c:pt idx="1148">
                  <c:v>-832</c:v>
                </c:pt>
                <c:pt idx="1149">
                  <c:v>-320</c:v>
                </c:pt>
                <c:pt idx="1150">
                  <c:v>-128</c:v>
                </c:pt>
                <c:pt idx="1151">
                  <c:v>-128</c:v>
                </c:pt>
                <c:pt idx="1152">
                  <c:v>-128</c:v>
                </c:pt>
                <c:pt idx="1153">
                  <c:v>-192</c:v>
                </c:pt>
                <c:pt idx="1154">
                  <c:v>-384</c:v>
                </c:pt>
                <c:pt idx="1155">
                  <c:v>-96</c:v>
                </c:pt>
                <c:pt idx="1156">
                  <c:v>-352</c:v>
                </c:pt>
                <c:pt idx="1157">
                  <c:v>0</c:v>
                </c:pt>
                <c:pt idx="1158">
                  <c:v>0</c:v>
                </c:pt>
                <c:pt idx="1159">
                  <c:v>-116</c:v>
                </c:pt>
                <c:pt idx="1160">
                  <c:v>-192</c:v>
                </c:pt>
                <c:pt idx="1161">
                  <c:v>0</c:v>
                </c:pt>
                <c:pt idx="1162">
                  <c:v>0</c:v>
                </c:pt>
                <c:pt idx="1163">
                  <c:v>0</c:v>
                </c:pt>
                <c:pt idx="1164">
                  <c:v>0</c:v>
                </c:pt>
                <c:pt idx="1165">
                  <c:v>-348</c:v>
                </c:pt>
                <c:pt idx="1166">
                  <c:v>-360</c:v>
                </c:pt>
                <c:pt idx="1167">
                  <c:v>-1024</c:v>
                </c:pt>
                <c:pt idx="1168">
                  <c:v>-128</c:v>
                </c:pt>
                <c:pt idx="1169">
                  <c:v>-128</c:v>
                </c:pt>
                <c:pt idx="1170">
                  <c:v>0</c:v>
                </c:pt>
                <c:pt idx="1171">
                  <c:v>0</c:v>
                </c:pt>
                <c:pt idx="1172">
                  <c:v>-224</c:v>
                </c:pt>
                <c:pt idx="1173">
                  <c:v>-288</c:v>
                </c:pt>
                <c:pt idx="1174">
                  <c:v>-448</c:v>
                </c:pt>
                <c:pt idx="1175">
                  <c:v>0</c:v>
                </c:pt>
                <c:pt idx="1176">
                  <c:v>0</c:v>
                </c:pt>
                <c:pt idx="1177">
                  <c:v>-512</c:v>
                </c:pt>
                <c:pt idx="1178">
                  <c:v>-512</c:v>
                </c:pt>
                <c:pt idx="1179">
                  <c:v>-512</c:v>
                </c:pt>
                <c:pt idx="1180">
                  <c:v>0</c:v>
                </c:pt>
                <c:pt idx="1181">
                  <c:v>-128</c:v>
                </c:pt>
                <c:pt idx="1182">
                  <c:v>-224</c:v>
                </c:pt>
                <c:pt idx="1183">
                  <c:v>-512</c:v>
                </c:pt>
                <c:pt idx="1184">
                  <c:v>0</c:v>
                </c:pt>
                <c:pt idx="1185">
                  <c:v>-320</c:v>
                </c:pt>
                <c:pt idx="1186">
                  <c:v>-116</c:v>
                </c:pt>
                <c:pt idx="1187">
                  <c:v>-320</c:v>
                </c:pt>
                <c:pt idx="1188">
                  <c:v>-1024</c:v>
                </c:pt>
                <c:pt idx="1189">
                  <c:v>-736</c:v>
                </c:pt>
                <c:pt idx="1190">
                  <c:v>0</c:v>
                </c:pt>
                <c:pt idx="1191">
                  <c:v>0</c:v>
                </c:pt>
                <c:pt idx="1192">
                  <c:v>-448</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numCache>
            </c:numRef>
          </c:val>
          <c:extLst>
            <c:ext xmlns:c16="http://schemas.microsoft.com/office/drawing/2014/chart" uri="{C3380CC4-5D6E-409C-BE32-E72D297353CC}">
              <c16:uniqueId val="{00000000-BE91-4B6D-A7BC-CB3427F8CE7A}"/>
            </c:ext>
          </c:extLst>
        </c:ser>
        <c:dLbls>
          <c:showLegendKey val="0"/>
          <c:showVal val="0"/>
          <c:showCatName val="0"/>
          <c:showSerName val="0"/>
          <c:showPercent val="0"/>
          <c:showBubbleSize val="0"/>
        </c:dLbls>
        <c:gapWidth val="219"/>
        <c:overlap val="-27"/>
        <c:axId val="779153615"/>
        <c:axId val="1021043391"/>
      </c:barChart>
      <c:catAx>
        <c:axId val="779153615"/>
        <c:scaling>
          <c:orientation val="minMax"/>
        </c:scaling>
        <c:delete val="1"/>
        <c:axPos val="b"/>
        <c:numFmt formatCode="General" sourceLinked="1"/>
        <c:majorTickMark val="none"/>
        <c:minorTickMark val="none"/>
        <c:tickLblPos val="high"/>
        <c:crossAx val="1021043391"/>
        <c:crosses val="autoZero"/>
        <c:auto val="1"/>
        <c:lblAlgn val="ctr"/>
        <c:lblOffset val="100"/>
        <c:noMultiLvlLbl val="0"/>
      </c:catAx>
      <c:valAx>
        <c:axId val="1021043391"/>
        <c:scaling>
          <c:orientation val="minMax"/>
        </c:scaling>
        <c:delete val="0"/>
        <c:axPos val="l"/>
        <c:majorGridlines>
          <c:spPr>
            <a:ln w="9525" cap="flat" cmpd="sng" algn="ctr">
              <a:solidFill>
                <a:schemeClr val="tx1">
                  <a:lumMod val="75000"/>
                  <a:lumOff val="2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79153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W v R</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w</c:v>
          </c:tx>
          <c:spPr>
            <a:ln w="19050" cap="rnd">
              <a:solidFill>
                <a:schemeClr val="bg1">
                  <a:lumMod val="95000"/>
                </a:schemeClr>
              </a:solidFill>
              <a:round/>
            </a:ln>
            <a:effectLst/>
          </c:spPr>
          <c:marker>
            <c:symbol val="none"/>
          </c:marker>
          <c:cat>
            <c:strRef>
              <c:f>'Journal Live'!$A$1388:$A$2630</c:f>
              <c:strCache>
                <c:ptCount val="1238"/>
                <c:pt idx="1">
                  <c:v>JAN.24</c:v>
                </c:pt>
                <c:pt idx="2">
                  <c:v>JAN.24</c:v>
                </c:pt>
                <c:pt idx="3">
                  <c:v>JAN.24</c:v>
                </c:pt>
                <c:pt idx="4">
                  <c:v>JAN.24</c:v>
                </c:pt>
                <c:pt idx="5">
                  <c:v>JAN.24</c:v>
                </c:pt>
                <c:pt idx="6">
                  <c:v>JAN.24</c:v>
                </c:pt>
                <c:pt idx="7">
                  <c:v>JAN.24</c:v>
                </c:pt>
                <c:pt idx="8">
                  <c:v>JAN.24</c:v>
                </c:pt>
                <c:pt idx="9">
                  <c:v>JAN.24</c:v>
                </c:pt>
                <c:pt idx="10">
                  <c:v>JAN.24</c:v>
                </c:pt>
                <c:pt idx="11">
                  <c:v>JAN.24</c:v>
                </c:pt>
                <c:pt idx="12">
                  <c:v>JAN.24</c:v>
                </c:pt>
                <c:pt idx="13">
                  <c:v>JAN.24</c:v>
                </c:pt>
                <c:pt idx="14">
                  <c:v>JAN.24</c:v>
                </c:pt>
                <c:pt idx="15">
                  <c:v>JAN.24</c:v>
                </c:pt>
                <c:pt idx="16">
                  <c:v>JAN.24</c:v>
                </c:pt>
                <c:pt idx="17">
                  <c:v>JAN.24</c:v>
                </c:pt>
                <c:pt idx="18">
                  <c:v>JAN.24</c:v>
                </c:pt>
                <c:pt idx="19">
                  <c:v>JAN.24</c:v>
                </c:pt>
                <c:pt idx="20">
                  <c:v>JAN.24</c:v>
                </c:pt>
                <c:pt idx="21">
                  <c:v>JAN.24</c:v>
                </c:pt>
                <c:pt idx="22">
                  <c:v>JAN.24</c:v>
                </c:pt>
                <c:pt idx="23">
                  <c:v>JAN.24</c:v>
                </c:pt>
                <c:pt idx="24">
                  <c:v>JAN.24</c:v>
                </c:pt>
                <c:pt idx="25">
                  <c:v>JAN.24</c:v>
                </c:pt>
                <c:pt idx="26">
                  <c:v>JAN.24</c:v>
                </c:pt>
                <c:pt idx="27">
                  <c:v>JAN.24</c:v>
                </c:pt>
                <c:pt idx="28">
                  <c:v>JAN.24</c:v>
                </c:pt>
                <c:pt idx="29">
                  <c:v>JAN.24</c:v>
                </c:pt>
                <c:pt idx="30">
                  <c:v>JAN.24</c:v>
                </c:pt>
                <c:pt idx="31">
                  <c:v>JAN.24</c:v>
                </c:pt>
                <c:pt idx="32">
                  <c:v>JAN.24</c:v>
                </c:pt>
                <c:pt idx="33">
                  <c:v>JAN.24</c:v>
                </c:pt>
                <c:pt idx="34">
                  <c:v>JAN.24</c:v>
                </c:pt>
                <c:pt idx="35">
                  <c:v>JAN.24</c:v>
                </c:pt>
                <c:pt idx="36">
                  <c:v>JAN.24</c:v>
                </c:pt>
                <c:pt idx="37">
                  <c:v>JAN.24</c:v>
                </c:pt>
                <c:pt idx="38">
                  <c:v>JAN.24</c:v>
                </c:pt>
                <c:pt idx="39">
                  <c:v>JAN.24</c:v>
                </c:pt>
                <c:pt idx="40">
                  <c:v>JAN.24</c:v>
                </c:pt>
                <c:pt idx="41">
                  <c:v>JAN.24</c:v>
                </c:pt>
                <c:pt idx="42">
                  <c:v>JAN.24</c:v>
                </c:pt>
                <c:pt idx="43">
                  <c:v>JAN.24</c:v>
                </c:pt>
                <c:pt idx="44">
                  <c:v>JAN.24</c:v>
                </c:pt>
                <c:pt idx="45">
                  <c:v>JAN.24</c:v>
                </c:pt>
                <c:pt idx="46">
                  <c:v>JAN.24</c:v>
                </c:pt>
                <c:pt idx="47">
                  <c:v>JAN.24</c:v>
                </c:pt>
                <c:pt idx="48">
                  <c:v>JAN.24</c:v>
                </c:pt>
                <c:pt idx="49">
                  <c:v>JAN.24</c:v>
                </c:pt>
                <c:pt idx="50">
                  <c:v>JAN.24</c:v>
                </c:pt>
                <c:pt idx="51">
                  <c:v>JAN.24</c:v>
                </c:pt>
                <c:pt idx="52">
                  <c:v>JAN.24</c:v>
                </c:pt>
                <c:pt idx="53">
                  <c:v>JAN.24</c:v>
                </c:pt>
                <c:pt idx="54">
                  <c:v>JAN.24</c:v>
                </c:pt>
                <c:pt idx="55">
                  <c:v>JAN.24</c:v>
                </c:pt>
                <c:pt idx="56">
                  <c:v>JAN.24</c:v>
                </c:pt>
                <c:pt idx="57">
                  <c:v>JAN.24</c:v>
                </c:pt>
                <c:pt idx="58">
                  <c:v>JAN.24</c:v>
                </c:pt>
                <c:pt idx="59">
                  <c:v>JAN.24</c:v>
                </c:pt>
                <c:pt idx="60">
                  <c:v>JAN.24</c:v>
                </c:pt>
                <c:pt idx="61">
                  <c:v>JAN.24</c:v>
                </c:pt>
                <c:pt idx="62">
                  <c:v>JAN.24</c:v>
                </c:pt>
                <c:pt idx="63">
                  <c:v>JAN.24</c:v>
                </c:pt>
                <c:pt idx="64">
                  <c:v>JAN.24</c:v>
                </c:pt>
                <c:pt idx="65">
                  <c:v>JAN.24</c:v>
                </c:pt>
                <c:pt idx="66">
                  <c:v>JAN.24</c:v>
                </c:pt>
                <c:pt idx="67">
                  <c:v>JAN.24</c:v>
                </c:pt>
                <c:pt idx="68">
                  <c:v>JAN.24</c:v>
                </c:pt>
                <c:pt idx="69">
                  <c:v>JAN.24</c:v>
                </c:pt>
                <c:pt idx="70">
                  <c:v>JAN.24</c:v>
                </c:pt>
                <c:pt idx="71">
                  <c:v>JAN.24</c:v>
                </c:pt>
                <c:pt idx="72">
                  <c:v>JAN.24</c:v>
                </c:pt>
                <c:pt idx="73">
                  <c:v>JAN.24</c:v>
                </c:pt>
                <c:pt idx="74">
                  <c:v>JAN.24</c:v>
                </c:pt>
                <c:pt idx="75">
                  <c:v>JAN.24</c:v>
                </c:pt>
                <c:pt idx="76">
                  <c:v>JAN.24</c:v>
                </c:pt>
                <c:pt idx="77">
                  <c:v>JAN.24</c:v>
                </c:pt>
                <c:pt idx="78">
                  <c:v>JAN.24</c:v>
                </c:pt>
                <c:pt idx="79">
                  <c:v>JAN.24</c:v>
                </c:pt>
                <c:pt idx="80">
                  <c:v>JAN.24</c:v>
                </c:pt>
                <c:pt idx="81">
                  <c:v>JAN.24</c:v>
                </c:pt>
                <c:pt idx="82">
                  <c:v>JAN.24</c:v>
                </c:pt>
                <c:pt idx="83">
                  <c:v>JAN.24</c:v>
                </c:pt>
                <c:pt idx="84">
                  <c:v>JAN.24</c:v>
                </c:pt>
                <c:pt idx="85">
                  <c:v>JAN.24</c:v>
                </c:pt>
                <c:pt idx="86">
                  <c:v>JAN.24</c:v>
                </c:pt>
                <c:pt idx="87">
                  <c:v>JAN.24</c:v>
                </c:pt>
                <c:pt idx="88">
                  <c:v>JAN.24</c:v>
                </c:pt>
                <c:pt idx="89">
                  <c:v>JAN.24</c:v>
                </c:pt>
                <c:pt idx="90">
                  <c:v>JAN.24</c:v>
                </c:pt>
                <c:pt idx="91">
                  <c:v>JAN.24</c:v>
                </c:pt>
                <c:pt idx="92">
                  <c:v>JAN.24</c:v>
                </c:pt>
                <c:pt idx="93">
                  <c:v>JAN.24</c:v>
                </c:pt>
                <c:pt idx="94">
                  <c:v>JAN.24</c:v>
                </c:pt>
                <c:pt idx="95">
                  <c:v>JAN.24</c:v>
                </c:pt>
                <c:pt idx="96">
                  <c:v>JAN.24</c:v>
                </c:pt>
                <c:pt idx="97">
                  <c:v>JAN.24</c:v>
                </c:pt>
                <c:pt idx="98">
                  <c:v>JAN.24</c:v>
                </c:pt>
                <c:pt idx="99">
                  <c:v>JAN.24</c:v>
                </c:pt>
                <c:pt idx="100">
                  <c:v>JAN.24</c:v>
                </c:pt>
                <c:pt idx="101">
                  <c:v>JAN.24</c:v>
                </c:pt>
                <c:pt idx="102">
                  <c:v>JAN.24</c:v>
                </c:pt>
                <c:pt idx="103">
                  <c:v>JAN.24</c:v>
                </c:pt>
                <c:pt idx="104">
                  <c:v>JAN.24</c:v>
                </c:pt>
                <c:pt idx="105">
                  <c:v>JAN.24</c:v>
                </c:pt>
                <c:pt idx="106">
                  <c:v>JAN.24</c:v>
                </c:pt>
                <c:pt idx="107">
                  <c:v>JAN.24</c:v>
                </c:pt>
                <c:pt idx="108">
                  <c:v>JAN.24</c:v>
                </c:pt>
                <c:pt idx="109">
                  <c:v>JAN.24</c:v>
                </c:pt>
                <c:pt idx="110">
                  <c:v>JAN.24</c:v>
                </c:pt>
                <c:pt idx="111">
                  <c:v>JAN.24</c:v>
                </c:pt>
                <c:pt idx="112">
                  <c:v>JAN.24</c:v>
                </c:pt>
                <c:pt idx="113">
                  <c:v>JAN.24</c:v>
                </c:pt>
                <c:pt idx="114">
                  <c:v>JAN.24</c:v>
                </c:pt>
                <c:pt idx="115">
                  <c:v>JAN.24</c:v>
                </c:pt>
                <c:pt idx="116">
                  <c:v>JAN.24</c:v>
                </c:pt>
                <c:pt idx="117">
                  <c:v>JAN.24</c:v>
                </c:pt>
                <c:pt idx="118">
                  <c:v>JAN.24</c:v>
                </c:pt>
                <c:pt idx="119">
                  <c:v>JAN.24</c:v>
                </c:pt>
                <c:pt idx="120">
                  <c:v>JAN.24</c:v>
                </c:pt>
                <c:pt idx="121">
                  <c:v>JAN.24</c:v>
                </c:pt>
                <c:pt idx="122">
                  <c:v>JAN.24</c:v>
                </c:pt>
                <c:pt idx="123">
                  <c:v>JAN.24</c:v>
                </c:pt>
                <c:pt idx="124">
                  <c:v>JAN.24</c:v>
                </c:pt>
                <c:pt idx="125">
                  <c:v>JAN.24</c:v>
                </c:pt>
                <c:pt idx="126">
                  <c:v>JAN.24</c:v>
                </c:pt>
                <c:pt idx="127">
                  <c:v>JAN.24</c:v>
                </c:pt>
                <c:pt idx="128">
                  <c:v>JAN.24</c:v>
                </c:pt>
                <c:pt idx="129">
                  <c:v>JAN.24</c:v>
                </c:pt>
                <c:pt idx="130">
                  <c:v>JAN.24</c:v>
                </c:pt>
                <c:pt idx="131">
                  <c:v>JAN.24</c:v>
                </c:pt>
                <c:pt idx="132">
                  <c:v>February 24 live</c:v>
                </c:pt>
                <c:pt idx="133">
                  <c:v>FEB.24</c:v>
                </c:pt>
                <c:pt idx="134">
                  <c:v>FEB.24</c:v>
                </c:pt>
                <c:pt idx="135">
                  <c:v>FEB.24</c:v>
                </c:pt>
                <c:pt idx="136">
                  <c:v>FEB.24</c:v>
                </c:pt>
                <c:pt idx="137">
                  <c:v>FEB.24</c:v>
                </c:pt>
                <c:pt idx="138">
                  <c:v>FEB.24</c:v>
                </c:pt>
                <c:pt idx="139">
                  <c:v>FEB.24</c:v>
                </c:pt>
                <c:pt idx="140">
                  <c:v>FEB.24</c:v>
                </c:pt>
                <c:pt idx="141">
                  <c:v>FEB.24</c:v>
                </c:pt>
                <c:pt idx="142">
                  <c:v>FEB.24</c:v>
                </c:pt>
                <c:pt idx="143">
                  <c:v>FEB.24</c:v>
                </c:pt>
                <c:pt idx="144">
                  <c:v>FEB.24</c:v>
                </c:pt>
                <c:pt idx="145">
                  <c:v>FEB.24</c:v>
                </c:pt>
                <c:pt idx="146">
                  <c:v>FEB.24</c:v>
                </c:pt>
                <c:pt idx="147">
                  <c:v>FEB.24</c:v>
                </c:pt>
                <c:pt idx="148">
                  <c:v>FEB.24</c:v>
                </c:pt>
                <c:pt idx="149">
                  <c:v>FEB.24</c:v>
                </c:pt>
                <c:pt idx="150">
                  <c:v>FEB.24</c:v>
                </c:pt>
                <c:pt idx="151">
                  <c:v>FEB.24</c:v>
                </c:pt>
                <c:pt idx="152">
                  <c:v>FEB.24</c:v>
                </c:pt>
                <c:pt idx="153">
                  <c:v>FEB.24</c:v>
                </c:pt>
                <c:pt idx="154">
                  <c:v>FEB.24</c:v>
                </c:pt>
                <c:pt idx="155">
                  <c:v>FEB.24</c:v>
                </c:pt>
                <c:pt idx="156">
                  <c:v>FEB.24</c:v>
                </c:pt>
                <c:pt idx="157">
                  <c:v>FEB.24</c:v>
                </c:pt>
                <c:pt idx="158">
                  <c:v>FEB.24</c:v>
                </c:pt>
                <c:pt idx="159">
                  <c:v>FEB.24</c:v>
                </c:pt>
                <c:pt idx="160">
                  <c:v>FEB.24</c:v>
                </c:pt>
                <c:pt idx="161">
                  <c:v>FEB.24</c:v>
                </c:pt>
                <c:pt idx="162">
                  <c:v>FEB.24</c:v>
                </c:pt>
                <c:pt idx="163">
                  <c:v>FEB.24</c:v>
                </c:pt>
                <c:pt idx="164">
                  <c:v>FEB.24</c:v>
                </c:pt>
                <c:pt idx="165">
                  <c:v>FEB.24</c:v>
                </c:pt>
                <c:pt idx="166">
                  <c:v>FEB.24</c:v>
                </c:pt>
                <c:pt idx="167">
                  <c:v>FEB.24</c:v>
                </c:pt>
                <c:pt idx="168">
                  <c:v>FEB.24</c:v>
                </c:pt>
                <c:pt idx="169">
                  <c:v>FEB.24</c:v>
                </c:pt>
                <c:pt idx="170">
                  <c:v>FEB.24</c:v>
                </c:pt>
                <c:pt idx="171">
                  <c:v>FEB.24</c:v>
                </c:pt>
                <c:pt idx="172">
                  <c:v>FEB.24</c:v>
                </c:pt>
                <c:pt idx="173">
                  <c:v>FEB.24</c:v>
                </c:pt>
                <c:pt idx="174">
                  <c:v>FEB.24</c:v>
                </c:pt>
                <c:pt idx="175">
                  <c:v>FEB.24</c:v>
                </c:pt>
                <c:pt idx="176">
                  <c:v>FEB.24</c:v>
                </c:pt>
                <c:pt idx="177">
                  <c:v>FEB.24</c:v>
                </c:pt>
                <c:pt idx="178">
                  <c:v>FEB.24</c:v>
                </c:pt>
                <c:pt idx="179">
                  <c:v>FEB.24</c:v>
                </c:pt>
                <c:pt idx="180">
                  <c:v>FEB.24</c:v>
                </c:pt>
                <c:pt idx="181">
                  <c:v>FEB.24</c:v>
                </c:pt>
                <c:pt idx="182">
                  <c:v>FEB.24</c:v>
                </c:pt>
                <c:pt idx="183">
                  <c:v>FEB.24</c:v>
                </c:pt>
                <c:pt idx="184">
                  <c:v>FEB.24</c:v>
                </c:pt>
                <c:pt idx="185">
                  <c:v>FEB.24</c:v>
                </c:pt>
                <c:pt idx="186">
                  <c:v>FEB.24</c:v>
                </c:pt>
                <c:pt idx="187">
                  <c:v>FEB.24</c:v>
                </c:pt>
                <c:pt idx="188">
                  <c:v>FEB.24</c:v>
                </c:pt>
                <c:pt idx="189">
                  <c:v>FEB.24</c:v>
                </c:pt>
                <c:pt idx="190">
                  <c:v>FEB.24</c:v>
                </c:pt>
                <c:pt idx="191">
                  <c:v>FEB.24</c:v>
                </c:pt>
                <c:pt idx="192">
                  <c:v>FEB.24</c:v>
                </c:pt>
                <c:pt idx="193">
                  <c:v>FEB.24</c:v>
                </c:pt>
                <c:pt idx="194">
                  <c:v>FEB.24</c:v>
                </c:pt>
                <c:pt idx="195">
                  <c:v>FEB.24</c:v>
                </c:pt>
                <c:pt idx="196">
                  <c:v>FEB.24</c:v>
                </c:pt>
                <c:pt idx="197">
                  <c:v>FEB.24</c:v>
                </c:pt>
                <c:pt idx="198">
                  <c:v>FEB.24</c:v>
                </c:pt>
                <c:pt idx="199">
                  <c:v>FEB.24</c:v>
                </c:pt>
                <c:pt idx="200">
                  <c:v>FEB.24</c:v>
                </c:pt>
                <c:pt idx="201">
                  <c:v>FEB.24</c:v>
                </c:pt>
                <c:pt idx="202">
                  <c:v>FEB.24</c:v>
                </c:pt>
                <c:pt idx="203">
                  <c:v>FEB.24</c:v>
                </c:pt>
                <c:pt idx="204">
                  <c:v>FEB.24</c:v>
                </c:pt>
                <c:pt idx="205">
                  <c:v>FEB.24</c:v>
                </c:pt>
                <c:pt idx="206">
                  <c:v>FEB.24</c:v>
                </c:pt>
                <c:pt idx="207">
                  <c:v>FEB.24</c:v>
                </c:pt>
                <c:pt idx="208">
                  <c:v>FEB.24</c:v>
                </c:pt>
                <c:pt idx="209">
                  <c:v>FEB.24</c:v>
                </c:pt>
                <c:pt idx="210">
                  <c:v>FEB.24</c:v>
                </c:pt>
                <c:pt idx="211">
                  <c:v>FEB.24</c:v>
                </c:pt>
                <c:pt idx="212">
                  <c:v>FEB.24</c:v>
                </c:pt>
                <c:pt idx="213">
                  <c:v>FEB.24</c:v>
                </c:pt>
                <c:pt idx="214">
                  <c:v>FEB.24</c:v>
                </c:pt>
                <c:pt idx="215">
                  <c:v>FEB.24</c:v>
                </c:pt>
                <c:pt idx="216">
                  <c:v>FEB.24</c:v>
                </c:pt>
                <c:pt idx="217">
                  <c:v>FEB.24</c:v>
                </c:pt>
                <c:pt idx="218">
                  <c:v>FEB.24</c:v>
                </c:pt>
                <c:pt idx="219">
                  <c:v>FEB.24</c:v>
                </c:pt>
                <c:pt idx="220">
                  <c:v>FEB.24</c:v>
                </c:pt>
                <c:pt idx="221">
                  <c:v>FEB.24</c:v>
                </c:pt>
                <c:pt idx="222">
                  <c:v>FEB.24</c:v>
                </c:pt>
                <c:pt idx="223">
                  <c:v>FEB.24</c:v>
                </c:pt>
                <c:pt idx="224">
                  <c:v>FEB.24</c:v>
                </c:pt>
                <c:pt idx="225">
                  <c:v>FEB.24</c:v>
                </c:pt>
                <c:pt idx="226">
                  <c:v>FEB.24</c:v>
                </c:pt>
                <c:pt idx="227">
                  <c:v>FEB.24</c:v>
                </c:pt>
                <c:pt idx="228">
                  <c:v>FEB.24</c:v>
                </c:pt>
                <c:pt idx="229">
                  <c:v>FEB.24</c:v>
                </c:pt>
                <c:pt idx="230">
                  <c:v>FEB.24</c:v>
                </c:pt>
                <c:pt idx="231">
                  <c:v>FEB.24</c:v>
                </c:pt>
                <c:pt idx="232">
                  <c:v>FEB.24</c:v>
                </c:pt>
                <c:pt idx="233">
                  <c:v>FEB.24</c:v>
                </c:pt>
                <c:pt idx="234">
                  <c:v>FEB.24</c:v>
                </c:pt>
                <c:pt idx="235">
                  <c:v>FEB.24</c:v>
                </c:pt>
                <c:pt idx="236">
                  <c:v>FEB.24</c:v>
                </c:pt>
                <c:pt idx="237">
                  <c:v>FEB.24</c:v>
                </c:pt>
                <c:pt idx="238">
                  <c:v>FEB.24</c:v>
                </c:pt>
                <c:pt idx="239">
                  <c:v>FEB.24</c:v>
                </c:pt>
                <c:pt idx="240">
                  <c:v>FEB.24</c:v>
                </c:pt>
                <c:pt idx="241">
                  <c:v>FEB.24</c:v>
                </c:pt>
                <c:pt idx="242">
                  <c:v>FEB.24</c:v>
                </c:pt>
                <c:pt idx="243">
                  <c:v>FEB.24</c:v>
                </c:pt>
                <c:pt idx="244">
                  <c:v>FEB.24</c:v>
                </c:pt>
                <c:pt idx="245">
                  <c:v>FEB.24</c:v>
                </c:pt>
                <c:pt idx="246">
                  <c:v>FEB.24</c:v>
                </c:pt>
                <c:pt idx="247">
                  <c:v>FEB.24</c:v>
                </c:pt>
                <c:pt idx="248">
                  <c:v>FEB.24</c:v>
                </c:pt>
                <c:pt idx="249">
                  <c:v>FEB.24</c:v>
                </c:pt>
                <c:pt idx="250">
                  <c:v>FEB.24</c:v>
                </c:pt>
                <c:pt idx="251">
                  <c:v>FEB.24</c:v>
                </c:pt>
                <c:pt idx="252">
                  <c:v>March 24 live</c:v>
                </c:pt>
                <c:pt idx="253">
                  <c:v>MAR.24</c:v>
                </c:pt>
                <c:pt idx="254">
                  <c:v>MAR.24</c:v>
                </c:pt>
                <c:pt idx="255">
                  <c:v>MAR.24</c:v>
                </c:pt>
                <c:pt idx="256">
                  <c:v>MAR.24</c:v>
                </c:pt>
                <c:pt idx="257">
                  <c:v>MAR.24</c:v>
                </c:pt>
                <c:pt idx="258">
                  <c:v>MAR.24</c:v>
                </c:pt>
                <c:pt idx="259">
                  <c:v>MAR.24</c:v>
                </c:pt>
                <c:pt idx="260">
                  <c:v>MAR.24</c:v>
                </c:pt>
                <c:pt idx="261">
                  <c:v>MAR.24</c:v>
                </c:pt>
                <c:pt idx="262">
                  <c:v>MAR.24</c:v>
                </c:pt>
                <c:pt idx="263">
                  <c:v>MAR.24</c:v>
                </c:pt>
                <c:pt idx="264">
                  <c:v>MAR.24</c:v>
                </c:pt>
                <c:pt idx="265">
                  <c:v>MAR.24</c:v>
                </c:pt>
                <c:pt idx="266">
                  <c:v>MAR.24</c:v>
                </c:pt>
                <c:pt idx="267">
                  <c:v>MAR.24</c:v>
                </c:pt>
                <c:pt idx="268">
                  <c:v>MAR.24</c:v>
                </c:pt>
                <c:pt idx="269">
                  <c:v>MAR.24</c:v>
                </c:pt>
                <c:pt idx="270">
                  <c:v>MAR.24</c:v>
                </c:pt>
                <c:pt idx="271">
                  <c:v>MAR.24</c:v>
                </c:pt>
                <c:pt idx="272">
                  <c:v>MAR.24</c:v>
                </c:pt>
                <c:pt idx="273">
                  <c:v>MAR.24</c:v>
                </c:pt>
                <c:pt idx="274">
                  <c:v>MAR.24</c:v>
                </c:pt>
                <c:pt idx="275">
                  <c:v>MAR.24</c:v>
                </c:pt>
                <c:pt idx="276">
                  <c:v>MAR.24</c:v>
                </c:pt>
                <c:pt idx="277">
                  <c:v>MAR.24</c:v>
                </c:pt>
                <c:pt idx="278">
                  <c:v>MAR.24</c:v>
                </c:pt>
                <c:pt idx="279">
                  <c:v>MAR.24</c:v>
                </c:pt>
                <c:pt idx="280">
                  <c:v>MAR.24</c:v>
                </c:pt>
                <c:pt idx="281">
                  <c:v>MAR.24</c:v>
                </c:pt>
                <c:pt idx="282">
                  <c:v>MAR.24</c:v>
                </c:pt>
                <c:pt idx="283">
                  <c:v>MAR.24</c:v>
                </c:pt>
                <c:pt idx="284">
                  <c:v>MAR.24</c:v>
                </c:pt>
                <c:pt idx="285">
                  <c:v>MAR.24</c:v>
                </c:pt>
                <c:pt idx="286">
                  <c:v>MAR.24</c:v>
                </c:pt>
                <c:pt idx="287">
                  <c:v>MAR.24</c:v>
                </c:pt>
                <c:pt idx="288">
                  <c:v>MAR.24</c:v>
                </c:pt>
                <c:pt idx="289">
                  <c:v>MAR.24</c:v>
                </c:pt>
                <c:pt idx="290">
                  <c:v>MAR.24</c:v>
                </c:pt>
                <c:pt idx="291">
                  <c:v>MAR.24</c:v>
                </c:pt>
                <c:pt idx="292">
                  <c:v>MAR.24</c:v>
                </c:pt>
                <c:pt idx="293">
                  <c:v>MAR.24</c:v>
                </c:pt>
                <c:pt idx="294">
                  <c:v>MAR.24</c:v>
                </c:pt>
                <c:pt idx="295">
                  <c:v>MAR.24</c:v>
                </c:pt>
                <c:pt idx="296">
                  <c:v>MAR.24</c:v>
                </c:pt>
                <c:pt idx="297">
                  <c:v>MAR.24</c:v>
                </c:pt>
                <c:pt idx="298">
                  <c:v>MAR.24</c:v>
                </c:pt>
                <c:pt idx="299">
                  <c:v>MAR.24</c:v>
                </c:pt>
                <c:pt idx="300">
                  <c:v>MAR.24</c:v>
                </c:pt>
                <c:pt idx="301">
                  <c:v>MAR.24</c:v>
                </c:pt>
                <c:pt idx="302">
                  <c:v>MAR.24</c:v>
                </c:pt>
                <c:pt idx="303">
                  <c:v>MAR.24</c:v>
                </c:pt>
                <c:pt idx="304">
                  <c:v>MAR.24</c:v>
                </c:pt>
                <c:pt idx="305">
                  <c:v>MAR.24</c:v>
                </c:pt>
                <c:pt idx="306">
                  <c:v>MAR.24</c:v>
                </c:pt>
                <c:pt idx="307">
                  <c:v>MAR.24</c:v>
                </c:pt>
                <c:pt idx="308">
                  <c:v>MAR.24</c:v>
                </c:pt>
                <c:pt idx="309">
                  <c:v>MAR.24</c:v>
                </c:pt>
                <c:pt idx="310">
                  <c:v>MAR.24</c:v>
                </c:pt>
                <c:pt idx="311">
                  <c:v>MAR.24</c:v>
                </c:pt>
                <c:pt idx="312">
                  <c:v>MAR.24</c:v>
                </c:pt>
                <c:pt idx="313">
                  <c:v>MAR.24</c:v>
                </c:pt>
                <c:pt idx="314">
                  <c:v>MAR.24</c:v>
                </c:pt>
                <c:pt idx="315">
                  <c:v>MAR.24</c:v>
                </c:pt>
                <c:pt idx="316">
                  <c:v>MAR.24</c:v>
                </c:pt>
                <c:pt idx="317">
                  <c:v>MAR.24</c:v>
                </c:pt>
                <c:pt idx="318">
                  <c:v>MAR.24</c:v>
                </c:pt>
                <c:pt idx="319">
                  <c:v>MAR.24</c:v>
                </c:pt>
                <c:pt idx="320">
                  <c:v>MAR.24</c:v>
                </c:pt>
                <c:pt idx="321">
                  <c:v>MAR.24</c:v>
                </c:pt>
                <c:pt idx="322">
                  <c:v>MAR.24</c:v>
                </c:pt>
                <c:pt idx="323">
                  <c:v>MAR.24</c:v>
                </c:pt>
                <c:pt idx="324">
                  <c:v>MAR.24</c:v>
                </c:pt>
                <c:pt idx="325">
                  <c:v>MAR.24</c:v>
                </c:pt>
                <c:pt idx="326">
                  <c:v>MAR.24</c:v>
                </c:pt>
                <c:pt idx="327">
                  <c:v>MAR.24</c:v>
                </c:pt>
                <c:pt idx="328">
                  <c:v>MAR.24</c:v>
                </c:pt>
                <c:pt idx="329">
                  <c:v>MAR.24</c:v>
                </c:pt>
                <c:pt idx="330">
                  <c:v>MAR.24</c:v>
                </c:pt>
                <c:pt idx="331">
                  <c:v>MAR.24</c:v>
                </c:pt>
                <c:pt idx="332">
                  <c:v>MAR.24</c:v>
                </c:pt>
                <c:pt idx="333">
                  <c:v>MAR.24</c:v>
                </c:pt>
                <c:pt idx="334">
                  <c:v>MAR.24</c:v>
                </c:pt>
                <c:pt idx="335">
                  <c:v>MAR.24</c:v>
                </c:pt>
                <c:pt idx="336">
                  <c:v>MAR.24</c:v>
                </c:pt>
                <c:pt idx="337">
                  <c:v>MAR.24</c:v>
                </c:pt>
                <c:pt idx="338">
                  <c:v>MAR.24</c:v>
                </c:pt>
                <c:pt idx="339">
                  <c:v>MAR.24</c:v>
                </c:pt>
                <c:pt idx="340">
                  <c:v>MAR.24</c:v>
                </c:pt>
                <c:pt idx="341">
                  <c:v>MAR.24</c:v>
                </c:pt>
                <c:pt idx="342">
                  <c:v>MAR.24</c:v>
                </c:pt>
                <c:pt idx="343">
                  <c:v>MAR.24</c:v>
                </c:pt>
                <c:pt idx="344">
                  <c:v>MAR.24</c:v>
                </c:pt>
                <c:pt idx="345">
                  <c:v>April 24 live</c:v>
                </c:pt>
                <c:pt idx="346">
                  <c:v>APR.24</c:v>
                </c:pt>
                <c:pt idx="347">
                  <c:v>APR.24</c:v>
                </c:pt>
                <c:pt idx="348">
                  <c:v>APR.24</c:v>
                </c:pt>
                <c:pt idx="349">
                  <c:v>APR.24</c:v>
                </c:pt>
                <c:pt idx="350">
                  <c:v>APR.24</c:v>
                </c:pt>
                <c:pt idx="351">
                  <c:v>APR.24</c:v>
                </c:pt>
                <c:pt idx="352">
                  <c:v>APR.24</c:v>
                </c:pt>
                <c:pt idx="353">
                  <c:v>APR.24</c:v>
                </c:pt>
                <c:pt idx="354">
                  <c:v>APR.24</c:v>
                </c:pt>
                <c:pt idx="355">
                  <c:v>APR.24</c:v>
                </c:pt>
                <c:pt idx="356">
                  <c:v>APR.24</c:v>
                </c:pt>
                <c:pt idx="357">
                  <c:v>APR.24</c:v>
                </c:pt>
                <c:pt idx="358">
                  <c:v>APR.24</c:v>
                </c:pt>
                <c:pt idx="359">
                  <c:v>APR.24</c:v>
                </c:pt>
                <c:pt idx="360">
                  <c:v>APR.24</c:v>
                </c:pt>
                <c:pt idx="361">
                  <c:v>APR.24</c:v>
                </c:pt>
                <c:pt idx="362">
                  <c:v>APR.24</c:v>
                </c:pt>
                <c:pt idx="363">
                  <c:v>APR.24</c:v>
                </c:pt>
                <c:pt idx="364">
                  <c:v>APR.24</c:v>
                </c:pt>
                <c:pt idx="365">
                  <c:v>APR.24</c:v>
                </c:pt>
                <c:pt idx="366">
                  <c:v>APR.24</c:v>
                </c:pt>
                <c:pt idx="367">
                  <c:v>APR.24</c:v>
                </c:pt>
                <c:pt idx="368">
                  <c:v>APR.24</c:v>
                </c:pt>
                <c:pt idx="369">
                  <c:v>APR.24</c:v>
                </c:pt>
                <c:pt idx="370">
                  <c:v>APR.24</c:v>
                </c:pt>
                <c:pt idx="371">
                  <c:v>APR.24</c:v>
                </c:pt>
                <c:pt idx="372">
                  <c:v>APR.24</c:v>
                </c:pt>
                <c:pt idx="373">
                  <c:v>APR.24</c:v>
                </c:pt>
                <c:pt idx="374">
                  <c:v>APR.24</c:v>
                </c:pt>
                <c:pt idx="375">
                  <c:v>APR.24</c:v>
                </c:pt>
                <c:pt idx="376">
                  <c:v>APR.24</c:v>
                </c:pt>
                <c:pt idx="377">
                  <c:v>APR.24</c:v>
                </c:pt>
                <c:pt idx="378">
                  <c:v>APR.24</c:v>
                </c:pt>
                <c:pt idx="379">
                  <c:v>APR.24</c:v>
                </c:pt>
                <c:pt idx="380">
                  <c:v>APR.24</c:v>
                </c:pt>
                <c:pt idx="381">
                  <c:v>APR.24</c:v>
                </c:pt>
                <c:pt idx="382">
                  <c:v>APR.24</c:v>
                </c:pt>
                <c:pt idx="383">
                  <c:v>APR.24</c:v>
                </c:pt>
                <c:pt idx="384">
                  <c:v>APR.24</c:v>
                </c:pt>
                <c:pt idx="385">
                  <c:v>APR.24</c:v>
                </c:pt>
                <c:pt idx="386">
                  <c:v>APR.24</c:v>
                </c:pt>
                <c:pt idx="387">
                  <c:v>APR.24</c:v>
                </c:pt>
                <c:pt idx="388">
                  <c:v>APR.24</c:v>
                </c:pt>
                <c:pt idx="389">
                  <c:v>APR.24</c:v>
                </c:pt>
                <c:pt idx="390">
                  <c:v>APR.24</c:v>
                </c:pt>
                <c:pt idx="391">
                  <c:v>APR.24</c:v>
                </c:pt>
                <c:pt idx="392">
                  <c:v>APR.24</c:v>
                </c:pt>
                <c:pt idx="393">
                  <c:v>APR.24</c:v>
                </c:pt>
                <c:pt idx="394">
                  <c:v>APR.24</c:v>
                </c:pt>
                <c:pt idx="395">
                  <c:v>APR.24</c:v>
                </c:pt>
                <c:pt idx="396">
                  <c:v>APR.24</c:v>
                </c:pt>
                <c:pt idx="397">
                  <c:v>APR.24</c:v>
                </c:pt>
                <c:pt idx="398">
                  <c:v>APR.24</c:v>
                </c:pt>
                <c:pt idx="399">
                  <c:v>APR.24</c:v>
                </c:pt>
                <c:pt idx="400">
                  <c:v>APR.24</c:v>
                </c:pt>
                <c:pt idx="401">
                  <c:v>APR.24</c:v>
                </c:pt>
                <c:pt idx="402">
                  <c:v>APR.24</c:v>
                </c:pt>
                <c:pt idx="403">
                  <c:v>APR.24</c:v>
                </c:pt>
                <c:pt idx="404">
                  <c:v>APR.24</c:v>
                </c:pt>
                <c:pt idx="405">
                  <c:v>APR.24</c:v>
                </c:pt>
                <c:pt idx="406">
                  <c:v>APR.24</c:v>
                </c:pt>
                <c:pt idx="407">
                  <c:v>APR.24</c:v>
                </c:pt>
                <c:pt idx="408">
                  <c:v>APR.24</c:v>
                </c:pt>
                <c:pt idx="409">
                  <c:v>APR.24</c:v>
                </c:pt>
                <c:pt idx="410">
                  <c:v>APR.24</c:v>
                </c:pt>
                <c:pt idx="411">
                  <c:v>APR.24</c:v>
                </c:pt>
                <c:pt idx="412">
                  <c:v>APR.24</c:v>
                </c:pt>
                <c:pt idx="413">
                  <c:v>APR.24</c:v>
                </c:pt>
                <c:pt idx="414">
                  <c:v>APR.24</c:v>
                </c:pt>
                <c:pt idx="415">
                  <c:v>APR.24</c:v>
                </c:pt>
                <c:pt idx="416">
                  <c:v>APR.24</c:v>
                </c:pt>
                <c:pt idx="417">
                  <c:v>APR.24</c:v>
                </c:pt>
                <c:pt idx="418">
                  <c:v>APR.24</c:v>
                </c:pt>
                <c:pt idx="419">
                  <c:v>APR.24</c:v>
                </c:pt>
                <c:pt idx="420">
                  <c:v>APR.24</c:v>
                </c:pt>
                <c:pt idx="421">
                  <c:v>APR.24</c:v>
                </c:pt>
                <c:pt idx="422">
                  <c:v>APR.24</c:v>
                </c:pt>
                <c:pt idx="423">
                  <c:v>APR.24</c:v>
                </c:pt>
                <c:pt idx="424">
                  <c:v>APR.24</c:v>
                </c:pt>
                <c:pt idx="425">
                  <c:v>APR.24</c:v>
                </c:pt>
                <c:pt idx="426">
                  <c:v>APR.24</c:v>
                </c:pt>
                <c:pt idx="427">
                  <c:v>APR.24</c:v>
                </c:pt>
                <c:pt idx="428">
                  <c:v>APR.24</c:v>
                </c:pt>
                <c:pt idx="429">
                  <c:v>APR.24</c:v>
                </c:pt>
                <c:pt idx="430">
                  <c:v>APR.24</c:v>
                </c:pt>
                <c:pt idx="431">
                  <c:v>APR.24</c:v>
                </c:pt>
                <c:pt idx="432">
                  <c:v>APR.24</c:v>
                </c:pt>
                <c:pt idx="433">
                  <c:v>APR.24</c:v>
                </c:pt>
                <c:pt idx="434">
                  <c:v>APR.24</c:v>
                </c:pt>
                <c:pt idx="435">
                  <c:v>APR.24</c:v>
                </c:pt>
                <c:pt idx="436">
                  <c:v>APR.24</c:v>
                </c:pt>
                <c:pt idx="437">
                  <c:v>APR.24</c:v>
                </c:pt>
                <c:pt idx="438">
                  <c:v>APR.24</c:v>
                </c:pt>
                <c:pt idx="439">
                  <c:v>APR.24</c:v>
                </c:pt>
                <c:pt idx="440">
                  <c:v>APR.24</c:v>
                </c:pt>
                <c:pt idx="441">
                  <c:v>APR.24</c:v>
                </c:pt>
                <c:pt idx="442">
                  <c:v>APR.24</c:v>
                </c:pt>
                <c:pt idx="443">
                  <c:v>APR.24</c:v>
                </c:pt>
                <c:pt idx="444">
                  <c:v>APR.24</c:v>
                </c:pt>
                <c:pt idx="445">
                  <c:v>APR.24</c:v>
                </c:pt>
                <c:pt idx="446">
                  <c:v>APR.24</c:v>
                </c:pt>
                <c:pt idx="447">
                  <c:v>APR.24</c:v>
                </c:pt>
                <c:pt idx="448">
                  <c:v>APR.24</c:v>
                </c:pt>
                <c:pt idx="449">
                  <c:v>APR.24</c:v>
                </c:pt>
                <c:pt idx="450">
                  <c:v>APR.24</c:v>
                </c:pt>
                <c:pt idx="451">
                  <c:v>APR.24</c:v>
                </c:pt>
                <c:pt idx="452">
                  <c:v>APR.24</c:v>
                </c:pt>
                <c:pt idx="453">
                  <c:v>APR.24</c:v>
                </c:pt>
                <c:pt idx="454">
                  <c:v>APR.24</c:v>
                </c:pt>
                <c:pt idx="455">
                  <c:v>APR.24</c:v>
                </c:pt>
                <c:pt idx="456">
                  <c:v>APR.24</c:v>
                </c:pt>
                <c:pt idx="457">
                  <c:v>APR.24</c:v>
                </c:pt>
                <c:pt idx="458">
                  <c:v>APR.24</c:v>
                </c:pt>
                <c:pt idx="459">
                  <c:v>APR.24</c:v>
                </c:pt>
                <c:pt idx="460">
                  <c:v>APR.24</c:v>
                </c:pt>
                <c:pt idx="461">
                  <c:v>APR.24</c:v>
                </c:pt>
                <c:pt idx="462">
                  <c:v>APR.24</c:v>
                </c:pt>
                <c:pt idx="463">
                  <c:v>APR.24</c:v>
                </c:pt>
                <c:pt idx="464">
                  <c:v>APR.24</c:v>
                </c:pt>
                <c:pt idx="465">
                  <c:v>APR.24</c:v>
                </c:pt>
                <c:pt idx="466">
                  <c:v>APR.24</c:v>
                </c:pt>
                <c:pt idx="467">
                  <c:v>APR.24</c:v>
                </c:pt>
                <c:pt idx="468">
                  <c:v>APR.24</c:v>
                </c:pt>
                <c:pt idx="469">
                  <c:v>APR.24</c:v>
                </c:pt>
                <c:pt idx="470">
                  <c:v>APR.24</c:v>
                </c:pt>
                <c:pt idx="471">
                  <c:v>APR.24</c:v>
                </c:pt>
                <c:pt idx="472">
                  <c:v>APR.24</c:v>
                </c:pt>
                <c:pt idx="473">
                  <c:v>APR.24</c:v>
                </c:pt>
                <c:pt idx="474">
                  <c:v>APR.24</c:v>
                </c:pt>
                <c:pt idx="475">
                  <c:v>APR.24</c:v>
                </c:pt>
                <c:pt idx="476">
                  <c:v>APR.24</c:v>
                </c:pt>
                <c:pt idx="477">
                  <c:v>APR.24</c:v>
                </c:pt>
                <c:pt idx="478">
                  <c:v>APR.24</c:v>
                </c:pt>
                <c:pt idx="479">
                  <c:v>APR.24</c:v>
                </c:pt>
                <c:pt idx="480">
                  <c:v>APR.24</c:v>
                </c:pt>
                <c:pt idx="481">
                  <c:v>APR.24</c:v>
                </c:pt>
                <c:pt idx="482">
                  <c:v>APR.24</c:v>
                </c:pt>
                <c:pt idx="483">
                  <c:v>APR.24</c:v>
                </c:pt>
                <c:pt idx="484">
                  <c:v>APR.24</c:v>
                </c:pt>
                <c:pt idx="485">
                  <c:v>APR.24</c:v>
                </c:pt>
                <c:pt idx="486">
                  <c:v>APR.24</c:v>
                </c:pt>
                <c:pt idx="487">
                  <c:v>APR.24</c:v>
                </c:pt>
                <c:pt idx="488">
                  <c:v>APR.24</c:v>
                </c:pt>
                <c:pt idx="489">
                  <c:v>APR.24</c:v>
                </c:pt>
                <c:pt idx="490">
                  <c:v>APR.24</c:v>
                </c:pt>
                <c:pt idx="491">
                  <c:v>APR.24</c:v>
                </c:pt>
                <c:pt idx="492">
                  <c:v>APR.24</c:v>
                </c:pt>
                <c:pt idx="493">
                  <c:v>APR.24</c:v>
                </c:pt>
                <c:pt idx="494">
                  <c:v>APR.24</c:v>
                </c:pt>
                <c:pt idx="495">
                  <c:v>APR.24</c:v>
                </c:pt>
                <c:pt idx="496">
                  <c:v>APR.24</c:v>
                </c:pt>
                <c:pt idx="497">
                  <c:v>APR.24</c:v>
                </c:pt>
                <c:pt idx="498">
                  <c:v>APR.24</c:v>
                </c:pt>
                <c:pt idx="499">
                  <c:v>APR.24</c:v>
                </c:pt>
                <c:pt idx="500">
                  <c:v>APR.24</c:v>
                </c:pt>
                <c:pt idx="501">
                  <c:v>APR.24</c:v>
                </c:pt>
                <c:pt idx="502">
                  <c:v>APR.24</c:v>
                </c:pt>
                <c:pt idx="503">
                  <c:v>APR.24</c:v>
                </c:pt>
                <c:pt idx="504">
                  <c:v>APR.24</c:v>
                </c:pt>
                <c:pt idx="505">
                  <c:v>APR.24</c:v>
                </c:pt>
                <c:pt idx="506">
                  <c:v>APR.24</c:v>
                </c:pt>
                <c:pt idx="507">
                  <c:v>APR.24</c:v>
                </c:pt>
                <c:pt idx="508">
                  <c:v>APR.24</c:v>
                </c:pt>
                <c:pt idx="509">
                  <c:v>APR.24</c:v>
                </c:pt>
                <c:pt idx="510">
                  <c:v>APR.24</c:v>
                </c:pt>
                <c:pt idx="511">
                  <c:v>APR.24</c:v>
                </c:pt>
                <c:pt idx="512">
                  <c:v>APR.24</c:v>
                </c:pt>
                <c:pt idx="513">
                  <c:v>APR.24</c:v>
                </c:pt>
                <c:pt idx="514">
                  <c:v>APR.24</c:v>
                </c:pt>
                <c:pt idx="515">
                  <c:v>APR.24</c:v>
                </c:pt>
                <c:pt idx="516">
                  <c:v>APR.24</c:v>
                </c:pt>
                <c:pt idx="517">
                  <c:v>APR.24</c:v>
                </c:pt>
                <c:pt idx="518">
                  <c:v>APR.24</c:v>
                </c:pt>
                <c:pt idx="519">
                  <c:v>APR.24</c:v>
                </c:pt>
                <c:pt idx="520">
                  <c:v>APR.24</c:v>
                </c:pt>
                <c:pt idx="521">
                  <c:v>APR.24</c:v>
                </c:pt>
                <c:pt idx="522">
                  <c:v>APR.24</c:v>
                </c:pt>
                <c:pt idx="523">
                  <c:v>APR.24</c:v>
                </c:pt>
                <c:pt idx="524">
                  <c:v>APR.24</c:v>
                </c:pt>
                <c:pt idx="525">
                  <c:v>APR.24</c:v>
                </c:pt>
                <c:pt idx="526">
                  <c:v>APR.24</c:v>
                </c:pt>
                <c:pt idx="527">
                  <c:v>APR.24</c:v>
                </c:pt>
                <c:pt idx="528">
                  <c:v>APR.24</c:v>
                </c:pt>
                <c:pt idx="529">
                  <c:v>APR.24</c:v>
                </c:pt>
                <c:pt idx="530">
                  <c:v>APR.24</c:v>
                </c:pt>
                <c:pt idx="531">
                  <c:v>APR.24</c:v>
                </c:pt>
                <c:pt idx="532">
                  <c:v>APR.24</c:v>
                </c:pt>
                <c:pt idx="533">
                  <c:v>APR.24</c:v>
                </c:pt>
                <c:pt idx="534">
                  <c:v>APR.24</c:v>
                </c:pt>
                <c:pt idx="535">
                  <c:v>APR.24</c:v>
                </c:pt>
                <c:pt idx="536">
                  <c:v>May 24 live</c:v>
                </c:pt>
                <c:pt idx="537">
                  <c:v>MAY.24</c:v>
                </c:pt>
                <c:pt idx="538">
                  <c:v>MAY.24</c:v>
                </c:pt>
                <c:pt idx="539">
                  <c:v>MAY.24</c:v>
                </c:pt>
                <c:pt idx="540">
                  <c:v>MAY.24</c:v>
                </c:pt>
                <c:pt idx="541">
                  <c:v>MAY.24</c:v>
                </c:pt>
                <c:pt idx="542">
                  <c:v>MAY.24</c:v>
                </c:pt>
                <c:pt idx="543">
                  <c:v>MAY.24</c:v>
                </c:pt>
                <c:pt idx="544">
                  <c:v>MAY.24</c:v>
                </c:pt>
                <c:pt idx="545">
                  <c:v>MAY.24</c:v>
                </c:pt>
                <c:pt idx="546">
                  <c:v>MAY.24</c:v>
                </c:pt>
                <c:pt idx="547">
                  <c:v>MAY.24</c:v>
                </c:pt>
                <c:pt idx="548">
                  <c:v>MAY.24</c:v>
                </c:pt>
                <c:pt idx="549">
                  <c:v>MAY.24</c:v>
                </c:pt>
                <c:pt idx="550">
                  <c:v>MAY.24</c:v>
                </c:pt>
                <c:pt idx="551">
                  <c:v>MAY.24</c:v>
                </c:pt>
                <c:pt idx="552">
                  <c:v>MAY.24</c:v>
                </c:pt>
                <c:pt idx="553">
                  <c:v>MAY.24</c:v>
                </c:pt>
                <c:pt idx="554">
                  <c:v>MAY.24</c:v>
                </c:pt>
                <c:pt idx="555">
                  <c:v>MAY.24</c:v>
                </c:pt>
                <c:pt idx="556">
                  <c:v>MAY.24</c:v>
                </c:pt>
                <c:pt idx="557">
                  <c:v>MAY.24</c:v>
                </c:pt>
                <c:pt idx="558">
                  <c:v>MAY.24</c:v>
                </c:pt>
                <c:pt idx="559">
                  <c:v>MAY.24</c:v>
                </c:pt>
                <c:pt idx="560">
                  <c:v>MAY.24</c:v>
                </c:pt>
                <c:pt idx="561">
                  <c:v>MAY.24</c:v>
                </c:pt>
                <c:pt idx="562">
                  <c:v>MAY.24</c:v>
                </c:pt>
                <c:pt idx="563">
                  <c:v>MAY.24</c:v>
                </c:pt>
                <c:pt idx="564">
                  <c:v>MAY.24</c:v>
                </c:pt>
                <c:pt idx="565">
                  <c:v>MAY.24</c:v>
                </c:pt>
                <c:pt idx="566">
                  <c:v>MAY.24</c:v>
                </c:pt>
                <c:pt idx="567">
                  <c:v>MAY.24</c:v>
                </c:pt>
                <c:pt idx="568">
                  <c:v>MAY.24</c:v>
                </c:pt>
                <c:pt idx="569">
                  <c:v>MAY.24</c:v>
                </c:pt>
                <c:pt idx="570">
                  <c:v>MAY.24</c:v>
                </c:pt>
                <c:pt idx="571">
                  <c:v>MAY.24</c:v>
                </c:pt>
                <c:pt idx="572">
                  <c:v>MAY.24</c:v>
                </c:pt>
                <c:pt idx="573">
                  <c:v>MAY.24</c:v>
                </c:pt>
                <c:pt idx="574">
                  <c:v>MAY.24</c:v>
                </c:pt>
                <c:pt idx="575">
                  <c:v>MAY.24</c:v>
                </c:pt>
                <c:pt idx="576">
                  <c:v>MAY.24</c:v>
                </c:pt>
                <c:pt idx="577">
                  <c:v>MAY.24</c:v>
                </c:pt>
                <c:pt idx="578">
                  <c:v>MAY.24</c:v>
                </c:pt>
                <c:pt idx="579">
                  <c:v>MAY.24</c:v>
                </c:pt>
                <c:pt idx="580">
                  <c:v>MAY.24</c:v>
                </c:pt>
                <c:pt idx="581">
                  <c:v>MAY.24</c:v>
                </c:pt>
                <c:pt idx="582">
                  <c:v>MAY.24</c:v>
                </c:pt>
                <c:pt idx="583">
                  <c:v>MAY.24</c:v>
                </c:pt>
                <c:pt idx="584">
                  <c:v>MAY.24</c:v>
                </c:pt>
                <c:pt idx="585">
                  <c:v>MAY.24</c:v>
                </c:pt>
                <c:pt idx="586">
                  <c:v>MAY.24</c:v>
                </c:pt>
                <c:pt idx="587">
                  <c:v>MAY.24</c:v>
                </c:pt>
                <c:pt idx="588">
                  <c:v>MAY.24</c:v>
                </c:pt>
                <c:pt idx="589">
                  <c:v>MAY.24</c:v>
                </c:pt>
                <c:pt idx="590">
                  <c:v>MAY.24</c:v>
                </c:pt>
                <c:pt idx="591">
                  <c:v>MAY.24</c:v>
                </c:pt>
                <c:pt idx="592">
                  <c:v>MAY.24</c:v>
                </c:pt>
                <c:pt idx="593">
                  <c:v>MAY.24</c:v>
                </c:pt>
                <c:pt idx="594">
                  <c:v>MAY.24</c:v>
                </c:pt>
                <c:pt idx="595">
                  <c:v>MAY.24</c:v>
                </c:pt>
                <c:pt idx="596">
                  <c:v>MAY.24</c:v>
                </c:pt>
                <c:pt idx="597">
                  <c:v>MAY.24</c:v>
                </c:pt>
                <c:pt idx="598">
                  <c:v>MAY.24</c:v>
                </c:pt>
                <c:pt idx="599">
                  <c:v>MAY.24</c:v>
                </c:pt>
                <c:pt idx="600">
                  <c:v>MAY.24</c:v>
                </c:pt>
                <c:pt idx="601">
                  <c:v>MAY.24</c:v>
                </c:pt>
                <c:pt idx="602">
                  <c:v>MAY.24</c:v>
                </c:pt>
                <c:pt idx="603">
                  <c:v>MAY.24</c:v>
                </c:pt>
                <c:pt idx="604">
                  <c:v>MAY.24</c:v>
                </c:pt>
                <c:pt idx="605">
                  <c:v>MAY.24</c:v>
                </c:pt>
                <c:pt idx="606">
                  <c:v>MAY.24</c:v>
                </c:pt>
                <c:pt idx="607">
                  <c:v>MAY.24</c:v>
                </c:pt>
                <c:pt idx="608">
                  <c:v>MAY.24</c:v>
                </c:pt>
                <c:pt idx="609">
                  <c:v>MAY.24</c:v>
                </c:pt>
                <c:pt idx="610">
                  <c:v>MAY.24</c:v>
                </c:pt>
                <c:pt idx="611">
                  <c:v>MAY.24</c:v>
                </c:pt>
                <c:pt idx="612">
                  <c:v>MAY.24</c:v>
                </c:pt>
                <c:pt idx="613">
                  <c:v>MAY.24</c:v>
                </c:pt>
                <c:pt idx="614">
                  <c:v>MAY.24</c:v>
                </c:pt>
                <c:pt idx="615">
                  <c:v>MAY.24</c:v>
                </c:pt>
                <c:pt idx="616">
                  <c:v>MAY.24</c:v>
                </c:pt>
                <c:pt idx="617">
                  <c:v>MAY.24</c:v>
                </c:pt>
                <c:pt idx="618">
                  <c:v>MAY.24</c:v>
                </c:pt>
                <c:pt idx="619">
                  <c:v>MAY.24</c:v>
                </c:pt>
                <c:pt idx="620">
                  <c:v>MAY.24</c:v>
                </c:pt>
                <c:pt idx="621">
                  <c:v>MAY.24</c:v>
                </c:pt>
                <c:pt idx="622">
                  <c:v>MAY.24</c:v>
                </c:pt>
                <c:pt idx="623">
                  <c:v>MAY.24</c:v>
                </c:pt>
                <c:pt idx="624">
                  <c:v>MAY.24</c:v>
                </c:pt>
                <c:pt idx="625">
                  <c:v>MAY.24</c:v>
                </c:pt>
                <c:pt idx="626">
                  <c:v>MAY.24</c:v>
                </c:pt>
                <c:pt idx="627">
                  <c:v>MAY.24</c:v>
                </c:pt>
                <c:pt idx="628">
                  <c:v>MAY.24</c:v>
                </c:pt>
                <c:pt idx="629">
                  <c:v>MAY.24</c:v>
                </c:pt>
                <c:pt idx="630">
                  <c:v>MAY.24</c:v>
                </c:pt>
                <c:pt idx="631">
                  <c:v>MAY.24</c:v>
                </c:pt>
                <c:pt idx="632">
                  <c:v>MAY.24</c:v>
                </c:pt>
                <c:pt idx="633">
                  <c:v>MAY.24</c:v>
                </c:pt>
                <c:pt idx="634">
                  <c:v>MAY.24</c:v>
                </c:pt>
                <c:pt idx="635">
                  <c:v>MAY.24</c:v>
                </c:pt>
                <c:pt idx="636">
                  <c:v>MAY.24</c:v>
                </c:pt>
                <c:pt idx="637">
                  <c:v>MAY.24</c:v>
                </c:pt>
                <c:pt idx="638">
                  <c:v>MAY.24</c:v>
                </c:pt>
                <c:pt idx="639">
                  <c:v>MAY.24</c:v>
                </c:pt>
                <c:pt idx="640">
                  <c:v>MAY.24</c:v>
                </c:pt>
                <c:pt idx="641">
                  <c:v>MAY.24</c:v>
                </c:pt>
                <c:pt idx="642">
                  <c:v>MAY.24</c:v>
                </c:pt>
                <c:pt idx="643">
                  <c:v>MAY.24</c:v>
                </c:pt>
                <c:pt idx="644">
                  <c:v>MAY.24</c:v>
                </c:pt>
                <c:pt idx="645">
                  <c:v>MAY.24</c:v>
                </c:pt>
                <c:pt idx="646">
                  <c:v>MAY.24</c:v>
                </c:pt>
                <c:pt idx="647">
                  <c:v>MAY.24</c:v>
                </c:pt>
                <c:pt idx="648">
                  <c:v>MAY.24</c:v>
                </c:pt>
                <c:pt idx="649">
                  <c:v>MAY.24</c:v>
                </c:pt>
                <c:pt idx="650">
                  <c:v>MAY.24</c:v>
                </c:pt>
                <c:pt idx="651">
                  <c:v>MAY.24</c:v>
                </c:pt>
                <c:pt idx="652">
                  <c:v>MAY.24</c:v>
                </c:pt>
                <c:pt idx="653">
                  <c:v>MAY.24</c:v>
                </c:pt>
                <c:pt idx="654">
                  <c:v>MAY.24</c:v>
                </c:pt>
                <c:pt idx="655">
                  <c:v>MAY.24</c:v>
                </c:pt>
                <c:pt idx="656">
                  <c:v>MAY.24</c:v>
                </c:pt>
                <c:pt idx="657">
                  <c:v>MAY.24</c:v>
                </c:pt>
                <c:pt idx="658">
                  <c:v>MAY.24</c:v>
                </c:pt>
                <c:pt idx="659">
                  <c:v>MAY.24</c:v>
                </c:pt>
                <c:pt idx="660">
                  <c:v>MAY.24</c:v>
                </c:pt>
                <c:pt idx="661">
                  <c:v>MAY.24</c:v>
                </c:pt>
                <c:pt idx="662">
                  <c:v>MAY.24</c:v>
                </c:pt>
                <c:pt idx="663">
                  <c:v>MAY.24</c:v>
                </c:pt>
                <c:pt idx="664">
                  <c:v>MAY.24</c:v>
                </c:pt>
                <c:pt idx="665">
                  <c:v>MAY.24</c:v>
                </c:pt>
                <c:pt idx="666">
                  <c:v>MAY.24</c:v>
                </c:pt>
                <c:pt idx="667">
                  <c:v>MAY.24</c:v>
                </c:pt>
                <c:pt idx="668">
                  <c:v>MAY.24</c:v>
                </c:pt>
                <c:pt idx="669">
                  <c:v>MAY.24</c:v>
                </c:pt>
                <c:pt idx="670">
                  <c:v>MAY.24</c:v>
                </c:pt>
                <c:pt idx="671">
                  <c:v>MAY.24</c:v>
                </c:pt>
                <c:pt idx="672">
                  <c:v>MAY.24</c:v>
                </c:pt>
                <c:pt idx="673">
                  <c:v>MAY.24</c:v>
                </c:pt>
                <c:pt idx="674">
                  <c:v>MAY.24</c:v>
                </c:pt>
                <c:pt idx="675">
                  <c:v>MAY.24</c:v>
                </c:pt>
                <c:pt idx="676">
                  <c:v>MAY.24</c:v>
                </c:pt>
                <c:pt idx="677">
                  <c:v>MAY.24</c:v>
                </c:pt>
                <c:pt idx="678">
                  <c:v>MAY.24</c:v>
                </c:pt>
                <c:pt idx="679">
                  <c:v>MAY.24</c:v>
                </c:pt>
                <c:pt idx="680">
                  <c:v>MAY.24</c:v>
                </c:pt>
                <c:pt idx="681">
                  <c:v>MAY.24 after disaster</c:v>
                </c:pt>
                <c:pt idx="682">
                  <c:v>MAY.24</c:v>
                </c:pt>
                <c:pt idx="683">
                  <c:v>MAY.24</c:v>
                </c:pt>
                <c:pt idx="684">
                  <c:v>MAY.24</c:v>
                </c:pt>
                <c:pt idx="685">
                  <c:v>MAY.24</c:v>
                </c:pt>
                <c:pt idx="686">
                  <c:v>MAY.24</c:v>
                </c:pt>
                <c:pt idx="687">
                  <c:v>MAY.24</c:v>
                </c:pt>
                <c:pt idx="688">
                  <c:v>MAY.24</c:v>
                </c:pt>
                <c:pt idx="689">
                  <c:v>MAY.24</c:v>
                </c:pt>
                <c:pt idx="690">
                  <c:v>MAY.24</c:v>
                </c:pt>
                <c:pt idx="691">
                  <c:v>MAY.24</c:v>
                </c:pt>
                <c:pt idx="692">
                  <c:v>MAY.24</c:v>
                </c:pt>
                <c:pt idx="693">
                  <c:v>MAY.24</c:v>
                </c:pt>
                <c:pt idx="694">
                  <c:v>MAY.24</c:v>
                </c:pt>
                <c:pt idx="695">
                  <c:v>MAY.24</c:v>
                </c:pt>
                <c:pt idx="696">
                  <c:v>MAY.24 recovery</c:v>
                </c:pt>
                <c:pt idx="697">
                  <c:v>MAY.24</c:v>
                </c:pt>
                <c:pt idx="698">
                  <c:v>MAY.24</c:v>
                </c:pt>
                <c:pt idx="699">
                  <c:v>MAY.24</c:v>
                </c:pt>
                <c:pt idx="700">
                  <c:v>MAY.24</c:v>
                </c:pt>
                <c:pt idx="701">
                  <c:v>MAY.24</c:v>
                </c:pt>
                <c:pt idx="702">
                  <c:v>MAY.24</c:v>
                </c:pt>
                <c:pt idx="703">
                  <c:v>MAY.24</c:v>
                </c:pt>
                <c:pt idx="704">
                  <c:v>MAY.24</c:v>
                </c:pt>
                <c:pt idx="705">
                  <c:v>MAY.24</c:v>
                </c:pt>
                <c:pt idx="706">
                  <c:v>MAY.24</c:v>
                </c:pt>
                <c:pt idx="707">
                  <c:v>MAY.24</c:v>
                </c:pt>
                <c:pt idx="708">
                  <c:v>MAY.24</c:v>
                </c:pt>
                <c:pt idx="709">
                  <c:v>MAY.24</c:v>
                </c:pt>
                <c:pt idx="710">
                  <c:v>MAY.24</c:v>
                </c:pt>
                <c:pt idx="711">
                  <c:v>MAY.24</c:v>
                </c:pt>
                <c:pt idx="712">
                  <c:v>MAY.24</c:v>
                </c:pt>
                <c:pt idx="713">
                  <c:v>MAY.24</c:v>
                </c:pt>
                <c:pt idx="714">
                  <c:v>MAY.24</c:v>
                </c:pt>
                <c:pt idx="715">
                  <c:v>MAY.24</c:v>
                </c:pt>
                <c:pt idx="716">
                  <c:v>MAY.24</c:v>
                </c:pt>
                <c:pt idx="717">
                  <c:v>MAY.24</c:v>
                </c:pt>
                <c:pt idx="718">
                  <c:v>MAY.24</c:v>
                </c:pt>
                <c:pt idx="719">
                  <c:v>MAY.24</c:v>
                </c:pt>
                <c:pt idx="720">
                  <c:v>MAY.24</c:v>
                </c:pt>
                <c:pt idx="721">
                  <c:v>MAY.24</c:v>
                </c:pt>
                <c:pt idx="722">
                  <c:v>MAY.24</c:v>
                </c:pt>
                <c:pt idx="723">
                  <c:v>MAY.24</c:v>
                </c:pt>
                <c:pt idx="724">
                  <c:v>MAY.24</c:v>
                </c:pt>
                <c:pt idx="725">
                  <c:v>MAY.24</c:v>
                </c:pt>
                <c:pt idx="726">
                  <c:v>MAY.24</c:v>
                </c:pt>
                <c:pt idx="727">
                  <c:v>MAY.24</c:v>
                </c:pt>
                <c:pt idx="728">
                  <c:v>MAY.24</c:v>
                </c:pt>
                <c:pt idx="729">
                  <c:v>MAY.24</c:v>
                </c:pt>
                <c:pt idx="730">
                  <c:v>MAY.24</c:v>
                </c:pt>
                <c:pt idx="731">
                  <c:v>June24 live</c:v>
                </c:pt>
                <c:pt idx="732">
                  <c:v>JUN.24</c:v>
                </c:pt>
                <c:pt idx="733">
                  <c:v>JUN.24</c:v>
                </c:pt>
                <c:pt idx="734">
                  <c:v>JUN.24</c:v>
                </c:pt>
                <c:pt idx="735">
                  <c:v>JUN.24</c:v>
                </c:pt>
                <c:pt idx="736">
                  <c:v>JUN.24</c:v>
                </c:pt>
                <c:pt idx="737">
                  <c:v>JUN.24</c:v>
                </c:pt>
                <c:pt idx="738">
                  <c:v>JUN.24</c:v>
                </c:pt>
                <c:pt idx="739">
                  <c:v>JUN.24</c:v>
                </c:pt>
                <c:pt idx="740">
                  <c:v>JUN.24</c:v>
                </c:pt>
                <c:pt idx="741">
                  <c:v>JUN.24</c:v>
                </c:pt>
                <c:pt idx="742">
                  <c:v>JUN.24</c:v>
                </c:pt>
                <c:pt idx="743">
                  <c:v>JUN.24</c:v>
                </c:pt>
                <c:pt idx="744">
                  <c:v>JUN.24</c:v>
                </c:pt>
                <c:pt idx="745">
                  <c:v>JUN.24</c:v>
                </c:pt>
                <c:pt idx="746">
                  <c:v>JUN.24</c:v>
                </c:pt>
                <c:pt idx="747">
                  <c:v>JUN.24</c:v>
                </c:pt>
                <c:pt idx="748">
                  <c:v>JUN.24</c:v>
                </c:pt>
                <c:pt idx="749">
                  <c:v>JUN.24</c:v>
                </c:pt>
                <c:pt idx="750">
                  <c:v>JUN.24</c:v>
                </c:pt>
                <c:pt idx="751">
                  <c:v>JUN.24</c:v>
                </c:pt>
                <c:pt idx="752">
                  <c:v>JUN.24</c:v>
                </c:pt>
                <c:pt idx="753">
                  <c:v>JUN.24</c:v>
                </c:pt>
                <c:pt idx="754">
                  <c:v>JUN.24</c:v>
                </c:pt>
                <c:pt idx="755">
                  <c:v>JUN.24</c:v>
                </c:pt>
                <c:pt idx="756">
                  <c:v>JUN.24</c:v>
                </c:pt>
                <c:pt idx="757">
                  <c:v>JUN.24</c:v>
                </c:pt>
                <c:pt idx="758">
                  <c:v>JUN.24</c:v>
                </c:pt>
                <c:pt idx="759">
                  <c:v>JUN.24</c:v>
                </c:pt>
                <c:pt idx="760">
                  <c:v>JUN.24</c:v>
                </c:pt>
                <c:pt idx="761">
                  <c:v>JUN.24</c:v>
                </c:pt>
                <c:pt idx="762">
                  <c:v>JUN.24</c:v>
                </c:pt>
                <c:pt idx="763">
                  <c:v>JUN.24</c:v>
                </c:pt>
                <c:pt idx="764">
                  <c:v>JUN.24</c:v>
                </c:pt>
                <c:pt idx="765">
                  <c:v>JUN.24</c:v>
                </c:pt>
                <c:pt idx="766">
                  <c:v>JUN.24</c:v>
                </c:pt>
                <c:pt idx="767">
                  <c:v>JUN.24</c:v>
                </c:pt>
                <c:pt idx="768">
                  <c:v>JUN.24</c:v>
                </c:pt>
                <c:pt idx="769">
                  <c:v>JUN.24</c:v>
                </c:pt>
                <c:pt idx="770">
                  <c:v>JUN.24</c:v>
                </c:pt>
                <c:pt idx="771">
                  <c:v>JUN.24</c:v>
                </c:pt>
                <c:pt idx="772">
                  <c:v>JUN.24</c:v>
                </c:pt>
                <c:pt idx="773">
                  <c:v>JUN.24</c:v>
                </c:pt>
                <c:pt idx="774">
                  <c:v>JUN.24</c:v>
                </c:pt>
                <c:pt idx="775">
                  <c:v>JUN.24</c:v>
                </c:pt>
                <c:pt idx="776">
                  <c:v>JUN.24</c:v>
                </c:pt>
                <c:pt idx="777">
                  <c:v>JUN.24</c:v>
                </c:pt>
                <c:pt idx="778">
                  <c:v>JUN.24</c:v>
                </c:pt>
                <c:pt idx="779">
                  <c:v>JUN.24</c:v>
                </c:pt>
                <c:pt idx="780">
                  <c:v>JUN.24</c:v>
                </c:pt>
                <c:pt idx="781">
                  <c:v>JUN.24</c:v>
                </c:pt>
                <c:pt idx="782">
                  <c:v>JUN.24</c:v>
                </c:pt>
                <c:pt idx="783">
                  <c:v>JUN.24</c:v>
                </c:pt>
                <c:pt idx="784">
                  <c:v>JUN.24</c:v>
                </c:pt>
                <c:pt idx="785">
                  <c:v>JUN.24</c:v>
                </c:pt>
                <c:pt idx="786">
                  <c:v>JUN.24</c:v>
                </c:pt>
                <c:pt idx="787">
                  <c:v>JUN.24</c:v>
                </c:pt>
                <c:pt idx="788">
                  <c:v>JUN.24</c:v>
                </c:pt>
                <c:pt idx="789">
                  <c:v>JUN.24</c:v>
                </c:pt>
                <c:pt idx="790">
                  <c:v>JUN.24</c:v>
                </c:pt>
                <c:pt idx="791">
                  <c:v>JUN.24</c:v>
                </c:pt>
                <c:pt idx="792">
                  <c:v>JUN.24</c:v>
                </c:pt>
                <c:pt idx="793">
                  <c:v>JUN.24</c:v>
                </c:pt>
                <c:pt idx="794">
                  <c:v>JUN.24</c:v>
                </c:pt>
                <c:pt idx="795">
                  <c:v>JUN.24</c:v>
                </c:pt>
                <c:pt idx="796">
                  <c:v>JUN.24</c:v>
                </c:pt>
                <c:pt idx="797">
                  <c:v>JUN.24</c:v>
                </c:pt>
                <c:pt idx="798">
                  <c:v>JUN.24</c:v>
                </c:pt>
                <c:pt idx="799">
                  <c:v>JUN.24</c:v>
                </c:pt>
                <c:pt idx="800">
                  <c:v>JUN.24</c:v>
                </c:pt>
                <c:pt idx="801">
                  <c:v>JUN.24</c:v>
                </c:pt>
                <c:pt idx="802">
                  <c:v>JUN.24</c:v>
                </c:pt>
                <c:pt idx="803">
                  <c:v>JUN.24</c:v>
                </c:pt>
                <c:pt idx="804">
                  <c:v>JUN.24</c:v>
                </c:pt>
                <c:pt idx="805">
                  <c:v>JUN.24</c:v>
                </c:pt>
                <c:pt idx="806">
                  <c:v>JUN.24</c:v>
                </c:pt>
                <c:pt idx="807">
                  <c:v>JUN.24</c:v>
                </c:pt>
                <c:pt idx="808">
                  <c:v>JUN.24</c:v>
                </c:pt>
                <c:pt idx="809">
                  <c:v>JUN.24</c:v>
                </c:pt>
                <c:pt idx="810">
                  <c:v>JUN.24</c:v>
                </c:pt>
                <c:pt idx="811">
                  <c:v>JUN.24</c:v>
                </c:pt>
                <c:pt idx="812">
                  <c:v>JUN.24</c:v>
                </c:pt>
                <c:pt idx="813">
                  <c:v>JUN.24</c:v>
                </c:pt>
                <c:pt idx="814">
                  <c:v>JUN.24</c:v>
                </c:pt>
                <c:pt idx="815">
                  <c:v>JUN.24</c:v>
                </c:pt>
                <c:pt idx="816">
                  <c:v>JUN.24</c:v>
                </c:pt>
                <c:pt idx="817">
                  <c:v>JUN.24</c:v>
                </c:pt>
                <c:pt idx="818">
                  <c:v>JUN.24</c:v>
                </c:pt>
                <c:pt idx="819">
                  <c:v>JUN.24</c:v>
                </c:pt>
                <c:pt idx="820">
                  <c:v>JUN.24</c:v>
                </c:pt>
                <c:pt idx="821">
                  <c:v>JUN.24</c:v>
                </c:pt>
                <c:pt idx="822">
                  <c:v>JUN.24</c:v>
                </c:pt>
                <c:pt idx="823">
                  <c:v>JUN.24</c:v>
                </c:pt>
                <c:pt idx="824">
                  <c:v>JUN.24</c:v>
                </c:pt>
                <c:pt idx="825">
                  <c:v>JUN.24</c:v>
                </c:pt>
                <c:pt idx="826">
                  <c:v>JUN.24</c:v>
                </c:pt>
                <c:pt idx="827">
                  <c:v>JUN.24</c:v>
                </c:pt>
                <c:pt idx="828">
                  <c:v>JUN.24</c:v>
                </c:pt>
                <c:pt idx="829">
                  <c:v>JUN.24</c:v>
                </c:pt>
                <c:pt idx="830">
                  <c:v>JUN.24</c:v>
                </c:pt>
                <c:pt idx="831">
                  <c:v>JUN.24</c:v>
                </c:pt>
                <c:pt idx="832">
                  <c:v>JUN.24</c:v>
                </c:pt>
                <c:pt idx="833">
                  <c:v>JUN.24</c:v>
                </c:pt>
                <c:pt idx="834">
                  <c:v>JUN.24</c:v>
                </c:pt>
                <c:pt idx="835">
                  <c:v>JUN.24</c:v>
                </c:pt>
                <c:pt idx="836">
                  <c:v>JUN.24</c:v>
                </c:pt>
                <c:pt idx="837">
                  <c:v>JUN.24</c:v>
                </c:pt>
                <c:pt idx="838">
                  <c:v>JUN.24</c:v>
                </c:pt>
                <c:pt idx="839">
                  <c:v>JUN.24</c:v>
                </c:pt>
                <c:pt idx="840">
                  <c:v>JUN.24</c:v>
                </c:pt>
                <c:pt idx="841">
                  <c:v>JUN.24</c:v>
                </c:pt>
                <c:pt idx="842">
                  <c:v>JUN.24</c:v>
                </c:pt>
                <c:pt idx="843">
                  <c:v>JUN.24</c:v>
                </c:pt>
                <c:pt idx="844">
                  <c:v>JUN.24</c:v>
                </c:pt>
                <c:pt idx="845">
                  <c:v>JUN.24</c:v>
                </c:pt>
                <c:pt idx="846">
                  <c:v>JUN.24</c:v>
                </c:pt>
                <c:pt idx="847">
                  <c:v>JUN.24</c:v>
                </c:pt>
                <c:pt idx="848">
                  <c:v>JUN.24</c:v>
                </c:pt>
                <c:pt idx="849">
                  <c:v>JUN.24</c:v>
                </c:pt>
                <c:pt idx="850">
                  <c:v>JUN.24</c:v>
                </c:pt>
                <c:pt idx="851">
                  <c:v>JUN.24</c:v>
                </c:pt>
                <c:pt idx="852">
                  <c:v>JUN.24</c:v>
                </c:pt>
                <c:pt idx="853">
                  <c:v>JUN.24</c:v>
                </c:pt>
                <c:pt idx="854">
                  <c:v>JUN.24</c:v>
                </c:pt>
                <c:pt idx="855">
                  <c:v>JUN.24</c:v>
                </c:pt>
                <c:pt idx="856">
                  <c:v>JUN.24</c:v>
                </c:pt>
                <c:pt idx="857">
                  <c:v>JUN.24</c:v>
                </c:pt>
                <c:pt idx="858">
                  <c:v>JUN.24</c:v>
                </c:pt>
                <c:pt idx="859">
                  <c:v>JUN.24</c:v>
                </c:pt>
                <c:pt idx="860">
                  <c:v>JUN.24</c:v>
                </c:pt>
                <c:pt idx="861">
                  <c:v>JUN.24</c:v>
                </c:pt>
                <c:pt idx="862">
                  <c:v>JUN.24</c:v>
                </c:pt>
                <c:pt idx="863">
                  <c:v>JUN.24</c:v>
                </c:pt>
                <c:pt idx="864">
                  <c:v>JUN.24</c:v>
                </c:pt>
                <c:pt idx="865">
                  <c:v>JUN.24</c:v>
                </c:pt>
                <c:pt idx="866">
                  <c:v>JUN.24</c:v>
                </c:pt>
                <c:pt idx="867">
                  <c:v>JUN.24</c:v>
                </c:pt>
                <c:pt idx="868">
                  <c:v>JUN.24</c:v>
                </c:pt>
                <c:pt idx="869">
                  <c:v>JUN.24</c:v>
                </c:pt>
                <c:pt idx="870">
                  <c:v>JUN.24</c:v>
                </c:pt>
                <c:pt idx="871">
                  <c:v>JUN.24</c:v>
                </c:pt>
                <c:pt idx="872">
                  <c:v>JUN.24</c:v>
                </c:pt>
                <c:pt idx="873">
                  <c:v>JUN.24</c:v>
                </c:pt>
                <c:pt idx="874">
                  <c:v>JUN.24</c:v>
                </c:pt>
                <c:pt idx="875">
                  <c:v>JUN.24</c:v>
                </c:pt>
                <c:pt idx="876">
                  <c:v>JUN.24</c:v>
                </c:pt>
                <c:pt idx="877">
                  <c:v>JUN.24</c:v>
                </c:pt>
                <c:pt idx="878">
                  <c:v>JUN.24</c:v>
                </c:pt>
                <c:pt idx="879">
                  <c:v>JUN.24 BLOWUP</c:v>
                </c:pt>
                <c:pt idx="880">
                  <c:v>JUN.24</c:v>
                </c:pt>
                <c:pt idx="881">
                  <c:v>JUN.24</c:v>
                </c:pt>
                <c:pt idx="882">
                  <c:v>JUN.24</c:v>
                </c:pt>
                <c:pt idx="883">
                  <c:v>JUN.24</c:v>
                </c:pt>
                <c:pt idx="884">
                  <c:v>JUN.24</c:v>
                </c:pt>
                <c:pt idx="885">
                  <c:v>JUN.24</c:v>
                </c:pt>
                <c:pt idx="886">
                  <c:v>JUN.24</c:v>
                </c:pt>
                <c:pt idx="887">
                  <c:v>JUN.24</c:v>
                </c:pt>
                <c:pt idx="888">
                  <c:v>July24 live (R+1) | REDUCE INTRADAY &gt;1D TRADES</c:v>
                </c:pt>
                <c:pt idx="889">
                  <c:v>JUL.24</c:v>
                </c:pt>
                <c:pt idx="890">
                  <c:v>JUL.24</c:v>
                </c:pt>
                <c:pt idx="891">
                  <c:v>JUL.24</c:v>
                </c:pt>
                <c:pt idx="892">
                  <c:v>JUL.24</c:v>
                </c:pt>
                <c:pt idx="893">
                  <c:v>JUL.24</c:v>
                </c:pt>
                <c:pt idx="894">
                  <c:v>JUL.24</c:v>
                </c:pt>
                <c:pt idx="895">
                  <c:v>JUL.24</c:v>
                </c:pt>
                <c:pt idx="896">
                  <c:v>JUL.24</c:v>
                </c:pt>
                <c:pt idx="897">
                  <c:v>JUL.24</c:v>
                </c:pt>
                <c:pt idx="898">
                  <c:v>JUL.24</c:v>
                </c:pt>
                <c:pt idx="899">
                  <c:v>JUL.24</c:v>
                </c:pt>
                <c:pt idx="900">
                  <c:v>JUL.24</c:v>
                </c:pt>
                <c:pt idx="901">
                  <c:v>JUL.24</c:v>
                </c:pt>
                <c:pt idx="902">
                  <c:v>JUL.24</c:v>
                </c:pt>
                <c:pt idx="903">
                  <c:v>JUL.24</c:v>
                </c:pt>
                <c:pt idx="904">
                  <c:v>JUL.24</c:v>
                </c:pt>
                <c:pt idx="905">
                  <c:v>JUL.24</c:v>
                </c:pt>
                <c:pt idx="906">
                  <c:v>JUL.24</c:v>
                </c:pt>
                <c:pt idx="907">
                  <c:v>JUL.24</c:v>
                </c:pt>
                <c:pt idx="908">
                  <c:v>JUL.24</c:v>
                </c:pt>
                <c:pt idx="909">
                  <c:v>JUL.24</c:v>
                </c:pt>
                <c:pt idx="910">
                  <c:v>JUL.24</c:v>
                </c:pt>
                <c:pt idx="911">
                  <c:v>JUL.24</c:v>
                </c:pt>
                <c:pt idx="912">
                  <c:v>JUL.24</c:v>
                </c:pt>
                <c:pt idx="913">
                  <c:v>JUL.24</c:v>
                </c:pt>
                <c:pt idx="914">
                  <c:v>JUL.24</c:v>
                </c:pt>
                <c:pt idx="915">
                  <c:v>JUL.24</c:v>
                </c:pt>
                <c:pt idx="916">
                  <c:v>JUL.24</c:v>
                </c:pt>
                <c:pt idx="917">
                  <c:v>JUL.24</c:v>
                </c:pt>
                <c:pt idx="918">
                  <c:v>JUL.24</c:v>
                </c:pt>
                <c:pt idx="919">
                  <c:v>JUL.24</c:v>
                </c:pt>
                <c:pt idx="920">
                  <c:v>JUL.24</c:v>
                </c:pt>
                <c:pt idx="921">
                  <c:v>JUL.24</c:v>
                </c:pt>
                <c:pt idx="922">
                  <c:v>JUL.24</c:v>
                </c:pt>
                <c:pt idx="923">
                  <c:v>JUL.24</c:v>
                </c:pt>
                <c:pt idx="924">
                  <c:v>JUL.24</c:v>
                </c:pt>
                <c:pt idx="925">
                  <c:v>JUL.24</c:v>
                </c:pt>
                <c:pt idx="926">
                  <c:v>JUL.24</c:v>
                </c:pt>
                <c:pt idx="927">
                  <c:v>JUL.24</c:v>
                </c:pt>
                <c:pt idx="928">
                  <c:v>JUL.24</c:v>
                </c:pt>
                <c:pt idx="929">
                  <c:v>JUL.24</c:v>
                </c:pt>
                <c:pt idx="930">
                  <c:v>JUL.24</c:v>
                </c:pt>
                <c:pt idx="931">
                  <c:v>JUL.24</c:v>
                </c:pt>
                <c:pt idx="932">
                  <c:v>JUL.24</c:v>
                </c:pt>
                <c:pt idx="933">
                  <c:v>JUL.24</c:v>
                </c:pt>
                <c:pt idx="934">
                  <c:v>JUL.24</c:v>
                </c:pt>
                <c:pt idx="935">
                  <c:v>JUL.24</c:v>
                </c:pt>
                <c:pt idx="936">
                  <c:v>JUL.24</c:v>
                </c:pt>
                <c:pt idx="937">
                  <c:v>JUL.24</c:v>
                </c:pt>
                <c:pt idx="938">
                  <c:v>JUL.24</c:v>
                </c:pt>
                <c:pt idx="939">
                  <c:v>JUL.24</c:v>
                </c:pt>
                <c:pt idx="940">
                  <c:v>JUL.24</c:v>
                </c:pt>
                <c:pt idx="941">
                  <c:v>JUL.24</c:v>
                </c:pt>
                <c:pt idx="942">
                  <c:v>JUL.24</c:v>
                </c:pt>
                <c:pt idx="943">
                  <c:v>JUL.24</c:v>
                </c:pt>
                <c:pt idx="944">
                  <c:v>JUL.24</c:v>
                </c:pt>
                <c:pt idx="945">
                  <c:v>JUL.24</c:v>
                </c:pt>
                <c:pt idx="946">
                  <c:v>JUL.24</c:v>
                </c:pt>
                <c:pt idx="947">
                  <c:v>JUL.24</c:v>
                </c:pt>
                <c:pt idx="948">
                  <c:v>JUL.24</c:v>
                </c:pt>
                <c:pt idx="949">
                  <c:v>JUL.24</c:v>
                </c:pt>
                <c:pt idx="950">
                  <c:v>JUL.24</c:v>
                </c:pt>
                <c:pt idx="951">
                  <c:v>JUL.24</c:v>
                </c:pt>
                <c:pt idx="952">
                  <c:v>JUL.24</c:v>
                </c:pt>
                <c:pt idx="953">
                  <c:v>JUL.24</c:v>
                </c:pt>
                <c:pt idx="954">
                  <c:v>JUL.24</c:v>
                </c:pt>
                <c:pt idx="955">
                  <c:v>JUL.24</c:v>
                </c:pt>
                <c:pt idx="956">
                  <c:v>JUL.24</c:v>
                </c:pt>
                <c:pt idx="957">
                  <c:v>JUL.24</c:v>
                </c:pt>
                <c:pt idx="958">
                  <c:v>JUL.24</c:v>
                </c:pt>
                <c:pt idx="959">
                  <c:v>JUL.24</c:v>
                </c:pt>
                <c:pt idx="960">
                  <c:v>JUL.24</c:v>
                </c:pt>
                <c:pt idx="961">
                  <c:v>JUL.24</c:v>
                </c:pt>
                <c:pt idx="962">
                  <c:v>JUL.24</c:v>
                </c:pt>
                <c:pt idx="963">
                  <c:v>JUL.24</c:v>
                </c:pt>
                <c:pt idx="964">
                  <c:v>JUL.24</c:v>
                </c:pt>
                <c:pt idx="965">
                  <c:v>JUL.24</c:v>
                </c:pt>
                <c:pt idx="966">
                  <c:v>JUL.24</c:v>
                </c:pt>
                <c:pt idx="967">
                  <c:v>JUL.24</c:v>
                </c:pt>
                <c:pt idx="968">
                  <c:v>JUL.24</c:v>
                </c:pt>
                <c:pt idx="969">
                  <c:v>JUL.24</c:v>
                </c:pt>
                <c:pt idx="970">
                  <c:v>JUL.24</c:v>
                </c:pt>
                <c:pt idx="971">
                  <c:v>JUL.24</c:v>
                </c:pt>
                <c:pt idx="972">
                  <c:v>JUL.24</c:v>
                </c:pt>
                <c:pt idx="973">
                  <c:v>JUL.24</c:v>
                </c:pt>
                <c:pt idx="974">
                  <c:v>JUL.24</c:v>
                </c:pt>
                <c:pt idx="975">
                  <c:v>JUL.24</c:v>
                </c:pt>
                <c:pt idx="976">
                  <c:v>JUL.24</c:v>
                </c:pt>
                <c:pt idx="977">
                  <c:v>JUL.24</c:v>
                </c:pt>
                <c:pt idx="978">
                  <c:v>JUL.24</c:v>
                </c:pt>
                <c:pt idx="979">
                  <c:v>JUL.24</c:v>
                </c:pt>
                <c:pt idx="980">
                  <c:v>JUL.24</c:v>
                </c:pt>
                <c:pt idx="981">
                  <c:v>JUL.24</c:v>
                </c:pt>
                <c:pt idx="982">
                  <c:v>JUL.24</c:v>
                </c:pt>
                <c:pt idx="983">
                  <c:v>JUL.24</c:v>
                </c:pt>
                <c:pt idx="984">
                  <c:v>JUL.24</c:v>
                </c:pt>
                <c:pt idx="985">
                  <c:v>JUL.24</c:v>
                </c:pt>
                <c:pt idx="986">
                  <c:v>JUL.24</c:v>
                </c:pt>
                <c:pt idx="987">
                  <c:v>JUL.24</c:v>
                </c:pt>
                <c:pt idx="988">
                  <c:v>JUL.24</c:v>
                </c:pt>
                <c:pt idx="989">
                  <c:v>August24 live (R-1) | REDUCE LOT SIZING 2ND HALF AND ONLY EXITS IN 2ND HALF</c:v>
                </c:pt>
                <c:pt idx="990">
                  <c:v>AUG.24</c:v>
                </c:pt>
                <c:pt idx="991">
                  <c:v>AUG.24</c:v>
                </c:pt>
                <c:pt idx="992">
                  <c:v>AUG.24.II</c:v>
                </c:pt>
                <c:pt idx="993">
                  <c:v>AUG.24</c:v>
                </c:pt>
                <c:pt idx="994">
                  <c:v>AUG.24</c:v>
                </c:pt>
                <c:pt idx="995">
                  <c:v>AUG.24</c:v>
                </c:pt>
                <c:pt idx="996">
                  <c:v>AUG.24</c:v>
                </c:pt>
                <c:pt idx="997">
                  <c:v>AUG.24</c:v>
                </c:pt>
                <c:pt idx="998">
                  <c:v>AUG.24</c:v>
                </c:pt>
                <c:pt idx="999">
                  <c:v>AUG.24</c:v>
                </c:pt>
                <c:pt idx="1000">
                  <c:v>AUG.24</c:v>
                </c:pt>
                <c:pt idx="1001">
                  <c:v>AUG.24.II</c:v>
                </c:pt>
                <c:pt idx="1002">
                  <c:v>AUG.24.II</c:v>
                </c:pt>
                <c:pt idx="1003">
                  <c:v>AUG.24</c:v>
                </c:pt>
                <c:pt idx="1004">
                  <c:v>AUG.24</c:v>
                </c:pt>
                <c:pt idx="1005">
                  <c:v>AUG.24</c:v>
                </c:pt>
                <c:pt idx="1006">
                  <c:v>AUG.24.II</c:v>
                </c:pt>
                <c:pt idx="1007">
                  <c:v>AUG.24.II</c:v>
                </c:pt>
                <c:pt idx="1008">
                  <c:v>AUG.24</c:v>
                </c:pt>
                <c:pt idx="1009">
                  <c:v>AUG.24</c:v>
                </c:pt>
                <c:pt idx="1010">
                  <c:v>AUG.24</c:v>
                </c:pt>
                <c:pt idx="1011">
                  <c:v>AUG.24</c:v>
                </c:pt>
                <c:pt idx="1012">
                  <c:v>AUG.24</c:v>
                </c:pt>
                <c:pt idx="1013">
                  <c:v>AUG.24</c:v>
                </c:pt>
                <c:pt idx="1014">
                  <c:v>AUG.24</c:v>
                </c:pt>
                <c:pt idx="1015">
                  <c:v>AUG.24</c:v>
                </c:pt>
                <c:pt idx="1016">
                  <c:v>AUG.24</c:v>
                </c:pt>
                <c:pt idx="1017">
                  <c:v>AUG.24</c:v>
                </c:pt>
                <c:pt idx="1018">
                  <c:v>AUG.24</c:v>
                </c:pt>
                <c:pt idx="1019">
                  <c:v>AUG.24</c:v>
                </c:pt>
                <c:pt idx="1020">
                  <c:v>AUG.24</c:v>
                </c:pt>
                <c:pt idx="1021">
                  <c:v>AUG.24</c:v>
                </c:pt>
                <c:pt idx="1022">
                  <c:v>AUG.24</c:v>
                </c:pt>
                <c:pt idx="1023">
                  <c:v>AUG.24</c:v>
                </c:pt>
                <c:pt idx="1024">
                  <c:v>AUG.24</c:v>
                </c:pt>
                <c:pt idx="1025">
                  <c:v>AUG.24</c:v>
                </c:pt>
                <c:pt idx="1026">
                  <c:v>AUG.24</c:v>
                </c:pt>
                <c:pt idx="1027">
                  <c:v>AUG.24.II</c:v>
                </c:pt>
                <c:pt idx="1028">
                  <c:v>AUG.24</c:v>
                </c:pt>
                <c:pt idx="1029">
                  <c:v>AUG.24</c:v>
                </c:pt>
                <c:pt idx="1030">
                  <c:v>AUG.24</c:v>
                </c:pt>
                <c:pt idx="1031">
                  <c:v>AUG.24</c:v>
                </c:pt>
                <c:pt idx="1032">
                  <c:v>AUG.24</c:v>
                </c:pt>
                <c:pt idx="1033">
                  <c:v>AUG.24</c:v>
                </c:pt>
                <c:pt idx="1034">
                  <c:v>AUG.24</c:v>
                </c:pt>
                <c:pt idx="1035">
                  <c:v>AUG.24</c:v>
                </c:pt>
                <c:pt idx="1036">
                  <c:v>AUG.24</c:v>
                </c:pt>
                <c:pt idx="1037">
                  <c:v>AUG.24</c:v>
                </c:pt>
                <c:pt idx="1038">
                  <c:v>AUG.24</c:v>
                </c:pt>
                <c:pt idx="1039">
                  <c:v>AUG.24</c:v>
                </c:pt>
                <c:pt idx="1040">
                  <c:v>AUG.24</c:v>
                </c:pt>
                <c:pt idx="1041">
                  <c:v>AUG.24</c:v>
                </c:pt>
                <c:pt idx="1042">
                  <c:v>AUG.24</c:v>
                </c:pt>
                <c:pt idx="1043">
                  <c:v>AUG.24</c:v>
                </c:pt>
                <c:pt idx="1044">
                  <c:v>AUG.24</c:v>
                </c:pt>
                <c:pt idx="1045">
                  <c:v>AUG.24</c:v>
                </c:pt>
                <c:pt idx="1046">
                  <c:v>AUG.24</c:v>
                </c:pt>
                <c:pt idx="1047">
                  <c:v>AUG.24</c:v>
                </c:pt>
                <c:pt idx="1048">
                  <c:v>AUG.24</c:v>
                </c:pt>
                <c:pt idx="1049">
                  <c:v>AUG.24</c:v>
                </c:pt>
                <c:pt idx="1050">
                  <c:v>AUG.24</c:v>
                </c:pt>
                <c:pt idx="1051">
                  <c:v>AUG.24</c:v>
                </c:pt>
                <c:pt idx="1052">
                  <c:v>AUG.24</c:v>
                </c:pt>
                <c:pt idx="1053">
                  <c:v>AUG.24</c:v>
                </c:pt>
                <c:pt idx="1054">
                  <c:v>AUG.24</c:v>
                </c:pt>
                <c:pt idx="1055">
                  <c:v>AUG.24</c:v>
                </c:pt>
                <c:pt idx="1056">
                  <c:v>AUG.24</c:v>
                </c:pt>
                <c:pt idx="1057">
                  <c:v>AUG.24</c:v>
                </c:pt>
                <c:pt idx="1058">
                  <c:v>AUG.24</c:v>
                </c:pt>
                <c:pt idx="1059">
                  <c:v>AUG.24</c:v>
                </c:pt>
                <c:pt idx="1060">
                  <c:v>AUG.24</c:v>
                </c:pt>
                <c:pt idx="1061">
                  <c:v>AUG.24</c:v>
                </c:pt>
                <c:pt idx="1062">
                  <c:v>AUG.24</c:v>
                </c:pt>
                <c:pt idx="1063">
                  <c:v>AUG.24</c:v>
                </c:pt>
                <c:pt idx="1064">
                  <c:v>AUG.24</c:v>
                </c:pt>
                <c:pt idx="1065">
                  <c:v>AUG.24</c:v>
                </c:pt>
                <c:pt idx="1066">
                  <c:v>AUG.24</c:v>
                </c:pt>
                <c:pt idx="1067">
                  <c:v>AUG.24</c:v>
                </c:pt>
                <c:pt idx="1068">
                  <c:v>AUG.24</c:v>
                </c:pt>
                <c:pt idx="1069">
                  <c:v>AUG.24</c:v>
                </c:pt>
                <c:pt idx="1070">
                  <c:v>AUG.24</c:v>
                </c:pt>
                <c:pt idx="1071">
                  <c:v>AUG.24</c:v>
                </c:pt>
                <c:pt idx="1072">
                  <c:v>AUG.24</c:v>
                </c:pt>
                <c:pt idx="1073">
                  <c:v>AUG.24</c:v>
                </c:pt>
                <c:pt idx="1074">
                  <c:v>AUG.24</c:v>
                </c:pt>
                <c:pt idx="1075">
                  <c:v>AUG.24</c:v>
                </c:pt>
                <c:pt idx="1076">
                  <c:v>AUG.24</c:v>
                </c:pt>
                <c:pt idx="1077">
                  <c:v>AUG.24</c:v>
                </c:pt>
                <c:pt idx="1078">
                  <c:v>AUG.24</c:v>
                </c:pt>
                <c:pt idx="1079">
                  <c:v>AUG.24</c:v>
                </c:pt>
                <c:pt idx="1080">
                  <c:v>AUG.24</c:v>
                </c:pt>
                <c:pt idx="1081">
                  <c:v>AUG.24</c:v>
                </c:pt>
                <c:pt idx="1082">
                  <c:v>AUG.24</c:v>
                </c:pt>
                <c:pt idx="1083">
                  <c:v>AUG.24</c:v>
                </c:pt>
                <c:pt idx="1084">
                  <c:v>AUG.24</c:v>
                </c:pt>
                <c:pt idx="1085">
                  <c:v>AUG.24</c:v>
                </c:pt>
                <c:pt idx="1086">
                  <c:v>September24 live (R) | REDUCE LOT SIZING 1ST HALF, AVOID POSITIONAL </c:v>
                </c:pt>
                <c:pt idx="1087">
                  <c:v>SEP.24</c:v>
                </c:pt>
                <c:pt idx="1088">
                  <c:v>SEP.24</c:v>
                </c:pt>
                <c:pt idx="1089">
                  <c:v>SEP.24</c:v>
                </c:pt>
                <c:pt idx="1090">
                  <c:v>SEP.24</c:v>
                </c:pt>
                <c:pt idx="1091">
                  <c:v>SEP.24</c:v>
                </c:pt>
                <c:pt idx="1092">
                  <c:v>SEP.24</c:v>
                </c:pt>
                <c:pt idx="1093">
                  <c:v>SEP.24</c:v>
                </c:pt>
                <c:pt idx="1094">
                  <c:v>SEP.24</c:v>
                </c:pt>
                <c:pt idx="1095">
                  <c:v>SEP.24</c:v>
                </c:pt>
                <c:pt idx="1096">
                  <c:v>SEP.24</c:v>
                </c:pt>
                <c:pt idx="1097">
                  <c:v>SEP.24</c:v>
                </c:pt>
                <c:pt idx="1098">
                  <c:v>SEP.24</c:v>
                </c:pt>
                <c:pt idx="1099">
                  <c:v>SEP.24</c:v>
                </c:pt>
                <c:pt idx="1100">
                  <c:v>SEP.24</c:v>
                </c:pt>
                <c:pt idx="1101">
                  <c:v>SEP.24</c:v>
                </c:pt>
                <c:pt idx="1102">
                  <c:v>SEP.24</c:v>
                </c:pt>
                <c:pt idx="1103">
                  <c:v>SEP.24</c:v>
                </c:pt>
                <c:pt idx="1104">
                  <c:v>SEP.24</c:v>
                </c:pt>
                <c:pt idx="1105">
                  <c:v>SEP.24</c:v>
                </c:pt>
                <c:pt idx="1106">
                  <c:v>SEP.24</c:v>
                </c:pt>
                <c:pt idx="1107">
                  <c:v>SEP.24</c:v>
                </c:pt>
                <c:pt idx="1108">
                  <c:v>SEP.24</c:v>
                </c:pt>
                <c:pt idx="1109">
                  <c:v>SEP.24</c:v>
                </c:pt>
                <c:pt idx="1110">
                  <c:v>SEP.24</c:v>
                </c:pt>
                <c:pt idx="1111">
                  <c:v>SEP.24</c:v>
                </c:pt>
                <c:pt idx="1112">
                  <c:v>SEP.24</c:v>
                </c:pt>
                <c:pt idx="1113">
                  <c:v>SEP.24</c:v>
                </c:pt>
                <c:pt idx="1114">
                  <c:v>SEP.24</c:v>
                </c:pt>
                <c:pt idx="1115">
                  <c:v>SEP.24</c:v>
                </c:pt>
                <c:pt idx="1116">
                  <c:v>SEP.24</c:v>
                </c:pt>
                <c:pt idx="1117">
                  <c:v>SEP.24</c:v>
                </c:pt>
                <c:pt idx="1118">
                  <c:v>SEP.24</c:v>
                </c:pt>
                <c:pt idx="1119">
                  <c:v>SEP.24</c:v>
                </c:pt>
                <c:pt idx="1120">
                  <c:v>SEP.24</c:v>
                </c:pt>
                <c:pt idx="1121">
                  <c:v>SEP.24</c:v>
                </c:pt>
                <c:pt idx="1122">
                  <c:v>SEP.24</c:v>
                </c:pt>
                <c:pt idx="1123">
                  <c:v>SEP.24</c:v>
                </c:pt>
                <c:pt idx="1124">
                  <c:v>SEP.24</c:v>
                </c:pt>
                <c:pt idx="1125">
                  <c:v>October24 live (R+1) | REDUCE INTRADAY &gt;1D TRADES</c:v>
                </c:pt>
                <c:pt idx="1126">
                  <c:v>OCT.24</c:v>
                </c:pt>
                <c:pt idx="1127">
                  <c:v>OCT.24</c:v>
                </c:pt>
                <c:pt idx="1128">
                  <c:v>OCT.24</c:v>
                </c:pt>
                <c:pt idx="1129">
                  <c:v>OCT.24</c:v>
                </c:pt>
                <c:pt idx="1130">
                  <c:v>OCT.24</c:v>
                </c:pt>
                <c:pt idx="1131">
                  <c:v>OCT.24</c:v>
                </c:pt>
                <c:pt idx="1132">
                  <c:v>OCT.24</c:v>
                </c:pt>
                <c:pt idx="1133">
                  <c:v>OCT.24</c:v>
                </c:pt>
                <c:pt idx="1134">
                  <c:v>OCT.24</c:v>
                </c:pt>
                <c:pt idx="1135">
                  <c:v>OCT.24</c:v>
                </c:pt>
                <c:pt idx="1136">
                  <c:v>OCT.24</c:v>
                </c:pt>
                <c:pt idx="1137">
                  <c:v>OCT.24</c:v>
                </c:pt>
                <c:pt idx="1138">
                  <c:v>OCT.24</c:v>
                </c:pt>
                <c:pt idx="1139">
                  <c:v>OCT.24</c:v>
                </c:pt>
                <c:pt idx="1140">
                  <c:v>OCT.24</c:v>
                </c:pt>
                <c:pt idx="1141">
                  <c:v>OCT.24</c:v>
                </c:pt>
                <c:pt idx="1142">
                  <c:v>OCT.24</c:v>
                </c:pt>
                <c:pt idx="1143">
                  <c:v>OCT.24</c:v>
                </c:pt>
                <c:pt idx="1144">
                  <c:v>OCT.24</c:v>
                </c:pt>
                <c:pt idx="1145">
                  <c:v>OCT.24</c:v>
                </c:pt>
                <c:pt idx="1146">
                  <c:v>OCT.24</c:v>
                </c:pt>
                <c:pt idx="1147">
                  <c:v>OCT.24</c:v>
                </c:pt>
                <c:pt idx="1148">
                  <c:v>OCT.24</c:v>
                </c:pt>
                <c:pt idx="1149">
                  <c:v>OCT.24</c:v>
                </c:pt>
                <c:pt idx="1150">
                  <c:v>OCT.24</c:v>
                </c:pt>
                <c:pt idx="1151">
                  <c:v>OCT.24</c:v>
                </c:pt>
                <c:pt idx="1152">
                  <c:v>OCT.24</c:v>
                </c:pt>
                <c:pt idx="1153">
                  <c:v>OCT.24</c:v>
                </c:pt>
                <c:pt idx="1154">
                  <c:v>OCT.24</c:v>
                </c:pt>
                <c:pt idx="1155">
                  <c:v>OCT.24</c:v>
                </c:pt>
                <c:pt idx="1156">
                  <c:v>OCT.24</c:v>
                </c:pt>
                <c:pt idx="1157">
                  <c:v>OCT.24</c:v>
                </c:pt>
                <c:pt idx="1158">
                  <c:v>OCT.24</c:v>
                </c:pt>
                <c:pt idx="1159">
                  <c:v>OCT.24</c:v>
                </c:pt>
                <c:pt idx="1160">
                  <c:v>OCT.24</c:v>
                </c:pt>
                <c:pt idx="1161">
                  <c:v>OCT.24</c:v>
                </c:pt>
                <c:pt idx="1162">
                  <c:v>OCT.24</c:v>
                </c:pt>
                <c:pt idx="1163">
                  <c:v>OCT.24</c:v>
                </c:pt>
                <c:pt idx="1164">
                  <c:v>OCT.24</c:v>
                </c:pt>
                <c:pt idx="1165">
                  <c:v>OCT.24</c:v>
                </c:pt>
                <c:pt idx="1166">
                  <c:v>OCT.24</c:v>
                </c:pt>
                <c:pt idx="1167">
                  <c:v>OCT.24</c:v>
                </c:pt>
                <c:pt idx="1168">
                  <c:v>OCT.24</c:v>
                </c:pt>
                <c:pt idx="1169">
                  <c:v>OCT.24</c:v>
                </c:pt>
                <c:pt idx="1170">
                  <c:v>OCT.24</c:v>
                </c:pt>
                <c:pt idx="1171">
                  <c:v>OCT.24</c:v>
                </c:pt>
                <c:pt idx="1172">
                  <c:v>OCT.24</c:v>
                </c:pt>
                <c:pt idx="1173">
                  <c:v>OCT.24</c:v>
                </c:pt>
                <c:pt idx="1174">
                  <c:v>OCT.24</c:v>
                </c:pt>
                <c:pt idx="1175">
                  <c:v>OCT.24</c:v>
                </c:pt>
                <c:pt idx="1176">
                  <c:v>OCT.24</c:v>
                </c:pt>
                <c:pt idx="1177">
                  <c:v>OCT.24</c:v>
                </c:pt>
                <c:pt idx="1178">
                  <c:v>OCT.24</c:v>
                </c:pt>
                <c:pt idx="1179">
                  <c:v>OCT.24</c:v>
                </c:pt>
                <c:pt idx="1180">
                  <c:v>OCT.24</c:v>
                </c:pt>
                <c:pt idx="1181">
                  <c:v>OCT.24</c:v>
                </c:pt>
                <c:pt idx="1182">
                  <c:v>OCT.24</c:v>
                </c:pt>
                <c:pt idx="1183">
                  <c:v>OCT.24</c:v>
                </c:pt>
                <c:pt idx="1184">
                  <c:v>OCT.24</c:v>
                </c:pt>
                <c:pt idx="1185">
                  <c:v>OCT.24</c:v>
                </c:pt>
                <c:pt idx="1186">
                  <c:v>OCT.24</c:v>
                </c:pt>
                <c:pt idx="1187">
                  <c:v>OCT.24</c:v>
                </c:pt>
                <c:pt idx="1188">
                  <c:v>OCT.24</c:v>
                </c:pt>
                <c:pt idx="1189">
                  <c:v>OCT.24</c:v>
                </c:pt>
                <c:pt idx="1190">
                  <c:v>OCT.24</c:v>
                </c:pt>
                <c:pt idx="1191">
                  <c:v>OCT.24</c:v>
                </c:pt>
                <c:pt idx="1192">
                  <c:v>OCT.24</c:v>
                </c:pt>
                <c:pt idx="1193">
                  <c:v>OCT.24</c:v>
                </c:pt>
                <c:pt idx="1194">
                  <c:v>OCT.24</c:v>
                </c:pt>
                <c:pt idx="1195">
                  <c:v>OCT.24</c:v>
                </c:pt>
                <c:pt idx="1196">
                  <c:v>OCT.24</c:v>
                </c:pt>
                <c:pt idx="1197">
                  <c:v>OCT.24</c:v>
                </c:pt>
                <c:pt idx="1198">
                  <c:v>OCT.24</c:v>
                </c:pt>
                <c:pt idx="1199">
                  <c:v>OCT.24</c:v>
                </c:pt>
                <c:pt idx="1200">
                  <c:v>OCT.24</c:v>
                </c:pt>
                <c:pt idx="1201">
                  <c:v>OCT.24</c:v>
                </c:pt>
                <c:pt idx="1202">
                  <c:v>OCT.24</c:v>
                </c:pt>
                <c:pt idx="1203">
                  <c:v>OCT.24</c:v>
                </c:pt>
                <c:pt idx="1204">
                  <c:v>OCT.24</c:v>
                </c:pt>
                <c:pt idx="1205">
                  <c:v>OCT.24</c:v>
                </c:pt>
                <c:pt idx="1206">
                  <c:v>OCT.24</c:v>
                </c:pt>
                <c:pt idx="1207">
                  <c:v>OCT.24</c:v>
                </c:pt>
                <c:pt idx="1208">
                  <c:v>OCT.24</c:v>
                </c:pt>
                <c:pt idx="1209">
                  <c:v>OCT.24</c:v>
                </c:pt>
                <c:pt idx="1210">
                  <c:v>OCT.24</c:v>
                </c:pt>
                <c:pt idx="1211">
                  <c:v>OCT.24</c:v>
                </c:pt>
                <c:pt idx="1212">
                  <c:v>OCT.24</c:v>
                </c:pt>
                <c:pt idx="1213">
                  <c:v>OCT.24</c:v>
                </c:pt>
                <c:pt idx="1214">
                  <c:v>November24 live EPILOGUE 1</c:v>
                </c:pt>
                <c:pt idx="1215">
                  <c:v>NOV.24</c:v>
                </c:pt>
                <c:pt idx="1216">
                  <c:v>NOV.24</c:v>
                </c:pt>
                <c:pt idx="1217">
                  <c:v>NOV.24</c:v>
                </c:pt>
                <c:pt idx="1218">
                  <c:v>NOV.24</c:v>
                </c:pt>
                <c:pt idx="1219">
                  <c:v>NOV.24</c:v>
                </c:pt>
                <c:pt idx="1220">
                  <c:v>NOV.24</c:v>
                </c:pt>
                <c:pt idx="1221">
                  <c:v>NOV.24</c:v>
                </c:pt>
                <c:pt idx="1222">
                  <c:v>NOV.24</c:v>
                </c:pt>
                <c:pt idx="1223">
                  <c:v>NOV.24</c:v>
                </c:pt>
                <c:pt idx="1224">
                  <c:v>NOV.24</c:v>
                </c:pt>
                <c:pt idx="1225">
                  <c:v>NOV.24</c:v>
                </c:pt>
                <c:pt idx="1226">
                  <c:v>NOV.24</c:v>
                </c:pt>
                <c:pt idx="1227">
                  <c:v>NOV.24</c:v>
                </c:pt>
                <c:pt idx="1228">
                  <c:v>NOV.24</c:v>
                </c:pt>
                <c:pt idx="1229">
                  <c:v>NOV.24</c:v>
                </c:pt>
                <c:pt idx="1230">
                  <c:v>NOV.24</c:v>
                </c:pt>
                <c:pt idx="1231">
                  <c:v>NOV.24</c:v>
                </c:pt>
                <c:pt idx="1232">
                  <c:v>NOV.24</c:v>
                </c:pt>
                <c:pt idx="1233">
                  <c:v>NOV.24</c:v>
                </c:pt>
                <c:pt idx="1234">
                  <c:v>NOV.24</c:v>
                </c:pt>
                <c:pt idx="1235">
                  <c:v>NOV.24</c:v>
                </c:pt>
                <c:pt idx="1236">
                  <c:v>NOV.24</c:v>
                </c:pt>
                <c:pt idx="1237">
                  <c:v>NOV.24</c:v>
                </c:pt>
              </c:strCache>
            </c:strRef>
          </c:cat>
          <c:val>
            <c:numRef>
              <c:f>'Journal Live'!$BK$1387:$BK$2630</c:f>
              <c:numCache>
                <c:formatCode>General</c:formatCode>
                <c:ptCount val="1239"/>
                <c:pt idx="1">
                  <c:v>176.00000000000017</c:v>
                </c:pt>
                <c:pt idx="2">
                  <c:v>176.00000000000017</c:v>
                </c:pt>
                <c:pt idx="3">
                  <c:v>176.00000000000017</c:v>
                </c:pt>
                <c:pt idx="4">
                  <c:v>176.00000000000017</c:v>
                </c:pt>
                <c:pt idx="5">
                  <c:v>-159.99999999999983</c:v>
                </c:pt>
                <c:pt idx="6">
                  <c:v>-159.99999999999983</c:v>
                </c:pt>
                <c:pt idx="7">
                  <c:v>-255.99999999999986</c:v>
                </c:pt>
                <c:pt idx="8">
                  <c:v>-255.99999999999986</c:v>
                </c:pt>
                <c:pt idx="9">
                  <c:v>-255.99999999999986</c:v>
                </c:pt>
                <c:pt idx="10">
                  <c:v>16.000000000000028</c:v>
                </c:pt>
                <c:pt idx="11">
                  <c:v>16.000000000000028</c:v>
                </c:pt>
                <c:pt idx="12">
                  <c:v>16.000000000000028</c:v>
                </c:pt>
                <c:pt idx="13">
                  <c:v>208.0000000000002</c:v>
                </c:pt>
                <c:pt idx="14">
                  <c:v>208.0000000000002</c:v>
                </c:pt>
                <c:pt idx="15">
                  <c:v>208.0000000000002</c:v>
                </c:pt>
                <c:pt idx="16">
                  <c:v>784.00000000000023</c:v>
                </c:pt>
                <c:pt idx="17">
                  <c:v>624.00000000000068</c:v>
                </c:pt>
                <c:pt idx="18">
                  <c:v>624.00000000000068</c:v>
                </c:pt>
                <c:pt idx="19">
                  <c:v>624.00000000000068</c:v>
                </c:pt>
                <c:pt idx="20">
                  <c:v>624.00000000000068</c:v>
                </c:pt>
                <c:pt idx="21">
                  <c:v>624.00000000000068</c:v>
                </c:pt>
                <c:pt idx="22">
                  <c:v>624.00000000000068</c:v>
                </c:pt>
                <c:pt idx="23">
                  <c:v>624.00000000000068</c:v>
                </c:pt>
                <c:pt idx="24">
                  <c:v>624.00000000000068</c:v>
                </c:pt>
                <c:pt idx="25">
                  <c:v>624.00000000000068</c:v>
                </c:pt>
                <c:pt idx="26">
                  <c:v>752.00000000000068</c:v>
                </c:pt>
                <c:pt idx="27">
                  <c:v>1024.0000000000007</c:v>
                </c:pt>
                <c:pt idx="28">
                  <c:v>1360.0000000000005</c:v>
                </c:pt>
                <c:pt idx="29">
                  <c:v>1360.0000000000005</c:v>
                </c:pt>
                <c:pt idx="30">
                  <c:v>1360.0000000000005</c:v>
                </c:pt>
                <c:pt idx="31">
                  <c:v>1360.0000000000005</c:v>
                </c:pt>
                <c:pt idx="32">
                  <c:v>1360.0000000000005</c:v>
                </c:pt>
                <c:pt idx="33">
                  <c:v>1360.0000000000005</c:v>
                </c:pt>
                <c:pt idx="34">
                  <c:v>1360.0000000000005</c:v>
                </c:pt>
                <c:pt idx="35">
                  <c:v>1456</c:v>
                </c:pt>
                <c:pt idx="36">
                  <c:v>1456</c:v>
                </c:pt>
                <c:pt idx="37">
                  <c:v>1456</c:v>
                </c:pt>
                <c:pt idx="38">
                  <c:v>1840.0000000000005</c:v>
                </c:pt>
                <c:pt idx="39">
                  <c:v>1840.0000000000005</c:v>
                </c:pt>
                <c:pt idx="40">
                  <c:v>1840.0000000000005</c:v>
                </c:pt>
                <c:pt idx="41">
                  <c:v>400.00000000000068</c:v>
                </c:pt>
                <c:pt idx="42">
                  <c:v>400.00000000000068</c:v>
                </c:pt>
                <c:pt idx="43">
                  <c:v>496.00000000000063</c:v>
                </c:pt>
                <c:pt idx="44">
                  <c:v>496.00000000000063</c:v>
                </c:pt>
                <c:pt idx="45">
                  <c:v>496.00000000000063</c:v>
                </c:pt>
                <c:pt idx="46">
                  <c:v>688.00000000000045</c:v>
                </c:pt>
                <c:pt idx="47">
                  <c:v>688.00000000000045</c:v>
                </c:pt>
                <c:pt idx="48">
                  <c:v>1302.4000000000005</c:v>
                </c:pt>
                <c:pt idx="49">
                  <c:v>1302.4000000000005</c:v>
                </c:pt>
                <c:pt idx="50">
                  <c:v>1302.4000000000005</c:v>
                </c:pt>
                <c:pt idx="51">
                  <c:v>1302.4000000000005</c:v>
                </c:pt>
                <c:pt idx="52">
                  <c:v>1302.4000000000005</c:v>
                </c:pt>
                <c:pt idx="53">
                  <c:v>1654.400000000001</c:v>
                </c:pt>
                <c:pt idx="54">
                  <c:v>1654.400000000001</c:v>
                </c:pt>
                <c:pt idx="55">
                  <c:v>1654.400000000001</c:v>
                </c:pt>
                <c:pt idx="56">
                  <c:v>1654.400000000001</c:v>
                </c:pt>
                <c:pt idx="57">
                  <c:v>1654.400000000001</c:v>
                </c:pt>
                <c:pt idx="58">
                  <c:v>1654.400000000001</c:v>
                </c:pt>
                <c:pt idx="59">
                  <c:v>1654.400000000001</c:v>
                </c:pt>
                <c:pt idx="60">
                  <c:v>1654.400000000001</c:v>
                </c:pt>
                <c:pt idx="61">
                  <c:v>1654.400000000001</c:v>
                </c:pt>
                <c:pt idx="62">
                  <c:v>1846.400000000001</c:v>
                </c:pt>
                <c:pt idx="63">
                  <c:v>2102.400000000001</c:v>
                </c:pt>
                <c:pt idx="64">
                  <c:v>2614.4000000000005</c:v>
                </c:pt>
                <c:pt idx="65">
                  <c:v>2614.4000000000005</c:v>
                </c:pt>
                <c:pt idx="66">
                  <c:v>6973.5799999999363</c:v>
                </c:pt>
                <c:pt idx="67">
                  <c:v>6973.5799999999363</c:v>
                </c:pt>
                <c:pt idx="68">
                  <c:v>2614.4000000000005</c:v>
                </c:pt>
                <c:pt idx="69">
                  <c:v>6973.5799999999363</c:v>
                </c:pt>
                <c:pt idx="70">
                  <c:v>2502.4000000000005</c:v>
                </c:pt>
                <c:pt idx="71">
                  <c:v>2502.4000000000005</c:v>
                </c:pt>
                <c:pt idx="72">
                  <c:v>2502.4000000000005</c:v>
                </c:pt>
                <c:pt idx="73">
                  <c:v>2502.4000000000005</c:v>
                </c:pt>
                <c:pt idx="74">
                  <c:v>2502.4000000000005</c:v>
                </c:pt>
                <c:pt idx="75">
                  <c:v>2502.4000000000005</c:v>
                </c:pt>
                <c:pt idx="76">
                  <c:v>2582.4000000000015</c:v>
                </c:pt>
                <c:pt idx="77">
                  <c:v>2502.4000000000005</c:v>
                </c:pt>
                <c:pt idx="78">
                  <c:v>2502.4000000000005</c:v>
                </c:pt>
                <c:pt idx="79">
                  <c:v>2582.4000000000015</c:v>
                </c:pt>
                <c:pt idx="80">
                  <c:v>2502.4000000000005</c:v>
                </c:pt>
                <c:pt idx="81">
                  <c:v>2502.4000000000005</c:v>
                </c:pt>
                <c:pt idx="82">
                  <c:v>2502.4000000000005</c:v>
                </c:pt>
                <c:pt idx="83">
                  <c:v>2502.4000000000005</c:v>
                </c:pt>
                <c:pt idx="84">
                  <c:v>2502.4000000000005</c:v>
                </c:pt>
                <c:pt idx="85">
                  <c:v>2582.4000000000015</c:v>
                </c:pt>
                <c:pt idx="86">
                  <c:v>2582.4000000000015</c:v>
                </c:pt>
                <c:pt idx="87">
                  <c:v>2582.4000000000015</c:v>
                </c:pt>
                <c:pt idx="88">
                  <c:v>2582.4000000000015</c:v>
                </c:pt>
                <c:pt idx="89">
                  <c:v>2582.4000000000015</c:v>
                </c:pt>
                <c:pt idx="90">
                  <c:v>2582.4000000000015</c:v>
                </c:pt>
                <c:pt idx="91">
                  <c:v>2582.4000000000015</c:v>
                </c:pt>
                <c:pt idx="92">
                  <c:v>2582.4000000000015</c:v>
                </c:pt>
                <c:pt idx="93">
                  <c:v>2582.4000000000015</c:v>
                </c:pt>
                <c:pt idx="94">
                  <c:v>2582.4000000000015</c:v>
                </c:pt>
                <c:pt idx="95">
                  <c:v>2582.4000000000015</c:v>
                </c:pt>
                <c:pt idx="96">
                  <c:v>6973.5799999999363</c:v>
                </c:pt>
                <c:pt idx="97">
                  <c:v>4534.4000000000015</c:v>
                </c:pt>
                <c:pt idx="98">
                  <c:v>4534.4000000000015</c:v>
                </c:pt>
                <c:pt idx="99">
                  <c:v>4534.4000000000015</c:v>
                </c:pt>
                <c:pt idx="100">
                  <c:v>4534.4000000000015</c:v>
                </c:pt>
                <c:pt idx="101">
                  <c:v>4886.4000000000015</c:v>
                </c:pt>
                <c:pt idx="102">
                  <c:v>4886.4000000000015</c:v>
                </c:pt>
                <c:pt idx="103">
                  <c:v>4886.4000000000015</c:v>
                </c:pt>
                <c:pt idx="104">
                  <c:v>4886.4000000000015</c:v>
                </c:pt>
                <c:pt idx="105">
                  <c:v>4886.4000000000015</c:v>
                </c:pt>
                <c:pt idx="106">
                  <c:v>4886.4000000000015</c:v>
                </c:pt>
                <c:pt idx="107">
                  <c:v>6973.5799999999363</c:v>
                </c:pt>
                <c:pt idx="108">
                  <c:v>5334.3999999998268</c:v>
                </c:pt>
                <c:pt idx="109">
                  <c:v>5654.3999999998268</c:v>
                </c:pt>
                <c:pt idx="110">
                  <c:v>6358.3999999998277</c:v>
                </c:pt>
                <c:pt idx="111">
                  <c:v>6870.3999999998268</c:v>
                </c:pt>
                <c:pt idx="112">
                  <c:v>6870.3999999998268</c:v>
                </c:pt>
                <c:pt idx="113">
                  <c:v>6870.3999999998268</c:v>
                </c:pt>
                <c:pt idx="114">
                  <c:v>6870.3999999998268</c:v>
                </c:pt>
                <c:pt idx="115">
                  <c:v>6870.3999999998268</c:v>
                </c:pt>
                <c:pt idx="116">
                  <c:v>6870.3999999998268</c:v>
                </c:pt>
                <c:pt idx="117">
                  <c:v>6973.5799999999363</c:v>
                </c:pt>
                <c:pt idx="118">
                  <c:v>6973.5799999999363</c:v>
                </c:pt>
                <c:pt idx="119">
                  <c:v>7094.3999999998268</c:v>
                </c:pt>
                <c:pt idx="120">
                  <c:v>6973.5799999999363</c:v>
                </c:pt>
                <c:pt idx="121">
                  <c:v>6973.5799999999363</c:v>
                </c:pt>
                <c:pt idx="122">
                  <c:v>6973.5799999999363</c:v>
                </c:pt>
                <c:pt idx="123">
                  <c:v>6973.5799999999363</c:v>
                </c:pt>
                <c:pt idx="124">
                  <c:v>6973.5799999999363</c:v>
                </c:pt>
                <c:pt idx="125">
                  <c:v>6973.5799999999363</c:v>
                </c:pt>
                <c:pt idx="126">
                  <c:v>6973.5799999999363</c:v>
                </c:pt>
                <c:pt idx="127">
                  <c:v>6973.5799999999363</c:v>
                </c:pt>
                <c:pt idx="128">
                  <c:v>6973.5799999999363</c:v>
                </c:pt>
                <c:pt idx="129">
                  <c:v>6973.5799999999363</c:v>
                </c:pt>
                <c:pt idx="130">
                  <c:v>6973.5799999999363</c:v>
                </c:pt>
                <c:pt idx="131">
                  <c:v>6973.5799999999363</c:v>
                </c:pt>
                <c:pt idx="132">
                  <c:v>14245.423836163525</c:v>
                </c:pt>
                <c:pt idx="133">
                  <c:v>6973.5799999999363</c:v>
                </c:pt>
                <c:pt idx="134">
                  <c:v>8717.579999999929</c:v>
                </c:pt>
                <c:pt idx="135">
                  <c:v>8717.579999999929</c:v>
                </c:pt>
                <c:pt idx="136">
                  <c:v>6973.5799999999363</c:v>
                </c:pt>
                <c:pt idx="137">
                  <c:v>6973.5799999999363</c:v>
                </c:pt>
                <c:pt idx="138">
                  <c:v>6669.5799999999363</c:v>
                </c:pt>
                <c:pt idx="139">
                  <c:v>8717.579999999929</c:v>
                </c:pt>
                <c:pt idx="140">
                  <c:v>6861.5799999999372</c:v>
                </c:pt>
                <c:pt idx="141">
                  <c:v>6861.5799999999372</c:v>
                </c:pt>
                <c:pt idx="142">
                  <c:v>7149.5799999999363</c:v>
                </c:pt>
                <c:pt idx="143">
                  <c:v>7149.5799999999363</c:v>
                </c:pt>
                <c:pt idx="144">
                  <c:v>7149.5799999999363</c:v>
                </c:pt>
                <c:pt idx="145">
                  <c:v>7149.5799999999363</c:v>
                </c:pt>
                <c:pt idx="146">
                  <c:v>7661.5799999999363</c:v>
                </c:pt>
                <c:pt idx="147">
                  <c:v>8525.5799999999363</c:v>
                </c:pt>
                <c:pt idx="148">
                  <c:v>8525.5799999999363</c:v>
                </c:pt>
                <c:pt idx="149">
                  <c:v>8525.5799999999363</c:v>
                </c:pt>
                <c:pt idx="150">
                  <c:v>8525.5799999999363</c:v>
                </c:pt>
                <c:pt idx="151">
                  <c:v>8525.5799999999363</c:v>
                </c:pt>
                <c:pt idx="152">
                  <c:v>8525.5799999999363</c:v>
                </c:pt>
                <c:pt idx="153">
                  <c:v>8717.579999999929</c:v>
                </c:pt>
                <c:pt idx="154">
                  <c:v>9149.5799999999363</c:v>
                </c:pt>
                <c:pt idx="155">
                  <c:v>9149.5799999999363</c:v>
                </c:pt>
                <c:pt idx="156">
                  <c:v>9149.5799999999363</c:v>
                </c:pt>
                <c:pt idx="157">
                  <c:v>8717.579999999929</c:v>
                </c:pt>
                <c:pt idx="158">
                  <c:v>11581.579999999936</c:v>
                </c:pt>
                <c:pt idx="159">
                  <c:v>11581.579999999936</c:v>
                </c:pt>
                <c:pt idx="160">
                  <c:v>8717.579999999929</c:v>
                </c:pt>
                <c:pt idx="161">
                  <c:v>12573.579999999936</c:v>
                </c:pt>
                <c:pt idx="162">
                  <c:v>11581.579999999936</c:v>
                </c:pt>
                <c:pt idx="163">
                  <c:v>8717.579999999929</c:v>
                </c:pt>
                <c:pt idx="164">
                  <c:v>11581.579999999936</c:v>
                </c:pt>
                <c:pt idx="165">
                  <c:v>11581.579999999936</c:v>
                </c:pt>
                <c:pt idx="166">
                  <c:v>12253.579999999936</c:v>
                </c:pt>
                <c:pt idx="167">
                  <c:v>12573.579999999936</c:v>
                </c:pt>
                <c:pt idx="168">
                  <c:v>12573.579999999936</c:v>
                </c:pt>
                <c:pt idx="169">
                  <c:v>12573.579999999936</c:v>
                </c:pt>
                <c:pt idx="170">
                  <c:v>8717.579999999929</c:v>
                </c:pt>
                <c:pt idx="171">
                  <c:v>12973.579999999936</c:v>
                </c:pt>
                <c:pt idx="172">
                  <c:v>12973.579999999936</c:v>
                </c:pt>
                <c:pt idx="173">
                  <c:v>13261.579999999934</c:v>
                </c:pt>
                <c:pt idx="174">
                  <c:v>13261.579999999934</c:v>
                </c:pt>
                <c:pt idx="175">
                  <c:v>13261.579999999934</c:v>
                </c:pt>
                <c:pt idx="176">
                  <c:v>13261.579999999934</c:v>
                </c:pt>
                <c:pt idx="177">
                  <c:v>13261.579999999934</c:v>
                </c:pt>
                <c:pt idx="178">
                  <c:v>13261.579999999934</c:v>
                </c:pt>
                <c:pt idx="179">
                  <c:v>13261.579999999934</c:v>
                </c:pt>
                <c:pt idx="180">
                  <c:v>8717.579999999929</c:v>
                </c:pt>
                <c:pt idx="181">
                  <c:v>13261.579999999934</c:v>
                </c:pt>
                <c:pt idx="182">
                  <c:v>13261.579999999934</c:v>
                </c:pt>
                <c:pt idx="183">
                  <c:v>13261.579999999934</c:v>
                </c:pt>
                <c:pt idx="184">
                  <c:v>13261.579999999934</c:v>
                </c:pt>
                <c:pt idx="185">
                  <c:v>13261.579999999934</c:v>
                </c:pt>
                <c:pt idx="186">
                  <c:v>11469.579999999934</c:v>
                </c:pt>
                <c:pt idx="187">
                  <c:v>11565.579999999931</c:v>
                </c:pt>
                <c:pt idx="188">
                  <c:v>11565.579999999931</c:v>
                </c:pt>
                <c:pt idx="189">
                  <c:v>11565.579999999931</c:v>
                </c:pt>
                <c:pt idx="190">
                  <c:v>11565.579999999931</c:v>
                </c:pt>
                <c:pt idx="191">
                  <c:v>11565.579999999931</c:v>
                </c:pt>
                <c:pt idx="192">
                  <c:v>11565.579999999931</c:v>
                </c:pt>
                <c:pt idx="193">
                  <c:v>9197.579999999929</c:v>
                </c:pt>
                <c:pt idx="194">
                  <c:v>11565.579999999931</c:v>
                </c:pt>
                <c:pt idx="195">
                  <c:v>11565.579999999931</c:v>
                </c:pt>
                <c:pt idx="196">
                  <c:v>9965.5799999999308</c:v>
                </c:pt>
                <c:pt idx="197">
                  <c:v>9965.5799999999308</c:v>
                </c:pt>
                <c:pt idx="198">
                  <c:v>9965.5799999999308</c:v>
                </c:pt>
                <c:pt idx="199">
                  <c:v>9197.579999999929</c:v>
                </c:pt>
                <c:pt idx="200">
                  <c:v>9677.5799999999308</c:v>
                </c:pt>
                <c:pt idx="201">
                  <c:v>9677.5799999999308</c:v>
                </c:pt>
                <c:pt idx="202">
                  <c:v>9677.5799999999308</c:v>
                </c:pt>
                <c:pt idx="203">
                  <c:v>9677.5799999999308</c:v>
                </c:pt>
                <c:pt idx="204">
                  <c:v>10221.579999999931</c:v>
                </c:pt>
                <c:pt idx="205">
                  <c:v>9197.579999999929</c:v>
                </c:pt>
                <c:pt idx="206">
                  <c:v>9197.579999999929</c:v>
                </c:pt>
                <c:pt idx="207">
                  <c:v>9197.579999999929</c:v>
                </c:pt>
                <c:pt idx="208">
                  <c:v>9197.579999999929</c:v>
                </c:pt>
                <c:pt idx="209">
                  <c:v>9197.579999999929</c:v>
                </c:pt>
                <c:pt idx="210">
                  <c:v>9197.579999999929</c:v>
                </c:pt>
                <c:pt idx="211">
                  <c:v>9197.579999999929</c:v>
                </c:pt>
                <c:pt idx="212">
                  <c:v>9197.579999999929</c:v>
                </c:pt>
                <c:pt idx="213">
                  <c:v>9197.579999999929</c:v>
                </c:pt>
                <c:pt idx="214">
                  <c:v>9197.579999999929</c:v>
                </c:pt>
                <c:pt idx="215">
                  <c:v>9197.579999999929</c:v>
                </c:pt>
                <c:pt idx="216">
                  <c:v>9197.579999999929</c:v>
                </c:pt>
                <c:pt idx="217">
                  <c:v>9197.579999999929</c:v>
                </c:pt>
                <c:pt idx="218">
                  <c:v>9197.579999999929</c:v>
                </c:pt>
                <c:pt idx="219">
                  <c:v>9197.579999999929</c:v>
                </c:pt>
                <c:pt idx="220">
                  <c:v>9197.579999999929</c:v>
                </c:pt>
                <c:pt idx="221">
                  <c:v>9197.579999999929</c:v>
                </c:pt>
                <c:pt idx="222">
                  <c:v>9197.579999999929</c:v>
                </c:pt>
                <c:pt idx="223">
                  <c:v>9197.579999999929</c:v>
                </c:pt>
                <c:pt idx="224">
                  <c:v>9197.579999999929</c:v>
                </c:pt>
                <c:pt idx="225">
                  <c:v>9197.579999999929</c:v>
                </c:pt>
                <c:pt idx="226">
                  <c:v>9197.579999999929</c:v>
                </c:pt>
                <c:pt idx="227">
                  <c:v>9197.579999999929</c:v>
                </c:pt>
                <c:pt idx="228">
                  <c:v>9197.579999999929</c:v>
                </c:pt>
                <c:pt idx="229">
                  <c:v>9197.579999999929</c:v>
                </c:pt>
                <c:pt idx="230">
                  <c:v>9197.579999999929</c:v>
                </c:pt>
                <c:pt idx="231">
                  <c:v>8717.579999999929</c:v>
                </c:pt>
                <c:pt idx="232">
                  <c:v>9197.579999999929</c:v>
                </c:pt>
                <c:pt idx="233">
                  <c:v>8717.579999999929</c:v>
                </c:pt>
                <c:pt idx="234">
                  <c:v>9197.579999999929</c:v>
                </c:pt>
                <c:pt idx="235">
                  <c:v>9197.579999999929</c:v>
                </c:pt>
                <c:pt idx="236">
                  <c:v>9197.579999999929</c:v>
                </c:pt>
                <c:pt idx="237">
                  <c:v>9197.579999999929</c:v>
                </c:pt>
                <c:pt idx="238">
                  <c:v>9197.579999999929</c:v>
                </c:pt>
                <c:pt idx="239">
                  <c:v>9197.579999999929</c:v>
                </c:pt>
                <c:pt idx="240">
                  <c:v>9197.579999999929</c:v>
                </c:pt>
                <c:pt idx="241">
                  <c:v>9197.579999999929</c:v>
                </c:pt>
                <c:pt idx="242">
                  <c:v>9197.579999999929</c:v>
                </c:pt>
                <c:pt idx="243">
                  <c:v>8717.579999999929</c:v>
                </c:pt>
                <c:pt idx="244">
                  <c:v>8717.579999999929</c:v>
                </c:pt>
                <c:pt idx="245">
                  <c:v>8717.579999999929</c:v>
                </c:pt>
                <c:pt idx="246">
                  <c:v>8717.579999999929</c:v>
                </c:pt>
                <c:pt idx="247">
                  <c:v>8717.579999999929</c:v>
                </c:pt>
                <c:pt idx="248">
                  <c:v>8717.579999999929</c:v>
                </c:pt>
                <c:pt idx="249">
                  <c:v>8717.579999999929</c:v>
                </c:pt>
                <c:pt idx="250">
                  <c:v>8717.579999999929</c:v>
                </c:pt>
                <c:pt idx="251">
                  <c:v>8717.579999999929</c:v>
                </c:pt>
                <c:pt idx="252">
                  <c:v>8717.579999999929</c:v>
                </c:pt>
                <c:pt idx="253">
                  <c:v>8717.579999999929</c:v>
                </c:pt>
                <c:pt idx="254">
                  <c:v>8717.579999999929</c:v>
                </c:pt>
                <c:pt idx="255">
                  <c:v>8717.579999999929</c:v>
                </c:pt>
                <c:pt idx="256">
                  <c:v>8717.579999999929</c:v>
                </c:pt>
                <c:pt idx="257">
                  <c:v>8717.579999999929</c:v>
                </c:pt>
                <c:pt idx="258">
                  <c:v>8717.579999999929</c:v>
                </c:pt>
                <c:pt idx="259">
                  <c:v>8717.579999999929</c:v>
                </c:pt>
                <c:pt idx="260">
                  <c:v>8717.579999999929</c:v>
                </c:pt>
                <c:pt idx="261">
                  <c:v>8717.579999999929</c:v>
                </c:pt>
                <c:pt idx="262">
                  <c:v>8717.579999999929</c:v>
                </c:pt>
                <c:pt idx="263">
                  <c:v>8717.579999999929</c:v>
                </c:pt>
                <c:pt idx="264">
                  <c:v>8717.579999999929</c:v>
                </c:pt>
                <c:pt idx="265">
                  <c:v>8717.579999999929</c:v>
                </c:pt>
                <c:pt idx="266">
                  <c:v>8717.579999999929</c:v>
                </c:pt>
                <c:pt idx="267">
                  <c:v>11277.579999999929</c:v>
                </c:pt>
                <c:pt idx="268">
                  <c:v>11277.579999999929</c:v>
                </c:pt>
                <c:pt idx="269">
                  <c:v>11277.579999999929</c:v>
                </c:pt>
                <c:pt idx="270">
                  <c:v>11277.579999999929</c:v>
                </c:pt>
                <c:pt idx="271">
                  <c:v>11277.579999999929</c:v>
                </c:pt>
                <c:pt idx="272">
                  <c:v>11277.579999999929</c:v>
                </c:pt>
                <c:pt idx="273">
                  <c:v>11277.579999999929</c:v>
                </c:pt>
                <c:pt idx="274">
                  <c:v>11277.579999999929</c:v>
                </c:pt>
                <c:pt idx="275">
                  <c:v>11277.579999999929</c:v>
                </c:pt>
                <c:pt idx="276">
                  <c:v>11277.579999999929</c:v>
                </c:pt>
                <c:pt idx="277">
                  <c:v>11277.579999999929</c:v>
                </c:pt>
                <c:pt idx="278">
                  <c:v>11277.579999999929</c:v>
                </c:pt>
                <c:pt idx="279">
                  <c:v>11277.579999999929</c:v>
                </c:pt>
                <c:pt idx="280">
                  <c:v>11277.579999999929</c:v>
                </c:pt>
                <c:pt idx="281">
                  <c:v>11757.579999999931</c:v>
                </c:pt>
                <c:pt idx="282">
                  <c:v>11757.579999999931</c:v>
                </c:pt>
                <c:pt idx="283">
                  <c:v>11757.579999999931</c:v>
                </c:pt>
                <c:pt idx="284">
                  <c:v>11757.579999999931</c:v>
                </c:pt>
                <c:pt idx="285">
                  <c:v>11757.579999999931</c:v>
                </c:pt>
                <c:pt idx="286">
                  <c:v>11757.579999999931</c:v>
                </c:pt>
                <c:pt idx="287">
                  <c:v>11757.579999999931</c:v>
                </c:pt>
                <c:pt idx="288">
                  <c:v>11757.579999999931</c:v>
                </c:pt>
                <c:pt idx="289">
                  <c:v>11757.579999999931</c:v>
                </c:pt>
                <c:pt idx="290">
                  <c:v>14877.579999999931</c:v>
                </c:pt>
                <c:pt idx="291">
                  <c:v>14877.579999999931</c:v>
                </c:pt>
                <c:pt idx="292">
                  <c:v>14877.579999999931</c:v>
                </c:pt>
                <c:pt idx="293">
                  <c:v>14877.579999999931</c:v>
                </c:pt>
                <c:pt idx="294">
                  <c:v>14877.579999999931</c:v>
                </c:pt>
                <c:pt idx="295">
                  <c:v>14877.579999999931</c:v>
                </c:pt>
                <c:pt idx="296">
                  <c:v>14877.579999999931</c:v>
                </c:pt>
                <c:pt idx="297">
                  <c:v>14877.579999999931</c:v>
                </c:pt>
                <c:pt idx="298">
                  <c:v>14877.579999999931</c:v>
                </c:pt>
                <c:pt idx="299">
                  <c:v>14877.579999999931</c:v>
                </c:pt>
                <c:pt idx="300">
                  <c:v>14877.579999999931</c:v>
                </c:pt>
                <c:pt idx="301">
                  <c:v>14877.579999999931</c:v>
                </c:pt>
                <c:pt idx="302">
                  <c:v>14877.579999999931</c:v>
                </c:pt>
                <c:pt idx="303">
                  <c:v>15261.579999999931</c:v>
                </c:pt>
                <c:pt idx="304">
                  <c:v>15261.579999999931</c:v>
                </c:pt>
                <c:pt idx="305">
                  <c:v>15661.580000000136</c:v>
                </c:pt>
                <c:pt idx="306">
                  <c:v>15661.580000000136</c:v>
                </c:pt>
                <c:pt idx="307">
                  <c:v>15661.580000000136</c:v>
                </c:pt>
                <c:pt idx="308">
                  <c:v>15661.580000000136</c:v>
                </c:pt>
                <c:pt idx="309">
                  <c:v>15661.580000000136</c:v>
                </c:pt>
                <c:pt idx="310">
                  <c:v>15661.580000000136</c:v>
                </c:pt>
                <c:pt idx="311">
                  <c:v>15661.580000000136</c:v>
                </c:pt>
                <c:pt idx="312">
                  <c:v>15661.580000000136</c:v>
                </c:pt>
                <c:pt idx="313">
                  <c:v>16125.580000000136</c:v>
                </c:pt>
                <c:pt idx="314">
                  <c:v>16125.580000000136</c:v>
                </c:pt>
                <c:pt idx="315">
                  <c:v>16125.580000000136</c:v>
                </c:pt>
                <c:pt idx="316">
                  <c:v>16125.580000000136</c:v>
                </c:pt>
                <c:pt idx="317">
                  <c:v>16125.580000000136</c:v>
                </c:pt>
                <c:pt idx="318">
                  <c:v>16125.580000000136</c:v>
                </c:pt>
                <c:pt idx="319">
                  <c:v>16125.580000000136</c:v>
                </c:pt>
                <c:pt idx="320">
                  <c:v>16125.580000000136</c:v>
                </c:pt>
                <c:pt idx="321">
                  <c:v>16125.580000000136</c:v>
                </c:pt>
                <c:pt idx="322">
                  <c:v>16125.580000000136</c:v>
                </c:pt>
                <c:pt idx="323">
                  <c:v>16125.580000000136</c:v>
                </c:pt>
                <c:pt idx="324">
                  <c:v>16125.580000000136</c:v>
                </c:pt>
                <c:pt idx="325">
                  <c:v>16125.580000000136</c:v>
                </c:pt>
                <c:pt idx="326">
                  <c:v>16125.580000000136</c:v>
                </c:pt>
                <c:pt idx="327">
                  <c:v>16525.580000000136</c:v>
                </c:pt>
                <c:pt idx="328">
                  <c:v>16525.580000000136</c:v>
                </c:pt>
                <c:pt idx="329">
                  <c:v>17245.580000000136</c:v>
                </c:pt>
                <c:pt idx="330">
                  <c:v>17245.580000000136</c:v>
                </c:pt>
                <c:pt idx="331">
                  <c:v>17245.580000000136</c:v>
                </c:pt>
                <c:pt idx="332">
                  <c:v>19085.580000000136</c:v>
                </c:pt>
                <c:pt idx="333">
                  <c:v>19085.580000000136</c:v>
                </c:pt>
                <c:pt idx="334">
                  <c:v>19085.580000000136</c:v>
                </c:pt>
                <c:pt idx="335">
                  <c:v>19085.580000000136</c:v>
                </c:pt>
                <c:pt idx="336">
                  <c:v>19085.580000000136</c:v>
                </c:pt>
                <c:pt idx="337">
                  <c:v>19085.580000000136</c:v>
                </c:pt>
                <c:pt idx="338">
                  <c:v>19085.580000000136</c:v>
                </c:pt>
                <c:pt idx="339">
                  <c:v>19085.580000000136</c:v>
                </c:pt>
                <c:pt idx="340">
                  <c:v>19085.580000000136</c:v>
                </c:pt>
                <c:pt idx="341">
                  <c:v>19085.580000000136</c:v>
                </c:pt>
                <c:pt idx="342">
                  <c:v>19085.580000000136</c:v>
                </c:pt>
                <c:pt idx="343">
                  <c:v>19085.580000000136</c:v>
                </c:pt>
                <c:pt idx="344">
                  <c:v>19085.580000000136</c:v>
                </c:pt>
                <c:pt idx="345">
                  <c:v>19085.580000000136</c:v>
                </c:pt>
                <c:pt idx="346">
                  <c:v>19085.580000000136</c:v>
                </c:pt>
                <c:pt idx="347">
                  <c:v>19085.580000000136</c:v>
                </c:pt>
                <c:pt idx="348">
                  <c:v>19085.580000000136</c:v>
                </c:pt>
                <c:pt idx="349">
                  <c:v>19085.580000000136</c:v>
                </c:pt>
                <c:pt idx="350">
                  <c:v>19085.580000000136</c:v>
                </c:pt>
                <c:pt idx="351">
                  <c:v>19085.580000000136</c:v>
                </c:pt>
                <c:pt idx="352">
                  <c:v>19085.580000000136</c:v>
                </c:pt>
                <c:pt idx="353">
                  <c:v>19693.580000000136</c:v>
                </c:pt>
                <c:pt idx="354">
                  <c:v>19693.580000000136</c:v>
                </c:pt>
                <c:pt idx="355">
                  <c:v>19693.580000000136</c:v>
                </c:pt>
                <c:pt idx="356">
                  <c:v>19693.580000000136</c:v>
                </c:pt>
                <c:pt idx="357">
                  <c:v>20013.580000000136</c:v>
                </c:pt>
                <c:pt idx="358">
                  <c:v>20013.580000000136</c:v>
                </c:pt>
                <c:pt idx="359">
                  <c:v>20013.580000000136</c:v>
                </c:pt>
                <c:pt idx="360">
                  <c:v>20013.580000000136</c:v>
                </c:pt>
                <c:pt idx="361">
                  <c:v>20013.580000000136</c:v>
                </c:pt>
                <c:pt idx="362">
                  <c:v>20013.580000000136</c:v>
                </c:pt>
                <c:pt idx="363">
                  <c:v>20013.580000000136</c:v>
                </c:pt>
                <c:pt idx="364">
                  <c:v>23133.580000000136</c:v>
                </c:pt>
                <c:pt idx="365">
                  <c:v>23133.580000000136</c:v>
                </c:pt>
                <c:pt idx="366">
                  <c:v>23133.580000000136</c:v>
                </c:pt>
                <c:pt idx="367">
                  <c:v>23133.580000000136</c:v>
                </c:pt>
                <c:pt idx="368">
                  <c:v>23133.580000000136</c:v>
                </c:pt>
                <c:pt idx="369">
                  <c:v>22813.580000000136</c:v>
                </c:pt>
                <c:pt idx="370">
                  <c:v>23149.580000000136</c:v>
                </c:pt>
                <c:pt idx="371">
                  <c:v>23149.580000000136</c:v>
                </c:pt>
                <c:pt idx="372">
                  <c:v>23709.580000000136</c:v>
                </c:pt>
                <c:pt idx="373">
                  <c:v>24429.580000000136</c:v>
                </c:pt>
                <c:pt idx="374">
                  <c:v>24429.580000000136</c:v>
                </c:pt>
                <c:pt idx="375">
                  <c:v>24429.580000000136</c:v>
                </c:pt>
                <c:pt idx="376">
                  <c:v>24429.580000000136</c:v>
                </c:pt>
                <c:pt idx="377">
                  <c:v>24429.580000000136</c:v>
                </c:pt>
                <c:pt idx="378">
                  <c:v>24429.580000000136</c:v>
                </c:pt>
                <c:pt idx="379">
                  <c:v>24429.580000000136</c:v>
                </c:pt>
                <c:pt idx="380">
                  <c:v>24429.580000000136</c:v>
                </c:pt>
                <c:pt idx="381">
                  <c:v>24429.580000000136</c:v>
                </c:pt>
                <c:pt idx="382">
                  <c:v>24749.580000000136</c:v>
                </c:pt>
                <c:pt idx="383">
                  <c:v>24429.580000000136</c:v>
                </c:pt>
                <c:pt idx="384">
                  <c:v>24429.580000000136</c:v>
                </c:pt>
                <c:pt idx="385">
                  <c:v>24429.580000000136</c:v>
                </c:pt>
                <c:pt idx="386">
                  <c:v>24429.580000000136</c:v>
                </c:pt>
                <c:pt idx="387">
                  <c:v>24429.580000000136</c:v>
                </c:pt>
                <c:pt idx="388">
                  <c:v>24429.580000000136</c:v>
                </c:pt>
                <c:pt idx="389">
                  <c:v>24429.580000000136</c:v>
                </c:pt>
                <c:pt idx="390">
                  <c:v>24429.580000000136</c:v>
                </c:pt>
                <c:pt idx="391">
                  <c:v>24429.580000000136</c:v>
                </c:pt>
                <c:pt idx="392">
                  <c:v>24429.580000000136</c:v>
                </c:pt>
                <c:pt idx="393">
                  <c:v>24429.580000000136</c:v>
                </c:pt>
                <c:pt idx="394">
                  <c:v>24429.580000000136</c:v>
                </c:pt>
                <c:pt idx="395">
                  <c:v>23981.580000000136</c:v>
                </c:pt>
                <c:pt idx="396">
                  <c:v>24429.580000000136</c:v>
                </c:pt>
                <c:pt idx="397">
                  <c:v>24429.580000000136</c:v>
                </c:pt>
                <c:pt idx="398">
                  <c:v>23789.580000000136</c:v>
                </c:pt>
                <c:pt idx="399">
                  <c:v>23789.580000000136</c:v>
                </c:pt>
                <c:pt idx="400">
                  <c:v>22445.580000000136</c:v>
                </c:pt>
                <c:pt idx="401">
                  <c:v>21773.58000000014</c:v>
                </c:pt>
                <c:pt idx="402">
                  <c:v>21773.58000000014</c:v>
                </c:pt>
                <c:pt idx="403">
                  <c:v>21773.58000000014</c:v>
                </c:pt>
                <c:pt idx="404">
                  <c:v>21773.58000000014</c:v>
                </c:pt>
                <c:pt idx="405">
                  <c:v>21773.58000000014</c:v>
                </c:pt>
                <c:pt idx="406">
                  <c:v>21773.58000000014</c:v>
                </c:pt>
                <c:pt idx="407">
                  <c:v>21773.58000000014</c:v>
                </c:pt>
                <c:pt idx="408">
                  <c:v>21773.58000000014</c:v>
                </c:pt>
                <c:pt idx="409">
                  <c:v>21773.58000000014</c:v>
                </c:pt>
                <c:pt idx="410">
                  <c:v>21773.58000000014</c:v>
                </c:pt>
                <c:pt idx="411">
                  <c:v>21773.58000000014</c:v>
                </c:pt>
                <c:pt idx="412">
                  <c:v>21773.58000000014</c:v>
                </c:pt>
                <c:pt idx="413">
                  <c:v>21773.58000000014</c:v>
                </c:pt>
                <c:pt idx="414">
                  <c:v>21773.58000000014</c:v>
                </c:pt>
                <c:pt idx="415">
                  <c:v>22253.58000000014</c:v>
                </c:pt>
                <c:pt idx="416">
                  <c:v>22253.58000000014</c:v>
                </c:pt>
                <c:pt idx="417">
                  <c:v>22253.58000000014</c:v>
                </c:pt>
                <c:pt idx="418">
                  <c:v>22253.58000000014</c:v>
                </c:pt>
                <c:pt idx="419">
                  <c:v>22253.58000000014</c:v>
                </c:pt>
                <c:pt idx="420">
                  <c:v>22253.58000000014</c:v>
                </c:pt>
                <c:pt idx="421">
                  <c:v>22733.58000000014</c:v>
                </c:pt>
                <c:pt idx="422">
                  <c:v>22733.58000000014</c:v>
                </c:pt>
                <c:pt idx="423">
                  <c:v>23213.58000000014</c:v>
                </c:pt>
                <c:pt idx="424">
                  <c:v>23213.58000000014</c:v>
                </c:pt>
                <c:pt idx="425">
                  <c:v>23213.58000000014</c:v>
                </c:pt>
                <c:pt idx="426">
                  <c:v>23213.58000000014</c:v>
                </c:pt>
                <c:pt idx="427">
                  <c:v>23213.58000000014</c:v>
                </c:pt>
                <c:pt idx="428">
                  <c:v>22893.58000000014</c:v>
                </c:pt>
                <c:pt idx="429">
                  <c:v>22893.58000000014</c:v>
                </c:pt>
                <c:pt idx="430">
                  <c:v>22893.58000000014</c:v>
                </c:pt>
                <c:pt idx="431">
                  <c:v>22893.58000000014</c:v>
                </c:pt>
                <c:pt idx="432">
                  <c:v>22893.58000000014</c:v>
                </c:pt>
                <c:pt idx="433">
                  <c:v>22893.58000000014</c:v>
                </c:pt>
                <c:pt idx="434">
                  <c:v>22893.58000000014</c:v>
                </c:pt>
                <c:pt idx="435">
                  <c:v>22893.58000000014</c:v>
                </c:pt>
                <c:pt idx="436">
                  <c:v>22893.58000000014</c:v>
                </c:pt>
                <c:pt idx="437">
                  <c:v>22893.58000000014</c:v>
                </c:pt>
                <c:pt idx="438">
                  <c:v>22893.58000000014</c:v>
                </c:pt>
                <c:pt idx="439">
                  <c:v>22893.58000000014</c:v>
                </c:pt>
                <c:pt idx="440">
                  <c:v>22893.58000000014</c:v>
                </c:pt>
                <c:pt idx="441">
                  <c:v>22893.58000000014</c:v>
                </c:pt>
                <c:pt idx="442">
                  <c:v>22893.58000000014</c:v>
                </c:pt>
                <c:pt idx="443">
                  <c:v>23693.58000000014</c:v>
                </c:pt>
                <c:pt idx="444">
                  <c:v>23693.58000000014</c:v>
                </c:pt>
                <c:pt idx="445">
                  <c:v>24573.58000000014</c:v>
                </c:pt>
                <c:pt idx="446">
                  <c:v>24573.58000000014</c:v>
                </c:pt>
                <c:pt idx="447">
                  <c:v>24573.58000000014</c:v>
                </c:pt>
                <c:pt idx="448">
                  <c:v>24573.58000000014</c:v>
                </c:pt>
                <c:pt idx="449">
                  <c:v>24573.58000000014</c:v>
                </c:pt>
                <c:pt idx="450">
                  <c:v>24573.58000000014</c:v>
                </c:pt>
                <c:pt idx="451">
                  <c:v>24573.58000000014</c:v>
                </c:pt>
                <c:pt idx="452">
                  <c:v>24573.58000000014</c:v>
                </c:pt>
                <c:pt idx="453">
                  <c:v>24573.58000000014</c:v>
                </c:pt>
                <c:pt idx="454">
                  <c:v>24573.58000000014</c:v>
                </c:pt>
                <c:pt idx="455">
                  <c:v>24573.58000000014</c:v>
                </c:pt>
                <c:pt idx="456">
                  <c:v>24573.58000000014</c:v>
                </c:pt>
                <c:pt idx="457">
                  <c:v>24973.580000000344</c:v>
                </c:pt>
                <c:pt idx="458">
                  <c:v>24973.580000000344</c:v>
                </c:pt>
                <c:pt idx="459">
                  <c:v>24973.580000000344</c:v>
                </c:pt>
                <c:pt idx="460">
                  <c:v>24973.580000000344</c:v>
                </c:pt>
                <c:pt idx="461">
                  <c:v>24973.580000000344</c:v>
                </c:pt>
                <c:pt idx="462">
                  <c:v>24973.580000000344</c:v>
                </c:pt>
                <c:pt idx="463">
                  <c:v>24973.580000000344</c:v>
                </c:pt>
                <c:pt idx="464">
                  <c:v>24973.580000000344</c:v>
                </c:pt>
                <c:pt idx="465">
                  <c:v>24973.580000000344</c:v>
                </c:pt>
                <c:pt idx="466">
                  <c:v>24973.580000000344</c:v>
                </c:pt>
                <c:pt idx="467">
                  <c:v>24973.580000000344</c:v>
                </c:pt>
                <c:pt idx="468">
                  <c:v>24973.580000000344</c:v>
                </c:pt>
                <c:pt idx="469">
                  <c:v>24973.580000000344</c:v>
                </c:pt>
                <c:pt idx="470">
                  <c:v>24973.580000000344</c:v>
                </c:pt>
                <c:pt idx="471">
                  <c:v>24973.580000000344</c:v>
                </c:pt>
                <c:pt idx="472">
                  <c:v>24973.580000000344</c:v>
                </c:pt>
                <c:pt idx="473">
                  <c:v>24973.580000000344</c:v>
                </c:pt>
                <c:pt idx="474">
                  <c:v>24973.580000000344</c:v>
                </c:pt>
                <c:pt idx="475">
                  <c:v>25373.580000000344</c:v>
                </c:pt>
                <c:pt idx="476">
                  <c:v>25773.580000000344</c:v>
                </c:pt>
                <c:pt idx="477">
                  <c:v>26573.580000000344</c:v>
                </c:pt>
                <c:pt idx="478">
                  <c:v>27533.580000000344</c:v>
                </c:pt>
                <c:pt idx="479">
                  <c:v>27533.580000000344</c:v>
                </c:pt>
                <c:pt idx="480">
                  <c:v>27933.580000000344</c:v>
                </c:pt>
                <c:pt idx="481">
                  <c:v>28733.580000000344</c:v>
                </c:pt>
                <c:pt idx="482">
                  <c:v>28733.580000000344</c:v>
                </c:pt>
                <c:pt idx="483">
                  <c:v>26333.580000000344</c:v>
                </c:pt>
                <c:pt idx="484">
                  <c:v>23533.580000000344</c:v>
                </c:pt>
                <c:pt idx="485">
                  <c:v>20333.580000000344</c:v>
                </c:pt>
                <c:pt idx="486">
                  <c:v>19533.580000000344</c:v>
                </c:pt>
                <c:pt idx="487">
                  <c:v>19533.580000000344</c:v>
                </c:pt>
                <c:pt idx="488">
                  <c:v>19837.580000000344</c:v>
                </c:pt>
                <c:pt idx="489">
                  <c:v>19837.580000000344</c:v>
                </c:pt>
                <c:pt idx="490">
                  <c:v>19837.580000000344</c:v>
                </c:pt>
                <c:pt idx="491">
                  <c:v>19837.580000000344</c:v>
                </c:pt>
                <c:pt idx="492">
                  <c:v>19837.580000000344</c:v>
                </c:pt>
                <c:pt idx="493">
                  <c:v>19837.580000000344</c:v>
                </c:pt>
                <c:pt idx="494">
                  <c:v>19837.580000000344</c:v>
                </c:pt>
                <c:pt idx="495">
                  <c:v>19837.580000000344</c:v>
                </c:pt>
                <c:pt idx="496">
                  <c:v>19837.580000000344</c:v>
                </c:pt>
                <c:pt idx="497">
                  <c:v>19837.580000000344</c:v>
                </c:pt>
                <c:pt idx="498">
                  <c:v>19837.580000000344</c:v>
                </c:pt>
                <c:pt idx="499">
                  <c:v>22116.437142857485</c:v>
                </c:pt>
                <c:pt idx="500">
                  <c:v>23316.437142857485</c:v>
                </c:pt>
                <c:pt idx="501">
                  <c:v>23316.437142857485</c:v>
                </c:pt>
                <c:pt idx="502">
                  <c:v>23636.437142857485</c:v>
                </c:pt>
                <c:pt idx="503">
                  <c:v>23636.437142857485</c:v>
                </c:pt>
                <c:pt idx="504">
                  <c:v>23636.437142857485</c:v>
                </c:pt>
                <c:pt idx="505">
                  <c:v>23636.437142857485</c:v>
                </c:pt>
                <c:pt idx="506">
                  <c:v>24596.437142857485</c:v>
                </c:pt>
                <c:pt idx="507">
                  <c:v>24596.437142857485</c:v>
                </c:pt>
                <c:pt idx="508">
                  <c:v>24596.437142857485</c:v>
                </c:pt>
                <c:pt idx="509">
                  <c:v>24596.437142857485</c:v>
                </c:pt>
                <c:pt idx="510">
                  <c:v>24596.437142857485</c:v>
                </c:pt>
                <c:pt idx="511">
                  <c:v>24596.437142857485</c:v>
                </c:pt>
                <c:pt idx="512">
                  <c:v>24644.437142857485</c:v>
                </c:pt>
                <c:pt idx="513">
                  <c:v>24644.437142857485</c:v>
                </c:pt>
                <c:pt idx="514">
                  <c:v>24644.437142857485</c:v>
                </c:pt>
                <c:pt idx="515">
                  <c:v>24644.437142857485</c:v>
                </c:pt>
                <c:pt idx="516">
                  <c:v>24644.437142857485</c:v>
                </c:pt>
                <c:pt idx="517">
                  <c:v>24644.437142857485</c:v>
                </c:pt>
                <c:pt idx="518">
                  <c:v>24644.437142857485</c:v>
                </c:pt>
                <c:pt idx="519">
                  <c:v>25924.437142857485</c:v>
                </c:pt>
                <c:pt idx="520">
                  <c:v>25924.437142857485</c:v>
                </c:pt>
                <c:pt idx="521">
                  <c:v>30847.637142857486</c:v>
                </c:pt>
                <c:pt idx="522">
                  <c:v>30847.637142857486</c:v>
                </c:pt>
                <c:pt idx="523">
                  <c:v>31487.637142857486</c:v>
                </c:pt>
                <c:pt idx="524">
                  <c:v>31487.637142857486</c:v>
                </c:pt>
                <c:pt idx="525">
                  <c:v>31487.637142857486</c:v>
                </c:pt>
                <c:pt idx="526">
                  <c:v>30047.637142857486</c:v>
                </c:pt>
                <c:pt idx="527">
                  <c:v>30047.637142857486</c:v>
                </c:pt>
                <c:pt idx="528">
                  <c:v>30047.637142857486</c:v>
                </c:pt>
                <c:pt idx="529">
                  <c:v>30047.637142857486</c:v>
                </c:pt>
                <c:pt idx="530">
                  <c:v>30047.637142857486</c:v>
                </c:pt>
                <c:pt idx="531">
                  <c:v>30047.637142857486</c:v>
                </c:pt>
                <c:pt idx="532">
                  <c:v>30047.637142857486</c:v>
                </c:pt>
                <c:pt idx="533">
                  <c:v>30047.637142857486</c:v>
                </c:pt>
                <c:pt idx="534">
                  <c:v>30047.637142857486</c:v>
                </c:pt>
                <c:pt idx="535">
                  <c:v>30047.637142857486</c:v>
                </c:pt>
                <c:pt idx="536">
                  <c:v>30047.637142857486</c:v>
                </c:pt>
                <c:pt idx="537">
                  <c:v>30047.637142857486</c:v>
                </c:pt>
                <c:pt idx="538">
                  <c:v>30047.637142857486</c:v>
                </c:pt>
                <c:pt idx="539">
                  <c:v>30047.637142857486</c:v>
                </c:pt>
                <c:pt idx="540">
                  <c:v>30047.637142857486</c:v>
                </c:pt>
                <c:pt idx="541">
                  <c:v>30047.637142857486</c:v>
                </c:pt>
                <c:pt idx="542">
                  <c:v>30047.637142857486</c:v>
                </c:pt>
                <c:pt idx="543">
                  <c:v>30047.637142857486</c:v>
                </c:pt>
                <c:pt idx="544">
                  <c:v>30047.637142857486</c:v>
                </c:pt>
                <c:pt idx="545">
                  <c:v>30047.637142857486</c:v>
                </c:pt>
                <c:pt idx="546">
                  <c:v>30047.637142857486</c:v>
                </c:pt>
                <c:pt idx="547">
                  <c:v>30047.637142857486</c:v>
                </c:pt>
                <c:pt idx="548">
                  <c:v>33887.637142857486</c:v>
                </c:pt>
                <c:pt idx="549">
                  <c:v>30047.637142857486</c:v>
                </c:pt>
                <c:pt idx="550">
                  <c:v>30047.637142857486</c:v>
                </c:pt>
                <c:pt idx="551">
                  <c:v>30047.637142857486</c:v>
                </c:pt>
                <c:pt idx="552">
                  <c:v>32687.637142857486</c:v>
                </c:pt>
                <c:pt idx="553">
                  <c:v>33887.637142857486</c:v>
                </c:pt>
                <c:pt idx="554">
                  <c:v>35167.637142857486</c:v>
                </c:pt>
                <c:pt idx="555">
                  <c:v>36367.637142857486</c:v>
                </c:pt>
                <c:pt idx="556">
                  <c:v>14725.423836163412</c:v>
                </c:pt>
                <c:pt idx="557">
                  <c:v>36367.637142857486</c:v>
                </c:pt>
                <c:pt idx="558">
                  <c:v>36367.637142857486</c:v>
                </c:pt>
                <c:pt idx="559">
                  <c:v>36367.637142857486</c:v>
                </c:pt>
                <c:pt idx="560">
                  <c:v>36367.637142857486</c:v>
                </c:pt>
                <c:pt idx="561">
                  <c:v>35983.637142857486</c:v>
                </c:pt>
                <c:pt idx="562">
                  <c:v>34187.273506493846</c:v>
                </c:pt>
                <c:pt idx="563">
                  <c:v>34187.273506493846</c:v>
                </c:pt>
                <c:pt idx="564">
                  <c:v>34187.273506493846</c:v>
                </c:pt>
                <c:pt idx="565">
                  <c:v>34827.273506493846</c:v>
                </c:pt>
                <c:pt idx="566">
                  <c:v>34827.273506493846</c:v>
                </c:pt>
                <c:pt idx="567">
                  <c:v>34827.273506493846</c:v>
                </c:pt>
                <c:pt idx="568">
                  <c:v>35467.273506493846</c:v>
                </c:pt>
                <c:pt idx="569">
                  <c:v>16085.423836163443</c:v>
                </c:pt>
                <c:pt idx="570">
                  <c:v>35467.273506493846</c:v>
                </c:pt>
                <c:pt idx="571">
                  <c:v>36107.273506493846</c:v>
                </c:pt>
                <c:pt idx="572">
                  <c:v>16085.423836163443</c:v>
                </c:pt>
                <c:pt idx="573">
                  <c:v>36107.273506493846</c:v>
                </c:pt>
                <c:pt idx="574">
                  <c:v>36107.273506493846</c:v>
                </c:pt>
                <c:pt idx="575">
                  <c:v>36107.273506493846</c:v>
                </c:pt>
                <c:pt idx="576">
                  <c:v>16085.423836163443</c:v>
                </c:pt>
                <c:pt idx="577">
                  <c:v>14725.423836163412</c:v>
                </c:pt>
                <c:pt idx="578">
                  <c:v>36107.273506493846</c:v>
                </c:pt>
                <c:pt idx="579">
                  <c:v>36107.273506493846</c:v>
                </c:pt>
                <c:pt idx="580">
                  <c:v>36107.273506493846</c:v>
                </c:pt>
                <c:pt idx="581">
                  <c:v>36107.273506493846</c:v>
                </c:pt>
                <c:pt idx="582">
                  <c:v>35787.273506493846</c:v>
                </c:pt>
                <c:pt idx="583">
                  <c:v>35787.273506493846</c:v>
                </c:pt>
                <c:pt idx="584">
                  <c:v>37355.273506493846</c:v>
                </c:pt>
                <c:pt idx="585">
                  <c:v>35787.273506493846</c:v>
                </c:pt>
                <c:pt idx="586">
                  <c:v>35787.273506493846</c:v>
                </c:pt>
                <c:pt idx="587">
                  <c:v>38523.273506493846</c:v>
                </c:pt>
                <c:pt idx="588">
                  <c:v>36027.273506493846</c:v>
                </c:pt>
                <c:pt idx="589">
                  <c:v>36027.273506493846</c:v>
                </c:pt>
                <c:pt idx="590">
                  <c:v>36827.273506493846</c:v>
                </c:pt>
                <c:pt idx="591">
                  <c:v>36827.273506493846</c:v>
                </c:pt>
                <c:pt idx="592">
                  <c:v>37627.273506493846</c:v>
                </c:pt>
                <c:pt idx="593">
                  <c:v>38267.273506493846</c:v>
                </c:pt>
                <c:pt idx="594">
                  <c:v>38523.273506493846</c:v>
                </c:pt>
                <c:pt idx="595">
                  <c:v>38523.273506493846</c:v>
                </c:pt>
                <c:pt idx="596">
                  <c:v>38523.273506493846</c:v>
                </c:pt>
                <c:pt idx="597">
                  <c:v>39483.273506493846</c:v>
                </c:pt>
                <c:pt idx="598">
                  <c:v>39483.273506493846</c:v>
                </c:pt>
                <c:pt idx="599">
                  <c:v>39483.273506493846</c:v>
                </c:pt>
                <c:pt idx="600">
                  <c:v>37355.273506493846</c:v>
                </c:pt>
                <c:pt idx="601">
                  <c:v>39483.273506493846</c:v>
                </c:pt>
                <c:pt idx="602">
                  <c:v>39483.273506493846</c:v>
                </c:pt>
                <c:pt idx="603">
                  <c:v>39483.273506493846</c:v>
                </c:pt>
                <c:pt idx="604">
                  <c:v>39483.273506493846</c:v>
                </c:pt>
                <c:pt idx="605">
                  <c:v>39483.273506493846</c:v>
                </c:pt>
                <c:pt idx="606">
                  <c:v>38763.273506493846</c:v>
                </c:pt>
                <c:pt idx="607">
                  <c:v>38763.273506493846</c:v>
                </c:pt>
                <c:pt idx="608">
                  <c:v>38763.273506493846</c:v>
                </c:pt>
                <c:pt idx="609">
                  <c:v>37483.273506493846</c:v>
                </c:pt>
                <c:pt idx="610">
                  <c:v>36523.273506493846</c:v>
                </c:pt>
                <c:pt idx="611">
                  <c:v>37323.273506493846</c:v>
                </c:pt>
                <c:pt idx="612">
                  <c:v>37323.273506493846</c:v>
                </c:pt>
                <c:pt idx="613">
                  <c:v>37355.273506493846</c:v>
                </c:pt>
                <c:pt idx="614">
                  <c:v>37355.273506493846</c:v>
                </c:pt>
                <c:pt idx="615">
                  <c:v>37355.273506493846</c:v>
                </c:pt>
                <c:pt idx="616">
                  <c:v>37355.273506493846</c:v>
                </c:pt>
                <c:pt idx="617">
                  <c:v>37355.273506493846</c:v>
                </c:pt>
                <c:pt idx="618">
                  <c:v>37355.273506493846</c:v>
                </c:pt>
                <c:pt idx="619">
                  <c:v>37355.273506493846</c:v>
                </c:pt>
                <c:pt idx="620">
                  <c:v>37355.273506493846</c:v>
                </c:pt>
                <c:pt idx="621">
                  <c:v>16085.423836163443</c:v>
                </c:pt>
                <c:pt idx="622">
                  <c:v>38635.273506493846</c:v>
                </c:pt>
                <c:pt idx="623">
                  <c:v>38635.273506493846</c:v>
                </c:pt>
                <c:pt idx="624">
                  <c:v>39275.273506493846</c:v>
                </c:pt>
                <c:pt idx="625">
                  <c:v>39435.273506493846</c:v>
                </c:pt>
                <c:pt idx="626">
                  <c:v>39771.273506493846</c:v>
                </c:pt>
                <c:pt idx="627">
                  <c:v>39771.273506493846</c:v>
                </c:pt>
                <c:pt idx="628">
                  <c:v>16085.423836163443</c:v>
                </c:pt>
                <c:pt idx="629">
                  <c:v>39771.273506493846</c:v>
                </c:pt>
                <c:pt idx="630">
                  <c:v>39771.273506493846</c:v>
                </c:pt>
                <c:pt idx="631">
                  <c:v>39771.273506493846</c:v>
                </c:pt>
                <c:pt idx="632">
                  <c:v>39771.273506493846</c:v>
                </c:pt>
                <c:pt idx="633">
                  <c:v>39771.273506493846</c:v>
                </c:pt>
                <c:pt idx="634">
                  <c:v>39771.273506493846</c:v>
                </c:pt>
                <c:pt idx="635">
                  <c:v>39771.273506493846</c:v>
                </c:pt>
                <c:pt idx="636">
                  <c:v>39771.273506493846</c:v>
                </c:pt>
                <c:pt idx="637">
                  <c:v>39771.273506493846</c:v>
                </c:pt>
                <c:pt idx="638">
                  <c:v>39771.273506493846</c:v>
                </c:pt>
                <c:pt idx="639">
                  <c:v>37851.273506493846</c:v>
                </c:pt>
                <c:pt idx="640">
                  <c:v>16085.423836163443</c:v>
                </c:pt>
                <c:pt idx="641">
                  <c:v>36036.873506493845</c:v>
                </c:pt>
                <c:pt idx="642">
                  <c:v>35716.873506493845</c:v>
                </c:pt>
                <c:pt idx="643">
                  <c:v>16085.423836163443</c:v>
                </c:pt>
                <c:pt idx="644">
                  <c:v>35716.873506493845</c:v>
                </c:pt>
                <c:pt idx="645">
                  <c:v>35716.873506493845</c:v>
                </c:pt>
                <c:pt idx="646">
                  <c:v>31576.759220779561</c:v>
                </c:pt>
                <c:pt idx="647">
                  <c:v>35716.873506493845</c:v>
                </c:pt>
                <c:pt idx="648">
                  <c:v>31576.759220779561</c:v>
                </c:pt>
                <c:pt idx="649">
                  <c:v>36124.873506493845</c:v>
                </c:pt>
                <c:pt idx="650">
                  <c:v>36124.873506493845</c:v>
                </c:pt>
                <c:pt idx="651">
                  <c:v>36124.873506493845</c:v>
                </c:pt>
                <c:pt idx="652">
                  <c:v>36124.873506493845</c:v>
                </c:pt>
                <c:pt idx="653">
                  <c:v>36124.873506493845</c:v>
                </c:pt>
                <c:pt idx="654">
                  <c:v>36124.873506493845</c:v>
                </c:pt>
                <c:pt idx="655">
                  <c:v>36124.873506493845</c:v>
                </c:pt>
                <c:pt idx="656">
                  <c:v>36124.873506493845</c:v>
                </c:pt>
                <c:pt idx="657">
                  <c:v>36124.873506493845</c:v>
                </c:pt>
                <c:pt idx="658">
                  <c:v>36124.873506493845</c:v>
                </c:pt>
                <c:pt idx="659">
                  <c:v>36124.873506493845</c:v>
                </c:pt>
                <c:pt idx="660">
                  <c:v>34684.873506493845</c:v>
                </c:pt>
                <c:pt idx="661">
                  <c:v>34684.873506493845</c:v>
                </c:pt>
                <c:pt idx="662">
                  <c:v>34684.873506493845</c:v>
                </c:pt>
                <c:pt idx="663">
                  <c:v>34684.873506493845</c:v>
                </c:pt>
                <c:pt idx="664">
                  <c:v>34684.873506493845</c:v>
                </c:pt>
                <c:pt idx="665">
                  <c:v>30799.159220779558</c:v>
                </c:pt>
                <c:pt idx="666">
                  <c:v>28879.159220779558</c:v>
                </c:pt>
                <c:pt idx="667">
                  <c:v>31576.759220779561</c:v>
                </c:pt>
                <c:pt idx="668">
                  <c:v>23519.159220779562</c:v>
                </c:pt>
                <c:pt idx="669">
                  <c:v>23519.159220779562</c:v>
                </c:pt>
                <c:pt idx="670">
                  <c:v>23519.159220779562</c:v>
                </c:pt>
                <c:pt idx="671">
                  <c:v>25576.759220779561</c:v>
                </c:pt>
                <c:pt idx="672">
                  <c:v>22664.759220779561</c:v>
                </c:pt>
                <c:pt idx="673">
                  <c:v>22664.759220779561</c:v>
                </c:pt>
                <c:pt idx="674">
                  <c:v>23336.759220779561</c:v>
                </c:pt>
                <c:pt idx="675">
                  <c:v>25576.759220779561</c:v>
                </c:pt>
                <c:pt idx="676">
                  <c:v>23336.759220779561</c:v>
                </c:pt>
                <c:pt idx="677">
                  <c:v>23336.759220779561</c:v>
                </c:pt>
                <c:pt idx="678">
                  <c:v>23336.759220779561</c:v>
                </c:pt>
                <c:pt idx="679">
                  <c:v>23336.759220779561</c:v>
                </c:pt>
                <c:pt idx="680">
                  <c:v>23336.759220779561</c:v>
                </c:pt>
                <c:pt idx="681">
                  <c:v>23336.759220779561</c:v>
                </c:pt>
                <c:pt idx="682">
                  <c:v>23336.759220779561</c:v>
                </c:pt>
                <c:pt idx="683">
                  <c:v>23336.759220779561</c:v>
                </c:pt>
                <c:pt idx="684">
                  <c:v>25576.759220779561</c:v>
                </c:pt>
                <c:pt idx="685">
                  <c:v>23336.759220779561</c:v>
                </c:pt>
                <c:pt idx="686">
                  <c:v>23336.759220779561</c:v>
                </c:pt>
                <c:pt idx="687">
                  <c:v>23336.759220779561</c:v>
                </c:pt>
                <c:pt idx="688">
                  <c:v>23336.759220779561</c:v>
                </c:pt>
                <c:pt idx="689">
                  <c:v>23336.759220779561</c:v>
                </c:pt>
                <c:pt idx="690">
                  <c:v>23336.759220779561</c:v>
                </c:pt>
                <c:pt idx="691">
                  <c:v>23336.759220779561</c:v>
                </c:pt>
                <c:pt idx="692">
                  <c:v>23336.759220779561</c:v>
                </c:pt>
                <c:pt idx="693">
                  <c:v>23336.759220779561</c:v>
                </c:pt>
                <c:pt idx="694">
                  <c:v>23336.759220779561</c:v>
                </c:pt>
                <c:pt idx="695">
                  <c:v>23336.759220779561</c:v>
                </c:pt>
                <c:pt idx="696">
                  <c:v>23336.759220779561</c:v>
                </c:pt>
                <c:pt idx="697">
                  <c:v>25576.759220779561</c:v>
                </c:pt>
                <c:pt idx="698">
                  <c:v>25576.759220779561</c:v>
                </c:pt>
                <c:pt idx="699">
                  <c:v>25576.759220779561</c:v>
                </c:pt>
                <c:pt idx="700">
                  <c:v>25576.759220779561</c:v>
                </c:pt>
                <c:pt idx="701">
                  <c:v>25576.759220779561</c:v>
                </c:pt>
                <c:pt idx="702">
                  <c:v>25576.759220779561</c:v>
                </c:pt>
                <c:pt idx="703">
                  <c:v>31576.759220779561</c:v>
                </c:pt>
                <c:pt idx="704">
                  <c:v>25576.759220779561</c:v>
                </c:pt>
                <c:pt idx="705">
                  <c:v>25576.759220779561</c:v>
                </c:pt>
                <c:pt idx="706">
                  <c:v>25576.759220779561</c:v>
                </c:pt>
                <c:pt idx="707">
                  <c:v>25576.759220779561</c:v>
                </c:pt>
                <c:pt idx="708">
                  <c:v>25576.759220779561</c:v>
                </c:pt>
                <c:pt idx="709">
                  <c:v>25576.759220779561</c:v>
                </c:pt>
                <c:pt idx="710">
                  <c:v>26136.759220779561</c:v>
                </c:pt>
                <c:pt idx="711">
                  <c:v>27736.759220779561</c:v>
                </c:pt>
                <c:pt idx="712">
                  <c:v>31576.759220779561</c:v>
                </c:pt>
                <c:pt idx="713">
                  <c:v>27736.759220779561</c:v>
                </c:pt>
                <c:pt idx="714">
                  <c:v>27736.759220779561</c:v>
                </c:pt>
                <c:pt idx="715">
                  <c:v>31576.759220779561</c:v>
                </c:pt>
                <c:pt idx="716">
                  <c:v>31576.759220779561</c:v>
                </c:pt>
                <c:pt idx="717">
                  <c:v>27736.759220779561</c:v>
                </c:pt>
                <c:pt idx="718">
                  <c:v>27736.759220779561</c:v>
                </c:pt>
                <c:pt idx="719">
                  <c:v>31576.759220779561</c:v>
                </c:pt>
                <c:pt idx="720">
                  <c:v>27736.759220779561</c:v>
                </c:pt>
                <c:pt idx="721">
                  <c:v>27736.759220779561</c:v>
                </c:pt>
                <c:pt idx="722">
                  <c:v>31336.759220779561</c:v>
                </c:pt>
                <c:pt idx="723">
                  <c:v>31576.759220779561</c:v>
                </c:pt>
                <c:pt idx="724">
                  <c:v>31576.759220779561</c:v>
                </c:pt>
                <c:pt idx="725">
                  <c:v>31576.759220779561</c:v>
                </c:pt>
                <c:pt idx="726">
                  <c:v>31576.759220779561</c:v>
                </c:pt>
                <c:pt idx="727">
                  <c:v>31576.759220779561</c:v>
                </c:pt>
                <c:pt idx="728">
                  <c:v>31576.759220779561</c:v>
                </c:pt>
                <c:pt idx="729">
                  <c:v>31576.759220779561</c:v>
                </c:pt>
                <c:pt idx="730">
                  <c:v>31576.759220779561</c:v>
                </c:pt>
                <c:pt idx="731">
                  <c:v>31576.759220779561</c:v>
                </c:pt>
                <c:pt idx="732">
                  <c:v>16085.423836163443</c:v>
                </c:pt>
                <c:pt idx="733">
                  <c:v>17144.143836163403</c:v>
                </c:pt>
                <c:pt idx="734">
                  <c:v>31576.759220779561</c:v>
                </c:pt>
                <c:pt idx="735">
                  <c:v>31576.759220779561</c:v>
                </c:pt>
                <c:pt idx="736">
                  <c:v>31576.759220779561</c:v>
                </c:pt>
                <c:pt idx="737">
                  <c:v>31576.759220779561</c:v>
                </c:pt>
                <c:pt idx="738">
                  <c:v>31576.759220779561</c:v>
                </c:pt>
                <c:pt idx="739">
                  <c:v>17144.143836163403</c:v>
                </c:pt>
                <c:pt idx="740">
                  <c:v>31576.759220779561</c:v>
                </c:pt>
                <c:pt idx="741">
                  <c:v>31576.759220779561</c:v>
                </c:pt>
                <c:pt idx="742">
                  <c:v>32776.759220779561</c:v>
                </c:pt>
                <c:pt idx="743">
                  <c:v>31576.759220779561</c:v>
                </c:pt>
                <c:pt idx="744">
                  <c:v>31576.759220779561</c:v>
                </c:pt>
                <c:pt idx="745">
                  <c:v>31576.759220779561</c:v>
                </c:pt>
                <c:pt idx="746">
                  <c:v>31576.759220779561</c:v>
                </c:pt>
                <c:pt idx="747">
                  <c:v>32776.759220779561</c:v>
                </c:pt>
                <c:pt idx="748">
                  <c:v>31576.759220779561</c:v>
                </c:pt>
                <c:pt idx="749">
                  <c:v>31576.759220779561</c:v>
                </c:pt>
                <c:pt idx="750">
                  <c:v>31576.759220779561</c:v>
                </c:pt>
                <c:pt idx="751">
                  <c:v>31576.759220779561</c:v>
                </c:pt>
                <c:pt idx="752">
                  <c:v>31576.759220779561</c:v>
                </c:pt>
                <c:pt idx="753">
                  <c:v>31576.759220779561</c:v>
                </c:pt>
                <c:pt idx="754">
                  <c:v>31576.759220779561</c:v>
                </c:pt>
                <c:pt idx="755">
                  <c:v>32776.759220779561</c:v>
                </c:pt>
                <c:pt idx="756">
                  <c:v>32776.759220779561</c:v>
                </c:pt>
                <c:pt idx="757">
                  <c:v>32776.759220779561</c:v>
                </c:pt>
                <c:pt idx="758">
                  <c:v>32776.759220779561</c:v>
                </c:pt>
                <c:pt idx="759">
                  <c:v>32776.759220779561</c:v>
                </c:pt>
                <c:pt idx="760">
                  <c:v>32776.759220779561</c:v>
                </c:pt>
                <c:pt idx="761">
                  <c:v>32776.759220779561</c:v>
                </c:pt>
                <c:pt idx="762">
                  <c:v>32776.759220779561</c:v>
                </c:pt>
                <c:pt idx="763">
                  <c:v>34464.143836164178</c:v>
                </c:pt>
                <c:pt idx="764">
                  <c:v>32776.759220779561</c:v>
                </c:pt>
                <c:pt idx="765">
                  <c:v>32776.759220779561</c:v>
                </c:pt>
                <c:pt idx="766">
                  <c:v>32776.759220779561</c:v>
                </c:pt>
                <c:pt idx="767">
                  <c:v>32776.759220779561</c:v>
                </c:pt>
                <c:pt idx="768">
                  <c:v>32936.759220779561</c:v>
                </c:pt>
                <c:pt idx="769">
                  <c:v>32936.759220779561</c:v>
                </c:pt>
                <c:pt idx="770">
                  <c:v>32848.143836164178</c:v>
                </c:pt>
                <c:pt idx="771">
                  <c:v>32848.143836164178</c:v>
                </c:pt>
                <c:pt idx="772">
                  <c:v>32848.143836164178</c:v>
                </c:pt>
                <c:pt idx="773">
                  <c:v>32848.143836164178</c:v>
                </c:pt>
                <c:pt idx="774">
                  <c:v>32848.143836164178</c:v>
                </c:pt>
                <c:pt idx="775">
                  <c:v>34464.143836164178</c:v>
                </c:pt>
                <c:pt idx="776">
                  <c:v>35024.14383616417</c:v>
                </c:pt>
                <c:pt idx="777">
                  <c:v>34464.143836164178</c:v>
                </c:pt>
                <c:pt idx="778">
                  <c:v>34464.143836164178</c:v>
                </c:pt>
                <c:pt idx="779">
                  <c:v>34464.143836164178</c:v>
                </c:pt>
                <c:pt idx="780">
                  <c:v>34464.143836164178</c:v>
                </c:pt>
                <c:pt idx="781">
                  <c:v>34464.143836164178</c:v>
                </c:pt>
                <c:pt idx="782">
                  <c:v>34464.143836164178</c:v>
                </c:pt>
                <c:pt idx="783">
                  <c:v>34464.143836164178</c:v>
                </c:pt>
                <c:pt idx="784">
                  <c:v>34464.143836164178</c:v>
                </c:pt>
                <c:pt idx="785">
                  <c:v>34464.143836164178</c:v>
                </c:pt>
                <c:pt idx="786">
                  <c:v>35024.14383616417</c:v>
                </c:pt>
                <c:pt idx="787">
                  <c:v>34464.143836164178</c:v>
                </c:pt>
                <c:pt idx="788">
                  <c:v>34224.143836164178</c:v>
                </c:pt>
                <c:pt idx="789">
                  <c:v>35024.14383616417</c:v>
                </c:pt>
                <c:pt idx="790">
                  <c:v>34224.143836164178</c:v>
                </c:pt>
                <c:pt idx="791">
                  <c:v>34224.143836164178</c:v>
                </c:pt>
                <c:pt idx="792">
                  <c:v>34224.143836164178</c:v>
                </c:pt>
                <c:pt idx="793">
                  <c:v>35024.14383616417</c:v>
                </c:pt>
                <c:pt idx="794">
                  <c:v>35024.14383616417</c:v>
                </c:pt>
                <c:pt idx="795">
                  <c:v>35024.14383616417</c:v>
                </c:pt>
                <c:pt idx="796">
                  <c:v>34608.14383616417</c:v>
                </c:pt>
                <c:pt idx="797">
                  <c:v>35024.14383616417</c:v>
                </c:pt>
                <c:pt idx="798">
                  <c:v>35024.14383616417</c:v>
                </c:pt>
                <c:pt idx="799">
                  <c:v>34608.14383616417</c:v>
                </c:pt>
                <c:pt idx="800">
                  <c:v>35024.14383616417</c:v>
                </c:pt>
                <c:pt idx="801">
                  <c:v>35024.14383616417</c:v>
                </c:pt>
                <c:pt idx="802">
                  <c:v>34224.14383616417</c:v>
                </c:pt>
                <c:pt idx="803">
                  <c:v>34608.14383616417</c:v>
                </c:pt>
                <c:pt idx="804">
                  <c:v>35024.14383616417</c:v>
                </c:pt>
                <c:pt idx="805">
                  <c:v>35024.14383616417</c:v>
                </c:pt>
                <c:pt idx="806">
                  <c:v>35024.14383616417</c:v>
                </c:pt>
                <c:pt idx="807">
                  <c:v>34224.14383616417</c:v>
                </c:pt>
                <c:pt idx="808">
                  <c:v>34224.14383616417</c:v>
                </c:pt>
                <c:pt idx="809">
                  <c:v>34224.14383616417</c:v>
                </c:pt>
                <c:pt idx="810">
                  <c:v>34224.14383616417</c:v>
                </c:pt>
                <c:pt idx="811">
                  <c:v>34224.14383616417</c:v>
                </c:pt>
                <c:pt idx="812">
                  <c:v>34224.14383616417</c:v>
                </c:pt>
                <c:pt idx="813">
                  <c:v>34224.14383616417</c:v>
                </c:pt>
                <c:pt idx="814">
                  <c:v>34608.14383616417</c:v>
                </c:pt>
                <c:pt idx="815">
                  <c:v>17144.143836163403</c:v>
                </c:pt>
                <c:pt idx="816">
                  <c:v>34224.14383616417</c:v>
                </c:pt>
                <c:pt idx="817">
                  <c:v>34704.14383616417</c:v>
                </c:pt>
                <c:pt idx="818">
                  <c:v>34608.14383616417</c:v>
                </c:pt>
                <c:pt idx="819">
                  <c:v>34704.14383616417</c:v>
                </c:pt>
                <c:pt idx="820">
                  <c:v>34704.14383616417</c:v>
                </c:pt>
                <c:pt idx="821">
                  <c:v>34704.14383616417</c:v>
                </c:pt>
                <c:pt idx="822">
                  <c:v>34704.14383616417</c:v>
                </c:pt>
                <c:pt idx="823">
                  <c:v>34608.14383616417</c:v>
                </c:pt>
                <c:pt idx="824">
                  <c:v>17144.143836163403</c:v>
                </c:pt>
                <c:pt idx="825">
                  <c:v>34608.14383616417</c:v>
                </c:pt>
                <c:pt idx="826">
                  <c:v>34608.14383616417</c:v>
                </c:pt>
                <c:pt idx="827">
                  <c:v>34608.14383616417</c:v>
                </c:pt>
                <c:pt idx="828">
                  <c:v>17144.143836163403</c:v>
                </c:pt>
                <c:pt idx="829">
                  <c:v>17144.143836163403</c:v>
                </c:pt>
                <c:pt idx="830">
                  <c:v>34608.14383616417</c:v>
                </c:pt>
                <c:pt idx="831">
                  <c:v>34608.14383616417</c:v>
                </c:pt>
                <c:pt idx="832">
                  <c:v>33408.14383616417</c:v>
                </c:pt>
                <c:pt idx="833">
                  <c:v>27752.14383616417</c:v>
                </c:pt>
                <c:pt idx="834">
                  <c:v>27752.14383616417</c:v>
                </c:pt>
                <c:pt idx="835">
                  <c:v>17144.143836163403</c:v>
                </c:pt>
                <c:pt idx="836">
                  <c:v>17144.143836163403</c:v>
                </c:pt>
                <c:pt idx="837">
                  <c:v>27752.14383616417</c:v>
                </c:pt>
                <c:pt idx="838">
                  <c:v>17144.143836163403</c:v>
                </c:pt>
                <c:pt idx="839">
                  <c:v>17144.143836163403</c:v>
                </c:pt>
                <c:pt idx="840">
                  <c:v>27752.14383616417</c:v>
                </c:pt>
                <c:pt idx="841">
                  <c:v>30504.143836164167</c:v>
                </c:pt>
                <c:pt idx="842">
                  <c:v>30504.143836164167</c:v>
                </c:pt>
                <c:pt idx="843">
                  <c:v>30504.143836164167</c:v>
                </c:pt>
                <c:pt idx="844">
                  <c:v>30504.143836164167</c:v>
                </c:pt>
                <c:pt idx="845">
                  <c:v>30504.143836164167</c:v>
                </c:pt>
                <c:pt idx="846">
                  <c:v>19464.143836163403</c:v>
                </c:pt>
                <c:pt idx="847">
                  <c:v>17144.143836163403</c:v>
                </c:pt>
                <c:pt idx="848">
                  <c:v>30504.143836164167</c:v>
                </c:pt>
                <c:pt idx="849">
                  <c:v>30184.143836164003</c:v>
                </c:pt>
                <c:pt idx="850">
                  <c:v>19464.143836163403</c:v>
                </c:pt>
                <c:pt idx="851">
                  <c:v>17144.143836163403</c:v>
                </c:pt>
                <c:pt idx="852">
                  <c:v>30184.143836164003</c:v>
                </c:pt>
                <c:pt idx="853">
                  <c:v>30184.143836164003</c:v>
                </c:pt>
                <c:pt idx="854">
                  <c:v>30184.143836164003</c:v>
                </c:pt>
                <c:pt idx="855">
                  <c:v>26344.143836163403</c:v>
                </c:pt>
                <c:pt idx="856">
                  <c:v>25064.143836163403</c:v>
                </c:pt>
                <c:pt idx="857">
                  <c:v>25064.143836163403</c:v>
                </c:pt>
                <c:pt idx="858">
                  <c:v>22664.143836163403</c:v>
                </c:pt>
                <c:pt idx="859">
                  <c:v>22664.143836163403</c:v>
                </c:pt>
                <c:pt idx="860">
                  <c:v>19464.143836163403</c:v>
                </c:pt>
                <c:pt idx="861">
                  <c:v>19464.143836163403</c:v>
                </c:pt>
                <c:pt idx="862">
                  <c:v>19464.143836163403</c:v>
                </c:pt>
                <c:pt idx="863">
                  <c:v>17144.143836163403</c:v>
                </c:pt>
                <c:pt idx="864">
                  <c:v>17144.143836163403</c:v>
                </c:pt>
                <c:pt idx="865">
                  <c:v>19464.143836163403</c:v>
                </c:pt>
                <c:pt idx="866">
                  <c:v>19464.143836163403</c:v>
                </c:pt>
                <c:pt idx="867">
                  <c:v>18264.143836163403</c:v>
                </c:pt>
                <c:pt idx="868">
                  <c:v>17144.143836163403</c:v>
                </c:pt>
                <c:pt idx="869">
                  <c:v>17144.143836163403</c:v>
                </c:pt>
                <c:pt idx="870">
                  <c:v>17144.143836163403</c:v>
                </c:pt>
                <c:pt idx="871">
                  <c:v>17144.143836163403</c:v>
                </c:pt>
                <c:pt idx="872">
                  <c:v>17144.143836163403</c:v>
                </c:pt>
                <c:pt idx="873">
                  <c:v>17144.143836163403</c:v>
                </c:pt>
                <c:pt idx="874">
                  <c:v>17144.143836163403</c:v>
                </c:pt>
                <c:pt idx="875">
                  <c:v>17144.143836163403</c:v>
                </c:pt>
                <c:pt idx="876">
                  <c:v>17144.143836163403</c:v>
                </c:pt>
                <c:pt idx="877">
                  <c:v>17144.143836163403</c:v>
                </c:pt>
                <c:pt idx="878">
                  <c:v>17144.143836163403</c:v>
                </c:pt>
                <c:pt idx="879">
                  <c:v>17144.143836163403</c:v>
                </c:pt>
                <c:pt idx="880">
                  <c:v>17144.143836163403</c:v>
                </c:pt>
                <c:pt idx="881">
                  <c:v>17144.143836163403</c:v>
                </c:pt>
                <c:pt idx="882">
                  <c:v>17144.143836163403</c:v>
                </c:pt>
                <c:pt idx="883">
                  <c:v>17144.143836163403</c:v>
                </c:pt>
                <c:pt idx="884">
                  <c:v>17144.143836163403</c:v>
                </c:pt>
                <c:pt idx="885">
                  <c:v>17144.143836163403</c:v>
                </c:pt>
                <c:pt idx="886">
                  <c:v>17144.143836163403</c:v>
                </c:pt>
                <c:pt idx="887">
                  <c:v>17144.143836163403</c:v>
                </c:pt>
                <c:pt idx="888">
                  <c:v>17144.143836163403</c:v>
                </c:pt>
                <c:pt idx="889">
                  <c:v>2260.1334672059916</c:v>
                </c:pt>
                <c:pt idx="890">
                  <c:v>17144.143836163403</c:v>
                </c:pt>
                <c:pt idx="891">
                  <c:v>17144.143836163403</c:v>
                </c:pt>
                <c:pt idx="892">
                  <c:v>17144.143836163403</c:v>
                </c:pt>
                <c:pt idx="893">
                  <c:v>17144.143836163403</c:v>
                </c:pt>
                <c:pt idx="894">
                  <c:v>17144.143836163403</c:v>
                </c:pt>
                <c:pt idx="895">
                  <c:v>17144.143836163403</c:v>
                </c:pt>
                <c:pt idx="896">
                  <c:v>17144.143836163403</c:v>
                </c:pt>
                <c:pt idx="897">
                  <c:v>17144.143836163403</c:v>
                </c:pt>
                <c:pt idx="898">
                  <c:v>17144.143836163403</c:v>
                </c:pt>
                <c:pt idx="899">
                  <c:v>17144.143836163403</c:v>
                </c:pt>
                <c:pt idx="900">
                  <c:v>17144.143836163403</c:v>
                </c:pt>
                <c:pt idx="901">
                  <c:v>17144.143836163403</c:v>
                </c:pt>
                <c:pt idx="902">
                  <c:v>17144.143836163403</c:v>
                </c:pt>
                <c:pt idx="903">
                  <c:v>15912.143836163443</c:v>
                </c:pt>
                <c:pt idx="904">
                  <c:v>17144.143836163403</c:v>
                </c:pt>
                <c:pt idx="905">
                  <c:v>17144.143836163403</c:v>
                </c:pt>
                <c:pt idx="906">
                  <c:v>17144.143836163403</c:v>
                </c:pt>
                <c:pt idx="907">
                  <c:v>17144.143836163403</c:v>
                </c:pt>
                <c:pt idx="908">
                  <c:v>17144.143836163403</c:v>
                </c:pt>
                <c:pt idx="909">
                  <c:v>17144.143836163403</c:v>
                </c:pt>
                <c:pt idx="910">
                  <c:v>17144.143836163403</c:v>
                </c:pt>
                <c:pt idx="911">
                  <c:v>17144.143836163403</c:v>
                </c:pt>
                <c:pt idx="912">
                  <c:v>17144.143836163403</c:v>
                </c:pt>
                <c:pt idx="913">
                  <c:v>15912.143836163443</c:v>
                </c:pt>
                <c:pt idx="914">
                  <c:v>15816.143836163405</c:v>
                </c:pt>
                <c:pt idx="915">
                  <c:v>15816.143836163405</c:v>
                </c:pt>
                <c:pt idx="916">
                  <c:v>15816.143836163405</c:v>
                </c:pt>
                <c:pt idx="917">
                  <c:v>15816.143836163405</c:v>
                </c:pt>
                <c:pt idx="918">
                  <c:v>15816.143836163405</c:v>
                </c:pt>
                <c:pt idx="919">
                  <c:v>16072.14383616341</c:v>
                </c:pt>
                <c:pt idx="920">
                  <c:v>16072.14383616341</c:v>
                </c:pt>
                <c:pt idx="921">
                  <c:v>16072.14383616341</c:v>
                </c:pt>
                <c:pt idx="922">
                  <c:v>16072.14383616341</c:v>
                </c:pt>
                <c:pt idx="923">
                  <c:v>16072.14383616341</c:v>
                </c:pt>
                <c:pt idx="924">
                  <c:v>15912.143836163443</c:v>
                </c:pt>
                <c:pt idx="925">
                  <c:v>15912.143836163443</c:v>
                </c:pt>
                <c:pt idx="926">
                  <c:v>15912.143836163443</c:v>
                </c:pt>
                <c:pt idx="927">
                  <c:v>15912.143836163443</c:v>
                </c:pt>
                <c:pt idx="928">
                  <c:v>15912.143836163443</c:v>
                </c:pt>
                <c:pt idx="929">
                  <c:v>15912.143836163443</c:v>
                </c:pt>
                <c:pt idx="930">
                  <c:v>15912.143836163443</c:v>
                </c:pt>
                <c:pt idx="931">
                  <c:v>16085.423836163443</c:v>
                </c:pt>
                <c:pt idx="932">
                  <c:v>16440.143836163443</c:v>
                </c:pt>
                <c:pt idx="933">
                  <c:v>16440.143836163443</c:v>
                </c:pt>
                <c:pt idx="934">
                  <c:v>16440.143836163443</c:v>
                </c:pt>
                <c:pt idx="935">
                  <c:v>16440.143836163443</c:v>
                </c:pt>
                <c:pt idx="936">
                  <c:v>16680.143836163443</c:v>
                </c:pt>
                <c:pt idx="937">
                  <c:v>16936.143836163443</c:v>
                </c:pt>
                <c:pt idx="938">
                  <c:v>16936.143836163443</c:v>
                </c:pt>
                <c:pt idx="939">
                  <c:v>16936.143836163443</c:v>
                </c:pt>
                <c:pt idx="940">
                  <c:v>16085.423836163443</c:v>
                </c:pt>
                <c:pt idx="941">
                  <c:v>16936.143836163443</c:v>
                </c:pt>
                <c:pt idx="942">
                  <c:v>17080.143836163443</c:v>
                </c:pt>
                <c:pt idx="943">
                  <c:v>17080.143836163443</c:v>
                </c:pt>
                <c:pt idx="944">
                  <c:v>16470.223836163445</c:v>
                </c:pt>
                <c:pt idx="945">
                  <c:v>16201.423836163443</c:v>
                </c:pt>
                <c:pt idx="946">
                  <c:v>15737.423836163443</c:v>
                </c:pt>
                <c:pt idx="947">
                  <c:v>15737.423836163443</c:v>
                </c:pt>
                <c:pt idx="948">
                  <c:v>16085.423836163443</c:v>
                </c:pt>
                <c:pt idx="949">
                  <c:v>15881.423836163443</c:v>
                </c:pt>
                <c:pt idx="950">
                  <c:v>15881.423836163443</c:v>
                </c:pt>
                <c:pt idx="951">
                  <c:v>15881.423836163443</c:v>
                </c:pt>
                <c:pt idx="952">
                  <c:v>15881.423836163443</c:v>
                </c:pt>
                <c:pt idx="953">
                  <c:v>15881.423836163443</c:v>
                </c:pt>
                <c:pt idx="954">
                  <c:v>15881.423836163443</c:v>
                </c:pt>
                <c:pt idx="955">
                  <c:v>15881.423836163443</c:v>
                </c:pt>
                <c:pt idx="956">
                  <c:v>15881.423836163443</c:v>
                </c:pt>
                <c:pt idx="957">
                  <c:v>15881.423836163443</c:v>
                </c:pt>
                <c:pt idx="958">
                  <c:v>16085.423836163443</c:v>
                </c:pt>
                <c:pt idx="959">
                  <c:v>15881.423836163443</c:v>
                </c:pt>
                <c:pt idx="960">
                  <c:v>15881.423836163443</c:v>
                </c:pt>
                <c:pt idx="961">
                  <c:v>16025.423836163443</c:v>
                </c:pt>
                <c:pt idx="962">
                  <c:v>15881.423836163443</c:v>
                </c:pt>
                <c:pt idx="963">
                  <c:v>16025.423836163443</c:v>
                </c:pt>
                <c:pt idx="964">
                  <c:v>16025.423836163443</c:v>
                </c:pt>
                <c:pt idx="965">
                  <c:v>16025.423836163443</c:v>
                </c:pt>
                <c:pt idx="966">
                  <c:v>16025.423836163443</c:v>
                </c:pt>
                <c:pt idx="967">
                  <c:v>16085.423836163443</c:v>
                </c:pt>
                <c:pt idx="968">
                  <c:v>16085.423836163443</c:v>
                </c:pt>
                <c:pt idx="969">
                  <c:v>16085.423836163443</c:v>
                </c:pt>
                <c:pt idx="970">
                  <c:v>16085.423836163443</c:v>
                </c:pt>
                <c:pt idx="971">
                  <c:v>16085.423836163443</c:v>
                </c:pt>
                <c:pt idx="972">
                  <c:v>16085.423836163443</c:v>
                </c:pt>
                <c:pt idx="973">
                  <c:v>16085.423836163443</c:v>
                </c:pt>
                <c:pt idx="974">
                  <c:v>16085.423836163443</c:v>
                </c:pt>
                <c:pt idx="975">
                  <c:v>16085.423836163443</c:v>
                </c:pt>
                <c:pt idx="976">
                  <c:v>16085.423836163443</c:v>
                </c:pt>
                <c:pt idx="977">
                  <c:v>16085.423836163443</c:v>
                </c:pt>
                <c:pt idx="978">
                  <c:v>16085.423836163443</c:v>
                </c:pt>
                <c:pt idx="979">
                  <c:v>16085.423836163443</c:v>
                </c:pt>
                <c:pt idx="980">
                  <c:v>16085.423836163443</c:v>
                </c:pt>
                <c:pt idx="981">
                  <c:v>16085.423836163443</c:v>
                </c:pt>
                <c:pt idx="982">
                  <c:v>16085.423836163443</c:v>
                </c:pt>
                <c:pt idx="983">
                  <c:v>16085.423836163443</c:v>
                </c:pt>
                <c:pt idx="984">
                  <c:v>16085.423836163443</c:v>
                </c:pt>
                <c:pt idx="985">
                  <c:v>16085.423836163443</c:v>
                </c:pt>
                <c:pt idx="986">
                  <c:v>16085.423836163443</c:v>
                </c:pt>
                <c:pt idx="987">
                  <c:v>16085.423836163443</c:v>
                </c:pt>
                <c:pt idx="988">
                  <c:v>16085.423836163443</c:v>
                </c:pt>
                <c:pt idx="989">
                  <c:v>16085.423836163443</c:v>
                </c:pt>
                <c:pt idx="990">
                  <c:v>2260.1334672059916</c:v>
                </c:pt>
                <c:pt idx="991">
                  <c:v>14645.423836163443</c:v>
                </c:pt>
                <c:pt idx="992">
                  <c:v>14645.423836163443</c:v>
                </c:pt>
                <c:pt idx="993">
                  <c:v>14645.423836163443</c:v>
                </c:pt>
                <c:pt idx="994">
                  <c:v>14645.423836163443</c:v>
                </c:pt>
                <c:pt idx="995">
                  <c:v>14645.423836163443</c:v>
                </c:pt>
                <c:pt idx="996">
                  <c:v>14645.423836163443</c:v>
                </c:pt>
                <c:pt idx="997">
                  <c:v>14693.423836163443</c:v>
                </c:pt>
                <c:pt idx="998">
                  <c:v>14949.423836163445</c:v>
                </c:pt>
                <c:pt idx="999">
                  <c:v>14949.423836163445</c:v>
                </c:pt>
                <c:pt idx="1000">
                  <c:v>14949.423836163445</c:v>
                </c:pt>
                <c:pt idx="1001">
                  <c:v>14949.423836163445</c:v>
                </c:pt>
                <c:pt idx="1002">
                  <c:v>14725.423836163412</c:v>
                </c:pt>
                <c:pt idx="1003">
                  <c:v>14725.423836163412</c:v>
                </c:pt>
                <c:pt idx="1004">
                  <c:v>14725.423836163412</c:v>
                </c:pt>
                <c:pt idx="1005">
                  <c:v>14245.423836163525</c:v>
                </c:pt>
                <c:pt idx="1006">
                  <c:v>14245.423836163525</c:v>
                </c:pt>
                <c:pt idx="1007">
                  <c:v>14245.423836163525</c:v>
                </c:pt>
                <c:pt idx="1008">
                  <c:v>14245.423836163525</c:v>
                </c:pt>
                <c:pt idx="1009">
                  <c:v>14245.423836163525</c:v>
                </c:pt>
                <c:pt idx="1010">
                  <c:v>14245.423836163525</c:v>
                </c:pt>
                <c:pt idx="1011">
                  <c:v>14245.423836163525</c:v>
                </c:pt>
                <c:pt idx="1012">
                  <c:v>14245.423836163525</c:v>
                </c:pt>
                <c:pt idx="1013">
                  <c:v>14245.423836163525</c:v>
                </c:pt>
                <c:pt idx="1014">
                  <c:v>14245.423836163525</c:v>
                </c:pt>
                <c:pt idx="1015">
                  <c:v>14245.423836163525</c:v>
                </c:pt>
                <c:pt idx="1016">
                  <c:v>14245.423836163525</c:v>
                </c:pt>
                <c:pt idx="1017">
                  <c:v>14245.423836163525</c:v>
                </c:pt>
                <c:pt idx="1018">
                  <c:v>14245.423836163525</c:v>
                </c:pt>
                <c:pt idx="1019">
                  <c:v>14245.423836163525</c:v>
                </c:pt>
                <c:pt idx="1020">
                  <c:v>14245.423836163525</c:v>
                </c:pt>
                <c:pt idx="1021">
                  <c:v>14245.423836163525</c:v>
                </c:pt>
                <c:pt idx="1022">
                  <c:v>14245.423836163525</c:v>
                </c:pt>
                <c:pt idx="1023">
                  <c:v>14245.423836163525</c:v>
                </c:pt>
                <c:pt idx="1024">
                  <c:v>14245.423836163525</c:v>
                </c:pt>
                <c:pt idx="1025">
                  <c:v>14245.423836163525</c:v>
                </c:pt>
                <c:pt idx="1026">
                  <c:v>14245.423836163525</c:v>
                </c:pt>
                <c:pt idx="1028">
                  <c:v>-607.99999999991883</c:v>
                </c:pt>
                <c:pt idx="1029">
                  <c:v>-607.99999999991883</c:v>
                </c:pt>
                <c:pt idx="1030">
                  <c:v>-607.99999999991883</c:v>
                </c:pt>
                <c:pt idx="1031">
                  <c:v>-607.99999999991883</c:v>
                </c:pt>
                <c:pt idx="1032">
                  <c:v>-607.99999999991883</c:v>
                </c:pt>
                <c:pt idx="1033">
                  <c:v>-607.99999999991883</c:v>
                </c:pt>
                <c:pt idx="1034">
                  <c:v>-607.99999999991883</c:v>
                </c:pt>
                <c:pt idx="1035">
                  <c:v>-607.99999999991883</c:v>
                </c:pt>
                <c:pt idx="1036">
                  <c:v>-607.99999999991883</c:v>
                </c:pt>
                <c:pt idx="1037">
                  <c:v>-607.99999999991883</c:v>
                </c:pt>
                <c:pt idx="1038">
                  <c:v>-607.99999999991883</c:v>
                </c:pt>
                <c:pt idx="1039">
                  <c:v>-607.99999999991883</c:v>
                </c:pt>
                <c:pt idx="1040">
                  <c:v>-607.99999999991883</c:v>
                </c:pt>
                <c:pt idx="1041">
                  <c:v>-607.99999999991883</c:v>
                </c:pt>
                <c:pt idx="1042">
                  <c:v>-607.99999999991883</c:v>
                </c:pt>
                <c:pt idx="1043">
                  <c:v>-607.99999999991883</c:v>
                </c:pt>
                <c:pt idx="1044">
                  <c:v>-607.99999999991883</c:v>
                </c:pt>
                <c:pt idx="1045">
                  <c:v>-607.99999999991883</c:v>
                </c:pt>
                <c:pt idx="1046">
                  <c:v>-607.99999999991883</c:v>
                </c:pt>
                <c:pt idx="1047">
                  <c:v>-607.99999999991883</c:v>
                </c:pt>
                <c:pt idx="1048">
                  <c:v>-607.99999999991883</c:v>
                </c:pt>
                <c:pt idx="1049">
                  <c:v>-607.99999999991883</c:v>
                </c:pt>
                <c:pt idx="1050">
                  <c:v>-607.99999999991883</c:v>
                </c:pt>
                <c:pt idx="1051">
                  <c:v>-607.99999999991883</c:v>
                </c:pt>
                <c:pt idx="1052">
                  <c:v>-607.99999999991883</c:v>
                </c:pt>
                <c:pt idx="1053">
                  <c:v>-607.99999999991883</c:v>
                </c:pt>
                <c:pt idx="1054">
                  <c:v>-607.99999999991883</c:v>
                </c:pt>
                <c:pt idx="1055">
                  <c:v>-607.99999999991883</c:v>
                </c:pt>
                <c:pt idx="1056">
                  <c:v>-607.99999999991883</c:v>
                </c:pt>
                <c:pt idx="1057">
                  <c:v>-607.99999999991883</c:v>
                </c:pt>
                <c:pt idx="1058">
                  <c:v>-607.99999999991883</c:v>
                </c:pt>
                <c:pt idx="1059">
                  <c:v>-607.99999999991883</c:v>
                </c:pt>
                <c:pt idx="1060">
                  <c:v>-607.99999999991883</c:v>
                </c:pt>
                <c:pt idx="1061">
                  <c:v>-607.99999999991883</c:v>
                </c:pt>
                <c:pt idx="1062">
                  <c:v>-607.99999999991883</c:v>
                </c:pt>
                <c:pt idx="1063">
                  <c:v>-607.99999999991883</c:v>
                </c:pt>
                <c:pt idx="1064">
                  <c:v>-607.99999999991883</c:v>
                </c:pt>
                <c:pt idx="1065">
                  <c:v>-607.99999999991883</c:v>
                </c:pt>
                <c:pt idx="1066">
                  <c:v>-607.99999999991883</c:v>
                </c:pt>
                <c:pt idx="1067">
                  <c:v>-607.99999999991883</c:v>
                </c:pt>
                <c:pt idx="1068">
                  <c:v>-607.99999999991883</c:v>
                </c:pt>
                <c:pt idx="1069">
                  <c:v>-607.99999999991883</c:v>
                </c:pt>
                <c:pt idx="1070">
                  <c:v>-607.99999999991883</c:v>
                </c:pt>
                <c:pt idx="1071">
                  <c:v>-607.99999999991883</c:v>
                </c:pt>
                <c:pt idx="1072">
                  <c:v>-607.99999999991883</c:v>
                </c:pt>
                <c:pt idx="1073">
                  <c:v>-607.99999999991883</c:v>
                </c:pt>
                <c:pt idx="1074">
                  <c:v>-607.99999999991883</c:v>
                </c:pt>
                <c:pt idx="1075">
                  <c:v>-607.99999999991883</c:v>
                </c:pt>
                <c:pt idx="1076">
                  <c:v>-607.99999999991883</c:v>
                </c:pt>
                <c:pt idx="1077">
                  <c:v>-607.99999999991883</c:v>
                </c:pt>
                <c:pt idx="1078">
                  <c:v>-607.99999999991883</c:v>
                </c:pt>
                <c:pt idx="1079">
                  <c:v>-607.99999999991883</c:v>
                </c:pt>
                <c:pt idx="1080">
                  <c:v>-607.99999999991883</c:v>
                </c:pt>
                <c:pt idx="1081">
                  <c:v>-607.99999999991883</c:v>
                </c:pt>
                <c:pt idx="1082">
                  <c:v>-607.99999999991883</c:v>
                </c:pt>
                <c:pt idx="1083">
                  <c:v>-607.99999999991883</c:v>
                </c:pt>
                <c:pt idx="1084">
                  <c:v>-607.99999999991883</c:v>
                </c:pt>
                <c:pt idx="1085">
                  <c:v>-607.99999999991883</c:v>
                </c:pt>
                <c:pt idx="1086">
                  <c:v>-607.99999999991883</c:v>
                </c:pt>
                <c:pt idx="1087">
                  <c:v>-607.99999999991883</c:v>
                </c:pt>
                <c:pt idx="1088">
                  <c:v>-607.99999999991883</c:v>
                </c:pt>
                <c:pt idx="1089">
                  <c:v>-607.99999999991883</c:v>
                </c:pt>
                <c:pt idx="1090">
                  <c:v>-607.99999999991883</c:v>
                </c:pt>
                <c:pt idx="1091">
                  <c:v>-607.99999999991883</c:v>
                </c:pt>
                <c:pt idx="1092">
                  <c:v>-607.99999999991883</c:v>
                </c:pt>
                <c:pt idx="1093">
                  <c:v>-607.99999999991883</c:v>
                </c:pt>
                <c:pt idx="1094">
                  <c:v>-607.99999999991883</c:v>
                </c:pt>
                <c:pt idx="1095">
                  <c:v>-607.99999999991883</c:v>
                </c:pt>
                <c:pt idx="1096">
                  <c:v>-607.99999999991883</c:v>
                </c:pt>
                <c:pt idx="1097">
                  <c:v>-607.99999999991883</c:v>
                </c:pt>
                <c:pt idx="1098">
                  <c:v>-607.99999999991883</c:v>
                </c:pt>
                <c:pt idx="1099">
                  <c:v>-607.99999999991883</c:v>
                </c:pt>
                <c:pt idx="1100">
                  <c:v>-607.99999999991883</c:v>
                </c:pt>
                <c:pt idx="1101">
                  <c:v>-607.99999999991883</c:v>
                </c:pt>
                <c:pt idx="1102">
                  <c:v>-607.99999999991883</c:v>
                </c:pt>
                <c:pt idx="1103">
                  <c:v>-607.99999999991883</c:v>
                </c:pt>
                <c:pt idx="1104">
                  <c:v>-607.99999999991883</c:v>
                </c:pt>
                <c:pt idx="1105">
                  <c:v>-607.99999999991883</c:v>
                </c:pt>
                <c:pt idx="1106">
                  <c:v>-607.99999999991883</c:v>
                </c:pt>
                <c:pt idx="1107">
                  <c:v>-607.99999999991883</c:v>
                </c:pt>
                <c:pt idx="1108">
                  <c:v>-607.99999999991883</c:v>
                </c:pt>
                <c:pt idx="1109">
                  <c:v>-607.99999999991883</c:v>
                </c:pt>
                <c:pt idx="1110">
                  <c:v>-607.99999999991883</c:v>
                </c:pt>
                <c:pt idx="1111">
                  <c:v>-607.99999999991883</c:v>
                </c:pt>
                <c:pt idx="1112">
                  <c:v>-607.99999999991883</c:v>
                </c:pt>
                <c:pt idx="1113">
                  <c:v>-607.99999999991883</c:v>
                </c:pt>
                <c:pt idx="1114">
                  <c:v>-607.99999999991883</c:v>
                </c:pt>
                <c:pt idx="1115">
                  <c:v>-607.99999999991883</c:v>
                </c:pt>
                <c:pt idx="1116">
                  <c:v>-607.99999999991883</c:v>
                </c:pt>
                <c:pt idx="1117">
                  <c:v>-607.99999999991883</c:v>
                </c:pt>
                <c:pt idx="1118">
                  <c:v>-607.99999999991883</c:v>
                </c:pt>
                <c:pt idx="1119">
                  <c:v>-607.99999999991883</c:v>
                </c:pt>
                <c:pt idx="1120">
                  <c:v>-607.99999999991883</c:v>
                </c:pt>
                <c:pt idx="1121">
                  <c:v>-607.99999999991883</c:v>
                </c:pt>
                <c:pt idx="1122">
                  <c:v>-607.99999999991883</c:v>
                </c:pt>
                <c:pt idx="1123">
                  <c:v>-607.99999999991883</c:v>
                </c:pt>
                <c:pt idx="1124">
                  <c:v>-607.99999999991883</c:v>
                </c:pt>
                <c:pt idx="1125">
                  <c:v>-607.99999999991883</c:v>
                </c:pt>
                <c:pt idx="1126">
                  <c:v>-607.99999999991883</c:v>
                </c:pt>
                <c:pt idx="1127">
                  <c:v>-607.99999999991883</c:v>
                </c:pt>
                <c:pt idx="1128">
                  <c:v>-607.99999999991883</c:v>
                </c:pt>
                <c:pt idx="1129">
                  <c:v>-607.99999999991883</c:v>
                </c:pt>
                <c:pt idx="1130">
                  <c:v>-607.99999999991883</c:v>
                </c:pt>
                <c:pt idx="1131">
                  <c:v>-607.99999999991883</c:v>
                </c:pt>
                <c:pt idx="1132">
                  <c:v>-607.99999999991883</c:v>
                </c:pt>
                <c:pt idx="1133">
                  <c:v>-607.99999999991883</c:v>
                </c:pt>
                <c:pt idx="1134">
                  <c:v>-607.99999999991883</c:v>
                </c:pt>
                <c:pt idx="1135">
                  <c:v>-607.99999999991883</c:v>
                </c:pt>
                <c:pt idx="1136">
                  <c:v>-607.99999999991883</c:v>
                </c:pt>
                <c:pt idx="1137">
                  <c:v>-607.99999999991883</c:v>
                </c:pt>
                <c:pt idx="1138">
                  <c:v>-607.99999999991883</c:v>
                </c:pt>
                <c:pt idx="1139">
                  <c:v>-607.99999999991883</c:v>
                </c:pt>
                <c:pt idx="1140">
                  <c:v>-607.99999999991883</c:v>
                </c:pt>
                <c:pt idx="1141">
                  <c:v>-607.99999999991883</c:v>
                </c:pt>
                <c:pt idx="1142">
                  <c:v>-607.99999999991883</c:v>
                </c:pt>
                <c:pt idx="1143">
                  <c:v>-607.99999999991883</c:v>
                </c:pt>
                <c:pt idx="1144">
                  <c:v>-607.99999999991883</c:v>
                </c:pt>
                <c:pt idx="1145">
                  <c:v>-607.99999999991883</c:v>
                </c:pt>
                <c:pt idx="1146">
                  <c:v>-607.99999999991883</c:v>
                </c:pt>
                <c:pt idx="1147">
                  <c:v>-607.99999999991883</c:v>
                </c:pt>
                <c:pt idx="1148">
                  <c:v>-607.99999999991883</c:v>
                </c:pt>
                <c:pt idx="1149">
                  <c:v>-607.99999999991883</c:v>
                </c:pt>
                <c:pt idx="1150">
                  <c:v>-607.99999999991883</c:v>
                </c:pt>
                <c:pt idx="1151">
                  <c:v>-607.99999999991883</c:v>
                </c:pt>
                <c:pt idx="1152">
                  <c:v>-607.99999999991883</c:v>
                </c:pt>
                <c:pt idx="1153">
                  <c:v>-607.99999999991883</c:v>
                </c:pt>
                <c:pt idx="1154">
                  <c:v>-607.99999999991883</c:v>
                </c:pt>
                <c:pt idx="1155">
                  <c:v>-607.99999999991883</c:v>
                </c:pt>
                <c:pt idx="1156">
                  <c:v>-607.99999999991883</c:v>
                </c:pt>
                <c:pt idx="1157">
                  <c:v>-607.99999999991883</c:v>
                </c:pt>
                <c:pt idx="1158">
                  <c:v>-607.99999999991883</c:v>
                </c:pt>
                <c:pt idx="1159">
                  <c:v>-607.99999999991883</c:v>
                </c:pt>
                <c:pt idx="1160">
                  <c:v>-607.99999999991883</c:v>
                </c:pt>
                <c:pt idx="1161">
                  <c:v>-607.99999999991883</c:v>
                </c:pt>
                <c:pt idx="1162">
                  <c:v>-607.99999999991883</c:v>
                </c:pt>
                <c:pt idx="1163">
                  <c:v>-607.99999999991883</c:v>
                </c:pt>
                <c:pt idx="1164">
                  <c:v>-607.99999999991883</c:v>
                </c:pt>
                <c:pt idx="1165">
                  <c:v>-607.99999999991883</c:v>
                </c:pt>
                <c:pt idx="1166">
                  <c:v>-607.99999999991883</c:v>
                </c:pt>
                <c:pt idx="1167">
                  <c:v>-607.99999999991883</c:v>
                </c:pt>
                <c:pt idx="1168">
                  <c:v>-607.99999999991883</c:v>
                </c:pt>
                <c:pt idx="1169">
                  <c:v>-607.99999999991883</c:v>
                </c:pt>
                <c:pt idx="1170">
                  <c:v>-607.99999999991883</c:v>
                </c:pt>
                <c:pt idx="1171">
                  <c:v>-607.99999999991883</c:v>
                </c:pt>
                <c:pt idx="1172">
                  <c:v>-607.99999999991883</c:v>
                </c:pt>
                <c:pt idx="1173">
                  <c:v>-607.99999999991883</c:v>
                </c:pt>
                <c:pt idx="1174">
                  <c:v>-607.99999999991883</c:v>
                </c:pt>
                <c:pt idx="1175">
                  <c:v>-607.99999999991883</c:v>
                </c:pt>
                <c:pt idx="1176">
                  <c:v>-607.99999999991883</c:v>
                </c:pt>
                <c:pt idx="1177">
                  <c:v>-607.99999999991883</c:v>
                </c:pt>
                <c:pt idx="1178">
                  <c:v>-607.99999999991883</c:v>
                </c:pt>
                <c:pt idx="1179">
                  <c:v>-607.99999999991883</c:v>
                </c:pt>
                <c:pt idx="1180">
                  <c:v>-607.99999999991883</c:v>
                </c:pt>
                <c:pt idx="1181">
                  <c:v>-607.99999999991883</c:v>
                </c:pt>
                <c:pt idx="1182">
                  <c:v>-607.99999999991883</c:v>
                </c:pt>
                <c:pt idx="1183">
                  <c:v>-607.99999999991883</c:v>
                </c:pt>
                <c:pt idx="1184">
                  <c:v>-607.99999999991883</c:v>
                </c:pt>
                <c:pt idx="1185">
                  <c:v>-607.99999999991883</c:v>
                </c:pt>
                <c:pt idx="1186">
                  <c:v>-607.99999999991883</c:v>
                </c:pt>
                <c:pt idx="1187">
                  <c:v>-607.99999999991883</c:v>
                </c:pt>
                <c:pt idx="1188">
                  <c:v>-607.99999999991883</c:v>
                </c:pt>
                <c:pt idx="1189">
                  <c:v>-607.99999999991883</c:v>
                </c:pt>
                <c:pt idx="1190">
                  <c:v>-607.99999999991883</c:v>
                </c:pt>
                <c:pt idx="1191">
                  <c:v>-607.99999999991883</c:v>
                </c:pt>
                <c:pt idx="1192">
                  <c:v>-607.99999999991883</c:v>
                </c:pt>
                <c:pt idx="1193">
                  <c:v>-607.99999999991883</c:v>
                </c:pt>
                <c:pt idx="1194">
                  <c:v>-607.99999999991883</c:v>
                </c:pt>
                <c:pt idx="1195">
                  <c:v>-607.99999999991883</c:v>
                </c:pt>
                <c:pt idx="1196">
                  <c:v>-607.99999999991883</c:v>
                </c:pt>
                <c:pt idx="1197">
                  <c:v>-607.99999999991883</c:v>
                </c:pt>
                <c:pt idx="1198">
                  <c:v>-607.99999999991883</c:v>
                </c:pt>
                <c:pt idx="1199">
                  <c:v>-607.99999999991883</c:v>
                </c:pt>
                <c:pt idx="1200">
                  <c:v>-607.99999999991883</c:v>
                </c:pt>
                <c:pt idx="1201">
                  <c:v>-607.99999999991883</c:v>
                </c:pt>
                <c:pt idx="1202">
                  <c:v>-607.99999999991883</c:v>
                </c:pt>
                <c:pt idx="1203">
                  <c:v>-607.99999999991883</c:v>
                </c:pt>
                <c:pt idx="1204">
                  <c:v>-607.99999999991883</c:v>
                </c:pt>
                <c:pt idx="1205">
                  <c:v>-607.99999999991883</c:v>
                </c:pt>
                <c:pt idx="1206">
                  <c:v>-607.99999999991883</c:v>
                </c:pt>
                <c:pt idx="1207">
                  <c:v>-607.99999999991883</c:v>
                </c:pt>
                <c:pt idx="1208">
                  <c:v>-607.99999999991883</c:v>
                </c:pt>
                <c:pt idx="1209">
                  <c:v>-607.99999999991883</c:v>
                </c:pt>
                <c:pt idx="1210">
                  <c:v>-607.99999999991883</c:v>
                </c:pt>
                <c:pt idx="1211">
                  <c:v>-607.99999999991883</c:v>
                </c:pt>
                <c:pt idx="1212">
                  <c:v>-607.99999999991883</c:v>
                </c:pt>
                <c:pt idx="1213">
                  <c:v>-607.99999999991883</c:v>
                </c:pt>
                <c:pt idx="1214">
                  <c:v>-607.99999999991883</c:v>
                </c:pt>
                <c:pt idx="1215">
                  <c:v>-607.99999999991883</c:v>
                </c:pt>
                <c:pt idx="1216">
                  <c:v>-607.99999999991883</c:v>
                </c:pt>
                <c:pt idx="1217">
                  <c:v>-607.99999999991883</c:v>
                </c:pt>
                <c:pt idx="1218">
                  <c:v>-607.99999999991883</c:v>
                </c:pt>
                <c:pt idx="1219">
                  <c:v>-607.99999999991883</c:v>
                </c:pt>
                <c:pt idx="1220">
                  <c:v>-607.99999999991883</c:v>
                </c:pt>
                <c:pt idx="1221">
                  <c:v>-607.99999999991883</c:v>
                </c:pt>
                <c:pt idx="1222">
                  <c:v>-607.99999999991883</c:v>
                </c:pt>
                <c:pt idx="1223">
                  <c:v>-607.99999999991883</c:v>
                </c:pt>
                <c:pt idx="1224">
                  <c:v>-607.99999999991883</c:v>
                </c:pt>
                <c:pt idx="1225">
                  <c:v>-607.99999999991883</c:v>
                </c:pt>
                <c:pt idx="1226">
                  <c:v>-607.99999999991883</c:v>
                </c:pt>
                <c:pt idx="1227">
                  <c:v>-607.99999999991883</c:v>
                </c:pt>
                <c:pt idx="1228">
                  <c:v>-607.99999999991883</c:v>
                </c:pt>
                <c:pt idx="1229">
                  <c:v>-607.99999999991883</c:v>
                </c:pt>
                <c:pt idx="1230">
                  <c:v>-607.99999999991883</c:v>
                </c:pt>
                <c:pt idx="1231">
                  <c:v>-607.99999999991883</c:v>
                </c:pt>
                <c:pt idx="1232">
                  <c:v>-607.99999999991883</c:v>
                </c:pt>
                <c:pt idx="1233">
                  <c:v>-607.99999999991883</c:v>
                </c:pt>
                <c:pt idx="1234">
                  <c:v>-607.99999999991883</c:v>
                </c:pt>
                <c:pt idx="1235">
                  <c:v>-607.99999999991883</c:v>
                </c:pt>
                <c:pt idx="1236">
                  <c:v>-607.99999999991883</c:v>
                </c:pt>
                <c:pt idx="1237">
                  <c:v>-607.99999999991883</c:v>
                </c:pt>
                <c:pt idx="1238">
                  <c:v>-607.99999999991883</c:v>
                </c:pt>
              </c:numCache>
            </c:numRef>
          </c:val>
          <c:smooth val="0"/>
          <c:extLst>
            <c:ext xmlns:c16="http://schemas.microsoft.com/office/drawing/2014/chart" uri="{C3380CC4-5D6E-409C-BE32-E72D297353CC}">
              <c16:uniqueId val="{00000000-1996-40BD-8036-CE08B5412D8D}"/>
            </c:ext>
          </c:extLst>
        </c:ser>
        <c:ser>
          <c:idx val="1"/>
          <c:order val="1"/>
          <c:tx>
            <c:v>r</c:v>
          </c:tx>
          <c:spPr>
            <a:ln w="19050" cap="rnd">
              <a:solidFill>
                <a:srgbClr val="660033"/>
              </a:solidFill>
              <a:round/>
            </a:ln>
            <a:effectLst/>
          </c:spPr>
          <c:marker>
            <c:symbol val="none"/>
          </c:marker>
          <c:val>
            <c:numRef>
              <c:f>'Journal Live'!$BL$1388:$BL$2630</c:f>
              <c:numCache>
                <c:formatCode>General</c:formatCode>
                <c:ptCount val="1238"/>
                <c:pt idx="0">
                  <c:v>0</c:v>
                </c:pt>
                <c:pt idx="1">
                  <c:v>0</c:v>
                </c:pt>
                <c:pt idx="2">
                  <c:v>0</c:v>
                </c:pt>
                <c:pt idx="3">
                  <c:v>0</c:v>
                </c:pt>
                <c:pt idx="4">
                  <c:v>0</c:v>
                </c:pt>
                <c:pt idx="5">
                  <c:v>256</c:v>
                </c:pt>
                <c:pt idx="6">
                  <c:v>256</c:v>
                </c:pt>
                <c:pt idx="7">
                  <c:v>256</c:v>
                </c:pt>
                <c:pt idx="8">
                  <c:v>256</c:v>
                </c:pt>
                <c:pt idx="9">
                  <c:v>256</c:v>
                </c:pt>
                <c:pt idx="10">
                  <c:v>256</c:v>
                </c:pt>
                <c:pt idx="11">
                  <c:v>256</c:v>
                </c:pt>
                <c:pt idx="12">
                  <c:v>256</c:v>
                </c:pt>
                <c:pt idx="13">
                  <c:v>256</c:v>
                </c:pt>
                <c:pt idx="14">
                  <c:v>256</c:v>
                </c:pt>
                <c:pt idx="15">
                  <c:v>256</c:v>
                </c:pt>
                <c:pt idx="16">
                  <c:v>256</c:v>
                </c:pt>
                <c:pt idx="17">
                  <c:v>256</c:v>
                </c:pt>
                <c:pt idx="18">
                  <c:v>256</c:v>
                </c:pt>
                <c:pt idx="19">
                  <c:v>256</c:v>
                </c:pt>
                <c:pt idx="20">
                  <c:v>256</c:v>
                </c:pt>
                <c:pt idx="21">
                  <c:v>256</c:v>
                </c:pt>
                <c:pt idx="22">
                  <c:v>256</c:v>
                </c:pt>
                <c:pt idx="23">
                  <c:v>256</c:v>
                </c:pt>
                <c:pt idx="24">
                  <c:v>256</c:v>
                </c:pt>
                <c:pt idx="25">
                  <c:v>256</c:v>
                </c:pt>
                <c:pt idx="26">
                  <c:v>256</c:v>
                </c:pt>
                <c:pt idx="27">
                  <c:v>256</c:v>
                </c:pt>
                <c:pt idx="28">
                  <c:v>256</c:v>
                </c:pt>
                <c:pt idx="29">
                  <c:v>256</c:v>
                </c:pt>
                <c:pt idx="30">
                  <c:v>256</c:v>
                </c:pt>
                <c:pt idx="31">
                  <c:v>256</c:v>
                </c:pt>
                <c:pt idx="32">
                  <c:v>256</c:v>
                </c:pt>
                <c:pt idx="33">
                  <c:v>256</c:v>
                </c:pt>
                <c:pt idx="34">
                  <c:v>256</c:v>
                </c:pt>
                <c:pt idx="35">
                  <c:v>544</c:v>
                </c:pt>
                <c:pt idx="36">
                  <c:v>544</c:v>
                </c:pt>
                <c:pt idx="37">
                  <c:v>544</c:v>
                </c:pt>
                <c:pt idx="38">
                  <c:v>544</c:v>
                </c:pt>
                <c:pt idx="39">
                  <c:v>544</c:v>
                </c:pt>
                <c:pt idx="40">
                  <c:v>544</c:v>
                </c:pt>
                <c:pt idx="41">
                  <c:v>544</c:v>
                </c:pt>
                <c:pt idx="42">
                  <c:v>544</c:v>
                </c:pt>
                <c:pt idx="43">
                  <c:v>544</c:v>
                </c:pt>
                <c:pt idx="44">
                  <c:v>544</c:v>
                </c:pt>
                <c:pt idx="45">
                  <c:v>544</c:v>
                </c:pt>
                <c:pt idx="46">
                  <c:v>544</c:v>
                </c:pt>
                <c:pt idx="47">
                  <c:v>544</c:v>
                </c:pt>
                <c:pt idx="48">
                  <c:v>544</c:v>
                </c:pt>
                <c:pt idx="49">
                  <c:v>1328.0000000000002</c:v>
                </c:pt>
                <c:pt idx="50">
                  <c:v>1328.0000000000002</c:v>
                </c:pt>
                <c:pt idx="51">
                  <c:v>1328.0000000000002</c:v>
                </c:pt>
                <c:pt idx="52">
                  <c:v>1328.0000000000002</c:v>
                </c:pt>
                <c:pt idx="53">
                  <c:v>1328.0000000000002</c:v>
                </c:pt>
                <c:pt idx="54">
                  <c:v>1328.0000000000002</c:v>
                </c:pt>
                <c:pt idx="55">
                  <c:v>1328.0000000000002</c:v>
                </c:pt>
                <c:pt idx="56">
                  <c:v>1328.0000000000002</c:v>
                </c:pt>
                <c:pt idx="57">
                  <c:v>1328.0000000000002</c:v>
                </c:pt>
                <c:pt idx="58">
                  <c:v>1328.0000000000002</c:v>
                </c:pt>
                <c:pt idx="59">
                  <c:v>1328.0000000000002</c:v>
                </c:pt>
                <c:pt idx="60">
                  <c:v>1408.0000000000002</c:v>
                </c:pt>
                <c:pt idx="61">
                  <c:v>1408.0000000000002</c:v>
                </c:pt>
                <c:pt idx="62">
                  <c:v>1408.0000000000002</c:v>
                </c:pt>
                <c:pt idx="63">
                  <c:v>1408.0000000000002</c:v>
                </c:pt>
                <c:pt idx="64">
                  <c:v>1408.0000000000002</c:v>
                </c:pt>
                <c:pt idx="65">
                  <c:v>2000.0000000000002</c:v>
                </c:pt>
                <c:pt idx="66">
                  <c:v>2000.0000000000002</c:v>
                </c:pt>
                <c:pt idx="67">
                  <c:v>1408.0000000000002</c:v>
                </c:pt>
                <c:pt idx="68">
                  <c:v>2000.0000000000002</c:v>
                </c:pt>
                <c:pt idx="69">
                  <c:v>1408.0000000000002</c:v>
                </c:pt>
                <c:pt idx="70">
                  <c:v>1760.0000000000002</c:v>
                </c:pt>
                <c:pt idx="71">
                  <c:v>1840.0000000000002</c:v>
                </c:pt>
                <c:pt idx="72">
                  <c:v>1840.0000000000002</c:v>
                </c:pt>
                <c:pt idx="73">
                  <c:v>1840.0000000000002</c:v>
                </c:pt>
                <c:pt idx="74">
                  <c:v>1840.0000000000002</c:v>
                </c:pt>
                <c:pt idx="75">
                  <c:v>2000.0000000000002</c:v>
                </c:pt>
                <c:pt idx="76">
                  <c:v>1840.0000000000002</c:v>
                </c:pt>
                <c:pt idx="77">
                  <c:v>1840.0000000000002</c:v>
                </c:pt>
                <c:pt idx="78">
                  <c:v>2000.0000000000002</c:v>
                </c:pt>
                <c:pt idx="79">
                  <c:v>1840.0000000000002</c:v>
                </c:pt>
                <c:pt idx="80">
                  <c:v>1840.0000000000002</c:v>
                </c:pt>
                <c:pt idx="81">
                  <c:v>1840.0000000000002</c:v>
                </c:pt>
                <c:pt idx="82">
                  <c:v>1920.0000000000002</c:v>
                </c:pt>
                <c:pt idx="83">
                  <c:v>1920.0000000000002</c:v>
                </c:pt>
                <c:pt idx="84">
                  <c:v>1920.0000000000002</c:v>
                </c:pt>
                <c:pt idx="85">
                  <c:v>1920.0000000000002</c:v>
                </c:pt>
                <c:pt idx="86">
                  <c:v>1920.0000000000002</c:v>
                </c:pt>
                <c:pt idx="87">
                  <c:v>1920.0000000000002</c:v>
                </c:pt>
                <c:pt idx="88">
                  <c:v>1920.0000000000002</c:v>
                </c:pt>
                <c:pt idx="89">
                  <c:v>1920.0000000000002</c:v>
                </c:pt>
                <c:pt idx="90">
                  <c:v>1920.0000000000002</c:v>
                </c:pt>
                <c:pt idx="91">
                  <c:v>2000.0000000000002</c:v>
                </c:pt>
                <c:pt idx="92">
                  <c:v>2000.0000000000002</c:v>
                </c:pt>
                <c:pt idx="93">
                  <c:v>2000.0000000000002</c:v>
                </c:pt>
                <c:pt idx="94">
                  <c:v>2000.0000000000002</c:v>
                </c:pt>
                <c:pt idx="95">
                  <c:v>2000.0000000000002</c:v>
                </c:pt>
                <c:pt idx="96">
                  <c:v>2000.0000000000002</c:v>
                </c:pt>
                <c:pt idx="97">
                  <c:v>2000.0000000000002</c:v>
                </c:pt>
                <c:pt idx="98">
                  <c:v>2000.0000000000002</c:v>
                </c:pt>
                <c:pt idx="99">
                  <c:v>2000.0000000000002</c:v>
                </c:pt>
                <c:pt idx="100">
                  <c:v>2000.0000000000002</c:v>
                </c:pt>
                <c:pt idx="101">
                  <c:v>2000.0000000000002</c:v>
                </c:pt>
                <c:pt idx="102">
                  <c:v>2000.0000000000002</c:v>
                </c:pt>
                <c:pt idx="103">
                  <c:v>2000.0000000000002</c:v>
                </c:pt>
                <c:pt idx="104">
                  <c:v>2000.0000000000002</c:v>
                </c:pt>
                <c:pt idx="105">
                  <c:v>2000.0000000000002</c:v>
                </c:pt>
                <c:pt idx="106">
                  <c:v>2000.0000000000002</c:v>
                </c:pt>
                <c:pt idx="107">
                  <c:v>2000.0000000000002</c:v>
                </c:pt>
                <c:pt idx="108">
                  <c:v>2000.0000000000002</c:v>
                </c:pt>
                <c:pt idx="109">
                  <c:v>2000.0000000000002</c:v>
                </c:pt>
                <c:pt idx="110">
                  <c:v>2000.0000000000002</c:v>
                </c:pt>
                <c:pt idx="111">
                  <c:v>2000.0000000000002</c:v>
                </c:pt>
                <c:pt idx="112">
                  <c:v>2000.0000000000002</c:v>
                </c:pt>
                <c:pt idx="113">
                  <c:v>2000.0000000000002</c:v>
                </c:pt>
                <c:pt idx="114">
                  <c:v>2000.0000000000002</c:v>
                </c:pt>
                <c:pt idx="115">
                  <c:v>2000.0000000000002</c:v>
                </c:pt>
                <c:pt idx="116">
                  <c:v>2000.0000000000002</c:v>
                </c:pt>
                <c:pt idx="117">
                  <c:v>2000.0000000000002</c:v>
                </c:pt>
                <c:pt idx="118">
                  <c:v>2000.0000000000002</c:v>
                </c:pt>
                <c:pt idx="119">
                  <c:v>2000.0000000000002</c:v>
                </c:pt>
                <c:pt idx="120">
                  <c:v>2000.0000000000002</c:v>
                </c:pt>
                <c:pt idx="121">
                  <c:v>2000.0000000000002</c:v>
                </c:pt>
                <c:pt idx="122">
                  <c:v>2000.0000000000002</c:v>
                </c:pt>
                <c:pt idx="123">
                  <c:v>2000.0000000000002</c:v>
                </c:pt>
                <c:pt idx="124">
                  <c:v>2000.0000000000002</c:v>
                </c:pt>
                <c:pt idx="125">
                  <c:v>2000.0000000000002</c:v>
                </c:pt>
                <c:pt idx="126">
                  <c:v>2000.0000000000002</c:v>
                </c:pt>
                <c:pt idx="127">
                  <c:v>2000.0000000000002</c:v>
                </c:pt>
                <c:pt idx="128">
                  <c:v>2000.0000000000002</c:v>
                </c:pt>
                <c:pt idx="129">
                  <c:v>2000.0000000000002</c:v>
                </c:pt>
                <c:pt idx="130">
                  <c:v>2000.0000000000002</c:v>
                </c:pt>
                <c:pt idx="131">
                  <c:v>21038.800000000316</c:v>
                </c:pt>
                <c:pt idx="132">
                  <c:v>2000.0000000000002</c:v>
                </c:pt>
                <c:pt idx="133">
                  <c:v>4181.9999999999991</c:v>
                </c:pt>
                <c:pt idx="134">
                  <c:v>4181.9999999999991</c:v>
                </c:pt>
                <c:pt idx="135">
                  <c:v>2000.0000000000002</c:v>
                </c:pt>
                <c:pt idx="136">
                  <c:v>2000.0000000000002</c:v>
                </c:pt>
                <c:pt idx="137">
                  <c:v>2000.0000000000002</c:v>
                </c:pt>
                <c:pt idx="138">
                  <c:v>4181.9999999999991</c:v>
                </c:pt>
                <c:pt idx="139">
                  <c:v>2000.0000000000002</c:v>
                </c:pt>
                <c:pt idx="140">
                  <c:v>2000.0000000000002</c:v>
                </c:pt>
                <c:pt idx="141">
                  <c:v>2894.0000000000005</c:v>
                </c:pt>
                <c:pt idx="142">
                  <c:v>2894.0000000000005</c:v>
                </c:pt>
                <c:pt idx="143">
                  <c:v>2894.0000000000005</c:v>
                </c:pt>
                <c:pt idx="144">
                  <c:v>2894.0000000000005</c:v>
                </c:pt>
                <c:pt idx="145">
                  <c:v>2894.0000000000005</c:v>
                </c:pt>
                <c:pt idx="146">
                  <c:v>2894.0000000000005</c:v>
                </c:pt>
                <c:pt idx="147">
                  <c:v>2894.0000000000005</c:v>
                </c:pt>
                <c:pt idx="148">
                  <c:v>2894.0000000000005</c:v>
                </c:pt>
                <c:pt idx="149">
                  <c:v>2894.0000000000005</c:v>
                </c:pt>
                <c:pt idx="150">
                  <c:v>2894.0000000000005</c:v>
                </c:pt>
                <c:pt idx="151">
                  <c:v>2894.0000000000005</c:v>
                </c:pt>
                <c:pt idx="152">
                  <c:v>4181.9999999999991</c:v>
                </c:pt>
                <c:pt idx="153">
                  <c:v>2894.0000000000005</c:v>
                </c:pt>
                <c:pt idx="154">
                  <c:v>2894.0000000000005</c:v>
                </c:pt>
                <c:pt idx="155">
                  <c:v>2974.0000000000005</c:v>
                </c:pt>
                <c:pt idx="156">
                  <c:v>4181.9999999999991</c:v>
                </c:pt>
                <c:pt idx="157">
                  <c:v>2974.0000000000005</c:v>
                </c:pt>
                <c:pt idx="158">
                  <c:v>2974.0000000000005</c:v>
                </c:pt>
                <c:pt idx="159">
                  <c:v>4181.9999999999991</c:v>
                </c:pt>
                <c:pt idx="160">
                  <c:v>2974.0000000000005</c:v>
                </c:pt>
                <c:pt idx="161">
                  <c:v>2974.0000000000005</c:v>
                </c:pt>
                <c:pt idx="162">
                  <c:v>4181.9999999999991</c:v>
                </c:pt>
                <c:pt idx="163">
                  <c:v>2974.0000000000005</c:v>
                </c:pt>
                <c:pt idx="164">
                  <c:v>2974.0000000000005</c:v>
                </c:pt>
                <c:pt idx="165">
                  <c:v>2974.0000000000005</c:v>
                </c:pt>
                <c:pt idx="166">
                  <c:v>2974.0000000000005</c:v>
                </c:pt>
                <c:pt idx="167">
                  <c:v>2974.0000000000005</c:v>
                </c:pt>
                <c:pt idx="168">
                  <c:v>2974.0000000000005</c:v>
                </c:pt>
                <c:pt idx="169">
                  <c:v>4181.9999999999991</c:v>
                </c:pt>
                <c:pt idx="170">
                  <c:v>2974.0000000000005</c:v>
                </c:pt>
                <c:pt idx="171">
                  <c:v>3054.0000000000005</c:v>
                </c:pt>
                <c:pt idx="172">
                  <c:v>3054.0000000000005</c:v>
                </c:pt>
                <c:pt idx="173">
                  <c:v>3054.0000000000005</c:v>
                </c:pt>
                <c:pt idx="174">
                  <c:v>3054.0000000000005</c:v>
                </c:pt>
                <c:pt idx="175">
                  <c:v>3054.0000000000005</c:v>
                </c:pt>
                <c:pt idx="176">
                  <c:v>3054.0000000000005</c:v>
                </c:pt>
                <c:pt idx="177">
                  <c:v>4206</c:v>
                </c:pt>
                <c:pt idx="178">
                  <c:v>4206</c:v>
                </c:pt>
                <c:pt idx="179">
                  <c:v>4181.9999999999991</c:v>
                </c:pt>
                <c:pt idx="180">
                  <c:v>4206</c:v>
                </c:pt>
                <c:pt idx="181">
                  <c:v>4206</c:v>
                </c:pt>
                <c:pt idx="182">
                  <c:v>4206</c:v>
                </c:pt>
                <c:pt idx="183">
                  <c:v>4206</c:v>
                </c:pt>
                <c:pt idx="184">
                  <c:v>4206</c:v>
                </c:pt>
                <c:pt idx="185">
                  <c:v>4206</c:v>
                </c:pt>
                <c:pt idx="186">
                  <c:v>4206</c:v>
                </c:pt>
                <c:pt idx="187">
                  <c:v>4206</c:v>
                </c:pt>
                <c:pt idx="188">
                  <c:v>4206</c:v>
                </c:pt>
                <c:pt idx="189">
                  <c:v>4206</c:v>
                </c:pt>
                <c:pt idx="190">
                  <c:v>4206</c:v>
                </c:pt>
                <c:pt idx="191">
                  <c:v>4206</c:v>
                </c:pt>
                <c:pt idx="192">
                  <c:v>5106</c:v>
                </c:pt>
                <c:pt idx="193">
                  <c:v>4206</c:v>
                </c:pt>
                <c:pt idx="194">
                  <c:v>4206</c:v>
                </c:pt>
                <c:pt idx="195">
                  <c:v>4206</c:v>
                </c:pt>
                <c:pt idx="196">
                  <c:v>4206</c:v>
                </c:pt>
                <c:pt idx="197">
                  <c:v>4206</c:v>
                </c:pt>
                <c:pt idx="198">
                  <c:v>5106</c:v>
                </c:pt>
                <c:pt idx="199">
                  <c:v>4206</c:v>
                </c:pt>
                <c:pt idx="200">
                  <c:v>4206</c:v>
                </c:pt>
                <c:pt idx="201">
                  <c:v>4506</c:v>
                </c:pt>
                <c:pt idx="202">
                  <c:v>5106</c:v>
                </c:pt>
                <c:pt idx="203">
                  <c:v>5106</c:v>
                </c:pt>
                <c:pt idx="204">
                  <c:v>5106</c:v>
                </c:pt>
                <c:pt idx="205">
                  <c:v>5106</c:v>
                </c:pt>
                <c:pt idx="206">
                  <c:v>5106</c:v>
                </c:pt>
                <c:pt idx="207">
                  <c:v>5106</c:v>
                </c:pt>
                <c:pt idx="208">
                  <c:v>4066</c:v>
                </c:pt>
                <c:pt idx="209">
                  <c:v>5186</c:v>
                </c:pt>
                <c:pt idx="210">
                  <c:v>5186</c:v>
                </c:pt>
                <c:pt idx="211">
                  <c:v>5266</c:v>
                </c:pt>
                <c:pt idx="212">
                  <c:v>5346</c:v>
                </c:pt>
                <c:pt idx="213">
                  <c:v>5346</c:v>
                </c:pt>
                <c:pt idx="214">
                  <c:v>5346</c:v>
                </c:pt>
                <c:pt idx="215">
                  <c:v>5346</c:v>
                </c:pt>
                <c:pt idx="216">
                  <c:v>5346</c:v>
                </c:pt>
                <c:pt idx="217">
                  <c:v>5346</c:v>
                </c:pt>
                <c:pt idx="218">
                  <c:v>5346</c:v>
                </c:pt>
                <c:pt idx="219">
                  <c:v>5346</c:v>
                </c:pt>
                <c:pt idx="220">
                  <c:v>5426</c:v>
                </c:pt>
                <c:pt idx="221">
                  <c:v>5266</c:v>
                </c:pt>
                <c:pt idx="222">
                  <c:v>4066</c:v>
                </c:pt>
                <c:pt idx="223">
                  <c:v>5426</c:v>
                </c:pt>
                <c:pt idx="224">
                  <c:v>5266</c:v>
                </c:pt>
                <c:pt idx="225">
                  <c:v>4066</c:v>
                </c:pt>
                <c:pt idx="226">
                  <c:v>4021.9999999999991</c:v>
                </c:pt>
                <c:pt idx="227">
                  <c:v>4021.9999999999991</c:v>
                </c:pt>
                <c:pt idx="228">
                  <c:v>4021.9999999999991</c:v>
                </c:pt>
                <c:pt idx="229">
                  <c:v>4021.9999999999991</c:v>
                </c:pt>
                <c:pt idx="230">
                  <c:v>4181.9999999999991</c:v>
                </c:pt>
                <c:pt idx="231">
                  <c:v>4021.9999999999991</c:v>
                </c:pt>
                <c:pt idx="232">
                  <c:v>4021.9999999999991</c:v>
                </c:pt>
                <c:pt idx="233">
                  <c:v>4021.9999999999991</c:v>
                </c:pt>
                <c:pt idx="234">
                  <c:v>4021.9999999999991</c:v>
                </c:pt>
                <c:pt idx="235">
                  <c:v>4021.9999999999991</c:v>
                </c:pt>
                <c:pt idx="236">
                  <c:v>4021.9999999999991</c:v>
                </c:pt>
                <c:pt idx="237">
                  <c:v>4021.9999999999991</c:v>
                </c:pt>
                <c:pt idx="238">
                  <c:v>4021.9999999999991</c:v>
                </c:pt>
                <c:pt idx="239">
                  <c:v>4021.9999999999991</c:v>
                </c:pt>
                <c:pt idx="240">
                  <c:v>4021.9999999999991</c:v>
                </c:pt>
                <c:pt idx="241">
                  <c:v>4021.9999999999991</c:v>
                </c:pt>
                <c:pt idx="242">
                  <c:v>4021.9999999999991</c:v>
                </c:pt>
                <c:pt idx="243">
                  <c:v>4181.9999999999991</c:v>
                </c:pt>
                <c:pt idx="244">
                  <c:v>4181.9999999999991</c:v>
                </c:pt>
                <c:pt idx="245">
                  <c:v>4181.9999999999991</c:v>
                </c:pt>
                <c:pt idx="246">
                  <c:v>4181.9999999999991</c:v>
                </c:pt>
                <c:pt idx="247">
                  <c:v>4181.9999999999991</c:v>
                </c:pt>
                <c:pt idx="248">
                  <c:v>4181.9999999999991</c:v>
                </c:pt>
                <c:pt idx="249">
                  <c:v>4181.9999999999991</c:v>
                </c:pt>
                <c:pt idx="250">
                  <c:v>4181.9999999999991</c:v>
                </c:pt>
                <c:pt idx="251">
                  <c:v>4181.9999999999991</c:v>
                </c:pt>
                <c:pt idx="252">
                  <c:v>4181.9999999999991</c:v>
                </c:pt>
                <c:pt idx="253">
                  <c:v>4181.9999999999991</c:v>
                </c:pt>
                <c:pt idx="254">
                  <c:v>4181.9999999999991</c:v>
                </c:pt>
                <c:pt idx="255">
                  <c:v>4181.9999999999991</c:v>
                </c:pt>
                <c:pt idx="256">
                  <c:v>4181.9999999999991</c:v>
                </c:pt>
                <c:pt idx="257">
                  <c:v>4181.9999999999991</c:v>
                </c:pt>
                <c:pt idx="258">
                  <c:v>4181.9999999999991</c:v>
                </c:pt>
                <c:pt idx="259">
                  <c:v>4181.9999999999991</c:v>
                </c:pt>
                <c:pt idx="260">
                  <c:v>4981.9999999999991</c:v>
                </c:pt>
                <c:pt idx="261">
                  <c:v>4981.9999999999991</c:v>
                </c:pt>
                <c:pt idx="262">
                  <c:v>4981.9999999999991</c:v>
                </c:pt>
                <c:pt idx="263">
                  <c:v>4981.9999999999991</c:v>
                </c:pt>
                <c:pt idx="264">
                  <c:v>4981.9999999999991</c:v>
                </c:pt>
                <c:pt idx="265">
                  <c:v>4981.9999999999991</c:v>
                </c:pt>
                <c:pt idx="266">
                  <c:v>4981.9999999999991</c:v>
                </c:pt>
                <c:pt idx="267">
                  <c:v>4981.9999999999991</c:v>
                </c:pt>
                <c:pt idx="268">
                  <c:v>4981.9999999999991</c:v>
                </c:pt>
                <c:pt idx="269">
                  <c:v>4981.9999999999991</c:v>
                </c:pt>
                <c:pt idx="270">
                  <c:v>4981.9999999999991</c:v>
                </c:pt>
                <c:pt idx="271">
                  <c:v>4981.9999999999991</c:v>
                </c:pt>
                <c:pt idx="272">
                  <c:v>4981.9999999999991</c:v>
                </c:pt>
                <c:pt idx="273">
                  <c:v>4981.9999999999991</c:v>
                </c:pt>
                <c:pt idx="274">
                  <c:v>4981.9999999999991</c:v>
                </c:pt>
                <c:pt idx="275">
                  <c:v>4981.9999999999991</c:v>
                </c:pt>
                <c:pt idx="276">
                  <c:v>4981.9999999999991</c:v>
                </c:pt>
                <c:pt idx="277">
                  <c:v>4981.9999999999991</c:v>
                </c:pt>
                <c:pt idx="278">
                  <c:v>4981.9999999999991</c:v>
                </c:pt>
                <c:pt idx="279">
                  <c:v>4981.9999999999991</c:v>
                </c:pt>
                <c:pt idx="280">
                  <c:v>4981.9999999999991</c:v>
                </c:pt>
                <c:pt idx="281">
                  <c:v>4981.9999999999991</c:v>
                </c:pt>
                <c:pt idx="282">
                  <c:v>4981.9999999999991</c:v>
                </c:pt>
                <c:pt idx="283">
                  <c:v>4981.9999999999991</c:v>
                </c:pt>
                <c:pt idx="284">
                  <c:v>4981.9999999999991</c:v>
                </c:pt>
                <c:pt idx="285">
                  <c:v>4981.9999999999991</c:v>
                </c:pt>
                <c:pt idx="286">
                  <c:v>4981.9999999999991</c:v>
                </c:pt>
                <c:pt idx="287">
                  <c:v>4981.9999999999991</c:v>
                </c:pt>
                <c:pt idx="288">
                  <c:v>4981.9999999999991</c:v>
                </c:pt>
                <c:pt idx="289">
                  <c:v>4981.9999999999991</c:v>
                </c:pt>
                <c:pt idx="290">
                  <c:v>4981.9999999999991</c:v>
                </c:pt>
                <c:pt idx="291">
                  <c:v>4981.9999999999991</c:v>
                </c:pt>
                <c:pt idx="292">
                  <c:v>4981.9999999999991</c:v>
                </c:pt>
                <c:pt idx="293">
                  <c:v>4981.9999999999991</c:v>
                </c:pt>
                <c:pt idx="294">
                  <c:v>4981.9999999999991</c:v>
                </c:pt>
                <c:pt idx="295">
                  <c:v>4981.9999999999991</c:v>
                </c:pt>
                <c:pt idx="296">
                  <c:v>4981.9999999999991</c:v>
                </c:pt>
                <c:pt idx="297">
                  <c:v>4981.9999999999991</c:v>
                </c:pt>
                <c:pt idx="298">
                  <c:v>4981.9999999999991</c:v>
                </c:pt>
                <c:pt idx="299">
                  <c:v>4981.9999999999991</c:v>
                </c:pt>
                <c:pt idx="300">
                  <c:v>4981.9999999999991</c:v>
                </c:pt>
                <c:pt idx="301">
                  <c:v>4981.9999999999991</c:v>
                </c:pt>
                <c:pt idx="302">
                  <c:v>4981.9999999999991</c:v>
                </c:pt>
                <c:pt idx="303">
                  <c:v>4981.9999999999991</c:v>
                </c:pt>
                <c:pt idx="304">
                  <c:v>4981.9999999999991</c:v>
                </c:pt>
                <c:pt idx="305">
                  <c:v>4981.9999999999991</c:v>
                </c:pt>
                <c:pt idx="306">
                  <c:v>4981.9999999999991</c:v>
                </c:pt>
                <c:pt idx="307">
                  <c:v>4981.9999999999991</c:v>
                </c:pt>
                <c:pt idx="308">
                  <c:v>4981.9999999999991</c:v>
                </c:pt>
                <c:pt idx="309">
                  <c:v>4981.9999999999991</c:v>
                </c:pt>
                <c:pt idx="310">
                  <c:v>4981.9999999999991</c:v>
                </c:pt>
                <c:pt idx="311">
                  <c:v>4981.9999999999991</c:v>
                </c:pt>
                <c:pt idx="312">
                  <c:v>4981.9999999999991</c:v>
                </c:pt>
                <c:pt idx="313">
                  <c:v>4981.9999999999991</c:v>
                </c:pt>
                <c:pt idx="314">
                  <c:v>5061.9999999999991</c:v>
                </c:pt>
                <c:pt idx="315">
                  <c:v>5061.9999999999991</c:v>
                </c:pt>
                <c:pt idx="316">
                  <c:v>5061.9999999999991</c:v>
                </c:pt>
                <c:pt idx="317">
                  <c:v>5061.9999999999991</c:v>
                </c:pt>
                <c:pt idx="318">
                  <c:v>5061.9999999999991</c:v>
                </c:pt>
                <c:pt idx="319">
                  <c:v>5061.9999999999991</c:v>
                </c:pt>
                <c:pt idx="320">
                  <c:v>5061.9999999999991</c:v>
                </c:pt>
                <c:pt idx="321">
                  <c:v>5061.9999999999991</c:v>
                </c:pt>
                <c:pt idx="322">
                  <c:v>5061.9999999999991</c:v>
                </c:pt>
                <c:pt idx="323">
                  <c:v>5061.9999999999991</c:v>
                </c:pt>
                <c:pt idx="324">
                  <c:v>5061.9999999999991</c:v>
                </c:pt>
                <c:pt idx="325">
                  <c:v>5061.9999999999991</c:v>
                </c:pt>
                <c:pt idx="326">
                  <c:v>5061.9999999999991</c:v>
                </c:pt>
                <c:pt idx="327">
                  <c:v>5061.9999999999991</c:v>
                </c:pt>
                <c:pt idx="328">
                  <c:v>5061.9999999999991</c:v>
                </c:pt>
                <c:pt idx="329">
                  <c:v>5141.9999999999991</c:v>
                </c:pt>
                <c:pt idx="330">
                  <c:v>5141.9999999999991</c:v>
                </c:pt>
                <c:pt idx="331">
                  <c:v>5141.9999999999991</c:v>
                </c:pt>
                <c:pt idx="332">
                  <c:v>6661.9999999999991</c:v>
                </c:pt>
                <c:pt idx="333">
                  <c:v>6661.9999999999991</c:v>
                </c:pt>
                <c:pt idx="334">
                  <c:v>6661.9999999999991</c:v>
                </c:pt>
                <c:pt idx="335">
                  <c:v>6661.9999999999991</c:v>
                </c:pt>
                <c:pt idx="336">
                  <c:v>6661.9999999999991</c:v>
                </c:pt>
                <c:pt idx="337">
                  <c:v>6661.9999999999991</c:v>
                </c:pt>
                <c:pt idx="338">
                  <c:v>6661.9999999999991</c:v>
                </c:pt>
                <c:pt idx="339">
                  <c:v>6661.9999999999991</c:v>
                </c:pt>
                <c:pt idx="340">
                  <c:v>6661.9999999999991</c:v>
                </c:pt>
                <c:pt idx="341">
                  <c:v>6661.9999999999991</c:v>
                </c:pt>
                <c:pt idx="342">
                  <c:v>6661.9999999999991</c:v>
                </c:pt>
                <c:pt idx="343">
                  <c:v>6661.9999999999991</c:v>
                </c:pt>
                <c:pt idx="344">
                  <c:v>6661.9999999999991</c:v>
                </c:pt>
                <c:pt idx="345">
                  <c:v>6661.9999999999991</c:v>
                </c:pt>
                <c:pt idx="346">
                  <c:v>6661.9999999999991</c:v>
                </c:pt>
                <c:pt idx="347">
                  <c:v>6661.9999999999991</c:v>
                </c:pt>
                <c:pt idx="348">
                  <c:v>6661.9999999999991</c:v>
                </c:pt>
                <c:pt idx="349">
                  <c:v>6661.9999999999991</c:v>
                </c:pt>
                <c:pt idx="350">
                  <c:v>6661.9999999999991</c:v>
                </c:pt>
                <c:pt idx="351">
                  <c:v>6661.9999999999991</c:v>
                </c:pt>
                <c:pt idx="352">
                  <c:v>6661.9999999999991</c:v>
                </c:pt>
                <c:pt idx="353">
                  <c:v>6661.9999999999991</c:v>
                </c:pt>
                <c:pt idx="354">
                  <c:v>6661.9999999999991</c:v>
                </c:pt>
                <c:pt idx="355">
                  <c:v>6325.9999999999991</c:v>
                </c:pt>
                <c:pt idx="356">
                  <c:v>6325.9999999999991</c:v>
                </c:pt>
                <c:pt idx="357">
                  <c:v>6325.9999999999991</c:v>
                </c:pt>
                <c:pt idx="358">
                  <c:v>6325.9999999999991</c:v>
                </c:pt>
                <c:pt idx="359">
                  <c:v>6325.9999999999991</c:v>
                </c:pt>
                <c:pt idx="360">
                  <c:v>6325.9999999999991</c:v>
                </c:pt>
                <c:pt idx="361">
                  <c:v>6325.9999999999991</c:v>
                </c:pt>
                <c:pt idx="362">
                  <c:v>6325.9999999999991</c:v>
                </c:pt>
                <c:pt idx="363">
                  <c:v>6325.9999999999991</c:v>
                </c:pt>
                <c:pt idx="364">
                  <c:v>6485.9999999999991</c:v>
                </c:pt>
                <c:pt idx="365">
                  <c:v>6485.9999999999991</c:v>
                </c:pt>
                <c:pt idx="366">
                  <c:v>6485.9999999999991</c:v>
                </c:pt>
                <c:pt idx="367">
                  <c:v>6485.9999999999991</c:v>
                </c:pt>
                <c:pt idx="368">
                  <c:v>6485.9999999999991</c:v>
                </c:pt>
                <c:pt idx="369">
                  <c:v>6485.9999999999991</c:v>
                </c:pt>
                <c:pt idx="370">
                  <c:v>6485.9999999999991</c:v>
                </c:pt>
                <c:pt idx="371">
                  <c:v>6485.9999999999991</c:v>
                </c:pt>
                <c:pt idx="372">
                  <c:v>6485.9999999999991</c:v>
                </c:pt>
                <c:pt idx="373">
                  <c:v>6485.9999999999991</c:v>
                </c:pt>
                <c:pt idx="374">
                  <c:v>6485.9999999999991</c:v>
                </c:pt>
                <c:pt idx="375">
                  <c:v>6485.9999999999991</c:v>
                </c:pt>
                <c:pt idx="376">
                  <c:v>6485.9999999999991</c:v>
                </c:pt>
                <c:pt idx="377">
                  <c:v>6485.9999999999991</c:v>
                </c:pt>
                <c:pt idx="378">
                  <c:v>6485.9999999999991</c:v>
                </c:pt>
                <c:pt idx="379">
                  <c:v>6485.9999999999991</c:v>
                </c:pt>
                <c:pt idx="380">
                  <c:v>6485.9999999999991</c:v>
                </c:pt>
                <c:pt idx="381">
                  <c:v>6485.9999999999991</c:v>
                </c:pt>
                <c:pt idx="382">
                  <c:v>6485.9999999999991</c:v>
                </c:pt>
                <c:pt idx="383">
                  <c:v>6485.9999999999991</c:v>
                </c:pt>
                <c:pt idx="384">
                  <c:v>6325.9999999999991</c:v>
                </c:pt>
                <c:pt idx="385">
                  <c:v>6325.9999999999991</c:v>
                </c:pt>
                <c:pt idx="386">
                  <c:v>6005.9999999998354</c:v>
                </c:pt>
                <c:pt idx="387">
                  <c:v>6005.9999999998354</c:v>
                </c:pt>
                <c:pt idx="388">
                  <c:v>6005.9999999998354</c:v>
                </c:pt>
                <c:pt idx="389">
                  <c:v>6005.9999999998354</c:v>
                </c:pt>
                <c:pt idx="390">
                  <c:v>6305.9999999998354</c:v>
                </c:pt>
                <c:pt idx="391">
                  <c:v>6605.9999999998354</c:v>
                </c:pt>
                <c:pt idx="392">
                  <c:v>6605.9999999998354</c:v>
                </c:pt>
                <c:pt idx="393">
                  <c:v>6477.9999999998608</c:v>
                </c:pt>
                <c:pt idx="394">
                  <c:v>6477.9999999998608</c:v>
                </c:pt>
                <c:pt idx="395">
                  <c:v>6477.9999999998608</c:v>
                </c:pt>
                <c:pt idx="396">
                  <c:v>6477.9999999998608</c:v>
                </c:pt>
                <c:pt idx="397">
                  <c:v>6477.9999999998608</c:v>
                </c:pt>
                <c:pt idx="398">
                  <c:v>6477.9999999998608</c:v>
                </c:pt>
                <c:pt idx="399">
                  <c:v>6477.9999999998608</c:v>
                </c:pt>
                <c:pt idx="400">
                  <c:v>6477.9999999998608</c:v>
                </c:pt>
                <c:pt idx="401">
                  <c:v>6477.9999999998608</c:v>
                </c:pt>
                <c:pt idx="402">
                  <c:v>6477.9999999998608</c:v>
                </c:pt>
                <c:pt idx="403">
                  <c:v>6477.9999999998608</c:v>
                </c:pt>
                <c:pt idx="404">
                  <c:v>6477.9999999998608</c:v>
                </c:pt>
                <c:pt idx="405">
                  <c:v>6477.9999999998608</c:v>
                </c:pt>
                <c:pt idx="406">
                  <c:v>6477.9999999998608</c:v>
                </c:pt>
                <c:pt idx="407">
                  <c:v>6477.9999999998608</c:v>
                </c:pt>
                <c:pt idx="408">
                  <c:v>6477.9999999998608</c:v>
                </c:pt>
                <c:pt idx="409">
                  <c:v>6477.9999999998608</c:v>
                </c:pt>
                <c:pt idx="410">
                  <c:v>6477.9999999998608</c:v>
                </c:pt>
                <c:pt idx="411">
                  <c:v>6477.9999999998608</c:v>
                </c:pt>
                <c:pt idx="412">
                  <c:v>6477.9999999998608</c:v>
                </c:pt>
                <c:pt idx="413">
                  <c:v>6477.9999999998608</c:v>
                </c:pt>
                <c:pt idx="414">
                  <c:v>6477.9999999998608</c:v>
                </c:pt>
                <c:pt idx="415">
                  <c:v>6477.9999999998608</c:v>
                </c:pt>
                <c:pt idx="416">
                  <c:v>6477.9999999998608</c:v>
                </c:pt>
                <c:pt idx="417">
                  <c:v>6477.9999999998608</c:v>
                </c:pt>
                <c:pt idx="418">
                  <c:v>6777.9999999998608</c:v>
                </c:pt>
                <c:pt idx="419">
                  <c:v>6777.9999999998608</c:v>
                </c:pt>
                <c:pt idx="420">
                  <c:v>6777.9999999998608</c:v>
                </c:pt>
                <c:pt idx="421">
                  <c:v>7677.9999999998608</c:v>
                </c:pt>
                <c:pt idx="422">
                  <c:v>7677.9999999998608</c:v>
                </c:pt>
                <c:pt idx="423">
                  <c:v>7677.9999999998608</c:v>
                </c:pt>
                <c:pt idx="424">
                  <c:v>7677.9999999998608</c:v>
                </c:pt>
                <c:pt idx="425">
                  <c:v>7677.9999999998608</c:v>
                </c:pt>
                <c:pt idx="426">
                  <c:v>7677.9999999998608</c:v>
                </c:pt>
                <c:pt idx="427">
                  <c:v>7677.9999999998608</c:v>
                </c:pt>
                <c:pt idx="428">
                  <c:v>7677.9999999998608</c:v>
                </c:pt>
                <c:pt idx="429">
                  <c:v>7677.9999999998608</c:v>
                </c:pt>
                <c:pt idx="430">
                  <c:v>7677.9999999998608</c:v>
                </c:pt>
                <c:pt idx="431">
                  <c:v>7677.9999999998608</c:v>
                </c:pt>
                <c:pt idx="432">
                  <c:v>7677.9999999998608</c:v>
                </c:pt>
                <c:pt idx="433">
                  <c:v>7677.9999999998608</c:v>
                </c:pt>
                <c:pt idx="434">
                  <c:v>7677.9999999998608</c:v>
                </c:pt>
                <c:pt idx="435">
                  <c:v>7677.9999999998608</c:v>
                </c:pt>
                <c:pt idx="436">
                  <c:v>7677.9999999998608</c:v>
                </c:pt>
                <c:pt idx="437">
                  <c:v>7997.9999999998608</c:v>
                </c:pt>
                <c:pt idx="438">
                  <c:v>7997.9999999998608</c:v>
                </c:pt>
                <c:pt idx="439">
                  <c:v>7997.9999999998608</c:v>
                </c:pt>
                <c:pt idx="440">
                  <c:v>7997.9999999998608</c:v>
                </c:pt>
                <c:pt idx="441">
                  <c:v>7997.9999999998608</c:v>
                </c:pt>
                <c:pt idx="442">
                  <c:v>7997.9999999998608</c:v>
                </c:pt>
                <c:pt idx="443">
                  <c:v>7997.9999999998608</c:v>
                </c:pt>
                <c:pt idx="444">
                  <c:v>7997.9999999998608</c:v>
                </c:pt>
                <c:pt idx="445">
                  <c:v>7997.9999999998608</c:v>
                </c:pt>
                <c:pt idx="446">
                  <c:v>7997.9999999998608</c:v>
                </c:pt>
                <c:pt idx="447">
                  <c:v>9197.9999999998618</c:v>
                </c:pt>
                <c:pt idx="448">
                  <c:v>9197.9999999998618</c:v>
                </c:pt>
                <c:pt idx="449">
                  <c:v>9197.9999999998618</c:v>
                </c:pt>
                <c:pt idx="450">
                  <c:v>9197.9999999998618</c:v>
                </c:pt>
                <c:pt idx="451">
                  <c:v>9197.9999999998618</c:v>
                </c:pt>
                <c:pt idx="452">
                  <c:v>9197.9999999998618</c:v>
                </c:pt>
                <c:pt idx="453">
                  <c:v>9197.9999999998618</c:v>
                </c:pt>
                <c:pt idx="454">
                  <c:v>9197.9999999998618</c:v>
                </c:pt>
                <c:pt idx="455">
                  <c:v>9197.9999999998618</c:v>
                </c:pt>
                <c:pt idx="456">
                  <c:v>9197.9999999998618</c:v>
                </c:pt>
                <c:pt idx="457">
                  <c:v>9197.9999999998618</c:v>
                </c:pt>
                <c:pt idx="458">
                  <c:v>9197.9999999998618</c:v>
                </c:pt>
                <c:pt idx="459">
                  <c:v>9197.9999999998618</c:v>
                </c:pt>
                <c:pt idx="460">
                  <c:v>9197.9999999998618</c:v>
                </c:pt>
                <c:pt idx="461">
                  <c:v>9197.9999999998618</c:v>
                </c:pt>
                <c:pt idx="462">
                  <c:v>9197.9999999998618</c:v>
                </c:pt>
                <c:pt idx="463">
                  <c:v>9197.9999999998618</c:v>
                </c:pt>
                <c:pt idx="464">
                  <c:v>9197.9999999998618</c:v>
                </c:pt>
                <c:pt idx="465">
                  <c:v>9197.9999999998618</c:v>
                </c:pt>
                <c:pt idx="466">
                  <c:v>9197.9999999998618</c:v>
                </c:pt>
                <c:pt idx="467">
                  <c:v>9197.9999999998618</c:v>
                </c:pt>
                <c:pt idx="468">
                  <c:v>9197.9999999998618</c:v>
                </c:pt>
                <c:pt idx="469">
                  <c:v>9197.9999999998618</c:v>
                </c:pt>
                <c:pt idx="470">
                  <c:v>9197.9999999998618</c:v>
                </c:pt>
                <c:pt idx="471">
                  <c:v>9197.9999999998618</c:v>
                </c:pt>
                <c:pt idx="472">
                  <c:v>9197.9999999998618</c:v>
                </c:pt>
                <c:pt idx="473">
                  <c:v>9197.9999999998618</c:v>
                </c:pt>
                <c:pt idx="474">
                  <c:v>9197.9999999998618</c:v>
                </c:pt>
                <c:pt idx="475">
                  <c:v>9197.9999999998618</c:v>
                </c:pt>
                <c:pt idx="476">
                  <c:v>9197.9999999998618</c:v>
                </c:pt>
                <c:pt idx="477">
                  <c:v>9197.9999999998618</c:v>
                </c:pt>
                <c:pt idx="478">
                  <c:v>9197.9999999998618</c:v>
                </c:pt>
                <c:pt idx="479">
                  <c:v>9197.9999999998618</c:v>
                </c:pt>
                <c:pt idx="480">
                  <c:v>9197.9999999998618</c:v>
                </c:pt>
                <c:pt idx="481">
                  <c:v>9197.9999999998618</c:v>
                </c:pt>
                <c:pt idx="482">
                  <c:v>9197.9999999998618</c:v>
                </c:pt>
                <c:pt idx="483">
                  <c:v>9197.9999999998618</c:v>
                </c:pt>
                <c:pt idx="484">
                  <c:v>9197.9999999998618</c:v>
                </c:pt>
                <c:pt idx="485">
                  <c:v>9197.9999999998618</c:v>
                </c:pt>
                <c:pt idx="486">
                  <c:v>9197.9999999998618</c:v>
                </c:pt>
                <c:pt idx="487">
                  <c:v>9197.9999999998618</c:v>
                </c:pt>
                <c:pt idx="488">
                  <c:v>9497.9999999998618</c:v>
                </c:pt>
                <c:pt idx="489">
                  <c:v>9497.9999999998618</c:v>
                </c:pt>
                <c:pt idx="490">
                  <c:v>9497.9999999998618</c:v>
                </c:pt>
                <c:pt idx="491">
                  <c:v>9497.9999999998618</c:v>
                </c:pt>
                <c:pt idx="492">
                  <c:v>9497.9999999998618</c:v>
                </c:pt>
                <c:pt idx="493">
                  <c:v>9497.9999999998618</c:v>
                </c:pt>
                <c:pt idx="494">
                  <c:v>9497.9999999998618</c:v>
                </c:pt>
                <c:pt idx="495">
                  <c:v>9497.9999999998618</c:v>
                </c:pt>
                <c:pt idx="496">
                  <c:v>9497.9999999998618</c:v>
                </c:pt>
                <c:pt idx="497">
                  <c:v>9497.9999999998618</c:v>
                </c:pt>
                <c:pt idx="498">
                  <c:v>9497.9999999998618</c:v>
                </c:pt>
                <c:pt idx="499">
                  <c:v>9497.9999999998618</c:v>
                </c:pt>
                <c:pt idx="500">
                  <c:v>9497.9999999998618</c:v>
                </c:pt>
                <c:pt idx="501">
                  <c:v>9497.9999999998618</c:v>
                </c:pt>
                <c:pt idx="502">
                  <c:v>9497.9999999998618</c:v>
                </c:pt>
                <c:pt idx="503">
                  <c:v>9197.9999999998618</c:v>
                </c:pt>
                <c:pt idx="504">
                  <c:v>9197.9999999998618</c:v>
                </c:pt>
                <c:pt idx="505">
                  <c:v>9197.9999999998618</c:v>
                </c:pt>
                <c:pt idx="506">
                  <c:v>11165.999999999862</c:v>
                </c:pt>
                <c:pt idx="507">
                  <c:v>11165.999999999862</c:v>
                </c:pt>
                <c:pt idx="508">
                  <c:v>11165.999999999862</c:v>
                </c:pt>
                <c:pt idx="509">
                  <c:v>11165.999999999862</c:v>
                </c:pt>
                <c:pt idx="510">
                  <c:v>11165.999999999862</c:v>
                </c:pt>
                <c:pt idx="511">
                  <c:v>11165.999999999862</c:v>
                </c:pt>
                <c:pt idx="512">
                  <c:v>11165.999999999862</c:v>
                </c:pt>
                <c:pt idx="513">
                  <c:v>11165.999999999862</c:v>
                </c:pt>
                <c:pt idx="514">
                  <c:v>11165.999999999862</c:v>
                </c:pt>
                <c:pt idx="515">
                  <c:v>11165.999999999862</c:v>
                </c:pt>
                <c:pt idx="516">
                  <c:v>11165.999999999862</c:v>
                </c:pt>
                <c:pt idx="517">
                  <c:v>11165.999999999862</c:v>
                </c:pt>
                <c:pt idx="518">
                  <c:v>11165.999999999862</c:v>
                </c:pt>
                <c:pt idx="519">
                  <c:v>11645.999999999862</c:v>
                </c:pt>
                <c:pt idx="520">
                  <c:v>11645.999999999862</c:v>
                </c:pt>
                <c:pt idx="521">
                  <c:v>11645.999999999862</c:v>
                </c:pt>
                <c:pt idx="522">
                  <c:v>11645.999999999862</c:v>
                </c:pt>
                <c:pt idx="523">
                  <c:v>11645.999999999862</c:v>
                </c:pt>
                <c:pt idx="524">
                  <c:v>11645.999999999862</c:v>
                </c:pt>
                <c:pt idx="525">
                  <c:v>11645.999999999862</c:v>
                </c:pt>
                <c:pt idx="526">
                  <c:v>11645.999999999862</c:v>
                </c:pt>
                <c:pt idx="527">
                  <c:v>11645.999999999862</c:v>
                </c:pt>
                <c:pt idx="528">
                  <c:v>11645.999999999862</c:v>
                </c:pt>
                <c:pt idx="529">
                  <c:v>11645.999999999862</c:v>
                </c:pt>
                <c:pt idx="530">
                  <c:v>11645.999999999862</c:v>
                </c:pt>
                <c:pt idx="531">
                  <c:v>11645.999999999862</c:v>
                </c:pt>
                <c:pt idx="532">
                  <c:v>11645.999999999862</c:v>
                </c:pt>
                <c:pt idx="533">
                  <c:v>11645.999999999862</c:v>
                </c:pt>
                <c:pt idx="534">
                  <c:v>11645.999999999862</c:v>
                </c:pt>
                <c:pt idx="535">
                  <c:v>11645.999999999862</c:v>
                </c:pt>
                <c:pt idx="536">
                  <c:v>11645.999999999862</c:v>
                </c:pt>
                <c:pt idx="537">
                  <c:v>11645.999999999862</c:v>
                </c:pt>
                <c:pt idx="538">
                  <c:v>11645.999999999862</c:v>
                </c:pt>
                <c:pt idx="539">
                  <c:v>11645.999999999862</c:v>
                </c:pt>
                <c:pt idx="540">
                  <c:v>11645.999999999862</c:v>
                </c:pt>
                <c:pt idx="541">
                  <c:v>11645.999999999862</c:v>
                </c:pt>
                <c:pt idx="542">
                  <c:v>11645.999999999862</c:v>
                </c:pt>
                <c:pt idx="543">
                  <c:v>11645.999999999862</c:v>
                </c:pt>
                <c:pt idx="544">
                  <c:v>11645.999999999862</c:v>
                </c:pt>
                <c:pt idx="545">
                  <c:v>11645.999999999862</c:v>
                </c:pt>
                <c:pt idx="546">
                  <c:v>14525.999999999862</c:v>
                </c:pt>
                <c:pt idx="547">
                  <c:v>15325.999999999862</c:v>
                </c:pt>
                <c:pt idx="548">
                  <c:v>14525.999999999862</c:v>
                </c:pt>
                <c:pt idx="549">
                  <c:v>14525.999999999862</c:v>
                </c:pt>
                <c:pt idx="550">
                  <c:v>15325.999999999862</c:v>
                </c:pt>
                <c:pt idx="551">
                  <c:v>15325.999999999862</c:v>
                </c:pt>
                <c:pt idx="552">
                  <c:v>15325.999999999862</c:v>
                </c:pt>
                <c:pt idx="553">
                  <c:v>15325.999999999862</c:v>
                </c:pt>
                <c:pt idx="554">
                  <c:v>15325.999999999862</c:v>
                </c:pt>
                <c:pt idx="555">
                  <c:v>20606.800000000316</c:v>
                </c:pt>
                <c:pt idx="556">
                  <c:v>15325.999999999862</c:v>
                </c:pt>
                <c:pt idx="557">
                  <c:v>15325.999999999862</c:v>
                </c:pt>
                <c:pt idx="558">
                  <c:v>15325.999999999862</c:v>
                </c:pt>
                <c:pt idx="559">
                  <c:v>15325.999999999862</c:v>
                </c:pt>
                <c:pt idx="560">
                  <c:v>15325.999999999862</c:v>
                </c:pt>
                <c:pt idx="561">
                  <c:v>15325.999999999862</c:v>
                </c:pt>
                <c:pt idx="562">
                  <c:v>15325.999999999862</c:v>
                </c:pt>
                <c:pt idx="563">
                  <c:v>15325.999999999862</c:v>
                </c:pt>
                <c:pt idx="564">
                  <c:v>15325.999999999862</c:v>
                </c:pt>
                <c:pt idx="565">
                  <c:v>15325.999999999862</c:v>
                </c:pt>
                <c:pt idx="566">
                  <c:v>15325.999999999862</c:v>
                </c:pt>
                <c:pt idx="567">
                  <c:v>15325.999999999862</c:v>
                </c:pt>
                <c:pt idx="568">
                  <c:v>23278.800000000327</c:v>
                </c:pt>
                <c:pt idx="569">
                  <c:v>17725.999999999862</c:v>
                </c:pt>
                <c:pt idx="570">
                  <c:v>17725.999999999862</c:v>
                </c:pt>
                <c:pt idx="571">
                  <c:v>23278.800000000327</c:v>
                </c:pt>
                <c:pt idx="572">
                  <c:v>17245.999999999956</c:v>
                </c:pt>
                <c:pt idx="573">
                  <c:v>17245.999999999956</c:v>
                </c:pt>
                <c:pt idx="574">
                  <c:v>17245.999999999956</c:v>
                </c:pt>
                <c:pt idx="575">
                  <c:v>23278.800000000327</c:v>
                </c:pt>
                <c:pt idx="576">
                  <c:v>20606.800000000316</c:v>
                </c:pt>
                <c:pt idx="577">
                  <c:v>17565.999999999956</c:v>
                </c:pt>
                <c:pt idx="578">
                  <c:v>17565.999999999956</c:v>
                </c:pt>
                <c:pt idx="579">
                  <c:v>17565.999999999956</c:v>
                </c:pt>
                <c:pt idx="580">
                  <c:v>17565.999999999956</c:v>
                </c:pt>
                <c:pt idx="581">
                  <c:v>17565.999999999956</c:v>
                </c:pt>
                <c:pt idx="582">
                  <c:v>17886.00000000012</c:v>
                </c:pt>
                <c:pt idx="583">
                  <c:v>18186.00000000012</c:v>
                </c:pt>
                <c:pt idx="584">
                  <c:v>17886.00000000012</c:v>
                </c:pt>
                <c:pt idx="585">
                  <c:v>17886.00000000012</c:v>
                </c:pt>
                <c:pt idx="586">
                  <c:v>17886.00000000012</c:v>
                </c:pt>
                <c:pt idx="587">
                  <c:v>17886.00000000012</c:v>
                </c:pt>
                <c:pt idx="588">
                  <c:v>17886.00000000012</c:v>
                </c:pt>
                <c:pt idx="589">
                  <c:v>17886.00000000012</c:v>
                </c:pt>
                <c:pt idx="590">
                  <c:v>17886.00000000012</c:v>
                </c:pt>
                <c:pt idx="591">
                  <c:v>17886.00000000012</c:v>
                </c:pt>
                <c:pt idx="592">
                  <c:v>17886.00000000012</c:v>
                </c:pt>
                <c:pt idx="593">
                  <c:v>17886.00000000012</c:v>
                </c:pt>
                <c:pt idx="594">
                  <c:v>17886.00000000012</c:v>
                </c:pt>
                <c:pt idx="595">
                  <c:v>17886.00000000012</c:v>
                </c:pt>
                <c:pt idx="596">
                  <c:v>17886.00000000012</c:v>
                </c:pt>
                <c:pt idx="597">
                  <c:v>17886.00000000012</c:v>
                </c:pt>
                <c:pt idx="598">
                  <c:v>17886.00000000012</c:v>
                </c:pt>
                <c:pt idx="599">
                  <c:v>18186.00000000012</c:v>
                </c:pt>
                <c:pt idx="600">
                  <c:v>17886.00000000012</c:v>
                </c:pt>
                <c:pt idx="601">
                  <c:v>17886.00000000012</c:v>
                </c:pt>
                <c:pt idx="602">
                  <c:v>17886.00000000012</c:v>
                </c:pt>
                <c:pt idx="603">
                  <c:v>17886.00000000012</c:v>
                </c:pt>
                <c:pt idx="604">
                  <c:v>17886.00000000012</c:v>
                </c:pt>
                <c:pt idx="605">
                  <c:v>17886.00000000012</c:v>
                </c:pt>
                <c:pt idx="606">
                  <c:v>17886.00000000012</c:v>
                </c:pt>
                <c:pt idx="607">
                  <c:v>17886.00000000012</c:v>
                </c:pt>
                <c:pt idx="608">
                  <c:v>17886.00000000012</c:v>
                </c:pt>
                <c:pt idx="609">
                  <c:v>17886.00000000012</c:v>
                </c:pt>
                <c:pt idx="610">
                  <c:v>17886.00000000012</c:v>
                </c:pt>
                <c:pt idx="611">
                  <c:v>18186.00000000012</c:v>
                </c:pt>
                <c:pt idx="612">
                  <c:v>18186.00000000012</c:v>
                </c:pt>
                <c:pt idx="613">
                  <c:v>18186.00000000012</c:v>
                </c:pt>
                <c:pt idx="614">
                  <c:v>18186.00000000012</c:v>
                </c:pt>
                <c:pt idx="615">
                  <c:v>18186.00000000012</c:v>
                </c:pt>
                <c:pt idx="616">
                  <c:v>18186.00000000012</c:v>
                </c:pt>
                <c:pt idx="617">
                  <c:v>18186.00000000012</c:v>
                </c:pt>
                <c:pt idx="618">
                  <c:v>18186.00000000012</c:v>
                </c:pt>
                <c:pt idx="619">
                  <c:v>18186.00000000012</c:v>
                </c:pt>
                <c:pt idx="620">
                  <c:v>23278.800000000327</c:v>
                </c:pt>
                <c:pt idx="621">
                  <c:v>18506.000000000284</c:v>
                </c:pt>
                <c:pt idx="622">
                  <c:v>18506.000000000284</c:v>
                </c:pt>
                <c:pt idx="623">
                  <c:v>18506.000000000284</c:v>
                </c:pt>
                <c:pt idx="624">
                  <c:v>18506.000000000284</c:v>
                </c:pt>
                <c:pt idx="625">
                  <c:v>18506.000000000284</c:v>
                </c:pt>
                <c:pt idx="626">
                  <c:v>18506.000000000284</c:v>
                </c:pt>
                <c:pt idx="627">
                  <c:v>23278.800000000327</c:v>
                </c:pt>
                <c:pt idx="628">
                  <c:v>20906.000000000284</c:v>
                </c:pt>
                <c:pt idx="629">
                  <c:v>20906.000000000284</c:v>
                </c:pt>
                <c:pt idx="630">
                  <c:v>18985.999999999985</c:v>
                </c:pt>
                <c:pt idx="631">
                  <c:v>17386.000000000076</c:v>
                </c:pt>
                <c:pt idx="632">
                  <c:v>15465.999999999776</c:v>
                </c:pt>
                <c:pt idx="633">
                  <c:v>13545.999999999778</c:v>
                </c:pt>
                <c:pt idx="634">
                  <c:v>11626.00000000016</c:v>
                </c:pt>
                <c:pt idx="635">
                  <c:v>11626.00000000016</c:v>
                </c:pt>
                <c:pt idx="636">
                  <c:v>11626.00000000016</c:v>
                </c:pt>
                <c:pt idx="637">
                  <c:v>11626.00000000016</c:v>
                </c:pt>
                <c:pt idx="638">
                  <c:v>11626.00000000016</c:v>
                </c:pt>
                <c:pt idx="639">
                  <c:v>23278.800000000327</c:v>
                </c:pt>
                <c:pt idx="640">
                  <c:v>11626.00000000016</c:v>
                </c:pt>
                <c:pt idx="641">
                  <c:v>11626.00000000016</c:v>
                </c:pt>
                <c:pt idx="642">
                  <c:v>23278.800000000327</c:v>
                </c:pt>
                <c:pt idx="643">
                  <c:v>11626.00000000016</c:v>
                </c:pt>
                <c:pt idx="644">
                  <c:v>11626.00000000016</c:v>
                </c:pt>
                <c:pt idx="645">
                  <c:v>15726.00000000016</c:v>
                </c:pt>
                <c:pt idx="646">
                  <c:v>11626.000000000158</c:v>
                </c:pt>
                <c:pt idx="647">
                  <c:v>15726.00000000016</c:v>
                </c:pt>
                <c:pt idx="648">
                  <c:v>11626.000000000158</c:v>
                </c:pt>
                <c:pt idx="649">
                  <c:v>11626.000000000158</c:v>
                </c:pt>
                <c:pt idx="650">
                  <c:v>11626.000000000158</c:v>
                </c:pt>
                <c:pt idx="651">
                  <c:v>11626.000000000158</c:v>
                </c:pt>
                <c:pt idx="652">
                  <c:v>11626.000000000158</c:v>
                </c:pt>
                <c:pt idx="653">
                  <c:v>11626.000000000158</c:v>
                </c:pt>
                <c:pt idx="654">
                  <c:v>11626.000000000158</c:v>
                </c:pt>
                <c:pt idx="655">
                  <c:v>11626.000000000158</c:v>
                </c:pt>
                <c:pt idx="656">
                  <c:v>11626.000000000158</c:v>
                </c:pt>
                <c:pt idx="657">
                  <c:v>11626.000000000158</c:v>
                </c:pt>
                <c:pt idx="658">
                  <c:v>11626.000000000158</c:v>
                </c:pt>
                <c:pt idx="659">
                  <c:v>11626.000000000158</c:v>
                </c:pt>
                <c:pt idx="660">
                  <c:v>11626.000000000158</c:v>
                </c:pt>
                <c:pt idx="661">
                  <c:v>11626.000000000158</c:v>
                </c:pt>
                <c:pt idx="662">
                  <c:v>11626.000000000158</c:v>
                </c:pt>
                <c:pt idx="663">
                  <c:v>11626.000000000158</c:v>
                </c:pt>
                <c:pt idx="664">
                  <c:v>11626.000000000158</c:v>
                </c:pt>
                <c:pt idx="665">
                  <c:v>11626.000000000158</c:v>
                </c:pt>
                <c:pt idx="666">
                  <c:v>15726.00000000016</c:v>
                </c:pt>
                <c:pt idx="667">
                  <c:v>11626.000000000158</c:v>
                </c:pt>
                <c:pt idx="668">
                  <c:v>11626.000000000158</c:v>
                </c:pt>
                <c:pt idx="669">
                  <c:v>13226.00000000016</c:v>
                </c:pt>
                <c:pt idx="670">
                  <c:v>14826.00000000016</c:v>
                </c:pt>
                <c:pt idx="671">
                  <c:v>13226.00000000016</c:v>
                </c:pt>
                <c:pt idx="672">
                  <c:v>13226.00000000016</c:v>
                </c:pt>
                <c:pt idx="673">
                  <c:v>13226.00000000016</c:v>
                </c:pt>
                <c:pt idx="674">
                  <c:v>14826.00000000016</c:v>
                </c:pt>
                <c:pt idx="675">
                  <c:v>13226.00000000016</c:v>
                </c:pt>
                <c:pt idx="676">
                  <c:v>13226.00000000016</c:v>
                </c:pt>
                <c:pt idx="677">
                  <c:v>13226.00000000016</c:v>
                </c:pt>
                <c:pt idx="678">
                  <c:v>13226.00000000016</c:v>
                </c:pt>
                <c:pt idx="679">
                  <c:v>13226.00000000016</c:v>
                </c:pt>
                <c:pt idx="680">
                  <c:v>13226.00000000016</c:v>
                </c:pt>
                <c:pt idx="681">
                  <c:v>13226.00000000016</c:v>
                </c:pt>
                <c:pt idx="682">
                  <c:v>13226.00000000016</c:v>
                </c:pt>
                <c:pt idx="683">
                  <c:v>13226.00000000016</c:v>
                </c:pt>
                <c:pt idx="684">
                  <c:v>13226.00000000016</c:v>
                </c:pt>
                <c:pt idx="685">
                  <c:v>13226.00000000016</c:v>
                </c:pt>
                <c:pt idx="686">
                  <c:v>13226.00000000016</c:v>
                </c:pt>
                <c:pt idx="687">
                  <c:v>13226.00000000016</c:v>
                </c:pt>
                <c:pt idx="688">
                  <c:v>13226.00000000016</c:v>
                </c:pt>
                <c:pt idx="689">
                  <c:v>13226.00000000016</c:v>
                </c:pt>
                <c:pt idx="690">
                  <c:v>13226.00000000016</c:v>
                </c:pt>
                <c:pt idx="691">
                  <c:v>13226.00000000016</c:v>
                </c:pt>
                <c:pt idx="692">
                  <c:v>13226.00000000016</c:v>
                </c:pt>
                <c:pt idx="693">
                  <c:v>13226.00000000016</c:v>
                </c:pt>
                <c:pt idx="694">
                  <c:v>13226.00000000016</c:v>
                </c:pt>
                <c:pt idx="695">
                  <c:v>13226.00000000016</c:v>
                </c:pt>
                <c:pt idx="696">
                  <c:v>13226.00000000016</c:v>
                </c:pt>
                <c:pt idx="697">
                  <c:v>13226.00000000016</c:v>
                </c:pt>
                <c:pt idx="698">
                  <c:v>13226.00000000016</c:v>
                </c:pt>
                <c:pt idx="699">
                  <c:v>13226.00000000016</c:v>
                </c:pt>
                <c:pt idx="700">
                  <c:v>13226.00000000016</c:v>
                </c:pt>
                <c:pt idx="701">
                  <c:v>14826.00000000016</c:v>
                </c:pt>
                <c:pt idx="702">
                  <c:v>15726.00000000016</c:v>
                </c:pt>
                <c:pt idx="703">
                  <c:v>14826.00000000016</c:v>
                </c:pt>
                <c:pt idx="704">
                  <c:v>14826.00000000016</c:v>
                </c:pt>
                <c:pt idx="705">
                  <c:v>14826.00000000016</c:v>
                </c:pt>
                <c:pt idx="706">
                  <c:v>15126.00000000016</c:v>
                </c:pt>
                <c:pt idx="707">
                  <c:v>15726.00000000016</c:v>
                </c:pt>
                <c:pt idx="708">
                  <c:v>15726.00000000016</c:v>
                </c:pt>
                <c:pt idx="709">
                  <c:v>15726.00000000016</c:v>
                </c:pt>
                <c:pt idx="710">
                  <c:v>15726.00000000016</c:v>
                </c:pt>
                <c:pt idx="711">
                  <c:v>15726.00000000016</c:v>
                </c:pt>
                <c:pt idx="712">
                  <c:v>15726.00000000016</c:v>
                </c:pt>
                <c:pt idx="713">
                  <c:v>15726.00000000016</c:v>
                </c:pt>
                <c:pt idx="714">
                  <c:v>15726.00000000016</c:v>
                </c:pt>
                <c:pt idx="715">
                  <c:v>15726.00000000016</c:v>
                </c:pt>
                <c:pt idx="716">
                  <c:v>15726.00000000016</c:v>
                </c:pt>
                <c:pt idx="717">
                  <c:v>15726.00000000016</c:v>
                </c:pt>
                <c:pt idx="718">
                  <c:v>15726.00000000016</c:v>
                </c:pt>
                <c:pt idx="719">
                  <c:v>15726.00000000016</c:v>
                </c:pt>
                <c:pt idx="720">
                  <c:v>15726.00000000016</c:v>
                </c:pt>
                <c:pt idx="721">
                  <c:v>15726.00000000016</c:v>
                </c:pt>
                <c:pt idx="722">
                  <c:v>15726.00000000016</c:v>
                </c:pt>
                <c:pt idx="723">
                  <c:v>15726.00000000016</c:v>
                </c:pt>
                <c:pt idx="724">
                  <c:v>15726.00000000016</c:v>
                </c:pt>
                <c:pt idx="725">
                  <c:v>15726.00000000016</c:v>
                </c:pt>
                <c:pt idx="726">
                  <c:v>15726.00000000016</c:v>
                </c:pt>
                <c:pt idx="727">
                  <c:v>15726.00000000016</c:v>
                </c:pt>
                <c:pt idx="728">
                  <c:v>15726.00000000016</c:v>
                </c:pt>
                <c:pt idx="729">
                  <c:v>15726.00000000016</c:v>
                </c:pt>
                <c:pt idx="730">
                  <c:v>15726.00000000016</c:v>
                </c:pt>
                <c:pt idx="731">
                  <c:v>23278.800000000327</c:v>
                </c:pt>
                <c:pt idx="732">
                  <c:v>22616.400000000325</c:v>
                </c:pt>
                <c:pt idx="733">
                  <c:v>15726.00000000016</c:v>
                </c:pt>
                <c:pt idx="734">
                  <c:v>15726.00000000016</c:v>
                </c:pt>
                <c:pt idx="735">
                  <c:v>15726.00000000016</c:v>
                </c:pt>
                <c:pt idx="736">
                  <c:v>15726.00000000016</c:v>
                </c:pt>
                <c:pt idx="737">
                  <c:v>15726.00000000016</c:v>
                </c:pt>
                <c:pt idx="738">
                  <c:v>22616.400000000325</c:v>
                </c:pt>
                <c:pt idx="739">
                  <c:v>15726.00000000016</c:v>
                </c:pt>
                <c:pt idx="740">
                  <c:v>15726.00000000016</c:v>
                </c:pt>
                <c:pt idx="741">
                  <c:v>15726.00000000016</c:v>
                </c:pt>
                <c:pt idx="742">
                  <c:v>15726.00000000016</c:v>
                </c:pt>
                <c:pt idx="743">
                  <c:v>15726.00000000016</c:v>
                </c:pt>
                <c:pt idx="744">
                  <c:v>15726.00000000016</c:v>
                </c:pt>
                <c:pt idx="745">
                  <c:v>15726.00000000016</c:v>
                </c:pt>
                <c:pt idx="746">
                  <c:v>15726.00000000016</c:v>
                </c:pt>
                <c:pt idx="747">
                  <c:v>15726.00000000016</c:v>
                </c:pt>
                <c:pt idx="748">
                  <c:v>15726.00000000016</c:v>
                </c:pt>
                <c:pt idx="749">
                  <c:v>15726.00000000016</c:v>
                </c:pt>
                <c:pt idx="750">
                  <c:v>15726.00000000016</c:v>
                </c:pt>
                <c:pt idx="751">
                  <c:v>15726.00000000016</c:v>
                </c:pt>
                <c:pt idx="752">
                  <c:v>15726.00000000016</c:v>
                </c:pt>
                <c:pt idx="753">
                  <c:v>15726.00000000016</c:v>
                </c:pt>
                <c:pt idx="754">
                  <c:v>15726.00000000016</c:v>
                </c:pt>
                <c:pt idx="755">
                  <c:v>15726.00000000016</c:v>
                </c:pt>
                <c:pt idx="756">
                  <c:v>15726.00000000016</c:v>
                </c:pt>
                <c:pt idx="757">
                  <c:v>15726.00000000016</c:v>
                </c:pt>
                <c:pt idx="758">
                  <c:v>15726.00000000016</c:v>
                </c:pt>
                <c:pt idx="759">
                  <c:v>15726.00000000016</c:v>
                </c:pt>
                <c:pt idx="760">
                  <c:v>15726.00000000016</c:v>
                </c:pt>
                <c:pt idx="761">
                  <c:v>15726.00000000016</c:v>
                </c:pt>
                <c:pt idx="762">
                  <c:v>17812.400000000162</c:v>
                </c:pt>
                <c:pt idx="763">
                  <c:v>15726.00000000016</c:v>
                </c:pt>
                <c:pt idx="764">
                  <c:v>15726.00000000016</c:v>
                </c:pt>
                <c:pt idx="765">
                  <c:v>15726.00000000016</c:v>
                </c:pt>
                <c:pt idx="766">
                  <c:v>17326.00000000016</c:v>
                </c:pt>
                <c:pt idx="767">
                  <c:v>17326.00000000016</c:v>
                </c:pt>
                <c:pt idx="768">
                  <c:v>17326.00000000016</c:v>
                </c:pt>
                <c:pt idx="769">
                  <c:v>17326.00000000016</c:v>
                </c:pt>
                <c:pt idx="770">
                  <c:v>17812.400000000162</c:v>
                </c:pt>
                <c:pt idx="771">
                  <c:v>17812.400000000162</c:v>
                </c:pt>
                <c:pt idx="772">
                  <c:v>17812.400000000162</c:v>
                </c:pt>
                <c:pt idx="773">
                  <c:v>17812.400000000162</c:v>
                </c:pt>
                <c:pt idx="774">
                  <c:v>17812.400000000162</c:v>
                </c:pt>
                <c:pt idx="775">
                  <c:v>20372.400000000162</c:v>
                </c:pt>
                <c:pt idx="776">
                  <c:v>17812.400000000162</c:v>
                </c:pt>
                <c:pt idx="777">
                  <c:v>17812.400000000162</c:v>
                </c:pt>
                <c:pt idx="778">
                  <c:v>17812.400000000162</c:v>
                </c:pt>
                <c:pt idx="779">
                  <c:v>17812.400000000162</c:v>
                </c:pt>
                <c:pt idx="780">
                  <c:v>17812.400000000162</c:v>
                </c:pt>
                <c:pt idx="781">
                  <c:v>17812.400000000162</c:v>
                </c:pt>
                <c:pt idx="782">
                  <c:v>17812.400000000162</c:v>
                </c:pt>
                <c:pt idx="783">
                  <c:v>17812.400000000162</c:v>
                </c:pt>
                <c:pt idx="784">
                  <c:v>17812.400000000162</c:v>
                </c:pt>
                <c:pt idx="785">
                  <c:v>20372.400000000162</c:v>
                </c:pt>
                <c:pt idx="786">
                  <c:v>17812.400000000162</c:v>
                </c:pt>
                <c:pt idx="787">
                  <c:v>17812.400000000162</c:v>
                </c:pt>
                <c:pt idx="788">
                  <c:v>20372.400000000162</c:v>
                </c:pt>
                <c:pt idx="789">
                  <c:v>17812.400000000162</c:v>
                </c:pt>
                <c:pt idx="790">
                  <c:v>17812.400000000162</c:v>
                </c:pt>
                <c:pt idx="791">
                  <c:v>19412.400000000162</c:v>
                </c:pt>
                <c:pt idx="792">
                  <c:v>19412.400000000162</c:v>
                </c:pt>
                <c:pt idx="793">
                  <c:v>20372.400000000162</c:v>
                </c:pt>
                <c:pt idx="794">
                  <c:v>20372.400000000162</c:v>
                </c:pt>
                <c:pt idx="795">
                  <c:v>22308.400000000325</c:v>
                </c:pt>
                <c:pt idx="796">
                  <c:v>20692.400000000325</c:v>
                </c:pt>
                <c:pt idx="797">
                  <c:v>20692.400000000325</c:v>
                </c:pt>
                <c:pt idx="798">
                  <c:v>22308.400000000325</c:v>
                </c:pt>
                <c:pt idx="799">
                  <c:v>20692.400000000325</c:v>
                </c:pt>
                <c:pt idx="800">
                  <c:v>20692.400000000325</c:v>
                </c:pt>
                <c:pt idx="801">
                  <c:v>21652.400000000325</c:v>
                </c:pt>
                <c:pt idx="802">
                  <c:v>22308.400000000325</c:v>
                </c:pt>
                <c:pt idx="803">
                  <c:v>21652.400000000325</c:v>
                </c:pt>
                <c:pt idx="804">
                  <c:v>21652.400000000325</c:v>
                </c:pt>
                <c:pt idx="805">
                  <c:v>21652.400000000325</c:v>
                </c:pt>
                <c:pt idx="806">
                  <c:v>21652.400000000325</c:v>
                </c:pt>
                <c:pt idx="807">
                  <c:v>21652.400000000325</c:v>
                </c:pt>
                <c:pt idx="808">
                  <c:v>21652.400000000325</c:v>
                </c:pt>
                <c:pt idx="809">
                  <c:v>21652.400000000325</c:v>
                </c:pt>
                <c:pt idx="810">
                  <c:v>21652.400000000325</c:v>
                </c:pt>
                <c:pt idx="811">
                  <c:v>21652.400000000325</c:v>
                </c:pt>
                <c:pt idx="812">
                  <c:v>21652.400000000325</c:v>
                </c:pt>
                <c:pt idx="813">
                  <c:v>22308.400000000325</c:v>
                </c:pt>
                <c:pt idx="814">
                  <c:v>22616.400000000325</c:v>
                </c:pt>
                <c:pt idx="815">
                  <c:v>21652.400000000325</c:v>
                </c:pt>
                <c:pt idx="816">
                  <c:v>21652.400000000325</c:v>
                </c:pt>
                <c:pt idx="817">
                  <c:v>22308.400000000325</c:v>
                </c:pt>
                <c:pt idx="818">
                  <c:v>21652.400000000325</c:v>
                </c:pt>
                <c:pt idx="819">
                  <c:v>21652.400000000325</c:v>
                </c:pt>
                <c:pt idx="820">
                  <c:v>21652.400000000325</c:v>
                </c:pt>
                <c:pt idx="821">
                  <c:v>21652.400000000325</c:v>
                </c:pt>
                <c:pt idx="822">
                  <c:v>22308.400000000325</c:v>
                </c:pt>
                <c:pt idx="823">
                  <c:v>22616.400000000325</c:v>
                </c:pt>
                <c:pt idx="824">
                  <c:v>22308.400000000325</c:v>
                </c:pt>
                <c:pt idx="825">
                  <c:v>22308.400000000325</c:v>
                </c:pt>
                <c:pt idx="826">
                  <c:v>22308.400000000325</c:v>
                </c:pt>
                <c:pt idx="827">
                  <c:v>22616.400000000325</c:v>
                </c:pt>
                <c:pt idx="828">
                  <c:v>22616.400000000325</c:v>
                </c:pt>
                <c:pt idx="829">
                  <c:v>22308.400000000325</c:v>
                </c:pt>
                <c:pt idx="830">
                  <c:v>22308.400000000325</c:v>
                </c:pt>
                <c:pt idx="831">
                  <c:v>22308.400000000325</c:v>
                </c:pt>
                <c:pt idx="832">
                  <c:v>22308.400000000325</c:v>
                </c:pt>
                <c:pt idx="833">
                  <c:v>22308.400000000325</c:v>
                </c:pt>
                <c:pt idx="834">
                  <c:v>22616.400000000325</c:v>
                </c:pt>
                <c:pt idx="835">
                  <c:v>22616.400000000325</c:v>
                </c:pt>
                <c:pt idx="836">
                  <c:v>22308.400000000325</c:v>
                </c:pt>
                <c:pt idx="837">
                  <c:v>22616.400000000325</c:v>
                </c:pt>
                <c:pt idx="838">
                  <c:v>22616.400000000325</c:v>
                </c:pt>
                <c:pt idx="839">
                  <c:v>22308.400000000325</c:v>
                </c:pt>
                <c:pt idx="840">
                  <c:v>22308.400000000325</c:v>
                </c:pt>
                <c:pt idx="841">
                  <c:v>22308.400000000325</c:v>
                </c:pt>
                <c:pt idx="842">
                  <c:v>22608.400000000325</c:v>
                </c:pt>
                <c:pt idx="843">
                  <c:v>22608.400000000325</c:v>
                </c:pt>
                <c:pt idx="844">
                  <c:v>22608.400000000325</c:v>
                </c:pt>
                <c:pt idx="845">
                  <c:v>22616.400000000325</c:v>
                </c:pt>
                <c:pt idx="846">
                  <c:v>22616.400000000325</c:v>
                </c:pt>
                <c:pt idx="847">
                  <c:v>22608.400000000325</c:v>
                </c:pt>
                <c:pt idx="848">
                  <c:v>22608.400000000325</c:v>
                </c:pt>
                <c:pt idx="849">
                  <c:v>22616.400000000325</c:v>
                </c:pt>
                <c:pt idx="850">
                  <c:v>22616.400000000325</c:v>
                </c:pt>
                <c:pt idx="851">
                  <c:v>23508.400000000325</c:v>
                </c:pt>
                <c:pt idx="852">
                  <c:v>24108.400000000325</c:v>
                </c:pt>
                <c:pt idx="853">
                  <c:v>24108.400000000325</c:v>
                </c:pt>
                <c:pt idx="854">
                  <c:v>24108.400000000325</c:v>
                </c:pt>
                <c:pt idx="855">
                  <c:v>24108.400000000325</c:v>
                </c:pt>
                <c:pt idx="856">
                  <c:v>24108.400000000325</c:v>
                </c:pt>
                <c:pt idx="857">
                  <c:v>24108.400000000325</c:v>
                </c:pt>
                <c:pt idx="858">
                  <c:v>24408.400000000325</c:v>
                </c:pt>
                <c:pt idx="859">
                  <c:v>24408.400000000325</c:v>
                </c:pt>
                <c:pt idx="860">
                  <c:v>22616.400000000325</c:v>
                </c:pt>
                <c:pt idx="861">
                  <c:v>22616.400000000325</c:v>
                </c:pt>
                <c:pt idx="862">
                  <c:v>22616.400000000325</c:v>
                </c:pt>
                <c:pt idx="863">
                  <c:v>22616.400000000325</c:v>
                </c:pt>
                <c:pt idx="864">
                  <c:v>22616.400000000325</c:v>
                </c:pt>
                <c:pt idx="865">
                  <c:v>22616.400000000325</c:v>
                </c:pt>
                <c:pt idx="866">
                  <c:v>22616.400000000325</c:v>
                </c:pt>
                <c:pt idx="867">
                  <c:v>22616.400000000325</c:v>
                </c:pt>
                <c:pt idx="868">
                  <c:v>22616.400000000325</c:v>
                </c:pt>
                <c:pt idx="869">
                  <c:v>22616.400000000325</c:v>
                </c:pt>
                <c:pt idx="870">
                  <c:v>22616.400000000325</c:v>
                </c:pt>
                <c:pt idx="871">
                  <c:v>22616.400000000325</c:v>
                </c:pt>
                <c:pt idx="872">
                  <c:v>22616.400000000325</c:v>
                </c:pt>
                <c:pt idx="873">
                  <c:v>22616.400000000325</c:v>
                </c:pt>
                <c:pt idx="874">
                  <c:v>22616.400000000325</c:v>
                </c:pt>
                <c:pt idx="875">
                  <c:v>22616.400000000325</c:v>
                </c:pt>
                <c:pt idx="876">
                  <c:v>22616.400000000325</c:v>
                </c:pt>
                <c:pt idx="877">
                  <c:v>22616.400000000325</c:v>
                </c:pt>
                <c:pt idx="878">
                  <c:v>22616.400000000325</c:v>
                </c:pt>
                <c:pt idx="879">
                  <c:v>22616.400000000325</c:v>
                </c:pt>
                <c:pt idx="880">
                  <c:v>22616.400000000325</c:v>
                </c:pt>
                <c:pt idx="881">
                  <c:v>22616.400000000325</c:v>
                </c:pt>
                <c:pt idx="882">
                  <c:v>22616.400000000325</c:v>
                </c:pt>
                <c:pt idx="883">
                  <c:v>22616.400000000325</c:v>
                </c:pt>
                <c:pt idx="884">
                  <c:v>22616.400000000325</c:v>
                </c:pt>
                <c:pt idx="885">
                  <c:v>22616.400000000325</c:v>
                </c:pt>
                <c:pt idx="886">
                  <c:v>22616.400000000325</c:v>
                </c:pt>
                <c:pt idx="887">
                  <c:v>22616.400000000325</c:v>
                </c:pt>
                <c:pt idx="888">
                  <c:v>1428.8986379096184</c:v>
                </c:pt>
                <c:pt idx="889">
                  <c:v>22616.400000000325</c:v>
                </c:pt>
                <c:pt idx="890">
                  <c:v>22616.400000000325</c:v>
                </c:pt>
                <c:pt idx="891">
                  <c:v>22616.400000000325</c:v>
                </c:pt>
                <c:pt idx="892">
                  <c:v>22616.400000000325</c:v>
                </c:pt>
                <c:pt idx="893">
                  <c:v>22616.400000000325</c:v>
                </c:pt>
                <c:pt idx="894">
                  <c:v>22616.400000000325</c:v>
                </c:pt>
                <c:pt idx="895">
                  <c:v>22616.400000000325</c:v>
                </c:pt>
                <c:pt idx="896">
                  <c:v>22616.400000000325</c:v>
                </c:pt>
                <c:pt idx="897">
                  <c:v>22616.400000000325</c:v>
                </c:pt>
                <c:pt idx="898">
                  <c:v>22616.400000000325</c:v>
                </c:pt>
                <c:pt idx="899">
                  <c:v>22616.400000000325</c:v>
                </c:pt>
                <c:pt idx="900">
                  <c:v>22616.400000000325</c:v>
                </c:pt>
                <c:pt idx="901">
                  <c:v>22616.400000000325</c:v>
                </c:pt>
                <c:pt idx="902">
                  <c:v>22728.400000000325</c:v>
                </c:pt>
                <c:pt idx="903">
                  <c:v>22616.400000000325</c:v>
                </c:pt>
                <c:pt idx="904">
                  <c:v>22616.400000000325</c:v>
                </c:pt>
                <c:pt idx="905">
                  <c:v>22616.400000000325</c:v>
                </c:pt>
                <c:pt idx="906">
                  <c:v>22616.400000000325</c:v>
                </c:pt>
                <c:pt idx="907">
                  <c:v>22616.400000000325</c:v>
                </c:pt>
                <c:pt idx="908">
                  <c:v>22616.400000000325</c:v>
                </c:pt>
                <c:pt idx="909">
                  <c:v>22616.400000000325</c:v>
                </c:pt>
                <c:pt idx="910">
                  <c:v>22616.400000000325</c:v>
                </c:pt>
                <c:pt idx="911">
                  <c:v>22616.400000000325</c:v>
                </c:pt>
                <c:pt idx="912">
                  <c:v>22728.400000000325</c:v>
                </c:pt>
                <c:pt idx="913">
                  <c:v>22616.400000000325</c:v>
                </c:pt>
                <c:pt idx="914">
                  <c:v>22616.400000000325</c:v>
                </c:pt>
                <c:pt idx="915">
                  <c:v>22616.400000000325</c:v>
                </c:pt>
                <c:pt idx="916">
                  <c:v>22616.400000000325</c:v>
                </c:pt>
                <c:pt idx="917">
                  <c:v>22616.400000000325</c:v>
                </c:pt>
                <c:pt idx="918">
                  <c:v>22616.400000000325</c:v>
                </c:pt>
                <c:pt idx="919">
                  <c:v>22616.400000000325</c:v>
                </c:pt>
                <c:pt idx="920">
                  <c:v>22728.400000000325</c:v>
                </c:pt>
                <c:pt idx="921">
                  <c:v>22728.400000000325</c:v>
                </c:pt>
                <c:pt idx="922">
                  <c:v>22728.400000000325</c:v>
                </c:pt>
                <c:pt idx="923">
                  <c:v>22728.400000000325</c:v>
                </c:pt>
                <c:pt idx="924">
                  <c:v>22728.400000000325</c:v>
                </c:pt>
                <c:pt idx="925">
                  <c:v>22728.400000000325</c:v>
                </c:pt>
                <c:pt idx="926">
                  <c:v>22728.400000000325</c:v>
                </c:pt>
                <c:pt idx="927">
                  <c:v>22728.400000000325</c:v>
                </c:pt>
                <c:pt idx="928">
                  <c:v>22728.400000000325</c:v>
                </c:pt>
                <c:pt idx="929">
                  <c:v>22728.400000000325</c:v>
                </c:pt>
                <c:pt idx="930">
                  <c:v>23278.800000000327</c:v>
                </c:pt>
                <c:pt idx="931">
                  <c:v>22728.400000000325</c:v>
                </c:pt>
                <c:pt idx="932">
                  <c:v>22728.400000000325</c:v>
                </c:pt>
                <c:pt idx="933">
                  <c:v>22728.400000000325</c:v>
                </c:pt>
                <c:pt idx="934">
                  <c:v>22728.400000000325</c:v>
                </c:pt>
                <c:pt idx="935">
                  <c:v>22728.400000000325</c:v>
                </c:pt>
                <c:pt idx="936">
                  <c:v>22728.400000000325</c:v>
                </c:pt>
                <c:pt idx="937">
                  <c:v>22728.400000000325</c:v>
                </c:pt>
                <c:pt idx="938">
                  <c:v>22728.400000000325</c:v>
                </c:pt>
                <c:pt idx="939">
                  <c:v>23278.800000000327</c:v>
                </c:pt>
                <c:pt idx="940">
                  <c:v>22728.400000000325</c:v>
                </c:pt>
                <c:pt idx="941">
                  <c:v>22728.400000000325</c:v>
                </c:pt>
                <c:pt idx="942">
                  <c:v>22728.400000000325</c:v>
                </c:pt>
                <c:pt idx="943">
                  <c:v>22728.400000000325</c:v>
                </c:pt>
                <c:pt idx="944">
                  <c:v>22728.400000000325</c:v>
                </c:pt>
                <c:pt idx="945">
                  <c:v>22728.400000000325</c:v>
                </c:pt>
                <c:pt idx="946">
                  <c:v>23640.400000000325</c:v>
                </c:pt>
                <c:pt idx="947">
                  <c:v>24216.400000000325</c:v>
                </c:pt>
                <c:pt idx="948">
                  <c:v>23640.400000000325</c:v>
                </c:pt>
                <c:pt idx="949">
                  <c:v>23640.400000000325</c:v>
                </c:pt>
                <c:pt idx="950">
                  <c:v>23640.400000000325</c:v>
                </c:pt>
                <c:pt idx="951">
                  <c:v>23640.400000000325</c:v>
                </c:pt>
                <c:pt idx="952">
                  <c:v>23640.400000000325</c:v>
                </c:pt>
                <c:pt idx="953">
                  <c:v>23640.400000000325</c:v>
                </c:pt>
                <c:pt idx="954">
                  <c:v>23640.400000000325</c:v>
                </c:pt>
                <c:pt idx="955">
                  <c:v>23640.400000000325</c:v>
                </c:pt>
                <c:pt idx="956">
                  <c:v>23640.400000000325</c:v>
                </c:pt>
                <c:pt idx="957">
                  <c:v>24216.400000000325</c:v>
                </c:pt>
                <c:pt idx="958">
                  <c:v>23640.400000000325</c:v>
                </c:pt>
                <c:pt idx="959">
                  <c:v>23640.400000000325</c:v>
                </c:pt>
                <c:pt idx="960">
                  <c:v>24216.400000000325</c:v>
                </c:pt>
                <c:pt idx="961">
                  <c:v>23640.400000000325</c:v>
                </c:pt>
                <c:pt idx="962">
                  <c:v>23640.400000000325</c:v>
                </c:pt>
                <c:pt idx="963">
                  <c:v>24216.400000000325</c:v>
                </c:pt>
                <c:pt idx="964">
                  <c:v>24216.400000000325</c:v>
                </c:pt>
                <c:pt idx="965">
                  <c:v>24216.400000000325</c:v>
                </c:pt>
                <c:pt idx="966">
                  <c:v>24216.400000000325</c:v>
                </c:pt>
                <c:pt idx="967">
                  <c:v>23278.800000000327</c:v>
                </c:pt>
                <c:pt idx="968">
                  <c:v>24056.400000000325</c:v>
                </c:pt>
                <c:pt idx="969">
                  <c:v>24056.400000000325</c:v>
                </c:pt>
                <c:pt idx="970">
                  <c:v>24056.400000000325</c:v>
                </c:pt>
                <c:pt idx="971">
                  <c:v>24056.400000000325</c:v>
                </c:pt>
                <c:pt idx="972">
                  <c:v>24056.400000000325</c:v>
                </c:pt>
                <c:pt idx="973">
                  <c:v>24056.400000000325</c:v>
                </c:pt>
                <c:pt idx="974">
                  <c:v>24056.400000000325</c:v>
                </c:pt>
                <c:pt idx="975">
                  <c:v>23278.800000000327</c:v>
                </c:pt>
                <c:pt idx="976">
                  <c:v>23230.800000000327</c:v>
                </c:pt>
                <c:pt idx="977">
                  <c:v>23230.800000000327</c:v>
                </c:pt>
                <c:pt idx="978">
                  <c:v>23230.800000000327</c:v>
                </c:pt>
                <c:pt idx="979">
                  <c:v>23278.800000000327</c:v>
                </c:pt>
                <c:pt idx="980">
                  <c:v>23278.800000000327</c:v>
                </c:pt>
                <c:pt idx="981">
                  <c:v>23278.800000000327</c:v>
                </c:pt>
                <c:pt idx="982">
                  <c:v>23278.800000000327</c:v>
                </c:pt>
                <c:pt idx="983">
                  <c:v>23278.800000000327</c:v>
                </c:pt>
                <c:pt idx="984">
                  <c:v>23278.800000000327</c:v>
                </c:pt>
                <c:pt idx="985">
                  <c:v>23278.800000000327</c:v>
                </c:pt>
                <c:pt idx="986">
                  <c:v>23278.800000000327</c:v>
                </c:pt>
                <c:pt idx="987">
                  <c:v>23278.800000000327</c:v>
                </c:pt>
                <c:pt idx="988">
                  <c:v>23278.800000000327</c:v>
                </c:pt>
                <c:pt idx="989">
                  <c:v>1428.8986379096184</c:v>
                </c:pt>
                <c:pt idx="990">
                  <c:v>23790.800000000327</c:v>
                </c:pt>
                <c:pt idx="991">
                  <c:v>23790.800000000327</c:v>
                </c:pt>
                <c:pt idx="992">
                  <c:v>23790.800000000327</c:v>
                </c:pt>
                <c:pt idx="993">
                  <c:v>23790.800000000327</c:v>
                </c:pt>
                <c:pt idx="994">
                  <c:v>23790.800000000327</c:v>
                </c:pt>
                <c:pt idx="995">
                  <c:v>23790.800000000327</c:v>
                </c:pt>
                <c:pt idx="996">
                  <c:v>23790.800000000327</c:v>
                </c:pt>
                <c:pt idx="997">
                  <c:v>23790.800000000327</c:v>
                </c:pt>
                <c:pt idx="998">
                  <c:v>22926.800000000327</c:v>
                </c:pt>
                <c:pt idx="999">
                  <c:v>20366.800000000327</c:v>
                </c:pt>
                <c:pt idx="1000">
                  <c:v>20366.800000000327</c:v>
                </c:pt>
                <c:pt idx="1001">
                  <c:v>20606.800000000316</c:v>
                </c:pt>
                <c:pt idx="1002">
                  <c:v>20606.800000000316</c:v>
                </c:pt>
                <c:pt idx="1003">
                  <c:v>20606.800000000316</c:v>
                </c:pt>
                <c:pt idx="1004">
                  <c:v>21038.800000000316</c:v>
                </c:pt>
                <c:pt idx="1005">
                  <c:v>21038.800000000316</c:v>
                </c:pt>
                <c:pt idx="1006">
                  <c:v>21038.800000000316</c:v>
                </c:pt>
                <c:pt idx="1007">
                  <c:v>21038.800000000316</c:v>
                </c:pt>
                <c:pt idx="1008">
                  <c:v>21038.800000000316</c:v>
                </c:pt>
                <c:pt idx="1009">
                  <c:v>21038.800000000316</c:v>
                </c:pt>
                <c:pt idx="1010">
                  <c:v>21038.800000000316</c:v>
                </c:pt>
                <c:pt idx="1011">
                  <c:v>21038.800000000316</c:v>
                </c:pt>
                <c:pt idx="1012">
                  <c:v>21038.800000000316</c:v>
                </c:pt>
                <c:pt idx="1013">
                  <c:v>21038.800000000316</c:v>
                </c:pt>
                <c:pt idx="1014">
                  <c:v>21038.800000000316</c:v>
                </c:pt>
                <c:pt idx="1015">
                  <c:v>21038.800000000316</c:v>
                </c:pt>
                <c:pt idx="1016">
                  <c:v>21038.800000000316</c:v>
                </c:pt>
                <c:pt idx="1017">
                  <c:v>21038.800000000316</c:v>
                </c:pt>
                <c:pt idx="1018">
                  <c:v>21038.800000000316</c:v>
                </c:pt>
                <c:pt idx="1019">
                  <c:v>21038.800000000316</c:v>
                </c:pt>
                <c:pt idx="1020">
                  <c:v>21038.800000000316</c:v>
                </c:pt>
                <c:pt idx="1021">
                  <c:v>21038.800000000316</c:v>
                </c:pt>
                <c:pt idx="1022">
                  <c:v>21038.800000000316</c:v>
                </c:pt>
                <c:pt idx="1023">
                  <c:v>21038.800000000316</c:v>
                </c:pt>
                <c:pt idx="1024">
                  <c:v>21038.800000000316</c:v>
                </c:pt>
                <c:pt idx="1025">
                  <c:v>21038.800000000316</c:v>
                </c:pt>
                <c:pt idx="1027">
                  <c:v>911.99999999999966</c:v>
                </c:pt>
                <c:pt idx="1028">
                  <c:v>911.99999999999966</c:v>
                </c:pt>
                <c:pt idx="1029">
                  <c:v>911.99999999999966</c:v>
                </c:pt>
                <c:pt idx="1030">
                  <c:v>911.99999999999966</c:v>
                </c:pt>
                <c:pt idx="1031">
                  <c:v>911.99999999999966</c:v>
                </c:pt>
                <c:pt idx="1032">
                  <c:v>911.99999999999966</c:v>
                </c:pt>
                <c:pt idx="1033">
                  <c:v>911.99999999999966</c:v>
                </c:pt>
                <c:pt idx="1034">
                  <c:v>911.99999999999966</c:v>
                </c:pt>
                <c:pt idx="1035">
                  <c:v>911.99999999999966</c:v>
                </c:pt>
                <c:pt idx="1036">
                  <c:v>911.99999999999966</c:v>
                </c:pt>
                <c:pt idx="1037">
                  <c:v>911.99999999999966</c:v>
                </c:pt>
                <c:pt idx="1038">
                  <c:v>911.99999999999966</c:v>
                </c:pt>
                <c:pt idx="1039">
                  <c:v>911.99999999999966</c:v>
                </c:pt>
                <c:pt idx="1040">
                  <c:v>911.99999999999966</c:v>
                </c:pt>
                <c:pt idx="1041">
                  <c:v>911.99999999999966</c:v>
                </c:pt>
                <c:pt idx="1042">
                  <c:v>911.99999999999966</c:v>
                </c:pt>
                <c:pt idx="1043">
                  <c:v>911.99999999999966</c:v>
                </c:pt>
                <c:pt idx="1044">
                  <c:v>911.99999999999966</c:v>
                </c:pt>
                <c:pt idx="1045">
                  <c:v>911.99999999999966</c:v>
                </c:pt>
                <c:pt idx="1046">
                  <c:v>911.99999999999966</c:v>
                </c:pt>
                <c:pt idx="1047">
                  <c:v>911.99999999999966</c:v>
                </c:pt>
                <c:pt idx="1048">
                  <c:v>911.99999999999966</c:v>
                </c:pt>
                <c:pt idx="1049">
                  <c:v>911.99999999999966</c:v>
                </c:pt>
                <c:pt idx="1050">
                  <c:v>911.99999999999966</c:v>
                </c:pt>
                <c:pt idx="1051">
                  <c:v>911.99999999999966</c:v>
                </c:pt>
                <c:pt idx="1052">
                  <c:v>911.99999999999966</c:v>
                </c:pt>
                <c:pt idx="1053">
                  <c:v>911.99999999999966</c:v>
                </c:pt>
                <c:pt idx="1054">
                  <c:v>911.99999999999966</c:v>
                </c:pt>
                <c:pt idx="1055">
                  <c:v>911.99999999999966</c:v>
                </c:pt>
                <c:pt idx="1056">
                  <c:v>911.99999999999966</c:v>
                </c:pt>
                <c:pt idx="1057">
                  <c:v>911.99999999999966</c:v>
                </c:pt>
                <c:pt idx="1058">
                  <c:v>911.99999999999966</c:v>
                </c:pt>
                <c:pt idx="1059">
                  <c:v>911.99999999999966</c:v>
                </c:pt>
                <c:pt idx="1060">
                  <c:v>911.99999999999966</c:v>
                </c:pt>
                <c:pt idx="1061">
                  <c:v>911.99999999999966</c:v>
                </c:pt>
                <c:pt idx="1062">
                  <c:v>911.99999999999966</c:v>
                </c:pt>
                <c:pt idx="1063">
                  <c:v>911.99999999999966</c:v>
                </c:pt>
                <c:pt idx="1064">
                  <c:v>911.99999999999966</c:v>
                </c:pt>
                <c:pt idx="1065">
                  <c:v>911.99999999999966</c:v>
                </c:pt>
                <c:pt idx="1066">
                  <c:v>911.99999999999966</c:v>
                </c:pt>
                <c:pt idx="1067">
                  <c:v>911.99999999999966</c:v>
                </c:pt>
                <c:pt idx="1068">
                  <c:v>911.99999999999966</c:v>
                </c:pt>
                <c:pt idx="1069">
                  <c:v>911.99999999999966</c:v>
                </c:pt>
                <c:pt idx="1070">
                  <c:v>911.99999999999966</c:v>
                </c:pt>
                <c:pt idx="1071">
                  <c:v>911.99999999999966</c:v>
                </c:pt>
                <c:pt idx="1072">
                  <c:v>911.99999999999966</c:v>
                </c:pt>
                <c:pt idx="1073">
                  <c:v>911.99999999999966</c:v>
                </c:pt>
                <c:pt idx="1074">
                  <c:v>911.99999999999966</c:v>
                </c:pt>
                <c:pt idx="1075">
                  <c:v>911.99999999999966</c:v>
                </c:pt>
                <c:pt idx="1076">
                  <c:v>911.99999999999966</c:v>
                </c:pt>
                <c:pt idx="1077">
                  <c:v>911.99999999999966</c:v>
                </c:pt>
                <c:pt idx="1078">
                  <c:v>911.99999999999966</c:v>
                </c:pt>
                <c:pt idx="1079">
                  <c:v>911.99999999999966</c:v>
                </c:pt>
                <c:pt idx="1080">
                  <c:v>911.99999999999966</c:v>
                </c:pt>
                <c:pt idx="1081">
                  <c:v>911.99999999999966</c:v>
                </c:pt>
                <c:pt idx="1082">
                  <c:v>911.99999999999966</c:v>
                </c:pt>
                <c:pt idx="1083">
                  <c:v>911.99999999999966</c:v>
                </c:pt>
                <c:pt idx="1084">
                  <c:v>911.99999999999966</c:v>
                </c:pt>
                <c:pt idx="1085">
                  <c:v>911.99999999999966</c:v>
                </c:pt>
                <c:pt idx="1086">
                  <c:v>911.99999999999966</c:v>
                </c:pt>
                <c:pt idx="1087">
                  <c:v>911.99999999999966</c:v>
                </c:pt>
                <c:pt idx="1088">
                  <c:v>911.99999999999966</c:v>
                </c:pt>
                <c:pt idx="1089">
                  <c:v>911.99999999999966</c:v>
                </c:pt>
                <c:pt idx="1090">
                  <c:v>911.99999999999966</c:v>
                </c:pt>
                <c:pt idx="1091">
                  <c:v>911.99999999999966</c:v>
                </c:pt>
                <c:pt idx="1092">
                  <c:v>911.99999999999966</c:v>
                </c:pt>
                <c:pt idx="1093">
                  <c:v>911.99999999999966</c:v>
                </c:pt>
                <c:pt idx="1094">
                  <c:v>911.99999999999966</c:v>
                </c:pt>
                <c:pt idx="1095">
                  <c:v>911.99999999999966</c:v>
                </c:pt>
                <c:pt idx="1096">
                  <c:v>911.99999999999966</c:v>
                </c:pt>
                <c:pt idx="1097">
                  <c:v>911.99999999999966</c:v>
                </c:pt>
                <c:pt idx="1098">
                  <c:v>911.99999999999966</c:v>
                </c:pt>
                <c:pt idx="1099">
                  <c:v>911.99999999999966</c:v>
                </c:pt>
                <c:pt idx="1100">
                  <c:v>911.99999999999966</c:v>
                </c:pt>
                <c:pt idx="1101">
                  <c:v>911.99999999999966</c:v>
                </c:pt>
                <c:pt idx="1102">
                  <c:v>911.99999999999966</c:v>
                </c:pt>
                <c:pt idx="1103">
                  <c:v>911.99999999999966</c:v>
                </c:pt>
                <c:pt idx="1104">
                  <c:v>911.99999999999966</c:v>
                </c:pt>
                <c:pt idx="1105">
                  <c:v>911.99999999999966</c:v>
                </c:pt>
                <c:pt idx="1106">
                  <c:v>911.99999999999966</c:v>
                </c:pt>
                <c:pt idx="1107">
                  <c:v>911.99999999999966</c:v>
                </c:pt>
                <c:pt idx="1108">
                  <c:v>911.99999999999966</c:v>
                </c:pt>
                <c:pt idx="1109">
                  <c:v>911.99999999999966</c:v>
                </c:pt>
                <c:pt idx="1110">
                  <c:v>911.99999999999966</c:v>
                </c:pt>
                <c:pt idx="1111">
                  <c:v>911.99999999999966</c:v>
                </c:pt>
                <c:pt idx="1112">
                  <c:v>911.99999999999966</c:v>
                </c:pt>
                <c:pt idx="1113">
                  <c:v>911.99999999999966</c:v>
                </c:pt>
                <c:pt idx="1114">
                  <c:v>911.99999999999966</c:v>
                </c:pt>
                <c:pt idx="1115">
                  <c:v>911.99999999999966</c:v>
                </c:pt>
                <c:pt idx="1116">
                  <c:v>911.99999999999966</c:v>
                </c:pt>
                <c:pt idx="1117">
                  <c:v>911.99999999999966</c:v>
                </c:pt>
                <c:pt idx="1118">
                  <c:v>911.99999999999966</c:v>
                </c:pt>
                <c:pt idx="1119">
                  <c:v>911.99999999999966</c:v>
                </c:pt>
                <c:pt idx="1120">
                  <c:v>911.99999999999966</c:v>
                </c:pt>
                <c:pt idx="1121">
                  <c:v>911.99999999999966</c:v>
                </c:pt>
                <c:pt idx="1122">
                  <c:v>911.99999999999966</c:v>
                </c:pt>
                <c:pt idx="1123">
                  <c:v>911.99999999999966</c:v>
                </c:pt>
                <c:pt idx="1124">
                  <c:v>911.99999999999966</c:v>
                </c:pt>
                <c:pt idx="1125">
                  <c:v>911.99999999999966</c:v>
                </c:pt>
                <c:pt idx="1126">
                  <c:v>911.99999999999966</c:v>
                </c:pt>
                <c:pt idx="1127">
                  <c:v>911.99999999999966</c:v>
                </c:pt>
                <c:pt idx="1128">
                  <c:v>911.99999999999966</c:v>
                </c:pt>
                <c:pt idx="1129">
                  <c:v>911.99999999999966</c:v>
                </c:pt>
                <c:pt idx="1130">
                  <c:v>911.99999999999966</c:v>
                </c:pt>
                <c:pt idx="1131">
                  <c:v>911.99999999999966</c:v>
                </c:pt>
                <c:pt idx="1132">
                  <c:v>911.99999999999966</c:v>
                </c:pt>
                <c:pt idx="1133">
                  <c:v>911.99999999999966</c:v>
                </c:pt>
                <c:pt idx="1134">
                  <c:v>911.99999999999966</c:v>
                </c:pt>
                <c:pt idx="1135">
                  <c:v>911.99999999999966</c:v>
                </c:pt>
                <c:pt idx="1136">
                  <c:v>911.99999999999966</c:v>
                </c:pt>
                <c:pt idx="1137">
                  <c:v>911.99999999999966</c:v>
                </c:pt>
                <c:pt idx="1138">
                  <c:v>911.99999999999966</c:v>
                </c:pt>
                <c:pt idx="1139">
                  <c:v>911.99999999999966</c:v>
                </c:pt>
                <c:pt idx="1140">
                  <c:v>911.99999999999966</c:v>
                </c:pt>
                <c:pt idx="1141">
                  <c:v>911.99999999999966</c:v>
                </c:pt>
                <c:pt idx="1142">
                  <c:v>911.99999999999966</c:v>
                </c:pt>
                <c:pt idx="1143">
                  <c:v>911.99999999999966</c:v>
                </c:pt>
                <c:pt idx="1144">
                  <c:v>911.99999999999966</c:v>
                </c:pt>
                <c:pt idx="1145">
                  <c:v>911.99999999999966</c:v>
                </c:pt>
                <c:pt idx="1146">
                  <c:v>911.99999999999966</c:v>
                </c:pt>
                <c:pt idx="1147">
                  <c:v>911.99999999999966</c:v>
                </c:pt>
                <c:pt idx="1148">
                  <c:v>911.99999999999966</c:v>
                </c:pt>
                <c:pt idx="1149">
                  <c:v>911.99999999999966</c:v>
                </c:pt>
                <c:pt idx="1150">
                  <c:v>911.99999999999966</c:v>
                </c:pt>
                <c:pt idx="1151">
                  <c:v>911.99999999999966</c:v>
                </c:pt>
                <c:pt idx="1152">
                  <c:v>911.99999999999966</c:v>
                </c:pt>
                <c:pt idx="1153">
                  <c:v>911.99999999999966</c:v>
                </c:pt>
                <c:pt idx="1154">
                  <c:v>911.99999999999966</c:v>
                </c:pt>
                <c:pt idx="1155">
                  <c:v>911.99999999999966</c:v>
                </c:pt>
                <c:pt idx="1156">
                  <c:v>911.99999999999966</c:v>
                </c:pt>
                <c:pt idx="1157">
                  <c:v>911.99999999999966</c:v>
                </c:pt>
                <c:pt idx="1158">
                  <c:v>911.99999999999966</c:v>
                </c:pt>
                <c:pt idx="1159">
                  <c:v>911.99999999999966</c:v>
                </c:pt>
                <c:pt idx="1160">
                  <c:v>911.99999999999966</c:v>
                </c:pt>
                <c:pt idx="1161">
                  <c:v>911.99999999999966</c:v>
                </c:pt>
                <c:pt idx="1162">
                  <c:v>911.99999999999966</c:v>
                </c:pt>
                <c:pt idx="1163">
                  <c:v>911.99999999999966</c:v>
                </c:pt>
                <c:pt idx="1164">
                  <c:v>911.99999999999966</c:v>
                </c:pt>
                <c:pt idx="1165">
                  <c:v>911.99999999999966</c:v>
                </c:pt>
                <c:pt idx="1166">
                  <c:v>911.99999999999966</c:v>
                </c:pt>
                <c:pt idx="1167">
                  <c:v>911.99999999999966</c:v>
                </c:pt>
                <c:pt idx="1168">
                  <c:v>911.99999999999966</c:v>
                </c:pt>
                <c:pt idx="1169">
                  <c:v>911.99999999999966</c:v>
                </c:pt>
                <c:pt idx="1170">
                  <c:v>911.99999999999966</c:v>
                </c:pt>
                <c:pt idx="1171">
                  <c:v>911.99999999999966</c:v>
                </c:pt>
                <c:pt idx="1172">
                  <c:v>911.99999999999966</c:v>
                </c:pt>
                <c:pt idx="1173">
                  <c:v>911.99999999999966</c:v>
                </c:pt>
                <c:pt idx="1174">
                  <c:v>911.99999999999966</c:v>
                </c:pt>
                <c:pt idx="1175">
                  <c:v>911.99999999999966</c:v>
                </c:pt>
                <c:pt idx="1176">
                  <c:v>911.99999999999966</c:v>
                </c:pt>
                <c:pt idx="1177">
                  <c:v>911.99999999999966</c:v>
                </c:pt>
                <c:pt idx="1178">
                  <c:v>911.99999999999966</c:v>
                </c:pt>
                <c:pt idx="1179">
                  <c:v>911.99999999999966</c:v>
                </c:pt>
                <c:pt idx="1180">
                  <c:v>911.99999999999966</c:v>
                </c:pt>
                <c:pt idx="1181">
                  <c:v>911.99999999999966</c:v>
                </c:pt>
                <c:pt idx="1182">
                  <c:v>911.99999999999966</c:v>
                </c:pt>
                <c:pt idx="1183">
                  <c:v>911.99999999999966</c:v>
                </c:pt>
                <c:pt idx="1184">
                  <c:v>911.99999999999966</c:v>
                </c:pt>
                <c:pt idx="1185">
                  <c:v>911.99999999999966</c:v>
                </c:pt>
                <c:pt idx="1186">
                  <c:v>911.99999999999966</c:v>
                </c:pt>
                <c:pt idx="1187">
                  <c:v>911.99999999999966</c:v>
                </c:pt>
                <c:pt idx="1188">
                  <c:v>911.99999999999966</c:v>
                </c:pt>
                <c:pt idx="1189">
                  <c:v>911.99999999999966</c:v>
                </c:pt>
                <c:pt idx="1190">
                  <c:v>911.99999999999966</c:v>
                </c:pt>
                <c:pt idx="1191">
                  <c:v>911.99999999999966</c:v>
                </c:pt>
                <c:pt idx="1192">
                  <c:v>911.99999999999966</c:v>
                </c:pt>
                <c:pt idx="1193">
                  <c:v>911.99999999999966</c:v>
                </c:pt>
                <c:pt idx="1194">
                  <c:v>911.99999999999966</c:v>
                </c:pt>
                <c:pt idx="1195">
                  <c:v>911.99999999999966</c:v>
                </c:pt>
                <c:pt idx="1196">
                  <c:v>911.99999999999966</c:v>
                </c:pt>
                <c:pt idx="1197">
                  <c:v>911.99999999999966</c:v>
                </c:pt>
                <c:pt idx="1198">
                  <c:v>911.99999999999966</c:v>
                </c:pt>
                <c:pt idx="1199">
                  <c:v>911.99999999999966</c:v>
                </c:pt>
                <c:pt idx="1200">
                  <c:v>911.99999999999966</c:v>
                </c:pt>
                <c:pt idx="1201">
                  <c:v>911.99999999999966</c:v>
                </c:pt>
                <c:pt idx="1202">
                  <c:v>911.99999999999966</c:v>
                </c:pt>
                <c:pt idx="1203">
                  <c:v>911.99999999999966</c:v>
                </c:pt>
                <c:pt idx="1204">
                  <c:v>911.99999999999966</c:v>
                </c:pt>
                <c:pt idx="1205">
                  <c:v>911.99999999999966</c:v>
                </c:pt>
                <c:pt idx="1206">
                  <c:v>911.99999999999966</c:v>
                </c:pt>
                <c:pt idx="1207">
                  <c:v>911.99999999999966</c:v>
                </c:pt>
                <c:pt idx="1208">
                  <c:v>911.99999999999966</c:v>
                </c:pt>
                <c:pt idx="1209">
                  <c:v>911.99999999999966</c:v>
                </c:pt>
                <c:pt idx="1210">
                  <c:v>911.99999999999966</c:v>
                </c:pt>
                <c:pt idx="1211">
                  <c:v>911.99999999999966</c:v>
                </c:pt>
                <c:pt idx="1212">
                  <c:v>911.99999999999966</c:v>
                </c:pt>
                <c:pt idx="1213">
                  <c:v>911.99999999999966</c:v>
                </c:pt>
                <c:pt idx="1214">
                  <c:v>911.99999999999966</c:v>
                </c:pt>
                <c:pt idx="1215">
                  <c:v>911.99999999999966</c:v>
                </c:pt>
                <c:pt idx="1216">
                  <c:v>911.99999999999966</c:v>
                </c:pt>
                <c:pt idx="1217">
                  <c:v>911.99999999999966</c:v>
                </c:pt>
                <c:pt idx="1218">
                  <c:v>911.99999999999966</c:v>
                </c:pt>
                <c:pt idx="1219">
                  <c:v>911.99999999999966</c:v>
                </c:pt>
                <c:pt idx="1220">
                  <c:v>911.99999999999966</c:v>
                </c:pt>
                <c:pt idx="1221">
                  <c:v>911.99999999999966</c:v>
                </c:pt>
                <c:pt idx="1222">
                  <c:v>911.99999999999966</c:v>
                </c:pt>
                <c:pt idx="1223">
                  <c:v>911.99999999999966</c:v>
                </c:pt>
                <c:pt idx="1224">
                  <c:v>911.99999999999966</c:v>
                </c:pt>
                <c:pt idx="1225">
                  <c:v>911.99999999999966</c:v>
                </c:pt>
                <c:pt idx="1226">
                  <c:v>911.99999999999966</c:v>
                </c:pt>
                <c:pt idx="1227">
                  <c:v>911.99999999999966</c:v>
                </c:pt>
                <c:pt idx="1228">
                  <c:v>911.99999999999966</c:v>
                </c:pt>
                <c:pt idx="1229">
                  <c:v>911.99999999999966</c:v>
                </c:pt>
                <c:pt idx="1230">
                  <c:v>911.99999999999966</c:v>
                </c:pt>
                <c:pt idx="1231">
                  <c:v>911.99999999999966</c:v>
                </c:pt>
                <c:pt idx="1232">
                  <c:v>911.99999999999966</c:v>
                </c:pt>
                <c:pt idx="1233">
                  <c:v>911.99999999999966</c:v>
                </c:pt>
                <c:pt idx="1234">
                  <c:v>911.99999999999966</c:v>
                </c:pt>
                <c:pt idx="1235">
                  <c:v>911.99999999999966</c:v>
                </c:pt>
                <c:pt idx="1236">
                  <c:v>911.99999999999966</c:v>
                </c:pt>
                <c:pt idx="1237">
                  <c:v>911.99999999999966</c:v>
                </c:pt>
              </c:numCache>
            </c:numRef>
          </c:val>
          <c:smooth val="0"/>
          <c:extLst>
            <c:ext xmlns:c16="http://schemas.microsoft.com/office/drawing/2014/chart" uri="{C3380CC4-5D6E-409C-BE32-E72D297353CC}">
              <c16:uniqueId val="{00000001-1996-40BD-8036-CE08B5412D8D}"/>
            </c:ext>
          </c:extLst>
        </c:ser>
        <c:dLbls>
          <c:showLegendKey val="0"/>
          <c:showVal val="0"/>
          <c:showCatName val="0"/>
          <c:showSerName val="0"/>
          <c:showPercent val="0"/>
          <c:showBubbleSize val="0"/>
        </c:dLbls>
        <c:smooth val="0"/>
        <c:axId val="860743679"/>
        <c:axId val="1122017903"/>
      </c:lineChart>
      <c:catAx>
        <c:axId val="860743679"/>
        <c:scaling>
          <c:orientation val="minMax"/>
        </c:scaling>
        <c:delete val="0"/>
        <c:axPos val="b"/>
        <c:numFmt formatCode="General" sourceLinked="1"/>
        <c:majorTickMark val="none"/>
        <c:minorTickMark val="none"/>
        <c:tickLblPos val="low"/>
        <c:spPr>
          <a:noFill/>
          <a:ln w="9525" cap="flat" cmpd="sng" algn="ctr">
            <a:solidFill>
              <a:schemeClr val="tx2">
                <a:lumMod val="65000"/>
                <a:lumOff val="35000"/>
              </a:schemeClr>
            </a:solidFill>
            <a:round/>
          </a:ln>
          <a:effectLst/>
        </c:spPr>
        <c:txPr>
          <a:bodyPr rot="-6000000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crossAx val="1122017903"/>
        <c:crosses val="autoZero"/>
        <c:auto val="1"/>
        <c:lblAlgn val="ctr"/>
        <c:lblOffset val="100"/>
        <c:noMultiLvlLbl val="0"/>
      </c:catAx>
      <c:valAx>
        <c:axId val="1122017903"/>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86074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Holding Duration</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c:v>
          </c:tx>
          <c:spPr>
            <a:ln w="28575" cap="rnd">
              <a:solidFill>
                <a:schemeClr val="accent1"/>
              </a:solidFill>
              <a:round/>
            </a:ln>
            <a:effectLst/>
          </c:spPr>
          <c:marker>
            <c:symbol val="none"/>
          </c:marker>
          <c:cat>
            <c:strRef>
              <c:f>'Journal Live'!$A$1388:$A$2630</c:f>
              <c:strCache>
                <c:ptCount val="1238"/>
                <c:pt idx="1">
                  <c:v>JAN.24</c:v>
                </c:pt>
                <c:pt idx="2">
                  <c:v>JAN.24</c:v>
                </c:pt>
                <c:pt idx="3">
                  <c:v>JAN.24</c:v>
                </c:pt>
                <c:pt idx="4">
                  <c:v>JAN.24</c:v>
                </c:pt>
                <c:pt idx="5">
                  <c:v>JAN.24</c:v>
                </c:pt>
                <c:pt idx="6">
                  <c:v>JAN.24</c:v>
                </c:pt>
                <c:pt idx="7">
                  <c:v>JAN.24</c:v>
                </c:pt>
                <c:pt idx="8">
                  <c:v>JAN.24</c:v>
                </c:pt>
                <c:pt idx="9">
                  <c:v>JAN.24</c:v>
                </c:pt>
                <c:pt idx="10">
                  <c:v>JAN.24</c:v>
                </c:pt>
                <c:pt idx="11">
                  <c:v>JAN.24</c:v>
                </c:pt>
                <c:pt idx="12">
                  <c:v>JAN.24</c:v>
                </c:pt>
                <c:pt idx="13">
                  <c:v>JAN.24</c:v>
                </c:pt>
                <c:pt idx="14">
                  <c:v>JAN.24</c:v>
                </c:pt>
                <c:pt idx="15">
                  <c:v>JAN.24</c:v>
                </c:pt>
                <c:pt idx="16">
                  <c:v>JAN.24</c:v>
                </c:pt>
                <c:pt idx="17">
                  <c:v>JAN.24</c:v>
                </c:pt>
                <c:pt idx="18">
                  <c:v>JAN.24</c:v>
                </c:pt>
                <c:pt idx="19">
                  <c:v>JAN.24</c:v>
                </c:pt>
                <c:pt idx="20">
                  <c:v>JAN.24</c:v>
                </c:pt>
                <c:pt idx="21">
                  <c:v>JAN.24</c:v>
                </c:pt>
                <c:pt idx="22">
                  <c:v>JAN.24</c:v>
                </c:pt>
                <c:pt idx="23">
                  <c:v>JAN.24</c:v>
                </c:pt>
                <c:pt idx="24">
                  <c:v>JAN.24</c:v>
                </c:pt>
                <c:pt idx="25">
                  <c:v>JAN.24</c:v>
                </c:pt>
                <c:pt idx="26">
                  <c:v>JAN.24</c:v>
                </c:pt>
                <c:pt idx="27">
                  <c:v>JAN.24</c:v>
                </c:pt>
                <c:pt idx="28">
                  <c:v>JAN.24</c:v>
                </c:pt>
                <c:pt idx="29">
                  <c:v>JAN.24</c:v>
                </c:pt>
                <c:pt idx="30">
                  <c:v>JAN.24</c:v>
                </c:pt>
                <c:pt idx="31">
                  <c:v>JAN.24</c:v>
                </c:pt>
                <c:pt idx="32">
                  <c:v>JAN.24</c:v>
                </c:pt>
                <c:pt idx="33">
                  <c:v>JAN.24</c:v>
                </c:pt>
                <c:pt idx="34">
                  <c:v>JAN.24</c:v>
                </c:pt>
                <c:pt idx="35">
                  <c:v>JAN.24</c:v>
                </c:pt>
                <c:pt idx="36">
                  <c:v>JAN.24</c:v>
                </c:pt>
                <c:pt idx="37">
                  <c:v>JAN.24</c:v>
                </c:pt>
                <c:pt idx="38">
                  <c:v>JAN.24</c:v>
                </c:pt>
                <c:pt idx="39">
                  <c:v>JAN.24</c:v>
                </c:pt>
                <c:pt idx="40">
                  <c:v>JAN.24</c:v>
                </c:pt>
                <c:pt idx="41">
                  <c:v>JAN.24</c:v>
                </c:pt>
                <c:pt idx="42">
                  <c:v>JAN.24</c:v>
                </c:pt>
                <c:pt idx="43">
                  <c:v>JAN.24</c:v>
                </c:pt>
                <c:pt idx="44">
                  <c:v>JAN.24</c:v>
                </c:pt>
                <c:pt idx="45">
                  <c:v>JAN.24</c:v>
                </c:pt>
                <c:pt idx="46">
                  <c:v>JAN.24</c:v>
                </c:pt>
                <c:pt idx="47">
                  <c:v>JAN.24</c:v>
                </c:pt>
                <c:pt idx="48">
                  <c:v>JAN.24</c:v>
                </c:pt>
                <c:pt idx="49">
                  <c:v>JAN.24</c:v>
                </c:pt>
                <c:pt idx="50">
                  <c:v>JAN.24</c:v>
                </c:pt>
                <c:pt idx="51">
                  <c:v>JAN.24</c:v>
                </c:pt>
                <c:pt idx="52">
                  <c:v>JAN.24</c:v>
                </c:pt>
                <c:pt idx="53">
                  <c:v>JAN.24</c:v>
                </c:pt>
                <c:pt idx="54">
                  <c:v>JAN.24</c:v>
                </c:pt>
                <c:pt idx="55">
                  <c:v>JAN.24</c:v>
                </c:pt>
                <c:pt idx="56">
                  <c:v>JAN.24</c:v>
                </c:pt>
                <c:pt idx="57">
                  <c:v>JAN.24</c:v>
                </c:pt>
                <c:pt idx="58">
                  <c:v>JAN.24</c:v>
                </c:pt>
                <c:pt idx="59">
                  <c:v>JAN.24</c:v>
                </c:pt>
                <c:pt idx="60">
                  <c:v>JAN.24</c:v>
                </c:pt>
                <c:pt idx="61">
                  <c:v>JAN.24</c:v>
                </c:pt>
                <c:pt idx="62">
                  <c:v>JAN.24</c:v>
                </c:pt>
                <c:pt idx="63">
                  <c:v>JAN.24</c:v>
                </c:pt>
                <c:pt idx="64">
                  <c:v>JAN.24</c:v>
                </c:pt>
                <c:pt idx="65">
                  <c:v>JAN.24</c:v>
                </c:pt>
                <c:pt idx="66">
                  <c:v>JAN.24</c:v>
                </c:pt>
                <c:pt idx="67">
                  <c:v>JAN.24</c:v>
                </c:pt>
                <c:pt idx="68">
                  <c:v>JAN.24</c:v>
                </c:pt>
                <c:pt idx="69">
                  <c:v>JAN.24</c:v>
                </c:pt>
                <c:pt idx="70">
                  <c:v>JAN.24</c:v>
                </c:pt>
                <c:pt idx="71">
                  <c:v>JAN.24</c:v>
                </c:pt>
                <c:pt idx="72">
                  <c:v>JAN.24</c:v>
                </c:pt>
                <c:pt idx="73">
                  <c:v>JAN.24</c:v>
                </c:pt>
                <c:pt idx="74">
                  <c:v>JAN.24</c:v>
                </c:pt>
                <c:pt idx="75">
                  <c:v>JAN.24</c:v>
                </c:pt>
                <c:pt idx="76">
                  <c:v>JAN.24</c:v>
                </c:pt>
                <c:pt idx="77">
                  <c:v>JAN.24</c:v>
                </c:pt>
                <c:pt idx="78">
                  <c:v>JAN.24</c:v>
                </c:pt>
                <c:pt idx="79">
                  <c:v>JAN.24</c:v>
                </c:pt>
                <c:pt idx="80">
                  <c:v>JAN.24</c:v>
                </c:pt>
                <c:pt idx="81">
                  <c:v>JAN.24</c:v>
                </c:pt>
                <c:pt idx="82">
                  <c:v>JAN.24</c:v>
                </c:pt>
                <c:pt idx="83">
                  <c:v>JAN.24</c:v>
                </c:pt>
                <c:pt idx="84">
                  <c:v>JAN.24</c:v>
                </c:pt>
                <c:pt idx="85">
                  <c:v>JAN.24</c:v>
                </c:pt>
                <c:pt idx="86">
                  <c:v>JAN.24</c:v>
                </c:pt>
                <c:pt idx="87">
                  <c:v>JAN.24</c:v>
                </c:pt>
                <c:pt idx="88">
                  <c:v>JAN.24</c:v>
                </c:pt>
                <c:pt idx="89">
                  <c:v>JAN.24</c:v>
                </c:pt>
                <c:pt idx="90">
                  <c:v>JAN.24</c:v>
                </c:pt>
                <c:pt idx="91">
                  <c:v>JAN.24</c:v>
                </c:pt>
                <c:pt idx="92">
                  <c:v>JAN.24</c:v>
                </c:pt>
                <c:pt idx="93">
                  <c:v>JAN.24</c:v>
                </c:pt>
                <c:pt idx="94">
                  <c:v>JAN.24</c:v>
                </c:pt>
                <c:pt idx="95">
                  <c:v>JAN.24</c:v>
                </c:pt>
                <c:pt idx="96">
                  <c:v>JAN.24</c:v>
                </c:pt>
                <c:pt idx="97">
                  <c:v>JAN.24</c:v>
                </c:pt>
                <c:pt idx="98">
                  <c:v>JAN.24</c:v>
                </c:pt>
                <c:pt idx="99">
                  <c:v>JAN.24</c:v>
                </c:pt>
                <c:pt idx="100">
                  <c:v>JAN.24</c:v>
                </c:pt>
                <c:pt idx="101">
                  <c:v>JAN.24</c:v>
                </c:pt>
                <c:pt idx="102">
                  <c:v>JAN.24</c:v>
                </c:pt>
                <c:pt idx="103">
                  <c:v>JAN.24</c:v>
                </c:pt>
                <c:pt idx="104">
                  <c:v>JAN.24</c:v>
                </c:pt>
                <c:pt idx="105">
                  <c:v>JAN.24</c:v>
                </c:pt>
                <c:pt idx="106">
                  <c:v>JAN.24</c:v>
                </c:pt>
                <c:pt idx="107">
                  <c:v>JAN.24</c:v>
                </c:pt>
                <c:pt idx="108">
                  <c:v>JAN.24</c:v>
                </c:pt>
                <c:pt idx="109">
                  <c:v>JAN.24</c:v>
                </c:pt>
                <c:pt idx="110">
                  <c:v>JAN.24</c:v>
                </c:pt>
                <c:pt idx="111">
                  <c:v>JAN.24</c:v>
                </c:pt>
                <c:pt idx="112">
                  <c:v>JAN.24</c:v>
                </c:pt>
                <c:pt idx="113">
                  <c:v>JAN.24</c:v>
                </c:pt>
                <c:pt idx="114">
                  <c:v>JAN.24</c:v>
                </c:pt>
                <c:pt idx="115">
                  <c:v>JAN.24</c:v>
                </c:pt>
                <c:pt idx="116">
                  <c:v>JAN.24</c:v>
                </c:pt>
                <c:pt idx="117">
                  <c:v>JAN.24</c:v>
                </c:pt>
                <c:pt idx="118">
                  <c:v>JAN.24</c:v>
                </c:pt>
                <c:pt idx="119">
                  <c:v>JAN.24</c:v>
                </c:pt>
                <c:pt idx="120">
                  <c:v>JAN.24</c:v>
                </c:pt>
                <c:pt idx="121">
                  <c:v>JAN.24</c:v>
                </c:pt>
                <c:pt idx="122">
                  <c:v>JAN.24</c:v>
                </c:pt>
                <c:pt idx="123">
                  <c:v>JAN.24</c:v>
                </c:pt>
                <c:pt idx="124">
                  <c:v>JAN.24</c:v>
                </c:pt>
                <c:pt idx="125">
                  <c:v>JAN.24</c:v>
                </c:pt>
                <c:pt idx="126">
                  <c:v>JAN.24</c:v>
                </c:pt>
                <c:pt idx="127">
                  <c:v>JAN.24</c:v>
                </c:pt>
                <c:pt idx="128">
                  <c:v>JAN.24</c:v>
                </c:pt>
                <c:pt idx="129">
                  <c:v>JAN.24</c:v>
                </c:pt>
                <c:pt idx="130">
                  <c:v>JAN.24</c:v>
                </c:pt>
                <c:pt idx="131">
                  <c:v>JAN.24</c:v>
                </c:pt>
                <c:pt idx="132">
                  <c:v>February 24 live</c:v>
                </c:pt>
                <c:pt idx="133">
                  <c:v>FEB.24</c:v>
                </c:pt>
                <c:pt idx="134">
                  <c:v>FEB.24</c:v>
                </c:pt>
                <c:pt idx="135">
                  <c:v>FEB.24</c:v>
                </c:pt>
                <c:pt idx="136">
                  <c:v>FEB.24</c:v>
                </c:pt>
                <c:pt idx="137">
                  <c:v>FEB.24</c:v>
                </c:pt>
                <c:pt idx="138">
                  <c:v>FEB.24</c:v>
                </c:pt>
                <c:pt idx="139">
                  <c:v>FEB.24</c:v>
                </c:pt>
                <c:pt idx="140">
                  <c:v>FEB.24</c:v>
                </c:pt>
                <c:pt idx="141">
                  <c:v>FEB.24</c:v>
                </c:pt>
                <c:pt idx="142">
                  <c:v>FEB.24</c:v>
                </c:pt>
                <c:pt idx="143">
                  <c:v>FEB.24</c:v>
                </c:pt>
                <c:pt idx="144">
                  <c:v>FEB.24</c:v>
                </c:pt>
                <c:pt idx="145">
                  <c:v>FEB.24</c:v>
                </c:pt>
                <c:pt idx="146">
                  <c:v>FEB.24</c:v>
                </c:pt>
                <c:pt idx="147">
                  <c:v>FEB.24</c:v>
                </c:pt>
                <c:pt idx="148">
                  <c:v>FEB.24</c:v>
                </c:pt>
                <c:pt idx="149">
                  <c:v>FEB.24</c:v>
                </c:pt>
                <c:pt idx="150">
                  <c:v>FEB.24</c:v>
                </c:pt>
                <c:pt idx="151">
                  <c:v>FEB.24</c:v>
                </c:pt>
                <c:pt idx="152">
                  <c:v>FEB.24</c:v>
                </c:pt>
                <c:pt idx="153">
                  <c:v>FEB.24</c:v>
                </c:pt>
                <c:pt idx="154">
                  <c:v>FEB.24</c:v>
                </c:pt>
                <c:pt idx="155">
                  <c:v>FEB.24</c:v>
                </c:pt>
                <c:pt idx="156">
                  <c:v>FEB.24</c:v>
                </c:pt>
                <c:pt idx="157">
                  <c:v>FEB.24</c:v>
                </c:pt>
                <c:pt idx="158">
                  <c:v>FEB.24</c:v>
                </c:pt>
                <c:pt idx="159">
                  <c:v>FEB.24</c:v>
                </c:pt>
                <c:pt idx="160">
                  <c:v>FEB.24</c:v>
                </c:pt>
                <c:pt idx="161">
                  <c:v>FEB.24</c:v>
                </c:pt>
                <c:pt idx="162">
                  <c:v>FEB.24</c:v>
                </c:pt>
                <c:pt idx="163">
                  <c:v>FEB.24</c:v>
                </c:pt>
                <c:pt idx="164">
                  <c:v>FEB.24</c:v>
                </c:pt>
                <c:pt idx="165">
                  <c:v>FEB.24</c:v>
                </c:pt>
                <c:pt idx="166">
                  <c:v>FEB.24</c:v>
                </c:pt>
                <c:pt idx="167">
                  <c:v>FEB.24</c:v>
                </c:pt>
                <c:pt idx="168">
                  <c:v>FEB.24</c:v>
                </c:pt>
                <c:pt idx="169">
                  <c:v>FEB.24</c:v>
                </c:pt>
                <c:pt idx="170">
                  <c:v>FEB.24</c:v>
                </c:pt>
                <c:pt idx="171">
                  <c:v>FEB.24</c:v>
                </c:pt>
                <c:pt idx="172">
                  <c:v>FEB.24</c:v>
                </c:pt>
                <c:pt idx="173">
                  <c:v>FEB.24</c:v>
                </c:pt>
                <c:pt idx="174">
                  <c:v>FEB.24</c:v>
                </c:pt>
                <c:pt idx="175">
                  <c:v>FEB.24</c:v>
                </c:pt>
                <c:pt idx="176">
                  <c:v>FEB.24</c:v>
                </c:pt>
                <c:pt idx="177">
                  <c:v>FEB.24</c:v>
                </c:pt>
                <c:pt idx="178">
                  <c:v>FEB.24</c:v>
                </c:pt>
                <c:pt idx="179">
                  <c:v>FEB.24</c:v>
                </c:pt>
                <c:pt idx="180">
                  <c:v>FEB.24</c:v>
                </c:pt>
                <c:pt idx="181">
                  <c:v>FEB.24</c:v>
                </c:pt>
                <c:pt idx="182">
                  <c:v>FEB.24</c:v>
                </c:pt>
                <c:pt idx="183">
                  <c:v>FEB.24</c:v>
                </c:pt>
                <c:pt idx="184">
                  <c:v>FEB.24</c:v>
                </c:pt>
                <c:pt idx="185">
                  <c:v>FEB.24</c:v>
                </c:pt>
                <c:pt idx="186">
                  <c:v>FEB.24</c:v>
                </c:pt>
                <c:pt idx="187">
                  <c:v>FEB.24</c:v>
                </c:pt>
                <c:pt idx="188">
                  <c:v>FEB.24</c:v>
                </c:pt>
                <c:pt idx="189">
                  <c:v>FEB.24</c:v>
                </c:pt>
                <c:pt idx="190">
                  <c:v>FEB.24</c:v>
                </c:pt>
                <c:pt idx="191">
                  <c:v>FEB.24</c:v>
                </c:pt>
                <c:pt idx="192">
                  <c:v>FEB.24</c:v>
                </c:pt>
                <c:pt idx="193">
                  <c:v>FEB.24</c:v>
                </c:pt>
                <c:pt idx="194">
                  <c:v>FEB.24</c:v>
                </c:pt>
                <c:pt idx="195">
                  <c:v>FEB.24</c:v>
                </c:pt>
                <c:pt idx="196">
                  <c:v>FEB.24</c:v>
                </c:pt>
                <c:pt idx="197">
                  <c:v>FEB.24</c:v>
                </c:pt>
                <c:pt idx="198">
                  <c:v>FEB.24</c:v>
                </c:pt>
                <c:pt idx="199">
                  <c:v>FEB.24</c:v>
                </c:pt>
                <c:pt idx="200">
                  <c:v>FEB.24</c:v>
                </c:pt>
                <c:pt idx="201">
                  <c:v>FEB.24</c:v>
                </c:pt>
                <c:pt idx="202">
                  <c:v>FEB.24</c:v>
                </c:pt>
                <c:pt idx="203">
                  <c:v>FEB.24</c:v>
                </c:pt>
                <c:pt idx="204">
                  <c:v>FEB.24</c:v>
                </c:pt>
                <c:pt idx="205">
                  <c:v>FEB.24</c:v>
                </c:pt>
                <c:pt idx="206">
                  <c:v>FEB.24</c:v>
                </c:pt>
                <c:pt idx="207">
                  <c:v>FEB.24</c:v>
                </c:pt>
                <c:pt idx="208">
                  <c:v>FEB.24</c:v>
                </c:pt>
                <c:pt idx="209">
                  <c:v>FEB.24</c:v>
                </c:pt>
                <c:pt idx="210">
                  <c:v>FEB.24</c:v>
                </c:pt>
                <c:pt idx="211">
                  <c:v>FEB.24</c:v>
                </c:pt>
                <c:pt idx="212">
                  <c:v>FEB.24</c:v>
                </c:pt>
                <c:pt idx="213">
                  <c:v>FEB.24</c:v>
                </c:pt>
                <c:pt idx="214">
                  <c:v>FEB.24</c:v>
                </c:pt>
                <c:pt idx="215">
                  <c:v>FEB.24</c:v>
                </c:pt>
                <c:pt idx="216">
                  <c:v>FEB.24</c:v>
                </c:pt>
                <c:pt idx="217">
                  <c:v>FEB.24</c:v>
                </c:pt>
                <c:pt idx="218">
                  <c:v>FEB.24</c:v>
                </c:pt>
                <c:pt idx="219">
                  <c:v>FEB.24</c:v>
                </c:pt>
                <c:pt idx="220">
                  <c:v>FEB.24</c:v>
                </c:pt>
                <c:pt idx="221">
                  <c:v>FEB.24</c:v>
                </c:pt>
                <c:pt idx="222">
                  <c:v>FEB.24</c:v>
                </c:pt>
                <c:pt idx="223">
                  <c:v>FEB.24</c:v>
                </c:pt>
                <c:pt idx="224">
                  <c:v>FEB.24</c:v>
                </c:pt>
                <c:pt idx="225">
                  <c:v>FEB.24</c:v>
                </c:pt>
                <c:pt idx="226">
                  <c:v>FEB.24</c:v>
                </c:pt>
                <c:pt idx="227">
                  <c:v>FEB.24</c:v>
                </c:pt>
                <c:pt idx="228">
                  <c:v>FEB.24</c:v>
                </c:pt>
                <c:pt idx="229">
                  <c:v>FEB.24</c:v>
                </c:pt>
                <c:pt idx="230">
                  <c:v>FEB.24</c:v>
                </c:pt>
                <c:pt idx="231">
                  <c:v>FEB.24</c:v>
                </c:pt>
                <c:pt idx="232">
                  <c:v>FEB.24</c:v>
                </c:pt>
                <c:pt idx="233">
                  <c:v>FEB.24</c:v>
                </c:pt>
                <c:pt idx="234">
                  <c:v>FEB.24</c:v>
                </c:pt>
                <c:pt idx="235">
                  <c:v>FEB.24</c:v>
                </c:pt>
                <c:pt idx="236">
                  <c:v>FEB.24</c:v>
                </c:pt>
                <c:pt idx="237">
                  <c:v>FEB.24</c:v>
                </c:pt>
                <c:pt idx="238">
                  <c:v>FEB.24</c:v>
                </c:pt>
                <c:pt idx="239">
                  <c:v>FEB.24</c:v>
                </c:pt>
                <c:pt idx="240">
                  <c:v>FEB.24</c:v>
                </c:pt>
                <c:pt idx="241">
                  <c:v>FEB.24</c:v>
                </c:pt>
                <c:pt idx="242">
                  <c:v>FEB.24</c:v>
                </c:pt>
                <c:pt idx="243">
                  <c:v>FEB.24</c:v>
                </c:pt>
                <c:pt idx="244">
                  <c:v>FEB.24</c:v>
                </c:pt>
                <c:pt idx="245">
                  <c:v>FEB.24</c:v>
                </c:pt>
                <c:pt idx="246">
                  <c:v>FEB.24</c:v>
                </c:pt>
                <c:pt idx="247">
                  <c:v>FEB.24</c:v>
                </c:pt>
                <c:pt idx="248">
                  <c:v>FEB.24</c:v>
                </c:pt>
                <c:pt idx="249">
                  <c:v>FEB.24</c:v>
                </c:pt>
                <c:pt idx="250">
                  <c:v>FEB.24</c:v>
                </c:pt>
                <c:pt idx="251">
                  <c:v>FEB.24</c:v>
                </c:pt>
                <c:pt idx="252">
                  <c:v>March 24 live</c:v>
                </c:pt>
                <c:pt idx="253">
                  <c:v>MAR.24</c:v>
                </c:pt>
                <c:pt idx="254">
                  <c:v>MAR.24</c:v>
                </c:pt>
                <c:pt idx="255">
                  <c:v>MAR.24</c:v>
                </c:pt>
                <c:pt idx="256">
                  <c:v>MAR.24</c:v>
                </c:pt>
                <c:pt idx="257">
                  <c:v>MAR.24</c:v>
                </c:pt>
                <c:pt idx="258">
                  <c:v>MAR.24</c:v>
                </c:pt>
                <c:pt idx="259">
                  <c:v>MAR.24</c:v>
                </c:pt>
                <c:pt idx="260">
                  <c:v>MAR.24</c:v>
                </c:pt>
                <c:pt idx="261">
                  <c:v>MAR.24</c:v>
                </c:pt>
                <c:pt idx="262">
                  <c:v>MAR.24</c:v>
                </c:pt>
                <c:pt idx="263">
                  <c:v>MAR.24</c:v>
                </c:pt>
                <c:pt idx="264">
                  <c:v>MAR.24</c:v>
                </c:pt>
                <c:pt idx="265">
                  <c:v>MAR.24</c:v>
                </c:pt>
                <c:pt idx="266">
                  <c:v>MAR.24</c:v>
                </c:pt>
                <c:pt idx="267">
                  <c:v>MAR.24</c:v>
                </c:pt>
                <c:pt idx="268">
                  <c:v>MAR.24</c:v>
                </c:pt>
                <c:pt idx="269">
                  <c:v>MAR.24</c:v>
                </c:pt>
                <c:pt idx="270">
                  <c:v>MAR.24</c:v>
                </c:pt>
                <c:pt idx="271">
                  <c:v>MAR.24</c:v>
                </c:pt>
                <c:pt idx="272">
                  <c:v>MAR.24</c:v>
                </c:pt>
                <c:pt idx="273">
                  <c:v>MAR.24</c:v>
                </c:pt>
                <c:pt idx="274">
                  <c:v>MAR.24</c:v>
                </c:pt>
                <c:pt idx="275">
                  <c:v>MAR.24</c:v>
                </c:pt>
                <c:pt idx="276">
                  <c:v>MAR.24</c:v>
                </c:pt>
                <c:pt idx="277">
                  <c:v>MAR.24</c:v>
                </c:pt>
                <c:pt idx="278">
                  <c:v>MAR.24</c:v>
                </c:pt>
                <c:pt idx="279">
                  <c:v>MAR.24</c:v>
                </c:pt>
                <c:pt idx="280">
                  <c:v>MAR.24</c:v>
                </c:pt>
                <c:pt idx="281">
                  <c:v>MAR.24</c:v>
                </c:pt>
                <c:pt idx="282">
                  <c:v>MAR.24</c:v>
                </c:pt>
                <c:pt idx="283">
                  <c:v>MAR.24</c:v>
                </c:pt>
                <c:pt idx="284">
                  <c:v>MAR.24</c:v>
                </c:pt>
                <c:pt idx="285">
                  <c:v>MAR.24</c:v>
                </c:pt>
                <c:pt idx="286">
                  <c:v>MAR.24</c:v>
                </c:pt>
                <c:pt idx="287">
                  <c:v>MAR.24</c:v>
                </c:pt>
                <c:pt idx="288">
                  <c:v>MAR.24</c:v>
                </c:pt>
                <c:pt idx="289">
                  <c:v>MAR.24</c:v>
                </c:pt>
                <c:pt idx="290">
                  <c:v>MAR.24</c:v>
                </c:pt>
                <c:pt idx="291">
                  <c:v>MAR.24</c:v>
                </c:pt>
                <c:pt idx="292">
                  <c:v>MAR.24</c:v>
                </c:pt>
                <c:pt idx="293">
                  <c:v>MAR.24</c:v>
                </c:pt>
                <c:pt idx="294">
                  <c:v>MAR.24</c:v>
                </c:pt>
                <c:pt idx="295">
                  <c:v>MAR.24</c:v>
                </c:pt>
                <c:pt idx="296">
                  <c:v>MAR.24</c:v>
                </c:pt>
                <c:pt idx="297">
                  <c:v>MAR.24</c:v>
                </c:pt>
                <c:pt idx="298">
                  <c:v>MAR.24</c:v>
                </c:pt>
                <c:pt idx="299">
                  <c:v>MAR.24</c:v>
                </c:pt>
                <c:pt idx="300">
                  <c:v>MAR.24</c:v>
                </c:pt>
                <c:pt idx="301">
                  <c:v>MAR.24</c:v>
                </c:pt>
                <c:pt idx="302">
                  <c:v>MAR.24</c:v>
                </c:pt>
                <c:pt idx="303">
                  <c:v>MAR.24</c:v>
                </c:pt>
                <c:pt idx="304">
                  <c:v>MAR.24</c:v>
                </c:pt>
                <c:pt idx="305">
                  <c:v>MAR.24</c:v>
                </c:pt>
                <c:pt idx="306">
                  <c:v>MAR.24</c:v>
                </c:pt>
                <c:pt idx="307">
                  <c:v>MAR.24</c:v>
                </c:pt>
                <c:pt idx="308">
                  <c:v>MAR.24</c:v>
                </c:pt>
                <c:pt idx="309">
                  <c:v>MAR.24</c:v>
                </c:pt>
                <c:pt idx="310">
                  <c:v>MAR.24</c:v>
                </c:pt>
                <c:pt idx="311">
                  <c:v>MAR.24</c:v>
                </c:pt>
                <c:pt idx="312">
                  <c:v>MAR.24</c:v>
                </c:pt>
                <c:pt idx="313">
                  <c:v>MAR.24</c:v>
                </c:pt>
                <c:pt idx="314">
                  <c:v>MAR.24</c:v>
                </c:pt>
                <c:pt idx="315">
                  <c:v>MAR.24</c:v>
                </c:pt>
                <c:pt idx="316">
                  <c:v>MAR.24</c:v>
                </c:pt>
                <c:pt idx="317">
                  <c:v>MAR.24</c:v>
                </c:pt>
                <c:pt idx="318">
                  <c:v>MAR.24</c:v>
                </c:pt>
                <c:pt idx="319">
                  <c:v>MAR.24</c:v>
                </c:pt>
                <c:pt idx="320">
                  <c:v>MAR.24</c:v>
                </c:pt>
                <c:pt idx="321">
                  <c:v>MAR.24</c:v>
                </c:pt>
                <c:pt idx="322">
                  <c:v>MAR.24</c:v>
                </c:pt>
                <c:pt idx="323">
                  <c:v>MAR.24</c:v>
                </c:pt>
                <c:pt idx="324">
                  <c:v>MAR.24</c:v>
                </c:pt>
                <c:pt idx="325">
                  <c:v>MAR.24</c:v>
                </c:pt>
                <c:pt idx="326">
                  <c:v>MAR.24</c:v>
                </c:pt>
                <c:pt idx="327">
                  <c:v>MAR.24</c:v>
                </c:pt>
                <c:pt idx="328">
                  <c:v>MAR.24</c:v>
                </c:pt>
                <c:pt idx="329">
                  <c:v>MAR.24</c:v>
                </c:pt>
                <c:pt idx="330">
                  <c:v>MAR.24</c:v>
                </c:pt>
                <c:pt idx="331">
                  <c:v>MAR.24</c:v>
                </c:pt>
                <c:pt idx="332">
                  <c:v>MAR.24</c:v>
                </c:pt>
                <c:pt idx="333">
                  <c:v>MAR.24</c:v>
                </c:pt>
                <c:pt idx="334">
                  <c:v>MAR.24</c:v>
                </c:pt>
                <c:pt idx="335">
                  <c:v>MAR.24</c:v>
                </c:pt>
                <c:pt idx="336">
                  <c:v>MAR.24</c:v>
                </c:pt>
                <c:pt idx="337">
                  <c:v>MAR.24</c:v>
                </c:pt>
                <c:pt idx="338">
                  <c:v>MAR.24</c:v>
                </c:pt>
                <c:pt idx="339">
                  <c:v>MAR.24</c:v>
                </c:pt>
                <c:pt idx="340">
                  <c:v>MAR.24</c:v>
                </c:pt>
                <c:pt idx="341">
                  <c:v>MAR.24</c:v>
                </c:pt>
                <c:pt idx="342">
                  <c:v>MAR.24</c:v>
                </c:pt>
                <c:pt idx="343">
                  <c:v>MAR.24</c:v>
                </c:pt>
                <c:pt idx="344">
                  <c:v>MAR.24</c:v>
                </c:pt>
                <c:pt idx="345">
                  <c:v>April 24 live</c:v>
                </c:pt>
                <c:pt idx="346">
                  <c:v>APR.24</c:v>
                </c:pt>
                <c:pt idx="347">
                  <c:v>APR.24</c:v>
                </c:pt>
                <c:pt idx="348">
                  <c:v>APR.24</c:v>
                </c:pt>
                <c:pt idx="349">
                  <c:v>APR.24</c:v>
                </c:pt>
                <c:pt idx="350">
                  <c:v>APR.24</c:v>
                </c:pt>
                <c:pt idx="351">
                  <c:v>APR.24</c:v>
                </c:pt>
                <c:pt idx="352">
                  <c:v>APR.24</c:v>
                </c:pt>
                <c:pt idx="353">
                  <c:v>APR.24</c:v>
                </c:pt>
                <c:pt idx="354">
                  <c:v>APR.24</c:v>
                </c:pt>
                <c:pt idx="355">
                  <c:v>APR.24</c:v>
                </c:pt>
                <c:pt idx="356">
                  <c:v>APR.24</c:v>
                </c:pt>
                <c:pt idx="357">
                  <c:v>APR.24</c:v>
                </c:pt>
                <c:pt idx="358">
                  <c:v>APR.24</c:v>
                </c:pt>
                <c:pt idx="359">
                  <c:v>APR.24</c:v>
                </c:pt>
                <c:pt idx="360">
                  <c:v>APR.24</c:v>
                </c:pt>
                <c:pt idx="361">
                  <c:v>APR.24</c:v>
                </c:pt>
                <c:pt idx="362">
                  <c:v>APR.24</c:v>
                </c:pt>
                <c:pt idx="363">
                  <c:v>APR.24</c:v>
                </c:pt>
                <c:pt idx="364">
                  <c:v>APR.24</c:v>
                </c:pt>
                <c:pt idx="365">
                  <c:v>APR.24</c:v>
                </c:pt>
                <c:pt idx="366">
                  <c:v>APR.24</c:v>
                </c:pt>
                <c:pt idx="367">
                  <c:v>APR.24</c:v>
                </c:pt>
                <c:pt idx="368">
                  <c:v>APR.24</c:v>
                </c:pt>
                <c:pt idx="369">
                  <c:v>APR.24</c:v>
                </c:pt>
                <c:pt idx="370">
                  <c:v>APR.24</c:v>
                </c:pt>
                <c:pt idx="371">
                  <c:v>APR.24</c:v>
                </c:pt>
                <c:pt idx="372">
                  <c:v>APR.24</c:v>
                </c:pt>
                <c:pt idx="373">
                  <c:v>APR.24</c:v>
                </c:pt>
                <c:pt idx="374">
                  <c:v>APR.24</c:v>
                </c:pt>
                <c:pt idx="375">
                  <c:v>APR.24</c:v>
                </c:pt>
                <c:pt idx="376">
                  <c:v>APR.24</c:v>
                </c:pt>
                <c:pt idx="377">
                  <c:v>APR.24</c:v>
                </c:pt>
                <c:pt idx="378">
                  <c:v>APR.24</c:v>
                </c:pt>
                <c:pt idx="379">
                  <c:v>APR.24</c:v>
                </c:pt>
                <c:pt idx="380">
                  <c:v>APR.24</c:v>
                </c:pt>
                <c:pt idx="381">
                  <c:v>APR.24</c:v>
                </c:pt>
                <c:pt idx="382">
                  <c:v>APR.24</c:v>
                </c:pt>
                <c:pt idx="383">
                  <c:v>APR.24</c:v>
                </c:pt>
                <c:pt idx="384">
                  <c:v>APR.24</c:v>
                </c:pt>
                <c:pt idx="385">
                  <c:v>APR.24</c:v>
                </c:pt>
                <c:pt idx="386">
                  <c:v>APR.24</c:v>
                </c:pt>
                <c:pt idx="387">
                  <c:v>APR.24</c:v>
                </c:pt>
                <c:pt idx="388">
                  <c:v>APR.24</c:v>
                </c:pt>
                <c:pt idx="389">
                  <c:v>APR.24</c:v>
                </c:pt>
                <c:pt idx="390">
                  <c:v>APR.24</c:v>
                </c:pt>
                <c:pt idx="391">
                  <c:v>APR.24</c:v>
                </c:pt>
                <c:pt idx="392">
                  <c:v>APR.24</c:v>
                </c:pt>
                <c:pt idx="393">
                  <c:v>APR.24</c:v>
                </c:pt>
                <c:pt idx="394">
                  <c:v>APR.24</c:v>
                </c:pt>
                <c:pt idx="395">
                  <c:v>APR.24</c:v>
                </c:pt>
                <c:pt idx="396">
                  <c:v>APR.24</c:v>
                </c:pt>
                <c:pt idx="397">
                  <c:v>APR.24</c:v>
                </c:pt>
                <c:pt idx="398">
                  <c:v>APR.24</c:v>
                </c:pt>
                <c:pt idx="399">
                  <c:v>APR.24</c:v>
                </c:pt>
                <c:pt idx="400">
                  <c:v>APR.24</c:v>
                </c:pt>
                <c:pt idx="401">
                  <c:v>APR.24</c:v>
                </c:pt>
                <c:pt idx="402">
                  <c:v>APR.24</c:v>
                </c:pt>
                <c:pt idx="403">
                  <c:v>APR.24</c:v>
                </c:pt>
                <c:pt idx="404">
                  <c:v>APR.24</c:v>
                </c:pt>
                <c:pt idx="405">
                  <c:v>APR.24</c:v>
                </c:pt>
                <c:pt idx="406">
                  <c:v>APR.24</c:v>
                </c:pt>
                <c:pt idx="407">
                  <c:v>APR.24</c:v>
                </c:pt>
                <c:pt idx="408">
                  <c:v>APR.24</c:v>
                </c:pt>
                <c:pt idx="409">
                  <c:v>APR.24</c:v>
                </c:pt>
                <c:pt idx="410">
                  <c:v>APR.24</c:v>
                </c:pt>
                <c:pt idx="411">
                  <c:v>APR.24</c:v>
                </c:pt>
                <c:pt idx="412">
                  <c:v>APR.24</c:v>
                </c:pt>
                <c:pt idx="413">
                  <c:v>APR.24</c:v>
                </c:pt>
                <c:pt idx="414">
                  <c:v>APR.24</c:v>
                </c:pt>
                <c:pt idx="415">
                  <c:v>APR.24</c:v>
                </c:pt>
                <c:pt idx="416">
                  <c:v>APR.24</c:v>
                </c:pt>
                <c:pt idx="417">
                  <c:v>APR.24</c:v>
                </c:pt>
                <c:pt idx="418">
                  <c:v>APR.24</c:v>
                </c:pt>
                <c:pt idx="419">
                  <c:v>APR.24</c:v>
                </c:pt>
                <c:pt idx="420">
                  <c:v>APR.24</c:v>
                </c:pt>
                <c:pt idx="421">
                  <c:v>APR.24</c:v>
                </c:pt>
                <c:pt idx="422">
                  <c:v>APR.24</c:v>
                </c:pt>
                <c:pt idx="423">
                  <c:v>APR.24</c:v>
                </c:pt>
                <c:pt idx="424">
                  <c:v>APR.24</c:v>
                </c:pt>
                <c:pt idx="425">
                  <c:v>APR.24</c:v>
                </c:pt>
                <c:pt idx="426">
                  <c:v>APR.24</c:v>
                </c:pt>
                <c:pt idx="427">
                  <c:v>APR.24</c:v>
                </c:pt>
                <c:pt idx="428">
                  <c:v>APR.24</c:v>
                </c:pt>
                <c:pt idx="429">
                  <c:v>APR.24</c:v>
                </c:pt>
                <c:pt idx="430">
                  <c:v>APR.24</c:v>
                </c:pt>
                <c:pt idx="431">
                  <c:v>APR.24</c:v>
                </c:pt>
                <c:pt idx="432">
                  <c:v>APR.24</c:v>
                </c:pt>
                <c:pt idx="433">
                  <c:v>APR.24</c:v>
                </c:pt>
                <c:pt idx="434">
                  <c:v>APR.24</c:v>
                </c:pt>
                <c:pt idx="435">
                  <c:v>APR.24</c:v>
                </c:pt>
                <c:pt idx="436">
                  <c:v>APR.24</c:v>
                </c:pt>
                <c:pt idx="437">
                  <c:v>APR.24</c:v>
                </c:pt>
                <c:pt idx="438">
                  <c:v>APR.24</c:v>
                </c:pt>
                <c:pt idx="439">
                  <c:v>APR.24</c:v>
                </c:pt>
                <c:pt idx="440">
                  <c:v>APR.24</c:v>
                </c:pt>
                <c:pt idx="441">
                  <c:v>APR.24</c:v>
                </c:pt>
                <c:pt idx="442">
                  <c:v>APR.24</c:v>
                </c:pt>
                <c:pt idx="443">
                  <c:v>APR.24</c:v>
                </c:pt>
                <c:pt idx="444">
                  <c:v>APR.24</c:v>
                </c:pt>
                <c:pt idx="445">
                  <c:v>APR.24</c:v>
                </c:pt>
                <c:pt idx="446">
                  <c:v>APR.24</c:v>
                </c:pt>
                <c:pt idx="447">
                  <c:v>APR.24</c:v>
                </c:pt>
                <c:pt idx="448">
                  <c:v>APR.24</c:v>
                </c:pt>
                <c:pt idx="449">
                  <c:v>APR.24</c:v>
                </c:pt>
                <c:pt idx="450">
                  <c:v>APR.24</c:v>
                </c:pt>
                <c:pt idx="451">
                  <c:v>APR.24</c:v>
                </c:pt>
                <c:pt idx="452">
                  <c:v>APR.24</c:v>
                </c:pt>
                <c:pt idx="453">
                  <c:v>APR.24</c:v>
                </c:pt>
                <c:pt idx="454">
                  <c:v>APR.24</c:v>
                </c:pt>
                <c:pt idx="455">
                  <c:v>APR.24</c:v>
                </c:pt>
                <c:pt idx="456">
                  <c:v>APR.24</c:v>
                </c:pt>
                <c:pt idx="457">
                  <c:v>APR.24</c:v>
                </c:pt>
                <c:pt idx="458">
                  <c:v>APR.24</c:v>
                </c:pt>
                <c:pt idx="459">
                  <c:v>APR.24</c:v>
                </c:pt>
                <c:pt idx="460">
                  <c:v>APR.24</c:v>
                </c:pt>
                <c:pt idx="461">
                  <c:v>APR.24</c:v>
                </c:pt>
                <c:pt idx="462">
                  <c:v>APR.24</c:v>
                </c:pt>
                <c:pt idx="463">
                  <c:v>APR.24</c:v>
                </c:pt>
                <c:pt idx="464">
                  <c:v>APR.24</c:v>
                </c:pt>
                <c:pt idx="465">
                  <c:v>APR.24</c:v>
                </c:pt>
                <c:pt idx="466">
                  <c:v>APR.24</c:v>
                </c:pt>
                <c:pt idx="467">
                  <c:v>APR.24</c:v>
                </c:pt>
                <c:pt idx="468">
                  <c:v>APR.24</c:v>
                </c:pt>
                <c:pt idx="469">
                  <c:v>APR.24</c:v>
                </c:pt>
                <c:pt idx="470">
                  <c:v>APR.24</c:v>
                </c:pt>
                <c:pt idx="471">
                  <c:v>APR.24</c:v>
                </c:pt>
                <c:pt idx="472">
                  <c:v>APR.24</c:v>
                </c:pt>
                <c:pt idx="473">
                  <c:v>APR.24</c:v>
                </c:pt>
                <c:pt idx="474">
                  <c:v>APR.24</c:v>
                </c:pt>
                <c:pt idx="475">
                  <c:v>APR.24</c:v>
                </c:pt>
                <c:pt idx="476">
                  <c:v>APR.24</c:v>
                </c:pt>
                <c:pt idx="477">
                  <c:v>APR.24</c:v>
                </c:pt>
                <c:pt idx="478">
                  <c:v>APR.24</c:v>
                </c:pt>
                <c:pt idx="479">
                  <c:v>APR.24</c:v>
                </c:pt>
                <c:pt idx="480">
                  <c:v>APR.24</c:v>
                </c:pt>
                <c:pt idx="481">
                  <c:v>APR.24</c:v>
                </c:pt>
                <c:pt idx="482">
                  <c:v>APR.24</c:v>
                </c:pt>
                <c:pt idx="483">
                  <c:v>APR.24</c:v>
                </c:pt>
                <c:pt idx="484">
                  <c:v>APR.24</c:v>
                </c:pt>
                <c:pt idx="485">
                  <c:v>APR.24</c:v>
                </c:pt>
                <c:pt idx="486">
                  <c:v>APR.24</c:v>
                </c:pt>
                <c:pt idx="487">
                  <c:v>APR.24</c:v>
                </c:pt>
                <c:pt idx="488">
                  <c:v>APR.24</c:v>
                </c:pt>
                <c:pt idx="489">
                  <c:v>APR.24</c:v>
                </c:pt>
                <c:pt idx="490">
                  <c:v>APR.24</c:v>
                </c:pt>
                <c:pt idx="491">
                  <c:v>APR.24</c:v>
                </c:pt>
                <c:pt idx="492">
                  <c:v>APR.24</c:v>
                </c:pt>
                <c:pt idx="493">
                  <c:v>APR.24</c:v>
                </c:pt>
                <c:pt idx="494">
                  <c:v>APR.24</c:v>
                </c:pt>
                <c:pt idx="495">
                  <c:v>APR.24</c:v>
                </c:pt>
                <c:pt idx="496">
                  <c:v>APR.24</c:v>
                </c:pt>
                <c:pt idx="497">
                  <c:v>APR.24</c:v>
                </c:pt>
                <c:pt idx="498">
                  <c:v>APR.24</c:v>
                </c:pt>
                <c:pt idx="499">
                  <c:v>APR.24</c:v>
                </c:pt>
                <c:pt idx="500">
                  <c:v>APR.24</c:v>
                </c:pt>
                <c:pt idx="501">
                  <c:v>APR.24</c:v>
                </c:pt>
                <c:pt idx="502">
                  <c:v>APR.24</c:v>
                </c:pt>
                <c:pt idx="503">
                  <c:v>APR.24</c:v>
                </c:pt>
                <c:pt idx="504">
                  <c:v>APR.24</c:v>
                </c:pt>
                <c:pt idx="505">
                  <c:v>APR.24</c:v>
                </c:pt>
                <c:pt idx="506">
                  <c:v>APR.24</c:v>
                </c:pt>
                <c:pt idx="507">
                  <c:v>APR.24</c:v>
                </c:pt>
                <c:pt idx="508">
                  <c:v>APR.24</c:v>
                </c:pt>
                <c:pt idx="509">
                  <c:v>APR.24</c:v>
                </c:pt>
                <c:pt idx="510">
                  <c:v>APR.24</c:v>
                </c:pt>
                <c:pt idx="511">
                  <c:v>APR.24</c:v>
                </c:pt>
                <c:pt idx="512">
                  <c:v>APR.24</c:v>
                </c:pt>
                <c:pt idx="513">
                  <c:v>APR.24</c:v>
                </c:pt>
                <c:pt idx="514">
                  <c:v>APR.24</c:v>
                </c:pt>
                <c:pt idx="515">
                  <c:v>APR.24</c:v>
                </c:pt>
                <c:pt idx="516">
                  <c:v>APR.24</c:v>
                </c:pt>
                <c:pt idx="517">
                  <c:v>APR.24</c:v>
                </c:pt>
                <c:pt idx="518">
                  <c:v>APR.24</c:v>
                </c:pt>
                <c:pt idx="519">
                  <c:v>APR.24</c:v>
                </c:pt>
                <c:pt idx="520">
                  <c:v>APR.24</c:v>
                </c:pt>
                <c:pt idx="521">
                  <c:v>APR.24</c:v>
                </c:pt>
                <c:pt idx="522">
                  <c:v>APR.24</c:v>
                </c:pt>
                <c:pt idx="523">
                  <c:v>APR.24</c:v>
                </c:pt>
                <c:pt idx="524">
                  <c:v>APR.24</c:v>
                </c:pt>
                <c:pt idx="525">
                  <c:v>APR.24</c:v>
                </c:pt>
                <c:pt idx="526">
                  <c:v>APR.24</c:v>
                </c:pt>
                <c:pt idx="527">
                  <c:v>APR.24</c:v>
                </c:pt>
                <c:pt idx="528">
                  <c:v>APR.24</c:v>
                </c:pt>
                <c:pt idx="529">
                  <c:v>APR.24</c:v>
                </c:pt>
                <c:pt idx="530">
                  <c:v>APR.24</c:v>
                </c:pt>
                <c:pt idx="531">
                  <c:v>APR.24</c:v>
                </c:pt>
                <c:pt idx="532">
                  <c:v>APR.24</c:v>
                </c:pt>
                <c:pt idx="533">
                  <c:v>APR.24</c:v>
                </c:pt>
                <c:pt idx="534">
                  <c:v>APR.24</c:v>
                </c:pt>
                <c:pt idx="535">
                  <c:v>APR.24</c:v>
                </c:pt>
                <c:pt idx="536">
                  <c:v>May 24 live</c:v>
                </c:pt>
                <c:pt idx="537">
                  <c:v>MAY.24</c:v>
                </c:pt>
                <c:pt idx="538">
                  <c:v>MAY.24</c:v>
                </c:pt>
                <c:pt idx="539">
                  <c:v>MAY.24</c:v>
                </c:pt>
                <c:pt idx="540">
                  <c:v>MAY.24</c:v>
                </c:pt>
                <c:pt idx="541">
                  <c:v>MAY.24</c:v>
                </c:pt>
                <c:pt idx="542">
                  <c:v>MAY.24</c:v>
                </c:pt>
                <c:pt idx="543">
                  <c:v>MAY.24</c:v>
                </c:pt>
                <c:pt idx="544">
                  <c:v>MAY.24</c:v>
                </c:pt>
                <c:pt idx="545">
                  <c:v>MAY.24</c:v>
                </c:pt>
                <c:pt idx="546">
                  <c:v>MAY.24</c:v>
                </c:pt>
                <c:pt idx="547">
                  <c:v>MAY.24</c:v>
                </c:pt>
                <c:pt idx="548">
                  <c:v>MAY.24</c:v>
                </c:pt>
                <c:pt idx="549">
                  <c:v>MAY.24</c:v>
                </c:pt>
                <c:pt idx="550">
                  <c:v>MAY.24</c:v>
                </c:pt>
                <c:pt idx="551">
                  <c:v>MAY.24</c:v>
                </c:pt>
                <c:pt idx="552">
                  <c:v>MAY.24</c:v>
                </c:pt>
                <c:pt idx="553">
                  <c:v>MAY.24</c:v>
                </c:pt>
                <c:pt idx="554">
                  <c:v>MAY.24</c:v>
                </c:pt>
                <c:pt idx="555">
                  <c:v>MAY.24</c:v>
                </c:pt>
                <c:pt idx="556">
                  <c:v>MAY.24</c:v>
                </c:pt>
                <c:pt idx="557">
                  <c:v>MAY.24</c:v>
                </c:pt>
                <c:pt idx="558">
                  <c:v>MAY.24</c:v>
                </c:pt>
                <c:pt idx="559">
                  <c:v>MAY.24</c:v>
                </c:pt>
                <c:pt idx="560">
                  <c:v>MAY.24</c:v>
                </c:pt>
                <c:pt idx="561">
                  <c:v>MAY.24</c:v>
                </c:pt>
                <c:pt idx="562">
                  <c:v>MAY.24</c:v>
                </c:pt>
                <c:pt idx="563">
                  <c:v>MAY.24</c:v>
                </c:pt>
                <c:pt idx="564">
                  <c:v>MAY.24</c:v>
                </c:pt>
                <c:pt idx="565">
                  <c:v>MAY.24</c:v>
                </c:pt>
                <c:pt idx="566">
                  <c:v>MAY.24</c:v>
                </c:pt>
                <c:pt idx="567">
                  <c:v>MAY.24</c:v>
                </c:pt>
                <c:pt idx="568">
                  <c:v>MAY.24</c:v>
                </c:pt>
                <c:pt idx="569">
                  <c:v>MAY.24</c:v>
                </c:pt>
                <c:pt idx="570">
                  <c:v>MAY.24</c:v>
                </c:pt>
                <c:pt idx="571">
                  <c:v>MAY.24</c:v>
                </c:pt>
                <c:pt idx="572">
                  <c:v>MAY.24</c:v>
                </c:pt>
                <c:pt idx="573">
                  <c:v>MAY.24</c:v>
                </c:pt>
                <c:pt idx="574">
                  <c:v>MAY.24</c:v>
                </c:pt>
                <c:pt idx="575">
                  <c:v>MAY.24</c:v>
                </c:pt>
                <c:pt idx="576">
                  <c:v>MAY.24</c:v>
                </c:pt>
                <c:pt idx="577">
                  <c:v>MAY.24</c:v>
                </c:pt>
                <c:pt idx="578">
                  <c:v>MAY.24</c:v>
                </c:pt>
                <c:pt idx="579">
                  <c:v>MAY.24</c:v>
                </c:pt>
                <c:pt idx="580">
                  <c:v>MAY.24</c:v>
                </c:pt>
                <c:pt idx="581">
                  <c:v>MAY.24</c:v>
                </c:pt>
                <c:pt idx="582">
                  <c:v>MAY.24</c:v>
                </c:pt>
                <c:pt idx="583">
                  <c:v>MAY.24</c:v>
                </c:pt>
                <c:pt idx="584">
                  <c:v>MAY.24</c:v>
                </c:pt>
                <c:pt idx="585">
                  <c:v>MAY.24</c:v>
                </c:pt>
                <c:pt idx="586">
                  <c:v>MAY.24</c:v>
                </c:pt>
                <c:pt idx="587">
                  <c:v>MAY.24</c:v>
                </c:pt>
                <c:pt idx="588">
                  <c:v>MAY.24</c:v>
                </c:pt>
                <c:pt idx="589">
                  <c:v>MAY.24</c:v>
                </c:pt>
                <c:pt idx="590">
                  <c:v>MAY.24</c:v>
                </c:pt>
                <c:pt idx="591">
                  <c:v>MAY.24</c:v>
                </c:pt>
                <c:pt idx="592">
                  <c:v>MAY.24</c:v>
                </c:pt>
                <c:pt idx="593">
                  <c:v>MAY.24</c:v>
                </c:pt>
                <c:pt idx="594">
                  <c:v>MAY.24</c:v>
                </c:pt>
                <c:pt idx="595">
                  <c:v>MAY.24</c:v>
                </c:pt>
                <c:pt idx="596">
                  <c:v>MAY.24</c:v>
                </c:pt>
                <c:pt idx="597">
                  <c:v>MAY.24</c:v>
                </c:pt>
                <c:pt idx="598">
                  <c:v>MAY.24</c:v>
                </c:pt>
                <c:pt idx="599">
                  <c:v>MAY.24</c:v>
                </c:pt>
                <c:pt idx="600">
                  <c:v>MAY.24</c:v>
                </c:pt>
                <c:pt idx="601">
                  <c:v>MAY.24</c:v>
                </c:pt>
                <c:pt idx="602">
                  <c:v>MAY.24</c:v>
                </c:pt>
                <c:pt idx="603">
                  <c:v>MAY.24</c:v>
                </c:pt>
                <c:pt idx="604">
                  <c:v>MAY.24</c:v>
                </c:pt>
                <c:pt idx="605">
                  <c:v>MAY.24</c:v>
                </c:pt>
                <c:pt idx="606">
                  <c:v>MAY.24</c:v>
                </c:pt>
                <c:pt idx="607">
                  <c:v>MAY.24</c:v>
                </c:pt>
                <c:pt idx="608">
                  <c:v>MAY.24</c:v>
                </c:pt>
                <c:pt idx="609">
                  <c:v>MAY.24</c:v>
                </c:pt>
                <c:pt idx="610">
                  <c:v>MAY.24</c:v>
                </c:pt>
                <c:pt idx="611">
                  <c:v>MAY.24</c:v>
                </c:pt>
                <c:pt idx="612">
                  <c:v>MAY.24</c:v>
                </c:pt>
                <c:pt idx="613">
                  <c:v>MAY.24</c:v>
                </c:pt>
                <c:pt idx="614">
                  <c:v>MAY.24</c:v>
                </c:pt>
                <c:pt idx="615">
                  <c:v>MAY.24</c:v>
                </c:pt>
                <c:pt idx="616">
                  <c:v>MAY.24</c:v>
                </c:pt>
                <c:pt idx="617">
                  <c:v>MAY.24</c:v>
                </c:pt>
                <c:pt idx="618">
                  <c:v>MAY.24</c:v>
                </c:pt>
                <c:pt idx="619">
                  <c:v>MAY.24</c:v>
                </c:pt>
                <c:pt idx="620">
                  <c:v>MAY.24</c:v>
                </c:pt>
                <c:pt idx="621">
                  <c:v>MAY.24</c:v>
                </c:pt>
                <c:pt idx="622">
                  <c:v>MAY.24</c:v>
                </c:pt>
                <c:pt idx="623">
                  <c:v>MAY.24</c:v>
                </c:pt>
                <c:pt idx="624">
                  <c:v>MAY.24</c:v>
                </c:pt>
                <c:pt idx="625">
                  <c:v>MAY.24</c:v>
                </c:pt>
                <c:pt idx="626">
                  <c:v>MAY.24</c:v>
                </c:pt>
                <c:pt idx="627">
                  <c:v>MAY.24</c:v>
                </c:pt>
                <c:pt idx="628">
                  <c:v>MAY.24</c:v>
                </c:pt>
                <c:pt idx="629">
                  <c:v>MAY.24</c:v>
                </c:pt>
                <c:pt idx="630">
                  <c:v>MAY.24</c:v>
                </c:pt>
                <c:pt idx="631">
                  <c:v>MAY.24</c:v>
                </c:pt>
                <c:pt idx="632">
                  <c:v>MAY.24</c:v>
                </c:pt>
                <c:pt idx="633">
                  <c:v>MAY.24</c:v>
                </c:pt>
                <c:pt idx="634">
                  <c:v>MAY.24</c:v>
                </c:pt>
                <c:pt idx="635">
                  <c:v>MAY.24</c:v>
                </c:pt>
                <c:pt idx="636">
                  <c:v>MAY.24</c:v>
                </c:pt>
                <c:pt idx="637">
                  <c:v>MAY.24</c:v>
                </c:pt>
                <c:pt idx="638">
                  <c:v>MAY.24</c:v>
                </c:pt>
                <c:pt idx="639">
                  <c:v>MAY.24</c:v>
                </c:pt>
                <c:pt idx="640">
                  <c:v>MAY.24</c:v>
                </c:pt>
                <c:pt idx="641">
                  <c:v>MAY.24</c:v>
                </c:pt>
                <c:pt idx="642">
                  <c:v>MAY.24</c:v>
                </c:pt>
                <c:pt idx="643">
                  <c:v>MAY.24</c:v>
                </c:pt>
                <c:pt idx="644">
                  <c:v>MAY.24</c:v>
                </c:pt>
                <c:pt idx="645">
                  <c:v>MAY.24</c:v>
                </c:pt>
                <c:pt idx="646">
                  <c:v>MAY.24</c:v>
                </c:pt>
                <c:pt idx="647">
                  <c:v>MAY.24</c:v>
                </c:pt>
                <c:pt idx="648">
                  <c:v>MAY.24</c:v>
                </c:pt>
                <c:pt idx="649">
                  <c:v>MAY.24</c:v>
                </c:pt>
                <c:pt idx="650">
                  <c:v>MAY.24</c:v>
                </c:pt>
                <c:pt idx="651">
                  <c:v>MAY.24</c:v>
                </c:pt>
                <c:pt idx="652">
                  <c:v>MAY.24</c:v>
                </c:pt>
                <c:pt idx="653">
                  <c:v>MAY.24</c:v>
                </c:pt>
                <c:pt idx="654">
                  <c:v>MAY.24</c:v>
                </c:pt>
                <c:pt idx="655">
                  <c:v>MAY.24</c:v>
                </c:pt>
                <c:pt idx="656">
                  <c:v>MAY.24</c:v>
                </c:pt>
                <c:pt idx="657">
                  <c:v>MAY.24</c:v>
                </c:pt>
                <c:pt idx="658">
                  <c:v>MAY.24</c:v>
                </c:pt>
                <c:pt idx="659">
                  <c:v>MAY.24</c:v>
                </c:pt>
                <c:pt idx="660">
                  <c:v>MAY.24</c:v>
                </c:pt>
                <c:pt idx="661">
                  <c:v>MAY.24</c:v>
                </c:pt>
                <c:pt idx="662">
                  <c:v>MAY.24</c:v>
                </c:pt>
                <c:pt idx="663">
                  <c:v>MAY.24</c:v>
                </c:pt>
                <c:pt idx="664">
                  <c:v>MAY.24</c:v>
                </c:pt>
                <c:pt idx="665">
                  <c:v>MAY.24</c:v>
                </c:pt>
                <c:pt idx="666">
                  <c:v>MAY.24</c:v>
                </c:pt>
                <c:pt idx="667">
                  <c:v>MAY.24</c:v>
                </c:pt>
                <c:pt idx="668">
                  <c:v>MAY.24</c:v>
                </c:pt>
                <c:pt idx="669">
                  <c:v>MAY.24</c:v>
                </c:pt>
                <c:pt idx="670">
                  <c:v>MAY.24</c:v>
                </c:pt>
                <c:pt idx="671">
                  <c:v>MAY.24</c:v>
                </c:pt>
                <c:pt idx="672">
                  <c:v>MAY.24</c:v>
                </c:pt>
                <c:pt idx="673">
                  <c:v>MAY.24</c:v>
                </c:pt>
                <c:pt idx="674">
                  <c:v>MAY.24</c:v>
                </c:pt>
                <c:pt idx="675">
                  <c:v>MAY.24</c:v>
                </c:pt>
                <c:pt idx="676">
                  <c:v>MAY.24</c:v>
                </c:pt>
                <c:pt idx="677">
                  <c:v>MAY.24</c:v>
                </c:pt>
                <c:pt idx="678">
                  <c:v>MAY.24</c:v>
                </c:pt>
                <c:pt idx="679">
                  <c:v>MAY.24</c:v>
                </c:pt>
                <c:pt idx="680">
                  <c:v>MAY.24</c:v>
                </c:pt>
                <c:pt idx="681">
                  <c:v>MAY.24 after disaster</c:v>
                </c:pt>
                <c:pt idx="682">
                  <c:v>MAY.24</c:v>
                </c:pt>
                <c:pt idx="683">
                  <c:v>MAY.24</c:v>
                </c:pt>
                <c:pt idx="684">
                  <c:v>MAY.24</c:v>
                </c:pt>
                <c:pt idx="685">
                  <c:v>MAY.24</c:v>
                </c:pt>
                <c:pt idx="686">
                  <c:v>MAY.24</c:v>
                </c:pt>
                <c:pt idx="687">
                  <c:v>MAY.24</c:v>
                </c:pt>
                <c:pt idx="688">
                  <c:v>MAY.24</c:v>
                </c:pt>
                <c:pt idx="689">
                  <c:v>MAY.24</c:v>
                </c:pt>
                <c:pt idx="690">
                  <c:v>MAY.24</c:v>
                </c:pt>
                <c:pt idx="691">
                  <c:v>MAY.24</c:v>
                </c:pt>
                <c:pt idx="692">
                  <c:v>MAY.24</c:v>
                </c:pt>
                <c:pt idx="693">
                  <c:v>MAY.24</c:v>
                </c:pt>
                <c:pt idx="694">
                  <c:v>MAY.24</c:v>
                </c:pt>
                <c:pt idx="695">
                  <c:v>MAY.24</c:v>
                </c:pt>
                <c:pt idx="696">
                  <c:v>MAY.24 recovery</c:v>
                </c:pt>
                <c:pt idx="697">
                  <c:v>MAY.24</c:v>
                </c:pt>
                <c:pt idx="698">
                  <c:v>MAY.24</c:v>
                </c:pt>
                <c:pt idx="699">
                  <c:v>MAY.24</c:v>
                </c:pt>
                <c:pt idx="700">
                  <c:v>MAY.24</c:v>
                </c:pt>
                <c:pt idx="701">
                  <c:v>MAY.24</c:v>
                </c:pt>
                <c:pt idx="702">
                  <c:v>MAY.24</c:v>
                </c:pt>
                <c:pt idx="703">
                  <c:v>MAY.24</c:v>
                </c:pt>
                <c:pt idx="704">
                  <c:v>MAY.24</c:v>
                </c:pt>
                <c:pt idx="705">
                  <c:v>MAY.24</c:v>
                </c:pt>
                <c:pt idx="706">
                  <c:v>MAY.24</c:v>
                </c:pt>
                <c:pt idx="707">
                  <c:v>MAY.24</c:v>
                </c:pt>
                <c:pt idx="708">
                  <c:v>MAY.24</c:v>
                </c:pt>
                <c:pt idx="709">
                  <c:v>MAY.24</c:v>
                </c:pt>
                <c:pt idx="710">
                  <c:v>MAY.24</c:v>
                </c:pt>
                <c:pt idx="711">
                  <c:v>MAY.24</c:v>
                </c:pt>
                <c:pt idx="712">
                  <c:v>MAY.24</c:v>
                </c:pt>
                <c:pt idx="713">
                  <c:v>MAY.24</c:v>
                </c:pt>
                <c:pt idx="714">
                  <c:v>MAY.24</c:v>
                </c:pt>
                <c:pt idx="715">
                  <c:v>MAY.24</c:v>
                </c:pt>
                <c:pt idx="716">
                  <c:v>MAY.24</c:v>
                </c:pt>
                <c:pt idx="717">
                  <c:v>MAY.24</c:v>
                </c:pt>
                <c:pt idx="718">
                  <c:v>MAY.24</c:v>
                </c:pt>
                <c:pt idx="719">
                  <c:v>MAY.24</c:v>
                </c:pt>
                <c:pt idx="720">
                  <c:v>MAY.24</c:v>
                </c:pt>
                <c:pt idx="721">
                  <c:v>MAY.24</c:v>
                </c:pt>
                <c:pt idx="722">
                  <c:v>MAY.24</c:v>
                </c:pt>
                <c:pt idx="723">
                  <c:v>MAY.24</c:v>
                </c:pt>
                <c:pt idx="724">
                  <c:v>MAY.24</c:v>
                </c:pt>
                <c:pt idx="725">
                  <c:v>MAY.24</c:v>
                </c:pt>
                <c:pt idx="726">
                  <c:v>MAY.24</c:v>
                </c:pt>
                <c:pt idx="727">
                  <c:v>MAY.24</c:v>
                </c:pt>
                <c:pt idx="728">
                  <c:v>MAY.24</c:v>
                </c:pt>
                <c:pt idx="729">
                  <c:v>MAY.24</c:v>
                </c:pt>
                <c:pt idx="730">
                  <c:v>MAY.24</c:v>
                </c:pt>
                <c:pt idx="731">
                  <c:v>June24 live</c:v>
                </c:pt>
                <c:pt idx="732">
                  <c:v>JUN.24</c:v>
                </c:pt>
                <c:pt idx="733">
                  <c:v>JUN.24</c:v>
                </c:pt>
                <c:pt idx="734">
                  <c:v>JUN.24</c:v>
                </c:pt>
                <c:pt idx="735">
                  <c:v>JUN.24</c:v>
                </c:pt>
                <c:pt idx="736">
                  <c:v>JUN.24</c:v>
                </c:pt>
                <c:pt idx="737">
                  <c:v>JUN.24</c:v>
                </c:pt>
                <c:pt idx="738">
                  <c:v>JUN.24</c:v>
                </c:pt>
                <c:pt idx="739">
                  <c:v>JUN.24</c:v>
                </c:pt>
                <c:pt idx="740">
                  <c:v>JUN.24</c:v>
                </c:pt>
                <c:pt idx="741">
                  <c:v>JUN.24</c:v>
                </c:pt>
                <c:pt idx="742">
                  <c:v>JUN.24</c:v>
                </c:pt>
                <c:pt idx="743">
                  <c:v>JUN.24</c:v>
                </c:pt>
                <c:pt idx="744">
                  <c:v>JUN.24</c:v>
                </c:pt>
                <c:pt idx="745">
                  <c:v>JUN.24</c:v>
                </c:pt>
                <c:pt idx="746">
                  <c:v>JUN.24</c:v>
                </c:pt>
                <c:pt idx="747">
                  <c:v>JUN.24</c:v>
                </c:pt>
                <c:pt idx="748">
                  <c:v>JUN.24</c:v>
                </c:pt>
                <c:pt idx="749">
                  <c:v>JUN.24</c:v>
                </c:pt>
                <c:pt idx="750">
                  <c:v>JUN.24</c:v>
                </c:pt>
                <c:pt idx="751">
                  <c:v>JUN.24</c:v>
                </c:pt>
                <c:pt idx="752">
                  <c:v>JUN.24</c:v>
                </c:pt>
                <c:pt idx="753">
                  <c:v>JUN.24</c:v>
                </c:pt>
                <c:pt idx="754">
                  <c:v>JUN.24</c:v>
                </c:pt>
                <c:pt idx="755">
                  <c:v>JUN.24</c:v>
                </c:pt>
                <c:pt idx="756">
                  <c:v>JUN.24</c:v>
                </c:pt>
                <c:pt idx="757">
                  <c:v>JUN.24</c:v>
                </c:pt>
                <c:pt idx="758">
                  <c:v>JUN.24</c:v>
                </c:pt>
                <c:pt idx="759">
                  <c:v>JUN.24</c:v>
                </c:pt>
                <c:pt idx="760">
                  <c:v>JUN.24</c:v>
                </c:pt>
                <c:pt idx="761">
                  <c:v>JUN.24</c:v>
                </c:pt>
                <c:pt idx="762">
                  <c:v>JUN.24</c:v>
                </c:pt>
                <c:pt idx="763">
                  <c:v>JUN.24</c:v>
                </c:pt>
                <c:pt idx="764">
                  <c:v>JUN.24</c:v>
                </c:pt>
                <c:pt idx="765">
                  <c:v>JUN.24</c:v>
                </c:pt>
                <c:pt idx="766">
                  <c:v>JUN.24</c:v>
                </c:pt>
                <c:pt idx="767">
                  <c:v>JUN.24</c:v>
                </c:pt>
                <c:pt idx="768">
                  <c:v>JUN.24</c:v>
                </c:pt>
                <c:pt idx="769">
                  <c:v>JUN.24</c:v>
                </c:pt>
                <c:pt idx="770">
                  <c:v>JUN.24</c:v>
                </c:pt>
                <c:pt idx="771">
                  <c:v>JUN.24</c:v>
                </c:pt>
                <c:pt idx="772">
                  <c:v>JUN.24</c:v>
                </c:pt>
                <c:pt idx="773">
                  <c:v>JUN.24</c:v>
                </c:pt>
                <c:pt idx="774">
                  <c:v>JUN.24</c:v>
                </c:pt>
                <c:pt idx="775">
                  <c:v>JUN.24</c:v>
                </c:pt>
                <c:pt idx="776">
                  <c:v>JUN.24</c:v>
                </c:pt>
                <c:pt idx="777">
                  <c:v>JUN.24</c:v>
                </c:pt>
                <c:pt idx="778">
                  <c:v>JUN.24</c:v>
                </c:pt>
                <c:pt idx="779">
                  <c:v>JUN.24</c:v>
                </c:pt>
                <c:pt idx="780">
                  <c:v>JUN.24</c:v>
                </c:pt>
                <c:pt idx="781">
                  <c:v>JUN.24</c:v>
                </c:pt>
                <c:pt idx="782">
                  <c:v>JUN.24</c:v>
                </c:pt>
                <c:pt idx="783">
                  <c:v>JUN.24</c:v>
                </c:pt>
                <c:pt idx="784">
                  <c:v>JUN.24</c:v>
                </c:pt>
                <c:pt idx="785">
                  <c:v>JUN.24</c:v>
                </c:pt>
                <c:pt idx="786">
                  <c:v>JUN.24</c:v>
                </c:pt>
                <c:pt idx="787">
                  <c:v>JUN.24</c:v>
                </c:pt>
                <c:pt idx="788">
                  <c:v>JUN.24</c:v>
                </c:pt>
                <c:pt idx="789">
                  <c:v>JUN.24</c:v>
                </c:pt>
                <c:pt idx="790">
                  <c:v>JUN.24</c:v>
                </c:pt>
                <c:pt idx="791">
                  <c:v>JUN.24</c:v>
                </c:pt>
                <c:pt idx="792">
                  <c:v>JUN.24</c:v>
                </c:pt>
                <c:pt idx="793">
                  <c:v>JUN.24</c:v>
                </c:pt>
                <c:pt idx="794">
                  <c:v>JUN.24</c:v>
                </c:pt>
                <c:pt idx="795">
                  <c:v>JUN.24</c:v>
                </c:pt>
                <c:pt idx="796">
                  <c:v>JUN.24</c:v>
                </c:pt>
                <c:pt idx="797">
                  <c:v>JUN.24</c:v>
                </c:pt>
                <c:pt idx="798">
                  <c:v>JUN.24</c:v>
                </c:pt>
                <c:pt idx="799">
                  <c:v>JUN.24</c:v>
                </c:pt>
                <c:pt idx="800">
                  <c:v>JUN.24</c:v>
                </c:pt>
                <c:pt idx="801">
                  <c:v>JUN.24</c:v>
                </c:pt>
                <c:pt idx="802">
                  <c:v>JUN.24</c:v>
                </c:pt>
                <c:pt idx="803">
                  <c:v>JUN.24</c:v>
                </c:pt>
                <c:pt idx="804">
                  <c:v>JUN.24</c:v>
                </c:pt>
                <c:pt idx="805">
                  <c:v>JUN.24</c:v>
                </c:pt>
                <c:pt idx="806">
                  <c:v>JUN.24</c:v>
                </c:pt>
                <c:pt idx="807">
                  <c:v>JUN.24</c:v>
                </c:pt>
                <c:pt idx="808">
                  <c:v>JUN.24</c:v>
                </c:pt>
                <c:pt idx="809">
                  <c:v>JUN.24</c:v>
                </c:pt>
                <c:pt idx="810">
                  <c:v>JUN.24</c:v>
                </c:pt>
                <c:pt idx="811">
                  <c:v>JUN.24</c:v>
                </c:pt>
                <c:pt idx="812">
                  <c:v>JUN.24</c:v>
                </c:pt>
                <c:pt idx="813">
                  <c:v>JUN.24</c:v>
                </c:pt>
                <c:pt idx="814">
                  <c:v>JUN.24</c:v>
                </c:pt>
                <c:pt idx="815">
                  <c:v>JUN.24</c:v>
                </c:pt>
                <c:pt idx="816">
                  <c:v>JUN.24</c:v>
                </c:pt>
                <c:pt idx="817">
                  <c:v>JUN.24</c:v>
                </c:pt>
                <c:pt idx="818">
                  <c:v>JUN.24</c:v>
                </c:pt>
                <c:pt idx="819">
                  <c:v>JUN.24</c:v>
                </c:pt>
                <c:pt idx="820">
                  <c:v>JUN.24</c:v>
                </c:pt>
                <c:pt idx="821">
                  <c:v>JUN.24</c:v>
                </c:pt>
                <c:pt idx="822">
                  <c:v>JUN.24</c:v>
                </c:pt>
                <c:pt idx="823">
                  <c:v>JUN.24</c:v>
                </c:pt>
                <c:pt idx="824">
                  <c:v>JUN.24</c:v>
                </c:pt>
                <c:pt idx="825">
                  <c:v>JUN.24</c:v>
                </c:pt>
                <c:pt idx="826">
                  <c:v>JUN.24</c:v>
                </c:pt>
                <c:pt idx="827">
                  <c:v>JUN.24</c:v>
                </c:pt>
                <c:pt idx="828">
                  <c:v>JUN.24</c:v>
                </c:pt>
                <c:pt idx="829">
                  <c:v>JUN.24</c:v>
                </c:pt>
                <c:pt idx="830">
                  <c:v>JUN.24</c:v>
                </c:pt>
                <c:pt idx="831">
                  <c:v>JUN.24</c:v>
                </c:pt>
                <c:pt idx="832">
                  <c:v>JUN.24</c:v>
                </c:pt>
                <c:pt idx="833">
                  <c:v>JUN.24</c:v>
                </c:pt>
                <c:pt idx="834">
                  <c:v>JUN.24</c:v>
                </c:pt>
                <c:pt idx="835">
                  <c:v>JUN.24</c:v>
                </c:pt>
                <c:pt idx="836">
                  <c:v>JUN.24</c:v>
                </c:pt>
                <c:pt idx="837">
                  <c:v>JUN.24</c:v>
                </c:pt>
                <c:pt idx="838">
                  <c:v>JUN.24</c:v>
                </c:pt>
                <c:pt idx="839">
                  <c:v>JUN.24</c:v>
                </c:pt>
                <c:pt idx="840">
                  <c:v>JUN.24</c:v>
                </c:pt>
                <c:pt idx="841">
                  <c:v>JUN.24</c:v>
                </c:pt>
                <c:pt idx="842">
                  <c:v>JUN.24</c:v>
                </c:pt>
                <c:pt idx="843">
                  <c:v>JUN.24</c:v>
                </c:pt>
                <c:pt idx="844">
                  <c:v>JUN.24</c:v>
                </c:pt>
                <c:pt idx="845">
                  <c:v>JUN.24</c:v>
                </c:pt>
                <c:pt idx="846">
                  <c:v>JUN.24</c:v>
                </c:pt>
                <c:pt idx="847">
                  <c:v>JUN.24</c:v>
                </c:pt>
                <c:pt idx="848">
                  <c:v>JUN.24</c:v>
                </c:pt>
                <c:pt idx="849">
                  <c:v>JUN.24</c:v>
                </c:pt>
                <c:pt idx="850">
                  <c:v>JUN.24</c:v>
                </c:pt>
                <c:pt idx="851">
                  <c:v>JUN.24</c:v>
                </c:pt>
                <c:pt idx="852">
                  <c:v>JUN.24</c:v>
                </c:pt>
                <c:pt idx="853">
                  <c:v>JUN.24</c:v>
                </c:pt>
                <c:pt idx="854">
                  <c:v>JUN.24</c:v>
                </c:pt>
                <c:pt idx="855">
                  <c:v>JUN.24</c:v>
                </c:pt>
                <c:pt idx="856">
                  <c:v>JUN.24</c:v>
                </c:pt>
                <c:pt idx="857">
                  <c:v>JUN.24</c:v>
                </c:pt>
                <c:pt idx="858">
                  <c:v>JUN.24</c:v>
                </c:pt>
                <c:pt idx="859">
                  <c:v>JUN.24</c:v>
                </c:pt>
                <c:pt idx="860">
                  <c:v>JUN.24</c:v>
                </c:pt>
                <c:pt idx="861">
                  <c:v>JUN.24</c:v>
                </c:pt>
                <c:pt idx="862">
                  <c:v>JUN.24</c:v>
                </c:pt>
                <c:pt idx="863">
                  <c:v>JUN.24</c:v>
                </c:pt>
                <c:pt idx="864">
                  <c:v>JUN.24</c:v>
                </c:pt>
                <c:pt idx="865">
                  <c:v>JUN.24</c:v>
                </c:pt>
                <c:pt idx="866">
                  <c:v>JUN.24</c:v>
                </c:pt>
                <c:pt idx="867">
                  <c:v>JUN.24</c:v>
                </c:pt>
                <c:pt idx="868">
                  <c:v>JUN.24</c:v>
                </c:pt>
                <c:pt idx="869">
                  <c:v>JUN.24</c:v>
                </c:pt>
                <c:pt idx="870">
                  <c:v>JUN.24</c:v>
                </c:pt>
                <c:pt idx="871">
                  <c:v>JUN.24</c:v>
                </c:pt>
                <c:pt idx="872">
                  <c:v>JUN.24</c:v>
                </c:pt>
                <c:pt idx="873">
                  <c:v>JUN.24</c:v>
                </c:pt>
                <c:pt idx="874">
                  <c:v>JUN.24</c:v>
                </c:pt>
                <c:pt idx="875">
                  <c:v>JUN.24</c:v>
                </c:pt>
                <c:pt idx="876">
                  <c:v>JUN.24</c:v>
                </c:pt>
                <c:pt idx="877">
                  <c:v>JUN.24</c:v>
                </c:pt>
                <c:pt idx="878">
                  <c:v>JUN.24</c:v>
                </c:pt>
                <c:pt idx="879">
                  <c:v>JUN.24 BLOWUP</c:v>
                </c:pt>
                <c:pt idx="880">
                  <c:v>JUN.24</c:v>
                </c:pt>
                <c:pt idx="881">
                  <c:v>JUN.24</c:v>
                </c:pt>
                <c:pt idx="882">
                  <c:v>JUN.24</c:v>
                </c:pt>
                <c:pt idx="883">
                  <c:v>JUN.24</c:v>
                </c:pt>
                <c:pt idx="884">
                  <c:v>JUN.24</c:v>
                </c:pt>
                <c:pt idx="885">
                  <c:v>JUN.24</c:v>
                </c:pt>
                <c:pt idx="886">
                  <c:v>JUN.24</c:v>
                </c:pt>
                <c:pt idx="887">
                  <c:v>JUN.24</c:v>
                </c:pt>
                <c:pt idx="888">
                  <c:v>July24 live (R+1) | REDUCE INTRADAY &gt;1D TRADES</c:v>
                </c:pt>
                <c:pt idx="889">
                  <c:v>JUL.24</c:v>
                </c:pt>
                <c:pt idx="890">
                  <c:v>JUL.24</c:v>
                </c:pt>
                <c:pt idx="891">
                  <c:v>JUL.24</c:v>
                </c:pt>
                <c:pt idx="892">
                  <c:v>JUL.24</c:v>
                </c:pt>
                <c:pt idx="893">
                  <c:v>JUL.24</c:v>
                </c:pt>
                <c:pt idx="894">
                  <c:v>JUL.24</c:v>
                </c:pt>
                <c:pt idx="895">
                  <c:v>JUL.24</c:v>
                </c:pt>
                <c:pt idx="896">
                  <c:v>JUL.24</c:v>
                </c:pt>
                <c:pt idx="897">
                  <c:v>JUL.24</c:v>
                </c:pt>
                <c:pt idx="898">
                  <c:v>JUL.24</c:v>
                </c:pt>
                <c:pt idx="899">
                  <c:v>JUL.24</c:v>
                </c:pt>
                <c:pt idx="900">
                  <c:v>JUL.24</c:v>
                </c:pt>
                <c:pt idx="901">
                  <c:v>JUL.24</c:v>
                </c:pt>
                <c:pt idx="902">
                  <c:v>JUL.24</c:v>
                </c:pt>
                <c:pt idx="903">
                  <c:v>JUL.24</c:v>
                </c:pt>
                <c:pt idx="904">
                  <c:v>JUL.24</c:v>
                </c:pt>
                <c:pt idx="905">
                  <c:v>JUL.24</c:v>
                </c:pt>
                <c:pt idx="906">
                  <c:v>JUL.24</c:v>
                </c:pt>
                <c:pt idx="907">
                  <c:v>JUL.24</c:v>
                </c:pt>
                <c:pt idx="908">
                  <c:v>JUL.24</c:v>
                </c:pt>
                <c:pt idx="909">
                  <c:v>JUL.24</c:v>
                </c:pt>
                <c:pt idx="910">
                  <c:v>JUL.24</c:v>
                </c:pt>
                <c:pt idx="911">
                  <c:v>JUL.24</c:v>
                </c:pt>
                <c:pt idx="912">
                  <c:v>JUL.24</c:v>
                </c:pt>
                <c:pt idx="913">
                  <c:v>JUL.24</c:v>
                </c:pt>
                <c:pt idx="914">
                  <c:v>JUL.24</c:v>
                </c:pt>
                <c:pt idx="915">
                  <c:v>JUL.24</c:v>
                </c:pt>
                <c:pt idx="916">
                  <c:v>JUL.24</c:v>
                </c:pt>
                <c:pt idx="917">
                  <c:v>JUL.24</c:v>
                </c:pt>
                <c:pt idx="918">
                  <c:v>JUL.24</c:v>
                </c:pt>
                <c:pt idx="919">
                  <c:v>JUL.24</c:v>
                </c:pt>
                <c:pt idx="920">
                  <c:v>JUL.24</c:v>
                </c:pt>
                <c:pt idx="921">
                  <c:v>JUL.24</c:v>
                </c:pt>
                <c:pt idx="922">
                  <c:v>JUL.24</c:v>
                </c:pt>
                <c:pt idx="923">
                  <c:v>JUL.24</c:v>
                </c:pt>
                <c:pt idx="924">
                  <c:v>JUL.24</c:v>
                </c:pt>
                <c:pt idx="925">
                  <c:v>JUL.24</c:v>
                </c:pt>
                <c:pt idx="926">
                  <c:v>JUL.24</c:v>
                </c:pt>
                <c:pt idx="927">
                  <c:v>JUL.24</c:v>
                </c:pt>
                <c:pt idx="928">
                  <c:v>JUL.24</c:v>
                </c:pt>
                <c:pt idx="929">
                  <c:v>JUL.24</c:v>
                </c:pt>
                <c:pt idx="930">
                  <c:v>JUL.24</c:v>
                </c:pt>
                <c:pt idx="931">
                  <c:v>JUL.24</c:v>
                </c:pt>
                <c:pt idx="932">
                  <c:v>JUL.24</c:v>
                </c:pt>
                <c:pt idx="933">
                  <c:v>JUL.24</c:v>
                </c:pt>
                <c:pt idx="934">
                  <c:v>JUL.24</c:v>
                </c:pt>
                <c:pt idx="935">
                  <c:v>JUL.24</c:v>
                </c:pt>
                <c:pt idx="936">
                  <c:v>JUL.24</c:v>
                </c:pt>
                <c:pt idx="937">
                  <c:v>JUL.24</c:v>
                </c:pt>
                <c:pt idx="938">
                  <c:v>JUL.24</c:v>
                </c:pt>
                <c:pt idx="939">
                  <c:v>JUL.24</c:v>
                </c:pt>
                <c:pt idx="940">
                  <c:v>JUL.24</c:v>
                </c:pt>
                <c:pt idx="941">
                  <c:v>JUL.24</c:v>
                </c:pt>
                <c:pt idx="942">
                  <c:v>JUL.24</c:v>
                </c:pt>
                <c:pt idx="943">
                  <c:v>JUL.24</c:v>
                </c:pt>
                <c:pt idx="944">
                  <c:v>JUL.24</c:v>
                </c:pt>
                <c:pt idx="945">
                  <c:v>JUL.24</c:v>
                </c:pt>
                <c:pt idx="946">
                  <c:v>JUL.24</c:v>
                </c:pt>
                <c:pt idx="947">
                  <c:v>JUL.24</c:v>
                </c:pt>
                <c:pt idx="948">
                  <c:v>JUL.24</c:v>
                </c:pt>
                <c:pt idx="949">
                  <c:v>JUL.24</c:v>
                </c:pt>
                <c:pt idx="950">
                  <c:v>JUL.24</c:v>
                </c:pt>
                <c:pt idx="951">
                  <c:v>JUL.24</c:v>
                </c:pt>
                <c:pt idx="952">
                  <c:v>JUL.24</c:v>
                </c:pt>
                <c:pt idx="953">
                  <c:v>JUL.24</c:v>
                </c:pt>
                <c:pt idx="954">
                  <c:v>JUL.24</c:v>
                </c:pt>
                <c:pt idx="955">
                  <c:v>JUL.24</c:v>
                </c:pt>
                <c:pt idx="956">
                  <c:v>JUL.24</c:v>
                </c:pt>
                <c:pt idx="957">
                  <c:v>JUL.24</c:v>
                </c:pt>
                <c:pt idx="958">
                  <c:v>JUL.24</c:v>
                </c:pt>
                <c:pt idx="959">
                  <c:v>JUL.24</c:v>
                </c:pt>
                <c:pt idx="960">
                  <c:v>JUL.24</c:v>
                </c:pt>
                <c:pt idx="961">
                  <c:v>JUL.24</c:v>
                </c:pt>
                <c:pt idx="962">
                  <c:v>JUL.24</c:v>
                </c:pt>
                <c:pt idx="963">
                  <c:v>JUL.24</c:v>
                </c:pt>
                <c:pt idx="964">
                  <c:v>JUL.24</c:v>
                </c:pt>
                <c:pt idx="965">
                  <c:v>JUL.24</c:v>
                </c:pt>
                <c:pt idx="966">
                  <c:v>JUL.24</c:v>
                </c:pt>
                <c:pt idx="967">
                  <c:v>JUL.24</c:v>
                </c:pt>
                <c:pt idx="968">
                  <c:v>JUL.24</c:v>
                </c:pt>
                <c:pt idx="969">
                  <c:v>JUL.24</c:v>
                </c:pt>
                <c:pt idx="970">
                  <c:v>JUL.24</c:v>
                </c:pt>
                <c:pt idx="971">
                  <c:v>JUL.24</c:v>
                </c:pt>
                <c:pt idx="972">
                  <c:v>JUL.24</c:v>
                </c:pt>
                <c:pt idx="973">
                  <c:v>JUL.24</c:v>
                </c:pt>
                <c:pt idx="974">
                  <c:v>JUL.24</c:v>
                </c:pt>
                <c:pt idx="975">
                  <c:v>JUL.24</c:v>
                </c:pt>
                <c:pt idx="976">
                  <c:v>JUL.24</c:v>
                </c:pt>
                <c:pt idx="977">
                  <c:v>JUL.24</c:v>
                </c:pt>
                <c:pt idx="978">
                  <c:v>JUL.24</c:v>
                </c:pt>
                <c:pt idx="979">
                  <c:v>JUL.24</c:v>
                </c:pt>
                <c:pt idx="980">
                  <c:v>JUL.24</c:v>
                </c:pt>
                <c:pt idx="981">
                  <c:v>JUL.24</c:v>
                </c:pt>
                <c:pt idx="982">
                  <c:v>JUL.24</c:v>
                </c:pt>
                <c:pt idx="983">
                  <c:v>JUL.24</c:v>
                </c:pt>
                <c:pt idx="984">
                  <c:v>JUL.24</c:v>
                </c:pt>
                <c:pt idx="985">
                  <c:v>JUL.24</c:v>
                </c:pt>
                <c:pt idx="986">
                  <c:v>JUL.24</c:v>
                </c:pt>
                <c:pt idx="987">
                  <c:v>JUL.24</c:v>
                </c:pt>
                <c:pt idx="988">
                  <c:v>JUL.24</c:v>
                </c:pt>
                <c:pt idx="989">
                  <c:v>August24 live (R-1) | REDUCE LOT SIZING 2ND HALF AND ONLY EXITS IN 2ND HALF</c:v>
                </c:pt>
                <c:pt idx="990">
                  <c:v>AUG.24</c:v>
                </c:pt>
                <c:pt idx="991">
                  <c:v>AUG.24</c:v>
                </c:pt>
                <c:pt idx="992">
                  <c:v>AUG.24.II</c:v>
                </c:pt>
                <c:pt idx="993">
                  <c:v>AUG.24</c:v>
                </c:pt>
                <c:pt idx="994">
                  <c:v>AUG.24</c:v>
                </c:pt>
                <c:pt idx="995">
                  <c:v>AUG.24</c:v>
                </c:pt>
                <c:pt idx="996">
                  <c:v>AUG.24</c:v>
                </c:pt>
                <c:pt idx="997">
                  <c:v>AUG.24</c:v>
                </c:pt>
                <c:pt idx="998">
                  <c:v>AUG.24</c:v>
                </c:pt>
                <c:pt idx="999">
                  <c:v>AUG.24</c:v>
                </c:pt>
                <c:pt idx="1000">
                  <c:v>AUG.24</c:v>
                </c:pt>
                <c:pt idx="1001">
                  <c:v>AUG.24.II</c:v>
                </c:pt>
                <c:pt idx="1002">
                  <c:v>AUG.24.II</c:v>
                </c:pt>
                <c:pt idx="1003">
                  <c:v>AUG.24</c:v>
                </c:pt>
                <c:pt idx="1004">
                  <c:v>AUG.24</c:v>
                </c:pt>
                <c:pt idx="1005">
                  <c:v>AUG.24</c:v>
                </c:pt>
                <c:pt idx="1006">
                  <c:v>AUG.24.II</c:v>
                </c:pt>
                <c:pt idx="1007">
                  <c:v>AUG.24.II</c:v>
                </c:pt>
                <c:pt idx="1008">
                  <c:v>AUG.24</c:v>
                </c:pt>
                <c:pt idx="1009">
                  <c:v>AUG.24</c:v>
                </c:pt>
                <c:pt idx="1010">
                  <c:v>AUG.24</c:v>
                </c:pt>
                <c:pt idx="1011">
                  <c:v>AUG.24</c:v>
                </c:pt>
                <c:pt idx="1012">
                  <c:v>AUG.24</c:v>
                </c:pt>
                <c:pt idx="1013">
                  <c:v>AUG.24</c:v>
                </c:pt>
                <c:pt idx="1014">
                  <c:v>AUG.24</c:v>
                </c:pt>
                <c:pt idx="1015">
                  <c:v>AUG.24</c:v>
                </c:pt>
                <c:pt idx="1016">
                  <c:v>AUG.24</c:v>
                </c:pt>
                <c:pt idx="1017">
                  <c:v>AUG.24</c:v>
                </c:pt>
                <c:pt idx="1018">
                  <c:v>AUG.24</c:v>
                </c:pt>
                <c:pt idx="1019">
                  <c:v>AUG.24</c:v>
                </c:pt>
                <c:pt idx="1020">
                  <c:v>AUG.24</c:v>
                </c:pt>
                <c:pt idx="1021">
                  <c:v>AUG.24</c:v>
                </c:pt>
                <c:pt idx="1022">
                  <c:v>AUG.24</c:v>
                </c:pt>
                <c:pt idx="1023">
                  <c:v>AUG.24</c:v>
                </c:pt>
                <c:pt idx="1024">
                  <c:v>AUG.24</c:v>
                </c:pt>
                <c:pt idx="1025">
                  <c:v>AUG.24</c:v>
                </c:pt>
                <c:pt idx="1026">
                  <c:v>AUG.24</c:v>
                </c:pt>
                <c:pt idx="1027">
                  <c:v>AUG.24.II</c:v>
                </c:pt>
                <c:pt idx="1028">
                  <c:v>AUG.24</c:v>
                </c:pt>
                <c:pt idx="1029">
                  <c:v>AUG.24</c:v>
                </c:pt>
                <c:pt idx="1030">
                  <c:v>AUG.24</c:v>
                </c:pt>
                <c:pt idx="1031">
                  <c:v>AUG.24</c:v>
                </c:pt>
                <c:pt idx="1032">
                  <c:v>AUG.24</c:v>
                </c:pt>
                <c:pt idx="1033">
                  <c:v>AUG.24</c:v>
                </c:pt>
                <c:pt idx="1034">
                  <c:v>AUG.24</c:v>
                </c:pt>
                <c:pt idx="1035">
                  <c:v>AUG.24</c:v>
                </c:pt>
                <c:pt idx="1036">
                  <c:v>AUG.24</c:v>
                </c:pt>
                <c:pt idx="1037">
                  <c:v>AUG.24</c:v>
                </c:pt>
                <c:pt idx="1038">
                  <c:v>AUG.24</c:v>
                </c:pt>
                <c:pt idx="1039">
                  <c:v>AUG.24</c:v>
                </c:pt>
                <c:pt idx="1040">
                  <c:v>AUG.24</c:v>
                </c:pt>
                <c:pt idx="1041">
                  <c:v>AUG.24</c:v>
                </c:pt>
                <c:pt idx="1042">
                  <c:v>AUG.24</c:v>
                </c:pt>
                <c:pt idx="1043">
                  <c:v>AUG.24</c:v>
                </c:pt>
                <c:pt idx="1044">
                  <c:v>AUG.24</c:v>
                </c:pt>
                <c:pt idx="1045">
                  <c:v>AUG.24</c:v>
                </c:pt>
                <c:pt idx="1046">
                  <c:v>AUG.24</c:v>
                </c:pt>
                <c:pt idx="1047">
                  <c:v>AUG.24</c:v>
                </c:pt>
                <c:pt idx="1048">
                  <c:v>AUG.24</c:v>
                </c:pt>
                <c:pt idx="1049">
                  <c:v>AUG.24</c:v>
                </c:pt>
                <c:pt idx="1050">
                  <c:v>AUG.24</c:v>
                </c:pt>
                <c:pt idx="1051">
                  <c:v>AUG.24</c:v>
                </c:pt>
                <c:pt idx="1052">
                  <c:v>AUG.24</c:v>
                </c:pt>
                <c:pt idx="1053">
                  <c:v>AUG.24</c:v>
                </c:pt>
                <c:pt idx="1054">
                  <c:v>AUG.24</c:v>
                </c:pt>
                <c:pt idx="1055">
                  <c:v>AUG.24</c:v>
                </c:pt>
                <c:pt idx="1056">
                  <c:v>AUG.24</c:v>
                </c:pt>
                <c:pt idx="1057">
                  <c:v>AUG.24</c:v>
                </c:pt>
                <c:pt idx="1058">
                  <c:v>AUG.24</c:v>
                </c:pt>
                <c:pt idx="1059">
                  <c:v>AUG.24</c:v>
                </c:pt>
                <c:pt idx="1060">
                  <c:v>AUG.24</c:v>
                </c:pt>
                <c:pt idx="1061">
                  <c:v>AUG.24</c:v>
                </c:pt>
                <c:pt idx="1062">
                  <c:v>AUG.24</c:v>
                </c:pt>
                <c:pt idx="1063">
                  <c:v>AUG.24</c:v>
                </c:pt>
                <c:pt idx="1064">
                  <c:v>AUG.24</c:v>
                </c:pt>
                <c:pt idx="1065">
                  <c:v>AUG.24</c:v>
                </c:pt>
                <c:pt idx="1066">
                  <c:v>AUG.24</c:v>
                </c:pt>
                <c:pt idx="1067">
                  <c:v>AUG.24</c:v>
                </c:pt>
                <c:pt idx="1068">
                  <c:v>AUG.24</c:v>
                </c:pt>
                <c:pt idx="1069">
                  <c:v>AUG.24</c:v>
                </c:pt>
                <c:pt idx="1070">
                  <c:v>AUG.24</c:v>
                </c:pt>
                <c:pt idx="1071">
                  <c:v>AUG.24</c:v>
                </c:pt>
                <c:pt idx="1072">
                  <c:v>AUG.24</c:v>
                </c:pt>
                <c:pt idx="1073">
                  <c:v>AUG.24</c:v>
                </c:pt>
                <c:pt idx="1074">
                  <c:v>AUG.24</c:v>
                </c:pt>
                <c:pt idx="1075">
                  <c:v>AUG.24</c:v>
                </c:pt>
                <c:pt idx="1076">
                  <c:v>AUG.24</c:v>
                </c:pt>
                <c:pt idx="1077">
                  <c:v>AUG.24</c:v>
                </c:pt>
                <c:pt idx="1078">
                  <c:v>AUG.24</c:v>
                </c:pt>
                <c:pt idx="1079">
                  <c:v>AUG.24</c:v>
                </c:pt>
                <c:pt idx="1080">
                  <c:v>AUG.24</c:v>
                </c:pt>
                <c:pt idx="1081">
                  <c:v>AUG.24</c:v>
                </c:pt>
                <c:pt idx="1082">
                  <c:v>AUG.24</c:v>
                </c:pt>
                <c:pt idx="1083">
                  <c:v>AUG.24</c:v>
                </c:pt>
                <c:pt idx="1084">
                  <c:v>AUG.24</c:v>
                </c:pt>
                <c:pt idx="1085">
                  <c:v>AUG.24</c:v>
                </c:pt>
                <c:pt idx="1086">
                  <c:v>September24 live (R) | REDUCE LOT SIZING 1ST HALF, AVOID POSITIONAL </c:v>
                </c:pt>
                <c:pt idx="1087">
                  <c:v>SEP.24</c:v>
                </c:pt>
                <c:pt idx="1088">
                  <c:v>SEP.24</c:v>
                </c:pt>
                <c:pt idx="1089">
                  <c:v>SEP.24</c:v>
                </c:pt>
                <c:pt idx="1090">
                  <c:v>SEP.24</c:v>
                </c:pt>
                <c:pt idx="1091">
                  <c:v>SEP.24</c:v>
                </c:pt>
                <c:pt idx="1092">
                  <c:v>SEP.24</c:v>
                </c:pt>
                <c:pt idx="1093">
                  <c:v>SEP.24</c:v>
                </c:pt>
                <c:pt idx="1094">
                  <c:v>SEP.24</c:v>
                </c:pt>
                <c:pt idx="1095">
                  <c:v>SEP.24</c:v>
                </c:pt>
                <c:pt idx="1096">
                  <c:v>SEP.24</c:v>
                </c:pt>
                <c:pt idx="1097">
                  <c:v>SEP.24</c:v>
                </c:pt>
                <c:pt idx="1098">
                  <c:v>SEP.24</c:v>
                </c:pt>
                <c:pt idx="1099">
                  <c:v>SEP.24</c:v>
                </c:pt>
                <c:pt idx="1100">
                  <c:v>SEP.24</c:v>
                </c:pt>
                <c:pt idx="1101">
                  <c:v>SEP.24</c:v>
                </c:pt>
                <c:pt idx="1102">
                  <c:v>SEP.24</c:v>
                </c:pt>
                <c:pt idx="1103">
                  <c:v>SEP.24</c:v>
                </c:pt>
                <c:pt idx="1104">
                  <c:v>SEP.24</c:v>
                </c:pt>
                <c:pt idx="1105">
                  <c:v>SEP.24</c:v>
                </c:pt>
                <c:pt idx="1106">
                  <c:v>SEP.24</c:v>
                </c:pt>
                <c:pt idx="1107">
                  <c:v>SEP.24</c:v>
                </c:pt>
                <c:pt idx="1108">
                  <c:v>SEP.24</c:v>
                </c:pt>
                <c:pt idx="1109">
                  <c:v>SEP.24</c:v>
                </c:pt>
                <c:pt idx="1110">
                  <c:v>SEP.24</c:v>
                </c:pt>
                <c:pt idx="1111">
                  <c:v>SEP.24</c:v>
                </c:pt>
                <c:pt idx="1112">
                  <c:v>SEP.24</c:v>
                </c:pt>
                <c:pt idx="1113">
                  <c:v>SEP.24</c:v>
                </c:pt>
                <c:pt idx="1114">
                  <c:v>SEP.24</c:v>
                </c:pt>
                <c:pt idx="1115">
                  <c:v>SEP.24</c:v>
                </c:pt>
                <c:pt idx="1116">
                  <c:v>SEP.24</c:v>
                </c:pt>
                <c:pt idx="1117">
                  <c:v>SEP.24</c:v>
                </c:pt>
                <c:pt idx="1118">
                  <c:v>SEP.24</c:v>
                </c:pt>
                <c:pt idx="1119">
                  <c:v>SEP.24</c:v>
                </c:pt>
                <c:pt idx="1120">
                  <c:v>SEP.24</c:v>
                </c:pt>
                <c:pt idx="1121">
                  <c:v>SEP.24</c:v>
                </c:pt>
                <c:pt idx="1122">
                  <c:v>SEP.24</c:v>
                </c:pt>
                <c:pt idx="1123">
                  <c:v>SEP.24</c:v>
                </c:pt>
                <c:pt idx="1124">
                  <c:v>SEP.24</c:v>
                </c:pt>
                <c:pt idx="1125">
                  <c:v>October24 live (R+1) | REDUCE INTRADAY &gt;1D TRADES</c:v>
                </c:pt>
                <c:pt idx="1126">
                  <c:v>OCT.24</c:v>
                </c:pt>
                <c:pt idx="1127">
                  <c:v>OCT.24</c:v>
                </c:pt>
                <c:pt idx="1128">
                  <c:v>OCT.24</c:v>
                </c:pt>
                <c:pt idx="1129">
                  <c:v>OCT.24</c:v>
                </c:pt>
                <c:pt idx="1130">
                  <c:v>OCT.24</c:v>
                </c:pt>
                <c:pt idx="1131">
                  <c:v>OCT.24</c:v>
                </c:pt>
                <c:pt idx="1132">
                  <c:v>OCT.24</c:v>
                </c:pt>
                <c:pt idx="1133">
                  <c:v>OCT.24</c:v>
                </c:pt>
                <c:pt idx="1134">
                  <c:v>OCT.24</c:v>
                </c:pt>
                <c:pt idx="1135">
                  <c:v>OCT.24</c:v>
                </c:pt>
                <c:pt idx="1136">
                  <c:v>OCT.24</c:v>
                </c:pt>
                <c:pt idx="1137">
                  <c:v>OCT.24</c:v>
                </c:pt>
                <c:pt idx="1138">
                  <c:v>OCT.24</c:v>
                </c:pt>
                <c:pt idx="1139">
                  <c:v>OCT.24</c:v>
                </c:pt>
                <c:pt idx="1140">
                  <c:v>OCT.24</c:v>
                </c:pt>
                <c:pt idx="1141">
                  <c:v>OCT.24</c:v>
                </c:pt>
                <c:pt idx="1142">
                  <c:v>OCT.24</c:v>
                </c:pt>
                <c:pt idx="1143">
                  <c:v>OCT.24</c:v>
                </c:pt>
                <c:pt idx="1144">
                  <c:v>OCT.24</c:v>
                </c:pt>
                <c:pt idx="1145">
                  <c:v>OCT.24</c:v>
                </c:pt>
                <c:pt idx="1146">
                  <c:v>OCT.24</c:v>
                </c:pt>
                <c:pt idx="1147">
                  <c:v>OCT.24</c:v>
                </c:pt>
                <c:pt idx="1148">
                  <c:v>OCT.24</c:v>
                </c:pt>
                <c:pt idx="1149">
                  <c:v>OCT.24</c:v>
                </c:pt>
                <c:pt idx="1150">
                  <c:v>OCT.24</c:v>
                </c:pt>
                <c:pt idx="1151">
                  <c:v>OCT.24</c:v>
                </c:pt>
                <c:pt idx="1152">
                  <c:v>OCT.24</c:v>
                </c:pt>
                <c:pt idx="1153">
                  <c:v>OCT.24</c:v>
                </c:pt>
                <c:pt idx="1154">
                  <c:v>OCT.24</c:v>
                </c:pt>
                <c:pt idx="1155">
                  <c:v>OCT.24</c:v>
                </c:pt>
                <c:pt idx="1156">
                  <c:v>OCT.24</c:v>
                </c:pt>
                <c:pt idx="1157">
                  <c:v>OCT.24</c:v>
                </c:pt>
                <c:pt idx="1158">
                  <c:v>OCT.24</c:v>
                </c:pt>
                <c:pt idx="1159">
                  <c:v>OCT.24</c:v>
                </c:pt>
                <c:pt idx="1160">
                  <c:v>OCT.24</c:v>
                </c:pt>
                <c:pt idx="1161">
                  <c:v>OCT.24</c:v>
                </c:pt>
                <c:pt idx="1162">
                  <c:v>OCT.24</c:v>
                </c:pt>
                <c:pt idx="1163">
                  <c:v>OCT.24</c:v>
                </c:pt>
                <c:pt idx="1164">
                  <c:v>OCT.24</c:v>
                </c:pt>
                <c:pt idx="1165">
                  <c:v>OCT.24</c:v>
                </c:pt>
                <c:pt idx="1166">
                  <c:v>OCT.24</c:v>
                </c:pt>
                <c:pt idx="1167">
                  <c:v>OCT.24</c:v>
                </c:pt>
                <c:pt idx="1168">
                  <c:v>OCT.24</c:v>
                </c:pt>
                <c:pt idx="1169">
                  <c:v>OCT.24</c:v>
                </c:pt>
                <c:pt idx="1170">
                  <c:v>OCT.24</c:v>
                </c:pt>
                <c:pt idx="1171">
                  <c:v>OCT.24</c:v>
                </c:pt>
                <c:pt idx="1172">
                  <c:v>OCT.24</c:v>
                </c:pt>
                <c:pt idx="1173">
                  <c:v>OCT.24</c:v>
                </c:pt>
                <c:pt idx="1174">
                  <c:v>OCT.24</c:v>
                </c:pt>
                <c:pt idx="1175">
                  <c:v>OCT.24</c:v>
                </c:pt>
                <c:pt idx="1176">
                  <c:v>OCT.24</c:v>
                </c:pt>
                <c:pt idx="1177">
                  <c:v>OCT.24</c:v>
                </c:pt>
                <c:pt idx="1178">
                  <c:v>OCT.24</c:v>
                </c:pt>
                <c:pt idx="1179">
                  <c:v>OCT.24</c:v>
                </c:pt>
                <c:pt idx="1180">
                  <c:v>OCT.24</c:v>
                </c:pt>
                <c:pt idx="1181">
                  <c:v>OCT.24</c:v>
                </c:pt>
                <c:pt idx="1182">
                  <c:v>OCT.24</c:v>
                </c:pt>
                <c:pt idx="1183">
                  <c:v>OCT.24</c:v>
                </c:pt>
                <c:pt idx="1184">
                  <c:v>OCT.24</c:v>
                </c:pt>
                <c:pt idx="1185">
                  <c:v>OCT.24</c:v>
                </c:pt>
                <c:pt idx="1186">
                  <c:v>OCT.24</c:v>
                </c:pt>
                <c:pt idx="1187">
                  <c:v>OCT.24</c:v>
                </c:pt>
                <c:pt idx="1188">
                  <c:v>OCT.24</c:v>
                </c:pt>
                <c:pt idx="1189">
                  <c:v>OCT.24</c:v>
                </c:pt>
                <c:pt idx="1190">
                  <c:v>OCT.24</c:v>
                </c:pt>
                <c:pt idx="1191">
                  <c:v>OCT.24</c:v>
                </c:pt>
                <c:pt idx="1192">
                  <c:v>OCT.24</c:v>
                </c:pt>
                <c:pt idx="1193">
                  <c:v>OCT.24</c:v>
                </c:pt>
                <c:pt idx="1194">
                  <c:v>OCT.24</c:v>
                </c:pt>
                <c:pt idx="1195">
                  <c:v>OCT.24</c:v>
                </c:pt>
                <c:pt idx="1196">
                  <c:v>OCT.24</c:v>
                </c:pt>
                <c:pt idx="1197">
                  <c:v>OCT.24</c:v>
                </c:pt>
                <c:pt idx="1198">
                  <c:v>OCT.24</c:v>
                </c:pt>
                <c:pt idx="1199">
                  <c:v>OCT.24</c:v>
                </c:pt>
                <c:pt idx="1200">
                  <c:v>OCT.24</c:v>
                </c:pt>
                <c:pt idx="1201">
                  <c:v>OCT.24</c:v>
                </c:pt>
                <c:pt idx="1202">
                  <c:v>OCT.24</c:v>
                </c:pt>
                <c:pt idx="1203">
                  <c:v>OCT.24</c:v>
                </c:pt>
                <c:pt idx="1204">
                  <c:v>OCT.24</c:v>
                </c:pt>
                <c:pt idx="1205">
                  <c:v>OCT.24</c:v>
                </c:pt>
                <c:pt idx="1206">
                  <c:v>OCT.24</c:v>
                </c:pt>
                <c:pt idx="1207">
                  <c:v>OCT.24</c:v>
                </c:pt>
                <c:pt idx="1208">
                  <c:v>OCT.24</c:v>
                </c:pt>
                <c:pt idx="1209">
                  <c:v>OCT.24</c:v>
                </c:pt>
                <c:pt idx="1210">
                  <c:v>OCT.24</c:v>
                </c:pt>
                <c:pt idx="1211">
                  <c:v>OCT.24</c:v>
                </c:pt>
                <c:pt idx="1212">
                  <c:v>OCT.24</c:v>
                </c:pt>
                <c:pt idx="1213">
                  <c:v>OCT.24</c:v>
                </c:pt>
                <c:pt idx="1214">
                  <c:v>November24 live EPILOGUE 1</c:v>
                </c:pt>
                <c:pt idx="1215">
                  <c:v>NOV.24</c:v>
                </c:pt>
                <c:pt idx="1216">
                  <c:v>NOV.24</c:v>
                </c:pt>
                <c:pt idx="1217">
                  <c:v>NOV.24</c:v>
                </c:pt>
                <c:pt idx="1218">
                  <c:v>NOV.24</c:v>
                </c:pt>
                <c:pt idx="1219">
                  <c:v>NOV.24</c:v>
                </c:pt>
                <c:pt idx="1220">
                  <c:v>NOV.24</c:v>
                </c:pt>
                <c:pt idx="1221">
                  <c:v>NOV.24</c:v>
                </c:pt>
                <c:pt idx="1222">
                  <c:v>NOV.24</c:v>
                </c:pt>
                <c:pt idx="1223">
                  <c:v>NOV.24</c:v>
                </c:pt>
                <c:pt idx="1224">
                  <c:v>NOV.24</c:v>
                </c:pt>
                <c:pt idx="1225">
                  <c:v>NOV.24</c:v>
                </c:pt>
                <c:pt idx="1226">
                  <c:v>NOV.24</c:v>
                </c:pt>
                <c:pt idx="1227">
                  <c:v>NOV.24</c:v>
                </c:pt>
                <c:pt idx="1228">
                  <c:v>NOV.24</c:v>
                </c:pt>
                <c:pt idx="1229">
                  <c:v>NOV.24</c:v>
                </c:pt>
                <c:pt idx="1230">
                  <c:v>NOV.24</c:v>
                </c:pt>
                <c:pt idx="1231">
                  <c:v>NOV.24</c:v>
                </c:pt>
                <c:pt idx="1232">
                  <c:v>NOV.24</c:v>
                </c:pt>
                <c:pt idx="1233">
                  <c:v>NOV.24</c:v>
                </c:pt>
                <c:pt idx="1234">
                  <c:v>NOV.24</c:v>
                </c:pt>
                <c:pt idx="1235">
                  <c:v>NOV.24</c:v>
                </c:pt>
                <c:pt idx="1236">
                  <c:v>NOV.24</c:v>
                </c:pt>
                <c:pt idx="1237">
                  <c:v>NOV.24</c:v>
                </c:pt>
              </c:strCache>
            </c:strRef>
          </c:cat>
          <c:val>
            <c:numRef>
              <c:f>'Journal Live'!$BM$1388:$BM$2630</c:f>
              <c:numCache>
                <c:formatCode>General</c:formatCode>
                <c:ptCount val="1238"/>
                <c:pt idx="0">
                  <c:v>0</c:v>
                </c:pt>
                <c:pt idx="1">
                  <c:v>0</c:v>
                </c:pt>
                <c:pt idx="2">
                  <c:v>0</c:v>
                </c:pt>
                <c:pt idx="3">
                  <c:v>0</c:v>
                </c:pt>
                <c:pt idx="4">
                  <c:v>0</c:v>
                </c:pt>
                <c:pt idx="5">
                  <c:v>0</c:v>
                </c:pt>
                <c:pt idx="6">
                  <c:v>0</c:v>
                </c:pt>
                <c:pt idx="7">
                  <c:v>0</c:v>
                </c:pt>
                <c:pt idx="8">
                  <c:v>0</c:v>
                </c:pt>
                <c:pt idx="9">
                  <c:v>271.99999999999989</c:v>
                </c:pt>
                <c:pt idx="10">
                  <c:v>271.99999999999989</c:v>
                </c:pt>
                <c:pt idx="11">
                  <c:v>271.99999999999989</c:v>
                </c:pt>
                <c:pt idx="12">
                  <c:v>271.99999999999989</c:v>
                </c:pt>
                <c:pt idx="13">
                  <c:v>271.99999999999989</c:v>
                </c:pt>
                <c:pt idx="14">
                  <c:v>271.99999999999989</c:v>
                </c:pt>
                <c:pt idx="15">
                  <c:v>271.99999999999989</c:v>
                </c:pt>
                <c:pt idx="16">
                  <c:v>271.99999999999989</c:v>
                </c:pt>
                <c:pt idx="17">
                  <c:v>271.99999999999989</c:v>
                </c:pt>
                <c:pt idx="18">
                  <c:v>271.99999999999989</c:v>
                </c:pt>
                <c:pt idx="19">
                  <c:v>271.99999999999989</c:v>
                </c:pt>
                <c:pt idx="20">
                  <c:v>271.99999999999989</c:v>
                </c:pt>
                <c:pt idx="21">
                  <c:v>271.99999999999989</c:v>
                </c:pt>
                <c:pt idx="22">
                  <c:v>271.99999999999989</c:v>
                </c:pt>
                <c:pt idx="23">
                  <c:v>271.99999999999989</c:v>
                </c:pt>
                <c:pt idx="24">
                  <c:v>271.99999999999989</c:v>
                </c:pt>
                <c:pt idx="25">
                  <c:v>399.99999999999983</c:v>
                </c:pt>
                <c:pt idx="26">
                  <c:v>399.99999999999983</c:v>
                </c:pt>
                <c:pt idx="27">
                  <c:v>399.99999999999983</c:v>
                </c:pt>
                <c:pt idx="28">
                  <c:v>399.99999999999983</c:v>
                </c:pt>
                <c:pt idx="29">
                  <c:v>399.99999999999983</c:v>
                </c:pt>
                <c:pt idx="30">
                  <c:v>399.99999999999983</c:v>
                </c:pt>
                <c:pt idx="31">
                  <c:v>399.99999999999983</c:v>
                </c:pt>
                <c:pt idx="32">
                  <c:v>399.99999999999983</c:v>
                </c:pt>
                <c:pt idx="33">
                  <c:v>399.99999999999983</c:v>
                </c:pt>
                <c:pt idx="34">
                  <c:v>399.99999999999983</c:v>
                </c:pt>
                <c:pt idx="35">
                  <c:v>399.99999999999983</c:v>
                </c:pt>
                <c:pt idx="36">
                  <c:v>399.99999999999983</c:v>
                </c:pt>
                <c:pt idx="37">
                  <c:v>784.00000000000023</c:v>
                </c:pt>
                <c:pt idx="38">
                  <c:v>784.00000000000023</c:v>
                </c:pt>
                <c:pt idx="39">
                  <c:v>784.00000000000023</c:v>
                </c:pt>
                <c:pt idx="40">
                  <c:v>784.00000000000023</c:v>
                </c:pt>
                <c:pt idx="41">
                  <c:v>784.00000000000023</c:v>
                </c:pt>
                <c:pt idx="42">
                  <c:v>784.00000000000023</c:v>
                </c:pt>
                <c:pt idx="43">
                  <c:v>784.00000000000023</c:v>
                </c:pt>
                <c:pt idx="44">
                  <c:v>784.00000000000023</c:v>
                </c:pt>
                <c:pt idx="45">
                  <c:v>784.00000000000023</c:v>
                </c:pt>
                <c:pt idx="46">
                  <c:v>784.00000000000023</c:v>
                </c:pt>
                <c:pt idx="47">
                  <c:v>784.00000000000023</c:v>
                </c:pt>
                <c:pt idx="48">
                  <c:v>784.00000000000023</c:v>
                </c:pt>
                <c:pt idx="49">
                  <c:v>784.00000000000023</c:v>
                </c:pt>
                <c:pt idx="50">
                  <c:v>784.00000000000023</c:v>
                </c:pt>
                <c:pt idx="51">
                  <c:v>784.00000000000023</c:v>
                </c:pt>
                <c:pt idx="52">
                  <c:v>784.00000000000023</c:v>
                </c:pt>
                <c:pt idx="53">
                  <c:v>784.00000000000023</c:v>
                </c:pt>
                <c:pt idx="54">
                  <c:v>784.00000000000023</c:v>
                </c:pt>
                <c:pt idx="55">
                  <c:v>784.00000000000023</c:v>
                </c:pt>
                <c:pt idx="56">
                  <c:v>784.00000000000023</c:v>
                </c:pt>
                <c:pt idx="57">
                  <c:v>784.00000000000023</c:v>
                </c:pt>
                <c:pt idx="58">
                  <c:v>784.00000000000023</c:v>
                </c:pt>
                <c:pt idx="59">
                  <c:v>784.00000000000023</c:v>
                </c:pt>
                <c:pt idx="60">
                  <c:v>784.00000000000023</c:v>
                </c:pt>
                <c:pt idx="61">
                  <c:v>976.00000000000023</c:v>
                </c:pt>
                <c:pt idx="62">
                  <c:v>976.00000000000023</c:v>
                </c:pt>
                <c:pt idx="63">
                  <c:v>976.00000000000023</c:v>
                </c:pt>
                <c:pt idx="64">
                  <c:v>976.00000000000023</c:v>
                </c:pt>
                <c:pt idx="65">
                  <c:v>2963.5799999997967</c:v>
                </c:pt>
                <c:pt idx="66">
                  <c:v>2963.5799999997967</c:v>
                </c:pt>
                <c:pt idx="67">
                  <c:v>976.00000000000023</c:v>
                </c:pt>
                <c:pt idx="68">
                  <c:v>2963.5799999997967</c:v>
                </c:pt>
                <c:pt idx="69">
                  <c:v>976.00000000000023</c:v>
                </c:pt>
                <c:pt idx="70">
                  <c:v>976.00000000000023</c:v>
                </c:pt>
                <c:pt idx="71">
                  <c:v>976.00000000000023</c:v>
                </c:pt>
                <c:pt idx="72">
                  <c:v>976.00000000000023</c:v>
                </c:pt>
                <c:pt idx="73">
                  <c:v>976.00000000000023</c:v>
                </c:pt>
                <c:pt idx="74">
                  <c:v>976.00000000000023</c:v>
                </c:pt>
                <c:pt idx="75">
                  <c:v>1341.9999999999686</c:v>
                </c:pt>
                <c:pt idx="76">
                  <c:v>976.00000000000023</c:v>
                </c:pt>
                <c:pt idx="77">
                  <c:v>976.00000000000023</c:v>
                </c:pt>
                <c:pt idx="78">
                  <c:v>1381.9999999999607</c:v>
                </c:pt>
                <c:pt idx="79">
                  <c:v>976.00000000000023</c:v>
                </c:pt>
                <c:pt idx="80">
                  <c:v>1381.9999999999607</c:v>
                </c:pt>
                <c:pt idx="81">
                  <c:v>1381.9999999999607</c:v>
                </c:pt>
                <c:pt idx="82">
                  <c:v>1381.9999999999607</c:v>
                </c:pt>
                <c:pt idx="83">
                  <c:v>1381.9999999999607</c:v>
                </c:pt>
                <c:pt idx="84">
                  <c:v>1381.9999999999607</c:v>
                </c:pt>
                <c:pt idx="85">
                  <c:v>1381.9999999999607</c:v>
                </c:pt>
                <c:pt idx="86">
                  <c:v>1381.9999999999607</c:v>
                </c:pt>
                <c:pt idx="87">
                  <c:v>1381.9999999999607</c:v>
                </c:pt>
                <c:pt idx="88">
                  <c:v>1381.9999999999607</c:v>
                </c:pt>
                <c:pt idx="89">
                  <c:v>1381.9999999999607</c:v>
                </c:pt>
                <c:pt idx="90">
                  <c:v>1381.9999999999607</c:v>
                </c:pt>
                <c:pt idx="91">
                  <c:v>1381.9999999999607</c:v>
                </c:pt>
                <c:pt idx="92">
                  <c:v>1341.9999999999686</c:v>
                </c:pt>
                <c:pt idx="93">
                  <c:v>1341.9999999999686</c:v>
                </c:pt>
                <c:pt idx="94">
                  <c:v>1341.9999999999686</c:v>
                </c:pt>
                <c:pt idx="95">
                  <c:v>2963.5799999997967</c:v>
                </c:pt>
                <c:pt idx="96">
                  <c:v>1341.9999999999686</c:v>
                </c:pt>
                <c:pt idx="97">
                  <c:v>1341.9999999999686</c:v>
                </c:pt>
                <c:pt idx="98">
                  <c:v>1341.9999999999686</c:v>
                </c:pt>
                <c:pt idx="99">
                  <c:v>1388.3999999998605</c:v>
                </c:pt>
                <c:pt idx="100">
                  <c:v>1388.3999999998605</c:v>
                </c:pt>
                <c:pt idx="101">
                  <c:v>1388.3999999998605</c:v>
                </c:pt>
                <c:pt idx="102">
                  <c:v>1388.3999999998605</c:v>
                </c:pt>
                <c:pt idx="103">
                  <c:v>1388.3999999998605</c:v>
                </c:pt>
                <c:pt idx="104">
                  <c:v>1388.3999999998605</c:v>
                </c:pt>
                <c:pt idx="105">
                  <c:v>1388.3999999998605</c:v>
                </c:pt>
                <c:pt idx="106">
                  <c:v>2963.5799999997967</c:v>
                </c:pt>
                <c:pt idx="107">
                  <c:v>1836.3999999996859</c:v>
                </c:pt>
                <c:pt idx="108">
                  <c:v>2156.3999999996859</c:v>
                </c:pt>
                <c:pt idx="109">
                  <c:v>2860.3999999996868</c:v>
                </c:pt>
                <c:pt idx="110">
                  <c:v>2860.3999999996868</c:v>
                </c:pt>
                <c:pt idx="111">
                  <c:v>2860.3999999996868</c:v>
                </c:pt>
                <c:pt idx="112">
                  <c:v>2860.3999999996868</c:v>
                </c:pt>
                <c:pt idx="113">
                  <c:v>2860.3999999996868</c:v>
                </c:pt>
                <c:pt idx="114">
                  <c:v>2860.3999999996868</c:v>
                </c:pt>
                <c:pt idx="115">
                  <c:v>2860.3999999996868</c:v>
                </c:pt>
                <c:pt idx="116">
                  <c:v>2963.5799999997967</c:v>
                </c:pt>
                <c:pt idx="117">
                  <c:v>2963.5799999997967</c:v>
                </c:pt>
                <c:pt idx="118">
                  <c:v>3084.3999999996868</c:v>
                </c:pt>
                <c:pt idx="119">
                  <c:v>2963.5799999997967</c:v>
                </c:pt>
                <c:pt idx="120">
                  <c:v>2963.5799999997967</c:v>
                </c:pt>
                <c:pt idx="121">
                  <c:v>2963.5799999997967</c:v>
                </c:pt>
                <c:pt idx="122">
                  <c:v>2963.5799999997967</c:v>
                </c:pt>
                <c:pt idx="123">
                  <c:v>2963.5799999997967</c:v>
                </c:pt>
                <c:pt idx="124">
                  <c:v>2963.5799999997967</c:v>
                </c:pt>
                <c:pt idx="125">
                  <c:v>2963.5799999997967</c:v>
                </c:pt>
                <c:pt idx="126">
                  <c:v>2963.5799999997967</c:v>
                </c:pt>
                <c:pt idx="127">
                  <c:v>2963.5799999997967</c:v>
                </c:pt>
                <c:pt idx="128">
                  <c:v>2963.5799999997967</c:v>
                </c:pt>
                <c:pt idx="129">
                  <c:v>2963.5799999997967</c:v>
                </c:pt>
                <c:pt idx="130">
                  <c:v>2963.5799999997967</c:v>
                </c:pt>
                <c:pt idx="131">
                  <c:v>8785.3799999984803</c:v>
                </c:pt>
                <c:pt idx="132">
                  <c:v>2963.5799999997967</c:v>
                </c:pt>
                <c:pt idx="133">
                  <c:v>5219.3799999995472</c:v>
                </c:pt>
                <c:pt idx="134">
                  <c:v>5219.3799999995472</c:v>
                </c:pt>
                <c:pt idx="135">
                  <c:v>2806.9799999997908</c:v>
                </c:pt>
                <c:pt idx="136">
                  <c:v>2806.9799999997908</c:v>
                </c:pt>
                <c:pt idx="137">
                  <c:v>2806.9799999997908</c:v>
                </c:pt>
                <c:pt idx="138">
                  <c:v>5219.3799999995472</c:v>
                </c:pt>
                <c:pt idx="139">
                  <c:v>2806.9799999997908</c:v>
                </c:pt>
                <c:pt idx="140">
                  <c:v>2806.9799999997908</c:v>
                </c:pt>
                <c:pt idx="141">
                  <c:v>2806.9799999997908</c:v>
                </c:pt>
                <c:pt idx="142">
                  <c:v>2806.9799999997908</c:v>
                </c:pt>
                <c:pt idx="143">
                  <c:v>2806.9799999997908</c:v>
                </c:pt>
                <c:pt idx="144">
                  <c:v>2806.9799999997908</c:v>
                </c:pt>
                <c:pt idx="145">
                  <c:v>2806.9799999997908</c:v>
                </c:pt>
                <c:pt idx="146">
                  <c:v>2806.9799999997908</c:v>
                </c:pt>
                <c:pt idx="147">
                  <c:v>2806.9799999997908</c:v>
                </c:pt>
                <c:pt idx="148">
                  <c:v>2806.9799999997908</c:v>
                </c:pt>
                <c:pt idx="149">
                  <c:v>2806.9799999997908</c:v>
                </c:pt>
                <c:pt idx="150">
                  <c:v>2835.9799999997645</c:v>
                </c:pt>
                <c:pt idx="151">
                  <c:v>2748.9799999997613</c:v>
                </c:pt>
                <c:pt idx="152">
                  <c:v>5219.3799999995472</c:v>
                </c:pt>
                <c:pt idx="153">
                  <c:v>3372.9799999997613</c:v>
                </c:pt>
                <c:pt idx="154">
                  <c:v>3372.9799999997613</c:v>
                </c:pt>
                <c:pt idx="155">
                  <c:v>3372.9799999997613</c:v>
                </c:pt>
                <c:pt idx="156">
                  <c:v>5219.3799999995472</c:v>
                </c:pt>
                <c:pt idx="157">
                  <c:v>3372.9799999997613</c:v>
                </c:pt>
                <c:pt idx="158">
                  <c:v>3372.9799999997613</c:v>
                </c:pt>
                <c:pt idx="159">
                  <c:v>5219.3799999995472</c:v>
                </c:pt>
                <c:pt idx="160">
                  <c:v>4411.3799999996527</c:v>
                </c:pt>
                <c:pt idx="161">
                  <c:v>3372.9799999997613</c:v>
                </c:pt>
                <c:pt idx="162">
                  <c:v>5219.3799999995472</c:v>
                </c:pt>
                <c:pt idx="163">
                  <c:v>3419.3799999996531</c:v>
                </c:pt>
                <c:pt idx="164">
                  <c:v>3419.3799999996531</c:v>
                </c:pt>
                <c:pt idx="165">
                  <c:v>4091.3799999996531</c:v>
                </c:pt>
                <c:pt idx="166">
                  <c:v>4411.3799999996527</c:v>
                </c:pt>
                <c:pt idx="167">
                  <c:v>4411.3799999996527</c:v>
                </c:pt>
                <c:pt idx="168">
                  <c:v>4411.3799999996527</c:v>
                </c:pt>
                <c:pt idx="169">
                  <c:v>5219.3799999995472</c:v>
                </c:pt>
                <c:pt idx="170">
                  <c:v>4440.3799999996263</c:v>
                </c:pt>
                <c:pt idx="171">
                  <c:v>4440.3799999996263</c:v>
                </c:pt>
                <c:pt idx="172">
                  <c:v>4440.3799999996263</c:v>
                </c:pt>
                <c:pt idx="173">
                  <c:v>4440.3799999996263</c:v>
                </c:pt>
                <c:pt idx="174">
                  <c:v>4440.3799999996263</c:v>
                </c:pt>
                <c:pt idx="175">
                  <c:v>4440.3799999996263</c:v>
                </c:pt>
                <c:pt idx="176">
                  <c:v>4440.3799999996263</c:v>
                </c:pt>
                <c:pt idx="177">
                  <c:v>4440.3799999996263</c:v>
                </c:pt>
                <c:pt idx="178">
                  <c:v>4440.3799999996263</c:v>
                </c:pt>
                <c:pt idx="179">
                  <c:v>5219.3799999995472</c:v>
                </c:pt>
                <c:pt idx="180">
                  <c:v>4440.3799999996263</c:v>
                </c:pt>
                <c:pt idx="181">
                  <c:v>4440.3799999996263</c:v>
                </c:pt>
                <c:pt idx="182">
                  <c:v>4440.3799999996263</c:v>
                </c:pt>
                <c:pt idx="183">
                  <c:v>4440.3799999996263</c:v>
                </c:pt>
                <c:pt idx="184">
                  <c:v>4440.3799999996263</c:v>
                </c:pt>
                <c:pt idx="185">
                  <c:v>4440.3799999996263</c:v>
                </c:pt>
                <c:pt idx="186">
                  <c:v>4440.3799999996263</c:v>
                </c:pt>
                <c:pt idx="187">
                  <c:v>4440.3799999996263</c:v>
                </c:pt>
                <c:pt idx="188">
                  <c:v>4440.3799999996263</c:v>
                </c:pt>
                <c:pt idx="189">
                  <c:v>4440.3799999996263</c:v>
                </c:pt>
                <c:pt idx="190">
                  <c:v>4440.3799999996263</c:v>
                </c:pt>
                <c:pt idx="191">
                  <c:v>4440.3799999996263</c:v>
                </c:pt>
                <c:pt idx="192">
                  <c:v>5139.3799999995472</c:v>
                </c:pt>
                <c:pt idx="193">
                  <c:v>4440.3799999996263</c:v>
                </c:pt>
                <c:pt idx="194">
                  <c:v>4440.3799999996263</c:v>
                </c:pt>
                <c:pt idx="195">
                  <c:v>4440.3799999996263</c:v>
                </c:pt>
                <c:pt idx="196">
                  <c:v>4440.3799999996263</c:v>
                </c:pt>
                <c:pt idx="197">
                  <c:v>4440.3799999996263</c:v>
                </c:pt>
                <c:pt idx="198">
                  <c:v>5139.3799999995472</c:v>
                </c:pt>
                <c:pt idx="199">
                  <c:v>4152.3799999996263</c:v>
                </c:pt>
                <c:pt idx="200">
                  <c:v>4239.3799999995472</c:v>
                </c:pt>
                <c:pt idx="201">
                  <c:v>4539.3799999995472</c:v>
                </c:pt>
                <c:pt idx="202">
                  <c:v>5139.3799999995472</c:v>
                </c:pt>
                <c:pt idx="203">
                  <c:v>5139.3799999995472</c:v>
                </c:pt>
                <c:pt idx="204">
                  <c:v>5139.3799999995472</c:v>
                </c:pt>
                <c:pt idx="205">
                  <c:v>5139.3799999995472</c:v>
                </c:pt>
                <c:pt idx="206">
                  <c:v>5139.3799999995472</c:v>
                </c:pt>
                <c:pt idx="207">
                  <c:v>5139.3799999995472</c:v>
                </c:pt>
                <c:pt idx="208">
                  <c:v>5219.3799999995472</c:v>
                </c:pt>
                <c:pt idx="209">
                  <c:v>5139.3799999995472</c:v>
                </c:pt>
                <c:pt idx="210">
                  <c:v>5139.3799999995472</c:v>
                </c:pt>
                <c:pt idx="211">
                  <c:v>5219.3799999995472</c:v>
                </c:pt>
                <c:pt idx="212">
                  <c:v>5219.3799999995472</c:v>
                </c:pt>
                <c:pt idx="213">
                  <c:v>5219.3799999995472</c:v>
                </c:pt>
                <c:pt idx="214">
                  <c:v>5219.3799999995472</c:v>
                </c:pt>
                <c:pt idx="215">
                  <c:v>5219.3799999995472</c:v>
                </c:pt>
                <c:pt idx="216">
                  <c:v>5219.3799999995472</c:v>
                </c:pt>
                <c:pt idx="217">
                  <c:v>5219.3799999995472</c:v>
                </c:pt>
                <c:pt idx="218">
                  <c:v>5219.3799999995472</c:v>
                </c:pt>
                <c:pt idx="219">
                  <c:v>5219.3799999995472</c:v>
                </c:pt>
                <c:pt idx="220">
                  <c:v>5219.3799999995472</c:v>
                </c:pt>
                <c:pt idx="221">
                  <c:v>5219.3799999995472</c:v>
                </c:pt>
                <c:pt idx="222">
                  <c:v>5219.3799999995472</c:v>
                </c:pt>
                <c:pt idx="223">
                  <c:v>5219.3799999995472</c:v>
                </c:pt>
                <c:pt idx="224">
                  <c:v>5219.3799999995472</c:v>
                </c:pt>
                <c:pt idx="225">
                  <c:v>5219.3799999995472</c:v>
                </c:pt>
                <c:pt idx="226">
                  <c:v>5219.3799999995472</c:v>
                </c:pt>
                <c:pt idx="227">
                  <c:v>5219.3799999995472</c:v>
                </c:pt>
                <c:pt idx="228">
                  <c:v>5219.3799999995472</c:v>
                </c:pt>
                <c:pt idx="229">
                  <c:v>5219.3799999995472</c:v>
                </c:pt>
                <c:pt idx="230">
                  <c:v>5219.3799999995472</c:v>
                </c:pt>
                <c:pt idx="231">
                  <c:v>5219.3799999995472</c:v>
                </c:pt>
                <c:pt idx="232">
                  <c:v>5219.3799999995472</c:v>
                </c:pt>
                <c:pt idx="233">
                  <c:v>5219.3799999995472</c:v>
                </c:pt>
                <c:pt idx="234">
                  <c:v>5219.3799999995472</c:v>
                </c:pt>
                <c:pt idx="235">
                  <c:v>5219.3799999995472</c:v>
                </c:pt>
                <c:pt idx="236">
                  <c:v>5219.3799999995472</c:v>
                </c:pt>
                <c:pt idx="237">
                  <c:v>5219.3799999995472</c:v>
                </c:pt>
                <c:pt idx="238">
                  <c:v>5219.3799999995472</c:v>
                </c:pt>
                <c:pt idx="239">
                  <c:v>5219.3799999995472</c:v>
                </c:pt>
                <c:pt idx="240">
                  <c:v>5219.3799999995472</c:v>
                </c:pt>
                <c:pt idx="241">
                  <c:v>5219.3799999995472</c:v>
                </c:pt>
                <c:pt idx="242">
                  <c:v>5219.3799999995472</c:v>
                </c:pt>
                <c:pt idx="243">
                  <c:v>5219.3799999995472</c:v>
                </c:pt>
                <c:pt idx="244">
                  <c:v>5219.3799999995472</c:v>
                </c:pt>
                <c:pt idx="245">
                  <c:v>5219.3799999995472</c:v>
                </c:pt>
                <c:pt idx="246">
                  <c:v>5219.3799999995472</c:v>
                </c:pt>
                <c:pt idx="247">
                  <c:v>5219.3799999995472</c:v>
                </c:pt>
                <c:pt idx="248">
                  <c:v>5219.3799999995472</c:v>
                </c:pt>
                <c:pt idx="249">
                  <c:v>5219.3799999995472</c:v>
                </c:pt>
                <c:pt idx="250">
                  <c:v>5219.3799999995472</c:v>
                </c:pt>
                <c:pt idx="251">
                  <c:v>5219.3799999995472</c:v>
                </c:pt>
                <c:pt idx="252">
                  <c:v>5219.3799999995472</c:v>
                </c:pt>
                <c:pt idx="253">
                  <c:v>5219.3799999995472</c:v>
                </c:pt>
                <c:pt idx="254">
                  <c:v>5219.3799999995472</c:v>
                </c:pt>
                <c:pt idx="255">
                  <c:v>5219.3799999995472</c:v>
                </c:pt>
                <c:pt idx="256">
                  <c:v>5219.3799999995472</c:v>
                </c:pt>
                <c:pt idx="257">
                  <c:v>5219.3799999995472</c:v>
                </c:pt>
                <c:pt idx="258">
                  <c:v>5219.3799999995472</c:v>
                </c:pt>
                <c:pt idx="259">
                  <c:v>5219.3799999995472</c:v>
                </c:pt>
                <c:pt idx="260">
                  <c:v>5219.3799999995472</c:v>
                </c:pt>
                <c:pt idx="261">
                  <c:v>5219.3799999995472</c:v>
                </c:pt>
                <c:pt idx="262">
                  <c:v>5219.3799999995472</c:v>
                </c:pt>
                <c:pt idx="263">
                  <c:v>5219.3799999995472</c:v>
                </c:pt>
                <c:pt idx="264">
                  <c:v>5219.3799999995472</c:v>
                </c:pt>
                <c:pt idx="265">
                  <c:v>5219.3799999995472</c:v>
                </c:pt>
                <c:pt idx="266">
                  <c:v>5219.3799999995472</c:v>
                </c:pt>
                <c:pt idx="267">
                  <c:v>5219.3799999995472</c:v>
                </c:pt>
                <c:pt idx="268">
                  <c:v>5219.3799999995472</c:v>
                </c:pt>
                <c:pt idx="269">
                  <c:v>5219.3799999995472</c:v>
                </c:pt>
                <c:pt idx="270">
                  <c:v>5219.3799999995472</c:v>
                </c:pt>
                <c:pt idx="271">
                  <c:v>5219.3799999995472</c:v>
                </c:pt>
                <c:pt idx="272">
                  <c:v>5219.3799999995472</c:v>
                </c:pt>
                <c:pt idx="273">
                  <c:v>5219.3799999995472</c:v>
                </c:pt>
                <c:pt idx="274">
                  <c:v>5219.3799999995472</c:v>
                </c:pt>
                <c:pt idx="275">
                  <c:v>5219.3799999995472</c:v>
                </c:pt>
                <c:pt idx="276">
                  <c:v>5219.3799999995472</c:v>
                </c:pt>
                <c:pt idx="277">
                  <c:v>5219.3799999995472</c:v>
                </c:pt>
                <c:pt idx="278">
                  <c:v>5219.3799999995472</c:v>
                </c:pt>
                <c:pt idx="279">
                  <c:v>5219.3799999995472</c:v>
                </c:pt>
                <c:pt idx="280">
                  <c:v>5219.3799999995472</c:v>
                </c:pt>
                <c:pt idx="281">
                  <c:v>5219.3799999995472</c:v>
                </c:pt>
                <c:pt idx="282">
                  <c:v>5219.3799999995472</c:v>
                </c:pt>
                <c:pt idx="283">
                  <c:v>4848.1799999997529</c:v>
                </c:pt>
                <c:pt idx="284">
                  <c:v>4830.7799999997524</c:v>
                </c:pt>
                <c:pt idx="285">
                  <c:v>4830.7799999997524</c:v>
                </c:pt>
                <c:pt idx="286">
                  <c:v>4830.7799999997524</c:v>
                </c:pt>
                <c:pt idx="287">
                  <c:v>4830.7799999997524</c:v>
                </c:pt>
                <c:pt idx="288">
                  <c:v>4830.7799999997524</c:v>
                </c:pt>
                <c:pt idx="289">
                  <c:v>4830.7799999997524</c:v>
                </c:pt>
                <c:pt idx="290">
                  <c:v>4830.7799999997524</c:v>
                </c:pt>
                <c:pt idx="291">
                  <c:v>4830.7799999997524</c:v>
                </c:pt>
                <c:pt idx="292">
                  <c:v>4830.7799999997524</c:v>
                </c:pt>
                <c:pt idx="293">
                  <c:v>4830.7799999997524</c:v>
                </c:pt>
                <c:pt idx="294">
                  <c:v>4859.779999999726</c:v>
                </c:pt>
                <c:pt idx="295">
                  <c:v>4859.779999999726</c:v>
                </c:pt>
                <c:pt idx="296">
                  <c:v>4859.779999999726</c:v>
                </c:pt>
                <c:pt idx="297">
                  <c:v>4859.779999999726</c:v>
                </c:pt>
                <c:pt idx="298">
                  <c:v>4859.779999999726</c:v>
                </c:pt>
                <c:pt idx="299">
                  <c:v>4859.779999999726</c:v>
                </c:pt>
                <c:pt idx="300">
                  <c:v>4859.779999999726</c:v>
                </c:pt>
                <c:pt idx="301">
                  <c:v>4859.779999999726</c:v>
                </c:pt>
                <c:pt idx="302">
                  <c:v>5243.779999999726</c:v>
                </c:pt>
                <c:pt idx="303">
                  <c:v>5313.3799999997282</c:v>
                </c:pt>
                <c:pt idx="304">
                  <c:v>5313.3799999997282</c:v>
                </c:pt>
                <c:pt idx="305">
                  <c:v>5313.3799999997282</c:v>
                </c:pt>
                <c:pt idx="306">
                  <c:v>5313.3799999997282</c:v>
                </c:pt>
                <c:pt idx="307">
                  <c:v>5313.3799999997282</c:v>
                </c:pt>
                <c:pt idx="308">
                  <c:v>5313.3799999997282</c:v>
                </c:pt>
                <c:pt idx="309">
                  <c:v>5313.3799999997282</c:v>
                </c:pt>
                <c:pt idx="310">
                  <c:v>5522.1799999997365</c:v>
                </c:pt>
                <c:pt idx="311">
                  <c:v>5522.1799999997365</c:v>
                </c:pt>
                <c:pt idx="312">
                  <c:v>5522.1799999997365</c:v>
                </c:pt>
                <c:pt idx="313">
                  <c:v>5522.1799999997365</c:v>
                </c:pt>
                <c:pt idx="314">
                  <c:v>5522.1799999997365</c:v>
                </c:pt>
                <c:pt idx="315">
                  <c:v>5261.1799999997265</c:v>
                </c:pt>
                <c:pt idx="316">
                  <c:v>5261.1799999997265</c:v>
                </c:pt>
                <c:pt idx="317">
                  <c:v>5261.1799999997265</c:v>
                </c:pt>
                <c:pt idx="318">
                  <c:v>5261.1799999997265</c:v>
                </c:pt>
                <c:pt idx="319">
                  <c:v>5261.1799999997265</c:v>
                </c:pt>
                <c:pt idx="320">
                  <c:v>5261.1799999997265</c:v>
                </c:pt>
                <c:pt idx="321">
                  <c:v>5261.1799999997265</c:v>
                </c:pt>
                <c:pt idx="322">
                  <c:v>5261.1799999997265</c:v>
                </c:pt>
                <c:pt idx="323">
                  <c:v>5261.1799999997265</c:v>
                </c:pt>
                <c:pt idx="324">
                  <c:v>5261.1799999997265</c:v>
                </c:pt>
                <c:pt idx="325">
                  <c:v>5261.1799999997265</c:v>
                </c:pt>
                <c:pt idx="326">
                  <c:v>5261.1799999997265</c:v>
                </c:pt>
                <c:pt idx="327">
                  <c:v>5261.1799999997265</c:v>
                </c:pt>
                <c:pt idx="328">
                  <c:v>5261.1799999997265</c:v>
                </c:pt>
                <c:pt idx="329">
                  <c:v>5261.1799999997265</c:v>
                </c:pt>
                <c:pt idx="330">
                  <c:v>5261.1799999997265</c:v>
                </c:pt>
                <c:pt idx="331">
                  <c:v>5261.1799999997265</c:v>
                </c:pt>
                <c:pt idx="332">
                  <c:v>5261.1799999997265</c:v>
                </c:pt>
                <c:pt idx="333">
                  <c:v>5261.1799999997265</c:v>
                </c:pt>
                <c:pt idx="334">
                  <c:v>5261.1799999997265</c:v>
                </c:pt>
                <c:pt idx="335">
                  <c:v>5261.1799999997265</c:v>
                </c:pt>
                <c:pt idx="336">
                  <c:v>5261.1799999997265</c:v>
                </c:pt>
                <c:pt idx="337">
                  <c:v>5261.1799999997265</c:v>
                </c:pt>
                <c:pt idx="338">
                  <c:v>5261.1799999997265</c:v>
                </c:pt>
                <c:pt idx="339">
                  <c:v>5261.1799999997265</c:v>
                </c:pt>
                <c:pt idx="340">
                  <c:v>5261.1799999997265</c:v>
                </c:pt>
                <c:pt idx="341">
                  <c:v>5261.1799999997265</c:v>
                </c:pt>
                <c:pt idx="342">
                  <c:v>5261.1799999997265</c:v>
                </c:pt>
                <c:pt idx="343">
                  <c:v>5261.1799999997265</c:v>
                </c:pt>
                <c:pt idx="344">
                  <c:v>5261.1799999997265</c:v>
                </c:pt>
                <c:pt idx="345">
                  <c:v>5261.1799999997265</c:v>
                </c:pt>
                <c:pt idx="346">
                  <c:v>5261.1799999997265</c:v>
                </c:pt>
                <c:pt idx="347">
                  <c:v>5261.1799999997265</c:v>
                </c:pt>
                <c:pt idx="348">
                  <c:v>5261.1799999997265</c:v>
                </c:pt>
                <c:pt idx="349">
                  <c:v>5261.1799999997265</c:v>
                </c:pt>
                <c:pt idx="350">
                  <c:v>5261.1799999997265</c:v>
                </c:pt>
                <c:pt idx="351">
                  <c:v>5261.1799999997265</c:v>
                </c:pt>
                <c:pt idx="352">
                  <c:v>5261.1799999997265</c:v>
                </c:pt>
                <c:pt idx="353">
                  <c:v>5261.1799999997265</c:v>
                </c:pt>
                <c:pt idx="354">
                  <c:v>5261.1799999997265</c:v>
                </c:pt>
                <c:pt idx="355">
                  <c:v>5261.1799999997265</c:v>
                </c:pt>
                <c:pt idx="356">
                  <c:v>5581.1799999997265</c:v>
                </c:pt>
                <c:pt idx="357">
                  <c:v>5610.1799999997002</c:v>
                </c:pt>
                <c:pt idx="358">
                  <c:v>5610.1799999997002</c:v>
                </c:pt>
                <c:pt idx="359">
                  <c:v>5610.1799999997002</c:v>
                </c:pt>
                <c:pt idx="360">
                  <c:v>5610.1799999997002</c:v>
                </c:pt>
                <c:pt idx="361">
                  <c:v>5610.1799999997002</c:v>
                </c:pt>
                <c:pt idx="362">
                  <c:v>5610.1799999997002</c:v>
                </c:pt>
                <c:pt idx="363">
                  <c:v>5610.1799999997002</c:v>
                </c:pt>
                <c:pt idx="364">
                  <c:v>5610.1799999997002</c:v>
                </c:pt>
                <c:pt idx="365">
                  <c:v>5610.1799999997002</c:v>
                </c:pt>
                <c:pt idx="366">
                  <c:v>5610.1799999997002</c:v>
                </c:pt>
                <c:pt idx="367">
                  <c:v>5610.1799999997002</c:v>
                </c:pt>
                <c:pt idx="368">
                  <c:v>5610.1799999997002</c:v>
                </c:pt>
                <c:pt idx="369">
                  <c:v>5610.1799999997002</c:v>
                </c:pt>
                <c:pt idx="370">
                  <c:v>5668.1799999997302</c:v>
                </c:pt>
                <c:pt idx="371">
                  <c:v>5668.1799999997302</c:v>
                </c:pt>
                <c:pt idx="372">
                  <c:v>5668.1799999997302</c:v>
                </c:pt>
                <c:pt idx="373">
                  <c:v>5668.1799999997302</c:v>
                </c:pt>
                <c:pt idx="374">
                  <c:v>5668.1799999997302</c:v>
                </c:pt>
                <c:pt idx="375">
                  <c:v>5668.1799999997302</c:v>
                </c:pt>
                <c:pt idx="376">
                  <c:v>5668.1799999997302</c:v>
                </c:pt>
                <c:pt idx="377">
                  <c:v>5546.3799999996427</c:v>
                </c:pt>
                <c:pt idx="378">
                  <c:v>5546.3799999996427</c:v>
                </c:pt>
                <c:pt idx="379">
                  <c:v>5546.3799999996427</c:v>
                </c:pt>
                <c:pt idx="380">
                  <c:v>5546.3799999996427</c:v>
                </c:pt>
                <c:pt idx="381">
                  <c:v>5866.3799999996427</c:v>
                </c:pt>
                <c:pt idx="382">
                  <c:v>5866.3799999996427</c:v>
                </c:pt>
                <c:pt idx="383">
                  <c:v>5866.3799999996427</c:v>
                </c:pt>
                <c:pt idx="384">
                  <c:v>5866.3799999996427</c:v>
                </c:pt>
                <c:pt idx="385">
                  <c:v>5866.3799999996427</c:v>
                </c:pt>
                <c:pt idx="386">
                  <c:v>5866.3799999996427</c:v>
                </c:pt>
                <c:pt idx="387">
                  <c:v>5866.3799999996427</c:v>
                </c:pt>
                <c:pt idx="388">
                  <c:v>5866.3799999996427</c:v>
                </c:pt>
                <c:pt idx="389">
                  <c:v>5866.3799999996427</c:v>
                </c:pt>
                <c:pt idx="390">
                  <c:v>6166.3799999996427</c:v>
                </c:pt>
                <c:pt idx="391">
                  <c:v>6466.3799999996427</c:v>
                </c:pt>
                <c:pt idx="392">
                  <c:v>7208.7799999998906</c:v>
                </c:pt>
                <c:pt idx="393">
                  <c:v>7080.7799999999161</c:v>
                </c:pt>
                <c:pt idx="394">
                  <c:v>6632.7799999999161</c:v>
                </c:pt>
                <c:pt idx="395">
                  <c:v>7080.7799999999161</c:v>
                </c:pt>
                <c:pt idx="396">
                  <c:v>7080.7799999999161</c:v>
                </c:pt>
                <c:pt idx="397">
                  <c:v>7080.7799999999161</c:v>
                </c:pt>
                <c:pt idx="398">
                  <c:v>7080.7799999999161</c:v>
                </c:pt>
                <c:pt idx="399">
                  <c:v>7080.7799999999161</c:v>
                </c:pt>
                <c:pt idx="400">
                  <c:v>6408.7799999999179</c:v>
                </c:pt>
                <c:pt idx="401">
                  <c:v>6408.7799999999179</c:v>
                </c:pt>
                <c:pt idx="402">
                  <c:v>6408.7799999999179</c:v>
                </c:pt>
                <c:pt idx="403">
                  <c:v>6408.7799999999179</c:v>
                </c:pt>
                <c:pt idx="404">
                  <c:v>6408.7799999999179</c:v>
                </c:pt>
                <c:pt idx="405">
                  <c:v>6408.7799999999179</c:v>
                </c:pt>
                <c:pt idx="406">
                  <c:v>6408.7799999999179</c:v>
                </c:pt>
                <c:pt idx="407">
                  <c:v>6408.7799999999179</c:v>
                </c:pt>
                <c:pt idx="408">
                  <c:v>6408.7799999999179</c:v>
                </c:pt>
                <c:pt idx="409">
                  <c:v>6408.7799999999179</c:v>
                </c:pt>
                <c:pt idx="410">
                  <c:v>6408.7799999999179</c:v>
                </c:pt>
                <c:pt idx="411">
                  <c:v>6408.7799999999179</c:v>
                </c:pt>
                <c:pt idx="412">
                  <c:v>6408.7799999999179</c:v>
                </c:pt>
                <c:pt idx="413">
                  <c:v>6408.7799999999179</c:v>
                </c:pt>
                <c:pt idx="414">
                  <c:v>6408.7799999999179</c:v>
                </c:pt>
                <c:pt idx="415">
                  <c:v>6408.7799999999179</c:v>
                </c:pt>
                <c:pt idx="416">
                  <c:v>6408.7799999999179</c:v>
                </c:pt>
                <c:pt idx="417">
                  <c:v>6408.7799999999179</c:v>
                </c:pt>
                <c:pt idx="418">
                  <c:v>6408.7799999999179</c:v>
                </c:pt>
                <c:pt idx="419">
                  <c:v>6408.7799999999179</c:v>
                </c:pt>
                <c:pt idx="420">
                  <c:v>6408.7799999999179</c:v>
                </c:pt>
                <c:pt idx="421">
                  <c:v>6408.7799999999179</c:v>
                </c:pt>
                <c:pt idx="422">
                  <c:v>6408.7799999999179</c:v>
                </c:pt>
                <c:pt idx="423">
                  <c:v>6408.7799999999179</c:v>
                </c:pt>
                <c:pt idx="424">
                  <c:v>6408.7799999999179</c:v>
                </c:pt>
                <c:pt idx="425">
                  <c:v>6408.7799999999179</c:v>
                </c:pt>
                <c:pt idx="426">
                  <c:v>6408.7799999999179</c:v>
                </c:pt>
                <c:pt idx="427">
                  <c:v>6408.7799999999179</c:v>
                </c:pt>
                <c:pt idx="428">
                  <c:v>6379.7799999998615</c:v>
                </c:pt>
                <c:pt idx="429">
                  <c:v>6379.7799999998615</c:v>
                </c:pt>
                <c:pt idx="430">
                  <c:v>6379.7799999998615</c:v>
                </c:pt>
                <c:pt idx="431">
                  <c:v>6379.7799999998615</c:v>
                </c:pt>
                <c:pt idx="432">
                  <c:v>6379.7799999998615</c:v>
                </c:pt>
                <c:pt idx="433">
                  <c:v>6379.7799999998615</c:v>
                </c:pt>
                <c:pt idx="434">
                  <c:v>6379.7799999998615</c:v>
                </c:pt>
                <c:pt idx="435">
                  <c:v>6379.7799999998615</c:v>
                </c:pt>
                <c:pt idx="436">
                  <c:v>6379.7799999998615</c:v>
                </c:pt>
                <c:pt idx="437">
                  <c:v>6699.7799999998615</c:v>
                </c:pt>
                <c:pt idx="438">
                  <c:v>6699.7799999998615</c:v>
                </c:pt>
                <c:pt idx="439">
                  <c:v>6699.7799999998615</c:v>
                </c:pt>
                <c:pt idx="440">
                  <c:v>6699.7799999998615</c:v>
                </c:pt>
                <c:pt idx="441">
                  <c:v>6699.7799999998615</c:v>
                </c:pt>
                <c:pt idx="442">
                  <c:v>6699.7799999998615</c:v>
                </c:pt>
                <c:pt idx="443">
                  <c:v>6699.7799999998615</c:v>
                </c:pt>
                <c:pt idx="444">
                  <c:v>6699.7799999998615</c:v>
                </c:pt>
                <c:pt idx="445">
                  <c:v>6699.7799999998615</c:v>
                </c:pt>
                <c:pt idx="446">
                  <c:v>6699.7799999998615</c:v>
                </c:pt>
                <c:pt idx="447">
                  <c:v>6699.7799999998615</c:v>
                </c:pt>
                <c:pt idx="448">
                  <c:v>6525.7799999998551</c:v>
                </c:pt>
                <c:pt idx="449">
                  <c:v>6525.7799999998551</c:v>
                </c:pt>
                <c:pt idx="450">
                  <c:v>6525.7799999998551</c:v>
                </c:pt>
                <c:pt idx="451">
                  <c:v>6525.7799999998551</c:v>
                </c:pt>
                <c:pt idx="452">
                  <c:v>6525.7799999998551</c:v>
                </c:pt>
                <c:pt idx="453">
                  <c:v>6525.7799999998551</c:v>
                </c:pt>
                <c:pt idx="454">
                  <c:v>6525.7799999998551</c:v>
                </c:pt>
                <c:pt idx="455">
                  <c:v>6612.7799999990339</c:v>
                </c:pt>
                <c:pt idx="456">
                  <c:v>7012.7799999992385</c:v>
                </c:pt>
                <c:pt idx="457">
                  <c:v>7012.7799999992385</c:v>
                </c:pt>
                <c:pt idx="458">
                  <c:v>7012.7799999992385</c:v>
                </c:pt>
                <c:pt idx="459">
                  <c:v>7012.7799999992385</c:v>
                </c:pt>
                <c:pt idx="460">
                  <c:v>7012.7799999992385</c:v>
                </c:pt>
                <c:pt idx="461">
                  <c:v>7012.7799999992385</c:v>
                </c:pt>
                <c:pt idx="462">
                  <c:v>7128.779999999133</c:v>
                </c:pt>
                <c:pt idx="463">
                  <c:v>7128.779999999133</c:v>
                </c:pt>
                <c:pt idx="464">
                  <c:v>7128.779999999133</c:v>
                </c:pt>
                <c:pt idx="465">
                  <c:v>7128.779999999133</c:v>
                </c:pt>
                <c:pt idx="466">
                  <c:v>7128.779999999133</c:v>
                </c:pt>
                <c:pt idx="467">
                  <c:v>7128.779999999133</c:v>
                </c:pt>
                <c:pt idx="468">
                  <c:v>7128.779999999133</c:v>
                </c:pt>
                <c:pt idx="469">
                  <c:v>7128.779999999133</c:v>
                </c:pt>
                <c:pt idx="470">
                  <c:v>7128.779999999133</c:v>
                </c:pt>
                <c:pt idx="471">
                  <c:v>7128.779999999133</c:v>
                </c:pt>
                <c:pt idx="472">
                  <c:v>7128.779999999133</c:v>
                </c:pt>
                <c:pt idx="473">
                  <c:v>7128.779999999133</c:v>
                </c:pt>
                <c:pt idx="474">
                  <c:v>7528.779999999133</c:v>
                </c:pt>
                <c:pt idx="475">
                  <c:v>7528.779999999133</c:v>
                </c:pt>
                <c:pt idx="476">
                  <c:v>7528.779999999133</c:v>
                </c:pt>
                <c:pt idx="477">
                  <c:v>8488.779999999133</c:v>
                </c:pt>
                <c:pt idx="478">
                  <c:v>8488.779999999133</c:v>
                </c:pt>
                <c:pt idx="479">
                  <c:v>8488.779999999133</c:v>
                </c:pt>
                <c:pt idx="480">
                  <c:v>8488.779999999133</c:v>
                </c:pt>
                <c:pt idx="481">
                  <c:v>9254.3799999993262</c:v>
                </c:pt>
                <c:pt idx="482">
                  <c:v>9254.3799999993262</c:v>
                </c:pt>
                <c:pt idx="483">
                  <c:v>9254.3799999993262</c:v>
                </c:pt>
                <c:pt idx="484">
                  <c:v>9254.3799999993262</c:v>
                </c:pt>
                <c:pt idx="485">
                  <c:v>9254.3799999993262</c:v>
                </c:pt>
                <c:pt idx="486">
                  <c:v>9254.3799999993262</c:v>
                </c:pt>
                <c:pt idx="487">
                  <c:v>9254.3799999993262</c:v>
                </c:pt>
                <c:pt idx="488">
                  <c:v>9254.3799999993262</c:v>
                </c:pt>
                <c:pt idx="489">
                  <c:v>9254.3799999993262</c:v>
                </c:pt>
                <c:pt idx="490">
                  <c:v>9254.3799999993262</c:v>
                </c:pt>
                <c:pt idx="491">
                  <c:v>9254.3799999993262</c:v>
                </c:pt>
                <c:pt idx="492">
                  <c:v>9254.3799999993262</c:v>
                </c:pt>
                <c:pt idx="493">
                  <c:v>9254.3799999993262</c:v>
                </c:pt>
                <c:pt idx="494">
                  <c:v>9254.3799999993262</c:v>
                </c:pt>
                <c:pt idx="495">
                  <c:v>9254.3799999993262</c:v>
                </c:pt>
                <c:pt idx="496">
                  <c:v>9254.3799999993262</c:v>
                </c:pt>
                <c:pt idx="497">
                  <c:v>9254.3799999993262</c:v>
                </c:pt>
                <c:pt idx="498">
                  <c:v>9254.3799999993262</c:v>
                </c:pt>
                <c:pt idx="499">
                  <c:v>9254.3799999993262</c:v>
                </c:pt>
                <c:pt idx="500">
                  <c:v>9254.3799999993262</c:v>
                </c:pt>
                <c:pt idx="501">
                  <c:v>9254.3799999993262</c:v>
                </c:pt>
                <c:pt idx="502">
                  <c:v>9254.3799999993262</c:v>
                </c:pt>
                <c:pt idx="503">
                  <c:v>9254.3799999993262</c:v>
                </c:pt>
                <c:pt idx="504">
                  <c:v>9254.3799999993262</c:v>
                </c:pt>
                <c:pt idx="505">
                  <c:v>9254.3799999993262</c:v>
                </c:pt>
                <c:pt idx="506">
                  <c:v>9254.3799999993262</c:v>
                </c:pt>
                <c:pt idx="507">
                  <c:v>9254.3799999993262</c:v>
                </c:pt>
                <c:pt idx="508">
                  <c:v>9254.3799999993262</c:v>
                </c:pt>
                <c:pt idx="509">
                  <c:v>9225.3799999992698</c:v>
                </c:pt>
                <c:pt idx="510">
                  <c:v>9225.3799999992698</c:v>
                </c:pt>
                <c:pt idx="511">
                  <c:v>9225.3799999992698</c:v>
                </c:pt>
                <c:pt idx="512">
                  <c:v>9225.3799999992698</c:v>
                </c:pt>
                <c:pt idx="513">
                  <c:v>9225.3799999992698</c:v>
                </c:pt>
                <c:pt idx="514">
                  <c:v>9225.3799999992698</c:v>
                </c:pt>
                <c:pt idx="515">
                  <c:v>9225.3799999992698</c:v>
                </c:pt>
                <c:pt idx="516">
                  <c:v>9225.3799999992698</c:v>
                </c:pt>
                <c:pt idx="517">
                  <c:v>9225.3799999992698</c:v>
                </c:pt>
                <c:pt idx="518">
                  <c:v>9225.3799999992698</c:v>
                </c:pt>
                <c:pt idx="519">
                  <c:v>9225.3799999992698</c:v>
                </c:pt>
                <c:pt idx="520">
                  <c:v>9225.3799999992698</c:v>
                </c:pt>
                <c:pt idx="521">
                  <c:v>9225.3799999992698</c:v>
                </c:pt>
                <c:pt idx="522">
                  <c:v>9225.3799999992698</c:v>
                </c:pt>
                <c:pt idx="523">
                  <c:v>9225.3799999992698</c:v>
                </c:pt>
                <c:pt idx="524">
                  <c:v>9225.3799999992698</c:v>
                </c:pt>
                <c:pt idx="525">
                  <c:v>9225.3799999992698</c:v>
                </c:pt>
                <c:pt idx="526">
                  <c:v>9225.3799999992698</c:v>
                </c:pt>
                <c:pt idx="527">
                  <c:v>9225.3799999992698</c:v>
                </c:pt>
                <c:pt idx="528">
                  <c:v>9225.3799999992698</c:v>
                </c:pt>
                <c:pt idx="529">
                  <c:v>9225.3799999992698</c:v>
                </c:pt>
                <c:pt idx="530">
                  <c:v>9225.3799999992698</c:v>
                </c:pt>
                <c:pt idx="531">
                  <c:v>9225.3799999992698</c:v>
                </c:pt>
                <c:pt idx="532">
                  <c:v>9225.3799999992698</c:v>
                </c:pt>
                <c:pt idx="533">
                  <c:v>9225.3799999992698</c:v>
                </c:pt>
                <c:pt idx="534">
                  <c:v>9225.3799999992698</c:v>
                </c:pt>
                <c:pt idx="535">
                  <c:v>9225.3799999992698</c:v>
                </c:pt>
                <c:pt idx="536">
                  <c:v>9225.3799999992698</c:v>
                </c:pt>
                <c:pt idx="537">
                  <c:v>9225.3799999992698</c:v>
                </c:pt>
                <c:pt idx="538">
                  <c:v>9225.3799999992698</c:v>
                </c:pt>
                <c:pt idx="539">
                  <c:v>9225.3799999992698</c:v>
                </c:pt>
                <c:pt idx="540">
                  <c:v>9225.3799999992698</c:v>
                </c:pt>
                <c:pt idx="541">
                  <c:v>9225.3799999992698</c:v>
                </c:pt>
                <c:pt idx="542">
                  <c:v>9225.3799999992698</c:v>
                </c:pt>
                <c:pt idx="543">
                  <c:v>9225.3799999992698</c:v>
                </c:pt>
                <c:pt idx="544">
                  <c:v>9109.3799999992098</c:v>
                </c:pt>
                <c:pt idx="545">
                  <c:v>9109.3799999992098</c:v>
                </c:pt>
                <c:pt idx="546">
                  <c:v>9109.3799999992098</c:v>
                </c:pt>
                <c:pt idx="547">
                  <c:v>9109.3799999992098</c:v>
                </c:pt>
                <c:pt idx="548">
                  <c:v>9109.3799999992098</c:v>
                </c:pt>
                <c:pt idx="549">
                  <c:v>9109.3799999992098</c:v>
                </c:pt>
                <c:pt idx="550">
                  <c:v>9109.3799999992098</c:v>
                </c:pt>
                <c:pt idx="551">
                  <c:v>9109.3799999992098</c:v>
                </c:pt>
                <c:pt idx="552">
                  <c:v>9109.3799999992098</c:v>
                </c:pt>
                <c:pt idx="553">
                  <c:v>9109.3799999992098</c:v>
                </c:pt>
                <c:pt idx="554">
                  <c:v>9109.3799999992098</c:v>
                </c:pt>
                <c:pt idx="555">
                  <c:v>9430.1799999983141</c:v>
                </c:pt>
                <c:pt idx="556">
                  <c:v>9109.3799999992098</c:v>
                </c:pt>
                <c:pt idx="557">
                  <c:v>8993.3799999992334</c:v>
                </c:pt>
                <c:pt idx="558">
                  <c:v>8993.3799999992334</c:v>
                </c:pt>
                <c:pt idx="559">
                  <c:v>8993.3799999992334</c:v>
                </c:pt>
                <c:pt idx="560">
                  <c:v>8993.3799999992334</c:v>
                </c:pt>
                <c:pt idx="561">
                  <c:v>8993.3799999992334</c:v>
                </c:pt>
                <c:pt idx="562">
                  <c:v>8993.3799999992334</c:v>
                </c:pt>
                <c:pt idx="563">
                  <c:v>8993.3799999992334</c:v>
                </c:pt>
                <c:pt idx="564">
                  <c:v>8993.3799999992334</c:v>
                </c:pt>
                <c:pt idx="565">
                  <c:v>8993.3799999992334</c:v>
                </c:pt>
                <c:pt idx="566">
                  <c:v>8993.3799999992334</c:v>
                </c:pt>
                <c:pt idx="567">
                  <c:v>8993.3799999992334</c:v>
                </c:pt>
                <c:pt idx="568">
                  <c:v>9563.1799999983832</c:v>
                </c:pt>
                <c:pt idx="569">
                  <c:v>8993.3799999992334</c:v>
                </c:pt>
                <c:pt idx="570">
                  <c:v>8993.3799999992334</c:v>
                </c:pt>
                <c:pt idx="571">
                  <c:v>9563.1799999983832</c:v>
                </c:pt>
                <c:pt idx="572">
                  <c:v>8993.3799999992334</c:v>
                </c:pt>
                <c:pt idx="573">
                  <c:v>8993.3799999992334</c:v>
                </c:pt>
                <c:pt idx="574">
                  <c:v>8993.3799999992334</c:v>
                </c:pt>
                <c:pt idx="575">
                  <c:v>9563.1799999983832</c:v>
                </c:pt>
                <c:pt idx="576">
                  <c:v>9430.1799999983141</c:v>
                </c:pt>
                <c:pt idx="577">
                  <c:v>8993.3799999992334</c:v>
                </c:pt>
                <c:pt idx="578">
                  <c:v>8993.3799999992334</c:v>
                </c:pt>
                <c:pt idx="579">
                  <c:v>8993.3799999992334</c:v>
                </c:pt>
                <c:pt idx="580">
                  <c:v>8993.3799999992334</c:v>
                </c:pt>
                <c:pt idx="581">
                  <c:v>8993.3799999992334</c:v>
                </c:pt>
                <c:pt idx="582">
                  <c:v>8993.3799999992334</c:v>
                </c:pt>
                <c:pt idx="583">
                  <c:v>9793.3799999992334</c:v>
                </c:pt>
                <c:pt idx="584">
                  <c:v>8993.3799999992334</c:v>
                </c:pt>
                <c:pt idx="585">
                  <c:v>8993.3799999992334</c:v>
                </c:pt>
                <c:pt idx="586">
                  <c:v>9793.3799999992334</c:v>
                </c:pt>
                <c:pt idx="587">
                  <c:v>8993.3799999992334</c:v>
                </c:pt>
                <c:pt idx="588">
                  <c:v>8993.3799999992334</c:v>
                </c:pt>
                <c:pt idx="589">
                  <c:v>9793.3799999992334</c:v>
                </c:pt>
                <c:pt idx="590">
                  <c:v>9793.3799999992334</c:v>
                </c:pt>
                <c:pt idx="591">
                  <c:v>9793.3799999992334</c:v>
                </c:pt>
                <c:pt idx="592">
                  <c:v>9793.3799999992334</c:v>
                </c:pt>
                <c:pt idx="593">
                  <c:v>9793.3799999992334</c:v>
                </c:pt>
                <c:pt idx="594">
                  <c:v>9793.3799999992334</c:v>
                </c:pt>
                <c:pt idx="595">
                  <c:v>9793.3799999992334</c:v>
                </c:pt>
                <c:pt idx="596">
                  <c:v>9793.3799999992334</c:v>
                </c:pt>
                <c:pt idx="597">
                  <c:v>9793.3799999992334</c:v>
                </c:pt>
                <c:pt idx="598">
                  <c:v>9793.3799999992334</c:v>
                </c:pt>
                <c:pt idx="599">
                  <c:v>9793.3799999992334</c:v>
                </c:pt>
                <c:pt idx="600">
                  <c:v>9793.3799999992334</c:v>
                </c:pt>
                <c:pt idx="601">
                  <c:v>9793.3799999992334</c:v>
                </c:pt>
                <c:pt idx="602">
                  <c:v>9793.3799999992334</c:v>
                </c:pt>
                <c:pt idx="603">
                  <c:v>9793.3799999992334</c:v>
                </c:pt>
                <c:pt idx="604">
                  <c:v>9793.3799999992334</c:v>
                </c:pt>
                <c:pt idx="605">
                  <c:v>9793.3799999992334</c:v>
                </c:pt>
                <c:pt idx="606">
                  <c:v>9793.3799999992334</c:v>
                </c:pt>
                <c:pt idx="607">
                  <c:v>9793.3799999992334</c:v>
                </c:pt>
                <c:pt idx="608">
                  <c:v>9793.3799999992334</c:v>
                </c:pt>
                <c:pt idx="609">
                  <c:v>9793.3799999992334</c:v>
                </c:pt>
                <c:pt idx="610">
                  <c:v>9793.3799999992334</c:v>
                </c:pt>
                <c:pt idx="611">
                  <c:v>9793.3799999992334</c:v>
                </c:pt>
                <c:pt idx="612">
                  <c:v>9793.3799999992334</c:v>
                </c:pt>
                <c:pt idx="613">
                  <c:v>9793.3799999992334</c:v>
                </c:pt>
                <c:pt idx="614">
                  <c:v>9793.3799999992334</c:v>
                </c:pt>
                <c:pt idx="615">
                  <c:v>9793.3799999992334</c:v>
                </c:pt>
                <c:pt idx="616">
                  <c:v>9793.3799999992334</c:v>
                </c:pt>
                <c:pt idx="617">
                  <c:v>9793.3799999992334</c:v>
                </c:pt>
                <c:pt idx="618">
                  <c:v>9793.3799999992334</c:v>
                </c:pt>
                <c:pt idx="619">
                  <c:v>9793.3799999992334</c:v>
                </c:pt>
                <c:pt idx="620">
                  <c:v>9563.1799999983832</c:v>
                </c:pt>
                <c:pt idx="621">
                  <c:v>9793.3799999992334</c:v>
                </c:pt>
                <c:pt idx="622">
                  <c:v>9793.3799999992334</c:v>
                </c:pt>
                <c:pt idx="623">
                  <c:v>9793.3799999992334</c:v>
                </c:pt>
                <c:pt idx="624">
                  <c:v>9793.3799999992334</c:v>
                </c:pt>
                <c:pt idx="625">
                  <c:v>9793.3799999992334</c:v>
                </c:pt>
                <c:pt idx="626">
                  <c:v>9793.3799999992334</c:v>
                </c:pt>
                <c:pt idx="627">
                  <c:v>9563.1799999983832</c:v>
                </c:pt>
                <c:pt idx="628">
                  <c:v>9793.3799999992334</c:v>
                </c:pt>
                <c:pt idx="629">
                  <c:v>9793.3799999992334</c:v>
                </c:pt>
                <c:pt idx="630">
                  <c:v>9793.3799999992334</c:v>
                </c:pt>
                <c:pt idx="631">
                  <c:v>9793.3799999992334</c:v>
                </c:pt>
                <c:pt idx="632">
                  <c:v>9793.3799999992334</c:v>
                </c:pt>
                <c:pt idx="633">
                  <c:v>9793.3799999992334</c:v>
                </c:pt>
                <c:pt idx="634">
                  <c:v>9793.3799999992334</c:v>
                </c:pt>
                <c:pt idx="635">
                  <c:v>9793.3799999992334</c:v>
                </c:pt>
                <c:pt idx="636">
                  <c:v>9793.3799999992334</c:v>
                </c:pt>
                <c:pt idx="637">
                  <c:v>9793.3799999992334</c:v>
                </c:pt>
                <c:pt idx="638">
                  <c:v>9793.3799999992334</c:v>
                </c:pt>
                <c:pt idx="639">
                  <c:v>9563.1799999983832</c:v>
                </c:pt>
                <c:pt idx="640">
                  <c:v>9793.3799999992334</c:v>
                </c:pt>
                <c:pt idx="641">
                  <c:v>9793.3799999992334</c:v>
                </c:pt>
                <c:pt idx="642">
                  <c:v>9563.1799999983832</c:v>
                </c:pt>
                <c:pt idx="643">
                  <c:v>9793.3799999992334</c:v>
                </c:pt>
                <c:pt idx="644">
                  <c:v>9793.3799999992334</c:v>
                </c:pt>
                <c:pt idx="645">
                  <c:v>10931.179999998967</c:v>
                </c:pt>
                <c:pt idx="646">
                  <c:v>9793.3799999992334</c:v>
                </c:pt>
                <c:pt idx="647">
                  <c:v>10931.179999998967</c:v>
                </c:pt>
                <c:pt idx="648">
                  <c:v>9793.3799999992334</c:v>
                </c:pt>
                <c:pt idx="649">
                  <c:v>9793.3799999992334</c:v>
                </c:pt>
                <c:pt idx="650">
                  <c:v>9793.3799999992334</c:v>
                </c:pt>
                <c:pt idx="651">
                  <c:v>9793.3799999992334</c:v>
                </c:pt>
                <c:pt idx="652">
                  <c:v>9793.3799999992334</c:v>
                </c:pt>
                <c:pt idx="653">
                  <c:v>9793.3799999992334</c:v>
                </c:pt>
                <c:pt idx="654">
                  <c:v>9793.3799999992334</c:v>
                </c:pt>
                <c:pt idx="655">
                  <c:v>9793.3799999992334</c:v>
                </c:pt>
                <c:pt idx="656">
                  <c:v>9793.3799999992334</c:v>
                </c:pt>
                <c:pt idx="657">
                  <c:v>9793.3799999992334</c:v>
                </c:pt>
                <c:pt idx="658">
                  <c:v>9567.1799999991417</c:v>
                </c:pt>
                <c:pt idx="659">
                  <c:v>9567.1799999991417</c:v>
                </c:pt>
                <c:pt idx="660">
                  <c:v>9567.1799999991417</c:v>
                </c:pt>
                <c:pt idx="661">
                  <c:v>9567.1799999991417</c:v>
                </c:pt>
                <c:pt idx="662">
                  <c:v>9567.1799999991417</c:v>
                </c:pt>
                <c:pt idx="663">
                  <c:v>9567.1799999991417</c:v>
                </c:pt>
                <c:pt idx="664">
                  <c:v>9567.1799999991417</c:v>
                </c:pt>
                <c:pt idx="665">
                  <c:v>9567.1799999991417</c:v>
                </c:pt>
                <c:pt idx="666">
                  <c:v>10931.179999998967</c:v>
                </c:pt>
                <c:pt idx="667">
                  <c:v>9567.1799999991417</c:v>
                </c:pt>
                <c:pt idx="668">
                  <c:v>9567.1799999991417</c:v>
                </c:pt>
                <c:pt idx="669">
                  <c:v>9567.1799999991417</c:v>
                </c:pt>
                <c:pt idx="670">
                  <c:v>9567.1799999991417</c:v>
                </c:pt>
                <c:pt idx="671">
                  <c:v>9567.1799999991417</c:v>
                </c:pt>
                <c:pt idx="672">
                  <c:v>9567.1799999991417</c:v>
                </c:pt>
                <c:pt idx="673">
                  <c:v>9567.1799999991417</c:v>
                </c:pt>
                <c:pt idx="674">
                  <c:v>9567.1799999991417</c:v>
                </c:pt>
                <c:pt idx="675">
                  <c:v>9567.1799999991417</c:v>
                </c:pt>
                <c:pt idx="676">
                  <c:v>9567.1799999991417</c:v>
                </c:pt>
                <c:pt idx="677">
                  <c:v>9567.1799999991417</c:v>
                </c:pt>
                <c:pt idx="678">
                  <c:v>9567.1799999991417</c:v>
                </c:pt>
                <c:pt idx="679">
                  <c:v>9567.1799999991417</c:v>
                </c:pt>
                <c:pt idx="680">
                  <c:v>9567.1799999991417</c:v>
                </c:pt>
                <c:pt idx="681">
                  <c:v>9567.1799999991417</c:v>
                </c:pt>
                <c:pt idx="682">
                  <c:v>9567.1799999991417</c:v>
                </c:pt>
                <c:pt idx="683">
                  <c:v>9567.1799999991417</c:v>
                </c:pt>
                <c:pt idx="684">
                  <c:v>9567.1799999991417</c:v>
                </c:pt>
                <c:pt idx="685">
                  <c:v>9567.1799999991417</c:v>
                </c:pt>
                <c:pt idx="686">
                  <c:v>9567.1799999991417</c:v>
                </c:pt>
                <c:pt idx="687">
                  <c:v>9567.1799999991417</c:v>
                </c:pt>
                <c:pt idx="688">
                  <c:v>9567.1799999991417</c:v>
                </c:pt>
                <c:pt idx="689">
                  <c:v>9567.1799999991417</c:v>
                </c:pt>
                <c:pt idx="690">
                  <c:v>9567.1799999991417</c:v>
                </c:pt>
                <c:pt idx="691">
                  <c:v>9567.1799999991417</c:v>
                </c:pt>
                <c:pt idx="692">
                  <c:v>9567.1799999991417</c:v>
                </c:pt>
                <c:pt idx="693">
                  <c:v>9567.1799999991417</c:v>
                </c:pt>
                <c:pt idx="694">
                  <c:v>9567.1799999991417</c:v>
                </c:pt>
                <c:pt idx="695">
                  <c:v>9567.1799999991417</c:v>
                </c:pt>
                <c:pt idx="696">
                  <c:v>9567.1799999991417</c:v>
                </c:pt>
                <c:pt idx="697">
                  <c:v>9567.1799999991417</c:v>
                </c:pt>
                <c:pt idx="698">
                  <c:v>9567.1799999991417</c:v>
                </c:pt>
                <c:pt idx="699">
                  <c:v>9567.1799999991417</c:v>
                </c:pt>
                <c:pt idx="700">
                  <c:v>9567.1799999991417</c:v>
                </c:pt>
                <c:pt idx="701">
                  <c:v>9567.1799999991417</c:v>
                </c:pt>
                <c:pt idx="702">
                  <c:v>10931.179999998967</c:v>
                </c:pt>
                <c:pt idx="703">
                  <c:v>9567.1799999991417</c:v>
                </c:pt>
                <c:pt idx="704">
                  <c:v>9915.1799999990726</c:v>
                </c:pt>
                <c:pt idx="705">
                  <c:v>9915.1799999990726</c:v>
                </c:pt>
                <c:pt idx="706">
                  <c:v>10215.179999999073</c:v>
                </c:pt>
                <c:pt idx="707">
                  <c:v>10815.179999999073</c:v>
                </c:pt>
                <c:pt idx="708">
                  <c:v>10815.179999999073</c:v>
                </c:pt>
                <c:pt idx="709">
                  <c:v>10815.179999999073</c:v>
                </c:pt>
                <c:pt idx="710">
                  <c:v>10815.179999999073</c:v>
                </c:pt>
                <c:pt idx="711">
                  <c:v>10931.179999998967</c:v>
                </c:pt>
                <c:pt idx="712">
                  <c:v>10815.179999999073</c:v>
                </c:pt>
                <c:pt idx="713">
                  <c:v>10815.179999999073</c:v>
                </c:pt>
                <c:pt idx="714">
                  <c:v>10931.179999998967</c:v>
                </c:pt>
                <c:pt idx="715">
                  <c:v>10931.179999998967</c:v>
                </c:pt>
                <c:pt idx="716">
                  <c:v>10931.179999998967</c:v>
                </c:pt>
                <c:pt idx="717">
                  <c:v>10931.179999998967</c:v>
                </c:pt>
                <c:pt idx="718">
                  <c:v>10931.179999998967</c:v>
                </c:pt>
                <c:pt idx="719">
                  <c:v>10931.179999998967</c:v>
                </c:pt>
                <c:pt idx="720">
                  <c:v>10931.179999998967</c:v>
                </c:pt>
                <c:pt idx="721">
                  <c:v>10931.179999998967</c:v>
                </c:pt>
                <c:pt idx="722">
                  <c:v>10931.179999998967</c:v>
                </c:pt>
                <c:pt idx="723">
                  <c:v>10931.179999998967</c:v>
                </c:pt>
                <c:pt idx="724">
                  <c:v>10931.179999998967</c:v>
                </c:pt>
                <c:pt idx="725">
                  <c:v>10931.179999998967</c:v>
                </c:pt>
                <c:pt idx="726">
                  <c:v>10931.179999998967</c:v>
                </c:pt>
                <c:pt idx="727">
                  <c:v>10931.179999998967</c:v>
                </c:pt>
                <c:pt idx="728">
                  <c:v>10931.179999998967</c:v>
                </c:pt>
                <c:pt idx="729">
                  <c:v>10931.179999998967</c:v>
                </c:pt>
                <c:pt idx="730">
                  <c:v>10931.179999998967</c:v>
                </c:pt>
                <c:pt idx="731">
                  <c:v>9563.1799999983832</c:v>
                </c:pt>
                <c:pt idx="732">
                  <c:v>8875.1799999983887</c:v>
                </c:pt>
                <c:pt idx="733">
                  <c:v>10931.179999998967</c:v>
                </c:pt>
                <c:pt idx="734">
                  <c:v>10931.179999998967</c:v>
                </c:pt>
                <c:pt idx="735">
                  <c:v>10931.179999998967</c:v>
                </c:pt>
                <c:pt idx="736">
                  <c:v>10931.179999998967</c:v>
                </c:pt>
                <c:pt idx="737">
                  <c:v>10931.179999998967</c:v>
                </c:pt>
                <c:pt idx="738">
                  <c:v>8875.1799999983887</c:v>
                </c:pt>
                <c:pt idx="739">
                  <c:v>10931.179999998967</c:v>
                </c:pt>
                <c:pt idx="740">
                  <c:v>10931.179999998967</c:v>
                </c:pt>
                <c:pt idx="741">
                  <c:v>12131.179999998967</c:v>
                </c:pt>
                <c:pt idx="742">
                  <c:v>10931.179999998967</c:v>
                </c:pt>
                <c:pt idx="743">
                  <c:v>10931.179999998967</c:v>
                </c:pt>
                <c:pt idx="744">
                  <c:v>10931.179999998967</c:v>
                </c:pt>
                <c:pt idx="745">
                  <c:v>10931.179999998967</c:v>
                </c:pt>
                <c:pt idx="746">
                  <c:v>12131.179999998967</c:v>
                </c:pt>
                <c:pt idx="747">
                  <c:v>10931.179999998967</c:v>
                </c:pt>
                <c:pt idx="748">
                  <c:v>10931.179999998967</c:v>
                </c:pt>
                <c:pt idx="749">
                  <c:v>10931.179999998967</c:v>
                </c:pt>
                <c:pt idx="750">
                  <c:v>10931.179999998967</c:v>
                </c:pt>
                <c:pt idx="751">
                  <c:v>10931.179999998967</c:v>
                </c:pt>
                <c:pt idx="752">
                  <c:v>10931.179999998967</c:v>
                </c:pt>
                <c:pt idx="753">
                  <c:v>10931.179999998967</c:v>
                </c:pt>
                <c:pt idx="754">
                  <c:v>12131.179999998967</c:v>
                </c:pt>
                <c:pt idx="755">
                  <c:v>12131.179999998967</c:v>
                </c:pt>
                <c:pt idx="756">
                  <c:v>12131.179999998967</c:v>
                </c:pt>
                <c:pt idx="757">
                  <c:v>12131.179999998967</c:v>
                </c:pt>
                <c:pt idx="758">
                  <c:v>12131.179999998967</c:v>
                </c:pt>
                <c:pt idx="759">
                  <c:v>12131.179999998967</c:v>
                </c:pt>
                <c:pt idx="760">
                  <c:v>12131.179999998967</c:v>
                </c:pt>
                <c:pt idx="761">
                  <c:v>12131.179999998967</c:v>
                </c:pt>
                <c:pt idx="762">
                  <c:v>12131.179999998967</c:v>
                </c:pt>
                <c:pt idx="763">
                  <c:v>12131.179999998967</c:v>
                </c:pt>
                <c:pt idx="764">
                  <c:v>12131.179999998967</c:v>
                </c:pt>
                <c:pt idx="765">
                  <c:v>12131.179999998967</c:v>
                </c:pt>
                <c:pt idx="766">
                  <c:v>12131.179999998967</c:v>
                </c:pt>
                <c:pt idx="767">
                  <c:v>12131.179999998967</c:v>
                </c:pt>
                <c:pt idx="768">
                  <c:v>12131.179999998967</c:v>
                </c:pt>
                <c:pt idx="769">
                  <c:v>12131.179999998967</c:v>
                </c:pt>
                <c:pt idx="770">
                  <c:v>12131.179999998967</c:v>
                </c:pt>
                <c:pt idx="771">
                  <c:v>12131.179999998967</c:v>
                </c:pt>
                <c:pt idx="772">
                  <c:v>12131.179999998967</c:v>
                </c:pt>
                <c:pt idx="773">
                  <c:v>12131.179999998967</c:v>
                </c:pt>
                <c:pt idx="774">
                  <c:v>12131.179999998967</c:v>
                </c:pt>
                <c:pt idx="775">
                  <c:v>12131.179999998967</c:v>
                </c:pt>
                <c:pt idx="776">
                  <c:v>12131.179999998967</c:v>
                </c:pt>
                <c:pt idx="777">
                  <c:v>12131.179999998967</c:v>
                </c:pt>
                <c:pt idx="778">
                  <c:v>12131.179999998967</c:v>
                </c:pt>
                <c:pt idx="779">
                  <c:v>12131.179999998967</c:v>
                </c:pt>
                <c:pt idx="780">
                  <c:v>12131.179999998967</c:v>
                </c:pt>
                <c:pt idx="781">
                  <c:v>12131.179999998967</c:v>
                </c:pt>
                <c:pt idx="782">
                  <c:v>12131.179999998967</c:v>
                </c:pt>
                <c:pt idx="783">
                  <c:v>12131.179999998967</c:v>
                </c:pt>
                <c:pt idx="784">
                  <c:v>12131.179999998967</c:v>
                </c:pt>
                <c:pt idx="785">
                  <c:v>12131.179999998967</c:v>
                </c:pt>
                <c:pt idx="786">
                  <c:v>12131.179999998967</c:v>
                </c:pt>
                <c:pt idx="787">
                  <c:v>12131.179999998967</c:v>
                </c:pt>
                <c:pt idx="788">
                  <c:v>12131.179999998967</c:v>
                </c:pt>
                <c:pt idx="789">
                  <c:v>12131.179999998967</c:v>
                </c:pt>
                <c:pt idx="790">
                  <c:v>12131.179999998967</c:v>
                </c:pt>
                <c:pt idx="791">
                  <c:v>12131.179999998967</c:v>
                </c:pt>
                <c:pt idx="792">
                  <c:v>12131.179999998967</c:v>
                </c:pt>
                <c:pt idx="793">
                  <c:v>12131.179999998967</c:v>
                </c:pt>
                <c:pt idx="794">
                  <c:v>12131.179999998967</c:v>
                </c:pt>
                <c:pt idx="795">
                  <c:v>12669.179999998996</c:v>
                </c:pt>
                <c:pt idx="796">
                  <c:v>12131.179999998967</c:v>
                </c:pt>
                <c:pt idx="797">
                  <c:v>12131.179999998967</c:v>
                </c:pt>
                <c:pt idx="798">
                  <c:v>12669.179999998996</c:v>
                </c:pt>
                <c:pt idx="799">
                  <c:v>12131.179999998967</c:v>
                </c:pt>
                <c:pt idx="800">
                  <c:v>12131.179999998967</c:v>
                </c:pt>
                <c:pt idx="801">
                  <c:v>12669.179999998996</c:v>
                </c:pt>
                <c:pt idx="802">
                  <c:v>12669.179999998996</c:v>
                </c:pt>
                <c:pt idx="803">
                  <c:v>12131.179999998967</c:v>
                </c:pt>
                <c:pt idx="804">
                  <c:v>12131.179999998967</c:v>
                </c:pt>
                <c:pt idx="805">
                  <c:v>12131.179999998967</c:v>
                </c:pt>
                <c:pt idx="806">
                  <c:v>12669.179999998996</c:v>
                </c:pt>
                <c:pt idx="807">
                  <c:v>12669.179999998996</c:v>
                </c:pt>
                <c:pt idx="808">
                  <c:v>12611.179999998967</c:v>
                </c:pt>
                <c:pt idx="809">
                  <c:v>12669.179999998996</c:v>
                </c:pt>
                <c:pt idx="810">
                  <c:v>12669.179999998996</c:v>
                </c:pt>
                <c:pt idx="811">
                  <c:v>12669.179999998996</c:v>
                </c:pt>
                <c:pt idx="812">
                  <c:v>12669.179999998996</c:v>
                </c:pt>
                <c:pt idx="813">
                  <c:v>12669.179999998996</c:v>
                </c:pt>
                <c:pt idx="814">
                  <c:v>8875.1799999983887</c:v>
                </c:pt>
                <c:pt idx="815">
                  <c:v>12669.179999998996</c:v>
                </c:pt>
                <c:pt idx="816">
                  <c:v>12669.179999998996</c:v>
                </c:pt>
                <c:pt idx="817">
                  <c:v>12669.179999998996</c:v>
                </c:pt>
                <c:pt idx="818">
                  <c:v>12669.179999998996</c:v>
                </c:pt>
                <c:pt idx="819">
                  <c:v>12669.179999998996</c:v>
                </c:pt>
                <c:pt idx="820">
                  <c:v>12669.179999998996</c:v>
                </c:pt>
                <c:pt idx="821">
                  <c:v>12669.179999998996</c:v>
                </c:pt>
                <c:pt idx="822">
                  <c:v>12669.179999998996</c:v>
                </c:pt>
                <c:pt idx="823">
                  <c:v>8875.1799999983887</c:v>
                </c:pt>
                <c:pt idx="824">
                  <c:v>12669.179999998996</c:v>
                </c:pt>
                <c:pt idx="825">
                  <c:v>12669.179999998996</c:v>
                </c:pt>
                <c:pt idx="826">
                  <c:v>12669.179999998996</c:v>
                </c:pt>
                <c:pt idx="827">
                  <c:v>8875.1799999983887</c:v>
                </c:pt>
                <c:pt idx="828">
                  <c:v>8875.1799999983887</c:v>
                </c:pt>
                <c:pt idx="829">
                  <c:v>12669.179999998996</c:v>
                </c:pt>
                <c:pt idx="830">
                  <c:v>12669.179999998996</c:v>
                </c:pt>
                <c:pt idx="831">
                  <c:v>12669.179999998996</c:v>
                </c:pt>
                <c:pt idx="832">
                  <c:v>12669.179999998996</c:v>
                </c:pt>
                <c:pt idx="833">
                  <c:v>12669.179999998996</c:v>
                </c:pt>
                <c:pt idx="834">
                  <c:v>8875.1799999983887</c:v>
                </c:pt>
                <c:pt idx="835">
                  <c:v>8875.1799999983887</c:v>
                </c:pt>
                <c:pt idx="836">
                  <c:v>12669.179999998996</c:v>
                </c:pt>
                <c:pt idx="837">
                  <c:v>8875.1799999983887</c:v>
                </c:pt>
                <c:pt idx="838">
                  <c:v>8875.1799999983887</c:v>
                </c:pt>
                <c:pt idx="839">
                  <c:v>12669.179999998996</c:v>
                </c:pt>
                <c:pt idx="840">
                  <c:v>12669.179999998996</c:v>
                </c:pt>
                <c:pt idx="841">
                  <c:v>12669.179999998996</c:v>
                </c:pt>
                <c:pt idx="842">
                  <c:v>12669.179999998996</c:v>
                </c:pt>
                <c:pt idx="843">
                  <c:v>12669.179999998996</c:v>
                </c:pt>
                <c:pt idx="844">
                  <c:v>12669.179999998996</c:v>
                </c:pt>
                <c:pt idx="845">
                  <c:v>8875.1799999983887</c:v>
                </c:pt>
                <c:pt idx="846">
                  <c:v>8875.1799999983887</c:v>
                </c:pt>
                <c:pt idx="847">
                  <c:v>12669.179999998996</c:v>
                </c:pt>
                <c:pt idx="848">
                  <c:v>12669.179999998996</c:v>
                </c:pt>
                <c:pt idx="849">
                  <c:v>8875.1799999983887</c:v>
                </c:pt>
                <c:pt idx="850">
                  <c:v>8875.1799999983887</c:v>
                </c:pt>
                <c:pt idx="851">
                  <c:v>13569.179999998996</c:v>
                </c:pt>
                <c:pt idx="852">
                  <c:v>14169.179999998996</c:v>
                </c:pt>
                <c:pt idx="853">
                  <c:v>13995.179999998989</c:v>
                </c:pt>
                <c:pt idx="854">
                  <c:v>10155.179999998389</c:v>
                </c:pt>
                <c:pt idx="855">
                  <c:v>8875.1799999983887</c:v>
                </c:pt>
                <c:pt idx="856">
                  <c:v>8875.1799999983887</c:v>
                </c:pt>
                <c:pt idx="857">
                  <c:v>8875.1799999983887</c:v>
                </c:pt>
                <c:pt idx="858">
                  <c:v>8875.1799999983887</c:v>
                </c:pt>
                <c:pt idx="859">
                  <c:v>8875.1799999983887</c:v>
                </c:pt>
                <c:pt idx="860">
                  <c:v>8875.1799999983887</c:v>
                </c:pt>
                <c:pt idx="861">
                  <c:v>8875.1799999983887</c:v>
                </c:pt>
                <c:pt idx="862">
                  <c:v>8875.1799999983887</c:v>
                </c:pt>
                <c:pt idx="863">
                  <c:v>8875.1799999983887</c:v>
                </c:pt>
                <c:pt idx="864">
                  <c:v>8875.1799999983887</c:v>
                </c:pt>
                <c:pt idx="865">
                  <c:v>8875.1799999983887</c:v>
                </c:pt>
                <c:pt idx="866">
                  <c:v>8875.1799999983887</c:v>
                </c:pt>
                <c:pt idx="867">
                  <c:v>8875.1799999983887</c:v>
                </c:pt>
                <c:pt idx="868">
                  <c:v>8875.1799999983887</c:v>
                </c:pt>
                <c:pt idx="869">
                  <c:v>8875.1799999983887</c:v>
                </c:pt>
                <c:pt idx="870">
                  <c:v>8875.1799999983887</c:v>
                </c:pt>
                <c:pt idx="871">
                  <c:v>8875.1799999983887</c:v>
                </c:pt>
                <c:pt idx="872">
                  <c:v>8875.1799999983887</c:v>
                </c:pt>
                <c:pt idx="873">
                  <c:v>8875.1799999983887</c:v>
                </c:pt>
                <c:pt idx="874">
                  <c:v>8875.1799999983887</c:v>
                </c:pt>
                <c:pt idx="875">
                  <c:v>8875.1799999983887</c:v>
                </c:pt>
                <c:pt idx="876">
                  <c:v>8875.1799999983887</c:v>
                </c:pt>
                <c:pt idx="877">
                  <c:v>8875.1799999983887</c:v>
                </c:pt>
                <c:pt idx="878">
                  <c:v>8875.1799999983887</c:v>
                </c:pt>
                <c:pt idx="879">
                  <c:v>8875.1799999983887</c:v>
                </c:pt>
                <c:pt idx="880">
                  <c:v>8875.1799999983887</c:v>
                </c:pt>
                <c:pt idx="881">
                  <c:v>8875.1799999983887</c:v>
                </c:pt>
                <c:pt idx="882">
                  <c:v>8875.1799999983887</c:v>
                </c:pt>
                <c:pt idx="883">
                  <c:v>8875.1799999983887</c:v>
                </c:pt>
                <c:pt idx="884">
                  <c:v>8875.1799999983887</c:v>
                </c:pt>
                <c:pt idx="885">
                  <c:v>8875.1799999983887</c:v>
                </c:pt>
                <c:pt idx="886">
                  <c:v>8875.1799999983887</c:v>
                </c:pt>
                <c:pt idx="887">
                  <c:v>8875.1799999983887</c:v>
                </c:pt>
                <c:pt idx="888">
                  <c:v>0</c:v>
                </c:pt>
                <c:pt idx="889">
                  <c:v>8875.1799999983887</c:v>
                </c:pt>
                <c:pt idx="890">
                  <c:v>8875.1799999983887</c:v>
                </c:pt>
                <c:pt idx="891">
                  <c:v>8875.1799999983887</c:v>
                </c:pt>
                <c:pt idx="892">
                  <c:v>8875.1799999983887</c:v>
                </c:pt>
                <c:pt idx="893">
                  <c:v>8875.1799999983887</c:v>
                </c:pt>
                <c:pt idx="894">
                  <c:v>8875.1799999983887</c:v>
                </c:pt>
                <c:pt idx="895">
                  <c:v>8875.1799999983887</c:v>
                </c:pt>
                <c:pt idx="896">
                  <c:v>8875.1799999983887</c:v>
                </c:pt>
                <c:pt idx="897">
                  <c:v>8875.1799999983887</c:v>
                </c:pt>
                <c:pt idx="898">
                  <c:v>8875.1799999983887</c:v>
                </c:pt>
                <c:pt idx="899">
                  <c:v>8875.1799999983887</c:v>
                </c:pt>
                <c:pt idx="900">
                  <c:v>8875.1799999983887</c:v>
                </c:pt>
                <c:pt idx="901">
                  <c:v>8875.1799999983887</c:v>
                </c:pt>
                <c:pt idx="902">
                  <c:v>8715.1799999984214</c:v>
                </c:pt>
                <c:pt idx="903">
                  <c:v>8875.1799999983887</c:v>
                </c:pt>
                <c:pt idx="904">
                  <c:v>8875.1799999983887</c:v>
                </c:pt>
                <c:pt idx="905">
                  <c:v>8875.1799999983887</c:v>
                </c:pt>
                <c:pt idx="906">
                  <c:v>8875.1799999983887</c:v>
                </c:pt>
                <c:pt idx="907">
                  <c:v>8875.1799999983887</c:v>
                </c:pt>
                <c:pt idx="908">
                  <c:v>8875.1799999983887</c:v>
                </c:pt>
                <c:pt idx="909">
                  <c:v>8875.1799999983887</c:v>
                </c:pt>
                <c:pt idx="910">
                  <c:v>8875.1799999983887</c:v>
                </c:pt>
                <c:pt idx="911">
                  <c:v>8875.1799999983887</c:v>
                </c:pt>
                <c:pt idx="912">
                  <c:v>8715.1799999984214</c:v>
                </c:pt>
                <c:pt idx="913">
                  <c:v>8875.1799999983887</c:v>
                </c:pt>
                <c:pt idx="914">
                  <c:v>8875.1799999983887</c:v>
                </c:pt>
                <c:pt idx="915">
                  <c:v>8875.1799999983887</c:v>
                </c:pt>
                <c:pt idx="916">
                  <c:v>8875.1799999983887</c:v>
                </c:pt>
                <c:pt idx="917">
                  <c:v>8875.1799999983887</c:v>
                </c:pt>
                <c:pt idx="918">
                  <c:v>8875.1799999983887</c:v>
                </c:pt>
                <c:pt idx="919">
                  <c:v>8875.1799999983887</c:v>
                </c:pt>
                <c:pt idx="920">
                  <c:v>8875.1799999983887</c:v>
                </c:pt>
                <c:pt idx="921">
                  <c:v>8875.1799999983887</c:v>
                </c:pt>
                <c:pt idx="922">
                  <c:v>8875.1799999983887</c:v>
                </c:pt>
                <c:pt idx="923">
                  <c:v>8715.1799999984214</c:v>
                </c:pt>
                <c:pt idx="924">
                  <c:v>8715.1799999984214</c:v>
                </c:pt>
                <c:pt idx="925">
                  <c:v>8715.1799999984214</c:v>
                </c:pt>
                <c:pt idx="926">
                  <c:v>8715.1799999984214</c:v>
                </c:pt>
                <c:pt idx="927">
                  <c:v>8715.1799999984214</c:v>
                </c:pt>
                <c:pt idx="928">
                  <c:v>8715.1799999984214</c:v>
                </c:pt>
                <c:pt idx="929">
                  <c:v>8715.1799999984214</c:v>
                </c:pt>
                <c:pt idx="930">
                  <c:v>9563.1799999983832</c:v>
                </c:pt>
                <c:pt idx="931">
                  <c:v>9243.1799999984214</c:v>
                </c:pt>
                <c:pt idx="932">
                  <c:v>9243.1799999984214</c:v>
                </c:pt>
                <c:pt idx="933">
                  <c:v>9243.1799999984214</c:v>
                </c:pt>
                <c:pt idx="934">
                  <c:v>9243.1799999984214</c:v>
                </c:pt>
                <c:pt idx="935">
                  <c:v>9243.1799999984214</c:v>
                </c:pt>
                <c:pt idx="936">
                  <c:v>9243.1799999984214</c:v>
                </c:pt>
                <c:pt idx="937">
                  <c:v>9243.1799999984214</c:v>
                </c:pt>
                <c:pt idx="938">
                  <c:v>9243.1799999984214</c:v>
                </c:pt>
                <c:pt idx="939">
                  <c:v>9563.1799999983832</c:v>
                </c:pt>
                <c:pt idx="940">
                  <c:v>9243.1799999984214</c:v>
                </c:pt>
                <c:pt idx="941">
                  <c:v>9243.1799999984214</c:v>
                </c:pt>
                <c:pt idx="942">
                  <c:v>9243.1799999984214</c:v>
                </c:pt>
                <c:pt idx="943">
                  <c:v>9243.1799999984214</c:v>
                </c:pt>
                <c:pt idx="944">
                  <c:v>9243.1799999984214</c:v>
                </c:pt>
                <c:pt idx="945">
                  <c:v>9243.1799999984214</c:v>
                </c:pt>
                <c:pt idx="946">
                  <c:v>9243.1799999984214</c:v>
                </c:pt>
                <c:pt idx="947">
                  <c:v>9283.179999998385</c:v>
                </c:pt>
                <c:pt idx="948">
                  <c:v>9243.1799999984214</c:v>
                </c:pt>
                <c:pt idx="949">
                  <c:v>9283.179999998385</c:v>
                </c:pt>
                <c:pt idx="950">
                  <c:v>9243.1799999984214</c:v>
                </c:pt>
                <c:pt idx="951">
                  <c:v>9243.1799999984214</c:v>
                </c:pt>
                <c:pt idx="952">
                  <c:v>9283.179999998385</c:v>
                </c:pt>
                <c:pt idx="953">
                  <c:v>9283.179999998385</c:v>
                </c:pt>
                <c:pt idx="954">
                  <c:v>9283.179999998385</c:v>
                </c:pt>
                <c:pt idx="955">
                  <c:v>9283.179999998385</c:v>
                </c:pt>
                <c:pt idx="956">
                  <c:v>9283.179999998385</c:v>
                </c:pt>
                <c:pt idx="957">
                  <c:v>9283.179999998385</c:v>
                </c:pt>
                <c:pt idx="958">
                  <c:v>9283.179999998385</c:v>
                </c:pt>
                <c:pt idx="959">
                  <c:v>9283.179999998385</c:v>
                </c:pt>
                <c:pt idx="960">
                  <c:v>9283.179999998385</c:v>
                </c:pt>
                <c:pt idx="961">
                  <c:v>9283.179999998385</c:v>
                </c:pt>
                <c:pt idx="962">
                  <c:v>9283.179999998385</c:v>
                </c:pt>
                <c:pt idx="963">
                  <c:v>9283.179999998385</c:v>
                </c:pt>
                <c:pt idx="964">
                  <c:v>9283.179999998385</c:v>
                </c:pt>
                <c:pt idx="965">
                  <c:v>9283.179999998385</c:v>
                </c:pt>
                <c:pt idx="966">
                  <c:v>9283.179999998385</c:v>
                </c:pt>
                <c:pt idx="967">
                  <c:v>9563.1799999983832</c:v>
                </c:pt>
                <c:pt idx="968">
                  <c:v>9123.179999998385</c:v>
                </c:pt>
                <c:pt idx="969">
                  <c:v>9123.179999998385</c:v>
                </c:pt>
                <c:pt idx="970">
                  <c:v>9123.179999998385</c:v>
                </c:pt>
                <c:pt idx="971">
                  <c:v>9123.179999998385</c:v>
                </c:pt>
                <c:pt idx="972">
                  <c:v>9123.179999998385</c:v>
                </c:pt>
                <c:pt idx="973">
                  <c:v>9123.179999998385</c:v>
                </c:pt>
                <c:pt idx="974">
                  <c:v>9563.1799999983832</c:v>
                </c:pt>
                <c:pt idx="975">
                  <c:v>9563.1799999983832</c:v>
                </c:pt>
                <c:pt idx="976">
                  <c:v>9563.1799999983832</c:v>
                </c:pt>
                <c:pt idx="977">
                  <c:v>9563.1799999983832</c:v>
                </c:pt>
                <c:pt idx="978">
                  <c:v>9563.1799999983832</c:v>
                </c:pt>
                <c:pt idx="979">
                  <c:v>9563.1799999983832</c:v>
                </c:pt>
                <c:pt idx="980">
                  <c:v>9563.1799999983832</c:v>
                </c:pt>
                <c:pt idx="981">
                  <c:v>9563.1799999983832</c:v>
                </c:pt>
                <c:pt idx="982">
                  <c:v>9563.1799999983832</c:v>
                </c:pt>
                <c:pt idx="983">
                  <c:v>9563.1799999983832</c:v>
                </c:pt>
                <c:pt idx="984">
                  <c:v>9563.1799999983832</c:v>
                </c:pt>
                <c:pt idx="985">
                  <c:v>9563.1799999983832</c:v>
                </c:pt>
                <c:pt idx="986">
                  <c:v>9563.1799999983832</c:v>
                </c:pt>
                <c:pt idx="987">
                  <c:v>9563.1799999983832</c:v>
                </c:pt>
                <c:pt idx="988">
                  <c:v>9563.1799999983832</c:v>
                </c:pt>
                <c:pt idx="989">
                  <c:v>0</c:v>
                </c:pt>
                <c:pt idx="990">
                  <c:v>9563.1799999983832</c:v>
                </c:pt>
                <c:pt idx="991">
                  <c:v>9563.1799999983832</c:v>
                </c:pt>
                <c:pt idx="992">
                  <c:v>9563.1799999983832</c:v>
                </c:pt>
                <c:pt idx="993">
                  <c:v>9563.1799999983832</c:v>
                </c:pt>
                <c:pt idx="994">
                  <c:v>9563.1799999983832</c:v>
                </c:pt>
                <c:pt idx="995">
                  <c:v>9563.1799999983832</c:v>
                </c:pt>
                <c:pt idx="996">
                  <c:v>9611.1799999983832</c:v>
                </c:pt>
                <c:pt idx="997">
                  <c:v>9867.179999998385</c:v>
                </c:pt>
                <c:pt idx="998">
                  <c:v>9867.179999998385</c:v>
                </c:pt>
                <c:pt idx="999">
                  <c:v>9867.179999998385</c:v>
                </c:pt>
                <c:pt idx="1000">
                  <c:v>9867.179999998385</c:v>
                </c:pt>
                <c:pt idx="1001">
                  <c:v>9430.1799999983141</c:v>
                </c:pt>
                <c:pt idx="1002">
                  <c:v>9430.1799999983141</c:v>
                </c:pt>
                <c:pt idx="1003">
                  <c:v>9430.1799999983141</c:v>
                </c:pt>
                <c:pt idx="1004">
                  <c:v>8785.3799999984803</c:v>
                </c:pt>
                <c:pt idx="1005">
                  <c:v>8785.3799999984803</c:v>
                </c:pt>
                <c:pt idx="1006">
                  <c:v>8785.3799999984803</c:v>
                </c:pt>
                <c:pt idx="1007">
                  <c:v>8785.3799999984803</c:v>
                </c:pt>
                <c:pt idx="1008">
                  <c:v>8785.3799999984803</c:v>
                </c:pt>
                <c:pt idx="1009">
                  <c:v>8785.3799999984803</c:v>
                </c:pt>
                <c:pt idx="1010">
                  <c:v>8785.3799999984803</c:v>
                </c:pt>
                <c:pt idx="1011">
                  <c:v>8785.3799999984803</c:v>
                </c:pt>
                <c:pt idx="1012">
                  <c:v>8785.3799999984803</c:v>
                </c:pt>
                <c:pt idx="1013">
                  <c:v>8785.3799999984803</c:v>
                </c:pt>
                <c:pt idx="1014">
                  <c:v>8785.3799999984803</c:v>
                </c:pt>
                <c:pt idx="1015">
                  <c:v>8785.3799999984803</c:v>
                </c:pt>
                <c:pt idx="1016">
                  <c:v>8785.3799999984803</c:v>
                </c:pt>
                <c:pt idx="1017">
                  <c:v>8785.3799999984803</c:v>
                </c:pt>
                <c:pt idx="1018">
                  <c:v>8785.3799999984803</c:v>
                </c:pt>
                <c:pt idx="1019">
                  <c:v>8785.3799999984803</c:v>
                </c:pt>
                <c:pt idx="1020">
                  <c:v>8785.3799999984803</c:v>
                </c:pt>
                <c:pt idx="1021">
                  <c:v>8785.3799999984803</c:v>
                </c:pt>
                <c:pt idx="1022">
                  <c:v>8785.3799999984803</c:v>
                </c:pt>
                <c:pt idx="1023">
                  <c:v>8785.3799999984803</c:v>
                </c:pt>
                <c:pt idx="1024">
                  <c:v>8785.3799999984803</c:v>
                </c:pt>
                <c:pt idx="1025">
                  <c:v>8785.3799999984803</c:v>
                </c:pt>
                <c:pt idx="1027">
                  <c:v>-899.79999999984489</c:v>
                </c:pt>
                <c:pt idx="1028">
                  <c:v>-899.79999999984489</c:v>
                </c:pt>
                <c:pt idx="1029">
                  <c:v>-899.79999999984489</c:v>
                </c:pt>
                <c:pt idx="1030">
                  <c:v>-899.79999999984489</c:v>
                </c:pt>
                <c:pt idx="1031">
                  <c:v>-899.79999999984489</c:v>
                </c:pt>
                <c:pt idx="1032">
                  <c:v>-899.79999999984489</c:v>
                </c:pt>
                <c:pt idx="1033">
                  <c:v>-899.79999999984489</c:v>
                </c:pt>
                <c:pt idx="1034">
                  <c:v>-899.79999999984489</c:v>
                </c:pt>
                <c:pt idx="1035">
                  <c:v>-899.79999999984489</c:v>
                </c:pt>
                <c:pt idx="1036">
                  <c:v>-899.79999999984489</c:v>
                </c:pt>
                <c:pt idx="1037">
                  <c:v>-899.79999999984489</c:v>
                </c:pt>
                <c:pt idx="1038">
                  <c:v>-899.79999999984489</c:v>
                </c:pt>
                <c:pt idx="1039">
                  <c:v>-899.79999999984489</c:v>
                </c:pt>
                <c:pt idx="1040">
                  <c:v>-899.79999999984489</c:v>
                </c:pt>
                <c:pt idx="1041">
                  <c:v>-899.79999999984489</c:v>
                </c:pt>
                <c:pt idx="1042">
                  <c:v>-899.79999999984489</c:v>
                </c:pt>
                <c:pt idx="1043">
                  <c:v>-899.79999999984489</c:v>
                </c:pt>
                <c:pt idx="1044">
                  <c:v>-899.79999999984489</c:v>
                </c:pt>
                <c:pt idx="1045">
                  <c:v>-899.79999999984489</c:v>
                </c:pt>
                <c:pt idx="1046">
                  <c:v>-899.79999999984489</c:v>
                </c:pt>
                <c:pt idx="1047">
                  <c:v>-899.79999999984489</c:v>
                </c:pt>
                <c:pt idx="1048">
                  <c:v>-899.79999999984489</c:v>
                </c:pt>
                <c:pt idx="1049">
                  <c:v>-899.79999999984489</c:v>
                </c:pt>
                <c:pt idx="1050">
                  <c:v>-899.79999999984489</c:v>
                </c:pt>
                <c:pt idx="1051">
                  <c:v>-899.79999999984489</c:v>
                </c:pt>
                <c:pt idx="1052">
                  <c:v>-899.79999999984489</c:v>
                </c:pt>
                <c:pt idx="1053">
                  <c:v>-899.79999999984489</c:v>
                </c:pt>
                <c:pt idx="1054">
                  <c:v>-899.79999999984489</c:v>
                </c:pt>
                <c:pt idx="1055">
                  <c:v>-899.79999999984489</c:v>
                </c:pt>
                <c:pt idx="1056">
                  <c:v>-899.79999999984489</c:v>
                </c:pt>
                <c:pt idx="1057">
                  <c:v>-899.79999999984489</c:v>
                </c:pt>
                <c:pt idx="1058">
                  <c:v>-899.79999999984489</c:v>
                </c:pt>
                <c:pt idx="1059">
                  <c:v>-899.79999999984489</c:v>
                </c:pt>
                <c:pt idx="1060">
                  <c:v>-899.79999999984489</c:v>
                </c:pt>
                <c:pt idx="1061">
                  <c:v>-899.79999999984489</c:v>
                </c:pt>
                <c:pt idx="1062">
                  <c:v>-899.79999999984489</c:v>
                </c:pt>
                <c:pt idx="1063">
                  <c:v>-899.79999999984489</c:v>
                </c:pt>
                <c:pt idx="1064">
                  <c:v>-899.79999999984489</c:v>
                </c:pt>
                <c:pt idx="1065">
                  <c:v>-899.79999999984489</c:v>
                </c:pt>
                <c:pt idx="1066">
                  <c:v>-899.79999999984489</c:v>
                </c:pt>
                <c:pt idx="1067">
                  <c:v>-899.79999999984489</c:v>
                </c:pt>
                <c:pt idx="1068">
                  <c:v>-899.79999999984489</c:v>
                </c:pt>
                <c:pt idx="1069">
                  <c:v>-899.79999999984489</c:v>
                </c:pt>
                <c:pt idx="1070">
                  <c:v>-899.79999999984489</c:v>
                </c:pt>
                <c:pt idx="1071">
                  <c:v>-899.79999999984489</c:v>
                </c:pt>
                <c:pt idx="1072">
                  <c:v>-899.79999999984489</c:v>
                </c:pt>
                <c:pt idx="1073">
                  <c:v>-899.79999999984489</c:v>
                </c:pt>
                <c:pt idx="1074">
                  <c:v>-899.79999999984489</c:v>
                </c:pt>
                <c:pt idx="1075">
                  <c:v>-899.79999999984489</c:v>
                </c:pt>
                <c:pt idx="1076">
                  <c:v>-899.79999999984489</c:v>
                </c:pt>
                <c:pt idx="1077">
                  <c:v>-899.79999999984489</c:v>
                </c:pt>
                <c:pt idx="1078">
                  <c:v>-899.79999999984489</c:v>
                </c:pt>
                <c:pt idx="1079">
                  <c:v>-899.79999999984489</c:v>
                </c:pt>
                <c:pt idx="1080">
                  <c:v>-899.79999999984489</c:v>
                </c:pt>
                <c:pt idx="1081">
                  <c:v>-899.79999999984489</c:v>
                </c:pt>
                <c:pt idx="1082">
                  <c:v>-899.79999999984489</c:v>
                </c:pt>
                <c:pt idx="1083">
                  <c:v>-899.79999999984489</c:v>
                </c:pt>
                <c:pt idx="1084">
                  <c:v>-899.79999999984489</c:v>
                </c:pt>
                <c:pt idx="1085">
                  <c:v>-899.79999999984489</c:v>
                </c:pt>
                <c:pt idx="1086">
                  <c:v>-899.79999999984489</c:v>
                </c:pt>
                <c:pt idx="1087">
                  <c:v>-899.79999999984489</c:v>
                </c:pt>
                <c:pt idx="1088">
                  <c:v>-899.79999999984489</c:v>
                </c:pt>
                <c:pt idx="1089">
                  <c:v>-899.79999999984489</c:v>
                </c:pt>
                <c:pt idx="1090">
                  <c:v>-899.79999999984489</c:v>
                </c:pt>
                <c:pt idx="1091">
                  <c:v>-899.79999999984489</c:v>
                </c:pt>
                <c:pt idx="1092">
                  <c:v>-899.79999999984489</c:v>
                </c:pt>
                <c:pt idx="1093">
                  <c:v>-899.79999999984489</c:v>
                </c:pt>
                <c:pt idx="1094">
                  <c:v>-899.79999999984489</c:v>
                </c:pt>
                <c:pt idx="1095">
                  <c:v>-899.79999999984489</c:v>
                </c:pt>
                <c:pt idx="1096">
                  <c:v>-899.79999999984489</c:v>
                </c:pt>
                <c:pt idx="1097">
                  <c:v>-899.79999999984489</c:v>
                </c:pt>
                <c:pt idx="1098">
                  <c:v>-899.79999999984489</c:v>
                </c:pt>
                <c:pt idx="1099">
                  <c:v>-899.79999999984489</c:v>
                </c:pt>
                <c:pt idx="1100">
                  <c:v>-899.79999999984489</c:v>
                </c:pt>
                <c:pt idx="1101">
                  <c:v>-899.79999999984489</c:v>
                </c:pt>
                <c:pt idx="1102">
                  <c:v>-899.79999999984489</c:v>
                </c:pt>
                <c:pt idx="1103">
                  <c:v>-899.79999999984489</c:v>
                </c:pt>
                <c:pt idx="1104">
                  <c:v>-899.79999999984489</c:v>
                </c:pt>
                <c:pt idx="1105">
                  <c:v>-899.79999999984489</c:v>
                </c:pt>
                <c:pt idx="1106">
                  <c:v>-899.79999999984489</c:v>
                </c:pt>
                <c:pt idx="1107">
                  <c:v>-899.79999999984489</c:v>
                </c:pt>
                <c:pt idx="1108">
                  <c:v>-899.79999999984489</c:v>
                </c:pt>
                <c:pt idx="1109">
                  <c:v>-899.79999999984489</c:v>
                </c:pt>
                <c:pt idx="1110">
                  <c:v>-899.79999999984489</c:v>
                </c:pt>
                <c:pt idx="1111">
                  <c:v>-899.79999999984489</c:v>
                </c:pt>
                <c:pt idx="1112">
                  <c:v>-899.79999999984489</c:v>
                </c:pt>
                <c:pt idx="1113">
                  <c:v>-899.79999999984489</c:v>
                </c:pt>
                <c:pt idx="1114">
                  <c:v>-899.79999999984489</c:v>
                </c:pt>
                <c:pt idx="1115">
                  <c:v>-899.79999999984489</c:v>
                </c:pt>
                <c:pt idx="1116">
                  <c:v>-899.79999999984489</c:v>
                </c:pt>
                <c:pt idx="1117">
                  <c:v>-899.79999999984489</c:v>
                </c:pt>
                <c:pt idx="1118">
                  <c:v>-899.79999999984489</c:v>
                </c:pt>
                <c:pt idx="1119">
                  <c:v>-899.79999999984489</c:v>
                </c:pt>
                <c:pt idx="1120">
                  <c:v>-899.79999999984489</c:v>
                </c:pt>
                <c:pt idx="1121">
                  <c:v>-899.79999999984489</c:v>
                </c:pt>
                <c:pt idx="1122">
                  <c:v>-899.79999999984489</c:v>
                </c:pt>
                <c:pt idx="1123">
                  <c:v>-899.79999999984489</c:v>
                </c:pt>
                <c:pt idx="1124">
                  <c:v>-899.79999999984489</c:v>
                </c:pt>
                <c:pt idx="1125">
                  <c:v>-899.79999999984489</c:v>
                </c:pt>
                <c:pt idx="1126">
                  <c:v>-899.79999999984489</c:v>
                </c:pt>
                <c:pt idx="1127">
                  <c:v>-899.79999999984489</c:v>
                </c:pt>
                <c:pt idx="1128">
                  <c:v>-899.79999999984489</c:v>
                </c:pt>
                <c:pt idx="1129">
                  <c:v>-899.79999999984489</c:v>
                </c:pt>
                <c:pt idx="1130">
                  <c:v>-899.79999999984489</c:v>
                </c:pt>
                <c:pt idx="1131">
                  <c:v>-899.79999999984489</c:v>
                </c:pt>
                <c:pt idx="1132">
                  <c:v>-899.79999999984489</c:v>
                </c:pt>
                <c:pt idx="1133">
                  <c:v>-899.79999999984489</c:v>
                </c:pt>
                <c:pt idx="1134">
                  <c:v>-899.79999999984489</c:v>
                </c:pt>
                <c:pt idx="1135">
                  <c:v>-899.79999999984489</c:v>
                </c:pt>
                <c:pt idx="1136">
                  <c:v>-899.79999999984489</c:v>
                </c:pt>
                <c:pt idx="1137">
                  <c:v>-899.79999999984489</c:v>
                </c:pt>
                <c:pt idx="1138">
                  <c:v>-899.79999999984489</c:v>
                </c:pt>
                <c:pt idx="1139">
                  <c:v>-899.79999999984489</c:v>
                </c:pt>
                <c:pt idx="1140">
                  <c:v>-899.79999999984489</c:v>
                </c:pt>
                <c:pt idx="1141">
                  <c:v>-899.79999999984489</c:v>
                </c:pt>
                <c:pt idx="1142">
                  <c:v>-899.79999999984489</c:v>
                </c:pt>
                <c:pt idx="1143">
                  <c:v>-899.79999999984489</c:v>
                </c:pt>
                <c:pt idx="1144">
                  <c:v>-899.79999999984489</c:v>
                </c:pt>
                <c:pt idx="1145">
                  <c:v>-899.79999999984489</c:v>
                </c:pt>
                <c:pt idx="1146">
                  <c:v>-899.79999999984489</c:v>
                </c:pt>
                <c:pt idx="1147">
                  <c:v>-899.79999999984489</c:v>
                </c:pt>
                <c:pt idx="1148">
                  <c:v>-899.79999999984489</c:v>
                </c:pt>
                <c:pt idx="1149">
                  <c:v>-899.79999999984489</c:v>
                </c:pt>
                <c:pt idx="1150">
                  <c:v>-899.79999999984489</c:v>
                </c:pt>
                <c:pt idx="1151">
                  <c:v>-899.79999999984489</c:v>
                </c:pt>
                <c:pt idx="1152">
                  <c:v>-899.79999999984489</c:v>
                </c:pt>
                <c:pt idx="1153">
                  <c:v>-899.79999999984489</c:v>
                </c:pt>
                <c:pt idx="1154">
                  <c:v>-899.79999999984489</c:v>
                </c:pt>
                <c:pt idx="1155">
                  <c:v>-899.79999999984489</c:v>
                </c:pt>
                <c:pt idx="1156">
                  <c:v>-899.79999999984489</c:v>
                </c:pt>
                <c:pt idx="1157">
                  <c:v>-899.79999999984489</c:v>
                </c:pt>
                <c:pt idx="1158">
                  <c:v>-899.79999999984489</c:v>
                </c:pt>
                <c:pt idx="1159">
                  <c:v>-899.79999999984489</c:v>
                </c:pt>
                <c:pt idx="1160">
                  <c:v>-899.79999999984489</c:v>
                </c:pt>
                <c:pt idx="1161">
                  <c:v>-899.79999999984489</c:v>
                </c:pt>
                <c:pt idx="1162">
                  <c:v>-899.79999999984489</c:v>
                </c:pt>
                <c:pt idx="1163">
                  <c:v>-899.79999999984489</c:v>
                </c:pt>
                <c:pt idx="1164">
                  <c:v>-899.79999999984489</c:v>
                </c:pt>
                <c:pt idx="1165">
                  <c:v>-899.79999999984489</c:v>
                </c:pt>
                <c:pt idx="1166">
                  <c:v>-899.79999999984489</c:v>
                </c:pt>
                <c:pt idx="1167">
                  <c:v>-899.79999999984489</c:v>
                </c:pt>
                <c:pt idx="1168">
                  <c:v>-899.79999999984489</c:v>
                </c:pt>
                <c:pt idx="1169">
                  <c:v>-899.79999999984489</c:v>
                </c:pt>
                <c:pt idx="1170">
                  <c:v>-899.79999999984489</c:v>
                </c:pt>
                <c:pt idx="1171">
                  <c:v>-899.79999999984489</c:v>
                </c:pt>
                <c:pt idx="1172">
                  <c:v>-899.79999999984489</c:v>
                </c:pt>
                <c:pt idx="1173">
                  <c:v>-899.79999999984489</c:v>
                </c:pt>
                <c:pt idx="1174">
                  <c:v>-899.79999999984489</c:v>
                </c:pt>
                <c:pt idx="1175">
                  <c:v>-899.79999999984489</c:v>
                </c:pt>
                <c:pt idx="1176">
                  <c:v>-899.79999999984489</c:v>
                </c:pt>
                <c:pt idx="1177">
                  <c:v>-899.79999999984489</c:v>
                </c:pt>
                <c:pt idx="1178">
                  <c:v>-899.79999999984489</c:v>
                </c:pt>
                <c:pt idx="1179">
                  <c:v>-899.79999999984489</c:v>
                </c:pt>
                <c:pt idx="1180">
                  <c:v>-899.79999999984489</c:v>
                </c:pt>
                <c:pt idx="1181">
                  <c:v>-899.79999999984489</c:v>
                </c:pt>
                <c:pt idx="1182">
                  <c:v>-899.79999999984489</c:v>
                </c:pt>
                <c:pt idx="1183">
                  <c:v>-899.79999999984489</c:v>
                </c:pt>
                <c:pt idx="1184">
                  <c:v>-899.79999999984489</c:v>
                </c:pt>
                <c:pt idx="1185">
                  <c:v>-899.79999999984489</c:v>
                </c:pt>
                <c:pt idx="1186">
                  <c:v>-899.79999999984489</c:v>
                </c:pt>
                <c:pt idx="1187">
                  <c:v>-899.79999999984489</c:v>
                </c:pt>
                <c:pt idx="1188">
                  <c:v>-899.79999999984489</c:v>
                </c:pt>
                <c:pt idx="1189">
                  <c:v>-899.79999999984489</c:v>
                </c:pt>
                <c:pt idx="1190">
                  <c:v>-899.79999999984489</c:v>
                </c:pt>
                <c:pt idx="1191">
                  <c:v>-899.79999999984489</c:v>
                </c:pt>
                <c:pt idx="1192">
                  <c:v>-899.79999999984489</c:v>
                </c:pt>
                <c:pt idx="1193">
                  <c:v>-899.79999999984489</c:v>
                </c:pt>
                <c:pt idx="1194">
                  <c:v>-899.79999999984489</c:v>
                </c:pt>
                <c:pt idx="1195">
                  <c:v>-899.79999999984489</c:v>
                </c:pt>
                <c:pt idx="1196">
                  <c:v>-899.79999999984489</c:v>
                </c:pt>
                <c:pt idx="1197">
                  <c:v>-899.79999999984489</c:v>
                </c:pt>
                <c:pt idx="1198">
                  <c:v>-899.79999999984489</c:v>
                </c:pt>
                <c:pt idx="1199">
                  <c:v>-899.79999999984489</c:v>
                </c:pt>
                <c:pt idx="1200">
                  <c:v>-899.79999999984489</c:v>
                </c:pt>
                <c:pt idx="1201">
                  <c:v>-899.79999999984489</c:v>
                </c:pt>
                <c:pt idx="1202">
                  <c:v>-899.79999999984489</c:v>
                </c:pt>
                <c:pt idx="1203">
                  <c:v>-899.79999999984489</c:v>
                </c:pt>
                <c:pt idx="1204">
                  <c:v>-899.79999999984489</c:v>
                </c:pt>
                <c:pt idx="1205">
                  <c:v>-899.79999999984489</c:v>
                </c:pt>
                <c:pt idx="1206">
                  <c:v>-899.79999999984489</c:v>
                </c:pt>
                <c:pt idx="1207">
                  <c:v>-899.79999999984489</c:v>
                </c:pt>
                <c:pt idx="1208">
                  <c:v>-899.79999999984489</c:v>
                </c:pt>
                <c:pt idx="1209">
                  <c:v>-899.79999999984489</c:v>
                </c:pt>
                <c:pt idx="1210">
                  <c:v>-899.79999999984489</c:v>
                </c:pt>
                <c:pt idx="1211">
                  <c:v>-899.79999999984489</c:v>
                </c:pt>
                <c:pt idx="1212">
                  <c:v>-899.79999999984489</c:v>
                </c:pt>
                <c:pt idx="1213">
                  <c:v>-899.79999999984489</c:v>
                </c:pt>
                <c:pt idx="1214">
                  <c:v>-899.79999999984489</c:v>
                </c:pt>
                <c:pt idx="1215">
                  <c:v>-899.79999999984489</c:v>
                </c:pt>
                <c:pt idx="1216">
                  <c:v>-899.79999999984489</c:v>
                </c:pt>
                <c:pt idx="1217">
                  <c:v>-899.79999999984489</c:v>
                </c:pt>
                <c:pt idx="1218">
                  <c:v>-899.79999999984489</c:v>
                </c:pt>
                <c:pt idx="1219">
                  <c:v>-899.79999999984489</c:v>
                </c:pt>
                <c:pt idx="1220">
                  <c:v>-899.79999999984489</c:v>
                </c:pt>
                <c:pt idx="1221">
                  <c:v>-899.79999999984489</c:v>
                </c:pt>
                <c:pt idx="1222">
                  <c:v>-899.79999999984489</c:v>
                </c:pt>
                <c:pt idx="1223">
                  <c:v>-899.79999999984489</c:v>
                </c:pt>
                <c:pt idx="1224">
                  <c:v>-899.79999999984489</c:v>
                </c:pt>
                <c:pt idx="1225">
                  <c:v>-899.79999999984489</c:v>
                </c:pt>
                <c:pt idx="1226">
                  <c:v>-899.79999999984489</c:v>
                </c:pt>
                <c:pt idx="1227">
                  <c:v>-899.79999999984489</c:v>
                </c:pt>
                <c:pt idx="1228">
                  <c:v>-899.79999999984489</c:v>
                </c:pt>
                <c:pt idx="1229">
                  <c:v>-899.79999999984489</c:v>
                </c:pt>
                <c:pt idx="1230">
                  <c:v>-899.79999999984489</c:v>
                </c:pt>
                <c:pt idx="1231">
                  <c:v>-899.79999999984489</c:v>
                </c:pt>
                <c:pt idx="1232">
                  <c:v>-899.79999999984489</c:v>
                </c:pt>
                <c:pt idx="1233">
                  <c:v>-899.79999999984489</c:v>
                </c:pt>
                <c:pt idx="1234">
                  <c:v>-899.79999999984489</c:v>
                </c:pt>
                <c:pt idx="1235">
                  <c:v>-899.79999999984489</c:v>
                </c:pt>
                <c:pt idx="1236">
                  <c:v>-899.79999999984489</c:v>
                </c:pt>
                <c:pt idx="1237">
                  <c:v>-899.79999999984489</c:v>
                </c:pt>
              </c:numCache>
            </c:numRef>
          </c:val>
          <c:smooth val="0"/>
          <c:extLst>
            <c:ext xmlns:c16="http://schemas.microsoft.com/office/drawing/2014/chart" uri="{C3380CC4-5D6E-409C-BE32-E72D297353CC}">
              <c16:uniqueId val="{00000000-C82D-4F02-BD8C-C8547AE575E5}"/>
            </c:ext>
          </c:extLst>
        </c:ser>
        <c:ser>
          <c:idx val="1"/>
          <c:order val="1"/>
          <c:tx>
            <c:v>H</c:v>
          </c:tx>
          <c:spPr>
            <a:ln w="28575" cap="rnd">
              <a:solidFill>
                <a:schemeClr val="accent5"/>
              </a:solidFill>
              <a:round/>
            </a:ln>
            <a:effectLst/>
          </c:spPr>
          <c:marker>
            <c:symbol val="none"/>
          </c:marker>
          <c:cat>
            <c:strRef>
              <c:f>'Journal Live'!$A$1388:$A$2630</c:f>
              <c:strCache>
                <c:ptCount val="1238"/>
                <c:pt idx="1">
                  <c:v>JAN.24</c:v>
                </c:pt>
                <c:pt idx="2">
                  <c:v>JAN.24</c:v>
                </c:pt>
                <c:pt idx="3">
                  <c:v>JAN.24</c:v>
                </c:pt>
                <c:pt idx="4">
                  <c:v>JAN.24</c:v>
                </c:pt>
                <c:pt idx="5">
                  <c:v>JAN.24</c:v>
                </c:pt>
                <c:pt idx="6">
                  <c:v>JAN.24</c:v>
                </c:pt>
                <c:pt idx="7">
                  <c:v>JAN.24</c:v>
                </c:pt>
                <c:pt idx="8">
                  <c:v>JAN.24</c:v>
                </c:pt>
                <c:pt idx="9">
                  <c:v>JAN.24</c:v>
                </c:pt>
                <c:pt idx="10">
                  <c:v>JAN.24</c:v>
                </c:pt>
                <c:pt idx="11">
                  <c:v>JAN.24</c:v>
                </c:pt>
                <c:pt idx="12">
                  <c:v>JAN.24</c:v>
                </c:pt>
                <c:pt idx="13">
                  <c:v>JAN.24</c:v>
                </c:pt>
                <c:pt idx="14">
                  <c:v>JAN.24</c:v>
                </c:pt>
                <c:pt idx="15">
                  <c:v>JAN.24</c:v>
                </c:pt>
                <c:pt idx="16">
                  <c:v>JAN.24</c:v>
                </c:pt>
                <c:pt idx="17">
                  <c:v>JAN.24</c:v>
                </c:pt>
                <c:pt idx="18">
                  <c:v>JAN.24</c:v>
                </c:pt>
                <c:pt idx="19">
                  <c:v>JAN.24</c:v>
                </c:pt>
                <c:pt idx="20">
                  <c:v>JAN.24</c:v>
                </c:pt>
                <c:pt idx="21">
                  <c:v>JAN.24</c:v>
                </c:pt>
                <c:pt idx="22">
                  <c:v>JAN.24</c:v>
                </c:pt>
                <c:pt idx="23">
                  <c:v>JAN.24</c:v>
                </c:pt>
                <c:pt idx="24">
                  <c:v>JAN.24</c:v>
                </c:pt>
                <c:pt idx="25">
                  <c:v>JAN.24</c:v>
                </c:pt>
                <c:pt idx="26">
                  <c:v>JAN.24</c:v>
                </c:pt>
                <c:pt idx="27">
                  <c:v>JAN.24</c:v>
                </c:pt>
                <c:pt idx="28">
                  <c:v>JAN.24</c:v>
                </c:pt>
                <c:pt idx="29">
                  <c:v>JAN.24</c:v>
                </c:pt>
                <c:pt idx="30">
                  <c:v>JAN.24</c:v>
                </c:pt>
                <c:pt idx="31">
                  <c:v>JAN.24</c:v>
                </c:pt>
                <c:pt idx="32">
                  <c:v>JAN.24</c:v>
                </c:pt>
                <c:pt idx="33">
                  <c:v>JAN.24</c:v>
                </c:pt>
                <c:pt idx="34">
                  <c:v>JAN.24</c:v>
                </c:pt>
                <c:pt idx="35">
                  <c:v>JAN.24</c:v>
                </c:pt>
                <c:pt idx="36">
                  <c:v>JAN.24</c:v>
                </c:pt>
                <c:pt idx="37">
                  <c:v>JAN.24</c:v>
                </c:pt>
                <c:pt idx="38">
                  <c:v>JAN.24</c:v>
                </c:pt>
                <c:pt idx="39">
                  <c:v>JAN.24</c:v>
                </c:pt>
                <c:pt idx="40">
                  <c:v>JAN.24</c:v>
                </c:pt>
                <c:pt idx="41">
                  <c:v>JAN.24</c:v>
                </c:pt>
                <c:pt idx="42">
                  <c:v>JAN.24</c:v>
                </c:pt>
                <c:pt idx="43">
                  <c:v>JAN.24</c:v>
                </c:pt>
                <c:pt idx="44">
                  <c:v>JAN.24</c:v>
                </c:pt>
                <c:pt idx="45">
                  <c:v>JAN.24</c:v>
                </c:pt>
                <c:pt idx="46">
                  <c:v>JAN.24</c:v>
                </c:pt>
                <c:pt idx="47">
                  <c:v>JAN.24</c:v>
                </c:pt>
                <c:pt idx="48">
                  <c:v>JAN.24</c:v>
                </c:pt>
                <c:pt idx="49">
                  <c:v>JAN.24</c:v>
                </c:pt>
                <c:pt idx="50">
                  <c:v>JAN.24</c:v>
                </c:pt>
                <c:pt idx="51">
                  <c:v>JAN.24</c:v>
                </c:pt>
                <c:pt idx="52">
                  <c:v>JAN.24</c:v>
                </c:pt>
                <c:pt idx="53">
                  <c:v>JAN.24</c:v>
                </c:pt>
                <c:pt idx="54">
                  <c:v>JAN.24</c:v>
                </c:pt>
                <c:pt idx="55">
                  <c:v>JAN.24</c:v>
                </c:pt>
                <c:pt idx="56">
                  <c:v>JAN.24</c:v>
                </c:pt>
                <c:pt idx="57">
                  <c:v>JAN.24</c:v>
                </c:pt>
                <c:pt idx="58">
                  <c:v>JAN.24</c:v>
                </c:pt>
                <c:pt idx="59">
                  <c:v>JAN.24</c:v>
                </c:pt>
                <c:pt idx="60">
                  <c:v>JAN.24</c:v>
                </c:pt>
                <c:pt idx="61">
                  <c:v>JAN.24</c:v>
                </c:pt>
                <c:pt idx="62">
                  <c:v>JAN.24</c:v>
                </c:pt>
                <c:pt idx="63">
                  <c:v>JAN.24</c:v>
                </c:pt>
                <c:pt idx="64">
                  <c:v>JAN.24</c:v>
                </c:pt>
                <c:pt idx="65">
                  <c:v>JAN.24</c:v>
                </c:pt>
                <c:pt idx="66">
                  <c:v>JAN.24</c:v>
                </c:pt>
                <c:pt idx="67">
                  <c:v>JAN.24</c:v>
                </c:pt>
                <c:pt idx="68">
                  <c:v>JAN.24</c:v>
                </c:pt>
                <c:pt idx="69">
                  <c:v>JAN.24</c:v>
                </c:pt>
                <c:pt idx="70">
                  <c:v>JAN.24</c:v>
                </c:pt>
                <c:pt idx="71">
                  <c:v>JAN.24</c:v>
                </c:pt>
                <c:pt idx="72">
                  <c:v>JAN.24</c:v>
                </c:pt>
                <c:pt idx="73">
                  <c:v>JAN.24</c:v>
                </c:pt>
                <c:pt idx="74">
                  <c:v>JAN.24</c:v>
                </c:pt>
                <c:pt idx="75">
                  <c:v>JAN.24</c:v>
                </c:pt>
                <c:pt idx="76">
                  <c:v>JAN.24</c:v>
                </c:pt>
                <c:pt idx="77">
                  <c:v>JAN.24</c:v>
                </c:pt>
                <c:pt idx="78">
                  <c:v>JAN.24</c:v>
                </c:pt>
                <c:pt idx="79">
                  <c:v>JAN.24</c:v>
                </c:pt>
                <c:pt idx="80">
                  <c:v>JAN.24</c:v>
                </c:pt>
                <c:pt idx="81">
                  <c:v>JAN.24</c:v>
                </c:pt>
                <c:pt idx="82">
                  <c:v>JAN.24</c:v>
                </c:pt>
                <c:pt idx="83">
                  <c:v>JAN.24</c:v>
                </c:pt>
                <c:pt idx="84">
                  <c:v>JAN.24</c:v>
                </c:pt>
                <c:pt idx="85">
                  <c:v>JAN.24</c:v>
                </c:pt>
                <c:pt idx="86">
                  <c:v>JAN.24</c:v>
                </c:pt>
                <c:pt idx="87">
                  <c:v>JAN.24</c:v>
                </c:pt>
                <c:pt idx="88">
                  <c:v>JAN.24</c:v>
                </c:pt>
                <c:pt idx="89">
                  <c:v>JAN.24</c:v>
                </c:pt>
                <c:pt idx="90">
                  <c:v>JAN.24</c:v>
                </c:pt>
                <c:pt idx="91">
                  <c:v>JAN.24</c:v>
                </c:pt>
                <c:pt idx="92">
                  <c:v>JAN.24</c:v>
                </c:pt>
                <c:pt idx="93">
                  <c:v>JAN.24</c:v>
                </c:pt>
                <c:pt idx="94">
                  <c:v>JAN.24</c:v>
                </c:pt>
                <c:pt idx="95">
                  <c:v>JAN.24</c:v>
                </c:pt>
                <c:pt idx="96">
                  <c:v>JAN.24</c:v>
                </c:pt>
                <c:pt idx="97">
                  <c:v>JAN.24</c:v>
                </c:pt>
                <c:pt idx="98">
                  <c:v>JAN.24</c:v>
                </c:pt>
                <c:pt idx="99">
                  <c:v>JAN.24</c:v>
                </c:pt>
                <c:pt idx="100">
                  <c:v>JAN.24</c:v>
                </c:pt>
                <c:pt idx="101">
                  <c:v>JAN.24</c:v>
                </c:pt>
                <c:pt idx="102">
                  <c:v>JAN.24</c:v>
                </c:pt>
                <c:pt idx="103">
                  <c:v>JAN.24</c:v>
                </c:pt>
                <c:pt idx="104">
                  <c:v>JAN.24</c:v>
                </c:pt>
                <c:pt idx="105">
                  <c:v>JAN.24</c:v>
                </c:pt>
                <c:pt idx="106">
                  <c:v>JAN.24</c:v>
                </c:pt>
                <c:pt idx="107">
                  <c:v>JAN.24</c:v>
                </c:pt>
                <c:pt idx="108">
                  <c:v>JAN.24</c:v>
                </c:pt>
                <c:pt idx="109">
                  <c:v>JAN.24</c:v>
                </c:pt>
                <c:pt idx="110">
                  <c:v>JAN.24</c:v>
                </c:pt>
                <c:pt idx="111">
                  <c:v>JAN.24</c:v>
                </c:pt>
                <c:pt idx="112">
                  <c:v>JAN.24</c:v>
                </c:pt>
                <c:pt idx="113">
                  <c:v>JAN.24</c:v>
                </c:pt>
                <c:pt idx="114">
                  <c:v>JAN.24</c:v>
                </c:pt>
                <c:pt idx="115">
                  <c:v>JAN.24</c:v>
                </c:pt>
                <c:pt idx="116">
                  <c:v>JAN.24</c:v>
                </c:pt>
                <c:pt idx="117">
                  <c:v>JAN.24</c:v>
                </c:pt>
                <c:pt idx="118">
                  <c:v>JAN.24</c:v>
                </c:pt>
                <c:pt idx="119">
                  <c:v>JAN.24</c:v>
                </c:pt>
                <c:pt idx="120">
                  <c:v>JAN.24</c:v>
                </c:pt>
                <c:pt idx="121">
                  <c:v>JAN.24</c:v>
                </c:pt>
                <c:pt idx="122">
                  <c:v>JAN.24</c:v>
                </c:pt>
                <c:pt idx="123">
                  <c:v>JAN.24</c:v>
                </c:pt>
                <c:pt idx="124">
                  <c:v>JAN.24</c:v>
                </c:pt>
                <c:pt idx="125">
                  <c:v>JAN.24</c:v>
                </c:pt>
                <c:pt idx="126">
                  <c:v>JAN.24</c:v>
                </c:pt>
                <c:pt idx="127">
                  <c:v>JAN.24</c:v>
                </c:pt>
                <c:pt idx="128">
                  <c:v>JAN.24</c:v>
                </c:pt>
                <c:pt idx="129">
                  <c:v>JAN.24</c:v>
                </c:pt>
                <c:pt idx="130">
                  <c:v>JAN.24</c:v>
                </c:pt>
                <c:pt idx="131">
                  <c:v>JAN.24</c:v>
                </c:pt>
                <c:pt idx="132">
                  <c:v>February 24 live</c:v>
                </c:pt>
                <c:pt idx="133">
                  <c:v>FEB.24</c:v>
                </c:pt>
                <c:pt idx="134">
                  <c:v>FEB.24</c:v>
                </c:pt>
                <c:pt idx="135">
                  <c:v>FEB.24</c:v>
                </c:pt>
                <c:pt idx="136">
                  <c:v>FEB.24</c:v>
                </c:pt>
                <c:pt idx="137">
                  <c:v>FEB.24</c:v>
                </c:pt>
                <c:pt idx="138">
                  <c:v>FEB.24</c:v>
                </c:pt>
                <c:pt idx="139">
                  <c:v>FEB.24</c:v>
                </c:pt>
                <c:pt idx="140">
                  <c:v>FEB.24</c:v>
                </c:pt>
                <c:pt idx="141">
                  <c:v>FEB.24</c:v>
                </c:pt>
                <c:pt idx="142">
                  <c:v>FEB.24</c:v>
                </c:pt>
                <c:pt idx="143">
                  <c:v>FEB.24</c:v>
                </c:pt>
                <c:pt idx="144">
                  <c:v>FEB.24</c:v>
                </c:pt>
                <c:pt idx="145">
                  <c:v>FEB.24</c:v>
                </c:pt>
                <c:pt idx="146">
                  <c:v>FEB.24</c:v>
                </c:pt>
                <c:pt idx="147">
                  <c:v>FEB.24</c:v>
                </c:pt>
                <c:pt idx="148">
                  <c:v>FEB.24</c:v>
                </c:pt>
                <c:pt idx="149">
                  <c:v>FEB.24</c:v>
                </c:pt>
                <c:pt idx="150">
                  <c:v>FEB.24</c:v>
                </c:pt>
                <c:pt idx="151">
                  <c:v>FEB.24</c:v>
                </c:pt>
                <c:pt idx="152">
                  <c:v>FEB.24</c:v>
                </c:pt>
                <c:pt idx="153">
                  <c:v>FEB.24</c:v>
                </c:pt>
                <c:pt idx="154">
                  <c:v>FEB.24</c:v>
                </c:pt>
                <c:pt idx="155">
                  <c:v>FEB.24</c:v>
                </c:pt>
                <c:pt idx="156">
                  <c:v>FEB.24</c:v>
                </c:pt>
                <c:pt idx="157">
                  <c:v>FEB.24</c:v>
                </c:pt>
                <c:pt idx="158">
                  <c:v>FEB.24</c:v>
                </c:pt>
                <c:pt idx="159">
                  <c:v>FEB.24</c:v>
                </c:pt>
                <c:pt idx="160">
                  <c:v>FEB.24</c:v>
                </c:pt>
                <c:pt idx="161">
                  <c:v>FEB.24</c:v>
                </c:pt>
                <c:pt idx="162">
                  <c:v>FEB.24</c:v>
                </c:pt>
                <c:pt idx="163">
                  <c:v>FEB.24</c:v>
                </c:pt>
                <c:pt idx="164">
                  <c:v>FEB.24</c:v>
                </c:pt>
                <c:pt idx="165">
                  <c:v>FEB.24</c:v>
                </c:pt>
                <c:pt idx="166">
                  <c:v>FEB.24</c:v>
                </c:pt>
                <c:pt idx="167">
                  <c:v>FEB.24</c:v>
                </c:pt>
                <c:pt idx="168">
                  <c:v>FEB.24</c:v>
                </c:pt>
                <c:pt idx="169">
                  <c:v>FEB.24</c:v>
                </c:pt>
                <c:pt idx="170">
                  <c:v>FEB.24</c:v>
                </c:pt>
                <c:pt idx="171">
                  <c:v>FEB.24</c:v>
                </c:pt>
                <c:pt idx="172">
                  <c:v>FEB.24</c:v>
                </c:pt>
                <c:pt idx="173">
                  <c:v>FEB.24</c:v>
                </c:pt>
                <c:pt idx="174">
                  <c:v>FEB.24</c:v>
                </c:pt>
                <c:pt idx="175">
                  <c:v>FEB.24</c:v>
                </c:pt>
                <c:pt idx="176">
                  <c:v>FEB.24</c:v>
                </c:pt>
                <c:pt idx="177">
                  <c:v>FEB.24</c:v>
                </c:pt>
                <c:pt idx="178">
                  <c:v>FEB.24</c:v>
                </c:pt>
                <c:pt idx="179">
                  <c:v>FEB.24</c:v>
                </c:pt>
                <c:pt idx="180">
                  <c:v>FEB.24</c:v>
                </c:pt>
                <c:pt idx="181">
                  <c:v>FEB.24</c:v>
                </c:pt>
                <c:pt idx="182">
                  <c:v>FEB.24</c:v>
                </c:pt>
                <c:pt idx="183">
                  <c:v>FEB.24</c:v>
                </c:pt>
                <c:pt idx="184">
                  <c:v>FEB.24</c:v>
                </c:pt>
                <c:pt idx="185">
                  <c:v>FEB.24</c:v>
                </c:pt>
                <c:pt idx="186">
                  <c:v>FEB.24</c:v>
                </c:pt>
                <c:pt idx="187">
                  <c:v>FEB.24</c:v>
                </c:pt>
                <c:pt idx="188">
                  <c:v>FEB.24</c:v>
                </c:pt>
                <c:pt idx="189">
                  <c:v>FEB.24</c:v>
                </c:pt>
                <c:pt idx="190">
                  <c:v>FEB.24</c:v>
                </c:pt>
                <c:pt idx="191">
                  <c:v>FEB.24</c:v>
                </c:pt>
                <c:pt idx="192">
                  <c:v>FEB.24</c:v>
                </c:pt>
                <c:pt idx="193">
                  <c:v>FEB.24</c:v>
                </c:pt>
                <c:pt idx="194">
                  <c:v>FEB.24</c:v>
                </c:pt>
                <c:pt idx="195">
                  <c:v>FEB.24</c:v>
                </c:pt>
                <c:pt idx="196">
                  <c:v>FEB.24</c:v>
                </c:pt>
                <c:pt idx="197">
                  <c:v>FEB.24</c:v>
                </c:pt>
                <c:pt idx="198">
                  <c:v>FEB.24</c:v>
                </c:pt>
                <c:pt idx="199">
                  <c:v>FEB.24</c:v>
                </c:pt>
                <c:pt idx="200">
                  <c:v>FEB.24</c:v>
                </c:pt>
                <c:pt idx="201">
                  <c:v>FEB.24</c:v>
                </c:pt>
                <c:pt idx="202">
                  <c:v>FEB.24</c:v>
                </c:pt>
                <c:pt idx="203">
                  <c:v>FEB.24</c:v>
                </c:pt>
                <c:pt idx="204">
                  <c:v>FEB.24</c:v>
                </c:pt>
                <c:pt idx="205">
                  <c:v>FEB.24</c:v>
                </c:pt>
                <c:pt idx="206">
                  <c:v>FEB.24</c:v>
                </c:pt>
                <c:pt idx="207">
                  <c:v>FEB.24</c:v>
                </c:pt>
                <c:pt idx="208">
                  <c:v>FEB.24</c:v>
                </c:pt>
                <c:pt idx="209">
                  <c:v>FEB.24</c:v>
                </c:pt>
                <c:pt idx="210">
                  <c:v>FEB.24</c:v>
                </c:pt>
                <c:pt idx="211">
                  <c:v>FEB.24</c:v>
                </c:pt>
                <c:pt idx="212">
                  <c:v>FEB.24</c:v>
                </c:pt>
                <c:pt idx="213">
                  <c:v>FEB.24</c:v>
                </c:pt>
                <c:pt idx="214">
                  <c:v>FEB.24</c:v>
                </c:pt>
                <c:pt idx="215">
                  <c:v>FEB.24</c:v>
                </c:pt>
                <c:pt idx="216">
                  <c:v>FEB.24</c:v>
                </c:pt>
                <c:pt idx="217">
                  <c:v>FEB.24</c:v>
                </c:pt>
                <c:pt idx="218">
                  <c:v>FEB.24</c:v>
                </c:pt>
                <c:pt idx="219">
                  <c:v>FEB.24</c:v>
                </c:pt>
                <c:pt idx="220">
                  <c:v>FEB.24</c:v>
                </c:pt>
                <c:pt idx="221">
                  <c:v>FEB.24</c:v>
                </c:pt>
                <c:pt idx="222">
                  <c:v>FEB.24</c:v>
                </c:pt>
                <c:pt idx="223">
                  <c:v>FEB.24</c:v>
                </c:pt>
                <c:pt idx="224">
                  <c:v>FEB.24</c:v>
                </c:pt>
                <c:pt idx="225">
                  <c:v>FEB.24</c:v>
                </c:pt>
                <c:pt idx="226">
                  <c:v>FEB.24</c:v>
                </c:pt>
                <c:pt idx="227">
                  <c:v>FEB.24</c:v>
                </c:pt>
                <c:pt idx="228">
                  <c:v>FEB.24</c:v>
                </c:pt>
                <c:pt idx="229">
                  <c:v>FEB.24</c:v>
                </c:pt>
                <c:pt idx="230">
                  <c:v>FEB.24</c:v>
                </c:pt>
                <c:pt idx="231">
                  <c:v>FEB.24</c:v>
                </c:pt>
                <c:pt idx="232">
                  <c:v>FEB.24</c:v>
                </c:pt>
                <c:pt idx="233">
                  <c:v>FEB.24</c:v>
                </c:pt>
                <c:pt idx="234">
                  <c:v>FEB.24</c:v>
                </c:pt>
                <c:pt idx="235">
                  <c:v>FEB.24</c:v>
                </c:pt>
                <c:pt idx="236">
                  <c:v>FEB.24</c:v>
                </c:pt>
                <c:pt idx="237">
                  <c:v>FEB.24</c:v>
                </c:pt>
                <c:pt idx="238">
                  <c:v>FEB.24</c:v>
                </c:pt>
                <c:pt idx="239">
                  <c:v>FEB.24</c:v>
                </c:pt>
                <c:pt idx="240">
                  <c:v>FEB.24</c:v>
                </c:pt>
                <c:pt idx="241">
                  <c:v>FEB.24</c:v>
                </c:pt>
                <c:pt idx="242">
                  <c:v>FEB.24</c:v>
                </c:pt>
                <c:pt idx="243">
                  <c:v>FEB.24</c:v>
                </c:pt>
                <c:pt idx="244">
                  <c:v>FEB.24</c:v>
                </c:pt>
                <c:pt idx="245">
                  <c:v>FEB.24</c:v>
                </c:pt>
                <c:pt idx="246">
                  <c:v>FEB.24</c:v>
                </c:pt>
                <c:pt idx="247">
                  <c:v>FEB.24</c:v>
                </c:pt>
                <c:pt idx="248">
                  <c:v>FEB.24</c:v>
                </c:pt>
                <c:pt idx="249">
                  <c:v>FEB.24</c:v>
                </c:pt>
                <c:pt idx="250">
                  <c:v>FEB.24</c:v>
                </c:pt>
                <c:pt idx="251">
                  <c:v>FEB.24</c:v>
                </c:pt>
                <c:pt idx="252">
                  <c:v>March 24 live</c:v>
                </c:pt>
                <c:pt idx="253">
                  <c:v>MAR.24</c:v>
                </c:pt>
                <c:pt idx="254">
                  <c:v>MAR.24</c:v>
                </c:pt>
                <c:pt idx="255">
                  <c:v>MAR.24</c:v>
                </c:pt>
                <c:pt idx="256">
                  <c:v>MAR.24</c:v>
                </c:pt>
                <c:pt idx="257">
                  <c:v>MAR.24</c:v>
                </c:pt>
                <c:pt idx="258">
                  <c:v>MAR.24</c:v>
                </c:pt>
                <c:pt idx="259">
                  <c:v>MAR.24</c:v>
                </c:pt>
                <c:pt idx="260">
                  <c:v>MAR.24</c:v>
                </c:pt>
                <c:pt idx="261">
                  <c:v>MAR.24</c:v>
                </c:pt>
                <c:pt idx="262">
                  <c:v>MAR.24</c:v>
                </c:pt>
                <c:pt idx="263">
                  <c:v>MAR.24</c:v>
                </c:pt>
                <c:pt idx="264">
                  <c:v>MAR.24</c:v>
                </c:pt>
                <c:pt idx="265">
                  <c:v>MAR.24</c:v>
                </c:pt>
                <c:pt idx="266">
                  <c:v>MAR.24</c:v>
                </c:pt>
                <c:pt idx="267">
                  <c:v>MAR.24</c:v>
                </c:pt>
                <c:pt idx="268">
                  <c:v>MAR.24</c:v>
                </c:pt>
                <c:pt idx="269">
                  <c:v>MAR.24</c:v>
                </c:pt>
                <c:pt idx="270">
                  <c:v>MAR.24</c:v>
                </c:pt>
                <c:pt idx="271">
                  <c:v>MAR.24</c:v>
                </c:pt>
                <c:pt idx="272">
                  <c:v>MAR.24</c:v>
                </c:pt>
                <c:pt idx="273">
                  <c:v>MAR.24</c:v>
                </c:pt>
                <c:pt idx="274">
                  <c:v>MAR.24</c:v>
                </c:pt>
                <c:pt idx="275">
                  <c:v>MAR.24</c:v>
                </c:pt>
                <c:pt idx="276">
                  <c:v>MAR.24</c:v>
                </c:pt>
                <c:pt idx="277">
                  <c:v>MAR.24</c:v>
                </c:pt>
                <c:pt idx="278">
                  <c:v>MAR.24</c:v>
                </c:pt>
                <c:pt idx="279">
                  <c:v>MAR.24</c:v>
                </c:pt>
                <c:pt idx="280">
                  <c:v>MAR.24</c:v>
                </c:pt>
                <c:pt idx="281">
                  <c:v>MAR.24</c:v>
                </c:pt>
                <c:pt idx="282">
                  <c:v>MAR.24</c:v>
                </c:pt>
                <c:pt idx="283">
                  <c:v>MAR.24</c:v>
                </c:pt>
                <c:pt idx="284">
                  <c:v>MAR.24</c:v>
                </c:pt>
                <c:pt idx="285">
                  <c:v>MAR.24</c:v>
                </c:pt>
                <c:pt idx="286">
                  <c:v>MAR.24</c:v>
                </c:pt>
                <c:pt idx="287">
                  <c:v>MAR.24</c:v>
                </c:pt>
                <c:pt idx="288">
                  <c:v>MAR.24</c:v>
                </c:pt>
                <c:pt idx="289">
                  <c:v>MAR.24</c:v>
                </c:pt>
                <c:pt idx="290">
                  <c:v>MAR.24</c:v>
                </c:pt>
                <c:pt idx="291">
                  <c:v>MAR.24</c:v>
                </c:pt>
                <c:pt idx="292">
                  <c:v>MAR.24</c:v>
                </c:pt>
                <c:pt idx="293">
                  <c:v>MAR.24</c:v>
                </c:pt>
                <c:pt idx="294">
                  <c:v>MAR.24</c:v>
                </c:pt>
                <c:pt idx="295">
                  <c:v>MAR.24</c:v>
                </c:pt>
                <c:pt idx="296">
                  <c:v>MAR.24</c:v>
                </c:pt>
                <c:pt idx="297">
                  <c:v>MAR.24</c:v>
                </c:pt>
                <c:pt idx="298">
                  <c:v>MAR.24</c:v>
                </c:pt>
                <c:pt idx="299">
                  <c:v>MAR.24</c:v>
                </c:pt>
                <c:pt idx="300">
                  <c:v>MAR.24</c:v>
                </c:pt>
                <c:pt idx="301">
                  <c:v>MAR.24</c:v>
                </c:pt>
                <c:pt idx="302">
                  <c:v>MAR.24</c:v>
                </c:pt>
                <c:pt idx="303">
                  <c:v>MAR.24</c:v>
                </c:pt>
                <c:pt idx="304">
                  <c:v>MAR.24</c:v>
                </c:pt>
                <c:pt idx="305">
                  <c:v>MAR.24</c:v>
                </c:pt>
                <c:pt idx="306">
                  <c:v>MAR.24</c:v>
                </c:pt>
                <c:pt idx="307">
                  <c:v>MAR.24</c:v>
                </c:pt>
                <c:pt idx="308">
                  <c:v>MAR.24</c:v>
                </c:pt>
                <c:pt idx="309">
                  <c:v>MAR.24</c:v>
                </c:pt>
                <c:pt idx="310">
                  <c:v>MAR.24</c:v>
                </c:pt>
                <c:pt idx="311">
                  <c:v>MAR.24</c:v>
                </c:pt>
                <c:pt idx="312">
                  <c:v>MAR.24</c:v>
                </c:pt>
                <c:pt idx="313">
                  <c:v>MAR.24</c:v>
                </c:pt>
                <c:pt idx="314">
                  <c:v>MAR.24</c:v>
                </c:pt>
                <c:pt idx="315">
                  <c:v>MAR.24</c:v>
                </c:pt>
                <c:pt idx="316">
                  <c:v>MAR.24</c:v>
                </c:pt>
                <c:pt idx="317">
                  <c:v>MAR.24</c:v>
                </c:pt>
                <c:pt idx="318">
                  <c:v>MAR.24</c:v>
                </c:pt>
                <c:pt idx="319">
                  <c:v>MAR.24</c:v>
                </c:pt>
                <c:pt idx="320">
                  <c:v>MAR.24</c:v>
                </c:pt>
                <c:pt idx="321">
                  <c:v>MAR.24</c:v>
                </c:pt>
                <c:pt idx="322">
                  <c:v>MAR.24</c:v>
                </c:pt>
                <c:pt idx="323">
                  <c:v>MAR.24</c:v>
                </c:pt>
                <c:pt idx="324">
                  <c:v>MAR.24</c:v>
                </c:pt>
                <c:pt idx="325">
                  <c:v>MAR.24</c:v>
                </c:pt>
                <c:pt idx="326">
                  <c:v>MAR.24</c:v>
                </c:pt>
                <c:pt idx="327">
                  <c:v>MAR.24</c:v>
                </c:pt>
                <c:pt idx="328">
                  <c:v>MAR.24</c:v>
                </c:pt>
                <c:pt idx="329">
                  <c:v>MAR.24</c:v>
                </c:pt>
                <c:pt idx="330">
                  <c:v>MAR.24</c:v>
                </c:pt>
                <c:pt idx="331">
                  <c:v>MAR.24</c:v>
                </c:pt>
                <c:pt idx="332">
                  <c:v>MAR.24</c:v>
                </c:pt>
                <c:pt idx="333">
                  <c:v>MAR.24</c:v>
                </c:pt>
                <c:pt idx="334">
                  <c:v>MAR.24</c:v>
                </c:pt>
                <c:pt idx="335">
                  <c:v>MAR.24</c:v>
                </c:pt>
                <c:pt idx="336">
                  <c:v>MAR.24</c:v>
                </c:pt>
                <c:pt idx="337">
                  <c:v>MAR.24</c:v>
                </c:pt>
                <c:pt idx="338">
                  <c:v>MAR.24</c:v>
                </c:pt>
                <c:pt idx="339">
                  <c:v>MAR.24</c:v>
                </c:pt>
                <c:pt idx="340">
                  <c:v>MAR.24</c:v>
                </c:pt>
                <c:pt idx="341">
                  <c:v>MAR.24</c:v>
                </c:pt>
                <c:pt idx="342">
                  <c:v>MAR.24</c:v>
                </c:pt>
                <c:pt idx="343">
                  <c:v>MAR.24</c:v>
                </c:pt>
                <c:pt idx="344">
                  <c:v>MAR.24</c:v>
                </c:pt>
                <c:pt idx="345">
                  <c:v>April 24 live</c:v>
                </c:pt>
                <c:pt idx="346">
                  <c:v>APR.24</c:v>
                </c:pt>
                <c:pt idx="347">
                  <c:v>APR.24</c:v>
                </c:pt>
                <c:pt idx="348">
                  <c:v>APR.24</c:v>
                </c:pt>
                <c:pt idx="349">
                  <c:v>APR.24</c:v>
                </c:pt>
                <c:pt idx="350">
                  <c:v>APR.24</c:v>
                </c:pt>
                <c:pt idx="351">
                  <c:v>APR.24</c:v>
                </c:pt>
                <c:pt idx="352">
                  <c:v>APR.24</c:v>
                </c:pt>
                <c:pt idx="353">
                  <c:v>APR.24</c:v>
                </c:pt>
                <c:pt idx="354">
                  <c:v>APR.24</c:v>
                </c:pt>
                <c:pt idx="355">
                  <c:v>APR.24</c:v>
                </c:pt>
                <c:pt idx="356">
                  <c:v>APR.24</c:v>
                </c:pt>
                <c:pt idx="357">
                  <c:v>APR.24</c:v>
                </c:pt>
                <c:pt idx="358">
                  <c:v>APR.24</c:v>
                </c:pt>
                <c:pt idx="359">
                  <c:v>APR.24</c:v>
                </c:pt>
                <c:pt idx="360">
                  <c:v>APR.24</c:v>
                </c:pt>
                <c:pt idx="361">
                  <c:v>APR.24</c:v>
                </c:pt>
                <c:pt idx="362">
                  <c:v>APR.24</c:v>
                </c:pt>
                <c:pt idx="363">
                  <c:v>APR.24</c:v>
                </c:pt>
                <c:pt idx="364">
                  <c:v>APR.24</c:v>
                </c:pt>
                <c:pt idx="365">
                  <c:v>APR.24</c:v>
                </c:pt>
                <c:pt idx="366">
                  <c:v>APR.24</c:v>
                </c:pt>
                <c:pt idx="367">
                  <c:v>APR.24</c:v>
                </c:pt>
                <c:pt idx="368">
                  <c:v>APR.24</c:v>
                </c:pt>
                <c:pt idx="369">
                  <c:v>APR.24</c:v>
                </c:pt>
                <c:pt idx="370">
                  <c:v>APR.24</c:v>
                </c:pt>
                <c:pt idx="371">
                  <c:v>APR.24</c:v>
                </c:pt>
                <c:pt idx="372">
                  <c:v>APR.24</c:v>
                </c:pt>
                <c:pt idx="373">
                  <c:v>APR.24</c:v>
                </c:pt>
                <c:pt idx="374">
                  <c:v>APR.24</c:v>
                </c:pt>
                <c:pt idx="375">
                  <c:v>APR.24</c:v>
                </c:pt>
                <c:pt idx="376">
                  <c:v>APR.24</c:v>
                </c:pt>
                <c:pt idx="377">
                  <c:v>APR.24</c:v>
                </c:pt>
                <c:pt idx="378">
                  <c:v>APR.24</c:v>
                </c:pt>
                <c:pt idx="379">
                  <c:v>APR.24</c:v>
                </c:pt>
                <c:pt idx="380">
                  <c:v>APR.24</c:v>
                </c:pt>
                <c:pt idx="381">
                  <c:v>APR.24</c:v>
                </c:pt>
                <c:pt idx="382">
                  <c:v>APR.24</c:v>
                </c:pt>
                <c:pt idx="383">
                  <c:v>APR.24</c:v>
                </c:pt>
                <c:pt idx="384">
                  <c:v>APR.24</c:v>
                </c:pt>
                <c:pt idx="385">
                  <c:v>APR.24</c:v>
                </c:pt>
                <c:pt idx="386">
                  <c:v>APR.24</c:v>
                </c:pt>
                <c:pt idx="387">
                  <c:v>APR.24</c:v>
                </c:pt>
                <c:pt idx="388">
                  <c:v>APR.24</c:v>
                </c:pt>
                <c:pt idx="389">
                  <c:v>APR.24</c:v>
                </c:pt>
                <c:pt idx="390">
                  <c:v>APR.24</c:v>
                </c:pt>
                <c:pt idx="391">
                  <c:v>APR.24</c:v>
                </c:pt>
                <c:pt idx="392">
                  <c:v>APR.24</c:v>
                </c:pt>
                <c:pt idx="393">
                  <c:v>APR.24</c:v>
                </c:pt>
                <c:pt idx="394">
                  <c:v>APR.24</c:v>
                </c:pt>
                <c:pt idx="395">
                  <c:v>APR.24</c:v>
                </c:pt>
                <c:pt idx="396">
                  <c:v>APR.24</c:v>
                </c:pt>
                <c:pt idx="397">
                  <c:v>APR.24</c:v>
                </c:pt>
                <c:pt idx="398">
                  <c:v>APR.24</c:v>
                </c:pt>
                <c:pt idx="399">
                  <c:v>APR.24</c:v>
                </c:pt>
                <c:pt idx="400">
                  <c:v>APR.24</c:v>
                </c:pt>
                <c:pt idx="401">
                  <c:v>APR.24</c:v>
                </c:pt>
                <c:pt idx="402">
                  <c:v>APR.24</c:v>
                </c:pt>
                <c:pt idx="403">
                  <c:v>APR.24</c:v>
                </c:pt>
                <c:pt idx="404">
                  <c:v>APR.24</c:v>
                </c:pt>
                <c:pt idx="405">
                  <c:v>APR.24</c:v>
                </c:pt>
                <c:pt idx="406">
                  <c:v>APR.24</c:v>
                </c:pt>
                <c:pt idx="407">
                  <c:v>APR.24</c:v>
                </c:pt>
                <c:pt idx="408">
                  <c:v>APR.24</c:v>
                </c:pt>
                <c:pt idx="409">
                  <c:v>APR.24</c:v>
                </c:pt>
                <c:pt idx="410">
                  <c:v>APR.24</c:v>
                </c:pt>
                <c:pt idx="411">
                  <c:v>APR.24</c:v>
                </c:pt>
                <c:pt idx="412">
                  <c:v>APR.24</c:v>
                </c:pt>
                <c:pt idx="413">
                  <c:v>APR.24</c:v>
                </c:pt>
                <c:pt idx="414">
                  <c:v>APR.24</c:v>
                </c:pt>
                <c:pt idx="415">
                  <c:v>APR.24</c:v>
                </c:pt>
                <c:pt idx="416">
                  <c:v>APR.24</c:v>
                </c:pt>
                <c:pt idx="417">
                  <c:v>APR.24</c:v>
                </c:pt>
                <c:pt idx="418">
                  <c:v>APR.24</c:v>
                </c:pt>
                <c:pt idx="419">
                  <c:v>APR.24</c:v>
                </c:pt>
                <c:pt idx="420">
                  <c:v>APR.24</c:v>
                </c:pt>
                <c:pt idx="421">
                  <c:v>APR.24</c:v>
                </c:pt>
                <c:pt idx="422">
                  <c:v>APR.24</c:v>
                </c:pt>
                <c:pt idx="423">
                  <c:v>APR.24</c:v>
                </c:pt>
                <c:pt idx="424">
                  <c:v>APR.24</c:v>
                </c:pt>
                <c:pt idx="425">
                  <c:v>APR.24</c:v>
                </c:pt>
                <c:pt idx="426">
                  <c:v>APR.24</c:v>
                </c:pt>
                <c:pt idx="427">
                  <c:v>APR.24</c:v>
                </c:pt>
                <c:pt idx="428">
                  <c:v>APR.24</c:v>
                </c:pt>
                <c:pt idx="429">
                  <c:v>APR.24</c:v>
                </c:pt>
                <c:pt idx="430">
                  <c:v>APR.24</c:v>
                </c:pt>
                <c:pt idx="431">
                  <c:v>APR.24</c:v>
                </c:pt>
                <c:pt idx="432">
                  <c:v>APR.24</c:v>
                </c:pt>
                <c:pt idx="433">
                  <c:v>APR.24</c:v>
                </c:pt>
                <c:pt idx="434">
                  <c:v>APR.24</c:v>
                </c:pt>
                <c:pt idx="435">
                  <c:v>APR.24</c:v>
                </c:pt>
                <c:pt idx="436">
                  <c:v>APR.24</c:v>
                </c:pt>
                <c:pt idx="437">
                  <c:v>APR.24</c:v>
                </c:pt>
                <c:pt idx="438">
                  <c:v>APR.24</c:v>
                </c:pt>
                <c:pt idx="439">
                  <c:v>APR.24</c:v>
                </c:pt>
                <c:pt idx="440">
                  <c:v>APR.24</c:v>
                </c:pt>
                <c:pt idx="441">
                  <c:v>APR.24</c:v>
                </c:pt>
                <c:pt idx="442">
                  <c:v>APR.24</c:v>
                </c:pt>
                <c:pt idx="443">
                  <c:v>APR.24</c:v>
                </c:pt>
                <c:pt idx="444">
                  <c:v>APR.24</c:v>
                </c:pt>
                <c:pt idx="445">
                  <c:v>APR.24</c:v>
                </c:pt>
                <c:pt idx="446">
                  <c:v>APR.24</c:v>
                </c:pt>
                <c:pt idx="447">
                  <c:v>APR.24</c:v>
                </c:pt>
                <c:pt idx="448">
                  <c:v>APR.24</c:v>
                </c:pt>
                <c:pt idx="449">
                  <c:v>APR.24</c:v>
                </c:pt>
                <c:pt idx="450">
                  <c:v>APR.24</c:v>
                </c:pt>
                <c:pt idx="451">
                  <c:v>APR.24</c:v>
                </c:pt>
                <c:pt idx="452">
                  <c:v>APR.24</c:v>
                </c:pt>
                <c:pt idx="453">
                  <c:v>APR.24</c:v>
                </c:pt>
                <c:pt idx="454">
                  <c:v>APR.24</c:v>
                </c:pt>
                <c:pt idx="455">
                  <c:v>APR.24</c:v>
                </c:pt>
                <c:pt idx="456">
                  <c:v>APR.24</c:v>
                </c:pt>
                <c:pt idx="457">
                  <c:v>APR.24</c:v>
                </c:pt>
                <c:pt idx="458">
                  <c:v>APR.24</c:v>
                </c:pt>
                <c:pt idx="459">
                  <c:v>APR.24</c:v>
                </c:pt>
                <c:pt idx="460">
                  <c:v>APR.24</c:v>
                </c:pt>
                <c:pt idx="461">
                  <c:v>APR.24</c:v>
                </c:pt>
                <c:pt idx="462">
                  <c:v>APR.24</c:v>
                </c:pt>
                <c:pt idx="463">
                  <c:v>APR.24</c:v>
                </c:pt>
                <c:pt idx="464">
                  <c:v>APR.24</c:v>
                </c:pt>
                <c:pt idx="465">
                  <c:v>APR.24</c:v>
                </c:pt>
                <c:pt idx="466">
                  <c:v>APR.24</c:v>
                </c:pt>
                <c:pt idx="467">
                  <c:v>APR.24</c:v>
                </c:pt>
                <c:pt idx="468">
                  <c:v>APR.24</c:v>
                </c:pt>
                <c:pt idx="469">
                  <c:v>APR.24</c:v>
                </c:pt>
                <c:pt idx="470">
                  <c:v>APR.24</c:v>
                </c:pt>
                <c:pt idx="471">
                  <c:v>APR.24</c:v>
                </c:pt>
                <c:pt idx="472">
                  <c:v>APR.24</c:v>
                </c:pt>
                <c:pt idx="473">
                  <c:v>APR.24</c:v>
                </c:pt>
                <c:pt idx="474">
                  <c:v>APR.24</c:v>
                </c:pt>
                <c:pt idx="475">
                  <c:v>APR.24</c:v>
                </c:pt>
                <c:pt idx="476">
                  <c:v>APR.24</c:v>
                </c:pt>
                <c:pt idx="477">
                  <c:v>APR.24</c:v>
                </c:pt>
                <c:pt idx="478">
                  <c:v>APR.24</c:v>
                </c:pt>
                <c:pt idx="479">
                  <c:v>APR.24</c:v>
                </c:pt>
                <c:pt idx="480">
                  <c:v>APR.24</c:v>
                </c:pt>
                <c:pt idx="481">
                  <c:v>APR.24</c:v>
                </c:pt>
                <c:pt idx="482">
                  <c:v>APR.24</c:v>
                </c:pt>
                <c:pt idx="483">
                  <c:v>APR.24</c:v>
                </c:pt>
                <c:pt idx="484">
                  <c:v>APR.24</c:v>
                </c:pt>
                <c:pt idx="485">
                  <c:v>APR.24</c:v>
                </c:pt>
                <c:pt idx="486">
                  <c:v>APR.24</c:v>
                </c:pt>
                <c:pt idx="487">
                  <c:v>APR.24</c:v>
                </c:pt>
                <c:pt idx="488">
                  <c:v>APR.24</c:v>
                </c:pt>
                <c:pt idx="489">
                  <c:v>APR.24</c:v>
                </c:pt>
                <c:pt idx="490">
                  <c:v>APR.24</c:v>
                </c:pt>
                <c:pt idx="491">
                  <c:v>APR.24</c:v>
                </c:pt>
                <c:pt idx="492">
                  <c:v>APR.24</c:v>
                </c:pt>
                <c:pt idx="493">
                  <c:v>APR.24</c:v>
                </c:pt>
                <c:pt idx="494">
                  <c:v>APR.24</c:v>
                </c:pt>
                <c:pt idx="495">
                  <c:v>APR.24</c:v>
                </c:pt>
                <c:pt idx="496">
                  <c:v>APR.24</c:v>
                </c:pt>
                <c:pt idx="497">
                  <c:v>APR.24</c:v>
                </c:pt>
                <c:pt idx="498">
                  <c:v>APR.24</c:v>
                </c:pt>
                <c:pt idx="499">
                  <c:v>APR.24</c:v>
                </c:pt>
                <c:pt idx="500">
                  <c:v>APR.24</c:v>
                </c:pt>
                <c:pt idx="501">
                  <c:v>APR.24</c:v>
                </c:pt>
                <c:pt idx="502">
                  <c:v>APR.24</c:v>
                </c:pt>
                <c:pt idx="503">
                  <c:v>APR.24</c:v>
                </c:pt>
                <c:pt idx="504">
                  <c:v>APR.24</c:v>
                </c:pt>
                <c:pt idx="505">
                  <c:v>APR.24</c:v>
                </c:pt>
                <c:pt idx="506">
                  <c:v>APR.24</c:v>
                </c:pt>
                <c:pt idx="507">
                  <c:v>APR.24</c:v>
                </c:pt>
                <c:pt idx="508">
                  <c:v>APR.24</c:v>
                </c:pt>
                <c:pt idx="509">
                  <c:v>APR.24</c:v>
                </c:pt>
                <c:pt idx="510">
                  <c:v>APR.24</c:v>
                </c:pt>
                <c:pt idx="511">
                  <c:v>APR.24</c:v>
                </c:pt>
                <c:pt idx="512">
                  <c:v>APR.24</c:v>
                </c:pt>
                <c:pt idx="513">
                  <c:v>APR.24</c:v>
                </c:pt>
                <c:pt idx="514">
                  <c:v>APR.24</c:v>
                </c:pt>
                <c:pt idx="515">
                  <c:v>APR.24</c:v>
                </c:pt>
                <c:pt idx="516">
                  <c:v>APR.24</c:v>
                </c:pt>
                <c:pt idx="517">
                  <c:v>APR.24</c:v>
                </c:pt>
                <c:pt idx="518">
                  <c:v>APR.24</c:v>
                </c:pt>
                <c:pt idx="519">
                  <c:v>APR.24</c:v>
                </c:pt>
                <c:pt idx="520">
                  <c:v>APR.24</c:v>
                </c:pt>
                <c:pt idx="521">
                  <c:v>APR.24</c:v>
                </c:pt>
                <c:pt idx="522">
                  <c:v>APR.24</c:v>
                </c:pt>
                <c:pt idx="523">
                  <c:v>APR.24</c:v>
                </c:pt>
                <c:pt idx="524">
                  <c:v>APR.24</c:v>
                </c:pt>
                <c:pt idx="525">
                  <c:v>APR.24</c:v>
                </c:pt>
                <c:pt idx="526">
                  <c:v>APR.24</c:v>
                </c:pt>
                <c:pt idx="527">
                  <c:v>APR.24</c:v>
                </c:pt>
                <c:pt idx="528">
                  <c:v>APR.24</c:v>
                </c:pt>
                <c:pt idx="529">
                  <c:v>APR.24</c:v>
                </c:pt>
                <c:pt idx="530">
                  <c:v>APR.24</c:v>
                </c:pt>
                <c:pt idx="531">
                  <c:v>APR.24</c:v>
                </c:pt>
                <c:pt idx="532">
                  <c:v>APR.24</c:v>
                </c:pt>
                <c:pt idx="533">
                  <c:v>APR.24</c:v>
                </c:pt>
                <c:pt idx="534">
                  <c:v>APR.24</c:v>
                </c:pt>
                <c:pt idx="535">
                  <c:v>APR.24</c:v>
                </c:pt>
                <c:pt idx="536">
                  <c:v>May 24 live</c:v>
                </c:pt>
                <c:pt idx="537">
                  <c:v>MAY.24</c:v>
                </c:pt>
                <c:pt idx="538">
                  <c:v>MAY.24</c:v>
                </c:pt>
                <c:pt idx="539">
                  <c:v>MAY.24</c:v>
                </c:pt>
                <c:pt idx="540">
                  <c:v>MAY.24</c:v>
                </c:pt>
                <c:pt idx="541">
                  <c:v>MAY.24</c:v>
                </c:pt>
                <c:pt idx="542">
                  <c:v>MAY.24</c:v>
                </c:pt>
                <c:pt idx="543">
                  <c:v>MAY.24</c:v>
                </c:pt>
                <c:pt idx="544">
                  <c:v>MAY.24</c:v>
                </c:pt>
                <c:pt idx="545">
                  <c:v>MAY.24</c:v>
                </c:pt>
                <c:pt idx="546">
                  <c:v>MAY.24</c:v>
                </c:pt>
                <c:pt idx="547">
                  <c:v>MAY.24</c:v>
                </c:pt>
                <c:pt idx="548">
                  <c:v>MAY.24</c:v>
                </c:pt>
                <c:pt idx="549">
                  <c:v>MAY.24</c:v>
                </c:pt>
                <c:pt idx="550">
                  <c:v>MAY.24</c:v>
                </c:pt>
                <c:pt idx="551">
                  <c:v>MAY.24</c:v>
                </c:pt>
                <c:pt idx="552">
                  <c:v>MAY.24</c:v>
                </c:pt>
                <c:pt idx="553">
                  <c:v>MAY.24</c:v>
                </c:pt>
                <c:pt idx="554">
                  <c:v>MAY.24</c:v>
                </c:pt>
                <c:pt idx="555">
                  <c:v>MAY.24</c:v>
                </c:pt>
                <c:pt idx="556">
                  <c:v>MAY.24</c:v>
                </c:pt>
                <c:pt idx="557">
                  <c:v>MAY.24</c:v>
                </c:pt>
                <c:pt idx="558">
                  <c:v>MAY.24</c:v>
                </c:pt>
                <c:pt idx="559">
                  <c:v>MAY.24</c:v>
                </c:pt>
                <c:pt idx="560">
                  <c:v>MAY.24</c:v>
                </c:pt>
                <c:pt idx="561">
                  <c:v>MAY.24</c:v>
                </c:pt>
                <c:pt idx="562">
                  <c:v>MAY.24</c:v>
                </c:pt>
                <c:pt idx="563">
                  <c:v>MAY.24</c:v>
                </c:pt>
                <c:pt idx="564">
                  <c:v>MAY.24</c:v>
                </c:pt>
                <c:pt idx="565">
                  <c:v>MAY.24</c:v>
                </c:pt>
                <c:pt idx="566">
                  <c:v>MAY.24</c:v>
                </c:pt>
                <c:pt idx="567">
                  <c:v>MAY.24</c:v>
                </c:pt>
                <c:pt idx="568">
                  <c:v>MAY.24</c:v>
                </c:pt>
                <c:pt idx="569">
                  <c:v>MAY.24</c:v>
                </c:pt>
                <c:pt idx="570">
                  <c:v>MAY.24</c:v>
                </c:pt>
                <c:pt idx="571">
                  <c:v>MAY.24</c:v>
                </c:pt>
                <c:pt idx="572">
                  <c:v>MAY.24</c:v>
                </c:pt>
                <c:pt idx="573">
                  <c:v>MAY.24</c:v>
                </c:pt>
                <c:pt idx="574">
                  <c:v>MAY.24</c:v>
                </c:pt>
                <c:pt idx="575">
                  <c:v>MAY.24</c:v>
                </c:pt>
                <c:pt idx="576">
                  <c:v>MAY.24</c:v>
                </c:pt>
                <c:pt idx="577">
                  <c:v>MAY.24</c:v>
                </c:pt>
                <c:pt idx="578">
                  <c:v>MAY.24</c:v>
                </c:pt>
                <c:pt idx="579">
                  <c:v>MAY.24</c:v>
                </c:pt>
                <c:pt idx="580">
                  <c:v>MAY.24</c:v>
                </c:pt>
                <c:pt idx="581">
                  <c:v>MAY.24</c:v>
                </c:pt>
                <c:pt idx="582">
                  <c:v>MAY.24</c:v>
                </c:pt>
                <c:pt idx="583">
                  <c:v>MAY.24</c:v>
                </c:pt>
                <c:pt idx="584">
                  <c:v>MAY.24</c:v>
                </c:pt>
                <c:pt idx="585">
                  <c:v>MAY.24</c:v>
                </c:pt>
                <c:pt idx="586">
                  <c:v>MAY.24</c:v>
                </c:pt>
                <c:pt idx="587">
                  <c:v>MAY.24</c:v>
                </c:pt>
                <c:pt idx="588">
                  <c:v>MAY.24</c:v>
                </c:pt>
                <c:pt idx="589">
                  <c:v>MAY.24</c:v>
                </c:pt>
                <c:pt idx="590">
                  <c:v>MAY.24</c:v>
                </c:pt>
                <c:pt idx="591">
                  <c:v>MAY.24</c:v>
                </c:pt>
                <c:pt idx="592">
                  <c:v>MAY.24</c:v>
                </c:pt>
                <c:pt idx="593">
                  <c:v>MAY.24</c:v>
                </c:pt>
                <c:pt idx="594">
                  <c:v>MAY.24</c:v>
                </c:pt>
                <c:pt idx="595">
                  <c:v>MAY.24</c:v>
                </c:pt>
                <c:pt idx="596">
                  <c:v>MAY.24</c:v>
                </c:pt>
                <c:pt idx="597">
                  <c:v>MAY.24</c:v>
                </c:pt>
                <c:pt idx="598">
                  <c:v>MAY.24</c:v>
                </c:pt>
                <c:pt idx="599">
                  <c:v>MAY.24</c:v>
                </c:pt>
                <c:pt idx="600">
                  <c:v>MAY.24</c:v>
                </c:pt>
                <c:pt idx="601">
                  <c:v>MAY.24</c:v>
                </c:pt>
                <c:pt idx="602">
                  <c:v>MAY.24</c:v>
                </c:pt>
                <c:pt idx="603">
                  <c:v>MAY.24</c:v>
                </c:pt>
                <c:pt idx="604">
                  <c:v>MAY.24</c:v>
                </c:pt>
                <c:pt idx="605">
                  <c:v>MAY.24</c:v>
                </c:pt>
                <c:pt idx="606">
                  <c:v>MAY.24</c:v>
                </c:pt>
                <c:pt idx="607">
                  <c:v>MAY.24</c:v>
                </c:pt>
                <c:pt idx="608">
                  <c:v>MAY.24</c:v>
                </c:pt>
                <c:pt idx="609">
                  <c:v>MAY.24</c:v>
                </c:pt>
                <c:pt idx="610">
                  <c:v>MAY.24</c:v>
                </c:pt>
                <c:pt idx="611">
                  <c:v>MAY.24</c:v>
                </c:pt>
                <c:pt idx="612">
                  <c:v>MAY.24</c:v>
                </c:pt>
                <c:pt idx="613">
                  <c:v>MAY.24</c:v>
                </c:pt>
                <c:pt idx="614">
                  <c:v>MAY.24</c:v>
                </c:pt>
                <c:pt idx="615">
                  <c:v>MAY.24</c:v>
                </c:pt>
                <c:pt idx="616">
                  <c:v>MAY.24</c:v>
                </c:pt>
                <c:pt idx="617">
                  <c:v>MAY.24</c:v>
                </c:pt>
                <c:pt idx="618">
                  <c:v>MAY.24</c:v>
                </c:pt>
                <c:pt idx="619">
                  <c:v>MAY.24</c:v>
                </c:pt>
                <c:pt idx="620">
                  <c:v>MAY.24</c:v>
                </c:pt>
                <c:pt idx="621">
                  <c:v>MAY.24</c:v>
                </c:pt>
                <c:pt idx="622">
                  <c:v>MAY.24</c:v>
                </c:pt>
                <c:pt idx="623">
                  <c:v>MAY.24</c:v>
                </c:pt>
                <c:pt idx="624">
                  <c:v>MAY.24</c:v>
                </c:pt>
                <c:pt idx="625">
                  <c:v>MAY.24</c:v>
                </c:pt>
                <c:pt idx="626">
                  <c:v>MAY.24</c:v>
                </c:pt>
                <c:pt idx="627">
                  <c:v>MAY.24</c:v>
                </c:pt>
                <c:pt idx="628">
                  <c:v>MAY.24</c:v>
                </c:pt>
                <c:pt idx="629">
                  <c:v>MAY.24</c:v>
                </c:pt>
                <c:pt idx="630">
                  <c:v>MAY.24</c:v>
                </c:pt>
                <c:pt idx="631">
                  <c:v>MAY.24</c:v>
                </c:pt>
                <c:pt idx="632">
                  <c:v>MAY.24</c:v>
                </c:pt>
                <c:pt idx="633">
                  <c:v>MAY.24</c:v>
                </c:pt>
                <c:pt idx="634">
                  <c:v>MAY.24</c:v>
                </c:pt>
                <c:pt idx="635">
                  <c:v>MAY.24</c:v>
                </c:pt>
                <c:pt idx="636">
                  <c:v>MAY.24</c:v>
                </c:pt>
                <c:pt idx="637">
                  <c:v>MAY.24</c:v>
                </c:pt>
                <c:pt idx="638">
                  <c:v>MAY.24</c:v>
                </c:pt>
                <c:pt idx="639">
                  <c:v>MAY.24</c:v>
                </c:pt>
                <c:pt idx="640">
                  <c:v>MAY.24</c:v>
                </c:pt>
                <c:pt idx="641">
                  <c:v>MAY.24</c:v>
                </c:pt>
                <c:pt idx="642">
                  <c:v>MAY.24</c:v>
                </c:pt>
                <c:pt idx="643">
                  <c:v>MAY.24</c:v>
                </c:pt>
                <c:pt idx="644">
                  <c:v>MAY.24</c:v>
                </c:pt>
                <c:pt idx="645">
                  <c:v>MAY.24</c:v>
                </c:pt>
                <c:pt idx="646">
                  <c:v>MAY.24</c:v>
                </c:pt>
                <c:pt idx="647">
                  <c:v>MAY.24</c:v>
                </c:pt>
                <c:pt idx="648">
                  <c:v>MAY.24</c:v>
                </c:pt>
                <c:pt idx="649">
                  <c:v>MAY.24</c:v>
                </c:pt>
                <c:pt idx="650">
                  <c:v>MAY.24</c:v>
                </c:pt>
                <c:pt idx="651">
                  <c:v>MAY.24</c:v>
                </c:pt>
                <c:pt idx="652">
                  <c:v>MAY.24</c:v>
                </c:pt>
                <c:pt idx="653">
                  <c:v>MAY.24</c:v>
                </c:pt>
                <c:pt idx="654">
                  <c:v>MAY.24</c:v>
                </c:pt>
                <c:pt idx="655">
                  <c:v>MAY.24</c:v>
                </c:pt>
                <c:pt idx="656">
                  <c:v>MAY.24</c:v>
                </c:pt>
                <c:pt idx="657">
                  <c:v>MAY.24</c:v>
                </c:pt>
                <c:pt idx="658">
                  <c:v>MAY.24</c:v>
                </c:pt>
                <c:pt idx="659">
                  <c:v>MAY.24</c:v>
                </c:pt>
                <c:pt idx="660">
                  <c:v>MAY.24</c:v>
                </c:pt>
                <c:pt idx="661">
                  <c:v>MAY.24</c:v>
                </c:pt>
                <c:pt idx="662">
                  <c:v>MAY.24</c:v>
                </c:pt>
                <c:pt idx="663">
                  <c:v>MAY.24</c:v>
                </c:pt>
                <c:pt idx="664">
                  <c:v>MAY.24</c:v>
                </c:pt>
                <c:pt idx="665">
                  <c:v>MAY.24</c:v>
                </c:pt>
                <c:pt idx="666">
                  <c:v>MAY.24</c:v>
                </c:pt>
                <c:pt idx="667">
                  <c:v>MAY.24</c:v>
                </c:pt>
                <c:pt idx="668">
                  <c:v>MAY.24</c:v>
                </c:pt>
                <c:pt idx="669">
                  <c:v>MAY.24</c:v>
                </c:pt>
                <c:pt idx="670">
                  <c:v>MAY.24</c:v>
                </c:pt>
                <c:pt idx="671">
                  <c:v>MAY.24</c:v>
                </c:pt>
                <c:pt idx="672">
                  <c:v>MAY.24</c:v>
                </c:pt>
                <c:pt idx="673">
                  <c:v>MAY.24</c:v>
                </c:pt>
                <c:pt idx="674">
                  <c:v>MAY.24</c:v>
                </c:pt>
                <c:pt idx="675">
                  <c:v>MAY.24</c:v>
                </c:pt>
                <c:pt idx="676">
                  <c:v>MAY.24</c:v>
                </c:pt>
                <c:pt idx="677">
                  <c:v>MAY.24</c:v>
                </c:pt>
                <c:pt idx="678">
                  <c:v>MAY.24</c:v>
                </c:pt>
                <c:pt idx="679">
                  <c:v>MAY.24</c:v>
                </c:pt>
                <c:pt idx="680">
                  <c:v>MAY.24</c:v>
                </c:pt>
                <c:pt idx="681">
                  <c:v>MAY.24 after disaster</c:v>
                </c:pt>
                <c:pt idx="682">
                  <c:v>MAY.24</c:v>
                </c:pt>
                <c:pt idx="683">
                  <c:v>MAY.24</c:v>
                </c:pt>
                <c:pt idx="684">
                  <c:v>MAY.24</c:v>
                </c:pt>
                <c:pt idx="685">
                  <c:v>MAY.24</c:v>
                </c:pt>
                <c:pt idx="686">
                  <c:v>MAY.24</c:v>
                </c:pt>
                <c:pt idx="687">
                  <c:v>MAY.24</c:v>
                </c:pt>
                <c:pt idx="688">
                  <c:v>MAY.24</c:v>
                </c:pt>
                <c:pt idx="689">
                  <c:v>MAY.24</c:v>
                </c:pt>
                <c:pt idx="690">
                  <c:v>MAY.24</c:v>
                </c:pt>
                <c:pt idx="691">
                  <c:v>MAY.24</c:v>
                </c:pt>
                <c:pt idx="692">
                  <c:v>MAY.24</c:v>
                </c:pt>
                <c:pt idx="693">
                  <c:v>MAY.24</c:v>
                </c:pt>
                <c:pt idx="694">
                  <c:v>MAY.24</c:v>
                </c:pt>
                <c:pt idx="695">
                  <c:v>MAY.24</c:v>
                </c:pt>
                <c:pt idx="696">
                  <c:v>MAY.24 recovery</c:v>
                </c:pt>
                <c:pt idx="697">
                  <c:v>MAY.24</c:v>
                </c:pt>
                <c:pt idx="698">
                  <c:v>MAY.24</c:v>
                </c:pt>
                <c:pt idx="699">
                  <c:v>MAY.24</c:v>
                </c:pt>
                <c:pt idx="700">
                  <c:v>MAY.24</c:v>
                </c:pt>
                <c:pt idx="701">
                  <c:v>MAY.24</c:v>
                </c:pt>
                <c:pt idx="702">
                  <c:v>MAY.24</c:v>
                </c:pt>
                <c:pt idx="703">
                  <c:v>MAY.24</c:v>
                </c:pt>
                <c:pt idx="704">
                  <c:v>MAY.24</c:v>
                </c:pt>
                <c:pt idx="705">
                  <c:v>MAY.24</c:v>
                </c:pt>
                <c:pt idx="706">
                  <c:v>MAY.24</c:v>
                </c:pt>
                <c:pt idx="707">
                  <c:v>MAY.24</c:v>
                </c:pt>
                <c:pt idx="708">
                  <c:v>MAY.24</c:v>
                </c:pt>
                <c:pt idx="709">
                  <c:v>MAY.24</c:v>
                </c:pt>
                <c:pt idx="710">
                  <c:v>MAY.24</c:v>
                </c:pt>
                <c:pt idx="711">
                  <c:v>MAY.24</c:v>
                </c:pt>
                <c:pt idx="712">
                  <c:v>MAY.24</c:v>
                </c:pt>
                <c:pt idx="713">
                  <c:v>MAY.24</c:v>
                </c:pt>
                <c:pt idx="714">
                  <c:v>MAY.24</c:v>
                </c:pt>
                <c:pt idx="715">
                  <c:v>MAY.24</c:v>
                </c:pt>
                <c:pt idx="716">
                  <c:v>MAY.24</c:v>
                </c:pt>
                <c:pt idx="717">
                  <c:v>MAY.24</c:v>
                </c:pt>
                <c:pt idx="718">
                  <c:v>MAY.24</c:v>
                </c:pt>
                <c:pt idx="719">
                  <c:v>MAY.24</c:v>
                </c:pt>
                <c:pt idx="720">
                  <c:v>MAY.24</c:v>
                </c:pt>
                <c:pt idx="721">
                  <c:v>MAY.24</c:v>
                </c:pt>
                <c:pt idx="722">
                  <c:v>MAY.24</c:v>
                </c:pt>
                <c:pt idx="723">
                  <c:v>MAY.24</c:v>
                </c:pt>
                <c:pt idx="724">
                  <c:v>MAY.24</c:v>
                </c:pt>
                <c:pt idx="725">
                  <c:v>MAY.24</c:v>
                </c:pt>
                <c:pt idx="726">
                  <c:v>MAY.24</c:v>
                </c:pt>
                <c:pt idx="727">
                  <c:v>MAY.24</c:v>
                </c:pt>
                <c:pt idx="728">
                  <c:v>MAY.24</c:v>
                </c:pt>
                <c:pt idx="729">
                  <c:v>MAY.24</c:v>
                </c:pt>
                <c:pt idx="730">
                  <c:v>MAY.24</c:v>
                </c:pt>
                <c:pt idx="731">
                  <c:v>June24 live</c:v>
                </c:pt>
                <c:pt idx="732">
                  <c:v>JUN.24</c:v>
                </c:pt>
                <c:pt idx="733">
                  <c:v>JUN.24</c:v>
                </c:pt>
                <c:pt idx="734">
                  <c:v>JUN.24</c:v>
                </c:pt>
                <c:pt idx="735">
                  <c:v>JUN.24</c:v>
                </c:pt>
                <c:pt idx="736">
                  <c:v>JUN.24</c:v>
                </c:pt>
                <c:pt idx="737">
                  <c:v>JUN.24</c:v>
                </c:pt>
                <c:pt idx="738">
                  <c:v>JUN.24</c:v>
                </c:pt>
                <c:pt idx="739">
                  <c:v>JUN.24</c:v>
                </c:pt>
                <c:pt idx="740">
                  <c:v>JUN.24</c:v>
                </c:pt>
                <c:pt idx="741">
                  <c:v>JUN.24</c:v>
                </c:pt>
                <c:pt idx="742">
                  <c:v>JUN.24</c:v>
                </c:pt>
                <c:pt idx="743">
                  <c:v>JUN.24</c:v>
                </c:pt>
                <c:pt idx="744">
                  <c:v>JUN.24</c:v>
                </c:pt>
                <c:pt idx="745">
                  <c:v>JUN.24</c:v>
                </c:pt>
                <c:pt idx="746">
                  <c:v>JUN.24</c:v>
                </c:pt>
                <c:pt idx="747">
                  <c:v>JUN.24</c:v>
                </c:pt>
                <c:pt idx="748">
                  <c:v>JUN.24</c:v>
                </c:pt>
                <c:pt idx="749">
                  <c:v>JUN.24</c:v>
                </c:pt>
                <c:pt idx="750">
                  <c:v>JUN.24</c:v>
                </c:pt>
                <c:pt idx="751">
                  <c:v>JUN.24</c:v>
                </c:pt>
                <c:pt idx="752">
                  <c:v>JUN.24</c:v>
                </c:pt>
                <c:pt idx="753">
                  <c:v>JUN.24</c:v>
                </c:pt>
                <c:pt idx="754">
                  <c:v>JUN.24</c:v>
                </c:pt>
                <c:pt idx="755">
                  <c:v>JUN.24</c:v>
                </c:pt>
                <c:pt idx="756">
                  <c:v>JUN.24</c:v>
                </c:pt>
                <c:pt idx="757">
                  <c:v>JUN.24</c:v>
                </c:pt>
                <c:pt idx="758">
                  <c:v>JUN.24</c:v>
                </c:pt>
                <c:pt idx="759">
                  <c:v>JUN.24</c:v>
                </c:pt>
                <c:pt idx="760">
                  <c:v>JUN.24</c:v>
                </c:pt>
                <c:pt idx="761">
                  <c:v>JUN.24</c:v>
                </c:pt>
                <c:pt idx="762">
                  <c:v>JUN.24</c:v>
                </c:pt>
                <c:pt idx="763">
                  <c:v>JUN.24</c:v>
                </c:pt>
                <c:pt idx="764">
                  <c:v>JUN.24</c:v>
                </c:pt>
                <c:pt idx="765">
                  <c:v>JUN.24</c:v>
                </c:pt>
                <c:pt idx="766">
                  <c:v>JUN.24</c:v>
                </c:pt>
                <c:pt idx="767">
                  <c:v>JUN.24</c:v>
                </c:pt>
                <c:pt idx="768">
                  <c:v>JUN.24</c:v>
                </c:pt>
                <c:pt idx="769">
                  <c:v>JUN.24</c:v>
                </c:pt>
                <c:pt idx="770">
                  <c:v>JUN.24</c:v>
                </c:pt>
                <c:pt idx="771">
                  <c:v>JUN.24</c:v>
                </c:pt>
                <c:pt idx="772">
                  <c:v>JUN.24</c:v>
                </c:pt>
                <c:pt idx="773">
                  <c:v>JUN.24</c:v>
                </c:pt>
                <c:pt idx="774">
                  <c:v>JUN.24</c:v>
                </c:pt>
                <c:pt idx="775">
                  <c:v>JUN.24</c:v>
                </c:pt>
                <c:pt idx="776">
                  <c:v>JUN.24</c:v>
                </c:pt>
                <c:pt idx="777">
                  <c:v>JUN.24</c:v>
                </c:pt>
                <c:pt idx="778">
                  <c:v>JUN.24</c:v>
                </c:pt>
                <c:pt idx="779">
                  <c:v>JUN.24</c:v>
                </c:pt>
                <c:pt idx="780">
                  <c:v>JUN.24</c:v>
                </c:pt>
                <c:pt idx="781">
                  <c:v>JUN.24</c:v>
                </c:pt>
                <c:pt idx="782">
                  <c:v>JUN.24</c:v>
                </c:pt>
                <c:pt idx="783">
                  <c:v>JUN.24</c:v>
                </c:pt>
                <c:pt idx="784">
                  <c:v>JUN.24</c:v>
                </c:pt>
                <c:pt idx="785">
                  <c:v>JUN.24</c:v>
                </c:pt>
                <c:pt idx="786">
                  <c:v>JUN.24</c:v>
                </c:pt>
                <c:pt idx="787">
                  <c:v>JUN.24</c:v>
                </c:pt>
                <c:pt idx="788">
                  <c:v>JUN.24</c:v>
                </c:pt>
                <c:pt idx="789">
                  <c:v>JUN.24</c:v>
                </c:pt>
                <c:pt idx="790">
                  <c:v>JUN.24</c:v>
                </c:pt>
                <c:pt idx="791">
                  <c:v>JUN.24</c:v>
                </c:pt>
                <c:pt idx="792">
                  <c:v>JUN.24</c:v>
                </c:pt>
                <c:pt idx="793">
                  <c:v>JUN.24</c:v>
                </c:pt>
                <c:pt idx="794">
                  <c:v>JUN.24</c:v>
                </c:pt>
                <c:pt idx="795">
                  <c:v>JUN.24</c:v>
                </c:pt>
                <c:pt idx="796">
                  <c:v>JUN.24</c:v>
                </c:pt>
                <c:pt idx="797">
                  <c:v>JUN.24</c:v>
                </c:pt>
                <c:pt idx="798">
                  <c:v>JUN.24</c:v>
                </c:pt>
                <c:pt idx="799">
                  <c:v>JUN.24</c:v>
                </c:pt>
                <c:pt idx="800">
                  <c:v>JUN.24</c:v>
                </c:pt>
                <c:pt idx="801">
                  <c:v>JUN.24</c:v>
                </c:pt>
                <c:pt idx="802">
                  <c:v>JUN.24</c:v>
                </c:pt>
                <c:pt idx="803">
                  <c:v>JUN.24</c:v>
                </c:pt>
                <c:pt idx="804">
                  <c:v>JUN.24</c:v>
                </c:pt>
                <c:pt idx="805">
                  <c:v>JUN.24</c:v>
                </c:pt>
                <c:pt idx="806">
                  <c:v>JUN.24</c:v>
                </c:pt>
                <c:pt idx="807">
                  <c:v>JUN.24</c:v>
                </c:pt>
                <c:pt idx="808">
                  <c:v>JUN.24</c:v>
                </c:pt>
                <c:pt idx="809">
                  <c:v>JUN.24</c:v>
                </c:pt>
                <c:pt idx="810">
                  <c:v>JUN.24</c:v>
                </c:pt>
                <c:pt idx="811">
                  <c:v>JUN.24</c:v>
                </c:pt>
                <c:pt idx="812">
                  <c:v>JUN.24</c:v>
                </c:pt>
                <c:pt idx="813">
                  <c:v>JUN.24</c:v>
                </c:pt>
                <c:pt idx="814">
                  <c:v>JUN.24</c:v>
                </c:pt>
                <c:pt idx="815">
                  <c:v>JUN.24</c:v>
                </c:pt>
                <c:pt idx="816">
                  <c:v>JUN.24</c:v>
                </c:pt>
                <c:pt idx="817">
                  <c:v>JUN.24</c:v>
                </c:pt>
                <c:pt idx="818">
                  <c:v>JUN.24</c:v>
                </c:pt>
                <c:pt idx="819">
                  <c:v>JUN.24</c:v>
                </c:pt>
                <c:pt idx="820">
                  <c:v>JUN.24</c:v>
                </c:pt>
                <c:pt idx="821">
                  <c:v>JUN.24</c:v>
                </c:pt>
                <c:pt idx="822">
                  <c:v>JUN.24</c:v>
                </c:pt>
                <c:pt idx="823">
                  <c:v>JUN.24</c:v>
                </c:pt>
                <c:pt idx="824">
                  <c:v>JUN.24</c:v>
                </c:pt>
                <c:pt idx="825">
                  <c:v>JUN.24</c:v>
                </c:pt>
                <c:pt idx="826">
                  <c:v>JUN.24</c:v>
                </c:pt>
                <c:pt idx="827">
                  <c:v>JUN.24</c:v>
                </c:pt>
                <c:pt idx="828">
                  <c:v>JUN.24</c:v>
                </c:pt>
                <c:pt idx="829">
                  <c:v>JUN.24</c:v>
                </c:pt>
                <c:pt idx="830">
                  <c:v>JUN.24</c:v>
                </c:pt>
                <c:pt idx="831">
                  <c:v>JUN.24</c:v>
                </c:pt>
                <c:pt idx="832">
                  <c:v>JUN.24</c:v>
                </c:pt>
                <c:pt idx="833">
                  <c:v>JUN.24</c:v>
                </c:pt>
                <c:pt idx="834">
                  <c:v>JUN.24</c:v>
                </c:pt>
                <c:pt idx="835">
                  <c:v>JUN.24</c:v>
                </c:pt>
                <c:pt idx="836">
                  <c:v>JUN.24</c:v>
                </c:pt>
                <c:pt idx="837">
                  <c:v>JUN.24</c:v>
                </c:pt>
                <c:pt idx="838">
                  <c:v>JUN.24</c:v>
                </c:pt>
                <c:pt idx="839">
                  <c:v>JUN.24</c:v>
                </c:pt>
                <c:pt idx="840">
                  <c:v>JUN.24</c:v>
                </c:pt>
                <c:pt idx="841">
                  <c:v>JUN.24</c:v>
                </c:pt>
                <c:pt idx="842">
                  <c:v>JUN.24</c:v>
                </c:pt>
                <c:pt idx="843">
                  <c:v>JUN.24</c:v>
                </c:pt>
                <c:pt idx="844">
                  <c:v>JUN.24</c:v>
                </c:pt>
                <c:pt idx="845">
                  <c:v>JUN.24</c:v>
                </c:pt>
                <c:pt idx="846">
                  <c:v>JUN.24</c:v>
                </c:pt>
                <c:pt idx="847">
                  <c:v>JUN.24</c:v>
                </c:pt>
                <c:pt idx="848">
                  <c:v>JUN.24</c:v>
                </c:pt>
                <c:pt idx="849">
                  <c:v>JUN.24</c:v>
                </c:pt>
                <c:pt idx="850">
                  <c:v>JUN.24</c:v>
                </c:pt>
                <c:pt idx="851">
                  <c:v>JUN.24</c:v>
                </c:pt>
                <c:pt idx="852">
                  <c:v>JUN.24</c:v>
                </c:pt>
                <c:pt idx="853">
                  <c:v>JUN.24</c:v>
                </c:pt>
                <c:pt idx="854">
                  <c:v>JUN.24</c:v>
                </c:pt>
                <c:pt idx="855">
                  <c:v>JUN.24</c:v>
                </c:pt>
                <c:pt idx="856">
                  <c:v>JUN.24</c:v>
                </c:pt>
                <c:pt idx="857">
                  <c:v>JUN.24</c:v>
                </c:pt>
                <c:pt idx="858">
                  <c:v>JUN.24</c:v>
                </c:pt>
                <c:pt idx="859">
                  <c:v>JUN.24</c:v>
                </c:pt>
                <c:pt idx="860">
                  <c:v>JUN.24</c:v>
                </c:pt>
                <c:pt idx="861">
                  <c:v>JUN.24</c:v>
                </c:pt>
                <c:pt idx="862">
                  <c:v>JUN.24</c:v>
                </c:pt>
                <c:pt idx="863">
                  <c:v>JUN.24</c:v>
                </c:pt>
                <c:pt idx="864">
                  <c:v>JUN.24</c:v>
                </c:pt>
                <c:pt idx="865">
                  <c:v>JUN.24</c:v>
                </c:pt>
                <c:pt idx="866">
                  <c:v>JUN.24</c:v>
                </c:pt>
                <c:pt idx="867">
                  <c:v>JUN.24</c:v>
                </c:pt>
                <c:pt idx="868">
                  <c:v>JUN.24</c:v>
                </c:pt>
                <c:pt idx="869">
                  <c:v>JUN.24</c:v>
                </c:pt>
                <c:pt idx="870">
                  <c:v>JUN.24</c:v>
                </c:pt>
                <c:pt idx="871">
                  <c:v>JUN.24</c:v>
                </c:pt>
                <c:pt idx="872">
                  <c:v>JUN.24</c:v>
                </c:pt>
                <c:pt idx="873">
                  <c:v>JUN.24</c:v>
                </c:pt>
                <c:pt idx="874">
                  <c:v>JUN.24</c:v>
                </c:pt>
                <c:pt idx="875">
                  <c:v>JUN.24</c:v>
                </c:pt>
                <c:pt idx="876">
                  <c:v>JUN.24</c:v>
                </c:pt>
                <c:pt idx="877">
                  <c:v>JUN.24</c:v>
                </c:pt>
                <c:pt idx="878">
                  <c:v>JUN.24</c:v>
                </c:pt>
                <c:pt idx="879">
                  <c:v>JUN.24 BLOWUP</c:v>
                </c:pt>
                <c:pt idx="880">
                  <c:v>JUN.24</c:v>
                </c:pt>
                <c:pt idx="881">
                  <c:v>JUN.24</c:v>
                </c:pt>
                <c:pt idx="882">
                  <c:v>JUN.24</c:v>
                </c:pt>
                <c:pt idx="883">
                  <c:v>JUN.24</c:v>
                </c:pt>
                <c:pt idx="884">
                  <c:v>JUN.24</c:v>
                </c:pt>
                <c:pt idx="885">
                  <c:v>JUN.24</c:v>
                </c:pt>
                <c:pt idx="886">
                  <c:v>JUN.24</c:v>
                </c:pt>
                <c:pt idx="887">
                  <c:v>JUN.24</c:v>
                </c:pt>
                <c:pt idx="888">
                  <c:v>July24 live (R+1) | REDUCE INTRADAY &gt;1D TRADES</c:v>
                </c:pt>
                <c:pt idx="889">
                  <c:v>JUL.24</c:v>
                </c:pt>
                <c:pt idx="890">
                  <c:v>JUL.24</c:v>
                </c:pt>
                <c:pt idx="891">
                  <c:v>JUL.24</c:v>
                </c:pt>
                <c:pt idx="892">
                  <c:v>JUL.24</c:v>
                </c:pt>
                <c:pt idx="893">
                  <c:v>JUL.24</c:v>
                </c:pt>
                <c:pt idx="894">
                  <c:v>JUL.24</c:v>
                </c:pt>
                <c:pt idx="895">
                  <c:v>JUL.24</c:v>
                </c:pt>
                <c:pt idx="896">
                  <c:v>JUL.24</c:v>
                </c:pt>
                <c:pt idx="897">
                  <c:v>JUL.24</c:v>
                </c:pt>
                <c:pt idx="898">
                  <c:v>JUL.24</c:v>
                </c:pt>
                <c:pt idx="899">
                  <c:v>JUL.24</c:v>
                </c:pt>
                <c:pt idx="900">
                  <c:v>JUL.24</c:v>
                </c:pt>
                <c:pt idx="901">
                  <c:v>JUL.24</c:v>
                </c:pt>
                <c:pt idx="902">
                  <c:v>JUL.24</c:v>
                </c:pt>
                <c:pt idx="903">
                  <c:v>JUL.24</c:v>
                </c:pt>
                <c:pt idx="904">
                  <c:v>JUL.24</c:v>
                </c:pt>
                <c:pt idx="905">
                  <c:v>JUL.24</c:v>
                </c:pt>
                <c:pt idx="906">
                  <c:v>JUL.24</c:v>
                </c:pt>
                <c:pt idx="907">
                  <c:v>JUL.24</c:v>
                </c:pt>
                <c:pt idx="908">
                  <c:v>JUL.24</c:v>
                </c:pt>
                <c:pt idx="909">
                  <c:v>JUL.24</c:v>
                </c:pt>
                <c:pt idx="910">
                  <c:v>JUL.24</c:v>
                </c:pt>
                <c:pt idx="911">
                  <c:v>JUL.24</c:v>
                </c:pt>
                <c:pt idx="912">
                  <c:v>JUL.24</c:v>
                </c:pt>
                <c:pt idx="913">
                  <c:v>JUL.24</c:v>
                </c:pt>
                <c:pt idx="914">
                  <c:v>JUL.24</c:v>
                </c:pt>
                <c:pt idx="915">
                  <c:v>JUL.24</c:v>
                </c:pt>
                <c:pt idx="916">
                  <c:v>JUL.24</c:v>
                </c:pt>
                <c:pt idx="917">
                  <c:v>JUL.24</c:v>
                </c:pt>
                <c:pt idx="918">
                  <c:v>JUL.24</c:v>
                </c:pt>
                <c:pt idx="919">
                  <c:v>JUL.24</c:v>
                </c:pt>
                <c:pt idx="920">
                  <c:v>JUL.24</c:v>
                </c:pt>
                <c:pt idx="921">
                  <c:v>JUL.24</c:v>
                </c:pt>
                <c:pt idx="922">
                  <c:v>JUL.24</c:v>
                </c:pt>
                <c:pt idx="923">
                  <c:v>JUL.24</c:v>
                </c:pt>
                <c:pt idx="924">
                  <c:v>JUL.24</c:v>
                </c:pt>
                <c:pt idx="925">
                  <c:v>JUL.24</c:v>
                </c:pt>
                <c:pt idx="926">
                  <c:v>JUL.24</c:v>
                </c:pt>
                <c:pt idx="927">
                  <c:v>JUL.24</c:v>
                </c:pt>
                <c:pt idx="928">
                  <c:v>JUL.24</c:v>
                </c:pt>
                <c:pt idx="929">
                  <c:v>JUL.24</c:v>
                </c:pt>
                <c:pt idx="930">
                  <c:v>JUL.24</c:v>
                </c:pt>
                <c:pt idx="931">
                  <c:v>JUL.24</c:v>
                </c:pt>
                <c:pt idx="932">
                  <c:v>JUL.24</c:v>
                </c:pt>
                <c:pt idx="933">
                  <c:v>JUL.24</c:v>
                </c:pt>
                <c:pt idx="934">
                  <c:v>JUL.24</c:v>
                </c:pt>
                <c:pt idx="935">
                  <c:v>JUL.24</c:v>
                </c:pt>
                <c:pt idx="936">
                  <c:v>JUL.24</c:v>
                </c:pt>
                <c:pt idx="937">
                  <c:v>JUL.24</c:v>
                </c:pt>
                <c:pt idx="938">
                  <c:v>JUL.24</c:v>
                </c:pt>
                <c:pt idx="939">
                  <c:v>JUL.24</c:v>
                </c:pt>
                <c:pt idx="940">
                  <c:v>JUL.24</c:v>
                </c:pt>
                <c:pt idx="941">
                  <c:v>JUL.24</c:v>
                </c:pt>
                <c:pt idx="942">
                  <c:v>JUL.24</c:v>
                </c:pt>
                <c:pt idx="943">
                  <c:v>JUL.24</c:v>
                </c:pt>
                <c:pt idx="944">
                  <c:v>JUL.24</c:v>
                </c:pt>
                <c:pt idx="945">
                  <c:v>JUL.24</c:v>
                </c:pt>
                <c:pt idx="946">
                  <c:v>JUL.24</c:v>
                </c:pt>
                <c:pt idx="947">
                  <c:v>JUL.24</c:v>
                </c:pt>
                <c:pt idx="948">
                  <c:v>JUL.24</c:v>
                </c:pt>
                <c:pt idx="949">
                  <c:v>JUL.24</c:v>
                </c:pt>
                <c:pt idx="950">
                  <c:v>JUL.24</c:v>
                </c:pt>
                <c:pt idx="951">
                  <c:v>JUL.24</c:v>
                </c:pt>
                <c:pt idx="952">
                  <c:v>JUL.24</c:v>
                </c:pt>
                <c:pt idx="953">
                  <c:v>JUL.24</c:v>
                </c:pt>
                <c:pt idx="954">
                  <c:v>JUL.24</c:v>
                </c:pt>
                <c:pt idx="955">
                  <c:v>JUL.24</c:v>
                </c:pt>
                <c:pt idx="956">
                  <c:v>JUL.24</c:v>
                </c:pt>
                <c:pt idx="957">
                  <c:v>JUL.24</c:v>
                </c:pt>
                <c:pt idx="958">
                  <c:v>JUL.24</c:v>
                </c:pt>
                <c:pt idx="959">
                  <c:v>JUL.24</c:v>
                </c:pt>
                <c:pt idx="960">
                  <c:v>JUL.24</c:v>
                </c:pt>
                <c:pt idx="961">
                  <c:v>JUL.24</c:v>
                </c:pt>
                <c:pt idx="962">
                  <c:v>JUL.24</c:v>
                </c:pt>
                <c:pt idx="963">
                  <c:v>JUL.24</c:v>
                </c:pt>
                <c:pt idx="964">
                  <c:v>JUL.24</c:v>
                </c:pt>
                <c:pt idx="965">
                  <c:v>JUL.24</c:v>
                </c:pt>
                <c:pt idx="966">
                  <c:v>JUL.24</c:v>
                </c:pt>
                <c:pt idx="967">
                  <c:v>JUL.24</c:v>
                </c:pt>
                <c:pt idx="968">
                  <c:v>JUL.24</c:v>
                </c:pt>
                <c:pt idx="969">
                  <c:v>JUL.24</c:v>
                </c:pt>
                <c:pt idx="970">
                  <c:v>JUL.24</c:v>
                </c:pt>
                <c:pt idx="971">
                  <c:v>JUL.24</c:v>
                </c:pt>
                <c:pt idx="972">
                  <c:v>JUL.24</c:v>
                </c:pt>
                <c:pt idx="973">
                  <c:v>JUL.24</c:v>
                </c:pt>
                <c:pt idx="974">
                  <c:v>JUL.24</c:v>
                </c:pt>
                <c:pt idx="975">
                  <c:v>JUL.24</c:v>
                </c:pt>
                <c:pt idx="976">
                  <c:v>JUL.24</c:v>
                </c:pt>
                <c:pt idx="977">
                  <c:v>JUL.24</c:v>
                </c:pt>
                <c:pt idx="978">
                  <c:v>JUL.24</c:v>
                </c:pt>
                <c:pt idx="979">
                  <c:v>JUL.24</c:v>
                </c:pt>
                <c:pt idx="980">
                  <c:v>JUL.24</c:v>
                </c:pt>
                <c:pt idx="981">
                  <c:v>JUL.24</c:v>
                </c:pt>
                <c:pt idx="982">
                  <c:v>JUL.24</c:v>
                </c:pt>
                <c:pt idx="983">
                  <c:v>JUL.24</c:v>
                </c:pt>
                <c:pt idx="984">
                  <c:v>JUL.24</c:v>
                </c:pt>
                <c:pt idx="985">
                  <c:v>JUL.24</c:v>
                </c:pt>
                <c:pt idx="986">
                  <c:v>JUL.24</c:v>
                </c:pt>
                <c:pt idx="987">
                  <c:v>JUL.24</c:v>
                </c:pt>
                <c:pt idx="988">
                  <c:v>JUL.24</c:v>
                </c:pt>
                <c:pt idx="989">
                  <c:v>August24 live (R-1) | REDUCE LOT SIZING 2ND HALF AND ONLY EXITS IN 2ND HALF</c:v>
                </c:pt>
                <c:pt idx="990">
                  <c:v>AUG.24</c:v>
                </c:pt>
                <c:pt idx="991">
                  <c:v>AUG.24</c:v>
                </c:pt>
                <c:pt idx="992">
                  <c:v>AUG.24.II</c:v>
                </c:pt>
                <c:pt idx="993">
                  <c:v>AUG.24</c:v>
                </c:pt>
                <c:pt idx="994">
                  <c:v>AUG.24</c:v>
                </c:pt>
                <c:pt idx="995">
                  <c:v>AUG.24</c:v>
                </c:pt>
                <c:pt idx="996">
                  <c:v>AUG.24</c:v>
                </c:pt>
                <c:pt idx="997">
                  <c:v>AUG.24</c:v>
                </c:pt>
                <c:pt idx="998">
                  <c:v>AUG.24</c:v>
                </c:pt>
                <c:pt idx="999">
                  <c:v>AUG.24</c:v>
                </c:pt>
                <c:pt idx="1000">
                  <c:v>AUG.24</c:v>
                </c:pt>
                <c:pt idx="1001">
                  <c:v>AUG.24.II</c:v>
                </c:pt>
                <c:pt idx="1002">
                  <c:v>AUG.24.II</c:v>
                </c:pt>
                <c:pt idx="1003">
                  <c:v>AUG.24</c:v>
                </c:pt>
                <c:pt idx="1004">
                  <c:v>AUG.24</c:v>
                </c:pt>
                <c:pt idx="1005">
                  <c:v>AUG.24</c:v>
                </c:pt>
                <c:pt idx="1006">
                  <c:v>AUG.24.II</c:v>
                </c:pt>
                <c:pt idx="1007">
                  <c:v>AUG.24.II</c:v>
                </c:pt>
                <c:pt idx="1008">
                  <c:v>AUG.24</c:v>
                </c:pt>
                <c:pt idx="1009">
                  <c:v>AUG.24</c:v>
                </c:pt>
                <c:pt idx="1010">
                  <c:v>AUG.24</c:v>
                </c:pt>
                <c:pt idx="1011">
                  <c:v>AUG.24</c:v>
                </c:pt>
                <c:pt idx="1012">
                  <c:v>AUG.24</c:v>
                </c:pt>
                <c:pt idx="1013">
                  <c:v>AUG.24</c:v>
                </c:pt>
                <c:pt idx="1014">
                  <c:v>AUG.24</c:v>
                </c:pt>
                <c:pt idx="1015">
                  <c:v>AUG.24</c:v>
                </c:pt>
                <c:pt idx="1016">
                  <c:v>AUG.24</c:v>
                </c:pt>
                <c:pt idx="1017">
                  <c:v>AUG.24</c:v>
                </c:pt>
                <c:pt idx="1018">
                  <c:v>AUG.24</c:v>
                </c:pt>
                <c:pt idx="1019">
                  <c:v>AUG.24</c:v>
                </c:pt>
                <c:pt idx="1020">
                  <c:v>AUG.24</c:v>
                </c:pt>
                <c:pt idx="1021">
                  <c:v>AUG.24</c:v>
                </c:pt>
                <c:pt idx="1022">
                  <c:v>AUG.24</c:v>
                </c:pt>
                <c:pt idx="1023">
                  <c:v>AUG.24</c:v>
                </c:pt>
                <c:pt idx="1024">
                  <c:v>AUG.24</c:v>
                </c:pt>
                <c:pt idx="1025">
                  <c:v>AUG.24</c:v>
                </c:pt>
                <c:pt idx="1026">
                  <c:v>AUG.24</c:v>
                </c:pt>
                <c:pt idx="1027">
                  <c:v>AUG.24.II</c:v>
                </c:pt>
                <c:pt idx="1028">
                  <c:v>AUG.24</c:v>
                </c:pt>
                <c:pt idx="1029">
                  <c:v>AUG.24</c:v>
                </c:pt>
                <c:pt idx="1030">
                  <c:v>AUG.24</c:v>
                </c:pt>
                <c:pt idx="1031">
                  <c:v>AUG.24</c:v>
                </c:pt>
                <c:pt idx="1032">
                  <c:v>AUG.24</c:v>
                </c:pt>
                <c:pt idx="1033">
                  <c:v>AUG.24</c:v>
                </c:pt>
                <c:pt idx="1034">
                  <c:v>AUG.24</c:v>
                </c:pt>
                <c:pt idx="1035">
                  <c:v>AUG.24</c:v>
                </c:pt>
                <c:pt idx="1036">
                  <c:v>AUG.24</c:v>
                </c:pt>
                <c:pt idx="1037">
                  <c:v>AUG.24</c:v>
                </c:pt>
                <c:pt idx="1038">
                  <c:v>AUG.24</c:v>
                </c:pt>
                <c:pt idx="1039">
                  <c:v>AUG.24</c:v>
                </c:pt>
                <c:pt idx="1040">
                  <c:v>AUG.24</c:v>
                </c:pt>
                <c:pt idx="1041">
                  <c:v>AUG.24</c:v>
                </c:pt>
                <c:pt idx="1042">
                  <c:v>AUG.24</c:v>
                </c:pt>
                <c:pt idx="1043">
                  <c:v>AUG.24</c:v>
                </c:pt>
                <c:pt idx="1044">
                  <c:v>AUG.24</c:v>
                </c:pt>
                <c:pt idx="1045">
                  <c:v>AUG.24</c:v>
                </c:pt>
                <c:pt idx="1046">
                  <c:v>AUG.24</c:v>
                </c:pt>
                <c:pt idx="1047">
                  <c:v>AUG.24</c:v>
                </c:pt>
                <c:pt idx="1048">
                  <c:v>AUG.24</c:v>
                </c:pt>
                <c:pt idx="1049">
                  <c:v>AUG.24</c:v>
                </c:pt>
                <c:pt idx="1050">
                  <c:v>AUG.24</c:v>
                </c:pt>
                <c:pt idx="1051">
                  <c:v>AUG.24</c:v>
                </c:pt>
                <c:pt idx="1052">
                  <c:v>AUG.24</c:v>
                </c:pt>
                <c:pt idx="1053">
                  <c:v>AUG.24</c:v>
                </c:pt>
                <c:pt idx="1054">
                  <c:v>AUG.24</c:v>
                </c:pt>
                <c:pt idx="1055">
                  <c:v>AUG.24</c:v>
                </c:pt>
                <c:pt idx="1056">
                  <c:v>AUG.24</c:v>
                </c:pt>
                <c:pt idx="1057">
                  <c:v>AUG.24</c:v>
                </c:pt>
                <c:pt idx="1058">
                  <c:v>AUG.24</c:v>
                </c:pt>
                <c:pt idx="1059">
                  <c:v>AUG.24</c:v>
                </c:pt>
                <c:pt idx="1060">
                  <c:v>AUG.24</c:v>
                </c:pt>
                <c:pt idx="1061">
                  <c:v>AUG.24</c:v>
                </c:pt>
                <c:pt idx="1062">
                  <c:v>AUG.24</c:v>
                </c:pt>
                <c:pt idx="1063">
                  <c:v>AUG.24</c:v>
                </c:pt>
                <c:pt idx="1064">
                  <c:v>AUG.24</c:v>
                </c:pt>
                <c:pt idx="1065">
                  <c:v>AUG.24</c:v>
                </c:pt>
                <c:pt idx="1066">
                  <c:v>AUG.24</c:v>
                </c:pt>
                <c:pt idx="1067">
                  <c:v>AUG.24</c:v>
                </c:pt>
                <c:pt idx="1068">
                  <c:v>AUG.24</c:v>
                </c:pt>
                <c:pt idx="1069">
                  <c:v>AUG.24</c:v>
                </c:pt>
                <c:pt idx="1070">
                  <c:v>AUG.24</c:v>
                </c:pt>
                <c:pt idx="1071">
                  <c:v>AUG.24</c:v>
                </c:pt>
                <c:pt idx="1072">
                  <c:v>AUG.24</c:v>
                </c:pt>
                <c:pt idx="1073">
                  <c:v>AUG.24</c:v>
                </c:pt>
                <c:pt idx="1074">
                  <c:v>AUG.24</c:v>
                </c:pt>
                <c:pt idx="1075">
                  <c:v>AUG.24</c:v>
                </c:pt>
                <c:pt idx="1076">
                  <c:v>AUG.24</c:v>
                </c:pt>
                <c:pt idx="1077">
                  <c:v>AUG.24</c:v>
                </c:pt>
                <c:pt idx="1078">
                  <c:v>AUG.24</c:v>
                </c:pt>
                <c:pt idx="1079">
                  <c:v>AUG.24</c:v>
                </c:pt>
                <c:pt idx="1080">
                  <c:v>AUG.24</c:v>
                </c:pt>
                <c:pt idx="1081">
                  <c:v>AUG.24</c:v>
                </c:pt>
                <c:pt idx="1082">
                  <c:v>AUG.24</c:v>
                </c:pt>
                <c:pt idx="1083">
                  <c:v>AUG.24</c:v>
                </c:pt>
                <c:pt idx="1084">
                  <c:v>AUG.24</c:v>
                </c:pt>
                <c:pt idx="1085">
                  <c:v>AUG.24</c:v>
                </c:pt>
                <c:pt idx="1086">
                  <c:v>September24 live (R) | REDUCE LOT SIZING 1ST HALF, AVOID POSITIONAL </c:v>
                </c:pt>
                <c:pt idx="1087">
                  <c:v>SEP.24</c:v>
                </c:pt>
                <c:pt idx="1088">
                  <c:v>SEP.24</c:v>
                </c:pt>
                <c:pt idx="1089">
                  <c:v>SEP.24</c:v>
                </c:pt>
                <c:pt idx="1090">
                  <c:v>SEP.24</c:v>
                </c:pt>
                <c:pt idx="1091">
                  <c:v>SEP.24</c:v>
                </c:pt>
                <c:pt idx="1092">
                  <c:v>SEP.24</c:v>
                </c:pt>
                <c:pt idx="1093">
                  <c:v>SEP.24</c:v>
                </c:pt>
                <c:pt idx="1094">
                  <c:v>SEP.24</c:v>
                </c:pt>
                <c:pt idx="1095">
                  <c:v>SEP.24</c:v>
                </c:pt>
                <c:pt idx="1096">
                  <c:v>SEP.24</c:v>
                </c:pt>
                <c:pt idx="1097">
                  <c:v>SEP.24</c:v>
                </c:pt>
                <c:pt idx="1098">
                  <c:v>SEP.24</c:v>
                </c:pt>
                <c:pt idx="1099">
                  <c:v>SEP.24</c:v>
                </c:pt>
                <c:pt idx="1100">
                  <c:v>SEP.24</c:v>
                </c:pt>
                <c:pt idx="1101">
                  <c:v>SEP.24</c:v>
                </c:pt>
                <c:pt idx="1102">
                  <c:v>SEP.24</c:v>
                </c:pt>
                <c:pt idx="1103">
                  <c:v>SEP.24</c:v>
                </c:pt>
                <c:pt idx="1104">
                  <c:v>SEP.24</c:v>
                </c:pt>
                <c:pt idx="1105">
                  <c:v>SEP.24</c:v>
                </c:pt>
                <c:pt idx="1106">
                  <c:v>SEP.24</c:v>
                </c:pt>
                <c:pt idx="1107">
                  <c:v>SEP.24</c:v>
                </c:pt>
                <c:pt idx="1108">
                  <c:v>SEP.24</c:v>
                </c:pt>
                <c:pt idx="1109">
                  <c:v>SEP.24</c:v>
                </c:pt>
                <c:pt idx="1110">
                  <c:v>SEP.24</c:v>
                </c:pt>
                <c:pt idx="1111">
                  <c:v>SEP.24</c:v>
                </c:pt>
                <c:pt idx="1112">
                  <c:v>SEP.24</c:v>
                </c:pt>
                <c:pt idx="1113">
                  <c:v>SEP.24</c:v>
                </c:pt>
                <c:pt idx="1114">
                  <c:v>SEP.24</c:v>
                </c:pt>
                <c:pt idx="1115">
                  <c:v>SEP.24</c:v>
                </c:pt>
                <c:pt idx="1116">
                  <c:v>SEP.24</c:v>
                </c:pt>
                <c:pt idx="1117">
                  <c:v>SEP.24</c:v>
                </c:pt>
                <c:pt idx="1118">
                  <c:v>SEP.24</c:v>
                </c:pt>
                <c:pt idx="1119">
                  <c:v>SEP.24</c:v>
                </c:pt>
                <c:pt idx="1120">
                  <c:v>SEP.24</c:v>
                </c:pt>
                <c:pt idx="1121">
                  <c:v>SEP.24</c:v>
                </c:pt>
                <c:pt idx="1122">
                  <c:v>SEP.24</c:v>
                </c:pt>
                <c:pt idx="1123">
                  <c:v>SEP.24</c:v>
                </c:pt>
                <c:pt idx="1124">
                  <c:v>SEP.24</c:v>
                </c:pt>
                <c:pt idx="1125">
                  <c:v>October24 live (R+1) | REDUCE INTRADAY &gt;1D TRADES</c:v>
                </c:pt>
                <c:pt idx="1126">
                  <c:v>OCT.24</c:v>
                </c:pt>
                <c:pt idx="1127">
                  <c:v>OCT.24</c:v>
                </c:pt>
                <c:pt idx="1128">
                  <c:v>OCT.24</c:v>
                </c:pt>
                <c:pt idx="1129">
                  <c:v>OCT.24</c:v>
                </c:pt>
                <c:pt idx="1130">
                  <c:v>OCT.24</c:v>
                </c:pt>
                <c:pt idx="1131">
                  <c:v>OCT.24</c:v>
                </c:pt>
                <c:pt idx="1132">
                  <c:v>OCT.24</c:v>
                </c:pt>
                <c:pt idx="1133">
                  <c:v>OCT.24</c:v>
                </c:pt>
                <c:pt idx="1134">
                  <c:v>OCT.24</c:v>
                </c:pt>
                <c:pt idx="1135">
                  <c:v>OCT.24</c:v>
                </c:pt>
                <c:pt idx="1136">
                  <c:v>OCT.24</c:v>
                </c:pt>
                <c:pt idx="1137">
                  <c:v>OCT.24</c:v>
                </c:pt>
                <c:pt idx="1138">
                  <c:v>OCT.24</c:v>
                </c:pt>
                <c:pt idx="1139">
                  <c:v>OCT.24</c:v>
                </c:pt>
                <c:pt idx="1140">
                  <c:v>OCT.24</c:v>
                </c:pt>
                <c:pt idx="1141">
                  <c:v>OCT.24</c:v>
                </c:pt>
                <c:pt idx="1142">
                  <c:v>OCT.24</c:v>
                </c:pt>
                <c:pt idx="1143">
                  <c:v>OCT.24</c:v>
                </c:pt>
                <c:pt idx="1144">
                  <c:v>OCT.24</c:v>
                </c:pt>
                <c:pt idx="1145">
                  <c:v>OCT.24</c:v>
                </c:pt>
                <c:pt idx="1146">
                  <c:v>OCT.24</c:v>
                </c:pt>
                <c:pt idx="1147">
                  <c:v>OCT.24</c:v>
                </c:pt>
                <c:pt idx="1148">
                  <c:v>OCT.24</c:v>
                </c:pt>
                <c:pt idx="1149">
                  <c:v>OCT.24</c:v>
                </c:pt>
                <c:pt idx="1150">
                  <c:v>OCT.24</c:v>
                </c:pt>
                <c:pt idx="1151">
                  <c:v>OCT.24</c:v>
                </c:pt>
                <c:pt idx="1152">
                  <c:v>OCT.24</c:v>
                </c:pt>
                <c:pt idx="1153">
                  <c:v>OCT.24</c:v>
                </c:pt>
                <c:pt idx="1154">
                  <c:v>OCT.24</c:v>
                </c:pt>
                <c:pt idx="1155">
                  <c:v>OCT.24</c:v>
                </c:pt>
                <c:pt idx="1156">
                  <c:v>OCT.24</c:v>
                </c:pt>
                <c:pt idx="1157">
                  <c:v>OCT.24</c:v>
                </c:pt>
                <c:pt idx="1158">
                  <c:v>OCT.24</c:v>
                </c:pt>
                <c:pt idx="1159">
                  <c:v>OCT.24</c:v>
                </c:pt>
                <c:pt idx="1160">
                  <c:v>OCT.24</c:v>
                </c:pt>
                <c:pt idx="1161">
                  <c:v>OCT.24</c:v>
                </c:pt>
                <c:pt idx="1162">
                  <c:v>OCT.24</c:v>
                </c:pt>
                <c:pt idx="1163">
                  <c:v>OCT.24</c:v>
                </c:pt>
                <c:pt idx="1164">
                  <c:v>OCT.24</c:v>
                </c:pt>
                <c:pt idx="1165">
                  <c:v>OCT.24</c:v>
                </c:pt>
                <c:pt idx="1166">
                  <c:v>OCT.24</c:v>
                </c:pt>
                <c:pt idx="1167">
                  <c:v>OCT.24</c:v>
                </c:pt>
                <c:pt idx="1168">
                  <c:v>OCT.24</c:v>
                </c:pt>
                <c:pt idx="1169">
                  <c:v>OCT.24</c:v>
                </c:pt>
                <c:pt idx="1170">
                  <c:v>OCT.24</c:v>
                </c:pt>
                <c:pt idx="1171">
                  <c:v>OCT.24</c:v>
                </c:pt>
                <c:pt idx="1172">
                  <c:v>OCT.24</c:v>
                </c:pt>
                <c:pt idx="1173">
                  <c:v>OCT.24</c:v>
                </c:pt>
                <c:pt idx="1174">
                  <c:v>OCT.24</c:v>
                </c:pt>
                <c:pt idx="1175">
                  <c:v>OCT.24</c:v>
                </c:pt>
                <c:pt idx="1176">
                  <c:v>OCT.24</c:v>
                </c:pt>
                <c:pt idx="1177">
                  <c:v>OCT.24</c:v>
                </c:pt>
                <c:pt idx="1178">
                  <c:v>OCT.24</c:v>
                </c:pt>
                <c:pt idx="1179">
                  <c:v>OCT.24</c:v>
                </c:pt>
                <c:pt idx="1180">
                  <c:v>OCT.24</c:v>
                </c:pt>
                <c:pt idx="1181">
                  <c:v>OCT.24</c:v>
                </c:pt>
                <c:pt idx="1182">
                  <c:v>OCT.24</c:v>
                </c:pt>
                <c:pt idx="1183">
                  <c:v>OCT.24</c:v>
                </c:pt>
                <c:pt idx="1184">
                  <c:v>OCT.24</c:v>
                </c:pt>
                <c:pt idx="1185">
                  <c:v>OCT.24</c:v>
                </c:pt>
                <c:pt idx="1186">
                  <c:v>OCT.24</c:v>
                </c:pt>
                <c:pt idx="1187">
                  <c:v>OCT.24</c:v>
                </c:pt>
                <c:pt idx="1188">
                  <c:v>OCT.24</c:v>
                </c:pt>
                <c:pt idx="1189">
                  <c:v>OCT.24</c:v>
                </c:pt>
                <c:pt idx="1190">
                  <c:v>OCT.24</c:v>
                </c:pt>
                <c:pt idx="1191">
                  <c:v>OCT.24</c:v>
                </c:pt>
                <c:pt idx="1192">
                  <c:v>OCT.24</c:v>
                </c:pt>
                <c:pt idx="1193">
                  <c:v>OCT.24</c:v>
                </c:pt>
                <c:pt idx="1194">
                  <c:v>OCT.24</c:v>
                </c:pt>
                <c:pt idx="1195">
                  <c:v>OCT.24</c:v>
                </c:pt>
                <c:pt idx="1196">
                  <c:v>OCT.24</c:v>
                </c:pt>
                <c:pt idx="1197">
                  <c:v>OCT.24</c:v>
                </c:pt>
                <c:pt idx="1198">
                  <c:v>OCT.24</c:v>
                </c:pt>
                <c:pt idx="1199">
                  <c:v>OCT.24</c:v>
                </c:pt>
                <c:pt idx="1200">
                  <c:v>OCT.24</c:v>
                </c:pt>
                <c:pt idx="1201">
                  <c:v>OCT.24</c:v>
                </c:pt>
                <c:pt idx="1202">
                  <c:v>OCT.24</c:v>
                </c:pt>
                <c:pt idx="1203">
                  <c:v>OCT.24</c:v>
                </c:pt>
                <c:pt idx="1204">
                  <c:v>OCT.24</c:v>
                </c:pt>
                <c:pt idx="1205">
                  <c:v>OCT.24</c:v>
                </c:pt>
                <c:pt idx="1206">
                  <c:v>OCT.24</c:v>
                </c:pt>
                <c:pt idx="1207">
                  <c:v>OCT.24</c:v>
                </c:pt>
                <c:pt idx="1208">
                  <c:v>OCT.24</c:v>
                </c:pt>
                <c:pt idx="1209">
                  <c:v>OCT.24</c:v>
                </c:pt>
                <c:pt idx="1210">
                  <c:v>OCT.24</c:v>
                </c:pt>
                <c:pt idx="1211">
                  <c:v>OCT.24</c:v>
                </c:pt>
                <c:pt idx="1212">
                  <c:v>OCT.24</c:v>
                </c:pt>
                <c:pt idx="1213">
                  <c:v>OCT.24</c:v>
                </c:pt>
                <c:pt idx="1214">
                  <c:v>November24 live EPILOGUE 1</c:v>
                </c:pt>
                <c:pt idx="1215">
                  <c:v>NOV.24</c:v>
                </c:pt>
                <c:pt idx="1216">
                  <c:v>NOV.24</c:v>
                </c:pt>
                <c:pt idx="1217">
                  <c:v>NOV.24</c:v>
                </c:pt>
                <c:pt idx="1218">
                  <c:v>NOV.24</c:v>
                </c:pt>
                <c:pt idx="1219">
                  <c:v>NOV.24</c:v>
                </c:pt>
                <c:pt idx="1220">
                  <c:v>NOV.24</c:v>
                </c:pt>
                <c:pt idx="1221">
                  <c:v>NOV.24</c:v>
                </c:pt>
                <c:pt idx="1222">
                  <c:v>NOV.24</c:v>
                </c:pt>
                <c:pt idx="1223">
                  <c:v>NOV.24</c:v>
                </c:pt>
                <c:pt idx="1224">
                  <c:v>NOV.24</c:v>
                </c:pt>
                <c:pt idx="1225">
                  <c:v>NOV.24</c:v>
                </c:pt>
                <c:pt idx="1226">
                  <c:v>NOV.24</c:v>
                </c:pt>
                <c:pt idx="1227">
                  <c:v>NOV.24</c:v>
                </c:pt>
                <c:pt idx="1228">
                  <c:v>NOV.24</c:v>
                </c:pt>
                <c:pt idx="1229">
                  <c:v>NOV.24</c:v>
                </c:pt>
                <c:pt idx="1230">
                  <c:v>NOV.24</c:v>
                </c:pt>
                <c:pt idx="1231">
                  <c:v>NOV.24</c:v>
                </c:pt>
                <c:pt idx="1232">
                  <c:v>NOV.24</c:v>
                </c:pt>
                <c:pt idx="1233">
                  <c:v>NOV.24</c:v>
                </c:pt>
                <c:pt idx="1234">
                  <c:v>NOV.24</c:v>
                </c:pt>
                <c:pt idx="1235">
                  <c:v>NOV.24</c:v>
                </c:pt>
                <c:pt idx="1236">
                  <c:v>NOV.24</c:v>
                </c:pt>
                <c:pt idx="1237">
                  <c:v>NOV.24</c:v>
                </c:pt>
              </c:strCache>
            </c:strRef>
          </c:cat>
          <c:val>
            <c:numRef>
              <c:f>'Journal Live'!$BN$1388:$BN$2630</c:f>
              <c:numCache>
                <c:formatCode>General</c:formatCode>
                <c:ptCount val="1238"/>
                <c:pt idx="0">
                  <c:v>176.00000000000017</c:v>
                </c:pt>
                <c:pt idx="1">
                  <c:v>176.00000000000017</c:v>
                </c:pt>
                <c:pt idx="2">
                  <c:v>176.00000000000017</c:v>
                </c:pt>
                <c:pt idx="3">
                  <c:v>176.00000000000017</c:v>
                </c:pt>
                <c:pt idx="4">
                  <c:v>-159.99999999999983</c:v>
                </c:pt>
                <c:pt idx="5">
                  <c:v>-159.99999999999983</c:v>
                </c:pt>
                <c:pt idx="6">
                  <c:v>-255.99999999999986</c:v>
                </c:pt>
                <c:pt idx="7">
                  <c:v>-255.99999999999986</c:v>
                </c:pt>
                <c:pt idx="8">
                  <c:v>-255.99999999999986</c:v>
                </c:pt>
                <c:pt idx="9">
                  <c:v>-255.99999999999986</c:v>
                </c:pt>
                <c:pt idx="10">
                  <c:v>-255.99999999999986</c:v>
                </c:pt>
                <c:pt idx="11">
                  <c:v>-255.99999999999986</c:v>
                </c:pt>
                <c:pt idx="12">
                  <c:v>-63.999999999999687</c:v>
                </c:pt>
                <c:pt idx="13">
                  <c:v>-63.999999999999687</c:v>
                </c:pt>
                <c:pt idx="14">
                  <c:v>-63.999999999999687</c:v>
                </c:pt>
                <c:pt idx="15">
                  <c:v>512.00000000000034</c:v>
                </c:pt>
                <c:pt idx="16">
                  <c:v>512.00000000000034</c:v>
                </c:pt>
                <c:pt idx="17">
                  <c:v>512.00000000000034</c:v>
                </c:pt>
                <c:pt idx="18">
                  <c:v>512.00000000000034</c:v>
                </c:pt>
                <c:pt idx="19">
                  <c:v>512.00000000000034</c:v>
                </c:pt>
                <c:pt idx="20">
                  <c:v>512.00000000000034</c:v>
                </c:pt>
                <c:pt idx="21">
                  <c:v>512.00000000000034</c:v>
                </c:pt>
                <c:pt idx="22">
                  <c:v>512.00000000000034</c:v>
                </c:pt>
                <c:pt idx="23">
                  <c:v>512.00000000000034</c:v>
                </c:pt>
                <c:pt idx="24">
                  <c:v>512.00000000000034</c:v>
                </c:pt>
                <c:pt idx="25">
                  <c:v>512.00000000000034</c:v>
                </c:pt>
                <c:pt idx="26">
                  <c:v>784.00000000000045</c:v>
                </c:pt>
                <c:pt idx="27">
                  <c:v>1120.0000000000002</c:v>
                </c:pt>
                <c:pt idx="28">
                  <c:v>1120.0000000000002</c:v>
                </c:pt>
                <c:pt idx="29">
                  <c:v>1120.0000000000002</c:v>
                </c:pt>
                <c:pt idx="30">
                  <c:v>1120.0000000000002</c:v>
                </c:pt>
                <c:pt idx="31">
                  <c:v>1120.0000000000002</c:v>
                </c:pt>
                <c:pt idx="32">
                  <c:v>1120.0000000000002</c:v>
                </c:pt>
                <c:pt idx="33">
                  <c:v>1120.0000000000002</c:v>
                </c:pt>
                <c:pt idx="34">
                  <c:v>1120.0000000000002</c:v>
                </c:pt>
                <c:pt idx="35">
                  <c:v>1120.0000000000002</c:v>
                </c:pt>
                <c:pt idx="36">
                  <c:v>1120.0000000000002</c:v>
                </c:pt>
                <c:pt idx="37">
                  <c:v>1120.0000000000002</c:v>
                </c:pt>
                <c:pt idx="38">
                  <c:v>1120.0000000000002</c:v>
                </c:pt>
                <c:pt idx="39">
                  <c:v>1120.0000000000002</c:v>
                </c:pt>
                <c:pt idx="40">
                  <c:v>-319.99999999999955</c:v>
                </c:pt>
                <c:pt idx="41">
                  <c:v>-224</c:v>
                </c:pt>
                <c:pt idx="42">
                  <c:v>-128.00000000000006</c:v>
                </c:pt>
                <c:pt idx="43">
                  <c:v>-128.00000000000006</c:v>
                </c:pt>
                <c:pt idx="44">
                  <c:v>-128.00000000000006</c:v>
                </c:pt>
                <c:pt idx="45">
                  <c:v>-128.00000000000006</c:v>
                </c:pt>
                <c:pt idx="46">
                  <c:v>-128.00000000000006</c:v>
                </c:pt>
                <c:pt idx="47">
                  <c:v>-128.00000000000006</c:v>
                </c:pt>
                <c:pt idx="48">
                  <c:v>-128.00000000000006</c:v>
                </c:pt>
                <c:pt idx="49">
                  <c:v>-128.00000000000006</c:v>
                </c:pt>
                <c:pt idx="50">
                  <c:v>-128.00000000000006</c:v>
                </c:pt>
                <c:pt idx="51">
                  <c:v>-128.00000000000006</c:v>
                </c:pt>
                <c:pt idx="52">
                  <c:v>-128.00000000000006</c:v>
                </c:pt>
                <c:pt idx="53">
                  <c:v>-128.00000000000006</c:v>
                </c:pt>
                <c:pt idx="54">
                  <c:v>-128.00000000000006</c:v>
                </c:pt>
                <c:pt idx="55">
                  <c:v>-128.00000000000006</c:v>
                </c:pt>
                <c:pt idx="56">
                  <c:v>-128.00000000000006</c:v>
                </c:pt>
                <c:pt idx="57">
                  <c:v>-128.00000000000006</c:v>
                </c:pt>
                <c:pt idx="58">
                  <c:v>-128.00000000000006</c:v>
                </c:pt>
                <c:pt idx="59">
                  <c:v>-128.00000000000006</c:v>
                </c:pt>
                <c:pt idx="60">
                  <c:v>-48.000000000000057</c:v>
                </c:pt>
                <c:pt idx="61">
                  <c:v>-48.000000000000057</c:v>
                </c:pt>
                <c:pt idx="62">
                  <c:v>-48.000000000000057</c:v>
                </c:pt>
                <c:pt idx="63">
                  <c:v>463.99999999999972</c:v>
                </c:pt>
                <c:pt idx="64">
                  <c:v>463.99999999999972</c:v>
                </c:pt>
                <c:pt idx="65">
                  <c:v>3599.9999999999991</c:v>
                </c:pt>
                <c:pt idx="66">
                  <c:v>3599.9999999999991</c:v>
                </c:pt>
                <c:pt idx="67">
                  <c:v>463.99999999999972</c:v>
                </c:pt>
                <c:pt idx="68">
                  <c:v>3599.9999999999991</c:v>
                </c:pt>
                <c:pt idx="69">
                  <c:v>463.99999999999972</c:v>
                </c:pt>
                <c:pt idx="70">
                  <c:v>463.99999999999972</c:v>
                </c:pt>
                <c:pt idx="71">
                  <c:v>543.99999999999977</c:v>
                </c:pt>
                <c:pt idx="72">
                  <c:v>543.99999999999977</c:v>
                </c:pt>
                <c:pt idx="73">
                  <c:v>543.99999999999977</c:v>
                </c:pt>
                <c:pt idx="74">
                  <c:v>543.99999999999977</c:v>
                </c:pt>
                <c:pt idx="75">
                  <c:v>784.00000000000102</c:v>
                </c:pt>
                <c:pt idx="76">
                  <c:v>543.99999999999977</c:v>
                </c:pt>
                <c:pt idx="77">
                  <c:v>543.99999999999977</c:v>
                </c:pt>
                <c:pt idx="78">
                  <c:v>784.00000000000102</c:v>
                </c:pt>
                <c:pt idx="79">
                  <c:v>543.99999999999977</c:v>
                </c:pt>
                <c:pt idx="80">
                  <c:v>543.99999999999977</c:v>
                </c:pt>
                <c:pt idx="81">
                  <c:v>543.99999999999977</c:v>
                </c:pt>
                <c:pt idx="82">
                  <c:v>623.99999999999989</c:v>
                </c:pt>
                <c:pt idx="83">
                  <c:v>623.99999999999989</c:v>
                </c:pt>
                <c:pt idx="84">
                  <c:v>704.00000000000102</c:v>
                </c:pt>
                <c:pt idx="85">
                  <c:v>704.00000000000102</c:v>
                </c:pt>
                <c:pt idx="86">
                  <c:v>704.00000000000102</c:v>
                </c:pt>
                <c:pt idx="87">
                  <c:v>704.00000000000102</c:v>
                </c:pt>
                <c:pt idx="88">
                  <c:v>704.00000000000102</c:v>
                </c:pt>
                <c:pt idx="89">
                  <c:v>704.00000000000102</c:v>
                </c:pt>
                <c:pt idx="90">
                  <c:v>704.00000000000102</c:v>
                </c:pt>
                <c:pt idx="91">
                  <c:v>784.00000000000102</c:v>
                </c:pt>
                <c:pt idx="92">
                  <c:v>784.00000000000102</c:v>
                </c:pt>
                <c:pt idx="93">
                  <c:v>784.00000000000102</c:v>
                </c:pt>
                <c:pt idx="94">
                  <c:v>784.00000000000102</c:v>
                </c:pt>
                <c:pt idx="95">
                  <c:v>3599.9999999999991</c:v>
                </c:pt>
                <c:pt idx="96">
                  <c:v>2736.0000000000005</c:v>
                </c:pt>
                <c:pt idx="97">
                  <c:v>2736.0000000000005</c:v>
                </c:pt>
                <c:pt idx="98">
                  <c:v>2736.0000000000005</c:v>
                </c:pt>
                <c:pt idx="99">
                  <c:v>2736.0000000000005</c:v>
                </c:pt>
                <c:pt idx="100">
                  <c:v>3088</c:v>
                </c:pt>
                <c:pt idx="101">
                  <c:v>3088</c:v>
                </c:pt>
                <c:pt idx="102">
                  <c:v>3088</c:v>
                </c:pt>
                <c:pt idx="103">
                  <c:v>3088</c:v>
                </c:pt>
                <c:pt idx="104">
                  <c:v>3088</c:v>
                </c:pt>
                <c:pt idx="105">
                  <c:v>3088</c:v>
                </c:pt>
                <c:pt idx="106">
                  <c:v>3599.9999999999991</c:v>
                </c:pt>
                <c:pt idx="107">
                  <c:v>3088</c:v>
                </c:pt>
                <c:pt idx="108">
                  <c:v>3088</c:v>
                </c:pt>
                <c:pt idx="109">
                  <c:v>3088</c:v>
                </c:pt>
                <c:pt idx="110">
                  <c:v>3599.9999999999991</c:v>
                </c:pt>
                <c:pt idx="111">
                  <c:v>3599.9999999999991</c:v>
                </c:pt>
                <c:pt idx="112">
                  <c:v>3599.9999999999991</c:v>
                </c:pt>
                <c:pt idx="113">
                  <c:v>3599.9999999999991</c:v>
                </c:pt>
                <c:pt idx="114">
                  <c:v>3599.9999999999991</c:v>
                </c:pt>
                <c:pt idx="115">
                  <c:v>3599.9999999999991</c:v>
                </c:pt>
                <c:pt idx="116">
                  <c:v>3599.9999999999991</c:v>
                </c:pt>
                <c:pt idx="117">
                  <c:v>3599.9999999999991</c:v>
                </c:pt>
                <c:pt idx="118">
                  <c:v>3599.9999999999991</c:v>
                </c:pt>
                <c:pt idx="119">
                  <c:v>3599.9999999999991</c:v>
                </c:pt>
                <c:pt idx="120">
                  <c:v>3599.9999999999991</c:v>
                </c:pt>
                <c:pt idx="121">
                  <c:v>3599.9999999999991</c:v>
                </c:pt>
                <c:pt idx="122">
                  <c:v>3599.9999999999991</c:v>
                </c:pt>
                <c:pt idx="123">
                  <c:v>3599.9999999999991</c:v>
                </c:pt>
                <c:pt idx="124">
                  <c:v>3599.9999999999991</c:v>
                </c:pt>
                <c:pt idx="125">
                  <c:v>3599.9999999999991</c:v>
                </c:pt>
                <c:pt idx="126">
                  <c:v>3599.9999999999991</c:v>
                </c:pt>
                <c:pt idx="127">
                  <c:v>3599.9999999999991</c:v>
                </c:pt>
                <c:pt idx="128">
                  <c:v>3599.9999999999991</c:v>
                </c:pt>
                <c:pt idx="129">
                  <c:v>3599.9999999999991</c:v>
                </c:pt>
                <c:pt idx="130">
                  <c:v>3599.9999999999991</c:v>
                </c:pt>
                <c:pt idx="131">
                  <c:v>14526.200000000817</c:v>
                </c:pt>
                <c:pt idx="132">
                  <c:v>3599.9999999999991</c:v>
                </c:pt>
                <c:pt idx="133">
                  <c:v>2931.2000000002599</c:v>
                </c:pt>
                <c:pt idx="134">
                  <c:v>2931.2000000002599</c:v>
                </c:pt>
                <c:pt idx="135">
                  <c:v>3599.9999999999991</c:v>
                </c:pt>
                <c:pt idx="136">
                  <c:v>3599.9999999999991</c:v>
                </c:pt>
                <c:pt idx="137">
                  <c:v>3599.9999999999991</c:v>
                </c:pt>
                <c:pt idx="138">
                  <c:v>2931.2000000002599</c:v>
                </c:pt>
                <c:pt idx="139">
                  <c:v>3599.9999999999991</c:v>
                </c:pt>
                <c:pt idx="140">
                  <c:v>3599.9999999999991</c:v>
                </c:pt>
                <c:pt idx="141">
                  <c:v>3887.9999999999986</c:v>
                </c:pt>
                <c:pt idx="142">
                  <c:v>3887.9999999999986</c:v>
                </c:pt>
                <c:pt idx="143">
                  <c:v>3887.9999999999986</c:v>
                </c:pt>
                <c:pt idx="144">
                  <c:v>3887.9999999999986</c:v>
                </c:pt>
                <c:pt idx="145">
                  <c:v>4399.9999999999982</c:v>
                </c:pt>
                <c:pt idx="146">
                  <c:v>5263.9999999999973</c:v>
                </c:pt>
                <c:pt idx="147">
                  <c:v>5263.9999999999973</c:v>
                </c:pt>
                <c:pt idx="148">
                  <c:v>5263.9999999999973</c:v>
                </c:pt>
                <c:pt idx="149">
                  <c:v>5263.9999999999973</c:v>
                </c:pt>
                <c:pt idx="150">
                  <c:v>5263.9999999999973</c:v>
                </c:pt>
                <c:pt idx="151">
                  <c:v>5263.9999999999973</c:v>
                </c:pt>
                <c:pt idx="152">
                  <c:v>2931.2000000002599</c:v>
                </c:pt>
                <c:pt idx="153">
                  <c:v>5263.9999999999973</c:v>
                </c:pt>
                <c:pt idx="154">
                  <c:v>5263.9999999999973</c:v>
                </c:pt>
                <c:pt idx="155">
                  <c:v>5343.9999999999973</c:v>
                </c:pt>
                <c:pt idx="156">
                  <c:v>2931.2000000002599</c:v>
                </c:pt>
                <c:pt idx="157">
                  <c:v>5343.9999999999973</c:v>
                </c:pt>
                <c:pt idx="158">
                  <c:v>5343.9999999999973</c:v>
                </c:pt>
                <c:pt idx="159">
                  <c:v>2931.2000000002599</c:v>
                </c:pt>
                <c:pt idx="160">
                  <c:v>5343.9999999999973</c:v>
                </c:pt>
                <c:pt idx="161">
                  <c:v>5343.9999999999973</c:v>
                </c:pt>
                <c:pt idx="162">
                  <c:v>2931.2000000002599</c:v>
                </c:pt>
                <c:pt idx="163">
                  <c:v>5343.9999999999973</c:v>
                </c:pt>
                <c:pt idx="164">
                  <c:v>5343.9999999999973</c:v>
                </c:pt>
                <c:pt idx="165">
                  <c:v>5343.9999999999973</c:v>
                </c:pt>
                <c:pt idx="166">
                  <c:v>5343.9999999999973</c:v>
                </c:pt>
                <c:pt idx="167">
                  <c:v>5343.9999999999973</c:v>
                </c:pt>
                <c:pt idx="168">
                  <c:v>5343.9999999999973</c:v>
                </c:pt>
                <c:pt idx="169">
                  <c:v>2931.2000000002599</c:v>
                </c:pt>
                <c:pt idx="170">
                  <c:v>5743.9999999999964</c:v>
                </c:pt>
                <c:pt idx="171">
                  <c:v>5743.9999999999964</c:v>
                </c:pt>
                <c:pt idx="172">
                  <c:v>6031.9999999999955</c:v>
                </c:pt>
                <c:pt idx="173">
                  <c:v>6031.9999999999955</c:v>
                </c:pt>
                <c:pt idx="174">
                  <c:v>6031.9999999999955</c:v>
                </c:pt>
                <c:pt idx="175">
                  <c:v>6031.9999999999955</c:v>
                </c:pt>
                <c:pt idx="176">
                  <c:v>6031.9999999999955</c:v>
                </c:pt>
                <c:pt idx="177">
                  <c:v>6031.9999999999955</c:v>
                </c:pt>
                <c:pt idx="178">
                  <c:v>6031.9999999999955</c:v>
                </c:pt>
                <c:pt idx="179">
                  <c:v>2931.2000000002599</c:v>
                </c:pt>
                <c:pt idx="180">
                  <c:v>6031.9999999999955</c:v>
                </c:pt>
                <c:pt idx="181">
                  <c:v>6031.9999999999955</c:v>
                </c:pt>
                <c:pt idx="182">
                  <c:v>6031.9999999999955</c:v>
                </c:pt>
                <c:pt idx="183">
                  <c:v>6031.9999999999955</c:v>
                </c:pt>
                <c:pt idx="184">
                  <c:v>7331.2000000002645</c:v>
                </c:pt>
                <c:pt idx="185">
                  <c:v>5539.2000000002645</c:v>
                </c:pt>
                <c:pt idx="186">
                  <c:v>5635.2000000002608</c:v>
                </c:pt>
                <c:pt idx="187">
                  <c:v>5635.2000000002608</c:v>
                </c:pt>
                <c:pt idx="188">
                  <c:v>5635.2000000002608</c:v>
                </c:pt>
                <c:pt idx="189">
                  <c:v>5635.2000000002608</c:v>
                </c:pt>
                <c:pt idx="190">
                  <c:v>5635.2000000002608</c:v>
                </c:pt>
                <c:pt idx="191">
                  <c:v>5635.2000000002608</c:v>
                </c:pt>
                <c:pt idx="192">
                  <c:v>3011.2000000002595</c:v>
                </c:pt>
                <c:pt idx="193">
                  <c:v>5635.2000000002608</c:v>
                </c:pt>
                <c:pt idx="194">
                  <c:v>5635.2000000002608</c:v>
                </c:pt>
                <c:pt idx="195">
                  <c:v>4035.2000000002604</c:v>
                </c:pt>
                <c:pt idx="196">
                  <c:v>4035.2000000002604</c:v>
                </c:pt>
                <c:pt idx="197">
                  <c:v>4035.2000000002604</c:v>
                </c:pt>
                <c:pt idx="198">
                  <c:v>3011.2000000002595</c:v>
                </c:pt>
                <c:pt idx="199">
                  <c:v>4035.2000000002604</c:v>
                </c:pt>
                <c:pt idx="200">
                  <c:v>4035.2000000002604</c:v>
                </c:pt>
                <c:pt idx="201">
                  <c:v>4035.2000000002604</c:v>
                </c:pt>
                <c:pt idx="202">
                  <c:v>4035.2000000002604</c:v>
                </c:pt>
                <c:pt idx="203">
                  <c:v>4035.2000000002604</c:v>
                </c:pt>
                <c:pt idx="204">
                  <c:v>3011.2000000002595</c:v>
                </c:pt>
                <c:pt idx="205">
                  <c:v>3011.2000000002595</c:v>
                </c:pt>
                <c:pt idx="206">
                  <c:v>3011.2000000002595</c:v>
                </c:pt>
                <c:pt idx="207">
                  <c:v>3011.2000000002595</c:v>
                </c:pt>
                <c:pt idx="208">
                  <c:v>3251.2000000002595</c:v>
                </c:pt>
                <c:pt idx="209">
                  <c:v>3091.2000000002595</c:v>
                </c:pt>
                <c:pt idx="210">
                  <c:v>3091.2000000002595</c:v>
                </c:pt>
                <c:pt idx="211">
                  <c:v>3091.2000000002595</c:v>
                </c:pt>
                <c:pt idx="212">
                  <c:v>3171.2000000002595</c:v>
                </c:pt>
                <c:pt idx="213">
                  <c:v>3171.2000000002595</c:v>
                </c:pt>
                <c:pt idx="214">
                  <c:v>3171.2000000002595</c:v>
                </c:pt>
                <c:pt idx="215">
                  <c:v>3171.2000000002595</c:v>
                </c:pt>
                <c:pt idx="216">
                  <c:v>3171.2000000002595</c:v>
                </c:pt>
                <c:pt idx="217">
                  <c:v>3171.2000000002595</c:v>
                </c:pt>
                <c:pt idx="218">
                  <c:v>3171.2000000002595</c:v>
                </c:pt>
                <c:pt idx="219">
                  <c:v>3171.2000000002595</c:v>
                </c:pt>
                <c:pt idx="220">
                  <c:v>3251.2000000002595</c:v>
                </c:pt>
                <c:pt idx="221">
                  <c:v>3251.2000000002595</c:v>
                </c:pt>
                <c:pt idx="222">
                  <c:v>3251.2000000002595</c:v>
                </c:pt>
                <c:pt idx="223">
                  <c:v>3251.2000000002595</c:v>
                </c:pt>
                <c:pt idx="224">
                  <c:v>3251.2000000002595</c:v>
                </c:pt>
                <c:pt idx="225">
                  <c:v>3251.2000000002595</c:v>
                </c:pt>
                <c:pt idx="226">
                  <c:v>3251.2000000002595</c:v>
                </c:pt>
                <c:pt idx="227">
                  <c:v>3251.2000000002595</c:v>
                </c:pt>
                <c:pt idx="228">
                  <c:v>3251.2000000002595</c:v>
                </c:pt>
                <c:pt idx="229">
                  <c:v>3251.2000000002595</c:v>
                </c:pt>
                <c:pt idx="230">
                  <c:v>2931.2000000002599</c:v>
                </c:pt>
                <c:pt idx="231">
                  <c:v>3251.2000000002595</c:v>
                </c:pt>
                <c:pt idx="232">
                  <c:v>2771.2000000002599</c:v>
                </c:pt>
                <c:pt idx="233">
                  <c:v>3251.2000000002595</c:v>
                </c:pt>
                <c:pt idx="234">
                  <c:v>3251.2000000002595</c:v>
                </c:pt>
                <c:pt idx="235">
                  <c:v>3251.2000000002595</c:v>
                </c:pt>
                <c:pt idx="236">
                  <c:v>3251.2000000002595</c:v>
                </c:pt>
                <c:pt idx="237">
                  <c:v>3251.2000000002595</c:v>
                </c:pt>
                <c:pt idx="238">
                  <c:v>3251.2000000002595</c:v>
                </c:pt>
                <c:pt idx="239">
                  <c:v>3251.2000000002595</c:v>
                </c:pt>
                <c:pt idx="240">
                  <c:v>3251.2000000002595</c:v>
                </c:pt>
                <c:pt idx="241">
                  <c:v>3251.2000000002595</c:v>
                </c:pt>
                <c:pt idx="242">
                  <c:v>2771.2000000002599</c:v>
                </c:pt>
                <c:pt idx="243">
                  <c:v>2931.2000000002599</c:v>
                </c:pt>
                <c:pt idx="244">
                  <c:v>2931.2000000002599</c:v>
                </c:pt>
                <c:pt idx="245">
                  <c:v>2931.2000000002599</c:v>
                </c:pt>
                <c:pt idx="246">
                  <c:v>2931.2000000002599</c:v>
                </c:pt>
                <c:pt idx="247">
                  <c:v>2931.2000000002599</c:v>
                </c:pt>
                <c:pt idx="248">
                  <c:v>2931.2000000002599</c:v>
                </c:pt>
                <c:pt idx="249">
                  <c:v>2931.2000000002599</c:v>
                </c:pt>
                <c:pt idx="250">
                  <c:v>2931.2000000002599</c:v>
                </c:pt>
                <c:pt idx="251">
                  <c:v>2931.2000000002599</c:v>
                </c:pt>
                <c:pt idx="252">
                  <c:v>2931.2000000002599</c:v>
                </c:pt>
                <c:pt idx="253">
                  <c:v>2931.2000000002599</c:v>
                </c:pt>
                <c:pt idx="254">
                  <c:v>2931.2000000002599</c:v>
                </c:pt>
                <c:pt idx="255">
                  <c:v>2931.2000000002599</c:v>
                </c:pt>
                <c:pt idx="256">
                  <c:v>2931.2000000002599</c:v>
                </c:pt>
                <c:pt idx="257">
                  <c:v>2931.2000000002599</c:v>
                </c:pt>
                <c:pt idx="258">
                  <c:v>2931.2000000002599</c:v>
                </c:pt>
                <c:pt idx="259">
                  <c:v>2931.2000000002599</c:v>
                </c:pt>
                <c:pt idx="260">
                  <c:v>2931.2000000002599</c:v>
                </c:pt>
                <c:pt idx="261">
                  <c:v>2931.2000000002599</c:v>
                </c:pt>
                <c:pt idx="262">
                  <c:v>2931.2000000002599</c:v>
                </c:pt>
                <c:pt idx="263">
                  <c:v>2931.2000000002599</c:v>
                </c:pt>
                <c:pt idx="264">
                  <c:v>2931.2000000002599</c:v>
                </c:pt>
                <c:pt idx="265">
                  <c:v>2931.2000000002599</c:v>
                </c:pt>
                <c:pt idx="266">
                  <c:v>2931.2000000002599</c:v>
                </c:pt>
                <c:pt idx="267">
                  <c:v>2931.2000000002599</c:v>
                </c:pt>
                <c:pt idx="268">
                  <c:v>2931.2000000002599</c:v>
                </c:pt>
                <c:pt idx="269">
                  <c:v>2931.2000000002599</c:v>
                </c:pt>
                <c:pt idx="270">
                  <c:v>2931.2000000002599</c:v>
                </c:pt>
                <c:pt idx="271">
                  <c:v>2931.2000000002599</c:v>
                </c:pt>
                <c:pt idx="272">
                  <c:v>2931.2000000002599</c:v>
                </c:pt>
                <c:pt idx="273">
                  <c:v>2931.2000000002599</c:v>
                </c:pt>
                <c:pt idx="274">
                  <c:v>2931.2000000002599</c:v>
                </c:pt>
                <c:pt idx="275">
                  <c:v>2955.200000000259</c:v>
                </c:pt>
                <c:pt idx="276">
                  <c:v>2955.200000000259</c:v>
                </c:pt>
                <c:pt idx="277">
                  <c:v>2955.200000000259</c:v>
                </c:pt>
                <c:pt idx="278">
                  <c:v>2955.200000000259</c:v>
                </c:pt>
                <c:pt idx="279">
                  <c:v>2955.200000000259</c:v>
                </c:pt>
                <c:pt idx="280">
                  <c:v>3435.2000000002604</c:v>
                </c:pt>
                <c:pt idx="281">
                  <c:v>3435.2000000002604</c:v>
                </c:pt>
                <c:pt idx="282">
                  <c:v>3435.2000000002604</c:v>
                </c:pt>
                <c:pt idx="283">
                  <c:v>3435.2000000002604</c:v>
                </c:pt>
                <c:pt idx="284">
                  <c:v>3435.2000000002604</c:v>
                </c:pt>
                <c:pt idx="285">
                  <c:v>3435.2000000002604</c:v>
                </c:pt>
                <c:pt idx="286">
                  <c:v>3435.2000000002604</c:v>
                </c:pt>
                <c:pt idx="287">
                  <c:v>3435.2000000002604</c:v>
                </c:pt>
                <c:pt idx="288">
                  <c:v>3435.2000000002604</c:v>
                </c:pt>
                <c:pt idx="289">
                  <c:v>3435.2000000002604</c:v>
                </c:pt>
                <c:pt idx="290">
                  <c:v>3435.2000000002604</c:v>
                </c:pt>
                <c:pt idx="291">
                  <c:v>3435.2000000002604</c:v>
                </c:pt>
                <c:pt idx="292">
                  <c:v>3435.2000000002604</c:v>
                </c:pt>
                <c:pt idx="293">
                  <c:v>3435.2000000002604</c:v>
                </c:pt>
                <c:pt idx="294">
                  <c:v>3435.2000000002604</c:v>
                </c:pt>
                <c:pt idx="295">
                  <c:v>2955.2000000002422</c:v>
                </c:pt>
                <c:pt idx="296">
                  <c:v>2955.2000000002422</c:v>
                </c:pt>
                <c:pt idx="297">
                  <c:v>2955.2000000002422</c:v>
                </c:pt>
                <c:pt idx="298">
                  <c:v>2955.2000000002422</c:v>
                </c:pt>
                <c:pt idx="299">
                  <c:v>2955.2000000002422</c:v>
                </c:pt>
                <c:pt idx="300">
                  <c:v>2955.2000000002422</c:v>
                </c:pt>
                <c:pt idx="301">
                  <c:v>2955.2000000002422</c:v>
                </c:pt>
                <c:pt idx="302">
                  <c:v>2955.2000000002422</c:v>
                </c:pt>
                <c:pt idx="303">
                  <c:v>2955.2000000002422</c:v>
                </c:pt>
                <c:pt idx="304">
                  <c:v>3355.2000000004468</c:v>
                </c:pt>
                <c:pt idx="305">
                  <c:v>3355.2000000004468</c:v>
                </c:pt>
                <c:pt idx="306">
                  <c:v>3355.2000000004468</c:v>
                </c:pt>
                <c:pt idx="307">
                  <c:v>3355.2000000004468</c:v>
                </c:pt>
                <c:pt idx="308">
                  <c:v>3355.2000000004468</c:v>
                </c:pt>
                <c:pt idx="309">
                  <c:v>3355.2000000004468</c:v>
                </c:pt>
                <c:pt idx="310">
                  <c:v>3355.2000000004468</c:v>
                </c:pt>
                <c:pt idx="311">
                  <c:v>3355.2000000004468</c:v>
                </c:pt>
                <c:pt idx="312">
                  <c:v>3819.2000000004464</c:v>
                </c:pt>
                <c:pt idx="313">
                  <c:v>3819.2000000004464</c:v>
                </c:pt>
                <c:pt idx="314">
                  <c:v>3819.2000000004464</c:v>
                </c:pt>
                <c:pt idx="315">
                  <c:v>3819.2000000004464</c:v>
                </c:pt>
                <c:pt idx="316">
                  <c:v>3819.2000000004464</c:v>
                </c:pt>
                <c:pt idx="317">
                  <c:v>3819.2000000004464</c:v>
                </c:pt>
                <c:pt idx="318">
                  <c:v>3819.2000000004464</c:v>
                </c:pt>
                <c:pt idx="319">
                  <c:v>3819.2000000004464</c:v>
                </c:pt>
                <c:pt idx="320">
                  <c:v>3819.2000000004464</c:v>
                </c:pt>
                <c:pt idx="321">
                  <c:v>3819.2000000004464</c:v>
                </c:pt>
                <c:pt idx="322">
                  <c:v>3819.2000000004464</c:v>
                </c:pt>
                <c:pt idx="323">
                  <c:v>3819.2000000004464</c:v>
                </c:pt>
                <c:pt idx="324">
                  <c:v>3819.2000000004464</c:v>
                </c:pt>
                <c:pt idx="325">
                  <c:v>3819.2000000004464</c:v>
                </c:pt>
                <c:pt idx="326">
                  <c:v>4219.2000000004446</c:v>
                </c:pt>
                <c:pt idx="327">
                  <c:v>4219.2000000004446</c:v>
                </c:pt>
                <c:pt idx="328">
                  <c:v>4219.2000000004446</c:v>
                </c:pt>
                <c:pt idx="329">
                  <c:v>4299.2000000004446</c:v>
                </c:pt>
                <c:pt idx="330">
                  <c:v>4299.2000000004446</c:v>
                </c:pt>
                <c:pt idx="331">
                  <c:v>4299.2000000004446</c:v>
                </c:pt>
                <c:pt idx="332">
                  <c:v>4299.2000000004446</c:v>
                </c:pt>
                <c:pt idx="333">
                  <c:v>4299.2000000004446</c:v>
                </c:pt>
                <c:pt idx="334">
                  <c:v>4299.2000000004446</c:v>
                </c:pt>
                <c:pt idx="335">
                  <c:v>4299.2000000004446</c:v>
                </c:pt>
                <c:pt idx="336">
                  <c:v>4299.2000000004446</c:v>
                </c:pt>
                <c:pt idx="337">
                  <c:v>4299.2000000004446</c:v>
                </c:pt>
                <c:pt idx="338">
                  <c:v>4299.2000000004446</c:v>
                </c:pt>
                <c:pt idx="339">
                  <c:v>4299.2000000004446</c:v>
                </c:pt>
                <c:pt idx="340">
                  <c:v>4299.2000000004446</c:v>
                </c:pt>
                <c:pt idx="341">
                  <c:v>4299.2000000004446</c:v>
                </c:pt>
                <c:pt idx="342">
                  <c:v>4299.2000000004446</c:v>
                </c:pt>
                <c:pt idx="343">
                  <c:v>4299.2000000004446</c:v>
                </c:pt>
                <c:pt idx="344">
                  <c:v>4299.2000000004446</c:v>
                </c:pt>
                <c:pt idx="345">
                  <c:v>4299.2000000004446</c:v>
                </c:pt>
                <c:pt idx="346">
                  <c:v>4299.2000000004446</c:v>
                </c:pt>
                <c:pt idx="347">
                  <c:v>4299.2000000004446</c:v>
                </c:pt>
                <c:pt idx="348">
                  <c:v>4299.2000000004446</c:v>
                </c:pt>
                <c:pt idx="349">
                  <c:v>4299.2000000004446</c:v>
                </c:pt>
                <c:pt idx="350">
                  <c:v>4299.2000000004446</c:v>
                </c:pt>
                <c:pt idx="351">
                  <c:v>4299.2000000004446</c:v>
                </c:pt>
                <c:pt idx="352">
                  <c:v>4907.2000000004446</c:v>
                </c:pt>
                <c:pt idx="353">
                  <c:v>4907.2000000004446</c:v>
                </c:pt>
                <c:pt idx="354">
                  <c:v>4907.2000000004446</c:v>
                </c:pt>
                <c:pt idx="355">
                  <c:v>4907.2000000004446</c:v>
                </c:pt>
                <c:pt idx="356">
                  <c:v>4907.2000000004446</c:v>
                </c:pt>
                <c:pt idx="357">
                  <c:v>4907.2000000004446</c:v>
                </c:pt>
                <c:pt idx="358">
                  <c:v>4907.2000000004446</c:v>
                </c:pt>
                <c:pt idx="359">
                  <c:v>4907.2000000004446</c:v>
                </c:pt>
                <c:pt idx="360">
                  <c:v>4907.2000000004446</c:v>
                </c:pt>
                <c:pt idx="361">
                  <c:v>4907.2000000004446</c:v>
                </c:pt>
                <c:pt idx="362">
                  <c:v>4907.2000000004446</c:v>
                </c:pt>
                <c:pt idx="363">
                  <c:v>4907.2000000004446</c:v>
                </c:pt>
                <c:pt idx="364">
                  <c:v>4907.2000000004446</c:v>
                </c:pt>
                <c:pt idx="365">
                  <c:v>4907.2000000004446</c:v>
                </c:pt>
                <c:pt idx="366">
                  <c:v>4907.2000000004446</c:v>
                </c:pt>
                <c:pt idx="367">
                  <c:v>4907.2000000004446</c:v>
                </c:pt>
                <c:pt idx="368">
                  <c:v>4907.2000000004446</c:v>
                </c:pt>
                <c:pt idx="369">
                  <c:v>5243.2000000004446</c:v>
                </c:pt>
                <c:pt idx="370">
                  <c:v>5243.2000000004446</c:v>
                </c:pt>
                <c:pt idx="371">
                  <c:v>5803.2000000004446</c:v>
                </c:pt>
                <c:pt idx="372">
                  <c:v>6523.2000000004446</c:v>
                </c:pt>
                <c:pt idx="373">
                  <c:v>6523.2000000004446</c:v>
                </c:pt>
                <c:pt idx="374">
                  <c:v>6523.2000000004446</c:v>
                </c:pt>
                <c:pt idx="375">
                  <c:v>6523.2000000004446</c:v>
                </c:pt>
                <c:pt idx="376">
                  <c:v>6523.2000000004446</c:v>
                </c:pt>
                <c:pt idx="377">
                  <c:v>6523.2000000004446</c:v>
                </c:pt>
                <c:pt idx="378">
                  <c:v>6523.2000000004446</c:v>
                </c:pt>
                <c:pt idx="379">
                  <c:v>6523.2000000004446</c:v>
                </c:pt>
                <c:pt idx="380">
                  <c:v>6523.2000000004446</c:v>
                </c:pt>
                <c:pt idx="381">
                  <c:v>6523.2000000004446</c:v>
                </c:pt>
                <c:pt idx="382">
                  <c:v>6203.2000000004446</c:v>
                </c:pt>
                <c:pt idx="383">
                  <c:v>6203.2000000004446</c:v>
                </c:pt>
                <c:pt idx="384">
                  <c:v>6203.2000000004446</c:v>
                </c:pt>
                <c:pt idx="385">
                  <c:v>6203.2000000004446</c:v>
                </c:pt>
                <c:pt idx="386">
                  <c:v>5883.2000000002809</c:v>
                </c:pt>
                <c:pt idx="387">
                  <c:v>5883.2000000002809</c:v>
                </c:pt>
                <c:pt idx="388">
                  <c:v>5883.2000000002809</c:v>
                </c:pt>
                <c:pt idx="389">
                  <c:v>5883.2000000002809</c:v>
                </c:pt>
                <c:pt idx="390">
                  <c:v>5883.2000000002809</c:v>
                </c:pt>
                <c:pt idx="391">
                  <c:v>5883.2000000002809</c:v>
                </c:pt>
                <c:pt idx="392">
                  <c:v>5883.2000000002809</c:v>
                </c:pt>
                <c:pt idx="393">
                  <c:v>5883.2000000002809</c:v>
                </c:pt>
                <c:pt idx="394">
                  <c:v>5883.2000000002809</c:v>
                </c:pt>
                <c:pt idx="395">
                  <c:v>5883.2000000002809</c:v>
                </c:pt>
                <c:pt idx="396">
                  <c:v>5883.2000000002809</c:v>
                </c:pt>
                <c:pt idx="397">
                  <c:v>5243.2000000002809</c:v>
                </c:pt>
                <c:pt idx="398">
                  <c:v>5243.2000000002809</c:v>
                </c:pt>
                <c:pt idx="399">
                  <c:v>3899.2000000002818</c:v>
                </c:pt>
                <c:pt idx="400">
                  <c:v>3899.2000000002818</c:v>
                </c:pt>
                <c:pt idx="401">
                  <c:v>3899.2000000002818</c:v>
                </c:pt>
                <c:pt idx="402">
                  <c:v>3899.2000000002818</c:v>
                </c:pt>
                <c:pt idx="403">
                  <c:v>3899.2000000002818</c:v>
                </c:pt>
                <c:pt idx="404">
                  <c:v>3899.2000000002818</c:v>
                </c:pt>
                <c:pt idx="405">
                  <c:v>3899.2000000002818</c:v>
                </c:pt>
                <c:pt idx="406">
                  <c:v>3899.2000000002818</c:v>
                </c:pt>
                <c:pt idx="407">
                  <c:v>3899.2000000002818</c:v>
                </c:pt>
                <c:pt idx="408">
                  <c:v>3899.2000000002818</c:v>
                </c:pt>
                <c:pt idx="409">
                  <c:v>3899.2000000002818</c:v>
                </c:pt>
                <c:pt idx="410">
                  <c:v>3899.2000000002818</c:v>
                </c:pt>
                <c:pt idx="411">
                  <c:v>3899.2000000002818</c:v>
                </c:pt>
                <c:pt idx="412">
                  <c:v>3899.2000000002818</c:v>
                </c:pt>
                <c:pt idx="413">
                  <c:v>3899.2000000002818</c:v>
                </c:pt>
                <c:pt idx="414">
                  <c:v>4379.2000000002818</c:v>
                </c:pt>
                <c:pt idx="415">
                  <c:v>4379.2000000002818</c:v>
                </c:pt>
                <c:pt idx="416">
                  <c:v>4379.2000000002818</c:v>
                </c:pt>
                <c:pt idx="417">
                  <c:v>4379.2000000002818</c:v>
                </c:pt>
                <c:pt idx="418">
                  <c:v>4679.2000000002818</c:v>
                </c:pt>
                <c:pt idx="419">
                  <c:v>4679.2000000002818</c:v>
                </c:pt>
                <c:pt idx="420">
                  <c:v>4679.2000000002818</c:v>
                </c:pt>
                <c:pt idx="421">
                  <c:v>4679.2000000002818</c:v>
                </c:pt>
                <c:pt idx="422">
                  <c:v>5159.2000000002827</c:v>
                </c:pt>
                <c:pt idx="423">
                  <c:v>5159.2000000002827</c:v>
                </c:pt>
                <c:pt idx="424">
                  <c:v>5159.2000000002827</c:v>
                </c:pt>
                <c:pt idx="425">
                  <c:v>5159.2000000002827</c:v>
                </c:pt>
                <c:pt idx="426">
                  <c:v>5159.2000000002827</c:v>
                </c:pt>
                <c:pt idx="427">
                  <c:v>5159.2000000002827</c:v>
                </c:pt>
                <c:pt idx="428">
                  <c:v>5159.2000000002827</c:v>
                </c:pt>
                <c:pt idx="429">
                  <c:v>5159.2000000002827</c:v>
                </c:pt>
                <c:pt idx="430">
                  <c:v>5159.2000000002827</c:v>
                </c:pt>
                <c:pt idx="431">
                  <c:v>5159.2000000002827</c:v>
                </c:pt>
                <c:pt idx="432">
                  <c:v>5159.2000000002827</c:v>
                </c:pt>
                <c:pt idx="433">
                  <c:v>5159.2000000002827</c:v>
                </c:pt>
                <c:pt idx="434">
                  <c:v>5159.2000000002827</c:v>
                </c:pt>
                <c:pt idx="435">
                  <c:v>5159.2000000002827</c:v>
                </c:pt>
                <c:pt idx="436">
                  <c:v>5159.2000000002827</c:v>
                </c:pt>
                <c:pt idx="437">
                  <c:v>5159.2000000002827</c:v>
                </c:pt>
                <c:pt idx="438">
                  <c:v>5159.2000000002827</c:v>
                </c:pt>
                <c:pt idx="439">
                  <c:v>5159.2000000002827</c:v>
                </c:pt>
                <c:pt idx="440">
                  <c:v>5159.2000000002827</c:v>
                </c:pt>
                <c:pt idx="441">
                  <c:v>5159.2000000002827</c:v>
                </c:pt>
                <c:pt idx="442">
                  <c:v>5159.2000000002827</c:v>
                </c:pt>
                <c:pt idx="443">
                  <c:v>5159.2000000002827</c:v>
                </c:pt>
                <c:pt idx="444">
                  <c:v>5159.2000000002827</c:v>
                </c:pt>
                <c:pt idx="445">
                  <c:v>5159.2000000002827</c:v>
                </c:pt>
                <c:pt idx="446">
                  <c:v>5159.2000000002827</c:v>
                </c:pt>
                <c:pt idx="447">
                  <c:v>5159.2000000002827</c:v>
                </c:pt>
                <c:pt idx="448">
                  <c:v>5159.2000000002827</c:v>
                </c:pt>
                <c:pt idx="449">
                  <c:v>5159.2000000002827</c:v>
                </c:pt>
                <c:pt idx="450">
                  <c:v>5159.2000000002827</c:v>
                </c:pt>
                <c:pt idx="451">
                  <c:v>5159.2000000002827</c:v>
                </c:pt>
                <c:pt idx="452">
                  <c:v>5159.2000000002827</c:v>
                </c:pt>
                <c:pt idx="453">
                  <c:v>5159.2000000002827</c:v>
                </c:pt>
                <c:pt idx="454">
                  <c:v>5159.2000000002827</c:v>
                </c:pt>
                <c:pt idx="455">
                  <c:v>5159.2000000002827</c:v>
                </c:pt>
                <c:pt idx="456">
                  <c:v>5159.2000000002827</c:v>
                </c:pt>
                <c:pt idx="457">
                  <c:v>5159.2000000002827</c:v>
                </c:pt>
                <c:pt idx="458">
                  <c:v>5159.2000000002827</c:v>
                </c:pt>
                <c:pt idx="459">
                  <c:v>5159.2000000002827</c:v>
                </c:pt>
                <c:pt idx="460">
                  <c:v>5159.2000000002827</c:v>
                </c:pt>
                <c:pt idx="461">
                  <c:v>5159.2000000002827</c:v>
                </c:pt>
                <c:pt idx="462">
                  <c:v>5159.2000000002827</c:v>
                </c:pt>
                <c:pt idx="463">
                  <c:v>5159.2000000002827</c:v>
                </c:pt>
                <c:pt idx="464">
                  <c:v>5159.2000000002827</c:v>
                </c:pt>
                <c:pt idx="465">
                  <c:v>5159.2000000002827</c:v>
                </c:pt>
                <c:pt idx="466">
                  <c:v>5159.2000000002827</c:v>
                </c:pt>
                <c:pt idx="467">
                  <c:v>5159.2000000002827</c:v>
                </c:pt>
                <c:pt idx="468">
                  <c:v>5159.2000000002827</c:v>
                </c:pt>
                <c:pt idx="469">
                  <c:v>5159.2000000002827</c:v>
                </c:pt>
                <c:pt idx="470">
                  <c:v>5159.2000000002827</c:v>
                </c:pt>
                <c:pt idx="471">
                  <c:v>5159.2000000002827</c:v>
                </c:pt>
                <c:pt idx="472">
                  <c:v>5159.2000000002827</c:v>
                </c:pt>
                <c:pt idx="473">
                  <c:v>5159.2000000002827</c:v>
                </c:pt>
                <c:pt idx="474">
                  <c:v>5159.2000000002827</c:v>
                </c:pt>
                <c:pt idx="475">
                  <c:v>5559.2000000002827</c:v>
                </c:pt>
                <c:pt idx="476">
                  <c:v>6359.2000000002827</c:v>
                </c:pt>
                <c:pt idx="477">
                  <c:v>6359.2000000002827</c:v>
                </c:pt>
                <c:pt idx="478">
                  <c:v>6359.2000000002827</c:v>
                </c:pt>
                <c:pt idx="479">
                  <c:v>6759.2000000002827</c:v>
                </c:pt>
                <c:pt idx="480">
                  <c:v>7559.2000000002827</c:v>
                </c:pt>
                <c:pt idx="481">
                  <c:v>7559.2000000002827</c:v>
                </c:pt>
                <c:pt idx="482">
                  <c:v>7559.2000000002827</c:v>
                </c:pt>
                <c:pt idx="483">
                  <c:v>7559.2000000002827</c:v>
                </c:pt>
                <c:pt idx="484">
                  <c:v>7559.2000000002827</c:v>
                </c:pt>
                <c:pt idx="485">
                  <c:v>6759.2000000002827</c:v>
                </c:pt>
                <c:pt idx="486">
                  <c:v>6759.2000000002827</c:v>
                </c:pt>
                <c:pt idx="487">
                  <c:v>6759.2000000002827</c:v>
                </c:pt>
                <c:pt idx="488">
                  <c:v>7059.2000000002827</c:v>
                </c:pt>
                <c:pt idx="489">
                  <c:v>7059.2000000002827</c:v>
                </c:pt>
                <c:pt idx="490">
                  <c:v>7059.2000000002827</c:v>
                </c:pt>
                <c:pt idx="491">
                  <c:v>7059.2000000002827</c:v>
                </c:pt>
                <c:pt idx="492">
                  <c:v>7059.2000000002827</c:v>
                </c:pt>
                <c:pt idx="493">
                  <c:v>7059.2000000002827</c:v>
                </c:pt>
                <c:pt idx="494">
                  <c:v>7059.2000000002827</c:v>
                </c:pt>
                <c:pt idx="495">
                  <c:v>7059.2000000002827</c:v>
                </c:pt>
                <c:pt idx="496">
                  <c:v>7059.2000000002827</c:v>
                </c:pt>
                <c:pt idx="497">
                  <c:v>7059.2000000002827</c:v>
                </c:pt>
                <c:pt idx="498">
                  <c:v>7059.2000000002827</c:v>
                </c:pt>
                <c:pt idx="499">
                  <c:v>7059.2000000002827</c:v>
                </c:pt>
                <c:pt idx="500">
                  <c:v>7059.2000000002827</c:v>
                </c:pt>
                <c:pt idx="501">
                  <c:v>7379.2000000002827</c:v>
                </c:pt>
                <c:pt idx="502">
                  <c:v>7379.2000000002827</c:v>
                </c:pt>
                <c:pt idx="503">
                  <c:v>7079.2000000002827</c:v>
                </c:pt>
                <c:pt idx="504">
                  <c:v>7079.2000000002827</c:v>
                </c:pt>
                <c:pt idx="505">
                  <c:v>8039.2000000002827</c:v>
                </c:pt>
                <c:pt idx="506">
                  <c:v>8039.2000000002827</c:v>
                </c:pt>
                <c:pt idx="507">
                  <c:v>8039.2000000002827</c:v>
                </c:pt>
                <c:pt idx="508">
                  <c:v>8039.2000000002827</c:v>
                </c:pt>
                <c:pt idx="509">
                  <c:v>8039.2000000002827</c:v>
                </c:pt>
                <c:pt idx="510">
                  <c:v>8039.2000000002827</c:v>
                </c:pt>
                <c:pt idx="511">
                  <c:v>8087.2000000002827</c:v>
                </c:pt>
                <c:pt idx="512">
                  <c:v>8087.2000000002827</c:v>
                </c:pt>
                <c:pt idx="513">
                  <c:v>8087.2000000002827</c:v>
                </c:pt>
                <c:pt idx="514">
                  <c:v>8087.2000000002827</c:v>
                </c:pt>
                <c:pt idx="515">
                  <c:v>8087.2000000002827</c:v>
                </c:pt>
                <c:pt idx="516">
                  <c:v>8087.2000000002827</c:v>
                </c:pt>
                <c:pt idx="517">
                  <c:v>8087.2000000002827</c:v>
                </c:pt>
                <c:pt idx="518">
                  <c:v>8087.2000000002827</c:v>
                </c:pt>
                <c:pt idx="519">
                  <c:v>8087.2000000002827</c:v>
                </c:pt>
                <c:pt idx="520">
                  <c:v>8087.2000000002827</c:v>
                </c:pt>
                <c:pt idx="521">
                  <c:v>8087.2000000002827</c:v>
                </c:pt>
                <c:pt idx="522">
                  <c:v>8087.2000000002827</c:v>
                </c:pt>
                <c:pt idx="523">
                  <c:v>8087.2000000002827</c:v>
                </c:pt>
                <c:pt idx="524">
                  <c:v>8087.2000000002827</c:v>
                </c:pt>
                <c:pt idx="525">
                  <c:v>8087.2000000002827</c:v>
                </c:pt>
                <c:pt idx="526">
                  <c:v>8087.2000000002827</c:v>
                </c:pt>
                <c:pt idx="527">
                  <c:v>8087.2000000002827</c:v>
                </c:pt>
                <c:pt idx="528">
                  <c:v>8087.2000000002827</c:v>
                </c:pt>
                <c:pt idx="529">
                  <c:v>8087.2000000002827</c:v>
                </c:pt>
                <c:pt idx="530">
                  <c:v>8087.2000000002827</c:v>
                </c:pt>
                <c:pt idx="531">
                  <c:v>8087.2000000002827</c:v>
                </c:pt>
                <c:pt idx="532">
                  <c:v>8087.2000000002827</c:v>
                </c:pt>
                <c:pt idx="533">
                  <c:v>8087.2000000002827</c:v>
                </c:pt>
                <c:pt idx="534">
                  <c:v>8087.2000000002827</c:v>
                </c:pt>
                <c:pt idx="535">
                  <c:v>8087.2000000002827</c:v>
                </c:pt>
                <c:pt idx="536">
                  <c:v>8087.2000000002827</c:v>
                </c:pt>
                <c:pt idx="537">
                  <c:v>8087.2000000002827</c:v>
                </c:pt>
                <c:pt idx="538">
                  <c:v>8087.2000000002827</c:v>
                </c:pt>
                <c:pt idx="539">
                  <c:v>8087.2000000002827</c:v>
                </c:pt>
                <c:pt idx="540">
                  <c:v>8087.2000000002827</c:v>
                </c:pt>
                <c:pt idx="541">
                  <c:v>8087.2000000002827</c:v>
                </c:pt>
                <c:pt idx="542">
                  <c:v>8087.2000000002827</c:v>
                </c:pt>
                <c:pt idx="543">
                  <c:v>8087.2000000002827</c:v>
                </c:pt>
                <c:pt idx="544">
                  <c:v>8087.2000000002827</c:v>
                </c:pt>
                <c:pt idx="545">
                  <c:v>8087.2000000002827</c:v>
                </c:pt>
                <c:pt idx="546">
                  <c:v>10967.200000000283</c:v>
                </c:pt>
                <c:pt idx="547">
                  <c:v>14807.200000000283</c:v>
                </c:pt>
                <c:pt idx="548">
                  <c:v>10967.200000000283</c:v>
                </c:pt>
                <c:pt idx="549">
                  <c:v>10967.200000000283</c:v>
                </c:pt>
                <c:pt idx="550">
                  <c:v>10967.200000000283</c:v>
                </c:pt>
                <c:pt idx="551">
                  <c:v>13607.200000000283</c:v>
                </c:pt>
                <c:pt idx="552">
                  <c:v>14807.200000000283</c:v>
                </c:pt>
                <c:pt idx="553">
                  <c:v>16087.200000000283</c:v>
                </c:pt>
                <c:pt idx="554">
                  <c:v>17287.200000000284</c:v>
                </c:pt>
                <c:pt idx="555">
                  <c:v>13147.200000000877</c:v>
                </c:pt>
                <c:pt idx="556">
                  <c:v>17287.200000000284</c:v>
                </c:pt>
                <c:pt idx="557">
                  <c:v>17287.200000000284</c:v>
                </c:pt>
                <c:pt idx="558">
                  <c:v>17287.200000000284</c:v>
                </c:pt>
                <c:pt idx="559">
                  <c:v>17287.200000000284</c:v>
                </c:pt>
                <c:pt idx="560">
                  <c:v>17287.200000000284</c:v>
                </c:pt>
                <c:pt idx="561">
                  <c:v>17287.200000000284</c:v>
                </c:pt>
                <c:pt idx="562">
                  <c:v>17287.200000000284</c:v>
                </c:pt>
                <c:pt idx="563">
                  <c:v>17287.200000000284</c:v>
                </c:pt>
                <c:pt idx="564">
                  <c:v>17287.200000000284</c:v>
                </c:pt>
                <c:pt idx="565">
                  <c:v>17287.200000000284</c:v>
                </c:pt>
                <c:pt idx="566">
                  <c:v>17287.200000000284</c:v>
                </c:pt>
                <c:pt idx="567">
                  <c:v>17287.200000000284</c:v>
                </c:pt>
                <c:pt idx="568">
                  <c:v>12587.200000000877</c:v>
                </c:pt>
                <c:pt idx="569">
                  <c:v>17287.200000000284</c:v>
                </c:pt>
                <c:pt idx="570">
                  <c:v>17287.200000000284</c:v>
                </c:pt>
                <c:pt idx="571">
                  <c:v>12587.200000000877</c:v>
                </c:pt>
                <c:pt idx="572">
                  <c:v>16807.200000000379</c:v>
                </c:pt>
                <c:pt idx="573">
                  <c:v>16807.200000000379</c:v>
                </c:pt>
                <c:pt idx="574">
                  <c:v>16807.200000000379</c:v>
                </c:pt>
                <c:pt idx="575">
                  <c:v>12587.200000000877</c:v>
                </c:pt>
                <c:pt idx="576">
                  <c:v>13147.200000000877</c:v>
                </c:pt>
                <c:pt idx="577">
                  <c:v>17127.200000000379</c:v>
                </c:pt>
                <c:pt idx="578">
                  <c:v>17127.200000000379</c:v>
                </c:pt>
                <c:pt idx="579">
                  <c:v>17127.200000000379</c:v>
                </c:pt>
                <c:pt idx="580">
                  <c:v>17127.200000000379</c:v>
                </c:pt>
                <c:pt idx="581">
                  <c:v>17127.200000000379</c:v>
                </c:pt>
                <c:pt idx="582">
                  <c:v>17447.200000000543</c:v>
                </c:pt>
                <c:pt idx="583">
                  <c:v>18515.200000000543</c:v>
                </c:pt>
                <c:pt idx="584">
                  <c:v>17447.200000000543</c:v>
                </c:pt>
                <c:pt idx="585">
                  <c:v>17447.200000000543</c:v>
                </c:pt>
                <c:pt idx="586">
                  <c:v>19383.200000000543</c:v>
                </c:pt>
                <c:pt idx="587">
                  <c:v>17687.200000000543</c:v>
                </c:pt>
                <c:pt idx="588">
                  <c:v>17687.200000000543</c:v>
                </c:pt>
                <c:pt idx="589">
                  <c:v>17687.200000000543</c:v>
                </c:pt>
                <c:pt idx="590">
                  <c:v>17687.200000000543</c:v>
                </c:pt>
                <c:pt idx="591">
                  <c:v>18487.200000000543</c:v>
                </c:pt>
                <c:pt idx="592">
                  <c:v>19127.200000000543</c:v>
                </c:pt>
                <c:pt idx="593">
                  <c:v>19383.200000000543</c:v>
                </c:pt>
                <c:pt idx="594">
                  <c:v>19383.200000000543</c:v>
                </c:pt>
                <c:pt idx="595">
                  <c:v>19383.200000000543</c:v>
                </c:pt>
                <c:pt idx="596">
                  <c:v>20343.200000000543</c:v>
                </c:pt>
                <c:pt idx="597">
                  <c:v>20343.200000000543</c:v>
                </c:pt>
                <c:pt idx="598">
                  <c:v>20343.200000000543</c:v>
                </c:pt>
                <c:pt idx="599">
                  <c:v>18515.200000000543</c:v>
                </c:pt>
                <c:pt idx="600">
                  <c:v>20343.200000000543</c:v>
                </c:pt>
                <c:pt idx="601">
                  <c:v>20343.200000000543</c:v>
                </c:pt>
                <c:pt idx="602">
                  <c:v>20343.200000000543</c:v>
                </c:pt>
                <c:pt idx="603">
                  <c:v>20343.200000000543</c:v>
                </c:pt>
                <c:pt idx="604">
                  <c:v>20343.200000000543</c:v>
                </c:pt>
                <c:pt idx="605">
                  <c:v>19623.200000000543</c:v>
                </c:pt>
                <c:pt idx="606">
                  <c:v>19623.200000000543</c:v>
                </c:pt>
                <c:pt idx="607">
                  <c:v>19623.200000000543</c:v>
                </c:pt>
                <c:pt idx="608">
                  <c:v>18343.200000000543</c:v>
                </c:pt>
                <c:pt idx="609">
                  <c:v>17383.200000000543</c:v>
                </c:pt>
                <c:pt idx="610">
                  <c:v>18183.200000000543</c:v>
                </c:pt>
                <c:pt idx="611">
                  <c:v>18483.200000000543</c:v>
                </c:pt>
                <c:pt idx="612">
                  <c:v>18515.200000000543</c:v>
                </c:pt>
                <c:pt idx="613">
                  <c:v>18515.200000000543</c:v>
                </c:pt>
                <c:pt idx="614">
                  <c:v>18515.200000000543</c:v>
                </c:pt>
                <c:pt idx="615">
                  <c:v>18515.200000000543</c:v>
                </c:pt>
                <c:pt idx="616">
                  <c:v>18515.200000000543</c:v>
                </c:pt>
                <c:pt idx="617">
                  <c:v>18515.200000000543</c:v>
                </c:pt>
                <c:pt idx="618">
                  <c:v>18515.200000000543</c:v>
                </c:pt>
                <c:pt idx="619">
                  <c:v>18515.200000000543</c:v>
                </c:pt>
                <c:pt idx="620">
                  <c:v>12587.200000000877</c:v>
                </c:pt>
                <c:pt idx="621">
                  <c:v>20115.200000000706</c:v>
                </c:pt>
                <c:pt idx="622">
                  <c:v>20115.200000000706</c:v>
                </c:pt>
                <c:pt idx="623">
                  <c:v>20755.200000000706</c:v>
                </c:pt>
                <c:pt idx="624">
                  <c:v>20915.200000000706</c:v>
                </c:pt>
                <c:pt idx="625">
                  <c:v>20915.200000000706</c:v>
                </c:pt>
                <c:pt idx="626">
                  <c:v>20915.200000000706</c:v>
                </c:pt>
                <c:pt idx="627">
                  <c:v>12587.200000000877</c:v>
                </c:pt>
                <c:pt idx="628">
                  <c:v>20915.200000000706</c:v>
                </c:pt>
                <c:pt idx="629">
                  <c:v>20915.200000000706</c:v>
                </c:pt>
                <c:pt idx="630">
                  <c:v>18995.200000000405</c:v>
                </c:pt>
                <c:pt idx="631">
                  <c:v>17395.200000000495</c:v>
                </c:pt>
                <c:pt idx="632">
                  <c:v>15475.200000000195</c:v>
                </c:pt>
                <c:pt idx="633">
                  <c:v>15475.200000000195</c:v>
                </c:pt>
                <c:pt idx="634">
                  <c:v>13555.200000000577</c:v>
                </c:pt>
                <c:pt idx="635">
                  <c:v>15475.200000000877</c:v>
                </c:pt>
                <c:pt idx="636">
                  <c:v>15475.200000000877</c:v>
                </c:pt>
                <c:pt idx="637">
                  <c:v>15475.200000000877</c:v>
                </c:pt>
                <c:pt idx="638">
                  <c:v>13555.200000000877</c:v>
                </c:pt>
                <c:pt idx="639">
                  <c:v>12587.200000000877</c:v>
                </c:pt>
                <c:pt idx="640">
                  <c:v>11955.200000000876</c:v>
                </c:pt>
                <c:pt idx="641">
                  <c:v>11955.200000000876</c:v>
                </c:pt>
                <c:pt idx="642">
                  <c:v>12587.200000000877</c:v>
                </c:pt>
                <c:pt idx="643">
                  <c:v>11955.200000000876</c:v>
                </c:pt>
                <c:pt idx="644">
                  <c:v>11955.200000000876</c:v>
                </c:pt>
                <c:pt idx="645">
                  <c:v>14523.200000000877</c:v>
                </c:pt>
                <c:pt idx="646">
                  <c:v>11955.200000000876</c:v>
                </c:pt>
                <c:pt idx="647">
                  <c:v>14523.200000000877</c:v>
                </c:pt>
                <c:pt idx="648">
                  <c:v>12363.200000000876</c:v>
                </c:pt>
                <c:pt idx="649">
                  <c:v>12363.200000000876</c:v>
                </c:pt>
                <c:pt idx="650">
                  <c:v>12363.200000000876</c:v>
                </c:pt>
                <c:pt idx="651">
                  <c:v>12363.200000000876</c:v>
                </c:pt>
                <c:pt idx="652">
                  <c:v>12363.200000000876</c:v>
                </c:pt>
                <c:pt idx="653">
                  <c:v>12363.200000000876</c:v>
                </c:pt>
                <c:pt idx="654">
                  <c:v>12363.200000000876</c:v>
                </c:pt>
                <c:pt idx="655">
                  <c:v>12363.200000000876</c:v>
                </c:pt>
                <c:pt idx="656">
                  <c:v>12363.200000000876</c:v>
                </c:pt>
                <c:pt idx="657">
                  <c:v>12363.200000000876</c:v>
                </c:pt>
                <c:pt idx="658">
                  <c:v>12363.200000000876</c:v>
                </c:pt>
                <c:pt idx="659">
                  <c:v>12363.200000000876</c:v>
                </c:pt>
                <c:pt idx="660">
                  <c:v>12363.200000000876</c:v>
                </c:pt>
                <c:pt idx="661">
                  <c:v>12363.200000000876</c:v>
                </c:pt>
                <c:pt idx="662">
                  <c:v>12363.200000000876</c:v>
                </c:pt>
                <c:pt idx="663">
                  <c:v>12363.200000000876</c:v>
                </c:pt>
                <c:pt idx="664">
                  <c:v>12363.200000000876</c:v>
                </c:pt>
                <c:pt idx="665">
                  <c:v>12363.200000000876</c:v>
                </c:pt>
                <c:pt idx="666">
                  <c:v>14523.200000000877</c:v>
                </c:pt>
                <c:pt idx="667">
                  <c:v>12363.200000000876</c:v>
                </c:pt>
                <c:pt idx="668">
                  <c:v>12363.200000000876</c:v>
                </c:pt>
                <c:pt idx="669">
                  <c:v>12363.200000000876</c:v>
                </c:pt>
                <c:pt idx="670">
                  <c:v>12363.200000000876</c:v>
                </c:pt>
                <c:pt idx="671">
                  <c:v>12363.200000000876</c:v>
                </c:pt>
                <c:pt idx="672">
                  <c:v>12363.200000000876</c:v>
                </c:pt>
                <c:pt idx="673">
                  <c:v>12363.200000000876</c:v>
                </c:pt>
                <c:pt idx="674">
                  <c:v>12363.200000000876</c:v>
                </c:pt>
                <c:pt idx="675">
                  <c:v>12363.200000000876</c:v>
                </c:pt>
                <c:pt idx="676">
                  <c:v>12363.200000000876</c:v>
                </c:pt>
                <c:pt idx="677">
                  <c:v>12363.200000000876</c:v>
                </c:pt>
                <c:pt idx="678">
                  <c:v>12363.200000000876</c:v>
                </c:pt>
                <c:pt idx="679">
                  <c:v>12363.200000000876</c:v>
                </c:pt>
                <c:pt idx="680">
                  <c:v>12363.200000000876</c:v>
                </c:pt>
                <c:pt idx="681">
                  <c:v>12363.200000000876</c:v>
                </c:pt>
                <c:pt idx="682">
                  <c:v>12363.200000000876</c:v>
                </c:pt>
                <c:pt idx="683">
                  <c:v>12363.200000000876</c:v>
                </c:pt>
                <c:pt idx="684">
                  <c:v>12363.200000000876</c:v>
                </c:pt>
                <c:pt idx="685">
                  <c:v>12363.200000000876</c:v>
                </c:pt>
                <c:pt idx="686">
                  <c:v>12363.200000000876</c:v>
                </c:pt>
                <c:pt idx="687">
                  <c:v>12363.200000000876</c:v>
                </c:pt>
                <c:pt idx="688">
                  <c:v>12363.200000000876</c:v>
                </c:pt>
                <c:pt idx="689">
                  <c:v>12363.200000000876</c:v>
                </c:pt>
                <c:pt idx="690">
                  <c:v>12363.200000000876</c:v>
                </c:pt>
                <c:pt idx="691">
                  <c:v>12363.200000000876</c:v>
                </c:pt>
                <c:pt idx="692">
                  <c:v>12363.200000000876</c:v>
                </c:pt>
                <c:pt idx="693">
                  <c:v>12363.200000000876</c:v>
                </c:pt>
                <c:pt idx="694">
                  <c:v>12363.200000000876</c:v>
                </c:pt>
                <c:pt idx="695">
                  <c:v>12363.200000000876</c:v>
                </c:pt>
                <c:pt idx="696">
                  <c:v>12363.200000000876</c:v>
                </c:pt>
                <c:pt idx="697">
                  <c:v>12363.200000000876</c:v>
                </c:pt>
                <c:pt idx="698">
                  <c:v>12363.200000000876</c:v>
                </c:pt>
                <c:pt idx="699">
                  <c:v>12363.200000000876</c:v>
                </c:pt>
                <c:pt idx="700">
                  <c:v>12363.200000000876</c:v>
                </c:pt>
                <c:pt idx="701">
                  <c:v>12363.200000000876</c:v>
                </c:pt>
                <c:pt idx="702">
                  <c:v>14523.200000000877</c:v>
                </c:pt>
                <c:pt idx="703">
                  <c:v>12363.200000000876</c:v>
                </c:pt>
                <c:pt idx="704">
                  <c:v>12363.200000000876</c:v>
                </c:pt>
                <c:pt idx="705">
                  <c:v>12363.200000000876</c:v>
                </c:pt>
                <c:pt idx="706">
                  <c:v>12363.200000000876</c:v>
                </c:pt>
                <c:pt idx="707">
                  <c:v>12363.200000000876</c:v>
                </c:pt>
                <c:pt idx="708">
                  <c:v>12363.200000000876</c:v>
                </c:pt>
                <c:pt idx="709">
                  <c:v>12923.200000000876</c:v>
                </c:pt>
                <c:pt idx="710">
                  <c:v>14523.200000000877</c:v>
                </c:pt>
                <c:pt idx="711">
                  <c:v>14523.200000000877</c:v>
                </c:pt>
                <c:pt idx="712">
                  <c:v>14523.200000000877</c:v>
                </c:pt>
                <c:pt idx="713">
                  <c:v>14523.200000000877</c:v>
                </c:pt>
                <c:pt idx="714">
                  <c:v>14523.200000000877</c:v>
                </c:pt>
                <c:pt idx="715">
                  <c:v>14523.200000000877</c:v>
                </c:pt>
                <c:pt idx="716">
                  <c:v>14523.200000000877</c:v>
                </c:pt>
                <c:pt idx="717">
                  <c:v>14523.200000000877</c:v>
                </c:pt>
                <c:pt idx="718">
                  <c:v>14523.200000000877</c:v>
                </c:pt>
                <c:pt idx="719">
                  <c:v>14523.200000000877</c:v>
                </c:pt>
                <c:pt idx="720">
                  <c:v>14523.200000000877</c:v>
                </c:pt>
                <c:pt idx="721">
                  <c:v>14523.200000000877</c:v>
                </c:pt>
                <c:pt idx="722">
                  <c:v>14523.200000000877</c:v>
                </c:pt>
                <c:pt idx="723">
                  <c:v>14523.200000000877</c:v>
                </c:pt>
                <c:pt idx="724">
                  <c:v>14523.200000000877</c:v>
                </c:pt>
                <c:pt idx="725">
                  <c:v>14523.200000000877</c:v>
                </c:pt>
                <c:pt idx="726">
                  <c:v>14523.200000000877</c:v>
                </c:pt>
                <c:pt idx="727">
                  <c:v>14523.200000000877</c:v>
                </c:pt>
                <c:pt idx="728">
                  <c:v>14523.200000000877</c:v>
                </c:pt>
                <c:pt idx="729">
                  <c:v>14523.200000000877</c:v>
                </c:pt>
                <c:pt idx="730">
                  <c:v>14523.200000000877</c:v>
                </c:pt>
                <c:pt idx="731">
                  <c:v>12587.200000000877</c:v>
                </c:pt>
                <c:pt idx="732">
                  <c:v>11643.200000000877</c:v>
                </c:pt>
                <c:pt idx="733">
                  <c:v>14523.200000000877</c:v>
                </c:pt>
                <c:pt idx="734">
                  <c:v>14523.200000000877</c:v>
                </c:pt>
                <c:pt idx="735">
                  <c:v>14523.200000000877</c:v>
                </c:pt>
                <c:pt idx="736">
                  <c:v>14523.200000000877</c:v>
                </c:pt>
                <c:pt idx="737">
                  <c:v>14523.200000000877</c:v>
                </c:pt>
                <c:pt idx="738">
                  <c:v>11643.200000000877</c:v>
                </c:pt>
                <c:pt idx="739">
                  <c:v>14523.200000000877</c:v>
                </c:pt>
                <c:pt idx="740">
                  <c:v>14523.200000000877</c:v>
                </c:pt>
                <c:pt idx="741">
                  <c:v>14523.200000000877</c:v>
                </c:pt>
                <c:pt idx="742">
                  <c:v>14523.200000000877</c:v>
                </c:pt>
                <c:pt idx="743">
                  <c:v>14523.200000000877</c:v>
                </c:pt>
                <c:pt idx="744">
                  <c:v>14523.200000000877</c:v>
                </c:pt>
                <c:pt idx="745">
                  <c:v>14523.200000000877</c:v>
                </c:pt>
                <c:pt idx="746">
                  <c:v>14523.200000000877</c:v>
                </c:pt>
                <c:pt idx="747">
                  <c:v>14523.200000000877</c:v>
                </c:pt>
                <c:pt idx="748">
                  <c:v>14523.200000000877</c:v>
                </c:pt>
                <c:pt idx="749">
                  <c:v>14523.200000000877</c:v>
                </c:pt>
                <c:pt idx="750">
                  <c:v>14523.200000000877</c:v>
                </c:pt>
                <c:pt idx="751">
                  <c:v>14523.200000000877</c:v>
                </c:pt>
                <c:pt idx="752">
                  <c:v>14523.200000000877</c:v>
                </c:pt>
                <c:pt idx="753">
                  <c:v>14523.200000000877</c:v>
                </c:pt>
                <c:pt idx="754">
                  <c:v>14523.200000000877</c:v>
                </c:pt>
                <c:pt idx="755">
                  <c:v>14523.200000000877</c:v>
                </c:pt>
                <c:pt idx="756">
                  <c:v>14523.200000000877</c:v>
                </c:pt>
                <c:pt idx="757">
                  <c:v>14523.200000000877</c:v>
                </c:pt>
                <c:pt idx="758">
                  <c:v>14523.200000000877</c:v>
                </c:pt>
                <c:pt idx="759">
                  <c:v>14523.200000000877</c:v>
                </c:pt>
                <c:pt idx="760">
                  <c:v>14523.200000000877</c:v>
                </c:pt>
                <c:pt idx="761">
                  <c:v>14523.200000000877</c:v>
                </c:pt>
                <c:pt idx="762">
                  <c:v>14523.200000000877</c:v>
                </c:pt>
                <c:pt idx="763">
                  <c:v>14523.200000000877</c:v>
                </c:pt>
                <c:pt idx="764">
                  <c:v>14523.200000000877</c:v>
                </c:pt>
                <c:pt idx="765">
                  <c:v>14523.200000000877</c:v>
                </c:pt>
                <c:pt idx="766">
                  <c:v>14523.200000000877</c:v>
                </c:pt>
                <c:pt idx="767">
                  <c:v>14523.200000000877</c:v>
                </c:pt>
                <c:pt idx="768">
                  <c:v>14523.200000000877</c:v>
                </c:pt>
                <c:pt idx="769">
                  <c:v>14523.200000000877</c:v>
                </c:pt>
                <c:pt idx="770">
                  <c:v>14523.200000000877</c:v>
                </c:pt>
                <c:pt idx="771">
                  <c:v>14523.200000000877</c:v>
                </c:pt>
                <c:pt idx="772">
                  <c:v>14523.200000000877</c:v>
                </c:pt>
                <c:pt idx="773">
                  <c:v>14523.200000000877</c:v>
                </c:pt>
                <c:pt idx="774">
                  <c:v>14523.200000000877</c:v>
                </c:pt>
                <c:pt idx="775">
                  <c:v>14523.200000000877</c:v>
                </c:pt>
                <c:pt idx="776">
                  <c:v>14523.200000000877</c:v>
                </c:pt>
                <c:pt idx="777">
                  <c:v>14523.200000000877</c:v>
                </c:pt>
                <c:pt idx="778">
                  <c:v>14523.200000000877</c:v>
                </c:pt>
                <c:pt idx="779">
                  <c:v>14523.200000000877</c:v>
                </c:pt>
                <c:pt idx="780">
                  <c:v>14523.200000000877</c:v>
                </c:pt>
                <c:pt idx="781">
                  <c:v>14523.200000000877</c:v>
                </c:pt>
                <c:pt idx="782">
                  <c:v>14523.200000000877</c:v>
                </c:pt>
                <c:pt idx="783">
                  <c:v>14523.200000000877</c:v>
                </c:pt>
                <c:pt idx="784">
                  <c:v>14523.200000000877</c:v>
                </c:pt>
                <c:pt idx="785">
                  <c:v>14523.200000000877</c:v>
                </c:pt>
                <c:pt idx="786">
                  <c:v>14523.200000000877</c:v>
                </c:pt>
                <c:pt idx="787">
                  <c:v>14523.200000000877</c:v>
                </c:pt>
                <c:pt idx="788">
                  <c:v>14523.200000000877</c:v>
                </c:pt>
                <c:pt idx="789">
                  <c:v>14523.200000000877</c:v>
                </c:pt>
                <c:pt idx="790">
                  <c:v>14523.200000000877</c:v>
                </c:pt>
                <c:pt idx="791">
                  <c:v>14523.200000000877</c:v>
                </c:pt>
                <c:pt idx="792">
                  <c:v>14523.200000000877</c:v>
                </c:pt>
                <c:pt idx="793">
                  <c:v>14523.200000000877</c:v>
                </c:pt>
                <c:pt idx="794">
                  <c:v>14523.200000000877</c:v>
                </c:pt>
                <c:pt idx="795">
                  <c:v>14363.200000001041</c:v>
                </c:pt>
                <c:pt idx="796">
                  <c:v>14843.200000001041</c:v>
                </c:pt>
                <c:pt idx="797">
                  <c:v>14843.200000001041</c:v>
                </c:pt>
                <c:pt idx="798">
                  <c:v>14363.200000001041</c:v>
                </c:pt>
                <c:pt idx="799">
                  <c:v>14843.200000001041</c:v>
                </c:pt>
                <c:pt idx="800">
                  <c:v>14843.200000001041</c:v>
                </c:pt>
                <c:pt idx="801">
                  <c:v>13563.200000001041</c:v>
                </c:pt>
                <c:pt idx="802">
                  <c:v>14363.200000001041</c:v>
                </c:pt>
                <c:pt idx="803">
                  <c:v>14843.200000001041</c:v>
                </c:pt>
                <c:pt idx="804">
                  <c:v>14843.200000001041</c:v>
                </c:pt>
                <c:pt idx="805">
                  <c:v>14843.200000001041</c:v>
                </c:pt>
                <c:pt idx="806">
                  <c:v>13563.200000001041</c:v>
                </c:pt>
                <c:pt idx="807">
                  <c:v>13563.200000001041</c:v>
                </c:pt>
                <c:pt idx="808">
                  <c:v>13563.200000001041</c:v>
                </c:pt>
                <c:pt idx="809">
                  <c:v>13563.200000001041</c:v>
                </c:pt>
                <c:pt idx="810">
                  <c:v>13563.200000001041</c:v>
                </c:pt>
                <c:pt idx="811">
                  <c:v>13563.200000001041</c:v>
                </c:pt>
                <c:pt idx="812">
                  <c:v>13563.200000001041</c:v>
                </c:pt>
                <c:pt idx="813">
                  <c:v>14363.200000001041</c:v>
                </c:pt>
                <c:pt idx="814">
                  <c:v>11643.200000000877</c:v>
                </c:pt>
                <c:pt idx="815">
                  <c:v>13563.200000001041</c:v>
                </c:pt>
                <c:pt idx="816">
                  <c:v>14363.200000001041</c:v>
                </c:pt>
                <c:pt idx="817">
                  <c:v>14363.200000001041</c:v>
                </c:pt>
                <c:pt idx="818">
                  <c:v>14363.200000001041</c:v>
                </c:pt>
                <c:pt idx="819">
                  <c:v>14363.200000001041</c:v>
                </c:pt>
                <c:pt idx="820">
                  <c:v>14363.200000001041</c:v>
                </c:pt>
                <c:pt idx="821">
                  <c:v>14363.200000001041</c:v>
                </c:pt>
                <c:pt idx="822">
                  <c:v>14363.200000001041</c:v>
                </c:pt>
                <c:pt idx="823">
                  <c:v>11643.200000000877</c:v>
                </c:pt>
                <c:pt idx="824">
                  <c:v>14363.200000001041</c:v>
                </c:pt>
                <c:pt idx="825">
                  <c:v>14363.200000001041</c:v>
                </c:pt>
                <c:pt idx="826">
                  <c:v>14363.200000001041</c:v>
                </c:pt>
                <c:pt idx="827">
                  <c:v>11643.200000000877</c:v>
                </c:pt>
                <c:pt idx="828">
                  <c:v>11643.200000000877</c:v>
                </c:pt>
                <c:pt idx="829">
                  <c:v>14363.200000001041</c:v>
                </c:pt>
                <c:pt idx="830">
                  <c:v>14363.200000001041</c:v>
                </c:pt>
                <c:pt idx="831">
                  <c:v>14363.200000001041</c:v>
                </c:pt>
                <c:pt idx="832">
                  <c:v>14363.200000001041</c:v>
                </c:pt>
                <c:pt idx="833">
                  <c:v>14363.200000001041</c:v>
                </c:pt>
                <c:pt idx="834">
                  <c:v>11643.200000000877</c:v>
                </c:pt>
                <c:pt idx="835">
                  <c:v>11643.200000000877</c:v>
                </c:pt>
                <c:pt idx="836">
                  <c:v>14363.200000001041</c:v>
                </c:pt>
                <c:pt idx="837">
                  <c:v>11643.200000000877</c:v>
                </c:pt>
                <c:pt idx="838">
                  <c:v>11643.200000000877</c:v>
                </c:pt>
                <c:pt idx="839">
                  <c:v>14363.200000001041</c:v>
                </c:pt>
                <c:pt idx="840">
                  <c:v>14363.200000001041</c:v>
                </c:pt>
                <c:pt idx="841">
                  <c:v>14363.200000001041</c:v>
                </c:pt>
                <c:pt idx="842">
                  <c:v>14363.200000001041</c:v>
                </c:pt>
                <c:pt idx="843">
                  <c:v>14363.200000001041</c:v>
                </c:pt>
                <c:pt idx="844">
                  <c:v>14363.200000001041</c:v>
                </c:pt>
                <c:pt idx="845">
                  <c:v>11643.200000000877</c:v>
                </c:pt>
                <c:pt idx="846">
                  <c:v>11643.200000000877</c:v>
                </c:pt>
                <c:pt idx="847">
                  <c:v>14363.200000001041</c:v>
                </c:pt>
                <c:pt idx="848">
                  <c:v>14043.200000000877</c:v>
                </c:pt>
                <c:pt idx="849">
                  <c:v>11643.200000000877</c:v>
                </c:pt>
                <c:pt idx="850">
                  <c:v>11643.200000000877</c:v>
                </c:pt>
                <c:pt idx="851">
                  <c:v>14043.200000000877</c:v>
                </c:pt>
                <c:pt idx="852">
                  <c:v>14043.200000000877</c:v>
                </c:pt>
                <c:pt idx="853">
                  <c:v>14043.200000000877</c:v>
                </c:pt>
                <c:pt idx="854">
                  <c:v>14043.200000000877</c:v>
                </c:pt>
                <c:pt idx="855">
                  <c:v>14043.200000000877</c:v>
                </c:pt>
                <c:pt idx="856">
                  <c:v>14043.200000000877</c:v>
                </c:pt>
                <c:pt idx="857">
                  <c:v>11643.200000000877</c:v>
                </c:pt>
                <c:pt idx="858">
                  <c:v>11643.200000000877</c:v>
                </c:pt>
                <c:pt idx="859">
                  <c:v>11643.200000000877</c:v>
                </c:pt>
                <c:pt idx="860">
                  <c:v>11643.200000000877</c:v>
                </c:pt>
                <c:pt idx="861">
                  <c:v>11643.200000000877</c:v>
                </c:pt>
                <c:pt idx="862">
                  <c:v>11643.200000000877</c:v>
                </c:pt>
                <c:pt idx="863">
                  <c:v>11643.200000000877</c:v>
                </c:pt>
                <c:pt idx="864">
                  <c:v>11643.200000000877</c:v>
                </c:pt>
                <c:pt idx="865">
                  <c:v>11643.200000000877</c:v>
                </c:pt>
                <c:pt idx="866">
                  <c:v>11643.200000000877</c:v>
                </c:pt>
                <c:pt idx="867">
                  <c:v>11643.200000000877</c:v>
                </c:pt>
                <c:pt idx="868">
                  <c:v>11643.200000000877</c:v>
                </c:pt>
                <c:pt idx="869">
                  <c:v>11643.200000000877</c:v>
                </c:pt>
                <c:pt idx="870">
                  <c:v>11643.200000000877</c:v>
                </c:pt>
                <c:pt idx="871">
                  <c:v>11643.200000000877</c:v>
                </c:pt>
                <c:pt idx="872">
                  <c:v>11643.200000000877</c:v>
                </c:pt>
                <c:pt idx="873">
                  <c:v>11643.200000000877</c:v>
                </c:pt>
                <c:pt idx="874">
                  <c:v>11643.200000000877</c:v>
                </c:pt>
                <c:pt idx="875">
                  <c:v>11643.200000000877</c:v>
                </c:pt>
                <c:pt idx="876">
                  <c:v>11643.200000000877</c:v>
                </c:pt>
                <c:pt idx="877">
                  <c:v>11643.200000000877</c:v>
                </c:pt>
                <c:pt idx="878">
                  <c:v>11643.200000000877</c:v>
                </c:pt>
                <c:pt idx="879">
                  <c:v>11643.200000000877</c:v>
                </c:pt>
                <c:pt idx="880">
                  <c:v>11643.200000000877</c:v>
                </c:pt>
                <c:pt idx="881">
                  <c:v>11643.200000000877</c:v>
                </c:pt>
                <c:pt idx="882">
                  <c:v>11643.200000000877</c:v>
                </c:pt>
                <c:pt idx="883">
                  <c:v>11643.200000000877</c:v>
                </c:pt>
                <c:pt idx="884">
                  <c:v>11643.200000000877</c:v>
                </c:pt>
                <c:pt idx="885">
                  <c:v>11643.200000000877</c:v>
                </c:pt>
                <c:pt idx="886">
                  <c:v>11643.200000000877</c:v>
                </c:pt>
                <c:pt idx="887">
                  <c:v>11643.200000000877</c:v>
                </c:pt>
                <c:pt idx="888">
                  <c:v>0</c:v>
                </c:pt>
                <c:pt idx="889">
                  <c:v>11643.200000000877</c:v>
                </c:pt>
                <c:pt idx="890">
                  <c:v>11643.200000000877</c:v>
                </c:pt>
                <c:pt idx="891">
                  <c:v>11643.200000000877</c:v>
                </c:pt>
                <c:pt idx="892">
                  <c:v>11643.200000000877</c:v>
                </c:pt>
                <c:pt idx="893">
                  <c:v>11643.200000000877</c:v>
                </c:pt>
                <c:pt idx="894">
                  <c:v>11643.200000000877</c:v>
                </c:pt>
                <c:pt idx="895">
                  <c:v>11643.200000000877</c:v>
                </c:pt>
                <c:pt idx="896">
                  <c:v>11643.200000000877</c:v>
                </c:pt>
                <c:pt idx="897">
                  <c:v>11643.200000000877</c:v>
                </c:pt>
                <c:pt idx="898">
                  <c:v>11643.200000000877</c:v>
                </c:pt>
                <c:pt idx="899">
                  <c:v>11643.200000000877</c:v>
                </c:pt>
                <c:pt idx="900">
                  <c:v>11643.200000000877</c:v>
                </c:pt>
                <c:pt idx="901">
                  <c:v>11643.200000000877</c:v>
                </c:pt>
                <c:pt idx="902">
                  <c:v>11643.200000000877</c:v>
                </c:pt>
                <c:pt idx="903">
                  <c:v>11643.200000000877</c:v>
                </c:pt>
                <c:pt idx="904">
                  <c:v>11643.200000000877</c:v>
                </c:pt>
                <c:pt idx="905">
                  <c:v>11643.200000000877</c:v>
                </c:pt>
                <c:pt idx="906">
                  <c:v>11643.200000000877</c:v>
                </c:pt>
                <c:pt idx="907">
                  <c:v>11643.200000000877</c:v>
                </c:pt>
                <c:pt idx="908">
                  <c:v>11643.200000000877</c:v>
                </c:pt>
                <c:pt idx="909">
                  <c:v>11643.200000000877</c:v>
                </c:pt>
                <c:pt idx="910">
                  <c:v>11643.200000000877</c:v>
                </c:pt>
                <c:pt idx="911">
                  <c:v>11643.200000000877</c:v>
                </c:pt>
                <c:pt idx="912">
                  <c:v>11643.200000000877</c:v>
                </c:pt>
                <c:pt idx="913">
                  <c:v>11643.200000000877</c:v>
                </c:pt>
                <c:pt idx="914">
                  <c:v>11643.200000000877</c:v>
                </c:pt>
                <c:pt idx="915">
                  <c:v>11643.200000000877</c:v>
                </c:pt>
                <c:pt idx="916">
                  <c:v>11643.200000000877</c:v>
                </c:pt>
                <c:pt idx="917">
                  <c:v>11643.200000000877</c:v>
                </c:pt>
                <c:pt idx="918">
                  <c:v>11643.200000000877</c:v>
                </c:pt>
                <c:pt idx="919">
                  <c:v>11643.200000000877</c:v>
                </c:pt>
                <c:pt idx="920">
                  <c:v>11643.200000000877</c:v>
                </c:pt>
                <c:pt idx="921">
                  <c:v>11643.200000000877</c:v>
                </c:pt>
                <c:pt idx="922">
                  <c:v>11643.200000000877</c:v>
                </c:pt>
                <c:pt idx="923">
                  <c:v>11643.200000000877</c:v>
                </c:pt>
                <c:pt idx="924">
                  <c:v>11643.200000000877</c:v>
                </c:pt>
                <c:pt idx="925">
                  <c:v>11643.200000000877</c:v>
                </c:pt>
                <c:pt idx="926">
                  <c:v>11643.200000000877</c:v>
                </c:pt>
                <c:pt idx="927">
                  <c:v>11643.200000000877</c:v>
                </c:pt>
                <c:pt idx="928">
                  <c:v>11643.200000000877</c:v>
                </c:pt>
                <c:pt idx="929">
                  <c:v>11643.200000000877</c:v>
                </c:pt>
                <c:pt idx="930">
                  <c:v>12587.200000000877</c:v>
                </c:pt>
                <c:pt idx="931">
                  <c:v>11643.200000000877</c:v>
                </c:pt>
                <c:pt idx="932">
                  <c:v>11643.200000000877</c:v>
                </c:pt>
                <c:pt idx="933">
                  <c:v>11643.200000000877</c:v>
                </c:pt>
                <c:pt idx="934">
                  <c:v>11643.200000000877</c:v>
                </c:pt>
                <c:pt idx="935">
                  <c:v>11883.200000000877</c:v>
                </c:pt>
                <c:pt idx="936">
                  <c:v>12139.200000000877</c:v>
                </c:pt>
                <c:pt idx="937">
                  <c:v>12139.200000000877</c:v>
                </c:pt>
                <c:pt idx="938">
                  <c:v>12139.200000000877</c:v>
                </c:pt>
                <c:pt idx="939">
                  <c:v>12587.200000000877</c:v>
                </c:pt>
                <c:pt idx="940">
                  <c:v>12139.200000000877</c:v>
                </c:pt>
                <c:pt idx="941">
                  <c:v>12283.200000000877</c:v>
                </c:pt>
                <c:pt idx="942">
                  <c:v>12283.200000000877</c:v>
                </c:pt>
                <c:pt idx="943">
                  <c:v>12283.200000000877</c:v>
                </c:pt>
                <c:pt idx="944">
                  <c:v>12283.200000000877</c:v>
                </c:pt>
                <c:pt idx="945">
                  <c:v>11819.200000000877</c:v>
                </c:pt>
                <c:pt idx="946">
                  <c:v>11819.200000000877</c:v>
                </c:pt>
                <c:pt idx="947">
                  <c:v>12539.200000000877</c:v>
                </c:pt>
                <c:pt idx="948">
                  <c:v>11819.200000000877</c:v>
                </c:pt>
                <c:pt idx="949">
                  <c:v>11819.200000000877</c:v>
                </c:pt>
                <c:pt idx="950">
                  <c:v>11819.200000000877</c:v>
                </c:pt>
                <c:pt idx="951">
                  <c:v>11819.200000000877</c:v>
                </c:pt>
                <c:pt idx="952">
                  <c:v>11819.200000000877</c:v>
                </c:pt>
                <c:pt idx="953">
                  <c:v>11819.200000000877</c:v>
                </c:pt>
                <c:pt idx="954">
                  <c:v>11819.200000000877</c:v>
                </c:pt>
                <c:pt idx="955">
                  <c:v>11819.200000000877</c:v>
                </c:pt>
                <c:pt idx="956">
                  <c:v>11819.200000000877</c:v>
                </c:pt>
                <c:pt idx="957">
                  <c:v>12539.200000000877</c:v>
                </c:pt>
                <c:pt idx="958">
                  <c:v>11819.200000000877</c:v>
                </c:pt>
                <c:pt idx="959">
                  <c:v>11819.200000000877</c:v>
                </c:pt>
                <c:pt idx="960">
                  <c:v>12539.200000000877</c:v>
                </c:pt>
                <c:pt idx="961">
                  <c:v>11819.200000000877</c:v>
                </c:pt>
                <c:pt idx="962">
                  <c:v>11963.200000000877</c:v>
                </c:pt>
                <c:pt idx="963">
                  <c:v>12539.200000000877</c:v>
                </c:pt>
                <c:pt idx="964">
                  <c:v>12539.200000000877</c:v>
                </c:pt>
                <c:pt idx="965">
                  <c:v>12539.200000000877</c:v>
                </c:pt>
                <c:pt idx="966">
                  <c:v>12539.200000000877</c:v>
                </c:pt>
                <c:pt idx="967">
                  <c:v>12587.200000000877</c:v>
                </c:pt>
                <c:pt idx="968">
                  <c:v>12539.200000000877</c:v>
                </c:pt>
                <c:pt idx="969">
                  <c:v>12539.200000000877</c:v>
                </c:pt>
                <c:pt idx="970">
                  <c:v>12539.200000000877</c:v>
                </c:pt>
                <c:pt idx="971">
                  <c:v>12539.200000000877</c:v>
                </c:pt>
                <c:pt idx="972">
                  <c:v>12539.200000000877</c:v>
                </c:pt>
                <c:pt idx="973">
                  <c:v>12539.200000000877</c:v>
                </c:pt>
                <c:pt idx="974">
                  <c:v>12539.200000000877</c:v>
                </c:pt>
                <c:pt idx="975">
                  <c:v>12587.200000000877</c:v>
                </c:pt>
                <c:pt idx="976">
                  <c:v>12539.200000000877</c:v>
                </c:pt>
                <c:pt idx="977">
                  <c:v>12539.200000000877</c:v>
                </c:pt>
                <c:pt idx="978">
                  <c:v>12539.200000000877</c:v>
                </c:pt>
                <c:pt idx="979">
                  <c:v>12587.200000000877</c:v>
                </c:pt>
                <c:pt idx="980">
                  <c:v>12587.200000000877</c:v>
                </c:pt>
                <c:pt idx="981">
                  <c:v>12587.200000000877</c:v>
                </c:pt>
                <c:pt idx="982">
                  <c:v>12587.200000000877</c:v>
                </c:pt>
                <c:pt idx="983">
                  <c:v>12587.200000000877</c:v>
                </c:pt>
                <c:pt idx="984">
                  <c:v>12587.200000000877</c:v>
                </c:pt>
                <c:pt idx="985">
                  <c:v>12587.200000000877</c:v>
                </c:pt>
                <c:pt idx="986">
                  <c:v>12587.200000000877</c:v>
                </c:pt>
                <c:pt idx="987">
                  <c:v>12587.200000000877</c:v>
                </c:pt>
                <c:pt idx="988">
                  <c:v>12587.200000000877</c:v>
                </c:pt>
                <c:pt idx="989">
                  <c:v>0</c:v>
                </c:pt>
                <c:pt idx="990">
                  <c:v>13051.200000000877</c:v>
                </c:pt>
                <c:pt idx="991">
                  <c:v>13051.200000000877</c:v>
                </c:pt>
                <c:pt idx="992">
                  <c:v>13051.200000000877</c:v>
                </c:pt>
                <c:pt idx="993">
                  <c:v>13051.200000000877</c:v>
                </c:pt>
                <c:pt idx="994">
                  <c:v>13051.200000000877</c:v>
                </c:pt>
                <c:pt idx="995">
                  <c:v>13051.200000000877</c:v>
                </c:pt>
                <c:pt idx="996">
                  <c:v>13051.200000000877</c:v>
                </c:pt>
                <c:pt idx="997">
                  <c:v>13051.200000000877</c:v>
                </c:pt>
                <c:pt idx="998">
                  <c:v>13051.200000000877</c:v>
                </c:pt>
                <c:pt idx="999">
                  <c:v>13051.200000000877</c:v>
                </c:pt>
                <c:pt idx="1000">
                  <c:v>13051.200000000877</c:v>
                </c:pt>
                <c:pt idx="1001">
                  <c:v>13147.200000000877</c:v>
                </c:pt>
                <c:pt idx="1002">
                  <c:v>13147.200000000877</c:v>
                </c:pt>
                <c:pt idx="1003">
                  <c:v>13147.200000000877</c:v>
                </c:pt>
                <c:pt idx="1004">
                  <c:v>14526.200000000817</c:v>
                </c:pt>
                <c:pt idx="1005">
                  <c:v>14526.200000000817</c:v>
                </c:pt>
                <c:pt idx="1006">
                  <c:v>14526.200000000817</c:v>
                </c:pt>
                <c:pt idx="1007">
                  <c:v>14526.200000000817</c:v>
                </c:pt>
                <c:pt idx="1008">
                  <c:v>14526.200000000817</c:v>
                </c:pt>
                <c:pt idx="1009">
                  <c:v>14526.200000000817</c:v>
                </c:pt>
                <c:pt idx="1010">
                  <c:v>14526.200000000817</c:v>
                </c:pt>
                <c:pt idx="1011">
                  <c:v>14526.200000000817</c:v>
                </c:pt>
                <c:pt idx="1012">
                  <c:v>14526.200000000817</c:v>
                </c:pt>
                <c:pt idx="1013">
                  <c:v>14526.200000000817</c:v>
                </c:pt>
                <c:pt idx="1014">
                  <c:v>14526.200000000817</c:v>
                </c:pt>
                <c:pt idx="1015">
                  <c:v>14526.200000000817</c:v>
                </c:pt>
                <c:pt idx="1016">
                  <c:v>14526.200000000817</c:v>
                </c:pt>
                <c:pt idx="1017">
                  <c:v>14526.200000000817</c:v>
                </c:pt>
                <c:pt idx="1018">
                  <c:v>14526.200000000817</c:v>
                </c:pt>
                <c:pt idx="1019">
                  <c:v>14526.200000000817</c:v>
                </c:pt>
                <c:pt idx="1020">
                  <c:v>14526.200000000817</c:v>
                </c:pt>
                <c:pt idx="1021">
                  <c:v>14526.200000000817</c:v>
                </c:pt>
                <c:pt idx="1022">
                  <c:v>14526.200000000817</c:v>
                </c:pt>
                <c:pt idx="1023">
                  <c:v>14526.200000000817</c:v>
                </c:pt>
                <c:pt idx="1024">
                  <c:v>14526.200000000817</c:v>
                </c:pt>
                <c:pt idx="1025">
                  <c:v>14526.200000000817</c:v>
                </c:pt>
                <c:pt idx="1027">
                  <c:v>1762.9999999999427</c:v>
                </c:pt>
                <c:pt idx="1028">
                  <c:v>1762.9999999999427</c:v>
                </c:pt>
                <c:pt idx="1029">
                  <c:v>1762.9999999999427</c:v>
                </c:pt>
                <c:pt idx="1030">
                  <c:v>1762.9999999999427</c:v>
                </c:pt>
                <c:pt idx="1031">
                  <c:v>1762.9999999999427</c:v>
                </c:pt>
                <c:pt idx="1032">
                  <c:v>1762.9999999999427</c:v>
                </c:pt>
                <c:pt idx="1033">
                  <c:v>1762.9999999999427</c:v>
                </c:pt>
                <c:pt idx="1034">
                  <c:v>1762.9999999999427</c:v>
                </c:pt>
                <c:pt idx="1035">
                  <c:v>1762.9999999999427</c:v>
                </c:pt>
                <c:pt idx="1036">
                  <c:v>1762.9999999999427</c:v>
                </c:pt>
                <c:pt idx="1037">
                  <c:v>1762.9999999999427</c:v>
                </c:pt>
                <c:pt idx="1038">
                  <c:v>1762.9999999999427</c:v>
                </c:pt>
                <c:pt idx="1039">
                  <c:v>1762.9999999999427</c:v>
                </c:pt>
                <c:pt idx="1040">
                  <c:v>1762.9999999999427</c:v>
                </c:pt>
                <c:pt idx="1041">
                  <c:v>1762.9999999999427</c:v>
                </c:pt>
                <c:pt idx="1042">
                  <c:v>1762.9999999999427</c:v>
                </c:pt>
                <c:pt idx="1043">
                  <c:v>1762.9999999999427</c:v>
                </c:pt>
                <c:pt idx="1044">
                  <c:v>1762.9999999999427</c:v>
                </c:pt>
                <c:pt idx="1045">
                  <c:v>1762.9999999999427</c:v>
                </c:pt>
                <c:pt idx="1046">
                  <c:v>1762.9999999999427</c:v>
                </c:pt>
                <c:pt idx="1047">
                  <c:v>1762.9999999999427</c:v>
                </c:pt>
                <c:pt idx="1048">
                  <c:v>1762.9999999999427</c:v>
                </c:pt>
                <c:pt idx="1049">
                  <c:v>1762.9999999999427</c:v>
                </c:pt>
                <c:pt idx="1050">
                  <c:v>1762.9999999999427</c:v>
                </c:pt>
                <c:pt idx="1051">
                  <c:v>1762.9999999999427</c:v>
                </c:pt>
                <c:pt idx="1052">
                  <c:v>1762.9999999999427</c:v>
                </c:pt>
                <c:pt idx="1053">
                  <c:v>1762.9999999999427</c:v>
                </c:pt>
                <c:pt idx="1054">
                  <c:v>1762.9999999999427</c:v>
                </c:pt>
                <c:pt idx="1055">
                  <c:v>1762.9999999999427</c:v>
                </c:pt>
                <c:pt idx="1056">
                  <c:v>1762.9999999999427</c:v>
                </c:pt>
                <c:pt idx="1057">
                  <c:v>1762.9999999999427</c:v>
                </c:pt>
                <c:pt idx="1058">
                  <c:v>1762.9999999999427</c:v>
                </c:pt>
                <c:pt idx="1059">
                  <c:v>1762.9999999999427</c:v>
                </c:pt>
                <c:pt idx="1060">
                  <c:v>1762.9999999999427</c:v>
                </c:pt>
                <c:pt idx="1061">
                  <c:v>1762.9999999999427</c:v>
                </c:pt>
                <c:pt idx="1062">
                  <c:v>1762.9999999999427</c:v>
                </c:pt>
                <c:pt idx="1063">
                  <c:v>1762.9999999999427</c:v>
                </c:pt>
                <c:pt idx="1064">
                  <c:v>1762.9999999999427</c:v>
                </c:pt>
                <c:pt idx="1065">
                  <c:v>1762.9999999999427</c:v>
                </c:pt>
                <c:pt idx="1066">
                  <c:v>1762.9999999999427</c:v>
                </c:pt>
                <c:pt idx="1067">
                  <c:v>1762.9999999999427</c:v>
                </c:pt>
                <c:pt idx="1068">
                  <c:v>1762.9999999999427</c:v>
                </c:pt>
                <c:pt idx="1069">
                  <c:v>1762.9999999999427</c:v>
                </c:pt>
                <c:pt idx="1070">
                  <c:v>1762.9999999999427</c:v>
                </c:pt>
                <c:pt idx="1071">
                  <c:v>1762.9999999999427</c:v>
                </c:pt>
                <c:pt idx="1072">
                  <c:v>1762.9999999999427</c:v>
                </c:pt>
                <c:pt idx="1073">
                  <c:v>1762.9999999999427</c:v>
                </c:pt>
                <c:pt idx="1074">
                  <c:v>1762.9999999999427</c:v>
                </c:pt>
                <c:pt idx="1075">
                  <c:v>1762.9999999999427</c:v>
                </c:pt>
                <c:pt idx="1076">
                  <c:v>1762.9999999999427</c:v>
                </c:pt>
                <c:pt idx="1077">
                  <c:v>1762.9999999999427</c:v>
                </c:pt>
                <c:pt idx="1078">
                  <c:v>1762.9999999999427</c:v>
                </c:pt>
                <c:pt idx="1079">
                  <c:v>1762.9999999999427</c:v>
                </c:pt>
                <c:pt idx="1080">
                  <c:v>1762.9999999999427</c:v>
                </c:pt>
                <c:pt idx="1081">
                  <c:v>1762.9999999999427</c:v>
                </c:pt>
                <c:pt idx="1082">
                  <c:v>1762.9999999999427</c:v>
                </c:pt>
                <c:pt idx="1083">
                  <c:v>1762.9999999999427</c:v>
                </c:pt>
                <c:pt idx="1084">
                  <c:v>1762.9999999999427</c:v>
                </c:pt>
                <c:pt idx="1085">
                  <c:v>1762.9999999999427</c:v>
                </c:pt>
                <c:pt idx="1086">
                  <c:v>1762.9999999999427</c:v>
                </c:pt>
                <c:pt idx="1087">
                  <c:v>1762.9999999999427</c:v>
                </c:pt>
                <c:pt idx="1088">
                  <c:v>1762.9999999999427</c:v>
                </c:pt>
                <c:pt idx="1089">
                  <c:v>1762.9999999999427</c:v>
                </c:pt>
                <c:pt idx="1090">
                  <c:v>1762.9999999999427</c:v>
                </c:pt>
                <c:pt idx="1091">
                  <c:v>1762.9999999999427</c:v>
                </c:pt>
                <c:pt idx="1092">
                  <c:v>1762.9999999999427</c:v>
                </c:pt>
                <c:pt idx="1093">
                  <c:v>1762.9999999999427</c:v>
                </c:pt>
                <c:pt idx="1094">
                  <c:v>1762.9999999999427</c:v>
                </c:pt>
                <c:pt idx="1095">
                  <c:v>1762.9999999999427</c:v>
                </c:pt>
                <c:pt idx="1096">
                  <c:v>1762.9999999999427</c:v>
                </c:pt>
                <c:pt idx="1097">
                  <c:v>1762.9999999999427</c:v>
                </c:pt>
                <c:pt idx="1098">
                  <c:v>1762.9999999999427</c:v>
                </c:pt>
                <c:pt idx="1099">
                  <c:v>1762.9999999999427</c:v>
                </c:pt>
                <c:pt idx="1100">
                  <c:v>1762.9999999999427</c:v>
                </c:pt>
                <c:pt idx="1101">
                  <c:v>1762.9999999999427</c:v>
                </c:pt>
                <c:pt idx="1102">
                  <c:v>1762.9999999999427</c:v>
                </c:pt>
                <c:pt idx="1103">
                  <c:v>1762.9999999999427</c:v>
                </c:pt>
                <c:pt idx="1104">
                  <c:v>1762.9999999999427</c:v>
                </c:pt>
                <c:pt idx="1105">
                  <c:v>1762.9999999999427</c:v>
                </c:pt>
                <c:pt idx="1106">
                  <c:v>1762.9999999999427</c:v>
                </c:pt>
                <c:pt idx="1107">
                  <c:v>1762.9999999999427</c:v>
                </c:pt>
                <c:pt idx="1108">
                  <c:v>1762.9999999999427</c:v>
                </c:pt>
                <c:pt idx="1109">
                  <c:v>1762.9999999999427</c:v>
                </c:pt>
                <c:pt idx="1110">
                  <c:v>1762.9999999999427</c:v>
                </c:pt>
                <c:pt idx="1111">
                  <c:v>1762.9999999999427</c:v>
                </c:pt>
                <c:pt idx="1112">
                  <c:v>1762.9999999999427</c:v>
                </c:pt>
                <c:pt idx="1113">
                  <c:v>1762.9999999999427</c:v>
                </c:pt>
                <c:pt idx="1114">
                  <c:v>1762.9999999999427</c:v>
                </c:pt>
                <c:pt idx="1115">
                  <c:v>1762.9999999999427</c:v>
                </c:pt>
                <c:pt idx="1116">
                  <c:v>1762.9999999999427</c:v>
                </c:pt>
                <c:pt idx="1117">
                  <c:v>1762.9999999999427</c:v>
                </c:pt>
                <c:pt idx="1118">
                  <c:v>1762.9999999999427</c:v>
                </c:pt>
                <c:pt idx="1119">
                  <c:v>1762.9999999999427</c:v>
                </c:pt>
                <c:pt idx="1120">
                  <c:v>1762.9999999999427</c:v>
                </c:pt>
                <c:pt idx="1121">
                  <c:v>1762.9999999999427</c:v>
                </c:pt>
                <c:pt idx="1122">
                  <c:v>1762.9999999999427</c:v>
                </c:pt>
                <c:pt idx="1123">
                  <c:v>1762.9999999999427</c:v>
                </c:pt>
                <c:pt idx="1124">
                  <c:v>1762.9999999999427</c:v>
                </c:pt>
                <c:pt idx="1125">
                  <c:v>1762.9999999999427</c:v>
                </c:pt>
                <c:pt idx="1126">
                  <c:v>1762.9999999999427</c:v>
                </c:pt>
                <c:pt idx="1127">
                  <c:v>1762.9999999999427</c:v>
                </c:pt>
                <c:pt idx="1128">
                  <c:v>1762.9999999999427</c:v>
                </c:pt>
                <c:pt idx="1129">
                  <c:v>1762.9999999999427</c:v>
                </c:pt>
                <c:pt idx="1130">
                  <c:v>1762.9999999999427</c:v>
                </c:pt>
                <c:pt idx="1131">
                  <c:v>1762.9999999999427</c:v>
                </c:pt>
                <c:pt idx="1132">
                  <c:v>1762.9999999999427</c:v>
                </c:pt>
                <c:pt idx="1133">
                  <c:v>1762.9999999999427</c:v>
                </c:pt>
                <c:pt idx="1134">
                  <c:v>1762.9999999999427</c:v>
                </c:pt>
                <c:pt idx="1135">
                  <c:v>1762.9999999999427</c:v>
                </c:pt>
                <c:pt idx="1136">
                  <c:v>1762.9999999999427</c:v>
                </c:pt>
                <c:pt idx="1137">
                  <c:v>1762.9999999999427</c:v>
                </c:pt>
                <c:pt idx="1138">
                  <c:v>1762.9999999999427</c:v>
                </c:pt>
                <c:pt idx="1139">
                  <c:v>1762.9999999999427</c:v>
                </c:pt>
                <c:pt idx="1140">
                  <c:v>1762.9999999999427</c:v>
                </c:pt>
                <c:pt idx="1141">
                  <c:v>1762.9999999999427</c:v>
                </c:pt>
                <c:pt idx="1142">
                  <c:v>1762.9999999999427</c:v>
                </c:pt>
                <c:pt idx="1143">
                  <c:v>1762.9999999999427</c:v>
                </c:pt>
                <c:pt idx="1144">
                  <c:v>1762.9999999999427</c:v>
                </c:pt>
                <c:pt idx="1145">
                  <c:v>1762.9999999999427</c:v>
                </c:pt>
                <c:pt idx="1146">
                  <c:v>1762.9999999999427</c:v>
                </c:pt>
                <c:pt idx="1147">
                  <c:v>1762.9999999999427</c:v>
                </c:pt>
                <c:pt idx="1148">
                  <c:v>1762.9999999999427</c:v>
                </c:pt>
                <c:pt idx="1149">
                  <c:v>1762.9999999999427</c:v>
                </c:pt>
                <c:pt idx="1150">
                  <c:v>1762.9999999999427</c:v>
                </c:pt>
                <c:pt idx="1151">
                  <c:v>1762.9999999999427</c:v>
                </c:pt>
                <c:pt idx="1152">
                  <c:v>1762.9999999999427</c:v>
                </c:pt>
                <c:pt idx="1153">
                  <c:v>1762.9999999999427</c:v>
                </c:pt>
                <c:pt idx="1154">
                  <c:v>1762.9999999999427</c:v>
                </c:pt>
                <c:pt idx="1155">
                  <c:v>1762.9999999999427</c:v>
                </c:pt>
                <c:pt idx="1156">
                  <c:v>1762.9999999999427</c:v>
                </c:pt>
                <c:pt idx="1157">
                  <c:v>1762.9999999999427</c:v>
                </c:pt>
                <c:pt idx="1158">
                  <c:v>1762.9999999999427</c:v>
                </c:pt>
                <c:pt idx="1159">
                  <c:v>1762.9999999999427</c:v>
                </c:pt>
                <c:pt idx="1160">
                  <c:v>1762.9999999999427</c:v>
                </c:pt>
                <c:pt idx="1161">
                  <c:v>1762.9999999999427</c:v>
                </c:pt>
                <c:pt idx="1162">
                  <c:v>1762.9999999999427</c:v>
                </c:pt>
                <c:pt idx="1163">
                  <c:v>1762.9999999999427</c:v>
                </c:pt>
                <c:pt idx="1164">
                  <c:v>1762.9999999999427</c:v>
                </c:pt>
                <c:pt idx="1165">
                  <c:v>1762.9999999999427</c:v>
                </c:pt>
                <c:pt idx="1166">
                  <c:v>1762.9999999999427</c:v>
                </c:pt>
                <c:pt idx="1167">
                  <c:v>1762.9999999999427</c:v>
                </c:pt>
                <c:pt idx="1168">
                  <c:v>1762.9999999999427</c:v>
                </c:pt>
                <c:pt idx="1169">
                  <c:v>1762.9999999999427</c:v>
                </c:pt>
                <c:pt idx="1170">
                  <c:v>1762.9999999999427</c:v>
                </c:pt>
                <c:pt idx="1171">
                  <c:v>1762.9999999999427</c:v>
                </c:pt>
                <c:pt idx="1172">
                  <c:v>1762.9999999999427</c:v>
                </c:pt>
                <c:pt idx="1173">
                  <c:v>1762.9999999999427</c:v>
                </c:pt>
                <c:pt idx="1174">
                  <c:v>1762.9999999999427</c:v>
                </c:pt>
                <c:pt idx="1175">
                  <c:v>1762.9999999999427</c:v>
                </c:pt>
                <c:pt idx="1176">
                  <c:v>1762.9999999999427</c:v>
                </c:pt>
                <c:pt idx="1177">
                  <c:v>1762.9999999999427</c:v>
                </c:pt>
                <c:pt idx="1178">
                  <c:v>1762.9999999999427</c:v>
                </c:pt>
                <c:pt idx="1179">
                  <c:v>1762.9999999999427</c:v>
                </c:pt>
                <c:pt idx="1180">
                  <c:v>1762.9999999999427</c:v>
                </c:pt>
                <c:pt idx="1181">
                  <c:v>1762.9999999999427</c:v>
                </c:pt>
                <c:pt idx="1182">
                  <c:v>1762.9999999999427</c:v>
                </c:pt>
                <c:pt idx="1183">
                  <c:v>1762.9999999999427</c:v>
                </c:pt>
                <c:pt idx="1184">
                  <c:v>1762.9999999999427</c:v>
                </c:pt>
                <c:pt idx="1185">
                  <c:v>1762.9999999999427</c:v>
                </c:pt>
                <c:pt idx="1186">
                  <c:v>1762.9999999999427</c:v>
                </c:pt>
                <c:pt idx="1187">
                  <c:v>1762.9999999999427</c:v>
                </c:pt>
                <c:pt idx="1188">
                  <c:v>1762.9999999999427</c:v>
                </c:pt>
                <c:pt idx="1189">
                  <c:v>1762.9999999999427</c:v>
                </c:pt>
                <c:pt idx="1190">
                  <c:v>1762.9999999999427</c:v>
                </c:pt>
                <c:pt idx="1191">
                  <c:v>1762.9999999999427</c:v>
                </c:pt>
                <c:pt idx="1192">
                  <c:v>1762.9999999999427</c:v>
                </c:pt>
                <c:pt idx="1193">
                  <c:v>1762.9999999999427</c:v>
                </c:pt>
                <c:pt idx="1194">
                  <c:v>1762.9999999999427</c:v>
                </c:pt>
                <c:pt idx="1195">
                  <c:v>1762.9999999999427</c:v>
                </c:pt>
                <c:pt idx="1196">
                  <c:v>1762.9999999999427</c:v>
                </c:pt>
                <c:pt idx="1197">
                  <c:v>1762.9999999999427</c:v>
                </c:pt>
                <c:pt idx="1198">
                  <c:v>1762.9999999999427</c:v>
                </c:pt>
                <c:pt idx="1199">
                  <c:v>1762.9999999999427</c:v>
                </c:pt>
                <c:pt idx="1200">
                  <c:v>1762.9999999999427</c:v>
                </c:pt>
                <c:pt idx="1201">
                  <c:v>1762.9999999999427</c:v>
                </c:pt>
                <c:pt idx="1202">
                  <c:v>1762.9999999999427</c:v>
                </c:pt>
                <c:pt idx="1203">
                  <c:v>1762.9999999999427</c:v>
                </c:pt>
                <c:pt idx="1204">
                  <c:v>1762.9999999999427</c:v>
                </c:pt>
                <c:pt idx="1205">
                  <c:v>1762.9999999999427</c:v>
                </c:pt>
                <c:pt idx="1206">
                  <c:v>1762.9999999999427</c:v>
                </c:pt>
                <c:pt idx="1207">
                  <c:v>1762.9999999999427</c:v>
                </c:pt>
                <c:pt idx="1208">
                  <c:v>1762.9999999999427</c:v>
                </c:pt>
                <c:pt idx="1209">
                  <c:v>1762.9999999999427</c:v>
                </c:pt>
                <c:pt idx="1210">
                  <c:v>1762.9999999999427</c:v>
                </c:pt>
                <c:pt idx="1211">
                  <c:v>1762.9999999999427</c:v>
                </c:pt>
                <c:pt idx="1212">
                  <c:v>1762.9999999999427</c:v>
                </c:pt>
                <c:pt idx="1213">
                  <c:v>1762.9999999999427</c:v>
                </c:pt>
                <c:pt idx="1214">
                  <c:v>1762.9999999999427</c:v>
                </c:pt>
                <c:pt idx="1215">
                  <c:v>1762.9999999999427</c:v>
                </c:pt>
                <c:pt idx="1216">
                  <c:v>1762.9999999999427</c:v>
                </c:pt>
                <c:pt idx="1217">
                  <c:v>1762.9999999999427</c:v>
                </c:pt>
                <c:pt idx="1218">
                  <c:v>1762.9999999999427</c:v>
                </c:pt>
                <c:pt idx="1219">
                  <c:v>1762.9999999999427</c:v>
                </c:pt>
                <c:pt idx="1220">
                  <c:v>1762.9999999999427</c:v>
                </c:pt>
                <c:pt idx="1221">
                  <c:v>1762.9999999999427</c:v>
                </c:pt>
                <c:pt idx="1222">
                  <c:v>1762.9999999999427</c:v>
                </c:pt>
                <c:pt idx="1223">
                  <c:v>1762.9999999999427</c:v>
                </c:pt>
                <c:pt idx="1224">
                  <c:v>1762.9999999999427</c:v>
                </c:pt>
                <c:pt idx="1225">
                  <c:v>1762.9999999999427</c:v>
                </c:pt>
                <c:pt idx="1226">
                  <c:v>1762.9999999999427</c:v>
                </c:pt>
                <c:pt idx="1227">
                  <c:v>1762.9999999999427</c:v>
                </c:pt>
                <c:pt idx="1228">
                  <c:v>1762.9999999999427</c:v>
                </c:pt>
                <c:pt idx="1229">
                  <c:v>1762.9999999999427</c:v>
                </c:pt>
                <c:pt idx="1230">
                  <c:v>1762.9999999999427</c:v>
                </c:pt>
                <c:pt idx="1231">
                  <c:v>1762.9999999999427</c:v>
                </c:pt>
                <c:pt idx="1232">
                  <c:v>1762.9999999999427</c:v>
                </c:pt>
                <c:pt idx="1233">
                  <c:v>1762.9999999999427</c:v>
                </c:pt>
                <c:pt idx="1234">
                  <c:v>1762.9999999999427</c:v>
                </c:pt>
                <c:pt idx="1235">
                  <c:v>1762.9999999999427</c:v>
                </c:pt>
                <c:pt idx="1236">
                  <c:v>1762.9999999999427</c:v>
                </c:pt>
                <c:pt idx="1237">
                  <c:v>1762.9999999999427</c:v>
                </c:pt>
              </c:numCache>
            </c:numRef>
          </c:val>
          <c:smooth val="0"/>
          <c:extLst>
            <c:ext xmlns:c16="http://schemas.microsoft.com/office/drawing/2014/chart" uri="{C3380CC4-5D6E-409C-BE32-E72D297353CC}">
              <c16:uniqueId val="{00000001-C82D-4F02-BD8C-C8547AE575E5}"/>
            </c:ext>
          </c:extLst>
        </c:ser>
        <c:ser>
          <c:idx val="2"/>
          <c:order val="2"/>
          <c:tx>
            <c:v>D</c:v>
          </c:tx>
          <c:spPr>
            <a:ln w="28575" cap="rnd">
              <a:solidFill>
                <a:srgbClr val="C00000"/>
              </a:solidFill>
              <a:round/>
            </a:ln>
            <a:effectLst/>
          </c:spPr>
          <c:marker>
            <c:symbol val="none"/>
          </c:marker>
          <c:cat>
            <c:strRef>
              <c:f>'Journal Live'!$A$1388:$A$2630</c:f>
              <c:strCache>
                <c:ptCount val="1238"/>
                <c:pt idx="1">
                  <c:v>JAN.24</c:v>
                </c:pt>
                <c:pt idx="2">
                  <c:v>JAN.24</c:v>
                </c:pt>
                <c:pt idx="3">
                  <c:v>JAN.24</c:v>
                </c:pt>
                <c:pt idx="4">
                  <c:v>JAN.24</c:v>
                </c:pt>
                <c:pt idx="5">
                  <c:v>JAN.24</c:v>
                </c:pt>
                <c:pt idx="6">
                  <c:v>JAN.24</c:v>
                </c:pt>
                <c:pt idx="7">
                  <c:v>JAN.24</c:v>
                </c:pt>
                <c:pt idx="8">
                  <c:v>JAN.24</c:v>
                </c:pt>
                <c:pt idx="9">
                  <c:v>JAN.24</c:v>
                </c:pt>
                <c:pt idx="10">
                  <c:v>JAN.24</c:v>
                </c:pt>
                <c:pt idx="11">
                  <c:v>JAN.24</c:v>
                </c:pt>
                <c:pt idx="12">
                  <c:v>JAN.24</c:v>
                </c:pt>
                <c:pt idx="13">
                  <c:v>JAN.24</c:v>
                </c:pt>
                <c:pt idx="14">
                  <c:v>JAN.24</c:v>
                </c:pt>
                <c:pt idx="15">
                  <c:v>JAN.24</c:v>
                </c:pt>
                <c:pt idx="16">
                  <c:v>JAN.24</c:v>
                </c:pt>
                <c:pt idx="17">
                  <c:v>JAN.24</c:v>
                </c:pt>
                <c:pt idx="18">
                  <c:v>JAN.24</c:v>
                </c:pt>
                <c:pt idx="19">
                  <c:v>JAN.24</c:v>
                </c:pt>
                <c:pt idx="20">
                  <c:v>JAN.24</c:v>
                </c:pt>
                <c:pt idx="21">
                  <c:v>JAN.24</c:v>
                </c:pt>
                <c:pt idx="22">
                  <c:v>JAN.24</c:v>
                </c:pt>
                <c:pt idx="23">
                  <c:v>JAN.24</c:v>
                </c:pt>
                <c:pt idx="24">
                  <c:v>JAN.24</c:v>
                </c:pt>
                <c:pt idx="25">
                  <c:v>JAN.24</c:v>
                </c:pt>
                <c:pt idx="26">
                  <c:v>JAN.24</c:v>
                </c:pt>
                <c:pt idx="27">
                  <c:v>JAN.24</c:v>
                </c:pt>
                <c:pt idx="28">
                  <c:v>JAN.24</c:v>
                </c:pt>
                <c:pt idx="29">
                  <c:v>JAN.24</c:v>
                </c:pt>
                <c:pt idx="30">
                  <c:v>JAN.24</c:v>
                </c:pt>
                <c:pt idx="31">
                  <c:v>JAN.24</c:v>
                </c:pt>
                <c:pt idx="32">
                  <c:v>JAN.24</c:v>
                </c:pt>
                <c:pt idx="33">
                  <c:v>JAN.24</c:v>
                </c:pt>
                <c:pt idx="34">
                  <c:v>JAN.24</c:v>
                </c:pt>
                <c:pt idx="35">
                  <c:v>JAN.24</c:v>
                </c:pt>
                <c:pt idx="36">
                  <c:v>JAN.24</c:v>
                </c:pt>
                <c:pt idx="37">
                  <c:v>JAN.24</c:v>
                </c:pt>
                <c:pt idx="38">
                  <c:v>JAN.24</c:v>
                </c:pt>
                <c:pt idx="39">
                  <c:v>JAN.24</c:v>
                </c:pt>
                <c:pt idx="40">
                  <c:v>JAN.24</c:v>
                </c:pt>
                <c:pt idx="41">
                  <c:v>JAN.24</c:v>
                </c:pt>
                <c:pt idx="42">
                  <c:v>JAN.24</c:v>
                </c:pt>
                <c:pt idx="43">
                  <c:v>JAN.24</c:v>
                </c:pt>
                <c:pt idx="44">
                  <c:v>JAN.24</c:v>
                </c:pt>
                <c:pt idx="45">
                  <c:v>JAN.24</c:v>
                </c:pt>
                <c:pt idx="46">
                  <c:v>JAN.24</c:v>
                </c:pt>
                <c:pt idx="47">
                  <c:v>JAN.24</c:v>
                </c:pt>
                <c:pt idx="48">
                  <c:v>JAN.24</c:v>
                </c:pt>
                <c:pt idx="49">
                  <c:v>JAN.24</c:v>
                </c:pt>
                <c:pt idx="50">
                  <c:v>JAN.24</c:v>
                </c:pt>
                <c:pt idx="51">
                  <c:v>JAN.24</c:v>
                </c:pt>
                <c:pt idx="52">
                  <c:v>JAN.24</c:v>
                </c:pt>
                <c:pt idx="53">
                  <c:v>JAN.24</c:v>
                </c:pt>
                <c:pt idx="54">
                  <c:v>JAN.24</c:v>
                </c:pt>
                <c:pt idx="55">
                  <c:v>JAN.24</c:v>
                </c:pt>
                <c:pt idx="56">
                  <c:v>JAN.24</c:v>
                </c:pt>
                <c:pt idx="57">
                  <c:v>JAN.24</c:v>
                </c:pt>
                <c:pt idx="58">
                  <c:v>JAN.24</c:v>
                </c:pt>
                <c:pt idx="59">
                  <c:v>JAN.24</c:v>
                </c:pt>
                <c:pt idx="60">
                  <c:v>JAN.24</c:v>
                </c:pt>
                <c:pt idx="61">
                  <c:v>JAN.24</c:v>
                </c:pt>
                <c:pt idx="62">
                  <c:v>JAN.24</c:v>
                </c:pt>
                <c:pt idx="63">
                  <c:v>JAN.24</c:v>
                </c:pt>
                <c:pt idx="64">
                  <c:v>JAN.24</c:v>
                </c:pt>
                <c:pt idx="65">
                  <c:v>JAN.24</c:v>
                </c:pt>
                <c:pt idx="66">
                  <c:v>JAN.24</c:v>
                </c:pt>
                <c:pt idx="67">
                  <c:v>JAN.24</c:v>
                </c:pt>
                <c:pt idx="68">
                  <c:v>JAN.24</c:v>
                </c:pt>
                <c:pt idx="69">
                  <c:v>JAN.24</c:v>
                </c:pt>
                <c:pt idx="70">
                  <c:v>JAN.24</c:v>
                </c:pt>
                <c:pt idx="71">
                  <c:v>JAN.24</c:v>
                </c:pt>
                <c:pt idx="72">
                  <c:v>JAN.24</c:v>
                </c:pt>
                <c:pt idx="73">
                  <c:v>JAN.24</c:v>
                </c:pt>
                <c:pt idx="74">
                  <c:v>JAN.24</c:v>
                </c:pt>
                <c:pt idx="75">
                  <c:v>JAN.24</c:v>
                </c:pt>
                <c:pt idx="76">
                  <c:v>JAN.24</c:v>
                </c:pt>
                <c:pt idx="77">
                  <c:v>JAN.24</c:v>
                </c:pt>
                <c:pt idx="78">
                  <c:v>JAN.24</c:v>
                </c:pt>
                <c:pt idx="79">
                  <c:v>JAN.24</c:v>
                </c:pt>
                <c:pt idx="80">
                  <c:v>JAN.24</c:v>
                </c:pt>
                <c:pt idx="81">
                  <c:v>JAN.24</c:v>
                </c:pt>
                <c:pt idx="82">
                  <c:v>JAN.24</c:v>
                </c:pt>
                <c:pt idx="83">
                  <c:v>JAN.24</c:v>
                </c:pt>
                <c:pt idx="84">
                  <c:v>JAN.24</c:v>
                </c:pt>
                <c:pt idx="85">
                  <c:v>JAN.24</c:v>
                </c:pt>
                <c:pt idx="86">
                  <c:v>JAN.24</c:v>
                </c:pt>
                <c:pt idx="87">
                  <c:v>JAN.24</c:v>
                </c:pt>
                <c:pt idx="88">
                  <c:v>JAN.24</c:v>
                </c:pt>
                <c:pt idx="89">
                  <c:v>JAN.24</c:v>
                </c:pt>
                <c:pt idx="90">
                  <c:v>JAN.24</c:v>
                </c:pt>
                <c:pt idx="91">
                  <c:v>JAN.24</c:v>
                </c:pt>
                <c:pt idx="92">
                  <c:v>JAN.24</c:v>
                </c:pt>
                <c:pt idx="93">
                  <c:v>JAN.24</c:v>
                </c:pt>
                <c:pt idx="94">
                  <c:v>JAN.24</c:v>
                </c:pt>
                <c:pt idx="95">
                  <c:v>JAN.24</c:v>
                </c:pt>
                <c:pt idx="96">
                  <c:v>JAN.24</c:v>
                </c:pt>
                <c:pt idx="97">
                  <c:v>JAN.24</c:v>
                </c:pt>
                <c:pt idx="98">
                  <c:v>JAN.24</c:v>
                </c:pt>
                <c:pt idx="99">
                  <c:v>JAN.24</c:v>
                </c:pt>
                <c:pt idx="100">
                  <c:v>JAN.24</c:v>
                </c:pt>
                <c:pt idx="101">
                  <c:v>JAN.24</c:v>
                </c:pt>
                <c:pt idx="102">
                  <c:v>JAN.24</c:v>
                </c:pt>
                <c:pt idx="103">
                  <c:v>JAN.24</c:v>
                </c:pt>
                <c:pt idx="104">
                  <c:v>JAN.24</c:v>
                </c:pt>
                <c:pt idx="105">
                  <c:v>JAN.24</c:v>
                </c:pt>
                <c:pt idx="106">
                  <c:v>JAN.24</c:v>
                </c:pt>
                <c:pt idx="107">
                  <c:v>JAN.24</c:v>
                </c:pt>
                <c:pt idx="108">
                  <c:v>JAN.24</c:v>
                </c:pt>
                <c:pt idx="109">
                  <c:v>JAN.24</c:v>
                </c:pt>
                <c:pt idx="110">
                  <c:v>JAN.24</c:v>
                </c:pt>
                <c:pt idx="111">
                  <c:v>JAN.24</c:v>
                </c:pt>
                <c:pt idx="112">
                  <c:v>JAN.24</c:v>
                </c:pt>
                <c:pt idx="113">
                  <c:v>JAN.24</c:v>
                </c:pt>
                <c:pt idx="114">
                  <c:v>JAN.24</c:v>
                </c:pt>
                <c:pt idx="115">
                  <c:v>JAN.24</c:v>
                </c:pt>
                <c:pt idx="116">
                  <c:v>JAN.24</c:v>
                </c:pt>
                <c:pt idx="117">
                  <c:v>JAN.24</c:v>
                </c:pt>
                <c:pt idx="118">
                  <c:v>JAN.24</c:v>
                </c:pt>
                <c:pt idx="119">
                  <c:v>JAN.24</c:v>
                </c:pt>
                <c:pt idx="120">
                  <c:v>JAN.24</c:v>
                </c:pt>
                <c:pt idx="121">
                  <c:v>JAN.24</c:v>
                </c:pt>
                <c:pt idx="122">
                  <c:v>JAN.24</c:v>
                </c:pt>
                <c:pt idx="123">
                  <c:v>JAN.24</c:v>
                </c:pt>
                <c:pt idx="124">
                  <c:v>JAN.24</c:v>
                </c:pt>
                <c:pt idx="125">
                  <c:v>JAN.24</c:v>
                </c:pt>
                <c:pt idx="126">
                  <c:v>JAN.24</c:v>
                </c:pt>
                <c:pt idx="127">
                  <c:v>JAN.24</c:v>
                </c:pt>
                <c:pt idx="128">
                  <c:v>JAN.24</c:v>
                </c:pt>
                <c:pt idx="129">
                  <c:v>JAN.24</c:v>
                </c:pt>
                <c:pt idx="130">
                  <c:v>JAN.24</c:v>
                </c:pt>
                <c:pt idx="131">
                  <c:v>JAN.24</c:v>
                </c:pt>
                <c:pt idx="132">
                  <c:v>February 24 live</c:v>
                </c:pt>
                <c:pt idx="133">
                  <c:v>FEB.24</c:v>
                </c:pt>
                <c:pt idx="134">
                  <c:v>FEB.24</c:v>
                </c:pt>
                <c:pt idx="135">
                  <c:v>FEB.24</c:v>
                </c:pt>
                <c:pt idx="136">
                  <c:v>FEB.24</c:v>
                </c:pt>
                <c:pt idx="137">
                  <c:v>FEB.24</c:v>
                </c:pt>
                <c:pt idx="138">
                  <c:v>FEB.24</c:v>
                </c:pt>
                <c:pt idx="139">
                  <c:v>FEB.24</c:v>
                </c:pt>
                <c:pt idx="140">
                  <c:v>FEB.24</c:v>
                </c:pt>
                <c:pt idx="141">
                  <c:v>FEB.24</c:v>
                </c:pt>
                <c:pt idx="142">
                  <c:v>FEB.24</c:v>
                </c:pt>
                <c:pt idx="143">
                  <c:v>FEB.24</c:v>
                </c:pt>
                <c:pt idx="144">
                  <c:v>FEB.24</c:v>
                </c:pt>
                <c:pt idx="145">
                  <c:v>FEB.24</c:v>
                </c:pt>
                <c:pt idx="146">
                  <c:v>FEB.24</c:v>
                </c:pt>
                <c:pt idx="147">
                  <c:v>FEB.24</c:v>
                </c:pt>
                <c:pt idx="148">
                  <c:v>FEB.24</c:v>
                </c:pt>
                <c:pt idx="149">
                  <c:v>FEB.24</c:v>
                </c:pt>
                <c:pt idx="150">
                  <c:v>FEB.24</c:v>
                </c:pt>
                <c:pt idx="151">
                  <c:v>FEB.24</c:v>
                </c:pt>
                <c:pt idx="152">
                  <c:v>FEB.24</c:v>
                </c:pt>
                <c:pt idx="153">
                  <c:v>FEB.24</c:v>
                </c:pt>
                <c:pt idx="154">
                  <c:v>FEB.24</c:v>
                </c:pt>
                <c:pt idx="155">
                  <c:v>FEB.24</c:v>
                </c:pt>
                <c:pt idx="156">
                  <c:v>FEB.24</c:v>
                </c:pt>
                <c:pt idx="157">
                  <c:v>FEB.24</c:v>
                </c:pt>
                <c:pt idx="158">
                  <c:v>FEB.24</c:v>
                </c:pt>
                <c:pt idx="159">
                  <c:v>FEB.24</c:v>
                </c:pt>
                <c:pt idx="160">
                  <c:v>FEB.24</c:v>
                </c:pt>
                <c:pt idx="161">
                  <c:v>FEB.24</c:v>
                </c:pt>
                <c:pt idx="162">
                  <c:v>FEB.24</c:v>
                </c:pt>
                <c:pt idx="163">
                  <c:v>FEB.24</c:v>
                </c:pt>
                <c:pt idx="164">
                  <c:v>FEB.24</c:v>
                </c:pt>
                <c:pt idx="165">
                  <c:v>FEB.24</c:v>
                </c:pt>
                <c:pt idx="166">
                  <c:v>FEB.24</c:v>
                </c:pt>
                <c:pt idx="167">
                  <c:v>FEB.24</c:v>
                </c:pt>
                <c:pt idx="168">
                  <c:v>FEB.24</c:v>
                </c:pt>
                <c:pt idx="169">
                  <c:v>FEB.24</c:v>
                </c:pt>
                <c:pt idx="170">
                  <c:v>FEB.24</c:v>
                </c:pt>
                <c:pt idx="171">
                  <c:v>FEB.24</c:v>
                </c:pt>
                <c:pt idx="172">
                  <c:v>FEB.24</c:v>
                </c:pt>
                <c:pt idx="173">
                  <c:v>FEB.24</c:v>
                </c:pt>
                <c:pt idx="174">
                  <c:v>FEB.24</c:v>
                </c:pt>
                <c:pt idx="175">
                  <c:v>FEB.24</c:v>
                </c:pt>
                <c:pt idx="176">
                  <c:v>FEB.24</c:v>
                </c:pt>
                <c:pt idx="177">
                  <c:v>FEB.24</c:v>
                </c:pt>
                <c:pt idx="178">
                  <c:v>FEB.24</c:v>
                </c:pt>
                <c:pt idx="179">
                  <c:v>FEB.24</c:v>
                </c:pt>
                <c:pt idx="180">
                  <c:v>FEB.24</c:v>
                </c:pt>
                <c:pt idx="181">
                  <c:v>FEB.24</c:v>
                </c:pt>
                <c:pt idx="182">
                  <c:v>FEB.24</c:v>
                </c:pt>
                <c:pt idx="183">
                  <c:v>FEB.24</c:v>
                </c:pt>
                <c:pt idx="184">
                  <c:v>FEB.24</c:v>
                </c:pt>
                <c:pt idx="185">
                  <c:v>FEB.24</c:v>
                </c:pt>
                <c:pt idx="186">
                  <c:v>FEB.24</c:v>
                </c:pt>
                <c:pt idx="187">
                  <c:v>FEB.24</c:v>
                </c:pt>
                <c:pt idx="188">
                  <c:v>FEB.24</c:v>
                </c:pt>
                <c:pt idx="189">
                  <c:v>FEB.24</c:v>
                </c:pt>
                <c:pt idx="190">
                  <c:v>FEB.24</c:v>
                </c:pt>
                <c:pt idx="191">
                  <c:v>FEB.24</c:v>
                </c:pt>
                <c:pt idx="192">
                  <c:v>FEB.24</c:v>
                </c:pt>
                <c:pt idx="193">
                  <c:v>FEB.24</c:v>
                </c:pt>
                <c:pt idx="194">
                  <c:v>FEB.24</c:v>
                </c:pt>
                <c:pt idx="195">
                  <c:v>FEB.24</c:v>
                </c:pt>
                <c:pt idx="196">
                  <c:v>FEB.24</c:v>
                </c:pt>
                <c:pt idx="197">
                  <c:v>FEB.24</c:v>
                </c:pt>
                <c:pt idx="198">
                  <c:v>FEB.24</c:v>
                </c:pt>
                <c:pt idx="199">
                  <c:v>FEB.24</c:v>
                </c:pt>
                <c:pt idx="200">
                  <c:v>FEB.24</c:v>
                </c:pt>
                <c:pt idx="201">
                  <c:v>FEB.24</c:v>
                </c:pt>
                <c:pt idx="202">
                  <c:v>FEB.24</c:v>
                </c:pt>
                <c:pt idx="203">
                  <c:v>FEB.24</c:v>
                </c:pt>
                <c:pt idx="204">
                  <c:v>FEB.24</c:v>
                </c:pt>
                <c:pt idx="205">
                  <c:v>FEB.24</c:v>
                </c:pt>
                <c:pt idx="206">
                  <c:v>FEB.24</c:v>
                </c:pt>
                <c:pt idx="207">
                  <c:v>FEB.24</c:v>
                </c:pt>
                <c:pt idx="208">
                  <c:v>FEB.24</c:v>
                </c:pt>
                <c:pt idx="209">
                  <c:v>FEB.24</c:v>
                </c:pt>
                <c:pt idx="210">
                  <c:v>FEB.24</c:v>
                </c:pt>
                <c:pt idx="211">
                  <c:v>FEB.24</c:v>
                </c:pt>
                <c:pt idx="212">
                  <c:v>FEB.24</c:v>
                </c:pt>
                <c:pt idx="213">
                  <c:v>FEB.24</c:v>
                </c:pt>
                <c:pt idx="214">
                  <c:v>FEB.24</c:v>
                </c:pt>
                <c:pt idx="215">
                  <c:v>FEB.24</c:v>
                </c:pt>
                <c:pt idx="216">
                  <c:v>FEB.24</c:v>
                </c:pt>
                <c:pt idx="217">
                  <c:v>FEB.24</c:v>
                </c:pt>
                <c:pt idx="218">
                  <c:v>FEB.24</c:v>
                </c:pt>
                <c:pt idx="219">
                  <c:v>FEB.24</c:v>
                </c:pt>
                <c:pt idx="220">
                  <c:v>FEB.24</c:v>
                </c:pt>
                <c:pt idx="221">
                  <c:v>FEB.24</c:v>
                </c:pt>
                <c:pt idx="222">
                  <c:v>FEB.24</c:v>
                </c:pt>
                <c:pt idx="223">
                  <c:v>FEB.24</c:v>
                </c:pt>
                <c:pt idx="224">
                  <c:v>FEB.24</c:v>
                </c:pt>
                <c:pt idx="225">
                  <c:v>FEB.24</c:v>
                </c:pt>
                <c:pt idx="226">
                  <c:v>FEB.24</c:v>
                </c:pt>
                <c:pt idx="227">
                  <c:v>FEB.24</c:v>
                </c:pt>
                <c:pt idx="228">
                  <c:v>FEB.24</c:v>
                </c:pt>
                <c:pt idx="229">
                  <c:v>FEB.24</c:v>
                </c:pt>
                <c:pt idx="230">
                  <c:v>FEB.24</c:v>
                </c:pt>
                <c:pt idx="231">
                  <c:v>FEB.24</c:v>
                </c:pt>
                <c:pt idx="232">
                  <c:v>FEB.24</c:v>
                </c:pt>
                <c:pt idx="233">
                  <c:v>FEB.24</c:v>
                </c:pt>
                <c:pt idx="234">
                  <c:v>FEB.24</c:v>
                </c:pt>
                <c:pt idx="235">
                  <c:v>FEB.24</c:v>
                </c:pt>
                <c:pt idx="236">
                  <c:v>FEB.24</c:v>
                </c:pt>
                <c:pt idx="237">
                  <c:v>FEB.24</c:v>
                </c:pt>
                <c:pt idx="238">
                  <c:v>FEB.24</c:v>
                </c:pt>
                <c:pt idx="239">
                  <c:v>FEB.24</c:v>
                </c:pt>
                <c:pt idx="240">
                  <c:v>FEB.24</c:v>
                </c:pt>
                <c:pt idx="241">
                  <c:v>FEB.24</c:v>
                </c:pt>
                <c:pt idx="242">
                  <c:v>FEB.24</c:v>
                </c:pt>
                <c:pt idx="243">
                  <c:v>FEB.24</c:v>
                </c:pt>
                <c:pt idx="244">
                  <c:v>FEB.24</c:v>
                </c:pt>
                <c:pt idx="245">
                  <c:v>FEB.24</c:v>
                </c:pt>
                <c:pt idx="246">
                  <c:v>FEB.24</c:v>
                </c:pt>
                <c:pt idx="247">
                  <c:v>FEB.24</c:v>
                </c:pt>
                <c:pt idx="248">
                  <c:v>FEB.24</c:v>
                </c:pt>
                <c:pt idx="249">
                  <c:v>FEB.24</c:v>
                </c:pt>
                <c:pt idx="250">
                  <c:v>FEB.24</c:v>
                </c:pt>
                <c:pt idx="251">
                  <c:v>FEB.24</c:v>
                </c:pt>
                <c:pt idx="252">
                  <c:v>March 24 live</c:v>
                </c:pt>
                <c:pt idx="253">
                  <c:v>MAR.24</c:v>
                </c:pt>
                <c:pt idx="254">
                  <c:v>MAR.24</c:v>
                </c:pt>
                <c:pt idx="255">
                  <c:v>MAR.24</c:v>
                </c:pt>
                <c:pt idx="256">
                  <c:v>MAR.24</c:v>
                </c:pt>
                <c:pt idx="257">
                  <c:v>MAR.24</c:v>
                </c:pt>
                <c:pt idx="258">
                  <c:v>MAR.24</c:v>
                </c:pt>
                <c:pt idx="259">
                  <c:v>MAR.24</c:v>
                </c:pt>
                <c:pt idx="260">
                  <c:v>MAR.24</c:v>
                </c:pt>
                <c:pt idx="261">
                  <c:v>MAR.24</c:v>
                </c:pt>
                <c:pt idx="262">
                  <c:v>MAR.24</c:v>
                </c:pt>
                <c:pt idx="263">
                  <c:v>MAR.24</c:v>
                </c:pt>
                <c:pt idx="264">
                  <c:v>MAR.24</c:v>
                </c:pt>
                <c:pt idx="265">
                  <c:v>MAR.24</c:v>
                </c:pt>
                <c:pt idx="266">
                  <c:v>MAR.24</c:v>
                </c:pt>
                <c:pt idx="267">
                  <c:v>MAR.24</c:v>
                </c:pt>
                <c:pt idx="268">
                  <c:v>MAR.24</c:v>
                </c:pt>
                <c:pt idx="269">
                  <c:v>MAR.24</c:v>
                </c:pt>
                <c:pt idx="270">
                  <c:v>MAR.24</c:v>
                </c:pt>
                <c:pt idx="271">
                  <c:v>MAR.24</c:v>
                </c:pt>
                <c:pt idx="272">
                  <c:v>MAR.24</c:v>
                </c:pt>
                <c:pt idx="273">
                  <c:v>MAR.24</c:v>
                </c:pt>
                <c:pt idx="274">
                  <c:v>MAR.24</c:v>
                </c:pt>
                <c:pt idx="275">
                  <c:v>MAR.24</c:v>
                </c:pt>
                <c:pt idx="276">
                  <c:v>MAR.24</c:v>
                </c:pt>
                <c:pt idx="277">
                  <c:v>MAR.24</c:v>
                </c:pt>
                <c:pt idx="278">
                  <c:v>MAR.24</c:v>
                </c:pt>
                <c:pt idx="279">
                  <c:v>MAR.24</c:v>
                </c:pt>
                <c:pt idx="280">
                  <c:v>MAR.24</c:v>
                </c:pt>
                <c:pt idx="281">
                  <c:v>MAR.24</c:v>
                </c:pt>
                <c:pt idx="282">
                  <c:v>MAR.24</c:v>
                </c:pt>
                <c:pt idx="283">
                  <c:v>MAR.24</c:v>
                </c:pt>
                <c:pt idx="284">
                  <c:v>MAR.24</c:v>
                </c:pt>
                <c:pt idx="285">
                  <c:v>MAR.24</c:v>
                </c:pt>
                <c:pt idx="286">
                  <c:v>MAR.24</c:v>
                </c:pt>
                <c:pt idx="287">
                  <c:v>MAR.24</c:v>
                </c:pt>
                <c:pt idx="288">
                  <c:v>MAR.24</c:v>
                </c:pt>
                <c:pt idx="289">
                  <c:v>MAR.24</c:v>
                </c:pt>
                <c:pt idx="290">
                  <c:v>MAR.24</c:v>
                </c:pt>
                <c:pt idx="291">
                  <c:v>MAR.24</c:v>
                </c:pt>
                <c:pt idx="292">
                  <c:v>MAR.24</c:v>
                </c:pt>
                <c:pt idx="293">
                  <c:v>MAR.24</c:v>
                </c:pt>
                <c:pt idx="294">
                  <c:v>MAR.24</c:v>
                </c:pt>
                <c:pt idx="295">
                  <c:v>MAR.24</c:v>
                </c:pt>
                <c:pt idx="296">
                  <c:v>MAR.24</c:v>
                </c:pt>
                <c:pt idx="297">
                  <c:v>MAR.24</c:v>
                </c:pt>
                <c:pt idx="298">
                  <c:v>MAR.24</c:v>
                </c:pt>
                <c:pt idx="299">
                  <c:v>MAR.24</c:v>
                </c:pt>
                <c:pt idx="300">
                  <c:v>MAR.24</c:v>
                </c:pt>
                <c:pt idx="301">
                  <c:v>MAR.24</c:v>
                </c:pt>
                <c:pt idx="302">
                  <c:v>MAR.24</c:v>
                </c:pt>
                <c:pt idx="303">
                  <c:v>MAR.24</c:v>
                </c:pt>
                <c:pt idx="304">
                  <c:v>MAR.24</c:v>
                </c:pt>
                <c:pt idx="305">
                  <c:v>MAR.24</c:v>
                </c:pt>
                <c:pt idx="306">
                  <c:v>MAR.24</c:v>
                </c:pt>
                <c:pt idx="307">
                  <c:v>MAR.24</c:v>
                </c:pt>
                <c:pt idx="308">
                  <c:v>MAR.24</c:v>
                </c:pt>
                <c:pt idx="309">
                  <c:v>MAR.24</c:v>
                </c:pt>
                <c:pt idx="310">
                  <c:v>MAR.24</c:v>
                </c:pt>
                <c:pt idx="311">
                  <c:v>MAR.24</c:v>
                </c:pt>
                <c:pt idx="312">
                  <c:v>MAR.24</c:v>
                </c:pt>
                <c:pt idx="313">
                  <c:v>MAR.24</c:v>
                </c:pt>
                <c:pt idx="314">
                  <c:v>MAR.24</c:v>
                </c:pt>
                <c:pt idx="315">
                  <c:v>MAR.24</c:v>
                </c:pt>
                <c:pt idx="316">
                  <c:v>MAR.24</c:v>
                </c:pt>
                <c:pt idx="317">
                  <c:v>MAR.24</c:v>
                </c:pt>
                <c:pt idx="318">
                  <c:v>MAR.24</c:v>
                </c:pt>
                <c:pt idx="319">
                  <c:v>MAR.24</c:v>
                </c:pt>
                <c:pt idx="320">
                  <c:v>MAR.24</c:v>
                </c:pt>
                <c:pt idx="321">
                  <c:v>MAR.24</c:v>
                </c:pt>
                <c:pt idx="322">
                  <c:v>MAR.24</c:v>
                </c:pt>
                <c:pt idx="323">
                  <c:v>MAR.24</c:v>
                </c:pt>
                <c:pt idx="324">
                  <c:v>MAR.24</c:v>
                </c:pt>
                <c:pt idx="325">
                  <c:v>MAR.24</c:v>
                </c:pt>
                <c:pt idx="326">
                  <c:v>MAR.24</c:v>
                </c:pt>
                <c:pt idx="327">
                  <c:v>MAR.24</c:v>
                </c:pt>
                <c:pt idx="328">
                  <c:v>MAR.24</c:v>
                </c:pt>
                <c:pt idx="329">
                  <c:v>MAR.24</c:v>
                </c:pt>
                <c:pt idx="330">
                  <c:v>MAR.24</c:v>
                </c:pt>
                <c:pt idx="331">
                  <c:v>MAR.24</c:v>
                </c:pt>
                <c:pt idx="332">
                  <c:v>MAR.24</c:v>
                </c:pt>
                <c:pt idx="333">
                  <c:v>MAR.24</c:v>
                </c:pt>
                <c:pt idx="334">
                  <c:v>MAR.24</c:v>
                </c:pt>
                <c:pt idx="335">
                  <c:v>MAR.24</c:v>
                </c:pt>
                <c:pt idx="336">
                  <c:v>MAR.24</c:v>
                </c:pt>
                <c:pt idx="337">
                  <c:v>MAR.24</c:v>
                </c:pt>
                <c:pt idx="338">
                  <c:v>MAR.24</c:v>
                </c:pt>
                <c:pt idx="339">
                  <c:v>MAR.24</c:v>
                </c:pt>
                <c:pt idx="340">
                  <c:v>MAR.24</c:v>
                </c:pt>
                <c:pt idx="341">
                  <c:v>MAR.24</c:v>
                </c:pt>
                <c:pt idx="342">
                  <c:v>MAR.24</c:v>
                </c:pt>
                <c:pt idx="343">
                  <c:v>MAR.24</c:v>
                </c:pt>
                <c:pt idx="344">
                  <c:v>MAR.24</c:v>
                </c:pt>
                <c:pt idx="345">
                  <c:v>April 24 live</c:v>
                </c:pt>
                <c:pt idx="346">
                  <c:v>APR.24</c:v>
                </c:pt>
                <c:pt idx="347">
                  <c:v>APR.24</c:v>
                </c:pt>
                <c:pt idx="348">
                  <c:v>APR.24</c:v>
                </c:pt>
                <c:pt idx="349">
                  <c:v>APR.24</c:v>
                </c:pt>
                <c:pt idx="350">
                  <c:v>APR.24</c:v>
                </c:pt>
                <c:pt idx="351">
                  <c:v>APR.24</c:v>
                </c:pt>
                <c:pt idx="352">
                  <c:v>APR.24</c:v>
                </c:pt>
                <c:pt idx="353">
                  <c:v>APR.24</c:v>
                </c:pt>
                <c:pt idx="354">
                  <c:v>APR.24</c:v>
                </c:pt>
                <c:pt idx="355">
                  <c:v>APR.24</c:v>
                </c:pt>
                <c:pt idx="356">
                  <c:v>APR.24</c:v>
                </c:pt>
                <c:pt idx="357">
                  <c:v>APR.24</c:v>
                </c:pt>
                <c:pt idx="358">
                  <c:v>APR.24</c:v>
                </c:pt>
                <c:pt idx="359">
                  <c:v>APR.24</c:v>
                </c:pt>
                <c:pt idx="360">
                  <c:v>APR.24</c:v>
                </c:pt>
                <c:pt idx="361">
                  <c:v>APR.24</c:v>
                </c:pt>
                <c:pt idx="362">
                  <c:v>APR.24</c:v>
                </c:pt>
                <c:pt idx="363">
                  <c:v>APR.24</c:v>
                </c:pt>
                <c:pt idx="364">
                  <c:v>APR.24</c:v>
                </c:pt>
                <c:pt idx="365">
                  <c:v>APR.24</c:v>
                </c:pt>
                <c:pt idx="366">
                  <c:v>APR.24</c:v>
                </c:pt>
                <c:pt idx="367">
                  <c:v>APR.24</c:v>
                </c:pt>
                <c:pt idx="368">
                  <c:v>APR.24</c:v>
                </c:pt>
                <c:pt idx="369">
                  <c:v>APR.24</c:v>
                </c:pt>
                <c:pt idx="370">
                  <c:v>APR.24</c:v>
                </c:pt>
                <c:pt idx="371">
                  <c:v>APR.24</c:v>
                </c:pt>
                <c:pt idx="372">
                  <c:v>APR.24</c:v>
                </c:pt>
                <c:pt idx="373">
                  <c:v>APR.24</c:v>
                </c:pt>
                <c:pt idx="374">
                  <c:v>APR.24</c:v>
                </c:pt>
                <c:pt idx="375">
                  <c:v>APR.24</c:v>
                </c:pt>
                <c:pt idx="376">
                  <c:v>APR.24</c:v>
                </c:pt>
                <c:pt idx="377">
                  <c:v>APR.24</c:v>
                </c:pt>
                <c:pt idx="378">
                  <c:v>APR.24</c:v>
                </c:pt>
                <c:pt idx="379">
                  <c:v>APR.24</c:v>
                </c:pt>
                <c:pt idx="380">
                  <c:v>APR.24</c:v>
                </c:pt>
                <c:pt idx="381">
                  <c:v>APR.24</c:v>
                </c:pt>
                <c:pt idx="382">
                  <c:v>APR.24</c:v>
                </c:pt>
                <c:pt idx="383">
                  <c:v>APR.24</c:v>
                </c:pt>
                <c:pt idx="384">
                  <c:v>APR.24</c:v>
                </c:pt>
                <c:pt idx="385">
                  <c:v>APR.24</c:v>
                </c:pt>
                <c:pt idx="386">
                  <c:v>APR.24</c:v>
                </c:pt>
                <c:pt idx="387">
                  <c:v>APR.24</c:v>
                </c:pt>
                <c:pt idx="388">
                  <c:v>APR.24</c:v>
                </c:pt>
                <c:pt idx="389">
                  <c:v>APR.24</c:v>
                </c:pt>
                <c:pt idx="390">
                  <c:v>APR.24</c:v>
                </c:pt>
                <c:pt idx="391">
                  <c:v>APR.24</c:v>
                </c:pt>
                <c:pt idx="392">
                  <c:v>APR.24</c:v>
                </c:pt>
                <c:pt idx="393">
                  <c:v>APR.24</c:v>
                </c:pt>
                <c:pt idx="394">
                  <c:v>APR.24</c:v>
                </c:pt>
                <c:pt idx="395">
                  <c:v>APR.24</c:v>
                </c:pt>
                <c:pt idx="396">
                  <c:v>APR.24</c:v>
                </c:pt>
                <c:pt idx="397">
                  <c:v>APR.24</c:v>
                </c:pt>
                <c:pt idx="398">
                  <c:v>APR.24</c:v>
                </c:pt>
                <c:pt idx="399">
                  <c:v>APR.24</c:v>
                </c:pt>
                <c:pt idx="400">
                  <c:v>APR.24</c:v>
                </c:pt>
                <c:pt idx="401">
                  <c:v>APR.24</c:v>
                </c:pt>
                <c:pt idx="402">
                  <c:v>APR.24</c:v>
                </c:pt>
                <c:pt idx="403">
                  <c:v>APR.24</c:v>
                </c:pt>
                <c:pt idx="404">
                  <c:v>APR.24</c:v>
                </c:pt>
                <c:pt idx="405">
                  <c:v>APR.24</c:v>
                </c:pt>
                <c:pt idx="406">
                  <c:v>APR.24</c:v>
                </c:pt>
                <c:pt idx="407">
                  <c:v>APR.24</c:v>
                </c:pt>
                <c:pt idx="408">
                  <c:v>APR.24</c:v>
                </c:pt>
                <c:pt idx="409">
                  <c:v>APR.24</c:v>
                </c:pt>
                <c:pt idx="410">
                  <c:v>APR.24</c:v>
                </c:pt>
                <c:pt idx="411">
                  <c:v>APR.24</c:v>
                </c:pt>
                <c:pt idx="412">
                  <c:v>APR.24</c:v>
                </c:pt>
                <c:pt idx="413">
                  <c:v>APR.24</c:v>
                </c:pt>
                <c:pt idx="414">
                  <c:v>APR.24</c:v>
                </c:pt>
                <c:pt idx="415">
                  <c:v>APR.24</c:v>
                </c:pt>
                <c:pt idx="416">
                  <c:v>APR.24</c:v>
                </c:pt>
                <c:pt idx="417">
                  <c:v>APR.24</c:v>
                </c:pt>
                <c:pt idx="418">
                  <c:v>APR.24</c:v>
                </c:pt>
                <c:pt idx="419">
                  <c:v>APR.24</c:v>
                </c:pt>
                <c:pt idx="420">
                  <c:v>APR.24</c:v>
                </c:pt>
                <c:pt idx="421">
                  <c:v>APR.24</c:v>
                </c:pt>
                <c:pt idx="422">
                  <c:v>APR.24</c:v>
                </c:pt>
                <c:pt idx="423">
                  <c:v>APR.24</c:v>
                </c:pt>
                <c:pt idx="424">
                  <c:v>APR.24</c:v>
                </c:pt>
                <c:pt idx="425">
                  <c:v>APR.24</c:v>
                </c:pt>
                <c:pt idx="426">
                  <c:v>APR.24</c:v>
                </c:pt>
                <c:pt idx="427">
                  <c:v>APR.24</c:v>
                </c:pt>
                <c:pt idx="428">
                  <c:v>APR.24</c:v>
                </c:pt>
                <c:pt idx="429">
                  <c:v>APR.24</c:v>
                </c:pt>
                <c:pt idx="430">
                  <c:v>APR.24</c:v>
                </c:pt>
                <c:pt idx="431">
                  <c:v>APR.24</c:v>
                </c:pt>
                <c:pt idx="432">
                  <c:v>APR.24</c:v>
                </c:pt>
                <c:pt idx="433">
                  <c:v>APR.24</c:v>
                </c:pt>
                <c:pt idx="434">
                  <c:v>APR.24</c:v>
                </c:pt>
                <c:pt idx="435">
                  <c:v>APR.24</c:v>
                </c:pt>
                <c:pt idx="436">
                  <c:v>APR.24</c:v>
                </c:pt>
                <c:pt idx="437">
                  <c:v>APR.24</c:v>
                </c:pt>
                <c:pt idx="438">
                  <c:v>APR.24</c:v>
                </c:pt>
                <c:pt idx="439">
                  <c:v>APR.24</c:v>
                </c:pt>
                <c:pt idx="440">
                  <c:v>APR.24</c:v>
                </c:pt>
                <c:pt idx="441">
                  <c:v>APR.24</c:v>
                </c:pt>
                <c:pt idx="442">
                  <c:v>APR.24</c:v>
                </c:pt>
                <c:pt idx="443">
                  <c:v>APR.24</c:v>
                </c:pt>
                <c:pt idx="444">
                  <c:v>APR.24</c:v>
                </c:pt>
                <c:pt idx="445">
                  <c:v>APR.24</c:v>
                </c:pt>
                <c:pt idx="446">
                  <c:v>APR.24</c:v>
                </c:pt>
                <c:pt idx="447">
                  <c:v>APR.24</c:v>
                </c:pt>
                <c:pt idx="448">
                  <c:v>APR.24</c:v>
                </c:pt>
                <c:pt idx="449">
                  <c:v>APR.24</c:v>
                </c:pt>
                <c:pt idx="450">
                  <c:v>APR.24</c:v>
                </c:pt>
                <c:pt idx="451">
                  <c:v>APR.24</c:v>
                </c:pt>
                <c:pt idx="452">
                  <c:v>APR.24</c:v>
                </c:pt>
                <c:pt idx="453">
                  <c:v>APR.24</c:v>
                </c:pt>
                <c:pt idx="454">
                  <c:v>APR.24</c:v>
                </c:pt>
                <c:pt idx="455">
                  <c:v>APR.24</c:v>
                </c:pt>
                <c:pt idx="456">
                  <c:v>APR.24</c:v>
                </c:pt>
                <c:pt idx="457">
                  <c:v>APR.24</c:v>
                </c:pt>
                <c:pt idx="458">
                  <c:v>APR.24</c:v>
                </c:pt>
                <c:pt idx="459">
                  <c:v>APR.24</c:v>
                </c:pt>
                <c:pt idx="460">
                  <c:v>APR.24</c:v>
                </c:pt>
                <c:pt idx="461">
                  <c:v>APR.24</c:v>
                </c:pt>
                <c:pt idx="462">
                  <c:v>APR.24</c:v>
                </c:pt>
                <c:pt idx="463">
                  <c:v>APR.24</c:v>
                </c:pt>
                <c:pt idx="464">
                  <c:v>APR.24</c:v>
                </c:pt>
                <c:pt idx="465">
                  <c:v>APR.24</c:v>
                </c:pt>
                <c:pt idx="466">
                  <c:v>APR.24</c:v>
                </c:pt>
                <c:pt idx="467">
                  <c:v>APR.24</c:v>
                </c:pt>
                <c:pt idx="468">
                  <c:v>APR.24</c:v>
                </c:pt>
                <c:pt idx="469">
                  <c:v>APR.24</c:v>
                </c:pt>
                <c:pt idx="470">
                  <c:v>APR.24</c:v>
                </c:pt>
                <c:pt idx="471">
                  <c:v>APR.24</c:v>
                </c:pt>
                <c:pt idx="472">
                  <c:v>APR.24</c:v>
                </c:pt>
                <c:pt idx="473">
                  <c:v>APR.24</c:v>
                </c:pt>
                <c:pt idx="474">
                  <c:v>APR.24</c:v>
                </c:pt>
                <c:pt idx="475">
                  <c:v>APR.24</c:v>
                </c:pt>
                <c:pt idx="476">
                  <c:v>APR.24</c:v>
                </c:pt>
                <c:pt idx="477">
                  <c:v>APR.24</c:v>
                </c:pt>
                <c:pt idx="478">
                  <c:v>APR.24</c:v>
                </c:pt>
                <c:pt idx="479">
                  <c:v>APR.24</c:v>
                </c:pt>
                <c:pt idx="480">
                  <c:v>APR.24</c:v>
                </c:pt>
                <c:pt idx="481">
                  <c:v>APR.24</c:v>
                </c:pt>
                <c:pt idx="482">
                  <c:v>APR.24</c:v>
                </c:pt>
                <c:pt idx="483">
                  <c:v>APR.24</c:v>
                </c:pt>
                <c:pt idx="484">
                  <c:v>APR.24</c:v>
                </c:pt>
                <c:pt idx="485">
                  <c:v>APR.24</c:v>
                </c:pt>
                <c:pt idx="486">
                  <c:v>APR.24</c:v>
                </c:pt>
                <c:pt idx="487">
                  <c:v>APR.24</c:v>
                </c:pt>
                <c:pt idx="488">
                  <c:v>APR.24</c:v>
                </c:pt>
                <c:pt idx="489">
                  <c:v>APR.24</c:v>
                </c:pt>
                <c:pt idx="490">
                  <c:v>APR.24</c:v>
                </c:pt>
                <c:pt idx="491">
                  <c:v>APR.24</c:v>
                </c:pt>
                <c:pt idx="492">
                  <c:v>APR.24</c:v>
                </c:pt>
                <c:pt idx="493">
                  <c:v>APR.24</c:v>
                </c:pt>
                <c:pt idx="494">
                  <c:v>APR.24</c:v>
                </c:pt>
                <c:pt idx="495">
                  <c:v>APR.24</c:v>
                </c:pt>
                <c:pt idx="496">
                  <c:v>APR.24</c:v>
                </c:pt>
                <c:pt idx="497">
                  <c:v>APR.24</c:v>
                </c:pt>
                <c:pt idx="498">
                  <c:v>APR.24</c:v>
                </c:pt>
                <c:pt idx="499">
                  <c:v>APR.24</c:v>
                </c:pt>
                <c:pt idx="500">
                  <c:v>APR.24</c:v>
                </c:pt>
                <c:pt idx="501">
                  <c:v>APR.24</c:v>
                </c:pt>
                <c:pt idx="502">
                  <c:v>APR.24</c:v>
                </c:pt>
                <c:pt idx="503">
                  <c:v>APR.24</c:v>
                </c:pt>
                <c:pt idx="504">
                  <c:v>APR.24</c:v>
                </c:pt>
                <c:pt idx="505">
                  <c:v>APR.24</c:v>
                </c:pt>
                <c:pt idx="506">
                  <c:v>APR.24</c:v>
                </c:pt>
                <c:pt idx="507">
                  <c:v>APR.24</c:v>
                </c:pt>
                <c:pt idx="508">
                  <c:v>APR.24</c:v>
                </c:pt>
                <c:pt idx="509">
                  <c:v>APR.24</c:v>
                </c:pt>
                <c:pt idx="510">
                  <c:v>APR.24</c:v>
                </c:pt>
                <c:pt idx="511">
                  <c:v>APR.24</c:v>
                </c:pt>
                <c:pt idx="512">
                  <c:v>APR.24</c:v>
                </c:pt>
                <c:pt idx="513">
                  <c:v>APR.24</c:v>
                </c:pt>
                <c:pt idx="514">
                  <c:v>APR.24</c:v>
                </c:pt>
                <c:pt idx="515">
                  <c:v>APR.24</c:v>
                </c:pt>
                <c:pt idx="516">
                  <c:v>APR.24</c:v>
                </c:pt>
                <c:pt idx="517">
                  <c:v>APR.24</c:v>
                </c:pt>
                <c:pt idx="518">
                  <c:v>APR.24</c:v>
                </c:pt>
                <c:pt idx="519">
                  <c:v>APR.24</c:v>
                </c:pt>
                <c:pt idx="520">
                  <c:v>APR.24</c:v>
                </c:pt>
                <c:pt idx="521">
                  <c:v>APR.24</c:v>
                </c:pt>
                <c:pt idx="522">
                  <c:v>APR.24</c:v>
                </c:pt>
                <c:pt idx="523">
                  <c:v>APR.24</c:v>
                </c:pt>
                <c:pt idx="524">
                  <c:v>APR.24</c:v>
                </c:pt>
                <c:pt idx="525">
                  <c:v>APR.24</c:v>
                </c:pt>
                <c:pt idx="526">
                  <c:v>APR.24</c:v>
                </c:pt>
                <c:pt idx="527">
                  <c:v>APR.24</c:v>
                </c:pt>
                <c:pt idx="528">
                  <c:v>APR.24</c:v>
                </c:pt>
                <c:pt idx="529">
                  <c:v>APR.24</c:v>
                </c:pt>
                <c:pt idx="530">
                  <c:v>APR.24</c:v>
                </c:pt>
                <c:pt idx="531">
                  <c:v>APR.24</c:v>
                </c:pt>
                <c:pt idx="532">
                  <c:v>APR.24</c:v>
                </c:pt>
                <c:pt idx="533">
                  <c:v>APR.24</c:v>
                </c:pt>
                <c:pt idx="534">
                  <c:v>APR.24</c:v>
                </c:pt>
                <c:pt idx="535">
                  <c:v>APR.24</c:v>
                </c:pt>
                <c:pt idx="536">
                  <c:v>May 24 live</c:v>
                </c:pt>
                <c:pt idx="537">
                  <c:v>MAY.24</c:v>
                </c:pt>
                <c:pt idx="538">
                  <c:v>MAY.24</c:v>
                </c:pt>
                <c:pt idx="539">
                  <c:v>MAY.24</c:v>
                </c:pt>
                <c:pt idx="540">
                  <c:v>MAY.24</c:v>
                </c:pt>
                <c:pt idx="541">
                  <c:v>MAY.24</c:v>
                </c:pt>
                <c:pt idx="542">
                  <c:v>MAY.24</c:v>
                </c:pt>
                <c:pt idx="543">
                  <c:v>MAY.24</c:v>
                </c:pt>
                <c:pt idx="544">
                  <c:v>MAY.24</c:v>
                </c:pt>
                <c:pt idx="545">
                  <c:v>MAY.24</c:v>
                </c:pt>
                <c:pt idx="546">
                  <c:v>MAY.24</c:v>
                </c:pt>
                <c:pt idx="547">
                  <c:v>MAY.24</c:v>
                </c:pt>
                <c:pt idx="548">
                  <c:v>MAY.24</c:v>
                </c:pt>
                <c:pt idx="549">
                  <c:v>MAY.24</c:v>
                </c:pt>
                <c:pt idx="550">
                  <c:v>MAY.24</c:v>
                </c:pt>
                <c:pt idx="551">
                  <c:v>MAY.24</c:v>
                </c:pt>
                <c:pt idx="552">
                  <c:v>MAY.24</c:v>
                </c:pt>
                <c:pt idx="553">
                  <c:v>MAY.24</c:v>
                </c:pt>
                <c:pt idx="554">
                  <c:v>MAY.24</c:v>
                </c:pt>
                <c:pt idx="555">
                  <c:v>MAY.24</c:v>
                </c:pt>
                <c:pt idx="556">
                  <c:v>MAY.24</c:v>
                </c:pt>
                <c:pt idx="557">
                  <c:v>MAY.24</c:v>
                </c:pt>
                <c:pt idx="558">
                  <c:v>MAY.24</c:v>
                </c:pt>
                <c:pt idx="559">
                  <c:v>MAY.24</c:v>
                </c:pt>
                <c:pt idx="560">
                  <c:v>MAY.24</c:v>
                </c:pt>
                <c:pt idx="561">
                  <c:v>MAY.24</c:v>
                </c:pt>
                <c:pt idx="562">
                  <c:v>MAY.24</c:v>
                </c:pt>
                <c:pt idx="563">
                  <c:v>MAY.24</c:v>
                </c:pt>
                <c:pt idx="564">
                  <c:v>MAY.24</c:v>
                </c:pt>
                <c:pt idx="565">
                  <c:v>MAY.24</c:v>
                </c:pt>
                <c:pt idx="566">
                  <c:v>MAY.24</c:v>
                </c:pt>
                <c:pt idx="567">
                  <c:v>MAY.24</c:v>
                </c:pt>
                <c:pt idx="568">
                  <c:v>MAY.24</c:v>
                </c:pt>
                <c:pt idx="569">
                  <c:v>MAY.24</c:v>
                </c:pt>
                <c:pt idx="570">
                  <c:v>MAY.24</c:v>
                </c:pt>
                <c:pt idx="571">
                  <c:v>MAY.24</c:v>
                </c:pt>
                <c:pt idx="572">
                  <c:v>MAY.24</c:v>
                </c:pt>
                <c:pt idx="573">
                  <c:v>MAY.24</c:v>
                </c:pt>
                <c:pt idx="574">
                  <c:v>MAY.24</c:v>
                </c:pt>
                <c:pt idx="575">
                  <c:v>MAY.24</c:v>
                </c:pt>
                <c:pt idx="576">
                  <c:v>MAY.24</c:v>
                </c:pt>
                <c:pt idx="577">
                  <c:v>MAY.24</c:v>
                </c:pt>
                <c:pt idx="578">
                  <c:v>MAY.24</c:v>
                </c:pt>
                <c:pt idx="579">
                  <c:v>MAY.24</c:v>
                </c:pt>
                <c:pt idx="580">
                  <c:v>MAY.24</c:v>
                </c:pt>
                <c:pt idx="581">
                  <c:v>MAY.24</c:v>
                </c:pt>
                <c:pt idx="582">
                  <c:v>MAY.24</c:v>
                </c:pt>
                <c:pt idx="583">
                  <c:v>MAY.24</c:v>
                </c:pt>
                <c:pt idx="584">
                  <c:v>MAY.24</c:v>
                </c:pt>
                <c:pt idx="585">
                  <c:v>MAY.24</c:v>
                </c:pt>
                <c:pt idx="586">
                  <c:v>MAY.24</c:v>
                </c:pt>
                <c:pt idx="587">
                  <c:v>MAY.24</c:v>
                </c:pt>
                <c:pt idx="588">
                  <c:v>MAY.24</c:v>
                </c:pt>
                <c:pt idx="589">
                  <c:v>MAY.24</c:v>
                </c:pt>
                <c:pt idx="590">
                  <c:v>MAY.24</c:v>
                </c:pt>
                <c:pt idx="591">
                  <c:v>MAY.24</c:v>
                </c:pt>
                <c:pt idx="592">
                  <c:v>MAY.24</c:v>
                </c:pt>
                <c:pt idx="593">
                  <c:v>MAY.24</c:v>
                </c:pt>
                <c:pt idx="594">
                  <c:v>MAY.24</c:v>
                </c:pt>
                <c:pt idx="595">
                  <c:v>MAY.24</c:v>
                </c:pt>
                <c:pt idx="596">
                  <c:v>MAY.24</c:v>
                </c:pt>
                <c:pt idx="597">
                  <c:v>MAY.24</c:v>
                </c:pt>
                <c:pt idx="598">
                  <c:v>MAY.24</c:v>
                </c:pt>
                <c:pt idx="599">
                  <c:v>MAY.24</c:v>
                </c:pt>
                <c:pt idx="600">
                  <c:v>MAY.24</c:v>
                </c:pt>
                <c:pt idx="601">
                  <c:v>MAY.24</c:v>
                </c:pt>
                <c:pt idx="602">
                  <c:v>MAY.24</c:v>
                </c:pt>
                <c:pt idx="603">
                  <c:v>MAY.24</c:v>
                </c:pt>
                <c:pt idx="604">
                  <c:v>MAY.24</c:v>
                </c:pt>
                <c:pt idx="605">
                  <c:v>MAY.24</c:v>
                </c:pt>
                <c:pt idx="606">
                  <c:v>MAY.24</c:v>
                </c:pt>
                <c:pt idx="607">
                  <c:v>MAY.24</c:v>
                </c:pt>
                <c:pt idx="608">
                  <c:v>MAY.24</c:v>
                </c:pt>
                <c:pt idx="609">
                  <c:v>MAY.24</c:v>
                </c:pt>
                <c:pt idx="610">
                  <c:v>MAY.24</c:v>
                </c:pt>
                <c:pt idx="611">
                  <c:v>MAY.24</c:v>
                </c:pt>
                <c:pt idx="612">
                  <c:v>MAY.24</c:v>
                </c:pt>
                <c:pt idx="613">
                  <c:v>MAY.24</c:v>
                </c:pt>
                <c:pt idx="614">
                  <c:v>MAY.24</c:v>
                </c:pt>
                <c:pt idx="615">
                  <c:v>MAY.24</c:v>
                </c:pt>
                <c:pt idx="616">
                  <c:v>MAY.24</c:v>
                </c:pt>
                <c:pt idx="617">
                  <c:v>MAY.24</c:v>
                </c:pt>
                <c:pt idx="618">
                  <c:v>MAY.24</c:v>
                </c:pt>
                <c:pt idx="619">
                  <c:v>MAY.24</c:v>
                </c:pt>
                <c:pt idx="620">
                  <c:v>MAY.24</c:v>
                </c:pt>
                <c:pt idx="621">
                  <c:v>MAY.24</c:v>
                </c:pt>
                <c:pt idx="622">
                  <c:v>MAY.24</c:v>
                </c:pt>
                <c:pt idx="623">
                  <c:v>MAY.24</c:v>
                </c:pt>
                <c:pt idx="624">
                  <c:v>MAY.24</c:v>
                </c:pt>
                <c:pt idx="625">
                  <c:v>MAY.24</c:v>
                </c:pt>
                <c:pt idx="626">
                  <c:v>MAY.24</c:v>
                </c:pt>
                <c:pt idx="627">
                  <c:v>MAY.24</c:v>
                </c:pt>
                <c:pt idx="628">
                  <c:v>MAY.24</c:v>
                </c:pt>
                <c:pt idx="629">
                  <c:v>MAY.24</c:v>
                </c:pt>
                <c:pt idx="630">
                  <c:v>MAY.24</c:v>
                </c:pt>
                <c:pt idx="631">
                  <c:v>MAY.24</c:v>
                </c:pt>
                <c:pt idx="632">
                  <c:v>MAY.24</c:v>
                </c:pt>
                <c:pt idx="633">
                  <c:v>MAY.24</c:v>
                </c:pt>
                <c:pt idx="634">
                  <c:v>MAY.24</c:v>
                </c:pt>
                <c:pt idx="635">
                  <c:v>MAY.24</c:v>
                </c:pt>
                <c:pt idx="636">
                  <c:v>MAY.24</c:v>
                </c:pt>
                <c:pt idx="637">
                  <c:v>MAY.24</c:v>
                </c:pt>
                <c:pt idx="638">
                  <c:v>MAY.24</c:v>
                </c:pt>
                <c:pt idx="639">
                  <c:v>MAY.24</c:v>
                </c:pt>
                <c:pt idx="640">
                  <c:v>MAY.24</c:v>
                </c:pt>
                <c:pt idx="641">
                  <c:v>MAY.24</c:v>
                </c:pt>
                <c:pt idx="642">
                  <c:v>MAY.24</c:v>
                </c:pt>
                <c:pt idx="643">
                  <c:v>MAY.24</c:v>
                </c:pt>
                <c:pt idx="644">
                  <c:v>MAY.24</c:v>
                </c:pt>
                <c:pt idx="645">
                  <c:v>MAY.24</c:v>
                </c:pt>
                <c:pt idx="646">
                  <c:v>MAY.24</c:v>
                </c:pt>
                <c:pt idx="647">
                  <c:v>MAY.24</c:v>
                </c:pt>
                <c:pt idx="648">
                  <c:v>MAY.24</c:v>
                </c:pt>
                <c:pt idx="649">
                  <c:v>MAY.24</c:v>
                </c:pt>
                <c:pt idx="650">
                  <c:v>MAY.24</c:v>
                </c:pt>
                <c:pt idx="651">
                  <c:v>MAY.24</c:v>
                </c:pt>
                <c:pt idx="652">
                  <c:v>MAY.24</c:v>
                </c:pt>
                <c:pt idx="653">
                  <c:v>MAY.24</c:v>
                </c:pt>
                <c:pt idx="654">
                  <c:v>MAY.24</c:v>
                </c:pt>
                <c:pt idx="655">
                  <c:v>MAY.24</c:v>
                </c:pt>
                <c:pt idx="656">
                  <c:v>MAY.24</c:v>
                </c:pt>
                <c:pt idx="657">
                  <c:v>MAY.24</c:v>
                </c:pt>
                <c:pt idx="658">
                  <c:v>MAY.24</c:v>
                </c:pt>
                <c:pt idx="659">
                  <c:v>MAY.24</c:v>
                </c:pt>
                <c:pt idx="660">
                  <c:v>MAY.24</c:v>
                </c:pt>
                <c:pt idx="661">
                  <c:v>MAY.24</c:v>
                </c:pt>
                <c:pt idx="662">
                  <c:v>MAY.24</c:v>
                </c:pt>
                <c:pt idx="663">
                  <c:v>MAY.24</c:v>
                </c:pt>
                <c:pt idx="664">
                  <c:v>MAY.24</c:v>
                </c:pt>
                <c:pt idx="665">
                  <c:v>MAY.24</c:v>
                </c:pt>
                <c:pt idx="666">
                  <c:v>MAY.24</c:v>
                </c:pt>
                <c:pt idx="667">
                  <c:v>MAY.24</c:v>
                </c:pt>
                <c:pt idx="668">
                  <c:v>MAY.24</c:v>
                </c:pt>
                <c:pt idx="669">
                  <c:v>MAY.24</c:v>
                </c:pt>
                <c:pt idx="670">
                  <c:v>MAY.24</c:v>
                </c:pt>
                <c:pt idx="671">
                  <c:v>MAY.24</c:v>
                </c:pt>
                <c:pt idx="672">
                  <c:v>MAY.24</c:v>
                </c:pt>
                <c:pt idx="673">
                  <c:v>MAY.24</c:v>
                </c:pt>
                <c:pt idx="674">
                  <c:v>MAY.24</c:v>
                </c:pt>
                <c:pt idx="675">
                  <c:v>MAY.24</c:v>
                </c:pt>
                <c:pt idx="676">
                  <c:v>MAY.24</c:v>
                </c:pt>
                <c:pt idx="677">
                  <c:v>MAY.24</c:v>
                </c:pt>
                <c:pt idx="678">
                  <c:v>MAY.24</c:v>
                </c:pt>
                <c:pt idx="679">
                  <c:v>MAY.24</c:v>
                </c:pt>
                <c:pt idx="680">
                  <c:v>MAY.24</c:v>
                </c:pt>
                <c:pt idx="681">
                  <c:v>MAY.24 after disaster</c:v>
                </c:pt>
                <c:pt idx="682">
                  <c:v>MAY.24</c:v>
                </c:pt>
                <c:pt idx="683">
                  <c:v>MAY.24</c:v>
                </c:pt>
                <c:pt idx="684">
                  <c:v>MAY.24</c:v>
                </c:pt>
                <c:pt idx="685">
                  <c:v>MAY.24</c:v>
                </c:pt>
                <c:pt idx="686">
                  <c:v>MAY.24</c:v>
                </c:pt>
                <c:pt idx="687">
                  <c:v>MAY.24</c:v>
                </c:pt>
                <c:pt idx="688">
                  <c:v>MAY.24</c:v>
                </c:pt>
                <c:pt idx="689">
                  <c:v>MAY.24</c:v>
                </c:pt>
                <c:pt idx="690">
                  <c:v>MAY.24</c:v>
                </c:pt>
                <c:pt idx="691">
                  <c:v>MAY.24</c:v>
                </c:pt>
                <c:pt idx="692">
                  <c:v>MAY.24</c:v>
                </c:pt>
                <c:pt idx="693">
                  <c:v>MAY.24</c:v>
                </c:pt>
                <c:pt idx="694">
                  <c:v>MAY.24</c:v>
                </c:pt>
                <c:pt idx="695">
                  <c:v>MAY.24</c:v>
                </c:pt>
                <c:pt idx="696">
                  <c:v>MAY.24 recovery</c:v>
                </c:pt>
                <c:pt idx="697">
                  <c:v>MAY.24</c:v>
                </c:pt>
                <c:pt idx="698">
                  <c:v>MAY.24</c:v>
                </c:pt>
                <c:pt idx="699">
                  <c:v>MAY.24</c:v>
                </c:pt>
                <c:pt idx="700">
                  <c:v>MAY.24</c:v>
                </c:pt>
                <c:pt idx="701">
                  <c:v>MAY.24</c:v>
                </c:pt>
                <c:pt idx="702">
                  <c:v>MAY.24</c:v>
                </c:pt>
                <c:pt idx="703">
                  <c:v>MAY.24</c:v>
                </c:pt>
                <c:pt idx="704">
                  <c:v>MAY.24</c:v>
                </c:pt>
                <c:pt idx="705">
                  <c:v>MAY.24</c:v>
                </c:pt>
                <c:pt idx="706">
                  <c:v>MAY.24</c:v>
                </c:pt>
                <c:pt idx="707">
                  <c:v>MAY.24</c:v>
                </c:pt>
                <c:pt idx="708">
                  <c:v>MAY.24</c:v>
                </c:pt>
                <c:pt idx="709">
                  <c:v>MAY.24</c:v>
                </c:pt>
                <c:pt idx="710">
                  <c:v>MAY.24</c:v>
                </c:pt>
                <c:pt idx="711">
                  <c:v>MAY.24</c:v>
                </c:pt>
                <c:pt idx="712">
                  <c:v>MAY.24</c:v>
                </c:pt>
                <c:pt idx="713">
                  <c:v>MAY.24</c:v>
                </c:pt>
                <c:pt idx="714">
                  <c:v>MAY.24</c:v>
                </c:pt>
                <c:pt idx="715">
                  <c:v>MAY.24</c:v>
                </c:pt>
                <c:pt idx="716">
                  <c:v>MAY.24</c:v>
                </c:pt>
                <c:pt idx="717">
                  <c:v>MAY.24</c:v>
                </c:pt>
                <c:pt idx="718">
                  <c:v>MAY.24</c:v>
                </c:pt>
                <c:pt idx="719">
                  <c:v>MAY.24</c:v>
                </c:pt>
                <c:pt idx="720">
                  <c:v>MAY.24</c:v>
                </c:pt>
                <c:pt idx="721">
                  <c:v>MAY.24</c:v>
                </c:pt>
                <c:pt idx="722">
                  <c:v>MAY.24</c:v>
                </c:pt>
                <c:pt idx="723">
                  <c:v>MAY.24</c:v>
                </c:pt>
                <c:pt idx="724">
                  <c:v>MAY.24</c:v>
                </c:pt>
                <c:pt idx="725">
                  <c:v>MAY.24</c:v>
                </c:pt>
                <c:pt idx="726">
                  <c:v>MAY.24</c:v>
                </c:pt>
                <c:pt idx="727">
                  <c:v>MAY.24</c:v>
                </c:pt>
                <c:pt idx="728">
                  <c:v>MAY.24</c:v>
                </c:pt>
                <c:pt idx="729">
                  <c:v>MAY.24</c:v>
                </c:pt>
                <c:pt idx="730">
                  <c:v>MAY.24</c:v>
                </c:pt>
                <c:pt idx="731">
                  <c:v>June24 live</c:v>
                </c:pt>
                <c:pt idx="732">
                  <c:v>JUN.24</c:v>
                </c:pt>
                <c:pt idx="733">
                  <c:v>JUN.24</c:v>
                </c:pt>
                <c:pt idx="734">
                  <c:v>JUN.24</c:v>
                </c:pt>
                <c:pt idx="735">
                  <c:v>JUN.24</c:v>
                </c:pt>
                <c:pt idx="736">
                  <c:v>JUN.24</c:v>
                </c:pt>
                <c:pt idx="737">
                  <c:v>JUN.24</c:v>
                </c:pt>
                <c:pt idx="738">
                  <c:v>JUN.24</c:v>
                </c:pt>
                <c:pt idx="739">
                  <c:v>JUN.24</c:v>
                </c:pt>
                <c:pt idx="740">
                  <c:v>JUN.24</c:v>
                </c:pt>
                <c:pt idx="741">
                  <c:v>JUN.24</c:v>
                </c:pt>
                <c:pt idx="742">
                  <c:v>JUN.24</c:v>
                </c:pt>
                <c:pt idx="743">
                  <c:v>JUN.24</c:v>
                </c:pt>
                <c:pt idx="744">
                  <c:v>JUN.24</c:v>
                </c:pt>
                <c:pt idx="745">
                  <c:v>JUN.24</c:v>
                </c:pt>
                <c:pt idx="746">
                  <c:v>JUN.24</c:v>
                </c:pt>
                <c:pt idx="747">
                  <c:v>JUN.24</c:v>
                </c:pt>
                <c:pt idx="748">
                  <c:v>JUN.24</c:v>
                </c:pt>
                <c:pt idx="749">
                  <c:v>JUN.24</c:v>
                </c:pt>
                <c:pt idx="750">
                  <c:v>JUN.24</c:v>
                </c:pt>
                <c:pt idx="751">
                  <c:v>JUN.24</c:v>
                </c:pt>
                <c:pt idx="752">
                  <c:v>JUN.24</c:v>
                </c:pt>
                <c:pt idx="753">
                  <c:v>JUN.24</c:v>
                </c:pt>
                <c:pt idx="754">
                  <c:v>JUN.24</c:v>
                </c:pt>
                <c:pt idx="755">
                  <c:v>JUN.24</c:v>
                </c:pt>
                <c:pt idx="756">
                  <c:v>JUN.24</c:v>
                </c:pt>
                <c:pt idx="757">
                  <c:v>JUN.24</c:v>
                </c:pt>
                <c:pt idx="758">
                  <c:v>JUN.24</c:v>
                </c:pt>
                <c:pt idx="759">
                  <c:v>JUN.24</c:v>
                </c:pt>
                <c:pt idx="760">
                  <c:v>JUN.24</c:v>
                </c:pt>
                <c:pt idx="761">
                  <c:v>JUN.24</c:v>
                </c:pt>
                <c:pt idx="762">
                  <c:v>JUN.24</c:v>
                </c:pt>
                <c:pt idx="763">
                  <c:v>JUN.24</c:v>
                </c:pt>
                <c:pt idx="764">
                  <c:v>JUN.24</c:v>
                </c:pt>
                <c:pt idx="765">
                  <c:v>JUN.24</c:v>
                </c:pt>
                <c:pt idx="766">
                  <c:v>JUN.24</c:v>
                </c:pt>
                <c:pt idx="767">
                  <c:v>JUN.24</c:v>
                </c:pt>
                <c:pt idx="768">
                  <c:v>JUN.24</c:v>
                </c:pt>
                <c:pt idx="769">
                  <c:v>JUN.24</c:v>
                </c:pt>
                <c:pt idx="770">
                  <c:v>JUN.24</c:v>
                </c:pt>
                <c:pt idx="771">
                  <c:v>JUN.24</c:v>
                </c:pt>
                <c:pt idx="772">
                  <c:v>JUN.24</c:v>
                </c:pt>
                <c:pt idx="773">
                  <c:v>JUN.24</c:v>
                </c:pt>
                <c:pt idx="774">
                  <c:v>JUN.24</c:v>
                </c:pt>
                <c:pt idx="775">
                  <c:v>JUN.24</c:v>
                </c:pt>
                <c:pt idx="776">
                  <c:v>JUN.24</c:v>
                </c:pt>
                <c:pt idx="777">
                  <c:v>JUN.24</c:v>
                </c:pt>
                <c:pt idx="778">
                  <c:v>JUN.24</c:v>
                </c:pt>
                <c:pt idx="779">
                  <c:v>JUN.24</c:v>
                </c:pt>
                <c:pt idx="780">
                  <c:v>JUN.24</c:v>
                </c:pt>
                <c:pt idx="781">
                  <c:v>JUN.24</c:v>
                </c:pt>
                <c:pt idx="782">
                  <c:v>JUN.24</c:v>
                </c:pt>
                <c:pt idx="783">
                  <c:v>JUN.24</c:v>
                </c:pt>
                <c:pt idx="784">
                  <c:v>JUN.24</c:v>
                </c:pt>
                <c:pt idx="785">
                  <c:v>JUN.24</c:v>
                </c:pt>
                <c:pt idx="786">
                  <c:v>JUN.24</c:v>
                </c:pt>
                <c:pt idx="787">
                  <c:v>JUN.24</c:v>
                </c:pt>
                <c:pt idx="788">
                  <c:v>JUN.24</c:v>
                </c:pt>
                <c:pt idx="789">
                  <c:v>JUN.24</c:v>
                </c:pt>
                <c:pt idx="790">
                  <c:v>JUN.24</c:v>
                </c:pt>
                <c:pt idx="791">
                  <c:v>JUN.24</c:v>
                </c:pt>
                <c:pt idx="792">
                  <c:v>JUN.24</c:v>
                </c:pt>
                <c:pt idx="793">
                  <c:v>JUN.24</c:v>
                </c:pt>
                <c:pt idx="794">
                  <c:v>JUN.24</c:v>
                </c:pt>
                <c:pt idx="795">
                  <c:v>JUN.24</c:v>
                </c:pt>
                <c:pt idx="796">
                  <c:v>JUN.24</c:v>
                </c:pt>
                <c:pt idx="797">
                  <c:v>JUN.24</c:v>
                </c:pt>
                <c:pt idx="798">
                  <c:v>JUN.24</c:v>
                </c:pt>
                <c:pt idx="799">
                  <c:v>JUN.24</c:v>
                </c:pt>
                <c:pt idx="800">
                  <c:v>JUN.24</c:v>
                </c:pt>
                <c:pt idx="801">
                  <c:v>JUN.24</c:v>
                </c:pt>
                <c:pt idx="802">
                  <c:v>JUN.24</c:v>
                </c:pt>
                <c:pt idx="803">
                  <c:v>JUN.24</c:v>
                </c:pt>
                <c:pt idx="804">
                  <c:v>JUN.24</c:v>
                </c:pt>
                <c:pt idx="805">
                  <c:v>JUN.24</c:v>
                </c:pt>
                <c:pt idx="806">
                  <c:v>JUN.24</c:v>
                </c:pt>
                <c:pt idx="807">
                  <c:v>JUN.24</c:v>
                </c:pt>
                <c:pt idx="808">
                  <c:v>JUN.24</c:v>
                </c:pt>
                <c:pt idx="809">
                  <c:v>JUN.24</c:v>
                </c:pt>
                <c:pt idx="810">
                  <c:v>JUN.24</c:v>
                </c:pt>
                <c:pt idx="811">
                  <c:v>JUN.24</c:v>
                </c:pt>
                <c:pt idx="812">
                  <c:v>JUN.24</c:v>
                </c:pt>
                <c:pt idx="813">
                  <c:v>JUN.24</c:v>
                </c:pt>
                <c:pt idx="814">
                  <c:v>JUN.24</c:v>
                </c:pt>
                <c:pt idx="815">
                  <c:v>JUN.24</c:v>
                </c:pt>
                <c:pt idx="816">
                  <c:v>JUN.24</c:v>
                </c:pt>
                <c:pt idx="817">
                  <c:v>JUN.24</c:v>
                </c:pt>
                <c:pt idx="818">
                  <c:v>JUN.24</c:v>
                </c:pt>
                <c:pt idx="819">
                  <c:v>JUN.24</c:v>
                </c:pt>
                <c:pt idx="820">
                  <c:v>JUN.24</c:v>
                </c:pt>
                <c:pt idx="821">
                  <c:v>JUN.24</c:v>
                </c:pt>
                <c:pt idx="822">
                  <c:v>JUN.24</c:v>
                </c:pt>
                <c:pt idx="823">
                  <c:v>JUN.24</c:v>
                </c:pt>
                <c:pt idx="824">
                  <c:v>JUN.24</c:v>
                </c:pt>
                <c:pt idx="825">
                  <c:v>JUN.24</c:v>
                </c:pt>
                <c:pt idx="826">
                  <c:v>JUN.24</c:v>
                </c:pt>
                <c:pt idx="827">
                  <c:v>JUN.24</c:v>
                </c:pt>
                <c:pt idx="828">
                  <c:v>JUN.24</c:v>
                </c:pt>
                <c:pt idx="829">
                  <c:v>JUN.24</c:v>
                </c:pt>
                <c:pt idx="830">
                  <c:v>JUN.24</c:v>
                </c:pt>
                <c:pt idx="831">
                  <c:v>JUN.24</c:v>
                </c:pt>
                <c:pt idx="832">
                  <c:v>JUN.24</c:v>
                </c:pt>
                <c:pt idx="833">
                  <c:v>JUN.24</c:v>
                </c:pt>
                <c:pt idx="834">
                  <c:v>JUN.24</c:v>
                </c:pt>
                <c:pt idx="835">
                  <c:v>JUN.24</c:v>
                </c:pt>
                <c:pt idx="836">
                  <c:v>JUN.24</c:v>
                </c:pt>
                <c:pt idx="837">
                  <c:v>JUN.24</c:v>
                </c:pt>
                <c:pt idx="838">
                  <c:v>JUN.24</c:v>
                </c:pt>
                <c:pt idx="839">
                  <c:v>JUN.24</c:v>
                </c:pt>
                <c:pt idx="840">
                  <c:v>JUN.24</c:v>
                </c:pt>
                <c:pt idx="841">
                  <c:v>JUN.24</c:v>
                </c:pt>
                <c:pt idx="842">
                  <c:v>JUN.24</c:v>
                </c:pt>
                <c:pt idx="843">
                  <c:v>JUN.24</c:v>
                </c:pt>
                <c:pt idx="844">
                  <c:v>JUN.24</c:v>
                </c:pt>
                <c:pt idx="845">
                  <c:v>JUN.24</c:v>
                </c:pt>
                <c:pt idx="846">
                  <c:v>JUN.24</c:v>
                </c:pt>
                <c:pt idx="847">
                  <c:v>JUN.24</c:v>
                </c:pt>
                <c:pt idx="848">
                  <c:v>JUN.24</c:v>
                </c:pt>
                <c:pt idx="849">
                  <c:v>JUN.24</c:v>
                </c:pt>
                <c:pt idx="850">
                  <c:v>JUN.24</c:v>
                </c:pt>
                <c:pt idx="851">
                  <c:v>JUN.24</c:v>
                </c:pt>
                <c:pt idx="852">
                  <c:v>JUN.24</c:v>
                </c:pt>
                <c:pt idx="853">
                  <c:v>JUN.24</c:v>
                </c:pt>
                <c:pt idx="854">
                  <c:v>JUN.24</c:v>
                </c:pt>
                <c:pt idx="855">
                  <c:v>JUN.24</c:v>
                </c:pt>
                <c:pt idx="856">
                  <c:v>JUN.24</c:v>
                </c:pt>
                <c:pt idx="857">
                  <c:v>JUN.24</c:v>
                </c:pt>
                <c:pt idx="858">
                  <c:v>JUN.24</c:v>
                </c:pt>
                <c:pt idx="859">
                  <c:v>JUN.24</c:v>
                </c:pt>
                <c:pt idx="860">
                  <c:v>JUN.24</c:v>
                </c:pt>
                <c:pt idx="861">
                  <c:v>JUN.24</c:v>
                </c:pt>
                <c:pt idx="862">
                  <c:v>JUN.24</c:v>
                </c:pt>
                <c:pt idx="863">
                  <c:v>JUN.24</c:v>
                </c:pt>
                <c:pt idx="864">
                  <c:v>JUN.24</c:v>
                </c:pt>
                <c:pt idx="865">
                  <c:v>JUN.24</c:v>
                </c:pt>
                <c:pt idx="866">
                  <c:v>JUN.24</c:v>
                </c:pt>
                <c:pt idx="867">
                  <c:v>JUN.24</c:v>
                </c:pt>
                <c:pt idx="868">
                  <c:v>JUN.24</c:v>
                </c:pt>
                <c:pt idx="869">
                  <c:v>JUN.24</c:v>
                </c:pt>
                <c:pt idx="870">
                  <c:v>JUN.24</c:v>
                </c:pt>
                <c:pt idx="871">
                  <c:v>JUN.24</c:v>
                </c:pt>
                <c:pt idx="872">
                  <c:v>JUN.24</c:v>
                </c:pt>
                <c:pt idx="873">
                  <c:v>JUN.24</c:v>
                </c:pt>
                <c:pt idx="874">
                  <c:v>JUN.24</c:v>
                </c:pt>
                <c:pt idx="875">
                  <c:v>JUN.24</c:v>
                </c:pt>
                <c:pt idx="876">
                  <c:v>JUN.24</c:v>
                </c:pt>
                <c:pt idx="877">
                  <c:v>JUN.24</c:v>
                </c:pt>
                <c:pt idx="878">
                  <c:v>JUN.24</c:v>
                </c:pt>
                <c:pt idx="879">
                  <c:v>JUN.24 BLOWUP</c:v>
                </c:pt>
                <c:pt idx="880">
                  <c:v>JUN.24</c:v>
                </c:pt>
                <c:pt idx="881">
                  <c:v>JUN.24</c:v>
                </c:pt>
                <c:pt idx="882">
                  <c:v>JUN.24</c:v>
                </c:pt>
                <c:pt idx="883">
                  <c:v>JUN.24</c:v>
                </c:pt>
                <c:pt idx="884">
                  <c:v>JUN.24</c:v>
                </c:pt>
                <c:pt idx="885">
                  <c:v>JUN.24</c:v>
                </c:pt>
                <c:pt idx="886">
                  <c:v>JUN.24</c:v>
                </c:pt>
                <c:pt idx="887">
                  <c:v>JUN.24</c:v>
                </c:pt>
                <c:pt idx="888">
                  <c:v>July24 live (R+1) | REDUCE INTRADAY &gt;1D TRADES</c:v>
                </c:pt>
                <c:pt idx="889">
                  <c:v>JUL.24</c:v>
                </c:pt>
                <c:pt idx="890">
                  <c:v>JUL.24</c:v>
                </c:pt>
                <c:pt idx="891">
                  <c:v>JUL.24</c:v>
                </c:pt>
                <c:pt idx="892">
                  <c:v>JUL.24</c:v>
                </c:pt>
                <c:pt idx="893">
                  <c:v>JUL.24</c:v>
                </c:pt>
                <c:pt idx="894">
                  <c:v>JUL.24</c:v>
                </c:pt>
                <c:pt idx="895">
                  <c:v>JUL.24</c:v>
                </c:pt>
                <c:pt idx="896">
                  <c:v>JUL.24</c:v>
                </c:pt>
                <c:pt idx="897">
                  <c:v>JUL.24</c:v>
                </c:pt>
                <c:pt idx="898">
                  <c:v>JUL.24</c:v>
                </c:pt>
                <c:pt idx="899">
                  <c:v>JUL.24</c:v>
                </c:pt>
                <c:pt idx="900">
                  <c:v>JUL.24</c:v>
                </c:pt>
                <c:pt idx="901">
                  <c:v>JUL.24</c:v>
                </c:pt>
                <c:pt idx="902">
                  <c:v>JUL.24</c:v>
                </c:pt>
                <c:pt idx="903">
                  <c:v>JUL.24</c:v>
                </c:pt>
                <c:pt idx="904">
                  <c:v>JUL.24</c:v>
                </c:pt>
                <c:pt idx="905">
                  <c:v>JUL.24</c:v>
                </c:pt>
                <c:pt idx="906">
                  <c:v>JUL.24</c:v>
                </c:pt>
                <c:pt idx="907">
                  <c:v>JUL.24</c:v>
                </c:pt>
                <c:pt idx="908">
                  <c:v>JUL.24</c:v>
                </c:pt>
                <c:pt idx="909">
                  <c:v>JUL.24</c:v>
                </c:pt>
                <c:pt idx="910">
                  <c:v>JUL.24</c:v>
                </c:pt>
                <c:pt idx="911">
                  <c:v>JUL.24</c:v>
                </c:pt>
                <c:pt idx="912">
                  <c:v>JUL.24</c:v>
                </c:pt>
                <c:pt idx="913">
                  <c:v>JUL.24</c:v>
                </c:pt>
                <c:pt idx="914">
                  <c:v>JUL.24</c:v>
                </c:pt>
                <c:pt idx="915">
                  <c:v>JUL.24</c:v>
                </c:pt>
                <c:pt idx="916">
                  <c:v>JUL.24</c:v>
                </c:pt>
                <c:pt idx="917">
                  <c:v>JUL.24</c:v>
                </c:pt>
                <c:pt idx="918">
                  <c:v>JUL.24</c:v>
                </c:pt>
                <c:pt idx="919">
                  <c:v>JUL.24</c:v>
                </c:pt>
                <c:pt idx="920">
                  <c:v>JUL.24</c:v>
                </c:pt>
                <c:pt idx="921">
                  <c:v>JUL.24</c:v>
                </c:pt>
                <c:pt idx="922">
                  <c:v>JUL.24</c:v>
                </c:pt>
                <c:pt idx="923">
                  <c:v>JUL.24</c:v>
                </c:pt>
                <c:pt idx="924">
                  <c:v>JUL.24</c:v>
                </c:pt>
                <c:pt idx="925">
                  <c:v>JUL.24</c:v>
                </c:pt>
                <c:pt idx="926">
                  <c:v>JUL.24</c:v>
                </c:pt>
                <c:pt idx="927">
                  <c:v>JUL.24</c:v>
                </c:pt>
                <c:pt idx="928">
                  <c:v>JUL.24</c:v>
                </c:pt>
                <c:pt idx="929">
                  <c:v>JUL.24</c:v>
                </c:pt>
                <c:pt idx="930">
                  <c:v>JUL.24</c:v>
                </c:pt>
                <c:pt idx="931">
                  <c:v>JUL.24</c:v>
                </c:pt>
                <c:pt idx="932">
                  <c:v>JUL.24</c:v>
                </c:pt>
                <c:pt idx="933">
                  <c:v>JUL.24</c:v>
                </c:pt>
                <c:pt idx="934">
                  <c:v>JUL.24</c:v>
                </c:pt>
                <c:pt idx="935">
                  <c:v>JUL.24</c:v>
                </c:pt>
                <c:pt idx="936">
                  <c:v>JUL.24</c:v>
                </c:pt>
                <c:pt idx="937">
                  <c:v>JUL.24</c:v>
                </c:pt>
                <c:pt idx="938">
                  <c:v>JUL.24</c:v>
                </c:pt>
                <c:pt idx="939">
                  <c:v>JUL.24</c:v>
                </c:pt>
                <c:pt idx="940">
                  <c:v>JUL.24</c:v>
                </c:pt>
                <c:pt idx="941">
                  <c:v>JUL.24</c:v>
                </c:pt>
                <c:pt idx="942">
                  <c:v>JUL.24</c:v>
                </c:pt>
                <c:pt idx="943">
                  <c:v>JUL.24</c:v>
                </c:pt>
                <c:pt idx="944">
                  <c:v>JUL.24</c:v>
                </c:pt>
                <c:pt idx="945">
                  <c:v>JUL.24</c:v>
                </c:pt>
                <c:pt idx="946">
                  <c:v>JUL.24</c:v>
                </c:pt>
                <c:pt idx="947">
                  <c:v>JUL.24</c:v>
                </c:pt>
                <c:pt idx="948">
                  <c:v>JUL.24</c:v>
                </c:pt>
                <c:pt idx="949">
                  <c:v>JUL.24</c:v>
                </c:pt>
                <c:pt idx="950">
                  <c:v>JUL.24</c:v>
                </c:pt>
                <c:pt idx="951">
                  <c:v>JUL.24</c:v>
                </c:pt>
                <c:pt idx="952">
                  <c:v>JUL.24</c:v>
                </c:pt>
                <c:pt idx="953">
                  <c:v>JUL.24</c:v>
                </c:pt>
                <c:pt idx="954">
                  <c:v>JUL.24</c:v>
                </c:pt>
                <c:pt idx="955">
                  <c:v>JUL.24</c:v>
                </c:pt>
                <c:pt idx="956">
                  <c:v>JUL.24</c:v>
                </c:pt>
                <c:pt idx="957">
                  <c:v>JUL.24</c:v>
                </c:pt>
                <c:pt idx="958">
                  <c:v>JUL.24</c:v>
                </c:pt>
                <c:pt idx="959">
                  <c:v>JUL.24</c:v>
                </c:pt>
                <c:pt idx="960">
                  <c:v>JUL.24</c:v>
                </c:pt>
                <c:pt idx="961">
                  <c:v>JUL.24</c:v>
                </c:pt>
                <c:pt idx="962">
                  <c:v>JUL.24</c:v>
                </c:pt>
                <c:pt idx="963">
                  <c:v>JUL.24</c:v>
                </c:pt>
                <c:pt idx="964">
                  <c:v>JUL.24</c:v>
                </c:pt>
                <c:pt idx="965">
                  <c:v>JUL.24</c:v>
                </c:pt>
                <c:pt idx="966">
                  <c:v>JUL.24</c:v>
                </c:pt>
                <c:pt idx="967">
                  <c:v>JUL.24</c:v>
                </c:pt>
                <c:pt idx="968">
                  <c:v>JUL.24</c:v>
                </c:pt>
                <c:pt idx="969">
                  <c:v>JUL.24</c:v>
                </c:pt>
                <c:pt idx="970">
                  <c:v>JUL.24</c:v>
                </c:pt>
                <c:pt idx="971">
                  <c:v>JUL.24</c:v>
                </c:pt>
                <c:pt idx="972">
                  <c:v>JUL.24</c:v>
                </c:pt>
                <c:pt idx="973">
                  <c:v>JUL.24</c:v>
                </c:pt>
                <c:pt idx="974">
                  <c:v>JUL.24</c:v>
                </c:pt>
                <c:pt idx="975">
                  <c:v>JUL.24</c:v>
                </c:pt>
                <c:pt idx="976">
                  <c:v>JUL.24</c:v>
                </c:pt>
                <c:pt idx="977">
                  <c:v>JUL.24</c:v>
                </c:pt>
                <c:pt idx="978">
                  <c:v>JUL.24</c:v>
                </c:pt>
                <c:pt idx="979">
                  <c:v>JUL.24</c:v>
                </c:pt>
                <c:pt idx="980">
                  <c:v>JUL.24</c:v>
                </c:pt>
                <c:pt idx="981">
                  <c:v>JUL.24</c:v>
                </c:pt>
                <c:pt idx="982">
                  <c:v>JUL.24</c:v>
                </c:pt>
                <c:pt idx="983">
                  <c:v>JUL.24</c:v>
                </c:pt>
                <c:pt idx="984">
                  <c:v>JUL.24</c:v>
                </c:pt>
                <c:pt idx="985">
                  <c:v>JUL.24</c:v>
                </c:pt>
                <c:pt idx="986">
                  <c:v>JUL.24</c:v>
                </c:pt>
                <c:pt idx="987">
                  <c:v>JUL.24</c:v>
                </c:pt>
                <c:pt idx="988">
                  <c:v>JUL.24</c:v>
                </c:pt>
                <c:pt idx="989">
                  <c:v>August24 live (R-1) | REDUCE LOT SIZING 2ND HALF AND ONLY EXITS IN 2ND HALF</c:v>
                </c:pt>
                <c:pt idx="990">
                  <c:v>AUG.24</c:v>
                </c:pt>
                <c:pt idx="991">
                  <c:v>AUG.24</c:v>
                </c:pt>
                <c:pt idx="992">
                  <c:v>AUG.24.II</c:v>
                </c:pt>
                <c:pt idx="993">
                  <c:v>AUG.24</c:v>
                </c:pt>
                <c:pt idx="994">
                  <c:v>AUG.24</c:v>
                </c:pt>
                <c:pt idx="995">
                  <c:v>AUG.24</c:v>
                </c:pt>
                <c:pt idx="996">
                  <c:v>AUG.24</c:v>
                </c:pt>
                <c:pt idx="997">
                  <c:v>AUG.24</c:v>
                </c:pt>
                <c:pt idx="998">
                  <c:v>AUG.24</c:v>
                </c:pt>
                <c:pt idx="999">
                  <c:v>AUG.24</c:v>
                </c:pt>
                <c:pt idx="1000">
                  <c:v>AUG.24</c:v>
                </c:pt>
                <c:pt idx="1001">
                  <c:v>AUG.24.II</c:v>
                </c:pt>
                <c:pt idx="1002">
                  <c:v>AUG.24.II</c:v>
                </c:pt>
                <c:pt idx="1003">
                  <c:v>AUG.24</c:v>
                </c:pt>
                <c:pt idx="1004">
                  <c:v>AUG.24</c:v>
                </c:pt>
                <c:pt idx="1005">
                  <c:v>AUG.24</c:v>
                </c:pt>
                <c:pt idx="1006">
                  <c:v>AUG.24.II</c:v>
                </c:pt>
                <c:pt idx="1007">
                  <c:v>AUG.24.II</c:v>
                </c:pt>
                <c:pt idx="1008">
                  <c:v>AUG.24</c:v>
                </c:pt>
                <c:pt idx="1009">
                  <c:v>AUG.24</c:v>
                </c:pt>
                <c:pt idx="1010">
                  <c:v>AUG.24</c:v>
                </c:pt>
                <c:pt idx="1011">
                  <c:v>AUG.24</c:v>
                </c:pt>
                <c:pt idx="1012">
                  <c:v>AUG.24</c:v>
                </c:pt>
                <c:pt idx="1013">
                  <c:v>AUG.24</c:v>
                </c:pt>
                <c:pt idx="1014">
                  <c:v>AUG.24</c:v>
                </c:pt>
                <c:pt idx="1015">
                  <c:v>AUG.24</c:v>
                </c:pt>
                <c:pt idx="1016">
                  <c:v>AUG.24</c:v>
                </c:pt>
                <c:pt idx="1017">
                  <c:v>AUG.24</c:v>
                </c:pt>
                <c:pt idx="1018">
                  <c:v>AUG.24</c:v>
                </c:pt>
                <c:pt idx="1019">
                  <c:v>AUG.24</c:v>
                </c:pt>
                <c:pt idx="1020">
                  <c:v>AUG.24</c:v>
                </c:pt>
                <c:pt idx="1021">
                  <c:v>AUG.24</c:v>
                </c:pt>
                <c:pt idx="1022">
                  <c:v>AUG.24</c:v>
                </c:pt>
                <c:pt idx="1023">
                  <c:v>AUG.24</c:v>
                </c:pt>
                <c:pt idx="1024">
                  <c:v>AUG.24</c:v>
                </c:pt>
                <c:pt idx="1025">
                  <c:v>AUG.24</c:v>
                </c:pt>
                <c:pt idx="1026">
                  <c:v>AUG.24</c:v>
                </c:pt>
                <c:pt idx="1027">
                  <c:v>AUG.24.II</c:v>
                </c:pt>
                <c:pt idx="1028">
                  <c:v>AUG.24</c:v>
                </c:pt>
                <c:pt idx="1029">
                  <c:v>AUG.24</c:v>
                </c:pt>
                <c:pt idx="1030">
                  <c:v>AUG.24</c:v>
                </c:pt>
                <c:pt idx="1031">
                  <c:v>AUG.24</c:v>
                </c:pt>
                <c:pt idx="1032">
                  <c:v>AUG.24</c:v>
                </c:pt>
                <c:pt idx="1033">
                  <c:v>AUG.24</c:v>
                </c:pt>
                <c:pt idx="1034">
                  <c:v>AUG.24</c:v>
                </c:pt>
                <c:pt idx="1035">
                  <c:v>AUG.24</c:v>
                </c:pt>
                <c:pt idx="1036">
                  <c:v>AUG.24</c:v>
                </c:pt>
                <c:pt idx="1037">
                  <c:v>AUG.24</c:v>
                </c:pt>
                <c:pt idx="1038">
                  <c:v>AUG.24</c:v>
                </c:pt>
                <c:pt idx="1039">
                  <c:v>AUG.24</c:v>
                </c:pt>
                <c:pt idx="1040">
                  <c:v>AUG.24</c:v>
                </c:pt>
                <c:pt idx="1041">
                  <c:v>AUG.24</c:v>
                </c:pt>
                <c:pt idx="1042">
                  <c:v>AUG.24</c:v>
                </c:pt>
                <c:pt idx="1043">
                  <c:v>AUG.24</c:v>
                </c:pt>
                <c:pt idx="1044">
                  <c:v>AUG.24</c:v>
                </c:pt>
                <c:pt idx="1045">
                  <c:v>AUG.24</c:v>
                </c:pt>
                <c:pt idx="1046">
                  <c:v>AUG.24</c:v>
                </c:pt>
                <c:pt idx="1047">
                  <c:v>AUG.24</c:v>
                </c:pt>
                <c:pt idx="1048">
                  <c:v>AUG.24</c:v>
                </c:pt>
                <c:pt idx="1049">
                  <c:v>AUG.24</c:v>
                </c:pt>
                <c:pt idx="1050">
                  <c:v>AUG.24</c:v>
                </c:pt>
                <c:pt idx="1051">
                  <c:v>AUG.24</c:v>
                </c:pt>
                <c:pt idx="1052">
                  <c:v>AUG.24</c:v>
                </c:pt>
                <c:pt idx="1053">
                  <c:v>AUG.24</c:v>
                </c:pt>
                <c:pt idx="1054">
                  <c:v>AUG.24</c:v>
                </c:pt>
                <c:pt idx="1055">
                  <c:v>AUG.24</c:v>
                </c:pt>
                <c:pt idx="1056">
                  <c:v>AUG.24</c:v>
                </c:pt>
                <c:pt idx="1057">
                  <c:v>AUG.24</c:v>
                </c:pt>
                <c:pt idx="1058">
                  <c:v>AUG.24</c:v>
                </c:pt>
                <c:pt idx="1059">
                  <c:v>AUG.24</c:v>
                </c:pt>
                <c:pt idx="1060">
                  <c:v>AUG.24</c:v>
                </c:pt>
                <c:pt idx="1061">
                  <c:v>AUG.24</c:v>
                </c:pt>
                <c:pt idx="1062">
                  <c:v>AUG.24</c:v>
                </c:pt>
                <c:pt idx="1063">
                  <c:v>AUG.24</c:v>
                </c:pt>
                <c:pt idx="1064">
                  <c:v>AUG.24</c:v>
                </c:pt>
                <c:pt idx="1065">
                  <c:v>AUG.24</c:v>
                </c:pt>
                <c:pt idx="1066">
                  <c:v>AUG.24</c:v>
                </c:pt>
                <c:pt idx="1067">
                  <c:v>AUG.24</c:v>
                </c:pt>
                <c:pt idx="1068">
                  <c:v>AUG.24</c:v>
                </c:pt>
                <c:pt idx="1069">
                  <c:v>AUG.24</c:v>
                </c:pt>
                <c:pt idx="1070">
                  <c:v>AUG.24</c:v>
                </c:pt>
                <c:pt idx="1071">
                  <c:v>AUG.24</c:v>
                </c:pt>
                <c:pt idx="1072">
                  <c:v>AUG.24</c:v>
                </c:pt>
                <c:pt idx="1073">
                  <c:v>AUG.24</c:v>
                </c:pt>
                <c:pt idx="1074">
                  <c:v>AUG.24</c:v>
                </c:pt>
                <c:pt idx="1075">
                  <c:v>AUG.24</c:v>
                </c:pt>
                <c:pt idx="1076">
                  <c:v>AUG.24</c:v>
                </c:pt>
                <c:pt idx="1077">
                  <c:v>AUG.24</c:v>
                </c:pt>
                <c:pt idx="1078">
                  <c:v>AUG.24</c:v>
                </c:pt>
                <c:pt idx="1079">
                  <c:v>AUG.24</c:v>
                </c:pt>
                <c:pt idx="1080">
                  <c:v>AUG.24</c:v>
                </c:pt>
                <c:pt idx="1081">
                  <c:v>AUG.24</c:v>
                </c:pt>
                <c:pt idx="1082">
                  <c:v>AUG.24</c:v>
                </c:pt>
                <c:pt idx="1083">
                  <c:v>AUG.24</c:v>
                </c:pt>
                <c:pt idx="1084">
                  <c:v>AUG.24</c:v>
                </c:pt>
                <c:pt idx="1085">
                  <c:v>AUG.24</c:v>
                </c:pt>
                <c:pt idx="1086">
                  <c:v>September24 live (R) | REDUCE LOT SIZING 1ST HALF, AVOID POSITIONAL </c:v>
                </c:pt>
                <c:pt idx="1087">
                  <c:v>SEP.24</c:v>
                </c:pt>
                <c:pt idx="1088">
                  <c:v>SEP.24</c:v>
                </c:pt>
                <c:pt idx="1089">
                  <c:v>SEP.24</c:v>
                </c:pt>
                <c:pt idx="1090">
                  <c:v>SEP.24</c:v>
                </c:pt>
                <c:pt idx="1091">
                  <c:v>SEP.24</c:v>
                </c:pt>
                <c:pt idx="1092">
                  <c:v>SEP.24</c:v>
                </c:pt>
                <c:pt idx="1093">
                  <c:v>SEP.24</c:v>
                </c:pt>
                <c:pt idx="1094">
                  <c:v>SEP.24</c:v>
                </c:pt>
                <c:pt idx="1095">
                  <c:v>SEP.24</c:v>
                </c:pt>
                <c:pt idx="1096">
                  <c:v>SEP.24</c:v>
                </c:pt>
                <c:pt idx="1097">
                  <c:v>SEP.24</c:v>
                </c:pt>
                <c:pt idx="1098">
                  <c:v>SEP.24</c:v>
                </c:pt>
                <c:pt idx="1099">
                  <c:v>SEP.24</c:v>
                </c:pt>
                <c:pt idx="1100">
                  <c:v>SEP.24</c:v>
                </c:pt>
                <c:pt idx="1101">
                  <c:v>SEP.24</c:v>
                </c:pt>
                <c:pt idx="1102">
                  <c:v>SEP.24</c:v>
                </c:pt>
                <c:pt idx="1103">
                  <c:v>SEP.24</c:v>
                </c:pt>
                <c:pt idx="1104">
                  <c:v>SEP.24</c:v>
                </c:pt>
                <c:pt idx="1105">
                  <c:v>SEP.24</c:v>
                </c:pt>
                <c:pt idx="1106">
                  <c:v>SEP.24</c:v>
                </c:pt>
                <c:pt idx="1107">
                  <c:v>SEP.24</c:v>
                </c:pt>
                <c:pt idx="1108">
                  <c:v>SEP.24</c:v>
                </c:pt>
                <c:pt idx="1109">
                  <c:v>SEP.24</c:v>
                </c:pt>
                <c:pt idx="1110">
                  <c:v>SEP.24</c:v>
                </c:pt>
                <c:pt idx="1111">
                  <c:v>SEP.24</c:v>
                </c:pt>
                <c:pt idx="1112">
                  <c:v>SEP.24</c:v>
                </c:pt>
                <c:pt idx="1113">
                  <c:v>SEP.24</c:v>
                </c:pt>
                <c:pt idx="1114">
                  <c:v>SEP.24</c:v>
                </c:pt>
                <c:pt idx="1115">
                  <c:v>SEP.24</c:v>
                </c:pt>
                <c:pt idx="1116">
                  <c:v>SEP.24</c:v>
                </c:pt>
                <c:pt idx="1117">
                  <c:v>SEP.24</c:v>
                </c:pt>
                <c:pt idx="1118">
                  <c:v>SEP.24</c:v>
                </c:pt>
                <c:pt idx="1119">
                  <c:v>SEP.24</c:v>
                </c:pt>
                <c:pt idx="1120">
                  <c:v>SEP.24</c:v>
                </c:pt>
                <c:pt idx="1121">
                  <c:v>SEP.24</c:v>
                </c:pt>
                <c:pt idx="1122">
                  <c:v>SEP.24</c:v>
                </c:pt>
                <c:pt idx="1123">
                  <c:v>SEP.24</c:v>
                </c:pt>
                <c:pt idx="1124">
                  <c:v>SEP.24</c:v>
                </c:pt>
                <c:pt idx="1125">
                  <c:v>October24 live (R+1) | REDUCE INTRADAY &gt;1D TRADES</c:v>
                </c:pt>
                <c:pt idx="1126">
                  <c:v>OCT.24</c:v>
                </c:pt>
                <c:pt idx="1127">
                  <c:v>OCT.24</c:v>
                </c:pt>
                <c:pt idx="1128">
                  <c:v>OCT.24</c:v>
                </c:pt>
                <c:pt idx="1129">
                  <c:v>OCT.24</c:v>
                </c:pt>
                <c:pt idx="1130">
                  <c:v>OCT.24</c:v>
                </c:pt>
                <c:pt idx="1131">
                  <c:v>OCT.24</c:v>
                </c:pt>
                <c:pt idx="1132">
                  <c:v>OCT.24</c:v>
                </c:pt>
                <c:pt idx="1133">
                  <c:v>OCT.24</c:v>
                </c:pt>
                <c:pt idx="1134">
                  <c:v>OCT.24</c:v>
                </c:pt>
                <c:pt idx="1135">
                  <c:v>OCT.24</c:v>
                </c:pt>
                <c:pt idx="1136">
                  <c:v>OCT.24</c:v>
                </c:pt>
                <c:pt idx="1137">
                  <c:v>OCT.24</c:v>
                </c:pt>
                <c:pt idx="1138">
                  <c:v>OCT.24</c:v>
                </c:pt>
                <c:pt idx="1139">
                  <c:v>OCT.24</c:v>
                </c:pt>
                <c:pt idx="1140">
                  <c:v>OCT.24</c:v>
                </c:pt>
                <c:pt idx="1141">
                  <c:v>OCT.24</c:v>
                </c:pt>
                <c:pt idx="1142">
                  <c:v>OCT.24</c:v>
                </c:pt>
                <c:pt idx="1143">
                  <c:v>OCT.24</c:v>
                </c:pt>
                <c:pt idx="1144">
                  <c:v>OCT.24</c:v>
                </c:pt>
                <c:pt idx="1145">
                  <c:v>OCT.24</c:v>
                </c:pt>
                <c:pt idx="1146">
                  <c:v>OCT.24</c:v>
                </c:pt>
                <c:pt idx="1147">
                  <c:v>OCT.24</c:v>
                </c:pt>
                <c:pt idx="1148">
                  <c:v>OCT.24</c:v>
                </c:pt>
                <c:pt idx="1149">
                  <c:v>OCT.24</c:v>
                </c:pt>
                <c:pt idx="1150">
                  <c:v>OCT.24</c:v>
                </c:pt>
                <c:pt idx="1151">
                  <c:v>OCT.24</c:v>
                </c:pt>
                <c:pt idx="1152">
                  <c:v>OCT.24</c:v>
                </c:pt>
                <c:pt idx="1153">
                  <c:v>OCT.24</c:v>
                </c:pt>
                <c:pt idx="1154">
                  <c:v>OCT.24</c:v>
                </c:pt>
                <c:pt idx="1155">
                  <c:v>OCT.24</c:v>
                </c:pt>
                <c:pt idx="1156">
                  <c:v>OCT.24</c:v>
                </c:pt>
                <c:pt idx="1157">
                  <c:v>OCT.24</c:v>
                </c:pt>
                <c:pt idx="1158">
                  <c:v>OCT.24</c:v>
                </c:pt>
                <c:pt idx="1159">
                  <c:v>OCT.24</c:v>
                </c:pt>
                <c:pt idx="1160">
                  <c:v>OCT.24</c:v>
                </c:pt>
                <c:pt idx="1161">
                  <c:v>OCT.24</c:v>
                </c:pt>
                <c:pt idx="1162">
                  <c:v>OCT.24</c:v>
                </c:pt>
                <c:pt idx="1163">
                  <c:v>OCT.24</c:v>
                </c:pt>
                <c:pt idx="1164">
                  <c:v>OCT.24</c:v>
                </c:pt>
                <c:pt idx="1165">
                  <c:v>OCT.24</c:v>
                </c:pt>
                <c:pt idx="1166">
                  <c:v>OCT.24</c:v>
                </c:pt>
                <c:pt idx="1167">
                  <c:v>OCT.24</c:v>
                </c:pt>
                <c:pt idx="1168">
                  <c:v>OCT.24</c:v>
                </c:pt>
                <c:pt idx="1169">
                  <c:v>OCT.24</c:v>
                </c:pt>
                <c:pt idx="1170">
                  <c:v>OCT.24</c:v>
                </c:pt>
                <c:pt idx="1171">
                  <c:v>OCT.24</c:v>
                </c:pt>
                <c:pt idx="1172">
                  <c:v>OCT.24</c:v>
                </c:pt>
                <c:pt idx="1173">
                  <c:v>OCT.24</c:v>
                </c:pt>
                <c:pt idx="1174">
                  <c:v>OCT.24</c:v>
                </c:pt>
                <c:pt idx="1175">
                  <c:v>OCT.24</c:v>
                </c:pt>
                <c:pt idx="1176">
                  <c:v>OCT.24</c:v>
                </c:pt>
                <c:pt idx="1177">
                  <c:v>OCT.24</c:v>
                </c:pt>
                <c:pt idx="1178">
                  <c:v>OCT.24</c:v>
                </c:pt>
                <c:pt idx="1179">
                  <c:v>OCT.24</c:v>
                </c:pt>
                <c:pt idx="1180">
                  <c:v>OCT.24</c:v>
                </c:pt>
                <c:pt idx="1181">
                  <c:v>OCT.24</c:v>
                </c:pt>
                <c:pt idx="1182">
                  <c:v>OCT.24</c:v>
                </c:pt>
                <c:pt idx="1183">
                  <c:v>OCT.24</c:v>
                </c:pt>
                <c:pt idx="1184">
                  <c:v>OCT.24</c:v>
                </c:pt>
                <c:pt idx="1185">
                  <c:v>OCT.24</c:v>
                </c:pt>
                <c:pt idx="1186">
                  <c:v>OCT.24</c:v>
                </c:pt>
                <c:pt idx="1187">
                  <c:v>OCT.24</c:v>
                </c:pt>
                <c:pt idx="1188">
                  <c:v>OCT.24</c:v>
                </c:pt>
                <c:pt idx="1189">
                  <c:v>OCT.24</c:v>
                </c:pt>
                <c:pt idx="1190">
                  <c:v>OCT.24</c:v>
                </c:pt>
                <c:pt idx="1191">
                  <c:v>OCT.24</c:v>
                </c:pt>
                <c:pt idx="1192">
                  <c:v>OCT.24</c:v>
                </c:pt>
                <c:pt idx="1193">
                  <c:v>OCT.24</c:v>
                </c:pt>
                <c:pt idx="1194">
                  <c:v>OCT.24</c:v>
                </c:pt>
                <c:pt idx="1195">
                  <c:v>OCT.24</c:v>
                </c:pt>
                <c:pt idx="1196">
                  <c:v>OCT.24</c:v>
                </c:pt>
                <c:pt idx="1197">
                  <c:v>OCT.24</c:v>
                </c:pt>
                <c:pt idx="1198">
                  <c:v>OCT.24</c:v>
                </c:pt>
                <c:pt idx="1199">
                  <c:v>OCT.24</c:v>
                </c:pt>
                <c:pt idx="1200">
                  <c:v>OCT.24</c:v>
                </c:pt>
                <c:pt idx="1201">
                  <c:v>OCT.24</c:v>
                </c:pt>
                <c:pt idx="1202">
                  <c:v>OCT.24</c:v>
                </c:pt>
                <c:pt idx="1203">
                  <c:v>OCT.24</c:v>
                </c:pt>
                <c:pt idx="1204">
                  <c:v>OCT.24</c:v>
                </c:pt>
                <c:pt idx="1205">
                  <c:v>OCT.24</c:v>
                </c:pt>
                <c:pt idx="1206">
                  <c:v>OCT.24</c:v>
                </c:pt>
                <c:pt idx="1207">
                  <c:v>OCT.24</c:v>
                </c:pt>
                <c:pt idx="1208">
                  <c:v>OCT.24</c:v>
                </c:pt>
                <c:pt idx="1209">
                  <c:v>OCT.24</c:v>
                </c:pt>
                <c:pt idx="1210">
                  <c:v>OCT.24</c:v>
                </c:pt>
                <c:pt idx="1211">
                  <c:v>OCT.24</c:v>
                </c:pt>
                <c:pt idx="1212">
                  <c:v>OCT.24</c:v>
                </c:pt>
                <c:pt idx="1213">
                  <c:v>OCT.24</c:v>
                </c:pt>
                <c:pt idx="1214">
                  <c:v>November24 live EPILOGUE 1</c:v>
                </c:pt>
                <c:pt idx="1215">
                  <c:v>NOV.24</c:v>
                </c:pt>
                <c:pt idx="1216">
                  <c:v>NOV.24</c:v>
                </c:pt>
                <c:pt idx="1217">
                  <c:v>NOV.24</c:v>
                </c:pt>
                <c:pt idx="1218">
                  <c:v>NOV.24</c:v>
                </c:pt>
                <c:pt idx="1219">
                  <c:v>NOV.24</c:v>
                </c:pt>
                <c:pt idx="1220">
                  <c:v>NOV.24</c:v>
                </c:pt>
                <c:pt idx="1221">
                  <c:v>NOV.24</c:v>
                </c:pt>
                <c:pt idx="1222">
                  <c:v>NOV.24</c:v>
                </c:pt>
                <c:pt idx="1223">
                  <c:v>NOV.24</c:v>
                </c:pt>
                <c:pt idx="1224">
                  <c:v>NOV.24</c:v>
                </c:pt>
                <c:pt idx="1225">
                  <c:v>NOV.24</c:v>
                </c:pt>
                <c:pt idx="1226">
                  <c:v>NOV.24</c:v>
                </c:pt>
                <c:pt idx="1227">
                  <c:v>NOV.24</c:v>
                </c:pt>
                <c:pt idx="1228">
                  <c:v>NOV.24</c:v>
                </c:pt>
                <c:pt idx="1229">
                  <c:v>NOV.24</c:v>
                </c:pt>
                <c:pt idx="1230">
                  <c:v>NOV.24</c:v>
                </c:pt>
                <c:pt idx="1231">
                  <c:v>NOV.24</c:v>
                </c:pt>
                <c:pt idx="1232">
                  <c:v>NOV.24</c:v>
                </c:pt>
                <c:pt idx="1233">
                  <c:v>NOV.24</c:v>
                </c:pt>
                <c:pt idx="1234">
                  <c:v>NOV.24</c:v>
                </c:pt>
                <c:pt idx="1235">
                  <c:v>NOV.24</c:v>
                </c:pt>
                <c:pt idx="1236">
                  <c:v>NOV.24</c:v>
                </c:pt>
                <c:pt idx="1237">
                  <c:v>NOV.24</c:v>
                </c:pt>
              </c:strCache>
            </c:strRef>
          </c:cat>
          <c:val>
            <c:numRef>
              <c:f>'Journal Live'!$BO$1388:$BO$2630</c:f>
              <c:numCache>
                <c:formatCode>General</c:formatCode>
                <c:ptCount val="1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-159.99999999999957</c:v>
                </c:pt>
                <c:pt idx="17">
                  <c:v>-159.99999999999957</c:v>
                </c:pt>
                <c:pt idx="18">
                  <c:v>-159.99999999999957</c:v>
                </c:pt>
                <c:pt idx="19">
                  <c:v>-159.99999999999957</c:v>
                </c:pt>
                <c:pt idx="20">
                  <c:v>-159.99999999999957</c:v>
                </c:pt>
                <c:pt idx="21">
                  <c:v>-159.99999999999957</c:v>
                </c:pt>
                <c:pt idx="22">
                  <c:v>-159.99999999999957</c:v>
                </c:pt>
                <c:pt idx="23">
                  <c:v>-159.99999999999957</c:v>
                </c:pt>
                <c:pt idx="24">
                  <c:v>-159.99999999999957</c:v>
                </c:pt>
                <c:pt idx="25">
                  <c:v>-159.99999999999957</c:v>
                </c:pt>
                <c:pt idx="26">
                  <c:v>-159.99999999999957</c:v>
                </c:pt>
                <c:pt idx="27">
                  <c:v>-159.99999999999957</c:v>
                </c:pt>
                <c:pt idx="28">
                  <c:v>-159.99999999999957</c:v>
                </c:pt>
                <c:pt idx="29">
                  <c:v>-159.99999999999957</c:v>
                </c:pt>
                <c:pt idx="30">
                  <c:v>-159.99999999999957</c:v>
                </c:pt>
                <c:pt idx="31">
                  <c:v>-159.99999999999957</c:v>
                </c:pt>
                <c:pt idx="32">
                  <c:v>-159.99999999999957</c:v>
                </c:pt>
                <c:pt idx="33">
                  <c:v>-159.99999999999957</c:v>
                </c:pt>
                <c:pt idx="34">
                  <c:v>-64.000000000000071</c:v>
                </c:pt>
                <c:pt idx="35">
                  <c:v>224</c:v>
                </c:pt>
                <c:pt idx="36">
                  <c:v>224</c:v>
                </c:pt>
                <c:pt idx="37">
                  <c:v>224</c:v>
                </c:pt>
                <c:pt idx="38">
                  <c:v>224</c:v>
                </c:pt>
                <c:pt idx="39">
                  <c:v>224</c:v>
                </c:pt>
                <c:pt idx="40">
                  <c:v>224</c:v>
                </c:pt>
                <c:pt idx="41">
                  <c:v>224</c:v>
                </c:pt>
                <c:pt idx="42">
                  <c:v>224</c:v>
                </c:pt>
                <c:pt idx="43">
                  <c:v>224</c:v>
                </c:pt>
                <c:pt idx="44">
                  <c:v>224</c:v>
                </c:pt>
                <c:pt idx="45">
                  <c:v>224</c:v>
                </c:pt>
                <c:pt idx="46">
                  <c:v>224</c:v>
                </c:pt>
                <c:pt idx="47">
                  <c:v>224</c:v>
                </c:pt>
                <c:pt idx="48">
                  <c:v>224</c:v>
                </c:pt>
                <c:pt idx="49">
                  <c:v>1008.0000000000002</c:v>
                </c:pt>
                <c:pt idx="50">
                  <c:v>1008.0000000000002</c:v>
                </c:pt>
                <c:pt idx="51">
                  <c:v>1008.0000000000002</c:v>
                </c:pt>
                <c:pt idx="52">
                  <c:v>1360.0000000000005</c:v>
                </c:pt>
                <c:pt idx="53">
                  <c:v>1360.0000000000005</c:v>
                </c:pt>
                <c:pt idx="54">
                  <c:v>1360.0000000000005</c:v>
                </c:pt>
                <c:pt idx="55">
                  <c:v>1360.0000000000005</c:v>
                </c:pt>
                <c:pt idx="56">
                  <c:v>1360.0000000000005</c:v>
                </c:pt>
                <c:pt idx="57">
                  <c:v>1360.0000000000005</c:v>
                </c:pt>
                <c:pt idx="58">
                  <c:v>1360.0000000000005</c:v>
                </c:pt>
                <c:pt idx="59">
                  <c:v>1360.0000000000005</c:v>
                </c:pt>
                <c:pt idx="60">
                  <c:v>1360.0000000000005</c:v>
                </c:pt>
                <c:pt idx="61">
                  <c:v>1360.0000000000005</c:v>
                </c:pt>
                <c:pt idx="62">
                  <c:v>1616.0000000000005</c:v>
                </c:pt>
                <c:pt idx="63">
                  <c:v>1616.0000000000005</c:v>
                </c:pt>
                <c:pt idx="64">
                  <c:v>1616.0000000000005</c:v>
                </c:pt>
                <c:pt idx="65">
                  <c:v>1504.0000000000005</c:v>
                </c:pt>
                <c:pt idx="66">
                  <c:v>1504.0000000000005</c:v>
                </c:pt>
                <c:pt idx="67">
                  <c:v>1616.0000000000005</c:v>
                </c:pt>
                <c:pt idx="68">
                  <c:v>1504.0000000000005</c:v>
                </c:pt>
                <c:pt idx="69">
                  <c:v>1504.0000000000005</c:v>
                </c:pt>
                <c:pt idx="70">
                  <c:v>1504.0000000000005</c:v>
                </c:pt>
                <c:pt idx="71">
                  <c:v>1504.0000000000005</c:v>
                </c:pt>
                <c:pt idx="72">
                  <c:v>1504.0000000000005</c:v>
                </c:pt>
                <c:pt idx="73">
                  <c:v>1504.0000000000005</c:v>
                </c:pt>
                <c:pt idx="74">
                  <c:v>1504.0000000000005</c:v>
                </c:pt>
                <c:pt idx="75">
                  <c:v>1504.0000000000005</c:v>
                </c:pt>
                <c:pt idx="76">
                  <c:v>1504.0000000000005</c:v>
                </c:pt>
                <c:pt idx="77">
                  <c:v>1504.0000000000005</c:v>
                </c:pt>
                <c:pt idx="78">
                  <c:v>1504.0000000000005</c:v>
                </c:pt>
                <c:pt idx="79">
                  <c:v>1504.0000000000005</c:v>
                </c:pt>
                <c:pt idx="80">
                  <c:v>1504.0000000000005</c:v>
                </c:pt>
                <c:pt idx="81">
                  <c:v>1504.0000000000005</c:v>
                </c:pt>
                <c:pt idx="82">
                  <c:v>1504.0000000000005</c:v>
                </c:pt>
                <c:pt idx="83">
                  <c:v>1504.0000000000005</c:v>
                </c:pt>
                <c:pt idx="84">
                  <c:v>1504.0000000000005</c:v>
                </c:pt>
                <c:pt idx="85">
                  <c:v>1504.0000000000005</c:v>
                </c:pt>
                <c:pt idx="86">
                  <c:v>1504.0000000000005</c:v>
                </c:pt>
                <c:pt idx="87">
                  <c:v>1504.0000000000005</c:v>
                </c:pt>
                <c:pt idx="88">
                  <c:v>1504.0000000000005</c:v>
                </c:pt>
                <c:pt idx="89">
                  <c:v>1504.0000000000005</c:v>
                </c:pt>
                <c:pt idx="90">
                  <c:v>1504.0000000000005</c:v>
                </c:pt>
                <c:pt idx="91">
                  <c:v>1504.0000000000005</c:v>
                </c:pt>
                <c:pt idx="92">
                  <c:v>1504.0000000000005</c:v>
                </c:pt>
                <c:pt idx="93">
                  <c:v>1504.0000000000005</c:v>
                </c:pt>
                <c:pt idx="94">
                  <c:v>1504.0000000000005</c:v>
                </c:pt>
                <c:pt idx="95">
                  <c:v>1504.0000000000005</c:v>
                </c:pt>
                <c:pt idx="96">
                  <c:v>1504.0000000000005</c:v>
                </c:pt>
                <c:pt idx="97">
                  <c:v>1504.0000000000005</c:v>
                </c:pt>
                <c:pt idx="98">
                  <c:v>1504.0000000000005</c:v>
                </c:pt>
                <c:pt idx="99">
                  <c:v>1504.0000000000005</c:v>
                </c:pt>
                <c:pt idx="100">
                  <c:v>1504.0000000000005</c:v>
                </c:pt>
                <c:pt idx="101">
                  <c:v>1504.0000000000005</c:v>
                </c:pt>
                <c:pt idx="102">
                  <c:v>1504.0000000000005</c:v>
                </c:pt>
                <c:pt idx="103">
                  <c:v>1504.0000000000005</c:v>
                </c:pt>
                <c:pt idx="104">
                  <c:v>1504.0000000000005</c:v>
                </c:pt>
                <c:pt idx="105">
                  <c:v>1504.0000000000005</c:v>
                </c:pt>
                <c:pt idx="106">
                  <c:v>1504.0000000000005</c:v>
                </c:pt>
                <c:pt idx="107">
                  <c:v>1504.0000000000005</c:v>
                </c:pt>
                <c:pt idx="108">
                  <c:v>1504.0000000000005</c:v>
                </c:pt>
                <c:pt idx="109">
                  <c:v>1504.0000000000005</c:v>
                </c:pt>
                <c:pt idx="110">
                  <c:v>1504.0000000000005</c:v>
                </c:pt>
                <c:pt idx="111">
                  <c:v>1504.0000000000005</c:v>
                </c:pt>
                <c:pt idx="112">
                  <c:v>1504.0000000000005</c:v>
                </c:pt>
                <c:pt idx="113">
                  <c:v>1504.0000000000005</c:v>
                </c:pt>
                <c:pt idx="114">
                  <c:v>1504.0000000000005</c:v>
                </c:pt>
                <c:pt idx="115">
                  <c:v>1504.0000000000005</c:v>
                </c:pt>
                <c:pt idx="116">
                  <c:v>1504.0000000000005</c:v>
                </c:pt>
                <c:pt idx="117">
                  <c:v>1504.0000000000005</c:v>
                </c:pt>
                <c:pt idx="118">
                  <c:v>1504.0000000000005</c:v>
                </c:pt>
                <c:pt idx="119">
                  <c:v>1504.0000000000005</c:v>
                </c:pt>
                <c:pt idx="120">
                  <c:v>1504.0000000000005</c:v>
                </c:pt>
                <c:pt idx="121">
                  <c:v>1504.0000000000005</c:v>
                </c:pt>
                <c:pt idx="122">
                  <c:v>1504.0000000000005</c:v>
                </c:pt>
                <c:pt idx="123">
                  <c:v>1504.0000000000005</c:v>
                </c:pt>
                <c:pt idx="124">
                  <c:v>1504.0000000000005</c:v>
                </c:pt>
                <c:pt idx="125">
                  <c:v>1504.0000000000005</c:v>
                </c:pt>
                <c:pt idx="126">
                  <c:v>1504.0000000000005</c:v>
                </c:pt>
                <c:pt idx="127">
                  <c:v>1504.0000000000005</c:v>
                </c:pt>
                <c:pt idx="128">
                  <c:v>1504.0000000000005</c:v>
                </c:pt>
                <c:pt idx="129">
                  <c:v>1504.0000000000005</c:v>
                </c:pt>
                <c:pt idx="130">
                  <c:v>1504.0000000000005</c:v>
                </c:pt>
                <c:pt idx="131">
                  <c:v>5755.5774725271895</c:v>
                </c:pt>
                <c:pt idx="132">
                  <c:v>1504.0000000000005</c:v>
                </c:pt>
                <c:pt idx="133">
                  <c:v>1266.0000000000005</c:v>
                </c:pt>
                <c:pt idx="134">
                  <c:v>1266.0000000000005</c:v>
                </c:pt>
                <c:pt idx="135">
                  <c:v>1504.0000000000005</c:v>
                </c:pt>
                <c:pt idx="136">
                  <c:v>1504.0000000000005</c:v>
                </c:pt>
                <c:pt idx="137">
                  <c:v>1504.0000000000005</c:v>
                </c:pt>
                <c:pt idx="138">
                  <c:v>1266.0000000000005</c:v>
                </c:pt>
                <c:pt idx="139">
                  <c:v>1696.0000000000009</c:v>
                </c:pt>
                <c:pt idx="140">
                  <c:v>1696.0000000000009</c:v>
                </c:pt>
                <c:pt idx="141">
                  <c:v>2590.0000000000009</c:v>
                </c:pt>
                <c:pt idx="142">
                  <c:v>2590.0000000000009</c:v>
                </c:pt>
                <c:pt idx="143">
                  <c:v>2590.0000000000009</c:v>
                </c:pt>
                <c:pt idx="144">
                  <c:v>2590.0000000000009</c:v>
                </c:pt>
                <c:pt idx="145">
                  <c:v>2590.0000000000009</c:v>
                </c:pt>
                <c:pt idx="146">
                  <c:v>2590.0000000000009</c:v>
                </c:pt>
                <c:pt idx="147">
                  <c:v>2590.0000000000009</c:v>
                </c:pt>
                <c:pt idx="148">
                  <c:v>2590.0000000000009</c:v>
                </c:pt>
                <c:pt idx="149">
                  <c:v>2590.0000000000009</c:v>
                </c:pt>
                <c:pt idx="150">
                  <c:v>2590.0000000000009</c:v>
                </c:pt>
                <c:pt idx="151">
                  <c:v>2590.0000000000009</c:v>
                </c:pt>
                <c:pt idx="152">
                  <c:v>1266.0000000000005</c:v>
                </c:pt>
                <c:pt idx="153">
                  <c:v>2590.0000000000009</c:v>
                </c:pt>
                <c:pt idx="154">
                  <c:v>2590.0000000000009</c:v>
                </c:pt>
                <c:pt idx="155">
                  <c:v>2590.0000000000009</c:v>
                </c:pt>
                <c:pt idx="156">
                  <c:v>1266.0000000000005</c:v>
                </c:pt>
                <c:pt idx="157">
                  <c:v>2590.0000000000009</c:v>
                </c:pt>
                <c:pt idx="158">
                  <c:v>2590.0000000000009</c:v>
                </c:pt>
                <c:pt idx="159">
                  <c:v>1266.0000000000005</c:v>
                </c:pt>
                <c:pt idx="160">
                  <c:v>2590.0000000000009</c:v>
                </c:pt>
                <c:pt idx="161">
                  <c:v>2590.0000000000009</c:v>
                </c:pt>
                <c:pt idx="162">
                  <c:v>1266.0000000000005</c:v>
                </c:pt>
                <c:pt idx="163">
                  <c:v>2590.0000000000009</c:v>
                </c:pt>
                <c:pt idx="164">
                  <c:v>2590.0000000000009</c:v>
                </c:pt>
                <c:pt idx="165">
                  <c:v>2590.0000000000009</c:v>
                </c:pt>
                <c:pt idx="166">
                  <c:v>2590.0000000000009</c:v>
                </c:pt>
                <c:pt idx="167">
                  <c:v>2590.0000000000009</c:v>
                </c:pt>
                <c:pt idx="168">
                  <c:v>2590.0000000000009</c:v>
                </c:pt>
                <c:pt idx="169">
                  <c:v>1266.0000000000005</c:v>
                </c:pt>
                <c:pt idx="170">
                  <c:v>2590.0000000000009</c:v>
                </c:pt>
                <c:pt idx="171">
                  <c:v>2670.0000000000009</c:v>
                </c:pt>
                <c:pt idx="172">
                  <c:v>2670.0000000000009</c:v>
                </c:pt>
                <c:pt idx="173">
                  <c:v>2670.0000000000009</c:v>
                </c:pt>
                <c:pt idx="174">
                  <c:v>2670.0000000000009</c:v>
                </c:pt>
                <c:pt idx="175">
                  <c:v>2670.0000000000009</c:v>
                </c:pt>
                <c:pt idx="176">
                  <c:v>2670.0000000000009</c:v>
                </c:pt>
                <c:pt idx="177">
                  <c:v>2670.0000000000009</c:v>
                </c:pt>
                <c:pt idx="178">
                  <c:v>2670.0000000000009</c:v>
                </c:pt>
                <c:pt idx="179">
                  <c:v>1266.0000000000005</c:v>
                </c:pt>
                <c:pt idx="180">
                  <c:v>2670.0000000000009</c:v>
                </c:pt>
                <c:pt idx="181">
                  <c:v>2670.0000000000009</c:v>
                </c:pt>
                <c:pt idx="182">
                  <c:v>2670.0000000000009</c:v>
                </c:pt>
                <c:pt idx="183">
                  <c:v>2670.0000000000009</c:v>
                </c:pt>
                <c:pt idx="184">
                  <c:v>2670.0000000000009</c:v>
                </c:pt>
                <c:pt idx="185">
                  <c:v>2670.0000000000009</c:v>
                </c:pt>
                <c:pt idx="186">
                  <c:v>2670.0000000000009</c:v>
                </c:pt>
                <c:pt idx="187">
                  <c:v>2670.0000000000009</c:v>
                </c:pt>
                <c:pt idx="188">
                  <c:v>2670.0000000000009</c:v>
                </c:pt>
                <c:pt idx="189">
                  <c:v>2670.0000000000009</c:v>
                </c:pt>
                <c:pt idx="190">
                  <c:v>2670.0000000000009</c:v>
                </c:pt>
                <c:pt idx="191">
                  <c:v>2670.0000000000009</c:v>
                </c:pt>
                <c:pt idx="192">
                  <c:v>2670.0000000000009</c:v>
                </c:pt>
                <c:pt idx="193">
                  <c:v>2670.0000000000009</c:v>
                </c:pt>
                <c:pt idx="194">
                  <c:v>2670.0000000000009</c:v>
                </c:pt>
                <c:pt idx="195">
                  <c:v>2670.0000000000009</c:v>
                </c:pt>
                <c:pt idx="196">
                  <c:v>2670.0000000000009</c:v>
                </c:pt>
                <c:pt idx="197">
                  <c:v>2670.0000000000009</c:v>
                </c:pt>
                <c:pt idx="198">
                  <c:v>2670.0000000000009</c:v>
                </c:pt>
                <c:pt idx="199">
                  <c:v>2670.0000000000009</c:v>
                </c:pt>
                <c:pt idx="200">
                  <c:v>2670.0000000000009</c:v>
                </c:pt>
                <c:pt idx="201">
                  <c:v>2670.0000000000009</c:v>
                </c:pt>
                <c:pt idx="202">
                  <c:v>2670.0000000000009</c:v>
                </c:pt>
                <c:pt idx="203">
                  <c:v>2670.0000000000009</c:v>
                </c:pt>
                <c:pt idx="204">
                  <c:v>2670.0000000000009</c:v>
                </c:pt>
                <c:pt idx="205">
                  <c:v>2670.0000000000009</c:v>
                </c:pt>
                <c:pt idx="206">
                  <c:v>2670.0000000000009</c:v>
                </c:pt>
                <c:pt idx="207">
                  <c:v>2670.0000000000009</c:v>
                </c:pt>
                <c:pt idx="208">
                  <c:v>1310.0000000000011</c:v>
                </c:pt>
                <c:pt idx="209">
                  <c:v>2670.0000000000009</c:v>
                </c:pt>
                <c:pt idx="210">
                  <c:v>2670.0000000000009</c:v>
                </c:pt>
                <c:pt idx="211">
                  <c:v>2670.0000000000009</c:v>
                </c:pt>
                <c:pt idx="212">
                  <c:v>2670.0000000000009</c:v>
                </c:pt>
                <c:pt idx="213">
                  <c:v>2670.0000000000009</c:v>
                </c:pt>
                <c:pt idx="214">
                  <c:v>2670.0000000000009</c:v>
                </c:pt>
                <c:pt idx="215">
                  <c:v>2670.0000000000009</c:v>
                </c:pt>
                <c:pt idx="216">
                  <c:v>2670.0000000000009</c:v>
                </c:pt>
                <c:pt idx="217">
                  <c:v>2670.0000000000009</c:v>
                </c:pt>
                <c:pt idx="218">
                  <c:v>2670.0000000000009</c:v>
                </c:pt>
                <c:pt idx="219">
                  <c:v>2670.0000000000009</c:v>
                </c:pt>
                <c:pt idx="220">
                  <c:v>2670.0000000000009</c:v>
                </c:pt>
                <c:pt idx="221">
                  <c:v>2510.0000000000009</c:v>
                </c:pt>
                <c:pt idx="222">
                  <c:v>1310.0000000000011</c:v>
                </c:pt>
                <c:pt idx="223">
                  <c:v>2670.0000000000009</c:v>
                </c:pt>
                <c:pt idx="224">
                  <c:v>2510.0000000000009</c:v>
                </c:pt>
                <c:pt idx="225">
                  <c:v>1310.0000000000011</c:v>
                </c:pt>
                <c:pt idx="226">
                  <c:v>1266.0000000000005</c:v>
                </c:pt>
                <c:pt idx="227">
                  <c:v>1266.0000000000005</c:v>
                </c:pt>
                <c:pt idx="228">
                  <c:v>1266.0000000000005</c:v>
                </c:pt>
                <c:pt idx="229">
                  <c:v>1266.0000000000005</c:v>
                </c:pt>
                <c:pt idx="230">
                  <c:v>1266.0000000000005</c:v>
                </c:pt>
                <c:pt idx="231">
                  <c:v>1266.0000000000005</c:v>
                </c:pt>
                <c:pt idx="232">
                  <c:v>1266.0000000000005</c:v>
                </c:pt>
                <c:pt idx="233">
                  <c:v>1266.0000000000005</c:v>
                </c:pt>
                <c:pt idx="234">
                  <c:v>1266.0000000000005</c:v>
                </c:pt>
                <c:pt idx="235">
                  <c:v>1266.0000000000005</c:v>
                </c:pt>
                <c:pt idx="236">
                  <c:v>1266.0000000000005</c:v>
                </c:pt>
                <c:pt idx="237">
                  <c:v>1266.0000000000005</c:v>
                </c:pt>
                <c:pt idx="238">
                  <c:v>1266.0000000000005</c:v>
                </c:pt>
                <c:pt idx="239">
                  <c:v>1266.0000000000005</c:v>
                </c:pt>
                <c:pt idx="240">
                  <c:v>1266.0000000000005</c:v>
                </c:pt>
                <c:pt idx="241">
                  <c:v>1266.0000000000005</c:v>
                </c:pt>
                <c:pt idx="242">
                  <c:v>1266.0000000000005</c:v>
                </c:pt>
                <c:pt idx="243">
                  <c:v>1266.0000000000005</c:v>
                </c:pt>
                <c:pt idx="244">
                  <c:v>1266.0000000000005</c:v>
                </c:pt>
                <c:pt idx="245">
                  <c:v>1266.0000000000005</c:v>
                </c:pt>
                <c:pt idx="246">
                  <c:v>1266.0000000000005</c:v>
                </c:pt>
                <c:pt idx="247">
                  <c:v>1266.0000000000005</c:v>
                </c:pt>
                <c:pt idx="248">
                  <c:v>1266.0000000000005</c:v>
                </c:pt>
                <c:pt idx="249">
                  <c:v>1266.0000000000005</c:v>
                </c:pt>
                <c:pt idx="250">
                  <c:v>1266.0000000000005</c:v>
                </c:pt>
                <c:pt idx="251">
                  <c:v>1266.0000000000005</c:v>
                </c:pt>
                <c:pt idx="252">
                  <c:v>1266.0000000000005</c:v>
                </c:pt>
                <c:pt idx="253">
                  <c:v>1266.0000000000005</c:v>
                </c:pt>
                <c:pt idx="254">
                  <c:v>1266.0000000000005</c:v>
                </c:pt>
                <c:pt idx="255">
                  <c:v>1266.0000000000005</c:v>
                </c:pt>
                <c:pt idx="256">
                  <c:v>1266.0000000000005</c:v>
                </c:pt>
                <c:pt idx="257">
                  <c:v>1266.0000000000005</c:v>
                </c:pt>
                <c:pt idx="258">
                  <c:v>1266.0000000000005</c:v>
                </c:pt>
                <c:pt idx="259">
                  <c:v>1266.0000000000005</c:v>
                </c:pt>
                <c:pt idx="260">
                  <c:v>2066.0000000000009</c:v>
                </c:pt>
                <c:pt idx="261">
                  <c:v>2066.0000000000009</c:v>
                </c:pt>
                <c:pt idx="262">
                  <c:v>2066.0000000000009</c:v>
                </c:pt>
                <c:pt idx="263">
                  <c:v>2066.0000000000009</c:v>
                </c:pt>
                <c:pt idx="264">
                  <c:v>2066.0000000000009</c:v>
                </c:pt>
                <c:pt idx="265">
                  <c:v>2066.0000000000009</c:v>
                </c:pt>
                <c:pt idx="266">
                  <c:v>4626.0000000000009</c:v>
                </c:pt>
                <c:pt idx="267">
                  <c:v>4626.0000000000009</c:v>
                </c:pt>
                <c:pt idx="268">
                  <c:v>4626.0000000000009</c:v>
                </c:pt>
                <c:pt idx="269">
                  <c:v>4626.0000000000009</c:v>
                </c:pt>
                <c:pt idx="270">
                  <c:v>4626.0000000000009</c:v>
                </c:pt>
                <c:pt idx="271">
                  <c:v>4626.0000000000009</c:v>
                </c:pt>
                <c:pt idx="272">
                  <c:v>4626.0000000000009</c:v>
                </c:pt>
                <c:pt idx="273">
                  <c:v>4626.0000000000009</c:v>
                </c:pt>
                <c:pt idx="274">
                  <c:v>4626.0000000000009</c:v>
                </c:pt>
                <c:pt idx="275">
                  <c:v>4626.0000000000009</c:v>
                </c:pt>
                <c:pt idx="276">
                  <c:v>4626.0000000000009</c:v>
                </c:pt>
                <c:pt idx="277">
                  <c:v>4626.0000000000009</c:v>
                </c:pt>
                <c:pt idx="278">
                  <c:v>4626.0000000000009</c:v>
                </c:pt>
                <c:pt idx="279">
                  <c:v>4626.0000000000009</c:v>
                </c:pt>
                <c:pt idx="280">
                  <c:v>4626.0000000000009</c:v>
                </c:pt>
                <c:pt idx="281">
                  <c:v>4626.0000000000009</c:v>
                </c:pt>
                <c:pt idx="282">
                  <c:v>4626.0000000000009</c:v>
                </c:pt>
                <c:pt idx="283">
                  <c:v>4626.0000000000009</c:v>
                </c:pt>
                <c:pt idx="284">
                  <c:v>4626.0000000000009</c:v>
                </c:pt>
                <c:pt idx="285">
                  <c:v>4626.0000000000009</c:v>
                </c:pt>
                <c:pt idx="286">
                  <c:v>4626.0000000000009</c:v>
                </c:pt>
                <c:pt idx="287">
                  <c:v>4626.0000000000009</c:v>
                </c:pt>
                <c:pt idx="288">
                  <c:v>4626.0000000000009</c:v>
                </c:pt>
                <c:pt idx="289">
                  <c:v>4626.0000000000009</c:v>
                </c:pt>
                <c:pt idx="290">
                  <c:v>4626.0000000000009</c:v>
                </c:pt>
                <c:pt idx="291">
                  <c:v>4626.0000000000009</c:v>
                </c:pt>
                <c:pt idx="292">
                  <c:v>4626.0000000000009</c:v>
                </c:pt>
                <c:pt idx="293">
                  <c:v>4626.0000000000009</c:v>
                </c:pt>
                <c:pt idx="294">
                  <c:v>4626.0000000000009</c:v>
                </c:pt>
                <c:pt idx="295">
                  <c:v>4626.0000000000009</c:v>
                </c:pt>
                <c:pt idx="296">
                  <c:v>4626.0000000000009</c:v>
                </c:pt>
                <c:pt idx="297">
                  <c:v>4626.0000000000009</c:v>
                </c:pt>
                <c:pt idx="298">
                  <c:v>4626.0000000000009</c:v>
                </c:pt>
                <c:pt idx="299">
                  <c:v>4626.0000000000009</c:v>
                </c:pt>
                <c:pt idx="300">
                  <c:v>4626.0000000000009</c:v>
                </c:pt>
                <c:pt idx="301">
                  <c:v>4626.0000000000009</c:v>
                </c:pt>
                <c:pt idx="302">
                  <c:v>4626.0000000000009</c:v>
                </c:pt>
                <c:pt idx="303">
                  <c:v>4626.0000000000009</c:v>
                </c:pt>
                <c:pt idx="304">
                  <c:v>4626.0000000000009</c:v>
                </c:pt>
                <c:pt idx="305">
                  <c:v>4626.0000000000009</c:v>
                </c:pt>
                <c:pt idx="306">
                  <c:v>4626.0000000000009</c:v>
                </c:pt>
                <c:pt idx="307">
                  <c:v>4626.0000000000009</c:v>
                </c:pt>
                <c:pt idx="308">
                  <c:v>4626.0000000000009</c:v>
                </c:pt>
                <c:pt idx="309">
                  <c:v>4626.0000000000009</c:v>
                </c:pt>
                <c:pt idx="310">
                  <c:v>4626.0000000000009</c:v>
                </c:pt>
                <c:pt idx="311">
                  <c:v>4626.0000000000009</c:v>
                </c:pt>
                <c:pt idx="312">
                  <c:v>4626.0000000000009</c:v>
                </c:pt>
                <c:pt idx="313">
                  <c:v>4626.0000000000009</c:v>
                </c:pt>
                <c:pt idx="314">
                  <c:v>4706.0000000000009</c:v>
                </c:pt>
                <c:pt idx="315">
                  <c:v>4706.0000000000009</c:v>
                </c:pt>
                <c:pt idx="316">
                  <c:v>4706.0000000000009</c:v>
                </c:pt>
                <c:pt idx="317">
                  <c:v>4706.0000000000009</c:v>
                </c:pt>
                <c:pt idx="318">
                  <c:v>4706.0000000000009</c:v>
                </c:pt>
                <c:pt idx="319">
                  <c:v>4706.0000000000009</c:v>
                </c:pt>
                <c:pt idx="320">
                  <c:v>4706.0000000000009</c:v>
                </c:pt>
                <c:pt idx="321">
                  <c:v>4706.0000000000009</c:v>
                </c:pt>
                <c:pt idx="322">
                  <c:v>4706.0000000000009</c:v>
                </c:pt>
                <c:pt idx="323">
                  <c:v>4706.0000000000009</c:v>
                </c:pt>
                <c:pt idx="324">
                  <c:v>4706.0000000000009</c:v>
                </c:pt>
                <c:pt idx="325">
                  <c:v>4706.0000000000009</c:v>
                </c:pt>
                <c:pt idx="326">
                  <c:v>4706.0000000000009</c:v>
                </c:pt>
                <c:pt idx="327">
                  <c:v>4706.0000000000009</c:v>
                </c:pt>
                <c:pt idx="328">
                  <c:v>5426.0000000000009</c:v>
                </c:pt>
                <c:pt idx="329">
                  <c:v>5426.0000000000009</c:v>
                </c:pt>
                <c:pt idx="330">
                  <c:v>5426.0000000000009</c:v>
                </c:pt>
                <c:pt idx="331">
                  <c:v>5426.0000000000009</c:v>
                </c:pt>
                <c:pt idx="332">
                  <c:v>5426.0000000000009</c:v>
                </c:pt>
                <c:pt idx="333">
                  <c:v>5426.0000000000009</c:v>
                </c:pt>
                <c:pt idx="334">
                  <c:v>5426.0000000000009</c:v>
                </c:pt>
                <c:pt idx="335">
                  <c:v>5426.0000000000009</c:v>
                </c:pt>
                <c:pt idx="336">
                  <c:v>5426.0000000000009</c:v>
                </c:pt>
                <c:pt idx="337">
                  <c:v>5426.0000000000009</c:v>
                </c:pt>
                <c:pt idx="338">
                  <c:v>5426.0000000000009</c:v>
                </c:pt>
                <c:pt idx="339">
                  <c:v>5426.0000000000009</c:v>
                </c:pt>
                <c:pt idx="340">
                  <c:v>5426.0000000000009</c:v>
                </c:pt>
                <c:pt idx="341">
                  <c:v>5426.0000000000009</c:v>
                </c:pt>
                <c:pt idx="342">
                  <c:v>5426.0000000000009</c:v>
                </c:pt>
                <c:pt idx="343">
                  <c:v>5426.0000000000009</c:v>
                </c:pt>
                <c:pt idx="344">
                  <c:v>5426.0000000000009</c:v>
                </c:pt>
                <c:pt idx="345">
                  <c:v>5426.0000000000009</c:v>
                </c:pt>
                <c:pt idx="346">
                  <c:v>5426.0000000000009</c:v>
                </c:pt>
                <c:pt idx="347">
                  <c:v>5426.0000000000009</c:v>
                </c:pt>
                <c:pt idx="348">
                  <c:v>5426.0000000000009</c:v>
                </c:pt>
                <c:pt idx="349">
                  <c:v>5426.0000000000009</c:v>
                </c:pt>
                <c:pt idx="350">
                  <c:v>5426.0000000000009</c:v>
                </c:pt>
                <c:pt idx="351">
                  <c:v>5426.0000000000009</c:v>
                </c:pt>
                <c:pt idx="352">
                  <c:v>5426.0000000000009</c:v>
                </c:pt>
                <c:pt idx="353">
                  <c:v>5426.0000000000009</c:v>
                </c:pt>
                <c:pt idx="354">
                  <c:v>5426.0000000000009</c:v>
                </c:pt>
                <c:pt idx="355">
                  <c:v>5090.0000000000009</c:v>
                </c:pt>
                <c:pt idx="356">
                  <c:v>5090.0000000000009</c:v>
                </c:pt>
                <c:pt idx="357">
                  <c:v>5090.0000000000009</c:v>
                </c:pt>
                <c:pt idx="358">
                  <c:v>5090.0000000000009</c:v>
                </c:pt>
                <c:pt idx="359">
                  <c:v>5090.0000000000009</c:v>
                </c:pt>
                <c:pt idx="360">
                  <c:v>5090.0000000000009</c:v>
                </c:pt>
                <c:pt idx="361">
                  <c:v>5090.0000000000009</c:v>
                </c:pt>
                <c:pt idx="362">
                  <c:v>5090.0000000000009</c:v>
                </c:pt>
                <c:pt idx="363">
                  <c:v>8210</c:v>
                </c:pt>
                <c:pt idx="364">
                  <c:v>8370</c:v>
                </c:pt>
                <c:pt idx="365">
                  <c:v>8370</c:v>
                </c:pt>
                <c:pt idx="366">
                  <c:v>8370</c:v>
                </c:pt>
                <c:pt idx="367">
                  <c:v>8370</c:v>
                </c:pt>
                <c:pt idx="368">
                  <c:v>8370</c:v>
                </c:pt>
                <c:pt idx="369">
                  <c:v>8370</c:v>
                </c:pt>
                <c:pt idx="370">
                  <c:v>8370</c:v>
                </c:pt>
                <c:pt idx="371">
                  <c:v>8370</c:v>
                </c:pt>
                <c:pt idx="372">
                  <c:v>8370</c:v>
                </c:pt>
                <c:pt idx="373">
                  <c:v>8370</c:v>
                </c:pt>
                <c:pt idx="374">
                  <c:v>8370</c:v>
                </c:pt>
                <c:pt idx="375">
                  <c:v>8370</c:v>
                </c:pt>
                <c:pt idx="376">
                  <c:v>8370</c:v>
                </c:pt>
                <c:pt idx="377">
                  <c:v>8370</c:v>
                </c:pt>
                <c:pt idx="378">
                  <c:v>8370</c:v>
                </c:pt>
                <c:pt idx="379">
                  <c:v>8370</c:v>
                </c:pt>
                <c:pt idx="380">
                  <c:v>8370</c:v>
                </c:pt>
                <c:pt idx="381">
                  <c:v>8370</c:v>
                </c:pt>
                <c:pt idx="382">
                  <c:v>8370</c:v>
                </c:pt>
                <c:pt idx="383">
                  <c:v>8370</c:v>
                </c:pt>
                <c:pt idx="384">
                  <c:v>8210</c:v>
                </c:pt>
                <c:pt idx="385">
                  <c:v>8210</c:v>
                </c:pt>
                <c:pt idx="386">
                  <c:v>8210</c:v>
                </c:pt>
                <c:pt idx="387">
                  <c:v>8210</c:v>
                </c:pt>
                <c:pt idx="388">
                  <c:v>8210</c:v>
                </c:pt>
                <c:pt idx="389">
                  <c:v>8210</c:v>
                </c:pt>
                <c:pt idx="390">
                  <c:v>8210</c:v>
                </c:pt>
                <c:pt idx="391">
                  <c:v>8210</c:v>
                </c:pt>
                <c:pt idx="392">
                  <c:v>8210</c:v>
                </c:pt>
                <c:pt idx="393">
                  <c:v>8210</c:v>
                </c:pt>
                <c:pt idx="394">
                  <c:v>8210</c:v>
                </c:pt>
                <c:pt idx="395">
                  <c:v>8210</c:v>
                </c:pt>
                <c:pt idx="396">
                  <c:v>8210</c:v>
                </c:pt>
                <c:pt idx="397">
                  <c:v>8210</c:v>
                </c:pt>
                <c:pt idx="398">
                  <c:v>8210</c:v>
                </c:pt>
                <c:pt idx="399">
                  <c:v>8210</c:v>
                </c:pt>
                <c:pt idx="400">
                  <c:v>8210</c:v>
                </c:pt>
                <c:pt idx="401">
                  <c:v>8210</c:v>
                </c:pt>
                <c:pt idx="402">
                  <c:v>8210</c:v>
                </c:pt>
                <c:pt idx="403">
                  <c:v>8210</c:v>
                </c:pt>
                <c:pt idx="404">
                  <c:v>8210</c:v>
                </c:pt>
                <c:pt idx="405">
                  <c:v>8210</c:v>
                </c:pt>
                <c:pt idx="406">
                  <c:v>8210</c:v>
                </c:pt>
                <c:pt idx="407">
                  <c:v>8210</c:v>
                </c:pt>
                <c:pt idx="408">
                  <c:v>8210</c:v>
                </c:pt>
                <c:pt idx="409">
                  <c:v>8210</c:v>
                </c:pt>
                <c:pt idx="410">
                  <c:v>8210</c:v>
                </c:pt>
                <c:pt idx="411">
                  <c:v>8210</c:v>
                </c:pt>
                <c:pt idx="412">
                  <c:v>8210</c:v>
                </c:pt>
                <c:pt idx="413">
                  <c:v>8210</c:v>
                </c:pt>
                <c:pt idx="414">
                  <c:v>8210</c:v>
                </c:pt>
                <c:pt idx="415">
                  <c:v>8210</c:v>
                </c:pt>
                <c:pt idx="416">
                  <c:v>8210</c:v>
                </c:pt>
                <c:pt idx="417">
                  <c:v>8210</c:v>
                </c:pt>
                <c:pt idx="418">
                  <c:v>8210</c:v>
                </c:pt>
                <c:pt idx="419">
                  <c:v>8210</c:v>
                </c:pt>
                <c:pt idx="420">
                  <c:v>8690</c:v>
                </c:pt>
                <c:pt idx="421">
                  <c:v>9590</c:v>
                </c:pt>
                <c:pt idx="422">
                  <c:v>9590</c:v>
                </c:pt>
                <c:pt idx="423">
                  <c:v>9590</c:v>
                </c:pt>
                <c:pt idx="424">
                  <c:v>9590</c:v>
                </c:pt>
                <c:pt idx="425">
                  <c:v>9590</c:v>
                </c:pt>
                <c:pt idx="426">
                  <c:v>9590</c:v>
                </c:pt>
                <c:pt idx="427">
                  <c:v>9270</c:v>
                </c:pt>
                <c:pt idx="428">
                  <c:v>9270</c:v>
                </c:pt>
                <c:pt idx="429">
                  <c:v>9270</c:v>
                </c:pt>
                <c:pt idx="430">
                  <c:v>9270</c:v>
                </c:pt>
                <c:pt idx="431">
                  <c:v>9270</c:v>
                </c:pt>
                <c:pt idx="432">
                  <c:v>9270</c:v>
                </c:pt>
                <c:pt idx="433">
                  <c:v>9270</c:v>
                </c:pt>
                <c:pt idx="434">
                  <c:v>9270</c:v>
                </c:pt>
                <c:pt idx="435">
                  <c:v>9270</c:v>
                </c:pt>
                <c:pt idx="436">
                  <c:v>9270</c:v>
                </c:pt>
                <c:pt idx="437">
                  <c:v>9270</c:v>
                </c:pt>
                <c:pt idx="438">
                  <c:v>9270</c:v>
                </c:pt>
                <c:pt idx="439">
                  <c:v>9270</c:v>
                </c:pt>
                <c:pt idx="440">
                  <c:v>9270</c:v>
                </c:pt>
                <c:pt idx="441">
                  <c:v>9270</c:v>
                </c:pt>
                <c:pt idx="442">
                  <c:v>10070</c:v>
                </c:pt>
                <c:pt idx="443">
                  <c:v>10070</c:v>
                </c:pt>
                <c:pt idx="444">
                  <c:v>10950</c:v>
                </c:pt>
                <c:pt idx="445">
                  <c:v>10950</c:v>
                </c:pt>
                <c:pt idx="446">
                  <c:v>10950</c:v>
                </c:pt>
                <c:pt idx="447">
                  <c:v>12150</c:v>
                </c:pt>
                <c:pt idx="448">
                  <c:v>12150</c:v>
                </c:pt>
                <c:pt idx="449">
                  <c:v>12150</c:v>
                </c:pt>
                <c:pt idx="450">
                  <c:v>12150</c:v>
                </c:pt>
                <c:pt idx="451">
                  <c:v>12150</c:v>
                </c:pt>
                <c:pt idx="452">
                  <c:v>12150</c:v>
                </c:pt>
                <c:pt idx="453">
                  <c:v>12150</c:v>
                </c:pt>
                <c:pt idx="454">
                  <c:v>12150</c:v>
                </c:pt>
                <c:pt idx="455">
                  <c:v>12150</c:v>
                </c:pt>
                <c:pt idx="456">
                  <c:v>12150</c:v>
                </c:pt>
                <c:pt idx="457">
                  <c:v>12150</c:v>
                </c:pt>
                <c:pt idx="458">
                  <c:v>12150</c:v>
                </c:pt>
                <c:pt idx="459">
                  <c:v>12150</c:v>
                </c:pt>
                <c:pt idx="460">
                  <c:v>12150</c:v>
                </c:pt>
                <c:pt idx="461">
                  <c:v>12150</c:v>
                </c:pt>
                <c:pt idx="462">
                  <c:v>12150</c:v>
                </c:pt>
                <c:pt idx="463">
                  <c:v>12150</c:v>
                </c:pt>
                <c:pt idx="464">
                  <c:v>12150</c:v>
                </c:pt>
                <c:pt idx="465">
                  <c:v>12150</c:v>
                </c:pt>
                <c:pt idx="466">
                  <c:v>12150</c:v>
                </c:pt>
                <c:pt idx="467">
                  <c:v>12150</c:v>
                </c:pt>
                <c:pt idx="468">
                  <c:v>12150</c:v>
                </c:pt>
                <c:pt idx="469">
                  <c:v>12150</c:v>
                </c:pt>
                <c:pt idx="470">
                  <c:v>12150</c:v>
                </c:pt>
                <c:pt idx="471">
                  <c:v>12150</c:v>
                </c:pt>
                <c:pt idx="472">
                  <c:v>12150</c:v>
                </c:pt>
                <c:pt idx="473">
                  <c:v>12150</c:v>
                </c:pt>
                <c:pt idx="474">
                  <c:v>12150</c:v>
                </c:pt>
                <c:pt idx="475">
                  <c:v>12150</c:v>
                </c:pt>
                <c:pt idx="476">
                  <c:v>12150</c:v>
                </c:pt>
                <c:pt idx="477">
                  <c:v>12150</c:v>
                </c:pt>
                <c:pt idx="478">
                  <c:v>12150</c:v>
                </c:pt>
                <c:pt idx="479">
                  <c:v>12150</c:v>
                </c:pt>
                <c:pt idx="480">
                  <c:v>12150</c:v>
                </c:pt>
                <c:pt idx="481">
                  <c:v>12150</c:v>
                </c:pt>
                <c:pt idx="482">
                  <c:v>9750</c:v>
                </c:pt>
                <c:pt idx="483">
                  <c:v>6949.9999999999982</c:v>
                </c:pt>
                <c:pt idx="484">
                  <c:v>3749.9999999999973</c:v>
                </c:pt>
                <c:pt idx="485">
                  <c:v>3749.9999999999973</c:v>
                </c:pt>
                <c:pt idx="486">
                  <c:v>3749.9999999999973</c:v>
                </c:pt>
                <c:pt idx="487">
                  <c:v>4053.9999999999973</c:v>
                </c:pt>
                <c:pt idx="488">
                  <c:v>4053.9999999999973</c:v>
                </c:pt>
                <c:pt idx="489">
                  <c:v>4053.9999999999973</c:v>
                </c:pt>
                <c:pt idx="490">
                  <c:v>4053.9999999999973</c:v>
                </c:pt>
                <c:pt idx="491">
                  <c:v>4053.9999999999973</c:v>
                </c:pt>
                <c:pt idx="492">
                  <c:v>4053.9999999999973</c:v>
                </c:pt>
                <c:pt idx="493">
                  <c:v>4053.9999999999973</c:v>
                </c:pt>
                <c:pt idx="494">
                  <c:v>4053.9999999999973</c:v>
                </c:pt>
                <c:pt idx="495">
                  <c:v>4053.9999999999973</c:v>
                </c:pt>
                <c:pt idx="496">
                  <c:v>4053.9999999999973</c:v>
                </c:pt>
                <c:pt idx="497">
                  <c:v>4053.9999999999973</c:v>
                </c:pt>
                <c:pt idx="498">
                  <c:v>6332.8571428571395</c:v>
                </c:pt>
                <c:pt idx="499">
                  <c:v>7532.8571428571395</c:v>
                </c:pt>
                <c:pt idx="500">
                  <c:v>7532.8571428571395</c:v>
                </c:pt>
                <c:pt idx="501">
                  <c:v>7532.8571428571395</c:v>
                </c:pt>
                <c:pt idx="502">
                  <c:v>7532.8571428571395</c:v>
                </c:pt>
                <c:pt idx="503">
                  <c:v>7532.8571428571395</c:v>
                </c:pt>
                <c:pt idx="504">
                  <c:v>7532.8571428571395</c:v>
                </c:pt>
                <c:pt idx="505">
                  <c:v>7532.8571428571395</c:v>
                </c:pt>
                <c:pt idx="506">
                  <c:v>7532.8571428571395</c:v>
                </c:pt>
                <c:pt idx="507">
                  <c:v>7532.8571428571395</c:v>
                </c:pt>
                <c:pt idx="508">
                  <c:v>7532.8571428571395</c:v>
                </c:pt>
                <c:pt idx="509">
                  <c:v>7532.8571428571395</c:v>
                </c:pt>
                <c:pt idx="510">
                  <c:v>7662.307142857022</c:v>
                </c:pt>
                <c:pt idx="511">
                  <c:v>7662.307142857022</c:v>
                </c:pt>
                <c:pt idx="512">
                  <c:v>7662.307142857022</c:v>
                </c:pt>
                <c:pt idx="513">
                  <c:v>7662.307142857022</c:v>
                </c:pt>
                <c:pt idx="514">
                  <c:v>7662.307142857022</c:v>
                </c:pt>
                <c:pt idx="515">
                  <c:v>7662.307142857022</c:v>
                </c:pt>
                <c:pt idx="516">
                  <c:v>7662.307142857022</c:v>
                </c:pt>
                <c:pt idx="517">
                  <c:v>7662.307142857022</c:v>
                </c:pt>
                <c:pt idx="518">
                  <c:v>8942.307142857022</c:v>
                </c:pt>
                <c:pt idx="519">
                  <c:v>9422.307142857022</c:v>
                </c:pt>
                <c:pt idx="520">
                  <c:v>14345.507142857023</c:v>
                </c:pt>
                <c:pt idx="521">
                  <c:v>14345.507142857023</c:v>
                </c:pt>
                <c:pt idx="522">
                  <c:v>14985.507142857023</c:v>
                </c:pt>
                <c:pt idx="523">
                  <c:v>14985.507142857023</c:v>
                </c:pt>
                <c:pt idx="524">
                  <c:v>14985.507142857023</c:v>
                </c:pt>
                <c:pt idx="525">
                  <c:v>13545.507142857021</c:v>
                </c:pt>
                <c:pt idx="526">
                  <c:v>13545.507142857021</c:v>
                </c:pt>
                <c:pt idx="527">
                  <c:v>13545.507142857021</c:v>
                </c:pt>
                <c:pt idx="528">
                  <c:v>13545.507142857021</c:v>
                </c:pt>
                <c:pt idx="529">
                  <c:v>13545.507142857021</c:v>
                </c:pt>
                <c:pt idx="530">
                  <c:v>13545.507142857021</c:v>
                </c:pt>
                <c:pt idx="531">
                  <c:v>13545.507142857021</c:v>
                </c:pt>
                <c:pt idx="532">
                  <c:v>13545.507142857021</c:v>
                </c:pt>
                <c:pt idx="533">
                  <c:v>13545.507142857021</c:v>
                </c:pt>
                <c:pt idx="534">
                  <c:v>13545.507142857021</c:v>
                </c:pt>
                <c:pt idx="535">
                  <c:v>13545.507142857021</c:v>
                </c:pt>
                <c:pt idx="536">
                  <c:v>13545.507142857021</c:v>
                </c:pt>
                <c:pt idx="537">
                  <c:v>13545.507142857021</c:v>
                </c:pt>
                <c:pt idx="538">
                  <c:v>13545.507142857021</c:v>
                </c:pt>
                <c:pt idx="539">
                  <c:v>13545.507142857021</c:v>
                </c:pt>
                <c:pt idx="540">
                  <c:v>13545.507142857021</c:v>
                </c:pt>
                <c:pt idx="541">
                  <c:v>13545.507142857021</c:v>
                </c:pt>
                <c:pt idx="542">
                  <c:v>13545.507142857021</c:v>
                </c:pt>
                <c:pt idx="543">
                  <c:v>13545.507142857021</c:v>
                </c:pt>
                <c:pt idx="544">
                  <c:v>13545.507142857021</c:v>
                </c:pt>
                <c:pt idx="545">
                  <c:v>13545.507142857021</c:v>
                </c:pt>
                <c:pt idx="546">
                  <c:v>13545.507142857021</c:v>
                </c:pt>
                <c:pt idx="547">
                  <c:v>14345.507142857021</c:v>
                </c:pt>
                <c:pt idx="548">
                  <c:v>13545.507142857021</c:v>
                </c:pt>
                <c:pt idx="549">
                  <c:v>13545.507142857021</c:v>
                </c:pt>
                <c:pt idx="550">
                  <c:v>14345.507142857021</c:v>
                </c:pt>
                <c:pt idx="551">
                  <c:v>14345.507142857021</c:v>
                </c:pt>
                <c:pt idx="552">
                  <c:v>14345.507142857021</c:v>
                </c:pt>
                <c:pt idx="553">
                  <c:v>14345.507142857021</c:v>
                </c:pt>
                <c:pt idx="554">
                  <c:v>14345.507142857021</c:v>
                </c:pt>
                <c:pt idx="555">
                  <c:v>7291.5774725271494</c:v>
                </c:pt>
                <c:pt idx="556">
                  <c:v>14345.507142857021</c:v>
                </c:pt>
                <c:pt idx="557">
                  <c:v>14345.507142857021</c:v>
                </c:pt>
                <c:pt idx="558">
                  <c:v>14345.507142857021</c:v>
                </c:pt>
                <c:pt idx="559">
                  <c:v>14345.507142857021</c:v>
                </c:pt>
                <c:pt idx="560">
                  <c:v>13961.507142857021</c:v>
                </c:pt>
                <c:pt idx="561">
                  <c:v>13961.507142857021</c:v>
                </c:pt>
                <c:pt idx="562">
                  <c:v>13961.507142857021</c:v>
                </c:pt>
                <c:pt idx="563">
                  <c:v>13961.507142857021</c:v>
                </c:pt>
                <c:pt idx="564">
                  <c:v>13961.507142857021</c:v>
                </c:pt>
                <c:pt idx="565">
                  <c:v>13961.507142857021</c:v>
                </c:pt>
                <c:pt idx="566">
                  <c:v>13961.507142857021</c:v>
                </c:pt>
                <c:pt idx="567">
                  <c:v>13961.507142857021</c:v>
                </c:pt>
                <c:pt idx="568">
                  <c:v>11195.57747252718</c:v>
                </c:pt>
                <c:pt idx="569">
                  <c:v>13961.507142857021</c:v>
                </c:pt>
                <c:pt idx="570">
                  <c:v>13961.507142857021</c:v>
                </c:pt>
                <c:pt idx="571">
                  <c:v>11195.57747252718</c:v>
                </c:pt>
                <c:pt idx="572">
                  <c:v>13961.507142857021</c:v>
                </c:pt>
                <c:pt idx="573">
                  <c:v>13961.507142857021</c:v>
                </c:pt>
                <c:pt idx="574">
                  <c:v>13961.507142857021</c:v>
                </c:pt>
                <c:pt idx="575">
                  <c:v>11195.57747252718</c:v>
                </c:pt>
                <c:pt idx="576">
                  <c:v>7291.5774725271494</c:v>
                </c:pt>
                <c:pt idx="577">
                  <c:v>13961.507142857021</c:v>
                </c:pt>
                <c:pt idx="578">
                  <c:v>13961.507142857021</c:v>
                </c:pt>
                <c:pt idx="579">
                  <c:v>13961.507142857021</c:v>
                </c:pt>
                <c:pt idx="580">
                  <c:v>13961.507142857021</c:v>
                </c:pt>
                <c:pt idx="581">
                  <c:v>13641.507142857021</c:v>
                </c:pt>
                <c:pt idx="582">
                  <c:v>13641.507142857021</c:v>
                </c:pt>
                <c:pt idx="583">
                  <c:v>13641.507142857021</c:v>
                </c:pt>
                <c:pt idx="584">
                  <c:v>13641.507142857021</c:v>
                </c:pt>
                <c:pt idx="585">
                  <c:v>13641.507142857021</c:v>
                </c:pt>
                <c:pt idx="586">
                  <c:v>13641.507142857021</c:v>
                </c:pt>
                <c:pt idx="587">
                  <c:v>13641.507142857021</c:v>
                </c:pt>
                <c:pt idx="588">
                  <c:v>13641.507142857021</c:v>
                </c:pt>
                <c:pt idx="589">
                  <c:v>13641.507142857021</c:v>
                </c:pt>
                <c:pt idx="590">
                  <c:v>13641.507142857021</c:v>
                </c:pt>
                <c:pt idx="591">
                  <c:v>13641.507142857021</c:v>
                </c:pt>
                <c:pt idx="592">
                  <c:v>13641.507142857021</c:v>
                </c:pt>
                <c:pt idx="593">
                  <c:v>13641.507142857021</c:v>
                </c:pt>
                <c:pt idx="594">
                  <c:v>13641.507142857021</c:v>
                </c:pt>
                <c:pt idx="595">
                  <c:v>13641.507142857021</c:v>
                </c:pt>
                <c:pt idx="596">
                  <c:v>13641.507142857021</c:v>
                </c:pt>
                <c:pt idx="597">
                  <c:v>13641.507142857021</c:v>
                </c:pt>
                <c:pt idx="598">
                  <c:v>13641.507142857021</c:v>
                </c:pt>
                <c:pt idx="599">
                  <c:v>13641.507142857021</c:v>
                </c:pt>
                <c:pt idx="600">
                  <c:v>13641.507142857021</c:v>
                </c:pt>
                <c:pt idx="601">
                  <c:v>13641.507142857021</c:v>
                </c:pt>
                <c:pt idx="602">
                  <c:v>13641.507142857021</c:v>
                </c:pt>
                <c:pt idx="603">
                  <c:v>13641.507142857021</c:v>
                </c:pt>
                <c:pt idx="604">
                  <c:v>13641.507142857021</c:v>
                </c:pt>
                <c:pt idx="605">
                  <c:v>13641.507142857021</c:v>
                </c:pt>
                <c:pt idx="606">
                  <c:v>13641.507142857021</c:v>
                </c:pt>
                <c:pt idx="607">
                  <c:v>13641.507142857021</c:v>
                </c:pt>
                <c:pt idx="608">
                  <c:v>13641.507142857021</c:v>
                </c:pt>
                <c:pt idx="609">
                  <c:v>13641.507142857021</c:v>
                </c:pt>
                <c:pt idx="610">
                  <c:v>13641.507142857021</c:v>
                </c:pt>
                <c:pt idx="611">
                  <c:v>13641.507142857021</c:v>
                </c:pt>
                <c:pt idx="612">
                  <c:v>13641.507142857021</c:v>
                </c:pt>
                <c:pt idx="613">
                  <c:v>13641.507142857021</c:v>
                </c:pt>
                <c:pt idx="614">
                  <c:v>13641.507142857021</c:v>
                </c:pt>
                <c:pt idx="615">
                  <c:v>13641.507142857021</c:v>
                </c:pt>
                <c:pt idx="616">
                  <c:v>13641.507142857021</c:v>
                </c:pt>
                <c:pt idx="617">
                  <c:v>13641.507142857021</c:v>
                </c:pt>
                <c:pt idx="618">
                  <c:v>13641.507142857021</c:v>
                </c:pt>
                <c:pt idx="619">
                  <c:v>13641.507142857021</c:v>
                </c:pt>
                <c:pt idx="620">
                  <c:v>11195.57747252718</c:v>
                </c:pt>
                <c:pt idx="621">
                  <c:v>13641.507142857021</c:v>
                </c:pt>
                <c:pt idx="622">
                  <c:v>13641.507142857021</c:v>
                </c:pt>
                <c:pt idx="623">
                  <c:v>13641.507142857021</c:v>
                </c:pt>
                <c:pt idx="624">
                  <c:v>13641.507142857021</c:v>
                </c:pt>
                <c:pt idx="625">
                  <c:v>13977.507142857021</c:v>
                </c:pt>
                <c:pt idx="626">
                  <c:v>13977.507142857021</c:v>
                </c:pt>
                <c:pt idx="627">
                  <c:v>11195.57747252718</c:v>
                </c:pt>
                <c:pt idx="628">
                  <c:v>13977.507142857021</c:v>
                </c:pt>
                <c:pt idx="629">
                  <c:v>13977.507142857021</c:v>
                </c:pt>
                <c:pt idx="630">
                  <c:v>13977.507142857021</c:v>
                </c:pt>
                <c:pt idx="631">
                  <c:v>13977.507142857021</c:v>
                </c:pt>
                <c:pt idx="632">
                  <c:v>13977.507142857021</c:v>
                </c:pt>
                <c:pt idx="633">
                  <c:v>12057.507142857023</c:v>
                </c:pt>
                <c:pt idx="634">
                  <c:v>12057.507142857023</c:v>
                </c:pt>
                <c:pt idx="635">
                  <c:v>12057.507142857023</c:v>
                </c:pt>
                <c:pt idx="636">
                  <c:v>12057.507142857023</c:v>
                </c:pt>
                <c:pt idx="637">
                  <c:v>12057.507142857023</c:v>
                </c:pt>
                <c:pt idx="638">
                  <c:v>12057.507142857023</c:v>
                </c:pt>
                <c:pt idx="639">
                  <c:v>11195.57747252718</c:v>
                </c:pt>
                <c:pt idx="640">
                  <c:v>11843.107142857023</c:v>
                </c:pt>
                <c:pt idx="641">
                  <c:v>11523.107142857023</c:v>
                </c:pt>
                <c:pt idx="642">
                  <c:v>11195.57747252718</c:v>
                </c:pt>
                <c:pt idx="643">
                  <c:v>11523.107142857023</c:v>
                </c:pt>
                <c:pt idx="644">
                  <c:v>11523.107142857023</c:v>
                </c:pt>
                <c:pt idx="645">
                  <c:v>8014.9928571427408</c:v>
                </c:pt>
                <c:pt idx="646">
                  <c:v>11523.107142857021</c:v>
                </c:pt>
                <c:pt idx="647">
                  <c:v>8014.9928571427408</c:v>
                </c:pt>
                <c:pt idx="648">
                  <c:v>11523.107142857021</c:v>
                </c:pt>
                <c:pt idx="649">
                  <c:v>11523.107142857021</c:v>
                </c:pt>
                <c:pt idx="650">
                  <c:v>11523.107142857021</c:v>
                </c:pt>
                <c:pt idx="651">
                  <c:v>11523.107142857021</c:v>
                </c:pt>
                <c:pt idx="652">
                  <c:v>11523.107142857021</c:v>
                </c:pt>
                <c:pt idx="653">
                  <c:v>11523.107142857021</c:v>
                </c:pt>
                <c:pt idx="654">
                  <c:v>11523.107142857021</c:v>
                </c:pt>
                <c:pt idx="655">
                  <c:v>11523.107142857021</c:v>
                </c:pt>
                <c:pt idx="656">
                  <c:v>11523.107142857021</c:v>
                </c:pt>
                <c:pt idx="657">
                  <c:v>11523.107142857021</c:v>
                </c:pt>
                <c:pt idx="658">
                  <c:v>11523.107142857021</c:v>
                </c:pt>
                <c:pt idx="659">
                  <c:v>10083.107142857021</c:v>
                </c:pt>
                <c:pt idx="660">
                  <c:v>10083.107142857021</c:v>
                </c:pt>
                <c:pt idx="661">
                  <c:v>10083.107142857021</c:v>
                </c:pt>
                <c:pt idx="662">
                  <c:v>10083.107142857021</c:v>
                </c:pt>
                <c:pt idx="663">
                  <c:v>10083.107142857021</c:v>
                </c:pt>
                <c:pt idx="664">
                  <c:v>6197.3928571427359</c:v>
                </c:pt>
                <c:pt idx="665">
                  <c:v>4277.3928571427368</c:v>
                </c:pt>
                <c:pt idx="666">
                  <c:v>8014.9928571427408</c:v>
                </c:pt>
                <c:pt idx="667">
                  <c:v>-1082.6071428572614</c:v>
                </c:pt>
                <c:pt idx="668">
                  <c:v>-1082.6071428572614</c:v>
                </c:pt>
                <c:pt idx="669">
                  <c:v>517.39285714274001</c:v>
                </c:pt>
                <c:pt idx="670">
                  <c:v>4174.9928571427417</c:v>
                </c:pt>
                <c:pt idx="671">
                  <c:v>-337.00714285725996</c:v>
                </c:pt>
                <c:pt idx="672">
                  <c:v>-337.00714285725996</c:v>
                </c:pt>
                <c:pt idx="673">
                  <c:v>334.99285714273992</c:v>
                </c:pt>
                <c:pt idx="674">
                  <c:v>4174.9928571427417</c:v>
                </c:pt>
                <c:pt idx="675">
                  <c:v>334.99285714273992</c:v>
                </c:pt>
                <c:pt idx="676">
                  <c:v>334.99285714273992</c:v>
                </c:pt>
                <c:pt idx="677">
                  <c:v>334.99285714273992</c:v>
                </c:pt>
                <c:pt idx="678">
                  <c:v>334.99285714273992</c:v>
                </c:pt>
                <c:pt idx="679">
                  <c:v>334.99285714273992</c:v>
                </c:pt>
                <c:pt idx="680">
                  <c:v>334.99285714273992</c:v>
                </c:pt>
                <c:pt idx="681">
                  <c:v>334.99285714273992</c:v>
                </c:pt>
                <c:pt idx="682">
                  <c:v>334.99285714273992</c:v>
                </c:pt>
                <c:pt idx="683">
                  <c:v>2574.9928571427413</c:v>
                </c:pt>
                <c:pt idx="684">
                  <c:v>334.99285714273992</c:v>
                </c:pt>
                <c:pt idx="685">
                  <c:v>334.99285714273992</c:v>
                </c:pt>
                <c:pt idx="686">
                  <c:v>334.99285714273992</c:v>
                </c:pt>
                <c:pt idx="687">
                  <c:v>334.99285714273992</c:v>
                </c:pt>
                <c:pt idx="688">
                  <c:v>334.99285714273992</c:v>
                </c:pt>
                <c:pt idx="689">
                  <c:v>334.99285714273992</c:v>
                </c:pt>
                <c:pt idx="690">
                  <c:v>334.99285714273992</c:v>
                </c:pt>
                <c:pt idx="691">
                  <c:v>334.99285714273992</c:v>
                </c:pt>
                <c:pt idx="692">
                  <c:v>334.99285714273992</c:v>
                </c:pt>
                <c:pt idx="693">
                  <c:v>334.99285714273992</c:v>
                </c:pt>
                <c:pt idx="694">
                  <c:v>334.99285714273992</c:v>
                </c:pt>
                <c:pt idx="695">
                  <c:v>334.99285714273992</c:v>
                </c:pt>
                <c:pt idx="696">
                  <c:v>2574.9928571427413</c:v>
                </c:pt>
                <c:pt idx="697">
                  <c:v>2574.9928571427413</c:v>
                </c:pt>
                <c:pt idx="698">
                  <c:v>2574.9928571427413</c:v>
                </c:pt>
                <c:pt idx="699">
                  <c:v>2574.9928571427413</c:v>
                </c:pt>
                <c:pt idx="700">
                  <c:v>2574.9928571427413</c:v>
                </c:pt>
                <c:pt idx="701">
                  <c:v>4174.9928571427417</c:v>
                </c:pt>
                <c:pt idx="702">
                  <c:v>8014.9928571427408</c:v>
                </c:pt>
                <c:pt idx="703">
                  <c:v>4174.9928571427417</c:v>
                </c:pt>
                <c:pt idx="704">
                  <c:v>4174.9928571427417</c:v>
                </c:pt>
                <c:pt idx="705">
                  <c:v>4174.9928571427417</c:v>
                </c:pt>
                <c:pt idx="706">
                  <c:v>4174.9928571427417</c:v>
                </c:pt>
                <c:pt idx="707">
                  <c:v>4174.9928571427417</c:v>
                </c:pt>
                <c:pt idx="708">
                  <c:v>4174.9928571427417</c:v>
                </c:pt>
                <c:pt idx="709">
                  <c:v>4174.9928571427417</c:v>
                </c:pt>
                <c:pt idx="710">
                  <c:v>4174.9928571427417</c:v>
                </c:pt>
                <c:pt idx="711">
                  <c:v>8014.9928571427408</c:v>
                </c:pt>
                <c:pt idx="712">
                  <c:v>4174.9928571427417</c:v>
                </c:pt>
                <c:pt idx="713">
                  <c:v>4174.9928571427417</c:v>
                </c:pt>
                <c:pt idx="714">
                  <c:v>8014.9928571427408</c:v>
                </c:pt>
                <c:pt idx="715">
                  <c:v>8014.9928571427408</c:v>
                </c:pt>
                <c:pt idx="716">
                  <c:v>4174.9928571427417</c:v>
                </c:pt>
                <c:pt idx="717">
                  <c:v>4174.9928571427417</c:v>
                </c:pt>
                <c:pt idx="718">
                  <c:v>8014.9928571427408</c:v>
                </c:pt>
                <c:pt idx="719">
                  <c:v>4174.9928571427417</c:v>
                </c:pt>
                <c:pt idx="720">
                  <c:v>4174.9928571427417</c:v>
                </c:pt>
                <c:pt idx="721">
                  <c:v>7774.9928571427408</c:v>
                </c:pt>
                <c:pt idx="722">
                  <c:v>8014.9928571427408</c:v>
                </c:pt>
                <c:pt idx="723">
                  <c:v>8014.9928571427408</c:v>
                </c:pt>
                <c:pt idx="724">
                  <c:v>8014.9928571427408</c:v>
                </c:pt>
                <c:pt idx="725">
                  <c:v>8014.9928571427408</c:v>
                </c:pt>
                <c:pt idx="726">
                  <c:v>8014.9928571427408</c:v>
                </c:pt>
                <c:pt idx="727">
                  <c:v>8014.9928571427408</c:v>
                </c:pt>
                <c:pt idx="728">
                  <c:v>8014.9928571427408</c:v>
                </c:pt>
                <c:pt idx="729">
                  <c:v>8014.9928571427408</c:v>
                </c:pt>
                <c:pt idx="730">
                  <c:v>8014.9928571427408</c:v>
                </c:pt>
                <c:pt idx="731">
                  <c:v>11195.57747252718</c:v>
                </c:pt>
                <c:pt idx="732">
                  <c:v>13122.377472527351</c:v>
                </c:pt>
                <c:pt idx="733">
                  <c:v>8014.9928571427408</c:v>
                </c:pt>
                <c:pt idx="734">
                  <c:v>8014.9928571427408</c:v>
                </c:pt>
                <c:pt idx="735">
                  <c:v>8014.9928571427408</c:v>
                </c:pt>
                <c:pt idx="736">
                  <c:v>8014.9928571427408</c:v>
                </c:pt>
                <c:pt idx="737">
                  <c:v>8014.9928571427408</c:v>
                </c:pt>
                <c:pt idx="738">
                  <c:v>13122.377472527351</c:v>
                </c:pt>
                <c:pt idx="739">
                  <c:v>8014.9928571427408</c:v>
                </c:pt>
                <c:pt idx="740">
                  <c:v>8014.9928571427408</c:v>
                </c:pt>
                <c:pt idx="741">
                  <c:v>8014.9928571427408</c:v>
                </c:pt>
                <c:pt idx="742">
                  <c:v>8014.9928571427408</c:v>
                </c:pt>
                <c:pt idx="743">
                  <c:v>8014.9928571427408</c:v>
                </c:pt>
                <c:pt idx="744">
                  <c:v>8014.9928571427408</c:v>
                </c:pt>
                <c:pt idx="745">
                  <c:v>8014.9928571427408</c:v>
                </c:pt>
                <c:pt idx="746">
                  <c:v>8014.9928571427408</c:v>
                </c:pt>
                <c:pt idx="747">
                  <c:v>8014.9928571427408</c:v>
                </c:pt>
                <c:pt idx="748">
                  <c:v>8014.9928571427408</c:v>
                </c:pt>
                <c:pt idx="749">
                  <c:v>8014.9928571427408</c:v>
                </c:pt>
                <c:pt idx="750">
                  <c:v>8014.9928571427408</c:v>
                </c:pt>
                <c:pt idx="751">
                  <c:v>8014.9928571427408</c:v>
                </c:pt>
                <c:pt idx="752">
                  <c:v>8014.9928571427408</c:v>
                </c:pt>
                <c:pt idx="753">
                  <c:v>8014.9928571427408</c:v>
                </c:pt>
                <c:pt idx="754">
                  <c:v>8014.9928571427408</c:v>
                </c:pt>
                <c:pt idx="755">
                  <c:v>8014.9928571427408</c:v>
                </c:pt>
                <c:pt idx="756">
                  <c:v>8014.9928571427408</c:v>
                </c:pt>
                <c:pt idx="757">
                  <c:v>8014.9928571427408</c:v>
                </c:pt>
                <c:pt idx="758">
                  <c:v>8014.9928571427408</c:v>
                </c:pt>
                <c:pt idx="759">
                  <c:v>8014.9928571427408</c:v>
                </c:pt>
                <c:pt idx="760">
                  <c:v>8014.9928571427408</c:v>
                </c:pt>
                <c:pt idx="761">
                  <c:v>8014.9928571427408</c:v>
                </c:pt>
                <c:pt idx="762">
                  <c:v>11302.377472527354</c:v>
                </c:pt>
                <c:pt idx="763">
                  <c:v>8014.9928571427408</c:v>
                </c:pt>
                <c:pt idx="764">
                  <c:v>8014.9928571427408</c:v>
                </c:pt>
                <c:pt idx="765">
                  <c:v>8014.9928571427408</c:v>
                </c:pt>
                <c:pt idx="766">
                  <c:v>9614.9928571427408</c:v>
                </c:pt>
                <c:pt idx="767">
                  <c:v>9774.992857142739</c:v>
                </c:pt>
                <c:pt idx="768">
                  <c:v>9774.992857142739</c:v>
                </c:pt>
                <c:pt idx="769">
                  <c:v>9686.3774725273543</c:v>
                </c:pt>
                <c:pt idx="770">
                  <c:v>9686.3774725273543</c:v>
                </c:pt>
                <c:pt idx="771">
                  <c:v>9686.3774725273543</c:v>
                </c:pt>
                <c:pt idx="772">
                  <c:v>9686.3774725273543</c:v>
                </c:pt>
                <c:pt idx="773">
                  <c:v>9686.3774725273543</c:v>
                </c:pt>
                <c:pt idx="774">
                  <c:v>11302.377472527354</c:v>
                </c:pt>
                <c:pt idx="775">
                  <c:v>14422.377472527351</c:v>
                </c:pt>
                <c:pt idx="776">
                  <c:v>11302.377472527354</c:v>
                </c:pt>
                <c:pt idx="777">
                  <c:v>11302.377472527354</c:v>
                </c:pt>
                <c:pt idx="778">
                  <c:v>11302.377472527354</c:v>
                </c:pt>
                <c:pt idx="779">
                  <c:v>11302.377472527354</c:v>
                </c:pt>
                <c:pt idx="780">
                  <c:v>11302.377472527354</c:v>
                </c:pt>
                <c:pt idx="781">
                  <c:v>11302.377472527354</c:v>
                </c:pt>
                <c:pt idx="782">
                  <c:v>11302.377472527354</c:v>
                </c:pt>
                <c:pt idx="783">
                  <c:v>11302.377472527354</c:v>
                </c:pt>
                <c:pt idx="784">
                  <c:v>11302.377472527354</c:v>
                </c:pt>
                <c:pt idx="785">
                  <c:v>14422.377472527351</c:v>
                </c:pt>
                <c:pt idx="786">
                  <c:v>11302.377472527354</c:v>
                </c:pt>
                <c:pt idx="787">
                  <c:v>11062.377472527354</c:v>
                </c:pt>
                <c:pt idx="788">
                  <c:v>14422.377472527351</c:v>
                </c:pt>
                <c:pt idx="789">
                  <c:v>11062.377472527354</c:v>
                </c:pt>
                <c:pt idx="790">
                  <c:v>11062.377472527354</c:v>
                </c:pt>
                <c:pt idx="791">
                  <c:v>12662.377472527354</c:v>
                </c:pt>
                <c:pt idx="792">
                  <c:v>13462.377472527351</c:v>
                </c:pt>
                <c:pt idx="793">
                  <c:v>14422.377472527351</c:v>
                </c:pt>
                <c:pt idx="794">
                  <c:v>14422.377472527351</c:v>
                </c:pt>
                <c:pt idx="795">
                  <c:v>15062.377472527351</c:v>
                </c:pt>
                <c:pt idx="796">
                  <c:v>14422.377472527351</c:v>
                </c:pt>
                <c:pt idx="797">
                  <c:v>14422.377472527351</c:v>
                </c:pt>
                <c:pt idx="798">
                  <c:v>15062.377472527351</c:v>
                </c:pt>
                <c:pt idx="799">
                  <c:v>14422.377472527351</c:v>
                </c:pt>
                <c:pt idx="800">
                  <c:v>14422.377472527351</c:v>
                </c:pt>
                <c:pt idx="801">
                  <c:v>15382.377472527351</c:v>
                </c:pt>
                <c:pt idx="802">
                  <c:v>15062.377472527351</c:v>
                </c:pt>
                <c:pt idx="803">
                  <c:v>15382.377472527351</c:v>
                </c:pt>
                <c:pt idx="804">
                  <c:v>15382.377472527351</c:v>
                </c:pt>
                <c:pt idx="805">
                  <c:v>15382.377472527351</c:v>
                </c:pt>
                <c:pt idx="806">
                  <c:v>15382.377472527351</c:v>
                </c:pt>
                <c:pt idx="807">
                  <c:v>15382.377472527351</c:v>
                </c:pt>
                <c:pt idx="808">
                  <c:v>15382.377472527351</c:v>
                </c:pt>
                <c:pt idx="809">
                  <c:v>15382.377472527351</c:v>
                </c:pt>
                <c:pt idx="810">
                  <c:v>15382.377472527351</c:v>
                </c:pt>
                <c:pt idx="811">
                  <c:v>15382.377472527351</c:v>
                </c:pt>
                <c:pt idx="812">
                  <c:v>15382.377472527351</c:v>
                </c:pt>
                <c:pt idx="813">
                  <c:v>15062.377472527351</c:v>
                </c:pt>
                <c:pt idx="814">
                  <c:v>13122.377472527351</c:v>
                </c:pt>
                <c:pt idx="815">
                  <c:v>15382.377472527351</c:v>
                </c:pt>
                <c:pt idx="816">
                  <c:v>15062.377472527351</c:v>
                </c:pt>
                <c:pt idx="817">
                  <c:v>15062.377472527351</c:v>
                </c:pt>
                <c:pt idx="818">
                  <c:v>15062.377472527351</c:v>
                </c:pt>
                <c:pt idx="819">
                  <c:v>15062.377472527351</c:v>
                </c:pt>
                <c:pt idx="820">
                  <c:v>15062.377472527351</c:v>
                </c:pt>
                <c:pt idx="821">
                  <c:v>15062.377472527351</c:v>
                </c:pt>
                <c:pt idx="822">
                  <c:v>15062.377472527351</c:v>
                </c:pt>
                <c:pt idx="823">
                  <c:v>13122.377472527351</c:v>
                </c:pt>
                <c:pt idx="824">
                  <c:v>15062.377472527351</c:v>
                </c:pt>
                <c:pt idx="825">
                  <c:v>15062.377472527351</c:v>
                </c:pt>
                <c:pt idx="826">
                  <c:v>15062.377472527351</c:v>
                </c:pt>
                <c:pt idx="827">
                  <c:v>13122.377472527351</c:v>
                </c:pt>
                <c:pt idx="828">
                  <c:v>13122.377472527351</c:v>
                </c:pt>
                <c:pt idx="829">
                  <c:v>15062.377472527351</c:v>
                </c:pt>
                <c:pt idx="830">
                  <c:v>15062.377472527351</c:v>
                </c:pt>
                <c:pt idx="831">
                  <c:v>15062.377472527351</c:v>
                </c:pt>
                <c:pt idx="832">
                  <c:v>15062.377472527351</c:v>
                </c:pt>
                <c:pt idx="833">
                  <c:v>15062.377472527351</c:v>
                </c:pt>
                <c:pt idx="834">
                  <c:v>13122.377472527351</c:v>
                </c:pt>
                <c:pt idx="835">
                  <c:v>13122.377472527351</c:v>
                </c:pt>
                <c:pt idx="836">
                  <c:v>15062.377472527351</c:v>
                </c:pt>
                <c:pt idx="837">
                  <c:v>13122.377472527351</c:v>
                </c:pt>
                <c:pt idx="838">
                  <c:v>13122.377472527351</c:v>
                </c:pt>
                <c:pt idx="839">
                  <c:v>15062.377472527351</c:v>
                </c:pt>
                <c:pt idx="840">
                  <c:v>17814.377472527347</c:v>
                </c:pt>
                <c:pt idx="841">
                  <c:v>17814.377472527347</c:v>
                </c:pt>
                <c:pt idx="842">
                  <c:v>18114.377472527347</c:v>
                </c:pt>
                <c:pt idx="843">
                  <c:v>18114.377472527347</c:v>
                </c:pt>
                <c:pt idx="844">
                  <c:v>18114.377472527347</c:v>
                </c:pt>
                <c:pt idx="845">
                  <c:v>13122.377472527351</c:v>
                </c:pt>
                <c:pt idx="846">
                  <c:v>13122.377472527351</c:v>
                </c:pt>
                <c:pt idx="847">
                  <c:v>18114.377472527347</c:v>
                </c:pt>
                <c:pt idx="848">
                  <c:v>18114.377472527347</c:v>
                </c:pt>
                <c:pt idx="849">
                  <c:v>13122.377472527351</c:v>
                </c:pt>
                <c:pt idx="850">
                  <c:v>13122.377472527351</c:v>
                </c:pt>
                <c:pt idx="851">
                  <c:v>18114.377472527347</c:v>
                </c:pt>
                <c:pt idx="852">
                  <c:v>18114.377472527347</c:v>
                </c:pt>
                <c:pt idx="853">
                  <c:v>18114.377472527347</c:v>
                </c:pt>
                <c:pt idx="854">
                  <c:v>18114.377472527347</c:v>
                </c:pt>
                <c:pt idx="855">
                  <c:v>18114.377472527347</c:v>
                </c:pt>
                <c:pt idx="856">
                  <c:v>18114.377472527347</c:v>
                </c:pt>
                <c:pt idx="857">
                  <c:v>18114.377472527347</c:v>
                </c:pt>
                <c:pt idx="858">
                  <c:v>18114.377472527347</c:v>
                </c:pt>
                <c:pt idx="859">
                  <c:v>14914.377472527349</c:v>
                </c:pt>
                <c:pt idx="860">
                  <c:v>13122.377472527351</c:v>
                </c:pt>
                <c:pt idx="861">
                  <c:v>13122.377472527351</c:v>
                </c:pt>
                <c:pt idx="862">
                  <c:v>13122.377472527351</c:v>
                </c:pt>
                <c:pt idx="863">
                  <c:v>13122.377472527351</c:v>
                </c:pt>
                <c:pt idx="864">
                  <c:v>13122.377472527351</c:v>
                </c:pt>
                <c:pt idx="865">
                  <c:v>13122.377472527351</c:v>
                </c:pt>
                <c:pt idx="866">
                  <c:v>13122.377472527351</c:v>
                </c:pt>
                <c:pt idx="867">
                  <c:v>13122.377472527351</c:v>
                </c:pt>
                <c:pt idx="868">
                  <c:v>13122.377472527351</c:v>
                </c:pt>
                <c:pt idx="869">
                  <c:v>13122.377472527351</c:v>
                </c:pt>
                <c:pt idx="870">
                  <c:v>13122.377472527351</c:v>
                </c:pt>
                <c:pt idx="871">
                  <c:v>13122.377472527351</c:v>
                </c:pt>
                <c:pt idx="872">
                  <c:v>13122.377472527351</c:v>
                </c:pt>
                <c:pt idx="873">
                  <c:v>13122.377472527351</c:v>
                </c:pt>
                <c:pt idx="874">
                  <c:v>13122.377472527351</c:v>
                </c:pt>
                <c:pt idx="875">
                  <c:v>13122.377472527351</c:v>
                </c:pt>
                <c:pt idx="876">
                  <c:v>13122.377472527351</c:v>
                </c:pt>
                <c:pt idx="877">
                  <c:v>13122.377472527351</c:v>
                </c:pt>
                <c:pt idx="878">
                  <c:v>13122.377472527351</c:v>
                </c:pt>
                <c:pt idx="879">
                  <c:v>13122.377472527351</c:v>
                </c:pt>
                <c:pt idx="880">
                  <c:v>13122.377472527351</c:v>
                </c:pt>
                <c:pt idx="881">
                  <c:v>13122.377472527351</c:v>
                </c:pt>
                <c:pt idx="882">
                  <c:v>13122.377472527351</c:v>
                </c:pt>
                <c:pt idx="883">
                  <c:v>13122.377472527351</c:v>
                </c:pt>
                <c:pt idx="884">
                  <c:v>13122.377472527351</c:v>
                </c:pt>
                <c:pt idx="885">
                  <c:v>13122.377472527351</c:v>
                </c:pt>
                <c:pt idx="886">
                  <c:v>13122.377472527351</c:v>
                </c:pt>
                <c:pt idx="887">
                  <c:v>13122.377472527351</c:v>
                </c:pt>
                <c:pt idx="888">
                  <c:v>0</c:v>
                </c:pt>
                <c:pt idx="889">
                  <c:v>13122.377472527351</c:v>
                </c:pt>
                <c:pt idx="890">
                  <c:v>13122.377472527351</c:v>
                </c:pt>
                <c:pt idx="891">
                  <c:v>13122.377472527351</c:v>
                </c:pt>
                <c:pt idx="892">
                  <c:v>13122.377472527351</c:v>
                </c:pt>
                <c:pt idx="893">
                  <c:v>13122.377472527351</c:v>
                </c:pt>
                <c:pt idx="894">
                  <c:v>13122.377472527351</c:v>
                </c:pt>
                <c:pt idx="895">
                  <c:v>13122.377472527351</c:v>
                </c:pt>
                <c:pt idx="896">
                  <c:v>13122.377472527351</c:v>
                </c:pt>
                <c:pt idx="897">
                  <c:v>13122.377472527351</c:v>
                </c:pt>
                <c:pt idx="898">
                  <c:v>13122.377472527351</c:v>
                </c:pt>
                <c:pt idx="899">
                  <c:v>13122.377472527351</c:v>
                </c:pt>
                <c:pt idx="900">
                  <c:v>13122.377472527351</c:v>
                </c:pt>
                <c:pt idx="901">
                  <c:v>13122.377472527351</c:v>
                </c:pt>
                <c:pt idx="902">
                  <c:v>12162.377472527358</c:v>
                </c:pt>
                <c:pt idx="903">
                  <c:v>13122.377472527351</c:v>
                </c:pt>
                <c:pt idx="904">
                  <c:v>13122.377472527351</c:v>
                </c:pt>
                <c:pt idx="905">
                  <c:v>13122.377472527351</c:v>
                </c:pt>
                <c:pt idx="906">
                  <c:v>13122.377472527351</c:v>
                </c:pt>
                <c:pt idx="907">
                  <c:v>13122.377472527351</c:v>
                </c:pt>
                <c:pt idx="908">
                  <c:v>13122.377472527351</c:v>
                </c:pt>
                <c:pt idx="909">
                  <c:v>13122.377472527351</c:v>
                </c:pt>
                <c:pt idx="910">
                  <c:v>13122.377472527351</c:v>
                </c:pt>
                <c:pt idx="911">
                  <c:v>13122.377472527351</c:v>
                </c:pt>
                <c:pt idx="912">
                  <c:v>12162.377472527358</c:v>
                </c:pt>
                <c:pt idx="913">
                  <c:v>11794.377472527352</c:v>
                </c:pt>
                <c:pt idx="914">
                  <c:v>11794.377472527352</c:v>
                </c:pt>
                <c:pt idx="915">
                  <c:v>11794.377472527352</c:v>
                </c:pt>
                <c:pt idx="916">
                  <c:v>11794.377472527352</c:v>
                </c:pt>
                <c:pt idx="917">
                  <c:v>11794.377472527352</c:v>
                </c:pt>
                <c:pt idx="918">
                  <c:v>12050.377472527358</c:v>
                </c:pt>
                <c:pt idx="919">
                  <c:v>12050.377472527358</c:v>
                </c:pt>
                <c:pt idx="920">
                  <c:v>12162.377472527358</c:v>
                </c:pt>
                <c:pt idx="921">
                  <c:v>12162.377472527358</c:v>
                </c:pt>
                <c:pt idx="922">
                  <c:v>12162.377472527358</c:v>
                </c:pt>
                <c:pt idx="923">
                  <c:v>12162.377472527358</c:v>
                </c:pt>
                <c:pt idx="924">
                  <c:v>12162.377472527358</c:v>
                </c:pt>
                <c:pt idx="925">
                  <c:v>12162.377472527358</c:v>
                </c:pt>
                <c:pt idx="926">
                  <c:v>12162.377472527358</c:v>
                </c:pt>
                <c:pt idx="927">
                  <c:v>12162.377472527358</c:v>
                </c:pt>
                <c:pt idx="928">
                  <c:v>12162.377472527358</c:v>
                </c:pt>
                <c:pt idx="929">
                  <c:v>12162.377472527358</c:v>
                </c:pt>
                <c:pt idx="930">
                  <c:v>11195.57747252718</c:v>
                </c:pt>
                <c:pt idx="931">
                  <c:v>12162.377472527358</c:v>
                </c:pt>
                <c:pt idx="932">
                  <c:v>12162.377472527358</c:v>
                </c:pt>
                <c:pt idx="933">
                  <c:v>12162.377472527358</c:v>
                </c:pt>
                <c:pt idx="934">
                  <c:v>11817.177472527181</c:v>
                </c:pt>
                <c:pt idx="935">
                  <c:v>11817.177472527181</c:v>
                </c:pt>
                <c:pt idx="936">
                  <c:v>11817.177472527181</c:v>
                </c:pt>
                <c:pt idx="937">
                  <c:v>11817.177472527181</c:v>
                </c:pt>
                <c:pt idx="938">
                  <c:v>11817.177472527181</c:v>
                </c:pt>
                <c:pt idx="939">
                  <c:v>11195.57747252718</c:v>
                </c:pt>
                <c:pt idx="940">
                  <c:v>11817.177472527181</c:v>
                </c:pt>
                <c:pt idx="941">
                  <c:v>11817.177472527181</c:v>
                </c:pt>
                <c:pt idx="942">
                  <c:v>11817.177472527181</c:v>
                </c:pt>
                <c:pt idx="943">
                  <c:v>11817.177472527181</c:v>
                </c:pt>
                <c:pt idx="944">
                  <c:v>11817.177472527181</c:v>
                </c:pt>
                <c:pt idx="945">
                  <c:v>11817.177472527181</c:v>
                </c:pt>
                <c:pt idx="946">
                  <c:v>11817.177472527181</c:v>
                </c:pt>
                <c:pt idx="947">
                  <c:v>12021.177472527181</c:v>
                </c:pt>
                <c:pt idx="948">
                  <c:v>11961.177472527181</c:v>
                </c:pt>
                <c:pt idx="949">
                  <c:v>11961.177472527181</c:v>
                </c:pt>
                <c:pt idx="950">
                  <c:v>11961.177472527181</c:v>
                </c:pt>
                <c:pt idx="951">
                  <c:v>11961.177472527181</c:v>
                </c:pt>
                <c:pt idx="952">
                  <c:v>11961.177472527181</c:v>
                </c:pt>
                <c:pt idx="953">
                  <c:v>11961.177472527181</c:v>
                </c:pt>
                <c:pt idx="954">
                  <c:v>11961.177472527181</c:v>
                </c:pt>
                <c:pt idx="955">
                  <c:v>11961.177472527181</c:v>
                </c:pt>
                <c:pt idx="956">
                  <c:v>11961.177472527181</c:v>
                </c:pt>
                <c:pt idx="957">
                  <c:v>12021.177472527181</c:v>
                </c:pt>
                <c:pt idx="958">
                  <c:v>11961.177472527181</c:v>
                </c:pt>
                <c:pt idx="959">
                  <c:v>11961.177472527181</c:v>
                </c:pt>
                <c:pt idx="960">
                  <c:v>11961.177472527181</c:v>
                </c:pt>
                <c:pt idx="961">
                  <c:v>11961.177472527181</c:v>
                </c:pt>
                <c:pt idx="962">
                  <c:v>11961.177472527181</c:v>
                </c:pt>
                <c:pt idx="963">
                  <c:v>11961.177472527181</c:v>
                </c:pt>
                <c:pt idx="964">
                  <c:v>11961.177472527181</c:v>
                </c:pt>
                <c:pt idx="965">
                  <c:v>11961.177472527181</c:v>
                </c:pt>
                <c:pt idx="966">
                  <c:v>12021.177472527181</c:v>
                </c:pt>
                <c:pt idx="967">
                  <c:v>11195.57747252718</c:v>
                </c:pt>
                <c:pt idx="968">
                  <c:v>12021.177472527181</c:v>
                </c:pt>
                <c:pt idx="969">
                  <c:v>12021.177472527181</c:v>
                </c:pt>
                <c:pt idx="970">
                  <c:v>12021.177472527181</c:v>
                </c:pt>
                <c:pt idx="971">
                  <c:v>12021.177472527181</c:v>
                </c:pt>
                <c:pt idx="972">
                  <c:v>12021.177472527181</c:v>
                </c:pt>
                <c:pt idx="973">
                  <c:v>12021.177472527181</c:v>
                </c:pt>
                <c:pt idx="974">
                  <c:v>12021.177472527181</c:v>
                </c:pt>
                <c:pt idx="975">
                  <c:v>11195.57747252718</c:v>
                </c:pt>
                <c:pt idx="976">
                  <c:v>11195.57747252718</c:v>
                </c:pt>
                <c:pt idx="977">
                  <c:v>11195.57747252718</c:v>
                </c:pt>
                <c:pt idx="978">
                  <c:v>11195.57747252718</c:v>
                </c:pt>
                <c:pt idx="979">
                  <c:v>11195.57747252718</c:v>
                </c:pt>
                <c:pt idx="980">
                  <c:v>11195.57747252718</c:v>
                </c:pt>
                <c:pt idx="981">
                  <c:v>11195.57747252718</c:v>
                </c:pt>
                <c:pt idx="982">
                  <c:v>11195.57747252718</c:v>
                </c:pt>
                <c:pt idx="983">
                  <c:v>11195.57747252718</c:v>
                </c:pt>
                <c:pt idx="984">
                  <c:v>11195.57747252718</c:v>
                </c:pt>
                <c:pt idx="985">
                  <c:v>11195.57747252718</c:v>
                </c:pt>
                <c:pt idx="986">
                  <c:v>11195.57747252718</c:v>
                </c:pt>
                <c:pt idx="987">
                  <c:v>11195.57747252718</c:v>
                </c:pt>
                <c:pt idx="988">
                  <c:v>11195.57747252718</c:v>
                </c:pt>
                <c:pt idx="989">
                  <c:v>0</c:v>
                </c:pt>
                <c:pt idx="990">
                  <c:v>9755.5774725271804</c:v>
                </c:pt>
                <c:pt idx="991">
                  <c:v>9755.5774725271804</c:v>
                </c:pt>
                <c:pt idx="992">
                  <c:v>9755.5774725271804</c:v>
                </c:pt>
                <c:pt idx="993">
                  <c:v>9755.5774725271804</c:v>
                </c:pt>
                <c:pt idx="994">
                  <c:v>9755.5774725271804</c:v>
                </c:pt>
                <c:pt idx="995">
                  <c:v>9755.5774725271804</c:v>
                </c:pt>
                <c:pt idx="996">
                  <c:v>9755.5774725271804</c:v>
                </c:pt>
                <c:pt idx="997">
                  <c:v>9755.5774725271804</c:v>
                </c:pt>
                <c:pt idx="998">
                  <c:v>8891.5774725271804</c:v>
                </c:pt>
                <c:pt idx="999">
                  <c:v>6331.5774725271795</c:v>
                </c:pt>
                <c:pt idx="1000">
                  <c:v>6331.5774725271795</c:v>
                </c:pt>
                <c:pt idx="1001">
                  <c:v>7291.5774725271494</c:v>
                </c:pt>
                <c:pt idx="1002">
                  <c:v>7291.5774725271494</c:v>
                </c:pt>
                <c:pt idx="1003">
                  <c:v>7291.5774725271494</c:v>
                </c:pt>
                <c:pt idx="1004">
                  <c:v>5755.5774725271895</c:v>
                </c:pt>
                <c:pt idx="1005">
                  <c:v>5755.5774725271895</c:v>
                </c:pt>
                <c:pt idx="1006">
                  <c:v>5755.5774725271895</c:v>
                </c:pt>
                <c:pt idx="1007">
                  <c:v>5755.5774725271895</c:v>
                </c:pt>
                <c:pt idx="1008">
                  <c:v>5755.5774725271895</c:v>
                </c:pt>
                <c:pt idx="1009">
                  <c:v>5755.5774725271895</c:v>
                </c:pt>
                <c:pt idx="1010">
                  <c:v>5755.5774725271895</c:v>
                </c:pt>
                <c:pt idx="1011">
                  <c:v>5755.5774725271895</c:v>
                </c:pt>
                <c:pt idx="1012">
                  <c:v>5755.5774725271895</c:v>
                </c:pt>
                <c:pt idx="1013">
                  <c:v>5755.5774725271895</c:v>
                </c:pt>
                <c:pt idx="1014">
                  <c:v>5755.5774725271895</c:v>
                </c:pt>
                <c:pt idx="1015">
                  <c:v>5755.5774725271895</c:v>
                </c:pt>
                <c:pt idx="1016">
                  <c:v>5755.5774725271895</c:v>
                </c:pt>
                <c:pt idx="1017">
                  <c:v>5755.5774725271895</c:v>
                </c:pt>
                <c:pt idx="1018">
                  <c:v>5755.5774725271895</c:v>
                </c:pt>
                <c:pt idx="1019">
                  <c:v>5755.5774725271895</c:v>
                </c:pt>
                <c:pt idx="1020">
                  <c:v>5755.5774725271895</c:v>
                </c:pt>
                <c:pt idx="1021">
                  <c:v>5755.5774725271895</c:v>
                </c:pt>
                <c:pt idx="1022">
                  <c:v>5755.5774725271895</c:v>
                </c:pt>
                <c:pt idx="1023">
                  <c:v>5755.5774725271895</c:v>
                </c:pt>
                <c:pt idx="1024">
                  <c:v>5755.5774725271895</c:v>
                </c:pt>
                <c:pt idx="1025">
                  <c:v>5755.5774725271895</c:v>
                </c:pt>
                <c:pt idx="1027">
                  <c:v>-767.99999999998977</c:v>
                </c:pt>
                <c:pt idx="1028">
                  <c:v>-767.99999999998977</c:v>
                </c:pt>
                <c:pt idx="1029">
                  <c:v>-767.99999999998977</c:v>
                </c:pt>
                <c:pt idx="1030">
                  <c:v>-767.99999999998977</c:v>
                </c:pt>
                <c:pt idx="1031">
                  <c:v>-767.99999999998977</c:v>
                </c:pt>
                <c:pt idx="1032">
                  <c:v>-767.99999999998977</c:v>
                </c:pt>
                <c:pt idx="1033">
                  <c:v>-767.99999999998977</c:v>
                </c:pt>
                <c:pt idx="1034">
                  <c:v>-767.99999999998977</c:v>
                </c:pt>
                <c:pt idx="1035">
                  <c:v>-767.99999999998977</c:v>
                </c:pt>
                <c:pt idx="1036">
                  <c:v>-767.99999999998977</c:v>
                </c:pt>
                <c:pt idx="1037">
                  <c:v>-767.99999999998977</c:v>
                </c:pt>
                <c:pt idx="1038">
                  <c:v>-767.99999999998977</c:v>
                </c:pt>
                <c:pt idx="1039">
                  <c:v>-767.99999999998977</c:v>
                </c:pt>
                <c:pt idx="1040">
                  <c:v>-767.99999999998977</c:v>
                </c:pt>
                <c:pt idx="1041">
                  <c:v>-767.99999999998977</c:v>
                </c:pt>
                <c:pt idx="1042">
                  <c:v>-767.99999999998977</c:v>
                </c:pt>
                <c:pt idx="1043">
                  <c:v>-767.99999999998977</c:v>
                </c:pt>
                <c:pt idx="1044">
                  <c:v>-767.99999999998977</c:v>
                </c:pt>
                <c:pt idx="1045">
                  <c:v>-767.99999999998977</c:v>
                </c:pt>
                <c:pt idx="1046">
                  <c:v>-767.99999999998977</c:v>
                </c:pt>
                <c:pt idx="1047">
                  <c:v>-767.99999999998977</c:v>
                </c:pt>
                <c:pt idx="1048">
                  <c:v>-767.99999999998977</c:v>
                </c:pt>
                <c:pt idx="1049">
                  <c:v>-767.99999999998977</c:v>
                </c:pt>
                <c:pt idx="1050">
                  <c:v>-767.99999999998977</c:v>
                </c:pt>
                <c:pt idx="1051">
                  <c:v>-767.99999999998977</c:v>
                </c:pt>
                <c:pt idx="1052">
                  <c:v>-767.99999999998977</c:v>
                </c:pt>
                <c:pt idx="1053">
                  <c:v>-767.99999999998977</c:v>
                </c:pt>
                <c:pt idx="1054">
                  <c:v>-767.99999999998977</c:v>
                </c:pt>
                <c:pt idx="1055">
                  <c:v>-767.99999999998977</c:v>
                </c:pt>
                <c:pt idx="1056">
                  <c:v>-767.99999999998977</c:v>
                </c:pt>
                <c:pt idx="1057">
                  <c:v>-767.99999999998977</c:v>
                </c:pt>
                <c:pt idx="1058">
                  <c:v>-767.99999999998977</c:v>
                </c:pt>
                <c:pt idx="1059">
                  <c:v>-767.99999999998977</c:v>
                </c:pt>
                <c:pt idx="1060">
                  <c:v>-767.99999999998977</c:v>
                </c:pt>
                <c:pt idx="1061">
                  <c:v>-767.99999999998977</c:v>
                </c:pt>
                <c:pt idx="1062">
                  <c:v>-767.99999999998977</c:v>
                </c:pt>
                <c:pt idx="1063">
                  <c:v>-767.99999999998977</c:v>
                </c:pt>
                <c:pt idx="1064">
                  <c:v>-767.99999999998977</c:v>
                </c:pt>
                <c:pt idx="1065">
                  <c:v>-767.99999999998977</c:v>
                </c:pt>
                <c:pt idx="1066">
                  <c:v>-767.99999999998977</c:v>
                </c:pt>
                <c:pt idx="1067">
                  <c:v>-767.99999999998977</c:v>
                </c:pt>
                <c:pt idx="1068">
                  <c:v>-767.99999999998977</c:v>
                </c:pt>
                <c:pt idx="1069">
                  <c:v>-767.99999999998977</c:v>
                </c:pt>
                <c:pt idx="1070">
                  <c:v>-767.99999999998977</c:v>
                </c:pt>
                <c:pt idx="1071">
                  <c:v>-767.99999999998977</c:v>
                </c:pt>
                <c:pt idx="1072">
                  <c:v>-767.99999999998977</c:v>
                </c:pt>
                <c:pt idx="1073">
                  <c:v>-767.99999999998977</c:v>
                </c:pt>
                <c:pt idx="1074">
                  <c:v>-767.99999999998977</c:v>
                </c:pt>
                <c:pt idx="1075">
                  <c:v>-767.99999999998977</c:v>
                </c:pt>
                <c:pt idx="1076">
                  <c:v>-767.99999999998977</c:v>
                </c:pt>
                <c:pt idx="1077">
                  <c:v>-767.99999999998977</c:v>
                </c:pt>
                <c:pt idx="1078">
                  <c:v>-767.99999999998977</c:v>
                </c:pt>
                <c:pt idx="1079">
                  <c:v>-767.99999999998977</c:v>
                </c:pt>
                <c:pt idx="1080">
                  <c:v>-767.99999999998977</c:v>
                </c:pt>
                <c:pt idx="1081">
                  <c:v>-767.99999999998977</c:v>
                </c:pt>
                <c:pt idx="1082">
                  <c:v>-767.99999999998977</c:v>
                </c:pt>
                <c:pt idx="1083">
                  <c:v>-767.99999999998977</c:v>
                </c:pt>
                <c:pt idx="1084">
                  <c:v>-767.99999999998977</c:v>
                </c:pt>
                <c:pt idx="1085">
                  <c:v>-767.99999999998977</c:v>
                </c:pt>
                <c:pt idx="1086">
                  <c:v>-767.99999999998977</c:v>
                </c:pt>
                <c:pt idx="1087">
                  <c:v>-767.99999999998977</c:v>
                </c:pt>
                <c:pt idx="1088">
                  <c:v>-767.99999999998977</c:v>
                </c:pt>
                <c:pt idx="1089">
                  <c:v>-767.99999999998977</c:v>
                </c:pt>
                <c:pt idx="1090">
                  <c:v>-767.99999999998977</c:v>
                </c:pt>
                <c:pt idx="1091">
                  <c:v>-767.99999999998977</c:v>
                </c:pt>
                <c:pt idx="1092">
                  <c:v>-767.99999999998977</c:v>
                </c:pt>
                <c:pt idx="1093">
                  <c:v>-767.99999999998977</c:v>
                </c:pt>
                <c:pt idx="1094">
                  <c:v>-767.99999999998977</c:v>
                </c:pt>
                <c:pt idx="1095">
                  <c:v>-767.99999999998977</c:v>
                </c:pt>
                <c:pt idx="1096">
                  <c:v>-767.99999999998977</c:v>
                </c:pt>
                <c:pt idx="1097">
                  <c:v>-767.99999999998977</c:v>
                </c:pt>
                <c:pt idx="1098">
                  <c:v>-767.99999999998977</c:v>
                </c:pt>
                <c:pt idx="1099">
                  <c:v>-767.99999999998977</c:v>
                </c:pt>
                <c:pt idx="1100">
                  <c:v>-767.99999999998977</c:v>
                </c:pt>
                <c:pt idx="1101">
                  <c:v>-767.99999999998977</c:v>
                </c:pt>
                <c:pt idx="1102">
                  <c:v>-767.99999999998977</c:v>
                </c:pt>
                <c:pt idx="1103">
                  <c:v>-767.99999999998977</c:v>
                </c:pt>
                <c:pt idx="1104">
                  <c:v>-767.99999999998977</c:v>
                </c:pt>
                <c:pt idx="1105">
                  <c:v>-767.99999999998977</c:v>
                </c:pt>
                <c:pt idx="1106">
                  <c:v>-767.99999999998977</c:v>
                </c:pt>
                <c:pt idx="1107">
                  <c:v>-767.99999999998977</c:v>
                </c:pt>
                <c:pt idx="1108">
                  <c:v>-767.99999999998977</c:v>
                </c:pt>
                <c:pt idx="1109">
                  <c:v>-767.99999999998977</c:v>
                </c:pt>
                <c:pt idx="1110">
                  <c:v>-767.99999999998977</c:v>
                </c:pt>
                <c:pt idx="1111">
                  <c:v>-767.99999999998977</c:v>
                </c:pt>
                <c:pt idx="1112">
                  <c:v>-767.99999999998977</c:v>
                </c:pt>
                <c:pt idx="1113">
                  <c:v>-767.99999999998977</c:v>
                </c:pt>
                <c:pt idx="1114">
                  <c:v>-767.99999999998977</c:v>
                </c:pt>
                <c:pt idx="1115">
                  <c:v>-767.99999999998977</c:v>
                </c:pt>
                <c:pt idx="1116">
                  <c:v>-767.99999999998977</c:v>
                </c:pt>
                <c:pt idx="1117">
                  <c:v>-767.99999999998977</c:v>
                </c:pt>
                <c:pt idx="1118">
                  <c:v>-767.99999999998977</c:v>
                </c:pt>
                <c:pt idx="1119">
                  <c:v>-767.99999999998977</c:v>
                </c:pt>
                <c:pt idx="1120">
                  <c:v>-767.99999999998977</c:v>
                </c:pt>
                <c:pt idx="1121">
                  <c:v>-767.99999999998977</c:v>
                </c:pt>
                <c:pt idx="1122">
                  <c:v>-767.99999999998977</c:v>
                </c:pt>
                <c:pt idx="1123">
                  <c:v>-767.99999999998977</c:v>
                </c:pt>
                <c:pt idx="1124">
                  <c:v>-767.99999999998977</c:v>
                </c:pt>
                <c:pt idx="1125">
                  <c:v>-767.99999999998977</c:v>
                </c:pt>
                <c:pt idx="1126">
                  <c:v>-767.99999999998977</c:v>
                </c:pt>
                <c:pt idx="1127">
                  <c:v>-767.99999999998977</c:v>
                </c:pt>
                <c:pt idx="1128">
                  <c:v>-767.99999999998977</c:v>
                </c:pt>
                <c:pt idx="1129">
                  <c:v>-767.99999999998977</c:v>
                </c:pt>
                <c:pt idx="1130">
                  <c:v>-767.99999999998977</c:v>
                </c:pt>
                <c:pt idx="1131">
                  <c:v>-767.99999999998977</c:v>
                </c:pt>
                <c:pt idx="1132">
                  <c:v>-767.99999999998977</c:v>
                </c:pt>
                <c:pt idx="1133">
                  <c:v>-767.99999999998977</c:v>
                </c:pt>
                <c:pt idx="1134">
                  <c:v>-767.99999999998977</c:v>
                </c:pt>
                <c:pt idx="1135">
                  <c:v>-767.99999999998977</c:v>
                </c:pt>
                <c:pt idx="1136">
                  <c:v>-767.99999999998977</c:v>
                </c:pt>
                <c:pt idx="1137">
                  <c:v>-767.99999999998977</c:v>
                </c:pt>
                <c:pt idx="1138">
                  <c:v>-767.99999999998977</c:v>
                </c:pt>
                <c:pt idx="1139">
                  <c:v>-767.99999999998977</c:v>
                </c:pt>
                <c:pt idx="1140">
                  <c:v>-767.99999999998977</c:v>
                </c:pt>
                <c:pt idx="1141">
                  <c:v>-767.99999999998977</c:v>
                </c:pt>
                <c:pt idx="1142">
                  <c:v>-767.99999999998977</c:v>
                </c:pt>
                <c:pt idx="1143">
                  <c:v>-767.99999999998977</c:v>
                </c:pt>
                <c:pt idx="1144">
                  <c:v>-767.99999999998977</c:v>
                </c:pt>
                <c:pt idx="1145">
                  <c:v>-767.99999999998977</c:v>
                </c:pt>
                <c:pt idx="1146">
                  <c:v>-767.99999999998977</c:v>
                </c:pt>
                <c:pt idx="1147">
                  <c:v>-767.99999999998977</c:v>
                </c:pt>
                <c:pt idx="1148">
                  <c:v>-767.99999999998977</c:v>
                </c:pt>
                <c:pt idx="1149">
                  <c:v>-767.99999999998977</c:v>
                </c:pt>
                <c:pt idx="1150">
                  <c:v>-767.99999999998977</c:v>
                </c:pt>
                <c:pt idx="1151">
                  <c:v>-767.99999999998977</c:v>
                </c:pt>
                <c:pt idx="1152">
                  <c:v>-767.99999999998977</c:v>
                </c:pt>
                <c:pt idx="1153">
                  <c:v>-767.99999999998977</c:v>
                </c:pt>
                <c:pt idx="1154">
                  <c:v>-767.99999999998977</c:v>
                </c:pt>
                <c:pt idx="1155">
                  <c:v>-767.99999999998977</c:v>
                </c:pt>
                <c:pt idx="1156">
                  <c:v>-767.99999999998977</c:v>
                </c:pt>
                <c:pt idx="1157">
                  <c:v>-767.99999999998977</c:v>
                </c:pt>
                <c:pt idx="1158">
                  <c:v>-767.99999999998977</c:v>
                </c:pt>
                <c:pt idx="1159">
                  <c:v>-767.99999999998977</c:v>
                </c:pt>
                <c:pt idx="1160">
                  <c:v>-767.99999999998977</c:v>
                </c:pt>
                <c:pt idx="1161">
                  <c:v>-767.99999999998977</c:v>
                </c:pt>
                <c:pt idx="1162">
                  <c:v>-767.99999999998977</c:v>
                </c:pt>
                <c:pt idx="1163">
                  <c:v>-767.99999999998977</c:v>
                </c:pt>
                <c:pt idx="1164">
                  <c:v>-767.99999999998977</c:v>
                </c:pt>
                <c:pt idx="1165">
                  <c:v>-767.99999999998977</c:v>
                </c:pt>
                <c:pt idx="1166">
                  <c:v>-767.99999999998977</c:v>
                </c:pt>
                <c:pt idx="1167">
                  <c:v>-767.99999999998977</c:v>
                </c:pt>
                <c:pt idx="1168">
                  <c:v>-767.99999999998977</c:v>
                </c:pt>
                <c:pt idx="1169">
                  <c:v>-767.99999999998977</c:v>
                </c:pt>
                <c:pt idx="1170">
                  <c:v>-767.99999999998977</c:v>
                </c:pt>
                <c:pt idx="1171">
                  <c:v>-767.99999999998977</c:v>
                </c:pt>
                <c:pt idx="1172">
                  <c:v>-767.99999999998977</c:v>
                </c:pt>
                <c:pt idx="1173">
                  <c:v>-767.99999999998977</c:v>
                </c:pt>
                <c:pt idx="1174">
                  <c:v>-767.99999999998977</c:v>
                </c:pt>
                <c:pt idx="1175">
                  <c:v>-767.99999999998977</c:v>
                </c:pt>
                <c:pt idx="1176">
                  <c:v>-767.99999999998977</c:v>
                </c:pt>
                <c:pt idx="1177">
                  <c:v>-767.99999999998977</c:v>
                </c:pt>
                <c:pt idx="1178">
                  <c:v>-767.99999999998977</c:v>
                </c:pt>
                <c:pt idx="1179">
                  <c:v>-767.99999999998977</c:v>
                </c:pt>
                <c:pt idx="1180">
                  <c:v>-767.99999999998977</c:v>
                </c:pt>
                <c:pt idx="1181">
                  <c:v>-767.99999999998977</c:v>
                </c:pt>
                <c:pt idx="1182">
                  <c:v>-767.99999999998977</c:v>
                </c:pt>
                <c:pt idx="1183">
                  <c:v>-767.99999999998977</c:v>
                </c:pt>
                <c:pt idx="1184">
                  <c:v>-767.99999999998977</c:v>
                </c:pt>
                <c:pt idx="1185">
                  <c:v>-767.99999999998977</c:v>
                </c:pt>
                <c:pt idx="1186">
                  <c:v>-767.99999999998977</c:v>
                </c:pt>
                <c:pt idx="1187">
                  <c:v>-767.99999999998977</c:v>
                </c:pt>
                <c:pt idx="1188">
                  <c:v>-767.99999999998977</c:v>
                </c:pt>
                <c:pt idx="1189">
                  <c:v>-767.99999999998977</c:v>
                </c:pt>
                <c:pt idx="1190">
                  <c:v>-767.99999999998977</c:v>
                </c:pt>
                <c:pt idx="1191">
                  <c:v>-767.99999999998977</c:v>
                </c:pt>
                <c:pt idx="1192">
                  <c:v>-767.99999999998977</c:v>
                </c:pt>
                <c:pt idx="1193">
                  <c:v>-767.99999999998977</c:v>
                </c:pt>
                <c:pt idx="1194">
                  <c:v>-767.99999999998977</c:v>
                </c:pt>
                <c:pt idx="1195">
                  <c:v>-767.99999999998977</c:v>
                </c:pt>
                <c:pt idx="1196">
                  <c:v>-767.99999999998977</c:v>
                </c:pt>
                <c:pt idx="1197">
                  <c:v>-767.99999999998977</c:v>
                </c:pt>
                <c:pt idx="1198">
                  <c:v>-767.99999999998977</c:v>
                </c:pt>
                <c:pt idx="1199">
                  <c:v>-767.99999999998977</c:v>
                </c:pt>
                <c:pt idx="1200">
                  <c:v>-767.99999999998977</c:v>
                </c:pt>
                <c:pt idx="1201">
                  <c:v>-767.99999999998977</c:v>
                </c:pt>
                <c:pt idx="1202">
                  <c:v>-767.99999999998977</c:v>
                </c:pt>
                <c:pt idx="1203">
                  <c:v>-767.99999999998977</c:v>
                </c:pt>
                <c:pt idx="1204">
                  <c:v>-767.99999999998977</c:v>
                </c:pt>
                <c:pt idx="1205">
                  <c:v>-767.99999999998977</c:v>
                </c:pt>
                <c:pt idx="1206">
                  <c:v>-767.99999999998977</c:v>
                </c:pt>
                <c:pt idx="1207">
                  <c:v>-767.99999999998977</c:v>
                </c:pt>
                <c:pt idx="1208">
                  <c:v>-767.99999999998977</c:v>
                </c:pt>
                <c:pt idx="1209">
                  <c:v>-767.99999999998977</c:v>
                </c:pt>
                <c:pt idx="1210">
                  <c:v>-767.99999999998977</c:v>
                </c:pt>
                <c:pt idx="1211">
                  <c:v>-767.99999999998977</c:v>
                </c:pt>
                <c:pt idx="1212">
                  <c:v>-767.99999999998977</c:v>
                </c:pt>
                <c:pt idx="1213">
                  <c:v>-767.99999999998977</c:v>
                </c:pt>
                <c:pt idx="1214">
                  <c:v>-767.99999999998977</c:v>
                </c:pt>
                <c:pt idx="1215">
                  <c:v>-767.99999999998977</c:v>
                </c:pt>
                <c:pt idx="1216">
                  <c:v>-767.99999999998977</c:v>
                </c:pt>
                <c:pt idx="1217">
                  <c:v>-767.99999999998977</c:v>
                </c:pt>
                <c:pt idx="1218">
                  <c:v>-767.99999999998977</c:v>
                </c:pt>
                <c:pt idx="1219">
                  <c:v>-767.99999999998977</c:v>
                </c:pt>
                <c:pt idx="1220">
                  <c:v>-767.99999999998977</c:v>
                </c:pt>
                <c:pt idx="1221">
                  <c:v>-767.99999999998977</c:v>
                </c:pt>
                <c:pt idx="1222">
                  <c:v>-767.99999999998977</c:v>
                </c:pt>
                <c:pt idx="1223">
                  <c:v>-767.99999999998977</c:v>
                </c:pt>
                <c:pt idx="1224">
                  <c:v>-767.99999999998977</c:v>
                </c:pt>
                <c:pt idx="1225">
                  <c:v>-767.99999999998977</c:v>
                </c:pt>
                <c:pt idx="1226">
                  <c:v>-767.99999999998977</c:v>
                </c:pt>
                <c:pt idx="1227">
                  <c:v>-767.99999999998977</c:v>
                </c:pt>
                <c:pt idx="1228">
                  <c:v>-767.99999999998977</c:v>
                </c:pt>
                <c:pt idx="1229">
                  <c:v>-767.99999999998977</c:v>
                </c:pt>
                <c:pt idx="1230">
                  <c:v>-767.99999999998977</c:v>
                </c:pt>
                <c:pt idx="1231">
                  <c:v>-767.99999999998977</c:v>
                </c:pt>
                <c:pt idx="1232">
                  <c:v>-767.99999999998977</c:v>
                </c:pt>
                <c:pt idx="1233">
                  <c:v>-767.99999999998977</c:v>
                </c:pt>
                <c:pt idx="1234">
                  <c:v>-767.99999999998977</c:v>
                </c:pt>
                <c:pt idx="1235">
                  <c:v>-767.99999999998977</c:v>
                </c:pt>
                <c:pt idx="1236">
                  <c:v>-767.99999999998977</c:v>
                </c:pt>
                <c:pt idx="1237">
                  <c:v>-767.99999999998977</c:v>
                </c:pt>
              </c:numCache>
            </c:numRef>
          </c:val>
          <c:smooth val="0"/>
          <c:extLst>
            <c:ext xmlns:c16="http://schemas.microsoft.com/office/drawing/2014/chart" uri="{C3380CC4-5D6E-409C-BE32-E72D297353CC}">
              <c16:uniqueId val="{00000002-C82D-4F02-BD8C-C8547AE575E5}"/>
            </c:ext>
          </c:extLst>
        </c:ser>
        <c:ser>
          <c:idx val="3"/>
          <c:order val="3"/>
          <c:tx>
            <c:v>W</c:v>
          </c:tx>
          <c:spPr>
            <a:ln w="28575" cap="rnd">
              <a:solidFill>
                <a:schemeClr val="accent4"/>
              </a:solidFill>
              <a:round/>
            </a:ln>
            <a:effectLst/>
          </c:spPr>
          <c:marker>
            <c:symbol val="none"/>
          </c:marker>
          <c:cat>
            <c:strRef>
              <c:f>'Journal Live'!$A$1388:$A$2630</c:f>
              <c:strCache>
                <c:ptCount val="1238"/>
                <c:pt idx="1">
                  <c:v>JAN.24</c:v>
                </c:pt>
                <c:pt idx="2">
                  <c:v>JAN.24</c:v>
                </c:pt>
                <c:pt idx="3">
                  <c:v>JAN.24</c:v>
                </c:pt>
                <c:pt idx="4">
                  <c:v>JAN.24</c:v>
                </c:pt>
                <c:pt idx="5">
                  <c:v>JAN.24</c:v>
                </c:pt>
                <c:pt idx="6">
                  <c:v>JAN.24</c:v>
                </c:pt>
                <c:pt idx="7">
                  <c:v>JAN.24</c:v>
                </c:pt>
                <c:pt idx="8">
                  <c:v>JAN.24</c:v>
                </c:pt>
                <c:pt idx="9">
                  <c:v>JAN.24</c:v>
                </c:pt>
                <c:pt idx="10">
                  <c:v>JAN.24</c:v>
                </c:pt>
                <c:pt idx="11">
                  <c:v>JAN.24</c:v>
                </c:pt>
                <c:pt idx="12">
                  <c:v>JAN.24</c:v>
                </c:pt>
                <c:pt idx="13">
                  <c:v>JAN.24</c:v>
                </c:pt>
                <c:pt idx="14">
                  <c:v>JAN.24</c:v>
                </c:pt>
                <c:pt idx="15">
                  <c:v>JAN.24</c:v>
                </c:pt>
                <c:pt idx="16">
                  <c:v>JAN.24</c:v>
                </c:pt>
                <c:pt idx="17">
                  <c:v>JAN.24</c:v>
                </c:pt>
                <c:pt idx="18">
                  <c:v>JAN.24</c:v>
                </c:pt>
                <c:pt idx="19">
                  <c:v>JAN.24</c:v>
                </c:pt>
                <c:pt idx="20">
                  <c:v>JAN.24</c:v>
                </c:pt>
                <c:pt idx="21">
                  <c:v>JAN.24</c:v>
                </c:pt>
                <c:pt idx="22">
                  <c:v>JAN.24</c:v>
                </c:pt>
                <c:pt idx="23">
                  <c:v>JAN.24</c:v>
                </c:pt>
                <c:pt idx="24">
                  <c:v>JAN.24</c:v>
                </c:pt>
                <c:pt idx="25">
                  <c:v>JAN.24</c:v>
                </c:pt>
                <c:pt idx="26">
                  <c:v>JAN.24</c:v>
                </c:pt>
                <c:pt idx="27">
                  <c:v>JAN.24</c:v>
                </c:pt>
                <c:pt idx="28">
                  <c:v>JAN.24</c:v>
                </c:pt>
                <c:pt idx="29">
                  <c:v>JAN.24</c:v>
                </c:pt>
                <c:pt idx="30">
                  <c:v>JAN.24</c:v>
                </c:pt>
                <c:pt idx="31">
                  <c:v>JAN.24</c:v>
                </c:pt>
                <c:pt idx="32">
                  <c:v>JAN.24</c:v>
                </c:pt>
                <c:pt idx="33">
                  <c:v>JAN.24</c:v>
                </c:pt>
                <c:pt idx="34">
                  <c:v>JAN.24</c:v>
                </c:pt>
                <c:pt idx="35">
                  <c:v>JAN.24</c:v>
                </c:pt>
                <c:pt idx="36">
                  <c:v>JAN.24</c:v>
                </c:pt>
                <c:pt idx="37">
                  <c:v>JAN.24</c:v>
                </c:pt>
                <c:pt idx="38">
                  <c:v>JAN.24</c:v>
                </c:pt>
                <c:pt idx="39">
                  <c:v>JAN.24</c:v>
                </c:pt>
                <c:pt idx="40">
                  <c:v>JAN.24</c:v>
                </c:pt>
                <c:pt idx="41">
                  <c:v>JAN.24</c:v>
                </c:pt>
                <c:pt idx="42">
                  <c:v>JAN.24</c:v>
                </c:pt>
                <c:pt idx="43">
                  <c:v>JAN.24</c:v>
                </c:pt>
                <c:pt idx="44">
                  <c:v>JAN.24</c:v>
                </c:pt>
                <c:pt idx="45">
                  <c:v>JAN.24</c:v>
                </c:pt>
                <c:pt idx="46">
                  <c:v>JAN.24</c:v>
                </c:pt>
                <c:pt idx="47">
                  <c:v>JAN.24</c:v>
                </c:pt>
                <c:pt idx="48">
                  <c:v>JAN.24</c:v>
                </c:pt>
                <c:pt idx="49">
                  <c:v>JAN.24</c:v>
                </c:pt>
                <c:pt idx="50">
                  <c:v>JAN.24</c:v>
                </c:pt>
                <c:pt idx="51">
                  <c:v>JAN.24</c:v>
                </c:pt>
                <c:pt idx="52">
                  <c:v>JAN.24</c:v>
                </c:pt>
                <c:pt idx="53">
                  <c:v>JAN.24</c:v>
                </c:pt>
                <c:pt idx="54">
                  <c:v>JAN.24</c:v>
                </c:pt>
                <c:pt idx="55">
                  <c:v>JAN.24</c:v>
                </c:pt>
                <c:pt idx="56">
                  <c:v>JAN.24</c:v>
                </c:pt>
                <c:pt idx="57">
                  <c:v>JAN.24</c:v>
                </c:pt>
                <c:pt idx="58">
                  <c:v>JAN.24</c:v>
                </c:pt>
                <c:pt idx="59">
                  <c:v>JAN.24</c:v>
                </c:pt>
                <c:pt idx="60">
                  <c:v>JAN.24</c:v>
                </c:pt>
                <c:pt idx="61">
                  <c:v>JAN.24</c:v>
                </c:pt>
                <c:pt idx="62">
                  <c:v>JAN.24</c:v>
                </c:pt>
                <c:pt idx="63">
                  <c:v>JAN.24</c:v>
                </c:pt>
                <c:pt idx="64">
                  <c:v>JAN.24</c:v>
                </c:pt>
                <c:pt idx="65">
                  <c:v>JAN.24</c:v>
                </c:pt>
                <c:pt idx="66">
                  <c:v>JAN.24</c:v>
                </c:pt>
                <c:pt idx="67">
                  <c:v>JAN.24</c:v>
                </c:pt>
                <c:pt idx="68">
                  <c:v>JAN.24</c:v>
                </c:pt>
                <c:pt idx="69">
                  <c:v>JAN.24</c:v>
                </c:pt>
                <c:pt idx="70">
                  <c:v>JAN.24</c:v>
                </c:pt>
                <c:pt idx="71">
                  <c:v>JAN.24</c:v>
                </c:pt>
                <c:pt idx="72">
                  <c:v>JAN.24</c:v>
                </c:pt>
                <c:pt idx="73">
                  <c:v>JAN.24</c:v>
                </c:pt>
                <c:pt idx="74">
                  <c:v>JAN.24</c:v>
                </c:pt>
                <c:pt idx="75">
                  <c:v>JAN.24</c:v>
                </c:pt>
                <c:pt idx="76">
                  <c:v>JAN.24</c:v>
                </c:pt>
                <c:pt idx="77">
                  <c:v>JAN.24</c:v>
                </c:pt>
                <c:pt idx="78">
                  <c:v>JAN.24</c:v>
                </c:pt>
                <c:pt idx="79">
                  <c:v>JAN.24</c:v>
                </c:pt>
                <c:pt idx="80">
                  <c:v>JAN.24</c:v>
                </c:pt>
                <c:pt idx="81">
                  <c:v>JAN.24</c:v>
                </c:pt>
                <c:pt idx="82">
                  <c:v>JAN.24</c:v>
                </c:pt>
                <c:pt idx="83">
                  <c:v>JAN.24</c:v>
                </c:pt>
                <c:pt idx="84">
                  <c:v>JAN.24</c:v>
                </c:pt>
                <c:pt idx="85">
                  <c:v>JAN.24</c:v>
                </c:pt>
                <c:pt idx="86">
                  <c:v>JAN.24</c:v>
                </c:pt>
                <c:pt idx="87">
                  <c:v>JAN.24</c:v>
                </c:pt>
                <c:pt idx="88">
                  <c:v>JAN.24</c:v>
                </c:pt>
                <c:pt idx="89">
                  <c:v>JAN.24</c:v>
                </c:pt>
                <c:pt idx="90">
                  <c:v>JAN.24</c:v>
                </c:pt>
                <c:pt idx="91">
                  <c:v>JAN.24</c:v>
                </c:pt>
                <c:pt idx="92">
                  <c:v>JAN.24</c:v>
                </c:pt>
                <c:pt idx="93">
                  <c:v>JAN.24</c:v>
                </c:pt>
                <c:pt idx="94">
                  <c:v>JAN.24</c:v>
                </c:pt>
                <c:pt idx="95">
                  <c:v>JAN.24</c:v>
                </c:pt>
                <c:pt idx="96">
                  <c:v>JAN.24</c:v>
                </c:pt>
                <c:pt idx="97">
                  <c:v>JAN.24</c:v>
                </c:pt>
                <c:pt idx="98">
                  <c:v>JAN.24</c:v>
                </c:pt>
                <c:pt idx="99">
                  <c:v>JAN.24</c:v>
                </c:pt>
                <c:pt idx="100">
                  <c:v>JAN.24</c:v>
                </c:pt>
                <c:pt idx="101">
                  <c:v>JAN.24</c:v>
                </c:pt>
                <c:pt idx="102">
                  <c:v>JAN.24</c:v>
                </c:pt>
                <c:pt idx="103">
                  <c:v>JAN.24</c:v>
                </c:pt>
                <c:pt idx="104">
                  <c:v>JAN.24</c:v>
                </c:pt>
                <c:pt idx="105">
                  <c:v>JAN.24</c:v>
                </c:pt>
                <c:pt idx="106">
                  <c:v>JAN.24</c:v>
                </c:pt>
                <c:pt idx="107">
                  <c:v>JAN.24</c:v>
                </c:pt>
                <c:pt idx="108">
                  <c:v>JAN.24</c:v>
                </c:pt>
                <c:pt idx="109">
                  <c:v>JAN.24</c:v>
                </c:pt>
                <c:pt idx="110">
                  <c:v>JAN.24</c:v>
                </c:pt>
                <c:pt idx="111">
                  <c:v>JAN.24</c:v>
                </c:pt>
                <c:pt idx="112">
                  <c:v>JAN.24</c:v>
                </c:pt>
                <c:pt idx="113">
                  <c:v>JAN.24</c:v>
                </c:pt>
                <c:pt idx="114">
                  <c:v>JAN.24</c:v>
                </c:pt>
                <c:pt idx="115">
                  <c:v>JAN.24</c:v>
                </c:pt>
                <c:pt idx="116">
                  <c:v>JAN.24</c:v>
                </c:pt>
                <c:pt idx="117">
                  <c:v>JAN.24</c:v>
                </c:pt>
                <c:pt idx="118">
                  <c:v>JAN.24</c:v>
                </c:pt>
                <c:pt idx="119">
                  <c:v>JAN.24</c:v>
                </c:pt>
                <c:pt idx="120">
                  <c:v>JAN.24</c:v>
                </c:pt>
                <c:pt idx="121">
                  <c:v>JAN.24</c:v>
                </c:pt>
                <c:pt idx="122">
                  <c:v>JAN.24</c:v>
                </c:pt>
                <c:pt idx="123">
                  <c:v>JAN.24</c:v>
                </c:pt>
                <c:pt idx="124">
                  <c:v>JAN.24</c:v>
                </c:pt>
                <c:pt idx="125">
                  <c:v>JAN.24</c:v>
                </c:pt>
                <c:pt idx="126">
                  <c:v>JAN.24</c:v>
                </c:pt>
                <c:pt idx="127">
                  <c:v>JAN.24</c:v>
                </c:pt>
                <c:pt idx="128">
                  <c:v>JAN.24</c:v>
                </c:pt>
                <c:pt idx="129">
                  <c:v>JAN.24</c:v>
                </c:pt>
                <c:pt idx="130">
                  <c:v>JAN.24</c:v>
                </c:pt>
                <c:pt idx="131">
                  <c:v>JAN.24</c:v>
                </c:pt>
                <c:pt idx="132">
                  <c:v>February 24 live</c:v>
                </c:pt>
                <c:pt idx="133">
                  <c:v>FEB.24</c:v>
                </c:pt>
                <c:pt idx="134">
                  <c:v>FEB.24</c:v>
                </c:pt>
                <c:pt idx="135">
                  <c:v>FEB.24</c:v>
                </c:pt>
                <c:pt idx="136">
                  <c:v>FEB.24</c:v>
                </c:pt>
                <c:pt idx="137">
                  <c:v>FEB.24</c:v>
                </c:pt>
                <c:pt idx="138">
                  <c:v>FEB.24</c:v>
                </c:pt>
                <c:pt idx="139">
                  <c:v>FEB.24</c:v>
                </c:pt>
                <c:pt idx="140">
                  <c:v>FEB.24</c:v>
                </c:pt>
                <c:pt idx="141">
                  <c:v>FEB.24</c:v>
                </c:pt>
                <c:pt idx="142">
                  <c:v>FEB.24</c:v>
                </c:pt>
                <c:pt idx="143">
                  <c:v>FEB.24</c:v>
                </c:pt>
                <c:pt idx="144">
                  <c:v>FEB.24</c:v>
                </c:pt>
                <c:pt idx="145">
                  <c:v>FEB.24</c:v>
                </c:pt>
                <c:pt idx="146">
                  <c:v>FEB.24</c:v>
                </c:pt>
                <c:pt idx="147">
                  <c:v>FEB.24</c:v>
                </c:pt>
                <c:pt idx="148">
                  <c:v>FEB.24</c:v>
                </c:pt>
                <c:pt idx="149">
                  <c:v>FEB.24</c:v>
                </c:pt>
                <c:pt idx="150">
                  <c:v>FEB.24</c:v>
                </c:pt>
                <c:pt idx="151">
                  <c:v>FEB.24</c:v>
                </c:pt>
                <c:pt idx="152">
                  <c:v>FEB.24</c:v>
                </c:pt>
                <c:pt idx="153">
                  <c:v>FEB.24</c:v>
                </c:pt>
                <c:pt idx="154">
                  <c:v>FEB.24</c:v>
                </c:pt>
                <c:pt idx="155">
                  <c:v>FEB.24</c:v>
                </c:pt>
                <c:pt idx="156">
                  <c:v>FEB.24</c:v>
                </c:pt>
                <c:pt idx="157">
                  <c:v>FEB.24</c:v>
                </c:pt>
                <c:pt idx="158">
                  <c:v>FEB.24</c:v>
                </c:pt>
                <c:pt idx="159">
                  <c:v>FEB.24</c:v>
                </c:pt>
                <c:pt idx="160">
                  <c:v>FEB.24</c:v>
                </c:pt>
                <c:pt idx="161">
                  <c:v>FEB.24</c:v>
                </c:pt>
                <c:pt idx="162">
                  <c:v>FEB.24</c:v>
                </c:pt>
                <c:pt idx="163">
                  <c:v>FEB.24</c:v>
                </c:pt>
                <c:pt idx="164">
                  <c:v>FEB.24</c:v>
                </c:pt>
                <c:pt idx="165">
                  <c:v>FEB.24</c:v>
                </c:pt>
                <c:pt idx="166">
                  <c:v>FEB.24</c:v>
                </c:pt>
                <c:pt idx="167">
                  <c:v>FEB.24</c:v>
                </c:pt>
                <c:pt idx="168">
                  <c:v>FEB.24</c:v>
                </c:pt>
                <c:pt idx="169">
                  <c:v>FEB.24</c:v>
                </c:pt>
                <c:pt idx="170">
                  <c:v>FEB.24</c:v>
                </c:pt>
                <c:pt idx="171">
                  <c:v>FEB.24</c:v>
                </c:pt>
                <c:pt idx="172">
                  <c:v>FEB.24</c:v>
                </c:pt>
                <c:pt idx="173">
                  <c:v>FEB.24</c:v>
                </c:pt>
                <c:pt idx="174">
                  <c:v>FEB.24</c:v>
                </c:pt>
                <c:pt idx="175">
                  <c:v>FEB.24</c:v>
                </c:pt>
                <c:pt idx="176">
                  <c:v>FEB.24</c:v>
                </c:pt>
                <c:pt idx="177">
                  <c:v>FEB.24</c:v>
                </c:pt>
                <c:pt idx="178">
                  <c:v>FEB.24</c:v>
                </c:pt>
                <c:pt idx="179">
                  <c:v>FEB.24</c:v>
                </c:pt>
                <c:pt idx="180">
                  <c:v>FEB.24</c:v>
                </c:pt>
                <c:pt idx="181">
                  <c:v>FEB.24</c:v>
                </c:pt>
                <c:pt idx="182">
                  <c:v>FEB.24</c:v>
                </c:pt>
                <c:pt idx="183">
                  <c:v>FEB.24</c:v>
                </c:pt>
                <c:pt idx="184">
                  <c:v>FEB.24</c:v>
                </c:pt>
                <c:pt idx="185">
                  <c:v>FEB.24</c:v>
                </c:pt>
                <c:pt idx="186">
                  <c:v>FEB.24</c:v>
                </c:pt>
                <c:pt idx="187">
                  <c:v>FEB.24</c:v>
                </c:pt>
                <c:pt idx="188">
                  <c:v>FEB.24</c:v>
                </c:pt>
                <c:pt idx="189">
                  <c:v>FEB.24</c:v>
                </c:pt>
                <c:pt idx="190">
                  <c:v>FEB.24</c:v>
                </c:pt>
                <c:pt idx="191">
                  <c:v>FEB.24</c:v>
                </c:pt>
                <c:pt idx="192">
                  <c:v>FEB.24</c:v>
                </c:pt>
                <c:pt idx="193">
                  <c:v>FEB.24</c:v>
                </c:pt>
                <c:pt idx="194">
                  <c:v>FEB.24</c:v>
                </c:pt>
                <c:pt idx="195">
                  <c:v>FEB.24</c:v>
                </c:pt>
                <c:pt idx="196">
                  <c:v>FEB.24</c:v>
                </c:pt>
                <c:pt idx="197">
                  <c:v>FEB.24</c:v>
                </c:pt>
                <c:pt idx="198">
                  <c:v>FEB.24</c:v>
                </c:pt>
                <c:pt idx="199">
                  <c:v>FEB.24</c:v>
                </c:pt>
                <c:pt idx="200">
                  <c:v>FEB.24</c:v>
                </c:pt>
                <c:pt idx="201">
                  <c:v>FEB.24</c:v>
                </c:pt>
                <c:pt idx="202">
                  <c:v>FEB.24</c:v>
                </c:pt>
                <c:pt idx="203">
                  <c:v>FEB.24</c:v>
                </c:pt>
                <c:pt idx="204">
                  <c:v>FEB.24</c:v>
                </c:pt>
                <c:pt idx="205">
                  <c:v>FEB.24</c:v>
                </c:pt>
                <c:pt idx="206">
                  <c:v>FEB.24</c:v>
                </c:pt>
                <c:pt idx="207">
                  <c:v>FEB.24</c:v>
                </c:pt>
                <c:pt idx="208">
                  <c:v>FEB.24</c:v>
                </c:pt>
                <c:pt idx="209">
                  <c:v>FEB.24</c:v>
                </c:pt>
                <c:pt idx="210">
                  <c:v>FEB.24</c:v>
                </c:pt>
                <c:pt idx="211">
                  <c:v>FEB.24</c:v>
                </c:pt>
                <c:pt idx="212">
                  <c:v>FEB.24</c:v>
                </c:pt>
                <c:pt idx="213">
                  <c:v>FEB.24</c:v>
                </c:pt>
                <c:pt idx="214">
                  <c:v>FEB.24</c:v>
                </c:pt>
                <c:pt idx="215">
                  <c:v>FEB.24</c:v>
                </c:pt>
                <c:pt idx="216">
                  <c:v>FEB.24</c:v>
                </c:pt>
                <c:pt idx="217">
                  <c:v>FEB.24</c:v>
                </c:pt>
                <c:pt idx="218">
                  <c:v>FEB.24</c:v>
                </c:pt>
                <c:pt idx="219">
                  <c:v>FEB.24</c:v>
                </c:pt>
                <c:pt idx="220">
                  <c:v>FEB.24</c:v>
                </c:pt>
                <c:pt idx="221">
                  <c:v>FEB.24</c:v>
                </c:pt>
                <c:pt idx="222">
                  <c:v>FEB.24</c:v>
                </c:pt>
                <c:pt idx="223">
                  <c:v>FEB.24</c:v>
                </c:pt>
                <c:pt idx="224">
                  <c:v>FEB.24</c:v>
                </c:pt>
                <c:pt idx="225">
                  <c:v>FEB.24</c:v>
                </c:pt>
                <c:pt idx="226">
                  <c:v>FEB.24</c:v>
                </c:pt>
                <c:pt idx="227">
                  <c:v>FEB.24</c:v>
                </c:pt>
                <c:pt idx="228">
                  <c:v>FEB.24</c:v>
                </c:pt>
                <c:pt idx="229">
                  <c:v>FEB.24</c:v>
                </c:pt>
                <c:pt idx="230">
                  <c:v>FEB.24</c:v>
                </c:pt>
                <c:pt idx="231">
                  <c:v>FEB.24</c:v>
                </c:pt>
                <c:pt idx="232">
                  <c:v>FEB.24</c:v>
                </c:pt>
                <c:pt idx="233">
                  <c:v>FEB.24</c:v>
                </c:pt>
                <c:pt idx="234">
                  <c:v>FEB.24</c:v>
                </c:pt>
                <c:pt idx="235">
                  <c:v>FEB.24</c:v>
                </c:pt>
                <c:pt idx="236">
                  <c:v>FEB.24</c:v>
                </c:pt>
                <c:pt idx="237">
                  <c:v>FEB.24</c:v>
                </c:pt>
                <c:pt idx="238">
                  <c:v>FEB.24</c:v>
                </c:pt>
                <c:pt idx="239">
                  <c:v>FEB.24</c:v>
                </c:pt>
                <c:pt idx="240">
                  <c:v>FEB.24</c:v>
                </c:pt>
                <c:pt idx="241">
                  <c:v>FEB.24</c:v>
                </c:pt>
                <c:pt idx="242">
                  <c:v>FEB.24</c:v>
                </c:pt>
                <c:pt idx="243">
                  <c:v>FEB.24</c:v>
                </c:pt>
                <c:pt idx="244">
                  <c:v>FEB.24</c:v>
                </c:pt>
                <c:pt idx="245">
                  <c:v>FEB.24</c:v>
                </c:pt>
                <c:pt idx="246">
                  <c:v>FEB.24</c:v>
                </c:pt>
                <c:pt idx="247">
                  <c:v>FEB.24</c:v>
                </c:pt>
                <c:pt idx="248">
                  <c:v>FEB.24</c:v>
                </c:pt>
                <c:pt idx="249">
                  <c:v>FEB.24</c:v>
                </c:pt>
                <c:pt idx="250">
                  <c:v>FEB.24</c:v>
                </c:pt>
                <c:pt idx="251">
                  <c:v>FEB.24</c:v>
                </c:pt>
                <c:pt idx="252">
                  <c:v>March 24 live</c:v>
                </c:pt>
                <c:pt idx="253">
                  <c:v>MAR.24</c:v>
                </c:pt>
                <c:pt idx="254">
                  <c:v>MAR.24</c:v>
                </c:pt>
                <c:pt idx="255">
                  <c:v>MAR.24</c:v>
                </c:pt>
                <c:pt idx="256">
                  <c:v>MAR.24</c:v>
                </c:pt>
                <c:pt idx="257">
                  <c:v>MAR.24</c:v>
                </c:pt>
                <c:pt idx="258">
                  <c:v>MAR.24</c:v>
                </c:pt>
                <c:pt idx="259">
                  <c:v>MAR.24</c:v>
                </c:pt>
                <c:pt idx="260">
                  <c:v>MAR.24</c:v>
                </c:pt>
                <c:pt idx="261">
                  <c:v>MAR.24</c:v>
                </c:pt>
                <c:pt idx="262">
                  <c:v>MAR.24</c:v>
                </c:pt>
                <c:pt idx="263">
                  <c:v>MAR.24</c:v>
                </c:pt>
                <c:pt idx="264">
                  <c:v>MAR.24</c:v>
                </c:pt>
                <c:pt idx="265">
                  <c:v>MAR.24</c:v>
                </c:pt>
                <c:pt idx="266">
                  <c:v>MAR.24</c:v>
                </c:pt>
                <c:pt idx="267">
                  <c:v>MAR.24</c:v>
                </c:pt>
                <c:pt idx="268">
                  <c:v>MAR.24</c:v>
                </c:pt>
                <c:pt idx="269">
                  <c:v>MAR.24</c:v>
                </c:pt>
                <c:pt idx="270">
                  <c:v>MAR.24</c:v>
                </c:pt>
                <c:pt idx="271">
                  <c:v>MAR.24</c:v>
                </c:pt>
                <c:pt idx="272">
                  <c:v>MAR.24</c:v>
                </c:pt>
                <c:pt idx="273">
                  <c:v>MAR.24</c:v>
                </c:pt>
                <c:pt idx="274">
                  <c:v>MAR.24</c:v>
                </c:pt>
                <c:pt idx="275">
                  <c:v>MAR.24</c:v>
                </c:pt>
                <c:pt idx="276">
                  <c:v>MAR.24</c:v>
                </c:pt>
                <c:pt idx="277">
                  <c:v>MAR.24</c:v>
                </c:pt>
                <c:pt idx="278">
                  <c:v>MAR.24</c:v>
                </c:pt>
                <c:pt idx="279">
                  <c:v>MAR.24</c:v>
                </c:pt>
                <c:pt idx="280">
                  <c:v>MAR.24</c:v>
                </c:pt>
                <c:pt idx="281">
                  <c:v>MAR.24</c:v>
                </c:pt>
                <c:pt idx="282">
                  <c:v>MAR.24</c:v>
                </c:pt>
                <c:pt idx="283">
                  <c:v>MAR.24</c:v>
                </c:pt>
                <c:pt idx="284">
                  <c:v>MAR.24</c:v>
                </c:pt>
                <c:pt idx="285">
                  <c:v>MAR.24</c:v>
                </c:pt>
                <c:pt idx="286">
                  <c:v>MAR.24</c:v>
                </c:pt>
                <c:pt idx="287">
                  <c:v>MAR.24</c:v>
                </c:pt>
                <c:pt idx="288">
                  <c:v>MAR.24</c:v>
                </c:pt>
                <c:pt idx="289">
                  <c:v>MAR.24</c:v>
                </c:pt>
                <c:pt idx="290">
                  <c:v>MAR.24</c:v>
                </c:pt>
                <c:pt idx="291">
                  <c:v>MAR.24</c:v>
                </c:pt>
                <c:pt idx="292">
                  <c:v>MAR.24</c:v>
                </c:pt>
                <c:pt idx="293">
                  <c:v>MAR.24</c:v>
                </c:pt>
                <c:pt idx="294">
                  <c:v>MAR.24</c:v>
                </c:pt>
                <c:pt idx="295">
                  <c:v>MAR.24</c:v>
                </c:pt>
                <c:pt idx="296">
                  <c:v>MAR.24</c:v>
                </c:pt>
                <c:pt idx="297">
                  <c:v>MAR.24</c:v>
                </c:pt>
                <c:pt idx="298">
                  <c:v>MAR.24</c:v>
                </c:pt>
                <c:pt idx="299">
                  <c:v>MAR.24</c:v>
                </c:pt>
                <c:pt idx="300">
                  <c:v>MAR.24</c:v>
                </c:pt>
                <c:pt idx="301">
                  <c:v>MAR.24</c:v>
                </c:pt>
                <c:pt idx="302">
                  <c:v>MAR.24</c:v>
                </c:pt>
                <c:pt idx="303">
                  <c:v>MAR.24</c:v>
                </c:pt>
                <c:pt idx="304">
                  <c:v>MAR.24</c:v>
                </c:pt>
                <c:pt idx="305">
                  <c:v>MAR.24</c:v>
                </c:pt>
                <c:pt idx="306">
                  <c:v>MAR.24</c:v>
                </c:pt>
                <c:pt idx="307">
                  <c:v>MAR.24</c:v>
                </c:pt>
                <c:pt idx="308">
                  <c:v>MAR.24</c:v>
                </c:pt>
                <c:pt idx="309">
                  <c:v>MAR.24</c:v>
                </c:pt>
                <c:pt idx="310">
                  <c:v>MAR.24</c:v>
                </c:pt>
                <c:pt idx="311">
                  <c:v>MAR.24</c:v>
                </c:pt>
                <c:pt idx="312">
                  <c:v>MAR.24</c:v>
                </c:pt>
                <c:pt idx="313">
                  <c:v>MAR.24</c:v>
                </c:pt>
                <c:pt idx="314">
                  <c:v>MAR.24</c:v>
                </c:pt>
                <c:pt idx="315">
                  <c:v>MAR.24</c:v>
                </c:pt>
                <c:pt idx="316">
                  <c:v>MAR.24</c:v>
                </c:pt>
                <c:pt idx="317">
                  <c:v>MAR.24</c:v>
                </c:pt>
                <c:pt idx="318">
                  <c:v>MAR.24</c:v>
                </c:pt>
                <c:pt idx="319">
                  <c:v>MAR.24</c:v>
                </c:pt>
                <c:pt idx="320">
                  <c:v>MAR.24</c:v>
                </c:pt>
                <c:pt idx="321">
                  <c:v>MAR.24</c:v>
                </c:pt>
                <c:pt idx="322">
                  <c:v>MAR.24</c:v>
                </c:pt>
                <c:pt idx="323">
                  <c:v>MAR.24</c:v>
                </c:pt>
                <c:pt idx="324">
                  <c:v>MAR.24</c:v>
                </c:pt>
                <c:pt idx="325">
                  <c:v>MAR.24</c:v>
                </c:pt>
                <c:pt idx="326">
                  <c:v>MAR.24</c:v>
                </c:pt>
                <c:pt idx="327">
                  <c:v>MAR.24</c:v>
                </c:pt>
                <c:pt idx="328">
                  <c:v>MAR.24</c:v>
                </c:pt>
                <c:pt idx="329">
                  <c:v>MAR.24</c:v>
                </c:pt>
                <c:pt idx="330">
                  <c:v>MAR.24</c:v>
                </c:pt>
                <c:pt idx="331">
                  <c:v>MAR.24</c:v>
                </c:pt>
                <c:pt idx="332">
                  <c:v>MAR.24</c:v>
                </c:pt>
                <c:pt idx="333">
                  <c:v>MAR.24</c:v>
                </c:pt>
                <c:pt idx="334">
                  <c:v>MAR.24</c:v>
                </c:pt>
                <c:pt idx="335">
                  <c:v>MAR.24</c:v>
                </c:pt>
                <c:pt idx="336">
                  <c:v>MAR.24</c:v>
                </c:pt>
                <c:pt idx="337">
                  <c:v>MAR.24</c:v>
                </c:pt>
                <c:pt idx="338">
                  <c:v>MAR.24</c:v>
                </c:pt>
                <c:pt idx="339">
                  <c:v>MAR.24</c:v>
                </c:pt>
                <c:pt idx="340">
                  <c:v>MAR.24</c:v>
                </c:pt>
                <c:pt idx="341">
                  <c:v>MAR.24</c:v>
                </c:pt>
                <c:pt idx="342">
                  <c:v>MAR.24</c:v>
                </c:pt>
                <c:pt idx="343">
                  <c:v>MAR.24</c:v>
                </c:pt>
                <c:pt idx="344">
                  <c:v>MAR.24</c:v>
                </c:pt>
                <c:pt idx="345">
                  <c:v>April 24 live</c:v>
                </c:pt>
                <c:pt idx="346">
                  <c:v>APR.24</c:v>
                </c:pt>
                <c:pt idx="347">
                  <c:v>APR.24</c:v>
                </c:pt>
                <c:pt idx="348">
                  <c:v>APR.24</c:v>
                </c:pt>
                <c:pt idx="349">
                  <c:v>APR.24</c:v>
                </c:pt>
                <c:pt idx="350">
                  <c:v>APR.24</c:v>
                </c:pt>
                <c:pt idx="351">
                  <c:v>APR.24</c:v>
                </c:pt>
                <c:pt idx="352">
                  <c:v>APR.24</c:v>
                </c:pt>
                <c:pt idx="353">
                  <c:v>APR.24</c:v>
                </c:pt>
                <c:pt idx="354">
                  <c:v>APR.24</c:v>
                </c:pt>
                <c:pt idx="355">
                  <c:v>APR.24</c:v>
                </c:pt>
                <c:pt idx="356">
                  <c:v>APR.24</c:v>
                </c:pt>
                <c:pt idx="357">
                  <c:v>APR.24</c:v>
                </c:pt>
                <c:pt idx="358">
                  <c:v>APR.24</c:v>
                </c:pt>
                <c:pt idx="359">
                  <c:v>APR.24</c:v>
                </c:pt>
                <c:pt idx="360">
                  <c:v>APR.24</c:v>
                </c:pt>
                <c:pt idx="361">
                  <c:v>APR.24</c:v>
                </c:pt>
                <c:pt idx="362">
                  <c:v>APR.24</c:v>
                </c:pt>
                <c:pt idx="363">
                  <c:v>APR.24</c:v>
                </c:pt>
                <c:pt idx="364">
                  <c:v>APR.24</c:v>
                </c:pt>
                <c:pt idx="365">
                  <c:v>APR.24</c:v>
                </c:pt>
                <c:pt idx="366">
                  <c:v>APR.24</c:v>
                </c:pt>
                <c:pt idx="367">
                  <c:v>APR.24</c:v>
                </c:pt>
                <c:pt idx="368">
                  <c:v>APR.24</c:v>
                </c:pt>
                <c:pt idx="369">
                  <c:v>APR.24</c:v>
                </c:pt>
                <c:pt idx="370">
                  <c:v>APR.24</c:v>
                </c:pt>
                <c:pt idx="371">
                  <c:v>APR.24</c:v>
                </c:pt>
                <c:pt idx="372">
                  <c:v>APR.24</c:v>
                </c:pt>
                <c:pt idx="373">
                  <c:v>APR.24</c:v>
                </c:pt>
                <c:pt idx="374">
                  <c:v>APR.24</c:v>
                </c:pt>
                <c:pt idx="375">
                  <c:v>APR.24</c:v>
                </c:pt>
                <c:pt idx="376">
                  <c:v>APR.24</c:v>
                </c:pt>
                <c:pt idx="377">
                  <c:v>APR.24</c:v>
                </c:pt>
                <c:pt idx="378">
                  <c:v>APR.24</c:v>
                </c:pt>
                <c:pt idx="379">
                  <c:v>APR.24</c:v>
                </c:pt>
                <c:pt idx="380">
                  <c:v>APR.24</c:v>
                </c:pt>
                <c:pt idx="381">
                  <c:v>APR.24</c:v>
                </c:pt>
                <c:pt idx="382">
                  <c:v>APR.24</c:v>
                </c:pt>
                <c:pt idx="383">
                  <c:v>APR.24</c:v>
                </c:pt>
                <c:pt idx="384">
                  <c:v>APR.24</c:v>
                </c:pt>
                <c:pt idx="385">
                  <c:v>APR.24</c:v>
                </c:pt>
                <c:pt idx="386">
                  <c:v>APR.24</c:v>
                </c:pt>
                <c:pt idx="387">
                  <c:v>APR.24</c:v>
                </c:pt>
                <c:pt idx="388">
                  <c:v>APR.24</c:v>
                </c:pt>
                <c:pt idx="389">
                  <c:v>APR.24</c:v>
                </c:pt>
                <c:pt idx="390">
                  <c:v>APR.24</c:v>
                </c:pt>
                <c:pt idx="391">
                  <c:v>APR.24</c:v>
                </c:pt>
                <c:pt idx="392">
                  <c:v>APR.24</c:v>
                </c:pt>
                <c:pt idx="393">
                  <c:v>APR.24</c:v>
                </c:pt>
                <c:pt idx="394">
                  <c:v>APR.24</c:v>
                </c:pt>
                <c:pt idx="395">
                  <c:v>APR.24</c:v>
                </c:pt>
                <c:pt idx="396">
                  <c:v>APR.24</c:v>
                </c:pt>
                <c:pt idx="397">
                  <c:v>APR.24</c:v>
                </c:pt>
                <c:pt idx="398">
                  <c:v>APR.24</c:v>
                </c:pt>
                <c:pt idx="399">
                  <c:v>APR.24</c:v>
                </c:pt>
                <c:pt idx="400">
                  <c:v>APR.24</c:v>
                </c:pt>
                <c:pt idx="401">
                  <c:v>APR.24</c:v>
                </c:pt>
                <c:pt idx="402">
                  <c:v>APR.24</c:v>
                </c:pt>
                <c:pt idx="403">
                  <c:v>APR.24</c:v>
                </c:pt>
                <c:pt idx="404">
                  <c:v>APR.24</c:v>
                </c:pt>
                <c:pt idx="405">
                  <c:v>APR.24</c:v>
                </c:pt>
                <c:pt idx="406">
                  <c:v>APR.24</c:v>
                </c:pt>
                <c:pt idx="407">
                  <c:v>APR.24</c:v>
                </c:pt>
                <c:pt idx="408">
                  <c:v>APR.24</c:v>
                </c:pt>
                <c:pt idx="409">
                  <c:v>APR.24</c:v>
                </c:pt>
                <c:pt idx="410">
                  <c:v>APR.24</c:v>
                </c:pt>
                <c:pt idx="411">
                  <c:v>APR.24</c:v>
                </c:pt>
                <c:pt idx="412">
                  <c:v>APR.24</c:v>
                </c:pt>
                <c:pt idx="413">
                  <c:v>APR.24</c:v>
                </c:pt>
                <c:pt idx="414">
                  <c:v>APR.24</c:v>
                </c:pt>
                <c:pt idx="415">
                  <c:v>APR.24</c:v>
                </c:pt>
                <c:pt idx="416">
                  <c:v>APR.24</c:v>
                </c:pt>
                <c:pt idx="417">
                  <c:v>APR.24</c:v>
                </c:pt>
                <c:pt idx="418">
                  <c:v>APR.24</c:v>
                </c:pt>
                <c:pt idx="419">
                  <c:v>APR.24</c:v>
                </c:pt>
                <c:pt idx="420">
                  <c:v>APR.24</c:v>
                </c:pt>
                <c:pt idx="421">
                  <c:v>APR.24</c:v>
                </c:pt>
                <c:pt idx="422">
                  <c:v>APR.24</c:v>
                </c:pt>
                <c:pt idx="423">
                  <c:v>APR.24</c:v>
                </c:pt>
                <c:pt idx="424">
                  <c:v>APR.24</c:v>
                </c:pt>
                <c:pt idx="425">
                  <c:v>APR.24</c:v>
                </c:pt>
                <c:pt idx="426">
                  <c:v>APR.24</c:v>
                </c:pt>
                <c:pt idx="427">
                  <c:v>APR.24</c:v>
                </c:pt>
                <c:pt idx="428">
                  <c:v>APR.24</c:v>
                </c:pt>
                <c:pt idx="429">
                  <c:v>APR.24</c:v>
                </c:pt>
                <c:pt idx="430">
                  <c:v>APR.24</c:v>
                </c:pt>
                <c:pt idx="431">
                  <c:v>APR.24</c:v>
                </c:pt>
                <c:pt idx="432">
                  <c:v>APR.24</c:v>
                </c:pt>
                <c:pt idx="433">
                  <c:v>APR.24</c:v>
                </c:pt>
                <c:pt idx="434">
                  <c:v>APR.24</c:v>
                </c:pt>
                <c:pt idx="435">
                  <c:v>APR.24</c:v>
                </c:pt>
                <c:pt idx="436">
                  <c:v>APR.24</c:v>
                </c:pt>
                <c:pt idx="437">
                  <c:v>APR.24</c:v>
                </c:pt>
                <c:pt idx="438">
                  <c:v>APR.24</c:v>
                </c:pt>
                <c:pt idx="439">
                  <c:v>APR.24</c:v>
                </c:pt>
                <c:pt idx="440">
                  <c:v>APR.24</c:v>
                </c:pt>
                <c:pt idx="441">
                  <c:v>APR.24</c:v>
                </c:pt>
                <c:pt idx="442">
                  <c:v>APR.24</c:v>
                </c:pt>
                <c:pt idx="443">
                  <c:v>APR.24</c:v>
                </c:pt>
                <c:pt idx="444">
                  <c:v>APR.24</c:v>
                </c:pt>
                <c:pt idx="445">
                  <c:v>APR.24</c:v>
                </c:pt>
                <c:pt idx="446">
                  <c:v>APR.24</c:v>
                </c:pt>
                <c:pt idx="447">
                  <c:v>APR.24</c:v>
                </c:pt>
                <c:pt idx="448">
                  <c:v>APR.24</c:v>
                </c:pt>
                <c:pt idx="449">
                  <c:v>APR.24</c:v>
                </c:pt>
                <c:pt idx="450">
                  <c:v>APR.24</c:v>
                </c:pt>
                <c:pt idx="451">
                  <c:v>APR.24</c:v>
                </c:pt>
                <c:pt idx="452">
                  <c:v>APR.24</c:v>
                </c:pt>
                <c:pt idx="453">
                  <c:v>APR.24</c:v>
                </c:pt>
                <c:pt idx="454">
                  <c:v>APR.24</c:v>
                </c:pt>
                <c:pt idx="455">
                  <c:v>APR.24</c:v>
                </c:pt>
                <c:pt idx="456">
                  <c:v>APR.24</c:v>
                </c:pt>
                <c:pt idx="457">
                  <c:v>APR.24</c:v>
                </c:pt>
                <c:pt idx="458">
                  <c:v>APR.24</c:v>
                </c:pt>
                <c:pt idx="459">
                  <c:v>APR.24</c:v>
                </c:pt>
                <c:pt idx="460">
                  <c:v>APR.24</c:v>
                </c:pt>
                <c:pt idx="461">
                  <c:v>APR.24</c:v>
                </c:pt>
                <c:pt idx="462">
                  <c:v>APR.24</c:v>
                </c:pt>
                <c:pt idx="463">
                  <c:v>APR.24</c:v>
                </c:pt>
                <c:pt idx="464">
                  <c:v>APR.24</c:v>
                </c:pt>
                <c:pt idx="465">
                  <c:v>APR.24</c:v>
                </c:pt>
                <c:pt idx="466">
                  <c:v>APR.24</c:v>
                </c:pt>
                <c:pt idx="467">
                  <c:v>APR.24</c:v>
                </c:pt>
                <c:pt idx="468">
                  <c:v>APR.24</c:v>
                </c:pt>
                <c:pt idx="469">
                  <c:v>APR.24</c:v>
                </c:pt>
                <c:pt idx="470">
                  <c:v>APR.24</c:v>
                </c:pt>
                <c:pt idx="471">
                  <c:v>APR.24</c:v>
                </c:pt>
                <c:pt idx="472">
                  <c:v>APR.24</c:v>
                </c:pt>
                <c:pt idx="473">
                  <c:v>APR.24</c:v>
                </c:pt>
                <c:pt idx="474">
                  <c:v>APR.24</c:v>
                </c:pt>
                <c:pt idx="475">
                  <c:v>APR.24</c:v>
                </c:pt>
                <c:pt idx="476">
                  <c:v>APR.24</c:v>
                </c:pt>
                <c:pt idx="477">
                  <c:v>APR.24</c:v>
                </c:pt>
                <c:pt idx="478">
                  <c:v>APR.24</c:v>
                </c:pt>
                <c:pt idx="479">
                  <c:v>APR.24</c:v>
                </c:pt>
                <c:pt idx="480">
                  <c:v>APR.24</c:v>
                </c:pt>
                <c:pt idx="481">
                  <c:v>APR.24</c:v>
                </c:pt>
                <c:pt idx="482">
                  <c:v>APR.24</c:v>
                </c:pt>
                <c:pt idx="483">
                  <c:v>APR.24</c:v>
                </c:pt>
                <c:pt idx="484">
                  <c:v>APR.24</c:v>
                </c:pt>
                <c:pt idx="485">
                  <c:v>APR.24</c:v>
                </c:pt>
                <c:pt idx="486">
                  <c:v>APR.24</c:v>
                </c:pt>
                <c:pt idx="487">
                  <c:v>APR.24</c:v>
                </c:pt>
                <c:pt idx="488">
                  <c:v>APR.24</c:v>
                </c:pt>
                <c:pt idx="489">
                  <c:v>APR.24</c:v>
                </c:pt>
                <c:pt idx="490">
                  <c:v>APR.24</c:v>
                </c:pt>
                <c:pt idx="491">
                  <c:v>APR.24</c:v>
                </c:pt>
                <c:pt idx="492">
                  <c:v>APR.24</c:v>
                </c:pt>
                <c:pt idx="493">
                  <c:v>APR.24</c:v>
                </c:pt>
                <c:pt idx="494">
                  <c:v>APR.24</c:v>
                </c:pt>
                <c:pt idx="495">
                  <c:v>APR.24</c:v>
                </c:pt>
                <c:pt idx="496">
                  <c:v>APR.24</c:v>
                </c:pt>
                <c:pt idx="497">
                  <c:v>APR.24</c:v>
                </c:pt>
                <c:pt idx="498">
                  <c:v>APR.24</c:v>
                </c:pt>
                <c:pt idx="499">
                  <c:v>APR.24</c:v>
                </c:pt>
                <c:pt idx="500">
                  <c:v>APR.24</c:v>
                </c:pt>
                <c:pt idx="501">
                  <c:v>APR.24</c:v>
                </c:pt>
                <c:pt idx="502">
                  <c:v>APR.24</c:v>
                </c:pt>
                <c:pt idx="503">
                  <c:v>APR.24</c:v>
                </c:pt>
                <c:pt idx="504">
                  <c:v>APR.24</c:v>
                </c:pt>
                <c:pt idx="505">
                  <c:v>APR.24</c:v>
                </c:pt>
                <c:pt idx="506">
                  <c:v>APR.24</c:v>
                </c:pt>
                <c:pt idx="507">
                  <c:v>APR.24</c:v>
                </c:pt>
                <c:pt idx="508">
                  <c:v>APR.24</c:v>
                </c:pt>
                <c:pt idx="509">
                  <c:v>APR.24</c:v>
                </c:pt>
                <c:pt idx="510">
                  <c:v>APR.24</c:v>
                </c:pt>
                <c:pt idx="511">
                  <c:v>APR.24</c:v>
                </c:pt>
                <c:pt idx="512">
                  <c:v>APR.24</c:v>
                </c:pt>
                <c:pt idx="513">
                  <c:v>APR.24</c:v>
                </c:pt>
                <c:pt idx="514">
                  <c:v>APR.24</c:v>
                </c:pt>
                <c:pt idx="515">
                  <c:v>APR.24</c:v>
                </c:pt>
                <c:pt idx="516">
                  <c:v>APR.24</c:v>
                </c:pt>
                <c:pt idx="517">
                  <c:v>APR.24</c:v>
                </c:pt>
                <c:pt idx="518">
                  <c:v>APR.24</c:v>
                </c:pt>
                <c:pt idx="519">
                  <c:v>APR.24</c:v>
                </c:pt>
                <c:pt idx="520">
                  <c:v>APR.24</c:v>
                </c:pt>
                <c:pt idx="521">
                  <c:v>APR.24</c:v>
                </c:pt>
                <c:pt idx="522">
                  <c:v>APR.24</c:v>
                </c:pt>
                <c:pt idx="523">
                  <c:v>APR.24</c:v>
                </c:pt>
                <c:pt idx="524">
                  <c:v>APR.24</c:v>
                </c:pt>
                <c:pt idx="525">
                  <c:v>APR.24</c:v>
                </c:pt>
                <c:pt idx="526">
                  <c:v>APR.24</c:v>
                </c:pt>
                <c:pt idx="527">
                  <c:v>APR.24</c:v>
                </c:pt>
                <c:pt idx="528">
                  <c:v>APR.24</c:v>
                </c:pt>
                <c:pt idx="529">
                  <c:v>APR.24</c:v>
                </c:pt>
                <c:pt idx="530">
                  <c:v>APR.24</c:v>
                </c:pt>
                <c:pt idx="531">
                  <c:v>APR.24</c:v>
                </c:pt>
                <c:pt idx="532">
                  <c:v>APR.24</c:v>
                </c:pt>
                <c:pt idx="533">
                  <c:v>APR.24</c:v>
                </c:pt>
                <c:pt idx="534">
                  <c:v>APR.24</c:v>
                </c:pt>
                <c:pt idx="535">
                  <c:v>APR.24</c:v>
                </c:pt>
                <c:pt idx="536">
                  <c:v>May 24 live</c:v>
                </c:pt>
                <c:pt idx="537">
                  <c:v>MAY.24</c:v>
                </c:pt>
                <c:pt idx="538">
                  <c:v>MAY.24</c:v>
                </c:pt>
                <c:pt idx="539">
                  <c:v>MAY.24</c:v>
                </c:pt>
                <c:pt idx="540">
                  <c:v>MAY.24</c:v>
                </c:pt>
                <c:pt idx="541">
                  <c:v>MAY.24</c:v>
                </c:pt>
                <c:pt idx="542">
                  <c:v>MAY.24</c:v>
                </c:pt>
                <c:pt idx="543">
                  <c:v>MAY.24</c:v>
                </c:pt>
                <c:pt idx="544">
                  <c:v>MAY.24</c:v>
                </c:pt>
                <c:pt idx="545">
                  <c:v>MAY.24</c:v>
                </c:pt>
                <c:pt idx="546">
                  <c:v>MAY.24</c:v>
                </c:pt>
                <c:pt idx="547">
                  <c:v>MAY.24</c:v>
                </c:pt>
                <c:pt idx="548">
                  <c:v>MAY.24</c:v>
                </c:pt>
                <c:pt idx="549">
                  <c:v>MAY.24</c:v>
                </c:pt>
                <c:pt idx="550">
                  <c:v>MAY.24</c:v>
                </c:pt>
                <c:pt idx="551">
                  <c:v>MAY.24</c:v>
                </c:pt>
                <c:pt idx="552">
                  <c:v>MAY.24</c:v>
                </c:pt>
                <c:pt idx="553">
                  <c:v>MAY.24</c:v>
                </c:pt>
                <c:pt idx="554">
                  <c:v>MAY.24</c:v>
                </c:pt>
                <c:pt idx="555">
                  <c:v>MAY.24</c:v>
                </c:pt>
                <c:pt idx="556">
                  <c:v>MAY.24</c:v>
                </c:pt>
                <c:pt idx="557">
                  <c:v>MAY.24</c:v>
                </c:pt>
                <c:pt idx="558">
                  <c:v>MAY.24</c:v>
                </c:pt>
                <c:pt idx="559">
                  <c:v>MAY.24</c:v>
                </c:pt>
                <c:pt idx="560">
                  <c:v>MAY.24</c:v>
                </c:pt>
                <c:pt idx="561">
                  <c:v>MAY.24</c:v>
                </c:pt>
                <c:pt idx="562">
                  <c:v>MAY.24</c:v>
                </c:pt>
                <c:pt idx="563">
                  <c:v>MAY.24</c:v>
                </c:pt>
                <c:pt idx="564">
                  <c:v>MAY.24</c:v>
                </c:pt>
                <c:pt idx="565">
                  <c:v>MAY.24</c:v>
                </c:pt>
                <c:pt idx="566">
                  <c:v>MAY.24</c:v>
                </c:pt>
                <c:pt idx="567">
                  <c:v>MAY.24</c:v>
                </c:pt>
                <c:pt idx="568">
                  <c:v>MAY.24</c:v>
                </c:pt>
                <c:pt idx="569">
                  <c:v>MAY.24</c:v>
                </c:pt>
                <c:pt idx="570">
                  <c:v>MAY.24</c:v>
                </c:pt>
                <c:pt idx="571">
                  <c:v>MAY.24</c:v>
                </c:pt>
                <c:pt idx="572">
                  <c:v>MAY.24</c:v>
                </c:pt>
                <c:pt idx="573">
                  <c:v>MAY.24</c:v>
                </c:pt>
                <c:pt idx="574">
                  <c:v>MAY.24</c:v>
                </c:pt>
                <c:pt idx="575">
                  <c:v>MAY.24</c:v>
                </c:pt>
                <c:pt idx="576">
                  <c:v>MAY.24</c:v>
                </c:pt>
                <c:pt idx="577">
                  <c:v>MAY.24</c:v>
                </c:pt>
                <c:pt idx="578">
                  <c:v>MAY.24</c:v>
                </c:pt>
                <c:pt idx="579">
                  <c:v>MAY.24</c:v>
                </c:pt>
                <c:pt idx="580">
                  <c:v>MAY.24</c:v>
                </c:pt>
                <c:pt idx="581">
                  <c:v>MAY.24</c:v>
                </c:pt>
                <c:pt idx="582">
                  <c:v>MAY.24</c:v>
                </c:pt>
                <c:pt idx="583">
                  <c:v>MAY.24</c:v>
                </c:pt>
                <c:pt idx="584">
                  <c:v>MAY.24</c:v>
                </c:pt>
                <c:pt idx="585">
                  <c:v>MAY.24</c:v>
                </c:pt>
                <c:pt idx="586">
                  <c:v>MAY.24</c:v>
                </c:pt>
                <c:pt idx="587">
                  <c:v>MAY.24</c:v>
                </c:pt>
                <c:pt idx="588">
                  <c:v>MAY.24</c:v>
                </c:pt>
                <c:pt idx="589">
                  <c:v>MAY.24</c:v>
                </c:pt>
                <c:pt idx="590">
                  <c:v>MAY.24</c:v>
                </c:pt>
                <c:pt idx="591">
                  <c:v>MAY.24</c:v>
                </c:pt>
                <c:pt idx="592">
                  <c:v>MAY.24</c:v>
                </c:pt>
                <c:pt idx="593">
                  <c:v>MAY.24</c:v>
                </c:pt>
                <c:pt idx="594">
                  <c:v>MAY.24</c:v>
                </c:pt>
                <c:pt idx="595">
                  <c:v>MAY.24</c:v>
                </c:pt>
                <c:pt idx="596">
                  <c:v>MAY.24</c:v>
                </c:pt>
                <c:pt idx="597">
                  <c:v>MAY.24</c:v>
                </c:pt>
                <c:pt idx="598">
                  <c:v>MAY.24</c:v>
                </c:pt>
                <c:pt idx="599">
                  <c:v>MAY.24</c:v>
                </c:pt>
                <c:pt idx="600">
                  <c:v>MAY.24</c:v>
                </c:pt>
                <c:pt idx="601">
                  <c:v>MAY.24</c:v>
                </c:pt>
                <c:pt idx="602">
                  <c:v>MAY.24</c:v>
                </c:pt>
                <c:pt idx="603">
                  <c:v>MAY.24</c:v>
                </c:pt>
                <c:pt idx="604">
                  <c:v>MAY.24</c:v>
                </c:pt>
                <c:pt idx="605">
                  <c:v>MAY.24</c:v>
                </c:pt>
                <c:pt idx="606">
                  <c:v>MAY.24</c:v>
                </c:pt>
                <c:pt idx="607">
                  <c:v>MAY.24</c:v>
                </c:pt>
                <c:pt idx="608">
                  <c:v>MAY.24</c:v>
                </c:pt>
                <c:pt idx="609">
                  <c:v>MAY.24</c:v>
                </c:pt>
                <c:pt idx="610">
                  <c:v>MAY.24</c:v>
                </c:pt>
                <c:pt idx="611">
                  <c:v>MAY.24</c:v>
                </c:pt>
                <c:pt idx="612">
                  <c:v>MAY.24</c:v>
                </c:pt>
                <c:pt idx="613">
                  <c:v>MAY.24</c:v>
                </c:pt>
                <c:pt idx="614">
                  <c:v>MAY.24</c:v>
                </c:pt>
                <c:pt idx="615">
                  <c:v>MAY.24</c:v>
                </c:pt>
                <c:pt idx="616">
                  <c:v>MAY.24</c:v>
                </c:pt>
                <c:pt idx="617">
                  <c:v>MAY.24</c:v>
                </c:pt>
                <c:pt idx="618">
                  <c:v>MAY.24</c:v>
                </c:pt>
                <c:pt idx="619">
                  <c:v>MAY.24</c:v>
                </c:pt>
                <c:pt idx="620">
                  <c:v>MAY.24</c:v>
                </c:pt>
                <c:pt idx="621">
                  <c:v>MAY.24</c:v>
                </c:pt>
                <c:pt idx="622">
                  <c:v>MAY.24</c:v>
                </c:pt>
                <c:pt idx="623">
                  <c:v>MAY.24</c:v>
                </c:pt>
                <c:pt idx="624">
                  <c:v>MAY.24</c:v>
                </c:pt>
                <c:pt idx="625">
                  <c:v>MAY.24</c:v>
                </c:pt>
                <c:pt idx="626">
                  <c:v>MAY.24</c:v>
                </c:pt>
                <c:pt idx="627">
                  <c:v>MAY.24</c:v>
                </c:pt>
                <c:pt idx="628">
                  <c:v>MAY.24</c:v>
                </c:pt>
                <c:pt idx="629">
                  <c:v>MAY.24</c:v>
                </c:pt>
                <c:pt idx="630">
                  <c:v>MAY.24</c:v>
                </c:pt>
                <c:pt idx="631">
                  <c:v>MAY.24</c:v>
                </c:pt>
                <c:pt idx="632">
                  <c:v>MAY.24</c:v>
                </c:pt>
                <c:pt idx="633">
                  <c:v>MAY.24</c:v>
                </c:pt>
                <c:pt idx="634">
                  <c:v>MAY.24</c:v>
                </c:pt>
                <c:pt idx="635">
                  <c:v>MAY.24</c:v>
                </c:pt>
                <c:pt idx="636">
                  <c:v>MAY.24</c:v>
                </c:pt>
                <c:pt idx="637">
                  <c:v>MAY.24</c:v>
                </c:pt>
                <c:pt idx="638">
                  <c:v>MAY.24</c:v>
                </c:pt>
                <c:pt idx="639">
                  <c:v>MAY.24</c:v>
                </c:pt>
                <c:pt idx="640">
                  <c:v>MAY.24</c:v>
                </c:pt>
                <c:pt idx="641">
                  <c:v>MAY.24</c:v>
                </c:pt>
                <c:pt idx="642">
                  <c:v>MAY.24</c:v>
                </c:pt>
                <c:pt idx="643">
                  <c:v>MAY.24</c:v>
                </c:pt>
                <c:pt idx="644">
                  <c:v>MAY.24</c:v>
                </c:pt>
                <c:pt idx="645">
                  <c:v>MAY.24</c:v>
                </c:pt>
                <c:pt idx="646">
                  <c:v>MAY.24</c:v>
                </c:pt>
                <c:pt idx="647">
                  <c:v>MAY.24</c:v>
                </c:pt>
                <c:pt idx="648">
                  <c:v>MAY.24</c:v>
                </c:pt>
                <c:pt idx="649">
                  <c:v>MAY.24</c:v>
                </c:pt>
                <c:pt idx="650">
                  <c:v>MAY.24</c:v>
                </c:pt>
                <c:pt idx="651">
                  <c:v>MAY.24</c:v>
                </c:pt>
                <c:pt idx="652">
                  <c:v>MAY.24</c:v>
                </c:pt>
                <c:pt idx="653">
                  <c:v>MAY.24</c:v>
                </c:pt>
                <c:pt idx="654">
                  <c:v>MAY.24</c:v>
                </c:pt>
                <c:pt idx="655">
                  <c:v>MAY.24</c:v>
                </c:pt>
                <c:pt idx="656">
                  <c:v>MAY.24</c:v>
                </c:pt>
                <c:pt idx="657">
                  <c:v>MAY.24</c:v>
                </c:pt>
                <c:pt idx="658">
                  <c:v>MAY.24</c:v>
                </c:pt>
                <c:pt idx="659">
                  <c:v>MAY.24</c:v>
                </c:pt>
                <c:pt idx="660">
                  <c:v>MAY.24</c:v>
                </c:pt>
                <c:pt idx="661">
                  <c:v>MAY.24</c:v>
                </c:pt>
                <c:pt idx="662">
                  <c:v>MAY.24</c:v>
                </c:pt>
                <c:pt idx="663">
                  <c:v>MAY.24</c:v>
                </c:pt>
                <c:pt idx="664">
                  <c:v>MAY.24</c:v>
                </c:pt>
                <c:pt idx="665">
                  <c:v>MAY.24</c:v>
                </c:pt>
                <c:pt idx="666">
                  <c:v>MAY.24</c:v>
                </c:pt>
                <c:pt idx="667">
                  <c:v>MAY.24</c:v>
                </c:pt>
                <c:pt idx="668">
                  <c:v>MAY.24</c:v>
                </c:pt>
                <c:pt idx="669">
                  <c:v>MAY.24</c:v>
                </c:pt>
                <c:pt idx="670">
                  <c:v>MAY.24</c:v>
                </c:pt>
                <c:pt idx="671">
                  <c:v>MAY.24</c:v>
                </c:pt>
                <c:pt idx="672">
                  <c:v>MAY.24</c:v>
                </c:pt>
                <c:pt idx="673">
                  <c:v>MAY.24</c:v>
                </c:pt>
                <c:pt idx="674">
                  <c:v>MAY.24</c:v>
                </c:pt>
                <c:pt idx="675">
                  <c:v>MAY.24</c:v>
                </c:pt>
                <c:pt idx="676">
                  <c:v>MAY.24</c:v>
                </c:pt>
                <c:pt idx="677">
                  <c:v>MAY.24</c:v>
                </c:pt>
                <c:pt idx="678">
                  <c:v>MAY.24</c:v>
                </c:pt>
                <c:pt idx="679">
                  <c:v>MAY.24</c:v>
                </c:pt>
                <c:pt idx="680">
                  <c:v>MAY.24</c:v>
                </c:pt>
                <c:pt idx="681">
                  <c:v>MAY.24 after disaster</c:v>
                </c:pt>
                <c:pt idx="682">
                  <c:v>MAY.24</c:v>
                </c:pt>
                <c:pt idx="683">
                  <c:v>MAY.24</c:v>
                </c:pt>
                <c:pt idx="684">
                  <c:v>MAY.24</c:v>
                </c:pt>
                <c:pt idx="685">
                  <c:v>MAY.24</c:v>
                </c:pt>
                <c:pt idx="686">
                  <c:v>MAY.24</c:v>
                </c:pt>
                <c:pt idx="687">
                  <c:v>MAY.24</c:v>
                </c:pt>
                <c:pt idx="688">
                  <c:v>MAY.24</c:v>
                </c:pt>
                <c:pt idx="689">
                  <c:v>MAY.24</c:v>
                </c:pt>
                <c:pt idx="690">
                  <c:v>MAY.24</c:v>
                </c:pt>
                <c:pt idx="691">
                  <c:v>MAY.24</c:v>
                </c:pt>
                <c:pt idx="692">
                  <c:v>MAY.24</c:v>
                </c:pt>
                <c:pt idx="693">
                  <c:v>MAY.24</c:v>
                </c:pt>
                <c:pt idx="694">
                  <c:v>MAY.24</c:v>
                </c:pt>
                <c:pt idx="695">
                  <c:v>MAY.24</c:v>
                </c:pt>
                <c:pt idx="696">
                  <c:v>MAY.24 recovery</c:v>
                </c:pt>
                <c:pt idx="697">
                  <c:v>MAY.24</c:v>
                </c:pt>
                <c:pt idx="698">
                  <c:v>MAY.24</c:v>
                </c:pt>
                <c:pt idx="699">
                  <c:v>MAY.24</c:v>
                </c:pt>
                <c:pt idx="700">
                  <c:v>MAY.24</c:v>
                </c:pt>
                <c:pt idx="701">
                  <c:v>MAY.24</c:v>
                </c:pt>
                <c:pt idx="702">
                  <c:v>MAY.24</c:v>
                </c:pt>
                <c:pt idx="703">
                  <c:v>MAY.24</c:v>
                </c:pt>
                <c:pt idx="704">
                  <c:v>MAY.24</c:v>
                </c:pt>
                <c:pt idx="705">
                  <c:v>MAY.24</c:v>
                </c:pt>
                <c:pt idx="706">
                  <c:v>MAY.24</c:v>
                </c:pt>
                <c:pt idx="707">
                  <c:v>MAY.24</c:v>
                </c:pt>
                <c:pt idx="708">
                  <c:v>MAY.24</c:v>
                </c:pt>
                <c:pt idx="709">
                  <c:v>MAY.24</c:v>
                </c:pt>
                <c:pt idx="710">
                  <c:v>MAY.24</c:v>
                </c:pt>
                <c:pt idx="711">
                  <c:v>MAY.24</c:v>
                </c:pt>
                <c:pt idx="712">
                  <c:v>MAY.24</c:v>
                </c:pt>
                <c:pt idx="713">
                  <c:v>MAY.24</c:v>
                </c:pt>
                <c:pt idx="714">
                  <c:v>MAY.24</c:v>
                </c:pt>
                <c:pt idx="715">
                  <c:v>MAY.24</c:v>
                </c:pt>
                <c:pt idx="716">
                  <c:v>MAY.24</c:v>
                </c:pt>
                <c:pt idx="717">
                  <c:v>MAY.24</c:v>
                </c:pt>
                <c:pt idx="718">
                  <c:v>MAY.24</c:v>
                </c:pt>
                <c:pt idx="719">
                  <c:v>MAY.24</c:v>
                </c:pt>
                <c:pt idx="720">
                  <c:v>MAY.24</c:v>
                </c:pt>
                <c:pt idx="721">
                  <c:v>MAY.24</c:v>
                </c:pt>
                <c:pt idx="722">
                  <c:v>MAY.24</c:v>
                </c:pt>
                <c:pt idx="723">
                  <c:v>MAY.24</c:v>
                </c:pt>
                <c:pt idx="724">
                  <c:v>MAY.24</c:v>
                </c:pt>
                <c:pt idx="725">
                  <c:v>MAY.24</c:v>
                </c:pt>
                <c:pt idx="726">
                  <c:v>MAY.24</c:v>
                </c:pt>
                <c:pt idx="727">
                  <c:v>MAY.24</c:v>
                </c:pt>
                <c:pt idx="728">
                  <c:v>MAY.24</c:v>
                </c:pt>
                <c:pt idx="729">
                  <c:v>MAY.24</c:v>
                </c:pt>
                <c:pt idx="730">
                  <c:v>MAY.24</c:v>
                </c:pt>
                <c:pt idx="731">
                  <c:v>June24 live</c:v>
                </c:pt>
                <c:pt idx="732">
                  <c:v>JUN.24</c:v>
                </c:pt>
                <c:pt idx="733">
                  <c:v>JUN.24</c:v>
                </c:pt>
                <c:pt idx="734">
                  <c:v>JUN.24</c:v>
                </c:pt>
                <c:pt idx="735">
                  <c:v>JUN.24</c:v>
                </c:pt>
                <c:pt idx="736">
                  <c:v>JUN.24</c:v>
                </c:pt>
                <c:pt idx="737">
                  <c:v>JUN.24</c:v>
                </c:pt>
                <c:pt idx="738">
                  <c:v>JUN.24</c:v>
                </c:pt>
                <c:pt idx="739">
                  <c:v>JUN.24</c:v>
                </c:pt>
                <c:pt idx="740">
                  <c:v>JUN.24</c:v>
                </c:pt>
                <c:pt idx="741">
                  <c:v>JUN.24</c:v>
                </c:pt>
                <c:pt idx="742">
                  <c:v>JUN.24</c:v>
                </c:pt>
                <c:pt idx="743">
                  <c:v>JUN.24</c:v>
                </c:pt>
                <c:pt idx="744">
                  <c:v>JUN.24</c:v>
                </c:pt>
                <c:pt idx="745">
                  <c:v>JUN.24</c:v>
                </c:pt>
                <c:pt idx="746">
                  <c:v>JUN.24</c:v>
                </c:pt>
                <c:pt idx="747">
                  <c:v>JUN.24</c:v>
                </c:pt>
                <c:pt idx="748">
                  <c:v>JUN.24</c:v>
                </c:pt>
                <c:pt idx="749">
                  <c:v>JUN.24</c:v>
                </c:pt>
                <c:pt idx="750">
                  <c:v>JUN.24</c:v>
                </c:pt>
                <c:pt idx="751">
                  <c:v>JUN.24</c:v>
                </c:pt>
                <c:pt idx="752">
                  <c:v>JUN.24</c:v>
                </c:pt>
                <c:pt idx="753">
                  <c:v>JUN.24</c:v>
                </c:pt>
                <c:pt idx="754">
                  <c:v>JUN.24</c:v>
                </c:pt>
                <c:pt idx="755">
                  <c:v>JUN.24</c:v>
                </c:pt>
                <c:pt idx="756">
                  <c:v>JUN.24</c:v>
                </c:pt>
                <c:pt idx="757">
                  <c:v>JUN.24</c:v>
                </c:pt>
                <c:pt idx="758">
                  <c:v>JUN.24</c:v>
                </c:pt>
                <c:pt idx="759">
                  <c:v>JUN.24</c:v>
                </c:pt>
                <c:pt idx="760">
                  <c:v>JUN.24</c:v>
                </c:pt>
                <c:pt idx="761">
                  <c:v>JUN.24</c:v>
                </c:pt>
                <c:pt idx="762">
                  <c:v>JUN.24</c:v>
                </c:pt>
                <c:pt idx="763">
                  <c:v>JUN.24</c:v>
                </c:pt>
                <c:pt idx="764">
                  <c:v>JUN.24</c:v>
                </c:pt>
                <c:pt idx="765">
                  <c:v>JUN.24</c:v>
                </c:pt>
                <c:pt idx="766">
                  <c:v>JUN.24</c:v>
                </c:pt>
                <c:pt idx="767">
                  <c:v>JUN.24</c:v>
                </c:pt>
                <c:pt idx="768">
                  <c:v>JUN.24</c:v>
                </c:pt>
                <c:pt idx="769">
                  <c:v>JUN.24</c:v>
                </c:pt>
                <c:pt idx="770">
                  <c:v>JUN.24</c:v>
                </c:pt>
                <c:pt idx="771">
                  <c:v>JUN.24</c:v>
                </c:pt>
                <c:pt idx="772">
                  <c:v>JUN.24</c:v>
                </c:pt>
                <c:pt idx="773">
                  <c:v>JUN.24</c:v>
                </c:pt>
                <c:pt idx="774">
                  <c:v>JUN.24</c:v>
                </c:pt>
                <c:pt idx="775">
                  <c:v>JUN.24</c:v>
                </c:pt>
                <c:pt idx="776">
                  <c:v>JUN.24</c:v>
                </c:pt>
                <c:pt idx="777">
                  <c:v>JUN.24</c:v>
                </c:pt>
                <c:pt idx="778">
                  <c:v>JUN.24</c:v>
                </c:pt>
                <c:pt idx="779">
                  <c:v>JUN.24</c:v>
                </c:pt>
                <c:pt idx="780">
                  <c:v>JUN.24</c:v>
                </c:pt>
                <c:pt idx="781">
                  <c:v>JUN.24</c:v>
                </c:pt>
                <c:pt idx="782">
                  <c:v>JUN.24</c:v>
                </c:pt>
                <c:pt idx="783">
                  <c:v>JUN.24</c:v>
                </c:pt>
                <c:pt idx="784">
                  <c:v>JUN.24</c:v>
                </c:pt>
                <c:pt idx="785">
                  <c:v>JUN.24</c:v>
                </c:pt>
                <c:pt idx="786">
                  <c:v>JUN.24</c:v>
                </c:pt>
                <c:pt idx="787">
                  <c:v>JUN.24</c:v>
                </c:pt>
                <c:pt idx="788">
                  <c:v>JUN.24</c:v>
                </c:pt>
                <c:pt idx="789">
                  <c:v>JUN.24</c:v>
                </c:pt>
                <c:pt idx="790">
                  <c:v>JUN.24</c:v>
                </c:pt>
                <c:pt idx="791">
                  <c:v>JUN.24</c:v>
                </c:pt>
                <c:pt idx="792">
                  <c:v>JUN.24</c:v>
                </c:pt>
                <c:pt idx="793">
                  <c:v>JUN.24</c:v>
                </c:pt>
                <c:pt idx="794">
                  <c:v>JUN.24</c:v>
                </c:pt>
                <c:pt idx="795">
                  <c:v>JUN.24</c:v>
                </c:pt>
                <c:pt idx="796">
                  <c:v>JUN.24</c:v>
                </c:pt>
                <c:pt idx="797">
                  <c:v>JUN.24</c:v>
                </c:pt>
                <c:pt idx="798">
                  <c:v>JUN.24</c:v>
                </c:pt>
                <c:pt idx="799">
                  <c:v>JUN.24</c:v>
                </c:pt>
                <c:pt idx="800">
                  <c:v>JUN.24</c:v>
                </c:pt>
                <c:pt idx="801">
                  <c:v>JUN.24</c:v>
                </c:pt>
                <c:pt idx="802">
                  <c:v>JUN.24</c:v>
                </c:pt>
                <c:pt idx="803">
                  <c:v>JUN.24</c:v>
                </c:pt>
                <c:pt idx="804">
                  <c:v>JUN.24</c:v>
                </c:pt>
                <c:pt idx="805">
                  <c:v>JUN.24</c:v>
                </c:pt>
                <c:pt idx="806">
                  <c:v>JUN.24</c:v>
                </c:pt>
                <c:pt idx="807">
                  <c:v>JUN.24</c:v>
                </c:pt>
                <c:pt idx="808">
                  <c:v>JUN.24</c:v>
                </c:pt>
                <c:pt idx="809">
                  <c:v>JUN.24</c:v>
                </c:pt>
                <c:pt idx="810">
                  <c:v>JUN.24</c:v>
                </c:pt>
                <c:pt idx="811">
                  <c:v>JUN.24</c:v>
                </c:pt>
                <c:pt idx="812">
                  <c:v>JUN.24</c:v>
                </c:pt>
                <c:pt idx="813">
                  <c:v>JUN.24</c:v>
                </c:pt>
                <c:pt idx="814">
                  <c:v>JUN.24</c:v>
                </c:pt>
                <c:pt idx="815">
                  <c:v>JUN.24</c:v>
                </c:pt>
                <c:pt idx="816">
                  <c:v>JUN.24</c:v>
                </c:pt>
                <c:pt idx="817">
                  <c:v>JUN.24</c:v>
                </c:pt>
                <c:pt idx="818">
                  <c:v>JUN.24</c:v>
                </c:pt>
                <c:pt idx="819">
                  <c:v>JUN.24</c:v>
                </c:pt>
                <c:pt idx="820">
                  <c:v>JUN.24</c:v>
                </c:pt>
                <c:pt idx="821">
                  <c:v>JUN.24</c:v>
                </c:pt>
                <c:pt idx="822">
                  <c:v>JUN.24</c:v>
                </c:pt>
                <c:pt idx="823">
                  <c:v>JUN.24</c:v>
                </c:pt>
                <c:pt idx="824">
                  <c:v>JUN.24</c:v>
                </c:pt>
                <c:pt idx="825">
                  <c:v>JUN.24</c:v>
                </c:pt>
                <c:pt idx="826">
                  <c:v>JUN.24</c:v>
                </c:pt>
                <c:pt idx="827">
                  <c:v>JUN.24</c:v>
                </c:pt>
                <c:pt idx="828">
                  <c:v>JUN.24</c:v>
                </c:pt>
                <c:pt idx="829">
                  <c:v>JUN.24</c:v>
                </c:pt>
                <c:pt idx="830">
                  <c:v>JUN.24</c:v>
                </c:pt>
                <c:pt idx="831">
                  <c:v>JUN.24</c:v>
                </c:pt>
                <c:pt idx="832">
                  <c:v>JUN.24</c:v>
                </c:pt>
                <c:pt idx="833">
                  <c:v>JUN.24</c:v>
                </c:pt>
                <c:pt idx="834">
                  <c:v>JUN.24</c:v>
                </c:pt>
                <c:pt idx="835">
                  <c:v>JUN.24</c:v>
                </c:pt>
                <c:pt idx="836">
                  <c:v>JUN.24</c:v>
                </c:pt>
                <c:pt idx="837">
                  <c:v>JUN.24</c:v>
                </c:pt>
                <c:pt idx="838">
                  <c:v>JUN.24</c:v>
                </c:pt>
                <c:pt idx="839">
                  <c:v>JUN.24</c:v>
                </c:pt>
                <c:pt idx="840">
                  <c:v>JUN.24</c:v>
                </c:pt>
                <c:pt idx="841">
                  <c:v>JUN.24</c:v>
                </c:pt>
                <c:pt idx="842">
                  <c:v>JUN.24</c:v>
                </c:pt>
                <c:pt idx="843">
                  <c:v>JUN.24</c:v>
                </c:pt>
                <c:pt idx="844">
                  <c:v>JUN.24</c:v>
                </c:pt>
                <c:pt idx="845">
                  <c:v>JUN.24</c:v>
                </c:pt>
                <c:pt idx="846">
                  <c:v>JUN.24</c:v>
                </c:pt>
                <c:pt idx="847">
                  <c:v>JUN.24</c:v>
                </c:pt>
                <c:pt idx="848">
                  <c:v>JUN.24</c:v>
                </c:pt>
                <c:pt idx="849">
                  <c:v>JUN.24</c:v>
                </c:pt>
                <c:pt idx="850">
                  <c:v>JUN.24</c:v>
                </c:pt>
                <c:pt idx="851">
                  <c:v>JUN.24</c:v>
                </c:pt>
                <c:pt idx="852">
                  <c:v>JUN.24</c:v>
                </c:pt>
                <c:pt idx="853">
                  <c:v>JUN.24</c:v>
                </c:pt>
                <c:pt idx="854">
                  <c:v>JUN.24</c:v>
                </c:pt>
                <c:pt idx="855">
                  <c:v>JUN.24</c:v>
                </c:pt>
                <c:pt idx="856">
                  <c:v>JUN.24</c:v>
                </c:pt>
                <c:pt idx="857">
                  <c:v>JUN.24</c:v>
                </c:pt>
                <c:pt idx="858">
                  <c:v>JUN.24</c:v>
                </c:pt>
                <c:pt idx="859">
                  <c:v>JUN.24</c:v>
                </c:pt>
                <c:pt idx="860">
                  <c:v>JUN.24</c:v>
                </c:pt>
                <c:pt idx="861">
                  <c:v>JUN.24</c:v>
                </c:pt>
                <c:pt idx="862">
                  <c:v>JUN.24</c:v>
                </c:pt>
                <c:pt idx="863">
                  <c:v>JUN.24</c:v>
                </c:pt>
                <c:pt idx="864">
                  <c:v>JUN.24</c:v>
                </c:pt>
                <c:pt idx="865">
                  <c:v>JUN.24</c:v>
                </c:pt>
                <c:pt idx="866">
                  <c:v>JUN.24</c:v>
                </c:pt>
                <c:pt idx="867">
                  <c:v>JUN.24</c:v>
                </c:pt>
                <c:pt idx="868">
                  <c:v>JUN.24</c:v>
                </c:pt>
                <c:pt idx="869">
                  <c:v>JUN.24</c:v>
                </c:pt>
                <c:pt idx="870">
                  <c:v>JUN.24</c:v>
                </c:pt>
                <c:pt idx="871">
                  <c:v>JUN.24</c:v>
                </c:pt>
                <c:pt idx="872">
                  <c:v>JUN.24</c:v>
                </c:pt>
                <c:pt idx="873">
                  <c:v>JUN.24</c:v>
                </c:pt>
                <c:pt idx="874">
                  <c:v>JUN.24</c:v>
                </c:pt>
                <c:pt idx="875">
                  <c:v>JUN.24</c:v>
                </c:pt>
                <c:pt idx="876">
                  <c:v>JUN.24</c:v>
                </c:pt>
                <c:pt idx="877">
                  <c:v>JUN.24</c:v>
                </c:pt>
                <c:pt idx="878">
                  <c:v>JUN.24</c:v>
                </c:pt>
                <c:pt idx="879">
                  <c:v>JUN.24 BLOWUP</c:v>
                </c:pt>
                <c:pt idx="880">
                  <c:v>JUN.24</c:v>
                </c:pt>
                <c:pt idx="881">
                  <c:v>JUN.24</c:v>
                </c:pt>
                <c:pt idx="882">
                  <c:v>JUN.24</c:v>
                </c:pt>
                <c:pt idx="883">
                  <c:v>JUN.24</c:v>
                </c:pt>
                <c:pt idx="884">
                  <c:v>JUN.24</c:v>
                </c:pt>
                <c:pt idx="885">
                  <c:v>JUN.24</c:v>
                </c:pt>
                <c:pt idx="886">
                  <c:v>JUN.24</c:v>
                </c:pt>
                <c:pt idx="887">
                  <c:v>JUN.24</c:v>
                </c:pt>
                <c:pt idx="888">
                  <c:v>July24 live (R+1) | REDUCE INTRADAY &gt;1D TRADES</c:v>
                </c:pt>
                <c:pt idx="889">
                  <c:v>JUL.24</c:v>
                </c:pt>
                <c:pt idx="890">
                  <c:v>JUL.24</c:v>
                </c:pt>
                <c:pt idx="891">
                  <c:v>JUL.24</c:v>
                </c:pt>
                <c:pt idx="892">
                  <c:v>JUL.24</c:v>
                </c:pt>
                <c:pt idx="893">
                  <c:v>JUL.24</c:v>
                </c:pt>
                <c:pt idx="894">
                  <c:v>JUL.24</c:v>
                </c:pt>
                <c:pt idx="895">
                  <c:v>JUL.24</c:v>
                </c:pt>
                <c:pt idx="896">
                  <c:v>JUL.24</c:v>
                </c:pt>
                <c:pt idx="897">
                  <c:v>JUL.24</c:v>
                </c:pt>
                <c:pt idx="898">
                  <c:v>JUL.24</c:v>
                </c:pt>
                <c:pt idx="899">
                  <c:v>JUL.24</c:v>
                </c:pt>
                <c:pt idx="900">
                  <c:v>JUL.24</c:v>
                </c:pt>
                <c:pt idx="901">
                  <c:v>JUL.24</c:v>
                </c:pt>
                <c:pt idx="902">
                  <c:v>JUL.24</c:v>
                </c:pt>
                <c:pt idx="903">
                  <c:v>JUL.24</c:v>
                </c:pt>
                <c:pt idx="904">
                  <c:v>JUL.24</c:v>
                </c:pt>
                <c:pt idx="905">
                  <c:v>JUL.24</c:v>
                </c:pt>
                <c:pt idx="906">
                  <c:v>JUL.24</c:v>
                </c:pt>
                <c:pt idx="907">
                  <c:v>JUL.24</c:v>
                </c:pt>
                <c:pt idx="908">
                  <c:v>JUL.24</c:v>
                </c:pt>
                <c:pt idx="909">
                  <c:v>JUL.24</c:v>
                </c:pt>
                <c:pt idx="910">
                  <c:v>JUL.24</c:v>
                </c:pt>
                <c:pt idx="911">
                  <c:v>JUL.24</c:v>
                </c:pt>
                <c:pt idx="912">
                  <c:v>JUL.24</c:v>
                </c:pt>
                <c:pt idx="913">
                  <c:v>JUL.24</c:v>
                </c:pt>
                <c:pt idx="914">
                  <c:v>JUL.24</c:v>
                </c:pt>
                <c:pt idx="915">
                  <c:v>JUL.24</c:v>
                </c:pt>
                <c:pt idx="916">
                  <c:v>JUL.24</c:v>
                </c:pt>
                <c:pt idx="917">
                  <c:v>JUL.24</c:v>
                </c:pt>
                <c:pt idx="918">
                  <c:v>JUL.24</c:v>
                </c:pt>
                <c:pt idx="919">
                  <c:v>JUL.24</c:v>
                </c:pt>
                <c:pt idx="920">
                  <c:v>JUL.24</c:v>
                </c:pt>
                <c:pt idx="921">
                  <c:v>JUL.24</c:v>
                </c:pt>
                <c:pt idx="922">
                  <c:v>JUL.24</c:v>
                </c:pt>
                <c:pt idx="923">
                  <c:v>JUL.24</c:v>
                </c:pt>
                <c:pt idx="924">
                  <c:v>JUL.24</c:v>
                </c:pt>
                <c:pt idx="925">
                  <c:v>JUL.24</c:v>
                </c:pt>
                <c:pt idx="926">
                  <c:v>JUL.24</c:v>
                </c:pt>
                <c:pt idx="927">
                  <c:v>JUL.24</c:v>
                </c:pt>
                <c:pt idx="928">
                  <c:v>JUL.24</c:v>
                </c:pt>
                <c:pt idx="929">
                  <c:v>JUL.24</c:v>
                </c:pt>
                <c:pt idx="930">
                  <c:v>JUL.24</c:v>
                </c:pt>
                <c:pt idx="931">
                  <c:v>JUL.24</c:v>
                </c:pt>
                <c:pt idx="932">
                  <c:v>JUL.24</c:v>
                </c:pt>
                <c:pt idx="933">
                  <c:v>JUL.24</c:v>
                </c:pt>
                <c:pt idx="934">
                  <c:v>JUL.24</c:v>
                </c:pt>
                <c:pt idx="935">
                  <c:v>JUL.24</c:v>
                </c:pt>
                <c:pt idx="936">
                  <c:v>JUL.24</c:v>
                </c:pt>
                <c:pt idx="937">
                  <c:v>JUL.24</c:v>
                </c:pt>
                <c:pt idx="938">
                  <c:v>JUL.24</c:v>
                </c:pt>
                <c:pt idx="939">
                  <c:v>JUL.24</c:v>
                </c:pt>
                <c:pt idx="940">
                  <c:v>JUL.24</c:v>
                </c:pt>
                <c:pt idx="941">
                  <c:v>JUL.24</c:v>
                </c:pt>
                <c:pt idx="942">
                  <c:v>JUL.24</c:v>
                </c:pt>
                <c:pt idx="943">
                  <c:v>JUL.24</c:v>
                </c:pt>
                <c:pt idx="944">
                  <c:v>JUL.24</c:v>
                </c:pt>
                <c:pt idx="945">
                  <c:v>JUL.24</c:v>
                </c:pt>
                <c:pt idx="946">
                  <c:v>JUL.24</c:v>
                </c:pt>
                <c:pt idx="947">
                  <c:v>JUL.24</c:v>
                </c:pt>
                <c:pt idx="948">
                  <c:v>JUL.24</c:v>
                </c:pt>
                <c:pt idx="949">
                  <c:v>JUL.24</c:v>
                </c:pt>
                <c:pt idx="950">
                  <c:v>JUL.24</c:v>
                </c:pt>
                <c:pt idx="951">
                  <c:v>JUL.24</c:v>
                </c:pt>
                <c:pt idx="952">
                  <c:v>JUL.24</c:v>
                </c:pt>
                <c:pt idx="953">
                  <c:v>JUL.24</c:v>
                </c:pt>
                <c:pt idx="954">
                  <c:v>JUL.24</c:v>
                </c:pt>
                <c:pt idx="955">
                  <c:v>JUL.24</c:v>
                </c:pt>
                <c:pt idx="956">
                  <c:v>JUL.24</c:v>
                </c:pt>
                <c:pt idx="957">
                  <c:v>JUL.24</c:v>
                </c:pt>
                <c:pt idx="958">
                  <c:v>JUL.24</c:v>
                </c:pt>
                <c:pt idx="959">
                  <c:v>JUL.24</c:v>
                </c:pt>
                <c:pt idx="960">
                  <c:v>JUL.24</c:v>
                </c:pt>
                <c:pt idx="961">
                  <c:v>JUL.24</c:v>
                </c:pt>
                <c:pt idx="962">
                  <c:v>JUL.24</c:v>
                </c:pt>
                <c:pt idx="963">
                  <c:v>JUL.24</c:v>
                </c:pt>
                <c:pt idx="964">
                  <c:v>JUL.24</c:v>
                </c:pt>
                <c:pt idx="965">
                  <c:v>JUL.24</c:v>
                </c:pt>
                <c:pt idx="966">
                  <c:v>JUL.24</c:v>
                </c:pt>
                <c:pt idx="967">
                  <c:v>JUL.24</c:v>
                </c:pt>
                <c:pt idx="968">
                  <c:v>JUL.24</c:v>
                </c:pt>
                <c:pt idx="969">
                  <c:v>JUL.24</c:v>
                </c:pt>
                <c:pt idx="970">
                  <c:v>JUL.24</c:v>
                </c:pt>
                <c:pt idx="971">
                  <c:v>JUL.24</c:v>
                </c:pt>
                <c:pt idx="972">
                  <c:v>JUL.24</c:v>
                </c:pt>
                <c:pt idx="973">
                  <c:v>JUL.24</c:v>
                </c:pt>
                <c:pt idx="974">
                  <c:v>JUL.24</c:v>
                </c:pt>
                <c:pt idx="975">
                  <c:v>JUL.24</c:v>
                </c:pt>
                <c:pt idx="976">
                  <c:v>JUL.24</c:v>
                </c:pt>
                <c:pt idx="977">
                  <c:v>JUL.24</c:v>
                </c:pt>
                <c:pt idx="978">
                  <c:v>JUL.24</c:v>
                </c:pt>
                <c:pt idx="979">
                  <c:v>JUL.24</c:v>
                </c:pt>
                <c:pt idx="980">
                  <c:v>JUL.24</c:v>
                </c:pt>
                <c:pt idx="981">
                  <c:v>JUL.24</c:v>
                </c:pt>
                <c:pt idx="982">
                  <c:v>JUL.24</c:v>
                </c:pt>
                <c:pt idx="983">
                  <c:v>JUL.24</c:v>
                </c:pt>
                <c:pt idx="984">
                  <c:v>JUL.24</c:v>
                </c:pt>
                <c:pt idx="985">
                  <c:v>JUL.24</c:v>
                </c:pt>
                <c:pt idx="986">
                  <c:v>JUL.24</c:v>
                </c:pt>
                <c:pt idx="987">
                  <c:v>JUL.24</c:v>
                </c:pt>
                <c:pt idx="988">
                  <c:v>JUL.24</c:v>
                </c:pt>
                <c:pt idx="989">
                  <c:v>August24 live (R-1) | REDUCE LOT SIZING 2ND HALF AND ONLY EXITS IN 2ND HALF</c:v>
                </c:pt>
                <c:pt idx="990">
                  <c:v>AUG.24</c:v>
                </c:pt>
                <c:pt idx="991">
                  <c:v>AUG.24</c:v>
                </c:pt>
                <c:pt idx="992">
                  <c:v>AUG.24.II</c:v>
                </c:pt>
                <c:pt idx="993">
                  <c:v>AUG.24</c:v>
                </c:pt>
                <c:pt idx="994">
                  <c:v>AUG.24</c:v>
                </c:pt>
                <c:pt idx="995">
                  <c:v>AUG.24</c:v>
                </c:pt>
                <c:pt idx="996">
                  <c:v>AUG.24</c:v>
                </c:pt>
                <c:pt idx="997">
                  <c:v>AUG.24</c:v>
                </c:pt>
                <c:pt idx="998">
                  <c:v>AUG.24</c:v>
                </c:pt>
                <c:pt idx="999">
                  <c:v>AUG.24</c:v>
                </c:pt>
                <c:pt idx="1000">
                  <c:v>AUG.24</c:v>
                </c:pt>
                <c:pt idx="1001">
                  <c:v>AUG.24.II</c:v>
                </c:pt>
                <c:pt idx="1002">
                  <c:v>AUG.24.II</c:v>
                </c:pt>
                <c:pt idx="1003">
                  <c:v>AUG.24</c:v>
                </c:pt>
                <c:pt idx="1004">
                  <c:v>AUG.24</c:v>
                </c:pt>
                <c:pt idx="1005">
                  <c:v>AUG.24</c:v>
                </c:pt>
                <c:pt idx="1006">
                  <c:v>AUG.24.II</c:v>
                </c:pt>
                <c:pt idx="1007">
                  <c:v>AUG.24.II</c:v>
                </c:pt>
                <c:pt idx="1008">
                  <c:v>AUG.24</c:v>
                </c:pt>
                <c:pt idx="1009">
                  <c:v>AUG.24</c:v>
                </c:pt>
                <c:pt idx="1010">
                  <c:v>AUG.24</c:v>
                </c:pt>
                <c:pt idx="1011">
                  <c:v>AUG.24</c:v>
                </c:pt>
                <c:pt idx="1012">
                  <c:v>AUG.24</c:v>
                </c:pt>
                <c:pt idx="1013">
                  <c:v>AUG.24</c:v>
                </c:pt>
                <c:pt idx="1014">
                  <c:v>AUG.24</c:v>
                </c:pt>
                <c:pt idx="1015">
                  <c:v>AUG.24</c:v>
                </c:pt>
                <c:pt idx="1016">
                  <c:v>AUG.24</c:v>
                </c:pt>
                <c:pt idx="1017">
                  <c:v>AUG.24</c:v>
                </c:pt>
                <c:pt idx="1018">
                  <c:v>AUG.24</c:v>
                </c:pt>
                <c:pt idx="1019">
                  <c:v>AUG.24</c:v>
                </c:pt>
                <c:pt idx="1020">
                  <c:v>AUG.24</c:v>
                </c:pt>
                <c:pt idx="1021">
                  <c:v>AUG.24</c:v>
                </c:pt>
                <c:pt idx="1022">
                  <c:v>AUG.24</c:v>
                </c:pt>
                <c:pt idx="1023">
                  <c:v>AUG.24</c:v>
                </c:pt>
                <c:pt idx="1024">
                  <c:v>AUG.24</c:v>
                </c:pt>
                <c:pt idx="1025">
                  <c:v>AUG.24</c:v>
                </c:pt>
                <c:pt idx="1026">
                  <c:v>AUG.24</c:v>
                </c:pt>
                <c:pt idx="1027">
                  <c:v>AUG.24.II</c:v>
                </c:pt>
                <c:pt idx="1028">
                  <c:v>AUG.24</c:v>
                </c:pt>
                <c:pt idx="1029">
                  <c:v>AUG.24</c:v>
                </c:pt>
                <c:pt idx="1030">
                  <c:v>AUG.24</c:v>
                </c:pt>
                <c:pt idx="1031">
                  <c:v>AUG.24</c:v>
                </c:pt>
                <c:pt idx="1032">
                  <c:v>AUG.24</c:v>
                </c:pt>
                <c:pt idx="1033">
                  <c:v>AUG.24</c:v>
                </c:pt>
                <c:pt idx="1034">
                  <c:v>AUG.24</c:v>
                </c:pt>
                <c:pt idx="1035">
                  <c:v>AUG.24</c:v>
                </c:pt>
                <c:pt idx="1036">
                  <c:v>AUG.24</c:v>
                </c:pt>
                <c:pt idx="1037">
                  <c:v>AUG.24</c:v>
                </c:pt>
                <c:pt idx="1038">
                  <c:v>AUG.24</c:v>
                </c:pt>
                <c:pt idx="1039">
                  <c:v>AUG.24</c:v>
                </c:pt>
                <c:pt idx="1040">
                  <c:v>AUG.24</c:v>
                </c:pt>
                <c:pt idx="1041">
                  <c:v>AUG.24</c:v>
                </c:pt>
                <c:pt idx="1042">
                  <c:v>AUG.24</c:v>
                </c:pt>
                <c:pt idx="1043">
                  <c:v>AUG.24</c:v>
                </c:pt>
                <c:pt idx="1044">
                  <c:v>AUG.24</c:v>
                </c:pt>
                <c:pt idx="1045">
                  <c:v>AUG.24</c:v>
                </c:pt>
                <c:pt idx="1046">
                  <c:v>AUG.24</c:v>
                </c:pt>
                <c:pt idx="1047">
                  <c:v>AUG.24</c:v>
                </c:pt>
                <c:pt idx="1048">
                  <c:v>AUG.24</c:v>
                </c:pt>
                <c:pt idx="1049">
                  <c:v>AUG.24</c:v>
                </c:pt>
                <c:pt idx="1050">
                  <c:v>AUG.24</c:v>
                </c:pt>
                <c:pt idx="1051">
                  <c:v>AUG.24</c:v>
                </c:pt>
                <c:pt idx="1052">
                  <c:v>AUG.24</c:v>
                </c:pt>
                <c:pt idx="1053">
                  <c:v>AUG.24</c:v>
                </c:pt>
                <c:pt idx="1054">
                  <c:v>AUG.24</c:v>
                </c:pt>
                <c:pt idx="1055">
                  <c:v>AUG.24</c:v>
                </c:pt>
                <c:pt idx="1056">
                  <c:v>AUG.24</c:v>
                </c:pt>
                <c:pt idx="1057">
                  <c:v>AUG.24</c:v>
                </c:pt>
                <c:pt idx="1058">
                  <c:v>AUG.24</c:v>
                </c:pt>
                <c:pt idx="1059">
                  <c:v>AUG.24</c:v>
                </c:pt>
                <c:pt idx="1060">
                  <c:v>AUG.24</c:v>
                </c:pt>
                <c:pt idx="1061">
                  <c:v>AUG.24</c:v>
                </c:pt>
                <c:pt idx="1062">
                  <c:v>AUG.24</c:v>
                </c:pt>
                <c:pt idx="1063">
                  <c:v>AUG.24</c:v>
                </c:pt>
                <c:pt idx="1064">
                  <c:v>AUG.24</c:v>
                </c:pt>
                <c:pt idx="1065">
                  <c:v>AUG.24</c:v>
                </c:pt>
                <c:pt idx="1066">
                  <c:v>AUG.24</c:v>
                </c:pt>
                <c:pt idx="1067">
                  <c:v>AUG.24</c:v>
                </c:pt>
                <c:pt idx="1068">
                  <c:v>AUG.24</c:v>
                </c:pt>
                <c:pt idx="1069">
                  <c:v>AUG.24</c:v>
                </c:pt>
                <c:pt idx="1070">
                  <c:v>AUG.24</c:v>
                </c:pt>
                <c:pt idx="1071">
                  <c:v>AUG.24</c:v>
                </c:pt>
                <c:pt idx="1072">
                  <c:v>AUG.24</c:v>
                </c:pt>
                <c:pt idx="1073">
                  <c:v>AUG.24</c:v>
                </c:pt>
                <c:pt idx="1074">
                  <c:v>AUG.24</c:v>
                </c:pt>
                <c:pt idx="1075">
                  <c:v>AUG.24</c:v>
                </c:pt>
                <c:pt idx="1076">
                  <c:v>AUG.24</c:v>
                </c:pt>
                <c:pt idx="1077">
                  <c:v>AUG.24</c:v>
                </c:pt>
                <c:pt idx="1078">
                  <c:v>AUG.24</c:v>
                </c:pt>
                <c:pt idx="1079">
                  <c:v>AUG.24</c:v>
                </c:pt>
                <c:pt idx="1080">
                  <c:v>AUG.24</c:v>
                </c:pt>
                <c:pt idx="1081">
                  <c:v>AUG.24</c:v>
                </c:pt>
                <c:pt idx="1082">
                  <c:v>AUG.24</c:v>
                </c:pt>
                <c:pt idx="1083">
                  <c:v>AUG.24</c:v>
                </c:pt>
                <c:pt idx="1084">
                  <c:v>AUG.24</c:v>
                </c:pt>
                <c:pt idx="1085">
                  <c:v>AUG.24</c:v>
                </c:pt>
                <c:pt idx="1086">
                  <c:v>September24 live (R) | REDUCE LOT SIZING 1ST HALF, AVOID POSITIONAL </c:v>
                </c:pt>
                <c:pt idx="1087">
                  <c:v>SEP.24</c:v>
                </c:pt>
                <c:pt idx="1088">
                  <c:v>SEP.24</c:v>
                </c:pt>
                <c:pt idx="1089">
                  <c:v>SEP.24</c:v>
                </c:pt>
                <c:pt idx="1090">
                  <c:v>SEP.24</c:v>
                </c:pt>
                <c:pt idx="1091">
                  <c:v>SEP.24</c:v>
                </c:pt>
                <c:pt idx="1092">
                  <c:v>SEP.24</c:v>
                </c:pt>
                <c:pt idx="1093">
                  <c:v>SEP.24</c:v>
                </c:pt>
                <c:pt idx="1094">
                  <c:v>SEP.24</c:v>
                </c:pt>
                <c:pt idx="1095">
                  <c:v>SEP.24</c:v>
                </c:pt>
                <c:pt idx="1096">
                  <c:v>SEP.24</c:v>
                </c:pt>
                <c:pt idx="1097">
                  <c:v>SEP.24</c:v>
                </c:pt>
                <c:pt idx="1098">
                  <c:v>SEP.24</c:v>
                </c:pt>
                <c:pt idx="1099">
                  <c:v>SEP.24</c:v>
                </c:pt>
                <c:pt idx="1100">
                  <c:v>SEP.24</c:v>
                </c:pt>
                <c:pt idx="1101">
                  <c:v>SEP.24</c:v>
                </c:pt>
                <c:pt idx="1102">
                  <c:v>SEP.24</c:v>
                </c:pt>
                <c:pt idx="1103">
                  <c:v>SEP.24</c:v>
                </c:pt>
                <c:pt idx="1104">
                  <c:v>SEP.24</c:v>
                </c:pt>
                <c:pt idx="1105">
                  <c:v>SEP.24</c:v>
                </c:pt>
                <c:pt idx="1106">
                  <c:v>SEP.24</c:v>
                </c:pt>
                <c:pt idx="1107">
                  <c:v>SEP.24</c:v>
                </c:pt>
                <c:pt idx="1108">
                  <c:v>SEP.24</c:v>
                </c:pt>
                <c:pt idx="1109">
                  <c:v>SEP.24</c:v>
                </c:pt>
                <c:pt idx="1110">
                  <c:v>SEP.24</c:v>
                </c:pt>
                <c:pt idx="1111">
                  <c:v>SEP.24</c:v>
                </c:pt>
                <c:pt idx="1112">
                  <c:v>SEP.24</c:v>
                </c:pt>
                <c:pt idx="1113">
                  <c:v>SEP.24</c:v>
                </c:pt>
                <c:pt idx="1114">
                  <c:v>SEP.24</c:v>
                </c:pt>
                <c:pt idx="1115">
                  <c:v>SEP.24</c:v>
                </c:pt>
                <c:pt idx="1116">
                  <c:v>SEP.24</c:v>
                </c:pt>
                <c:pt idx="1117">
                  <c:v>SEP.24</c:v>
                </c:pt>
                <c:pt idx="1118">
                  <c:v>SEP.24</c:v>
                </c:pt>
                <c:pt idx="1119">
                  <c:v>SEP.24</c:v>
                </c:pt>
                <c:pt idx="1120">
                  <c:v>SEP.24</c:v>
                </c:pt>
                <c:pt idx="1121">
                  <c:v>SEP.24</c:v>
                </c:pt>
                <c:pt idx="1122">
                  <c:v>SEP.24</c:v>
                </c:pt>
                <c:pt idx="1123">
                  <c:v>SEP.24</c:v>
                </c:pt>
                <c:pt idx="1124">
                  <c:v>SEP.24</c:v>
                </c:pt>
                <c:pt idx="1125">
                  <c:v>October24 live (R+1) | REDUCE INTRADAY &gt;1D TRADES</c:v>
                </c:pt>
                <c:pt idx="1126">
                  <c:v>OCT.24</c:v>
                </c:pt>
                <c:pt idx="1127">
                  <c:v>OCT.24</c:v>
                </c:pt>
                <c:pt idx="1128">
                  <c:v>OCT.24</c:v>
                </c:pt>
                <c:pt idx="1129">
                  <c:v>OCT.24</c:v>
                </c:pt>
                <c:pt idx="1130">
                  <c:v>OCT.24</c:v>
                </c:pt>
                <c:pt idx="1131">
                  <c:v>OCT.24</c:v>
                </c:pt>
                <c:pt idx="1132">
                  <c:v>OCT.24</c:v>
                </c:pt>
                <c:pt idx="1133">
                  <c:v>OCT.24</c:v>
                </c:pt>
                <c:pt idx="1134">
                  <c:v>OCT.24</c:v>
                </c:pt>
                <c:pt idx="1135">
                  <c:v>OCT.24</c:v>
                </c:pt>
                <c:pt idx="1136">
                  <c:v>OCT.24</c:v>
                </c:pt>
                <c:pt idx="1137">
                  <c:v>OCT.24</c:v>
                </c:pt>
                <c:pt idx="1138">
                  <c:v>OCT.24</c:v>
                </c:pt>
                <c:pt idx="1139">
                  <c:v>OCT.24</c:v>
                </c:pt>
                <c:pt idx="1140">
                  <c:v>OCT.24</c:v>
                </c:pt>
                <c:pt idx="1141">
                  <c:v>OCT.24</c:v>
                </c:pt>
                <c:pt idx="1142">
                  <c:v>OCT.24</c:v>
                </c:pt>
                <c:pt idx="1143">
                  <c:v>OCT.24</c:v>
                </c:pt>
                <c:pt idx="1144">
                  <c:v>OCT.24</c:v>
                </c:pt>
                <c:pt idx="1145">
                  <c:v>OCT.24</c:v>
                </c:pt>
                <c:pt idx="1146">
                  <c:v>OCT.24</c:v>
                </c:pt>
                <c:pt idx="1147">
                  <c:v>OCT.24</c:v>
                </c:pt>
                <c:pt idx="1148">
                  <c:v>OCT.24</c:v>
                </c:pt>
                <c:pt idx="1149">
                  <c:v>OCT.24</c:v>
                </c:pt>
                <c:pt idx="1150">
                  <c:v>OCT.24</c:v>
                </c:pt>
                <c:pt idx="1151">
                  <c:v>OCT.24</c:v>
                </c:pt>
                <c:pt idx="1152">
                  <c:v>OCT.24</c:v>
                </c:pt>
                <c:pt idx="1153">
                  <c:v>OCT.24</c:v>
                </c:pt>
                <c:pt idx="1154">
                  <c:v>OCT.24</c:v>
                </c:pt>
                <c:pt idx="1155">
                  <c:v>OCT.24</c:v>
                </c:pt>
                <c:pt idx="1156">
                  <c:v>OCT.24</c:v>
                </c:pt>
                <c:pt idx="1157">
                  <c:v>OCT.24</c:v>
                </c:pt>
                <c:pt idx="1158">
                  <c:v>OCT.24</c:v>
                </c:pt>
                <c:pt idx="1159">
                  <c:v>OCT.24</c:v>
                </c:pt>
                <c:pt idx="1160">
                  <c:v>OCT.24</c:v>
                </c:pt>
                <c:pt idx="1161">
                  <c:v>OCT.24</c:v>
                </c:pt>
                <c:pt idx="1162">
                  <c:v>OCT.24</c:v>
                </c:pt>
                <c:pt idx="1163">
                  <c:v>OCT.24</c:v>
                </c:pt>
                <c:pt idx="1164">
                  <c:v>OCT.24</c:v>
                </c:pt>
                <c:pt idx="1165">
                  <c:v>OCT.24</c:v>
                </c:pt>
                <c:pt idx="1166">
                  <c:v>OCT.24</c:v>
                </c:pt>
                <c:pt idx="1167">
                  <c:v>OCT.24</c:v>
                </c:pt>
                <c:pt idx="1168">
                  <c:v>OCT.24</c:v>
                </c:pt>
                <c:pt idx="1169">
                  <c:v>OCT.24</c:v>
                </c:pt>
                <c:pt idx="1170">
                  <c:v>OCT.24</c:v>
                </c:pt>
                <c:pt idx="1171">
                  <c:v>OCT.24</c:v>
                </c:pt>
                <c:pt idx="1172">
                  <c:v>OCT.24</c:v>
                </c:pt>
                <c:pt idx="1173">
                  <c:v>OCT.24</c:v>
                </c:pt>
                <c:pt idx="1174">
                  <c:v>OCT.24</c:v>
                </c:pt>
                <c:pt idx="1175">
                  <c:v>OCT.24</c:v>
                </c:pt>
                <c:pt idx="1176">
                  <c:v>OCT.24</c:v>
                </c:pt>
                <c:pt idx="1177">
                  <c:v>OCT.24</c:v>
                </c:pt>
                <c:pt idx="1178">
                  <c:v>OCT.24</c:v>
                </c:pt>
                <c:pt idx="1179">
                  <c:v>OCT.24</c:v>
                </c:pt>
                <c:pt idx="1180">
                  <c:v>OCT.24</c:v>
                </c:pt>
                <c:pt idx="1181">
                  <c:v>OCT.24</c:v>
                </c:pt>
                <c:pt idx="1182">
                  <c:v>OCT.24</c:v>
                </c:pt>
                <c:pt idx="1183">
                  <c:v>OCT.24</c:v>
                </c:pt>
                <c:pt idx="1184">
                  <c:v>OCT.24</c:v>
                </c:pt>
                <c:pt idx="1185">
                  <c:v>OCT.24</c:v>
                </c:pt>
                <c:pt idx="1186">
                  <c:v>OCT.24</c:v>
                </c:pt>
                <c:pt idx="1187">
                  <c:v>OCT.24</c:v>
                </c:pt>
                <c:pt idx="1188">
                  <c:v>OCT.24</c:v>
                </c:pt>
                <c:pt idx="1189">
                  <c:v>OCT.24</c:v>
                </c:pt>
                <c:pt idx="1190">
                  <c:v>OCT.24</c:v>
                </c:pt>
                <c:pt idx="1191">
                  <c:v>OCT.24</c:v>
                </c:pt>
                <c:pt idx="1192">
                  <c:v>OCT.24</c:v>
                </c:pt>
                <c:pt idx="1193">
                  <c:v>OCT.24</c:v>
                </c:pt>
                <c:pt idx="1194">
                  <c:v>OCT.24</c:v>
                </c:pt>
                <c:pt idx="1195">
                  <c:v>OCT.24</c:v>
                </c:pt>
                <c:pt idx="1196">
                  <c:v>OCT.24</c:v>
                </c:pt>
                <c:pt idx="1197">
                  <c:v>OCT.24</c:v>
                </c:pt>
                <c:pt idx="1198">
                  <c:v>OCT.24</c:v>
                </c:pt>
                <c:pt idx="1199">
                  <c:v>OCT.24</c:v>
                </c:pt>
                <c:pt idx="1200">
                  <c:v>OCT.24</c:v>
                </c:pt>
                <c:pt idx="1201">
                  <c:v>OCT.24</c:v>
                </c:pt>
                <c:pt idx="1202">
                  <c:v>OCT.24</c:v>
                </c:pt>
                <c:pt idx="1203">
                  <c:v>OCT.24</c:v>
                </c:pt>
                <c:pt idx="1204">
                  <c:v>OCT.24</c:v>
                </c:pt>
                <c:pt idx="1205">
                  <c:v>OCT.24</c:v>
                </c:pt>
                <c:pt idx="1206">
                  <c:v>OCT.24</c:v>
                </c:pt>
                <c:pt idx="1207">
                  <c:v>OCT.24</c:v>
                </c:pt>
                <c:pt idx="1208">
                  <c:v>OCT.24</c:v>
                </c:pt>
                <c:pt idx="1209">
                  <c:v>OCT.24</c:v>
                </c:pt>
                <c:pt idx="1210">
                  <c:v>OCT.24</c:v>
                </c:pt>
                <c:pt idx="1211">
                  <c:v>OCT.24</c:v>
                </c:pt>
                <c:pt idx="1212">
                  <c:v>OCT.24</c:v>
                </c:pt>
                <c:pt idx="1213">
                  <c:v>OCT.24</c:v>
                </c:pt>
                <c:pt idx="1214">
                  <c:v>November24 live EPILOGUE 1</c:v>
                </c:pt>
                <c:pt idx="1215">
                  <c:v>NOV.24</c:v>
                </c:pt>
                <c:pt idx="1216">
                  <c:v>NOV.24</c:v>
                </c:pt>
                <c:pt idx="1217">
                  <c:v>NOV.24</c:v>
                </c:pt>
                <c:pt idx="1218">
                  <c:v>NOV.24</c:v>
                </c:pt>
                <c:pt idx="1219">
                  <c:v>NOV.24</c:v>
                </c:pt>
                <c:pt idx="1220">
                  <c:v>NOV.24</c:v>
                </c:pt>
                <c:pt idx="1221">
                  <c:v>NOV.24</c:v>
                </c:pt>
                <c:pt idx="1222">
                  <c:v>NOV.24</c:v>
                </c:pt>
                <c:pt idx="1223">
                  <c:v>NOV.24</c:v>
                </c:pt>
                <c:pt idx="1224">
                  <c:v>NOV.24</c:v>
                </c:pt>
                <c:pt idx="1225">
                  <c:v>NOV.24</c:v>
                </c:pt>
                <c:pt idx="1226">
                  <c:v>NOV.24</c:v>
                </c:pt>
                <c:pt idx="1227">
                  <c:v>NOV.24</c:v>
                </c:pt>
                <c:pt idx="1228">
                  <c:v>NOV.24</c:v>
                </c:pt>
                <c:pt idx="1229">
                  <c:v>NOV.24</c:v>
                </c:pt>
                <c:pt idx="1230">
                  <c:v>NOV.24</c:v>
                </c:pt>
                <c:pt idx="1231">
                  <c:v>NOV.24</c:v>
                </c:pt>
                <c:pt idx="1232">
                  <c:v>NOV.24</c:v>
                </c:pt>
                <c:pt idx="1233">
                  <c:v>NOV.24</c:v>
                </c:pt>
                <c:pt idx="1234">
                  <c:v>NOV.24</c:v>
                </c:pt>
                <c:pt idx="1235">
                  <c:v>NOV.24</c:v>
                </c:pt>
                <c:pt idx="1236">
                  <c:v>NOV.24</c:v>
                </c:pt>
                <c:pt idx="1237">
                  <c:v>NOV.24</c:v>
                </c:pt>
              </c:strCache>
            </c:strRef>
          </c:cat>
          <c:val>
            <c:numRef>
              <c:f>'Journal Live'!$BP$1388:$BP$2630</c:f>
              <c:numCache>
                <c:formatCode>General</c:formatCode>
                <c:ptCount val="1238"/>
                <c:pt idx="0">
                  <c:v>0</c:v>
                </c:pt>
                <c:pt idx="1">
                  <c:v>0</c:v>
                </c:pt>
                <c:pt idx="2">
                  <c:v>0</c:v>
                </c:pt>
                <c:pt idx="3">
                  <c:v>256</c:v>
                </c:pt>
                <c:pt idx="4">
                  <c:v>256</c:v>
                </c:pt>
                <c:pt idx="5">
                  <c:v>256</c:v>
                </c:pt>
                <c:pt idx="6">
                  <c:v>256</c:v>
                </c:pt>
                <c:pt idx="7">
                  <c:v>256</c:v>
                </c:pt>
                <c:pt idx="8">
                  <c:v>256</c:v>
                </c:pt>
                <c:pt idx="9">
                  <c:v>256</c:v>
                </c:pt>
                <c:pt idx="10">
                  <c:v>256</c:v>
                </c:pt>
                <c:pt idx="11">
                  <c:v>256</c:v>
                </c:pt>
                <c:pt idx="12">
                  <c:v>256</c:v>
                </c:pt>
                <c:pt idx="13">
                  <c:v>256</c:v>
                </c:pt>
                <c:pt idx="14">
                  <c:v>256</c:v>
                </c:pt>
                <c:pt idx="15">
                  <c:v>256</c:v>
                </c:pt>
                <c:pt idx="16">
                  <c:v>256</c:v>
                </c:pt>
                <c:pt idx="17">
                  <c:v>256</c:v>
                </c:pt>
                <c:pt idx="18">
                  <c:v>256</c:v>
                </c:pt>
                <c:pt idx="19">
                  <c:v>256</c:v>
                </c:pt>
                <c:pt idx="20">
                  <c:v>256</c:v>
                </c:pt>
                <c:pt idx="21">
                  <c:v>256</c:v>
                </c:pt>
                <c:pt idx="22">
                  <c:v>256</c:v>
                </c:pt>
                <c:pt idx="23">
                  <c:v>256</c:v>
                </c:pt>
                <c:pt idx="24">
                  <c:v>256</c:v>
                </c:pt>
                <c:pt idx="25">
                  <c:v>256</c:v>
                </c:pt>
                <c:pt idx="26">
                  <c:v>256</c:v>
                </c:pt>
                <c:pt idx="27">
                  <c:v>256</c:v>
                </c:pt>
                <c:pt idx="28">
                  <c:v>256</c:v>
                </c:pt>
                <c:pt idx="29">
                  <c:v>256</c:v>
                </c:pt>
                <c:pt idx="30">
                  <c:v>256</c:v>
                </c:pt>
                <c:pt idx="31">
                  <c:v>256</c:v>
                </c:pt>
                <c:pt idx="32">
                  <c:v>256</c:v>
                </c:pt>
                <c:pt idx="33">
                  <c:v>256</c:v>
                </c:pt>
                <c:pt idx="34">
                  <c:v>256</c:v>
                </c:pt>
                <c:pt idx="35">
                  <c:v>256</c:v>
                </c:pt>
                <c:pt idx="36">
                  <c:v>256</c:v>
                </c:pt>
                <c:pt idx="37">
                  <c:v>256</c:v>
                </c:pt>
                <c:pt idx="38">
                  <c:v>256</c:v>
                </c:pt>
                <c:pt idx="39">
                  <c:v>256</c:v>
                </c:pt>
                <c:pt idx="40">
                  <c:v>256</c:v>
                </c:pt>
                <c:pt idx="41">
                  <c:v>256</c:v>
                </c:pt>
                <c:pt idx="42">
                  <c:v>256</c:v>
                </c:pt>
                <c:pt idx="43">
                  <c:v>447.99999999999989</c:v>
                </c:pt>
                <c:pt idx="44">
                  <c:v>447.99999999999989</c:v>
                </c:pt>
                <c:pt idx="45">
                  <c:v>1062.3999999999999</c:v>
                </c:pt>
                <c:pt idx="46">
                  <c:v>1062.3999999999999</c:v>
                </c:pt>
                <c:pt idx="47">
                  <c:v>1062.3999999999999</c:v>
                </c:pt>
                <c:pt idx="48">
                  <c:v>1062.3999999999999</c:v>
                </c:pt>
                <c:pt idx="49">
                  <c:v>1062.3999999999999</c:v>
                </c:pt>
                <c:pt idx="50">
                  <c:v>1062.3999999999999</c:v>
                </c:pt>
                <c:pt idx="51">
                  <c:v>1062.3999999999999</c:v>
                </c:pt>
                <c:pt idx="52">
                  <c:v>1062.3999999999999</c:v>
                </c:pt>
                <c:pt idx="53">
                  <c:v>1062.3999999999999</c:v>
                </c:pt>
                <c:pt idx="54">
                  <c:v>1062.3999999999999</c:v>
                </c:pt>
                <c:pt idx="55">
                  <c:v>1062.3999999999999</c:v>
                </c:pt>
                <c:pt idx="56">
                  <c:v>1062.3999999999999</c:v>
                </c:pt>
                <c:pt idx="57">
                  <c:v>1062.3999999999999</c:v>
                </c:pt>
                <c:pt idx="58">
                  <c:v>1062.3999999999999</c:v>
                </c:pt>
                <c:pt idx="59">
                  <c:v>1062.3999999999999</c:v>
                </c:pt>
                <c:pt idx="60">
                  <c:v>1062.3999999999999</c:v>
                </c:pt>
                <c:pt idx="61">
                  <c:v>1062.3999999999999</c:v>
                </c:pt>
                <c:pt idx="62">
                  <c:v>1062.3999999999999</c:v>
                </c:pt>
                <c:pt idx="63">
                  <c:v>1062.3999999999999</c:v>
                </c:pt>
                <c:pt idx="64">
                  <c:v>1062.3999999999999</c:v>
                </c:pt>
                <c:pt idx="65">
                  <c:v>1062.3999999999999</c:v>
                </c:pt>
                <c:pt idx="66">
                  <c:v>1062.3999999999999</c:v>
                </c:pt>
                <c:pt idx="67">
                  <c:v>1062.3999999999999</c:v>
                </c:pt>
                <c:pt idx="68">
                  <c:v>1414.3999999999999</c:v>
                </c:pt>
                <c:pt idx="69">
                  <c:v>1414.3999999999999</c:v>
                </c:pt>
                <c:pt idx="70">
                  <c:v>1414.3999999999999</c:v>
                </c:pt>
                <c:pt idx="71">
                  <c:v>1414.3999999999999</c:v>
                </c:pt>
                <c:pt idx="72">
                  <c:v>1414.3999999999999</c:v>
                </c:pt>
                <c:pt idx="73">
                  <c:v>1414.3999999999999</c:v>
                </c:pt>
                <c:pt idx="74">
                  <c:v>1414.3999999999999</c:v>
                </c:pt>
                <c:pt idx="75">
                  <c:v>1414.3999999999999</c:v>
                </c:pt>
                <c:pt idx="76">
                  <c:v>1414.3999999999999</c:v>
                </c:pt>
                <c:pt idx="77">
                  <c:v>1414.3999999999999</c:v>
                </c:pt>
                <c:pt idx="78">
                  <c:v>1414.3999999999999</c:v>
                </c:pt>
                <c:pt idx="79">
                  <c:v>1414.3999999999999</c:v>
                </c:pt>
                <c:pt idx="80">
                  <c:v>1414.3999999999999</c:v>
                </c:pt>
                <c:pt idx="81">
                  <c:v>1414.3999999999999</c:v>
                </c:pt>
                <c:pt idx="82">
                  <c:v>1414.3999999999999</c:v>
                </c:pt>
                <c:pt idx="83">
                  <c:v>1414.3999999999999</c:v>
                </c:pt>
                <c:pt idx="84">
                  <c:v>1414.3999999999999</c:v>
                </c:pt>
                <c:pt idx="85">
                  <c:v>1414.3999999999999</c:v>
                </c:pt>
                <c:pt idx="86">
                  <c:v>1414.3999999999999</c:v>
                </c:pt>
                <c:pt idx="87">
                  <c:v>1414.3999999999999</c:v>
                </c:pt>
                <c:pt idx="88">
                  <c:v>1414.3999999999999</c:v>
                </c:pt>
                <c:pt idx="89">
                  <c:v>1414.3999999999999</c:v>
                </c:pt>
                <c:pt idx="90">
                  <c:v>1414.3999999999999</c:v>
                </c:pt>
                <c:pt idx="91">
                  <c:v>1414.3999999999999</c:v>
                </c:pt>
                <c:pt idx="92">
                  <c:v>1414.3999999999999</c:v>
                </c:pt>
                <c:pt idx="93">
                  <c:v>1414.3999999999999</c:v>
                </c:pt>
                <c:pt idx="94">
                  <c:v>1414.3999999999999</c:v>
                </c:pt>
                <c:pt idx="95">
                  <c:v>1414.3999999999999</c:v>
                </c:pt>
                <c:pt idx="96">
                  <c:v>1414.3999999999999</c:v>
                </c:pt>
                <c:pt idx="97">
                  <c:v>1414.3999999999999</c:v>
                </c:pt>
                <c:pt idx="98">
                  <c:v>1414.3999999999999</c:v>
                </c:pt>
                <c:pt idx="99">
                  <c:v>1414.3999999999999</c:v>
                </c:pt>
                <c:pt idx="100">
                  <c:v>1414.3999999999999</c:v>
                </c:pt>
                <c:pt idx="101">
                  <c:v>1414.3999999999999</c:v>
                </c:pt>
                <c:pt idx="102">
                  <c:v>1414.3999999999999</c:v>
                </c:pt>
                <c:pt idx="103">
                  <c:v>1414.3999999999999</c:v>
                </c:pt>
                <c:pt idx="104">
                  <c:v>1414.3999999999999</c:v>
                </c:pt>
                <c:pt idx="105">
                  <c:v>1414.3999999999999</c:v>
                </c:pt>
                <c:pt idx="106">
                  <c:v>1414.3999999999999</c:v>
                </c:pt>
                <c:pt idx="107">
                  <c:v>1414.3999999999999</c:v>
                </c:pt>
                <c:pt idx="108">
                  <c:v>1414.3999999999999</c:v>
                </c:pt>
                <c:pt idx="109">
                  <c:v>1414.3999999999999</c:v>
                </c:pt>
                <c:pt idx="110">
                  <c:v>1414.3999999999999</c:v>
                </c:pt>
                <c:pt idx="111">
                  <c:v>1414.3999999999999</c:v>
                </c:pt>
                <c:pt idx="112">
                  <c:v>1414.3999999999999</c:v>
                </c:pt>
                <c:pt idx="113">
                  <c:v>1414.3999999999999</c:v>
                </c:pt>
                <c:pt idx="114">
                  <c:v>1414.3999999999999</c:v>
                </c:pt>
                <c:pt idx="115">
                  <c:v>1414.3999999999999</c:v>
                </c:pt>
                <c:pt idx="116">
                  <c:v>1414.3999999999999</c:v>
                </c:pt>
                <c:pt idx="117">
                  <c:v>1414.3999999999999</c:v>
                </c:pt>
                <c:pt idx="118">
                  <c:v>1414.3999999999999</c:v>
                </c:pt>
                <c:pt idx="119">
                  <c:v>1414.3999999999999</c:v>
                </c:pt>
                <c:pt idx="120">
                  <c:v>1414.3999999999999</c:v>
                </c:pt>
                <c:pt idx="121">
                  <c:v>1414.3999999999999</c:v>
                </c:pt>
                <c:pt idx="122">
                  <c:v>1414.3999999999999</c:v>
                </c:pt>
                <c:pt idx="123">
                  <c:v>1414.3999999999999</c:v>
                </c:pt>
                <c:pt idx="124">
                  <c:v>1414.3999999999999</c:v>
                </c:pt>
                <c:pt idx="125">
                  <c:v>1414.3999999999999</c:v>
                </c:pt>
                <c:pt idx="126">
                  <c:v>1414.3999999999999</c:v>
                </c:pt>
                <c:pt idx="127">
                  <c:v>1414.3999999999999</c:v>
                </c:pt>
                <c:pt idx="128">
                  <c:v>1414.3999999999999</c:v>
                </c:pt>
                <c:pt idx="129">
                  <c:v>1414.3999999999999</c:v>
                </c:pt>
                <c:pt idx="130">
                  <c:v>1414.3999999999999</c:v>
                </c:pt>
                <c:pt idx="131">
                  <c:v>1414.3999999999999</c:v>
                </c:pt>
                <c:pt idx="132">
                  <c:v>1414.3999999999999</c:v>
                </c:pt>
                <c:pt idx="133">
                  <c:v>1414.3999999999999</c:v>
                </c:pt>
                <c:pt idx="134">
                  <c:v>1414.3999999999999</c:v>
                </c:pt>
                <c:pt idx="135">
                  <c:v>1414.3999999999999</c:v>
                </c:pt>
                <c:pt idx="136">
                  <c:v>1414.3999999999999</c:v>
                </c:pt>
                <c:pt idx="137">
                  <c:v>1414.3999999999999</c:v>
                </c:pt>
                <c:pt idx="138">
                  <c:v>1414.3999999999999</c:v>
                </c:pt>
                <c:pt idx="139">
                  <c:v>1414.3999999999999</c:v>
                </c:pt>
                <c:pt idx="140">
                  <c:v>1414.3999999999999</c:v>
                </c:pt>
                <c:pt idx="141">
                  <c:v>1414.3999999999999</c:v>
                </c:pt>
                <c:pt idx="142">
                  <c:v>1414.3999999999999</c:v>
                </c:pt>
                <c:pt idx="143">
                  <c:v>1414.3999999999999</c:v>
                </c:pt>
                <c:pt idx="144">
                  <c:v>1414.3999999999999</c:v>
                </c:pt>
                <c:pt idx="145">
                  <c:v>1414.3999999999999</c:v>
                </c:pt>
                <c:pt idx="146">
                  <c:v>1414.3999999999999</c:v>
                </c:pt>
                <c:pt idx="147">
                  <c:v>1414.3999999999999</c:v>
                </c:pt>
                <c:pt idx="148">
                  <c:v>1414.3999999999999</c:v>
                </c:pt>
                <c:pt idx="149">
                  <c:v>1414.3999999999999</c:v>
                </c:pt>
                <c:pt idx="150">
                  <c:v>1414.3999999999999</c:v>
                </c:pt>
                <c:pt idx="151">
                  <c:v>1414.3999999999999</c:v>
                </c:pt>
                <c:pt idx="152">
                  <c:v>1414.3999999999999</c:v>
                </c:pt>
                <c:pt idx="153">
                  <c:v>1414.3999999999999</c:v>
                </c:pt>
                <c:pt idx="154">
                  <c:v>1414.3999999999999</c:v>
                </c:pt>
                <c:pt idx="155">
                  <c:v>3846.4000000000005</c:v>
                </c:pt>
                <c:pt idx="156">
                  <c:v>3846.4000000000005</c:v>
                </c:pt>
                <c:pt idx="157">
                  <c:v>3846.4000000000005</c:v>
                </c:pt>
                <c:pt idx="158">
                  <c:v>3846.4000000000005</c:v>
                </c:pt>
                <c:pt idx="159">
                  <c:v>3846.4000000000005</c:v>
                </c:pt>
                <c:pt idx="160">
                  <c:v>3846.4000000000005</c:v>
                </c:pt>
                <c:pt idx="161">
                  <c:v>3846.4000000000005</c:v>
                </c:pt>
                <c:pt idx="162">
                  <c:v>3846.4000000000005</c:v>
                </c:pt>
                <c:pt idx="163">
                  <c:v>3846.4000000000005</c:v>
                </c:pt>
                <c:pt idx="164">
                  <c:v>3846.4000000000005</c:v>
                </c:pt>
                <c:pt idx="165">
                  <c:v>3846.4000000000005</c:v>
                </c:pt>
                <c:pt idx="166">
                  <c:v>3846.4000000000005</c:v>
                </c:pt>
                <c:pt idx="167">
                  <c:v>3846.4000000000005</c:v>
                </c:pt>
                <c:pt idx="168">
                  <c:v>3846.4000000000005</c:v>
                </c:pt>
                <c:pt idx="169">
                  <c:v>3846.4000000000005</c:v>
                </c:pt>
                <c:pt idx="170">
                  <c:v>3846.4000000000005</c:v>
                </c:pt>
                <c:pt idx="171">
                  <c:v>3846.4000000000005</c:v>
                </c:pt>
                <c:pt idx="172">
                  <c:v>3846.4000000000005</c:v>
                </c:pt>
                <c:pt idx="173">
                  <c:v>3846.4000000000005</c:v>
                </c:pt>
                <c:pt idx="174">
                  <c:v>3846.4000000000005</c:v>
                </c:pt>
                <c:pt idx="175">
                  <c:v>4998.4000000000005</c:v>
                </c:pt>
                <c:pt idx="176">
                  <c:v>4998.4000000000005</c:v>
                </c:pt>
                <c:pt idx="177">
                  <c:v>4998.4000000000005</c:v>
                </c:pt>
                <c:pt idx="178">
                  <c:v>4998.4000000000005</c:v>
                </c:pt>
                <c:pt idx="179">
                  <c:v>4998.4000000000005</c:v>
                </c:pt>
                <c:pt idx="180">
                  <c:v>4998.4000000000005</c:v>
                </c:pt>
                <c:pt idx="181">
                  <c:v>4998.4000000000005</c:v>
                </c:pt>
                <c:pt idx="182">
                  <c:v>4998.4000000000005</c:v>
                </c:pt>
                <c:pt idx="183">
                  <c:v>4998.4000000000005</c:v>
                </c:pt>
                <c:pt idx="184">
                  <c:v>4998.4000000000005</c:v>
                </c:pt>
                <c:pt idx="185">
                  <c:v>4998.4000000000005</c:v>
                </c:pt>
                <c:pt idx="186">
                  <c:v>4998.4000000000005</c:v>
                </c:pt>
                <c:pt idx="187">
                  <c:v>4998.4000000000005</c:v>
                </c:pt>
                <c:pt idx="188">
                  <c:v>4998.4000000000005</c:v>
                </c:pt>
                <c:pt idx="189">
                  <c:v>4998.4000000000005</c:v>
                </c:pt>
                <c:pt idx="190">
                  <c:v>4998.4000000000005</c:v>
                </c:pt>
                <c:pt idx="191">
                  <c:v>4998.4000000000005</c:v>
                </c:pt>
                <c:pt idx="192">
                  <c:v>4998.4000000000005</c:v>
                </c:pt>
                <c:pt idx="193">
                  <c:v>4998.4000000000005</c:v>
                </c:pt>
                <c:pt idx="194">
                  <c:v>4998.4000000000005</c:v>
                </c:pt>
                <c:pt idx="195">
                  <c:v>4998.4000000000005</c:v>
                </c:pt>
                <c:pt idx="196">
                  <c:v>4998.4000000000005</c:v>
                </c:pt>
                <c:pt idx="197">
                  <c:v>4998.4000000000005</c:v>
                </c:pt>
                <c:pt idx="198">
                  <c:v>4998.4000000000005</c:v>
                </c:pt>
                <c:pt idx="199">
                  <c:v>4998.4000000000005</c:v>
                </c:pt>
                <c:pt idx="200">
                  <c:v>4998.4000000000005</c:v>
                </c:pt>
                <c:pt idx="201">
                  <c:v>5542.4000000000005</c:v>
                </c:pt>
                <c:pt idx="202">
                  <c:v>5542.4000000000005</c:v>
                </c:pt>
                <c:pt idx="203">
                  <c:v>5542.4000000000005</c:v>
                </c:pt>
                <c:pt idx="204">
                  <c:v>5542.4000000000005</c:v>
                </c:pt>
                <c:pt idx="205">
                  <c:v>5542.4000000000005</c:v>
                </c:pt>
                <c:pt idx="206">
                  <c:v>5542.4000000000005</c:v>
                </c:pt>
                <c:pt idx="207">
                  <c:v>5542.4000000000005</c:v>
                </c:pt>
                <c:pt idx="208">
                  <c:v>5542.4000000000005</c:v>
                </c:pt>
                <c:pt idx="209">
                  <c:v>5542.4000000000005</c:v>
                </c:pt>
                <c:pt idx="210">
                  <c:v>5542.4000000000005</c:v>
                </c:pt>
                <c:pt idx="211">
                  <c:v>5542.4000000000005</c:v>
                </c:pt>
                <c:pt idx="212">
                  <c:v>5542.4000000000005</c:v>
                </c:pt>
                <c:pt idx="213">
                  <c:v>5542.4000000000005</c:v>
                </c:pt>
                <c:pt idx="214">
                  <c:v>5542.4000000000005</c:v>
                </c:pt>
                <c:pt idx="215">
                  <c:v>5542.4000000000005</c:v>
                </c:pt>
                <c:pt idx="216">
                  <c:v>5542.4000000000005</c:v>
                </c:pt>
                <c:pt idx="217">
                  <c:v>5542.4000000000005</c:v>
                </c:pt>
                <c:pt idx="218">
                  <c:v>5542.4000000000005</c:v>
                </c:pt>
                <c:pt idx="219">
                  <c:v>5542.4000000000005</c:v>
                </c:pt>
                <c:pt idx="220">
                  <c:v>5542.4000000000005</c:v>
                </c:pt>
                <c:pt idx="221">
                  <c:v>5542.4000000000005</c:v>
                </c:pt>
                <c:pt idx="222">
                  <c:v>5542.4000000000005</c:v>
                </c:pt>
                <c:pt idx="223">
                  <c:v>5542.4000000000005</c:v>
                </c:pt>
                <c:pt idx="224">
                  <c:v>5542.4000000000005</c:v>
                </c:pt>
                <c:pt idx="225">
                  <c:v>5542.4000000000005</c:v>
                </c:pt>
                <c:pt idx="226">
                  <c:v>5542.4000000000005</c:v>
                </c:pt>
                <c:pt idx="227">
                  <c:v>5542.4000000000005</c:v>
                </c:pt>
                <c:pt idx="228">
                  <c:v>5542.4000000000005</c:v>
                </c:pt>
                <c:pt idx="229">
                  <c:v>5542.4000000000005</c:v>
                </c:pt>
                <c:pt idx="230">
                  <c:v>5542.4000000000005</c:v>
                </c:pt>
                <c:pt idx="231">
                  <c:v>5542.4000000000005</c:v>
                </c:pt>
                <c:pt idx="232">
                  <c:v>5542.4000000000005</c:v>
                </c:pt>
                <c:pt idx="233">
                  <c:v>5542.4000000000005</c:v>
                </c:pt>
                <c:pt idx="234">
                  <c:v>5542.4000000000005</c:v>
                </c:pt>
                <c:pt idx="235">
                  <c:v>5542.4000000000005</c:v>
                </c:pt>
                <c:pt idx="236">
                  <c:v>5542.4000000000005</c:v>
                </c:pt>
                <c:pt idx="237">
                  <c:v>5542.4000000000005</c:v>
                </c:pt>
                <c:pt idx="238">
                  <c:v>5542.4000000000005</c:v>
                </c:pt>
                <c:pt idx="239">
                  <c:v>5542.4000000000005</c:v>
                </c:pt>
                <c:pt idx="240">
                  <c:v>5542.4000000000005</c:v>
                </c:pt>
                <c:pt idx="241">
                  <c:v>5542.4000000000005</c:v>
                </c:pt>
                <c:pt idx="242">
                  <c:v>5542.4000000000005</c:v>
                </c:pt>
                <c:pt idx="243">
                  <c:v>5542.4000000000005</c:v>
                </c:pt>
                <c:pt idx="244">
                  <c:v>5542.4000000000005</c:v>
                </c:pt>
                <c:pt idx="245">
                  <c:v>5542.4000000000005</c:v>
                </c:pt>
                <c:pt idx="246">
                  <c:v>5542.4000000000005</c:v>
                </c:pt>
                <c:pt idx="247">
                  <c:v>5542.4000000000005</c:v>
                </c:pt>
                <c:pt idx="248">
                  <c:v>5542.4000000000005</c:v>
                </c:pt>
                <c:pt idx="249">
                  <c:v>5542.4000000000005</c:v>
                </c:pt>
                <c:pt idx="250">
                  <c:v>5542.4000000000005</c:v>
                </c:pt>
                <c:pt idx="251">
                  <c:v>5542.4000000000005</c:v>
                </c:pt>
                <c:pt idx="252">
                  <c:v>5542.4000000000005</c:v>
                </c:pt>
                <c:pt idx="253">
                  <c:v>5542.4000000000005</c:v>
                </c:pt>
                <c:pt idx="254">
                  <c:v>5542.4000000000005</c:v>
                </c:pt>
                <c:pt idx="255">
                  <c:v>5542.4000000000005</c:v>
                </c:pt>
                <c:pt idx="256">
                  <c:v>5542.4000000000005</c:v>
                </c:pt>
                <c:pt idx="257">
                  <c:v>12022.400000000001</c:v>
                </c:pt>
                <c:pt idx="258">
                  <c:v>12022.400000000001</c:v>
                </c:pt>
                <c:pt idx="259">
                  <c:v>12022.400000000001</c:v>
                </c:pt>
                <c:pt idx="260">
                  <c:v>12022.400000000001</c:v>
                </c:pt>
                <c:pt idx="261">
                  <c:v>12022.400000000001</c:v>
                </c:pt>
                <c:pt idx="262">
                  <c:v>12022.400000000001</c:v>
                </c:pt>
                <c:pt idx="263">
                  <c:v>12022.400000000001</c:v>
                </c:pt>
                <c:pt idx="264">
                  <c:v>12022.400000000001</c:v>
                </c:pt>
                <c:pt idx="265">
                  <c:v>12022.400000000001</c:v>
                </c:pt>
                <c:pt idx="266">
                  <c:v>12022.400000000001</c:v>
                </c:pt>
                <c:pt idx="267">
                  <c:v>12022.400000000001</c:v>
                </c:pt>
                <c:pt idx="268">
                  <c:v>12022.400000000001</c:v>
                </c:pt>
                <c:pt idx="269">
                  <c:v>12022.400000000001</c:v>
                </c:pt>
                <c:pt idx="270">
                  <c:v>12022.400000000001</c:v>
                </c:pt>
                <c:pt idx="271">
                  <c:v>12022.400000000001</c:v>
                </c:pt>
                <c:pt idx="272">
                  <c:v>12022.400000000001</c:v>
                </c:pt>
                <c:pt idx="273">
                  <c:v>12022.400000000001</c:v>
                </c:pt>
                <c:pt idx="274">
                  <c:v>12022.400000000001</c:v>
                </c:pt>
                <c:pt idx="275">
                  <c:v>12022.400000000001</c:v>
                </c:pt>
                <c:pt idx="276">
                  <c:v>12022.400000000001</c:v>
                </c:pt>
                <c:pt idx="277">
                  <c:v>12022.400000000001</c:v>
                </c:pt>
                <c:pt idx="278">
                  <c:v>12022.400000000001</c:v>
                </c:pt>
                <c:pt idx="279">
                  <c:v>12022.400000000001</c:v>
                </c:pt>
                <c:pt idx="280">
                  <c:v>12022.400000000001</c:v>
                </c:pt>
                <c:pt idx="281">
                  <c:v>12022.400000000001</c:v>
                </c:pt>
                <c:pt idx="282">
                  <c:v>12022.400000000001</c:v>
                </c:pt>
                <c:pt idx="283">
                  <c:v>12022.400000000001</c:v>
                </c:pt>
                <c:pt idx="284">
                  <c:v>12022.400000000001</c:v>
                </c:pt>
                <c:pt idx="285">
                  <c:v>12022.400000000001</c:v>
                </c:pt>
                <c:pt idx="286">
                  <c:v>12022.400000000001</c:v>
                </c:pt>
                <c:pt idx="287">
                  <c:v>12022.400000000001</c:v>
                </c:pt>
                <c:pt idx="288">
                  <c:v>12022.400000000001</c:v>
                </c:pt>
                <c:pt idx="289">
                  <c:v>12022.400000000001</c:v>
                </c:pt>
                <c:pt idx="290">
                  <c:v>12022.400000000001</c:v>
                </c:pt>
                <c:pt idx="291">
                  <c:v>12022.400000000001</c:v>
                </c:pt>
                <c:pt idx="292">
                  <c:v>12022.400000000001</c:v>
                </c:pt>
                <c:pt idx="293">
                  <c:v>12022.400000000001</c:v>
                </c:pt>
                <c:pt idx="294">
                  <c:v>12022.400000000001</c:v>
                </c:pt>
                <c:pt idx="295">
                  <c:v>12022.400000000001</c:v>
                </c:pt>
                <c:pt idx="296">
                  <c:v>12022.400000000001</c:v>
                </c:pt>
                <c:pt idx="297">
                  <c:v>12022.400000000001</c:v>
                </c:pt>
                <c:pt idx="298">
                  <c:v>12022.400000000001</c:v>
                </c:pt>
                <c:pt idx="299">
                  <c:v>12022.400000000001</c:v>
                </c:pt>
                <c:pt idx="300">
                  <c:v>12022.400000000001</c:v>
                </c:pt>
                <c:pt idx="301">
                  <c:v>12022.400000000001</c:v>
                </c:pt>
                <c:pt idx="302">
                  <c:v>12022.400000000001</c:v>
                </c:pt>
                <c:pt idx="303">
                  <c:v>12022.400000000001</c:v>
                </c:pt>
                <c:pt idx="304">
                  <c:v>12022.400000000001</c:v>
                </c:pt>
                <c:pt idx="305">
                  <c:v>12022.400000000001</c:v>
                </c:pt>
                <c:pt idx="306">
                  <c:v>12022.400000000001</c:v>
                </c:pt>
                <c:pt idx="307">
                  <c:v>12022.400000000001</c:v>
                </c:pt>
                <c:pt idx="308">
                  <c:v>12022.400000000001</c:v>
                </c:pt>
                <c:pt idx="309">
                  <c:v>12022.400000000001</c:v>
                </c:pt>
                <c:pt idx="310">
                  <c:v>12022.400000000001</c:v>
                </c:pt>
                <c:pt idx="311">
                  <c:v>12022.400000000001</c:v>
                </c:pt>
                <c:pt idx="312">
                  <c:v>12022.400000000001</c:v>
                </c:pt>
                <c:pt idx="313">
                  <c:v>12022.400000000001</c:v>
                </c:pt>
                <c:pt idx="314">
                  <c:v>12022.400000000001</c:v>
                </c:pt>
                <c:pt idx="315">
                  <c:v>12022.400000000001</c:v>
                </c:pt>
                <c:pt idx="316">
                  <c:v>12022.400000000001</c:v>
                </c:pt>
                <c:pt idx="317">
                  <c:v>12022.400000000001</c:v>
                </c:pt>
                <c:pt idx="318">
                  <c:v>12022.400000000001</c:v>
                </c:pt>
                <c:pt idx="319">
                  <c:v>12022.400000000001</c:v>
                </c:pt>
                <c:pt idx="320">
                  <c:v>12022.400000000001</c:v>
                </c:pt>
                <c:pt idx="321">
                  <c:v>12022.400000000001</c:v>
                </c:pt>
                <c:pt idx="322">
                  <c:v>12022.400000000001</c:v>
                </c:pt>
                <c:pt idx="323">
                  <c:v>12022.400000000001</c:v>
                </c:pt>
                <c:pt idx="324">
                  <c:v>12022.400000000001</c:v>
                </c:pt>
                <c:pt idx="325">
                  <c:v>12022.400000000001</c:v>
                </c:pt>
                <c:pt idx="326">
                  <c:v>12022.400000000001</c:v>
                </c:pt>
                <c:pt idx="327">
                  <c:v>12022.400000000001</c:v>
                </c:pt>
                <c:pt idx="328">
                  <c:v>12022.400000000001</c:v>
                </c:pt>
                <c:pt idx="329">
                  <c:v>12022.400000000001</c:v>
                </c:pt>
                <c:pt idx="330">
                  <c:v>12022.400000000001</c:v>
                </c:pt>
                <c:pt idx="331">
                  <c:v>12022.400000000001</c:v>
                </c:pt>
                <c:pt idx="332">
                  <c:v>12022.400000000001</c:v>
                </c:pt>
                <c:pt idx="333">
                  <c:v>12022.400000000001</c:v>
                </c:pt>
                <c:pt idx="334">
                  <c:v>12022.400000000001</c:v>
                </c:pt>
                <c:pt idx="335">
                  <c:v>12022.400000000001</c:v>
                </c:pt>
                <c:pt idx="336">
                  <c:v>12022.400000000001</c:v>
                </c:pt>
                <c:pt idx="337">
                  <c:v>12022.400000000001</c:v>
                </c:pt>
                <c:pt idx="338">
                  <c:v>12022.400000000001</c:v>
                </c:pt>
                <c:pt idx="339">
                  <c:v>12022.400000000001</c:v>
                </c:pt>
                <c:pt idx="340">
                  <c:v>12022.400000000001</c:v>
                </c:pt>
                <c:pt idx="341">
                  <c:v>12022.400000000001</c:v>
                </c:pt>
                <c:pt idx="342">
                  <c:v>12022.400000000001</c:v>
                </c:pt>
                <c:pt idx="343">
                  <c:v>12022.400000000001</c:v>
                </c:pt>
                <c:pt idx="344">
                  <c:v>12022.400000000001</c:v>
                </c:pt>
                <c:pt idx="345">
                  <c:v>12022.400000000001</c:v>
                </c:pt>
                <c:pt idx="346">
                  <c:v>12022.400000000001</c:v>
                </c:pt>
                <c:pt idx="347">
                  <c:v>12022.400000000001</c:v>
                </c:pt>
                <c:pt idx="348">
                  <c:v>12022.400000000001</c:v>
                </c:pt>
                <c:pt idx="349">
                  <c:v>12022.400000000001</c:v>
                </c:pt>
                <c:pt idx="350">
                  <c:v>12022.400000000001</c:v>
                </c:pt>
                <c:pt idx="351">
                  <c:v>12022.400000000001</c:v>
                </c:pt>
                <c:pt idx="352">
                  <c:v>12022.400000000001</c:v>
                </c:pt>
                <c:pt idx="353">
                  <c:v>12022.400000000001</c:v>
                </c:pt>
                <c:pt idx="354">
                  <c:v>12022.400000000001</c:v>
                </c:pt>
                <c:pt idx="355">
                  <c:v>12022.400000000001</c:v>
                </c:pt>
                <c:pt idx="356">
                  <c:v>12022.400000000001</c:v>
                </c:pt>
                <c:pt idx="357">
                  <c:v>12022.400000000001</c:v>
                </c:pt>
                <c:pt idx="358">
                  <c:v>12022.400000000001</c:v>
                </c:pt>
                <c:pt idx="359">
                  <c:v>12022.400000000001</c:v>
                </c:pt>
                <c:pt idx="360">
                  <c:v>12022.400000000001</c:v>
                </c:pt>
                <c:pt idx="361">
                  <c:v>12022.400000000001</c:v>
                </c:pt>
                <c:pt idx="362">
                  <c:v>12022.400000000001</c:v>
                </c:pt>
                <c:pt idx="363">
                  <c:v>12022.400000000001</c:v>
                </c:pt>
                <c:pt idx="364">
                  <c:v>12022.400000000001</c:v>
                </c:pt>
                <c:pt idx="365">
                  <c:v>12022.400000000001</c:v>
                </c:pt>
                <c:pt idx="366">
                  <c:v>12022.400000000001</c:v>
                </c:pt>
                <c:pt idx="367">
                  <c:v>12022.400000000001</c:v>
                </c:pt>
                <c:pt idx="368">
                  <c:v>12022.400000000001</c:v>
                </c:pt>
                <c:pt idx="369">
                  <c:v>12022.400000000001</c:v>
                </c:pt>
                <c:pt idx="370">
                  <c:v>12022.400000000001</c:v>
                </c:pt>
                <c:pt idx="371">
                  <c:v>12022.400000000001</c:v>
                </c:pt>
                <c:pt idx="372">
                  <c:v>12022.400000000001</c:v>
                </c:pt>
                <c:pt idx="373">
                  <c:v>12022.400000000001</c:v>
                </c:pt>
                <c:pt idx="374">
                  <c:v>12022.400000000001</c:v>
                </c:pt>
                <c:pt idx="375">
                  <c:v>12022.400000000001</c:v>
                </c:pt>
                <c:pt idx="376">
                  <c:v>12022.400000000001</c:v>
                </c:pt>
                <c:pt idx="377">
                  <c:v>12022.400000000001</c:v>
                </c:pt>
                <c:pt idx="378">
                  <c:v>12022.400000000001</c:v>
                </c:pt>
                <c:pt idx="379">
                  <c:v>12022.400000000001</c:v>
                </c:pt>
                <c:pt idx="380">
                  <c:v>12022.400000000001</c:v>
                </c:pt>
                <c:pt idx="381">
                  <c:v>12022.400000000001</c:v>
                </c:pt>
                <c:pt idx="382">
                  <c:v>12022.400000000001</c:v>
                </c:pt>
                <c:pt idx="383">
                  <c:v>12022.400000000001</c:v>
                </c:pt>
                <c:pt idx="384">
                  <c:v>12022.400000000001</c:v>
                </c:pt>
                <c:pt idx="385">
                  <c:v>12022.400000000001</c:v>
                </c:pt>
                <c:pt idx="386">
                  <c:v>12022.400000000001</c:v>
                </c:pt>
                <c:pt idx="387">
                  <c:v>12022.400000000001</c:v>
                </c:pt>
                <c:pt idx="388">
                  <c:v>12022.400000000001</c:v>
                </c:pt>
                <c:pt idx="389">
                  <c:v>12022.400000000001</c:v>
                </c:pt>
                <c:pt idx="390">
                  <c:v>12022.400000000001</c:v>
                </c:pt>
                <c:pt idx="391">
                  <c:v>12022.400000000001</c:v>
                </c:pt>
                <c:pt idx="392">
                  <c:v>12022.400000000001</c:v>
                </c:pt>
                <c:pt idx="393">
                  <c:v>12022.400000000001</c:v>
                </c:pt>
                <c:pt idx="394">
                  <c:v>12022.400000000001</c:v>
                </c:pt>
                <c:pt idx="395">
                  <c:v>12022.400000000001</c:v>
                </c:pt>
                <c:pt idx="396">
                  <c:v>12022.400000000001</c:v>
                </c:pt>
                <c:pt idx="397">
                  <c:v>12022.400000000001</c:v>
                </c:pt>
                <c:pt idx="398">
                  <c:v>12022.400000000001</c:v>
                </c:pt>
                <c:pt idx="399">
                  <c:v>12022.400000000001</c:v>
                </c:pt>
                <c:pt idx="400">
                  <c:v>12022.400000000001</c:v>
                </c:pt>
                <c:pt idx="401">
                  <c:v>12022.400000000001</c:v>
                </c:pt>
                <c:pt idx="402">
                  <c:v>12022.400000000001</c:v>
                </c:pt>
                <c:pt idx="403">
                  <c:v>12022.400000000001</c:v>
                </c:pt>
                <c:pt idx="404">
                  <c:v>12022.400000000001</c:v>
                </c:pt>
                <c:pt idx="405">
                  <c:v>12022.400000000001</c:v>
                </c:pt>
                <c:pt idx="406">
                  <c:v>12022.400000000001</c:v>
                </c:pt>
                <c:pt idx="407">
                  <c:v>12022.400000000001</c:v>
                </c:pt>
                <c:pt idx="408">
                  <c:v>12022.400000000001</c:v>
                </c:pt>
                <c:pt idx="409">
                  <c:v>12022.400000000001</c:v>
                </c:pt>
                <c:pt idx="410">
                  <c:v>12022.400000000001</c:v>
                </c:pt>
                <c:pt idx="411">
                  <c:v>12022.400000000001</c:v>
                </c:pt>
                <c:pt idx="412">
                  <c:v>12022.400000000001</c:v>
                </c:pt>
                <c:pt idx="413">
                  <c:v>12022.400000000001</c:v>
                </c:pt>
                <c:pt idx="414">
                  <c:v>12022.400000000001</c:v>
                </c:pt>
                <c:pt idx="415">
                  <c:v>12022.400000000001</c:v>
                </c:pt>
                <c:pt idx="416">
                  <c:v>12022.400000000001</c:v>
                </c:pt>
                <c:pt idx="417">
                  <c:v>12022.400000000001</c:v>
                </c:pt>
                <c:pt idx="418">
                  <c:v>12022.400000000001</c:v>
                </c:pt>
                <c:pt idx="419">
                  <c:v>13990.400000000001</c:v>
                </c:pt>
                <c:pt idx="420">
                  <c:v>13472.599999999982</c:v>
                </c:pt>
                <c:pt idx="421">
                  <c:v>13472.599999999982</c:v>
                </c:pt>
                <c:pt idx="422">
                  <c:v>13472.599999999982</c:v>
                </c:pt>
                <c:pt idx="423">
                  <c:v>13472.599999999982</c:v>
                </c:pt>
                <c:pt idx="424">
                  <c:v>13472.599999999982</c:v>
                </c:pt>
                <c:pt idx="425">
                  <c:v>13472.599999999982</c:v>
                </c:pt>
                <c:pt idx="426">
                  <c:v>13472.599999999982</c:v>
                </c:pt>
                <c:pt idx="427">
                  <c:v>13472.599999999982</c:v>
                </c:pt>
                <c:pt idx="428">
                  <c:v>13472.599999999982</c:v>
                </c:pt>
                <c:pt idx="429">
                  <c:v>13472.599999999982</c:v>
                </c:pt>
                <c:pt idx="430">
                  <c:v>13472.599999999982</c:v>
                </c:pt>
                <c:pt idx="431">
                  <c:v>13472.599999999982</c:v>
                </c:pt>
                <c:pt idx="432">
                  <c:v>13472.599999999982</c:v>
                </c:pt>
                <c:pt idx="433">
                  <c:v>13472.599999999982</c:v>
                </c:pt>
                <c:pt idx="434">
                  <c:v>13472.599999999982</c:v>
                </c:pt>
                <c:pt idx="435">
                  <c:v>13472.599999999982</c:v>
                </c:pt>
                <c:pt idx="436">
                  <c:v>13472.599999999982</c:v>
                </c:pt>
                <c:pt idx="437">
                  <c:v>13472.599999999982</c:v>
                </c:pt>
                <c:pt idx="438">
                  <c:v>13472.599999999982</c:v>
                </c:pt>
                <c:pt idx="439">
                  <c:v>13472.599999999982</c:v>
                </c:pt>
                <c:pt idx="440">
                  <c:v>13472.599999999982</c:v>
                </c:pt>
                <c:pt idx="441">
                  <c:v>13472.599999999982</c:v>
                </c:pt>
                <c:pt idx="442">
                  <c:v>13472.599999999982</c:v>
                </c:pt>
                <c:pt idx="443">
                  <c:v>13472.599999999982</c:v>
                </c:pt>
                <c:pt idx="444">
                  <c:v>13472.599999999982</c:v>
                </c:pt>
                <c:pt idx="445">
                  <c:v>13472.599999999982</c:v>
                </c:pt>
                <c:pt idx="446">
                  <c:v>13472.599999999982</c:v>
                </c:pt>
                <c:pt idx="447">
                  <c:v>13472.599999999982</c:v>
                </c:pt>
                <c:pt idx="448">
                  <c:v>13472.599999999982</c:v>
                </c:pt>
                <c:pt idx="449">
                  <c:v>13472.599999999982</c:v>
                </c:pt>
                <c:pt idx="450">
                  <c:v>13472.599999999982</c:v>
                </c:pt>
                <c:pt idx="451">
                  <c:v>13472.599999999982</c:v>
                </c:pt>
                <c:pt idx="452">
                  <c:v>13472.599999999982</c:v>
                </c:pt>
                <c:pt idx="453">
                  <c:v>13472.599999999982</c:v>
                </c:pt>
                <c:pt idx="454">
                  <c:v>13472.599999999982</c:v>
                </c:pt>
                <c:pt idx="455">
                  <c:v>13472.599999999982</c:v>
                </c:pt>
                <c:pt idx="456">
                  <c:v>13472.599999999982</c:v>
                </c:pt>
                <c:pt idx="457">
                  <c:v>13472.599999999982</c:v>
                </c:pt>
                <c:pt idx="458">
                  <c:v>13472.599999999982</c:v>
                </c:pt>
                <c:pt idx="459">
                  <c:v>13472.599999999982</c:v>
                </c:pt>
                <c:pt idx="460">
                  <c:v>13472.599999999982</c:v>
                </c:pt>
                <c:pt idx="461">
                  <c:v>13472.599999999982</c:v>
                </c:pt>
                <c:pt idx="462">
                  <c:v>13472.599999999982</c:v>
                </c:pt>
                <c:pt idx="463">
                  <c:v>11236.946363636598</c:v>
                </c:pt>
                <c:pt idx="464">
                  <c:v>11236.946363636598</c:v>
                </c:pt>
                <c:pt idx="465">
                  <c:v>11236.946363636598</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numCache>
            </c:numRef>
          </c:val>
          <c:smooth val="0"/>
          <c:extLst>
            <c:ext xmlns:c16="http://schemas.microsoft.com/office/drawing/2014/chart" uri="{C3380CC4-5D6E-409C-BE32-E72D297353CC}">
              <c16:uniqueId val="{00000003-C82D-4F02-BD8C-C8547AE575E5}"/>
            </c:ext>
          </c:extLst>
        </c:ser>
        <c:dLbls>
          <c:showLegendKey val="0"/>
          <c:showVal val="0"/>
          <c:showCatName val="0"/>
          <c:showSerName val="0"/>
          <c:showPercent val="0"/>
          <c:showBubbleSize val="0"/>
        </c:dLbls>
        <c:smooth val="0"/>
        <c:axId val="1672200975"/>
        <c:axId val="1700636463"/>
      </c:lineChart>
      <c:catAx>
        <c:axId val="1672200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crossAx val="1700636463"/>
        <c:crosses val="autoZero"/>
        <c:auto val="1"/>
        <c:lblAlgn val="ctr"/>
        <c:lblOffset val="100"/>
        <c:noMultiLvlLbl val="0"/>
      </c:catAx>
      <c:valAx>
        <c:axId val="17006364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crossAx val="1672200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TFC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T</c:v>
          </c:tx>
          <c:spPr>
            <a:ln w="28575" cap="rnd">
              <a:solidFill>
                <a:srgbClr val="C00000"/>
              </a:solidFill>
              <a:round/>
            </a:ln>
            <a:effectLst/>
          </c:spPr>
          <c:marker>
            <c:symbol val="none"/>
          </c:marker>
          <c:cat>
            <c:strRef>
              <c:f>'Journal Live'!$A$1388:$A$2630</c:f>
              <c:strCache>
                <c:ptCount val="1238"/>
                <c:pt idx="1">
                  <c:v>JAN.24</c:v>
                </c:pt>
                <c:pt idx="2">
                  <c:v>JAN.24</c:v>
                </c:pt>
                <c:pt idx="3">
                  <c:v>JAN.24</c:v>
                </c:pt>
                <c:pt idx="4">
                  <c:v>JAN.24</c:v>
                </c:pt>
                <c:pt idx="5">
                  <c:v>JAN.24</c:v>
                </c:pt>
                <c:pt idx="6">
                  <c:v>JAN.24</c:v>
                </c:pt>
                <c:pt idx="7">
                  <c:v>JAN.24</c:v>
                </c:pt>
                <c:pt idx="8">
                  <c:v>JAN.24</c:v>
                </c:pt>
                <c:pt idx="9">
                  <c:v>JAN.24</c:v>
                </c:pt>
                <c:pt idx="10">
                  <c:v>JAN.24</c:v>
                </c:pt>
                <c:pt idx="11">
                  <c:v>JAN.24</c:v>
                </c:pt>
                <c:pt idx="12">
                  <c:v>JAN.24</c:v>
                </c:pt>
                <c:pt idx="13">
                  <c:v>JAN.24</c:v>
                </c:pt>
                <c:pt idx="14">
                  <c:v>JAN.24</c:v>
                </c:pt>
                <c:pt idx="15">
                  <c:v>JAN.24</c:v>
                </c:pt>
                <c:pt idx="16">
                  <c:v>JAN.24</c:v>
                </c:pt>
                <c:pt idx="17">
                  <c:v>JAN.24</c:v>
                </c:pt>
                <c:pt idx="18">
                  <c:v>JAN.24</c:v>
                </c:pt>
                <c:pt idx="19">
                  <c:v>JAN.24</c:v>
                </c:pt>
                <c:pt idx="20">
                  <c:v>JAN.24</c:v>
                </c:pt>
                <c:pt idx="21">
                  <c:v>JAN.24</c:v>
                </c:pt>
                <c:pt idx="22">
                  <c:v>JAN.24</c:v>
                </c:pt>
                <c:pt idx="23">
                  <c:v>JAN.24</c:v>
                </c:pt>
                <c:pt idx="24">
                  <c:v>JAN.24</c:v>
                </c:pt>
                <c:pt idx="25">
                  <c:v>JAN.24</c:v>
                </c:pt>
                <c:pt idx="26">
                  <c:v>JAN.24</c:v>
                </c:pt>
                <c:pt idx="27">
                  <c:v>JAN.24</c:v>
                </c:pt>
                <c:pt idx="28">
                  <c:v>JAN.24</c:v>
                </c:pt>
                <c:pt idx="29">
                  <c:v>JAN.24</c:v>
                </c:pt>
                <c:pt idx="30">
                  <c:v>JAN.24</c:v>
                </c:pt>
                <c:pt idx="31">
                  <c:v>JAN.24</c:v>
                </c:pt>
                <c:pt idx="32">
                  <c:v>JAN.24</c:v>
                </c:pt>
                <c:pt idx="33">
                  <c:v>JAN.24</c:v>
                </c:pt>
                <c:pt idx="34">
                  <c:v>JAN.24</c:v>
                </c:pt>
                <c:pt idx="35">
                  <c:v>JAN.24</c:v>
                </c:pt>
                <c:pt idx="36">
                  <c:v>JAN.24</c:v>
                </c:pt>
                <c:pt idx="37">
                  <c:v>JAN.24</c:v>
                </c:pt>
                <c:pt idx="38">
                  <c:v>JAN.24</c:v>
                </c:pt>
                <c:pt idx="39">
                  <c:v>JAN.24</c:v>
                </c:pt>
                <c:pt idx="40">
                  <c:v>JAN.24</c:v>
                </c:pt>
                <c:pt idx="41">
                  <c:v>JAN.24</c:v>
                </c:pt>
                <c:pt idx="42">
                  <c:v>JAN.24</c:v>
                </c:pt>
                <c:pt idx="43">
                  <c:v>JAN.24</c:v>
                </c:pt>
                <c:pt idx="44">
                  <c:v>JAN.24</c:v>
                </c:pt>
                <c:pt idx="45">
                  <c:v>JAN.24</c:v>
                </c:pt>
                <c:pt idx="46">
                  <c:v>JAN.24</c:v>
                </c:pt>
                <c:pt idx="47">
                  <c:v>JAN.24</c:v>
                </c:pt>
                <c:pt idx="48">
                  <c:v>JAN.24</c:v>
                </c:pt>
                <c:pt idx="49">
                  <c:v>JAN.24</c:v>
                </c:pt>
                <c:pt idx="50">
                  <c:v>JAN.24</c:v>
                </c:pt>
                <c:pt idx="51">
                  <c:v>JAN.24</c:v>
                </c:pt>
                <c:pt idx="52">
                  <c:v>JAN.24</c:v>
                </c:pt>
                <c:pt idx="53">
                  <c:v>JAN.24</c:v>
                </c:pt>
                <c:pt idx="54">
                  <c:v>JAN.24</c:v>
                </c:pt>
                <c:pt idx="55">
                  <c:v>JAN.24</c:v>
                </c:pt>
                <c:pt idx="56">
                  <c:v>JAN.24</c:v>
                </c:pt>
                <c:pt idx="57">
                  <c:v>JAN.24</c:v>
                </c:pt>
                <c:pt idx="58">
                  <c:v>JAN.24</c:v>
                </c:pt>
                <c:pt idx="59">
                  <c:v>JAN.24</c:v>
                </c:pt>
                <c:pt idx="60">
                  <c:v>JAN.24</c:v>
                </c:pt>
                <c:pt idx="61">
                  <c:v>JAN.24</c:v>
                </c:pt>
                <c:pt idx="62">
                  <c:v>JAN.24</c:v>
                </c:pt>
                <c:pt idx="63">
                  <c:v>JAN.24</c:v>
                </c:pt>
                <c:pt idx="64">
                  <c:v>JAN.24</c:v>
                </c:pt>
                <c:pt idx="65">
                  <c:v>JAN.24</c:v>
                </c:pt>
                <c:pt idx="66">
                  <c:v>JAN.24</c:v>
                </c:pt>
                <c:pt idx="67">
                  <c:v>JAN.24</c:v>
                </c:pt>
                <c:pt idx="68">
                  <c:v>JAN.24</c:v>
                </c:pt>
                <c:pt idx="69">
                  <c:v>JAN.24</c:v>
                </c:pt>
                <c:pt idx="70">
                  <c:v>JAN.24</c:v>
                </c:pt>
                <c:pt idx="71">
                  <c:v>JAN.24</c:v>
                </c:pt>
                <c:pt idx="72">
                  <c:v>JAN.24</c:v>
                </c:pt>
                <c:pt idx="73">
                  <c:v>JAN.24</c:v>
                </c:pt>
                <c:pt idx="74">
                  <c:v>JAN.24</c:v>
                </c:pt>
                <c:pt idx="75">
                  <c:v>JAN.24</c:v>
                </c:pt>
                <c:pt idx="76">
                  <c:v>JAN.24</c:v>
                </c:pt>
                <c:pt idx="77">
                  <c:v>JAN.24</c:v>
                </c:pt>
                <c:pt idx="78">
                  <c:v>JAN.24</c:v>
                </c:pt>
                <c:pt idx="79">
                  <c:v>JAN.24</c:v>
                </c:pt>
                <c:pt idx="80">
                  <c:v>JAN.24</c:v>
                </c:pt>
                <c:pt idx="81">
                  <c:v>JAN.24</c:v>
                </c:pt>
                <c:pt idx="82">
                  <c:v>JAN.24</c:v>
                </c:pt>
                <c:pt idx="83">
                  <c:v>JAN.24</c:v>
                </c:pt>
                <c:pt idx="84">
                  <c:v>JAN.24</c:v>
                </c:pt>
                <c:pt idx="85">
                  <c:v>JAN.24</c:v>
                </c:pt>
                <c:pt idx="86">
                  <c:v>JAN.24</c:v>
                </c:pt>
                <c:pt idx="87">
                  <c:v>JAN.24</c:v>
                </c:pt>
                <c:pt idx="88">
                  <c:v>JAN.24</c:v>
                </c:pt>
                <c:pt idx="89">
                  <c:v>JAN.24</c:v>
                </c:pt>
                <c:pt idx="90">
                  <c:v>JAN.24</c:v>
                </c:pt>
                <c:pt idx="91">
                  <c:v>JAN.24</c:v>
                </c:pt>
                <c:pt idx="92">
                  <c:v>JAN.24</c:v>
                </c:pt>
                <c:pt idx="93">
                  <c:v>JAN.24</c:v>
                </c:pt>
                <c:pt idx="94">
                  <c:v>JAN.24</c:v>
                </c:pt>
                <c:pt idx="95">
                  <c:v>JAN.24</c:v>
                </c:pt>
                <c:pt idx="96">
                  <c:v>JAN.24</c:v>
                </c:pt>
                <c:pt idx="97">
                  <c:v>JAN.24</c:v>
                </c:pt>
                <c:pt idx="98">
                  <c:v>JAN.24</c:v>
                </c:pt>
                <c:pt idx="99">
                  <c:v>JAN.24</c:v>
                </c:pt>
                <c:pt idx="100">
                  <c:v>JAN.24</c:v>
                </c:pt>
                <c:pt idx="101">
                  <c:v>JAN.24</c:v>
                </c:pt>
                <c:pt idx="102">
                  <c:v>JAN.24</c:v>
                </c:pt>
                <c:pt idx="103">
                  <c:v>JAN.24</c:v>
                </c:pt>
                <c:pt idx="104">
                  <c:v>JAN.24</c:v>
                </c:pt>
                <c:pt idx="105">
                  <c:v>JAN.24</c:v>
                </c:pt>
                <c:pt idx="106">
                  <c:v>JAN.24</c:v>
                </c:pt>
                <c:pt idx="107">
                  <c:v>JAN.24</c:v>
                </c:pt>
                <c:pt idx="108">
                  <c:v>JAN.24</c:v>
                </c:pt>
                <c:pt idx="109">
                  <c:v>JAN.24</c:v>
                </c:pt>
                <c:pt idx="110">
                  <c:v>JAN.24</c:v>
                </c:pt>
                <c:pt idx="111">
                  <c:v>JAN.24</c:v>
                </c:pt>
                <c:pt idx="112">
                  <c:v>JAN.24</c:v>
                </c:pt>
                <c:pt idx="113">
                  <c:v>JAN.24</c:v>
                </c:pt>
                <c:pt idx="114">
                  <c:v>JAN.24</c:v>
                </c:pt>
                <c:pt idx="115">
                  <c:v>JAN.24</c:v>
                </c:pt>
                <c:pt idx="116">
                  <c:v>JAN.24</c:v>
                </c:pt>
                <c:pt idx="117">
                  <c:v>JAN.24</c:v>
                </c:pt>
                <c:pt idx="118">
                  <c:v>JAN.24</c:v>
                </c:pt>
                <c:pt idx="119">
                  <c:v>JAN.24</c:v>
                </c:pt>
                <c:pt idx="120">
                  <c:v>JAN.24</c:v>
                </c:pt>
                <c:pt idx="121">
                  <c:v>JAN.24</c:v>
                </c:pt>
                <c:pt idx="122">
                  <c:v>JAN.24</c:v>
                </c:pt>
                <c:pt idx="123">
                  <c:v>JAN.24</c:v>
                </c:pt>
                <c:pt idx="124">
                  <c:v>JAN.24</c:v>
                </c:pt>
                <c:pt idx="125">
                  <c:v>JAN.24</c:v>
                </c:pt>
                <c:pt idx="126">
                  <c:v>JAN.24</c:v>
                </c:pt>
                <c:pt idx="127">
                  <c:v>JAN.24</c:v>
                </c:pt>
                <c:pt idx="128">
                  <c:v>JAN.24</c:v>
                </c:pt>
                <c:pt idx="129">
                  <c:v>JAN.24</c:v>
                </c:pt>
                <c:pt idx="130">
                  <c:v>JAN.24</c:v>
                </c:pt>
                <c:pt idx="131">
                  <c:v>JAN.24</c:v>
                </c:pt>
                <c:pt idx="132">
                  <c:v>February 24 live</c:v>
                </c:pt>
                <c:pt idx="133">
                  <c:v>FEB.24</c:v>
                </c:pt>
                <c:pt idx="134">
                  <c:v>FEB.24</c:v>
                </c:pt>
                <c:pt idx="135">
                  <c:v>FEB.24</c:v>
                </c:pt>
                <c:pt idx="136">
                  <c:v>FEB.24</c:v>
                </c:pt>
                <c:pt idx="137">
                  <c:v>FEB.24</c:v>
                </c:pt>
                <c:pt idx="138">
                  <c:v>FEB.24</c:v>
                </c:pt>
                <c:pt idx="139">
                  <c:v>FEB.24</c:v>
                </c:pt>
                <c:pt idx="140">
                  <c:v>FEB.24</c:v>
                </c:pt>
                <c:pt idx="141">
                  <c:v>FEB.24</c:v>
                </c:pt>
                <c:pt idx="142">
                  <c:v>FEB.24</c:v>
                </c:pt>
                <c:pt idx="143">
                  <c:v>FEB.24</c:v>
                </c:pt>
                <c:pt idx="144">
                  <c:v>FEB.24</c:v>
                </c:pt>
                <c:pt idx="145">
                  <c:v>FEB.24</c:v>
                </c:pt>
                <c:pt idx="146">
                  <c:v>FEB.24</c:v>
                </c:pt>
                <c:pt idx="147">
                  <c:v>FEB.24</c:v>
                </c:pt>
                <c:pt idx="148">
                  <c:v>FEB.24</c:v>
                </c:pt>
                <c:pt idx="149">
                  <c:v>FEB.24</c:v>
                </c:pt>
                <c:pt idx="150">
                  <c:v>FEB.24</c:v>
                </c:pt>
                <c:pt idx="151">
                  <c:v>FEB.24</c:v>
                </c:pt>
                <c:pt idx="152">
                  <c:v>FEB.24</c:v>
                </c:pt>
                <c:pt idx="153">
                  <c:v>FEB.24</c:v>
                </c:pt>
                <c:pt idx="154">
                  <c:v>FEB.24</c:v>
                </c:pt>
                <c:pt idx="155">
                  <c:v>FEB.24</c:v>
                </c:pt>
                <c:pt idx="156">
                  <c:v>FEB.24</c:v>
                </c:pt>
                <c:pt idx="157">
                  <c:v>FEB.24</c:v>
                </c:pt>
                <c:pt idx="158">
                  <c:v>FEB.24</c:v>
                </c:pt>
                <c:pt idx="159">
                  <c:v>FEB.24</c:v>
                </c:pt>
                <c:pt idx="160">
                  <c:v>FEB.24</c:v>
                </c:pt>
                <c:pt idx="161">
                  <c:v>FEB.24</c:v>
                </c:pt>
                <c:pt idx="162">
                  <c:v>FEB.24</c:v>
                </c:pt>
                <c:pt idx="163">
                  <c:v>FEB.24</c:v>
                </c:pt>
                <c:pt idx="164">
                  <c:v>FEB.24</c:v>
                </c:pt>
                <c:pt idx="165">
                  <c:v>FEB.24</c:v>
                </c:pt>
                <c:pt idx="166">
                  <c:v>FEB.24</c:v>
                </c:pt>
                <c:pt idx="167">
                  <c:v>FEB.24</c:v>
                </c:pt>
                <c:pt idx="168">
                  <c:v>FEB.24</c:v>
                </c:pt>
                <c:pt idx="169">
                  <c:v>FEB.24</c:v>
                </c:pt>
                <c:pt idx="170">
                  <c:v>FEB.24</c:v>
                </c:pt>
                <c:pt idx="171">
                  <c:v>FEB.24</c:v>
                </c:pt>
                <c:pt idx="172">
                  <c:v>FEB.24</c:v>
                </c:pt>
                <c:pt idx="173">
                  <c:v>FEB.24</c:v>
                </c:pt>
                <c:pt idx="174">
                  <c:v>FEB.24</c:v>
                </c:pt>
                <c:pt idx="175">
                  <c:v>FEB.24</c:v>
                </c:pt>
                <c:pt idx="176">
                  <c:v>FEB.24</c:v>
                </c:pt>
                <c:pt idx="177">
                  <c:v>FEB.24</c:v>
                </c:pt>
                <c:pt idx="178">
                  <c:v>FEB.24</c:v>
                </c:pt>
                <c:pt idx="179">
                  <c:v>FEB.24</c:v>
                </c:pt>
                <c:pt idx="180">
                  <c:v>FEB.24</c:v>
                </c:pt>
                <c:pt idx="181">
                  <c:v>FEB.24</c:v>
                </c:pt>
                <c:pt idx="182">
                  <c:v>FEB.24</c:v>
                </c:pt>
                <c:pt idx="183">
                  <c:v>FEB.24</c:v>
                </c:pt>
                <c:pt idx="184">
                  <c:v>FEB.24</c:v>
                </c:pt>
                <c:pt idx="185">
                  <c:v>FEB.24</c:v>
                </c:pt>
                <c:pt idx="186">
                  <c:v>FEB.24</c:v>
                </c:pt>
                <c:pt idx="187">
                  <c:v>FEB.24</c:v>
                </c:pt>
                <c:pt idx="188">
                  <c:v>FEB.24</c:v>
                </c:pt>
                <c:pt idx="189">
                  <c:v>FEB.24</c:v>
                </c:pt>
                <c:pt idx="190">
                  <c:v>FEB.24</c:v>
                </c:pt>
                <c:pt idx="191">
                  <c:v>FEB.24</c:v>
                </c:pt>
                <c:pt idx="192">
                  <c:v>FEB.24</c:v>
                </c:pt>
                <c:pt idx="193">
                  <c:v>FEB.24</c:v>
                </c:pt>
                <c:pt idx="194">
                  <c:v>FEB.24</c:v>
                </c:pt>
                <c:pt idx="195">
                  <c:v>FEB.24</c:v>
                </c:pt>
                <c:pt idx="196">
                  <c:v>FEB.24</c:v>
                </c:pt>
                <c:pt idx="197">
                  <c:v>FEB.24</c:v>
                </c:pt>
                <c:pt idx="198">
                  <c:v>FEB.24</c:v>
                </c:pt>
                <c:pt idx="199">
                  <c:v>FEB.24</c:v>
                </c:pt>
                <c:pt idx="200">
                  <c:v>FEB.24</c:v>
                </c:pt>
                <c:pt idx="201">
                  <c:v>FEB.24</c:v>
                </c:pt>
                <c:pt idx="202">
                  <c:v>FEB.24</c:v>
                </c:pt>
                <c:pt idx="203">
                  <c:v>FEB.24</c:v>
                </c:pt>
                <c:pt idx="204">
                  <c:v>FEB.24</c:v>
                </c:pt>
                <c:pt idx="205">
                  <c:v>FEB.24</c:v>
                </c:pt>
                <c:pt idx="206">
                  <c:v>FEB.24</c:v>
                </c:pt>
                <c:pt idx="207">
                  <c:v>FEB.24</c:v>
                </c:pt>
                <c:pt idx="208">
                  <c:v>FEB.24</c:v>
                </c:pt>
                <c:pt idx="209">
                  <c:v>FEB.24</c:v>
                </c:pt>
                <c:pt idx="210">
                  <c:v>FEB.24</c:v>
                </c:pt>
                <c:pt idx="211">
                  <c:v>FEB.24</c:v>
                </c:pt>
                <c:pt idx="212">
                  <c:v>FEB.24</c:v>
                </c:pt>
                <c:pt idx="213">
                  <c:v>FEB.24</c:v>
                </c:pt>
                <c:pt idx="214">
                  <c:v>FEB.24</c:v>
                </c:pt>
                <c:pt idx="215">
                  <c:v>FEB.24</c:v>
                </c:pt>
                <c:pt idx="216">
                  <c:v>FEB.24</c:v>
                </c:pt>
                <c:pt idx="217">
                  <c:v>FEB.24</c:v>
                </c:pt>
                <c:pt idx="218">
                  <c:v>FEB.24</c:v>
                </c:pt>
                <c:pt idx="219">
                  <c:v>FEB.24</c:v>
                </c:pt>
                <c:pt idx="220">
                  <c:v>FEB.24</c:v>
                </c:pt>
                <c:pt idx="221">
                  <c:v>FEB.24</c:v>
                </c:pt>
                <c:pt idx="222">
                  <c:v>FEB.24</c:v>
                </c:pt>
                <c:pt idx="223">
                  <c:v>FEB.24</c:v>
                </c:pt>
                <c:pt idx="224">
                  <c:v>FEB.24</c:v>
                </c:pt>
                <c:pt idx="225">
                  <c:v>FEB.24</c:v>
                </c:pt>
                <c:pt idx="226">
                  <c:v>FEB.24</c:v>
                </c:pt>
                <c:pt idx="227">
                  <c:v>FEB.24</c:v>
                </c:pt>
                <c:pt idx="228">
                  <c:v>FEB.24</c:v>
                </c:pt>
                <c:pt idx="229">
                  <c:v>FEB.24</c:v>
                </c:pt>
                <c:pt idx="230">
                  <c:v>FEB.24</c:v>
                </c:pt>
                <c:pt idx="231">
                  <c:v>FEB.24</c:v>
                </c:pt>
                <c:pt idx="232">
                  <c:v>FEB.24</c:v>
                </c:pt>
                <c:pt idx="233">
                  <c:v>FEB.24</c:v>
                </c:pt>
                <c:pt idx="234">
                  <c:v>FEB.24</c:v>
                </c:pt>
                <c:pt idx="235">
                  <c:v>FEB.24</c:v>
                </c:pt>
                <c:pt idx="236">
                  <c:v>FEB.24</c:v>
                </c:pt>
                <c:pt idx="237">
                  <c:v>FEB.24</c:v>
                </c:pt>
                <c:pt idx="238">
                  <c:v>FEB.24</c:v>
                </c:pt>
                <c:pt idx="239">
                  <c:v>FEB.24</c:v>
                </c:pt>
                <c:pt idx="240">
                  <c:v>FEB.24</c:v>
                </c:pt>
                <c:pt idx="241">
                  <c:v>FEB.24</c:v>
                </c:pt>
                <c:pt idx="242">
                  <c:v>FEB.24</c:v>
                </c:pt>
                <c:pt idx="243">
                  <c:v>FEB.24</c:v>
                </c:pt>
                <c:pt idx="244">
                  <c:v>FEB.24</c:v>
                </c:pt>
                <c:pt idx="245">
                  <c:v>FEB.24</c:v>
                </c:pt>
                <c:pt idx="246">
                  <c:v>FEB.24</c:v>
                </c:pt>
                <c:pt idx="247">
                  <c:v>FEB.24</c:v>
                </c:pt>
                <c:pt idx="248">
                  <c:v>FEB.24</c:v>
                </c:pt>
                <c:pt idx="249">
                  <c:v>FEB.24</c:v>
                </c:pt>
                <c:pt idx="250">
                  <c:v>FEB.24</c:v>
                </c:pt>
                <c:pt idx="251">
                  <c:v>FEB.24</c:v>
                </c:pt>
                <c:pt idx="252">
                  <c:v>March 24 live</c:v>
                </c:pt>
                <c:pt idx="253">
                  <c:v>MAR.24</c:v>
                </c:pt>
                <c:pt idx="254">
                  <c:v>MAR.24</c:v>
                </c:pt>
                <c:pt idx="255">
                  <c:v>MAR.24</c:v>
                </c:pt>
                <c:pt idx="256">
                  <c:v>MAR.24</c:v>
                </c:pt>
                <c:pt idx="257">
                  <c:v>MAR.24</c:v>
                </c:pt>
                <c:pt idx="258">
                  <c:v>MAR.24</c:v>
                </c:pt>
                <c:pt idx="259">
                  <c:v>MAR.24</c:v>
                </c:pt>
                <c:pt idx="260">
                  <c:v>MAR.24</c:v>
                </c:pt>
                <c:pt idx="261">
                  <c:v>MAR.24</c:v>
                </c:pt>
                <c:pt idx="262">
                  <c:v>MAR.24</c:v>
                </c:pt>
                <c:pt idx="263">
                  <c:v>MAR.24</c:v>
                </c:pt>
                <c:pt idx="264">
                  <c:v>MAR.24</c:v>
                </c:pt>
                <c:pt idx="265">
                  <c:v>MAR.24</c:v>
                </c:pt>
                <c:pt idx="266">
                  <c:v>MAR.24</c:v>
                </c:pt>
                <c:pt idx="267">
                  <c:v>MAR.24</c:v>
                </c:pt>
                <c:pt idx="268">
                  <c:v>MAR.24</c:v>
                </c:pt>
                <c:pt idx="269">
                  <c:v>MAR.24</c:v>
                </c:pt>
                <c:pt idx="270">
                  <c:v>MAR.24</c:v>
                </c:pt>
                <c:pt idx="271">
                  <c:v>MAR.24</c:v>
                </c:pt>
                <c:pt idx="272">
                  <c:v>MAR.24</c:v>
                </c:pt>
                <c:pt idx="273">
                  <c:v>MAR.24</c:v>
                </c:pt>
                <c:pt idx="274">
                  <c:v>MAR.24</c:v>
                </c:pt>
                <c:pt idx="275">
                  <c:v>MAR.24</c:v>
                </c:pt>
                <c:pt idx="276">
                  <c:v>MAR.24</c:v>
                </c:pt>
                <c:pt idx="277">
                  <c:v>MAR.24</c:v>
                </c:pt>
                <c:pt idx="278">
                  <c:v>MAR.24</c:v>
                </c:pt>
                <c:pt idx="279">
                  <c:v>MAR.24</c:v>
                </c:pt>
                <c:pt idx="280">
                  <c:v>MAR.24</c:v>
                </c:pt>
                <c:pt idx="281">
                  <c:v>MAR.24</c:v>
                </c:pt>
                <c:pt idx="282">
                  <c:v>MAR.24</c:v>
                </c:pt>
                <c:pt idx="283">
                  <c:v>MAR.24</c:v>
                </c:pt>
                <c:pt idx="284">
                  <c:v>MAR.24</c:v>
                </c:pt>
                <c:pt idx="285">
                  <c:v>MAR.24</c:v>
                </c:pt>
                <c:pt idx="286">
                  <c:v>MAR.24</c:v>
                </c:pt>
                <c:pt idx="287">
                  <c:v>MAR.24</c:v>
                </c:pt>
                <c:pt idx="288">
                  <c:v>MAR.24</c:v>
                </c:pt>
                <c:pt idx="289">
                  <c:v>MAR.24</c:v>
                </c:pt>
                <c:pt idx="290">
                  <c:v>MAR.24</c:v>
                </c:pt>
                <c:pt idx="291">
                  <c:v>MAR.24</c:v>
                </c:pt>
                <c:pt idx="292">
                  <c:v>MAR.24</c:v>
                </c:pt>
                <c:pt idx="293">
                  <c:v>MAR.24</c:v>
                </c:pt>
                <c:pt idx="294">
                  <c:v>MAR.24</c:v>
                </c:pt>
                <c:pt idx="295">
                  <c:v>MAR.24</c:v>
                </c:pt>
                <c:pt idx="296">
                  <c:v>MAR.24</c:v>
                </c:pt>
                <c:pt idx="297">
                  <c:v>MAR.24</c:v>
                </c:pt>
                <c:pt idx="298">
                  <c:v>MAR.24</c:v>
                </c:pt>
                <c:pt idx="299">
                  <c:v>MAR.24</c:v>
                </c:pt>
                <c:pt idx="300">
                  <c:v>MAR.24</c:v>
                </c:pt>
                <c:pt idx="301">
                  <c:v>MAR.24</c:v>
                </c:pt>
                <c:pt idx="302">
                  <c:v>MAR.24</c:v>
                </c:pt>
                <c:pt idx="303">
                  <c:v>MAR.24</c:v>
                </c:pt>
                <c:pt idx="304">
                  <c:v>MAR.24</c:v>
                </c:pt>
                <c:pt idx="305">
                  <c:v>MAR.24</c:v>
                </c:pt>
                <c:pt idx="306">
                  <c:v>MAR.24</c:v>
                </c:pt>
                <c:pt idx="307">
                  <c:v>MAR.24</c:v>
                </c:pt>
                <c:pt idx="308">
                  <c:v>MAR.24</c:v>
                </c:pt>
                <c:pt idx="309">
                  <c:v>MAR.24</c:v>
                </c:pt>
                <c:pt idx="310">
                  <c:v>MAR.24</c:v>
                </c:pt>
                <c:pt idx="311">
                  <c:v>MAR.24</c:v>
                </c:pt>
                <c:pt idx="312">
                  <c:v>MAR.24</c:v>
                </c:pt>
                <c:pt idx="313">
                  <c:v>MAR.24</c:v>
                </c:pt>
                <c:pt idx="314">
                  <c:v>MAR.24</c:v>
                </c:pt>
                <c:pt idx="315">
                  <c:v>MAR.24</c:v>
                </c:pt>
                <c:pt idx="316">
                  <c:v>MAR.24</c:v>
                </c:pt>
                <c:pt idx="317">
                  <c:v>MAR.24</c:v>
                </c:pt>
                <c:pt idx="318">
                  <c:v>MAR.24</c:v>
                </c:pt>
                <c:pt idx="319">
                  <c:v>MAR.24</c:v>
                </c:pt>
                <c:pt idx="320">
                  <c:v>MAR.24</c:v>
                </c:pt>
                <c:pt idx="321">
                  <c:v>MAR.24</c:v>
                </c:pt>
                <c:pt idx="322">
                  <c:v>MAR.24</c:v>
                </c:pt>
                <c:pt idx="323">
                  <c:v>MAR.24</c:v>
                </c:pt>
                <c:pt idx="324">
                  <c:v>MAR.24</c:v>
                </c:pt>
                <c:pt idx="325">
                  <c:v>MAR.24</c:v>
                </c:pt>
                <c:pt idx="326">
                  <c:v>MAR.24</c:v>
                </c:pt>
                <c:pt idx="327">
                  <c:v>MAR.24</c:v>
                </c:pt>
                <c:pt idx="328">
                  <c:v>MAR.24</c:v>
                </c:pt>
                <c:pt idx="329">
                  <c:v>MAR.24</c:v>
                </c:pt>
                <c:pt idx="330">
                  <c:v>MAR.24</c:v>
                </c:pt>
                <c:pt idx="331">
                  <c:v>MAR.24</c:v>
                </c:pt>
                <c:pt idx="332">
                  <c:v>MAR.24</c:v>
                </c:pt>
                <c:pt idx="333">
                  <c:v>MAR.24</c:v>
                </c:pt>
                <c:pt idx="334">
                  <c:v>MAR.24</c:v>
                </c:pt>
                <c:pt idx="335">
                  <c:v>MAR.24</c:v>
                </c:pt>
                <c:pt idx="336">
                  <c:v>MAR.24</c:v>
                </c:pt>
                <c:pt idx="337">
                  <c:v>MAR.24</c:v>
                </c:pt>
                <c:pt idx="338">
                  <c:v>MAR.24</c:v>
                </c:pt>
                <c:pt idx="339">
                  <c:v>MAR.24</c:v>
                </c:pt>
                <c:pt idx="340">
                  <c:v>MAR.24</c:v>
                </c:pt>
                <c:pt idx="341">
                  <c:v>MAR.24</c:v>
                </c:pt>
                <c:pt idx="342">
                  <c:v>MAR.24</c:v>
                </c:pt>
                <c:pt idx="343">
                  <c:v>MAR.24</c:v>
                </c:pt>
                <c:pt idx="344">
                  <c:v>MAR.24</c:v>
                </c:pt>
                <c:pt idx="345">
                  <c:v>April 24 live</c:v>
                </c:pt>
                <c:pt idx="346">
                  <c:v>APR.24</c:v>
                </c:pt>
                <c:pt idx="347">
                  <c:v>APR.24</c:v>
                </c:pt>
                <c:pt idx="348">
                  <c:v>APR.24</c:v>
                </c:pt>
                <c:pt idx="349">
                  <c:v>APR.24</c:v>
                </c:pt>
                <c:pt idx="350">
                  <c:v>APR.24</c:v>
                </c:pt>
                <c:pt idx="351">
                  <c:v>APR.24</c:v>
                </c:pt>
                <c:pt idx="352">
                  <c:v>APR.24</c:v>
                </c:pt>
                <c:pt idx="353">
                  <c:v>APR.24</c:v>
                </c:pt>
                <c:pt idx="354">
                  <c:v>APR.24</c:v>
                </c:pt>
                <c:pt idx="355">
                  <c:v>APR.24</c:v>
                </c:pt>
                <c:pt idx="356">
                  <c:v>APR.24</c:v>
                </c:pt>
                <c:pt idx="357">
                  <c:v>APR.24</c:v>
                </c:pt>
                <c:pt idx="358">
                  <c:v>APR.24</c:v>
                </c:pt>
                <c:pt idx="359">
                  <c:v>APR.24</c:v>
                </c:pt>
                <c:pt idx="360">
                  <c:v>APR.24</c:v>
                </c:pt>
                <c:pt idx="361">
                  <c:v>APR.24</c:v>
                </c:pt>
                <c:pt idx="362">
                  <c:v>APR.24</c:v>
                </c:pt>
                <c:pt idx="363">
                  <c:v>APR.24</c:v>
                </c:pt>
                <c:pt idx="364">
                  <c:v>APR.24</c:v>
                </c:pt>
                <c:pt idx="365">
                  <c:v>APR.24</c:v>
                </c:pt>
                <c:pt idx="366">
                  <c:v>APR.24</c:v>
                </c:pt>
                <c:pt idx="367">
                  <c:v>APR.24</c:v>
                </c:pt>
                <c:pt idx="368">
                  <c:v>APR.24</c:v>
                </c:pt>
                <c:pt idx="369">
                  <c:v>APR.24</c:v>
                </c:pt>
                <c:pt idx="370">
                  <c:v>APR.24</c:v>
                </c:pt>
                <c:pt idx="371">
                  <c:v>APR.24</c:v>
                </c:pt>
                <c:pt idx="372">
                  <c:v>APR.24</c:v>
                </c:pt>
                <c:pt idx="373">
                  <c:v>APR.24</c:v>
                </c:pt>
                <c:pt idx="374">
                  <c:v>APR.24</c:v>
                </c:pt>
                <c:pt idx="375">
                  <c:v>APR.24</c:v>
                </c:pt>
                <c:pt idx="376">
                  <c:v>APR.24</c:v>
                </c:pt>
                <c:pt idx="377">
                  <c:v>APR.24</c:v>
                </c:pt>
                <c:pt idx="378">
                  <c:v>APR.24</c:v>
                </c:pt>
                <c:pt idx="379">
                  <c:v>APR.24</c:v>
                </c:pt>
                <c:pt idx="380">
                  <c:v>APR.24</c:v>
                </c:pt>
                <c:pt idx="381">
                  <c:v>APR.24</c:v>
                </c:pt>
                <c:pt idx="382">
                  <c:v>APR.24</c:v>
                </c:pt>
                <c:pt idx="383">
                  <c:v>APR.24</c:v>
                </c:pt>
                <c:pt idx="384">
                  <c:v>APR.24</c:v>
                </c:pt>
                <c:pt idx="385">
                  <c:v>APR.24</c:v>
                </c:pt>
                <c:pt idx="386">
                  <c:v>APR.24</c:v>
                </c:pt>
                <c:pt idx="387">
                  <c:v>APR.24</c:v>
                </c:pt>
                <c:pt idx="388">
                  <c:v>APR.24</c:v>
                </c:pt>
                <c:pt idx="389">
                  <c:v>APR.24</c:v>
                </c:pt>
                <c:pt idx="390">
                  <c:v>APR.24</c:v>
                </c:pt>
                <c:pt idx="391">
                  <c:v>APR.24</c:v>
                </c:pt>
                <c:pt idx="392">
                  <c:v>APR.24</c:v>
                </c:pt>
                <c:pt idx="393">
                  <c:v>APR.24</c:v>
                </c:pt>
                <c:pt idx="394">
                  <c:v>APR.24</c:v>
                </c:pt>
                <c:pt idx="395">
                  <c:v>APR.24</c:v>
                </c:pt>
                <c:pt idx="396">
                  <c:v>APR.24</c:v>
                </c:pt>
                <c:pt idx="397">
                  <c:v>APR.24</c:v>
                </c:pt>
                <c:pt idx="398">
                  <c:v>APR.24</c:v>
                </c:pt>
                <c:pt idx="399">
                  <c:v>APR.24</c:v>
                </c:pt>
                <c:pt idx="400">
                  <c:v>APR.24</c:v>
                </c:pt>
                <c:pt idx="401">
                  <c:v>APR.24</c:v>
                </c:pt>
                <c:pt idx="402">
                  <c:v>APR.24</c:v>
                </c:pt>
                <c:pt idx="403">
                  <c:v>APR.24</c:v>
                </c:pt>
                <c:pt idx="404">
                  <c:v>APR.24</c:v>
                </c:pt>
                <c:pt idx="405">
                  <c:v>APR.24</c:v>
                </c:pt>
                <c:pt idx="406">
                  <c:v>APR.24</c:v>
                </c:pt>
                <c:pt idx="407">
                  <c:v>APR.24</c:v>
                </c:pt>
                <c:pt idx="408">
                  <c:v>APR.24</c:v>
                </c:pt>
                <c:pt idx="409">
                  <c:v>APR.24</c:v>
                </c:pt>
                <c:pt idx="410">
                  <c:v>APR.24</c:v>
                </c:pt>
                <c:pt idx="411">
                  <c:v>APR.24</c:v>
                </c:pt>
                <c:pt idx="412">
                  <c:v>APR.24</c:v>
                </c:pt>
                <c:pt idx="413">
                  <c:v>APR.24</c:v>
                </c:pt>
                <c:pt idx="414">
                  <c:v>APR.24</c:v>
                </c:pt>
                <c:pt idx="415">
                  <c:v>APR.24</c:v>
                </c:pt>
                <c:pt idx="416">
                  <c:v>APR.24</c:v>
                </c:pt>
                <c:pt idx="417">
                  <c:v>APR.24</c:v>
                </c:pt>
                <c:pt idx="418">
                  <c:v>APR.24</c:v>
                </c:pt>
                <c:pt idx="419">
                  <c:v>APR.24</c:v>
                </c:pt>
                <c:pt idx="420">
                  <c:v>APR.24</c:v>
                </c:pt>
                <c:pt idx="421">
                  <c:v>APR.24</c:v>
                </c:pt>
                <c:pt idx="422">
                  <c:v>APR.24</c:v>
                </c:pt>
                <c:pt idx="423">
                  <c:v>APR.24</c:v>
                </c:pt>
                <c:pt idx="424">
                  <c:v>APR.24</c:v>
                </c:pt>
                <c:pt idx="425">
                  <c:v>APR.24</c:v>
                </c:pt>
                <c:pt idx="426">
                  <c:v>APR.24</c:v>
                </c:pt>
                <c:pt idx="427">
                  <c:v>APR.24</c:v>
                </c:pt>
                <c:pt idx="428">
                  <c:v>APR.24</c:v>
                </c:pt>
                <c:pt idx="429">
                  <c:v>APR.24</c:v>
                </c:pt>
                <c:pt idx="430">
                  <c:v>APR.24</c:v>
                </c:pt>
                <c:pt idx="431">
                  <c:v>APR.24</c:v>
                </c:pt>
                <c:pt idx="432">
                  <c:v>APR.24</c:v>
                </c:pt>
                <c:pt idx="433">
                  <c:v>APR.24</c:v>
                </c:pt>
                <c:pt idx="434">
                  <c:v>APR.24</c:v>
                </c:pt>
                <c:pt idx="435">
                  <c:v>APR.24</c:v>
                </c:pt>
                <c:pt idx="436">
                  <c:v>APR.24</c:v>
                </c:pt>
                <c:pt idx="437">
                  <c:v>APR.24</c:v>
                </c:pt>
                <c:pt idx="438">
                  <c:v>APR.24</c:v>
                </c:pt>
                <c:pt idx="439">
                  <c:v>APR.24</c:v>
                </c:pt>
                <c:pt idx="440">
                  <c:v>APR.24</c:v>
                </c:pt>
                <c:pt idx="441">
                  <c:v>APR.24</c:v>
                </c:pt>
                <c:pt idx="442">
                  <c:v>APR.24</c:v>
                </c:pt>
                <c:pt idx="443">
                  <c:v>APR.24</c:v>
                </c:pt>
                <c:pt idx="444">
                  <c:v>APR.24</c:v>
                </c:pt>
                <c:pt idx="445">
                  <c:v>APR.24</c:v>
                </c:pt>
                <c:pt idx="446">
                  <c:v>APR.24</c:v>
                </c:pt>
                <c:pt idx="447">
                  <c:v>APR.24</c:v>
                </c:pt>
                <c:pt idx="448">
                  <c:v>APR.24</c:v>
                </c:pt>
                <c:pt idx="449">
                  <c:v>APR.24</c:v>
                </c:pt>
                <c:pt idx="450">
                  <c:v>APR.24</c:v>
                </c:pt>
                <c:pt idx="451">
                  <c:v>APR.24</c:v>
                </c:pt>
                <c:pt idx="452">
                  <c:v>APR.24</c:v>
                </c:pt>
                <c:pt idx="453">
                  <c:v>APR.24</c:v>
                </c:pt>
                <c:pt idx="454">
                  <c:v>APR.24</c:v>
                </c:pt>
                <c:pt idx="455">
                  <c:v>APR.24</c:v>
                </c:pt>
                <c:pt idx="456">
                  <c:v>APR.24</c:v>
                </c:pt>
                <c:pt idx="457">
                  <c:v>APR.24</c:v>
                </c:pt>
                <c:pt idx="458">
                  <c:v>APR.24</c:v>
                </c:pt>
                <c:pt idx="459">
                  <c:v>APR.24</c:v>
                </c:pt>
                <c:pt idx="460">
                  <c:v>APR.24</c:v>
                </c:pt>
                <c:pt idx="461">
                  <c:v>APR.24</c:v>
                </c:pt>
                <c:pt idx="462">
                  <c:v>APR.24</c:v>
                </c:pt>
                <c:pt idx="463">
                  <c:v>APR.24</c:v>
                </c:pt>
                <c:pt idx="464">
                  <c:v>APR.24</c:v>
                </c:pt>
                <c:pt idx="465">
                  <c:v>APR.24</c:v>
                </c:pt>
                <c:pt idx="466">
                  <c:v>APR.24</c:v>
                </c:pt>
                <c:pt idx="467">
                  <c:v>APR.24</c:v>
                </c:pt>
                <c:pt idx="468">
                  <c:v>APR.24</c:v>
                </c:pt>
                <c:pt idx="469">
                  <c:v>APR.24</c:v>
                </c:pt>
                <c:pt idx="470">
                  <c:v>APR.24</c:v>
                </c:pt>
                <c:pt idx="471">
                  <c:v>APR.24</c:v>
                </c:pt>
                <c:pt idx="472">
                  <c:v>APR.24</c:v>
                </c:pt>
                <c:pt idx="473">
                  <c:v>APR.24</c:v>
                </c:pt>
                <c:pt idx="474">
                  <c:v>APR.24</c:v>
                </c:pt>
                <c:pt idx="475">
                  <c:v>APR.24</c:v>
                </c:pt>
                <c:pt idx="476">
                  <c:v>APR.24</c:v>
                </c:pt>
                <c:pt idx="477">
                  <c:v>APR.24</c:v>
                </c:pt>
                <c:pt idx="478">
                  <c:v>APR.24</c:v>
                </c:pt>
                <c:pt idx="479">
                  <c:v>APR.24</c:v>
                </c:pt>
                <c:pt idx="480">
                  <c:v>APR.24</c:v>
                </c:pt>
                <c:pt idx="481">
                  <c:v>APR.24</c:v>
                </c:pt>
                <c:pt idx="482">
                  <c:v>APR.24</c:v>
                </c:pt>
                <c:pt idx="483">
                  <c:v>APR.24</c:v>
                </c:pt>
                <c:pt idx="484">
                  <c:v>APR.24</c:v>
                </c:pt>
                <c:pt idx="485">
                  <c:v>APR.24</c:v>
                </c:pt>
                <c:pt idx="486">
                  <c:v>APR.24</c:v>
                </c:pt>
                <c:pt idx="487">
                  <c:v>APR.24</c:v>
                </c:pt>
                <c:pt idx="488">
                  <c:v>APR.24</c:v>
                </c:pt>
                <c:pt idx="489">
                  <c:v>APR.24</c:v>
                </c:pt>
                <c:pt idx="490">
                  <c:v>APR.24</c:v>
                </c:pt>
                <c:pt idx="491">
                  <c:v>APR.24</c:v>
                </c:pt>
                <c:pt idx="492">
                  <c:v>APR.24</c:v>
                </c:pt>
                <c:pt idx="493">
                  <c:v>APR.24</c:v>
                </c:pt>
                <c:pt idx="494">
                  <c:v>APR.24</c:v>
                </c:pt>
                <c:pt idx="495">
                  <c:v>APR.24</c:v>
                </c:pt>
                <c:pt idx="496">
                  <c:v>APR.24</c:v>
                </c:pt>
                <c:pt idx="497">
                  <c:v>APR.24</c:v>
                </c:pt>
                <c:pt idx="498">
                  <c:v>APR.24</c:v>
                </c:pt>
                <c:pt idx="499">
                  <c:v>APR.24</c:v>
                </c:pt>
                <c:pt idx="500">
                  <c:v>APR.24</c:v>
                </c:pt>
                <c:pt idx="501">
                  <c:v>APR.24</c:v>
                </c:pt>
                <c:pt idx="502">
                  <c:v>APR.24</c:v>
                </c:pt>
                <c:pt idx="503">
                  <c:v>APR.24</c:v>
                </c:pt>
                <c:pt idx="504">
                  <c:v>APR.24</c:v>
                </c:pt>
                <c:pt idx="505">
                  <c:v>APR.24</c:v>
                </c:pt>
                <c:pt idx="506">
                  <c:v>APR.24</c:v>
                </c:pt>
                <c:pt idx="507">
                  <c:v>APR.24</c:v>
                </c:pt>
                <c:pt idx="508">
                  <c:v>APR.24</c:v>
                </c:pt>
                <c:pt idx="509">
                  <c:v>APR.24</c:v>
                </c:pt>
                <c:pt idx="510">
                  <c:v>APR.24</c:v>
                </c:pt>
                <c:pt idx="511">
                  <c:v>APR.24</c:v>
                </c:pt>
                <c:pt idx="512">
                  <c:v>APR.24</c:v>
                </c:pt>
                <c:pt idx="513">
                  <c:v>APR.24</c:v>
                </c:pt>
                <c:pt idx="514">
                  <c:v>APR.24</c:v>
                </c:pt>
                <c:pt idx="515">
                  <c:v>APR.24</c:v>
                </c:pt>
                <c:pt idx="516">
                  <c:v>APR.24</c:v>
                </c:pt>
                <c:pt idx="517">
                  <c:v>APR.24</c:v>
                </c:pt>
                <c:pt idx="518">
                  <c:v>APR.24</c:v>
                </c:pt>
                <c:pt idx="519">
                  <c:v>APR.24</c:v>
                </c:pt>
                <c:pt idx="520">
                  <c:v>APR.24</c:v>
                </c:pt>
                <c:pt idx="521">
                  <c:v>APR.24</c:v>
                </c:pt>
                <c:pt idx="522">
                  <c:v>APR.24</c:v>
                </c:pt>
                <c:pt idx="523">
                  <c:v>APR.24</c:v>
                </c:pt>
                <c:pt idx="524">
                  <c:v>APR.24</c:v>
                </c:pt>
                <c:pt idx="525">
                  <c:v>APR.24</c:v>
                </c:pt>
                <c:pt idx="526">
                  <c:v>APR.24</c:v>
                </c:pt>
                <c:pt idx="527">
                  <c:v>APR.24</c:v>
                </c:pt>
                <c:pt idx="528">
                  <c:v>APR.24</c:v>
                </c:pt>
                <c:pt idx="529">
                  <c:v>APR.24</c:v>
                </c:pt>
                <c:pt idx="530">
                  <c:v>APR.24</c:v>
                </c:pt>
                <c:pt idx="531">
                  <c:v>APR.24</c:v>
                </c:pt>
                <c:pt idx="532">
                  <c:v>APR.24</c:v>
                </c:pt>
                <c:pt idx="533">
                  <c:v>APR.24</c:v>
                </c:pt>
                <c:pt idx="534">
                  <c:v>APR.24</c:v>
                </c:pt>
                <c:pt idx="535">
                  <c:v>APR.24</c:v>
                </c:pt>
                <c:pt idx="536">
                  <c:v>May 24 live</c:v>
                </c:pt>
                <c:pt idx="537">
                  <c:v>MAY.24</c:v>
                </c:pt>
                <c:pt idx="538">
                  <c:v>MAY.24</c:v>
                </c:pt>
                <c:pt idx="539">
                  <c:v>MAY.24</c:v>
                </c:pt>
                <c:pt idx="540">
                  <c:v>MAY.24</c:v>
                </c:pt>
                <c:pt idx="541">
                  <c:v>MAY.24</c:v>
                </c:pt>
                <c:pt idx="542">
                  <c:v>MAY.24</c:v>
                </c:pt>
                <c:pt idx="543">
                  <c:v>MAY.24</c:v>
                </c:pt>
                <c:pt idx="544">
                  <c:v>MAY.24</c:v>
                </c:pt>
                <c:pt idx="545">
                  <c:v>MAY.24</c:v>
                </c:pt>
                <c:pt idx="546">
                  <c:v>MAY.24</c:v>
                </c:pt>
                <c:pt idx="547">
                  <c:v>MAY.24</c:v>
                </c:pt>
                <c:pt idx="548">
                  <c:v>MAY.24</c:v>
                </c:pt>
                <c:pt idx="549">
                  <c:v>MAY.24</c:v>
                </c:pt>
                <c:pt idx="550">
                  <c:v>MAY.24</c:v>
                </c:pt>
                <c:pt idx="551">
                  <c:v>MAY.24</c:v>
                </c:pt>
                <c:pt idx="552">
                  <c:v>MAY.24</c:v>
                </c:pt>
                <c:pt idx="553">
                  <c:v>MAY.24</c:v>
                </c:pt>
                <c:pt idx="554">
                  <c:v>MAY.24</c:v>
                </c:pt>
                <c:pt idx="555">
                  <c:v>MAY.24</c:v>
                </c:pt>
                <c:pt idx="556">
                  <c:v>MAY.24</c:v>
                </c:pt>
                <c:pt idx="557">
                  <c:v>MAY.24</c:v>
                </c:pt>
                <c:pt idx="558">
                  <c:v>MAY.24</c:v>
                </c:pt>
                <c:pt idx="559">
                  <c:v>MAY.24</c:v>
                </c:pt>
                <c:pt idx="560">
                  <c:v>MAY.24</c:v>
                </c:pt>
                <c:pt idx="561">
                  <c:v>MAY.24</c:v>
                </c:pt>
                <c:pt idx="562">
                  <c:v>MAY.24</c:v>
                </c:pt>
                <c:pt idx="563">
                  <c:v>MAY.24</c:v>
                </c:pt>
                <c:pt idx="564">
                  <c:v>MAY.24</c:v>
                </c:pt>
                <c:pt idx="565">
                  <c:v>MAY.24</c:v>
                </c:pt>
                <c:pt idx="566">
                  <c:v>MAY.24</c:v>
                </c:pt>
                <c:pt idx="567">
                  <c:v>MAY.24</c:v>
                </c:pt>
                <c:pt idx="568">
                  <c:v>MAY.24</c:v>
                </c:pt>
                <c:pt idx="569">
                  <c:v>MAY.24</c:v>
                </c:pt>
                <c:pt idx="570">
                  <c:v>MAY.24</c:v>
                </c:pt>
                <c:pt idx="571">
                  <c:v>MAY.24</c:v>
                </c:pt>
                <c:pt idx="572">
                  <c:v>MAY.24</c:v>
                </c:pt>
                <c:pt idx="573">
                  <c:v>MAY.24</c:v>
                </c:pt>
                <c:pt idx="574">
                  <c:v>MAY.24</c:v>
                </c:pt>
                <c:pt idx="575">
                  <c:v>MAY.24</c:v>
                </c:pt>
                <c:pt idx="576">
                  <c:v>MAY.24</c:v>
                </c:pt>
                <c:pt idx="577">
                  <c:v>MAY.24</c:v>
                </c:pt>
                <c:pt idx="578">
                  <c:v>MAY.24</c:v>
                </c:pt>
                <c:pt idx="579">
                  <c:v>MAY.24</c:v>
                </c:pt>
                <c:pt idx="580">
                  <c:v>MAY.24</c:v>
                </c:pt>
                <c:pt idx="581">
                  <c:v>MAY.24</c:v>
                </c:pt>
                <c:pt idx="582">
                  <c:v>MAY.24</c:v>
                </c:pt>
                <c:pt idx="583">
                  <c:v>MAY.24</c:v>
                </c:pt>
                <c:pt idx="584">
                  <c:v>MAY.24</c:v>
                </c:pt>
                <c:pt idx="585">
                  <c:v>MAY.24</c:v>
                </c:pt>
                <c:pt idx="586">
                  <c:v>MAY.24</c:v>
                </c:pt>
                <c:pt idx="587">
                  <c:v>MAY.24</c:v>
                </c:pt>
                <c:pt idx="588">
                  <c:v>MAY.24</c:v>
                </c:pt>
                <c:pt idx="589">
                  <c:v>MAY.24</c:v>
                </c:pt>
                <c:pt idx="590">
                  <c:v>MAY.24</c:v>
                </c:pt>
                <c:pt idx="591">
                  <c:v>MAY.24</c:v>
                </c:pt>
                <c:pt idx="592">
                  <c:v>MAY.24</c:v>
                </c:pt>
                <c:pt idx="593">
                  <c:v>MAY.24</c:v>
                </c:pt>
                <c:pt idx="594">
                  <c:v>MAY.24</c:v>
                </c:pt>
                <c:pt idx="595">
                  <c:v>MAY.24</c:v>
                </c:pt>
                <c:pt idx="596">
                  <c:v>MAY.24</c:v>
                </c:pt>
                <c:pt idx="597">
                  <c:v>MAY.24</c:v>
                </c:pt>
                <c:pt idx="598">
                  <c:v>MAY.24</c:v>
                </c:pt>
                <c:pt idx="599">
                  <c:v>MAY.24</c:v>
                </c:pt>
                <c:pt idx="600">
                  <c:v>MAY.24</c:v>
                </c:pt>
                <c:pt idx="601">
                  <c:v>MAY.24</c:v>
                </c:pt>
                <c:pt idx="602">
                  <c:v>MAY.24</c:v>
                </c:pt>
                <c:pt idx="603">
                  <c:v>MAY.24</c:v>
                </c:pt>
                <c:pt idx="604">
                  <c:v>MAY.24</c:v>
                </c:pt>
                <c:pt idx="605">
                  <c:v>MAY.24</c:v>
                </c:pt>
                <c:pt idx="606">
                  <c:v>MAY.24</c:v>
                </c:pt>
                <c:pt idx="607">
                  <c:v>MAY.24</c:v>
                </c:pt>
                <c:pt idx="608">
                  <c:v>MAY.24</c:v>
                </c:pt>
                <c:pt idx="609">
                  <c:v>MAY.24</c:v>
                </c:pt>
                <c:pt idx="610">
                  <c:v>MAY.24</c:v>
                </c:pt>
                <c:pt idx="611">
                  <c:v>MAY.24</c:v>
                </c:pt>
                <c:pt idx="612">
                  <c:v>MAY.24</c:v>
                </c:pt>
                <c:pt idx="613">
                  <c:v>MAY.24</c:v>
                </c:pt>
                <c:pt idx="614">
                  <c:v>MAY.24</c:v>
                </c:pt>
                <c:pt idx="615">
                  <c:v>MAY.24</c:v>
                </c:pt>
                <c:pt idx="616">
                  <c:v>MAY.24</c:v>
                </c:pt>
                <c:pt idx="617">
                  <c:v>MAY.24</c:v>
                </c:pt>
                <c:pt idx="618">
                  <c:v>MAY.24</c:v>
                </c:pt>
                <c:pt idx="619">
                  <c:v>MAY.24</c:v>
                </c:pt>
                <c:pt idx="620">
                  <c:v>MAY.24</c:v>
                </c:pt>
                <c:pt idx="621">
                  <c:v>MAY.24</c:v>
                </c:pt>
                <c:pt idx="622">
                  <c:v>MAY.24</c:v>
                </c:pt>
                <c:pt idx="623">
                  <c:v>MAY.24</c:v>
                </c:pt>
                <c:pt idx="624">
                  <c:v>MAY.24</c:v>
                </c:pt>
                <c:pt idx="625">
                  <c:v>MAY.24</c:v>
                </c:pt>
                <c:pt idx="626">
                  <c:v>MAY.24</c:v>
                </c:pt>
                <c:pt idx="627">
                  <c:v>MAY.24</c:v>
                </c:pt>
                <c:pt idx="628">
                  <c:v>MAY.24</c:v>
                </c:pt>
                <c:pt idx="629">
                  <c:v>MAY.24</c:v>
                </c:pt>
                <c:pt idx="630">
                  <c:v>MAY.24</c:v>
                </c:pt>
                <c:pt idx="631">
                  <c:v>MAY.24</c:v>
                </c:pt>
                <c:pt idx="632">
                  <c:v>MAY.24</c:v>
                </c:pt>
                <c:pt idx="633">
                  <c:v>MAY.24</c:v>
                </c:pt>
                <c:pt idx="634">
                  <c:v>MAY.24</c:v>
                </c:pt>
                <c:pt idx="635">
                  <c:v>MAY.24</c:v>
                </c:pt>
                <c:pt idx="636">
                  <c:v>MAY.24</c:v>
                </c:pt>
                <c:pt idx="637">
                  <c:v>MAY.24</c:v>
                </c:pt>
                <c:pt idx="638">
                  <c:v>MAY.24</c:v>
                </c:pt>
                <c:pt idx="639">
                  <c:v>MAY.24</c:v>
                </c:pt>
                <c:pt idx="640">
                  <c:v>MAY.24</c:v>
                </c:pt>
                <c:pt idx="641">
                  <c:v>MAY.24</c:v>
                </c:pt>
                <c:pt idx="642">
                  <c:v>MAY.24</c:v>
                </c:pt>
                <c:pt idx="643">
                  <c:v>MAY.24</c:v>
                </c:pt>
                <c:pt idx="644">
                  <c:v>MAY.24</c:v>
                </c:pt>
                <c:pt idx="645">
                  <c:v>MAY.24</c:v>
                </c:pt>
                <c:pt idx="646">
                  <c:v>MAY.24</c:v>
                </c:pt>
                <c:pt idx="647">
                  <c:v>MAY.24</c:v>
                </c:pt>
                <c:pt idx="648">
                  <c:v>MAY.24</c:v>
                </c:pt>
                <c:pt idx="649">
                  <c:v>MAY.24</c:v>
                </c:pt>
                <c:pt idx="650">
                  <c:v>MAY.24</c:v>
                </c:pt>
                <c:pt idx="651">
                  <c:v>MAY.24</c:v>
                </c:pt>
                <c:pt idx="652">
                  <c:v>MAY.24</c:v>
                </c:pt>
                <c:pt idx="653">
                  <c:v>MAY.24</c:v>
                </c:pt>
                <c:pt idx="654">
                  <c:v>MAY.24</c:v>
                </c:pt>
                <c:pt idx="655">
                  <c:v>MAY.24</c:v>
                </c:pt>
                <c:pt idx="656">
                  <c:v>MAY.24</c:v>
                </c:pt>
                <c:pt idx="657">
                  <c:v>MAY.24</c:v>
                </c:pt>
                <c:pt idx="658">
                  <c:v>MAY.24</c:v>
                </c:pt>
                <c:pt idx="659">
                  <c:v>MAY.24</c:v>
                </c:pt>
                <c:pt idx="660">
                  <c:v>MAY.24</c:v>
                </c:pt>
                <c:pt idx="661">
                  <c:v>MAY.24</c:v>
                </c:pt>
                <c:pt idx="662">
                  <c:v>MAY.24</c:v>
                </c:pt>
                <c:pt idx="663">
                  <c:v>MAY.24</c:v>
                </c:pt>
                <c:pt idx="664">
                  <c:v>MAY.24</c:v>
                </c:pt>
                <c:pt idx="665">
                  <c:v>MAY.24</c:v>
                </c:pt>
                <c:pt idx="666">
                  <c:v>MAY.24</c:v>
                </c:pt>
                <c:pt idx="667">
                  <c:v>MAY.24</c:v>
                </c:pt>
                <c:pt idx="668">
                  <c:v>MAY.24</c:v>
                </c:pt>
                <c:pt idx="669">
                  <c:v>MAY.24</c:v>
                </c:pt>
                <c:pt idx="670">
                  <c:v>MAY.24</c:v>
                </c:pt>
                <c:pt idx="671">
                  <c:v>MAY.24</c:v>
                </c:pt>
                <c:pt idx="672">
                  <c:v>MAY.24</c:v>
                </c:pt>
                <c:pt idx="673">
                  <c:v>MAY.24</c:v>
                </c:pt>
                <c:pt idx="674">
                  <c:v>MAY.24</c:v>
                </c:pt>
                <c:pt idx="675">
                  <c:v>MAY.24</c:v>
                </c:pt>
                <c:pt idx="676">
                  <c:v>MAY.24</c:v>
                </c:pt>
                <c:pt idx="677">
                  <c:v>MAY.24</c:v>
                </c:pt>
                <c:pt idx="678">
                  <c:v>MAY.24</c:v>
                </c:pt>
                <c:pt idx="679">
                  <c:v>MAY.24</c:v>
                </c:pt>
                <c:pt idx="680">
                  <c:v>MAY.24</c:v>
                </c:pt>
                <c:pt idx="681">
                  <c:v>MAY.24 after disaster</c:v>
                </c:pt>
                <c:pt idx="682">
                  <c:v>MAY.24</c:v>
                </c:pt>
                <c:pt idx="683">
                  <c:v>MAY.24</c:v>
                </c:pt>
                <c:pt idx="684">
                  <c:v>MAY.24</c:v>
                </c:pt>
                <c:pt idx="685">
                  <c:v>MAY.24</c:v>
                </c:pt>
                <c:pt idx="686">
                  <c:v>MAY.24</c:v>
                </c:pt>
                <c:pt idx="687">
                  <c:v>MAY.24</c:v>
                </c:pt>
                <c:pt idx="688">
                  <c:v>MAY.24</c:v>
                </c:pt>
                <c:pt idx="689">
                  <c:v>MAY.24</c:v>
                </c:pt>
                <c:pt idx="690">
                  <c:v>MAY.24</c:v>
                </c:pt>
                <c:pt idx="691">
                  <c:v>MAY.24</c:v>
                </c:pt>
                <c:pt idx="692">
                  <c:v>MAY.24</c:v>
                </c:pt>
                <c:pt idx="693">
                  <c:v>MAY.24</c:v>
                </c:pt>
                <c:pt idx="694">
                  <c:v>MAY.24</c:v>
                </c:pt>
                <c:pt idx="695">
                  <c:v>MAY.24</c:v>
                </c:pt>
                <c:pt idx="696">
                  <c:v>MAY.24 recovery</c:v>
                </c:pt>
                <c:pt idx="697">
                  <c:v>MAY.24</c:v>
                </c:pt>
                <c:pt idx="698">
                  <c:v>MAY.24</c:v>
                </c:pt>
                <c:pt idx="699">
                  <c:v>MAY.24</c:v>
                </c:pt>
                <c:pt idx="700">
                  <c:v>MAY.24</c:v>
                </c:pt>
                <c:pt idx="701">
                  <c:v>MAY.24</c:v>
                </c:pt>
                <c:pt idx="702">
                  <c:v>MAY.24</c:v>
                </c:pt>
                <c:pt idx="703">
                  <c:v>MAY.24</c:v>
                </c:pt>
                <c:pt idx="704">
                  <c:v>MAY.24</c:v>
                </c:pt>
                <c:pt idx="705">
                  <c:v>MAY.24</c:v>
                </c:pt>
                <c:pt idx="706">
                  <c:v>MAY.24</c:v>
                </c:pt>
                <c:pt idx="707">
                  <c:v>MAY.24</c:v>
                </c:pt>
                <c:pt idx="708">
                  <c:v>MAY.24</c:v>
                </c:pt>
                <c:pt idx="709">
                  <c:v>MAY.24</c:v>
                </c:pt>
                <c:pt idx="710">
                  <c:v>MAY.24</c:v>
                </c:pt>
                <c:pt idx="711">
                  <c:v>MAY.24</c:v>
                </c:pt>
                <c:pt idx="712">
                  <c:v>MAY.24</c:v>
                </c:pt>
                <c:pt idx="713">
                  <c:v>MAY.24</c:v>
                </c:pt>
                <c:pt idx="714">
                  <c:v>MAY.24</c:v>
                </c:pt>
                <c:pt idx="715">
                  <c:v>MAY.24</c:v>
                </c:pt>
                <c:pt idx="716">
                  <c:v>MAY.24</c:v>
                </c:pt>
                <c:pt idx="717">
                  <c:v>MAY.24</c:v>
                </c:pt>
                <c:pt idx="718">
                  <c:v>MAY.24</c:v>
                </c:pt>
                <c:pt idx="719">
                  <c:v>MAY.24</c:v>
                </c:pt>
                <c:pt idx="720">
                  <c:v>MAY.24</c:v>
                </c:pt>
                <c:pt idx="721">
                  <c:v>MAY.24</c:v>
                </c:pt>
                <c:pt idx="722">
                  <c:v>MAY.24</c:v>
                </c:pt>
                <c:pt idx="723">
                  <c:v>MAY.24</c:v>
                </c:pt>
                <c:pt idx="724">
                  <c:v>MAY.24</c:v>
                </c:pt>
                <c:pt idx="725">
                  <c:v>MAY.24</c:v>
                </c:pt>
                <c:pt idx="726">
                  <c:v>MAY.24</c:v>
                </c:pt>
                <c:pt idx="727">
                  <c:v>MAY.24</c:v>
                </c:pt>
                <c:pt idx="728">
                  <c:v>MAY.24</c:v>
                </c:pt>
                <c:pt idx="729">
                  <c:v>MAY.24</c:v>
                </c:pt>
                <c:pt idx="730">
                  <c:v>MAY.24</c:v>
                </c:pt>
                <c:pt idx="731">
                  <c:v>June24 live</c:v>
                </c:pt>
                <c:pt idx="732">
                  <c:v>JUN.24</c:v>
                </c:pt>
                <c:pt idx="733">
                  <c:v>JUN.24</c:v>
                </c:pt>
                <c:pt idx="734">
                  <c:v>JUN.24</c:v>
                </c:pt>
                <c:pt idx="735">
                  <c:v>JUN.24</c:v>
                </c:pt>
                <c:pt idx="736">
                  <c:v>JUN.24</c:v>
                </c:pt>
                <c:pt idx="737">
                  <c:v>JUN.24</c:v>
                </c:pt>
                <c:pt idx="738">
                  <c:v>JUN.24</c:v>
                </c:pt>
                <c:pt idx="739">
                  <c:v>JUN.24</c:v>
                </c:pt>
                <c:pt idx="740">
                  <c:v>JUN.24</c:v>
                </c:pt>
                <c:pt idx="741">
                  <c:v>JUN.24</c:v>
                </c:pt>
                <c:pt idx="742">
                  <c:v>JUN.24</c:v>
                </c:pt>
                <c:pt idx="743">
                  <c:v>JUN.24</c:v>
                </c:pt>
                <c:pt idx="744">
                  <c:v>JUN.24</c:v>
                </c:pt>
                <c:pt idx="745">
                  <c:v>JUN.24</c:v>
                </c:pt>
                <c:pt idx="746">
                  <c:v>JUN.24</c:v>
                </c:pt>
                <c:pt idx="747">
                  <c:v>JUN.24</c:v>
                </c:pt>
                <c:pt idx="748">
                  <c:v>JUN.24</c:v>
                </c:pt>
                <c:pt idx="749">
                  <c:v>JUN.24</c:v>
                </c:pt>
                <c:pt idx="750">
                  <c:v>JUN.24</c:v>
                </c:pt>
                <c:pt idx="751">
                  <c:v>JUN.24</c:v>
                </c:pt>
                <c:pt idx="752">
                  <c:v>JUN.24</c:v>
                </c:pt>
                <c:pt idx="753">
                  <c:v>JUN.24</c:v>
                </c:pt>
                <c:pt idx="754">
                  <c:v>JUN.24</c:v>
                </c:pt>
                <c:pt idx="755">
                  <c:v>JUN.24</c:v>
                </c:pt>
                <c:pt idx="756">
                  <c:v>JUN.24</c:v>
                </c:pt>
                <c:pt idx="757">
                  <c:v>JUN.24</c:v>
                </c:pt>
                <c:pt idx="758">
                  <c:v>JUN.24</c:v>
                </c:pt>
                <c:pt idx="759">
                  <c:v>JUN.24</c:v>
                </c:pt>
                <c:pt idx="760">
                  <c:v>JUN.24</c:v>
                </c:pt>
                <c:pt idx="761">
                  <c:v>JUN.24</c:v>
                </c:pt>
                <c:pt idx="762">
                  <c:v>JUN.24</c:v>
                </c:pt>
                <c:pt idx="763">
                  <c:v>JUN.24</c:v>
                </c:pt>
                <c:pt idx="764">
                  <c:v>JUN.24</c:v>
                </c:pt>
                <c:pt idx="765">
                  <c:v>JUN.24</c:v>
                </c:pt>
                <c:pt idx="766">
                  <c:v>JUN.24</c:v>
                </c:pt>
                <c:pt idx="767">
                  <c:v>JUN.24</c:v>
                </c:pt>
                <c:pt idx="768">
                  <c:v>JUN.24</c:v>
                </c:pt>
                <c:pt idx="769">
                  <c:v>JUN.24</c:v>
                </c:pt>
                <c:pt idx="770">
                  <c:v>JUN.24</c:v>
                </c:pt>
                <c:pt idx="771">
                  <c:v>JUN.24</c:v>
                </c:pt>
                <c:pt idx="772">
                  <c:v>JUN.24</c:v>
                </c:pt>
                <c:pt idx="773">
                  <c:v>JUN.24</c:v>
                </c:pt>
                <c:pt idx="774">
                  <c:v>JUN.24</c:v>
                </c:pt>
                <c:pt idx="775">
                  <c:v>JUN.24</c:v>
                </c:pt>
                <c:pt idx="776">
                  <c:v>JUN.24</c:v>
                </c:pt>
                <c:pt idx="777">
                  <c:v>JUN.24</c:v>
                </c:pt>
                <c:pt idx="778">
                  <c:v>JUN.24</c:v>
                </c:pt>
                <c:pt idx="779">
                  <c:v>JUN.24</c:v>
                </c:pt>
                <c:pt idx="780">
                  <c:v>JUN.24</c:v>
                </c:pt>
                <c:pt idx="781">
                  <c:v>JUN.24</c:v>
                </c:pt>
                <c:pt idx="782">
                  <c:v>JUN.24</c:v>
                </c:pt>
                <c:pt idx="783">
                  <c:v>JUN.24</c:v>
                </c:pt>
                <c:pt idx="784">
                  <c:v>JUN.24</c:v>
                </c:pt>
                <c:pt idx="785">
                  <c:v>JUN.24</c:v>
                </c:pt>
                <c:pt idx="786">
                  <c:v>JUN.24</c:v>
                </c:pt>
                <c:pt idx="787">
                  <c:v>JUN.24</c:v>
                </c:pt>
                <c:pt idx="788">
                  <c:v>JUN.24</c:v>
                </c:pt>
                <c:pt idx="789">
                  <c:v>JUN.24</c:v>
                </c:pt>
                <c:pt idx="790">
                  <c:v>JUN.24</c:v>
                </c:pt>
                <c:pt idx="791">
                  <c:v>JUN.24</c:v>
                </c:pt>
                <c:pt idx="792">
                  <c:v>JUN.24</c:v>
                </c:pt>
                <c:pt idx="793">
                  <c:v>JUN.24</c:v>
                </c:pt>
                <c:pt idx="794">
                  <c:v>JUN.24</c:v>
                </c:pt>
                <c:pt idx="795">
                  <c:v>JUN.24</c:v>
                </c:pt>
                <c:pt idx="796">
                  <c:v>JUN.24</c:v>
                </c:pt>
                <c:pt idx="797">
                  <c:v>JUN.24</c:v>
                </c:pt>
                <c:pt idx="798">
                  <c:v>JUN.24</c:v>
                </c:pt>
                <c:pt idx="799">
                  <c:v>JUN.24</c:v>
                </c:pt>
                <c:pt idx="800">
                  <c:v>JUN.24</c:v>
                </c:pt>
                <c:pt idx="801">
                  <c:v>JUN.24</c:v>
                </c:pt>
                <c:pt idx="802">
                  <c:v>JUN.24</c:v>
                </c:pt>
                <c:pt idx="803">
                  <c:v>JUN.24</c:v>
                </c:pt>
                <c:pt idx="804">
                  <c:v>JUN.24</c:v>
                </c:pt>
                <c:pt idx="805">
                  <c:v>JUN.24</c:v>
                </c:pt>
                <c:pt idx="806">
                  <c:v>JUN.24</c:v>
                </c:pt>
                <c:pt idx="807">
                  <c:v>JUN.24</c:v>
                </c:pt>
                <c:pt idx="808">
                  <c:v>JUN.24</c:v>
                </c:pt>
                <c:pt idx="809">
                  <c:v>JUN.24</c:v>
                </c:pt>
                <c:pt idx="810">
                  <c:v>JUN.24</c:v>
                </c:pt>
                <c:pt idx="811">
                  <c:v>JUN.24</c:v>
                </c:pt>
                <c:pt idx="812">
                  <c:v>JUN.24</c:v>
                </c:pt>
                <c:pt idx="813">
                  <c:v>JUN.24</c:v>
                </c:pt>
                <c:pt idx="814">
                  <c:v>JUN.24</c:v>
                </c:pt>
                <c:pt idx="815">
                  <c:v>JUN.24</c:v>
                </c:pt>
                <c:pt idx="816">
                  <c:v>JUN.24</c:v>
                </c:pt>
                <c:pt idx="817">
                  <c:v>JUN.24</c:v>
                </c:pt>
                <c:pt idx="818">
                  <c:v>JUN.24</c:v>
                </c:pt>
                <c:pt idx="819">
                  <c:v>JUN.24</c:v>
                </c:pt>
                <c:pt idx="820">
                  <c:v>JUN.24</c:v>
                </c:pt>
                <c:pt idx="821">
                  <c:v>JUN.24</c:v>
                </c:pt>
                <c:pt idx="822">
                  <c:v>JUN.24</c:v>
                </c:pt>
                <c:pt idx="823">
                  <c:v>JUN.24</c:v>
                </c:pt>
                <c:pt idx="824">
                  <c:v>JUN.24</c:v>
                </c:pt>
                <c:pt idx="825">
                  <c:v>JUN.24</c:v>
                </c:pt>
                <c:pt idx="826">
                  <c:v>JUN.24</c:v>
                </c:pt>
                <c:pt idx="827">
                  <c:v>JUN.24</c:v>
                </c:pt>
                <c:pt idx="828">
                  <c:v>JUN.24</c:v>
                </c:pt>
                <c:pt idx="829">
                  <c:v>JUN.24</c:v>
                </c:pt>
                <c:pt idx="830">
                  <c:v>JUN.24</c:v>
                </c:pt>
                <c:pt idx="831">
                  <c:v>JUN.24</c:v>
                </c:pt>
                <c:pt idx="832">
                  <c:v>JUN.24</c:v>
                </c:pt>
                <c:pt idx="833">
                  <c:v>JUN.24</c:v>
                </c:pt>
                <c:pt idx="834">
                  <c:v>JUN.24</c:v>
                </c:pt>
                <c:pt idx="835">
                  <c:v>JUN.24</c:v>
                </c:pt>
                <c:pt idx="836">
                  <c:v>JUN.24</c:v>
                </c:pt>
                <c:pt idx="837">
                  <c:v>JUN.24</c:v>
                </c:pt>
                <c:pt idx="838">
                  <c:v>JUN.24</c:v>
                </c:pt>
                <c:pt idx="839">
                  <c:v>JUN.24</c:v>
                </c:pt>
                <c:pt idx="840">
                  <c:v>JUN.24</c:v>
                </c:pt>
                <c:pt idx="841">
                  <c:v>JUN.24</c:v>
                </c:pt>
                <c:pt idx="842">
                  <c:v>JUN.24</c:v>
                </c:pt>
                <c:pt idx="843">
                  <c:v>JUN.24</c:v>
                </c:pt>
                <c:pt idx="844">
                  <c:v>JUN.24</c:v>
                </c:pt>
                <c:pt idx="845">
                  <c:v>JUN.24</c:v>
                </c:pt>
                <c:pt idx="846">
                  <c:v>JUN.24</c:v>
                </c:pt>
                <c:pt idx="847">
                  <c:v>JUN.24</c:v>
                </c:pt>
                <c:pt idx="848">
                  <c:v>JUN.24</c:v>
                </c:pt>
                <c:pt idx="849">
                  <c:v>JUN.24</c:v>
                </c:pt>
                <c:pt idx="850">
                  <c:v>JUN.24</c:v>
                </c:pt>
                <c:pt idx="851">
                  <c:v>JUN.24</c:v>
                </c:pt>
                <c:pt idx="852">
                  <c:v>JUN.24</c:v>
                </c:pt>
                <c:pt idx="853">
                  <c:v>JUN.24</c:v>
                </c:pt>
                <c:pt idx="854">
                  <c:v>JUN.24</c:v>
                </c:pt>
                <c:pt idx="855">
                  <c:v>JUN.24</c:v>
                </c:pt>
                <c:pt idx="856">
                  <c:v>JUN.24</c:v>
                </c:pt>
                <c:pt idx="857">
                  <c:v>JUN.24</c:v>
                </c:pt>
                <c:pt idx="858">
                  <c:v>JUN.24</c:v>
                </c:pt>
                <c:pt idx="859">
                  <c:v>JUN.24</c:v>
                </c:pt>
                <c:pt idx="860">
                  <c:v>JUN.24</c:v>
                </c:pt>
                <c:pt idx="861">
                  <c:v>JUN.24</c:v>
                </c:pt>
                <c:pt idx="862">
                  <c:v>JUN.24</c:v>
                </c:pt>
                <c:pt idx="863">
                  <c:v>JUN.24</c:v>
                </c:pt>
                <c:pt idx="864">
                  <c:v>JUN.24</c:v>
                </c:pt>
                <c:pt idx="865">
                  <c:v>JUN.24</c:v>
                </c:pt>
                <c:pt idx="866">
                  <c:v>JUN.24</c:v>
                </c:pt>
                <c:pt idx="867">
                  <c:v>JUN.24</c:v>
                </c:pt>
                <c:pt idx="868">
                  <c:v>JUN.24</c:v>
                </c:pt>
                <c:pt idx="869">
                  <c:v>JUN.24</c:v>
                </c:pt>
                <c:pt idx="870">
                  <c:v>JUN.24</c:v>
                </c:pt>
                <c:pt idx="871">
                  <c:v>JUN.24</c:v>
                </c:pt>
                <c:pt idx="872">
                  <c:v>JUN.24</c:v>
                </c:pt>
                <c:pt idx="873">
                  <c:v>JUN.24</c:v>
                </c:pt>
                <c:pt idx="874">
                  <c:v>JUN.24</c:v>
                </c:pt>
                <c:pt idx="875">
                  <c:v>JUN.24</c:v>
                </c:pt>
                <c:pt idx="876">
                  <c:v>JUN.24</c:v>
                </c:pt>
                <c:pt idx="877">
                  <c:v>JUN.24</c:v>
                </c:pt>
                <c:pt idx="878">
                  <c:v>JUN.24</c:v>
                </c:pt>
                <c:pt idx="879">
                  <c:v>JUN.24 BLOWUP</c:v>
                </c:pt>
                <c:pt idx="880">
                  <c:v>JUN.24</c:v>
                </c:pt>
                <c:pt idx="881">
                  <c:v>JUN.24</c:v>
                </c:pt>
                <c:pt idx="882">
                  <c:v>JUN.24</c:v>
                </c:pt>
                <c:pt idx="883">
                  <c:v>JUN.24</c:v>
                </c:pt>
                <c:pt idx="884">
                  <c:v>JUN.24</c:v>
                </c:pt>
                <c:pt idx="885">
                  <c:v>JUN.24</c:v>
                </c:pt>
                <c:pt idx="886">
                  <c:v>JUN.24</c:v>
                </c:pt>
                <c:pt idx="887">
                  <c:v>JUN.24</c:v>
                </c:pt>
                <c:pt idx="888">
                  <c:v>July24 live (R+1) | REDUCE INTRADAY &gt;1D TRADES</c:v>
                </c:pt>
                <c:pt idx="889">
                  <c:v>JUL.24</c:v>
                </c:pt>
                <c:pt idx="890">
                  <c:v>JUL.24</c:v>
                </c:pt>
                <c:pt idx="891">
                  <c:v>JUL.24</c:v>
                </c:pt>
                <c:pt idx="892">
                  <c:v>JUL.24</c:v>
                </c:pt>
                <c:pt idx="893">
                  <c:v>JUL.24</c:v>
                </c:pt>
                <c:pt idx="894">
                  <c:v>JUL.24</c:v>
                </c:pt>
                <c:pt idx="895">
                  <c:v>JUL.24</c:v>
                </c:pt>
                <c:pt idx="896">
                  <c:v>JUL.24</c:v>
                </c:pt>
                <c:pt idx="897">
                  <c:v>JUL.24</c:v>
                </c:pt>
                <c:pt idx="898">
                  <c:v>JUL.24</c:v>
                </c:pt>
                <c:pt idx="899">
                  <c:v>JUL.24</c:v>
                </c:pt>
                <c:pt idx="900">
                  <c:v>JUL.24</c:v>
                </c:pt>
                <c:pt idx="901">
                  <c:v>JUL.24</c:v>
                </c:pt>
                <c:pt idx="902">
                  <c:v>JUL.24</c:v>
                </c:pt>
                <c:pt idx="903">
                  <c:v>JUL.24</c:v>
                </c:pt>
                <c:pt idx="904">
                  <c:v>JUL.24</c:v>
                </c:pt>
                <c:pt idx="905">
                  <c:v>JUL.24</c:v>
                </c:pt>
                <c:pt idx="906">
                  <c:v>JUL.24</c:v>
                </c:pt>
                <c:pt idx="907">
                  <c:v>JUL.24</c:v>
                </c:pt>
                <c:pt idx="908">
                  <c:v>JUL.24</c:v>
                </c:pt>
                <c:pt idx="909">
                  <c:v>JUL.24</c:v>
                </c:pt>
                <c:pt idx="910">
                  <c:v>JUL.24</c:v>
                </c:pt>
                <c:pt idx="911">
                  <c:v>JUL.24</c:v>
                </c:pt>
                <c:pt idx="912">
                  <c:v>JUL.24</c:v>
                </c:pt>
                <c:pt idx="913">
                  <c:v>JUL.24</c:v>
                </c:pt>
                <c:pt idx="914">
                  <c:v>JUL.24</c:v>
                </c:pt>
                <c:pt idx="915">
                  <c:v>JUL.24</c:v>
                </c:pt>
                <c:pt idx="916">
                  <c:v>JUL.24</c:v>
                </c:pt>
                <c:pt idx="917">
                  <c:v>JUL.24</c:v>
                </c:pt>
                <c:pt idx="918">
                  <c:v>JUL.24</c:v>
                </c:pt>
                <c:pt idx="919">
                  <c:v>JUL.24</c:v>
                </c:pt>
                <c:pt idx="920">
                  <c:v>JUL.24</c:v>
                </c:pt>
                <c:pt idx="921">
                  <c:v>JUL.24</c:v>
                </c:pt>
                <c:pt idx="922">
                  <c:v>JUL.24</c:v>
                </c:pt>
                <c:pt idx="923">
                  <c:v>JUL.24</c:v>
                </c:pt>
                <c:pt idx="924">
                  <c:v>JUL.24</c:v>
                </c:pt>
                <c:pt idx="925">
                  <c:v>JUL.24</c:v>
                </c:pt>
                <c:pt idx="926">
                  <c:v>JUL.24</c:v>
                </c:pt>
                <c:pt idx="927">
                  <c:v>JUL.24</c:v>
                </c:pt>
                <c:pt idx="928">
                  <c:v>JUL.24</c:v>
                </c:pt>
                <c:pt idx="929">
                  <c:v>JUL.24</c:v>
                </c:pt>
                <c:pt idx="930">
                  <c:v>JUL.24</c:v>
                </c:pt>
                <c:pt idx="931">
                  <c:v>JUL.24</c:v>
                </c:pt>
                <c:pt idx="932">
                  <c:v>JUL.24</c:v>
                </c:pt>
                <c:pt idx="933">
                  <c:v>JUL.24</c:v>
                </c:pt>
                <c:pt idx="934">
                  <c:v>JUL.24</c:v>
                </c:pt>
                <c:pt idx="935">
                  <c:v>JUL.24</c:v>
                </c:pt>
                <c:pt idx="936">
                  <c:v>JUL.24</c:v>
                </c:pt>
                <c:pt idx="937">
                  <c:v>JUL.24</c:v>
                </c:pt>
                <c:pt idx="938">
                  <c:v>JUL.24</c:v>
                </c:pt>
                <c:pt idx="939">
                  <c:v>JUL.24</c:v>
                </c:pt>
                <c:pt idx="940">
                  <c:v>JUL.24</c:v>
                </c:pt>
                <c:pt idx="941">
                  <c:v>JUL.24</c:v>
                </c:pt>
                <c:pt idx="942">
                  <c:v>JUL.24</c:v>
                </c:pt>
                <c:pt idx="943">
                  <c:v>JUL.24</c:v>
                </c:pt>
                <c:pt idx="944">
                  <c:v>JUL.24</c:v>
                </c:pt>
                <c:pt idx="945">
                  <c:v>JUL.24</c:v>
                </c:pt>
                <c:pt idx="946">
                  <c:v>JUL.24</c:v>
                </c:pt>
                <c:pt idx="947">
                  <c:v>JUL.24</c:v>
                </c:pt>
                <c:pt idx="948">
                  <c:v>JUL.24</c:v>
                </c:pt>
                <c:pt idx="949">
                  <c:v>JUL.24</c:v>
                </c:pt>
                <c:pt idx="950">
                  <c:v>JUL.24</c:v>
                </c:pt>
                <c:pt idx="951">
                  <c:v>JUL.24</c:v>
                </c:pt>
                <c:pt idx="952">
                  <c:v>JUL.24</c:v>
                </c:pt>
                <c:pt idx="953">
                  <c:v>JUL.24</c:v>
                </c:pt>
                <c:pt idx="954">
                  <c:v>JUL.24</c:v>
                </c:pt>
                <c:pt idx="955">
                  <c:v>JUL.24</c:v>
                </c:pt>
                <c:pt idx="956">
                  <c:v>JUL.24</c:v>
                </c:pt>
                <c:pt idx="957">
                  <c:v>JUL.24</c:v>
                </c:pt>
                <c:pt idx="958">
                  <c:v>JUL.24</c:v>
                </c:pt>
                <c:pt idx="959">
                  <c:v>JUL.24</c:v>
                </c:pt>
                <c:pt idx="960">
                  <c:v>JUL.24</c:v>
                </c:pt>
                <c:pt idx="961">
                  <c:v>JUL.24</c:v>
                </c:pt>
                <c:pt idx="962">
                  <c:v>JUL.24</c:v>
                </c:pt>
                <c:pt idx="963">
                  <c:v>JUL.24</c:v>
                </c:pt>
                <c:pt idx="964">
                  <c:v>JUL.24</c:v>
                </c:pt>
                <c:pt idx="965">
                  <c:v>JUL.24</c:v>
                </c:pt>
                <c:pt idx="966">
                  <c:v>JUL.24</c:v>
                </c:pt>
                <c:pt idx="967">
                  <c:v>JUL.24</c:v>
                </c:pt>
                <c:pt idx="968">
                  <c:v>JUL.24</c:v>
                </c:pt>
                <c:pt idx="969">
                  <c:v>JUL.24</c:v>
                </c:pt>
                <c:pt idx="970">
                  <c:v>JUL.24</c:v>
                </c:pt>
                <c:pt idx="971">
                  <c:v>JUL.24</c:v>
                </c:pt>
                <c:pt idx="972">
                  <c:v>JUL.24</c:v>
                </c:pt>
                <c:pt idx="973">
                  <c:v>JUL.24</c:v>
                </c:pt>
                <c:pt idx="974">
                  <c:v>JUL.24</c:v>
                </c:pt>
                <c:pt idx="975">
                  <c:v>JUL.24</c:v>
                </c:pt>
                <c:pt idx="976">
                  <c:v>JUL.24</c:v>
                </c:pt>
                <c:pt idx="977">
                  <c:v>JUL.24</c:v>
                </c:pt>
                <c:pt idx="978">
                  <c:v>JUL.24</c:v>
                </c:pt>
                <c:pt idx="979">
                  <c:v>JUL.24</c:v>
                </c:pt>
                <c:pt idx="980">
                  <c:v>JUL.24</c:v>
                </c:pt>
                <c:pt idx="981">
                  <c:v>JUL.24</c:v>
                </c:pt>
                <c:pt idx="982">
                  <c:v>JUL.24</c:v>
                </c:pt>
                <c:pt idx="983">
                  <c:v>JUL.24</c:v>
                </c:pt>
                <c:pt idx="984">
                  <c:v>JUL.24</c:v>
                </c:pt>
                <c:pt idx="985">
                  <c:v>JUL.24</c:v>
                </c:pt>
                <c:pt idx="986">
                  <c:v>JUL.24</c:v>
                </c:pt>
                <c:pt idx="987">
                  <c:v>JUL.24</c:v>
                </c:pt>
                <c:pt idx="988">
                  <c:v>JUL.24</c:v>
                </c:pt>
                <c:pt idx="989">
                  <c:v>August24 live (R-1) | REDUCE LOT SIZING 2ND HALF AND ONLY EXITS IN 2ND HALF</c:v>
                </c:pt>
                <c:pt idx="990">
                  <c:v>AUG.24</c:v>
                </c:pt>
                <c:pt idx="991">
                  <c:v>AUG.24</c:v>
                </c:pt>
                <c:pt idx="992">
                  <c:v>AUG.24.II</c:v>
                </c:pt>
                <c:pt idx="993">
                  <c:v>AUG.24</c:v>
                </c:pt>
                <c:pt idx="994">
                  <c:v>AUG.24</c:v>
                </c:pt>
                <c:pt idx="995">
                  <c:v>AUG.24</c:v>
                </c:pt>
                <c:pt idx="996">
                  <c:v>AUG.24</c:v>
                </c:pt>
                <c:pt idx="997">
                  <c:v>AUG.24</c:v>
                </c:pt>
                <c:pt idx="998">
                  <c:v>AUG.24</c:v>
                </c:pt>
                <c:pt idx="999">
                  <c:v>AUG.24</c:v>
                </c:pt>
                <c:pt idx="1000">
                  <c:v>AUG.24</c:v>
                </c:pt>
                <c:pt idx="1001">
                  <c:v>AUG.24.II</c:v>
                </c:pt>
                <c:pt idx="1002">
                  <c:v>AUG.24.II</c:v>
                </c:pt>
                <c:pt idx="1003">
                  <c:v>AUG.24</c:v>
                </c:pt>
                <c:pt idx="1004">
                  <c:v>AUG.24</c:v>
                </c:pt>
                <c:pt idx="1005">
                  <c:v>AUG.24</c:v>
                </c:pt>
                <c:pt idx="1006">
                  <c:v>AUG.24.II</c:v>
                </c:pt>
                <c:pt idx="1007">
                  <c:v>AUG.24.II</c:v>
                </c:pt>
                <c:pt idx="1008">
                  <c:v>AUG.24</c:v>
                </c:pt>
                <c:pt idx="1009">
                  <c:v>AUG.24</c:v>
                </c:pt>
                <c:pt idx="1010">
                  <c:v>AUG.24</c:v>
                </c:pt>
                <c:pt idx="1011">
                  <c:v>AUG.24</c:v>
                </c:pt>
                <c:pt idx="1012">
                  <c:v>AUG.24</c:v>
                </c:pt>
                <c:pt idx="1013">
                  <c:v>AUG.24</c:v>
                </c:pt>
                <c:pt idx="1014">
                  <c:v>AUG.24</c:v>
                </c:pt>
                <c:pt idx="1015">
                  <c:v>AUG.24</c:v>
                </c:pt>
                <c:pt idx="1016">
                  <c:v>AUG.24</c:v>
                </c:pt>
                <c:pt idx="1017">
                  <c:v>AUG.24</c:v>
                </c:pt>
                <c:pt idx="1018">
                  <c:v>AUG.24</c:v>
                </c:pt>
                <c:pt idx="1019">
                  <c:v>AUG.24</c:v>
                </c:pt>
                <c:pt idx="1020">
                  <c:v>AUG.24</c:v>
                </c:pt>
                <c:pt idx="1021">
                  <c:v>AUG.24</c:v>
                </c:pt>
                <c:pt idx="1022">
                  <c:v>AUG.24</c:v>
                </c:pt>
                <c:pt idx="1023">
                  <c:v>AUG.24</c:v>
                </c:pt>
                <c:pt idx="1024">
                  <c:v>AUG.24</c:v>
                </c:pt>
                <c:pt idx="1025">
                  <c:v>AUG.24</c:v>
                </c:pt>
                <c:pt idx="1026">
                  <c:v>AUG.24</c:v>
                </c:pt>
                <c:pt idx="1027">
                  <c:v>AUG.24.II</c:v>
                </c:pt>
                <c:pt idx="1028">
                  <c:v>AUG.24</c:v>
                </c:pt>
                <c:pt idx="1029">
                  <c:v>AUG.24</c:v>
                </c:pt>
                <c:pt idx="1030">
                  <c:v>AUG.24</c:v>
                </c:pt>
                <c:pt idx="1031">
                  <c:v>AUG.24</c:v>
                </c:pt>
                <c:pt idx="1032">
                  <c:v>AUG.24</c:v>
                </c:pt>
                <c:pt idx="1033">
                  <c:v>AUG.24</c:v>
                </c:pt>
                <c:pt idx="1034">
                  <c:v>AUG.24</c:v>
                </c:pt>
                <c:pt idx="1035">
                  <c:v>AUG.24</c:v>
                </c:pt>
                <c:pt idx="1036">
                  <c:v>AUG.24</c:v>
                </c:pt>
                <c:pt idx="1037">
                  <c:v>AUG.24</c:v>
                </c:pt>
                <c:pt idx="1038">
                  <c:v>AUG.24</c:v>
                </c:pt>
                <c:pt idx="1039">
                  <c:v>AUG.24</c:v>
                </c:pt>
                <c:pt idx="1040">
                  <c:v>AUG.24</c:v>
                </c:pt>
                <c:pt idx="1041">
                  <c:v>AUG.24</c:v>
                </c:pt>
                <c:pt idx="1042">
                  <c:v>AUG.24</c:v>
                </c:pt>
                <c:pt idx="1043">
                  <c:v>AUG.24</c:v>
                </c:pt>
                <c:pt idx="1044">
                  <c:v>AUG.24</c:v>
                </c:pt>
                <c:pt idx="1045">
                  <c:v>AUG.24</c:v>
                </c:pt>
                <c:pt idx="1046">
                  <c:v>AUG.24</c:v>
                </c:pt>
                <c:pt idx="1047">
                  <c:v>AUG.24</c:v>
                </c:pt>
                <c:pt idx="1048">
                  <c:v>AUG.24</c:v>
                </c:pt>
                <c:pt idx="1049">
                  <c:v>AUG.24</c:v>
                </c:pt>
                <c:pt idx="1050">
                  <c:v>AUG.24</c:v>
                </c:pt>
                <c:pt idx="1051">
                  <c:v>AUG.24</c:v>
                </c:pt>
                <c:pt idx="1052">
                  <c:v>AUG.24</c:v>
                </c:pt>
                <c:pt idx="1053">
                  <c:v>AUG.24</c:v>
                </c:pt>
                <c:pt idx="1054">
                  <c:v>AUG.24</c:v>
                </c:pt>
                <c:pt idx="1055">
                  <c:v>AUG.24</c:v>
                </c:pt>
                <c:pt idx="1056">
                  <c:v>AUG.24</c:v>
                </c:pt>
                <c:pt idx="1057">
                  <c:v>AUG.24</c:v>
                </c:pt>
                <c:pt idx="1058">
                  <c:v>AUG.24</c:v>
                </c:pt>
                <c:pt idx="1059">
                  <c:v>AUG.24</c:v>
                </c:pt>
                <c:pt idx="1060">
                  <c:v>AUG.24</c:v>
                </c:pt>
                <c:pt idx="1061">
                  <c:v>AUG.24</c:v>
                </c:pt>
                <c:pt idx="1062">
                  <c:v>AUG.24</c:v>
                </c:pt>
                <c:pt idx="1063">
                  <c:v>AUG.24</c:v>
                </c:pt>
                <c:pt idx="1064">
                  <c:v>AUG.24</c:v>
                </c:pt>
                <c:pt idx="1065">
                  <c:v>AUG.24</c:v>
                </c:pt>
                <c:pt idx="1066">
                  <c:v>AUG.24</c:v>
                </c:pt>
                <c:pt idx="1067">
                  <c:v>AUG.24</c:v>
                </c:pt>
                <c:pt idx="1068">
                  <c:v>AUG.24</c:v>
                </c:pt>
                <c:pt idx="1069">
                  <c:v>AUG.24</c:v>
                </c:pt>
                <c:pt idx="1070">
                  <c:v>AUG.24</c:v>
                </c:pt>
                <c:pt idx="1071">
                  <c:v>AUG.24</c:v>
                </c:pt>
                <c:pt idx="1072">
                  <c:v>AUG.24</c:v>
                </c:pt>
                <c:pt idx="1073">
                  <c:v>AUG.24</c:v>
                </c:pt>
                <c:pt idx="1074">
                  <c:v>AUG.24</c:v>
                </c:pt>
                <c:pt idx="1075">
                  <c:v>AUG.24</c:v>
                </c:pt>
                <c:pt idx="1076">
                  <c:v>AUG.24</c:v>
                </c:pt>
                <c:pt idx="1077">
                  <c:v>AUG.24</c:v>
                </c:pt>
                <c:pt idx="1078">
                  <c:v>AUG.24</c:v>
                </c:pt>
                <c:pt idx="1079">
                  <c:v>AUG.24</c:v>
                </c:pt>
                <c:pt idx="1080">
                  <c:v>AUG.24</c:v>
                </c:pt>
                <c:pt idx="1081">
                  <c:v>AUG.24</c:v>
                </c:pt>
                <c:pt idx="1082">
                  <c:v>AUG.24</c:v>
                </c:pt>
                <c:pt idx="1083">
                  <c:v>AUG.24</c:v>
                </c:pt>
                <c:pt idx="1084">
                  <c:v>AUG.24</c:v>
                </c:pt>
                <c:pt idx="1085">
                  <c:v>AUG.24</c:v>
                </c:pt>
                <c:pt idx="1086">
                  <c:v>September24 live (R) | REDUCE LOT SIZING 1ST HALF, AVOID POSITIONAL </c:v>
                </c:pt>
                <c:pt idx="1087">
                  <c:v>SEP.24</c:v>
                </c:pt>
                <c:pt idx="1088">
                  <c:v>SEP.24</c:v>
                </c:pt>
                <c:pt idx="1089">
                  <c:v>SEP.24</c:v>
                </c:pt>
                <c:pt idx="1090">
                  <c:v>SEP.24</c:v>
                </c:pt>
                <c:pt idx="1091">
                  <c:v>SEP.24</c:v>
                </c:pt>
                <c:pt idx="1092">
                  <c:v>SEP.24</c:v>
                </c:pt>
                <c:pt idx="1093">
                  <c:v>SEP.24</c:v>
                </c:pt>
                <c:pt idx="1094">
                  <c:v>SEP.24</c:v>
                </c:pt>
                <c:pt idx="1095">
                  <c:v>SEP.24</c:v>
                </c:pt>
                <c:pt idx="1096">
                  <c:v>SEP.24</c:v>
                </c:pt>
                <c:pt idx="1097">
                  <c:v>SEP.24</c:v>
                </c:pt>
                <c:pt idx="1098">
                  <c:v>SEP.24</c:v>
                </c:pt>
                <c:pt idx="1099">
                  <c:v>SEP.24</c:v>
                </c:pt>
                <c:pt idx="1100">
                  <c:v>SEP.24</c:v>
                </c:pt>
                <c:pt idx="1101">
                  <c:v>SEP.24</c:v>
                </c:pt>
                <c:pt idx="1102">
                  <c:v>SEP.24</c:v>
                </c:pt>
                <c:pt idx="1103">
                  <c:v>SEP.24</c:v>
                </c:pt>
                <c:pt idx="1104">
                  <c:v>SEP.24</c:v>
                </c:pt>
                <c:pt idx="1105">
                  <c:v>SEP.24</c:v>
                </c:pt>
                <c:pt idx="1106">
                  <c:v>SEP.24</c:v>
                </c:pt>
                <c:pt idx="1107">
                  <c:v>SEP.24</c:v>
                </c:pt>
                <c:pt idx="1108">
                  <c:v>SEP.24</c:v>
                </c:pt>
                <c:pt idx="1109">
                  <c:v>SEP.24</c:v>
                </c:pt>
                <c:pt idx="1110">
                  <c:v>SEP.24</c:v>
                </c:pt>
                <c:pt idx="1111">
                  <c:v>SEP.24</c:v>
                </c:pt>
                <c:pt idx="1112">
                  <c:v>SEP.24</c:v>
                </c:pt>
                <c:pt idx="1113">
                  <c:v>SEP.24</c:v>
                </c:pt>
                <c:pt idx="1114">
                  <c:v>SEP.24</c:v>
                </c:pt>
                <c:pt idx="1115">
                  <c:v>SEP.24</c:v>
                </c:pt>
                <c:pt idx="1116">
                  <c:v>SEP.24</c:v>
                </c:pt>
                <c:pt idx="1117">
                  <c:v>SEP.24</c:v>
                </c:pt>
                <c:pt idx="1118">
                  <c:v>SEP.24</c:v>
                </c:pt>
                <c:pt idx="1119">
                  <c:v>SEP.24</c:v>
                </c:pt>
                <c:pt idx="1120">
                  <c:v>SEP.24</c:v>
                </c:pt>
                <c:pt idx="1121">
                  <c:v>SEP.24</c:v>
                </c:pt>
                <c:pt idx="1122">
                  <c:v>SEP.24</c:v>
                </c:pt>
                <c:pt idx="1123">
                  <c:v>SEP.24</c:v>
                </c:pt>
                <c:pt idx="1124">
                  <c:v>SEP.24</c:v>
                </c:pt>
                <c:pt idx="1125">
                  <c:v>October24 live (R+1) | REDUCE INTRADAY &gt;1D TRADES</c:v>
                </c:pt>
                <c:pt idx="1126">
                  <c:v>OCT.24</c:v>
                </c:pt>
                <c:pt idx="1127">
                  <c:v>OCT.24</c:v>
                </c:pt>
                <c:pt idx="1128">
                  <c:v>OCT.24</c:v>
                </c:pt>
                <c:pt idx="1129">
                  <c:v>OCT.24</c:v>
                </c:pt>
                <c:pt idx="1130">
                  <c:v>OCT.24</c:v>
                </c:pt>
                <c:pt idx="1131">
                  <c:v>OCT.24</c:v>
                </c:pt>
                <c:pt idx="1132">
                  <c:v>OCT.24</c:v>
                </c:pt>
                <c:pt idx="1133">
                  <c:v>OCT.24</c:v>
                </c:pt>
                <c:pt idx="1134">
                  <c:v>OCT.24</c:v>
                </c:pt>
                <c:pt idx="1135">
                  <c:v>OCT.24</c:v>
                </c:pt>
                <c:pt idx="1136">
                  <c:v>OCT.24</c:v>
                </c:pt>
                <c:pt idx="1137">
                  <c:v>OCT.24</c:v>
                </c:pt>
                <c:pt idx="1138">
                  <c:v>OCT.24</c:v>
                </c:pt>
                <c:pt idx="1139">
                  <c:v>OCT.24</c:v>
                </c:pt>
                <c:pt idx="1140">
                  <c:v>OCT.24</c:v>
                </c:pt>
                <c:pt idx="1141">
                  <c:v>OCT.24</c:v>
                </c:pt>
                <c:pt idx="1142">
                  <c:v>OCT.24</c:v>
                </c:pt>
                <c:pt idx="1143">
                  <c:v>OCT.24</c:v>
                </c:pt>
                <c:pt idx="1144">
                  <c:v>OCT.24</c:v>
                </c:pt>
                <c:pt idx="1145">
                  <c:v>OCT.24</c:v>
                </c:pt>
                <c:pt idx="1146">
                  <c:v>OCT.24</c:v>
                </c:pt>
                <c:pt idx="1147">
                  <c:v>OCT.24</c:v>
                </c:pt>
                <c:pt idx="1148">
                  <c:v>OCT.24</c:v>
                </c:pt>
                <c:pt idx="1149">
                  <c:v>OCT.24</c:v>
                </c:pt>
                <c:pt idx="1150">
                  <c:v>OCT.24</c:v>
                </c:pt>
                <c:pt idx="1151">
                  <c:v>OCT.24</c:v>
                </c:pt>
                <c:pt idx="1152">
                  <c:v>OCT.24</c:v>
                </c:pt>
                <c:pt idx="1153">
                  <c:v>OCT.24</c:v>
                </c:pt>
                <c:pt idx="1154">
                  <c:v>OCT.24</c:v>
                </c:pt>
                <c:pt idx="1155">
                  <c:v>OCT.24</c:v>
                </c:pt>
                <c:pt idx="1156">
                  <c:v>OCT.24</c:v>
                </c:pt>
                <c:pt idx="1157">
                  <c:v>OCT.24</c:v>
                </c:pt>
                <c:pt idx="1158">
                  <c:v>OCT.24</c:v>
                </c:pt>
                <c:pt idx="1159">
                  <c:v>OCT.24</c:v>
                </c:pt>
                <c:pt idx="1160">
                  <c:v>OCT.24</c:v>
                </c:pt>
                <c:pt idx="1161">
                  <c:v>OCT.24</c:v>
                </c:pt>
                <c:pt idx="1162">
                  <c:v>OCT.24</c:v>
                </c:pt>
                <c:pt idx="1163">
                  <c:v>OCT.24</c:v>
                </c:pt>
                <c:pt idx="1164">
                  <c:v>OCT.24</c:v>
                </c:pt>
                <c:pt idx="1165">
                  <c:v>OCT.24</c:v>
                </c:pt>
                <c:pt idx="1166">
                  <c:v>OCT.24</c:v>
                </c:pt>
                <c:pt idx="1167">
                  <c:v>OCT.24</c:v>
                </c:pt>
                <c:pt idx="1168">
                  <c:v>OCT.24</c:v>
                </c:pt>
                <c:pt idx="1169">
                  <c:v>OCT.24</c:v>
                </c:pt>
                <c:pt idx="1170">
                  <c:v>OCT.24</c:v>
                </c:pt>
                <c:pt idx="1171">
                  <c:v>OCT.24</c:v>
                </c:pt>
                <c:pt idx="1172">
                  <c:v>OCT.24</c:v>
                </c:pt>
                <c:pt idx="1173">
                  <c:v>OCT.24</c:v>
                </c:pt>
                <c:pt idx="1174">
                  <c:v>OCT.24</c:v>
                </c:pt>
                <c:pt idx="1175">
                  <c:v>OCT.24</c:v>
                </c:pt>
                <c:pt idx="1176">
                  <c:v>OCT.24</c:v>
                </c:pt>
                <c:pt idx="1177">
                  <c:v>OCT.24</c:v>
                </c:pt>
                <c:pt idx="1178">
                  <c:v>OCT.24</c:v>
                </c:pt>
                <c:pt idx="1179">
                  <c:v>OCT.24</c:v>
                </c:pt>
                <c:pt idx="1180">
                  <c:v>OCT.24</c:v>
                </c:pt>
                <c:pt idx="1181">
                  <c:v>OCT.24</c:v>
                </c:pt>
                <c:pt idx="1182">
                  <c:v>OCT.24</c:v>
                </c:pt>
                <c:pt idx="1183">
                  <c:v>OCT.24</c:v>
                </c:pt>
                <c:pt idx="1184">
                  <c:v>OCT.24</c:v>
                </c:pt>
                <c:pt idx="1185">
                  <c:v>OCT.24</c:v>
                </c:pt>
                <c:pt idx="1186">
                  <c:v>OCT.24</c:v>
                </c:pt>
                <c:pt idx="1187">
                  <c:v>OCT.24</c:v>
                </c:pt>
                <c:pt idx="1188">
                  <c:v>OCT.24</c:v>
                </c:pt>
                <c:pt idx="1189">
                  <c:v>OCT.24</c:v>
                </c:pt>
                <c:pt idx="1190">
                  <c:v>OCT.24</c:v>
                </c:pt>
                <c:pt idx="1191">
                  <c:v>OCT.24</c:v>
                </c:pt>
                <c:pt idx="1192">
                  <c:v>OCT.24</c:v>
                </c:pt>
                <c:pt idx="1193">
                  <c:v>OCT.24</c:v>
                </c:pt>
                <c:pt idx="1194">
                  <c:v>OCT.24</c:v>
                </c:pt>
                <c:pt idx="1195">
                  <c:v>OCT.24</c:v>
                </c:pt>
                <c:pt idx="1196">
                  <c:v>OCT.24</c:v>
                </c:pt>
                <c:pt idx="1197">
                  <c:v>OCT.24</c:v>
                </c:pt>
                <c:pt idx="1198">
                  <c:v>OCT.24</c:v>
                </c:pt>
                <c:pt idx="1199">
                  <c:v>OCT.24</c:v>
                </c:pt>
                <c:pt idx="1200">
                  <c:v>OCT.24</c:v>
                </c:pt>
                <c:pt idx="1201">
                  <c:v>OCT.24</c:v>
                </c:pt>
                <c:pt idx="1202">
                  <c:v>OCT.24</c:v>
                </c:pt>
                <c:pt idx="1203">
                  <c:v>OCT.24</c:v>
                </c:pt>
                <c:pt idx="1204">
                  <c:v>OCT.24</c:v>
                </c:pt>
                <c:pt idx="1205">
                  <c:v>OCT.24</c:v>
                </c:pt>
                <c:pt idx="1206">
                  <c:v>OCT.24</c:v>
                </c:pt>
                <c:pt idx="1207">
                  <c:v>OCT.24</c:v>
                </c:pt>
                <c:pt idx="1208">
                  <c:v>OCT.24</c:v>
                </c:pt>
                <c:pt idx="1209">
                  <c:v>OCT.24</c:v>
                </c:pt>
                <c:pt idx="1210">
                  <c:v>OCT.24</c:v>
                </c:pt>
                <c:pt idx="1211">
                  <c:v>OCT.24</c:v>
                </c:pt>
                <c:pt idx="1212">
                  <c:v>OCT.24</c:v>
                </c:pt>
                <c:pt idx="1213">
                  <c:v>OCT.24</c:v>
                </c:pt>
                <c:pt idx="1214">
                  <c:v>November24 live EPILOGUE 1</c:v>
                </c:pt>
                <c:pt idx="1215">
                  <c:v>NOV.24</c:v>
                </c:pt>
                <c:pt idx="1216">
                  <c:v>NOV.24</c:v>
                </c:pt>
                <c:pt idx="1217">
                  <c:v>NOV.24</c:v>
                </c:pt>
                <c:pt idx="1218">
                  <c:v>NOV.24</c:v>
                </c:pt>
                <c:pt idx="1219">
                  <c:v>NOV.24</c:v>
                </c:pt>
                <c:pt idx="1220">
                  <c:v>NOV.24</c:v>
                </c:pt>
                <c:pt idx="1221">
                  <c:v>NOV.24</c:v>
                </c:pt>
                <c:pt idx="1222">
                  <c:v>NOV.24</c:v>
                </c:pt>
                <c:pt idx="1223">
                  <c:v>NOV.24</c:v>
                </c:pt>
                <c:pt idx="1224">
                  <c:v>NOV.24</c:v>
                </c:pt>
                <c:pt idx="1225">
                  <c:v>NOV.24</c:v>
                </c:pt>
                <c:pt idx="1226">
                  <c:v>NOV.24</c:v>
                </c:pt>
                <c:pt idx="1227">
                  <c:v>NOV.24</c:v>
                </c:pt>
                <c:pt idx="1228">
                  <c:v>NOV.24</c:v>
                </c:pt>
                <c:pt idx="1229">
                  <c:v>NOV.24</c:v>
                </c:pt>
                <c:pt idx="1230">
                  <c:v>NOV.24</c:v>
                </c:pt>
                <c:pt idx="1231">
                  <c:v>NOV.24</c:v>
                </c:pt>
                <c:pt idx="1232">
                  <c:v>NOV.24</c:v>
                </c:pt>
                <c:pt idx="1233">
                  <c:v>NOV.24</c:v>
                </c:pt>
                <c:pt idx="1234">
                  <c:v>NOV.24</c:v>
                </c:pt>
                <c:pt idx="1235">
                  <c:v>NOV.24</c:v>
                </c:pt>
                <c:pt idx="1236">
                  <c:v>NOV.24</c:v>
                </c:pt>
                <c:pt idx="1237">
                  <c:v>NOV.24</c:v>
                </c:pt>
              </c:strCache>
            </c:strRef>
          </c:cat>
          <c:val>
            <c:numRef>
              <c:f>'Journal Live'!$BR$1388:$BR$2630</c:f>
              <c:numCache>
                <c:formatCode>General</c:formatCode>
                <c:ptCount val="1238"/>
                <c:pt idx="0">
                  <c:v>176.00000000000017</c:v>
                </c:pt>
                <c:pt idx="1">
                  <c:v>176.00000000000017</c:v>
                </c:pt>
                <c:pt idx="2">
                  <c:v>176.00000000000017</c:v>
                </c:pt>
                <c:pt idx="3">
                  <c:v>176.00000000000017</c:v>
                </c:pt>
                <c:pt idx="4">
                  <c:v>176.00000000000017</c:v>
                </c:pt>
                <c:pt idx="5">
                  <c:v>432.00000000000017</c:v>
                </c:pt>
                <c:pt idx="6">
                  <c:v>336.00000000000011</c:v>
                </c:pt>
                <c:pt idx="7">
                  <c:v>336.00000000000011</c:v>
                </c:pt>
                <c:pt idx="8">
                  <c:v>336.00000000000011</c:v>
                </c:pt>
                <c:pt idx="9">
                  <c:v>608</c:v>
                </c:pt>
                <c:pt idx="10">
                  <c:v>608</c:v>
                </c:pt>
                <c:pt idx="11">
                  <c:v>608</c:v>
                </c:pt>
                <c:pt idx="12">
                  <c:v>800.00000000000023</c:v>
                </c:pt>
                <c:pt idx="13">
                  <c:v>800.00000000000023</c:v>
                </c:pt>
                <c:pt idx="14">
                  <c:v>800.00000000000023</c:v>
                </c:pt>
                <c:pt idx="15">
                  <c:v>1376.0000000000002</c:v>
                </c:pt>
                <c:pt idx="16">
                  <c:v>1376.0000000000002</c:v>
                </c:pt>
                <c:pt idx="17">
                  <c:v>1376.0000000000002</c:v>
                </c:pt>
                <c:pt idx="18">
                  <c:v>1376.0000000000002</c:v>
                </c:pt>
                <c:pt idx="19">
                  <c:v>1376.0000000000002</c:v>
                </c:pt>
                <c:pt idx="20">
                  <c:v>1376.0000000000002</c:v>
                </c:pt>
                <c:pt idx="21">
                  <c:v>1376.0000000000002</c:v>
                </c:pt>
                <c:pt idx="22">
                  <c:v>1376.0000000000002</c:v>
                </c:pt>
                <c:pt idx="23">
                  <c:v>1376.0000000000002</c:v>
                </c:pt>
                <c:pt idx="24">
                  <c:v>1376.0000000000002</c:v>
                </c:pt>
                <c:pt idx="25">
                  <c:v>1504.0000000000002</c:v>
                </c:pt>
                <c:pt idx="26">
                  <c:v>1776.0000000000002</c:v>
                </c:pt>
                <c:pt idx="27">
                  <c:v>1776.0000000000002</c:v>
                </c:pt>
                <c:pt idx="28">
                  <c:v>1776.0000000000002</c:v>
                </c:pt>
                <c:pt idx="29">
                  <c:v>1776.0000000000002</c:v>
                </c:pt>
                <c:pt idx="30">
                  <c:v>1776.0000000000002</c:v>
                </c:pt>
                <c:pt idx="31">
                  <c:v>1776.0000000000002</c:v>
                </c:pt>
                <c:pt idx="32">
                  <c:v>1776.0000000000002</c:v>
                </c:pt>
                <c:pt idx="33">
                  <c:v>1776.0000000000002</c:v>
                </c:pt>
                <c:pt idx="34">
                  <c:v>1776.0000000000002</c:v>
                </c:pt>
                <c:pt idx="35">
                  <c:v>2064.0000000000005</c:v>
                </c:pt>
                <c:pt idx="36">
                  <c:v>2064.0000000000005</c:v>
                </c:pt>
                <c:pt idx="37">
                  <c:v>2448.0000000000009</c:v>
                </c:pt>
                <c:pt idx="38">
                  <c:v>2448.0000000000009</c:v>
                </c:pt>
                <c:pt idx="39">
                  <c:v>2448.0000000000009</c:v>
                </c:pt>
                <c:pt idx="40">
                  <c:v>1008.0000000000011</c:v>
                </c:pt>
                <c:pt idx="41">
                  <c:v>1104.0000000000007</c:v>
                </c:pt>
                <c:pt idx="42">
                  <c:v>1200.0000000000007</c:v>
                </c:pt>
                <c:pt idx="43">
                  <c:v>1200.0000000000007</c:v>
                </c:pt>
                <c:pt idx="44">
                  <c:v>1200.0000000000007</c:v>
                </c:pt>
                <c:pt idx="45">
                  <c:v>1200.0000000000007</c:v>
                </c:pt>
                <c:pt idx="46">
                  <c:v>1200.0000000000007</c:v>
                </c:pt>
                <c:pt idx="47">
                  <c:v>1814.4000000000005</c:v>
                </c:pt>
                <c:pt idx="48">
                  <c:v>1814.4000000000005</c:v>
                </c:pt>
                <c:pt idx="49">
                  <c:v>2598.4000000000005</c:v>
                </c:pt>
                <c:pt idx="50">
                  <c:v>2598.4000000000005</c:v>
                </c:pt>
                <c:pt idx="51">
                  <c:v>2598.4000000000005</c:v>
                </c:pt>
                <c:pt idx="52">
                  <c:v>2950.400000000001</c:v>
                </c:pt>
                <c:pt idx="53">
                  <c:v>2950.400000000001</c:v>
                </c:pt>
                <c:pt idx="54">
                  <c:v>2950.400000000001</c:v>
                </c:pt>
                <c:pt idx="55">
                  <c:v>2950.400000000001</c:v>
                </c:pt>
                <c:pt idx="56">
                  <c:v>2950.400000000001</c:v>
                </c:pt>
                <c:pt idx="57">
                  <c:v>2950.400000000001</c:v>
                </c:pt>
                <c:pt idx="58">
                  <c:v>2950.400000000001</c:v>
                </c:pt>
                <c:pt idx="59">
                  <c:v>2950.400000000001</c:v>
                </c:pt>
                <c:pt idx="60">
                  <c:v>3030.400000000001</c:v>
                </c:pt>
                <c:pt idx="61">
                  <c:v>3222.400000000001</c:v>
                </c:pt>
                <c:pt idx="62">
                  <c:v>3478.400000000001</c:v>
                </c:pt>
                <c:pt idx="63">
                  <c:v>3990.4000000000005</c:v>
                </c:pt>
                <c:pt idx="64">
                  <c:v>3990.4000000000005</c:v>
                </c:pt>
                <c:pt idx="65">
                  <c:v>3990.4000000000005</c:v>
                </c:pt>
                <c:pt idx="66">
                  <c:v>3990.4000000000005</c:v>
                </c:pt>
                <c:pt idx="67">
                  <c:v>3990.4000000000005</c:v>
                </c:pt>
                <c:pt idx="68">
                  <c:v>3990.4000000000005</c:v>
                </c:pt>
                <c:pt idx="69">
                  <c:v>3990.4000000000005</c:v>
                </c:pt>
                <c:pt idx="70">
                  <c:v>4342.4000000000005</c:v>
                </c:pt>
                <c:pt idx="71">
                  <c:v>4422.4000000000005</c:v>
                </c:pt>
                <c:pt idx="72">
                  <c:v>4422.4000000000005</c:v>
                </c:pt>
                <c:pt idx="73">
                  <c:v>4422.4000000000005</c:v>
                </c:pt>
                <c:pt idx="74">
                  <c:v>4422.4000000000005</c:v>
                </c:pt>
                <c:pt idx="75">
                  <c:v>4422.4000000000005</c:v>
                </c:pt>
                <c:pt idx="76">
                  <c:v>4422.4000000000005</c:v>
                </c:pt>
                <c:pt idx="77">
                  <c:v>4422.4000000000005</c:v>
                </c:pt>
                <c:pt idx="78">
                  <c:v>4422.4000000000005</c:v>
                </c:pt>
                <c:pt idx="79">
                  <c:v>4422.4000000000005</c:v>
                </c:pt>
                <c:pt idx="80">
                  <c:v>4828.3999999999614</c:v>
                </c:pt>
                <c:pt idx="81">
                  <c:v>4828.3999999999614</c:v>
                </c:pt>
                <c:pt idx="82">
                  <c:v>4908.3999999999614</c:v>
                </c:pt>
                <c:pt idx="83">
                  <c:v>4908.3999999999614</c:v>
                </c:pt>
                <c:pt idx="84">
                  <c:v>4988.3999999999623</c:v>
                </c:pt>
                <c:pt idx="85">
                  <c:v>4988.3999999999623</c:v>
                </c:pt>
                <c:pt idx="86">
                  <c:v>4988.3999999999623</c:v>
                </c:pt>
                <c:pt idx="87">
                  <c:v>4988.3999999999623</c:v>
                </c:pt>
                <c:pt idx="88">
                  <c:v>4988.3999999999623</c:v>
                </c:pt>
                <c:pt idx="89">
                  <c:v>4988.3999999999623</c:v>
                </c:pt>
                <c:pt idx="90">
                  <c:v>4988.3999999999623</c:v>
                </c:pt>
                <c:pt idx="91">
                  <c:v>5068.3999999999623</c:v>
                </c:pt>
                <c:pt idx="92">
                  <c:v>5028.3999999999705</c:v>
                </c:pt>
                <c:pt idx="93">
                  <c:v>5028.3999999999705</c:v>
                </c:pt>
                <c:pt idx="94">
                  <c:v>5028.3999999999705</c:v>
                </c:pt>
                <c:pt idx="95">
                  <c:v>6980.3999999999705</c:v>
                </c:pt>
                <c:pt idx="96">
                  <c:v>6980.3999999999705</c:v>
                </c:pt>
                <c:pt idx="97">
                  <c:v>6980.3999999999705</c:v>
                </c:pt>
                <c:pt idx="98">
                  <c:v>6980.3999999999705</c:v>
                </c:pt>
                <c:pt idx="99">
                  <c:v>7026.7999999998628</c:v>
                </c:pt>
                <c:pt idx="100">
                  <c:v>7378.7999999998628</c:v>
                </c:pt>
                <c:pt idx="101">
                  <c:v>7378.7999999998628</c:v>
                </c:pt>
                <c:pt idx="102">
                  <c:v>7378.7999999998628</c:v>
                </c:pt>
                <c:pt idx="103">
                  <c:v>7378.7999999998628</c:v>
                </c:pt>
                <c:pt idx="104">
                  <c:v>7378.7999999998628</c:v>
                </c:pt>
                <c:pt idx="105">
                  <c:v>7378.7999999998628</c:v>
                </c:pt>
                <c:pt idx="106">
                  <c:v>7570.7999999996882</c:v>
                </c:pt>
                <c:pt idx="107">
                  <c:v>7826.7999999996882</c:v>
                </c:pt>
                <c:pt idx="108">
                  <c:v>7826.7999999996882</c:v>
                </c:pt>
                <c:pt idx="109">
                  <c:v>8530.7999999996882</c:v>
                </c:pt>
                <c:pt idx="110">
                  <c:v>9042.7999999996882</c:v>
                </c:pt>
                <c:pt idx="111">
                  <c:v>9042.7999999996882</c:v>
                </c:pt>
                <c:pt idx="112">
                  <c:v>9042.7999999996882</c:v>
                </c:pt>
                <c:pt idx="113">
                  <c:v>9042.7999999996882</c:v>
                </c:pt>
                <c:pt idx="114">
                  <c:v>9042.7999999996882</c:v>
                </c:pt>
                <c:pt idx="115">
                  <c:v>9042.7999999996882</c:v>
                </c:pt>
                <c:pt idx="116">
                  <c:v>9042.7999999996882</c:v>
                </c:pt>
                <c:pt idx="117">
                  <c:v>9042.7999999996882</c:v>
                </c:pt>
                <c:pt idx="118">
                  <c:v>9042.7999999996882</c:v>
                </c:pt>
                <c:pt idx="119">
                  <c:v>9042.7999999996882</c:v>
                </c:pt>
                <c:pt idx="120">
                  <c:v>9042.7999999996882</c:v>
                </c:pt>
                <c:pt idx="121">
                  <c:v>9042.7999999996882</c:v>
                </c:pt>
                <c:pt idx="122">
                  <c:v>9042.7999999996882</c:v>
                </c:pt>
                <c:pt idx="123">
                  <c:v>9042.7999999996882</c:v>
                </c:pt>
                <c:pt idx="124">
                  <c:v>9042.7999999996882</c:v>
                </c:pt>
                <c:pt idx="125">
                  <c:v>9042.7999999996882</c:v>
                </c:pt>
                <c:pt idx="126">
                  <c:v>9042.7999999996882</c:v>
                </c:pt>
                <c:pt idx="127">
                  <c:v>9042.7999999996882</c:v>
                </c:pt>
                <c:pt idx="128">
                  <c:v>9042.7999999996882</c:v>
                </c:pt>
                <c:pt idx="129">
                  <c:v>9042.7999999996882</c:v>
                </c:pt>
                <c:pt idx="130">
                  <c:v>9042.7999999996882</c:v>
                </c:pt>
                <c:pt idx="131">
                  <c:v>9042.7999999996882</c:v>
                </c:pt>
                <c:pt idx="132">
                  <c:v>9042.7999999996882</c:v>
                </c:pt>
                <c:pt idx="133">
                  <c:v>8886.1999999996824</c:v>
                </c:pt>
                <c:pt idx="134">
                  <c:v>8886.1999999996824</c:v>
                </c:pt>
                <c:pt idx="135">
                  <c:v>8886.1999999996824</c:v>
                </c:pt>
                <c:pt idx="136">
                  <c:v>8886.1999999996824</c:v>
                </c:pt>
                <c:pt idx="137">
                  <c:v>8582.1999999996824</c:v>
                </c:pt>
                <c:pt idx="138">
                  <c:v>8582.1999999996824</c:v>
                </c:pt>
                <c:pt idx="139">
                  <c:v>8774.1999999996824</c:v>
                </c:pt>
                <c:pt idx="140">
                  <c:v>9668.1999999996824</c:v>
                </c:pt>
                <c:pt idx="141">
                  <c:v>9956.1999999996824</c:v>
                </c:pt>
                <c:pt idx="142">
                  <c:v>9956.1999999996824</c:v>
                </c:pt>
                <c:pt idx="143">
                  <c:v>9956.1999999996824</c:v>
                </c:pt>
                <c:pt idx="144">
                  <c:v>9956.1999999996824</c:v>
                </c:pt>
                <c:pt idx="145">
                  <c:v>9956.1999999996824</c:v>
                </c:pt>
                <c:pt idx="146">
                  <c:v>9956.1999999996824</c:v>
                </c:pt>
                <c:pt idx="147">
                  <c:v>9956.1999999996824</c:v>
                </c:pt>
                <c:pt idx="148">
                  <c:v>9956.1999999996824</c:v>
                </c:pt>
                <c:pt idx="149">
                  <c:v>9956.1999999996824</c:v>
                </c:pt>
                <c:pt idx="150">
                  <c:v>9985.1999999996551</c:v>
                </c:pt>
                <c:pt idx="151">
                  <c:v>9898.1999999996515</c:v>
                </c:pt>
                <c:pt idx="152">
                  <c:v>10186.199999999651</c:v>
                </c:pt>
                <c:pt idx="153">
                  <c:v>10522.199999999651</c:v>
                </c:pt>
                <c:pt idx="154">
                  <c:v>10522.199999999651</c:v>
                </c:pt>
                <c:pt idx="155">
                  <c:v>10602.199999999651</c:v>
                </c:pt>
                <c:pt idx="156">
                  <c:v>10602.199999999651</c:v>
                </c:pt>
                <c:pt idx="157">
                  <c:v>13034.199999999651</c:v>
                </c:pt>
                <c:pt idx="158">
                  <c:v>13034.199999999651</c:v>
                </c:pt>
                <c:pt idx="159">
                  <c:v>13034.199999999651</c:v>
                </c:pt>
                <c:pt idx="160">
                  <c:v>13034.199999999651</c:v>
                </c:pt>
                <c:pt idx="161">
                  <c:v>13034.199999999651</c:v>
                </c:pt>
                <c:pt idx="162">
                  <c:v>13034.199999999651</c:v>
                </c:pt>
                <c:pt idx="163">
                  <c:v>13080.599999999544</c:v>
                </c:pt>
                <c:pt idx="164">
                  <c:v>13080.599999999544</c:v>
                </c:pt>
                <c:pt idx="165">
                  <c:v>13752.599999999544</c:v>
                </c:pt>
                <c:pt idx="166">
                  <c:v>14072.599999999544</c:v>
                </c:pt>
                <c:pt idx="167">
                  <c:v>14072.599999999544</c:v>
                </c:pt>
                <c:pt idx="168">
                  <c:v>14072.599999999544</c:v>
                </c:pt>
                <c:pt idx="169">
                  <c:v>14072.599999999544</c:v>
                </c:pt>
                <c:pt idx="170">
                  <c:v>14101.599999999518</c:v>
                </c:pt>
                <c:pt idx="171">
                  <c:v>14181.599999999518</c:v>
                </c:pt>
                <c:pt idx="172">
                  <c:v>14469.599999999517</c:v>
                </c:pt>
                <c:pt idx="173">
                  <c:v>14469.599999999517</c:v>
                </c:pt>
                <c:pt idx="174">
                  <c:v>14469.599999999517</c:v>
                </c:pt>
                <c:pt idx="175">
                  <c:v>14469.599999999517</c:v>
                </c:pt>
                <c:pt idx="176">
                  <c:v>14469.599999999517</c:v>
                </c:pt>
                <c:pt idx="177">
                  <c:v>15621.599999999517</c:v>
                </c:pt>
                <c:pt idx="178">
                  <c:v>15621.599999999517</c:v>
                </c:pt>
                <c:pt idx="179">
                  <c:v>12439.799999999701</c:v>
                </c:pt>
                <c:pt idx="180">
                  <c:v>15621.599999999517</c:v>
                </c:pt>
                <c:pt idx="181">
                  <c:v>15621.599999999517</c:v>
                </c:pt>
                <c:pt idx="182">
                  <c:v>15621.599999999517</c:v>
                </c:pt>
                <c:pt idx="183">
                  <c:v>15621.599999999517</c:v>
                </c:pt>
                <c:pt idx="184">
                  <c:v>16920.799999999785</c:v>
                </c:pt>
                <c:pt idx="185">
                  <c:v>15128.799999999785</c:v>
                </c:pt>
                <c:pt idx="186">
                  <c:v>15224.799999999781</c:v>
                </c:pt>
                <c:pt idx="187">
                  <c:v>15224.799999999781</c:v>
                </c:pt>
                <c:pt idx="188">
                  <c:v>15224.799999999781</c:v>
                </c:pt>
                <c:pt idx="189">
                  <c:v>15224.799999999781</c:v>
                </c:pt>
                <c:pt idx="190">
                  <c:v>15224.799999999781</c:v>
                </c:pt>
                <c:pt idx="191">
                  <c:v>15224.799999999781</c:v>
                </c:pt>
                <c:pt idx="192">
                  <c:v>13843.799999999701</c:v>
                </c:pt>
                <c:pt idx="193">
                  <c:v>15224.799999999781</c:v>
                </c:pt>
                <c:pt idx="194">
                  <c:v>15224.799999999781</c:v>
                </c:pt>
                <c:pt idx="195">
                  <c:v>13624.799999999781</c:v>
                </c:pt>
                <c:pt idx="196">
                  <c:v>13624.799999999781</c:v>
                </c:pt>
                <c:pt idx="197">
                  <c:v>13624.799999999781</c:v>
                </c:pt>
                <c:pt idx="198">
                  <c:v>13843.799999999701</c:v>
                </c:pt>
                <c:pt idx="199">
                  <c:v>13336.799999999781</c:v>
                </c:pt>
                <c:pt idx="200">
                  <c:v>13423.799999999701</c:v>
                </c:pt>
                <c:pt idx="201">
                  <c:v>13723.799999999701</c:v>
                </c:pt>
                <c:pt idx="202">
                  <c:v>14323.799999999701</c:v>
                </c:pt>
                <c:pt idx="203">
                  <c:v>14867.799999999701</c:v>
                </c:pt>
                <c:pt idx="204">
                  <c:v>13843.799999999701</c:v>
                </c:pt>
                <c:pt idx="205">
                  <c:v>13843.799999999701</c:v>
                </c:pt>
                <c:pt idx="206">
                  <c:v>13843.799999999701</c:v>
                </c:pt>
                <c:pt idx="207">
                  <c:v>13843.799999999701</c:v>
                </c:pt>
                <c:pt idx="208">
                  <c:v>12803.799999999701</c:v>
                </c:pt>
                <c:pt idx="209">
                  <c:v>13923.799999999701</c:v>
                </c:pt>
                <c:pt idx="210">
                  <c:v>13923.799999999701</c:v>
                </c:pt>
                <c:pt idx="211">
                  <c:v>14003.799999999701</c:v>
                </c:pt>
                <c:pt idx="212">
                  <c:v>14083.799999999701</c:v>
                </c:pt>
                <c:pt idx="213">
                  <c:v>14083.799999999701</c:v>
                </c:pt>
                <c:pt idx="214">
                  <c:v>14083.799999999701</c:v>
                </c:pt>
                <c:pt idx="215">
                  <c:v>14083.799999999701</c:v>
                </c:pt>
                <c:pt idx="216">
                  <c:v>14083.799999999701</c:v>
                </c:pt>
                <c:pt idx="217">
                  <c:v>14083.799999999701</c:v>
                </c:pt>
                <c:pt idx="218">
                  <c:v>14083.799999999701</c:v>
                </c:pt>
                <c:pt idx="219">
                  <c:v>14083.799999999701</c:v>
                </c:pt>
                <c:pt idx="220">
                  <c:v>14163.799999999701</c:v>
                </c:pt>
                <c:pt idx="221">
                  <c:v>14003.799999999701</c:v>
                </c:pt>
                <c:pt idx="222">
                  <c:v>12803.799999999701</c:v>
                </c:pt>
                <c:pt idx="223">
                  <c:v>14163.799999999701</c:v>
                </c:pt>
                <c:pt idx="224">
                  <c:v>14003.799999999701</c:v>
                </c:pt>
                <c:pt idx="225">
                  <c:v>12803.799999999701</c:v>
                </c:pt>
                <c:pt idx="226">
                  <c:v>12759.799999999701</c:v>
                </c:pt>
                <c:pt idx="227">
                  <c:v>12759.799999999701</c:v>
                </c:pt>
                <c:pt idx="228">
                  <c:v>12759.799999999701</c:v>
                </c:pt>
                <c:pt idx="229">
                  <c:v>12759.799999999701</c:v>
                </c:pt>
                <c:pt idx="230">
                  <c:v>12439.799999999701</c:v>
                </c:pt>
                <c:pt idx="231">
                  <c:v>12759.799999999701</c:v>
                </c:pt>
                <c:pt idx="232">
                  <c:v>12279.799999999701</c:v>
                </c:pt>
                <c:pt idx="233">
                  <c:v>12759.799999999701</c:v>
                </c:pt>
                <c:pt idx="234">
                  <c:v>12759.799999999701</c:v>
                </c:pt>
                <c:pt idx="235">
                  <c:v>12759.799999999701</c:v>
                </c:pt>
                <c:pt idx="236">
                  <c:v>12759.799999999701</c:v>
                </c:pt>
                <c:pt idx="237">
                  <c:v>12759.799999999701</c:v>
                </c:pt>
                <c:pt idx="238">
                  <c:v>12759.799999999701</c:v>
                </c:pt>
                <c:pt idx="239">
                  <c:v>12759.799999999701</c:v>
                </c:pt>
                <c:pt idx="240">
                  <c:v>12759.799999999701</c:v>
                </c:pt>
                <c:pt idx="241">
                  <c:v>12759.799999999701</c:v>
                </c:pt>
                <c:pt idx="242">
                  <c:v>12279.799999999701</c:v>
                </c:pt>
                <c:pt idx="243">
                  <c:v>12439.799999999701</c:v>
                </c:pt>
                <c:pt idx="244">
                  <c:v>12439.799999999701</c:v>
                </c:pt>
                <c:pt idx="245">
                  <c:v>12439.799999999701</c:v>
                </c:pt>
                <c:pt idx="246">
                  <c:v>12439.799999999701</c:v>
                </c:pt>
                <c:pt idx="247">
                  <c:v>12439.799999999701</c:v>
                </c:pt>
                <c:pt idx="248">
                  <c:v>12439.799999999701</c:v>
                </c:pt>
                <c:pt idx="249">
                  <c:v>12439.799999999701</c:v>
                </c:pt>
                <c:pt idx="250">
                  <c:v>12439.799999999701</c:v>
                </c:pt>
                <c:pt idx="251">
                  <c:v>12439.799999999701</c:v>
                </c:pt>
                <c:pt idx="252">
                  <c:v>12439.799999999701</c:v>
                </c:pt>
                <c:pt idx="253">
                  <c:v>12439.799999999701</c:v>
                </c:pt>
                <c:pt idx="254">
                  <c:v>12439.799999999701</c:v>
                </c:pt>
                <c:pt idx="255">
                  <c:v>12439.799999999701</c:v>
                </c:pt>
                <c:pt idx="256">
                  <c:v>12439.799999999701</c:v>
                </c:pt>
                <c:pt idx="257">
                  <c:v>12439.799999999701</c:v>
                </c:pt>
                <c:pt idx="258">
                  <c:v>12439.799999999701</c:v>
                </c:pt>
                <c:pt idx="259">
                  <c:v>12439.799999999701</c:v>
                </c:pt>
                <c:pt idx="260">
                  <c:v>13239.799999999701</c:v>
                </c:pt>
                <c:pt idx="261">
                  <c:v>13239.799999999701</c:v>
                </c:pt>
                <c:pt idx="262">
                  <c:v>13239.799999999701</c:v>
                </c:pt>
                <c:pt idx="263">
                  <c:v>13239.799999999701</c:v>
                </c:pt>
                <c:pt idx="264">
                  <c:v>13239.799999999701</c:v>
                </c:pt>
                <c:pt idx="265">
                  <c:v>13239.799999999701</c:v>
                </c:pt>
                <c:pt idx="266">
                  <c:v>15799.799999999701</c:v>
                </c:pt>
                <c:pt idx="267">
                  <c:v>15799.799999999701</c:v>
                </c:pt>
                <c:pt idx="268">
                  <c:v>15799.799999999701</c:v>
                </c:pt>
                <c:pt idx="269">
                  <c:v>15799.799999999701</c:v>
                </c:pt>
                <c:pt idx="270">
                  <c:v>15799.799999999701</c:v>
                </c:pt>
                <c:pt idx="271">
                  <c:v>15799.799999999701</c:v>
                </c:pt>
                <c:pt idx="272">
                  <c:v>15799.799999999701</c:v>
                </c:pt>
                <c:pt idx="273">
                  <c:v>15799.799999999701</c:v>
                </c:pt>
                <c:pt idx="274">
                  <c:v>15799.799999999701</c:v>
                </c:pt>
                <c:pt idx="275">
                  <c:v>15823.799999999699</c:v>
                </c:pt>
                <c:pt idx="276">
                  <c:v>15823.799999999699</c:v>
                </c:pt>
                <c:pt idx="277">
                  <c:v>15823.799999999699</c:v>
                </c:pt>
                <c:pt idx="278">
                  <c:v>15823.799999999699</c:v>
                </c:pt>
                <c:pt idx="279">
                  <c:v>15823.799999999699</c:v>
                </c:pt>
                <c:pt idx="280">
                  <c:v>16303.799999999701</c:v>
                </c:pt>
                <c:pt idx="281">
                  <c:v>16303.799999999701</c:v>
                </c:pt>
                <c:pt idx="282">
                  <c:v>16303.799999999701</c:v>
                </c:pt>
                <c:pt idx="283">
                  <c:v>15932.599999999908</c:v>
                </c:pt>
                <c:pt idx="284">
                  <c:v>15915.199999999906</c:v>
                </c:pt>
                <c:pt idx="285">
                  <c:v>15915.199999999906</c:v>
                </c:pt>
                <c:pt idx="286">
                  <c:v>15915.199999999906</c:v>
                </c:pt>
                <c:pt idx="287">
                  <c:v>15915.199999999906</c:v>
                </c:pt>
                <c:pt idx="288">
                  <c:v>15915.199999999906</c:v>
                </c:pt>
                <c:pt idx="289">
                  <c:v>19035.199999999906</c:v>
                </c:pt>
                <c:pt idx="290">
                  <c:v>19035.199999999906</c:v>
                </c:pt>
                <c:pt idx="291">
                  <c:v>19035.199999999906</c:v>
                </c:pt>
                <c:pt idx="292">
                  <c:v>19035.199999999906</c:v>
                </c:pt>
                <c:pt idx="293">
                  <c:v>19035.199999999906</c:v>
                </c:pt>
                <c:pt idx="294">
                  <c:v>19064.199999999881</c:v>
                </c:pt>
                <c:pt idx="295">
                  <c:v>18584.199999999862</c:v>
                </c:pt>
                <c:pt idx="296">
                  <c:v>18584.199999999862</c:v>
                </c:pt>
                <c:pt idx="297">
                  <c:v>18584.199999999862</c:v>
                </c:pt>
                <c:pt idx="298">
                  <c:v>18584.199999999862</c:v>
                </c:pt>
                <c:pt idx="299">
                  <c:v>18584.199999999862</c:v>
                </c:pt>
                <c:pt idx="300">
                  <c:v>18584.199999999862</c:v>
                </c:pt>
                <c:pt idx="301">
                  <c:v>18584.199999999862</c:v>
                </c:pt>
                <c:pt idx="302">
                  <c:v>18584.199999999862</c:v>
                </c:pt>
                <c:pt idx="303">
                  <c:v>18653.799999999865</c:v>
                </c:pt>
                <c:pt idx="304">
                  <c:v>19053.800000000068</c:v>
                </c:pt>
                <c:pt idx="305">
                  <c:v>19053.800000000068</c:v>
                </c:pt>
                <c:pt idx="306">
                  <c:v>19053.800000000068</c:v>
                </c:pt>
                <c:pt idx="307">
                  <c:v>19053.800000000068</c:v>
                </c:pt>
                <c:pt idx="308">
                  <c:v>19053.800000000068</c:v>
                </c:pt>
                <c:pt idx="309">
                  <c:v>19053.800000000068</c:v>
                </c:pt>
                <c:pt idx="310">
                  <c:v>19262.600000000075</c:v>
                </c:pt>
                <c:pt idx="311">
                  <c:v>19262.600000000075</c:v>
                </c:pt>
                <c:pt idx="312">
                  <c:v>19726.600000000075</c:v>
                </c:pt>
                <c:pt idx="313">
                  <c:v>19726.600000000075</c:v>
                </c:pt>
                <c:pt idx="314">
                  <c:v>19806.600000000075</c:v>
                </c:pt>
                <c:pt idx="315">
                  <c:v>19545.600000000064</c:v>
                </c:pt>
                <c:pt idx="316">
                  <c:v>19545.600000000064</c:v>
                </c:pt>
                <c:pt idx="317">
                  <c:v>19545.600000000064</c:v>
                </c:pt>
                <c:pt idx="318">
                  <c:v>19545.600000000064</c:v>
                </c:pt>
                <c:pt idx="319">
                  <c:v>19545.600000000064</c:v>
                </c:pt>
                <c:pt idx="320">
                  <c:v>19545.600000000064</c:v>
                </c:pt>
                <c:pt idx="321">
                  <c:v>19545.600000000064</c:v>
                </c:pt>
                <c:pt idx="322">
                  <c:v>19545.600000000064</c:v>
                </c:pt>
                <c:pt idx="323">
                  <c:v>19545.600000000064</c:v>
                </c:pt>
                <c:pt idx="324">
                  <c:v>19545.600000000064</c:v>
                </c:pt>
                <c:pt idx="325">
                  <c:v>19545.600000000064</c:v>
                </c:pt>
                <c:pt idx="326">
                  <c:v>19545.600000000064</c:v>
                </c:pt>
                <c:pt idx="327">
                  <c:v>19545.600000000064</c:v>
                </c:pt>
                <c:pt idx="328">
                  <c:v>20265.600000000064</c:v>
                </c:pt>
                <c:pt idx="329">
                  <c:v>20345.600000000064</c:v>
                </c:pt>
                <c:pt idx="330">
                  <c:v>20345.600000000064</c:v>
                </c:pt>
                <c:pt idx="331">
                  <c:v>20345.600000000064</c:v>
                </c:pt>
                <c:pt idx="332">
                  <c:v>21865.600000000064</c:v>
                </c:pt>
                <c:pt idx="333">
                  <c:v>21865.600000000064</c:v>
                </c:pt>
                <c:pt idx="334">
                  <c:v>21865.600000000064</c:v>
                </c:pt>
                <c:pt idx="335">
                  <c:v>21865.600000000064</c:v>
                </c:pt>
                <c:pt idx="336">
                  <c:v>21865.600000000064</c:v>
                </c:pt>
                <c:pt idx="337">
                  <c:v>21865.600000000064</c:v>
                </c:pt>
                <c:pt idx="338">
                  <c:v>21865.600000000064</c:v>
                </c:pt>
                <c:pt idx="339">
                  <c:v>21865.600000000064</c:v>
                </c:pt>
                <c:pt idx="340">
                  <c:v>21865.600000000064</c:v>
                </c:pt>
                <c:pt idx="341">
                  <c:v>21865.600000000064</c:v>
                </c:pt>
                <c:pt idx="342">
                  <c:v>21865.600000000064</c:v>
                </c:pt>
                <c:pt idx="343">
                  <c:v>21865.600000000064</c:v>
                </c:pt>
                <c:pt idx="344">
                  <c:v>21865.600000000064</c:v>
                </c:pt>
                <c:pt idx="345">
                  <c:v>21865.600000000064</c:v>
                </c:pt>
                <c:pt idx="346">
                  <c:v>21865.600000000064</c:v>
                </c:pt>
                <c:pt idx="347">
                  <c:v>21865.600000000064</c:v>
                </c:pt>
                <c:pt idx="348">
                  <c:v>21865.600000000064</c:v>
                </c:pt>
                <c:pt idx="349">
                  <c:v>21865.600000000064</c:v>
                </c:pt>
                <c:pt idx="350">
                  <c:v>21865.600000000064</c:v>
                </c:pt>
                <c:pt idx="351">
                  <c:v>21865.600000000064</c:v>
                </c:pt>
                <c:pt idx="352">
                  <c:v>22473.600000000064</c:v>
                </c:pt>
                <c:pt idx="353">
                  <c:v>22473.600000000064</c:v>
                </c:pt>
                <c:pt idx="354">
                  <c:v>22473.600000000064</c:v>
                </c:pt>
                <c:pt idx="355">
                  <c:v>22137.600000000064</c:v>
                </c:pt>
                <c:pt idx="356">
                  <c:v>22457.600000000064</c:v>
                </c:pt>
                <c:pt idx="357">
                  <c:v>22486.600000000039</c:v>
                </c:pt>
                <c:pt idx="358">
                  <c:v>22486.600000000039</c:v>
                </c:pt>
                <c:pt idx="359">
                  <c:v>22486.600000000039</c:v>
                </c:pt>
                <c:pt idx="360">
                  <c:v>22486.600000000039</c:v>
                </c:pt>
                <c:pt idx="361">
                  <c:v>22486.600000000039</c:v>
                </c:pt>
                <c:pt idx="362">
                  <c:v>22486.600000000039</c:v>
                </c:pt>
                <c:pt idx="363">
                  <c:v>22486.600000000039</c:v>
                </c:pt>
                <c:pt idx="364">
                  <c:v>22646.600000000039</c:v>
                </c:pt>
                <c:pt idx="365">
                  <c:v>22646.600000000039</c:v>
                </c:pt>
                <c:pt idx="366">
                  <c:v>22646.600000000039</c:v>
                </c:pt>
                <c:pt idx="367">
                  <c:v>22646.600000000039</c:v>
                </c:pt>
                <c:pt idx="368">
                  <c:v>22326.600000000039</c:v>
                </c:pt>
                <c:pt idx="369">
                  <c:v>22662.600000000039</c:v>
                </c:pt>
                <c:pt idx="370">
                  <c:v>22720.600000000068</c:v>
                </c:pt>
                <c:pt idx="371">
                  <c:v>23280.600000000068</c:v>
                </c:pt>
                <c:pt idx="372">
                  <c:v>24000.600000000068</c:v>
                </c:pt>
                <c:pt idx="373">
                  <c:v>24000.600000000068</c:v>
                </c:pt>
                <c:pt idx="374">
                  <c:v>24000.600000000068</c:v>
                </c:pt>
                <c:pt idx="375">
                  <c:v>24000.600000000068</c:v>
                </c:pt>
                <c:pt idx="376">
                  <c:v>24000.600000000068</c:v>
                </c:pt>
                <c:pt idx="377">
                  <c:v>23878.799999999981</c:v>
                </c:pt>
                <c:pt idx="378">
                  <c:v>23878.799999999981</c:v>
                </c:pt>
                <c:pt idx="379">
                  <c:v>23878.799999999981</c:v>
                </c:pt>
                <c:pt idx="380">
                  <c:v>23878.799999999981</c:v>
                </c:pt>
                <c:pt idx="381">
                  <c:v>24198.799999999981</c:v>
                </c:pt>
                <c:pt idx="382">
                  <c:v>24198.799999999981</c:v>
                </c:pt>
                <c:pt idx="383">
                  <c:v>24198.799999999981</c:v>
                </c:pt>
                <c:pt idx="384">
                  <c:v>24038.799999999981</c:v>
                </c:pt>
                <c:pt idx="385">
                  <c:v>24038.799999999981</c:v>
                </c:pt>
                <c:pt idx="386">
                  <c:v>23718.799999999817</c:v>
                </c:pt>
                <c:pt idx="387">
                  <c:v>23718.799999999817</c:v>
                </c:pt>
                <c:pt idx="388">
                  <c:v>23718.799999999817</c:v>
                </c:pt>
                <c:pt idx="389">
                  <c:v>23718.799999999817</c:v>
                </c:pt>
                <c:pt idx="390">
                  <c:v>24018.799999999817</c:v>
                </c:pt>
                <c:pt idx="391">
                  <c:v>24318.799999999817</c:v>
                </c:pt>
                <c:pt idx="392">
                  <c:v>25061.200000000066</c:v>
                </c:pt>
                <c:pt idx="393">
                  <c:v>24933.200000000092</c:v>
                </c:pt>
                <c:pt idx="394">
                  <c:v>24485.200000000092</c:v>
                </c:pt>
                <c:pt idx="395">
                  <c:v>24933.200000000092</c:v>
                </c:pt>
                <c:pt idx="396">
                  <c:v>24933.200000000092</c:v>
                </c:pt>
                <c:pt idx="397">
                  <c:v>24933.200000000092</c:v>
                </c:pt>
                <c:pt idx="398">
                  <c:v>24933.200000000092</c:v>
                </c:pt>
                <c:pt idx="399">
                  <c:v>23589.200000000092</c:v>
                </c:pt>
                <c:pt idx="400">
                  <c:v>22917.200000000095</c:v>
                </c:pt>
                <c:pt idx="401">
                  <c:v>22917.200000000095</c:v>
                </c:pt>
                <c:pt idx="402">
                  <c:v>22917.200000000095</c:v>
                </c:pt>
                <c:pt idx="403">
                  <c:v>22917.200000000095</c:v>
                </c:pt>
                <c:pt idx="404">
                  <c:v>22917.200000000095</c:v>
                </c:pt>
                <c:pt idx="405">
                  <c:v>22917.200000000095</c:v>
                </c:pt>
                <c:pt idx="406">
                  <c:v>22917.200000000095</c:v>
                </c:pt>
                <c:pt idx="407">
                  <c:v>22917.200000000095</c:v>
                </c:pt>
                <c:pt idx="408">
                  <c:v>22917.200000000095</c:v>
                </c:pt>
                <c:pt idx="409">
                  <c:v>22917.200000000095</c:v>
                </c:pt>
                <c:pt idx="410">
                  <c:v>22917.200000000095</c:v>
                </c:pt>
                <c:pt idx="411">
                  <c:v>22917.200000000095</c:v>
                </c:pt>
                <c:pt idx="412">
                  <c:v>22917.200000000095</c:v>
                </c:pt>
                <c:pt idx="413">
                  <c:v>22917.200000000095</c:v>
                </c:pt>
                <c:pt idx="414">
                  <c:v>22917.200000000095</c:v>
                </c:pt>
                <c:pt idx="415">
                  <c:v>22917.200000000095</c:v>
                </c:pt>
                <c:pt idx="416">
                  <c:v>22917.200000000095</c:v>
                </c:pt>
                <c:pt idx="417">
                  <c:v>22917.200000000095</c:v>
                </c:pt>
                <c:pt idx="418">
                  <c:v>23217.200000000095</c:v>
                </c:pt>
                <c:pt idx="419">
                  <c:v>23217.200000000095</c:v>
                </c:pt>
                <c:pt idx="420">
                  <c:v>23217.200000000095</c:v>
                </c:pt>
                <c:pt idx="421">
                  <c:v>24117.200000000095</c:v>
                </c:pt>
                <c:pt idx="422">
                  <c:v>24597.200000000095</c:v>
                </c:pt>
                <c:pt idx="423">
                  <c:v>24597.200000000095</c:v>
                </c:pt>
                <c:pt idx="424">
                  <c:v>24597.200000000095</c:v>
                </c:pt>
                <c:pt idx="425">
                  <c:v>24597.200000000095</c:v>
                </c:pt>
                <c:pt idx="426">
                  <c:v>24597.200000000095</c:v>
                </c:pt>
                <c:pt idx="427">
                  <c:v>24277.200000000095</c:v>
                </c:pt>
                <c:pt idx="428">
                  <c:v>24248.200000000041</c:v>
                </c:pt>
                <c:pt idx="429">
                  <c:v>24248.200000000041</c:v>
                </c:pt>
                <c:pt idx="430">
                  <c:v>24248.200000000041</c:v>
                </c:pt>
                <c:pt idx="431">
                  <c:v>24248.200000000041</c:v>
                </c:pt>
                <c:pt idx="432">
                  <c:v>24248.200000000041</c:v>
                </c:pt>
                <c:pt idx="433">
                  <c:v>24248.200000000041</c:v>
                </c:pt>
                <c:pt idx="434">
                  <c:v>24248.200000000041</c:v>
                </c:pt>
                <c:pt idx="435">
                  <c:v>24248.200000000041</c:v>
                </c:pt>
                <c:pt idx="436">
                  <c:v>24248.200000000041</c:v>
                </c:pt>
                <c:pt idx="437">
                  <c:v>24568.200000000041</c:v>
                </c:pt>
                <c:pt idx="438">
                  <c:v>24568.200000000041</c:v>
                </c:pt>
                <c:pt idx="439">
                  <c:v>24568.200000000041</c:v>
                </c:pt>
                <c:pt idx="440">
                  <c:v>24568.200000000041</c:v>
                </c:pt>
                <c:pt idx="441">
                  <c:v>24568.200000000041</c:v>
                </c:pt>
                <c:pt idx="442">
                  <c:v>24568.200000000041</c:v>
                </c:pt>
                <c:pt idx="443">
                  <c:v>24568.200000000041</c:v>
                </c:pt>
                <c:pt idx="444">
                  <c:v>24568.200000000041</c:v>
                </c:pt>
                <c:pt idx="445">
                  <c:v>24568.200000000041</c:v>
                </c:pt>
                <c:pt idx="446">
                  <c:v>24568.200000000041</c:v>
                </c:pt>
                <c:pt idx="447">
                  <c:v>25768.200000000041</c:v>
                </c:pt>
                <c:pt idx="448">
                  <c:v>25594.200000000033</c:v>
                </c:pt>
                <c:pt idx="449">
                  <c:v>25594.200000000033</c:v>
                </c:pt>
                <c:pt idx="450">
                  <c:v>25594.200000000033</c:v>
                </c:pt>
                <c:pt idx="451">
                  <c:v>25594.200000000033</c:v>
                </c:pt>
                <c:pt idx="452">
                  <c:v>25594.200000000033</c:v>
                </c:pt>
                <c:pt idx="453">
                  <c:v>25594.200000000033</c:v>
                </c:pt>
                <c:pt idx="454">
                  <c:v>25594.200000000033</c:v>
                </c:pt>
                <c:pt idx="455">
                  <c:v>25681.199999999211</c:v>
                </c:pt>
                <c:pt idx="456">
                  <c:v>26081.199999999415</c:v>
                </c:pt>
                <c:pt idx="457">
                  <c:v>26081.199999999415</c:v>
                </c:pt>
                <c:pt idx="458">
                  <c:v>26081.199999999415</c:v>
                </c:pt>
                <c:pt idx="459">
                  <c:v>26081.199999999415</c:v>
                </c:pt>
                <c:pt idx="460">
                  <c:v>26081.199999999415</c:v>
                </c:pt>
                <c:pt idx="461">
                  <c:v>26081.199999999415</c:v>
                </c:pt>
                <c:pt idx="462">
                  <c:v>26197.19999999931</c:v>
                </c:pt>
                <c:pt idx="463">
                  <c:v>26197.19999999931</c:v>
                </c:pt>
                <c:pt idx="464">
                  <c:v>26197.19999999931</c:v>
                </c:pt>
                <c:pt idx="465">
                  <c:v>26197.19999999931</c:v>
                </c:pt>
                <c:pt idx="466">
                  <c:v>26197.19999999931</c:v>
                </c:pt>
                <c:pt idx="467">
                  <c:v>26197.19999999931</c:v>
                </c:pt>
                <c:pt idx="468">
                  <c:v>26197.19999999931</c:v>
                </c:pt>
                <c:pt idx="469">
                  <c:v>26197.19999999931</c:v>
                </c:pt>
                <c:pt idx="470">
                  <c:v>26197.19999999931</c:v>
                </c:pt>
                <c:pt idx="471">
                  <c:v>26197.19999999931</c:v>
                </c:pt>
                <c:pt idx="472">
                  <c:v>26197.19999999931</c:v>
                </c:pt>
                <c:pt idx="473">
                  <c:v>26197.19999999931</c:v>
                </c:pt>
                <c:pt idx="474">
                  <c:v>26597.19999999931</c:v>
                </c:pt>
                <c:pt idx="475">
                  <c:v>26997.19999999931</c:v>
                </c:pt>
                <c:pt idx="476">
                  <c:v>27797.19999999931</c:v>
                </c:pt>
                <c:pt idx="477">
                  <c:v>28757.19999999931</c:v>
                </c:pt>
                <c:pt idx="478">
                  <c:v>28757.19999999931</c:v>
                </c:pt>
                <c:pt idx="479">
                  <c:v>29157.19999999931</c:v>
                </c:pt>
                <c:pt idx="480">
                  <c:v>29957.19999999931</c:v>
                </c:pt>
                <c:pt idx="481">
                  <c:v>30722.799999999505</c:v>
                </c:pt>
                <c:pt idx="482">
                  <c:v>30722.799999999505</c:v>
                </c:pt>
                <c:pt idx="483">
                  <c:v>30722.799999999505</c:v>
                </c:pt>
                <c:pt idx="484">
                  <c:v>30722.799999999505</c:v>
                </c:pt>
                <c:pt idx="485">
                  <c:v>29922.799999999505</c:v>
                </c:pt>
                <c:pt idx="486">
                  <c:v>29922.799999999505</c:v>
                </c:pt>
                <c:pt idx="487">
                  <c:v>30226.799999999505</c:v>
                </c:pt>
                <c:pt idx="488">
                  <c:v>30526.799999999505</c:v>
                </c:pt>
                <c:pt idx="489">
                  <c:v>30526.799999999505</c:v>
                </c:pt>
                <c:pt idx="490">
                  <c:v>30526.799999999505</c:v>
                </c:pt>
                <c:pt idx="491">
                  <c:v>30526.799999999505</c:v>
                </c:pt>
                <c:pt idx="492">
                  <c:v>30526.799999999505</c:v>
                </c:pt>
                <c:pt idx="493">
                  <c:v>30526.799999999505</c:v>
                </c:pt>
                <c:pt idx="494">
                  <c:v>30526.799999999505</c:v>
                </c:pt>
                <c:pt idx="495">
                  <c:v>30526.799999999505</c:v>
                </c:pt>
                <c:pt idx="496">
                  <c:v>30526.799999999505</c:v>
                </c:pt>
                <c:pt idx="497">
                  <c:v>30526.799999999505</c:v>
                </c:pt>
                <c:pt idx="498">
                  <c:v>30526.799999999505</c:v>
                </c:pt>
                <c:pt idx="499">
                  <c:v>30526.799999999505</c:v>
                </c:pt>
                <c:pt idx="500">
                  <c:v>30526.799999999505</c:v>
                </c:pt>
                <c:pt idx="501">
                  <c:v>30846.799999999505</c:v>
                </c:pt>
                <c:pt idx="502">
                  <c:v>30846.799999999505</c:v>
                </c:pt>
                <c:pt idx="503">
                  <c:v>30546.799999999505</c:v>
                </c:pt>
                <c:pt idx="504">
                  <c:v>30546.799999999505</c:v>
                </c:pt>
                <c:pt idx="505">
                  <c:v>30546.799999999505</c:v>
                </c:pt>
                <c:pt idx="506">
                  <c:v>30546.799999999505</c:v>
                </c:pt>
                <c:pt idx="507">
                  <c:v>30546.799999999505</c:v>
                </c:pt>
                <c:pt idx="508">
                  <c:v>30546.799999999505</c:v>
                </c:pt>
                <c:pt idx="509">
                  <c:v>30517.79999999945</c:v>
                </c:pt>
                <c:pt idx="510">
                  <c:v>30517.79999999945</c:v>
                </c:pt>
                <c:pt idx="511">
                  <c:v>30565.79999999945</c:v>
                </c:pt>
                <c:pt idx="512">
                  <c:v>30565.79999999945</c:v>
                </c:pt>
                <c:pt idx="513">
                  <c:v>30565.79999999945</c:v>
                </c:pt>
                <c:pt idx="514">
                  <c:v>30565.79999999945</c:v>
                </c:pt>
                <c:pt idx="515">
                  <c:v>30565.79999999945</c:v>
                </c:pt>
                <c:pt idx="516">
                  <c:v>30565.79999999945</c:v>
                </c:pt>
                <c:pt idx="517">
                  <c:v>30565.79999999945</c:v>
                </c:pt>
                <c:pt idx="518">
                  <c:v>30565.79999999945</c:v>
                </c:pt>
                <c:pt idx="519">
                  <c:v>31045.79999999945</c:v>
                </c:pt>
                <c:pt idx="520">
                  <c:v>31045.79999999945</c:v>
                </c:pt>
                <c:pt idx="521">
                  <c:v>31045.79999999945</c:v>
                </c:pt>
                <c:pt idx="522">
                  <c:v>31685.79999999945</c:v>
                </c:pt>
                <c:pt idx="523">
                  <c:v>31685.79999999945</c:v>
                </c:pt>
                <c:pt idx="524">
                  <c:v>31685.79999999945</c:v>
                </c:pt>
                <c:pt idx="525">
                  <c:v>30245.79999999945</c:v>
                </c:pt>
                <c:pt idx="526">
                  <c:v>30245.79999999945</c:v>
                </c:pt>
                <c:pt idx="527">
                  <c:v>30245.79999999945</c:v>
                </c:pt>
                <c:pt idx="528">
                  <c:v>30245.79999999945</c:v>
                </c:pt>
                <c:pt idx="529">
                  <c:v>30245.79999999945</c:v>
                </c:pt>
                <c:pt idx="530">
                  <c:v>30245.79999999945</c:v>
                </c:pt>
                <c:pt idx="531">
                  <c:v>30245.79999999945</c:v>
                </c:pt>
                <c:pt idx="532">
                  <c:v>30245.79999999945</c:v>
                </c:pt>
                <c:pt idx="533">
                  <c:v>30245.79999999945</c:v>
                </c:pt>
                <c:pt idx="534">
                  <c:v>30245.79999999945</c:v>
                </c:pt>
                <c:pt idx="535">
                  <c:v>30245.79999999945</c:v>
                </c:pt>
                <c:pt idx="536">
                  <c:v>30245.79999999945</c:v>
                </c:pt>
                <c:pt idx="537">
                  <c:v>30245.79999999945</c:v>
                </c:pt>
                <c:pt idx="538">
                  <c:v>30245.79999999945</c:v>
                </c:pt>
                <c:pt idx="539">
                  <c:v>30245.79999999945</c:v>
                </c:pt>
                <c:pt idx="540">
                  <c:v>30245.79999999945</c:v>
                </c:pt>
                <c:pt idx="541">
                  <c:v>30245.79999999945</c:v>
                </c:pt>
                <c:pt idx="542">
                  <c:v>30245.79999999945</c:v>
                </c:pt>
                <c:pt idx="543">
                  <c:v>30245.79999999945</c:v>
                </c:pt>
                <c:pt idx="544">
                  <c:v>30129.799999999392</c:v>
                </c:pt>
                <c:pt idx="545">
                  <c:v>30129.799999999392</c:v>
                </c:pt>
                <c:pt idx="546">
                  <c:v>33009.799999999392</c:v>
                </c:pt>
                <c:pt idx="547">
                  <c:v>37649.799999999392</c:v>
                </c:pt>
                <c:pt idx="548">
                  <c:v>33009.799999999392</c:v>
                </c:pt>
                <c:pt idx="549">
                  <c:v>33009.799999999392</c:v>
                </c:pt>
                <c:pt idx="550">
                  <c:v>33809.799999999392</c:v>
                </c:pt>
                <c:pt idx="551">
                  <c:v>36449.799999999392</c:v>
                </c:pt>
                <c:pt idx="552">
                  <c:v>37649.799999999392</c:v>
                </c:pt>
                <c:pt idx="553">
                  <c:v>38929.799999999392</c:v>
                </c:pt>
                <c:pt idx="554">
                  <c:v>40129.799999999392</c:v>
                </c:pt>
                <c:pt idx="555">
                  <c:v>34559.002077921141</c:v>
                </c:pt>
                <c:pt idx="556">
                  <c:v>40129.799999999392</c:v>
                </c:pt>
                <c:pt idx="557">
                  <c:v>40013.799999999414</c:v>
                </c:pt>
                <c:pt idx="558">
                  <c:v>40013.799999999414</c:v>
                </c:pt>
                <c:pt idx="559">
                  <c:v>40013.799999999414</c:v>
                </c:pt>
                <c:pt idx="560">
                  <c:v>39629.799999999414</c:v>
                </c:pt>
                <c:pt idx="561">
                  <c:v>37833.436363635774</c:v>
                </c:pt>
                <c:pt idx="562">
                  <c:v>37833.436363635774</c:v>
                </c:pt>
                <c:pt idx="563">
                  <c:v>37833.436363635774</c:v>
                </c:pt>
                <c:pt idx="564">
                  <c:v>38473.436363635774</c:v>
                </c:pt>
                <c:pt idx="565">
                  <c:v>38473.436363635774</c:v>
                </c:pt>
                <c:pt idx="566">
                  <c:v>38473.436363635774</c:v>
                </c:pt>
                <c:pt idx="567">
                  <c:v>38473.436363635774</c:v>
                </c:pt>
                <c:pt idx="568">
                  <c:v>39156.002077921221</c:v>
                </c:pt>
                <c:pt idx="569">
                  <c:v>40873.436363635774</c:v>
                </c:pt>
                <c:pt idx="570">
                  <c:v>41513.436363635774</c:v>
                </c:pt>
                <c:pt idx="571">
                  <c:v>39156.002077921221</c:v>
                </c:pt>
                <c:pt idx="572">
                  <c:v>41033.436363635868</c:v>
                </c:pt>
                <c:pt idx="573">
                  <c:v>41033.436363635868</c:v>
                </c:pt>
                <c:pt idx="574">
                  <c:v>41033.436363635868</c:v>
                </c:pt>
                <c:pt idx="575">
                  <c:v>39156.002077921221</c:v>
                </c:pt>
                <c:pt idx="576">
                  <c:v>34559.002077921141</c:v>
                </c:pt>
                <c:pt idx="577">
                  <c:v>41353.436363635868</c:v>
                </c:pt>
                <c:pt idx="578">
                  <c:v>41353.436363635868</c:v>
                </c:pt>
                <c:pt idx="579">
                  <c:v>41353.436363635868</c:v>
                </c:pt>
                <c:pt idx="580">
                  <c:v>41353.436363635868</c:v>
                </c:pt>
                <c:pt idx="581">
                  <c:v>41033.436363635868</c:v>
                </c:pt>
                <c:pt idx="582">
                  <c:v>41353.436363636036</c:v>
                </c:pt>
                <c:pt idx="583">
                  <c:v>43221.436363636036</c:v>
                </c:pt>
                <c:pt idx="584">
                  <c:v>41353.436363636036</c:v>
                </c:pt>
                <c:pt idx="585">
                  <c:v>41353.436363636036</c:v>
                </c:pt>
                <c:pt idx="586">
                  <c:v>44089.436363636036</c:v>
                </c:pt>
                <c:pt idx="587">
                  <c:v>41593.436363636036</c:v>
                </c:pt>
                <c:pt idx="588">
                  <c:v>41593.436363636036</c:v>
                </c:pt>
                <c:pt idx="589">
                  <c:v>42393.436363636036</c:v>
                </c:pt>
                <c:pt idx="590">
                  <c:v>42393.436363636036</c:v>
                </c:pt>
                <c:pt idx="591">
                  <c:v>43193.436363636036</c:v>
                </c:pt>
                <c:pt idx="592">
                  <c:v>43833.436363636036</c:v>
                </c:pt>
                <c:pt idx="593">
                  <c:v>44089.436363636036</c:v>
                </c:pt>
                <c:pt idx="594">
                  <c:v>44089.436363636036</c:v>
                </c:pt>
                <c:pt idx="595">
                  <c:v>44089.436363636036</c:v>
                </c:pt>
                <c:pt idx="596">
                  <c:v>45049.436363636036</c:v>
                </c:pt>
                <c:pt idx="597">
                  <c:v>45049.436363636036</c:v>
                </c:pt>
                <c:pt idx="598">
                  <c:v>45049.436363636036</c:v>
                </c:pt>
                <c:pt idx="599">
                  <c:v>43221.436363636036</c:v>
                </c:pt>
                <c:pt idx="600">
                  <c:v>45049.436363636036</c:v>
                </c:pt>
                <c:pt idx="601">
                  <c:v>45049.436363636036</c:v>
                </c:pt>
                <c:pt idx="602">
                  <c:v>45049.436363636036</c:v>
                </c:pt>
                <c:pt idx="603">
                  <c:v>45049.436363636036</c:v>
                </c:pt>
                <c:pt idx="604">
                  <c:v>45049.436363636036</c:v>
                </c:pt>
                <c:pt idx="605">
                  <c:v>44329.436363636036</c:v>
                </c:pt>
                <c:pt idx="606">
                  <c:v>44329.436363636036</c:v>
                </c:pt>
                <c:pt idx="607">
                  <c:v>44329.436363636036</c:v>
                </c:pt>
                <c:pt idx="608">
                  <c:v>43049.436363636036</c:v>
                </c:pt>
                <c:pt idx="609">
                  <c:v>42089.436363636036</c:v>
                </c:pt>
                <c:pt idx="610">
                  <c:v>42889.436363636036</c:v>
                </c:pt>
                <c:pt idx="611">
                  <c:v>43189.436363636036</c:v>
                </c:pt>
                <c:pt idx="612">
                  <c:v>43221.436363636036</c:v>
                </c:pt>
                <c:pt idx="613">
                  <c:v>43221.436363636036</c:v>
                </c:pt>
                <c:pt idx="614">
                  <c:v>43221.436363636036</c:v>
                </c:pt>
                <c:pt idx="615">
                  <c:v>43221.436363636036</c:v>
                </c:pt>
                <c:pt idx="616">
                  <c:v>43221.436363636036</c:v>
                </c:pt>
                <c:pt idx="617">
                  <c:v>43221.436363636036</c:v>
                </c:pt>
                <c:pt idx="618">
                  <c:v>43221.436363636036</c:v>
                </c:pt>
                <c:pt idx="619">
                  <c:v>43221.436363636036</c:v>
                </c:pt>
                <c:pt idx="620">
                  <c:v>39156.002077921221</c:v>
                </c:pt>
                <c:pt idx="621">
                  <c:v>44821.436363636196</c:v>
                </c:pt>
                <c:pt idx="622">
                  <c:v>44821.436363636196</c:v>
                </c:pt>
                <c:pt idx="623">
                  <c:v>45461.436363636196</c:v>
                </c:pt>
                <c:pt idx="624">
                  <c:v>45621.436363636196</c:v>
                </c:pt>
                <c:pt idx="625">
                  <c:v>45957.436363636196</c:v>
                </c:pt>
                <c:pt idx="626">
                  <c:v>45957.436363636196</c:v>
                </c:pt>
                <c:pt idx="627">
                  <c:v>39156.002077921221</c:v>
                </c:pt>
                <c:pt idx="628">
                  <c:v>48357.436363636196</c:v>
                </c:pt>
                <c:pt idx="629">
                  <c:v>48357.436363636196</c:v>
                </c:pt>
                <c:pt idx="630">
                  <c:v>46437.436363635898</c:v>
                </c:pt>
                <c:pt idx="631">
                  <c:v>44837.436363635992</c:v>
                </c:pt>
                <c:pt idx="632">
                  <c:v>42917.436363635694</c:v>
                </c:pt>
                <c:pt idx="633">
                  <c:v>40997.436363635694</c:v>
                </c:pt>
                <c:pt idx="634">
                  <c:v>39077.436363636079</c:v>
                </c:pt>
                <c:pt idx="635">
                  <c:v>40997.436363636378</c:v>
                </c:pt>
                <c:pt idx="636">
                  <c:v>40997.436363636378</c:v>
                </c:pt>
                <c:pt idx="637">
                  <c:v>40997.436363636378</c:v>
                </c:pt>
                <c:pt idx="638">
                  <c:v>39077.436363636378</c:v>
                </c:pt>
                <c:pt idx="639">
                  <c:v>39156.002077921221</c:v>
                </c:pt>
                <c:pt idx="640">
                  <c:v>37263.036363636376</c:v>
                </c:pt>
                <c:pt idx="641">
                  <c:v>36943.036363636376</c:v>
                </c:pt>
                <c:pt idx="642">
                  <c:v>39156.002077921221</c:v>
                </c:pt>
                <c:pt idx="643">
                  <c:v>36943.036363636376</c:v>
                </c:pt>
                <c:pt idx="644">
                  <c:v>36943.036363636376</c:v>
                </c:pt>
                <c:pt idx="645">
                  <c:v>37075.122077921827</c:v>
                </c:pt>
                <c:pt idx="646">
                  <c:v>36943.036363636376</c:v>
                </c:pt>
                <c:pt idx="647">
                  <c:v>37075.122077921827</c:v>
                </c:pt>
                <c:pt idx="648">
                  <c:v>36943.036363636376</c:v>
                </c:pt>
                <c:pt idx="649">
                  <c:v>36943.036363636376</c:v>
                </c:pt>
                <c:pt idx="650">
                  <c:v>36943.036363636376</c:v>
                </c:pt>
                <c:pt idx="651">
                  <c:v>36943.036363636376</c:v>
                </c:pt>
                <c:pt idx="652">
                  <c:v>36943.036363636376</c:v>
                </c:pt>
                <c:pt idx="653">
                  <c:v>36943.036363636376</c:v>
                </c:pt>
                <c:pt idx="654">
                  <c:v>36943.036363636376</c:v>
                </c:pt>
                <c:pt idx="655">
                  <c:v>36943.036363636376</c:v>
                </c:pt>
                <c:pt idx="656">
                  <c:v>36943.036363636376</c:v>
                </c:pt>
                <c:pt idx="657">
                  <c:v>36943.036363636376</c:v>
                </c:pt>
                <c:pt idx="658">
                  <c:v>36716.836363636285</c:v>
                </c:pt>
                <c:pt idx="659">
                  <c:v>35276.836363636285</c:v>
                </c:pt>
                <c:pt idx="660">
                  <c:v>35276.836363636285</c:v>
                </c:pt>
                <c:pt idx="661">
                  <c:v>35276.836363636285</c:v>
                </c:pt>
                <c:pt idx="662">
                  <c:v>35276.836363636285</c:v>
                </c:pt>
                <c:pt idx="663">
                  <c:v>35276.836363636285</c:v>
                </c:pt>
                <c:pt idx="664">
                  <c:v>31391.122077921998</c:v>
                </c:pt>
                <c:pt idx="665">
                  <c:v>29471.122077921998</c:v>
                </c:pt>
                <c:pt idx="666">
                  <c:v>37075.122077921827</c:v>
                </c:pt>
                <c:pt idx="667">
                  <c:v>29471.122077921998</c:v>
                </c:pt>
                <c:pt idx="668">
                  <c:v>29471.122077921998</c:v>
                </c:pt>
                <c:pt idx="669">
                  <c:v>29471.122077921998</c:v>
                </c:pt>
                <c:pt idx="670">
                  <c:v>33311.122077922002</c:v>
                </c:pt>
                <c:pt idx="671">
                  <c:v>29471.122077921998</c:v>
                </c:pt>
                <c:pt idx="672">
                  <c:v>29471.122077921998</c:v>
                </c:pt>
                <c:pt idx="673">
                  <c:v>29471.122077921998</c:v>
                </c:pt>
                <c:pt idx="674">
                  <c:v>33311.122077922002</c:v>
                </c:pt>
                <c:pt idx="675">
                  <c:v>29471.122077921998</c:v>
                </c:pt>
                <c:pt idx="676">
                  <c:v>29471.122077921998</c:v>
                </c:pt>
                <c:pt idx="677">
                  <c:v>29471.122077921998</c:v>
                </c:pt>
                <c:pt idx="678">
                  <c:v>29471.122077921998</c:v>
                </c:pt>
                <c:pt idx="679">
                  <c:v>29471.122077921998</c:v>
                </c:pt>
                <c:pt idx="680">
                  <c:v>29471.122077921998</c:v>
                </c:pt>
                <c:pt idx="681">
                  <c:v>29471.122077921998</c:v>
                </c:pt>
                <c:pt idx="682">
                  <c:v>29471.122077921998</c:v>
                </c:pt>
                <c:pt idx="683">
                  <c:v>31711.122077921998</c:v>
                </c:pt>
                <c:pt idx="684">
                  <c:v>29471.122077921998</c:v>
                </c:pt>
                <c:pt idx="685">
                  <c:v>29471.122077921998</c:v>
                </c:pt>
                <c:pt idx="686">
                  <c:v>29471.122077921998</c:v>
                </c:pt>
                <c:pt idx="687">
                  <c:v>29471.122077921998</c:v>
                </c:pt>
                <c:pt idx="688">
                  <c:v>29471.122077921998</c:v>
                </c:pt>
                <c:pt idx="689">
                  <c:v>29471.122077921998</c:v>
                </c:pt>
                <c:pt idx="690">
                  <c:v>29471.122077921998</c:v>
                </c:pt>
                <c:pt idx="691">
                  <c:v>29471.122077921998</c:v>
                </c:pt>
                <c:pt idx="692">
                  <c:v>29471.122077921998</c:v>
                </c:pt>
                <c:pt idx="693">
                  <c:v>29471.122077921998</c:v>
                </c:pt>
                <c:pt idx="694">
                  <c:v>29471.122077921998</c:v>
                </c:pt>
                <c:pt idx="695">
                  <c:v>29471.122077921998</c:v>
                </c:pt>
                <c:pt idx="696">
                  <c:v>31711.122077921998</c:v>
                </c:pt>
                <c:pt idx="697">
                  <c:v>31711.122077921998</c:v>
                </c:pt>
                <c:pt idx="698">
                  <c:v>31711.122077921998</c:v>
                </c:pt>
                <c:pt idx="699">
                  <c:v>31711.122077921998</c:v>
                </c:pt>
                <c:pt idx="700">
                  <c:v>31711.122077921998</c:v>
                </c:pt>
                <c:pt idx="701">
                  <c:v>33311.122077922002</c:v>
                </c:pt>
                <c:pt idx="702">
                  <c:v>37075.122077921827</c:v>
                </c:pt>
                <c:pt idx="703">
                  <c:v>33311.122077922002</c:v>
                </c:pt>
                <c:pt idx="704">
                  <c:v>33659.122077921929</c:v>
                </c:pt>
                <c:pt idx="705">
                  <c:v>33659.122077921929</c:v>
                </c:pt>
                <c:pt idx="706">
                  <c:v>33959.122077921929</c:v>
                </c:pt>
                <c:pt idx="707">
                  <c:v>34559.122077921929</c:v>
                </c:pt>
                <c:pt idx="708">
                  <c:v>34559.122077921929</c:v>
                </c:pt>
                <c:pt idx="709">
                  <c:v>35119.122077921929</c:v>
                </c:pt>
                <c:pt idx="710">
                  <c:v>36719.122077921929</c:v>
                </c:pt>
                <c:pt idx="711">
                  <c:v>37075.122077921827</c:v>
                </c:pt>
                <c:pt idx="712">
                  <c:v>36719.122077921929</c:v>
                </c:pt>
                <c:pt idx="713">
                  <c:v>36719.122077921929</c:v>
                </c:pt>
                <c:pt idx="714">
                  <c:v>37075.122077921827</c:v>
                </c:pt>
                <c:pt idx="715">
                  <c:v>37075.122077921827</c:v>
                </c:pt>
                <c:pt idx="716">
                  <c:v>36835.122077921827</c:v>
                </c:pt>
                <c:pt idx="717">
                  <c:v>36835.122077921827</c:v>
                </c:pt>
                <c:pt idx="718">
                  <c:v>37075.122077921827</c:v>
                </c:pt>
                <c:pt idx="719">
                  <c:v>36835.122077921827</c:v>
                </c:pt>
                <c:pt idx="720">
                  <c:v>36835.122077921827</c:v>
                </c:pt>
                <c:pt idx="721">
                  <c:v>36835.122077921827</c:v>
                </c:pt>
                <c:pt idx="722">
                  <c:v>37075.122077921827</c:v>
                </c:pt>
                <c:pt idx="723">
                  <c:v>37075.122077921827</c:v>
                </c:pt>
                <c:pt idx="724">
                  <c:v>37075.122077921827</c:v>
                </c:pt>
                <c:pt idx="725">
                  <c:v>37075.122077921827</c:v>
                </c:pt>
                <c:pt idx="726">
                  <c:v>37075.122077921827</c:v>
                </c:pt>
                <c:pt idx="727">
                  <c:v>37075.122077921827</c:v>
                </c:pt>
                <c:pt idx="728">
                  <c:v>37075.122077921827</c:v>
                </c:pt>
                <c:pt idx="729">
                  <c:v>37075.122077921827</c:v>
                </c:pt>
                <c:pt idx="730">
                  <c:v>37075.122077921827</c:v>
                </c:pt>
                <c:pt idx="731">
                  <c:v>39156.002077921221</c:v>
                </c:pt>
                <c:pt idx="732">
                  <c:v>37881.5220779214</c:v>
                </c:pt>
                <c:pt idx="733">
                  <c:v>37075.122077921827</c:v>
                </c:pt>
                <c:pt idx="734">
                  <c:v>37075.122077921827</c:v>
                </c:pt>
                <c:pt idx="735">
                  <c:v>37075.122077921827</c:v>
                </c:pt>
                <c:pt idx="736">
                  <c:v>37075.122077921827</c:v>
                </c:pt>
                <c:pt idx="737">
                  <c:v>37075.122077921827</c:v>
                </c:pt>
                <c:pt idx="738">
                  <c:v>37881.5220779214</c:v>
                </c:pt>
                <c:pt idx="739">
                  <c:v>37075.122077921827</c:v>
                </c:pt>
                <c:pt idx="740">
                  <c:v>37075.122077921827</c:v>
                </c:pt>
                <c:pt idx="741">
                  <c:v>38275.122077921827</c:v>
                </c:pt>
                <c:pt idx="742">
                  <c:v>37075.122077921827</c:v>
                </c:pt>
                <c:pt idx="743">
                  <c:v>37075.122077921827</c:v>
                </c:pt>
                <c:pt idx="744">
                  <c:v>37075.122077921827</c:v>
                </c:pt>
                <c:pt idx="745">
                  <c:v>37075.122077921827</c:v>
                </c:pt>
                <c:pt idx="746">
                  <c:v>38275.122077921827</c:v>
                </c:pt>
                <c:pt idx="747">
                  <c:v>37075.122077921827</c:v>
                </c:pt>
                <c:pt idx="748">
                  <c:v>37075.122077921827</c:v>
                </c:pt>
                <c:pt idx="749">
                  <c:v>37075.122077921827</c:v>
                </c:pt>
                <c:pt idx="750">
                  <c:v>37075.122077921827</c:v>
                </c:pt>
                <c:pt idx="751">
                  <c:v>37075.122077921827</c:v>
                </c:pt>
                <c:pt idx="752">
                  <c:v>37075.122077921827</c:v>
                </c:pt>
                <c:pt idx="753">
                  <c:v>37075.122077921827</c:v>
                </c:pt>
                <c:pt idx="754">
                  <c:v>38275.122077921827</c:v>
                </c:pt>
                <c:pt idx="755">
                  <c:v>38275.122077921827</c:v>
                </c:pt>
                <c:pt idx="756">
                  <c:v>38275.122077921827</c:v>
                </c:pt>
                <c:pt idx="757">
                  <c:v>38275.122077921827</c:v>
                </c:pt>
                <c:pt idx="758">
                  <c:v>38275.122077921827</c:v>
                </c:pt>
                <c:pt idx="759">
                  <c:v>38275.122077921827</c:v>
                </c:pt>
                <c:pt idx="760">
                  <c:v>38275.122077921827</c:v>
                </c:pt>
                <c:pt idx="761">
                  <c:v>38275.122077921827</c:v>
                </c:pt>
                <c:pt idx="762">
                  <c:v>40521.522077921829</c:v>
                </c:pt>
                <c:pt idx="763">
                  <c:v>38275.122077921827</c:v>
                </c:pt>
                <c:pt idx="764">
                  <c:v>38275.122077921827</c:v>
                </c:pt>
                <c:pt idx="765">
                  <c:v>38275.122077921827</c:v>
                </c:pt>
                <c:pt idx="766">
                  <c:v>39875.122077921827</c:v>
                </c:pt>
                <c:pt idx="767">
                  <c:v>40035.122077921827</c:v>
                </c:pt>
                <c:pt idx="768">
                  <c:v>40035.122077921827</c:v>
                </c:pt>
                <c:pt idx="769">
                  <c:v>40035.122077921827</c:v>
                </c:pt>
                <c:pt idx="770">
                  <c:v>40521.522077921829</c:v>
                </c:pt>
                <c:pt idx="771">
                  <c:v>40521.522077921829</c:v>
                </c:pt>
                <c:pt idx="772">
                  <c:v>40521.522077921829</c:v>
                </c:pt>
                <c:pt idx="773">
                  <c:v>40521.522077921829</c:v>
                </c:pt>
                <c:pt idx="774">
                  <c:v>40521.522077921829</c:v>
                </c:pt>
                <c:pt idx="775">
                  <c:v>43881.522077921822</c:v>
                </c:pt>
                <c:pt idx="776">
                  <c:v>40521.522077921829</c:v>
                </c:pt>
                <c:pt idx="777">
                  <c:v>40521.522077921829</c:v>
                </c:pt>
                <c:pt idx="778">
                  <c:v>40521.522077921829</c:v>
                </c:pt>
                <c:pt idx="779">
                  <c:v>40521.522077921829</c:v>
                </c:pt>
                <c:pt idx="780">
                  <c:v>40521.522077921829</c:v>
                </c:pt>
                <c:pt idx="781">
                  <c:v>40521.522077921829</c:v>
                </c:pt>
                <c:pt idx="782">
                  <c:v>40521.522077921829</c:v>
                </c:pt>
                <c:pt idx="783">
                  <c:v>40521.522077921829</c:v>
                </c:pt>
                <c:pt idx="784">
                  <c:v>40521.522077921829</c:v>
                </c:pt>
                <c:pt idx="785">
                  <c:v>43881.522077921822</c:v>
                </c:pt>
                <c:pt idx="786">
                  <c:v>40521.522077921829</c:v>
                </c:pt>
                <c:pt idx="787">
                  <c:v>40521.522077921829</c:v>
                </c:pt>
                <c:pt idx="788">
                  <c:v>43881.522077921822</c:v>
                </c:pt>
                <c:pt idx="789">
                  <c:v>40521.522077921829</c:v>
                </c:pt>
                <c:pt idx="790">
                  <c:v>40521.522077921829</c:v>
                </c:pt>
                <c:pt idx="791">
                  <c:v>42121.522077921829</c:v>
                </c:pt>
                <c:pt idx="792">
                  <c:v>42921.522077921822</c:v>
                </c:pt>
                <c:pt idx="793">
                  <c:v>43881.522077921822</c:v>
                </c:pt>
                <c:pt idx="794">
                  <c:v>43881.522077921822</c:v>
                </c:pt>
                <c:pt idx="795">
                  <c:v>45123.522077922011</c:v>
                </c:pt>
                <c:pt idx="796">
                  <c:v>44201.522077921982</c:v>
                </c:pt>
                <c:pt idx="797">
                  <c:v>44201.522077921982</c:v>
                </c:pt>
                <c:pt idx="798">
                  <c:v>45123.522077922011</c:v>
                </c:pt>
                <c:pt idx="799">
                  <c:v>44201.522077921982</c:v>
                </c:pt>
                <c:pt idx="800">
                  <c:v>44201.522077921982</c:v>
                </c:pt>
                <c:pt idx="801">
                  <c:v>44419.522077922011</c:v>
                </c:pt>
                <c:pt idx="802">
                  <c:v>45123.522077922011</c:v>
                </c:pt>
                <c:pt idx="803">
                  <c:v>45161.522077921982</c:v>
                </c:pt>
                <c:pt idx="804">
                  <c:v>45161.522077921982</c:v>
                </c:pt>
                <c:pt idx="805">
                  <c:v>45161.522077921982</c:v>
                </c:pt>
                <c:pt idx="806">
                  <c:v>44419.522077922011</c:v>
                </c:pt>
                <c:pt idx="807">
                  <c:v>44419.522077922011</c:v>
                </c:pt>
                <c:pt idx="808">
                  <c:v>44361.522077921982</c:v>
                </c:pt>
                <c:pt idx="809">
                  <c:v>44419.522077922011</c:v>
                </c:pt>
                <c:pt idx="810">
                  <c:v>44419.522077922011</c:v>
                </c:pt>
                <c:pt idx="811">
                  <c:v>44419.522077922011</c:v>
                </c:pt>
                <c:pt idx="812">
                  <c:v>44419.522077922011</c:v>
                </c:pt>
                <c:pt idx="813">
                  <c:v>45123.522077922011</c:v>
                </c:pt>
                <c:pt idx="814">
                  <c:v>37881.5220779214</c:v>
                </c:pt>
                <c:pt idx="815">
                  <c:v>44419.522077922011</c:v>
                </c:pt>
                <c:pt idx="816">
                  <c:v>45219.522077922011</c:v>
                </c:pt>
                <c:pt idx="817">
                  <c:v>45123.522077922011</c:v>
                </c:pt>
                <c:pt idx="818">
                  <c:v>45219.522077922011</c:v>
                </c:pt>
                <c:pt idx="819">
                  <c:v>45219.522077922011</c:v>
                </c:pt>
                <c:pt idx="820">
                  <c:v>45219.522077922011</c:v>
                </c:pt>
                <c:pt idx="821">
                  <c:v>45219.522077922011</c:v>
                </c:pt>
                <c:pt idx="822">
                  <c:v>45123.522077922011</c:v>
                </c:pt>
                <c:pt idx="823">
                  <c:v>37881.5220779214</c:v>
                </c:pt>
                <c:pt idx="824">
                  <c:v>45123.522077922011</c:v>
                </c:pt>
                <c:pt idx="825">
                  <c:v>45123.522077922011</c:v>
                </c:pt>
                <c:pt idx="826">
                  <c:v>45123.522077922011</c:v>
                </c:pt>
                <c:pt idx="827">
                  <c:v>37881.5220779214</c:v>
                </c:pt>
                <c:pt idx="828">
                  <c:v>37881.5220779214</c:v>
                </c:pt>
                <c:pt idx="829">
                  <c:v>45123.522077922011</c:v>
                </c:pt>
                <c:pt idx="830">
                  <c:v>45123.522077922011</c:v>
                </c:pt>
                <c:pt idx="831">
                  <c:v>43923.522077922011</c:v>
                </c:pt>
                <c:pt idx="832">
                  <c:v>43923.522077922011</c:v>
                </c:pt>
                <c:pt idx="833">
                  <c:v>43923.522077922011</c:v>
                </c:pt>
                <c:pt idx="834">
                  <c:v>37881.5220779214</c:v>
                </c:pt>
                <c:pt idx="835">
                  <c:v>37881.5220779214</c:v>
                </c:pt>
                <c:pt idx="836">
                  <c:v>43923.522077922011</c:v>
                </c:pt>
                <c:pt idx="837">
                  <c:v>37881.5220779214</c:v>
                </c:pt>
                <c:pt idx="838">
                  <c:v>37881.5220779214</c:v>
                </c:pt>
                <c:pt idx="839">
                  <c:v>43923.522077922011</c:v>
                </c:pt>
                <c:pt idx="840">
                  <c:v>46675.522077922004</c:v>
                </c:pt>
                <c:pt idx="841">
                  <c:v>46675.522077922004</c:v>
                </c:pt>
                <c:pt idx="842">
                  <c:v>46975.522077922004</c:v>
                </c:pt>
                <c:pt idx="843">
                  <c:v>46975.522077922004</c:v>
                </c:pt>
                <c:pt idx="844">
                  <c:v>46975.522077922004</c:v>
                </c:pt>
                <c:pt idx="845">
                  <c:v>37881.5220779214</c:v>
                </c:pt>
                <c:pt idx="846">
                  <c:v>37881.5220779214</c:v>
                </c:pt>
                <c:pt idx="847">
                  <c:v>46975.522077922004</c:v>
                </c:pt>
                <c:pt idx="848">
                  <c:v>46975.522077922004</c:v>
                </c:pt>
                <c:pt idx="849">
                  <c:v>37881.5220779214</c:v>
                </c:pt>
                <c:pt idx="850">
                  <c:v>37881.5220779214</c:v>
                </c:pt>
                <c:pt idx="851">
                  <c:v>47875.522077922004</c:v>
                </c:pt>
                <c:pt idx="852">
                  <c:v>48475.522077922004</c:v>
                </c:pt>
                <c:pt idx="853">
                  <c:v>48301.522077921996</c:v>
                </c:pt>
                <c:pt idx="854">
                  <c:v>44461.5220779214</c:v>
                </c:pt>
                <c:pt idx="855">
                  <c:v>43181.5220779214</c:v>
                </c:pt>
                <c:pt idx="856">
                  <c:v>43181.5220779214</c:v>
                </c:pt>
                <c:pt idx="857">
                  <c:v>40781.5220779214</c:v>
                </c:pt>
                <c:pt idx="858">
                  <c:v>41081.5220779214</c:v>
                </c:pt>
                <c:pt idx="859">
                  <c:v>37881.5220779214</c:v>
                </c:pt>
                <c:pt idx="860">
                  <c:v>37881.5220779214</c:v>
                </c:pt>
                <c:pt idx="861">
                  <c:v>37881.5220779214</c:v>
                </c:pt>
                <c:pt idx="862">
                  <c:v>37881.5220779214</c:v>
                </c:pt>
                <c:pt idx="863">
                  <c:v>37881.5220779214</c:v>
                </c:pt>
                <c:pt idx="864">
                  <c:v>37881.5220779214</c:v>
                </c:pt>
                <c:pt idx="865">
                  <c:v>37881.5220779214</c:v>
                </c:pt>
                <c:pt idx="866">
                  <c:v>37881.5220779214</c:v>
                </c:pt>
                <c:pt idx="867">
                  <c:v>37881.5220779214</c:v>
                </c:pt>
                <c:pt idx="868">
                  <c:v>37881.5220779214</c:v>
                </c:pt>
                <c:pt idx="869">
                  <c:v>37881.5220779214</c:v>
                </c:pt>
                <c:pt idx="870">
                  <c:v>37881.5220779214</c:v>
                </c:pt>
                <c:pt idx="871">
                  <c:v>37881.5220779214</c:v>
                </c:pt>
                <c:pt idx="872">
                  <c:v>37881.5220779214</c:v>
                </c:pt>
                <c:pt idx="873">
                  <c:v>37881.5220779214</c:v>
                </c:pt>
                <c:pt idx="874">
                  <c:v>37881.5220779214</c:v>
                </c:pt>
                <c:pt idx="875">
                  <c:v>37881.5220779214</c:v>
                </c:pt>
                <c:pt idx="876">
                  <c:v>37881.5220779214</c:v>
                </c:pt>
                <c:pt idx="877">
                  <c:v>37881.5220779214</c:v>
                </c:pt>
                <c:pt idx="878">
                  <c:v>37881.5220779214</c:v>
                </c:pt>
                <c:pt idx="879">
                  <c:v>37881.5220779214</c:v>
                </c:pt>
                <c:pt idx="880">
                  <c:v>37881.5220779214</c:v>
                </c:pt>
                <c:pt idx="881">
                  <c:v>37881.5220779214</c:v>
                </c:pt>
                <c:pt idx="882">
                  <c:v>37881.5220779214</c:v>
                </c:pt>
                <c:pt idx="883">
                  <c:v>37881.5220779214</c:v>
                </c:pt>
                <c:pt idx="884">
                  <c:v>37881.5220779214</c:v>
                </c:pt>
                <c:pt idx="885">
                  <c:v>37881.5220779214</c:v>
                </c:pt>
                <c:pt idx="886">
                  <c:v>37881.5220779214</c:v>
                </c:pt>
                <c:pt idx="887">
                  <c:v>37881.5220779214</c:v>
                </c:pt>
                <c:pt idx="888">
                  <c:v>0</c:v>
                </c:pt>
                <c:pt idx="889">
                  <c:v>37881.5220779214</c:v>
                </c:pt>
                <c:pt idx="890">
                  <c:v>37881.5220779214</c:v>
                </c:pt>
                <c:pt idx="891">
                  <c:v>37881.5220779214</c:v>
                </c:pt>
                <c:pt idx="892">
                  <c:v>37881.5220779214</c:v>
                </c:pt>
                <c:pt idx="893">
                  <c:v>37881.5220779214</c:v>
                </c:pt>
                <c:pt idx="894">
                  <c:v>37881.5220779214</c:v>
                </c:pt>
                <c:pt idx="895">
                  <c:v>37881.5220779214</c:v>
                </c:pt>
                <c:pt idx="896">
                  <c:v>37881.5220779214</c:v>
                </c:pt>
                <c:pt idx="897">
                  <c:v>37881.5220779214</c:v>
                </c:pt>
                <c:pt idx="898">
                  <c:v>37881.5220779214</c:v>
                </c:pt>
                <c:pt idx="899">
                  <c:v>37881.5220779214</c:v>
                </c:pt>
                <c:pt idx="900">
                  <c:v>37881.5220779214</c:v>
                </c:pt>
                <c:pt idx="901">
                  <c:v>37881.5220779214</c:v>
                </c:pt>
                <c:pt idx="902">
                  <c:v>38441.522077921436</c:v>
                </c:pt>
                <c:pt idx="903">
                  <c:v>37881.5220779214</c:v>
                </c:pt>
                <c:pt idx="904">
                  <c:v>37881.5220779214</c:v>
                </c:pt>
                <c:pt idx="905">
                  <c:v>37881.5220779214</c:v>
                </c:pt>
                <c:pt idx="906">
                  <c:v>37881.5220779214</c:v>
                </c:pt>
                <c:pt idx="907">
                  <c:v>37881.5220779214</c:v>
                </c:pt>
                <c:pt idx="908">
                  <c:v>37881.5220779214</c:v>
                </c:pt>
                <c:pt idx="909">
                  <c:v>37881.5220779214</c:v>
                </c:pt>
                <c:pt idx="910">
                  <c:v>37881.5220779214</c:v>
                </c:pt>
                <c:pt idx="911">
                  <c:v>37881.5220779214</c:v>
                </c:pt>
                <c:pt idx="912">
                  <c:v>38441.522077921436</c:v>
                </c:pt>
                <c:pt idx="913">
                  <c:v>38233.5220779214</c:v>
                </c:pt>
                <c:pt idx="914">
                  <c:v>38233.5220779214</c:v>
                </c:pt>
                <c:pt idx="915">
                  <c:v>38233.5220779214</c:v>
                </c:pt>
                <c:pt idx="916">
                  <c:v>38233.5220779214</c:v>
                </c:pt>
                <c:pt idx="917">
                  <c:v>38233.5220779214</c:v>
                </c:pt>
                <c:pt idx="918">
                  <c:v>38489.522077921407</c:v>
                </c:pt>
                <c:pt idx="919">
                  <c:v>38489.522077921407</c:v>
                </c:pt>
                <c:pt idx="920">
                  <c:v>38601.522077921407</c:v>
                </c:pt>
                <c:pt idx="921">
                  <c:v>38601.522077921407</c:v>
                </c:pt>
                <c:pt idx="922">
                  <c:v>38601.522077921407</c:v>
                </c:pt>
                <c:pt idx="923">
                  <c:v>38441.522077921436</c:v>
                </c:pt>
                <c:pt idx="924">
                  <c:v>38441.522077921436</c:v>
                </c:pt>
                <c:pt idx="925">
                  <c:v>38441.522077921436</c:v>
                </c:pt>
                <c:pt idx="926">
                  <c:v>38441.522077921436</c:v>
                </c:pt>
                <c:pt idx="927">
                  <c:v>38441.522077921436</c:v>
                </c:pt>
                <c:pt idx="928">
                  <c:v>38441.522077921436</c:v>
                </c:pt>
                <c:pt idx="929">
                  <c:v>38441.522077921436</c:v>
                </c:pt>
                <c:pt idx="930">
                  <c:v>39156.002077921221</c:v>
                </c:pt>
                <c:pt idx="931">
                  <c:v>38969.522077921436</c:v>
                </c:pt>
                <c:pt idx="932">
                  <c:v>38969.522077921436</c:v>
                </c:pt>
                <c:pt idx="933">
                  <c:v>38969.522077921436</c:v>
                </c:pt>
                <c:pt idx="934">
                  <c:v>38624.322077921257</c:v>
                </c:pt>
                <c:pt idx="935">
                  <c:v>38864.322077921257</c:v>
                </c:pt>
                <c:pt idx="936">
                  <c:v>39120.322077921257</c:v>
                </c:pt>
                <c:pt idx="937">
                  <c:v>39120.322077921257</c:v>
                </c:pt>
                <c:pt idx="938">
                  <c:v>39120.322077921257</c:v>
                </c:pt>
                <c:pt idx="939">
                  <c:v>39156.002077921221</c:v>
                </c:pt>
                <c:pt idx="940">
                  <c:v>39120.322077921257</c:v>
                </c:pt>
                <c:pt idx="941">
                  <c:v>39264.322077921257</c:v>
                </c:pt>
                <c:pt idx="942">
                  <c:v>39264.322077921257</c:v>
                </c:pt>
                <c:pt idx="943">
                  <c:v>38654.402077921259</c:v>
                </c:pt>
                <c:pt idx="944">
                  <c:v>38385.602077921256</c:v>
                </c:pt>
                <c:pt idx="945">
                  <c:v>37921.602077921256</c:v>
                </c:pt>
                <c:pt idx="946">
                  <c:v>38833.602077921256</c:v>
                </c:pt>
                <c:pt idx="947">
                  <c:v>39653.602077921219</c:v>
                </c:pt>
                <c:pt idx="948">
                  <c:v>38833.602077921256</c:v>
                </c:pt>
                <c:pt idx="949">
                  <c:v>38873.602077921219</c:v>
                </c:pt>
                <c:pt idx="950">
                  <c:v>38833.602077921256</c:v>
                </c:pt>
                <c:pt idx="951">
                  <c:v>38833.602077921256</c:v>
                </c:pt>
                <c:pt idx="952">
                  <c:v>38873.602077921219</c:v>
                </c:pt>
                <c:pt idx="953">
                  <c:v>38873.602077921219</c:v>
                </c:pt>
                <c:pt idx="954">
                  <c:v>38873.602077921219</c:v>
                </c:pt>
                <c:pt idx="955">
                  <c:v>38873.602077921219</c:v>
                </c:pt>
                <c:pt idx="956">
                  <c:v>38873.602077921219</c:v>
                </c:pt>
                <c:pt idx="957">
                  <c:v>39653.602077921219</c:v>
                </c:pt>
                <c:pt idx="958">
                  <c:v>38873.602077921219</c:v>
                </c:pt>
                <c:pt idx="959">
                  <c:v>38873.602077921219</c:v>
                </c:pt>
                <c:pt idx="960">
                  <c:v>39593.602077921219</c:v>
                </c:pt>
                <c:pt idx="961">
                  <c:v>38873.602077921219</c:v>
                </c:pt>
                <c:pt idx="962">
                  <c:v>39017.602077921219</c:v>
                </c:pt>
                <c:pt idx="963">
                  <c:v>39593.602077921219</c:v>
                </c:pt>
                <c:pt idx="964">
                  <c:v>39593.602077921219</c:v>
                </c:pt>
                <c:pt idx="965">
                  <c:v>39593.602077921219</c:v>
                </c:pt>
                <c:pt idx="966">
                  <c:v>39653.602077921219</c:v>
                </c:pt>
                <c:pt idx="967">
                  <c:v>39156.002077921221</c:v>
                </c:pt>
                <c:pt idx="968">
                  <c:v>39493.602077921219</c:v>
                </c:pt>
                <c:pt idx="969">
                  <c:v>39493.602077921219</c:v>
                </c:pt>
                <c:pt idx="970">
                  <c:v>39493.602077921219</c:v>
                </c:pt>
                <c:pt idx="971">
                  <c:v>39493.602077921219</c:v>
                </c:pt>
                <c:pt idx="972">
                  <c:v>39493.602077921219</c:v>
                </c:pt>
                <c:pt idx="973">
                  <c:v>39493.602077921219</c:v>
                </c:pt>
                <c:pt idx="974">
                  <c:v>39933.602077921219</c:v>
                </c:pt>
                <c:pt idx="975">
                  <c:v>39156.002077921221</c:v>
                </c:pt>
                <c:pt idx="976">
                  <c:v>39108.002077921221</c:v>
                </c:pt>
                <c:pt idx="977">
                  <c:v>39108.002077921221</c:v>
                </c:pt>
                <c:pt idx="978">
                  <c:v>39108.002077921221</c:v>
                </c:pt>
                <c:pt idx="979">
                  <c:v>39156.002077921221</c:v>
                </c:pt>
                <c:pt idx="980">
                  <c:v>39156.002077921221</c:v>
                </c:pt>
                <c:pt idx="981">
                  <c:v>39156.002077921221</c:v>
                </c:pt>
                <c:pt idx="982">
                  <c:v>39156.002077921221</c:v>
                </c:pt>
                <c:pt idx="983">
                  <c:v>39156.002077921221</c:v>
                </c:pt>
                <c:pt idx="984">
                  <c:v>39156.002077921221</c:v>
                </c:pt>
                <c:pt idx="985">
                  <c:v>39156.002077921221</c:v>
                </c:pt>
                <c:pt idx="986">
                  <c:v>39156.002077921221</c:v>
                </c:pt>
                <c:pt idx="987">
                  <c:v>39156.002077921221</c:v>
                </c:pt>
                <c:pt idx="988">
                  <c:v>39156.002077921221</c:v>
                </c:pt>
                <c:pt idx="989">
                  <c:v>0</c:v>
                </c:pt>
                <c:pt idx="990">
                  <c:v>38180.002077921221</c:v>
                </c:pt>
                <c:pt idx="991">
                  <c:v>38180.002077921221</c:v>
                </c:pt>
                <c:pt idx="992">
                  <c:v>38180.002077921221</c:v>
                </c:pt>
                <c:pt idx="993">
                  <c:v>38180.002077921221</c:v>
                </c:pt>
                <c:pt idx="994">
                  <c:v>38180.002077921221</c:v>
                </c:pt>
                <c:pt idx="995">
                  <c:v>38180.002077921221</c:v>
                </c:pt>
                <c:pt idx="996">
                  <c:v>38228.002077921221</c:v>
                </c:pt>
                <c:pt idx="997">
                  <c:v>38484.002077921221</c:v>
                </c:pt>
                <c:pt idx="998">
                  <c:v>37620.002077921221</c:v>
                </c:pt>
                <c:pt idx="999">
                  <c:v>35060.002077921221</c:v>
                </c:pt>
                <c:pt idx="1000">
                  <c:v>35060.002077921221</c:v>
                </c:pt>
                <c:pt idx="1001">
                  <c:v>34559.002077921141</c:v>
                </c:pt>
                <c:pt idx="1002">
                  <c:v>34559.002077921141</c:v>
                </c:pt>
                <c:pt idx="1003">
                  <c:v>34559.002077921141</c:v>
                </c:pt>
                <c:pt idx="1004">
                  <c:v>34509.202077921196</c:v>
                </c:pt>
                <c:pt idx="1005">
                  <c:v>34509.202077921196</c:v>
                </c:pt>
                <c:pt idx="1006">
                  <c:v>34509.202077921196</c:v>
                </c:pt>
                <c:pt idx="1007">
                  <c:v>34509.202077921196</c:v>
                </c:pt>
                <c:pt idx="1008">
                  <c:v>34509.202077921196</c:v>
                </c:pt>
                <c:pt idx="1009">
                  <c:v>34509.202077921196</c:v>
                </c:pt>
                <c:pt idx="1010">
                  <c:v>34509.202077921196</c:v>
                </c:pt>
                <c:pt idx="1011">
                  <c:v>34509.202077921196</c:v>
                </c:pt>
                <c:pt idx="1012">
                  <c:v>34509.202077921196</c:v>
                </c:pt>
                <c:pt idx="1013">
                  <c:v>34509.202077921196</c:v>
                </c:pt>
                <c:pt idx="1014">
                  <c:v>34509.202077921196</c:v>
                </c:pt>
                <c:pt idx="1015">
                  <c:v>34509.202077921196</c:v>
                </c:pt>
                <c:pt idx="1016">
                  <c:v>34509.202077921196</c:v>
                </c:pt>
                <c:pt idx="1017">
                  <c:v>34509.202077921196</c:v>
                </c:pt>
                <c:pt idx="1018">
                  <c:v>34509.202077921196</c:v>
                </c:pt>
                <c:pt idx="1019">
                  <c:v>34509.202077921196</c:v>
                </c:pt>
                <c:pt idx="1020">
                  <c:v>34509.202077921196</c:v>
                </c:pt>
                <c:pt idx="1021">
                  <c:v>34509.202077921196</c:v>
                </c:pt>
                <c:pt idx="1022">
                  <c:v>34509.202077921196</c:v>
                </c:pt>
                <c:pt idx="1023">
                  <c:v>34509.202077921196</c:v>
                </c:pt>
                <c:pt idx="1024">
                  <c:v>34509.202077921196</c:v>
                </c:pt>
                <c:pt idx="1025">
                  <c:v>34509.202077921196</c:v>
                </c:pt>
                <c:pt idx="1027">
                  <c:v>-512.79999999998074</c:v>
                </c:pt>
                <c:pt idx="1028">
                  <c:v>-512.79999999998074</c:v>
                </c:pt>
                <c:pt idx="1029">
                  <c:v>-512.79999999998074</c:v>
                </c:pt>
                <c:pt idx="1030">
                  <c:v>-512.79999999998074</c:v>
                </c:pt>
                <c:pt idx="1031">
                  <c:v>-512.79999999998074</c:v>
                </c:pt>
                <c:pt idx="1032">
                  <c:v>-512.79999999998074</c:v>
                </c:pt>
                <c:pt idx="1033">
                  <c:v>-512.79999999998074</c:v>
                </c:pt>
                <c:pt idx="1034">
                  <c:v>-512.79999999998074</c:v>
                </c:pt>
                <c:pt idx="1035">
                  <c:v>-512.79999999998074</c:v>
                </c:pt>
                <c:pt idx="1036">
                  <c:v>-512.79999999998074</c:v>
                </c:pt>
                <c:pt idx="1037">
                  <c:v>-512.79999999998074</c:v>
                </c:pt>
                <c:pt idx="1038">
                  <c:v>-512.79999999998074</c:v>
                </c:pt>
                <c:pt idx="1039">
                  <c:v>-512.79999999998074</c:v>
                </c:pt>
                <c:pt idx="1040">
                  <c:v>-512.79999999998074</c:v>
                </c:pt>
                <c:pt idx="1041">
                  <c:v>-512.79999999998074</c:v>
                </c:pt>
                <c:pt idx="1042">
                  <c:v>-512.79999999998074</c:v>
                </c:pt>
                <c:pt idx="1043">
                  <c:v>-512.79999999998074</c:v>
                </c:pt>
                <c:pt idx="1044">
                  <c:v>-512.79999999998074</c:v>
                </c:pt>
                <c:pt idx="1045">
                  <c:v>-512.79999999998074</c:v>
                </c:pt>
                <c:pt idx="1046">
                  <c:v>-512.79999999998074</c:v>
                </c:pt>
                <c:pt idx="1047">
                  <c:v>-512.79999999998074</c:v>
                </c:pt>
                <c:pt idx="1048">
                  <c:v>-512.79999999998074</c:v>
                </c:pt>
                <c:pt idx="1049">
                  <c:v>-512.79999999998074</c:v>
                </c:pt>
                <c:pt idx="1050">
                  <c:v>-512.79999999998074</c:v>
                </c:pt>
                <c:pt idx="1051">
                  <c:v>-512.79999999998074</c:v>
                </c:pt>
                <c:pt idx="1052">
                  <c:v>-512.79999999998074</c:v>
                </c:pt>
                <c:pt idx="1053">
                  <c:v>-512.79999999998074</c:v>
                </c:pt>
                <c:pt idx="1054">
                  <c:v>-512.79999999998074</c:v>
                </c:pt>
                <c:pt idx="1055">
                  <c:v>-512.79999999998074</c:v>
                </c:pt>
                <c:pt idx="1056">
                  <c:v>-512.79999999998074</c:v>
                </c:pt>
                <c:pt idx="1057">
                  <c:v>-512.79999999998074</c:v>
                </c:pt>
                <c:pt idx="1058">
                  <c:v>-512.79999999998074</c:v>
                </c:pt>
                <c:pt idx="1059">
                  <c:v>-512.79999999998074</c:v>
                </c:pt>
                <c:pt idx="1060">
                  <c:v>-512.79999999998074</c:v>
                </c:pt>
                <c:pt idx="1061">
                  <c:v>-512.79999999998074</c:v>
                </c:pt>
                <c:pt idx="1062">
                  <c:v>-512.79999999998074</c:v>
                </c:pt>
                <c:pt idx="1063">
                  <c:v>-512.79999999998074</c:v>
                </c:pt>
                <c:pt idx="1064">
                  <c:v>-512.79999999998074</c:v>
                </c:pt>
                <c:pt idx="1065">
                  <c:v>-512.79999999998074</c:v>
                </c:pt>
                <c:pt idx="1066">
                  <c:v>-512.79999999998074</c:v>
                </c:pt>
                <c:pt idx="1067">
                  <c:v>-512.79999999998074</c:v>
                </c:pt>
                <c:pt idx="1068">
                  <c:v>-512.79999999998074</c:v>
                </c:pt>
                <c:pt idx="1069">
                  <c:v>-512.79999999998074</c:v>
                </c:pt>
                <c:pt idx="1070">
                  <c:v>-512.79999999998074</c:v>
                </c:pt>
                <c:pt idx="1071">
                  <c:v>-512.79999999998074</c:v>
                </c:pt>
                <c:pt idx="1072">
                  <c:v>-512.79999999998074</c:v>
                </c:pt>
                <c:pt idx="1073">
                  <c:v>-512.79999999998074</c:v>
                </c:pt>
                <c:pt idx="1074">
                  <c:v>-512.79999999998074</c:v>
                </c:pt>
                <c:pt idx="1075">
                  <c:v>-512.79999999998074</c:v>
                </c:pt>
                <c:pt idx="1076">
                  <c:v>-512.79999999998074</c:v>
                </c:pt>
                <c:pt idx="1077">
                  <c:v>-512.79999999998074</c:v>
                </c:pt>
                <c:pt idx="1078">
                  <c:v>-512.79999999998074</c:v>
                </c:pt>
                <c:pt idx="1079">
                  <c:v>-512.79999999998074</c:v>
                </c:pt>
                <c:pt idx="1080">
                  <c:v>-512.79999999998074</c:v>
                </c:pt>
                <c:pt idx="1081">
                  <c:v>-512.79999999998074</c:v>
                </c:pt>
                <c:pt idx="1082">
                  <c:v>-512.79999999998074</c:v>
                </c:pt>
                <c:pt idx="1083">
                  <c:v>-512.79999999998074</c:v>
                </c:pt>
                <c:pt idx="1084">
                  <c:v>-512.79999999998074</c:v>
                </c:pt>
                <c:pt idx="1085">
                  <c:v>-512.79999999998074</c:v>
                </c:pt>
                <c:pt idx="1086">
                  <c:v>-512.79999999998074</c:v>
                </c:pt>
                <c:pt idx="1087">
                  <c:v>-512.79999999998074</c:v>
                </c:pt>
                <c:pt idx="1088">
                  <c:v>-512.79999999998074</c:v>
                </c:pt>
                <c:pt idx="1089">
                  <c:v>-512.79999999998074</c:v>
                </c:pt>
                <c:pt idx="1090">
                  <c:v>-512.79999999998074</c:v>
                </c:pt>
                <c:pt idx="1091">
                  <c:v>-512.79999999998074</c:v>
                </c:pt>
                <c:pt idx="1092">
                  <c:v>-512.79999999998074</c:v>
                </c:pt>
                <c:pt idx="1093">
                  <c:v>-512.79999999998074</c:v>
                </c:pt>
                <c:pt idx="1094">
                  <c:v>-512.79999999998074</c:v>
                </c:pt>
                <c:pt idx="1095">
                  <c:v>-512.79999999998074</c:v>
                </c:pt>
                <c:pt idx="1096">
                  <c:v>-512.79999999998074</c:v>
                </c:pt>
                <c:pt idx="1097">
                  <c:v>-512.79999999998074</c:v>
                </c:pt>
                <c:pt idx="1098">
                  <c:v>-512.79999999998074</c:v>
                </c:pt>
                <c:pt idx="1099">
                  <c:v>-512.79999999998074</c:v>
                </c:pt>
                <c:pt idx="1100">
                  <c:v>-512.79999999998074</c:v>
                </c:pt>
                <c:pt idx="1101">
                  <c:v>-512.79999999998074</c:v>
                </c:pt>
                <c:pt idx="1102">
                  <c:v>-512.79999999998074</c:v>
                </c:pt>
                <c:pt idx="1103">
                  <c:v>-512.79999999998074</c:v>
                </c:pt>
                <c:pt idx="1104">
                  <c:v>-512.79999999998074</c:v>
                </c:pt>
                <c:pt idx="1105">
                  <c:v>-512.79999999998074</c:v>
                </c:pt>
                <c:pt idx="1106">
                  <c:v>-512.79999999998074</c:v>
                </c:pt>
                <c:pt idx="1107">
                  <c:v>-512.79999999998074</c:v>
                </c:pt>
                <c:pt idx="1108">
                  <c:v>-512.79999999998074</c:v>
                </c:pt>
                <c:pt idx="1109">
                  <c:v>-512.79999999998074</c:v>
                </c:pt>
                <c:pt idx="1110">
                  <c:v>-512.79999999998074</c:v>
                </c:pt>
                <c:pt idx="1111">
                  <c:v>-512.79999999998074</c:v>
                </c:pt>
                <c:pt idx="1112">
                  <c:v>-512.79999999998074</c:v>
                </c:pt>
                <c:pt idx="1113">
                  <c:v>-512.79999999998074</c:v>
                </c:pt>
                <c:pt idx="1114">
                  <c:v>-512.79999999998074</c:v>
                </c:pt>
                <c:pt idx="1115">
                  <c:v>-512.79999999998074</c:v>
                </c:pt>
                <c:pt idx="1116">
                  <c:v>-512.79999999998074</c:v>
                </c:pt>
                <c:pt idx="1117">
                  <c:v>-512.79999999998074</c:v>
                </c:pt>
                <c:pt idx="1118">
                  <c:v>-512.79999999998074</c:v>
                </c:pt>
                <c:pt idx="1119">
                  <c:v>-512.79999999998074</c:v>
                </c:pt>
                <c:pt idx="1120">
                  <c:v>-512.79999999998074</c:v>
                </c:pt>
                <c:pt idx="1121">
                  <c:v>-512.79999999998074</c:v>
                </c:pt>
                <c:pt idx="1122">
                  <c:v>-512.79999999998074</c:v>
                </c:pt>
                <c:pt idx="1123">
                  <c:v>-512.79999999998074</c:v>
                </c:pt>
                <c:pt idx="1124">
                  <c:v>-512.79999999998074</c:v>
                </c:pt>
                <c:pt idx="1125">
                  <c:v>-512.79999999998074</c:v>
                </c:pt>
                <c:pt idx="1126">
                  <c:v>-512.79999999998074</c:v>
                </c:pt>
                <c:pt idx="1127">
                  <c:v>-512.79999999998074</c:v>
                </c:pt>
                <c:pt idx="1128">
                  <c:v>-512.79999999998074</c:v>
                </c:pt>
                <c:pt idx="1129">
                  <c:v>-512.79999999998074</c:v>
                </c:pt>
                <c:pt idx="1130">
                  <c:v>-512.79999999998074</c:v>
                </c:pt>
                <c:pt idx="1131">
                  <c:v>-512.79999999998074</c:v>
                </c:pt>
                <c:pt idx="1132">
                  <c:v>-512.79999999998074</c:v>
                </c:pt>
                <c:pt idx="1133">
                  <c:v>-512.79999999998074</c:v>
                </c:pt>
                <c:pt idx="1134">
                  <c:v>-512.79999999998074</c:v>
                </c:pt>
                <c:pt idx="1135">
                  <c:v>-512.79999999998074</c:v>
                </c:pt>
                <c:pt idx="1136">
                  <c:v>-512.79999999998074</c:v>
                </c:pt>
                <c:pt idx="1137">
                  <c:v>-512.79999999998074</c:v>
                </c:pt>
                <c:pt idx="1138">
                  <c:v>-512.79999999998074</c:v>
                </c:pt>
                <c:pt idx="1139">
                  <c:v>-512.79999999998074</c:v>
                </c:pt>
                <c:pt idx="1140">
                  <c:v>-512.79999999998074</c:v>
                </c:pt>
                <c:pt idx="1141">
                  <c:v>-512.79999999998074</c:v>
                </c:pt>
                <c:pt idx="1142">
                  <c:v>-512.79999999998074</c:v>
                </c:pt>
                <c:pt idx="1143">
                  <c:v>-512.79999999998074</c:v>
                </c:pt>
                <c:pt idx="1144">
                  <c:v>-512.79999999998074</c:v>
                </c:pt>
                <c:pt idx="1145">
                  <c:v>-512.79999999998074</c:v>
                </c:pt>
                <c:pt idx="1146">
                  <c:v>-512.79999999998074</c:v>
                </c:pt>
                <c:pt idx="1147">
                  <c:v>-512.79999999998074</c:v>
                </c:pt>
                <c:pt idx="1148">
                  <c:v>-512.79999999998074</c:v>
                </c:pt>
                <c:pt idx="1149">
                  <c:v>-512.79999999998074</c:v>
                </c:pt>
                <c:pt idx="1150">
                  <c:v>-512.79999999998074</c:v>
                </c:pt>
                <c:pt idx="1151">
                  <c:v>-512.79999999998074</c:v>
                </c:pt>
                <c:pt idx="1152">
                  <c:v>-512.79999999998074</c:v>
                </c:pt>
                <c:pt idx="1153">
                  <c:v>-512.79999999998074</c:v>
                </c:pt>
                <c:pt idx="1154">
                  <c:v>-512.79999999998074</c:v>
                </c:pt>
                <c:pt idx="1155">
                  <c:v>-512.79999999998074</c:v>
                </c:pt>
                <c:pt idx="1156">
                  <c:v>-512.79999999998074</c:v>
                </c:pt>
                <c:pt idx="1157">
                  <c:v>-512.79999999998074</c:v>
                </c:pt>
                <c:pt idx="1158">
                  <c:v>-512.79999999998074</c:v>
                </c:pt>
                <c:pt idx="1159">
                  <c:v>-512.79999999998074</c:v>
                </c:pt>
                <c:pt idx="1160">
                  <c:v>-512.79999999998074</c:v>
                </c:pt>
                <c:pt idx="1161">
                  <c:v>-512.79999999998074</c:v>
                </c:pt>
                <c:pt idx="1162">
                  <c:v>-512.79999999998074</c:v>
                </c:pt>
                <c:pt idx="1163">
                  <c:v>-512.79999999998074</c:v>
                </c:pt>
                <c:pt idx="1164">
                  <c:v>-512.79999999998074</c:v>
                </c:pt>
                <c:pt idx="1165">
                  <c:v>-512.79999999998074</c:v>
                </c:pt>
                <c:pt idx="1166">
                  <c:v>-512.79999999998074</c:v>
                </c:pt>
                <c:pt idx="1167">
                  <c:v>-512.79999999998074</c:v>
                </c:pt>
                <c:pt idx="1168">
                  <c:v>-512.79999999998074</c:v>
                </c:pt>
                <c:pt idx="1169">
                  <c:v>-512.79999999998074</c:v>
                </c:pt>
                <c:pt idx="1170">
                  <c:v>-512.79999999998074</c:v>
                </c:pt>
                <c:pt idx="1171">
                  <c:v>-512.79999999998074</c:v>
                </c:pt>
                <c:pt idx="1172">
                  <c:v>-512.79999999998074</c:v>
                </c:pt>
                <c:pt idx="1173">
                  <c:v>-512.79999999998074</c:v>
                </c:pt>
                <c:pt idx="1174">
                  <c:v>-512.79999999998074</c:v>
                </c:pt>
                <c:pt idx="1175">
                  <c:v>-512.79999999998074</c:v>
                </c:pt>
                <c:pt idx="1176">
                  <c:v>-512.79999999998074</c:v>
                </c:pt>
                <c:pt idx="1177">
                  <c:v>-512.79999999998074</c:v>
                </c:pt>
                <c:pt idx="1178">
                  <c:v>-512.79999999998074</c:v>
                </c:pt>
                <c:pt idx="1179">
                  <c:v>-512.79999999998074</c:v>
                </c:pt>
                <c:pt idx="1180">
                  <c:v>-512.79999999998074</c:v>
                </c:pt>
                <c:pt idx="1181">
                  <c:v>-512.79999999998074</c:v>
                </c:pt>
                <c:pt idx="1182">
                  <c:v>-512.79999999998074</c:v>
                </c:pt>
                <c:pt idx="1183">
                  <c:v>-512.79999999998074</c:v>
                </c:pt>
                <c:pt idx="1184">
                  <c:v>-512.79999999998074</c:v>
                </c:pt>
                <c:pt idx="1185">
                  <c:v>-512.79999999998074</c:v>
                </c:pt>
                <c:pt idx="1186">
                  <c:v>-512.79999999998074</c:v>
                </c:pt>
                <c:pt idx="1187">
                  <c:v>-512.79999999998074</c:v>
                </c:pt>
                <c:pt idx="1188">
                  <c:v>-512.79999999998074</c:v>
                </c:pt>
                <c:pt idx="1189">
                  <c:v>-512.79999999998074</c:v>
                </c:pt>
                <c:pt idx="1190">
                  <c:v>-512.79999999998074</c:v>
                </c:pt>
                <c:pt idx="1191">
                  <c:v>-512.79999999998074</c:v>
                </c:pt>
                <c:pt idx="1192">
                  <c:v>-512.79999999998074</c:v>
                </c:pt>
                <c:pt idx="1193">
                  <c:v>-512.79999999998074</c:v>
                </c:pt>
                <c:pt idx="1194">
                  <c:v>-512.79999999998074</c:v>
                </c:pt>
                <c:pt idx="1195">
                  <c:v>-512.79999999998074</c:v>
                </c:pt>
                <c:pt idx="1196">
                  <c:v>-512.79999999998074</c:v>
                </c:pt>
                <c:pt idx="1197">
                  <c:v>-512.79999999998074</c:v>
                </c:pt>
                <c:pt idx="1198">
                  <c:v>-512.79999999998074</c:v>
                </c:pt>
                <c:pt idx="1199">
                  <c:v>-512.79999999998074</c:v>
                </c:pt>
                <c:pt idx="1200">
                  <c:v>-512.79999999998074</c:v>
                </c:pt>
                <c:pt idx="1201">
                  <c:v>-512.79999999998074</c:v>
                </c:pt>
                <c:pt idx="1202">
                  <c:v>-512.79999999998074</c:v>
                </c:pt>
                <c:pt idx="1203">
                  <c:v>-512.79999999998074</c:v>
                </c:pt>
                <c:pt idx="1204">
                  <c:v>-512.79999999998074</c:v>
                </c:pt>
                <c:pt idx="1205">
                  <c:v>-512.79999999998074</c:v>
                </c:pt>
                <c:pt idx="1206">
                  <c:v>-512.79999999998074</c:v>
                </c:pt>
                <c:pt idx="1207">
                  <c:v>-512.79999999998074</c:v>
                </c:pt>
                <c:pt idx="1208">
                  <c:v>-512.79999999998074</c:v>
                </c:pt>
                <c:pt idx="1209">
                  <c:v>-512.79999999998074</c:v>
                </c:pt>
                <c:pt idx="1210">
                  <c:v>-512.79999999998074</c:v>
                </c:pt>
                <c:pt idx="1211">
                  <c:v>-512.79999999998074</c:v>
                </c:pt>
                <c:pt idx="1212">
                  <c:v>-512.79999999998074</c:v>
                </c:pt>
                <c:pt idx="1213">
                  <c:v>-512.79999999998074</c:v>
                </c:pt>
                <c:pt idx="1214">
                  <c:v>-512.79999999998074</c:v>
                </c:pt>
                <c:pt idx="1215">
                  <c:v>-512.79999999998074</c:v>
                </c:pt>
                <c:pt idx="1216">
                  <c:v>-512.79999999998074</c:v>
                </c:pt>
                <c:pt idx="1217">
                  <c:v>-512.79999999998074</c:v>
                </c:pt>
                <c:pt idx="1218">
                  <c:v>-512.79999999998074</c:v>
                </c:pt>
                <c:pt idx="1219">
                  <c:v>-512.79999999998074</c:v>
                </c:pt>
                <c:pt idx="1220">
                  <c:v>-512.79999999998074</c:v>
                </c:pt>
                <c:pt idx="1221">
                  <c:v>-512.79999999998074</c:v>
                </c:pt>
                <c:pt idx="1222">
                  <c:v>-512.79999999998074</c:v>
                </c:pt>
                <c:pt idx="1223">
                  <c:v>-512.79999999998074</c:v>
                </c:pt>
                <c:pt idx="1224">
                  <c:v>-512.79999999998074</c:v>
                </c:pt>
                <c:pt idx="1225">
                  <c:v>-512.79999999998074</c:v>
                </c:pt>
                <c:pt idx="1226">
                  <c:v>-512.79999999998074</c:v>
                </c:pt>
                <c:pt idx="1227">
                  <c:v>-512.79999999998074</c:v>
                </c:pt>
                <c:pt idx="1228">
                  <c:v>-512.79999999998074</c:v>
                </c:pt>
                <c:pt idx="1229">
                  <c:v>-512.79999999998074</c:v>
                </c:pt>
                <c:pt idx="1230">
                  <c:v>-512.79999999998074</c:v>
                </c:pt>
                <c:pt idx="1231">
                  <c:v>-512.79999999998074</c:v>
                </c:pt>
                <c:pt idx="1232">
                  <c:v>-512.79999999998074</c:v>
                </c:pt>
                <c:pt idx="1233">
                  <c:v>-512.79999999998074</c:v>
                </c:pt>
                <c:pt idx="1234">
                  <c:v>-512.79999999998074</c:v>
                </c:pt>
                <c:pt idx="1235">
                  <c:v>-512.79999999998074</c:v>
                </c:pt>
                <c:pt idx="1236">
                  <c:v>-512.79999999998074</c:v>
                </c:pt>
                <c:pt idx="1237">
                  <c:v>-512.79999999998074</c:v>
                </c:pt>
              </c:numCache>
            </c:numRef>
          </c:val>
          <c:smooth val="0"/>
          <c:extLst>
            <c:ext xmlns:c16="http://schemas.microsoft.com/office/drawing/2014/chart" uri="{C3380CC4-5D6E-409C-BE32-E72D297353CC}">
              <c16:uniqueId val="{00000000-FF92-4A8A-8C98-4B0CC8D511E7}"/>
            </c:ext>
          </c:extLst>
        </c:ser>
        <c:ser>
          <c:idx val="1"/>
          <c:order val="1"/>
          <c:tx>
            <c:v>F</c:v>
          </c:tx>
          <c:spPr>
            <a:ln w="28575" cap="rnd">
              <a:solidFill>
                <a:srgbClr val="00B0F0"/>
              </a:solidFill>
              <a:round/>
            </a:ln>
            <a:effectLst/>
          </c:spPr>
          <c:marker>
            <c:symbol val="none"/>
          </c:marker>
          <c:cat>
            <c:strRef>
              <c:f>'Journal Live'!$A$1388:$A$2630</c:f>
              <c:strCache>
                <c:ptCount val="1238"/>
                <c:pt idx="1">
                  <c:v>JAN.24</c:v>
                </c:pt>
                <c:pt idx="2">
                  <c:v>JAN.24</c:v>
                </c:pt>
                <c:pt idx="3">
                  <c:v>JAN.24</c:v>
                </c:pt>
                <c:pt idx="4">
                  <c:v>JAN.24</c:v>
                </c:pt>
                <c:pt idx="5">
                  <c:v>JAN.24</c:v>
                </c:pt>
                <c:pt idx="6">
                  <c:v>JAN.24</c:v>
                </c:pt>
                <c:pt idx="7">
                  <c:v>JAN.24</c:v>
                </c:pt>
                <c:pt idx="8">
                  <c:v>JAN.24</c:v>
                </c:pt>
                <c:pt idx="9">
                  <c:v>JAN.24</c:v>
                </c:pt>
                <c:pt idx="10">
                  <c:v>JAN.24</c:v>
                </c:pt>
                <c:pt idx="11">
                  <c:v>JAN.24</c:v>
                </c:pt>
                <c:pt idx="12">
                  <c:v>JAN.24</c:v>
                </c:pt>
                <c:pt idx="13">
                  <c:v>JAN.24</c:v>
                </c:pt>
                <c:pt idx="14">
                  <c:v>JAN.24</c:v>
                </c:pt>
                <c:pt idx="15">
                  <c:v>JAN.24</c:v>
                </c:pt>
                <c:pt idx="16">
                  <c:v>JAN.24</c:v>
                </c:pt>
                <c:pt idx="17">
                  <c:v>JAN.24</c:v>
                </c:pt>
                <c:pt idx="18">
                  <c:v>JAN.24</c:v>
                </c:pt>
                <c:pt idx="19">
                  <c:v>JAN.24</c:v>
                </c:pt>
                <c:pt idx="20">
                  <c:v>JAN.24</c:v>
                </c:pt>
                <c:pt idx="21">
                  <c:v>JAN.24</c:v>
                </c:pt>
                <c:pt idx="22">
                  <c:v>JAN.24</c:v>
                </c:pt>
                <c:pt idx="23">
                  <c:v>JAN.24</c:v>
                </c:pt>
                <c:pt idx="24">
                  <c:v>JAN.24</c:v>
                </c:pt>
                <c:pt idx="25">
                  <c:v>JAN.24</c:v>
                </c:pt>
                <c:pt idx="26">
                  <c:v>JAN.24</c:v>
                </c:pt>
                <c:pt idx="27">
                  <c:v>JAN.24</c:v>
                </c:pt>
                <c:pt idx="28">
                  <c:v>JAN.24</c:v>
                </c:pt>
                <c:pt idx="29">
                  <c:v>JAN.24</c:v>
                </c:pt>
                <c:pt idx="30">
                  <c:v>JAN.24</c:v>
                </c:pt>
                <c:pt idx="31">
                  <c:v>JAN.24</c:v>
                </c:pt>
                <c:pt idx="32">
                  <c:v>JAN.24</c:v>
                </c:pt>
                <c:pt idx="33">
                  <c:v>JAN.24</c:v>
                </c:pt>
                <c:pt idx="34">
                  <c:v>JAN.24</c:v>
                </c:pt>
                <c:pt idx="35">
                  <c:v>JAN.24</c:v>
                </c:pt>
                <c:pt idx="36">
                  <c:v>JAN.24</c:v>
                </c:pt>
                <c:pt idx="37">
                  <c:v>JAN.24</c:v>
                </c:pt>
                <c:pt idx="38">
                  <c:v>JAN.24</c:v>
                </c:pt>
                <c:pt idx="39">
                  <c:v>JAN.24</c:v>
                </c:pt>
                <c:pt idx="40">
                  <c:v>JAN.24</c:v>
                </c:pt>
                <c:pt idx="41">
                  <c:v>JAN.24</c:v>
                </c:pt>
                <c:pt idx="42">
                  <c:v>JAN.24</c:v>
                </c:pt>
                <c:pt idx="43">
                  <c:v>JAN.24</c:v>
                </c:pt>
                <c:pt idx="44">
                  <c:v>JAN.24</c:v>
                </c:pt>
                <c:pt idx="45">
                  <c:v>JAN.24</c:v>
                </c:pt>
                <c:pt idx="46">
                  <c:v>JAN.24</c:v>
                </c:pt>
                <c:pt idx="47">
                  <c:v>JAN.24</c:v>
                </c:pt>
                <c:pt idx="48">
                  <c:v>JAN.24</c:v>
                </c:pt>
                <c:pt idx="49">
                  <c:v>JAN.24</c:v>
                </c:pt>
                <c:pt idx="50">
                  <c:v>JAN.24</c:v>
                </c:pt>
                <c:pt idx="51">
                  <c:v>JAN.24</c:v>
                </c:pt>
                <c:pt idx="52">
                  <c:v>JAN.24</c:v>
                </c:pt>
                <c:pt idx="53">
                  <c:v>JAN.24</c:v>
                </c:pt>
                <c:pt idx="54">
                  <c:v>JAN.24</c:v>
                </c:pt>
                <c:pt idx="55">
                  <c:v>JAN.24</c:v>
                </c:pt>
                <c:pt idx="56">
                  <c:v>JAN.24</c:v>
                </c:pt>
                <c:pt idx="57">
                  <c:v>JAN.24</c:v>
                </c:pt>
                <c:pt idx="58">
                  <c:v>JAN.24</c:v>
                </c:pt>
                <c:pt idx="59">
                  <c:v>JAN.24</c:v>
                </c:pt>
                <c:pt idx="60">
                  <c:v>JAN.24</c:v>
                </c:pt>
                <c:pt idx="61">
                  <c:v>JAN.24</c:v>
                </c:pt>
                <c:pt idx="62">
                  <c:v>JAN.24</c:v>
                </c:pt>
                <c:pt idx="63">
                  <c:v>JAN.24</c:v>
                </c:pt>
                <c:pt idx="64">
                  <c:v>JAN.24</c:v>
                </c:pt>
                <c:pt idx="65">
                  <c:v>JAN.24</c:v>
                </c:pt>
                <c:pt idx="66">
                  <c:v>JAN.24</c:v>
                </c:pt>
                <c:pt idx="67">
                  <c:v>JAN.24</c:v>
                </c:pt>
                <c:pt idx="68">
                  <c:v>JAN.24</c:v>
                </c:pt>
                <c:pt idx="69">
                  <c:v>JAN.24</c:v>
                </c:pt>
                <c:pt idx="70">
                  <c:v>JAN.24</c:v>
                </c:pt>
                <c:pt idx="71">
                  <c:v>JAN.24</c:v>
                </c:pt>
                <c:pt idx="72">
                  <c:v>JAN.24</c:v>
                </c:pt>
                <c:pt idx="73">
                  <c:v>JAN.24</c:v>
                </c:pt>
                <c:pt idx="74">
                  <c:v>JAN.24</c:v>
                </c:pt>
                <c:pt idx="75">
                  <c:v>JAN.24</c:v>
                </c:pt>
                <c:pt idx="76">
                  <c:v>JAN.24</c:v>
                </c:pt>
                <c:pt idx="77">
                  <c:v>JAN.24</c:v>
                </c:pt>
                <c:pt idx="78">
                  <c:v>JAN.24</c:v>
                </c:pt>
                <c:pt idx="79">
                  <c:v>JAN.24</c:v>
                </c:pt>
                <c:pt idx="80">
                  <c:v>JAN.24</c:v>
                </c:pt>
                <c:pt idx="81">
                  <c:v>JAN.24</c:v>
                </c:pt>
                <c:pt idx="82">
                  <c:v>JAN.24</c:v>
                </c:pt>
                <c:pt idx="83">
                  <c:v>JAN.24</c:v>
                </c:pt>
                <c:pt idx="84">
                  <c:v>JAN.24</c:v>
                </c:pt>
                <c:pt idx="85">
                  <c:v>JAN.24</c:v>
                </c:pt>
                <c:pt idx="86">
                  <c:v>JAN.24</c:v>
                </c:pt>
                <c:pt idx="87">
                  <c:v>JAN.24</c:v>
                </c:pt>
                <c:pt idx="88">
                  <c:v>JAN.24</c:v>
                </c:pt>
                <c:pt idx="89">
                  <c:v>JAN.24</c:v>
                </c:pt>
                <c:pt idx="90">
                  <c:v>JAN.24</c:v>
                </c:pt>
                <c:pt idx="91">
                  <c:v>JAN.24</c:v>
                </c:pt>
                <c:pt idx="92">
                  <c:v>JAN.24</c:v>
                </c:pt>
                <c:pt idx="93">
                  <c:v>JAN.24</c:v>
                </c:pt>
                <c:pt idx="94">
                  <c:v>JAN.24</c:v>
                </c:pt>
                <c:pt idx="95">
                  <c:v>JAN.24</c:v>
                </c:pt>
                <c:pt idx="96">
                  <c:v>JAN.24</c:v>
                </c:pt>
                <c:pt idx="97">
                  <c:v>JAN.24</c:v>
                </c:pt>
                <c:pt idx="98">
                  <c:v>JAN.24</c:v>
                </c:pt>
                <c:pt idx="99">
                  <c:v>JAN.24</c:v>
                </c:pt>
                <c:pt idx="100">
                  <c:v>JAN.24</c:v>
                </c:pt>
                <c:pt idx="101">
                  <c:v>JAN.24</c:v>
                </c:pt>
                <c:pt idx="102">
                  <c:v>JAN.24</c:v>
                </c:pt>
                <c:pt idx="103">
                  <c:v>JAN.24</c:v>
                </c:pt>
                <c:pt idx="104">
                  <c:v>JAN.24</c:v>
                </c:pt>
                <c:pt idx="105">
                  <c:v>JAN.24</c:v>
                </c:pt>
                <c:pt idx="106">
                  <c:v>JAN.24</c:v>
                </c:pt>
                <c:pt idx="107">
                  <c:v>JAN.24</c:v>
                </c:pt>
                <c:pt idx="108">
                  <c:v>JAN.24</c:v>
                </c:pt>
                <c:pt idx="109">
                  <c:v>JAN.24</c:v>
                </c:pt>
                <c:pt idx="110">
                  <c:v>JAN.24</c:v>
                </c:pt>
                <c:pt idx="111">
                  <c:v>JAN.24</c:v>
                </c:pt>
                <c:pt idx="112">
                  <c:v>JAN.24</c:v>
                </c:pt>
                <c:pt idx="113">
                  <c:v>JAN.24</c:v>
                </c:pt>
                <c:pt idx="114">
                  <c:v>JAN.24</c:v>
                </c:pt>
                <c:pt idx="115">
                  <c:v>JAN.24</c:v>
                </c:pt>
                <c:pt idx="116">
                  <c:v>JAN.24</c:v>
                </c:pt>
                <c:pt idx="117">
                  <c:v>JAN.24</c:v>
                </c:pt>
                <c:pt idx="118">
                  <c:v>JAN.24</c:v>
                </c:pt>
                <c:pt idx="119">
                  <c:v>JAN.24</c:v>
                </c:pt>
                <c:pt idx="120">
                  <c:v>JAN.24</c:v>
                </c:pt>
                <c:pt idx="121">
                  <c:v>JAN.24</c:v>
                </c:pt>
                <c:pt idx="122">
                  <c:v>JAN.24</c:v>
                </c:pt>
                <c:pt idx="123">
                  <c:v>JAN.24</c:v>
                </c:pt>
                <c:pt idx="124">
                  <c:v>JAN.24</c:v>
                </c:pt>
                <c:pt idx="125">
                  <c:v>JAN.24</c:v>
                </c:pt>
                <c:pt idx="126">
                  <c:v>JAN.24</c:v>
                </c:pt>
                <c:pt idx="127">
                  <c:v>JAN.24</c:v>
                </c:pt>
                <c:pt idx="128">
                  <c:v>JAN.24</c:v>
                </c:pt>
                <c:pt idx="129">
                  <c:v>JAN.24</c:v>
                </c:pt>
                <c:pt idx="130">
                  <c:v>JAN.24</c:v>
                </c:pt>
                <c:pt idx="131">
                  <c:v>JAN.24</c:v>
                </c:pt>
                <c:pt idx="132">
                  <c:v>February 24 live</c:v>
                </c:pt>
                <c:pt idx="133">
                  <c:v>FEB.24</c:v>
                </c:pt>
                <c:pt idx="134">
                  <c:v>FEB.24</c:v>
                </c:pt>
                <c:pt idx="135">
                  <c:v>FEB.24</c:v>
                </c:pt>
                <c:pt idx="136">
                  <c:v>FEB.24</c:v>
                </c:pt>
                <c:pt idx="137">
                  <c:v>FEB.24</c:v>
                </c:pt>
                <c:pt idx="138">
                  <c:v>FEB.24</c:v>
                </c:pt>
                <c:pt idx="139">
                  <c:v>FEB.24</c:v>
                </c:pt>
                <c:pt idx="140">
                  <c:v>FEB.24</c:v>
                </c:pt>
                <c:pt idx="141">
                  <c:v>FEB.24</c:v>
                </c:pt>
                <c:pt idx="142">
                  <c:v>FEB.24</c:v>
                </c:pt>
                <c:pt idx="143">
                  <c:v>FEB.24</c:v>
                </c:pt>
                <c:pt idx="144">
                  <c:v>FEB.24</c:v>
                </c:pt>
                <c:pt idx="145">
                  <c:v>FEB.24</c:v>
                </c:pt>
                <c:pt idx="146">
                  <c:v>FEB.24</c:v>
                </c:pt>
                <c:pt idx="147">
                  <c:v>FEB.24</c:v>
                </c:pt>
                <c:pt idx="148">
                  <c:v>FEB.24</c:v>
                </c:pt>
                <c:pt idx="149">
                  <c:v>FEB.24</c:v>
                </c:pt>
                <c:pt idx="150">
                  <c:v>FEB.24</c:v>
                </c:pt>
                <c:pt idx="151">
                  <c:v>FEB.24</c:v>
                </c:pt>
                <c:pt idx="152">
                  <c:v>FEB.24</c:v>
                </c:pt>
                <c:pt idx="153">
                  <c:v>FEB.24</c:v>
                </c:pt>
                <c:pt idx="154">
                  <c:v>FEB.24</c:v>
                </c:pt>
                <c:pt idx="155">
                  <c:v>FEB.24</c:v>
                </c:pt>
                <c:pt idx="156">
                  <c:v>FEB.24</c:v>
                </c:pt>
                <c:pt idx="157">
                  <c:v>FEB.24</c:v>
                </c:pt>
                <c:pt idx="158">
                  <c:v>FEB.24</c:v>
                </c:pt>
                <c:pt idx="159">
                  <c:v>FEB.24</c:v>
                </c:pt>
                <c:pt idx="160">
                  <c:v>FEB.24</c:v>
                </c:pt>
                <c:pt idx="161">
                  <c:v>FEB.24</c:v>
                </c:pt>
                <c:pt idx="162">
                  <c:v>FEB.24</c:v>
                </c:pt>
                <c:pt idx="163">
                  <c:v>FEB.24</c:v>
                </c:pt>
                <c:pt idx="164">
                  <c:v>FEB.24</c:v>
                </c:pt>
                <c:pt idx="165">
                  <c:v>FEB.24</c:v>
                </c:pt>
                <c:pt idx="166">
                  <c:v>FEB.24</c:v>
                </c:pt>
                <c:pt idx="167">
                  <c:v>FEB.24</c:v>
                </c:pt>
                <c:pt idx="168">
                  <c:v>FEB.24</c:v>
                </c:pt>
                <c:pt idx="169">
                  <c:v>FEB.24</c:v>
                </c:pt>
                <c:pt idx="170">
                  <c:v>FEB.24</c:v>
                </c:pt>
                <c:pt idx="171">
                  <c:v>FEB.24</c:v>
                </c:pt>
                <c:pt idx="172">
                  <c:v>FEB.24</c:v>
                </c:pt>
                <c:pt idx="173">
                  <c:v>FEB.24</c:v>
                </c:pt>
                <c:pt idx="174">
                  <c:v>FEB.24</c:v>
                </c:pt>
                <c:pt idx="175">
                  <c:v>FEB.24</c:v>
                </c:pt>
                <c:pt idx="176">
                  <c:v>FEB.24</c:v>
                </c:pt>
                <c:pt idx="177">
                  <c:v>FEB.24</c:v>
                </c:pt>
                <c:pt idx="178">
                  <c:v>FEB.24</c:v>
                </c:pt>
                <c:pt idx="179">
                  <c:v>FEB.24</c:v>
                </c:pt>
                <c:pt idx="180">
                  <c:v>FEB.24</c:v>
                </c:pt>
                <c:pt idx="181">
                  <c:v>FEB.24</c:v>
                </c:pt>
                <c:pt idx="182">
                  <c:v>FEB.24</c:v>
                </c:pt>
                <c:pt idx="183">
                  <c:v>FEB.24</c:v>
                </c:pt>
                <c:pt idx="184">
                  <c:v>FEB.24</c:v>
                </c:pt>
                <c:pt idx="185">
                  <c:v>FEB.24</c:v>
                </c:pt>
                <c:pt idx="186">
                  <c:v>FEB.24</c:v>
                </c:pt>
                <c:pt idx="187">
                  <c:v>FEB.24</c:v>
                </c:pt>
                <c:pt idx="188">
                  <c:v>FEB.24</c:v>
                </c:pt>
                <c:pt idx="189">
                  <c:v>FEB.24</c:v>
                </c:pt>
                <c:pt idx="190">
                  <c:v>FEB.24</c:v>
                </c:pt>
                <c:pt idx="191">
                  <c:v>FEB.24</c:v>
                </c:pt>
                <c:pt idx="192">
                  <c:v>FEB.24</c:v>
                </c:pt>
                <c:pt idx="193">
                  <c:v>FEB.24</c:v>
                </c:pt>
                <c:pt idx="194">
                  <c:v>FEB.24</c:v>
                </c:pt>
                <c:pt idx="195">
                  <c:v>FEB.24</c:v>
                </c:pt>
                <c:pt idx="196">
                  <c:v>FEB.24</c:v>
                </c:pt>
                <c:pt idx="197">
                  <c:v>FEB.24</c:v>
                </c:pt>
                <c:pt idx="198">
                  <c:v>FEB.24</c:v>
                </c:pt>
                <c:pt idx="199">
                  <c:v>FEB.24</c:v>
                </c:pt>
                <c:pt idx="200">
                  <c:v>FEB.24</c:v>
                </c:pt>
                <c:pt idx="201">
                  <c:v>FEB.24</c:v>
                </c:pt>
                <c:pt idx="202">
                  <c:v>FEB.24</c:v>
                </c:pt>
                <c:pt idx="203">
                  <c:v>FEB.24</c:v>
                </c:pt>
                <c:pt idx="204">
                  <c:v>FEB.24</c:v>
                </c:pt>
                <c:pt idx="205">
                  <c:v>FEB.24</c:v>
                </c:pt>
                <c:pt idx="206">
                  <c:v>FEB.24</c:v>
                </c:pt>
                <c:pt idx="207">
                  <c:v>FEB.24</c:v>
                </c:pt>
                <c:pt idx="208">
                  <c:v>FEB.24</c:v>
                </c:pt>
                <c:pt idx="209">
                  <c:v>FEB.24</c:v>
                </c:pt>
                <c:pt idx="210">
                  <c:v>FEB.24</c:v>
                </c:pt>
                <c:pt idx="211">
                  <c:v>FEB.24</c:v>
                </c:pt>
                <c:pt idx="212">
                  <c:v>FEB.24</c:v>
                </c:pt>
                <c:pt idx="213">
                  <c:v>FEB.24</c:v>
                </c:pt>
                <c:pt idx="214">
                  <c:v>FEB.24</c:v>
                </c:pt>
                <c:pt idx="215">
                  <c:v>FEB.24</c:v>
                </c:pt>
                <c:pt idx="216">
                  <c:v>FEB.24</c:v>
                </c:pt>
                <c:pt idx="217">
                  <c:v>FEB.24</c:v>
                </c:pt>
                <c:pt idx="218">
                  <c:v>FEB.24</c:v>
                </c:pt>
                <c:pt idx="219">
                  <c:v>FEB.24</c:v>
                </c:pt>
                <c:pt idx="220">
                  <c:v>FEB.24</c:v>
                </c:pt>
                <c:pt idx="221">
                  <c:v>FEB.24</c:v>
                </c:pt>
                <c:pt idx="222">
                  <c:v>FEB.24</c:v>
                </c:pt>
                <c:pt idx="223">
                  <c:v>FEB.24</c:v>
                </c:pt>
                <c:pt idx="224">
                  <c:v>FEB.24</c:v>
                </c:pt>
                <c:pt idx="225">
                  <c:v>FEB.24</c:v>
                </c:pt>
                <c:pt idx="226">
                  <c:v>FEB.24</c:v>
                </c:pt>
                <c:pt idx="227">
                  <c:v>FEB.24</c:v>
                </c:pt>
                <c:pt idx="228">
                  <c:v>FEB.24</c:v>
                </c:pt>
                <c:pt idx="229">
                  <c:v>FEB.24</c:v>
                </c:pt>
                <c:pt idx="230">
                  <c:v>FEB.24</c:v>
                </c:pt>
                <c:pt idx="231">
                  <c:v>FEB.24</c:v>
                </c:pt>
                <c:pt idx="232">
                  <c:v>FEB.24</c:v>
                </c:pt>
                <c:pt idx="233">
                  <c:v>FEB.24</c:v>
                </c:pt>
                <c:pt idx="234">
                  <c:v>FEB.24</c:v>
                </c:pt>
                <c:pt idx="235">
                  <c:v>FEB.24</c:v>
                </c:pt>
                <c:pt idx="236">
                  <c:v>FEB.24</c:v>
                </c:pt>
                <c:pt idx="237">
                  <c:v>FEB.24</c:v>
                </c:pt>
                <c:pt idx="238">
                  <c:v>FEB.24</c:v>
                </c:pt>
                <c:pt idx="239">
                  <c:v>FEB.24</c:v>
                </c:pt>
                <c:pt idx="240">
                  <c:v>FEB.24</c:v>
                </c:pt>
                <c:pt idx="241">
                  <c:v>FEB.24</c:v>
                </c:pt>
                <c:pt idx="242">
                  <c:v>FEB.24</c:v>
                </c:pt>
                <c:pt idx="243">
                  <c:v>FEB.24</c:v>
                </c:pt>
                <c:pt idx="244">
                  <c:v>FEB.24</c:v>
                </c:pt>
                <c:pt idx="245">
                  <c:v>FEB.24</c:v>
                </c:pt>
                <c:pt idx="246">
                  <c:v>FEB.24</c:v>
                </c:pt>
                <c:pt idx="247">
                  <c:v>FEB.24</c:v>
                </c:pt>
                <c:pt idx="248">
                  <c:v>FEB.24</c:v>
                </c:pt>
                <c:pt idx="249">
                  <c:v>FEB.24</c:v>
                </c:pt>
                <c:pt idx="250">
                  <c:v>FEB.24</c:v>
                </c:pt>
                <c:pt idx="251">
                  <c:v>FEB.24</c:v>
                </c:pt>
                <c:pt idx="252">
                  <c:v>March 24 live</c:v>
                </c:pt>
                <c:pt idx="253">
                  <c:v>MAR.24</c:v>
                </c:pt>
                <c:pt idx="254">
                  <c:v>MAR.24</c:v>
                </c:pt>
                <c:pt idx="255">
                  <c:v>MAR.24</c:v>
                </c:pt>
                <c:pt idx="256">
                  <c:v>MAR.24</c:v>
                </c:pt>
                <c:pt idx="257">
                  <c:v>MAR.24</c:v>
                </c:pt>
                <c:pt idx="258">
                  <c:v>MAR.24</c:v>
                </c:pt>
                <c:pt idx="259">
                  <c:v>MAR.24</c:v>
                </c:pt>
                <c:pt idx="260">
                  <c:v>MAR.24</c:v>
                </c:pt>
                <c:pt idx="261">
                  <c:v>MAR.24</c:v>
                </c:pt>
                <c:pt idx="262">
                  <c:v>MAR.24</c:v>
                </c:pt>
                <c:pt idx="263">
                  <c:v>MAR.24</c:v>
                </c:pt>
                <c:pt idx="264">
                  <c:v>MAR.24</c:v>
                </c:pt>
                <c:pt idx="265">
                  <c:v>MAR.24</c:v>
                </c:pt>
                <c:pt idx="266">
                  <c:v>MAR.24</c:v>
                </c:pt>
                <c:pt idx="267">
                  <c:v>MAR.24</c:v>
                </c:pt>
                <c:pt idx="268">
                  <c:v>MAR.24</c:v>
                </c:pt>
                <c:pt idx="269">
                  <c:v>MAR.24</c:v>
                </c:pt>
                <c:pt idx="270">
                  <c:v>MAR.24</c:v>
                </c:pt>
                <c:pt idx="271">
                  <c:v>MAR.24</c:v>
                </c:pt>
                <c:pt idx="272">
                  <c:v>MAR.24</c:v>
                </c:pt>
                <c:pt idx="273">
                  <c:v>MAR.24</c:v>
                </c:pt>
                <c:pt idx="274">
                  <c:v>MAR.24</c:v>
                </c:pt>
                <c:pt idx="275">
                  <c:v>MAR.24</c:v>
                </c:pt>
                <c:pt idx="276">
                  <c:v>MAR.24</c:v>
                </c:pt>
                <c:pt idx="277">
                  <c:v>MAR.24</c:v>
                </c:pt>
                <c:pt idx="278">
                  <c:v>MAR.24</c:v>
                </c:pt>
                <c:pt idx="279">
                  <c:v>MAR.24</c:v>
                </c:pt>
                <c:pt idx="280">
                  <c:v>MAR.24</c:v>
                </c:pt>
                <c:pt idx="281">
                  <c:v>MAR.24</c:v>
                </c:pt>
                <c:pt idx="282">
                  <c:v>MAR.24</c:v>
                </c:pt>
                <c:pt idx="283">
                  <c:v>MAR.24</c:v>
                </c:pt>
                <c:pt idx="284">
                  <c:v>MAR.24</c:v>
                </c:pt>
                <c:pt idx="285">
                  <c:v>MAR.24</c:v>
                </c:pt>
                <c:pt idx="286">
                  <c:v>MAR.24</c:v>
                </c:pt>
                <c:pt idx="287">
                  <c:v>MAR.24</c:v>
                </c:pt>
                <c:pt idx="288">
                  <c:v>MAR.24</c:v>
                </c:pt>
                <c:pt idx="289">
                  <c:v>MAR.24</c:v>
                </c:pt>
                <c:pt idx="290">
                  <c:v>MAR.24</c:v>
                </c:pt>
                <c:pt idx="291">
                  <c:v>MAR.24</c:v>
                </c:pt>
                <c:pt idx="292">
                  <c:v>MAR.24</c:v>
                </c:pt>
                <c:pt idx="293">
                  <c:v>MAR.24</c:v>
                </c:pt>
                <c:pt idx="294">
                  <c:v>MAR.24</c:v>
                </c:pt>
                <c:pt idx="295">
                  <c:v>MAR.24</c:v>
                </c:pt>
                <c:pt idx="296">
                  <c:v>MAR.24</c:v>
                </c:pt>
                <c:pt idx="297">
                  <c:v>MAR.24</c:v>
                </c:pt>
                <c:pt idx="298">
                  <c:v>MAR.24</c:v>
                </c:pt>
                <c:pt idx="299">
                  <c:v>MAR.24</c:v>
                </c:pt>
                <c:pt idx="300">
                  <c:v>MAR.24</c:v>
                </c:pt>
                <c:pt idx="301">
                  <c:v>MAR.24</c:v>
                </c:pt>
                <c:pt idx="302">
                  <c:v>MAR.24</c:v>
                </c:pt>
                <c:pt idx="303">
                  <c:v>MAR.24</c:v>
                </c:pt>
                <c:pt idx="304">
                  <c:v>MAR.24</c:v>
                </c:pt>
                <c:pt idx="305">
                  <c:v>MAR.24</c:v>
                </c:pt>
                <c:pt idx="306">
                  <c:v>MAR.24</c:v>
                </c:pt>
                <c:pt idx="307">
                  <c:v>MAR.24</c:v>
                </c:pt>
                <c:pt idx="308">
                  <c:v>MAR.24</c:v>
                </c:pt>
                <c:pt idx="309">
                  <c:v>MAR.24</c:v>
                </c:pt>
                <c:pt idx="310">
                  <c:v>MAR.24</c:v>
                </c:pt>
                <c:pt idx="311">
                  <c:v>MAR.24</c:v>
                </c:pt>
                <c:pt idx="312">
                  <c:v>MAR.24</c:v>
                </c:pt>
                <c:pt idx="313">
                  <c:v>MAR.24</c:v>
                </c:pt>
                <c:pt idx="314">
                  <c:v>MAR.24</c:v>
                </c:pt>
                <c:pt idx="315">
                  <c:v>MAR.24</c:v>
                </c:pt>
                <c:pt idx="316">
                  <c:v>MAR.24</c:v>
                </c:pt>
                <c:pt idx="317">
                  <c:v>MAR.24</c:v>
                </c:pt>
                <c:pt idx="318">
                  <c:v>MAR.24</c:v>
                </c:pt>
                <c:pt idx="319">
                  <c:v>MAR.24</c:v>
                </c:pt>
                <c:pt idx="320">
                  <c:v>MAR.24</c:v>
                </c:pt>
                <c:pt idx="321">
                  <c:v>MAR.24</c:v>
                </c:pt>
                <c:pt idx="322">
                  <c:v>MAR.24</c:v>
                </c:pt>
                <c:pt idx="323">
                  <c:v>MAR.24</c:v>
                </c:pt>
                <c:pt idx="324">
                  <c:v>MAR.24</c:v>
                </c:pt>
                <c:pt idx="325">
                  <c:v>MAR.24</c:v>
                </c:pt>
                <c:pt idx="326">
                  <c:v>MAR.24</c:v>
                </c:pt>
                <c:pt idx="327">
                  <c:v>MAR.24</c:v>
                </c:pt>
                <c:pt idx="328">
                  <c:v>MAR.24</c:v>
                </c:pt>
                <c:pt idx="329">
                  <c:v>MAR.24</c:v>
                </c:pt>
                <c:pt idx="330">
                  <c:v>MAR.24</c:v>
                </c:pt>
                <c:pt idx="331">
                  <c:v>MAR.24</c:v>
                </c:pt>
                <c:pt idx="332">
                  <c:v>MAR.24</c:v>
                </c:pt>
                <c:pt idx="333">
                  <c:v>MAR.24</c:v>
                </c:pt>
                <c:pt idx="334">
                  <c:v>MAR.24</c:v>
                </c:pt>
                <c:pt idx="335">
                  <c:v>MAR.24</c:v>
                </c:pt>
                <c:pt idx="336">
                  <c:v>MAR.24</c:v>
                </c:pt>
                <c:pt idx="337">
                  <c:v>MAR.24</c:v>
                </c:pt>
                <c:pt idx="338">
                  <c:v>MAR.24</c:v>
                </c:pt>
                <c:pt idx="339">
                  <c:v>MAR.24</c:v>
                </c:pt>
                <c:pt idx="340">
                  <c:v>MAR.24</c:v>
                </c:pt>
                <c:pt idx="341">
                  <c:v>MAR.24</c:v>
                </c:pt>
                <c:pt idx="342">
                  <c:v>MAR.24</c:v>
                </c:pt>
                <c:pt idx="343">
                  <c:v>MAR.24</c:v>
                </c:pt>
                <c:pt idx="344">
                  <c:v>MAR.24</c:v>
                </c:pt>
                <c:pt idx="345">
                  <c:v>April 24 live</c:v>
                </c:pt>
                <c:pt idx="346">
                  <c:v>APR.24</c:v>
                </c:pt>
                <c:pt idx="347">
                  <c:v>APR.24</c:v>
                </c:pt>
                <c:pt idx="348">
                  <c:v>APR.24</c:v>
                </c:pt>
                <c:pt idx="349">
                  <c:v>APR.24</c:v>
                </c:pt>
                <c:pt idx="350">
                  <c:v>APR.24</c:v>
                </c:pt>
                <c:pt idx="351">
                  <c:v>APR.24</c:v>
                </c:pt>
                <c:pt idx="352">
                  <c:v>APR.24</c:v>
                </c:pt>
                <c:pt idx="353">
                  <c:v>APR.24</c:v>
                </c:pt>
                <c:pt idx="354">
                  <c:v>APR.24</c:v>
                </c:pt>
                <c:pt idx="355">
                  <c:v>APR.24</c:v>
                </c:pt>
                <c:pt idx="356">
                  <c:v>APR.24</c:v>
                </c:pt>
                <c:pt idx="357">
                  <c:v>APR.24</c:v>
                </c:pt>
                <c:pt idx="358">
                  <c:v>APR.24</c:v>
                </c:pt>
                <c:pt idx="359">
                  <c:v>APR.24</c:v>
                </c:pt>
                <c:pt idx="360">
                  <c:v>APR.24</c:v>
                </c:pt>
                <c:pt idx="361">
                  <c:v>APR.24</c:v>
                </c:pt>
                <c:pt idx="362">
                  <c:v>APR.24</c:v>
                </c:pt>
                <c:pt idx="363">
                  <c:v>APR.24</c:v>
                </c:pt>
                <c:pt idx="364">
                  <c:v>APR.24</c:v>
                </c:pt>
                <c:pt idx="365">
                  <c:v>APR.24</c:v>
                </c:pt>
                <c:pt idx="366">
                  <c:v>APR.24</c:v>
                </c:pt>
                <c:pt idx="367">
                  <c:v>APR.24</c:v>
                </c:pt>
                <c:pt idx="368">
                  <c:v>APR.24</c:v>
                </c:pt>
                <c:pt idx="369">
                  <c:v>APR.24</c:v>
                </c:pt>
                <c:pt idx="370">
                  <c:v>APR.24</c:v>
                </c:pt>
                <c:pt idx="371">
                  <c:v>APR.24</c:v>
                </c:pt>
                <c:pt idx="372">
                  <c:v>APR.24</c:v>
                </c:pt>
                <c:pt idx="373">
                  <c:v>APR.24</c:v>
                </c:pt>
                <c:pt idx="374">
                  <c:v>APR.24</c:v>
                </c:pt>
                <c:pt idx="375">
                  <c:v>APR.24</c:v>
                </c:pt>
                <c:pt idx="376">
                  <c:v>APR.24</c:v>
                </c:pt>
                <c:pt idx="377">
                  <c:v>APR.24</c:v>
                </c:pt>
                <c:pt idx="378">
                  <c:v>APR.24</c:v>
                </c:pt>
                <c:pt idx="379">
                  <c:v>APR.24</c:v>
                </c:pt>
                <c:pt idx="380">
                  <c:v>APR.24</c:v>
                </c:pt>
                <c:pt idx="381">
                  <c:v>APR.24</c:v>
                </c:pt>
                <c:pt idx="382">
                  <c:v>APR.24</c:v>
                </c:pt>
                <c:pt idx="383">
                  <c:v>APR.24</c:v>
                </c:pt>
                <c:pt idx="384">
                  <c:v>APR.24</c:v>
                </c:pt>
                <c:pt idx="385">
                  <c:v>APR.24</c:v>
                </c:pt>
                <c:pt idx="386">
                  <c:v>APR.24</c:v>
                </c:pt>
                <c:pt idx="387">
                  <c:v>APR.24</c:v>
                </c:pt>
                <c:pt idx="388">
                  <c:v>APR.24</c:v>
                </c:pt>
                <c:pt idx="389">
                  <c:v>APR.24</c:v>
                </c:pt>
                <c:pt idx="390">
                  <c:v>APR.24</c:v>
                </c:pt>
                <c:pt idx="391">
                  <c:v>APR.24</c:v>
                </c:pt>
                <c:pt idx="392">
                  <c:v>APR.24</c:v>
                </c:pt>
                <c:pt idx="393">
                  <c:v>APR.24</c:v>
                </c:pt>
                <c:pt idx="394">
                  <c:v>APR.24</c:v>
                </c:pt>
                <c:pt idx="395">
                  <c:v>APR.24</c:v>
                </c:pt>
                <c:pt idx="396">
                  <c:v>APR.24</c:v>
                </c:pt>
                <c:pt idx="397">
                  <c:v>APR.24</c:v>
                </c:pt>
                <c:pt idx="398">
                  <c:v>APR.24</c:v>
                </c:pt>
                <c:pt idx="399">
                  <c:v>APR.24</c:v>
                </c:pt>
                <c:pt idx="400">
                  <c:v>APR.24</c:v>
                </c:pt>
                <c:pt idx="401">
                  <c:v>APR.24</c:v>
                </c:pt>
                <c:pt idx="402">
                  <c:v>APR.24</c:v>
                </c:pt>
                <c:pt idx="403">
                  <c:v>APR.24</c:v>
                </c:pt>
                <c:pt idx="404">
                  <c:v>APR.24</c:v>
                </c:pt>
                <c:pt idx="405">
                  <c:v>APR.24</c:v>
                </c:pt>
                <c:pt idx="406">
                  <c:v>APR.24</c:v>
                </c:pt>
                <c:pt idx="407">
                  <c:v>APR.24</c:v>
                </c:pt>
                <c:pt idx="408">
                  <c:v>APR.24</c:v>
                </c:pt>
                <c:pt idx="409">
                  <c:v>APR.24</c:v>
                </c:pt>
                <c:pt idx="410">
                  <c:v>APR.24</c:v>
                </c:pt>
                <c:pt idx="411">
                  <c:v>APR.24</c:v>
                </c:pt>
                <c:pt idx="412">
                  <c:v>APR.24</c:v>
                </c:pt>
                <c:pt idx="413">
                  <c:v>APR.24</c:v>
                </c:pt>
                <c:pt idx="414">
                  <c:v>APR.24</c:v>
                </c:pt>
                <c:pt idx="415">
                  <c:v>APR.24</c:v>
                </c:pt>
                <c:pt idx="416">
                  <c:v>APR.24</c:v>
                </c:pt>
                <c:pt idx="417">
                  <c:v>APR.24</c:v>
                </c:pt>
                <c:pt idx="418">
                  <c:v>APR.24</c:v>
                </c:pt>
                <c:pt idx="419">
                  <c:v>APR.24</c:v>
                </c:pt>
                <c:pt idx="420">
                  <c:v>APR.24</c:v>
                </c:pt>
                <c:pt idx="421">
                  <c:v>APR.24</c:v>
                </c:pt>
                <c:pt idx="422">
                  <c:v>APR.24</c:v>
                </c:pt>
                <c:pt idx="423">
                  <c:v>APR.24</c:v>
                </c:pt>
                <c:pt idx="424">
                  <c:v>APR.24</c:v>
                </c:pt>
                <c:pt idx="425">
                  <c:v>APR.24</c:v>
                </c:pt>
                <c:pt idx="426">
                  <c:v>APR.24</c:v>
                </c:pt>
                <c:pt idx="427">
                  <c:v>APR.24</c:v>
                </c:pt>
                <c:pt idx="428">
                  <c:v>APR.24</c:v>
                </c:pt>
                <c:pt idx="429">
                  <c:v>APR.24</c:v>
                </c:pt>
                <c:pt idx="430">
                  <c:v>APR.24</c:v>
                </c:pt>
                <c:pt idx="431">
                  <c:v>APR.24</c:v>
                </c:pt>
                <c:pt idx="432">
                  <c:v>APR.24</c:v>
                </c:pt>
                <c:pt idx="433">
                  <c:v>APR.24</c:v>
                </c:pt>
                <c:pt idx="434">
                  <c:v>APR.24</c:v>
                </c:pt>
                <c:pt idx="435">
                  <c:v>APR.24</c:v>
                </c:pt>
                <c:pt idx="436">
                  <c:v>APR.24</c:v>
                </c:pt>
                <c:pt idx="437">
                  <c:v>APR.24</c:v>
                </c:pt>
                <c:pt idx="438">
                  <c:v>APR.24</c:v>
                </c:pt>
                <c:pt idx="439">
                  <c:v>APR.24</c:v>
                </c:pt>
                <c:pt idx="440">
                  <c:v>APR.24</c:v>
                </c:pt>
                <c:pt idx="441">
                  <c:v>APR.24</c:v>
                </c:pt>
                <c:pt idx="442">
                  <c:v>APR.24</c:v>
                </c:pt>
                <c:pt idx="443">
                  <c:v>APR.24</c:v>
                </c:pt>
                <c:pt idx="444">
                  <c:v>APR.24</c:v>
                </c:pt>
                <c:pt idx="445">
                  <c:v>APR.24</c:v>
                </c:pt>
                <c:pt idx="446">
                  <c:v>APR.24</c:v>
                </c:pt>
                <c:pt idx="447">
                  <c:v>APR.24</c:v>
                </c:pt>
                <c:pt idx="448">
                  <c:v>APR.24</c:v>
                </c:pt>
                <c:pt idx="449">
                  <c:v>APR.24</c:v>
                </c:pt>
                <c:pt idx="450">
                  <c:v>APR.24</c:v>
                </c:pt>
                <c:pt idx="451">
                  <c:v>APR.24</c:v>
                </c:pt>
                <c:pt idx="452">
                  <c:v>APR.24</c:v>
                </c:pt>
                <c:pt idx="453">
                  <c:v>APR.24</c:v>
                </c:pt>
                <c:pt idx="454">
                  <c:v>APR.24</c:v>
                </c:pt>
                <c:pt idx="455">
                  <c:v>APR.24</c:v>
                </c:pt>
                <c:pt idx="456">
                  <c:v>APR.24</c:v>
                </c:pt>
                <c:pt idx="457">
                  <c:v>APR.24</c:v>
                </c:pt>
                <c:pt idx="458">
                  <c:v>APR.24</c:v>
                </c:pt>
                <c:pt idx="459">
                  <c:v>APR.24</c:v>
                </c:pt>
                <c:pt idx="460">
                  <c:v>APR.24</c:v>
                </c:pt>
                <c:pt idx="461">
                  <c:v>APR.24</c:v>
                </c:pt>
                <c:pt idx="462">
                  <c:v>APR.24</c:v>
                </c:pt>
                <c:pt idx="463">
                  <c:v>APR.24</c:v>
                </c:pt>
                <c:pt idx="464">
                  <c:v>APR.24</c:v>
                </c:pt>
                <c:pt idx="465">
                  <c:v>APR.24</c:v>
                </c:pt>
                <c:pt idx="466">
                  <c:v>APR.24</c:v>
                </c:pt>
                <c:pt idx="467">
                  <c:v>APR.24</c:v>
                </c:pt>
                <c:pt idx="468">
                  <c:v>APR.24</c:v>
                </c:pt>
                <c:pt idx="469">
                  <c:v>APR.24</c:v>
                </c:pt>
                <c:pt idx="470">
                  <c:v>APR.24</c:v>
                </c:pt>
                <c:pt idx="471">
                  <c:v>APR.24</c:v>
                </c:pt>
                <c:pt idx="472">
                  <c:v>APR.24</c:v>
                </c:pt>
                <c:pt idx="473">
                  <c:v>APR.24</c:v>
                </c:pt>
                <c:pt idx="474">
                  <c:v>APR.24</c:v>
                </c:pt>
                <c:pt idx="475">
                  <c:v>APR.24</c:v>
                </c:pt>
                <c:pt idx="476">
                  <c:v>APR.24</c:v>
                </c:pt>
                <c:pt idx="477">
                  <c:v>APR.24</c:v>
                </c:pt>
                <c:pt idx="478">
                  <c:v>APR.24</c:v>
                </c:pt>
                <c:pt idx="479">
                  <c:v>APR.24</c:v>
                </c:pt>
                <c:pt idx="480">
                  <c:v>APR.24</c:v>
                </c:pt>
                <c:pt idx="481">
                  <c:v>APR.24</c:v>
                </c:pt>
                <c:pt idx="482">
                  <c:v>APR.24</c:v>
                </c:pt>
                <c:pt idx="483">
                  <c:v>APR.24</c:v>
                </c:pt>
                <c:pt idx="484">
                  <c:v>APR.24</c:v>
                </c:pt>
                <c:pt idx="485">
                  <c:v>APR.24</c:v>
                </c:pt>
                <c:pt idx="486">
                  <c:v>APR.24</c:v>
                </c:pt>
                <c:pt idx="487">
                  <c:v>APR.24</c:v>
                </c:pt>
                <c:pt idx="488">
                  <c:v>APR.24</c:v>
                </c:pt>
                <c:pt idx="489">
                  <c:v>APR.24</c:v>
                </c:pt>
                <c:pt idx="490">
                  <c:v>APR.24</c:v>
                </c:pt>
                <c:pt idx="491">
                  <c:v>APR.24</c:v>
                </c:pt>
                <c:pt idx="492">
                  <c:v>APR.24</c:v>
                </c:pt>
                <c:pt idx="493">
                  <c:v>APR.24</c:v>
                </c:pt>
                <c:pt idx="494">
                  <c:v>APR.24</c:v>
                </c:pt>
                <c:pt idx="495">
                  <c:v>APR.24</c:v>
                </c:pt>
                <c:pt idx="496">
                  <c:v>APR.24</c:v>
                </c:pt>
                <c:pt idx="497">
                  <c:v>APR.24</c:v>
                </c:pt>
                <c:pt idx="498">
                  <c:v>APR.24</c:v>
                </c:pt>
                <c:pt idx="499">
                  <c:v>APR.24</c:v>
                </c:pt>
                <c:pt idx="500">
                  <c:v>APR.24</c:v>
                </c:pt>
                <c:pt idx="501">
                  <c:v>APR.24</c:v>
                </c:pt>
                <c:pt idx="502">
                  <c:v>APR.24</c:v>
                </c:pt>
                <c:pt idx="503">
                  <c:v>APR.24</c:v>
                </c:pt>
                <c:pt idx="504">
                  <c:v>APR.24</c:v>
                </c:pt>
                <c:pt idx="505">
                  <c:v>APR.24</c:v>
                </c:pt>
                <c:pt idx="506">
                  <c:v>APR.24</c:v>
                </c:pt>
                <c:pt idx="507">
                  <c:v>APR.24</c:v>
                </c:pt>
                <c:pt idx="508">
                  <c:v>APR.24</c:v>
                </c:pt>
                <c:pt idx="509">
                  <c:v>APR.24</c:v>
                </c:pt>
                <c:pt idx="510">
                  <c:v>APR.24</c:v>
                </c:pt>
                <c:pt idx="511">
                  <c:v>APR.24</c:v>
                </c:pt>
                <c:pt idx="512">
                  <c:v>APR.24</c:v>
                </c:pt>
                <c:pt idx="513">
                  <c:v>APR.24</c:v>
                </c:pt>
                <c:pt idx="514">
                  <c:v>APR.24</c:v>
                </c:pt>
                <c:pt idx="515">
                  <c:v>APR.24</c:v>
                </c:pt>
                <c:pt idx="516">
                  <c:v>APR.24</c:v>
                </c:pt>
                <c:pt idx="517">
                  <c:v>APR.24</c:v>
                </c:pt>
                <c:pt idx="518">
                  <c:v>APR.24</c:v>
                </c:pt>
                <c:pt idx="519">
                  <c:v>APR.24</c:v>
                </c:pt>
                <c:pt idx="520">
                  <c:v>APR.24</c:v>
                </c:pt>
                <c:pt idx="521">
                  <c:v>APR.24</c:v>
                </c:pt>
                <c:pt idx="522">
                  <c:v>APR.24</c:v>
                </c:pt>
                <c:pt idx="523">
                  <c:v>APR.24</c:v>
                </c:pt>
                <c:pt idx="524">
                  <c:v>APR.24</c:v>
                </c:pt>
                <c:pt idx="525">
                  <c:v>APR.24</c:v>
                </c:pt>
                <c:pt idx="526">
                  <c:v>APR.24</c:v>
                </c:pt>
                <c:pt idx="527">
                  <c:v>APR.24</c:v>
                </c:pt>
                <c:pt idx="528">
                  <c:v>APR.24</c:v>
                </c:pt>
                <c:pt idx="529">
                  <c:v>APR.24</c:v>
                </c:pt>
                <c:pt idx="530">
                  <c:v>APR.24</c:v>
                </c:pt>
                <c:pt idx="531">
                  <c:v>APR.24</c:v>
                </c:pt>
                <c:pt idx="532">
                  <c:v>APR.24</c:v>
                </c:pt>
                <c:pt idx="533">
                  <c:v>APR.24</c:v>
                </c:pt>
                <c:pt idx="534">
                  <c:v>APR.24</c:v>
                </c:pt>
                <c:pt idx="535">
                  <c:v>APR.24</c:v>
                </c:pt>
                <c:pt idx="536">
                  <c:v>May 24 live</c:v>
                </c:pt>
                <c:pt idx="537">
                  <c:v>MAY.24</c:v>
                </c:pt>
                <c:pt idx="538">
                  <c:v>MAY.24</c:v>
                </c:pt>
                <c:pt idx="539">
                  <c:v>MAY.24</c:v>
                </c:pt>
                <c:pt idx="540">
                  <c:v>MAY.24</c:v>
                </c:pt>
                <c:pt idx="541">
                  <c:v>MAY.24</c:v>
                </c:pt>
                <c:pt idx="542">
                  <c:v>MAY.24</c:v>
                </c:pt>
                <c:pt idx="543">
                  <c:v>MAY.24</c:v>
                </c:pt>
                <c:pt idx="544">
                  <c:v>MAY.24</c:v>
                </c:pt>
                <c:pt idx="545">
                  <c:v>MAY.24</c:v>
                </c:pt>
                <c:pt idx="546">
                  <c:v>MAY.24</c:v>
                </c:pt>
                <c:pt idx="547">
                  <c:v>MAY.24</c:v>
                </c:pt>
                <c:pt idx="548">
                  <c:v>MAY.24</c:v>
                </c:pt>
                <c:pt idx="549">
                  <c:v>MAY.24</c:v>
                </c:pt>
                <c:pt idx="550">
                  <c:v>MAY.24</c:v>
                </c:pt>
                <c:pt idx="551">
                  <c:v>MAY.24</c:v>
                </c:pt>
                <c:pt idx="552">
                  <c:v>MAY.24</c:v>
                </c:pt>
                <c:pt idx="553">
                  <c:v>MAY.24</c:v>
                </c:pt>
                <c:pt idx="554">
                  <c:v>MAY.24</c:v>
                </c:pt>
                <c:pt idx="555">
                  <c:v>MAY.24</c:v>
                </c:pt>
                <c:pt idx="556">
                  <c:v>MAY.24</c:v>
                </c:pt>
                <c:pt idx="557">
                  <c:v>MAY.24</c:v>
                </c:pt>
                <c:pt idx="558">
                  <c:v>MAY.24</c:v>
                </c:pt>
                <c:pt idx="559">
                  <c:v>MAY.24</c:v>
                </c:pt>
                <c:pt idx="560">
                  <c:v>MAY.24</c:v>
                </c:pt>
                <c:pt idx="561">
                  <c:v>MAY.24</c:v>
                </c:pt>
                <c:pt idx="562">
                  <c:v>MAY.24</c:v>
                </c:pt>
                <c:pt idx="563">
                  <c:v>MAY.24</c:v>
                </c:pt>
                <c:pt idx="564">
                  <c:v>MAY.24</c:v>
                </c:pt>
                <c:pt idx="565">
                  <c:v>MAY.24</c:v>
                </c:pt>
                <c:pt idx="566">
                  <c:v>MAY.24</c:v>
                </c:pt>
                <c:pt idx="567">
                  <c:v>MAY.24</c:v>
                </c:pt>
                <c:pt idx="568">
                  <c:v>MAY.24</c:v>
                </c:pt>
                <c:pt idx="569">
                  <c:v>MAY.24</c:v>
                </c:pt>
                <c:pt idx="570">
                  <c:v>MAY.24</c:v>
                </c:pt>
                <c:pt idx="571">
                  <c:v>MAY.24</c:v>
                </c:pt>
                <c:pt idx="572">
                  <c:v>MAY.24</c:v>
                </c:pt>
                <c:pt idx="573">
                  <c:v>MAY.24</c:v>
                </c:pt>
                <c:pt idx="574">
                  <c:v>MAY.24</c:v>
                </c:pt>
                <c:pt idx="575">
                  <c:v>MAY.24</c:v>
                </c:pt>
                <c:pt idx="576">
                  <c:v>MAY.24</c:v>
                </c:pt>
                <c:pt idx="577">
                  <c:v>MAY.24</c:v>
                </c:pt>
                <c:pt idx="578">
                  <c:v>MAY.24</c:v>
                </c:pt>
                <c:pt idx="579">
                  <c:v>MAY.24</c:v>
                </c:pt>
                <c:pt idx="580">
                  <c:v>MAY.24</c:v>
                </c:pt>
                <c:pt idx="581">
                  <c:v>MAY.24</c:v>
                </c:pt>
                <c:pt idx="582">
                  <c:v>MAY.24</c:v>
                </c:pt>
                <c:pt idx="583">
                  <c:v>MAY.24</c:v>
                </c:pt>
                <c:pt idx="584">
                  <c:v>MAY.24</c:v>
                </c:pt>
                <c:pt idx="585">
                  <c:v>MAY.24</c:v>
                </c:pt>
                <c:pt idx="586">
                  <c:v>MAY.24</c:v>
                </c:pt>
                <c:pt idx="587">
                  <c:v>MAY.24</c:v>
                </c:pt>
                <c:pt idx="588">
                  <c:v>MAY.24</c:v>
                </c:pt>
                <c:pt idx="589">
                  <c:v>MAY.24</c:v>
                </c:pt>
                <c:pt idx="590">
                  <c:v>MAY.24</c:v>
                </c:pt>
                <c:pt idx="591">
                  <c:v>MAY.24</c:v>
                </c:pt>
                <c:pt idx="592">
                  <c:v>MAY.24</c:v>
                </c:pt>
                <c:pt idx="593">
                  <c:v>MAY.24</c:v>
                </c:pt>
                <c:pt idx="594">
                  <c:v>MAY.24</c:v>
                </c:pt>
                <c:pt idx="595">
                  <c:v>MAY.24</c:v>
                </c:pt>
                <c:pt idx="596">
                  <c:v>MAY.24</c:v>
                </c:pt>
                <c:pt idx="597">
                  <c:v>MAY.24</c:v>
                </c:pt>
                <c:pt idx="598">
                  <c:v>MAY.24</c:v>
                </c:pt>
                <c:pt idx="599">
                  <c:v>MAY.24</c:v>
                </c:pt>
                <c:pt idx="600">
                  <c:v>MAY.24</c:v>
                </c:pt>
                <c:pt idx="601">
                  <c:v>MAY.24</c:v>
                </c:pt>
                <c:pt idx="602">
                  <c:v>MAY.24</c:v>
                </c:pt>
                <c:pt idx="603">
                  <c:v>MAY.24</c:v>
                </c:pt>
                <c:pt idx="604">
                  <c:v>MAY.24</c:v>
                </c:pt>
                <c:pt idx="605">
                  <c:v>MAY.24</c:v>
                </c:pt>
                <c:pt idx="606">
                  <c:v>MAY.24</c:v>
                </c:pt>
                <c:pt idx="607">
                  <c:v>MAY.24</c:v>
                </c:pt>
                <c:pt idx="608">
                  <c:v>MAY.24</c:v>
                </c:pt>
                <c:pt idx="609">
                  <c:v>MAY.24</c:v>
                </c:pt>
                <c:pt idx="610">
                  <c:v>MAY.24</c:v>
                </c:pt>
                <c:pt idx="611">
                  <c:v>MAY.24</c:v>
                </c:pt>
                <c:pt idx="612">
                  <c:v>MAY.24</c:v>
                </c:pt>
                <c:pt idx="613">
                  <c:v>MAY.24</c:v>
                </c:pt>
                <c:pt idx="614">
                  <c:v>MAY.24</c:v>
                </c:pt>
                <c:pt idx="615">
                  <c:v>MAY.24</c:v>
                </c:pt>
                <c:pt idx="616">
                  <c:v>MAY.24</c:v>
                </c:pt>
                <c:pt idx="617">
                  <c:v>MAY.24</c:v>
                </c:pt>
                <c:pt idx="618">
                  <c:v>MAY.24</c:v>
                </c:pt>
                <c:pt idx="619">
                  <c:v>MAY.24</c:v>
                </c:pt>
                <c:pt idx="620">
                  <c:v>MAY.24</c:v>
                </c:pt>
                <c:pt idx="621">
                  <c:v>MAY.24</c:v>
                </c:pt>
                <c:pt idx="622">
                  <c:v>MAY.24</c:v>
                </c:pt>
                <c:pt idx="623">
                  <c:v>MAY.24</c:v>
                </c:pt>
                <c:pt idx="624">
                  <c:v>MAY.24</c:v>
                </c:pt>
                <c:pt idx="625">
                  <c:v>MAY.24</c:v>
                </c:pt>
                <c:pt idx="626">
                  <c:v>MAY.24</c:v>
                </c:pt>
                <c:pt idx="627">
                  <c:v>MAY.24</c:v>
                </c:pt>
                <c:pt idx="628">
                  <c:v>MAY.24</c:v>
                </c:pt>
                <c:pt idx="629">
                  <c:v>MAY.24</c:v>
                </c:pt>
                <c:pt idx="630">
                  <c:v>MAY.24</c:v>
                </c:pt>
                <c:pt idx="631">
                  <c:v>MAY.24</c:v>
                </c:pt>
                <c:pt idx="632">
                  <c:v>MAY.24</c:v>
                </c:pt>
                <c:pt idx="633">
                  <c:v>MAY.24</c:v>
                </c:pt>
                <c:pt idx="634">
                  <c:v>MAY.24</c:v>
                </c:pt>
                <c:pt idx="635">
                  <c:v>MAY.24</c:v>
                </c:pt>
                <c:pt idx="636">
                  <c:v>MAY.24</c:v>
                </c:pt>
                <c:pt idx="637">
                  <c:v>MAY.24</c:v>
                </c:pt>
                <c:pt idx="638">
                  <c:v>MAY.24</c:v>
                </c:pt>
                <c:pt idx="639">
                  <c:v>MAY.24</c:v>
                </c:pt>
                <c:pt idx="640">
                  <c:v>MAY.24</c:v>
                </c:pt>
                <c:pt idx="641">
                  <c:v>MAY.24</c:v>
                </c:pt>
                <c:pt idx="642">
                  <c:v>MAY.24</c:v>
                </c:pt>
                <c:pt idx="643">
                  <c:v>MAY.24</c:v>
                </c:pt>
                <c:pt idx="644">
                  <c:v>MAY.24</c:v>
                </c:pt>
                <c:pt idx="645">
                  <c:v>MAY.24</c:v>
                </c:pt>
                <c:pt idx="646">
                  <c:v>MAY.24</c:v>
                </c:pt>
                <c:pt idx="647">
                  <c:v>MAY.24</c:v>
                </c:pt>
                <c:pt idx="648">
                  <c:v>MAY.24</c:v>
                </c:pt>
                <c:pt idx="649">
                  <c:v>MAY.24</c:v>
                </c:pt>
                <c:pt idx="650">
                  <c:v>MAY.24</c:v>
                </c:pt>
                <c:pt idx="651">
                  <c:v>MAY.24</c:v>
                </c:pt>
                <c:pt idx="652">
                  <c:v>MAY.24</c:v>
                </c:pt>
                <c:pt idx="653">
                  <c:v>MAY.24</c:v>
                </c:pt>
                <c:pt idx="654">
                  <c:v>MAY.24</c:v>
                </c:pt>
                <c:pt idx="655">
                  <c:v>MAY.24</c:v>
                </c:pt>
                <c:pt idx="656">
                  <c:v>MAY.24</c:v>
                </c:pt>
                <c:pt idx="657">
                  <c:v>MAY.24</c:v>
                </c:pt>
                <c:pt idx="658">
                  <c:v>MAY.24</c:v>
                </c:pt>
                <c:pt idx="659">
                  <c:v>MAY.24</c:v>
                </c:pt>
                <c:pt idx="660">
                  <c:v>MAY.24</c:v>
                </c:pt>
                <c:pt idx="661">
                  <c:v>MAY.24</c:v>
                </c:pt>
                <c:pt idx="662">
                  <c:v>MAY.24</c:v>
                </c:pt>
                <c:pt idx="663">
                  <c:v>MAY.24</c:v>
                </c:pt>
                <c:pt idx="664">
                  <c:v>MAY.24</c:v>
                </c:pt>
                <c:pt idx="665">
                  <c:v>MAY.24</c:v>
                </c:pt>
                <c:pt idx="666">
                  <c:v>MAY.24</c:v>
                </c:pt>
                <c:pt idx="667">
                  <c:v>MAY.24</c:v>
                </c:pt>
                <c:pt idx="668">
                  <c:v>MAY.24</c:v>
                </c:pt>
                <c:pt idx="669">
                  <c:v>MAY.24</c:v>
                </c:pt>
                <c:pt idx="670">
                  <c:v>MAY.24</c:v>
                </c:pt>
                <c:pt idx="671">
                  <c:v>MAY.24</c:v>
                </c:pt>
                <c:pt idx="672">
                  <c:v>MAY.24</c:v>
                </c:pt>
                <c:pt idx="673">
                  <c:v>MAY.24</c:v>
                </c:pt>
                <c:pt idx="674">
                  <c:v>MAY.24</c:v>
                </c:pt>
                <c:pt idx="675">
                  <c:v>MAY.24</c:v>
                </c:pt>
                <c:pt idx="676">
                  <c:v>MAY.24</c:v>
                </c:pt>
                <c:pt idx="677">
                  <c:v>MAY.24</c:v>
                </c:pt>
                <c:pt idx="678">
                  <c:v>MAY.24</c:v>
                </c:pt>
                <c:pt idx="679">
                  <c:v>MAY.24</c:v>
                </c:pt>
                <c:pt idx="680">
                  <c:v>MAY.24</c:v>
                </c:pt>
                <c:pt idx="681">
                  <c:v>MAY.24 after disaster</c:v>
                </c:pt>
                <c:pt idx="682">
                  <c:v>MAY.24</c:v>
                </c:pt>
                <c:pt idx="683">
                  <c:v>MAY.24</c:v>
                </c:pt>
                <c:pt idx="684">
                  <c:v>MAY.24</c:v>
                </c:pt>
                <c:pt idx="685">
                  <c:v>MAY.24</c:v>
                </c:pt>
                <c:pt idx="686">
                  <c:v>MAY.24</c:v>
                </c:pt>
                <c:pt idx="687">
                  <c:v>MAY.24</c:v>
                </c:pt>
                <c:pt idx="688">
                  <c:v>MAY.24</c:v>
                </c:pt>
                <c:pt idx="689">
                  <c:v>MAY.24</c:v>
                </c:pt>
                <c:pt idx="690">
                  <c:v>MAY.24</c:v>
                </c:pt>
                <c:pt idx="691">
                  <c:v>MAY.24</c:v>
                </c:pt>
                <c:pt idx="692">
                  <c:v>MAY.24</c:v>
                </c:pt>
                <c:pt idx="693">
                  <c:v>MAY.24</c:v>
                </c:pt>
                <c:pt idx="694">
                  <c:v>MAY.24</c:v>
                </c:pt>
                <c:pt idx="695">
                  <c:v>MAY.24</c:v>
                </c:pt>
                <c:pt idx="696">
                  <c:v>MAY.24 recovery</c:v>
                </c:pt>
                <c:pt idx="697">
                  <c:v>MAY.24</c:v>
                </c:pt>
                <c:pt idx="698">
                  <c:v>MAY.24</c:v>
                </c:pt>
                <c:pt idx="699">
                  <c:v>MAY.24</c:v>
                </c:pt>
                <c:pt idx="700">
                  <c:v>MAY.24</c:v>
                </c:pt>
                <c:pt idx="701">
                  <c:v>MAY.24</c:v>
                </c:pt>
                <c:pt idx="702">
                  <c:v>MAY.24</c:v>
                </c:pt>
                <c:pt idx="703">
                  <c:v>MAY.24</c:v>
                </c:pt>
                <c:pt idx="704">
                  <c:v>MAY.24</c:v>
                </c:pt>
                <c:pt idx="705">
                  <c:v>MAY.24</c:v>
                </c:pt>
                <c:pt idx="706">
                  <c:v>MAY.24</c:v>
                </c:pt>
                <c:pt idx="707">
                  <c:v>MAY.24</c:v>
                </c:pt>
                <c:pt idx="708">
                  <c:v>MAY.24</c:v>
                </c:pt>
                <c:pt idx="709">
                  <c:v>MAY.24</c:v>
                </c:pt>
                <c:pt idx="710">
                  <c:v>MAY.24</c:v>
                </c:pt>
                <c:pt idx="711">
                  <c:v>MAY.24</c:v>
                </c:pt>
                <c:pt idx="712">
                  <c:v>MAY.24</c:v>
                </c:pt>
                <c:pt idx="713">
                  <c:v>MAY.24</c:v>
                </c:pt>
                <c:pt idx="714">
                  <c:v>MAY.24</c:v>
                </c:pt>
                <c:pt idx="715">
                  <c:v>MAY.24</c:v>
                </c:pt>
                <c:pt idx="716">
                  <c:v>MAY.24</c:v>
                </c:pt>
                <c:pt idx="717">
                  <c:v>MAY.24</c:v>
                </c:pt>
                <c:pt idx="718">
                  <c:v>MAY.24</c:v>
                </c:pt>
                <c:pt idx="719">
                  <c:v>MAY.24</c:v>
                </c:pt>
                <c:pt idx="720">
                  <c:v>MAY.24</c:v>
                </c:pt>
                <c:pt idx="721">
                  <c:v>MAY.24</c:v>
                </c:pt>
                <c:pt idx="722">
                  <c:v>MAY.24</c:v>
                </c:pt>
                <c:pt idx="723">
                  <c:v>MAY.24</c:v>
                </c:pt>
                <c:pt idx="724">
                  <c:v>MAY.24</c:v>
                </c:pt>
                <c:pt idx="725">
                  <c:v>MAY.24</c:v>
                </c:pt>
                <c:pt idx="726">
                  <c:v>MAY.24</c:v>
                </c:pt>
                <c:pt idx="727">
                  <c:v>MAY.24</c:v>
                </c:pt>
                <c:pt idx="728">
                  <c:v>MAY.24</c:v>
                </c:pt>
                <c:pt idx="729">
                  <c:v>MAY.24</c:v>
                </c:pt>
                <c:pt idx="730">
                  <c:v>MAY.24</c:v>
                </c:pt>
                <c:pt idx="731">
                  <c:v>June24 live</c:v>
                </c:pt>
                <c:pt idx="732">
                  <c:v>JUN.24</c:v>
                </c:pt>
                <c:pt idx="733">
                  <c:v>JUN.24</c:v>
                </c:pt>
                <c:pt idx="734">
                  <c:v>JUN.24</c:v>
                </c:pt>
                <c:pt idx="735">
                  <c:v>JUN.24</c:v>
                </c:pt>
                <c:pt idx="736">
                  <c:v>JUN.24</c:v>
                </c:pt>
                <c:pt idx="737">
                  <c:v>JUN.24</c:v>
                </c:pt>
                <c:pt idx="738">
                  <c:v>JUN.24</c:v>
                </c:pt>
                <c:pt idx="739">
                  <c:v>JUN.24</c:v>
                </c:pt>
                <c:pt idx="740">
                  <c:v>JUN.24</c:v>
                </c:pt>
                <c:pt idx="741">
                  <c:v>JUN.24</c:v>
                </c:pt>
                <c:pt idx="742">
                  <c:v>JUN.24</c:v>
                </c:pt>
                <c:pt idx="743">
                  <c:v>JUN.24</c:v>
                </c:pt>
                <c:pt idx="744">
                  <c:v>JUN.24</c:v>
                </c:pt>
                <c:pt idx="745">
                  <c:v>JUN.24</c:v>
                </c:pt>
                <c:pt idx="746">
                  <c:v>JUN.24</c:v>
                </c:pt>
                <c:pt idx="747">
                  <c:v>JUN.24</c:v>
                </c:pt>
                <c:pt idx="748">
                  <c:v>JUN.24</c:v>
                </c:pt>
                <c:pt idx="749">
                  <c:v>JUN.24</c:v>
                </c:pt>
                <c:pt idx="750">
                  <c:v>JUN.24</c:v>
                </c:pt>
                <c:pt idx="751">
                  <c:v>JUN.24</c:v>
                </c:pt>
                <c:pt idx="752">
                  <c:v>JUN.24</c:v>
                </c:pt>
                <c:pt idx="753">
                  <c:v>JUN.24</c:v>
                </c:pt>
                <c:pt idx="754">
                  <c:v>JUN.24</c:v>
                </c:pt>
                <c:pt idx="755">
                  <c:v>JUN.24</c:v>
                </c:pt>
                <c:pt idx="756">
                  <c:v>JUN.24</c:v>
                </c:pt>
                <c:pt idx="757">
                  <c:v>JUN.24</c:v>
                </c:pt>
                <c:pt idx="758">
                  <c:v>JUN.24</c:v>
                </c:pt>
                <c:pt idx="759">
                  <c:v>JUN.24</c:v>
                </c:pt>
                <c:pt idx="760">
                  <c:v>JUN.24</c:v>
                </c:pt>
                <c:pt idx="761">
                  <c:v>JUN.24</c:v>
                </c:pt>
                <c:pt idx="762">
                  <c:v>JUN.24</c:v>
                </c:pt>
                <c:pt idx="763">
                  <c:v>JUN.24</c:v>
                </c:pt>
                <c:pt idx="764">
                  <c:v>JUN.24</c:v>
                </c:pt>
                <c:pt idx="765">
                  <c:v>JUN.24</c:v>
                </c:pt>
                <c:pt idx="766">
                  <c:v>JUN.24</c:v>
                </c:pt>
                <c:pt idx="767">
                  <c:v>JUN.24</c:v>
                </c:pt>
                <c:pt idx="768">
                  <c:v>JUN.24</c:v>
                </c:pt>
                <c:pt idx="769">
                  <c:v>JUN.24</c:v>
                </c:pt>
                <c:pt idx="770">
                  <c:v>JUN.24</c:v>
                </c:pt>
                <c:pt idx="771">
                  <c:v>JUN.24</c:v>
                </c:pt>
                <c:pt idx="772">
                  <c:v>JUN.24</c:v>
                </c:pt>
                <c:pt idx="773">
                  <c:v>JUN.24</c:v>
                </c:pt>
                <c:pt idx="774">
                  <c:v>JUN.24</c:v>
                </c:pt>
                <c:pt idx="775">
                  <c:v>JUN.24</c:v>
                </c:pt>
                <c:pt idx="776">
                  <c:v>JUN.24</c:v>
                </c:pt>
                <c:pt idx="777">
                  <c:v>JUN.24</c:v>
                </c:pt>
                <c:pt idx="778">
                  <c:v>JUN.24</c:v>
                </c:pt>
                <c:pt idx="779">
                  <c:v>JUN.24</c:v>
                </c:pt>
                <c:pt idx="780">
                  <c:v>JUN.24</c:v>
                </c:pt>
                <c:pt idx="781">
                  <c:v>JUN.24</c:v>
                </c:pt>
                <c:pt idx="782">
                  <c:v>JUN.24</c:v>
                </c:pt>
                <c:pt idx="783">
                  <c:v>JUN.24</c:v>
                </c:pt>
                <c:pt idx="784">
                  <c:v>JUN.24</c:v>
                </c:pt>
                <c:pt idx="785">
                  <c:v>JUN.24</c:v>
                </c:pt>
                <c:pt idx="786">
                  <c:v>JUN.24</c:v>
                </c:pt>
                <c:pt idx="787">
                  <c:v>JUN.24</c:v>
                </c:pt>
                <c:pt idx="788">
                  <c:v>JUN.24</c:v>
                </c:pt>
                <c:pt idx="789">
                  <c:v>JUN.24</c:v>
                </c:pt>
                <c:pt idx="790">
                  <c:v>JUN.24</c:v>
                </c:pt>
                <c:pt idx="791">
                  <c:v>JUN.24</c:v>
                </c:pt>
                <c:pt idx="792">
                  <c:v>JUN.24</c:v>
                </c:pt>
                <c:pt idx="793">
                  <c:v>JUN.24</c:v>
                </c:pt>
                <c:pt idx="794">
                  <c:v>JUN.24</c:v>
                </c:pt>
                <c:pt idx="795">
                  <c:v>JUN.24</c:v>
                </c:pt>
                <c:pt idx="796">
                  <c:v>JUN.24</c:v>
                </c:pt>
                <c:pt idx="797">
                  <c:v>JUN.24</c:v>
                </c:pt>
                <c:pt idx="798">
                  <c:v>JUN.24</c:v>
                </c:pt>
                <c:pt idx="799">
                  <c:v>JUN.24</c:v>
                </c:pt>
                <c:pt idx="800">
                  <c:v>JUN.24</c:v>
                </c:pt>
                <c:pt idx="801">
                  <c:v>JUN.24</c:v>
                </c:pt>
                <c:pt idx="802">
                  <c:v>JUN.24</c:v>
                </c:pt>
                <c:pt idx="803">
                  <c:v>JUN.24</c:v>
                </c:pt>
                <c:pt idx="804">
                  <c:v>JUN.24</c:v>
                </c:pt>
                <c:pt idx="805">
                  <c:v>JUN.24</c:v>
                </c:pt>
                <c:pt idx="806">
                  <c:v>JUN.24</c:v>
                </c:pt>
                <c:pt idx="807">
                  <c:v>JUN.24</c:v>
                </c:pt>
                <c:pt idx="808">
                  <c:v>JUN.24</c:v>
                </c:pt>
                <c:pt idx="809">
                  <c:v>JUN.24</c:v>
                </c:pt>
                <c:pt idx="810">
                  <c:v>JUN.24</c:v>
                </c:pt>
                <c:pt idx="811">
                  <c:v>JUN.24</c:v>
                </c:pt>
                <c:pt idx="812">
                  <c:v>JUN.24</c:v>
                </c:pt>
                <c:pt idx="813">
                  <c:v>JUN.24</c:v>
                </c:pt>
                <c:pt idx="814">
                  <c:v>JUN.24</c:v>
                </c:pt>
                <c:pt idx="815">
                  <c:v>JUN.24</c:v>
                </c:pt>
                <c:pt idx="816">
                  <c:v>JUN.24</c:v>
                </c:pt>
                <c:pt idx="817">
                  <c:v>JUN.24</c:v>
                </c:pt>
                <c:pt idx="818">
                  <c:v>JUN.24</c:v>
                </c:pt>
                <c:pt idx="819">
                  <c:v>JUN.24</c:v>
                </c:pt>
                <c:pt idx="820">
                  <c:v>JUN.24</c:v>
                </c:pt>
                <c:pt idx="821">
                  <c:v>JUN.24</c:v>
                </c:pt>
                <c:pt idx="822">
                  <c:v>JUN.24</c:v>
                </c:pt>
                <c:pt idx="823">
                  <c:v>JUN.24</c:v>
                </c:pt>
                <c:pt idx="824">
                  <c:v>JUN.24</c:v>
                </c:pt>
                <c:pt idx="825">
                  <c:v>JUN.24</c:v>
                </c:pt>
                <c:pt idx="826">
                  <c:v>JUN.24</c:v>
                </c:pt>
                <c:pt idx="827">
                  <c:v>JUN.24</c:v>
                </c:pt>
                <c:pt idx="828">
                  <c:v>JUN.24</c:v>
                </c:pt>
                <c:pt idx="829">
                  <c:v>JUN.24</c:v>
                </c:pt>
                <c:pt idx="830">
                  <c:v>JUN.24</c:v>
                </c:pt>
                <c:pt idx="831">
                  <c:v>JUN.24</c:v>
                </c:pt>
                <c:pt idx="832">
                  <c:v>JUN.24</c:v>
                </c:pt>
                <c:pt idx="833">
                  <c:v>JUN.24</c:v>
                </c:pt>
                <c:pt idx="834">
                  <c:v>JUN.24</c:v>
                </c:pt>
                <c:pt idx="835">
                  <c:v>JUN.24</c:v>
                </c:pt>
                <c:pt idx="836">
                  <c:v>JUN.24</c:v>
                </c:pt>
                <c:pt idx="837">
                  <c:v>JUN.24</c:v>
                </c:pt>
                <c:pt idx="838">
                  <c:v>JUN.24</c:v>
                </c:pt>
                <c:pt idx="839">
                  <c:v>JUN.24</c:v>
                </c:pt>
                <c:pt idx="840">
                  <c:v>JUN.24</c:v>
                </c:pt>
                <c:pt idx="841">
                  <c:v>JUN.24</c:v>
                </c:pt>
                <c:pt idx="842">
                  <c:v>JUN.24</c:v>
                </c:pt>
                <c:pt idx="843">
                  <c:v>JUN.24</c:v>
                </c:pt>
                <c:pt idx="844">
                  <c:v>JUN.24</c:v>
                </c:pt>
                <c:pt idx="845">
                  <c:v>JUN.24</c:v>
                </c:pt>
                <c:pt idx="846">
                  <c:v>JUN.24</c:v>
                </c:pt>
                <c:pt idx="847">
                  <c:v>JUN.24</c:v>
                </c:pt>
                <c:pt idx="848">
                  <c:v>JUN.24</c:v>
                </c:pt>
                <c:pt idx="849">
                  <c:v>JUN.24</c:v>
                </c:pt>
                <c:pt idx="850">
                  <c:v>JUN.24</c:v>
                </c:pt>
                <c:pt idx="851">
                  <c:v>JUN.24</c:v>
                </c:pt>
                <c:pt idx="852">
                  <c:v>JUN.24</c:v>
                </c:pt>
                <c:pt idx="853">
                  <c:v>JUN.24</c:v>
                </c:pt>
                <c:pt idx="854">
                  <c:v>JUN.24</c:v>
                </c:pt>
                <c:pt idx="855">
                  <c:v>JUN.24</c:v>
                </c:pt>
                <c:pt idx="856">
                  <c:v>JUN.24</c:v>
                </c:pt>
                <c:pt idx="857">
                  <c:v>JUN.24</c:v>
                </c:pt>
                <c:pt idx="858">
                  <c:v>JUN.24</c:v>
                </c:pt>
                <c:pt idx="859">
                  <c:v>JUN.24</c:v>
                </c:pt>
                <c:pt idx="860">
                  <c:v>JUN.24</c:v>
                </c:pt>
                <c:pt idx="861">
                  <c:v>JUN.24</c:v>
                </c:pt>
                <c:pt idx="862">
                  <c:v>JUN.24</c:v>
                </c:pt>
                <c:pt idx="863">
                  <c:v>JUN.24</c:v>
                </c:pt>
                <c:pt idx="864">
                  <c:v>JUN.24</c:v>
                </c:pt>
                <c:pt idx="865">
                  <c:v>JUN.24</c:v>
                </c:pt>
                <c:pt idx="866">
                  <c:v>JUN.24</c:v>
                </c:pt>
                <c:pt idx="867">
                  <c:v>JUN.24</c:v>
                </c:pt>
                <c:pt idx="868">
                  <c:v>JUN.24</c:v>
                </c:pt>
                <c:pt idx="869">
                  <c:v>JUN.24</c:v>
                </c:pt>
                <c:pt idx="870">
                  <c:v>JUN.24</c:v>
                </c:pt>
                <c:pt idx="871">
                  <c:v>JUN.24</c:v>
                </c:pt>
                <c:pt idx="872">
                  <c:v>JUN.24</c:v>
                </c:pt>
                <c:pt idx="873">
                  <c:v>JUN.24</c:v>
                </c:pt>
                <c:pt idx="874">
                  <c:v>JUN.24</c:v>
                </c:pt>
                <c:pt idx="875">
                  <c:v>JUN.24</c:v>
                </c:pt>
                <c:pt idx="876">
                  <c:v>JUN.24</c:v>
                </c:pt>
                <c:pt idx="877">
                  <c:v>JUN.24</c:v>
                </c:pt>
                <c:pt idx="878">
                  <c:v>JUN.24</c:v>
                </c:pt>
                <c:pt idx="879">
                  <c:v>JUN.24 BLOWUP</c:v>
                </c:pt>
                <c:pt idx="880">
                  <c:v>JUN.24</c:v>
                </c:pt>
                <c:pt idx="881">
                  <c:v>JUN.24</c:v>
                </c:pt>
                <c:pt idx="882">
                  <c:v>JUN.24</c:v>
                </c:pt>
                <c:pt idx="883">
                  <c:v>JUN.24</c:v>
                </c:pt>
                <c:pt idx="884">
                  <c:v>JUN.24</c:v>
                </c:pt>
                <c:pt idx="885">
                  <c:v>JUN.24</c:v>
                </c:pt>
                <c:pt idx="886">
                  <c:v>JUN.24</c:v>
                </c:pt>
                <c:pt idx="887">
                  <c:v>JUN.24</c:v>
                </c:pt>
                <c:pt idx="888">
                  <c:v>July24 live (R+1) | REDUCE INTRADAY &gt;1D TRADES</c:v>
                </c:pt>
                <c:pt idx="889">
                  <c:v>JUL.24</c:v>
                </c:pt>
                <c:pt idx="890">
                  <c:v>JUL.24</c:v>
                </c:pt>
                <c:pt idx="891">
                  <c:v>JUL.24</c:v>
                </c:pt>
                <c:pt idx="892">
                  <c:v>JUL.24</c:v>
                </c:pt>
                <c:pt idx="893">
                  <c:v>JUL.24</c:v>
                </c:pt>
                <c:pt idx="894">
                  <c:v>JUL.24</c:v>
                </c:pt>
                <c:pt idx="895">
                  <c:v>JUL.24</c:v>
                </c:pt>
                <c:pt idx="896">
                  <c:v>JUL.24</c:v>
                </c:pt>
                <c:pt idx="897">
                  <c:v>JUL.24</c:v>
                </c:pt>
                <c:pt idx="898">
                  <c:v>JUL.24</c:v>
                </c:pt>
                <c:pt idx="899">
                  <c:v>JUL.24</c:v>
                </c:pt>
                <c:pt idx="900">
                  <c:v>JUL.24</c:v>
                </c:pt>
                <c:pt idx="901">
                  <c:v>JUL.24</c:v>
                </c:pt>
                <c:pt idx="902">
                  <c:v>JUL.24</c:v>
                </c:pt>
                <c:pt idx="903">
                  <c:v>JUL.24</c:v>
                </c:pt>
                <c:pt idx="904">
                  <c:v>JUL.24</c:v>
                </c:pt>
                <c:pt idx="905">
                  <c:v>JUL.24</c:v>
                </c:pt>
                <c:pt idx="906">
                  <c:v>JUL.24</c:v>
                </c:pt>
                <c:pt idx="907">
                  <c:v>JUL.24</c:v>
                </c:pt>
                <c:pt idx="908">
                  <c:v>JUL.24</c:v>
                </c:pt>
                <c:pt idx="909">
                  <c:v>JUL.24</c:v>
                </c:pt>
                <c:pt idx="910">
                  <c:v>JUL.24</c:v>
                </c:pt>
                <c:pt idx="911">
                  <c:v>JUL.24</c:v>
                </c:pt>
                <c:pt idx="912">
                  <c:v>JUL.24</c:v>
                </c:pt>
                <c:pt idx="913">
                  <c:v>JUL.24</c:v>
                </c:pt>
                <c:pt idx="914">
                  <c:v>JUL.24</c:v>
                </c:pt>
                <c:pt idx="915">
                  <c:v>JUL.24</c:v>
                </c:pt>
                <c:pt idx="916">
                  <c:v>JUL.24</c:v>
                </c:pt>
                <c:pt idx="917">
                  <c:v>JUL.24</c:v>
                </c:pt>
                <c:pt idx="918">
                  <c:v>JUL.24</c:v>
                </c:pt>
                <c:pt idx="919">
                  <c:v>JUL.24</c:v>
                </c:pt>
                <c:pt idx="920">
                  <c:v>JUL.24</c:v>
                </c:pt>
                <c:pt idx="921">
                  <c:v>JUL.24</c:v>
                </c:pt>
                <c:pt idx="922">
                  <c:v>JUL.24</c:v>
                </c:pt>
                <c:pt idx="923">
                  <c:v>JUL.24</c:v>
                </c:pt>
                <c:pt idx="924">
                  <c:v>JUL.24</c:v>
                </c:pt>
                <c:pt idx="925">
                  <c:v>JUL.24</c:v>
                </c:pt>
                <c:pt idx="926">
                  <c:v>JUL.24</c:v>
                </c:pt>
                <c:pt idx="927">
                  <c:v>JUL.24</c:v>
                </c:pt>
                <c:pt idx="928">
                  <c:v>JUL.24</c:v>
                </c:pt>
                <c:pt idx="929">
                  <c:v>JUL.24</c:v>
                </c:pt>
                <c:pt idx="930">
                  <c:v>JUL.24</c:v>
                </c:pt>
                <c:pt idx="931">
                  <c:v>JUL.24</c:v>
                </c:pt>
                <c:pt idx="932">
                  <c:v>JUL.24</c:v>
                </c:pt>
                <c:pt idx="933">
                  <c:v>JUL.24</c:v>
                </c:pt>
                <c:pt idx="934">
                  <c:v>JUL.24</c:v>
                </c:pt>
                <c:pt idx="935">
                  <c:v>JUL.24</c:v>
                </c:pt>
                <c:pt idx="936">
                  <c:v>JUL.24</c:v>
                </c:pt>
                <c:pt idx="937">
                  <c:v>JUL.24</c:v>
                </c:pt>
                <c:pt idx="938">
                  <c:v>JUL.24</c:v>
                </c:pt>
                <c:pt idx="939">
                  <c:v>JUL.24</c:v>
                </c:pt>
                <c:pt idx="940">
                  <c:v>JUL.24</c:v>
                </c:pt>
                <c:pt idx="941">
                  <c:v>JUL.24</c:v>
                </c:pt>
                <c:pt idx="942">
                  <c:v>JUL.24</c:v>
                </c:pt>
                <c:pt idx="943">
                  <c:v>JUL.24</c:v>
                </c:pt>
                <c:pt idx="944">
                  <c:v>JUL.24</c:v>
                </c:pt>
                <c:pt idx="945">
                  <c:v>JUL.24</c:v>
                </c:pt>
                <c:pt idx="946">
                  <c:v>JUL.24</c:v>
                </c:pt>
                <c:pt idx="947">
                  <c:v>JUL.24</c:v>
                </c:pt>
                <c:pt idx="948">
                  <c:v>JUL.24</c:v>
                </c:pt>
                <c:pt idx="949">
                  <c:v>JUL.24</c:v>
                </c:pt>
                <c:pt idx="950">
                  <c:v>JUL.24</c:v>
                </c:pt>
                <c:pt idx="951">
                  <c:v>JUL.24</c:v>
                </c:pt>
                <c:pt idx="952">
                  <c:v>JUL.24</c:v>
                </c:pt>
                <c:pt idx="953">
                  <c:v>JUL.24</c:v>
                </c:pt>
                <c:pt idx="954">
                  <c:v>JUL.24</c:v>
                </c:pt>
                <c:pt idx="955">
                  <c:v>JUL.24</c:v>
                </c:pt>
                <c:pt idx="956">
                  <c:v>JUL.24</c:v>
                </c:pt>
                <c:pt idx="957">
                  <c:v>JUL.24</c:v>
                </c:pt>
                <c:pt idx="958">
                  <c:v>JUL.24</c:v>
                </c:pt>
                <c:pt idx="959">
                  <c:v>JUL.24</c:v>
                </c:pt>
                <c:pt idx="960">
                  <c:v>JUL.24</c:v>
                </c:pt>
                <c:pt idx="961">
                  <c:v>JUL.24</c:v>
                </c:pt>
                <c:pt idx="962">
                  <c:v>JUL.24</c:v>
                </c:pt>
                <c:pt idx="963">
                  <c:v>JUL.24</c:v>
                </c:pt>
                <c:pt idx="964">
                  <c:v>JUL.24</c:v>
                </c:pt>
                <c:pt idx="965">
                  <c:v>JUL.24</c:v>
                </c:pt>
                <c:pt idx="966">
                  <c:v>JUL.24</c:v>
                </c:pt>
                <c:pt idx="967">
                  <c:v>JUL.24</c:v>
                </c:pt>
                <c:pt idx="968">
                  <c:v>JUL.24</c:v>
                </c:pt>
                <c:pt idx="969">
                  <c:v>JUL.24</c:v>
                </c:pt>
                <c:pt idx="970">
                  <c:v>JUL.24</c:v>
                </c:pt>
                <c:pt idx="971">
                  <c:v>JUL.24</c:v>
                </c:pt>
                <c:pt idx="972">
                  <c:v>JUL.24</c:v>
                </c:pt>
                <c:pt idx="973">
                  <c:v>JUL.24</c:v>
                </c:pt>
                <c:pt idx="974">
                  <c:v>JUL.24</c:v>
                </c:pt>
                <c:pt idx="975">
                  <c:v>JUL.24</c:v>
                </c:pt>
                <c:pt idx="976">
                  <c:v>JUL.24</c:v>
                </c:pt>
                <c:pt idx="977">
                  <c:v>JUL.24</c:v>
                </c:pt>
                <c:pt idx="978">
                  <c:v>JUL.24</c:v>
                </c:pt>
                <c:pt idx="979">
                  <c:v>JUL.24</c:v>
                </c:pt>
                <c:pt idx="980">
                  <c:v>JUL.24</c:v>
                </c:pt>
                <c:pt idx="981">
                  <c:v>JUL.24</c:v>
                </c:pt>
                <c:pt idx="982">
                  <c:v>JUL.24</c:v>
                </c:pt>
                <c:pt idx="983">
                  <c:v>JUL.24</c:v>
                </c:pt>
                <c:pt idx="984">
                  <c:v>JUL.24</c:v>
                </c:pt>
                <c:pt idx="985">
                  <c:v>JUL.24</c:v>
                </c:pt>
                <c:pt idx="986">
                  <c:v>JUL.24</c:v>
                </c:pt>
                <c:pt idx="987">
                  <c:v>JUL.24</c:v>
                </c:pt>
                <c:pt idx="988">
                  <c:v>JUL.24</c:v>
                </c:pt>
                <c:pt idx="989">
                  <c:v>August24 live (R-1) | REDUCE LOT SIZING 2ND HALF AND ONLY EXITS IN 2ND HALF</c:v>
                </c:pt>
                <c:pt idx="990">
                  <c:v>AUG.24</c:v>
                </c:pt>
                <c:pt idx="991">
                  <c:v>AUG.24</c:v>
                </c:pt>
                <c:pt idx="992">
                  <c:v>AUG.24.II</c:v>
                </c:pt>
                <c:pt idx="993">
                  <c:v>AUG.24</c:v>
                </c:pt>
                <c:pt idx="994">
                  <c:v>AUG.24</c:v>
                </c:pt>
                <c:pt idx="995">
                  <c:v>AUG.24</c:v>
                </c:pt>
                <c:pt idx="996">
                  <c:v>AUG.24</c:v>
                </c:pt>
                <c:pt idx="997">
                  <c:v>AUG.24</c:v>
                </c:pt>
                <c:pt idx="998">
                  <c:v>AUG.24</c:v>
                </c:pt>
                <c:pt idx="999">
                  <c:v>AUG.24</c:v>
                </c:pt>
                <c:pt idx="1000">
                  <c:v>AUG.24</c:v>
                </c:pt>
                <c:pt idx="1001">
                  <c:v>AUG.24.II</c:v>
                </c:pt>
                <c:pt idx="1002">
                  <c:v>AUG.24.II</c:v>
                </c:pt>
                <c:pt idx="1003">
                  <c:v>AUG.24</c:v>
                </c:pt>
                <c:pt idx="1004">
                  <c:v>AUG.24</c:v>
                </c:pt>
                <c:pt idx="1005">
                  <c:v>AUG.24</c:v>
                </c:pt>
                <c:pt idx="1006">
                  <c:v>AUG.24.II</c:v>
                </c:pt>
                <c:pt idx="1007">
                  <c:v>AUG.24.II</c:v>
                </c:pt>
                <c:pt idx="1008">
                  <c:v>AUG.24</c:v>
                </c:pt>
                <c:pt idx="1009">
                  <c:v>AUG.24</c:v>
                </c:pt>
                <c:pt idx="1010">
                  <c:v>AUG.24</c:v>
                </c:pt>
                <c:pt idx="1011">
                  <c:v>AUG.24</c:v>
                </c:pt>
                <c:pt idx="1012">
                  <c:v>AUG.24</c:v>
                </c:pt>
                <c:pt idx="1013">
                  <c:v>AUG.24</c:v>
                </c:pt>
                <c:pt idx="1014">
                  <c:v>AUG.24</c:v>
                </c:pt>
                <c:pt idx="1015">
                  <c:v>AUG.24</c:v>
                </c:pt>
                <c:pt idx="1016">
                  <c:v>AUG.24</c:v>
                </c:pt>
                <c:pt idx="1017">
                  <c:v>AUG.24</c:v>
                </c:pt>
                <c:pt idx="1018">
                  <c:v>AUG.24</c:v>
                </c:pt>
                <c:pt idx="1019">
                  <c:v>AUG.24</c:v>
                </c:pt>
                <c:pt idx="1020">
                  <c:v>AUG.24</c:v>
                </c:pt>
                <c:pt idx="1021">
                  <c:v>AUG.24</c:v>
                </c:pt>
                <c:pt idx="1022">
                  <c:v>AUG.24</c:v>
                </c:pt>
                <c:pt idx="1023">
                  <c:v>AUG.24</c:v>
                </c:pt>
                <c:pt idx="1024">
                  <c:v>AUG.24</c:v>
                </c:pt>
                <c:pt idx="1025">
                  <c:v>AUG.24</c:v>
                </c:pt>
                <c:pt idx="1026">
                  <c:v>AUG.24</c:v>
                </c:pt>
                <c:pt idx="1027">
                  <c:v>AUG.24.II</c:v>
                </c:pt>
                <c:pt idx="1028">
                  <c:v>AUG.24</c:v>
                </c:pt>
                <c:pt idx="1029">
                  <c:v>AUG.24</c:v>
                </c:pt>
                <c:pt idx="1030">
                  <c:v>AUG.24</c:v>
                </c:pt>
                <c:pt idx="1031">
                  <c:v>AUG.24</c:v>
                </c:pt>
                <c:pt idx="1032">
                  <c:v>AUG.24</c:v>
                </c:pt>
                <c:pt idx="1033">
                  <c:v>AUG.24</c:v>
                </c:pt>
                <c:pt idx="1034">
                  <c:v>AUG.24</c:v>
                </c:pt>
                <c:pt idx="1035">
                  <c:v>AUG.24</c:v>
                </c:pt>
                <c:pt idx="1036">
                  <c:v>AUG.24</c:v>
                </c:pt>
                <c:pt idx="1037">
                  <c:v>AUG.24</c:v>
                </c:pt>
                <c:pt idx="1038">
                  <c:v>AUG.24</c:v>
                </c:pt>
                <c:pt idx="1039">
                  <c:v>AUG.24</c:v>
                </c:pt>
                <c:pt idx="1040">
                  <c:v>AUG.24</c:v>
                </c:pt>
                <c:pt idx="1041">
                  <c:v>AUG.24</c:v>
                </c:pt>
                <c:pt idx="1042">
                  <c:v>AUG.24</c:v>
                </c:pt>
                <c:pt idx="1043">
                  <c:v>AUG.24</c:v>
                </c:pt>
                <c:pt idx="1044">
                  <c:v>AUG.24</c:v>
                </c:pt>
                <c:pt idx="1045">
                  <c:v>AUG.24</c:v>
                </c:pt>
                <c:pt idx="1046">
                  <c:v>AUG.24</c:v>
                </c:pt>
                <c:pt idx="1047">
                  <c:v>AUG.24</c:v>
                </c:pt>
                <c:pt idx="1048">
                  <c:v>AUG.24</c:v>
                </c:pt>
                <c:pt idx="1049">
                  <c:v>AUG.24</c:v>
                </c:pt>
                <c:pt idx="1050">
                  <c:v>AUG.24</c:v>
                </c:pt>
                <c:pt idx="1051">
                  <c:v>AUG.24</c:v>
                </c:pt>
                <c:pt idx="1052">
                  <c:v>AUG.24</c:v>
                </c:pt>
                <c:pt idx="1053">
                  <c:v>AUG.24</c:v>
                </c:pt>
                <c:pt idx="1054">
                  <c:v>AUG.24</c:v>
                </c:pt>
                <c:pt idx="1055">
                  <c:v>AUG.24</c:v>
                </c:pt>
                <c:pt idx="1056">
                  <c:v>AUG.24</c:v>
                </c:pt>
                <c:pt idx="1057">
                  <c:v>AUG.24</c:v>
                </c:pt>
                <c:pt idx="1058">
                  <c:v>AUG.24</c:v>
                </c:pt>
                <c:pt idx="1059">
                  <c:v>AUG.24</c:v>
                </c:pt>
                <c:pt idx="1060">
                  <c:v>AUG.24</c:v>
                </c:pt>
                <c:pt idx="1061">
                  <c:v>AUG.24</c:v>
                </c:pt>
                <c:pt idx="1062">
                  <c:v>AUG.24</c:v>
                </c:pt>
                <c:pt idx="1063">
                  <c:v>AUG.24</c:v>
                </c:pt>
                <c:pt idx="1064">
                  <c:v>AUG.24</c:v>
                </c:pt>
                <c:pt idx="1065">
                  <c:v>AUG.24</c:v>
                </c:pt>
                <c:pt idx="1066">
                  <c:v>AUG.24</c:v>
                </c:pt>
                <c:pt idx="1067">
                  <c:v>AUG.24</c:v>
                </c:pt>
                <c:pt idx="1068">
                  <c:v>AUG.24</c:v>
                </c:pt>
                <c:pt idx="1069">
                  <c:v>AUG.24</c:v>
                </c:pt>
                <c:pt idx="1070">
                  <c:v>AUG.24</c:v>
                </c:pt>
                <c:pt idx="1071">
                  <c:v>AUG.24</c:v>
                </c:pt>
                <c:pt idx="1072">
                  <c:v>AUG.24</c:v>
                </c:pt>
                <c:pt idx="1073">
                  <c:v>AUG.24</c:v>
                </c:pt>
                <c:pt idx="1074">
                  <c:v>AUG.24</c:v>
                </c:pt>
                <c:pt idx="1075">
                  <c:v>AUG.24</c:v>
                </c:pt>
                <c:pt idx="1076">
                  <c:v>AUG.24</c:v>
                </c:pt>
                <c:pt idx="1077">
                  <c:v>AUG.24</c:v>
                </c:pt>
                <c:pt idx="1078">
                  <c:v>AUG.24</c:v>
                </c:pt>
                <c:pt idx="1079">
                  <c:v>AUG.24</c:v>
                </c:pt>
                <c:pt idx="1080">
                  <c:v>AUG.24</c:v>
                </c:pt>
                <c:pt idx="1081">
                  <c:v>AUG.24</c:v>
                </c:pt>
                <c:pt idx="1082">
                  <c:v>AUG.24</c:v>
                </c:pt>
                <c:pt idx="1083">
                  <c:v>AUG.24</c:v>
                </c:pt>
                <c:pt idx="1084">
                  <c:v>AUG.24</c:v>
                </c:pt>
                <c:pt idx="1085">
                  <c:v>AUG.24</c:v>
                </c:pt>
                <c:pt idx="1086">
                  <c:v>September24 live (R) | REDUCE LOT SIZING 1ST HALF, AVOID POSITIONAL </c:v>
                </c:pt>
                <c:pt idx="1087">
                  <c:v>SEP.24</c:v>
                </c:pt>
                <c:pt idx="1088">
                  <c:v>SEP.24</c:v>
                </c:pt>
                <c:pt idx="1089">
                  <c:v>SEP.24</c:v>
                </c:pt>
                <c:pt idx="1090">
                  <c:v>SEP.24</c:v>
                </c:pt>
                <c:pt idx="1091">
                  <c:v>SEP.24</c:v>
                </c:pt>
                <c:pt idx="1092">
                  <c:v>SEP.24</c:v>
                </c:pt>
                <c:pt idx="1093">
                  <c:v>SEP.24</c:v>
                </c:pt>
                <c:pt idx="1094">
                  <c:v>SEP.24</c:v>
                </c:pt>
                <c:pt idx="1095">
                  <c:v>SEP.24</c:v>
                </c:pt>
                <c:pt idx="1096">
                  <c:v>SEP.24</c:v>
                </c:pt>
                <c:pt idx="1097">
                  <c:v>SEP.24</c:v>
                </c:pt>
                <c:pt idx="1098">
                  <c:v>SEP.24</c:v>
                </c:pt>
                <c:pt idx="1099">
                  <c:v>SEP.24</c:v>
                </c:pt>
                <c:pt idx="1100">
                  <c:v>SEP.24</c:v>
                </c:pt>
                <c:pt idx="1101">
                  <c:v>SEP.24</c:v>
                </c:pt>
                <c:pt idx="1102">
                  <c:v>SEP.24</c:v>
                </c:pt>
                <c:pt idx="1103">
                  <c:v>SEP.24</c:v>
                </c:pt>
                <c:pt idx="1104">
                  <c:v>SEP.24</c:v>
                </c:pt>
                <c:pt idx="1105">
                  <c:v>SEP.24</c:v>
                </c:pt>
                <c:pt idx="1106">
                  <c:v>SEP.24</c:v>
                </c:pt>
                <c:pt idx="1107">
                  <c:v>SEP.24</c:v>
                </c:pt>
                <c:pt idx="1108">
                  <c:v>SEP.24</c:v>
                </c:pt>
                <c:pt idx="1109">
                  <c:v>SEP.24</c:v>
                </c:pt>
                <c:pt idx="1110">
                  <c:v>SEP.24</c:v>
                </c:pt>
                <c:pt idx="1111">
                  <c:v>SEP.24</c:v>
                </c:pt>
                <c:pt idx="1112">
                  <c:v>SEP.24</c:v>
                </c:pt>
                <c:pt idx="1113">
                  <c:v>SEP.24</c:v>
                </c:pt>
                <c:pt idx="1114">
                  <c:v>SEP.24</c:v>
                </c:pt>
                <c:pt idx="1115">
                  <c:v>SEP.24</c:v>
                </c:pt>
                <c:pt idx="1116">
                  <c:v>SEP.24</c:v>
                </c:pt>
                <c:pt idx="1117">
                  <c:v>SEP.24</c:v>
                </c:pt>
                <c:pt idx="1118">
                  <c:v>SEP.24</c:v>
                </c:pt>
                <c:pt idx="1119">
                  <c:v>SEP.24</c:v>
                </c:pt>
                <c:pt idx="1120">
                  <c:v>SEP.24</c:v>
                </c:pt>
                <c:pt idx="1121">
                  <c:v>SEP.24</c:v>
                </c:pt>
                <c:pt idx="1122">
                  <c:v>SEP.24</c:v>
                </c:pt>
                <c:pt idx="1123">
                  <c:v>SEP.24</c:v>
                </c:pt>
                <c:pt idx="1124">
                  <c:v>SEP.24</c:v>
                </c:pt>
                <c:pt idx="1125">
                  <c:v>October24 live (R+1) | REDUCE INTRADAY &gt;1D TRADES</c:v>
                </c:pt>
                <c:pt idx="1126">
                  <c:v>OCT.24</c:v>
                </c:pt>
                <c:pt idx="1127">
                  <c:v>OCT.24</c:v>
                </c:pt>
                <c:pt idx="1128">
                  <c:v>OCT.24</c:v>
                </c:pt>
                <c:pt idx="1129">
                  <c:v>OCT.24</c:v>
                </c:pt>
                <c:pt idx="1130">
                  <c:v>OCT.24</c:v>
                </c:pt>
                <c:pt idx="1131">
                  <c:v>OCT.24</c:v>
                </c:pt>
                <c:pt idx="1132">
                  <c:v>OCT.24</c:v>
                </c:pt>
                <c:pt idx="1133">
                  <c:v>OCT.24</c:v>
                </c:pt>
                <c:pt idx="1134">
                  <c:v>OCT.24</c:v>
                </c:pt>
                <c:pt idx="1135">
                  <c:v>OCT.24</c:v>
                </c:pt>
                <c:pt idx="1136">
                  <c:v>OCT.24</c:v>
                </c:pt>
                <c:pt idx="1137">
                  <c:v>OCT.24</c:v>
                </c:pt>
                <c:pt idx="1138">
                  <c:v>OCT.24</c:v>
                </c:pt>
                <c:pt idx="1139">
                  <c:v>OCT.24</c:v>
                </c:pt>
                <c:pt idx="1140">
                  <c:v>OCT.24</c:v>
                </c:pt>
                <c:pt idx="1141">
                  <c:v>OCT.24</c:v>
                </c:pt>
                <c:pt idx="1142">
                  <c:v>OCT.24</c:v>
                </c:pt>
                <c:pt idx="1143">
                  <c:v>OCT.24</c:v>
                </c:pt>
                <c:pt idx="1144">
                  <c:v>OCT.24</c:v>
                </c:pt>
                <c:pt idx="1145">
                  <c:v>OCT.24</c:v>
                </c:pt>
                <c:pt idx="1146">
                  <c:v>OCT.24</c:v>
                </c:pt>
                <c:pt idx="1147">
                  <c:v>OCT.24</c:v>
                </c:pt>
                <c:pt idx="1148">
                  <c:v>OCT.24</c:v>
                </c:pt>
                <c:pt idx="1149">
                  <c:v>OCT.24</c:v>
                </c:pt>
                <c:pt idx="1150">
                  <c:v>OCT.24</c:v>
                </c:pt>
                <c:pt idx="1151">
                  <c:v>OCT.24</c:v>
                </c:pt>
                <c:pt idx="1152">
                  <c:v>OCT.24</c:v>
                </c:pt>
                <c:pt idx="1153">
                  <c:v>OCT.24</c:v>
                </c:pt>
                <c:pt idx="1154">
                  <c:v>OCT.24</c:v>
                </c:pt>
                <c:pt idx="1155">
                  <c:v>OCT.24</c:v>
                </c:pt>
                <c:pt idx="1156">
                  <c:v>OCT.24</c:v>
                </c:pt>
                <c:pt idx="1157">
                  <c:v>OCT.24</c:v>
                </c:pt>
                <c:pt idx="1158">
                  <c:v>OCT.24</c:v>
                </c:pt>
                <c:pt idx="1159">
                  <c:v>OCT.24</c:v>
                </c:pt>
                <c:pt idx="1160">
                  <c:v>OCT.24</c:v>
                </c:pt>
                <c:pt idx="1161">
                  <c:v>OCT.24</c:v>
                </c:pt>
                <c:pt idx="1162">
                  <c:v>OCT.24</c:v>
                </c:pt>
                <c:pt idx="1163">
                  <c:v>OCT.24</c:v>
                </c:pt>
                <c:pt idx="1164">
                  <c:v>OCT.24</c:v>
                </c:pt>
                <c:pt idx="1165">
                  <c:v>OCT.24</c:v>
                </c:pt>
                <c:pt idx="1166">
                  <c:v>OCT.24</c:v>
                </c:pt>
                <c:pt idx="1167">
                  <c:v>OCT.24</c:v>
                </c:pt>
                <c:pt idx="1168">
                  <c:v>OCT.24</c:v>
                </c:pt>
                <c:pt idx="1169">
                  <c:v>OCT.24</c:v>
                </c:pt>
                <c:pt idx="1170">
                  <c:v>OCT.24</c:v>
                </c:pt>
                <c:pt idx="1171">
                  <c:v>OCT.24</c:v>
                </c:pt>
                <c:pt idx="1172">
                  <c:v>OCT.24</c:v>
                </c:pt>
                <c:pt idx="1173">
                  <c:v>OCT.24</c:v>
                </c:pt>
                <c:pt idx="1174">
                  <c:v>OCT.24</c:v>
                </c:pt>
                <c:pt idx="1175">
                  <c:v>OCT.24</c:v>
                </c:pt>
                <c:pt idx="1176">
                  <c:v>OCT.24</c:v>
                </c:pt>
                <c:pt idx="1177">
                  <c:v>OCT.24</c:v>
                </c:pt>
                <c:pt idx="1178">
                  <c:v>OCT.24</c:v>
                </c:pt>
                <c:pt idx="1179">
                  <c:v>OCT.24</c:v>
                </c:pt>
                <c:pt idx="1180">
                  <c:v>OCT.24</c:v>
                </c:pt>
                <c:pt idx="1181">
                  <c:v>OCT.24</c:v>
                </c:pt>
                <c:pt idx="1182">
                  <c:v>OCT.24</c:v>
                </c:pt>
                <c:pt idx="1183">
                  <c:v>OCT.24</c:v>
                </c:pt>
                <c:pt idx="1184">
                  <c:v>OCT.24</c:v>
                </c:pt>
                <c:pt idx="1185">
                  <c:v>OCT.24</c:v>
                </c:pt>
                <c:pt idx="1186">
                  <c:v>OCT.24</c:v>
                </c:pt>
                <c:pt idx="1187">
                  <c:v>OCT.24</c:v>
                </c:pt>
                <c:pt idx="1188">
                  <c:v>OCT.24</c:v>
                </c:pt>
                <c:pt idx="1189">
                  <c:v>OCT.24</c:v>
                </c:pt>
                <c:pt idx="1190">
                  <c:v>OCT.24</c:v>
                </c:pt>
                <c:pt idx="1191">
                  <c:v>OCT.24</c:v>
                </c:pt>
                <c:pt idx="1192">
                  <c:v>OCT.24</c:v>
                </c:pt>
                <c:pt idx="1193">
                  <c:v>OCT.24</c:v>
                </c:pt>
                <c:pt idx="1194">
                  <c:v>OCT.24</c:v>
                </c:pt>
                <c:pt idx="1195">
                  <c:v>OCT.24</c:v>
                </c:pt>
                <c:pt idx="1196">
                  <c:v>OCT.24</c:v>
                </c:pt>
                <c:pt idx="1197">
                  <c:v>OCT.24</c:v>
                </c:pt>
                <c:pt idx="1198">
                  <c:v>OCT.24</c:v>
                </c:pt>
                <c:pt idx="1199">
                  <c:v>OCT.24</c:v>
                </c:pt>
                <c:pt idx="1200">
                  <c:v>OCT.24</c:v>
                </c:pt>
                <c:pt idx="1201">
                  <c:v>OCT.24</c:v>
                </c:pt>
                <c:pt idx="1202">
                  <c:v>OCT.24</c:v>
                </c:pt>
                <c:pt idx="1203">
                  <c:v>OCT.24</c:v>
                </c:pt>
                <c:pt idx="1204">
                  <c:v>OCT.24</c:v>
                </c:pt>
                <c:pt idx="1205">
                  <c:v>OCT.24</c:v>
                </c:pt>
                <c:pt idx="1206">
                  <c:v>OCT.24</c:v>
                </c:pt>
                <c:pt idx="1207">
                  <c:v>OCT.24</c:v>
                </c:pt>
                <c:pt idx="1208">
                  <c:v>OCT.24</c:v>
                </c:pt>
                <c:pt idx="1209">
                  <c:v>OCT.24</c:v>
                </c:pt>
                <c:pt idx="1210">
                  <c:v>OCT.24</c:v>
                </c:pt>
                <c:pt idx="1211">
                  <c:v>OCT.24</c:v>
                </c:pt>
                <c:pt idx="1212">
                  <c:v>OCT.24</c:v>
                </c:pt>
                <c:pt idx="1213">
                  <c:v>OCT.24</c:v>
                </c:pt>
                <c:pt idx="1214">
                  <c:v>November24 live EPILOGUE 1</c:v>
                </c:pt>
                <c:pt idx="1215">
                  <c:v>NOV.24</c:v>
                </c:pt>
                <c:pt idx="1216">
                  <c:v>NOV.24</c:v>
                </c:pt>
                <c:pt idx="1217">
                  <c:v>NOV.24</c:v>
                </c:pt>
                <c:pt idx="1218">
                  <c:v>NOV.24</c:v>
                </c:pt>
                <c:pt idx="1219">
                  <c:v>NOV.24</c:v>
                </c:pt>
                <c:pt idx="1220">
                  <c:v>NOV.24</c:v>
                </c:pt>
                <c:pt idx="1221">
                  <c:v>NOV.24</c:v>
                </c:pt>
                <c:pt idx="1222">
                  <c:v>NOV.24</c:v>
                </c:pt>
                <c:pt idx="1223">
                  <c:v>NOV.24</c:v>
                </c:pt>
                <c:pt idx="1224">
                  <c:v>NOV.24</c:v>
                </c:pt>
                <c:pt idx="1225">
                  <c:v>NOV.24</c:v>
                </c:pt>
                <c:pt idx="1226">
                  <c:v>NOV.24</c:v>
                </c:pt>
                <c:pt idx="1227">
                  <c:v>NOV.24</c:v>
                </c:pt>
                <c:pt idx="1228">
                  <c:v>NOV.24</c:v>
                </c:pt>
                <c:pt idx="1229">
                  <c:v>NOV.24</c:v>
                </c:pt>
                <c:pt idx="1230">
                  <c:v>NOV.24</c:v>
                </c:pt>
                <c:pt idx="1231">
                  <c:v>NOV.24</c:v>
                </c:pt>
                <c:pt idx="1232">
                  <c:v>NOV.24</c:v>
                </c:pt>
                <c:pt idx="1233">
                  <c:v>NOV.24</c:v>
                </c:pt>
                <c:pt idx="1234">
                  <c:v>NOV.24</c:v>
                </c:pt>
                <c:pt idx="1235">
                  <c:v>NOV.24</c:v>
                </c:pt>
                <c:pt idx="1236">
                  <c:v>NOV.24</c:v>
                </c:pt>
                <c:pt idx="1237">
                  <c:v>NOV.24</c:v>
                </c:pt>
              </c:strCache>
            </c:strRef>
          </c:cat>
          <c:val>
            <c:numRef>
              <c:f>'Journal Live'!$BS$1388:$BS$2630</c:f>
              <c:numCache>
                <c:formatCode>General</c:formatCode>
                <c:ptCount val="1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-159.99999999999957</c:v>
                </c:pt>
                <c:pt idx="17">
                  <c:v>-159.99999999999957</c:v>
                </c:pt>
                <c:pt idx="18">
                  <c:v>-159.99999999999957</c:v>
                </c:pt>
                <c:pt idx="19">
                  <c:v>-159.99999999999957</c:v>
                </c:pt>
                <c:pt idx="20">
                  <c:v>-159.99999999999957</c:v>
                </c:pt>
                <c:pt idx="21">
                  <c:v>-159.99999999999957</c:v>
                </c:pt>
                <c:pt idx="22">
                  <c:v>-159.99999999999957</c:v>
                </c:pt>
                <c:pt idx="23">
                  <c:v>-159.99999999999957</c:v>
                </c:pt>
                <c:pt idx="24">
                  <c:v>-159.99999999999957</c:v>
                </c:pt>
                <c:pt idx="25">
                  <c:v>-159.99999999999957</c:v>
                </c:pt>
                <c:pt idx="26">
                  <c:v>112.00000000000048</c:v>
                </c:pt>
                <c:pt idx="27">
                  <c:v>448.00000000000034</c:v>
                </c:pt>
                <c:pt idx="28">
                  <c:v>448.00000000000034</c:v>
                </c:pt>
                <c:pt idx="29">
                  <c:v>448.00000000000034</c:v>
                </c:pt>
                <c:pt idx="30">
                  <c:v>448.00000000000034</c:v>
                </c:pt>
                <c:pt idx="31">
                  <c:v>448.00000000000034</c:v>
                </c:pt>
                <c:pt idx="32">
                  <c:v>448.00000000000034</c:v>
                </c:pt>
                <c:pt idx="33">
                  <c:v>448.00000000000034</c:v>
                </c:pt>
                <c:pt idx="34">
                  <c:v>543.99999999999989</c:v>
                </c:pt>
                <c:pt idx="35">
                  <c:v>543.99999999999989</c:v>
                </c:pt>
                <c:pt idx="36">
                  <c:v>543.99999999999989</c:v>
                </c:pt>
                <c:pt idx="37">
                  <c:v>543.99999999999989</c:v>
                </c:pt>
                <c:pt idx="38">
                  <c:v>543.99999999999989</c:v>
                </c:pt>
                <c:pt idx="39">
                  <c:v>543.99999999999989</c:v>
                </c:pt>
                <c:pt idx="40">
                  <c:v>543.99999999999989</c:v>
                </c:pt>
                <c:pt idx="41">
                  <c:v>639.99999999999943</c:v>
                </c:pt>
                <c:pt idx="42">
                  <c:v>639.99999999999943</c:v>
                </c:pt>
                <c:pt idx="43">
                  <c:v>639.99999999999943</c:v>
                </c:pt>
                <c:pt idx="44">
                  <c:v>639.99999999999943</c:v>
                </c:pt>
                <c:pt idx="45">
                  <c:v>639.99999999999943</c:v>
                </c:pt>
                <c:pt idx="46">
                  <c:v>639.99999999999943</c:v>
                </c:pt>
                <c:pt idx="47">
                  <c:v>639.99999999999943</c:v>
                </c:pt>
                <c:pt idx="48">
                  <c:v>639.99999999999943</c:v>
                </c:pt>
                <c:pt idx="49">
                  <c:v>639.99999999999943</c:v>
                </c:pt>
                <c:pt idx="50">
                  <c:v>639.99999999999943</c:v>
                </c:pt>
                <c:pt idx="51">
                  <c:v>639.99999999999943</c:v>
                </c:pt>
                <c:pt idx="52">
                  <c:v>639.99999999999943</c:v>
                </c:pt>
                <c:pt idx="53">
                  <c:v>639.99999999999943</c:v>
                </c:pt>
                <c:pt idx="54">
                  <c:v>639.99999999999943</c:v>
                </c:pt>
                <c:pt idx="55">
                  <c:v>639.99999999999943</c:v>
                </c:pt>
                <c:pt idx="56">
                  <c:v>639.99999999999943</c:v>
                </c:pt>
                <c:pt idx="57">
                  <c:v>639.99999999999943</c:v>
                </c:pt>
                <c:pt idx="58">
                  <c:v>639.99999999999943</c:v>
                </c:pt>
                <c:pt idx="59">
                  <c:v>639.99999999999943</c:v>
                </c:pt>
                <c:pt idx="60">
                  <c:v>639.99999999999943</c:v>
                </c:pt>
                <c:pt idx="61">
                  <c:v>639.99999999999943</c:v>
                </c:pt>
                <c:pt idx="62">
                  <c:v>639.99999999999943</c:v>
                </c:pt>
                <c:pt idx="63">
                  <c:v>639.99999999999943</c:v>
                </c:pt>
                <c:pt idx="64">
                  <c:v>639.99999999999943</c:v>
                </c:pt>
                <c:pt idx="65">
                  <c:v>639.99999999999943</c:v>
                </c:pt>
                <c:pt idx="66">
                  <c:v>639.99999999999943</c:v>
                </c:pt>
                <c:pt idx="67">
                  <c:v>639.99999999999943</c:v>
                </c:pt>
                <c:pt idx="68">
                  <c:v>639.99999999999943</c:v>
                </c:pt>
                <c:pt idx="69">
                  <c:v>639.99999999999943</c:v>
                </c:pt>
                <c:pt idx="70">
                  <c:v>639.99999999999943</c:v>
                </c:pt>
                <c:pt idx="71">
                  <c:v>639.99999999999943</c:v>
                </c:pt>
                <c:pt idx="72">
                  <c:v>639.99999999999943</c:v>
                </c:pt>
                <c:pt idx="73">
                  <c:v>639.99999999999943</c:v>
                </c:pt>
                <c:pt idx="74">
                  <c:v>639.99999999999943</c:v>
                </c:pt>
                <c:pt idx="75">
                  <c:v>639.99999999999943</c:v>
                </c:pt>
                <c:pt idx="76">
                  <c:v>639.99999999999943</c:v>
                </c:pt>
                <c:pt idx="77">
                  <c:v>639.99999999999943</c:v>
                </c:pt>
                <c:pt idx="78">
                  <c:v>639.99999999999943</c:v>
                </c:pt>
                <c:pt idx="79">
                  <c:v>639.99999999999943</c:v>
                </c:pt>
                <c:pt idx="80">
                  <c:v>639.99999999999943</c:v>
                </c:pt>
                <c:pt idx="81">
                  <c:v>639.99999999999943</c:v>
                </c:pt>
                <c:pt idx="82">
                  <c:v>639.99999999999943</c:v>
                </c:pt>
                <c:pt idx="83">
                  <c:v>639.99999999999943</c:v>
                </c:pt>
                <c:pt idx="84">
                  <c:v>639.99999999999943</c:v>
                </c:pt>
                <c:pt idx="85">
                  <c:v>639.99999999999943</c:v>
                </c:pt>
                <c:pt idx="86">
                  <c:v>639.99999999999943</c:v>
                </c:pt>
                <c:pt idx="87">
                  <c:v>639.99999999999943</c:v>
                </c:pt>
                <c:pt idx="88">
                  <c:v>639.99999999999943</c:v>
                </c:pt>
                <c:pt idx="89">
                  <c:v>639.99999999999943</c:v>
                </c:pt>
                <c:pt idx="90">
                  <c:v>639.99999999999943</c:v>
                </c:pt>
                <c:pt idx="91">
                  <c:v>639.99999999999943</c:v>
                </c:pt>
                <c:pt idx="92">
                  <c:v>639.99999999999943</c:v>
                </c:pt>
                <c:pt idx="93">
                  <c:v>639.99999999999943</c:v>
                </c:pt>
                <c:pt idx="94">
                  <c:v>639.99999999999943</c:v>
                </c:pt>
                <c:pt idx="95">
                  <c:v>2591.9999999999991</c:v>
                </c:pt>
                <c:pt idx="96">
                  <c:v>2591.9999999999991</c:v>
                </c:pt>
                <c:pt idx="97">
                  <c:v>2591.9999999999991</c:v>
                </c:pt>
                <c:pt idx="98">
                  <c:v>2591.9999999999991</c:v>
                </c:pt>
                <c:pt idx="99">
                  <c:v>2591.9999999999991</c:v>
                </c:pt>
                <c:pt idx="100">
                  <c:v>2591.9999999999991</c:v>
                </c:pt>
                <c:pt idx="101">
                  <c:v>2591.9999999999991</c:v>
                </c:pt>
                <c:pt idx="102">
                  <c:v>2591.9999999999991</c:v>
                </c:pt>
                <c:pt idx="103">
                  <c:v>2591.9999999999991</c:v>
                </c:pt>
                <c:pt idx="104">
                  <c:v>2591.9999999999991</c:v>
                </c:pt>
                <c:pt idx="105">
                  <c:v>2591.9999999999991</c:v>
                </c:pt>
                <c:pt idx="106">
                  <c:v>2783.9999999998245</c:v>
                </c:pt>
                <c:pt idx="107">
                  <c:v>2783.9999999998245</c:v>
                </c:pt>
                <c:pt idx="108">
                  <c:v>2783.9999999998245</c:v>
                </c:pt>
                <c:pt idx="109">
                  <c:v>2783.9999999998245</c:v>
                </c:pt>
                <c:pt idx="110">
                  <c:v>2783.9999999998245</c:v>
                </c:pt>
                <c:pt idx="111">
                  <c:v>2783.9999999998245</c:v>
                </c:pt>
                <c:pt idx="112">
                  <c:v>2783.9999999998245</c:v>
                </c:pt>
                <c:pt idx="113">
                  <c:v>2783.9999999998245</c:v>
                </c:pt>
                <c:pt idx="114">
                  <c:v>2783.9999999998245</c:v>
                </c:pt>
                <c:pt idx="115">
                  <c:v>2783.9999999998245</c:v>
                </c:pt>
                <c:pt idx="116">
                  <c:v>2783.9999999998245</c:v>
                </c:pt>
                <c:pt idx="117">
                  <c:v>3007.9999999998245</c:v>
                </c:pt>
                <c:pt idx="118">
                  <c:v>3007.9999999998245</c:v>
                </c:pt>
                <c:pt idx="119">
                  <c:v>2887.1799999999344</c:v>
                </c:pt>
                <c:pt idx="120">
                  <c:v>2887.1799999999344</c:v>
                </c:pt>
                <c:pt idx="121">
                  <c:v>2887.1799999999344</c:v>
                </c:pt>
                <c:pt idx="122">
                  <c:v>2887.1799999999344</c:v>
                </c:pt>
                <c:pt idx="123">
                  <c:v>2887.1799999999344</c:v>
                </c:pt>
                <c:pt idx="124">
                  <c:v>2887.1799999999344</c:v>
                </c:pt>
                <c:pt idx="125">
                  <c:v>2887.1799999999344</c:v>
                </c:pt>
                <c:pt idx="126">
                  <c:v>2887.1799999999344</c:v>
                </c:pt>
                <c:pt idx="127">
                  <c:v>2887.1799999999344</c:v>
                </c:pt>
                <c:pt idx="128">
                  <c:v>2887.1799999999344</c:v>
                </c:pt>
                <c:pt idx="129">
                  <c:v>2887.1799999999344</c:v>
                </c:pt>
                <c:pt idx="130">
                  <c:v>2887.1799999999344</c:v>
                </c:pt>
                <c:pt idx="131">
                  <c:v>2887.1799999999344</c:v>
                </c:pt>
                <c:pt idx="132">
                  <c:v>2887.1799999999344</c:v>
                </c:pt>
                <c:pt idx="133">
                  <c:v>2887.1799999999344</c:v>
                </c:pt>
                <c:pt idx="134">
                  <c:v>2887.1799999999344</c:v>
                </c:pt>
                <c:pt idx="135">
                  <c:v>2887.1799999999344</c:v>
                </c:pt>
                <c:pt idx="136">
                  <c:v>2887.1799999999344</c:v>
                </c:pt>
                <c:pt idx="137">
                  <c:v>2583.1799999999344</c:v>
                </c:pt>
                <c:pt idx="138">
                  <c:v>2583.1799999999344</c:v>
                </c:pt>
                <c:pt idx="139">
                  <c:v>2583.1799999999344</c:v>
                </c:pt>
                <c:pt idx="140">
                  <c:v>2583.1799999999344</c:v>
                </c:pt>
                <c:pt idx="141">
                  <c:v>2871.1799999999339</c:v>
                </c:pt>
                <c:pt idx="142">
                  <c:v>2871.1799999999339</c:v>
                </c:pt>
                <c:pt idx="143">
                  <c:v>2871.1799999999339</c:v>
                </c:pt>
                <c:pt idx="144">
                  <c:v>2871.1799999999339</c:v>
                </c:pt>
                <c:pt idx="145">
                  <c:v>3383.1799999999339</c:v>
                </c:pt>
                <c:pt idx="146">
                  <c:v>4247.179999999933</c:v>
                </c:pt>
                <c:pt idx="147">
                  <c:v>4247.179999999933</c:v>
                </c:pt>
                <c:pt idx="148">
                  <c:v>4247.179999999933</c:v>
                </c:pt>
                <c:pt idx="149">
                  <c:v>4247.179999999933</c:v>
                </c:pt>
                <c:pt idx="150">
                  <c:v>4247.179999999933</c:v>
                </c:pt>
                <c:pt idx="151">
                  <c:v>4247.179999999933</c:v>
                </c:pt>
                <c:pt idx="152">
                  <c:v>4247.179999999933</c:v>
                </c:pt>
                <c:pt idx="153">
                  <c:v>4247.179999999933</c:v>
                </c:pt>
                <c:pt idx="154">
                  <c:v>4247.179999999933</c:v>
                </c:pt>
                <c:pt idx="155">
                  <c:v>4247.179999999933</c:v>
                </c:pt>
                <c:pt idx="156">
                  <c:v>4247.179999999933</c:v>
                </c:pt>
                <c:pt idx="157">
                  <c:v>4247.179999999933</c:v>
                </c:pt>
                <c:pt idx="158">
                  <c:v>4247.179999999933</c:v>
                </c:pt>
                <c:pt idx="159">
                  <c:v>4247.179999999933</c:v>
                </c:pt>
                <c:pt idx="160">
                  <c:v>4247.179999999933</c:v>
                </c:pt>
                <c:pt idx="161">
                  <c:v>4247.179999999933</c:v>
                </c:pt>
                <c:pt idx="162">
                  <c:v>4247.179999999933</c:v>
                </c:pt>
                <c:pt idx="163">
                  <c:v>4247.179999999933</c:v>
                </c:pt>
                <c:pt idx="164">
                  <c:v>4247.179999999933</c:v>
                </c:pt>
                <c:pt idx="165">
                  <c:v>4919.179999999933</c:v>
                </c:pt>
                <c:pt idx="166">
                  <c:v>4919.179999999933</c:v>
                </c:pt>
                <c:pt idx="167">
                  <c:v>4919.179999999933</c:v>
                </c:pt>
                <c:pt idx="168">
                  <c:v>4919.179999999933</c:v>
                </c:pt>
                <c:pt idx="169">
                  <c:v>5319.1799999999321</c:v>
                </c:pt>
                <c:pt idx="170">
                  <c:v>5319.1799999999321</c:v>
                </c:pt>
                <c:pt idx="171">
                  <c:v>5319.1799999999321</c:v>
                </c:pt>
                <c:pt idx="172">
                  <c:v>5607.1799999999312</c:v>
                </c:pt>
                <c:pt idx="173">
                  <c:v>5607.1799999999312</c:v>
                </c:pt>
                <c:pt idx="174">
                  <c:v>5607.1799999999312</c:v>
                </c:pt>
                <c:pt idx="175">
                  <c:v>5607.1799999999312</c:v>
                </c:pt>
                <c:pt idx="176">
                  <c:v>5607.1799999999312</c:v>
                </c:pt>
                <c:pt idx="177">
                  <c:v>5607.1799999999312</c:v>
                </c:pt>
                <c:pt idx="178">
                  <c:v>5607.1799999999312</c:v>
                </c:pt>
                <c:pt idx="179">
                  <c:v>4007.1799999999307</c:v>
                </c:pt>
                <c:pt idx="180">
                  <c:v>5607.1799999999312</c:v>
                </c:pt>
                <c:pt idx="181">
                  <c:v>5607.1799999999312</c:v>
                </c:pt>
                <c:pt idx="182">
                  <c:v>5607.1799999999312</c:v>
                </c:pt>
                <c:pt idx="183">
                  <c:v>5607.1799999999312</c:v>
                </c:pt>
                <c:pt idx="184">
                  <c:v>5607.1799999999312</c:v>
                </c:pt>
                <c:pt idx="185">
                  <c:v>5607.1799999999312</c:v>
                </c:pt>
                <c:pt idx="186">
                  <c:v>5607.1799999999312</c:v>
                </c:pt>
                <c:pt idx="187">
                  <c:v>5607.1799999999312</c:v>
                </c:pt>
                <c:pt idx="188">
                  <c:v>5607.1799999999312</c:v>
                </c:pt>
                <c:pt idx="189">
                  <c:v>5607.1799999999312</c:v>
                </c:pt>
                <c:pt idx="190">
                  <c:v>5607.1799999999312</c:v>
                </c:pt>
                <c:pt idx="191">
                  <c:v>5607.1799999999312</c:v>
                </c:pt>
                <c:pt idx="192">
                  <c:v>4007.1799999999307</c:v>
                </c:pt>
                <c:pt idx="193">
                  <c:v>5607.1799999999312</c:v>
                </c:pt>
                <c:pt idx="194">
                  <c:v>5607.1799999999312</c:v>
                </c:pt>
                <c:pt idx="195">
                  <c:v>4007.1799999999307</c:v>
                </c:pt>
                <c:pt idx="196">
                  <c:v>4007.1799999999307</c:v>
                </c:pt>
                <c:pt idx="197">
                  <c:v>4007.1799999999307</c:v>
                </c:pt>
                <c:pt idx="198">
                  <c:v>4007.1799999999307</c:v>
                </c:pt>
                <c:pt idx="199">
                  <c:v>4007.1799999999307</c:v>
                </c:pt>
                <c:pt idx="200">
                  <c:v>4007.1799999999307</c:v>
                </c:pt>
                <c:pt idx="201">
                  <c:v>4007.1799999999307</c:v>
                </c:pt>
                <c:pt idx="202">
                  <c:v>4007.1799999999307</c:v>
                </c:pt>
                <c:pt idx="203">
                  <c:v>4007.1799999999307</c:v>
                </c:pt>
                <c:pt idx="204">
                  <c:v>4007.1799999999307</c:v>
                </c:pt>
                <c:pt idx="205">
                  <c:v>4007.1799999999307</c:v>
                </c:pt>
                <c:pt idx="206">
                  <c:v>4007.1799999999307</c:v>
                </c:pt>
                <c:pt idx="207">
                  <c:v>4007.1799999999307</c:v>
                </c:pt>
                <c:pt idx="208">
                  <c:v>4007.1799999999307</c:v>
                </c:pt>
                <c:pt idx="209">
                  <c:v>4007.1799999999307</c:v>
                </c:pt>
                <c:pt idx="210">
                  <c:v>4007.1799999999307</c:v>
                </c:pt>
                <c:pt idx="211">
                  <c:v>4007.1799999999307</c:v>
                </c:pt>
                <c:pt idx="212">
                  <c:v>4007.1799999999307</c:v>
                </c:pt>
                <c:pt idx="213">
                  <c:v>4007.1799999999307</c:v>
                </c:pt>
                <c:pt idx="214">
                  <c:v>4007.1799999999307</c:v>
                </c:pt>
                <c:pt idx="215">
                  <c:v>4007.1799999999307</c:v>
                </c:pt>
                <c:pt idx="216">
                  <c:v>4007.1799999999307</c:v>
                </c:pt>
                <c:pt idx="217">
                  <c:v>4007.1799999999307</c:v>
                </c:pt>
                <c:pt idx="218">
                  <c:v>4007.1799999999307</c:v>
                </c:pt>
                <c:pt idx="219">
                  <c:v>4007.1799999999307</c:v>
                </c:pt>
                <c:pt idx="220">
                  <c:v>4007.1799999999307</c:v>
                </c:pt>
                <c:pt idx="221">
                  <c:v>4007.1799999999307</c:v>
                </c:pt>
                <c:pt idx="222">
                  <c:v>4007.1799999999307</c:v>
                </c:pt>
                <c:pt idx="223">
                  <c:v>4007.1799999999307</c:v>
                </c:pt>
                <c:pt idx="224">
                  <c:v>4007.1799999999307</c:v>
                </c:pt>
                <c:pt idx="225">
                  <c:v>4007.1799999999307</c:v>
                </c:pt>
                <c:pt idx="226">
                  <c:v>4007.1799999999307</c:v>
                </c:pt>
                <c:pt idx="227">
                  <c:v>4007.1799999999307</c:v>
                </c:pt>
                <c:pt idx="228">
                  <c:v>4007.1799999999307</c:v>
                </c:pt>
                <c:pt idx="229">
                  <c:v>4007.1799999999307</c:v>
                </c:pt>
                <c:pt idx="230">
                  <c:v>4007.1799999999307</c:v>
                </c:pt>
                <c:pt idx="231">
                  <c:v>4007.1799999999307</c:v>
                </c:pt>
                <c:pt idx="232">
                  <c:v>4007.1799999999307</c:v>
                </c:pt>
                <c:pt idx="233">
                  <c:v>4007.1799999999307</c:v>
                </c:pt>
                <c:pt idx="234">
                  <c:v>4007.1799999999307</c:v>
                </c:pt>
                <c:pt idx="235">
                  <c:v>4007.1799999999307</c:v>
                </c:pt>
                <c:pt idx="236">
                  <c:v>4007.1799999999307</c:v>
                </c:pt>
                <c:pt idx="237">
                  <c:v>4007.1799999999307</c:v>
                </c:pt>
                <c:pt idx="238">
                  <c:v>4007.1799999999307</c:v>
                </c:pt>
                <c:pt idx="239">
                  <c:v>4007.1799999999307</c:v>
                </c:pt>
                <c:pt idx="240">
                  <c:v>4007.1799999999307</c:v>
                </c:pt>
                <c:pt idx="241">
                  <c:v>4007.1799999999307</c:v>
                </c:pt>
                <c:pt idx="242">
                  <c:v>4007.1799999999307</c:v>
                </c:pt>
                <c:pt idx="243">
                  <c:v>4007.1799999999307</c:v>
                </c:pt>
                <c:pt idx="244">
                  <c:v>4007.1799999999307</c:v>
                </c:pt>
                <c:pt idx="245">
                  <c:v>4007.1799999999307</c:v>
                </c:pt>
                <c:pt idx="246">
                  <c:v>4007.1799999999307</c:v>
                </c:pt>
                <c:pt idx="247">
                  <c:v>4007.1799999999307</c:v>
                </c:pt>
                <c:pt idx="248">
                  <c:v>4007.1799999999307</c:v>
                </c:pt>
                <c:pt idx="249">
                  <c:v>4007.1799999999307</c:v>
                </c:pt>
                <c:pt idx="250">
                  <c:v>4007.1799999999307</c:v>
                </c:pt>
                <c:pt idx="251">
                  <c:v>4007.1799999999307</c:v>
                </c:pt>
                <c:pt idx="252">
                  <c:v>4007.1799999999307</c:v>
                </c:pt>
                <c:pt idx="253">
                  <c:v>4007.1799999999307</c:v>
                </c:pt>
                <c:pt idx="254">
                  <c:v>4007.1799999999307</c:v>
                </c:pt>
                <c:pt idx="255">
                  <c:v>4007.1799999999307</c:v>
                </c:pt>
                <c:pt idx="256">
                  <c:v>4007.1799999999307</c:v>
                </c:pt>
                <c:pt idx="257">
                  <c:v>4007.1799999999307</c:v>
                </c:pt>
                <c:pt idx="258">
                  <c:v>4007.1799999999307</c:v>
                </c:pt>
                <c:pt idx="259">
                  <c:v>4007.1799999999307</c:v>
                </c:pt>
                <c:pt idx="260">
                  <c:v>4007.1799999999307</c:v>
                </c:pt>
                <c:pt idx="261">
                  <c:v>4007.1799999999307</c:v>
                </c:pt>
                <c:pt idx="262">
                  <c:v>4007.1799999999307</c:v>
                </c:pt>
                <c:pt idx="263">
                  <c:v>4007.1799999999307</c:v>
                </c:pt>
                <c:pt idx="264">
                  <c:v>4007.1799999999307</c:v>
                </c:pt>
                <c:pt idx="265">
                  <c:v>4007.1799999999307</c:v>
                </c:pt>
                <c:pt idx="266">
                  <c:v>6567.1799999999312</c:v>
                </c:pt>
                <c:pt idx="267">
                  <c:v>6567.1799999999312</c:v>
                </c:pt>
                <c:pt idx="268">
                  <c:v>6567.1799999999312</c:v>
                </c:pt>
                <c:pt idx="269">
                  <c:v>6567.1799999999312</c:v>
                </c:pt>
                <c:pt idx="270">
                  <c:v>6567.1799999999312</c:v>
                </c:pt>
                <c:pt idx="271">
                  <c:v>6567.1799999999312</c:v>
                </c:pt>
                <c:pt idx="272">
                  <c:v>6567.1799999999312</c:v>
                </c:pt>
                <c:pt idx="273">
                  <c:v>6567.1799999999312</c:v>
                </c:pt>
                <c:pt idx="274">
                  <c:v>6567.1799999999312</c:v>
                </c:pt>
                <c:pt idx="275">
                  <c:v>6567.1799999999312</c:v>
                </c:pt>
                <c:pt idx="276">
                  <c:v>6567.1799999999312</c:v>
                </c:pt>
                <c:pt idx="277">
                  <c:v>6567.1799999999312</c:v>
                </c:pt>
                <c:pt idx="278">
                  <c:v>6567.1799999999312</c:v>
                </c:pt>
                <c:pt idx="279">
                  <c:v>6567.1799999999312</c:v>
                </c:pt>
                <c:pt idx="280">
                  <c:v>6567.1799999999312</c:v>
                </c:pt>
                <c:pt idx="281">
                  <c:v>6567.1799999999312</c:v>
                </c:pt>
                <c:pt idx="282">
                  <c:v>6567.1799999999312</c:v>
                </c:pt>
                <c:pt idx="283">
                  <c:v>6567.1799999999312</c:v>
                </c:pt>
                <c:pt idx="284">
                  <c:v>6567.1799999999312</c:v>
                </c:pt>
                <c:pt idx="285">
                  <c:v>6567.1799999999312</c:v>
                </c:pt>
                <c:pt idx="286">
                  <c:v>6567.1799999999312</c:v>
                </c:pt>
                <c:pt idx="287">
                  <c:v>6567.1799999999312</c:v>
                </c:pt>
                <c:pt idx="288">
                  <c:v>6567.1799999999312</c:v>
                </c:pt>
                <c:pt idx="289">
                  <c:v>6567.1799999999312</c:v>
                </c:pt>
                <c:pt idx="290">
                  <c:v>6567.1799999999312</c:v>
                </c:pt>
                <c:pt idx="291">
                  <c:v>6567.1799999999312</c:v>
                </c:pt>
                <c:pt idx="292">
                  <c:v>6567.1799999999312</c:v>
                </c:pt>
                <c:pt idx="293">
                  <c:v>6567.1799999999312</c:v>
                </c:pt>
                <c:pt idx="294">
                  <c:v>6567.1799999999312</c:v>
                </c:pt>
                <c:pt idx="295">
                  <c:v>6567.1799999999312</c:v>
                </c:pt>
                <c:pt idx="296">
                  <c:v>6567.1799999999312</c:v>
                </c:pt>
                <c:pt idx="297">
                  <c:v>6567.1799999999312</c:v>
                </c:pt>
                <c:pt idx="298">
                  <c:v>6567.1799999999312</c:v>
                </c:pt>
                <c:pt idx="299">
                  <c:v>6567.1799999999312</c:v>
                </c:pt>
                <c:pt idx="300">
                  <c:v>6567.1799999999312</c:v>
                </c:pt>
                <c:pt idx="301">
                  <c:v>6567.1799999999312</c:v>
                </c:pt>
                <c:pt idx="302">
                  <c:v>6951.1799999999312</c:v>
                </c:pt>
                <c:pt idx="303">
                  <c:v>6951.1799999999312</c:v>
                </c:pt>
                <c:pt idx="304">
                  <c:v>6951.1799999999312</c:v>
                </c:pt>
                <c:pt idx="305">
                  <c:v>6951.1799999999312</c:v>
                </c:pt>
                <c:pt idx="306">
                  <c:v>6951.1799999999312</c:v>
                </c:pt>
                <c:pt idx="307">
                  <c:v>6951.1799999999312</c:v>
                </c:pt>
                <c:pt idx="308">
                  <c:v>6951.1799999999312</c:v>
                </c:pt>
                <c:pt idx="309">
                  <c:v>6951.1799999999312</c:v>
                </c:pt>
                <c:pt idx="310">
                  <c:v>6951.1799999999312</c:v>
                </c:pt>
                <c:pt idx="311">
                  <c:v>6951.1799999999312</c:v>
                </c:pt>
                <c:pt idx="312">
                  <c:v>6951.1799999999312</c:v>
                </c:pt>
                <c:pt idx="313">
                  <c:v>6951.1799999999312</c:v>
                </c:pt>
                <c:pt idx="314">
                  <c:v>6951.1799999999312</c:v>
                </c:pt>
                <c:pt idx="315">
                  <c:v>6951.1799999999312</c:v>
                </c:pt>
                <c:pt idx="316">
                  <c:v>6951.1799999999312</c:v>
                </c:pt>
                <c:pt idx="317">
                  <c:v>6951.1799999999312</c:v>
                </c:pt>
                <c:pt idx="318">
                  <c:v>6951.1799999999312</c:v>
                </c:pt>
                <c:pt idx="319">
                  <c:v>6951.1799999999312</c:v>
                </c:pt>
                <c:pt idx="320">
                  <c:v>6951.1799999999312</c:v>
                </c:pt>
                <c:pt idx="321">
                  <c:v>6951.1799999999312</c:v>
                </c:pt>
                <c:pt idx="322">
                  <c:v>6951.1799999999312</c:v>
                </c:pt>
                <c:pt idx="323">
                  <c:v>6951.1799999999312</c:v>
                </c:pt>
                <c:pt idx="324">
                  <c:v>6951.1799999999312</c:v>
                </c:pt>
                <c:pt idx="325">
                  <c:v>6951.1799999999312</c:v>
                </c:pt>
                <c:pt idx="326">
                  <c:v>6951.1799999999312</c:v>
                </c:pt>
                <c:pt idx="327">
                  <c:v>6951.1799999999312</c:v>
                </c:pt>
                <c:pt idx="328">
                  <c:v>6951.1799999999312</c:v>
                </c:pt>
                <c:pt idx="329">
                  <c:v>6951.1799999999312</c:v>
                </c:pt>
                <c:pt idx="330">
                  <c:v>6951.1799999999312</c:v>
                </c:pt>
                <c:pt idx="331">
                  <c:v>6951.1799999999312</c:v>
                </c:pt>
                <c:pt idx="332">
                  <c:v>6951.1799999999312</c:v>
                </c:pt>
                <c:pt idx="333">
                  <c:v>6951.1799999999312</c:v>
                </c:pt>
                <c:pt idx="334">
                  <c:v>6951.1799999999312</c:v>
                </c:pt>
                <c:pt idx="335">
                  <c:v>6951.1799999999312</c:v>
                </c:pt>
                <c:pt idx="336">
                  <c:v>6951.1799999999312</c:v>
                </c:pt>
                <c:pt idx="337">
                  <c:v>6951.1799999999312</c:v>
                </c:pt>
                <c:pt idx="338">
                  <c:v>6951.1799999999312</c:v>
                </c:pt>
                <c:pt idx="339">
                  <c:v>6951.1799999999312</c:v>
                </c:pt>
                <c:pt idx="340">
                  <c:v>6951.1799999999312</c:v>
                </c:pt>
                <c:pt idx="341">
                  <c:v>6951.1799999999312</c:v>
                </c:pt>
                <c:pt idx="342">
                  <c:v>6951.1799999999312</c:v>
                </c:pt>
                <c:pt idx="343">
                  <c:v>6951.1799999999312</c:v>
                </c:pt>
                <c:pt idx="344">
                  <c:v>6951.1799999999312</c:v>
                </c:pt>
                <c:pt idx="345">
                  <c:v>6951.1799999999312</c:v>
                </c:pt>
                <c:pt idx="346">
                  <c:v>6951.1799999999312</c:v>
                </c:pt>
                <c:pt idx="347">
                  <c:v>6951.1799999999312</c:v>
                </c:pt>
                <c:pt idx="348">
                  <c:v>6951.1799999999312</c:v>
                </c:pt>
                <c:pt idx="349">
                  <c:v>6951.1799999999312</c:v>
                </c:pt>
                <c:pt idx="350">
                  <c:v>6951.1799999999312</c:v>
                </c:pt>
                <c:pt idx="351">
                  <c:v>6951.1799999999312</c:v>
                </c:pt>
                <c:pt idx="352">
                  <c:v>6951.1799999999312</c:v>
                </c:pt>
                <c:pt idx="353">
                  <c:v>6951.1799999999312</c:v>
                </c:pt>
                <c:pt idx="354">
                  <c:v>6951.1799999999312</c:v>
                </c:pt>
                <c:pt idx="355">
                  <c:v>6615.1799999999312</c:v>
                </c:pt>
                <c:pt idx="356">
                  <c:v>6615.1799999999312</c:v>
                </c:pt>
                <c:pt idx="357">
                  <c:v>6615.1799999999312</c:v>
                </c:pt>
                <c:pt idx="358">
                  <c:v>6615.1799999999312</c:v>
                </c:pt>
                <c:pt idx="359">
                  <c:v>6615.1799999999312</c:v>
                </c:pt>
                <c:pt idx="360">
                  <c:v>6615.1799999999312</c:v>
                </c:pt>
                <c:pt idx="361">
                  <c:v>6615.1799999999312</c:v>
                </c:pt>
                <c:pt idx="362">
                  <c:v>6615.1799999999312</c:v>
                </c:pt>
                <c:pt idx="363">
                  <c:v>6615.1799999999312</c:v>
                </c:pt>
                <c:pt idx="364">
                  <c:v>6615.1799999999312</c:v>
                </c:pt>
                <c:pt idx="365">
                  <c:v>6615.1799999999312</c:v>
                </c:pt>
                <c:pt idx="366">
                  <c:v>6615.1799999999312</c:v>
                </c:pt>
                <c:pt idx="367">
                  <c:v>6615.1799999999312</c:v>
                </c:pt>
                <c:pt idx="368">
                  <c:v>6615.1799999999312</c:v>
                </c:pt>
                <c:pt idx="369">
                  <c:v>6615.1799999999312</c:v>
                </c:pt>
                <c:pt idx="370">
                  <c:v>6615.1799999999312</c:v>
                </c:pt>
                <c:pt idx="371">
                  <c:v>6615.1799999999312</c:v>
                </c:pt>
                <c:pt idx="372">
                  <c:v>6615.1799999999312</c:v>
                </c:pt>
                <c:pt idx="373">
                  <c:v>6615.1799999999312</c:v>
                </c:pt>
                <c:pt idx="374">
                  <c:v>6615.1799999999312</c:v>
                </c:pt>
                <c:pt idx="375">
                  <c:v>6615.1799999999312</c:v>
                </c:pt>
                <c:pt idx="376">
                  <c:v>6615.1799999999312</c:v>
                </c:pt>
                <c:pt idx="377">
                  <c:v>6615.1799999999312</c:v>
                </c:pt>
                <c:pt idx="378">
                  <c:v>6615.1799999999312</c:v>
                </c:pt>
                <c:pt idx="379">
                  <c:v>6615.1799999999312</c:v>
                </c:pt>
                <c:pt idx="380">
                  <c:v>6615.1799999999312</c:v>
                </c:pt>
                <c:pt idx="381">
                  <c:v>6615.1799999999312</c:v>
                </c:pt>
                <c:pt idx="382">
                  <c:v>6615.1799999999312</c:v>
                </c:pt>
                <c:pt idx="383">
                  <c:v>6615.1799999999312</c:v>
                </c:pt>
                <c:pt idx="384">
                  <c:v>6615.1799999999312</c:v>
                </c:pt>
                <c:pt idx="385">
                  <c:v>6615.1799999999312</c:v>
                </c:pt>
                <c:pt idx="386">
                  <c:v>6615.1799999999312</c:v>
                </c:pt>
                <c:pt idx="387">
                  <c:v>6615.1799999999312</c:v>
                </c:pt>
                <c:pt idx="388">
                  <c:v>6615.1799999999312</c:v>
                </c:pt>
                <c:pt idx="389">
                  <c:v>6615.1799999999312</c:v>
                </c:pt>
                <c:pt idx="390">
                  <c:v>6615.1799999999312</c:v>
                </c:pt>
                <c:pt idx="391">
                  <c:v>6615.1799999999312</c:v>
                </c:pt>
                <c:pt idx="392">
                  <c:v>6615.1799999999312</c:v>
                </c:pt>
                <c:pt idx="393">
                  <c:v>6615.1799999999312</c:v>
                </c:pt>
                <c:pt idx="394">
                  <c:v>6615.1799999999312</c:v>
                </c:pt>
                <c:pt idx="395">
                  <c:v>6615.1799999999312</c:v>
                </c:pt>
                <c:pt idx="396">
                  <c:v>6615.1799999999312</c:v>
                </c:pt>
                <c:pt idx="397">
                  <c:v>6615.1799999999312</c:v>
                </c:pt>
                <c:pt idx="398">
                  <c:v>6615.1799999999312</c:v>
                </c:pt>
                <c:pt idx="399">
                  <c:v>6615.1799999999312</c:v>
                </c:pt>
                <c:pt idx="400">
                  <c:v>6615.1799999999312</c:v>
                </c:pt>
                <c:pt idx="401">
                  <c:v>6615.1799999999312</c:v>
                </c:pt>
                <c:pt idx="402">
                  <c:v>6615.1799999999312</c:v>
                </c:pt>
                <c:pt idx="403">
                  <c:v>6615.1799999999312</c:v>
                </c:pt>
                <c:pt idx="404">
                  <c:v>6615.1799999999312</c:v>
                </c:pt>
                <c:pt idx="405">
                  <c:v>6615.1799999999312</c:v>
                </c:pt>
                <c:pt idx="406">
                  <c:v>6615.1799999999312</c:v>
                </c:pt>
                <c:pt idx="407">
                  <c:v>6615.1799999999312</c:v>
                </c:pt>
                <c:pt idx="408">
                  <c:v>6615.1799999999312</c:v>
                </c:pt>
                <c:pt idx="409">
                  <c:v>6615.1799999999312</c:v>
                </c:pt>
                <c:pt idx="410">
                  <c:v>6615.1799999999312</c:v>
                </c:pt>
                <c:pt idx="411">
                  <c:v>6615.1799999999312</c:v>
                </c:pt>
                <c:pt idx="412">
                  <c:v>6615.1799999999312</c:v>
                </c:pt>
                <c:pt idx="413">
                  <c:v>6615.1799999999312</c:v>
                </c:pt>
                <c:pt idx="414">
                  <c:v>7095.1799999999312</c:v>
                </c:pt>
                <c:pt idx="415">
                  <c:v>7095.1799999999312</c:v>
                </c:pt>
                <c:pt idx="416">
                  <c:v>7095.1799999999312</c:v>
                </c:pt>
                <c:pt idx="417">
                  <c:v>7095.1799999999312</c:v>
                </c:pt>
                <c:pt idx="418">
                  <c:v>7395.1799999999312</c:v>
                </c:pt>
                <c:pt idx="419">
                  <c:v>7395.1799999999312</c:v>
                </c:pt>
                <c:pt idx="420">
                  <c:v>7395.1799999999312</c:v>
                </c:pt>
                <c:pt idx="421">
                  <c:v>8295.1799999999312</c:v>
                </c:pt>
                <c:pt idx="422">
                  <c:v>8775.1799999999312</c:v>
                </c:pt>
                <c:pt idx="423">
                  <c:v>8775.1799999999312</c:v>
                </c:pt>
                <c:pt idx="424">
                  <c:v>8775.1799999999312</c:v>
                </c:pt>
                <c:pt idx="425">
                  <c:v>8775.1799999999312</c:v>
                </c:pt>
                <c:pt idx="426">
                  <c:v>8775.1799999999312</c:v>
                </c:pt>
                <c:pt idx="427">
                  <c:v>8775.1799999999312</c:v>
                </c:pt>
                <c:pt idx="428">
                  <c:v>8775.1799999999312</c:v>
                </c:pt>
                <c:pt idx="429">
                  <c:v>8775.1799999999312</c:v>
                </c:pt>
                <c:pt idx="430">
                  <c:v>8775.1799999999312</c:v>
                </c:pt>
                <c:pt idx="431">
                  <c:v>8775.1799999999312</c:v>
                </c:pt>
                <c:pt idx="432">
                  <c:v>8775.1799999999312</c:v>
                </c:pt>
                <c:pt idx="433">
                  <c:v>8775.1799999999312</c:v>
                </c:pt>
                <c:pt idx="434">
                  <c:v>8775.1799999999312</c:v>
                </c:pt>
                <c:pt idx="435">
                  <c:v>8775.1799999999312</c:v>
                </c:pt>
                <c:pt idx="436">
                  <c:v>8775.1799999999312</c:v>
                </c:pt>
                <c:pt idx="437">
                  <c:v>8775.1799999999312</c:v>
                </c:pt>
                <c:pt idx="438">
                  <c:v>8775.1799999999312</c:v>
                </c:pt>
                <c:pt idx="439">
                  <c:v>8775.1799999999312</c:v>
                </c:pt>
                <c:pt idx="440">
                  <c:v>8775.1799999999312</c:v>
                </c:pt>
                <c:pt idx="441">
                  <c:v>8775.1799999999312</c:v>
                </c:pt>
                <c:pt idx="442">
                  <c:v>8775.1799999999312</c:v>
                </c:pt>
                <c:pt idx="443">
                  <c:v>8775.1799999999312</c:v>
                </c:pt>
                <c:pt idx="444">
                  <c:v>9655.1799999999312</c:v>
                </c:pt>
                <c:pt idx="445">
                  <c:v>9655.1799999999312</c:v>
                </c:pt>
                <c:pt idx="446">
                  <c:v>9655.1799999999312</c:v>
                </c:pt>
                <c:pt idx="447">
                  <c:v>9655.1799999999312</c:v>
                </c:pt>
                <c:pt idx="448">
                  <c:v>9655.1799999999312</c:v>
                </c:pt>
                <c:pt idx="449">
                  <c:v>9655.1799999999312</c:v>
                </c:pt>
                <c:pt idx="450">
                  <c:v>9655.1799999999312</c:v>
                </c:pt>
                <c:pt idx="451">
                  <c:v>9655.1799999999312</c:v>
                </c:pt>
                <c:pt idx="452">
                  <c:v>9655.1799999999312</c:v>
                </c:pt>
                <c:pt idx="453">
                  <c:v>9655.1799999999312</c:v>
                </c:pt>
                <c:pt idx="454">
                  <c:v>9655.1799999999312</c:v>
                </c:pt>
                <c:pt idx="455">
                  <c:v>9655.1799999999312</c:v>
                </c:pt>
                <c:pt idx="456">
                  <c:v>9655.1799999999312</c:v>
                </c:pt>
                <c:pt idx="457">
                  <c:v>9655.1799999999312</c:v>
                </c:pt>
                <c:pt idx="458">
                  <c:v>9655.1799999999312</c:v>
                </c:pt>
                <c:pt idx="459">
                  <c:v>9655.1799999999312</c:v>
                </c:pt>
                <c:pt idx="460">
                  <c:v>9655.1799999999312</c:v>
                </c:pt>
                <c:pt idx="461">
                  <c:v>9655.1799999999312</c:v>
                </c:pt>
                <c:pt idx="462">
                  <c:v>9655.1799999999312</c:v>
                </c:pt>
                <c:pt idx="463">
                  <c:v>9655.1799999999312</c:v>
                </c:pt>
                <c:pt idx="464">
                  <c:v>9655.1799999999312</c:v>
                </c:pt>
                <c:pt idx="465">
                  <c:v>9655.1799999999312</c:v>
                </c:pt>
                <c:pt idx="466">
                  <c:v>9655.1799999999312</c:v>
                </c:pt>
                <c:pt idx="467">
                  <c:v>9655.1799999999312</c:v>
                </c:pt>
                <c:pt idx="468">
                  <c:v>9655.1799999999312</c:v>
                </c:pt>
                <c:pt idx="469">
                  <c:v>9655.1799999999312</c:v>
                </c:pt>
                <c:pt idx="470">
                  <c:v>9655.1799999999312</c:v>
                </c:pt>
                <c:pt idx="471">
                  <c:v>9655.1799999999312</c:v>
                </c:pt>
                <c:pt idx="472">
                  <c:v>9655.1799999999312</c:v>
                </c:pt>
                <c:pt idx="473">
                  <c:v>9655.1799999999312</c:v>
                </c:pt>
                <c:pt idx="474">
                  <c:v>9655.1799999999312</c:v>
                </c:pt>
                <c:pt idx="475">
                  <c:v>9655.1799999999312</c:v>
                </c:pt>
                <c:pt idx="476">
                  <c:v>9655.1799999999312</c:v>
                </c:pt>
                <c:pt idx="477">
                  <c:v>9655.1799999999312</c:v>
                </c:pt>
                <c:pt idx="478">
                  <c:v>9655.1799999999312</c:v>
                </c:pt>
                <c:pt idx="479">
                  <c:v>9655.1799999999312</c:v>
                </c:pt>
                <c:pt idx="480">
                  <c:v>9655.1799999999312</c:v>
                </c:pt>
                <c:pt idx="481">
                  <c:v>9655.1799999999312</c:v>
                </c:pt>
                <c:pt idx="482">
                  <c:v>9655.1799999999312</c:v>
                </c:pt>
                <c:pt idx="483">
                  <c:v>9655.1799999999312</c:v>
                </c:pt>
                <c:pt idx="484">
                  <c:v>9655.1799999999312</c:v>
                </c:pt>
                <c:pt idx="485">
                  <c:v>9655.1799999999312</c:v>
                </c:pt>
                <c:pt idx="486">
                  <c:v>9655.1799999999312</c:v>
                </c:pt>
                <c:pt idx="487">
                  <c:v>9655.1799999999312</c:v>
                </c:pt>
                <c:pt idx="488">
                  <c:v>9655.1799999999312</c:v>
                </c:pt>
                <c:pt idx="489">
                  <c:v>9655.1799999999312</c:v>
                </c:pt>
                <c:pt idx="490">
                  <c:v>9655.1799999999312</c:v>
                </c:pt>
                <c:pt idx="491">
                  <c:v>9655.1799999999312</c:v>
                </c:pt>
                <c:pt idx="492">
                  <c:v>9655.1799999999312</c:v>
                </c:pt>
                <c:pt idx="493">
                  <c:v>9655.1799999999312</c:v>
                </c:pt>
                <c:pt idx="494">
                  <c:v>9655.1799999999312</c:v>
                </c:pt>
                <c:pt idx="495">
                  <c:v>9655.1799999999312</c:v>
                </c:pt>
                <c:pt idx="496">
                  <c:v>9655.1799999999312</c:v>
                </c:pt>
                <c:pt idx="497">
                  <c:v>9655.1799999999312</c:v>
                </c:pt>
                <c:pt idx="498">
                  <c:v>9655.1799999999312</c:v>
                </c:pt>
                <c:pt idx="499">
                  <c:v>10855.179999999931</c:v>
                </c:pt>
                <c:pt idx="500">
                  <c:v>10855.179999999931</c:v>
                </c:pt>
                <c:pt idx="501">
                  <c:v>10855.179999999931</c:v>
                </c:pt>
                <c:pt idx="502">
                  <c:v>10855.179999999931</c:v>
                </c:pt>
                <c:pt idx="503">
                  <c:v>10855.179999999931</c:v>
                </c:pt>
                <c:pt idx="504">
                  <c:v>10855.179999999931</c:v>
                </c:pt>
                <c:pt idx="505">
                  <c:v>10855.179999999931</c:v>
                </c:pt>
                <c:pt idx="506">
                  <c:v>10855.179999999931</c:v>
                </c:pt>
                <c:pt idx="507">
                  <c:v>10337.379999999912</c:v>
                </c:pt>
                <c:pt idx="508">
                  <c:v>10337.379999999912</c:v>
                </c:pt>
                <c:pt idx="509">
                  <c:v>10337.379999999912</c:v>
                </c:pt>
                <c:pt idx="510">
                  <c:v>10466.829999999794</c:v>
                </c:pt>
                <c:pt idx="511">
                  <c:v>10514.829999999794</c:v>
                </c:pt>
                <c:pt idx="512">
                  <c:v>10514.829999999794</c:v>
                </c:pt>
                <c:pt idx="513">
                  <c:v>10514.829999999794</c:v>
                </c:pt>
                <c:pt idx="514">
                  <c:v>10514.829999999794</c:v>
                </c:pt>
                <c:pt idx="515">
                  <c:v>10514.829999999794</c:v>
                </c:pt>
                <c:pt idx="516">
                  <c:v>10514.829999999794</c:v>
                </c:pt>
                <c:pt idx="517">
                  <c:v>10514.829999999794</c:v>
                </c:pt>
                <c:pt idx="518">
                  <c:v>11794.829999999794</c:v>
                </c:pt>
                <c:pt idx="519">
                  <c:v>11794.829999999794</c:v>
                </c:pt>
                <c:pt idx="520">
                  <c:v>11794.829999999794</c:v>
                </c:pt>
                <c:pt idx="521">
                  <c:v>11794.829999999794</c:v>
                </c:pt>
                <c:pt idx="522">
                  <c:v>11794.829999999794</c:v>
                </c:pt>
                <c:pt idx="523">
                  <c:v>11794.829999999794</c:v>
                </c:pt>
                <c:pt idx="524">
                  <c:v>11794.829999999794</c:v>
                </c:pt>
                <c:pt idx="525">
                  <c:v>11794.829999999794</c:v>
                </c:pt>
                <c:pt idx="526">
                  <c:v>11794.829999999794</c:v>
                </c:pt>
                <c:pt idx="527">
                  <c:v>11794.829999999794</c:v>
                </c:pt>
                <c:pt idx="528">
                  <c:v>11794.829999999794</c:v>
                </c:pt>
                <c:pt idx="529">
                  <c:v>11794.829999999794</c:v>
                </c:pt>
                <c:pt idx="530">
                  <c:v>11794.829999999794</c:v>
                </c:pt>
                <c:pt idx="531">
                  <c:v>11794.829999999794</c:v>
                </c:pt>
                <c:pt idx="532">
                  <c:v>11794.829999999794</c:v>
                </c:pt>
                <c:pt idx="533">
                  <c:v>11794.829999999794</c:v>
                </c:pt>
                <c:pt idx="534">
                  <c:v>11794.829999999794</c:v>
                </c:pt>
                <c:pt idx="535">
                  <c:v>11794.829999999794</c:v>
                </c:pt>
                <c:pt idx="536">
                  <c:v>11794.829999999794</c:v>
                </c:pt>
                <c:pt idx="537">
                  <c:v>11794.829999999794</c:v>
                </c:pt>
                <c:pt idx="538">
                  <c:v>11794.829999999794</c:v>
                </c:pt>
                <c:pt idx="539">
                  <c:v>11794.829999999794</c:v>
                </c:pt>
                <c:pt idx="540">
                  <c:v>11794.829999999794</c:v>
                </c:pt>
                <c:pt idx="541">
                  <c:v>11794.829999999794</c:v>
                </c:pt>
                <c:pt idx="542">
                  <c:v>11794.829999999794</c:v>
                </c:pt>
                <c:pt idx="543">
                  <c:v>11794.829999999794</c:v>
                </c:pt>
                <c:pt idx="544">
                  <c:v>11794.829999999794</c:v>
                </c:pt>
                <c:pt idx="545">
                  <c:v>11794.829999999794</c:v>
                </c:pt>
                <c:pt idx="546">
                  <c:v>11794.829999999794</c:v>
                </c:pt>
                <c:pt idx="547">
                  <c:v>11794.829999999794</c:v>
                </c:pt>
                <c:pt idx="548">
                  <c:v>11794.829999999794</c:v>
                </c:pt>
                <c:pt idx="549">
                  <c:v>11794.829999999794</c:v>
                </c:pt>
                <c:pt idx="550">
                  <c:v>11794.829999999794</c:v>
                </c:pt>
                <c:pt idx="551">
                  <c:v>11794.829999999794</c:v>
                </c:pt>
                <c:pt idx="552">
                  <c:v>11794.829999999794</c:v>
                </c:pt>
                <c:pt idx="553">
                  <c:v>11794.829999999794</c:v>
                </c:pt>
                <c:pt idx="554">
                  <c:v>11794.829999999794</c:v>
                </c:pt>
                <c:pt idx="555">
                  <c:v>7433.8599999997632</c:v>
                </c:pt>
                <c:pt idx="556">
                  <c:v>11794.829999999794</c:v>
                </c:pt>
                <c:pt idx="557">
                  <c:v>11794.829999999794</c:v>
                </c:pt>
                <c:pt idx="558">
                  <c:v>11794.829999999794</c:v>
                </c:pt>
                <c:pt idx="559">
                  <c:v>11794.829999999794</c:v>
                </c:pt>
                <c:pt idx="560">
                  <c:v>11410.829999999794</c:v>
                </c:pt>
                <c:pt idx="561">
                  <c:v>11410.829999999794</c:v>
                </c:pt>
                <c:pt idx="562">
                  <c:v>11410.829999999794</c:v>
                </c:pt>
                <c:pt idx="563">
                  <c:v>10383.860000000041</c:v>
                </c:pt>
                <c:pt idx="564">
                  <c:v>10383.860000000041</c:v>
                </c:pt>
                <c:pt idx="565">
                  <c:v>10383.860000000041</c:v>
                </c:pt>
                <c:pt idx="566">
                  <c:v>10383.860000000041</c:v>
                </c:pt>
                <c:pt idx="567">
                  <c:v>10383.860000000041</c:v>
                </c:pt>
                <c:pt idx="568">
                  <c:v>7005.8599999997941</c:v>
                </c:pt>
                <c:pt idx="569">
                  <c:v>10383.860000000041</c:v>
                </c:pt>
                <c:pt idx="570">
                  <c:v>10383.860000000041</c:v>
                </c:pt>
                <c:pt idx="571">
                  <c:v>7005.8599999997941</c:v>
                </c:pt>
                <c:pt idx="572">
                  <c:v>10383.860000000041</c:v>
                </c:pt>
                <c:pt idx="573">
                  <c:v>10383.860000000041</c:v>
                </c:pt>
                <c:pt idx="574">
                  <c:v>10383.860000000041</c:v>
                </c:pt>
                <c:pt idx="575">
                  <c:v>7005.8599999997941</c:v>
                </c:pt>
                <c:pt idx="576">
                  <c:v>7433.8599999997632</c:v>
                </c:pt>
                <c:pt idx="577">
                  <c:v>10383.860000000041</c:v>
                </c:pt>
                <c:pt idx="578">
                  <c:v>10383.860000000041</c:v>
                </c:pt>
                <c:pt idx="579">
                  <c:v>10383.860000000041</c:v>
                </c:pt>
                <c:pt idx="580">
                  <c:v>10383.860000000041</c:v>
                </c:pt>
                <c:pt idx="581">
                  <c:v>10383.860000000041</c:v>
                </c:pt>
                <c:pt idx="582">
                  <c:v>10383.860000000041</c:v>
                </c:pt>
                <c:pt idx="583">
                  <c:v>10383.860000000041</c:v>
                </c:pt>
                <c:pt idx="584">
                  <c:v>10383.860000000041</c:v>
                </c:pt>
                <c:pt idx="585">
                  <c:v>10383.860000000041</c:v>
                </c:pt>
                <c:pt idx="586">
                  <c:v>10383.860000000041</c:v>
                </c:pt>
                <c:pt idx="587">
                  <c:v>10383.860000000041</c:v>
                </c:pt>
                <c:pt idx="588">
                  <c:v>10383.860000000041</c:v>
                </c:pt>
                <c:pt idx="589">
                  <c:v>10383.860000000041</c:v>
                </c:pt>
                <c:pt idx="590">
                  <c:v>10383.860000000041</c:v>
                </c:pt>
                <c:pt idx="591">
                  <c:v>10383.860000000041</c:v>
                </c:pt>
                <c:pt idx="592">
                  <c:v>10383.860000000041</c:v>
                </c:pt>
                <c:pt idx="593">
                  <c:v>10383.860000000041</c:v>
                </c:pt>
                <c:pt idx="594">
                  <c:v>10383.860000000041</c:v>
                </c:pt>
                <c:pt idx="595">
                  <c:v>10383.860000000041</c:v>
                </c:pt>
                <c:pt idx="596">
                  <c:v>10383.860000000041</c:v>
                </c:pt>
                <c:pt idx="597">
                  <c:v>10383.860000000041</c:v>
                </c:pt>
                <c:pt idx="598">
                  <c:v>10383.860000000041</c:v>
                </c:pt>
                <c:pt idx="599">
                  <c:v>10383.860000000041</c:v>
                </c:pt>
                <c:pt idx="600">
                  <c:v>10383.860000000041</c:v>
                </c:pt>
                <c:pt idx="601">
                  <c:v>10383.860000000041</c:v>
                </c:pt>
                <c:pt idx="602">
                  <c:v>10383.860000000041</c:v>
                </c:pt>
                <c:pt idx="603">
                  <c:v>10383.860000000041</c:v>
                </c:pt>
                <c:pt idx="604">
                  <c:v>10383.860000000041</c:v>
                </c:pt>
                <c:pt idx="605">
                  <c:v>10383.860000000041</c:v>
                </c:pt>
                <c:pt idx="606">
                  <c:v>10383.860000000041</c:v>
                </c:pt>
                <c:pt idx="607">
                  <c:v>10383.860000000041</c:v>
                </c:pt>
                <c:pt idx="608">
                  <c:v>10383.860000000041</c:v>
                </c:pt>
                <c:pt idx="609">
                  <c:v>10383.860000000041</c:v>
                </c:pt>
                <c:pt idx="610">
                  <c:v>10383.860000000041</c:v>
                </c:pt>
                <c:pt idx="611">
                  <c:v>10383.860000000041</c:v>
                </c:pt>
                <c:pt idx="612">
                  <c:v>10383.860000000041</c:v>
                </c:pt>
                <c:pt idx="613">
                  <c:v>10383.860000000041</c:v>
                </c:pt>
                <c:pt idx="614">
                  <c:v>10383.860000000041</c:v>
                </c:pt>
                <c:pt idx="615">
                  <c:v>10383.860000000041</c:v>
                </c:pt>
                <c:pt idx="616">
                  <c:v>10383.860000000041</c:v>
                </c:pt>
                <c:pt idx="617">
                  <c:v>10383.860000000041</c:v>
                </c:pt>
                <c:pt idx="618">
                  <c:v>10383.860000000041</c:v>
                </c:pt>
                <c:pt idx="619">
                  <c:v>10383.860000000041</c:v>
                </c:pt>
                <c:pt idx="620">
                  <c:v>7005.8599999997941</c:v>
                </c:pt>
                <c:pt idx="621">
                  <c:v>10383.860000000041</c:v>
                </c:pt>
                <c:pt idx="622">
                  <c:v>10383.860000000041</c:v>
                </c:pt>
                <c:pt idx="623">
                  <c:v>10383.860000000041</c:v>
                </c:pt>
                <c:pt idx="624">
                  <c:v>10383.860000000041</c:v>
                </c:pt>
                <c:pt idx="625">
                  <c:v>10383.860000000041</c:v>
                </c:pt>
                <c:pt idx="626">
                  <c:v>10383.860000000041</c:v>
                </c:pt>
                <c:pt idx="627">
                  <c:v>7005.8599999997941</c:v>
                </c:pt>
                <c:pt idx="628">
                  <c:v>10383.860000000041</c:v>
                </c:pt>
                <c:pt idx="629">
                  <c:v>10383.860000000041</c:v>
                </c:pt>
                <c:pt idx="630">
                  <c:v>10383.860000000041</c:v>
                </c:pt>
                <c:pt idx="631">
                  <c:v>10383.860000000041</c:v>
                </c:pt>
                <c:pt idx="632">
                  <c:v>10383.860000000041</c:v>
                </c:pt>
                <c:pt idx="633">
                  <c:v>10383.860000000041</c:v>
                </c:pt>
                <c:pt idx="634">
                  <c:v>10383.860000000041</c:v>
                </c:pt>
                <c:pt idx="635">
                  <c:v>10383.860000000041</c:v>
                </c:pt>
                <c:pt idx="636">
                  <c:v>10383.860000000041</c:v>
                </c:pt>
                <c:pt idx="637">
                  <c:v>10383.860000000041</c:v>
                </c:pt>
                <c:pt idx="638">
                  <c:v>10383.860000000041</c:v>
                </c:pt>
                <c:pt idx="639">
                  <c:v>7005.8599999997941</c:v>
                </c:pt>
                <c:pt idx="640">
                  <c:v>10383.860000000041</c:v>
                </c:pt>
                <c:pt idx="641">
                  <c:v>10383.860000000041</c:v>
                </c:pt>
                <c:pt idx="642">
                  <c:v>7005.8599999997941</c:v>
                </c:pt>
                <c:pt idx="643">
                  <c:v>10383.860000000041</c:v>
                </c:pt>
                <c:pt idx="644">
                  <c:v>10383.860000000041</c:v>
                </c:pt>
                <c:pt idx="645">
                  <c:v>12971.859999999973</c:v>
                </c:pt>
                <c:pt idx="646">
                  <c:v>10383.860000000041</c:v>
                </c:pt>
                <c:pt idx="647">
                  <c:v>12971.859999999973</c:v>
                </c:pt>
                <c:pt idx="648">
                  <c:v>10383.860000000041</c:v>
                </c:pt>
                <c:pt idx="649">
                  <c:v>10383.860000000041</c:v>
                </c:pt>
                <c:pt idx="650">
                  <c:v>10383.860000000041</c:v>
                </c:pt>
                <c:pt idx="651">
                  <c:v>10383.860000000041</c:v>
                </c:pt>
                <c:pt idx="652">
                  <c:v>10383.860000000041</c:v>
                </c:pt>
                <c:pt idx="653">
                  <c:v>10383.860000000041</c:v>
                </c:pt>
                <c:pt idx="654">
                  <c:v>10383.860000000041</c:v>
                </c:pt>
                <c:pt idx="655">
                  <c:v>10383.860000000041</c:v>
                </c:pt>
                <c:pt idx="656">
                  <c:v>10383.860000000041</c:v>
                </c:pt>
                <c:pt idx="657">
                  <c:v>10383.860000000041</c:v>
                </c:pt>
                <c:pt idx="658">
                  <c:v>10383.860000000041</c:v>
                </c:pt>
                <c:pt idx="659">
                  <c:v>10383.860000000041</c:v>
                </c:pt>
                <c:pt idx="660">
                  <c:v>10383.860000000041</c:v>
                </c:pt>
                <c:pt idx="661">
                  <c:v>10383.860000000041</c:v>
                </c:pt>
                <c:pt idx="662">
                  <c:v>10383.860000000041</c:v>
                </c:pt>
                <c:pt idx="663">
                  <c:v>10383.860000000041</c:v>
                </c:pt>
                <c:pt idx="664">
                  <c:v>10383.860000000041</c:v>
                </c:pt>
                <c:pt idx="665">
                  <c:v>10383.860000000041</c:v>
                </c:pt>
                <c:pt idx="666">
                  <c:v>12971.859999999973</c:v>
                </c:pt>
                <c:pt idx="667">
                  <c:v>10383.860000000041</c:v>
                </c:pt>
                <c:pt idx="668">
                  <c:v>10383.860000000041</c:v>
                </c:pt>
                <c:pt idx="669">
                  <c:v>10383.860000000041</c:v>
                </c:pt>
                <c:pt idx="670">
                  <c:v>12623.860000000042</c:v>
                </c:pt>
                <c:pt idx="671">
                  <c:v>10383.860000000041</c:v>
                </c:pt>
                <c:pt idx="672">
                  <c:v>10383.860000000041</c:v>
                </c:pt>
                <c:pt idx="673">
                  <c:v>10383.860000000041</c:v>
                </c:pt>
                <c:pt idx="674">
                  <c:v>12623.860000000042</c:v>
                </c:pt>
                <c:pt idx="675">
                  <c:v>10383.860000000041</c:v>
                </c:pt>
                <c:pt idx="676">
                  <c:v>10383.860000000041</c:v>
                </c:pt>
                <c:pt idx="677">
                  <c:v>10383.860000000041</c:v>
                </c:pt>
                <c:pt idx="678">
                  <c:v>10383.860000000041</c:v>
                </c:pt>
                <c:pt idx="679">
                  <c:v>10383.860000000041</c:v>
                </c:pt>
                <c:pt idx="680">
                  <c:v>10383.860000000041</c:v>
                </c:pt>
                <c:pt idx="681">
                  <c:v>10383.860000000041</c:v>
                </c:pt>
                <c:pt idx="682">
                  <c:v>10383.860000000041</c:v>
                </c:pt>
                <c:pt idx="683">
                  <c:v>12623.860000000042</c:v>
                </c:pt>
                <c:pt idx="684">
                  <c:v>10383.860000000041</c:v>
                </c:pt>
                <c:pt idx="685">
                  <c:v>10383.860000000041</c:v>
                </c:pt>
                <c:pt idx="686">
                  <c:v>10383.860000000041</c:v>
                </c:pt>
                <c:pt idx="687">
                  <c:v>10383.860000000041</c:v>
                </c:pt>
                <c:pt idx="688">
                  <c:v>10383.860000000041</c:v>
                </c:pt>
                <c:pt idx="689">
                  <c:v>10383.860000000041</c:v>
                </c:pt>
                <c:pt idx="690">
                  <c:v>10383.860000000041</c:v>
                </c:pt>
                <c:pt idx="691">
                  <c:v>10383.860000000041</c:v>
                </c:pt>
                <c:pt idx="692">
                  <c:v>10383.860000000041</c:v>
                </c:pt>
                <c:pt idx="693">
                  <c:v>10383.860000000041</c:v>
                </c:pt>
                <c:pt idx="694">
                  <c:v>10383.860000000041</c:v>
                </c:pt>
                <c:pt idx="695">
                  <c:v>10383.860000000041</c:v>
                </c:pt>
                <c:pt idx="696">
                  <c:v>12623.860000000042</c:v>
                </c:pt>
                <c:pt idx="697">
                  <c:v>12623.860000000042</c:v>
                </c:pt>
                <c:pt idx="698">
                  <c:v>12623.860000000042</c:v>
                </c:pt>
                <c:pt idx="699">
                  <c:v>12623.860000000042</c:v>
                </c:pt>
                <c:pt idx="700">
                  <c:v>12623.860000000042</c:v>
                </c:pt>
                <c:pt idx="701">
                  <c:v>12623.860000000042</c:v>
                </c:pt>
                <c:pt idx="702">
                  <c:v>12971.859999999973</c:v>
                </c:pt>
                <c:pt idx="703">
                  <c:v>12623.860000000042</c:v>
                </c:pt>
                <c:pt idx="704">
                  <c:v>12971.859999999973</c:v>
                </c:pt>
                <c:pt idx="705">
                  <c:v>12971.859999999973</c:v>
                </c:pt>
                <c:pt idx="706">
                  <c:v>12971.859999999973</c:v>
                </c:pt>
                <c:pt idx="707">
                  <c:v>12971.859999999973</c:v>
                </c:pt>
                <c:pt idx="708">
                  <c:v>12971.859999999973</c:v>
                </c:pt>
                <c:pt idx="709">
                  <c:v>12971.859999999973</c:v>
                </c:pt>
                <c:pt idx="710">
                  <c:v>12971.859999999973</c:v>
                </c:pt>
                <c:pt idx="711">
                  <c:v>12971.859999999973</c:v>
                </c:pt>
                <c:pt idx="712">
                  <c:v>12971.859999999973</c:v>
                </c:pt>
                <c:pt idx="713">
                  <c:v>12971.859999999973</c:v>
                </c:pt>
                <c:pt idx="714">
                  <c:v>12971.859999999973</c:v>
                </c:pt>
                <c:pt idx="715">
                  <c:v>12971.859999999973</c:v>
                </c:pt>
                <c:pt idx="716">
                  <c:v>12971.859999999973</c:v>
                </c:pt>
                <c:pt idx="717">
                  <c:v>12971.859999999973</c:v>
                </c:pt>
                <c:pt idx="718">
                  <c:v>12971.859999999973</c:v>
                </c:pt>
                <c:pt idx="719">
                  <c:v>12971.859999999973</c:v>
                </c:pt>
                <c:pt idx="720">
                  <c:v>12971.859999999973</c:v>
                </c:pt>
                <c:pt idx="721">
                  <c:v>12971.859999999973</c:v>
                </c:pt>
                <c:pt idx="722">
                  <c:v>12971.859999999973</c:v>
                </c:pt>
                <c:pt idx="723">
                  <c:v>12971.859999999973</c:v>
                </c:pt>
                <c:pt idx="724">
                  <c:v>12971.859999999973</c:v>
                </c:pt>
                <c:pt idx="725">
                  <c:v>12971.859999999973</c:v>
                </c:pt>
                <c:pt idx="726">
                  <c:v>12971.859999999973</c:v>
                </c:pt>
                <c:pt idx="727">
                  <c:v>12971.859999999973</c:v>
                </c:pt>
                <c:pt idx="728">
                  <c:v>12971.859999999973</c:v>
                </c:pt>
                <c:pt idx="729">
                  <c:v>12971.859999999973</c:v>
                </c:pt>
                <c:pt idx="730">
                  <c:v>12971.859999999973</c:v>
                </c:pt>
                <c:pt idx="731">
                  <c:v>7005.8599999997941</c:v>
                </c:pt>
                <c:pt idx="732">
                  <c:v>7475.8599999999715</c:v>
                </c:pt>
                <c:pt idx="733">
                  <c:v>12971.859999999973</c:v>
                </c:pt>
                <c:pt idx="734">
                  <c:v>12971.859999999973</c:v>
                </c:pt>
                <c:pt idx="735">
                  <c:v>12971.859999999973</c:v>
                </c:pt>
                <c:pt idx="736">
                  <c:v>12971.859999999973</c:v>
                </c:pt>
                <c:pt idx="737">
                  <c:v>12971.859999999973</c:v>
                </c:pt>
                <c:pt idx="738">
                  <c:v>7475.8599999999715</c:v>
                </c:pt>
                <c:pt idx="739">
                  <c:v>12971.859999999973</c:v>
                </c:pt>
                <c:pt idx="740">
                  <c:v>12971.859999999973</c:v>
                </c:pt>
                <c:pt idx="741">
                  <c:v>12971.859999999973</c:v>
                </c:pt>
                <c:pt idx="742">
                  <c:v>12971.859999999973</c:v>
                </c:pt>
                <c:pt idx="743">
                  <c:v>12971.859999999973</c:v>
                </c:pt>
                <c:pt idx="744">
                  <c:v>12971.859999999973</c:v>
                </c:pt>
                <c:pt idx="745">
                  <c:v>12971.859999999973</c:v>
                </c:pt>
                <c:pt idx="746">
                  <c:v>12971.859999999973</c:v>
                </c:pt>
                <c:pt idx="747">
                  <c:v>12971.859999999973</c:v>
                </c:pt>
                <c:pt idx="748">
                  <c:v>12971.859999999973</c:v>
                </c:pt>
                <c:pt idx="749">
                  <c:v>12971.859999999973</c:v>
                </c:pt>
                <c:pt idx="750">
                  <c:v>12971.859999999973</c:v>
                </c:pt>
                <c:pt idx="751">
                  <c:v>12971.859999999973</c:v>
                </c:pt>
                <c:pt idx="752">
                  <c:v>12971.859999999973</c:v>
                </c:pt>
                <c:pt idx="753">
                  <c:v>12971.859999999973</c:v>
                </c:pt>
                <c:pt idx="754">
                  <c:v>12971.859999999973</c:v>
                </c:pt>
                <c:pt idx="755">
                  <c:v>12971.859999999973</c:v>
                </c:pt>
                <c:pt idx="756">
                  <c:v>12971.859999999973</c:v>
                </c:pt>
                <c:pt idx="757">
                  <c:v>12971.859999999973</c:v>
                </c:pt>
                <c:pt idx="758">
                  <c:v>12971.859999999973</c:v>
                </c:pt>
                <c:pt idx="759">
                  <c:v>12971.859999999973</c:v>
                </c:pt>
                <c:pt idx="760">
                  <c:v>12971.859999999973</c:v>
                </c:pt>
                <c:pt idx="761">
                  <c:v>12971.859999999973</c:v>
                </c:pt>
                <c:pt idx="762">
                  <c:v>14587.859999999973</c:v>
                </c:pt>
                <c:pt idx="763">
                  <c:v>12971.859999999973</c:v>
                </c:pt>
                <c:pt idx="764">
                  <c:v>12971.859999999973</c:v>
                </c:pt>
                <c:pt idx="765">
                  <c:v>12971.859999999973</c:v>
                </c:pt>
                <c:pt idx="766">
                  <c:v>12971.859999999973</c:v>
                </c:pt>
                <c:pt idx="767">
                  <c:v>12971.859999999973</c:v>
                </c:pt>
                <c:pt idx="768">
                  <c:v>12971.859999999973</c:v>
                </c:pt>
                <c:pt idx="769">
                  <c:v>12971.859999999973</c:v>
                </c:pt>
                <c:pt idx="770">
                  <c:v>12971.859999999973</c:v>
                </c:pt>
                <c:pt idx="771">
                  <c:v>12971.859999999973</c:v>
                </c:pt>
                <c:pt idx="772">
                  <c:v>12971.859999999973</c:v>
                </c:pt>
                <c:pt idx="773">
                  <c:v>12971.859999999973</c:v>
                </c:pt>
                <c:pt idx="774">
                  <c:v>14587.859999999973</c:v>
                </c:pt>
                <c:pt idx="775">
                  <c:v>14347.859999999973</c:v>
                </c:pt>
                <c:pt idx="776">
                  <c:v>14587.859999999973</c:v>
                </c:pt>
                <c:pt idx="777">
                  <c:v>14587.859999999973</c:v>
                </c:pt>
                <c:pt idx="778">
                  <c:v>14587.859999999973</c:v>
                </c:pt>
                <c:pt idx="779">
                  <c:v>14587.859999999973</c:v>
                </c:pt>
                <c:pt idx="780">
                  <c:v>14587.859999999973</c:v>
                </c:pt>
                <c:pt idx="781">
                  <c:v>14587.859999999973</c:v>
                </c:pt>
                <c:pt idx="782">
                  <c:v>14587.859999999973</c:v>
                </c:pt>
                <c:pt idx="783">
                  <c:v>14587.859999999973</c:v>
                </c:pt>
                <c:pt idx="784">
                  <c:v>14587.859999999973</c:v>
                </c:pt>
                <c:pt idx="785">
                  <c:v>14347.859999999973</c:v>
                </c:pt>
                <c:pt idx="786">
                  <c:v>14587.859999999973</c:v>
                </c:pt>
                <c:pt idx="787">
                  <c:v>14347.859999999973</c:v>
                </c:pt>
                <c:pt idx="788">
                  <c:v>14347.859999999973</c:v>
                </c:pt>
                <c:pt idx="789">
                  <c:v>14347.859999999973</c:v>
                </c:pt>
                <c:pt idx="790">
                  <c:v>14347.859999999973</c:v>
                </c:pt>
                <c:pt idx="791">
                  <c:v>14347.859999999973</c:v>
                </c:pt>
                <c:pt idx="792">
                  <c:v>14347.859999999973</c:v>
                </c:pt>
                <c:pt idx="793">
                  <c:v>14347.859999999973</c:v>
                </c:pt>
                <c:pt idx="794">
                  <c:v>14347.859999999973</c:v>
                </c:pt>
                <c:pt idx="795">
                  <c:v>14251.859999999973</c:v>
                </c:pt>
                <c:pt idx="796">
                  <c:v>14347.859999999973</c:v>
                </c:pt>
                <c:pt idx="797">
                  <c:v>14347.859999999973</c:v>
                </c:pt>
                <c:pt idx="798">
                  <c:v>14251.859999999973</c:v>
                </c:pt>
                <c:pt idx="799">
                  <c:v>14347.859999999973</c:v>
                </c:pt>
                <c:pt idx="800">
                  <c:v>14347.859999999973</c:v>
                </c:pt>
                <c:pt idx="801">
                  <c:v>14347.859999999973</c:v>
                </c:pt>
                <c:pt idx="802">
                  <c:v>14251.859999999973</c:v>
                </c:pt>
                <c:pt idx="803">
                  <c:v>14347.859999999973</c:v>
                </c:pt>
                <c:pt idx="804">
                  <c:v>14347.859999999973</c:v>
                </c:pt>
                <c:pt idx="805">
                  <c:v>14347.859999999973</c:v>
                </c:pt>
                <c:pt idx="806">
                  <c:v>14347.859999999973</c:v>
                </c:pt>
                <c:pt idx="807">
                  <c:v>14347.859999999973</c:v>
                </c:pt>
                <c:pt idx="808">
                  <c:v>14347.859999999973</c:v>
                </c:pt>
                <c:pt idx="809">
                  <c:v>14347.859999999973</c:v>
                </c:pt>
                <c:pt idx="810">
                  <c:v>14347.859999999973</c:v>
                </c:pt>
                <c:pt idx="811">
                  <c:v>14347.859999999973</c:v>
                </c:pt>
                <c:pt idx="812">
                  <c:v>14347.859999999973</c:v>
                </c:pt>
                <c:pt idx="813">
                  <c:v>14251.859999999973</c:v>
                </c:pt>
                <c:pt idx="814">
                  <c:v>7475.8599999999715</c:v>
                </c:pt>
                <c:pt idx="815">
                  <c:v>14347.859999999973</c:v>
                </c:pt>
                <c:pt idx="816">
                  <c:v>14347.859999999973</c:v>
                </c:pt>
                <c:pt idx="817">
                  <c:v>14251.859999999973</c:v>
                </c:pt>
                <c:pt idx="818">
                  <c:v>14347.859999999973</c:v>
                </c:pt>
                <c:pt idx="819">
                  <c:v>14347.859999999973</c:v>
                </c:pt>
                <c:pt idx="820">
                  <c:v>14347.859999999973</c:v>
                </c:pt>
                <c:pt idx="821">
                  <c:v>14347.859999999973</c:v>
                </c:pt>
                <c:pt idx="822">
                  <c:v>14251.859999999973</c:v>
                </c:pt>
                <c:pt idx="823">
                  <c:v>7475.8599999999715</c:v>
                </c:pt>
                <c:pt idx="824">
                  <c:v>14251.859999999973</c:v>
                </c:pt>
                <c:pt idx="825">
                  <c:v>14251.859999999973</c:v>
                </c:pt>
                <c:pt idx="826">
                  <c:v>14251.859999999973</c:v>
                </c:pt>
                <c:pt idx="827">
                  <c:v>7475.8599999999715</c:v>
                </c:pt>
                <c:pt idx="828">
                  <c:v>7475.8599999999715</c:v>
                </c:pt>
                <c:pt idx="829">
                  <c:v>14251.859999999973</c:v>
                </c:pt>
                <c:pt idx="830">
                  <c:v>14251.859999999973</c:v>
                </c:pt>
                <c:pt idx="831">
                  <c:v>14251.859999999973</c:v>
                </c:pt>
                <c:pt idx="832">
                  <c:v>8595.8599999999715</c:v>
                </c:pt>
                <c:pt idx="833">
                  <c:v>8595.8599999999715</c:v>
                </c:pt>
                <c:pt idx="834">
                  <c:v>7475.8599999999715</c:v>
                </c:pt>
                <c:pt idx="835">
                  <c:v>7475.8599999999715</c:v>
                </c:pt>
                <c:pt idx="836">
                  <c:v>8595.8599999999715</c:v>
                </c:pt>
                <c:pt idx="837">
                  <c:v>7475.8599999999715</c:v>
                </c:pt>
                <c:pt idx="838">
                  <c:v>7475.8599999999715</c:v>
                </c:pt>
                <c:pt idx="839">
                  <c:v>8595.8599999999715</c:v>
                </c:pt>
                <c:pt idx="840">
                  <c:v>8595.8599999999715</c:v>
                </c:pt>
                <c:pt idx="841">
                  <c:v>8595.8599999999715</c:v>
                </c:pt>
                <c:pt idx="842">
                  <c:v>8595.8599999999715</c:v>
                </c:pt>
                <c:pt idx="843">
                  <c:v>8595.8599999999715</c:v>
                </c:pt>
                <c:pt idx="844">
                  <c:v>8595.8599999999715</c:v>
                </c:pt>
                <c:pt idx="845">
                  <c:v>8595.8599999999715</c:v>
                </c:pt>
                <c:pt idx="846">
                  <c:v>7475.8599999999715</c:v>
                </c:pt>
                <c:pt idx="847">
                  <c:v>8595.8599999999715</c:v>
                </c:pt>
                <c:pt idx="848">
                  <c:v>8595.8599999999715</c:v>
                </c:pt>
                <c:pt idx="849">
                  <c:v>8595.8599999999715</c:v>
                </c:pt>
                <c:pt idx="850">
                  <c:v>7475.8599999999715</c:v>
                </c:pt>
                <c:pt idx="851">
                  <c:v>8595.8599999999715</c:v>
                </c:pt>
                <c:pt idx="852">
                  <c:v>8595.8599999999715</c:v>
                </c:pt>
                <c:pt idx="853">
                  <c:v>8595.8599999999715</c:v>
                </c:pt>
                <c:pt idx="854">
                  <c:v>8595.8599999999715</c:v>
                </c:pt>
                <c:pt idx="855">
                  <c:v>8595.8599999999715</c:v>
                </c:pt>
                <c:pt idx="856">
                  <c:v>8595.8599999999715</c:v>
                </c:pt>
                <c:pt idx="857">
                  <c:v>8595.8599999999715</c:v>
                </c:pt>
                <c:pt idx="858">
                  <c:v>8595.8599999999715</c:v>
                </c:pt>
                <c:pt idx="859">
                  <c:v>8595.8599999999715</c:v>
                </c:pt>
                <c:pt idx="860">
                  <c:v>8595.8599999999715</c:v>
                </c:pt>
                <c:pt idx="861">
                  <c:v>8595.8599999999715</c:v>
                </c:pt>
                <c:pt idx="862">
                  <c:v>7475.8599999999715</c:v>
                </c:pt>
                <c:pt idx="863">
                  <c:v>7475.8599999999715</c:v>
                </c:pt>
                <c:pt idx="864">
                  <c:v>8595.8599999999715</c:v>
                </c:pt>
                <c:pt idx="865">
                  <c:v>8595.8599999999715</c:v>
                </c:pt>
                <c:pt idx="866">
                  <c:v>8595.8599999999715</c:v>
                </c:pt>
                <c:pt idx="867">
                  <c:v>7475.8599999999715</c:v>
                </c:pt>
                <c:pt idx="868">
                  <c:v>7475.8599999999715</c:v>
                </c:pt>
                <c:pt idx="869">
                  <c:v>7475.8599999999715</c:v>
                </c:pt>
                <c:pt idx="870">
                  <c:v>7475.8599999999715</c:v>
                </c:pt>
                <c:pt idx="871">
                  <c:v>7475.8599999999715</c:v>
                </c:pt>
                <c:pt idx="872">
                  <c:v>7475.8599999999715</c:v>
                </c:pt>
                <c:pt idx="873">
                  <c:v>7475.8599999999715</c:v>
                </c:pt>
                <c:pt idx="874">
                  <c:v>7475.8599999999715</c:v>
                </c:pt>
                <c:pt idx="875">
                  <c:v>7475.8599999999715</c:v>
                </c:pt>
                <c:pt idx="876">
                  <c:v>7475.8599999999715</c:v>
                </c:pt>
                <c:pt idx="877">
                  <c:v>7475.8599999999715</c:v>
                </c:pt>
                <c:pt idx="878">
                  <c:v>7475.8599999999715</c:v>
                </c:pt>
                <c:pt idx="879">
                  <c:v>7475.8599999999715</c:v>
                </c:pt>
                <c:pt idx="880">
                  <c:v>7475.8599999999715</c:v>
                </c:pt>
                <c:pt idx="881">
                  <c:v>7475.8599999999715</c:v>
                </c:pt>
                <c:pt idx="882">
                  <c:v>7475.8599999999715</c:v>
                </c:pt>
                <c:pt idx="883">
                  <c:v>7475.8599999999715</c:v>
                </c:pt>
                <c:pt idx="884">
                  <c:v>7475.8599999999715</c:v>
                </c:pt>
                <c:pt idx="885">
                  <c:v>7475.8599999999715</c:v>
                </c:pt>
                <c:pt idx="886">
                  <c:v>7475.8599999999715</c:v>
                </c:pt>
                <c:pt idx="887">
                  <c:v>7475.8599999999715</c:v>
                </c:pt>
                <c:pt idx="888">
                  <c:v>0</c:v>
                </c:pt>
                <c:pt idx="889">
                  <c:v>7475.8599999999715</c:v>
                </c:pt>
                <c:pt idx="890">
                  <c:v>7475.8599999999715</c:v>
                </c:pt>
                <c:pt idx="891">
                  <c:v>7475.8599999999715</c:v>
                </c:pt>
                <c:pt idx="892">
                  <c:v>7475.8599999999715</c:v>
                </c:pt>
                <c:pt idx="893">
                  <c:v>7475.8599999999715</c:v>
                </c:pt>
                <c:pt idx="894">
                  <c:v>7475.8599999999715</c:v>
                </c:pt>
                <c:pt idx="895">
                  <c:v>7475.8599999999715</c:v>
                </c:pt>
                <c:pt idx="896">
                  <c:v>7475.8599999999715</c:v>
                </c:pt>
                <c:pt idx="897">
                  <c:v>7475.8599999999715</c:v>
                </c:pt>
                <c:pt idx="898">
                  <c:v>7475.8599999999715</c:v>
                </c:pt>
                <c:pt idx="899">
                  <c:v>7475.8599999999715</c:v>
                </c:pt>
                <c:pt idx="900">
                  <c:v>7475.8599999999715</c:v>
                </c:pt>
                <c:pt idx="901">
                  <c:v>7475.8599999999715</c:v>
                </c:pt>
                <c:pt idx="902">
                  <c:v>7475.8599999999715</c:v>
                </c:pt>
                <c:pt idx="903">
                  <c:v>7475.8599999999715</c:v>
                </c:pt>
                <c:pt idx="904">
                  <c:v>7475.8599999999715</c:v>
                </c:pt>
                <c:pt idx="905">
                  <c:v>7475.8599999999715</c:v>
                </c:pt>
                <c:pt idx="906">
                  <c:v>7475.8599999999715</c:v>
                </c:pt>
                <c:pt idx="907">
                  <c:v>7475.8599999999715</c:v>
                </c:pt>
                <c:pt idx="908">
                  <c:v>7475.8599999999715</c:v>
                </c:pt>
                <c:pt idx="909">
                  <c:v>7475.8599999999715</c:v>
                </c:pt>
                <c:pt idx="910">
                  <c:v>7475.8599999999715</c:v>
                </c:pt>
                <c:pt idx="911">
                  <c:v>7475.8599999999715</c:v>
                </c:pt>
                <c:pt idx="912">
                  <c:v>7475.8599999999715</c:v>
                </c:pt>
                <c:pt idx="913">
                  <c:v>7475.8599999999715</c:v>
                </c:pt>
                <c:pt idx="914">
                  <c:v>7475.8599999999715</c:v>
                </c:pt>
                <c:pt idx="915">
                  <c:v>7475.8599999999715</c:v>
                </c:pt>
                <c:pt idx="916">
                  <c:v>7475.8599999999715</c:v>
                </c:pt>
                <c:pt idx="917">
                  <c:v>7475.8599999999715</c:v>
                </c:pt>
                <c:pt idx="918">
                  <c:v>7475.8599999999715</c:v>
                </c:pt>
                <c:pt idx="919">
                  <c:v>7475.8599999999715</c:v>
                </c:pt>
                <c:pt idx="920">
                  <c:v>7475.8599999999715</c:v>
                </c:pt>
                <c:pt idx="921">
                  <c:v>7475.8599999999715</c:v>
                </c:pt>
                <c:pt idx="922">
                  <c:v>7475.8599999999715</c:v>
                </c:pt>
                <c:pt idx="923">
                  <c:v>7475.8599999999715</c:v>
                </c:pt>
                <c:pt idx="924">
                  <c:v>7475.8599999999715</c:v>
                </c:pt>
                <c:pt idx="925">
                  <c:v>7475.8599999999715</c:v>
                </c:pt>
                <c:pt idx="926">
                  <c:v>7475.8599999999715</c:v>
                </c:pt>
                <c:pt idx="927">
                  <c:v>7475.8599999999715</c:v>
                </c:pt>
                <c:pt idx="928">
                  <c:v>7475.8599999999715</c:v>
                </c:pt>
                <c:pt idx="929">
                  <c:v>7475.8599999999715</c:v>
                </c:pt>
                <c:pt idx="930">
                  <c:v>7005.8599999997941</c:v>
                </c:pt>
                <c:pt idx="931">
                  <c:v>7475.8599999999715</c:v>
                </c:pt>
                <c:pt idx="932">
                  <c:v>7475.8599999999715</c:v>
                </c:pt>
                <c:pt idx="933">
                  <c:v>7475.8599999999715</c:v>
                </c:pt>
                <c:pt idx="934">
                  <c:v>7130.6599999997952</c:v>
                </c:pt>
                <c:pt idx="935">
                  <c:v>7130.6599999997952</c:v>
                </c:pt>
                <c:pt idx="936">
                  <c:v>7130.6599999997952</c:v>
                </c:pt>
                <c:pt idx="937">
                  <c:v>7130.6599999997952</c:v>
                </c:pt>
                <c:pt idx="938">
                  <c:v>7130.6599999997952</c:v>
                </c:pt>
                <c:pt idx="939">
                  <c:v>7005.8599999997941</c:v>
                </c:pt>
                <c:pt idx="940">
                  <c:v>7130.6599999997952</c:v>
                </c:pt>
                <c:pt idx="941">
                  <c:v>7130.6599999997952</c:v>
                </c:pt>
                <c:pt idx="942">
                  <c:v>7130.6599999997952</c:v>
                </c:pt>
                <c:pt idx="943">
                  <c:v>7130.6599999997952</c:v>
                </c:pt>
                <c:pt idx="944">
                  <c:v>6861.8599999997941</c:v>
                </c:pt>
                <c:pt idx="945">
                  <c:v>6861.8599999997941</c:v>
                </c:pt>
                <c:pt idx="946">
                  <c:v>6861.8599999997941</c:v>
                </c:pt>
                <c:pt idx="947">
                  <c:v>7005.8599999997941</c:v>
                </c:pt>
                <c:pt idx="948">
                  <c:v>7005.8599999997941</c:v>
                </c:pt>
                <c:pt idx="949">
                  <c:v>7005.8599999997941</c:v>
                </c:pt>
                <c:pt idx="950">
                  <c:v>7005.8599999997941</c:v>
                </c:pt>
                <c:pt idx="951">
                  <c:v>7005.8599999997941</c:v>
                </c:pt>
                <c:pt idx="952">
                  <c:v>7005.8599999997941</c:v>
                </c:pt>
                <c:pt idx="953">
                  <c:v>7005.8599999997941</c:v>
                </c:pt>
                <c:pt idx="954">
                  <c:v>7005.8599999997941</c:v>
                </c:pt>
                <c:pt idx="955">
                  <c:v>7005.8599999997941</c:v>
                </c:pt>
                <c:pt idx="956">
                  <c:v>7005.8599999997941</c:v>
                </c:pt>
                <c:pt idx="957">
                  <c:v>7005.8599999997941</c:v>
                </c:pt>
                <c:pt idx="958">
                  <c:v>7005.8599999997941</c:v>
                </c:pt>
                <c:pt idx="959">
                  <c:v>7005.8599999997941</c:v>
                </c:pt>
                <c:pt idx="960">
                  <c:v>7005.8599999997941</c:v>
                </c:pt>
                <c:pt idx="961">
                  <c:v>7005.8599999997941</c:v>
                </c:pt>
                <c:pt idx="962">
                  <c:v>7005.8599999997941</c:v>
                </c:pt>
                <c:pt idx="963">
                  <c:v>7005.8599999997941</c:v>
                </c:pt>
                <c:pt idx="964">
                  <c:v>7005.8599999997941</c:v>
                </c:pt>
                <c:pt idx="965">
                  <c:v>7005.8599999997941</c:v>
                </c:pt>
                <c:pt idx="966">
                  <c:v>7005.8599999997941</c:v>
                </c:pt>
                <c:pt idx="967">
                  <c:v>7005.8599999997941</c:v>
                </c:pt>
                <c:pt idx="968">
                  <c:v>7005.8599999997941</c:v>
                </c:pt>
                <c:pt idx="969">
                  <c:v>7005.8599999997941</c:v>
                </c:pt>
                <c:pt idx="970">
                  <c:v>7005.8599999997941</c:v>
                </c:pt>
                <c:pt idx="971">
                  <c:v>7005.8599999997941</c:v>
                </c:pt>
                <c:pt idx="972">
                  <c:v>7005.8599999997941</c:v>
                </c:pt>
                <c:pt idx="973">
                  <c:v>7005.8599999997941</c:v>
                </c:pt>
                <c:pt idx="974">
                  <c:v>7005.8599999997941</c:v>
                </c:pt>
                <c:pt idx="975">
                  <c:v>7005.8599999997941</c:v>
                </c:pt>
                <c:pt idx="976">
                  <c:v>7005.8599999997941</c:v>
                </c:pt>
                <c:pt idx="977">
                  <c:v>7005.8599999997941</c:v>
                </c:pt>
                <c:pt idx="978">
                  <c:v>7005.8599999997941</c:v>
                </c:pt>
                <c:pt idx="979">
                  <c:v>7005.8599999997941</c:v>
                </c:pt>
                <c:pt idx="980">
                  <c:v>7005.8599999997941</c:v>
                </c:pt>
                <c:pt idx="981">
                  <c:v>7005.8599999997941</c:v>
                </c:pt>
                <c:pt idx="982">
                  <c:v>7005.8599999997941</c:v>
                </c:pt>
                <c:pt idx="983">
                  <c:v>7005.8599999997941</c:v>
                </c:pt>
                <c:pt idx="984">
                  <c:v>7005.8599999997941</c:v>
                </c:pt>
                <c:pt idx="985">
                  <c:v>7005.8599999997941</c:v>
                </c:pt>
                <c:pt idx="986">
                  <c:v>7005.8599999997941</c:v>
                </c:pt>
                <c:pt idx="987">
                  <c:v>7005.8599999997941</c:v>
                </c:pt>
                <c:pt idx="988">
                  <c:v>7005.8599999997941</c:v>
                </c:pt>
                <c:pt idx="989">
                  <c:v>0</c:v>
                </c:pt>
                <c:pt idx="990">
                  <c:v>7005.8599999997941</c:v>
                </c:pt>
                <c:pt idx="991">
                  <c:v>7005.8599999997941</c:v>
                </c:pt>
                <c:pt idx="992">
                  <c:v>7005.8599999997941</c:v>
                </c:pt>
                <c:pt idx="993">
                  <c:v>7005.8599999997941</c:v>
                </c:pt>
                <c:pt idx="994">
                  <c:v>7005.8599999997941</c:v>
                </c:pt>
                <c:pt idx="995">
                  <c:v>7005.8599999997941</c:v>
                </c:pt>
                <c:pt idx="996">
                  <c:v>7005.8599999997941</c:v>
                </c:pt>
                <c:pt idx="997">
                  <c:v>7005.8599999997941</c:v>
                </c:pt>
                <c:pt idx="998">
                  <c:v>7005.8599999997941</c:v>
                </c:pt>
                <c:pt idx="999">
                  <c:v>7005.8599999997941</c:v>
                </c:pt>
                <c:pt idx="1000">
                  <c:v>7005.8599999997941</c:v>
                </c:pt>
                <c:pt idx="1001">
                  <c:v>7433.8599999997632</c:v>
                </c:pt>
                <c:pt idx="1002">
                  <c:v>7433.8599999997632</c:v>
                </c:pt>
                <c:pt idx="1003">
                  <c:v>7433.8599999997632</c:v>
                </c:pt>
                <c:pt idx="1004">
                  <c:v>6553.859999999815</c:v>
                </c:pt>
                <c:pt idx="1005">
                  <c:v>6553.859999999815</c:v>
                </c:pt>
                <c:pt idx="1006">
                  <c:v>6553.859999999815</c:v>
                </c:pt>
                <c:pt idx="1007">
                  <c:v>6553.859999999815</c:v>
                </c:pt>
                <c:pt idx="1008">
                  <c:v>6553.859999999815</c:v>
                </c:pt>
                <c:pt idx="1009">
                  <c:v>6553.859999999815</c:v>
                </c:pt>
                <c:pt idx="1010">
                  <c:v>6553.859999999815</c:v>
                </c:pt>
                <c:pt idx="1011">
                  <c:v>6553.859999999815</c:v>
                </c:pt>
                <c:pt idx="1012">
                  <c:v>6553.859999999815</c:v>
                </c:pt>
                <c:pt idx="1013">
                  <c:v>6553.859999999815</c:v>
                </c:pt>
                <c:pt idx="1014">
                  <c:v>6553.859999999815</c:v>
                </c:pt>
                <c:pt idx="1015">
                  <c:v>6553.859999999815</c:v>
                </c:pt>
                <c:pt idx="1016">
                  <c:v>6553.859999999815</c:v>
                </c:pt>
                <c:pt idx="1017">
                  <c:v>6553.859999999815</c:v>
                </c:pt>
                <c:pt idx="1018">
                  <c:v>6553.859999999815</c:v>
                </c:pt>
                <c:pt idx="1019">
                  <c:v>6553.859999999815</c:v>
                </c:pt>
                <c:pt idx="1020">
                  <c:v>6553.859999999815</c:v>
                </c:pt>
                <c:pt idx="1021">
                  <c:v>6553.859999999815</c:v>
                </c:pt>
                <c:pt idx="1022">
                  <c:v>6553.859999999815</c:v>
                </c:pt>
                <c:pt idx="1023">
                  <c:v>6553.859999999815</c:v>
                </c:pt>
                <c:pt idx="1024">
                  <c:v>6553.859999999815</c:v>
                </c:pt>
                <c:pt idx="1025">
                  <c:v>6553.859999999815</c:v>
                </c:pt>
                <c:pt idx="1027">
                  <c:v>-451.99999999997726</c:v>
                </c:pt>
                <c:pt idx="1028">
                  <c:v>-451.99999999997726</c:v>
                </c:pt>
                <c:pt idx="1029">
                  <c:v>-451.99999999997726</c:v>
                </c:pt>
                <c:pt idx="1030">
                  <c:v>-451.99999999997726</c:v>
                </c:pt>
                <c:pt idx="1031">
                  <c:v>-451.99999999997726</c:v>
                </c:pt>
                <c:pt idx="1032">
                  <c:v>-451.99999999997726</c:v>
                </c:pt>
                <c:pt idx="1033">
                  <c:v>-451.99999999997726</c:v>
                </c:pt>
                <c:pt idx="1034">
                  <c:v>-451.99999999997726</c:v>
                </c:pt>
                <c:pt idx="1035">
                  <c:v>-451.99999999997726</c:v>
                </c:pt>
                <c:pt idx="1036">
                  <c:v>-451.99999999997726</c:v>
                </c:pt>
                <c:pt idx="1037">
                  <c:v>-451.99999999997726</c:v>
                </c:pt>
                <c:pt idx="1038">
                  <c:v>-451.99999999997726</c:v>
                </c:pt>
                <c:pt idx="1039">
                  <c:v>-451.99999999997726</c:v>
                </c:pt>
                <c:pt idx="1040">
                  <c:v>-451.99999999997726</c:v>
                </c:pt>
                <c:pt idx="1041">
                  <c:v>-451.99999999997726</c:v>
                </c:pt>
                <c:pt idx="1042">
                  <c:v>-451.99999999997726</c:v>
                </c:pt>
                <c:pt idx="1043">
                  <c:v>-451.99999999997726</c:v>
                </c:pt>
                <c:pt idx="1044">
                  <c:v>-451.99999999997726</c:v>
                </c:pt>
                <c:pt idx="1045">
                  <c:v>-451.99999999997726</c:v>
                </c:pt>
                <c:pt idx="1046">
                  <c:v>-451.99999999997726</c:v>
                </c:pt>
                <c:pt idx="1047">
                  <c:v>-451.99999999997726</c:v>
                </c:pt>
                <c:pt idx="1048">
                  <c:v>-451.99999999997726</c:v>
                </c:pt>
                <c:pt idx="1049">
                  <c:v>-451.99999999997726</c:v>
                </c:pt>
                <c:pt idx="1050">
                  <c:v>-451.99999999997726</c:v>
                </c:pt>
                <c:pt idx="1051">
                  <c:v>-451.99999999997726</c:v>
                </c:pt>
                <c:pt idx="1052">
                  <c:v>-451.99999999997726</c:v>
                </c:pt>
                <c:pt idx="1053">
                  <c:v>-451.99999999997726</c:v>
                </c:pt>
                <c:pt idx="1054">
                  <c:v>-451.99999999997726</c:v>
                </c:pt>
                <c:pt idx="1055">
                  <c:v>-451.99999999997726</c:v>
                </c:pt>
                <c:pt idx="1056">
                  <c:v>-451.99999999997726</c:v>
                </c:pt>
                <c:pt idx="1057">
                  <c:v>-451.99999999997726</c:v>
                </c:pt>
                <c:pt idx="1058">
                  <c:v>-451.99999999997726</c:v>
                </c:pt>
                <c:pt idx="1059">
                  <c:v>-451.99999999997726</c:v>
                </c:pt>
                <c:pt idx="1060">
                  <c:v>-451.99999999997726</c:v>
                </c:pt>
                <c:pt idx="1061">
                  <c:v>-451.99999999997726</c:v>
                </c:pt>
                <c:pt idx="1062">
                  <c:v>-451.99999999997726</c:v>
                </c:pt>
                <c:pt idx="1063">
                  <c:v>-451.99999999997726</c:v>
                </c:pt>
                <c:pt idx="1064">
                  <c:v>-451.99999999997726</c:v>
                </c:pt>
                <c:pt idx="1065">
                  <c:v>-451.99999999997726</c:v>
                </c:pt>
                <c:pt idx="1066">
                  <c:v>-451.99999999997726</c:v>
                </c:pt>
                <c:pt idx="1067">
                  <c:v>-451.99999999997726</c:v>
                </c:pt>
                <c:pt idx="1068">
                  <c:v>-451.99999999997726</c:v>
                </c:pt>
                <c:pt idx="1069">
                  <c:v>-451.99999999997726</c:v>
                </c:pt>
                <c:pt idx="1070">
                  <c:v>-451.99999999997726</c:v>
                </c:pt>
                <c:pt idx="1071">
                  <c:v>-451.99999999997726</c:v>
                </c:pt>
                <c:pt idx="1072">
                  <c:v>-451.99999999997726</c:v>
                </c:pt>
                <c:pt idx="1073">
                  <c:v>-451.99999999997726</c:v>
                </c:pt>
                <c:pt idx="1074">
                  <c:v>-451.99999999997726</c:v>
                </c:pt>
                <c:pt idx="1075">
                  <c:v>-451.99999999997726</c:v>
                </c:pt>
                <c:pt idx="1076">
                  <c:v>-451.99999999997726</c:v>
                </c:pt>
                <c:pt idx="1077">
                  <c:v>-451.99999999997726</c:v>
                </c:pt>
                <c:pt idx="1078">
                  <c:v>-451.99999999997726</c:v>
                </c:pt>
                <c:pt idx="1079">
                  <c:v>-451.99999999997726</c:v>
                </c:pt>
                <c:pt idx="1080">
                  <c:v>-451.99999999997726</c:v>
                </c:pt>
                <c:pt idx="1081">
                  <c:v>-451.99999999997726</c:v>
                </c:pt>
                <c:pt idx="1082">
                  <c:v>-451.99999999997726</c:v>
                </c:pt>
                <c:pt idx="1083">
                  <c:v>-451.99999999997726</c:v>
                </c:pt>
                <c:pt idx="1084">
                  <c:v>-451.99999999997726</c:v>
                </c:pt>
                <c:pt idx="1085">
                  <c:v>-451.99999999997726</c:v>
                </c:pt>
                <c:pt idx="1086">
                  <c:v>-451.99999999997726</c:v>
                </c:pt>
                <c:pt idx="1087">
                  <c:v>-451.99999999997726</c:v>
                </c:pt>
                <c:pt idx="1088">
                  <c:v>-451.99999999997726</c:v>
                </c:pt>
                <c:pt idx="1089">
                  <c:v>-451.99999999997726</c:v>
                </c:pt>
                <c:pt idx="1090">
                  <c:v>-451.99999999997726</c:v>
                </c:pt>
                <c:pt idx="1091">
                  <c:v>-451.99999999997726</c:v>
                </c:pt>
                <c:pt idx="1092">
                  <c:v>-451.99999999997726</c:v>
                </c:pt>
                <c:pt idx="1093">
                  <c:v>-451.99999999997726</c:v>
                </c:pt>
                <c:pt idx="1094">
                  <c:v>-451.99999999997726</c:v>
                </c:pt>
                <c:pt idx="1095">
                  <c:v>-451.99999999997726</c:v>
                </c:pt>
                <c:pt idx="1096">
                  <c:v>-451.99999999997726</c:v>
                </c:pt>
                <c:pt idx="1097">
                  <c:v>-451.99999999997726</c:v>
                </c:pt>
                <c:pt idx="1098">
                  <c:v>-451.99999999997726</c:v>
                </c:pt>
                <c:pt idx="1099">
                  <c:v>-451.99999999997726</c:v>
                </c:pt>
                <c:pt idx="1100">
                  <c:v>-451.99999999997726</c:v>
                </c:pt>
                <c:pt idx="1101">
                  <c:v>-451.99999999997726</c:v>
                </c:pt>
                <c:pt idx="1102">
                  <c:v>-451.99999999997726</c:v>
                </c:pt>
                <c:pt idx="1103">
                  <c:v>-451.99999999997726</c:v>
                </c:pt>
                <c:pt idx="1104">
                  <c:v>-451.99999999997726</c:v>
                </c:pt>
                <c:pt idx="1105">
                  <c:v>-451.99999999997726</c:v>
                </c:pt>
                <c:pt idx="1106">
                  <c:v>-451.99999999997726</c:v>
                </c:pt>
                <c:pt idx="1107">
                  <c:v>-451.99999999997726</c:v>
                </c:pt>
                <c:pt idx="1108">
                  <c:v>-451.99999999997726</c:v>
                </c:pt>
                <c:pt idx="1109">
                  <c:v>-451.99999999997726</c:v>
                </c:pt>
                <c:pt idx="1110">
                  <c:v>-451.99999999997726</c:v>
                </c:pt>
                <c:pt idx="1111">
                  <c:v>-451.99999999997726</c:v>
                </c:pt>
                <c:pt idx="1112">
                  <c:v>-451.99999999997726</c:v>
                </c:pt>
                <c:pt idx="1113">
                  <c:v>-451.99999999997726</c:v>
                </c:pt>
                <c:pt idx="1114">
                  <c:v>-451.99999999997726</c:v>
                </c:pt>
                <c:pt idx="1115">
                  <c:v>-451.99999999997726</c:v>
                </c:pt>
                <c:pt idx="1116">
                  <c:v>-451.99999999997726</c:v>
                </c:pt>
                <c:pt idx="1117">
                  <c:v>-451.99999999997726</c:v>
                </c:pt>
                <c:pt idx="1118">
                  <c:v>-451.99999999997726</c:v>
                </c:pt>
                <c:pt idx="1119">
                  <c:v>-451.99999999997726</c:v>
                </c:pt>
                <c:pt idx="1120">
                  <c:v>-451.99999999997726</c:v>
                </c:pt>
                <c:pt idx="1121">
                  <c:v>-451.99999999997726</c:v>
                </c:pt>
                <c:pt idx="1122">
                  <c:v>-451.99999999997726</c:v>
                </c:pt>
                <c:pt idx="1123">
                  <c:v>-451.99999999997726</c:v>
                </c:pt>
                <c:pt idx="1124">
                  <c:v>-451.99999999997726</c:v>
                </c:pt>
                <c:pt idx="1125">
                  <c:v>-451.99999999997726</c:v>
                </c:pt>
                <c:pt idx="1126">
                  <c:v>-451.99999999997726</c:v>
                </c:pt>
                <c:pt idx="1127">
                  <c:v>-451.99999999997726</c:v>
                </c:pt>
                <c:pt idx="1128">
                  <c:v>-451.99999999997726</c:v>
                </c:pt>
                <c:pt idx="1129">
                  <c:v>-451.99999999997726</c:v>
                </c:pt>
                <c:pt idx="1130">
                  <c:v>-451.99999999997726</c:v>
                </c:pt>
                <c:pt idx="1131">
                  <c:v>-451.99999999997726</c:v>
                </c:pt>
                <c:pt idx="1132">
                  <c:v>-451.99999999997726</c:v>
                </c:pt>
                <c:pt idx="1133">
                  <c:v>-451.99999999997726</c:v>
                </c:pt>
                <c:pt idx="1134">
                  <c:v>-451.99999999997726</c:v>
                </c:pt>
                <c:pt idx="1135">
                  <c:v>-451.99999999997726</c:v>
                </c:pt>
                <c:pt idx="1136">
                  <c:v>-451.99999999997726</c:v>
                </c:pt>
                <c:pt idx="1137">
                  <c:v>-451.99999999997726</c:v>
                </c:pt>
                <c:pt idx="1138">
                  <c:v>-451.99999999997726</c:v>
                </c:pt>
                <c:pt idx="1139">
                  <c:v>-451.99999999997726</c:v>
                </c:pt>
                <c:pt idx="1140">
                  <c:v>-451.99999999997726</c:v>
                </c:pt>
                <c:pt idx="1141">
                  <c:v>-451.99999999997726</c:v>
                </c:pt>
                <c:pt idx="1142">
                  <c:v>-451.99999999997726</c:v>
                </c:pt>
                <c:pt idx="1143">
                  <c:v>-451.99999999997726</c:v>
                </c:pt>
                <c:pt idx="1144">
                  <c:v>-451.99999999997726</c:v>
                </c:pt>
                <c:pt idx="1145">
                  <c:v>-451.99999999997726</c:v>
                </c:pt>
                <c:pt idx="1146">
                  <c:v>-451.99999999997726</c:v>
                </c:pt>
                <c:pt idx="1147">
                  <c:v>-451.99999999997726</c:v>
                </c:pt>
                <c:pt idx="1148">
                  <c:v>-451.99999999997726</c:v>
                </c:pt>
                <c:pt idx="1149">
                  <c:v>-451.99999999997726</c:v>
                </c:pt>
                <c:pt idx="1150">
                  <c:v>-451.99999999997726</c:v>
                </c:pt>
                <c:pt idx="1151">
                  <c:v>-451.99999999997726</c:v>
                </c:pt>
                <c:pt idx="1152">
                  <c:v>-451.99999999997726</c:v>
                </c:pt>
                <c:pt idx="1153">
                  <c:v>-451.99999999997726</c:v>
                </c:pt>
                <c:pt idx="1154">
                  <c:v>-451.99999999997726</c:v>
                </c:pt>
                <c:pt idx="1155">
                  <c:v>-451.99999999997726</c:v>
                </c:pt>
                <c:pt idx="1156">
                  <c:v>-451.99999999997726</c:v>
                </c:pt>
                <c:pt idx="1157">
                  <c:v>-451.99999999997726</c:v>
                </c:pt>
                <c:pt idx="1158">
                  <c:v>-451.99999999997726</c:v>
                </c:pt>
                <c:pt idx="1159">
                  <c:v>-451.99999999997726</c:v>
                </c:pt>
                <c:pt idx="1160">
                  <c:v>-451.99999999997726</c:v>
                </c:pt>
                <c:pt idx="1161">
                  <c:v>-451.99999999997726</c:v>
                </c:pt>
                <c:pt idx="1162">
                  <c:v>-451.99999999997726</c:v>
                </c:pt>
                <c:pt idx="1163">
                  <c:v>-451.99999999997726</c:v>
                </c:pt>
                <c:pt idx="1164">
                  <c:v>-451.99999999997726</c:v>
                </c:pt>
                <c:pt idx="1165">
                  <c:v>-451.99999999997726</c:v>
                </c:pt>
                <c:pt idx="1166">
                  <c:v>-451.99999999997726</c:v>
                </c:pt>
                <c:pt idx="1167">
                  <c:v>-451.99999999997726</c:v>
                </c:pt>
                <c:pt idx="1168">
                  <c:v>-451.99999999997726</c:v>
                </c:pt>
                <c:pt idx="1169">
                  <c:v>-451.99999999997726</c:v>
                </c:pt>
                <c:pt idx="1170">
                  <c:v>-451.99999999997726</c:v>
                </c:pt>
                <c:pt idx="1171">
                  <c:v>-451.99999999997726</c:v>
                </c:pt>
                <c:pt idx="1172">
                  <c:v>-451.99999999997726</c:v>
                </c:pt>
                <c:pt idx="1173">
                  <c:v>-451.99999999997726</c:v>
                </c:pt>
                <c:pt idx="1174">
                  <c:v>-451.99999999997726</c:v>
                </c:pt>
                <c:pt idx="1175">
                  <c:v>-451.99999999997726</c:v>
                </c:pt>
                <c:pt idx="1176">
                  <c:v>-451.99999999997726</c:v>
                </c:pt>
                <c:pt idx="1177">
                  <c:v>-451.99999999997726</c:v>
                </c:pt>
                <c:pt idx="1178">
                  <c:v>-451.99999999997726</c:v>
                </c:pt>
                <c:pt idx="1179">
                  <c:v>-451.99999999997726</c:v>
                </c:pt>
                <c:pt idx="1180">
                  <c:v>-451.99999999997726</c:v>
                </c:pt>
                <c:pt idx="1181">
                  <c:v>-451.99999999997726</c:v>
                </c:pt>
                <c:pt idx="1182">
                  <c:v>-451.99999999997726</c:v>
                </c:pt>
                <c:pt idx="1183">
                  <c:v>-451.99999999997726</c:v>
                </c:pt>
                <c:pt idx="1184">
                  <c:v>-451.99999999997726</c:v>
                </c:pt>
                <c:pt idx="1185">
                  <c:v>-451.99999999997726</c:v>
                </c:pt>
                <c:pt idx="1186">
                  <c:v>-451.99999999997726</c:v>
                </c:pt>
                <c:pt idx="1187">
                  <c:v>-451.99999999997726</c:v>
                </c:pt>
                <c:pt idx="1188">
                  <c:v>-451.99999999997726</c:v>
                </c:pt>
                <c:pt idx="1189">
                  <c:v>-451.99999999997726</c:v>
                </c:pt>
                <c:pt idx="1190">
                  <c:v>-451.99999999997726</c:v>
                </c:pt>
                <c:pt idx="1191">
                  <c:v>-451.99999999997726</c:v>
                </c:pt>
                <c:pt idx="1192">
                  <c:v>-451.99999999997726</c:v>
                </c:pt>
                <c:pt idx="1193">
                  <c:v>-451.99999999997726</c:v>
                </c:pt>
                <c:pt idx="1194">
                  <c:v>-451.99999999997726</c:v>
                </c:pt>
                <c:pt idx="1195">
                  <c:v>-451.99999999997726</c:v>
                </c:pt>
                <c:pt idx="1196">
                  <c:v>-451.99999999997726</c:v>
                </c:pt>
                <c:pt idx="1197">
                  <c:v>-451.99999999997726</c:v>
                </c:pt>
                <c:pt idx="1198">
                  <c:v>-451.99999999997726</c:v>
                </c:pt>
                <c:pt idx="1199">
                  <c:v>-451.99999999997726</c:v>
                </c:pt>
                <c:pt idx="1200">
                  <c:v>-451.99999999997726</c:v>
                </c:pt>
                <c:pt idx="1201">
                  <c:v>-451.99999999997726</c:v>
                </c:pt>
                <c:pt idx="1202">
                  <c:v>-451.99999999997726</c:v>
                </c:pt>
                <c:pt idx="1203">
                  <c:v>-451.99999999997726</c:v>
                </c:pt>
                <c:pt idx="1204">
                  <c:v>-451.99999999997726</c:v>
                </c:pt>
                <c:pt idx="1205">
                  <c:v>-451.99999999997726</c:v>
                </c:pt>
                <c:pt idx="1206">
                  <c:v>-451.99999999997726</c:v>
                </c:pt>
                <c:pt idx="1207">
                  <c:v>-451.99999999997726</c:v>
                </c:pt>
                <c:pt idx="1208">
                  <c:v>-451.99999999997726</c:v>
                </c:pt>
                <c:pt idx="1209">
                  <c:v>-451.99999999997726</c:v>
                </c:pt>
                <c:pt idx="1210">
                  <c:v>-451.99999999997726</c:v>
                </c:pt>
                <c:pt idx="1211">
                  <c:v>-451.99999999997726</c:v>
                </c:pt>
                <c:pt idx="1212">
                  <c:v>-451.99999999997726</c:v>
                </c:pt>
                <c:pt idx="1213">
                  <c:v>-451.99999999997726</c:v>
                </c:pt>
                <c:pt idx="1214">
                  <c:v>-451.99999999997726</c:v>
                </c:pt>
                <c:pt idx="1215">
                  <c:v>-451.99999999997726</c:v>
                </c:pt>
                <c:pt idx="1216">
                  <c:v>-451.99999999997726</c:v>
                </c:pt>
                <c:pt idx="1217">
                  <c:v>-451.99999999997726</c:v>
                </c:pt>
                <c:pt idx="1218">
                  <c:v>-451.99999999997726</c:v>
                </c:pt>
                <c:pt idx="1219">
                  <c:v>-451.99999999997726</c:v>
                </c:pt>
                <c:pt idx="1220">
                  <c:v>-451.99999999997726</c:v>
                </c:pt>
                <c:pt idx="1221">
                  <c:v>-451.99999999997726</c:v>
                </c:pt>
                <c:pt idx="1222">
                  <c:v>-451.99999999997726</c:v>
                </c:pt>
                <c:pt idx="1223">
                  <c:v>-451.99999999997726</c:v>
                </c:pt>
                <c:pt idx="1224">
                  <c:v>-451.99999999997726</c:v>
                </c:pt>
                <c:pt idx="1225">
                  <c:v>-451.99999999997726</c:v>
                </c:pt>
                <c:pt idx="1226">
                  <c:v>-451.99999999997726</c:v>
                </c:pt>
                <c:pt idx="1227">
                  <c:v>-451.99999999997726</c:v>
                </c:pt>
                <c:pt idx="1228">
                  <c:v>-451.99999999997726</c:v>
                </c:pt>
                <c:pt idx="1229">
                  <c:v>-451.99999999997726</c:v>
                </c:pt>
                <c:pt idx="1230">
                  <c:v>-451.99999999997726</c:v>
                </c:pt>
                <c:pt idx="1231">
                  <c:v>-451.99999999997726</c:v>
                </c:pt>
                <c:pt idx="1232">
                  <c:v>-451.99999999997726</c:v>
                </c:pt>
                <c:pt idx="1233">
                  <c:v>-451.99999999997726</c:v>
                </c:pt>
                <c:pt idx="1234">
                  <c:v>-451.99999999997726</c:v>
                </c:pt>
                <c:pt idx="1235">
                  <c:v>-451.99999999997726</c:v>
                </c:pt>
                <c:pt idx="1236">
                  <c:v>-451.99999999997726</c:v>
                </c:pt>
                <c:pt idx="1237">
                  <c:v>-451.99999999997726</c:v>
                </c:pt>
              </c:numCache>
            </c:numRef>
          </c:val>
          <c:smooth val="0"/>
          <c:extLst>
            <c:ext xmlns:c16="http://schemas.microsoft.com/office/drawing/2014/chart" uri="{C3380CC4-5D6E-409C-BE32-E72D297353CC}">
              <c16:uniqueId val="{00000001-FF92-4A8A-8C98-4B0CC8D511E7}"/>
            </c:ext>
          </c:extLst>
        </c:ser>
        <c:ser>
          <c:idx val="2"/>
          <c:order val="2"/>
          <c:tx>
            <c:v>C</c:v>
          </c:tx>
          <c:spPr>
            <a:ln w="28575" cap="rnd">
              <a:solidFill>
                <a:srgbClr val="92D050"/>
              </a:solidFill>
              <a:round/>
            </a:ln>
            <a:effectLst/>
          </c:spPr>
          <c:marker>
            <c:symbol val="none"/>
          </c:marker>
          <c:cat>
            <c:strRef>
              <c:f>'Journal Live'!$A$1388:$A$2630</c:f>
              <c:strCache>
                <c:ptCount val="1238"/>
                <c:pt idx="1">
                  <c:v>JAN.24</c:v>
                </c:pt>
                <c:pt idx="2">
                  <c:v>JAN.24</c:v>
                </c:pt>
                <c:pt idx="3">
                  <c:v>JAN.24</c:v>
                </c:pt>
                <c:pt idx="4">
                  <c:v>JAN.24</c:v>
                </c:pt>
                <c:pt idx="5">
                  <c:v>JAN.24</c:v>
                </c:pt>
                <c:pt idx="6">
                  <c:v>JAN.24</c:v>
                </c:pt>
                <c:pt idx="7">
                  <c:v>JAN.24</c:v>
                </c:pt>
                <c:pt idx="8">
                  <c:v>JAN.24</c:v>
                </c:pt>
                <c:pt idx="9">
                  <c:v>JAN.24</c:v>
                </c:pt>
                <c:pt idx="10">
                  <c:v>JAN.24</c:v>
                </c:pt>
                <c:pt idx="11">
                  <c:v>JAN.24</c:v>
                </c:pt>
                <c:pt idx="12">
                  <c:v>JAN.24</c:v>
                </c:pt>
                <c:pt idx="13">
                  <c:v>JAN.24</c:v>
                </c:pt>
                <c:pt idx="14">
                  <c:v>JAN.24</c:v>
                </c:pt>
                <c:pt idx="15">
                  <c:v>JAN.24</c:v>
                </c:pt>
                <c:pt idx="16">
                  <c:v>JAN.24</c:v>
                </c:pt>
                <c:pt idx="17">
                  <c:v>JAN.24</c:v>
                </c:pt>
                <c:pt idx="18">
                  <c:v>JAN.24</c:v>
                </c:pt>
                <c:pt idx="19">
                  <c:v>JAN.24</c:v>
                </c:pt>
                <c:pt idx="20">
                  <c:v>JAN.24</c:v>
                </c:pt>
                <c:pt idx="21">
                  <c:v>JAN.24</c:v>
                </c:pt>
                <c:pt idx="22">
                  <c:v>JAN.24</c:v>
                </c:pt>
                <c:pt idx="23">
                  <c:v>JAN.24</c:v>
                </c:pt>
                <c:pt idx="24">
                  <c:v>JAN.24</c:v>
                </c:pt>
                <c:pt idx="25">
                  <c:v>JAN.24</c:v>
                </c:pt>
                <c:pt idx="26">
                  <c:v>JAN.24</c:v>
                </c:pt>
                <c:pt idx="27">
                  <c:v>JAN.24</c:v>
                </c:pt>
                <c:pt idx="28">
                  <c:v>JAN.24</c:v>
                </c:pt>
                <c:pt idx="29">
                  <c:v>JAN.24</c:v>
                </c:pt>
                <c:pt idx="30">
                  <c:v>JAN.24</c:v>
                </c:pt>
                <c:pt idx="31">
                  <c:v>JAN.24</c:v>
                </c:pt>
                <c:pt idx="32">
                  <c:v>JAN.24</c:v>
                </c:pt>
                <c:pt idx="33">
                  <c:v>JAN.24</c:v>
                </c:pt>
                <c:pt idx="34">
                  <c:v>JAN.24</c:v>
                </c:pt>
                <c:pt idx="35">
                  <c:v>JAN.24</c:v>
                </c:pt>
                <c:pt idx="36">
                  <c:v>JAN.24</c:v>
                </c:pt>
                <c:pt idx="37">
                  <c:v>JAN.24</c:v>
                </c:pt>
                <c:pt idx="38">
                  <c:v>JAN.24</c:v>
                </c:pt>
                <c:pt idx="39">
                  <c:v>JAN.24</c:v>
                </c:pt>
                <c:pt idx="40">
                  <c:v>JAN.24</c:v>
                </c:pt>
                <c:pt idx="41">
                  <c:v>JAN.24</c:v>
                </c:pt>
                <c:pt idx="42">
                  <c:v>JAN.24</c:v>
                </c:pt>
                <c:pt idx="43">
                  <c:v>JAN.24</c:v>
                </c:pt>
                <c:pt idx="44">
                  <c:v>JAN.24</c:v>
                </c:pt>
                <c:pt idx="45">
                  <c:v>JAN.24</c:v>
                </c:pt>
                <c:pt idx="46">
                  <c:v>JAN.24</c:v>
                </c:pt>
                <c:pt idx="47">
                  <c:v>JAN.24</c:v>
                </c:pt>
                <c:pt idx="48">
                  <c:v>JAN.24</c:v>
                </c:pt>
                <c:pt idx="49">
                  <c:v>JAN.24</c:v>
                </c:pt>
                <c:pt idx="50">
                  <c:v>JAN.24</c:v>
                </c:pt>
                <c:pt idx="51">
                  <c:v>JAN.24</c:v>
                </c:pt>
                <c:pt idx="52">
                  <c:v>JAN.24</c:v>
                </c:pt>
                <c:pt idx="53">
                  <c:v>JAN.24</c:v>
                </c:pt>
                <c:pt idx="54">
                  <c:v>JAN.24</c:v>
                </c:pt>
                <c:pt idx="55">
                  <c:v>JAN.24</c:v>
                </c:pt>
                <c:pt idx="56">
                  <c:v>JAN.24</c:v>
                </c:pt>
                <c:pt idx="57">
                  <c:v>JAN.24</c:v>
                </c:pt>
                <c:pt idx="58">
                  <c:v>JAN.24</c:v>
                </c:pt>
                <c:pt idx="59">
                  <c:v>JAN.24</c:v>
                </c:pt>
                <c:pt idx="60">
                  <c:v>JAN.24</c:v>
                </c:pt>
                <c:pt idx="61">
                  <c:v>JAN.24</c:v>
                </c:pt>
                <c:pt idx="62">
                  <c:v>JAN.24</c:v>
                </c:pt>
                <c:pt idx="63">
                  <c:v>JAN.24</c:v>
                </c:pt>
                <c:pt idx="64">
                  <c:v>JAN.24</c:v>
                </c:pt>
                <c:pt idx="65">
                  <c:v>JAN.24</c:v>
                </c:pt>
                <c:pt idx="66">
                  <c:v>JAN.24</c:v>
                </c:pt>
                <c:pt idx="67">
                  <c:v>JAN.24</c:v>
                </c:pt>
                <c:pt idx="68">
                  <c:v>JAN.24</c:v>
                </c:pt>
                <c:pt idx="69">
                  <c:v>JAN.24</c:v>
                </c:pt>
                <c:pt idx="70">
                  <c:v>JAN.24</c:v>
                </c:pt>
                <c:pt idx="71">
                  <c:v>JAN.24</c:v>
                </c:pt>
                <c:pt idx="72">
                  <c:v>JAN.24</c:v>
                </c:pt>
                <c:pt idx="73">
                  <c:v>JAN.24</c:v>
                </c:pt>
                <c:pt idx="74">
                  <c:v>JAN.24</c:v>
                </c:pt>
                <c:pt idx="75">
                  <c:v>JAN.24</c:v>
                </c:pt>
                <c:pt idx="76">
                  <c:v>JAN.24</c:v>
                </c:pt>
                <c:pt idx="77">
                  <c:v>JAN.24</c:v>
                </c:pt>
                <c:pt idx="78">
                  <c:v>JAN.24</c:v>
                </c:pt>
                <c:pt idx="79">
                  <c:v>JAN.24</c:v>
                </c:pt>
                <c:pt idx="80">
                  <c:v>JAN.24</c:v>
                </c:pt>
                <c:pt idx="81">
                  <c:v>JAN.24</c:v>
                </c:pt>
                <c:pt idx="82">
                  <c:v>JAN.24</c:v>
                </c:pt>
                <c:pt idx="83">
                  <c:v>JAN.24</c:v>
                </c:pt>
                <c:pt idx="84">
                  <c:v>JAN.24</c:v>
                </c:pt>
                <c:pt idx="85">
                  <c:v>JAN.24</c:v>
                </c:pt>
                <c:pt idx="86">
                  <c:v>JAN.24</c:v>
                </c:pt>
                <c:pt idx="87">
                  <c:v>JAN.24</c:v>
                </c:pt>
                <c:pt idx="88">
                  <c:v>JAN.24</c:v>
                </c:pt>
                <c:pt idx="89">
                  <c:v>JAN.24</c:v>
                </c:pt>
                <c:pt idx="90">
                  <c:v>JAN.24</c:v>
                </c:pt>
                <c:pt idx="91">
                  <c:v>JAN.24</c:v>
                </c:pt>
                <c:pt idx="92">
                  <c:v>JAN.24</c:v>
                </c:pt>
                <c:pt idx="93">
                  <c:v>JAN.24</c:v>
                </c:pt>
                <c:pt idx="94">
                  <c:v>JAN.24</c:v>
                </c:pt>
                <c:pt idx="95">
                  <c:v>JAN.24</c:v>
                </c:pt>
                <c:pt idx="96">
                  <c:v>JAN.24</c:v>
                </c:pt>
                <c:pt idx="97">
                  <c:v>JAN.24</c:v>
                </c:pt>
                <c:pt idx="98">
                  <c:v>JAN.24</c:v>
                </c:pt>
                <c:pt idx="99">
                  <c:v>JAN.24</c:v>
                </c:pt>
                <c:pt idx="100">
                  <c:v>JAN.24</c:v>
                </c:pt>
                <c:pt idx="101">
                  <c:v>JAN.24</c:v>
                </c:pt>
                <c:pt idx="102">
                  <c:v>JAN.24</c:v>
                </c:pt>
                <c:pt idx="103">
                  <c:v>JAN.24</c:v>
                </c:pt>
                <c:pt idx="104">
                  <c:v>JAN.24</c:v>
                </c:pt>
                <c:pt idx="105">
                  <c:v>JAN.24</c:v>
                </c:pt>
                <c:pt idx="106">
                  <c:v>JAN.24</c:v>
                </c:pt>
                <c:pt idx="107">
                  <c:v>JAN.24</c:v>
                </c:pt>
                <c:pt idx="108">
                  <c:v>JAN.24</c:v>
                </c:pt>
                <c:pt idx="109">
                  <c:v>JAN.24</c:v>
                </c:pt>
                <c:pt idx="110">
                  <c:v>JAN.24</c:v>
                </c:pt>
                <c:pt idx="111">
                  <c:v>JAN.24</c:v>
                </c:pt>
                <c:pt idx="112">
                  <c:v>JAN.24</c:v>
                </c:pt>
                <c:pt idx="113">
                  <c:v>JAN.24</c:v>
                </c:pt>
                <c:pt idx="114">
                  <c:v>JAN.24</c:v>
                </c:pt>
                <c:pt idx="115">
                  <c:v>JAN.24</c:v>
                </c:pt>
                <c:pt idx="116">
                  <c:v>JAN.24</c:v>
                </c:pt>
                <c:pt idx="117">
                  <c:v>JAN.24</c:v>
                </c:pt>
                <c:pt idx="118">
                  <c:v>JAN.24</c:v>
                </c:pt>
                <c:pt idx="119">
                  <c:v>JAN.24</c:v>
                </c:pt>
                <c:pt idx="120">
                  <c:v>JAN.24</c:v>
                </c:pt>
                <c:pt idx="121">
                  <c:v>JAN.24</c:v>
                </c:pt>
                <c:pt idx="122">
                  <c:v>JAN.24</c:v>
                </c:pt>
                <c:pt idx="123">
                  <c:v>JAN.24</c:v>
                </c:pt>
                <c:pt idx="124">
                  <c:v>JAN.24</c:v>
                </c:pt>
                <c:pt idx="125">
                  <c:v>JAN.24</c:v>
                </c:pt>
                <c:pt idx="126">
                  <c:v>JAN.24</c:v>
                </c:pt>
                <c:pt idx="127">
                  <c:v>JAN.24</c:v>
                </c:pt>
                <c:pt idx="128">
                  <c:v>JAN.24</c:v>
                </c:pt>
                <c:pt idx="129">
                  <c:v>JAN.24</c:v>
                </c:pt>
                <c:pt idx="130">
                  <c:v>JAN.24</c:v>
                </c:pt>
                <c:pt idx="131">
                  <c:v>JAN.24</c:v>
                </c:pt>
                <c:pt idx="132">
                  <c:v>February 24 live</c:v>
                </c:pt>
                <c:pt idx="133">
                  <c:v>FEB.24</c:v>
                </c:pt>
                <c:pt idx="134">
                  <c:v>FEB.24</c:v>
                </c:pt>
                <c:pt idx="135">
                  <c:v>FEB.24</c:v>
                </c:pt>
                <c:pt idx="136">
                  <c:v>FEB.24</c:v>
                </c:pt>
                <c:pt idx="137">
                  <c:v>FEB.24</c:v>
                </c:pt>
                <c:pt idx="138">
                  <c:v>FEB.24</c:v>
                </c:pt>
                <c:pt idx="139">
                  <c:v>FEB.24</c:v>
                </c:pt>
                <c:pt idx="140">
                  <c:v>FEB.24</c:v>
                </c:pt>
                <c:pt idx="141">
                  <c:v>FEB.24</c:v>
                </c:pt>
                <c:pt idx="142">
                  <c:v>FEB.24</c:v>
                </c:pt>
                <c:pt idx="143">
                  <c:v>FEB.24</c:v>
                </c:pt>
                <c:pt idx="144">
                  <c:v>FEB.24</c:v>
                </c:pt>
                <c:pt idx="145">
                  <c:v>FEB.24</c:v>
                </c:pt>
                <c:pt idx="146">
                  <c:v>FEB.24</c:v>
                </c:pt>
                <c:pt idx="147">
                  <c:v>FEB.24</c:v>
                </c:pt>
                <c:pt idx="148">
                  <c:v>FEB.24</c:v>
                </c:pt>
                <c:pt idx="149">
                  <c:v>FEB.24</c:v>
                </c:pt>
                <c:pt idx="150">
                  <c:v>FEB.24</c:v>
                </c:pt>
                <c:pt idx="151">
                  <c:v>FEB.24</c:v>
                </c:pt>
                <c:pt idx="152">
                  <c:v>FEB.24</c:v>
                </c:pt>
                <c:pt idx="153">
                  <c:v>FEB.24</c:v>
                </c:pt>
                <c:pt idx="154">
                  <c:v>FEB.24</c:v>
                </c:pt>
                <c:pt idx="155">
                  <c:v>FEB.24</c:v>
                </c:pt>
                <c:pt idx="156">
                  <c:v>FEB.24</c:v>
                </c:pt>
                <c:pt idx="157">
                  <c:v>FEB.24</c:v>
                </c:pt>
                <c:pt idx="158">
                  <c:v>FEB.24</c:v>
                </c:pt>
                <c:pt idx="159">
                  <c:v>FEB.24</c:v>
                </c:pt>
                <c:pt idx="160">
                  <c:v>FEB.24</c:v>
                </c:pt>
                <c:pt idx="161">
                  <c:v>FEB.24</c:v>
                </c:pt>
                <c:pt idx="162">
                  <c:v>FEB.24</c:v>
                </c:pt>
                <c:pt idx="163">
                  <c:v>FEB.24</c:v>
                </c:pt>
                <c:pt idx="164">
                  <c:v>FEB.24</c:v>
                </c:pt>
                <c:pt idx="165">
                  <c:v>FEB.24</c:v>
                </c:pt>
                <c:pt idx="166">
                  <c:v>FEB.24</c:v>
                </c:pt>
                <c:pt idx="167">
                  <c:v>FEB.24</c:v>
                </c:pt>
                <c:pt idx="168">
                  <c:v>FEB.24</c:v>
                </c:pt>
                <c:pt idx="169">
                  <c:v>FEB.24</c:v>
                </c:pt>
                <c:pt idx="170">
                  <c:v>FEB.24</c:v>
                </c:pt>
                <c:pt idx="171">
                  <c:v>FEB.24</c:v>
                </c:pt>
                <c:pt idx="172">
                  <c:v>FEB.24</c:v>
                </c:pt>
                <c:pt idx="173">
                  <c:v>FEB.24</c:v>
                </c:pt>
                <c:pt idx="174">
                  <c:v>FEB.24</c:v>
                </c:pt>
                <c:pt idx="175">
                  <c:v>FEB.24</c:v>
                </c:pt>
                <c:pt idx="176">
                  <c:v>FEB.24</c:v>
                </c:pt>
                <c:pt idx="177">
                  <c:v>FEB.24</c:v>
                </c:pt>
                <c:pt idx="178">
                  <c:v>FEB.24</c:v>
                </c:pt>
                <c:pt idx="179">
                  <c:v>FEB.24</c:v>
                </c:pt>
                <c:pt idx="180">
                  <c:v>FEB.24</c:v>
                </c:pt>
                <c:pt idx="181">
                  <c:v>FEB.24</c:v>
                </c:pt>
                <c:pt idx="182">
                  <c:v>FEB.24</c:v>
                </c:pt>
                <c:pt idx="183">
                  <c:v>FEB.24</c:v>
                </c:pt>
                <c:pt idx="184">
                  <c:v>FEB.24</c:v>
                </c:pt>
                <c:pt idx="185">
                  <c:v>FEB.24</c:v>
                </c:pt>
                <c:pt idx="186">
                  <c:v>FEB.24</c:v>
                </c:pt>
                <c:pt idx="187">
                  <c:v>FEB.24</c:v>
                </c:pt>
                <c:pt idx="188">
                  <c:v>FEB.24</c:v>
                </c:pt>
                <c:pt idx="189">
                  <c:v>FEB.24</c:v>
                </c:pt>
                <c:pt idx="190">
                  <c:v>FEB.24</c:v>
                </c:pt>
                <c:pt idx="191">
                  <c:v>FEB.24</c:v>
                </c:pt>
                <c:pt idx="192">
                  <c:v>FEB.24</c:v>
                </c:pt>
                <c:pt idx="193">
                  <c:v>FEB.24</c:v>
                </c:pt>
                <c:pt idx="194">
                  <c:v>FEB.24</c:v>
                </c:pt>
                <c:pt idx="195">
                  <c:v>FEB.24</c:v>
                </c:pt>
                <c:pt idx="196">
                  <c:v>FEB.24</c:v>
                </c:pt>
                <c:pt idx="197">
                  <c:v>FEB.24</c:v>
                </c:pt>
                <c:pt idx="198">
                  <c:v>FEB.24</c:v>
                </c:pt>
                <c:pt idx="199">
                  <c:v>FEB.24</c:v>
                </c:pt>
                <c:pt idx="200">
                  <c:v>FEB.24</c:v>
                </c:pt>
                <c:pt idx="201">
                  <c:v>FEB.24</c:v>
                </c:pt>
                <c:pt idx="202">
                  <c:v>FEB.24</c:v>
                </c:pt>
                <c:pt idx="203">
                  <c:v>FEB.24</c:v>
                </c:pt>
                <c:pt idx="204">
                  <c:v>FEB.24</c:v>
                </c:pt>
                <c:pt idx="205">
                  <c:v>FEB.24</c:v>
                </c:pt>
                <c:pt idx="206">
                  <c:v>FEB.24</c:v>
                </c:pt>
                <c:pt idx="207">
                  <c:v>FEB.24</c:v>
                </c:pt>
                <c:pt idx="208">
                  <c:v>FEB.24</c:v>
                </c:pt>
                <c:pt idx="209">
                  <c:v>FEB.24</c:v>
                </c:pt>
                <c:pt idx="210">
                  <c:v>FEB.24</c:v>
                </c:pt>
                <c:pt idx="211">
                  <c:v>FEB.24</c:v>
                </c:pt>
                <c:pt idx="212">
                  <c:v>FEB.24</c:v>
                </c:pt>
                <c:pt idx="213">
                  <c:v>FEB.24</c:v>
                </c:pt>
                <c:pt idx="214">
                  <c:v>FEB.24</c:v>
                </c:pt>
                <c:pt idx="215">
                  <c:v>FEB.24</c:v>
                </c:pt>
                <c:pt idx="216">
                  <c:v>FEB.24</c:v>
                </c:pt>
                <c:pt idx="217">
                  <c:v>FEB.24</c:v>
                </c:pt>
                <c:pt idx="218">
                  <c:v>FEB.24</c:v>
                </c:pt>
                <c:pt idx="219">
                  <c:v>FEB.24</c:v>
                </c:pt>
                <c:pt idx="220">
                  <c:v>FEB.24</c:v>
                </c:pt>
                <c:pt idx="221">
                  <c:v>FEB.24</c:v>
                </c:pt>
                <c:pt idx="222">
                  <c:v>FEB.24</c:v>
                </c:pt>
                <c:pt idx="223">
                  <c:v>FEB.24</c:v>
                </c:pt>
                <c:pt idx="224">
                  <c:v>FEB.24</c:v>
                </c:pt>
                <c:pt idx="225">
                  <c:v>FEB.24</c:v>
                </c:pt>
                <c:pt idx="226">
                  <c:v>FEB.24</c:v>
                </c:pt>
                <c:pt idx="227">
                  <c:v>FEB.24</c:v>
                </c:pt>
                <c:pt idx="228">
                  <c:v>FEB.24</c:v>
                </c:pt>
                <c:pt idx="229">
                  <c:v>FEB.24</c:v>
                </c:pt>
                <c:pt idx="230">
                  <c:v>FEB.24</c:v>
                </c:pt>
                <c:pt idx="231">
                  <c:v>FEB.24</c:v>
                </c:pt>
                <c:pt idx="232">
                  <c:v>FEB.24</c:v>
                </c:pt>
                <c:pt idx="233">
                  <c:v>FEB.24</c:v>
                </c:pt>
                <c:pt idx="234">
                  <c:v>FEB.24</c:v>
                </c:pt>
                <c:pt idx="235">
                  <c:v>FEB.24</c:v>
                </c:pt>
                <c:pt idx="236">
                  <c:v>FEB.24</c:v>
                </c:pt>
                <c:pt idx="237">
                  <c:v>FEB.24</c:v>
                </c:pt>
                <c:pt idx="238">
                  <c:v>FEB.24</c:v>
                </c:pt>
                <c:pt idx="239">
                  <c:v>FEB.24</c:v>
                </c:pt>
                <c:pt idx="240">
                  <c:v>FEB.24</c:v>
                </c:pt>
                <c:pt idx="241">
                  <c:v>FEB.24</c:v>
                </c:pt>
                <c:pt idx="242">
                  <c:v>FEB.24</c:v>
                </c:pt>
                <c:pt idx="243">
                  <c:v>FEB.24</c:v>
                </c:pt>
                <c:pt idx="244">
                  <c:v>FEB.24</c:v>
                </c:pt>
                <c:pt idx="245">
                  <c:v>FEB.24</c:v>
                </c:pt>
                <c:pt idx="246">
                  <c:v>FEB.24</c:v>
                </c:pt>
                <c:pt idx="247">
                  <c:v>FEB.24</c:v>
                </c:pt>
                <c:pt idx="248">
                  <c:v>FEB.24</c:v>
                </c:pt>
                <c:pt idx="249">
                  <c:v>FEB.24</c:v>
                </c:pt>
                <c:pt idx="250">
                  <c:v>FEB.24</c:v>
                </c:pt>
                <c:pt idx="251">
                  <c:v>FEB.24</c:v>
                </c:pt>
                <c:pt idx="252">
                  <c:v>March 24 live</c:v>
                </c:pt>
                <c:pt idx="253">
                  <c:v>MAR.24</c:v>
                </c:pt>
                <c:pt idx="254">
                  <c:v>MAR.24</c:v>
                </c:pt>
                <c:pt idx="255">
                  <c:v>MAR.24</c:v>
                </c:pt>
                <c:pt idx="256">
                  <c:v>MAR.24</c:v>
                </c:pt>
                <c:pt idx="257">
                  <c:v>MAR.24</c:v>
                </c:pt>
                <c:pt idx="258">
                  <c:v>MAR.24</c:v>
                </c:pt>
                <c:pt idx="259">
                  <c:v>MAR.24</c:v>
                </c:pt>
                <c:pt idx="260">
                  <c:v>MAR.24</c:v>
                </c:pt>
                <c:pt idx="261">
                  <c:v>MAR.24</c:v>
                </c:pt>
                <c:pt idx="262">
                  <c:v>MAR.24</c:v>
                </c:pt>
                <c:pt idx="263">
                  <c:v>MAR.24</c:v>
                </c:pt>
                <c:pt idx="264">
                  <c:v>MAR.24</c:v>
                </c:pt>
                <c:pt idx="265">
                  <c:v>MAR.24</c:v>
                </c:pt>
                <c:pt idx="266">
                  <c:v>MAR.24</c:v>
                </c:pt>
                <c:pt idx="267">
                  <c:v>MAR.24</c:v>
                </c:pt>
                <c:pt idx="268">
                  <c:v>MAR.24</c:v>
                </c:pt>
                <c:pt idx="269">
                  <c:v>MAR.24</c:v>
                </c:pt>
                <c:pt idx="270">
                  <c:v>MAR.24</c:v>
                </c:pt>
                <c:pt idx="271">
                  <c:v>MAR.24</c:v>
                </c:pt>
                <c:pt idx="272">
                  <c:v>MAR.24</c:v>
                </c:pt>
                <c:pt idx="273">
                  <c:v>MAR.24</c:v>
                </c:pt>
                <c:pt idx="274">
                  <c:v>MAR.24</c:v>
                </c:pt>
                <c:pt idx="275">
                  <c:v>MAR.24</c:v>
                </c:pt>
                <c:pt idx="276">
                  <c:v>MAR.24</c:v>
                </c:pt>
                <c:pt idx="277">
                  <c:v>MAR.24</c:v>
                </c:pt>
                <c:pt idx="278">
                  <c:v>MAR.24</c:v>
                </c:pt>
                <c:pt idx="279">
                  <c:v>MAR.24</c:v>
                </c:pt>
                <c:pt idx="280">
                  <c:v>MAR.24</c:v>
                </c:pt>
                <c:pt idx="281">
                  <c:v>MAR.24</c:v>
                </c:pt>
                <c:pt idx="282">
                  <c:v>MAR.24</c:v>
                </c:pt>
                <c:pt idx="283">
                  <c:v>MAR.24</c:v>
                </c:pt>
                <c:pt idx="284">
                  <c:v>MAR.24</c:v>
                </c:pt>
                <c:pt idx="285">
                  <c:v>MAR.24</c:v>
                </c:pt>
                <c:pt idx="286">
                  <c:v>MAR.24</c:v>
                </c:pt>
                <c:pt idx="287">
                  <c:v>MAR.24</c:v>
                </c:pt>
                <c:pt idx="288">
                  <c:v>MAR.24</c:v>
                </c:pt>
                <c:pt idx="289">
                  <c:v>MAR.24</c:v>
                </c:pt>
                <c:pt idx="290">
                  <c:v>MAR.24</c:v>
                </c:pt>
                <c:pt idx="291">
                  <c:v>MAR.24</c:v>
                </c:pt>
                <c:pt idx="292">
                  <c:v>MAR.24</c:v>
                </c:pt>
                <c:pt idx="293">
                  <c:v>MAR.24</c:v>
                </c:pt>
                <c:pt idx="294">
                  <c:v>MAR.24</c:v>
                </c:pt>
                <c:pt idx="295">
                  <c:v>MAR.24</c:v>
                </c:pt>
                <c:pt idx="296">
                  <c:v>MAR.24</c:v>
                </c:pt>
                <c:pt idx="297">
                  <c:v>MAR.24</c:v>
                </c:pt>
                <c:pt idx="298">
                  <c:v>MAR.24</c:v>
                </c:pt>
                <c:pt idx="299">
                  <c:v>MAR.24</c:v>
                </c:pt>
                <c:pt idx="300">
                  <c:v>MAR.24</c:v>
                </c:pt>
                <c:pt idx="301">
                  <c:v>MAR.24</c:v>
                </c:pt>
                <c:pt idx="302">
                  <c:v>MAR.24</c:v>
                </c:pt>
                <c:pt idx="303">
                  <c:v>MAR.24</c:v>
                </c:pt>
                <c:pt idx="304">
                  <c:v>MAR.24</c:v>
                </c:pt>
                <c:pt idx="305">
                  <c:v>MAR.24</c:v>
                </c:pt>
                <c:pt idx="306">
                  <c:v>MAR.24</c:v>
                </c:pt>
                <c:pt idx="307">
                  <c:v>MAR.24</c:v>
                </c:pt>
                <c:pt idx="308">
                  <c:v>MAR.24</c:v>
                </c:pt>
                <c:pt idx="309">
                  <c:v>MAR.24</c:v>
                </c:pt>
                <c:pt idx="310">
                  <c:v>MAR.24</c:v>
                </c:pt>
                <c:pt idx="311">
                  <c:v>MAR.24</c:v>
                </c:pt>
                <c:pt idx="312">
                  <c:v>MAR.24</c:v>
                </c:pt>
                <c:pt idx="313">
                  <c:v>MAR.24</c:v>
                </c:pt>
                <c:pt idx="314">
                  <c:v>MAR.24</c:v>
                </c:pt>
                <c:pt idx="315">
                  <c:v>MAR.24</c:v>
                </c:pt>
                <c:pt idx="316">
                  <c:v>MAR.24</c:v>
                </c:pt>
                <c:pt idx="317">
                  <c:v>MAR.24</c:v>
                </c:pt>
                <c:pt idx="318">
                  <c:v>MAR.24</c:v>
                </c:pt>
                <c:pt idx="319">
                  <c:v>MAR.24</c:v>
                </c:pt>
                <c:pt idx="320">
                  <c:v>MAR.24</c:v>
                </c:pt>
                <c:pt idx="321">
                  <c:v>MAR.24</c:v>
                </c:pt>
                <c:pt idx="322">
                  <c:v>MAR.24</c:v>
                </c:pt>
                <c:pt idx="323">
                  <c:v>MAR.24</c:v>
                </c:pt>
                <c:pt idx="324">
                  <c:v>MAR.24</c:v>
                </c:pt>
                <c:pt idx="325">
                  <c:v>MAR.24</c:v>
                </c:pt>
                <c:pt idx="326">
                  <c:v>MAR.24</c:v>
                </c:pt>
                <c:pt idx="327">
                  <c:v>MAR.24</c:v>
                </c:pt>
                <c:pt idx="328">
                  <c:v>MAR.24</c:v>
                </c:pt>
                <c:pt idx="329">
                  <c:v>MAR.24</c:v>
                </c:pt>
                <c:pt idx="330">
                  <c:v>MAR.24</c:v>
                </c:pt>
                <c:pt idx="331">
                  <c:v>MAR.24</c:v>
                </c:pt>
                <c:pt idx="332">
                  <c:v>MAR.24</c:v>
                </c:pt>
                <c:pt idx="333">
                  <c:v>MAR.24</c:v>
                </c:pt>
                <c:pt idx="334">
                  <c:v>MAR.24</c:v>
                </c:pt>
                <c:pt idx="335">
                  <c:v>MAR.24</c:v>
                </c:pt>
                <c:pt idx="336">
                  <c:v>MAR.24</c:v>
                </c:pt>
                <c:pt idx="337">
                  <c:v>MAR.24</c:v>
                </c:pt>
                <c:pt idx="338">
                  <c:v>MAR.24</c:v>
                </c:pt>
                <c:pt idx="339">
                  <c:v>MAR.24</c:v>
                </c:pt>
                <c:pt idx="340">
                  <c:v>MAR.24</c:v>
                </c:pt>
                <c:pt idx="341">
                  <c:v>MAR.24</c:v>
                </c:pt>
                <c:pt idx="342">
                  <c:v>MAR.24</c:v>
                </c:pt>
                <c:pt idx="343">
                  <c:v>MAR.24</c:v>
                </c:pt>
                <c:pt idx="344">
                  <c:v>MAR.24</c:v>
                </c:pt>
                <c:pt idx="345">
                  <c:v>April 24 live</c:v>
                </c:pt>
                <c:pt idx="346">
                  <c:v>APR.24</c:v>
                </c:pt>
                <c:pt idx="347">
                  <c:v>APR.24</c:v>
                </c:pt>
                <c:pt idx="348">
                  <c:v>APR.24</c:v>
                </c:pt>
                <c:pt idx="349">
                  <c:v>APR.24</c:v>
                </c:pt>
                <c:pt idx="350">
                  <c:v>APR.24</c:v>
                </c:pt>
                <c:pt idx="351">
                  <c:v>APR.24</c:v>
                </c:pt>
                <c:pt idx="352">
                  <c:v>APR.24</c:v>
                </c:pt>
                <c:pt idx="353">
                  <c:v>APR.24</c:v>
                </c:pt>
                <c:pt idx="354">
                  <c:v>APR.24</c:v>
                </c:pt>
                <c:pt idx="355">
                  <c:v>APR.24</c:v>
                </c:pt>
                <c:pt idx="356">
                  <c:v>APR.24</c:v>
                </c:pt>
                <c:pt idx="357">
                  <c:v>APR.24</c:v>
                </c:pt>
                <c:pt idx="358">
                  <c:v>APR.24</c:v>
                </c:pt>
                <c:pt idx="359">
                  <c:v>APR.24</c:v>
                </c:pt>
                <c:pt idx="360">
                  <c:v>APR.24</c:v>
                </c:pt>
                <c:pt idx="361">
                  <c:v>APR.24</c:v>
                </c:pt>
                <c:pt idx="362">
                  <c:v>APR.24</c:v>
                </c:pt>
                <c:pt idx="363">
                  <c:v>APR.24</c:v>
                </c:pt>
                <c:pt idx="364">
                  <c:v>APR.24</c:v>
                </c:pt>
                <c:pt idx="365">
                  <c:v>APR.24</c:v>
                </c:pt>
                <c:pt idx="366">
                  <c:v>APR.24</c:v>
                </c:pt>
                <c:pt idx="367">
                  <c:v>APR.24</c:v>
                </c:pt>
                <c:pt idx="368">
                  <c:v>APR.24</c:v>
                </c:pt>
                <c:pt idx="369">
                  <c:v>APR.24</c:v>
                </c:pt>
                <c:pt idx="370">
                  <c:v>APR.24</c:v>
                </c:pt>
                <c:pt idx="371">
                  <c:v>APR.24</c:v>
                </c:pt>
                <c:pt idx="372">
                  <c:v>APR.24</c:v>
                </c:pt>
                <c:pt idx="373">
                  <c:v>APR.24</c:v>
                </c:pt>
                <c:pt idx="374">
                  <c:v>APR.24</c:v>
                </c:pt>
                <c:pt idx="375">
                  <c:v>APR.24</c:v>
                </c:pt>
                <c:pt idx="376">
                  <c:v>APR.24</c:v>
                </c:pt>
                <c:pt idx="377">
                  <c:v>APR.24</c:v>
                </c:pt>
                <c:pt idx="378">
                  <c:v>APR.24</c:v>
                </c:pt>
                <c:pt idx="379">
                  <c:v>APR.24</c:v>
                </c:pt>
                <c:pt idx="380">
                  <c:v>APR.24</c:v>
                </c:pt>
                <c:pt idx="381">
                  <c:v>APR.24</c:v>
                </c:pt>
                <c:pt idx="382">
                  <c:v>APR.24</c:v>
                </c:pt>
                <c:pt idx="383">
                  <c:v>APR.24</c:v>
                </c:pt>
                <c:pt idx="384">
                  <c:v>APR.24</c:v>
                </c:pt>
                <c:pt idx="385">
                  <c:v>APR.24</c:v>
                </c:pt>
                <c:pt idx="386">
                  <c:v>APR.24</c:v>
                </c:pt>
                <c:pt idx="387">
                  <c:v>APR.24</c:v>
                </c:pt>
                <c:pt idx="388">
                  <c:v>APR.24</c:v>
                </c:pt>
                <c:pt idx="389">
                  <c:v>APR.24</c:v>
                </c:pt>
                <c:pt idx="390">
                  <c:v>APR.24</c:v>
                </c:pt>
                <c:pt idx="391">
                  <c:v>APR.24</c:v>
                </c:pt>
                <c:pt idx="392">
                  <c:v>APR.24</c:v>
                </c:pt>
                <c:pt idx="393">
                  <c:v>APR.24</c:v>
                </c:pt>
                <c:pt idx="394">
                  <c:v>APR.24</c:v>
                </c:pt>
                <c:pt idx="395">
                  <c:v>APR.24</c:v>
                </c:pt>
                <c:pt idx="396">
                  <c:v>APR.24</c:v>
                </c:pt>
                <c:pt idx="397">
                  <c:v>APR.24</c:v>
                </c:pt>
                <c:pt idx="398">
                  <c:v>APR.24</c:v>
                </c:pt>
                <c:pt idx="399">
                  <c:v>APR.24</c:v>
                </c:pt>
                <c:pt idx="400">
                  <c:v>APR.24</c:v>
                </c:pt>
                <c:pt idx="401">
                  <c:v>APR.24</c:v>
                </c:pt>
                <c:pt idx="402">
                  <c:v>APR.24</c:v>
                </c:pt>
                <c:pt idx="403">
                  <c:v>APR.24</c:v>
                </c:pt>
                <c:pt idx="404">
                  <c:v>APR.24</c:v>
                </c:pt>
                <c:pt idx="405">
                  <c:v>APR.24</c:v>
                </c:pt>
                <c:pt idx="406">
                  <c:v>APR.24</c:v>
                </c:pt>
                <c:pt idx="407">
                  <c:v>APR.24</c:v>
                </c:pt>
                <c:pt idx="408">
                  <c:v>APR.24</c:v>
                </c:pt>
                <c:pt idx="409">
                  <c:v>APR.24</c:v>
                </c:pt>
                <c:pt idx="410">
                  <c:v>APR.24</c:v>
                </c:pt>
                <c:pt idx="411">
                  <c:v>APR.24</c:v>
                </c:pt>
                <c:pt idx="412">
                  <c:v>APR.24</c:v>
                </c:pt>
                <c:pt idx="413">
                  <c:v>APR.24</c:v>
                </c:pt>
                <c:pt idx="414">
                  <c:v>APR.24</c:v>
                </c:pt>
                <c:pt idx="415">
                  <c:v>APR.24</c:v>
                </c:pt>
                <c:pt idx="416">
                  <c:v>APR.24</c:v>
                </c:pt>
                <c:pt idx="417">
                  <c:v>APR.24</c:v>
                </c:pt>
                <c:pt idx="418">
                  <c:v>APR.24</c:v>
                </c:pt>
                <c:pt idx="419">
                  <c:v>APR.24</c:v>
                </c:pt>
                <c:pt idx="420">
                  <c:v>APR.24</c:v>
                </c:pt>
                <c:pt idx="421">
                  <c:v>APR.24</c:v>
                </c:pt>
                <c:pt idx="422">
                  <c:v>APR.24</c:v>
                </c:pt>
                <c:pt idx="423">
                  <c:v>APR.24</c:v>
                </c:pt>
                <c:pt idx="424">
                  <c:v>APR.24</c:v>
                </c:pt>
                <c:pt idx="425">
                  <c:v>APR.24</c:v>
                </c:pt>
                <c:pt idx="426">
                  <c:v>APR.24</c:v>
                </c:pt>
                <c:pt idx="427">
                  <c:v>APR.24</c:v>
                </c:pt>
                <c:pt idx="428">
                  <c:v>APR.24</c:v>
                </c:pt>
                <c:pt idx="429">
                  <c:v>APR.24</c:v>
                </c:pt>
                <c:pt idx="430">
                  <c:v>APR.24</c:v>
                </c:pt>
                <c:pt idx="431">
                  <c:v>APR.24</c:v>
                </c:pt>
                <c:pt idx="432">
                  <c:v>APR.24</c:v>
                </c:pt>
                <c:pt idx="433">
                  <c:v>APR.24</c:v>
                </c:pt>
                <c:pt idx="434">
                  <c:v>APR.24</c:v>
                </c:pt>
                <c:pt idx="435">
                  <c:v>APR.24</c:v>
                </c:pt>
                <c:pt idx="436">
                  <c:v>APR.24</c:v>
                </c:pt>
                <c:pt idx="437">
                  <c:v>APR.24</c:v>
                </c:pt>
                <c:pt idx="438">
                  <c:v>APR.24</c:v>
                </c:pt>
                <c:pt idx="439">
                  <c:v>APR.24</c:v>
                </c:pt>
                <c:pt idx="440">
                  <c:v>APR.24</c:v>
                </c:pt>
                <c:pt idx="441">
                  <c:v>APR.24</c:v>
                </c:pt>
                <c:pt idx="442">
                  <c:v>APR.24</c:v>
                </c:pt>
                <c:pt idx="443">
                  <c:v>APR.24</c:v>
                </c:pt>
                <c:pt idx="444">
                  <c:v>APR.24</c:v>
                </c:pt>
                <c:pt idx="445">
                  <c:v>APR.24</c:v>
                </c:pt>
                <c:pt idx="446">
                  <c:v>APR.24</c:v>
                </c:pt>
                <c:pt idx="447">
                  <c:v>APR.24</c:v>
                </c:pt>
                <c:pt idx="448">
                  <c:v>APR.24</c:v>
                </c:pt>
                <c:pt idx="449">
                  <c:v>APR.24</c:v>
                </c:pt>
                <c:pt idx="450">
                  <c:v>APR.24</c:v>
                </c:pt>
                <c:pt idx="451">
                  <c:v>APR.24</c:v>
                </c:pt>
                <c:pt idx="452">
                  <c:v>APR.24</c:v>
                </c:pt>
                <c:pt idx="453">
                  <c:v>APR.24</c:v>
                </c:pt>
                <c:pt idx="454">
                  <c:v>APR.24</c:v>
                </c:pt>
                <c:pt idx="455">
                  <c:v>APR.24</c:v>
                </c:pt>
                <c:pt idx="456">
                  <c:v>APR.24</c:v>
                </c:pt>
                <c:pt idx="457">
                  <c:v>APR.24</c:v>
                </c:pt>
                <c:pt idx="458">
                  <c:v>APR.24</c:v>
                </c:pt>
                <c:pt idx="459">
                  <c:v>APR.24</c:v>
                </c:pt>
                <c:pt idx="460">
                  <c:v>APR.24</c:v>
                </c:pt>
                <c:pt idx="461">
                  <c:v>APR.24</c:v>
                </c:pt>
                <c:pt idx="462">
                  <c:v>APR.24</c:v>
                </c:pt>
                <c:pt idx="463">
                  <c:v>APR.24</c:v>
                </c:pt>
                <c:pt idx="464">
                  <c:v>APR.24</c:v>
                </c:pt>
                <c:pt idx="465">
                  <c:v>APR.24</c:v>
                </c:pt>
                <c:pt idx="466">
                  <c:v>APR.24</c:v>
                </c:pt>
                <c:pt idx="467">
                  <c:v>APR.24</c:v>
                </c:pt>
                <c:pt idx="468">
                  <c:v>APR.24</c:v>
                </c:pt>
                <c:pt idx="469">
                  <c:v>APR.24</c:v>
                </c:pt>
                <c:pt idx="470">
                  <c:v>APR.24</c:v>
                </c:pt>
                <c:pt idx="471">
                  <c:v>APR.24</c:v>
                </c:pt>
                <c:pt idx="472">
                  <c:v>APR.24</c:v>
                </c:pt>
                <c:pt idx="473">
                  <c:v>APR.24</c:v>
                </c:pt>
                <c:pt idx="474">
                  <c:v>APR.24</c:v>
                </c:pt>
                <c:pt idx="475">
                  <c:v>APR.24</c:v>
                </c:pt>
                <c:pt idx="476">
                  <c:v>APR.24</c:v>
                </c:pt>
                <c:pt idx="477">
                  <c:v>APR.24</c:v>
                </c:pt>
                <c:pt idx="478">
                  <c:v>APR.24</c:v>
                </c:pt>
                <c:pt idx="479">
                  <c:v>APR.24</c:v>
                </c:pt>
                <c:pt idx="480">
                  <c:v>APR.24</c:v>
                </c:pt>
                <c:pt idx="481">
                  <c:v>APR.24</c:v>
                </c:pt>
                <c:pt idx="482">
                  <c:v>APR.24</c:v>
                </c:pt>
                <c:pt idx="483">
                  <c:v>APR.24</c:v>
                </c:pt>
                <c:pt idx="484">
                  <c:v>APR.24</c:v>
                </c:pt>
                <c:pt idx="485">
                  <c:v>APR.24</c:v>
                </c:pt>
                <c:pt idx="486">
                  <c:v>APR.24</c:v>
                </c:pt>
                <c:pt idx="487">
                  <c:v>APR.24</c:v>
                </c:pt>
                <c:pt idx="488">
                  <c:v>APR.24</c:v>
                </c:pt>
                <c:pt idx="489">
                  <c:v>APR.24</c:v>
                </c:pt>
                <c:pt idx="490">
                  <c:v>APR.24</c:v>
                </c:pt>
                <c:pt idx="491">
                  <c:v>APR.24</c:v>
                </c:pt>
                <c:pt idx="492">
                  <c:v>APR.24</c:v>
                </c:pt>
                <c:pt idx="493">
                  <c:v>APR.24</c:v>
                </c:pt>
                <c:pt idx="494">
                  <c:v>APR.24</c:v>
                </c:pt>
                <c:pt idx="495">
                  <c:v>APR.24</c:v>
                </c:pt>
                <c:pt idx="496">
                  <c:v>APR.24</c:v>
                </c:pt>
                <c:pt idx="497">
                  <c:v>APR.24</c:v>
                </c:pt>
                <c:pt idx="498">
                  <c:v>APR.24</c:v>
                </c:pt>
                <c:pt idx="499">
                  <c:v>APR.24</c:v>
                </c:pt>
                <c:pt idx="500">
                  <c:v>APR.24</c:v>
                </c:pt>
                <c:pt idx="501">
                  <c:v>APR.24</c:v>
                </c:pt>
                <c:pt idx="502">
                  <c:v>APR.24</c:v>
                </c:pt>
                <c:pt idx="503">
                  <c:v>APR.24</c:v>
                </c:pt>
                <c:pt idx="504">
                  <c:v>APR.24</c:v>
                </c:pt>
                <c:pt idx="505">
                  <c:v>APR.24</c:v>
                </c:pt>
                <c:pt idx="506">
                  <c:v>APR.24</c:v>
                </c:pt>
                <c:pt idx="507">
                  <c:v>APR.24</c:v>
                </c:pt>
                <c:pt idx="508">
                  <c:v>APR.24</c:v>
                </c:pt>
                <c:pt idx="509">
                  <c:v>APR.24</c:v>
                </c:pt>
                <c:pt idx="510">
                  <c:v>APR.24</c:v>
                </c:pt>
                <c:pt idx="511">
                  <c:v>APR.24</c:v>
                </c:pt>
                <c:pt idx="512">
                  <c:v>APR.24</c:v>
                </c:pt>
                <c:pt idx="513">
                  <c:v>APR.24</c:v>
                </c:pt>
                <c:pt idx="514">
                  <c:v>APR.24</c:v>
                </c:pt>
                <c:pt idx="515">
                  <c:v>APR.24</c:v>
                </c:pt>
                <c:pt idx="516">
                  <c:v>APR.24</c:v>
                </c:pt>
                <c:pt idx="517">
                  <c:v>APR.24</c:v>
                </c:pt>
                <c:pt idx="518">
                  <c:v>APR.24</c:v>
                </c:pt>
                <c:pt idx="519">
                  <c:v>APR.24</c:v>
                </c:pt>
                <c:pt idx="520">
                  <c:v>APR.24</c:v>
                </c:pt>
                <c:pt idx="521">
                  <c:v>APR.24</c:v>
                </c:pt>
                <c:pt idx="522">
                  <c:v>APR.24</c:v>
                </c:pt>
                <c:pt idx="523">
                  <c:v>APR.24</c:v>
                </c:pt>
                <c:pt idx="524">
                  <c:v>APR.24</c:v>
                </c:pt>
                <c:pt idx="525">
                  <c:v>APR.24</c:v>
                </c:pt>
                <c:pt idx="526">
                  <c:v>APR.24</c:v>
                </c:pt>
                <c:pt idx="527">
                  <c:v>APR.24</c:v>
                </c:pt>
                <c:pt idx="528">
                  <c:v>APR.24</c:v>
                </c:pt>
                <c:pt idx="529">
                  <c:v>APR.24</c:v>
                </c:pt>
                <c:pt idx="530">
                  <c:v>APR.24</c:v>
                </c:pt>
                <c:pt idx="531">
                  <c:v>APR.24</c:v>
                </c:pt>
                <c:pt idx="532">
                  <c:v>APR.24</c:v>
                </c:pt>
                <c:pt idx="533">
                  <c:v>APR.24</c:v>
                </c:pt>
                <c:pt idx="534">
                  <c:v>APR.24</c:v>
                </c:pt>
                <c:pt idx="535">
                  <c:v>APR.24</c:v>
                </c:pt>
                <c:pt idx="536">
                  <c:v>May 24 live</c:v>
                </c:pt>
                <c:pt idx="537">
                  <c:v>MAY.24</c:v>
                </c:pt>
                <c:pt idx="538">
                  <c:v>MAY.24</c:v>
                </c:pt>
                <c:pt idx="539">
                  <c:v>MAY.24</c:v>
                </c:pt>
                <c:pt idx="540">
                  <c:v>MAY.24</c:v>
                </c:pt>
                <c:pt idx="541">
                  <c:v>MAY.24</c:v>
                </c:pt>
                <c:pt idx="542">
                  <c:v>MAY.24</c:v>
                </c:pt>
                <c:pt idx="543">
                  <c:v>MAY.24</c:v>
                </c:pt>
                <c:pt idx="544">
                  <c:v>MAY.24</c:v>
                </c:pt>
                <c:pt idx="545">
                  <c:v>MAY.24</c:v>
                </c:pt>
                <c:pt idx="546">
                  <c:v>MAY.24</c:v>
                </c:pt>
                <c:pt idx="547">
                  <c:v>MAY.24</c:v>
                </c:pt>
                <c:pt idx="548">
                  <c:v>MAY.24</c:v>
                </c:pt>
                <c:pt idx="549">
                  <c:v>MAY.24</c:v>
                </c:pt>
                <c:pt idx="550">
                  <c:v>MAY.24</c:v>
                </c:pt>
                <c:pt idx="551">
                  <c:v>MAY.24</c:v>
                </c:pt>
                <c:pt idx="552">
                  <c:v>MAY.24</c:v>
                </c:pt>
                <c:pt idx="553">
                  <c:v>MAY.24</c:v>
                </c:pt>
                <c:pt idx="554">
                  <c:v>MAY.24</c:v>
                </c:pt>
                <c:pt idx="555">
                  <c:v>MAY.24</c:v>
                </c:pt>
                <c:pt idx="556">
                  <c:v>MAY.24</c:v>
                </c:pt>
                <c:pt idx="557">
                  <c:v>MAY.24</c:v>
                </c:pt>
                <c:pt idx="558">
                  <c:v>MAY.24</c:v>
                </c:pt>
                <c:pt idx="559">
                  <c:v>MAY.24</c:v>
                </c:pt>
                <c:pt idx="560">
                  <c:v>MAY.24</c:v>
                </c:pt>
                <c:pt idx="561">
                  <c:v>MAY.24</c:v>
                </c:pt>
                <c:pt idx="562">
                  <c:v>MAY.24</c:v>
                </c:pt>
                <c:pt idx="563">
                  <c:v>MAY.24</c:v>
                </c:pt>
                <c:pt idx="564">
                  <c:v>MAY.24</c:v>
                </c:pt>
                <c:pt idx="565">
                  <c:v>MAY.24</c:v>
                </c:pt>
                <c:pt idx="566">
                  <c:v>MAY.24</c:v>
                </c:pt>
                <c:pt idx="567">
                  <c:v>MAY.24</c:v>
                </c:pt>
                <c:pt idx="568">
                  <c:v>MAY.24</c:v>
                </c:pt>
                <c:pt idx="569">
                  <c:v>MAY.24</c:v>
                </c:pt>
                <c:pt idx="570">
                  <c:v>MAY.24</c:v>
                </c:pt>
                <c:pt idx="571">
                  <c:v>MAY.24</c:v>
                </c:pt>
                <c:pt idx="572">
                  <c:v>MAY.24</c:v>
                </c:pt>
                <c:pt idx="573">
                  <c:v>MAY.24</c:v>
                </c:pt>
                <c:pt idx="574">
                  <c:v>MAY.24</c:v>
                </c:pt>
                <c:pt idx="575">
                  <c:v>MAY.24</c:v>
                </c:pt>
                <c:pt idx="576">
                  <c:v>MAY.24</c:v>
                </c:pt>
                <c:pt idx="577">
                  <c:v>MAY.24</c:v>
                </c:pt>
                <c:pt idx="578">
                  <c:v>MAY.24</c:v>
                </c:pt>
                <c:pt idx="579">
                  <c:v>MAY.24</c:v>
                </c:pt>
                <c:pt idx="580">
                  <c:v>MAY.24</c:v>
                </c:pt>
                <c:pt idx="581">
                  <c:v>MAY.24</c:v>
                </c:pt>
                <c:pt idx="582">
                  <c:v>MAY.24</c:v>
                </c:pt>
                <c:pt idx="583">
                  <c:v>MAY.24</c:v>
                </c:pt>
                <c:pt idx="584">
                  <c:v>MAY.24</c:v>
                </c:pt>
                <c:pt idx="585">
                  <c:v>MAY.24</c:v>
                </c:pt>
                <c:pt idx="586">
                  <c:v>MAY.24</c:v>
                </c:pt>
                <c:pt idx="587">
                  <c:v>MAY.24</c:v>
                </c:pt>
                <c:pt idx="588">
                  <c:v>MAY.24</c:v>
                </c:pt>
                <c:pt idx="589">
                  <c:v>MAY.24</c:v>
                </c:pt>
                <c:pt idx="590">
                  <c:v>MAY.24</c:v>
                </c:pt>
                <c:pt idx="591">
                  <c:v>MAY.24</c:v>
                </c:pt>
                <c:pt idx="592">
                  <c:v>MAY.24</c:v>
                </c:pt>
                <c:pt idx="593">
                  <c:v>MAY.24</c:v>
                </c:pt>
                <c:pt idx="594">
                  <c:v>MAY.24</c:v>
                </c:pt>
                <c:pt idx="595">
                  <c:v>MAY.24</c:v>
                </c:pt>
                <c:pt idx="596">
                  <c:v>MAY.24</c:v>
                </c:pt>
                <c:pt idx="597">
                  <c:v>MAY.24</c:v>
                </c:pt>
                <c:pt idx="598">
                  <c:v>MAY.24</c:v>
                </c:pt>
                <c:pt idx="599">
                  <c:v>MAY.24</c:v>
                </c:pt>
                <c:pt idx="600">
                  <c:v>MAY.24</c:v>
                </c:pt>
                <c:pt idx="601">
                  <c:v>MAY.24</c:v>
                </c:pt>
                <c:pt idx="602">
                  <c:v>MAY.24</c:v>
                </c:pt>
                <c:pt idx="603">
                  <c:v>MAY.24</c:v>
                </c:pt>
                <c:pt idx="604">
                  <c:v>MAY.24</c:v>
                </c:pt>
                <c:pt idx="605">
                  <c:v>MAY.24</c:v>
                </c:pt>
                <c:pt idx="606">
                  <c:v>MAY.24</c:v>
                </c:pt>
                <c:pt idx="607">
                  <c:v>MAY.24</c:v>
                </c:pt>
                <c:pt idx="608">
                  <c:v>MAY.24</c:v>
                </c:pt>
                <c:pt idx="609">
                  <c:v>MAY.24</c:v>
                </c:pt>
                <c:pt idx="610">
                  <c:v>MAY.24</c:v>
                </c:pt>
                <c:pt idx="611">
                  <c:v>MAY.24</c:v>
                </c:pt>
                <c:pt idx="612">
                  <c:v>MAY.24</c:v>
                </c:pt>
                <c:pt idx="613">
                  <c:v>MAY.24</c:v>
                </c:pt>
                <c:pt idx="614">
                  <c:v>MAY.24</c:v>
                </c:pt>
                <c:pt idx="615">
                  <c:v>MAY.24</c:v>
                </c:pt>
                <c:pt idx="616">
                  <c:v>MAY.24</c:v>
                </c:pt>
                <c:pt idx="617">
                  <c:v>MAY.24</c:v>
                </c:pt>
                <c:pt idx="618">
                  <c:v>MAY.24</c:v>
                </c:pt>
                <c:pt idx="619">
                  <c:v>MAY.24</c:v>
                </c:pt>
                <c:pt idx="620">
                  <c:v>MAY.24</c:v>
                </c:pt>
                <c:pt idx="621">
                  <c:v>MAY.24</c:v>
                </c:pt>
                <c:pt idx="622">
                  <c:v>MAY.24</c:v>
                </c:pt>
                <c:pt idx="623">
                  <c:v>MAY.24</c:v>
                </c:pt>
                <c:pt idx="624">
                  <c:v>MAY.24</c:v>
                </c:pt>
                <c:pt idx="625">
                  <c:v>MAY.24</c:v>
                </c:pt>
                <c:pt idx="626">
                  <c:v>MAY.24</c:v>
                </c:pt>
                <c:pt idx="627">
                  <c:v>MAY.24</c:v>
                </c:pt>
                <c:pt idx="628">
                  <c:v>MAY.24</c:v>
                </c:pt>
                <c:pt idx="629">
                  <c:v>MAY.24</c:v>
                </c:pt>
                <c:pt idx="630">
                  <c:v>MAY.24</c:v>
                </c:pt>
                <c:pt idx="631">
                  <c:v>MAY.24</c:v>
                </c:pt>
                <c:pt idx="632">
                  <c:v>MAY.24</c:v>
                </c:pt>
                <c:pt idx="633">
                  <c:v>MAY.24</c:v>
                </c:pt>
                <c:pt idx="634">
                  <c:v>MAY.24</c:v>
                </c:pt>
                <c:pt idx="635">
                  <c:v>MAY.24</c:v>
                </c:pt>
                <c:pt idx="636">
                  <c:v>MAY.24</c:v>
                </c:pt>
                <c:pt idx="637">
                  <c:v>MAY.24</c:v>
                </c:pt>
                <c:pt idx="638">
                  <c:v>MAY.24</c:v>
                </c:pt>
                <c:pt idx="639">
                  <c:v>MAY.24</c:v>
                </c:pt>
                <c:pt idx="640">
                  <c:v>MAY.24</c:v>
                </c:pt>
                <c:pt idx="641">
                  <c:v>MAY.24</c:v>
                </c:pt>
                <c:pt idx="642">
                  <c:v>MAY.24</c:v>
                </c:pt>
                <c:pt idx="643">
                  <c:v>MAY.24</c:v>
                </c:pt>
                <c:pt idx="644">
                  <c:v>MAY.24</c:v>
                </c:pt>
                <c:pt idx="645">
                  <c:v>MAY.24</c:v>
                </c:pt>
                <c:pt idx="646">
                  <c:v>MAY.24</c:v>
                </c:pt>
                <c:pt idx="647">
                  <c:v>MAY.24</c:v>
                </c:pt>
                <c:pt idx="648">
                  <c:v>MAY.24</c:v>
                </c:pt>
                <c:pt idx="649">
                  <c:v>MAY.24</c:v>
                </c:pt>
                <c:pt idx="650">
                  <c:v>MAY.24</c:v>
                </c:pt>
                <c:pt idx="651">
                  <c:v>MAY.24</c:v>
                </c:pt>
                <c:pt idx="652">
                  <c:v>MAY.24</c:v>
                </c:pt>
                <c:pt idx="653">
                  <c:v>MAY.24</c:v>
                </c:pt>
                <c:pt idx="654">
                  <c:v>MAY.24</c:v>
                </c:pt>
                <c:pt idx="655">
                  <c:v>MAY.24</c:v>
                </c:pt>
                <c:pt idx="656">
                  <c:v>MAY.24</c:v>
                </c:pt>
                <c:pt idx="657">
                  <c:v>MAY.24</c:v>
                </c:pt>
                <c:pt idx="658">
                  <c:v>MAY.24</c:v>
                </c:pt>
                <c:pt idx="659">
                  <c:v>MAY.24</c:v>
                </c:pt>
                <c:pt idx="660">
                  <c:v>MAY.24</c:v>
                </c:pt>
                <c:pt idx="661">
                  <c:v>MAY.24</c:v>
                </c:pt>
                <c:pt idx="662">
                  <c:v>MAY.24</c:v>
                </c:pt>
                <c:pt idx="663">
                  <c:v>MAY.24</c:v>
                </c:pt>
                <c:pt idx="664">
                  <c:v>MAY.24</c:v>
                </c:pt>
                <c:pt idx="665">
                  <c:v>MAY.24</c:v>
                </c:pt>
                <c:pt idx="666">
                  <c:v>MAY.24</c:v>
                </c:pt>
                <c:pt idx="667">
                  <c:v>MAY.24</c:v>
                </c:pt>
                <c:pt idx="668">
                  <c:v>MAY.24</c:v>
                </c:pt>
                <c:pt idx="669">
                  <c:v>MAY.24</c:v>
                </c:pt>
                <c:pt idx="670">
                  <c:v>MAY.24</c:v>
                </c:pt>
                <c:pt idx="671">
                  <c:v>MAY.24</c:v>
                </c:pt>
                <c:pt idx="672">
                  <c:v>MAY.24</c:v>
                </c:pt>
                <c:pt idx="673">
                  <c:v>MAY.24</c:v>
                </c:pt>
                <c:pt idx="674">
                  <c:v>MAY.24</c:v>
                </c:pt>
                <c:pt idx="675">
                  <c:v>MAY.24</c:v>
                </c:pt>
                <c:pt idx="676">
                  <c:v>MAY.24</c:v>
                </c:pt>
                <c:pt idx="677">
                  <c:v>MAY.24</c:v>
                </c:pt>
                <c:pt idx="678">
                  <c:v>MAY.24</c:v>
                </c:pt>
                <c:pt idx="679">
                  <c:v>MAY.24</c:v>
                </c:pt>
                <c:pt idx="680">
                  <c:v>MAY.24</c:v>
                </c:pt>
                <c:pt idx="681">
                  <c:v>MAY.24 after disaster</c:v>
                </c:pt>
                <c:pt idx="682">
                  <c:v>MAY.24</c:v>
                </c:pt>
                <c:pt idx="683">
                  <c:v>MAY.24</c:v>
                </c:pt>
                <c:pt idx="684">
                  <c:v>MAY.24</c:v>
                </c:pt>
                <c:pt idx="685">
                  <c:v>MAY.24</c:v>
                </c:pt>
                <c:pt idx="686">
                  <c:v>MAY.24</c:v>
                </c:pt>
                <c:pt idx="687">
                  <c:v>MAY.24</c:v>
                </c:pt>
                <c:pt idx="688">
                  <c:v>MAY.24</c:v>
                </c:pt>
                <c:pt idx="689">
                  <c:v>MAY.24</c:v>
                </c:pt>
                <c:pt idx="690">
                  <c:v>MAY.24</c:v>
                </c:pt>
                <c:pt idx="691">
                  <c:v>MAY.24</c:v>
                </c:pt>
                <c:pt idx="692">
                  <c:v>MAY.24</c:v>
                </c:pt>
                <c:pt idx="693">
                  <c:v>MAY.24</c:v>
                </c:pt>
                <c:pt idx="694">
                  <c:v>MAY.24</c:v>
                </c:pt>
                <c:pt idx="695">
                  <c:v>MAY.24</c:v>
                </c:pt>
                <c:pt idx="696">
                  <c:v>MAY.24 recovery</c:v>
                </c:pt>
                <c:pt idx="697">
                  <c:v>MAY.24</c:v>
                </c:pt>
                <c:pt idx="698">
                  <c:v>MAY.24</c:v>
                </c:pt>
                <c:pt idx="699">
                  <c:v>MAY.24</c:v>
                </c:pt>
                <c:pt idx="700">
                  <c:v>MAY.24</c:v>
                </c:pt>
                <c:pt idx="701">
                  <c:v>MAY.24</c:v>
                </c:pt>
                <c:pt idx="702">
                  <c:v>MAY.24</c:v>
                </c:pt>
                <c:pt idx="703">
                  <c:v>MAY.24</c:v>
                </c:pt>
                <c:pt idx="704">
                  <c:v>MAY.24</c:v>
                </c:pt>
                <c:pt idx="705">
                  <c:v>MAY.24</c:v>
                </c:pt>
                <c:pt idx="706">
                  <c:v>MAY.24</c:v>
                </c:pt>
                <c:pt idx="707">
                  <c:v>MAY.24</c:v>
                </c:pt>
                <c:pt idx="708">
                  <c:v>MAY.24</c:v>
                </c:pt>
                <c:pt idx="709">
                  <c:v>MAY.24</c:v>
                </c:pt>
                <c:pt idx="710">
                  <c:v>MAY.24</c:v>
                </c:pt>
                <c:pt idx="711">
                  <c:v>MAY.24</c:v>
                </c:pt>
                <c:pt idx="712">
                  <c:v>MAY.24</c:v>
                </c:pt>
                <c:pt idx="713">
                  <c:v>MAY.24</c:v>
                </c:pt>
                <c:pt idx="714">
                  <c:v>MAY.24</c:v>
                </c:pt>
                <c:pt idx="715">
                  <c:v>MAY.24</c:v>
                </c:pt>
                <c:pt idx="716">
                  <c:v>MAY.24</c:v>
                </c:pt>
                <c:pt idx="717">
                  <c:v>MAY.24</c:v>
                </c:pt>
                <c:pt idx="718">
                  <c:v>MAY.24</c:v>
                </c:pt>
                <c:pt idx="719">
                  <c:v>MAY.24</c:v>
                </c:pt>
                <c:pt idx="720">
                  <c:v>MAY.24</c:v>
                </c:pt>
                <c:pt idx="721">
                  <c:v>MAY.24</c:v>
                </c:pt>
                <c:pt idx="722">
                  <c:v>MAY.24</c:v>
                </c:pt>
                <c:pt idx="723">
                  <c:v>MAY.24</c:v>
                </c:pt>
                <c:pt idx="724">
                  <c:v>MAY.24</c:v>
                </c:pt>
                <c:pt idx="725">
                  <c:v>MAY.24</c:v>
                </c:pt>
                <c:pt idx="726">
                  <c:v>MAY.24</c:v>
                </c:pt>
                <c:pt idx="727">
                  <c:v>MAY.24</c:v>
                </c:pt>
                <c:pt idx="728">
                  <c:v>MAY.24</c:v>
                </c:pt>
                <c:pt idx="729">
                  <c:v>MAY.24</c:v>
                </c:pt>
                <c:pt idx="730">
                  <c:v>MAY.24</c:v>
                </c:pt>
                <c:pt idx="731">
                  <c:v>June24 live</c:v>
                </c:pt>
                <c:pt idx="732">
                  <c:v>JUN.24</c:v>
                </c:pt>
                <c:pt idx="733">
                  <c:v>JUN.24</c:v>
                </c:pt>
                <c:pt idx="734">
                  <c:v>JUN.24</c:v>
                </c:pt>
                <c:pt idx="735">
                  <c:v>JUN.24</c:v>
                </c:pt>
                <c:pt idx="736">
                  <c:v>JUN.24</c:v>
                </c:pt>
                <c:pt idx="737">
                  <c:v>JUN.24</c:v>
                </c:pt>
                <c:pt idx="738">
                  <c:v>JUN.24</c:v>
                </c:pt>
                <c:pt idx="739">
                  <c:v>JUN.24</c:v>
                </c:pt>
                <c:pt idx="740">
                  <c:v>JUN.24</c:v>
                </c:pt>
                <c:pt idx="741">
                  <c:v>JUN.24</c:v>
                </c:pt>
                <c:pt idx="742">
                  <c:v>JUN.24</c:v>
                </c:pt>
                <c:pt idx="743">
                  <c:v>JUN.24</c:v>
                </c:pt>
                <c:pt idx="744">
                  <c:v>JUN.24</c:v>
                </c:pt>
                <c:pt idx="745">
                  <c:v>JUN.24</c:v>
                </c:pt>
                <c:pt idx="746">
                  <c:v>JUN.24</c:v>
                </c:pt>
                <c:pt idx="747">
                  <c:v>JUN.24</c:v>
                </c:pt>
                <c:pt idx="748">
                  <c:v>JUN.24</c:v>
                </c:pt>
                <c:pt idx="749">
                  <c:v>JUN.24</c:v>
                </c:pt>
                <c:pt idx="750">
                  <c:v>JUN.24</c:v>
                </c:pt>
                <c:pt idx="751">
                  <c:v>JUN.24</c:v>
                </c:pt>
                <c:pt idx="752">
                  <c:v>JUN.24</c:v>
                </c:pt>
                <c:pt idx="753">
                  <c:v>JUN.24</c:v>
                </c:pt>
                <c:pt idx="754">
                  <c:v>JUN.24</c:v>
                </c:pt>
                <c:pt idx="755">
                  <c:v>JUN.24</c:v>
                </c:pt>
                <c:pt idx="756">
                  <c:v>JUN.24</c:v>
                </c:pt>
                <c:pt idx="757">
                  <c:v>JUN.24</c:v>
                </c:pt>
                <c:pt idx="758">
                  <c:v>JUN.24</c:v>
                </c:pt>
                <c:pt idx="759">
                  <c:v>JUN.24</c:v>
                </c:pt>
                <c:pt idx="760">
                  <c:v>JUN.24</c:v>
                </c:pt>
                <c:pt idx="761">
                  <c:v>JUN.24</c:v>
                </c:pt>
                <c:pt idx="762">
                  <c:v>JUN.24</c:v>
                </c:pt>
                <c:pt idx="763">
                  <c:v>JUN.24</c:v>
                </c:pt>
                <c:pt idx="764">
                  <c:v>JUN.24</c:v>
                </c:pt>
                <c:pt idx="765">
                  <c:v>JUN.24</c:v>
                </c:pt>
                <c:pt idx="766">
                  <c:v>JUN.24</c:v>
                </c:pt>
                <c:pt idx="767">
                  <c:v>JUN.24</c:v>
                </c:pt>
                <c:pt idx="768">
                  <c:v>JUN.24</c:v>
                </c:pt>
                <c:pt idx="769">
                  <c:v>JUN.24</c:v>
                </c:pt>
                <c:pt idx="770">
                  <c:v>JUN.24</c:v>
                </c:pt>
                <c:pt idx="771">
                  <c:v>JUN.24</c:v>
                </c:pt>
                <c:pt idx="772">
                  <c:v>JUN.24</c:v>
                </c:pt>
                <c:pt idx="773">
                  <c:v>JUN.24</c:v>
                </c:pt>
                <c:pt idx="774">
                  <c:v>JUN.24</c:v>
                </c:pt>
                <c:pt idx="775">
                  <c:v>JUN.24</c:v>
                </c:pt>
                <c:pt idx="776">
                  <c:v>JUN.24</c:v>
                </c:pt>
                <c:pt idx="777">
                  <c:v>JUN.24</c:v>
                </c:pt>
                <c:pt idx="778">
                  <c:v>JUN.24</c:v>
                </c:pt>
                <c:pt idx="779">
                  <c:v>JUN.24</c:v>
                </c:pt>
                <c:pt idx="780">
                  <c:v>JUN.24</c:v>
                </c:pt>
                <c:pt idx="781">
                  <c:v>JUN.24</c:v>
                </c:pt>
                <c:pt idx="782">
                  <c:v>JUN.24</c:v>
                </c:pt>
                <c:pt idx="783">
                  <c:v>JUN.24</c:v>
                </c:pt>
                <c:pt idx="784">
                  <c:v>JUN.24</c:v>
                </c:pt>
                <c:pt idx="785">
                  <c:v>JUN.24</c:v>
                </c:pt>
                <c:pt idx="786">
                  <c:v>JUN.24</c:v>
                </c:pt>
                <c:pt idx="787">
                  <c:v>JUN.24</c:v>
                </c:pt>
                <c:pt idx="788">
                  <c:v>JUN.24</c:v>
                </c:pt>
                <c:pt idx="789">
                  <c:v>JUN.24</c:v>
                </c:pt>
                <c:pt idx="790">
                  <c:v>JUN.24</c:v>
                </c:pt>
                <c:pt idx="791">
                  <c:v>JUN.24</c:v>
                </c:pt>
                <c:pt idx="792">
                  <c:v>JUN.24</c:v>
                </c:pt>
                <c:pt idx="793">
                  <c:v>JUN.24</c:v>
                </c:pt>
                <c:pt idx="794">
                  <c:v>JUN.24</c:v>
                </c:pt>
                <c:pt idx="795">
                  <c:v>JUN.24</c:v>
                </c:pt>
                <c:pt idx="796">
                  <c:v>JUN.24</c:v>
                </c:pt>
                <c:pt idx="797">
                  <c:v>JUN.24</c:v>
                </c:pt>
                <c:pt idx="798">
                  <c:v>JUN.24</c:v>
                </c:pt>
                <c:pt idx="799">
                  <c:v>JUN.24</c:v>
                </c:pt>
                <c:pt idx="800">
                  <c:v>JUN.24</c:v>
                </c:pt>
                <c:pt idx="801">
                  <c:v>JUN.24</c:v>
                </c:pt>
                <c:pt idx="802">
                  <c:v>JUN.24</c:v>
                </c:pt>
                <c:pt idx="803">
                  <c:v>JUN.24</c:v>
                </c:pt>
                <c:pt idx="804">
                  <c:v>JUN.24</c:v>
                </c:pt>
                <c:pt idx="805">
                  <c:v>JUN.24</c:v>
                </c:pt>
                <c:pt idx="806">
                  <c:v>JUN.24</c:v>
                </c:pt>
                <c:pt idx="807">
                  <c:v>JUN.24</c:v>
                </c:pt>
                <c:pt idx="808">
                  <c:v>JUN.24</c:v>
                </c:pt>
                <c:pt idx="809">
                  <c:v>JUN.24</c:v>
                </c:pt>
                <c:pt idx="810">
                  <c:v>JUN.24</c:v>
                </c:pt>
                <c:pt idx="811">
                  <c:v>JUN.24</c:v>
                </c:pt>
                <c:pt idx="812">
                  <c:v>JUN.24</c:v>
                </c:pt>
                <c:pt idx="813">
                  <c:v>JUN.24</c:v>
                </c:pt>
                <c:pt idx="814">
                  <c:v>JUN.24</c:v>
                </c:pt>
                <c:pt idx="815">
                  <c:v>JUN.24</c:v>
                </c:pt>
                <c:pt idx="816">
                  <c:v>JUN.24</c:v>
                </c:pt>
                <c:pt idx="817">
                  <c:v>JUN.24</c:v>
                </c:pt>
                <c:pt idx="818">
                  <c:v>JUN.24</c:v>
                </c:pt>
                <c:pt idx="819">
                  <c:v>JUN.24</c:v>
                </c:pt>
                <c:pt idx="820">
                  <c:v>JUN.24</c:v>
                </c:pt>
                <c:pt idx="821">
                  <c:v>JUN.24</c:v>
                </c:pt>
                <c:pt idx="822">
                  <c:v>JUN.24</c:v>
                </c:pt>
                <c:pt idx="823">
                  <c:v>JUN.24</c:v>
                </c:pt>
                <c:pt idx="824">
                  <c:v>JUN.24</c:v>
                </c:pt>
                <c:pt idx="825">
                  <c:v>JUN.24</c:v>
                </c:pt>
                <c:pt idx="826">
                  <c:v>JUN.24</c:v>
                </c:pt>
                <c:pt idx="827">
                  <c:v>JUN.24</c:v>
                </c:pt>
                <c:pt idx="828">
                  <c:v>JUN.24</c:v>
                </c:pt>
                <c:pt idx="829">
                  <c:v>JUN.24</c:v>
                </c:pt>
                <c:pt idx="830">
                  <c:v>JUN.24</c:v>
                </c:pt>
                <c:pt idx="831">
                  <c:v>JUN.24</c:v>
                </c:pt>
                <c:pt idx="832">
                  <c:v>JUN.24</c:v>
                </c:pt>
                <c:pt idx="833">
                  <c:v>JUN.24</c:v>
                </c:pt>
                <c:pt idx="834">
                  <c:v>JUN.24</c:v>
                </c:pt>
                <c:pt idx="835">
                  <c:v>JUN.24</c:v>
                </c:pt>
                <c:pt idx="836">
                  <c:v>JUN.24</c:v>
                </c:pt>
                <c:pt idx="837">
                  <c:v>JUN.24</c:v>
                </c:pt>
                <c:pt idx="838">
                  <c:v>JUN.24</c:v>
                </c:pt>
                <c:pt idx="839">
                  <c:v>JUN.24</c:v>
                </c:pt>
                <c:pt idx="840">
                  <c:v>JUN.24</c:v>
                </c:pt>
                <c:pt idx="841">
                  <c:v>JUN.24</c:v>
                </c:pt>
                <c:pt idx="842">
                  <c:v>JUN.24</c:v>
                </c:pt>
                <c:pt idx="843">
                  <c:v>JUN.24</c:v>
                </c:pt>
                <c:pt idx="844">
                  <c:v>JUN.24</c:v>
                </c:pt>
                <c:pt idx="845">
                  <c:v>JUN.24</c:v>
                </c:pt>
                <c:pt idx="846">
                  <c:v>JUN.24</c:v>
                </c:pt>
                <c:pt idx="847">
                  <c:v>JUN.24</c:v>
                </c:pt>
                <c:pt idx="848">
                  <c:v>JUN.24</c:v>
                </c:pt>
                <c:pt idx="849">
                  <c:v>JUN.24</c:v>
                </c:pt>
                <c:pt idx="850">
                  <c:v>JUN.24</c:v>
                </c:pt>
                <c:pt idx="851">
                  <c:v>JUN.24</c:v>
                </c:pt>
                <c:pt idx="852">
                  <c:v>JUN.24</c:v>
                </c:pt>
                <c:pt idx="853">
                  <c:v>JUN.24</c:v>
                </c:pt>
                <c:pt idx="854">
                  <c:v>JUN.24</c:v>
                </c:pt>
                <c:pt idx="855">
                  <c:v>JUN.24</c:v>
                </c:pt>
                <c:pt idx="856">
                  <c:v>JUN.24</c:v>
                </c:pt>
                <c:pt idx="857">
                  <c:v>JUN.24</c:v>
                </c:pt>
                <c:pt idx="858">
                  <c:v>JUN.24</c:v>
                </c:pt>
                <c:pt idx="859">
                  <c:v>JUN.24</c:v>
                </c:pt>
                <c:pt idx="860">
                  <c:v>JUN.24</c:v>
                </c:pt>
                <c:pt idx="861">
                  <c:v>JUN.24</c:v>
                </c:pt>
                <c:pt idx="862">
                  <c:v>JUN.24</c:v>
                </c:pt>
                <c:pt idx="863">
                  <c:v>JUN.24</c:v>
                </c:pt>
                <c:pt idx="864">
                  <c:v>JUN.24</c:v>
                </c:pt>
                <c:pt idx="865">
                  <c:v>JUN.24</c:v>
                </c:pt>
                <c:pt idx="866">
                  <c:v>JUN.24</c:v>
                </c:pt>
                <c:pt idx="867">
                  <c:v>JUN.24</c:v>
                </c:pt>
                <c:pt idx="868">
                  <c:v>JUN.24</c:v>
                </c:pt>
                <c:pt idx="869">
                  <c:v>JUN.24</c:v>
                </c:pt>
                <c:pt idx="870">
                  <c:v>JUN.24</c:v>
                </c:pt>
                <c:pt idx="871">
                  <c:v>JUN.24</c:v>
                </c:pt>
                <c:pt idx="872">
                  <c:v>JUN.24</c:v>
                </c:pt>
                <c:pt idx="873">
                  <c:v>JUN.24</c:v>
                </c:pt>
                <c:pt idx="874">
                  <c:v>JUN.24</c:v>
                </c:pt>
                <c:pt idx="875">
                  <c:v>JUN.24</c:v>
                </c:pt>
                <c:pt idx="876">
                  <c:v>JUN.24</c:v>
                </c:pt>
                <c:pt idx="877">
                  <c:v>JUN.24</c:v>
                </c:pt>
                <c:pt idx="878">
                  <c:v>JUN.24</c:v>
                </c:pt>
                <c:pt idx="879">
                  <c:v>JUN.24 BLOWUP</c:v>
                </c:pt>
                <c:pt idx="880">
                  <c:v>JUN.24</c:v>
                </c:pt>
                <c:pt idx="881">
                  <c:v>JUN.24</c:v>
                </c:pt>
                <c:pt idx="882">
                  <c:v>JUN.24</c:v>
                </c:pt>
                <c:pt idx="883">
                  <c:v>JUN.24</c:v>
                </c:pt>
                <c:pt idx="884">
                  <c:v>JUN.24</c:v>
                </c:pt>
                <c:pt idx="885">
                  <c:v>JUN.24</c:v>
                </c:pt>
                <c:pt idx="886">
                  <c:v>JUN.24</c:v>
                </c:pt>
                <c:pt idx="887">
                  <c:v>JUN.24</c:v>
                </c:pt>
                <c:pt idx="888">
                  <c:v>July24 live (R+1) | REDUCE INTRADAY &gt;1D TRADES</c:v>
                </c:pt>
                <c:pt idx="889">
                  <c:v>JUL.24</c:v>
                </c:pt>
                <c:pt idx="890">
                  <c:v>JUL.24</c:v>
                </c:pt>
                <c:pt idx="891">
                  <c:v>JUL.24</c:v>
                </c:pt>
                <c:pt idx="892">
                  <c:v>JUL.24</c:v>
                </c:pt>
                <c:pt idx="893">
                  <c:v>JUL.24</c:v>
                </c:pt>
                <c:pt idx="894">
                  <c:v>JUL.24</c:v>
                </c:pt>
                <c:pt idx="895">
                  <c:v>JUL.24</c:v>
                </c:pt>
                <c:pt idx="896">
                  <c:v>JUL.24</c:v>
                </c:pt>
                <c:pt idx="897">
                  <c:v>JUL.24</c:v>
                </c:pt>
                <c:pt idx="898">
                  <c:v>JUL.24</c:v>
                </c:pt>
                <c:pt idx="899">
                  <c:v>JUL.24</c:v>
                </c:pt>
                <c:pt idx="900">
                  <c:v>JUL.24</c:v>
                </c:pt>
                <c:pt idx="901">
                  <c:v>JUL.24</c:v>
                </c:pt>
                <c:pt idx="902">
                  <c:v>JUL.24</c:v>
                </c:pt>
                <c:pt idx="903">
                  <c:v>JUL.24</c:v>
                </c:pt>
                <c:pt idx="904">
                  <c:v>JUL.24</c:v>
                </c:pt>
                <c:pt idx="905">
                  <c:v>JUL.24</c:v>
                </c:pt>
                <c:pt idx="906">
                  <c:v>JUL.24</c:v>
                </c:pt>
                <c:pt idx="907">
                  <c:v>JUL.24</c:v>
                </c:pt>
                <c:pt idx="908">
                  <c:v>JUL.24</c:v>
                </c:pt>
                <c:pt idx="909">
                  <c:v>JUL.24</c:v>
                </c:pt>
                <c:pt idx="910">
                  <c:v>JUL.24</c:v>
                </c:pt>
                <c:pt idx="911">
                  <c:v>JUL.24</c:v>
                </c:pt>
                <c:pt idx="912">
                  <c:v>JUL.24</c:v>
                </c:pt>
                <c:pt idx="913">
                  <c:v>JUL.24</c:v>
                </c:pt>
                <c:pt idx="914">
                  <c:v>JUL.24</c:v>
                </c:pt>
                <c:pt idx="915">
                  <c:v>JUL.24</c:v>
                </c:pt>
                <c:pt idx="916">
                  <c:v>JUL.24</c:v>
                </c:pt>
                <c:pt idx="917">
                  <c:v>JUL.24</c:v>
                </c:pt>
                <c:pt idx="918">
                  <c:v>JUL.24</c:v>
                </c:pt>
                <c:pt idx="919">
                  <c:v>JUL.24</c:v>
                </c:pt>
                <c:pt idx="920">
                  <c:v>JUL.24</c:v>
                </c:pt>
                <c:pt idx="921">
                  <c:v>JUL.24</c:v>
                </c:pt>
                <c:pt idx="922">
                  <c:v>JUL.24</c:v>
                </c:pt>
                <c:pt idx="923">
                  <c:v>JUL.24</c:v>
                </c:pt>
                <c:pt idx="924">
                  <c:v>JUL.24</c:v>
                </c:pt>
                <c:pt idx="925">
                  <c:v>JUL.24</c:v>
                </c:pt>
                <c:pt idx="926">
                  <c:v>JUL.24</c:v>
                </c:pt>
                <c:pt idx="927">
                  <c:v>JUL.24</c:v>
                </c:pt>
                <c:pt idx="928">
                  <c:v>JUL.24</c:v>
                </c:pt>
                <c:pt idx="929">
                  <c:v>JUL.24</c:v>
                </c:pt>
                <c:pt idx="930">
                  <c:v>JUL.24</c:v>
                </c:pt>
                <c:pt idx="931">
                  <c:v>JUL.24</c:v>
                </c:pt>
                <c:pt idx="932">
                  <c:v>JUL.24</c:v>
                </c:pt>
                <c:pt idx="933">
                  <c:v>JUL.24</c:v>
                </c:pt>
                <c:pt idx="934">
                  <c:v>JUL.24</c:v>
                </c:pt>
                <c:pt idx="935">
                  <c:v>JUL.24</c:v>
                </c:pt>
                <c:pt idx="936">
                  <c:v>JUL.24</c:v>
                </c:pt>
                <c:pt idx="937">
                  <c:v>JUL.24</c:v>
                </c:pt>
                <c:pt idx="938">
                  <c:v>JUL.24</c:v>
                </c:pt>
                <c:pt idx="939">
                  <c:v>JUL.24</c:v>
                </c:pt>
                <c:pt idx="940">
                  <c:v>JUL.24</c:v>
                </c:pt>
                <c:pt idx="941">
                  <c:v>JUL.24</c:v>
                </c:pt>
                <c:pt idx="942">
                  <c:v>JUL.24</c:v>
                </c:pt>
                <c:pt idx="943">
                  <c:v>JUL.24</c:v>
                </c:pt>
                <c:pt idx="944">
                  <c:v>JUL.24</c:v>
                </c:pt>
                <c:pt idx="945">
                  <c:v>JUL.24</c:v>
                </c:pt>
                <c:pt idx="946">
                  <c:v>JUL.24</c:v>
                </c:pt>
                <c:pt idx="947">
                  <c:v>JUL.24</c:v>
                </c:pt>
                <c:pt idx="948">
                  <c:v>JUL.24</c:v>
                </c:pt>
                <c:pt idx="949">
                  <c:v>JUL.24</c:v>
                </c:pt>
                <c:pt idx="950">
                  <c:v>JUL.24</c:v>
                </c:pt>
                <c:pt idx="951">
                  <c:v>JUL.24</c:v>
                </c:pt>
                <c:pt idx="952">
                  <c:v>JUL.24</c:v>
                </c:pt>
                <c:pt idx="953">
                  <c:v>JUL.24</c:v>
                </c:pt>
                <c:pt idx="954">
                  <c:v>JUL.24</c:v>
                </c:pt>
                <c:pt idx="955">
                  <c:v>JUL.24</c:v>
                </c:pt>
                <c:pt idx="956">
                  <c:v>JUL.24</c:v>
                </c:pt>
                <c:pt idx="957">
                  <c:v>JUL.24</c:v>
                </c:pt>
                <c:pt idx="958">
                  <c:v>JUL.24</c:v>
                </c:pt>
                <c:pt idx="959">
                  <c:v>JUL.24</c:v>
                </c:pt>
                <c:pt idx="960">
                  <c:v>JUL.24</c:v>
                </c:pt>
                <c:pt idx="961">
                  <c:v>JUL.24</c:v>
                </c:pt>
                <c:pt idx="962">
                  <c:v>JUL.24</c:v>
                </c:pt>
                <c:pt idx="963">
                  <c:v>JUL.24</c:v>
                </c:pt>
                <c:pt idx="964">
                  <c:v>JUL.24</c:v>
                </c:pt>
                <c:pt idx="965">
                  <c:v>JUL.24</c:v>
                </c:pt>
                <c:pt idx="966">
                  <c:v>JUL.24</c:v>
                </c:pt>
                <c:pt idx="967">
                  <c:v>JUL.24</c:v>
                </c:pt>
                <c:pt idx="968">
                  <c:v>JUL.24</c:v>
                </c:pt>
                <c:pt idx="969">
                  <c:v>JUL.24</c:v>
                </c:pt>
                <c:pt idx="970">
                  <c:v>JUL.24</c:v>
                </c:pt>
                <c:pt idx="971">
                  <c:v>JUL.24</c:v>
                </c:pt>
                <c:pt idx="972">
                  <c:v>JUL.24</c:v>
                </c:pt>
                <c:pt idx="973">
                  <c:v>JUL.24</c:v>
                </c:pt>
                <c:pt idx="974">
                  <c:v>JUL.24</c:v>
                </c:pt>
                <c:pt idx="975">
                  <c:v>JUL.24</c:v>
                </c:pt>
                <c:pt idx="976">
                  <c:v>JUL.24</c:v>
                </c:pt>
                <c:pt idx="977">
                  <c:v>JUL.24</c:v>
                </c:pt>
                <c:pt idx="978">
                  <c:v>JUL.24</c:v>
                </c:pt>
                <c:pt idx="979">
                  <c:v>JUL.24</c:v>
                </c:pt>
                <c:pt idx="980">
                  <c:v>JUL.24</c:v>
                </c:pt>
                <c:pt idx="981">
                  <c:v>JUL.24</c:v>
                </c:pt>
                <c:pt idx="982">
                  <c:v>JUL.24</c:v>
                </c:pt>
                <c:pt idx="983">
                  <c:v>JUL.24</c:v>
                </c:pt>
                <c:pt idx="984">
                  <c:v>JUL.24</c:v>
                </c:pt>
                <c:pt idx="985">
                  <c:v>JUL.24</c:v>
                </c:pt>
                <c:pt idx="986">
                  <c:v>JUL.24</c:v>
                </c:pt>
                <c:pt idx="987">
                  <c:v>JUL.24</c:v>
                </c:pt>
                <c:pt idx="988">
                  <c:v>JUL.24</c:v>
                </c:pt>
                <c:pt idx="989">
                  <c:v>August24 live (R-1) | REDUCE LOT SIZING 2ND HALF AND ONLY EXITS IN 2ND HALF</c:v>
                </c:pt>
                <c:pt idx="990">
                  <c:v>AUG.24</c:v>
                </c:pt>
                <c:pt idx="991">
                  <c:v>AUG.24</c:v>
                </c:pt>
                <c:pt idx="992">
                  <c:v>AUG.24.II</c:v>
                </c:pt>
                <c:pt idx="993">
                  <c:v>AUG.24</c:v>
                </c:pt>
                <c:pt idx="994">
                  <c:v>AUG.24</c:v>
                </c:pt>
                <c:pt idx="995">
                  <c:v>AUG.24</c:v>
                </c:pt>
                <c:pt idx="996">
                  <c:v>AUG.24</c:v>
                </c:pt>
                <c:pt idx="997">
                  <c:v>AUG.24</c:v>
                </c:pt>
                <c:pt idx="998">
                  <c:v>AUG.24</c:v>
                </c:pt>
                <c:pt idx="999">
                  <c:v>AUG.24</c:v>
                </c:pt>
                <c:pt idx="1000">
                  <c:v>AUG.24</c:v>
                </c:pt>
                <c:pt idx="1001">
                  <c:v>AUG.24.II</c:v>
                </c:pt>
                <c:pt idx="1002">
                  <c:v>AUG.24.II</c:v>
                </c:pt>
                <c:pt idx="1003">
                  <c:v>AUG.24</c:v>
                </c:pt>
                <c:pt idx="1004">
                  <c:v>AUG.24</c:v>
                </c:pt>
                <c:pt idx="1005">
                  <c:v>AUG.24</c:v>
                </c:pt>
                <c:pt idx="1006">
                  <c:v>AUG.24.II</c:v>
                </c:pt>
                <c:pt idx="1007">
                  <c:v>AUG.24.II</c:v>
                </c:pt>
                <c:pt idx="1008">
                  <c:v>AUG.24</c:v>
                </c:pt>
                <c:pt idx="1009">
                  <c:v>AUG.24</c:v>
                </c:pt>
                <c:pt idx="1010">
                  <c:v>AUG.24</c:v>
                </c:pt>
                <c:pt idx="1011">
                  <c:v>AUG.24</c:v>
                </c:pt>
                <c:pt idx="1012">
                  <c:v>AUG.24</c:v>
                </c:pt>
                <c:pt idx="1013">
                  <c:v>AUG.24</c:v>
                </c:pt>
                <c:pt idx="1014">
                  <c:v>AUG.24</c:v>
                </c:pt>
                <c:pt idx="1015">
                  <c:v>AUG.24</c:v>
                </c:pt>
                <c:pt idx="1016">
                  <c:v>AUG.24</c:v>
                </c:pt>
                <c:pt idx="1017">
                  <c:v>AUG.24</c:v>
                </c:pt>
                <c:pt idx="1018">
                  <c:v>AUG.24</c:v>
                </c:pt>
                <c:pt idx="1019">
                  <c:v>AUG.24</c:v>
                </c:pt>
                <c:pt idx="1020">
                  <c:v>AUG.24</c:v>
                </c:pt>
                <c:pt idx="1021">
                  <c:v>AUG.24</c:v>
                </c:pt>
                <c:pt idx="1022">
                  <c:v>AUG.24</c:v>
                </c:pt>
                <c:pt idx="1023">
                  <c:v>AUG.24</c:v>
                </c:pt>
                <c:pt idx="1024">
                  <c:v>AUG.24</c:v>
                </c:pt>
                <c:pt idx="1025">
                  <c:v>AUG.24</c:v>
                </c:pt>
                <c:pt idx="1026">
                  <c:v>AUG.24</c:v>
                </c:pt>
                <c:pt idx="1027">
                  <c:v>AUG.24.II</c:v>
                </c:pt>
                <c:pt idx="1028">
                  <c:v>AUG.24</c:v>
                </c:pt>
                <c:pt idx="1029">
                  <c:v>AUG.24</c:v>
                </c:pt>
                <c:pt idx="1030">
                  <c:v>AUG.24</c:v>
                </c:pt>
                <c:pt idx="1031">
                  <c:v>AUG.24</c:v>
                </c:pt>
                <c:pt idx="1032">
                  <c:v>AUG.24</c:v>
                </c:pt>
                <c:pt idx="1033">
                  <c:v>AUG.24</c:v>
                </c:pt>
                <c:pt idx="1034">
                  <c:v>AUG.24</c:v>
                </c:pt>
                <c:pt idx="1035">
                  <c:v>AUG.24</c:v>
                </c:pt>
                <c:pt idx="1036">
                  <c:v>AUG.24</c:v>
                </c:pt>
                <c:pt idx="1037">
                  <c:v>AUG.24</c:v>
                </c:pt>
                <c:pt idx="1038">
                  <c:v>AUG.24</c:v>
                </c:pt>
                <c:pt idx="1039">
                  <c:v>AUG.24</c:v>
                </c:pt>
                <c:pt idx="1040">
                  <c:v>AUG.24</c:v>
                </c:pt>
                <c:pt idx="1041">
                  <c:v>AUG.24</c:v>
                </c:pt>
                <c:pt idx="1042">
                  <c:v>AUG.24</c:v>
                </c:pt>
                <c:pt idx="1043">
                  <c:v>AUG.24</c:v>
                </c:pt>
                <c:pt idx="1044">
                  <c:v>AUG.24</c:v>
                </c:pt>
                <c:pt idx="1045">
                  <c:v>AUG.24</c:v>
                </c:pt>
                <c:pt idx="1046">
                  <c:v>AUG.24</c:v>
                </c:pt>
                <c:pt idx="1047">
                  <c:v>AUG.24</c:v>
                </c:pt>
                <c:pt idx="1048">
                  <c:v>AUG.24</c:v>
                </c:pt>
                <c:pt idx="1049">
                  <c:v>AUG.24</c:v>
                </c:pt>
                <c:pt idx="1050">
                  <c:v>AUG.24</c:v>
                </c:pt>
                <c:pt idx="1051">
                  <c:v>AUG.24</c:v>
                </c:pt>
                <c:pt idx="1052">
                  <c:v>AUG.24</c:v>
                </c:pt>
                <c:pt idx="1053">
                  <c:v>AUG.24</c:v>
                </c:pt>
                <c:pt idx="1054">
                  <c:v>AUG.24</c:v>
                </c:pt>
                <c:pt idx="1055">
                  <c:v>AUG.24</c:v>
                </c:pt>
                <c:pt idx="1056">
                  <c:v>AUG.24</c:v>
                </c:pt>
                <c:pt idx="1057">
                  <c:v>AUG.24</c:v>
                </c:pt>
                <c:pt idx="1058">
                  <c:v>AUG.24</c:v>
                </c:pt>
                <c:pt idx="1059">
                  <c:v>AUG.24</c:v>
                </c:pt>
                <c:pt idx="1060">
                  <c:v>AUG.24</c:v>
                </c:pt>
                <c:pt idx="1061">
                  <c:v>AUG.24</c:v>
                </c:pt>
                <c:pt idx="1062">
                  <c:v>AUG.24</c:v>
                </c:pt>
                <c:pt idx="1063">
                  <c:v>AUG.24</c:v>
                </c:pt>
                <c:pt idx="1064">
                  <c:v>AUG.24</c:v>
                </c:pt>
                <c:pt idx="1065">
                  <c:v>AUG.24</c:v>
                </c:pt>
                <c:pt idx="1066">
                  <c:v>AUG.24</c:v>
                </c:pt>
                <c:pt idx="1067">
                  <c:v>AUG.24</c:v>
                </c:pt>
                <c:pt idx="1068">
                  <c:v>AUG.24</c:v>
                </c:pt>
                <c:pt idx="1069">
                  <c:v>AUG.24</c:v>
                </c:pt>
                <c:pt idx="1070">
                  <c:v>AUG.24</c:v>
                </c:pt>
                <c:pt idx="1071">
                  <c:v>AUG.24</c:v>
                </c:pt>
                <c:pt idx="1072">
                  <c:v>AUG.24</c:v>
                </c:pt>
                <c:pt idx="1073">
                  <c:v>AUG.24</c:v>
                </c:pt>
                <c:pt idx="1074">
                  <c:v>AUG.24</c:v>
                </c:pt>
                <c:pt idx="1075">
                  <c:v>AUG.24</c:v>
                </c:pt>
                <c:pt idx="1076">
                  <c:v>AUG.24</c:v>
                </c:pt>
                <c:pt idx="1077">
                  <c:v>AUG.24</c:v>
                </c:pt>
                <c:pt idx="1078">
                  <c:v>AUG.24</c:v>
                </c:pt>
                <c:pt idx="1079">
                  <c:v>AUG.24</c:v>
                </c:pt>
                <c:pt idx="1080">
                  <c:v>AUG.24</c:v>
                </c:pt>
                <c:pt idx="1081">
                  <c:v>AUG.24</c:v>
                </c:pt>
                <c:pt idx="1082">
                  <c:v>AUG.24</c:v>
                </c:pt>
                <c:pt idx="1083">
                  <c:v>AUG.24</c:v>
                </c:pt>
                <c:pt idx="1084">
                  <c:v>AUG.24</c:v>
                </c:pt>
                <c:pt idx="1085">
                  <c:v>AUG.24</c:v>
                </c:pt>
                <c:pt idx="1086">
                  <c:v>September24 live (R) | REDUCE LOT SIZING 1ST HALF, AVOID POSITIONAL </c:v>
                </c:pt>
                <c:pt idx="1087">
                  <c:v>SEP.24</c:v>
                </c:pt>
                <c:pt idx="1088">
                  <c:v>SEP.24</c:v>
                </c:pt>
                <c:pt idx="1089">
                  <c:v>SEP.24</c:v>
                </c:pt>
                <c:pt idx="1090">
                  <c:v>SEP.24</c:v>
                </c:pt>
                <c:pt idx="1091">
                  <c:v>SEP.24</c:v>
                </c:pt>
                <c:pt idx="1092">
                  <c:v>SEP.24</c:v>
                </c:pt>
                <c:pt idx="1093">
                  <c:v>SEP.24</c:v>
                </c:pt>
                <c:pt idx="1094">
                  <c:v>SEP.24</c:v>
                </c:pt>
                <c:pt idx="1095">
                  <c:v>SEP.24</c:v>
                </c:pt>
                <c:pt idx="1096">
                  <c:v>SEP.24</c:v>
                </c:pt>
                <c:pt idx="1097">
                  <c:v>SEP.24</c:v>
                </c:pt>
                <c:pt idx="1098">
                  <c:v>SEP.24</c:v>
                </c:pt>
                <c:pt idx="1099">
                  <c:v>SEP.24</c:v>
                </c:pt>
                <c:pt idx="1100">
                  <c:v>SEP.24</c:v>
                </c:pt>
                <c:pt idx="1101">
                  <c:v>SEP.24</c:v>
                </c:pt>
                <c:pt idx="1102">
                  <c:v>SEP.24</c:v>
                </c:pt>
                <c:pt idx="1103">
                  <c:v>SEP.24</c:v>
                </c:pt>
                <c:pt idx="1104">
                  <c:v>SEP.24</c:v>
                </c:pt>
                <c:pt idx="1105">
                  <c:v>SEP.24</c:v>
                </c:pt>
                <c:pt idx="1106">
                  <c:v>SEP.24</c:v>
                </c:pt>
                <c:pt idx="1107">
                  <c:v>SEP.24</c:v>
                </c:pt>
                <c:pt idx="1108">
                  <c:v>SEP.24</c:v>
                </c:pt>
                <c:pt idx="1109">
                  <c:v>SEP.24</c:v>
                </c:pt>
                <c:pt idx="1110">
                  <c:v>SEP.24</c:v>
                </c:pt>
                <c:pt idx="1111">
                  <c:v>SEP.24</c:v>
                </c:pt>
                <c:pt idx="1112">
                  <c:v>SEP.24</c:v>
                </c:pt>
                <c:pt idx="1113">
                  <c:v>SEP.24</c:v>
                </c:pt>
                <c:pt idx="1114">
                  <c:v>SEP.24</c:v>
                </c:pt>
                <c:pt idx="1115">
                  <c:v>SEP.24</c:v>
                </c:pt>
                <c:pt idx="1116">
                  <c:v>SEP.24</c:v>
                </c:pt>
                <c:pt idx="1117">
                  <c:v>SEP.24</c:v>
                </c:pt>
                <c:pt idx="1118">
                  <c:v>SEP.24</c:v>
                </c:pt>
                <c:pt idx="1119">
                  <c:v>SEP.24</c:v>
                </c:pt>
                <c:pt idx="1120">
                  <c:v>SEP.24</c:v>
                </c:pt>
                <c:pt idx="1121">
                  <c:v>SEP.24</c:v>
                </c:pt>
                <c:pt idx="1122">
                  <c:v>SEP.24</c:v>
                </c:pt>
                <c:pt idx="1123">
                  <c:v>SEP.24</c:v>
                </c:pt>
                <c:pt idx="1124">
                  <c:v>SEP.24</c:v>
                </c:pt>
                <c:pt idx="1125">
                  <c:v>October24 live (R+1) | REDUCE INTRADAY &gt;1D TRADES</c:v>
                </c:pt>
                <c:pt idx="1126">
                  <c:v>OCT.24</c:v>
                </c:pt>
                <c:pt idx="1127">
                  <c:v>OCT.24</c:v>
                </c:pt>
                <c:pt idx="1128">
                  <c:v>OCT.24</c:v>
                </c:pt>
                <c:pt idx="1129">
                  <c:v>OCT.24</c:v>
                </c:pt>
                <c:pt idx="1130">
                  <c:v>OCT.24</c:v>
                </c:pt>
                <c:pt idx="1131">
                  <c:v>OCT.24</c:v>
                </c:pt>
                <c:pt idx="1132">
                  <c:v>OCT.24</c:v>
                </c:pt>
                <c:pt idx="1133">
                  <c:v>OCT.24</c:v>
                </c:pt>
                <c:pt idx="1134">
                  <c:v>OCT.24</c:v>
                </c:pt>
                <c:pt idx="1135">
                  <c:v>OCT.24</c:v>
                </c:pt>
                <c:pt idx="1136">
                  <c:v>OCT.24</c:v>
                </c:pt>
                <c:pt idx="1137">
                  <c:v>OCT.24</c:v>
                </c:pt>
                <c:pt idx="1138">
                  <c:v>OCT.24</c:v>
                </c:pt>
                <c:pt idx="1139">
                  <c:v>OCT.24</c:v>
                </c:pt>
                <c:pt idx="1140">
                  <c:v>OCT.24</c:v>
                </c:pt>
                <c:pt idx="1141">
                  <c:v>OCT.24</c:v>
                </c:pt>
                <c:pt idx="1142">
                  <c:v>OCT.24</c:v>
                </c:pt>
                <c:pt idx="1143">
                  <c:v>OCT.24</c:v>
                </c:pt>
                <c:pt idx="1144">
                  <c:v>OCT.24</c:v>
                </c:pt>
                <c:pt idx="1145">
                  <c:v>OCT.24</c:v>
                </c:pt>
                <c:pt idx="1146">
                  <c:v>OCT.24</c:v>
                </c:pt>
                <c:pt idx="1147">
                  <c:v>OCT.24</c:v>
                </c:pt>
                <c:pt idx="1148">
                  <c:v>OCT.24</c:v>
                </c:pt>
                <c:pt idx="1149">
                  <c:v>OCT.24</c:v>
                </c:pt>
                <c:pt idx="1150">
                  <c:v>OCT.24</c:v>
                </c:pt>
                <c:pt idx="1151">
                  <c:v>OCT.24</c:v>
                </c:pt>
                <c:pt idx="1152">
                  <c:v>OCT.24</c:v>
                </c:pt>
                <c:pt idx="1153">
                  <c:v>OCT.24</c:v>
                </c:pt>
                <c:pt idx="1154">
                  <c:v>OCT.24</c:v>
                </c:pt>
                <c:pt idx="1155">
                  <c:v>OCT.24</c:v>
                </c:pt>
                <c:pt idx="1156">
                  <c:v>OCT.24</c:v>
                </c:pt>
                <c:pt idx="1157">
                  <c:v>OCT.24</c:v>
                </c:pt>
                <c:pt idx="1158">
                  <c:v>OCT.24</c:v>
                </c:pt>
                <c:pt idx="1159">
                  <c:v>OCT.24</c:v>
                </c:pt>
                <c:pt idx="1160">
                  <c:v>OCT.24</c:v>
                </c:pt>
                <c:pt idx="1161">
                  <c:v>OCT.24</c:v>
                </c:pt>
                <c:pt idx="1162">
                  <c:v>OCT.24</c:v>
                </c:pt>
                <c:pt idx="1163">
                  <c:v>OCT.24</c:v>
                </c:pt>
                <c:pt idx="1164">
                  <c:v>OCT.24</c:v>
                </c:pt>
                <c:pt idx="1165">
                  <c:v>OCT.24</c:v>
                </c:pt>
                <c:pt idx="1166">
                  <c:v>OCT.24</c:v>
                </c:pt>
                <c:pt idx="1167">
                  <c:v>OCT.24</c:v>
                </c:pt>
                <c:pt idx="1168">
                  <c:v>OCT.24</c:v>
                </c:pt>
                <c:pt idx="1169">
                  <c:v>OCT.24</c:v>
                </c:pt>
                <c:pt idx="1170">
                  <c:v>OCT.24</c:v>
                </c:pt>
                <c:pt idx="1171">
                  <c:v>OCT.24</c:v>
                </c:pt>
                <c:pt idx="1172">
                  <c:v>OCT.24</c:v>
                </c:pt>
                <c:pt idx="1173">
                  <c:v>OCT.24</c:v>
                </c:pt>
                <c:pt idx="1174">
                  <c:v>OCT.24</c:v>
                </c:pt>
                <c:pt idx="1175">
                  <c:v>OCT.24</c:v>
                </c:pt>
                <c:pt idx="1176">
                  <c:v>OCT.24</c:v>
                </c:pt>
                <c:pt idx="1177">
                  <c:v>OCT.24</c:v>
                </c:pt>
                <c:pt idx="1178">
                  <c:v>OCT.24</c:v>
                </c:pt>
                <c:pt idx="1179">
                  <c:v>OCT.24</c:v>
                </c:pt>
                <c:pt idx="1180">
                  <c:v>OCT.24</c:v>
                </c:pt>
                <c:pt idx="1181">
                  <c:v>OCT.24</c:v>
                </c:pt>
                <c:pt idx="1182">
                  <c:v>OCT.24</c:v>
                </c:pt>
                <c:pt idx="1183">
                  <c:v>OCT.24</c:v>
                </c:pt>
                <c:pt idx="1184">
                  <c:v>OCT.24</c:v>
                </c:pt>
                <c:pt idx="1185">
                  <c:v>OCT.24</c:v>
                </c:pt>
                <c:pt idx="1186">
                  <c:v>OCT.24</c:v>
                </c:pt>
                <c:pt idx="1187">
                  <c:v>OCT.24</c:v>
                </c:pt>
                <c:pt idx="1188">
                  <c:v>OCT.24</c:v>
                </c:pt>
                <c:pt idx="1189">
                  <c:v>OCT.24</c:v>
                </c:pt>
                <c:pt idx="1190">
                  <c:v>OCT.24</c:v>
                </c:pt>
                <c:pt idx="1191">
                  <c:v>OCT.24</c:v>
                </c:pt>
                <c:pt idx="1192">
                  <c:v>OCT.24</c:v>
                </c:pt>
                <c:pt idx="1193">
                  <c:v>OCT.24</c:v>
                </c:pt>
                <c:pt idx="1194">
                  <c:v>OCT.24</c:v>
                </c:pt>
                <c:pt idx="1195">
                  <c:v>OCT.24</c:v>
                </c:pt>
                <c:pt idx="1196">
                  <c:v>OCT.24</c:v>
                </c:pt>
                <c:pt idx="1197">
                  <c:v>OCT.24</c:v>
                </c:pt>
                <c:pt idx="1198">
                  <c:v>OCT.24</c:v>
                </c:pt>
                <c:pt idx="1199">
                  <c:v>OCT.24</c:v>
                </c:pt>
                <c:pt idx="1200">
                  <c:v>OCT.24</c:v>
                </c:pt>
                <c:pt idx="1201">
                  <c:v>OCT.24</c:v>
                </c:pt>
                <c:pt idx="1202">
                  <c:v>OCT.24</c:v>
                </c:pt>
                <c:pt idx="1203">
                  <c:v>OCT.24</c:v>
                </c:pt>
                <c:pt idx="1204">
                  <c:v>OCT.24</c:v>
                </c:pt>
                <c:pt idx="1205">
                  <c:v>OCT.24</c:v>
                </c:pt>
                <c:pt idx="1206">
                  <c:v>OCT.24</c:v>
                </c:pt>
                <c:pt idx="1207">
                  <c:v>OCT.24</c:v>
                </c:pt>
                <c:pt idx="1208">
                  <c:v>OCT.24</c:v>
                </c:pt>
                <c:pt idx="1209">
                  <c:v>OCT.24</c:v>
                </c:pt>
                <c:pt idx="1210">
                  <c:v>OCT.24</c:v>
                </c:pt>
                <c:pt idx="1211">
                  <c:v>OCT.24</c:v>
                </c:pt>
                <c:pt idx="1212">
                  <c:v>OCT.24</c:v>
                </c:pt>
                <c:pt idx="1213">
                  <c:v>OCT.24</c:v>
                </c:pt>
                <c:pt idx="1214">
                  <c:v>November24 live EPILOGUE 1</c:v>
                </c:pt>
                <c:pt idx="1215">
                  <c:v>NOV.24</c:v>
                </c:pt>
                <c:pt idx="1216">
                  <c:v>NOV.24</c:v>
                </c:pt>
                <c:pt idx="1217">
                  <c:v>NOV.24</c:v>
                </c:pt>
                <c:pt idx="1218">
                  <c:v>NOV.24</c:v>
                </c:pt>
                <c:pt idx="1219">
                  <c:v>NOV.24</c:v>
                </c:pt>
                <c:pt idx="1220">
                  <c:v>NOV.24</c:v>
                </c:pt>
                <c:pt idx="1221">
                  <c:v>NOV.24</c:v>
                </c:pt>
                <c:pt idx="1222">
                  <c:v>NOV.24</c:v>
                </c:pt>
                <c:pt idx="1223">
                  <c:v>NOV.24</c:v>
                </c:pt>
                <c:pt idx="1224">
                  <c:v>NOV.24</c:v>
                </c:pt>
                <c:pt idx="1225">
                  <c:v>NOV.24</c:v>
                </c:pt>
                <c:pt idx="1226">
                  <c:v>NOV.24</c:v>
                </c:pt>
                <c:pt idx="1227">
                  <c:v>NOV.24</c:v>
                </c:pt>
                <c:pt idx="1228">
                  <c:v>NOV.24</c:v>
                </c:pt>
                <c:pt idx="1229">
                  <c:v>NOV.24</c:v>
                </c:pt>
                <c:pt idx="1230">
                  <c:v>NOV.24</c:v>
                </c:pt>
                <c:pt idx="1231">
                  <c:v>NOV.24</c:v>
                </c:pt>
                <c:pt idx="1232">
                  <c:v>NOV.24</c:v>
                </c:pt>
                <c:pt idx="1233">
                  <c:v>NOV.24</c:v>
                </c:pt>
                <c:pt idx="1234">
                  <c:v>NOV.24</c:v>
                </c:pt>
                <c:pt idx="1235">
                  <c:v>NOV.24</c:v>
                </c:pt>
                <c:pt idx="1236">
                  <c:v>NOV.24</c:v>
                </c:pt>
                <c:pt idx="1237">
                  <c:v>NOV.24</c:v>
                </c:pt>
              </c:strCache>
            </c:strRef>
          </c:cat>
          <c:val>
            <c:numRef>
              <c:f>'Journal Live'!$BT$1388:$BT$2630</c:f>
              <c:numCache>
                <c:formatCode>General</c:formatCode>
                <c:ptCount val="1238"/>
                <c:pt idx="0">
                  <c:v>0</c:v>
                </c:pt>
                <c:pt idx="1">
                  <c:v>0</c:v>
                </c:pt>
                <c:pt idx="2">
                  <c:v>0</c:v>
                </c:pt>
                <c:pt idx="3">
                  <c:v>0</c:v>
                </c:pt>
                <c:pt idx="4">
                  <c:v>-336</c:v>
                </c:pt>
                <c:pt idx="5">
                  <c:v>-336</c:v>
                </c:pt>
                <c:pt idx="6">
                  <c:v>-336</c:v>
                </c:pt>
                <c:pt idx="7">
                  <c:v>-336</c:v>
                </c:pt>
                <c:pt idx="8">
                  <c:v>-336</c:v>
                </c:pt>
                <c:pt idx="9">
                  <c:v>-336</c:v>
                </c:pt>
                <c:pt idx="10">
                  <c:v>-336</c:v>
                </c:pt>
                <c:pt idx="11">
                  <c:v>-336</c:v>
                </c:pt>
                <c:pt idx="12">
                  <c:v>-336</c:v>
                </c:pt>
                <c:pt idx="13">
                  <c:v>-336</c:v>
                </c:pt>
                <c:pt idx="14">
                  <c:v>-336</c:v>
                </c:pt>
                <c:pt idx="15">
                  <c:v>-336</c:v>
                </c:pt>
                <c:pt idx="16">
                  <c:v>-336</c:v>
                </c:pt>
                <c:pt idx="17">
                  <c:v>-336</c:v>
                </c:pt>
                <c:pt idx="18">
                  <c:v>-336</c:v>
                </c:pt>
                <c:pt idx="19">
                  <c:v>-336</c:v>
                </c:pt>
                <c:pt idx="20">
                  <c:v>-336</c:v>
                </c:pt>
                <c:pt idx="21">
                  <c:v>-336</c:v>
                </c:pt>
                <c:pt idx="22">
                  <c:v>-336</c:v>
                </c:pt>
                <c:pt idx="23">
                  <c:v>-336</c:v>
                </c:pt>
                <c:pt idx="24">
                  <c:v>-336</c:v>
                </c:pt>
                <c:pt idx="25">
                  <c:v>-336</c:v>
                </c:pt>
                <c:pt idx="26">
                  <c:v>-63.999999999999943</c:v>
                </c:pt>
                <c:pt idx="27">
                  <c:v>-63.999999999999943</c:v>
                </c:pt>
                <c:pt idx="28">
                  <c:v>-63.999999999999943</c:v>
                </c:pt>
                <c:pt idx="29">
                  <c:v>-63.999999999999943</c:v>
                </c:pt>
                <c:pt idx="30">
                  <c:v>-63.999999999999943</c:v>
                </c:pt>
                <c:pt idx="31">
                  <c:v>-63.999999999999943</c:v>
                </c:pt>
                <c:pt idx="32">
                  <c:v>-63.999999999999943</c:v>
                </c:pt>
                <c:pt idx="33">
                  <c:v>-63.999999999999943</c:v>
                </c:pt>
                <c:pt idx="34">
                  <c:v>-63.999999999999943</c:v>
                </c:pt>
                <c:pt idx="35">
                  <c:v>224.00000000000011</c:v>
                </c:pt>
                <c:pt idx="36">
                  <c:v>224.00000000000011</c:v>
                </c:pt>
                <c:pt idx="37">
                  <c:v>224.00000000000011</c:v>
                </c:pt>
                <c:pt idx="38">
                  <c:v>224.00000000000011</c:v>
                </c:pt>
                <c:pt idx="39">
                  <c:v>224.00000000000011</c:v>
                </c:pt>
                <c:pt idx="40">
                  <c:v>224.00000000000011</c:v>
                </c:pt>
                <c:pt idx="41">
                  <c:v>224.00000000000011</c:v>
                </c:pt>
                <c:pt idx="42">
                  <c:v>224.00000000000011</c:v>
                </c:pt>
                <c:pt idx="43">
                  <c:v>224.00000000000011</c:v>
                </c:pt>
                <c:pt idx="44">
                  <c:v>224.00000000000011</c:v>
                </c:pt>
                <c:pt idx="45">
                  <c:v>416</c:v>
                </c:pt>
                <c:pt idx="46">
                  <c:v>416</c:v>
                </c:pt>
                <c:pt idx="47">
                  <c:v>1030.4000000000001</c:v>
                </c:pt>
                <c:pt idx="48">
                  <c:v>1030.4000000000001</c:v>
                </c:pt>
                <c:pt idx="49">
                  <c:v>1030.4000000000001</c:v>
                </c:pt>
                <c:pt idx="50">
                  <c:v>1030.4000000000001</c:v>
                </c:pt>
                <c:pt idx="51">
                  <c:v>1030.4000000000001</c:v>
                </c:pt>
                <c:pt idx="52">
                  <c:v>1030.4000000000001</c:v>
                </c:pt>
                <c:pt idx="53">
                  <c:v>1030.4000000000001</c:v>
                </c:pt>
                <c:pt idx="54">
                  <c:v>1030.4000000000001</c:v>
                </c:pt>
                <c:pt idx="55">
                  <c:v>1030.4000000000001</c:v>
                </c:pt>
                <c:pt idx="56">
                  <c:v>1030.4000000000001</c:v>
                </c:pt>
                <c:pt idx="57">
                  <c:v>1030.4000000000001</c:v>
                </c:pt>
                <c:pt idx="58">
                  <c:v>1030.4000000000001</c:v>
                </c:pt>
                <c:pt idx="59">
                  <c:v>1030.4000000000001</c:v>
                </c:pt>
                <c:pt idx="60">
                  <c:v>1030.4000000000001</c:v>
                </c:pt>
                <c:pt idx="61">
                  <c:v>1030.4000000000001</c:v>
                </c:pt>
                <c:pt idx="62">
                  <c:v>1030.4000000000001</c:v>
                </c:pt>
                <c:pt idx="63">
                  <c:v>1542.3999999999999</c:v>
                </c:pt>
                <c:pt idx="64">
                  <c:v>1542.3999999999999</c:v>
                </c:pt>
                <c:pt idx="65">
                  <c:v>1542.3999999999999</c:v>
                </c:pt>
                <c:pt idx="66">
                  <c:v>1542.3999999999999</c:v>
                </c:pt>
                <c:pt idx="67">
                  <c:v>1542.3999999999999</c:v>
                </c:pt>
                <c:pt idx="68">
                  <c:v>1542.3999999999999</c:v>
                </c:pt>
                <c:pt idx="69">
                  <c:v>1430.3999999999999</c:v>
                </c:pt>
                <c:pt idx="70">
                  <c:v>1782.3999999999999</c:v>
                </c:pt>
                <c:pt idx="71">
                  <c:v>1782.3999999999999</c:v>
                </c:pt>
                <c:pt idx="72">
                  <c:v>1782.3999999999999</c:v>
                </c:pt>
                <c:pt idx="73">
                  <c:v>1782.3999999999999</c:v>
                </c:pt>
                <c:pt idx="74">
                  <c:v>1782.3999999999999</c:v>
                </c:pt>
                <c:pt idx="75">
                  <c:v>1782.3999999999999</c:v>
                </c:pt>
                <c:pt idx="76">
                  <c:v>1782.3999999999999</c:v>
                </c:pt>
                <c:pt idx="77">
                  <c:v>1782.3999999999999</c:v>
                </c:pt>
                <c:pt idx="78">
                  <c:v>1782.3999999999999</c:v>
                </c:pt>
                <c:pt idx="79">
                  <c:v>1782.3999999999999</c:v>
                </c:pt>
                <c:pt idx="80">
                  <c:v>1782.3999999999999</c:v>
                </c:pt>
                <c:pt idx="81">
                  <c:v>1782.3999999999999</c:v>
                </c:pt>
                <c:pt idx="82">
                  <c:v>1782.3999999999999</c:v>
                </c:pt>
                <c:pt idx="83">
                  <c:v>1782.3999999999999</c:v>
                </c:pt>
                <c:pt idx="84">
                  <c:v>1782.3999999999999</c:v>
                </c:pt>
                <c:pt idx="85">
                  <c:v>1782.3999999999999</c:v>
                </c:pt>
                <c:pt idx="86">
                  <c:v>1782.3999999999999</c:v>
                </c:pt>
                <c:pt idx="87">
                  <c:v>1782.3999999999999</c:v>
                </c:pt>
                <c:pt idx="88">
                  <c:v>1782.3999999999999</c:v>
                </c:pt>
                <c:pt idx="89">
                  <c:v>1782.3999999999999</c:v>
                </c:pt>
                <c:pt idx="90">
                  <c:v>1782.3999999999999</c:v>
                </c:pt>
                <c:pt idx="91">
                  <c:v>1782.3999999999999</c:v>
                </c:pt>
                <c:pt idx="92">
                  <c:v>1782.3999999999999</c:v>
                </c:pt>
                <c:pt idx="93">
                  <c:v>1782.3999999999999</c:v>
                </c:pt>
                <c:pt idx="94">
                  <c:v>1782.3999999999999</c:v>
                </c:pt>
                <c:pt idx="95">
                  <c:v>3734.3999999999996</c:v>
                </c:pt>
                <c:pt idx="96">
                  <c:v>3734.3999999999996</c:v>
                </c:pt>
                <c:pt idx="97">
                  <c:v>3734.3999999999996</c:v>
                </c:pt>
                <c:pt idx="98">
                  <c:v>3734.3999999999996</c:v>
                </c:pt>
                <c:pt idx="99">
                  <c:v>3734.3999999999996</c:v>
                </c:pt>
                <c:pt idx="100">
                  <c:v>3734.3999999999996</c:v>
                </c:pt>
                <c:pt idx="101">
                  <c:v>3734.3999999999996</c:v>
                </c:pt>
                <c:pt idx="102">
                  <c:v>3734.3999999999996</c:v>
                </c:pt>
                <c:pt idx="103">
                  <c:v>3734.3999999999996</c:v>
                </c:pt>
                <c:pt idx="104">
                  <c:v>3734.3999999999996</c:v>
                </c:pt>
                <c:pt idx="105">
                  <c:v>3734.3999999999996</c:v>
                </c:pt>
                <c:pt idx="106">
                  <c:v>3734.3999999999996</c:v>
                </c:pt>
                <c:pt idx="107">
                  <c:v>3734.3999999999996</c:v>
                </c:pt>
                <c:pt idx="108">
                  <c:v>4054.3999999999996</c:v>
                </c:pt>
                <c:pt idx="109">
                  <c:v>4054.3999999999996</c:v>
                </c:pt>
                <c:pt idx="110">
                  <c:v>4054.3999999999996</c:v>
                </c:pt>
                <c:pt idx="111">
                  <c:v>4054.3999999999996</c:v>
                </c:pt>
                <c:pt idx="112">
                  <c:v>4054.3999999999996</c:v>
                </c:pt>
                <c:pt idx="113">
                  <c:v>4054.3999999999996</c:v>
                </c:pt>
                <c:pt idx="114">
                  <c:v>4054.3999999999996</c:v>
                </c:pt>
                <c:pt idx="115">
                  <c:v>4054.3999999999996</c:v>
                </c:pt>
                <c:pt idx="116">
                  <c:v>4054.3999999999996</c:v>
                </c:pt>
                <c:pt idx="117">
                  <c:v>4054.3999999999996</c:v>
                </c:pt>
                <c:pt idx="118">
                  <c:v>4054.3999999999996</c:v>
                </c:pt>
                <c:pt idx="119">
                  <c:v>4054.3999999999996</c:v>
                </c:pt>
                <c:pt idx="120">
                  <c:v>4054.3999999999996</c:v>
                </c:pt>
                <c:pt idx="121">
                  <c:v>4054.3999999999996</c:v>
                </c:pt>
                <c:pt idx="122">
                  <c:v>4054.3999999999996</c:v>
                </c:pt>
                <c:pt idx="123">
                  <c:v>4054.3999999999996</c:v>
                </c:pt>
                <c:pt idx="124">
                  <c:v>4054.3999999999996</c:v>
                </c:pt>
                <c:pt idx="125">
                  <c:v>4054.3999999999996</c:v>
                </c:pt>
                <c:pt idx="126">
                  <c:v>4054.3999999999996</c:v>
                </c:pt>
                <c:pt idx="127">
                  <c:v>4054.3999999999996</c:v>
                </c:pt>
                <c:pt idx="128">
                  <c:v>4054.3999999999996</c:v>
                </c:pt>
                <c:pt idx="129">
                  <c:v>4054.3999999999996</c:v>
                </c:pt>
                <c:pt idx="130">
                  <c:v>4054.3999999999996</c:v>
                </c:pt>
                <c:pt idx="131">
                  <c:v>4054.3999999999996</c:v>
                </c:pt>
                <c:pt idx="132">
                  <c:v>4054.3999999999996</c:v>
                </c:pt>
                <c:pt idx="133">
                  <c:v>4054.3999999999996</c:v>
                </c:pt>
                <c:pt idx="134">
                  <c:v>4054.3999999999996</c:v>
                </c:pt>
                <c:pt idx="135">
                  <c:v>4054.3999999999996</c:v>
                </c:pt>
                <c:pt idx="136">
                  <c:v>4054.3999999999996</c:v>
                </c:pt>
                <c:pt idx="137">
                  <c:v>3750.3999999999996</c:v>
                </c:pt>
                <c:pt idx="138">
                  <c:v>3750.3999999999996</c:v>
                </c:pt>
                <c:pt idx="139">
                  <c:v>3750.3999999999996</c:v>
                </c:pt>
                <c:pt idx="140">
                  <c:v>4644.3999999999996</c:v>
                </c:pt>
                <c:pt idx="141">
                  <c:v>4644.3999999999996</c:v>
                </c:pt>
                <c:pt idx="142">
                  <c:v>4644.3999999999996</c:v>
                </c:pt>
                <c:pt idx="143">
                  <c:v>4644.3999999999996</c:v>
                </c:pt>
                <c:pt idx="144">
                  <c:v>4644.3999999999996</c:v>
                </c:pt>
                <c:pt idx="145">
                  <c:v>4644.3999999999996</c:v>
                </c:pt>
                <c:pt idx="146">
                  <c:v>4644.3999999999996</c:v>
                </c:pt>
                <c:pt idx="147">
                  <c:v>4644.3999999999996</c:v>
                </c:pt>
                <c:pt idx="148">
                  <c:v>4644.3999999999996</c:v>
                </c:pt>
                <c:pt idx="149">
                  <c:v>4644.3999999999996</c:v>
                </c:pt>
                <c:pt idx="150">
                  <c:v>4644.3999999999996</c:v>
                </c:pt>
                <c:pt idx="151">
                  <c:v>4644.3999999999996</c:v>
                </c:pt>
                <c:pt idx="152">
                  <c:v>4644.3999999999996</c:v>
                </c:pt>
                <c:pt idx="153">
                  <c:v>4644.3999999999996</c:v>
                </c:pt>
                <c:pt idx="154">
                  <c:v>4644.3999999999996</c:v>
                </c:pt>
                <c:pt idx="155">
                  <c:v>4644.3999999999996</c:v>
                </c:pt>
                <c:pt idx="156">
                  <c:v>4644.3999999999996</c:v>
                </c:pt>
                <c:pt idx="157">
                  <c:v>7076.4000000000005</c:v>
                </c:pt>
                <c:pt idx="158">
                  <c:v>7076.4000000000005</c:v>
                </c:pt>
                <c:pt idx="159">
                  <c:v>7076.4000000000005</c:v>
                </c:pt>
                <c:pt idx="160">
                  <c:v>7076.4000000000005</c:v>
                </c:pt>
                <c:pt idx="161">
                  <c:v>7076.4000000000005</c:v>
                </c:pt>
                <c:pt idx="162">
                  <c:v>7076.4000000000005</c:v>
                </c:pt>
                <c:pt idx="163">
                  <c:v>7076.4000000000005</c:v>
                </c:pt>
                <c:pt idx="164">
                  <c:v>7076.4000000000005</c:v>
                </c:pt>
                <c:pt idx="165">
                  <c:v>7076.4000000000005</c:v>
                </c:pt>
                <c:pt idx="166">
                  <c:v>7076.4000000000005</c:v>
                </c:pt>
                <c:pt idx="167">
                  <c:v>7076.4000000000005</c:v>
                </c:pt>
                <c:pt idx="168">
                  <c:v>7076.4000000000005</c:v>
                </c:pt>
                <c:pt idx="169">
                  <c:v>7476.4</c:v>
                </c:pt>
                <c:pt idx="170">
                  <c:v>7476.4</c:v>
                </c:pt>
                <c:pt idx="171">
                  <c:v>7476.4</c:v>
                </c:pt>
                <c:pt idx="172">
                  <c:v>7476.4</c:v>
                </c:pt>
                <c:pt idx="173">
                  <c:v>7476.4</c:v>
                </c:pt>
                <c:pt idx="174">
                  <c:v>7476.4</c:v>
                </c:pt>
                <c:pt idx="175">
                  <c:v>7476.4</c:v>
                </c:pt>
                <c:pt idx="176">
                  <c:v>7476.4</c:v>
                </c:pt>
                <c:pt idx="177">
                  <c:v>8628.4</c:v>
                </c:pt>
                <c:pt idx="178">
                  <c:v>8628.4</c:v>
                </c:pt>
                <c:pt idx="179">
                  <c:v>7028.4</c:v>
                </c:pt>
                <c:pt idx="180">
                  <c:v>8628.4</c:v>
                </c:pt>
                <c:pt idx="181">
                  <c:v>8628.4</c:v>
                </c:pt>
                <c:pt idx="182">
                  <c:v>8628.4</c:v>
                </c:pt>
                <c:pt idx="183">
                  <c:v>8628.4</c:v>
                </c:pt>
                <c:pt idx="184">
                  <c:v>8628.4</c:v>
                </c:pt>
                <c:pt idx="185">
                  <c:v>8628.4</c:v>
                </c:pt>
                <c:pt idx="186">
                  <c:v>8628.4</c:v>
                </c:pt>
                <c:pt idx="187">
                  <c:v>8628.4</c:v>
                </c:pt>
                <c:pt idx="188">
                  <c:v>8628.4</c:v>
                </c:pt>
                <c:pt idx="189">
                  <c:v>8628.4</c:v>
                </c:pt>
                <c:pt idx="190">
                  <c:v>8628.4</c:v>
                </c:pt>
                <c:pt idx="191">
                  <c:v>8628.4</c:v>
                </c:pt>
                <c:pt idx="192">
                  <c:v>7028.4</c:v>
                </c:pt>
                <c:pt idx="193">
                  <c:v>8628.4</c:v>
                </c:pt>
                <c:pt idx="194">
                  <c:v>8628.4</c:v>
                </c:pt>
                <c:pt idx="195">
                  <c:v>7028.4</c:v>
                </c:pt>
                <c:pt idx="196">
                  <c:v>7028.4</c:v>
                </c:pt>
                <c:pt idx="197">
                  <c:v>7028.4</c:v>
                </c:pt>
                <c:pt idx="198">
                  <c:v>7028.4</c:v>
                </c:pt>
                <c:pt idx="199">
                  <c:v>7028.4</c:v>
                </c:pt>
                <c:pt idx="200">
                  <c:v>7028.4</c:v>
                </c:pt>
                <c:pt idx="201">
                  <c:v>7028.4</c:v>
                </c:pt>
                <c:pt idx="202">
                  <c:v>7028.4</c:v>
                </c:pt>
                <c:pt idx="203">
                  <c:v>7028.4</c:v>
                </c:pt>
                <c:pt idx="204">
                  <c:v>7028.4</c:v>
                </c:pt>
                <c:pt idx="205">
                  <c:v>7028.4</c:v>
                </c:pt>
                <c:pt idx="206">
                  <c:v>7028.4</c:v>
                </c:pt>
                <c:pt idx="207">
                  <c:v>7028.4</c:v>
                </c:pt>
                <c:pt idx="208">
                  <c:v>7028.4</c:v>
                </c:pt>
                <c:pt idx="209">
                  <c:v>7028.4</c:v>
                </c:pt>
                <c:pt idx="210">
                  <c:v>7028.4</c:v>
                </c:pt>
                <c:pt idx="211">
                  <c:v>7028.4</c:v>
                </c:pt>
                <c:pt idx="212">
                  <c:v>7028.4</c:v>
                </c:pt>
                <c:pt idx="213">
                  <c:v>7028.4</c:v>
                </c:pt>
                <c:pt idx="214">
                  <c:v>7028.4</c:v>
                </c:pt>
                <c:pt idx="215">
                  <c:v>7028.4</c:v>
                </c:pt>
                <c:pt idx="216">
                  <c:v>7028.4</c:v>
                </c:pt>
                <c:pt idx="217">
                  <c:v>7028.4</c:v>
                </c:pt>
                <c:pt idx="218">
                  <c:v>7028.4</c:v>
                </c:pt>
                <c:pt idx="219">
                  <c:v>7028.4</c:v>
                </c:pt>
                <c:pt idx="220">
                  <c:v>7028.4</c:v>
                </c:pt>
                <c:pt idx="221">
                  <c:v>7028.4</c:v>
                </c:pt>
                <c:pt idx="222">
                  <c:v>7028.4</c:v>
                </c:pt>
                <c:pt idx="223">
                  <c:v>7028.4</c:v>
                </c:pt>
                <c:pt idx="224">
                  <c:v>7028.4</c:v>
                </c:pt>
                <c:pt idx="225">
                  <c:v>7028.4</c:v>
                </c:pt>
                <c:pt idx="226">
                  <c:v>7028.4</c:v>
                </c:pt>
                <c:pt idx="227">
                  <c:v>7028.4</c:v>
                </c:pt>
                <c:pt idx="228">
                  <c:v>7028.4</c:v>
                </c:pt>
                <c:pt idx="229">
                  <c:v>7028.4</c:v>
                </c:pt>
                <c:pt idx="230">
                  <c:v>7028.4</c:v>
                </c:pt>
                <c:pt idx="231">
                  <c:v>7028.4</c:v>
                </c:pt>
                <c:pt idx="232">
                  <c:v>7028.4</c:v>
                </c:pt>
                <c:pt idx="233">
                  <c:v>7028.4</c:v>
                </c:pt>
                <c:pt idx="234">
                  <c:v>7028.4</c:v>
                </c:pt>
                <c:pt idx="235">
                  <c:v>7028.4</c:v>
                </c:pt>
                <c:pt idx="236">
                  <c:v>7028.4</c:v>
                </c:pt>
                <c:pt idx="237">
                  <c:v>7028.4</c:v>
                </c:pt>
                <c:pt idx="238">
                  <c:v>7028.4</c:v>
                </c:pt>
                <c:pt idx="239">
                  <c:v>7028.4</c:v>
                </c:pt>
                <c:pt idx="240">
                  <c:v>7028.4</c:v>
                </c:pt>
                <c:pt idx="241">
                  <c:v>7028.4</c:v>
                </c:pt>
                <c:pt idx="242">
                  <c:v>7028.4</c:v>
                </c:pt>
                <c:pt idx="243">
                  <c:v>7028.4</c:v>
                </c:pt>
                <c:pt idx="244">
                  <c:v>7028.4</c:v>
                </c:pt>
                <c:pt idx="245">
                  <c:v>7028.4</c:v>
                </c:pt>
                <c:pt idx="246">
                  <c:v>7028.4</c:v>
                </c:pt>
                <c:pt idx="247">
                  <c:v>7028.4</c:v>
                </c:pt>
                <c:pt idx="248">
                  <c:v>7028.4</c:v>
                </c:pt>
                <c:pt idx="249">
                  <c:v>7028.4</c:v>
                </c:pt>
                <c:pt idx="250">
                  <c:v>7028.4</c:v>
                </c:pt>
                <c:pt idx="251">
                  <c:v>7028.4</c:v>
                </c:pt>
                <c:pt idx="252">
                  <c:v>7028.4</c:v>
                </c:pt>
                <c:pt idx="253">
                  <c:v>7028.4</c:v>
                </c:pt>
                <c:pt idx="254">
                  <c:v>7028.4</c:v>
                </c:pt>
                <c:pt idx="255">
                  <c:v>7028.4</c:v>
                </c:pt>
                <c:pt idx="256">
                  <c:v>7028.4</c:v>
                </c:pt>
                <c:pt idx="257">
                  <c:v>7028.4</c:v>
                </c:pt>
                <c:pt idx="258">
                  <c:v>7028.4</c:v>
                </c:pt>
                <c:pt idx="259">
                  <c:v>7028.4</c:v>
                </c:pt>
                <c:pt idx="260">
                  <c:v>7028.4</c:v>
                </c:pt>
                <c:pt idx="261">
                  <c:v>7028.4</c:v>
                </c:pt>
                <c:pt idx="262">
                  <c:v>7028.4</c:v>
                </c:pt>
                <c:pt idx="263">
                  <c:v>7028.4</c:v>
                </c:pt>
                <c:pt idx="264">
                  <c:v>7028.4</c:v>
                </c:pt>
                <c:pt idx="265">
                  <c:v>7028.4</c:v>
                </c:pt>
                <c:pt idx="266">
                  <c:v>9588.4</c:v>
                </c:pt>
                <c:pt idx="267">
                  <c:v>9588.4</c:v>
                </c:pt>
                <c:pt idx="268">
                  <c:v>9588.4</c:v>
                </c:pt>
                <c:pt idx="269">
                  <c:v>9588.4</c:v>
                </c:pt>
                <c:pt idx="270">
                  <c:v>9588.4</c:v>
                </c:pt>
                <c:pt idx="271">
                  <c:v>9588.4</c:v>
                </c:pt>
                <c:pt idx="272">
                  <c:v>9588.4</c:v>
                </c:pt>
                <c:pt idx="273">
                  <c:v>9588.4</c:v>
                </c:pt>
                <c:pt idx="274">
                  <c:v>9588.4</c:v>
                </c:pt>
                <c:pt idx="275">
                  <c:v>9588.4</c:v>
                </c:pt>
                <c:pt idx="276">
                  <c:v>9588.4</c:v>
                </c:pt>
                <c:pt idx="277">
                  <c:v>9588.4</c:v>
                </c:pt>
                <c:pt idx="278">
                  <c:v>9588.4</c:v>
                </c:pt>
                <c:pt idx="279">
                  <c:v>9588.4</c:v>
                </c:pt>
                <c:pt idx="280">
                  <c:v>9588.4</c:v>
                </c:pt>
                <c:pt idx="281">
                  <c:v>9588.4</c:v>
                </c:pt>
                <c:pt idx="282">
                  <c:v>9588.4</c:v>
                </c:pt>
                <c:pt idx="283">
                  <c:v>9588.4</c:v>
                </c:pt>
                <c:pt idx="284">
                  <c:v>9588.4</c:v>
                </c:pt>
                <c:pt idx="285">
                  <c:v>9588.4</c:v>
                </c:pt>
                <c:pt idx="286">
                  <c:v>9588.4</c:v>
                </c:pt>
                <c:pt idx="287">
                  <c:v>9588.4</c:v>
                </c:pt>
                <c:pt idx="288">
                  <c:v>9588.4</c:v>
                </c:pt>
                <c:pt idx="289">
                  <c:v>12708.4</c:v>
                </c:pt>
                <c:pt idx="290">
                  <c:v>12708.4</c:v>
                </c:pt>
                <c:pt idx="291">
                  <c:v>12708.4</c:v>
                </c:pt>
                <c:pt idx="292">
                  <c:v>12708.4</c:v>
                </c:pt>
                <c:pt idx="293">
                  <c:v>12708.4</c:v>
                </c:pt>
                <c:pt idx="294">
                  <c:v>12708.4</c:v>
                </c:pt>
                <c:pt idx="295">
                  <c:v>12708.4</c:v>
                </c:pt>
                <c:pt idx="296">
                  <c:v>12708.4</c:v>
                </c:pt>
                <c:pt idx="297">
                  <c:v>12708.4</c:v>
                </c:pt>
                <c:pt idx="298">
                  <c:v>12708.4</c:v>
                </c:pt>
                <c:pt idx="299">
                  <c:v>12708.4</c:v>
                </c:pt>
                <c:pt idx="300">
                  <c:v>12708.4</c:v>
                </c:pt>
                <c:pt idx="301">
                  <c:v>12708.4</c:v>
                </c:pt>
                <c:pt idx="302">
                  <c:v>12708.4</c:v>
                </c:pt>
                <c:pt idx="303">
                  <c:v>12708.4</c:v>
                </c:pt>
                <c:pt idx="304">
                  <c:v>12708.4</c:v>
                </c:pt>
                <c:pt idx="305">
                  <c:v>12708.4</c:v>
                </c:pt>
                <c:pt idx="306">
                  <c:v>12708.4</c:v>
                </c:pt>
                <c:pt idx="307">
                  <c:v>12708.4</c:v>
                </c:pt>
                <c:pt idx="308">
                  <c:v>12708.4</c:v>
                </c:pt>
                <c:pt idx="309">
                  <c:v>12708.4</c:v>
                </c:pt>
                <c:pt idx="310">
                  <c:v>12708.4</c:v>
                </c:pt>
                <c:pt idx="311">
                  <c:v>12708.4</c:v>
                </c:pt>
                <c:pt idx="312">
                  <c:v>12708.4</c:v>
                </c:pt>
                <c:pt idx="313">
                  <c:v>12708.4</c:v>
                </c:pt>
                <c:pt idx="314">
                  <c:v>12708.4</c:v>
                </c:pt>
                <c:pt idx="315">
                  <c:v>12708.4</c:v>
                </c:pt>
                <c:pt idx="316">
                  <c:v>12708.4</c:v>
                </c:pt>
                <c:pt idx="317">
                  <c:v>12708.4</c:v>
                </c:pt>
                <c:pt idx="318">
                  <c:v>12708.4</c:v>
                </c:pt>
                <c:pt idx="319">
                  <c:v>12708.4</c:v>
                </c:pt>
                <c:pt idx="320">
                  <c:v>12708.4</c:v>
                </c:pt>
                <c:pt idx="321">
                  <c:v>12708.4</c:v>
                </c:pt>
                <c:pt idx="322">
                  <c:v>12708.4</c:v>
                </c:pt>
                <c:pt idx="323">
                  <c:v>12708.4</c:v>
                </c:pt>
                <c:pt idx="324">
                  <c:v>12708.4</c:v>
                </c:pt>
                <c:pt idx="325">
                  <c:v>12708.4</c:v>
                </c:pt>
                <c:pt idx="326">
                  <c:v>12708.4</c:v>
                </c:pt>
                <c:pt idx="327">
                  <c:v>12708.4</c:v>
                </c:pt>
                <c:pt idx="328">
                  <c:v>12708.4</c:v>
                </c:pt>
                <c:pt idx="329">
                  <c:v>12708.4</c:v>
                </c:pt>
                <c:pt idx="330">
                  <c:v>12708.4</c:v>
                </c:pt>
                <c:pt idx="331">
                  <c:v>14548.4</c:v>
                </c:pt>
                <c:pt idx="332">
                  <c:v>16068.4</c:v>
                </c:pt>
                <c:pt idx="333">
                  <c:v>16068.4</c:v>
                </c:pt>
                <c:pt idx="334">
                  <c:v>16068.4</c:v>
                </c:pt>
                <c:pt idx="335">
                  <c:v>16068.4</c:v>
                </c:pt>
                <c:pt idx="336">
                  <c:v>16068.4</c:v>
                </c:pt>
                <c:pt idx="337">
                  <c:v>16068.4</c:v>
                </c:pt>
                <c:pt idx="338">
                  <c:v>16068.4</c:v>
                </c:pt>
                <c:pt idx="339">
                  <c:v>16068.4</c:v>
                </c:pt>
                <c:pt idx="340">
                  <c:v>16068.4</c:v>
                </c:pt>
                <c:pt idx="341">
                  <c:v>16068.4</c:v>
                </c:pt>
                <c:pt idx="342">
                  <c:v>16068.4</c:v>
                </c:pt>
                <c:pt idx="343">
                  <c:v>16068.4</c:v>
                </c:pt>
                <c:pt idx="344">
                  <c:v>16068.4</c:v>
                </c:pt>
                <c:pt idx="345">
                  <c:v>16068.4</c:v>
                </c:pt>
                <c:pt idx="346">
                  <c:v>16068.4</c:v>
                </c:pt>
                <c:pt idx="347">
                  <c:v>16068.4</c:v>
                </c:pt>
                <c:pt idx="348">
                  <c:v>16068.4</c:v>
                </c:pt>
                <c:pt idx="349">
                  <c:v>16068.4</c:v>
                </c:pt>
                <c:pt idx="350">
                  <c:v>16068.4</c:v>
                </c:pt>
                <c:pt idx="351">
                  <c:v>16068.4</c:v>
                </c:pt>
                <c:pt idx="352">
                  <c:v>16068.4</c:v>
                </c:pt>
                <c:pt idx="353">
                  <c:v>16068.4</c:v>
                </c:pt>
                <c:pt idx="354">
                  <c:v>16068.4</c:v>
                </c:pt>
                <c:pt idx="355">
                  <c:v>16068.4</c:v>
                </c:pt>
                <c:pt idx="356">
                  <c:v>16068.4</c:v>
                </c:pt>
                <c:pt idx="357">
                  <c:v>16068.4</c:v>
                </c:pt>
                <c:pt idx="358">
                  <c:v>16068.4</c:v>
                </c:pt>
                <c:pt idx="359">
                  <c:v>16068.4</c:v>
                </c:pt>
                <c:pt idx="360">
                  <c:v>16068.4</c:v>
                </c:pt>
                <c:pt idx="361">
                  <c:v>16068.4</c:v>
                </c:pt>
                <c:pt idx="362">
                  <c:v>16068.4</c:v>
                </c:pt>
                <c:pt idx="363">
                  <c:v>19188.400000000001</c:v>
                </c:pt>
                <c:pt idx="364">
                  <c:v>19188.400000000001</c:v>
                </c:pt>
                <c:pt idx="365">
                  <c:v>19188.400000000001</c:v>
                </c:pt>
                <c:pt idx="366">
                  <c:v>19188.400000000001</c:v>
                </c:pt>
                <c:pt idx="367">
                  <c:v>19188.400000000001</c:v>
                </c:pt>
                <c:pt idx="368">
                  <c:v>18868.400000000001</c:v>
                </c:pt>
                <c:pt idx="369">
                  <c:v>18868.400000000001</c:v>
                </c:pt>
                <c:pt idx="370">
                  <c:v>18868.400000000001</c:v>
                </c:pt>
                <c:pt idx="371">
                  <c:v>18868.400000000001</c:v>
                </c:pt>
                <c:pt idx="372">
                  <c:v>18868.400000000001</c:v>
                </c:pt>
                <c:pt idx="373">
                  <c:v>18868.400000000001</c:v>
                </c:pt>
                <c:pt idx="374">
                  <c:v>18868.400000000001</c:v>
                </c:pt>
                <c:pt idx="375">
                  <c:v>18868.400000000001</c:v>
                </c:pt>
                <c:pt idx="376">
                  <c:v>18868.400000000001</c:v>
                </c:pt>
                <c:pt idx="377">
                  <c:v>18868.400000000001</c:v>
                </c:pt>
                <c:pt idx="378">
                  <c:v>18868.400000000001</c:v>
                </c:pt>
                <c:pt idx="379">
                  <c:v>18868.400000000001</c:v>
                </c:pt>
                <c:pt idx="380">
                  <c:v>18868.400000000001</c:v>
                </c:pt>
                <c:pt idx="381">
                  <c:v>18868.400000000001</c:v>
                </c:pt>
                <c:pt idx="382">
                  <c:v>18548.400000000001</c:v>
                </c:pt>
                <c:pt idx="383">
                  <c:v>18548.400000000001</c:v>
                </c:pt>
                <c:pt idx="384">
                  <c:v>18548.400000000001</c:v>
                </c:pt>
                <c:pt idx="385">
                  <c:v>18548.400000000001</c:v>
                </c:pt>
                <c:pt idx="386">
                  <c:v>18548.400000000001</c:v>
                </c:pt>
                <c:pt idx="387">
                  <c:v>18548.400000000001</c:v>
                </c:pt>
                <c:pt idx="388">
                  <c:v>18548.400000000001</c:v>
                </c:pt>
                <c:pt idx="389">
                  <c:v>18548.400000000001</c:v>
                </c:pt>
                <c:pt idx="390">
                  <c:v>18548.400000000001</c:v>
                </c:pt>
                <c:pt idx="391">
                  <c:v>18548.400000000001</c:v>
                </c:pt>
                <c:pt idx="392">
                  <c:v>18548.400000000001</c:v>
                </c:pt>
                <c:pt idx="393">
                  <c:v>18548.400000000001</c:v>
                </c:pt>
                <c:pt idx="394">
                  <c:v>18548.400000000001</c:v>
                </c:pt>
                <c:pt idx="395">
                  <c:v>18548.400000000001</c:v>
                </c:pt>
                <c:pt idx="396">
                  <c:v>18548.400000000001</c:v>
                </c:pt>
                <c:pt idx="397">
                  <c:v>17908.400000000001</c:v>
                </c:pt>
                <c:pt idx="398">
                  <c:v>17908.400000000001</c:v>
                </c:pt>
                <c:pt idx="399">
                  <c:v>17908.400000000001</c:v>
                </c:pt>
                <c:pt idx="400">
                  <c:v>17908.400000000001</c:v>
                </c:pt>
                <c:pt idx="401">
                  <c:v>17908.400000000001</c:v>
                </c:pt>
                <c:pt idx="402">
                  <c:v>17908.400000000001</c:v>
                </c:pt>
                <c:pt idx="403">
                  <c:v>17908.400000000001</c:v>
                </c:pt>
                <c:pt idx="404">
                  <c:v>17908.400000000001</c:v>
                </c:pt>
                <c:pt idx="405">
                  <c:v>17908.400000000001</c:v>
                </c:pt>
                <c:pt idx="406">
                  <c:v>17908.400000000001</c:v>
                </c:pt>
                <c:pt idx="407">
                  <c:v>17908.400000000001</c:v>
                </c:pt>
                <c:pt idx="408">
                  <c:v>17908.400000000001</c:v>
                </c:pt>
                <c:pt idx="409">
                  <c:v>17908.400000000001</c:v>
                </c:pt>
                <c:pt idx="410">
                  <c:v>17908.400000000001</c:v>
                </c:pt>
                <c:pt idx="411">
                  <c:v>17908.400000000001</c:v>
                </c:pt>
                <c:pt idx="412">
                  <c:v>17908.400000000001</c:v>
                </c:pt>
                <c:pt idx="413">
                  <c:v>17908.400000000001</c:v>
                </c:pt>
                <c:pt idx="414">
                  <c:v>18388.400000000001</c:v>
                </c:pt>
                <c:pt idx="415">
                  <c:v>18388.400000000001</c:v>
                </c:pt>
                <c:pt idx="416">
                  <c:v>18388.400000000001</c:v>
                </c:pt>
                <c:pt idx="417">
                  <c:v>18388.400000000001</c:v>
                </c:pt>
                <c:pt idx="418">
                  <c:v>18388.400000000001</c:v>
                </c:pt>
                <c:pt idx="419">
                  <c:v>18388.400000000001</c:v>
                </c:pt>
                <c:pt idx="420">
                  <c:v>18868.400000000001</c:v>
                </c:pt>
                <c:pt idx="421">
                  <c:v>18868.400000000001</c:v>
                </c:pt>
                <c:pt idx="422">
                  <c:v>18868.400000000001</c:v>
                </c:pt>
                <c:pt idx="423">
                  <c:v>18868.400000000001</c:v>
                </c:pt>
                <c:pt idx="424">
                  <c:v>18868.400000000001</c:v>
                </c:pt>
                <c:pt idx="425">
                  <c:v>18868.400000000001</c:v>
                </c:pt>
                <c:pt idx="426">
                  <c:v>18868.400000000001</c:v>
                </c:pt>
                <c:pt idx="427">
                  <c:v>18548.400000000001</c:v>
                </c:pt>
                <c:pt idx="428">
                  <c:v>18548.400000000001</c:v>
                </c:pt>
                <c:pt idx="429">
                  <c:v>18548.400000000001</c:v>
                </c:pt>
                <c:pt idx="430">
                  <c:v>18548.400000000001</c:v>
                </c:pt>
                <c:pt idx="431">
                  <c:v>18548.400000000001</c:v>
                </c:pt>
                <c:pt idx="432">
                  <c:v>18548.400000000001</c:v>
                </c:pt>
                <c:pt idx="433">
                  <c:v>18548.400000000001</c:v>
                </c:pt>
                <c:pt idx="434">
                  <c:v>18548.400000000001</c:v>
                </c:pt>
                <c:pt idx="435">
                  <c:v>18548.400000000001</c:v>
                </c:pt>
                <c:pt idx="436">
                  <c:v>18548.400000000001</c:v>
                </c:pt>
                <c:pt idx="437">
                  <c:v>18548.400000000001</c:v>
                </c:pt>
                <c:pt idx="438">
                  <c:v>18548.400000000001</c:v>
                </c:pt>
                <c:pt idx="439">
                  <c:v>18548.400000000001</c:v>
                </c:pt>
                <c:pt idx="440">
                  <c:v>18548.400000000001</c:v>
                </c:pt>
                <c:pt idx="441">
                  <c:v>18548.400000000001</c:v>
                </c:pt>
                <c:pt idx="442">
                  <c:v>19348.400000000001</c:v>
                </c:pt>
                <c:pt idx="443">
                  <c:v>19348.400000000001</c:v>
                </c:pt>
                <c:pt idx="444">
                  <c:v>20228.400000000001</c:v>
                </c:pt>
                <c:pt idx="445">
                  <c:v>20228.400000000001</c:v>
                </c:pt>
                <c:pt idx="446">
                  <c:v>20228.400000000001</c:v>
                </c:pt>
                <c:pt idx="447">
                  <c:v>21428.400000000001</c:v>
                </c:pt>
                <c:pt idx="448">
                  <c:v>21428.400000000001</c:v>
                </c:pt>
                <c:pt idx="449">
                  <c:v>21428.400000000001</c:v>
                </c:pt>
                <c:pt idx="450">
                  <c:v>21428.400000000001</c:v>
                </c:pt>
                <c:pt idx="451">
                  <c:v>21428.400000000001</c:v>
                </c:pt>
                <c:pt idx="452">
                  <c:v>21428.400000000001</c:v>
                </c:pt>
                <c:pt idx="453">
                  <c:v>21428.400000000001</c:v>
                </c:pt>
                <c:pt idx="454">
                  <c:v>21428.400000000001</c:v>
                </c:pt>
                <c:pt idx="455">
                  <c:v>21428.400000000001</c:v>
                </c:pt>
                <c:pt idx="456">
                  <c:v>21428.400000000001</c:v>
                </c:pt>
                <c:pt idx="457">
                  <c:v>21428.400000000001</c:v>
                </c:pt>
                <c:pt idx="458">
                  <c:v>21428.400000000001</c:v>
                </c:pt>
                <c:pt idx="459">
                  <c:v>21428.400000000001</c:v>
                </c:pt>
                <c:pt idx="460">
                  <c:v>21428.400000000001</c:v>
                </c:pt>
                <c:pt idx="461">
                  <c:v>21428.400000000001</c:v>
                </c:pt>
                <c:pt idx="462">
                  <c:v>21428.400000000001</c:v>
                </c:pt>
                <c:pt idx="463">
                  <c:v>21428.400000000001</c:v>
                </c:pt>
                <c:pt idx="464">
                  <c:v>21428.400000000001</c:v>
                </c:pt>
                <c:pt idx="465">
                  <c:v>21428.400000000001</c:v>
                </c:pt>
                <c:pt idx="466">
                  <c:v>21428.400000000001</c:v>
                </c:pt>
                <c:pt idx="467">
                  <c:v>21428.400000000001</c:v>
                </c:pt>
                <c:pt idx="468">
                  <c:v>21428.400000000001</c:v>
                </c:pt>
                <c:pt idx="469">
                  <c:v>21428.400000000001</c:v>
                </c:pt>
                <c:pt idx="470">
                  <c:v>21428.400000000001</c:v>
                </c:pt>
                <c:pt idx="471">
                  <c:v>21428.400000000001</c:v>
                </c:pt>
                <c:pt idx="472">
                  <c:v>21428.400000000001</c:v>
                </c:pt>
                <c:pt idx="473">
                  <c:v>21428.400000000001</c:v>
                </c:pt>
                <c:pt idx="474">
                  <c:v>21428.400000000001</c:v>
                </c:pt>
                <c:pt idx="475">
                  <c:v>21428.400000000001</c:v>
                </c:pt>
                <c:pt idx="476">
                  <c:v>21428.400000000001</c:v>
                </c:pt>
                <c:pt idx="477">
                  <c:v>21428.400000000001</c:v>
                </c:pt>
                <c:pt idx="478">
                  <c:v>21428.400000000001</c:v>
                </c:pt>
                <c:pt idx="479">
                  <c:v>21428.400000000001</c:v>
                </c:pt>
                <c:pt idx="480">
                  <c:v>21428.400000000001</c:v>
                </c:pt>
                <c:pt idx="481">
                  <c:v>21428.400000000001</c:v>
                </c:pt>
                <c:pt idx="482">
                  <c:v>19028.400000000001</c:v>
                </c:pt>
                <c:pt idx="483">
                  <c:v>16228.4</c:v>
                </c:pt>
                <c:pt idx="484">
                  <c:v>13028.399999999998</c:v>
                </c:pt>
                <c:pt idx="485">
                  <c:v>13028.399999999998</c:v>
                </c:pt>
                <c:pt idx="486">
                  <c:v>13028.399999999998</c:v>
                </c:pt>
                <c:pt idx="487">
                  <c:v>13028.399999999998</c:v>
                </c:pt>
                <c:pt idx="488">
                  <c:v>13028.399999999998</c:v>
                </c:pt>
                <c:pt idx="489">
                  <c:v>13028.399999999998</c:v>
                </c:pt>
                <c:pt idx="490">
                  <c:v>13028.399999999998</c:v>
                </c:pt>
                <c:pt idx="491">
                  <c:v>13028.399999999998</c:v>
                </c:pt>
                <c:pt idx="492">
                  <c:v>13028.399999999998</c:v>
                </c:pt>
                <c:pt idx="493">
                  <c:v>13028.399999999998</c:v>
                </c:pt>
                <c:pt idx="494">
                  <c:v>13028.399999999998</c:v>
                </c:pt>
                <c:pt idx="495">
                  <c:v>13028.399999999998</c:v>
                </c:pt>
                <c:pt idx="496">
                  <c:v>13028.399999999998</c:v>
                </c:pt>
                <c:pt idx="497">
                  <c:v>13028.399999999998</c:v>
                </c:pt>
                <c:pt idx="498">
                  <c:v>15307.257142857139</c:v>
                </c:pt>
                <c:pt idx="499">
                  <c:v>16507.257142857139</c:v>
                </c:pt>
                <c:pt idx="500">
                  <c:v>16507.257142857139</c:v>
                </c:pt>
                <c:pt idx="501">
                  <c:v>16507.257142857139</c:v>
                </c:pt>
                <c:pt idx="502">
                  <c:v>16507.257142857139</c:v>
                </c:pt>
                <c:pt idx="503">
                  <c:v>16507.257142857139</c:v>
                </c:pt>
                <c:pt idx="504">
                  <c:v>16507.257142857139</c:v>
                </c:pt>
                <c:pt idx="505">
                  <c:v>17467.257142857139</c:v>
                </c:pt>
                <c:pt idx="506">
                  <c:v>19435.257142857139</c:v>
                </c:pt>
                <c:pt idx="507">
                  <c:v>19435.257142857139</c:v>
                </c:pt>
                <c:pt idx="508">
                  <c:v>19435.257142857139</c:v>
                </c:pt>
                <c:pt idx="509">
                  <c:v>19435.257142857139</c:v>
                </c:pt>
                <c:pt idx="510">
                  <c:v>19435.257142857139</c:v>
                </c:pt>
                <c:pt idx="511">
                  <c:v>19435.257142857139</c:v>
                </c:pt>
                <c:pt idx="512">
                  <c:v>19435.257142857139</c:v>
                </c:pt>
                <c:pt idx="513">
                  <c:v>19435.257142857139</c:v>
                </c:pt>
                <c:pt idx="514">
                  <c:v>19435.257142857139</c:v>
                </c:pt>
                <c:pt idx="515">
                  <c:v>19435.257142857139</c:v>
                </c:pt>
                <c:pt idx="516">
                  <c:v>19435.257142857139</c:v>
                </c:pt>
                <c:pt idx="517">
                  <c:v>19435.257142857139</c:v>
                </c:pt>
                <c:pt idx="518">
                  <c:v>20715.257142857139</c:v>
                </c:pt>
                <c:pt idx="519">
                  <c:v>21195.257142857139</c:v>
                </c:pt>
                <c:pt idx="520">
                  <c:v>26118.45714285714</c:v>
                </c:pt>
                <c:pt idx="521">
                  <c:v>26118.45714285714</c:v>
                </c:pt>
                <c:pt idx="522">
                  <c:v>26118.45714285714</c:v>
                </c:pt>
                <c:pt idx="523">
                  <c:v>26118.45714285714</c:v>
                </c:pt>
                <c:pt idx="524">
                  <c:v>26118.45714285714</c:v>
                </c:pt>
                <c:pt idx="525">
                  <c:v>24678.45714285714</c:v>
                </c:pt>
                <c:pt idx="526">
                  <c:v>24678.45714285714</c:v>
                </c:pt>
                <c:pt idx="527">
                  <c:v>24678.45714285714</c:v>
                </c:pt>
                <c:pt idx="528">
                  <c:v>24678.45714285714</c:v>
                </c:pt>
                <c:pt idx="529">
                  <c:v>24678.45714285714</c:v>
                </c:pt>
                <c:pt idx="530">
                  <c:v>24678.45714285714</c:v>
                </c:pt>
                <c:pt idx="531">
                  <c:v>24678.45714285714</c:v>
                </c:pt>
                <c:pt idx="532">
                  <c:v>24678.45714285714</c:v>
                </c:pt>
                <c:pt idx="533">
                  <c:v>24678.45714285714</c:v>
                </c:pt>
                <c:pt idx="534">
                  <c:v>24678.45714285714</c:v>
                </c:pt>
                <c:pt idx="535">
                  <c:v>24678.45714285714</c:v>
                </c:pt>
                <c:pt idx="536">
                  <c:v>24678.45714285714</c:v>
                </c:pt>
                <c:pt idx="537">
                  <c:v>24678.45714285714</c:v>
                </c:pt>
                <c:pt idx="538">
                  <c:v>24678.45714285714</c:v>
                </c:pt>
                <c:pt idx="539">
                  <c:v>24678.45714285714</c:v>
                </c:pt>
                <c:pt idx="540">
                  <c:v>24678.45714285714</c:v>
                </c:pt>
                <c:pt idx="541">
                  <c:v>24678.45714285714</c:v>
                </c:pt>
                <c:pt idx="542">
                  <c:v>24678.45714285714</c:v>
                </c:pt>
                <c:pt idx="543">
                  <c:v>24678.45714285714</c:v>
                </c:pt>
                <c:pt idx="544">
                  <c:v>24678.45714285714</c:v>
                </c:pt>
                <c:pt idx="545">
                  <c:v>24678.45714285714</c:v>
                </c:pt>
                <c:pt idx="546">
                  <c:v>27558.45714285714</c:v>
                </c:pt>
                <c:pt idx="547">
                  <c:v>27558.45714285714</c:v>
                </c:pt>
                <c:pt idx="548">
                  <c:v>27558.45714285714</c:v>
                </c:pt>
                <c:pt idx="549">
                  <c:v>27558.45714285714</c:v>
                </c:pt>
                <c:pt idx="550">
                  <c:v>27558.45714285714</c:v>
                </c:pt>
                <c:pt idx="551">
                  <c:v>27558.45714285714</c:v>
                </c:pt>
                <c:pt idx="552">
                  <c:v>27558.45714285714</c:v>
                </c:pt>
                <c:pt idx="553">
                  <c:v>28838.45714285714</c:v>
                </c:pt>
                <c:pt idx="554">
                  <c:v>28838.45714285714</c:v>
                </c:pt>
                <c:pt idx="555">
                  <c:v>28192.358121878111</c:v>
                </c:pt>
                <c:pt idx="556">
                  <c:v>28838.45714285714</c:v>
                </c:pt>
                <c:pt idx="557">
                  <c:v>28838.45714285714</c:v>
                </c:pt>
                <c:pt idx="558">
                  <c:v>28838.45714285714</c:v>
                </c:pt>
                <c:pt idx="559">
                  <c:v>28838.45714285714</c:v>
                </c:pt>
                <c:pt idx="560">
                  <c:v>28838.45714285714</c:v>
                </c:pt>
                <c:pt idx="561">
                  <c:v>27042.093506493504</c:v>
                </c:pt>
                <c:pt idx="562">
                  <c:v>27042.093506493504</c:v>
                </c:pt>
                <c:pt idx="563">
                  <c:v>27042.093506493504</c:v>
                </c:pt>
                <c:pt idx="564">
                  <c:v>27682.093506493507</c:v>
                </c:pt>
                <c:pt idx="565">
                  <c:v>27682.093506493507</c:v>
                </c:pt>
                <c:pt idx="566">
                  <c:v>27682.093506493507</c:v>
                </c:pt>
                <c:pt idx="567">
                  <c:v>28322.093506493507</c:v>
                </c:pt>
                <c:pt idx="568">
                  <c:v>31968.358121878122</c:v>
                </c:pt>
                <c:pt idx="569">
                  <c:v>30722.093506493511</c:v>
                </c:pt>
                <c:pt idx="570">
                  <c:v>31362.093506493511</c:v>
                </c:pt>
                <c:pt idx="571">
                  <c:v>31968.358121878122</c:v>
                </c:pt>
                <c:pt idx="572">
                  <c:v>31362.093506493511</c:v>
                </c:pt>
                <c:pt idx="573">
                  <c:v>31362.093506493511</c:v>
                </c:pt>
                <c:pt idx="574">
                  <c:v>31362.093506493511</c:v>
                </c:pt>
                <c:pt idx="575">
                  <c:v>31968.358121878122</c:v>
                </c:pt>
                <c:pt idx="576">
                  <c:v>28192.358121878111</c:v>
                </c:pt>
                <c:pt idx="577">
                  <c:v>31682.093506493511</c:v>
                </c:pt>
                <c:pt idx="578">
                  <c:v>31682.093506493511</c:v>
                </c:pt>
                <c:pt idx="579">
                  <c:v>31682.093506493511</c:v>
                </c:pt>
                <c:pt idx="580">
                  <c:v>31682.093506493511</c:v>
                </c:pt>
                <c:pt idx="581">
                  <c:v>31362.093506493511</c:v>
                </c:pt>
                <c:pt idx="582">
                  <c:v>31682.093506493675</c:v>
                </c:pt>
                <c:pt idx="583">
                  <c:v>31682.093506493675</c:v>
                </c:pt>
                <c:pt idx="584">
                  <c:v>31682.093506493675</c:v>
                </c:pt>
                <c:pt idx="585">
                  <c:v>31682.093506493675</c:v>
                </c:pt>
                <c:pt idx="586">
                  <c:v>31682.093506493675</c:v>
                </c:pt>
                <c:pt idx="587">
                  <c:v>31682.093506493675</c:v>
                </c:pt>
                <c:pt idx="588">
                  <c:v>31682.093506493675</c:v>
                </c:pt>
                <c:pt idx="589">
                  <c:v>31682.093506493675</c:v>
                </c:pt>
                <c:pt idx="590">
                  <c:v>31682.093506493675</c:v>
                </c:pt>
                <c:pt idx="591">
                  <c:v>31682.093506493675</c:v>
                </c:pt>
                <c:pt idx="592">
                  <c:v>31682.093506493675</c:v>
                </c:pt>
                <c:pt idx="593">
                  <c:v>31682.093506493675</c:v>
                </c:pt>
                <c:pt idx="594">
                  <c:v>31682.093506493675</c:v>
                </c:pt>
                <c:pt idx="595">
                  <c:v>31682.093506493675</c:v>
                </c:pt>
                <c:pt idx="596">
                  <c:v>31682.093506493675</c:v>
                </c:pt>
                <c:pt idx="597">
                  <c:v>31682.093506493675</c:v>
                </c:pt>
                <c:pt idx="598">
                  <c:v>31682.093506493675</c:v>
                </c:pt>
                <c:pt idx="599">
                  <c:v>31682.093506493675</c:v>
                </c:pt>
                <c:pt idx="600">
                  <c:v>31682.093506493675</c:v>
                </c:pt>
                <c:pt idx="601">
                  <c:v>31682.093506493675</c:v>
                </c:pt>
                <c:pt idx="602">
                  <c:v>31682.093506493675</c:v>
                </c:pt>
                <c:pt idx="603">
                  <c:v>31682.093506493675</c:v>
                </c:pt>
                <c:pt idx="604">
                  <c:v>31682.093506493675</c:v>
                </c:pt>
                <c:pt idx="605">
                  <c:v>31682.093506493675</c:v>
                </c:pt>
                <c:pt idx="606">
                  <c:v>31682.093506493675</c:v>
                </c:pt>
                <c:pt idx="607">
                  <c:v>31682.093506493675</c:v>
                </c:pt>
                <c:pt idx="608">
                  <c:v>31682.093506493675</c:v>
                </c:pt>
                <c:pt idx="609">
                  <c:v>31682.093506493675</c:v>
                </c:pt>
                <c:pt idx="610">
                  <c:v>31682.093506493675</c:v>
                </c:pt>
                <c:pt idx="611">
                  <c:v>31682.093506493675</c:v>
                </c:pt>
                <c:pt idx="612">
                  <c:v>31682.093506493675</c:v>
                </c:pt>
                <c:pt idx="613">
                  <c:v>31682.093506493675</c:v>
                </c:pt>
                <c:pt idx="614">
                  <c:v>31682.093506493675</c:v>
                </c:pt>
                <c:pt idx="615">
                  <c:v>31682.093506493675</c:v>
                </c:pt>
                <c:pt idx="616">
                  <c:v>31682.093506493675</c:v>
                </c:pt>
                <c:pt idx="617">
                  <c:v>31682.093506493675</c:v>
                </c:pt>
                <c:pt idx="618">
                  <c:v>31682.093506493675</c:v>
                </c:pt>
                <c:pt idx="619">
                  <c:v>31682.093506493675</c:v>
                </c:pt>
                <c:pt idx="620">
                  <c:v>31968.358121878122</c:v>
                </c:pt>
                <c:pt idx="621">
                  <c:v>31682.093506493675</c:v>
                </c:pt>
                <c:pt idx="622">
                  <c:v>31682.093506493675</c:v>
                </c:pt>
                <c:pt idx="623">
                  <c:v>31682.093506493675</c:v>
                </c:pt>
                <c:pt idx="624">
                  <c:v>31682.093506493675</c:v>
                </c:pt>
                <c:pt idx="625">
                  <c:v>31682.093506493675</c:v>
                </c:pt>
                <c:pt idx="626">
                  <c:v>31682.093506493675</c:v>
                </c:pt>
                <c:pt idx="627">
                  <c:v>31968.358121878122</c:v>
                </c:pt>
                <c:pt idx="628">
                  <c:v>34082.093506493678</c:v>
                </c:pt>
                <c:pt idx="629">
                  <c:v>34082.093506493678</c:v>
                </c:pt>
                <c:pt idx="630">
                  <c:v>34082.093506493678</c:v>
                </c:pt>
                <c:pt idx="631">
                  <c:v>34082.093506493678</c:v>
                </c:pt>
                <c:pt idx="632">
                  <c:v>34082.093506493678</c:v>
                </c:pt>
                <c:pt idx="633">
                  <c:v>34082.093506493678</c:v>
                </c:pt>
                <c:pt idx="634">
                  <c:v>34082.093506493678</c:v>
                </c:pt>
                <c:pt idx="635">
                  <c:v>34082.093506493678</c:v>
                </c:pt>
                <c:pt idx="636">
                  <c:v>34082.093506493678</c:v>
                </c:pt>
                <c:pt idx="637">
                  <c:v>34082.093506493678</c:v>
                </c:pt>
                <c:pt idx="638">
                  <c:v>34082.093506493678</c:v>
                </c:pt>
                <c:pt idx="639">
                  <c:v>31968.358121878122</c:v>
                </c:pt>
                <c:pt idx="640">
                  <c:v>33867.693506493677</c:v>
                </c:pt>
                <c:pt idx="641">
                  <c:v>33867.693506493677</c:v>
                </c:pt>
                <c:pt idx="642">
                  <c:v>31968.358121878122</c:v>
                </c:pt>
                <c:pt idx="643">
                  <c:v>33867.693506493677</c:v>
                </c:pt>
                <c:pt idx="644">
                  <c:v>33867.693506493677</c:v>
                </c:pt>
                <c:pt idx="645">
                  <c:v>40173.293506493676</c:v>
                </c:pt>
                <c:pt idx="646">
                  <c:v>33867.693506493677</c:v>
                </c:pt>
                <c:pt idx="647">
                  <c:v>40173.293506493676</c:v>
                </c:pt>
                <c:pt idx="648">
                  <c:v>34275.693506493677</c:v>
                </c:pt>
                <c:pt idx="649">
                  <c:v>34275.693506493677</c:v>
                </c:pt>
                <c:pt idx="650">
                  <c:v>34275.693506493677</c:v>
                </c:pt>
                <c:pt idx="651">
                  <c:v>34275.693506493677</c:v>
                </c:pt>
                <c:pt idx="652">
                  <c:v>34275.693506493677</c:v>
                </c:pt>
                <c:pt idx="653">
                  <c:v>34275.693506493677</c:v>
                </c:pt>
                <c:pt idx="654">
                  <c:v>34275.693506493677</c:v>
                </c:pt>
                <c:pt idx="655">
                  <c:v>34275.693506493677</c:v>
                </c:pt>
                <c:pt idx="656">
                  <c:v>34275.693506493677</c:v>
                </c:pt>
                <c:pt idx="657">
                  <c:v>34275.693506493677</c:v>
                </c:pt>
                <c:pt idx="658">
                  <c:v>34275.693506493677</c:v>
                </c:pt>
                <c:pt idx="659">
                  <c:v>34275.693506493677</c:v>
                </c:pt>
                <c:pt idx="660">
                  <c:v>34275.693506493677</c:v>
                </c:pt>
                <c:pt idx="661">
                  <c:v>34275.693506493677</c:v>
                </c:pt>
                <c:pt idx="662">
                  <c:v>34275.693506493677</c:v>
                </c:pt>
                <c:pt idx="663">
                  <c:v>34275.693506493677</c:v>
                </c:pt>
                <c:pt idx="664">
                  <c:v>34275.693506493677</c:v>
                </c:pt>
                <c:pt idx="665">
                  <c:v>34275.693506493677</c:v>
                </c:pt>
                <c:pt idx="666">
                  <c:v>40173.293506493676</c:v>
                </c:pt>
                <c:pt idx="667">
                  <c:v>28915.693506493677</c:v>
                </c:pt>
                <c:pt idx="668">
                  <c:v>28915.693506493677</c:v>
                </c:pt>
                <c:pt idx="669">
                  <c:v>30515.693506493677</c:v>
                </c:pt>
                <c:pt idx="670">
                  <c:v>34173.293506493676</c:v>
                </c:pt>
                <c:pt idx="671">
                  <c:v>29661.293506493676</c:v>
                </c:pt>
                <c:pt idx="672">
                  <c:v>29661.293506493676</c:v>
                </c:pt>
                <c:pt idx="673">
                  <c:v>30333.293506493676</c:v>
                </c:pt>
                <c:pt idx="674">
                  <c:v>34173.293506493676</c:v>
                </c:pt>
                <c:pt idx="675">
                  <c:v>30333.293506493676</c:v>
                </c:pt>
                <c:pt idx="676">
                  <c:v>30333.293506493676</c:v>
                </c:pt>
                <c:pt idx="677">
                  <c:v>30333.293506493676</c:v>
                </c:pt>
                <c:pt idx="678">
                  <c:v>30333.293506493676</c:v>
                </c:pt>
                <c:pt idx="679">
                  <c:v>30333.293506493676</c:v>
                </c:pt>
                <c:pt idx="680">
                  <c:v>30333.293506493676</c:v>
                </c:pt>
                <c:pt idx="681">
                  <c:v>30333.293506493676</c:v>
                </c:pt>
                <c:pt idx="682">
                  <c:v>30333.293506493676</c:v>
                </c:pt>
                <c:pt idx="683">
                  <c:v>32573.293506493676</c:v>
                </c:pt>
                <c:pt idx="684">
                  <c:v>30333.293506493676</c:v>
                </c:pt>
                <c:pt idx="685">
                  <c:v>30333.293506493676</c:v>
                </c:pt>
                <c:pt idx="686">
                  <c:v>30333.293506493676</c:v>
                </c:pt>
                <c:pt idx="687">
                  <c:v>30333.293506493676</c:v>
                </c:pt>
                <c:pt idx="688">
                  <c:v>30333.293506493676</c:v>
                </c:pt>
                <c:pt idx="689">
                  <c:v>30333.293506493676</c:v>
                </c:pt>
                <c:pt idx="690">
                  <c:v>30333.293506493676</c:v>
                </c:pt>
                <c:pt idx="691">
                  <c:v>30333.293506493676</c:v>
                </c:pt>
                <c:pt idx="692">
                  <c:v>30333.293506493676</c:v>
                </c:pt>
                <c:pt idx="693">
                  <c:v>30333.293506493676</c:v>
                </c:pt>
                <c:pt idx="694">
                  <c:v>30333.293506493676</c:v>
                </c:pt>
                <c:pt idx="695">
                  <c:v>30333.293506493676</c:v>
                </c:pt>
                <c:pt idx="696">
                  <c:v>32573.293506493676</c:v>
                </c:pt>
                <c:pt idx="697">
                  <c:v>32573.293506493676</c:v>
                </c:pt>
                <c:pt idx="698">
                  <c:v>32573.293506493676</c:v>
                </c:pt>
                <c:pt idx="699">
                  <c:v>32573.293506493676</c:v>
                </c:pt>
                <c:pt idx="700">
                  <c:v>32573.293506493676</c:v>
                </c:pt>
                <c:pt idx="701">
                  <c:v>34173.293506493676</c:v>
                </c:pt>
                <c:pt idx="702">
                  <c:v>40173.293506493676</c:v>
                </c:pt>
                <c:pt idx="703">
                  <c:v>34173.293506493676</c:v>
                </c:pt>
                <c:pt idx="704">
                  <c:v>34173.293506493676</c:v>
                </c:pt>
                <c:pt idx="705">
                  <c:v>34173.293506493676</c:v>
                </c:pt>
                <c:pt idx="706">
                  <c:v>34173.293506493676</c:v>
                </c:pt>
                <c:pt idx="707">
                  <c:v>34173.293506493676</c:v>
                </c:pt>
                <c:pt idx="708">
                  <c:v>34173.293506493676</c:v>
                </c:pt>
                <c:pt idx="709">
                  <c:v>34733.293506493676</c:v>
                </c:pt>
                <c:pt idx="710">
                  <c:v>36333.293506493676</c:v>
                </c:pt>
                <c:pt idx="711">
                  <c:v>40173.293506493676</c:v>
                </c:pt>
                <c:pt idx="712">
                  <c:v>36333.293506493676</c:v>
                </c:pt>
                <c:pt idx="713">
                  <c:v>36333.293506493676</c:v>
                </c:pt>
                <c:pt idx="714">
                  <c:v>40173.293506493676</c:v>
                </c:pt>
                <c:pt idx="715">
                  <c:v>40173.293506493676</c:v>
                </c:pt>
                <c:pt idx="716">
                  <c:v>36333.293506493676</c:v>
                </c:pt>
                <c:pt idx="717">
                  <c:v>36333.293506493676</c:v>
                </c:pt>
                <c:pt idx="718">
                  <c:v>40173.293506493676</c:v>
                </c:pt>
                <c:pt idx="719">
                  <c:v>36333.293506493676</c:v>
                </c:pt>
                <c:pt idx="720">
                  <c:v>36333.293506493676</c:v>
                </c:pt>
                <c:pt idx="721">
                  <c:v>39933.293506493676</c:v>
                </c:pt>
                <c:pt idx="722">
                  <c:v>40173.293506493676</c:v>
                </c:pt>
                <c:pt idx="723">
                  <c:v>40173.293506493676</c:v>
                </c:pt>
                <c:pt idx="724">
                  <c:v>40173.293506493676</c:v>
                </c:pt>
                <c:pt idx="725">
                  <c:v>40173.293506493676</c:v>
                </c:pt>
                <c:pt idx="726">
                  <c:v>40173.293506493676</c:v>
                </c:pt>
                <c:pt idx="727">
                  <c:v>40173.293506493676</c:v>
                </c:pt>
                <c:pt idx="728">
                  <c:v>40173.293506493676</c:v>
                </c:pt>
                <c:pt idx="729">
                  <c:v>40173.293506493676</c:v>
                </c:pt>
                <c:pt idx="730">
                  <c:v>40173.293506493676</c:v>
                </c:pt>
                <c:pt idx="731">
                  <c:v>31968.358121878122</c:v>
                </c:pt>
                <c:pt idx="732">
                  <c:v>33251.078121878119</c:v>
                </c:pt>
                <c:pt idx="733">
                  <c:v>40173.293506493676</c:v>
                </c:pt>
                <c:pt idx="734">
                  <c:v>40173.293506493676</c:v>
                </c:pt>
                <c:pt idx="735">
                  <c:v>40173.293506493676</c:v>
                </c:pt>
                <c:pt idx="736">
                  <c:v>40173.293506493676</c:v>
                </c:pt>
                <c:pt idx="737">
                  <c:v>40173.293506493676</c:v>
                </c:pt>
                <c:pt idx="738">
                  <c:v>33251.078121878119</c:v>
                </c:pt>
                <c:pt idx="739">
                  <c:v>40173.293506493676</c:v>
                </c:pt>
                <c:pt idx="740">
                  <c:v>40173.293506493676</c:v>
                </c:pt>
                <c:pt idx="741">
                  <c:v>41373.293506493676</c:v>
                </c:pt>
                <c:pt idx="742">
                  <c:v>40173.293506493676</c:v>
                </c:pt>
                <c:pt idx="743">
                  <c:v>40173.293506493676</c:v>
                </c:pt>
                <c:pt idx="744">
                  <c:v>40173.293506493676</c:v>
                </c:pt>
                <c:pt idx="745">
                  <c:v>40173.293506493676</c:v>
                </c:pt>
                <c:pt idx="746">
                  <c:v>41373.293506493676</c:v>
                </c:pt>
                <c:pt idx="747">
                  <c:v>40173.293506493676</c:v>
                </c:pt>
                <c:pt idx="748">
                  <c:v>40173.293506493676</c:v>
                </c:pt>
                <c:pt idx="749">
                  <c:v>40173.293506493676</c:v>
                </c:pt>
                <c:pt idx="750">
                  <c:v>40173.293506493676</c:v>
                </c:pt>
                <c:pt idx="751">
                  <c:v>40173.293506493676</c:v>
                </c:pt>
                <c:pt idx="752">
                  <c:v>40173.293506493676</c:v>
                </c:pt>
                <c:pt idx="753">
                  <c:v>40173.293506493676</c:v>
                </c:pt>
                <c:pt idx="754">
                  <c:v>41373.293506493676</c:v>
                </c:pt>
                <c:pt idx="755">
                  <c:v>41373.293506493676</c:v>
                </c:pt>
                <c:pt idx="756">
                  <c:v>41373.293506493676</c:v>
                </c:pt>
                <c:pt idx="757">
                  <c:v>41373.293506493676</c:v>
                </c:pt>
                <c:pt idx="758">
                  <c:v>41373.293506493676</c:v>
                </c:pt>
                <c:pt idx="759">
                  <c:v>41373.293506493676</c:v>
                </c:pt>
                <c:pt idx="760">
                  <c:v>41373.293506493676</c:v>
                </c:pt>
                <c:pt idx="761">
                  <c:v>41373.293506493676</c:v>
                </c:pt>
                <c:pt idx="762">
                  <c:v>45147.078121878294</c:v>
                </c:pt>
                <c:pt idx="763">
                  <c:v>41373.293506493676</c:v>
                </c:pt>
                <c:pt idx="764">
                  <c:v>41373.293506493676</c:v>
                </c:pt>
                <c:pt idx="765">
                  <c:v>41373.293506493676</c:v>
                </c:pt>
                <c:pt idx="766">
                  <c:v>42973.293506493676</c:v>
                </c:pt>
                <c:pt idx="767">
                  <c:v>43133.293506493676</c:v>
                </c:pt>
                <c:pt idx="768">
                  <c:v>43133.293506493676</c:v>
                </c:pt>
                <c:pt idx="769">
                  <c:v>43044.678121878293</c:v>
                </c:pt>
                <c:pt idx="770">
                  <c:v>43531.078121878294</c:v>
                </c:pt>
                <c:pt idx="771">
                  <c:v>43531.078121878294</c:v>
                </c:pt>
                <c:pt idx="772">
                  <c:v>43531.078121878294</c:v>
                </c:pt>
                <c:pt idx="773">
                  <c:v>43531.078121878294</c:v>
                </c:pt>
                <c:pt idx="774">
                  <c:v>45147.078121878294</c:v>
                </c:pt>
                <c:pt idx="775">
                  <c:v>47467.078121878294</c:v>
                </c:pt>
                <c:pt idx="776">
                  <c:v>45147.078121878294</c:v>
                </c:pt>
                <c:pt idx="777">
                  <c:v>45147.078121878294</c:v>
                </c:pt>
                <c:pt idx="778">
                  <c:v>45147.078121878294</c:v>
                </c:pt>
                <c:pt idx="779">
                  <c:v>45147.078121878294</c:v>
                </c:pt>
                <c:pt idx="780">
                  <c:v>45147.078121878294</c:v>
                </c:pt>
                <c:pt idx="781">
                  <c:v>45147.078121878294</c:v>
                </c:pt>
                <c:pt idx="782">
                  <c:v>45147.078121878294</c:v>
                </c:pt>
                <c:pt idx="783">
                  <c:v>45147.078121878294</c:v>
                </c:pt>
                <c:pt idx="784">
                  <c:v>45147.078121878294</c:v>
                </c:pt>
                <c:pt idx="785">
                  <c:v>47467.078121878294</c:v>
                </c:pt>
                <c:pt idx="786">
                  <c:v>45147.078121878294</c:v>
                </c:pt>
                <c:pt idx="787">
                  <c:v>44907.078121878294</c:v>
                </c:pt>
                <c:pt idx="788">
                  <c:v>47467.078121878294</c:v>
                </c:pt>
                <c:pt idx="789">
                  <c:v>44907.078121878294</c:v>
                </c:pt>
                <c:pt idx="790">
                  <c:v>44907.078121878294</c:v>
                </c:pt>
                <c:pt idx="791">
                  <c:v>46507.078121878294</c:v>
                </c:pt>
                <c:pt idx="792">
                  <c:v>46507.078121878294</c:v>
                </c:pt>
                <c:pt idx="793">
                  <c:v>47467.078121878294</c:v>
                </c:pt>
                <c:pt idx="794">
                  <c:v>47467.078121878294</c:v>
                </c:pt>
                <c:pt idx="795">
                  <c:v>47387.078121878294</c:v>
                </c:pt>
                <c:pt idx="796">
                  <c:v>47467.078121878294</c:v>
                </c:pt>
                <c:pt idx="797">
                  <c:v>47467.078121878294</c:v>
                </c:pt>
                <c:pt idx="798">
                  <c:v>47387.078121878294</c:v>
                </c:pt>
                <c:pt idx="799">
                  <c:v>47467.078121878294</c:v>
                </c:pt>
                <c:pt idx="800">
                  <c:v>47467.078121878294</c:v>
                </c:pt>
                <c:pt idx="801">
                  <c:v>47147.078121878294</c:v>
                </c:pt>
                <c:pt idx="802">
                  <c:v>47387.078121878294</c:v>
                </c:pt>
                <c:pt idx="803">
                  <c:v>48427.078121878294</c:v>
                </c:pt>
                <c:pt idx="804">
                  <c:v>48427.078121878294</c:v>
                </c:pt>
                <c:pt idx="805">
                  <c:v>48427.078121878294</c:v>
                </c:pt>
                <c:pt idx="806">
                  <c:v>47147.078121878294</c:v>
                </c:pt>
                <c:pt idx="807">
                  <c:v>47147.078121878294</c:v>
                </c:pt>
                <c:pt idx="808">
                  <c:v>47147.078121878294</c:v>
                </c:pt>
                <c:pt idx="809">
                  <c:v>47147.078121878294</c:v>
                </c:pt>
                <c:pt idx="810">
                  <c:v>47147.078121878294</c:v>
                </c:pt>
                <c:pt idx="811">
                  <c:v>47147.078121878294</c:v>
                </c:pt>
                <c:pt idx="812">
                  <c:v>47147.078121878294</c:v>
                </c:pt>
                <c:pt idx="813">
                  <c:v>47387.078121878294</c:v>
                </c:pt>
                <c:pt idx="814">
                  <c:v>33251.078121878119</c:v>
                </c:pt>
                <c:pt idx="815">
                  <c:v>47147.078121878294</c:v>
                </c:pt>
                <c:pt idx="816">
                  <c:v>46827.078121878294</c:v>
                </c:pt>
                <c:pt idx="817">
                  <c:v>47387.078121878294</c:v>
                </c:pt>
                <c:pt idx="818">
                  <c:v>46827.078121878294</c:v>
                </c:pt>
                <c:pt idx="819">
                  <c:v>46827.078121878294</c:v>
                </c:pt>
                <c:pt idx="820">
                  <c:v>46827.078121878294</c:v>
                </c:pt>
                <c:pt idx="821">
                  <c:v>46827.078121878294</c:v>
                </c:pt>
                <c:pt idx="822">
                  <c:v>47387.078121878294</c:v>
                </c:pt>
                <c:pt idx="823">
                  <c:v>33251.078121878119</c:v>
                </c:pt>
                <c:pt idx="824">
                  <c:v>47387.078121878294</c:v>
                </c:pt>
                <c:pt idx="825">
                  <c:v>47387.078121878294</c:v>
                </c:pt>
                <c:pt idx="826">
                  <c:v>47387.078121878294</c:v>
                </c:pt>
                <c:pt idx="827">
                  <c:v>33251.078121878119</c:v>
                </c:pt>
                <c:pt idx="828">
                  <c:v>33251.078121878119</c:v>
                </c:pt>
                <c:pt idx="829">
                  <c:v>47387.078121878294</c:v>
                </c:pt>
                <c:pt idx="830">
                  <c:v>47387.078121878294</c:v>
                </c:pt>
                <c:pt idx="831">
                  <c:v>46187.078121878294</c:v>
                </c:pt>
                <c:pt idx="832">
                  <c:v>40531.078121878294</c:v>
                </c:pt>
                <c:pt idx="833">
                  <c:v>40531.078121878294</c:v>
                </c:pt>
                <c:pt idx="834">
                  <c:v>33251.078121878119</c:v>
                </c:pt>
                <c:pt idx="835">
                  <c:v>33251.078121878119</c:v>
                </c:pt>
                <c:pt idx="836">
                  <c:v>40531.078121878294</c:v>
                </c:pt>
                <c:pt idx="837">
                  <c:v>33251.078121878119</c:v>
                </c:pt>
                <c:pt idx="838">
                  <c:v>33251.078121878119</c:v>
                </c:pt>
                <c:pt idx="839">
                  <c:v>40531.078121878294</c:v>
                </c:pt>
                <c:pt idx="840">
                  <c:v>43283.078121878287</c:v>
                </c:pt>
                <c:pt idx="841">
                  <c:v>43283.078121878287</c:v>
                </c:pt>
                <c:pt idx="842">
                  <c:v>43283.078121878287</c:v>
                </c:pt>
                <c:pt idx="843">
                  <c:v>43283.078121878287</c:v>
                </c:pt>
                <c:pt idx="844">
                  <c:v>43283.078121878287</c:v>
                </c:pt>
                <c:pt idx="845">
                  <c:v>35571.078121878119</c:v>
                </c:pt>
                <c:pt idx="846">
                  <c:v>33251.078121878119</c:v>
                </c:pt>
                <c:pt idx="847">
                  <c:v>43283.078121878287</c:v>
                </c:pt>
                <c:pt idx="848">
                  <c:v>42963.078121878119</c:v>
                </c:pt>
                <c:pt idx="849">
                  <c:v>35571.078121878119</c:v>
                </c:pt>
                <c:pt idx="850">
                  <c:v>33251.078121878119</c:v>
                </c:pt>
                <c:pt idx="851">
                  <c:v>42963.078121878119</c:v>
                </c:pt>
                <c:pt idx="852">
                  <c:v>42963.078121878119</c:v>
                </c:pt>
                <c:pt idx="853">
                  <c:v>42963.078121878119</c:v>
                </c:pt>
                <c:pt idx="854">
                  <c:v>42963.078121878119</c:v>
                </c:pt>
                <c:pt idx="855">
                  <c:v>42963.078121878119</c:v>
                </c:pt>
                <c:pt idx="856">
                  <c:v>42963.078121878119</c:v>
                </c:pt>
                <c:pt idx="857">
                  <c:v>40563.078121878119</c:v>
                </c:pt>
                <c:pt idx="858">
                  <c:v>40563.078121878119</c:v>
                </c:pt>
                <c:pt idx="859">
                  <c:v>37363.078121878119</c:v>
                </c:pt>
                <c:pt idx="860">
                  <c:v>35571.078121878119</c:v>
                </c:pt>
                <c:pt idx="861">
                  <c:v>35571.078121878119</c:v>
                </c:pt>
                <c:pt idx="862">
                  <c:v>33251.078121878119</c:v>
                </c:pt>
                <c:pt idx="863">
                  <c:v>33251.078121878119</c:v>
                </c:pt>
                <c:pt idx="864">
                  <c:v>35571.078121878119</c:v>
                </c:pt>
                <c:pt idx="865">
                  <c:v>35571.078121878119</c:v>
                </c:pt>
                <c:pt idx="866">
                  <c:v>34371.078121878119</c:v>
                </c:pt>
                <c:pt idx="867">
                  <c:v>33251.078121878119</c:v>
                </c:pt>
                <c:pt idx="868">
                  <c:v>33251.078121878119</c:v>
                </c:pt>
                <c:pt idx="869">
                  <c:v>33251.078121878119</c:v>
                </c:pt>
                <c:pt idx="870">
                  <c:v>33251.078121878119</c:v>
                </c:pt>
                <c:pt idx="871">
                  <c:v>33251.078121878119</c:v>
                </c:pt>
                <c:pt idx="872">
                  <c:v>33251.078121878119</c:v>
                </c:pt>
                <c:pt idx="873">
                  <c:v>33251.078121878119</c:v>
                </c:pt>
                <c:pt idx="874">
                  <c:v>33251.078121878119</c:v>
                </c:pt>
                <c:pt idx="875">
                  <c:v>33251.078121878119</c:v>
                </c:pt>
                <c:pt idx="876">
                  <c:v>33251.078121878119</c:v>
                </c:pt>
                <c:pt idx="877">
                  <c:v>33251.078121878119</c:v>
                </c:pt>
                <c:pt idx="878">
                  <c:v>33251.078121878119</c:v>
                </c:pt>
                <c:pt idx="879">
                  <c:v>33251.078121878119</c:v>
                </c:pt>
                <c:pt idx="880">
                  <c:v>33251.078121878119</c:v>
                </c:pt>
                <c:pt idx="881">
                  <c:v>33251.078121878119</c:v>
                </c:pt>
                <c:pt idx="882">
                  <c:v>33251.078121878119</c:v>
                </c:pt>
                <c:pt idx="883">
                  <c:v>33251.078121878119</c:v>
                </c:pt>
                <c:pt idx="884">
                  <c:v>33251.078121878119</c:v>
                </c:pt>
                <c:pt idx="885">
                  <c:v>33251.078121878119</c:v>
                </c:pt>
                <c:pt idx="886">
                  <c:v>33251.078121878119</c:v>
                </c:pt>
                <c:pt idx="887">
                  <c:v>33251.078121878119</c:v>
                </c:pt>
                <c:pt idx="888">
                  <c:v>8204.8240046316405</c:v>
                </c:pt>
                <c:pt idx="889">
                  <c:v>33251.078121878119</c:v>
                </c:pt>
                <c:pt idx="890">
                  <c:v>33251.078121878119</c:v>
                </c:pt>
                <c:pt idx="891">
                  <c:v>33251.078121878119</c:v>
                </c:pt>
                <c:pt idx="892">
                  <c:v>33251.078121878119</c:v>
                </c:pt>
                <c:pt idx="893">
                  <c:v>33251.078121878119</c:v>
                </c:pt>
                <c:pt idx="894">
                  <c:v>33251.078121878119</c:v>
                </c:pt>
                <c:pt idx="895">
                  <c:v>33251.078121878119</c:v>
                </c:pt>
                <c:pt idx="896">
                  <c:v>33251.078121878119</c:v>
                </c:pt>
                <c:pt idx="897">
                  <c:v>33251.078121878119</c:v>
                </c:pt>
                <c:pt idx="898">
                  <c:v>33251.078121878119</c:v>
                </c:pt>
                <c:pt idx="899">
                  <c:v>33251.078121878119</c:v>
                </c:pt>
                <c:pt idx="900">
                  <c:v>33251.078121878119</c:v>
                </c:pt>
                <c:pt idx="901">
                  <c:v>33251.078121878119</c:v>
                </c:pt>
                <c:pt idx="902">
                  <c:v>31683.078121878119</c:v>
                </c:pt>
                <c:pt idx="903">
                  <c:v>33251.078121878119</c:v>
                </c:pt>
                <c:pt idx="904">
                  <c:v>33251.078121878119</c:v>
                </c:pt>
                <c:pt idx="905">
                  <c:v>33251.078121878119</c:v>
                </c:pt>
                <c:pt idx="906">
                  <c:v>33251.078121878119</c:v>
                </c:pt>
                <c:pt idx="907">
                  <c:v>33251.078121878119</c:v>
                </c:pt>
                <c:pt idx="908">
                  <c:v>33251.078121878119</c:v>
                </c:pt>
                <c:pt idx="909">
                  <c:v>33251.078121878119</c:v>
                </c:pt>
                <c:pt idx="910">
                  <c:v>33251.078121878119</c:v>
                </c:pt>
                <c:pt idx="911">
                  <c:v>33251.078121878119</c:v>
                </c:pt>
                <c:pt idx="912">
                  <c:v>31683.078121878119</c:v>
                </c:pt>
                <c:pt idx="913">
                  <c:v>31571.078121878119</c:v>
                </c:pt>
                <c:pt idx="914">
                  <c:v>31571.078121878119</c:v>
                </c:pt>
                <c:pt idx="915">
                  <c:v>31571.078121878119</c:v>
                </c:pt>
                <c:pt idx="916">
                  <c:v>31571.078121878119</c:v>
                </c:pt>
                <c:pt idx="917">
                  <c:v>31571.078121878119</c:v>
                </c:pt>
                <c:pt idx="918">
                  <c:v>31571.078121878119</c:v>
                </c:pt>
                <c:pt idx="919">
                  <c:v>31571.078121878119</c:v>
                </c:pt>
                <c:pt idx="920">
                  <c:v>31683.078121878119</c:v>
                </c:pt>
                <c:pt idx="921">
                  <c:v>31683.078121878119</c:v>
                </c:pt>
                <c:pt idx="922">
                  <c:v>31683.078121878119</c:v>
                </c:pt>
                <c:pt idx="923">
                  <c:v>31683.078121878119</c:v>
                </c:pt>
                <c:pt idx="924">
                  <c:v>31683.078121878119</c:v>
                </c:pt>
                <c:pt idx="925">
                  <c:v>31683.078121878119</c:v>
                </c:pt>
                <c:pt idx="926">
                  <c:v>31683.078121878119</c:v>
                </c:pt>
                <c:pt idx="927">
                  <c:v>31683.078121878119</c:v>
                </c:pt>
                <c:pt idx="928">
                  <c:v>31683.078121878119</c:v>
                </c:pt>
                <c:pt idx="929">
                  <c:v>31683.078121878119</c:v>
                </c:pt>
                <c:pt idx="930">
                  <c:v>31968.358121878122</c:v>
                </c:pt>
                <c:pt idx="931">
                  <c:v>31683.078121878119</c:v>
                </c:pt>
                <c:pt idx="932">
                  <c:v>31683.078121878119</c:v>
                </c:pt>
                <c:pt idx="933">
                  <c:v>31683.078121878119</c:v>
                </c:pt>
                <c:pt idx="934">
                  <c:v>31683.078121878119</c:v>
                </c:pt>
                <c:pt idx="935">
                  <c:v>31683.078121878119</c:v>
                </c:pt>
                <c:pt idx="936">
                  <c:v>31683.078121878119</c:v>
                </c:pt>
                <c:pt idx="937">
                  <c:v>31683.078121878119</c:v>
                </c:pt>
                <c:pt idx="938">
                  <c:v>31683.078121878119</c:v>
                </c:pt>
                <c:pt idx="939">
                  <c:v>31968.358121878122</c:v>
                </c:pt>
                <c:pt idx="940">
                  <c:v>31683.078121878119</c:v>
                </c:pt>
                <c:pt idx="941">
                  <c:v>31683.078121878119</c:v>
                </c:pt>
                <c:pt idx="942">
                  <c:v>31683.078121878119</c:v>
                </c:pt>
                <c:pt idx="943">
                  <c:v>31073.158121878121</c:v>
                </c:pt>
                <c:pt idx="944">
                  <c:v>30804.358121878122</c:v>
                </c:pt>
                <c:pt idx="945">
                  <c:v>30804.358121878122</c:v>
                </c:pt>
                <c:pt idx="946">
                  <c:v>31716.358121878122</c:v>
                </c:pt>
                <c:pt idx="947">
                  <c:v>31920.358121878122</c:v>
                </c:pt>
                <c:pt idx="948">
                  <c:v>31860.358121878122</c:v>
                </c:pt>
                <c:pt idx="949">
                  <c:v>31860.358121878122</c:v>
                </c:pt>
                <c:pt idx="950">
                  <c:v>31860.358121878122</c:v>
                </c:pt>
                <c:pt idx="951">
                  <c:v>31860.358121878122</c:v>
                </c:pt>
                <c:pt idx="952">
                  <c:v>31860.358121878122</c:v>
                </c:pt>
                <c:pt idx="953">
                  <c:v>31860.358121878122</c:v>
                </c:pt>
                <c:pt idx="954">
                  <c:v>31860.358121878122</c:v>
                </c:pt>
                <c:pt idx="955">
                  <c:v>31860.358121878122</c:v>
                </c:pt>
                <c:pt idx="956">
                  <c:v>31860.358121878122</c:v>
                </c:pt>
                <c:pt idx="957">
                  <c:v>31920.358121878122</c:v>
                </c:pt>
                <c:pt idx="958">
                  <c:v>31860.358121878122</c:v>
                </c:pt>
                <c:pt idx="959">
                  <c:v>31860.358121878122</c:v>
                </c:pt>
                <c:pt idx="960">
                  <c:v>31860.358121878122</c:v>
                </c:pt>
                <c:pt idx="961">
                  <c:v>31860.358121878122</c:v>
                </c:pt>
                <c:pt idx="962">
                  <c:v>31860.358121878122</c:v>
                </c:pt>
                <c:pt idx="963">
                  <c:v>31860.358121878122</c:v>
                </c:pt>
                <c:pt idx="964">
                  <c:v>31860.358121878122</c:v>
                </c:pt>
                <c:pt idx="965">
                  <c:v>31860.358121878122</c:v>
                </c:pt>
                <c:pt idx="966">
                  <c:v>31920.358121878122</c:v>
                </c:pt>
                <c:pt idx="967">
                  <c:v>31968.358121878122</c:v>
                </c:pt>
                <c:pt idx="968">
                  <c:v>31920.358121878122</c:v>
                </c:pt>
                <c:pt idx="969">
                  <c:v>31920.358121878122</c:v>
                </c:pt>
                <c:pt idx="970">
                  <c:v>31920.358121878122</c:v>
                </c:pt>
                <c:pt idx="971">
                  <c:v>31920.358121878122</c:v>
                </c:pt>
                <c:pt idx="972">
                  <c:v>31920.358121878122</c:v>
                </c:pt>
                <c:pt idx="973">
                  <c:v>31920.358121878122</c:v>
                </c:pt>
                <c:pt idx="974">
                  <c:v>31920.358121878122</c:v>
                </c:pt>
                <c:pt idx="975">
                  <c:v>31968.358121878122</c:v>
                </c:pt>
                <c:pt idx="976">
                  <c:v>31920.358121878122</c:v>
                </c:pt>
                <c:pt idx="977">
                  <c:v>31920.358121878122</c:v>
                </c:pt>
                <c:pt idx="978">
                  <c:v>31920.358121878122</c:v>
                </c:pt>
                <c:pt idx="979">
                  <c:v>31968.358121878122</c:v>
                </c:pt>
                <c:pt idx="980">
                  <c:v>31968.358121878122</c:v>
                </c:pt>
                <c:pt idx="981">
                  <c:v>31968.358121878122</c:v>
                </c:pt>
                <c:pt idx="982">
                  <c:v>31968.358121878122</c:v>
                </c:pt>
                <c:pt idx="983">
                  <c:v>31968.358121878122</c:v>
                </c:pt>
                <c:pt idx="984">
                  <c:v>31968.358121878122</c:v>
                </c:pt>
                <c:pt idx="985">
                  <c:v>31968.358121878122</c:v>
                </c:pt>
                <c:pt idx="986">
                  <c:v>31968.358121878122</c:v>
                </c:pt>
                <c:pt idx="987">
                  <c:v>31968.358121878122</c:v>
                </c:pt>
                <c:pt idx="988">
                  <c:v>31968.358121878122</c:v>
                </c:pt>
                <c:pt idx="989">
                  <c:v>8204.8240046316405</c:v>
                </c:pt>
                <c:pt idx="990">
                  <c:v>31040.358121878122</c:v>
                </c:pt>
                <c:pt idx="991">
                  <c:v>31040.358121878122</c:v>
                </c:pt>
                <c:pt idx="992">
                  <c:v>31040.358121878122</c:v>
                </c:pt>
                <c:pt idx="993">
                  <c:v>31040.358121878122</c:v>
                </c:pt>
                <c:pt idx="994">
                  <c:v>31040.358121878122</c:v>
                </c:pt>
                <c:pt idx="995">
                  <c:v>31040.358121878122</c:v>
                </c:pt>
                <c:pt idx="996">
                  <c:v>31040.358121878122</c:v>
                </c:pt>
                <c:pt idx="997">
                  <c:v>31040.358121878122</c:v>
                </c:pt>
                <c:pt idx="998">
                  <c:v>31040.358121878122</c:v>
                </c:pt>
                <c:pt idx="999">
                  <c:v>28480.358121878122</c:v>
                </c:pt>
                <c:pt idx="1000">
                  <c:v>28480.358121878122</c:v>
                </c:pt>
                <c:pt idx="1001">
                  <c:v>28192.358121878111</c:v>
                </c:pt>
                <c:pt idx="1002">
                  <c:v>28192.358121878111</c:v>
                </c:pt>
                <c:pt idx="1003">
                  <c:v>28192.358121878111</c:v>
                </c:pt>
                <c:pt idx="1004">
                  <c:v>28096.358121878111</c:v>
                </c:pt>
                <c:pt idx="1005">
                  <c:v>28096.358121878111</c:v>
                </c:pt>
                <c:pt idx="1006">
                  <c:v>28096.358121878111</c:v>
                </c:pt>
                <c:pt idx="1007">
                  <c:v>28096.358121878111</c:v>
                </c:pt>
                <c:pt idx="1008">
                  <c:v>28096.358121878111</c:v>
                </c:pt>
                <c:pt idx="1009">
                  <c:v>28096.358121878111</c:v>
                </c:pt>
                <c:pt idx="1010">
                  <c:v>28096.358121878111</c:v>
                </c:pt>
                <c:pt idx="1011">
                  <c:v>28096.358121878111</c:v>
                </c:pt>
                <c:pt idx="1012">
                  <c:v>28096.358121878111</c:v>
                </c:pt>
                <c:pt idx="1013">
                  <c:v>28096.358121878111</c:v>
                </c:pt>
                <c:pt idx="1014">
                  <c:v>28096.358121878111</c:v>
                </c:pt>
                <c:pt idx="1015">
                  <c:v>28096.358121878111</c:v>
                </c:pt>
                <c:pt idx="1016">
                  <c:v>28096.358121878111</c:v>
                </c:pt>
                <c:pt idx="1017">
                  <c:v>28096.358121878111</c:v>
                </c:pt>
                <c:pt idx="1018">
                  <c:v>28096.358121878111</c:v>
                </c:pt>
                <c:pt idx="1019">
                  <c:v>28096.358121878111</c:v>
                </c:pt>
                <c:pt idx="1020">
                  <c:v>28096.358121878111</c:v>
                </c:pt>
                <c:pt idx="1021">
                  <c:v>28096.358121878111</c:v>
                </c:pt>
                <c:pt idx="1022">
                  <c:v>28096.358121878111</c:v>
                </c:pt>
                <c:pt idx="1023">
                  <c:v>28096.358121878111</c:v>
                </c:pt>
                <c:pt idx="1024">
                  <c:v>28096.358121878111</c:v>
                </c:pt>
                <c:pt idx="1025">
                  <c:v>28096.358121878111</c:v>
                </c:pt>
                <c:pt idx="1027">
                  <c:v>-143.99999999999909</c:v>
                </c:pt>
                <c:pt idx="1028">
                  <c:v>-143.99999999999909</c:v>
                </c:pt>
                <c:pt idx="1029">
                  <c:v>-143.99999999999909</c:v>
                </c:pt>
                <c:pt idx="1030">
                  <c:v>-143.99999999999909</c:v>
                </c:pt>
                <c:pt idx="1031">
                  <c:v>-143.99999999999909</c:v>
                </c:pt>
                <c:pt idx="1032">
                  <c:v>-143.99999999999909</c:v>
                </c:pt>
                <c:pt idx="1033">
                  <c:v>-143.99999999999909</c:v>
                </c:pt>
                <c:pt idx="1034">
                  <c:v>-143.99999999999909</c:v>
                </c:pt>
                <c:pt idx="1035">
                  <c:v>-143.99999999999909</c:v>
                </c:pt>
                <c:pt idx="1036">
                  <c:v>-143.99999999999909</c:v>
                </c:pt>
                <c:pt idx="1037">
                  <c:v>-143.99999999999909</c:v>
                </c:pt>
                <c:pt idx="1038">
                  <c:v>-143.99999999999909</c:v>
                </c:pt>
                <c:pt idx="1039">
                  <c:v>-143.99999999999909</c:v>
                </c:pt>
                <c:pt idx="1040">
                  <c:v>-143.99999999999909</c:v>
                </c:pt>
                <c:pt idx="1041">
                  <c:v>-143.99999999999909</c:v>
                </c:pt>
                <c:pt idx="1042">
                  <c:v>-143.99999999999909</c:v>
                </c:pt>
                <c:pt idx="1043">
                  <c:v>-143.99999999999909</c:v>
                </c:pt>
                <c:pt idx="1044">
                  <c:v>-143.99999999999909</c:v>
                </c:pt>
                <c:pt idx="1045">
                  <c:v>-143.99999999999909</c:v>
                </c:pt>
                <c:pt idx="1046">
                  <c:v>-143.99999999999909</c:v>
                </c:pt>
                <c:pt idx="1047">
                  <c:v>-143.99999999999909</c:v>
                </c:pt>
                <c:pt idx="1048">
                  <c:v>-143.99999999999909</c:v>
                </c:pt>
                <c:pt idx="1049">
                  <c:v>-143.99999999999909</c:v>
                </c:pt>
                <c:pt idx="1050">
                  <c:v>-143.99999999999909</c:v>
                </c:pt>
                <c:pt idx="1051">
                  <c:v>-143.99999999999909</c:v>
                </c:pt>
                <c:pt idx="1052">
                  <c:v>-143.99999999999909</c:v>
                </c:pt>
                <c:pt idx="1053">
                  <c:v>-143.99999999999909</c:v>
                </c:pt>
                <c:pt idx="1054">
                  <c:v>-143.99999999999909</c:v>
                </c:pt>
                <c:pt idx="1055">
                  <c:v>-143.99999999999909</c:v>
                </c:pt>
                <c:pt idx="1056">
                  <c:v>-143.99999999999909</c:v>
                </c:pt>
                <c:pt idx="1057">
                  <c:v>-143.99999999999909</c:v>
                </c:pt>
                <c:pt idx="1058">
                  <c:v>-143.99999999999909</c:v>
                </c:pt>
                <c:pt idx="1059">
                  <c:v>-143.99999999999909</c:v>
                </c:pt>
                <c:pt idx="1060">
                  <c:v>-143.99999999999909</c:v>
                </c:pt>
                <c:pt idx="1061">
                  <c:v>-143.99999999999909</c:v>
                </c:pt>
                <c:pt idx="1062">
                  <c:v>-143.99999999999909</c:v>
                </c:pt>
                <c:pt idx="1063">
                  <c:v>-143.99999999999909</c:v>
                </c:pt>
                <c:pt idx="1064">
                  <c:v>-143.99999999999909</c:v>
                </c:pt>
                <c:pt idx="1065">
                  <c:v>-143.99999999999909</c:v>
                </c:pt>
                <c:pt idx="1066">
                  <c:v>-143.99999999999909</c:v>
                </c:pt>
                <c:pt idx="1067">
                  <c:v>-143.99999999999909</c:v>
                </c:pt>
                <c:pt idx="1068">
                  <c:v>-143.99999999999909</c:v>
                </c:pt>
                <c:pt idx="1069">
                  <c:v>-143.99999999999909</c:v>
                </c:pt>
                <c:pt idx="1070">
                  <c:v>-143.99999999999909</c:v>
                </c:pt>
                <c:pt idx="1071">
                  <c:v>-143.99999999999909</c:v>
                </c:pt>
                <c:pt idx="1072">
                  <c:v>-143.99999999999909</c:v>
                </c:pt>
                <c:pt idx="1073">
                  <c:v>-143.99999999999909</c:v>
                </c:pt>
                <c:pt idx="1074">
                  <c:v>-143.99999999999909</c:v>
                </c:pt>
                <c:pt idx="1075">
                  <c:v>-143.99999999999909</c:v>
                </c:pt>
                <c:pt idx="1076">
                  <c:v>-143.99999999999909</c:v>
                </c:pt>
                <c:pt idx="1077">
                  <c:v>-143.99999999999909</c:v>
                </c:pt>
                <c:pt idx="1078">
                  <c:v>-143.99999999999909</c:v>
                </c:pt>
                <c:pt idx="1079">
                  <c:v>-143.99999999999909</c:v>
                </c:pt>
                <c:pt idx="1080">
                  <c:v>-143.99999999999909</c:v>
                </c:pt>
                <c:pt idx="1081">
                  <c:v>-143.99999999999909</c:v>
                </c:pt>
                <c:pt idx="1082">
                  <c:v>-143.99999999999909</c:v>
                </c:pt>
                <c:pt idx="1083">
                  <c:v>-143.99999999999909</c:v>
                </c:pt>
                <c:pt idx="1084">
                  <c:v>-143.99999999999909</c:v>
                </c:pt>
                <c:pt idx="1085">
                  <c:v>-143.99999999999909</c:v>
                </c:pt>
                <c:pt idx="1086">
                  <c:v>-143.99999999999909</c:v>
                </c:pt>
                <c:pt idx="1087">
                  <c:v>-143.99999999999909</c:v>
                </c:pt>
                <c:pt idx="1088">
                  <c:v>-143.99999999999909</c:v>
                </c:pt>
                <c:pt idx="1089">
                  <c:v>-143.99999999999909</c:v>
                </c:pt>
                <c:pt idx="1090">
                  <c:v>-143.99999999999909</c:v>
                </c:pt>
                <c:pt idx="1091">
                  <c:v>-143.99999999999909</c:v>
                </c:pt>
                <c:pt idx="1092">
                  <c:v>-143.99999999999909</c:v>
                </c:pt>
                <c:pt idx="1093">
                  <c:v>-143.99999999999909</c:v>
                </c:pt>
                <c:pt idx="1094">
                  <c:v>-143.99999999999909</c:v>
                </c:pt>
                <c:pt idx="1095">
                  <c:v>-143.99999999999909</c:v>
                </c:pt>
                <c:pt idx="1096">
                  <c:v>-143.99999999999909</c:v>
                </c:pt>
                <c:pt idx="1097">
                  <c:v>-143.99999999999909</c:v>
                </c:pt>
                <c:pt idx="1098">
                  <c:v>-143.99999999999909</c:v>
                </c:pt>
                <c:pt idx="1099">
                  <c:v>-143.99999999999909</c:v>
                </c:pt>
                <c:pt idx="1100">
                  <c:v>-143.99999999999909</c:v>
                </c:pt>
                <c:pt idx="1101">
                  <c:v>-143.99999999999909</c:v>
                </c:pt>
                <c:pt idx="1102">
                  <c:v>-143.99999999999909</c:v>
                </c:pt>
                <c:pt idx="1103">
                  <c:v>-143.99999999999909</c:v>
                </c:pt>
                <c:pt idx="1104">
                  <c:v>-143.99999999999909</c:v>
                </c:pt>
                <c:pt idx="1105">
                  <c:v>-143.99999999999909</c:v>
                </c:pt>
                <c:pt idx="1106">
                  <c:v>-143.99999999999909</c:v>
                </c:pt>
                <c:pt idx="1107">
                  <c:v>-143.99999999999909</c:v>
                </c:pt>
                <c:pt idx="1108">
                  <c:v>-143.99999999999909</c:v>
                </c:pt>
                <c:pt idx="1109">
                  <c:v>-143.99999999999909</c:v>
                </c:pt>
                <c:pt idx="1110">
                  <c:v>-143.99999999999909</c:v>
                </c:pt>
                <c:pt idx="1111">
                  <c:v>-143.99999999999909</c:v>
                </c:pt>
                <c:pt idx="1112">
                  <c:v>-143.99999999999909</c:v>
                </c:pt>
                <c:pt idx="1113">
                  <c:v>-143.99999999999909</c:v>
                </c:pt>
                <c:pt idx="1114">
                  <c:v>-143.99999999999909</c:v>
                </c:pt>
                <c:pt idx="1115">
                  <c:v>-143.99999999999909</c:v>
                </c:pt>
                <c:pt idx="1116">
                  <c:v>-143.99999999999909</c:v>
                </c:pt>
                <c:pt idx="1117">
                  <c:v>-143.99999999999909</c:v>
                </c:pt>
                <c:pt idx="1118">
                  <c:v>-143.99999999999909</c:v>
                </c:pt>
                <c:pt idx="1119">
                  <c:v>-143.99999999999909</c:v>
                </c:pt>
                <c:pt idx="1120">
                  <c:v>-143.99999999999909</c:v>
                </c:pt>
                <c:pt idx="1121">
                  <c:v>-143.99999999999909</c:v>
                </c:pt>
                <c:pt idx="1122">
                  <c:v>-143.99999999999909</c:v>
                </c:pt>
                <c:pt idx="1123">
                  <c:v>-143.99999999999909</c:v>
                </c:pt>
                <c:pt idx="1124">
                  <c:v>-143.99999999999909</c:v>
                </c:pt>
                <c:pt idx="1125">
                  <c:v>-143.99999999999909</c:v>
                </c:pt>
                <c:pt idx="1126">
                  <c:v>-143.99999999999909</c:v>
                </c:pt>
                <c:pt idx="1127">
                  <c:v>-143.99999999999909</c:v>
                </c:pt>
                <c:pt idx="1128">
                  <c:v>-143.99999999999909</c:v>
                </c:pt>
                <c:pt idx="1129">
                  <c:v>-143.99999999999909</c:v>
                </c:pt>
                <c:pt idx="1130">
                  <c:v>-143.99999999999909</c:v>
                </c:pt>
                <c:pt idx="1131">
                  <c:v>-143.99999999999909</c:v>
                </c:pt>
                <c:pt idx="1132">
                  <c:v>-143.99999999999909</c:v>
                </c:pt>
                <c:pt idx="1133">
                  <c:v>-143.99999999999909</c:v>
                </c:pt>
                <c:pt idx="1134">
                  <c:v>-143.99999999999909</c:v>
                </c:pt>
                <c:pt idx="1135">
                  <c:v>-143.99999999999909</c:v>
                </c:pt>
                <c:pt idx="1136">
                  <c:v>-143.99999999999909</c:v>
                </c:pt>
                <c:pt idx="1137">
                  <c:v>-143.99999999999909</c:v>
                </c:pt>
                <c:pt idx="1138">
                  <c:v>-143.99999999999909</c:v>
                </c:pt>
                <c:pt idx="1139">
                  <c:v>-143.99999999999909</c:v>
                </c:pt>
                <c:pt idx="1140">
                  <c:v>-143.99999999999909</c:v>
                </c:pt>
                <c:pt idx="1141">
                  <c:v>-143.99999999999909</c:v>
                </c:pt>
                <c:pt idx="1142">
                  <c:v>-143.99999999999909</c:v>
                </c:pt>
                <c:pt idx="1143">
                  <c:v>-143.99999999999909</c:v>
                </c:pt>
                <c:pt idx="1144">
                  <c:v>-143.99999999999909</c:v>
                </c:pt>
                <c:pt idx="1145">
                  <c:v>-143.99999999999909</c:v>
                </c:pt>
                <c:pt idx="1146">
                  <c:v>-143.99999999999909</c:v>
                </c:pt>
                <c:pt idx="1147">
                  <c:v>-143.99999999999909</c:v>
                </c:pt>
                <c:pt idx="1148">
                  <c:v>-143.99999999999909</c:v>
                </c:pt>
                <c:pt idx="1149">
                  <c:v>-143.99999999999909</c:v>
                </c:pt>
                <c:pt idx="1150">
                  <c:v>-143.99999999999909</c:v>
                </c:pt>
                <c:pt idx="1151">
                  <c:v>-143.99999999999909</c:v>
                </c:pt>
                <c:pt idx="1152">
                  <c:v>-143.99999999999909</c:v>
                </c:pt>
                <c:pt idx="1153">
                  <c:v>-143.99999999999909</c:v>
                </c:pt>
                <c:pt idx="1154">
                  <c:v>-143.99999999999909</c:v>
                </c:pt>
                <c:pt idx="1155">
                  <c:v>-143.99999999999909</c:v>
                </c:pt>
                <c:pt idx="1156">
                  <c:v>-143.99999999999909</c:v>
                </c:pt>
                <c:pt idx="1157">
                  <c:v>-143.99999999999909</c:v>
                </c:pt>
                <c:pt idx="1158">
                  <c:v>-143.99999999999909</c:v>
                </c:pt>
                <c:pt idx="1159">
                  <c:v>-143.99999999999909</c:v>
                </c:pt>
                <c:pt idx="1160">
                  <c:v>-143.99999999999909</c:v>
                </c:pt>
                <c:pt idx="1161">
                  <c:v>-143.99999999999909</c:v>
                </c:pt>
                <c:pt idx="1162">
                  <c:v>-143.99999999999909</c:v>
                </c:pt>
                <c:pt idx="1163">
                  <c:v>-143.99999999999909</c:v>
                </c:pt>
                <c:pt idx="1164">
                  <c:v>-143.99999999999909</c:v>
                </c:pt>
                <c:pt idx="1165">
                  <c:v>-143.99999999999909</c:v>
                </c:pt>
                <c:pt idx="1166">
                  <c:v>-143.99999999999909</c:v>
                </c:pt>
                <c:pt idx="1167">
                  <c:v>-143.99999999999909</c:v>
                </c:pt>
                <c:pt idx="1168">
                  <c:v>-143.99999999999909</c:v>
                </c:pt>
                <c:pt idx="1169">
                  <c:v>-143.99999999999909</c:v>
                </c:pt>
                <c:pt idx="1170">
                  <c:v>-143.99999999999909</c:v>
                </c:pt>
                <c:pt idx="1171">
                  <c:v>-143.99999999999909</c:v>
                </c:pt>
                <c:pt idx="1172">
                  <c:v>-143.99999999999909</c:v>
                </c:pt>
                <c:pt idx="1173">
                  <c:v>-143.99999999999909</c:v>
                </c:pt>
                <c:pt idx="1174">
                  <c:v>-143.99999999999909</c:v>
                </c:pt>
                <c:pt idx="1175">
                  <c:v>-143.99999999999909</c:v>
                </c:pt>
                <c:pt idx="1176">
                  <c:v>-143.99999999999909</c:v>
                </c:pt>
                <c:pt idx="1177">
                  <c:v>-143.99999999999909</c:v>
                </c:pt>
                <c:pt idx="1178">
                  <c:v>-143.99999999999909</c:v>
                </c:pt>
                <c:pt idx="1179">
                  <c:v>-143.99999999999909</c:v>
                </c:pt>
                <c:pt idx="1180">
                  <c:v>-143.99999999999909</c:v>
                </c:pt>
                <c:pt idx="1181">
                  <c:v>-143.99999999999909</c:v>
                </c:pt>
                <c:pt idx="1182">
                  <c:v>-143.99999999999909</c:v>
                </c:pt>
                <c:pt idx="1183">
                  <c:v>-143.99999999999909</c:v>
                </c:pt>
                <c:pt idx="1184">
                  <c:v>-143.99999999999909</c:v>
                </c:pt>
                <c:pt idx="1185">
                  <c:v>-143.99999999999909</c:v>
                </c:pt>
                <c:pt idx="1186">
                  <c:v>-143.99999999999909</c:v>
                </c:pt>
                <c:pt idx="1187">
                  <c:v>-143.99999999999909</c:v>
                </c:pt>
                <c:pt idx="1188">
                  <c:v>-143.99999999999909</c:v>
                </c:pt>
                <c:pt idx="1189">
                  <c:v>-143.99999999999909</c:v>
                </c:pt>
                <c:pt idx="1190">
                  <c:v>-143.99999999999909</c:v>
                </c:pt>
                <c:pt idx="1191">
                  <c:v>-143.99999999999909</c:v>
                </c:pt>
                <c:pt idx="1192">
                  <c:v>-143.99999999999909</c:v>
                </c:pt>
                <c:pt idx="1193">
                  <c:v>-143.99999999999909</c:v>
                </c:pt>
                <c:pt idx="1194">
                  <c:v>-143.99999999999909</c:v>
                </c:pt>
                <c:pt idx="1195">
                  <c:v>-143.99999999999909</c:v>
                </c:pt>
                <c:pt idx="1196">
                  <c:v>-143.99999999999909</c:v>
                </c:pt>
                <c:pt idx="1197">
                  <c:v>-143.99999999999909</c:v>
                </c:pt>
                <c:pt idx="1198">
                  <c:v>-143.99999999999909</c:v>
                </c:pt>
                <c:pt idx="1199">
                  <c:v>-143.99999999999909</c:v>
                </c:pt>
                <c:pt idx="1200">
                  <c:v>-143.99999999999909</c:v>
                </c:pt>
                <c:pt idx="1201">
                  <c:v>-143.99999999999909</c:v>
                </c:pt>
                <c:pt idx="1202">
                  <c:v>-143.99999999999909</c:v>
                </c:pt>
                <c:pt idx="1203">
                  <c:v>-143.99999999999909</c:v>
                </c:pt>
                <c:pt idx="1204">
                  <c:v>-143.99999999999909</c:v>
                </c:pt>
                <c:pt idx="1205">
                  <c:v>-143.99999999999909</c:v>
                </c:pt>
                <c:pt idx="1206">
                  <c:v>-143.99999999999909</c:v>
                </c:pt>
                <c:pt idx="1207">
                  <c:v>-143.99999999999909</c:v>
                </c:pt>
                <c:pt idx="1208">
                  <c:v>-143.99999999999909</c:v>
                </c:pt>
                <c:pt idx="1209">
                  <c:v>-143.99999999999909</c:v>
                </c:pt>
                <c:pt idx="1210">
                  <c:v>-143.99999999999909</c:v>
                </c:pt>
                <c:pt idx="1211">
                  <c:v>-143.99999999999909</c:v>
                </c:pt>
                <c:pt idx="1212">
                  <c:v>-143.99999999999909</c:v>
                </c:pt>
                <c:pt idx="1213">
                  <c:v>-143.99999999999909</c:v>
                </c:pt>
                <c:pt idx="1214">
                  <c:v>-143.99999999999909</c:v>
                </c:pt>
                <c:pt idx="1215">
                  <c:v>-143.99999999999909</c:v>
                </c:pt>
                <c:pt idx="1216">
                  <c:v>-143.99999999999909</c:v>
                </c:pt>
                <c:pt idx="1217">
                  <c:v>-143.99999999999909</c:v>
                </c:pt>
                <c:pt idx="1218">
                  <c:v>-143.99999999999909</c:v>
                </c:pt>
                <c:pt idx="1219">
                  <c:v>-143.99999999999909</c:v>
                </c:pt>
                <c:pt idx="1220">
                  <c:v>-143.99999999999909</c:v>
                </c:pt>
                <c:pt idx="1221">
                  <c:v>-143.99999999999909</c:v>
                </c:pt>
                <c:pt idx="1222">
                  <c:v>-143.99999999999909</c:v>
                </c:pt>
                <c:pt idx="1223">
                  <c:v>-143.99999999999909</c:v>
                </c:pt>
                <c:pt idx="1224">
                  <c:v>-143.99999999999909</c:v>
                </c:pt>
                <c:pt idx="1225">
                  <c:v>-143.99999999999909</c:v>
                </c:pt>
                <c:pt idx="1226">
                  <c:v>-143.99999999999909</c:v>
                </c:pt>
                <c:pt idx="1227">
                  <c:v>-143.99999999999909</c:v>
                </c:pt>
                <c:pt idx="1228">
                  <c:v>-143.99999999999909</c:v>
                </c:pt>
                <c:pt idx="1229">
                  <c:v>-143.99999999999909</c:v>
                </c:pt>
                <c:pt idx="1230">
                  <c:v>-143.99999999999909</c:v>
                </c:pt>
                <c:pt idx="1231">
                  <c:v>-143.99999999999909</c:v>
                </c:pt>
                <c:pt idx="1232">
                  <c:v>-143.99999999999909</c:v>
                </c:pt>
                <c:pt idx="1233">
                  <c:v>-143.99999999999909</c:v>
                </c:pt>
                <c:pt idx="1234">
                  <c:v>-143.99999999999909</c:v>
                </c:pt>
                <c:pt idx="1235">
                  <c:v>-143.99999999999909</c:v>
                </c:pt>
                <c:pt idx="1236">
                  <c:v>-143.99999999999909</c:v>
                </c:pt>
                <c:pt idx="1237">
                  <c:v>-143.99999999999909</c:v>
                </c:pt>
              </c:numCache>
            </c:numRef>
          </c:val>
          <c:smooth val="0"/>
          <c:extLst>
            <c:ext xmlns:c16="http://schemas.microsoft.com/office/drawing/2014/chart" uri="{C3380CC4-5D6E-409C-BE32-E72D297353CC}">
              <c16:uniqueId val="{00000002-FF92-4A8A-8C98-4B0CC8D511E7}"/>
            </c:ext>
          </c:extLst>
        </c:ser>
        <c:dLbls>
          <c:showLegendKey val="0"/>
          <c:showVal val="0"/>
          <c:showCatName val="0"/>
          <c:showSerName val="0"/>
          <c:showPercent val="0"/>
          <c:showBubbleSize val="0"/>
        </c:dLbls>
        <c:smooth val="0"/>
        <c:axId val="1846287679"/>
        <c:axId val="2111020303"/>
      </c:lineChart>
      <c:catAx>
        <c:axId val="1846287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020303"/>
        <c:crosses val="autoZero"/>
        <c:auto val="1"/>
        <c:lblAlgn val="ctr"/>
        <c:lblOffset val="100"/>
        <c:noMultiLvlLbl val="0"/>
      </c:catAx>
      <c:valAx>
        <c:axId val="2111020303"/>
        <c:scaling>
          <c:orientation val="minMax"/>
        </c:scaling>
        <c:delete val="0"/>
        <c:axPos val="l"/>
        <c:majorGridlines>
          <c:spPr>
            <a:ln w="9525" cap="flat" cmpd="sng" algn="ctr">
              <a:solidFill>
                <a:schemeClr val="tx2">
                  <a:lumMod val="75000"/>
                  <a:lumOff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2876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TFC COMBOS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TF</c:v>
          </c:tx>
          <c:spPr>
            <a:ln w="28575" cap="rnd">
              <a:solidFill>
                <a:schemeClr val="accent1"/>
              </a:solidFill>
              <a:round/>
            </a:ln>
            <a:effectLst/>
          </c:spPr>
          <c:marker>
            <c:symbol val="none"/>
          </c:marker>
          <c:cat>
            <c:strRef>
              <c:f>'Journal Live'!$A$1388:$A$2630</c:f>
              <c:strCache>
                <c:ptCount val="1238"/>
                <c:pt idx="1">
                  <c:v>JAN.24</c:v>
                </c:pt>
                <c:pt idx="2">
                  <c:v>JAN.24</c:v>
                </c:pt>
                <c:pt idx="3">
                  <c:v>JAN.24</c:v>
                </c:pt>
                <c:pt idx="4">
                  <c:v>JAN.24</c:v>
                </c:pt>
                <c:pt idx="5">
                  <c:v>JAN.24</c:v>
                </c:pt>
                <c:pt idx="6">
                  <c:v>JAN.24</c:v>
                </c:pt>
                <c:pt idx="7">
                  <c:v>JAN.24</c:v>
                </c:pt>
                <c:pt idx="8">
                  <c:v>JAN.24</c:v>
                </c:pt>
                <c:pt idx="9">
                  <c:v>JAN.24</c:v>
                </c:pt>
                <c:pt idx="10">
                  <c:v>JAN.24</c:v>
                </c:pt>
                <c:pt idx="11">
                  <c:v>JAN.24</c:v>
                </c:pt>
                <c:pt idx="12">
                  <c:v>JAN.24</c:v>
                </c:pt>
                <c:pt idx="13">
                  <c:v>JAN.24</c:v>
                </c:pt>
                <c:pt idx="14">
                  <c:v>JAN.24</c:v>
                </c:pt>
                <c:pt idx="15">
                  <c:v>JAN.24</c:v>
                </c:pt>
                <c:pt idx="16">
                  <c:v>JAN.24</c:v>
                </c:pt>
                <c:pt idx="17">
                  <c:v>JAN.24</c:v>
                </c:pt>
                <c:pt idx="18">
                  <c:v>JAN.24</c:v>
                </c:pt>
                <c:pt idx="19">
                  <c:v>JAN.24</c:v>
                </c:pt>
                <c:pt idx="20">
                  <c:v>JAN.24</c:v>
                </c:pt>
                <c:pt idx="21">
                  <c:v>JAN.24</c:v>
                </c:pt>
                <c:pt idx="22">
                  <c:v>JAN.24</c:v>
                </c:pt>
                <c:pt idx="23">
                  <c:v>JAN.24</c:v>
                </c:pt>
                <c:pt idx="24">
                  <c:v>JAN.24</c:v>
                </c:pt>
                <c:pt idx="25">
                  <c:v>JAN.24</c:v>
                </c:pt>
                <c:pt idx="26">
                  <c:v>JAN.24</c:v>
                </c:pt>
                <c:pt idx="27">
                  <c:v>JAN.24</c:v>
                </c:pt>
                <c:pt idx="28">
                  <c:v>JAN.24</c:v>
                </c:pt>
                <c:pt idx="29">
                  <c:v>JAN.24</c:v>
                </c:pt>
                <c:pt idx="30">
                  <c:v>JAN.24</c:v>
                </c:pt>
                <c:pt idx="31">
                  <c:v>JAN.24</c:v>
                </c:pt>
                <c:pt idx="32">
                  <c:v>JAN.24</c:v>
                </c:pt>
                <c:pt idx="33">
                  <c:v>JAN.24</c:v>
                </c:pt>
                <c:pt idx="34">
                  <c:v>JAN.24</c:v>
                </c:pt>
                <c:pt idx="35">
                  <c:v>JAN.24</c:v>
                </c:pt>
                <c:pt idx="36">
                  <c:v>JAN.24</c:v>
                </c:pt>
                <c:pt idx="37">
                  <c:v>JAN.24</c:v>
                </c:pt>
                <c:pt idx="38">
                  <c:v>JAN.24</c:v>
                </c:pt>
                <c:pt idx="39">
                  <c:v>JAN.24</c:v>
                </c:pt>
                <c:pt idx="40">
                  <c:v>JAN.24</c:v>
                </c:pt>
                <c:pt idx="41">
                  <c:v>JAN.24</c:v>
                </c:pt>
                <c:pt idx="42">
                  <c:v>JAN.24</c:v>
                </c:pt>
                <c:pt idx="43">
                  <c:v>JAN.24</c:v>
                </c:pt>
                <c:pt idx="44">
                  <c:v>JAN.24</c:v>
                </c:pt>
                <c:pt idx="45">
                  <c:v>JAN.24</c:v>
                </c:pt>
                <c:pt idx="46">
                  <c:v>JAN.24</c:v>
                </c:pt>
                <c:pt idx="47">
                  <c:v>JAN.24</c:v>
                </c:pt>
                <c:pt idx="48">
                  <c:v>JAN.24</c:v>
                </c:pt>
                <c:pt idx="49">
                  <c:v>JAN.24</c:v>
                </c:pt>
                <c:pt idx="50">
                  <c:v>JAN.24</c:v>
                </c:pt>
                <c:pt idx="51">
                  <c:v>JAN.24</c:v>
                </c:pt>
                <c:pt idx="52">
                  <c:v>JAN.24</c:v>
                </c:pt>
                <c:pt idx="53">
                  <c:v>JAN.24</c:v>
                </c:pt>
                <c:pt idx="54">
                  <c:v>JAN.24</c:v>
                </c:pt>
                <c:pt idx="55">
                  <c:v>JAN.24</c:v>
                </c:pt>
                <c:pt idx="56">
                  <c:v>JAN.24</c:v>
                </c:pt>
                <c:pt idx="57">
                  <c:v>JAN.24</c:v>
                </c:pt>
                <c:pt idx="58">
                  <c:v>JAN.24</c:v>
                </c:pt>
                <c:pt idx="59">
                  <c:v>JAN.24</c:v>
                </c:pt>
                <c:pt idx="60">
                  <c:v>JAN.24</c:v>
                </c:pt>
                <c:pt idx="61">
                  <c:v>JAN.24</c:v>
                </c:pt>
                <c:pt idx="62">
                  <c:v>JAN.24</c:v>
                </c:pt>
                <c:pt idx="63">
                  <c:v>JAN.24</c:v>
                </c:pt>
                <c:pt idx="64">
                  <c:v>JAN.24</c:v>
                </c:pt>
                <c:pt idx="65">
                  <c:v>JAN.24</c:v>
                </c:pt>
                <c:pt idx="66">
                  <c:v>JAN.24</c:v>
                </c:pt>
                <c:pt idx="67">
                  <c:v>JAN.24</c:v>
                </c:pt>
                <c:pt idx="68">
                  <c:v>JAN.24</c:v>
                </c:pt>
                <c:pt idx="69">
                  <c:v>JAN.24</c:v>
                </c:pt>
                <c:pt idx="70">
                  <c:v>JAN.24</c:v>
                </c:pt>
                <c:pt idx="71">
                  <c:v>JAN.24</c:v>
                </c:pt>
                <c:pt idx="72">
                  <c:v>JAN.24</c:v>
                </c:pt>
                <c:pt idx="73">
                  <c:v>JAN.24</c:v>
                </c:pt>
                <c:pt idx="74">
                  <c:v>JAN.24</c:v>
                </c:pt>
                <c:pt idx="75">
                  <c:v>JAN.24</c:v>
                </c:pt>
                <c:pt idx="76">
                  <c:v>JAN.24</c:v>
                </c:pt>
                <c:pt idx="77">
                  <c:v>JAN.24</c:v>
                </c:pt>
                <c:pt idx="78">
                  <c:v>JAN.24</c:v>
                </c:pt>
                <c:pt idx="79">
                  <c:v>JAN.24</c:v>
                </c:pt>
                <c:pt idx="80">
                  <c:v>JAN.24</c:v>
                </c:pt>
                <c:pt idx="81">
                  <c:v>JAN.24</c:v>
                </c:pt>
                <c:pt idx="82">
                  <c:v>JAN.24</c:v>
                </c:pt>
                <c:pt idx="83">
                  <c:v>JAN.24</c:v>
                </c:pt>
                <c:pt idx="84">
                  <c:v>JAN.24</c:v>
                </c:pt>
                <c:pt idx="85">
                  <c:v>JAN.24</c:v>
                </c:pt>
                <c:pt idx="86">
                  <c:v>JAN.24</c:v>
                </c:pt>
                <c:pt idx="87">
                  <c:v>JAN.24</c:v>
                </c:pt>
                <c:pt idx="88">
                  <c:v>JAN.24</c:v>
                </c:pt>
                <c:pt idx="89">
                  <c:v>JAN.24</c:v>
                </c:pt>
                <c:pt idx="90">
                  <c:v>JAN.24</c:v>
                </c:pt>
                <c:pt idx="91">
                  <c:v>JAN.24</c:v>
                </c:pt>
                <c:pt idx="92">
                  <c:v>JAN.24</c:v>
                </c:pt>
                <c:pt idx="93">
                  <c:v>JAN.24</c:v>
                </c:pt>
                <c:pt idx="94">
                  <c:v>JAN.24</c:v>
                </c:pt>
                <c:pt idx="95">
                  <c:v>JAN.24</c:v>
                </c:pt>
                <c:pt idx="96">
                  <c:v>JAN.24</c:v>
                </c:pt>
                <c:pt idx="97">
                  <c:v>JAN.24</c:v>
                </c:pt>
                <c:pt idx="98">
                  <c:v>JAN.24</c:v>
                </c:pt>
                <c:pt idx="99">
                  <c:v>JAN.24</c:v>
                </c:pt>
                <c:pt idx="100">
                  <c:v>JAN.24</c:v>
                </c:pt>
                <c:pt idx="101">
                  <c:v>JAN.24</c:v>
                </c:pt>
                <c:pt idx="102">
                  <c:v>JAN.24</c:v>
                </c:pt>
                <c:pt idx="103">
                  <c:v>JAN.24</c:v>
                </c:pt>
                <c:pt idx="104">
                  <c:v>JAN.24</c:v>
                </c:pt>
                <c:pt idx="105">
                  <c:v>JAN.24</c:v>
                </c:pt>
                <c:pt idx="106">
                  <c:v>JAN.24</c:v>
                </c:pt>
                <c:pt idx="107">
                  <c:v>JAN.24</c:v>
                </c:pt>
                <c:pt idx="108">
                  <c:v>JAN.24</c:v>
                </c:pt>
                <c:pt idx="109">
                  <c:v>JAN.24</c:v>
                </c:pt>
                <c:pt idx="110">
                  <c:v>JAN.24</c:v>
                </c:pt>
                <c:pt idx="111">
                  <c:v>JAN.24</c:v>
                </c:pt>
                <c:pt idx="112">
                  <c:v>JAN.24</c:v>
                </c:pt>
                <c:pt idx="113">
                  <c:v>JAN.24</c:v>
                </c:pt>
                <c:pt idx="114">
                  <c:v>JAN.24</c:v>
                </c:pt>
                <c:pt idx="115">
                  <c:v>JAN.24</c:v>
                </c:pt>
                <c:pt idx="116">
                  <c:v>JAN.24</c:v>
                </c:pt>
                <c:pt idx="117">
                  <c:v>JAN.24</c:v>
                </c:pt>
                <c:pt idx="118">
                  <c:v>JAN.24</c:v>
                </c:pt>
                <c:pt idx="119">
                  <c:v>JAN.24</c:v>
                </c:pt>
                <c:pt idx="120">
                  <c:v>JAN.24</c:v>
                </c:pt>
                <c:pt idx="121">
                  <c:v>JAN.24</c:v>
                </c:pt>
                <c:pt idx="122">
                  <c:v>JAN.24</c:v>
                </c:pt>
                <c:pt idx="123">
                  <c:v>JAN.24</c:v>
                </c:pt>
                <c:pt idx="124">
                  <c:v>JAN.24</c:v>
                </c:pt>
                <c:pt idx="125">
                  <c:v>JAN.24</c:v>
                </c:pt>
                <c:pt idx="126">
                  <c:v>JAN.24</c:v>
                </c:pt>
                <c:pt idx="127">
                  <c:v>JAN.24</c:v>
                </c:pt>
                <c:pt idx="128">
                  <c:v>JAN.24</c:v>
                </c:pt>
                <c:pt idx="129">
                  <c:v>JAN.24</c:v>
                </c:pt>
                <c:pt idx="130">
                  <c:v>JAN.24</c:v>
                </c:pt>
                <c:pt idx="131">
                  <c:v>JAN.24</c:v>
                </c:pt>
                <c:pt idx="132">
                  <c:v>February 24 live</c:v>
                </c:pt>
                <c:pt idx="133">
                  <c:v>FEB.24</c:v>
                </c:pt>
                <c:pt idx="134">
                  <c:v>FEB.24</c:v>
                </c:pt>
                <c:pt idx="135">
                  <c:v>FEB.24</c:v>
                </c:pt>
                <c:pt idx="136">
                  <c:v>FEB.24</c:v>
                </c:pt>
                <c:pt idx="137">
                  <c:v>FEB.24</c:v>
                </c:pt>
                <c:pt idx="138">
                  <c:v>FEB.24</c:v>
                </c:pt>
                <c:pt idx="139">
                  <c:v>FEB.24</c:v>
                </c:pt>
                <c:pt idx="140">
                  <c:v>FEB.24</c:v>
                </c:pt>
                <c:pt idx="141">
                  <c:v>FEB.24</c:v>
                </c:pt>
                <c:pt idx="142">
                  <c:v>FEB.24</c:v>
                </c:pt>
                <c:pt idx="143">
                  <c:v>FEB.24</c:v>
                </c:pt>
                <c:pt idx="144">
                  <c:v>FEB.24</c:v>
                </c:pt>
                <c:pt idx="145">
                  <c:v>FEB.24</c:v>
                </c:pt>
                <c:pt idx="146">
                  <c:v>FEB.24</c:v>
                </c:pt>
                <c:pt idx="147">
                  <c:v>FEB.24</c:v>
                </c:pt>
                <c:pt idx="148">
                  <c:v>FEB.24</c:v>
                </c:pt>
                <c:pt idx="149">
                  <c:v>FEB.24</c:v>
                </c:pt>
                <c:pt idx="150">
                  <c:v>FEB.24</c:v>
                </c:pt>
                <c:pt idx="151">
                  <c:v>FEB.24</c:v>
                </c:pt>
                <c:pt idx="152">
                  <c:v>FEB.24</c:v>
                </c:pt>
                <c:pt idx="153">
                  <c:v>FEB.24</c:v>
                </c:pt>
                <c:pt idx="154">
                  <c:v>FEB.24</c:v>
                </c:pt>
                <c:pt idx="155">
                  <c:v>FEB.24</c:v>
                </c:pt>
                <c:pt idx="156">
                  <c:v>FEB.24</c:v>
                </c:pt>
                <c:pt idx="157">
                  <c:v>FEB.24</c:v>
                </c:pt>
                <c:pt idx="158">
                  <c:v>FEB.24</c:v>
                </c:pt>
                <c:pt idx="159">
                  <c:v>FEB.24</c:v>
                </c:pt>
                <c:pt idx="160">
                  <c:v>FEB.24</c:v>
                </c:pt>
                <c:pt idx="161">
                  <c:v>FEB.24</c:v>
                </c:pt>
                <c:pt idx="162">
                  <c:v>FEB.24</c:v>
                </c:pt>
                <c:pt idx="163">
                  <c:v>FEB.24</c:v>
                </c:pt>
                <c:pt idx="164">
                  <c:v>FEB.24</c:v>
                </c:pt>
                <c:pt idx="165">
                  <c:v>FEB.24</c:v>
                </c:pt>
                <c:pt idx="166">
                  <c:v>FEB.24</c:v>
                </c:pt>
                <c:pt idx="167">
                  <c:v>FEB.24</c:v>
                </c:pt>
                <c:pt idx="168">
                  <c:v>FEB.24</c:v>
                </c:pt>
                <c:pt idx="169">
                  <c:v>FEB.24</c:v>
                </c:pt>
                <c:pt idx="170">
                  <c:v>FEB.24</c:v>
                </c:pt>
                <c:pt idx="171">
                  <c:v>FEB.24</c:v>
                </c:pt>
                <c:pt idx="172">
                  <c:v>FEB.24</c:v>
                </c:pt>
                <c:pt idx="173">
                  <c:v>FEB.24</c:v>
                </c:pt>
                <c:pt idx="174">
                  <c:v>FEB.24</c:v>
                </c:pt>
                <c:pt idx="175">
                  <c:v>FEB.24</c:v>
                </c:pt>
                <c:pt idx="176">
                  <c:v>FEB.24</c:v>
                </c:pt>
                <c:pt idx="177">
                  <c:v>FEB.24</c:v>
                </c:pt>
                <c:pt idx="178">
                  <c:v>FEB.24</c:v>
                </c:pt>
                <c:pt idx="179">
                  <c:v>FEB.24</c:v>
                </c:pt>
                <c:pt idx="180">
                  <c:v>FEB.24</c:v>
                </c:pt>
                <c:pt idx="181">
                  <c:v>FEB.24</c:v>
                </c:pt>
                <c:pt idx="182">
                  <c:v>FEB.24</c:v>
                </c:pt>
                <c:pt idx="183">
                  <c:v>FEB.24</c:v>
                </c:pt>
                <c:pt idx="184">
                  <c:v>FEB.24</c:v>
                </c:pt>
                <c:pt idx="185">
                  <c:v>FEB.24</c:v>
                </c:pt>
                <c:pt idx="186">
                  <c:v>FEB.24</c:v>
                </c:pt>
                <c:pt idx="187">
                  <c:v>FEB.24</c:v>
                </c:pt>
                <c:pt idx="188">
                  <c:v>FEB.24</c:v>
                </c:pt>
                <c:pt idx="189">
                  <c:v>FEB.24</c:v>
                </c:pt>
                <c:pt idx="190">
                  <c:v>FEB.24</c:v>
                </c:pt>
                <c:pt idx="191">
                  <c:v>FEB.24</c:v>
                </c:pt>
                <c:pt idx="192">
                  <c:v>FEB.24</c:v>
                </c:pt>
                <c:pt idx="193">
                  <c:v>FEB.24</c:v>
                </c:pt>
                <c:pt idx="194">
                  <c:v>FEB.24</c:v>
                </c:pt>
                <c:pt idx="195">
                  <c:v>FEB.24</c:v>
                </c:pt>
                <c:pt idx="196">
                  <c:v>FEB.24</c:v>
                </c:pt>
                <c:pt idx="197">
                  <c:v>FEB.24</c:v>
                </c:pt>
                <c:pt idx="198">
                  <c:v>FEB.24</c:v>
                </c:pt>
                <c:pt idx="199">
                  <c:v>FEB.24</c:v>
                </c:pt>
                <c:pt idx="200">
                  <c:v>FEB.24</c:v>
                </c:pt>
                <c:pt idx="201">
                  <c:v>FEB.24</c:v>
                </c:pt>
                <c:pt idx="202">
                  <c:v>FEB.24</c:v>
                </c:pt>
                <c:pt idx="203">
                  <c:v>FEB.24</c:v>
                </c:pt>
                <c:pt idx="204">
                  <c:v>FEB.24</c:v>
                </c:pt>
                <c:pt idx="205">
                  <c:v>FEB.24</c:v>
                </c:pt>
                <c:pt idx="206">
                  <c:v>FEB.24</c:v>
                </c:pt>
                <c:pt idx="207">
                  <c:v>FEB.24</c:v>
                </c:pt>
                <c:pt idx="208">
                  <c:v>FEB.24</c:v>
                </c:pt>
                <c:pt idx="209">
                  <c:v>FEB.24</c:v>
                </c:pt>
                <c:pt idx="210">
                  <c:v>FEB.24</c:v>
                </c:pt>
                <c:pt idx="211">
                  <c:v>FEB.24</c:v>
                </c:pt>
                <c:pt idx="212">
                  <c:v>FEB.24</c:v>
                </c:pt>
                <c:pt idx="213">
                  <c:v>FEB.24</c:v>
                </c:pt>
                <c:pt idx="214">
                  <c:v>FEB.24</c:v>
                </c:pt>
                <c:pt idx="215">
                  <c:v>FEB.24</c:v>
                </c:pt>
                <c:pt idx="216">
                  <c:v>FEB.24</c:v>
                </c:pt>
                <c:pt idx="217">
                  <c:v>FEB.24</c:v>
                </c:pt>
                <c:pt idx="218">
                  <c:v>FEB.24</c:v>
                </c:pt>
                <c:pt idx="219">
                  <c:v>FEB.24</c:v>
                </c:pt>
                <c:pt idx="220">
                  <c:v>FEB.24</c:v>
                </c:pt>
                <c:pt idx="221">
                  <c:v>FEB.24</c:v>
                </c:pt>
                <c:pt idx="222">
                  <c:v>FEB.24</c:v>
                </c:pt>
                <c:pt idx="223">
                  <c:v>FEB.24</c:v>
                </c:pt>
                <c:pt idx="224">
                  <c:v>FEB.24</c:v>
                </c:pt>
                <c:pt idx="225">
                  <c:v>FEB.24</c:v>
                </c:pt>
                <c:pt idx="226">
                  <c:v>FEB.24</c:v>
                </c:pt>
                <c:pt idx="227">
                  <c:v>FEB.24</c:v>
                </c:pt>
                <c:pt idx="228">
                  <c:v>FEB.24</c:v>
                </c:pt>
                <c:pt idx="229">
                  <c:v>FEB.24</c:v>
                </c:pt>
                <c:pt idx="230">
                  <c:v>FEB.24</c:v>
                </c:pt>
                <c:pt idx="231">
                  <c:v>FEB.24</c:v>
                </c:pt>
                <c:pt idx="232">
                  <c:v>FEB.24</c:v>
                </c:pt>
                <c:pt idx="233">
                  <c:v>FEB.24</c:v>
                </c:pt>
                <c:pt idx="234">
                  <c:v>FEB.24</c:v>
                </c:pt>
                <c:pt idx="235">
                  <c:v>FEB.24</c:v>
                </c:pt>
                <c:pt idx="236">
                  <c:v>FEB.24</c:v>
                </c:pt>
                <c:pt idx="237">
                  <c:v>FEB.24</c:v>
                </c:pt>
                <c:pt idx="238">
                  <c:v>FEB.24</c:v>
                </c:pt>
                <c:pt idx="239">
                  <c:v>FEB.24</c:v>
                </c:pt>
                <c:pt idx="240">
                  <c:v>FEB.24</c:v>
                </c:pt>
                <c:pt idx="241">
                  <c:v>FEB.24</c:v>
                </c:pt>
                <c:pt idx="242">
                  <c:v>FEB.24</c:v>
                </c:pt>
                <c:pt idx="243">
                  <c:v>FEB.24</c:v>
                </c:pt>
                <c:pt idx="244">
                  <c:v>FEB.24</c:v>
                </c:pt>
                <c:pt idx="245">
                  <c:v>FEB.24</c:v>
                </c:pt>
                <c:pt idx="246">
                  <c:v>FEB.24</c:v>
                </c:pt>
                <c:pt idx="247">
                  <c:v>FEB.24</c:v>
                </c:pt>
                <c:pt idx="248">
                  <c:v>FEB.24</c:v>
                </c:pt>
                <c:pt idx="249">
                  <c:v>FEB.24</c:v>
                </c:pt>
                <c:pt idx="250">
                  <c:v>FEB.24</c:v>
                </c:pt>
                <c:pt idx="251">
                  <c:v>FEB.24</c:v>
                </c:pt>
                <c:pt idx="252">
                  <c:v>March 24 live</c:v>
                </c:pt>
                <c:pt idx="253">
                  <c:v>MAR.24</c:v>
                </c:pt>
                <c:pt idx="254">
                  <c:v>MAR.24</c:v>
                </c:pt>
                <c:pt idx="255">
                  <c:v>MAR.24</c:v>
                </c:pt>
                <c:pt idx="256">
                  <c:v>MAR.24</c:v>
                </c:pt>
                <c:pt idx="257">
                  <c:v>MAR.24</c:v>
                </c:pt>
                <c:pt idx="258">
                  <c:v>MAR.24</c:v>
                </c:pt>
                <c:pt idx="259">
                  <c:v>MAR.24</c:v>
                </c:pt>
                <c:pt idx="260">
                  <c:v>MAR.24</c:v>
                </c:pt>
                <c:pt idx="261">
                  <c:v>MAR.24</c:v>
                </c:pt>
                <c:pt idx="262">
                  <c:v>MAR.24</c:v>
                </c:pt>
                <c:pt idx="263">
                  <c:v>MAR.24</c:v>
                </c:pt>
                <c:pt idx="264">
                  <c:v>MAR.24</c:v>
                </c:pt>
                <c:pt idx="265">
                  <c:v>MAR.24</c:v>
                </c:pt>
                <c:pt idx="266">
                  <c:v>MAR.24</c:v>
                </c:pt>
                <c:pt idx="267">
                  <c:v>MAR.24</c:v>
                </c:pt>
                <c:pt idx="268">
                  <c:v>MAR.24</c:v>
                </c:pt>
                <c:pt idx="269">
                  <c:v>MAR.24</c:v>
                </c:pt>
                <c:pt idx="270">
                  <c:v>MAR.24</c:v>
                </c:pt>
                <c:pt idx="271">
                  <c:v>MAR.24</c:v>
                </c:pt>
                <c:pt idx="272">
                  <c:v>MAR.24</c:v>
                </c:pt>
                <c:pt idx="273">
                  <c:v>MAR.24</c:v>
                </c:pt>
                <c:pt idx="274">
                  <c:v>MAR.24</c:v>
                </c:pt>
                <c:pt idx="275">
                  <c:v>MAR.24</c:v>
                </c:pt>
                <c:pt idx="276">
                  <c:v>MAR.24</c:v>
                </c:pt>
                <c:pt idx="277">
                  <c:v>MAR.24</c:v>
                </c:pt>
                <c:pt idx="278">
                  <c:v>MAR.24</c:v>
                </c:pt>
                <c:pt idx="279">
                  <c:v>MAR.24</c:v>
                </c:pt>
                <c:pt idx="280">
                  <c:v>MAR.24</c:v>
                </c:pt>
                <c:pt idx="281">
                  <c:v>MAR.24</c:v>
                </c:pt>
                <c:pt idx="282">
                  <c:v>MAR.24</c:v>
                </c:pt>
                <c:pt idx="283">
                  <c:v>MAR.24</c:v>
                </c:pt>
                <c:pt idx="284">
                  <c:v>MAR.24</c:v>
                </c:pt>
                <c:pt idx="285">
                  <c:v>MAR.24</c:v>
                </c:pt>
                <c:pt idx="286">
                  <c:v>MAR.24</c:v>
                </c:pt>
                <c:pt idx="287">
                  <c:v>MAR.24</c:v>
                </c:pt>
                <c:pt idx="288">
                  <c:v>MAR.24</c:v>
                </c:pt>
                <c:pt idx="289">
                  <c:v>MAR.24</c:v>
                </c:pt>
                <c:pt idx="290">
                  <c:v>MAR.24</c:v>
                </c:pt>
                <c:pt idx="291">
                  <c:v>MAR.24</c:v>
                </c:pt>
                <c:pt idx="292">
                  <c:v>MAR.24</c:v>
                </c:pt>
                <c:pt idx="293">
                  <c:v>MAR.24</c:v>
                </c:pt>
                <c:pt idx="294">
                  <c:v>MAR.24</c:v>
                </c:pt>
                <c:pt idx="295">
                  <c:v>MAR.24</c:v>
                </c:pt>
                <c:pt idx="296">
                  <c:v>MAR.24</c:v>
                </c:pt>
                <c:pt idx="297">
                  <c:v>MAR.24</c:v>
                </c:pt>
                <c:pt idx="298">
                  <c:v>MAR.24</c:v>
                </c:pt>
                <c:pt idx="299">
                  <c:v>MAR.24</c:v>
                </c:pt>
                <c:pt idx="300">
                  <c:v>MAR.24</c:v>
                </c:pt>
                <c:pt idx="301">
                  <c:v>MAR.24</c:v>
                </c:pt>
                <c:pt idx="302">
                  <c:v>MAR.24</c:v>
                </c:pt>
                <c:pt idx="303">
                  <c:v>MAR.24</c:v>
                </c:pt>
                <c:pt idx="304">
                  <c:v>MAR.24</c:v>
                </c:pt>
                <c:pt idx="305">
                  <c:v>MAR.24</c:v>
                </c:pt>
                <c:pt idx="306">
                  <c:v>MAR.24</c:v>
                </c:pt>
                <c:pt idx="307">
                  <c:v>MAR.24</c:v>
                </c:pt>
                <c:pt idx="308">
                  <c:v>MAR.24</c:v>
                </c:pt>
                <c:pt idx="309">
                  <c:v>MAR.24</c:v>
                </c:pt>
                <c:pt idx="310">
                  <c:v>MAR.24</c:v>
                </c:pt>
                <c:pt idx="311">
                  <c:v>MAR.24</c:v>
                </c:pt>
                <c:pt idx="312">
                  <c:v>MAR.24</c:v>
                </c:pt>
                <c:pt idx="313">
                  <c:v>MAR.24</c:v>
                </c:pt>
                <c:pt idx="314">
                  <c:v>MAR.24</c:v>
                </c:pt>
                <c:pt idx="315">
                  <c:v>MAR.24</c:v>
                </c:pt>
                <c:pt idx="316">
                  <c:v>MAR.24</c:v>
                </c:pt>
                <c:pt idx="317">
                  <c:v>MAR.24</c:v>
                </c:pt>
                <c:pt idx="318">
                  <c:v>MAR.24</c:v>
                </c:pt>
                <c:pt idx="319">
                  <c:v>MAR.24</c:v>
                </c:pt>
                <c:pt idx="320">
                  <c:v>MAR.24</c:v>
                </c:pt>
                <c:pt idx="321">
                  <c:v>MAR.24</c:v>
                </c:pt>
                <c:pt idx="322">
                  <c:v>MAR.24</c:v>
                </c:pt>
                <c:pt idx="323">
                  <c:v>MAR.24</c:v>
                </c:pt>
                <c:pt idx="324">
                  <c:v>MAR.24</c:v>
                </c:pt>
                <c:pt idx="325">
                  <c:v>MAR.24</c:v>
                </c:pt>
                <c:pt idx="326">
                  <c:v>MAR.24</c:v>
                </c:pt>
                <c:pt idx="327">
                  <c:v>MAR.24</c:v>
                </c:pt>
                <c:pt idx="328">
                  <c:v>MAR.24</c:v>
                </c:pt>
                <c:pt idx="329">
                  <c:v>MAR.24</c:v>
                </c:pt>
                <c:pt idx="330">
                  <c:v>MAR.24</c:v>
                </c:pt>
                <c:pt idx="331">
                  <c:v>MAR.24</c:v>
                </c:pt>
                <c:pt idx="332">
                  <c:v>MAR.24</c:v>
                </c:pt>
                <c:pt idx="333">
                  <c:v>MAR.24</c:v>
                </c:pt>
                <c:pt idx="334">
                  <c:v>MAR.24</c:v>
                </c:pt>
                <c:pt idx="335">
                  <c:v>MAR.24</c:v>
                </c:pt>
                <c:pt idx="336">
                  <c:v>MAR.24</c:v>
                </c:pt>
                <c:pt idx="337">
                  <c:v>MAR.24</c:v>
                </c:pt>
                <c:pt idx="338">
                  <c:v>MAR.24</c:v>
                </c:pt>
                <c:pt idx="339">
                  <c:v>MAR.24</c:v>
                </c:pt>
                <c:pt idx="340">
                  <c:v>MAR.24</c:v>
                </c:pt>
                <c:pt idx="341">
                  <c:v>MAR.24</c:v>
                </c:pt>
                <c:pt idx="342">
                  <c:v>MAR.24</c:v>
                </c:pt>
                <c:pt idx="343">
                  <c:v>MAR.24</c:v>
                </c:pt>
                <c:pt idx="344">
                  <c:v>MAR.24</c:v>
                </c:pt>
                <c:pt idx="345">
                  <c:v>April 24 live</c:v>
                </c:pt>
                <c:pt idx="346">
                  <c:v>APR.24</c:v>
                </c:pt>
                <c:pt idx="347">
                  <c:v>APR.24</c:v>
                </c:pt>
                <c:pt idx="348">
                  <c:v>APR.24</c:v>
                </c:pt>
                <c:pt idx="349">
                  <c:v>APR.24</c:v>
                </c:pt>
                <c:pt idx="350">
                  <c:v>APR.24</c:v>
                </c:pt>
                <c:pt idx="351">
                  <c:v>APR.24</c:v>
                </c:pt>
                <c:pt idx="352">
                  <c:v>APR.24</c:v>
                </c:pt>
                <c:pt idx="353">
                  <c:v>APR.24</c:v>
                </c:pt>
                <c:pt idx="354">
                  <c:v>APR.24</c:v>
                </c:pt>
                <c:pt idx="355">
                  <c:v>APR.24</c:v>
                </c:pt>
                <c:pt idx="356">
                  <c:v>APR.24</c:v>
                </c:pt>
                <c:pt idx="357">
                  <c:v>APR.24</c:v>
                </c:pt>
                <c:pt idx="358">
                  <c:v>APR.24</c:v>
                </c:pt>
                <c:pt idx="359">
                  <c:v>APR.24</c:v>
                </c:pt>
                <c:pt idx="360">
                  <c:v>APR.24</c:v>
                </c:pt>
                <c:pt idx="361">
                  <c:v>APR.24</c:v>
                </c:pt>
                <c:pt idx="362">
                  <c:v>APR.24</c:v>
                </c:pt>
                <c:pt idx="363">
                  <c:v>APR.24</c:v>
                </c:pt>
                <c:pt idx="364">
                  <c:v>APR.24</c:v>
                </c:pt>
                <c:pt idx="365">
                  <c:v>APR.24</c:v>
                </c:pt>
                <c:pt idx="366">
                  <c:v>APR.24</c:v>
                </c:pt>
                <c:pt idx="367">
                  <c:v>APR.24</c:v>
                </c:pt>
                <c:pt idx="368">
                  <c:v>APR.24</c:v>
                </c:pt>
                <c:pt idx="369">
                  <c:v>APR.24</c:v>
                </c:pt>
                <c:pt idx="370">
                  <c:v>APR.24</c:v>
                </c:pt>
                <c:pt idx="371">
                  <c:v>APR.24</c:v>
                </c:pt>
                <c:pt idx="372">
                  <c:v>APR.24</c:v>
                </c:pt>
                <c:pt idx="373">
                  <c:v>APR.24</c:v>
                </c:pt>
                <c:pt idx="374">
                  <c:v>APR.24</c:v>
                </c:pt>
                <c:pt idx="375">
                  <c:v>APR.24</c:v>
                </c:pt>
                <c:pt idx="376">
                  <c:v>APR.24</c:v>
                </c:pt>
                <c:pt idx="377">
                  <c:v>APR.24</c:v>
                </c:pt>
                <c:pt idx="378">
                  <c:v>APR.24</c:v>
                </c:pt>
                <c:pt idx="379">
                  <c:v>APR.24</c:v>
                </c:pt>
                <c:pt idx="380">
                  <c:v>APR.24</c:v>
                </c:pt>
                <c:pt idx="381">
                  <c:v>APR.24</c:v>
                </c:pt>
                <c:pt idx="382">
                  <c:v>APR.24</c:v>
                </c:pt>
                <c:pt idx="383">
                  <c:v>APR.24</c:v>
                </c:pt>
                <c:pt idx="384">
                  <c:v>APR.24</c:v>
                </c:pt>
                <c:pt idx="385">
                  <c:v>APR.24</c:v>
                </c:pt>
                <c:pt idx="386">
                  <c:v>APR.24</c:v>
                </c:pt>
                <c:pt idx="387">
                  <c:v>APR.24</c:v>
                </c:pt>
                <c:pt idx="388">
                  <c:v>APR.24</c:v>
                </c:pt>
                <c:pt idx="389">
                  <c:v>APR.24</c:v>
                </c:pt>
                <c:pt idx="390">
                  <c:v>APR.24</c:v>
                </c:pt>
                <c:pt idx="391">
                  <c:v>APR.24</c:v>
                </c:pt>
                <c:pt idx="392">
                  <c:v>APR.24</c:v>
                </c:pt>
                <c:pt idx="393">
                  <c:v>APR.24</c:v>
                </c:pt>
                <c:pt idx="394">
                  <c:v>APR.24</c:v>
                </c:pt>
                <c:pt idx="395">
                  <c:v>APR.24</c:v>
                </c:pt>
                <c:pt idx="396">
                  <c:v>APR.24</c:v>
                </c:pt>
                <c:pt idx="397">
                  <c:v>APR.24</c:v>
                </c:pt>
                <c:pt idx="398">
                  <c:v>APR.24</c:v>
                </c:pt>
                <c:pt idx="399">
                  <c:v>APR.24</c:v>
                </c:pt>
                <c:pt idx="400">
                  <c:v>APR.24</c:v>
                </c:pt>
                <c:pt idx="401">
                  <c:v>APR.24</c:v>
                </c:pt>
                <c:pt idx="402">
                  <c:v>APR.24</c:v>
                </c:pt>
                <c:pt idx="403">
                  <c:v>APR.24</c:v>
                </c:pt>
                <c:pt idx="404">
                  <c:v>APR.24</c:v>
                </c:pt>
                <c:pt idx="405">
                  <c:v>APR.24</c:v>
                </c:pt>
                <c:pt idx="406">
                  <c:v>APR.24</c:v>
                </c:pt>
                <c:pt idx="407">
                  <c:v>APR.24</c:v>
                </c:pt>
                <c:pt idx="408">
                  <c:v>APR.24</c:v>
                </c:pt>
                <c:pt idx="409">
                  <c:v>APR.24</c:v>
                </c:pt>
                <c:pt idx="410">
                  <c:v>APR.24</c:v>
                </c:pt>
                <c:pt idx="411">
                  <c:v>APR.24</c:v>
                </c:pt>
                <c:pt idx="412">
                  <c:v>APR.24</c:v>
                </c:pt>
                <c:pt idx="413">
                  <c:v>APR.24</c:v>
                </c:pt>
                <c:pt idx="414">
                  <c:v>APR.24</c:v>
                </c:pt>
                <c:pt idx="415">
                  <c:v>APR.24</c:v>
                </c:pt>
                <c:pt idx="416">
                  <c:v>APR.24</c:v>
                </c:pt>
                <c:pt idx="417">
                  <c:v>APR.24</c:v>
                </c:pt>
                <c:pt idx="418">
                  <c:v>APR.24</c:v>
                </c:pt>
                <c:pt idx="419">
                  <c:v>APR.24</c:v>
                </c:pt>
                <c:pt idx="420">
                  <c:v>APR.24</c:v>
                </c:pt>
                <c:pt idx="421">
                  <c:v>APR.24</c:v>
                </c:pt>
                <c:pt idx="422">
                  <c:v>APR.24</c:v>
                </c:pt>
                <c:pt idx="423">
                  <c:v>APR.24</c:v>
                </c:pt>
                <c:pt idx="424">
                  <c:v>APR.24</c:v>
                </c:pt>
                <c:pt idx="425">
                  <c:v>APR.24</c:v>
                </c:pt>
                <c:pt idx="426">
                  <c:v>APR.24</c:v>
                </c:pt>
                <c:pt idx="427">
                  <c:v>APR.24</c:v>
                </c:pt>
                <c:pt idx="428">
                  <c:v>APR.24</c:v>
                </c:pt>
                <c:pt idx="429">
                  <c:v>APR.24</c:v>
                </c:pt>
                <c:pt idx="430">
                  <c:v>APR.24</c:v>
                </c:pt>
                <c:pt idx="431">
                  <c:v>APR.24</c:v>
                </c:pt>
                <c:pt idx="432">
                  <c:v>APR.24</c:v>
                </c:pt>
                <c:pt idx="433">
                  <c:v>APR.24</c:v>
                </c:pt>
                <c:pt idx="434">
                  <c:v>APR.24</c:v>
                </c:pt>
                <c:pt idx="435">
                  <c:v>APR.24</c:v>
                </c:pt>
                <c:pt idx="436">
                  <c:v>APR.24</c:v>
                </c:pt>
                <c:pt idx="437">
                  <c:v>APR.24</c:v>
                </c:pt>
                <c:pt idx="438">
                  <c:v>APR.24</c:v>
                </c:pt>
                <c:pt idx="439">
                  <c:v>APR.24</c:v>
                </c:pt>
                <c:pt idx="440">
                  <c:v>APR.24</c:v>
                </c:pt>
                <c:pt idx="441">
                  <c:v>APR.24</c:v>
                </c:pt>
                <c:pt idx="442">
                  <c:v>APR.24</c:v>
                </c:pt>
                <c:pt idx="443">
                  <c:v>APR.24</c:v>
                </c:pt>
                <c:pt idx="444">
                  <c:v>APR.24</c:v>
                </c:pt>
                <c:pt idx="445">
                  <c:v>APR.24</c:v>
                </c:pt>
                <c:pt idx="446">
                  <c:v>APR.24</c:v>
                </c:pt>
                <c:pt idx="447">
                  <c:v>APR.24</c:v>
                </c:pt>
                <c:pt idx="448">
                  <c:v>APR.24</c:v>
                </c:pt>
                <c:pt idx="449">
                  <c:v>APR.24</c:v>
                </c:pt>
                <c:pt idx="450">
                  <c:v>APR.24</c:v>
                </c:pt>
                <c:pt idx="451">
                  <c:v>APR.24</c:v>
                </c:pt>
                <c:pt idx="452">
                  <c:v>APR.24</c:v>
                </c:pt>
                <c:pt idx="453">
                  <c:v>APR.24</c:v>
                </c:pt>
                <c:pt idx="454">
                  <c:v>APR.24</c:v>
                </c:pt>
                <c:pt idx="455">
                  <c:v>APR.24</c:v>
                </c:pt>
                <c:pt idx="456">
                  <c:v>APR.24</c:v>
                </c:pt>
                <c:pt idx="457">
                  <c:v>APR.24</c:v>
                </c:pt>
                <c:pt idx="458">
                  <c:v>APR.24</c:v>
                </c:pt>
                <c:pt idx="459">
                  <c:v>APR.24</c:v>
                </c:pt>
                <c:pt idx="460">
                  <c:v>APR.24</c:v>
                </c:pt>
                <c:pt idx="461">
                  <c:v>APR.24</c:v>
                </c:pt>
                <c:pt idx="462">
                  <c:v>APR.24</c:v>
                </c:pt>
                <c:pt idx="463">
                  <c:v>APR.24</c:v>
                </c:pt>
                <c:pt idx="464">
                  <c:v>APR.24</c:v>
                </c:pt>
                <c:pt idx="465">
                  <c:v>APR.24</c:v>
                </c:pt>
                <c:pt idx="466">
                  <c:v>APR.24</c:v>
                </c:pt>
                <c:pt idx="467">
                  <c:v>APR.24</c:v>
                </c:pt>
                <c:pt idx="468">
                  <c:v>APR.24</c:v>
                </c:pt>
                <c:pt idx="469">
                  <c:v>APR.24</c:v>
                </c:pt>
                <c:pt idx="470">
                  <c:v>APR.24</c:v>
                </c:pt>
                <c:pt idx="471">
                  <c:v>APR.24</c:v>
                </c:pt>
                <c:pt idx="472">
                  <c:v>APR.24</c:v>
                </c:pt>
                <c:pt idx="473">
                  <c:v>APR.24</c:v>
                </c:pt>
                <c:pt idx="474">
                  <c:v>APR.24</c:v>
                </c:pt>
                <c:pt idx="475">
                  <c:v>APR.24</c:v>
                </c:pt>
                <c:pt idx="476">
                  <c:v>APR.24</c:v>
                </c:pt>
                <c:pt idx="477">
                  <c:v>APR.24</c:v>
                </c:pt>
                <c:pt idx="478">
                  <c:v>APR.24</c:v>
                </c:pt>
                <c:pt idx="479">
                  <c:v>APR.24</c:v>
                </c:pt>
                <c:pt idx="480">
                  <c:v>APR.24</c:v>
                </c:pt>
                <c:pt idx="481">
                  <c:v>APR.24</c:v>
                </c:pt>
                <c:pt idx="482">
                  <c:v>APR.24</c:v>
                </c:pt>
                <c:pt idx="483">
                  <c:v>APR.24</c:v>
                </c:pt>
                <c:pt idx="484">
                  <c:v>APR.24</c:v>
                </c:pt>
                <c:pt idx="485">
                  <c:v>APR.24</c:v>
                </c:pt>
                <c:pt idx="486">
                  <c:v>APR.24</c:v>
                </c:pt>
                <c:pt idx="487">
                  <c:v>APR.24</c:v>
                </c:pt>
                <c:pt idx="488">
                  <c:v>APR.24</c:v>
                </c:pt>
                <c:pt idx="489">
                  <c:v>APR.24</c:v>
                </c:pt>
                <c:pt idx="490">
                  <c:v>APR.24</c:v>
                </c:pt>
                <c:pt idx="491">
                  <c:v>APR.24</c:v>
                </c:pt>
                <c:pt idx="492">
                  <c:v>APR.24</c:v>
                </c:pt>
                <c:pt idx="493">
                  <c:v>APR.24</c:v>
                </c:pt>
                <c:pt idx="494">
                  <c:v>APR.24</c:v>
                </c:pt>
                <c:pt idx="495">
                  <c:v>APR.24</c:v>
                </c:pt>
                <c:pt idx="496">
                  <c:v>APR.24</c:v>
                </c:pt>
                <c:pt idx="497">
                  <c:v>APR.24</c:v>
                </c:pt>
                <c:pt idx="498">
                  <c:v>APR.24</c:v>
                </c:pt>
                <c:pt idx="499">
                  <c:v>APR.24</c:v>
                </c:pt>
                <c:pt idx="500">
                  <c:v>APR.24</c:v>
                </c:pt>
                <c:pt idx="501">
                  <c:v>APR.24</c:v>
                </c:pt>
                <c:pt idx="502">
                  <c:v>APR.24</c:v>
                </c:pt>
                <c:pt idx="503">
                  <c:v>APR.24</c:v>
                </c:pt>
                <c:pt idx="504">
                  <c:v>APR.24</c:v>
                </c:pt>
                <c:pt idx="505">
                  <c:v>APR.24</c:v>
                </c:pt>
                <c:pt idx="506">
                  <c:v>APR.24</c:v>
                </c:pt>
                <c:pt idx="507">
                  <c:v>APR.24</c:v>
                </c:pt>
                <c:pt idx="508">
                  <c:v>APR.24</c:v>
                </c:pt>
                <c:pt idx="509">
                  <c:v>APR.24</c:v>
                </c:pt>
                <c:pt idx="510">
                  <c:v>APR.24</c:v>
                </c:pt>
                <c:pt idx="511">
                  <c:v>APR.24</c:v>
                </c:pt>
                <c:pt idx="512">
                  <c:v>APR.24</c:v>
                </c:pt>
                <c:pt idx="513">
                  <c:v>APR.24</c:v>
                </c:pt>
                <c:pt idx="514">
                  <c:v>APR.24</c:v>
                </c:pt>
                <c:pt idx="515">
                  <c:v>APR.24</c:v>
                </c:pt>
                <c:pt idx="516">
                  <c:v>APR.24</c:v>
                </c:pt>
                <c:pt idx="517">
                  <c:v>APR.24</c:v>
                </c:pt>
                <c:pt idx="518">
                  <c:v>APR.24</c:v>
                </c:pt>
                <c:pt idx="519">
                  <c:v>APR.24</c:v>
                </c:pt>
                <c:pt idx="520">
                  <c:v>APR.24</c:v>
                </c:pt>
                <c:pt idx="521">
                  <c:v>APR.24</c:v>
                </c:pt>
                <c:pt idx="522">
                  <c:v>APR.24</c:v>
                </c:pt>
                <c:pt idx="523">
                  <c:v>APR.24</c:v>
                </c:pt>
                <c:pt idx="524">
                  <c:v>APR.24</c:v>
                </c:pt>
                <c:pt idx="525">
                  <c:v>APR.24</c:v>
                </c:pt>
                <c:pt idx="526">
                  <c:v>APR.24</c:v>
                </c:pt>
                <c:pt idx="527">
                  <c:v>APR.24</c:v>
                </c:pt>
                <c:pt idx="528">
                  <c:v>APR.24</c:v>
                </c:pt>
                <c:pt idx="529">
                  <c:v>APR.24</c:v>
                </c:pt>
                <c:pt idx="530">
                  <c:v>APR.24</c:v>
                </c:pt>
                <c:pt idx="531">
                  <c:v>APR.24</c:v>
                </c:pt>
                <c:pt idx="532">
                  <c:v>APR.24</c:v>
                </c:pt>
                <c:pt idx="533">
                  <c:v>APR.24</c:v>
                </c:pt>
                <c:pt idx="534">
                  <c:v>APR.24</c:v>
                </c:pt>
                <c:pt idx="535">
                  <c:v>APR.24</c:v>
                </c:pt>
                <c:pt idx="536">
                  <c:v>May 24 live</c:v>
                </c:pt>
                <c:pt idx="537">
                  <c:v>MAY.24</c:v>
                </c:pt>
                <c:pt idx="538">
                  <c:v>MAY.24</c:v>
                </c:pt>
                <c:pt idx="539">
                  <c:v>MAY.24</c:v>
                </c:pt>
                <c:pt idx="540">
                  <c:v>MAY.24</c:v>
                </c:pt>
                <c:pt idx="541">
                  <c:v>MAY.24</c:v>
                </c:pt>
                <c:pt idx="542">
                  <c:v>MAY.24</c:v>
                </c:pt>
                <c:pt idx="543">
                  <c:v>MAY.24</c:v>
                </c:pt>
                <c:pt idx="544">
                  <c:v>MAY.24</c:v>
                </c:pt>
                <c:pt idx="545">
                  <c:v>MAY.24</c:v>
                </c:pt>
                <c:pt idx="546">
                  <c:v>MAY.24</c:v>
                </c:pt>
                <c:pt idx="547">
                  <c:v>MAY.24</c:v>
                </c:pt>
                <c:pt idx="548">
                  <c:v>MAY.24</c:v>
                </c:pt>
                <c:pt idx="549">
                  <c:v>MAY.24</c:v>
                </c:pt>
                <c:pt idx="550">
                  <c:v>MAY.24</c:v>
                </c:pt>
                <c:pt idx="551">
                  <c:v>MAY.24</c:v>
                </c:pt>
                <c:pt idx="552">
                  <c:v>MAY.24</c:v>
                </c:pt>
                <c:pt idx="553">
                  <c:v>MAY.24</c:v>
                </c:pt>
                <c:pt idx="554">
                  <c:v>MAY.24</c:v>
                </c:pt>
                <c:pt idx="555">
                  <c:v>MAY.24</c:v>
                </c:pt>
                <c:pt idx="556">
                  <c:v>MAY.24</c:v>
                </c:pt>
                <c:pt idx="557">
                  <c:v>MAY.24</c:v>
                </c:pt>
                <c:pt idx="558">
                  <c:v>MAY.24</c:v>
                </c:pt>
                <c:pt idx="559">
                  <c:v>MAY.24</c:v>
                </c:pt>
                <c:pt idx="560">
                  <c:v>MAY.24</c:v>
                </c:pt>
                <c:pt idx="561">
                  <c:v>MAY.24</c:v>
                </c:pt>
                <c:pt idx="562">
                  <c:v>MAY.24</c:v>
                </c:pt>
                <c:pt idx="563">
                  <c:v>MAY.24</c:v>
                </c:pt>
                <c:pt idx="564">
                  <c:v>MAY.24</c:v>
                </c:pt>
                <c:pt idx="565">
                  <c:v>MAY.24</c:v>
                </c:pt>
                <c:pt idx="566">
                  <c:v>MAY.24</c:v>
                </c:pt>
                <c:pt idx="567">
                  <c:v>MAY.24</c:v>
                </c:pt>
                <c:pt idx="568">
                  <c:v>MAY.24</c:v>
                </c:pt>
                <c:pt idx="569">
                  <c:v>MAY.24</c:v>
                </c:pt>
                <c:pt idx="570">
                  <c:v>MAY.24</c:v>
                </c:pt>
                <c:pt idx="571">
                  <c:v>MAY.24</c:v>
                </c:pt>
                <c:pt idx="572">
                  <c:v>MAY.24</c:v>
                </c:pt>
                <c:pt idx="573">
                  <c:v>MAY.24</c:v>
                </c:pt>
                <c:pt idx="574">
                  <c:v>MAY.24</c:v>
                </c:pt>
                <c:pt idx="575">
                  <c:v>MAY.24</c:v>
                </c:pt>
                <c:pt idx="576">
                  <c:v>MAY.24</c:v>
                </c:pt>
                <c:pt idx="577">
                  <c:v>MAY.24</c:v>
                </c:pt>
                <c:pt idx="578">
                  <c:v>MAY.24</c:v>
                </c:pt>
                <c:pt idx="579">
                  <c:v>MAY.24</c:v>
                </c:pt>
                <c:pt idx="580">
                  <c:v>MAY.24</c:v>
                </c:pt>
                <c:pt idx="581">
                  <c:v>MAY.24</c:v>
                </c:pt>
                <c:pt idx="582">
                  <c:v>MAY.24</c:v>
                </c:pt>
                <c:pt idx="583">
                  <c:v>MAY.24</c:v>
                </c:pt>
                <c:pt idx="584">
                  <c:v>MAY.24</c:v>
                </c:pt>
                <c:pt idx="585">
                  <c:v>MAY.24</c:v>
                </c:pt>
                <c:pt idx="586">
                  <c:v>MAY.24</c:v>
                </c:pt>
                <c:pt idx="587">
                  <c:v>MAY.24</c:v>
                </c:pt>
                <c:pt idx="588">
                  <c:v>MAY.24</c:v>
                </c:pt>
                <c:pt idx="589">
                  <c:v>MAY.24</c:v>
                </c:pt>
                <c:pt idx="590">
                  <c:v>MAY.24</c:v>
                </c:pt>
                <c:pt idx="591">
                  <c:v>MAY.24</c:v>
                </c:pt>
                <c:pt idx="592">
                  <c:v>MAY.24</c:v>
                </c:pt>
                <c:pt idx="593">
                  <c:v>MAY.24</c:v>
                </c:pt>
                <c:pt idx="594">
                  <c:v>MAY.24</c:v>
                </c:pt>
                <c:pt idx="595">
                  <c:v>MAY.24</c:v>
                </c:pt>
                <c:pt idx="596">
                  <c:v>MAY.24</c:v>
                </c:pt>
                <c:pt idx="597">
                  <c:v>MAY.24</c:v>
                </c:pt>
                <c:pt idx="598">
                  <c:v>MAY.24</c:v>
                </c:pt>
                <c:pt idx="599">
                  <c:v>MAY.24</c:v>
                </c:pt>
                <c:pt idx="600">
                  <c:v>MAY.24</c:v>
                </c:pt>
                <c:pt idx="601">
                  <c:v>MAY.24</c:v>
                </c:pt>
                <c:pt idx="602">
                  <c:v>MAY.24</c:v>
                </c:pt>
                <c:pt idx="603">
                  <c:v>MAY.24</c:v>
                </c:pt>
                <c:pt idx="604">
                  <c:v>MAY.24</c:v>
                </c:pt>
                <c:pt idx="605">
                  <c:v>MAY.24</c:v>
                </c:pt>
                <c:pt idx="606">
                  <c:v>MAY.24</c:v>
                </c:pt>
                <c:pt idx="607">
                  <c:v>MAY.24</c:v>
                </c:pt>
                <c:pt idx="608">
                  <c:v>MAY.24</c:v>
                </c:pt>
                <c:pt idx="609">
                  <c:v>MAY.24</c:v>
                </c:pt>
                <c:pt idx="610">
                  <c:v>MAY.24</c:v>
                </c:pt>
                <c:pt idx="611">
                  <c:v>MAY.24</c:v>
                </c:pt>
                <c:pt idx="612">
                  <c:v>MAY.24</c:v>
                </c:pt>
                <c:pt idx="613">
                  <c:v>MAY.24</c:v>
                </c:pt>
                <c:pt idx="614">
                  <c:v>MAY.24</c:v>
                </c:pt>
                <c:pt idx="615">
                  <c:v>MAY.24</c:v>
                </c:pt>
                <c:pt idx="616">
                  <c:v>MAY.24</c:v>
                </c:pt>
                <c:pt idx="617">
                  <c:v>MAY.24</c:v>
                </c:pt>
                <c:pt idx="618">
                  <c:v>MAY.24</c:v>
                </c:pt>
                <c:pt idx="619">
                  <c:v>MAY.24</c:v>
                </c:pt>
                <c:pt idx="620">
                  <c:v>MAY.24</c:v>
                </c:pt>
                <c:pt idx="621">
                  <c:v>MAY.24</c:v>
                </c:pt>
                <c:pt idx="622">
                  <c:v>MAY.24</c:v>
                </c:pt>
                <c:pt idx="623">
                  <c:v>MAY.24</c:v>
                </c:pt>
                <c:pt idx="624">
                  <c:v>MAY.24</c:v>
                </c:pt>
                <c:pt idx="625">
                  <c:v>MAY.24</c:v>
                </c:pt>
                <c:pt idx="626">
                  <c:v>MAY.24</c:v>
                </c:pt>
                <c:pt idx="627">
                  <c:v>MAY.24</c:v>
                </c:pt>
                <c:pt idx="628">
                  <c:v>MAY.24</c:v>
                </c:pt>
                <c:pt idx="629">
                  <c:v>MAY.24</c:v>
                </c:pt>
                <c:pt idx="630">
                  <c:v>MAY.24</c:v>
                </c:pt>
                <c:pt idx="631">
                  <c:v>MAY.24</c:v>
                </c:pt>
                <c:pt idx="632">
                  <c:v>MAY.24</c:v>
                </c:pt>
                <c:pt idx="633">
                  <c:v>MAY.24</c:v>
                </c:pt>
                <c:pt idx="634">
                  <c:v>MAY.24</c:v>
                </c:pt>
                <c:pt idx="635">
                  <c:v>MAY.24</c:v>
                </c:pt>
                <c:pt idx="636">
                  <c:v>MAY.24</c:v>
                </c:pt>
                <c:pt idx="637">
                  <c:v>MAY.24</c:v>
                </c:pt>
                <c:pt idx="638">
                  <c:v>MAY.24</c:v>
                </c:pt>
                <c:pt idx="639">
                  <c:v>MAY.24</c:v>
                </c:pt>
                <c:pt idx="640">
                  <c:v>MAY.24</c:v>
                </c:pt>
                <c:pt idx="641">
                  <c:v>MAY.24</c:v>
                </c:pt>
                <c:pt idx="642">
                  <c:v>MAY.24</c:v>
                </c:pt>
                <c:pt idx="643">
                  <c:v>MAY.24</c:v>
                </c:pt>
                <c:pt idx="644">
                  <c:v>MAY.24</c:v>
                </c:pt>
                <c:pt idx="645">
                  <c:v>MAY.24</c:v>
                </c:pt>
                <c:pt idx="646">
                  <c:v>MAY.24</c:v>
                </c:pt>
                <c:pt idx="647">
                  <c:v>MAY.24</c:v>
                </c:pt>
                <c:pt idx="648">
                  <c:v>MAY.24</c:v>
                </c:pt>
                <c:pt idx="649">
                  <c:v>MAY.24</c:v>
                </c:pt>
                <c:pt idx="650">
                  <c:v>MAY.24</c:v>
                </c:pt>
                <c:pt idx="651">
                  <c:v>MAY.24</c:v>
                </c:pt>
                <c:pt idx="652">
                  <c:v>MAY.24</c:v>
                </c:pt>
                <c:pt idx="653">
                  <c:v>MAY.24</c:v>
                </c:pt>
                <c:pt idx="654">
                  <c:v>MAY.24</c:v>
                </c:pt>
                <c:pt idx="655">
                  <c:v>MAY.24</c:v>
                </c:pt>
                <c:pt idx="656">
                  <c:v>MAY.24</c:v>
                </c:pt>
                <c:pt idx="657">
                  <c:v>MAY.24</c:v>
                </c:pt>
                <c:pt idx="658">
                  <c:v>MAY.24</c:v>
                </c:pt>
                <c:pt idx="659">
                  <c:v>MAY.24</c:v>
                </c:pt>
                <c:pt idx="660">
                  <c:v>MAY.24</c:v>
                </c:pt>
                <c:pt idx="661">
                  <c:v>MAY.24</c:v>
                </c:pt>
                <c:pt idx="662">
                  <c:v>MAY.24</c:v>
                </c:pt>
                <c:pt idx="663">
                  <c:v>MAY.24</c:v>
                </c:pt>
                <c:pt idx="664">
                  <c:v>MAY.24</c:v>
                </c:pt>
                <c:pt idx="665">
                  <c:v>MAY.24</c:v>
                </c:pt>
                <c:pt idx="666">
                  <c:v>MAY.24</c:v>
                </c:pt>
                <c:pt idx="667">
                  <c:v>MAY.24</c:v>
                </c:pt>
                <c:pt idx="668">
                  <c:v>MAY.24</c:v>
                </c:pt>
                <c:pt idx="669">
                  <c:v>MAY.24</c:v>
                </c:pt>
                <c:pt idx="670">
                  <c:v>MAY.24</c:v>
                </c:pt>
                <c:pt idx="671">
                  <c:v>MAY.24</c:v>
                </c:pt>
                <c:pt idx="672">
                  <c:v>MAY.24</c:v>
                </c:pt>
                <c:pt idx="673">
                  <c:v>MAY.24</c:v>
                </c:pt>
                <c:pt idx="674">
                  <c:v>MAY.24</c:v>
                </c:pt>
                <c:pt idx="675">
                  <c:v>MAY.24</c:v>
                </c:pt>
                <c:pt idx="676">
                  <c:v>MAY.24</c:v>
                </c:pt>
                <c:pt idx="677">
                  <c:v>MAY.24</c:v>
                </c:pt>
                <c:pt idx="678">
                  <c:v>MAY.24</c:v>
                </c:pt>
                <c:pt idx="679">
                  <c:v>MAY.24</c:v>
                </c:pt>
                <c:pt idx="680">
                  <c:v>MAY.24</c:v>
                </c:pt>
                <c:pt idx="681">
                  <c:v>MAY.24 after disaster</c:v>
                </c:pt>
                <c:pt idx="682">
                  <c:v>MAY.24</c:v>
                </c:pt>
                <c:pt idx="683">
                  <c:v>MAY.24</c:v>
                </c:pt>
                <c:pt idx="684">
                  <c:v>MAY.24</c:v>
                </c:pt>
                <c:pt idx="685">
                  <c:v>MAY.24</c:v>
                </c:pt>
                <c:pt idx="686">
                  <c:v>MAY.24</c:v>
                </c:pt>
                <c:pt idx="687">
                  <c:v>MAY.24</c:v>
                </c:pt>
                <c:pt idx="688">
                  <c:v>MAY.24</c:v>
                </c:pt>
                <c:pt idx="689">
                  <c:v>MAY.24</c:v>
                </c:pt>
                <c:pt idx="690">
                  <c:v>MAY.24</c:v>
                </c:pt>
                <c:pt idx="691">
                  <c:v>MAY.24</c:v>
                </c:pt>
                <c:pt idx="692">
                  <c:v>MAY.24</c:v>
                </c:pt>
                <c:pt idx="693">
                  <c:v>MAY.24</c:v>
                </c:pt>
                <c:pt idx="694">
                  <c:v>MAY.24</c:v>
                </c:pt>
                <c:pt idx="695">
                  <c:v>MAY.24</c:v>
                </c:pt>
                <c:pt idx="696">
                  <c:v>MAY.24 recovery</c:v>
                </c:pt>
                <c:pt idx="697">
                  <c:v>MAY.24</c:v>
                </c:pt>
                <c:pt idx="698">
                  <c:v>MAY.24</c:v>
                </c:pt>
                <c:pt idx="699">
                  <c:v>MAY.24</c:v>
                </c:pt>
                <c:pt idx="700">
                  <c:v>MAY.24</c:v>
                </c:pt>
                <c:pt idx="701">
                  <c:v>MAY.24</c:v>
                </c:pt>
                <c:pt idx="702">
                  <c:v>MAY.24</c:v>
                </c:pt>
                <c:pt idx="703">
                  <c:v>MAY.24</c:v>
                </c:pt>
                <c:pt idx="704">
                  <c:v>MAY.24</c:v>
                </c:pt>
                <c:pt idx="705">
                  <c:v>MAY.24</c:v>
                </c:pt>
                <c:pt idx="706">
                  <c:v>MAY.24</c:v>
                </c:pt>
                <c:pt idx="707">
                  <c:v>MAY.24</c:v>
                </c:pt>
                <c:pt idx="708">
                  <c:v>MAY.24</c:v>
                </c:pt>
                <c:pt idx="709">
                  <c:v>MAY.24</c:v>
                </c:pt>
                <c:pt idx="710">
                  <c:v>MAY.24</c:v>
                </c:pt>
                <c:pt idx="711">
                  <c:v>MAY.24</c:v>
                </c:pt>
                <c:pt idx="712">
                  <c:v>MAY.24</c:v>
                </c:pt>
                <c:pt idx="713">
                  <c:v>MAY.24</c:v>
                </c:pt>
                <c:pt idx="714">
                  <c:v>MAY.24</c:v>
                </c:pt>
                <c:pt idx="715">
                  <c:v>MAY.24</c:v>
                </c:pt>
                <c:pt idx="716">
                  <c:v>MAY.24</c:v>
                </c:pt>
                <c:pt idx="717">
                  <c:v>MAY.24</c:v>
                </c:pt>
                <c:pt idx="718">
                  <c:v>MAY.24</c:v>
                </c:pt>
                <c:pt idx="719">
                  <c:v>MAY.24</c:v>
                </c:pt>
                <c:pt idx="720">
                  <c:v>MAY.24</c:v>
                </c:pt>
                <c:pt idx="721">
                  <c:v>MAY.24</c:v>
                </c:pt>
                <c:pt idx="722">
                  <c:v>MAY.24</c:v>
                </c:pt>
                <c:pt idx="723">
                  <c:v>MAY.24</c:v>
                </c:pt>
                <c:pt idx="724">
                  <c:v>MAY.24</c:v>
                </c:pt>
                <c:pt idx="725">
                  <c:v>MAY.24</c:v>
                </c:pt>
                <c:pt idx="726">
                  <c:v>MAY.24</c:v>
                </c:pt>
                <c:pt idx="727">
                  <c:v>MAY.24</c:v>
                </c:pt>
                <c:pt idx="728">
                  <c:v>MAY.24</c:v>
                </c:pt>
                <c:pt idx="729">
                  <c:v>MAY.24</c:v>
                </c:pt>
                <c:pt idx="730">
                  <c:v>MAY.24</c:v>
                </c:pt>
                <c:pt idx="731">
                  <c:v>June24 live</c:v>
                </c:pt>
                <c:pt idx="732">
                  <c:v>JUN.24</c:v>
                </c:pt>
                <c:pt idx="733">
                  <c:v>JUN.24</c:v>
                </c:pt>
                <c:pt idx="734">
                  <c:v>JUN.24</c:v>
                </c:pt>
                <c:pt idx="735">
                  <c:v>JUN.24</c:v>
                </c:pt>
                <c:pt idx="736">
                  <c:v>JUN.24</c:v>
                </c:pt>
                <c:pt idx="737">
                  <c:v>JUN.24</c:v>
                </c:pt>
                <c:pt idx="738">
                  <c:v>JUN.24</c:v>
                </c:pt>
                <c:pt idx="739">
                  <c:v>JUN.24</c:v>
                </c:pt>
                <c:pt idx="740">
                  <c:v>JUN.24</c:v>
                </c:pt>
                <c:pt idx="741">
                  <c:v>JUN.24</c:v>
                </c:pt>
                <c:pt idx="742">
                  <c:v>JUN.24</c:v>
                </c:pt>
                <c:pt idx="743">
                  <c:v>JUN.24</c:v>
                </c:pt>
                <c:pt idx="744">
                  <c:v>JUN.24</c:v>
                </c:pt>
                <c:pt idx="745">
                  <c:v>JUN.24</c:v>
                </c:pt>
                <c:pt idx="746">
                  <c:v>JUN.24</c:v>
                </c:pt>
                <c:pt idx="747">
                  <c:v>JUN.24</c:v>
                </c:pt>
                <c:pt idx="748">
                  <c:v>JUN.24</c:v>
                </c:pt>
                <c:pt idx="749">
                  <c:v>JUN.24</c:v>
                </c:pt>
                <c:pt idx="750">
                  <c:v>JUN.24</c:v>
                </c:pt>
                <c:pt idx="751">
                  <c:v>JUN.24</c:v>
                </c:pt>
                <c:pt idx="752">
                  <c:v>JUN.24</c:v>
                </c:pt>
                <c:pt idx="753">
                  <c:v>JUN.24</c:v>
                </c:pt>
                <c:pt idx="754">
                  <c:v>JUN.24</c:v>
                </c:pt>
                <c:pt idx="755">
                  <c:v>JUN.24</c:v>
                </c:pt>
                <c:pt idx="756">
                  <c:v>JUN.24</c:v>
                </c:pt>
                <c:pt idx="757">
                  <c:v>JUN.24</c:v>
                </c:pt>
                <c:pt idx="758">
                  <c:v>JUN.24</c:v>
                </c:pt>
                <c:pt idx="759">
                  <c:v>JUN.24</c:v>
                </c:pt>
                <c:pt idx="760">
                  <c:v>JUN.24</c:v>
                </c:pt>
                <c:pt idx="761">
                  <c:v>JUN.24</c:v>
                </c:pt>
                <c:pt idx="762">
                  <c:v>JUN.24</c:v>
                </c:pt>
                <c:pt idx="763">
                  <c:v>JUN.24</c:v>
                </c:pt>
                <c:pt idx="764">
                  <c:v>JUN.24</c:v>
                </c:pt>
                <c:pt idx="765">
                  <c:v>JUN.24</c:v>
                </c:pt>
                <c:pt idx="766">
                  <c:v>JUN.24</c:v>
                </c:pt>
                <c:pt idx="767">
                  <c:v>JUN.24</c:v>
                </c:pt>
                <c:pt idx="768">
                  <c:v>JUN.24</c:v>
                </c:pt>
                <c:pt idx="769">
                  <c:v>JUN.24</c:v>
                </c:pt>
                <c:pt idx="770">
                  <c:v>JUN.24</c:v>
                </c:pt>
                <c:pt idx="771">
                  <c:v>JUN.24</c:v>
                </c:pt>
                <c:pt idx="772">
                  <c:v>JUN.24</c:v>
                </c:pt>
                <c:pt idx="773">
                  <c:v>JUN.24</c:v>
                </c:pt>
                <c:pt idx="774">
                  <c:v>JUN.24</c:v>
                </c:pt>
                <c:pt idx="775">
                  <c:v>JUN.24</c:v>
                </c:pt>
                <c:pt idx="776">
                  <c:v>JUN.24</c:v>
                </c:pt>
                <c:pt idx="777">
                  <c:v>JUN.24</c:v>
                </c:pt>
                <c:pt idx="778">
                  <c:v>JUN.24</c:v>
                </c:pt>
                <c:pt idx="779">
                  <c:v>JUN.24</c:v>
                </c:pt>
                <c:pt idx="780">
                  <c:v>JUN.24</c:v>
                </c:pt>
                <c:pt idx="781">
                  <c:v>JUN.24</c:v>
                </c:pt>
                <c:pt idx="782">
                  <c:v>JUN.24</c:v>
                </c:pt>
                <c:pt idx="783">
                  <c:v>JUN.24</c:v>
                </c:pt>
                <c:pt idx="784">
                  <c:v>JUN.24</c:v>
                </c:pt>
                <c:pt idx="785">
                  <c:v>JUN.24</c:v>
                </c:pt>
                <c:pt idx="786">
                  <c:v>JUN.24</c:v>
                </c:pt>
                <c:pt idx="787">
                  <c:v>JUN.24</c:v>
                </c:pt>
                <c:pt idx="788">
                  <c:v>JUN.24</c:v>
                </c:pt>
                <c:pt idx="789">
                  <c:v>JUN.24</c:v>
                </c:pt>
                <c:pt idx="790">
                  <c:v>JUN.24</c:v>
                </c:pt>
                <c:pt idx="791">
                  <c:v>JUN.24</c:v>
                </c:pt>
                <c:pt idx="792">
                  <c:v>JUN.24</c:v>
                </c:pt>
                <c:pt idx="793">
                  <c:v>JUN.24</c:v>
                </c:pt>
                <c:pt idx="794">
                  <c:v>JUN.24</c:v>
                </c:pt>
                <c:pt idx="795">
                  <c:v>JUN.24</c:v>
                </c:pt>
                <c:pt idx="796">
                  <c:v>JUN.24</c:v>
                </c:pt>
                <c:pt idx="797">
                  <c:v>JUN.24</c:v>
                </c:pt>
                <c:pt idx="798">
                  <c:v>JUN.24</c:v>
                </c:pt>
                <c:pt idx="799">
                  <c:v>JUN.24</c:v>
                </c:pt>
                <c:pt idx="800">
                  <c:v>JUN.24</c:v>
                </c:pt>
                <c:pt idx="801">
                  <c:v>JUN.24</c:v>
                </c:pt>
                <c:pt idx="802">
                  <c:v>JUN.24</c:v>
                </c:pt>
                <c:pt idx="803">
                  <c:v>JUN.24</c:v>
                </c:pt>
                <c:pt idx="804">
                  <c:v>JUN.24</c:v>
                </c:pt>
                <c:pt idx="805">
                  <c:v>JUN.24</c:v>
                </c:pt>
                <c:pt idx="806">
                  <c:v>JUN.24</c:v>
                </c:pt>
                <c:pt idx="807">
                  <c:v>JUN.24</c:v>
                </c:pt>
                <c:pt idx="808">
                  <c:v>JUN.24</c:v>
                </c:pt>
                <c:pt idx="809">
                  <c:v>JUN.24</c:v>
                </c:pt>
                <c:pt idx="810">
                  <c:v>JUN.24</c:v>
                </c:pt>
                <c:pt idx="811">
                  <c:v>JUN.24</c:v>
                </c:pt>
                <c:pt idx="812">
                  <c:v>JUN.24</c:v>
                </c:pt>
                <c:pt idx="813">
                  <c:v>JUN.24</c:v>
                </c:pt>
                <c:pt idx="814">
                  <c:v>JUN.24</c:v>
                </c:pt>
                <c:pt idx="815">
                  <c:v>JUN.24</c:v>
                </c:pt>
                <c:pt idx="816">
                  <c:v>JUN.24</c:v>
                </c:pt>
                <c:pt idx="817">
                  <c:v>JUN.24</c:v>
                </c:pt>
                <c:pt idx="818">
                  <c:v>JUN.24</c:v>
                </c:pt>
                <c:pt idx="819">
                  <c:v>JUN.24</c:v>
                </c:pt>
                <c:pt idx="820">
                  <c:v>JUN.24</c:v>
                </c:pt>
                <c:pt idx="821">
                  <c:v>JUN.24</c:v>
                </c:pt>
                <c:pt idx="822">
                  <c:v>JUN.24</c:v>
                </c:pt>
                <c:pt idx="823">
                  <c:v>JUN.24</c:v>
                </c:pt>
                <c:pt idx="824">
                  <c:v>JUN.24</c:v>
                </c:pt>
                <c:pt idx="825">
                  <c:v>JUN.24</c:v>
                </c:pt>
                <c:pt idx="826">
                  <c:v>JUN.24</c:v>
                </c:pt>
                <c:pt idx="827">
                  <c:v>JUN.24</c:v>
                </c:pt>
                <c:pt idx="828">
                  <c:v>JUN.24</c:v>
                </c:pt>
                <c:pt idx="829">
                  <c:v>JUN.24</c:v>
                </c:pt>
                <c:pt idx="830">
                  <c:v>JUN.24</c:v>
                </c:pt>
                <c:pt idx="831">
                  <c:v>JUN.24</c:v>
                </c:pt>
                <c:pt idx="832">
                  <c:v>JUN.24</c:v>
                </c:pt>
                <c:pt idx="833">
                  <c:v>JUN.24</c:v>
                </c:pt>
                <c:pt idx="834">
                  <c:v>JUN.24</c:v>
                </c:pt>
                <c:pt idx="835">
                  <c:v>JUN.24</c:v>
                </c:pt>
                <c:pt idx="836">
                  <c:v>JUN.24</c:v>
                </c:pt>
                <c:pt idx="837">
                  <c:v>JUN.24</c:v>
                </c:pt>
                <c:pt idx="838">
                  <c:v>JUN.24</c:v>
                </c:pt>
                <c:pt idx="839">
                  <c:v>JUN.24</c:v>
                </c:pt>
                <c:pt idx="840">
                  <c:v>JUN.24</c:v>
                </c:pt>
                <c:pt idx="841">
                  <c:v>JUN.24</c:v>
                </c:pt>
                <c:pt idx="842">
                  <c:v>JUN.24</c:v>
                </c:pt>
                <c:pt idx="843">
                  <c:v>JUN.24</c:v>
                </c:pt>
                <c:pt idx="844">
                  <c:v>JUN.24</c:v>
                </c:pt>
                <c:pt idx="845">
                  <c:v>JUN.24</c:v>
                </c:pt>
                <c:pt idx="846">
                  <c:v>JUN.24</c:v>
                </c:pt>
                <c:pt idx="847">
                  <c:v>JUN.24</c:v>
                </c:pt>
                <c:pt idx="848">
                  <c:v>JUN.24</c:v>
                </c:pt>
                <c:pt idx="849">
                  <c:v>JUN.24</c:v>
                </c:pt>
                <c:pt idx="850">
                  <c:v>JUN.24</c:v>
                </c:pt>
                <c:pt idx="851">
                  <c:v>JUN.24</c:v>
                </c:pt>
                <c:pt idx="852">
                  <c:v>JUN.24</c:v>
                </c:pt>
                <c:pt idx="853">
                  <c:v>JUN.24</c:v>
                </c:pt>
                <c:pt idx="854">
                  <c:v>JUN.24</c:v>
                </c:pt>
                <c:pt idx="855">
                  <c:v>JUN.24</c:v>
                </c:pt>
                <c:pt idx="856">
                  <c:v>JUN.24</c:v>
                </c:pt>
                <c:pt idx="857">
                  <c:v>JUN.24</c:v>
                </c:pt>
                <c:pt idx="858">
                  <c:v>JUN.24</c:v>
                </c:pt>
                <c:pt idx="859">
                  <c:v>JUN.24</c:v>
                </c:pt>
                <c:pt idx="860">
                  <c:v>JUN.24</c:v>
                </c:pt>
                <c:pt idx="861">
                  <c:v>JUN.24</c:v>
                </c:pt>
                <c:pt idx="862">
                  <c:v>JUN.24</c:v>
                </c:pt>
                <c:pt idx="863">
                  <c:v>JUN.24</c:v>
                </c:pt>
                <c:pt idx="864">
                  <c:v>JUN.24</c:v>
                </c:pt>
                <c:pt idx="865">
                  <c:v>JUN.24</c:v>
                </c:pt>
                <c:pt idx="866">
                  <c:v>JUN.24</c:v>
                </c:pt>
                <c:pt idx="867">
                  <c:v>JUN.24</c:v>
                </c:pt>
                <c:pt idx="868">
                  <c:v>JUN.24</c:v>
                </c:pt>
                <c:pt idx="869">
                  <c:v>JUN.24</c:v>
                </c:pt>
                <c:pt idx="870">
                  <c:v>JUN.24</c:v>
                </c:pt>
                <c:pt idx="871">
                  <c:v>JUN.24</c:v>
                </c:pt>
                <c:pt idx="872">
                  <c:v>JUN.24</c:v>
                </c:pt>
                <c:pt idx="873">
                  <c:v>JUN.24</c:v>
                </c:pt>
                <c:pt idx="874">
                  <c:v>JUN.24</c:v>
                </c:pt>
                <c:pt idx="875">
                  <c:v>JUN.24</c:v>
                </c:pt>
                <c:pt idx="876">
                  <c:v>JUN.24</c:v>
                </c:pt>
                <c:pt idx="877">
                  <c:v>JUN.24</c:v>
                </c:pt>
                <c:pt idx="878">
                  <c:v>JUN.24</c:v>
                </c:pt>
                <c:pt idx="879">
                  <c:v>JUN.24 BLOWUP</c:v>
                </c:pt>
                <c:pt idx="880">
                  <c:v>JUN.24</c:v>
                </c:pt>
                <c:pt idx="881">
                  <c:v>JUN.24</c:v>
                </c:pt>
                <c:pt idx="882">
                  <c:v>JUN.24</c:v>
                </c:pt>
                <c:pt idx="883">
                  <c:v>JUN.24</c:v>
                </c:pt>
                <c:pt idx="884">
                  <c:v>JUN.24</c:v>
                </c:pt>
                <c:pt idx="885">
                  <c:v>JUN.24</c:v>
                </c:pt>
                <c:pt idx="886">
                  <c:v>JUN.24</c:v>
                </c:pt>
                <c:pt idx="887">
                  <c:v>JUN.24</c:v>
                </c:pt>
                <c:pt idx="888">
                  <c:v>July24 live (R+1) | REDUCE INTRADAY &gt;1D TRADES</c:v>
                </c:pt>
                <c:pt idx="889">
                  <c:v>JUL.24</c:v>
                </c:pt>
                <c:pt idx="890">
                  <c:v>JUL.24</c:v>
                </c:pt>
                <c:pt idx="891">
                  <c:v>JUL.24</c:v>
                </c:pt>
                <c:pt idx="892">
                  <c:v>JUL.24</c:v>
                </c:pt>
                <c:pt idx="893">
                  <c:v>JUL.24</c:v>
                </c:pt>
                <c:pt idx="894">
                  <c:v>JUL.24</c:v>
                </c:pt>
                <c:pt idx="895">
                  <c:v>JUL.24</c:v>
                </c:pt>
                <c:pt idx="896">
                  <c:v>JUL.24</c:v>
                </c:pt>
                <c:pt idx="897">
                  <c:v>JUL.24</c:v>
                </c:pt>
                <c:pt idx="898">
                  <c:v>JUL.24</c:v>
                </c:pt>
                <c:pt idx="899">
                  <c:v>JUL.24</c:v>
                </c:pt>
                <c:pt idx="900">
                  <c:v>JUL.24</c:v>
                </c:pt>
                <c:pt idx="901">
                  <c:v>JUL.24</c:v>
                </c:pt>
                <c:pt idx="902">
                  <c:v>JUL.24</c:v>
                </c:pt>
                <c:pt idx="903">
                  <c:v>JUL.24</c:v>
                </c:pt>
                <c:pt idx="904">
                  <c:v>JUL.24</c:v>
                </c:pt>
                <c:pt idx="905">
                  <c:v>JUL.24</c:v>
                </c:pt>
                <c:pt idx="906">
                  <c:v>JUL.24</c:v>
                </c:pt>
                <c:pt idx="907">
                  <c:v>JUL.24</c:v>
                </c:pt>
                <c:pt idx="908">
                  <c:v>JUL.24</c:v>
                </c:pt>
                <c:pt idx="909">
                  <c:v>JUL.24</c:v>
                </c:pt>
                <c:pt idx="910">
                  <c:v>JUL.24</c:v>
                </c:pt>
                <c:pt idx="911">
                  <c:v>JUL.24</c:v>
                </c:pt>
                <c:pt idx="912">
                  <c:v>JUL.24</c:v>
                </c:pt>
                <c:pt idx="913">
                  <c:v>JUL.24</c:v>
                </c:pt>
                <c:pt idx="914">
                  <c:v>JUL.24</c:v>
                </c:pt>
                <c:pt idx="915">
                  <c:v>JUL.24</c:v>
                </c:pt>
                <c:pt idx="916">
                  <c:v>JUL.24</c:v>
                </c:pt>
                <c:pt idx="917">
                  <c:v>JUL.24</c:v>
                </c:pt>
                <c:pt idx="918">
                  <c:v>JUL.24</c:v>
                </c:pt>
                <c:pt idx="919">
                  <c:v>JUL.24</c:v>
                </c:pt>
                <c:pt idx="920">
                  <c:v>JUL.24</c:v>
                </c:pt>
                <c:pt idx="921">
                  <c:v>JUL.24</c:v>
                </c:pt>
                <c:pt idx="922">
                  <c:v>JUL.24</c:v>
                </c:pt>
                <c:pt idx="923">
                  <c:v>JUL.24</c:v>
                </c:pt>
                <c:pt idx="924">
                  <c:v>JUL.24</c:v>
                </c:pt>
                <c:pt idx="925">
                  <c:v>JUL.24</c:v>
                </c:pt>
                <c:pt idx="926">
                  <c:v>JUL.24</c:v>
                </c:pt>
                <c:pt idx="927">
                  <c:v>JUL.24</c:v>
                </c:pt>
                <c:pt idx="928">
                  <c:v>JUL.24</c:v>
                </c:pt>
                <c:pt idx="929">
                  <c:v>JUL.24</c:v>
                </c:pt>
                <c:pt idx="930">
                  <c:v>JUL.24</c:v>
                </c:pt>
                <c:pt idx="931">
                  <c:v>JUL.24</c:v>
                </c:pt>
                <c:pt idx="932">
                  <c:v>JUL.24</c:v>
                </c:pt>
                <c:pt idx="933">
                  <c:v>JUL.24</c:v>
                </c:pt>
                <c:pt idx="934">
                  <c:v>JUL.24</c:v>
                </c:pt>
                <c:pt idx="935">
                  <c:v>JUL.24</c:v>
                </c:pt>
                <c:pt idx="936">
                  <c:v>JUL.24</c:v>
                </c:pt>
                <c:pt idx="937">
                  <c:v>JUL.24</c:v>
                </c:pt>
                <c:pt idx="938">
                  <c:v>JUL.24</c:v>
                </c:pt>
                <c:pt idx="939">
                  <c:v>JUL.24</c:v>
                </c:pt>
                <c:pt idx="940">
                  <c:v>JUL.24</c:v>
                </c:pt>
                <c:pt idx="941">
                  <c:v>JUL.24</c:v>
                </c:pt>
                <c:pt idx="942">
                  <c:v>JUL.24</c:v>
                </c:pt>
                <c:pt idx="943">
                  <c:v>JUL.24</c:v>
                </c:pt>
                <c:pt idx="944">
                  <c:v>JUL.24</c:v>
                </c:pt>
                <c:pt idx="945">
                  <c:v>JUL.24</c:v>
                </c:pt>
                <c:pt idx="946">
                  <c:v>JUL.24</c:v>
                </c:pt>
                <c:pt idx="947">
                  <c:v>JUL.24</c:v>
                </c:pt>
                <c:pt idx="948">
                  <c:v>JUL.24</c:v>
                </c:pt>
                <c:pt idx="949">
                  <c:v>JUL.24</c:v>
                </c:pt>
                <c:pt idx="950">
                  <c:v>JUL.24</c:v>
                </c:pt>
                <c:pt idx="951">
                  <c:v>JUL.24</c:v>
                </c:pt>
                <c:pt idx="952">
                  <c:v>JUL.24</c:v>
                </c:pt>
                <c:pt idx="953">
                  <c:v>JUL.24</c:v>
                </c:pt>
                <c:pt idx="954">
                  <c:v>JUL.24</c:v>
                </c:pt>
                <c:pt idx="955">
                  <c:v>JUL.24</c:v>
                </c:pt>
                <c:pt idx="956">
                  <c:v>JUL.24</c:v>
                </c:pt>
                <c:pt idx="957">
                  <c:v>JUL.24</c:v>
                </c:pt>
                <c:pt idx="958">
                  <c:v>JUL.24</c:v>
                </c:pt>
                <c:pt idx="959">
                  <c:v>JUL.24</c:v>
                </c:pt>
                <c:pt idx="960">
                  <c:v>JUL.24</c:v>
                </c:pt>
                <c:pt idx="961">
                  <c:v>JUL.24</c:v>
                </c:pt>
                <c:pt idx="962">
                  <c:v>JUL.24</c:v>
                </c:pt>
                <c:pt idx="963">
                  <c:v>JUL.24</c:v>
                </c:pt>
                <c:pt idx="964">
                  <c:v>JUL.24</c:v>
                </c:pt>
                <c:pt idx="965">
                  <c:v>JUL.24</c:v>
                </c:pt>
                <c:pt idx="966">
                  <c:v>JUL.24</c:v>
                </c:pt>
                <c:pt idx="967">
                  <c:v>JUL.24</c:v>
                </c:pt>
                <c:pt idx="968">
                  <c:v>JUL.24</c:v>
                </c:pt>
                <c:pt idx="969">
                  <c:v>JUL.24</c:v>
                </c:pt>
                <c:pt idx="970">
                  <c:v>JUL.24</c:v>
                </c:pt>
                <c:pt idx="971">
                  <c:v>JUL.24</c:v>
                </c:pt>
                <c:pt idx="972">
                  <c:v>JUL.24</c:v>
                </c:pt>
                <c:pt idx="973">
                  <c:v>JUL.24</c:v>
                </c:pt>
                <c:pt idx="974">
                  <c:v>JUL.24</c:v>
                </c:pt>
                <c:pt idx="975">
                  <c:v>JUL.24</c:v>
                </c:pt>
                <c:pt idx="976">
                  <c:v>JUL.24</c:v>
                </c:pt>
                <c:pt idx="977">
                  <c:v>JUL.24</c:v>
                </c:pt>
                <c:pt idx="978">
                  <c:v>JUL.24</c:v>
                </c:pt>
                <c:pt idx="979">
                  <c:v>JUL.24</c:v>
                </c:pt>
                <c:pt idx="980">
                  <c:v>JUL.24</c:v>
                </c:pt>
                <c:pt idx="981">
                  <c:v>JUL.24</c:v>
                </c:pt>
                <c:pt idx="982">
                  <c:v>JUL.24</c:v>
                </c:pt>
                <c:pt idx="983">
                  <c:v>JUL.24</c:v>
                </c:pt>
                <c:pt idx="984">
                  <c:v>JUL.24</c:v>
                </c:pt>
                <c:pt idx="985">
                  <c:v>JUL.24</c:v>
                </c:pt>
                <c:pt idx="986">
                  <c:v>JUL.24</c:v>
                </c:pt>
                <c:pt idx="987">
                  <c:v>JUL.24</c:v>
                </c:pt>
                <c:pt idx="988">
                  <c:v>JUL.24</c:v>
                </c:pt>
                <c:pt idx="989">
                  <c:v>August24 live (R-1) | REDUCE LOT SIZING 2ND HALF AND ONLY EXITS IN 2ND HALF</c:v>
                </c:pt>
                <c:pt idx="990">
                  <c:v>AUG.24</c:v>
                </c:pt>
                <c:pt idx="991">
                  <c:v>AUG.24</c:v>
                </c:pt>
                <c:pt idx="992">
                  <c:v>AUG.24.II</c:v>
                </c:pt>
                <c:pt idx="993">
                  <c:v>AUG.24</c:v>
                </c:pt>
                <c:pt idx="994">
                  <c:v>AUG.24</c:v>
                </c:pt>
                <c:pt idx="995">
                  <c:v>AUG.24</c:v>
                </c:pt>
                <c:pt idx="996">
                  <c:v>AUG.24</c:v>
                </c:pt>
                <c:pt idx="997">
                  <c:v>AUG.24</c:v>
                </c:pt>
                <c:pt idx="998">
                  <c:v>AUG.24</c:v>
                </c:pt>
                <c:pt idx="999">
                  <c:v>AUG.24</c:v>
                </c:pt>
                <c:pt idx="1000">
                  <c:v>AUG.24</c:v>
                </c:pt>
                <c:pt idx="1001">
                  <c:v>AUG.24.II</c:v>
                </c:pt>
                <c:pt idx="1002">
                  <c:v>AUG.24.II</c:v>
                </c:pt>
                <c:pt idx="1003">
                  <c:v>AUG.24</c:v>
                </c:pt>
                <c:pt idx="1004">
                  <c:v>AUG.24</c:v>
                </c:pt>
                <c:pt idx="1005">
                  <c:v>AUG.24</c:v>
                </c:pt>
                <c:pt idx="1006">
                  <c:v>AUG.24.II</c:v>
                </c:pt>
                <c:pt idx="1007">
                  <c:v>AUG.24.II</c:v>
                </c:pt>
                <c:pt idx="1008">
                  <c:v>AUG.24</c:v>
                </c:pt>
                <c:pt idx="1009">
                  <c:v>AUG.24</c:v>
                </c:pt>
                <c:pt idx="1010">
                  <c:v>AUG.24</c:v>
                </c:pt>
                <c:pt idx="1011">
                  <c:v>AUG.24</c:v>
                </c:pt>
                <c:pt idx="1012">
                  <c:v>AUG.24</c:v>
                </c:pt>
                <c:pt idx="1013">
                  <c:v>AUG.24</c:v>
                </c:pt>
                <c:pt idx="1014">
                  <c:v>AUG.24</c:v>
                </c:pt>
                <c:pt idx="1015">
                  <c:v>AUG.24</c:v>
                </c:pt>
                <c:pt idx="1016">
                  <c:v>AUG.24</c:v>
                </c:pt>
                <c:pt idx="1017">
                  <c:v>AUG.24</c:v>
                </c:pt>
                <c:pt idx="1018">
                  <c:v>AUG.24</c:v>
                </c:pt>
                <c:pt idx="1019">
                  <c:v>AUG.24</c:v>
                </c:pt>
                <c:pt idx="1020">
                  <c:v>AUG.24</c:v>
                </c:pt>
                <c:pt idx="1021">
                  <c:v>AUG.24</c:v>
                </c:pt>
                <c:pt idx="1022">
                  <c:v>AUG.24</c:v>
                </c:pt>
                <c:pt idx="1023">
                  <c:v>AUG.24</c:v>
                </c:pt>
                <c:pt idx="1024">
                  <c:v>AUG.24</c:v>
                </c:pt>
                <c:pt idx="1025">
                  <c:v>AUG.24</c:v>
                </c:pt>
                <c:pt idx="1026">
                  <c:v>AUG.24</c:v>
                </c:pt>
                <c:pt idx="1027">
                  <c:v>AUG.24.II</c:v>
                </c:pt>
                <c:pt idx="1028">
                  <c:v>AUG.24</c:v>
                </c:pt>
                <c:pt idx="1029">
                  <c:v>AUG.24</c:v>
                </c:pt>
                <c:pt idx="1030">
                  <c:v>AUG.24</c:v>
                </c:pt>
                <c:pt idx="1031">
                  <c:v>AUG.24</c:v>
                </c:pt>
                <c:pt idx="1032">
                  <c:v>AUG.24</c:v>
                </c:pt>
                <c:pt idx="1033">
                  <c:v>AUG.24</c:v>
                </c:pt>
                <c:pt idx="1034">
                  <c:v>AUG.24</c:v>
                </c:pt>
                <c:pt idx="1035">
                  <c:v>AUG.24</c:v>
                </c:pt>
                <c:pt idx="1036">
                  <c:v>AUG.24</c:v>
                </c:pt>
                <c:pt idx="1037">
                  <c:v>AUG.24</c:v>
                </c:pt>
                <c:pt idx="1038">
                  <c:v>AUG.24</c:v>
                </c:pt>
                <c:pt idx="1039">
                  <c:v>AUG.24</c:v>
                </c:pt>
                <c:pt idx="1040">
                  <c:v>AUG.24</c:v>
                </c:pt>
                <c:pt idx="1041">
                  <c:v>AUG.24</c:v>
                </c:pt>
                <c:pt idx="1042">
                  <c:v>AUG.24</c:v>
                </c:pt>
                <c:pt idx="1043">
                  <c:v>AUG.24</c:v>
                </c:pt>
                <c:pt idx="1044">
                  <c:v>AUG.24</c:v>
                </c:pt>
                <c:pt idx="1045">
                  <c:v>AUG.24</c:v>
                </c:pt>
                <c:pt idx="1046">
                  <c:v>AUG.24</c:v>
                </c:pt>
                <c:pt idx="1047">
                  <c:v>AUG.24</c:v>
                </c:pt>
                <c:pt idx="1048">
                  <c:v>AUG.24</c:v>
                </c:pt>
                <c:pt idx="1049">
                  <c:v>AUG.24</c:v>
                </c:pt>
                <c:pt idx="1050">
                  <c:v>AUG.24</c:v>
                </c:pt>
                <c:pt idx="1051">
                  <c:v>AUG.24</c:v>
                </c:pt>
                <c:pt idx="1052">
                  <c:v>AUG.24</c:v>
                </c:pt>
                <c:pt idx="1053">
                  <c:v>AUG.24</c:v>
                </c:pt>
                <c:pt idx="1054">
                  <c:v>AUG.24</c:v>
                </c:pt>
                <c:pt idx="1055">
                  <c:v>AUG.24</c:v>
                </c:pt>
                <c:pt idx="1056">
                  <c:v>AUG.24</c:v>
                </c:pt>
                <c:pt idx="1057">
                  <c:v>AUG.24</c:v>
                </c:pt>
                <c:pt idx="1058">
                  <c:v>AUG.24</c:v>
                </c:pt>
                <c:pt idx="1059">
                  <c:v>AUG.24</c:v>
                </c:pt>
                <c:pt idx="1060">
                  <c:v>AUG.24</c:v>
                </c:pt>
                <c:pt idx="1061">
                  <c:v>AUG.24</c:v>
                </c:pt>
                <c:pt idx="1062">
                  <c:v>AUG.24</c:v>
                </c:pt>
                <c:pt idx="1063">
                  <c:v>AUG.24</c:v>
                </c:pt>
                <c:pt idx="1064">
                  <c:v>AUG.24</c:v>
                </c:pt>
                <c:pt idx="1065">
                  <c:v>AUG.24</c:v>
                </c:pt>
                <c:pt idx="1066">
                  <c:v>AUG.24</c:v>
                </c:pt>
                <c:pt idx="1067">
                  <c:v>AUG.24</c:v>
                </c:pt>
                <c:pt idx="1068">
                  <c:v>AUG.24</c:v>
                </c:pt>
                <c:pt idx="1069">
                  <c:v>AUG.24</c:v>
                </c:pt>
                <c:pt idx="1070">
                  <c:v>AUG.24</c:v>
                </c:pt>
                <c:pt idx="1071">
                  <c:v>AUG.24</c:v>
                </c:pt>
                <c:pt idx="1072">
                  <c:v>AUG.24</c:v>
                </c:pt>
                <c:pt idx="1073">
                  <c:v>AUG.24</c:v>
                </c:pt>
                <c:pt idx="1074">
                  <c:v>AUG.24</c:v>
                </c:pt>
                <c:pt idx="1075">
                  <c:v>AUG.24</c:v>
                </c:pt>
                <c:pt idx="1076">
                  <c:v>AUG.24</c:v>
                </c:pt>
                <c:pt idx="1077">
                  <c:v>AUG.24</c:v>
                </c:pt>
                <c:pt idx="1078">
                  <c:v>AUG.24</c:v>
                </c:pt>
                <c:pt idx="1079">
                  <c:v>AUG.24</c:v>
                </c:pt>
                <c:pt idx="1080">
                  <c:v>AUG.24</c:v>
                </c:pt>
                <c:pt idx="1081">
                  <c:v>AUG.24</c:v>
                </c:pt>
                <c:pt idx="1082">
                  <c:v>AUG.24</c:v>
                </c:pt>
                <c:pt idx="1083">
                  <c:v>AUG.24</c:v>
                </c:pt>
                <c:pt idx="1084">
                  <c:v>AUG.24</c:v>
                </c:pt>
                <c:pt idx="1085">
                  <c:v>AUG.24</c:v>
                </c:pt>
                <c:pt idx="1086">
                  <c:v>September24 live (R) | REDUCE LOT SIZING 1ST HALF, AVOID POSITIONAL </c:v>
                </c:pt>
                <c:pt idx="1087">
                  <c:v>SEP.24</c:v>
                </c:pt>
                <c:pt idx="1088">
                  <c:v>SEP.24</c:v>
                </c:pt>
                <c:pt idx="1089">
                  <c:v>SEP.24</c:v>
                </c:pt>
                <c:pt idx="1090">
                  <c:v>SEP.24</c:v>
                </c:pt>
                <c:pt idx="1091">
                  <c:v>SEP.24</c:v>
                </c:pt>
                <c:pt idx="1092">
                  <c:v>SEP.24</c:v>
                </c:pt>
                <c:pt idx="1093">
                  <c:v>SEP.24</c:v>
                </c:pt>
                <c:pt idx="1094">
                  <c:v>SEP.24</c:v>
                </c:pt>
                <c:pt idx="1095">
                  <c:v>SEP.24</c:v>
                </c:pt>
                <c:pt idx="1096">
                  <c:v>SEP.24</c:v>
                </c:pt>
                <c:pt idx="1097">
                  <c:v>SEP.24</c:v>
                </c:pt>
                <c:pt idx="1098">
                  <c:v>SEP.24</c:v>
                </c:pt>
                <c:pt idx="1099">
                  <c:v>SEP.24</c:v>
                </c:pt>
                <c:pt idx="1100">
                  <c:v>SEP.24</c:v>
                </c:pt>
                <c:pt idx="1101">
                  <c:v>SEP.24</c:v>
                </c:pt>
                <c:pt idx="1102">
                  <c:v>SEP.24</c:v>
                </c:pt>
                <c:pt idx="1103">
                  <c:v>SEP.24</c:v>
                </c:pt>
                <c:pt idx="1104">
                  <c:v>SEP.24</c:v>
                </c:pt>
                <c:pt idx="1105">
                  <c:v>SEP.24</c:v>
                </c:pt>
                <c:pt idx="1106">
                  <c:v>SEP.24</c:v>
                </c:pt>
                <c:pt idx="1107">
                  <c:v>SEP.24</c:v>
                </c:pt>
                <c:pt idx="1108">
                  <c:v>SEP.24</c:v>
                </c:pt>
                <c:pt idx="1109">
                  <c:v>SEP.24</c:v>
                </c:pt>
                <c:pt idx="1110">
                  <c:v>SEP.24</c:v>
                </c:pt>
                <c:pt idx="1111">
                  <c:v>SEP.24</c:v>
                </c:pt>
                <c:pt idx="1112">
                  <c:v>SEP.24</c:v>
                </c:pt>
                <c:pt idx="1113">
                  <c:v>SEP.24</c:v>
                </c:pt>
                <c:pt idx="1114">
                  <c:v>SEP.24</c:v>
                </c:pt>
                <c:pt idx="1115">
                  <c:v>SEP.24</c:v>
                </c:pt>
                <c:pt idx="1116">
                  <c:v>SEP.24</c:v>
                </c:pt>
                <c:pt idx="1117">
                  <c:v>SEP.24</c:v>
                </c:pt>
                <c:pt idx="1118">
                  <c:v>SEP.24</c:v>
                </c:pt>
                <c:pt idx="1119">
                  <c:v>SEP.24</c:v>
                </c:pt>
                <c:pt idx="1120">
                  <c:v>SEP.24</c:v>
                </c:pt>
                <c:pt idx="1121">
                  <c:v>SEP.24</c:v>
                </c:pt>
                <c:pt idx="1122">
                  <c:v>SEP.24</c:v>
                </c:pt>
                <c:pt idx="1123">
                  <c:v>SEP.24</c:v>
                </c:pt>
                <c:pt idx="1124">
                  <c:v>SEP.24</c:v>
                </c:pt>
                <c:pt idx="1125">
                  <c:v>October24 live (R+1) | REDUCE INTRADAY &gt;1D TRADES</c:v>
                </c:pt>
                <c:pt idx="1126">
                  <c:v>OCT.24</c:v>
                </c:pt>
                <c:pt idx="1127">
                  <c:v>OCT.24</c:v>
                </c:pt>
                <c:pt idx="1128">
                  <c:v>OCT.24</c:v>
                </c:pt>
                <c:pt idx="1129">
                  <c:v>OCT.24</c:v>
                </c:pt>
                <c:pt idx="1130">
                  <c:v>OCT.24</c:v>
                </c:pt>
                <c:pt idx="1131">
                  <c:v>OCT.24</c:v>
                </c:pt>
                <c:pt idx="1132">
                  <c:v>OCT.24</c:v>
                </c:pt>
                <c:pt idx="1133">
                  <c:v>OCT.24</c:v>
                </c:pt>
                <c:pt idx="1134">
                  <c:v>OCT.24</c:v>
                </c:pt>
                <c:pt idx="1135">
                  <c:v>OCT.24</c:v>
                </c:pt>
                <c:pt idx="1136">
                  <c:v>OCT.24</c:v>
                </c:pt>
                <c:pt idx="1137">
                  <c:v>OCT.24</c:v>
                </c:pt>
                <c:pt idx="1138">
                  <c:v>OCT.24</c:v>
                </c:pt>
                <c:pt idx="1139">
                  <c:v>OCT.24</c:v>
                </c:pt>
                <c:pt idx="1140">
                  <c:v>OCT.24</c:v>
                </c:pt>
                <c:pt idx="1141">
                  <c:v>OCT.24</c:v>
                </c:pt>
                <c:pt idx="1142">
                  <c:v>OCT.24</c:v>
                </c:pt>
                <c:pt idx="1143">
                  <c:v>OCT.24</c:v>
                </c:pt>
                <c:pt idx="1144">
                  <c:v>OCT.24</c:v>
                </c:pt>
                <c:pt idx="1145">
                  <c:v>OCT.24</c:v>
                </c:pt>
                <c:pt idx="1146">
                  <c:v>OCT.24</c:v>
                </c:pt>
                <c:pt idx="1147">
                  <c:v>OCT.24</c:v>
                </c:pt>
                <c:pt idx="1148">
                  <c:v>OCT.24</c:v>
                </c:pt>
                <c:pt idx="1149">
                  <c:v>OCT.24</c:v>
                </c:pt>
                <c:pt idx="1150">
                  <c:v>OCT.24</c:v>
                </c:pt>
                <c:pt idx="1151">
                  <c:v>OCT.24</c:v>
                </c:pt>
                <c:pt idx="1152">
                  <c:v>OCT.24</c:v>
                </c:pt>
                <c:pt idx="1153">
                  <c:v>OCT.24</c:v>
                </c:pt>
                <c:pt idx="1154">
                  <c:v>OCT.24</c:v>
                </c:pt>
                <c:pt idx="1155">
                  <c:v>OCT.24</c:v>
                </c:pt>
                <c:pt idx="1156">
                  <c:v>OCT.24</c:v>
                </c:pt>
                <c:pt idx="1157">
                  <c:v>OCT.24</c:v>
                </c:pt>
                <c:pt idx="1158">
                  <c:v>OCT.24</c:v>
                </c:pt>
                <c:pt idx="1159">
                  <c:v>OCT.24</c:v>
                </c:pt>
                <c:pt idx="1160">
                  <c:v>OCT.24</c:v>
                </c:pt>
                <c:pt idx="1161">
                  <c:v>OCT.24</c:v>
                </c:pt>
                <c:pt idx="1162">
                  <c:v>OCT.24</c:v>
                </c:pt>
                <c:pt idx="1163">
                  <c:v>OCT.24</c:v>
                </c:pt>
                <c:pt idx="1164">
                  <c:v>OCT.24</c:v>
                </c:pt>
                <c:pt idx="1165">
                  <c:v>OCT.24</c:v>
                </c:pt>
                <c:pt idx="1166">
                  <c:v>OCT.24</c:v>
                </c:pt>
                <c:pt idx="1167">
                  <c:v>OCT.24</c:v>
                </c:pt>
                <c:pt idx="1168">
                  <c:v>OCT.24</c:v>
                </c:pt>
                <c:pt idx="1169">
                  <c:v>OCT.24</c:v>
                </c:pt>
                <c:pt idx="1170">
                  <c:v>OCT.24</c:v>
                </c:pt>
                <c:pt idx="1171">
                  <c:v>OCT.24</c:v>
                </c:pt>
                <c:pt idx="1172">
                  <c:v>OCT.24</c:v>
                </c:pt>
                <c:pt idx="1173">
                  <c:v>OCT.24</c:v>
                </c:pt>
                <c:pt idx="1174">
                  <c:v>OCT.24</c:v>
                </c:pt>
                <c:pt idx="1175">
                  <c:v>OCT.24</c:v>
                </c:pt>
                <c:pt idx="1176">
                  <c:v>OCT.24</c:v>
                </c:pt>
                <c:pt idx="1177">
                  <c:v>OCT.24</c:v>
                </c:pt>
                <c:pt idx="1178">
                  <c:v>OCT.24</c:v>
                </c:pt>
                <c:pt idx="1179">
                  <c:v>OCT.24</c:v>
                </c:pt>
                <c:pt idx="1180">
                  <c:v>OCT.24</c:v>
                </c:pt>
                <c:pt idx="1181">
                  <c:v>OCT.24</c:v>
                </c:pt>
                <c:pt idx="1182">
                  <c:v>OCT.24</c:v>
                </c:pt>
                <c:pt idx="1183">
                  <c:v>OCT.24</c:v>
                </c:pt>
                <c:pt idx="1184">
                  <c:v>OCT.24</c:v>
                </c:pt>
                <c:pt idx="1185">
                  <c:v>OCT.24</c:v>
                </c:pt>
                <c:pt idx="1186">
                  <c:v>OCT.24</c:v>
                </c:pt>
                <c:pt idx="1187">
                  <c:v>OCT.24</c:v>
                </c:pt>
                <c:pt idx="1188">
                  <c:v>OCT.24</c:v>
                </c:pt>
                <c:pt idx="1189">
                  <c:v>OCT.24</c:v>
                </c:pt>
                <c:pt idx="1190">
                  <c:v>OCT.24</c:v>
                </c:pt>
                <c:pt idx="1191">
                  <c:v>OCT.24</c:v>
                </c:pt>
                <c:pt idx="1192">
                  <c:v>OCT.24</c:v>
                </c:pt>
                <c:pt idx="1193">
                  <c:v>OCT.24</c:v>
                </c:pt>
                <c:pt idx="1194">
                  <c:v>OCT.24</c:v>
                </c:pt>
                <c:pt idx="1195">
                  <c:v>OCT.24</c:v>
                </c:pt>
                <c:pt idx="1196">
                  <c:v>OCT.24</c:v>
                </c:pt>
                <c:pt idx="1197">
                  <c:v>OCT.24</c:v>
                </c:pt>
                <c:pt idx="1198">
                  <c:v>OCT.24</c:v>
                </c:pt>
                <c:pt idx="1199">
                  <c:v>OCT.24</c:v>
                </c:pt>
                <c:pt idx="1200">
                  <c:v>OCT.24</c:v>
                </c:pt>
                <c:pt idx="1201">
                  <c:v>OCT.24</c:v>
                </c:pt>
                <c:pt idx="1202">
                  <c:v>OCT.24</c:v>
                </c:pt>
                <c:pt idx="1203">
                  <c:v>OCT.24</c:v>
                </c:pt>
                <c:pt idx="1204">
                  <c:v>OCT.24</c:v>
                </c:pt>
                <c:pt idx="1205">
                  <c:v>OCT.24</c:v>
                </c:pt>
                <c:pt idx="1206">
                  <c:v>OCT.24</c:v>
                </c:pt>
                <c:pt idx="1207">
                  <c:v>OCT.24</c:v>
                </c:pt>
                <c:pt idx="1208">
                  <c:v>OCT.24</c:v>
                </c:pt>
                <c:pt idx="1209">
                  <c:v>OCT.24</c:v>
                </c:pt>
                <c:pt idx="1210">
                  <c:v>OCT.24</c:v>
                </c:pt>
                <c:pt idx="1211">
                  <c:v>OCT.24</c:v>
                </c:pt>
                <c:pt idx="1212">
                  <c:v>OCT.24</c:v>
                </c:pt>
                <c:pt idx="1213">
                  <c:v>OCT.24</c:v>
                </c:pt>
                <c:pt idx="1214">
                  <c:v>November24 live EPILOGUE 1</c:v>
                </c:pt>
                <c:pt idx="1215">
                  <c:v>NOV.24</c:v>
                </c:pt>
                <c:pt idx="1216">
                  <c:v>NOV.24</c:v>
                </c:pt>
                <c:pt idx="1217">
                  <c:v>NOV.24</c:v>
                </c:pt>
                <c:pt idx="1218">
                  <c:v>NOV.24</c:v>
                </c:pt>
                <c:pt idx="1219">
                  <c:v>NOV.24</c:v>
                </c:pt>
                <c:pt idx="1220">
                  <c:v>NOV.24</c:v>
                </c:pt>
                <c:pt idx="1221">
                  <c:v>NOV.24</c:v>
                </c:pt>
                <c:pt idx="1222">
                  <c:v>NOV.24</c:v>
                </c:pt>
                <c:pt idx="1223">
                  <c:v>NOV.24</c:v>
                </c:pt>
                <c:pt idx="1224">
                  <c:v>NOV.24</c:v>
                </c:pt>
                <c:pt idx="1225">
                  <c:v>NOV.24</c:v>
                </c:pt>
                <c:pt idx="1226">
                  <c:v>NOV.24</c:v>
                </c:pt>
                <c:pt idx="1227">
                  <c:v>NOV.24</c:v>
                </c:pt>
                <c:pt idx="1228">
                  <c:v>NOV.24</c:v>
                </c:pt>
                <c:pt idx="1229">
                  <c:v>NOV.24</c:v>
                </c:pt>
                <c:pt idx="1230">
                  <c:v>NOV.24</c:v>
                </c:pt>
                <c:pt idx="1231">
                  <c:v>NOV.24</c:v>
                </c:pt>
                <c:pt idx="1232">
                  <c:v>NOV.24</c:v>
                </c:pt>
                <c:pt idx="1233">
                  <c:v>NOV.24</c:v>
                </c:pt>
                <c:pt idx="1234">
                  <c:v>NOV.24</c:v>
                </c:pt>
                <c:pt idx="1235">
                  <c:v>NOV.24</c:v>
                </c:pt>
                <c:pt idx="1236">
                  <c:v>NOV.24</c:v>
                </c:pt>
                <c:pt idx="1237">
                  <c:v>NOV.24</c:v>
                </c:pt>
              </c:strCache>
            </c:strRef>
          </c:cat>
          <c:val>
            <c:numRef>
              <c:f>'Journal Live'!$BU$1388:$BU$2630</c:f>
              <c:numCache>
                <c:formatCode>General</c:formatCode>
                <c:ptCount val="1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272.00000000000006</c:v>
                </c:pt>
                <c:pt idx="27">
                  <c:v>272.00000000000006</c:v>
                </c:pt>
                <c:pt idx="28">
                  <c:v>272.00000000000006</c:v>
                </c:pt>
                <c:pt idx="29">
                  <c:v>272.00000000000006</c:v>
                </c:pt>
                <c:pt idx="30">
                  <c:v>272.00000000000006</c:v>
                </c:pt>
                <c:pt idx="31">
                  <c:v>272.00000000000006</c:v>
                </c:pt>
                <c:pt idx="32">
                  <c:v>272.00000000000006</c:v>
                </c:pt>
                <c:pt idx="33">
                  <c:v>272.00000000000006</c:v>
                </c:pt>
                <c:pt idx="34">
                  <c:v>272.00000000000006</c:v>
                </c:pt>
                <c:pt idx="35">
                  <c:v>272.00000000000006</c:v>
                </c:pt>
                <c:pt idx="36">
                  <c:v>272.00000000000006</c:v>
                </c:pt>
                <c:pt idx="37">
                  <c:v>272.00000000000006</c:v>
                </c:pt>
                <c:pt idx="38">
                  <c:v>272.00000000000006</c:v>
                </c:pt>
                <c:pt idx="39">
                  <c:v>272.00000000000006</c:v>
                </c:pt>
                <c:pt idx="40">
                  <c:v>272.00000000000006</c:v>
                </c:pt>
                <c:pt idx="41">
                  <c:v>367.9999999999996</c:v>
                </c:pt>
                <c:pt idx="42">
                  <c:v>367.9999999999996</c:v>
                </c:pt>
                <c:pt idx="43">
                  <c:v>367.9999999999996</c:v>
                </c:pt>
                <c:pt idx="44">
                  <c:v>367.9999999999996</c:v>
                </c:pt>
                <c:pt idx="45">
                  <c:v>367.9999999999996</c:v>
                </c:pt>
                <c:pt idx="46">
                  <c:v>367.9999999999996</c:v>
                </c:pt>
                <c:pt idx="47">
                  <c:v>367.9999999999996</c:v>
                </c:pt>
                <c:pt idx="48">
                  <c:v>367.9999999999996</c:v>
                </c:pt>
                <c:pt idx="49">
                  <c:v>367.9999999999996</c:v>
                </c:pt>
                <c:pt idx="50">
                  <c:v>367.9999999999996</c:v>
                </c:pt>
                <c:pt idx="51">
                  <c:v>367.9999999999996</c:v>
                </c:pt>
                <c:pt idx="52">
                  <c:v>367.9999999999996</c:v>
                </c:pt>
                <c:pt idx="53">
                  <c:v>367.9999999999996</c:v>
                </c:pt>
                <c:pt idx="54">
                  <c:v>367.9999999999996</c:v>
                </c:pt>
                <c:pt idx="55">
                  <c:v>367.9999999999996</c:v>
                </c:pt>
                <c:pt idx="56">
                  <c:v>367.9999999999996</c:v>
                </c:pt>
                <c:pt idx="57">
                  <c:v>367.9999999999996</c:v>
                </c:pt>
                <c:pt idx="58">
                  <c:v>367.9999999999996</c:v>
                </c:pt>
                <c:pt idx="59">
                  <c:v>367.9999999999996</c:v>
                </c:pt>
                <c:pt idx="60">
                  <c:v>367.9999999999996</c:v>
                </c:pt>
                <c:pt idx="61">
                  <c:v>367.9999999999996</c:v>
                </c:pt>
                <c:pt idx="62">
                  <c:v>367.9999999999996</c:v>
                </c:pt>
                <c:pt idx="63">
                  <c:v>367.9999999999996</c:v>
                </c:pt>
                <c:pt idx="64">
                  <c:v>367.9999999999996</c:v>
                </c:pt>
                <c:pt idx="65">
                  <c:v>367.9999999999996</c:v>
                </c:pt>
                <c:pt idx="66">
                  <c:v>367.9999999999996</c:v>
                </c:pt>
                <c:pt idx="67">
                  <c:v>367.9999999999996</c:v>
                </c:pt>
                <c:pt idx="68">
                  <c:v>367.9999999999996</c:v>
                </c:pt>
                <c:pt idx="69">
                  <c:v>367.9999999999996</c:v>
                </c:pt>
                <c:pt idx="70">
                  <c:v>367.9999999999996</c:v>
                </c:pt>
                <c:pt idx="71">
                  <c:v>367.9999999999996</c:v>
                </c:pt>
                <c:pt idx="72">
                  <c:v>367.9999999999996</c:v>
                </c:pt>
                <c:pt idx="73">
                  <c:v>367.9999999999996</c:v>
                </c:pt>
                <c:pt idx="74">
                  <c:v>367.9999999999996</c:v>
                </c:pt>
                <c:pt idx="75">
                  <c:v>367.9999999999996</c:v>
                </c:pt>
                <c:pt idx="76">
                  <c:v>367.9999999999996</c:v>
                </c:pt>
                <c:pt idx="77">
                  <c:v>367.9999999999996</c:v>
                </c:pt>
                <c:pt idx="78">
                  <c:v>367.9999999999996</c:v>
                </c:pt>
                <c:pt idx="79">
                  <c:v>367.9999999999996</c:v>
                </c:pt>
                <c:pt idx="80">
                  <c:v>367.9999999999996</c:v>
                </c:pt>
                <c:pt idx="81">
                  <c:v>367.9999999999996</c:v>
                </c:pt>
                <c:pt idx="82">
                  <c:v>367.9999999999996</c:v>
                </c:pt>
                <c:pt idx="83">
                  <c:v>367.9999999999996</c:v>
                </c:pt>
                <c:pt idx="84">
                  <c:v>367.9999999999996</c:v>
                </c:pt>
                <c:pt idx="85">
                  <c:v>367.9999999999996</c:v>
                </c:pt>
                <c:pt idx="86">
                  <c:v>367.9999999999996</c:v>
                </c:pt>
                <c:pt idx="87">
                  <c:v>367.9999999999996</c:v>
                </c:pt>
                <c:pt idx="88">
                  <c:v>367.9999999999996</c:v>
                </c:pt>
                <c:pt idx="89">
                  <c:v>367.9999999999996</c:v>
                </c:pt>
                <c:pt idx="90">
                  <c:v>367.9999999999996</c:v>
                </c:pt>
                <c:pt idx="91">
                  <c:v>367.9999999999996</c:v>
                </c:pt>
                <c:pt idx="92">
                  <c:v>367.9999999999996</c:v>
                </c:pt>
                <c:pt idx="93">
                  <c:v>367.9999999999996</c:v>
                </c:pt>
                <c:pt idx="94">
                  <c:v>367.9999999999996</c:v>
                </c:pt>
                <c:pt idx="95">
                  <c:v>2319.9999999999991</c:v>
                </c:pt>
                <c:pt idx="96">
                  <c:v>2319.9999999999991</c:v>
                </c:pt>
                <c:pt idx="97">
                  <c:v>2319.9999999999991</c:v>
                </c:pt>
                <c:pt idx="98">
                  <c:v>2319.9999999999991</c:v>
                </c:pt>
                <c:pt idx="99">
                  <c:v>2319.9999999999991</c:v>
                </c:pt>
                <c:pt idx="100">
                  <c:v>2319.9999999999991</c:v>
                </c:pt>
                <c:pt idx="101">
                  <c:v>2319.9999999999991</c:v>
                </c:pt>
                <c:pt idx="102">
                  <c:v>2319.9999999999991</c:v>
                </c:pt>
                <c:pt idx="103">
                  <c:v>2319.9999999999991</c:v>
                </c:pt>
                <c:pt idx="104">
                  <c:v>2319.9999999999991</c:v>
                </c:pt>
                <c:pt idx="105">
                  <c:v>2319.9999999999991</c:v>
                </c:pt>
                <c:pt idx="106">
                  <c:v>2511.9999999998245</c:v>
                </c:pt>
                <c:pt idx="107">
                  <c:v>2511.9999999998245</c:v>
                </c:pt>
                <c:pt idx="108">
                  <c:v>2511.9999999998245</c:v>
                </c:pt>
                <c:pt idx="109">
                  <c:v>2511.9999999998245</c:v>
                </c:pt>
                <c:pt idx="110">
                  <c:v>2511.9999999998245</c:v>
                </c:pt>
                <c:pt idx="111">
                  <c:v>2511.9999999998245</c:v>
                </c:pt>
                <c:pt idx="112">
                  <c:v>2511.9999999998245</c:v>
                </c:pt>
                <c:pt idx="113">
                  <c:v>2511.9999999998245</c:v>
                </c:pt>
                <c:pt idx="114">
                  <c:v>2511.9999999998245</c:v>
                </c:pt>
                <c:pt idx="115">
                  <c:v>2511.9999999998245</c:v>
                </c:pt>
                <c:pt idx="116">
                  <c:v>2511.9999999998245</c:v>
                </c:pt>
                <c:pt idx="117">
                  <c:v>2511.9999999998245</c:v>
                </c:pt>
                <c:pt idx="118">
                  <c:v>2511.9999999998245</c:v>
                </c:pt>
                <c:pt idx="119">
                  <c:v>2511.9999999998245</c:v>
                </c:pt>
                <c:pt idx="120">
                  <c:v>2511.9999999998245</c:v>
                </c:pt>
                <c:pt idx="121">
                  <c:v>2511.9999999998245</c:v>
                </c:pt>
                <c:pt idx="122">
                  <c:v>2511.9999999998245</c:v>
                </c:pt>
                <c:pt idx="123">
                  <c:v>2511.9999999998245</c:v>
                </c:pt>
                <c:pt idx="124">
                  <c:v>2511.9999999998245</c:v>
                </c:pt>
                <c:pt idx="125">
                  <c:v>2511.9999999998245</c:v>
                </c:pt>
                <c:pt idx="126">
                  <c:v>2511.9999999998245</c:v>
                </c:pt>
                <c:pt idx="127">
                  <c:v>2511.9999999998245</c:v>
                </c:pt>
                <c:pt idx="128">
                  <c:v>2511.9999999998245</c:v>
                </c:pt>
                <c:pt idx="129">
                  <c:v>2511.9999999998245</c:v>
                </c:pt>
                <c:pt idx="130">
                  <c:v>2511.9999999998245</c:v>
                </c:pt>
                <c:pt idx="131">
                  <c:v>2511.9999999998245</c:v>
                </c:pt>
                <c:pt idx="132">
                  <c:v>2511.9999999998245</c:v>
                </c:pt>
                <c:pt idx="133">
                  <c:v>2511.9999999998245</c:v>
                </c:pt>
                <c:pt idx="134">
                  <c:v>2511.9999999998245</c:v>
                </c:pt>
                <c:pt idx="135">
                  <c:v>2511.9999999998245</c:v>
                </c:pt>
                <c:pt idx="136">
                  <c:v>2511.9999999998245</c:v>
                </c:pt>
                <c:pt idx="137">
                  <c:v>2207.9999999998245</c:v>
                </c:pt>
                <c:pt idx="138">
                  <c:v>2207.9999999998245</c:v>
                </c:pt>
                <c:pt idx="139">
                  <c:v>2207.9999999998245</c:v>
                </c:pt>
                <c:pt idx="140">
                  <c:v>2207.9999999998245</c:v>
                </c:pt>
                <c:pt idx="141">
                  <c:v>2495.999999999824</c:v>
                </c:pt>
                <c:pt idx="142">
                  <c:v>2495.999999999824</c:v>
                </c:pt>
                <c:pt idx="143">
                  <c:v>2495.999999999824</c:v>
                </c:pt>
                <c:pt idx="144">
                  <c:v>2495.999999999824</c:v>
                </c:pt>
                <c:pt idx="145">
                  <c:v>2495.999999999824</c:v>
                </c:pt>
                <c:pt idx="146">
                  <c:v>2495.999999999824</c:v>
                </c:pt>
                <c:pt idx="147">
                  <c:v>2495.999999999824</c:v>
                </c:pt>
                <c:pt idx="148">
                  <c:v>2495.999999999824</c:v>
                </c:pt>
                <c:pt idx="149">
                  <c:v>2495.999999999824</c:v>
                </c:pt>
                <c:pt idx="150">
                  <c:v>2495.999999999824</c:v>
                </c:pt>
                <c:pt idx="151">
                  <c:v>2495.999999999824</c:v>
                </c:pt>
                <c:pt idx="152">
                  <c:v>2495.999999999824</c:v>
                </c:pt>
                <c:pt idx="153">
                  <c:v>2495.999999999824</c:v>
                </c:pt>
                <c:pt idx="154">
                  <c:v>2495.999999999824</c:v>
                </c:pt>
                <c:pt idx="155">
                  <c:v>2495.999999999824</c:v>
                </c:pt>
                <c:pt idx="156">
                  <c:v>2495.999999999824</c:v>
                </c:pt>
                <c:pt idx="157">
                  <c:v>2495.999999999824</c:v>
                </c:pt>
                <c:pt idx="158">
                  <c:v>2495.999999999824</c:v>
                </c:pt>
                <c:pt idx="159">
                  <c:v>2495.999999999824</c:v>
                </c:pt>
                <c:pt idx="160">
                  <c:v>2495.999999999824</c:v>
                </c:pt>
                <c:pt idx="161">
                  <c:v>2495.999999999824</c:v>
                </c:pt>
                <c:pt idx="162">
                  <c:v>2495.999999999824</c:v>
                </c:pt>
                <c:pt idx="163">
                  <c:v>2495.999999999824</c:v>
                </c:pt>
                <c:pt idx="164">
                  <c:v>2495.999999999824</c:v>
                </c:pt>
                <c:pt idx="165">
                  <c:v>3167.999999999824</c:v>
                </c:pt>
                <c:pt idx="166">
                  <c:v>3167.999999999824</c:v>
                </c:pt>
                <c:pt idx="167">
                  <c:v>3167.999999999824</c:v>
                </c:pt>
                <c:pt idx="168">
                  <c:v>3167.999999999824</c:v>
                </c:pt>
                <c:pt idx="169">
                  <c:v>3167.999999999824</c:v>
                </c:pt>
                <c:pt idx="170">
                  <c:v>3167.999999999824</c:v>
                </c:pt>
                <c:pt idx="171">
                  <c:v>3167.999999999824</c:v>
                </c:pt>
                <c:pt idx="172">
                  <c:v>3455.9999999998226</c:v>
                </c:pt>
                <c:pt idx="173">
                  <c:v>3455.9999999998226</c:v>
                </c:pt>
                <c:pt idx="174">
                  <c:v>3455.9999999998226</c:v>
                </c:pt>
                <c:pt idx="175">
                  <c:v>3455.9999999998226</c:v>
                </c:pt>
                <c:pt idx="176">
                  <c:v>3455.9999999998226</c:v>
                </c:pt>
                <c:pt idx="177">
                  <c:v>3455.9999999998226</c:v>
                </c:pt>
                <c:pt idx="178">
                  <c:v>3455.9999999998226</c:v>
                </c:pt>
                <c:pt idx="179">
                  <c:v>1855.9999999998222</c:v>
                </c:pt>
                <c:pt idx="180">
                  <c:v>3455.9999999998226</c:v>
                </c:pt>
                <c:pt idx="181">
                  <c:v>3455.9999999998226</c:v>
                </c:pt>
                <c:pt idx="182">
                  <c:v>3455.9999999998226</c:v>
                </c:pt>
                <c:pt idx="183">
                  <c:v>3455.9999999998226</c:v>
                </c:pt>
                <c:pt idx="184">
                  <c:v>3455.9999999998226</c:v>
                </c:pt>
                <c:pt idx="185">
                  <c:v>3455.9999999998226</c:v>
                </c:pt>
                <c:pt idx="186">
                  <c:v>3455.9999999998226</c:v>
                </c:pt>
                <c:pt idx="187">
                  <c:v>3455.9999999998226</c:v>
                </c:pt>
                <c:pt idx="188">
                  <c:v>3455.9999999998226</c:v>
                </c:pt>
                <c:pt idx="189">
                  <c:v>3455.9999999998226</c:v>
                </c:pt>
                <c:pt idx="190">
                  <c:v>3455.9999999998226</c:v>
                </c:pt>
                <c:pt idx="191">
                  <c:v>3455.9999999998226</c:v>
                </c:pt>
                <c:pt idx="192">
                  <c:v>1855.9999999998222</c:v>
                </c:pt>
                <c:pt idx="193">
                  <c:v>3455.9999999998226</c:v>
                </c:pt>
                <c:pt idx="194">
                  <c:v>3455.9999999998226</c:v>
                </c:pt>
                <c:pt idx="195">
                  <c:v>1855.9999999998222</c:v>
                </c:pt>
                <c:pt idx="196">
                  <c:v>1855.9999999998222</c:v>
                </c:pt>
                <c:pt idx="197">
                  <c:v>1855.9999999998222</c:v>
                </c:pt>
                <c:pt idx="198">
                  <c:v>1855.9999999998222</c:v>
                </c:pt>
                <c:pt idx="199">
                  <c:v>1855.9999999998222</c:v>
                </c:pt>
                <c:pt idx="200">
                  <c:v>1855.9999999998222</c:v>
                </c:pt>
                <c:pt idx="201">
                  <c:v>1855.9999999998222</c:v>
                </c:pt>
                <c:pt idx="202">
                  <c:v>1855.9999999998222</c:v>
                </c:pt>
                <c:pt idx="203">
                  <c:v>1855.9999999998222</c:v>
                </c:pt>
                <c:pt idx="204">
                  <c:v>1855.9999999998222</c:v>
                </c:pt>
                <c:pt idx="205">
                  <c:v>1855.9999999998222</c:v>
                </c:pt>
                <c:pt idx="206">
                  <c:v>1855.9999999998222</c:v>
                </c:pt>
                <c:pt idx="207">
                  <c:v>1855.9999999998222</c:v>
                </c:pt>
                <c:pt idx="208">
                  <c:v>1855.9999999998222</c:v>
                </c:pt>
                <c:pt idx="209">
                  <c:v>1855.9999999998222</c:v>
                </c:pt>
                <c:pt idx="210">
                  <c:v>1855.9999999998222</c:v>
                </c:pt>
                <c:pt idx="211">
                  <c:v>1855.9999999998222</c:v>
                </c:pt>
                <c:pt idx="212">
                  <c:v>1855.9999999998222</c:v>
                </c:pt>
                <c:pt idx="213">
                  <c:v>1855.9999999998222</c:v>
                </c:pt>
                <c:pt idx="214">
                  <c:v>1855.9999999998222</c:v>
                </c:pt>
                <c:pt idx="215">
                  <c:v>1855.9999999998222</c:v>
                </c:pt>
                <c:pt idx="216">
                  <c:v>1855.9999999998222</c:v>
                </c:pt>
                <c:pt idx="217">
                  <c:v>1855.9999999998222</c:v>
                </c:pt>
                <c:pt idx="218">
                  <c:v>1855.9999999998222</c:v>
                </c:pt>
                <c:pt idx="219">
                  <c:v>1855.9999999998222</c:v>
                </c:pt>
                <c:pt idx="220">
                  <c:v>1855.9999999998222</c:v>
                </c:pt>
                <c:pt idx="221">
                  <c:v>1855.9999999998222</c:v>
                </c:pt>
                <c:pt idx="222">
                  <c:v>1855.9999999998222</c:v>
                </c:pt>
                <c:pt idx="223">
                  <c:v>1855.9999999998222</c:v>
                </c:pt>
                <c:pt idx="224">
                  <c:v>1855.9999999998222</c:v>
                </c:pt>
                <c:pt idx="225">
                  <c:v>1855.9999999998222</c:v>
                </c:pt>
                <c:pt idx="226">
                  <c:v>1855.9999999998222</c:v>
                </c:pt>
                <c:pt idx="227">
                  <c:v>1855.9999999998222</c:v>
                </c:pt>
                <c:pt idx="228">
                  <c:v>1855.9999999998222</c:v>
                </c:pt>
                <c:pt idx="229">
                  <c:v>1855.9999999998222</c:v>
                </c:pt>
                <c:pt idx="230">
                  <c:v>1855.9999999998222</c:v>
                </c:pt>
                <c:pt idx="231">
                  <c:v>1855.9999999998222</c:v>
                </c:pt>
                <c:pt idx="232">
                  <c:v>1855.9999999998222</c:v>
                </c:pt>
                <c:pt idx="233">
                  <c:v>1855.9999999998222</c:v>
                </c:pt>
                <c:pt idx="234">
                  <c:v>1855.9999999998222</c:v>
                </c:pt>
                <c:pt idx="235">
                  <c:v>1855.9999999998222</c:v>
                </c:pt>
                <c:pt idx="236">
                  <c:v>1855.9999999998222</c:v>
                </c:pt>
                <c:pt idx="237">
                  <c:v>1855.9999999998222</c:v>
                </c:pt>
                <c:pt idx="238">
                  <c:v>1855.9999999998222</c:v>
                </c:pt>
                <c:pt idx="239">
                  <c:v>1855.9999999998222</c:v>
                </c:pt>
                <c:pt idx="240">
                  <c:v>1855.9999999998222</c:v>
                </c:pt>
                <c:pt idx="241">
                  <c:v>1855.9999999998222</c:v>
                </c:pt>
                <c:pt idx="242">
                  <c:v>1855.9999999998222</c:v>
                </c:pt>
                <c:pt idx="243">
                  <c:v>1855.9999999998222</c:v>
                </c:pt>
                <c:pt idx="244">
                  <c:v>1855.9999999998222</c:v>
                </c:pt>
                <c:pt idx="245">
                  <c:v>1855.9999999998222</c:v>
                </c:pt>
                <c:pt idx="246">
                  <c:v>1855.9999999998222</c:v>
                </c:pt>
                <c:pt idx="247">
                  <c:v>1855.9999999998222</c:v>
                </c:pt>
                <c:pt idx="248">
                  <c:v>1855.9999999998222</c:v>
                </c:pt>
                <c:pt idx="249">
                  <c:v>1855.9999999998222</c:v>
                </c:pt>
                <c:pt idx="250">
                  <c:v>1855.9999999998222</c:v>
                </c:pt>
                <c:pt idx="251">
                  <c:v>1855.9999999998222</c:v>
                </c:pt>
                <c:pt idx="252">
                  <c:v>1855.9999999998222</c:v>
                </c:pt>
                <c:pt idx="253">
                  <c:v>1855.9999999998222</c:v>
                </c:pt>
                <c:pt idx="254">
                  <c:v>1855.9999999998222</c:v>
                </c:pt>
                <c:pt idx="255">
                  <c:v>1855.9999999998222</c:v>
                </c:pt>
                <c:pt idx="256">
                  <c:v>1855.9999999998222</c:v>
                </c:pt>
                <c:pt idx="257">
                  <c:v>1855.9999999998222</c:v>
                </c:pt>
                <c:pt idx="258">
                  <c:v>1855.9999999998222</c:v>
                </c:pt>
                <c:pt idx="259">
                  <c:v>1855.9999999998222</c:v>
                </c:pt>
                <c:pt idx="260">
                  <c:v>1855.9999999998222</c:v>
                </c:pt>
                <c:pt idx="261">
                  <c:v>1855.9999999998222</c:v>
                </c:pt>
                <c:pt idx="262">
                  <c:v>1855.9999999998222</c:v>
                </c:pt>
                <c:pt idx="263">
                  <c:v>1855.9999999998222</c:v>
                </c:pt>
                <c:pt idx="264">
                  <c:v>1855.9999999998222</c:v>
                </c:pt>
                <c:pt idx="265">
                  <c:v>1855.9999999998222</c:v>
                </c:pt>
                <c:pt idx="266">
                  <c:v>4415.9999999998217</c:v>
                </c:pt>
                <c:pt idx="267">
                  <c:v>4415.9999999998217</c:v>
                </c:pt>
                <c:pt idx="268">
                  <c:v>4415.9999999998217</c:v>
                </c:pt>
                <c:pt idx="269">
                  <c:v>4415.9999999998217</c:v>
                </c:pt>
                <c:pt idx="270">
                  <c:v>4415.9999999998217</c:v>
                </c:pt>
                <c:pt idx="271">
                  <c:v>4415.9999999998217</c:v>
                </c:pt>
                <c:pt idx="272">
                  <c:v>4415.9999999998217</c:v>
                </c:pt>
                <c:pt idx="273">
                  <c:v>4415.9999999998217</c:v>
                </c:pt>
                <c:pt idx="274">
                  <c:v>4415.9999999998217</c:v>
                </c:pt>
                <c:pt idx="275">
                  <c:v>4415.9999999998217</c:v>
                </c:pt>
                <c:pt idx="276">
                  <c:v>4415.9999999998217</c:v>
                </c:pt>
                <c:pt idx="277">
                  <c:v>4415.9999999998217</c:v>
                </c:pt>
                <c:pt idx="278">
                  <c:v>4415.9999999998217</c:v>
                </c:pt>
                <c:pt idx="279">
                  <c:v>4415.9999999998217</c:v>
                </c:pt>
                <c:pt idx="280">
                  <c:v>4415.9999999998217</c:v>
                </c:pt>
                <c:pt idx="281">
                  <c:v>4415.9999999998217</c:v>
                </c:pt>
                <c:pt idx="282">
                  <c:v>4415.9999999998217</c:v>
                </c:pt>
                <c:pt idx="283">
                  <c:v>4415.9999999998217</c:v>
                </c:pt>
                <c:pt idx="284">
                  <c:v>4415.9999999998217</c:v>
                </c:pt>
                <c:pt idx="285">
                  <c:v>4415.9999999998217</c:v>
                </c:pt>
                <c:pt idx="286">
                  <c:v>4415.9999999998217</c:v>
                </c:pt>
                <c:pt idx="287">
                  <c:v>4415.9999999998217</c:v>
                </c:pt>
                <c:pt idx="288">
                  <c:v>4415.9999999998217</c:v>
                </c:pt>
                <c:pt idx="289">
                  <c:v>4415.9999999998217</c:v>
                </c:pt>
                <c:pt idx="290">
                  <c:v>4415.9999999998217</c:v>
                </c:pt>
                <c:pt idx="291">
                  <c:v>4415.9999999998217</c:v>
                </c:pt>
                <c:pt idx="292">
                  <c:v>4415.9999999998217</c:v>
                </c:pt>
                <c:pt idx="293">
                  <c:v>4415.9999999998217</c:v>
                </c:pt>
                <c:pt idx="294">
                  <c:v>4415.9999999998217</c:v>
                </c:pt>
                <c:pt idx="295">
                  <c:v>4415.9999999998217</c:v>
                </c:pt>
                <c:pt idx="296">
                  <c:v>4415.9999999998217</c:v>
                </c:pt>
                <c:pt idx="297">
                  <c:v>4415.9999999998217</c:v>
                </c:pt>
                <c:pt idx="298">
                  <c:v>4415.9999999998217</c:v>
                </c:pt>
                <c:pt idx="299">
                  <c:v>4415.9999999998217</c:v>
                </c:pt>
                <c:pt idx="300">
                  <c:v>4415.9999999998217</c:v>
                </c:pt>
                <c:pt idx="301">
                  <c:v>4415.9999999998217</c:v>
                </c:pt>
                <c:pt idx="302">
                  <c:v>4415.9999999998217</c:v>
                </c:pt>
                <c:pt idx="303">
                  <c:v>4415.9999999998217</c:v>
                </c:pt>
                <c:pt idx="304">
                  <c:v>4415.9999999998217</c:v>
                </c:pt>
                <c:pt idx="305">
                  <c:v>4415.9999999998217</c:v>
                </c:pt>
                <c:pt idx="306">
                  <c:v>4415.9999999998217</c:v>
                </c:pt>
                <c:pt idx="307">
                  <c:v>4415.9999999998217</c:v>
                </c:pt>
                <c:pt idx="308">
                  <c:v>4415.9999999998217</c:v>
                </c:pt>
                <c:pt idx="309">
                  <c:v>4415.9999999998217</c:v>
                </c:pt>
                <c:pt idx="310">
                  <c:v>4415.9999999998217</c:v>
                </c:pt>
                <c:pt idx="311">
                  <c:v>4415.9999999998217</c:v>
                </c:pt>
                <c:pt idx="312">
                  <c:v>4415.9999999998217</c:v>
                </c:pt>
                <c:pt idx="313">
                  <c:v>4415.9999999998217</c:v>
                </c:pt>
                <c:pt idx="314">
                  <c:v>4415.9999999998217</c:v>
                </c:pt>
                <c:pt idx="315">
                  <c:v>4415.9999999998217</c:v>
                </c:pt>
                <c:pt idx="316">
                  <c:v>4415.9999999998217</c:v>
                </c:pt>
                <c:pt idx="317">
                  <c:v>4415.9999999998217</c:v>
                </c:pt>
                <c:pt idx="318">
                  <c:v>4415.9999999998217</c:v>
                </c:pt>
                <c:pt idx="319">
                  <c:v>4415.9999999998217</c:v>
                </c:pt>
                <c:pt idx="320">
                  <c:v>4415.9999999998217</c:v>
                </c:pt>
                <c:pt idx="321">
                  <c:v>4415.9999999998217</c:v>
                </c:pt>
                <c:pt idx="322">
                  <c:v>4415.9999999998217</c:v>
                </c:pt>
                <c:pt idx="323">
                  <c:v>4415.9999999998217</c:v>
                </c:pt>
                <c:pt idx="324">
                  <c:v>4415.9999999998217</c:v>
                </c:pt>
                <c:pt idx="325">
                  <c:v>4415.9999999998217</c:v>
                </c:pt>
                <c:pt idx="326">
                  <c:v>4415.9999999998217</c:v>
                </c:pt>
                <c:pt idx="327">
                  <c:v>4415.9999999998217</c:v>
                </c:pt>
                <c:pt idx="328">
                  <c:v>4415.9999999998217</c:v>
                </c:pt>
                <c:pt idx="329">
                  <c:v>4415.9999999998217</c:v>
                </c:pt>
                <c:pt idx="330">
                  <c:v>4415.9999999998217</c:v>
                </c:pt>
                <c:pt idx="331">
                  <c:v>4415.9999999998217</c:v>
                </c:pt>
                <c:pt idx="332">
                  <c:v>4415.9999999998217</c:v>
                </c:pt>
                <c:pt idx="333">
                  <c:v>4415.9999999998217</c:v>
                </c:pt>
                <c:pt idx="334">
                  <c:v>4415.9999999998217</c:v>
                </c:pt>
                <c:pt idx="335">
                  <c:v>4415.9999999998217</c:v>
                </c:pt>
                <c:pt idx="336">
                  <c:v>4415.9999999998217</c:v>
                </c:pt>
                <c:pt idx="337">
                  <c:v>4415.9999999998217</c:v>
                </c:pt>
                <c:pt idx="338">
                  <c:v>4415.9999999998217</c:v>
                </c:pt>
                <c:pt idx="339">
                  <c:v>4415.9999999998217</c:v>
                </c:pt>
                <c:pt idx="340">
                  <c:v>4415.9999999998217</c:v>
                </c:pt>
                <c:pt idx="341">
                  <c:v>4415.9999999998217</c:v>
                </c:pt>
                <c:pt idx="342">
                  <c:v>4415.9999999998217</c:v>
                </c:pt>
                <c:pt idx="343">
                  <c:v>4415.9999999998217</c:v>
                </c:pt>
                <c:pt idx="344">
                  <c:v>4415.9999999998217</c:v>
                </c:pt>
                <c:pt idx="345">
                  <c:v>4415.9999999998217</c:v>
                </c:pt>
                <c:pt idx="346">
                  <c:v>4415.9999999998217</c:v>
                </c:pt>
                <c:pt idx="347">
                  <c:v>4415.9999999998217</c:v>
                </c:pt>
                <c:pt idx="348">
                  <c:v>4415.9999999998217</c:v>
                </c:pt>
                <c:pt idx="349">
                  <c:v>4415.9999999998217</c:v>
                </c:pt>
                <c:pt idx="350">
                  <c:v>4415.9999999998217</c:v>
                </c:pt>
                <c:pt idx="351">
                  <c:v>4415.9999999998217</c:v>
                </c:pt>
                <c:pt idx="352">
                  <c:v>4415.9999999998217</c:v>
                </c:pt>
                <c:pt idx="353">
                  <c:v>4415.9999999998217</c:v>
                </c:pt>
                <c:pt idx="354">
                  <c:v>4415.9999999998217</c:v>
                </c:pt>
                <c:pt idx="355">
                  <c:v>4079.9999999998217</c:v>
                </c:pt>
                <c:pt idx="356">
                  <c:v>4079.9999999998217</c:v>
                </c:pt>
                <c:pt idx="357">
                  <c:v>4079.9999999998217</c:v>
                </c:pt>
                <c:pt idx="358">
                  <c:v>4079.9999999998217</c:v>
                </c:pt>
                <c:pt idx="359">
                  <c:v>4079.9999999998217</c:v>
                </c:pt>
                <c:pt idx="360">
                  <c:v>4079.9999999998217</c:v>
                </c:pt>
                <c:pt idx="361">
                  <c:v>4079.9999999998217</c:v>
                </c:pt>
                <c:pt idx="362">
                  <c:v>4079.9999999998217</c:v>
                </c:pt>
                <c:pt idx="363">
                  <c:v>4079.9999999998217</c:v>
                </c:pt>
                <c:pt idx="364">
                  <c:v>4079.9999999998217</c:v>
                </c:pt>
                <c:pt idx="365">
                  <c:v>4079.9999999998217</c:v>
                </c:pt>
                <c:pt idx="366">
                  <c:v>4079.9999999998217</c:v>
                </c:pt>
                <c:pt idx="367">
                  <c:v>4079.9999999998217</c:v>
                </c:pt>
                <c:pt idx="368">
                  <c:v>4079.9999999998217</c:v>
                </c:pt>
                <c:pt idx="369">
                  <c:v>4079.9999999998217</c:v>
                </c:pt>
                <c:pt idx="370">
                  <c:v>4079.9999999998217</c:v>
                </c:pt>
                <c:pt idx="371">
                  <c:v>4079.9999999998217</c:v>
                </c:pt>
                <c:pt idx="372">
                  <c:v>4079.9999999998217</c:v>
                </c:pt>
                <c:pt idx="373">
                  <c:v>4079.9999999998217</c:v>
                </c:pt>
                <c:pt idx="374">
                  <c:v>4079.9999999998217</c:v>
                </c:pt>
                <c:pt idx="375">
                  <c:v>4079.9999999998217</c:v>
                </c:pt>
                <c:pt idx="376">
                  <c:v>4079.9999999998217</c:v>
                </c:pt>
                <c:pt idx="377">
                  <c:v>4079.9999999998217</c:v>
                </c:pt>
                <c:pt idx="378">
                  <c:v>4079.9999999998217</c:v>
                </c:pt>
                <c:pt idx="379">
                  <c:v>4079.9999999998217</c:v>
                </c:pt>
                <c:pt idx="380">
                  <c:v>4079.9999999998217</c:v>
                </c:pt>
                <c:pt idx="381">
                  <c:v>4079.9999999998217</c:v>
                </c:pt>
                <c:pt idx="382">
                  <c:v>4079.9999999998217</c:v>
                </c:pt>
                <c:pt idx="383">
                  <c:v>4079.9999999998217</c:v>
                </c:pt>
                <c:pt idx="384">
                  <c:v>4079.9999999998217</c:v>
                </c:pt>
                <c:pt idx="385">
                  <c:v>4079.9999999998217</c:v>
                </c:pt>
                <c:pt idx="386">
                  <c:v>4079.9999999998217</c:v>
                </c:pt>
                <c:pt idx="387">
                  <c:v>4079.9999999998217</c:v>
                </c:pt>
                <c:pt idx="388">
                  <c:v>4079.9999999998217</c:v>
                </c:pt>
                <c:pt idx="389">
                  <c:v>4079.9999999998217</c:v>
                </c:pt>
                <c:pt idx="390">
                  <c:v>4079.9999999998217</c:v>
                </c:pt>
                <c:pt idx="391">
                  <c:v>4079.9999999998217</c:v>
                </c:pt>
                <c:pt idx="392">
                  <c:v>4079.9999999998217</c:v>
                </c:pt>
                <c:pt idx="393">
                  <c:v>4079.9999999998217</c:v>
                </c:pt>
                <c:pt idx="394">
                  <c:v>4079.9999999998217</c:v>
                </c:pt>
                <c:pt idx="395">
                  <c:v>4079.9999999998217</c:v>
                </c:pt>
                <c:pt idx="396">
                  <c:v>4079.9999999998217</c:v>
                </c:pt>
                <c:pt idx="397">
                  <c:v>4079.9999999998217</c:v>
                </c:pt>
                <c:pt idx="398">
                  <c:v>4079.9999999998217</c:v>
                </c:pt>
                <c:pt idx="399">
                  <c:v>4079.9999999998217</c:v>
                </c:pt>
                <c:pt idx="400">
                  <c:v>4079.9999999998217</c:v>
                </c:pt>
                <c:pt idx="401">
                  <c:v>4079.9999999998217</c:v>
                </c:pt>
                <c:pt idx="402">
                  <c:v>4079.9999999998217</c:v>
                </c:pt>
                <c:pt idx="403">
                  <c:v>4079.9999999998217</c:v>
                </c:pt>
                <c:pt idx="404">
                  <c:v>4079.9999999998217</c:v>
                </c:pt>
                <c:pt idx="405">
                  <c:v>4079.9999999998217</c:v>
                </c:pt>
                <c:pt idx="406">
                  <c:v>4079.9999999998217</c:v>
                </c:pt>
                <c:pt idx="407">
                  <c:v>4079.9999999998217</c:v>
                </c:pt>
                <c:pt idx="408">
                  <c:v>4079.9999999998217</c:v>
                </c:pt>
                <c:pt idx="409">
                  <c:v>4079.9999999998217</c:v>
                </c:pt>
                <c:pt idx="410">
                  <c:v>4079.9999999998217</c:v>
                </c:pt>
                <c:pt idx="411">
                  <c:v>4079.9999999998217</c:v>
                </c:pt>
                <c:pt idx="412">
                  <c:v>4079.9999999998217</c:v>
                </c:pt>
                <c:pt idx="413">
                  <c:v>4079.9999999998217</c:v>
                </c:pt>
                <c:pt idx="414">
                  <c:v>4079.9999999998217</c:v>
                </c:pt>
                <c:pt idx="415">
                  <c:v>4079.9999999998217</c:v>
                </c:pt>
                <c:pt idx="416">
                  <c:v>4079.9999999998217</c:v>
                </c:pt>
                <c:pt idx="417">
                  <c:v>4079.9999999998217</c:v>
                </c:pt>
                <c:pt idx="418">
                  <c:v>4379.9999999998217</c:v>
                </c:pt>
                <c:pt idx="419">
                  <c:v>4379.9999999998217</c:v>
                </c:pt>
                <c:pt idx="420">
                  <c:v>4379.9999999998217</c:v>
                </c:pt>
                <c:pt idx="421">
                  <c:v>5279.9999999998217</c:v>
                </c:pt>
                <c:pt idx="422">
                  <c:v>5759.9999999998217</c:v>
                </c:pt>
                <c:pt idx="423">
                  <c:v>5759.9999999998217</c:v>
                </c:pt>
                <c:pt idx="424">
                  <c:v>5759.9999999998217</c:v>
                </c:pt>
                <c:pt idx="425">
                  <c:v>5759.9999999998217</c:v>
                </c:pt>
                <c:pt idx="426">
                  <c:v>5759.9999999998217</c:v>
                </c:pt>
                <c:pt idx="427">
                  <c:v>5759.9999999998217</c:v>
                </c:pt>
                <c:pt idx="428">
                  <c:v>5759.9999999998217</c:v>
                </c:pt>
                <c:pt idx="429">
                  <c:v>5759.9999999998217</c:v>
                </c:pt>
                <c:pt idx="430">
                  <c:v>5759.9999999998217</c:v>
                </c:pt>
                <c:pt idx="431">
                  <c:v>5759.9999999998217</c:v>
                </c:pt>
                <c:pt idx="432">
                  <c:v>5759.9999999998217</c:v>
                </c:pt>
                <c:pt idx="433">
                  <c:v>5759.9999999998217</c:v>
                </c:pt>
                <c:pt idx="434">
                  <c:v>5759.9999999998217</c:v>
                </c:pt>
                <c:pt idx="435">
                  <c:v>5759.9999999998217</c:v>
                </c:pt>
                <c:pt idx="436">
                  <c:v>5759.9999999998217</c:v>
                </c:pt>
                <c:pt idx="437">
                  <c:v>5759.9999999998217</c:v>
                </c:pt>
                <c:pt idx="438">
                  <c:v>5759.9999999998217</c:v>
                </c:pt>
                <c:pt idx="439">
                  <c:v>5759.9999999998217</c:v>
                </c:pt>
                <c:pt idx="440">
                  <c:v>5759.9999999998217</c:v>
                </c:pt>
                <c:pt idx="441">
                  <c:v>5759.9999999998217</c:v>
                </c:pt>
                <c:pt idx="442">
                  <c:v>5759.9999999998217</c:v>
                </c:pt>
                <c:pt idx="443">
                  <c:v>5759.9999999998217</c:v>
                </c:pt>
                <c:pt idx="444">
                  <c:v>5759.9999999998217</c:v>
                </c:pt>
                <c:pt idx="445">
                  <c:v>5759.9999999998217</c:v>
                </c:pt>
                <c:pt idx="446">
                  <c:v>5759.9999999998217</c:v>
                </c:pt>
                <c:pt idx="447">
                  <c:v>5759.9999999998217</c:v>
                </c:pt>
                <c:pt idx="448">
                  <c:v>5759.9999999998217</c:v>
                </c:pt>
                <c:pt idx="449">
                  <c:v>5759.9999999998217</c:v>
                </c:pt>
                <c:pt idx="450">
                  <c:v>5759.9999999998217</c:v>
                </c:pt>
                <c:pt idx="451">
                  <c:v>5759.9999999998217</c:v>
                </c:pt>
                <c:pt idx="452">
                  <c:v>5759.9999999998217</c:v>
                </c:pt>
                <c:pt idx="453">
                  <c:v>5759.9999999998217</c:v>
                </c:pt>
                <c:pt idx="454">
                  <c:v>5759.9999999998217</c:v>
                </c:pt>
                <c:pt idx="455">
                  <c:v>5759.9999999998217</c:v>
                </c:pt>
                <c:pt idx="456">
                  <c:v>5759.9999999998217</c:v>
                </c:pt>
                <c:pt idx="457">
                  <c:v>5759.9999999998217</c:v>
                </c:pt>
                <c:pt idx="458">
                  <c:v>5759.9999999998217</c:v>
                </c:pt>
                <c:pt idx="459">
                  <c:v>5759.9999999998217</c:v>
                </c:pt>
                <c:pt idx="460">
                  <c:v>5759.9999999998217</c:v>
                </c:pt>
                <c:pt idx="461">
                  <c:v>5759.9999999998217</c:v>
                </c:pt>
                <c:pt idx="462">
                  <c:v>5759.9999999998217</c:v>
                </c:pt>
                <c:pt idx="463">
                  <c:v>5759.9999999998217</c:v>
                </c:pt>
                <c:pt idx="464">
                  <c:v>5759.9999999998217</c:v>
                </c:pt>
                <c:pt idx="465">
                  <c:v>5759.9999999998217</c:v>
                </c:pt>
                <c:pt idx="466">
                  <c:v>5759.9999999998217</c:v>
                </c:pt>
                <c:pt idx="467">
                  <c:v>5759.9999999998217</c:v>
                </c:pt>
                <c:pt idx="468">
                  <c:v>5759.9999999998217</c:v>
                </c:pt>
                <c:pt idx="469">
                  <c:v>5759.9999999998217</c:v>
                </c:pt>
                <c:pt idx="470">
                  <c:v>5759.9999999998217</c:v>
                </c:pt>
                <c:pt idx="471">
                  <c:v>5759.9999999998217</c:v>
                </c:pt>
                <c:pt idx="472">
                  <c:v>5759.9999999998217</c:v>
                </c:pt>
                <c:pt idx="473">
                  <c:v>5759.9999999998217</c:v>
                </c:pt>
                <c:pt idx="474">
                  <c:v>5759.9999999998217</c:v>
                </c:pt>
                <c:pt idx="475">
                  <c:v>5759.9999999998217</c:v>
                </c:pt>
                <c:pt idx="476">
                  <c:v>5759.9999999998217</c:v>
                </c:pt>
                <c:pt idx="477">
                  <c:v>5759.9999999998217</c:v>
                </c:pt>
                <c:pt idx="478">
                  <c:v>5759.9999999998217</c:v>
                </c:pt>
                <c:pt idx="479">
                  <c:v>5759.9999999998217</c:v>
                </c:pt>
                <c:pt idx="480">
                  <c:v>5759.9999999998217</c:v>
                </c:pt>
                <c:pt idx="481">
                  <c:v>5759.9999999998217</c:v>
                </c:pt>
                <c:pt idx="482">
                  <c:v>5759.9999999998217</c:v>
                </c:pt>
                <c:pt idx="483">
                  <c:v>5759.9999999998217</c:v>
                </c:pt>
                <c:pt idx="484">
                  <c:v>5759.9999999998217</c:v>
                </c:pt>
                <c:pt idx="485">
                  <c:v>5759.9999999998217</c:v>
                </c:pt>
                <c:pt idx="486">
                  <c:v>5759.9999999998217</c:v>
                </c:pt>
                <c:pt idx="487">
                  <c:v>5759.9999999998217</c:v>
                </c:pt>
                <c:pt idx="488">
                  <c:v>5759.9999999998217</c:v>
                </c:pt>
                <c:pt idx="489">
                  <c:v>5759.9999999998217</c:v>
                </c:pt>
                <c:pt idx="490">
                  <c:v>5759.9999999998217</c:v>
                </c:pt>
                <c:pt idx="491">
                  <c:v>5759.9999999998217</c:v>
                </c:pt>
                <c:pt idx="492">
                  <c:v>5759.9999999998217</c:v>
                </c:pt>
                <c:pt idx="493">
                  <c:v>5759.9999999998217</c:v>
                </c:pt>
                <c:pt idx="494">
                  <c:v>5759.9999999998217</c:v>
                </c:pt>
                <c:pt idx="495">
                  <c:v>5759.9999999998217</c:v>
                </c:pt>
                <c:pt idx="496">
                  <c:v>5759.9999999998217</c:v>
                </c:pt>
                <c:pt idx="497">
                  <c:v>5759.9999999998217</c:v>
                </c:pt>
                <c:pt idx="498">
                  <c:v>5759.9999999998217</c:v>
                </c:pt>
                <c:pt idx="499">
                  <c:v>5759.9999999998217</c:v>
                </c:pt>
                <c:pt idx="500">
                  <c:v>5759.9999999998217</c:v>
                </c:pt>
                <c:pt idx="501">
                  <c:v>5759.9999999998217</c:v>
                </c:pt>
                <c:pt idx="502">
                  <c:v>5759.9999999998217</c:v>
                </c:pt>
                <c:pt idx="503">
                  <c:v>5759.9999999998217</c:v>
                </c:pt>
                <c:pt idx="504">
                  <c:v>5759.9999999998217</c:v>
                </c:pt>
                <c:pt idx="505">
                  <c:v>5759.9999999998217</c:v>
                </c:pt>
                <c:pt idx="506">
                  <c:v>5759.9999999998217</c:v>
                </c:pt>
                <c:pt idx="507">
                  <c:v>5759.9999999998217</c:v>
                </c:pt>
                <c:pt idx="508">
                  <c:v>5759.9999999998217</c:v>
                </c:pt>
                <c:pt idx="509">
                  <c:v>5759.9999999998217</c:v>
                </c:pt>
                <c:pt idx="510">
                  <c:v>5759.9999999998217</c:v>
                </c:pt>
                <c:pt idx="511">
                  <c:v>5807.9999999998217</c:v>
                </c:pt>
                <c:pt idx="512">
                  <c:v>5807.9999999998217</c:v>
                </c:pt>
                <c:pt idx="513">
                  <c:v>5807.9999999998217</c:v>
                </c:pt>
                <c:pt idx="514">
                  <c:v>5807.9999999998217</c:v>
                </c:pt>
                <c:pt idx="515">
                  <c:v>5807.9999999998217</c:v>
                </c:pt>
                <c:pt idx="516">
                  <c:v>5807.9999999998217</c:v>
                </c:pt>
                <c:pt idx="517">
                  <c:v>5807.9999999998217</c:v>
                </c:pt>
                <c:pt idx="518">
                  <c:v>5807.9999999998217</c:v>
                </c:pt>
                <c:pt idx="519">
                  <c:v>5807.9999999998217</c:v>
                </c:pt>
                <c:pt idx="520">
                  <c:v>5807.9999999998217</c:v>
                </c:pt>
                <c:pt idx="521">
                  <c:v>5807.9999999998217</c:v>
                </c:pt>
                <c:pt idx="522">
                  <c:v>5807.9999999998217</c:v>
                </c:pt>
                <c:pt idx="523">
                  <c:v>5807.9999999998217</c:v>
                </c:pt>
                <c:pt idx="524">
                  <c:v>5807.9999999998217</c:v>
                </c:pt>
                <c:pt idx="525">
                  <c:v>5807.9999999998217</c:v>
                </c:pt>
                <c:pt idx="526">
                  <c:v>5807.9999999998217</c:v>
                </c:pt>
                <c:pt idx="527">
                  <c:v>5807.9999999998217</c:v>
                </c:pt>
                <c:pt idx="528">
                  <c:v>5807.9999999998217</c:v>
                </c:pt>
                <c:pt idx="529">
                  <c:v>5807.9999999998217</c:v>
                </c:pt>
                <c:pt idx="530">
                  <c:v>5807.9999999998217</c:v>
                </c:pt>
                <c:pt idx="531">
                  <c:v>5807.9999999998217</c:v>
                </c:pt>
                <c:pt idx="532">
                  <c:v>5807.9999999998217</c:v>
                </c:pt>
                <c:pt idx="533">
                  <c:v>5807.9999999998217</c:v>
                </c:pt>
                <c:pt idx="534">
                  <c:v>5807.9999999998217</c:v>
                </c:pt>
                <c:pt idx="535">
                  <c:v>5807.9999999998217</c:v>
                </c:pt>
                <c:pt idx="536">
                  <c:v>5807.9999999998217</c:v>
                </c:pt>
                <c:pt idx="537">
                  <c:v>5807.9999999998217</c:v>
                </c:pt>
                <c:pt idx="538">
                  <c:v>5807.9999999998217</c:v>
                </c:pt>
                <c:pt idx="539">
                  <c:v>5807.9999999998217</c:v>
                </c:pt>
                <c:pt idx="540">
                  <c:v>5807.9999999998217</c:v>
                </c:pt>
                <c:pt idx="541">
                  <c:v>5807.9999999998217</c:v>
                </c:pt>
                <c:pt idx="542">
                  <c:v>5807.9999999998217</c:v>
                </c:pt>
                <c:pt idx="543">
                  <c:v>5807.9999999998217</c:v>
                </c:pt>
                <c:pt idx="544">
                  <c:v>5807.9999999998217</c:v>
                </c:pt>
                <c:pt idx="545">
                  <c:v>5807.9999999998217</c:v>
                </c:pt>
                <c:pt idx="546">
                  <c:v>5807.9999999998217</c:v>
                </c:pt>
                <c:pt idx="547">
                  <c:v>5807.9999999998217</c:v>
                </c:pt>
                <c:pt idx="548">
                  <c:v>5807.9999999998217</c:v>
                </c:pt>
                <c:pt idx="549">
                  <c:v>5807.9999999998217</c:v>
                </c:pt>
                <c:pt idx="550">
                  <c:v>5807.9999999998217</c:v>
                </c:pt>
                <c:pt idx="551">
                  <c:v>5807.9999999998217</c:v>
                </c:pt>
                <c:pt idx="552">
                  <c:v>5807.9999999998217</c:v>
                </c:pt>
                <c:pt idx="553">
                  <c:v>5807.9999999998217</c:v>
                </c:pt>
                <c:pt idx="554">
                  <c:v>5807.9999999998217</c:v>
                </c:pt>
                <c:pt idx="555">
                  <c:v>7493.9999999995462</c:v>
                </c:pt>
                <c:pt idx="556">
                  <c:v>5807.9999999998217</c:v>
                </c:pt>
                <c:pt idx="557">
                  <c:v>5807.9999999998217</c:v>
                </c:pt>
                <c:pt idx="558">
                  <c:v>5807.9999999998217</c:v>
                </c:pt>
                <c:pt idx="559">
                  <c:v>5807.9999999998217</c:v>
                </c:pt>
                <c:pt idx="560">
                  <c:v>5423.9999999998217</c:v>
                </c:pt>
                <c:pt idx="561">
                  <c:v>5423.9999999998217</c:v>
                </c:pt>
                <c:pt idx="562">
                  <c:v>5423.9999999998217</c:v>
                </c:pt>
                <c:pt idx="563">
                  <c:v>5423.9999999998217</c:v>
                </c:pt>
                <c:pt idx="564">
                  <c:v>5423.9999999998217</c:v>
                </c:pt>
                <c:pt idx="565">
                  <c:v>5423.9999999998217</c:v>
                </c:pt>
                <c:pt idx="566">
                  <c:v>5423.9999999998217</c:v>
                </c:pt>
                <c:pt idx="567">
                  <c:v>5423.9999999998217</c:v>
                </c:pt>
                <c:pt idx="568">
                  <c:v>7301.9999999995771</c:v>
                </c:pt>
                <c:pt idx="569">
                  <c:v>5423.9999999998217</c:v>
                </c:pt>
                <c:pt idx="570">
                  <c:v>5423.9999999998217</c:v>
                </c:pt>
                <c:pt idx="571">
                  <c:v>7301.9999999995771</c:v>
                </c:pt>
                <c:pt idx="572">
                  <c:v>5423.9999999998217</c:v>
                </c:pt>
                <c:pt idx="573">
                  <c:v>5423.9999999998217</c:v>
                </c:pt>
                <c:pt idx="574">
                  <c:v>5423.9999999998217</c:v>
                </c:pt>
                <c:pt idx="575">
                  <c:v>7301.9999999995771</c:v>
                </c:pt>
                <c:pt idx="576">
                  <c:v>7493.9999999995462</c:v>
                </c:pt>
                <c:pt idx="577">
                  <c:v>5423.9999999998217</c:v>
                </c:pt>
                <c:pt idx="578">
                  <c:v>5423.9999999998217</c:v>
                </c:pt>
                <c:pt idx="579">
                  <c:v>5423.9999999998217</c:v>
                </c:pt>
                <c:pt idx="580">
                  <c:v>5423.9999999998217</c:v>
                </c:pt>
                <c:pt idx="581">
                  <c:v>5423.9999999998217</c:v>
                </c:pt>
                <c:pt idx="582">
                  <c:v>5423.9999999998217</c:v>
                </c:pt>
                <c:pt idx="583">
                  <c:v>5423.9999999998217</c:v>
                </c:pt>
                <c:pt idx="584">
                  <c:v>5423.9999999998217</c:v>
                </c:pt>
                <c:pt idx="585">
                  <c:v>5423.9999999998217</c:v>
                </c:pt>
                <c:pt idx="586">
                  <c:v>5423.9999999998217</c:v>
                </c:pt>
                <c:pt idx="587">
                  <c:v>5423.9999999998217</c:v>
                </c:pt>
                <c:pt idx="588">
                  <c:v>5423.9999999998217</c:v>
                </c:pt>
                <c:pt idx="589">
                  <c:v>5423.9999999998217</c:v>
                </c:pt>
                <c:pt idx="590">
                  <c:v>5423.9999999998217</c:v>
                </c:pt>
                <c:pt idx="591">
                  <c:v>5423.9999999998217</c:v>
                </c:pt>
                <c:pt idx="592">
                  <c:v>5423.9999999998217</c:v>
                </c:pt>
                <c:pt idx="593">
                  <c:v>5423.9999999998217</c:v>
                </c:pt>
                <c:pt idx="594">
                  <c:v>5423.9999999998217</c:v>
                </c:pt>
                <c:pt idx="595">
                  <c:v>5423.9999999998217</c:v>
                </c:pt>
                <c:pt idx="596">
                  <c:v>5423.9999999998217</c:v>
                </c:pt>
                <c:pt idx="597">
                  <c:v>5423.9999999998217</c:v>
                </c:pt>
                <c:pt idx="598">
                  <c:v>5423.9999999998217</c:v>
                </c:pt>
                <c:pt idx="599">
                  <c:v>5423.9999999998217</c:v>
                </c:pt>
                <c:pt idx="600">
                  <c:v>5423.9999999998217</c:v>
                </c:pt>
                <c:pt idx="601">
                  <c:v>5423.9999999998217</c:v>
                </c:pt>
                <c:pt idx="602">
                  <c:v>5423.9999999998217</c:v>
                </c:pt>
                <c:pt idx="603">
                  <c:v>5423.9999999998217</c:v>
                </c:pt>
                <c:pt idx="604">
                  <c:v>5423.9999999998217</c:v>
                </c:pt>
                <c:pt idx="605">
                  <c:v>5423.9999999998217</c:v>
                </c:pt>
                <c:pt idx="606">
                  <c:v>5423.9999999998217</c:v>
                </c:pt>
                <c:pt idx="607">
                  <c:v>5423.9999999998217</c:v>
                </c:pt>
                <c:pt idx="608">
                  <c:v>5423.9999999998217</c:v>
                </c:pt>
                <c:pt idx="609">
                  <c:v>5423.9999999998217</c:v>
                </c:pt>
                <c:pt idx="610">
                  <c:v>5423.9999999998217</c:v>
                </c:pt>
                <c:pt idx="611">
                  <c:v>5423.9999999998217</c:v>
                </c:pt>
                <c:pt idx="612">
                  <c:v>5423.9999999998217</c:v>
                </c:pt>
                <c:pt idx="613">
                  <c:v>5423.9999999998217</c:v>
                </c:pt>
                <c:pt idx="614">
                  <c:v>5423.9999999998217</c:v>
                </c:pt>
                <c:pt idx="615">
                  <c:v>5423.9999999998217</c:v>
                </c:pt>
                <c:pt idx="616">
                  <c:v>5423.9999999998217</c:v>
                </c:pt>
                <c:pt idx="617">
                  <c:v>5423.9999999998217</c:v>
                </c:pt>
                <c:pt idx="618">
                  <c:v>5423.9999999998217</c:v>
                </c:pt>
                <c:pt idx="619">
                  <c:v>5423.9999999998217</c:v>
                </c:pt>
                <c:pt idx="620">
                  <c:v>7301.9999999995771</c:v>
                </c:pt>
                <c:pt idx="621">
                  <c:v>5423.9999999998217</c:v>
                </c:pt>
                <c:pt idx="622">
                  <c:v>5423.9999999998217</c:v>
                </c:pt>
                <c:pt idx="623">
                  <c:v>5423.9999999998217</c:v>
                </c:pt>
                <c:pt idx="624">
                  <c:v>5423.9999999998217</c:v>
                </c:pt>
                <c:pt idx="625">
                  <c:v>5423.9999999998217</c:v>
                </c:pt>
                <c:pt idx="626">
                  <c:v>5423.9999999998217</c:v>
                </c:pt>
                <c:pt idx="627">
                  <c:v>7301.9999999995771</c:v>
                </c:pt>
                <c:pt idx="628">
                  <c:v>5423.9999999998217</c:v>
                </c:pt>
                <c:pt idx="629">
                  <c:v>5423.9999999998217</c:v>
                </c:pt>
                <c:pt idx="630">
                  <c:v>5423.9999999998217</c:v>
                </c:pt>
                <c:pt idx="631">
                  <c:v>5423.9999999998217</c:v>
                </c:pt>
                <c:pt idx="632">
                  <c:v>5423.9999999998217</c:v>
                </c:pt>
                <c:pt idx="633">
                  <c:v>5423.9999999998217</c:v>
                </c:pt>
                <c:pt idx="634">
                  <c:v>5423.9999999998217</c:v>
                </c:pt>
                <c:pt idx="635">
                  <c:v>5423.9999999998217</c:v>
                </c:pt>
                <c:pt idx="636">
                  <c:v>5423.9999999998217</c:v>
                </c:pt>
                <c:pt idx="637">
                  <c:v>5423.9999999998217</c:v>
                </c:pt>
                <c:pt idx="638">
                  <c:v>5423.9999999998217</c:v>
                </c:pt>
                <c:pt idx="639">
                  <c:v>7301.9999999995771</c:v>
                </c:pt>
                <c:pt idx="640">
                  <c:v>5423.9999999998217</c:v>
                </c:pt>
                <c:pt idx="641">
                  <c:v>5423.9999999998217</c:v>
                </c:pt>
                <c:pt idx="642">
                  <c:v>7301.9999999995771</c:v>
                </c:pt>
                <c:pt idx="643">
                  <c:v>5423.9999999998217</c:v>
                </c:pt>
                <c:pt idx="644">
                  <c:v>5423.9999999998217</c:v>
                </c:pt>
                <c:pt idx="645">
                  <c:v>8011.9999999997544</c:v>
                </c:pt>
                <c:pt idx="646">
                  <c:v>5423.9999999998217</c:v>
                </c:pt>
                <c:pt idx="647">
                  <c:v>8011.9999999997544</c:v>
                </c:pt>
                <c:pt idx="648">
                  <c:v>5423.9999999998217</c:v>
                </c:pt>
                <c:pt idx="649">
                  <c:v>5423.9999999998217</c:v>
                </c:pt>
                <c:pt idx="650">
                  <c:v>5423.9999999998217</c:v>
                </c:pt>
                <c:pt idx="651">
                  <c:v>5423.9999999998217</c:v>
                </c:pt>
                <c:pt idx="652">
                  <c:v>5423.9999999998217</c:v>
                </c:pt>
                <c:pt idx="653">
                  <c:v>5423.9999999998217</c:v>
                </c:pt>
                <c:pt idx="654">
                  <c:v>5423.9999999998217</c:v>
                </c:pt>
                <c:pt idx="655">
                  <c:v>5423.9999999998217</c:v>
                </c:pt>
                <c:pt idx="656">
                  <c:v>5423.9999999998217</c:v>
                </c:pt>
                <c:pt idx="657">
                  <c:v>5423.9999999998217</c:v>
                </c:pt>
                <c:pt idx="658">
                  <c:v>5423.9999999998217</c:v>
                </c:pt>
                <c:pt idx="659">
                  <c:v>5423.9999999998217</c:v>
                </c:pt>
                <c:pt idx="660">
                  <c:v>5423.9999999998217</c:v>
                </c:pt>
                <c:pt idx="661">
                  <c:v>5423.9999999998217</c:v>
                </c:pt>
                <c:pt idx="662">
                  <c:v>5423.9999999998217</c:v>
                </c:pt>
                <c:pt idx="663">
                  <c:v>5423.9999999998217</c:v>
                </c:pt>
                <c:pt idx="664">
                  <c:v>5423.9999999998217</c:v>
                </c:pt>
                <c:pt idx="665">
                  <c:v>5423.9999999998217</c:v>
                </c:pt>
                <c:pt idx="666">
                  <c:v>8011.9999999997544</c:v>
                </c:pt>
                <c:pt idx="667">
                  <c:v>5423.9999999998217</c:v>
                </c:pt>
                <c:pt idx="668">
                  <c:v>5423.9999999998217</c:v>
                </c:pt>
                <c:pt idx="669">
                  <c:v>5423.9999999998217</c:v>
                </c:pt>
                <c:pt idx="670">
                  <c:v>7663.9999999998236</c:v>
                </c:pt>
                <c:pt idx="671">
                  <c:v>5423.9999999998217</c:v>
                </c:pt>
                <c:pt idx="672">
                  <c:v>5423.9999999998217</c:v>
                </c:pt>
                <c:pt idx="673">
                  <c:v>5423.9999999998217</c:v>
                </c:pt>
                <c:pt idx="674">
                  <c:v>7663.9999999998236</c:v>
                </c:pt>
                <c:pt idx="675">
                  <c:v>5423.9999999998217</c:v>
                </c:pt>
                <c:pt idx="676">
                  <c:v>5423.9999999998217</c:v>
                </c:pt>
                <c:pt idx="677">
                  <c:v>5423.9999999998217</c:v>
                </c:pt>
                <c:pt idx="678">
                  <c:v>5423.9999999998217</c:v>
                </c:pt>
                <c:pt idx="679">
                  <c:v>5423.9999999998217</c:v>
                </c:pt>
                <c:pt idx="680">
                  <c:v>5423.9999999998217</c:v>
                </c:pt>
                <c:pt idx="681">
                  <c:v>5423.9999999998217</c:v>
                </c:pt>
                <c:pt idx="682">
                  <c:v>5423.9999999998217</c:v>
                </c:pt>
                <c:pt idx="683">
                  <c:v>7663.9999999998236</c:v>
                </c:pt>
                <c:pt idx="684">
                  <c:v>5423.9999999998217</c:v>
                </c:pt>
                <c:pt idx="685">
                  <c:v>5423.9999999998217</c:v>
                </c:pt>
                <c:pt idx="686">
                  <c:v>5423.9999999998217</c:v>
                </c:pt>
                <c:pt idx="687">
                  <c:v>5423.9999999998217</c:v>
                </c:pt>
                <c:pt idx="688">
                  <c:v>5423.9999999998217</c:v>
                </c:pt>
                <c:pt idx="689">
                  <c:v>5423.9999999998217</c:v>
                </c:pt>
                <c:pt idx="690">
                  <c:v>5423.9999999998217</c:v>
                </c:pt>
                <c:pt idx="691">
                  <c:v>5423.9999999998217</c:v>
                </c:pt>
                <c:pt idx="692">
                  <c:v>5423.9999999998217</c:v>
                </c:pt>
                <c:pt idx="693">
                  <c:v>5423.9999999998217</c:v>
                </c:pt>
                <c:pt idx="694">
                  <c:v>5423.9999999998217</c:v>
                </c:pt>
                <c:pt idx="695">
                  <c:v>5423.9999999998217</c:v>
                </c:pt>
                <c:pt idx="696">
                  <c:v>7663.9999999998236</c:v>
                </c:pt>
                <c:pt idx="697">
                  <c:v>7663.9999999998236</c:v>
                </c:pt>
                <c:pt idx="698">
                  <c:v>7663.9999999998236</c:v>
                </c:pt>
                <c:pt idx="699">
                  <c:v>7663.9999999998236</c:v>
                </c:pt>
                <c:pt idx="700">
                  <c:v>7663.9999999998236</c:v>
                </c:pt>
                <c:pt idx="701">
                  <c:v>7663.9999999998236</c:v>
                </c:pt>
                <c:pt idx="702">
                  <c:v>8011.9999999997544</c:v>
                </c:pt>
                <c:pt idx="703">
                  <c:v>7663.9999999998236</c:v>
                </c:pt>
                <c:pt idx="704">
                  <c:v>8011.9999999997544</c:v>
                </c:pt>
                <c:pt idx="705">
                  <c:v>8011.9999999997544</c:v>
                </c:pt>
                <c:pt idx="706">
                  <c:v>8011.9999999997544</c:v>
                </c:pt>
                <c:pt idx="707">
                  <c:v>8011.9999999997544</c:v>
                </c:pt>
                <c:pt idx="708">
                  <c:v>8011.9999999997544</c:v>
                </c:pt>
                <c:pt idx="709">
                  <c:v>8011.9999999997544</c:v>
                </c:pt>
                <c:pt idx="710">
                  <c:v>8011.9999999997544</c:v>
                </c:pt>
                <c:pt idx="711">
                  <c:v>8011.9999999997544</c:v>
                </c:pt>
                <c:pt idx="712">
                  <c:v>8011.9999999997544</c:v>
                </c:pt>
                <c:pt idx="713">
                  <c:v>8011.9999999997544</c:v>
                </c:pt>
                <c:pt idx="714">
                  <c:v>8011.9999999997544</c:v>
                </c:pt>
                <c:pt idx="715">
                  <c:v>8011.9999999997544</c:v>
                </c:pt>
                <c:pt idx="716">
                  <c:v>8011.9999999997544</c:v>
                </c:pt>
                <c:pt idx="717">
                  <c:v>8011.9999999997544</c:v>
                </c:pt>
                <c:pt idx="718">
                  <c:v>8011.9999999997544</c:v>
                </c:pt>
                <c:pt idx="719">
                  <c:v>8011.9999999997544</c:v>
                </c:pt>
                <c:pt idx="720">
                  <c:v>8011.9999999997544</c:v>
                </c:pt>
                <c:pt idx="721">
                  <c:v>8011.9999999997544</c:v>
                </c:pt>
                <c:pt idx="722">
                  <c:v>8011.9999999997544</c:v>
                </c:pt>
                <c:pt idx="723">
                  <c:v>8011.9999999997544</c:v>
                </c:pt>
                <c:pt idx="724">
                  <c:v>8011.9999999997544</c:v>
                </c:pt>
                <c:pt idx="725">
                  <c:v>8011.9999999997544</c:v>
                </c:pt>
                <c:pt idx="726">
                  <c:v>8011.9999999997544</c:v>
                </c:pt>
                <c:pt idx="727">
                  <c:v>8011.9999999997544</c:v>
                </c:pt>
                <c:pt idx="728">
                  <c:v>8011.9999999997544</c:v>
                </c:pt>
                <c:pt idx="729">
                  <c:v>8011.9999999997544</c:v>
                </c:pt>
                <c:pt idx="730">
                  <c:v>8011.9999999997544</c:v>
                </c:pt>
                <c:pt idx="731">
                  <c:v>7301.9999999995771</c:v>
                </c:pt>
                <c:pt idx="732">
                  <c:v>7915.9999999997544</c:v>
                </c:pt>
                <c:pt idx="733">
                  <c:v>8011.9999999997544</c:v>
                </c:pt>
                <c:pt idx="734">
                  <c:v>8011.9999999997544</c:v>
                </c:pt>
                <c:pt idx="735">
                  <c:v>8011.9999999997544</c:v>
                </c:pt>
                <c:pt idx="736">
                  <c:v>8011.9999999997544</c:v>
                </c:pt>
                <c:pt idx="737">
                  <c:v>8011.9999999997544</c:v>
                </c:pt>
                <c:pt idx="738">
                  <c:v>7915.9999999997544</c:v>
                </c:pt>
                <c:pt idx="739">
                  <c:v>8011.9999999997544</c:v>
                </c:pt>
                <c:pt idx="740">
                  <c:v>8011.9999999997544</c:v>
                </c:pt>
                <c:pt idx="741">
                  <c:v>8011.9999999997544</c:v>
                </c:pt>
                <c:pt idx="742">
                  <c:v>8011.9999999997544</c:v>
                </c:pt>
                <c:pt idx="743">
                  <c:v>8011.9999999997544</c:v>
                </c:pt>
                <c:pt idx="744">
                  <c:v>8011.9999999997544</c:v>
                </c:pt>
                <c:pt idx="745">
                  <c:v>8011.9999999997544</c:v>
                </c:pt>
                <c:pt idx="746">
                  <c:v>8011.9999999997544</c:v>
                </c:pt>
                <c:pt idx="747">
                  <c:v>8011.9999999997544</c:v>
                </c:pt>
                <c:pt idx="748">
                  <c:v>8011.9999999997544</c:v>
                </c:pt>
                <c:pt idx="749">
                  <c:v>8011.9999999997544</c:v>
                </c:pt>
                <c:pt idx="750">
                  <c:v>8011.9999999997544</c:v>
                </c:pt>
                <c:pt idx="751">
                  <c:v>8011.9999999997544</c:v>
                </c:pt>
                <c:pt idx="752">
                  <c:v>8011.9999999997544</c:v>
                </c:pt>
                <c:pt idx="753">
                  <c:v>8011.9999999997544</c:v>
                </c:pt>
                <c:pt idx="754">
                  <c:v>8011.9999999997544</c:v>
                </c:pt>
                <c:pt idx="755">
                  <c:v>8011.9999999997544</c:v>
                </c:pt>
                <c:pt idx="756">
                  <c:v>8011.9999999997544</c:v>
                </c:pt>
                <c:pt idx="757">
                  <c:v>8011.9999999997544</c:v>
                </c:pt>
                <c:pt idx="758">
                  <c:v>8011.9999999997544</c:v>
                </c:pt>
                <c:pt idx="759">
                  <c:v>8011.9999999997544</c:v>
                </c:pt>
                <c:pt idx="760">
                  <c:v>8011.9999999997544</c:v>
                </c:pt>
                <c:pt idx="761">
                  <c:v>8011.9999999997544</c:v>
                </c:pt>
                <c:pt idx="762">
                  <c:v>8011.9999999997544</c:v>
                </c:pt>
                <c:pt idx="763">
                  <c:v>8011.9999999997544</c:v>
                </c:pt>
                <c:pt idx="764">
                  <c:v>8011.9999999997544</c:v>
                </c:pt>
                <c:pt idx="765">
                  <c:v>8011.9999999997544</c:v>
                </c:pt>
                <c:pt idx="766">
                  <c:v>8011.9999999997544</c:v>
                </c:pt>
                <c:pt idx="767">
                  <c:v>8011.9999999997544</c:v>
                </c:pt>
                <c:pt idx="768">
                  <c:v>8011.9999999997544</c:v>
                </c:pt>
                <c:pt idx="769">
                  <c:v>8011.9999999997544</c:v>
                </c:pt>
                <c:pt idx="770">
                  <c:v>8011.9999999997544</c:v>
                </c:pt>
                <c:pt idx="771">
                  <c:v>8011.9999999997544</c:v>
                </c:pt>
                <c:pt idx="772">
                  <c:v>8011.9999999997544</c:v>
                </c:pt>
                <c:pt idx="773">
                  <c:v>8011.9999999997544</c:v>
                </c:pt>
                <c:pt idx="774">
                  <c:v>8011.9999999997544</c:v>
                </c:pt>
                <c:pt idx="775">
                  <c:v>8011.9999999997544</c:v>
                </c:pt>
                <c:pt idx="776">
                  <c:v>8011.9999999997544</c:v>
                </c:pt>
                <c:pt idx="777">
                  <c:v>8011.9999999997544</c:v>
                </c:pt>
                <c:pt idx="778">
                  <c:v>8011.9999999997544</c:v>
                </c:pt>
                <c:pt idx="779">
                  <c:v>8011.9999999997544</c:v>
                </c:pt>
                <c:pt idx="780">
                  <c:v>8011.9999999997544</c:v>
                </c:pt>
                <c:pt idx="781">
                  <c:v>8011.9999999997544</c:v>
                </c:pt>
                <c:pt idx="782">
                  <c:v>8011.9999999997544</c:v>
                </c:pt>
                <c:pt idx="783">
                  <c:v>8011.9999999997544</c:v>
                </c:pt>
                <c:pt idx="784">
                  <c:v>8011.9999999997544</c:v>
                </c:pt>
                <c:pt idx="785">
                  <c:v>8011.9999999997544</c:v>
                </c:pt>
                <c:pt idx="786">
                  <c:v>8011.9999999997544</c:v>
                </c:pt>
                <c:pt idx="787">
                  <c:v>8011.9999999997544</c:v>
                </c:pt>
                <c:pt idx="788">
                  <c:v>8011.9999999997544</c:v>
                </c:pt>
                <c:pt idx="789">
                  <c:v>8011.9999999997544</c:v>
                </c:pt>
                <c:pt idx="790">
                  <c:v>8011.9999999997544</c:v>
                </c:pt>
                <c:pt idx="791">
                  <c:v>8011.9999999997544</c:v>
                </c:pt>
                <c:pt idx="792">
                  <c:v>8011.9999999997544</c:v>
                </c:pt>
                <c:pt idx="793">
                  <c:v>8011.9999999997544</c:v>
                </c:pt>
                <c:pt idx="794">
                  <c:v>8011.9999999997544</c:v>
                </c:pt>
                <c:pt idx="795">
                  <c:v>7915.9999999997544</c:v>
                </c:pt>
                <c:pt idx="796">
                  <c:v>8011.9999999997544</c:v>
                </c:pt>
                <c:pt idx="797">
                  <c:v>8011.9999999997544</c:v>
                </c:pt>
                <c:pt idx="798">
                  <c:v>7915.9999999997544</c:v>
                </c:pt>
                <c:pt idx="799">
                  <c:v>8011.9999999997544</c:v>
                </c:pt>
                <c:pt idx="800">
                  <c:v>8011.9999999997544</c:v>
                </c:pt>
                <c:pt idx="801">
                  <c:v>8011.9999999997544</c:v>
                </c:pt>
                <c:pt idx="802">
                  <c:v>7915.9999999997544</c:v>
                </c:pt>
                <c:pt idx="803">
                  <c:v>8011.9999999997544</c:v>
                </c:pt>
                <c:pt idx="804">
                  <c:v>8011.9999999997544</c:v>
                </c:pt>
                <c:pt idx="805">
                  <c:v>8011.9999999997544</c:v>
                </c:pt>
                <c:pt idx="806">
                  <c:v>8011.9999999997544</c:v>
                </c:pt>
                <c:pt idx="807">
                  <c:v>8011.9999999997544</c:v>
                </c:pt>
                <c:pt idx="808">
                  <c:v>8011.9999999997544</c:v>
                </c:pt>
                <c:pt idx="809">
                  <c:v>8011.9999999997544</c:v>
                </c:pt>
                <c:pt idx="810">
                  <c:v>8011.9999999997544</c:v>
                </c:pt>
                <c:pt idx="811">
                  <c:v>8011.9999999997544</c:v>
                </c:pt>
                <c:pt idx="812">
                  <c:v>8011.9999999997544</c:v>
                </c:pt>
                <c:pt idx="813">
                  <c:v>7915.9999999997544</c:v>
                </c:pt>
                <c:pt idx="814">
                  <c:v>7915.9999999997544</c:v>
                </c:pt>
                <c:pt idx="815">
                  <c:v>8011.9999999997544</c:v>
                </c:pt>
                <c:pt idx="816">
                  <c:v>8011.9999999997544</c:v>
                </c:pt>
                <c:pt idx="817">
                  <c:v>7915.9999999997544</c:v>
                </c:pt>
                <c:pt idx="818">
                  <c:v>8011.9999999997544</c:v>
                </c:pt>
                <c:pt idx="819">
                  <c:v>8011.9999999997544</c:v>
                </c:pt>
                <c:pt idx="820">
                  <c:v>8011.9999999997544</c:v>
                </c:pt>
                <c:pt idx="821">
                  <c:v>8011.9999999997544</c:v>
                </c:pt>
                <c:pt idx="822">
                  <c:v>7915.9999999997544</c:v>
                </c:pt>
                <c:pt idx="823">
                  <c:v>7915.9999999997544</c:v>
                </c:pt>
                <c:pt idx="824">
                  <c:v>7915.9999999997544</c:v>
                </c:pt>
                <c:pt idx="825">
                  <c:v>7915.9999999997544</c:v>
                </c:pt>
                <c:pt idx="826">
                  <c:v>7915.9999999997544</c:v>
                </c:pt>
                <c:pt idx="827">
                  <c:v>7915.9999999997544</c:v>
                </c:pt>
                <c:pt idx="828">
                  <c:v>7915.9999999997544</c:v>
                </c:pt>
                <c:pt idx="829">
                  <c:v>7915.9999999997544</c:v>
                </c:pt>
                <c:pt idx="830">
                  <c:v>7915.9999999997544</c:v>
                </c:pt>
                <c:pt idx="831">
                  <c:v>7915.9999999997544</c:v>
                </c:pt>
                <c:pt idx="832">
                  <c:v>7915.9999999997544</c:v>
                </c:pt>
                <c:pt idx="833">
                  <c:v>7915.9999999997544</c:v>
                </c:pt>
                <c:pt idx="834">
                  <c:v>7915.9999999997544</c:v>
                </c:pt>
                <c:pt idx="835">
                  <c:v>7915.9999999997544</c:v>
                </c:pt>
                <c:pt idx="836">
                  <c:v>7915.9999999997544</c:v>
                </c:pt>
                <c:pt idx="837">
                  <c:v>7915.9999999997544</c:v>
                </c:pt>
                <c:pt idx="838">
                  <c:v>7915.9999999997544</c:v>
                </c:pt>
                <c:pt idx="839">
                  <c:v>7915.9999999997544</c:v>
                </c:pt>
                <c:pt idx="840">
                  <c:v>7915.9999999997544</c:v>
                </c:pt>
                <c:pt idx="841">
                  <c:v>7915.9999999997544</c:v>
                </c:pt>
                <c:pt idx="842">
                  <c:v>7915.9999999997544</c:v>
                </c:pt>
                <c:pt idx="843">
                  <c:v>7915.9999999997544</c:v>
                </c:pt>
                <c:pt idx="844">
                  <c:v>7915.9999999997544</c:v>
                </c:pt>
                <c:pt idx="845">
                  <c:v>7915.9999999997544</c:v>
                </c:pt>
                <c:pt idx="846">
                  <c:v>7915.9999999997544</c:v>
                </c:pt>
                <c:pt idx="847">
                  <c:v>7915.9999999997544</c:v>
                </c:pt>
                <c:pt idx="848">
                  <c:v>7915.9999999997544</c:v>
                </c:pt>
                <c:pt idx="849">
                  <c:v>7915.9999999997544</c:v>
                </c:pt>
                <c:pt idx="850">
                  <c:v>7915.9999999997544</c:v>
                </c:pt>
                <c:pt idx="851">
                  <c:v>7915.9999999997544</c:v>
                </c:pt>
                <c:pt idx="852">
                  <c:v>7915.9999999997544</c:v>
                </c:pt>
                <c:pt idx="853">
                  <c:v>7915.9999999997544</c:v>
                </c:pt>
                <c:pt idx="854">
                  <c:v>7915.9999999997544</c:v>
                </c:pt>
                <c:pt idx="855">
                  <c:v>7915.9999999997544</c:v>
                </c:pt>
                <c:pt idx="856">
                  <c:v>7915.9999999997544</c:v>
                </c:pt>
                <c:pt idx="857">
                  <c:v>7915.9999999997544</c:v>
                </c:pt>
                <c:pt idx="858">
                  <c:v>7915.9999999997544</c:v>
                </c:pt>
                <c:pt idx="859">
                  <c:v>7915.9999999997544</c:v>
                </c:pt>
                <c:pt idx="860">
                  <c:v>7915.9999999997544</c:v>
                </c:pt>
                <c:pt idx="861">
                  <c:v>7915.9999999997544</c:v>
                </c:pt>
                <c:pt idx="862">
                  <c:v>7915.9999999997544</c:v>
                </c:pt>
                <c:pt idx="863">
                  <c:v>7915.9999999997544</c:v>
                </c:pt>
                <c:pt idx="864">
                  <c:v>7915.9999999997544</c:v>
                </c:pt>
                <c:pt idx="865">
                  <c:v>7915.9999999997544</c:v>
                </c:pt>
                <c:pt idx="866">
                  <c:v>7915.9999999997544</c:v>
                </c:pt>
                <c:pt idx="867">
                  <c:v>7915.9999999997544</c:v>
                </c:pt>
                <c:pt idx="868">
                  <c:v>7915.9999999997544</c:v>
                </c:pt>
                <c:pt idx="869">
                  <c:v>7915.9999999997544</c:v>
                </c:pt>
                <c:pt idx="870">
                  <c:v>7915.9999999997544</c:v>
                </c:pt>
                <c:pt idx="871">
                  <c:v>7915.9999999997544</c:v>
                </c:pt>
                <c:pt idx="872">
                  <c:v>7915.9999999997544</c:v>
                </c:pt>
                <c:pt idx="873">
                  <c:v>7915.9999999997544</c:v>
                </c:pt>
                <c:pt idx="874">
                  <c:v>7915.9999999997544</c:v>
                </c:pt>
                <c:pt idx="875">
                  <c:v>7915.9999999997544</c:v>
                </c:pt>
                <c:pt idx="876">
                  <c:v>7915.9999999997544</c:v>
                </c:pt>
                <c:pt idx="877">
                  <c:v>7915.9999999997544</c:v>
                </c:pt>
                <c:pt idx="878">
                  <c:v>7915.9999999997544</c:v>
                </c:pt>
                <c:pt idx="879">
                  <c:v>7915.9999999997544</c:v>
                </c:pt>
                <c:pt idx="880">
                  <c:v>7915.9999999997544</c:v>
                </c:pt>
                <c:pt idx="881">
                  <c:v>7915.9999999997544</c:v>
                </c:pt>
                <c:pt idx="882">
                  <c:v>7915.9999999997544</c:v>
                </c:pt>
                <c:pt idx="883">
                  <c:v>7915.9999999997544</c:v>
                </c:pt>
                <c:pt idx="884">
                  <c:v>7915.9999999997544</c:v>
                </c:pt>
                <c:pt idx="885">
                  <c:v>7915.9999999997544</c:v>
                </c:pt>
                <c:pt idx="886">
                  <c:v>7915.9999999997544</c:v>
                </c:pt>
                <c:pt idx="887">
                  <c:v>7915.9999999997544</c:v>
                </c:pt>
                <c:pt idx="888">
                  <c:v>0</c:v>
                </c:pt>
                <c:pt idx="889">
                  <c:v>7915.9999999997544</c:v>
                </c:pt>
                <c:pt idx="890">
                  <c:v>7915.9999999997544</c:v>
                </c:pt>
                <c:pt idx="891">
                  <c:v>7915.9999999997544</c:v>
                </c:pt>
                <c:pt idx="892">
                  <c:v>7915.9999999997544</c:v>
                </c:pt>
                <c:pt idx="893">
                  <c:v>7915.9999999997544</c:v>
                </c:pt>
                <c:pt idx="894">
                  <c:v>7915.9999999997544</c:v>
                </c:pt>
                <c:pt idx="895">
                  <c:v>7915.9999999997544</c:v>
                </c:pt>
                <c:pt idx="896">
                  <c:v>7915.9999999997544</c:v>
                </c:pt>
                <c:pt idx="897">
                  <c:v>7915.9999999997544</c:v>
                </c:pt>
                <c:pt idx="898">
                  <c:v>7915.9999999997544</c:v>
                </c:pt>
                <c:pt idx="899">
                  <c:v>7915.9999999997544</c:v>
                </c:pt>
                <c:pt idx="900">
                  <c:v>7915.9999999997544</c:v>
                </c:pt>
                <c:pt idx="901">
                  <c:v>7915.9999999997544</c:v>
                </c:pt>
                <c:pt idx="902">
                  <c:v>7915.9999999997544</c:v>
                </c:pt>
                <c:pt idx="903">
                  <c:v>7915.9999999997544</c:v>
                </c:pt>
                <c:pt idx="904">
                  <c:v>7915.9999999997544</c:v>
                </c:pt>
                <c:pt idx="905">
                  <c:v>7915.9999999997544</c:v>
                </c:pt>
                <c:pt idx="906">
                  <c:v>7915.9999999997544</c:v>
                </c:pt>
                <c:pt idx="907">
                  <c:v>7915.9999999997544</c:v>
                </c:pt>
                <c:pt idx="908">
                  <c:v>7915.9999999997544</c:v>
                </c:pt>
                <c:pt idx="909">
                  <c:v>7915.9999999997544</c:v>
                </c:pt>
                <c:pt idx="910">
                  <c:v>7915.9999999997544</c:v>
                </c:pt>
                <c:pt idx="911">
                  <c:v>7915.9999999997544</c:v>
                </c:pt>
                <c:pt idx="912">
                  <c:v>7915.9999999997544</c:v>
                </c:pt>
                <c:pt idx="913">
                  <c:v>7915.9999999997544</c:v>
                </c:pt>
                <c:pt idx="914">
                  <c:v>7915.9999999997544</c:v>
                </c:pt>
                <c:pt idx="915">
                  <c:v>7915.9999999997544</c:v>
                </c:pt>
                <c:pt idx="916">
                  <c:v>7915.9999999997544</c:v>
                </c:pt>
                <c:pt idx="917">
                  <c:v>7915.9999999997544</c:v>
                </c:pt>
                <c:pt idx="918">
                  <c:v>7915.9999999997544</c:v>
                </c:pt>
                <c:pt idx="919">
                  <c:v>7915.9999999997544</c:v>
                </c:pt>
                <c:pt idx="920">
                  <c:v>7915.9999999997544</c:v>
                </c:pt>
                <c:pt idx="921">
                  <c:v>7915.9999999997544</c:v>
                </c:pt>
                <c:pt idx="922">
                  <c:v>7915.9999999997544</c:v>
                </c:pt>
                <c:pt idx="923">
                  <c:v>7915.9999999997544</c:v>
                </c:pt>
                <c:pt idx="924">
                  <c:v>7915.9999999997544</c:v>
                </c:pt>
                <c:pt idx="925">
                  <c:v>7915.9999999997544</c:v>
                </c:pt>
                <c:pt idx="926">
                  <c:v>7915.9999999997544</c:v>
                </c:pt>
                <c:pt idx="927">
                  <c:v>7915.9999999997544</c:v>
                </c:pt>
                <c:pt idx="928">
                  <c:v>7915.9999999997544</c:v>
                </c:pt>
                <c:pt idx="929">
                  <c:v>7915.9999999997544</c:v>
                </c:pt>
                <c:pt idx="930">
                  <c:v>7301.9999999995771</c:v>
                </c:pt>
                <c:pt idx="931">
                  <c:v>7915.9999999997544</c:v>
                </c:pt>
                <c:pt idx="932">
                  <c:v>7915.9999999997544</c:v>
                </c:pt>
                <c:pt idx="933">
                  <c:v>7915.9999999997544</c:v>
                </c:pt>
                <c:pt idx="934">
                  <c:v>7570.7999999995782</c:v>
                </c:pt>
                <c:pt idx="935">
                  <c:v>7570.7999999995782</c:v>
                </c:pt>
                <c:pt idx="936">
                  <c:v>7570.7999999995782</c:v>
                </c:pt>
                <c:pt idx="937">
                  <c:v>7570.7999999995782</c:v>
                </c:pt>
                <c:pt idx="938">
                  <c:v>7570.7999999995782</c:v>
                </c:pt>
                <c:pt idx="939">
                  <c:v>7301.9999999995771</c:v>
                </c:pt>
                <c:pt idx="940">
                  <c:v>7570.7999999995782</c:v>
                </c:pt>
                <c:pt idx="941">
                  <c:v>7570.7999999995782</c:v>
                </c:pt>
                <c:pt idx="942">
                  <c:v>7570.7999999995782</c:v>
                </c:pt>
                <c:pt idx="943">
                  <c:v>7570.7999999995782</c:v>
                </c:pt>
                <c:pt idx="944">
                  <c:v>7301.9999999995771</c:v>
                </c:pt>
                <c:pt idx="945">
                  <c:v>7301.9999999995771</c:v>
                </c:pt>
                <c:pt idx="946">
                  <c:v>7301.9999999995771</c:v>
                </c:pt>
                <c:pt idx="947">
                  <c:v>7301.9999999995771</c:v>
                </c:pt>
                <c:pt idx="948">
                  <c:v>7301.9999999995771</c:v>
                </c:pt>
                <c:pt idx="949">
                  <c:v>7301.9999999995771</c:v>
                </c:pt>
                <c:pt idx="950">
                  <c:v>7301.9999999995771</c:v>
                </c:pt>
                <c:pt idx="951">
                  <c:v>7301.9999999995771</c:v>
                </c:pt>
                <c:pt idx="952">
                  <c:v>7301.9999999995771</c:v>
                </c:pt>
                <c:pt idx="953">
                  <c:v>7301.9999999995771</c:v>
                </c:pt>
                <c:pt idx="954">
                  <c:v>7301.9999999995771</c:v>
                </c:pt>
                <c:pt idx="955">
                  <c:v>7301.9999999995771</c:v>
                </c:pt>
                <c:pt idx="956">
                  <c:v>7301.9999999995771</c:v>
                </c:pt>
                <c:pt idx="957">
                  <c:v>7301.9999999995771</c:v>
                </c:pt>
                <c:pt idx="958">
                  <c:v>7301.9999999995771</c:v>
                </c:pt>
                <c:pt idx="959">
                  <c:v>7301.9999999995771</c:v>
                </c:pt>
                <c:pt idx="960">
                  <c:v>7301.9999999995771</c:v>
                </c:pt>
                <c:pt idx="961">
                  <c:v>7301.9999999995771</c:v>
                </c:pt>
                <c:pt idx="962">
                  <c:v>7301.9999999995771</c:v>
                </c:pt>
                <c:pt idx="963">
                  <c:v>7301.9999999995771</c:v>
                </c:pt>
                <c:pt idx="964">
                  <c:v>7301.9999999995771</c:v>
                </c:pt>
                <c:pt idx="965">
                  <c:v>7301.9999999995771</c:v>
                </c:pt>
                <c:pt idx="966">
                  <c:v>7301.9999999995771</c:v>
                </c:pt>
                <c:pt idx="967">
                  <c:v>7301.9999999995771</c:v>
                </c:pt>
                <c:pt idx="968">
                  <c:v>7301.9999999995771</c:v>
                </c:pt>
                <c:pt idx="969">
                  <c:v>7301.9999999995771</c:v>
                </c:pt>
                <c:pt idx="970">
                  <c:v>7301.9999999995771</c:v>
                </c:pt>
                <c:pt idx="971">
                  <c:v>7301.9999999995771</c:v>
                </c:pt>
                <c:pt idx="972">
                  <c:v>7301.9999999995771</c:v>
                </c:pt>
                <c:pt idx="973">
                  <c:v>7301.9999999995771</c:v>
                </c:pt>
                <c:pt idx="974">
                  <c:v>7301.9999999995771</c:v>
                </c:pt>
                <c:pt idx="975">
                  <c:v>7301.9999999995771</c:v>
                </c:pt>
                <c:pt idx="976">
                  <c:v>7301.9999999995771</c:v>
                </c:pt>
                <c:pt idx="977">
                  <c:v>7301.9999999995771</c:v>
                </c:pt>
                <c:pt idx="978">
                  <c:v>7301.9999999995771</c:v>
                </c:pt>
                <c:pt idx="979">
                  <c:v>7301.9999999995771</c:v>
                </c:pt>
                <c:pt idx="980">
                  <c:v>7301.9999999995771</c:v>
                </c:pt>
                <c:pt idx="981">
                  <c:v>7301.9999999995771</c:v>
                </c:pt>
                <c:pt idx="982">
                  <c:v>7301.9999999995771</c:v>
                </c:pt>
                <c:pt idx="983">
                  <c:v>7301.9999999995771</c:v>
                </c:pt>
                <c:pt idx="984">
                  <c:v>7301.9999999995771</c:v>
                </c:pt>
                <c:pt idx="985">
                  <c:v>7301.9999999995771</c:v>
                </c:pt>
                <c:pt idx="986">
                  <c:v>7301.9999999995771</c:v>
                </c:pt>
                <c:pt idx="987">
                  <c:v>7301.9999999995771</c:v>
                </c:pt>
                <c:pt idx="988">
                  <c:v>7301.9999999995771</c:v>
                </c:pt>
                <c:pt idx="989">
                  <c:v>0</c:v>
                </c:pt>
                <c:pt idx="990">
                  <c:v>7301.9999999995771</c:v>
                </c:pt>
                <c:pt idx="991">
                  <c:v>7301.9999999995771</c:v>
                </c:pt>
                <c:pt idx="992">
                  <c:v>7301.9999999995771</c:v>
                </c:pt>
                <c:pt idx="993">
                  <c:v>7301.9999999995771</c:v>
                </c:pt>
                <c:pt idx="994">
                  <c:v>7301.9999999995771</c:v>
                </c:pt>
                <c:pt idx="995">
                  <c:v>7301.9999999995771</c:v>
                </c:pt>
                <c:pt idx="996">
                  <c:v>7301.9999999995771</c:v>
                </c:pt>
                <c:pt idx="997">
                  <c:v>7301.9999999995771</c:v>
                </c:pt>
                <c:pt idx="998">
                  <c:v>7301.9999999995771</c:v>
                </c:pt>
                <c:pt idx="999">
                  <c:v>7301.9999999995771</c:v>
                </c:pt>
                <c:pt idx="1000">
                  <c:v>7301.9999999995771</c:v>
                </c:pt>
                <c:pt idx="1001">
                  <c:v>7493.9999999995462</c:v>
                </c:pt>
                <c:pt idx="1002">
                  <c:v>7493.9999999995462</c:v>
                </c:pt>
                <c:pt idx="1003">
                  <c:v>7493.9999999995462</c:v>
                </c:pt>
                <c:pt idx="1004">
                  <c:v>7397.9999999995107</c:v>
                </c:pt>
                <c:pt idx="1005">
                  <c:v>7397.9999999995107</c:v>
                </c:pt>
                <c:pt idx="1006">
                  <c:v>7397.9999999995107</c:v>
                </c:pt>
                <c:pt idx="1007">
                  <c:v>7397.9999999995107</c:v>
                </c:pt>
                <c:pt idx="1008">
                  <c:v>7397.9999999995107</c:v>
                </c:pt>
                <c:pt idx="1009">
                  <c:v>7397.9999999995107</c:v>
                </c:pt>
                <c:pt idx="1010">
                  <c:v>7397.9999999995107</c:v>
                </c:pt>
                <c:pt idx="1011">
                  <c:v>7397.9999999995107</c:v>
                </c:pt>
                <c:pt idx="1012">
                  <c:v>7397.9999999995107</c:v>
                </c:pt>
                <c:pt idx="1013">
                  <c:v>7397.9999999995107</c:v>
                </c:pt>
                <c:pt idx="1014">
                  <c:v>7397.9999999995107</c:v>
                </c:pt>
                <c:pt idx="1015">
                  <c:v>7397.9999999995107</c:v>
                </c:pt>
                <c:pt idx="1016">
                  <c:v>7397.9999999995107</c:v>
                </c:pt>
                <c:pt idx="1017">
                  <c:v>7397.9999999995107</c:v>
                </c:pt>
                <c:pt idx="1018">
                  <c:v>7397.9999999995107</c:v>
                </c:pt>
                <c:pt idx="1019">
                  <c:v>7397.9999999995107</c:v>
                </c:pt>
                <c:pt idx="1020">
                  <c:v>7397.9999999995107</c:v>
                </c:pt>
                <c:pt idx="1021">
                  <c:v>7397.9999999995107</c:v>
                </c:pt>
                <c:pt idx="1022">
                  <c:v>7397.9999999995107</c:v>
                </c:pt>
                <c:pt idx="1023">
                  <c:v>7397.9999999995107</c:v>
                </c:pt>
                <c:pt idx="1024">
                  <c:v>7397.9999999995107</c:v>
                </c:pt>
                <c:pt idx="1025">
                  <c:v>7397.9999999995107</c:v>
                </c:pt>
                <c:pt idx="1027">
                  <c:v>95.999999999933891</c:v>
                </c:pt>
                <c:pt idx="1028">
                  <c:v>95.999999999933891</c:v>
                </c:pt>
                <c:pt idx="1029">
                  <c:v>95.999999999933891</c:v>
                </c:pt>
                <c:pt idx="1030">
                  <c:v>95.999999999933891</c:v>
                </c:pt>
                <c:pt idx="1031">
                  <c:v>95.999999999933891</c:v>
                </c:pt>
                <c:pt idx="1032">
                  <c:v>95.999999999933891</c:v>
                </c:pt>
                <c:pt idx="1033">
                  <c:v>95.999999999933891</c:v>
                </c:pt>
                <c:pt idx="1034">
                  <c:v>95.999999999933891</c:v>
                </c:pt>
                <c:pt idx="1035">
                  <c:v>95.999999999933891</c:v>
                </c:pt>
                <c:pt idx="1036">
                  <c:v>95.999999999933891</c:v>
                </c:pt>
                <c:pt idx="1037">
                  <c:v>95.999999999933891</c:v>
                </c:pt>
                <c:pt idx="1038">
                  <c:v>95.999999999933891</c:v>
                </c:pt>
                <c:pt idx="1039">
                  <c:v>95.999999999933891</c:v>
                </c:pt>
                <c:pt idx="1040">
                  <c:v>95.999999999933891</c:v>
                </c:pt>
                <c:pt idx="1041">
                  <c:v>95.999999999933891</c:v>
                </c:pt>
                <c:pt idx="1042">
                  <c:v>95.999999999933891</c:v>
                </c:pt>
                <c:pt idx="1043">
                  <c:v>95.999999999933891</c:v>
                </c:pt>
                <c:pt idx="1044">
                  <c:v>95.999999999933891</c:v>
                </c:pt>
                <c:pt idx="1045">
                  <c:v>95.999999999933891</c:v>
                </c:pt>
                <c:pt idx="1046">
                  <c:v>95.999999999933891</c:v>
                </c:pt>
                <c:pt idx="1047">
                  <c:v>95.999999999933891</c:v>
                </c:pt>
                <c:pt idx="1048">
                  <c:v>95.999999999933891</c:v>
                </c:pt>
                <c:pt idx="1049">
                  <c:v>95.999999999933891</c:v>
                </c:pt>
                <c:pt idx="1050">
                  <c:v>95.999999999933891</c:v>
                </c:pt>
                <c:pt idx="1051">
                  <c:v>95.999999999933891</c:v>
                </c:pt>
                <c:pt idx="1052">
                  <c:v>95.999999999933891</c:v>
                </c:pt>
                <c:pt idx="1053">
                  <c:v>95.999999999933891</c:v>
                </c:pt>
                <c:pt idx="1054">
                  <c:v>95.999999999933891</c:v>
                </c:pt>
                <c:pt idx="1055">
                  <c:v>95.999999999933891</c:v>
                </c:pt>
                <c:pt idx="1056">
                  <c:v>95.999999999933891</c:v>
                </c:pt>
                <c:pt idx="1057">
                  <c:v>95.999999999933891</c:v>
                </c:pt>
                <c:pt idx="1058">
                  <c:v>95.999999999933891</c:v>
                </c:pt>
                <c:pt idx="1059">
                  <c:v>95.999999999933891</c:v>
                </c:pt>
                <c:pt idx="1060">
                  <c:v>95.999999999933891</c:v>
                </c:pt>
                <c:pt idx="1061">
                  <c:v>95.999999999933891</c:v>
                </c:pt>
                <c:pt idx="1062">
                  <c:v>95.999999999933891</c:v>
                </c:pt>
                <c:pt idx="1063">
                  <c:v>95.999999999933891</c:v>
                </c:pt>
                <c:pt idx="1064">
                  <c:v>95.999999999933891</c:v>
                </c:pt>
                <c:pt idx="1065">
                  <c:v>95.999999999933891</c:v>
                </c:pt>
                <c:pt idx="1066">
                  <c:v>95.999999999933891</c:v>
                </c:pt>
                <c:pt idx="1067">
                  <c:v>95.999999999933891</c:v>
                </c:pt>
                <c:pt idx="1068">
                  <c:v>95.999999999933891</c:v>
                </c:pt>
                <c:pt idx="1069">
                  <c:v>95.999999999933891</c:v>
                </c:pt>
                <c:pt idx="1070">
                  <c:v>95.999999999933891</c:v>
                </c:pt>
                <c:pt idx="1071">
                  <c:v>95.999999999933891</c:v>
                </c:pt>
                <c:pt idx="1072">
                  <c:v>95.999999999933891</c:v>
                </c:pt>
                <c:pt idx="1073">
                  <c:v>95.999999999933891</c:v>
                </c:pt>
                <c:pt idx="1074">
                  <c:v>95.999999999933891</c:v>
                </c:pt>
                <c:pt idx="1075">
                  <c:v>95.999999999933891</c:v>
                </c:pt>
                <c:pt idx="1076">
                  <c:v>95.999999999933891</c:v>
                </c:pt>
                <c:pt idx="1077">
                  <c:v>95.999999999933891</c:v>
                </c:pt>
                <c:pt idx="1078">
                  <c:v>95.999999999933891</c:v>
                </c:pt>
                <c:pt idx="1079">
                  <c:v>95.999999999933891</c:v>
                </c:pt>
                <c:pt idx="1080">
                  <c:v>95.999999999933891</c:v>
                </c:pt>
                <c:pt idx="1081">
                  <c:v>95.999999999933891</c:v>
                </c:pt>
                <c:pt idx="1082">
                  <c:v>95.999999999933891</c:v>
                </c:pt>
                <c:pt idx="1083">
                  <c:v>95.999999999933891</c:v>
                </c:pt>
                <c:pt idx="1084">
                  <c:v>95.999999999933891</c:v>
                </c:pt>
                <c:pt idx="1085">
                  <c:v>95.999999999933891</c:v>
                </c:pt>
                <c:pt idx="1086">
                  <c:v>95.999999999933891</c:v>
                </c:pt>
                <c:pt idx="1087">
                  <c:v>95.999999999933891</c:v>
                </c:pt>
                <c:pt idx="1088">
                  <c:v>95.999999999933891</c:v>
                </c:pt>
                <c:pt idx="1089">
                  <c:v>95.999999999933891</c:v>
                </c:pt>
                <c:pt idx="1090">
                  <c:v>95.999999999933891</c:v>
                </c:pt>
                <c:pt idx="1091">
                  <c:v>95.999999999933891</c:v>
                </c:pt>
                <c:pt idx="1092">
                  <c:v>95.999999999933891</c:v>
                </c:pt>
                <c:pt idx="1093">
                  <c:v>95.999999999933891</c:v>
                </c:pt>
                <c:pt idx="1094">
                  <c:v>95.999999999933891</c:v>
                </c:pt>
                <c:pt idx="1095">
                  <c:v>95.999999999933891</c:v>
                </c:pt>
                <c:pt idx="1096">
                  <c:v>95.999999999933891</c:v>
                </c:pt>
                <c:pt idx="1097">
                  <c:v>95.999999999933891</c:v>
                </c:pt>
                <c:pt idx="1098">
                  <c:v>95.999999999933891</c:v>
                </c:pt>
                <c:pt idx="1099">
                  <c:v>95.999999999933891</c:v>
                </c:pt>
                <c:pt idx="1100">
                  <c:v>95.999999999933891</c:v>
                </c:pt>
                <c:pt idx="1101">
                  <c:v>95.999999999933891</c:v>
                </c:pt>
                <c:pt idx="1102">
                  <c:v>95.999999999933891</c:v>
                </c:pt>
                <c:pt idx="1103">
                  <c:v>95.999999999933891</c:v>
                </c:pt>
                <c:pt idx="1104">
                  <c:v>95.999999999933891</c:v>
                </c:pt>
                <c:pt idx="1105">
                  <c:v>95.999999999933891</c:v>
                </c:pt>
                <c:pt idx="1106">
                  <c:v>95.999999999933891</c:v>
                </c:pt>
                <c:pt idx="1107">
                  <c:v>95.999999999933891</c:v>
                </c:pt>
                <c:pt idx="1108">
                  <c:v>95.999999999933891</c:v>
                </c:pt>
                <c:pt idx="1109">
                  <c:v>95.999999999933891</c:v>
                </c:pt>
                <c:pt idx="1110">
                  <c:v>95.999999999933891</c:v>
                </c:pt>
                <c:pt idx="1111">
                  <c:v>95.999999999933891</c:v>
                </c:pt>
                <c:pt idx="1112">
                  <c:v>95.999999999933891</c:v>
                </c:pt>
                <c:pt idx="1113">
                  <c:v>95.999999999933891</c:v>
                </c:pt>
                <c:pt idx="1114">
                  <c:v>95.999999999933891</c:v>
                </c:pt>
                <c:pt idx="1115">
                  <c:v>95.999999999933891</c:v>
                </c:pt>
                <c:pt idx="1116">
                  <c:v>95.999999999933891</c:v>
                </c:pt>
                <c:pt idx="1117">
                  <c:v>95.999999999933891</c:v>
                </c:pt>
                <c:pt idx="1118">
                  <c:v>95.999999999933891</c:v>
                </c:pt>
                <c:pt idx="1119">
                  <c:v>95.999999999933891</c:v>
                </c:pt>
                <c:pt idx="1120">
                  <c:v>95.999999999933891</c:v>
                </c:pt>
                <c:pt idx="1121">
                  <c:v>95.999999999933891</c:v>
                </c:pt>
                <c:pt idx="1122">
                  <c:v>95.999999999933891</c:v>
                </c:pt>
                <c:pt idx="1123">
                  <c:v>95.999999999933891</c:v>
                </c:pt>
                <c:pt idx="1124">
                  <c:v>95.999999999933891</c:v>
                </c:pt>
                <c:pt idx="1125">
                  <c:v>95.999999999933891</c:v>
                </c:pt>
                <c:pt idx="1126">
                  <c:v>95.999999999933891</c:v>
                </c:pt>
                <c:pt idx="1127">
                  <c:v>95.999999999933891</c:v>
                </c:pt>
                <c:pt idx="1128">
                  <c:v>95.999999999933891</c:v>
                </c:pt>
                <c:pt idx="1129">
                  <c:v>95.999999999933891</c:v>
                </c:pt>
                <c:pt idx="1130">
                  <c:v>95.999999999933891</c:v>
                </c:pt>
                <c:pt idx="1131">
                  <c:v>95.999999999933891</c:v>
                </c:pt>
                <c:pt idx="1132">
                  <c:v>95.999999999933891</c:v>
                </c:pt>
                <c:pt idx="1133">
                  <c:v>95.999999999933891</c:v>
                </c:pt>
                <c:pt idx="1134">
                  <c:v>95.999999999933891</c:v>
                </c:pt>
                <c:pt idx="1135">
                  <c:v>95.999999999933891</c:v>
                </c:pt>
                <c:pt idx="1136">
                  <c:v>95.999999999933891</c:v>
                </c:pt>
                <c:pt idx="1137">
                  <c:v>95.999999999933891</c:v>
                </c:pt>
                <c:pt idx="1138">
                  <c:v>95.999999999933891</c:v>
                </c:pt>
                <c:pt idx="1139">
                  <c:v>95.999999999933891</c:v>
                </c:pt>
                <c:pt idx="1140">
                  <c:v>95.999999999933891</c:v>
                </c:pt>
                <c:pt idx="1141">
                  <c:v>95.999999999933891</c:v>
                </c:pt>
                <c:pt idx="1142">
                  <c:v>95.999999999933891</c:v>
                </c:pt>
                <c:pt idx="1143">
                  <c:v>95.999999999933891</c:v>
                </c:pt>
                <c:pt idx="1144">
                  <c:v>95.999999999933891</c:v>
                </c:pt>
                <c:pt idx="1145">
                  <c:v>95.999999999933891</c:v>
                </c:pt>
                <c:pt idx="1146">
                  <c:v>95.999999999933891</c:v>
                </c:pt>
                <c:pt idx="1147">
                  <c:v>95.999999999933891</c:v>
                </c:pt>
                <c:pt idx="1148">
                  <c:v>95.999999999933891</c:v>
                </c:pt>
                <c:pt idx="1149">
                  <c:v>95.999999999933891</c:v>
                </c:pt>
                <c:pt idx="1150">
                  <c:v>95.999999999933891</c:v>
                </c:pt>
                <c:pt idx="1151">
                  <c:v>95.999999999933891</c:v>
                </c:pt>
                <c:pt idx="1152">
                  <c:v>95.999999999933891</c:v>
                </c:pt>
                <c:pt idx="1153">
                  <c:v>95.999999999933891</c:v>
                </c:pt>
                <c:pt idx="1154">
                  <c:v>95.999999999933891</c:v>
                </c:pt>
                <c:pt idx="1155">
                  <c:v>95.999999999933891</c:v>
                </c:pt>
                <c:pt idx="1156">
                  <c:v>95.999999999933891</c:v>
                </c:pt>
                <c:pt idx="1157">
                  <c:v>95.999999999933891</c:v>
                </c:pt>
                <c:pt idx="1158">
                  <c:v>95.999999999933891</c:v>
                </c:pt>
                <c:pt idx="1159">
                  <c:v>95.999999999933891</c:v>
                </c:pt>
                <c:pt idx="1160">
                  <c:v>95.999999999933891</c:v>
                </c:pt>
                <c:pt idx="1161">
                  <c:v>95.999999999933891</c:v>
                </c:pt>
                <c:pt idx="1162">
                  <c:v>95.999999999933891</c:v>
                </c:pt>
                <c:pt idx="1163">
                  <c:v>95.999999999933891</c:v>
                </c:pt>
                <c:pt idx="1164">
                  <c:v>95.999999999933891</c:v>
                </c:pt>
                <c:pt idx="1165">
                  <c:v>95.999999999933891</c:v>
                </c:pt>
                <c:pt idx="1166">
                  <c:v>95.999999999933891</c:v>
                </c:pt>
                <c:pt idx="1167">
                  <c:v>95.999999999933891</c:v>
                </c:pt>
                <c:pt idx="1168">
                  <c:v>95.999999999933891</c:v>
                </c:pt>
                <c:pt idx="1169">
                  <c:v>95.999999999933891</c:v>
                </c:pt>
                <c:pt idx="1170">
                  <c:v>95.999999999933891</c:v>
                </c:pt>
                <c:pt idx="1171">
                  <c:v>95.999999999933891</c:v>
                </c:pt>
                <c:pt idx="1172">
                  <c:v>95.999999999933891</c:v>
                </c:pt>
                <c:pt idx="1173">
                  <c:v>95.999999999933891</c:v>
                </c:pt>
                <c:pt idx="1174">
                  <c:v>95.999999999933891</c:v>
                </c:pt>
                <c:pt idx="1175">
                  <c:v>95.999999999933891</c:v>
                </c:pt>
                <c:pt idx="1176">
                  <c:v>95.999999999933891</c:v>
                </c:pt>
                <c:pt idx="1177">
                  <c:v>95.999999999933891</c:v>
                </c:pt>
                <c:pt idx="1178">
                  <c:v>95.999999999933891</c:v>
                </c:pt>
                <c:pt idx="1179">
                  <c:v>95.999999999933891</c:v>
                </c:pt>
                <c:pt idx="1180">
                  <c:v>95.999999999933891</c:v>
                </c:pt>
                <c:pt idx="1181">
                  <c:v>95.999999999933891</c:v>
                </c:pt>
                <c:pt idx="1182">
                  <c:v>95.999999999933891</c:v>
                </c:pt>
                <c:pt idx="1183">
                  <c:v>95.999999999933891</c:v>
                </c:pt>
                <c:pt idx="1184">
                  <c:v>95.999999999933891</c:v>
                </c:pt>
                <c:pt idx="1185">
                  <c:v>95.999999999933891</c:v>
                </c:pt>
                <c:pt idx="1186">
                  <c:v>95.999999999933891</c:v>
                </c:pt>
                <c:pt idx="1187">
                  <c:v>95.999999999933891</c:v>
                </c:pt>
                <c:pt idx="1188">
                  <c:v>95.999999999933891</c:v>
                </c:pt>
                <c:pt idx="1189">
                  <c:v>95.999999999933891</c:v>
                </c:pt>
                <c:pt idx="1190">
                  <c:v>95.999999999933891</c:v>
                </c:pt>
                <c:pt idx="1191">
                  <c:v>95.999999999933891</c:v>
                </c:pt>
                <c:pt idx="1192">
                  <c:v>95.999999999933891</c:v>
                </c:pt>
                <c:pt idx="1193">
                  <c:v>95.999999999933891</c:v>
                </c:pt>
                <c:pt idx="1194">
                  <c:v>95.999999999933891</c:v>
                </c:pt>
                <c:pt idx="1195">
                  <c:v>95.999999999933891</c:v>
                </c:pt>
                <c:pt idx="1196">
                  <c:v>95.999999999933891</c:v>
                </c:pt>
                <c:pt idx="1197">
                  <c:v>95.999999999933891</c:v>
                </c:pt>
                <c:pt idx="1198">
                  <c:v>95.999999999933891</c:v>
                </c:pt>
                <c:pt idx="1199">
                  <c:v>95.999999999933891</c:v>
                </c:pt>
                <c:pt idx="1200">
                  <c:v>95.999999999933891</c:v>
                </c:pt>
                <c:pt idx="1201">
                  <c:v>95.999999999933891</c:v>
                </c:pt>
                <c:pt idx="1202">
                  <c:v>95.999999999933891</c:v>
                </c:pt>
                <c:pt idx="1203">
                  <c:v>95.999999999933891</c:v>
                </c:pt>
                <c:pt idx="1204">
                  <c:v>95.999999999933891</c:v>
                </c:pt>
                <c:pt idx="1205">
                  <c:v>95.999999999933891</c:v>
                </c:pt>
                <c:pt idx="1206">
                  <c:v>95.999999999933891</c:v>
                </c:pt>
                <c:pt idx="1207">
                  <c:v>95.999999999933891</c:v>
                </c:pt>
                <c:pt idx="1208">
                  <c:v>95.999999999933891</c:v>
                </c:pt>
                <c:pt idx="1209">
                  <c:v>95.999999999933891</c:v>
                </c:pt>
                <c:pt idx="1210">
                  <c:v>95.999999999933891</c:v>
                </c:pt>
                <c:pt idx="1211">
                  <c:v>95.999999999933891</c:v>
                </c:pt>
                <c:pt idx="1212">
                  <c:v>95.999999999933891</c:v>
                </c:pt>
                <c:pt idx="1213">
                  <c:v>95.999999999933891</c:v>
                </c:pt>
                <c:pt idx="1214">
                  <c:v>95.999999999933891</c:v>
                </c:pt>
                <c:pt idx="1215">
                  <c:v>95.999999999933891</c:v>
                </c:pt>
                <c:pt idx="1216">
                  <c:v>95.999999999933891</c:v>
                </c:pt>
                <c:pt idx="1217">
                  <c:v>95.999999999933891</c:v>
                </c:pt>
                <c:pt idx="1218">
                  <c:v>95.999999999933891</c:v>
                </c:pt>
                <c:pt idx="1219">
                  <c:v>95.999999999933891</c:v>
                </c:pt>
                <c:pt idx="1220">
                  <c:v>95.999999999933891</c:v>
                </c:pt>
                <c:pt idx="1221">
                  <c:v>95.999999999933891</c:v>
                </c:pt>
                <c:pt idx="1222">
                  <c:v>95.999999999933891</c:v>
                </c:pt>
                <c:pt idx="1223">
                  <c:v>95.999999999933891</c:v>
                </c:pt>
                <c:pt idx="1224">
                  <c:v>95.999999999933891</c:v>
                </c:pt>
                <c:pt idx="1225">
                  <c:v>95.999999999933891</c:v>
                </c:pt>
                <c:pt idx="1226">
                  <c:v>95.999999999933891</c:v>
                </c:pt>
                <c:pt idx="1227">
                  <c:v>95.999999999933891</c:v>
                </c:pt>
                <c:pt idx="1228">
                  <c:v>95.999999999933891</c:v>
                </c:pt>
                <c:pt idx="1229">
                  <c:v>95.999999999933891</c:v>
                </c:pt>
                <c:pt idx="1230">
                  <c:v>95.999999999933891</c:v>
                </c:pt>
                <c:pt idx="1231">
                  <c:v>95.999999999933891</c:v>
                </c:pt>
                <c:pt idx="1232">
                  <c:v>95.999999999933891</c:v>
                </c:pt>
                <c:pt idx="1233">
                  <c:v>95.999999999933891</c:v>
                </c:pt>
                <c:pt idx="1234">
                  <c:v>95.999999999933891</c:v>
                </c:pt>
                <c:pt idx="1235">
                  <c:v>95.999999999933891</c:v>
                </c:pt>
                <c:pt idx="1236">
                  <c:v>95.999999999933891</c:v>
                </c:pt>
                <c:pt idx="1237">
                  <c:v>95.999999999933891</c:v>
                </c:pt>
              </c:numCache>
            </c:numRef>
          </c:val>
          <c:smooth val="0"/>
          <c:extLst>
            <c:ext xmlns:c16="http://schemas.microsoft.com/office/drawing/2014/chart" uri="{C3380CC4-5D6E-409C-BE32-E72D297353CC}">
              <c16:uniqueId val="{00000000-134C-42A8-825E-2F345B94FB34}"/>
            </c:ext>
          </c:extLst>
        </c:ser>
        <c:ser>
          <c:idx val="1"/>
          <c:order val="1"/>
          <c:tx>
            <c:v>TC</c:v>
          </c:tx>
          <c:spPr>
            <a:ln w="28575" cap="rnd">
              <a:solidFill>
                <a:schemeClr val="accent2"/>
              </a:solidFill>
              <a:round/>
            </a:ln>
            <a:effectLst/>
          </c:spPr>
          <c:marker>
            <c:symbol val="none"/>
          </c:marker>
          <c:cat>
            <c:strRef>
              <c:f>'Journal Live'!$A$1388:$A$2630</c:f>
              <c:strCache>
                <c:ptCount val="1238"/>
                <c:pt idx="1">
                  <c:v>JAN.24</c:v>
                </c:pt>
                <c:pt idx="2">
                  <c:v>JAN.24</c:v>
                </c:pt>
                <c:pt idx="3">
                  <c:v>JAN.24</c:v>
                </c:pt>
                <c:pt idx="4">
                  <c:v>JAN.24</c:v>
                </c:pt>
                <c:pt idx="5">
                  <c:v>JAN.24</c:v>
                </c:pt>
                <c:pt idx="6">
                  <c:v>JAN.24</c:v>
                </c:pt>
                <c:pt idx="7">
                  <c:v>JAN.24</c:v>
                </c:pt>
                <c:pt idx="8">
                  <c:v>JAN.24</c:v>
                </c:pt>
                <c:pt idx="9">
                  <c:v>JAN.24</c:v>
                </c:pt>
                <c:pt idx="10">
                  <c:v>JAN.24</c:v>
                </c:pt>
                <c:pt idx="11">
                  <c:v>JAN.24</c:v>
                </c:pt>
                <c:pt idx="12">
                  <c:v>JAN.24</c:v>
                </c:pt>
                <c:pt idx="13">
                  <c:v>JAN.24</c:v>
                </c:pt>
                <c:pt idx="14">
                  <c:v>JAN.24</c:v>
                </c:pt>
                <c:pt idx="15">
                  <c:v>JAN.24</c:v>
                </c:pt>
                <c:pt idx="16">
                  <c:v>JAN.24</c:v>
                </c:pt>
                <c:pt idx="17">
                  <c:v>JAN.24</c:v>
                </c:pt>
                <c:pt idx="18">
                  <c:v>JAN.24</c:v>
                </c:pt>
                <c:pt idx="19">
                  <c:v>JAN.24</c:v>
                </c:pt>
                <c:pt idx="20">
                  <c:v>JAN.24</c:v>
                </c:pt>
                <c:pt idx="21">
                  <c:v>JAN.24</c:v>
                </c:pt>
                <c:pt idx="22">
                  <c:v>JAN.24</c:v>
                </c:pt>
                <c:pt idx="23">
                  <c:v>JAN.24</c:v>
                </c:pt>
                <c:pt idx="24">
                  <c:v>JAN.24</c:v>
                </c:pt>
                <c:pt idx="25">
                  <c:v>JAN.24</c:v>
                </c:pt>
                <c:pt idx="26">
                  <c:v>JAN.24</c:v>
                </c:pt>
                <c:pt idx="27">
                  <c:v>JAN.24</c:v>
                </c:pt>
                <c:pt idx="28">
                  <c:v>JAN.24</c:v>
                </c:pt>
                <c:pt idx="29">
                  <c:v>JAN.24</c:v>
                </c:pt>
                <c:pt idx="30">
                  <c:v>JAN.24</c:v>
                </c:pt>
                <c:pt idx="31">
                  <c:v>JAN.24</c:v>
                </c:pt>
                <c:pt idx="32">
                  <c:v>JAN.24</c:v>
                </c:pt>
                <c:pt idx="33">
                  <c:v>JAN.24</c:v>
                </c:pt>
                <c:pt idx="34">
                  <c:v>JAN.24</c:v>
                </c:pt>
                <c:pt idx="35">
                  <c:v>JAN.24</c:v>
                </c:pt>
                <c:pt idx="36">
                  <c:v>JAN.24</c:v>
                </c:pt>
                <c:pt idx="37">
                  <c:v>JAN.24</c:v>
                </c:pt>
                <c:pt idx="38">
                  <c:v>JAN.24</c:v>
                </c:pt>
                <c:pt idx="39">
                  <c:v>JAN.24</c:v>
                </c:pt>
                <c:pt idx="40">
                  <c:v>JAN.24</c:v>
                </c:pt>
                <c:pt idx="41">
                  <c:v>JAN.24</c:v>
                </c:pt>
                <c:pt idx="42">
                  <c:v>JAN.24</c:v>
                </c:pt>
                <c:pt idx="43">
                  <c:v>JAN.24</c:v>
                </c:pt>
                <c:pt idx="44">
                  <c:v>JAN.24</c:v>
                </c:pt>
                <c:pt idx="45">
                  <c:v>JAN.24</c:v>
                </c:pt>
                <c:pt idx="46">
                  <c:v>JAN.24</c:v>
                </c:pt>
                <c:pt idx="47">
                  <c:v>JAN.24</c:v>
                </c:pt>
                <c:pt idx="48">
                  <c:v>JAN.24</c:v>
                </c:pt>
                <c:pt idx="49">
                  <c:v>JAN.24</c:v>
                </c:pt>
                <c:pt idx="50">
                  <c:v>JAN.24</c:v>
                </c:pt>
                <c:pt idx="51">
                  <c:v>JAN.24</c:v>
                </c:pt>
                <c:pt idx="52">
                  <c:v>JAN.24</c:v>
                </c:pt>
                <c:pt idx="53">
                  <c:v>JAN.24</c:v>
                </c:pt>
                <c:pt idx="54">
                  <c:v>JAN.24</c:v>
                </c:pt>
                <c:pt idx="55">
                  <c:v>JAN.24</c:v>
                </c:pt>
                <c:pt idx="56">
                  <c:v>JAN.24</c:v>
                </c:pt>
                <c:pt idx="57">
                  <c:v>JAN.24</c:v>
                </c:pt>
                <c:pt idx="58">
                  <c:v>JAN.24</c:v>
                </c:pt>
                <c:pt idx="59">
                  <c:v>JAN.24</c:v>
                </c:pt>
                <c:pt idx="60">
                  <c:v>JAN.24</c:v>
                </c:pt>
                <c:pt idx="61">
                  <c:v>JAN.24</c:v>
                </c:pt>
                <c:pt idx="62">
                  <c:v>JAN.24</c:v>
                </c:pt>
                <c:pt idx="63">
                  <c:v>JAN.24</c:v>
                </c:pt>
                <c:pt idx="64">
                  <c:v>JAN.24</c:v>
                </c:pt>
                <c:pt idx="65">
                  <c:v>JAN.24</c:v>
                </c:pt>
                <c:pt idx="66">
                  <c:v>JAN.24</c:v>
                </c:pt>
                <c:pt idx="67">
                  <c:v>JAN.24</c:v>
                </c:pt>
                <c:pt idx="68">
                  <c:v>JAN.24</c:v>
                </c:pt>
                <c:pt idx="69">
                  <c:v>JAN.24</c:v>
                </c:pt>
                <c:pt idx="70">
                  <c:v>JAN.24</c:v>
                </c:pt>
                <c:pt idx="71">
                  <c:v>JAN.24</c:v>
                </c:pt>
                <c:pt idx="72">
                  <c:v>JAN.24</c:v>
                </c:pt>
                <c:pt idx="73">
                  <c:v>JAN.24</c:v>
                </c:pt>
                <c:pt idx="74">
                  <c:v>JAN.24</c:v>
                </c:pt>
                <c:pt idx="75">
                  <c:v>JAN.24</c:v>
                </c:pt>
                <c:pt idx="76">
                  <c:v>JAN.24</c:v>
                </c:pt>
                <c:pt idx="77">
                  <c:v>JAN.24</c:v>
                </c:pt>
                <c:pt idx="78">
                  <c:v>JAN.24</c:v>
                </c:pt>
                <c:pt idx="79">
                  <c:v>JAN.24</c:v>
                </c:pt>
                <c:pt idx="80">
                  <c:v>JAN.24</c:v>
                </c:pt>
                <c:pt idx="81">
                  <c:v>JAN.24</c:v>
                </c:pt>
                <c:pt idx="82">
                  <c:v>JAN.24</c:v>
                </c:pt>
                <c:pt idx="83">
                  <c:v>JAN.24</c:v>
                </c:pt>
                <c:pt idx="84">
                  <c:v>JAN.24</c:v>
                </c:pt>
                <c:pt idx="85">
                  <c:v>JAN.24</c:v>
                </c:pt>
                <c:pt idx="86">
                  <c:v>JAN.24</c:v>
                </c:pt>
                <c:pt idx="87">
                  <c:v>JAN.24</c:v>
                </c:pt>
                <c:pt idx="88">
                  <c:v>JAN.24</c:v>
                </c:pt>
                <c:pt idx="89">
                  <c:v>JAN.24</c:v>
                </c:pt>
                <c:pt idx="90">
                  <c:v>JAN.24</c:v>
                </c:pt>
                <c:pt idx="91">
                  <c:v>JAN.24</c:v>
                </c:pt>
                <c:pt idx="92">
                  <c:v>JAN.24</c:v>
                </c:pt>
                <c:pt idx="93">
                  <c:v>JAN.24</c:v>
                </c:pt>
                <c:pt idx="94">
                  <c:v>JAN.24</c:v>
                </c:pt>
                <c:pt idx="95">
                  <c:v>JAN.24</c:v>
                </c:pt>
                <c:pt idx="96">
                  <c:v>JAN.24</c:v>
                </c:pt>
                <c:pt idx="97">
                  <c:v>JAN.24</c:v>
                </c:pt>
                <c:pt idx="98">
                  <c:v>JAN.24</c:v>
                </c:pt>
                <c:pt idx="99">
                  <c:v>JAN.24</c:v>
                </c:pt>
                <c:pt idx="100">
                  <c:v>JAN.24</c:v>
                </c:pt>
                <c:pt idx="101">
                  <c:v>JAN.24</c:v>
                </c:pt>
                <c:pt idx="102">
                  <c:v>JAN.24</c:v>
                </c:pt>
                <c:pt idx="103">
                  <c:v>JAN.24</c:v>
                </c:pt>
                <c:pt idx="104">
                  <c:v>JAN.24</c:v>
                </c:pt>
                <c:pt idx="105">
                  <c:v>JAN.24</c:v>
                </c:pt>
                <c:pt idx="106">
                  <c:v>JAN.24</c:v>
                </c:pt>
                <c:pt idx="107">
                  <c:v>JAN.24</c:v>
                </c:pt>
                <c:pt idx="108">
                  <c:v>JAN.24</c:v>
                </c:pt>
                <c:pt idx="109">
                  <c:v>JAN.24</c:v>
                </c:pt>
                <c:pt idx="110">
                  <c:v>JAN.24</c:v>
                </c:pt>
                <c:pt idx="111">
                  <c:v>JAN.24</c:v>
                </c:pt>
                <c:pt idx="112">
                  <c:v>JAN.24</c:v>
                </c:pt>
                <c:pt idx="113">
                  <c:v>JAN.24</c:v>
                </c:pt>
                <c:pt idx="114">
                  <c:v>JAN.24</c:v>
                </c:pt>
                <c:pt idx="115">
                  <c:v>JAN.24</c:v>
                </c:pt>
                <c:pt idx="116">
                  <c:v>JAN.24</c:v>
                </c:pt>
                <c:pt idx="117">
                  <c:v>JAN.24</c:v>
                </c:pt>
                <c:pt idx="118">
                  <c:v>JAN.24</c:v>
                </c:pt>
                <c:pt idx="119">
                  <c:v>JAN.24</c:v>
                </c:pt>
                <c:pt idx="120">
                  <c:v>JAN.24</c:v>
                </c:pt>
                <c:pt idx="121">
                  <c:v>JAN.24</c:v>
                </c:pt>
                <c:pt idx="122">
                  <c:v>JAN.24</c:v>
                </c:pt>
                <c:pt idx="123">
                  <c:v>JAN.24</c:v>
                </c:pt>
                <c:pt idx="124">
                  <c:v>JAN.24</c:v>
                </c:pt>
                <c:pt idx="125">
                  <c:v>JAN.24</c:v>
                </c:pt>
                <c:pt idx="126">
                  <c:v>JAN.24</c:v>
                </c:pt>
                <c:pt idx="127">
                  <c:v>JAN.24</c:v>
                </c:pt>
                <c:pt idx="128">
                  <c:v>JAN.24</c:v>
                </c:pt>
                <c:pt idx="129">
                  <c:v>JAN.24</c:v>
                </c:pt>
                <c:pt idx="130">
                  <c:v>JAN.24</c:v>
                </c:pt>
                <c:pt idx="131">
                  <c:v>JAN.24</c:v>
                </c:pt>
                <c:pt idx="132">
                  <c:v>February 24 live</c:v>
                </c:pt>
                <c:pt idx="133">
                  <c:v>FEB.24</c:v>
                </c:pt>
                <c:pt idx="134">
                  <c:v>FEB.24</c:v>
                </c:pt>
                <c:pt idx="135">
                  <c:v>FEB.24</c:v>
                </c:pt>
                <c:pt idx="136">
                  <c:v>FEB.24</c:v>
                </c:pt>
                <c:pt idx="137">
                  <c:v>FEB.24</c:v>
                </c:pt>
                <c:pt idx="138">
                  <c:v>FEB.24</c:v>
                </c:pt>
                <c:pt idx="139">
                  <c:v>FEB.24</c:v>
                </c:pt>
                <c:pt idx="140">
                  <c:v>FEB.24</c:v>
                </c:pt>
                <c:pt idx="141">
                  <c:v>FEB.24</c:v>
                </c:pt>
                <c:pt idx="142">
                  <c:v>FEB.24</c:v>
                </c:pt>
                <c:pt idx="143">
                  <c:v>FEB.24</c:v>
                </c:pt>
                <c:pt idx="144">
                  <c:v>FEB.24</c:v>
                </c:pt>
                <c:pt idx="145">
                  <c:v>FEB.24</c:v>
                </c:pt>
                <c:pt idx="146">
                  <c:v>FEB.24</c:v>
                </c:pt>
                <c:pt idx="147">
                  <c:v>FEB.24</c:v>
                </c:pt>
                <c:pt idx="148">
                  <c:v>FEB.24</c:v>
                </c:pt>
                <c:pt idx="149">
                  <c:v>FEB.24</c:v>
                </c:pt>
                <c:pt idx="150">
                  <c:v>FEB.24</c:v>
                </c:pt>
                <c:pt idx="151">
                  <c:v>FEB.24</c:v>
                </c:pt>
                <c:pt idx="152">
                  <c:v>FEB.24</c:v>
                </c:pt>
                <c:pt idx="153">
                  <c:v>FEB.24</c:v>
                </c:pt>
                <c:pt idx="154">
                  <c:v>FEB.24</c:v>
                </c:pt>
                <c:pt idx="155">
                  <c:v>FEB.24</c:v>
                </c:pt>
                <c:pt idx="156">
                  <c:v>FEB.24</c:v>
                </c:pt>
                <c:pt idx="157">
                  <c:v>FEB.24</c:v>
                </c:pt>
                <c:pt idx="158">
                  <c:v>FEB.24</c:v>
                </c:pt>
                <c:pt idx="159">
                  <c:v>FEB.24</c:v>
                </c:pt>
                <c:pt idx="160">
                  <c:v>FEB.24</c:v>
                </c:pt>
                <c:pt idx="161">
                  <c:v>FEB.24</c:v>
                </c:pt>
                <c:pt idx="162">
                  <c:v>FEB.24</c:v>
                </c:pt>
                <c:pt idx="163">
                  <c:v>FEB.24</c:v>
                </c:pt>
                <c:pt idx="164">
                  <c:v>FEB.24</c:v>
                </c:pt>
                <c:pt idx="165">
                  <c:v>FEB.24</c:v>
                </c:pt>
                <c:pt idx="166">
                  <c:v>FEB.24</c:v>
                </c:pt>
                <c:pt idx="167">
                  <c:v>FEB.24</c:v>
                </c:pt>
                <c:pt idx="168">
                  <c:v>FEB.24</c:v>
                </c:pt>
                <c:pt idx="169">
                  <c:v>FEB.24</c:v>
                </c:pt>
                <c:pt idx="170">
                  <c:v>FEB.24</c:v>
                </c:pt>
                <c:pt idx="171">
                  <c:v>FEB.24</c:v>
                </c:pt>
                <c:pt idx="172">
                  <c:v>FEB.24</c:v>
                </c:pt>
                <c:pt idx="173">
                  <c:v>FEB.24</c:v>
                </c:pt>
                <c:pt idx="174">
                  <c:v>FEB.24</c:v>
                </c:pt>
                <c:pt idx="175">
                  <c:v>FEB.24</c:v>
                </c:pt>
                <c:pt idx="176">
                  <c:v>FEB.24</c:v>
                </c:pt>
                <c:pt idx="177">
                  <c:v>FEB.24</c:v>
                </c:pt>
                <c:pt idx="178">
                  <c:v>FEB.24</c:v>
                </c:pt>
                <c:pt idx="179">
                  <c:v>FEB.24</c:v>
                </c:pt>
                <c:pt idx="180">
                  <c:v>FEB.24</c:v>
                </c:pt>
                <c:pt idx="181">
                  <c:v>FEB.24</c:v>
                </c:pt>
                <c:pt idx="182">
                  <c:v>FEB.24</c:v>
                </c:pt>
                <c:pt idx="183">
                  <c:v>FEB.24</c:v>
                </c:pt>
                <c:pt idx="184">
                  <c:v>FEB.24</c:v>
                </c:pt>
                <c:pt idx="185">
                  <c:v>FEB.24</c:v>
                </c:pt>
                <c:pt idx="186">
                  <c:v>FEB.24</c:v>
                </c:pt>
                <c:pt idx="187">
                  <c:v>FEB.24</c:v>
                </c:pt>
                <c:pt idx="188">
                  <c:v>FEB.24</c:v>
                </c:pt>
                <c:pt idx="189">
                  <c:v>FEB.24</c:v>
                </c:pt>
                <c:pt idx="190">
                  <c:v>FEB.24</c:v>
                </c:pt>
                <c:pt idx="191">
                  <c:v>FEB.24</c:v>
                </c:pt>
                <c:pt idx="192">
                  <c:v>FEB.24</c:v>
                </c:pt>
                <c:pt idx="193">
                  <c:v>FEB.24</c:v>
                </c:pt>
                <c:pt idx="194">
                  <c:v>FEB.24</c:v>
                </c:pt>
                <c:pt idx="195">
                  <c:v>FEB.24</c:v>
                </c:pt>
                <c:pt idx="196">
                  <c:v>FEB.24</c:v>
                </c:pt>
                <c:pt idx="197">
                  <c:v>FEB.24</c:v>
                </c:pt>
                <c:pt idx="198">
                  <c:v>FEB.24</c:v>
                </c:pt>
                <c:pt idx="199">
                  <c:v>FEB.24</c:v>
                </c:pt>
                <c:pt idx="200">
                  <c:v>FEB.24</c:v>
                </c:pt>
                <c:pt idx="201">
                  <c:v>FEB.24</c:v>
                </c:pt>
                <c:pt idx="202">
                  <c:v>FEB.24</c:v>
                </c:pt>
                <c:pt idx="203">
                  <c:v>FEB.24</c:v>
                </c:pt>
                <c:pt idx="204">
                  <c:v>FEB.24</c:v>
                </c:pt>
                <c:pt idx="205">
                  <c:v>FEB.24</c:v>
                </c:pt>
                <c:pt idx="206">
                  <c:v>FEB.24</c:v>
                </c:pt>
                <c:pt idx="207">
                  <c:v>FEB.24</c:v>
                </c:pt>
                <c:pt idx="208">
                  <c:v>FEB.24</c:v>
                </c:pt>
                <c:pt idx="209">
                  <c:v>FEB.24</c:v>
                </c:pt>
                <c:pt idx="210">
                  <c:v>FEB.24</c:v>
                </c:pt>
                <c:pt idx="211">
                  <c:v>FEB.24</c:v>
                </c:pt>
                <c:pt idx="212">
                  <c:v>FEB.24</c:v>
                </c:pt>
                <c:pt idx="213">
                  <c:v>FEB.24</c:v>
                </c:pt>
                <c:pt idx="214">
                  <c:v>FEB.24</c:v>
                </c:pt>
                <c:pt idx="215">
                  <c:v>FEB.24</c:v>
                </c:pt>
                <c:pt idx="216">
                  <c:v>FEB.24</c:v>
                </c:pt>
                <c:pt idx="217">
                  <c:v>FEB.24</c:v>
                </c:pt>
                <c:pt idx="218">
                  <c:v>FEB.24</c:v>
                </c:pt>
                <c:pt idx="219">
                  <c:v>FEB.24</c:v>
                </c:pt>
                <c:pt idx="220">
                  <c:v>FEB.24</c:v>
                </c:pt>
                <c:pt idx="221">
                  <c:v>FEB.24</c:v>
                </c:pt>
                <c:pt idx="222">
                  <c:v>FEB.24</c:v>
                </c:pt>
                <c:pt idx="223">
                  <c:v>FEB.24</c:v>
                </c:pt>
                <c:pt idx="224">
                  <c:v>FEB.24</c:v>
                </c:pt>
                <c:pt idx="225">
                  <c:v>FEB.24</c:v>
                </c:pt>
                <c:pt idx="226">
                  <c:v>FEB.24</c:v>
                </c:pt>
                <c:pt idx="227">
                  <c:v>FEB.24</c:v>
                </c:pt>
                <c:pt idx="228">
                  <c:v>FEB.24</c:v>
                </c:pt>
                <c:pt idx="229">
                  <c:v>FEB.24</c:v>
                </c:pt>
                <c:pt idx="230">
                  <c:v>FEB.24</c:v>
                </c:pt>
                <c:pt idx="231">
                  <c:v>FEB.24</c:v>
                </c:pt>
                <c:pt idx="232">
                  <c:v>FEB.24</c:v>
                </c:pt>
                <c:pt idx="233">
                  <c:v>FEB.24</c:v>
                </c:pt>
                <c:pt idx="234">
                  <c:v>FEB.24</c:v>
                </c:pt>
                <c:pt idx="235">
                  <c:v>FEB.24</c:v>
                </c:pt>
                <c:pt idx="236">
                  <c:v>FEB.24</c:v>
                </c:pt>
                <c:pt idx="237">
                  <c:v>FEB.24</c:v>
                </c:pt>
                <c:pt idx="238">
                  <c:v>FEB.24</c:v>
                </c:pt>
                <c:pt idx="239">
                  <c:v>FEB.24</c:v>
                </c:pt>
                <c:pt idx="240">
                  <c:v>FEB.24</c:v>
                </c:pt>
                <c:pt idx="241">
                  <c:v>FEB.24</c:v>
                </c:pt>
                <c:pt idx="242">
                  <c:v>FEB.24</c:v>
                </c:pt>
                <c:pt idx="243">
                  <c:v>FEB.24</c:v>
                </c:pt>
                <c:pt idx="244">
                  <c:v>FEB.24</c:v>
                </c:pt>
                <c:pt idx="245">
                  <c:v>FEB.24</c:v>
                </c:pt>
                <c:pt idx="246">
                  <c:v>FEB.24</c:v>
                </c:pt>
                <c:pt idx="247">
                  <c:v>FEB.24</c:v>
                </c:pt>
                <c:pt idx="248">
                  <c:v>FEB.24</c:v>
                </c:pt>
                <c:pt idx="249">
                  <c:v>FEB.24</c:v>
                </c:pt>
                <c:pt idx="250">
                  <c:v>FEB.24</c:v>
                </c:pt>
                <c:pt idx="251">
                  <c:v>FEB.24</c:v>
                </c:pt>
                <c:pt idx="252">
                  <c:v>March 24 live</c:v>
                </c:pt>
                <c:pt idx="253">
                  <c:v>MAR.24</c:v>
                </c:pt>
                <c:pt idx="254">
                  <c:v>MAR.24</c:v>
                </c:pt>
                <c:pt idx="255">
                  <c:v>MAR.24</c:v>
                </c:pt>
                <c:pt idx="256">
                  <c:v>MAR.24</c:v>
                </c:pt>
                <c:pt idx="257">
                  <c:v>MAR.24</c:v>
                </c:pt>
                <c:pt idx="258">
                  <c:v>MAR.24</c:v>
                </c:pt>
                <c:pt idx="259">
                  <c:v>MAR.24</c:v>
                </c:pt>
                <c:pt idx="260">
                  <c:v>MAR.24</c:v>
                </c:pt>
                <c:pt idx="261">
                  <c:v>MAR.24</c:v>
                </c:pt>
                <c:pt idx="262">
                  <c:v>MAR.24</c:v>
                </c:pt>
                <c:pt idx="263">
                  <c:v>MAR.24</c:v>
                </c:pt>
                <c:pt idx="264">
                  <c:v>MAR.24</c:v>
                </c:pt>
                <c:pt idx="265">
                  <c:v>MAR.24</c:v>
                </c:pt>
                <c:pt idx="266">
                  <c:v>MAR.24</c:v>
                </c:pt>
                <c:pt idx="267">
                  <c:v>MAR.24</c:v>
                </c:pt>
                <c:pt idx="268">
                  <c:v>MAR.24</c:v>
                </c:pt>
                <c:pt idx="269">
                  <c:v>MAR.24</c:v>
                </c:pt>
                <c:pt idx="270">
                  <c:v>MAR.24</c:v>
                </c:pt>
                <c:pt idx="271">
                  <c:v>MAR.24</c:v>
                </c:pt>
                <c:pt idx="272">
                  <c:v>MAR.24</c:v>
                </c:pt>
                <c:pt idx="273">
                  <c:v>MAR.24</c:v>
                </c:pt>
                <c:pt idx="274">
                  <c:v>MAR.24</c:v>
                </c:pt>
                <c:pt idx="275">
                  <c:v>MAR.24</c:v>
                </c:pt>
                <c:pt idx="276">
                  <c:v>MAR.24</c:v>
                </c:pt>
                <c:pt idx="277">
                  <c:v>MAR.24</c:v>
                </c:pt>
                <c:pt idx="278">
                  <c:v>MAR.24</c:v>
                </c:pt>
                <c:pt idx="279">
                  <c:v>MAR.24</c:v>
                </c:pt>
                <c:pt idx="280">
                  <c:v>MAR.24</c:v>
                </c:pt>
                <c:pt idx="281">
                  <c:v>MAR.24</c:v>
                </c:pt>
                <c:pt idx="282">
                  <c:v>MAR.24</c:v>
                </c:pt>
                <c:pt idx="283">
                  <c:v>MAR.24</c:v>
                </c:pt>
                <c:pt idx="284">
                  <c:v>MAR.24</c:v>
                </c:pt>
                <c:pt idx="285">
                  <c:v>MAR.24</c:v>
                </c:pt>
                <c:pt idx="286">
                  <c:v>MAR.24</c:v>
                </c:pt>
                <c:pt idx="287">
                  <c:v>MAR.24</c:v>
                </c:pt>
                <c:pt idx="288">
                  <c:v>MAR.24</c:v>
                </c:pt>
                <c:pt idx="289">
                  <c:v>MAR.24</c:v>
                </c:pt>
                <c:pt idx="290">
                  <c:v>MAR.24</c:v>
                </c:pt>
                <c:pt idx="291">
                  <c:v>MAR.24</c:v>
                </c:pt>
                <c:pt idx="292">
                  <c:v>MAR.24</c:v>
                </c:pt>
                <c:pt idx="293">
                  <c:v>MAR.24</c:v>
                </c:pt>
                <c:pt idx="294">
                  <c:v>MAR.24</c:v>
                </c:pt>
                <c:pt idx="295">
                  <c:v>MAR.24</c:v>
                </c:pt>
                <c:pt idx="296">
                  <c:v>MAR.24</c:v>
                </c:pt>
                <c:pt idx="297">
                  <c:v>MAR.24</c:v>
                </c:pt>
                <c:pt idx="298">
                  <c:v>MAR.24</c:v>
                </c:pt>
                <c:pt idx="299">
                  <c:v>MAR.24</c:v>
                </c:pt>
                <c:pt idx="300">
                  <c:v>MAR.24</c:v>
                </c:pt>
                <c:pt idx="301">
                  <c:v>MAR.24</c:v>
                </c:pt>
                <c:pt idx="302">
                  <c:v>MAR.24</c:v>
                </c:pt>
                <c:pt idx="303">
                  <c:v>MAR.24</c:v>
                </c:pt>
                <c:pt idx="304">
                  <c:v>MAR.24</c:v>
                </c:pt>
                <c:pt idx="305">
                  <c:v>MAR.24</c:v>
                </c:pt>
                <c:pt idx="306">
                  <c:v>MAR.24</c:v>
                </c:pt>
                <c:pt idx="307">
                  <c:v>MAR.24</c:v>
                </c:pt>
                <c:pt idx="308">
                  <c:v>MAR.24</c:v>
                </c:pt>
                <c:pt idx="309">
                  <c:v>MAR.24</c:v>
                </c:pt>
                <c:pt idx="310">
                  <c:v>MAR.24</c:v>
                </c:pt>
                <c:pt idx="311">
                  <c:v>MAR.24</c:v>
                </c:pt>
                <c:pt idx="312">
                  <c:v>MAR.24</c:v>
                </c:pt>
                <c:pt idx="313">
                  <c:v>MAR.24</c:v>
                </c:pt>
                <c:pt idx="314">
                  <c:v>MAR.24</c:v>
                </c:pt>
                <c:pt idx="315">
                  <c:v>MAR.24</c:v>
                </c:pt>
                <c:pt idx="316">
                  <c:v>MAR.24</c:v>
                </c:pt>
                <c:pt idx="317">
                  <c:v>MAR.24</c:v>
                </c:pt>
                <c:pt idx="318">
                  <c:v>MAR.24</c:v>
                </c:pt>
                <c:pt idx="319">
                  <c:v>MAR.24</c:v>
                </c:pt>
                <c:pt idx="320">
                  <c:v>MAR.24</c:v>
                </c:pt>
                <c:pt idx="321">
                  <c:v>MAR.24</c:v>
                </c:pt>
                <c:pt idx="322">
                  <c:v>MAR.24</c:v>
                </c:pt>
                <c:pt idx="323">
                  <c:v>MAR.24</c:v>
                </c:pt>
                <c:pt idx="324">
                  <c:v>MAR.24</c:v>
                </c:pt>
                <c:pt idx="325">
                  <c:v>MAR.24</c:v>
                </c:pt>
                <c:pt idx="326">
                  <c:v>MAR.24</c:v>
                </c:pt>
                <c:pt idx="327">
                  <c:v>MAR.24</c:v>
                </c:pt>
                <c:pt idx="328">
                  <c:v>MAR.24</c:v>
                </c:pt>
                <c:pt idx="329">
                  <c:v>MAR.24</c:v>
                </c:pt>
                <c:pt idx="330">
                  <c:v>MAR.24</c:v>
                </c:pt>
                <c:pt idx="331">
                  <c:v>MAR.24</c:v>
                </c:pt>
                <c:pt idx="332">
                  <c:v>MAR.24</c:v>
                </c:pt>
                <c:pt idx="333">
                  <c:v>MAR.24</c:v>
                </c:pt>
                <c:pt idx="334">
                  <c:v>MAR.24</c:v>
                </c:pt>
                <c:pt idx="335">
                  <c:v>MAR.24</c:v>
                </c:pt>
                <c:pt idx="336">
                  <c:v>MAR.24</c:v>
                </c:pt>
                <c:pt idx="337">
                  <c:v>MAR.24</c:v>
                </c:pt>
                <c:pt idx="338">
                  <c:v>MAR.24</c:v>
                </c:pt>
                <c:pt idx="339">
                  <c:v>MAR.24</c:v>
                </c:pt>
                <c:pt idx="340">
                  <c:v>MAR.24</c:v>
                </c:pt>
                <c:pt idx="341">
                  <c:v>MAR.24</c:v>
                </c:pt>
                <c:pt idx="342">
                  <c:v>MAR.24</c:v>
                </c:pt>
                <c:pt idx="343">
                  <c:v>MAR.24</c:v>
                </c:pt>
                <c:pt idx="344">
                  <c:v>MAR.24</c:v>
                </c:pt>
                <c:pt idx="345">
                  <c:v>April 24 live</c:v>
                </c:pt>
                <c:pt idx="346">
                  <c:v>APR.24</c:v>
                </c:pt>
                <c:pt idx="347">
                  <c:v>APR.24</c:v>
                </c:pt>
                <c:pt idx="348">
                  <c:v>APR.24</c:v>
                </c:pt>
                <c:pt idx="349">
                  <c:v>APR.24</c:v>
                </c:pt>
                <c:pt idx="350">
                  <c:v>APR.24</c:v>
                </c:pt>
                <c:pt idx="351">
                  <c:v>APR.24</c:v>
                </c:pt>
                <c:pt idx="352">
                  <c:v>APR.24</c:v>
                </c:pt>
                <c:pt idx="353">
                  <c:v>APR.24</c:v>
                </c:pt>
                <c:pt idx="354">
                  <c:v>APR.24</c:v>
                </c:pt>
                <c:pt idx="355">
                  <c:v>APR.24</c:v>
                </c:pt>
                <c:pt idx="356">
                  <c:v>APR.24</c:v>
                </c:pt>
                <c:pt idx="357">
                  <c:v>APR.24</c:v>
                </c:pt>
                <c:pt idx="358">
                  <c:v>APR.24</c:v>
                </c:pt>
                <c:pt idx="359">
                  <c:v>APR.24</c:v>
                </c:pt>
                <c:pt idx="360">
                  <c:v>APR.24</c:v>
                </c:pt>
                <c:pt idx="361">
                  <c:v>APR.24</c:v>
                </c:pt>
                <c:pt idx="362">
                  <c:v>APR.24</c:v>
                </c:pt>
                <c:pt idx="363">
                  <c:v>APR.24</c:v>
                </c:pt>
                <c:pt idx="364">
                  <c:v>APR.24</c:v>
                </c:pt>
                <c:pt idx="365">
                  <c:v>APR.24</c:v>
                </c:pt>
                <c:pt idx="366">
                  <c:v>APR.24</c:v>
                </c:pt>
                <c:pt idx="367">
                  <c:v>APR.24</c:v>
                </c:pt>
                <c:pt idx="368">
                  <c:v>APR.24</c:v>
                </c:pt>
                <c:pt idx="369">
                  <c:v>APR.24</c:v>
                </c:pt>
                <c:pt idx="370">
                  <c:v>APR.24</c:v>
                </c:pt>
                <c:pt idx="371">
                  <c:v>APR.24</c:v>
                </c:pt>
                <c:pt idx="372">
                  <c:v>APR.24</c:v>
                </c:pt>
                <c:pt idx="373">
                  <c:v>APR.24</c:v>
                </c:pt>
                <c:pt idx="374">
                  <c:v>APR.24</c:v>
                </c:pt>
                <c:pt idx="375">
                  <c:v>APR.24</c:v>
                </c:pt>
                <c:pt idx="376">
                  <c:v>APR.24</c:v>
                </c:pt>
                <c:pt idx="377">
                  <c:v>APR.24</c:v>
                </c:pt>
                <c:pt idx="378">
                  <c:v>APR.24</c:v>
                </c:pt>
                <c:pt idx="379">
                  <c:v>APR.24</c:v>
                </c:pt>
                <c:pt idx="380">
                  <c:v>APR.24</c:v>
                </c:pt>
                <c:pt idx="381">
                  <c:v>APR.24</c:v>
                </c:pt>
                <c:pt idx="382">
                  <c:v>APR.24</c:v>
                </c:pt>
                <c:pt idx="383">
                  <c:v>APR.24</c:v>
                </c:pt>
                <c:pt idx="384">
                  <c:v>APR.24</c:v>
                </c:pt>
                <c:pt idx="385">
                  <c:v>APR.24</c:v>
                </c:pt>
                <c:pt idx="386">
                  <c:v>APR.24</c:v>
                </c:pt>
                <c:pt idx="387">
                  <c:v>APR.24</c:v>
                </c:pt>
                <c:pt idx="388">
                  <c:v>APR.24</c:v>
                </c:pt>
                <c:pt idx="389">
                  <c:v>APR.24</c:v>
                </c:pt>
                <c:pt idx="390">
                  <c:v>APR.24</c:v>
                </c:pt>
                <c:pt idx="391">
                  <c:v>APR.24</c:v>
                </c:pt>
                <c:pt idx="392">
                  <c:v>APR.24</c:v>
                </c:pt>
                <c:pt idx="393">
                  <c:v>APR.24</c:v>
                </c:pt>
                <c:pt idx="394">
                  <c:v>APR.24</c:v>
                </c:pt>
                <c:pt idx="395">
                  <c:v>APR.24</c:v>
                </c:pt>
                <c:pt idx="396">
                  <c:v>APR.24</c:v>
                </c:pt>
                <c:pt idx="397">
                  <c:v>APR.24</c:v>
                </c:pt>
                <c:pt idx="398">
                  <c:v>APR.24</c:v>
                </c:pt>
                <c:pt idx="399">
                  <c:v>APR.24</c:v>
                </c:pt>
                <c:pt idx="400">
                  <c:v>APR.24</c:v>
                </c:pt>
                <c:pt idx="401">
                  <c:v>APR.24</c:v>
                </c:pt>
                <c:pt idx="402">
                  <c:v>APR.24</c:v>
                </c:pt>
                <c:pt idx="403">
                  <c:v>APR.24</c:v>
                </c:pt>
                <c:pt idx="404">
                  <c:v>APR.24</c:v>
                </c:pt>
                <c:pt idx="405">
                  <c:v>APR.24</c:v>
                </c:pt>
                <c:pt idx="406">
                  <c:v>APR.24</c:v>
                </c:pt>
                <c:pt idx="407">
                  <c:v>APR.24</c:v>
                </c:pt>
                <c:pt idx="408">
                  <c:v>APR.24</c:v>
                </c:pt>
                <c:pt idx="409">
                  <c:v>APR.24</c:v>
                </c:pt>
                <c:pt idx="410">
                  <c:v>APR.24</c:v>
                </c:pt>
                <c:pt idx="411">
                  <c:v>APR.24</c:v>
                </c:pt>
                <c:pt idx="412">
                  <c:v>APR.24</c:v>
                </c:pt>
                <c:pt idx="413">
                  <c:v>APR.24</c:v>
                </c:pt>
                <c:pt idx="414">
                  <c:v>APR.24</c:v>
                </c:pt>
                <c:pt idx="415">
                  <c:v>APR.24</c:v>
                </c:pt>
                <c:pt idx="416">
                  <c:v>APR.24</c:v>
                </c:pt>
                <c:pt idx="417">
                  <c:v>APR.24</c:v>
                </c:pt>
                <c:pt idx="418">
                  <c:v>APR.24</c:v>
                </c:pt>
                <c:pt idx="419">
                  <c:v>APR.24</c:v>
                </c:pt>
                <c:pt idx="420">
                  <c:v>APR.24</c:v>
                </c:pt>
                <c:pt idx="421">
                  <c:v>APR.24</c:v>
                </c:pt>
                <c:pt idx="422">
                  <c:v>APR.24</c:v>
                </c:pt>
                <c:pt idx="423">
                  <c:v>APR.24</c:v>
                </c:pt>
                <c:pt idx="424">
                  <c:v>APR.24</c:v>
                </c:pt>
                <c:pt idx="425">
                  <c:v>APR.24</c:v>
                </c:pt>
                <c:pt idx="426">
                  <c:v>APR.24</c:v>
                </c:pt>
                <c:pt idx="427">
                  <c:v>APR.24</c:v>
                </c:pt>
                <c:pt idx="428">
                  <c:v>APR.24</c:v>
                </c:pt>
                <c:pt idx="429">
                  <c:v>APR.24</c:v>
                </c:pt>
                <c:pt idx="430">
                  <c:v>APR.24</c:v>
                </c:pt>
                <c:pt idx="431">
                  <c:v>APR.24</c:v>
                </c:pt>
                <c:pt idx="432">
                  <c:v>APR.24</c:v>
                </c:pt>
                <c:pt idx="433">
                  <c:v>APR.24</c:v>
                </c:pt>
                <c:pt idx="434">
                  <c:v>APR.24</c:v>
                </c:pt>
                <c:pt idx="435">
                  <c:v>APR.24</c:v>
                </c:pt>
                <c:pt idx="436">
                  <c:v>APR.24</c:v>
                </c:pt>
                <c:pt idx="437">
                  <c:v>APR.24</c:v>
                </c:pt>
                <c:pt idx="438">
                  <c:v>APR.24</c:v>
                </c:pt>
                <c:pt idx="439">
                  <c:v>APR.24</c:v>
                </c:pt>
                <c:pt idx="440">
                  <c:v>APR.24</c:v>
                </c:pt>
                <c:pt idx="441">
                  <c:v>APR.24</c:v>
                </c:pt>
                <c:pt idx="442">
                  <c:v>APR.24</c:v>
                </c:pt>
                <c:pt idx="443">
                  <c:v>APR.24</c:v>
                </c:pt>
                <c:pt idx="444">
                  <c:v>APR.24</c:v>
                </c:pt>
                <c:pt idx="445">
                  <c:v>APR.24</c:v>
                </c:pt>
                <c:pt idx="446">
                  <c:v>APR.24</c:v>
                </c:pt>
                <c:pt idx="447">
                  <c:v>APR.24</c:v>
                </c:pt>
                <c:pt idx="448">
                  <c:v>APR.24</c:v>
                </c:pt>
                <c:pt idx="449">
                  <c:v>APR.24</c:v>
                </c:pt>
                <c:pt idx="450">
                  <c:v>APR.24</c:v>
                </c:pt>
                <c:pt idx="451">
                  <c:v>APR.24</c:v>
                </c:pt>
                <c:pt idx="452">
                  <c:v>APR.24</c:v>
                </c:pt>
                <c:pt idx="453">
                  <c:v>APR.24</c:v>
                </c:pt>
                <c:pt idx="454">
                  <c:v>APR.24</c:v>
                </c:pt>
                <c:pt idx="455">
                  <c:v>APR.24</c:v>
                </c:pt>
                <c:pt idx="456">
                  <c:v>APR.24</c:v>
                </c:pt>
                <c:pt idx="457">
                  <c:v>APR.24</c:v>
                </c:pt>
                <c:pt idx="458">
                  <c:v>APR.24</c:v>
                </c:pt>
                <c:pt idx="459">
                  <c:v>APR.24</c:v>
                </c:pt>
                <c:pt idx="460">
                  <c:v>APR.24</c:v>
                </c:pt>
                <c:pt idx="461">
                  <c:v>APR.24</c:v>
                </c:pt>
                <c:pt idx="462">
                  <c:v>APR.24</c:v>
                </c:pt>
                <c:pt idx="463">
                  <c:v>APR.24</c:v>
                </c:pt>
                <c:pt idx="464">
                  <c:v>APR.24</c:v>
                </c:pt>
                <c:pt idx="465">
                  <c:v>APR.24</c:v>
                </c:pt>
                <c:pt idx="466">
                  <c:v>APR.24</c:v>
                </c:pt>
                <c:pt idx="467">
                  <c:v>APR.24</c:v>
                </c:pt>
                <c:pt idx="468">
                  <c:v>APR.24</c:v>
                </c:pt>
                <c:pt idx="469">
                  <c:v>APR.24</c:v>
                </c:pt>
                <c:pt idx="470">
                  <c:v>APR.24</c:v>
                </c:pt>
                <c:pt idx="471">
                  <c:v>APR.24</c:v>
                </c:pt>
                <c:pt idx="472">
                  <c:v>APR.24</c:v>
                </c:pt>
                <c:pt idx="473">
                  <c:v>APR.24</c:v>
                </c:pt>
                <c:pt idx="474">
                  <c:v>APR.24</c:v>
                </c:pt>
                <c:pt idx="475">
                  <c:v>APR.24</c:v>
                </c:pt>
                <c:pt idx="476">
                  <c:v>APR.24</c:v>
                </c:pt>
                <c:pt idx="477">
                  <c:v>APR.24</c:v>
                </c:pt>
                <c:pt idx="478">
                  <c:v>APR.24</c:v>
                </c:pt>
                <c:pt idx="479">
                  <c:v>APR.24</c:v>
                </c:pt>
                <c:pt idx="480">
                  <c:v>APR.24</c:v>
                </c:pt>
                <c:pt idx="481">
                  <c:v>APR.24</c:v>
                </c:pt>
                <c:pt idx="482">
                  <c:v>APR.24</c:v>
                </c:pt>
                <c:pt idx="483">
                  <c:v>APR.24</c:v>
                </c:pt>
                <c:pt idx="484">
                  <c:v>APR.24</c:v>
                </c:pt>
                <c:pt idx="485">
                  <c:v>APR.24</c:v>
                </c:pt>
                <c:pt idx="486">
                  <c:v>APR.24</c:v>
                </c:pt>
                <c:pt idx="487">
                  <c:v>APR.24</c:v>
                </c:pt>
                <c:pt idx="488">
                  <c:v>APR.24</c:v>
                </c:pt>
                <c:pt idx="489">
                  <c:v>APR.24</c:v>
                </c:pt>
                <c:pt idx="490">
                  <c:v>APR.24</c:v>
                </c:pt>
                <c:pt idx="491">
                  <c:v>APR.24</c:v>
                </c:pt>
                <c:pt idx="492">
                  <c:v>APR.24</c:v>
                </c:pt>
                <c:pt idx="493">
                  <c:v>APR.24</c:v>
                </c:pt>
                <c:pt idx="494">
                  <c:v>APR.24</c:v>
                </c:pt>
                <c:pt idx="495">
                  <c:v>APR.24</c:v>
                </c:pt>
                <c:pt idx="496">
                  <c:v>APR.24</c:v>
                </c:pt>
                <c:pt idx="497">
                  <c:v>APR.24</c:v>
                </c:pt>
                <c:pt idx="498">
                  <c:v>APR.24</c:v>
                </c:pt>
                <c:pt idx="499">
                  <c:v>APR.24</c:v>
                </c:pt>
                <c:pt idx="500">
                  <c:v>APR.24</c:v>
                </c:pt>
                <c:pt idx="501">
                  <c:v>APR.24</c:v>
                </c:pt>
                <c:pt idx="502">
                  <c:v>APR.24</c:v>
                </c:pt>
                <c:pt idx="503">
                  <c:v>APR.24</c:v>
                </c:pt>
                <c:pt idx="504">
                  <c:v>APR.24</c:v>
                </c:pt>
                <c:pt idx="505">
                  <c:v>APR.24</c:v>
                </c:pt>
                <c:pt idx="506">
                  <c:v>APR.24</c:v>
                </c:pt>
                <c:pt idx="507">
                  <c:v>APR.24</c:v>
                </c:pt>
                <c:pt idx="508">
                  <c:v>APR.24</c:v>
                </c:pt>
                <c:pt idx="509">
                  <c:v>APR.24</c:v>
                </c:pt>
                <c:pt idx="510">
                  <c:v>APR.24</c:v>
                </c:pt>
                <c:pt idx="511">
                  <c:v>APR.24</c:v>
                </c:pt>
                <c:pt idx="512">
                  <c:v>APR.24</c:v>
                </c:pt>
                <c:pt idx="513">
                  <c:v>APR.24</c:v>
                </c:pt>
                <c:pt idx="514">
                  <c:v>APR.24</c:v>
                </c:pt>
                <c:pt idx="515">
                  <c:v>APR.24</c:v>
                </c:pt>
                <c:pt idx="516">
                  <c:v>APR.24</c:v>
                </c:pt>
                <c:pt idx="517">
                  <c:v>APR.24</c:v>
                </c:pt>
                <c:pt idx="518">
                  <c:v>APR.24</c:v>
                </c:pt>
                <c:pt idx="519">
                  <c:v>APR.24</c:v>
                </c:pt>
                <c:pt idx="520">
                  <c:v>APR.24</c:v>
                </c:pt>
                <c:pt idx="521">
                  <c:v>APR.24</c:v>
                </c:pt>
                <c:pt idx="522">
                  <c:v>APR.24</c:v>
                </c:pt>
                <c:pt idx="523">
                  <c:v>APR.24</c:v>
                </c:pt>
                <c:pt idx="524">
                  <c:v>APR.24</c:v>
                </c:pt>
                <c:pt idx="525">
                  <c:v>APR.24</c:v>
                </c:pt>
                <c:pt idx="526">
                  <c:v>APR.24</c:v>
                </c:pt>
                <c:pt idx="527">
                  <c:v>APR.24</c:v>
                </c:pt>
                <c:pt idx="528">
                  <c:v>APR.24</c:v>
                </c:pt>
                <c:pt idx="529">
                  <c:v>APR.24</c:v>
                </c:pt>
                <c:pt idx="530">
                  <c:v>APR.24</c:v>
                </c:pt>
                <c:pt idx="531">
                  <c:v>APR.24</c:v>
                </c:pt>
                <c:pt idx="532">
                  <c:v>APR.24</c:v>
                </c:pt>
                <c:pt idx="533">
                  <c:v>APR.24</c:v>
                </c:pt>
                <c:pt idx="534">
                  <c:v>APR.24</c:v>
                </c:pt>
                <c:pt idx="535">
                  <c:v>APR.24</c:v>
                </c:pt>
                <c:pt idx="536">
                  <c:v>May 24 live</c:v>
                </c:pt>
                <c:pt idx="537">
                  <c:v>MAY.24</c:v>
                </c:pt>
                <c:pt idx="538">
                  <c:v>MAY.24</c:v>
                </c:pt>
                <c:pt idx="539">
                  <c:v>MAY.24</c:v>
                </c:pt>
                <c:pt idx="540">
                  <c:v>MAY.24</c:v>
                </c:pt>
                <c:pt idx="541">
                  <c:v>MAY.24</c:v>
                </c:pt>
                <c:pt idx="542">
                  <c:v>MAY.24</c:v>
                </c:pt>
                <c:pt idx="543">
                  <c:v>MAY.24</c:v>
                </c:pt>
                <c:pt idx="544">
                  <c:v>MAY.24</c:v>
                </c:pt>
                <c:pt idx="545">
                  <c:v>MAY.24</c:v>
                </c:pt>
                <c:pt idx="546">
                  <c:v>MAY.24</c:v>
                </c:pt>
                <c:pt idx="547">
                  <c:v>MAY.24</c:v>
                </c:pt>
                <c:pt idx="548">
                  <c:v>MAY.24</c:v>
                </c:pt>
                <c:pt idx="549">
                  <c:v>MAY.24</c:v>
                </c:pt>
                <c:pt idx="550">
                  <c:v>MAY.24</c:v>
                </c:pt>
                <c:pt idx="551">
                  <c:v>MAY.24</c:v>
                </c:pt>
                <c:pt idx="552">
                  <c:v>MAY.24</c:v>
                </c:pt>
                <c:pt idx="553">
                  <c:v>MAY.24</c:v>
                </c:pt>
                <c:pt idx="554">
                  <c:v>MAY.24</c:v>
                </c:pt>
                <c:pt idx="555">
                  <c:v>MAY.24</c:v>
                </c:pt>
                <c:pt idx="556">
                  <c:v>MAY.24</c:v>
                </c:pt>
                <c:pt idx="557">
                  <c:v>MAY.24</c:v>
                </c:pt>
                <c:pt idx="558">
                  <c:v>MAY.24</c:v>
                </c:pt>
                <c:pt idx="559">
                  <c:v>MAY.24</c:v>
                </c:pt>
                <c:pt idx="560">
                  <c:v>MAY.24</c:v>
                </c:pt>
                <c:pt idx="561">
                  <c:v>MAY.24</c:v>
                </c:pt>
                <c:pt idx="562">
                  <c:v>MAY.24</c:v>
                </c:pt>
                <c:pt idx="563">
                  <c:v>MAY.24</c:v>
                </c:pt>
                <c:pt idx="564">
                  <c:v>MAY.24</c:v>
                </c:pt>
                <c:pt idx="565">
                  <c:v>MAY.24</c:v>
                </c:pt>
                <c:pt idx="566">
                  <c:v>MAY.24</c:v>
                </c:pt>
                <c:pt idx="567">
                  <c:v>MAY.24</c:v>
                </c:pt>
                <c:pt idx="568">
                  <c:v>MAY.24</c:v>
                </c:pt>
                <c:pt idx="569">
                  <c:v>MAY.24</c:v>
                </c:pt>
                <c:pt idx="570">
                  <c:v>MAY.24</c:v>
                </c:pt>
                <c:pt idx="571">
                  <c:v>MAY.24</c:v>
                </c:pt>
                <c:pt idx="572">
                  <c:v>MAY.24</c:v>
                </c:pt>
                <c:pt idx="573">
                  <c:v>MAY.24</c:v>
                </c:pt>
                <c:pt idx="574">
                  <c:v>MAY.24</c:v>
                </c:pt>
                <c:pt idx="575">
                  <c:v>MAY.24</c:v>
                </c:pt>
                <c:pt idx="576">
                  <c:v>MAY.24</c:v>
                </c:pt>
                <c:pt idx="577">
                  <c:v>MAY.24</c:v>
                </c:pt>
                <c:pt idx="578">
                  <c:v>MAY.24</c:v>
                </c:pt>
                <c:pt idx="579">
                  <c:v>MAY.24</c:v>
                </c:pt>
                <c:pt idx="580">
                  <c:v>MAY.24</c:v>
                </c:pt>
                <c:pt idx="581">
                  <c:v>MAY.24</c:v>
                </c:pt>
                <c:pt idx="582">
                  <c:v>MAY.24</c:v>
                </c:pt>
                <c:pt idx="583">
                  <c:v>MAY.24</c:v>
                </c:pt>
                <c:pt idx="584">
                  <c:v>MAY.24</c:v>
                </c:pt>
                <c:pt idx="585">
                  <c:v>MAY.24</c:v>
                </c:pt>
                <c:pt idx="586">
                  <c:v>MAY.24</c:v>
                </c:pt>
                <c:pt idx="587">
                  <c:v>MAY.24</c:v>
                </c:pt>
                <c:pt idx="588">
                  <c:v>MAY.24</c:v>
                </c:pt>
                <c:pt idx="589">
                  <c:v>MAY.24</c:v>
                </c:pt>
                <c:pt idx="590">
                  <c:v>MAY.24</c:v>
                </c:pt>
                <c:pt idx="591">
                  <c:v>MAY.24</c:v>
                </c:pt>
                <c:pt idx="592">
                  <c:v>MAY.24</c:v>
                </c:pt>
                <c:pt idx="593">
                  <c:v>MAY.24</c:v>
                </c:pt>
                <c:pt idx="594">
                  <c:v>MAY.24</c:v>
                </c:pt>
                <c:pt idx="595">
                  <c:v>MAY.24</c:v>
                </c:pt>
                <c:pt idx="596">
                  <c:v>MAY.24</c:v>
                </c:pt>
                <c:pt idx="597">
                  <c:v>MAY.24</c:v>
                </c:pt>
                <c:pt idx="598">
                  <c:v>MAY.24</c:v>
                </c:pt>
                <c:pt idx="599">
                  <c:v>MAY.24</c:v>
                </c:pt>
                <c:pt idx="600">
                  <c:v>MAY.24</c:v>
                </c:pt>
                <c:pt idx="601">
                  <c:v>MAY.24</c:v>
                </c:pt>
                <c:pt idx="602">
                  <c:v>MAY.24</c:v>
                </c:pt>
                <c:pt idx="603">
                  <c:v>MAY.24</c:v>
                </c:pt>
                <c:pt idx="604">
                  <c:v>MAY.24</c:v>
                </c:pt>
                <c:pt idx="605">
                  <c:v>MAY.24</c:v>
                </c:pt>
                <c:pt idx="606">
                  <c:v>MAY.24</c:v>
                </c:pt>
                <c:pt idx="607">
                  <c:v>MAY.24</c:v>
                </c:pt>
                <c:pt idx="608">
                  <c:v>MAY.24</c:v>
                </c:pt>
                <c:pt idx="609">
                  <c:v>MAY.24</c:v>
                </c:pt>
                <c:pt idx="610">
                  <c:v>MAY.24</c:v>
                </c:pt>
                <c:pt idx="611">
                  <c:v>MAY.24</c:v>
                </c:pt>
                <c:pt idx="612">
                  <c:v>MAY.24</c:v>
                </c:pt>
                <c:pt idx="613">
                  <c:v>MAY.24</c:v>
                </c:pt>
                <c:pt idx="614">
                  <c:v>MAY.24</c:v>
                </c:pt>
                <c:pt idx="615">
                  <c:v>MAY.24</c:v>
                </c:pt>
                <c:pt idx="616">
                  <c:v>MAY.24</c:v>
                </c:pt>
                <c:pt idx="617">
                  <c:v>MAY.24</c:v>
                </c:pt>
                <c:pt idx="618">
                  <c:v>MAY.24</c:v>
                </c:pt>
                <c:pt idx="619">
                  <c:v>MAY.24</c:v>
                </c:pt>
                <c:pt idx="620">
                  <c:v>MAY.24</c:v>
                </c:pt>
                <c:pt idx="621">
                  <c:v>MAY.24</c:v>
                </c:pt>
                <c:pt idx="622">
                  <c:v>MAY.24</c:v>
                </c:pt>
                <c:pt idx="623">
                  <c:v>MAY.24</c:v>
                </c:pt>
                <c:pt idx="624">
                  <c:v>MAY.24</c:v>
                </c:pt>
                <c:pt idx="625">
                  <c:v>MAY.24</c:v>
                </c:pt>
                <c:pt idx="626">
                  <c:v>MAY.24</c:v>
                </c:pt>
                <c:pt idx="627">
                  <c:v>MAY.24</c:v>
                </c:pt>
                <c:pt idx="628">
                  <c:v>MAY.24</c:v>
                </c:pt>
                <c:pt idx="629">
                  <c:v>MAY.24</c:v>
                </c:pt>
                <c:pt idx="630">
                  <c:v>MAY.24</c:v>
                </c:pt>
                <c:pt idx="631">
                  <c:v>MAY.24</c:v>
                </c:pt>
                <c:pt idx="632">
                  <c:v>MAY.24</c:v>
                </c:pt>
                <c:pt idx="633">
                  <c:v>MAY.24</c:v>
                </c:pt>
                <c:pt idx="634">
                  <c:v>MAY.24</c:v>
                </c:pt>
                <c:pt idx="635">
                  <c:v>MAY.24</c:v>
                </c:pt>
                <c:pt idx="636">
                  <c:v>MAY.24</c:v>
                </c:pt>
                <c:pt idx="637">
                  <c:v>MAY.24</c:v>
                </c:pt>
                <c:pt idx="638">
                  <c:v>MAY.24</c:v>
                </c:pt>
                <c:pt idx="639">
                  <c:v>MAY.24</c:v>
                </c:pt>
                <c:pt idx="640">
                  <c:v>MAY.24</c:v>
                </c:pt>
                <c:pt idx="641">
                  <c:v>MAY.24</c:v>
                </c:pt>
                <c:pt idx="642">
                  <c:v>MAY.24</c:v>
                </c:pt>
                <c:pt idx="643">
                  <c:v>MAY.24</c:v>
                </c:pt>
                <c:pt idx="644">
                  <c:v>MAY.24</c:v>
                </c:pt>
                <c:pt idx="645">
                  <c:v>MAY.24</c:v>
                </c:pt>
                <c:pt idx="646">
                  <c:v>MAY.24</c:v>
                </c:pt>
                <c:pt idx="647">
                  <c:v>MAY.24</c:v>
                </c:pt>
                <c:pt idx="648">
                  <c:v>MAY.24</c:v>
                </c:pt>
                <c:pt idx="649">
                  <c:v>MAY.24</c:v>
                </c:pt>
                <c:pt idx="650">
                  <c:v>MAY.24</c:v>
                </c:pt>
                <c:pt idx="651">
                  <c:v>MAY.24</c:v>
                </c:pt>
                <c:pt idx="652">
                  <c:v>MAY.24</c:v>
                </c:pt>
                <c:pt idx="653">
                  <c:v>MAY.24</c:v>
                </c:pt>
                <c:pt idx="654">
                  <c:v>MAY.24</c:v>
                </c:pt>
                <c:pt idx="655">
                  <c:v>MAY.24</c:v>
                </c:pt>
                <c:pt idx="656">
                  <c:v>MAY.24</c:v>
                </c:pt>
                <c:pt idx="657">
                  <c:v>MAY.24</c:v>
                </c:pt>
                <c:pt idx="658">
                  <c:v>MAY.24</c:v>
                </c:pt>
                <c:pt idx="659">
                  <c:v>MAY.24</c:v>
                </c:pt>
                <c:pt idx="660">
                  <c:v>MAY.24</c:v>
                </c:pt>
                <c:pt idx="661">
                  <c:v>MAY.24</c:v>
                </c:pt>
                <c:pt idx="662">
                  <c:v>MAY.24</c:v>
                </c:pt>
                <c:pt idx="663">
                  <c:v>MAY.24</c:v>
                </c:pt>
                <c:pt idx="664">
                  <c:v>MAY.24</c:v>
                </c:pt>
                <c:pt idx="665">
                  <c:v>MAY.24</c:v>
                </c:pt>
                <c:pt idx="666">
                  <c:v>MAY.24</c:v>
                </c:pt>
                <c:pt idx="667">
                  <c:v>MAY.24</c:v>
                </c:pt>
                <c:pt idx="668">
                  <c:v>MAY.24</c:v>
                </c:pt>
                <c:pt idx="669">
                  <c:v>MAY.24</c:v>
                </c:pt>
                <c:pt idx="670">
                  <c:v>MAY.24</c:v>
                </c:pt>
                <c:pt idx="671">
                  <c:v>MAY.24</c:v>
                </c:pt>
                <c:pt idx="672">
                  <c:v>MAY.24</c:v>
                </c:pt>
                <c:pt idx="673">
                  <c:v>MAY.24</c:v>
                </c:pt>
                <c:pt idx="674">
                  <c:v>MAY.24</c:v>
                </c:pt>
                <c:pt idx="675">
                  <c:v>MAY.24</c:v>
                </c:pt>
                <c:pt idx="676">
                  <c:v>MAY.24</c:v>
                </c:pt>
                <c:pt idx="677">
                  <c:v>MAY.24</c:v>
                </c:pt>
                <c:pt idx="678">
                  <c:v>MAY.24</c:v>
                </c:pt>
                <c:pt idx="679">
                  <c:v>MAY.24</c:v>
                </c:pt>
                <c:pt idx="680">
                  <c:v>MAY.24</c:v>
                </c:pt>
                <c:pt idx="681">
                  <c:v>MAY.24 after disaster</c:v>
                </c:pt>
                <c:pt idx="682">
                  <c:v>MAY.24</c:v>
                </c:pt>
                <c:pt idx="683">
                  <c:v>MAY.24</c:v>
                </c:pt>
                <c:pt idx="684">
                  <c:v>MAY.24</c:v>
                </c:pt>
                <c:pt idx="685">
                  <c:v>MAY.24</c:v>
                </c:pt>
                <c:pt idx="686">
                  <c:v>MAY.24</c:v>
                </c:pt>
                <c:pt idx="687">
                  <c:v>MAY.24</c:v>
                </c:pt>
                <c:pt idx="688">
                  <c:v>MAY.24</c:v>
                </c:pt>
                <c:pt idx="689">
                  <c:v>MAY.24</c:v>
                </c:pt>
                <c:pt idx="690">
                  <c:v>MAY.24</c:v>
                </c:pt>
                <c:pt idx="691">
                  <c:v>MAY.24</c:v>
                </c:pt>
                <c:pt idx="692">
                  <c:v>MAY.24</c:v>
                </c:pt>
                <c:pt idx="693">
                  <c:v>MAY.24</c:v>
                </c:pt>
                <c:pt idx="694">
                  <c:v>MAY.24</c:v>
                </c:pt>
                <c:pt idx="695">
                  <c:v>MAY.24</c:v>
                </c:pt>
                <c:pt idx="696">
                  <c:v>MAY.24 recovery</c:v>
                </c:pt>
                <c:pt idx="697">
                  <c:v>MAY.24</c:v>
                </c:pt>
                <c:pt idx="698">
                  <c:v>MAY.24</c:v>
                </c:pt>
                <c:pt idx="699">
                  <c:v>MAY.24</c:v>
                </c:pt>
                <c:pt idx="700">
                  <c:v>MAY.24</c:v>
                </c:pt>
                <c:pt idx="701">
                  <c:v>MAY.24</c:v>
                </c:pt>
                <c:pt idx="702">
                  <c:v>MAY.24</c:v>
                </c:pt>
                <c:pt idx="703">
                  <c:v>MAY.24</c:v>
                </c:pt>
                <c:pt idx="704">
                  <c:v>MAY.24</c:v>
                </c:pt>
                <c:pt idx="705">
                  <c:v>MAY.24</c:v>
                </c:pt>
                <c:pt idx="706">
                  <c:v>MAY.24</c:v>
                </c:pt>
                <c:pt idx="707">
                  <c:v>MAY.24</c:v>
                </c:pt>
                <c:pt idx="708">
                  <c:v>MAY.24</c:v>
                </c:pt>
                <c:pt idx="709">
                  <c:v>MAY.24</c:v>
                </c:pt>
                <c:pt idx="710">
                  <c:v>MAY.24</c:v>
                </c:pt>
                <c:pt idx="711">
                  <c:v>MAY.24</c:v>
                </c:pt>
                <c:pt idx="712">
                  <c:v>MAY.24</c:v>
                </c:pt>
                <c:pt idx="713">
                  <c:v>MAY.24</c:v>
                </c:pt>
                <c:pt idx="714">
                  <c:v>MAY.24</c:v>
                </c:pt>
                <c:pt idx="715">
                  <c:v>MAY.24</c:v>
                </c:pt>
                <c:pt idx="716">
                  <c:v>MAY.24</c:v>
                </c:pt>
                <c:pt idx="717">
                  <c:v>MAY.24</c:v>
                </c:pt>
                <c:pt idx="718">
                  <c:v>MAY.24</c:v>
                </c:pt>
                <c:pt idx="719">
                  <c:v>MAY.24</c:v>
                </c:pt>
                <c:pt idx="720">
                  <c:v>MAY.24</c:v>
                </c:pt>
                <c:pt idx="721">
                  <c:v>MAY.24</c:v>
                </c:pt>
                <c:pt idx="722">
                  <c:v>MAY.24</c:v>
                </c:pt>
                <c:pt idx="723">
                  <c:v>MAY.24</c:v>
                </c:pt>
                <c:pt idx="724">
                  <c:v>MAY.24</c:v>
                </c:pt>
                <c:pt idx="725">
                  <c:v>MAY.24</c:v>
                </c:pt>
                <c:pt idx="726">
                  <c:v>MAY.24</c:v>
                </c:pt>
                <c:pt idx="727">
                  <c:v>MAY.24</c:v>
                </c:pt>
                <c:pt idx="728">
                  <c:v>MAY.24</c:v>
                </c:pt>
                <c:pt idx="729">
                  <c:v>MAY.24</c:v>
                </c:pt>
                <c:pt idx="730">
                  <c:v>MAY.24</c:v>
                </c:pt>
                <c:pt idx="731">
                  <c:v>June24 live</c:v>
                </c:pt>
                <c:pt idx="732">
                  <c:v>JUN.24</c:v>
                </c:pt>
                <c:pt idx="733">
                  <c:v>JUN.24</c:v>
                </c:pt>
                <c:pt idx="734">
                  <c:v>JUN.24</c:v>
                </c:pt>
                <c:pt idx="735">
                  <c:v>JUN.24</c:v>
                </c:pt>
                <c:pt idx="736">
                  <c:v>JUN.24</c:v>
                </c:pt>
                <c:pt idx="737">
                  <c:v>JUN.24</c:v>
                </c:pt>
                <c:pt idx="738">
                  <c:v>JUN.24</c:v>
                </c:pt>
                <c:pt idx="739">
                  <c:v>JUN.24</c:v>
                </c:pt>
                <c:pt idx="740">
                  <c:v>JUN.24</c:v>
                </c:pt>
                <c:pt idx="741">
                  <c:v>JUN.24</c:v>
                </c:pt>
                <c:pt idx="742">
                  <c:v>JUN.24</c:v>
                </c:pt>
                <c:pt idx="743">
                  <c:v>JUN.24</c:v>
                </c:pt>
                <c:pt idx="744">
                  <c:v>JUN.24</c:v>
                </c:pt>
                <c:pt idx="745">
                  <c:v>JUN.24</c:v>
                </c:pt>
                <c:pt idx="746">
                  <c:v>JUN.24</c:v>
                </c:pt>
                <c:pt idx="747">
                  <c:v>JUN.24</c:v>
                </c:pt>
                <c:pt idx="748">
                  <c:v>JUN.24</c:v>
                </c:pt>
                <c:pt idx="749">
                  <c:v>JUN.24</c:v>
                </c:pt>
                <c:pt idx="750">
                  <c:v>JUN.24</c:v>
                </c:pt>
                <c:pt idx="751">
                  <c:v>JUN.24</c:v>
                </c:pt>
                <c:pt idx="752">
                  <c:v>JUN.24</c:v>
                </c:pt>
                <c:pt idx="753">
                  <c:v>JUN.24</c:v>
                </c:pt>
                <c:pt idx="754">
                  <c:v>JUN.24</c:v>
                </c:pt>
                <c:pt idx="755">
                  <c:v>JUN.24</c:v>
                </c:pt>
                <c:pt idx="756">
                  <c:v>JUN.24</c:v>
                </c:pt>
                <c:pt idx="757">
                  <c:v>JUN.24</c:v>
                </c:pt>
                <c:pt idx="758">
                  <c:v>JUN.24</c:v>
                </c:pt>
                <c:pt idx="759">
                  <c:v>JUN.24</c:v>
                </c:pt>
                <c:pt idx="760">
                  <c:v>JUN.24</c:v>
                </c:pt>
                <c:pt idx="761">
                  <c:v>JUN.24</c:v>
                </c:pt>
                <c:pt idx="762">
                  <c:v>JUN.24</c:v>
                </c:pt>
                <c:pt idx="763">
                  <c:v>JUN.24</c:v>
                </c:pt>
                <c:pt idx="764">
                  <c:v>JUN.24</c:v>
                </c:pt>
                <c:pt idx="765">
                  <c:v>JUN.24</c:v>
                </c:pt>
                <c:pt idx="766">
                  <c:v>JUN.24</c:v>
                </c:pt>
                <c:pt idx="767">
                  <c:v>JUN.24</c:v>
                </c:pt>
                <c:pt idx="768">
                  <c:v>JUN.24</c:v>
                </c:pt>
                <c:pt idx="769">
                  <c:v>JUN.24</c:v>
                </c:pt>
                <c:pt idx="770">
                  <c:v>JUN.24</c:v>
                </c:pt>
                <c:pt idx="771">
                  <c:v>JUN.24</c:v>
                </c:pt>
                <c:pt idx="772">
                  <c:v>JUN.24</c:v>
                </c:pt>
                <c:pt idx="773">
                  <c:v>JUN.24</c:v>
                </c:pt>
                <c:pt idx="774">
                  <c:v>JUN.24</c:v>
                </c:pt>
                <c:pt idx="775">
                  <c:v>JUN.24</c:v>
                </c:pt>
                <c:pt idx="776">
                  <c:v>JUN.24</c:v>
                </c:pt>
                <c:pt idx="777">
                  <c:v>JUN.24</c:v>
                </c:pt>
                <c:pt idx="778">
                  <c:v>JUN.24</c:v>
                </c:pt>
                <c:pt idx="779">
                  <c:v>JUN.24</c:v>
                </c:pt>
                <c:pt idx="780">
                  <c:v>JUN.24</c:v>
                </c:pt>
                <c:pt idx="781">
                  <c:v>JUN.24</c:v>
                </c:pt>
                <c:pt idx="782">
                  <c:v>JUN.24</c:v>
                </c:pt>
                <c:pt idx="783">
                  <c:v>JUN.24</c:v>
                </c:pt>
                <c:pt idx="784">
                  <c:v>JUN.24</c:v>
                </c:pt>
                <c:pt idx="785">
                  <c:v>JUN.24</c:v>
                </c:pt>
                <c:pt idx="786">
                  <c:v>JUN.24</c:v>
                </c:pt>
                <c:pt idx="787">
                  <c:v>JUN.24</c:v>
                </c:pt>
                <c:pt idx="788">
                  <c:v>JUN.24</c:v>
                </c:pt>
                <c:pt idx="789">
                  <c:v>JUN.24</c:v>
                </c:pt>
                <c:pt idx="790">
                  <c:v>JUN.24</c:v>
                </c:pt>
                <c:pt idx="791">
                  <c:v>JUN.24</c:v>
                </c:pt>
                <c:pt idx="792">
                  <c:v>JUN.24</c:v>
                </c:pt>
                <c:pt idx="793">
                  <c:v>JUN.24</c:v>
                </c:pt>
                <c:pt idx="794">
                  <c:v>JUN.24</c:v>
                </c:pt>
                <c:pt idx="795">
                  <c:v>JUN.24</c:v>
                </c:pt>
                <c:pt idx="796">
                  <c:v>JUN.24</c:v>
                </c:pt>
                <c:pt idx="797">
                  <c:v>JUN.24</c:v>
                </c:pt>
                <c:pt idx="798">
                  <c:v>JUN.24</c:v>
                </c:pt>
                <c:pt idx="799">
                  <c:v>JUN.24</c:v>
                </c:pt>
                <c:pt idx="800">
                  <c:v>JUN.24</c:v>
                </c:pt>
                <c:pt idx="801">
                  <c:v>JUN.24</c:v>
                </c:pt>
                <c:pt idx="802">
                  <c:v>JUN.24</c:v>
                </c:pt>
                <c:pt idx="803">
                  <c:v>JUN.24</c:v>
                </c:pt>
                <c:pt idx="804">
                  <c:v>JUN.24</c:v>
                </c:pt>
                <c:pt idx="805">
                  <c:v>JUN.24</c:v>
                </c:pt>
                <c:pt idx="806">
                  <c:v>JUN.24</c:v>
                </c:pt>
                <c:pt idx="807">
                  <c:v>JUN.24</c:v>
                </c:pt>
                <c:pt idx="808">
                  <c:v>JUN.24</c:v>
                </c:pt>
                <c:pt idx="809">
                  <c:v>JUN.24</c:v>
                </c:pt>
                <c:pt idx="810">
                  <c:v>JUN.24</c:v>
                </c:pt>
                <c:pt idx="811">
                  <c:v>JUN.24</c:v>
                </c:pt>
                <c:pt idx="812">
                  <c:v>JUN.24</c:v>
                </c:pt>
                <c:pt idx="813">
                  <c:v>JUN.24</c:v>
                </c:pt>
                <c:pt idx="814">
                  <c:v>JUN.24</c:v>
                </c:pt>
                <c:pt idx="815">
                  <c:v>JUN.24</c:v>
                </c:pt>
                <c:pt idx="816">
                  <c:v>JUN.24</c:v>
                </c:pt>
                <c:pt idx="817">
                  <c:v>JUN.24</c:v>
                </c:pt>
                <c:pt idx="818">
                  <c:v>JUN.24</c:v>
                </c:pt>
                <c:pt idx="819">
                  <c:v>JUN.24</c:v>
                </c:pt>
                <c:pt idx="820">
                  <c:v>JUN.24</c:v>
                </c:pt>
                <c:pt idx="821">
                  <c:v>JUN.24</c:v>
                </c:pt>
                <c:pt idx="822">
                  <c:v>JUN.24</c:v>
                </c:pt>
                <c:pt idx="823">
                  <c:v>JUN.24</c:v>
                </c:pt>
                <c:pt idx="824">
                  <c:v>JUN.24</c:v>
                </c:pt>
                <c:pt idx="825">
                  <c:v>JUN.24</c:v>
                </c:pt>
                <c:pt idx="826">
                  <c:v>JUN.24</c:v>
                </c:pt>
                <c:pt idx="827">
                  <c:v>JUN.24</c:v>
                </c:pt>
                <c:pt idx="828">
                  <c:v>JUN.24</c:v>
                </c:pt>
                <c:pt idx="829">
                  <c:v>JUN.24</c:v>
                </c:pt>
                <c:pt idx="830">
                  <c:v>JUN.24</c:v>
                </c:pt>
                <c:pt idx="831">
                  <c:v>JUN.24</c:v>
                </c:pt>
                <c:pt idx="832">
                  <c:v>JUN.24</c:v>
                </c:pt>
                <c:pt idx="833">
                  <c:v>JUN.24</c:v>
                </c:pt>
                <c:pt idx="834">
                  <c:v>JUN.24</c:v>
                </c:pt>
                <c:pt idx="835">
                  <c:v>JUN.24</c:v>
                </c:pt>
                <c:pt idx="836">
                  <c:v>JUN.24</c:v>
                </c:pt>
                <c:pt idx="837">
                  <c:v>JUN.24</c:v>
                </c:pt>
                <c:pt idx="838">
                  <c:v>JUN.24</c:v>
                </c:pt>
                <c:pt idx="839">
                  <c:v>JUN.24</c:v>
                </c:pt>
                <c:pt idx="840">
                  <c:v>JUN.24</c:v>
                </c:pt>
                <c:pt idx="841">
                  <c:v>JUN.24</c:v>
                </c:pt>
                <c:pt idx="842">
                  <c:v>JUN.24</c:v>
                </c:pt>
                <c:pt idx="843">
                  <c:v>JUN.24</c:v>
                </c:pt>
                <c:pt idx="844">
                  <c:v>JUN.24</c:v>
                </c:pt>
                <c:pt idx="845">
                  <c:v>JUN.24</c:v>
                </c:pt>
                <c:pt idx="846">
                  <c:v>JUN.24</c:v>
                </c:pt>
                <c:pt idx="847">
                  <c:v>JUN.24</c:v>
                </c:pt>
                <c:pt idx="848">
                  <c:v>JUN.24</c:v>
                </c:pt>
                <c:pt idx="849">
                  <c:v>JUN.24</c:v>
                </c:pt>
                <c:pt idx="850">
                  <c:v>JUN.24</c:v>
                </c:pt>
                <c:pt idx="851">
                  <c:v>JUN.24</c:v>
                </c:pt>
                <c:pt idx="852">
                  <c:v>JUN.24</c:v>
                </c:pt>
                <c:pt idx="853">
                  <c:v>JUN.24</c:v>
                </c:pt>
                <c:pt idx="854">
                  <c:v>JUN.24</c:v>
                </c:pt>
                <c:pt idx="855">
                  <c:v>JUN.24</c:v>
                </c:pt>
                <c:pt idx="856">
                  <c:v>JUN.24</c:v>
                </c:pt>
                <c:pt idx="857">
                  <c:v>JUN.24</c:v>
                </c:pt>
                <c:pt idx="858">
                  <c:v>JUN.24</c:v>
                </c:pt>
                <c:pt idx="859">
                  <c:v>JUN.24</c:v>
                </c:pt>
                <c:pt idx="860">
                  <c:v>JUN.24</c:v>
                </c:pt>
                <c:pt idx="861">
                  <c:v>JUN.24</c:v>
                </c:pt>
                <c:pt idx="862">
                  <c:v>JUN.24</c:v>
                </c:pt>
                <c:pt idx="863">
                  <c:v>JUN.24</c:v>
                </c:pt>
                <c:pt idx="864">
                  <c:v>JUN.24</c:v>
                </c:pt>
                <c:pt idx="865">
                  <c:v>JUN.24</c:v>
                </c:pt>
                <c:pt idx="866">
                  <c:v>JUN.24</c:v>
                </c:pt>
                <c:pt idx="867">
                  <c:v>JUN.24</c:v>
                </c:pt>
                <c:pt idx="868">
                  <c:v>JUN.24</c:v>
                </c:pt>
                <c:pt idx="869">
                  <c:v>JUN.24</c:v>
                </c:pt>
                <c:pt idx="870">
                  <c:v>JUN.24</c:v>
                </c:pt>
                <c:pt idx="871">
                  <c:v>JUN.24</c:v>
                </c:pt>
                <c:pt idx="872">
                  <c:v>JUN.24</c:v>
                </c:pt>
                <c:pt idx="873">
                  <c:v>JUN.24</c:v>
                </c:pt>
                <c:pt idx="874">
                  <c:v>JUN.24</c:v>
                </c:pt>
                <c:pt idx="875">
                  <c:v>JUN.24</c:v>
                </c:pt>
                <c:pt idx="876">
                  <c:v>JUN.24</c:v>
                </c:pt>
                <c:pt idx="877">
                  <c:v>JUN.24</c:v>
                </c:pt>
                <c:pt idx="878">
                  <c:v>JUN.24</c:v>
                </c:pt>
                <c:pt idx="879">
                  <c:v>JUN.24 BLOWUP</c:v>
                </c:pt>
                <c:pt idx="880">
                  <c:v>JUN.24</c:v>
                </c:pt>
                <c:pt idx="881">
                  <c:v>JUN.24</c:v>
                </c:pt>
                <c:pt idx="882">
                  <c:v>JUN.24</c:v>
                </c:pt>
                <c:pt idx="883">
                  <c:v>JUN.24</c:v>
                </c:pt>
                <c:pt idx="884">
                  <c:v>JUN.24</c:v>
                </c:pt>
                <c:pt idx="885">
                  <c:v>JUN.24</c:v>
                </c:pt>
                <c:pt idx="886">
                  <c:v>JUN.24</c:v>
                </c:pt>
                <c:pt idx="887">
                  <c:v>JUN.24</c:v>
                </c:pt>
                <c:pt idx="888">
                  <c:v>July24 live (R+1) | REDUCE INTRADAY &gt;1D TRADES</c:v>
                </c:pt>
                <c:pt idx="889">
                  <c:v>JUL.24</c:v>
                </c:pt>
                <c:pt idx="890">
                  <c:v>JUL.24</c:v>
                </c:pt>
                <c:pt idx="891">
                  <c:v>JUL.24</c:v>
                </c:pt>
                <c:pt idx="892">
                  <c:v>JUL.24</c:v>
                </c:pt>
                <c:pt idx="893">
                  <c:v>JUL.24</c:v>
                </c:pt>
                <c:pt idx="894">
                  <c:v>JUL.24</c:v>
                </c:pt>
                <c:pt idx="895">
                  <c:v>JUL.24</c:v>
                </c:pt>
                <c:pt idx="896">
                  <c:v>JUL.24</c:v>
                </c:pt>
                <c:pt idx="897">
                  <c:v>JUL.24</c:v>
                </c:pt>
                <c:pt idx="898">
                  <c:v>JUL.24</c:v>
                </c:pt>
                <c:pt idx="899">
                  <c:v>JUL.24</c:v>
                </c:pt>
                <c:pt idx="900">
                  <c:v>JUL.24</c:v>
                </c:pt>
                <c:pt idx="901">
                  <c:v>JUL.24</c:v>
                </c:pt>
                <c:pt idx="902">
                  <c:v>JUL.24</c:v>
                </c:pt>
                <c:pt idx="903">
                  <c:v>JUL.24</c:v>
                </c:pt>
                <c:pt idx="904">
                  <c:v>JUL.24</c:v>
                </c:pt>
                <c:pt idx="905">
                  <c:v>JUL.24</c:v>
                </c:pt>
                <c:pt idx="906">
                  <c:v>JUL.24</c:v>
                </c:pt>
                <c:pt idx="907">
                  <c:v>JUL.24</c:v>
                </c:pt>
                <c:pt idx="908">
                  <c:v>JUL.24</c:v>
                </c:pt>
                <c:pt idx="909">
                  <c:v>JUL.24</c:v>
                </c:pt>
                <c:pt idx="910">
                  <c:v>JUL.24</c:v>
                </c:pt>
                <c:pt idx="911">
                  <c:v>JUL.24</c:v>
                </c:pt>
                <c:pt idx="912">
                  <c:v>JUL.24</c:v>
                </c:pt>
                <c:pt idx="913">
                  <c:v>JUL.24</c:v>
                </c:pt>
                <c:pt idx="914">
                  <c:v>JUL.24</c:v>
                </c:pt>
                <c:pt idx="915">
                  <c:v>JUL.24</c:v>
                </c:pt>
                <c:pt idx="916">
                  <c:v>JUL.24</c:v>
                </c:pt>
                <c:pt idx="917">
                  <c:v>JUL.24</c:v>
                </c:pt>
                <c:pt idx="918">
                  <c:v>JUL.24</c:v>
                </c:pt>
                <c:pt idx="919">
                  <c:v>JUL.24</c:v>
                </c:pt>
                <c:pt idx="920">
                  <c:v>JUL.24</c:v>
                </c:pt>
                <c:pt idx="921">
                  <c:v>JUL.24</c:v>
                </c:pt>
                <c:pt idx="922">
                  <c:v>JUL.24</c:v>
                </c:pt>
                <c:pt idx="923">
                  <c:v>JUL.24</c:v>
                </c:pt>
                <c:pt idx="924">
                  <c:v>JUL.24</c:v>
                </c:pt>
                <c:pt idx="925">
                  <c:v>JUL.24</c:v>
                </c:pt>
                <c:pt idx="926">
                  <c:v>JUL.24</c:v>
                </c:pt>
                <c:pt idx="927">
                  <c:v>JUL.24</c:v>
                </c:pt>
                <c:pt idx="928">
                  <c:v>JUL.24</c:v>
                </c:pt>
                <c:pt idx="929">
                  <c:v>JUL.24</c:v>
                </c:pt>
                <c:pt idx="930">
                  <c:v>JUL.24</c:v>
                </c:pt>
                <c:pt idx="931">
                  <c:v>JUL.24</c:v>
                </c:pt>
                <c:pt idx="932">
                  <c:v>JUL.24</c:v>
                </c:pt>
                <c:pt idx="933">
                  <c:v>JUL.24</c:v>
                </c:pt>
                <c:pt idx="934">
                  <c:v>JUL.24</c:v>
                </c:pt>
                <c:pt idx="935">
                  <c:v>JUL.24</c:v>
                </c:pt>
                <c:pt idx="936">
                  <c:v>JUL.24</c:v>
                </c:pt>
                <c:pt idx="937">
                  <c:v>JUL.24</c:v>
                </c:pt>
                <c:pt idx="938">
                  <c:v>JUL.24</c:v>
                </c:pt>
                <c:pt idx="939">
                  <c:v>JUL.24</c:v>
                </c:pt>
                <c:pt idx="940">
                  <c:v>JUL.24</c:v>
                </c:pt>
                <c:pt idx="941">
                  <c:v>JUL.24</c:v>
                </c:pt>
                <c:pt idx="942">
                  <c:v>JUL.24</c:v>
                </c:pt>
                <c:pt idx="943">
                  <c:v>JUL.24</c:v>
                </c:pt>
                <c:pt idx="944">
                  <c:v>JUL.24</c:v>
                </c:pt>
                <c:pt idx="945">
                  <c:v>JUL.24</c:v>
                </c:pt>
                <c:pt idx="946">
                  <c:v>JUL.24</c:v>
                </c:pt>
                <c:pt idx="947">
                  <c:v>JUL.24</c:v>
                </c:pt>
                <c:pt idx="948">
                  <c:v>JUL.24</c:v>
                </c:pt>
                <c:pt idx="949">
                  <c:v>JUL.24</c:v>
                </c:pt>
                <c:pt idx="950">
                  <c:v>JUL.24</c:v>
                </c:pt>
                <c:pt idx="951">
                  <c:v>JUL.24</c:v>
                </c:pt>
                <c:pt idx="952">
                  <c:v>JUL.24</c:v>
                </c:pt>
                <c:pt idx="953">
                  <c:v>JUL.24</c:v>
                </c:pt>
                <c:pt idx="954">
                  <c:v>JUL.24</c:v>
                </c:pt>
                <c:pt idx="955">
                  <c:v>JUL.24</c:v>
                </c:pt>
                <c:pt idx="956">
                  <c:v>JUL.24</c:v>
                </c:pt>
                <c:pt idx="957">
                  <c:v>JUL.24</c:v>
                </c:pt>
                <c:pt idx="958">
                  <c:v>JUL.24</c:v>
                </c:pt>
                <c:pt idx="959">
                  <c:v>JUL.24</c:v>
                </c:pt>
                <c:pt idx="960">
                  <c:v>JUL.24</c:v>
                </c:pt>
                <c:pt idx="961">
                  <c:v>JUL.24</c:v>
                </c:pt>
                <c:pt idx="962">
                  <c:v>JUL.24</c:v>
                </c:pt>
                <c:pt idx="963">
                  <c:v>JUL.24</c:v>
                </c:pt>
                <c:pt idx="964">
                  <c:v>JUL.24</c:v>
                </c:pt>
                <c:pt idx="965">
                  <c:v>JUL.24</c:v>
                </c:pt>
                <c:pt idx="966">
                  <c:v>JUL.24</c:v>
                </c:pt>
                <c:pt idx="967">
                  <c:v>JUL.24</c:v>
                </c:pt>
                <c:pt idx="968">
                  <c:v>JUL.24</c:v>
                </c:pt>
                <c:pt idx="969">
                  <c:v>JUL.24</c:v>
                </c:pt>
                <c:pt idx="970">
                  <c:v>JUL.24</c:v>
                </c:pt>
                <c:pt idx="971">
                  <c:v>JUL.24</c:v>
                </c:pt>
                <c:pt idx="972">
                  <c:v>JUL.24</c:v>
                </c:pt>
                <c:pt idx="973">
                  <c:v>JUL.24</c:v>
                </c:pt>
                <c:pt idx="974">
                  <c:v>JUL.24</c:v>
                </c:pt>
                <c:pt idx="975">
                  <c:v>JUL.24</c:v>
                </c:pt>
                <c:pt idx="976">
                  <c:v>JUL.24</c:v>
                </c:pt>
                <c:pt idx="977">
                  <c:v>JUL.24</c:v>
                </c:pt>
                <c:pt idx="978">
                  <c:v>JUL.24</c:v>
                </c:pt>
                <c:pt idx="979">
                  <c:v>JUL.24</c:v>
                </c:pt>
                <c:pt idx="980">
                  <c:v>JUL.24</c:v>
                </c:pt>
                <c:pt idx="981">
                  <c:v>JUL.24</c:v>
                </c:pt>
                <c:pt idx="982">
                  <c:v>JUL.24</c:v>
                </c:pt>
                <c:pt idx="983">
                  <c:v>JUL.24</c:v>
                </c:pt>
                <c:pt idx="984">
                  <c:v>JUL.24</c:v>
                </c:pt>
                <c:pt idx="985">
                  <c:v>JUL.24</c:v>
                </c:pt>
                <c:pt idx="986">
                  <c:v>JUL.24</c:v>
                </c:pt>
                <c:pt idx="987">
                  <c:v>JUL.24</c:v>
                </c:pt>
                <c:pt idx="988">
                  <c:v>JUL.24</c:v>
                </c:pt>
                <c:pt idx="989">
                  <c:v>August24 live (R-1) | REDUCE LOT SIZING 2ND HALF AND ONLY EXITS IN 2ND HALF</c:v>
                </c:pt>
                <c:pt idx="990">
                  <c:v>AUG.24</c:v>
                </c:pt>
                <c:pt idx="991">
                  <c:v>AUG.24</c:v>
                </c:pt>
                <c:pt idx="992">
                  <c:v>AUG.24.II</c:v>
                </c:pt>
                <c:pt idx="993">
                  <c:v>AUG.24</c:v>
                </c:pt>
                <c:pt idx="994">
                  <c:v>AUG.24</c:v>
                </c:pt>
                <c:pt idx="995">
                  <c:v>AUG.24</c:v>
                </c:pt>
                <c:pt idx="996">
                  <c:v>AUG.24</c:v>
                </c:pt>
                <c:pt idx="997">
                  <c:v>AUG.24</c:v>
                </c:pt>
                <c:pt idx="998">
                  <c:v>AUG.24</c:v>
                </c:pt>
                <c:pt idx="999">
                  <c:v>AUG.24</c:v>
                </c:pt>
                <c:pt idx="1000">
                  <c:v>AUG.24</c:v>
                </c:pt>
                <c:pt idx="1001">
                  <c:v>AUG.24.II</c:v>
                </c:pt>
                <c:pt idx="1002">
                  <c:v>AUG.24.II</c:v>
                </c:pt>
                <c:pt idx="1003">
                  <c:v>AUG.24</c:v>
                </c:pt>
                <c:pt idx="1004">
                  <c:v>AUG.24</c:v>
                </c:pt>
                <c:pt idx="1005">
                  <c:v>AUG.24</c:v>
                </c:pt>
                <c:pt idx="1006">
                  <c:v>AUG.24.II</c:v>
                </c:pt>
                <c:pt idx="1007">
                  <c:v>AUG.24.II</c:v>
                </c:pt>
                <c:pt idx="1008">
                  <c:v>AUG.24</c:v>
                </c:pt>
                <c:pt idx="1009">
                  <c:v>AUG.24</c:v>
                </c:pt>
                <c:pt idx="1010">
                  <c:v>AUG.24</c:v>
                </c:pt>
                <c:pt idx="1011">
                  <c:v>AUG.24</c:v>
                </c:pt>
                <c:pt idx="1012">
                  <c:v>AUG.24</c:v>
                </c:pt>
                <c:pt idx="1013">
                  <c:v>AUG.24</c:v>
                </c:pt>
                <c:pt idx="1014">
                  <c:v>AUG.24</c:v>
                </c:pt>
                <c:pt idx="1015">
                  <c:v>AUG.24</c:v>
                </c:pt>
                <c:pt idx="1016">
                  <c:v>AUG.24</c:v>
                </c:pt>
                <c:pt idx="1017">
                  <c:v>AUG.24</c:v>
                </c:pt>
                <c:pt idx="1018">
                  <c:v>AUG.24</c:v>
                </c:pt>
                <c:pt idx="1019">
                  <c:v>AUG.24</c:v>
                </c:pt>
                <c:pt idx="1020">
                  <c:v>AUG.24</c:v>
                </c:pt>
                <c:pt idx="1021">
                  <c:v>AUG.24</c:v>
                </c:pt>
                <c:pt idx="1022">
                  <c:v>AUG.24</c:v>
                </c:pt>
                <c:pt idx="1023">
                  <c:v>AUG.24</c:v>
                </c:pt>
                <c:pt idx="1024">
                  <c:v>AUG.24</c:v>
                </c:pt>
                <c:pt idx="1025">
                  <c:v>AUG.24</c:v>
                </c:pt>
                <c:pt idx="1026">
                  <c:v>AUG.24</c:v>
                </c:pt>
                <c:pt idx="1027">
                  <c:v>AUG.24.II</c:v>
                </c:pt>
                <c:pt idx="1028">
                  <c:v>AUG.24</c:v>
                </c:pt>
                <c:pt idx="1029">
                  <c:v>AUG.24</c:v>
                </c:pt>
                <c:pt idx="1030">
                  <c:v>AUG.24</c:v>
                </c:pt>
                <c:pt idx="1031">
                  <c:v>AUG.24</c:v>
                </c:pt>
                <c:pt idx="1032">
                  <c:v>AUG.24</c:v>
                </c:pt>
                <c:pt idx="1033">
                  <c:v>AUG.24</c:v>
                </c:pt>
                <c:pt idx="1034">
                  <c:v>AUG.24</c:v>
                </c:pt>
                <c:pt idx="1035">
                  <c:v>AUG.24</c:v>
                </c:pt>
                <c:pt idx="1036">
                  <c:v>AUG.24</c:v>
                </c:pt>
                <c:pt idx="1037">
                  <c:v>AUG.24</c:v>
                </c:pt>
                <c:pt idx="1038">
                  <c:v>AUG.24</c:v>
                </c:pt>
                <c:pt idx="1039">
                  <c:v>AUG.24</c:v>
                </c:pt>
                <c:pt idx="1040">
                  <c:v>AUG.24</c:v>
                </c:pt>
                <c:pt idx="1041">
                  <c:v>AUG.24</c:v>
                </c:pt>
                <c:pt idx="1042">
                  <c:v>AUG.24</c:v>
                </c:pt>
                <c:pt idx="1043">
                  <c:v>AUG.24</c:v>
                </c:pt>
                <c:pt idx="1044">
                  <c:v>AUG.24</c:v>
                </c:pt>
                <c:pt idx="1045">
                  <c:v>AUG.24</c:v>
                </c:pt>
                <c:pt idx="1046">
                  <c:v>AUG.24</c:v>
                </c:pt>
                <c:pt idx="1047">
                  <c:v>AUG.24</c:v>
                </c:pt>
                <c:pt idx="1048">
                  <c:v>AUG.24</c:v>
                </c:pt>
                <c:pt idx="1049">
                  <c:v>AUG.24</c:v>
                </c:pt>
                <c:pt idx="1050">
                  <c:v>AUG.24</c:v>
                </c:pt>
                <c:pt idx="1051">
                  <c:v>AUG.24</c:v>
                </c:pt>
                <c:pt idx="1052">
                  <c:v>AUG.24</c:v>
                </c:pt>
                <c:pt idx="1053">
                  <c:v>AUG.24</c:v>
                </c:pt>
                <c:pt idx="1054">
                  <c:v>AUG.24</c:v>
                </c:pt>
                <c:pt idx="1055">
                  <c:v>AUG.24</c:v>
                </c:pt>
                <c:pt idx="1056">
                  <c:v>AUG.24</c:v>
                </c:pt>
                <c:pt idx="1057">
                  <c:v>AUG.24</c:v>
                </c:pt>
                <c:pt idx="1058">
                  <c:v>AUG.24</c:v>
                </c:pt>
                <c:pt idx="1059">
                  <c:v>AUG.24</c:v>
                </c:pt>
                <c:pt idx="1060">
                  <c:v>AUG.24</c:v>
                </c:pt>
                <c:pt idx="1061">
                  <c:v>AUG.24</c:v>
                </c:pt>
                <c:pt idx="1062">
                  <c:v>AUG.24</c:v>
                </c:pt>
                <c:pt idx="1063">
                  <c:v>AUG.24</c:v>
                </c:pt>
                <c:pt idx="1064">
                  <c:v>AUG.24</c:v>
                </c:pt>
                <c:pt idx="1065">
                  <c:v>AUG.24</c:v>
                </c:pt>
                <c:pt idx="1066">
                  <c:v>AUG.24</c:v>
                </c:pt>
                <c:pt idx="1067">
                  <c:v>AUG.24</c:v>
                </c:pt>
                <c:pt idx="1068">
                  <c:v>AUG.24</c:v>
                </c:pt>
                <c:pt idx="1069">
                  <c:v>AUG.24</c:v>
                </c:pt>
                <c:pt idx="1070">
                  <c:v>AUG.24</c:v>
                </c:pt>
                <c:pt idx="1071">
                  <c:v>AUG.24</c:v>
                </c:pt>
                <c:pt idx="1072">
                  <c:v>AUG.24</c:v>
                </c:pt>
                <c:pt idx="1073">
                  <c:v>AUG.24</c:v>
                </c:pt>
                <c:pt idx="1074">
                  <c:v>AUG.24</c:v>
                </c:pt>
                <c:pt idx="1075">
                  <c:v>AUG.24</c:v>
                </c:pt>
                <c:pt idx="1076">
                  <c:v>AUG.24</c:v>
                </c:pt>
                <c:pt idx="1077">
                  <c:v>AUG.24</c:v>
                </c:pt>
                <c:pt idx="1078">
                  <c:v>AUG.24</c:v>
                </c:pt>
                <c:pt idx="1079">
                  <c:v>AUG.24</c:v>
                </c:pt>
                <c:pt idx="1080">
                  <c:v>AUG.24</c:v>
                </c:pt>
                <c:pt idx="1081">
                  <c:v>AUG.24</c:v>
                </c:pt>
                <c:pt idx="1082">
                  <c:v>AUG.24</c:v>
                </c:pt>
                <c:pt idx="1083">
                  <c:v>AUG.24</c:v>
                </c:pt>
                <c:pt idx="1084">
                  <c:v>AUG.24</c:v>
                </c:pt>
                <c:pt idx="1085">
                  <c:v>AUG.24</c:v>
                </c:pt>
                <c:pt idx="1086">
                  <c:v>September24 live (R) | REDUCE LOT SIZING 1ST HALF, AVOID POSITIONAL </c:v>
                </c:pt>
                <c:pt idx="1087">
                  <c:v>SEP.24</c:v>
                </c:pt>
                <c:pt idx="1088">
                  <c:v>SEP.24</c:v>
                </c:pt>
                <c:pt idx="1089">
                  <c:v>SEP.24</c:v>
                </c:pt>
                <c:pt idx="1090">
                  <c:v>SEP.24</c:v>
                </c:pt>
                <c:pt idx="1091">
                  <c:v>SEP.24</c:v>
                </c:pt>
                <c:pt idx="1092">
                  <c:v>SEP.24</c:v>
                </c:pt>
                <c:pt idx="1093">
                  <c:v>SEP.24</c:v>
                </c:pt>
                <c:pt idx="1094">
                  <c:v>SEP.24</c:v>
                </c:pt>
                <c:pt idx="1095">
                  <c:v>SEP.24</c:v>
                </c:pt>
                <c:pt idx="1096">
                  <c:v>SEP.24</c:v>
                </c:pt>
                <c:pt idx="1097">
                  <c:v>SEP.24</c:v>
                </c:pt>
                <c:pt idx="1098">
                  <c:v>SEP.24</c:v>
                </c:pt>
                <c:pt idx="1099">
                  <c:v>SEP.24</c:v>
                </c:pt>
                <c:pt idx="1100">
                  <c:v>SEP.24</c:v>
                </c:pt>
                <c:pt idx="1101">
                  <c:v>SEP.24</c:v>
                </c:pt>
                <c:pt idx="1102">
                  <c:v>SEP.24</c:v>
                </c:pt>
                <c:pt idx="1103">
                  <c:v>SEP.24</c:v>
                </c:pt>
                <c:pt idx="1104">
                  <c:v>SEP.24</c:v>
                </c:pt>
                <c:pt idx="1105">
                  <c:v>SEP.24</c:v>
                </c:pt>
                <c:pt idx="1106">
                  <c:v>SEP.24</c:v>
                </c:pt>
                <c:pt idx="1107">
                  <c:v>SEP.24</c:v>
                </c:pt>
                <c:pt idx="1108">
                  <c:v>SEP.24</c:v>
                </c:pt>
                <c:pt idx="1109">
                  <c:v>SEP.24</c:v>
                </c:pt>
                <c:pt idx="1110">
                  <c:v>SEP.24</c:v>
                </c:pt>
                <c:pt idx="1111">
                  <c:v>SEP.24</c:v>
                </c:pt>
                <c:pt idx="1112">
                  <c:v>SEP.24</c:v>
                </c:pt>
                <c:pt idx="1113">
                  <c:v>SEP.24</c:v>
                </c:pt>
                <c:pt idx="1114">
                  <c:v>SEP.24</c:v>
                </c:pt>
                <c:pt idx="1115">
                  <c:v>SEP.24</c:v>
                </c:pt>
                <c:pt idx="1116">
                  <c:v>SEP.24</c:v>
                </c:pt>
                <c:pt idx="1117">
                  <c:v>SEP.24</c:v>
                </c:pt>
                <c:pt idx="1118">
                  <c:v>SEP.24</c:v>
                </c:pt>
                <c:pt idx="1119">
                  <c:v>SEP.24</c:v>
                </c:pt>
                <c:pt idx="1120">
                  <c:v>SEP.24</c:v>
                </c:pt>
                <c:pt idx="1121">
                  <c:v>SEP.24</c:v>
                </c:pt>
                <c:pt idx="1122">
                  <c:v>SEP.24</c:v>
                </c:pt>
                <c:pt idx="1123">
                  <c:v>SEP.24</c:v>
                </c:pt>
                <c:pt idx="1124">
                  <c:v>SEP.24</c:v>
                </c:pt>
                <c:pt idx="1125">
                  <c:v>October24 live (R+1) | REDUCE INTRADAY &gt;1D TRADES</c:v>
                </c:pt>
                <c:pt idx="1126">
                  <c:v>OCT.24</c:v>
                </c:pt>
                <c:pt idx="1127">
                  <c:v>OCT.24</c:v>
                </c:pt>
                <c:pt idx="1128">
                  <c:v>OCT.24</c:v>
                </c:pt>
                <c:pt idx="1129">
                  <c:v>OCT.24</c:v>
                </c:pt>
                <c:pt idx="1130">
                  <c:v>OCT.24</c:v>
                </c:pt>
                <c:pt idx="1131">
                  <c:v>OCT.24</c:v>
                </c:pt>
                <c:pt idx="1132">
                  <c:v>OCT.24</c:v>
                </c:pt>
                <c:pt idx="1133">
                  <c:v>OCT.24</c:v>
                </c:pt>
                <c:pt idx="1134">
                  <c:v>OCT.24</c:v>
                </c:pt>
                <c:pt idx="1135">
                  <c:v>OCT.24</c:v>
                </c:pt>
                <c:pt idx="1136">
                  <c:v>OCT.24</c:v>
                </c:pt>
                <c:pt idx="1137">
                  <c:v>OCT.24</c:v>
                </c:pt>
                <c:pt idx="1138">
                  <c:v>OCT.24</c:v>
                </c:pt>
                <c:pt idx="1139">
                  <c:v>OCT.24</c:v>
                </c:pt>
                <c:pt idx="1140">
                  <c:v>OCT.24</c:v>
                </c:pt>
                <c:pt idx="1141">
                  <c:v>OCT.24</c:v>
                </c:pt>
                <c:pt idx="1142">
                  <c:v>OCT.24</c:v>
                </c:pt>
                <c:pt idx="1143">
                  <c:v>OCT.24</c:v>
                </c:pt>
                <c:pt idx="1144">
                  <c:v>OCT.24</c:v>
                </c:pt>
                <c:pt idx="1145">
                  <c:v>OCT.24</c:v>
                </c:pt>
                <c:pt idx="1146">
                  <c:v>OCT.24</c:v>
                </c:pt>
                <c:pt idx="1147">
                  <c:v>OCT.24</c:v>
                </c:pt>
                <c:pt idx="1148">
                  <c:v>OCT.24</c:v>
                </c:pt>
                <c:pt idx="1149">
                  <c:v>OCT.24</c:v>
                </c:pt>
                <c:pt idx="1150">
                  <c:v>OCT.24</c:v>
                </c:pt>
                <c:pt idx="1151">
                  <c:v>OCT.24</c:v>
                </c:pt>
                <c:pt idx="1152">
                  <c:v>OCT.24</c:v>
                </c:pt>
                <c:pt idx="1153">
                  <c:v>OCT.24</c:v>
                </c:pt>
                <c:pt idx="1154">
                  <c:v>OCT.24</c:v>
                </c:pt>
                <c:pt idx="1155">
                  <c:v>OCT.24</c:v>
                </c:pt>
                <c:pt idx="1156">
                  <c:v>OCT.24</c:v>
                </c:pt>
                <c:pt idx="1157">
                  <c:v>OCT.24</c:v>
                </c:pt>
                <c:pt idx="1158">
                  <c:v>OCT.24</c:v>
                </c:pt>
                <c:pt idx="1159">
                  <c:v>OCT.24</c:v>
                </c:pt>
                <c:pt idx="1160">
                  <c:v>OCT.24</c:v>
                </c:pt>
                <c:pt idx="1161">
                  <c:v>OCT.24</c:v>
                </c:pt>
                <c:pt idx="1162">
                  <c:v>OCT.24</c:v>
                </c:pt>
                <c:pt idx="1163">
                  <c:v>OCT.24</c:v>
                </c:pt>
                <c:pt idx="1164">
                  <c:v>OCT.24</c:v>
                </c:pt>
                <c:pt idx="1165">
                  <c:v>OCT.24</c:v>
                </c:pt>
                <c:pt idx="1166">
                  <c:v>OCT.24</c:v>
                </c:pt>
                <c:pt idx="1167">
                  <c:v>OCT.24</c:v>
                </c:pt>
                <c:pt idx="1168">
                  <c:v>OCT.24</c:v>
                </c:pt>
                <c:pt idx="1169">
                  <c:v>OCT.24</c:v>
                </c:pt>
                <c:pt idx="1170">
                  <c:v>OCT.24</c:v>
                </c:pt>
                <c:pt idx="1171">
                  <c:v>OCT.24</c:v>
                </c:pt>
                <c:pt idx="1172">
                  <c:v>OCT.24</c:v>
                </c:pt>
                <c:pt idx="1173">
                  <c:v>OCT.24</c:v>
                </c:pt>
                <c:pt idx="1174">
                  <c:v>OCT.24</c:v>
                </c:pt>
                <c:pt idx="1175">
                  <c:v>OCT.24</c:v>
                </c:pt>
                <c:pt idx="1176">
                  <c:v>OCT.24</c:v>
                </c:pt>
                <c:pt idx="1177">
                  <c:v>OCT.24</c:v>
                </c:pt>
                <c:pt idx="1178">
                  <c:v>OCT.24</c:v>
                </c:pt>
                <c:pt idx="1179">
                  <c:v>OCT.24</c:v>
                </c:pt>
                <c:pt idx="1180">
                  <c:v>OCT.24</c:v>
                </c:pt>
                <c:pt idx="1181">
                  <c:v>OCT.24</c:v>
                </c:pt>
                <c:pt idx="1182">
                  <c:v>OCT.24</c:v>
                </c:pt>
                <c:pt idx="1183">
                  <c:v>OCT.24</c:v>
                </c:pt>
                <c:pt idx="1184">
                  <c:v>OCT.24</c:v>
                </c:pt>
                <c:pt idx="1185">
                  <c:v>OCT.24</c:v>
                </c:pt>
                <c:pt idx="1186">
                  <c:v>OCT.24</c:v>
                </c:pt>
                <c:pt idx="1187">
                  <c:v>OCT.24</c:v>
                </c:pt>
                <c:pt idx="1188">
                  <c:v>OCT.24</c:v>
                </c:pt>
                <c:pt idx="1189">
                  <c:v>OCT.24</c:v>
                </c:pt>
                <c:pt idx="1190">
                  <c:v>OCT.24</c:v>
                </c:pt>
                <c:pt idx="1191">
                  <c:v>OCT.24</c:v>
                </c:pt>
                <c:pt idx="1192">
                  <c:v>OCT.24</c:v>
                </c:pt>
                <c:pt idx="1193">
                  <c:v>OCT.24</c:v>
                </c:pt>
                <c:pt idx="1194">
                  <c:v>OCT.24</c:v>
                </c:pt>
                <c:pt idx="1195">
                  <c:v>OCT.24</c:v>
                </c:pt>
                <c:pt idx="1196">
                  <c:v>OCT.24</c:v>
                </c:pt>
                <c:pt idx="1197">
                  <c:v>OCT.24</c:v>
                </c:pt>
                <c:pt idx="1198">
                  <c:v>OCT.24</c:v>
                </c:pt>
                <c:pt idx="1199">
                  <c:v>OCT.24</c:v>
                </c:pt>
                <c:pt idx="1200">
                  <c:v>OCT.24</c:v>
                </c:pt>
                <c:pt idx="1201">
                  <c:v>OCT.24</c:v>
                </c:pt>
                <c:pt idx="1202">
                  <c:v>OCT.24</c:v>
                </c:pt>
                <c:pt idx="1203">
                  <c:v>OCT.24</c:v>
                </c:pt>
                <c:pt idx="1204">
                  <c:v>OCT.24</c:v>
                </c:pt>
                <c:pt idx="1205">
                  <c:v>OCT.24</c:v>
                </c:pt>
                <c:pt idx="1206">
                  <c:v>OCT.24</c:v>
                </c:pt>
                <c:pt idx="1207">
                  <c:v>OCT.24</c:v>
                </c:pt>
                <c:pt idx="1208">
                  <c:v>OCT.24</c:v>
                </c:pt>
                <c:pt idx="1209">
                  <c:v>OCT.24</c:v>
                </c:pt>
                <c:pt idx="1210">
                  <c:v>OCT.24</c:v>
                </c:pt>
                <c:pt idx="1211">
                  <c:v>OCT.24</c:v>
                </c:pt>
                <c:pt idx="1212">
                  <c:v>OCT.24</c:v>
                </c:pt>
                <c:pt idx="1213">
                  <c:v>OCT.24</c:v>
                </c:pt>
                <c:pt idx="1214">
                  <c:v>November24 live EPILOGUE 1</c:v>
                </c:pt>
                <c:pt idx="1215">
                  <c:v>NOV.24</c:v>
                </c:pt>
                <c:pt idx="1216">
                  <c:v>NOV.24</c:v>
                </c:pt>
                <c:pt idx="1217">
                  <c:v>NOV.24</c:v>
                </c:pt>
                <c:pt idx="1218">
                  <c:v>NOV.24</c:v>
                </c:pt>
                <c:pt idx="1219">
                  <c:v>NOV.24</c:v>
                </c:pt>
                <c:pt idx="1220">
                  <c:v>NOV.24</c:v>
                </c:pt>
                <c:pt idx="1221">
                  <c:v>NOV.24</c:v>
                </c:pt>
                <c:pt idx="1222">
                  <c:v>NOV.24</c:v>
                </c:pt>
                <c:pt idx="1223">
                  <c:v>NOV.24</c:v>
                </c:pt>
                <c:pt idx="1224">
                  <c:v>NOV.24</c:v>
                </c:pt>
                <c:pt idx="1225">
                  <c:v>NOV.24</c:v>
                </c:pt>
                <c:pt idx="1226">
                  <c:v>NOV.24</c:v>
                </c:pt>
                <c:pt idx="1227">
                  <c:v>NOV.24</c:v>
                </c:pt>
                <c:pt idx="1228">
                  <c:v>NOV.24</c:v>
                </c:pt>
                <c:pt idx="1229">
                  <c:v>NOV.24</c:v>
                </c:pt>
                <c:pt idx="1230">
                  <c:v>NOV.24</c:v>
                </c:pt>
                <c:pt idx="1231">
                  <c:v>NOV.24</c:v>
                </c:pt>
                <c:pt idx="1232">
                  <c:v>NOV.24</c:v>
                </c:pt>
                <c:pt idx="1233">
                  <c:v>NOV.24</c:v>
                </c:pt>
                <c:pt idx="1234">
                  <c:v>NOV.24</c:v>
                </c:pt>
                <c:pt idx="1235">
                  <c:v>NOV.24</c:v>
                </c:pt>
                <c:pt idx="1236">
                  <c:v>NOV.24</c:v>
                </c:pt>
                <c:pt idx="1237">
                  <c:v>NOV.24</c:v>
                </c:pt>
              </c:strCache>
            </c:strRef>
          </c:cat>
          <c:val>
            <c:numRef>
              <c:f>'Journal Live'!$BV$1388:$BV$2630</c:f>
              <c:numCache>
                <c:formatCode>General</c:formatCode>
                <c:ptCount val="1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272.00000000000006</c:v>
                </c:pt>
                <c:pt idx="27">
                  <c:v>272.00000000000006</c:v>
                </c:pt>
                <c:pt idx="28">
                  <c:v>272.00000000000006</c:v>
                </c:pt>
                <c:pt idx="29">
                  <c:v>272.00000000000006</c:v>
                </c:pt>
                <c:pt idx="30">
                  <c:v>272.00000000000006</c:v>
                </c:pt>
                <c:pt idx="31">
                  <c:v>272.00000000000006</c:v>
                </c:pt>
                <c:pt idx="32">
                  <c:v>272.00000000000006</c:v>
                </c:pt>
                <c:pt idx="33">
                  <c:v>272.00000000000006</c:v>
                </c:pt>
                <c:pt idx="34">
                  <c:v>272.00000000000006</c:v>
                </c:pt>
                <c:pt idx="35">
                  <c:v>560.00000000000011</c:v>
                </c:pt>
                <c:pt idx="36">
                  <c:v>560.00000000000011</c:v>
                </c:pt>
                <c:pt idx="37">
                  <c:v>560.00000000000011</c:v>
                </c:pt>
                <c:pt idx="38">
                  <c:v>560.00000000000011</c:v>
                </c:pt>
                <c:pt idx="39">
                  <c:v>560.00000000000011</c:v>
                </c:pt>
                <c:pt idx="40">
                  <c:v>560.00000000000011</c:v>
                </c:pt>
                <c:pt idx="41">
                  <c:v>560.00000000000011</c:v>
                </c:pt>
                <c:pt idx="42">
                  <c:v>560.00000000000011</c:v>
                </c:pt>
                <c:pt idx="43">
                  <c:v>560.00000000000011</c:v>
                </c:pt>
                <c:pt idx="44">
                  <c:v>560.00000000000011</c:v>
                </c:pt>
                <c:pt idx="45">
                  <c:v>560.00000000000011</c:v>
                </c:pt>
                <c:pt idx="46">
                  <c:v>560.00000000000011</c:v>
                </c:pt>
                <c:pt idx="47">
                  <c:v>1174.4000000000001</c:v>
                </c:pt>
                <c:pt idx="48">
                  <c:v>1174.4000000000001</c:v>
                </c:pt>
                <c:pt idx="49">
                  <c:v>1174.4000000000001</c:v>
                </c:pt>
                <c:pt idx="50">
                  <c:v>1174.4000000000001</c:v>
                </c:pt>
                <c:pt idx="51">
                  <c:v>1174.4000000000001</c:v>
                </c:pt>
                <c:pt idx="52">
                  <c:v>1174.4000000000001</c:v>
                </c:pt>
                <c:pt idx="53">
                  <c:v>1174.4000000000001</c:v>
                </c:pt>
                <c:pt idx="54">
                  <c:v>1174.4000000000001</c:v>
                </c:pt>
                <c:pt idx="55">
                  <c:v>1174.4000000000001</c:v>
                </c:pt>
                <c:pt idx="56">
                  <c:v>1174.4000000000001</c:v>
                </c:pt>
                <c:pt idx="57">
                  <c:v>1174.4000000000001</c:v>
                </c:pt>
                <c:pt idx="58">
                  <c:v>1174.4000000000001</c:v>
                </c:pt>
                <c:pt idx="59">
                  <c:v>1174.4000000000001</c:v>
                </c:pt>
                <c:pt idx="60">
                  <c:v>1174.4000000000001</c:v>
                </c:pt>
                <c:pt idx="61">
                  <c:v>1174.4000000000001</c:v>
                </c:pt>
                <c:pt idx="62">
                  <c:v>1174.4000000000001</c:v>
                </c:pt>
                <c:pt idx="63">
                  <c:v>1686.3999999999999</c:v>
                </c:pt>
                <c:pt idx="64">
                  <c:v>1686.3999999999999</c:v>
                </c:pt>
                <c:pt idx="65">
                  <c:v>1686.3999999999999</c:v>
                </c:pt>
                <c:pt idx="66">
                  <c:v>1686.3999999999999</c:v>
                </c:pt>
                <c:pt idx="67">
                  <c:v>1686.3999999999999</c:v>
                </c:pt>
                <c:pt idx="68">
                  <c:v>1686.3999999999999</c:v>
                </c:pt>
                <c:pt idx="69">
                  <c:v>1686.3999999999999</c:v>
                </c:pt>
                <c:pt idx="70">
                  <c:v>2038.3999999999999</c:v>
                </c:pt>
                <c:pt idx="71">
                  <c:v>2038.3999999999999</c:v>
                </c:pt>
                <c:pt idx="72">
                  <c:v>2038.3999999999999</c:v>
                </c:pt>
                <c:pt idx="73">
                  <c:v>2038.3999999999999</c:v>
                </c:pt>
                <c:pt idx="74">
                  <c:v>2038.3999999999999</c:v>
                </c:pt>
                <c:pt idx="75">
                  <c:v>2038.3999999999999</c:v>
                </c:pt>
                <c:pt idx="76">
                  <c:v>2038.3999999999999</c:v>
                </c:pt>
                <c:pt idx="77">
                  <c:v>2038.3999999999999</c:v>
                </c:pt>
                <c:pt idx="78">
                  <c:v>2038.3999999999999</c:v>
                </c:pt>
                <c:pt idx="79">
                  <c:v>2038.3999999999999</c:v>
                </c:pt>
                <c:pt idx="80">
                  <c:v>2038.3999999999999</c:v>
                </c:pt>
                <c:pt idx="81">
                  <c:v>2038.3999999999999</c:v>
                </c:pt>
                <c:pt idx="82">
                  <c:v>2038.3999999999999</c:v>
                </c:pt>
                <c:pt idx="83">
                  <c:v>2038.3999999999999</c:v>
                </c:pt>
                <c:pt idx="84">
                  <c:v>2038.3999999999999</c:v>
                </c:pt>
                <c:pt idx="85">
                  <c:v>2038.3999999999999</c:v>
                </c:pt>
                <c:pt idx="86">
                  <c:v>2038.3999999999999</c:v>
                </c:pt>
                <c:pt idx="87">
                  <c:v>2038.3999999999999</c:v>
                </c:pt>
                <c:pt idx="88">
                  <c:v>2038.3999999999999</c:v>
                </c:pt>
                <c:pt idx="89">
                  <c:v>2038.3999999999999</c:v>
                </c:pt>
                <c:pt idx="90">
                  <c:v>2038.3999999999999</c:v>
                </c:pt>
                <c:pt idx="91">
                  <c:v>2038.3999999999999</c:v>
                </c:pt>
                <c:pt idx="92">
                  <c:v>2038.3999999999999</c:v>
                </c:pt>
                <c:pt idx="93">
                  <c:v>2038.3999999999999</c:v>
                </c:pt>
                <c:pt idx="94">
                  <c:v>2038.3999999999999</c:v>
                </c:pt>
                <c:pt idx="95">
                  <c:v>3990.3999999999996</c:v>
                </c:pt>
                <c:pt idx="96">
                  <c:v>3990.3999999999996</c:v>
                </c:pt>
                <c:pt idx="97">
                  <c:v>3990.3999999999996</c:v>
                </c:pt>
                <c:pt idx="98">
                  <c:v>3990.3999999999996</c:v>
                </c:pt>
                <c:pt idx="99">
                  <c:v>3990.3999999999996</c:v>
                </c:pt>
                <c:pt idx="100">
                  <c:v>3990.3999999999996</c:v>
                </c:pt>
                <c:pt idx="101">
                  <c:v>3990.3999999999996</c:v>
                </c:pt>
                <c:pt idx="102">
                  <c:v>3990.3999999999996</c:v>
                </c:pt>
                <c:pt idx="103">
                  <c:v>3990.3999999999996</c:v>
                </c:pt>
                <c:pt idx="104">
                  <c:v>3990.3999999999996</c:v>
                </c:pt>
                <c:pt idx="105">
                  <c:v>3990.3999999999996</c:v>
                </c:pt>
                <c:pt idx="106">
                  <c:v>3990.3999999999996</c:v>
                </c:pt>
                <c:pt idx="107">
                  <c:v>3990.3999999999996</c:v>
                </c:pt>
                <c:pt idx="108">
                  <c:v>3990.3999999999996</c:v>
                </c:pt>
                <c:pt idx="109">
                  <c:v>3990.3999999999996</c:v>
                </c:pt>
                <c:pt idx="110">
                  <c:v>3990.3999999999996</c:v>
                </c:pt>
                <c:pt idx="111">
                  <c:v>3990.3999999999996</c:v>
                </c:pt>
                <c:pt idx="112">
                  <c:v>3990.3999999999996</c:v>
                </c:pt>
                <c:pt idx="113">
                  <c:v>3990.3999999999996</c:v>
                </c:pt>
                <c:pt idx="114">
                  <c:v>3990.3999999999996</c:v>
                </c:pt>
                <c:pt idx="115">
                  <c:v>3990.3999999999996</c:v>
                </c:pt>
                <c:pt idx="116">
                  <c:v>3990.3999999999996</c:v>
                </c:pt>
                <c:pt idx="117">
                  <c:v>3990.3999999999996</c:v>
                </c:pt>
                <c:pt idx="118">
                  <c:v>3990.3999999999996</c:v>
                </c:pt>
                <c:pt idx="119">
                  <c:v>3990.3999999999996</c:v>
                </c:pt>
                <c:pt idx="120">
                  <c:v>3990.3999999999996</c:v>
                </c:pt>
                <c:pt idx="121">
                  <c:v>3990.3999999999996</c:v>
                </c:pt>
                <c:pt idx="122">
                  <c:v>3990.3999999999996</c:v>
                </c:pt>
                <c:pt idx="123">
                  <c:v>3990.3999999999996</c:v>
                </c:pt>
                <c:pt idx="124">
                  <c:v>3990.3999999999996</c:v>
                </c:pt>
                <c:pt idx="125">
                  <c:v>3990.3999999999996</c:v>
                </c:pt>
                <c:pt idx="126">
                  <c:v>3990.3999999999996</c:v>
                </c:pt>
                <c:pt idx="127">
                  <c:v>3990.3999999999996</c:v>
                </c:pt>
                <c:pt idx="128">
                  <c:v>3990.3999999999996</c:v>
                </c:pt>
                <c:pt idx="129">
                  <c:v>3990.3999999999996</c:v>
                </c:pt>
                <c:pt idx="130">
                  <c:v>3990.3999999999996</c:v>
                </c:pt>
                <c:pt idx="131">
                  <c:v>3990.3999999999996</c:v>
                </c:pt>
                <c:pt idx="132">
                  <c:v>3990.3999999999996</c:v>
                </c:pt>
                <c:pt idx="133">
                  <c:v>3990.3999999999996</c:v>
                </c:pt>
                <c:pt idx="134">
                  <c:v>3990.3999999999996</c:v>
                </c:pt>
                <c:pt idx="135">
                  <c:v>3990.3999999999996</c:v>
                </c:pt>
                <c:pt idx="136">
                  <c:v>3990.3999999999996</c:v>
                </c:pt>
                <c:pt idx="137">
                  <c:v>3686.3999999999996</c:v>
                </c:pt>
                <c:pt idx="138">
                  <c:v>3686.3999999999996</c:v>
                </c:pt>
                <c:pt idx="139">
                  <c:v>3686.3999999999996</c:v>
                </c:pt>
                <c:pt idx="140">
                  <c:v>4580.3999999999996</c:v>
                </c:pt>
                <c:pt idx="141">
                  <c:v>4580.3999999999996</c:v>
                </c:pt>
                <c:pt idx="142">
                  <c:v>4580.3999999999996</c:v>
                </c:pt>
                <c:pt idx="143">
                  <c:v>4580.3999999999996</c:v>
                </c:pt>
                <c:pt idx="144">
                  <c:v>4580.3999999999996</c:v>
                </c:pt>
                <c:pt idx="145">
                  <c:v>4580.3999999999996</c:v>
                </c:pt>
                <c:pt idx="146">
                  <c:v>4580.3999999999996</c:v>
                </c:pt>
                <c:pt idx="147">
                  <c:v>4580.3999999999996</c:v>
                </c:pt>
                <c:pt idx="148">
                  <c:v>4580.3999999999996</c:v>
                </c:pt>
                <c:pt idx="149">
                  <c:v>4580.3999999999996</c:v>
                </c:pt>
                <c:pt idx="150">
                  <c:v>4580.3999999999996</c:v>
                </c:pt>
                <c:pt idx="151">
                  <c:v>4580.3999999999996</c:v>
                </c:pt>
                <c:pt idx="152">
                  <c:v>4580.3999999999996</c:v>
                </c:pt>
                <c:pt idx="153">
                  <c:v>4580.3999999999996</c:v>
                </c:pt>
                <c:pt idx="154">
                  <c:v>4580.3999999999996</c:v>
                </c:pt>
                <c:pt idx="155">
                  <c:v>4580.3999999999996</c:v>
                </c:pt>
                <c:pt idx="156">
                  <c:v>4580.3999999999996</c:v>
                </c:pt>
                <c:pt idx="157">
                  <c:v>7012.4000000000005</c:v>
                </c:pt>
                <c:pt idx="158">
                  <c:v>7012.4000000000005</c:v>
                </c:pt>
                <c:pt idx="159">
                  <c:v>7012.4000000000005</c:v>
                </c:pt>
                <c:pt idx="160">
                  <c:v>7012.4000000000005</c:v>
                </c:pt>
                <c:pt idx="161">
                  <c:v>7012.4000000000005</c:v>
                </c:pt>
                <c:pt idx="162">
                  <c:v>7012.4000000000005</c:v>
                </c:pt>
                <c:pt idx="163">
                  <c:v>7012.4000000000005</c:v>
                </c:pt>
                <c:pt idx="164">
                  <c:v>7012.4000000000005</c:v>
                </c:pt>
                <c:pt idx="165">
                  <c:v>7012.4000000000005</c:v>
                </c:pt>
                <c:pt idx="166">
                  <c:v>7012.4000000000005</c:v>
                </c:pt>
                <c:pt idx="167">
                  <c:v>7012.4000000000005</c:v>
                </c:pt>
                <c:pt idx="168">
                  <c:v>7012.4000000000005</c:v>
                </c:pt>
                <c:pt idx="169">
                  <c:v>7012.4000000000005</c:v>
                </c:pt>
                <c:pt idx="170">
                  <c:v>7012.4000000000005</c:v>
                </c:pt>
                <c:pt idx="171">
                  <c:v>7012.4000000000005</c:v>
                </c:pt>
                <c:pt idx="172">
                  <c:v>7012.4000000000005</c:v>
                </c:pt>
                <c:pt idx="173">
                  <c:v>7012.4000000000005</c:v>
                </c:pt>
                <c:pt idx="174">
                  <c:v>7012.4000000000005</c:v>
                </c:pt>
                <c:pt idx="175">
                  <c:v>7012.4000000000005</c:v>
                </c:pt>
                <c:pt idx="176">
                  <c:v>7012.4000000000005</c:v>
                </c:pt>
                <c:pt idx="177">
                  <c:v>8164.4000000000005</c:v>
                </c:pt>
                <c:pt idx="178">
                  <c:v>8164.4000000000005</c:v>
                </c:pt>
                <c:pt idx="179">
                  <c:v>6564.4</c:v>
                </c:pt>
                <c:pt idx="180">
                  <c:v>8164.4000000000005</c:v>
                </c:pt>
                <c:pt idx="181">
                  <c:v>8164.4000000000005</c:v>
                </c:pt>
                <c:pt idx="182">
                  <c:v>8164.4000000000005</c:v>
                </c:pt>
                <c:pt idx="183">
                  <c:v>8164.4000000000005</c:v>
                </c:pt>
                <c:pt idx="184">
                  <c:v>8164.4000000000005</c:v>
                </c:pt>
                <c:pt idx="185">
                  <c:v>8164.4000000000005</c:v>
                </c:pt>
                <c:pt idx="186">
                  <c:v>8164.4000000000005</c:v>
                </c:pt>
                <c:pt idx="187">
                  <c:v>8164.4000000000005</c:v>
                </c:pt>
                <c:pt idx="188">
                  <c:v>8164.4000000000005</c:v>
                </c:pt>
                <c:pt idx="189">
                  <c:v>8164.4000000000005</c:v>
                </c:pt>
                <c:pt idx="190">
                  <c:v>8164.4000000000005</c:v>
                </c:pt>
                <c:pt idx="191">
                  <c:v>8164.4000000000005</c:v>
                </c:pt>
                <c:pt idx="192">
                  <c:v>6564.4</c:v>
                </c:pt>
                <c:pt idx="193">
                  <c:v>8164.4000000000005</c:v>
                </c:pt>
                <c:pt idx="194">
                  <c:v>8164.4000000000005</c:v>
                </c:pt>
                <c:pt idx="195">
                  <c:v>6564.4</c:v>
                </c:pt>
                <c:pt idx="196">
                  <c:v>6564.4</c:v>
                </c:pt>
                <c:pt idx="197">
                  <c:v>6564.4</c:v>
                </c:pt>
                <c:pt idx="198">
                  <c:v>6564.4</c:v>
                </c:pt>
                <c:pt idx="199">
                  <c:v>6564.4</c:v>
                </c:pt>
                <c:pt idx="200">
                  <c:v>6564.4</c:v>
                </c:pt>
                <c:pt idx="201">
                  <c:v>6564.4</c:v>
                </c:pt>
                <c:pt idx="202">
                  <c:v>6564.4</c:v>
                </c:pt>
                <c:pt idx="203">
                  <c:v>6564.4</c:v>
                </c:pt>
                <c:pt idx="204">
                  <c:v>6564.4</c:v>
                </c:pt>
                <c:pt idx="205">
                  <c:v>6564.4</c:v>
                </c:pt>
                <c:pt idx="206">
                  <c:v>6564.4</c:v>
                </c:pt>
                <c:pt idx="207">
                  <c:v>6564.4</c:v>
                </c:pt>
                <c:pt idx="208">
                  <c:v>6564.4</c:v>
                </c:pt>
                <c:pt idx="209">
                  <c:v>6564.4</c:v>
                </c:pt>
                <c:pt idx="210">
                  <c:v>6564.4</c:v>
                </c:pt>
                <c:pt idx="211">
                  <c:v>6564.4</c:v>
                </c:pt>
                <c:pt idx="212">
                  <c:v>6564.4</c:v>
                </c:pt>
                <c:pt idx="213">
                  <c:v>6564.4</c:v>
                </c:pt>
                <c:pt idx="214">
                  <c:v>6564.4</c:v>
                </c:pt>
                <c:pt idx="215">
                  <c:v>6564.4</c:v>
                </c:pt>
                <c:pt idx="216">
                  <c:v>6564.4</c:v>
                </c:pt>
                <c:pt idx="217">
                  <c:v>6564.4</c:v>
                </c:pt>
                <c:pt idx="218">
                  <c:v>6564.4</c:v>
                </c:pt>
                <c:pt idx="219">
                  <c:v>6564.4</c:v>
                </c:pt>
                <c:pt idx="220">
                  <c:v>6564.4</c:v>
                </c:pt>
                <c:pt idx="221">
                  <c:v>6564.4</c:v>
                </c:pt>
                <c:pt idx="222">
                  <c:v>6564.4</c:v>
                </c:pt>
                <c:pt idx="223">
                  <c:v>6564.4</c:v>
                </c:pt>
                <c:pt idx="224">
                  <c:v>6564.4</c:v>
                </c:pt>
                <c:pt idx="225">
                  <c:v>6564.4</c:v>
                </c:pt>
                <c:pt idx="226">
                  <c:v>6564.4</c:v>
                </c:pt>
                <c:pt idx="227">
                  <c:v>6564.4</c:v>
                </c:pt>
                <c:pt idx="228">
                  <c:v>6564.4</c:v>
                </c:pt>
                <c:pt idx="229">
                  <c:v>6564.4</c:v>
                </c:pt>
                <c:pt idx="230">
                  <c:v>6564.4</c:v>
                </c:pt>
                <c:pt idx="231">
                  <c:v>6564.4</c:v>
                </c:pt>
                <c:pt idx="232">
                  <c:v>6564.4</c:v>
                </c:pt>
                <c:pt idx="233">
                  <c:v>6564.4</c:v>
                </c:pt>
                <c:pt idx="234">
                  <c:v>6564.4</c:v>
                </c:pt>
                <c:pt idx="235">
                  <c:v>6564.4</c:v>
                </c:pt>
                <c:pt idx="236">
                  <c:v>6564.4</c:v>
                </c:pt>
                <c:pt idx="237">
                  <c:v>6564.4</c:v>
                </c:pt>
                <c:pt idx="238">
                  <c:v>6564.4</c:v>
                </c:pt>
                <c:pt idx="239">
                  <c:v>6564.4</c:v>
                </c:pt>
                <c:pt idx="240">
                  <c:v>6564.4</c:v>
                </c:pt>
                <c:pt idx="241">
                  <c:v>6564.4</c:v>
                </c:pt>
                <c:pt idx="242">
                  <c:v>6564.4</c:v>
                </c:pt>
                <c:pt idx="243">
                  <c:v>6564.4</c:v>
                </c:pt>
                <c:pt idx="244">
                  <c:v>6564.4</c:v>
                </c:pt>
                <c:pt idx="245">
                  <c:v>6564.4</c:v>
                </c:pt>
                <c:pt idx="246">
                  <c:v>6564.4</c:v>
                </c:pt>
                <c:pt idx="247">
                  <c:v>6564.4</c:v>
                </c:pt>
                <c:pt idx="248">
                  <c:v>6564.4</c:v>
                </c:pt>
                <c:pt idx="249">
                  <c:v>6564.4</c:v>
                </c:pt>
                <c:pt idx="250">
                  <c:v>6564.4</c:v>
                </c:pt>
                <c:pt idx="251">
                  <c:v>6564.4</c:v>
                </c:pt>
                <c:pt idx="252">
                  <c:v>6564.4</c:v>
                </c:pt>
                <c:pt idx="253">
                  <c:v>6564.4</c:v>
                </c:pt>
                <c:pt idx="254">
                  <c:v>6564.4</c:v>
                </c:pt>
                <c:pt idx="255">
                  <c:v>6564.4</c:v>
                </c:pt>
                <c:pt idx="256">
                  <c:v>6564.4</c:v>
                </c:pt>
                <c:pt idx="257">
                  <c:v>6564.4</c:v>
                </c:pt>
                <c:pt idx="258">
                  <c:v>6564.4</c:v>
                </c:pt>
                <c:pt idx="259">
                  <c:v>6564.4</c:v>
                </c:pt>
                <c:pt idx="260">
                  <c:v>6564.4</c:v>
                </c:pt>
                <c:pt idx="261">
                  <c:v>6564.4</c:v>
                </c:pt>
                <c:pt idx="262">
                  <c:v>6564.4</c:v>
                </c:pt>
                <c:pt idx="263">
                  <c:v>6564.4</c:v>
                </c:pt>
                <c:pt idx="264">
                  <c:v>6564.4</c:v>
                </c:pt>
                <c:pt idx="265">
                  <c:v>6564.4</c:v>
                </c:pt>
                <c:pt idx="266">
                  <c:v>9124.4</c:v>
                </c:pt>
                <c:pt idx="267">
                  <c:v>9124.4</c:v>
                </c:pt>
                <c:pt idx="268">
                  <c:v>9124.4</c:v>
                </c:pt>
                <c:pt idx="269">
                  <c:v>9124.4</c:v>
                </c:pt>
                <c:pt idx="270">
                  <c:v>9124.4</c:v>
                </c:pt>
                <c:pt idx="271">
                  <c:v>9124.4</c:v>
                </c:pt>
                <c:pt idx="272">
                  <c:v>9124.4</c:v>
                </c:pt>
                <c:pt idx="273">
                  <c:v>9124.4</c:v>
                </c:pt>
                <c:pt idx="274">
                  <c:v>9124.4</c:v>
                </c:pt>
                <c:pt idx="275">
                  <c:v>9124.4</c:v>
                </c:pt>
                <c:pt idx="276">
                  <c:v>9124.4</c:v>
                </c:pt>
                <c:pt idx="277">
                  <c:v>9124.4</c:v>
                </c:pt>
                <c:pt idx="278">
                  <c:v>9124.4</c:v>
                </c:pt>
                <c:pt idx="279">
                  <c:v>9124.4</c:v>
                </c:pt>
                <c:pt idx="280">
                  <c:v>9124.4</c:v>
                </c:pt>
                <c:pt idx="281">
                  <c:v>9124.4</c:v>
                </c:pt>
                <c:pt idx="282">
                  <c:v>9124.4</c:v>
                </c:pt>
                <c:pt idx="283">
                  <c:v>9124.4</c:v>
                </c:pt>
                <c:pt idx="284">
                  <c:v>9124.4</c:v>
                </c:pt>
                <c:pt idx="285">
                  <c:v>9124.4</c:v>
                </c:pt>
                <c:pt idx="286">
                  <c:v>9124.4</c:v>
                </c:pt>
                <c:pt idx="287">
                  <c:v>9124.4</c:v>
                </c:pt>
                <c:pt idx="288">
                  <c:v>9124.4</c:v>
                </c:pt>
                <c:pt idx="289">
                  <c:v>12244.4</c:v>
                </c:pt>
                <c:pt idx="290">
                  <c:v>12244.4</c:v>
                </c:pt>
                <c:pt idx="291">
                  <c:v>12244.4</c:v>
                </c:pt>
                <c:pt idx="292">
                  <c:v>12244.4</c:v>
                </c:pt>
                <c:pt idx="293">
                  <c:v>12244.4</c:v>
                </c:pt>
                <c:pt idx="294">
                  <c:v>12244.4</c:v>
                </c:pt>
                <c:pt idx="295">
                  <c:v>12244.4</c:v>
                </c:pt>
                <c:pt idx="296">
                  <c:v>12244.4</c:v>
                </c:pt>
                <c:pt idx="297">
                  <c:v>12244.4</c:v>
                </c:pt>
                <c:pt idx="298">
                  <c:v>12244.4</c:v>
                </c:pt>
                <c:pt idx="299">
                  <c:v>12244.4</c:v>
                </c:pt>
                <c:pt idx="300">
                  <c:v>12244.4</c:v>
                </c:pt>
                <c:pt idx="301">
                  <c:v>12244.4</c:v>
                </c:pt>
                <c:pt idx="302">
                  <c:v>12244.4</c:v>
                </c:pt>
                <c:pt idx="303">
                  <c:v>12244.4</c:v>
                </c:pt>
                <c:pt idx="304">
                  <c:v>12244.4</c:v>
                </c:pt>
                <c:pt idx="305">
                  <c:v>12244.4</c:v>
                </c:pt>
                <c:pt idx="306">
                  <c:v>12244.4</c:v>
                </c:pt>
                <c:pt idx="307">
                  <c:v>12244.4</c:v>
                </c:pt>
                <c:pt idx="308">
                  <c:v>12244.4</c:v>
                </c:pt>
                <c:pt idx="309">
                  <c:v>12244.4</c:v>
                </c:pt>
                <c:pt idx="310">
                  <c:v>12244.4</c:v>
                </c:pt>
                <c:pt idx="311">
                  <c:v>12244.4</c:v>
                </c:pt>
                <c:pt idx="312">
                  <c:v>12244.4</c:v>
                </c:pt>
                <c:pt idx="313">
                  <c:v>12244.4</c:v>
                </c:pt>
                <c:pt idx="314">
                  <c:v>12244.4</c:v>
                </c:pt>
                <c:pt idx="315">
                  <c:v>12244.4</c:v>
                </c:pt>
                <c:pt idx="316">
                  <c:v>12244.4</c:v>
                </c:pt>
                <c:pt idx="317">
                  <c:v>12244.4</c:v>
                </c:pt>
                <c:pt idx="318">
                  <c:v>12244.4</c:v>
                </c:pt>
                <c:pt idx="319">
                  <c:v>12244.4</c:v>
                </c:pt>
                <c:pt idx="320">
                  <c:v>12244.4</c:v>
                </c:pt>
                <c:pt idx="321">
                  <c:v>12244.4</c:v>
                </c:pt>
                <c:pt idx="322">
                  <c:v>12244.4</c:v>
                </c:pt>
                <c:pt idx="323">
                  <c:v>12244.4</c:v>
                </c:pt>
                <c:pt idx="324">
                  <c:v>12244.4</c:v>
                </c:pt>
                <c:pt idx="325">
                  <c:v>12244.4</c:v>
                </c:pt>
                <c:pt idx="326">
                  <c:v>12244.4</c:v>
                </c:pt>
                <c:pt idx="327">
                  <c:v>12244.4</c:v>
                </c:pt>
                <c:pt idx="328">
                  <c:v>12244.4</c:v>
                </c:pt>
                <c:pt idx="329">
                  <c:v>12244.4</c:v>
                </c:pt>
                <c:pt idx="330">
                  <c:v>12244.4</c:v>
                </c:pt>
                <c:pt idx="331">
                  <c:v>12244.4</c:v>
                </c:pt>
                <c:pt idx="332">
                  <c:v>13764.4</c:v>
                </c:pt>
                <c:pt idx="333">
                  <c:v>13764.4</c:v>
                </c:pt>
                <c:pt idx="334">
                  <c:v>13764.4</c:v>
                </c:pt>
                <c:pt idx="335">
                  <c:v>13764.4</c:v>
                </c:pt>
                <c:pt idx="336">
                  <c:v>13764.4</c:v>
                </c:pt>
                <c:pt idx="337">
                  <c:v>13764.4</c:v>
                </c:pt>
                <c:pt idx="338">
                  <c:v>13764.4</c:v>
                </c:pt>
                <c:pt idx="339">
                  <c:v>13764.4</c:v>
                </c:pt>
                <c:pt idx="340">
                  <c:v>13764.4</c:v>
                </c:pt>
                <c:pt idx="341">
                  <c:v>13764.4</c:v>
                </c:pt>
                <c:pt idx="342">
                  <c:v>13764.4</c:v>
                </c:pt>
                <c:pt idx="343">
                  <c:v>13764.4</c:v>
                </c:pt>
                <c:pt idx="344">
                  <c:v>13764.4</c:v>
                </c:pt>
                <c:pt idx="345">
                  <c:v>13764.4</c:v>
                </c:pt>
                <c:pt idx="346">
                  <c:v>13764.4</c:v>
                </c:pt>
                <c:pt idx="347">
                  <c:v>13764.4</c:v>
                </c:pt>
                <c:pt idx="348">
                  <c:v>13764.4</c:v>
                </c:pt>
                <c:pt idx="349">
                  <c:v>13764.4</c:v>
                </c:pt>
                <c:pt idx="350">
                  <c:v>13764.4</c:v>
                </c:pt>
                <c:pt idx="351">
                  <c:v>13764.4</c:v>
                </c:pt>
                <c:pt idx="352">
                  <c:v>13764.4</c:v>
                </c:pt>
                <c:pt idx="353">
                  <c:v>13764.4</c:v>
                </c:pt>
                <c:pt idx="354">
                  <c:v>13764.4</c:v>
                </c:pt>
                <c:pt idx="355">
                  <c:v>13764.4</c:v>
                </c:pt>
                <c:pt idx="356">
                  <c:v>13764.4</c:v>
                </c:pt>
                <c:pt idx="357">
                  <c:v>13764.4</c:v>
                </c:pt>
                <c:pt idx="358">
                  <c:v>13764.4</c:v>
                </c:pt>
                <c:pt idx="359">
                  <c:v>13764.4</c:v>
                </c:pt>
                <c:pt idx="360">
                  <c:v>13764.4</c:v>
                </c:pt>
                <c:pt idx="361">
                  <c:v>13764.4</c:v>
                </c:pt>
                <c:pt idx="362">
                  <c:v>13764.4</c:v>
                </c:pt>
                <c:pt idx="363">
                  <c:v>13764.4</c:v>
                </c:pt>
                <c:pt idx="364">
                  <c:v>13764.4</c:v>
                </c:pt>
                <c:pt idx="365">
                  <c:v>13764.4</c:v>
                </c:pt>
                <c:pt idx="366">
                  <c:v>13764.4</c:v>
                </c:pt>
                <c:pt idx="367">
                  <c:v>13764.4</c:v>
                </c:pt>
                <c:pt idx="368">
                  <c:v>13444.4</c:v>
                </c:pt>
                <c:pt idx="369">
                  <c:v>13444.4</c:v>
                </c:pt>
                <c:pt idx="370">
                  <c:v>13444.4</c:v>
                </c:pt>
                <c:pt idx="371">
                  <c:v>13444.4</c:v>
                </c:pt>
                <c:pt idx="372">
                  <c:v>13444.4</c:v>
                </c:pt>
                <c:pt idx="373">
                  <c:v>13444.4</c:v>
                </c:pt>
                <c:pt idx="374">
                  <c:v>13444.4</c:v>
                </c:pt>
                <c:pt idx="375">
                  <c:v>13444.4</c:v>
                </c:pt>
                <c:pt idx="376">
                  <c:v>13444.4</c:v>
                </c:pt>
                <c:pt idx="377">
                  <c:v>13444.4</c:v>
                </c:pt>
                <c:pt idx="378">
                  <c:v>13444.4</c:v>
                </c:pt>
                <c:pt idx="379">
                  <c:v>13444.4</c:v>
                </c:pt>
                <c:pt idx="380">
                  <c:v>13444.4</c:v>
                </c:pt>
                <c:pt idx="381">
                  <c:v>13444.4</c:v>
                </c:pt>
                <c:pt idx="382">
                  <c:v>13444.4</c:v>
                </c:pt>
                <c:pt idx="383">
                  <c:v>13444.4</c:v>
                </c:pt>
                <c:pt idx="384">
                  <c:v>13444.4</c:v>
                </c:pt>
                <c:pt idx="385">
                  <c:v>13444.4</c:v>
                </c:pt>
                <c:pt idx="386">
                  <c:v>13444.4</c:v>
                </c:pt>
                <c:pt idx="387">
                  <c:v>13444.4</c:v>
                </c:pt>
                <c:pt idx="388">
                  <c:v>13444.4</c:v>
                </c:pt>
                <c:pt idx="389">
                  <c:v>13444.4</c:v>
                </c:pt>
                <c:pt idx="390">
                  <c:v>13444.4</c:v>
                </c:pt>
                <c:pt idx="391">
                  <c:v>13444.4</c:v>
                </c:pt>
                <c:pt idx="392">
                  <c:v>13444.4</c:v>
                </c:pt>
                <c:pt idx="393">
                  <c:v>13444.4</c:v>
                </c:pt>
                <c:pt idx="394">
                  <c:v>13444.4</c:v>
                </c:pt>
                <c:pt idx="395">
                  <c:v>13444.4</c:v>
                </c:pt>
                <c:pt idx="396">
                  <c:v>13444.4</c:v>
                </c:pt>
                <c:pt idx="397">
                  <c:v>13444.4</c:v>
                </c:pt>
                <c:pt idx="398">
                  <c:v>13444.4</c:v>
                </c:pt>
                <c:pt idx="399">
                  <c:v>13444.4</c:v>
                </c:pt>
                <c:pt idx="400">
                  <c:v>13444.4</c:v>
                </c:pt>
                <c:pt idx="401">
                  <c:v>13444.4</c:v>
                </c:pt>
                <c:pt idx="402">
                  <c:v>13444.4</c:v>
                </c:pt>
                <c:pt idx="403">
                  <c:v>13444.4</c:v>
                </c:pt>
                <c:pt idx="404">
                  <c:v>13444.4</c:v>
                </c:pt>
                <c:pt idx="405">
                  <c:v>13444.4</c:v>
                </c:pt>
                <c:pt idx="406">
                  <c:v>13444.4</c:v>
                </c:pt>
                <c:pt idx="407">
                  <c:v>13444.4</c:v>
                </c:pt>
                <c:pt idx="408">
                  <c:v>13444.4</c:v>
                </c:pt>
                <c:pt idx="409">
                  <c:v>13444.4</c:v>
                </c:pt>
                <c:pt idx="410">
                  <c:v>13444.4</c:v>
                </c:pt>
                <c:pt idx="411">
                  <c:v>13444.4</c:v>
                </c:pt>
                <c:pt idx="412">
                  <c:v>13444.4</c:v>
                </c:pt>
                <c:pt idx="413">
                  <c:v>13444.4</c:v>
                </c:pt>
                <c:pt idx="414">
                  <c:v>13444.4</c:v>
                </c:pt>
                <c:pt idx="415">
                  <c:v>13444.4</c:v>
                </c:pt>
                <c:pt idx="416">
                  <c:v>13444.4</c:v>
                </c:pt>
                <c:pt idx="417">
                  <c:v>13444.4</c:v>
                </c:pt>
                <c:pt idx="418">
                  <c:v>13444.4</c:v>
                </c:pt>
                <c:pt idx="419">
                  <c:v>13444.4</c:v>
                </c:pt>
                <c:pt idx="420">
                  <c:v>13444.4</c:v>
                </c:pt>
                <c:pt idx="421">
                  <c:v>13444.4</c:v>
                </c:pt>
                <c:pt idx="422">
                  <c:v>13444.4</c:v>
                </c:pt>
                <c:pt idx="423">
                  <c:v>13444.4</c:v>
                </c:pt>
                <c:pt idx="424">
                  <c:v>13444.4</c:v>
                </c:pt>
                <c:pt idx="425">
                  <c:v>13444.4</c:v>
                </c:pt>
                <c:pt idx="426">
                  <c:v>13444.4</c:v>
                </c:pt>
                <c:pt idx="427">
                  <c:v>13124.400000000001</c:v>
                </c:pt>
                <c:pt idx="428">
                  <c:v>13124.400000000001</c:v>
                </c:pt>
                <c:pt idx="429">
                  <c:v>13124.400000000001</c:v>
                </c:pt>
                <c:pt idx="430">
                  <c:v>13124.400000000001</c:v>
                </c:pt>
                <c:pt idx="431">
                  <c:v>13124.400000000001</c:v>
                </c:pt>
                <c:pt idx="432">
                  <c:v>13124.400000000001</c:v>
                </c:pt>
                <c:pt idx="433">
                  <c:v>13124.400000000001</c:v>
                </c:pt>
                <c:pt idx="434">
                  <c:v>13124.400000000001</c:v>
                </c:pt>
                <c:pt idx="435">
                  <c:v>13124.400000000001</c:v>
                </c:pt>
                <c:pt idx="436">
                  <c:v>13124.400000000001</c:v>
                </c:pt>
                <c:pt idx="437">
                  <c:v>13124.400000000001</c:v>
                </c:pt>
                <c:pt idx="438">
                  <c:v>13124.400000000001</c:v>
                </c:pt>
                <c:pt idx="439">
                  <c:v>13124.400000000001</c:v>
                </c:pt>
                <c:pt idx="440">
                  <c:v>13124.400000000001</c:v>
                </c:pt>
                <c:pt idx="441">
                  <c:v>13124.400000000001</c:v>
                </c:pt>
                <c:pt idx="442">
                  <c:v>13124.400000000001</c:v>
                </c:pt>
                <c:pt idx="443">
                  <c:v>13124.400000000001</c:v>
                </c:pt>
                <c:pt idx="444">
                  <c:v>13124.400000000001</c:v>
                </c:pt>
                <c:pt idx="445">
                  <c:v>13124.400000000001</c:v>
                </c:pt>
                <c:pt idx="446">
                  <c:v>13124.400000000001</c:v>
                </c:pt>
                <c:pt idx="447">
                  <c:v>14324.400000000001</c:v>
                </c:pt>
                <c:pt idx="448">
                  <c:v>14324.400000000001</c:v>
                </c:pt>
                <c:pt idx="449">
                  <c:v>14324.400000000001</c:v>
                </c:pt>
                <c:pt idx="450">
                  <c:v>14324.400000000001</c:v>
                </c:pt>
                <c:pt idx="451">
                  <c:v>14324.400000000001</c:v>
                </c:pt>
                <c:pt idx="452">
                  <c:v>14324.400000000001</c:v>
                </c:pt>
                <c:pt idx="453">
                  <c:v>14324.400000000001</c:v>
                </c:pt>
                <c:pt idx="454">
                  <c:v>14324.400000000001</c:v>
                </c:pt>
                <c:pt idx="455">
                  <c:v>14324.400000000001</c:v>
                </c:pt>
                <c:pt idx="456">
                  <c:v>14324.400000000001</c:v>
                </c:pt>
                <c:pt idx="457">
                  <c:v>14324.400000000001</c:v>
                </c:pt>
                <c:pt idx="458">
                  <c:v>14324.400000000001</c:v>
                </c:pt>
                <c:pt idx="459">
                  <c:v>14324.400000000001</c:v>
                </c:pt>
                <c:pt idx="460">
                  <c:v>14324.400000000001</c:v>
                </c:pt>
                <c:pt idx="461">
                  <c:v>14324.400000000001</c:v>
                </c:pt>
                <c:pt idx="462">
                  <c:v>14324.400000000001</c:v>
                </c:pt>
                <c:pt idx="463">
                  <c:v>14324.400000000001</c:v>
                </c:pt>
                <c:pt idx="464">
                  <c:v>14324.400000000001</c:v>
                </c:pt>
                <c:pt idx="465">
                  <c:v>14324.400000000001</c:v>
                </c:pt>
                <c:pt idx="466">
                  <c:v>14324.400000000001</c:v>
                </c:pt>
                <c:pt idx="467">
                  <c:v>14324.400000000001</c:v>
                </c:pt>
                <c:pt idx="468">
                  <c:v>14324.400000000001</c:v>
                </c:pt>
                <c:pt idx="469">
                  <c:v>14324.400000000001</c:v>
                </c:pt>
                <c:pt idx="470">
                  <c:v>14324.400000000001</c:v>
                </c:pt>
                <c:pt idx="471">
                  <c:v>14324.400000000001</c:v>
                </c:pt>
                <c:pt idx="472">
                  <c:v>14324.400000000001</c:v>
                </c:pt>
                <c:pt idx="473">
                  <c:v>14324.400000000001</c:v>
                </c:pt>
                <c:pt idx="474">
                  <c:v>14324.400000000001</c:v>
                </c:pt>
                <c:pt idx="475">
                  <c:v>14324.400000000001</c:v>
                </c:pt>
                <c:pt idx="476">
                  <c:v>14324.400000000001</c:v>
                </c:pt>
                <c:pt idx="477">
                  <c:v>14324.400000000001</c:v>
                </c:pt>
                <c:pt idx="478">
                  <c:v>14324.400000000001</c:v>
                </c:pt>
                <c:pt idx="479">
                  <c:v>14324.400000000001</c:v>
                </c:pt>
                <c:pt idx="480">
                  <c:v>14324.400000000001</c:v>
                </c:pt>
                <c:pt idx="481">
                  <c:v>14324.400000000001</c:v>
                </c:pt>
                <c:pt idx="482">
                  <c:v>14324.400000000001</c:v>
                </c:pt>
                <c:pt idx="483">
                  <c:v>14324.400000000001</c:v>
                </c:pt>
                <c:pt idx="484">
                  <c:v>14324.400000000001</c:v>
                </c:pt>
                <c:pt idx="485">
                  <c:v>14324.400000000001</c:v>
                </c:pt>
                <c:pt idx="486">
                  <c:v>14324.400000000001</c:v>
                </c:pt>
                <c:pt idx="487">
                  <c:v>14324.400000000001</c:v>
                </c:pt>
                <c:pt idx="488">
                  <c:v>14324.400000000001</c:v>
                </c:pt>
                <c:pt idx="489">
                  <c:v>14324.400000000001</c:v>
                </c:pt>
                <c:pt idx="490">
                  <c:v>14324.400000000001</c:v>
                </c:pt>
                <c:pt idx="491">
                  <c:v>14324.400000000001</c:v>
                </c:pt>
                <c:pt idx="492">
                  <c:v>14324.400000000001</c:v>
                </c:pt>
                <c:pt idx="493">
                  <c:v>14324.400000000001</c:v>
                </c:pt>
                <c:pt idx="494">
                  <c:v>14324.400000000001</c:v>
                </c:pt>
                <c:pt idx="495">
                  <c:v>14324.400000000001</c:v>
                </c:pt>
                <c:pt idx="496">
                  <c:v>14324.400000000001</c:v>
                </c:pt>
                <c:pt idx="497">
                  <c:v>14324.400000000001</c:v>
                </c:pt>
                <c:pt idx="498">
                  <c:v>14324.400000000001</c:v>
                </c:pt>
                <c:pt idx="499">
                  <c:v>14324.400000000001</c:v>
                </c:pt>
                <c:pt idx="500">
                  <c:v>14324.400000000001</c:v>
                </c:pt>
                <c:pt idx="501">
                  <c:v>14324.400000000001</c:v>
                </c:pt>
                <c:pt idx="502">
                  <c:v>14324.400000000001</c:v>
                </c:pt>
                <c:pt idx="503">
                  <c:v>14324.400000000001</c:v>
                </c:pt>
                <c:pt idx="504">
                  <c:v>14324.400000000001</c:v>
                </c:pt>
                <c:pt idx="505">
                  <c:v>14324.400000000001</c:v>
                </c:pt>
                <c:pt idx="506">
                  <c:v>14324.400000000001</c:v>
                </c:pt>
                <c:pt idx="507">
                  <c:v>14324.400000000001</c:v>
                </c:pt>
                <c:pt idx="508">
                  <c:v>14324.400000000001</c:v>
                </c:pt>
                <c:pt idx="509">
                  <c:v>14324.400000000001</c:v>
                </c:pt>
                <c:pt idx="510">
                  <c:v>14324.400000000001</c:v>
                </c:pt>
                <c:pt idx="511">
                  <c:v>14324.400000000001</c:v>
                </c:pt>
                <c:pt idx="512">
                  <c:v>14324.400000000001</c:v>
                </c:pt>
                <c:pt idx="513">
                  <c:v>14324.400000000001</c:v>
                </c:pt>
                <c:pt idx="514">
                  <c:v>14324.400000000001</c:v>
                </c:pt>
                <c:pt idx="515">
                  <c:v>14324.400000000001</c:v>
                </c:pt>
                <c:pt idx="516">
                  <c:v>14324.400000000001</c:v>
                </c:pt>
                <c:pt idx="517">
                  <c:v>14324.400000000001</c:v>
                </c:pt>
                <c:pt idx="518">
                  <c:v>14324.400000000001</c:v>
                </c:pt>
                <c:pt idx="519">
                  <c:v>14804.400000000001</c:v>
                </c:pt>
                <c:pt idx="520">
                  <c:v>14804.400000000001</c:v>
                </c:pt>
                <c:pt idx="521">
                  <c:v>14804.400000000001</c:v>
                </c:pt>
                <c:pt idx="522">
                  <c:v>14804.400000000001</c:v>
                </c:pt>
                <c:pt idx="523">
                  <c:v>14804.400000000001</c:v>
                </c:pt>
                <c:pt idx="524">
                  <c:v>14804.400000000001</c:v>
                </c:pt>
                <c:pt idx="525">
                  <c:v>13364.4</c:v>
                </c:pt>
                <c:pt idx="526">
                  <c:v>13364.4</c:v>
                </c:pt>
                <c:pt idx="527">
                  <c:v>13364.4</c:v>
                </c:pt>
                <c:pt idx="528">
                  <c:v>13364.4</c:v>
                </c:pt>
                <c:pt idx="529">
                  <c:v>13364.4</c:v>
                </c:pt>
                <c:pt idx="530">
                  <c:v>13364.4</c:v>
                </c:pt>
                <c:pt idx="531">
                  <c:v>13364.4</c:v>
                </c:pt>
                <c:pt idx="532">
                  <c:v>13364.4</c:v>
                </c:pt>
                <c:pt idx="533">
                  <c:v>13364.4</c:v>
                </c:pt>
                <c:pt idx="534">
                  <c:v>13364.4</c:v>
                </c:pt>
                <c:pt idx="535">
                  <c:v>13364.4</c:v>
                </c:pt>
                <c:pt idx="536">
                  <c:v>13364.4</c:v>
                </c:pt>
                <c:pt idx="537">
                  <c:v>13364.4</c:v>
                </c:pt>
                <c:pt idx="538">
                  <c:v>13364.4</c:v>
                </c:pt>
                <c:pt idx="539">
                  <c:v>13364.4</c:v>
                </c:pt>
                <c:pt idx="540">
                  <c:v>13364.4</c:v>
                </c:pt>
                <c:pt idx="541">
                  <c:v>13364.4</c:v>
                </c:pt>
                <c:pt idx="542">
                  <c:v>13364.4</c:v>
                </c:pt>
                <c:pt idx="543">
                  <c:v>13364.4</c:v>
                </c:pt>
                <c:pt idx="544">
                  <c:v>13364.4</c:v>
                </c:pt>
                <c:pt idx="545">
                  <c:v>13364.4</c:v>
                </c:pt>
                <c:pt idx="546">
                  <c:v>16244.4</c:v>
                </c:pt>
                <c:pt idx="547">
                  <c:v>16244.4</c:v>
                </c:pt>
                <c:pt idx="548">
                  <c:v>16244.4</c:v>
                </c:pt>
                <c:pt idx="549">
                  <c:v>16244.4</c:v>
                </c:pt>
                <c:pt idx="550">
                  <c:v>16244.4</c:v>
                </c:pt>
                <c:pt idx="551">
                  <c:v>16244.4</c:v>
                </c:pt>
                <c:pt idx="552">
                  <c:v>16244.4</c:v>
                </c:pt>
                <c:pt idx="553">
                  <c:v>17524.400000000001</c:v>
                </c:pt>
                <c:pt idx="554">
                  <c:v>17524.400000000001</c:v>
                </c:pt>
                <c:pt idx="555">
                  <c:v>25997.316363636532</c:v>
                </c:pt>
                <c:pt idx="556">
                  <c:v>17524.400000000001</c:v>
                </c:pt>
                <c:pt idx="557">
                  <c:v>17524.400000000001</c:v>
                </c:pt>
                <c:pt idx="558">
                  <c:v>17524.400000000001</c:v>
                </c:pt>
                <c:pt idx="559">
                  <c:v>17524.400000000001</c:v>
                </c:pt>
                <c:pt idx="560">
                  <c:v>17524.400000000001</c:v>
                </c:pt>
                <c:pt idx="561">
                  <c:v>15728.036363636365</c:v>
                </c:pt>
                <c:pt idx="562">
                  <c:v>15728.036363636365</c:v>
                </c:pt>
                <c:pt idx="563">
                  <c:v>15728.036363636365</c:v>
                </c:pt>
                <c:pt idx="564">
                  <c:v>16368.036363636367</c:v>
                </c:pt>
                <c:pt idx="565">
                  <c:v>16368.036363636367</c:v>
                </c:pt>
                <c:pt idx="566">
                  <c:v>16368.036363636367</c:v>
                </c:pt>
                <c:pt idx="567">
                  <c:v>16368.036363636367</c:v>
                </c:pt>
                <c:pt idx="568">
                  <c:v>29949.316363636532</c:v>
                </c:pt>
                <c:pt idx="569">
                  <c:v>18768.036363636369</c:v>
                </c:pt>
                <c:pt idx="570">
                  <c:v>19408.036363636369</c:v>
                </c:pt>
                <c:pt idx="571">
                  <c:v>29949.316363636532</c:v>
                </c:pt>
                <c:pt idx="572">
                  <c:v>19408.036363636369</c:v>
                </c:pt>
                <c:pt idx="573">
                  <c:v>19408.036363636369</c:v>
                </c:pt>
                <c:pt idx="574">
                  <c:v>19408.036363636369</c:v>
                </c:pt>
                <c:pt idx="575">
                  <c:v>29949.316363636532</c:v>
                </c:pt>
                <c:pt idx="576">
                  <c:v>25997.316363636532</c:v>
                </c:pt>
                <c:pt idx="577">
                  <c:v>19728.036363636369</c:v>
                </c:pt>
                <c:pt idx="578">
                  <c:v>19728.036363636369</c:v>
                </c:pt>
                <c:pt idx="579">
                  <c:v>19728.036363636369</c:v>
                </c:pt>
                <c:pt idx="580">
                  <c:v>19728.036363636369</c:v>
                </c:pt>
                <c:pt idx="581">
                  <c:v>19408.036363636369</c:v>
                </c:pt>
                <c:pt idx="582">
                  <c:v>19728.036363636533</c:v>
                </c:pt>
                <c:pt idx="583">
                  <c:v>19728.036363636533</c:v>
                </c:pt>
                <c:pt idx="584">
                  <c:v>19728.036363636533</c:v>
                </c:pt>
                <c:pt idx="585">
                  <c:v>19728.036363636533</c:v>
                </c:pt>
                <c:pt idx="586">
                  <c:v>19728.036363636533</c:v>
                </c:pt>
                <c:pt idx="587">
                  <c:v>19728.036363636533</c:v>
                </c:pt>
                <c:pt idx="588">
                  <c:v>19728.036363636533</c:v>
                </c:pt>
                <c:pt idx="589">
                  <c:v>19728.036363636533</c:v>
                </c:pt>
                <c:pt idx="590">
                  <c:v>19728.036363636533</c:v>
                </c:pt>
                <c:pt idx="591">
                  <c:v>19728.036363636533</c:v>
                </c:pt>
                <c:pt idx="592">
                  <c:v>19728.036363636533</c:v>
                </c:pt>
                <c:pt idx="593">
                  <c:v>19728.036363636533</c:v>
                </c:pt>
                <c:pt idx="594">
                  <c:v>19728.036363636533</c:v>
                </c:pt>
                <c:pt idx="595">
                  <c:v>19728.036363636533</c:v>
                </c:pt>
                <c:pt idx="596">
                  <c:v>19728.036363636533</c:v>
                </c:pt>
                <c:pt idx="597">
                  <c:v>19728.036363636533</c:v>
                </c:pt>
                <c:pt idx="598">
                  <c:v>19728.036363636533</c:v>
                </c:pt>
                <c:pt idx="599">
                  <c:v>19728.036363636533</c:v>
                </c:pt>
                <c:pt idx="600">
                  <c:v>19728.036363636533</c:v>
                </c:pt>
                <c:pt idx="601">
                  <c:v>19728.036363636533</c:v>
                </c:pt>
                <c:pt idx="602">
                  <c:v>19728.036363636533</c:v>
                </c:pt>
                <c:pt idx="603">
                  <c:v>19728.036363636533</c:v>
                </c:pt>
                <c:pt idx="604">
                  <c:v>19728.036363636533</c:v>
                </c:pt>
                <c:pt idx="605">
                  <c:v>19728.036363636533</c:v>
                </c:pt>
                <c:pt idx="606">
                  <c:v>19728.036363636533</c:v>
                </c:pt>
                <c:pt idx="607">
                  <c:v>19728.036363636533</c:v>
                </c:pt>
                <c:pt idx="608">
                  <c:v>19728.036363636533</c:v>
                </c:pt>
                <c:pt idx="609">
                  <c:v>19728.036363636533</c:v>
                </c:pt>
                <c:pt idx="610">
                  <c:v>19728.036363636533</c:v>
                </c:pt>
                <c:pt idx="611">
                  <c:v>19728.036363636533</c:v>
                </c:pt>
                <c:pt idx="612">
                  <c:v>19728.036363636533</c:v>
                </c:pt>
                <c:pt idx="613">
                  <c:v>19728.036363636533</c:v>
                </c:pt>
                <c:pt idx="614">
                  <c:v>19728.036363636533</c:v>
                </c:pt>
                <c:pt idx="615">
                  <c:v>19728.036363636533</c:v>
                </c:pt>
                <c:pt idx="616">
                  <c:v>19728.036363636533</c:v>
                </c:pt>
                <c:pt idx="617">
                  <c:v>19728.036363636533</c:v>
                </c:pt>
                <c:pt idx="618">
                  <c:v>19728.036363636533</c:v>
                </c:pt>
                <c:pt idx="619">
                  <c:v>19728.036363636533</c:v>
                </c:pt>
                <c:pt idx="620">
                  <c:v>29949.316363636532</c:v>
                </c:pt>
                <c:pt idx="621">
                  <c:v>19728.036363636533</c:v>
                </c:pt>
                <c:pt idx="622">
                  <c:v>19728.036363636533</c:v>
                </c:pt>
                <c:pt idx="623">
                  <c:v>19728.036363636533</c:v>
                </c:pt>
                <c:pt idx="624">
                  <c:v>19728.036363636533</c:v>
                </c:pt>
                <c:pt idx="625">
                  <c:v>19728.036363636533</c:v>
                </c:pt>
                <c:pt idx="626">
                  <c:v>19728.036363636533</c:v>
                </c:pt>
                <c:pt idx="627">
                  <c:v>29949.316363636532</c:v>
                </c:pt>
                <c:pt idx="628">
                  <c:v>22128.036363636533</c:v>
                </c:pt>
                <c:pt idx="629">
                  <c:v>22128.036363636533</c:v>
                </c:pt>
                <c:pt idx="630">
                  <c:v>22128.036363636533</c:v>
                </c:pt>
                <c:pt idx="631">
                  <c:v>22128.036363636533</c:v>
                </c:pt>
                <c:pt idx="632">
                  <c:v>22128.036363636533</c:v>
                </c:pt>
                <c:pt idx="633">
                  <c:v>22128.036363636533</c:v>
                </c:pt>
                <c:pt idx="634">
                  <c:v>22128.036363636533</c:v>
                </c:pt>
                <c:pt idx="635">
                  <c:v>22128.036363636533</c:v>
                </c:pt>
                <c:pt idx="636">
                  <c:v>22128.036363636533</c:v>
                </c:pt>
                <c:pt idx="637">
                  <c:v>22128.036363636533</c:v>
                </c:pt>
                <c:pt idx="638">
                  <c:v>22128.036363636533</c:v>
                </c:pt>
                <c:pt idx="639">
                  <c:v>29949.316363636532</c:v>
                </c:pt>
                <c:pt idx="640">
                  <c:v>21913.636363636531</c:v>
                </c:pt>
                <c:pt idx="641">
                  <c:v>21913.636363636531</c:v>
                </c:pt>
                <c:pt idx="642">
                  <c:v>29949.316363636532</c:v>
                </c:pt>
                <c:pt idx="643">
                  <c:v>21913.636363636531</c:v>
                </c:pt>
                <c:pt idx="644">
                  <c:v>21913.636363636531</c:v>
                </c:pt>
                <c:pt idx="645">
                  <c:v>28153.636363636531</c:v>
                </c:pt>
                <c:pt idx="646">
                  <c:v>21913.636363636531</c:v>
                </c:pt>
                <c:pt idx="647">
                  <c:v>28153.636363636531</c:v>
                </c:pt>
                <c:pt idx="648">
                  <c:v>21913.636363636531</c:v>
                </c:pt>
                <c:pt idx="649">
                  <c:v>21913.636363636531</c:v>
                </c:pt>
                <c:pt idx="650">
                  <c:v>21913.636363636531</c:v>
                </c:pt>
                <c:pt idx="651">
                  <c:v>21913.636363636531</c:v>
                </c:pt>
                <c:pt idx="652">
                  <c:v>21913.636363636531</c:v>
                </c:pt>
                <c:pt idx="653">
                  <c:v>21913.636363636531</c:v>
                </c:pt>
                <c:pt idx="654">
                  <c:v>21913.636363636531</c:v>
                </c:pt>
                <c:pt idx="655">
                  <c:v>21913.636363636531</c:v>
                </c:pt>
                <c:pt idx="656">
                  <c:v>21913.636363636531</c:v>
                </c:pt>
                <c:pt idx="657">
                  <c:v>21913.636363636531</c:v>
                </c:pt>
                <c:pt idx="658">
                  <c:v>21913.636363636531</c:v>
                </c:pt>
                <c:pt idx="659">
                  <c:v>21913.636363636531</c:v>
                </c:pt>
                <c:pt idx="660">
                  <c:v>21913.636363636531</c:v>
                </c:pt>
                <c:pt idx="661">
                  <c:v>21913.636363636531</c:v>
                </c:pt>
                <c:pt idx="662">
                  <c:v>21913.636363636531</c:v>
                </c:pt>
                <c:pt idx="663">
                  <c:v>21913.636363636531</c:v>
                </c:pt>
                <c:pt idx="664">
                  <c:v>21913.636363636531</c:v>
                </c:pt>
                <c:pt idx="665">
                  <c:v>21913.636363636531</c:v>
                </c:pt>
                <c:pt idx="666">
                  <c:v>28153.636363636531</c:v>
                </c:pt>
                <c:pt idx="667">
                  <c:v>21913.636363636531</c:v>
                </c:pt>
                <c:pt idx="668">
                  <c:v>21913.636363636531</c:v>
                </c:pt>
                <c:pt idx="669">
                  <c:v>21913.636363636531</c:v>
                </c:pt>
                <c:pt idx="670">
                  <c:v>25753.636363636531</c:v>
                </c:pt>
                <c:pt idx="671">
                  <c:v>21913.636363636531</c:v>
                </c:pt>
                <c:pt idx="672">
                  <c:v>21913.636363636531</c:v>
                </c:pt>
                <c:pt idx="673">
                  <c:v>21913.636363636531</c:v>
                </c:pt>
                <c:pt idx="674">
                  <c:v>25753.636363636531</c:v>
                </c:pt>
                <c:pt idx="675">
                  <c:v>21913.636363636531</c:v>
                </c:pt>
                <c:pt idx="676">
                  <c:v>21913.636363636531</c:v>
                </c:pt>
                <c:pt idx="677">
                  <c:v>21913.636363636531</c:v>
                </c:pt>
                <c:pt idx="678">
                  <c:v>21913.636363636531</c:v>
                </c:pt>
                <c:pt idx="679">
                  <c:v>21913.636363636531</c:v>
                </c:pt>
                <c:pt idx="680">
                  <c:v>21913.636363636531</c:v>
                </c:pt>
                <c:pt idx="681">
                  <c:v>21913.636363636531</c:v>
                </c:pt>
                <c:pt idx="682">
                  <c:v>21913.636363636531</c:v>
                </c:pt>
                <c:pt idx="683">
                  <c:v>24153.636363636531</c:v>
                </c:pt>
                <c:pt idx="684">
                  <c:v>21913.636363636531</c:v>
                </c:pt>
                <c:pt idx="685">
                  <c:v>21913.636363636531</c:v>
                </c:pt>
                <c:pt idx="686">
                  <c:v>21913.636363636531</c:v>
                </c:pt>
                <c:pt idx="687">
                  <c:v>21913.636363636531</c:v>
                </c:pt>
                <c:pt idx="688">
                  <c:v>21913.636363636531</c:v>
                </c:pt>
                <c:pt idx="689">
                  <c:v>21913.636363636531</c:v>
                </c:pt>
                <c:pt idx="690">
                  <c:v>21913.636363636531</c:v>
                </c:pt>
                <c:pt idx="691">
                  <c:v>21913.636363636531</c:v>
                </c:pt>
                <c:pt idx="692">
                  <c:v>21913.636363636531</c:v>
                </c:pt>
                <c:pt idx="693">
                  <c:v>21913.636363636531</c:v>
                </c:pt>
                <c:pt idx="694">
                  <c:v>21913.636363636531</c:v>
                </c:pt>
                <c:pt idx="695">
                  <c:v>21913.636363636531</c:v>
                </c:pt>
                <c:pt idx="696">
                  <c:v>24153.636363636531</c:v>
                </c:pt>
                <c:pt idx="697">
                  <c:v>24153.636363636531</c:v>
                </c:pt>
                <c:pt idx="698">
                  <c:v>24153.636363636531</c:v>
                </c:pt>
                <c:pt idx="699">
                  <c:v>24153.636363636531</c:v>
                </c:pt>
                <c:pt idx="700">
                  <c:v>24153.636363636531</c:v>
                </c:pt>
                <c:pt idx="701">
                  <c:v>25753.636363636531</c:v>
                </c:pt>
                <c:pt idx="702">
                  <c:v>28153.636363636531</c:v>
                </c:pt>
                <c:pt idx="703">
                  <c:v>25753.636363636531</c:v>
                </c:pt>
                <c:pt idx="704">
                  <c:v>25753.636363636531</c:v>
                </c:pt>
                <c:pt idx="705">
                  <c:v>25753.636363636531</c:v>
                </c:pt>
                <c:pt idx="706">
                  <c:v>25753.636363636531</c:v>
                </c:pt>
                <c:pt idx="707">
                  <c:v>25753.636363636531</c:v>
                </c:pt>
                <c:pt idx="708">
                  <c:v>25753.636363636531</c:v>
                </c:pt>
                <c:pt idx="709">
                  <c:v>26313.636363636531</c:v>
                </c:pt>
                <c:pt idx="710">
                  <c:v>27913.636363636531</c:v>
                </c:pt>
                <c:pt idx="711">
                  <c:v>28153.636363636531</c:v>
                </c:pt>
                <c:pt idx="712">
                  <c:v>27913.636363636531</c:v>
                </c:pt>
                <c:pt idx="713">
                  <c:v>27913.636363636531</c:v>
                </c:pt>
                <c:pt idx="714">
                  <c:v>28153.636363636531</c:v>
                </c:pt>
                <c:pt idx="715">
                  <c:v>28153.636363636531</c:v>
                </c:pt>
                <c:pt idx="716">
                  <c:v>27913.636363636531</c:v>
                </c:pt>
                <c:pt idx="717">
                  <c:v>27913.636363636531</c:v>
                </c:pt>
                <c:pt idx="718">
                  <c:v>28153.636363636531</c:v>
                </c:pt>
                <c:pt idx="719">
                  <c:v>27913.636363636531</c:v>
                </c:pt>
                <c:pt idx="720">
                  <c:v>27913.636363636531</c:v>
                </c:pt>
                <c:pt idx="721">
                  <c:v>27913.636363636531</c:v>
                </c:pt>
                <c:pt idx="722">
                  <c:v>28153.636363636531</c:v>
                </c:pt>
                <c:pt idx="723">
                  <c:v>28153.636363636531</c:v>
                </c:pt>
                <c:pt idx="724">
                  <c:v>28153.636363636531</c:v>
                </c:pt>
                <c:pt idx="725">
                  <c:v>28153.636363636531</c:v>
                </c:pt>
                <c:pt idx="726">
                  <c:v>28153.636363636531</c:v>
                </c:pt>
                <c:pt idx="727">
                  <c:v>28153.636363636531</c:v>
                </c:pt>
                <c:pt idx="728">
                  <c:v>28153.636363636531</c:v>
                </c:pt>
                <c:pt idx="729">
                  <c:v>28153.636363636531</c:v>
                </c:pt>
                <c:pt idx="730">
                  <c:v>28153.636363636531</c:v>
                </c:pt>
                <c:pt idx="731">
                  <c:v>29949.316363636532</c:v>
                </c:pt>
                <c:pt idx="732">
                  <c:v>29696.036363636529</c:v>
                </c:pt>
                <c:pt idx="733">
                  <c:v>28153.636363636531</c:v>
                </c:pt>
                <c:pt idx="734">
                  <c:v>28153.636363636531</c:v>
                </c:pt>
                <c:pt idx="735">
                  <c:v>28153.636363636531</c:v>
                </c:pt>
                <c:pt idx="736">
                  <c:v>28153.636363636531</c:v>
                </c:pt>
                <c:pt idx="737">
                  <c:v>28153.636363636531</c:v>
                </c:pt>
                <c:pt idx="738">
                  <c:v>29696.036363636529</c:v>
                </c:pt>
                <c:pt idx="739">
                  <c:v>28153.636363636531</c:v>
                </c:pt>
                <c:pt idx="740">
                  <c:v>28153.636363636531</c:v>
                </c:pt>
                <c:pt idx="741">
                  <c:v>29353.636363636531</c:v>
                </c:pt>
                <c:pt idx="742">
                  <c:v>28153.636363636531</c:v>
                </c:pt>
                <c:pt idx="743">
                  <c:v>28153.636363636531</c:v>
                </c:pt>
                <c:pt idx="744">
                  <c:v>28153.636363636531</c:v>
                </c:pt>
                <c:pt idx="745">
                  <c:v>28153.636363636531</c:v>
                </c:pt>
                <c:pt idx="746">
                  <c:v>29353.636363636531</c:v>
                </c:pt>
                <c:pt idx="747">
                  <c:v>28153.636363636531</c:v>
                </c:pt>
                <c:pt idx="748">
                  <c:v>28153.636363636531</c:v>
                </c:pt>
                <c:pt idx="749">
                  <c:v>28153.636363636531</c:v>
                </c:pt>
                <c:pt idx="750">
                  <c:v>28153.636363636531</c:v>
                </c:pt>
                <c:pt idx="751">
                  <c:v>28153.636363636531</c:v>
                </c:pt>
                <c:pt idx="752">
                  <c:v>28153.636363636531</c:v>
                </c:pt>
                <c:pt idx="753">
                  <c:v>28153.636363636531</c:v>
                </c:pt>
                <c:pt idx="754">
                  <c:v>29353.636363636531</c:v>
                </c:pt>
                <c:pt idx="755">
                  <c:v>29353.636363636531</c:v>
                </c:pt>
                <c:pt idx="756">
                  <c:v>29353.636363636531</c:v>
                </c:pt>
                <c:pt idx="757">
                  <c:v>29353.636363636531</c:v>
                </c:pt>
                <c:pt idx="758">
                  <c:v>29353.636363636531</c:v>
                </c:pt>
                <c:pt idx="759">
                  <c:v>29353.636363636531</c:v>
                </c:pt>
                <c:pt idx="760">
                  <c:v>29353.636363636531</c:v>
                </c:pt>
                <c:pt idx="761">
                  <c:v>29353.636363636531</c:v>
                </c:pt>
                <c:pt idx="762">
                  <c:v>31600.036363636533</c:v>
                </c:pt>
                <c:pt idx="763">
                  <c:v>29353.636363636531</c:v>
                </c:pt>
                <c:pt idx="764">
                  <c:v>29353.636363636531</c:v>
                </c:pt>
                <c:pt idx="765">
                  <c:v>29353.636363636531</c:v>
                </c:pt>
                <c:pt idx="766">
                  <c:v>30953.636363636531</c:v>
                </c:pt>
                <c:pt idx="767">
                  <c:v>31113.636363636531</c:v>
                </c:pt>
                <c:pt idx="768">
                  <c:v>31113.636363636531</c:v>
                </c:pt>
                <c:pt idx="769">
                  <c:v>31113.636363636531</c:v>
                </c:pt>
                <c:pt idx="770">
                  <c:v>31600.036363636533</c:v>
                </c:pt>
                <c:pt idx="771">
                  <c:v>31600.036363636533</c:v>
                </c:pt>
                <c:pt idx="772">
                  <c:v>31600.036363636533</c:v>
                </c:pt>
                <c:pt idx="773">
                  <c:v>31600.036363636533</c:v>
                </c:pt>
                <c:pt idx="774">
                  <c:v>31600.036363636533</c:v>
                </c:pt>
                <c:pt idx="775">
                  <c:v>34160.036363636536</c:v>
                </c:pt>
                <c:pt idx="776">
                  <c:v>31600.036363636533</c:v>
                </c:pt>
                <c:pt idx="777">
                  <c:v>31600.036363636533</c:v>
                </c:pt>
                <c:pt idx="778">
                  <c:v>31600.036363636533</c:v>
                </c:pt>
                <c:pt idx="779">
                  <c:v>31600.036363636533</c:v>
                </c:pt>
                <c:pt idx="780">
                  <c:v>31600.036363636533</c:v>
                </c:pt>
                <c:pt idx="781">
                  <c:v>31600.036363636533</c:v>
                </c:pt>
                <c:pt idx="782">
                  <c:v>31600.036363636533</c:v>
                </c:pt>
                <c:pt idx="783">
                  <c:v>31600.036363636533</c:v>
                </c:pt>
                <c:pt idx="784">
                  <c:v>31600.036363636533</c:v>
                </c:pt>
                <c:pt idx="785">
                  <c:v>34160.036363636536</c:v>
                </c:pt>
                <c:pt idx="786">
                  <c:v>31600.036363636533</c:v>
                </c:pt>
                <c:pt idx="787">
                  <c:v>31600.036363636533</c:v>
                </c:pt>
                <c:pt idx="788">
                  <c:v>34160.036363636536</c:v>
                </c:pt>
                <c:pt idx="789">
                  <c:v>31600.036363636533</c:v>
                </c:pt>
                <c:pt idx="790">
                  <c:v>31600.036363636533</c:v>
                </c:pt>
                <c:pt idx="791">
                  <c:v>33200.036363636536</c:v>
                </c:pt>
                <c:pt idx="792">
                  <c:v>33200.036363636536</c:v>
                </c:pt>
                <c:pt idx="793">
                  <c:v>34160.036363636536</c:v>
                </c:pt>
                <c:pt idx="794">
                  <c:v>34160.036363636536</c:v>
                </c:pt>
                <c:pt idx="795">
                  <c:v>33744.036363636536</c:v>
                </c:pt>
                <c:pt idx="796">
                  <c:v>34160.036363636536</c:v>
                </c:pt>
                <c:pt idx="797">
                  <c:v>34160.036363636536</c:v>
                </c:pt>
                <c:pt idx="798">
                  <c:v>33744.036363636536</c:v>
                </c:pt>
                <c:pt idx="799">
                  <c:v>34160.036363636536</c:v>
                </c:pt>
                <c:pt idx="800">
                  <c:v>34160.036363636536</c:v>
                </c:pt>
                <c:pt idx="801">
                  <c:v>33840.036363636536</c:v>
                </c:pt>
                <c:pt idx="802">
                  <c:v>33744.036363636536</c:v>
                </c:pt>
                <c:pt idx="803">
                  <c:v>35120.036363636536</c:v>
                </c:pt>
                <c:pt idx="804">
                  <c:v>35120.036363636536</c:v>
                </c:pt>
                <c:pt idx="805">
                  <c:v>35120.036363636536</c:v>
                </c:pt>
                <c:pt idx="806">
                  <c:v>33840.036363636536</c:v>
                </c:pt>
                <c:pt idx="807">
                  <c:v>33840.036363636536</c:v>
                </c:pt>
                <c:pt idx="808">
                  <c:v>33840.036363636536</c:v>
                </c:pt>
                <c:pt idx="809">
                  <c:v>33840.036363636536</c:v>
                </c:pt>
                <c:pt idx="810">
                  <c:v>33840.036363636536</c:v>
                </c:pt>
                <c:pt idx="811">
                  <c:v>33840.036363636536</c:v>
                </c:pt>
                <c:pt idx="812">
                  <c:v>33840.036363636536</c:v>
                </c:pt>
                <c:pt idx="813">
                  <c:v>33744.036363636536</c:v>
                </c:pt>
                <c:pt idx="814">
                  <c:v>29696.036363636529</c:v>
                </c:pt>
                <c:pt idx="815">
                  <c:v>33840.036363636536</c:v>
                </c:pt>
                <c:pt idx="816">
                  <c:v>33840.036363636536</c:v>
                </c:pt>
                <c:pt idx="817">
                  <c:v>33744.036363636536</c:v>
                </c:pt>
                <c:pt idx="818">
                  <c:v>33840.036363636536</c:v>
                </c:pt>
                <c:pt idx="819">
                  <c:v>33840.036363636536</c:v>
                </c:pt>
                <c:pt idx="820">
                  <c:v>33840.036363636536</c:v>
                </c:pt>
                <c:pt idx="821">
                  <c:v>33840.036363636536</c:v>
                </c:pt>
                <c:pt idx="822">
                  <c:v>33744.036363636536</c:v>
                </c:pt>
                <c:pt idx="823">
                  <c:v>29696.036363636529</c:v>
                </c:pt>
                <c:pt idx="824">
                  <c:v>33744.036363636536</c:v>
                </c:pt>
                <c:pt idx="825">
                  <c:v>33744.036363636536</c:v>
                </c:pt>
                <c:pt idx="826">
                  <c:v>33744.036363636536</c:v>
                </c:pt>
                <c:pt idx="827">
                  <c:v>29696.036363636529</c:v>
                </c:pt>
                <c:pt idx="828">
                  <c:v>29696.036363636529</c:v>
                </c:pt>
                <c:pt idx="829">
                  <c:v>33744.036363636536</c:v>
                </c:pt>
                <c:pt idx="830">
                  <c:v>33744.036363636536</c:v>
                </c:pt>
                <c:pt idx="831">
                  <c:v>32544.036363636536</c:v>
                </c:pt>
                <c:pt idx="832">
                  <c:v>32544.036363636536</c:v>
                </c:pt>
                <c:pt idx="833">
                  <c:v>32544.036363636536</c:v>
                </c:pt>
                <c:pt idx="834">
                  <c:v>29696.036363636529</c:v>
                </c:pt>
                <c:pt idx="835">
                  <c:v>29696.036363636529</c:v>
                </c:pt>
                <c:pt idx="836">
                  <c:v>32544.036363636536</c:v>
                </c:pt>
                <c:pt idx="837">
                  <c:v>29696.036363636529</c:v>
                </c:pt>
                <c:pt idx="838">
                  <c:v>29696.036363636529</c:v>
                </c:pt>
                <c:pt idx="839">
                  <c:v>32544.036363636536</c:v>
                </c:pt>
                <c:pt idx="840">
                  <c:v>35296.036363636529</c:v>
                </c:pt>
                <c:pt idx="841">
                  <c:v>35296.036363636529</c:v>
                </c:pt>
                <c:pt idx="842">
                  <c:v>35296.036363636529</c:v>
                </c:pt>
                <c:pt idx="843">
                  <c:v>35296.036363636529</c:v>
                </c:pt>
                <c:pt idx="844">
                  <c:v>35296.036363636529</c:v>
                </c:pt>
                <c:pt idx="845">
                  <c:v>29696.036363636529</c:v>
                </c:pt>
                <c:pt idx="846">
                  <c:v>29696.036363636529</c:v>
                </c:pt>
                <c:pt idx="847">
                  <c:v>35296.036363636529</c:v>
                </c:pt>
                <c:pt idx="848">
                  <c:v>35296.036363636529</c:v>
                </c:pt>
                <c:pt idx="849">
                  <c:v>29696.036363636529</c:v>
                </c:pt>
                <c:pt idx="850">
                  <c:v>29696.036363636529</c:v>
                </c:pt>
                <c:pt idx="851">
                  <c:v>35296.036363636529</c:v>
                </c:pt>
                <c:pt idx="852">
                  <c:v>35296.036363636529</c:v>
                </c:pt>
                <c:pt idx="853">
                  <c:v>35296.036363636529</c:v>
                </c:pt>
                <c:pt idx="854">
                  <c:v>35296.036363636529</c:v>
                </c:pt>
                <c:pt idx="855">
                  <c:v>35296.036363636529</c:v>
                </c:pt>
                <c:pt idx="856">
                  <c:v>35296.036363636529</c:v>
                </c:pt>
                <c:pt idx="857">
                  <c:v>32896.036363636529</c:v>
                </c:pt>
                <c:pt idx="858">
                  <c:v>32896.036363636529</c:v>
                </c:pt>
                <c:pt idx="859">
                  <c:v>29696.036363636529</c:v>
                </c:pt>
                <c:pt idx="860">
                  <c:v>29696.036363636529</c:v>
                </c:pt>
                <c:pt idx="861">
                  <c:v>29696.036363636529</c:v>
                </c:pt>
                <c:pt idx="862">
                  <c:v>29696.036363636529</c:v>
                </c:pt>
                <c:pt idx="863">
                  <c:v>29696.036363636529</c:v>
                </c:pt>
                <c:pt idx="864">
                  <c:v>29696.036363636529</c:v>
                </c:pt>
                <c:pt idx="865">
                  <c:v>29696.036363636529</c:v>
                </c:pt>
                <c:pt idx="866">
                  <c:v>29696.036363636529</c:v>
                </c:pt>
                <c:pt idx="867">
                  <c:v>29696.036363636529</c:v>
                </c:pt>
                <c:pt idx="868">
                  <c:v>29696.036363636529</c:v>
                </c:pt>
                <c:pt idx="869">
                  <c:v>29696.036363636529</c:v>
                </c:pt>
                <c:pt idx="870">
                  <c:v>29696.036363636529</c:v>
                </c:pt>
                <c:pt idx="871">
                  <c:v>29696.036363636529</c:v>
                </c:pt>
                <c:pt idx="872">
                  <c:v>29696.036363636529</c:v>
                </c:pt>
                <c:pt idx="873">
                  <c:v>29696.036363636529</c:v>
                </c:pt>
                <c:pt idx="874">
                  <c:v>29696.036363636529</c:v>
                </c:pt>
                <c:pt idx="875">
                  <c:v>29696.036363636529</c:v>
                </c:pt>
                <c:pt idx="876">
                  <c:v>29696.036363636529</c:v>
                </c:pt>
                <c:pt idx="877">
                  <c:v>29696.036363636529</c:v>
                </c:pt>
                <c:pt idx="878">
                  <c:v>29696.036363636529</c:v>
                </c:pt>
                <c:pt idx="879">
                  <c:v>29696.036363636529</c:v>
                </c:pt>
                <c:pt idx="880">
                  <c:v>29696.036363636529</c:v>
                </c:pt>
                <c:pt idx="881">
                  <c:v>29696.036363636529</c:v>
                </c:pt>
                <c:pt idx="882">
                  <c:v>29696.036363636529</c:v>
                </c:pt>
                <c:pt idx="883">
                  <c:v>29696.036363636529</c:v>
                </c:pt>
                <c:pt idx="884">
                  <c:v>29696.036363636529</c:v>
                </c:pt>
                <c:pt idx="885">
                  <c:v>29696.036363636529</c:v>
                </c:pt>
                <c:pt idx="886">
                  <c:v>29696.036363636529</c:v>
                </c:pt>
                <c:pt idx="887">
                  <c:v>29696.036363636529</c:v>
                </c:pt>
                <c:pt idx="888">
                  <c:v>0</c:v>
                </c:pt>
                <c:pt idx="889">
                  <c:v>29696.036363636529</c:v>
                </c:pt>
                <c:pt idx="890">
                  <c:v>29696.036363636529</c:v>
                </c:pt>
                <c:pt idx="891">
                  <c:v>29696.036363636529</c:v>
                </c:pt>
                <c:pt idx="892">
                  <c:v>29696.036363636529</c:v>
                </c:pt>
                <c:pt idx="893">
                  <c:v>29696.036363636529</c:v>
                </c:pt>
                <c:pt idx="894">
                  <c:v>29696.036363636529</c:v>
                </c:pt>
                <c:pt idx="895">
                  <c:v>29696.036363636529</c:v>
                </c:pt>
                <c:pt idx="896">
                  <c:v>29696.036363636529</c:v>
                </c:pt>
                <c:pt idx="897">
                  <c:v>29696.036363636529</c:v>
                </c:pt>
                <c:pt idx="898">
                  <c:v>29696.036363636529</c:v>
                </c:pt>
                <c:pt idx="899">
                  <c:v>29696.036363636529</c:v>
                </c:pt>
                <c:pt idx="900">
                  <c:v>29696.036363636529</c:v>
                </c:pt>
                <c:pt idx="901">
                  <c:v>29696.036363636529</c:v>
                </c:pt>
                <c:pt idx="902">
                  <c:v>29808.036363636529</c:v>
                </c:pt>
                <c:pt idx="903">
                  <c:v>29696.036363636529</c:v>
                </c:pt>
                <c:pt idx="904">
                  <c:v>29696.036363636529</c:v>
                </c:pt>
                <c:pt idx="905">
                  <c:v>29696.036363636529</c:v>
                </c:pt>
                <c:pt idx="906">
                  <c:v>29696.036363636529</c:v>
                </c:pt>
                <c:pt idx="907">
                  <c:v>29696.036363636529</c:v>
                </c:pt>
                <c:pt idx="908">
                  <c:v>29696.036363636529</c:v>
                </c:pt>
                <c:pt idx="909">
                  <c:v>29696.036363636529</c:v>
                </c:pt>
                <c:pt idx="910">
                  <c:v>29696.036363636529</c:v>
                </c:pt>
                <c:pt idx="911">
                  <c:v>29696.036363636529</c:v>
                </c:pt>
                <c:pt idx="912">
                  <c:v>29808.036363636529</c:v>
                </c:pt>
                <c:pt idx="913">
                  <c:v>29696.036363636529</c:v>
                </c:pt>
                <c:pt idx="914">
                  <c:v>29696.036363636529</c:v>
                </c:pt>
                <c:pt idx="915">
                  <c:v>29696.036363636529</c:v>
                </c:pt>
                <c:pt idx="916">
                  <c:v>29696.036363636529</c:v>
                </c:pt>
                <c:pt idx="917">
                  <c:v>29696.036363636529</c:v>
                </c:pt>
                <c:pt idx="918">
                  <c:v>29696.036363636529</c:v>
                </c:pt>
                <c:pt idx="919">
                  <c:v>29696.036363636529</c:v>
                </c:pt>
                <c:pt idx="920">
                  <c:v>29808.036363636529</c:v>
                </c:pt>
                <c:pt idx="921">
                  <c:v>29808.036363636529</c:v>
                </c:pt>
                <c:pt idx="922">
                  <c:v>29808.036363636529</c:v>
                </c:pt>
                <c:pt idx="923">
                  <c:v>29808.036363636529</c:v>
                </c:pt>
                <c:pt idx="924">
                  <c:v>29808.036363636529</c:v>
                </c:pt>
                <c:pt idx="925">
                  <c:v>29808.036363636529</c:v>
                </c:pt>
                <c:pt idx="926">
                  <c:v>29808.036363636529</c:v>
                </c:pt>
                <c:pt idx="927">
                  <c:v>29808.036363636529</c:v>
                </c:pt>
                <c:pt idx="928">
                  <c:v>29808.036363636529</c:v>
                </c:pt>
                <c:pt idx="929">
                  <c:v>29808.036363636529</c:v>
                </c:pt>
                <c:pt idx="930">
                  <c:v>29949.316363636532</c:v>
                </c:pt>
                <c:pt idx="931">
                  <c:v>29808.036363636529</c:v>
                </c:pt>
                <c:pt idx="932">
                  <c:v>29808.036363636529</c:v>
                </c:pt>
                <c:pt idx="933">
                  <c:v>29808.036363636529</c:v>
                </c:pt>
                <c:pt idx="934">
                  <c:v>29808.036363636529</c:v>
                </c:pt>
                <c:pt idx="935">
                  <c:v>29808.036363636529</c:v>
                </c:pt>
                <c:pt idx="936">
                  <c:v>29808.036363636529</c:v>
                </c:pt>
                <c:pt idx="937">
                  <c:v>29808.036363636529</c:v>
                </c:pt>
                <c:pt idx="938">
                  <c:v>29808.036363636529</c:v>
                </c:pt>
                <c:pt idx="939">
                  <c:v>29949.316363636532</c:v>
                </c:pt>
                <c:pt idx="940">
                  <c:v>29808.036363636529</c:v>
                </c:pt>
                <c:pt idx="941">
                  <c:v>29808.036363636529</c:v>
                </c:pt>
                <c:pt idx="942">
                  <c:v>29808.036363636529</c:v>
                </c:pt>
                <c:pt idx="943">
                  <c:v>29198.116363636531</c:v>
                </c:pt>
                <c:pt idx="944">
                  <c:v>28929.316363636532</c:v>
                </c:pt>
                <c:pt idx="945">
                  <c:v>28929.316363636532</c:v>
                </c:pt>
                <c:pt idx="946">
                  <c:v>29841.316363636532</c:v>
                </c:pt>
                <c:pt idx="947">
                  <c:v>29901.316363636532</c:v>
                </c:pt>
                <c:pt idx="948">
                  <c:v>29841.316363636532</c:v>
                </c:pt>
                <c:pt idx="949">
                  <c:v>29841.316363636532</c:v>
                </c:pt>
                <c:pt idx="950">
                  <c:v>29841.316363636532</c:v>
                </c:pt>
                <c:pt idx="951">
                  <c:v>29841.316363636532</c:v>
                </c:pt>
                <c:pt idx="952">
                  <c:v>29841.316363636532</c:v>
                </c:pt>
                <c:pt idx="953">
                  <c:v>29841.316363636532</c:v>
                </c:pt>
                <c:pt idx="954">
                  <c:v>29841.316363636532</c:v>
                </c:pt>
                <c:pt idx="955">
                  <c:v>29841.316363636532</c:v>
                </c:pt>
                <c:pt idx="956">
                  <c:v>29841.316363636532</c:v>
                </c:pt>
                <c:pt idx="957">
                  <c:v>29901.316363636532</c:v>
                </c:pt>
                <c:pt idx="958">
                  <c:v>29841.316363636532</c:v>
                </c:pt>
                <c:pt idx="959">
                  <c:v>29841.316363636532</c:v>
                </c:pt>
                <c:pt idx="960">
                  <c:v>29841.316363636532</c:v>
                </c:pt>
                <c:pt idx="961">
                  <c:v>29841.316363636532</c:v>
                </c:pt>
                <c:pt idx="962">
                  <c:v>29841.316363636532</c:v>
                </c:pt>
                <c:pt idx="963">
                  <c:v>29841.316363636532</c:v>
                </c:pt>
                <c:pt idx="964">
                  <c:v>29841.316363636532</c:v>
                </c:pt>
                <c:pt idx="965">
                  <c:v>29841.316363636532</c:v>
                </c:pt>
                <c:pt idx="966">
                  <c:v>29901.316363636532</c:v>
                </c:pt>
                <c:pt idx="967">
                  <c:v>29949.316363636532</c:v>
                </c:pt>
                <c:pt idx="968">
                  <c:v>29901.316363636532</c:v>
                </c:pt>
                <c:pt idx="969">
                  <c:v>29901.316363636532</c:v>
                </c:pt>
                <c:pt idx="970">
                  <c:v>29901.316363636532</c:v>
                </c:pt>
                <c:pt idx="971">
                  <c:v>29901.316363636532</c:v>
                </c:pt>
                <c:pt idx="972">
                  <c:v>29901.316363636532</c:v>
                </c:pt>
                <c:pt idx="973">
                  <c:v>29901.316363636532</c:v>
                </c:pt>
                <c:pt idx="974">
                  <c:v>29901.316363636532</c:v>
                </c:pt>
                <c:pt idx="975">
                  <c:v>29949.316363636532</c:v>
                </c:pt>
                <c:pt idx="976">
                  <c:v>29901.316363636532</c:v>
                </c:pt>
                <c:pt idx="977">
                  <c:v>29901.316363636532</c:v>
                </c:pt>
                <c:pt idx="978">
                  <c:v>29901.316363636532</c:v>
                </c:pt>
                <c:pt idx="979">
                  <c:v>29949.316363636532</c:v>
                </c:pt>
                <c:pt idx="980">
                  <c:v>29949.316363636532</c:v>
                </c:pt>
                <c:pt idx="981">
                  <c:v>29949.316363636532</c:v>
                </c:pt>
                <c:pt idx="982">
                  <c:v>29949.316363636532</c:v>
                </c:pt>
                <c:pt idx="983">
                  <c:v>29949.316363636532</c:v>
                </c:pt>
                <c:pt idx="984">
                  <c:v>29949.316363636532</c:v>
                </c:pt>
                <c:pt idx="985">
                  <c:v>29949.316363636532</c:v>
                </c:pt>
                <c:pt idx="986">
                  <c:v>29949.316363636532</c:v>
                </c:pt>
                <c:pt idx="987">
                  <c:v>29949.316363636532</c:v>
                </c:pt>
                <c:pt idx="988">
                  <c:v>29949.316363636532</c:v>
                </c:pt>
                <c:pt idx="989">
                  <c:v>0</c:v>
                </c:pt>
                <c:pt idx="990">
                  <c:v>29021.316363636532</c:v>
                </c:pt>
                <c:pt idx="991">
                  <c:v>29021.316363636532</c:v>
                </c:pt>
                <c:pt idx="992">
                  <c:v>29021.316363636532</c:v>
                </c:pt>
                <c:pt idx="993">
                  <c:v>29021.316363636532</c:v>
                </c:pt>
                <c:pt idx="994">
                  <c:v>29021.316363636532</c:v>
                </c:pt>
                <c:pt idx="995">
                  <c:v>29021.316363636532</c:v>
                </c:pt>
                <c:pt idx="996">
                  <c:v>29021.316363636532</c:v>
                </c:pt>
                <c:pt idx="997">
                  <c:v>29021.316363636532</c:v>
                </c:pt>
                <c:pt idx="998">
                  <c:v>29021.316363636532</c:v>
                </c:pt>
                <c:pt idx="999">
                  <c:v>26461.316363636532</c:v>
                </c:pt>
                <c:pt idx="1000">
                  <c:v>26461.316363636532</c:v>
                </c:pt>
                <c:pt idx="1001">
                  <c:v>25997.316363636532</c:v>
                </c:pt>
                <c:pt idx="1002">
                  <c:v>25997.316363636532</c:v>
                </c:pt>
                <c:pt idx="1003">
                  <c:v>25997.316363636532</c:v>
                </c:pt>
                <c:pt idx="1004">
                  <c:v>25869.316363636532</c:v>
                </c:pt>
                <c:pt idx="1005">
                  <c:v>25869.316363636532</c:v>
                </c:pt>
                <c:pt idx="1006">
                  <c:v>25869.316363636532</c:v>
                </c:pt>
                <c:pt idx="1007">
                  <c:v>25869.316363636532</c:v>
                </c:pt>
                <c:pt idx="1008">
                  <c:v>25869.316363636532</c:v>
                </c:pt>
                <c:pt idx="1009">
                  <c:v>25869.316363636532</c:v>
                </c:pt>
                <c:pt idx="1010">
                  <c:v>25869.316363636532</c:v>
                </c:pt>
                <c:pt idx="1011">
                  <c:v>25869.316363636532</c:v>
                </c:pt>
                <c:pt idx="1012">
                  <c:v>25869.316363636532</c:v>
                </c:pt>
                <c:pt idx="1013">
                  <c:v>25869.316363636532</c:v>
                </c:pt>
                <c:pt idx="1014">
                  <c:v>25869.316363636532</c:v>
                </c:pt>
                <c:pt idx="1015">
                  <c:v>25869.316363636532</c:v>
                </c:pt>
                <c:pt idx="1016">
                  <c:v>25869.316363636532</c:v>
                </c:pt>
                <c:pt idx="1017">
                  <c:v>25869.316363636532</c:v>
                </c:pt>
                <c:pt idx="1018">
                  <c:v>25869.316363636532</c:v>
                </c:pt>
                <c:pt idx="1019">
                  <c:v>25869.316363636532</c:v>
                </c:pt>
                <c:pt idx="1020">
                  <c:v>25869.316363636532</c:v>
                </c:pt>
                <c:pt idx="1021">
                  <c:v>25869.316363636532</c:v>
                </c:pt>
                <c:pt idx="1022">
                  <c:v>25869.316363636532</c:v>
                </c:pt>
                <c:pt idx="1023">
                  <c:v>25869.316363636532</c:v>
                </c:pt>
                <c:pt idx="1024">
                  <c:v>25869.316363636532</c:v>
                </c:pt>
                <c:pt idx="1025">
                  <c:v>25869.316363636532</c:v>
                </c:pt>
                <c:pt idx="1027">
                  <c:v>-591.99999999999977</c:v>
                </c:pt>
                <c:pt idx="1028">
                  <c:v>-591.99999999999977</c:v>
                </c:pt>
                <c:pt idx="1029">
                  <c:v>-591.99999999999977</c:v>
                </c:pt>
                <c:pt idx="1030">
                  <c:v>-591.99999999999977</c:v>
                </c:pt>
                <c:pt idx="1031">
                  <c:v>-591.99999999999977</c:v>
                </c:pt>
                <c:pt idx="1032">
                  <c:v>-591.99999999999977</c:v>
                </c:pt>
                <c:pt idx="1033">
                  <c:v>-591.99999999999977</c:v>
                </c:pt>
                <c:pt idx="1034">
                  <c:v>-591.99999999999977</c:v>
                </c:pt>
                <c:pt idx="1035">
                  <c:v>-591.99999999999977</c:v>
                </c:pt>
                <c:pt idx="1036">
                  <c:v>-591.99999999999977</c:v>
                </c:pt>
                <c:pt idx="1037">
                  <c:v>-591.99999999999977</c:v>
                </c:pt>
                <c:pt idx="1038">
                  <c:v>-591.99999999999977</c:v>
                </c:pt>
                <c:pt idx="1039">
                  <c:v>-591.99999999999977</c:v>
                </c:pt>
                <c:pt idx="1040">
                  <c:v>-591.99999999999977</c:v>
                </c:pt>
                <c:pt idx="1041">
                  <c:v>-591.99999999999977</c:v>
                </c:pt>
                <c:pt idx="1042">
                  <c:v>-591.99999999999977</c:v>
                </c:pt>
                <c:pt idx="1043">
                  <c:v>-591.99999999999977</c:v>
                </c:pt>
                <c:pt idx="1044">
                  <c:v>-591.99999999999977</c:v>
                </c:pt>
                <c:pt idx="1045">
                  <c:v>-591.99999999999977</c:v>
                </c:pt>
                <c:pt idx="1046">
                  <c:v>-591.99999999999977</c:v>
                </c:pt>
                <c:pt idx="1047">
                  <c:v>-591.99999999999977</c:v>
                </c:pt>
                <c:pt idx="1048">
                  <c:v>-591.99999999999977</c:v>
                </c:pt>
                <c:pt idx="1049">
                  <c:v>-591.99999999999977</c:v>
                </c:pt>
                <c:pt idx="1050">
                  <c:v>-591.99999999999977</c:v>
                </c:pt>
                <c:pt idx="1051">
                  <c:v>-591.99999999999977</c:v>
                </c:pt>
                <c:pt idx="1052">
                  <c:v>-591.99999999999977</c:v>
                </c:pt>
                <c:pt idx="1053">
                  <c:v>-591.99999999999977</c:v>
                </c:pt>
                <c:pt idx="1054">
                  <c:v>-591.99999999999977</c:v>
                </c:pt>
                <c:pt idx="1055">
                  <c:v>-591.99999999999977</c:v>
                </c:pt>
                <c:pt idx="1056">
                  <c:v>-591.99999999999977</c:v>
                </c:pt>
                <c:pt idx="1057">
                  <c:v>-591.99999999999977</c:v>
                </c:pt>
                <c:pt idx="1058">
                  <c:v>-591.99999999999977</c:v>
                </c:pt>
                <c:pt idx="1059">
                  <c:v>-591.99999999999977</c:v>
                </c:pt>
                <c:pt idx="1060">
                  <c:v>-591.99999999999977</c:v>
                </c:pt>
                <c:pt idx="1061">
                  <c:v>-591.99999999999977</c:v>
                </c:pt>
                <c:pt idx="1062">
                  <c:v>-591.99999999999977</c:v>
                </c:pt>
                <c:pt idx="1063">
                  <c:v>-591.99999999999977</c:v>
                </c:pt>
                <c:pt idx="1064">
                  <c:v>-591.99999999999977</c:v>
                </c:pt>
                <c:pt idx="1065">
                  <c:v>-591.99999999999977</c:v>
                </c:pt>
                <c:pt idx="1066">
                  <c:v>-591.99999999999977</c:v>
                </c:pt>
                <c:pt idx="1067">
                  <c:v>-591.99999999999977</c:v>
                </c:pt>
                <c:pt idx="1068">
                  <c:v>-591.99999999999977</c:v>
                </c:pt>
                <c:pt idx="1069">
                  <c:v>-591.99999999999977</c:v>
                </c:pt>
                <c:pt idx="1070">
                  <c:v>-591.99999999999977</c:v>
                </c:pt>
                <c:pt idx="1071">
                  <c:v>-591.99999999999977</c:v>
                </c:pt>
                <c:pt idx="1072">
                  <c:v>-591.99999999999977</c:v>
                </c:pt>
                <c:pt idx="1073">
                  <c:v>-591.99999999999977</c:v>
                </c:pt>
                <c:pt idx="1074">
                  <c:v>-591.99999999999977</c:v>
                </c:pt>
                <c:pt idx="1075">
                  <c:v>-591.99999999999977</c:v>
                </c:pt>
                <c:pt idx="1076">
                  <c:v>-591.99999999999977</c:v>
                </c:pt>
                <c:pt idx="1077">
                  <c:v>-591.99999999999977</c:v>
                </c:pt>
                <c:pt idx="1078">
                  <c:v>-591.99999999999977</c:v>
                </c:pt>
                <c:pt idx="1079">
                  <c:v>-591.99999999999977</c:v>
                </c:pt>
                <c:pt idx="1080">
                  <c:v>-591.99999999999977</c:v>
                </c:pt>
                <c:pt idx="1081">
                  <c:v>-591.99999999999977</c:v>
                </c:pt>
                <c:pt idx="1082">
                  <c:v>-591.99999999999977</c:v>
                </c:pt>
                <c:pt idx="1083">
                  <c:v>-591.99999999999977</c:v>
                </c:pt>
                <c:pt idx="1084">
                  <c:v>-591.99999999999977</c:v>
                </c:pt>
                <c:pt idx="1085">
                  <c:v>-591.99999999999977</c:v>
                </c:pt>
                <c:pt idx="1086">
                  <c:v>-591.99999999999977</c:v>
                </c:pt>
                <c:pt idx="1087">
                  <c:v>-591.99999999999977</c:v>
                </c:pt>
                <c:pt idx="1088">
                  <c:v>-591.99999999999977</c:v>
                </c:pt>
                <c:pt idx="1089">
                  <c:v>-591.99999999999977</c:v>
                </c:pt>
                <c:pt idx="1090">
                  <c:v>-591.99999999999977</c:v>
                </c:pt>
                <c:pt idx="1091">
                  <c:v>-591.99999999999977</c:v>
                </c:pt>
                <c:pt idx="1092">
                  <c:v>-591.99999999999977</c:v>
                </c:pt>
                <c:pt idx="1093">
                  <c:v>-591.99999999999977</c:v>
                </c:pt>
                <c:pt idx="1094">
                  <c:v>-591.99999999999977</c:v>
                </c:pt>
                <c:pt idx="1095">
                  <c:v>-591.99999999999977</c:v>
                </c:pt>
                <c:pt idx="1096">
                  <c:v>-591.99999999999977</c:v>
                </c:pt>
                <c:pt idx="1097">
                  <c:v>-591.99999999999977</c:v>
                </c:pt>
                <c:pt idx="1098">
                  <c:v>-591.99999999999977</c:v>
                </c:pt>
                <c:pt idx="1099">
                  <c:v>-591.99999999999977</c:v>
                </c:pt>
                <c:pt idx="1100">
                  <c:v>-591.99999999999977</c:v>
                </c:pt>
                <c:pt idx="1101">
                  <c:v>-591.99999999999977</c:v>
                </c:pt>
                <c:pt idx="1102">
                  <c:v>-591.99999999999977</c:v>
                </c:pt>
                <c:pt idx="1103">
                  <c:v>-591.99999999999977</c:v>
                </c:pt>
                <c:pt idx="1104">
                  <c:v>-591.99999999999977</c:v>
                </c:pt>
                <c:pt idx="1105">
                  <c:v>-591.99999999999977</c:v>
                </c:pt>
                <c:pt idx="1106">
                  <c:v>-591.99999999999977</c:v>
                </c:pt>
                <c:pt idx="1107">
                  <c:v>-591.99999999999977</c:v>
                </c:pt>
                <c:pt idx="1108">
                  <c:v>-591.99999999999977</c:v>
                </c:pt>
                <c:pt idx="1109">
                  <c:v>-591.99999999999977</c:v>
                </c:pt>
                <c:pt idx="1110">
                  <c:v>-591.99999999999977</c:v>
                </c:pt>
                <c:pt idx="1111">
                  <c:v>-591.99999999999977</c:v>
                </c:pt>
                <c:pt idx="1112">
                  <c:v>-591.99999999999977</c:v>
                </c:pt>
                <c:pt idx="1113">
                  <c:v>-591.99999999999977</c:v>
                </c:pt>
                <c:pt idx="1114">
                  <c:v>-591.99999999999977</c:v>
                </c:pt>
                <c:pt idx="1115">
                  <c:v>-591.99999999999977</c:v>
                </c:pt>
                <c:pt idx="1116">
                  <c:v>-591.99999999999977</c:v>
                </c:pt>
                <c:pt idx="1117">
                  <c:v>-591.99999999999977</c:v>
                </c:pt>
                <c:pt idx="1118">
                  <c:v>-591.99999999999977</c:v>
                </c:pt>
                <c:pt idx="1119">
                  <c:v>-591.99999999999977</c:v>
                </c:pt>
                <c:pt idx="1120">
                  <c:v>-591.99999999999977</c:v>
                </c:pt>
                <c:pt idx="1121">
                  <c:v>-591.99999999999977</c:v>
                </c:pt>
                <c:pt idx="1122">
                  <c:v>-591.99999999999977</c:v>
                </c:pt>
                <c:pt idx="1123">
                  <c:v>-591.99999999999977</c:v>
                </c:pt>
                <c:pt idx="1124">
                  <c:v>-591.99999999999977</c:v>
                </c:pt>
                <c:pt idx="1125">
                  <c:v>-591.99999999999977</c:v>
                </c:pt>
                <c:pt idx="1126">
                  <c:v>-591.99999999999977</c:v>
                </c:pt>
                <c:pt idx="1127">
                  <c:v>-591.99999999999977</c:v>
                </c:pt>
                <c:pt idx="1128">
                  <c:v>-591.99999999999977</c:v>
                </c:pt>
                <c:pt idx="1129">
                  <c:v>-591.99999999999977</c:v>
                </c:pt>
                <c:pt idx="1130">
                  <c:v>-591.99999999999977</c:v>
                </c:pt>
                <c:pt idx="1131">
                  <c:v>-591.99999999999977</c:v>
                </c:pt>
                <c:pt idx="1132">
                  <c:v>-591.99999999999977</c:v>
                </c:pt>
                <c:pt idx="1133">
                  <c:v>-591.99999999999977</c:v>
                </c:pt>
                <c:pt idx="1134">
                  <c:v>-591.99999999999977</c:v>
                </c:pt>
                <c:pt idx="1135">
                  <c:v>-591.99999999999977</c:v>
                </c:pt>
                <c:pt idx="1136">
                  <c:v>-591.99999999999977</c:v>
                </c:pt>
                <c:pt idx="1137">
                  <c:v>-591.99999999999977</c:v>
                </c:pt>
                <c:pt idx="1138">
                  <c:v>-591.99999999999977</c:v>
                </c:pt>
                <c:pt idx="1139">
                  <c:v>-591.99999999999977</c:v>
                </c:pt>
                <c:pt idx="1140">
                  <c:v>-591.99999999999977</c:v>
                </c:pt>
                <c:pt idx="1141">
                  <c:v>-591.99999999999977</c:v>
                </c:pt>
                <c:pt idx="1142">
                  <c:v>-591.99999999999977</c:v>
                </c:pt>
                <c:pt idx="1143">
                  <c:v>-591.99999999999977</c:v>
                </c:pt>
                <c:pt idx="1144">
                  <c:v>-591.99999999999977</c:v>
                </c:pt>
                <c:pt idx="1145">
                  <c:v>-591.99999999999977</c:v>
                </c:pt>
                <c:pt idx="1146">
                  <c:v>-591.99999999999977</c:v>
                </c:pt>
                <c:pt idx="1147">
                  <c:v>-591.99999999999977</c:v>
                </c:pt>
                <c:pt idx="1148">
                  <c:v>-591.99999999999977</c:v>
                </c:pt>
                <c:pt idx="1149">
                  <c:v>-591.99999999999977</c:v>
                </c:pt>
                <c:pt idx="1150">
                  <c:v>-591.99999999999977</c:v>
                </c:pt>
                <c:pt idx="1151">
                  <c:v>-591.99999999999977</c:v>
                </c:pt>
                <c:pt idx="1152">
                  <c:v>-591.99999999999977</c:v>
                </c:pt>
                <c:pt idx="1153">
                  <c:v>-591.99999999999977</c:v>
                </c:pt>
                <c:pt idx="1154">
                  <c:v>-591.99999999999977</c:v>
                </c:pt>
                <c:pt idx="1155">
                  <c:v>-591.99999999999977</c:v>
                </c:pt>
                <c:pt idx="1156">
                  <c:v>-591.99999999999977</c:v>
                </c:pt>
                <c:pt idx="1157">
                  <c:v>-591.99999999999977</c:v>
                </c:pt>
                <c:pt idx="1158">
                  <c:v>-591.99999999999977</c:v>
                </c:pt>
                <c:pt idx="1159">
                  <c:v>-591.99999999999977</c:v>
                </c:pt>
                <c:pt idx="1160">
                  <c:v>-591.99999999999977</c:v>
                </c:pt>
                <c:pt idx="1161">
                  <c:v>-591.99999999999977</c:v>
                </c:pt>
                <c:pt idx="1162">
                  <c:v>-591.99999999999977</c:v>
                </c:pt>
                <c:pt idx="1163">
                  <c:v>-591.99999999999977</c:v>
                </c:pt>
                <c:pt idx="1164">
                  <c:v>-591.99999999999977</c:v>
                </c:pt>
                <c:pt idx="1165">
                  <c:v>-591.99999999999977</c:v>
                </c:pt>
                <c:pt idx="1166">
                  <c:v>-591.99999999999977</c:v>
                </c:pt>
                <c:pt idx="1167">
                  <c:v>-591.99999999999977</c:v>
                </c:pt>
                <c:pt idx="1168">
                  <c:v>-591.99999999999977</c:v>
                </c:pt>
                <c:pt idx="1169">
                  <c:v>-591.99999999999977</c:v>
                </c:pt>
                <c:pt idx="1170">
                  <c:v>-591.99999999999977</c:v>
                </c:pt>
                <c:pt idx="1171">
                  <c:v>-591.99999999999977</c:v>
                </c:pt>
                <c:pt idx="1172">
                  <c:v>-591.99999999999977</c:v>
                </c:pt>
                <c:pt idx="1173">
                  <c:v>-591.99999999999977</c:v>
                </c:pt>
                <c:pt idx="1174">
                  <c:v>-591.99999999999977</c:v>
                </c:pt>
                <c:pt idx="1175">
                  <c:v>-591.99999999999977</c:v>
                </c:pt>
                <c:pt idx="1176">
                  <c:v>-591.99999999999977</c:v>
                </c:pt>
                <c:pt idx="1177">
                  <c:v>-591.99999999999977</c:v>
                </c:pt>
                <c:pt idx="1178">
                  <c:v>-591.99999999999977</c:v>
                </c:pt>
                <c:pt idx="1179">
                  <c:v>-591.99999999999977</c:v>
                </c:pt>
                <c:pt idx="1180">
                  <c:v>-591.99999999999977</c:v>
                </c:pt>
                <c:pt idx="1181">
                  <c:v>-591.99999999999977</c:v>
                </c:pt>
                <c:pt idx="1182">
                  <c:v>-591.99999999999977</c:v>
                </c:pt>
                <c:pt idx="1183">
                  <c:v>-591.99999999999977</c:v>
                </c:pt>
                <c:pt idx="1184">
                  <c:v>-591.99999999999977</c:v>
                </c:pt>
                <c:pt idx="1185">
                  <c:v>-591.99999999999977</c:v>
                </c:pt>
                <c:pt idx="1186">
                  <c:v>-591.99999999999977</c:v>
                </c:pt>
                <c:pt idx="1187">
                  <c:v>-591.99999999999977</c:v>
                </c:pt>
                <c:pt idx="1188">
                  <c:v>-591.99999999999977</c:v>
                </c:pt>
                <c:pt idx="1189">
                  <c:v>-591.99999999999977</c:v>
                </c:pt>
                <c:pt idx="1190">
                  <c:v>-591.99999999999977</c:v>
                </c:pt>
                <c:pt idx="1191">
                  <c:v>-591.99999999999977</c:v>
                </c:pt>
                <c:pt idx="1192">
                  <c:v>-591.99999999999977</c:v>
                </c:pt>
                <c:pt idx="1193">
                  <c:v>-591.99999999999977</c:v>
                </c:pt>
                <c:pt idx="1194">
                  <c:v>-591.99999999999977</c:v>
                </c:pt>
                <c:pt idx="1195">
                  <c:v>-591.99999999999977</c:v>
                </c:pt>
                <c:pt idx="1196">
                  <c:v>-591.99999999999977</c:v>
                </c:pt>
                <c:pt idx="1197">
                  <c:v>-591.99999999999977</c:v>
                </c:pt>
                <c:pt idx="1198">
                  <c:v>-591.99999999999977</c:v>
                </c:pt>
                <c:pt idx="1199">
                  <c:v>-591.99999999999977</c:v>
                </c:pt>
                <c:pt idx="1200">
                  <c:v>-591.99999999999977</c:v>
                </c:pt>
                <c:pt idx="1201">
                  <c:v>-591.99999999999977</c:v>
                </c:pt>
                <c:pt idx="1202">
                  <c:v>-591.99999999999977</c:v>
                </c:pt>
                <c:pt idx="1203">
                  <c:v>-591.99999999999977</c:v>
                </c:pt>
                <c:pt idx="1204">
                  <c:v>-591.99999999999977</c:v>
                </c:pt>
                <c:pt idx="1205">
                  <c:v>-591.99999999999977</c:v>
                </c:pt>
                <c:pt idx="1206">
                  <c:v>-591.99999999999977</c:v>
                </c:pt>
                <c:pt idx="1207">
                  <c:v>-591.99999999999977</c:v>
                </c:pt>
                <c:pt idx="1208">
                  <c:v>-591.99999999999977</c:v>
                </c:pt>
                <c:pt idx="1209">
                  <c:v>-591.99999999999977</c:v>
                </c:pt>
                <c:pt idx="1210">
                  <c:v>-591.99999999999977</c:v>
                </c:pt>
                <c:pt idx="1211">
                  <c:v>-591.99999999999977</c:v>
                </c:pt>
                <c:pt idx="1212">
                  <c:v>-591.99999999999977</c:v>
                </c:pt>
                <c:pt idx="1213">
                  <c:v>-591.99999999999977</c:v>
                </c:pt>
                <c:pt idx="1214">
                  <c:v>-591.99999999999977</c:v>
                </c:pt>
                <c:pt idx="1215">
                  <c:v>-591.99999999999977</c:v>
                </c:pt>
                <c:pt idx="1216">
                  <c:v>-591.99999999999977</c:v>
                </c:pt>
                <c:pt idx="1217">
                  <c:v>-591.99999999999977</c:v>
                </c:pt>
                <c:pt idx="1218">
                  <c:v>-591.99999999999977</c:v>
                </c:pt>
                <c:pt idx="1219">
                  <c:v>-591.99999999999977</c:v>
                </c:pt>
                <c:pt idx="1220">
                  <c:v>-591.99999999999977</c:v>
                </c:pt>
                <c:pt idx="1221">
                  <c:v>-591.99999999999977</c:v>
                </c:pt>
                <c:pt idx="1222">
                  <c:v>-591.99999999999977</c:v>
                </c:pt>
                <c:pt idx="1223">
                  <c:v>-591.99999999999977</c:v>
                </c:pt>
                <c:pt idx="1224">
                  <c:v>-591.99999999999977</c:v>
                </c:pt>
                <c:pt idx="1225">
                  <c:v>-591.99999999999977</c:v>
                </c:pt>
                <c:pt idx="1226">
                  <c:v>-591.99999999999977</c:v>
                </c:pt>
                <c:pt idx="1227">
                  <c:v>-591.99999999999977</c:v>
                </c:pt>
                <c:pt idx="1228">
                  <c:v>-591.99999999999977</c:v>
                </c:pt>
                <c:pt idx="1229">
                  <c:v>-591.99999999999977</c:v>
                </c:pt>
                <c:pt idx="1230">
                  <c:v>-591.99999999999977</c:v>
                </c:pt>
                <c:pt idx="1231">
                  <c:v>-591.99999999999977</c:v>
                </c:pt>
                <c:pt idx="1232">
                  <c:v>-591.99999999999977</c:v>
                </c:pt>
                <c:pt idx="1233">
                  <c:v>-591.99999999999977</c:v>
                </c:pt>
                <c:pt idx="1234">
                  <c:v>-591.99999999999977</c:v>
                </c:pt>
                <c:pt idx="1235">
                  <c:v>-591.99999999999977</c:v>
                </c:pt>
                <c:pt idx="1236">
                  <c:v>-591.99999999999977</c:v>
                </c:pt>
                <c:pt idx="1237">
                  <c:v>-591.99999999999977</c:v>
                </c:pt>
              </c:numCache>
            </c:numRef>
          </c:val>
          <c:smooth val="0"/>
          <c:extLst>
            <c:ext xmlns:c16="http://schemas.microsoft.com/office/drawing/2014/chart" uri="{C3380CC4-5D6E-409C-BE32-E72D297353CC}">
              <c16:uniqueId val="{00000001-134C-42A8-825E-2F345B94FB34}"/>
            </c:ext>
          </c:extLst>
        </c:ser>
        <c:ser>
          <c:idx val="2"/>
          <c:order val="2"/>
          <c:tx>
            <c:v>FC</c:v>
          </c:tx>
          <c:spPr>
            <a:ln w="28575" cap="rnd">
              <a:solidFill>
                <a:schemeClr val="accent3"/>
              </a:solidFill>
              <a:round/>
            </a:ln>
            <a:effectLst/>
          </c:spPr>
          <c:marker>
            <c:symbol val="none"/>
          </c:marker>
          <c:cat>
            <c:strRef>
              <c:f>'Journal Live'!$A$1388:$A$2630</c:f>
              <c:strCache>
                <c:ptCount val="1238"/>
                <c:pt idx="1">
                  <c:v>JAN.24</c:v>
                </c:pt>
                <c:pt idx="2">
                  <c:v>JAN.24</c:v>
                </c:pt>
                <c:pt idx="3">
                  <c:v>JAN.24</c:v>
                </c:pt>
                <c:pt idx="4">
                  <c:v>JAN.24</c:v>
                </c:pt>
                <c:pt idx="5">
                  <c:v>JAN.24</c:v>
                </c:pt>
                <c:pt idx="6">
                  <c:v>JAN.24</c:v>
                </c:pt>
                <c:pt idx="7">
                  <c:v>JAN.24</c:v>
                </c:pt>
                <c:pt idx="8">
                  <c:v>JAN.24</c:v>
                </c:pt>
                <c:pt idx="9">
                  <c:v>JAN.24</c:v>
                </c:pt>
                <c:pt idx="10">
                  <c:v>JAN.24</c:v>
                </c:pt>
                <c:pt idx="11">
                  <c:v>JAN.24</c:v>
                </c:pt>
                <c:pt idx="12">
                  <c:v>JAN.24</c:v>
                </c:pt>
                <c:pt idx="13">
                  <c:v>JAN.24</c:v>
                </c:pt>
                <c:pt idx="14">
                  <c:v>JAN.24</c:v>
                </c:pt>
                <c:pt idx="15">
                  <c:v>JAN.24</c:v>
                </c:pt>
                <c:pt idx="16">
                  <c:v>JAN.24</c:v>
                </c:pt>
                <c:pt idx="17">
                  <c:v>JAN.24</c:v>
                </c:pt>
                <c:pt idx="18">
                  <c:v>JAN.24</c:v>
                </c:pt>
                <c:pt idx="19">
                  <c:v>JAN.24</c:v>
                </c:pt>
                <c:pt idx="20">
                  <c:v>JAN.24</c:v>
                </c:pt>
                <c:pt idx="21">
                  <c:v>JAN.24</c:v>
                </c:pt>
                <c:pt idx="22">
                  <c:v>JAN.24</c:v>
                </c:pt>
                <c:pt idx="23">
                  <c:v>JAN.24</c:v>
                </c:pt>
                <c:pt idx="24">
                  <c:v>JAN.24</c:v>
                </c:pt>
                <c:pt idx="25">
                  <c:v>JAN.24</c:v>
                </c:pt>
                <c:pt idx="26">
                  <c:v>JAN.24</c:v>
                </c:pt>
                <c:pt idx="27">
                  <c:v>JAN.24</c:v>
                </c:pt>
                <c:pt idx="28">
                  <c:v>JAN.24</c:v>
                </c:pt>
                <c:pt idx="29">
                  <c:v>JAN.24</c:v>
                </c:pt>
                <c:pt idx="30">
                  <c:v>JAN.24</c:v>
                </c:pt>
                <c:pt idx="31">
                  <c:v>JAN.24</c:v>
                </c:pt>
                <c:pt idx="32">
                  <c:v>JAN.24</c:v>
                </c:pt>
                <c:pt idx="33">
                  <c:v>JAN.24</c:v>
                </c:pt>
                <c:pt idx="34">
                  <c:v>JAN.24</c:v>
                </c:pt>
                <c:pt idx="35">
                  <c:v>JAN.24</c:v>
                </c:pt>
                <c:pt idx="36">
                  <c:v>JAN.24</c:v>
                </c:pt>
                <c:pt idx="37">
                  <c:v>JAN.24</c:v>
                </c:pt>
                <c:pt idx="38">
                  <c:v>JAN.24</c:v>
                </c:pt>
                <c:pt idx="39">
                  <c:v>JAN.24</c:v>
                </c:pt>
                <c:pt idx="40">
                  <c:v>JAN.24</c:v>
                </c:pt>
                <c:pt idx="41">
                  <c:v>JAN.24</c:v>
                </c:pt>
                <c:pt idx="42">
                  <c:v>JAN.24</c:v>
                </c:pt>
                <c:pt idx="43">
                  <c:v>JAN.24</c:v>
                </c:pt>
                <c:pt idx="44">
                  <c:v>JAN.24</c:v>
                </c:pt>
                <c:pt idx="45">
                  <c:v>JAN.24</c:v>
                </c:pt>
                <c:pt idx="46">
                  <c:v>JAN.24</c:v>
                </c:pt>
                <c:pt idx="47">
                  <c:v>JAN.24</c:v>
                </c:pt>
                <c:pt idx="48">
                  <c:v>JAN.24</c:v>
                </c:pt>
                <c:pt idx="49">
                  <c:v>JAN.24</c:v>
                </c:pt>
                <c:pt idx="50">
                  <c:v>JAN.24</c:v>
                </c:pt>
                <c:pt idx="51">
                  <c:v>JAN.24</c:v>
                </c:pt>
                <c:pt idx="52">
                  <c:v>JAN.24</c:v>
                </c:pt>
                <c:pt idx="53">
                  <c:v>JAN.24</c:v>
                </c:pt>
                <c:pt idx="54">
                  <c:v>JAN.24</c:v>
                </c:pt>
                <c:pt idx="55">
                  <c:v>JAN.24</c:v>
                </c:pt>
                <c:pt idx="56">
                  <c:v>JAN.24</c:v>
                </c:pt>
                <c:pt idx="57">
                  <c:v>JAN.24</c:v>
                </c:pt>
                <c:pt idx="58">
                  <c:v>JAN.24</c:v>
                </c:pt>
                <c:pt idx="59">
                  <c:v>JAN.24</c:v>
                </c:pt>
                <c:pt idx="60">
                  <c:v>JAN.24</c:v>
                </c:pt>
                <c:pt idx="61">
                  <c:v>JAN.24</c:v>
                </c:pt>
                <c:pt idx="62">
                  <c:v>JAN.24</c:v>
                </c:pt>
                <c:pt idx="63">
                  <c:v>JAN.24</c:v>
                </c:pt>
                <c:pt idx="64">
                  <c:v>JAN.24</c:v>
                </c:pt>
                <c:pt idx="65">
                  <c:v>JAN.24</c:v>
                </c:pt>
                <c:pt idx="66">
                  <c:v>JAN.24</c:v>
                </c:pt>
                <c:pt idx="67">
                  <c:v>JAN.24</c:v>
                </c:pt>
                <c:pt idx="68">
                  <c:v>JAN.24</c:v>
                </c:pt>
                <c:pt idx="69">
                  <c:v>JAN.24</c:v>
                </c:pt>
                <c:pt idx="70">
                  <c:v>JAN.24</c:v>
                </c:pt>
                <c:pt idx="71">
                  <c:v>JAN.24</c:v>
                </c:pt>
                <c:pt idx="72">
                  <c:v>JAN.24</c:v>
                </c:pt>
                <c:pt idx="73">
                  <c:v>JAN.24</c:v>
                </c:pt>
                <c:pt idx="74">
                  <c:v>JAN.24</c:v>
                </c:pt>
                <c:pt idx="75">
                  <c:v>JAN.24</c:v>
                </c:pt>
                <c:pt idx="76">
                  <c:v>JAN.24</c:v>
                </c:pt>
                <c:pt idx="77">
                  <c:v>JAN.24</c:v>
                </c:pt>
                <c:pt idx="78">
                  <c:v>JAN.24</c:v>
                </c:pt>
                <c:pt idx="79">
                  <c:v>JAN.24</c:v>
                </c:pt>
                <c:pt idx="80">
                  <c:v>JAN.24</c:v>
                </c:pt>
                <c:pt idx="81">
                  <c:v>JAN.24</c:v>
                </c:pt>
                <c:pt idx="82">
                  <c:v>JAN.24</c:v>
                </c:pt>
                <c:pt idx="83">
                  <c:v>JAN.24</c:v>
                </c:pt>
                <c:pt idx="84">
                  <c:v>JAN.24</c:v>
                </c:pt>
                <c:pt idx="85">
                  <c:v>JAN.24</c:v>
                </c:pt>
                <c:pt idx="86">
                  <c:v>JAN.24</c:v>
                </c:pt>
                <c:pt idx="87">
                  <c:v>JAN.24</c:v>
                </c:pt>
                <c:pt idx="88">
                  <c:v>JAN.24</c:v>
                </c:pt>
                <c:pt idx="89">
                  <c:v>JAN.24</c:v>
                </c:pt>
                <c:pt idx="90">
                  <c:v>JAN.24</c:v>
                </c:pt>
                <c:pt idx="91">
                  <c:v>JAN.24</c:v>
                </c:pt>
                <c:pt idx="92">
                  <c:v>JAN.24</c:v>
                </c:pt>
                <c:pt idx="93">
                  <c:v>JAN.24</c:v>
                </c:pt>
                <c:pt idx="94">
                  <c:v>JAN.24</c:v>
                </c:pt>
                <c:pt idx="95">
                  <c:v>JAN.24</c:v>
                </c:pt>
                <c:pt idx="96">
                  <c:v>JAN.24</c:v>
                </c:pt>
                <c:pt idx="97">
                  <c:v>JAN.24</c:v>
                </c:pt>
                <c:pt idx="98">
                  <c:v>JAN.24</c:v>
                </c:pt>
                <c:pt idx="99">
                  <c:v>JAN.24</c:v>
                </c:pt>
                <c:pt idx="100">
                  <c:v>JAN.24</c:v>
                </c:pt>
                <c:pt idx="101">
                  <c:v>JAN.24</c:v>
                </c:pt>
                <c:pt idx="102">
                  <c:v>JAN.24</c:v>
                </c:pt>
                <c:pt idx="103">
                  <c:v>JAN.24</c:v>
                </c:pt>
                <c:pt idx="104">
                  <c:v>JAN.24</c:v>
                </c:pt>
                <c:pt idx="105">
                  <c:v>JAN.24</c:v>
                </c:pt>
                <c:pt idx="106">
                  <c:v>JAN.24</c:v>
                </c:pt>
                <c:pt idx="107">
                  <c:v>JAN.24</c:v>
                </c:pt>
                <c:pt idx="108">
                  <c:v>JAN.24</c:v>
                </c:pt>
                <c:pt idx="109">
                  <c:v>JAN.24</c:v>
                </c:pt>
                <c:pt idx="110">
                  <c:v>JAN.24</c:v>
                </c:pt>
                <c:pt idx="111">
                  <c:v>JAN.24</c:v>
                </c:pt>
                <c:pt idx="112">
                  <c:v>JAN.24</c:v>
                </c:pt>
                <c:pt idx="113">
                  <c:v>JAN.24</c:v>
                </c:pt>
                <c:pt idx="114">
                  <c:v>JAN.24</c:v>
                </c:pt>
                <c:pt idx="115">
                  <c:v>JAN.24</c:v>
                </c:pt>
                <c:pt idx="116">
                  <c:v>JAN.24</c:v>
                </c:pt>
                <c:pt idx="117">
                  <c:v>JAN.24</c:v>
                </c:pt>
                <c:pt idx="118">
                  <c:v>JAN.24</c:v>
                </c:pt>
                <c:pt idx="119">
                  <c:v>JAN.24</c:v>
                </c:pt>
                <c:pt idx="120">
                  <c:v>JAN.24</c:v>
                </c:pt>
                <c:pt idx="121">
                  <c:v>JAN.24</c:v>
                </c:pt>
                <c:pt idx="122">
                  <c:v>JAN.24</c:v>
                </c:pt>
                <c:pt idx="123">
                  <c:v>JAN.24</c:v>
                </c:pt>
                <c:pt idx="124">
                  <c:v>JAN.24</c:v>
                </c:pt>
                <c:pt idx="125">
                  <c:v>JAN.24</c:v>
                </c:pt>
                <c:pt idx="126">
                  <c:v>JAN.24</c:v>
                </c:pt>
                <c:pt idx="127">
                  <c:v>JAN.24</c:v>
                </c:pt>
                <c:pt idx="128">
                  <c:v>JAN.24</c:v>
                </c:pt>
                <c:pt idx="129">
                  <c:v>JAN.24</c:v>
                </c:pt>
                <c:pt idx="130">
                  <c:v>JAN.24</c:v>
                </c:pt>
                <c:pt idx="131">
                  <c:v>JAN.24</c:v>
                </c:pt>
                <c:pt idx="132">
                  <c:v>February 24 live</c:v>
                </c:pt>
                <c:pt idx="133">
                  <c:v>FEB.24</c:v>
                </c:pt>
                <c:pt idx="134">
                  <c:v>FEB.24</c:v>
                </c:pt>
                <c:pt idx="135">
                  <c:v>FEB.24</c:v>
                </c:pt>
                <c:pt idx="136">
                  <c:v>FEB.24</c:v>
                </c:pt>
                <c:pt idx="137">
                  <c:v>FEB.24</c:v>
                </c:pt>
                <c:pt idx="138">
                  <c:v>FEB.24</c:v>
                </c:pt>
                <c:pt idx="139">
                  <c:v>FEB.24</c:v>
                </c:pt>
                <c:pt idx="140">
                  <c:v>FEB.24</c:v>
                </c:pt>
                <c:pt idx="141">
                  <c:v>FEB.24</c:v>
                </c:pt>
                <c:pt idx="142">
                  <c:v>FEB.24</c:v>
                </c:pt>
                <c:pt idx="143">
                  <c:v>FEB.24</c:v>
                </c:pt>
                <c:pt idx="144">
                  <c:v>FEB.24</c:v>
                </c:pt>
                <c:pt idx="145">
                  <c:v>FEB.24</c:v>
                </c:pt>
                <c:pt idx="146">
                  <c:v>FEB.24</c:v>
                </c:pt>
                <c:pt idx="147">
                  <c:v>FEB.24</c:v>
                </c:pt>
                <c:pt idx="148">
                  <c:v>FEB.24</c:v>
                </c:pt>
                <c:pt idx="149">
                  <c:v>FEB.24</c:v>
                </c:pt>
                <c:pt idx="150">
                  <c:v>FEB.24</c:v>
                </c:pt>
                <c:pt idx="151">
                  <c:v>FEB.24</c:v>
                </c:pt>
                <c:pt idx="152">
                  <c:v>FEB.24</c:v>
                </c:pt>
                <c:pt idx="153">
                  <c:v>FEB.24</c:v>
                </c:pt>
                <c:pt idx="154">
                  <c:v>FEB.24</c:v>
                </c:pt>
                <c:pt idx="155">
                  <c:v>FEB.24</c:v>
                </c:pt>
                <c:pt idx="156">
                  <c:v>FEB.24</c:v>
                </c:pt>
                <c:pt idx="157">
                  <c:v>FEB.24</c:v>
                </c:pt>
                <c:pt idx="158">
                  <c:v>FEB.24</c:v>
                </c:pt>
                <c:pt idx="159">
                  <c:v>FEB.24</c:v>
                </c:pt>
                <c:pt idx="160">
                  <c:v>FEB.24</c:v>
                </c:pt>
                <c:pt idx="161">
                  <c:v>FEB.24</c:v>
                </c:pt>
                <c:pt idx="162">
                  <c:v>FEB.24</c:v>
                </c:pt>
                <c:pt idx="163">
                  <c:v>FEB.24</c:v>
                </c:pt>
                <c:pt idx="164">
                  <c:v>FEB.24</c:v>
                </c:pt>
                <c:pt idx="165">
                  <c:v>FEB.24</c:v>
                </c:pt>
                <c:pt idx="166">
                  <c:v>FEB.24</c:v>
                </c:pt>
                <c:pt idx="167">
                  <c:v>FEB.24</c:v>
                </c:pt>
                <c:pt idx="168">
                  <c:v>FEB.24</c:v>
                </c:pt>
                <c:pt idx="169">
                  <c:v>FEB.24</c:v>
                </c:pt>
                <c:pt idx="170">
                  <c:v>FEB.24</c:v>
                </c:pt>
                <c:pt idx="171">
                  <c:v>FEB.24</c:v>
                </c:pt>
                <c:pt idx="172">
                  <c:v>FEB.24</c:v>
                </c:pt>
                <c:pt idx="173">
                  <c:v>FEB.24</c:v>
                </c:pt>
                <c:pt idx="174">
                  <c:v>FEB.24</c:v>
                </c:pt>
                <c:pt idx="175">
                  <c:v>FEB.24</c:v>
                </c:pt>
                <c:pt idx="176">
                  <c:v>FEB.24</c:v>
                </c:pt>
                <c:pt idx="177">
                  <c:v>FEB.24</c:v>
                </c:pt>
                <c:pt idx="178">
                  <c:v>FEB.24</c:v>
                </c:pt>
                <c:pt idx="179">
                  <c:v>FEB.24</c:v>
                </c:pt>
                <c:pt idx="180">
                  <c:v>FEB.24</c:v>
                </c:pt>
                <c:pt idx="181">
                  <c:v>FEB.24</c:v>
                </c:pt>
                <c:pt idx="182">
                  <c:v>FEB.24</c:v>
                </c:pt>
                <c:pt idx="183">
                  <c:v>FEB.24</c:v>
                </c:pt>
                <c:pt idx="184">
                  <c:v>FEB.24</c:v>
                </c:pt>
                <c:pt idx="185">
                  <c:v>FEB.24</c:v>
                </c:pt>
                <c:pt idx="186">
                  <c:v>FEB.24</c:v>
                </c:pt>
                <c:pt idx="187">
                  <c:v>FEB.24</c:v>
                </c:pt>
                <c:pt idx="188">
                  <c:v>FEB.24</c:v>
                </c:pt>
                <c:pt idx="189">
                  <c:v>FEB.24</c:v>
                </c:pt>
                <c:pt idx="190">
                  <c:v>FEB.24</c:v>
                </c:pt>
                <c:pt idx="191">
                  <c:v>FEB.24</c:v>
                </c:pt>
                <c:pt idx="192">
                  <c:v>FEB.24</c:v>
                </c:pt>
                <c:pt idx="193">
                  <c:v>FEB.24</c:v>
                </c:pt>
                <c:pt idx="194">
                  <c:v>FEB.24</c:v>
                </c:pt>
                <c:pt idx="195">
                  <c:v>FEB.24</c:v>
                </c:pt>
                <c:pt idx="196">
                  <c:v>FEB.24</c:v>
                </c:pt>
                <c:pt idx="197">
                  <c:v>FEB.24</c:v>
                </c:pt>
                <c:pt idx="198">
                  <c:v>FEB.24</c:v>
                </c:pt>
                <c:pt idx="199">
                  <c:v>FEB.24</c:v>
                </c:pt>
                <c:pt idx="200">
                  <c:v>FEB.24</c:v>
                </c:pt>
                <c:pt idx="201">
                  <c:v>FEB.24</c:v>
                </c:pt>
                <c:pt idx="202">
                  <c:v>FEB.24</c:v>
                </c:pt>
                <c:pt idx="203">
                  <c:v>FEB.24</c:v>
                </c:pt>
                <c:pt idx="204">
                  <c:v>FEB.24</c:v>
                </c:pt>
                <c:pt idx="205">
                  <c:v>FEB.24</c:v>
                </c:pt>
                <c:pt idx="206">
                  <c:v>FEB.24</c:v>
                </c:pt>
                <c:pt idx="207">
                  <c:v>FEB.24</c:v>
                </c:pt>
                <c:pt idx="208">
                  <c:v>FEB.24</c:v>
                </c:pt>
                <c:pt idx="209">
                  <c:v>FEB.24</c:v>
                </c:pt>
                <c:pt idx="210">
                  <c:v>FEB.24</c:v>
                </c:pt>
                <c:pt idx="211">
                  <c:v>FEB.24</c:v>
                </c:pt>
                <c:pt idx="212">
                  <c:v>FEB.24</c:v>
                </c:pt>
                <c:pt idx="213">
                  <c:v>FEB.24</c:v>
                </c:pt>
                <c:pt idx="214">
                  <c:v>FEB.24</c:v>
                </c:pt>
                <c:pt idx="215">
                  <c:v>FEB.24</c:v>
                </c:pt>
                <c:pt idx="216">
                  <c:v>FEB.24</c:v>
                </c:pt>
                <c:pt idx="217">
                  <c:v>FEB.24</c:v>
                </c:pt>
                <c:pt idx="218">
                  <c:v>FEB.24</c:v>
                </c:pt>
                <c:pt idx="219">
                  <c:v>FEB.24</c:v>
                </c:pt>
                <c:pt idx="220">
                  <c:v>FEB.24</c:v>
                </c:pt>
                <c:pt idx="221">
                  <c:v>FEB.24</c:v>
                </c:pt>
                <c:pt idx="222">
                  <c:v>FEB.24</c:v>
                </c:pt>
                <c:pt idx="223">
                  <c:v>FEB.24</c:v>
                </c:pt>
                <c:pt idx="224">
                  <c:v>FEB.24</c:v>
                </c:pt>
                <c:pt idx="225">
                  <c:v>FEB.24</c:v>
                </c:pt>
                <c:pt idx="226">
                  <c:v>FEB.24</c:v>
                </c:pt>
                <c:pt idx="227">
                  <c:v>FEB.24</c:v>
                </c:pt>
                <c:pt idx="228">
                  <c:v>FEB.24</c:v>
                </c:pt>
                <c:pt idx="229">
                  <c:v>FEB.24</c:v>
                </c:pt>
                <c:pt idx="230">
                  <c:v>FEB.24</c:v>
                </c:pt>
                <c:pt idx="231">
                  <c:v>FEB.24</c:v>
                </c:pt>
                <c:pt idx="232">
                  <c:v>FEB.24</c:v>
                </c:pt>
                <c:pt idx="233">
                  <c:v>FEB.24</c:v>
                </c:pt>
                <c:pt idx="234">
                  <c:v>FEB.24</c:v>
                </c:pt>
                <c:pt idx="235">
                  <c:v>FEB.24</c:v>
                </c:pt>
                <c:pt idx="236">
                  <c:v>FEB.24</c:v>
                </c:pt>
                <c:pt idx="237">
                  <c:v>FEB.24</c:v>
                </c:pt>
                <c:pt idx="238">
                  <c:v>FEB.24</c:v>
                </c:pt>
                <c:pt idx="239">
                  <c:v>FEB.24</c:v>
                </c:pt>
                <c:pt idx="240">
                  <c:v>FEB.24</c:v>
                </c:pt>
                <c:pt idx="241">
                  <c:v>FEB.24</c:v>
                </c:pt>
                <c:pt idx="242">
                  <c:v>FEB.24</c:v>
                </c:pt>
                <c:pt idx="243">
                  <c:v>FEB.24</c:v>
                </c:pt>
                <c:pt idx="244">
                  <c:v>FEB.24</c:v>
                </c:pt>
                <c:pt idx="245">
                  <c:v>FEB.24</c:v>
                </c:pt>
                <c:pt idx="246">
                  <c:v>FEB.24</c:v>
                </c:pt>
                <c:pt idx="247">
                  <c:v>FEB.24</c:v>
                </c:pt>
                <c:pt idx="248">
                  <c:v>FEB.24</c:v>
                </c:pt>
                <c:pt idx="249">
                  <c:v>FEB.24</c:v>
                </c:pt>
                <c:pt idx="250">
                  <c:v>FEB.24</c:v>
                </c:pt>
                <c:pt idx="251">
                  <c:v>FEB.24</c:v>
                </c:pt>
                <c:pt idx="252">
                  <c:v>March 24 live</c:v>
                </c:pt>
                <c:pt idx="253">
                  <c:v>MAR.24</c:v>
                </c:pt>
                <c:pt idx="254">
                  <c:v>MAR.24</c:v>
                </c:pt>
                <c:pt idx="255">
                  <c:v>MAR.24</c:v>
                </c:pt>
                <c:pt idx="256">
                  <c:v>MAR.24</c:v>
                </c:pt>
                <c:pt idx="257">
                  <c:v>MAR.24</c:v>
                </c:pt>
                <c:pt idx="258">
                  <c:v>MAR.24</c:v>
                </c:pt>
                <c:pt idx="259">
                  <c:v>MAR.24</c:v>
                </c:pt>
                <c:pt idx="260">
                  <c:v>MAR.24</c:v>
                </c:pt>
                <c:pt idx="261">
                  <c:v>MAR.24</c:v>
                </c:pt>
                <c:pt idx="262">
                  <c:v>MAR.24</c:v>
                </c:pt>
                <c:pt idx="263">
                  <c:v>MAR.24</c:v>
                </c:pt>
                <c:pt idx="264">
                  <c:v>MAR.24</c:v>
                </c:pt>
                <c:pt idx="265">
                  <c:v>MAR.24</c:v>
                </c:pt>
                <c:pt idx="266">
                  <c:v>MAR.24</c:v>
                </c:pt>
                <c:pt idx="267">
                  <c:v>MAR.24</c:v>
                </c:pt>
                <c:pt idx="268">
                  <c:v>MAR.24</c:v>
                </c:pt>
                <c:pt idx="269">
                  <c:v>MAR.24</c:v>
                </c:pt>
                <c:pt idx="270">
                  <c:v>MAR.24</c:v>
                </c:pt>
                <c:pt idx="271">
                  <c:v>MAR.24</c:v>
                </c:pt>
                <c:pt idx="272">
                  <c:v>MAR.24</c:v>
                </c:pt>
                <c:pt idx="273">
                  <c:v>MAR.24</c:v>
                </c:pt>
                <c:pt idx="274">
                  <c:v>MAR.24</c:v>
                </c:pt>
                <c:pt idx="275">
                  <c:v>MAR.24</c:v>
                </c:pt>
                <c:pt idx="276">
                  <c:v>MAR.24</c:v>
                </c:pt>
                <c:pt idx="277">
                  <c:v>MAR.24</c:v>
                </c:pt>
                <c:pt idx="278">
                  <c:v>MAR.24</c:v>
                </c:pt>
                <c:pt idx="279">
                  <c:v>MAR.24</c:v>
                </c:pt>
                <c:pt idx="280">
                  <c:v>MAR.24</c:v>
                </c:pt>
                <c:pt idx="281">
                  <c:v>MAR.24</c:v>
                </c:pt>
                <c:pt idx="282">
                  <c:v>MAR.24</c:v>
                </c:pt>
                <c:pt idx="283">
                  <c:v>MAR.24</c:v>
                </c:pt>
                <c:pt idx="284">
                  <c:v>MAR.24</c:v>
                </c:pt>
                <c:pt idx="285">
                  <c:v>MAR.24</c:v>
                </c:pt>
                <c:pt idx="286">
                  <c:v>MAR.24</c:v>
                </c:pt>
                <c:pt idx="287">
                  <c:v>MAR.24</c:v>
                </c:pt>
                <c:pt idx="288">
                  <c:v>MAR.24</c:v>
                </c:pt>
                <c:pt idx="289">
                  <c:v>MAR.24</c:v>
                </c:pt>
                <c:pt idx="290">
                  <c:v>MAR.24</c:v>
                </c:pt>
                <c:pt idx="291">
                  <c:v>MAR.24</c:v>
                </c:pt>
                <c:pt idx="292">
                  <c:v>MAR.24</c:v>
                </c:pt>
                <c:pt idx="293">
                  <c:v>MAR.24</c:v>
                </c:pt>
                <c:pt idx="294">
                  <c:v>MAR.24</c:v>
                </c:pt>
                <c:pt idx="295">
                  <c:v>MAR.24</c:v>
                </c:pt>
                <c:pt idx="296">
                  <c:v>MAR.24</c:v>
                </c:pt>
                <c:pt idx="297">
                  <c:v>MAR.24</c:v>
                </c:pt>
                <c:pt idx="298">
                  <c:v>MAR.24</c:v>
                </c:pt>
                <c:pt idx="299">
                  <c:v>MAR.24</c:v>
                </c:pt>
                <c:pt idx="300">
                  <c:v>MAR.24</c:v>
                </c:pt>
                <c:pt idx="301">
                  <c:v>MAR.24</c:v>
                </c:pt>
                <c:pt idx="302">
                  <c:v>MAR.24</c:v>
                </c:pt>
                <c:pt idx="303">
                  <c:v>MAR.24</c:v>
                </c:pt>
                <c:pt idx="304">
                  <c:v>MAR.24</c:v>
                </c:pt>
                <c:pt idx="305">
                  <c:v>MAR.24</c:v>
                </c:pt>
                <c:pt idx="306">
                  <c:v>MAR.24</c:v>
                </c:pt>
                <c:pt idx="307">
                  <c:v>MAR.24</c:v>
                </c:pt>
                <c:pt idx="308">
                  <c:v>MAR.24</c:v>
                </c:pt>
                <c:pt idx="309">
                  <c:v>MAR.24</c:v>
                </c:pt>
                <c:pt idx="310">
                  <c:v>MAR.24</c:v>
                </c:pt>
                <c:pt idx="311">
                  <c:v>MAR.24</c:v>
                </c:pt>
                <c:pt idx="312">
                  <c:v>MAR.24</c:v>
                </c:pt>
                <c:pt idx="313">
                  <c:v>MAR.24</c:v>
                </c:pt>
                <c:pt idx="314">
                  <c:v>MAR.24</c:v>
                </c:pt>
                <c:pt idx="315">
                  <c:v>MAR.24</c:v>
                </c:pt>
                <c:pt idx="316">
                  <c:v>MAR.24</c:v>
                </c:pt>
                <c:pt idx="317">
                  <c:v>MAR.24</c:v>
                </c:pt>
                <c:pt idx="318">
                  <c:v>MAR.24</c:v>
                </c:pt>
                <c:pt idx="319">
                  <c:v>MAR.24</c:v>
                </c:pt>
                <c:pt idx="320">
                  <c:v>MAR.24</c:v>
                </c:pt>
                <c:pt idx="321">
                  <c:v>MAR.24</c:v>
                </c:pt>
                <c:pt idx="322">
                  <c:v>MAR.24</c:v>
                </c:pt>
                <c:pt idx="323">
                  <c:v>MAR.24</c:v>
                </c:pt>
                <c:pt idx="324">
                  <c:v>MAR.24</c:v>
                </c:pt>
                <c:pt idx="325">
                  <c:v>MAR.24</c:v>
                </c:pt>
                <c:pt idx="326">
                  <c:v>MAR.24</c:v>
                </c:pt>
                <c:pt idx="327">
                  <c:v>MAR.24</c:v>
                </c:pt>
                <c:pt idx="328">
                  <c:v>MAR.24</c:v>
                </c:pt>
                <c:pt idx="329">
                  <c:v>MAR.24</c:v>
                </c:pt>
                <c:pt idx="330">
                  <c:v>MAR.24</c:v>
                </c:pt>
                <c:pt idx="331">
                  <c:v>MAR.24</c:v>
                </c:pt>
                <c:pt idx="332">
                  <c:v>MAR.24</c:v>
                </c:pt>
                <c:pt idx="333">
                  <c:v>MAR.24</c:v>
                </c:pt>
                <c:pt idx="334">
                  <c:v>MAR.24</c:v>
                </c:pt>
                <c:pt idx="335">
                  <c:v>MAR.24</c:v>
                </c:pt>
                <c:pt idx="336">
                  <c:v>MAR.24</c:v>
                </c:pt>
                <c:pt idx="337">
                  <c:v>MAR.24</c:v>
                </c:pt>
                <c:pt idx="338">
                  <c:v>MAR.24</c:v>
                </c:pt>
                <c:pt idx="339">
                  <c:v>MAR.24</c:v>
                </c:pt>
                <c:pt idx="340">
                  <c:v>MAR.24</c:v>
                </c:pt>
                <c:pt idx="341">
                  <c:v>MAR.24</c:v>
                </c:pt>
                <c:pt idx="342">
                  <c:v>MAR.24</c:v>
                </c:pt>
                <c:pt idx="343">
                  <c:v>MAR.24</c:v>
                </c:pt>
                <c:pt idx="344">
                  <c:v>MAR.24</c:v>
                </c:pt>
                <c:pt idx="345">
                  <c:v>April 24 live</c:v>
                </c:pt>
                <c:pt idx="346">
                  <c:v>APR.24</c:v>
                </c:pt>
                <c:pt idx="347">
                  <c:v>APR.24</c:v>
                </c:pt>
                <c:pt idx="348">
                  <c:v>APR.24</c:v>
                </c:pt>
                <c:pt idx="349">
                  <c:v>APR.24</c:v>
                </c:pt>
                <c:pt idx="350">
                  <c:v>APR.24</c:v>
                </c:pt>
                <c:pt idx="351">
                  <c:v>APR.24</c:v>
                </c:pt>
                <c:pt idx="352">
                  <c:v>APR.24</c:v>
                </c:pt>
                <c:pt idx="353">
                  <c:v>APR.24</c:v>
                </c:pt>
                <c:pt idx="354">
                  <c:v>APR.24</c:v>
                </c:pt>
                <c:pt idx="355">
                  <c:v>APR.24</c:v>
                </c:pt>
                <c:pt idx="356">
                  <c:v>APR.24</c:v>
                </c:pt>
                <c:pt idx="357">
                  <c:v>APR.24</c:v>
                </c:pt>
                <c:pt idx="358">
                  <c:v>APR.24</c:v>
                </c:pt>
                <c:pt idx="359">
                  <c:v>APR.24</c:v>
                </c:pt>
                <c:pt idx="360">
                  <c:v>APR.24</c:v>
                </c:pt>
                <c:pt idx="361">
                  <c:v>APR.24</c:v>
                </c:pt>
                <c:pt idx="362">
                  <c:v>APR.24</c:v>
                </c:pt>
                <c:pt idx="363">
                  <c:v>APR.24</c:v>
                </c:pt>
                <c:pt idx="364">
                  <c:v>APR.24</c:v>
                </c:pt>
                <c:pt idx="365">
                  <c:v>APR.24</c:v>
                </c:pt>
                <c:pt idx="366">
                  <c:v>APR.24</c:v>
                </c:pt>
                <c:pt idx="367">
                  <c:v>APR.24</c:v>
                </c:pt>
                <c:pt idx="368">
                  <c:v>APR.24</c:v>
                </c:pt>
                <c:pt idx="369">
                  <c:v>APR.24</c:v>
                </c:pt>
                <c:pt idx="370">
                  <c:v>APR.24</c:v>
                </c:pt>
                <c:pt idx="371">
                  <c:v>APR.24</c:v>
                </c:pt>
                <c:pt idx="372">
                  <c:v>APR.24</c:v>
                </c:pt>
                <c:pt idx="373">
                  <c:v>APR.24</c:v>
                </c:pt>
                <c:pt idx="374">
                  <c:v>APR.24</c:v>
                </c:pt>
                <c:pt idx="375">
                  <c:v>APR.24</c:v>
                </c:pt>
                <c:pt idx="376">
                  <c:v>APR.24</c:v>
                </c:pt>
                <c:pt idx="377">
                  <c:v>APR.24</c:v>
                </c:pt>
                <c:pt idx="378">
                  <c:v>APR.24</c:v>
                </c:pt>
                <c:pt idx="379">
                  <c:v>APR.24</c:v>
                </c:pt>
                <c:pt idx="380">
                  <c:v>APR.24</c:v>
                </c:pt>
                <c:pt idx="381">
                  <c:v>APR.24</c:v>
                </c:pt>
                <c:pt idx="382">
                  <c:v>APR.24</c:v>
                </c:pt>
                <c:pt idx="383">
                  <c:v>APR.24</c:v>
                </c:pt>
                <c:pt idx="384">
                  <c:v>APR.24</c:v>
                </c:pt>
                <c:pt idx="385">
                  <c:v>APR.24</c:v>
                </c:pt>
                <c:pt idx="386">
                  <c:v>APR.24</c:v>
                </c:pt>
                <c:pt idx="387">
                  <c:v>APR.24</c:v>
                </c:pt>
                <c:pt idx="388">
                  <c:v>APR.24</c:v>
                </c:pt>
                <c:pt idx="389">
                  <c:v>APR.24</c:v>
                </c:pt>
                <c:pt idx="390">
                  <c:v>APR.24</c:v>
                </c:pt>
                <c:pt idx="391">
                  <c:v>APR.24</c:v>
                </c:pt>
                <c:pt idx="392">
                  <c:v>APR.24</c:v>
                </c:pt>
                <c:pt idx="393">
                  <c:v>APR.24</c:v>
                </c:pt>
                <c:pt idx="394">
                  <c:v>APR.24</c:v>
                </c:pt>
                <c:pt idx="395">
                  <c:v>APR.24</c:v>
                </c:pt>
                <c:pt idx="396">
                  <c:v>APR.24</c:v>
                </c:pt>
                <c:pt idx="397">
                  <c:v>APR.24</c:v>
                </c:pt>
                <c:pt idx="398">
                  <c:v>APR.24</c:v>
                </c:pt>
                <c:pt idx="399">
                  <c:v>APR.24</c:v>
                </c:pt>
                <c:pt idx="400">
                  <c:v>APR.24</c:v>
                </c:pt>
                <c:pt idx="401">
                  <c:v>APR.24</c:v>
                </c:pt>
                <c:pt idx="402">
                  <c:v>APR.24</c:v>
                </c:pt>
                <c:pt idx="403">
                  <c:v>APR.24</c:v>
                </c:pt>
                <c:pt idx="404">
                  <c:v>APR.24</c:v>
                </c:pt>
                <c:pt idx="405">
                  <c:v>APR.24</c:v>
                </c:pt>
                <c:pt idx="406">
                  <c:v>APR.24</c:v>
                </c:pt>
                <c:pt idx="407">
                  <c:v>APR.24</c:v>
                </c:pt>
                <c:pt idx="408">
                  <c:v>APR.24</c:v>
                </c:pt>
                <c:pt idx="409">
                  <c:v>APR.24</c:v>
                </c:pt>
                <c:pt idx="410">
                  <c:v>APR.24</c:v>
                </c:pt>
                <c:pt idx="411">
                  <c:v>APR.24</c:v>
                </c:pt>
                <c:pt idx="412">
                  <c:v>APR.24</c:v>
                </c:pt>
                <c:pt idx="413">
                  <c:v>APR.24</c:v>
                </c:pt>
                <c:pt idx="414">
                  <c:v>APR.24</c:v>
                </c:pt>
                <c:pt idx="415">
                  <c:v>APR.24</c:v>
                </c:pt>
                <c:pt idx="416">
                  <c:v>APR.24</c:v>
                </c:pt>
                <c:pt idx="417">
                  <c:v>APR.24</c:v>
                </c:pt>
                <c:pt idx="418">
                  <c:v>APR.24</c:v>
                </c:pt>
                <c:pt idx="419">
                  <c:v>APR.24</c:v>
                </c:pt>
                <c:pt idx="420">
                  <c:v>APR.24</c:v>
                </c:pt>
                <c:pt idx="421">
                  <c:v>APR.24</c:v>
                </c:pt>
                <c:pt idx="422">
                  <c:v>APR.24</c:v>
                </c:pt>
                <c:pt idx="423">
                  <c:v>APR.24</c:v>
                </c:pt>
                <c:pt idx="424">
                  <c:v>APR.24</c:v>
                </c:pt>
                <c:pt idx="425">
                  <c:v>APR.24</c:v>
                </c:pt>
                <c:pt idx="426">
                  <c:v>APR.24</c:v>
                </c:pt>
                <c:pt idx="427">
                  <c:v>APR.24</c:v>
                </c:pt>
                <c:pt idx="428">
                  <c:v>APR.24</c:v>
                </c:pt>
                <c:pt idx="429">
                  <c:v>APR.24</c:v>
                </c:pt>
                <c:pt idx="430">
                  <c:v>APR.24</c:v>
                </c:pt>
                <c:pt idx="431">
                  <c:v>APR.24</c:v>
                </c:pt>
                <c:pt idx="432">
                  <c:v>APR.24</c:v>
                </c:pt>
                <c:pt idx="433">
                  <c:v>APR.24</c:v>
                </c:pt>
                <c:pt idx="434">
                  <c:v>APR.24</c:v>
                </c:pt>
                <c:pt idx="435">
                  <c:v>APR.24</c:v>
                </c:pt>
                <c:pt idx="436">
                  <c:v>APR.24</c:v>
                </c:pt>
                <c:pt idx="437">
                  <c:v>APR.24</c:v>
                </c:pt>
                <c:pt idx="438">
                  <c:v>APR.24</c:v>
                </c:pt>
                <c:pt idx="439">
                  <c:v>APR.24</c:v>
                </c:pt>
                <c:pt idx="440">
                  <c:v>APR.24</c:v>
                </c:pt>
                <c:pt idx="441">
                  <c:v>APR.24</c:v>
                </c:pt>
                <c:pt idx="442">
                  <c:v>APR.24</c:v>
                </c:pt>
                <c:pt idx="443">
                  <c:v>APR.24</c:v>
                </c:pt>
                <c:pt idx="444">
                  <c:v>APR.24</c:v>
                </c:pt>
                <c:pt idx="445">
                  <c:v>APR.24</c:v>
                </c:pt>
                <c:pt idx="446">
                  <c:v>APR.24</c:v>
                </c:pt>
                <c:pt idx="447">
                  <c:v>APR.24</c:v>
                </c:pt>
                <c:pt idx="448">
                  <c:v>APR.24</c:v>
                </c:pt>
                <c:pt idx="449">
                  <c:v>APR.24</c:v>
                </c:pt>
                <c:pt idx="450">
                  <c:v>APR.24</c:v>
                </c:pt>
                <c:pt idx="451">
                  <c:v>APR.24</c:v>
                </c:pt>
                <c:pt idx="452">
                  <c:v>APR.24</c:v>
                </c:pt>
                <c:pt idx="453">
                  <c:v>APR.24</c:v>
                </c:pt>
                <c:pt idx="454">
                  <c:v>APR.24</c:v>
                </c:pt>
                <c:pt idx="455">
                  <c:v>APR.24</c:v>
                </c:pt>
                <c:pt idx="456">
                  <c:v>APR.24</c:v>
                </c:pt>
                <c:pt idx="457">
                  <c:v>APR.24</c:v>
                </c:pt>
                <c:pt idx="458">
                  <c:v>APR.24</c:v>
                </c:pt>
                <c:pt idx="459">
                  <c:v>APR.24</c:v>
                </c:pt>
                <c:pt idx="460">
                  <c:v>APR.24</c:v>
                </c:pt>
                <c:pt idx="461">
                  <c:v>APR.24</c:v>
                </c:pt>
                <c:pt idx="462">
                  <c:v>APR.24</c:v>
                </c:pt>
                <c:pt idx="463">
                  <c:v>APR.24</c:v>
                </c:pt>
                <c:pt idx="464">
                  <c:v>APR.24</c:v>
                </c:pt>
                <c:pt idx="465">
                  <c:v>APR.24</c:v>
                </c:pt>
                <c:pt idx="466">
                  <c:v>APR.24</c:v>
                </c:pt>
                <c:pt idx="467">
                  <c:v>APR.24</c:v>
                </c:pt>
                <c:pt idx="468">
                  <c:v>APR.24</c:v>
                </c:pt>
                <c:pt idx="469">
                  <c:v>APR.24</c:v>
                </c:pt>
                <c:pt idx="470">
                  <c:v>APR.24</c:v>
                </c:pt>
                <c:pt idx="471">
                  <c:v>APR.24</c:v>
                </c:pt>
                <c:pt idx="472">
                  <c:v>APR.24</c:v>
                </c:pt>
                <c:pt idx="473">
                  <c:v>APR.24</c:v>
                </c:pt>
                <c:pt idx="474">
                  <c:v>APR.24</c:v>
                </c:pt>
                <c:pt idx="475">
                  <c:v>APR.24</c:v>
                </c:pt>
                <c:pt idx="476">
                  <c:v>APR.24</c:v>
                </c:pt>
                <c:pt idx="477">
                  <c:v>APR.24</c:v>
                </c:pt>
                <c:pt idx="478">
                  <c:v>APR.24</c:v>
                </c:pt>
                <c:pt idx="479">
                  <c:v>APR.24</c:v>
                </c:pt>
                <c:pt idx="480">
                  <c:v>APR.24</c:v>
                </c:pt>
                <c:pt idx="481">
                  <c:v>APR.24</c:v>
                </c:pt>
                <c:pt idx="482">
                  <c:v>APR.24</c:v>
                </c:pt>
                <c:pt idx="483">
                  <c:v>APR.24</c:v>
                </c:pt>
                <c:pt idx="484">
                  <c:v>APR.24</c:v>
                </c:pt>
                <c:pt idx="485">
                  <c:v>APR.24</c:v>
                </c:pt>
                <c:pt idx="486">
                  <c:v>APR.24</c:v>
                </c:pt>
                <c:pt idx="487">
                  <c:v>APR.24</c:v>
                </c:pt>
                <c:pt idx="488">
                  <c:v>APR.24</c:v>
                </c:pt>
                <c:pt idx="489">
                  <c:v>APR.24</c:v>
                </c:pt>
                <c:pt idx="490">
                  <c:v>APR.24</c:v>
                </c:pt>
                <c:pt idx="491">
                  <c:v>APR.24</c:v>
                </c:pt>
                <c:pt idx="492">
                  <c:v>APR.24</c:v>
                </c:pt>
                <c:pt idx="493">
                  <c:v>APR.24</c:v>
                </c:pt>
                <c:pt idx="494">
                  <c:v>APR.24</c:v>
                </c:pt>
                <c:pt idx="495">
                  <c:v>APR.24</c:v>
                </c:pt>
                <c:pt idx="496">
                  <c:v>APR.24</c:v>
                </c:pt>
                <c:pt idx="497">
                  <c:v>APR.24</c:v>
                </c:pt>
                <c:pt idx="498">
                  <c:v>APR.24</c:v>
                </c:pt>
                <c:pt idx="499">
                  <c:v>APR.24</c:v>
                </c:pt>
                <c:pt idx="500">
                  <c:v>APR.24</c:v>
                </c:pt>
                <c:pt idx="501">
                  <c:v>APR.24</c:v>
                </c:pt>
                <c:pt idx="502">
                  <c:v>APR.24</c:v>
                </c:pt>
                <c:pt idx="503">
                  <c:v>APR.24</c:v>
                </c:pt>
                <c:pt idx="504">
                  <c:v>APR.24</c:v>
                </c:pt>
                <c:pt idx="505">
                  <c:v>APR.24</c:v>
                </c:pt>
                <c:pt idx="506">
                  <c:v>APR.24</c:v>
                </c:pt>
                <c:pt idx="507">
                  <c:v>APR.24</c:v>
                </c:pt>
                <c:pt idx="508">
                  <c:v>APR.24</c:v>
                </c:pt>
                <c:pt idx="509">
                  <c:v>APR.24</c:v>
                </c:pt>
                <c:pt idx="510">
                  <c:v>APR.24</c:v>
                </c:pt>
                <c:pt idx="511">
                  <c:v>APR.24</c:v>
                </c:pt>
                <c:pt idx="512">
                  <c:v>APR.24</c:v>
                </c:pt>
                <c:pt idx="513">
                  <c:v>APR.24</c:v>
                </c:pt>
                <c:pt idx="514">
                  <c:v>APR.24</c:v>
                </c:pt>
                <c:pt idx="515">
                  <c:v>APR.24</c:v>
                </c:pt>
                <c:pt idx="516">
                  <c:v>APR.24</c:v>
                </c:pt>
                <c:pt idx="517">
                  <c:v>APR.24</c:v>
                </c:pt>
                <c:pt idx="518">
                  <c:v>APR.24</c:v>
                </c:pt>
                <c:pt idx="519">
                  <c:v>APR.24</c:v>
                </c:pt>
                <c:pt idx="520">
                  <c:v>APR.24</c:v>
                </c:pt>
                <c:pt idx="521">
                  <c:v>APR.24</c:v>
                </c:pt>
                <c:pt idx="522">
                  <c:v>APR.24</c:v>
                </c:pt>
                <c:pt idx="523">
                  <c:v>APR.24</c:v>
                </c:pt>
                <c:pt idx="524">
                  <c:v>APR.24</c:v>
                </c:pt>
                <c:pt idx="525">
                  <c:v>APR.24</c:v>
                </c:pt>
                <c:pt idx="526">
                  <c:v>APR.24</c:v>
                </c:pt>
                <c:pt idx="527">
                  <c:v>APR.24</c:v>
                </c:pt>
                <c:pt idx="528">
                  <c:v>APR.24</c:v>
                </c:pt>
                <c:pt idx="529">
                  <c:v>APR.24</c:v>
                </c:pt>
                <c:pt idx="530">
                  <c:v>APR.24</c:v>
                </c:pt>
                <c:pt idx="531">
                  <c:v>APR.24</c:v>
                </c:pt>
                <c:pt idx="532">
                  <c:v>APR.24</c:v>
                </c:pt>
                <c:pt idx="533">
                  <c:v>APR.24</c:v>
                </c:pt>
                <c:pt idx="534">
                  <c:v>APR.24</c:v>
                </c:pt>
                <c:pt idx="535">
                  <c:v>APR.24</c:v>
                </c:pt>
                <c:pt idx="536">
                  <c:v>May 24 live</c:v>
                </c:pt>
                <c:pt idx="537">
                  <c:v>MAY.24</c:v>
                </c:pt>
                <c:pt idx="538">
                  <c:v>MAY.24</c:v>
                </c:pt>
                <c:pt idx="539">
                  <c:v>MAY.24</c:v>
                </c:pt>
                <c:pt idx="540">
                  <c:v>MAY.24</c:v>
                </c:pt>
                <c:pt idx="541">
                  <c:v>MAY.24</c:v>
                </c:pt>
                <c:pt idx="542">
                  <c:v>MAY.24</c:v>
                </c:pt>
                <c:pt idx="543">
                  <c:v>MAY.24</c:v>
                </c:pt>
                <c:pt idx="544">
                  <c:v>MAY.24</c:v>
                </c:pt>
                <c:pt idx="545">
                  <c:v>MAY.24</c:v>
                </c:pt>
                <c:pt idx="546">
                  <c:v>MAY.24</c:v>
                </c:pt>
                <c:pt idx="547">
                  <c:v>MAY.24</c:v>
                </c:pt>
                <c:pt idx="548">
                  <c:v>MAY.24</c:v>
                </c:pt>
                <c:pt idx="549">
                  <c:v>MAY.24</c:v>
                </c:pt>
                <c:pt idx="550">
                  <c:v>MAY.24</c:v>
                </c:pt>
                <c:pt idx="551">
                  <c:v>MAY.24</c:v>
                </c:pt>
                <c:pt idx="552">
                  <c:v>MAY.24</c:v>
                </c:pt>
                <c:pt idx="553">
                  <c:v>MAY.24</c:v>
                </c:pt>
                <c:pt idx="554">
                  <c:v>MAY.24</c:v>
                </c:pt>
                <c:pt idx="555">
                  <c:v>MAY.24</c:v>
                </c:pt>
                <c:pt idx="556">
                  <c:v>MAY.24</c:v>
                </c:pt>
                <c:pt idx="557">
                  <c:v>MAY.24</c:v>
                </c:pt>
                <c:pt idx="558">
                  <c:v>MAY.24</c:v>
                </c:pt>
                <c:pt idx="559">
                  <c:v>MAY.24</c:v>
                </c:pt>
                <c:pt idx="560">
                  <c:v>MAY.24</c:v>
                </c:pt>
                <c:pt idx="561">
                  <c:v>MAY.24</c:v>
                </c:pt>
                <c:pt idx="562">
                  <c:v>MAY.24</c:v>
                </c:pt>
                <c:pt idx="563">
                  <c:v>MAY.24</c:v>
                </c:pt>
                <c:pt idx="564">
                  <c:v>MAY.24</c:v>
                </c:pt>
                <c:pt idx="565">
                  <c:v>MAY.24</c:v>
                </c:pt>
                <c:pt idx="566">
                  <c:v>MAY.24</c:v>
                </c:pt>
                <c:pt idx="567">
                  <c:v>MAY.24</c:v>
                </c:pt>
                <c:pt idx="568">
                  <c:v>MAY.24</c:v>
                </c:pt>
                <c:pt idx="569">
                  <c:v>MAY.24</c:v>
                </c:pt>
                <c:pt idx="570">
                  <c:v>MAY.24</c:v>
                </c:pt>
                <c:pt idx="571">
                  <c:v>MAY.24</c:v>
                </c:pt>
                <c:pt idx="572">
                  <c:v>MAY.24</c:v>
                </c:pt>
                <c:pt idx="573">
                  <c:v>MAY.24</c:v>
                </c:pt>
                <c:pt idx="574">
                  <c:v>MAY.24</c:v>
                </c:pt>
                <c:pt idx="575">
                  <c:v>MAY.24</c:v>
                </c:pt>
                <c:pt idx="576">
                  <c:v>MAY.24</c:v>
                </c:pt>
                <c:pt idx="577">
                  <c:v>MAY.24</c:v>
                </c:pt>
                <c:pt idx="578">
                  <c:v>MAY.24</c:v>
                </c:pt>
                <c:pt idx="579">
                  <c:v>MAY.24</c:v>
                </c:pt>
                <c:pt idx="580">
                  <c:v>MAY.24</c:v>
                </c:pt>
                <c:pt idx="581">
                  <c:v>MAY.24</c:v>
                </c:pt>
                <c:pt idx="582">
                  <c:v>MAY.24</c:v>
                </c:pt>
                <c:pt idx="583">
                  <c:v>MAY.24</c:v>
                </c:pt>
                <c:pt idx="584">
                  <c:v>MAY.24</c:v>
                </c:pt>
                <c:pt idx="585">
                  <c:v>MAY.24</c:v>
                </c:pt>
                <c:pt idx="586">
                  <c:v>MAY.24</c:v>
                </c:pt>
                <c:pt idx="587">
                  <c:v>MAY.24</c:v>
                </c:pt>
                <c:pt idx="588">
                  <c:v>MAY.24</c:v>
                </c:pt>
                <c:pt idx="589">
                  <c:v>MAY.24</c:v>
                </c:pt>
                <c:pt idx="590">
                  <c:v>MAY.24</c:v>
                </c:pt>
                <c:pt idx="591">
                  <c:v>MAY.24</c:v>
                </c:pt>
                <c:pt idx="592">
                  <c:v>MAY.24</c:v>
                </c:pt>
                <c:pt idx="593">
                  <c:v>MAY.24</c:v>
                </c:pt>
                <c:pt idx="594">
                  <c:v>MAY.24</c:v>
                </c:pt>
                <c:pt idx="595">
                  <c:v>MAY.24</c:v>
                </c:pt>
                <c:pt idx="596">
                  <c:v>MAY.24</c:v>
                </c:pt>
                <c:pt idx="597">
                  <c:v>MAY.24</c:v>
                </c:pt>
                <c:pt idx="598">
                  <c:v>MAY.24</c:v>
                </c:pt>
                <c:pt idx="599">
                  <c:v>MAY.24</c:v>
                </c:pt>
                <c:pt idx="600">
                  <c:v>MAY.24</c:v>
                </c:pt>
                <c:pt idx="601">
                  <c:v>MAY.24</c:v>
                </c:pt>
                <c:pt idx="602">
                  <c:v>MAY.24</c:v>
                </c:pt>
                <c:pt idx="603">
                  <c:v>MAY.24</c:v>
                </c:pt>
                <c:pt idx="604">
                  <c:v>MAY.24</c:v>
                </c:pt>
                <c:pt idx="605">
                  <c:v>MAY.24</c:v>
                </c:pt>
                <c:pt idx="606">
                  <c:v>MAY.24</c:v>
                </c:pt>
                <c:pt idx="607">
                  <c:v>MAY.24</c:v>
                </c:pt>
                <c:pt idx="608">
                  <c:v>MAY.24</c:v>
                </c:pt>
                <c:pt idx="609">
                  <c:v>MAY.24</c:v>
                </c:pt>
                <c:pt idx="610">
                  <c:v>MAY.24</c:v>
                </c:pt>
                <c:pt idx="611">
                  <c:v>MAY.24</c:v>
                </c:pt>
                <c:pt idx="612">
                  <c:v>MAY.24</c:v>
                </c:pt>
                <c:pt idx="613">
                  <c:v>MAY.24</c:v>
                </c:pt>
                <c:pt idx="614">
                  <c:v>MAY.24</c:v>
                </c:pt>
                <c:pt idx="615">
                  <c:v>MAY.24</c:v>
                </c:pt>
                <c:pt idx="616">
                  <c:v>MAY.24</c:v>
                </c:pt>
                <c:pt idx="617">
                  <c:v>MAY.24</c:v>
                </c:pt>
                <c:pt idx="618">
                  <c:v>MAY.24</c:v>
                </c:pt>
                <c:pt idx="619">
                  <c:v>MAY.24</c:v>
                </c:pt>
                <c:pt idx="620">
                  <c:v>MAY.24</c:v>
                </c:pt>
                <c:pt idx="621">
                  <c:v>MAY.24</c:v>
                </c:pt>
                <c:pt idx="622">
                  <c:v>MAY.24</c:v>
                </c:pt>
                <c:pt idx="623">
                  <c:v>MAY.24</c:v>
                </c:pt>
                <c:pt idx="624">
                  <c:v>MAY.24</c:v>
                </c:pt>
                <c:pt idx="625">
                  <c:v>MAY.24</c:v>
                </c:pt>
                <c:pt idx="626">
                  <c:v>MAY.24</c:v>
                </c:pt>
                <c:pt idx="627">
                  <c:v>MAY.24</c:v>
                </c:pt>
                <c:pt idx="628">
                  <c:v>MAY.24</c:v>
                </c:pt>
                <c:pt idx="629">
                  <c:v>MAY.24</c:v>
                </c:pt>
                <c:pt idx="630">
                  <c:v>MAY.24</c:v>
                </c:pt>
                <c:pt idx="631">
                  <c:v>MAY.24</c:v>
                </c:pt>
                <c:pt idx="632">
                  <c:v>MAY.24</c:v>
                </c:pt>
                <c:pt idx="633">
                  <c:v>MAY.24</c:v>
                </c:pt>
                <c:pt idx="634">
                  <c:v>MAY.24</c:v>
                </c:pt>
                <c:pt idx="635">
                  <c:v>MAY.24</c:v>
                </c:pt>
                <c:pt idx="636">
                  <c:v>MAY.24</c:v>
                </c:pt>
                <c:pt idx="637">
                  <c:v>MAY.24</c:v>
                </c:pt>
                <c:pt idx="638">
                  <c:v>MAY.24</c:v>
                </c:pt>
                <c:pt idx="639">
                  <c:v>MAY.24</c:v>
                </c:pt>
                <c:pt idx="640">
                  <c:v>MAY.24</c:v>
                </c:pt>
                <c:pt idx="641">
                  <c:v>MAY.24</c:v>
                </c:pt>
                <c:pt idx="642">
                  <c:v>MAY.24</c:v>
                </c:pt>
                <c:pt idx="643">
                  <c:v>MAY.24</c:v>
                </c:pt>
                <c:pt idx="644">
                  <c:v>MAY.24</c:v>
                </c:pt>
                <c:pt idx="645">
                  <c:v>MAY.24</c:v>
                </c:pt>
                <c:pt idx="646">
                  <c:v>MAY.24</c:v>
                </c:pt>
                <c:pt idx="647">
                  <c:v>MAY.24</c:v>
                </c:pt>
                <c:pt idx="648">
                  <c:v>MAY.24</c:v>
                </c:pt>
                <c:pt idx="649">
                  <c:v>MAY.24</c:v>
                </c:pt>
                <c:pt idx="650">
                  <c:v>MAY.24</c:v>
                </c:pt>
                <c:pt idx="651">
                  <c:v>MAY.24</c:v>
                </c:pt>
                <c:pt idx="652">
                  <c:v>MAY.24</c:v>
                </c:pt>
                <c:pt idx="653">
                  <c:v>MAY.24</c:v>
                </c:pt>
                <c:pt idx="654">
                  <c:v>MAY.24</c:v>
                </c:pt>
                <c:pt idx="655">
                  <c:v>MAY.24</c:v>
                </c:pt>
                <c:pt idx="656">
                  <c:v>MAY.24</c:v>
                </c:pt>
                <c:pt idx="657">
                  <c:v>MAY.24</c:v>
                </c:pt>
                <c:pt idx="658">
                  <c:v>MAY.24</c:v>
                </c:pt>
                <c:pt idx="659">
                  <c:v>MAY.24</c:v>
                </c:pt>
                <c:pt idx="660">
                  <c:v>MAY.24</c:v>
                </c:pt>
                <c:pt idx="661">
                  <c:v>MAY.24</c:v>
                </c:pt>
                <c:pt idx="662">
                  <c:v>MAY.24</c:v>
                </c:pt>
                <c:pt idx="663">
                  <c:v>MAY.24</c:v>
                </c:pt>
                <c:pt idx="664">
                  <c:v>MAY.24</c:v>
                </c:pt>
                <c:pt idx="665">
                  <c:v>MAY.24</c:v>
                </c:pt>
                <c:pt idx="666">
                  <c:v>MAY.24</c:v>
                </c:pt>
                <c:pt idx="667">
                  <c:v>MAY.24</c:v>
                </c:pt>
                <c:pt idx="668">
                  <c:v>MAY.24</c:v>
                </c:pt>
                <c:pt idx="669">
                  <c:v>MAY.24</c:v>
                </c:pt>
                <c:pt idx="670">
                  <c:v>MAY.24</c:v>
                </c:pt>
                <c:pt idx="671">
                  <c:v>MAY.24</c:v>
                </c:pt>
                <c:pt idx="672">
                  <c:v>MAY.24</c:v>
                </c:pt>
                <c:pt idx="673">
                  <c:v>MAY.24</c:v>
                </c:pt>
                <c:pt idx="674">
                  <c:v>MAY.24</c:v>
                </c:pt>
                <c:pt idx="675">
                  <c:v>MAY.24</c:v>
                </c:pt>
                <c:pt idx="676">
                  <c:v>MAY.24</c:v>
                </c:pt>
                <c:pt idx="677">
                  <c:v>MAY.24</c:v>
                </c:pt>
                <c:pt idx="678">
                  <c:v>MAY.24</c:v>
                </c:pt>
                <c:pt idx="679">
                  <c:v>MAY.24</c:v>
                </c:pt>
                <c:pt idx="680">
                  <c:v>MAY.24</c:v>
                </c:pt>
                <c:pt idx="681">
                  <c:v>MAY.24 after disaster</c:v>
                </c:pt>
                <c:pt idx="682">
                  <c:v>MAY.24</c:v>
                </c:pt>
                <c:pt idx="683">
                  <c:v>MAY.24</c:v>
                </c:pt>
                <c:pt idx="684">
                  <c:v>MAY.24</c:v>
                </c:pt>
                <c:pt idx="685">
                  <c:v>MAY.24</c:v>
                </c:pt>
                <c:pt idx="686">
                  <c:v>MAY.24</c:v>
                </c:pt>
                <c:pt idx="687">
                  <c:v>MAY.24</c:v>
                </c:pt>
                <c:pt idx="688">
                  <c:v>MAY.24</c:v>
                </c:pt>
                <c:pt idx="689">
                  <c:v>MAY.24</c:v>
                </c:pt>
                <c:pt idx="690">
                  <c:v>MAY.24</c:v>
                </c:pt>
                <c:pt idx="691">
                  <c:v>MAY.24</c:v>
                </c:pt>
                <c:pt idx="692">
                  <c:v>MAY.24</c:v>
                </c:pt>
                <c:pt idx="693">
                  <c:v>MAY.24</c:v>
                </c:pt>
                <c:pt idx="694">
                  <c:v>MAY.24</c:v>
                </c:pt>
                <c:pt idx="695">
                  <c:v>MAY.24</c:v>
                </c:pt>
                <c:pt idx="696">
                  <c:v>MAY.24 recovery</c:v>
                </c:pt>
                <c:pt idx="697">
                  <c:v>MAY.24</c:v>
                </c:pt>
                <c:pt idx="698">
                  <c:v>MAY.24</c:v>
                </c:pt>
                <c:pt idx="699">
                  <c:v>MAY.24</c:v>
                </c:pt>
                <c:pt idx="700">
                  <c:v>MAY.24</c:v>
                </c:pt>
                <c:pt idx="701">
                  <c:v>MAY.24</c:v>
                </c:pt>
                <c:pt idx="702">
                  <c:v>MAY.24</c:v>
                </c:pt>
                <c:pt idx="703">
                  <c:v>MAY.24</c:v>
                </c:pt>
                <c:pt idx="704">
                  <c:v>MAY.24</c:v>
                </c:pt>
                <c:pt idx="705">
                  <c:v>MAY.24</c:v>
                </c:pt>
                <c:pt idx="706">
                  <c:v>MAY.24</c:v>
                </c:pt>
                <c:pt idx="707">
                  <c:v>MAY.24</c:v>
                </c:pt>
                <c:pt idx="708">
                  <c:v>MAY.24</c:v>
                </c:pt>
                <c:pt idx="709">
                  <c:v>MAY.24</c:v>
                </c:pt>
                <c:pt idx="710">
                  <c:v>MAY.24</c:v>
                </c:pt>
                <c:pt idx="711">
                  <c:v>MAY.24</c:v>
                </c:pt>
                <c:pt idx="712">
                  <c:v>MAY.24</c:v>
                </c:pt>
                <c:pt idx="713">
                  <c:v>MAY.24</c:v>
                </c:pt>
                <c:pt idx="714">
                  <c:v>MAY.24</c:v>
                </c:pt>
                <c:pt idx="715">
                  <c:v>MAY.24</c:v>
                </c:pt>
                <c:pt idx="716">
                  <c:v>MAY.24</c:v>
                </c:pt>
                <c:pt idx="717">
                  <c:v>MAY.24</c:v>
                </c:pt>
                <c:pt idx="718">
                  <c:v>MAY.24</c:v>
                </c:pt>
                <c:pt idx="719">
                  <c:v>MAY.24</c:v>
                </c:pt>
                <c:pt idx="720">
                  <c:v>MAY.24</c:v>
                </c:pt>
                <c:pt idx="721">
                  <c:v>MAY.24</c:v>
                </c:pt>
                <c:pt idx="722">
                  <c:v>MAY.24</c:v>
                </c:pt>
                <c:pt idx="723">
                  <c:v>MAY.24</c:v>
                </c:pt>
                <c:pt idx="724">
                  <c:v>MAY.24</c:v>
                </c:pt>
                <c:pt idx="725">
                  <c:v>MAY.24</c:v>
                </c:pt>
                <c:pt idx="726">
                  <c:v>MAY.24</c:v>
                </c:pt>
                <c:pt idx="727">
                  <c:v>MAY.24</c:v>
                </c:pt>
                <c:pt idx="728">
                  <c:v>MAY.24</c:v>
                </c:pt>
                <c:pt idx="729">
                  <c:v>MAY.24</c:v>
                </c:pt>
                <c:pt idx="730">
                  <c:v>MAY.24</c:v>
                </c:pt>
                <c:pt idx="731">
                  <c:v>June24 live</c:v>
                </c:pt>
                <c:pt idx="732">
                  <c:v>JUN.24</c:v>
                </c:pt>
                <c:pt idx="733">
                  <c:v>JUN.24</c:v>
                </c:pt>
                <c:pt idx="734">
                  <c:v>JUN.24</c:v>
                </c:pt>
                <c:pt idx="735">
                  <c:v>JUN.24</c:v>
                </c:pt>
                <c:pt idx="736">
                  <c:v>JUN.24</c:v>
                </c:pt>
                <c:pt idx="737">
                  <c:v>JUN.24</c:v>
                </c:pt>
                <c:pt idx="738">
                  <c:v>JUN.24</c:v>
                </c:pt>
                <c:pt idx="739">
                  <c:v>JUN.24</c:v>
                </c:pt>
                <c:pt idx="740">
                  <c:v>JUN.24</c:v>
                </c:pt>
                <c:pt idx="741">
                  <c:v>JUN.24</c:v>
                </c:pt>
                <c:pt idx="742">
                  <c:v>JUN.24</c:v>
                </c:pt>
                <c:pt idx="743">
                  <c:v>JUN.24</c:v>
                </c:pt>
                <c:pt idx="744">
                  <c:v>JUN.24</c:v>
                </c:pt>
                <c:pt idx="745">
                  <c:v>JUN.24</c:v>
                </c:pt>
                <c:pt idx="746">
                  <c:v>JUN.24</c:v>
                </c:pt>
                <c:pt idx="747">
                  <c:v>JUN.24</c:v>
                </c:pt>
                <c:pt idx="748">
                  <c:v>JUN.24</c:v>
                </c:pt>
                <c:pt idx="749">
                  <c:v>JUN.24</c:v>
                </c:pt>
                <c:pt idx="750">
                  <c:v>JUN.24</c:v>
                </c:pt>
                <c:pt idx="751">
                  <c:v>JUN.24</c:v>
                </c:pt>
                <c:pt idx="752">
                  <c:v>JUN.24</c:v>
                </c:pt>
                <c:pt idx="753">
                  <c:v>JUN.24</c:v>
                </c:pt>
                <c:pt idx="754">
                  <c:v>JUN.24</c:v>
                </c:pt>
                <c:pt idx="755">
                  <c:v>JUN.24</c:v>
                </c:pt>
                <c:pt idx="756">
                  <c:v>JUN.24</c:v>
                </c:pt>
                <c:pt idx="757">
                  <c:v>JUN.24</c:v>
                </c:pt>
                <c:pt idx="758">
                  <c:v>JUN.24</c:v>
                </c:pt>
                <c:pt idx="759">
                  <c:v>JUN.24</c:v>
                </c:pt>
                <c:pt idx="760">
                  <c:v>JUN.24</c:v>
                </c:pt>
                <c:pt idx="761">
                  <c:v>JUN.24</c:v>
                </c:pt>
                <c:pt idx="762">
                  <c:v>JUN.24</c:v>
                </c:pt>
                <c:pt idx="763">
                  <c:v>JUN.24</c:v>
                </c:pt>
                <c:pt idx="764">
                  <c:v>JUN.24</c:v>
                </c:pt>
                <c:pt idx="765">
                  <c:v>JUN.24</c:v>
                </c:pt>
                <c:pt idx="766">
                  <c:v>JUN.24</c:v>
                </c:pt>
                <c:pt idx="767">
                  <c:v>JUN.24</c:v>
                </c:pt>
                <c:pt idx="768">
                  <c:v>JUN.24</c:v>
                </c:pt>
                <c:pt idx="769">
                  <c:v>JUN.24</c:v>
                </c:pt>
                <c:pt idx="770">
                  <c:v>JUN.24</c:v>
                </c:pt>
                <c:pt idx="771">
                  <c:v>JUN.24</c:v>
                </c:pt>
                <c:pt idx="772">
                  <c:v>JUN.24</c:v>
                </c:pt>
                <c:pt idx="773">
                  <c:v>JUN.24</c:v>
                </c:pt>
                <c:pt idx="774">
                  <c:v>JUN.24</c:v>
                </c:pt>
                <c:pt idx="775">
                  <c:v>JUN.24</c:v>
                </c:pt>
                <c:pt idx="776">
                  <c:v>JUN.24</c:v>
                </c:pt>
                <c:pt idx="777">
                  <c:v>JUN.24</c:v>
                </c:pt>
                <c:pt idx="778">
                  <c:v>JUN.24</c:v>
                </c:pt>
                <c:pt idx="779">
                  <c:v>JUN.24</c:v>
                </c:pt>
                <c:pt idx="780">
                  <c:v>JUN.24</c:v>
                </c:pt>
                <c:pt idx="781">
                  <c:v>JUN.24</c:v>
                </c:pt>
                <c:pt idx="782">
                  <c:v>JUN.24</c:v>
                </c:pt>
                <c:pt idx="783">
                  <c:v>JUN.24</c:v>
                </c:pt>
                <c:pt idx="784">
                  <c:v>JUN.24</c:v>
                </c:pt>
                <c:pt idx="785">
                  <c:v>JUN.24</c:v>
                </c:pt>
                <c:pt idx="786">
                  <c:v>JUN.24</c:v>
                </c:pt>
                <c:pt idx="787">
                  <c:v>JUN.24</c:v>
                </c:pt>
                <c:pt idx="788">
                  <c:v>JUN.24</c:v>
                </c:pt>
                <c:pt idx="789">
                  <c:v>JUN.24</c:v>
                </c:pt>
                <c:pt idx="790">
                  <c:v>JUN.24</c:v>
                </c:pt>
                <c:pt idx="791">
                  <c:v>JUN.24</c:v>
                </c:pt>
                <c:pt idx="792">
                  <c:v>JUN.24</c:v>
                </c:pt>
                <c:pt idx="793">
                  <c:v>JUN.24</c:v>
                </c:pt>
                <c:pt idx="794">
                  <c:v>JUN.24</c:v>
                </c:pt>
                <c:pt idx="795">
                  <c:v>JUN.24</c:v>
                </c:pt>
                <c:pt idx="796">
                  <c:v>JUN.24</c:v>
                </c:pt>
                <c:pt idx="797">
                  <c:v>JUN.24</c:v>
                </c:pt>
                <c:pt idx="798">
                  <c:v>JUN.24</c:v>
                </c:pt>
                <c:pt idx="799">
                  <c:v>JUN.24</c:v>
                </c:pt>
                <c:pt idx="800">
                  <c:v>JUN.24</c:v>
                </c:pt>
                <c:pt idx="801">
                  <c:v>JUN.24</c:v>
                </c:pt>
                <c:pt idx="802">
                  <c:v>JUN.24</c:v>
                </c:pt>
                <c:pt idx="803">
                  <c:v>JUN.24</c:v>
                </c:pt>
                <c:pt idx="804">
                  <c:v>JUN.24</c:v>
                </c:pt>
                <c:pt idx="805">
                  <c:v>JUN.24</c:v>
                </c:pt>
                <c:pt idx="806">
                  <c:v>JUN.24</c:v>
                </c:pt>
                <c:pt idx="807">
                  <c:v>JUN.24</c:v>
                </c:pt>
                <c:pt idx="808">
                  <c:v>JUN.24</c:v>
                </c:pt>
                <c:pt idx="809">
                  <c:v>JUN.24</c:v>
                </c:pt>
                <c:pt idx="810">
                  <c:v>JUN.24</c:v>
                </c:pt>
                <c:pt idx="811">
                  <c:v>JUN.24</c:v>
                </c:pt>
                <c:pt idx="812">
                  <c:v>JUN.24</c:v>
                </c:pt>
                <c:pt idx="813">
                  <c:v>JUN.24</c:v>
                </c:pt>
                <c:pt idx="814">
                  <c:v>JUN.24</c:v>
                </c:pt>
                <c:pt idx="815">
                  <c:v>JUN.24</c:v>
                </c:pt>
                <c:pt idx="816">
                  <c:v>JUN.24</c:v>
                </c:pt>
                <c:pt idx="817">
                  <c:v>JUN.24</c:v>
                </c:pt>
                <c:pt idx="818">
                  <c:v>JUN.24</c:v>
                </c:pt>
                <c:pt idx="819">
                  <c:v>JUN.24</c:v>
                </c:pt>
                <c:pt idx="820">
                  <c:v>JUN.24</c:v>
                </c:pt>
                <c:pt idx="821">
                  <c:v>JUN.24</c:v>
                </c:pt>
                <c:pt idx="822">
                  <c:v>JUN.24</c:v>
                </c:pt>
                <c:pt idx="823">
                  <c:v>JUN.24</c:v>
                </c:pt>
                <c:pt idx="824">
                  <c:v>JUN.24</c:v>
                </c:pt>
                <c:pt idx="825">
                  <c:v>JUN.24</c:v>
                </c:pt>
                <c:pt idx="826">
                  <c:v>JUN.24</c:v>
                </c:pt>
                <c:pt idx="827">
                  <c:v>JUN.24</c:v>
                </c:pt>
                <c:pt idx="828">
                  <c:v>JUN.24</c:v>
                </c:pt>
                <c:pt idx="829">
                  <c:v>JUN.24</c:v>
                </c:pt>
                <c:pt idx="830">
                  <c:v>JUN.24</c:v>
                </c:pt>
                <c:pt idx="831">
                  <c:v>JUN.24</c:v>
                </c:pt>
                <c:pt idx="832">
                  <c:v>JUN.24</c:v>
                </c:pt>
                <c:pt idx="833">
                  <c:v>JUN.24</c:v>
                </c:pt>
                <c:pt idx="834">
                  <c:v>JUN.24</c:v>
                </c:pt>
                <c:pt idx="835">
                  <c:v>JUN.24</c:v>
                </c:pt>
                <c:pt idx="836">
                  <c:v>JUN.24</c:v>
                </c:pt>
                <c:pt idx="837">
                  <c:v>JUN.24</c:v>
                </c:pt>
                <c:pt idx="838">
                  <c:v>JUN.24</c:v>
                </c:pt>
                <c:pt idx="839">
                  <c:v>JUN.24</c:v>
                </c:pt>
                <c:pt idx="840">
                  <c:v>JUN.24</c:v>
                </c:pt>
                <c:pt idx="841">
                  <c:v>JUN.24</c:v>
                </c:pt>
                <c:pt idx="842">
                  <c:v>JUN.24</c:v>
                </c:pt>
                <c:pt idx="843">
                  <c:v>JUN.24</c:v>
                </c:pt>
                <c:pt idx="844">
                  <c:v>JUN.24</c:v>
                </c:pt>
                <c:pt idx="845">
                  <c:v>JUN.24</c:v>
                </c:pt>
                <c:pt idx="846">
                  <c:v>JUN.24</c:v>
                </c:pt>
                <c:pt idx="847">
                  <c:v>JUN.24</c:v>
                </c:pt>
                <c:pt idx="848">
                  <c:v>JUN.24</c:v>
                </c:pt>
                <c:pt idx="849">
                  <c:v>JUN.24</c:v>
                </c:pt>
                <c:pt idx="850">
                  <c:v>JUN.24</c:v>
                </c:pt>
                <c:pt idx="851">
                  <c:v>JUN.24</c:v>
                </c:pt>
                <c:pt idx="852">
                  <c:v>JUN.24</c:v>
                </c:pt>
                <c:pt idx="853">
                  <c:v>JUN.24</c:v>
                </c:pt>
                <c:pt idx="854">
                  <c:v>JUN.24</c:v>
                </c:pt>
                <c:pt idx="855">
                  <c:v>JUN.24</c:v>
                </c:pt>
                <c:pt idx="856">
                  <c:v>JUN.24</c:v>
                </c:pt>
                <c:pt idx="857">
                  <c:v>JUN.24</c:v>
                </c:pt>
                <c:pt idx="858">
                  <c:v>JUN.24</c:v>
                </c:pt>
                <c:pt idx="859">
                  <c:v>JUN.24</c:v>
                </c:pt>
                <c:pt idx="860">
                  <c:v>JUN.24</c:v>
                </c:pt>
                <c:pt idx="861">
                  <c:v>JUN.24</c:v>
                </c:pt>
                <c:pt idx="862">
                  <c:v>JUN.24</c:v>
                </c:pt>
                <c:pt idx="863">
                  <c:v>JUN.24</c:v>
                </c:pt>
                <c:pt idx="864">
                  <c:v>JUN.24</c:v>
                </c:pt>
                <c:pt idx="865">
                  <c:v>JUN.24</c:v>
                </c:pt>
                <c:pt idx="866">
                  <c:v>JUN.24</c:v>
                </c:pt>
                <c:pt idx="867">
                  <c:v>JUN.24</c:v>
                </c:pt>
                <c:pt idx="868">
                  <c:v>JUN.24</c:v>
                </c:pt>
                <c:pt idx="869">
                  <c:v>JUN.24</c:v>
                </c:pt>
                <c:pt idx="870">
                  <c:v>JUN.24</c:v>
                </c:pt>
                <c:pt idx="871">
                  <c:v>JUN.24</c:v>
                </c:pt>
                <c:pt idx="872">
                  <c:v>JUN.24</c:v>
                </c:pt>
                <c:pt idx="873">
                  <c:v>JUN.24</c:v>
                </c:pt>
                <c:pt idx="874">
                  <c:v>JUN.24</c:v>
                </c:pt>
                <c:pt idx="875">
                  <c:v>JUN.24</c:v>
                </c:pt>
                <c:pt idx="876">
                  <c:v>JUN.24</c:v>
                </c:pt>
                <c:pt idx="877">
                  <c:v>JUN.24</c:v>
                </c:pt>
                <c:pt idx="878">
                  <c:v>JUN.24</c:v>
                </c:pt>
                <c:pt idx="879">
                  <c:v>JUN.24 BLOWUP</c:v>
                </c:pt>
                <c:pt idx="880">
                  <c:v>JUN.24</c:v>
                </c:pt>
                <c:pt idx="881">
                  <c:v>JUN.24</c:v>
                </c:pt>
                <c:pt idx="882">
                  <c:v>JUN.24</c:v>
                </c:pt>
                <c:pt idx="883">
                  <c:v>JUN.24</c:v>
                </c:pt>
                <c:pt idx="884">
                  <c:v>JUN.24</c:v>
                </c:pt>
                <c:pt idx="885">
                  <c:v>JUN.24</c:v>
                </c:pt>
                <c:pt idx="886">
                  <c:v>JUN.24</c:v>
                </c:pt>
                <c:pt idx="887">
                  <c:v>JUN.24</c:v>
                </c:pt>
                <c:pt idx="888">
                  <c:v>July24 live (R+1) | REDUCE INTRADAY &gt;1D TRADES</c:v>
                </c:pt>
                <c:pt idx="889">
                  <c:v>JUL.24</c:v>
                </c:pt>
                <c:pt idx="890">
                  <c:v>JUL.24</c:v>
                </c:pt>
                <c:pt idx="891">
                  <c:v>JUL.24</c:v>
                </c:pt>
                <c:pt idx="892">
                  <c:v>JUL.24</c:v>
                </c:pt>
                <c:pt idx="893">
                  <c:v>JUL.24</c:v>
                </c:pt>
                <c:pt idx="894">
                  <c:v>JUL.24</c:v>
                </c:pt>
                <c:pt idx="895">
                  <c:v>JUL.24</c:v>
                </c:pt>
                <c:pt idx="896">
                  <c:v>JUL.24</c:v>
                </c:pt>
                <c:pt idx="897">
                  <c:v>JUL.24</c:v>
                </c:pt>
                <c:pt idx="898">
                  <c:v>JUL.24</c:v>
                </c:pt>
                <c:pt idx="899">
                  <c:v>JUL.24</c:v>
                </c:pt>
                <c:pt idx="900">
                  <c:v>JUL.24</c:v>
                </c:pt>
                <c:pt idx="901">
                  <c:v>JUL.24</c:v>
                </c:pt>
                <c:pt idx="902">
                  <c:v>JUL.24</c:v>
                </c:pt>
                <c:pt idx="903">
                  <c:v>JUL.24</c:v>
                </c:pt>
                <c:pt idx="904">
                  <c:v>JUL.24</c:v>
                </c:pt>
                <c:pt idx="905">
                  <c:v>JUL.24</c:v>
                </c:pt>
                <c:pt idx="906">
                  <c:v>JUL.24</c:v>
                </c:pt>
                <c:pt idx="907">
                  <c:v>JUL.24</c:v>
                </c:pt>
                <c:pt idx="908">
                  <c:v>JUL.24</c:v>
                </c:pt>
                <c:pt idx="909">
                  <c:v>JUL.24</c:v>
                </c:pt>
                <c:pt idx="910">
                  <c:v>JUL.24</c:v>
                </c:pt>
                <c:pt idx="911">
                  <c:v>JUL.24</c:v>
                </c:pt>
                <c:pt idx="912">
                  <c:v>JUL.24</c:v>
                </c:pt>
                <c:pt idx="913">
                  <c:v>JUL.24</c:v>
                </c:pt>
                <c:pt idx="914">
                  <c:v>JUL.24</c:v>
                </c:pt>
                <c:pt idx="915">
                  <c:v>JUL.24</c:v>
                </c:pt>
                <c:pt idx="916">
                  <c:v>JUL.24</c:v>
                </c:pt>
                <c:pt idx="917">
                  <c:v>JUL.24</c:v>
                </c:pt>
                <c:pt idx="918">
                  <c:v>JUL.24</c:v>
                </c:pt>
                <c:pt idx="919">
                  <c:v>JUL.24</c:v>
                </c:pt>
                <c:pt idx="920">
                  <c:v>JUL.24</c:v>
                </c:pt>
                <c:pt idx="921">
                  <c:v>JUL.24</c:v>
                </c:pt>
                <c:pt idx="922">
                  <c:v>JUL.24</c:v>
                </c:pt>
                <c:pt idx="923">
                  <c:v>JUL.24</c:v>
                </c:pt>
                <c:pt idx="924">
                  <c:v>JUL.24</c:v>
                </c:pt>
                <c:pt idx="925">
                  <c:v>JUL.24</c:v>
                </c:pt>
                <c:pt idx="926">
                  <c:v>JUL.24</c:v>
                </c:pt>
                <c:pt idx="927">
                  <c:v>JUL.24</c:v>
                </c:pt>
                <c:pt idx="928">
                  <c:v>JUL.24</c:v>
                </c:pt>
                <c:pt idx="929">
                  <c:v>JUL.24</c:v>
                </c:pt>
                <c:pt idx="930">
                  <c:v>JUL.24</c:v>
                </c:pt>
                <c:pt idx="931">
                  <c:v>JUL.24</c:v>
                </c:pt>
                <c:pt idx="932">
                  <c:v>JUL.24</c:v>
                </c:pt>
                <c:pt idx="933">
                  <c:v>JUL.24</c:v>
                </c:pt>
                <c:pt idx="934">
                  <c:v>JUL.24</c:v>
                </c:pt>
                <c:pt idx="935">
                  <c:v>JUL.24</c:v>
                </c:pt>
                <c:pt idx="936">
                  <c:v>JUL.24</c:v>
                </c:pt>
                <c:pt idx="937">
                  <c:v>JUL.24</c:v>
                </c:pt>
                <c:pt idx="938">
                  <c:v>JUL.24</c:v>
                </c:pt>
                <c:pt idx="939">
                  <c:v>JUL.24</c:v>
                </c:pt>
                <c:pt idx="940">
                  <c:v>JUL.24</c:v>
                </c:pt>
                <c:pt idx="941">
                  <c:v>JUL.24</c:v>
                </c:pt>
                <c:pt idx="942">
                  <c:v>JUL.24</c:v>
                </c:pt>
                <c:pt idx="943">
                  <c:v>JUL.24</c:v>
                </c:pt>
                <c:pt idx="944">
                  <c:v>JUL.24</c:v>
                </c:pt>
                <c:pt idx="945">
                  <c:v>JUL.24</c:v>
                </c:pt>
                <c:pt idx="946">
                  <c:v>JUL.24</c:v>
                </c:pt>
                <c:pt idx="947">
                  <c:v>JUL.24</c:v>
                </c:pt>
                <c:pt idx="948">
                  <c:v>JUL.24</c:v>
                </c:pt>
                <c:pt idx="949">
                  <c:v>JUL.24</c:v>
                </c:pt>
                <c:pt idx="950">
                  <c:v>JUL.24</c:v>
                </c:pt>
                <c:pt idx="951">
                  <c:v>JUL.24</c:v>
                </c:pt>
                <c:pt idx="952">
                  <c:v>JUL.24</c:v>
                </c:pt>
                <c:pt idx="953">
                  <c:v>JUL.24</c:v>
                </c:pt>
                <c:pt idx="954">
                  <c:v>JUL.24</c:v>
                </c:pt>
                <c:pt idx="955">
                  <c:v>JUL.24</c:v>
                </c:pt>
                <c:pt idx="956">
                  <c:v>JUL.24</c:v>
                </c:pt>
                <c:pt idx="957">
                  <c:v>JUL.24</c:v>
                </c:pt>
                <c:pt idx="958">
                  <c:v>JUL.24</c:v>
                </c:pt>
                <c:pt idx="959">
                  <c:v>JUL.24</c:v>
                </c:pt>
                <c:pt idx="960">
                  <c:v>JUL.24</c:v>
                </c:pt>
                <c:pt idx="961">
                  <c:v>JUL.24</c:v>
                </c:pt>
                <c:pt idx="962">
                  <c:v>JUL.24</c:v>
                </c:pt>
                <c:pt idx="963">
                  <c:v>JUL.24</c:v>
                </c:pt>
                <c:pt idx="964">
                  <c:v>JUL.24</c:v>
                </c:pt>
                <c:pt idx="965">
                  <c:v>JUL.24</c:v>
                </c:pt>
                <c:pt idx="966">
                  <c:v>JUL.24</c:v>
                </c:pt>
                <c:pt idx="967">
                  <c:v>JUL.24</c:v>
                </c:pt>
                <c:pt idx="968">
                  <c:v>JUL.24</c:v>
                </c:pt>
                <c:pt idx="969">
                  <c:v>JUL.24</c:v>
                </c:pt>
                <c:pt idx="970">
                  <c:v>JUL.24</c:v>
                </c:pt>
                <c:pt idx="971">
                  <c:v>JUL.24</c:v>
                </c:pt>
                <c:pt idx="972">
                  <c:v>JUL.24</c:v>
                </c:pt>
                <c:pt idx="973">
                  <c:v>JUL.24</c:v>
                </c:pt>
                <c:pt idx="974">
                  <c:v>JUL.24</c:v>
                </c:pt>
                <c:pt idx="975">
                  <c:v>JUL.24</c:v>
                </c:pt>
                <c:pt idx="976">
                  <c:v>JUL.24</c:v>
                </c:pt>
                <c:pt idx="977">
                  <c:v>JUL.24</c:v>
                </c:pt>
                <c:pt idx="978">
                  <c:v>JUL.24</c:v>
                </c:pt>
                <c:pt idx="979">
                  <c:v>JUL.24</c:v>
                </c:pt>
                <c:pt idx="980">
                  <c:v>JUL.24</c:v>
                </c:pt>
                <c:pt idx="981">
                  <c:v>JUL.24</c:v>
                </c:pt>
                <c:pt idx="982">
                  <c:v>JUL.24</c:v>
                </c:pt>
                <c:pt idx="983">
                  <c:v>JUL.24</c:v>
                </c:pt>
                <c:pt idx="984">
                  <c:v>JUL.24</c:v>
                </c:pt>
                <c:pt idx="985">
                  <c:v>JUL.24</c:v>
                </c:pt>
                <c:pt idx="986">
                  <c:v>JUL.24</c:v>
                </c:pt>
                <c:pt idx="987">
                  <c:v>JUL.24</c:v>
                </c:pt>
                <c:pt idx="988">
                  <c:v>JUL.24</c:v>
                </c:pt>
                <c:pt idx="989">
                  <c:v>August24 live (R-1) | REDUCE LOT SIZING 2ND HALF AND ONLY EXITS IN 2ND HALF</c:v>
                </c:pt>
                <c:pt idx="990">
                  <c:v>AUG.24</c:v>
                </c:pt>
                <c:pt idx="991">
                  <c:v>AUG.24</c:v>
                </c:pt>
                <c:pt idx="992">
                  <c:v>AUG.24.II</c:v>
                </c:pt>
                <c:pt idx="993">
                  <c:v>AUG.24</c:v>
                </c:pt>
                <c:pt idx="994">
                  <c:v>AUG.24</c:v>
                </c:pt>
                <c:pt idx="995">
                  <c:v>AUG.24</c:v>
                </c:pt>
                <c:pt idx="996">
                  <c:v>AUG.24</c:v>
                </c:pt>
                <c:pt idx="997">
                  <c:v>AUG.24</c:v>
                </c:pt>
                <c:pt idx="998">
                  <c:v>AUG.24</c:v>
                </c:pt>
                <c:pt idx="999">
                  <c:v>AUG.24</c:v>
                </c:pt>
                <c:pt idx="1000">
                  <c:v>AUG.24</c:v>
                </c:pt>
                <c:pt idx="1001">
                  <c:v>AUG.24.II</c:v>
                </c:pt>
                <c:pt idx="1002">
                  <c:v>AUG.24.II</c:v>
                </c:pt>
                <c:pt idx="1003">
                  <c:v>AUG.24</c:v>
                </c:pt>
                <c:pt idx="1004">
                  <c:v>AUG.24</c:v>
                </c:pt>
                <c:pt idx="1005">
                  <c:v>AUG.24</c:v>
                </c:pt>
                <c:pt idx="1006">
                  <c:v>AUG.24.II</c:v>
                </c:pt>
                <c:pt idx="1007">
                  <c:v>AUG.24.II</c:v>
                </c:pt>
                <c:pt idx="1008">
                  <c:v>AUG.24</c:v>
                </c:pt>
                <c:pt idx="1009">
                  <c:v>AUG.24</c:v>
                </c:pt>
                <c:pt idx="1010">
                  <c:v>AUG.24</c:v>
                </c:pt>
                <c:pt idx="1011">
                  <c:v>AUG.24</c:v>
                </c:pt>
                <c:pt idx="1012">
                  <c:v>AUG.24</c:v>
                </c:pt>
                <c:pt idx="1013">
                  <c:v>AUG.24</c:v>
                </c:pt>
                <c:pt idx="1014">
                  <c:v>AUG.24</c:v>
                </c:pt>
                <c:pt idx="1015">
                  <c:v>AUG.24</c:v>
                </c:pt>
                <c:pt idx="1016">
                  <c:v>AUG.24</c:v>
                </c:pt>
                <c:pt idx="1017">
                  <c:v>AUG.24</c:v>
                </c:pt>
                <c:pt idx="1018">
                  <c:v>AUG.24</c:v>
                </c:pt>
                <c:pt idx="1019">
                  <c:v>AUG.24</c:v>
                </c:pt>
                <c:pt idx="1020">
                  <c:v>AUG.24</c:v>
                </c:pt>
                <c:pt idx="1021">
                  <c:v>AUG.24</c:v>
                </c:pt>
                <c:pt idx="1022">
                  <c:v>AUG.24</c:v>
                </c:pt>
                <c:pt idx="1023">
                  <c:v>AUG.24</c:v>
                </c:pt>
                <c:pt idx="1024">
                  <c:v>AUG.24</c:v>
                </c:pt>
                <c:pt idx="1025">
                  <c:v>AUG.24</c:v>
                </c:pt>
                <c:pt idx="1026">
                  <c:v>AUG.24</c:v>
                </c:pt>
                <c:pt idx="1027">
                  <c:v>AUG.24.II</c:v>
                </c:pt>
                <c:pt idx="1028">
                  <c:v>AUG.24</c:v>
                </c:pt>
                <c:pt idx="1029">
                  <c:v>AUG.24</c:v>
                </c:pt>
                <c:pt idx="1030">
                  <c:v>AUG.24</c:v>
                </c:pt>
                <c:pt idx="1031">
                  <c:v>AUG.24</c:v>
                </c:pt>
                <c:pt idx="1032">
                  <c:v>AUG.24</c:v>
                </c:pt>
                <c:pt idx="1033">
                  <c:v>AUG.24</c:v>
                </c:pt>
                <c:pt idx="1034">
                  <c:v>AUG.24</c:v>
                </c:pt>
                <c:pt idx="1035">
                  <c:v>AUG.24</c:v>
                </c:pt>
                <c:pt idx="1036">
                  <c:v>AUG.24</c:v>
                </c:pt>
                <c:pt idx="1037">
                  <c:v>AUG.24</c:v>
                </c:pt>
                <c:pt idx="1038">
                  <c:v>AUG.24</c:v>
                </c:pt>
                <c:pt idx="1039">
                  <c:v>AUG.24</c:v>
                </c:pt>
                <c:pt idx="1040">
                  <c:v>AUG.24</c:v>
                </c:pt>
                <c:pt idx="1041">
                  <c:v>AUG.24</c:v>
                </c:pt>
                <c:pt idx="1042">
                  <c:v>AUG.24</c:v>
                </c:pt>
                <c:pt idx="1043">
                  <c:v>AUG.24</c:v>
                </c:pt>
                <c:pt idx="1044">
                  <c:v>AUG.24</c:v>
                </c:pt>
                <c:pt idx="1045">
                  <c:v>AUG.24</c:v>
                </c:pt>
                <c:pt idx="1046">
                  <c:v>AUG.24</c:v>
                </c:pt>
                <c:pt idx="1047">
                  <c:v>AUG.24</c:v>
                </c:pt>
                <c:pt idx="1048">
                  <c:v>AUG.24</c:v>
                </c:pt>
                <c:pt idx="1049">
                  <c:v>AUG.24</c:v>
                </c:pt>
                <c:pt idx="1050">
                  <c:v>AUG.24</c:v>
                </c:pt>
                <c:pt idx="1051">
                  <c:v>AUG.24</c:v>
                </c:pt>
                <c:pt idx="1052">
                  <c:v>AUG.24</c:v>
                </c:pt>
                <c:pt idx="1053">
                  <c:v>AUG.24</c:v>
                </c:pt>
                <c:pt idx="1054">
                  <c:v>AUG.24</c:v>
                </c:pt>
                <c:pt idx="1055">
                  <c:v>AUG.24</c:v>
                </c:pt>
                <c:pt idx="1056">
                  <c:v>AUG.24</c:v>
                </c:pt>
                <c:pt idx="1057">
                  <c:v>AUG.24</c:v>
                </c:pt>
                <c:pt idx="1058">
                  <c:v>AUG.24</c:v>
                </c:pt>
                <c:pt idx="1059">
                  <c:v>AUG.24</c:v>
                </c:pt>
                <c:pt idx="1060">
                  <c:v>AUG.24</c:v>
                </c:pt>
                <c:pt idx="1061">
                  <c:v>AUG.24</c:v>
                </c:pt>
                <c:pt idx="1062">
                  <c:v>AUG.24</c:v>
                </c:pt>
                <c:pt idx="1063">
                  <c:v>AUG.24</c:v>
                </c:pt>
                <c:pt idx="1064">
                  <c:v>AUG.24</c:v>
                </c:pt>
                <c:pt idx="1065">
                  <c:v>AUG.24</c:v>
                </c:pt>
                <c:pt idx="1066">
                  <c:v>AUG.24</c:v>
                </c:pt>
                <c:pt idx="1067">
                  <c:v>AUG.24</c:v>
                </c:pt>
                <c:pt idx="1068">
                  <c:v>AUG.24</c:v>
                </c:pt>
                <c:pt idx="1069">
                  <c:v>AUG.24</c:v>
                </c:pt>
                <c:pt idx="1070">
                  <c:v>AUG.24</c:v>
                </c:pt>
                <c:pt idx="1071">
                  <c:v>AUG.24</c:v>
                </c:pt>
                <c:pt idx="1072">
                  <c:v>AUG.24</c:v>
                </c:pt>
                <c:pt idx="1073">
                  <c:v>AUG.24</c:v>
                </c:pt>
                <c:pt idx="1074">
                  <c:v>AUG.24</c:v>
                </c:pt>
                <c:pt idx="1075">
                  <c:v>AUG.24</c:v>
                </c:pt>
                <c:pt idx="1076">
                  <c:v>AUG.24</c:v>
                </c:pt>
                <c:pt idx="1077">
                  <c:v>AUG.24</c:v>
                </c:pt>
                <c:pt idx="1078">
                  <c:v>AUG.24</c:v>
                </c:pt>
                <c:pt idx="1079">
                  <c:v>AUG.24</c:v>
                </c:pt>
                <c:pt idx="1080">
                  <c:v>AUG.24</c:v>
                </c:pt>
                <c:pt idx="1081">
                  <c:v>AUG.24</c:v>
                </c:pt>
                <c:pt idx="1082">
                  <c:v>AUG.24</c:v>
                </c:pt>
                <c:pt idx="1083">
                  <c:v>AUG.24</c:v>
                </c:pt>
                <c:pt idx="1084">
                  <c:v>AUG.24</c:v>
                </c:pt>
                <c:pt idx="1085">
                  <c:v>AUG.24</c:v>
                </c:pt>
                <c:pt idx="1086">
                  <c:v>September24 live (R) | REDUCE LOT SIZING 1ST HALF, AVOID POSITIONAL </c:v>
                </c:pt>
                <c:pt idx="1087">
                  <c:v>SEP.24</c:v>
                </c:pt>
                <c:pt idx="1088">
                  <c:v>SEP.24</c:v>
                </c:pt>
                <c:pt idx="1089">
                  <c:v>SEP.24</c:v>
                </c:pt>
                <c:pt idx="1090">
                  <c:v>SEP.24</c:v>
                </c:pt>
                <c:pt idx="1091">
                  <c:v>SEP.24</c:v>
                </c:pt>
                <c:pt idx="1092">
                  <c:v>SEP.24</c:v>
                </c:pt>
                <c:pt idx="1093">
                  <c:v>SEP.24</c:v>
                </c:pt>
                <c:pt idx="1094">
                  <c:v>SEP.24</c:v>
                </c:pt>
                <c:pt idx="1095">
                  <c:v>SEP.24</c:v>
                </c:pt>
                <c:pt idx="1096">
                  <c:v>SEP.24</c:v>
                </c:pt>
                <c:pt idx="1097">
                  <c:v>SEP.24</c:v>
                </c:pt>
                <c:pt idx="1098">
                  <c:v>SEP.24</c:v>
                </c:pt>
                <c:pt idx="1099">
                  <c:v>SEP.24</c:v>
                </c:pt>
                <c:pt idx="1100">
                  <c:v>SEP.24</c:v>
                </c:pt>
                <c:pt idx="1101">
                  <c:v>SEP.24</c:v>
                </c:pt>
                <c:pt idx="1102">
                  <c:v>SEP.24</c:v>
                </c:pt>
                <c:pt idx="1103">
                  <c:v>SEP.24</c:v>
                </c:pt>
                <c:pt idx="1104">
                  <c:v>SEP.24</c:v>
                </c:pt>
                <c:pt idx="1105">
                  <c:v>SEP.24</c:v>
                </c:pt>
                <c:pt idx="1106">
                  <c:v>SEP.24</c:v>
                </c:pt>
                <c:pt idx="1107">
                  <c:v>SEP.24</c:v>
                </c:pt>
                <c:pt idx="1108">
                  <c:v>SEP.24</c:v>
                </c:pt>
                <c:pt idx="1109">
                  <c:v>SEP.24</c:v>
                </c:pt>
                <c:pt idx="1110">
                  <c:v>SEP.24</c:v>
                </c:pt>
                <c:pt idx="1111">
                  <c:v>SEP.24</c:v>
                </c:pt>
                <c:pt idx="1112">
                  <c:v>SEP.24</c:v>
                </c:pt>
                <c:pt idx="1113">
                  <c:v>SEP.24</c:v>
                </c:pt>
                <c:pt idx="1114">
                  <c:v>SEP.24</c:v>
                </c:pt>
                <c:pt idx="1115">
                  <c:v>SEP.24</c:v>
                </c:pt>
                <c:pt idx="1116">
                  <c:v>SEP.24</c:v>
                </c:pt>
                <c:pt idx="1117">
                  <c:v>SEP.24</c:v>
                </c:pt>
                <c:pt idx="1118">
                  <c:v>SEP.24</c:v>
                </c:pt>
                <c:pt idx="1119">
                  <c:v>SEP.24</c:v>
                </c:pt>
                <c:pt idx="1120">
                  <c:v>SEP.24</c:v>
                </c:pt>
                <c:pt idx="1121">
                  <c:v>SEP.24</c:v>
                </c:pt>
                <c:pt idx="1122">
                  <c:v>SEP.24</c:v>
                </c:pt>
                <c:pt idx="1123">
                  <c:v>SEP.24</c:v>
                </c:pt>
                <c:pt idx="1124">
                  <c:v>SEP.24</c:v>
                </c:pt>
                <c:pt idx="1125">
                  <c:v>October24 live (R+1) | REDUCE INTRADAY &gt;1D TRADES</c:v>
                </c:pt>
                <c:pt idx="1126">
                  <c:v>OCT.24</c:v>
                </c:pt>
                <c:pt idx="1127">
                  <c:v>OCT.24</c:v>
                </c:pt>
                <c:pt idx="1128">
                  <c:v>OCT.24</c:v>
                </c:pt>
                <c:pt idx="1129">
                  <c:v>OCT.24</c:v>
                </c:pt>
                <c:pt idx="1130">
                  <c:v>OCT.24</c:v>
                </c:pt>
                <c:pt idx="1131">
                  <c:v>OCT.24</c:v>
                </c:pt>
                <c:pt idx="1132">
                  <c:v>OCT.24</c:v>
                </c:pt>
                <c:pt idx="1133">
                  <c:v>OCT.24</c:v>
                </c:pt>
                <c:pt idx="1134">
                  <c:v>OCT.24</c:v>
                </c:pt>
                <c:pt idx="1135">
                  <c:v>OCT.24</c:v>
                </c:pt>
                <c:pt idx="1136">
                  <c:v>OCT.24</c:v>
                </c:pt>
                <c:pt idx="1137">
                  <c:v>OCT.24</c:v>
                </c:pt>
                <c:pt idx="1138">
                  <c:v>OCT.24</c:v>
                </c:pt>
                <c:pt idx="1139">
                  <c:v>OCT.24</c:v>
                </c:pt>
                <c:pt idx="1140">
                  <c:v>OCT.24</c:v>
                </c:pt>
                <c:pt idx="1141">
                  <c:v>OCT.24</c:v>
                </c:pt>
                <c:pt idx="1142">
                  <c:v>OCT.24</c:v>
                </c:pt>
                <c:pt idx="1143">
                  <c:v>OCT.24</c:v>
                </c:pt>
                <c:pt idx="1144">
                  <c:v>OCT.24</c:v>
                </c:pt>
                <c:pt idx="1145">
                  <c:v>OCT.24</c:v>
                </c:pt>
                <c:pt idx="1146">
                  <c:v>OCT.24</c:v>
                </c:pt>
                <c:pt idx="1147">
                  <c:v>OCT.24</c:v>
                </c:pt>
                <c:pt idx="1148">
                  <c:v>OCT.24</c:v>
                </c:pt>
                <c:pt idx="1149">
                  <c:v>OCT.24</c:v>
                </c:pt>
                <c:pt idx="1150">
                  <c:v>OCT.24</c:v>
                </c:pt>
                <c:pt idx="1151">
                  <c:v>OCT.24</c:v>
                </c:pt>
                <c:pt idx="1152">
                  <c:v>OCT.24</c:v>
                </c:pt>
                <c:pt idx="1153">
                  <c:v>OCT.24</c:v>
                </c:pt>
                <c:pt idx="1154">
                  <c:v>OCT.24</c:v>
                </c:pt>
                <c:pt idx="1155">
                  <c:v>OCT.24</c:v>
                </c:pt>
                <c:pt idx="1156">
                  <c:v>OCT.24</c:v>
                </c:pt>
                <c:pt idx="1157">
                  <c:v>OCT.24</c:v>
                </c:pt>
                <c:pt idx="1158">
                  <c:v>OCT.24</c:v>
                </c:pt>
                <c:pt idx="1159">
                  <c:v>OCT.24</c:v>
                </c:pt>
                <c:pt idx="1160">
                  <c:v>OCT.24</c:v>
                </c:pt>
                <c:pt idx="1161">
                  <c:v>OCT.24</c:v>
                </c:pt>
                <c:pt idx="1162">
                  <c:v>OCT.24</c:v>
                </c:pt>
                <c:pt idx="1163">
                  <c:v>OCT.24</c:v>
                </c:pt>
                <c:pt idx="1164">
                  <c:v>OCT.24</c:v>
                </c:pt>
                <c:pt idx="1165">
                  <c:v>OCT.24</c:v>
                </c:pt>
                <c:pt idx="1166">
                  <c:v>OCT.24</c:v>
                </c:pt>
                <c:pt idx="1167">
                  <c:v>OCT.24</c:v>
                </c:pt>
                <c:pt idx="1168">
                  <c:v>OCT.24</c:v>
                </c:pt>
                <c:pt idx="1169">
                  <c:v>OCT.24</c:v>
                </c:pt>
                <c:pt idx="1170">
                  <c:v>OCT.24</c:v>
                </c:pt>
                <c:pt idx="1171">
                  <c:v>OCT.24</c:v>
                </c:pt>
                <c:pt idx="1172">
                  <c:v>OCT.24</c:v>
                </c:pt>
                <c:pt idx="1173">
                  <c:v>OCT.24</c:v>
                </c:pt>
                <c:pt idx="1174">
                  <c:v>OCT.24</c:v>
                </c:pt>
                <c:pt idx="1175">
                  <c:v>OCT.24</c:v>
                </c:pt>
                <c:pt idx="1176">
                  <c:v>OCT.24</c:v>
                </c:pt>
                <c:pt idx="1177">
                  <c:v>OCT.24</c:v>
                </c:pt>
                <c:pt idx="1178">
                  <c:v>OCT.24</c:v>
                </c:pt>
                <c:pt idx="1179">
                  <c:v>OCT.24</c:v>
                </c:pt>
                <c:pt idx="1180">
                  <c:v>OCT.24</c:v>
                </c:pt>
                <c:pt idx="1181">
                  <c:v>OCT.24</c:v>
                </c:pt>
                <c:pt idx="1182">
                  <c:v>OCT.24</c:v>
                </c:pt>
                <c:pt idx="1183">
                  <c:v>OCT.24</c:v>
                </c:pt>
                <c:pt idx="1184">
                  <c:v>OCT.24</c:v>
                </c:pt>
                <c:pt idx="1185">
                  <c:v>OCT.24</c:v>
                </c:pt>
                <c:pt idx="1186">
                  <c:v>OCT.24</c:v>
                </c:pt>
                <c:pt idx="1187">
                  <c:v>OCT.24</c:v>
                </c:pt>
                <c:pt idx="1188">
                  <c:v>OCT.24</c:v>
                </c:pt>
                <c:pt idx="1189">
                  <c:v>OCT.24</c:v>
                </c:pt>
                <c:pt idx="1190">
                  <c:v>OCT.24</c:v>
                </c:pt>
                <c:pt idx="1191">
                  <c:v>OCT.24</c:v>
                </c:pt>
                <c:pt idx="1192">
                  <c:v>OCT.24</c:v>
                </c:pt>
                <c:pt idx="1193">
                  <c:v>OCT.24</c:v>
                </c:pt>
                <c:pt idx="1194">
                  <c:v>OCT.24</c:v>
                </c:pt>
                <c:pt idx="1195">
                  <c:v>OCT.24</c:v>
                </c:pt>
                <c:pt idx="1196">
                  <c:v>OCT.24</c:v>
                </c:pt>
                <c:pt idx="1197">
                  <c:v>OCT.24</c:v>
                </c:pt>
                <c:pt idx="1198">
                  <c:v>OCT.24</c:v>
                </c:pt>
                <c:pt idx="1199">
                  <c:v>OCT.24</c:v>
                </c:pt>
                <c:pt idx="1200">
                  <c:v>OCT.24</c:v>
                </c:pt>
                <c:pt idx="1201">
                  <c:v>OCT.24</c:v>
                </c:pt>
                <c:pt idx="1202">
                  <c:v>OCT.24</c:v>
                </c:pt>
                <c:pt idx="1203">
                  <c:v>OCT.24</c:v>
                </c:pt>
                <c:pt idx="1204">
                  <c:v>OCT.24</c:v>
                </c:pt>
                <c:pt idx="1205">
                  <c:v>OCT.24</c:v>
                </c:pt>
                <c:pt idx="1206">
                  <c:v>OCT.24</c:v>
                </c:pt>
                <c:pt idx="1207">
                  <c:v>OCT.24</c:v>
                </c:pt>
                <c:pt idx="1208">
                  <c:v>OCT.24</c:v>
                </c:pt>
                <c:pt idx="1209">
                  <c:v>OCT.24</c:v>
                </c:pt>
                <c:pt idx="1210">
                  <c:v>OCT.24</c:v>
                </c:pt>
                <c:pt idx="1211">
                  <c:v>OCT.24</c:v>
                </c:pt>
                <c:pt idx="1212">
                  <c:v>OCT.24</c:v>
                </c:pt>
                <c:pt idx="1213">
                  <c:v>OCT.24</c:v>
                </c:pt>
                <c:pt idx="1214">
                  <c:v>November24 live EPILOGUE 1</c:v>
                </c:pt>
                <c:pt idx="1215">
                  <c:v>NOV.24</c:v>
                </c:pt>
                <c:pt idx="1216">
                  <c:v>NOV.24</c:v>
                </c:pt>
                <c:pt idx="1217">
                  <c:v>NOV.24</c:v>
                </c:pt>
                <c:pt idx="1218">
                  <c:v>NOV.24</c:v>
                </c:pt>
                <c:pt idx="1219">
                  <c:v>NOV.24</c:v>
                </c:pt>
                <c:pt idx="1220">
                  <c:v>NOV.24</c:v>
                </c:pt>
                <c:pt idx="1221">
                  <c:v>NOV.24</c:v>
                </c:pt>
                <c:pt idx="1222">
                  <c:v>NOV.24</c:v>
                </c:pt>
                <c:pt idx="1223">
                  <c:v>NOV.24</c:v>
                </c:pt>
                <c:pt idx="1224">
                  <c:v>NOV.24</c:v>
                </c:pt>
                <c:pt idx="1225">
                  <c:v>NOV.24</c:v>
                </c:pt>
                <c:pt idx="1226">
                  <c:v>NOV.24</c:v>
                </c:pt>
                <c:pt idx="1227">
                  <c:v>NOV.24</c:v>
                </c:pt>
                <c:pt idx="1228">
                  <c:v>NOV.24</c:v>
                </c:pt>
                <c:pt idx="1229">
                  <c:v>NOV.24</c:v>
                </c:pt>
                <c:pt idx="1230">
                  <c:v>NOV.24</c:v>
                </c:pt>
                <c:pt idx="1231">
                  <c:v>NOV.24</c:v>
                </c:pt>
                <c:pt idx="1232">
                  <c:v>NOV.24</c:v>
                </c:pt>
                <c:pt idx="1233">
                  <c:v>NOV.24</c:v>
                </c:pt>
                <c:pt idx="1234">
                  <c:v>NOV.24</c:v>
                </c:pt>
                <c:pt idx="1235">
                  <c:v>NOV.24</c:v>
                </c:pt>
                <c:pt idx="1236">
                  <c:v>NOV.24</c:v>
                </c:pt>
                <c:pt idx="1237">
                  <c:v>NOV.24</c:v>
                </c:pt>
              </c:strCache>
            </c:strRef>
          </c:cat>
          <c:val>
            <c:numRef>
              <c:f>'Journal Live'!$BW$1388:$BW$2630</c:f>
              <c:numCache>
                <c:formatCode>General</c:formatCode>
                <c:ptCount val="1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272.00000000000006</c:v>
                </c:pt>
                <c:pt idx="27">
                  <c:v>272.00000000000006</c:v>
                </c:pt>
                <c:pt idx="28">
                  <c:v>272.00000000000006</c:v>
                </c:pt>
                <c:pt idx="29">
                  <c:v>272.00000000000006</c:v>
                </c:pt>
                <c:pt idx="30">
                  <c:v>272.00000000000006</c:v>
                </c:pt>
                <c:pt idx="31">
                  <c:v>272.00000000000006</c:v>
                </c:pt>
                <c:pt idx="32">
                  <c:v>272.00000000000006</c:v>
                </c:pt>
                <c:pt idx="33">
                  <c:v>272.00000000000006</c:v>
                </c:pt>
                <c:pt idx="34">
                  <c:v>272.00000000000006</c:v>
                </c:pt>
                <c:pt idx="35">
                  <c:v>272.00000000000006</c:v>
                </c:pt>
                <c:pt idx="36">
                  <c:v>272.00000000000006</c:v>
                </c:pt>
                <c:pt idx="37">
                  <c:v>272.00000000000006</c:v>
                </c:pt>
                <c:pt idx="38">
                  <c:v>272.00000000000006</c:v>
                </c:pt>
                <c:pt idx="39">
                  <c:v>272.00000000000006</c:v>
                </c:pt>
                <c:pt idx="40">
                  <c:v>272.00000000000006</c:v>
                </c:pt>
                <c:pt idx="41">
                  <c:v>272.00000000000006</c:v>
                </c:pt>
                <c:pt idx="42">
                  <c:v>272.00000000000006</c:v>
                </c:pt>
                <c:pt idx="43">
                  <c:v>272.00000000000006</c:v>
                </c:pt>
                <c:pt idx="44">
                  <c:v>272.00000000000006</c:v>
                </c:pt>
                <c:pt idx="45">
                  <c:v>272.00000000000006</c:v>
                </c:pt>
                <c:pt idx="46">
                  <c:v>272.00000000000006</c:v>
                </c:pt>
                <c:pt idx="47">
                  <c:v>272.00000000000006</c:v>
                </c:pt>
                <c:pt idx="48">
                  <c:v>272.00000000000006</c:v>
                </c:pt>
                <c:pt idx="49">
                  <c:v>272.00000000000006</c:v>
                </c:pt>
                <c:pt idx="50">
                  <c:v>272.00000000000006</c:v>
                </c:pt>
                <c:pt idx="51">
                  <c:v>272.00000000000006</c:v>
                </c:pt>
                <c:pt idx="52">
                  <c:v>272.00000000000006</c:v>
                </c:pt>
                <c:pt idx="53">
                  <c:v>272.00000000000006</c:v>
                </c:pt>
                <c:pt idx="54">
                  <c:v>272.00000000000006</c:v>
                </c:pt>
                <c:pt idx="55">
                  <c:v>272.00000000000006</c:v>
                </c:pt>
                <c:pt idx="56">
                  <c:v>272.00000000000006</c:v>
                </c:pt>
                <c:pt idx="57">
                  <c:v>272.00000000000006</c:v>
                </c:pt>
                <c:pt idx="58">
                  <c:v>272.00000000000006</c:v>
                </c:pt>
                <c:pt idx="59">
                  <c:v>272.00000000000006</c:v>
                </c:pt>
                <c:pt idx="60">
                  <c:v>272.00000000000006</c:v>
                </c:pt>
                <c:pt idx="61">
                  <c:v>272.00000000000006</c:v>
                </c:pt>
                <c:pt idx="62">
                  <c:v>272.00000000000006</c:v>
                </c:pt>
                <c:pt idx="63">
                  <c:v>272.00000000000006</c:v>
                </c:pt>
                <c:pt idx="64">
                  <c:v>272.00000000000006</c:v>
                </c:pt>
                <c:pt idx="65">
                  <c:v>272.00000000000006</c:v>
                </c:pt>
                <c:pt idx="66">
                  <c:v>272.00000000000006</c:v>
                </c:pt>
                <c:pt idx="67">
                  <c:v>272.00000000000006</c:v>
                </c:pt>
                <c:pt idx="68">
                  <c:v>272.00000000000006</c:v>
                </c:pt>
                <c:pt idx="69">
                  <c:v>272.00000000000006</c:v>
                </c:pt>
                <c:pt idx="70">
                  <c:v>272.00000000000006</c:v>
                </c:pt>
                <c:pt idx="71">
                  <c:v>272.00000000000006</c:v>
                </c:pt>
                <c:pt idx="72">
                  <c:v>272.00000000000006</c:v>
                </c:pt>
                <c:pt idx="73">
                  <c:v>272.00000000000006</c:v>
                </c:pt>
                <c:pt idx="74">
                  <c:v>272.00000000000006</c:v>
                </c:pt>
                <c:pt idx="75">
                  <c:v>272.00000000000006</c:v>
                </c:pt>
                <c:pt idx="76">
                  <c:v>272.00000000000006</c:v>
                </c:pt>
                <c:pt idx="77">
                  <c:v>272.00000000000006</c:v>
                </c:pt>
                <c:pt idx="78">
                  <c:v>272.00000000000006</c:v>
                </c:pt>
                <c:pt idx="79">
                  <c:v>272.00000000000006</c:v>
                </c:pt>
                <c:pt idx="80">
                  <c:v>272.00000000000006</c:v>
                </c:pt>
                <c:pt idx="81">
                  <c:v>272.00000000000006</c:v>
                </c:pt>
                <c:pt idx="82">
                  <c:v>272.00000000000006</c:v>
                </c:pt>
                <c:pt idx="83">
                  <c:v>272.00000000000006</c:v>
                </c:pt>
                <c:pt idx="84">
                  <c:v>272.00000000000006</c:v>
                </c:pt>
                <c:pt idx="85">
                  <c:v>272.00000000000006</c:v>
                </c:pt>
                <c:pt idx="86">
                  <c:v>272.00000000000006</c:v>
                </c:pt>
                <c:pt idx="87">
                  <c:v>272.00000000000006</c:v>
                </c:pt>
                <c:pt idx="88">
                  <c:v>272.00000000000006</c:v>
                </c:pt>
                <c:pt idx="89">
                  <c:v>272.00000000000006</c:v>
                </c:pt>
                <c:pt idx="90">
                  <c:v>272.00000000000006</c:v>
                </c:pt>
                <c:pt idx="91">
                  <c:v>272.00000000000006</c:v>
                </c:pt>
                <c:pt idx="92">
                  <c:v>272.00000000000006</c:v>
                </c:pt>
                <c:pt idx="93">
                  <c:v>272.00000000000006</c:v>
                </c:pt>
                <c:pt idx="94">
                  <c:v>272.00000000000006</c:v>
                </c:pt>
                <c:pt idx="95">
                  <c:v>2223.9999999999995</c:v>
                </c:pt>
                <c:pt idx="96">
                  <c:v>2223.9999999999995</c:v>
                </c:pt>
                <c:pt idx="97">
                  <c:v>2223.9999999999995</c:v>
                </c:pt>
                <c:pt idx="98">
                  <c:v>2223.9999999999995</c:v>
                </c:pt>
                <c:pt idx="99">
                  <c:v>2223.9999999999995</c:v>
                </c:pt>
                <c:pt idx="100">
                  <c:v>2223.9999999999995</c:v>
                </c:pt>
                <c:pt idx="101">
                  <c:v>2223.9999999999995</c:v>
                </c:pt>
                <c:pt idx="102">
                  <c:v>2223.9999999999995</c:v>
                </c:pt>
                <c:pt idx="103">
                  <c:v>2223.9999999999995</c:v>
                </c:pt>
                <c:pt idx="104">
                  <c:v>2223.9999999999995</c:v>
                </c:pt>
                <c:pt idx="105">
                  <c:v>2223.9999999999995</c:v>
                </c:pt>
                <c:pt idx="106">
                  <c:v>2223.9999999999995</c:v>
                </c:pt>
                <c:pt idx="107">
                  <c:v>2223.9999999999995</c:v>
                </c:pt>
                <c:pt idx="108">
                  <c:v>2223.9999999999995</c:v>
                </c:pt>
                <c:pt idx="109">
                  <c:v>2223.9999999999995</c:v>
                </c:pt>
                <c:pt idx="110">
                  <c:v>2223.9999999999995</c:v>
                </c:pt>
                <c:pt idx="111">
                  <c:v>2223.9999999999995</c:v>
                </c:pt>
                <c:pt idx="112">
                  <c:v>2223.9999999999995</c:v>
                </c:pt>
                <c:pt idx="113">
                  <c:v>2223.9999999999995</c:v>
                </c:pt>
                <c:pt idx="114">
                  <c:v>2223.9999999999995</c:v>
                </c:pt>
                <c:pt idx="115">
                  <c:v>2223.9999999999995</c:v>
                </c:pt>
                <c:pt idx="116">
                  <c:v>2223.9999999999995</c:v>
                </c:pt>
                <c:pt idx="117">
                  <c:v>2223.9999999999995</c:v>
                </c:pt>
                <c:pt idx="118">
                  <c:v>2223.9999999999995</c:v>
                </c:pt>
                <c:pt idx="119">
                  <c:v>2223.9999999999995</c:v>
                </c:pt>
                <c:pt idx="120">
                  <c:v>2223.9999999999995</c:v>
                </c:pt>
                <c:pt idx="121">
                  <c:v>2223.9999999999995</c:v>
                </c:pt>
                <c:pt idx="122">
                  <c:v>2223.9999999999995</c:v>
                </c:pt>
                <c:pt idx="123">
                  <c:v>2223.9999999999995</c:v>
                </c:pt>
                <c:pt idx="124">
                  <c:v>2223.9999999999995</c:v>
                </c:pt>
                <c:pt idx="125">
                  <c:v>2223.9999999999995</c:v>
                </c:pt>
                <c:pt idx="126">
                  <c:v>2223.9999999999995</c:v>
                </c:pt>
                <c:pt idx="127">
                  <c:v>2223.9999999999995</c:v>
                </c:pt>
                <c:pt idx="128">
                  <c:v>2223.9999999999995</c:v>
                </c:pt>
                <c:pt idx="129">
                  <c:v>2223.9999999999995</c:v>
                </c:pt>
                <c:pt idx="130">
                  <c:v>2223.9999999999995</c:v>
                </c:pt>
                <c:pt idx="131">
                  <c:v>2223.9999999999995</c:v>
                </c:pt>
                <c:pt idx="132">
                  <c:v>2223.9999999999995</c:v>
                </c:pt>
                <c:pt idx="133">
                  <c:v>2223.9999999999995</c:v>
                </c:pt>
                <c:pt idx="134">
                  <c:v>2223.9999999999995</c:v>
                </c:pt>
                <c:pt idx="135">
                  <c:v>2223.9999999999995</c:v>
                </c:pt>
                <c:pt idx="136">
                  <c:v>2223.9999999999995</c:v>
                </c:pt>
                <c:pt idx="137">
                  <c:v>1919.9999999999995</c:v>
                </c:pt>
                <c:pt idx="138">
                  <c:v>1919.9999999999995</c:v>
                </c:pt>
                <c:pt idx="139">
                  <c:v>1919.9999999999995</c:v>
                </c:pt>
                <c:pt idx="140">
                  <c:v>1919.9999999999995</c:v>
                </c:pt>
                <c:pt idx="141">
                  <c:v>1919.9999999999995</c:v>
                </c:pt>
                <c:pt idx="142">
                  <c:v>1919.9999999999995</c:v>
                </c:pt>
                <c:pt idx="143">
                  <c:v>1919.9999999999995</c:v>
                </c:pt>
                <c:pt idx="144">
                  <c:v>1919.9999999999995</c:v>
                </c:pt>
                <c:pt idx="145">
                  <c:v>1919.9999999999995</c:v>
                </c:pt>
                <c:pt idx="146">
                  <c:v>1919.9999999999995</c:v>
                </c:pt>
                <c:pt idx="147">
                  <c:v>1919.9999999999995</c:v>
                </c:pt>
                <c:pt idx="148">
                  <c:v>1919.9999999999995</c:v>
                </c:pt>
                <c:pt idx="149">
                  <c:v>1919.9999999999995</c:v>
                </c:pt>
                <c:pt idx="150">
                  <c:v>1919.9999999999995</c:v>
                </c:pt>
                <c:pt idx="151">
                  <c:v>1919.9999999999995</c:v>
                </c:pt>
                <c:pt idx="152">
                  <c:v>1919.9999999999995</c:v>
                </c:pt>
                <c:pt idx="153">
                  <c:v>1919.9999999999995</c:v>
                </c:pt>
                <c:pt idx="154">
                  <c:v>1919.9999999999995</c:v>
                </c:pt>
                <c:pt idx="155">
                  <c:v>1919.9999999999995</c:v>
                </c:pt>
                <c:pt idx="156">
                  <c:v>1919.9999999999995</c:v>
                </c:pt>
                <c:pt idx="157">
                  <c:v>1919.9999999999995</c:v>
                </c:pt>
                <c:pt idx="158">
                  <c:v>1919.9999999999995</c:v>
                </c:pt>
                <c:pt idx="159">
                  <c:v>1919.9999999999995</c:v>
                </c:pt>
                <c:pt idx="160">
                  <c:v>1919.9999999999995</c:v>
                </c:pt>
                <c:pt idx="161">
                  <c:v>1919.9999999999995</c:v>
                </c:pt>
                <c:pt idx="162">
                  <c:v>1919.9999999999995</c:v>
                </c:pt>
                <c:pt idx="163">
                  <c:v>1919.9999999999995</c:v>
                </c:pt>
                <c:pt idx="164">
                  <c:v>1919.9999999999995</c:v>
                </c:pt>
                <c:pt idx="165">
                  <c:v>1919.9999999999995</c:v>
                </c:pt>
                <c:pt idx="166">
                  <c:v>1919.9999999999995</c:v>
                </c:pt>
                <c:pt idx="167">
                  <c:v>1919.9999999999995</c:v>
                </c:pt>
                <c:pt idx="168">
                  <c:v>1919.9999999999995</c:v>
                </c:pt>
                <c:pt idx="169">
                  <c:v>2319.9999999999986</c:v>
                </c:pt>
                <c:pt idx="170">
                  <c:v>2319.9999999999986</c:v>
                </c:pt>
                <c:pt idx="171">
                  <c:v>2319.9999999999986</c:v>
                </c:pt>
                <c:pt idx="172">
                  <c:v>2319.9999999999986</c:v>
                </c:pt>
                <c:pt idx="173">
                  <c:v>2319.9999999999986</c:v>
                </c:pt>
                <c:pt idx="174">
                  <c:v>2319.9999999999986</c:v>
                </c:pt>
                <c:pt idx="175">
                  <c:v>2319.9999999999986</c:v>
                </c:pt>
                <c:pt idx="176">
                  <c:v>2319.9999999999986</c:v>
                </c:pt>
                <c:pt idx="177">
                  <c:v>2319.9999999999986</c:v>
                </c:pt>
                <c:pt idx="178">
                  <c:v>2319.9999999999986</c:v>
                </c:pt>
                <c:pt idx="179">
                  <c:v>719.99999999999818</c:v>
                </c:pt>
                <c:pt idx="180">
                  <c:v>2319.9999999999986</c:v>
                </c:pt>
                <c:pt idx="181">
                  <c:v>2319.9999999999986</c:v>
                </c:pt>
                <c:pt idx="182">
                  <c:v>2319.9999999999986</c:v>
                </c:pt>
                <c:pt idx="183">
                  <c:v>2319.9999999999986</c:v>
                </c:pt>
                <c:pt idx="184">
                  <c:v>2319.9999999999986</c:v>
                </c:pt>
                <c:pt idx="185">
                  <c:v>2319.9999999999986</c:v>
                </c:pt>
                <c:pt idx="186">
                  <c:v>2319.9999999999986</c:v>
                </c:pt>
                <c:pt idx="187">
                  <c:v>2319.9999999999986</c:v>
                </c:pt>
                <c:pt idx="188">
                  <c:v>2319.9999999999986</c:v>
                </c:pt>
                <c:pt idx="189">
                  <c:v>2319.9999999999986</c:v>
                </c:pt>
                <c:pt idx="190">
                  <c:v>2319.9999999999986</c:v>
                </c:pt>
                <c:pt idx="191">
                  <c:v>2319.9999999999986</c:v>
                </c:pt>
                <c:pt idx="192">
                  <c:v>719.99999999999818</c:v>
                </c:pt>
                <c:pt idx="193">
                  <c:v>2319.9999999999986</c:v>
                </c:pt>
                <c:pt idx="194">
                  <c:v>2319.9999999999986</c:v>
                </c:pt>
                <c:pt idx="195">
                  <c:v>719.99999999999818</c:v>
                </c:pt>
                <c:pt idx="196">
                  <c:v>719.99999999999818</c:v>
                </c:pt>
                <c:pt idx="197">
                  <c:v>719.99999999999818</c:v>
                </c:pt>
                <c:pt idx="198">
                  <c:v>719.99999999999818</c:v>
                </c:pt>
                <c:pt idx="199">
                  <c:v>719.99999999999818</c:v>
                </c:pt>
                <c:pt idx="200">
                  <c:v>719.99999999999818</c:v>
                </c:pt>
                <c:pt idx="201">
                  <c:v>719.99999999999818</c:v>
                </c:pt>
                <c:pt idx="202">
                  <c:v>719.99999999999818</c:v>
                </c:pt>
                <c:pt idx="203">
                  <c:v>719.99999999999818</c:v>
                </c:pt>
                <c:pt idx="204">
                  <c:v>719.99999999999818</c:v>
                </c:pt>
                <c:pt idx="205">
                  <c:v>719.99999999999818</c:v>
                </c:pt>
                <c:pt idx="206">
                  <c:v>719.99999999999818</c:v>
                </c:pt>
                <c:pt idx="207">
                  <c:v>719.99999999999818</c:v>
                </c:pt>
                <c:pt idx="208">
                  <c:v>719.99999999999818</c:v>
                </c:pt>
                <c:pt idx="209">
                  <c:v>719.99999999999818</c:v>
                </c:pt>
                <c:pt idx="210">
                  <c:v>719.99999999999818</c:v>
                </c:pt>
                <c:pt idx="211">
                  <c:v>719.99999999999818</c:v>
                </c:pt>
                <c:pt idx="212">
                  <c:v>719.99999999999818</c:v>
                </c:pt>
                <c:pt idx="213">
                  <c:v>719.99999999999818</c:v>
                </c:pt>
                <c:pt idx="214">
                  <c:v>719.99999999999818</c:v>
                </c:pt>
                <c:pt idx="215">
                  <c:v>719.99999999999818</c:v>
                </c:pt>
                <c:pt idx="216">
                  <c:v>719.99999999999818</c:v>
                </c:pt>
                <c:pt idx="217">
                  <c:v>719.99999999999818</c:v>
                </c:pt>
                <c:pt idx="218">
                  <c:v>719.99999999999818</c:v>
                </c:pt>
                <c:pt idx="219">
                  <c:v>719.99999999999818</c:v>
                </c:pt>
                <c:pt idx="220">
                  <c:v>719.99999999999818</c:v>
                </c:pt>
                <c:pt idx="221">
                  <c:v>719.99999999999818</c:v>
                </c:pt>
                <c:pt idx="222">
                  <c:v>719.99999999999818</c:v>
                </c:pt>
                <c:pt idx="223">
                  <c:v>719.99999999999818</c:v>
                </c:pt>
                <c:pt idx="224">
                  <c:v>719.99999999999818</c:v>
                </c:pt>
                <c:pt idx="225">
                  <c:v>719.99999999999818</c:v>
                </c:pt>
                <c:pt idx="226">
                  <c:v>719.99999999999818</c:v>
                </c:pt>
                <c:pt idx="227">
                  <c:v>719.99999999999818</c:v>
                </c:pt>
                <c:pt idx="228">
                  <c:v>719.99999999999818</c:v>
                </c:pt>
                <c:pt idx="229">
                  <c:v>719.99999999999818</c:v>
                </c:pt>
                <c:pt idx="230">
                  <c:v>719.99999999999818</c:v>
                </c:pt>
                <c:pt idx="231">
                  <c:v>719.99999999999818</c:v>
                </c:pt>
                <c:pt idx="232">
                  <c:v>719.99999999999818</c:v>
                </c:pt>
                <c:pt idx="233">
                  <c:v>719.99999999999818</c:v>
                </c:pt>
                <c:pt idx="234">
                  <c:v>719.99999999999818</c:v>
                </c:pt>
                <c:pt idx="235">
                  <c:v>719.99999999999818</c:v>
                </c:pt>
                <c:pt idx="236">
                  <c:v>719.99999999999818</c:v>
                </c:pt>
                <c:pt idx="237">
                  <c:v>719.99999999999818</c:v>
                </c:pt>
                <c:pt idx="238">
                  <c:v>719.99999999999818</c:v>
                </c:pt>
                <c:pt idx="239">
                  <c:v>719.99999999999818</c:v>
                </c:pt>
                <c:pt idx="240">
                  <c:v>719.99999999999818</c:v>
                </c:pt>
                <c:pt idx="241">
                  <c:v>719.99999999999818</c:v>
                </c:pt>
                <c:pt idx="242">
                  <c:v>719.99999999999818</c:v>
                </c:pt>
                <c:pt idx="243">
                  <c:v>719.99999999999818</c:v>
                </c:pt>
                <c:pt idx="244">
                  <c:v>719.99999999999818</c:v>
                </c:pt>
                <c:pt idx="245">
                  <c:v>719.99999999999818</c:v>
                </c:pt>
                <c:pt idx="246">
                  <c:v>719.99999999999818</c:v>
                </c:pt>
                <c:pt idx="247">
                  <c:v>719.99999999999818</c:v>
                </c:pt>
                <c:pt idx="248">
                  <c:v>719.99999999999818</c:v>
                </c:pt>
                <c:pt idx="249">
                  <c:v>719.99999999999818</c:v>
                </c:pt>
                <c:pt idx="250">
                  <c:v>719.99999999999818</c:v>
                </c:pt>
                <c:pt idx="251">
                  <c:v>719.99999999999818</c:v>
                </c:pt>
                <c:pt idx="252">
                  <c:v>719.99999999999818</c:v>
                </c:pt>
                <c:pt idx="253">
                  <c:v>719.99999999999818</c:v>
                </c:pt>
                <c:pt idx="254">
                  <c:v>719.99999999999818</c:v>
                </c:pt>
                <c:pt idx="255">
                  <c:v>719.99999999999818</c:v>
                </c:pt>
                <c:pt idx="256">
                  <c:v>719.99999999999818</c:v>
                </c:pt>
                <c:pt idx="257">
                  <c:v>719.99999999999818</c:v>
                </c:pt>
                <c:pt idx="258">
                  <c:v>719.99999999999818</c:v>
                </c:pt>
                <c:pt idx="259">
                  <c:v>719.99999999999818</c:v>
                </c:pt>
                <c:pt idx="260">
                  <c:v>719.99999999999818</c:v>
                </c:pt>
                <c:pt idx="261">
                  <c:v>719.99999999999818</c:v>
                </c:pt>
                <c:pt idx="262">
                  <c:v>719.99999999999818</c:v>
                </c:pt>
                <c:pt idx="263">
                  <c:v>719.99999999999818</c:v>
                </c:pt>
                <c:pt idx="264">
                  <c:v>719.99999999999818</c:v>
                </c:pt>
                <c:pt idx="265">
                  <c:v>719.99999999999818</c:v>
                </c:pt>
                <c:pt idx="266">
                  <c:v>3279.9999999999982</c:v>
                </c:pt>
                <c:pt idx="267">
                  <c:v>3279.9999999999982</c:v>
                </c:pt>
                <c:pt idx="268">
                  <c:v>3279.9999999999982</c:v>
                </c:pt>
                <c:pt idx="269">
                  <c:v>3279.9999999999982</c:v>
                </c:pt>
                <c:pt idx="270">
                  <c:v>3279.9999999999982</c:v>
                </c:pt>
                <c:pt idx="271">
                  <c:v>3279.9999999999982</c:v>
                </c:pt>
                <c:pt idx="272">
                  <c:v>3279.9999999999982</c:v>
                </c:pt>
                <c:pt idx="273">
                  <c:v>3279.9999999999982</c:v>
                </c:pt>
                <c:pt idx="274">
                  <c:v>3279.9999999999982</c:v>
                </c:pt>
                <c:pt idx="275">
                  <c:v>3279.9999999999982</c:v>
                </c:pt>
                <c:pt idx="276">
                  <c:v>3279.9999999999982</c:v>
                </c:pt>
                <c:pt idx="277">
                  <c:v>3279.9999999999982</c:v>
                </c:pt>
                <c:pt idx="278">
                  <c:v>3279.9999999999982</c:v>
                </c:pt>
                <c:pt idx="279">
                  <c:v>3279.9999999999982</c:v>
                </c:pt>
                <c:pt idx="280">
                  <c:v>3279.9999999999982</c:v>
                </c:pt>
                <c:pt idx="281">
                  <c:v>3279.9999999999982</c:v>
                </c:pt>
                <c:pt idx="282">
                  <c:v>3279.9999999999982</c:v>
                </c:pt>
                <c:pt idx="283">
                  <c:v>3279.9999999999982</c:v>
                </c:pt>
                <c:pt idx="284">
                  <c:v>3279.9999999999982</c:v>
                </c:pt>
                <c:pt idx="285">
                  <c:v>3279.9999999999982</c:v>
                </c:pt>
                <c:pt idx="286">
                  <c:v>3279.9999999999982</c:v>
                </c:pt>
                <c:pt idx="287">
                  <c:v>3279.9999999999982</c:v>
                </c:pt>
                <c:pt idx="288">
                  <c:v>3279.9999999999982</c:v>
                </c:pt>
                <c:pt idx="289">
                  <c:v>3279.9999999999982</c:v>
                </c:pt>
                <c:pt idx="290">
                  <c:v>3279.9999999999982</c:v>
                </c:pt>
                <c:pt idx="291">
                  <c:v>3279.9999999999982</c:v>
                </c:pt>
                <c:pt idx="292">
                  <c:v>3279.9999999999982</c:v>
                </c:pt>
                <c:pt idx="293">
                  <c:v>3279.9999999999982</c:v>
                </c:pt>
                <c:pt idx="294">
                  <c:v>3279.9999999999982</c:v>
                </c:pt>
                <c:pt idx="295">
                  <c:v>3279.9999999999982</c:v>
                </c:pt>
                <c:pt idx="296">
                  <c:v>3279.9999999999982</c:v>
                </c:pt>
                <c:pt idx="297">
                  <c:v>3279.9999999999982</c:v>
                </c:pt>
                <c:pt idx="298">
                  <c:v>3279.9999999999982</c:v>
                </c:pt>
                <c:pt idx="299">
                  <c:v>3279.9999999999982</c:v>
                </c:pt>
                <c:pt idx="300">
                  <c:v>3279.9999999999982</c:v>
                </c:pt>
                <c:pt idx="301">
                  <c:v>3279.9999999999982</c:v>
                </c:pt>
                <c:pt idx="302">
                  <c:v>3279.9999999999982</c:v>
                </c:pt>
                <c:pt idx="303">
                  <c:v>3279.9999999999982</c:v>
                </c:pt>
                <c:pt idx="304">
                  <c:v>3279.9999999999982</c:v>
                </c:pt>
                <c:pt idx="305">
                  <c:v>3279.9999999999982</c:v>
                </c:pt>
                <c:pt idx="306">
                  <c:v>3279.9999999999982</c:v>
                </c:pt>
                <c:pt idx="307">
                  <c:v>3279.9999999999982</c:v>
                </c:pt>
                <c:pt idx="308">
                  <c:v>3279.9999999999982</c:v>
                </c:pt>
                <c:pt idx="309">
                  <c:v>3279.9999999999982</c:v>
                </c:pt>
                <c:pt idx="310">
                  <c:v>3279.9999999999982</c:v>
                </c:pt>
                <c:pt idx="311">
                  <c:v>3279.9999999999982</c:v>
                </c:pt>
                <c:pt idx="312">
                  <c:v>3279.9999999999982</c:v>
                </c:pt>
                <c:pt idx="313">
                  <c:v>3279.9999999999982</c:v>
                </c:pt>
                <c:pt idx="314">
                  <c:v>3279.9999999999982</c:v>
                </c:pt>
                <c:pt idx="315">
                  <c:v>3279.9999999999982</c:v>
                </c:pt>
                <c:pt idx="316">
                  <c:v>3279.9999999999982</c:v>
                </c:pt>
                <c:pt idx="317">
                  <c:v>3279.9999999999982</c:v>
                </c:pt>
                <c:pt idx="318">
                  <c:v>3279.9999999999982</c:v>
                </c:pt>
                <c:pt idx="319">
                  <c:v>3279.9999999999982</c:v>
                </c:pt>
                <c:pt idx="320">
                  <c:v>3279.9999999999982</c:v>
                </c:pt>
                <c:pt idx="321">
                  <c:v>3279.9999999999982</c:v>
                </c:pt>
                <c:pt idx="322">
                  <c:v>3279.9999999999982</c:v>
                </c:pt>
                <c:pt idx="323">
                  <c:v>3279.9999999999982</c:v>
                </c:pt>
                <c:pt idx="324">
                  <c:v>3279.9999999999982</c:v>
                </c:pt>
                <c:pt idx="325">
                  <c:v>3279.9999999999982</c:v>
                </c:pt>
                <c:pt idx="326">
                  <c:v>3279.9999999999982</c:v>
                </c:pt>
                <c:pt idx="327">
                  <c:v>3279.9999999999982</c:v>
                </c:pt>
                <c:pt idx="328">
                  <c:v>3279.9999999999982</c:v>
                </c:pt>
                <c:pt idx="329">
                  <c:v>3279.9999999999982</c:v>
                </c:pt>
                <c:pt idx="330">
                  <c:v>3279.9999999999982</c:v>
                </c:pt>
                <c:pt idx="331">
                  <c:v>3279.9999999999982</c:v>
                </c:pt>
                <c:pt idx="332">
                  <c:v>3279.9999999999982</c:v>
                </c:pt>
                <c:pt idx="333">
                  <c:v>3279.9999999999982</c:v>
                </c:pt>
                <c:pt idx="334">
                  <c:v>3279.9999999999982</c:v>
                </c:pt>
                <c:pt idx="335">
                  <c:v>3279.9999999999982</c:v>
                </c:pt>
                <c:pt idx="336">
                  <c:v>3279.9999999999982</c:v>
                </c:pt>
                <c:pt idx="337">
                  <c:v>3279.9999999999982</c:v>
                </c:pt>
                <c:pt idx="338">
                  <c:v>3279.9999999999982</c:v>
                </c:pt>
                <c:pt idx="339">
                  <c:v>3279.9999999999982</c:v>
                </c:pt>
                <c:pt idx="340">
                  <c:v>3279.9999999999982</c:v>
                </c:pt>
                <c:pt idx="341">
                  <c:v>3279.9999999999982</c:v>
                </c:pt>
                <c:pt idx="342">
                  <c:v>3279.9999999999982</c:v>
                </c:pt>
                <c:pt idx="343">
                  <c:v>3279.9999999999982</c:v>
                </c:pt>
                <c:pt idx="344">
                  <c:v>3279.9999999999982</c:v>
                </c:pt>
                <c:pt idx="345">
                  <c:v>3279.9999999999982</c:v>
                </c:pt>
                <c:pt idx="346">
                  <c:v>3279.9999999999982</c:v>
                </c:pt>
                <c:pt idx="347">
                  <c:v>3279.9999999999982</c:v>
                </c:pt>
                <c:pt idx="348">
                  <c:v>3279.9999999999982</c:v>
                </c:pt>
                <c:pt idx="349">
                  <c:v>3279.9999999999982</c:v>
                </c:pt>
                <c:pt idx="350">
                  <c:v>3279.9999999999982</c:v>
                </c:pt>
                <c:pt idx="351">
                  <c:v>3279.9999999999982</c:v>
                </c:pt>
                <c:pt idx="352">
                  <c:v>3279.9999999999982</c:v>
                </c:pt>
                <c:pt idx="353">
                  <c:v>3279.9999999999982</c:v>
                </c:pt>
                <c:pt idx="354">
                  <c:v>3279.9999999999982</c:v>
                </c:pt>
                <c:pt idx="355">
                  <c:v>3279.9999999999982</c:v>
                </c:pt>
                <c:pt idx="356">
                  <c:v>3279.9999999999982</c:v>
                </c:pt>
                <c:pt idx="357">
                  <c:v>3279.9999999999982</c:v>
                </c:pt>
                <c:pt idx="358">
                  <c:v>3279.9999999999982</c:v>
                </c:pt>
                <c:pt idx="359">
                  <c:v>3279.9999999999982</c:v>
                </c:pt>
                <c:pt idx="360">
                  <c:v>3279.9999999999982</c:v>
                </c:pt>
                <c:pt idx="361">
                  <c:v>3279.9999999999982</c:v>
                </c:pt>
                <c:pt idx="362">
                  <c:v>3279.9999999999982</c:v>
                </c:pt>
                <c:pt idx="363">
                  <c:v>3279.9999999999982</c:v>
                </c:pt>
                <c:pt idx="364">
                  <c:v>3279.9999999999982</c:v>
                </c:pt>
                <c:pt idx="365">
                  <c:v>3279.9999999999982</c:v>
                </c:pt>
                <c:pt idx="366">
                  <c:v>3279.9999999999982</c:v>
                </c:pt>
                <c:pt idx="367">
                  <c:v>3279.9999999999982</c:v>
                </c:pt>
                <c:pt idx="368">
                  <c:v>3279.9999999999982</c:v>
                </c:pt>
                <c:pt idx="369">
                  <c:v>3279.9999999999982</c:v>
                </c:pt>
                <c:pt idx="370">
                  <c:v>3279.9999999999982</c:v>
                </c:pt>
                <c:pt idx="371">
                  <c:v>3279.9999999999982</c:v>
                </c:pt>
                <c:pt idx="372">
                  <c:v>3279.9999999999982</c:v>
                </c:pt>
                <c:pt idx="373">
                  <c:v>3279.9999999999982</c:v>
                </c:pt>
                <c:pt idx="374">
                  <c:v>3279.9999999999982</c:v>
                </c:pt>
                <c:pt idx="375">
                  <c:v>3279.9999999999982</c:v>
                </c:pt>
                <c:pt idx="376">
                  <c:v>3279.9999999999982</c:v>
                </c:pt>
                <c:pt idx="377">
                  <c:v>3279.9999999999982</c:v>
                </c:pt>
                <c:pt idx="378">
                  <c:v>3279.9999999999982</c:v>
                </c:pt>
                <c:pt idx="379">
                  <c:v>3279.9999999999982</c:v>
                </c:pt>
                <c:pt idx="380">
                  <c:v>3279.9999999999982</c:v>
                </c:pt>
                <c:pt idx="381">
                  <c:v>3279.9999999999982</c:v>
                </c:pt>
                <c:pt idx="382">
                  <c:v>3279.9999999999982</c:v>
                </c:pt>
                <c:pt idx="383">
                  <c:v>3279.9999999999982</c:v>
                </c:pt>
                <c:pt idx="384">
                  <c:v>3279.9999999999982</c:v>
                </c:pt>
                <c:pt idx="385">
                  <c:v>3279.9999999999982</c:v>
                </c:pt>
                <c:pt idx="386">
                  <c:v>3279.9999999999982</c:v>
                </c:pt>
                <c:pt idx="387">
                  <c:v>3279.9999999999982</c:v>
                </c:pt>
                <c:pt idx="388">
                  <c:v>3279.9999999999982</c:v>
                </c:pt>
                <c:pt idx="389">
                  <c:v>3279.9999999999982</c:v>
                </c:pt>
                <c:pt idx="390">
                  <c:v>3279.9999999999982</c:v>
                </c:pt>
                <c:pt idx="391">
                  <c:v>3279.9999999999982</c:v>
                </c:pt>
                <c:pt idx="392">
                  <c:v>3279.9999999999982</c:v>
                </c:pt>
                <c:pt idx="393">
                  <c:v>3279.9999999999982</c:v>
                </c:pt>
                <c:pt idx="394">
                  <c:v>3279.9999999999982</c:v>
                </c:pt>
                <c:pt idx="395">
                  <c:v>3279.9999999999982</c:v>
                </c:pt>
                <c:pt idx="396">
                  <c:v>3279.9999999999982</c:v>
                </c:pt>
                <c:pt idx="397">
                  <c:v>3279.9999999999982</c:v>
                </c:pt>
                <c:pt idx="398">
                  <c:v>3279.9999999999982</c:v>
                </c:pt>
                <c:pt idx="399">
                  <c:v>3279.9999999999982</c:v>
                </c:pt>
                <c:pt idx="400">
                  <c:v>3279.9999999999982</c:v>
                </c:pt>
                <c:pt idx="401">
                  <c:v>3279.9999999999982</c:v>
                </c:pt>
                <c:pt idx="402">
                  <c:v>3279.9999999999982</c:v>
                </c:pt>
                <c:pt idx="403">
                  <c:v>3279.9999999999982</c:v>
                </c:pt>
                <c:pt idx="404">
                  <c:v>3279.9999999999982</c:v>
                </c:pt>
                <c:pt idx="405">
                  <c:v>3279.9999999999982</c:v>
                </c:pt>
                <c:pt idx="406">
                  <c:v>3279.9999999999982</c:v>
                </c:pt>
                <c:pt idx="407">
                  <c:v>3279.9999999999982</c:v>
                </c:pt>
                <c:pt idx="408">
                  <c:v>3279.9999999999982</c:v>
                </c:pt>
                <c:pt idx="409">
                  <c:v>3279.9999999999982</c:v>
                </c:pt>
                <c:pt idx="410">
                  <c:v>3279.9999999999982</c:v>
                </c:pt>
                <c:pt idx="411">
                  <c:v>3279.9999999999982</c:v>
                </c:pt>
                <c:pt idx="412">
                  <c:v>3279.9999999999982</c:v>
                </c:pt>
                <c:pt idx="413">
                  <c:v>3279.9999999999982</c:v>
                </c:pt>
                <c:pt idx="414">
                  <c:v>3759.9999999999982</c:v>
                </c:pt>
                <c:pt idx="415">
                  <c:v>3759.9999999999982</c:v>
                </c:pt>
                <c:pt idx="416">
                  <c:v>3759.9999999999982</c:v>
                </c:pt>
                <c:pt idx="417">
                  <c:v>3759.9999999999982</c:v>
                </c:pt>
                <c:pt idx="418">
                  <c:v>3759.9999999999982</c:v>
                </c:pt>
                <c:pt idx="419">
                  <c:v>3759.9999999999982</c:v>
                </c:pt>
                <c:pt idx="420">
                  <c:v>3759.9999999999982</c:v>
                </c:pt>
                <c:pt idx="421">
                  <c:v>3759.9999999999982</c:v>
                </c:pt>
                <c:pt idx="422">
                  <c:v>3759.9999999999982</c:v>
                </c:pt>
                <c:pt idx="423">
                  <c:v>3759.9999999999982</c:v>
                </c:pt>
                <c:pt idx="424">
                  <c:v>3759.9999999999982</c:v>
                </c:pt>
                <c:pt idx="425">
                  <c:v>3759.9999999999982</c:v>
                </c:pt>
                <c:pt idx="426">
                  <c:v>3759.9999999999982</c:v>
                </c:pt>
                <c:pt idx="427">
                  <c:v>3759.9999999999982</c:v>
                </c:pt>
                <c:pt idx="428">
                  <c:v>3759.9999999999982</c:v>
                </c:pt>
                <c:pt idx="429">
                  <c:v>3759.9999999999982</c:v>
                </c:pt>
                <c:pt idx="430">
                  <c:v>3759.9999999999982</c:v>
                </c:pt>
                <c:pt idx="431">
                  <c:v>3759.9999999999982</c:v>
                </c:pt>
                <c:pt idx="432">
                  <c:v>3759.9999999999982</c:v>
                </c:pt>
                <c:pt idx="433">
                  <c:v>3759.9999999999982</c:v>
                </c:pt>
                <c:pt idx="434">
                  <c:v>3759.9999999999982</c:v>
                </c:pt>
                <c:pt idx="435">
                  <c:v>3759.9999999999982</c:v>
                </c:pt>
                <c:pt idx="436">
                  <c:v>3759.9999999999982</c:v>
                </c:pt>
                <c:pt idx="437">
                  <c:v>3759.9999999999982</c:v>
                </c:pt>
                <c:pt idx="438">
                  <c:v>3759.9999999999982</c:v>
                </c:pt>
                <c:pt idx="439">
                  <c:v>3759.9999999999982</c:v>
                </c:pt>
                <c:pt idx="440">
                  <c:v>3759.9999999999982</c:v>
                </c:pt>
                <c:pt idx="441">
                  <c:v>3759.9999999999982</c:v>
                </c:pt>
                <c:pt idx="442">
                  <c:v>3759.9999999999982</c:v>
                </c:pt>
                <c:pt idx="443">
                  <c:v>3759.9999999999982</c:v>
                </c:pt>
                <c:pt idx="444">
                  <c:v>4639.9999999999982</c:v>
                </c:pt>
                <c:pt idx="445">
                  <c:v>4639.9999999999982</c:v>
                </c:pt>
                <c:pt idx="446">
                  <c:v>4639.9999999999982</c:v>
                </c:pt>
                <c:pt idx="447">
                  <c:v>4639.9999999999982</c:v>
                </c:pt>
                <c:pt idx="448">
                  <c:v>4639.9999999999982</c:v>
                </c:pt>
                <c:pt idx="449">
                  <c:v>4639.9999999999982</c:v>
                </c:pt>
                <c:pt idx="450">
                  <c:v>4639.9999999999982</c:v>
                </c:pt>
                <c:pt idx="451">
                  <c:v>4639.9999999999982</c:v>
                </c:pt>
                <c:pt idx="452">
                  <c:v>4639.9999999999982</c:v>
                </c:pt>
                <c:pt idx="453">
                  <c:v>4639.9999999999982</c:v>
                </c:pt>
                <c:pt idx="454">
                  <c:v>4639.9999999999982</c:v>
                </c:pt>
                <c:pt idx="455">
                  <c:v>4639.9999999999982</c:v>
                </c:pt>
                <c:pt idx="456">
                  <c:v>4639.9999999999982</c:v>
                </c:pt>
                <c:pt idx="457">
                  <c:v>4639.9999999999982</c:v>
                </c:pt>
                <c:pt idx="458">
                  <c:v>4639.9999999999982</c:v>
                </c:pt>
                <c:pt idx="459">
                  <c:v>4639.9999999999982</c:v>
                </c:pt>
                <c:pt idx="460">
                  <c:v>4639.9999999999982</c:v>
                </c:pt>
                <c:pt idx="461">
                  <c:v>4639.9999999999982</c:v>
                </c:pt>
                <c:pt idx="462">
                  <c:v>4639.9999999999982</c:v>
                </c:pt>
                <c:pt idx="463">
                  <c:v>4639.9999999999982</c:v>
                </c:pt>
                <c:pt idx="464">
                  <c:v>4639.9999999999982</c:v>
                </c:pt>
                <c:pt idx="465">
                  <c:v>4639.9999999999982</c:v>
                </c:pt>
                <c:pt idx="466">
                  <c:v>4639.9999999999982</c:v>
                </c:pt>
                <c:pt idx="467">
                  <c:v>4639.9999999999982</c:v>
                </c:pt>
                <c:pt idx="468">
                  <c:v>4639.9999999999982</c:v>
                </c:pt>
                <c:pt idx="469">
                  <c:v>4639.9999999999982</c:v>
                </c:pt>
                <c:pt idx="470">
                  <c:v>4639.9999999999982</c:v>
                </c:pt>
                <c:pt idx="471">
                  <c:v>4639.9999999999982</c:v>
                </c:pt>
                <c:pt idx="472">
                  <c:v>4639.9999999999982</c:v>
                </c:pt>
                <c:pt idx="473">
                  <c:v>4639.9999999999982</c:v>
                </c:pt>
                <c:pt idx="474">
                  <c:v>4639.9999999999982</c:v>
                </c:pt>
                <c:pt idx="475">
                  <c:v>4639.9999999999982</c:v>
                </c:pt>
                <c:pt idx="476">
                  <c:v>4639.9999999999982</c:v>
                </c:pt>
                <c:pt idx="477">
                  <c:v>4639.9999999999982</c:v>
                </c:pt>
                <c:pt idx="478">
                  <c:v>4639.9999999999982</c:v>
                </c:pt>
                <c:pt idx="479">
                  <c:v>4639.9999999999982</c:v>
                </c:pt>
                <c:pt idx="480">
                  <c:v>4639.9999999999982</c:v>
                </c:pt>
                <c:pt idx="481">
                  <c:v>4639.9999999999982</c:v>
                </c:pt>
                <c:pt idx="482">
                  <c:v>4639.9999999999982</c:v>
                </c:pt>
                <c:pt idx="483">
                  <c:v>4639.9999999999982</c:v>
                </c:pt>
                <c:pt idx="484">
                  <c:v>4639.9999999999982</c:v>
                </c:pt>
                <c:pt idx="485">
                  <c:v>4639.9999999999982</c:v>
                </c:pt>
                <c:pt idx="486">
                  <c:v>4639.9999999999982</c:v>
                </c:pt>
                <c:pt idx="487">
                  <c:v>4639.9999999999982</c:v>
                </c:pt>
                <c:pt idx="488">
                  <c:v>4639.9999999999982</c:v>
                </c:pt>
                <c:pt idx="489">
                  <c:v>4639.9999999999982</c:v>
                </c:pt>
                <c:pt idx="490">
                  <c:v>4639.9999999999982</c:v>
                </c:pt>
                <c:pt idx="491">
                  <c:v>4639.9999999999982</c:v>
                </c:pt>
                <c:pt idx="492">
                  <c:v>4639.9999999999982</c:v>
                </c:pt>
                <c:pt idx="493">
                  <c:v>4639.9999999999982</c:v>
                </c:pt>
                <c:pt idx="494">
                  <c:v>4639.9999999999982</c:v>
                </c:pt>
                <c:pt idx="495">
                  <c:v>4639.9999999999982</c:v>
                </c:pt>
                <c:pt idx="496">
                  <c:v>4639.9999999999982</c:v>
                </c:pt>
                <c:pt idx="497">
                  <c:v>4639.9999999999982</c:v>
                </c:pt>
                <c:pt idx="498">
                  <c:v>4639.9999999999982</c:v>
                </c:pt>
                <c:pt idx="499">
                  <c:v>5839.9999999999982</c:v>
                </c:pt>
                <c:pt idx="500">
                  <c:v>5839.9999999999982</c:v>
                </c:pt>
                <c:pt idx="501">
                  <c:v>5839.9999999999982</c:v>
                </c:pt>
                <c:pt idx="502">
                  <c:v>5839.9999999999982</c:v>
                </c:pt>
                <c:pt idx="503">
                  <c:v>5839.9999999999982</c:v>
                </c:pt>
                <c:pt idx="504">
                  <c:v>5839.9999999999982</c:v>
                </c:pt>
                <c:pt idx="505">
                  <c:v>5839.9999999999982</c:v>
                </c:pt>
                <c:pt idx="506">
                  <c:v>5839.9999999999982</c:v>
                </c:pt>
                <c:pt idx="507">
                  <c:v>5839.9999999999982</c:v>
                </c:pt>
                <c:pt idx="508">
                  <c:v>5839.9999999999982</c:v>
                </c:pt>
                <c:pt idx="509">
                  <c:v>5839.9999999999982</c:v>
                </c:pt>
                <c:pt idx="510">
                  <c:v>5839.9999999999982</c:v>
                </c:pt>
                <c:pt idx="511">
                  <c:v>5839.9999999999982</c:v>
                </c:pt>
                <c:pt idx="512">
                  <c:v>5839.9999999999982</c:v>
                </c:pt>
                <c:pt idx="513">
                  <c:v>5839.9999999999982</c:v>
                </c:pt>
                <c:pt idx="514">
                  <c:v>5839.9999999999982</c:v>
                </c:pt>
                <c:pt idx="515">
                  <c:v>5839.9999999999982</c:v>
                </c:pt>
                <c:pt idx="516">
                  <c:v>5839.9999999999982</c:v>
                </c:pt>
                <c:pt idx="517">
                  <c:v>5839.9999999999982</c:v>
                </c:pt>
                <c:pt idx="518">
                  <c:v>7119.9999999999982</c:v>
                </c:pt>
                <c:pt idx="519">
                  <c:v>7119.9999999999982</c:v>
                </c:pt>
                <c:pt idx="520">
                  <c:v>7119.9999999999982</c:v>
                </c:pt>
                <c:pt idx="521">
                  <c:v>7119.9999999999982</c:v>
                </c:pt>
                <c:pt idx="522">
                  <c:v>7119.9999999999982</c:v>
                </c:pt>
                <c:pt idx="523">
                  <c:v>7119.9999999999982</c:v>
                </c:pt>
                <c:pt idx="524">
                  <c:v>7119.9999999999982</c:v>
                </c:pt>
                <c:pt idx="525">
                  <c:v>7119.9999999999982</c:v>
                </c:pt>
                <c:pt idx="526">
                  <c:v>7119.9999999999982</c:v>
                </c:pt>
                <c:pt idx="527">
                  <c:v>7119.9999999999982</c:v>
                </c:pt>
                <c:pt idx="528">
                  <c:v>7119.9999999999982</c:v>
                </c:pt>
                <c:pt idx="529">
                  <c:v>7119.9999999999982</c:v>
                </c:pt>
                <c:pt idx="530">
                  <c:v>7119.9999999999982</c:v>
                </c:pt>
                <c:pt idx="531">
                  <c:v>7119.9999999999982</c:v>
                </c:pt>
                <c:pt idx="532">
                  <c:v>7119.9999999999982</c:v>
                </c:pt>
                <c:pt idx="533">
                  <c:v>7119.9999999999982</c:v>
                </c:pt>
                <c:pt idx="534">
                  <c:v>7119.9999999999982</c:v>
                </c:pt>
                <c:pt idx="535">
                  <c:v>7119.9999999999982</c:v>
                </c:pt>
                <c:pt idx="536">
                  <c:v>7119.9999999999982</c:v>
                </c:pt>
                <c:pt idx="537">
                  <c:v>7119.9999999999982</c:v>
                </c:pt>
                <c:pt idx="538">
                  <c:v>7119.9999999999982</c:v>
                </c:pt>
                <c:pt idx="539">
                  <c:v>7119.9999999999982</c:v>
                </c:pt>
                <c:pt idx="540">
                  <c:v>7119.9999999999982</c:v>
                </c:pt>
                <c:pt idx="541">
                  <c:v>7119.9999999999982</c:v>
                </c:pt>
                <c:pt idx="542">
                  <c:v>7119.9999999999982</c:v>
                </c:pt>
                <c:pt idx="543">
                  <c:v>7119.9999999999982</c:v>
                </c:pt>
                <c:pt idx="544">
                  <c:v>7119.9999999999982</c:v>
                </c:pt>
                <c:pt idx="545">
                  <c:v>7119.9999999999982</c:v>
                </c:pt>
                <c:pt idx="546">
                  <c:v>7119.9999999999982</c:v>
                </c:pt>
                <c:pt idx="547">
                  <c:v>7119.9999999999982</c:v>
                </c:pt>
                <c:pt idx="548">
                  <c:v>7119.9999999999982</c:v>
                </c:pt>
                <c:pt idx="549">
                  <c:v>7119.9999999999982</c:v>
                </c:pt>
                <c:pt idx="550">
                  <c:v>7119.9999999999982</c:v>
                </c:pt>
                <c:pt idx="551">
                  <c:v>7119.9999999999982</c:v>
                </c:pt>
                <c:pt idx="552">
                  <c:v>7119.9999999999982</c:v>
                </c:pt>
                <c:pt idx="553">
                  <c:v>7119.9999999999982</c:v>
                </c:pt>
                <c:pt idx="554">
                  <c:v>7119.9999999999982</c:v>
                </c:pt>
                <c:pt idx="555">
                  <c:v>3851.199999999998</c:v>
                </c:pt>
                <c:pt idx="556">
                  <c:v>7119.9999999999982</c:v>
                </c:pt>
                <c:pt idx="557">
                  <c:v>7119.9999999999982</c:v>
                </c:pt>
                <c:pt idx="558">
                  <c:v>7119.9999999999982</c:v>
                </c:pt>
                <c:pt idx="559">
                  <c:v>7119.9999999999982</c:v>
                </c:pt>
                <c:pt idx="560">
                  <c:v>7119.9999999999982</c:v>
                </c:pt>
                <c:pt idx="561">
                  <c:v>7119.9999999999982</c:v>
                </c:pt>
                <c:pt idx="562">
                  <c:v>7119.9999999999982</c:v>
                </c:pt>
                <c:pt idx="563">
                  <c:v>7119.9999999999982</c:v>
                </c:pt>
                <c:pt idx="564">
                  <c:v>7119.9999999999982</c:v>
                </c:pt>
                <c:pt idx="565">
                  <c:v>7119.9999999999982</c:v>
                </c:pt>
                <c:pt idx="566">
                  <c:v>7119.9999999999982</c:v>
                </c:pt>
                <c:pt idx="567">
                  <c:v>7119.9999999999982</c:v>
                </c:pt>
                <c:pt idx="568">
                  <c:v>3739.199999999998</c:v>
                </c:pt>
                <c:pt idx="569">
                  <c:v>7119.9999999999982</c:v>
                </c:pt>
                <c:pt idx="570">
                  <c:v>7119.9999999999982</c:v>
                </c:pt>
                <c:pt idx="571">
                  <c:v>3739.199999999998</c:v>
                </c:pt>
                <c:pt idx="572">
                  <c:v>7119.9999999999982</c:v>
                </c:pt>
                <c:pt idx="573">
                  <c:v>7119.9999999999982</c:v>
                </c:pt>
                <c:pt idx="574">
                  <c:v>7119.9999999999982</c:v>
                </c:pt>
                <c:pt idx="575">
                  <c:v>3739.199999999998</c:v>
                </c:pt>
                <c:pt idx="576">
                  <c:v>3851.199999999998</c:v>
                </c:pt>
                <c:pt idx="577">
                  <c:v>7119.9999999999982</c:v>
                </c:pt>
                <c:pt idx="578">
                  <c:v>7119.9999999999982</c:v>
                </c:pt>
                <c:pt idx="579">
                  <c:v>7119.9999999999982</c:v>
                </c:pt>
                <c:pt idx="580">
                  <c:v>7119.9999999999982</c:v>
                </c:pt>
                <c:pt idx="581">
                  <c:v>7119.9999999999982</c:v>
                </c:pt>
                <c:pt idx="582">
                  <c:v>7119.9999999999982</c:v>
                </c:pt>
                <c:pt idx="583">
                  <c:v>7119.9999999999982</c:v>
                </c:pt>
                <c:pt idx="584">
                  <c:v>7119.9999999999982</c:v>
                </c:pt>
                <c:pt idx="585">
                  <c:v>7119.9999999999982</c:v>
                </c:pt>
                <c:pt idx="586">
                  <c:v>7119.9999999999982</c:v>
                </c:pt>
                <c:pt idx="587">
                  <c:v>7119.9999999999982</c:v>
                </c:pt>
                <c:pt idx="588">
                  <c:v>7119.9999999999982</c:v>
                </c:pt>
                <c:pt idx="589">
                  <c:v>7119.9999999999982</c:v>
                </c:pt>
                <c:pt idx="590">
                  <c:v>7119.9999999999982</c:v>
                </c:pt>
                <c:pt idx="591">
                  <c:v>7119.9999999999982</c:v>
                </c:pt>
                <c:pt idx="592">
                  <c:v>7119.9999999999982</c:v>
                </c:pt>
                <c:pt idx="593">
                  <c:v>7119.9999999999982</c:v>
                </c:pt>
                <c:pt idx="594">
                  <c:v>7119.9999999999982</c:v>
                </c:pt>
                <c:pt idx="595">
                  <c:v>7119.9999999999982</c:v>
                </c:pt>
                <c:pt idx="596">
                  <c:v>7119.9999999999982</c:v>
                </c:pt>
                <c:pt idx="597">
                  <c:v>7119.9999999999982</c:v>
                </c:pt>
                <c:pt idx="598">
                  <c:v>7119.9999999999982</c:v>
                </c:pt>
                <c:pt idx="599">
                  <c:v>7119.9999999999982</c:v>
                </c:pt>
                <c:pt idx="600">
                  <c:v>7119.9999999999982</c:v>
                </c:pt>
                <c:pt idx="601">
                  <c:v>7119.9999999999982</c:v>
                </c:pt>
                <c:pt idx="602">
                  <c:v>7119.9999999999982</c:v>
                </c:pt>
                <c:pt idx="603">
                  <c:v>7119.9999999999982</c:v>
                </c:pt>
                <c:pt idx="604">
                  <c:v>7119.9999999999982</c:v>
                </c:pt>
                <c:pt idx="605">
                  <c:v>7119.9999999999982</c:v>
                </c:pt>
                <c:pt idx="606">
                  <c:v>7119.9999999999982</c:v>
                </c:pt>
                <c:pt idx="607">
                  <c:v>7119.9999999999982</c:v>
                </c:pt>
                <c:pt idx="608">
                  <c:v>7119.9999999999982</c:v>
                </c:pt>
                <c:pt idx="609">
                  <c:v>7119.9999999999982</c:v>
                </c:pt>
                <c:pt idx="610">
                  <c:v>7119.9999999999982</c:v>
                </c:pt>
                <c:pt idx="611">
                  <c:v>7119.9999999999982</c:v>
                </c:pt>
                <c:pt idx="612">
                  <c:v>7119.9999999999982</c:v>
                </c:pt>
                <c:pt idx="613">
                  <c:v>7119.9999999999982</c:v>
                </c:pt>
                <c:pt idx="614">
                  <c:v>7119.9999999999982</c:v>
                </c:pt>
                <c:pt idx="615">
                  <c:v>7119.9999999999982</c:v>
                </c:pt>
                <c:pt idx="616">
                  <c:v>7119.9999999999982</c:v>
                </c:pt>
                <c:pt idx="617">
                  <c:v>7119.9999999999982</c:v>
                </c:pt>
                <c:pt idx="618">
                  <c:v>7119.9999999999982</c:v>
                </c:pt>
                <c:pt idx="619">
                  <c:v>7119.9999999999982</c:v>
                </c:pt>
                <c:pt idx="620">
                  <c:v>3739.199999999998</c:v>
                </c:pt>
                <c:pt idx="621">
                  <c:v>7119.9999999999982</c:v>
                </c:pt>
                <c:pt idx="622">
                  <c:v>7119.9999999999982</c:v>
                </c:pt>
                <c:pt idx="623">
                  <c:v>7119.9999999999982</c:v>
                </c:pt>
                <c:pt idx="624">
                  <c:v>7119.9999999999982</c:v>
                </c:pt>
                <c:pt idx="625">
                  <c:v>7119.9999999999982</c:v>
                </c:pt>
                <c:pt idx="626">
                  <c:v>7119.9999999999982</c:v>
                </c:pt>
                <c:pt idx="627">
                  <c:v>3739.199999999998</c:v>
                </c:pt>
                <c:pt idx="628">
                  <c:v>7119.9999999999982</c:v>
                </c:pt>
                <c:pt idx="629">
                  <c:v>7119.9999999999982</c:v>
                </c:pt>
                <c:pt idx="630">
                  <c:v>7119.9999999999982</c:v>
                </c:pt>
                <c:pt idx="631">
                  <c:v>7119.9999999999982</c:v>
                </c:pt>
                <c:pt idx="632">
                  <c:v>7119.9999999999982</c:v>
                </c:pt>
                <c:pt idx="633">
                  <c:v>7119.9999999999982</c:v>
                </c:pt>
                <c:pt idx="634">
                  <c:v>7119.9999999999982</c:v>
                </c:pt>
                <c:pt idx="635">
                  <c:v>7119.9999999999982</c:v>
                </c:pt>
                <c:pt idx="636">
                  <c:v>7119.9999999999982</c:v>
                </c:pt>
                <c:pt idx="637">
                  <c:v>7119.9999999999982</c:v>
                </c:pt>
                <c:pt idx="638">
                  <c:v>7119.9999999999982</c:v>
                </c:pt>
                <c:pt idx="639">
                  <c:v>3739.199999999998</c:v>
                </c:pt>
                <c:pt idx="640">
                  <c:v>7119.9999999999982</c:v>
                </c:pt>
                <c:pt idx="641">
                  <c:v>7119.9999999999982</c:v>
                </c:pt>
                <c:pt idx="642">
                  <c:v>3739.199999999998</c:v>
                </c:pt>
                <c:pt idx="643">
                  <c:v>7119.9999999999982</c:v>
                </c:pt>
                <c:pt idx="644">
                  <c:v>7119.9999999999982</c:v>
                </c:pt>
                <c:pt idx="645">
                  <c:v>9360</c:v>
                </c:pt>
                <c:pt idx="646">
                  <c:v>7119.9999999999982</c:v>
                </c:pt>
                <c:pt idx="647">
                  <c:v>9360</c:v>
                </c:pt>
                <c:pt idx="648">
                  <c:v>7119.9999999999982</c:v>
                </c:pt>
                <c:pt idx="649">
                  <c:v>7119.9999999999982</c:v>
                </c:pt>
                <c:pt idx="650">
                  <c:v>7119.9999999999982</c:v>
                </c:pt>
                <c:pt idx="651">
                  <c:v>7119.9999999999982</c:v>
                </c:pt>
                <c:pt idx="652">
                  <c:v>7119.9999999999982</c:v>
                </c:pt>
                <c:pt idx="653">
                  <c:v>7119.9999999999982</c:v>
                </c:pt>
                <c:pt idx="654">
                  <c:v>7119.9999999999982</c:v>
                </c:pt>
                <c:pt idx="655">
                  <c:v>7119.9999999999982</c:v>
                </c:pt>
                <c:pt idx="656">
                  <c:v>7119.9999999999982</c:v>
                </c:pt>
                <c:pt idx="657">
                  <c:v>7119.9999999999982</c:v>
                </c:pt>
                <c:pt idx="658">
                  <c:v>7119.9999999999982</c:v>
                </c:pt>
                <c:pt idx="659">
                  <c:v>7119.9999999999982</c:v>
                </c:pt>
                <c:pt idx="660">
                  <c:v>7119.9999999999982</c:v>
                </c:pt>
                <c:pt idx="661">
                  <c:v>7119.9999999999982</c:v>
                </c:pt>
                <c:pt idx="662">
                  <c:v>7119.9999999999982</c:v>
                </c:pt>
                <c:pt idx="663">
                  <c:v>7119.9999999999982</c:v>
                </c:pt>
                <c:pt idx="664">
                  <c:v>7119.9999999999982</c:v>
                </c:pt>
                <c:pt idx="665">
                  <c:v>7119.9999999999982</c:v>
                </c:pt>
                <c:pt idx="666">
                  <c:v>9360</c:v>
                </c:pt>
                <c:pt idx="667">
                  <c:v>7119.9999999999982</c:v>
                </c:pt>
                <c:pt idx="668">
                  <c:v>7119.9999999999982</c:v>
                </c:pt>
                <c:pt idx="669">
                  <c:v>7119.9999999999982</c:v>
                </c:pt>
                <c:pt idx="670">
                  <c:v>9360</c:v>
                </c:pt>
                <c:pt idx="671">
                  <c:v>7119.9999999999982</c:v>
                </c:pt>
                <c:pt idx="672">
                  <c:v>7119.9999999999982</c:v>
                </c:pt>
                <c:pt idx="673">
                  <c:v>7119.9999999999982</c:v>
                </c:pt>
                <c:pt idx="674">
                  <c:v>9360</c:v>
                </c:pt>
                <c:pt idx="675">
                  <c:v>7119.9999999999982</c:v>
                </c:pt>
                <c:pt idx="676">
                  <c:v>7119.9999999999982</c:v>
                </c:pt>
                <c:pt idx="677">
                  <c:v>7119.9999999999982</c:v>
                </c:pt>
                <c:pt idx="678">
                  <c:v>7119.9999999999982</c:v>
                </c:pt>
                <c:pt idx="679">
                  <c:v>7119.9999999999982</c:v>
                </c:pt>
                <c:pt idx="680">
                  <c:v>7119.9999999999982</c:v>
                </c:pt>
                <c:pt idx="681">
                  <c:v>7119.9999999999982</c:v>
                </c:pt>
                <c:pt idx="682">
                  <c:v>7119.9999999999982</c:v>
                </c:pt>
                <c:pt idx="683">
                  <c:v>9360</c:v>
                </c:pt>
                <c:pt idx="684">
                  <c:v>7119.9999999999982</c:v>
                </c:pt>
                <c:pt idx="685">
                  <c:v>7119.9999999999982</c:v>
                </c:pt>
                <c:pt idx="686">
                  <c:v>7119.9999999999982</c:v>
                </c:pt>
                <c:pt idx="687">
                  <c:v>7119.9999999999982</c:v>
                </c:pt>
                <c:pt idx="688">
                  <c:v>7119.9999999999982</c:v>
                </c:pt>
                <c:pt idx="689">
                  <c:v>7119.9999999999982</c:v>
                </c:pt>
                <c:pt idx="690">
                  <c:v>7119.9999999999982</c:v>
                </c:pt>
                <c:pt idx="691">
                  <c:v>7119.9999999999982</c:v>
                </c:pt>
                <c:pt idx="692">
                  <c:v>7119.9999999999982</c:v>
                </c:pt>
                <c:pt idx="693">
                  <c:v>7119.9999999999982</c:v>
                </c:pt>
                <c:pt idx="694">
                  <c:v>7119.9999999999982</c:v>
                </c:pt>
                <c:pt idx="695">
                  <c:v>7119.9999999999982</c:v>
                </c:pt>
                <c:pt idx="696">
                  <c:v>9360</c:v>
                </c:pt>
                <c:pt idx="697">
                  <c:v>9360</c:v>
                </c:pt>
                <c:pt idx="698">
                  <c:v>9360</c:v>
                </c:pt>
                <c:pt idx="699">
                  <c:v>9360</c:v>
                </c:pt>
                <c:pt idx="700">
                  <c:v>9360</c:v>
                </c:pt>
                <c:pt idx="701">
                  <c:v>9360</c:v>
                </c:pt>
                <c:pt idx="702">
                  <c:v>9360</c:v>
                </c:pt>
                <c:pt idx="703">
                  <c:v>9360</c:v>
                </c:pt>
                <c:pt idx="704">
                  <c:v>9360</c:v>
                </c:pt>
                <c:pt idx="705">
                  <c:v>9360</c:v>
                </c:pt>
                <c:pt idx="706">
                  <c:v>9360</c:v>
                </c:pt>
                <c:pt idx="707">
                  <c:v>9360</c:v>
                </c:pt>
                <c:pt idx="708">
                  <c:v>9360</c:v>
                </c:pt>
                <c:pt idx="709">
                  <c:v>9360</c:v>
                </c:pt>
                <c:pt idx="710">
                  <c:v>9360</c:v>
                </c:pt>
                <c:pt idx="711">
                  <c:v>9360</c:v>
                </c:pt>
                <c:pt idx="712">
                  <c:v>9360</c:v>
                </c:pt>
                <c:pt idx="713">
                  <c:v>9360</c:v>
                </c:pt>
                <c:pt idx="714">
                  <c:v>9360</c:v>
                </c:pt>
                <c:pt idx="715">
                  <c:v>9360</c:v>
                </c:pt>
                <c:pt idx="716">
                  <c:v>9360</c:v>
                </c:pt>
                <c:pt idx="717">
                  <c:v>9360</c:v>
                </c:pt>
                <c:pt idx="718">
                  <c:v>9360</c:v>
                </c:pt>
                <c:pt idx="719">
                  <c:v>9360</c:v>
                </c:pt>
                <c:pt idx="720">
                  <c:v>9360</c:v>
                </c:pt>
                <c:pt idx="721">
                  <c:v>9360</c:v>
                </c:pt>
                <c:pt idx="722">
                  <c:v>9360</c:v>
                </c:pt>
                <c:pt idx="723">
                  <c:v>9360</c:v>
                </c:pt>
                <c:pt idx="724">
                  <c:v>9360</c:v>
                </c:pt>
                <c:pt idx="725">
                  <c:v>9360</c:v>
                </c:pt>
                <c:pt idx="726">
                  <c:v>9360</c:v>
                </c:pt>
                <c:pt idx="727">
                  <c:v>9360</c:v>
                </c:pt>
                <c:pt idx="728">
                  <c:v>9360</c:v>
                </c:pt>
                <c:pt idx="729">
                  <c:v>9360</c:v>
                </c:pt>
                <c:pt idx="730">
                  <c:v>9360</c:v>
                </c:pt>
                <c:pt idx="731">
                  <c:v>3739.199999999998</c:v>
                </c:pt>
                <c:pt idx="732">
                  <c:v>3863.9999999999991</c:v>
                </c:pt>
                <c:pt idx="733">
                  <c:v>9360</c:v>
                </c:pt>
                <c:pt idx="734">
                  <c:v>9360</c:v>
                </c:pt>
                <c:pt idx="735">
                  <c:v>9360</c:v>
                </c:pt>
                <c:pt idx="736">
                  <c:v>9360</c:v>
                </c:pt>
                <c:pt idx="737">
                  <c:v>9360</c:v>
                </c:pt>
                <c:pt idx="738">
                  <c:v>3863.9999999999991</c:v>
                </c:pt>
                <c:pt idx="739">
                  <c:v>9360</c:v>
                </c:pt>
                <c:pt idx="740">
                  <c:v>9360</c:v>
                </c:pt>
                <c:pt idx="741">
                  <c:v>9360</c:v>
                </c:pt>
                <c:pt idx="742">
                  <c:v>9360</c:v>
                </c:pt>
                <c:pt idx="743">
                  <c:v>9360</c:v>
                </c:pt>
                <c:pt idx="744">
                  <c:v>9360</c:v>
                </c:pt>
                <c:pt idx="745">
                  <c:v>9360</c:v>
                </c:pt>
                <c:pt idx="746">
                  <c:v>9360</c:v>
                </c:pt>
                <c:pt idx="747">
                  <c:v>9360</c:v>
                </c:pt>
                <c:pt idx="748">
                  <c:v>9360</c:v>
                </c:pt>
                <c:pt idx="749">
                  <c:v>9360</c:v>
                </c:pt>
                <c:pt idx="750">
                  <c:v>9360</c:v>
                </c:pt>
                <c:pt idx="751">
                  <c:v>9360</c:v>
                </c:pt>
                <c:pt idx="752">
                  <c:v>9360</c:v>
                </c:pt>
                <c:pt idx="753">
                  <c:v>9360</c:v>
                </c:pt>
                <c:pt idx="754">
                  <c:v>9360</c:v>
                </c:pt>
                <c:pt idx="755">
                  <c:v>9360</c:v>
                </c:pt>
                <c:pt idx="756">
                  <c:v>9360</c:v>
                </c:pt>
                <c:pt idx="757">
                  <c:v>9360</c:v>
                </c:pt>
                <c:pt idx="758">
                  <c:v>9360</c:v>
                </c:pt>
                <c:pt idx="759">
                  <c:v>9360</c:v>
                </c:pt>
                <c:pt idx="760">
                  <c:v>9360</c:v>
                </c:pt>
                <c:pt idx="761">
                  <c:v>9360</c:v>
                </c:pt>
                <c:pt idx="762">
                  <c:v>10976</c:v>
                </c:pt>
                <c:pt idx="763">
                  <c:v>9360</c:v>
                </c:pt>
                <c:pt idx="764">
                  <c:v>9360</c:v>
                </c:pt>
                <c:pt idx="765">
                  <c:v>9360</c:v>
                </c:pt>
                <c:pt idx="766">
                  <c:v>9360</c:v>
                </c:pt>
                <c:pt idx="767">
                  <c:v>9360</c:v>
                </c:pt>
                <c:pt idx="768">
                  <c:v>9360</c:v>
                </c:pt>
                <c:pt idx="769">
                  <c:v>9360</c:v>
                </c:pt>
                <c:pt idx="770">
                  <c:v>9360</c:v>
                </c:pt>
                <c:pt idx="771">
                  <c:v>9360</c:v>
                </c:pt>
                <c:pt idx="772">
                  <c:v>9360</c:v>
                </c:pt>
                <c:pt idx="773">
                  <c:v>9360</c:v>
                </c:pt>
                <c:pt idx="774">
                  <c:v>10976</c:v>
                </c:pt>
                <c:pt idx="775">
                  <c:v>10736</c:v>
                </c:pt>
                <c:pt idx="776">
                  <c:v>10976</c:v>
                </c:pt>
                <c:pt idx="777">
                  <c:v>10976</c:v>
                </c:pt>
                <c:pt idx="778">
                  <c:v>10976</c:v>
                </c:pt>
                <c:pt idx="779">
                  <c:v>10976</c:v>
                </c:pt>
                <c:pt idx="780">
                  <c:v>10976</c:v>
                </c:pt>
                <c:pt idx="781">
                  <c:v>10976</c:v>
                </c:pt>
                <c:pt idx="782">
                  <c:v>10976</c:v>
                </c:pt>
                <c:pt idx="783">
                  <c:v>10976</c:v>
                </c:pt>
                <c:pt idx="784">
                  <c:v>10976</c:v>
                </c:pt>
                <c:pt idx="785">
                  <c:v>10736</c:v>
                </c:pt>
                <c:pt idx="786">
                  <c:v>10976</c:v>
                </c:pt>
                <c:pt idx="787">
                  <c:v>10736</c:v>
                </c:pt>
                <c:pt idx="788">
                  <c:v>10736</c:v>
                </c:pt>
                <c:pt idx="789">
                  <c:v>10736</c:v>
                </c:pt>
                <c:pt idx="790">
                  <c:v>10736</c:v>
                </c:pt>
                <c:pt idx="791">
                  <c:v>10736</c:v>
                </c:pt>
                <c:pt idx="792">
                  <c:v>10736</c:v>
                </c:pt>
                <c:pt idx="793">
                  <c:v>10736</c:v>
                </c:pt>
                <c:pt idx="794">
                  <c:v>10736</c:v>
                </c:pt>
                <c:pt idx="795">
                  <c:v>10640</c:v>
                </c:pt>
                <c:pt idx="796">
                  <c:v>10736</c:v>
                </c:pt>
                <c:pt idx="797">
                  <c:v>10736</c:v>
                </c:pt>
                <c:pt idx="798">
                  <c:v>10640</c:v>
                </c:pt>
                <c:pt idx="799">
                  <c:v>10736</c:v>
                </c:pt>
                <c:pt idx="800">
                  <c:v>10736</c:v>
                </c:pt>
                <c:pt idx="801">
                  <c:v>10736</c:v>
                </c:pt>
                <c:pt idx="802">
                  <c:v>10640</c:v>
                </c:pt>
                <c:pt idx="803">
                  <c:v>10736</c:v>
                </c:pt>
                <c:pt idx="804">
                  <c:v>10736</c:v>
                </c:pt>
                <c:pt idx="805">
                  <c:v>10736</c:v>
                </c:pt>
                <c:pt idx="806">
                  <c:v>10736</c:v>
                </c:pt>
                <c:pt idx="807">
                  <c:v>10736</c:v>
                </c:pt>
                <c:pt idx="808">
                  <c:v>10736</c:v>
                </c:pt>
                <c:pt idx="809">
                  <c:v>10736</c:v>
                </c:pt>
                <c:pt idx="810">
                  <c:v>10736</c:v>
                </c:pt>
                <c:pt idx="811">
                  <c:v>10736</c:v>
                </c:pt>
                <c:pt idx="812">
                  <c:v>10736</c:v>
                </c:pt>
                <c:pt idx="813">
                  <c:v>10640</c:v>
                </c:pt>
                <c:pt idx="814">
                  <c:v>3863.9999999999991</c:v>
                </c:pt>
                <c:pt idx="815">
                  <c:v>10736</c:v>
                </c:pt>
                <c:pt idx="816">
                  <c:v>10736</c:v>
                </c:pt>
                <c:pt idx="817">
                  <c:v>10640</c:v>
                </c:pt>
                <c:pt idx="818">
                  <c:v>10736</c:v>
                </c:pt>
                <c:pt idx="819">
                  <c:v>10736</c:v>
                </c:pt>
                <c:pt idx="820">
                  <c:v>10736</c:v>
                </c:pt>
                <c:pt idx="821">
                  <c:v>10736</c:v>
                </c:pt>
                <c:pt idx="822">
                  <c:v>10640</c:v>
                </c:pt>
                <c:pt idx="823">
                  <c:v>3863.9999999999991</c:v>
                </c:pt>
                <c:pt idx="824">
                  <c:v>10640</c:v>
                </c:pt>
                <c:pt idx="825">
                  <c:v>10640</c:v>
                </c:pt>
                <c:pt idx="826">
                  <c:v>10640</c:v>
                </c:pt>
                <c:pt idx="827">
                  <c:v>3863.9999999999991</c:v>
                </c:pt>
                <c:pt idx="828">
                  <c:v>3863.9999999999991</c:v>
                </c:pt>
                <c:pt idx="829">
                  <c:v>10640</c:v>
                </c:pt>
                <c:pt idx="830">
                  <c:v>10640</c:v>
                </c:pt>
                <c:pt idx="831">
                  <c:v>10640</c:v>
                </c:pt>
                <c:pt idx="832">
                  <c:v>4983.9999999999991</c:v>
                </c:pt>
                <c:pt idx="833">
                  <c:v>4983.9999999999991</c:v>
                </c:pt>
                <c:pt idx="834">
                  <c:v>3863.9999999999991</c:v>
                </c:pt>
                <c:pt idx="835">
                  <c:v>3863.9999999999991</c:v>
                </c:pt>
                <c:pt idx="836">
                  <c:v>4983.9999999999991</c:v>
                </c:pt>
                <c:pt idx="837">
                  <c:v>3863.9999999999991</c:v>
                </c:pt>
                <c:pt idx="838">
                  <c:v>3863.9999999999991</c:v>
                </c:pt>
                <c:pt idx="839">
                  <c:v>4983.9999999999991</c:v>
                </c:pt>
                <c:pt idx="840">
                  <c:v>4983.9999999999991</c:v>
                </c:pt>
                <c:pt idx="841">
                  <c:v>4983.9999999999991</c:v>
                </c:pt>
                <c:pt idx="842">
                  <c:v>4983.9999999999991</c:v>
                </c:pt>
                <c:pt idx="843">
                  <c:v>4983.9999999999991</c:v>
                </c:pt>
                <c:pt idx="844">
                  <c:v>4983.9999999999991</c:v>
                </c:pt>
                <c:pt idx="845">
                  <c:v>4983.9999999999991</c:v>
                </c:pt>
                <c:pt idx="846">
                  <c:v>3863.9999999999991</c:v>
                </c:pt>
                <c:pt idx="847">
                  <c:v>4983.9999999999991</c:v>
                </c:pt>
                <c:pt idx="848">
                  <c:v>4983.9999999999991</c:v>
                </c:pt>
                <c:pt idx="849">
                  <c:v>4983.9999999999991</c:v>
                </c:pt>
                <c:pt idx="850">
                  <c:v>3863.9999999999991</c:v>
                </c:pt>
                <c:pt idx="851">
                  <c:v>4983.9999999999991</c:v>
                </c:pt>
                <c:pt idx="852">
                  <c:v>4983.9999999999991</c:v>
                </c:pt>
                <c:pt idx="853">
                  <c:v>4983.9999999999991</c:v>
                </c:pt>
                <c:pt idx="854">
                  <c:v>4983.9999999999991</c:v>
                </c:pt>
                <c:pt idx="855">
                  <c:v>4983.9999999999991</c:v>
                </c:pt>
                <c:pt idx="856">
                  <c:v>4983.9999999999991</c:v>
                </c:pt>
                <c:pt idx="857">
                  <c:v>4983.9999999999991</c:v>
                </c:pt>
                <c:pt idx="858">
                  <c:v>4983.9999999999991</c:v>
                </c:pt>
                <c:pt idx="859">
                  <c:v>4983.9999999999991</c:v>
                </c:pt>
                <c:pt idx="860">
                  <c:v>4983.9999999999991</c:v>
                </c:pt>
                <c:pt idx="861">
                  <c:v>4983.9999999999991</c:v>
                </c:pt>
                <c:pt idx="862">
                  <c:v>3863.9999999999991</c:v>
                </c:pt>
                <c:pt idx="863">
                  <c:v>3863.9999999999991</c:v>
                </c:pt>
                <c:pt idx="864">
                  <c:v>4983.9999999999991</c:v>
                </c:pt>
                <c:pt idx="865">
                  <c:v>4983.9999999999991</c:v>
                </c:pt>
                <c:pt idx="866">
                  <c:v>4983.9999999999991</c:v>
                </c:pt>
                <c:pt idx="867">
                  <c:v>3863.9999999999991</c:v>
                </c:pt>
                <c:pt idx="868">
                  <c:v>3863.9999999999991</c:v>
                </c:pt>
                <c:pt idx="869">
                  <c:v>3863.9999999999991</c:v>
                </c:pt>
                <c:pt idx="870">
                  <c:v>3863.9999999999991</c:v>
                </c:pt>
                <c:pt idx="871">
                  <c:v>3863.9999999999991</c:v>
                </c:pt>
                <c:pt idx="872">
                  <c:v>3863.9999999999991</c:v>
                </c:pt>
                <c:pt idx="873">
                  <c:v>3863.9999999999991</c:v>
                </c:pt>
                <c:pt idx="874">
                  <c:v>3863.9999999999991</c:v>
                </c:pt>
                <c:pt idx="875">
                  <c:v>3863.9999999999991</c:v>
                </c:pt>
                <c:pt idx="876">
                  <c:v>3863.9999999999991</c:v>
                </c:pt>
                <c:pt idx="877">
                  <c:v>3863.9999999999991</c:v>
                </c:pt>
                <c:pt idx="878">
                  <c:v>3863.9999999999991</c:v>
                </c:pt>
                <c:pt idx="879">
                  <c:v>3863.9999999999991</c:v>
                </c:pt>
                <c:pt idx="880">
                  <c:v>3863.9999999999991</c:v>
                </c:pt>
                <c:pt idx="881">
                  <c:v>3863.9999999999991</c:v>
                </c:pt>
                <c:pt idx="882">
                  <c:v>3863.9999999999991</c:v>
                </c:pt>
                <c:pt idx="883">
                  <c:v>3863.9999999999991</c:v>
                </c:pt>
                <c:pt idx="884">
                  <c:v>3863.9999999999991</c:v>
                </c:pt>
                <c:pt idx="885">
                  <c:v>3863.9999999999991</c:v>
                </c:pt>
                <c:pt idx="886">
                  <c:v>3863.9999999999991</c:v>
                </c:pt>
                <c:pt idx="887">
                  <c:v>3863.9999999999991</c:v>
                </c:pt>
                <c:pt idx="888">
                  <c:v>0</c:v>
                </c:pt>
                <c:pt idx="889">
                  <c:v>3863.9999999999991</c:v>
                </c:pt>
                <c:pt idx="890">
                  <c:v>3863.9999999999991</c:v>
                </c:pt>
                <c:pt idx="891">
                  <c:v>3863.9999999999991</c:v>
                </c:pt>
                <c:pt idx="892">
                  <c:v>3863.9999999999991</c:v>
                </c:pt>
                <c:pt idx="893">
                  <c:v>3863.9999999999991</c:v>
                </c:pt>
                <c:pt idx="894">
                  <c:v>3863.9999999999991</c:v>
                </c:pt>
                <c:pt idx="895">
                  <c:v>3863.9999999999991</c:v>
                </c:pt>
                <c:pt idx="896">
                  <c:v>3863.9999999999991</c:v>
                </c:pt>
                <c:pt idx="897">
                  <c:v>3863.9999999999991</c:v>
                </c:pt>
                <c:pt idx="898">
                  <c:v>3863.9999999999991</c:v>
                </c:pt>
                <c:pt idx="899">
                  <c:v>3863.9999999999991</c:v>
                </c:pt>
                <c:pt idx="900">
                  <c:v>3863.9999999999991</c:v>
                </c:pt>
                <c:pt idx="901">
                  <c:v>3863.9999999999991</c:v>
                </c:pt>
                <c:pt idx="902">
                  <c:v>3863.9999999999991</c:v>
                </c:pt>
                <c:pt idx="903">
                  <c:v>3863.9999999999991</c:v>
                </c:pt>
                <c:pt idx="904">
                  <c:v>3863.9999999999991</c:v>
                </c:pt>
                <c:pt idx="905">
                  <c:v>3863.9999999999991</c:v>
                </c:pt>
                <c:pt idx="906">
                  <c:v>3863.9999999999991</c:v>
                </c:pt>
                <c:pt idx="907">
                  <c:v>3863.9999999999991</c:v>
                </c:pt>
                <c:pt idx="908">
                  <c:v>3863.9999999999991</c:v>
                </c:pt>
                <c:pt idx="909">
                  <c:v>3863.9999999999991</c:v>
                </c:pt>
                <c:pt idx="910">
                  <c:v>3863.9999999999991</c:v>
                </c:pt>
                <c:pt idx="911">
                  <c:v>3863.9999999999991</c:v>
                </c:pt>
                <c:pt idx="912">
                  <c:v>3863.9999999999991</c:v>
                </c:pt>
                <c:pt idx="913">
                  <c:v>3863.9999999999991</c:v>
                </c:pt>
                <c:pt idx="914">
                  <c:v>3863.9999999999991</c:v>
                </c:pt>
                <c:pt idx="915">
                  <c:v>3863.9999999999991</c:v>
                </c:pt>
                <c:pt idx="916">
                  <c:v>3863.9999999999991</c:v>
                </c:pt>
                <c:pt idx="917">
                  <c:v>3863.9999999999991</c:v>
                </c:pt>
                <c:pt idx="918">
                  <c:v>3863.9999999999991</c:v>
                </c:pt>
                <c:pt idx="919">
                  <c:v>3863.9999999999991</c:v>
                </c:pt>
                <c:pt idx="920">
                  <c:v>3863.9999999999991</c:v>
                </c:pt>
                <c:pt idx="921">
                  <c:v>3863.9999999999991</c:v>
                </c:pt>
                <c:pt idx="922">
                  <c:v>3863.9999999999991</c:v>
                </c:pt>
                <c:pt idx="923">
                  <c:v>3863.9999999999991</c:v>
                </c:pt>
                <c:pt idx="924">
                  <c:v>3863.9999999999991</c:v>
                </c:pt>
                <c:pt idx="925">
                  <c:v>3863.9999999999991</c:v>
                </c:pt>
                <c:pt idx="926">
                  <c:v>3863.9999999999991</c:v>
                </c:pt>
                <c:pt idx="927">
                  <c:v>3863.9999999999991</c:v>
                </c:pt>
                <c:pt idx="928">
                  <c:v>3863.9999999999991</c:v>
                </c:pt>
                <c:pt idx="929">
                  <c:v>3863.9999999999991</c:v>
                </c:pt>
                <c:pt idx="930">
                  <c:v>3739.199999999998</c:v>
                </c:pt>
                <c:pt idx="931">
                  <c:v>3863.9999999999991</c:v>
                </c:pt>
                <c:pt idx="932">
                  <c:v>3863.9999999999991</c:v>
                </c:pt>
                <c:pt idx="933">
                  <c:v>3863.9999999999991</c:v>
                </c:pt>
                <c:pt idx="934">
                  <c:v>3863.9999999999991</c:v>
                </c:pt>
                <c:pt idx="935">
                  <c:v>3863.9999999999991</c:v>
                </c:pt>
                <c:pt idx="936">
                  <c:v>3863.9999999999991</c:v>
                </c:pt>
                <c:pt idx="937">
                  <c:v>3863.9999999999991</c:v>
                </c:pt>
                <c:pt idx="938">
                  <c:v>3863.9999999999991</c:v>
                </c:pt>
                <c:pt idx="939">
                  <c:v>3739.199999999998</c:v>
                </c:pt>
                <c:pt idx="940">
                  <c:v>3863.9999999999991</c:v>
                </c:pt>
                <c:pt idx="941">
                  <c:v>3863.9999999999991</c:v>
                </c:pt>
                <c:pt idx="942">
                  <c:v>3863.9999999999991</c:v>
                </c:pt>
                <c:pt idx="943">
                  <c:v>3863.9999999999991</c:v>
                </c:pt>
                <c:pt idx="944">
                  <c:v>3595.199999999998</c:v>
                </c:pt>
                <c:pt idx="945">
                  <c:v>3595.199999999998</c:v>
                </c:pt>
                <c:pt idx="946">
                  <c:v>3595.199999999998</c:v>
                </c:pt>
                <c:pt idx="947">
                  <c:v>3739.199999999998</c:v>
                </c:pt>
                <c:pt idx="948">
                  <c:v>3739.199999999998</c:v>
                </c:pt>
                <c:pt idx="949">
                  <c:v>3739.199999999998</c:v>
                </c:pt>
                <c:pt idx="950">
                  <c:v>3739.199999999998</c:v>
                </c:pt>
                <c:pt idx="951">
                  <c:v>3739.199999999998</c:v>
                </c:pt>
                <c:pt idx="952">
                  <c:v>3739.199999999998</c:v>
                </c:pt>
                <c:pt idx="953">
                  <c:v>3739.199999999998</c:v>
                </c:pt>
                <c:pt idx="954">
                  <c:v>3739.199999999998</c:v>
                </c:pt>
                <c:pt idx="955">
                  <c:v>3739.199999999998</c:v>
                </c:pt>
                <c:pt idx="956">
                  <c:v>3739.199999999998</c:v>
                </c:pt>
                <c:pt idx="957">
                  <c:v>3739.199999999998</c:v>
                </c:pt>
                <c:pt idx="958">
                  <c:v>3739.199999999998</c:v>
                </c:pt>
                <c:pt idx="959">
                  <c:v>3739.199999999998</c:v>
                </c:pt>
                <c:pt idx="960">
                  <c:v>3739.199999999998</c:v>
                </c:pt>
                <c:pt idx="961">
                  <c:v>3739.199999999998</c:v>
                </c:pt>
                <c:pt idx="962">
                  <c:v>3739.199999999998</c:v>
                </c:pt>
                <c:pt idx="963">
                  <c:v>3739.199999999998</c:v>
                </c:pt>
                <c:pt idx="964">
                  <c:v>3739.199999999998</c:v>
                </c:pt>
                <c:pt idx="965">
                  <c:v>3739.199999999998</c:v>
                </c:pt>
                <c:pt idx="966">
                  <c:v>3739.199999999998</c:v>
                </c:pt>
                <c:pt idx="967">
                  <c:v>3739.199999999998</c:v>
                </c:pt>
                <c:pt idx="968">
                  <c:v>3739.199999999998</c:v>
                </c:pt>
                <c:pt idx="969">
                  <c:v>3739.199999999998</c:v>
                </c:pt>
                <c:pt idx="970">
                  <c:v>3739.199999999998</c:v>
                </c:pt>
                <c:pt idx="971">
                  <c:v>3739.199999999998</c:v>
                </c:pt>
                <c:pt idx="972">
                  <c:v>3739.199999999998</c:v>
                </c:pt>
                <c:pt idx="973">
                  <c:v>3739.199999999998</c:v>
                </c:pt>
                <c:pt idx="974">
                  <c:v>3739.199999999998</c:v>
                </c:pt>
                <c:pt idx="975">
                  <c:v>3739.199999999998</c:v>
                </c:pt>
                <c:pt idx="976">
                  <c:v>3739.199999999998</c:v>
                </c:pt>
                <c:pt idx="977">
                  <c:v>3739.199999999998</c:v>
                </c:pt>
                <c:pt idx="978">
                  <c:v>3739.199999999998</c:v>
                </c:pt>
                <c:pt idx="979">
                  <c:v>3739.199999999998</c:v>
                </c:pt>
                <c:pt idx="980">
                  <c:v>3739.199999999998</c:v>
                </c:pt>
                <c:pt idx="981">
                  <c:v>3739.199999999998</c:v>
                </c:pt>
                <c:pt idx="982">
                  <c:v>3739.199999999998</c:v>
                </c:pt>
                <c:pt idx="983">
                  <c:v>3739.199999999998</c:v>
                </c:pt>
                <c:pt idx="984">
                  <c:v>3739.199999999998</c:v>
                </c:pt>
                <c:pt idx="985">
                  <c:v>3739.199999999998</c:v>
                </c:pt>
                <c:pt idx="986">
                  <c:v>3739.199999999998</c:v>
                </c:pt>
                <c:pt idx="987">
                  <c:v>3739.199999999998</c:v>
                </c:pt>
                <c:pt idx="988">
                  <c:v>3739.199999999998</c:v>
                </c:pt>
                <c:pt idx="989">
                  <c:v>0</c:v>
                </c:pt>
                <c:pt idx="990">
                  <c:v>3739.199999999998</c:v>
                </c:pt>
                <c:pt idx="991">
                  <c:v>3739.199999999998</c:v>
                </c:pt>
                <c:pt idx="992">
                  <c:v>3739.199999999998</c:v>
                </c:pt>
                <c:pt idx="993">
                  <c:v>3739.199999999998</c:v>
                </c:pt>
                <c:pt idx="994">
                  <c:v>3739.199999999998</c:v>
                </c:pt>
                <c:pt idx="995">
                  <c:v>3739.199999999998</c:v>
                </c:pt>
                <c:pt idx="996">
                  <c:v>3739.199999999998</c:v>
                </c:pt>
                <c:pt idx="997">
                  <c:v>3739.199999999998</c:v>
                </c:pt>
                <c:pt idx="998">
                  <c:v>3739.199999999998</c:v>
                </c:pt>
                <c:pt idx="999">
                  <c:v>3739.199999999998</c:v>
                </c:pt>
                <c:pt idx="1000">
                  <c:v>3739.199999999998</c:v>
                </c:pt>
                <c:pt idx="1001">
                  <c:v>3851.199999999998</c:v>
                </c:pt>
                <c:pt idx="1002">
                  <c:v>3851.199999999998</c:v>
                </c:pt>
                <c:pt idx="1003">
                  <c:v>3851.199999999998</c:v>
                </c:pt>
                <c:pt idx="1004">
                  <c:v>3595.199999999998</c:v>
                </c:pt>
                <c:pt idx="1005">
                  <c:v>3595.199999999998</c:v>
                </c:pt>
                <c:pt idx="1006">
                  <c:v>3595.199999999998</c:v>
                </c:pt>
                <c:pt idx="1007">
                  <c:v>3595.199999999998</c:v>
                </c:pt>
                <c:pt idx="1008">
                  <c:v>3595.199999999998</c:v>
                </c:pt>
                <c:pt idx="1009">
                  <c:v>3595.199999999998</c:v>
                </c:pt>
                <c:pt idx="1010">
                  <c:v>3595.199999999998</c:v>
                </c:pt>
                <c:pt idx="1011">
                  <c:v>3595.199999999998</c:v>
                </c:pt>
                <c:pt idx="1012">
                  <c:v>3595.199999999998</c:v>
                </c:pt>
                <c:pt idx="1013">
                  <c:v>3595.199999999998</c:v>
                </c:pt>
                <c:pt idx="1014">
                  <c:v>3595.199999999998</c:v>
                </c:pt>
                <c:pt idx="1015">
                  <c:v>3595.199999999998</c:v>
                </c:pt>
                <c:pt idx="1016">
                  <c:v>3595.199999999998</c:v>
                </c:pt>
                <c:pt idx="1017">
                  <c:v>3595.199999999998</c:v>
                </c:pt>
                <c:pt idx="1018">
                  <c:v>3595.199999999998</c:v>
                </c:pt>
                <c:pt idx="1019">
                  <c:v>3595.199999999998</c:v>
                </c:pt>
                <c:pt idx="1020">
                  <c:v>3595.199999999998</c:v>
                </c:pt>
                <c:pt idx="1021">
                  <c:v>3595.199999999998</c:v>
                </c:pt>
                <c:pt idx="1022">
                  <c:v>3595.199999999998</c:v>
                </c:pt>
                <c:pt idx="1023">
                  <c:v>3595.199999999998</c:v>
                </c:pt>
                <c:pt idx="1024">
                  <c:v>3595.199999999998</c:v>
                </c:pt>
                <c:pt idx="1025">
                  <c:v>3595.199999999998</c:v>
                </c:pt>
                <c:pt idx="1027">
                  <c:v>-143.99999999999966</c:v>
                </c:pt>
                <c:pt idx="1028">
                  <c:v>-143.99999999999966</c:v>
                </c:pt>
                <c:pt idx="1029">
                  <c:v>-143.99999999999966</c:v>
                </c:pt>
                <c:pt idx="1030">
                  <c:v>-143.99999999999966</c:v>
                </c:pt>
                <c:pt idx="1031">
                  <c:v>-143.99999999999966</c:v>
                </c:pt>
                <c:pt idx="1032">
                  <c:v>-143.99999999999966</c:v>
                </c:pt>
                <c:pt idx="1033">
                  <c:v>-143.99999999999966</c:v>
                </c:pt>
                <c:pt idx="1034">
                  <c:v>-143.99999999999966</c:v>
                </c:pt>
                <c:pt idx="1035">
                  <c:v>-143.99999999999966</c:v>
                </c:pt>
                <c:pt idx="1036">
                  <c:v>-143.99999999999966</c:v>
                </c:pt>
                <c:pt idx="1037">
                  <c:v>-143.99999999999966</c:v>
                </c:pt>
                <c:pt idx="1038">
                  <c:v>-143.99999999999966</c:v>
                </c:pt>
                <c:pt idx="1039">
                  <c:v>-143.99999999999966</c:v>
                </c:pt>
                <c:pt idx="1040">
                  <c:v>-143.99999999999966</c:v>
                </c:pt>
                <c:pt idx="1041">
                  <c:v>-143.99999999999966</c:v>
                </c:pt>
                <c:pt idx="1042">
                  <c:v>-143.99999999999966</c:v>
                </c:pt>
                <c:pt idx="1043">
                  <c:v>-143.99999999999966</c:v>
                </c:pt>
                <c:pt idx="1044">
                  <c:v>-143.99999999999966</c:v>
                </c:pt>
                <c:pt idx="1045">
                  <c:v>-143.99999999999966</c:v>
                </c:pt>
                <c:pt idx="1046">
                  <c:v>-143.99999999999966</c:v>
                </c:pt>
                <c:pt idx="1047">
                  <c:v>-143.99999999999966</c:v>
                </c:pt>
                <c:pt idx="1048">
                  <c:v>-143.99999999999966</c:v>
                </c:pt>
                <c:pt idx="1049">
                  <c:v>-143.99999999999966</c:v>
                </c:pt>
                <c:pt idx="1050">
                  <c:v>-143.99999999999966</c:v>
                </c:pt>
                <c:pt idx="1051">
                  <c:v>-143.99999999999966</c:v>
                </c:pt>
                <c:pt idx="1052">
                  <c:v>-143.99999999999966</c:v>
                </c:pt>
                <c:pt idx="1053">
                  <c:v>-143.99999999999966</c:v>
                </c:pt>
                <c:pt idx="1054">
                  <c:v>-143.99999999999966</c:v>
                </c:pt>
                <c:pt idx="1055">
                  <c:v>-143.99999999999966</c:v>
                </c:pt>
                <c:pt idx="1056">
                  <c:v>-143.99999999999966</c:v>
                </c:pt>
                <c:pt idx="1057">
                  <c:v>-143.99999999999966</c:v>
                </c:pt>
                <c:pt idx="1058">
                  <c:v>-143.99999999999966</c:v>
                </c:pt>
                <c:pt idx="1059">
                  <c:v>-143.99999999999966</c:v>
                </c:pt>
                <c:pt idx="1060">
                  <c:v>-143.99999999999966</c:v>
                </c:pt>
                <c:pt idx="1061">
                  <c:v>-143.99999999999966</c:v>
                </c:pt>
                <c:pt idx="1062">
                  <c:v>-143.99999999999966</c:v>
                </c:pt>
                <c:pt idx="1063">
                  <c:v>-143.99999999999966</c:v>
                </c:pt>
                <c:pt idx="1064">
                  <c:v>-143.99999999999966</c:v>
                </c:pt>
                <c:pt idx="1065">
                  <c:v>-143.99999999999966</c:v>
                </c:pt>
                <c:pt idx="1066">
                  <c:v>-143.99999999999966</c:v>
                </c:pt>
                <c:pt idx="1067">
                  <c:v>-143.99999999999966</c:v>
                </c:pt>
                <c:pt idx="1068">
                  <c:v>-143.99999999999966</c:v>
                </c:pt>
                <c:pt idx="1069">
                  <c:v>-143.99999999999966</c:v>
                </c:pt>
                <c:pt idx="1070">
                  <c:v>-143.99999999999966</c:v>
                </c:pt>
                <c:pt idx="1071">
                  <c:v>-143.99999999999966</c:v>
                </c:pt>
                <c:pt idx="1072">
                  <c:v>-143.99999999999966</c:v>
                </c:pt>
                <c:pt idx="1073">
                  <c:v>-143.99999999999966</c:v>
                </c:pt>
                <c:pt idx="1074">
                  <c:v>-143.99999999999966</c:v>
                </c:pt>
                <c:pt idx="1075">
                  <c:v>-143.99999999999966</c:v>
                </c:pt>
                <c:pt idx="1076">
                  <c:v>-143.99999999999966</c:v>
                </c:pt>
                <c:pt idx="1077">
                  <c:v>-143.99999999999966</c:v>
                </c:pt>
                <c:pt idx="1078">
                  <c:v>-143.99999999999966</c:v>
                </c:pt>
                <c:pt idx="1079">
                  <c:v>-143.99999999999966</c:v>
                </c:pt>
                <c:pt idx="1080">
                  <c:v>-143.99999999999966</c:v>
                </c:pt>
                <c:pt idx="1081">
                  <c:v>-143.99999999999966</c:v>
                </c:pt>
                <c:pt idx="1082">
                  <c:v>-143.99999999999966</c:v>
                </c:pt>
                <c:pt idx="1083">
                  <c:v>-143.99999999999966</c:v>
                </c:pt>
                <c:pt idx="1084">
                  <c:v>-143.99999999999966</c:v>
                </c:pt>
                <c:pt idx="1085">
                  <c:v>-143.99999999999966</c:v>
                </c:pt>
                <c:pt idx="1086">
                  <c:v>-143.99999999999966</c:v>
                </c:pt>
                <c:pt idx="1087">
                  <c:v>-143.99999999999966</c:v>
                </c:pt>
                <c:pt idx="1088">
                  <c:v>-143.99999999999966</c:v>
                </c:pt>
                <c:pt idx="1089">
                  <c:v>-143.99999999999966</c:v>
                </c:pt>
                <c:pt idx="1090">
                  <c:v>-143.99999999999966</c:v>
                </c:pt>
                <c:pt idx="1091">
                  <c:v>-143.99999999999966</c:v>
                </c:pt>
                <c:pt idx="1092">
                  <c:v>-143.99999999999966</c:v>
                </c:pt>
                <c:pt idx="1093">
                  <c:v>-143.99999999999966</c:v>
                </c:pt>
                <c:pt idx="1094">
                  <c:v>-143.99999999999966</c:v>
                </c:pt>
                <c:pt idx="1095">
                  <c:v>-143.99999999999966</c:v>
                </c:pt>
                <c:pt idx="1096">
                  <c:v>-143.99999999999966</c:v>
                </c:pt>
                <c:pt idx="1097">
                  <c:v>-143.99999999999966</c:v>
                </c:pt>
                <c:pt idx="1098">
                  <c:v>-143.99999999999966</c:v>
                </c:pt>
                <c:pt idx="1099">
                  <c:v>-143.99999999999966</c:v>
                </c:pt>
                <c:pt idx="1100">
                  <c:v>-143.99999999999966</c:v>
                </c:pt>
                <c:pt idx="1101">
                  <c:v>-143.99999999999966</c:v>
                </c:pt>
                <c:pt idx="1102">
                  <c:v>-143.99999999999966</c:v>
                </c:pt>
                <c:pt idx="1103">
                  <c:v>-143.99999999999966</c:v>
                </c:pt>
                <c:pt idx="1104">
                  <c:v>-143.99999999999966</c:v>
                </c:pt>
                <c:pt idx="1105">
                  <c:v>-143.99999999999966</c:v>
                </c:pt>
                <c:pt idx="1106">
                  <c:v>-143.99999999999966</c:v>
                </c:pt>
                <c:pt idx="1107">
                  <c:v>-143.99999999999966</c:v>
                </c:pt>
                <c:pt idx="1108">
                  <c:v>-143.99999999999966</c:v>
                </c:pt>
                <c:pt idx="1109">
                  <c:v>-143.99999999999966</c:v>
                </c:pt>
                <c:pt idx="1110">
                  <c:v>-143.99999999999966</c:v>
                </c:pt>
                <c:pt idx="1111">
                  <c:v>-143.99999999999966</c:v>
                </c:pt>
                <c:pt idx="1112">
                  <c:v>-143.99999999999966</c:v>
                </c:pt>
                <c:pt idx="1113">
                  <c:v>-143.99999999999966</c:v>
                </c:pt>
                <c:pt idx="1114">
                  <c:v>-143.99999999999966</c:v>
                </c:pt>
                <c:pt idx="1115">
                  <c:v>-143.99999999999966</c:v>
                </c:pt>
                <c:pt idx="1116">
                  <c:v>-143.99999999999966</c:v>
                </c:pt>
                <c:pt idx="1117">
                  <c:v>-143.99999999999966</c:v>
                </c:pt>
                <c:pt idx="1118">
                  <c:v>-143.99999999999966</c:v>
                </c:pt>
                <c:pt idx="1119">
                  <c:v>-143.99999999999966</c:v>
                </c:pt>
                <c:pt idx="1120">
                  <c:v>-143.99999999999966</c:v>
                </c:pt>
                <c:pt idx="1121">
                  <c:v>-143.99999999999966</c:v>
                </c:pt>
                <c:pt idx="1122">
                  <c:v>-143.99999999999966</c:v>
                </c:pt>
                <c:pt idx="1123">
                  <c:v>-143.99999999999966</c:v>
                </c:pt>
                <c:pt idx="1124">
                  <c:v>-143.99999999999966</c:v>
                </c:pt>
                <c:pt idx="1125">
                  <c:v>-143.99999999999966</c:v>
                </c:pt>
                <c:pt idx="1126">
                  <c:v>-143.99999999999966</c:v>
                </c:pt>
                <c:pt idx="1127">
                  <c:v>-143.99999999999966</c:v>
                </c:pt>
                <c:pt idx="1128">
                  <c:v>-143.99999999999966</c:v>
                </c:pt>
                <c:pt idx="1129">
                  <c:v>-143.99999999999966</c:v>
                </c:pt>
                <c:pt idx="1130">
                  <c:v>-143.99999999999966</c:v>
                </c:pt>
                <c:pt idx="1131">
                  <c:v>-143.99999999999966</c:v>
                </c:pt>
                <c:pt idx="1132">
                  <c:v>-143.99999999999966</c:v>
                </c:pt>
                <c:pt idx="1133">
                  <c:v>-143.99999999999966</c:v>
                </c:pt>
                <c:pt idx="1134">
                  <c:v>-143.99999999999966</c:v>
                </c:pt>
                <c:pt idx="1135">
                  <c:v>-143.99999999999966</c:v>
                </c:pt>
                <c:pt idx="1136">
                  <c:v>-143.99999999999966</c:v>
                </c:pt>
                <c:pt idx="1137">
                  <c:v>-143.99999999999966</c:v>
                </c:pt>
                <c:pt idx="1138">
                  <c:v>-143.99999999999966</c:v>
                </c:pt>
                <c:pt idx="1139">
                  <c:v>-143.99999999999966</c:v>
                </c:pt>
                <c:pt idx="1140">
                  <c:v>-143.99999999999966</c:v>
                </c:pt>
                <c:pt idx="1141">
                  <c:v>-143.99999999999966</c:v>
                </c:pt>
                <c:pt idx="1142">
                  <c:v>-143.99999999999966</c:v>
                </c:pt>
                <c:pt idx="1143">
                  <c:v>-143.99999999999966</c:v>
                </c:pt>
                <c:pt idx="1144">
                  <c:v>-143.99999999999966</c:v>
                </c:pt>
                <c:pt idx="1145">
                  <c:v>-143.99999999999966</c:v>
                </c:pt>
                <c:pt idx="1146">
                  <c:v>-143.99999999999966</c:v>
                </c:pt>
                <c:pt idx="1147">
                  <c:v>-143.99999999999966</c:v>
                </c:pt>
                <c:pt idx="1148">
                  <c:v>-143.99999999999966</c:v>
                </c:pt>
                <c:pt idx="1149">
                  <c:v>-143.99999999999966</c:v>
                </c:pt>
                <c:pt idx="1150">
                  <c:v>-143.99999999999966</c:v>
                </c:pt>
                <c:pt idx="1151">
                  <c:v>-143.99999999999966</c:v>
                </c:pt>
                <c:pt idx="1152">
                  <c:v>-143.99999999999966</c:v>
                </c:pt>
                <c:pt idx="1153">
                  <c:v>-143.99999999999966</c:v>
                </c:pt>
                <c:pt idx="1154">
                  <c:v>-143.99999999999966</c:v>
                </c:pt>
                <c:pt idx="1155">
                  <c:v>-143.99999999999966</c:v>
                </c:pt>
                <c:pt idx="1156">
                  <c:v>-143.99999999999966</c:v>
                </c:pt>
                <c:pt idx="1157">
                  <c:v>-143.99999999999966</c:v>
                </c:pt>
                <c:pt idx="1158">
                  <c:v>-143.99999999999966</c:v>
                </c:pt>
                <c:pt idx="1159">
                  <c:v>-143.99999999999966</c:v>
                </c:pt>
                <c:pt idx="1160">
                  <c:v>-143.99999999999966</c:v>
                </c:pt>
                <c:pt idx="1161">
                  <c:v>-143.99999999999966</c:v>
                </c:pt>
                <c:pt idx="1162">
                  <c:v>-143.99999999999966</c:v>
                </c:pt>
                <c:pt idx="1163">
                  <c:v>-143.99999999999966</c:v>
                </c:pt>
                <c:pt idx="1164">
                  <c:v>-143.99999999999966</c:v>
                </c:pt>
                <c:pt idx="1165">
                  <c:v>-143.99999999999966</c:v>
                </c:pt>
                <c:pt idx="1166">
                  <c:v>-143.99999999999966</c:v>
                </c:pt>
                <c:pt idx="1167">
                  <c:v>-143.99999999999966</c:v>
                </c:pt>
                <c:pt idx="1168">
                  <c:v>-143.99999999999966</c:v>
                </c:pt>
                <c:pt idx="1169">
                  <c:v>-143.99999999999966</c:v>
                </c:pt>
                <c:pt idx="1170">
                  <c:v>-143.99999999999966</c:v>
                </c:pt>
                <c:pt idx="1171">
                  <c:v>-143.99999999999966</c:v>
                </c:pt>
                <c:pt idx="1172">
                  <c:v>-143.99999999999966</c:v>
                </c:pt>
                <c:pt idx="1173">
                  <c:v>-143.99999999999966</c:v>
                </c:pt>
                <c:pt idx="1174">
                  <c:v>-143.99999999999966</c:v>
                </c:pt>
                <c:pt idx="1175">
                  <c:v>-143.99999999999966</c:v>
                </c:pt>
                <c:pt idx="1176">
                  <c:v>-143.99999999999966</c:v>
                </c:pt>
                <c:pt idx="1177">
                  <c:v>-143.99999999999966</c:v>
                </c:pt>
                <c:pt idx="1178">
                  <c:v>-143.99999999999966</c:v>
                </c:pt>
                <c:pt idx="1179">
                  <c:v>-143.99999999999966</c:v>
                </c:pt>
                <c:pt idx="1180">
                  <c:v>-143.99999999999966</c:v>
                </c:pt>
                <c:pt idx="1181">
                  <c:v>-143.99999999999966</c:v>
                </c:pt>
                <c:pt idx="1182">
                  <c:v>-143.99999999999966</c:v>
                </c:pt>
                <c:pt idx="1183">
                  <c:v>-143.99999999999966</c:v>
                </c:pt>
                <c:pt idx="1184">
                  <c:v>-143.99999999999966</c:v>
                </c:pt>
                <c:pt idx="1185">
                  <c:v>-143.99999999999966</c:v>
                </c:pt>
                <c:pt idx="1186">
                  <c:v>-143.99999999999966</c:v>
                </c:pt>
                <c:pt idx="1187">
                  <c:v>-143.99999999999966</c:v>
                </c:pt>
                <c:pt idx="1188">
                  <c:v>-143.99999999999966</c:v>
                </c:pt>
                <c:pt idx="1189">
                  <c:v>-143.99999999999966</c:v>
                </c:pt>
                <c:pt idx="1190">
                  <c:v>-143.99999999999966</c:v>
                </c:pt>
                <c:pt idx="1191">
                  <c:v>-143.99999999999966</c:v>
                </c:pt>
                <c:pt idx="1192">
                  <c:v>-143.99999999999966</c:v>
                </c:pt>
                <c:pt idx="1193">
                  <c:v>-143.99999999999966</c:v>
                </c:pt>
                <c:pt idx="1194">
                  <c:v>-143.99999999999966</c:v>
                </c:pt>
                <c:pt idx="1195">
                  <c:v>-143.99999999999966</c:v>
                </c:pt>
                <c:pt idx="1196">
                  <c:v>-143.99999999999966</c:v>
                </c:pt>
                <c:pt idx="1197">
                  <c:v>-143.99999999999966</c:v>
                </c:pt>
                <c:pt idx="1198">
                  <c:v>-143.99999999999966</c:v>
                </c:pt>
                <c:pt idx="1199">
                  <c:v>-143.99999999999966</c:v>
                </c:pt>
                <c:pt idx="1200">
                  <c:v>-143.99999999999966</c:v>
                </c:pt>
                <c:pt idx="1201">
                  <c:v>-143.99999999999966</c:v>
                </c:pt>
                <c:pt idx="1202">
                  <c:v>-143.99999999999966</c:v>
                </c:pt>
                <c:pt idx="1203">
                  <c:v>-143.99999999999966</c:v>
                </c:pt>
                <c:pt idx="1204">
                  <c:v>-143.99999999999966</c:v>
                </c:pt>
                <c:pt idx="1205">
                  <c:v>-143.99999999999966</c:v>
                </c:pt>
                <c:pt idx="1206">
                  <c:v>-143.99999999999966</c:v>
                </c:pt>
                <c:pt idx="1207">
                  <c:v>-143.99999999999966</c:v>
                </c:pt>
                <c:pt idx="1208">
                  <c:v>-143.99999999999966</c:v>
                </c:pt>
                <c:pt idx="1209">
                  <c:v>-143.99999999999966</c:v>
                </c:pt>
                <c:pt idx="1210">
                  <c:v>-143.99999999999966</c:v>
                </c:pt>
                <c:pt idx="1211">
                  <c:v>-143.99999999999966</c:v>
                </c:pt>
                <c:pt idx="1212">
                  <c:v>-143.99999999999966</c:v>
                </c:pt>
                <c:pt idx="1213">
                  <c:v>-143.99999999999966</c:v>
                </c:pt>
                <c:pt idx="1214">
                  <c:v>-143.99999999999966</c:v>
                </c:pt>
                <c:pt idx="1215">
                  <c:v>-143.99999999999966</c:v>
                </c:pt>
                <c:pt idx="1216">
                  <c:v>-143.99999999999966</c:v>
                </c:pt>
                <c:pt idx="1217">
                  <c:v>-143.99999999999966</c:v>
                </c:pt>
                <c:pt idx="1218">
                  <c:v>-143.99999999999966</c:v>
                </c:pt>
                <c:pt idx="1219">
                  <c:v>-143.99999999999966</c:v>
                </c:pt>
                <c:pt idx="1220">
                  <c:v>-143.99999999999966</c:v>
                </c:pt>
                <c:pt idx="1221">
                  <c:v>-143.99999999999966</c:v>
                </c:pt>
                <c:pt idx="1222">
                  <c:v>-143.99999999999966</c:v>
                </c:pt>
                <c:pt idx="1223">
                  <c:v>-143.99999999999966</c:v>
                </c:pt>
                <c:pt idx="1224">
                  <c:v>-143.99999999999966</c:v>
                </c:pt>
                <c:pt idx="1225">
                  <c:v>-143.99999999999966</c:v>
                </c:pt>
                <c:pt idx="1226">
                  <c:v>-143.99999999999966</c:v>
                </c:pt>
                <c:pt idx="1227">
                  <c:v>-143.99999999999966</c:v>
                </c:pt>
                <c:pt idx="1228">
                  <c:v>-143.99999999999966</c:v>
                </c:pt>
                <c:pt idx="1229">
                  <c:v>-143.99999999999966</c:v>
                </c:pt>
                <c:pt idx="1230">
                  <c:v>-143.99999999999966</c:v>
                </c:pt>
                <c:pt idx="1231">
                  <c:v>-143.99999999999966</c:v>
                </c:pt>
                <c:pt idx="1232">
                  <c:v>-143.99999999999966</c:v>
                </c:pt>
                <c:pt idx="1233">
                  <c:v>-143.99999999999966</c:v>
                </c:pt>
                <c:pt idx="1234">
                  <c:v>-143.99999999999966</c:v>
                </c:pt>
                <c:pt idx="1235">
                  <c:v>-143.99999999999966</c:v>
                </c:pt>
                <c:pt idx="1236">
                  <c:v>-143.99999999999966</c:v>
                </c:pt>
                <c:pt idx="1237">
                  <c:v>-143.99999999999966</c:v>
                </c:pt>
              </c:numCache>
            </c:numRef>
          </c:val>
          <c:smooth val="0"/>
          <c:extLst>
            <c:ext xmlns:c16="http://schemas.microsoft.com/office/drawing/2014/chart" uri="{C3380CC4-5D6E-409C-BE32-E72D297353CC}">
              <c16:uniqueId val="{00000002-134C-42A8-825E-2F345B94FB34}"/>
            </c:ext>
          </c:extLst>
        </c:ser>
        <c:dLbls>
          <c:showLegendKey val="0"/>
          <c:showVal val="0"/>
          <c:showCatName val="0"/>
          <c:showSerName val="0"/>
          <c:showPercent val="0"/>
          <c:showBubbleSize val="0"/>
        </c:dLbls>
        <c:smooth val="0"/>
        <c:axId val="1846287199"/>
        <c:axId val="1688607663"/>
      </c:lineChart>
      <c:catAx>
        <c:axId val="1846287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607663"/>
        <c:crosses val="autoZero"/>
        <c:auto val="1"/>
        <c:lblAlgn val="ctr"/>
        <c:lblOffset val="100"/>
        <c:noMultiLvlLbl val="0"/>
      </c:catAx>
      <c:valAx>
        <c:axId val="1688607663"/>
        <c:scaling>
          <c:orientation val="minMax"/>
        </c:scaling>
        <c:delete val="0"/>
        <c:axPos val="l"/>
        <c:majorGridlines>
          <c:spPr>
            <a:ln w="9525" cap="flat" cmpd="sng" algn="ctr">
              <a:solidFill>
                <a:schemeClr val="tx2">
                  <a:lumMod val="75000"/>
                  <a:lumOff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2871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F,S,O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f</c:v>
          </c:tx>
          <c:spPr>
            <a:ln w="28575" cap="rnd">
              <a:solidFill>
                <a:schemeClr val="accent1"/>
              </a:solidFill>
              <a:round/>
            </a:ln>
            <a:effectLst/>
          </c:spPr>
          <c:marker>
            <c:symbol val="none"/>
          </c:marker>
          <c:val>
            <c:numRef>
              <c:f>'Journal Live'!$BI$1388:$BI$2630</c:f>
              <c:numCache>
                <c:formatCode>General</c:formatCode>
                <c:ptCount val="1238"/>
                <c:pt idx="0">
                  <c:v>0</c:v>
                </c:pt>
                <c:pt idx="1">
                  <c:v>0</c:v>
                </c:pt>
                <c:pt idx="2">
                  <c:v>0</c:v>
                </c:pt>
                <c:pt idx="3">
                  <c:v>0</c:v>
                </c:pt>
                <c:pt idx="4">
                  <c:v>0</c:v>
                </c:pt>
                <c:pt idx="5">
                  <c:v>256</c:v>
                </c:pt>
                <c:pt idx="6">
                  <c:v>256</c:v>
                </c:pt>
                <c:pt idx="7">
                  <c:v>256</c:v>
                </c:pt>
                <c:pt idx="8">
                  <c:v>256</c:v>
                </c:pt>
                <c:pt idx="9">
                  <c:v>256</c:v>
                </c:pt>
                <c:pt idx="10">
                  <c:v>256</c:v>
                </c:pt>
                <c:pt idx="11">
                  <c:v>256</c:v>
                </c:pt>
                <c:pt idx="12">
                  <c:v>256</c:v>
                </c:pt>
                <c:pt idx="13">
                  <c:v>256</c:v>
                </c:pt>
                <c:pt idx="14">
                  <c:v>256</c:v>
                </c:pt>
                <c:pt idx="15">
                  <c:v>256</c:v>
                </c:pt>
                <c:pt idx="16">
                  <c:v>256</c:v>
                </c:pt>
                <c:pt idx="17">
                  <c:v>256</c:v>
                </c:pt>
                <c:pt idx="18">
                  <c:v>256</c:v>
                </c:pt>
                <c:pt idx="19">
                  <c:v>256</c:v>
                </c:pt>
                <c:pt idx="20">
                  <c:v>256</c:v>
                </c:pt>
                <c:pt idx="21">
                  <c:v>256</c:v>
                </c:pt>
                <c:pt idx="22">
                  <c:v>256</c:v>
                </c:pt>
                <c:pt idx="23">
                  <c:v>256</c:v>
                </c:pt>
                <c:pt idx="24">
                  <c:v>256</c:v>
                </c:pt>
                <c:pt idx="25">
                  <c:v>256</c:v>
                </c:pt>
                <c:pt idx="26">
                  <c:v>256</c:v>
                </c:pt>
                <c:pt idx="27">
                  <c:v>256</c:v>
                </c:pt>
                <c:pt idx="28">
                  <c:v>256</c:v>
                </c:pt>
                <c:pt idx="29">
                  <c:v>256</c:v>
                </c:pt>
                <c:pt idx="30">
                  <c:v>256</c:v>
                </c:pt>
                <c:pt idx="31">
                  <c:v>256</c:v>
                </c:pt>
                <c:pt idx="32">
                  <c:v>256</c:v>
                </c:pt>
                <c:pt idx="33">
                  <c:v>256</c:v>
                </c:pt>
                <c:pt idx="34">
                  <c:v>256</c:v>
                </c:pt>
                <c:pt idx="35">
                  <c:v>544</c:v>
                </c:pt>
                <c:pt idx="36">
                  <c:v>544</c:v>
                </c:pt>
                <c:pt idx="37">
                  <c:v>544</c:v>
                </c:pt>
                <c:pt idx="38">
                  <c:v>544</c:v>
                </c:pt>
                <c:pt idx="39">
                  <c:v>544</c:v>
                </c:pt>
                <c:pt idx="40">
                  <c:v>544</c:v>
                </c:pt>
                <c:pt idx="41">
                  <c:v>544</c:v>
                </c:pt>
                <c:pt idx="42">
                  <c:v>544</c:v>
                </c:pt>
                <c:pt idx="43">
                  <c:v>544</c:v>
                </c:pt>
                <c:pt idx="44">
                  <c:v>544</c:v>
                </c:pt>
                <c:pt idx="45">
                  <c:v>735.99999999999989</c:v>
                </c:pt>
                <c:pt idx="46">
                  <c:v>735.99999999999989</c:v>
                </c:pt>
                <c:pt idx="47">
                  <c:v>1350.3999999999999</c:v>
                </c:pt>
                <c:pt idx="48">
                  <c:v>1350.3999999999999</c:v>
                </c:pt>
                <c:pt idx="49">
                  <c:v>2134.4</c:v>
                </c:pt>
                <c:pt idx="50">
                  <c:v>2134.4</c:v>
                </c:pt>
                <c:pt idx="51">
                  <c:v>2134.4</c:v>
                </c:pt>
                <c:pt idx="52">
                  <c:v>2134.4</c:v>
                </c:pt>
                <c:pt idx="53">
                  <c:v>2134.4</c:v>
                </c:pt>
                <c:pt idx="54">
                  <c:v>2134.4</c:v>
                </c:pt>
                <c:pt idx="55">
                  <c:v>2134.4</c:v>
                </c:pt>
                <c:pt idx="56">
                  <c:v>2134.4</c:v>
                </c:pt>
                <c:pt idx="57">
                  <c:v>2134.4</c:v>
                </c:pt>
                <c:pt idx="58">
                  <c:v>2134.4</c:v>
                </c:pt>
                <c:pt idx="59">
                  <c:v>2134.4</c:v>
                </c:pt>
                <c:pt idx="60">
                  <c:v>2134.4</c:v>
                </c:pt>
                <c:pt idx="61">
                  <c:v>2134.4</c:v>
                </c:pt>
                <c:pt idx="62">
                  <c:v>2134.4</c:v>
                </c:pt>
                <c:pt idx="63">
                  <c:v>2134.4</c:v>
                </c:pt>
                <c:pt idx="64">
                  <c:v>2134.4</c:v>
                </c:pt>
                <c:pt idx="65">
                  <c:v>4438.3999999999996</c:v>
                </c:pt>
                <c:pt idx="66">
                  <c:v>4438.3999999999996</c:v>
                </c:pt>
                <c:pt idx="67">
                  <c:v>2134.4</c:v>
                </c:pt>
                <c:pt idx="68">
                  <c:v>4438.3999999999996</c:v>
                </c:pt>
                <c:pt idx="69">
                  <c:v>2134.4</c:v>
                </c:pt>
                <c:pt idx="70">
                  <c:v>2486.4</c:v>
                </c:pt>
                <c:pt idx="71">
                  <c:v>2486.4</c:v>
                </c:pt>
                <c:pt idx="72">
                  <c:v>2486.4</c:v>
                </c:pt>
                <c:pt idx="73">
                  <c:v>2486.4</c:v>
                </c:pt>
                <c:pt idx="74">
                  <c:v>2486.4</c:v>
                </c:pt>
                <c:pt idx="75">
                  <c:v>2486.4</c:v>
                </c:pt>
                <c:pt idx="76">
                  <c:v>2486.4</c:v>
                </c:pt>
                <c:pt idx="77">
                  <c:v>2486.4</c:v>
                </c:pt>
                <c:pt idx="78">
                  <c:v>2486.4</c:v>
                </c:pt>
                <c:pt idx="79">
                  <c:v>2486.4</c:v>
                </c:pt>
                <c:pt idx="80">
                  <c:v>2486.4</c:v>
                </c:pt>
                <c:pt idx="81">
                  <c:v>2486.4</c:v>
                </c:pt>
                <c:pt idx="82">
                  <c:v>2486.4</c:v>
                </c:pt>
                <c:pt idx="83">
                  <c:v>2486.4</c:v>
                </c:pt>
                <c:pt idx="84">
                  <c:v>2486.4</c:v>
                </c:pt>
                <c:pt idx="85">
                  <c:v>2486.4</c:v>
                </c:pt>
                <c:pt idx="86">
                  <c:v>2486.4</c:v>
                </c:pt>
                <c:pt idx="87">
                  <c:v>2486.4</c:v>
                </c:pt>
                <c:pt idx="88">
                  <c:v>2486.4</c:v>
                </c:pt>
                <c:pt idx="89">
                  <c:v>2486.4</c:v>
                </c:pt>
                <c:pt idx="90">
                  <c:v>2486.4</c:v>
                </c:pt>
                <c:pt idx="91">
                  <c:v>2486.4</c:v>
                </c:pt>
                <c:pt idx="92">
                  <c:v>2486.4</c:v>
                </c:pt>
                <c:pt idx="93">
                  <c:v>2486.4</c:v>
                </c:pt>
                <c:pt idx="94">
                  <c:v>2486.4</c:v>
                </c:pt>
                <c:pt idx="95">
                  <c:v>4438.3999999999996</c:v>
                </c:pt>
                <c:pt idx="96">
                  <c:v>4438.3999999999996</c:v>
                </c:pt>
                <c:pt idx="97">
                  <c:v>4438.3999999999996</c:v>
                </c:pt>
                <c:pt idx="98">
                  <c:v>4438.3999999999996</c:v>
                </c:pt>
                <c:pt idx="99">
                  <c:v>4438.3999999999996</c:v>
                </c:pt>
                <c:pt idx="100">
                  <c:v>4438.3999999999996</c:v>
                </c:pt>
                <c:pt idx="101">
                  <c:v>4438.3999999999996</c:v>
                </c:pt>
                <c:pt idx="102">
                  <c:v>4438.3999999999996</c:v>
                </c:pt>
                <c:pt idx="103">
                  <c:v>4438.3999999999996</c:v>
                </c:pt>
                <c:pt idx="104">
                  <c:v>4438.3999999999996</c:v>
                </c:pt>
                <c:pt idx="105">
                  <c:v>4438.3999999999996</c:v>
                </c:pt>
                <c:pt idx="106">
                  <c:v>4438.3999999999996</c:v>
                </c:pt>
                <c:pt idx="107">
                  <c:v>4438.3999999999996</c:v>
                </c:pt>
                <c:pt idx="108">
                  <c:v>4438.3999999999996</c:v>
                </c:pt>
                <c:pt idx="109">
                  <c:v>4438.3999999999996</c:v>
                </c:pt>
                <c:pt idx="110">
                  <c:v>4438.3999999999996</c:v>
                </c:pt>
                <c:pt idx="111">
                  <c:v>4438.3999999999996</c:v>
                </c:pt>
                <c:pt idx="112">
                  <c:v>4438.3999999999996</c:v>
                </c:pt>
                <c:pt idx="113">
                  <c:v>4438.3999999999996</c:v>
                </c:pt>
                <c:pt idx="114">
                  <c:v>4438.3999999999996</c:v>
                </c:pt>
                <c:pt idx="115">
                  <c:v>4438.3999999999996</c:v>
                </c:pt>
                <c:pt idx="116">
                  <c:v>4438.3999999999996</c:v>
                </c:pt>
                <c:pt idx="117">
                  <c:v>4438.3999999999996</c:v>
                </c:pt>
                <c:pt idx="118">
                  <c:v>4438.3999999999996</c:v>
                </c:pt>
                <c:pt idx="119">
                  <c:v>4438.3999999999996</c:v>
                </c:pt>
                <c:pt idx="120">
                  <c:v>4438.3999999999996</c:v>
                </c:pt>
                <c:pt idx="121">
                  <c:v>4438.3999999999996</c:v>
                </c:pt>
                <c:pt idx="122">
                  <c:v>4438.3999999999996</c:v>
                </c:pt>
                <c:pt idx="123">
                  <c:v>4438.3999999999996</c:v>
                </c:pt>
                <c:pt idx="124">
                  <c:v>4438.3999999999996</c:v>
                </c:pt>
                <c:pt idx="125">
                  <c:v>4438.3999999999996</c:v>
                </c:pt>
                <c:pt idx="126">
                  <c:v>4438.3999999999996</c:v>
                </c:pt>
                <c:pt idx="127">
                  <c:v>4438.3999999999996</c:v>
                </c:pt>
                <c:pt idx="128">
                  <c:v>4438.3999999999996</c:v>
                </c:pt>
                <c:pt idx="129">
                  <c:v>4438.3999999999996</c:v>
                </c:pt>
                <c:pt idx="130">
                  <c:v>4438.3999999999996</c:v>
                </c:pt>
                <c:pt idx="131">
                  <c:v>27110.758121878131</c:v>
                </c:pt>
                <c:pt idx="132">
                  <c:v>4438.3999999999996</c:v>
                </c:pt>
                <c:pt idx="133">
                  <c:v>9348.4000000000015</c:v>
                </c:pt>
                <c:pt idx="134">
                  <c:v>9348.4000000000015</c:v>
                </c:pt>
                <c:pt idx="135">
                  <c:v>4438.3999999999996</c:v>
                </c:pt>
                <c:pt idx="136">
                  <c:v>4438.3999999999996</c:v>
                </c:pt>
                <c:pt idx="137">
                  <c:v>4134.3999999999996</c:v>
                </c:pt>
                <c:pt idx="138">
                  <c:v>9348.4000000000015</c:v>
                </c:pt>
                <c:pt idx="139">
                  <c:v>4326.4000000000005</c:v>
                </c:pt>
                <c:pt idx="140">
                  <c:v>4326.4000000000005</c:v>
                </c:pt>
                <c:pt idx="141">
                  <c:v>5220.4000000000005</c:v>
                </c:pt>
                <c:pt idx="142">
                  <c:v>5220.4000000000005</c:v>
                </c:pt>
                <c:pt idx="143">
                  <c:v>5220.4000000000005</c:v>
                </c:pt>
                <c:pt idx="144">
                  <c:v>5220.4000000000005</c:v>
                </c:pt>
                <c:pt idx="145">
                  <c:v>5220.4000000000005</c:v>
                </c:pt>
                <c:pt idx="146">
                  <c:v>5220.4000000000005</c:v>
                </c:pt>
                <c:pt idx="147">
                  <c:v>5220.4000000000005</c:v>
                </c:pt>
                <c:pt idx="148">
                  <c:v>5220.4000000000005</c:v>
                </c:pt>
                <c:pt idx="149">
                  <c:v>5220.4000000000005</c:v>
                </c:pt>
                <c:pt idx="150">
                  <c:v>5220.4000000000005</c:v>
                </c:pt>
                <c:pt idx="151">
                  <c:v>5220.4000000000005</c:v>
                </c:pt>
                <c:pt idx="152">
                  <c:v>9348.4000000000015</c:v>
                </c:pt>
                <c:pt idx="153">
                  <c:v>5220.4000000000005</c:v>
                </c:pt>
                <c:pt idx="154">
                  <c:v>5220.4000000000005</c:v>
                </c:pt>
                <c:pt idx="155">
                  <c:v>5220.4000000000005</c:v>
                </c:pt>
                <c:pt idx="156">
                  <c:v>9348.4000000000015</c:v>
                </c:pt>
                <c:pt idx="157">
                  <c:v>7652.4000000000015</c:v>
                </c:pt>
                <c:pt idx="158">
                  <c:v>7652.4000000000015</c:v>
                </c:pt>
                <c:pt idx="159">
                  <c:v>9348.4000000000015</c:v>
                </c:pt>
                <c:pt idx="160">
                  <c:v>7652.4000000000015</c:v>
                </c:pt>
                <c:pt idx="161">
                  <c:v>7652.4000000000015</c:v>
                </c:pt>
                <c:pt idx="162">
                  <c:v>9348.4000000000015</c:v>
                </c:pt>
                <c:pt idx="163">
                  <c:v>7652.4000000000015</c:v>
                </c:pt>
                <c:pt idx="164">
                  <c:v>7652.4000000000015</c:v>
                </c:pt>
                <c:pt idx="165">
                  <c:v>7652.4000000000015</c:v>
                </c:pt>
                <c:pt idx="166">
                  <c:v>7652.4000000000015</c:v>
                </c:pt>
                <c:pt idx="167">
                  <c:v>7652.4000000000015</c:v>
                </c:pt>
                <c:pt idx="168">
                  <c:v>7652.4000000000015</c:v>
                </c:pt>
                <c:pt idx="169">
                  <c:v>9348.4000000000015</c:v>
                </c:pt>
                <c:pt idx="170">
                  <c:v>7652.4000000000015</c:v>
                </c:pt>
                <c:pt idx="171">
                  <c:v>7652.4000000000015</c:v>
                </c:pt>
                <c:pt idx="172">
                  <c:v>7652.4000000000015</c:v>
                </c:pt>
                <c:pt idx="173">
                  <c:v>7652.4000000000015</c:v>
                </c:pt>
                <c:pt idx="174">
                  <c:v>7652.4000000000015</c:v>
                </c:pt>
                <c:pt idx="175">
                  <c:v>7652.4000000000015</c:v>
                </c:pt>
                <c:pt idx="176">
                  <c:v>7652.4000000000015</c:v>
                </c:pt>
                <c:pt idx="177">
                  <c:v>8804.4000000000015</c:v>
                </c:pt>
                <c:pt idx="178">
                  <c:v>8804.4000000000015</c:v>
                </c:pt>
                <c:pt idx="179">
                  <c:v>9348.4000000000015</c:v>
                </c:pt>
                <c:pt idx="180">
                  <c:v>8804.4000000000015</c:v>
                </c:pt>
                <c:pt idx="181">
                  <c:v>8804.4000000000015</c:v>
                </c:pt>
                <c:pt idx="182">
                  <c:v>8804.4000000000015</c:v>
                </c:pt>
                <c:pt idx="183">
                  <c:v>8804.4000000000015</c:v>
                </c:pt>
                <c:pt idx="184">
                  <c:v>8804.4000000000015</c:v>
                </c:pt>
                <c:pt idx="185">
                  <c:v>8804.4000000000015</c:v>
                </c:pt>
                <c:pt idx="186">
                  <c:v>8804.4000000000015</c:v>
                </c:pt>
                <c:pt idx="187">
                  <c:v>8804.4000000000015</c:v>
                </c:pt>
                <c:pt idx="188">
                  <c:v>8804.4000000000015</c:v>
                </c:pt>
                <c:pt idx="189">
                  <c:v>8804.4000000000015</c:v>
                </c:pt>
                <c:pt idx="190">
                  <c:v>8804.4000000000015</c:v>
                </c:pt>
                <c:pt idx="191">
                  <c:v>8804.4000000000015</c:v>
                </c:pt>
                <c:pt idx="192">
                  <c:v>9348.4000000000015</c:v>
                </c:pt>
                <c:pt idx="193">
                  <c:v>8804.4000000000015</c:v>
                </c:pt>
                <c:pt idx="194">
                  <c:v>8804.4000000000015</c:v>
                </c:pt>
                <c:pt idx="195">
                  <c:v>8804.4000000000015</c:v>
                </c:pt>
                <c:pt idx="196">
                  <c:v>8804.4000000000015</c:v>
                </c:pt>
                <c:pt idx="197">
                  <c:v>8804.4000000000015</c:v>
                </c:pt>
                <c:pt idx="198">
                  <c:v>9348.4000000000015</c:v>
                </c:pt>
                <c:pt idx="199">
                  <c:v>8804.4000000000015</c:v>
                </c:pt>
                <c:pt idx="200">
                  <c:v>8804.4000000000015</c:v>
                </c:pt>
                <c:pt idx="201">
                  <c:v>8804.4000000000015</c:v>
                </c:pt>
                <c:pt idx="202">
                  <c:v>8804.4000000000015</c:v>
                </c:pt>
                <c:pt idx="203">
                  <c:v>9348.4000000000015</c:v>
                </c:pt>
                <c:pt idx="204">
                  <c:v>9348.4000000000015</c:v>
                </c:pt>
                <c:pt idx="205">
                  <c:v>9348.4000000000015</c:v>
                </c:pt>
                <c:pt idx="206">
                  <c:v>9348.4000000000015</c:v>
                </c:pt>
                <c:pt idx="207">
                  <c:v>9348.4000000000015</c:v>
                </c:pt>
                <c:pt idx="208">
                  <c:v>9348.4000000000015</c:v>
                </c:pt>
                <c:pt idx="209">
                  <c:v>9348.4000000000015</c:v>
                </c:pt>
                <c:pt idx="210">
                  <c:v>9348.4000000000015</c:v>
                </c:pt>
                <c:pt idx="211">
                  <c:v>9348.4000000000015</c:v>
                </c:pt>
                <c:pt idx="212">
                  <c:v>9348.4000000000015</c:v>
                </c:pt>
                <c:pt idx="213">
                  <c:v>9348.4000000000015</c:v>
                </c:pt>
                <c:pt idx="214">
                  <c:v>9348.4000000000015</c:v>
                </c:pt>
                <c:pt idx="215">
                  <c:v>9348.4000000000015</c:v>
                </c:pt>
                <c:pt idx="216">
                  <c:v>9348.4000000000015</c:v>
                </c:pt>
                <c:pt idx="217">
                  <c:v>9348.4000000000015</c:v>
                </c:pt>
                <c:pt idx="218">
                  <c:v>9348.4000000000015</c:v>
                </c:pt>
                <c:pt idx="219">
                  <c:v>9348.4000000000015</c:v>
                </c:pt>
                <c:pt idx="220">
                  <c:v>9348.4000000000015</c:v>
                </c:pt>
                <c:pt idx="221">
                  <c:v>9348.4000000000015</c:v>
                </c:pt>
                <c:pt idx="222">
                  <c:v>9348.4000000000015</c:v>
                </c:pt>
                <c:pt idx="223">
                  <c:v>9348.4000000000015</c:v>
                </c:pt>
                <c:pt idx="224">
                  <c:v>9348.4000000000015</c:v>
                </c:pt>
                <c:pt idx="225">
                  <c:v>9348.4000000000015</c:v>
                </c:pt>
                <c:pt idx="226">
                  <c:v>9348.4000000000015</c:v>
                </c:pt>
                <c:pt idx="227">
                  <c:v>9348.4000000000015</c:v>
                </c:pt>
                <c:pt idx="228">
                  <c:v>9348.4000000000015</c:v>
                </c:pt>
                <c:pt idx="229">
                  <c:v>9348.4000000000015</c:v>
                </c:pt>
                <c:pt idx="230">
                  <c:v>9348.4000000000015</c:v>
                </c:pt>
                <c:pt idx="231">
                  <c:v>9348.4000000000015</c:v>
                </c:pt>
                <c:pt idx="232">
                  <c:v>9348.4000000000015</c:v>
                </c:pt>
                <c:pt idx="233">
                  <c:v>9348.4000000000015</c:v>
                </c:pt>
                <c:pt idx="234">
                  <c:v>9348.4000000000015</c:v>
                </c:pt>
                <c:pt idx="235">
                  <c:v>9348.4000000000015</c:v>
                </c:pt>
                <c:pt idx="236">
                  <c:v>9348.4000000000015</c:v>
                </c:pt>
                <c:pt idx="237">
                  <c:v>9348.4000000000015</c:v>
                </c:pt>
                <c:pt idx="238">
                  <c:v>9348.4000000000015</c:v>
                </c:pt>
                <c:pt idx="239">
                  <c:v>9348.4000000000015</c:v>
                </c:pt>
                <c:pt idx="240">
                  <c:v>9348.4000000000015</c:v>
                </c:pt>
                <c:pt idx="241">
                  <c:v>9348.4000000000015</c:v>
                </c:pt>
                <c:pt idx="242">
                  <c:v>9348.4000000000015</c:v>
                </c:pt>
                <c:pt idx="243">
                  <c:v>9348.4000000000015</c:v>
                </c:pt>
                <c:pt idx="244">
                  <c:v>9348.4000000000015</c:v>
                </c:pt>
                <c:pt idx="245">
                  <c:v>9348.4000000000015</c:v>
                </c:pt>
                <c:pt idx="246">
                  <c:v>9348.4000000000015</c:v>
                </c:pt>
                <c:pt idx="247">
                  <c:v>9348.4000000000015</c:v>
                </c:pt>
                <c:pt idx="248">
                  <c:v>9348.4000000000015</c:v>
                </c:pt>
                <c:pt idx="249">
                  <c:v>9348.4000000000015</c:v>
                </c:pt>
                <c:pt idx="250">
                  <c:v>9348.4000000000015</c:v>
                </c:pt>
                <c:pt idx="251">
                  <c:v>9348.4000000000015</c:v>
                </c:pt>
                <c:pt idx="252">
                  <c:v>9348.4000000000015</c:v>
                </c:pt>
                <c:pt idx="253">
                  <c:v>9348.4000000000015</c:v>
                </c:pt>
                <c:pt idx="254">
                  <c:v>9348.4000000000015</c:v>
                </c:pt>
                <c:pt idx="255">
                  <c:v>9348.4000000000015</c:v>
                </c:pt>
                <c:pt idx="256">
                  <c:v>9348.4000000000015</c:v>
                </c:pt>
                <c:pt idx="257">
                  <c:v>9348.4000000000015</c:v>
                </c:pt>
                <c:pt idx="258">
                  <c:v>9348.4000000000015</c:v>
                </c:pt>
                <c:pt idx="259">
                  <c:v>9348.4000000000015</c:v>
                </c:pt>
                <c:pt idx="260">
                  <c:v>10148.400000000001</c:v>
                </c:pt>
                <c:pt idx="261">
                  <c:v>10148.400000000001</c:v>
                </c:pt>
                <c:pt idx="262">
                  <c:v>10148.400000000001</c:v>
                </c:pt>
                <c:pt idx="263">
                  <c:v>10148.400000000001</c:v>
                </c:pt>
                <c:pt idx="264">
                  <c:v>10148.400000000001</c:v>
                </c:pt>
                <c:pt idx="265">
                  <c:v>10148.400000000001</c:v>
                </c:pt>
                <c:pt idx="266">
                  <c:v>12708.400000000001</c:v>
                </c:pt>
                <c:pt idx="267">
                  <c:v>12708.400000000001</c:v>
                </c:pt>
                <c:pt idx="268">
                  <c:v>12708.400000000001</c:v>
                </c:pt>
                <c:pt idx="269">
                  <c:v>12708.400000000001</c:v>
                </c:pt>
                <c:pt idx="270">
                  <c:v>12708.400000000001</c:v>
                </c:pt>
                <c:pt idx="271">
                  <c:v>12708.400000000001</c:v>
                </c:pt>
                <c:pt idx="272">
                  <c:v>12708.400000000001</c:v>
                </c:pt>
                <c:pt idx="273">
                  <c:v>12708.400000000001</c:v>
                </c:pt>
                <c:pt idx="274">
                  <c:v>12708.400000000001</c:v>
                </c:pt>
                <c:pt idx="275">
                  <c:v>12708.400000000001</c:v>
                </c:pt>
                <c:pt idx="276">
                  <c:v>12708.400000000001</c:v>
                </c:pt>
                <c:pt idx="277">
                  <c:v>12708.400000000001</c:v>
                </c:pt>
                <c:pt idx="278">
                  <c:v>12708.400000000001</c:v>
                </c:pt>
                <c:pt idx="279">
                  <c:v>12708.400000000001</c:v>
                </c:pt>
                <c:pt idx="280">
                  <c:v>12708.400000000001</c:v>
                </c:pt>
                <c:pt idx="281">
                  <c:v>12708.400000000001</c:v>
                </c:pt>
                <c:pt idx="282">
                  <c:v>12708.400000000001</c:v>
                </c:pt>
                <c:pt idx="283">
                  <c:v>12708.400000000001</c:v>
                </c:pt>
                <c:pt idx="284">
                  <c:v>12708.400000000001</c:v>
                </c:pt>
                <c:pt idx="285">
                  <c:v>12708.400000000001</c:v>
                </c:pt>
                <c:pt idx="286">
                  <c:v>12708.400000000001</c:v>
                </c:pt>
                <c:pt idx="287">
                  <c:v>12708.400000000001</c:v>
                </c:pt>
                <c:pt idx="288">
                  <c:v>12708.400000000001</c:v>
                </c:pt>
                <c:pt idx="289">
                  <c:v>15828.400000000001</c:v>
                </c:pt>
                <c:pt idx="290">
                  <c:v>15828.400000000001</c:v>
                </c:pt>
                <c:pt idx="291">
                  <c:v>15828.400000000001</c:v>
                </c:pt>
                <c:pt idx="292">
                  <c:v>15828.400000000001</c:v>
                </c:pt>
                <c:pt idx="293">
                  <c:v>15828.400000000001</c:v>
                </c:pt>
                <c:pt idx="294">
                  <c:v>15828.400000000001</c:v>
                </c:pt>
                <c:pt idx="295">
                  <c:v>15828.400000000001</c:v>
                </c:pt>
                <c:pt idx="296">
                  <c:v>15828.400000000001</c:v>
                </c:pt>
                <c:pt idx="297">
                  <c:v>15828.400000000001</c:v>
                </c:pt>
                <c:pt idx="298">
                  <c:v>15828.400000000001</c:v>
                </c:pt>
                <c:pt idx="299">
                  <c:v>15828.400000000001</c:v>
                </c:pt>
                <c:pt idx="300">
                  <c:v>15828.400000000001</c:v>
                </c:pt>
                <c:pt idx="301">
                  <c:v>15828.400000000001</c:v>
                </c:pt>
                <c:pt idx="302">
                  <c:v>15828.400000000001</c:v>
                </c:pt>
                <c:pt idx="303">
                  <c:v>15828.400000000001</c:v>
                </c:pt>
                <c:pt idx="304">
                  <c:v>15828.400000000001</c:v>
                </c:pt>
                <c:pt idx="305">
                  <c:v>15828.400000000001</c:v>
                </c:pt>
                <c:pt idx="306">
                  <c:v>15828.400000000001</c:v>
                </c:pt>
                <c:pt idx="307">
                  <c:v>15828.400000000001</c:v>
                </c:pt>
                <c:pt idx="308">
                  <c:v>15828.400000000001</c:v>
                </c:pt>
                <c:pt idx="309">
                  <c:v>15828.400000000001</c:v>
                </c:pt>
                <c:pt idx="310">
                  <c:v>15828.400000000001</c:v>
                </c:pt>
                <c:pt idx="311">
                  <c:v>15828.400000000001</c:v>
                </c:pt>
                <c:pt idx="312">
                  <c:v>15828.400000000001</c:v>
                </c:pt>
                <c:pt idx="313">
                  <c:v>15828.400000000001</c:v>
                </c:pt>
                <c:pt idx="314">
                  <c:v>15828.400000000001</c:v>
                </c:pt>
                <c:pt idx="315">
                  <c:v>15828.400000000001</c:v>
                </c:pt>
                <c:pt idx="316">
                  <c:v>15828.400000000001</c:v>
                </c:pt>
                <c:pt idx="317">
                  <c:v>15828.400000000001</c:v>
                </c:pt>
                <c:pt idx="318">
                  <c:v>15828.400000000001</c:v>
                </c:pt>
                <c:pt idx="319">
                  <c:v>15828.400000000001</c:v>
                </c:pt>
                <c:pt idx="320">
                  <c:v>15828.400000000001</c:v>
                </c:pt>
                <c:pt idx="321">
                  <c:v>15828.400000000001</c:v>
                </c:pt>
                <c:pt idx="322">
                  <c:v>15828.400000000001</c:v>
                </c:pt>
                <c:pt idx="323">
                  <c:v>15828.400000000001</c:v>
                </c:pt>
                <c:pt idx="324">
                  <c:v>15828.400000000001</c:v>
                </c:pt>
                <c:pt idx="325">
                  <c:v>15828.400000000001</c:v>
                </c:pt>
                <c:pt idx="326">
                  <c:v>15828.400000000001</c:v>
                </c:pt>
                <c:pt idx="327">
                  <c:v>15828.400000000001</c:v>
                </c:pt>
                <c:pt idx="328">
                  <c:v>15828.400000000001</c:v>
                </c:pt>
                <c:pt idx="329">
                  <c:v>15828.400000000001</c:v>
                </c:pt>
                <c:pt idx="330">
                  <c:v>15828.400000000001</c:v>
                </c:pt>
                <c:pt idx="331">
                  <c:v>17668.400000000001</c:v>
                </c:pt>
                <c:pt idx="332">
                  <c:v>19188.400000000001</c:v>
                </c:pt>
                <c:pt idx="333">
                  <c:v>19188.400000000001</c:v>
                </c:pt>
                <c:pt idx="334">
                  <c:v>19188.400000000001</c:v>
                </c:pt>
                <c:pt idx="335">
                  <c:v>19188.400000000001</c:v>
                </c:pt>
                <c:pt idx="336">
                  <c:v>19188.400000000001</c:v>
                </c:pt>
                <c:pt idx="337">
                  <c:v>19188.400000000001</c:v>
                </c:pt>
                <c:pt idx="338">
                  <c:v>19188.400000000001</c:v>
                </c:pt>
                <c:pt idx="339">
                  <c:v>19188.400000000001</c:v>
                </c:pt>
                <c:pt idx="340">
                  <c:v>19188.400000000001</c:v>
                </c:pt>
                <c:pt idx="341">
                  <c:v>19188.400000000001</c:v>
                </c:pt>
                <c:pt idx="342">
                  <c:v>19188.400000000001</c:v>
                </c:pt>
                <c:pt idx="343">
                  <c:v>19188.400000000001</c:v>
                </c:pt>
                <c:pt idx="344">
                  <c:v>19188.400000000001</c:v>
                </c:pt>
                <c:pt idx="345">
                  <c:v>19188.400000000001</c:v>
                </c:pt>
                <c:pt idx="346">
                  <c:v>19188.400000000001</c:v>
                </c:pt>
                <c:pt idx="347">
                  <c:v>19188.400000000001</c:v>
                </c:pt>
                <c:pt idx="348">
                  <c:v>19188.400000000001</c:v>
                </c:pt>
                <c:pt idx="349">
                  <c:v>19188.400000000001</c:v>
                </c:pt>
                <c:pt idx="350">
                  <c:v>19188.400000000001</c:v>
                </c:pt>
                <c:pt idx="351">
                  <c:v>19188.400000000001</c:v>
                </c:pt>
                <c:pt idx="352">
                  <c:v>19188.400000000001</c:v>
                </c:pt>
                <c:pt idx="353">
                  <c:v>19188.400000000001</c:v>
                </c:pt>
                <c:pt idx="354">
                  <c:v>19188.400000000001</c:v>
                </c:pt>
                <c:pt idx="355">
                  <c:v>19188.400000000001</c:v>
                </c:pt>
                <c:pt idx="356">
                  <c:v>19188.400000000001</c:v>
                </c:pt>
                <c:pt idx="357">
                  <c:v>19188.400000000001</c:v>
                </c:pt>
                <c:pt idx="358">
                  <c:v>19188.400000000001</c:v>
                </c:pt>
                <c:pt idx="359">
                  <c:v>19188.400000000001</c:v>
                </c:pt>
                <c:pt idx="360">
                  <c:v>19188.400000000001</c:v>
                </c:pt>
                <c:pt idx="361">
                  <c:v>19188.400000000001</c:v>
                </c:pt>
                <c:pt idx="362">
                  <c:v>19188.400000000001</c:v>
                </c:pt>
                <c:pt idx="363">
                  <c:v>22308.400000000001</c:v>
                </c:pt>
                <c:pt idx="364">
                  <c:v>22308.400000000001</c:v>
                </c:pt>
                <c:pt idx="365">
                  <c:v>22308.400000000001</c:v>
                </c:pt>
                <c:pt idx="366">
                  <c:v>22308.400000000001</c:v>
                </c:pt>
                <c:pt idx="367">
                  <c:v>22308.400000000001</c:v>
                </c:pt>
                <c:pt idx="368">
                  <c:v>22308.400000000001</c:v>
                </c:pt>
                <c:pt idx="369">
                  <c:v>22308.400000000001</c:v>
                </c:pt>
                <c:pt idx="370">
                  <c:v>22308.400000000001</c:v>
                </c:pt>
                <c:pt idx="371">
                  <c:v>22308.400000000001</c:v>
                </c:pt>
                <c:pt idx="372">
                  <c:v>22308.400000000001</c:v>
                </c:pt>
                <c:pt idx="373">
                  <c:v>22308.400000000001</c:v>
                </c:pt>
                <c:pt idx="374">
                  <c:v>22308.400000000001</c:v>
                </c:pt>
                <c:pt idx="375">
                  <c:v>22308.400000000001</c:v>
                </c:pt>
                <c:pt idx="376">
                  <c:v>22308.400000000001</c:v>
                </c:pt>
                <c:pt idx="377">
                  <c:v>22308.400000000001</c:v>
                </c:pt>
                <c:pt idx="378">
                  <c:v>22308.400000000001</c:v>
                </c:pt>
                <c:pt idx="379">
                  <c:v>22308.400000000001</c:v>
                </c:pt>
                <c:pt idx="380">
                  <c:v>22308.400000000001</c:v>
                </c:pt>
                <c:pt idx="381">
                  <c:v>22308.400000000001</c:v>
                </c:pt>
                <c:pt idx="382">
                  <c:v>22308.400000000001</c:v>
                </c:pt>
                <c:pt idx="383">
                  <c:v>22308.400000000001</c:v>
                </c:pt>
                <c:pt idx="384">
                  <c:v>22308.400000000001</c:v>
                </c:pt>
                <c:pt idx="385">
                  <c:v>22308.400000000001</c:v>
                </c:pt>
                <c:pt idx="386">
                  <c:v>22308.400000000001</c:v>
                </c:pt>
                <c:pt idx="387">
                  <c:v>22308.400000000001</c:v>
                </c:pt>
                <c:pt idx="388">
                  <c:v>22308.400000000001</c:v>
                </c:pt>
                <c:pt idx="389">
                  <c:v>22308.400000000001</c:v>
                </c:pt>
                <c:pt idx="390">
                  <c:v>22308.400000000001</c:v>
                </c:pt>
                <c:pt idx="391">
                  <c:v>22308.400000000001</c:v>
                </c:pt>
                <c:pt idx="392">
                  <c:v>22308.400000000001</c:v>
                </c:pt>
                <c:pt idx="393">
                  <c:v>22308.400000000001</c:v>
                </c:pt>
                <c:pt idx="394">
                  <c:v>22308.400000000001</c:v>
                </c:pt>
                <c:pt idx="395">
                  <c:v>22308.400000000001</c:v>
                </c:pt>
                <c:pt idx="396">
                  <c:v>22308.400000000001</c:v>
                </c:pt>
                <c:pt idx="397">
                  <c:v>22308.400000000001</c:v>
                </c:pt>
                <c:pt idx="398">
                  <c:v>22308.400000000001</c:v>
                </c:pt>
                <c:pt idx="399">
                  <c:v>22308.400000000001</c:v>
                </c:pt>
                <c:pt idx="400">
                  <c:v>22308.400000000001</c:v>
                </c:pt>
                <c:pt idx="401">
                  <c:v>22308.400000000001</c:v>
                </c:pt>
                <c:pt idx="402">
                  <c:v>22308.400000000001</c:v>
                </c:pt>
                <c:pt idx="403">
                  <c:v>22308.400000000001</c:v>
                </c:pt>
                <c:pt idx="404">
                  <c:v>22308.400000000001</c:v>
                </c:pt>
                <c:pt idx="405">
                  <c:v>22308.400000000001</c:v>
                </c:pt>
                <c:pt idx="406">
                  <c:v>22308.400000000001</c:v>
                </c:pt>
                <c:pt idx="407">
                  <c:v>22308.400000000001</c:v>
                </c:pt>
                <c:pt idx="408">
                  <c:v>22308.400000000001</c:v>
                </c:pt>
                <c:pt idx="409">
                  <c:v>22308.400000000001</c:v>
                </c:pt>
                <c:pt idx="410">
                  <c:v>22308.400000000001</c:v>
                </c:pt>
                <c:pt idx="411">
                  <c:v>22308.400000000001</c:v>
                </c:pt>
                <c:pt idx="412">
                  <c:v>22308.400000000001</c:v>
                </c:pt>
                <c:pt idx="413">
                  <c:v>22308.400000000001</c:v>
                </c:pt>
                <c:pt idx="414">
                  <c:v>22788.400000000001</c:v>
                </c:pt>
                <c:pt idx="415">
                  <c:v>22788.400000000001</c:v>
                </c:pt>
                <c:pt idx="416">
                  <c:v>22788.400000000001</c:v>
                </c:pt>
                <c:pt idx="417">
                  <c:v>22788.400000000001</c:v>
                </c:pt>
                <c:pt idx="418">
                  <c:v>22788.400000000001</c:v>
                </c:pt>
                <c:pt idx="419">
                  <c:v>22788.400000000001</c:v>
                </c:pt>
                <c:pt idx="420">
                  <c:v>22788.400000000001</c:v>
                </c:pt>
                <c:pt idx="421">
                  <c:v>22788.400000000001</c:v>
                </c:pt>
                <c:pt idx="422">
                  <c:v>23268.400000000001</c:v>
                </c:pt>
                <c:pt idx="423">
                  <c:v>23268.400000000001</c:v>
                </c:pt>
                <c:pt idx="424">
                  <c:v>23268.400000000001</c:v>
                </c:pt>
                <c:pt idx="425">
                  <c:v>23268.400000000001</c:v>
                </c:pt>
                <c:pt idx="426">
                  <c:v>23268.400000000001</c:v>
                </c:pt>
                <c:pt idx="427">
                  <c:v>22948.400000000001</c:v>
                </c:pt>
                <c:pt idx="428">
                  <c:v>22948.400000000001</c:v>
                </c:pt>
                <c:pt idx="429">
                  <c:v>22948.400000000001</c:v>
                </c:pt>
                <c:pt idx="430">
                  <c:v>22948.400000000001</c:v>
                </c:pt>
                <c:pt idx="431">
                  <c:v>22948.400000000001</c:v>
                </c:pt>
                <c:pt idx="432">
                  <c:v>22948.400000000001</c:v>
                </c:pt>
                <c:pt idx="433">
                  <c:v>22948.400000000001</c:v>
                </c:pt>
                <c:pt idx="434">
                  <c:v>22948.400000000001</c:v>
                </c:pt>
                <c:pt idx="435">
                  <c:v>22948.400000000001</c:v>
                </c:pt>
                <c:pt idx="436">
                  <c:v>22948.400000000001</c:v>
                </c:pt>
                <c:pt idx="437">
                  <c:v>22948.400000000001</c:v>
                </c:pt>
                <c:pt idx="438">
                  <c:v>22948.400000000001</c:v>
                </c:pt>
                <c:pt idx="439">
                  <c:v>22948.400000000001</c:v>
                </c:pt>
                <c:pt idx="440">
                  <c:v>22948.400000000001</c:v>
                </c:pt>
                <c:pt idx="441">
                  <c:v>22948.400000000001</c:v>
                </c:pt>
                <c:pt idx="442">
                  <c:v>23748.400000000001</c:v>
                </c:pt>
                <c:pt idx="443">
                  <c:v>23748.400000000001</c:v>
                </c:pt>
                <c:pt idx="444">
                  <c:v>23748.400000000001</c:v>
                </c:pt>
                <c:pt idx="445">
                  <c:v>23748.400000000001</c:v>
                </c:pt>
                <c:pt idx="446">
                  <c:v>23748.400000000001</c:v>
                </c:pt>
                <c:pt idx="447">
                  <c:v>23748.400000000001</c:v>
                </c:pt>
                <c:pt idx="448">
                  <c:v>23748.400000000001</c:v>
                </c:pt>
                <c:pt idx="449">
                  <c:v>23748.400000000001</c:v>
                </c:pt>
                <c:pt idx="450">
                  <c:v>23748.400000000001</c:v>
                </c:pt>
                <c:pt idx="451">
                  <c:v>23748.400000000001</c:v>
                </c:pt>
                <c:pt idx="452">
                  <c:v>23748.400000000001</c:v>
                </c:pt>
                <c:pt idx="453">
                  <c:v>23748.400000000001</c:v>
                </c:pt>
                <c:pt idx="454">
                  <c:v>23748.400000000001</c:v>
                </c:pt>
                <c:pt idx="455">
                  <c:v>23748.400000000001</c:v>
                </c:pt>
                <c:pt idx="456">
                  <c:v>23748.400000000001</c:v>
                </c:pt>
                <c:pt idx="457">
                  <c:v>23748.400000000001</c:v>
                </c:pt>
                <c:pt idx="458">
                  <c:v>23748.400000000001</c:v>
                </c:pt>
                <c:pt idx="459">
                  <c:v>23748.400000000001</c:v>
                </c:pt>
                <c:pt idx="460">
                  <c:v>23748.400000000001</c:v>
                </c:pt>
                <c:pt idx="461">
                  <c:v>23748.400000000001</c:v>
                </c:pt>
                <c:pt idx="462">
                  <c:v>23748.400000000001</c:v>
                </c:pt>
                <c:pt idx="463">
                  <c:v>23748.400000000001</c:v>
                </c:pt>
                <c:pt idx="464">
                  <c:v>23748.400000000001</c:v>
                </c:pt>
                <c:pt idx="465">
                  <c:v>23748.400000000001</c:v>
                </c:pt>
                <c:pt idx="466">
                  <c:v>23748.400000000001</c:v>
                </c:pt>
                <c:pt idx="467">
                  <c:v>23748.400000000001</c:v>
                </c:pt>
                <c:pt idx="468">
                  <c:v>23748.400000000001</c:v>
                </c:pt>
                <c:pt idx="469">
                  <c:v>23748.400000000001</c:v>
                </c:pt>
                <c:pt idx="470">
                  <c:v>23748.400000000001</c:v>
                </c:pt>
                <c:pt idx="471">
                  <c:v>23748.400000000001</c:v>
                </c:pt>
                <c:pt idx="472">
                  <c:v>23748.400000000001</c:v>
                </c:pt>
                <c:pt idx="473">
                  <c:v>23748.400000000001</c:v>
                </c:pt>
                <c:pt idx="474">
                  <c:v>23748.400000000001</c:v>
                </c:pt>
                <c:pt idx="475">
                  <c:v>23748.400000000001</c:v>
                </c:pt>
                <c:pt idx="476">
                  <c:v>23748.400000000001</c:v>
                </c:pt>
                <c:pt idx="477">
                  <c:v>23748.400000000001</c:v>
                </c:pt>
                <c:pt idx="478">
                  <c:v>23748.400000000001</c:v>
                </c:pt>
                <c:pt idx="479">
                  <c:v>23748.400000000001</c:v>
                </c:pt>
                <c:pt idx="480">
                  <c:v>23748.400000000001</c:v>
                </c:pt>
                <c:pt idx="481">
                  <c:v>23748.400000000001</c:v>
                </c:pt>
                <c:pt idx="482">
                  <c:v>21348.400000000001</c:v>
                </c:pt>
                <c:pt idx="483">
                  <c:v>18548.400000000001</c:v>
                </c:pt>
                <c:pt idx="484">
                  <c:v>15348.400000000001</c:v>
                </c:pt>
                <c:pt idx="485">
                  <c:v>15348.400000000001</c:v>
                </c:pt>
                <c:pt idx="486">
                  <c:v>15348.400000000001</c:v>
                </c:pt>
                <c:pt idx="487">
                  <c:v>15348.400000000001</c:v>
                </c:pt>
                <c:pt idx="488">
                  <c:v>15348.400000000001</c:v>
                </c:pt>
                <c:pt idx="489">
                  <c:v>15348.400000000001</c:v>
                </c:pt>
                <c:pt idx="490">
                  <c:v>15348.400000000001</c:v>
                </c:pt>
                <c:pt idx="491">
                  <c:v>15348.400000000001</c:v>
                </c:pt>
                <c:pt idx="492">
                  <c:v>15348.400000000001</c:v>
                </c:pt>
                <c:pt idx="493">
                  <c:v>15348.400000000001</c:v>
                </c:pt>
                <c:pt idx="494">
                  <c:v>15348.400000000001</c:v>
                </c:pt>
                <c:pt idx="495">
                  <c:v>15348.400000000001</c:v>
                </c:pt>
                <c:pt idx="496">
                  <c:v>15348.400000000001</c:v>
                </c:pt>
                <c:pt idx="497">
                  <c:v>15348.400000000001</c:v>
                </c:pt>
                <c:pt idx="498">
                  <c:v>17627.257142857143</c:v>
                </c:pt>
                <c:pt idx="499">
                  <c:v>18827.257142857143</c:v>
                </c:pt>
                <c:pt idx="500">
                  <c:v>18827.257142857143</c:v>
                </c:pt>
                <c:pt idx="501">
                  <c:v>18827.257142857143</c:v>
                </c:pt>
                <c:pt idx="502">
                  <c:v>18827.257142857143</c:v>
                </c:pt>
                <c:pt idx="503">
                  <c:v>18827.257142857143</c:v>
                </c:pt>
                <c:pt idx="504">
                  <c:v>18827.257142857143</c:v>
                </c:pt>
                <c:pt idx="505">
                  <c:v>18827.257142857143</c:v>
                </c:pt>
                <c:pt idx="506">
                  <c:v>20795.257142857143</c:v>
                </c:pt>
                <c:pt idx="507">
                  <c:v>20795.257142857143</c:v>
                </c:pt>
                <c:pt idx="508">
                  <c:v>20795.257142857143</c:v>
                </c:pt>
                <c:pt idx="509">
                  <c:v>20795.257142857143</c:v>
                </c:pt>
                <c:pt idx="510">
                  <c:v>20795.257142857143</c:v>
                </c:pt>
                <c:pt idx="511">
                  <c:v>20795.257142857143</c:v>
                </c:pt>
                <c:pt idx="512">
                  <c:v>20795.257142857143</c:v>
                </c:pt>
                <c:pt idx="513">
                  <c:v>20795.257142857143</c:v>
                </c:pt>
                <c:pt idx="514">
                  <c:v>20795.257142857143</c:v>
                </c:pt>
                <c:pt idx="515">
                  <c:v>20795.257142857143</c:v>
                </c:pt>
                <c:pt idx="516">
                  <c:v>20795.257142857143</c:v>
                </c:pt>
                <c:pt idx="517">
                  <c:v>20795.257142857143</c:v>
                </c:pt>
                <c:pt idx="518">
                  <c:v>20795.257142857143</c:v>
                </c:pt>
                <c:pt idx="519">
                  <c:v>20795.257142857143</c:v>
                </c:pt>
                <c:pt idx="520">
                  <c:v>25718.457142857143</c:v>
                </c:pt>
                <c:pt idx="521">
                  <c:v>25718.457142857143</c:v>
                </c:pt>
                <c:pt idx="522">
                  <c:v>25718.457142857143</c:v>
                </c:pt>
                <c:pt idx="523">
                  <c:v>25718.457142857143</c:v>
                </c:pt>
                <c:pt idx="524">
                  <c:v>25718.457142857143</c:v>
                </c:pt>
                <c:pt idx="525">
                  <c:v>25718.457142857143</c:v>
                </c:pt>
                <c:pt idx="526">
                  <c:v>25718.457142857143</c:v>
                </c:pt>
                <c:pt idx="527">
                  <c:v>25718.457142857143</c:v>
                </c:pt>
                <c:pt idx="528">
                  <c:v>25718.457142857143</c:v>
                </c:pt>
                <c:pt idx="529">
                  <c:v>25718.457142857143</c:v>
                </c:pt>
                <c:pt idx="530">
                  <c:v>25718.457142857143</c:v>
                </c:pt>
                <c:pt idx="531">
                  <c:v>25718.457142857143</c:v>
                </c:pt>
                <c:pt idx="532">
                  <c:v>25718.457142857143</c:v>
                </c:pt>
                <c:pt idx="533">
                  <c:v>25718.457142857143</c:v>
                </c:pt>
                <c:pt idx="534">
                  <c:v>25718.457142857143</c:v>
                </c:pt>
                <c:pt idx="535">
                  <c:v>25718.457142857143</c:v>
                </c:pt>
                <c:pt idx="536">
                  <c:v>25718.457142857143</c:v>
                </c:pt>
                <c:pt idx="537">
                  <c:v>25718.457142857143</c:v>
                </c:pt>
                <c:pt idx="538">
                  <c:v>25718.457142857143</c:v>
                </c:pt>
                <c:pt idx="539">
                  <c:v>25718.457142857143</c:v>
                </c:pt>
                <c:pt idx="540">
                  <c:v>25718.457142857143</c:v>
                </c:pt>
                <c:pt idx="541">
                  <c:v>25718.457142857143</c:v>
                </c:pt>
                <c:pt idx="542">
                  <c:v>25718.457142857143</c:v>
                </c:pt>
                <c:pt idx="543">
                  <c:v>25718.457142857143</c:v>
                </c:pt>
                <c:pt idx="544">
                  <c:v>25718.457142857143</c:v>
                </c:pt>
                <c:pt idx="545">
                  <c:v>25718.457142857143</c:v>
                </c:pt>
                <c:pt idx="546">
                  <c:v>25718.457142857143</c:v>
                </c:pt>
                <c:pt idx="547">
                  <c:v>25718.457142857143</c:v>
                </c:pt>
                <c:pt idx="548">
                  <c:v>25718.457142857143</c:v>
                </c:pt>
                <c:pt idx="549">
                  <c:v>25718.457142857143</c:v>
                </c:pt>
                <c:pt idx="550">
                  <c:v>25718.457142857143</c:v>
                </c:pt>
                <c:pt idx="551">
                  <c:v>25718.457142857143</c:v>
                </c:pt>
                <c:pt idx="552">
                  <c:v>25718.457142857143</c:v>
                </c:pt>
                <c:pt idx="553">
                  <c:v>25718.457142857143</c:v>
                </c:pt>
                <c:pt idx="554">
                  <c:v>25718.457142857143</c:v>
                </c:pt>
                <c:pt idx="555">
                  <c:v>27302.758121878131</c:v>
                </c:pt>
                <c:pt idx="556">
                  <c:v>25718.457142857143</c:v>
                </c:pt>
                <c:pt idx="557">
                  <c:v>25718.457142857143</c:v>
                </c:pt>
                <c:pt idx="558">
                  <c:v>25718.457142857143</c:v>
                </c:pt>
                <c:pt idx="559">
                  <c:v>25718.457142857143</c:v>
                </c:pt>
                <c:pt idx="560">
                  <c:v>25718.457142857143</c:v>
                </c:pt>
                <c:pt idx="561">
                  <c:v>23922.093506493507</c:v>
                </c:pt>
                <c:pt idx="562">
                  <c:v>23922.093506493507</c:v>
                </c:pt>
                <c:pt idx="563">
                  <c:v>23922.093506493507</c:v>
                </c:pt>
                <c:pt idx="564">
                  <c:v>24562.093506493511</c:v>
                </c:pt>
                <c:pt idx="565">
                  <c:v>24562.093506493511</c:v>
                </c:pt>
                <c:pt idx="566">
                  <c:v>24562.093506493511</c:v>
                </c:pt>
                <c:pt idx="567">
                  <c:v>25202.093506493511</c:v>
                </c:pt>
                <c:pt idx="568">
                  <c:v>28758.758121878131</c:v>
                </c:pt>
                <c:pt idx="569">
                  <c:v>27602.093506493511</c:v>
                </c:pt>
                <c:pt idx="570">
                  <c:v>28242.093506493511</c:v>
                </c:pt>
                <c:pt idx="571">
                  <c:v>28758.758121878131</c:v>
                </c:pt>
                <c:pt idx="572">
                  <c:v>28242.093506493511</c:v>
                </c:pt>
                <c:pt idx="573">
                  <c:v>28242.093506493511</c:v>
                </c:pt>
                <c:pt idx="574">
                  <c:v>28242.093506493511</c:v>
                </c:pt>
                <c:pt idx="575">
                  <c:v>28758.758121878131</c:v>
                </c:pt>
                <c:pt idx="576">
                  <c:v>27302.758121878131</c:v>
                </c:pt>
                <c:pt idx="577">
                  <c:v>28242.093506493511</c:v>
                </c:pt>
                <c:pt idx="578">
                  <c:v>28242.093506493511</c:v>
                </c:pt>
                <c:pt idx="579">
                  <c:v>28242.093506493511</c:v>
                </c:pt>
                <c:pt idx="580">
                  <c:v>28242.093506493511</c:v>
                </c:pt>
                <c:pt idx="581">
                  <c:v>28242.093506493511</c:v>
                </c:pt>
                <c:pt idx="582">
                  <c:v>28242.093506493511</c:v>
                </c:pt>
                <c:pt idx="583">
                  <c:v>28242.093506493511</c:v>
                </c:pt>
                <c:pt idx="584">
                  <c:v>28242.093506493511</c:v>
                </c:pt>
                <c:pt idx="585">
                  <c:v>28242.093506493511</c:v>
                </c:pt>
                <c:pt idx="586">
                  <c:v>28242.093506493511</c:v>
                </c:pt>
                <c:pt idx="587">
                  <c:v>28242.093506493511</c:v>
                </c:pt>
                <c:pt idx="588">
                  <c:v>28242.093506493511</c:v>
                </c:pt>
                <c:pt idx="589">
                  <c:v>28242.093506493511</c:v>
                </c:pt>
                <c:pt idx="590">
                  <c:v>28242.093506493511</c:v>
                </c:pt>
                <c:pt idx="591">
                  <c:v>28242.093506493511</c:v>
                </c:pt>
                <c:pt idx="592">
                  <c:v>28242.093506493511</c:v>
                </c:pt>
                <c:pt idx="593">
                  <c:v>28242.093506493511</c:v>
                </c:pt>
                <c:pt idx="594">
                  <c:v>28242.093506493511</c:v>
                </c:pt>
                <c:pt idx="595">
                  <c:v>28242.093506493511</c:v>
                </c:pt>
                <c:pt idx="596">
                  <c:v>28242.093506493511</c:v>
                </c:pt>
                <c:pt idx="597">
                  <c:v>28242.093506493511</c:v>
                </c:pt>
                <c:pt idx="598">
                  <c:v>28242.093506493511</c:v>
                </c:pt>
                <c:pt idx="599">
                  <c:v>28242.093506493511</c:v>
                </c:pt>
                <c:pt idx="600">
                  <c:v>28242.093506493511</c:v>
                </c:pt>
                <c:pt idx="601">
                  <c:v>28242.093506493511</c:v>
                </c:pt>
                <c:pt idx="602">
                  <c:v>28242.093506493511</c:v>
                </c:pt>
                <c:pt idx="603">
                  <c:v>28242.093506493511</c:v>
                </c:pt>
                <c:pt idx="604">
                  <c:v>28242.093506493511</c:v>
                </c:pt>
                <c:pt idx="605">
                  <c:v>28242.093506493511</c:v>
                </c:pt>
                <c:pt idx="606">
                  <c:v>28242.093506493511</c:v>
                </c:pt>
                <c:pt idx="607">
                  <c:v>28242.093506493511</c:v>
                </c:pt>
                <c:pt idx="608">
                  <c:v>28242.093506493511</c:v>
                </c:pt>
                <c:pt idx="609">
                  <c:v>28242.093506493511</c:v>
                </c:pt>
                <c:pt idx="610">
                  <c:v>28242.093506493511</c:v>
                </c:pt>
                <c:pt idx="611">
                  <c:v>28242.093506493511</c:v>
                </c:pt>
                <c:pt idx="612">
                  <c:v>28242.093506493511</c:v>
                </c:pt>
                <c:pt idx="613">
                  <c:v>28242.093506493511</c:v>
                </c:pt>
                <c:pt idx="614">
                  <c:v>28242.093506493511</c:v>
                </c:pt>
                <c:pt idx="615">
                  <c:v>28242.093506493511</c:v>
                </c:pt>
                <c:pt idx="616">
                  <c:v>28242.093506493511</c:v>
                </c:pt>
                <c:pt idx="617">
                  <c:v>28242.093506493511</c:v>
                </c:pt>
                <c:pt idx="618">
                  <c:v>28242.093506493511</c:v>
                </c:pt>
                <c:pt idx="619">
                  <c:v>28242.093506493511</c:v>
                </c:pt>
                <c:pt idx="620">
                  <c:v>28758.758121878131</c:v>
                </c:pt>
                <c:pt idx="621">
                  <c:v>28242.093506493511</c:v>
                </c:pt>
                <c:pt idx="622">
                  <c:v>28242.093506493511</c:v>
                </c:pt>
                <c:pt idx="623">
                  <c:v>28242.093506493511</c:v>
                </c:pt>
                <c:pt idx="624">
                  <c:v>28242.093506493511</c:v>
                </c:pt>
                <c:pt idx="625">
                  <c:v>28242.093506493511</c:v>
                </c:pt>
                <c:pt idx="626">
                  <c:v>28242.093506493511</c:v>
                </c:pt>
                <c:pt idx="627">
                  <c:v>28758.758121878131</c:v>
                </c:pt>
                <c:pt idx="628">
                  <c:v>30642.093506493511</c:v>
                </c:pt>
                <c:pt idx="629">
                  <c:v>30642.093506493511</c:v>
                </c:pt>
                <c:pt idx="630">
                  <c:v>30642.093506493511</c:v>
                </c:pt>
                <c:pt idx="631">
                  <c:v>30642.093506493511</c:v>
                </c:pt>
                <c:pt idx="632">
                  <c:v>30642.093506493511</c:v>
                </c:pt>
                <c:pt idx="633">
                  <c:v>30642.093506493511</c:v>
                </c:pt>
                <c:pt idx="634">
                  <c:v>30642.093506493511</c:v>
                </c:pt>
                <c:pt idx="635">
                  <c:v>30642.093506493511</c:v>
                </c:pt>
                <c:pt idx="636">
                  <c:v>30642.093506493511</c:v>
                </c:pt>
                <c:pt idx="637">
                  <c:v>30642.093506493511</c:v>
                </c:pt>
                <c:pt idx="638">
                  <c:v>30642.093506493511</c:v>
                </c:pt>
                <c:pt idx="639">
                  <c:v>28758.758121878131</c:v>
                </c:pt>
                <c:pt idx="640">
                  <c:v>30427.69350649351</c:v>
                </c:pt>
                <c:pt idx="641">
                  <c:v>30427.69350649351</c:v>
                </c:pt>
                <c:pt idx="642">
                  <c:v>28758.758121878131</c:v>
                </c:pt>
                <c:pt idx="643">
                  <c:v>30427.69350649351</c:v>
                </c:pt>
                <c:pt idx="644">
                  <c:v>30427.69350649351</c:v>
                </c:pt>
                <c:pt idx="645">
                  <c:v>32973.293506493508</c:v>
                </c:pt>
                <c:pt idx="646">
                  <c:v>30427.69350649351</c:v>
                </c:pt>
                <c:pt idx="647">
                  <c:v>32973.293506493508</c:v>
                </c:pt>
                <c:pt idx="648">
                  <c:v>30835.69350649351</c:v>
                </c:pt>
                <c:pt idx="649">
                  <c:v>30835.69350649351</c:v>
                </c:pt>
                <c:pt idx="650">
                  <c:v>30835.69350649351</c:v>
                </c:pt>
                <c:pt idx="651">
                  <c:v>30835.69350649351</c:v>
                </c:pt>
                <c:pt idx="652">
                  <c:v>30835.69350649351</c:v>
                </c:pt>
                <c:pt idx="653">
                  <c:v>30835.69350649351</c:v>
                </c:pt>
                <c:pt idx="654">
                  <c:v>30835.69350649351</c:v>
                </c:pt>
                <c:pt idx="655">
                  <c:v>30835.69350649351</c:v>
                </c:pt>
                <c:pt idx="656">
                  <c:v>30835.69350649351</c:v>
                </c:pt>
                <c:pt idx="657">
                  <c:v>30835.69350649351</c:v>
                </c:pt>
                <c:pt idx="658">
                  <c:v>30835.69350649351</c:v>
                </c:pt>
                <c:pt idx="659">
                  <c:v>30835.69350649351</c:v>
                </c:pt>
                <c:pt idx="660">
                  <c:v>30835.69350649351</c:v>
                </c:pt>
                <c:pt idx="661">
                  <c:v>30835.69350649351</c:v>
                </c:pt>
                <c:pt idx="662">
                  <c:v>30835.69350649351</c:v>
                </c:pt>
                <c:pt idx="663">
                  <c:v>30835.69350649351</c:v>
                </c:pt>
                <c:pt idx="664">
                  <c:v>30835.69350649351</c:v>
                </c:pt>
                <c:pt idx="665">
                  <c:v>30835.69350649351</c:v>
                </c:pt>
                <c:pt idx="666">
                  <c:v>32973.293506493508</c:v>
                </c:pt>
                <c:pt idx="667">
                  <c:v>25475.69350649351</c:v>
                </c:pt>
                <c:pt idx="668">
                  <c:v>25475.69350649351</c:v>
                </c:pt>
                <c:pt idx="669">
                  <c:v>25475.69350649351</c:v>
                </c:pt>
                <c:pt idx="670">
                  <c:v>29133.293506493508</c:v>
                </c:pt>
                <c:pt idx="671">
                  <c:v>24621.293506493508</c:v>
                </c:pt>
                <c:pt idx="672">
                  <c:v>24621.293506493508</c:v>
                </c:pt>
                <c:pt idx="673">
                  <c:v>25293.293506493508</c:v>
                </c:pt>
                <c:pt idx="674">
                  <c:v>29133.293506493508</c:v>
                </c:pt>
                <c:pt idx="675">
                  <c:v>25293.293506493508</c:v>
                </c:pt>
                <c:pt idx="676">
                  <c:v>25293.293506493508</c:v>
                </c:pt>
                <c:pt idx="677">
                  <c:v>25293.293506493508</c:v>
                </c:pt>
                <c:pt idx="678">
                  <c:v>25293.293506493508</c:v>
                </c:pt>
                <c:pt idx="679">
                  <c:v>25293.293506493508</c:v>
                </c:pt>
                <c:pt idx="680">
                  <c:v>25293.293506493508</c:v>
                </c:pt>
                <c:pt idx="681">
                  <c:v>25293.293506493508</c:v>
                </c:pt>
                <c:pt idx="682">
                  <c:v>25293.293506493508</c:v>
                </c:pt>
                <c:pt idx="683">
                  <c:v>27533.293506493508</c:v>
                </c:pt>
                <c:pt idx="684">
                  <c:v>25293.293506493508</c:v>
                </c:pt>
                <c:pt idx="685">
                  <c:v>25293.293506493508</c:v>
                </c:pt>
                <c:pt idx="686">
                  <c:v>25293.293506493508</c:v>
                </c:pt>
                <c:pt idx="687">
                  <c:v>25293.293506493508</c:v>
                </c:pt>
                <c:pt idx="688">
                  <c:v>25293.293506493508</c:v>
                </c:pt>
                <c:pt idx="689">
                  <c:v>25293.293506493508</c:v>
                </c:pt>
                <c:pt idx="690">
                  <c:v>25293.293506493508</c:v>
                </c:pt>
                <c:pt idx="691">
                  <c:v>25293.293506493508</c:v>
                </c:pt>
                <c:pt idx="692">
                  <c:v>25293.293506493508</c:v>
                </c:pt>
                <c:pt idx="693">
                  <c:v>25293.293506493508</c:v>
                </c:pt>
                <c:pt idx="694">
                  <c:v>25293.293506493508</c:v>
                </c:pt>
                <c:pt idx="695">
                  <c:v>25293.293506493508</c:v>
                </c:pt>
                <c:pt idx="696">
                  <c:v>27533.293506493508</c:v>
                </c:pt>
                <c:pt idx="697">
                  <c:v>27533.293506493508</c:v>
                </c:pt>
                <c:pt idx="698">
                  <c:v>27533.293506493508</c:v>
                </c:pt>
                <c:pt idx="699">
                  <c:v>27533.293506493508</c:v>
                </c:pt>
                <c:pt idx="700">
                  <c:v>27533.293506493508</c:v>
                </c:pt>
                <c:pt idx="701">
                  <c:v>29133.293506493508</c:v>
                </c:pt>
                <c:pt idx="702">
                  <c:v>32973.293506493508</c:v>
                </c:pt>
                <c:pt idx="703">
                  <c:v>29133.293506493508</c:v>
                </c:pt>
                <c:pt idx="704">
                  <c:v>29133.293506493508</c:v>
                </c:pt>
                <c:pt idx="705">
                  <c:v>29133.293506493508</c:v>
                </c:pt>
                <c:pt idx="706">
                  <c:v>29133.293506493508</c:v>
                </c:pt>
                <c:pt idx="707">
                  <c:v>29133.293506493508</c:v>
                </c:pt>
                <c:pt idx="708">
                  <c:v>29133.293506493508</c:v>
                </c:pt>
                <c:pt idx="709">
                  <c:v>29133.293506493508</c:v>
                </c:pt>
                <c:pt idx="710">
                  <c:v>29133.293506493508</c:v>
                </c:pt>
                <c:pt idx="711">
                  <c:v>32973.293506493508</c:v>
                </c:pt>
                <c:pt idx="712">
                  <c:v>29133.293506493508</c:v>
                </c:pt>
                <c:pt idx="713">
                  <c:v>29133.293506493508</c:v>
                </c:pt>
                <c:pt idx="714">
                  <c:v>32973.293506493508</c:v>
                </c:pt>
                <c:pt idx="715">
                  <c:v>32973.293506493508</c:v>
                </c:pt>
                <c:pt idx="716">
                  <c:v>29133.293506493508</c:v>
                </c:pt>
                <c:pt idx="717">
                  <c:v>29133.293506493508</c:v>
                </c:pt>
                <c:pt idx="718">
                  <c:v>32973.293506493508</c:v>
                </c:pt>
                <c:pt idx="719">
                  <c:v>29133.293506493508</c:v>
                </c:pt>
                <c:pt idx="720">
                  <c:v>29133.293506493508</c:v>
                </c:pt>
                <c:pt idx="721">
                  <c:v>32733.293506493508</c:v>
                </c:pt>
                <c:pt idx="722">
                  <c:v>32973.293506493508</c:v>
                </c:pt>
                <c:pt idx="723">
                  <c:v>32973.293506493508</c:v>
                </c:pt>
                <c:pt idx="724">
                  <c:v>32973.293506493508</c:v>
                </c:pt>
                <c:pt idx="725">
                  <c:v>32973.293506493508</c:v>
                </c:pt>
                <c:pt idx="726">
                  <c:v>32973.293506493508</c:v>
                </c:pt>
                <c:pt idx="727">
                  <c:v>32973.293506493508</c:v>
                </c:pt>
                <c:pt idx="728">
                  <c:v>32973.293506493508</c:v>
                </c:pt>
                <c:pt idx="729">
                  <c:v>32973.293506493508</c:v>
                </c:pt>
                <c:pt idx="730">
                  <c:v>32973.293506493508</c:v>
                </c:pt>
                <c:pt idx="731">
                  <c:v>28758.758121878131</c:v>
                </c:pt>
                <c:pt idx="732">
                  <c:v>29235.078121878127</c:v>
                </c:pt>
                <c:pt idx="733">
                  <c:v>32973.293506493508</c:v>
                </c:pt>
                <c:pt idx="734">
                  <c:v>32973.293506493508</c:v>
                </c:pt>
                <c:pt idx="735">
                  <c:v>32973.293506493508</c:v>
                </c:pt>
                <c:pt idx="736">
                  <c:v>32973.293506493508</c:v>
                </c:pt>
                <c:pt idx="737">
                  <c:v>32973.293506493508</c:v>
                </c:pt>
                <c:pt idx="738">
                  <c:v>29235.078121878127</c:v>
                </c:pt>
                <c:pt idx="739">
                  <c:v>32973.293506493508</c:v>
                </c:pt>
                <c:pt idx="740">
                  <c:v>32973.293506493508</c:v>
                </c:pt>
                <c:pt idx="741">
                  <c:v>32973.293506493508</c:v>
                </c:pt>
                <c:pt idx="742">
                  <c:v>32973.293506493508</c:v>
                </c:pt>
                <c:pt idx="743">
                  <c:v>32973.293506493508</c:v>
                </c:pt>
                <c:pt idx="744">
                  <c:v>32973.293506493508</c:v>
                </c:pt>
                <c:pt idx="745">
                  <c:v>32973.293506493508</c:v>
                </c:pt>
                <c:pt idx="746">
                  <c:v>32973.293506493508</c:v>
                </c:pt>
                <c:pt idx="747">
                  <c:v>32973.293506493508</c:v>
                </c:pt>
                <c:pt idx="748">
                  <c:v>32973.293506493508</c:v>
                </c:pt>
                <c:pt idx="749">
                  <c:v>32973.293506493508</c:v>
                </c:pt>
                <c:pt idx="750">
                  <c:v>32973.293506493508</c:v>
                </c:pt>
                <c:pt idx="751">
                  <c:v>32973.293506493508</c:v>
                </c:pt>
                <c:pt idx="752">
                  <c:v>32973.293506493508</c:v>
                </c:pt>
                <c:pt idx="753">
                  <c:v>32973.293506493508</c:v>
                </c:pt>
                <c:pt idx="754">
                  <c:v>32973.293506493508</c:v>
                </c:pt>
                <c:pt idx="755">
                  <c:v>32973.293506493508</c:v>
                </c:pt>
                <c:pt idx="756">
                  <c:v>32973.293506493508</c:v>
                </c:pt>
                <c:pt idx="757">
                  <c:v>32973.293506493508</c:v>
                </c:pt>
                <c:pt idx="758">
                  <c:v>32973.293506493508</c:v>
                </c:pt>
                <c:pt idx="759">
                  <c:v>32973.293506493508</c:v>
                </c:pt>
                <c:pt idx="760">
                  <c:v>32973.293506493508</c:v>
                </c:pt>
                <c:pt idx="761">
                  <c:v>32973.293506493508</c:v>
                </c:pt>
                <c:pt idx="762">
                  <c:v>36587.078121878127</c:v>
                </c:pt>
                <c:pt idx="763">
                  <c:v>32973.293506493508</c:v>
                </c:pt>
                <c:pt idx="764">
                  <c:v>32973.293506493508</c:v>
                </c:pt>
                <c:pt idx="765">
                  <c:v>32973.293506493508</c:v>
                </c:pt>
                <c:pt idx="766">
                  <c:v>34573.293506493508</c:v>
                </c:pt>
                <c:pt idx="767">
                  <c:v>34573.293506493508</c:v>
                </c:pt>
                <c:pt idx="768">
                  <c:v>34573.293506493508</c:v>
                </c:pt>
                <c:pt idx="769">
                  <c:v>34484.678121878125</c:v>
                </c:pt>
                <c:pt idx="770">
                  <c:v>34971.078121878127</c:v>
                </c:pt>
                <c:pt idx="771">
                  <c:v>34971.078121878127</c:v>
                </c:pt>
                <c:pt idx="772">
                  <c:v>34971.078121878127</c:v>
                </c:pt>
                <c:pt idx="773">
                  <c:v>34971.078121878127</c:v>
                </c:pt>
                <c:pt idx="774">
                  <c:v>36587.078121878127</c:v>
                </c:pt>
                <c:pt idx="775">
                  <c:v>36347.078121878127</c:v>
                </c:pt>
                <c:pt idx="776">
                  <c:v>36587.078121878127</c:v>
                </c:pt>
                <c:pt idx="777">
                  <c:v>36587.078121878127</c:v>
                </c:pt>
                <c:pt idx="778">
                  <c:v>36587.078121878127</c:v>
                </c:pt>
                <c:pt idx="779">
                  <c:v>36587.078121878127</c:v>
                </c:pt>
                <c:pt idx="780">
                  <c:v>36587.078121878127</c:v>
                </c:pt>
                <c:pt idx="781">
                  <c:v>36587.078121878127</c:v>
                </c:pt>
                <c:pt idx="782">
                  <c:v>36587.078121878127</c:v>
                </c:pt>
                <c:pt idx="783">
                  <c:v>36587.078121878127</c:v>
                </c:pt>
                <c:pt idx="784">
                  <c:v>36587.078121878127</c:v>
                </c:pt>
                <c:pt idx="785">
                  <c:v>36347.078121878127</c:v>
                </c:pt>
                <c:pt idx="786">
                  <c:v>36587.078121878127</c:v>
                </c:pt>
                <c:pt idx="787">
                  <c:v>36347.078121878127</c:v>
                </c:pt>
                <c:pt idx="788">
                  <c:v>36347.078121878127</c:v>
                </c:pt>
                <c:pt idx="789">
                  <c:v>36347.078121878127</c:v>
                </c:pt>
                <c:pt idx="790">
                  <c:v>36347.078121878127</c:v>
                </c:pt>
                <c:pt idx="791">
                  <c:v>36347.078121878127</c:v>
                </c:pt>
                <c:pt idx="792">
                  <c:v>36347.078121878127</c:v>
                </c:pt>
                <c:pt idx="793">
                  <c:v>36347.078121878127</c:v>
                </c:pt>
                <c:pt idx="794">
                  <c:v>36347.078121878127</c:v>
                </c:pt>
                <c:pt idx="795">
                  <c:v>37211.078121878127</c:v>
                </c:pt>
                <c:pt idx="796">
                  <c:v>36347.078121878127</c:v>
                </c:pt>
                <c:pt idx="797">
                  <c:v>36347.078121878127</c:v>
                </c:pt>
                <c:pt idx="798">
                  <c:v>37211.078121878127</c:v>
                </c:pt>
                <c:pt idx="799">
                  <c:v>36347.078121878127</c:v>
                </c:pt>
                <c:pt idx="800">
                  <c:v>36347.078121878127</c:v>
                </c:pt>
                <c:pt idx="801">
                  <c:v>37307.078121878127</c:v>
                </c:pt>
                <c:pt idx="802">
                  <c:v>37211.078121878127</c:v>
                </c:pt>
                <c:pt idx="803">
                  <c:v>37307.078121878127</c:v>
                </c:pt>
                <c:pt idx="804">
                  <c:v>37307.078121878127</c:v>
                </c:pt>
                <c:pt idx="805">
                  <c:v>37307.078121878127</c:v>
                </c:pt>
                <c:pt idx="806">
                  <c:v>37307.078121878127</c:v>
                </c:pt>
                <c:pt idx="807">
                  <c:v>37307.078121878127</c:v>
                </c:pt>
                <c:pt idx="808">
                  <c:v>37307.078121878127</c:v>
                </c:pt>
                <c:pt idx="809">
                  <c:v>37307.078121878127</c:v>
                </c:pt>
                <c:pt idx="810">
                  <c:v>37307.078121878127</c:v>
                </c:pt>
                <c:pt idx="811">
                  <c:v>37307.078121878127</c:v>
                </c:pt>
                <c:pt idx="812">
                  <c:v>37307.078121878127</c:v>
                </c:pt>
                <c:pt idx="813">
                  <c:v>37211.078121878127</c:v>
                </c:pt>
                <c:pt idx="814">
                  <c:v>29235.078121878127</c:v>
                </c:pt>
                <c:pt idx="815">
                  <c:v>37307.078121878127</c:v>
                </c:pt>
                <c:pt idx="816">
                  <c:v>37307.078121878127</c:v>
                </c:pt>
                <c:pt idx="817">
                  <c:v>37211.078121878127</c:v>
                </c:pt>
                <c:pt idx="818">
                  <c:v>37307.078121878127</c:v>
                </c:pt>
                <c:pt idx="819">
                  <c:v>37307.078121878127</c:v>
                </c:pt>
                <c:pt idx="820">
                  <c:v>37307.078121878127</c:v>
                </c:pt>
                <c:pt idx="821">
                  <c:v>37307.078121878127</c:v>
                </c:pt>
                <c:pt idx="822">
                  <c:v>37211.078121878127</c:v>
                </c:pt>
                <c:pt idx="823">
                  <c:v>29235.078121878127</c:v>
                </c:pt>
                <c:pt idx="824">
                  <c:v>37211.078121878127</c:v>
                </c:pt>
                <c:pt idx="825">
                  <c:v>37211.078121878127</c:v>
                </c:pt>
                <c:pt idx="826">
                  <c:v>37211.078121878127</c:v>
                </c:pt>
                <c:pt idx="827">
                  <c:v>29235.078121878127</c:v>
                </c:pt>
                <c:pt idx="828">
                  <c:v>29235.078121878127</c:v>
                </c:pt>
                <c:pt idx="829">
                  <c:v>37211.078121878127</c:v>
                </c:pt>
                <c:pt idx="830">
                  <c:v>37211.078121878127</c:v>
                </c:pt>
                <c:pt idx="831">
                  <c:v>36011.078121878127</c:v>
                </c:pt>
                <c:pt idx="832">
                  <c:v>30355.078121878127</c:v>
                </c:pt>
                <c:pt idx="833">
                  <c:v>30355.078121878127</c:v>
                </c:pt>
                <c:pt idx="834">
                  <c:v>29235.078121878127</c:v>
                </c:pt>
                <c:pt idx="835">
                  <c:v>29235.078121878127</c:v>
                </c:pt>
                <c:pt idx="836">
                  <c:v>30355.078121878127</c:v>
                </c:pt>
                <c:pt idx="837">
                  <c:v>29235.078121878127</c:v>
                </c:pt>
                <c:pt idx="838">
                  <c:v>29235.078121878127</c:v>
                </c:pt>
                <c:pt idx="839">
                  <c:v>30355.078121878127</c:v>
                </c:pt>
                <c:pt idx="840">
                  <c:v>30355.078121878127</c:v>
                </c:pt>
                <c:pt idx="841">
                  <c:v>30355.078121878127</c:v>
                </c:pt>
                <c:pt idx="842">
                  <c:v>30355.078121878127</c:v>
                </c:pt>
                <c:pt idx="843">
                  <c:v>30355.078121878127</c:v>
                </c:pt>
                <c:pt idx="844">
                  <c:v>30355.078121878127</c:v>
                </c:pt>
                <c:pt idx="845">
                  <c:v>30355.078121878127</c:v>
                </c:pt>
                <c:pt idx="846">
                  <c:v>29235.078121878127</c:v>
                </c:pt>
                <c:pt idx="847">
                  <c:v>30355.078121878127</c:v>
                </c:pt>
                <c:pt idx="848">
                  <c:v>30355.078121878127</c:v>
                </c:pt>
                <c:pt idx="849">
                  <c:v>30355.078121878127</c:v>
                </c:pt>
                <c:pt idx="850">
                  <c:v>29235.078121878127</c:v>
                </c:pt>
                <c:pt idx="851">
                  <c:v>30355.078121878127</c:v>
                </c:pt>
                <c:pt idx="852">
                  <c:v>30355.078121878127</c:v>
                </c:pt>
                <c:pt idx="853">
                  <c:v>30355.078121878127</c:v>
                </c:pt>
                <c:pt idx="854">
                  <c:v>30355.078121878127</c:v>
                </c:pt>
                <c:pt idx="855">
                  <c:v>30355.078121878127</c:v>
                </c:pt>
                <c:pt idx="856">
                  <c:v>30355.078121878127</c:v>
                </c:pt>
                <c:pt idx="857">
                  <c:v>30355.078121878127</c:v>
                </c:pt>
                <c:pt idx="858">
                  <c:v>30355.078121878127</c:v>
                </c:pt>
                <c:pt idx="859">
                  <c:v>30355.078121878127</c:v>
                </c:pt>
                <c:pt idx="860">
                  <c:v>30355.078121878127</c:v>
                </c:pt>
                <c:pt idx="861">
                  <c:v>30355.078121878127</c:v>
                </c:pt>
                <c:pt idx="862">
                  <c:v>29235.078121878127</c:v>
                </c:pt>
                <c:pt idx="863">
                  <c:v>29235.078121878127</c:v>
                </c:pt>
                <c:pt idx="864">
                  <c:v>30355.078121878127</c:v>
                </c:pt>
                <c:pt idx="865">
                  <c:v>30355.078121878127</c:v>
                </c:pt>
                <c:pt idx="866">
                  <c:v>30355.078121878127</c:v>
                </c:pt>
                <c:pt idx="867">
                  <c:v>29235.078121878127</c:v>
                </c:pt>
                <c:pt idx="868">
                  <c:v>29235.078121878127</c:v>
                </c:pt>
                <c:pt idx="869">
                  <c:v>29235.078121878127</c:v>
                </c:pt>
                <c:pt idx="870">
                  <c:v>29235.078121878127</c:v>
                </c:pt>
                <c:pt idx="871">
                  <c:v>29235.078121878127</c:v>
                </c:pt>
                <c:pt idx="872">
                  <c:v>29235.078121878127</c:v>
                </c:pt>
                <c:pt idx="873">
                  <c:v>29235.078121878127</c:v>
                </c:pt>
                <c:pt idx="874">
                  <c:v>29235.078121878127</c:v>
                </c:pt>
                <c:pt idx="875">
                  <c:v>29235.078121878127</c:v>
                </c:pt>
                <c:pt idx="876">
                  <c:v>29235.078121878127</c:v>
                </c:pt>
                <c:pt idx="877">
                  <c:v>29235.078121878127</c:v>
                </c:pt>
                <c:pt idx="878">
                  <c:v>29235.078121878127</c:v>
                </c:pt>
                <c:pt idx="879">
                  <c:v>29235.078121878127</c:v>
                </c:pt>
                <c:pt idx="880">
                  <c:v>29235.078121878127</c:v>
                </c:pt>
                <c:pt idx="881">
                  <c:v>29235.078121878127</c:v>
                </c:pt>
                <c:pt idx="882">
                  <c:v>29235.078121878127</c:v>
                </c:pt>
                <c:pt idx="883">
                  <c:v>29235.078121878127</c:v>
                </c:pt>
                <c:pt idx="884">
                  <c:v>29235.078121878127</c:v>
                </c:pt>
                <c:pt idx="885">
                  <c:v>29235.078121878127</c:v>
                </c:pt>
                <c:pt idx="886">
                  <c:v>29235.078121878127</c:v>
                </c:pt>
                <c:pt idx="887">
                  <c:v>29235.078121878127</c:v>
                </c:pt>
                <c:pt idx="888">
                  <c:v>-0.33068292040481395</c:v>
                </c:pt>
                <c:pt idx="889">
                  <c:v>29235.078121878127</c:v>
                </c:pt>
                <c:pt idx="890">
                  <c:v>29235.078121878127</c:v>
                </c:pt>
                <c:pt idx="891">
                  <c:v>29235.078121878127</c:v>
                </c:pt>
                <c:pt idx="892">
                  <c:v>29235.078121878127</c:v>
                </c:pt>
                <c:pt idx="893">
                  <c:v>29235.078121878127</c:v>
                </c:pt>
                <c:pt idx="894">
                  <c:v>29235.078121878127</c:v>
                </c:pt>
                <c:pt idx="895">
                  <c:v>29235.078121878127</c:v>
                </c:pt>
                <c:pt idx="896">
                  <c:v>29235.078121878127</c:v>
                </c:pt>
                <c:pt idx="897">
                  <c:v>29235.078121878127</c:v>
                </c:pt>
                <c:pt idx="898">
                  <c:v>29235.078121878127</c:v>
                </c:pt>
                <c:pt idx="899">
                  <c:v>29235.078121878127</c:v>
                </c:pt>
                <c:pt idx="900">
                  <c:v>29235.078121878127</c:v>
                </c:pt>
                <c:pt idx="901">
                  <c:v>29235.078121878127</c:v>
                </c:pt>
                <c:pt idx="902">
                  <c:v>29347.078121878127</c:v>
                </c:pt>
                <c:pt idx="903">
                  <c:v>29235.078121878127</c:v>
                </c:pt>
                <c:pt idx="904">
                  <c:v>29235.078121878127</c:v>
                </c:pt>
                <c:pt idx="905">
                  <c:v>29235.078121878127</c:v>
                </c:pt>
                <c:pt idx="906">
                  <c:v>29235.078121878127</c:v>
                </c:pt>
                <c:pt idx="907">
                  <c:v>29235.078121878127</c:v>
                </c:pt>
                <c:pt idx="908">
                  <c:v>29235.078121878127</c:v>
                </c:pt>
                <c:pt idx="909">
                  <c:v>29235.078121878127</c:v>
                </c:pt>
                <c:pt idx="910">
                  <c:v>29235.078121878127</c:v>
                </c:pt>
                <c:pt idx="911">
                  <c:v>29235.078121878127</c:v>
                </c:pt>
                <c:pt idx="912">
                  <c:v>29347.078121878127</c:v>
                </c:pt>
                <c:pt idx="913">
                  <c:v>29235.078121878127</c:v>
                </c:pt>
                <c:pt idx="914">
                  <c:v>29235.078121878127</c:v>
                </c:pt>
                <c:pt idx="915">
                  <c:v>29235.078121878127</c:v>
                </c:pt>
                <c:pt idx="916">
                  <c:v>29235.078121878127</c:v>
                </c:pt>
                <c:pt idx="917">
                  <c:v>29235.078121878127</c:v>
                </c:pt>
                <c:pt idx="918">
                  <c:v>29235.078121878127</c:v>
                </c:pt>
                <c:pt idx="919">
                  <c:v>29235.078121878127</c:v>
                </c:pt>
                <c:pt idx="920">
                  <c:v>29347.078121878127</c:v>
                </c:pt>
                <c:pt idx="921">
                  <c:v>29347.078121878127</c:v>
                </c:pt>
                <c:pt idx="922">
                  <c:v>29347.078121878127</c:v>
                </c:pt>
                <c:pt idx="923">
                  <c:v>29347.078121878127</c:v>
                </c:pt>
                <c:pt idx="924">
                  <c:v>29347.078121878127</c:v>
                </c:pt>
                <c:pt idx="925">
                  <c:v>29347.078121878127</c:v>
                </c:pt>
                <c:pt idx="926">
                  <c:v>29347.078121878127</c:v>
                </c:pt>
                <c:pt idx="927">
                  <c:v>29347.078121878127</c:v>
                </c:pt>
                <c:pt idx="928">
                  <c:v>29347.078121878127</c:v>
                </c:pt>
                <c:pt idx="929">
                  <c:v>29347.078121878127</c:v>
                </c:pt>
                <c:pt idx="930">
                  <c:v>28758.758121878131</c:v>
                </c:pt>
                <c:pt idx="931">
                  <c:v>29347.078121878127</c:v>
                </c:pt>
                <c:pt idx="932">
                  <c:v>29347.078121878127</c:v>
                </c:pt>
                <c:pt idx="933">
                  <c:v>29347.078121878127</c:v>
                </c:pt>
                <c:pt idx="934">
                  <c:v>29347.078121878127</c:v>
                </c:pt>
                <c:pt idx="935">
                  <c:v>29347.078121878127</c:v>
                </c:pt>
                <c:pt idx="936">
                  <c:v>29347.078121878127</c:v>
                </c:pt>
                <c:pt idx="937">
                  <c:v>29347.078121878127</c:v>
                </c:pt>
                <c:pt idx="938">
                  <c:v>29347.078121878127</c:v>
                </c:pt>
                <c:pt idx="939">
                  <c:v>28758.758121878131</c:v>
                </c:pt>
                <c:pt idx="940">
                  <c:v>29347.078121878127</c:v>
                </c:pt>
                <c:pt idx="941">
                  <c:v>29347.078121878127</c:v>
                </c:pt>
                <c:pt idx="942">
                  <c:v>29347.078121878127</c:v>
                </c:pt>
                <c:pt idx="943">
                  <c:v>28737.158121878128</c:v>
                </c:pt>
                <c:pt idx="944">
                  <c:v>28468.358121878129</c:v>
                </c:pt>
                <c:pt idx="945">
                  <c:v>28468.358121878129</c:v>
                </c:pt>
                <c:pt idx="946">
                  <c:v>29380.358121878129</c:v>
                </c:pt>
                <c:pt idx="947">
                  <c:v>29584.358121878129</c:v>
                </c:pt>
                <c:pt idx="948">
                  <c:v>29524.358121878129</c:v>
                </c:pt>
                <c:pt idx="949">
                  <c:v>29524.358121878129</c:v>
                </c:pt>
                <c:pt idx="950">
                  <c:v>29524.358121878129</c:v>
                </c:pt>
                <c:pt idx="951">
                  <c:v>29524.358121878129</c:v>
                </c:pt>
                <c:pt idx="952">
                  <c:v>29524.358121878129</c:v>
                </c:pt>
                <c:pt idx="953">
                  <c:v>29524.358121878129</c:v>
                </c:pt>
                <c:pt idx="954">
                  <c:v>29524.358121878129</c:v>
                </c:pt>
                <c:pt idx="955">
                  <c:v>29524.358121878129</c:v>
                </c:pt>
                <c:pt idx="956">
                  <c:v>29524.358121878129</c:v>
                </c:pt>
                <c:pt idx="957">
                  <c:v>29584.358121878129</c:v>
                </c:pt>
                <c:pt idx="958">
                  <c:v>29524.358121878129</c:v>
                </c:pt>
                <c:pt idx="959">
                  <c:v>29524.358121878129</c:v>
                </c:pt>
                <c:pt idx="960">
                  <c:v>29524.358121878129</c:v>
                </c:pt>
                <c:pt idx="961">
                  <c:v>29524.358121878129</c:v>
                </c:pt>
                <c:pt idx="962">
                  <c:v>29524.358121878129</c:v>
                </c:pt>
                <c:pt idx="963">
                  <c:v>29524.358121878129</c:v>
                </c:pt>
                <c:pt idx="964">
                  <c:v>29524.358121878129</c:v>
                </c:pt>
                <c:pt idx="965">
                  <c:v>29524.358121878129</c:v>
                </c:pt>
                <c:pt idx="966">
                  <c:v>29584.358121878129</c:v>
                </c:pt>
                <c:pt idx="967">
                  <c:v>28758.758121878131</c:v>
                </c:pt>
                <c:pt idx="968">
                  <c:v>29584.358121878129</c:v>
                </c:pt>
                <c:pt idx="969">
                  <c:v>29584.358121878129</c:v>
                </c:pt>
                <c:pt idx="970">
                  <c:v>29584.358121878129</c:v>
                </c:pt>
                <c:pt idx="971">
                  <c:v>29584.358121878129</c:v>
                </c:pt>
                <c:pt idx="972">
                  <c:v>29584.358121878129</c:v>
                </c:pt>
                <c:pt idx="973">
                  <c:v>29584.358121878129</c:v>
                </c:pt>
                <c:pt idx="974">
                  <c:v>29584.358121878129</c:v>
                </c:pt>
                <c:pt idx="975">
                  <c:v>28758.758121878131</c:v>
                </c:pt>
                <c:pt idx="976">
                  <c:v>28758.758121878131</c:v>
                </c:pt>
                <c:pt idx="977">
                  <c:v>28758.758121878131</c:v>
                </c:pt>
                <c:pt idx="978">
                  <c:v>28758.758121878131</c:v>
                </c:pt>
                <c:pt idx="979">
                  <c:v>28758.758121878131</c:v>
                </c:pt>
                <c:pt idx="980">
                  <c:v>28758.758121878131</c:v>
                </c:pt>
                <c:pt idx="981">
                  <c:v>28758.758121878131</c:v>
                </c:pt>
                <c:pt idx="982">
                  <c:v>28758.758121878131</c:v>
                </c:pt>
                <c:pt idx="983">
                  <c:v>28758.758121878131</c:v>
                </c:pt>
                <c:pt idx="984">
                  <c:v>28758.758121878131</c:v>
                </c:pt>
                <c:pt idx="985">
                  <c:v>28758.758121878131</c:v>
                </c:pt>
                <c:pt idx="986">
                  <c:v>28758.758121878131</c:v>
                </c:pt>
                <c:pt idx="987">
                  <c:v>28758.758121878131</c:v>
                </c:pt>
                <c:pt idx="988">
                  <c:v>28758.758121878131</c:v>
                </c:pt>
                <c:pt idx="989">
                  <c:v>-0.33068292040481395</c:v>
                </c:pt>
                <c:pt idx="990">
                  <c:v>27318.758121878131</c:v>
                </c:pt>
                <c:pt idx="991">
                  <c:v>27318.758121878131</c:v>
                </c:pt>
                <c:pt idx="992">
                  <c:v>27318.758121878131</c:v>
                </c:pt>
                <c:pt idx="993">
                  <c:v>27318.758121878131</c:v>
                </c:pt>
                <c:pt idx="994">
                  <c:v>27318.758121878131</c:v>
                </c:pt>
                <c:pt idx="995">
                  <c:v>27318.758121878131</c:v>
                </c:pt>
                <c:pt idx="996">
                  <c:v>27318.758121878131</c:v>
                </c:pt>
                <c:pt idx="997">
                  <c:v>27318.758121878131</c:v>
                </c:pt>
                <c:pt idx="998">
                  <c:v>27318.758121878131</c:v>
                </c:pt>
                <c:pt idx="999">
                  <c:v>27318.758121878131</c:v>
                </c:pt>
                <c:pt idx="1000">
                  <c:v>27318.758121878131</c:v>
                </c:pt>
                <c:pt idx="1001">
                  <c:v>27302.758121878131</c:v>
                </c:pt>
                <c:pt idx="1002">
                  <c:v>27302.758121878131</c:v>
                </c:pt>
                <c:pt idx="1003">
                  <c:v>27302.758121878131</c:v>
                </c:pt>
                <c:pt idx="1004">
                  <c:v>27110.758121878131</c:v>
                </c:pt>
                <c:pt idx="1005">
                  <c:v>27110.758121878131</c:v>
                </c:pt>
                <c:pt idx="1006">
                  <c:v>27110.758121878131</c:v>
                </c:pt>
                <c:pt idx="1007">
                  <c:v>27110.758121878131</c:v>
                </c:pt>
                <c:pt idx="1008">
                  <c:v>27110.758121878131</c:v>
                </c:pt>
                <c:pt idx="1009">
                  <c:v>27110.758121878131</c:v>
                </c:pt>
                <c:pt idx="1010">
                  <c:v>27110.758121878131</c:v>
                </c:pt>
                <c:pt idx="1011">
                  <c:v>27110.758121878131</c:v>
                </c:pt>
                <c:pt idx="1012">
                  <c:v>27110.758121878131</c:v>
                </c:pt>
                <c:pt idx="1013">
                  <c:v>27110.758121878131</c:v>
                </c:pt>
                <c:pt idx="1014">
                  <c:v>27110.758121878131</c:v>
                </c:pt>
                <c:pt idx="1015">
                  <c:v>27110.758121878131</c:v>
                </c:pt>
                <c:pt idx="1016">
                  <c:v>27110.758121878131</c:v>
                </c:pt>
                <c:pt idx="1017">
                  <c:v>27110.758121878131</c:v>
                </c:pt>
                <c:pt idx="1018">
                  <c:v>27110.758121878131</c:v>
                </c:pt>
                <c:pt idx="1019">
                  <c:v>27110.758121878131</c:v>
                </c:pt>
                <c:pt idx="1020">
                  <c:v>27110.758121878131</c:v>
                </c:pt>
                <c:pt idx="1021">
                  <c:v>27110.758121878131</c:v>
                </c:pt>
                <c:pt idx="1022">
                  <c:v>27110.758121878131</c:v>
                </c:pt>
                <c:pt idx="1023">
                  <c:v>27110.758121878131</c:v>
                </c:pt>
                <c:pt idx="1024">
                  <c:v>27110.758121878131</c:v>
                </c:pt>
                <c:pt idx="1025">
                  <c:v>27110.758121878131</c:v>
                </c:pt>
                <c:pt idx="1027">
                  <c:v>-143.99999999999949</c:v>
                </c:pt>
                <c:pt idx="1028">
                  <c:v>-143.99999999999949</c:v>
                </c:pt>
                <c:pt idx="1029">
                  <c:v>-143.99999999999949</c:v>
                </c:pt>
                <c:pt idx="1030">
                  <c:v>-143.99999999999949</c:v>
                </c:pt>
                <c:pt idx="1031">
                  <c:v>-143.99999999999949</c:v>
                </c:pt>
                <c:pt idx="1032">
                  <c:v>-143.99999999999949</c:v>
                </c:pt>
                <c:pt idx="1033">
                  <c:v>-143.99999999999949</c:v>
                </c:pt>
                <c:pt idx="1034">
                  <c:v>-143.99999999999949</c:v>
                </c:pt>
                <c:pt idx="1035">
                  <c:v>-143.99999999999949</c:v>
                </c:pt>
                <c:pt idx="1036">
                  <c:v>-143.99999999999949</c:v>
                </c:pt>
                <c:pt idx="1037">
                  <c:v>-143.99999999999949</c:v>
                </c:pt>
                <c:pt idx="1038">
                  <c:v>-143.99999999999949</c:v>
                </c:pt>
                <c:pt idx="1039">
                  <c:v>-143.99999999999949</c:v>
                </c:pt>
                <c:pt idx="1040">
                  <c:v>-143.99999999999949</c:v>
                </c:pt>
                <c:pt idx="1041">
                  <c:v>-143.99999999999949</c:v>
                </c:pt>
                <c:pt idx="1042">
                  <c:v>-143.99999999999949</c:v>
                </c:pt>
                <c:pt idx="1043">
                  <c:v>-143.99999999999949</c:v>
                </c:pt>
                <c:pt idx="1044">
                  <c:v>-143.99999999999949</c:v>
                </c:pt>
                <c:pt idx="1045">
                  <c:v>-143.99999999999949</c:v>
                </c:pt>
                <c:pt idx="1046">
                  <c:v>-143.99999999999949</c:v>
                </c:pt>
                <c:pt idx="1047">
                  <c:v>-143.99999999999949</c:v>
                </c:pt>
                <c:pt idx="1048">
                  <c:v>-143.99999999999949</c:v>
                </c:pt>
                <c:pt idx="1049">
                  <c:v>-143.99999999999949</c:v>
                </c:pt>
                <c:pt idx="1050">
                  <c:v>-143.99999999999949</c:v>
                </c:pt>
                <c:pt idx="1051">
                  <c:v>-143.99999999999949</c:v>
                </c:pt>
                <c:pt idx="1052">
                  <c:v>-143.99999999999949</c:v>
                </c:pt>
                <c:pt idx="1053">
                  <c:v>-143.99999999999949</c:v>
                </c:pt>
                <c:pt idx="1054">
                  <c:v>-143.99999999999949</c:v>
                </c:pt>
                <c:pt idx="1055">
                  <c:v>-143.99999999999949</c:v>
                </c:pt>
                <c:pt idx="1056">
                  <c:v>-143.99999999999949</c:v>
                </c:pt>
                <c:pt idx="1057">
                  <c:v>-143.99999999999949</c:v>
                </c:pt>
                <c:pt idx="1058">
                  <c:v>-143.99999999999949</c:v>
                </c:pt>
                <c:pt idx="1059">
                  <c:v>-143.99999999999949</c:v>
                </c:pt>
                <c:pt idx="1060">
                  <c:v>-143.99999999999949</c:v>
                </c:pt>
                <c:pt idx="1061">
                  <c:v>-143.99999999999949</c:v>
                </c:pt>
                <c:pt idx="1062">
                  <c:v>-143.99999999999949</c:v>
                </c:pt>
                <c:pt idx="1063">
                  <c:v>-143.99999999999949</c:v>
                </c:pt>
                <c:pt idx="1064">
                  <c:v>-143.99999999999949</c:v>
                </c:pt>
                <c:pt idx="1065">
                  <c:v>-143.99999999999949</c:v>
                </c:pt>
                <c:pt idx="1066">
                  <c:v>-143.99999999999949</c:v>
                </c:pt>
                <c:pt idx="1067">
                  <c:v>-143.99999999999949</c:v>
                </c:pt>
                <c:pt idx="1068">
                  <c:v>-143.99999999999949</c:v>
                </c:pt>
                <c:pt idx="1069">
                  <c:v>-143.99999999999949</c:v>
                </c:pt>
                <c:pt idx="1070">
                  <c:v>-143.99999999999949</c:v>
                </c:pt>
                <c:pt idx="1071">
                  <c:v>-143.99999999999949</c:v>
                </c:pt>
                <c:pt idx="1072">
                  <c:v>-143.99999999999949</c:v>
                </c:pt>
                <c:pt idx="1073">
                  <c:v>-143.99999999999949</c:v>
                </c:pt>
                <c:pt idx="1074">
                  <c:v>-143.99999999999949</c:v>
                </c:pt>
                <c:pt idx="1075">
                  <c:v>-143.99999999999949</c:v>
                </c:pt>
                <c:pt idx="1076">
                  <c:v>-143.99999999999949</c:v>
                </c:pt>
                <c:pt idx="1077">
                  <c:v>-143.99999999999949</c:v>
                </c:pt>
                <c:pt idx="1078">
                  <c:v>-143.99999999999949</c:v>
                </c:pt>
                <c:pt idx="1079">
                  <c:v>-143.99999999999949</c:v>
                </c:pt>
                <c:pt idx="1080">
                  <c:v>-143.99999999999949</c:v>
                </c:pt>
                <c:pt idx="1081">
                  <c:v>-143.99999999999949</c:v>
                </c:pt>
                <c:pt idx="1082">
                  <c:v>-143.99999999999949</c:v>
                </c:pt>
                <c:pt idx="1083">
                  <c:v>-143.99999999999949</c:v>
                </c:pt>
                <c:pt idx="1084">
                  <c:v>-143.99999999999949</c:v>
                </c:pt>
                <c:pt idx="1085">
                  <c:v>-143.99999999999949</c:v>
                </c:pt>
                <c:pt idx="1086">
                  <c:v>-143.99999999999949</c:v>
                </c:pt>
                <c:pt idx="1087">
                  <c:v>-143.99999999999949</c:v>
                </c:pt>
                <c:pt idx="1088">
                  <c:v>-143.99999999999949</c:v>
                </c:pt>
                <c:pt idx="1089">
                  <c:v>-143.99999999999949</c:v>
                </c:pt>
                <c:pt idx="1090">
                  <c:v>-143.99999999999949</c:v>
                </c:pt>
                <c:pt idx="1091">
                  <c:v>-143.99999999999949</c:v>
                </c:pt>
                <c:pt idx="1092">
                  <c:v>-143.99999999999949</c:v>
                </c:pt>
                <c:pt idx="1093">
                  <c:v>-143.99999999999949</c:v>
                </c:pt>
                <c:pt idx="1094">
                  <c:v>-143.99999999999949</c:v>
                </c:pt>
                <c:pt idx="1095">
                  <c:v>-143.99999999999949</c:v>
                </c:pt>
                <c:pt idx="1096">
                  <c:v>-143.99999999999949</c:v>
                </c:pt>
                <c:pt idx="1097">
                  <c:v>-143.99999999999949</c:v>
                </c:pt>
                <c:pt idx="1098">
                  <c:v>-143.99999999999949</c:v>
                </c:pt>
                <c:pt idx="1099">
                  <c:v>-143.99999999999949</c:v>
                </c:pt>
                <c:pt idx="1100">
                  <c:v>-143.99999999999949</c:v>
                </c:pt>
                <c:pt idx="1101">
                  <c:v>-143.99999999999949</c:v>
                </c:pt>
                <c:pt idx="1102">
                  <c:v>-143.99999999999949</c:v>
                </c:pt>
                <c:pt idx="1103">
                  <c:v>-143.99999999999949</c:v>
                </c:pt>
                <c:pt idx="1104">
                  <c:v>-143.99999999999949</c:v>
                </c:pt>
                <c:pt idx="1105">
                  <c:v>-143.99999999999949</c:v>
                </c:pt>
                <c:pt idx="1106">
                  <c:v>-143.99999999999949</c:v>
                </c:pt>
                <c:pt idx="1107">
                  <c:v>-143.99999999999949</c:v>
                </c:pt>
                <c:pt idx="1108">
                  <c:v>-143.99999999999949</c:v>
                </c:pt>
                <c:pt idx="1109">
                  <c:v>-143.99999999999949</c:v>
                </c:pt>
                <c:pt idx="1110">
                  <c:v>-143.99999999999949</c:v>
                </c:pt>
                <c:pt idx="1111">
                  <c:v>-143.99999999999949</c:v>
                </c:pt>
                <c:pt idx="1112">
                  <c:v>-143.99999999999949</c:v>
                </c:pt>
                <c:pt idx="1113">
                  <c:v>-143.99999999999949</c:v>
                </c:pt>
                <c:pt idx="1114">
                  <c:v>-143.99999999999949</c:v>
                </c:pt>
                <c:pt idx="1115">
                  <c:v>-143.99999999999949</c:v>
                </c:pt>
                <c:pt idx="1116">
                  <c:v>-143.99999999999949</c:v>
                </c:pt>
                <c:pt idx="1117">
                  <c:v>-143.99999999999949</c:v>
                </c:pt>
                <c:pt idx="1118">
                  <c:v>-143.99999999999949</c:v>
                </c:pt>
                <c:pt idx="1119">
                  <c:v>-143.99999999999949</c:v>
                </c:pt>
                <c:pt idx="1120">
                  <c:v>-143.99999999999949</c:v>
                </c:pt>
                <c:pt idx="1121">
                  <c:v>-143.99999999999949</c:v>
                </c:pt>
                <c:pt idx="1122">
                  <c:v>-143.99999999999949</c:v>
                </c:pt>
                <c:pt idx="1123">
                  <c:v>-143.99999999999949</c:v>
                </c:pt>
                <c:pt idx="1124">
                  <c:v>-143.99999999999949</c:v>
                </c:pt>
                <c:pt idx="1125">
                  <c:v>-143.99999999999949</c:v>
                </c:pt>
                <c:pt idx="1126">
                  <c:v>-143.99999999999949</c:v>
                </c:pt>
                <c:pt idx="1127">
                  <c:v>-143.99999999999949</c:v>
                </c:pt>
                <c:pt idx="1128">
                  <c:v>-143.99999999999949</c:v>
                </c:pt>
                <c:pt idx="1129">
                  <c:v>-143.99999999999949</c:v>
                </c:pt>
                <c:pt idx="1130">
                  <c:v>-143.99999999999949</c:v>
                </c:pt>
                <c:pt idx="1131">
                  <c:v>-143.99999999999949</c:v>
                </c:pt>
                <c:pt idx="1132">
                  <c:v>-143.99999999999949</c:v>
                </c:pt>
                <c:pt idx="1133">
                  <c:v>-143.99999999999949</c:v>
                </c:pt>
                <c:pt idx="1134">
                  <c:v>-143.99999999999949</c:v>
                </c:pt>
                <c:pt idx="1135">
                  <c:v>-143.99999999999949</c:v>
                </c:pt>
                <c:pt idx="1136">
                  <c:v>-143.99999999999949</c:v>
                </c:pt>
                <c:pt idx="1137">
                  <c:v>-143.99999999999949</c:v>
                </c:pt>
                <c:pt idx="1138">
                  <c:v>-143.99999999999949</c:v>
                </c:pt>
                <c:pt idx="1139">
                  <c:v>-143.99999999999949</c:v>
                </c:pt>
                <c:pt idx="1140">
                  <c:v>-143.99999999999949</c:v>
                </c:pt>
                <c:pt idx="1141">
                  <c:v>-143.99999999999949</c:v>
                </c:pt>
                <c:pt idx="1142">
                  <c:v>-143.99999999999949</c:v>
                </c:pt>
                <c:pt idx="1143">
                  <c:v>-143.99999999999949</c:v>
                </c:pt>
                <c:pt idx="1144">
                  <c:v>-143.99999999999949</c:v>
                </c:pt>
                <c:pt idx="1145">
                  <c:v>-143.99999999999949</c:v>
                </c:pt>
                <c:pt idx="1146">
                  <c:v>-143.99999999999949</c:v>
                </c:pt>
                <c:pt idx="1147">
                  <c:v>-143.99999999999949</c:v>
                </c:pt>
                <c:pt idx="1148">
                  <c:v>-143.99999999999949</c:v>
                </c:pt>
                <c:pt idx="1149">
                  <c:v>-143.99999999999949</c:v>
                </c:pt>
                <c:pt idx="1150">
                  <c:v>-143.99999999999949</c:v>
                </c:pt>
                <c:pt idx="1151">
                  <c:v>-143.99999999999949</c:v>
                </c:pt>
                <c:pt idx="1152">
                  <c:v>-143.99999999999949</c:v>
                </c:pt>
                <c:pt idx="1153">
                  <c:v>-143.99999999999949</c:v>
                </c:pt>
                <c:pt idx="1154">
                  <c:v>-143.99999999999949</c:v>
                </c:pt>
                <c:pt idx="1155">
                  <c:v>-143.99999999999949</c:v>
                </c:pt>
                <c:pt idx="1156">
                  <c:v>-143.99999999999949</c:v>
                </c:pt>
                <c:pt idx="1157">
                  <c:v>-143.99999999999949</c:v>
                </c:pt>
                <c:pt idx="1158">
                  <c:v>-143.99999999999949</c:v>
                </c:pt>
                <c:pt idx="1159">
                  <c:v>-143.99999999999949</c:v>
                </c:pt>
                <c:pt idx="1160">
                  <c:v>-143.99999999999949</c:v>
                </c:pt>
                <c:pt idx="1161">
                  <c:v>-143.99999999999949</c:v>
                </c:pt>
                <c:pt idx="1162">
                  <c:v>-143.99999999999949</c:v>
                </c:pt>
                <c:pt idx="1163">
                  <c:v>-143.99999999999949</c:v>
                </c:pt>
                <c:pt idx="1164">
                  <c:v>-143.99999999999949</c:v>
                </c:pt>
                <c:pt idx="1165">
                  <c:v>-143.99999999999949</c:v>
                </c:pt>
                <c:pt idx="1166">
                  <c:v>-143.99999999999949</c:v>
                </c:pt>
                <c:pt idx="1167">
                  <c:v>-143.99999999999949</c:v>
                </c:pt>
                <c:pt idx="1168">
                  <c:v>-143.99999999999949</c:v>
                </c:pt>
                <c:pt idx="1169">
                  <c:v>-143.99999999999949</c:v>
                </c:pt>
                <c:pt idx="1170">
                  <c:v>-143.99999999999949</c:v>
                </c:pt>
                <c:pt idx="1171">
                  <c:v>-143.99999999999949</c:v>
                </c:pt>
                <c:pt idx="1172">
                  <c:v>-143.99999999999949</c:v>
                </c:pt>
                <c:pt idx="1173">
                  <c:v>-143.99999999999949</c:v>
                </c:pt>
                <c:pt idx="1174">
                  <c:v>-143.99999999999949</c:v>
                </c:pt>
                <c:pt idx="1175">
                  <c:v>-143.99999999999949</c:v>
                </c:pt>
                <c:pt idx="1176">
                  <c:v>-143.99999999999949</c:v>
                </c:pt>
                <c:pt idx="1177">
                  <c:v>-143.99999999999949</c:v>
                </c:pt>
                <c:pt idx="1178">
                  <c:v>-143.99999999999949</c:v>
                </c:pt>
                <c:pt idx="1179">
                  <c:v>-143.99999999999949</c:v>
                </c:pt>
                <c:pt idx="1180">
                  <c:v>-143.99999999999949</c:v>
                </c:pt>
                <c:pt idx="1181">
                  <c:v>-143.99999999999949</c:v>
                </c:pt>
                <c:pt idx="1182">
                  <c:v>-143.99999999999949</c:v>
                </c:pt>
                <c:pt idx="1183">
                  <c:v>-143.99999999999949</c:v>
                </c:pt>
                <c:pt idx="1184">
                  <c:v>-143.99999999999949</c:v>
                </c:pt>
                <c:pt idx="1185">
                  <c:v>-143.99999999999949</c:v>
                </c:pt>
                <c:pt idx="1186">
                  <c:v>-143.99999999999949</c:v>
                </c:pt>
                <c:pt idx="1187">
                  <c:v>-143.99999999999949</c:v>
                </c:pt>
                <c:pt idx="1188">
                  <c:v>-143.99999999999949</c:v>
                </c:pt>
                <c:pt idx="1189">
                  <c:v>-143.99999999999949</c:v>
                </c:pt>
                <c:pt idx="1190">
                  <c:v>-143.99999999999949</c:v>
                </c:pt>
                <c:pt idx="1191">
                  <c:v>-143.99999999999949</c:v>
                </c:pt>
                <c:pt idx="1192">
                  <c:v>-143.99999999999949</c:v>
                </c:pt>
                <c:pt idx="1193">
                  <c:v>-143.99999999999949</c:v>
                </c:pt>
                <c:pt idx="1194">
                  <c:v>-143.99999999999949</c:v>
                </c:pt>
                <c:pt idx="1195">
                  <c:v>-143.99999999999949</c:v>
                </c:pt>
                <c:pt idx="1196">
                  <c:v>-143.99999999999949</c:v>
                </c:pt>
                <c:pt idx="1197">
                  <c:v>-143.99999999999949</c:v>
                </c:pt>
                <c:pt idx="1198">
                  <c:v>-143.99999999999949</c:v>
                </c:pt>
                <c:pt idx="1199">
                  <c:v>-143.99999999999949</c:v>
                </c:pt>
                <c:pt idx="1200">
                  <c:v>-143.99999999999949</c:v>
                </c:pt>
                <c:pt idx="1201">
                  <c:v>-143.99999999999949</c:v>
                </c:pt>
                <c:pt idx="1202">
                  <c:v>-143.99999999999949</c:v>
                </c:pt>
                <c:pt idx="1203">
                  <c:v>-143.99999999999949</c:v>
                </c:pt>
                <c:pt idx="1204">
                  <c:v>-143.99999999999949</c:v>
                </c:pt>
                <c:pt idx="1205">
                  <c:v>-143.99999999999949</c:v>
                </c:pt>
                <c:pt idx="1206">
                  <c:v>-143.99999999999949</c:v>
                </c:pt>
                <c:pt idx="1207">
                  <c:v>-143.99999999999949</c:v>
                </c:pt>
                <c:pt idx="1208">
                  <c:v>-143.99999999999949</c:v>
                </c:pt>
                <c:pt idx="1209">
                  <c:v>-143.99999999999949</c:v>
                </c:pt>
                <c:pt idx="1210">
                  <c:v>-143.99999999999949</c:v>
                </c:pt>
                <c:pt idx="1211">
                  <c:v>-143.99999999999949</c:v>
                </c:pt>
                <c:pt idx="1212">
                  <c:v>-143.99999999999949</c:v>
                </c:pt>
                <c:pt idx="1213">
                  <c:v>-143.99999999999949</c:v>
                </c:pt>
                <c:pt idx="1214">
                  <c:v>-143.99999999999949</c:v>
                </c:pt>
                <c:pt idx="1215">
                  <c:v>-143.99999999999949</c:v>
                </c:pt>
                <c:pt idx="1216">
                  <c:v>-143.99999999999949</c:v>
                </c:pt>
                <c:pt idx="1217">
                  <c:v>-143.99999999999949</c:v>
                </c:pt>
                <c:pt idx="1218">
                  <c:v>-143.99999999999949</c:v>
                </c:pt>
                <c:pt idx="1219">
                  <c:v>-143.99999999999949</c:v>
                </c:pt>
                <c:pt idx="1220">
                  <c:v>-143.99999999999949</c:v>
                </c:pt>
                <c:pt idx="1221">
                  <c:v>-143.99999999999949</c:v>
                </c:pt>
                <c:pt idx="1222">
                  <c:v>-143.99999999999949</c:v>
                </c:pt>
                <c:pt idx="1223">
                  <c:v>-143.99999999999949</c:v>
                </c:pt>
                <c:pt idx="1224">
                  <c:v>-143.99999999999949</c:v>
                </c:pt>
                <c:pt idx="1225">
                  <c:v>-143.99999999999949</c:v>
                </c:pt>
                <c:pt idx="1226">
                  <c:v>-143.99999999999949</c:v>
                </c:pt>
                <c:pt idx="1227">
                  <c:v>-143.99999999999949</c:v>
                </c:pt>
                <c:pt idx="1228">
                  <c:v>-143.99999999999949</c:v>
                </c:pt>
                <c:pt idx="1229">
                  <c:v>-143.99999999999949</c:v>
                </c:pt>
                <c:pt idx="1230">
                  <c:v>-143.99999999999949</c:v>
                </c:pt>
                <c:pt idx="1231">
                  <c:v>-143.99999999999949</c:v>
                </c:pt>
                <c:pt idx="1232">
                  <c:v>-143.99999999999949</c:v>
                </c:pt>
                <c:pt idx="1233">
                  <c:v>-143.99999999999949</c:v>
                </c:pt>
                <c:pt idx="1234">
                  <c:v>-143.99999999999949</c:v>
                </c:pt>
                <c:pt idx="1235">
                  <c:v>-143.99999999999949</c:v>
                </c:pt>
                <c:pt idx="1236">
                  <c:v>-143.99999999999949</c:v>
                </c:pt>
                <c:pt idx="1237">
                  <c:v>-143.99999999999949</c:v>
                </c:pt>
              </c:numCache>
            </c:numRef>
          </c:val>
          <c:smooth val="0"/>
          <c:extLst>
            <c:ext xmlns:c16="http://schemas.microsoft.com/office/drawing/2014/chart" uri="{C3380CC4-5D6E-409C-BE32-E72D297353CC}">
              <c16:uniqueId val="{00000000-EC15-4C06-B56D-DD9A8FDD027B}"/>
            </c:ext>
          </c:extLst>
        </c:ser>
        <c:ser>
          <c:idx val="1"/>
          <c:order val="1"/>
          <c:tx>
            <c:v>s</c:v>
          </c:tx>
          <c:spPr>
            <a:ln w="28575" cap="rnd">
              <a:solidFill>
                <a:schemeClr val="accent2"/>
              </a:solidFill>
              <a:round/>
            </a:ln>
            <a:effectLst/>
          </c:spPr>
          <c:marker>
            <c:symbol val="none"/>
          </c:marker>
          <c:val>
            <c:numRef>
              <c:f>'Journal Live'!$BJ$1388:$BJ$2630</c:f>
              <c:numCache>
                <c:formatCode>General</c:formatCode>
                <c:ptCount val="1238"/>
                <c:pt idx="0">
                  <c:v>176.00000000000017</c:v>
                </c:pt>
                <c:pt idx="1">
                  <c:v>176.00000000000017</c:v>
                </c:pt>
                <c:pt idx="2">
                  <c:v>176.00000000000017</c:v>
                </c:pt>
                <c:pt idx="3">
                  <c:v>176.00000000000017</c:v>
                </c:pt>
                <c:pt idx="4">
                  <c:v>-159.99999999999983</c:v>
                </c:pt>
                <c:pt idx="5">
                  <c:v>-159.99999999999983</c:v>
                </c:pt>
                <c:pt idx="6">
                  <c:v>-255.99999999999986</c:v>
                </c:pt>
                <c:pt idx="7">
                  <c:v>-255.99999999999986</c:v>
                </c:pt>
                <c:pt idx="8">
                  <c:v>-255.99999999999986</c:v>
                </c:pt>
                <c:pt idx="9">
                  <c:v>16.000000000000028</c:v>
                </c:pt>
                <c:pt idx="10">
                  <c:v>16.000000000000028</c:v>
                </c:pt>
                <c:pt idx="11">
                  <c:v>16.000000000000028</c:v>
                </c:pt>
                <c:pt idx="12">
                  <c:v>208.0000000000002</c:v>
                </c:pt>
                <c:pt idx="13">
                  <c:v>208.0000000000002</c:v>
                </c:pt>
                <c:pt idx="14">
                  <c:v>208.0000000000002</c:v>
                </c:pt>
                <c:pt idx="15">
                  <c:v>784.00000000000023</c:v>
                </c:pt>
                <c:pt idx="16">
                  <c:v>624.00000000000068</c:v>
                </c:pt>
                <c:pt idx="17">
                  <c:v>624.00000000000068</c:v>
                </c:pt>
                <c:pt idx="18">
                  <c:v>624.00000000000068</c:v>
                </c:pt>
                <c:pt idx="19">
                  <c:v>624.00000000000068</c:v>
                </c:pt>
                <c:pt idx="20">
                  <c:v>624.00000000000068</c:v>
                </c:pt>
                <c:pt idx="21">
                  <c:v>624.00000000000068</c:v>
                </c:pt>
                <c:pt idx="22">
                  <c:v>624.00000000000068</c:v>
                </c:pt>
                <c:pt idx="23">
                  <c:v>624.00000000000068</c:v>
                </c:pt>
                <c:pt idx="24">
                  <c:v>624.00000000000068</c:v>
                </c:pt>
                <c:pt idx="25">
                  <c:v>752.00000000000068</c:v>
                </c:pt>
                <c:pt idx="26">
                  <c:v>1024.0000000000007</c:v>
                </c:pt>
                <c:pt idx="27">
                  <c:v>1360.0000000000005</c:v>
                </c:pt>
                <c:pt idx="28">
                  <c:v>1360.0000000000005</c:v>
                </c:pt>
                <c:pt idx="29">
                  <c:v>1360.0000000000005</c:v>
                </c:pt>
                <c:pt idx="30">
                  <c:v>1360.0000000000005</c:v>
                </c:pt>
                <c:pt idx="31">
                  <c:v>1360.0000000000005</c:v>
                </c:pt>
                <c:pt idx="32">
                  <c:v>1360.0000000000005</c:v>
                </c:pt>
                <c:pt idx="33">
                  <c:v>1360.0000000000005</c:v>
                </c:pt>
                <c:pt idx="34">
                  <c:v>1456</c:v>
                </c:pt>
                <c:pt idx="35">
                  <c:v>1456</c:v>
                </c:pt>
                <c:pt idx="36">
                  <c:v>1456</c:v>
                </c:pt>
                <c:pt idx="37">
                  <c:v>1840.0000000000005</c:v>
                </c:pt>
                <c:pt idx="38">
                  <c:v>1840.0000000000005</c:v>
                </c:pt>
                <c:pt idx="39">
                  <c:v>1840.0000000000005</c:v>
                </c:pt>
                <c:pt idx="40">
                  <c:v>400.00000000000068</c:v>
                </c:pt>
                <c:pt idx="41">
                  <c:v>400.00000000000068</c:v>
                </c:pt>
                <c:pt idx="42">
                  <c:v>496.00000000000063</c:v>
                </c:pt>
                <c:pt idx="43">
                  <c:v>496.00000000000063</c:v>
                </c:pt>
                <c:pt idx="44">
                  <c:v>496.00000000000063</c:v>
                </c:pt>
                <c:pt idx="45">
                  <c:v>496.00000000000063</c:v>
                </c:pt>
                <c:pt idx="46">
                  <c:v>496.00000000000063</c:v>
                </c:pt>
                <c:pt idx="47">
                  <c:v>496.00000000000063</c:v>
                </c:pt>
                <c:pt idx="48">
                  <c:v>496.00000000000063</c:v>
                </c:pt>
                <c:pt idx="49">
                  <c:v>496.00000000000063</c:v>
                </c:pt>
                <c:pt idx="50">
                  <c:v>496.00000000000063</c:v>
                </c:pt>
                <c:pt idx="51">
                  <c:v>496.00000000000063</c:v>
                </c:pt>
                <c:pt idx="52">
                  <c:v>848.00000000000091</c:v>
                </c:pt>
                <c:pt idx="53">
                  <c:v>848.00000000000091</c:v>
                </c:pt>
                <c:pt idx="54">
                  <c:v>848.00000000000091</c:v>
                </c:pt>
                <c:pt idx="55">
                  <c:v>848.00000000000091</c:v>
                </c:pt>
                <c:pt idx="56">
                  <c:v>848.00000000000091</c:v>
                </c:pt>
                <c:pt idx="57">
                  <c:v>848.00000000000091</c:v>
                </c:pt>
                <c:pt idx="58">
                  <c:v>848.00000000000091</c:v>
                </c:pt>
                <c:pt idx="59">
                  <c:v>848.00000000000091</c:v>
                </c:pt>
                <c:pt idx="60">
                  <c:v>848.00000000000091</c:v>
                </c:pt>
                <c:pt idx="61">
                  <c:v>1040.0000000000009</c:v>
                </c:pt>
                <c:pt idx="62">
                  <c:v>1296.0000000000009</c:v>
                </c:pt>
                <c:pt idx="63">
                  <c:v>1808.0000000000007</c:v>
                </c:pt>
                <c:pt idx="64">
                  <c:v>1808.0000000000007</c:v>
                </c:pt>
                <c:pt idx="65">
                  <c:v>4144.0000000000009</c:v>
                </c:pt>
                <c:pt idx="66">
                  <c:v>4144.0000000000009</c:v>
                </c:pt>
                <c:pt idx="67">
                  <c:v>1808.0000000000007</c:v>
                </c:pt>
                <c:pt idx="68">
                  <c:v>4144.0000000000009</c:v>
                </c:pt>
                <c:pt idx="69">
                  <c:v>1696.0000000000007</c:v>
                </c:pt>
                <c:pt idx="70">
                  <c:v>1696.0000000000007</c:v>
                </c:pt>
                <c:pt idx="71">
                  <c:v>1696.0000000000007</c:v>
                </c:pt>
                <c:pt idx="72">
                  <c:v>1696.0000000000007</c:v>
                </c:pt>
                <c:pt idx="73">
                  <c:v>1696.0000000000007</c:v>
                </c:pt>
                <c:pt idx="74">
                  <c:v>1696.0000000000007</c:v>
                </c:pt>
                <c:pt idx="75">
                  <c:v>1776.0000000000018</c:v>
                </c:pt>
                <c:pt idx="76">
                  <c:v>1696.0000000000007</c:v>
                </c:pt>
                <c:pt idx="77">
                  <c:v>1696.0000000000007</c:v>
                </c:pt>
                <c:pt idx="78">
                  <c:v>1776.0000000000018</c:v>
                </c:pt>
                <c:pt idx="79">
                  <c:v>1696.0000000000007</c:v>
                </c:pt>
                <c:pt idx="80">
                  <c:v>1696.0000000000007</c:v>
                </c:pt>
                <c:pt idx="81">
                  <c:v>1696.0000000000007</c:v>
                </c:pt>
                <c:pt idx="82">
                  <c:v>1696.0000000000007</c:v>
                </c:pt>
                <c:pt idx="83">
                  <c:v>1696.0000000000007</c:v>
                </c:pt>
                <c:pt idx="84">
                  <c:v>1776.0000000000018</c:v>
                </c:pt>
                <c:pt idx="85">
                  <c:v>1776.0000000000018</c:v>
                </c:pt>
                <c:pt idx="86">
                  <c:v>1776.0000000000018</c:v>
                </c:pt>
                <c:pt idx="87">
                  <c:v>1776.0000000000018</c:v>
                </c:pt>
                <c:pt idx="88">
                  <c:v>1776.0000000000018</c:v>
                </c:pt>
                <c:pt idx="89">
                  <c:v>1776.0000000000018</c:v>
                </c:pt>
                <c:pt idx="90">
                  <c:v>1776.0000000000018</c:v>
                </c:pt>
                <c:pt idx="91">
                  <c:v>1776.0000000000018</c:v>
                </c:pt>
                <c:pt idx="92">
                  <c:v>1776.0000000000018</c:v>
                </c:pt>
                <c:pt idx="93">
                  <c:v>1776.0000000000018</c:v>
                </c:pt>
                <c:pt idx="94">
                  <c:v>1776.0000000000018</c:v>
                </c:pt>
                <c:pt idx="95">
                  <c:v>4144.0000000000009</c:v>
                </c:pt>
                <c:pt idx="96">
                  <c:v>1776.0000000000018</c:v>
                </c:pt>
                <c:pt idx="97">
                  <c:v>1776.0000000000018</c:v>
                </c:pt>
                <c:pt idx="98">
                  <c:v>1776.0000000000018</c:v>
                </c:pt>
                <c:pt idx="99">
                  <c:v>1776.0000000000018</c:v>
                </c:pt>
                <c:pt idx="100">
                  <c:v>2128.0000000000014</c:v>
                </c:pt>
                <c:pt idx="101">
                  <c:v>2128.0000000000014</c:v>
                </c:pt>
                <c:pt idx="102">
                  <c:v>2128.0000000000014</c:v>
                </c:pt>
                <c:pt idx="103">
                  <c:v>2128.0000000000014</c:v>
                </c:pt>
                <c:pt idx="104">
                  <c:v>2128.0000000000014</c:v>
                </c:pt>
                <c:pt idx="105">
                  <c:v>2128.0000000000014</c:v>
                </c:pt>
                <c:pt idx="106">
                  <c:v>4144.0000000000009</c:v>
                </c:pt>
                <c:pt idx="107">
                  <c:v>2384.0000000000014</c:v>
                </c:pt>
                <c:pt idx="108">
                  <c:v>2704.0000000000014</c:v>
                </c:pt>
                <c:pt idx="109">
                  <c:v>3408.0000000000018</c:v>
                </c:pt>
                <c:pt idx="110">
                  <c:v>3920.0000000000009</c:v>
                </c:pt>
                <c:pt idx="111">
                  <c:v>3920.0000000000009</c:v>
                </c:pt>
                <c:pt idx="112">
                  <c:v>3920.0000000000009</c:v>
                </c:pt>
                <c:pt idx="113">
                  <c:v>3920.0000000000009</c:v>
                </c:pt>
                <c:pt idx="114">
                  <c:v>3920.0000000000009</c:v>
                </c:pt>
                <c:pt idx="115">
                  <c:v>3920.0000000000009</c:v>
                </c:pt>
                <c:pt idx="116">
                  <c:v>4144.0000000000009</c:v>
                </c:pt>
                <c:pt idx="117">
                  <c:v>4144.0000000000009</c:v>
                </c:pt>
                <c:pt idx="118">
                  <c:v>4144.0000000000009</c:v>
                </c:pt>
                <c:pt idx="119">
                  <c:v>4144.0000000000009</c:v>
                </c:pt>
                <c:pt idx="120">
                  <c:v>4144.0000000000009</c:v>
                </c:pt>
                <c:pt idx="121">
                  <c:v>4144.0000000000009</c:v>
                </c:pt>
                <c:pt idx="122">
                  <c:v>4144.0000000000009</c:v>
                </c:pt>
                <c:pt idx="123">
                  <c:v>4144.0000000000009</c:v>
                </c:pt>
                <c:pt idx="124">
                  <c:v>4144.0000000000009</c:v>
                </c:pt>
                <c:pt idx="125">
                  <c:v>4144.0000000000009</c:v>
                </c:pt>
                <c:pt idx="126">
                  <c:v>4144.0000000000009</c:v>
                </c:pt>
                <c:pt idx="127">
                  <c:v>4144.0000000000009</c:v>
                </c:pt>
                <c:pt idx="128">
                  <c:v>4144.0000000000009</c:v>
                </c:pt>
                <c:pt idx="129">
                  <c:v>4144.0000000000009</c:v>
                </c:pt>
                <c:pt idx="130">
                  <c:v>4144.0000000000009</c:v>
                </c:pt>
                <c:pt idx="131">
                  <c:v>15906.285714285719</c:v>
                </c:pt>
                <c:pt idx="132">
                  <c:v>4144.0000000000009</c:v>
                </c:pt>
                <c:pt idx="133">
                  <c:v>3279.9999999999918</c:v>
                </c:pt>
                <c:pt idx="134">
                  <c:v>3279.9999999999918</c:v>
                </c:pt>
                <c:pt idx="135">
                  <c:v>4144.0000000000009</c:v>
                </c:pt>
                <c:pt idx="136">
                  <c:v>4144.0000000000009</c:v>
                </c:pt>
                <c:pt idx="137">
                  <c:v>4144.0000000000009</c:v>
                </c:pt>
                <c:pt idx="138">
                  <c:v>3279.9999999999918</c:v>
                </c:pt>
                <c:pt idx="139">
                  <c:v>4144.0000000000009</c:v>
                </c:pt>
                <c:pt idx="140">
                  <c:v>4144.0000000000009</c:v>
                </c:pt>
                <c:pt idx="141">
                  <c:v>4432</c:v>
                </c:pt>
                <c:pt idx="142">
                  <c:v>4432</c:v>
                </c:pt>
                <c:pt idx="143">
                  <c:v>4432</c:v>
                </c:pt>
                <c:pt idx="144">
                  <c:v>4432</c:v>
                </c:pt>
                <c:pt idx="145">
                  <c:v>4944</c:v>
                </c:pt>
                <c:pt idx="146">
                  <c:v>5807.9999999999991</c:v>
                </c:pt>
                <c:pt idx="147">
                  <c:v>5807.9999999999991</c:v>
                </c:pt>
                <c:pt idx="148">
                  <c:v>5807.9999999999991</c:v>
                </c:pt>
                <c:pt idx="149">
                  <c:v>5807.9999999999991</c:v>
                </c:pt>
                <c:pt idx="150">
                  <c:v>5807.9999999999991</c:v>
                </c:pt>
                <c:pt idx="151">
                  <c:v>5807.9999999999991</c:v>
                </c:pt>
                <c:pt idx="152">
                  <c:v>3279.9999999999918</c:v>
                </c:pt>
                <c:pt idx="153">
                  <c:v>6431.9999999999991</c:v>
                </c:pt>
                <c:pt idx="154">
                  <c:v>6431.9999999999991</c:v>
                </c:pt>
                <c:pt idx="155">
                  <c:v>6431.9999999999991</c:v>
                </c:pt>
                <c:pt idx="156">
                  <c:v>3279.9999999999918</c:v>
                </c:pt>
                <c:pt idx="157">
                  <c:v>6431.9999999999991</c:v>
                </c:pt>
                <c:pt idx="158">
                  <c:v>6431.9999999999991</c:v>
                </c:pt>
                <c:pt idx="159">
                  <c:v>3279.9999999999918</c:v>
                </c:pt>
                <c:pt idx="160">
                  <c:v>7423.9999999999991</c:v>
                </c:pt>
                <c:pt idx="161">
                  <c:v>6431.9999999999991</c:v>
                </c:pt>
                <c:pt idx="162">
                  <c:v>3279.9999999999918</c:v>
                </c:pt>
                <c:pt idx="163">
                  <c:v>6431.9999999999991</c:v>
                </c:pt>
                <c:pt idx="164">
                  <c:v>6431.9999999999991</c:v>
                </c:pt>
                <c:pt idx="165">
                  <c:v>7103.9999999999991</c:v>
                </c:pt>
                <c:pt idx="166">
                  <c:v>7423.9999999999991</c:v>
                </c:pt>
                <c:pt idx="167">
                  <c:v>7423.9999999999991</c:v>
                </c:pt>
                <c:pt idx="168">
                  <c:v>7423.9999999999991</c:v>
                </c:pt>
                <c:pt idx="169">
                  <c:v>3279.9999999999918</c:v>
                </c:pt>
                <c:pt idx="170">
                  <c:v>7823.9999999999982</c:v>
                </c:pt>
                <c:pt idx="171">
                  <c:v>7823.9999999999982</c:v>
                </c:pt>
                <c:pt idx="172">
                  <c:v>8111.9999999999973</c:v>
                </c:pt>
                <c:pt idx="173">
                  <c:v>8111.9999999999973</c:v>
                </c:pt>
                <c:pt idx="174">
                  <c:v>8111.9999999999973</c:v>
                </c:pt>
                <c:pt idx="175">
                  <c:v>8111.9999999999973</c:v>
                </c:pt>
                <c:pt idx="176">
                  <c:v>8111.9999999999973</c:v>
                </c:pt>
                <c:pt idx="177">
                  <c:v>8111.9999999999973</c:v>
                </c:pt>
                <c:pt idx="178">
                  <c:v>8111.9999999999973</c:v>
                </c:pt>
                <c:pt idx="179">
                  <c:v>3279.9999999999918</c:v>
                </c:pt>
                <c:pt idx="180">
                  <c:v>8111.9999999999973</c:v>
                </c:pt>
                <c:pt idx="181">
                  <c:v>8111.9999999999973</c:v>
                </c:pt>
                <c:pt idx="182">
                  <c:v>8111.9999999999973</c:v>
                </c:pt>
                <c:pt idx="183">
                  <c:v>8111.9999999999973</c:v>
                </c:pt>
                <c:pt idx="184">
                  <c:v>8111.9999999999973</c:v>
                </c:pt>
                <c:pt idx="185">
                  <c:v>6319.9999999999964</c:v>
                </c:pt>
                <c:pt idx="186">
                  <c:v>6415.9999999999927</c:v>
                </c:pt>
                <c:pt idx="187">
                  <c:v>6415.9999999999927</c:v>
                </c:pt>
                <c:pt idx="188">
                  <c:v>6415.9999999999927</c:v>
                </c:pt>
                <c:pt idx="189">
                  <c:v>6415.9999999999927</c:v>
                </c:pt>
                <c:pt idx="190">
                  <c:v>6415.9999999999927</c:v>
                </c:pt>
                <c:pt idx="191">
                  <c:v>6415.9999999999927</c:v>
                </c:pt>
                <c:pt idx="192">
                  <c:v>3503.9999999999918</c:v>
                </c:pt>
                <c:pt idx="193">
                  <c:v>6415.9999999999927</c:v>
                </c:pt>
                <c:pt idx="194">
                  <c:v>6415.9999999999927</c:v>
                </c:pt>
                <c:pt idx="195">
                  <c:v>4815.9999999999927</c:v>
                </c:pt>
                <c:pt idx="196">
                  <c:v>4815.9999999999927</c:v>
                </c:pt>
                <c:pt idx="197">
                  <c:v>4815.9999999999927</c:v>
                </c:pt>
                <c:pt idx="198">
                  <c:v>3503.9999999999918</c:v>
                </c:pt>
                <c:pt idx="199">
                  <c:v>4527.9999999999927</c:v>
                </c:pt>
                <c:pt idx="200">
                  <c:v>4527.9999999999927</c:v>
                </c:pt>
                <c:pt idx="201">
                  <c:v>4527.9999999999927</c:v>
                </c:pt>
                <c:pt idx="202">
                  <c:v>4527.9999999999927</c:v>
                </c:pt>
                <c:pt idx="203">
                  <c:v>4527.9999999999927</c:v>
                </c:pt>
                <c:pt idx="204">
                  <c:v>3503.9999999999918</c:v>
                </c:pt>
                <c:pt idx="205">
                  <c:v>3503.9999999999918</c:v>
                </c:pt>
                <c:pt idx="206">
                  <c:v>3503.9999999999918</c:v>
                </c:pt>
                <c:pt idx="207">
                  <c:v>3503.9999999999918</c:v>
                </c:pt>
                <c:pt idx="208">
                  <c:v>3503.9999999999918</c:v>
                </c:pt>
                <c:pt idx="209">
                  <c:v>3503.9999999999918</c:v>
                </c:pt>
                <c:pt idx="210">
                  <c:v>3503.9999999999918</c:v>
                </c:pt>
                <c:pt idx="211">
                  <c:v>3503.9999999999918</c:v>
                </c:pt>
                <c:pt idx="212">
                  <c:v>3503.9999999999918</c:v>
                </c:pt>
                <c:pt idx="213">
                  <c:v>3503.9999999999918</c:v>
                </c:pt>
                <c:pt idx="214">
                  <c:v>3503.9999999999918</c:v>
                </c:pt>
                <c:pt idx="215">
                  <c:v>3503.9999999999918</c:v>
                </c:pt>
                <c:pt idx="216">
                  <c:v>3503.9999999999918</c:v>
                </c:pt>
                <c:pt idx="217">
                  <c:v>3503.9999999999918</c:v>
                </c:pt>
                <c:pt idx="218">
                  <c:v>3503.9999999999918</c:v>
                </c:pt>
                <c:pt idx="219">
                  <c:v>3503.9999999999918</c:v>
                </c:pt>
                <c:pt idx="220">
                  <c:v>3503.9999999999918</c:v>
                </c:pt>
                <c:pt idx="221">
                  <c:v>3503.9999999999918</c:v>
                </c:pt>
                <c:pt idx="222">
                  <c:v>3503.9999999999918</c:v>
                </c:pt>
                <c:pt idx="223">
                  <c:v>3503.9999999999918</c:v>
                </c:pt>
                <c:pt idx="224">
                  <c:v>3503.9999999999918</c:v>
                </c:pt>
                <c:pt idx="225">
                  <c:v>3503.9999999999918</c:v>
                </c:pt>
                <c:pt idx="226">
                  <c:v>3759.9999999999914</c:v>
                </c:pt>
                <c:pt idx="227">
                  <c:v>3759.9999999999914</c:v>
                </c:pt>
                <c:pt idx="228">
                  <c:v>3759.9999999999914</c:v>
                </c:pt>
                <c:pt idx="229">
                  <c:v>3759.9999999999914</c:v>
                </c:pt>
                <c:pt idx="230">
                  <c:v>3279.9999999999918</c:v>
                </c:pt>
                <c:pt idx="231">
                  <c:v>3759.9999999999914</c:v>
                </c:pt>
                <c:pt idx="232">
                  <c:v>3279.9999999999918</c:v>
                </c:pt>
                <c:pt idx="233">
                  <c:v>3759.9999999999914</c:v>
                </c:pt>
                <c:pt idx="234">
                  <c:v>3759.9999999999914</c:v>
                </c:pt>
                <c:pt idx="235">
                  <c:v>3759.9999999999914</c:v>
                </c:pt>
                <c:pt idx="236">
                  <c:v>3759.9999999999914</c:v>
                </c:pt>
                <c:pt idx="237">
                  <c:v>3759.9999999999914</c:v>
                </c:pt>
                <c:pt idx="238">
                  <c:v>3759.9999999999914</c:v>
                </c:pt>
                <c:pt idx="239">
                  <c:v>3759.9999999999914</c:v>
                </c:pt>
                <c:pt idx="240">
                  <c:v>3759.9999999999914</c:v>
                </c:pt>
                <c:pt idx="241">
                  <c:v>3759.9999999999914</c:v>
                </c:pt>
                <c:pt idx="242">
                  <c:v>3279.9999999999918</c:v>
                </c:pt>
                <c:pt idx="243">
                  <c:v>3279.9999999999918</c:v>
                </c:pt>
                <c:pt idx="244">
                  <c:v>3279.9999999999918</c:v>
                </c:pt>
                <c:pt idx="245">
                  <c:v>3279.9999999999918</c:v>
                </c:pt>
                <c:pt idx="246">
                  <c:v>3279.9999999999918</c:v>
                </c:pt>
                <c:pt idx="247">
                  <c:v>3279.9999999999918</c:v>
                </c:pt>
                <c:pt idx="248">
                  <c:v>3279.9999999999918</c:v>
                </c:pt>
                <c:pt idx="249">
                  <c:v>3279.9999999999918</c:v>
                </c:pt>
                <c:pt idx="250">
                  <c:v>3279.9999999999918</c:v>
                </c:pt>
                <c:pt idx="251">
                  <c:v>3279.9999999999918</c:v>
                </c:pt>
                <c:pt idx="252">
                  <c:v>3279.9999999999918</c:v>
                </c:pt>
                <c:pt idx="253">
                  <c:v>3279.9999999999918</c:v>
                </c:pt>
                <c:pt idx="254">
                  <c:v>3279.9999999999918</c:v>
                </c:pt>
                <c:pt idx="255">
                  <c:v>3279.9999999999918</c:v>
                </c:pt>
                <c:pt idx="256">
                  <c:v>3279.9999999999918</c:v>
                </c:pt>
                <c:pt idx="257">
                  <c:v>3279.9999999999918</c:v>
                </c:pt>
                <c:pt idx="258">
                  <c:v>3279.9999999999918</c:v>
                </c:pt>
                <c:pt idx="259">
                  <c:v>3279.9999999999918</c:v>
                </c:pt>
                <c:pt idx="260">
                  <c:v>3279.9999999999918</c:v>
                </c:pt>
                <c:pt idx="261">
                  <c:v>3279.9999999999918</c:v>
                </c:pt>
                <c:pt idx="262">
                  <c:v>3279.9999999999918</c:v>
                </c:pt>
                <c:pt idx="263">
                  <c:v>3279.9999999999918</c:v>
                </c:pt>
                <c:pt idx="264">
                  <c:v>3279.9999999999918</c:v>
                </c:pt>
                <c:pt idx="265">
                  <c:v>3279.9999999999918</c:v>
                </c:pt>
                <c:pt idx="266">
                  <c:v>3279.9999999999918</c:v>
                </c:pt>
                <c:pt idx="267">
                  <c:v>3279.9999999999918</c:v>
                </c:pt>
                <c:pt idx="268">
                  <c:v>3279.9999999999918</c:v>
                </c:pt>
                <c:pt idx="269">
                  <c:v>3279.9999999999918</c:v>
                </c:pt>
                <c:pt idx="270">
                  <c:v>3279.9999999999918</c:v>
                </c:pt>
                <c:pt idx="271">
                  <c:v>3279.9999999999918</c:v>
                </c:pt>
                <c:pt idx="272">
                  <c:v>3279.9999999999918</c:v>
                </c:pt>
                <c:pt idx="273">
                  <c:v>3279.9999999999918</c:v>
                </c:pt>
                <c:pt idx="274">
                  <c:v>3279.9999999999918</c:v>
                </c:pt>
                <c:pt idx="275">
                  <c:v>3279.9999999999918</c:v>
                </c:pt>
                <c:pt idx="276">
                  <c:v>3279.9999999999918</c:v>
                </c:pt>
                <c:pt idx="277">
                  <c:v>3279.9999999999918</c:v>
                </c:pt>
                <c:pt idx="278">
                  <c:v>3279.9999999999918</c:v>
                </c:pt>
                <c:pt idx="279">
                  <c:v>3279.9999999999918</c:v>
                </c:pt>
                <c:pt idx="280">
                  <c:v>3759.9999999999932</c:v>
                </c:pt>
                <c:pt idx="281">
                  <c:v>3759.9999999999932</c:v>
                </c:pt>
                <c:pt idx="282">
                  <c:v>3759.9999999999932</c:v>
                </c:pt>
                <c:pt idx="283">
                  <c:v>3759.9999999999932</c:v>
                </c:pt>
                <c:pt idx="284">
                  <c:v>3759.9999999999932</c:v>
                </c:pt>
                <c:pt idx="285">
                  <c:v>3759.9999999999932</c:v>
                </c:pt>
                <c:pt idx="286">
                  <c:v>3759.9999999999932</c:v>
                </c:pt>
                <c:pt idx="287">
                  <c:v>3759.9999999999932</c:v>
                </c:pt>
                <c:pt idx="288">
                  <c:v>3759.9999999999932</c:v>
                </c:pt>
                <c:pt idx="289">
                  <c:v>3759.9999999999932</c:v>
                </c:pt>
                <c:pt idx="290">
                  <c:v>3759.9999999999932</c:v>
                </c:pt>
                <c:pt idx="291">
                  <c:v>3759.9999999999932</c:v>
                </c:pt>
                <c:pt idx="292">
                  <c:v>3759.9999999999932</c:v>
                </c:pt>
                <c:pt idx="293">
                  <c:v>3759.9999999999932</c:v>
                </c:pt>
                <c:pt idx="294">
                  <c:v>3759.9999999999932</c:v>
                </c:pt>
                <c:pt idx="295">
                  <c:v>3759.9999999999932</c:v>
                </c:pt>
                <c:pt idx="296">
                  <c:v>3759.9999999999932</c:v>
                </c:pt>
                <c:pt idx="297">
                  <c:v>3759.9999999999932</c:v>
                </c:pt>
                <c:pt idx="298">
                  <c:v>3759.9999999999932</c:v>
                </c:pt>
                <c:pt idx="299">
                  <c:v>3759.9999999999932</c:v>
                </c:pt>
                <c:pt idx="300">
                  <c:v>3759.9999999999932</c:v>
                </c:pt>
                <c:pt idx="301">
                  <c:v>3759.9999999999932</c:v>
                </c:pt>
                <c:pt idx="302">
                  <c:v>4143.9999999999927</c:v>
                </c:pt>
                <c:pt idx="303">
                  <c:v>4143.9999999999927</c:v>
                </c:pt>
                <c:pt idx="304">
                  <c:v>4143.9999999999927</c:v>
                </c:pt>
                <c:pt idx="305">
                  <c:v>4143.9999999999927</c:v>
                </c:pt>
                <c:pt idx="306">
                  <c:v>4143.9999999999927</c:v>
                </c:pt>
                <c:pt idx="307">
                  <c:v>4143.9999999999927</c:v>
                </c:pt>
                <c:pt idx="308">
                  <c:v>4143.9999999999927</c:v>
                </c:pt>
                <c:pt idx="309">
                  <c:v>4143.9999999999927</c:v>
                </c:pt>
                <c:pt idx="310">
                  <c:v>4143.9999999999927</c:v>
                </c:pt>
                <c:pt idx="311">
                  <c:v>4143.9999999999927</c:v>
                </c:pt>
                <c:pt idx="312">
                  <c:v>4607.9999999999927</c:v>
                </c:pt>
                <c:pt idx="313">
                  <c:v>4607.9999999999927</c:v>
                </c:pt>
                <c:pt idx="314">
                  <c:v>4607.9999999999927</c:v>
                </c:pt>
                <c:pt idx="315">
                  <c:v>4607.9999999999927</c:v>
                </c:pt>
                <c:pt idx="316">
                  <c:v>4607.9999999999927</c:v>
                </c:pt>
                <c:pt idx="317">
                  <c:v>4607.9999999999927</c:v>
                </c:pt>
                <c:pt idx="318">
                  <c:v>4607.9999999999927</c:v>
                </c:pt>
                <c:pt idx="319">
                  <c:v>4607.9999999999927</c:v>
                </c:pt>
                <c:pt idx="320">
                  <c:v>4607.9999999999927</c:v>
                </c:pt>
                <c:pt idx="321">
                  <c:v>4607.9999999999927</c:v>
                </c:pt>
                <c:pt idx="322">
                  <c:v>4607.9999999999927</c:v>
                </c:pt>
                <c:pt idx="323">
                  <c:v>4607.9999999999927</c:v>
                </c:pt>
                <c:pt idx="324">
                  <c:v>4607.9999999999927</c:v>
                </c:pt>
                <c:pt idx="325">
                  <c:v>4607.9999999999927</c:v>
                </c:pt>
                <c:pt idx="326">
                  <c:v>5007.9999999999909</c:v>
                </c:pt>
                <c:pt idx="327">
                  <c:v>5007.9999999999909</c:v>
                </c:pt>
                <c:pt idx="328">
                  <c:v>5727.9999999999909</c:v>
                </c:pt>
                <c:pt idx="329">
                  <c:v>5727.9999999999909</c:v>
                </c:pt>
                <c:pt idx="330">
                  <c:v>5727.9999999999909</c:v>
                </c:pt>
                <c:pt idx="331">
                  <c:v>5727.9999999999909</c:v>
                </c:pt>
                <c:pt idx="332">
                  <c:v>5727.9999999999909</c:v>
                </c:pt>
                <c:pt idx="333">
                  <c:v>5727.9999999999909</c:v>
                </c:pt>
                <c:pt idx="334">
                  <c:v>5727.9999999999909</c:v>
                </c:pt>
                <c:pt idx="335">
                  <c:v>5727.9999999999909</c:v>
                </c:pt>
                <c:pt idx="336">
                  <c:v>5727.9999999999909</c:v>
                </c:pt>
                <c:pt idx="337">
                  <c:v>5727.9999999999909</c:v>
                </c:pt>
                <c:pt idx="338">
                  <c:v>5727.9999999999909</c:v>
                </c:pt>
                <c:pt idx="339">
                  <c:v>5727.9999999999909</c:v>
                </c:pt>
                <c:pt idx="340">
                  <c:v>5727.9999999999909</c:v>
                </c:pt>
                <c:pt idx="341">
                  <c:v>5727.9999999999909</c:v>
                </c:pt>
                <c:pt idx="342">
                  <c:v>5727.9999999999909</c:v>
                </c:pt>
                <c:pt idx="343">
                  <c:v>5727.9999999999909</c:v>
                </c:pt>
                <c:pt idx="344">
                  <c:v>5727.9999999999909</c:v>
                </c:pt>
                <c:pt idx="345">
                  <c:v>5727.9999999999909</c:v>
                </c:pt>
                <c:pt idx="346">
                  <c:v>5727.9999999999909</c:v>
                </c:pt>
                <c:pt idx="347">
                  <c:v>5727.9999999999909</c:v>
                </c:pt>
                <c:pt idx="348">
                  <c:v>5727.9999999999909</c:v>
                </c:pt>
                <c:pt idx="349">
                  <c:v>5727.9999999999909</c:v>
                </c:pt>
                <c:pt idx="350">
                  <c:v>5727.9999999999909</c:v>
                </c:pt>
                <c:pt idx="351">
                  <c:v>5727.9999999999909</c:v>
                </c:pt>
                <c:pt idx="352">
                  <c:v>6335.9999999999909</c:v>
                </c:pt>
                <c:pt idx="353">
                  <c:v>6335.9999999999909</c:v>
                </c:pt>
                <c:pt idx="354">
                  <c:v>6335.9999999999909</c:v>
                </c:pt>
                <c:pt idx="355">
                  <c:v>6335.9999999999909</c:v>
                </c:pt>
                <c:pt idx="356">
                  <c:v>6655.9999999999909</c:v>
                </c:pt>
                <c:pt idx="357">
                  <c:v>6655.9999999999909</c:v>
                </c:pt>
                <c:pt idx="358">
                  <c:v>6655.9999999999909</c:v>
                </c:pt>
                <c:pt idx="359">
                  <c:v>6655.9999999999909</c:v>
                </c:pt>
                <c:pt idx="360">
                  <c:v>6655.9999999999909</c:v>
                </c:pt>
                <c:pt idx="361">
                  <c:v>6655.9999999999909</c:v>
                </c:pt>
                <c:pt idx="362">
                  <c:v>6655.9999999999909</c:v>
                </c:pt>
                <c:pt idx="363">
                  <c:v>6655.9999999999909</c:v>
                </c:pt>
                <c:pt idx="364">
                  <c:v>6655.9999999999909</c:v>
                </c:pt>
                <c:pt idx="365">
                  <c:v>6655.9999999999909</c:v>
                </c:pt>
                <c:pt idx="366">
                  <c:v>6655.9999999999909</c:v>
                </c:pt>
                <c:pt idx="367">
                  <c:v>6655.9999999999909</c:v>
                </c:pt>
                <c:pt idx="368">
                  <c:v>6335.9999999999909</c:v>
                </c:pt>
                <c:pt idx="369">
                  <c:v>6671.9999999999909</c:v>
                </c:pt>
                <c:pt idx="370">
                  <c:v>6671.9999999999909</c:v>
                </c:pt>
                <c:pt idx="371">
                  <c:v>7231.9999999999909</c:v>
                </c:pt>
                <c:pt idx="372">
                  <c:v>7951.9999999999909</c:v>
                </c:pt>
                <c:pt idx="373">
                  <c:v>7951.9999999999909</c:v>
                </c:pt>
                <c:pt idx="374">
                  <c:v>7951.9999999999909</c:v>
                </c:pt>
                <c:pt idx="375">
                  <c:v>7951.9999999999909</c:v>
                </c:pt>
                <c:pt idx="376">
                  <c:v>7951.9999999999909</c:v>
                </c:pt>
                <c:pt idx="377">
                  <c:v>7951.9999999999909</c:v>
                </c:pt>
                <c:pt idx="378">
                  <c:v>7951.9999999999909</c:v>
                </c:pt>
                <c:pt idx="379">
                  <c:v>7951.9999999999909</c:v>
                </c:pt>
                <c:pt idx="380">
                  <c:v>7951.9999999999909</c:v>
                </c:pt>
                <c:pt idx="381">
                  <c:v>8271.9999999999909</c:v>
                </c:pt>
                <c:pt idx="382">
                  <c:v>7951.9999999999909</c:v>
                </c:pt>
                <c:pt idx="383">
                  <c:v>7951.9999999999909</c:v>
                </c:pt>
                <c:pt idx="384">
                  <c:v>7951.9999999999909</c:v>
                </c:pt>
                <c:pt idx="385">
                  <c:v>7951.9999999999909</c:v>
                </c:pt>
                <c:pt idx="386">
                  <c:v>7951.9999999999909</c:v>
                </c:pt>
                <c:pt idx="387">
                  <c:v>7951.9999999999909</c:v>
                </c:pt>
                <c:pt idx="388">
                  <c:v>7951.9999999999909</c:v>
                </c:pt>
                <c:pt idx="389">
                  <c:v>7951.9999999999909</c:v>
                </c:pt>
                <c:pt idx="390">
                  <c:v>7951.9999999999909</c:v>
                </c:pt>
                <c:pt idx="391">
                  <c:v>7951.9999999999909</c:v>
                </c:pt>
                <c:pt idx="392">
                  <c:v>7951.9999999999909</c:v>
                </c:pt>
                <c:pt idx="393">
                  <c:v>7951.9999999999909</c:v>
                </c:pt>
                <c:pt idx="394">
                  <c:v>7503.9999999999909</c:v>
                </c:pt>
                <c:pt idx="395">
                  <c:v>7951.9999999999909</c:v>
                </c:pt>
                <c:pt idx="396">
                  <c:v>7951.9999999999909</c:v>
                </c:pt>
                <c:pt idx="397">
                  <c:v>7311.9999999999909</c:v>
                </c:pt>
                <c:pt idx="398">
                  <c:v>7311.9999999999909</c:v>
                </c:pt>
                <c:pt idx="399">
                  <c:v>5967.9999999999918</c:v>
                </c:pt>
                <c:pt idx="400">
                  <c:v>5295.9999999999936</c:v>
                </c:pt>
                <c:pt idx="401">
                  <c:v>5295.9999999999936</c:v>
                </c:pt>
                <c:pt idx="402">
                  <c:v>5295.9999999999936</c:v>
                </c:pt>
                <c:pt idx="403">
                  <c:v>5295.9999999999936</c:v>
                </c:pt>
                <c:pt idx="404">
                  <c:v>5295.9999999999936</c:v>
                </c:pt>
                <c:pt idx="405">
                  <c:v>5295.9999999999936</c:v>
                </c:pt>
                <c:pt idx="406">
                  <c:v>5295.9999999999936</c:v>
                </c:pt>
                <c:pt idx="407">
                  <c:v>5295.9999999999936</c:v>
                </c:pt>
                <c:pt idx="408">
                  <c:v>5295.9999999999936</c:v>
                </c:pt>
                <c:pt idx="409">
                  <c:v>5295.9999999999936</c:v>
                </c:pt>
                <c:pt idx="410">
                  <c:v>5295.9999999999936</c:v>
                </c:pt>
                <c:pt idx="411">
                  <c:v>5295.9999999999936</c:v>
                </c:pt>
                <c:pt idx="412">
                  <c:v>5295.9999999999936</c:v>
                </c:pt>
                <c:pt idx="413">
                  <c:v>5295.9999999999936</c:v>
                </c:pt>
                <c:pt idx="414">
                  <c:v>5295.9999999999936</c:v>
                </c:pt>
                <c:pt idx="415">
                  <c:v>5295.9999999999936</c:v>
                </c:pt>
                <c:pt idx="416">
                  <c:v>5295.9999999999936</c:v>
                </c:pt>
                <c:pt idx="417">
                  <c:v>5295.9999999999936</c:v>
                </c:pt>
                <c:pt idx="418">
                  <c:v>5295.9999999999936</c:v>
                </c:pt>
                <c:pt idx="419">
                  <c:v>5295.9999999999936</c:v>
                </c:pt>
                <c:pt idx="420">
                  <c:v>5775.9999999999945</c:v>
                </c:pt>
                <c:pt idx="421">
                  <c:v>5775.9999999999945</c:v>
                </c:pt>
                <c:pt idx="422">
                  <c:v>5775.9999999999945</c:v>
                </c:pt>
                <c:pt idx="423">
                  <c:v>5775.9999999999945</c:v>
                </c:pt>
                <c:pt idx="424">
                  <c:v>5775.9999999999945</c:v>
                </c:pt>
                <c:pt idx="425">
                  <c:v>5775.9999999999945</c:v>
                </c:pt>
                <c:pt idx="426">
                  <c:v>5775.9999999999945</c:v>
                </c:pt>
                <c:pt idx="427">
                  <c:v>5775.9999999999945</c:v>
                </c:pt>
                <c:pt idx="428">
                  <c:v>5775.9999999999945</c:v>
                </c:pt>
                <c:pt idx="429">
                  <c:v>5775.9999999999945</c:v>
                </c:pt>
                <c:pt idx="430">
                  <c:v>5775.9999999999945</c:v>
                </c:pt>
                <c:pt idx="431">
                  <c:v>5775.9999999999945</c:v>
                </c:pt>
                <c:pt idx="432">
                  <c:v>5775.9999999999945</c:v>
                </c:pt>
                <c:pt idx="433">
                  <c:v>5775.9999999999945</c:v>
                </c:pt>
                <c:pt idx="434">
                  <c:v>5775.9999999999945</c:v>
                </c:pt>
                <c:pt idx="435">
                  <c:v>5775.9999999999945</c:v>
                </c:pt>
                <c:pt idx="436">
                  <c:v>5775.9999999999945</c:v>
                </c:pt>
                <c:pt idx="437">
                  <c:v>6095.9999999999945</c:v>
                </c:pt>
                <c:pt idx="438">
                  <c:v>6095.9999999999945</c:v>
                </c:pt>
                <c:pt idx="439">
                  <c:v>6095.9999999999945</c:v>
                </c:pt>
                <c:pt idx="440">
                  <c:v>6095.9999999999945</c:v>
                </c:pt>
                <c:pt idx="441">
                  <c:v>6095.9999999999945</c:v>
                </c:pt>
                <c:pt idx="442">
                  <c:v>6095.9999999999945</c:v>
                </c:pt>
                <c:pt idx="443">
                  <c:v>6095.9999999999945</c:v>
                </c:pt>
                <c:pt idx="444">
                  <c:v>6975.9999999999945</c:v>
                </c:pt>
                <c:pt idx="445">
                  <c:v>6975.9999999999945</c:v>
                </c:pt>
                <c:pt idx="446">
                  <c:v>6975.9999999999945</c:v>
                </c:pt>
                <c:pt idx="447">
                  <c:v>8175.9999999999945</c:v>
                </c:pt>
                <c:pt idx="448">
                  <c:v>8175.9999999999945</c:v>
                </c:pt>
                <c:pt idx="449">
                  <c:v>8175.9999999999945</c:v>
                </c:pt>
                <c:pt idx="450">
                  <c:v>8175.9999999999945</c:v>
                </c:pt>
                <c:pt idx="451">
                  <c:v>8175.9999999999945</c:v>
                </c:pt>
                <c:pt idx="452">
                  <c:v>8175.9999999999945</c:v>
                </c:pt>
                <c:pt idx="453">
                  <c:v>8175.9999999999945</c:v>
                </c:pt>
                <c:pt idx="454">
                  <c:v>8175.9999999999945</c:v>
                </c:pt>
                <c:pt idx="455">
                  <c:v>8175.9999999999945</c:v>
                </c:pt>
                <c:pt idx="456">
                  <c:v>8175.9999999999945</c:v>
                </c:pt>
                <c:pt idx="457">
                  <c:v>8175.9999999999945</c:v>
                </c:pt>
                <c:pt idx="458">
                  <c:v>8175.9999999999945</c:v>
                </c:pt>
                <c:pt idx="459">
                  <c:v>8175.9999999999945</c:v>
                </c:pt>
                <c:pt idx="460">
                  <c:v>8175.9999999999945</c:v>
                </c:pt>
                <c:pt idx="461">
                  <c:v>8175.9999999999945</c:v>
                </c:pt>
                <c:pt idx="462">
                  <c:v>8175.9999999999945</c:v>
                </c:pt>
                <c:pt idx="463">
                  <c:v>8175.9999999999945</c:v>
                </c:pt>
                <c:pt idx="464">
                  <c:v>8175.9999999999945</c:v>
                </c:pt>
                <c:pt idx="465">
                  <c:v>8175.9999999999945</c:v>
                </c:pt>
                <c:pt idx="466">
                  <c:v>8175.9999999999945</c:v>
                </c:pt>
                <c:pt idx="467">
                  <c:v>8175.9999999999945</c:v>
                </c:pt>
                <c:pt idx="468">
                  <c:v>8175.9999999999945</c:v>
                </c:pt>
                <c:pt idx="469">
                  <c:v>8175.9999999999945</c:v>
                </c:pt>
                <c:pt idx="470">
                  <c:v>8175.9999999999945</c:v>
                </c:pt>
                <c:pt idx="471">
                  <c:v>8175.9999999999945</c:v>
                </c:pt>
                <c:pt idx="472">
                  <c:v>8175.9999999999945</c:v>
                </c:pt>
                <c:pt idx="473">
                  <c:v>8175.9999999999945</c:v>
                </c:pt>
                <c:pt idx="474">
                  <c:v>8575.9999999999945</c:v>
                </c:pt>
                <c:pt idx="475">
                  <c:v>8975.9999999999945</c:v>
                </c:pt>
                <c:pt idx="476">
                  <c:v>9775.9999999999945</c:v>
                </c:pt>
                <c:pt idx="477">
                  <c:v>10735.999999999996</c:v>
                </c:pt>
                <c:pt idx="478">
                  <c:v>10735.999999999996</c:v>
                </c:pt>
                <c:pt idx="479">
                  <c:v>11135.999999999996</c:v>
                </c:pt>
                <c:pt idx="480">
                  <c:v>11935.999999999996</c:v>
                </c:pt>
                <c:pt idx="481">
                  <c:v>11935.999999999996</c:v>
                </c:pt>
                <c:pt idx="482">
                  <c:v>11935.999999999996</c:v>
                </c:pt>
                <c:pt idx="483">
                  <c:v>11935.999999999996</c:v>
                </c:pt>
                <c:pt idx="484">
                  <c:v>11935.999999999996</c:v>
                </c:pt>
                <c:pt idx="485">
                  <c:v>11135.999999999996</c:v>
                </c:pt>
                <c:pt idx="486">
                  <c:v>11135.999999999996</c:v>
                </c:pt>
                <c:pt idx="487">
                  <c:v>11439.999999999996</c:v>
                </c:pt>
                <c:pt idx="488">
                  <c:v>11439.999999999996</c:v>
                </c:pt>
                <c:pt idx="489">
                  <c:v>11439.999999999996</c:v>
                </c:pt>
                <c:pt idx="490">
                  <c:v>11439.999999999996</c:v>
                </c:pt>
                <c:pt idx="491">
                  <c:v>11439.999999999996</c:v>
                </c:pt>
                <c:pt idx="492">
                  <c:v>11439.999999999996</c:v>
                </c:pt>
                <c:pt idx="493">
                  <c:v>11439.999999999996</c:v>
                </c:pt>
                <c:pt idx="494">
                  <c:v>11439.999999999996</c:v>
                </c:pt>
                <c:pt idx="495">
                  <c:v>11439.999999999996</c:v>
                </c:pt>
                <c:pt idx="496">
                  <c:v>11439.999999999996</c:v>
                </c:pt>
                <c:pt idx="497">
                  <c:v>11439.999999999996</c:v>
                </c:pt>
                <c:pt idx="498">
                  <c:v>11439.999999999996</c:v>
                </c:pt>
                <c:pt idx="499">
                  <c:v>11439.999999999996</c:v>
                </c:pt>
                <c:pt idx="500">
                  <c:v>11439.999999999996</c:v>
                </c:pt>
                <c:pt idx="501">
                  <c:v>11759.999999999996</c:v>
                </c:pt>
                <c:pt idx="502">
                  <c:v>11759.999999999996</c:v>
                </c:pt>
                <c:pt idx="503">
                  <c:v>11759.999999999996</c:v>
                </c:pt>
                <c:pt idx="504">
                  <c:v>11759.999999999996</c:v>
                </c:pt>
                <c:pt idx="505">
                  <c:v>12719.999999999996</c:v>
                </c:pt>
                <c:pt idx="506">
                  <c:v>12719.999999999996</c:v>
                </c:pt>
                <c:pt idx="507">
                  <c:v>12719.999999999996</c:v>
                </c:pt>
                <c:pt idx="508">
                  <c:v>12719.999999999996</c:v>
                </c:pt>
                <c:pt idx="509">
                  <c:v>12719.999999999996</c:v>
                </c:pt>
                <c:pt idx="510">
                  <c:v>12719.999999999996</c:v>
                </c:pt>
                <c:pt idx="511">
                  <c:v>12767.999999999996</c:v>
                </c:pt>
                <c:pt idx="512">
                  <c:v>12767.999999999996</c:v>
                </c:pt>
                <c:pt idx="513">
                  <c:v>12767.999999999996</c:v>
                </c:pt>
                <c:pt idx="514">
                  <c:v>12767.999999999996</c:v>
                </c:pt>
                <c:pt idx="515">
                  <c:v>12767.999999999996</c:v>
                </c:pt>
                <c:pt idx="516">
                  <c:v>12767.999999999996</c:v>
                </c:pt>
                <c:pt idx="517">
                  <c:v>12767.999999999996</c:v>
                </c:pt>
                <c:pt idx="518">
                  <c:v>14047.999999999996</c:v>
                </c:pt>
                <c:pt idx="519">
                  <c:v>14527.999999999996</c:v>
                </c:pt>
                <c:pt idx="520">
                  <c:v>14527.999999999996</c:v>
                </c:pt>
                <c:pt idx="521">
                  <c:v>14527.999999999996</c:v>
                </c:pt>
                <c:pt idx="522">
                  <c:v>15167.999999999996</c:v>
                </c:pt>
                <c:pt idx="523">
                  <c:v>15167.999999999996</c:v>
                </c:pt>
                <c:pt idx="524">
                  <c:v>15167.999999999996</c:v>
                </c:pt>
                <c:pt idx="525">
                  <c:v>13727.999999999995</c:v>
                </c:pt>
                <c:pt idx="526">
                  <c:v>13727.999999999995</c:v>
                </c:pt>
                <c:pt idx="527">
                  <c:v>13727.999999999995</c:v>
                </c:pt>
                <c:pt idx="528">
                  <c:v>13727.999999999995</c:v>
                </c:pt>
                <c:pt idx="529">
                  <c:v>13727.999999999995</c:v>
                </c:pt>
                <c:pt idx="530">
                  <c:v>13727.999999999995</c:v>
                </c:pt>
                <c:pt idx="531">
                  <c:v>13727.999999999995</c:v>
                </c:pt>
                <c:pt idx="532">
                  <c:v>13727.999999999995</c:v>
                </c:pt>
                <c:pt idx="533">
                  <c:v>13727.999999999995</c:v>
                </c:pt>
                <c:pt idx="534">
                  <c:v>13727.999999999995</c:v>
                </c:pt>
                <c:pt idx="535">
                  <c:v>13727.999999999995</c:v>
                </c:pt>
                <c:pt idx="536">
                  <c:v>13727.999999999995</c:v>
                </c:pt>
                <c:pt idx="537">
                  <c:v>13727.999999999995</c:v>
                </c:pt>
                <c:pt idx="538">
                  <c:v>13727.999999999995</c:v>
                </c:pt>
                <c:pt idx="539">
                  <c:v>13727.999999999995</c:v>
                </c:pt>
                <c:pt idx="540">
                  <c:v>13727.999999999995</c:v>
                </c:pt>
                <c:pt idx="541">
                  <c:v>13727.999999999995</c:v>
                </c:pt>
                <c:pt idx="542">
                  <c:v>13727.999999999995</c:v>
                </c:pt>
                <c:pt idx="543">
                  <c:v>13727.999999999995</c:v>
                </c:pt>
                <c:pt idx="544">
                  <c:v>13727.999999999995</c:v>
                </c:pt>
                <c:pt idx="545">
                  <c:v>13727.999999999995</c:v>
                </c:pt>
                <c:pt idx="546">
                  <c:v>16607.999999999996</c:v>
                </c:pt>
                <c:pt idx="547">
                  <c:v>21247.999999999996</c:v>
                </c:pt>
                <c:pt idx="548">
                  <c:v>16607.999999999996</c:v>
                </c:pt>
                <c:pt idx="549">
                  <c:v>16607.999999999996</c:v>
                </c:pt>
                <c:pt idx="550">
                  <c:v>17407.999999999996</c:v>
                </c:pt>
                <c:pt idx="551">
                  <c:v>20047.999999999996</c:v>
                </c:pt>
                <c:pt idx="552">
                  <c:v>21247.999999999996</c:v>
                </c:pt>
                <c:pt idx="553">
                  <c:v>22527.999999999996</c:v>
                </c:pt>
                <c:pt idx="554">
                  <c:v>23728</c:v>
                </c:pt>
                <c:pt idx="555">
                  <c:v>16018.285714285717</c:v>
                </c:pt>
                <c:pt idx="556">
                  <c:v>23728</c:v>
                </c:pt>
                <c:pt idx="557">
                  <c:v>23728</c:v>
                </c:pt>
                <c:pt idx="558">
                  <c:v>23728</c:v>
                </c:pt>
                <c:pt idx="559">
                  <c:v>23728</c:v>
                </c:pt>
                <c:pt idx="560">
                  <c:v>23344</c:v>
                </c:pt>
                <c:pt idx="561">
                  <c:v>23344</c:v>
                </c:pt>
                <c:pt idx="562">
                  <c:v>23344</c:v>
                </c:pt>
                <c:pt idx="563">
                  <c:v>23344</c:v>
                </c:pt>
                <c:pt idx="564">
                  <c:v>23344</c:v>
                </c:pt>
                <c:pt idx="565">
                  <c:v>23344</c:v>
                </c:pt>
                <c:pt idx="566">
                  <c:v>23344</c:v>
                </c:pt>
                <c:pt idx="567">
                  <c:v>23344</c:v>
                </c:pt>
                <c:pt idx="568">
                  <c:v>18338.285714285717</c:v>
                </c:pt>
                <c:pt idx="569">
                  <c:v>23344</c:v>
                </c:pt>
                <c:pt idx="570">
                  <c:v>23344</c:v>
                </c:pt>
                <c:pt idx="571">
                  <c:v>18338.285714285717</c:v>
                </c:pt>
                <c:pt idx="572">
                  <c:v>23344</c:v>
                </c:pt>
                <c:pt idx="573">
                  <c:v>23344</c:v>
                </c:pt>
                <c:pt idx="574">
                  <c:v>23344</c:v>
                </c:pt>
                <c:pt idx="575">
                  <c:v>18338.285714285717</c:v>
                </c:pt>
                <c:pt idx="576">
                  <c:v>16018.285714285717</c:v>
                </c:pt>
                <c:pt idx="577">
                  <c:v>23664</c:v>
                </c:pt>
                <c:pt idx="578">
                  <c:v>23664</c:v>
                </c:pt>
                <c:pt idx="579">
                  <c:v>23664</c:v>
                </c:pt>
                <c:pt idx="580">
                  <c:v>23664</c:v>
                </c:pt>
                <c:pt idx="581">
                  <c:v>23344</c:v>
                </c:pt>
                <c:pt idx="582">
                  <c:v>23344</c:v>
                </c:pt>
                <c:pt idx="583">
                  <c:v>24912</c:v>
                </c:pt>
                <c:pt idx="584">
                  <c:v>23344</c:v>
                </c:pt>
                <c:pt idx="585">
                  <c:v>23344</c:v>
                </c:pt>
                <c:pt idx="586">
                  <c:v>26080</c:v>
                </c:pt>
                <c:pt idx="587">
                  <c:v>23584</c:v>
                </c:pt>
                <c:pt idx="588">
                  <c:v>23584</c:v>
                </c:pt>
                <c:pt idx="589">
                  <c:v>24384</c:v>
                </c:pt>
                <c:pt idx="590">
                  <c:v>24384</c:v>
                </c:pt>
                <c:pt idx="591">
                  <c:v>25184</c:v>
                </c:pt>
                <c:pt idx="592">
                  <c:v>25824</c:v>
                </c:pt>
                <c:pt idx="593">
                  <c:v>26080</c:v>
                </c:pt>
                <c:pt idx="594">
                  <c:v>26080</c:v>
                </c:pt>
                <c:pt idx="595">
                  <c:v>26080</c:v>
                </c:pt>
                <c:pt idx="596">
                  <c:v>27040</c:v>
                </c:pt>
                <c:pt idx="597">
                  <c:v>27040</c:v>
                </c:pt>
                <c:pt idx="598">
                  <c:v>27040</c:v>
                </c:pt>
                <c:pt idx="599">
                  <c:v>24912</c:v>
                </c:pt>
                <c:pt idx="600">
                  <c:v>27040</c:v>
                </c:pt>
                <c:pt idx="601">
                  <c:v>27040</c:v>
                </c:pt>
                <c:pt idx="602">
                  <c:v>27040</c:v>
                </c:pt>
                <c:pt idx="603">
                  <c:v>27040</c:v>
                </c:pt>
                <c:pt idx="604">
                  <c:v>27040</c:v>
                </c:pt>
                <c:pt idx="605">
                  <c:v>26320</c:v>
                </c:pt>
                <c:pt idx="606">
                  <c:v>26320</c:v>
                </c:pt>
                <c:pt idx="607">
                  <c:v>26320</c:v>
                </c:pt>
                <c:pt idx="608">
                  <c:v>25040</c:v>
                </c:pt>
                <c:pt idx="609">
                  <c:v>24080</c:v>
                </c:pt>
                <c:pt idx="610">
                  <c:v>24880</c:v>
                </c:pt>
                <c:pt idx="611">
                  <c:v>24880</c:v>
                </c:pt>
                <c:pt idx="612">
                  <c:v>24912</c:v>
                </c:pt>
                <c:pt idx="613">
                  <c:v>24912</c:v>
                </c:pt>
                <c:pt idx="614">
                  <c:v>24912</c:v>
                </c:pt>
                <c:pt idx="615">
                  <c:v>24912</c:v>
                </c:pt>
                <c:pt idx="616">
                  <c:v>24912</c:v>
                </c:pt>
                <c:pt idx="617">
                  <c:v>24912</c:v>
                </c:pt>
                <c:pt idx="618">
                  <c:v>24912</c:v>
                </c:pt>
                <c:pt idx="619">
                  <c:v>24912</c:v>
                </c:pt>
                <c:pt idx="620">
                  <c:v>18338.285714285717</c:v>
                </c:pt>
                <c:pt idx="621">
                  <c:v>26192</c:v>
                </c:pt>
                <c:pt idx="622">
                  <c:v>26192</c:v>
                </c:pt>
                <c:pt idx="623">
                  <c:v>26832</c:v>
                </c:pt>
                <c:pt idx="624">
                  <c:v>26992</c:v>
                </c:pt>
                <c:pt idx="625">
                  <c:v>27328</c:v>
                </c:pt>
                <c:pt idx="626">
                  <c:v>27328</c:v>
                </c:pt>
                <c:pt idx="627">
                  <c:v>18338.285714285717</c:v>
                </c:pt>
                <c:pt idx="628">
                  <c:v>27328</c:v>
                </c:pt>
                <c:pt idx="629">
                  <c:v>27328</c:v>
                </c:pt>
                <c:pt idx="630">
                  <c:v>27328</c:v>
                </c:pt>
                <c:pt idx="631">
                  <c:v>27328</c:v>
                </c:pt>
                <c:pt idx="632">
                  <c:v>27328</c:v>
                </c:pt>
                <c:pt idx="633">
                  <c:v>27328</c:v>
                </c:pt>
                <c:pt idx="634">
                  <c:v>27328</c:v>
                </c:pt>
                <c:pt idx="635">
                  <c:v>27328</c:v>
                </c:pt>
                <c:pt idx="636">
                  <c:v>27328</c:v>
                </c:pt>
                <c:pt idx="637">
                  <c:v>27328</c:v>
                </c:pt>
                <c:pt idx="638">
                  <c:v>25408</c:v>
                </c:pt>
                <c:pt idx="639">
                  <c:v>18338.285714285717</c:v>
                </c:pt>
                <c:pt idx="640">
                  <c:v>23808</c:v>
                </c:pt>
                <c:pt idx="641">
                  <c:v>23488</c:v>
                </c:pt>
                <c:pt idx="642">
                  <c:v>18338.285714285717</c:v>
                </c:pt>
                <c:pt idx="643">
                  <c:v>23488</c:v>
                </c:pt>
                <c:pt idx="644">
                  <c:v>23488</c:v>
                </c:pt>
                <c:pt idx="645">
                  <c:v>20002.285714285714</c:v>
                </c:pt>
                <c:pt idx="646">
                  <c:v>23488</c:v>
                </c:pt>
                <c:pt idx="647">
                  <c:v>20002.285714285714</c:v>
                </c:pt>
                <c:pt idx="648">
                  <c:v>23488</c:v>
                </c:pt>
                <c:pt idx="649">
                  <c:v>23488</c:v>
                </c:pt>
                <c:pt idx="650">
                  <c:v>23488</c:v>
                </c:pt>
                <c:pt idx="651">
                  <c:v>23488</c:v>
                </c:pt>
                <c:pt idx="652">
                  <c:v>23488</c:v>
                </c:pt>
                <c:pt idx="653">
                  <c:v>23488</c:v>
                </c:pt>
                <c:pt idx="654">
                  <c:v>23488</c:v>
                </c:pt>
                <c:pt idx="655">
                  <c:v>23488</c:v>
                </c:pt>
                <c:pt idx="656">
                  <c:v>23488</c:v>
                </c:pt>
                <c:pt idx="657">
                  <c:v>23488</c:v>
                </c:pt>
                <c:pt idx="658">
                  <c:v>23488</c:v>
                </c:pt>
                <c:pt idx="659">
                  <c:v>22048</c:v>
                </c:pt>
                <c:pt idx="660">
                  <c:v>22048</c:v>
                </c:pt>
                <c:pt idx="661">
                  <c:v>22048</c:v>
                </c:pt>
                <c:pt idx="662">
                  <c:v>22048</c:v>
                </c:pt>
                <c:pt idx="663">
                  <c:v>22048</c:v>
                </c:pt>
                <c:pt idx="664">
                  <c:v>18162.285714285714</c:v>
                </c:pt>
                <c:pt idx="665">
                  <c:v>16242.285714285714</c:v>
                </c:pt>
                <c:pt idx="666">
                  <c:v>20002.285714285714</c:v>
                </c:pt>
                <c:pt idx="667">
                  <c:v>16242.285714285714</c:v>
                </c:pt>
                <c:pt idx="668">
                  <c:v>16242.285714285714</c:v>
                </c:pt>
                <c:pt idx="669">
                  <c:v>17842.285714285714</c:v>
                </c:pt>
                <c:pt idx="670">
                  <c:v>17842.285714285714</c:v>
                </c:pt>
                <c:pt idx="671">
                  <c:v>17842.285714285714</c:v>
                </c:pt>
                <c:pt idx="672">
                  <c:v>17842.285714285714</c:v>
                </c:pt>
                <c:pt idx="673">
                  <c:v>17842.285714285714</c:v>
                </c:pt>
                <c:pt idx="674">
                  <c:v>17842.285714285714</c:v>
                </c:pt>
                <c:pt idx="675">
                  <c:v>17842.285714285714</c:v>
                </c:pt>
                <c:pt idx="676">
                  <c:v>17842.285714285714</c:v>
                </c:pt>
                <c:pt idx="677">
                  <c:v>17842.285714285714</c:v>
                </c:pt>
                <c:pt idx="678">
                  <c:v>17842.285714285714</c:v>
                </c:pt>
                <c:pt idx="679">
                  <c:v>17842.285714285714</c:v>
                </c:pt>
                <c:pt idx="680">
                  <c:v>17842.285714285714</c:v>
                </c:pt>
                <c:pt idx="681">
                  <c:v>17842.285714285714</c:v>
                </c:pt>
                <c:pt idx="682">
                  <c:v>17842.285714285714</c:v>
                </c:pt>
                <c:pt idx="683">
                  <c:v>17842.285714285714</c:v>
                </c:pt>
                <c:pt idx="684">
                  <c:v>17842.285714285714</c:v>
                </c:pt>
                <c:pt idx="685">
                  <c:v>17842.285714285714</c:v>
                </c:pt>
                <c:pt idx="686">
                  <c:v>17842.285714285714</c:v>
                </c:pt>
                <c:pt idx="687">
                  <c:v>17842.285714285714</c:v>
                </c:pt>
                <c:pt idx="688">
                  <c:v>17842.285714285714</c:v>
                </c:pt>
                <c:pt idx="689">
                  <c:v>17842.285714285714</c:v>
                </c:pt>
                <c:pt idx="690">
                  <c:v>17842.285714285714</c:v>
                </c:pt>
                <c:pt idx="691">
                  <c:v>17842.285714285714</c:v>
                </c:pt>
                <c:pt idx="692">
                  <c:v>17842.285714285714</c:v>
                </c:pt>
                <c:pt idx="693">
                  <c:v>17842.285714285714</c:v>
                </c:pt>
                <c:pt idx="694">
                  <c:v>17842.285714285714</c:v>
                </c:pt>
                <c:pt idx="695">
                  <c:v>17842.285714285714</c:v>
                </c:pt>
                <c:pt idx="696">
                  <c:v>17842.285714285714</c:v>
                </c:pt>
                <c:pt idx="697">
                  <c:v>17842.285714285714</c:v>
                </c:pt>
                <c:pt idx="698">
                  <c:v>17842.285714285714</c:v>
                </c:pt>
                <c:pt idx="699">
                  <c:v>17842.285714285714</c:v>
                </c:pt>
                <c:pt idx="700">
                  <c:v>17842.285714285714</c:v>
                </c:pt>
                <c:pt idx="701">
                  <c:v>17842.285714285714</c:v>
                </c:pt>
                <c:pt idx="702">
                  <c:v>20002.285714285714</c:v>
                </c:pt>
                <c:pt idx="703">
                  <c:v>17842.285714285714</c:v>
                </c:pt>
                <c:pt idx="704">
                  <c:v>17842.285714285714</c:v>
                </c:pt>
                <c:pt idx="705">
                  <c:v>17842.285714285714</c:v>
                </c:pt>
                <c:pt idx="706">
                  <c:v>17842.285714285714</c:v>
                </c:pt>
                <c:pt idx="707">
                  <c:v>17842.285714285714</c:v>
                </c:pt>
                <c:pt idx="708">
                  <c:v>17842.285714285714</c:v>
                </c:pt>
                <c:pt idx="709">
                  <c:v>18402.285714285714</c:v>
                </c:pt>
                <c:pt idx="710">
                  <c:v>20002.285714285714</c:v>
                </c:pt>
                <c:pt idx="711">
                  <c:v>20002.285714285714</c:v>
                </c:pt>
                <c:pt idx="712">
                  <c:v>20002.285714285714</c:v>
                </c:pt>
                <c:pt idx="713">
                  <c:v>20002.285714285714</c:v>
                </c:pt>
                <c:pt idx="714">
                  <c:v>20002.285714285714</c:v>
                </c:pt>
                <c:pt idx="715">
                  <c:v>20002.285714285714</c:v>
                </c:pt>
                <c:pt idx="716">
                  <c:v>20002.285714285714</c:v>
                </c:pt>
                <c:pt idx="717">
                  <c:v>20002.285714285714</c:v>
                </c:pt>
                <c:pt idx="718">
                  <c:v>20002.285714285714</c:v>
                </c:pt>
                <c:pt idx="719">
                  <c:v>20002.285714285714</c:v>
                </c:pt>
                <c:pt idx="720">
                  <c:v>20002.285714285714</c:v>
                </c:pt>
                <c:pt idx="721">
                  <c:v>20002.285714285714</c:v>
                </c:pt>
                <c:pt idx="722">
                  <c:v>20002.285714285714</c:v>
                </c:pt>
                <c:pt idx="723">
                  <c:v>20002.285714285714</c:v>
                </c:pt>
                <c:pt idx="724">
                  <c:v>20002.285714285714</c:v>
                </c:pt>
                <c:pt idx="725">
                  <c:v>20002.285714285714</c:v>
                </c:pt>
                <c:pt idx="726">
                  <c:v>20002.285714285714</c:v>
                </c:pt>
                <c:pt idx="727">
                  <c:v>20002.285714285714</c:v>
                </c:pt>
                <c:pt idx="728">
                  <c:v>20002.285714285714</c:v>
                </c:pt>
                <c:pt idx="729">
                  <c:v>20002.285714285714</c:v>
                </c:pt>
                <c:pt idx="730">
                  <c:v>20002.285714285714</c:v>
                </c:pt>
                <c:pt idx="731">
                  <c:v>18338.285714285717</c:v>
                </c:pt>
                <c:pt idx="732">
                  <c:v>17938.285714285706</c:v>
                </c:pt>
                <c:pt idx="733">
                  <c:v>20002.285714285714</c:v>
                </c:pt>
                <c:pt idx="734">
                  <c:v>20002.285714285714</c:v>
                </c:pt>
                <c:pt idx="735">
                  <c:v>20002.285714285714</c:v>
                </c:pt>
                <c:pt idx="736">
                  <c:v>20002.285714285714</c:v>
                </c:pt>
                <c:pt idx="737">
                  <c:v>20002.285714285714</c:v>
                </c:pt>
                <c:pt idx="738">
                  <c:v>17938.285714285706</c:v>
                </c:pt>
                <c:pt idx="739">
                  <c:v>20002.285714285714</c:v>
                </c:pt>
                <c:pt idx="740">
                  <c:v>20002.285714285714</c:v>
                </c:pt>
                <c:pt idx="741">
                  <c:v>21202.285714285714</c:v>
                </c:pt>
                <c:pt idx="742">
                  <c:v>20002.285714285714</c:v>
                </c:pt>
                <c:pt idx="743">
                  <c:v>20002.285714285714</c:v>
                </c:pt>
                <c:pt idx="744">
                  <c:v>20002.285714285714</c:v>
                </c:pt>
                <c:pt idx="745">
                  <c:v>20002.285714285714</c:v>
                </c:pt>
                <c:pt idx="746">
                  <c:v>21202.285714285714</c:v>
                </c:pt>
                <c:pt idx="747">
                  <c:v>20002.285714285714</c:v>
                </c:pt>
                <c:pt idx="748">
                  <c:v>20002.285714285714</c:v>
                </c:pt>
                <c:pt idx="749">
                  <c:v>20002.285714285714</c:v>
                </c:pt>
                <c:pt idx="750">
                  <c:v>20002.285714285714</c:v>
                </c:pt>
                <c:pt idx="751">
                  <c:v>20002.285714285714</c:v>
                </c:pt>
                <c:pt idx="752">
                  <c:v>20002.285714285714</c:v>
                </c:pt>
                <c:pt idx="753">
                  <c:v>20002.285714285714</c:v>
                </c:pt>
                <c:pt idx="754">
                  <c:v>21202.285714285714</c:v>
                </c:pt>
                <c:pt idx="755">
                  <c:v>21202.285714285714</c:v>
                </c:pt>
                <c:pt idx="756">
                  <c:v>21202.285714285714</c:v>
                </c:pt>
                <c:pt idx="757">
                  <c:v>21202.285714285714</c:v>
                </c:pt>
                <c:pt idx="758">
                  <c:v>21202.285714285714</c:v>
                </c:pt>
                <c:pt idx="759">
                  <c:v>21202.285714285714</c:v>
                </c:pt>
                <c:pt idx="760">
                  <c:v>21202.285714285714</c:v>
                </c:pt>
                <c:pt idx="761">
                  <c:v>21202.285714285714</c:v>
                </c:pt>
                <c:pt idx="762">
                  <c:v>21362.285714285714</c:v>
                </c:pt>
                <c:pt idx="763">
                  <c:v>21202.285714285714</c:v>
                </c:pt>
                <c:pt idx="764">
                  <c:v>21202.285714285714</c:v>
                </c:pt>
                <c:pt idx="765">
                  <c:v>21202.285714285714</c:v>
                </c:pt>
                <c:pt idx="766">
                  <c:v>21202.285714285714</c:v>
                </c:pt>
                <c:pt idx="767">
                  <c:v>21362.285714285714</c:v>
                </c:pt>
                <c:pt idx="768">
                  <c:v>21362.285714285714</c:v>
                </c:pt>
                <c:pt idx="769">
                  <c:v>21362.285714285714</c:v>
                </c:pt>
                <c:pt idx="770">
                  <c:v>21362.285714285714</c:v>
                </c:pt>
                <c:pt idx="771">
                  <c:v>21362.285714285714</c:v>
                </c:pt>
                <c:pt idx="772">
                  <c:v>21362.285714285714</c:v>
                </c:pt>
                <c:pt idx="773">
                  <c:v>21362.285714285714</c:v>
                </c:pt>
                <c:pt idx="774">
                  <c:v>21362.285714285714</c:v>
                </c:pt>
                <c:pt idx="775">
                  <c:v>24722.28571428571</c:v>
                </c:pt>
                <c:pt idx="776">
                  <c:v>21362.285714285714</c:v>
                </c:pt>
                <c:pt idx="777">
                  <c:v>21362.285714285714</c:v>
                </c:pt>
                <c:pt idx="778">
                  <c:v>21362.285714285714</c:v>
                </c:pt>
                <c:pt idx="779">
                  <c:v>21362.285714285714</c:v>
                </c:pt>
                <c:pt idx="780">
                  <c:v>21362.285714285714</c:v>
                </c:pt>
                <c:pt idx="781">
                  <c:v>21362.285714285714</c:v>
                </c:pt>
                <c:pt idx="782">
                  <c:v>21362.285714285714</c:v>
                </c:pt>
                <c:pt idx="783">
                  <c:v>21362.285714285714</c:v>
                </c:pt>
                <c:pt idx="784">
                  <c:v>21362.285714285714</c:v>
                </c:pt>
                <c:pt idx="785">
                  <c:v>24722.28571428571</c:v>
                </c:pt>
                <c:pt idx="786">
                  <c:v>21362.285714285714</c:v>
                </c:pt>
                <c:pt idx="787">
                  <c:v>21362.285714285714</c:v>
                </c:pt>
                <c:pt idx="788">
                  <c:v>24722.28571428571</c:v>
                </c:pt>
                <c:pt idx="789">
                  <c:v>21362.285714285714</c:v>
                </c:pt>
                <c:pt idx="790">
                  <c:v>21362.285714285714</c:v>
                </c:pt>
                <c:pt idx="791">
                  <c:v>22962.285714285714</c:v>
                </c:pt>
                <c:pt idx="792">
                  <c:v>23762.28571428571</c:v>
                </c:pt>
                <c:pt idx="793">
                  <c:v>24722.28571428571</c:v>
                </c:pt>
                <c:pt idx="794">
                  <c:v>24722.28571428571</c:v>
                </c:pt>
                <c:pt idx="795">
                  <c:v>25058.28571428571</c:v>
                </c:pt>
                <c:pt idx="796">
                  <c:v>24722.28571428571</c:v>
                </c:pt>
                <c:pt idx="797">
                  <c:v>24722.28571428571</c:v>
                </c:pt>
                <c:pt idx="798">
                  <c:v>25058.28571428571</c:v>
                </c:pt>
                <c:pt idx="799">
                  <c:v>24722.28571428571</c:v>
                </c:pt>
                <c:pt idx="800">
                  <c:v>24722.28571428571</c:v>
                </c:pt>
                <c:pt idx="801">
                  <c:v>23922.28571428571</c:v>
                </c:pt>
                <c:pt idx="802">
                  <c:v>25058.28571428571</c:v>
                </c:pt>
                <c:pt idx="803">
                  <c:v>24722.28571428571</c:v>
                </c:pt>
                <c:pt idx="804">
                  <c:v>24722.28571428571</c:v>
                </c:pt>
                <c:pt idx="805">
                  <c:v>24722.28571428571</c:v>
                </c:pt>
                <c:pt idx="806">
                  <c:v>23922.28571428571</c:v>
                </c:pt>
                <c:pt idx="807">
                  <c:v>23922.28571428571</c:v>
                </c:pt>
                <c:pt idx="808">
                  <c:v>23922.28571428571</c:v>
                </c:pt>
                <c:pt idx="809">
                  <c:v>23922.28571428571</c:v>
                </c:pt>
                <c:pt idx="810">
                  <c:v>23922.28571428571</c:v>
                </c:pt>
                <c:pt idx="811">
                  <c:v>23922.28571428571</c:v>
                </c:pt>
                <c:pt idx="812">
                  <c:v>23922.28571428571</c:v>
                </c:pt>
                <c:pt idx="813">
                  <c:v>25058.28571428571</c:v>
                </c:pt>
                <c:pt idx="814">
                  <c:v>17938.285714285706</c:v>
                </c:pt>
                <c:pt idx="815">
                  <c:v>23922.28571428571</c:v>
                </c:pt>
                <c:pt idx="816">
                  <c:v>24402.28571428571</c:v>
                </c:pt>
                <c:pt idx="817">
                  <c:v>25058.28571428571</c:v>
                </c:pt>
                <c:pt idx="818">
                  <c:v>24402.28571428571</c:v>
                </c:pt>
                <c:pt idx="819">
                  <c:v>24402.28571428571</c:v>
                </c:pt>
                <c:pt idx="820">
                  <c:v>24402.28571428571</c:v>
                </c:pt>
                <c:pt idx="821">
                  <c:v>24402.28571428571</c:v>
                </c:pt>
                <c:pt idx="822">
                  <c:v>25058.28571428571</c:v>
                </c:pt>
                <c:pt idx="823">
                  <c:v>17938.285714285706</c:v>
                </c:pt>
                <c:pt idx="824">
                  <c:v>25058.28571428571</c:v>
                </c:pt>
                <c:pt idx="825">
                  <c:v>25058.28571428571</c:v>
                </c:pt>
                <c:pt idx="826">
                  <c:v>25058.28571428571</c:v>
                </c:pt>
                <c:pt idx="827">
                  <c:v>17938.285714285706</c:v>
                </c:pt>
                <c:pt idx="828">
                  <c:v>17938.285714285706</c:v>
                </c:pt>
                <c:pt idx="829">
                  <c:v>25058.28571428571</c:v>
                </c:pt>
                <c:pt idx="830">
                  <c:v>25058.28571428571</c:v>
                </c:pt>
                <c:pt idx="831">
                  <c:v>25058.28571428571</c:v>
                </c:pt>
                <c:pt idx="832">
                  <c:v>25058.28571428571</c:v>
                </c:pt>
                <c:pt idx="833">
                  <c:v>25058.28571428571</c:v>
                </c:pt>
                <c:pt idx="834">
                  <c:v>17938.285714285706</c:v>
                </c:pt>
                <c:pt idx="835">
                  <c:v>17938.285714285706</c:v>
                </c:pt>
                <c:pt idx="836">
                  <c:v>25058.28571428571</c:v>
                </c:pt>
                <c:pt idx="837">
                  <c:v>17938.285714285706</c:v>
                </c:pt>
                <c:pt idx="838">
                  <c:v>17938.285714285706</c:v>
                </c:pt>
                <c:pt idx="839">
                  <c:v>25058.28571428571</c:v>
                </c:pt>
                <c:pt idx="840">
                  <c:v>27810.285714285706</c:v>
                </c:pt>
                <c:pt idx="841">
                  <c:v>27810.285714285706</c:v>
                </c:pt>
                <c:pt idx="842">
                  <c:v>27810.285714285706</c:v>
                </c:pt>
                <c:pt idx="843">
                  <c:v>27810.285714285706</c:v>
                </c:pt>
                <c:pt idx="844">
                  <c:v>27810.285714285706</c:v>
                </c:pt>
                <c:pt idx="845">
                  <c:v>19138.285714285706</c:v>
                </c:pt>
                <c:pt idx="846">
                  <c:v>17938.285714285706</c:v>
                </c:pt>
                <c:pt idx="847">
                  <c:v>27810.285714285706</c:v>
                </c:pt>
                <c:pt idx="848">
                  <c:v>27810.285714285706</c:v>
                </c:pt>
                <c:pt idx="849">
                  <c:v>19138.285714285706</c:v>
                </c:pt>
                <c:pt idx="850">
                  <c:v>17938.285714285706</c:v>
                </c:pt>
                <c:pt idx="851">
                  <c:v>27810.285714285706</c:v>
                </c:pt>
                <c:pt idx="852">
                  <c:v>27810.285714285706</c:v>
                </c:pt>
                <c:pt idx="853">
                  <c:v>27810.285714285706</c:v>
                </c:pt>
                <c:pt idx="854">
                  <c:v>27810.285714285706</c:v>
                </c:pt>
                <c:pt idx="855">
                  <c:v>26530.285714285706</c:v>
                </c:pt>
                <c:pt idx="856">
                  <c:v>26530.285714285706</c:v>
                </c:pt>
                <c:pt idx="857">
                  <c:v>24130.285714285706</c:v>
                </c:pt>
                <c:pt idx="858">
                  <c:v>24130.285714285706</c:v>
                </c:pt>
                <c:pt idx="859">
                  <c:v>20930.285714285706</c:v>
                </c:pt>
                <c:pt idx="860">
                  <c:v>19138.285714285706</c:v>
                </c:pt>
                <c:pt idx="861">
                  <c:v>19138.285714285706</c:v>
                </c:pt>
                <c:pt idx="862">
                  <c:v>17938.285714285706</c:v>
                </c:pt>
                <c:pt idx="863">
                  <c:v>17938.285714285706</c:v>
                </c:pt>
                <c:pt idx="864">
                  <c:v>19138.285714285706</c:v>
                </c:pt>
                <c:pt idx="865">
                  <c:v>19138.285714285706</c:v>
                </c:pt>
                <c:pt idx="866">
                  <c:v>17938.285714285706</c:v>
                </c:pt>
                <c:pt idx="867">
                  <c:v>17938.285714285706</c:v>
                </c:pt>
                <c:pt idx="868">
                  <c:v>17938.285714285706</c:v>
                </c:pt>
                <c:pt idx="869">
                  <c:v>17938.285714285706</c:v>
                </c:pt>
                <c:pt idx="870">
                  <c:v>17938.285714285706</c:v>
                </c:pt>
                <c:pt idx="871">
                  <c:v>17938.285714285706</c:v>
                </c:pt>
                <c:pt idx="872">
                  <c:v>17938.285714285706</c:v>
                </c:pt>
                <c:pt idx="873">
                  <c:v>17938.285714285706</c:v>
                </c:pt>
                <c:pt idx="874">
                  <c:v>17938.285714285706</c:v>
                </c:pt>
                <c:pt idx="875">
                  <c:v>17938.285714285706</c:v>
                </c:pt>
                <c:pt idx="876">
                  <c:v>17938.285714285706</c:v>
                </c:pt>
                <c:pt idx="877">
                  <c:v>17938.285714285706</c:v>
                </c:pt>
                <c:pt idx="878">
                  <c:v>17938.285714285706</c:v>
                </c:pt>
                <c:pt idx="879">
                  <c:v>17938.285714285706</c:v>
                </c:pt>
                <c:pt idx="880">
                  <c:v>17938.285714285706</c:v>
                </c:pt>
                <c:pt idx="881">
                  <c:v>17938.285714285706</c:v>
                </c:pt>
                <c:pt idx="882">
                  <c:v>17938.285714285706</c:v>
                </c:pt>
                <c:pt idx="883">
                  <c:v>17938.285714285706</c:v>
                </c:pt>
                <c:pt idx="884">
                  <c:v>17938.285714285706</c:v>
                </c:pt>
                <c:pt idx="885">
                  <c:v>17938.285714285706</c:v>
                </c:pt>
                <c:pt idx="886">
                  <c:v>17938.285714285706</c:v>
                </c:pt>
                <c:pt idx="887">
                  <c:v>17938.285714285706</c:v>
                </c:pt>
                <c:pt idx="888">
                  <c:v>-42.393045297317478</c:v>
                </c:pt>
                <c:pt idx="889">
                  <c:v>17938.285714285706</c:v>
                </c:pt>
                <c:pt idx="890">
                  <c:v>17938.285714285706</c:v>
                </c:pt>
                <c:pt idx="891">
                  <c:v>17938.285714285706</c:v>
                </c:pt>
                <c:pt idx="892">
                  <c:v>17938.285714285706</c:v>
                </c:pt>
                <c:pt idx="893">
                  <c:v>17938.285714285706</c:v>
                </c:pt>
                <c:pt idx="894">
                  <c:v>17938.285714285706</c:v>
                </c:pt>
                <c:pt idx="895">
                  <c:v>17938.285714285706</c:v>
                </c:pt>
                <c:pt idx="896">
                  <c:v>17938.285714285706</c:v>
                </c:pt>
                <c:pt idx="897">
                  <c:v>17938.285714285706</c:v>
                </c:pt>
                <c:pt idx="898">
                  <c:v>17938.285714285706</c:v>
                </c:pt>
                <c:pt idx="899">
                  <c:v>17938.285714285706</c:v>
                </c:pt>
                <c:pt idx="900">
                  <c:v>17938.285714285706</c:v>
                </c:pt>
                <c:pt idx="901">
                  <c:v>17938.285714285706</c:v>
                </c:pt>
                <c:pt idx="902">
                  <c:v>16866.285714285717</c:v>
                </c:pt>
                <c:pt idx="903">
                  <c:v>17938.285714285706</c:v>
                </c:pt>
                <c:pt idx="904">
                  <c:v>17938.285714285706</c:v>
                </c:pt>
                <c:pt idx="905">
                  <c:v>17938.285714285706</c:v>
                </c:pt>
                <c:pt idx="906">
                  <c:v>17938.285714285706</c:v>
                </c:pt>
                <c:pt idx="907">
                  <c:v>17938.285714285706</c:v>
                </c:pt>
                <c:pt idx="908">
                  <c:v>17938.285714285706</c:v>
                </c:pt>
                <c:pt idx="909">
                  <c:v>17938.285714285706</c:v>
                </c:pt>
                <c:pt idx="910">
                  <c:v>17938.285714285706</c:v>
                </c:pt>
                <c:pt idx="911">
                  <c:v>17938.285714285706</c:v>
                </c:pt>
                <c:pt idx="912">
                  <c:v>16866.285714285717</c:v>
                </c:pt>
                <c:pt idx="913">
                  <c:v>16610.28571428571</c:v>
                </c:pt>
                <c:pt idx="914">
                  <c:v>16610.28571428571</c:v>
                </c:pt>
                <c:pt idx="915">
                  <c:v>16610.28571428571</c:v>
                </c:pt>
                <c:pt idx="916">
                  <c:v>16610.28571428571</c:v>
                </c:pt>
                <c:pt idx="917">
                  <c:v>16610.28571428571</c:v>
                </c:pt>
                <c:pt idx="918">
                  <c:v>16866.285714285717</c:v>
                </c:pt>
                <c:pt idx="919">
                  <c:v>16866.285714285717</c:v>
                </c:pt>
                <c:pt idx="920">
                  <c:v>16866.285714285717</c:v>
                </c:pt>
                <c:pt idx="921">
                  <c:v>16866.285714285717</c:v>
                </c:pt>
                <c:pt idx="922">
                  <c:v>16866.285714285717</c:v>
                </c:pt>
                <c:pt idx="923">
                  <c:v>16866.285714285717</c:v>
                </c:pt>
                <c:pt idx="924">
                  <c:v>16866.285714285717</c:v>
                </c:pt>
                <c:pt idx="925">
                  <c:v>16866.285714285717</c:v>
                </c:pt>
                <c:pt idx="926">
                  <c:v>16866.285714285717</c:v>
                </c:pt>
                <c:pt idx="927">
                  <c:v>16866.285714285717</c:v>
                </c:pt>
                <c:pt idx="928">
                  <c:v>16866.285714285717</c:v>
                </c:pt>
                <c:pt idx="929">
                  <c:v>16866.285714285717</c:v>
                </c:pt>
                <c:pt idx="930">
                  <c:v>18338.285714285717</c:v>
                </c:pt>
                <c:pt idx="931">
                  <c:v>17394.285714285717</c:v>
                </c:pt>
                <c:pt idx="932">
                  <c:v>17394.285714285717</c:v>
                </c:pt>
                <c:pt idx="933">
                  <c:v>17394.285714285717</c:v>
                </c:pt>
                <c:pt idx="934">
                  <c:v>17394.285714285717</c:v>
                </c:pt>
                <c:pt idx="935">
                  <c:v>17634.285714285717</c:v>
                </c:pt>
                <c:pt idx="936">
                  <c:v>17890.285714285717</c:v>
                </c:pt>
                <c:pt idx="937">
                  <c:v>17890.285714285717</c:v>
                </c:pt>
                <c:pt idx="938">
                  <c:v>17890.285714285717</c:v>
                </c:pt>
                <c:pt idx="939">
                  <c:v>18338.285714285717</c:v>
                </c:pt>
                <c:pt idx="940">
                  <c:v>17890.285714285717</c:v>
                </c:pt>
                <c:pt idx="941">
                  <c:v>18034.285714285717</c:v>
                </c:pt>
                <c:pt idx="942">
                  <c:v>18034.285714285717</c:v>
                </c:pt>
                <c:pt idx="943">
                  <c:v>18034.285714285717</c:v>
                </c:pt>
                <c:pt idx="944">
                  <c:v>18034.285714285717</c:v>
                </c:pt>
                <c:pt idx="945">
                  <c:v>17570.285714285717</c:v>
                </c:pt>
                <c:pt idx="946">
                  <c:v>17570.285714285717</c:v>
                </c:pt>
                <c:pt idx="947">
                  <c:v>18290.285714285717</c:v>
                </c:pt>
                <c:pt idx="948">
                  <c:v>17570.285714285717</c:v>
                </c:pt>
                <c:pt idx="949">
                  <c:v>17570.285714285717</c:v>
                </c:pt>
                <c:pt idx="950">
                  <c:v>17570.285714285717</c:v>
                </c:pt>
                <c:pt idx="951">
                  <c:v>17570.285714285717</c:v>
                </c:pt>
                <c:pt idx="952">
                  <c:v>17570.285714285717</c:v>
                </c:pt>
                <c:pt idx="953">
                  <c:v>17570.285714285717</c:v>
                </c:pt>
                <c:pt idx="954">
                  <c:v>17570.285714285717</c:v>
                </c:pt>
                <c:pt idx="955">
                  <c:v>17570.285714285717</c:v>
                </c:pt>
                <c:pt idx="956">
                  <c:v>17570.285714285717</c:v>
                </c:pt>
                <c:pt idx="957">
                  <c:v>18290.285714285717</c:v>
                </c:pt>
                <c:pt idx="958">
                  <c:v>17570.285714285717</c:v>
                </c:pt>
                <c:pt idx="959">
                  <c:v>17570.285714285717</c:v>
                </c:pt>
                <c:pt idx="960">
                  <c:v>18290.285714285717</c:v>
                </c:pt>
                <c:pt idx="961">
                  <c:v>17570.285714285717</c:v>
                </c:pt>
                <c:pt idx="962">
                  <c:v>17714.285714285717</c:v>
                </c:pt>
                <c:pt idx="963">
                  <c:v>18290.285714285717</c:v>
                </c:pt>
                <c:pt idx="964">
                  <c:v>18290.285714285717</c:v>
                </c:pt>
                <c:pt idx="965">
                  <c:v>18290.285714285717</c:v>
                </c:pt>
                <c:pt idx="966">
                  <c:v>18290.285714285717</c:v>
                </c:pt>
                <c:pt idx="967">
                  <c:v>18290.285714285717</c:v>
                </c:pt>
                <c:pt idx="968">
                  <c:v>18290.285714285717</c:v>
                </c:pt>
                <c:pt idx="969">
                  <c:v>18290.285714285717</c:v>
                </c:pt>
                <c:pt idx="970">
                  <c:v>18290.285714285717</c:v>
                </c:pt>
                <c:pt idx="971">
                  <c:v>18290.285714285717</c:v>
                </c:pt>
                <c:pt idx="972">
                  <c:v>18290.285714285717</c:v>
                </c:pt>
                <c:pt idx="973">
                  <c:v>18290.285714285717</c:v>
                </c:pt>
                <c:pt idx="974">
                  <c:v>18290.285714285717</c:v>
                </c:pt>
                <c:pt idx="975">
                  <c:v>18290.285714285717</c:v>
                </c:pt>
                <c:pt idx="976">
                  <c:v>18290.285714285717</c:v>
                </c:pt>
                <c:pt idx="977">
                  <c:v>18290.285714285717</c:v>
                </c:pt>
                <c:pt idx="978">
                  <c:v>18290.285714285717</c:v>
                </c:pt>
                <c:pt idx="979">
                  <c:v>18338.285714285717</c:v>
                </c:pt>
                <c:pt idx="980">
                  <c:v>18338.285714285717</c:v>
                </c:pt>
                <c:pt idx="981">
                  <c:v>18338.285714285717</c:v>
                </c:pt>
                <c:pt idx="982">
                  <c:v>18338.285714285717</c:v>
                </c:pt>
                <c:pt idx="983">
                  <c:v>18338.285714285717</c:v>
                </c:pt>
                <c:pt idx="984">
                  <c:v>18338.285714285717</c:v>
                </c:pt>
                <c:pt idx="985">
                  <c:v>18338.285714285717</c:v>
                </c:pt>
                <c:pt idx="986">
                  <c:v>18338.285714285717</c:v>
                </c:pt>
                <c:pt idx="987">
                  <c:v>18338.285714285717</c:v>
                </c:pt>
                <c:pt idx="988">
                  <c:v>18338.285714285717</c:v>
                </c:pt>
                <c:pt idx="989">
                  <c:v>18338.285714285717</c:v>
                </c:pt>
                <c:pt idx="990">
                  <c:v>18850.285714285717</c:v>
                </c:pt>
                <c:pt idx="991">
                  <c:v>18850.285714285717</c:v>
                </c:pt>
                <c:pt idx="992">
                  <c:v>18802.285714285717</c:v>
                </c:pt>
                <c:pt idx="993">
                  <c:v>18802.285714285717</c:v>
                </c:pt>
                <c:pt idx="994">
                  <c:v>18802.285714285717</c:v>
                </c:pt>
                <c:pt idx="995">
                  <c:v>18802.285714285717</c:v>
                </c:pt>
                <c:pt idx="996">
                  <c:v>18802.285714285717</c:v>
                </c:pt>
                <c:pt idx="997">
                  <c:v>18802.285714285717</c:v>
                </c:pt>
                <c:pt idx="998">
                  <c:v>18850.285714285717</c:v>
                </c:pt>
                <c:pt idx="999">
                  <c:v>19106.285714285717</c:v>
                </c:pt>
                <c:pt idx="1000">
                  <c:v>18242.285714285717</c:v>
                </c:pt>
                <c:pt idx="1001">
                  <c:v>15682.285714285717</c:v>
                </c:pt>
                <c:pt idx="1002">
                  <c:v>15682.285714285717</c:v>
                </c:pt>
                <c:pt idx="1003">
                  <c:v>15874.285714285717</c:v>
                </c:pt>
                <c:pt idx="1004">
                  <c:v>15874.285714285717</c:v>
                </c:pt>
                <c:pt idx="1005">
                  <c:v>15874.285714285717</c:v>
                </c:pt>
                <c:pt idx="1006">
                  <c:v>15874.285714285717</c:v>
                </c:pt>
                <c:pt idx="1007">
                  <c:v>15874.285714285717</c:v>
                </c:pt>
                <c:pt idx="1008">
                  <c:v>15874.285714285717</c:v>
                </c:pt>
                <c:pt idx="1009">
                  <c:v>15874.285714285717</c:v>
                </c:pt>
                <c:pt idx="1010">
                  <c:v>15874.285714285717</c:v>
                </c:pt>
                <c:pt idx="1011">
                  <c:v>15874.285714285717</c:v>
                </c:pt>
                <c:pt idx="1012">
                  <c:v>15874.285714285717</c:v>
                </c:pt>
                <c:pt idx="1013">
                  <c:v>15874.285714285717</c:v>
                </c:pt>
                <c:pt idx="1014">
                  <c:v>15874.285714285717</c:v>
                </c:pt>
                <c:pt idx="1015">
                  <c:v>16018.285714285717</c:v>
                </c:pt>
                <c:pt idx="1016">
                  <c:v>15874.285714285717</c:v>
                </c:pt>
                <c:pt idx="1017">
                  <c:v>15874.285714285717</c:v>
                </c:pt>
                <c:pt idx="1018">
                  <c:v>15874.285714285717</c:v>
                </c:pt>
                <c:pt idx="1019">
                  <c:v>15778.285714285717</c:v>
                </c:pt>
                <c:pt idx="1020">
                  <c:v>15650.285714285717</c:v>
                </c:pt>
                <c:pt idx="1021">
                  <c:v>15650.285714285717</c:v>
                </c:pt>
                <c:pt idx="1022">
                  <c:v>15650.285714285717</c:v>
                </c:pt>
                <c:pt idx="1023">
                  <c:v>15650.285714285717</c:v>
                </c:pt>
                <c:pt idx="1024">
                  <c:v>15650.285714285717</c:v>
                </c:pt>
                <c:pt idx="1025">
                  <c:v>15650.285714285717</c:v>
                </c:pt>
                <c:pt idx="1027">
                  <c:v>256.00000000000466</c:v>
                </c:pt>
                <c:pt idx="1028">
                  <c:v>256.00000000000466</c:v>
                </c:pt>
                <c:pt idx="1029">
                  <c:v>256.00000000000466</c:v>
                </c:pt>
                <c:pt idx="1030">
                  <c:v>256.00000000000466</c:v>
                </c:pt>
                <c:pt idx="1031">
                  <c:v>256.00000000000466</c:v>
                </c:pt>
                <c:pt idx="1032">
                  <c:v>256.00000000000466</c:v>
                </c:pt>
                <c:pt idx="1033">
                  <c:v>256.00000000000466</c:v>
                </c:pt>
                <c:pt idx="1034">
                  <c:v>256.00000000000466</c:v>
                </c:pt>
                <c:pt idx="1035">
                  <c:v>256.00000000000466</c:v>
                </c:pt>
                <c:pt idx="1036">
                  <c:v>256.00000000000466</c:v>
                </c:pt>
                <c:pt idx="1037">
                  <c:v>256.00000000000466</c:v>
                </c:pt>
                <c:pt idx="1038">
                  <c:v>256.00000000000466</c:v>
                </c:pt>
                <c:pt idx="1039">
                  <c:v>256.00000000000466</c:v>
                </c:pt>
                <c:pt idx="1040">
                  <c:v>256.00000000000466</c:v>
                </c:pt>
                <c:pt idx="1041">
                  <c:v>256.00000000000466</c:v>
                </c:pt>
                <c:pt idx="1042">
                  <c:v>256.00000000000466</c:v>
                </c:pt>
                <c:pt idx="1043">
                  <c:v>256.00000000000466</c:v>
                </c:pt>
                <c:pt idx="1044">
                  <c:v>256.00000000000466</c:v>
                </c:pt>
                <c:pt idx="1045">
                  <c:v>256.00000000000466</c:v>
                </c:pt>
                <c:pt idx="1046">
                  <c:v>256.00000000000466</c:v>
                </c:pt>
                <c:pt idx="1047">
                  <c:v>256.00000000000466</c:v>
                </c:pt>
                <c:pt idx="1048">
                  <c:v>256.00000000000466</c:v>
                </c:pt>
                <c:pt idx="1049">
                  <c:v>256.00000000000466</c:v>
                </c:pt>
                <c:pt idx="1050">
                  <c:v>256.00000000000466</c:v>
                </c:pt>
                <c:pt idx="1051">
                  <c:v>256.00000000000466</c:v>
                </c:pt>
                <c:pt idx="1052">
                  <c:v>256.00000000000466</c:v>
                </c:pt>
                <c:pt idx="1053">
                  <c:v>256.00000000000466</c:v>
                </c:pt>
                <c:pt idx="1054">
                  <c:v>256.00000000000466</c:v>
                </c:pt>
                <c:pt idx="1055">
                  <c:v>256.00000000000466</c:v>
                </c:pt>
                <c:pt idx="1056">
                  <c:v>256.00000000000466</c:v>
                </c:pt>
                <c:pt idx="1057">
                  <c:v>256.00000000000466</c:v>
                </c:pt>
                <c:pt idx="1058">
                  <c:v>256.00000000000466</c:v>
                </c:pt>
                <c:pt idx="1059">
                  <c:v>256.00000000000466</c:v>
                </c:pt>
                <c:pt idx="1060">
                  <c:v>256.00000000000466</c:v>
                </c:pt>
                <c:pt idx="1061">
                  <c:v>256.00000000000466</c:v>
                </c:pt>
                <c:pt idx="1062">
                  <c:v>256.00000000000466</c:v>
                </c:pt>
                <c:pt idx="1063">
                  <c:v>256.00000000000466</c:v>
                </c:pt>
                <c:pt idx="1064">
                  <c:v>256.00000000000466</c:v>
                </c:pt>
                <c:pt idx="1065">
                  <c:v>256.00000000000466</c:v>
                </c:pt>
                <c:pt idx="1066">
                  <c:v>256.00000000000466</c:v>
                </c:pt>
                <c:pt idx="1067">
                  <c:v>256.00000000000466</c:v>
                </c:pt>
                <c:pt idx="1068">
                  <c:v>256.00000000000466</c:v>
                </c:pt>
                <c:pt idx="1069">
                  <c:v>256.00000000000466</c:v>
                </c:pt>
                <c:pt idx="1070">
                  <c:v>256.00000000000466</c:v>
                </c:pt>
                <c:pt idx="1071">
                  <c:v>256.00000000000466</c:v>
                </c:pt>
                <c:pt idx="1072">
                  <c:v>256.00000000000466</c:v>
                </c:pt>
                <c:pt idx="1073">
                  <c:v>256.00000000000466</c:v>
                </c:pt>
                <c:pt idx="1074">
                  <c:v>256.00000000000466</c:v>
                </c:pt>
                <c:pt idx="1075">
                  <c:v>256.00000000000466</c:v>
                </c:pt>
                <c:pt idx="1076">
                  <c:v>256.00000000000466</c:v>
                </c:pt>
                <c:pt idx="1077">
                  <c:v>256.00000000000466</c:v>
                </c:pt>
                <c:pt idx="1078">
                  <c:v>256.00000000000466</c:v>
                </c:pt>
                <c:pt idx="1079">
                  <c:v>256.00000000000466</c:v>
                </c:pt>
                <c:pt idx="1080">
                  <c:v>256.00000000000466</c:v>
                </c:pt>
                <c:pt idx="1081">
                  <c:v>256.00000000000466</c:v>
                </c:pt>
                <c:pt idx="1082">
                  <c:v>256.00000000000466</c:v>
                </c:pt>
                <c:pt idx="1083">
                  <c:v>256.00000000000466</c:v>
                </c:pt>
                <c:pt idx="1084">
                  <c:v>256.00000000000466</c:v>
                </c:pt>
                <c:pt idx="1085">
                  <c:v>256.00000000000466</c:v>
                </c:pt>
                <c:pt idx="1086">
                  <c:v>256.00000000000466</c:v>
                </c:pt>
                <c:pt idx="1087">
                  <c:v>256.00000000000466</c:v>
                </c:pt>
                <c:pt idx="1088">
                  <c:v>256.00000000000466</c:v>
                </c:pt>
                <c:pt idx="1089">
                  <c:v>256.00000000000466</c:v>
                </c:pt>
                <c:pt idx="1090">
                  <c:v>256.00000000000466</c:v>
                </c:pt>
                <c:pt idx="1091">
                  <c:v>256.00000000000466</c:v>
                </c:pt>
                <c:pt idx="1092">
                  <c:v>256.00000000000466</c:v>
                </c:pt>
                <c:pt idx="1093">
                  <c:v>256.00000000000466</c:v>
                </c:pt>
                <c:pt idx="1094">
                  <c:v>256.00000000000466</c:v>
                </c:pt>
                <c:pt idx="1095">
                  <c:v>256.00000000000466</c:v>
                </c:pt>
                <c:pt idx="1096">
                  <c:v>256.00000000000466</c:v>
                </c:pt>
                <c:pt idx="1097">
                  <c:v>256.00000000000466</c:v>
                </c:pt>
                <c:pt idx="1098">
                  <c:v>256.00000000000466</c:v>
                </c:pt>
                <c:pt idx="1099">
                  <c:v>256.00000000000466</c:v>
                </c:pt>
                <c:pt idx="1100">
                  <c:v>256.00000000000466</c:v>
                </c:pt>
                <c:pt idx="1101">
                  <c:v>256.00000000000466</c:v>
                </c:pt>
                <c:pt idx="1102">
                  <c:v>256.00000000000466</c:v>
                </c:pt>
                <c:pt idx="1103">
                  <c:v>256.00000000000466</c:v>
                </c:pt>
                <c:pt idx="1104">
                  <c:v>256.00000000000466</c:v>
                </c:pt>
                <c:pt idx="1105">
                  <c:v>256.00000000000466</c:v>
                </c:pt>
                <c:pt idx="1106">
                  <c:v>256.00000000000466</c:v>
                </c:pt>
                <c:pt idx="1107">
                  <c:v>256.00000000000466</c:v>
                </c:pt>
                <c:pt idx="1108">
                  <c:v>256.00000000000466</c:v>
                </c:pt>
                <c:pt idx="1109">
                  <c:v>256.00000000000466</c:v>
                </c:pt>
                <c:pt idx="1110">
                  <c:v>256.00000000000466</c:v>
                </c:pt>
                <c:pt idx="1111">
                  <c:v>256.00000000000466</c:v>
                </c:pt>
                <c:pt idx="1112">
                  <c:v>256.00000000000466</c:v>
                </c:pt>
                <c:pt idx="1113">
                  <c:v>256.00000000000466</c:v>
                </c:pt>
                <c:pt idx="1114">
                  <c:v>256.00000000000466</c:v>
                </c:pt>
                <c:pt idx="1115">
                  <c:v>256.00000000000466</c:v>
                </c:pt>
                <c:pt idx="1116">
                  <c:v>256.00000000000466</c:v>
                </c:pt>
                <c:pt idx="1117">
                  <c:v>256.00000000000466</c:v>
                </c:pt>
                <c:pt idx="1118">
                  <c:v>256.00000000000466</c:v>
                </c:pt>
                <c:pt idx="1119">
                  <c:v>256.00000000000466</c:v>
                </c:pt>
                <c:pt idx="1120">
                  <c:v>256.00000000000466</c:v>
                </c:pt>
                <c:pt idx="1121">
                  <c:v>256.00000000000466</c:v>
                </c:pt>
                <c:pt idx="1122">
                  <c:v>256.00000000000466</c:v>
                </c:pt>
                <c:pt idx="1123">
                  <c:v>256.00000000000466</c:v>
                </c:pt>
                <c:pt idx="1124">
                  <c:v>256.00000000000466</c:v>
                </c:pt>
                <c:pt idx="1125">
                  <c:v>256.00000000000466</c:v>
                </c:pt>
                <c:pt idx="1126">
                  <c:v>256.00000000000466</c:v>
                </c:pt>
                <c:pt idx="1127">
                  <c:v>256.00000000000466</c:v>
                </c:pt>
                <c:pt idx="1128">
                  <c:v>256.00000000000466</c:v>
                </c:pt>
                <c:pt idx="1129">
                  <c:v>256.00000000000466</c:v>
                </c:pt>
                <c:pt idx="1130">
                  <c:v>256.00000000000466</c:v>
                </c:pt>
                <c:pt idx="1131">
                  <c:v>256.00000000000466</c:v>
                </c:pt>
                <c:pt idx="1132">
                  <c:v>256.00000000000466</c:v>
                </c:pt>
                <c:pt idx="1133">
                  <c:v>256.00000000000466</c:v>
                </c:pt>
                <c:pt idx="1134">
                  <c:v>256.00000000000466</c:v>
                </c:pt>
                <c:pt idx="1135">
                  <c:v>256.00000000000466</c:v>
                </c:pt>
                <c:pt idx="1136">
                  <c:v>256.00000000000466</c:v>
                </c:pt>
                <c:pt idx="1137">
                  <c:v>256.00000000000466</c:v>
                </c:pt>
                <c:pt idx="1138">
                  <c:v>256.00000000000466</c:v>
                </c:pt>
                <c:pt idx="1139">
                  <c:v>256.00000000000466</c:v>
                </c:pt>
                <c:pt idx="1140">
                  <c:v>256.00000000000466</c:v>
                </c:pt>
                <c:pt idx="1141">
                  <c:v>256.00000000000466</c:v>
                </c:pt>
                <c:pt idx="1142">
                  <c:v>256.00000000000466</c:v>
                </c:pt>
                <c:pt idx="1143">
                  <c:v>256.00000000000466</c:v>
                </c:pt>
                <c:pt idx="1144">
                  <c:v>256.00000000000466</c:v>
                </c:pt>
                <c:pt idx="1145">
                  <c:v>256.00000000000466</c:v>
                </c:pt>
                <c:pt idx="1146">
                  <c:v>256.00000000000466</c:v>
                </c:pt>
                <c:pt idx="1147">
                  <c:v>256.00000000000466</c:v>
                </c:pt>
                <c:pt idx="1148">
                  <c:v>256.00000000000466</c:v>
                </c:pt>
                <c:pt idx="1149">
                  <c:v>256.00000000000466</c:v>
                </c:pt>
                <c:pt idx="1150">
                  <c:v>256.00000000000466</c:v>
                </c:pt>
                <c:pt idx="1151">
                  <c:v>256.00000000000466</c:v>
                </c:pt>
                <c:pt idx="1152">
                  <c:v>256.00000000000466</c:v>
                </c:pt>
                <c:pt idx="1153">
                  <c:v>256.00000000000466</c:v>
                </c:pt>
                <c:pt idx="1154">
                  <c:v>256.00000000000466</c:v>
                </c:pt>
                <c:pt idx="1155">
                  <c:v>256.00000000000466</c:v>
                </c:pt>
                <c:pt idx="1156">
                  <c:v>256.00000000000466</c:v>
                </c:pt>
                <c:pt idx="1157">
                  <c:v>256.00000000000466</c:v>
                </c:pt>
                <c:pt idx="1158">
                  <c:v>256.00000000000466</c:v>
                </c:pt>
                <c:pt idx="1159">
                  <c:v>256.00000000000466</c:v>
                </c:pt>
                <c:pt idx="1160">
                  <c:v>256.00000000000466</c:v>
                </c:pt>
                <c:pt idx="1161">
                  <c:v>256.00000000000466</c:v>
                </c:pt>
                <c:pt idx="1162">
                  <c:v>256.00000000000466</c:v>
                </c:pt>
                <c:pt idx="1163">
                  <c:v>256.00000000000466</c:v>
                </c:pt>
                <c:pt idx="1164">
                  <c:v>256.00000000000466</c:v>
                </c:pt>
                <c:pt idx="1165">
                  <c:v>256.00000000000466</c:v>
                </c:pt>
                <c:pt idx="1166">
                  <c:v>256.00000000000466</c:v>
                </c:pt>
                <c:pt idx="1167">
                  <c:v>256.00000000000466</c:v>
                </c:pt>
                <c:pt idx="1168">
                  <c:v>256.00000000000466</c:v>
                </c:pt>
                <c:pt idx="1169">
                  <c:v>256.00000000000466</c:v>
                </c:pt>
                <c:pt idx="1170">
                  <c:v>256.00000000000466</c:v>
                </c:pt>
                <c:pt idx="1171">
                  <c:v>256.00000000000466</c:v>
                </c:pt>
                <c:pt idx="1172">
                  <c:v>256.00000000000466</c:v>
                </c:pt>
                <c:pt idx="1173">
                  <c:v>256.00000000000466</c:v>
                </c:pt>
                <c:pt idx="1174">
                  <c:v>256.00000000000466</c:v>
                </c:pt>
                <c:pt idx="1175">
                  <c:v>256.00000000000466</c:v>
                </c:pt>
                <c:pt idx="1176">
                  <c:v>256.00000000000466</c:v>
                </c:pt>
                <c:pt idx="1177">
                  <c:v>256.00000000000466</c:v>
                </c:pt>
                <c:pt idx="1178">
                  <c:v>256.00000000000466</c:v>
                </c:pt>
                <c:pt idx="1179">
                  <c:v>256.00000000000466</c:v>
                </c:pt>
                <c:pt idx="1180">
                  <c:v>256.00000000000466</c:v>
                </c:pt>
                <c:pt idx="1181">
                  <c:v>256.00000000000466</c:v>
                </c:pt>
                <c:pt idx="1182">
                  <c:v>256.00000000000466</c:v>
                </c:pt>
                <c:pt idx="1183">
                  <c:v>256.00000000000466</c:v>
                </c:pt>
                <c:pt idx="1184">
                  <c:v>256.00000000000466</c:v>
                </c:pt>
                <c:pt idx="1185">
                  <c:v>256.00000000000466</c:v>
                </c:pt>
                <c:pt idx="1186">
                  <c:v>256.00000000000466</c:v>
                </c:pt>
                <c:pt idx="1187">
                  <c:v>256.00000000000466</c:v>
                </c:pt>
                <c:pt idx="1188">
                  <c:v>256.00000000000466</c:v>
                </c:pt>
                <c:pt idx="1189">
                  <c:v>256.00000000000466</c:v>
                </c:pt>
                <c:pt idx="1190">
                  <c:v>256.00000000000466</c:v>
                </c:pt>
                <c:pt idx="1191">
                  <c:v>256.00000000000466</c:v>
                </c:pt>
                <c:pt idx="1192">
                  <c:v>256.00000000000466</c:v>
                </c:pt>
                <c:pt idx="1193">
                  <c:v>256.00000000000466</c:v>
                </c:pt>
                <c:pt idx="1194">
                  <c:v>256.00000000000466</c:v>
                </c:pt>
                <c:pt idx="1195">
                  <c:v>256.00000000000466</c:v>
                </c:pt>
                <c:pt idx="1196">
                  <c:v>256.00000000000466</c:v>
                </c:pt>
                <c:pt idx="1197">
                  <c:v>256.00000000000466</c:v>
                </c:pt>
                <c:pt idx="1198">
                  <c:v>256.00000000000466</c:v>
                </c:pt>
                <c:pt idx="1199">
                  <c:v>256.00000000000466</c:v>
                </c:pt>
                <c:pt idx="1200">
                  <c:v>256.00000000000466</c:v>
                </c:pt>
                <c:pt idx="1201">
                  <c:v>256.00000000000466</c:v>
                </c:pt>
                <c:pt idx="1202">
                  <c:v>256.00000000000466</c:v>
                </c:pt>
                <c:pt idx="1203">
                  <c:v>256.00000000000466</c:v>
                </c:pt>
                <c:pt idx="1204">
                  <c:v>256.00000000000466</c:v>
                </c:pt>
                <c:pt idx="1205">
                  <c:v>256.00000000000466</c:v>
                </c:pt>
                <c:pt idx="1206">
                  <c:v>256.00000000000466</c:v>
                </c:pt>
                <c:pt idx="1207">
                  <c:v>256.00000000000466</c:v>
                </c:pt>
                <c:pt idx="1208">
                  <c:v>256.00000000000466</c:v>
                </c:pt>
                <c:pt idx="1209">
                  <c:v>256.00000000000466</c:v>
                </c:pt>
                <c:pt idx="1210">
                  <c:v>256.00000000000466</c:v>
                </c:pt>
                <c:pt idx="1211">
                  <c:v>256.00000000000466</c:v>
                </c:pt>
                <c:pt idx="1212">
                  <c:v>256.00000000000466</c:v>
                </c:pt>
                <c:pt idx="1213">
                  <c:v>256.00000000000466</c:v>
                </c:pt>
                <c:pt idx="1214">
                  <c:v>256.00000000000466</c:v>
                </c:pt>
                <c:pt idx="1215">
                  <c:v>256.00000000000466</c:v>
                </c:pt>
                <c:pt idx="1216">
                  <c:v>256.00000000000466</c:v>
                </c:pt>
                <c:pt idx="1217">
                  <c:v>256.00000000000466</c:v>
                </c:pt>
                <c:pt idx="1218">
                  <c:v>256.00000000000466</c:v>
                </c:pt>
                <c:pt idx="1219">
                  <c:v>256.00000000000466</c:v>
                </c:pt>
                <c:pt idx="1220">
                  <c:v>256.00000000000466</c:v>
                </c:pt>
                <c:pt idx="1221">
                  <c:v>256.00000000000466</c:v>
                </c:pt>
                <c:pt idx="1222">
                  <c:v>256.00000000000466</c:v>
                </c:pt>
                <c:pt idx="1223">
                  <c:v>256.00000000000466</c:v>
                </c:pt>
                <c:pt idx="1224">
                  <c:v>256.00000000000466</c:v>
                </c:pt>
                <c:pt idx="1225">
                  <c:v>256.00000000000466</c:v>
                </c:pt>
                <c:pt idx="1226">
                  <c:v>256.00000000000466</c:v>
                </c:pt>
                <c:pt idx="1227">
                  <c:v>256.00000000000466</c:v>
                </c:pt>
                <c:pt idx="1228">
                  <c:v>256.00000000000466</c:v>
                </c:pt>
                <c:pt idx="1229">
                  <c:v>256.00000000000466</c:v>
                </c:pt>
                <c:pt idx="1230">
                  <c:v>256.00000000000466</c:v>
                </c:pt>
                <c:pt idx="1231">
                  <c:v>256.00000000000466</c:v>
                </c:pt>
                <c:pt idx="1232">
                  <c:v>256.00000000000466</c:v>
                </c:pt>
                <c:pt idx="1233">
                  <c:v>256.00000000000466</c:v>
                </c:pt>
                <c:pt idx="1234">
                  <c:v>256.00000000000466</c:v>
                </c:pt>
                <c:pt idx="1235">
                  <c:v>256.00000000000466</c:v>
                </c:pt>
                <c:pt idx="1236">
                  <c:v>256.00000000000466</c:v>
                </c:pt>
                <c:pt idx="1237">
                  <c:v>256.00000000000466</c:v>
                </c:pt>
              </c:numCache>
            </c:numRef>
          </c:val>
          <c:smooth val="0"/>
          <c:extLst>
            <c:ext xmlns:c16="http://schemas.microsoft.com/office/drawing/2014/chart" uri="{C3380CC4-5D6E-409C-BE32-E72D297353CC}">
              <c16:uniqueId val="{00000001-EC15-4C06-B56D-DD9A8FDD027B}"/>
            </c:ext>
          </c:extLst>
        </c:ser>
        <c:ser>
          <c:idx val="2"/>
          <c:order val="2"/>
          <c:tx>
            <c:v>o</c:v>
          </c:tx>
          <c:spPr>
            <a:ln w="28575" cap="rnd">
              <a:solidFill>
                <a:srgbClr val="FF6F31"/>
              </a:solidFill>
              <a:prstDash val="solid"/>
              <a:round/>
            </a:ln>
            <a:effectLst/>
          </c:spPr>
          <c:marker>
            <c:symbol val="none"/>
          </c:marker>
          <c:val>
            <c:numRef>
              <c:f>'Journal Live'!$BQ$1388:$BQ$2630</c:f>
              <c:numCache>
                <c:formatCode>General</c:formatCode>
                <c:ptCount val="1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405.99999999996044</c:v>
                </c:pt>
                <c:pt idx="81">
                  <c:v>405.99999999996044</c:v>
                </c:pt>
                <c:pt idx="82">
                  <c:v>405.99999999996044</c:v>
                </c:pt>
                <c:pt idx="83">
                  <c:v>405.99999999996044</c:v>
                </c:pt>
                <c:pt idx="84">
                  <c:v>405.99999999996044</c:v>
                </c:pt>
                <c:pt idx="85">
                  <c:v>405.99999999996044</c:v>
                </c:pt>
                <c:pt idx="86">
                  <c:v>405.99999999996044</c:v>
                </c:pt>
                <c:pt idx="87">
                  <c:v>405.99999999996044</c:v>
                </c:pt>
                <c:pt idx="88">
                  <c:v>405.99999999996044</c:v>
                </c:pt>
                <c:pt idx="89">
                  <c:v>405.99999999996044</c:v>
                </c:pt>
                <c:pt idx="90">
                  <c:v>405.99999999996044</c:v>
                </c:pt>
                <c:pt idx="91">
                  <c:v>405.99999999996044</c:v>
                </c:pt>
                <c:pt idx="92">
                  <c:v>405.99999999996044</c:v>
                </c:pt>
                <c:pt idx="93">
                  <c:v>405.99999999996044</c:v>
                </c:pt>
                <c:pt idx="94">
                  <c:v>405.99999999996044</c:v>
                </c:pt>
                <c:pt idx="95">
                  <c:v>523.57999999978756</c:v>
                </c:pt>
                <c:pt idx="96">
                  <c:v>405.99999999996044</c:v>
                </c:pt>
                <c:pt idx="97">
                  <c:v>405.99999999996044</c:v>
                </c:pt>
                <c:pt idx="98">
                  <c:v>405.99999999996044</c:v>
                </c:pt>
                <c:pt idx="99">
                  <c:v>452.3999999998523</c:v>
                </c:pt>
                <c:pt idx="100">
                  <c:v>452.3999999998523</c:v>
                </c:pt>
                <c:pt idx="101">
                  <c:v>452.3999999998523</c:v>
                </c:pt>
                <c:pt idx="102">
                  <c:v>452.3999999998523</c:v>
                </c:pt>
                <c:pt idx="103">
                  <c:v>452.3999999998523</c:v>
                </c:pt>
                <c:pt idx="104">
                  <c:v>452.3999999998523</c:v>
                </c:pt>
                <c:pt idx="105">
                  <c:v>452.3999999998523</c:v>
                </c:pt>
                <c:pt idx="106">
                  <c:v>523.57999999978756</c:v>
                </c:pt>
                <c:pt idx="107">
                  <c:v>644.39999999967768</c:v>
                </c:pt>
                <c:pt idx="108">
                  <c:v>644.39999999967768</c:v>
                </c:pt>
                <c:pt idx="109">
                  <c:v>644.39999999967768</c:v>
                </c:pt>
                <c:pt idx="110">
                  <c:v>644.39999999967768</c:v>
                </c:pt>
                <c:pt idx="111">
                  <c:v>644.39999999967768</c:v>
                </c:pt>
                <c:pt idx="112">
                  <c:v>644.39999999967768</c:v>
                </c:pt>
                <c:pt idx="113">
                  <c:v>644.39999999967768</c:v>
                </c:pt>
                <c:pt idx="114">
                  <c:v>644.39999999967768</c:v>
                </c:pt>
                <c:pt idx="115">
                  <c:v>644.39999999967768</c:v>
                </c:pt>
                <c:pt idx="116">
                  <c:v>523.57999999978756</c:v>
                </c:pt>
                <c:pt idx="117">
                  <c:v>523.57999999978756</c:v>
                </c:pt>
                <c:pt idx="118">
                  <c:v>644.39999999967768</c:v>
                </c:pt>
                <c:pt idx="119">
                  <c:v>523.57999999978756</c:v>
                </c:pt>
                <c:pt idx="120">
                  <c:v>523.57999999978756</c:v>
                </c:pt>
                <c:pt idx="121">
                  <c:v>523.57999999978756</c:v>
                </c:pt>
                <c:pt idx="122">
                  <c:v>523.57999999978756</c:v>
                </c:pt>
                <c:pt idx="123">
                  <c:v>523.57999999978756</c:v>
                </c:pt>
                <c:pt idx="124">
                  <c:v>523.57999999978756</c:v>
                </c:pt>
                <c:pt idx="125">
                  <c:v>523.57999999978756</c:v>
                </c:pt>
                <c:pt idx="126">
                  <c:v>523.57999999978756</c:v>
                </c:pt>
                <c:pt idx="127">
                  <c:v>523.57999999978756</c:v>
                </c:pt>
                <c:pt idx="128">
                  <c:v>523.57999999978756</c:v>
                </c:pt>
                <c:pt idx="129">
                  <c:v>523.57999999978756</c:v>
                </c:pt>
                <c:pt idx="130">
                  <c:v>523.57999999978756</c:v>
                </c:pt>
                <c:pt idx="131">
                  <c:v>523.57999999978756</c:v>
                </c:pt>
                <c:pt idx="132">
                  <c:v>523.57999999978756</c:v>
                </c:pt>
                <c:pt idx="133">
                  <c:v>366.97999999978163</c:v>
                </c:pt>
                <c:pt idx="134">
                  <c:v>1770.5799999998073</c:v>
                </c:pt>
                <c:pt idx="135">
                  <c:v>366.97999999978163</c:v>
                </c:pt>
                <c:pt idx="136">
                  <c:v>366.97999999978163</c:v>
                </c:pt>
                <c:pt idx="137">
                  <c:v>366.97999999978163</c:v>
                </c:pt>
                <c:pt idx="138">
                  <c:v>1770.5799999998073</c:v>
                </c:pt>
                <c:pt idx="139">
                  <c:v>366.97999999978163</c:v>
                </c:pt>
                <c:pt idx="140">
                  <c:v>366.97999999978163</c:v>
                </c:pt>
                <c:pt idx="141">
                  <c:v>366.97999999978163</c:v>
                </c:pt>
                <c:pt idx="142">
                  <c:v>366.97999999978163</c:v>
                </c:pt>
                <c:pt idx="143">
                  <c:v>366.97999999978163</c:v>
                </c:pt>
                <c:pt idx="144">
                  <c:v>366.97999999978163</c:v>
                </c:pt>
                <c:pt idx="145">
                  <c:v>366.97999999978163</c:v>
                </c:pt>
                <c:pt idx="146">
                  <c:v>366.97999999978163</c:v>
                </c:pt>
                <c:pt idx="147">
                  <c:v>366.97999999978163</c:v>
                </c:pt>
                <c:pt idx="148">
                  <c:v>366.97999999978163</c:v>
                </c:pt>
                <c:pt idx="149">
                  <c:v>366.97999999978163</c:v>
                </c:pt>
                <c:pt idx="150">
                  <c:v>395.97999999975525</c:v>
                </c:pt>
                <c:pt idx="151">
                  <c:v>308.97999999975195</c:v>
                </c:pt>
                <c:pt idx="152">
                  <c:v>1770.5799999998073</c:v>
                </c:pt>
                <c:pt idx="153">
                  <c:v>308.97999999975195</c:v>
                </c:pt>
                <c:pt idx="154">
                  <c:v>308.97999999975195</c:v>
                </c:pt>
                <c:pt idx="155">
                  <c:v>308.97999999975195</c:v>
                </c:pt>
                <c:pt idx="156">
                  <c:v>1770.5799999998073</c:v>
                </c:pt>
                <c:pt idx="157">
                  <c:v>308.97999999975195</c:v>
                </c:pt>
                <c:pt idx="158">
                  <c:v>308.97999999975195</c:v>
                </c:pt>
                <c:pt idx="159">
                  <c:v>1770.5799999998073</c:v>
                </c:pt>
                <c:pt idx="160">
                  <c:v>355.37999999964381</c:v>
                </c:pt>
                <c:pt idx="161">
                  <c:v>308.97999999975195</c:v>
                </c:pt>
                <c:pt idx="162">
                  <c:v>1770.5799999998073</c:v>
                </c:pt>
                <c:pt idx="163">
                  <c:v>355.37999999964381</c:v>
                </c:pt>
                <c:pt idx="164">
                  <c:v>355.37999999964381</c:v>
                </c:pt>
                <c:pt idx="165">
                  <c:v>355.37999999964381</c:v>
                </c:pt>
                <c:pt idx="166">
                  <c:v>355.37999999964381</c:v>
                </c:pt>
                <c:pt idx="167">
                  <c:v>355.37999999964381</c:v>
                </c:pt>
                <c:pt idx="168">
                  <c:v>355.37999999964381</c:v>
                </c:pt>
                <c:pt idx="169">
                  <c:v>1770.5799999998073</c:v>
                </c:pt>
                <c:pt idx="170">
                  <c:v>384.37999999961744</c:v>
                </c:pt>
                <c:pt idx="171">
                  <c:v>384.37999999961744</c:v>
                </c:pt>
                <c:pt idx="172">
                  <c:v>384.37999999961744</c:v>
                </c:pt>
                <c:pt idx="173">
                  <c:v>384.37999999961744</c:v>
                </c:pt>
                <c:pt idx="174">
                  <c:v>384.37999999961744</c:v>
                </c:pt>
                <c:pt idx="175">
                  <c:v>384.37999999961744</c:v>
                </c:pt>
                <c:pt idx="176">
                  <c:v>384.37999999961744</c:v>
                </c:pt>
                <c:pt idx="177">
                  <c:v>384.37999999961744</c:v>
                </c:pt>
                <c:pt idx="178">
                  <c:v>384.37999999961744</c:v>
                </c:pt>
                <c:pt idx="179">
                  <c:v>1770.5799999998073</c:v>
                </c:pt>
                <c:pt idx="180">
                  <c:v>384.37999999961744</c:v>
                </c:pt>
                <c:pt idx="181">
                  <c:v>384.37999999961744</c:v>
                </c:pt>
                <c:pt idx="182">
                  <c:v>384.37999999961744</c:v>
                </c:pt>
                <c:pt idx="183">
                  <c:v>384.37999999961744</c:v>
                </c:pt>
                <c:pt idx="184">
                  <c:v>1683.5799999998865</c:v>
                </c:pt>
                <c:pt idx="185">
                  <c:v>1683.5799999998865</c:v>
                </c:pt>
                <c:pt idx="186">
                  <c:v>1683.5799999998865</c:v>
                </c:pt>
                <c:pt idx="187">
                  <c:v>1683.5799999998865</c:v>
                </c:pt>
                <c:pt idx="188">
                  <c:v>1683.5799999998865</c:v>
                </c:pt>
                <c:pt idx="189">
                  <c:v>1683.5799999998865</c:v>
                </c:pt>
                <c:pt idx="190">
                  <c:v>1683.5799999998865</c:v>
                </c:pt>
                <c:pt idx="191">
                  <c:v>1683.5799999998865</c:v>
                </c:pt>
                <c:pt idx="192">
                  <c:v>1770.5799999998073</c:v>
                </c:pt>
                <c:pt idx="193">
                  <c:v>1683.5799999998865</c:v>
                </c:pt>
                <c:pt idx="194">
                  <c:v>1683.5799999998865</c:v>
                </c:pt>
                <c:pt idx="195">
                  <c:v>1683.5799999998865</c:v>
                </c:pt>
                <c:pt idx="196">
                  <c:v>1683.5799999998865</c:v>
                </c:pt>
                <c:pt idx="197">
                  <c:v>1683.5799999998865</c:v>
                </c:pt>
                <c:pt idx="198">
                  <c:v>1770.5799999998073</c:v>
                </c:pt>
                <c:pt idx="199">
                  <c:v>1683.5799999998865</c:v>
                </c:pt>
                <c:pt idx="200">
                  <c:v>1770.5799999998073</c:v>
                </c:pt>
                <c:pt idx="201">
                  <c:v>1770.5799999998073</c:v>
                </c:pt>
                <c:pt idx="202">
                  <c:v>1770.5799999998073</c:v>
                </c:pt>
                <c:pt idx="203">
                  <c:v>1770.5799999998073</c:v>
                </c:pt>
                <c:pt idx="204">
                  <c:v>1770.5799999998073</c:v>
                </c:pt>
                <c:pt idx="205">
                  <c:v>1770.5799999998073</c:v>
                </c:pt>
                <c:pt idx="206">
                  <c:v>1770.5799999998073</c:v>
                </c:pt>
                <c:pt idx="207">
                  <c:v>1770.5799999998073</c:v>
                </c:pt>
                <c:pt idx="208">
                  <c:v>1770.5799999998073</c:v>
                </c:pt>
                <c:pt idx="209">
                  <c:v>1770.5799999998073</c:v>
                </c:pt>
                <c:pt idx="210">
                  <c:v>1770.5799999998073</c:v>
                </c:pt>
                <c:pt idx="211">
                  <c:v>1770.5799999998073</c:v>
                </c:pt>
                <c:pt idx="212">
                  <c:v>1770.5799999998073</c:v>
                </c:pt>
                <c:pt idx="213">
                  <c:v>1770.5799999998073</c:v>
                </c:pt>
                <c:pt idx="214">
                  <c:v>1770.5799999998073</c:v>
                </c:pt>
                <c:pt idx="215">
                  <c:v>1770.5799999998073</c:v>
                </c:pt>
                <c:pt idx="216">
                  <c:v>1770.5799999998073</c:v>
                </c:pt>
                <c:pt idx="217">
                  <c:v>1770.5799999998073</c:v>
                </c:pt>
                <c:pt idx="218">
                  <c:v>1770.5799999998073</c:v>
                </c:pt>
                <c:pt idx="219">
                  <c:v>1770.5799999998073</c:v>
                </c:pt>
                <c:pt idx="220">
                  <c:v>1770.5799999998073</c:v>
                </c:pt>
                <c:pt idx="221">
                  <c:v>1770.5799999998073</c:v>
                </c:pt>
                <c:pt idx="222">
                  <c:v>1770.5799999998073</c:v>
                </c:pt>
                <c:pt idx="223">
                  <c:v>1770.5799999998073</c:v>
                </c:pt>
                <c:pt idx="224">
                  <c:v>1770.5799999998073</c:v>
                </c:pt>
                <c:pt idx="225">
                  <c:v>1770.5799999998073</c:v>
                </c:pt>
                <c:pt idx="226">
                  <c:v>1770.5799999998073</c:v>
                </c:pt>
                <c:pt idx="227">
                  <c:v>1770.5799999998073</c:v>
                </c:pt>
                <c:pt idx="228">
                  <c:v>1770.5799999998073</c:v>
                </c:pt>
                <c:pt idx="229">
                  <c:v>1770.5799999998073</c:v>
                </c:pt>
                <c:pt idx="230">
                  <c:v>1770.5799999998073</c:v>
                </c:pt>
                <c:pt idx="231">
                  <c:v>1770.5799999998073</c:v>
                </c:pt>
                <c:pt idx="232">
                  <c:v>1770.5799999998073</c:v>
                </c:pt>
                <c:pt idx="233">
                  <c:v>1770.5799999998073</c:v>
                </c:pt>
                <c:pt idx="234">
                  <c:v>1770.5799999998073</c:v>
                </c:pt>
                <c:pt idx="235">
                  <c:v>1770.5799999998073</c:v>
                </c:pt>
                <c:pt idx="236">
                  <c:v>1770.5799999998073</c:v>
                </c:pt>
                <c:pt idx="237">
                  <c:v>1770.5799999998073</c:v>
                </c:pt>
                <c:pt idx="238">
                  <c:v>1770.5799999998073</c:v>
                </c:pt>
                <c:pt idx="239">
                  <c:v>1770.5799999998073</c:v>
                </c:pt>
                <c:pt idx="240">
                  <c:v>1770.5799999998073</c:v>
                </c:pt>
                <c:pt idx="241">
                  <c:v>1770.5799999998073</c:v>
                </c:pt>
                <c:pt idx="242">
                  <c:v>1770.5799999998073</c:v>
                </c:pt>
                <c:pt idx="243">
                  <c:v>1770.5799999998073</c:v>
                </c:pt>
                <c:pt idx="244">
                  <c:v>1770.5799999998073</c:v>
                </c:pt>
                <c:pt idx="245">
                  <c:v>1770.5799999998073</c:v>
                </c:pt>
                <c:pt idx="246">
                  <c:v>1770.5799999998073</c:v>
                </c:pt>
                <c:pt idx="247">
                  <c:v>1770.5799999998073</c:v>
                </c:pt>
                <c:pt idx="248">
                  <c:v>1770.5799999998073</c:v>
                </c:pt>
                <c:pt idx="249">
                  <c:v>1770.5799999998073</c:v>
                </c:pt>
                <c:pt idx="250">
                  <c:v>1770.5799999998073</c:v>
                </c:pt>
                <c:pt idx="251">
                  <c:v>1770.5799999998073</c:v>
                </c:pt>
                <c:pt idx="252">
                  <c:v>1770.5799999998073</c:v>
                </c:pt>
                <c:pt idx="253">
                  <c:v>1770.5799999998073</c:v>
                </c:pt>
                <c:pt idx="254">
                  <c:v>1770.5799999998073</c:v>
                </c:pt>
                <c:pt idx="255">
                  <c:v>1770.5799999998073</c:v>
                </c:pt>
                <c:pt idx="256">
                  <c:v>1770.5799999998073</c:v>
                </c:pt>
                <c:pt idx="257">
                  <c:v>1770.5799999998073</c:v>
                </c:pt>
                <c:pt idx="258">
                  <c:v>1770.5799999998073</c:v>
                </c:pt>
                <c:pt idx="259">
                  <c:v>1770.5799999998073</c:v>
                </c:pt>
                <c:pt idx="260">
                  <c:v>1770.5799999998073</c:v>
                </c:pt>
                <c:pt idx="261">
                  <c:v>1770.5799999998073</c:v>
                </c:pt>
                <c:pt idx="262">
                  <c:v>1770.5799999998073</c:v>
                </c:pt>
                <c:pt idx="263">
                  <c:v>1770.5799999998073</c:v>
                </c:pt>
                <c:pt idx="264">
                  <c:v>1770.5799999998073</c:v>
                </c:pt>
                <c:pt idx="265">
                  <c:v>1770.5799999998073</c:v>
                </c:pt>
                <c:pt idx="266">
                  <c:v>1770.5799999998073</c:v>
                </c:pt>
                <c:pt idx="267">
                  <c:v>1770.5799999998073</c:v>
                </c:pt>
                <c:pt idx="268">
                  <c:v>1770.5799999998073</c:v>
                </c:pt>
                <c:pt idx="269">
                  <c:v>1770.5799999998073</c:v>
                </c:pt>
                <c:pt idx="270">
                  <c:v>1770.5799999998073</c:v>
                </c:pt>
                <c:pt idx="271">
                  <c:v>1770.5799999998073</c:v>
                </c:pt>
                <c:pt idx="272">
                  <c:v>1770.5799999998073</c:v>
                </c:pt>
                <c:pt idx="273">
                  <c:v>1770.5799999998073</c:v>
                </c:pt>
                <c:pt idx="274">
                  <c:v>1770.5799999998073</c:v>
                </c:pt>
                <c:pt idx="275">
                  <c:v>1770.5799999998073</c:v>
                </c:pt>
                <c:pt idx="276">
                  <c:v>1770.5799999998073</c:v>
                </c:pt>
                <c:pt idx="277">
                  <c:v>1770.5799999998073</c:v>
                </c:pt>
                <c:pt idx="278">
                  <c:v>1770.5799999998073</c:v>
                </c:pt>
                <c:pt idx="279">
                  <c:v>1770.5799999998073</c:v>
                </c:pt>
                <c:pt idx="280">
                  <c:v>1770.5799999998073</c:v>
                </c:pt>
                <c:pt idx="281">
                  <c:v>1770.5799999998073</c:v>
                </c:pt>
                <c:pt idx="282">
                  <c:v>1770.5799999998073</c:v>
                </c:pt>
                <c:pt idx="283">
                  <c:v>1399.3800000000131</c:v>
                </c:pt>
                <c:pt idx="284">
                  <c:v>1381.9800000000123</c:v>
                </c:pt>
                <c:pt idx="285">
                  <c:v>1381.9800000000123</c:v>
                </c:pt>
                <c:pt idx="286">
                  <c:v>1381.9800000000123</c:v>
                </c:pt>
                <c:pt idx="287">
                  <c:v>1381.9800000000123</c:v>
                </c:pt>
                <c:pt idx="288">
                  <c:v>1381.9800000000123</c:v>
                </c:pt>
                <c:pt idx="289">
                  <c:v>1381.9800000000123</c:v>
                </c:pt>
                <c:pt idx="290">
                  <c:v>1381.9800000000123</c:v>
                </c:pt>
                <c:pt idx="291">
                  <c:v>1381.9800000000123</c:v>
                </c:pt>
                <c:pt idx="292">
                  <c:v>1381.9800000000123</c:v>
                </c:pt>
                <c:pt idx="293">
                  <c:v>1381.9800000000123</c:v>
                </c:pt>
                <c:pt idx="294">
                  <c:v>1410.9799999999859</c:v>
                </c:pt>
                <c:pt idx="295">
                  <c:v>1410.9799999999859</c:v>
                </c:pt>
                <c:pt idx="296">
                  <c:v>1410.9799999999859</c:v>
                </c:pt>
                <c:pt idx="297">
                  <c:v>1410.9799999999859</c:v>
                </c:pt>
                <c:pt idx="298">
                  <c:v>1410.9799999999859</c:v>
                </c:pt>
                <c:pt idx="299">
                  <c:v>1410.9799999999859</c:v>
                </c:pt>
                <c:pt idx="300">
                  <c:v>1410.9799999999859</c:v>
                </c:pt>
                <c:pt idx="301">
                  <c:v>1410.9799999999859</c:v>
                </c:pt>
                <c:pt idx="302">
                  <c:v>1410.9799999999859</c:v>
                </c:pt>
                <c:pt idx="303">
                  <c:v>1480.5799999999886</c:v>
                </c:pt>
                <c:pt idx="304">
                  <c:v>1880.5800000001932</c:v>
                </c:pt>
                <c:pt idx="305">
                  <c:v>1880.5800000001932</c:v>
                </c:pt>
                <c:pt idx="306">
                  <c:v>1880.5800000001932</c:v>
                </c:pt>
                <c:pt idx="307">
                  <c:v>1880.5800000001932</c:v>
                </c:pt>
                <c:pt idx="308">
                  <c:v>1880.5800000001932</c:v>
                </c:pt>
                <c:pt idx="309">
                  <c:v>1880.5800000001932</c:v>
                </c:pt>
                <c:pt idx="310">
                  <c:v>2089.3800000002011</c:v>
                </c:pt>
                <c:pt idx="311">
                  <c:v>2089.3800000002011</c:v>
                </c:pt>
                <c:pt idx="312">
                  <c:v>2089.3800000002011</c:v>
                </c:pt>
                <c:pt idx="313">
                  <c:v>2089.3800000002011</c:v>
                </c:pt>
                <c:pt idx="314">
                  <c:v>2089.3800000002011</c:v>
                </c:pt>
                <c:pt idx="315">
                  <c:v>1828.3800000001911</c:v>
                </c:pt>
                <c:pt idx="316">
                  <c:v>1828.3800000001911</c:v>
                </c:pt>
                <c:pt idx="317">
                  <c:v>1828.3800000001911</c:v>
                </c:pt>
                <c:pt idx="318">
                  <c:v>1828.3800000001911</c:v>
                </c:pt>
                <c:pt idx="319">
                  <c:v>1828.3800000001911</c:v>
                </c:pt>
                <c:pt idx="320">
                  <c:v>1828.3800000001911</c:v>
                </c:pt>
                <c:pt idx="321">
                  <c:v>1828.3800000001911</c:v>
                </c:pt>
                <c:pt idx="322">
                  <c:v>1828.3800000001911</c:v>
                </c:pt>
                <c:pt idx="323">
                  <c:v>1828.3800000001911</c:v>
                </c:pt>
                <c:pt idx="324">
                  <c:v>1828.3800000001911</c:v>
                </c:pt>
                <c:pt idx="325">
                  <c:v>1828.3800000001911</c:v>
                </c:pt>
                <c:pt idx="326">
                  <c:v>1828.3800000001911</c:v>
                </c:pt>
                <c:pt idx="327">
                  <c:v>1828.3800000001911</c:v>
                </c:pt>
                <c:pt idx="328">
                  <c:v>1828.3800000001911</c:v>
                </c:pt>
                <c:pt idx="329">
                  <c:v>1828.3800000001911</c:v>
                </c:pt>
                <c:pt idx="330">
                  <c:v>1828.3800000001911</c:v>
                </c:pt>
                <c:pt idx="331">
                  <c:v>1828.3800000001911</c:v>
                </c:pt>
                <c:pt idx="332">
                  <c:v>1828.3800000001911</c:v>
                </c:pt>
                <c:pt idx="333">
                  <c:v>1828.3800000001911</c:v>
                </c:pt>
                <c:pt idx="334">
                  <c:v>1828.3800000001911</c:v>
                </c:pt>
                <c:pt idx="335">
                  <c:v>1828.3800000001911</c:v>
                </c:pt>
                <c:pt idx="336">
                  <c:v>1828.3800000001911</c:v>
                </c:pt>
                <c:pt idx="337">
                  <c:v>1828.3800000001911</c:v>
                </c:pt>
                <c:pt idx="338">
                  <c:v>1828.3800000001911</c:v>
                </c:pt>
                <c:pt idx="339">
                  <c:v>1828.3800000001911</c:v>
                </c:pt>
                <c:pt idx="340">
                  <c:v>1828.3800000001911</c:v>
                </c:pt>
                <c:pt idx="341">
                  <c:v>1828.3800000001911</c:v>
                </c:pt>
                <c:pt idx="342">
                  <c:v>1828.3800000001911</c:v>
                </c:pt>
                <c:pt idx="343">
                  <c:v>1828.3800000001911</c:v>
                </c:pt>
                <c:pt idx="344">
                  <c:v>1828.3800000001911</c:v>
                </c:pt>
                <c:pt idx="345">
                  <c:v>1828.3800000001911</c:v>
                </c:pt>
                <c:pt idx="346">
                  <c:v>1828.3800000001911</c:v>
                </c:pt>
                <c:pt idx="347">
                  <c:v>1828.3800000001911</c:v>
                </c:pt>
                <c:pt idx="348">
                  <c:v>1828.3800000001911</c:v>
                </c:pt>
                <c:pt idx="349">
                  <c:v>1828.3800000001911</c:v>
                </c:pt>
                <c:pt idx="350">
                  <c:v>1828.3800000001911</c:v>
                </c:pt>
                <c:pt idx="351">
                  <c:v>1828.3800000001911</c:v>
                </c:pt>
                <c:pt idx="352">
                  <c:v>1828.3800000001911</c:v>
                </c:pt>
                <c:pt idx="353">
                  <c:v>1828.3800000001911</c:v>
                </c:pt>
                <c:pt idx="354">
                  <c:v>1828.3800000001911</c:v>
                </c:pt>
                <c:pt idx="355">
                  <c:v>1828.3800000001911</c:v>
                </c:pt>
                <c:pt idx="356">
                  <c:v>1828.3800000001911</c:v>
                </c:pt>
                <c:pt idx="357">
                  <c:v>1857.3800000001647</c:v>
                </c:pt>
                <c:pt idx="358">
                  <c:v>1857.3800000001647</c:v>
                </c:pt>
                <c:pt idx="359">
                  <c:v>1857.3800000001647</c:v>
                </c:pt>
                <c:pt idx="360">
                  <c:v>1857.3800000001647</c:v>
                </c:pt>
                <c:pt idx="361">
                  <c:v>1857.3800000001647</c:v>
                </c:pt>
                <c:pt idx="362">
                  <c:v>1857.3800000001647</c:v>
                </c:pt>
                <c:pt idx="363">
                  <c:v>1857.3800000001647</c:v>
                </c:pt>
                <c:pt idx="364">
                  <c:v>1857.3800000001647</c:v>
                </c:pt>
                <c:pt idx="365">
                  <c:v>1857.3800000001647</c:v>
                </c:pt>
                <c:pt idx="366">
                  <c:v>1857.3800000001647</c:v>
                </c:pt>
                <c:pt idx="367">
                  <c:v>1857.3800000001647</c:v>
                </c:pt>
                <c:pt idx="368">
                  <c:v>1857.3800000001647</c:v>
                </c:pt>
                <c:pt idx="369">
                  <c:v>1857.3800000001647</c:v>
                </c:pt>
                <c:pt idx="370">
                  <c:v>1915.3800000001943</c:v>
                </c:pt>
                <c:pt idx="371">
                  <c:v>1915.3800000001943</c:v>
                </c:pt>
                <c:pt idx="372">
                  <c:v>1915.3800000001943</c:v>
                </c:pt>
                <c:pt idx="373">
                  <c:v>1915.3800000001943</c:v>
                </c:pt>
                <c:pt idx="374">
                  <c:v>1915.3800000001943</c:v>
                </c:pt>
                <c:pt idx="375">
                  <c:v>1915.3800000001943</c:v>
                </c:pt>
                <c:pt idx="376">
                  <c:v>1915.3800000001943</c:v>
                </c:pt>
                <c:pt idx="377">
                  <c:v>1793.5800000001072</c:v>
                </c:pt>
                <c:pt idx="378">
                  <c:v>1793.5800000001072</c:v>
                </c:pt>
                <c:pt idx="379">
                  <c:v>1793.5800000001072</c:v>
                </c:pt>
                <c:pt idx="380">
                  <c:v>1793.5800000001072</c:v>
                </c:pt>
                <c:pt idx="381">
                  <c:v>1793.5800000001072</c:v>
                </c:pt>
                <c:pt idx="382">
                  <c:v>1793.5800000001072</c:v>
                </c:pt>
                <c:pt idx="383">
                  <c:v>1793.5800000001072</c:v>
                </c:pt>
                <c:pt idx="384">
                  <c:v>1793.5800000001072</c:v>
                </c:pt>
                <c:pt idx="385">
                  <c:v>1793.5800000001072</c:v>
                </c:pt>
                <c:pt idx="386">
                  <c:v>1473.5799999999435</c:v>
                </c:pt>
                <c:pt idx="387">
                  <c:v>1473.5799999999435</c:v>
                </c:pt>
                <c:pt idx="388">
                  <c:v>1473.5799999999435</c:v>
                </c:pt>
                <c:pt idx="389">
                  <c:v>1473.5799999999435</c:v>
                </c:pt>
                <c:pt idx="390">
                  <c:v>1473.5799999999435</c:v>
                </c:pt>
                <c:pt idx="391">
                  <c:v>1473.5799999999435</c:v>
                </c:pt>
                <c:pt idx="392">
                  <c:v>2215.9800000001915</c:v>
                </c:pt>
                <c:pt idx="393">
                  <c:v>2087.9800000002169</c:v>
                </c:pt>
                <c:pt idx="394">
                  <c:v>2087.9800000002169</c:v>
                </c:pt>
                <c:pt idx="395">
                  <c:v>2087.9800000002169</c:v>
                </c:pt>
                <c:pt idx="396">
                  <c:v>2087.9800000002169</c:v>
                </c:pt>
                <c:pt idx="397">
                  <c:v>2087.9800000002169</c:v>
                </c:pt>
                <c:pt idx="398">
                  <c:v>2087.9800000002169</c:v>
                </c:pt>
                <c:pt idx="399">
                  <c:v>2087.9800000002169</c:v>
                </c:pt>
                <c:pt idx="400">
                  <c:v>2087.9800000002169</c:v>
                </c:pt>
                <c:pt idx="401">
                  <c:v>2087.9800000002169</c:v>
                </c:pt>
                <c:pt idx="402">
                  <c:v>2087.9800000002169</c:v>
                </c:pt>
                <c:pt idx="403">
                  <c:v>2087.9800000002169</c:v>
                </c:pt>
                <c:pt idx="404">
                  <c:v>2087.9800000002169</c:v>
                </c:pt>
                <c:pt idx="405">
                  <c:v>2087.9800000002169</c:v>
                </c:pt>
                <c:pt idx="406">
                  <c:v>2087.9800000002169</c:v>
                </c:pt>
                <c:pt idx="407">
                  <c:v>2087.9800000002169</c:v>
                </c:pt>
                <c:pt idx="408">
                  <c:v>2087.9800000002169</c:v>
                </c:pt>
                <c:pt idx="409">
                  <c:v>2087.9800000002169</c:v>
                </c:pt>
                <c:pt idx="410">
                  <c:v>2087.9800000002169</c:v>
                </c:pt>
                <c:pt idx="411">
                  <c:v>2087.9800000002169</c:v>
                </c:pt>
                <c:pt idx="412">
                  <c:v>2087.9800000002169</c:v>
                </c:pt>
                <c:pt idx="413">
                  <c:v>2087.9800000002169</c:v>
                </c:pt>
                <c:pt idx="414">
                  <c:v>2087.9800000002169</c:v>
                </c:pt>
                <c:pt idx="415">
                  <c:v>2087.9800000002169</c:v>
                </c:pt>
                <c:pt idx="416">
                  <c:v>2087.9800000002169</c:v>
                </c:pt>
                <c:pt idx="417">
                  <c:v>2087.9800000002169</c:v>
                </c:pt>
                <c:pt idx="418">
                  <c:v>2087.9800000002169</c:v>
                </c:pt>
                <c:pt idx="419">
                  <c:v>2087.9800000002169</c:v>
                </c:pt>
                <c:pt idx="420">
                  <c:v>2087.9800000002169</c:v>
                </c:pt>
                <c:pt idx="421">
                  <c:v>2087.9800000002169</c:v>
                </c:pt>
                <c:pt idx="422">
                  <c:v>2087.9800000002169</c:v>
                </c:pt>
                <c:pt idx="423">
                  <c:v>2087.9800000002169</c:v>
                </c:pt>
                <c:pt idx="424">
                  <c:v>2087.9800000002169</c:v>
                </c:pt>
                <c:pt idx="425">
                  <c:v>2087.9800000002169</c:v>
                </c:pt>
                <c:pt idx="426">
                  <c:v>2087.9800000002169</c:v>
                </c:pt>
                <c:pt idx="427">
                  <c:v>2087.9800000002169</c:v>
                </c:pt>
                <c:pt idx="428">
                  <c:v>2058.980000000161</c:v>
                </c:pt>
                <c:pt idx="429">
                  <c:v>2058.980000000161</c:v>
                </c:pt>
                <c:pt idx="430">
                  <c:v>2058.980000000161</c:v>
                </c:pt>
                <c:pt idx="431">
                  <c:v>2058.980000000161</c:v>
                </c:pt>
                <c:pt idx="432">
                  <c:v>2058.980000000161</c:v>
                </c:pt>
                <c:pt idx="433">
                  <c:v>2058.980000000161</c:v>
                </c:pt>
                <c:pt idx="434">
                  <c:v>2058.980000000161</c:v>
                </c:pt>
                <c:pt idx="435">
                  <c:v>2058.980000000161</c:v>
                </c:pt>
                <c:pt idx="436">
                  <c:v>2058.980000000161</c:v>
                </c:pt>
                <c:pt idx="437">
                  <c:v>2058.980000000161</c:v>
                </c:pt>
                <c:pt idx="438">
                  <c:v>2058.980000000161</c:v>
                </c:pt>
                <c:pt idx="439">
                  <c:v>2058.980000000161</c:v>
                </c:pt>
                <c:pt idx="440">
                  <c:v>2058.980000000161</c:v>
                </c:pt>
                <c:pt idx="441">
                  <c:v>2058.980000000161</c:v>
                </c:pt>
                <c:pt idx="442">
                  <c:v>2058.980000000161</c:v>
                </c:pt>
                <c:pt idx="443">
                  <c:v>2058.980000000161</c:v>
                </c:pt>
                <c:pt idx="444">
                  <c:v>2058.980000000161</c:v>
                </c:pt>
                <c:pt idx="445">
                  <c:v>2058.980000000161</c:v>
                </c:pt>
                <c:pt idx="446">
                  <c:v>2058.980000000161</c:v>
                </c:pt>
                <c:pt idx="447">
                  <c:v>2058.980000000161</c:v>
                </c:pt>
                <c:pt idx="448">
                  <c:v>1884.9800000001544</c:v>
                </c:pt>
                <c:pt idx="449">
                  <c:v>1884.9800000001544</c:v>
                </c:pt>
                <c:pt idx="450">
                  <c:v>1884.9800000001544</c:v>
                </c:pt>
                <c:pt idx="451">
                  <c:v>1884.9800000001544</c:v>
                </c:pt>
                <c:pt idx="452">
                  <c:v>1884.9800000001544</c:v>
                </c:pt>
                <c:pt idx="453">
                  <c:v>1884.9800000001544</c:v>
                </c:pt>
                <c:pt idx="454">
                  <c:v>1884.9800000001544</c:v>
                </c:pt>
                <c:pt idx="455">
                  <c:v>1971.9799999993334</c:v>
                </c:pt>
                <c:pt idx="456">
                  <c:v>2371.979999999538</c:v>
                </c:pt>
                <c:pt idx="457">
                  <c:v>2371.979999999538</c:v>
                </c:pt>
                <c:pt idx="458">
                  <c:v>2371.979999999538</c:v>
                </c:pt>
                <c:pt idx="459">
                  <c:v>2371.979999999538</c:v>
                </c:pt>
                <c:pt idx="460">
                  <c:v>2371.979999999538</c:v>
                </c:pt>
                <c:pt idx="461">
                  <c:v>2371.979999999538</c:v>
                </c:pt>
                <c:pt idx="462">
                  <c:v>2487.9799999994325</c:v>
                </c:pt>
                <c:pt idx="463">
                  <c:v>2487.9799999994325</c:v>
                </c:pt>
                <c:pt idx="464">
                  <c:v>2487.9799999994325</c:v>
                </c:pt>
                <c:pt idx="465">
                  <c:v>2487.9799999994325</c:v>
                </c:pt>
                <c:pt idx="466">
                  <c:v>2487.9799999994325</c:v>
                </c:pt>
                <c:pt idx="467">
                  <c:v>2487.9799999994325</c:v>
                </c:pt>
                <c:pt idx="468">
                  <c:v>2487.9799999994325</c:v>
                </c:pt>
                <c:pt idx="469">
                  <c:v>2487.9799999994325</c:v>
                </c:pt>
                <c:pt idx="470">
                  <c:v>2487.9799999994325</c:v>
                </c:pt>
                <c:pt idx="471">
                  <c:v>2487.9799999994325</c:v>
                </c:pt>
                <c:pt idx="472">
                  <c:v>2487.9799999994325</c:v>
                </c:pt>
                <c:pt idx="473">
                  <c:v>2487.9799999994325</c:v>
                </c:pt>
                <c:pt idx="474">
                  <c:v>2487.9799999994325</c:v>
                </c:pt>
                <c:pt idx="475">
                  <c:v>2487.9799999994325</c:v>
                </c:pt>
                <c:pt idx="476">
                  <c:v>2487.9799999994325</c:v>
                </c:pt>
                <c:pt idx="477">
                  <c:v>2487.9799999994325</c:v>
                </c:pt>
                <c:pt idx="478">
                  <c:v>2487.9799999994325</c:v>
                </c:pt>
                <c:pt idx="479">
                  <c:v>2487.9799999994325</c:v>
                </c:pt>
                <c:pt idx="480">
                  <c:v>2487.9799999994325</c:v>
                </c:pt>
                <c:pt idx="481">
                  <c:v>3253.5799999996261</c:v>
                </c:pt>
                <c:pt idx="482">
                  <c:v>3253.5799999996261</c:v>
                </c:pt>
                <c:pt idx="483">
                  <c:v>3253.5799999996261</c:v>
                </c:pt>
                <c:pt idx="484">
                  <c:v>3253.5799999996261</c:v>
                </c:pt>
                <c:pt idx="485">
                  <c:v>3253.5799999996261</c:v>
                </c:pt>
                <c:pt idx="486">
                  <c:v>3253.5799999996261</c:v>
                </c:pt>
                <c:pt idx="487">
                  <c:v>3253.5799999996261</c:v>
                </c:pt>
                <c:pt idx="488">
                  <c:v>3253.5799999996261</c:v>
                </c:pt>
                <c:pt idx="489">
                  <c:v>3253.5799999996261</c:v>
                </c:pt>
                <c:pt idx="490">
                  <c:v>3253.5799999996261</c:v>
                </c:pt>
                <c:pt idx="491">
                  <c:v>3253.5799999996261</c:v>
                </c:pt>
                <c:pt idx="492">
                  <c:v>3253.5799999996261</c:v>
                </c:pt>
                <c:pt idx="493">
                  <c:v>3253.5799999996261</c:v>
                </c:pt>
                <c:pt idx="494">
                  <c:v>3253.5799999996261</c:v>
                </c:pt>
                <c:pt idx="495">
                  <c:v>3253.5799999996261</c:v>
                </c:pt>
                <c:pt idx="496">
                  <c:v>3253.5799999996261</c:v>
                </c:pt>
                <c:pt idx="497">
                  <c:v>3253.5799999996261</c:v>
                </c:pt>
                <c:pt idx="498">
                  <c:v>3253.5799999996261</c:v>
                </c:pt>
                <c:pt idx="499">
                  <c:v>3253.5799999996261</c:v>
                </c:pt>
                <c:pt idx="500">
                  <c:v>3253.5799999996261</c:v>
                </c:pt>
                <c:pt idx="501">
                  <c:v>3253.5799999996261</c:v>
                </c:pt>
                <c:pt idx="502">
                  <c:v>3253.5799999996261</c:v>
                </c:pt>
                <c:pt idx="503">
                  <c:v>3253.5799999996261</c:v>
                </c:pt>
                <c:pt idx="504">
                  <c:v>3253.5799999996261</c:v>
                </c:pt>
                <c:pt idx="505">
                  <c:v>3253.5799999996261</c:v>
                </c:pt>
                <c:pt idx="506">
                  <c:v>3253.5799999996261</c:v>
                </c:pt>
                <c:pt idx="507">
                  <c:v>2735.7799999996064</c:v>
                </c:pt>
                <c:pt idx="508">
                  <c:v>2735.7799999996064</c:v>
                </c:pt>
                <c:pt idx="509">
                  <c:v>2706.7799999995505</c:v>
                </c:pt>
                <c:pt idx="510">
                  <c:v>2836.2299999994329</c:v>
                </c:pt>
                <c:pt idx="511">
                  <c:v>2836.2299999994329</c:v>
                </c:pt>
                <c:pt idx="512">
                  <c:v>2836.2299999994329</c:v>
                </c:pt>
                <c:pt idx="513">
                  <c:v>2836.2299999994329</c:v>
                </c:pt>
                <c:pt idx="514">
                  <c:v>2836.2299999994329</c:v>
                </c:pt>
                <c:pt idx="515">
                  <c:v>2836.2299999994329</c:v>
                </c:pt>
                <c:pt idx="516">
                  <c:v>2836.2299999994329</c:v>
                </c:pt>
                <c:pt idx="517">
                  <c:v>2836.2299999994329</c:v>
                </c:pt>
                <c:pt idx="518">
                  <c:v>2836.2299999994329</c:v>
                </c:pt>
                <c:pt idx="519">
                  <c:v>2836.2299999994329</c:v>
                </c:pt>
                <c:pt idx="520">
                  <c:v>2836.2299999994329</c:v>
                </c:pt>
                <c:pt idx="521">
                  <c:v>2836.2299999994329</c:v>
                </c:pt>
                <c:pt idx="522">
                  <c:v>2836.2299999994329</c:v>
                </c:pt>
                <c:pt idx="523">
                  <c:v>2836.2299999994329</c:v>
                </c:pt>
                <c:pt idx="524">
                  <c:v>2836.2299999994329</c:v>
                </c:pt>
                <c:pt idx="525">
                  <c:v>2836.2299999994329</c:v>
                </c:pt>
                <c:pt idx="526">
                  <c:v>2836.2299999994329</c:v>
                </c:pt>
                <c:pt idx="527">
                  <c:v>2836.2299999994329</c:v>
                </c:pt>
                <c:pt idx="528">
                  <c:v>2836.2299999994329</c:v>
                </c:pt>
                <c:pt idx="529">
                  <c:v>2836.2299999994329</c:v>
                </c:pt>
                <c:pt idx="530">
                  <c:v>2836.2299999994329</c:v>
                </c:pt>
                <c:pt idx="531">
                  <c:v>2836.2299999994329</c:v>
                </c:pt>
                <c:pt idx="532">
                  <c:v>2836.2299999994329</c:v>
                </c:pt>
                <c:pt idx="533">
                  <c:v>2836.2299999994329</c:v>
                </c:pt>
                <c:pt idx="534">
                  <c:v>2836.2299999994329</c:v>
                </c:pt>
                <c:pt idx="535">
                  <c:v>2836.2299999994329</c:v>
                </c:pt>
                <c:pt idx="536">
                  <c:v>2836.2299999994329</c:v>
                </c:pt>
                <c:pt idx="537">
                  <c:v>2836.2299999994329</c:v>
                </c:pt>
                <c:pt idx="538">
                  <c:v>2836.2299999994329</c:v>
                </c:pt>
                <c:pt idx="539">
                  <c:v>2836.2299999994329</c:v>
                </c:pt>
                <c:pt idx="540">
                  <c:v>2836.2299999994329</c:v>
                </c:pt>
                <c:pt idx="541">
                  <c:v>2836.2299999994329</c:v>
                </c:pt>
                <c:pt idx="542">
                  <c:v>2836.2299999994329</c:v>
                </c:pt>
                <c:pt idx="543">
                  <c:v>2836.2299999994329</c:v>
                </c:pt>
                <c:pt idx="544">
                  <c:v>2720.2299999993738</c:v>
                </c:pt>
                <c:pt idx="545">
                  <c:v>2720.2299999993738</c:v>
                </c:pt>
                <c:pt idx="546">
                  <c:v>2720.2299999993738</c:v>
                </c:pt>
                <c:pt idx="547">
                  <c:v>2720.2299999993738</c:v>
                </c:pt>
                <c:pt idx="548">
                  <c:v>2720.2299999993738</c:v>
                </c:pt>
                <c:pt idx="549">
                  <c:v>2720.2299999993738</c:v>
                </c:pt>
                <c:pt idx="550">
                  <c:v>2720.2299999993738</c:v>
                </c:pt>
                <c:pt idx="551">
                  <c:v>2720.2299999993738</c:v>
                </c:pt>
                <c:pt idx="552">
                  <c:v>2720.2299999993738</c:v>
                </c:pt>
                <c:pt idx="553">
                  <c:v>2720.2299999993738</c:v>
                </c:pt>
                <c:pt idx="554">
                  <c:v>2720.2299999993738</c:v>
                </c:pt>
                <c:pt idx="555">
                  <c:v>-9935.1400000008871</c:v>
                </c:pt>
                <c:pt idx="556">
                  <c:v>2720.2299999993738</c:v>
                </c:pt>
                <c:pt idx="557">
                  <c:v>2604.229999999397</c:v>
                </c:pt>
                <c:pt idx="558">
                  <c:v>2604.229999999397</c:v>
                </c:pt>
                <c:pt idx="559">
                  <c:v>2604.229999999397</c:v>
                </c:pt>
                <c:pt idx="560">
                  <c:v>2604.229999999397</c:v>
                </c:pt>
                <c:pt idx="561">
                  <c:v>2604.229999999397</c:v>
                </c:pt>
                <c:pt idx="562">
                  <c:v>2604.229999999397</c:v>
                </c:pt>
                <c:pt idx="563">
                  <c:v>1577.2599999996442</c:v>
                </c:pt>
                <c:pt idx="564">
                  <c:v>1577.2599999996442</c:v>
                </c:pt>
                <c:pt idx="565">
                  <c:v>1577.2599999996442</c:v>
                </c:pt>
                <c:pt idx="566">
                  <c:v>1577.2599999996442</c:v>
                </c:pt>
                <c:pt idx="567">
                  <c:v>1577.2599999996442</c:v>
                </c:pt>
                <c:pt idx="568">
                  <c:v>-9366.1400000007852</c:v>
                </c:pt>
                <c:pt idx="569">
                  <c:v>1577.2599999996442</c:v>
                </c:pt>
                <c:pt idx="570">
                  <c:v>1577.2599999996442</c:v>
                </c:pt>
                <c:pt idx="571">
                  <c:v>-9366.1400000007852</c:v>
                </c:pt>
                <c:pt idx="572">
                  <c:v>1097.2599999997396</c:v>
                </c:pt>
                <c:pt idx="573">
                  <c:v>1097.2599999997396</c:v>
                </c:pt>
                <c:pt idx="574">
                  <c:v>1097.2599999997396</c:v>
                </c:pt>
                <c:pt idx="575">
                  <c:v>-9366.1400000007852</c:v>
                </c:pt>
                <c:pt idx="576">
                  <c:v>-9935.1400000008871</c:v>
                </c:pt>
                <c:pt idx="577">
                  <c:v>1097.2599999997396</c:v>
                </c:pt>
                <c:pt idx="578">
                  <c:v>1097.2599999997396</c:v>
                </c:pt>
                <c:pt idx="579">
                  <c:v>1097.2599999997396</c:v>
                </c:pt>
                <c:pt idx="580">
                  <c:v>1097.2599999997396</c:v>
                </c:pt>
                <c:pt idx="581">
                  <c:v>1097.2599999997396</c:v>
                </c:pt>
                <c:pt idx="582">
                  <c:v>1417.2599999999034</c:v>
                </c:pt>
                <c:pt idx="583">
                  <c:v>1417.2599999999034</c:v>
                </c:pt>
                <c:pt idx="584">
                  <c:v>1417.2599999999034</c:v>
                </c:pt>
                <c:pt idx="585">
                  <c:v>1417.2599999999034</c:v>
                </c:pt>
                <c:pt idx="586">
                  <c:v>1417.2599999999034</c:v>
                </c:pt>
                <c:pt idx="587">
                  <c:v>1417.2599999999034</c:v>
                </c:pt>
                <c:pt idx="588">
                  <c:v>1417.2599999999034</c:v>
                </c:pt>
                <c:pt idx="589">
                  <c:v>1417.2599999999034</c:v>
                </c:pt>
                <c:pt idx="590">
                  <c:v>1417.2599999999034</c:v>
                </c:pt>
                <c:pt idx="591">
                  <c:v>1417.2599999999034</c:v>
                </c:pt>
                <c:pt idx="592">
                  <c:v>1417.2599999999034</c:v>
                </c:pt>
                <c:pt idx="593">
                  <c:v>1417.2599999999034</c:v>
                </c:pt>
                <c:pt idx="594">
                  <c:v>1417.2599999999034</c:v>
                </c:pt>
                <c:pt idx="595">
                  <c:v>1417.2599999999034</c:v>
                </c:pt>
                <c:pt idx="596">
                  <c:v>1417.2599999999034</c:v>
                </c:pt>
                <c:pt idx="597">
                  <c:v>1417.2599999999034</c:v>
                </c:pt>
                <c:pt idx="598">
                  <c:v>1417.2599999999034</c:v>
                </c:pt>
                <c:pt idx="599">
                  <c:v>1417.2599999999034</c:v>
                </c:pt>
                <c:pt idx="600">
                  <c:v>1417.2599999999034</c:v>
                </c:pt>
                <c:pt idx="601">
                  <c:v>1417.2599999999034</c:v>
                </c:pt>
                <c:pt idx="602">
                  <c:v>1417.2599999999034</c:v>
                </c:pt>
                <c:pt idx="603">
                  <c:v>1417.2599999999034</c:v>
                </c:pt>
                <c:pt idx="604">
                  <c:v>1417.2599999999034</c:v>
                </c:pt>
                <c:pt idx="605">
                  <c:v>1417.2599999999034</c:v>
                </c:pt>
                <c:pt idx="606">
                  <c:v>1417.2599999999034</c:v>
                </c:pt>
                <c:pt idx="607">
                  <c:v>1417.2599999999034</c:v>
                </c:pt>
                <c:pt idx="608">
                  <c:v>1417.2599999999034</c:v>
                </c:pt>
                <c:pt idx="609">
                  <c:v>1417.2599999999034</c:v>
                </c:pt>
                <c:pt idx="610">
                  <c:v>1417.2599999999034</c:v>
                </c:pt>
                <c:pt idx="611">
                  <c:v>1417.2599999999034</c:v>
                </c:pt>
                <c:pt idx="612">
                  <c:v>1417.2599999999034</c:v>
                </c:pt>
                <c:pt idx="613">
                  <c:v>1417.2599999999034</c:v>
                </c:pt>
                <c:pt idx="614">
                  <c:v>1417.2599999999034</c:v>
                </c:pt>
                <c:pt idx="615">
                  <c:v>1417.2599999999034</c:v>
                </c:pt>
                <c:pt idx="616">
                  <c:v>1417.2599999999034</c:v>
                </c:pt>
                <c:pt idx="617">
                  <c:v>1417.2599999999034</c:v>
                </c:pt>
                <c:pt idx="618">
                  <c:v>1417.2599999999034</c:v>
                </c:pt>
                <c:pt idx="619">
                  <c:v>1417.2599999999034</c:v>
                </c:pt>
                <c:pt idx="620">
                  <c:v>-9366.1400000007852</c:v>
                </c:pt>
                <c:pt idx="621">
                  <c:v>1737.2600000000671</c:v>
                </c:pt>
                <c:pt idx="622">
                  <c:v>1737.2600000000671</c:v>
                </c:pt>
                <c:pt idx="623">
                  <c:v>1737.2600000000671</c:v>
                </c:pt>
                <c:pt idx="624">
                  <c:v>1737.2600000000671</c:v>
                </c:pt>
                <c:pt idx="625">
                  <c:v>1737.2600000000671</c:v>
                </c:pt>
                <c:pt idx="626">
                  <c:v>1737.2600000000671</c:v>
                </c:pt>
                <c:pt idx="627">
                  <c:v>-9366.1400000007852</c:v>
                </c:pt>
                <c:pt idx="628">
                  <c:v>1737.2600000000671</c:v>
                </c:pt>
                <c:pt idx="629">
                  <c:v>1737.2600000000671</c:v>
                </c:pt>
                <c:pt idx="630">
                  <c:v>-182.74000000023307</c:v>
                </c:pt>
                <c:pt idx="631">
                  <c:v>-1782.7400000001421</c:v>
                </c:pt>
                <c:pt idx="632">
                  <c:v>-3702.7400000004423</c:v>
                </c:pt>
                <c:pt idx="633">
                  <c:v>-5622.7400000004418</c:v>
                </c:pt>
                <c:pt idx="634">
                  <c:v>-7542.7400000000598</c:v>
                </c:pt>
                <c:pt idx="635">
                  <c:v>-5622.7399999997597</c:v>
                </c:pt>
                <c:pt idx="636">
                  <c:v>-5622.7399999997597</c:v>
                </c:pt>
                <c:pt idx="637">
                  <c:v>-5622.7399999997597</c:v>
                </c:pt>
                <c:pt idx="638">
                  <c:v>-5622.7399999997597</c:v>
                </c:pt>
                <c:pt idx="639">
                  <c:v>-9366.1400000007852</c:v>
                </c:pt>
                <c:pt idx="640">
                  <c:v>-5622.7399999997597</c:v>
                </c:pt>
                <c:pt idx="641">
                  <c:v>-5622.7399999997597</c:v>
                </c:pt>
                <c:pt idx="642">
                  <c:v>-9366.1400000007852</c:v>
                </c:pt>
                <c:pt idx="643">
                  <c:v>-5622.7399999997597</c:v>
                </c:pt>
                <c:pt idx="644">
                  <c:v>-5622.7399999997597</c:v>
                </c:pt>
                <c:pt idx="645">
                  <c:v>-5384.9400000000251</c:v>
                </c:pt>
                <c:pt idx="646">
                  <c:v>-5622.7399999997597</c:v>
                </c:pt>
                <c:pt idx="647">
                  <c:v>-5384.9400000000251</c:v>
                </c:pt>
                <c:pt idx="648">
                  <c:v>-5622.7399999997597</c:v>
                </c:pt>
                <c:pt idx="649">
                  <c:v>-5622.7399999997597</c:v>
                </c:pt>
                <c:pt idx="650">
                  <c:v>-5622.7399999997597</c:v>
                </c:pt>
                <c:pt idx="651">
                  <c:v>-5622.7399999997597</c:v>
                </c:pt>
                <c:pt idx="652">
                  <c:v>-5622.7399999997597</c:v>
                </c:pt>
                <c:pt idx="653">
                  <c:v>-5622.7399999997597</c:v>
                </c:pt>
                <c:pt idx="654">
                  <c:v>-5622.7399999997597</c:v>
                </c:pt>
                <c:pt idx="655">
                  <c:v>-5622.7399999997597</c:v>
                </c:pt>
                <c:pt idx="656">
                  <c:v>-5622.7399999997597</c:v>
                </c:pt>
                <c:pt idx="657">
                  <c:v>-5622.7399999997597</c:v>
                </c:pt>
                <c:pt idx="658">
                  <c:v>-5848.9399999998504</c:v>
                </c:pt>
                <c:pt idx="659">
                  <c:v>-5848.9399999998504</c:v>
                </c:pt>
                <c:pt idx="660">
                  <c:v>-5848.9399999998504</c:v>
                </c:pt>
                <c:pt idx="661">
                  <c:v>-5848.9399999998504</c:v>
                </c:pt>
                <c:pt idx="662">
                  <c:v>-5848.9399999998504</c:v>
                </c:pt>
                <c:pt idx="663">
                  <c:v>-5848.9399999998504</c:v>
                </c:pt>
                <c:pt idx="664">
                  <c:v>-5848.9399999998504</c:v>
                </c:pt>
                <c:pt idx="665">
                  <c:v>-5848.9399999998504</c:v>
                </c:pt>
                <c:pt idx="666">
                  <c:v>-5384.9400000000251</c:v>
                </c:pt>
                <c:pt idx="667">
                  <c:v>-5848.9399999998504</c:v>
                </c:pt>
                <c:pt idx="668">
                  <c:v>-5848.9399999998504</c:v>
                </c:pt>
                <c:pt idx="669">
                  <c:v>-5848.9399999998504</c:v>
                </c:pt>
                <c:pt idx="670">
                  <c:v>-5848.9399999998504</c:v>
                </c:pt>
                <c:pt idx="671">
                  <c:v>-5848.9399999998504</c:v>
                </c:pt>
                <c:pt idx="672">
                  <c:v>-5848.9399999998504</c:v>
                </c:pt>
                <c:pt idx="673">
                  <c:v>-5848.9399999998504</c:v>
                </c:pt>
                <c:pt idx="674">
                  <c:v>-5848.9399999998504</c:v>
                </c:pt>
                <c:pt idx="675">
                  <c:v>-5848.9399999998504</c:v>
                </c:pt>
                <c:pt idx="676">
                  <c:v>-5848.9399999998504</c:v>
                </c:pt>
                <c:pt idx="677">
                  <c:v>-5848.9399999998504</c:v>
                </c:pt>
                <c:pt idx="678">
                  <c:v>-5848.9399999998504</c:v>
                </c:pt>
                <c:pt idx="679">
                  <c:v>-5848.9399999998504</c:v>
                </c:pt>
                <c:pt idx="680">
                  <c:v>-5848.9399999998504</c:v>
                </c:pt>
                <c:pt idx="681">
                  <c:v>-5848.9399999998504</c:v>
                </c:pt>
                <c:pt idx="682">
                  <c:v>-5848.9399999998504</c:v>
                </c:pt>
                <c:pt idx="683">
                  <c:v>-5848.9399999998504</c:v>
                </c:pt>
                <c:pt idx="684">
                  <c:v>-5848.9399999998504</c:v>
                </c:pt>
                <c:pt idx="685">
                  <c:v>-5848.9399999998504</c:v>
                </c:pt>
                <c:pt idx="686">
                  <c:v>-5848.9399999998504</c:v>
                </c:pt>
                <c:pt idx="687">
                  <c:v>-5848.9399999998504</c:v>
                </c:pt>
                <c:pt idx="688">
                  <c:v>-5848.9399999998504</c:v>
                </c:pt>
                <c:pt idx="689">
                  <c:v>-5848.9399999998504</c:v>
                </c:pt>
                <c:pt idx="690">
                  <c:v>-5848.9399999998504</c:v>
                </c:pt>
                <c:pt idx="691">
                  <c:v>-5848.9399999998504</c:v>
                </c:pt>
                <c:pt idx="692">
                  <c:v>-5848.9399999998504</c:v>
                </c:pt>
                <c:pt idx="693">
                  <c:v>-5848.9399999998504</c:v>
                </c:pt>
                <c:pt idx="694">
                  <c:v>-5848.9399999998504</c:v>
                </c:pt>
                <c:pt idx="695">
                  <c:v>-5848.9399999998504</c:v>
                </c:pt>
                <c:pt idx="696">
                  <c:v>-5848.9399999998504</c:v>
                </c:pt>
                <c:pt idx="697">
                  <c:v>-5848.9399999998504</c:v>
                </c:pt>
                <c:pt idx="698">
                  <c:v>-5848.9399999998504</c:v>
                </c:pt>
                <c:pt idx="699">
                  <c:v>-5848.9399999998504</c:v>
                </c:pt>
                <c:pt idx="700">
                  <c:v>-5848.9399999998504</c:v>
                </c:pt>
                <c:pt idx="701">
                  <c:v>-5848.9399999998504</c:v>
                </c:pt>
                <c:pt idx="702">
                  <c:v>-5384.9400000000251</c:v>
                </c:pt>
                <c:pt idx="703">
                  <c:v>-5848.9399999998504</c:v>
                </c:pt>
                <c:pt idx="704">
                  <c:v>-5500.9399999999196</c:v>
                </c:pt>
                <c:pt idx="705">
                  <c:v>-5500.9399999999196</c:v>
                </c:pt>
                <c:pt idx="706">
                  <c:v>-5500.9399999999196</c:v>
                </c:pt>
                <c:pt idx="707">
                  <c:v>-5500.9399999999196</c:v>
                </c:pt>
                <c:pt idx="708">
                  <c:v>-5500.9399999999196</c:v>
                </c:pt>
                <c:pt idx="709">
                  <c:v>-5500.9399999999196</c:v>
                </c:pt>
                <c:pt idx="710">
                  <c:v>-5500.9399999999196</c:v>
                </c:pt>
                <c:pt idx="711">
                  <c:v>-5384.9400000000251</c:v>
                </c:pt>
                <c:pt idx="712">
                  <c:v>-5500.9399999999196</c:v>
                </c:pt>
                <c:pt idx="713">
                  <c:v>-5500.9399999999196</c:v>
                </c:pt>
                <c:pt idx="714">
                  <c:v>-5384.9400000000251</c:v>
                </c:pt>
                <c:pt idx="715">
                  <c:v>-5384.9400000000251</c:v>
                </c:pt>
                <c:pt idx="716">
                  <c:v>-5384.9400000000251</c:v>
                </c:pt>
                <c:pt idx="717">
                  <c:v>-5384.9400000000251</c:v>
                </c:pt>
                <c:pt idx="718">
                  <c:v>-5384.9400000000251</c:v>
                </c:pt>
                <c:pt idx="719">
                  <c:v>-5384.9400000000251</c:v>
                </c:pt>
                <c:pt idx="720">
                  <c:v>-5384.9400000000251</c:v>
                </c:pt>
                <c:pt idx="721">
                  <c:v>-5384.9400000000251</c:v>
                </c:pt>
                <c:pt idx="722">
                  <c:v>-5384.9400000000251</c:v>
                </c:pt>
                <c:pt idx="723">
                  <c:v>-5384.9400000000251</c:v>
                </c:pt>
                <c:pt idx="724">
                  <c:v>-5384.9400000000251</c:v>
                </c:pt>
                <c:pt idx="725">
                  <c:v>-5384.9400000000251</c:v>
                </c:pt>
                <c:pt idx="726">
                  <c:v>-5384.9400000000251</c:v>
                </c:pt>
                <c:pt idx="727">
                  <c:v>-5384.9400000000251</c:v>
                </c:pt>
                <c:pt idx="728">
                  <c:v>-5384.9400000000251</c:v>
                </c:pt>
                <c:pt idx="729">
                  <c:v>-5384.9400000000251</c:v>
                </c:pt>
                <c:pt idx="730">
                  <c:v>-5384.9400000000251</c:v>
                </c:pt>
                <c:pt idx="731">
                  <c:v>-9366.1400000007852</c:v>
                </c:pt>
                <c:pt idx="732">
                  <c:v>-9340.9400000006026</c:v>
                </c:pt>
                <c:pt idx="733">
                  <c:v>-5384.9400000000251</c:v>
                </c:pt>
                <c:pt idx="734">
                  <c:v>-5384.9400000000251</c:v>
                </c:pt>
                <c:pt idx="735">
                  <c:v>-5384.9400000000251</c:v>
                </c:pt>
                <c:pt idx="736">
                  <c:v>-5384.9400000000251</c:v>
                </c:pt>
                <c:pt idx="737">
                  <c:v>-5384.9400000000251</c:v>
                </c:pt>
                <c:pt idx="738">
                  <c:v>-9340.9400000006026</c:v>
                </c:pt>
                <c:pt idx="739">
                  <c:v>-5384.9400000000251</c:v>
                </c:pt>
                <c:pt idx="740">
                  <c:v>-5384.9400000000251</c:v>
                </c:pt>
                <c:pt idx="741">
                  <c:v>-5384.9400000000251</c:v>
                </c:pt>
                <c:pt idx="742">
                  <c:v>-5384.9400000000251</c:v>
                </c:pt>
                <c:pt idx="743">
                  <c:v>-5384.9400000000251</c:v>
                </c:pt>
                <c:pt idx="744">
                  <c:v>-5384.9400000000251</c:v>
                </c:pt>
                <c:pt idx="745">
                  <c:v>-5384.9400000000251</c:v>
                </c:pt>
                <c:pt idx="746">
                  <c:v>-5384.9400000000251</c:v>
                </c:pt>
                <c:pt idx="747">
                  <c:v>-5384.9400000000251</c:v>
                </c:pt>
                <c:pt idx="748">
                  <c:v>-5384.9400000000251</c:v>
                </c:pt>
                <c:pt idx="749">
                  <c:v>-5384.9400000000251</c:v>
                </c:pt>
                <c:pt idx="750">
                  <c:v>-5384.9400000000251</c:v>
                </c:pt>
                <c:pt idx="751">
                  <c:v>-5384.9400000000251</c:v>
                </c:pt>
                <c:pt idx="752">
                  <c:v>-5384.9400000000251</c:v>
                </c:pt>
                <c:pt idx="753">
                  <c:v>-5384.9400000000251</c:v>
                </c:pt>
                <c:pt idx="754">
                  <c:v>-5384.9400000000251</c:v>
                </c:pt>
                <c:pt idx="755">
                  <c:v>-5384.9400000000251</c:v>
                </c:pt>
                <c:pt idx="756">
                  <c:v>-5384.9400000000251</c:v>
                </c:pt>
                <c:pt idx="757">
                  <c:v>-5384.9400000000251</c:v>
                </c:pt>
                <c:pt idx="758">
                  <c:v>-5384.9400000000251</c:v>
                </c:pt>
                <c:pt idx="759">
                  <c:v>-5384.9400000000251</c:v>
                </c:pt>
                <c:pt idx="760">
                  <c:v>-5384.9400000000251</c:v>
                </c:pt>
                <c:pt idx="761">
                  <c:v>-5384.9400000000251</c:v>
                </c:pt>
                <c:pt idx="762">
                  <c:v>-5384.9400000000251</c:v>
                </c:pt>
                <c:pt idx="763">
                  <c:v>-5384.9400000000251</c:v>
                </c:pt>
                <c:pt idx="764">
                  <c:v>-5384.9400000000251</c:v>
                </c:pt>
                <c:pt idx="765">
                  <c:v>-5384.9400000000251</c:v>
                </c:pt>
                <c:pt idx="766">
                  <c:v>-5384.9400000000251</c:v>
                </c:pt>
                <c:pt idx="767">
                  <c:v>-5384.9400000000251</c:v>
                </c:pt>
                <c:pt idx="768">
                  <c:v>-5384.9400000000251</c:v>
                </c:pt>
                <c:pt idx="769">
                  <c:v>-5384.9400000000251</c:v>
                </c:pt>
                <c:pt idx="770">
                  <c:v>-5384.9400000000251</c:v>
                </c:pt>
                <c:pt idx="771">
                  <c:v>-5384.9400000000251</c:v>
                </c:pt>
                <c:pt idx="772">
                  <c:v>-5384.9400000000251</c:v>
                </c:pt>
                <c:pt idx="773">
                  <c:v>-5384.9400000000251</c:v>
                </c:pt>
                <c:pt idx="774">
                  <c:v>-5384.9400000000251</c:v>
                </c:pt>
                <c:pt idx="775">
                  <c:v>-5384.9400000000251</c:v>
                </c:pt>
                <c:pt idx="776">
                  <c:v>-5384.9400000000251</c:v>
                </c:pt>
                <c:pt idx="777">
                  <c:v>-5384.9400000000251</c:v>
                </c:pt>
                <c:pt idx="778">
                  <c:v>-5384.9400000000251</c:v>
                </c:pt>
                <c:pt idx="779">
                  <c:v>-5384.9400000000251</c:v>
                </c:pt>
                <c:pt idx="780">
                  <c:v>-5384.9400000000251</c:v>
                </c:pt>
                <c:pt idx="781">
                  <c:v>-5384.9400000000251</c:v>
                </c:pt>
                <c:pt idx="782">
                  <c:v>-5384.9400000000251</c:v>
                </c:pt>
                <c:pt idx="783">
                  <c:v>-5384.9400000000251</c:v>
                </c:pt>
                <c:pt idx="784">
                  <c:v>-5384.9400000000251</c:v>
                </c:pt>
                <c:pt idx="785">
                  <c:v>-5384.9400000000251</c:v>
                </c:pt>
                <c:pt idx="786">
                  <c:v>-5384.9400000000251</c:v>
                </c:pt>
                <c:pt idx="787">
                  <c:v>-5384.9400000000251</c:v>
                </c:pt>
                <c:pt idx="788">
                  <c:v>-5384.9400000000251</c:v>
                </c:pt>
                <c:pt idx="789">
                  <c:v>-5384.9400000000251</c:v>
                </c:pt>
                <c:pt idx="790">
                  <c:v>-5384.9400000000251</c:v>
                </c:pt>
                <c:pt idx="791">
                  <c:v>-5384.9400000000251</c:v>
                </c:pt>
                <c:pt idx="792">
                  <c:v>-5384.9400000000251</c:v>
                </c:pt>
                <c:pt idx="793">
                  <c:v>-5384.9400000000251</c:v>
                </c:pt>
                <c:pt idx="794">
                  <c:v>-5384.9400000000251</c:v>
                </c:pt>
                <c:pt idx="795">
                  <c:v>-5006.9399999998313</c:v>
                </c:pt>
                <c:pt idx="796">
                  <c:v>-5064.9399999998614</c:v>
                </c:pt>
                <c:pt idx="797">
                  <c:v>-5064.9399999998614</c:v>
                </c:pt>
                <c:pt idx="798">
                  <c:v>-5006.9399999998313</c:v>
                </c:pt>
                <c:pt idx="799">
                  <c:v>-5064.9399999998614</c:v>
                </c:pt>
                <c:pt idx="800">
                  <c:v>-5064.9399999998614</c:v>
                </c:pt>
                <c:pt idx="801">
                  <c:v>-5006.9399999998313</c:v>
                </c:pt>
                <c:pt idx="802">
                  <c:v>-5006.9399999998313</c:v>
                </c:pt>
                <c:pt idx="803">
                  <c:v>-5064.9399999998614</c:v>
                </c:pt>
                <c:pt idx="804">
                  <c:v>-5064.9399999998614</c:v>
                </c:pt>
                <c:pt idx="805">
                  <c:v>-5064.9399999998614</c:v>
                </c:pt>
                <c:pt idx="806">
                  <c:v>-5006.9399999998313</c:v>
                </c:pt>
                <c:pt idx="807">
                  <c:v>-5006.9399999998313</c:v>
                </c:pt>
                <c:pt idx="808">
                  <c:v>-5064.9399999998614</c:v>
                </c:pt>
                <c:pt idx="809">
                  <c:v>-5006.9399999998313</c:v>
                </c:pt>
                <c:pt idx="810">
                  <c:v>-5006.9399999998313</c:v>
                </c:pt>
                <c:pt idx="811">
                  <c:v>-5006.9399999998313</c:v>
                </c:pt>
                <c:pt idx="812">
                  <c:v>-5006.9399999998313</c:v>
                </c:pt>
                <c:pt idx="813">
                  <c:v>-5006.9399999998313</c:v>
                </c:pt>
                <c:pt idx="814">
                  <c:v>-9340.9400000006026</c:v>
                </c:pt>
                <c:pt idx="815">
                  <c:v>-5006.9399999998313</c:v>
                </c:pt>
                <c:pt idx="816">
                  <c:v>-5006.9399999998313</c:v>
                </c:pt>
                <c:pt idx="817">
                  <c:v>-5006.9399999998313</c:v>
                </c:pt>
                <c:pt idx="818">
                  <c:v>-5006.9399999998313</c:v>
                </c:pt>
                <c:pt idx="819">
                  <c:v>-5006.9399999998313</c:v>
                </c:pt>
                <c:pt idx="820">
                  <c:v>-5006.9399999998313</c:v>
                </c:pt>
                <c:pt idx="821">
                  <c:v>-5006.9399999998313</c:v>
                </c:pt>
                <c:pt idx="822">
                  <c:v>-5006.9399999998313</c:v>
                </c:pt>
                <c:pt idx="823">
                  <c:v>-9340.9400000006026</c:v>
                </c:pt>
                <c:pt idx="824">
                  <c:v>-5006.9399999998313</c:v>
                </c:pt>
                <c:pt idx="825">
                  <c:v>-5006.9399999998313</c:v>
                </c:pt>
                <c:pt idx="826">
                  <c:v>-5006.9399999998313</c:v>
                </c:pt>
                <c:pt idx="827">
                  <c:v>-9340.9400000006026</c:v>
                </c:pt>
                <c:pt idx="828">
                  <c:v>-9340.9400000006026</c:v>
                </c:pt>
                <c:pt idx="829">
                  <c:v>-5006.9399999998313</c:v>
                </c:pt>
                <c:pt idx="830">
                  <c:v>-5006.9399999998313</c:v>
                </c:pt>
                <c:pt idx="831">
                  <c:v>-5006.9399999998313</c:v>
                </c:pt>
                <c:pt idx="832">
                  <c:v>-5006.9399999998313</c:v>
                </c:pt>
                <c:pt idx="833">
                  <c:v>-5006.9399999998313</c:v>
                </c:pt>
                <c:pt idx="834">
                  <c:v>-9340.9400000006026</c:v>
                </c:pt>
                <c:pt idx="835">
                  <c:v>-9340.9400000006026</c:v>
                </c:pt>
                <c:pt idx="836">
                  <c:v>-5006.9399999998313</c:v>
                </c:pt>
                <c:pt idx="837">
                  <c:v>-9340.9400000006026</c:v>
                </c:pt>
                <c:pt idx="838">
                  <c:v>-9340.9400000006026</c:v>
                </c:pt>
                <c:pt idx="839">
                  <c:v>-5006.9399999998313</c:v>
                </c:pt>
                <c:pt idx="840">
                  <c:v>-5006.9399999998313</c:v>
                </c:pt>
                <c:pt idx="841">
                  <c:v>-5006.9399999998313</c:v>
                </c:pt>
                <c:pt idx="842">
                  <c:v>-5006.9399999998313</c:v>
                </c:pt>
                <c:pt idx="843">
                  <c:v>-5006.9399999998313</c:v>
                </c:pt>
                <c:pt idx="844">
                  <c:v>-5006.9399999998313</c:v>
                </c:pt>
                <c:pt idx="845">
                  <c:v>-9340.9400000006026</c:v>
                </c:pt>
                <c:pt idx="846">
                  <c:v>-9340.9400000006026</c:v>
                </c:pt>
                <c:pt idx="847">
                  <c:v>-5006.9399999998313</c:v>
                </c:pt>
                <c:pt idx="848">
                  <c:v>-5326.9399999999951</c:v>
                </c:pt>
                <c:pt idx="849">
                  <c:v>-9340.9400000006026</c:v>
                </c:pt>
                <c:pt idx="850">
                  <c:v>-9340.9400000006026</c:v>
                </c:pt>
                <c:pt idx="851">
                  <c:v>-5326.9399999999951</c:v>
                </c:pt>
                <c:pt idx="852">
                  <c:v>-5326.9399999999951</c:v>
                </c:pt>
                <c:pt idx="853">
                  <c:v>-5500.9400000000014</c:v>
                </c:pt>
                <c:pt idx="854">
                  <c:v>-9340.9400000006026</c:v>
                </c:pt>
                <c:pt idx="855">
                  <c:v>-9340.9400000006026</c:v>
                </c:pt>
                <c:pt idx="856">
                  <c:v>-9340.9400000006026</c:v>
                </c:pt>
                <c:pt idx="857">
                  <c:v>-9340.9400000006026</c:v>
                </c:pt>
                <c:pt idx="858">
                  <c:v>-9340.9400000006026</c:v>
                </c:pt>
                <c:pt idx="859">
                  <c:v>-9340.9400000006026</c:v>
                </c:pt>
                <c:pt idx="860">
                  <c:v>-9340.9400000006026</c:v>
                </c:pt>
                <c:pt idx="861">
                  <c:v>-9340.9400000006026</c:v>
                </c:pt>
                <c:pt idx="862">
                  <c:v>-9340.9400000006026</c:v>
                </c:pt>
                <c:pt idx="863">
                  <c:v>-9340.9400000006026</c:v>
                </c:pt>
                <c:pt idx="864">
                  <c:v>-9340.9400000006026</c:v>
                </c:pt>
                <c:pt idx="865">
                  <c:v>-9340.9400000006026</c:v>
                </c:pt>
                <c:pt idx="866">
                  <c:v>-9340.9400000006026</c:v>
                </c:pt>
                <c:pt idx="867">
                  <c:v>-9340.9400000006026</c:v>
                </c:pt>
                <c:pt idx="868">
                  <c:v>-9340.9400000006026</c:v>
                </c:pt>
                <c:pt idx="869">
                  <c:v>-9340.9400000006026</c:v>
                </c:pt>
                <c:pt idx="870">
                  <c:v>-9340.9400000006026</c:v>
                </c:pt>
                <c:pt idx="871">
                  <c:v>-9340.9400000006026</c:v>
                </c:pt>
                <c:pt idx="872">
                  <c:v>-9340.9400000006026</c:v>
                </c:pt>
                <c:pt idx="873">
                  <c:v>-9340.9400000006026</c:v>
                </c:pt>
                <c:pt idx="874">
                  <c:v>-9340.9400000006026</c:v>
                </c:pt>
                <c:pt idx="875">
                  <c:v>-9340.9400000006026</c:v>
                </c:pt>
                <c:pt idx="876">
                  <c:v>-9340.9400000006026</c:v>
                </c:pt>
                <c:pt idx="877">
                  <c:v>-9340.9400000006026</c:v>
                </c:pt>
                <c:pt idx="878">
                  <c:v>-9340.9400000006026</c:v>
                </c:pt>
                <c:pt idx="879">
                  <c:v>-9340.9400000006026</c:v>
                </c:pt>
                <c:pt idx="880">
                  <c:v>-9340.9400000006026</c:v>
                </c:pt>
                <c:pt idx="881">
                  <c:v>-9340.9400000006026</c:v>
                </c:pt>
                <c:pt idx="882">
                  <c:v>-9340.9400000006026</c:v>
                </c:pt>
                <c:pt idx="883">
                  <c:v>-9340.9400000006026</c:v>
                </c:pt>
                <c:pt idx="884">
                  <c:v>-9340.9400000006026</c:v>
                </c:pt>
                <c:pt idx="885">
                  <c:v>-9340.9400000006026</c:v>
                </c:pt>
                <c:pt idx="886">
                  <c:v>-9340.9400000006026</c:v>
                </c:pt>
                <c:pt idx="887">
                  <c:v>-9340.9400000006026</c:v>
                </c:pt>
                <c:pt idx="888">
                  <c:v>9298.3289166666655</c:v>
                </c:pt>
                <c:pt idx="889">
                  <c:v>-9340.9400000006026</c:v>
                </c:pt>
                <c:pt idx="890">
                  <c:v>-9340.9400000006026</c:v>
                </c:pt>
                <c:pt idx="891">
                  <c:v>-9340.9400000006026</c:v>
                </c:pt>
                <c:pt idx="892">
                  <c:v>-9340.9400000006026</c:v>
                </c:pt>
                <c:pt idx="893">
                  <c:v>-9340.9400000006026</c:v>
                </c:pt>
                <c:pt idx="894">
                  <c:v>-9340.9400000006026</c:v>
                </c:pt>
                <c:pt idx="895">
                  <c:v>-9340.9400000006026</c:v>
                </c:pt>
                <c:pt idx="896">
                  <c:v>-9340.9400000006026</c:v>
                </c:pt>
                <c:pt idx="897">
                  <c:v>-9340.9400000006026</c:v>
                </c:pt>
                <c:pt idx="898">
                  <c:v>-9340.9400000006026</c:v>
                </c:pt>
                <c:pt idx="899">
                  <c:v>-9340.9400000006026</c:v>
                </c:pt>
                <c:pt idx="900">
                  <c:v>-9340.9400000006026</c:v>
                </c:pt>
                <c:pt idx="901">
                  <c:v>-9340.9400000006026</c:v>
                </c:pt>
                <c:pt idx="902">
                  <c:v>-9500.9400000005699</c:v>
                </c:pt>
                <c:pt idx="903">
                  <c:v>-9340.9400000006026</c:v>
                </c:pt>
                <c:pt idx="904">
                  <c:v>-9340.9400000006026</c:v>
                </c:pt>
                <c:pt idx="905">
                  <c:v>-9340.9400000006026</c:v>
                </c:pt>
                <c:pt idx="906">
                  <c:v>-9340.9400000006026</c:v>
                </c:pt>
                <c:pt idx="907">
                  <c:v>-9340.9400000006026</c:v>
                </c:pt>
                <c:pt idx="908">
                  <c:v>-9340.9400000006026</c:v>
                </c:pt>
                <c:pt idx="909">
                  <c:v>-9340.9400000006026</c:v>
                </c:pt>
                <c:pt idx="910">
                  <c:v>-9340.9400000006026</c:v>
                </c:pt>
                <c:pt idx="911">
                  <c:v>-9340.9400000006026</c:v>
                </c:pt>
                <c:pt idx="912">
                  <c:v>-9500.9400000005699</c:v>
                </c:pt>
                <c:pt idx="913">
                  <c:v>-9340.9400000006026</c:v>
                </c:pt>
                <c:pt idx="914">
                  <c:v>-9340.9400000006026</c:v>
                </c:pt>
                <c:pt idx="915">
                  <c:v>-9340.9400000006026</c:v>
                </c:pt>
                <c:pt idx="916">
                  <c:v>-9340.9400000006026</c:v>
                </c:pt>
                <c:pt idx="917">
                  <c:v>-9340.9400000006026</c:v>
                </c:pt>
                <c:pt idx="918">
                  <c:v>-9340.9400000006026</c:v>
                </c:pt>
                <c:pt idx="919">
                  <c:v>-9340.9400000006026</c:v>
                </c:pt>
                <c:pt idx="920">
                  <c:v>-9340.9400000006026</c:v>
                </c:pt>
                <c:pt idx="921">
                  <c:v>-9340.9400000006026</c:v>
                </c:pt>
                <c:pt idx="922">
                  <c:v>-9340.9400000006026</c:v>
                </c:pt>
                <c:pt idx="923">
                  <c:v>-9500.9400000005699</c:v>
                </c:pt>
                <c:pt idx="924">
                  <c:v>-9500.9400000005699</c:v>
                </c:pt>
                <c:pt idx="925">
                  <c:v>-9500.9400000005699</c:v>
                </c:pt>
                <c:pt idx="926">
                  <c:v>-9500.9400000005699</c:v>
                </c:pt>
                <c:pt idx="927">
                  <c:v>-9500.9400000005699</c:v>
                </c:pt>
                <c:pt idx="928">
                  <c:v>-9500.9400000005699</c:v>
                </c:pt>
                <c:pt idx="929">
                  <c:v>-9500.9400000005699</c:v>
                </c:pt>
                <c:pt idx="930">
                  <c:v>-9366.1400000007852</c:v>
                </c:pt>
                <c:pt idx="931">
                  <c:v>-9500.9400000005699</c:v>
                </c:pt>
                <c:pt idx="932">
                  <c:v>-9500.9400000005699</c:v>
                </c:pt>
                <c:pt idx="933">
                  <c:v>-9500.9400000005699</c:v>
                </c:pt>
                <c:pt idx="934">
                  <c:v>-9846.140000000747</c:v>
                </c:pt>
                <c:pt idx="935">
                  <c:v>-9846.140000000747</c:v>
                </c:pt>
                <c:pt idx="936">
                  <c:v>-9846.140000000747</c:v>
                </c:pt>
                <c:pt idx="937">
                  <c:v>-9846.140000000747</c:v>
                </c:pt>
                <c:pt idx="938">
                  <c:v>-9846.140000000747</c:v>
                </c:pt>
                <c:pt idx="939">
                  <c:v>-9366.1400000007852</c:v>
                </c:pt>
                <c:pt idx="940">
                  <c:v>-9846.140000000747</c:v>
                </c:pt>
                <c:pt idx="941">
                  <c:v>-9846.140000000747</c:v>
                </c:pt>
                <c:pt idx="942">
                  <c:v>-9846.140000000747</c:v>
                </c:pt>
                <c:pt idx="943">
                  <c:v>-9846.140000000747</c:v>
                </c:pt>
                <c:pt idx="944">
                  <c:v>-9846.140000000747</c:v>
                </c:pt>
                <c:pt idx="945">
                  <c:v>-9846.140000000747</c:v>
                </c:pt>
                <c:pt idx="946">
                  <c:v>-9846.140000000747</c:v>
                </c:pt>
                <c:pt idx="947">
                  <c:v>-9806.1400000007834</c:v>
                </c:pt>
                <c:pt idx="948">
                  <c:v>-9846.140000000747</c:v>
                </c:pt>
                <c:pt idx="949">
                  <c:v>-9806.1400000007834</c:v>
                </c:pt>
                <c:pt idx="950">
                  <c:v>-9846.140000000747</c:v>
                </c:pt>
                <c:pt idx="951">
                  <c:v>-9846.140000000747</c:v>
                </c:pt>
                <c:pt idx="952">
                  <c:v>-9806.1400000007834</c:v>
                </c:pt>
                <c:pt idx="953">
                  <c:v>-9806.1400000007834</c:v>
                </c:pt>
                <c:pt idx="954">
                  <c:v>-9806.1400000007834</c:v>
                </c:pt>
                <c:pt idx="955">
                  <c:v>-9806.1400000007834</c:v>
                </c:pt>
                <c:pt idx="956">
                  <c:v>-9806.1400000007834</c:v>
                </c:pt>
                <c:pt idx="957">
                  <c:v>-9806.1400000007834</c:v>
                </c:pt>
                <c:pt idx="958">
                  <c:v>-9806.1400000007834</c:v>
                </c:pt>
                <c:pt idx="959">
                  <c:v>-9806.1400000007834</c:v>
                </c:pt>
                <c:pt idx="960">
                  <c:v>-9806.1400000007834</c:v>
                </c:pt>
                <c:pt idx="961">
                  <c:v>-9806.1400000007834</c:v>
                </c:pt>
                <c:pt idx="962">
                  <c:v>-9806.1400000007834</c:v>
                </c:pt>
                <c:pt idx="963">
                  <c:v>-9806.1400000007834</c:v>
                </c:pt>
                <c:pt idx="964">
                  <c:v>-9806.1400000007834</c:v>
                </c:pt>
                <c:pt idx="965">
                  <c:v>-9806.1400000007834</c:v>
                </c:pt>
                <c:pt idx="966">
                  <c:v>-9806.1400000007834</c:v>
                </c:pt>
                <c:pt idx="967">
                  <c:v>-9366.1400000007852</c:v>
                </c:pt>
                <c:pt idx="968">
                  <c:v>-9806.1400000007834</c:v>
                </c:pt>
                <c:pt idx="969">
                  <c:v>-9806.1400000007834</c:v>
                </c:pt>
                <c:pt idx="970">
                  <c:v>-9806.1400000007834</c:v>
                </c:pt>
                <c:pt idx="971">
                  <c:v>-9806.1400000007834</c:v>
                </c:pt>
                <c:pt idx="972">
                  <c:v>-9806.1400000007834</c:v>
                </c:pt>
                <c:pt idx="973">
                  <c:v>-9806.1400000007834</c:v>
                </c:pt>
                <c:pt idx="974">
                  <c:v>-9366.1400000007852</c:v>
                </c:pt>
                <c:pt idx="975">
                  <c:v>-9366.1400000007852</c:v>
                </c:pt>
                <c:pt idx="976">
                  <c:v>-9366.1400000007852</c:v>
                </c:pt>
                <c:pt idx="977">
                  <c:v>-9366.1400000007852</c:v>
                </c:pt>
                <c:pt idx="978">
                  <c:v>-9366.1400000007852</c:v>
                </c:pt>
                <c:pt idx="979">
                  <c:v>-9366.1400000007852</c:v>
                </c:pt>
                <c:pt idx="980">
                  <c:v>-9366.1400000007852</c:v>
                </c:pt>
                <c:pt idx="981">
                  <c:v>-9366.1400000007852</c:v>
                </c:pt>
                <c:pt idx="982">
                  <c:v>-9366.1400000007852</c:v>
                </c:pt>
                <c:pt idx="983">
                  <c:v>-9366.1400000007852</c:v>
                </c:pt>
                <c:pt idx="984">
                  <c:v>-9366.1400000007852</c:v>
                </c:pt>
                <c:pt idx="985">
                  <c:v>-9366.1400000007852</c:v>
                </c:pt>
                <c:pt idx="986">
                  <c:v>-9366.1400000007852</c:v>
                </c:pt>
                <c:pt idx="987">
                  <c:v>-9366.1400000007852</c:v>
                </c:pt>
                <c:pt idx="988">
                  <c:v>-9366.1400000007852</c:v>
                </c:pt>
                <c:pt idx="989">
                  <c:v>9298.3289166666655</c:v>
                </c:pt>
                <c:pt idx="990">
                  <c:v>-9366.1400000007852</c:v>
                </c:pt>
                <c:pt idx="991">
                  <c:v>-9366.1400000007852</c:v>
                </c:pt>
                <c:pt idx="992">
                  <c:v>-9366.1400000007852</c:v>
                </c:pt>
                <c:pt idx="993">
                  <c:v>-9366.1400000007852</c:v>
                </c:pt>
                <c:pt idx="994">
                  <c:v>-9366.1400000007852</c:v>
                </c:pt>
                <c:pt idx="995">
                  <c:v>-9366.1400000007852</c:v>
                </c:pt>
                <c:pt idx="996">
                  <c:v>-9366.1400000007852</c:v>
                </c:pt>
                <c:pt idx="997">
                  <c:v>-9366.1400000007852</c:v>
                </c:pt>
                <c:pt idx="998">
                  <c:v>-9366.1400000007852</c:v>
                </c:pt>
                <c:pt idx="999">
                  <c:v>-9366.1400000007852</c:v>
                </c:pt>
                <c:pt idx="1000">
                  <c:v>-9366.1400000007852</c:v>
                </c:pt>
                <c:pt idx="1001">
                  <c:v>-9935.1400000008871</c:v>
                </c:pt>
                <c:pt idx="1002">
                  <c:v>-9935.1400000008871</c:v>
                </c:pt>
                <c:pt idx="1003">
                  <c:v>-9935.1400000008871</c:v>
                </c:pt>
                <c:pt idx="1004">
                  <c:v>-10432.940000000743</c:v>
                </c:pt>
                <c:pt idx="1005">
                  <c:v>-10432.940000000743</c:v>
                </c:pt>
                <c:pt idx="1006">
                  <c:v>-10432.940000000743</c:v>
                </c:pt>
                <c:pt idx="1007">
                  <c:v>-10432.940000000743</c:v>
                </c:pt>
                <c:pt idx="1008">
                  <c:v>-10432.940000000743</c:v>
                </c:pt>
                <c:pt idx="1009">
                  <c:v>-10432.940000000743</c:v>
                </c:pt>
                <c:pt idx="1010">
                  <c:v>-10432.940000000743</c:v>
                </c:pt>
                <c:pt idx="1011">
                  <c:v>-10432.940000000743</c:v>
                </c:pt>
                <c:pt idx="1012">
                  <c:v>-10432.940000000743</c:v>
                </c:pt>
                <c:pt idx="1013">
                  <c:v>-10432.940000000743</c:v>
                </c:pt>
                <c:pt idx="1014">
                  <c:v>-10432.940000000743</c:v>
                </c:pt>
                <c:pt idx="1015">
                  <c:v>-10432.940000000743</c:v>
                </c:pt>
                <c:pt idx="1016">
                  <c:v>-10432.940000000743</c:v>
                </c:pt>
                <c:pt idx="1017">
                  <c:v>-10432.940000000743</c:v>
                </c:pt>
                <c:pt idx="1018">
                  <c:v>-10432.940000000743</c:v>
                </c:pt>
                <c:pt idx="1019">
                  <c:v>-10432.940000000743</c:v>
                </c:pt>
                <c:pt idx="1020">
                  <c:v>-10432.940000000743</c:v>
                </c:pt>
                <c:pt idx="1021">
                  <c:v>-10432.940000000743</c:v>
                </c:pt>
                <c:pt idx="1022">
                  <c:v>-10432.940000000743</c:v>
                </c:pt>
                <c:pt idx="1023">
                  <c:v>-10432.940000000743</c:v>
                </c:pt>
                <c:pt idx="1024">
                  <c:v>-10432.940000000743</c:v>
                </c:pt>
                <c:pt idx="1025">
                  <c:v>-10432.940000000743</c:v>
                </c:pt>
                <c:pt idx="1027">
                  <c:v>-884.7999999998965</c:v>
                </c:pt>
                <c:pt idx="1028">
                  <c:v>-884.7999999998965</c:v>
                </c:pt>
                <c:pt idx="1029">
                  <c:v>-884.7999999998965</c:v>
                </c:pt>
                <c:pt idx="1030">
                  <c:v>-884.7999999998965</c:v>
                </c:pt>
                <c:pt idx="1031">
                  <c:v>-884.7999999998965</c:v>
                </c:pt>
                <c:pt idx="1032">
                  <c:v>-884.7999999998965</c:v>
                </c:pt>
                <c:pt idx="1033">
                  <c:v>-884.7999999998965</c:v>
                </c:pt>
                <c:pt idx="1034">
                  <c:v>-884.7999999998965</c:v>
                </c:pt>
                <c:pt idx="1035">
                  <c:v>-884.7999999998965</c:v>
                </c:pt>
                <c:pt idx="1036">
                  <c:v>-884.7999999998965</c:v>
                </c:pt>
                <c:pt idx="1037">
                  <c:v>-884.7999999998965</c:v>
                </c:pt>
                <c:pt idx="1038">
                  <c:v>-884.7999999998965</c:v>
                </c:pt>
                <c:pt idx="1039">
                  <c:v>-884.7999999998965</c:v>
                </c:pt>
                <c:pt idx="1040">
                  <c:v>-884.7999999998965</c:v>
                </c:pt>
                <c:pt idx="1041">
                  <c:v>-884.7999999998965</c:v>
                </c:pt>
                <c:pt idx="1042">
                  <c:v>-884.7999999998965</c:v>
                </c:pt>
                <c:pt idx="1043">
                  <c:v>-884.7999999998965</c:v>
                </c:pt>
                <c:pt idx="1044">
                  <c:v>-884.7999999998965</c:v>
                </c:pt>
                <c:pt idx="1045">
                  <c:v>-884.7999999998965</c:v>
                </c:pt>
                <c:pt idx="1046">
                  <c:v>-884.7999999998965</c:v>
                </c:pt>
                <c:pt idx="1047">
                  <c:v>-884.7999999998965</c:v>
                </c:pt>
                <c:pt idx="1048">
                  <c:v>-884.7999999998965</c:v>
                </c:pt>
                <c:pt idx="1049">
                  <c:v>-884.7999999998965</c:v>
                </c:pt>
                <c:pt idx="1050">
                  <c:v>-884.7999999998965</c:v>
                </c:pt>
                <c:pt idx="1051">
                  <c:v>-884.7999999998965</c:v>
                </c:pt>
                <c:pt idx="1052">
                  <c:v>-884.7999999998965</c:v>
                </c:pt>
                <c:pt idx="1053">
                  <c:v>-884.7999999998965</c:v>
                </c:pt>
                <c:pt idx="1054">
                  <c:v>-884.7999999998965</c:v>
                </c:pt>
                <c:pt idx="1055">
                  <c:v>-884.7999999998965</c:v>
                </c:pt>
                <c:pt idx="1056">
                  <c:v>-884.7999999998965</c:v>
                </c:pt>
                <c:pt idx="1057">
                  <c:v>-884.7999999998965</c:v>
                </c:pt>
                <c:pt idx="1058">
                  <c:v>-884.7999999998965</c:v>
                </c:pt>
                <c:pt idx="1059">
                  <c:v>-884.7999999998965</c:v>
                </c:pt>
                <c:pt idx="1060">
                  <c:v>-884.7999999998965</c:v>
                </c:pt>
                <c:pt idx="1061">
                  <c:v>-884.7999999998965</c:v>
                </c:pt>
                <c:pt idx="1062">
                  <c:v>-884.7999999998965</c:v>
                </c:pt>
                <c:pt idx="1063">
                  <c:v>-884.7999999998965</c:v>
                </c:pt>
                <c:pt idx="1064">
                  <c:v>-884.7999999998965</c:v>
                </c:pt>
                <c:pt idx="1065">
                  <c:v>-884.7999999998965</c:v>
                </c:pt>
                <c:pt idx="1066">
                  <c:v>-884.7999999998965</c:v>
                </c:pt>
                <c:pt idx="1067">
                  <c:v>-884.7999999998965</c:v>
                </c:pt>
                <c:pt idx="1068">
                  <c:v>-884.7999999998965</c:v>
                </c:pt>
                <c:pt idx="1069">
                  <c:v>-884.7999999998965</c:v>
                </c:pt>
                <c:pt idx="1070">
                  <c:v>-884.7999999998965</c:v>
                </c:pt>
                <c:pt idx="1071">
                  <c:v>-884.7999999998965</c:v>
                </c:pt>
                <c:pt idx="1072">
                  <c:v>-884.7999999998965</c:v>
                </c:pt>
                <c:pt idx="1073">
                  <c:v>-884.7999999998965</c:v>
                </c:pt>
                <c:pt idx="1074">
                  <c:v>-884.7999999998965</c:v>
                </c:pt>
                <c:pt idx="1075">
                  <c:v>-884.7999999998965</c:v>
                </c:pt>
                <c:pt idx="1076">
                  <c:v>-884.7999999998965</c:v>
                </c:pt>
                <c:pt idx="1077">
                  <c:v>-884.7999999998965</c:v>
                </c:pt>
                <c:pt idx="1078">
                  <c:v>-884.7999999998965</c:v>
                </c:pt>
                <c:pt idx="1079">
                  <c:v>-884.7999999998965</c:v>
                </c:pt>
                <c:pt idx="1080">
                  <c:v>-884.7999999998965</c:v>
                </c:pt>
                <c:pt idx="1081">
                  <c:v>-884.7999999998965</c:v>
                </c:pt>
                <c:pt idx="1082">
                  <c:v>-884.7999999998965</c:v>
                </c:pt>
                <c:pt idx="1083">
                  <c:v>-884.7999999998965</c:v>
                </c:pt>
                <c:pt idx="1084">
                  <c:v>-884.7999999998965</c:v>
                </c:pt>
                <c:pt idx="1085">
                  <c:v>-884.7999999998965</c:v>
                </c:pt>
                <c:pt idx="1086">
                  <c:v>-884.7999999998965</c:v>
                </c:pt>
                <c:pt idx="1087">
                  <c:v>-884.7999999998965</c:v>
                </c:pt>
                <c:pt idx="1088">
                  <c:v>-884.7999999998965</c:v>
                </c:pt>
                <c:pt idx="1089">
                  <c:v>-884.7999999998965</c:v>
                </c:pt>
                <c:pt idx="1090">
                  <c:v>-884.7999999998965</c:v>
                </c:pt>
                <c:pt idx="1091">
                  <c:v>-884.7999999998965</c:v>
                </c:pt>
                <c:pt idx="1092">
                  <c:v>-884.7999999998965</c:v>
                </c:pt>
                <c:pt idx="1093">
                  <c:v>-884.7999999998965</c:v>
                </c:pt>
                <c:pt idx="1094">
                  <c:v>-884.7999999998965</c:v>
                </c:pt>
                <c:pt idx="1095">
                  <c:v>-884.7999999998965</c:v>
                </c:pt>
                <c:pt idx="1096">
                  <c:v>-884.7999999998965</c:v>
                </c:pt>
                <c:pt idx="1097">
                  <c:v>-884.7999999998965</c:v>
                </c:pt>
                <c:pt idx="1098">
                  <c:v>-884.7999999998965</c:v>
                </c:pt>
                <c:pt idx="1099">
                  <c:v>-884.7999999998965</c:v>
                </c:pt>
                <c:pt idx="1100">
                  <c:v>-884.7999999998965</c:v>
                </c:pt>
                <c:pt idx="1101">
                  <c:v>-884.7999999998965</c:v>
                </c:pt>
                <c:pt idx="1102">
                  <c:v>-884.7999999998965</c:v>
                </c:pt>
                <c:pt idx="1103">
                  <c:v>-884.7999999998965</c:v>
                </c:pt>
                <c:pt idx="1104">
                  <c:v>-884.7999999998965</c:v>
                </c:pt>
                <c:pt idx="1105">
                  <c:v>-884.7999999998965</c:v>
                </c:pt>
                <c:pt idx="1106">
                  <c:v>-884.7999999998965</c:v>
                </c:pt>
                <c:pt idx="1107">
                  <c:v>-884.7999999998965</c:v>
                </c:pt>
                <c:pt idx="1108">
                  <c:v>-884.7999999998965</c:v>
                </c:pt>
                <c:pt idx="1109">
                  <c:v>-884.7999999998965</c:v>
                </c:pt>
                <c:pt idx="1110">
                  <c:v>-884.7999999998965</c:v>
                </c:pt>
                <c:pt idx="1111">
                  <c:v>-884.7999999998965</c:v>
                </c:pt>
                <c:pt idx="1112">
                  <c:v>-884.7999999998965</c:v>
                </c:pt>
                <c:pt idx="1113">
                  <c:v>-884.7999999998965</c:v>
                </c:pt>
                <c:pt idx="1114">
                  <c:v>-884.7999999998965</c:v>
                </c:pt>
                <c:pt idx="1115">
                  <c:v>-884.7999999998965</c:v>
                </c:pt>
                <c:pt idx="1116">
                  <c:v>-884.7999999998965</c:v>
                </c:pt>
                <c:pt idx="1117">
                  <c:v>-884.7999999998965</c:v>
                </c:pt>
                <c:pt idx="1118">
                  <c:v>-884.7999999998965</c:v>
                </c:pt>
                <c:pt idx="1119">
                  <c:v>-884.7999999998965</c:v>
                </c:pt>
                <c:pt idx="1120">
                  <c:v>-884.7999999998965</c:v>
                </c:pt>
                <c:pt idx="1121">
                  <c:v>-884.7999999998965</c:v>
                </c:pt>
                <c:pt idx="1122">
                  <c:v>-884.7999999998965</c:v>
                </c:pt>
                <c:pt idx="1123">
                  <c:v>-884.7999999998965</c:v>
                </c:pt>
                <c:pt idx="1124">
                  <c:v>-884.7999999998965</c:v>
                </c:pt>
                <c:pt idx="1125">
                  <c:v>-884.7999999998965</c:v>
                </c:pt>
                <c:pt idx="1126">
                  <c:v>-884.7999999998965</c:v>
                </c:pt>
                <c:pt idx="1127">
                  <c:v>-884.7999999998965</c:v>
                </c:pt>
                <c:pt idx="1128">
                  <c:v>-884.7999999998965</c:v>
                </c:pt>
                <c:pt idx="1129">
                  <c:v>-884.7999999998965</c:v>
                </c:pt>
                <c:pt idx="1130">
                  <c:v>-884.7999999998965</c:v>
                </c:pt>
                <c:pt idx="1131">
                  <c:v>-884.7999999998965</c:v>
                </c:pt>
                <c:pt idx="1132">
                  <c:v>-884.7999999998965</c:v>
                </c:pt>
                <c:pt idx="1133">
                  <c:v>-884.7999999998965</c:v>
                </c:pt>
                <c:pt idx="1134">
                  <c:v>-884.7999999998965</c:v>
                </c:pt>
                <c:pt idx="1135">
                  <c:v>-884.7999999998965</c:v>
                </c:pt>
                <c:pt idx="1136">
                  <c:v>-884.7999999998965</c:v>
                </c:pt>
                <c:pt idx="1137">
                  <c:v>-884.7999999998965</c:v>
                </c:pt>
                <c:pt idx="1138">
                  <c:v>-884.7999999998965</c:v>
                </c:pt>
                <c:pt idx="1139">
                  <c:v>-884.7999999998965</c:v>
                </c:pt>
                <c:pt idx="1140">
                  <c:v>-884.7999999998965</c:v>
                </c:pt>
                <c:pt idx="1141">
                  <c:v>-884.7999999998965</c:v>
                </c:pt>
                <c:pt idx="1142">
                  <c:v>-884.7999999998965</c:v>
                </c:pt>
                <c:pt idx="1143">
                  <c:v>-884.7999999998965</c:v>
                </c:pt>
                <c:pt idx="1144">
                  <c:v>-884.7999999998965</c:v>
                </c:pt>
                <c:pt idx="1145">
                  <c:v>-884.7999999998965</c:v>
                </c:pt>
                <c:pt idx="1146">
                  <c:v>-884.7999999998965</c:v>
                </c:pt>
                <c:pt idx="1147">
                  <c:v>-884.7999999998965</c:v>
                </c:pt>
                <c:pt idx="1148">
                  <c:v>-884.7999999998965</c:v>
                </c:pt>
                <c:pt idx="1149">
                  <c:v>-884.7999999998965</c:v>
                </c:pt>
                <c:pt idx="1150">
                  <c:v>-884.7999999998965</c:v>
                </c:pt>
                <c:pt idx="1151">
                  <c:v>-884.7999999998965</c:v>
                </c:pt>
                <c:pt idx="1152">
                  <c:v>-884.7999999998965</c:v>
                </c:pt>
                <c:pt idx="1153">
                  <c:v>-884.7999999998965</c:v>
                </c:pt>
                <c:pt idx="1154">
                  <c:v>-884.7999999998965</c:v>
                </c:pt>
                <c:pt idx="1155">
                  <c:v>-884.7999999998965</c:v>
                </c:pt>
                <c:pt idx="1156">
                  <c:v>-884.7999999998965</c:v>
                </c:pt>
                <c:pt idx="1157">
                  <c:v>-884.7999999998965</c:v>
                </c:pt>
                <c:pt idx="1158">
                  <c:v>-884.7999999998965</c:v>
                </c:pt>
                <c:pt idx="1159">
                  <c:v>-884.7999999998965</c:v>
                </c:pt>
                <c:pt idx="1160">
                  <c:v>-884.7999999998965</c:v>
                </c:pt>
                <c:pt idx="1161">
                  <c:v>-884.7999999998965</c:v>
                </c:pt>
                <c:pt idx="1162">
                  <c:v>-884.7999999998965</c:v>
                </c:pt>
                <c:pt idx="1163">
                  <c:v>-884.7999999998965</c:v>
                </c:pt>
                <c:pt idx="1164">
                  <c:v>-884.7999999998965</c:v>
                </c:pt>
                <c:pt idx="1165">
                  <c:v>-884.7999999998965</c:v>
                </c:pt>
                <c:pt idx="1166">
                  <c:v>-884.7999999998965</c:v>
                </c:pt>
                <c:pt idx="1167">
                  <c:v>-884.7999999998965</c:v>
                </c:pt>
                <c:pt idx="1168">
                  <c:v>-884.7999999998965</c:v>
                </c:pt>
                <c:pt idx="1169">
                  <c:v>-884.7999999998965</c:v>
                </c:pt>
                <c:pt idx="1170">
                  <c:v>-884.7999999998965</c:v>
                </c:pt>
                <c:pt idx="1171">
                  <c:v>-884.7999999998965</c:v>
                </c:pt>
                <c:pt idx="1172">
                  <c:v>-884.7999999998965</c:v>
                </c:pt>
                <c:pt idx="1173">
                  <c:v>-884.7999999998965</c:v>
                </c:pt>
                <c:pt idx="1174">
                  <c:v>-884.7999999998965</c:v>
                </c:pt>
                <c:pt idx="1175">
                  <c:v>-884.7999999998965</c:v>
                </c:pt>
                <c:pt idx="1176">
                  <c:v>-884.7999999998965</c:v>
                </c:pt>
                <c:pt idx="1177">
                  <c:v>-884.7999999998965</c:v>
                </c:pt>
                <c:pt idx="1178">
                  <c:v>-884.7999999998965</c:v>
                </c:pt>
                <c:pt idx="1179">
                  <c:v>-884.7999999998965</c:v>
                </c:pt>
                <c:pt idx="1180">
                  <c:v>-884.7999999998965</c:v>
                </c:pt>
                <c:pt idx="1181">
                  <c:v>-884.7999999998965</c:v>
                </c:pt>
                <c:pt idx="1182">
                  <c:v>-884.7999999998965</c:v>
                </c:pt>
                <c:pt idx="1183">
                  <c:v>-884.7999999998965</c:v>
                </c:pt>
                <c:pt idx="1184">
                  <c:v>-884.7999999998965</c:v>
                </c:pt>
                <c:pt idx="1185">
                  <c:v>-884.7999999998965</c:v>
                </c:pt>
                <c:pt idx="1186">
                  <c:v>-884.7999999998965</c:v>
                </c:pt>
                <c:pt idx="1187">
                  <c:v>-884.7999999998965</c:v>
                </c:pt>
                <c:pt idx="1188">
                  <c:v>-884.7999999998965</c:v>
                </c:pt>
                <c:pt idx="1189">
                  <c:v>-884.7999999998965</c:v>
                </c:pt>
                <c:pt idx="1190">
                  <c:v>-884.7999999998965</c:v>
                </c:pt>
                <c:pt idx="1191">
                  <c:v>-884.7999999998965</c:v>
                </c:pt>
                <c:pt idx="1192">
                  <c:v>-884.7999999998965</c:v>
                </c:pt>
                <c:pt idx="1193">
                  <c:v>-884.7999999998965</c:v>
                </c:pt>
                <c:pt idx="1194">
                  <c:v>-884.7999999998965</c:v>
                </c:pt>
                <c:pt idx="1195">
                  <c:v>-884.7999999998965</c:v>
                </c:pt>
                <c:pt idx="1196">
                  <c:v>-884.7999999998965</c:v>
                </c:pt>
                <c:pt idx="1197">
                  <c:v>-884.7999999998965</c:v>
                </c:pt>
                <c:pt idx="1198">
                  <c:v>-884.7999999998965</c:v>
                </c:pt>
                <c:pt idx="1199">
                  <c:v>-884.7999999998965</c:v>
                </c:pt>
                <c:pt idx="1200">
                  <c:v>-884.7999999998965</c:v>
                </c:pt>
                <c:pt idx="1201">
                  <c:v>-884.7999999998965</c:v>
                </c:pt>
                <c:pt idx="1202">
                  <c:v>-884.7999999998965</c:v>
                </c:pt>
                <c:pt idx="1203">
                  <c:v>-884.7999999998965</c:v>
                </c:pt>
                <c:pt idx="1204">
                  <c:v>-884.7999999998965</c:v>
                </c:pt>
                <c:pt idx="1205">
                  <c:v>-884.7999999998965</c:v>
                </c:pt>
                <c:pt idx="1206">
                  <c:v>-884.7999999998965</c:v>
                </c:pt>
                <c:pt idx="1207">
                  <c:v>-884.7999999998965</c:v>
                </c:pt>
                <c:pt idx="1208">
                  <c:v>-884.7999999998965</c:v>
                </c:pt>
                <c:pt idx="1209">
                  <c:v>-884.7999999998965</c:v>
                </c:pt>
                <c:pt idx="1210">
                  <c:v>-884.7999999998965</c:v>
                </c:pt>
                <c:pt idx="1211">
                  <c:v>-884.7999999998965</c:v>
                </c:pt>
                <c:pt idx="1212">
                  <c:v>-884.7999999998965</c:v>
                </c:pt>
                <c:pt idx="1213">
                  <c:v>-884.7999999998965</c:v>
                </c:pt>
                <c:pt idx="1214">
                  <c:v>-884.7999999998965</c:v>
                </c:pt>
                <c:pt idx="1215">
                  <c:v>-884.7999999998965</c:v>
                </c:pt>
                <c:pt idx="1216">
                  <c:v>-884.7999999998965</c:v>
                </c:pt>
                <c:pt idx="1217">
                  <c:v>-884.7999999998965</c:v>
                </c:pt>
                <c:pt idx="1218">
                  <c:v>-884.7999999998965</c:v>
                </c:pt>
                <c:pt idx="1219">
                  <c:v>-884.7999999998965</c:v>
                </c:pt>
                <c:pt idx="1220">
                  <c:v>-884.7999999998965</c:v>
                </c:pt>
                <c:pt idx="1221">
                  <c:v>-884.7999999998965</c:v>
                </c:pt>
                <c:pt idx="1222">
                  <c:v>-884.7999999998965</c:v>
                </c:pt>
                <c:pt idx="1223">
                  <c:v>-884.7999999998965</c:v>
                </c:pt>
                <c:pt idx="1224">
                  <c:v>-884.7999999998965</c:v>
                </c:pt>
                <c:pt idx="1225">
                  <c:v>-884.7999999998965</c:v>
                </c:pt>
                <c:pt idx="1226">
                  <c:v>-884.7999999998965</c:v>
                </c:pt>
                <c:pt idx="1227">
                  <c:v>-884.7999999998965</c:v>
                </c:pt>
                <c:pt idx="1228">
                  <c:v>-884.7999999998965</c:v>
                </c:pt>
                <c:pt idx="1229">
                  <c:v>-884.7999999998965</c:v>
                </c:pt>
                <c:pt idx="1230">
                  <c:v>-884.7999999998965</c:v>
                </c:pt>
                <c:pt idx="1231">
                  <c:v>-884.7999999998965</c:v>
                </c:pt>
                <c:pt idx="1232">
                  <c:v>-884.7999999998965</c:v>
                </c:pt>
                <c:pt idx="1233">
                  <c:v>-884.7999999998965</c:v>
                </c:pt>
                <c:pt idx="1234">
                  <c:v>-884.7999999998965</c:v>
                </c:pt>
                <c:pt idx="1235">
                  <c:v>-884.7999999998965</c:v>
                </c:pt>
                <c:pt idx="1236">
                  <c:v>-884.7999999998965</c:v>
                </c:pt>
                <c:pt idx="1237">
                  <c:v>-884.7999999998965</c:v>
                </c:pt>
              </c:numCache>
            </c:numRef>
          </c:val>
          <c:smooth val="0"/>
          <c:extLst>
            <c:ext xmlns:c16="http://schemas.microsoft.com/office/drawing/2014/chart" uri="{C3380CC4-5D6E-409C-BE32-E72D297353CC}">
              <c16:uniqueId val="{00000002-EC15-4C06-B56D-DD9A8FDD027B}"/>
            </c:ext>
          </c:extLst>
        </c:ser>
        <c:dLbls>
          <c:showLegendKey val="0"/>
          <c:showVal val="0"/>
          <c:showCatName val="0"/>
          <c:showSerName val="0"/>
          <c:showPercent val="0"/>
          <c:showBubbleSize val="0"/>
        </c:dLbls>
        <c:smooth val="0"/>
        <c:axId val="2080959423"/>
        <c:axId val="2031804143"/>
      </c:lineChart>
      <c:catAx>
        <c:axId val="20809594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804143"/>
        <c:crosses val="autoZero"/>
        <c:auto val="1"/>
        <c:lblAlgn val="ctr"/>
        <c:lblOffset val="100"/>
        <c:noMultiLvlLbl val="0"/>
      </c:catAx>
      <c:valAx>
        <c:axId val="2031804143"/>
        <c:scaling>
          <c:orientation val="minMax"/>
        </c:scaling>
        <c:delete val="0"/>
        <c:axPos val="l"/>
        <c:majorGridlines>
          <c:spPr>
            <a:ln w="9525" cap="flat" cmpd="sng" algn="ctr">
              <a:solidFill>
                <a:schemeClr val="tx1">
                  <a:lumMod val="75000"/>
                  <a:lumOff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9594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F,S,O PNL/LOT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F</c:v>
          </c:tx>
          <c:spPr>
            <a:ln w="28575" cap="rnd">
              <a:solidFill>
                <a:schemeClr val="accent1"/>
              </a:solidFill>
              <a:round/>
            </a:ln>
            <a:effectLst/>
          </c:spPr>
          <c:marker>
            <c:symbol val="none"/>
          </c:marker>
          <c:val>
            <c:numRef>
              <c:f>'Journal Live'!$BX$1388:$BX$2630</c:f>
              <c:numCache>
                <c:formatCode>General</c:formatCode>
                <c:ptCount val="1238"/>
                <c:pt idx="0">
                  <c:v>0</c:v>
                </c:pt>
                <c:pt idx="1">
                  <c:v>0</c:v>
                </c:pt>
                <c:pt idx="2">
                  <c:v>0</c:v>
                </c:pt>
                <c:pt idx="3">
                  <c:v>0</c:v>
                </c:pt>
                <c:pt idx="4">
                  <c:v>0</c:v>
                </c:pt>
                <c:pt idx="5">
                  <c:v>7.3142857142857149</c:v>
                </c:pt>
                <c:pt idx="6">
                  <c:v>7.3142857142857149</c:v>
                </c:pt>
                <c:pt idx="7">
                  <c:v>7.3142857142857149</c:v>
                </c:pt>
                <c:pt idx="8">
                  <c:v>7.3142857142857149</c:v>
                </c:pt>
                <c:pt idx="9">
                  <c:v>7.3142857142857149</c:v>
                </c:pt>
                <c:pt idx="10">
                  <c:v>7.3142857142857149</c:v>
                </c:pt>
                <c:pt idx="11">
                  <c:v>7.3142857142857149</c:v>
                </c:pt>
                <c:pt idx="12">
                  <c:v>7.3142857142857149</c:v>
                </c:pt>
                <c:pt idx="13">
                  <c:v>7.3142857142857149</c:v>
                </c:pt>
                <c:pt idx="14">
                  <c:v>7.3142857142857149</c:v>
                </c:pt>
                <c:pt idx="15">
                  <c:v>7.3142857142857149</c:v>
                </c:pt>
                <c:pt idx="16">
                  <c:v>7.3142857142857149</c:v>
                </c:pt>
                <c:pt idx="17">
                  <c:v>7.3142857142857149</c:v>
                </c:pt>
                <c:pt idx="18">
                  <c:v>7.3142857142857149</c:v>
                </c:pt>
                <c:pt idx="19">
                  <c:v>7.3142857142857149</c:v>
                </c:pt>
                <c:pt idx="20">
                  <c:v>7.3142857142857149</c:v>
                </c:pt>
                <c:pt idx="21">
                  <c:v>7.3142857142857149</c:v>
                </c:pt>
                <c:pt idx="22">
                  <c:v>7.3142857142857149</c:v>
                </c:pt>
                <c:pt idx="23">
                  <c:v>7.3142857142857149</c:v>
                </c:pt>
                <c:pt idx="24">
                  <c:v>7.3142857142857149</c:v>
                </c:pt>
                <c:pt idx="25">
                  <c:v>7.3142857142857149</c:v>
                </c:pt>
                <c:pt idx="26">
                  <c:v>7.3142857142857149</c:v>
                </c:pt>
                <c:pt idx="27">
                  <c:v>7.3142857142857149</c:v>
                </c:pt>
                <c:pt idx="28">
                  <c:v>7.3142857142857149</c:v>
                </c:pt>
                <c:pt idx="29">
                  <c:v>7.3142857142857149</c:v>
                </c:pt>
                <c:pt idx="30">
                  <c:v>7.3142857142857149</c:v>
                </c:pt>
                <c:pt idx="31">
                  <c:v>7.3142857142857149</c:v>
                </c:pt>
                <c:pt idx="32">
                  <c:v>7.3142857142857149</c:v>
                </c:pt>
                <c:pt idx="33">
                  <c:v>7.3142857142857149</c:v>
                </c:pt>
                <c:pt idx="34">
                  <c:v>7.3142857142857149</c:v>
                </c:pt>
                <c:pt idx="35">
                  <c:v>23.314285714285717</c:v>
                </c:pt>
                <c:pt idx="36">
                  <c:v>23.314285714285717</c:v>
                </c:pt>
                <c:pt idx="37">
                  <c:v>23.314285714285717</c:v>
                </c:pt>
                <c:pt idx="38">
                  <c:v>23.314285714285717</c:v>
                </c:pt>
                <c:pt idx="39">
                  <c:v>23.314285714285717</c:v>
                </c:pt>
                <c:pt idx="40">
                  <c:v>23.314285714285717</c:v>
                </c:pt>
                <c:pt idx="41">
                  <c:v>23.314285714285717</c:v>
                </c:pt>
                <c:pt idx="42">
                  <c:v>23.314285714285717</c:v>
                </c:pt>
                <c:pt idx="43">
                  <c:v>23.314285714285717</c:v>
                </c:pt>
                <c:pt idx="44">
                  <c:v>23.314285714285717</c:v>
                </c:pt>
                <c:pt idx="45">
                  <c:v>29.714285714285712</c:v>
                </c:pt>
                <c:pt idx="46">
                  <c:v>29.714285714285712</c:v>
                </c:pt>
                <c:pt idx="47">
                  <c:v>68.114285714285714</c:v>
                </c:pt>
                <c:pt idx="48">
                  <c:v>68.114285714285714</c:v>
                </c:pt>
                <c:pt idx="49">
                  <c:v>84.114285714285714</c:v>
                </c:pt>
                <c:pt idx="50">
                  <c:v>84.114285714285714</c:v>
                </c:pt>
                <c:pt idx="51">
                  <c:v>84.114285714285714</c:v>
                </c:pt>
                <c:pt idx="52">
                  <c:v>84.114285714285714</c:v>
                </c:pt>
                <c:pt idx="53">
                  <c:v>84.114285714285714</c:v>
                </c:pt>
                <c:pt idx="54">
                  <c:v>84.114285714285714</c:v>
                </c:pt>
                <c:pt idx="55">
                  <c:v>84.114285714285714</c:v>
                </c:pt>
                <c:pt idx="56">
                  <c:v>84.114285714285714</c:v>
                </c:pt>
                <c:pt idx="57">
                  <c:v>84.114285714285714</c:v>
                </c:pt>
                <c:pt idx="58">
                  <c:v>84.114285714285714</c:v>
                </c:pt>
                <c:pt idx="59">
                  <c:v>84.114285714285714</c:v>
                </c:pt>
                <c:pt idx="60">
                  <c:v>84.114285714285714</c:v>
                </c:pt>
                <c:pt idx="61">
                  <c:v>84.114285714285714</c:v>
                </c:pt>
                <c:pt idx="62">
                  <c:v>84.114285714285714</c:v>
                </c:pt>
                <c:pt idx="63">
                  <c:v>84.114285714285714</c:v>
                </c:pt>
                <c:pt idx="64">
                  <c:v>84.114285714285714</c:v>
                </c:pt>
                <c:pt idx="65">
                  <c:v>84.114285714285714</c:v>
                </c:pt>
                <c:pt idx="66">
                  <c:v>84.114285714285714</c:v>
                </c:pt>
                <c:pt idx="67">
                  <c:v>84.114285714285714</c:v>
                </c:pt>
                <c:pt idx="68">
                  <c:v>84.114285714285714</c:v>
                </c:pt>
                <c:pt idx="69">
                  <c:v>84.114285714285714</c:v>
                </c:pt>
                <c:pt idx="70">
                  <c:v>100.11428571428571</c:v>
                </c:pt>
                <c:pt idx="71">
                  <c:v>100.11428571428571</c:v>
                </c:pt>
                <c:pt idx="72">
                  <c:v>100.11428571428571</c:v>
                </c:pt>
                <c:pt idx="73">
                  <c:v>100.11428571428571</c:v>
                </c:pt>
                <c:pt idx="74">
                  <c:v>100.11428571428571</c:v>
                </c:pt>
                <c:pt idx="75">
                  <c:v>100.11428571428571</c:v>
                </c:pt>
                <c:pt idx="76">
                  <c:v>100.11428571428571</c:v>
                </c:pt>
                <c:pt idx="77">
                  <c:v>100.11428571428571</c:v>
                </c:pt>
                <c:pt idx="78">
                  <c:v>100.11428571428571</c:v>
                </c:pt>
                <c:pt idx="79">
                  <c:v>100.11428571428571</c:v>
                </c:pt>
                <c:pt idx="80">
                  <c:v>100.11428571428571</c:v>
                </c:pt>
                <c:pt idx="81">
                  <c:v>100.11428571428571</c:v>
                </c:pt>
                <c:pt idx="82">
                  <c:v>100.11428571428571</c:v>
                </c:pt>
                <c:pt idx="83">
                  <c:v>100.11428571428571</c:v>
                </c:pt>
                <c:pt idx="84">
                  <c:v>100.11428571428571</c:v>
                </c:pt>
                <c:pt idx="85">
                  <c:v>100.11428571428571</c:v>
                </c:pt>
                <c:pt idx="86">
                  <c:v>100.11428571428571</c:v>
                </c:pt>
                <c:pt idx="87">
                  <c:v>100.11428571428571</c:v>
                </c:pt>
                <c:pt idx="88">
                  <c:v>100.11428571428571</c:v>
                </c:pt>
                <c:pt idx="89">
                  <c:v>100.11428571428571</c:v>
                </c:pt>
                <c:pt idx="90">
                  <c:v>100.11428571428571</c:v>
                </c:pt>
                <c:pt idx="91">
                  <c:v>100.11428571428571</c:v>
                </c:pt>
                <c:pt idx="92">
                  <c:v>100.11428571428571</c:v>
                </c:pt>
                <c:pt idx="93">
                  <c:v>100.11428571428571</c:v>
                </c:pt>
                <c:pt idx="94">
                  <c:v>100.11428571428571</c:v>
                </c:pt>
                <c:pt idx="95">
                  <c:v>142.54906832298136</c:v>
                </c:pt>
                <c:pt idx="96">
                  <c:v>142.54906832298136</c:v>
                </c:pt>
                <c:pt idx="97">
                  <c:v>142.54906832298136</c:v>
                </c:pt>
                <c:pt idx="98">
                  <c:v>142.54906832298136</c:v>
                </c:pt>
                <c:pt idx="99">
                  <c:v>142.54906832298136</c:v>
                </c:pt>
                <c:pt idx="100">
                  <c:v>142.54906832298136</c:v>
                </c:pt>
                <c:pt idx="101">
                  <c:v>142.54906832298136</c:v>
                </c:pt>
                <c:pt idx="102">
                  <c:v>142.54906832298136</c:v>
                </c:pt>
                <c:pt idx="103">
                  <c:v>142.54906832298136</c:v>
                </c:pt>
                <c:pt idx="104">
                  <c:v>142.54906832298136</c:v>
                </c:pt>
                <c:pt idx="105">
                  <c:v>142.54906832298136</c:v>
                </c:pt>
                <c:pt idx="106">
                  <c:v>142.54906832298136</c:v>
                </c:pt>
                <c:pt idx="107">
                  <c:v>142.54906832298136</c:v>
                </c:pt>
                <c:pt idx="108">
                  <c:v>142.54906832298136</c:v>
                </c:pt>
                <c:pt idx="109">
                  <c:v>142.54906832298136</c:v>
                </c:pt>
                <c:pt idx="110">
                  <c:v>142.54906832298136</c:v>
                </c:pt>
                <c:pt idx="111">
                  <c:v>142.54906832298136</c:v>
                </c:pt>
                <c:pt idx="112">
                  <c:v>142.54906832298136</c:v>
                </c:pt>
                <c:pt idx="113">
                  <c:v>142.54906832298136</c:v>
                </c:pt>
                <c:pt idx="114">
                  <c:v>142.54906832298136</c:v>
                </c:pt>
                <c:pt idx="115">
                  <c:v>142.54906832298136</c:v>
                </c:pt>
                <c:pt idx="116">
                  <c:v>142.54906832298136</c:v>
                </c:pt>
                <c:pt idx="117">
                  <c:v>142.54906832298136</c:v>
                </c:pt>
                <c:pt idx="118">
                  <c:v>142.54906832298136</c:v>
                </c:pt>
                <c:pt idx="119">
                  <c:v>142.54906832298136</c:v>
                </c:pt>
                <c:pt idx="120">
                  <c:v>142.54906832298136</c:v>
                </c:pt>
                <c:pt idx="121">
                  <c:v>142.54906832298136</c:v>
                </c:pt>
                <c:pt idx="122">
                  <c:v>142.54906832298136</c:v>
                </c:pt>
                <c:pt idx="123">
                  <c:v>142.54906832298136</c:v>
                </c:pt>
                <c:pt idx="124">
                  <c:v>142.54906832298136</c:v>
                </c:pt>
                <c:pt idx="125">
                  <c:v>142.54906832298136</c:v>
                </c:pt>
                <c:pt idx="126">
                  <c:v>142.54906832298136</c:v>
                </c:pt>
                <c:pt idx="127">
                  <c:v>142.54906832298136</c:v>
                </c:pt>
                <c:pt idx="128">
                  <c:v>142.54906832298136</c:v>
                </c:pt>
                <c:pt idx="129">
                  <c:v>142.54906832298136</c:v>
                </c:pt>
                <c:pt idx="130">
                  <c:v>142.54906832298136</c:v>
                </c:pt>
                <c:pt idx="131">
                  <c:v>142.54906832298136</c:v>
                </c:pt>
                <c:pt idx="132">
                  <c:v>142.54906832298136</c:v>
                </c:pt>
                <c:pt idx="133">
                  <c:v>142.54906832298136</c:v>
                </c:pt>
                <c:pt idx="134">
                  <c:v>142.54906832298136</c:v>
                </c:pt>
                <c:pt idx="135">
                  <c:v>142.54906832298136</c:v>
                </c:pt>
                <c:pt idx="136">
                  <c:v>142.54906832298136</c:v>
                </c:pt>
                <c:pt idx="137">
                  <c:v>126.54906832298136</c:v>
                </c:pt>
                <c:pt idx="138">
                  <c:v>126.54906832298136</c:v>
                </c:pt>
                <c:pt idx="139">
                  <c:v>130.38906832298136</c:v>
                </c:pt>
                <c:pt idx="140">
                  <c:v>145.15829909221213</c:v>
                </c:pt>
                <c:pt idx="141">
                  <c:v>145.15829909221213</c:v>
                </c:pt>
                <c:pt idx="142">
                  <c:v>145.15829909221213</c:v>
                </c:pt>
                <c:pt idx="143">
                  <c:v>145.15829909221213</c:v>
                </c:pt>
                <c:pt idx="144">
                  <c:v>145.15829909221213</c:v>
                </c:pt>
                <c:pt idx="145">
                  <c:v>145.15829909221213</c:v>
                </c:pt>
                <c:pt idx="146">
                  <c:v>145.15829909221213</c:v>
                </c:pt>
                <c:pt idx="147">
                  <c:v>145.15829909221213</c:v>
                </c:pt>
                <c:pt idx="148">
                  <c:v>145.15829909221213</c:v>
                </c:pt>
                <c:pt idx="149">
                  <c:v>145.15829909221213</c:v>
                </c:pt>
                <c:pt idx="150">
                  <c:v>145.15829909221213</c:v>
                </c:pt>
                <c:pt idx="151">
                  <c:v>145.15829909221213</c:v>
                </c:pt>
                <c:pt idx="152">
                  <c:v>145.15829909221213</c:v>
                </c:pt>
                <c:pt idx="153">
                  <c:v>145.15829909221213</c:v>
                </c:pt>
                <c:pt idx="154">
                  <c:v>145.15829909221213</c:v>
                </c:pt>
                <c:pt idx="155">
                  <c:v>145.15829909221213</c:v>
                </c:pt>
                <c:pt idx="156">
                  <c:v>145.15829909221213</c:v>
                </c:pt>
                <c:pt idx="157">
                  <c:v>198.02786430960344</c:v>
                </c:pt>
                <c:pt idx="158">
                  <c:v>198.02786430960344</c:v>
                </c:pt>
                <c:pt idx="159">
                  <c:v>198.02786430960344</c:v>
                </c:pt>
                <c:pt idx="160">
                  <c:v>198.02786430960344</c:v>
                </c:pt>
                <c:pt idx="161">
                  <c:v>198.02786430960344</c:v>
                </c:pt>
                <c:pt idx="162">
                  <c:v>198.02786430960344</c:v>
                </c:pt>
                <c:pt idx="163">
                  <c:v>198.02786430960344</c:v>
                </c:pt>
                <c:pt idx="164">
                  <c:v>198.02786430960344</c:v>
                </c:pt>
                <c:pt idx="165">
                  <c:v>198.02786430960344</c:v>
                </c:pt>
                <c:pt idx="166">
                  <c:v>198.02786430960344</c:v>
                </c:pt>
                <c:pt idx="167">
                  <c:v>198.02786430960344</c:v>
                </c:pt>
                <c:pt idx="168">
                  <c:v>198.02786430960344</c:v>
                </c:pt>
                <c:pt idx="169">
                  <c:v>198.02786430960344</c:v>
                </c:pt>
                <c:pt idx="170">
                  <c:v>198.02786430960344</c:v>
                </c:pt>
                <c:pt idx="171">
                  <c:v>198.02786430960344</c:v>
                </c:pt>
                <c:pt idx="172">
                  <c:v>198.02786430960344</c:v>
                </c:pt>
                <c:pt idx="173">
                  <c:v>198.02786430960344</c:v>
                </c:pt>
                <c:pt idx="174">
                  <c:v>198.02786430960344</c:v>
                </c:pt>
                <c:pt idx="175">
                  <c:v>198.02786430960344</c:v>
                </c:pt>
                <c:pt idx="176">
                  <c:v>198.02786430960344</c:v>
                </c:pt>
                <c:pt idx="177">
                  <c:v>214.02786430960344</c:v>
                </c:pt>
                <c:pt idx="178">
                  <c:v>214.02786430960344</c:v>
                </c:pt>
                <c:pt idx="179">
                  <c:v>214.02786430960344</c:v>
                </c:pt>
                <c:pt idx="180">
                  <c:v>214.02786430960344</c:v>
                </c:pt>
                <c:pt idx="181">
                  <c:v>214.02786430960344</c:v>
                </c:pt>
                <c:pt idx="182">
                  <c:v>214.02786430960344</c:v>
                </c:pt>
                <c:pt idx="183">
                  <c:v>214.02786430960344</c:v>
                </c:pt>
                <c:pt idx="184">
                  <c:v>214.02786430960344</c:v>
                </c:pt>
                <c:pt idx="185">
                  <c:v>214.02786430960344</c:v>
                </c:pt>
                <c:pt idx="186">
                  <c:v>214.02786430960344</c:v>
                </c:pt>
                <c:pt idx="187">
                  <c:v>214.02786430960344</c:v>
                </c:pt>
                <c:pt idx="188">
                  <c:v>214.02786430960344</c:v>
                </c:pt>
                <c:pt idx="189">
                  <c:v>214.02786430960344</c:v>
                </c:pt>
                <c:pt idx="190">
                  <c:v>214.02786430960344</c:v>
                </c:pt>
                <c:pt idx="191">
                  <c:v>214.02786430960344</c:v>
                </c:pt>
                <c:pt idx="192">
                  <c:v>214.02786430960344</c:v>
                </c:pt>
                <c:pt idx="193">
                  <c:v>214.02786430960344</c:v>
                </c:pt>
                <c:pt idx="194">
                  <c:v>214.02786430960344</c:v>
                </c:pt>
                <c:pt idx="195">
                  <c:v>214.02786430960344</c:v>
                </c:pt>
                <c:pt idx="196">
                  <c:v>214.02786430960344</c:v>
                </c:pt>
                <c:pt idx="197">
                  <c:v>214.02786430960344</c:v>
                </c:pt>
                <c:pt idx="198">
                  <c:v>214.02786430960344</c:v>
                </c:pt>
                <c:pt idx="199">
                  <c:v>214.02786430960344</c:v>
                </c:pt>
                <c:pt idx="200">
                  <c:v>214.02786430960344</c:v>
                </c:pt>
                <c:pt idx="201">
                  <c:v>214.02786430960344</c:v>
                </c:pt>
                <c:pt idx="202">
                  <c:v>214.02786430960344</c:v>
                </c:pt>
                <c:pt idx="203">
                  <c:v>221.28119764293677</c:v>
                </c:pt>
                <c:pt idx="204">
                  <c:v>221.28119764293677</c:v>
                </c:pt>
                <c:pt idx="205">
                  <c:v>221.28119764293677</c:v>
                </c:pt>
                <c:pt idx="206">
                  <c:v>221.28119764293677</c:v>
                </c:pt>
                <c:pt idx="207">
                  <c:v>221.28119764293677</c:v>
                </c:pt>
                <c:pt idx="208">
                  <c:v>221.28119764293677</c:v>
                </c:pt>
                <c:pt idx="209">
                  <c:v>221.28119764293677</c:v>
                </c:pt>
                <c:pt idx="210">
                  <c:v>221.28119764293677</c:v>
                </c:pt>
                <c:pt idx="211">
                  <c:v>221.28119764293677</c:v>
                </c:pt>
                <c:pt idx="212">
                  <c:v>221.28119764293677</c:v>
                </c:pt>
                <c:pt idx="213">
                  <c:v>221.28119764293677</c:v>
                </c:pt>
                <c:pt idx="214">
                  <c:v>221.28119764293677</c:v>
                </c:pt>
                <c:pt idx="215">
                  <c:v>221.28119764293677</c:v>
                </c:pt>
                <c:pt idx="216">
                  <c:v>221.28119764293677</c:v>
                </c:pt>
                <c:pt idx="217">
                  <c:v>221.28119764293677</c:v>
                </c:pt>
                <c:pt idx="218">
                  <c:v>221.28119764293677</c:v>
                </c:pt>
                <c:pt idx="219">
                  <c:v>221.28119764293677</c:v>
                </c:pt>
                <c:pt idx="220">
                  <c:v>221.28119764293677</c:v>
                </c:pt>
                <c:pt idx="221">
                  <c:v>221.28119764293677</c:v>
                </c:pt>
                <c:pt idx="222">
                  <c:v>221.28119764293677</c:v>
                </c:pt>
                <c:pt idx="223">
                  <c:v>221.28119764293677</c:v>
                </c:pt>
                <c:pt idx="224">
                  <c:v>221.28119764293677</c:v>
                </c:pt>
                <c:pt idx="225">
                  <c:v>221.28119764293677</c:v>
                </c:pt>
                <c:pt idx="226">
                  <c:v>221.28119764293677</c:v>
                </c:pt>
                <c:pt idx="227">
                  <c:v>221.28119764293677</c:v>
                </c:pt>
                <c:pt idx="228">
                  <c:v>221.28119764293677</c:v>
                </c:pt>
                <c:pt idx="229">
                  <c:v>221.28119764293677</c:v>
                </c:pt>
                <c:pt idx="230">
                  <c:v>221.28119764293677</c:v>
                </c:pt>
                <c:pt idx="231">
                  <c:v>221.28119764293677</c:v>
                </c:pt>
                <c:pt idx="232">
                  <c:v>221.28119764293677</c:v>
                </c:pt>
                <c:pt idx="233">
                  <c:v>221.28119764293677</c:v>
                </c:pt>
                <c:pt idx="234">
                  <c:v>221.28119764293677</c:v>
                </c:pt>
                <c:pt idx="235">
                  <c:v>221.28119764293677</c:v>
                </c:pt>
                <c:pt idx="236">
                  <c:v>221.28119764293677</c:v>
                </c:pt>
                <c:pt idx="237">
                  <c:v>221.28119764293677</c:v>
                </c:pt>
                <c:pt idx="238">
                  <c:v>221.28119764293677</c:v>
                </c:pt>
                <c:pt idx="239">
                  <c:v>221.28119764293677</c:v>
                </c:pt>
                <c:pt idx="240">
                  <c:v>221.28119764293677</c:v>
                </c:pt>
                <c:pt idx="241">
                  <c:v>221.28119764293677</c:v>
                </c:pt>
                <c:pt idx="242">
                  <c:v>221.28119764293677</c:v>
                </c:pt>
                <c:pt idx="243">
                  <c:v>221.28119764293677</c:v>
                </c:pt>
                <c:pt idx="244">
                  <c:v>221.28119764293677</c:v>
                </c:pt>
                <c:pt idx="245">
                  <c:v>221.28119764293677</c:v>
                </c:pt>
                <c:pt idx="246">
                  <c:v>221.28119764293677</c:v>
                </c:pt>
                <c:pt idx="247">
                  <c:v>221.28119764293677</c:v>
                </c:pt>
                <c:pt idx="248">
                  <c:v>221.28119764293677</c:v>
                </c:pt>
                <c:pt idx="249">
                  <c:v>221.28119764293677</c:v>
                </c:pt>
                <c:pt idx="250">
                  <c:v>221.28119764293677</c:v>
                </c:pt>
                <c:pt idx="251">
                  <c:v>221.28119764293677</c:v>
                </c:pt>
                <c:pt idx="252">
                  <c:v>221.28119764293677</c:v>
                </c:pt>
                <c:pt idx="253">
                  <c:v>221.28119764293677</c:v>
                </c:pt>
                <c:pt idx="254">
                  <c:v>221.28119764293677</c:v>
                </c:pt>
                <c:pt idx="255">
                  <c:v>221.28119764293677</c:v>
                </c:pt>
                <c:pt idx="256">
                  <c:v>221.28119764293677</c:v>
                </c:pt>
                <c:pt idx="257">
                  <c:v>221.28119764293677</c:v>
                </c:pt>
                <c:pt idx="258">
                  <c:v>221.28119764293677</c:v>
                </c:pt>
                <c:pt idx="259">
                  <c:v>221.28119764293677</c:v>
                </c:pt>
                <c:pt idx="260">
                  <c:v>237.28119764293677</c:v>
                </c:pt>
                <c:pt idx="261">
                  <c:v>237.28119764293677</c:v>
                </c:pt>
                <c:pt idx="262">
                  <c:v>237.28119764293677</c:v>
                </c:pt>
                <c:pt idx="263">
                  <c:v>237.28119764293677</c:v>
                </c:pt>
                <c:pt idx="264">
                  <c:v>237.28119764293677</c:v>
                </c:pt>
                <c:pt idx="265">
                  <c:v>237.28119764293677</c:v>
                </c:pt>
                <c:pt idx="266">
                  <c:v>279.94786430960346</c:v>
                </c:pt>
                <c:pt idx="267">
                  <c:v>279.94786430960346</c:v>
                </c:pt>
                <c:pt idx="268">
                  <c:v>279.94786430960346</c:v>
                </c:pt>
                <c:pt idx="269">
                  <c:v>279.94786430960346</c:v>
                </c:pt>
                <c:pt idx="270">
                  <c:v>279.94786430960346</c:v>
                </c:pt>
                <c:pt idx="271">
                  <c:v>279.94786430960346</c:v>
                </c:pt>
                <c:pt idx="272">
                  <c:v>279.94786430960346</c:v>
                </c:pt>
                <c:pt idx="273">
                  <c:v>279.94786430960346</c:v>
                </c:pt>
                <c:pt idx="274">
                  <c:v>279.94786430960346</c:v>
                </c:pt>
                <c:pt idx="275">
                  <c:v>279.94786430960346</c:v>
                </c:pt>
                <c:pt idx="276">
                  <c:v>279.94786430960346</c:v>
                </c:pt>
                <c:pt idx="277">
                  <c:v>279.94786430960346</c:v>
                </c:pt>
                <c:pt idx="278">
                  <c:v>279.94786430960346</c:v>
                </c:pt>
                <c:pt idx="279">
                  <c:v>279.94786430960346</c:v>
                </c:pt>
                <c:pt idx="280">
                  <c:v>279.94786430960346</c:v>
                </c:pt>
                <c:pt idx="281">
                  <c:v>279.94786430960346</c:v>
                </c:pt>
                <c:pt idx="282">
                  <c:v>279.94786430960346</c:v>
                </c:pt>
                <c:pt idx="283">
                  <c:v>279.94786430960346</c:v>
                </c:pt>
                <c:pt idx="284">
                  <c:v>279.94786430960346</c:v>
                </c:pt>
                <c:pt idx="285">
                  <c:v>279.94786430960346</c:v>
                </c:pt>
                <c:pt idx="286">
                  <c:v>279.94786430960346</c:v>
                </c:pt>
                <c:pt idx="287">
                  <c:v>279.94786430960346</c:v>
                </c:pt>
                <c:pt idx="288">
                  <c:v>279.94786430960346</c:v>
                </c:pt>
                <c:pt idx="289">
                  <c:v>321.54786430960348</c:v>
                </c:pt>
                <c:pt idx="290">
                  <c:v>321.54786430960348</c:v>
                </c:pt>
                <c:pt idx="291">
                  <c:v>321.54786430960348</c:v>
                </c:pt>
                <c:pt idx="292">
                  <c:v>321.54786430960348</c:v>
                </c:pt>
                <c:pt idx="293">
                  <c:v>321.54786430960348</c:v>
                </c:pt>
                <c:pt idx="294">
                  <c:v>321.54786430960348</c:v>
                </c:pt>
                <c:pt idx="295">
                  <c:v>321.54786430960348</c:v>
                </c:pt>
                <c:pt idx="296">
                  <c:v>321.54786430960348</c:v>
                </c:pt>
                <c:pt idx="297">
                  <c:v>321.54786430960348</c:v>
                </c:pt>
                <c:pt idx="298">
                  <c:v>321.54786430960348</c:v>
                </c:pt>
                <c:pt idx="299">
                  <c:v>321.54786430960348</c:v>
                </c:pt>
                <c:pt idx="300">
                  <c:v>321.54786430960348</c:v>
                </c:pt>
                <c:pt idx="301">
                  <c:v>321.54786430960348</c:v>
                </c:pt>
                <c:pt idx="302">
                  <c:v>321.54786430960348</c:v>
                </c:pt>
                <c:pt idx="303">
                  <c:v>321.54786430960348</c:v>
                </c:pt>
                <c:pt idx="304">
                  <c:v>321.54786430960348</c:v>
                </c:pt>
                <c:pt idx="305">
                  <c:v>321.54786430960348</c:v>
                </c:pt>
                <c:pt idx="306">
                  <c:v>321.54786430960348</c:v>
                </c:pt>
                <c:pt idx="307">
                  <c:v>321.54786430960348</c:v>
                </c:pt>
                <c:pt idx="308">
                  <c:v>321.54786430960348</c:v>
                </c:pt>
                <c:pt idx="309">
                  <c:v>321.54786430960348</c:v>
                </c:pt>
                <c:pt idx="310">
                  <c:v>321.54786430960348</c:v>
                </c:pt>
                <c:pt idx="311">
                  <c:v>321.54786430960348</c:v>
                </c:pt>
                <c:pt idx="312">
                  <c:v>321.54786430960348</c:v>
                </c:pt>
                <c:pt idx="313">
                  <c:v>321.54786430960348</c:v>
                </c:pt>
                <c:pt idx="314">
                  <c:v>321.54786430960348</c:v>
                </c:pt>
                <c:pt idx="315">
                  <c:v>321.54786430960348</c:v>
                </c:pt>
                <c:pt idx="316">
                  <c:v>321.54786430960348</c:v>
                </c:pt>
                <c:pt idx="317">
                  <c:v>321.54786430960348</c:v>
                </c:pt>
                <c:pt idx="318">
                  <c:v>321.54786430960348</c:v>
                </c:pt>
                <c:pt idx="319">
                  <c:v>321.54786430960348</c:v>
                </c:pt>
                <c:pt idx="320">
                  <c:v>321.54786430960348</c:v>
                </c:pt>
                <c:pt idx="321">
                  <c:v>321.54786430960348</c:v>
                </c:pt>
                <c:pt idx="322">
                  <c:v>321.54786430960348</c:v>
                </c:pt>
                <c:pt idx="323">
                  <c:v>321.54786430960348</c:v>
                </c:pt>
                <c:pt idx="324">
                  <c:v>321.54786430960348</c:v>
                </c:pt>
                <c:pt idx="325">
                  <c:v>321.54786430960348</c:v>
                </c:pt>
                <c:pt idx="326">
                  <c:v>321.54786430960348</c:v>
                </c:pt>
                <c:pt idx="327">
                  <c:v>321.54786430960348</c:v>
                </c:pt>
                <c:pt idx="328">
                  <c:v>321.54786430960348</c:v>
                </c:pt>
                <c:pt idx="329">
                  <c:v>321.54786430960348</c:v>
                </c:pt>
                <c:pt idx="330">
                  <c:v>321.54786430960348</c:v>
                </c:pt>
                <c:pt idx="331">
                  <c:v>341.99230875404794</c:v>
                </c:pt>
                <c:pt idx="332">
                  <c:v>357.19230875404793</c:v>
                </c:pt>
                <c:pt idx="333">
                  <c:v>357.19230875404793</c:v>
                </c:pt>
                <c:pt idx="334">
                  <c:v>357.19230875404793</c:v>
                </c:pt>
                <c:pt idx="335">
                  <c:v>357.19230875404793</c:v>
                </c:pt>
                <c:pt idx="336">
                  <c:v>357.19230875404793</c:v>
                </c:pt>
                <c:pt idx="337">
                  <c:v>357.19230875404793</c:v>
                </c:pt>
                <c:pt idx="338">
                  <c:v>357.19230875404793</c:v>
                </c:pt>
                <c:pt idx="339">
                  <c:v>357.19230875404793</c:v>
                </c:pt>
                <c:pt idx="340">
                  <c:v>357.19230875404793</c:v>
                </c:pt>
                <c:pt idx="341">
                  <c:v>357.19230875404793</c:v>
                </c:pt>
                <c:pt idx="342">
                  <c:v>357.19230875404793</c:v>
                </c:pt>
                <c:pt idx="343">
                  <c:v>357.19230875404793</c:v>
                </c:pt>
                <c:pt idx="344">
                  <c:v>357.19230875404793</c:v>
                </c:pt>
                <c:pt idx="345">
                  <c:v>357.19230875404793</c:v>
                </c:pt>
                <c:pt idx="346">
                  <c:v>357.19230875404793</c:v>
                </c:pt>
                <c:pt idx="347">
                  <c:v>357.19230875404793</c:v>
                </c:pt>
                <c:pt idx="348">
                  <c:v>357.19230875404793</c:v>
                </c:pt>
                <c:pt idx="349">
                  <c:v>357.19230875404793</c:v>
                </c:pt>
                <c:pt idx="350">
                  <c:v>357.19230875404793</c:v>
                </c:pt>
                <c:pt idx="351">
                  <c:v>357.19230875404793</c:v>
                </c:pt>
                <c:pt idx="352">
                  <c:v>357.19230875404793</c:v>
                </c:pt>
                <c:pt idx="353">
                  <c:v>357.19230875404793</c:v>
                </c:pt>
                <c:pt idx="354">
                  <c:v>357.19230875404793</c:v>
                </c:pt>
                <c:pt idx="355">
                  <c:v>357.19230875404793</c:v>
                </c:pt>
                <c:pt idx="356">
                  <c:v>357.19230875404793</c:v>
                </c:pt>
                <c:pt idx="357">
                  <c:v>357.19230875404793</c:v>
                </c:pt>
                <c:pt idx="358">
                  <c:v>357.19230875404793</c:v>
                </c:pt>
                <c:pt idx="359">
                  <c:v>357.19230875404793</c:v>
                </c:pt>
                <c:pt idx="360">
                  <c:v>357.19230875404793</c:v>
                </c:pt>
                <c:pt idx="361">
                  <c:v>357.19230875404793</c:v>
                </c:pt>
                <c:pt idx="362">
                  <c:v>357.19230875404793</c:v>
                </c:pt>
                <c:pt idx="363">
                  <c:v>396.19230875404793</c:v>
                </c:pt>
                <c:pt idx="364">
                  <c:v>396.19230875404793</c:v>
                </c:pt>
                <c:pt idx="365">
                  <c:v>396.19230875404793</c:v>
                </c:pt>
                <c:pt idx="366">
                  <c:v>396.19230875404793</c:v>
                </c:pt>
                <c:pt idx="367">
                  <c:v>396.19230875404793</c:v>
                </c:pt>
                <c:pt idx="368">
                  <c:v>396.19230875404793</c:v>
                </c:pt>
                <c:pt idx="369">
                  <c:v>396.19230875404793</c:v>
                </c:pt>
                <c:pt idx="370">
                  <c:v>396.19230875404793</c:v>
                </c:pt>
                <c:pt idx="371">
                  <c:v>396.19230875404793</c:v>
                </c:pt>
                <c:pt idx="372">
                  <c:v>396.19230875404793</c:v>
                </c:pt>
                <c:pt idx="373">
                  <c:v>396.19230875404793</c:v>
                </c:pt>
                <c:pt idx="374">
                  <c:v>396.19230875404793</c:v>
                </c:pt>
                <c:pt idx="375">
                  <c:v>396.19230875404793</c:v>
                </c:pt>
                <c:pt idx="376">
                  <c:v>396.19230875404793</c:v>
                </c:pt>
                <c:pt idx="377">
                  <c:v>396.19230875404793</c:v>
                </c:pt>
                <c:pt idx="378">
                  <c:v>396.19230875404793</c:v>
                </c:pt>
                <c:pt idx="379">
                  <c:v>396.19230875404793</c:v>
                </c:pt>
                <c:pt idx="380">
                  <c:v>396.19230875404793</c:v>
                </c:pt>
                <c:pt idx="381">
                  <c:v>396.19230875404793</c:v>
                </c:pt>
                <c:pt idx="382">
                  <c:v>396.19230875404793</c:v>
                </c:pt>
                <c:pt idx="383">
                  <c:v>396.19230875404793</c:v>
                </c:pt>
                <c:pt idx="384">
                  <c:v>396.19230875404793</c:v>
                </c:pt>
                <c:pt idx="385">
                  <c:v>396.19230875404793</c:v>
                </c:pt>
                <c:pt idx="386">
                  <c:v>396.19230875404793</c:v>
                </c:pt>
                <c:pt idx="387">
                  <c:v>396.19230875404793</c:v>
                </c:pt>
                <c:pt idx="388">
                  <c:v>396.19230875404793</c:v>
                </c:pt>
                <c:pt idx="389">
                  <c:v>396.19230875404793</c:v>
                </c:pt>
                <c:pt idx="390">
                  <c:v>396.19230875404793</c:v>
                </c:pt>
                <c:pt idx="391">
                  <c:v>396.19230875404793</c:v>
                </c:pt>
                <c:pt idx="392">
                  <c:v>396.19230875404793</c:v>
                </c:pt>
                <c:pt idx="393">
                  <c:v>396.19230875404793</c:v>
                </c:pt>
                <c:pt idx="394">
                  <c:v>396.19230875404793</c:v>
                </c:pt>
                <c:pt idx="395">
                  <c:v>396.19230875404793</c:v>
                </c:pt>
                <c:pt idx="396">
                  <c:v>396.19230875404793</c:v>
                </c:pt>
                <c:pt idx="397">
                  <c:v>396.19230875404793</c:v>
                </c:pt>
                <c:pt idx="398">
                  <c:v>396.19230875404793</c:v>
                </c:pt>
                <c:pt idx="399">
                  <c:v>396.19230875404793</c:v>
                </c:pt>
                <c:pt idx="400">
                  <c:v>396.19230875404793</c:v>
                </c:pt>
                <c:pt idx="401">
                  <c:v>396.19230875404793</c:v>
                </c:pt>
                <c:pt idx="402">
                  <c:v>396.19230875404793</c:v>
                </c:pt>
                <c:pt idx="403">
                  <c:v>396.19230875404793</c:v>
                </c:pt>
                <c:pt idx="404">
                  <c:v>396.19230875404793</c:v>
                </c:pt>
                <c:pt idx="405">
                  <c:v>396.19230875404793</c:v>
                </c:pt>
                <c:pt idx="406">
                  <c:v>396.19230875404793</c:v>
                </c:pt>
                <c:pt idx="407">
                  <c:v>396.19230875404793</c:v>
                </c:pt>
                <c:pt idx="408">
                  <c:v>396.19230875404793</c:v>
                </c:pt>
                <c:pt idx="409">
                  <c:v>396.19230875404793</c:v>
                </c:pt>
                <c:pt idx="410">
                  <c:v>396.19230875404793</c:v>
                </c:pt>
                <c:pt idx="411">
                  <c:v>396.19230875404793</c:v>
                </c:pt>
                <c:pt idx="412">
                  <c:v>396.19230875404793</c:v>
                </c:pt>
                <c:pt idx="413">
                  <c:v>396.19230875404793</c:v>
                </c:pt>
                <c:pt idx="414">
                  <c:v>412.19230875404793</c:v>
                </c:pt>
                <c:pt idx="415">
                  <c:v>412.19230875404793</c:v>
                </c:pt>
                <c:pt idx="416">
                  <c:v>412.19230875404793</c:v>
                </c:pt>
                <c:pt idx="417">
                  <c:v>412.19230875404793</c:v>
                </c:pt>
                <c:pt idx="418">
                  <c:v>412.19230875404793</c:v>
                </c:pt>
                <c:pt idx="419">
                  <c:v>412.19230875404793</c:v>
                </c:pt>
                <c:pt idx="420">
                  <c:v>412.19230875404793</c:v>
                </c:pt>
                <c:pt idx="421">
                  <c:v>412.19230875404793</c:v>
                </c:pt>
                <c:pt idx="422">
                  <c:v>428.19230875404793</c:v>
                </c:pt>
                <c:pt idx="423">
                  <c:v>428.19230875404793</c:v>
                </c:pt>
                <c:pt idx="424">
                  <c:v>428.19230875404793</c:v>
                </c:pt>
                <c:pt idx="425">
                  <c:v>428.19230875404793</c:v>
                </c:pt>
                <c:pt idx="426">
                  <c:v>428.19230875404793</c:v>
                </c:pt>
                <c:pt idx="427">
                  <c:v>424.63675319849239</c:v>
                </c:pt>
                <c:pt idx="428">
                  <c:v>424.63675319849239</c:v>
                </c:pt>
                <c:pt idx="429">
                  <c:v>424.63675319849239</c:v>
                </c:pt>
                <c:pt idx="430">
                  <c:v>424.63675319849239</c:v>
                </c:pt>
                <c:pt idx="431">
                  <c:v>424.63675319849239</c:v>
                </c:pt>
                <c:pt idx="432">
                  <c:v>424.63675319849239</c:v>
                </c:pt>
                <c:pt idx="433">
                  <c:v>424.63675319849239</c:v>
                </c:pt>
                <c:pt idx="434">
                  <c:v>424.63675319849239</c:v>
                </c:pt>
                <c:pt idx="435">
                  <c:v>424.63675319849239</c:v>
                </c:pt>
                <c:pt idx="436">
                  <c:v>424.63675319849239</c:v>
                </c:pt>
                <c:pt idx="437">
                  <c:v>424.63675319849239</c:v>
                </c:pt>
                <c:pt idx="438">
                  <c:v>424.63675319849239</c:v>
                </c:pt>
                <c:pt idx="439">
                  <c:v>424.63675319849239</c:v>
                </c:pt>
                <c:pt idx="440">
                  <c:v>424.63675319849239</c:v>
                </c:pt>
                <c:pt idx="441">
                  <c:v>424.63675319849239</c:v>
                </c:pt>
                <c:pt idx="442">
                  <c:v>456.63675319849239</c:v>
                </c:pt>
                <c:pt idx="443">
                  <c:v>456.63675319849239</c:v>
                </c:pt>
                <c:pt idx="444">
                  <c:v>456.63675319849239</c:v>
                </c:pt>
                <c:pt idx="445">
                  <c:v>456.63675319849239</c:v>
                </c:pt>
                <c:pt idx="446">
                  <c:v>456.63675319849239</c:v>
                </c:pt>
                <c:pt idx="447">
                  <c:v>456.63675319849239</c:v>
                </c:pt>
                <c:pt idx="448">
                  <c:v>456.63675319849239</c:v>
                </c:pt>
                <c:pt idx="449">
                  <c:v>456.63675319849239</c:v>
                </c:pt>
                <c:pt idx="450">
                  <c:v>456.63675319849239</c:v>
                </c:pt>
                <c:pt idx="451">
                  <c:v>456.63675319849239</c:v>
                </c:pt>
                <c:pt idx="452">
                  <c:v>456.63675319849239</c:v>
                </c:pt>
                <c:pt idx="453">
                  <c:v>456.63675319849239</c:v>
                </c:pt>
                <c:pt idx="454">
                  <c:v>456.63675319849239</c:v>
                </c:pt>
                <c:pt idx="455">
                  <c:v>456.63675319849239</c:v>
                </c:pt>
                <c:pt idx="456">
                  <c:v>456.63675319849239</c:v>
                </c:pt>
                <c:pt idx="457">
                  <c:v>456.63675319849239</c:v>
                </c:pt>
                <c:pt idx="458">
                  <c:v>456.63675319849239</c:v>
                </c:pt>
                <c:pt idx="459">
                  <c:v>456.63675319849239</c:v>
                </c:pt>
                <c:pt idx="460">
                  <c:v>456.63675319849239</c:v>
                </c:pt>
                <c:pt idx="461">
                  <c:v>456.63675319849239</c:v>
                </c:pt>
                <c:pt idx="462">
                  <c:v>456.63675319849239</c:v>
                </c:pt>
                <c:pt idx="463">
                  <c:v>456.63675319849239</c:v>
                </c:pt>
                <c:pt idx="464">
                  <c:v>456.63675319849239</c:v>
                </c:pt>
                <c:pt idx="465">
                  <c:v>456.63675319849239</c:v>
                </c:pt>
                <c:pt idx="466">
                  <c:v>456.63675319849239</c:v>
                </c:pt>
                <c:pt idx="467">
                  <c:v>456.63675319849239</c:v>
                </c:pt>
                <c:pt idx="468">
                  <c:v>456.63675319849239</c:v>
                </c:pt>
                <c:pt idx="469">
                  <c:v>456.63675319849239</c:v>
                </c:pt>
                <c:pt idx="470">
                  <c:v>456.63675319849239</c:v>
                </c:pt>
                <c:pt idx="471">
                  <c:v>456.63675319849239</c:v>
                </c:pt>
                <c:pt idx="472">
                  <c:v>456.63675319849239</c:v>
                </c:pt>
                <c:pt idx="473">
                  <c:v>456.63675319849239</c:v>
                </c:pt>
                <c:pt idx="474">
                  <c:v>456.63675319849239</c:v>
                </c:pt>
                <c:pt idx="475">
                  <c:v>456.63675319849239</c:v>
                </c:pt>
                <c:pt idx="476">
                  <c:v>456.63675319849239</c:v>
                </c:pt>
                <c:pt idx="477">
                  <c:v>456.63675319849239</c:v>
                </c:pt>
                <c:pt idx="478">
                  <c:v>456.63675319849239</c:v>
                </c:pt>
                <c:pt idx="479">
                  <c:v>456.63675319849239</c:v>
                </c:pt>
                <c:pt idx="480">
                  <c:v>456.63675319849239</c:v>
                </c:pt>
                <c:pt idx="481">
                  <c:v>456.63675319849239</c:v>
                </c:pt>
                <c:pt idx="482">
                  <c:v>360.63675319849239</c:v>
                </c:pt>
                <c:pt idx="483">
                  <c:v>304.63675319849233</c:v>
                </c:pt>
                <c:pt idx="484">
                  <c:v>240.63675319849233</c:v>
                </c:pt>
                <c:pt idx="485">
                  <c:v>240.63675319849233</c:v>
                </c:pt>
                <c:pt idx="486">
                  <c:v>240.63675319849233</c:v>
                </c:pt>
                <c:pt idx="487">
                  <c:v>240.63675319849233</c:v>
                </c:pt>
                <c:pt idx="488">
                  <c:v>240.63675319849233</c:v>
                </c:pt>
                <c:pt idx="489">
                  <c:v>240.63675319849233</c:v>
                </c:pt>
                <c:pt idx="490">
                  <c:v>240.63675319849233</c:v>
                </c:pt>
                <c:pt idx="491">
                  <c:v>240.63675319849233</c:v>
                </c:pt>
                <c:pt idx="492">
                  <c:v>240.63675319849233</c:v>
                </c:pt>
                <c:pt idx="493">
                  <c:v>240.63675319849233</c:v>
                </c:pt>
                <c:pt idx="494">
                  <c:v>240.63675319849233</c:v>
                </c:pt>
                <c:pt idx="495">
                  <c:v>240.63675319849233</c:v>
                </c:pt>
                <c:pt idx="496">
                  <c:v>240.63675319849233</c:v>
                </c:pt>
                <c:pt idx="497">
                  <c:v>240.63675319849233</c:v>
                </c:pt>
                <c:pt idx="498">
                  <c:v>292.42896099070009</c:v>
                </c:pt>
                <c:pt idx="499">
                  <c:v>332.42896099070009</c:v>
                </c:pt>
                <c:pt idx="500">
                  <c:v>332.42896099070009</c:v>
                </c:pt>
                <c:pt idx="501">
                  <c:v>332.42896099070009</c:v>
                </c:pt>
                <c:pt idx="502">
                  <c:v>332.42896099070009</c:v>
                </c:pt>
                <c:pt idx="503">
                  <c:v>332.42896099070009</c:v>
                </c:pt>
                <c:pt idx="504">
                  <c:v>332.42896099070009</c:v>
                </c:pt>
                <c:pt idx="505">
                  <c:v>332.42896099070009</c:v>
                </c:pt>
                <c:pt idx="506">
                  <c:v>343.80468353405269</c:v>
                </c:pt>
                <c:pt idx="507">
                  <c:v>343.80468353405269</c:v>
                </c:pt>
                <c:pt idx="508">
                  <c:v>343.80468353405269</c:v>
                </c:pt>
                <c:pt idx="509">
                  <c:v>343.80468353405269</c:v>
                </c:pt>
                <c:pt idx="510">
                  <c:v>343.80468353405269</c:v>
                </c:pt>
                <c:pt idx="511">
                  <c:v>343.80468353405269</c:v>
                </c:pt>
                <c:pt idx="512">
                  <c:v>343.80468353405269</c:v>
                </c:pt>
                <c:pt idx="513">
                  <c:v>343.80468353405269</c:v>
                </c:pt>
                <c:pt idx="514">
                  <c:v>343.80468353405269</c:v>
                </c:pt>
                <c:pt idx="515">
                  <c:v>343.80468353405269</c:v>
                </c:pt>
                <c:pt idx="516">
                  <c:v>343.80468353405269</c:v>
                </c:pt>
                <c:pt idx="517">
                  <c:v>343.80468353405269</c:v>
                </c:pt>
                <c:pt idx="518">
                  <c:v>343.80468353405269</c:v>
                </c:pt>
                <c:pt idx="519">
                  <c:v>343.80468353405269</c:v>
                </c:pt>
                <c:pt idx="520">
                  <c:v>397.90578243515159</c:v>
                </c:pt>
                <c:pt idx="521">
                  <c:v>397.90578243515159</c:v>
                </c:pt>
                <c:pt idx="522">
                  <c:v>397.90578243515159</c:v>
                </c:pt>
                <c:pt idx="523">
                  <c:v>397.90578243515159</c:v>
                </c:pt>
                <c:pt idx="524">
                  <c:v>397.90578243515159</c:v>
                </c:pt>
                <c:pt idx="525">
                  <c:v>397.90578243515159</c:v>
                </c:pt>
                <c:pt idx="526">
                  <c:v>397.90578243515159</c:v>
                </c:pt>
                <c:pt idx="527">
                  <c:v>397.90578243515159</c:v>
                </c:pt>
                <c:pt idx="528">
                  <c:v>397.90578243515159</c:v>
                </c:pt>
                <c:pt idx="529">
                  <c:v>397.90578243515159</c:v>
                </c:pt>
                <c:pt idx="530">
                  <c:v>397.90578243515159</c:v>
                </c:pt>
                <c:pt idx="531">
                  <c:v>397.90578243515159</c:v>
                </c:pt>
                <c:pt idx="532">
                  <c:v>397.90578243515159</c:v>
                </c:pt>
                <c:pt idx="533">
                  <c:v>397.90578243515159</c:v>
                </c:pt>
                <c:pt idx="534">
                  <c:v>397.90578243515159</c:v>
                </c:pt>
                <c:pt idx="535">
                  <c:v>397.90578243515159</c:v>
                </c:pt>
                <c:pt idx="536">
                  <c:v>397.90578243515159</c:v>
                </c:pt>
                <c:pt idx="537">
                  <c:v>397.90578243515159</c:v>
                </c:pt>
                <c:pt idx="538">
                  <c:v>397.90578243515159</c:v>
                </c:pt>
                <c:pt idx="539">
                  <c:v>397.90578243515159</c:v>
                </c:pt>
                <c:pt idx="540">
                  <c:v>397.90578243515159</c:v>
                </c:pt>
                <c:pt idx="541">
                  <c:v>397.90578243515159</c:v>
                </c:pt>
                <c:pt idx="542">
                  <c:v>397.90578243515159</c:v>
                </c:pt>
                <c:pt idx="543">
                  <c:v>397.90578243515159</c:v>
                </c:pt>
                <c:pt idx="544">
                  <c:v>397.90578243515159</c:v>
                </c:pt>
                <c:pt idx="545">
                  <c:v>397.90578243515159</c:v>
                </c:pt>
                <c:pt idx="546">
                  <c:v>397.90578243515159</c:v>
                </c:pt>
                <c:pt idx="547">
                  <c:v>397.90578243515159</c:v>
                </c:pt>
                <c:pt idx="548">
                  <c:v>397.90578243515159</c:v>
                </c:pt>
                <c:pt idx="549">
                  <c:v>397.90578243515159</c:v>
                </c:pt>
                <c:pt idx="550">
                  <c:v>397.90578243515159</c:v>
                </c:pt>
                <c:pt idx="551">
                  <c:v>397.90578243515159</c:v>
                </c:pt>
                <c:pt idx="552">
                  <c:v>397.90578243515159</c:v>
                </c:pt>
                <c:pt idx="553">
                  <c:v>397.90578243515159</c:v>
                </c:pt>
                <c:pt idx="554">
                  <c:v>397.90578243515159</c:v>
                </c:pt>
                <c:pt idx="555">
                  <c:v>369.34537697889471</c:v>
                </c:pt>
                <c:pt idx="556">
                  <c:v>397.90578243515159</c:v>
                </c:pt>
                <c:pt idx="557">
                  <c:v>397.90578243515159</c:v>
                </c:pt>
                <c:pt idx="558">
                  <c:v>397.90578243515159</c:v>
                </c:pt>
                <c:pt idx="559">
                  <c:v>397.90578243515159</c:v>
                </c:pt>
                <c:pt idx="560">
                  <c:v>397.90578243515159</c:v>
                </c:pt>
                <c:pt idx="561">
                  <c:v>367.96638849575766</c:v>
                </c:pt>
                <c:pt idx="562">
                  <c:v>367.96638849575766</c:v>
                </c:pt>
                <c:pt idx="563">
                  <c:v>367.96638849575766</c:v>
                </c:pt>
                <c:pt idx="564">
                  <c:v>375.0774996068688</c:v>
                </c:pt>
                <c:pt idx="565">
                  <c:v>375.0774996068688</c:v>
                </c:pt>
                <c:pt idx="566">
                  <c:v>375.0774996068688</c:v>
                </c:pt>
                <c:pt idx="567">
                  <c:v>393.36321389258308</c:v>
                </c:pt>
                <c:pt idx="568">
                  <c:v>396.72999236351012</c:v>
                </c:pt>
                <c:pt idx="569">
                  <c:v>411.82475235412153</c:v>
                </c:pt>
                <c:pt idx="570">
                  <c:v>418.22475235412151</c:v>
                </c:pt>
                <c:pt idx="571">
                  <c:v>396.72999236351012</c:v>
                </c:pt>
                <c:pt idx="572">
                  <c:v>418.22475235412151</c:v>
                </c:pt>
                <c:pt idx="573">
                  <c:v>418.22475235412151</c:v>
                </c:pt>
                <c:pt idx="574">
                  <c:v>418.22475235412151</c:v>
                </c:pt>
                <c:pt idx="575">
                  <c:v>396.72999236351012</c:v>
                </c:pt>
                <c:pt idx="576">
                  <c:v>369.34537697889471</c:v>
                </c:pt>
                <c:pt idx="577">
                  <c:v>418.22475235412151</c:v>
                </c:pt>
                <c:pt idx="578">
                  <c:v>418.22475235412151</c:v>
                </c:pt>
                <c:pt idx="579">
                  <c:v>418.22475235412151</c:v>
                </c:pt>
                <c:pt idx="580">
                  <c:v>418.22475235412151</c:v>
                </c:pt>
                <c:pt idx="581">
                  <c:v>418.22475235412151</c:v>
                </c:pt>
                <c:pt idx="582">
                  <c:v>418.22475235412151</c:v>
                </c:pt>
                <c:pt idx="583">
                  <c:v>418.22475235412151</c:v>
                </c:pt>
                <c:pt idx="584">
                  <c:v>418.22475235412151</c:v>
                </c:pt>
                <c:pt idx="585">
                  <c:v>418.22475235412151</c:v>
                </c:pt>
                <c:pt idx="586">
                  <c:v>418.22475235412151</c:v>
                </c:pt>
                <c:pt idx="587">
                  <c:v>418.22475235412151</c:v>
                </c:pt>
                <c:pt idx="588">
                  <c:v>418.22475235412151</c:v>
                </c:pt>
                <c:pt idx="589">
                  <c:v>418.22475235412151</c:v>
                </c:pt>
                <c:pt idx="590">
                  <c:v>418.22475235412151</c:v>
                </c:pt>
                <c:pt idx="591">
                  <c:v>418.22475235412151</c:v>
                </c:pt>
                <c:pt idx="592">
                  <c:v>418.22475235412151</c:v>
                </c:pt>
                <c:pt idx="593">
                  <c:v>418.22475235412151</c:v>
                </c:pt>
                <c:pt idx="594">
                  <c:v>418.22475235412151</c:v>
                </c:pt>
                <c:pt idx="595">
                  <c:v>418.22475235412151</c:v>
                </c:pt>
                <c:pt idx="596">
                  <c:v>418.22475235412151</c:v>
                </c:pt>
                <c:pt idx="597">
                  <c:v>418.22475235412151</c:v>
                </c:pt>
                <c:pt idx="598">
                  <c:v>418.22475235412151</c:v>
                </c:pt>
                <c:pt idx="599">
                  <c:v>418.22475235412151</c:v>
                </c:pt>
                <c:pt idx="600">
                  <c:v>418.22475235412151</c:v>
                </c:pt>
                <c:pt idx="601">
                  <c:v>418.22475235412151</c:v>
                </c:pt>
                <c:pt idx="602">
                  <c:v>418.22475235412151</c:v>
                </c:pt>
                <c:pt idx="603">
                  <c:v>418.22475235412151</c:v>
                </c:pt>
                <c:pt idx="604">
                  <c:v>418.22475235412151</c:v>
                </c:pt>
                <c:pt idx="605">
                  <c:v>418.22475235412151</c:v>
                </c:pt>
                <c:pt idx="606">
                  <c:v>418.22475235412151</c:v>
                </c:pt>
                <c:pt idx="607">
                  <c:v>418.22475235412151</c:v>
                </c:pt>
                <c:pt idx="608">
                  <c:v>418.22475235412151</c:v>
                </c:pt>
                <c:pt idx="609">
                  <c:v>418.22475235412151</c:v>
                </c:pt>
                <c:pt idx="610">
                  <c:v>418.22475235412151</c:v>
                </c:pt>
                <c:pt idx="611">
                  <c:v>418.22475235412151</c:v>
                </c:pt>
                <c:pt idx="612">
                  <c:v>418.22475235412151</c:v>
                </c:pt>
                <c:pt idx="613">
                  <c:v>418.22475235412151</c:v>
                </c:pt>
                <c:pt idx="614">
                  <c:v>418.22475235412151</c:v>
                </c:pt>
                <c:pt idx="615">
                  <c:v>418.22475235412151</c:v>
                </c:pt>
                <c:pt idx="616">
                  <c:v>418.22475235412151</c:v>
                </c:pt>
                <c:pt idx="617">
                  <c:v>418.22475235412151</c:v>
                </c:pt>
                <c:pt idx="618">
                  <c:v>418.22475235412151</c:v>
                </c:pt>
                <c:pt idx="619">
                  <c:v>418.22475235412151</c:v>
                </c:pt>
                <c:pt idx="620">
                  <c:v>396.72999236351012</c:v>
                </c:pt>
                <c:pt idx="621">
                  <c:v>418.22475235412151</c:v>
                </c:pt>
                <c:pt idx="622">
                  <c:v>418.22475235412151</c:v>
                </c:pt>
                <c:pt idx="623">
                  <c:v>418.22475235412151</c:v>
                </c:pt>
                <c:pt idx="624">
                  <c:v>418.22475235412151</c:v>
                </c:pt>
                <c:pt idx="625">
                  <c:v>418.22475235412151</c:v>
                </c:pt>
                <c:pt idx="626">
                  <c:v>418.22475235412151</c:v>
                </c:pt>
                <c:pt idx="627">
                  <c:v>396.72999236351012</c:v>
                </c:pt>
                <c:pt idx="628">
                  <c:v>436.00253013189928</c:v>
                </c:pt>
                <c:pt idx="629">
                  <c:v>436.00253013189928</c:v>
                </c:pt>
                <c:pt idx="630">
                  <c:v>436.00253013189928</c:v>
                </c:pt>
                <c:pt idx="631">
                  <c:v>436.00253013189928</c:v>
                </c:pt>
                <c:pt idx="632">
                  <c:v>436.00253013189928</c:v>
                </c:pt>
                <c:pt idx="633">
                  <c:v>436.00253013189928</c:v>
                </c:pt>
                <c:pt idx="634">
                  <c:v>436.00253013189928</c:v>
                </c:pt>
                <c:pt idx="635">
                  <c:v>436.00253013189928</c:v>
                </c:pt>
                <c:pt idx="636">
                  <c:v>436.00253013189928</c:v>
                </c:pt>
                <c:pt idx="637">
                  <c:v>436.00253013189928</c:v>
                </c:pt>
                <c:pt idx="638">
                  <c:v>436.00253013189928</c:v>
                </c:pt>
                <c:pt idx="639">
                  <c:v>396.72999236351012</c:v>
                </c:pt>
                <c:pt idx="640">
                  <c:v>425.28253013189931</c:v>
                </c:pt>
                <c:pt idx="641">
                  <c:v>425.28253013189931</c:v>
                </c:pt>
                <c:pt idx="642">
                  <c:v>396.72999236351012</c:v>
                </c:pt>
                <c:pt idx="643">
                  <c:v>425.28253013189931</c:v>
                </c:pt>
                <c:pt idx="644">
                  <c:v>425.28253013189931</c:v>
                </c:pt>
                <c:pt idx="645">
                  <c:v>462.72914667325267</c:v>
                </c:pt>
                <c:pt idx="646">
                  <c:v>425.28253013189931</c:v>
                </c:pt>
                <c:pt idx="647">
                  <c:v>462.72914667325267</c:v>
                </c:pt>
                <c:pt idx="648">
                  <c:v>436.93967298904215</c:v>
                </c:pt>
                <c:pt idx="649">
                  <c:v>436.93967298904215</c:v>
                </c:pt>
                <c:pt idx="650">
                  <c:v>436.93967298904215</c:v>
                </c:pt>
                <c:pt idx="651">
                  <c:v>436.93967298904215</c:v>
                </c:pt>
                <c:pt idx="652">
                  <c:v>436.93967298904215</c:v>
                </c:pt>
                <c:pt idx="653">
                  <c:v>436.93967298904215</c:v>
                </c:pt>
                <c:pt idx="654">
                  <c:v>436.93967298904215</c:v>
                </c:pt>
                <c:pt idx="655">
                  <c:v>436.93967298904215</c:v>
                </c:pt>
                <c:pt idx="656">
                  <c:v>436.93967298904215</c:v>
                </c:pt>
                <c:pt idx="657">
                  <c:v>436.93967298904215</c:v>
                </c:pt>
                <c:pt idx="658">
                  <c:v>436.93967298904215</c:v>
                </c:pt>
                <c:pt idx="659">
                  <c:v>436.93967298904215</c:v>
                </c:pt>
                <c:pt idx="660">
                  <c:v>436.93967298904215</c:v>
                </c:pt>
                <c:pt idx="661">
                  <c:v>436.93967298904215</c:v>
                </c:pt>
                <c:pt idx="662">
                  <c:v>436.93967298904215</c:v>
                </c:pt>
                <c:pt idx="663">
                  <c:v>436.93967298904215</c:v>
                </c:pt>
                <c:pt idx="664">
                  <c:v>436.93967298904215</c:v>
                </c:pt>
                <c:pt idx="665">
                  <c:v>436.93967298904215</c:v>
                </c:pt>
                <c:pt idx="666">
                  <c:v>462.72914667325267</c:v>
                </c:pt>
                <c:pt idx="667">
                  <c:v>408.72914667325267</c:v>
                </c:pt>
                <c:pt idx="668">
                  <c:v>408.72914667325267</c:v>
                </c:pt>
                <c:pt idx="669">
                  <c:v>408.72914667325267</c:v>
                </c:pt>
                <c:pt idx="670">
                  <c:v>416.72914667325267</c:v>
                </c:pt>
                <c:pt idx="671">
                  <c:v>366.00914667325264</c:v>
                </c:pt>
                <c:pt idx="672">
                  <c:v>366.00914667325264</c:v>
                </c:pt>
                <c:pt idx="673">
                  <c:v>382.80914667325266</c:v>
                </c:pt>
                <c:pt idx="674">
                  <c:v>416.72914667325267</c:v>
                </c:pt>
                <c:pt idx="675">
                  <c:v>382.80914667325266</c:v>
                </c:pt>
                <c:pt idx="676">
                  <c:v>382.80914667325266</c:v>
                </c:pt>
                <c:pt idx="677">
                  <c:v>382.80914667325266</c:v>
                </c:pt>
                <c:pt idx="678">
                  <c:v>382.80914667325266</c:v>
                </c:pt>
                <c:pt idx="679">
                  <c:v>382.80914667325266</c:v>
                </c:pt>
                <c:pt idx="680">
                  <c:v>382.80914667325266</c:v>
                </c:pt>
                <c:pt idx="681">
                  <c:v>382.80914667325266</c:v>
                </c:pt>
                <c:pt idx="682">
                  <c:v>382.80914667325266</c:v>
                </c:pt>
                <c:pt idx="683">
                  <c:v>400.72914667325267</c:v>
                </c:pt>
                <c:pt idx="684">
                  <c:v>382.80914667325266</c:v>
                </c:pt>
                <c:pt idx="685">
                  <c:v>382.80914667325266</c:v>
                </c:pt>
                <c:pt idx="686">
                  <c:v>382.80914667325266</c:v>
                </c:pt>
                <c:pt idx="687">
                  <c:v>382.80914667325266</c:v>
                </c:pt>
                <c:pt idx="688">
                  <c:v>382.80914667325266</c:v>
                </c:pt>
                <c:pt idx="689">
                  <c:v>382.80914667325266</c:v>
                </c:pt>
                <c:pt idx="690">
                  <c:v>382.80914667325266</c:v>
                </c:pt>
                <c:pt idx="691">
                  <c:v>382.80914667325266</c:v>
                </c:pt>
                <c:pt idx="692">
                  <c:v>382.80914667325266</c:v>
                </c:pt>
                <c:pt idx="693">
                  <c:v>382.80914667325266</c:v>
                </c:pt>
                <c:pt idx="694">
                  <c:v>382.80914667325266</c:v>
                </c:pt>
                <c:pt idx="695">
                  <c:v>382.80914667325266</c:v>
                </c:pt>
                <c:pt idx="696">
                  <c:v>400.72914667325267</c:v>
                </c:pt>
                <c:pt idx="697">
                  <c:v>400.72914667325267</c:v>
                </c:pt>
                <c:pt idx="698">
                  <c:v>400.72914667325267</c:v>
                </c:pt>
                <c:pt idx="699">
                  <c:v>400.72914667325267</c:v>
                </c:pt>
                <c:pt idx="700">
                  <c:v>400.72914667325267</c:v>
                </c:pt>
                <c:pt idx="701">
                  <c:v>416.72914667325267</c:v>
                </c:pt>
                <c:pt idx="702">
                  <c:v>462.72914667325267</c:v>
                </c:pt>
                <c:pt idx="703">
                  <c:v>416.72914667325267</c:v>
                </c:pt>
                <c:pt idx="704">
                  <c:v>416.72914667325267</c:v>
                </c:pt>
                <c:pt idx="705">
                  <c:v>416.72914667325267</c:v>
                </c:pt>
                <c:pt idx="706">
                  <c:v>416.72914667325267</c:v>
                </c:pt>
                <c:pt idx="707">
                  <c:v>416.72914667325267</c:v>
                </c:pt>
                <c:pt idx="708">
                  <c:v>416.72914667325267</c:v>
                </c:pt>
                <c:pt idx="709">
                  <c:v>416.72914667325267</c:v>
                </c:pt>
                <c:pt idx="710">
                  <c:v>416.72914667325267</c:v>
                </c:pt>
                <c:pt idx="711">
                  <c:v>462.72914667325267</c:v>
                </c:pt>
                <c:pt idx="712">
                  <c:v>416.72914667325267</c:v>
                </c:pt>
                <c:pt idx="713">
                  <c:v>416.72914667325267</c:v>
                </c:pt>
                <c:pt idx="714">
                  <c:v>462.72914667325267</c:v>
                </c:pt>
                <c:pt idx="715">
                  <c:v>462.72914667325267</c:v>
                </c:pt>
                <c:pt idx="716">
                  <c:v>416.72914667325267</c:v>
                </c:pt>
                <c:pt idx="717">
                  <c:v>416.72914667325267</c:v>
                </c:pt>
                <c:pt idx="718">
                  <c:v>462.72914667325267</c:v>
                </c:pt>
                <c:pt idx="719">
                  <c:v>416.72914667325267</c:v>
                </c:pt>
                <c:pt idx="720">
                  <c:v>416.72914667325267</c:v>
                </c:pt>
                <c:pt idx="721">
                  <c:v>446.72914667325267</c:v>
                </c:pt>
                <c:pt idx="722">
                  <c:v>462.72914667325267</c:v>
                </c:pt>
                <c:pt idx="723">
                  <c:v>462.72914667325267</c:v>
                </c:pt>
                <c:pt idx="724">
                  <c:v>462.72914667325267</c:v>
                </c:pt>
                <c:pt idx="725">
                  <c:v>462.72914667325267</c:v>
                </c:pt>
                <c:pt idx="726">
                  <c:v>462.72914667325267</c:v>
                </c:pt>
                <c:pt idx="727">
                  <c:v>462.72914667325267</c:v>
                </c:pt>
                <c:pt idx="728">
                  <c:v>462.72914667325267</c:v>
                </c:pt>
                <c:pt idx="729">
                  <c:v>462.72914667325267</c:v>
                </c:pt>
                <c:pt idx="730">
                  <c:v>462.72914667325267</c:v>
                </c:pt>
                <c:pt idx="731">
                  <c:v>396.72999236351012</c:v>
                </c:pt>
                <c:pt idx="732">
                  <c:v>383.04019562430165</c:v>
                </c:pt>
                <c:pt idx="733">
                  <c:v>462.72914667325267</c:v>
                </c:pt>
                <c:pt idx="734">
                  <c:v>462.72914667325267</c:v>
                </c:pt>
                <c:pt idx="735">
                  <c:v>462.72914667325267</c:v>
                </c:pt>
                <c:pt idx="736">
                  <c:v>462.72914667325267</c:v>
                </c:pt>
                <c:pt idx="737">
                  <c:v>462.72914667325267</c:v>
                </c:pt>
                <c:pt idx="738">
                  <c:v>383.04019562430165</c:v>
                </c:pt>
                <c:pt idx="739">
                  <c:v>462.72914667325267</c:v>
                </c:pt>
                <c:pt idx="740">
                  <c:v>462.72914667325267</c:v>
                </c:pt>
                <c:pt idx="741">
                  <c:v>462.72914667325267</c:v>
                </c:pt>
                <c:pt idx="742">
                  <c:v>462.72914667325267</c:v>
                </c:pt>
                <c:pt idx="743">
                  <c:v>462.72914667325267</c:v>
                </c:pt>
                <c:pt idx="744">
                  <c:v>462.72914667325267</c:v>
                </c:pt>
                <c:pt idx="745">
                  <c:v>462.72914667325267</c:v>
                </c:pt>
                <c:pt idx="746">
                  <c:v>462.72914667325267</c:v>
                </c:pt>
                <c:pt idx="747">
                  <c:v>462.72914667325267</c:v>
                </c:pt>
                <c:pt idx="748">
                  <c:v>462.72914667325267</c:v>
                </c:pt>
                <c:pt idx="749">
                  <c:v>462.72914667325267</c:v>
                </c:pt>
                <c:pt idx="750">
                  <c:v>462.72914667325267</c:v>
                </c:pt>
                <c:pt idx="751">
                  <c:v>462.72914667325267</c:v>
                </c:pt>
                <c:pt idx="752">
                  <c:v>462.72914667325267</c:v>
                </c:pt>
                <c:pt idx="753">
                  <c:v>462.72914667325267</c:v>
                </c:pt>
                <c:pt idx="754">
                  <c:v>462.72914667325267</c:v>
                </c:pt>
                <c:pt idx="755">
                  <c:v>462.72914667325267</c:v>
                </c:pt>
                <c:pt idx="756">
                  <c:v>462.72914667325267</c:v>
                </c:pt>
                <c:pt idx="757">
                  <c:v>462.72914667325267</c:v>
                </c:pt>
                <c:pt idx="758">
                  <c:v>462.72914667325267</c:v>
                </c:pt>
                <c:pt idx="759">
                  <c:v>462.72914667325267</c:v>
                </c:pt>
                <c:pt idx="760">
                  <c:v>462.72914667325267</c:v>
                </c:pt>
                <c:pt idx="761">
                  <c:v>462.72914667325267</c:v>
                </c:pt>
                <c:pt idx="762">
                  <c:v>493.65837744248347</c:v>
                </c:pt>
                <c:pt idx="763">
                  <c:v>462.72914667325267</c:v>
                </c:pt>
                <c:pt idx="764">
                  <c:v>462.72914667325267</c:v>
                </c:pt>
                <c:pt idx="765">
                  <c:v>462.72914667325267</c:v>
                </c:pt>
                <c:pt idx="766">
                  <c:v>478.72914667325267</c:v>
                </c:pt>
                <c:pt idx="767">
                  <c:v>478.72914667325267</c:v>
                </c:pt>
                <c:pt idx="768">
                  <c:v>478.72914667325267</c:v>
                </c:pt>
                <c:pt idx="769">
                  <c:v>474.29837744248346</c:v>
                </c:pt>
                <c:pt idx="770">
                  <c:v>477.49837744248345</c:v>
                </c:pt>
                <c:pt idx="771">
                  <c:v>477.49837744248345</c:v>
                </c:pt>
                <c:pt idx="772">
                  <c:v>477.49837744248345</c:v>
                </c:pt>
                <c:pt idx="773">
                  <c:v>477.49837744248345</c:v>
                </c:pt>
                <c:pt idx="774">
                  <c:v>493.65837744248347</c:v>
                </c:pt>
                <c:pt idx="775">
                  <c:v>477.65837744248347</c:v>
                </c:pt>
                <c:pt idx="776">
                  <c:v>493.65837744248347</c:v>
                </c:pt>
                <c:pt idx="777">
                  <c:v>493.65837744248347</c:v>
                </c:pt>
                <c:pt idx="778">
                  <c:v>493.65837744248347</c:v>
                </c:pt>
                <c:pt idx="779">
                  <c:v>493.65837744248347</c:v>
                </c:pt>
                <c:pt idx="780">
                  <c:v>493.65837744248347</c:v>
                </c:pt>
                <c:pt idx="781">
                  <c:v>493.65837744248347</c:v>
                </c:pt>
                <c:pt idx="782">
                  <c:v>493.65837744248347</c:v>
                </c:pt>
                <c:pt idx="783">
                  <c:v>493.65837744248347</c:v>
                </c:pt>
                <c:pt idx="784">
                  <c:v>493.65837744248347</c:v>
                </c:pt>
                <c:pt idx="785">
                  <c:v>477.65837744248347</c:v>
                </c:pt>
                <c:pt idx="786">
                  <c:v>493.65837744248347</c:v>
                </c:pt>
                <c:pt idx="787">
                  <c:v>477.65837744248347</c:v>
                </c:pt>
                <c:pt idx="788">
                  <c:v>477.65837744248347</c:v>
                </c:pt>
                <c:pt idx="789">
                  <c:v>477.65837744248347</c:v>
                </c:pt>
                <c:pt idx="790">
                  <c:v>477.65837744248347</c:v>
                </c:pt>
                <c:pt idx="791">
                  <c:v>477.65837744248347</c:v>
                </c:pt>
                <c:pt idx="792">
                  <c:v>477.65837744248347</c:v>
                </c:pt>
                <c:pt idx="793">
                  <c:v>477.65837744248347</c:v>
                </c:pt>
                <c:pt idx="794">
                  <c:v>477.65837744248347</c:v>
                </c:pt>
                <c:pt idx="795">
                  <c:v>488.85837744248346</c:v>
                </c:pt>
                <c:pt idx="796">
                  <c:v>477.65837744248347</c:v>
                </c:pt>
                <c:pt idx="797">
                  <c:v>477.65837744248347</c:v>
                </c:pt>
                <c:pt idx="798">
                  <c:v>488.85837744248346</c:v>
                </c:pt>
                <c:pt idx="799">
                  <c:v>477.65837744248347</c:v>
                </c:pt>
                <c:pt idx="800">
                  <c:v>477.65837744248347</c:v>
                </c:pt>
                <c:pt idx="801">
                  <c:v>493.65837744248347</c:v>
                </c:pt>
                <c:pt idx="802">
                  <c:v>488.85837744248346</c:v>
                </c:pt>
                <c:pt idx="803">
                  <c:v>493.65837744248347</c:v>
                </c:pt>
                <c:pt idx="804">
                  <c:v>493.65837744248347</c:v>
                </c:pt>
                <c:pt idx="805">
                  <c:v>493.65837744248347</c:v>
                </c:pt>
                <c:pt idx="806">
                  <c:v>493.65837744248347</c:v>
                </c:pt>
                <c:pt idx="807">
                  <c:v>493.65837744248347</c:v>
                </c:pt>
                <c:pt idx="808">
                  <c:v>493.65837744248347</c:v>
                </c:pt>
                <c:pt idx="809">
                  <c:v>493.65837744248347</c:v>
                </c:pt>
                <c:pt idx="810">
                  <c:v>493.65837744248347</c:v>
                </c:pt>
                <c:pt idx="811">
                  <c:v>493.65837744248347</c:v>
                </c:pt>
                <c:pt idx="812">
                  <c:v>493.65837744248347</c:v>
                </c:pt>
                <c:pt idx="813">
                  <c:v>488.85837744248346</c:v>
                </c:pt>
                <c:pt idx="814">
                  <c:v>383.04019562430165</c:v>
                </c:pt>
                <c:pt idx="815">
                  <c:v>493.65837744248347</c:v>
                </c:pt>
                <c:pt idx="816">
                  <c:v>493.65837744248347</c:v>
                </c:pt>
                <c:pt idx="817">
                  <c:v>488.85837744248346</c:v>
                </c:pt>
                <c:pt idx="818">
                  <c:v>493.65837744248347</c:v>
                </c:pt>
                <c:pt idx="819">
                  <c:v>493.65837744248347</c:v>
                </c:pt>
                <c:pt idx="820">
                  <c:v>493.65837744248347</c:v>
                </c:pt>
                <c:pt idx="821">
                  <c:v>493.65837744248347</c:v>
                </c:pt>
                <c:pt idx="822">
                  <c:v>488.85837744248346</c:v>
                </c:pt>
                <c:pt idx="823">
                  <c:v>383.04019562430165</c:v>
                </c:pt>
                <c:pt idx="824">
                  <c:v>488.85837744248346</c:v>
                </c:pt>
                <c:pt idx="825">
                  <c:v>488.85837744248346</c:v>
                </c:pt>
                <c:pt idx="826">
                  <c:v>488.85837744248346</c:v>
                </c:pt>
                <c:pt idx="827">
                  <c:v>383.04019562430165</c:v>
                </c:pt>
                <c:pt idx="828">
                  <c:v>383.04019562430165</c:v>
                </c:pt>
                <c:pt idx="829">
                  <c:v>488.85837744248346</c:v>
                </c:pt>
                <c:pt idx="830">
                  <c:v>488.85837744248346</c:v>
                </c:pt>
                <c:pt idx="831">
                  <c:v>440.85837744248346</c:v>
                </c:pt>
                <c:pt idx="832">
                  <c:v>389.44019562430162</c:v>
                </c:pt>
                <c:pt idx="833">
                  <c:v>389.44019562430162</c:v>
                </c:pt>
                <c:pt idx="834">
                  <c:v>383.04019562430165</c:v>
                </c:pt>
                <c:pt idx="835">
                  <c:v>383.04019562430165</c:v>
                </c:pt>
                <c:pt idx="836">
                  <c:v>389.44019562430162</c:v>
                </c:pt>
                <c:pt idx="837">
                  <c:v>383.04019562430165</c:v>
                </c:pt>
                <c:pt idx="838">
                  <c:v>383.04019562430165</c:v>
                </c:pt>
                <c:pt idx="839">
                  <c:v>389.44019562430162</c:v>
                </c:pt>
                <c:pt idx="840">
                  <c:v>389.44019562430162</c:v>
                </c:pt>
                <c:pt idx="841">
                  <c:v>389.44019562430162</c:v>
                </c:pt>
                <c:pt idx="842">
                  <c:v>389.44019562430162</c:v>
                </c:pt>
                <c:pt idx="843">
                  <c:v>389.44019562430162</c:v>
                </c:pt>
                <c:pt idx="844">
                  <c:v>389.44019562430162</c:v>
                </c:pt>
                <c:pt idx="845">
                  <c:v>389.44019562430162</c:v>
                </c:pt>
                <c:pt idx="846">
                  <c:v>383.04019562430165</c:v>
                </c:pt>
                <c:pt idx="847">
                  <c:v>389.44019562430162</c:v>
                </c:pt>
                <c:pt idx="848">
                  <c:v>389.44019562430162</c:v>
                </c:pt>
                <c:pt idx="849">
                  <c:v>389.44019562430162</c:v>
                </c:pt>
                <c:pt idx="850">
                  <c:v>383.04019562430165</c:v>
                </c:pt>
                <c:pt idx="851">
                  <c:v>389.44019562430162</c:v>
                </c:pt>
                <c:pt idx="852">
                  <c:v>389.44019562430162</c:v>
                </c:pt>
                <c:pt idx="853">
                  <c:v>389.44019562430162</c:v>
                </c:pt>
                <c:pt idx="854">
                  <c:v>389.44019562430162</c:v>
                </c:pt>
                <c:pt idx="855">
                  <c:v>389.44019562430162</c:v>
                </c:pt>
                <c:pt idx="856">
                  <c:v>389.44019562430162</c:v>
                </c:pt>
                <c:pt idx="857">
                  <c:v>389.44019562430162</c:v>
                </c:pt>
                <c:pt idx="858">
                  <c:v>389.44019562430162</c:v>
                </c:pt>
                <c:pt idx="859">
                  <c:v>389.44019562430162</c:v>
                </c:pt>
                <c:pt idx="860">
                  <c:v>389.44019562430162</c:v>
                </c:pt>
                <c:pt idx="861">
                  <c:v>389.44019562430162</c:v>
                </c:pt>
                <c:pt idx="862">
                  <c:v>383.04019562430165</c:v>
                </c:pt>
                <c:pt idx="863">
                  <c:v>383.04019562430165</c:v>
                </c:pt>
                <c:pt idx="864">
                  <c:v>389.44019562430162</c:v>
                </c:pt>
                <c:pt idx="865">
                  <c:v>389.44019562430162</c:v>
                </c:pt>
                <c:pt idx="866">
                  <c:v>389.44019562430162</c:v>
                </c:pt>
                <c:pt idx="867">
                  <c:v>383.04019562430165</c:v>
                </c:pt>
                <c:pt idx="868">
                  <c:v>383.04019562430165</c:v>
                </c:pt>
                <c:pt idx="869">
                  <c:v>383.04019562430165</c:v>
                </c:pt>
                <c:pt idx="870">
                  <c:v>383.04019562430165</c:v>
                </c:pt>
                <c:pt idx="871">
                  <c:v>383.04019562430165</c:v>
                </c:pt>
                <c:pt idx="872">
                  <c:v>383.04019562430165</c:v>
                </c:pt>
                <c:pt idx="873">
                  <c:v>383.04019562430165</c:v>
                </c:pt>
                <c:pt idx="874">
                  <c:v>383.04019562430165</c:v>
                </c:pt>
                <c:pt idx="875">
                  <c:v>383.04019562430165</c:v>
                </c:pt>
                <c:pt idx="876">
                  <c:v>383.04019562430165</c:v>
                </c:pt>
                <c:pt idx="877">
                  <c:v>383.04019562430165</c:v>
                </c:pt>
                <c:pt idx="878">
                  <c:v>383.04019562430165</c:v>
                </c:pt>
                <c:pt idx="879">
                  <c:v>383.04019562430165</c:v>
                </c:pt>
                <c:pt idx="880">
                  <c:v>383.04019562430165</c:v>
                </c:pt>
                <c:pt idx="881">
                  <c:v>383.04019562430165</c:v>
                </c:pt>
                <c:pt idx="882">
                  <c:v>383.04019562430165</c:v>
                </c:pt>
                <c:pt idx="883">
                  <c:v>383.04019562430165</c:v>
                </c:pt>
                <c:pt idx="884">
                  <c:v>383.04019562430165</c:v>
                </c:pt>
                <c:pt idx="885">
                  <c:v>383.04019562430165</c:v>
                </c:pt>
                <c:pt idx="886">
                  <c:v>383.04019562430165</c:v>
                </c:pt>
                <c:pt idx="887">
                  <c:v>383.04019562430165</c:v>
                </c:pt>
                <c:pt idx="888">
                  <c:v>0.21468701445796326</c:v>
                </c:pt>
                <c:pt idx="889">
                  <c:v>383.04019562430165</c:v>
                </c:pt>
                <c:pt idx="890">
                  <c:v>383.04019562430165</c:v>
                </c:pt>
                <c:pt idx="891">
                  <c:v>383.04019562430165</c:v>
                </c:pt>
                <c:pt idx="892">
                  <c:v>383.04019562430165</c:v>
                </c:pt>
                <c:pt idx="893">
                  <c:v>383.04019562430165</c:v>
                </c:pt>
                <c:pt idx="894">
                  <c:v>383.04019562430165</c:v>
                </c:pt>
                <c:pt idx="895">
                  <c:v>383.04019562430165</c:v>
                </c:pt>
                <c:pt idx="896">
                  <c:v>383.04019562430165</c:v>
                </c:pt>
                <c:pt idx="897">
                  <c:v>383.04019562430165</c:v>
                </c:pt>
                <c:pt idx="898">
                  <c:v>383.04019562430165</c:v>
                </c:pt>
                <c:pt idx="899">
                  <c:v>383.04019562430165</c:v>
                </c:pt>
                <c:pt idx="900">
                  <c:v>383.04019562430165</c:v>
                </c:pt>
                <c:pt idx="901">
                  <c:v>383.04019562430165</c:v>
                </c:pt>
                <c:pt idx="902">
                  <c:v>399.04019562430165</c:v>
                </c:pt>
                <c:pt idx="903">
                  <c:v>383.04019562430165</c:v>
                </c:pt>
                <c:pt idx="904">
                  <c:v>383.04019562430165</c:v>
                </c:pt>
                <c:pt idx="905">
                  <c:v>383.04019562430165</c:v>
                </c:pt>
                <c:pt idx="906">
                  <c:v>383.04019562430165</c:v>
                </c:pt>
                <c:pt idx="907">
                  <c:v>383.04019562430165</c:v>
                </c:pt>
                <c:pt idx="908">
                  <c:v>383.04019562430165</c:v>
                </c:pt>
                <c:pt idx="909">
                  <c:v>383.04019562430165</c:v>
                </c:pt>
                <c:pt idx="910">
                  <c:v>383.04019562430165</c:v>
                </c:pt>
                <c:pt idx="911">
                  <c:v>383.04019562430165</c:v>
                </c:pt>
                <c:pt idx="912">
                  <c:v>399.04019562430165</c:v>
                </c:pt>
                <c:pt idx="913">
                  <c:v>383.04019562430165</c:v>
                </c:pt>
                <c:pt idx="914">
                  <c:v>383.04019562430165</c:v>
                </c:pt>
                <c:pt idx="915">
                  <c:v>383.04019562430165</c:v>
                </c:pt>
                <c:pt idx="916">
                  <c:v>383.04019562430165</c:v>
                </c:pt>
                <c:pt idx="917">
                  <c:v>383.04019562430165</c:v>
                </c:pt>
                <c:pt idx="918">
                  <c:v>383.04019562430165</c:v>
                </c:pt>
                <c:pt idx="919">
                  <c:v>383.04019562430165</c:v>
                </c:pt>
                <c:pt idx="920">
                  <c:v>399.04019562430165</c:v>
                </c:pt>
                <c:pt idx="921">
                  <c:v>399.04019562430165</c:v>
                </c:pt>
                <c:pt idx="922">
                  <c:v>399.04019562430165</c:v>
                </c:pt>
                <c:pt idx="923">
                  <c:v>399.04019562430165</c:v>
                </c:pt>
                <c:pt idx="924">
                  <c:v>399.04019562430165</c:v>
                </c:pt>
                <c:pt idx="925">
                  <c:v>399.04019562430165</c:v>
                </c:pt>
                <c:pt idx="926">
                  <c:v>399.04019562430165</c:v>
                </c:pt>
                <c:pt idx="927">
                  <c:v>399.04019562430165</c:v>
                </c:pt>
                <c:pt idx="928">
                  <c:v>399.04019562430165</c:v>
                </c:pt>
                <c:pt idx="929">
                  <c:v>399.04019562430165</c:v>
                </c:pt>
                <c:pt idx="930">
                  <c:v>396.72999236351012</c:v>
                </c:pt>
                <c:pt idx="931">
                  <c:v>399.04019562430165</c:v>
                </c:pt>
                <c:pt idx="932">
                  <c:v>399.04019562430165</c:v>
                </c:pt>
                <c:pt idx="933">
                  <c:v>399.04019562430165</c:v>
                </c:pt>
                <c:pt idx="934">
                  <c:v>399.04019562430165</c:v>
                </c:pt>
                <c:pt idx="935">
                  <c:v>399.04019562430165</c:v>
                </c:pt>
                <c:pt idx="936">
                  <c:v>399.04019562430165</c:v>
                </c:pt>
                <c:pt idx="937">
                  <c:v>399.04019562430165</c:v>
                </c:pt>
                <c:pt idx="938">
                  <c:v>399.04019562430165</c:v>
                </c:pt>
                <c:pt idx="939">
                  <c:v>396.72999236351012</c:v>
                </c:pt>
                <c:pt idx="940">
                  <c:v>399.04019562430165</c:v>
                </c:pt>
                <c:pt idx="941">
                  <c:v>399.04019562430165</c:v>
                </c:pt>
                <c:pt idx="942">
                  <c:v>399.04019562430165</c:v>
                </c:pt>
                <c:pt idx="943">
                  <c:v>381.10137209488988</c:v>
                </c:pt>
                <c:pt idx="944">
                  <c:v>371.14581653933431</c:v>
                </c:pt>
                <c:pt idx="945">
                  <c:v>371.14581653933431</c:v>
                </c:pt>
                <c:pt idx="946">
                  <c:v>387.43153082504858</c:v>
                </c:pt>
                <c:pt idx="947">
                  <c:v>409.43153082504858</c:v>
                </c:pt>
                <c:pt idx="948">
                  <c:v>403.43153082504858</c:v>
                </c:pt>
                <c:pt idx="949">
                  <c:v>403.43153082504858</c:v>
                </c:pt>
                <c:pt idx="950">
                  <c:v>403.43153082504858</c:v>
                </c:pt>
                <c:pt idx="951">
                  <c:v>403.43153082504858</c:v>
                </c:pt>
                <c:pt idx="952">
                  <c:v>403.43153082504858</c:v>
                </c:pt>
                <c:pt idx="953">
                  <c:v>403.43153082504858</c:v>
                </c:pt>
                <c:pt idx="954">
                  <c:v>403.43153082504858</c:v>
                </c:pt>
                <c:pt idx="955">
                  <c:v>403.43153082504858</c:v>
                </c:pt>
                <c:pt idx="956">
                  <c:v>403.43153082504858</c:v>
                </c:pt>
                <c:pt idx="957">
                  <c:v>409.43153082504858</c:v>
                </c:pt>
                <c:pt idx="958">
                  <c:v>403.43153082504858</c:v>
                </c:pt>
                <c:pt idx="959">
                  <c:v>403.43153082504858</c:v>
                </c:pt>
                <c:pt idx="960">
                  <c:v>403.43153082504858</c:v>
                </c:pt>
                <c:pt idx="961">
                  <c:v>403.43153082504858</c:v>
                </c:pt>
                <c:pt idx="962">
                  <c:v>403.43153082504858</c:v>
                </c:pt>
                <c:pt idx="963">
                  <c:v>403.43153082504858</c:v>
                </c:pt>
                <c:pt idx="964">
                  <c:v>403.43153082504858</c:v>
                </c:pt>
                <c:pt idx="965">
                  <c:v>403.43153082504858</c:v>
                </c:pt>
                <c:pt idx="966">
                  <c:v>409.43153082504858</c:v>
                </c:pt>
                <c:pt idx="967">
                  <c:v>396.72999236351012</c:v>
                </c:pt>
                <c:pt idx="968">
                  <c:v>409.43153082504858</c:v>
                </c:pt>
                <c:pt idx="969">
                  <c:v>409.43153082504858</c:v>
                </c:pt>
                <c:pt idx="970">
                  <c:v>409.43153082504858</c:v>
                </c:pt>
                <c:pt idx="971">
                  <c:v>409.43153082504858</c:v>
                </c:pt>
                <c:pt idx="972">
                  <c:v>409.43153082504858</c:v>
                </c:pt>
                <c:pt idx="973">
                  <c:v>409.43153082504858</c:v>
                </c:pt>
                <c:pt idx="974">
                  <c:v>409.43153082504858</c:v>
                </c:pt>
                <c:pt idx="975">
                  <c:v>396.72999236351012</c:v>
                </c:pt>
                <c:pt idx="976">
                  <c:v>396.72999236351012</c:v>
                </c:pt>
                <c:pt idx="977">
                  <c:v>396.72999236351012</c:v>
                </c:pt>
                <c:pt idx="978">
                  <c:v>396.72999236351012</c:v>
                </c:pt>
                <c:pt idx="979">
                  <c:v>396.72999236351012</c:v>
                </c:pt>
                <c:pt idx="980">
                  <c:v>396.72999236351012</c:v>
                </c:pt>
                <c:pt idx="981">
                  <c:v>396.72999236351012</c:v>
                </c:pt>
                <c:pt idx="982">
                  <c:v>396.72999236351012</c:v>
                </c:pt>
                <c:pt idx="983">
                  <c:v>396.72999236351012</c:v>
                </c:pt>
                <c:pt idx="984">
                  <c:v>396.72999236351012</c:v>
                </c:pt>
                <c:pt idx="985">
                  <c:v>396.72999236351012</c:v>
                </c:pt>
                <c:pt idx="986">
                  <c:v>396.72999236351012</c:v>
                </c:pt>
                <c:pt idx="987">
                  <c:v>396.72999236351012</c:v>
                </c:pt>
                <c:pt idx="988">
                  <c:v>396.72999236351012</c:v>
                </c:pt>
                <c:pt idx="989">
                  <c:v>0.21468701445796326</c:v>
                </c:pt>
                <c:pt idx="990">
                  <c:v>341.34537697889471</c:v>
                </c:pt>
                <c:pt idx="991">
                  <c:v>341.34537697889471</c:v>
                </c:pt>
                <c:pt idx="992">
                  <c:v>341.34537697889471</c:v>
                </c:pt>
                <c:pt idx="993">
                  <c:v>341.34537697889471</c:v>
                </c:pt>
                <c:pt idx="994">
                  <c:v>341.34537697889471</c:v>
                </c:pt>
                <c:pt idx="995">
                  <c:v>341.34537697889471</c:v>
                </c:pt>
                <c:pt idx="996">
                  <c:v>341.34537697889471</c:v>
                </c:pt>
                <c:pt idx="997">
                  <c:v>341.34537697889471</c:v>
                </c:pt>
                <c:pt idx="998">
                  <c:v>341.34537697889471</c:v>
                </c:pt>
                <c:pt idx="999">
                  <c:v>341.34537697889471</c:v>
                </c:pt>
                <c:pt idx="1000">
                  <c:v>341.34537697889471</c:v>
                </c:pt>
                <c:pt idx="1001">
                  <c:v>369.34537697889471</c:v>
                </c:pt>
                <c:pt idx="1002">
                  <c:v>369.34537697889471</c:v>
                </c:pt>
                <c:pt idx="1003">
                  <c:v>369.34537697889471</c:v>
                </c:pt>
                <c:pt idx="1004">
                  <c:v>343.49922313274095</c:v>
                </c:pt>
                <c:pt idx="1005">
                  <c:v>343.49922313274095</c:v>
                </c:pt>
                <c:pt idx="1006">
                  <c:v>343.49922313274095</c:v>
                </c:pt>
                <c:pt idx="1007">
                  <c:v>343.49922313274095</c:v>
                </c:pt>
                <c:pt idx="1008">
                  <c:v>343.49922313274095</c:v>
                </c:pt>
                <c:pt idx="1009">
                  <c:v>343.49922313274095</c:v>
                </c:pt>
                <c:pt idx="1010">
                  <c:v>343.49922313274095</c:v>
                </c:pt>
                <c:pt idx="1011">
                  <c:v>343.49922313274095</c:v>
                </c:pt>
                <c:pt idx="1012">
                  <c:v>343.49922313274095</c:v>
                </c:pt>
                <c:pt idx="1013">
                  <c:v>343.49922313274095</c:v>
                </c:pt>
                <c:pt idx="1014">
                  <c:v>343.49922313274095</c:v>
                </c:pt>
                <c:pt idx="1015">
                  <c:v>343.49922313274095</c:v>
                </c:pt>
                <c:pt idx="1016">
                  <c:v>343.49922313274095</c:v>
                </c:pt>
                <c:pt idx="1017">
                  <c:v>343.49922313274095</c:v>
                </c:pt>
                <c:pt idx="1018">
                  <c:v>343.49922313274095</c:v>
                </c:pt>
                <c:pt idx="1019">
                  <c:v>343.49922313274095</c:v>
                </c:pt>
                <c:pt idx="1020">
                  <c:v>343.49922313274095</c:v>
                </c:pt>
                <c:pt idx="1021">
                  <c:v>343.49922313274095</c:v>
                </c:pt>
                <c:pt idx="1022">
                  <c:v>343.49922313274095</c:v>
                </c:pt>
                <c:pt idx="1023">
                  <c:v>343.49922313274095</c:v>
                </c:pt>
                <c:pt idx="1024">
                  <c:v>343.49922313274095</c:v>
                </c:pt>
                <c:pt idx="1025">
                  <c:v>343.49922313274095</c:v>
                </c:pt>
                <c:pt idx="1027">
                  <c:v>18.153846153846242</c:v>
                </c:pt>
                <c:pt idx="1028">
                  <c:v>18.153846153846242</c:v>
                </c:pt>
                <c:pt idx="1029">
                  <c:v>18.153846153846242</c:v>
                </c:pt>
                <c:pt idx="1030">
                  <c:v>18.153846153846242</c:v>
                </c:pt>
                <c:pt idx="1031">
                  <c:v>18.153846153846242</c:v>
                </c:pt>
                <c:pt idx="1032">
                  <c:v>18.153846153846242</c:v>
                </c:pt>
                <c:pt idx="1033">
                  <c:v>18.153846153846242</c:v>
                </c:pt>
                <c:pt idx="1034">
                  <c:v>18.153846153846242</c:v>
                </c:pt>
                <c:pt idx="1035">
                  <c:v>18.153846153846242</c:v>
                </c:pt>
                <c:pt idx="1036">
                  <c:v>18.153846153846242</c:v>
                </c:pt>
                <c:pt idx="1037">
                  <c:v>18.153846153846242</c:v>
                </c:pt>
                <c:pt idx="1038">
                  <c:v>18.153846153846242</c:v>
                </c:pt>
                <c:pt idx="1039">
                  <c:v>18.153846153846242</c:v>
                </c:pt>
                <c:pt idx="1040">
                  <c:v>18.153846153846242</c:v>
                </c:pt>
                <c:pt idx="1041">
                  <c:v>18.153846153846242</c:v>
                </c:pt>
                <c:pt idx="1042">
                  <c:v>18.153846153846242</c:v>
                </c:pt>
                <c:pt idx="1043">
                  <c:v>18.153846153846242</c:v>
                </c:pt>
                <c:pt idx="1044">
                  <c:v>18.153846153846242</c:v>
                </c:pt>
                <c:pt idx="1045">
                  <c:v>18.153846153846242</c:v>
                </c:pt>
                <c:pt idx="1046">
                  <c:v>18.153846153846242</c:v>
                </c:pt>
                <c:pt idx="1047">
                  <c:v>18.153846153846242</c:v>
                </c:pt>
                <c:pt idx="1048">
                  <c:v>18.153846153846242</c:v>
                </c:pt>
                <c:pt idx="1049">
                  <c:v>18.153846153846242</c:v>
                </c:pt>
                <c:pt idx="1050">
                  <c:v>18.153846153846242</c:v>
                </c:pt>
                <c:pt idx="1051">
                  <c:v>18.153846153846242</c:v>
                </c:pt>
                <c:pt idx="1052">
                  <c:v>18.153846153846242</c:v>
                </c:pt>
                <c:pt idx="1053">
                  <c:v>18.153846153846242</c:v>
                </c:pt>
                <c:pt idx="1054">
                  <c:v>18.153846153846242</c:v>
                </c:pt>
                <c:pt idx="1055">
                  <c:v>18.153846153846242</c:v>
                </c:pt>
                <c:pt idx="1056">
                  <c:v>18.153846153846242</c:v>
                </c:pt>
                <c:pt idx="1057">
                  <c:v>18.153846153846242</c:v>
                </c:pt>
                <c:pt idx="1058">
                  <c:v>18.153846153846242</c:v>
                </c:pt>
                <c:pt idx="1059">
                  <c:v>18.153846153846242</c:v>
                </c:pt>
                <c:pt idx="1060">
                  <c:v>18.153846153846242</c:v>
                </c:pt>
                <c:pt idx="1061">
                  <c:v>18.153846153846242</c:v>
                </c:pt>
                <c:pt idx="1062">
                  <c:v>18.153846153846242</c:v>
                </c:pt>
                <c:pt idx="1063">
                  <c:v>18.153846153846242</c:v>
                </c:pt>
                <c:pt idx="1064">
                  <c:v>18.153846153846242</c:v>
                </c:pt>
                <c:pt idx="1065">
                  <c:v>18.153846153846242</c:v>
                </c:pt>
                <c:pt idx="1066">
                  <c:v>18.153846153846242</c:v>
                </c:pt>
                <c:pt idx="1067">
                  <c:v>18.153846153846242</c:v>
                </c:pt>
                <c:pt idx="1068">
                  <c:v>18.153846153846242</c:v>
                </c:pt>
                <c:pt idx="1069">
                  <c:v>18.153846153846242</c:v>
                </c:pt>
                <c:pt idx="1070">
                  <c:v>18.153846153846242</c:v>
                </c:pt>
                <c:pt idx="1071">
                  <c:v>18.153846153846242</c:v>
                </c:pt>
                <c:pt idx="1072">
                  <c:v>18.153846153846242</c:v>
                </c:pt>
                <c:pt idx="1073">
                  <c:v>18.153846153846242</c:v>
                </c:pt>
                <c:pt idx="1074">
                  <c:v>18.153846153846242</c:v>
                </c:pt>
                <c:pt idx="1075">
                  <c:v>18.153846153846242</c:v>
                </c:pt>
                <c:pt idx="1076">
                  <c:v>18.153846153846242</c:v>
                </c:pt>
                <c:pt idx="1077">
                  <c:v>18.153846153846242</c:v>
                </c:pt>
                <c:pt idx="1078">
                  <c:v>18.153846153846242</c:v>
                </c:pt>
                <c:pt idx="1079">
                  <c:v>18.153846153846242</c:v>
                </c:pt>
                <c:pt idx="1080">
                  <c:v>18.153846153846242</c:v>
                </c:pt>
                <c:pt idx="1081">
                  <c:v>18.153846153846242</c:v>
                </c:pt>
                <c:pt idx="1082">
                  <c:v>18.153846153846242</c:v>
                </c:pt>
                <c:pt idx="1083">
                  <c:v>18.153846153846242</c:v>
                </c:pt>
                <c:pt idx="1084">
                  <c:v>18.153846153846242</c:v>
                </c:pt>
                <c:pt idx="1085">
                  <c:v>18.153846153846242</c:v>
                </c:pt>
                <c:pt idx="1086">
                  <c:v>18.153846153846242</c:v>
                </c:pt>
                <c:pt idx="1087">
                  <c:v>18.153846153846242</c:v>
                </c:pt>
                <c:pt idx="1088">
                  <c:v>18.153846153846242</c:v>
                </c:pt>
                <c:pt idx="1089">
                  <c:v>18.153846153846242</c:v>
                </c:pt>
                <c:pt idx="1090">
                  <c:v>18.153846153846242</c:v>
                </c:pt>
                <c:pt idx="1091">
                  <c:v>18.153846153846242</c:v>
                </c:pt>
                <c:pt idx="1092">
                  <c:v>18.153846153846242</c:v>
                </c:pt>
                <c:pt idx="1093">
                  <c:v>18.153846153846242</c:v>
                </c:pt>
                <c:pt idx="1094">
                  <c:v>18.153846153846242</c:v>
                </c:pt>
                <c:pt idx="1095">
                  <c:v>18.153846153846242</c:v>
                </c:pt>
                <c:pt idx="1096">
                  <c:v>18.153846153846242</c:v>
                </c:pt>
                <c:pt idx="1097">
                  <c:v>18.153846153846242</c:v>
                </c:pt>
                <c:pt idx="1098">
                  <c:v>18.153846153846242</c:v>
                </c:pt>
                <c:pt idx="1099">
                  <c:v>18.153846153846242</c:v>
                </c:pt>
                <c:pt idx="1100">
                  <c:v>18.153846153846242</c:v>
                </c:pt>
                <c:pt idx="1101">
                  <c:v>18.153846153846242</c:v>
                </c:pt>
                <c:pt idx="1102">
                  <c:v>18.153846153846242</c:v>
                </c:pt>
                <c:pt idx="1103">
                  <c:v>18.153846153846242</c:v>
                </c:pt>
                <c:pt idx="1104">
                  <c:v>18.153846153846242</c:v>
                </c:pt>
                <c:pt idx="1105">
                  <c:v>18.153846153846242</c:v>
                </c:pt>
                <c:pt idx="1106">
                  <c:v>18.153846153846242</c:v>
                </c:pt>
                <c:pt idx="1107">
                  <c:v>18.153846153846242</c:v>
                </c:pt>
                <c:pt idx="1108">
                  <c:v>18.153846153846242</c:v>
                </c:pt>
                <c:pt idx="1109">
                  <c:v>18.153846153846242</c:v>
                </c:pt>
                <c:pt idx="1110">
                  <c:v>18.153846153846242</c:v>
                </c:pt>
                <c:pt idx="1111">
                  <c:v>18.153846153846242</c:v>
                </c:pt>
                <c:pt idx="1112">
                  <c:v>18.153846153846242</c:v>
                </c:pt>
                <c:pt idx="1113">
                  <c:v>18.153846153846242</c:v>
                </c:pt>
                <c:pt idx="1114">
                  <c:v>18.153846153846242</c:v>
                </c:pt>
                <c:pt idx="1115">
                  <c:v>18.153846153846242</c:v>
                </c:pt>
                <c:pt idx="1116">
                  <c:v>18.153846153846242</c:v>
                </c:pt>
                <c:pt idx="1117">
                  <c:v>18.153846153846242</c:v>
                </c:pt>
                <c:pt idx="1118">
                  <c:v>18.153846153846242</c:v>
                </c:pt>
                <c:pt idx="1119">
                  <c:v>18.153846153846242</c:v>
                </c:pt>
                <c:pt idx="1120">
                  <c:v>18.153846153846242</c:v>
                </c:pt>
                <c:pt idx="1121">
                  <c:v>18.153846153846242</c:v>
                </c:pt>
                <c:pt idx="1122">
                  <c:v>18.153846153846242</c:v>
                </c:pt>
                <c:pt idx="1123">
                  <c:v>18.153846153846242</c:v>
                </c:pt>
                <c:pt idx="1124">
                  <c:v>18.153846153846242</c:v>
                </c:pt>
                <c:pt idx="1125">
                  <c:v>18.153846153846242</c:v>
                </c:pt>
                <c:pt idx="1126">
                  <c:v>18.153846153846242</c:v>
                </c:pt>
                <c:pt idx="1127">
                  <c:v>18.153846153846242</c:v>
                </c:pt>
                <c:pt idx="1128">
                  <c:v>18.153846153846242</c:v>
                </c:pt>
                <c:pt idx="1129">
                  <c:v>18.153846153846242</c:v>
                </c:pt>
                <c:pt idx="1130">
                  <c:v>18.153846153846242</c:v>
                </c:pt>
                <c:pt idx="1131">
                  <c:v>18.153846153846242</c:v>
                </c:pt>
                <c:pt idx="1132">
                  <c:v>18.153846153846242</c:v>
                </c:pt>
                <c:pt idx="1133">
                  <c:v>18.153846153846242</c:v>
                </c:pt>
                <c:pt idx="1134">
                  <c:v>18.153846153846242</c:v>
                </c:pt>
                <c:pt idx="1135">
                  <c:v>18.153846153846242</c:v>
                </c:pt>
                <c:pt idx="1136">
                  <c:v>18.153846153846242</c:v>
                </c:pt>
                <c:pt idx="1137">
                  <c:v>18.153846153846242</c:v>
                </c:pt>
                <c:pt idx="1138">
                  <c:v>18.153846153846242</c:v>
                </c:pt>
                <c:pt idx="1139">
                  <c:v>18.153846153846242</c:v>
                </c:pt>
                <c:pt idx="1140">
                  <c:v>18.153846153846242</c:v>
                </c:pt>
                <c:pt idx="1141">
                  <c:v>18.153846153846242</c:v>
                </c:pt>
                <c:pt idx="1142">
                  <c:v>18.153846153846242</c:v>
                </c:pt>
                <c:pt idx="1143">
                  <c:v>18.153846153846242</c:v>
                </c:pt>
                <c:pt idx="1144">
                  <c:v>18.153846153846242</c:v>
                </c:pt>
                <c:pt idx="1145">
                  <c:v>18.153846153846242</c:v>
                </c:pt>
                <c:pt idx="1146">
                  <c:v>18.153846153846242</c:v>
                </c:pt>
                <c:pt idx="1147">
                  <c:v>18.153846153846242</c:v>
                </c:pt>
                <c:pt idx="1148">
                  <c:v>18.153846153846242</c:v>
                </c:pt>
                <c:pt idx="1149">
                  <c:v>18.153846153846242</c:v>
                </c:pt>
                <c:pt idx="1150">
                  <c:v>18.153846153846242</c:v>
                </c:pt>
                <c:pt idx="1151">
                  <c:v>18.153846153846242</c:v>
                </c:pt>
                <c:pt idx="1152">
                  <c:v>18.153846153846242</c:v>
                </c:pt>
                <c:pt idx="1153">
                  <c:v>18.153846153846242</c:v>
                </c:pt>
                <c:pt idx="1154">
                  <c:v>18.153846153846242</c:v>
                </c:pt>
                <c:pt idx="1155">
                  <c:v>18.153846153846242</c:v>
                </c:pt>
                <c:pt idx="1156">
                  <c:v>18.153846153846242</c:v>
                </c:pt>
                <c:pt idx="1157">
                  <c:v>18.153846153846242</c:v>
                </c:pt>
                <c:pt idx="1158">
                  <c:v>18.153846153846242</c:v>
                </c:pt>
                <c:pt idx="1159">
                  <c:v>18.153846153846242</c:v>
                </c:pt>
                <c:pt idx="1160">
                  <c:v>18.153846153846242</c:v>
                </c:pt>
                <c:pt idx="1161">
                  <c:v>18.153846153846242</c:v>
                </c:pt>
                <c:pt idx="1162">
                  <c:v>18.153846153846242</c:v>
                </c:pt>
                <c:pt idx="1163">
                  <c:v>18.153846153846242</c:v>
                </c:pt>
                <c:pt idx="1164">
                  <c:v>18.153846153846242</c:v>
                </c:pt>
                <c:pt idx="1165">
                  <c:v>18.153846153846242</c:v>
                </c:pt>
                <c:pt idx="1166">
                  <c:v>18.153846153846242</c:v>
                </c:pt>
                <c:pt idx="1167">
                  <c:v>18.153846153846242</c:v>
                </c:pt>
                <c:pt idx="1168">
                  <c:v>18.153846153846242</c:v>
                </c:pt>
                <c:pt idx="1169">
                  <c:v>18.153846153846242</c:v>
                </c:pt>
                <c:pt idx="1170">
                  <c:v>18.153846153846242</c:v>
                </c:pt>
                <c:pt idx="1171">
                  <c:v>18.153846153846242</c:v>
                </c:pt>
                <c:pt idx="1172">
                  <c:v>18.153846153846242</c:v>
                </c:pt>
                <c:pt idx="1173">
                  <c:v>18.153846153846242</c:v>
                </c:pt>
                <c:pt idx="1174">
                  <c:v>18.153846153846242</c:v>
                </c:pt>
                <c:pt idx="1175">
                  <c:v>18.153846153846242</c:v>
                </c:pt>
                <c:pt idx="1176">
                  <c:v>18.153846153846242</c:v>
                </c:pt>
                <c:pt idx="1177">
                  <c:v>18.153846153846242</c:v>
                </c:pt>
                <c:pt idx="1178">
                  <c:v>18.153846153846242</c:v>
                </c:pt>
                <c:pt idx="1179">
                  <c:v>18.153846153846242</c:v>
                </c:pt>
                <c:pt idx="1180">
                  <c:v>18.153846153846242</c:v>
                </c:pt>
                <c:pt idx="1181">
                  <c:v>18.153846153846242</c:v>
                </c:pt>
                <c:pt idx="1182">
                  <c:v>18.153846153846242</c:v>
                </c:pt>
                <c:pt idx="1183">
                  <c:v>18.153846153846242</c:v>
                </c:pt>
                <c:pt idx="1184">
                  <c:v>18.153846153846242</c:v>
                </c:pt>
                <c:pt idx="1185">
                  <c:v>18.153846153846242</c:v>
                </c:pt>
                <c:pt idx="1186">
                  <c:v>18.153846153846242</c:v>
                </c:pt>
                <c:pt idx="1187">
                  <c:v>18.153846153846242</c:v>
                </c:pt>
                <c:pt idx="1188">
                  <c:v>18.153846153846242</c:v>
                </c:pt>
                <c:pt idx="1189">
                  <c:v>18.153846153846242</c:v>
                </c:pt>
                <c:pt idx="1190">
                  <c:v>18.153846153846242</c:v>
                </c:pt>
                <c:pt idx="1191">
                  <c:v>18.153846153846242</c:v>
                </c:pt>
                <c:pt idx="1192">
                  <c:v>18.153846153846242</c:v>
                </c:pt>
                <c:pt idx="1193">
                  <c:v>18.153846153846242</c:v>
                </c:pt>
                <c:pt idx="1194">
                  <c:v>18.153846153846242</c:v>
                </c:pt>
                <c:pt idx="1195">
                  <c:v>18.153846153846242</c:v>
                </c:pt>
                <c:pt idx="1196">
                  <c:v>18.153846153846242</c:v>
                </c:pt>
                <c:pt idx="1197">
                  <c:v>18.153846153846242</c:v>
                </c:pt>
                <c:pt idx="1198">
                  <c:v>18.153846153846242</c:v>
                </c:pt>
                <c:pt idx="1199">
                  <c:v>18.153846153846242</c:v>
                </c:pt>
                <c:pt idx="1200">
                  <c:v>18.153846153846242</c:v>
                </c:pt>
                <c:pt idx="1201">
                  <c:v>18.153846153846242</c:v>
                </c:pt>
                <c:pt idx="1202">
                  <c:v>18.153846153846242</c:v>
                </c:pt>
                <c:pt idx="1203">
                  <c:v>18.153846153846242</c:v>
                </c:pt>
                <c:pt idx="1204">
                  <c:v>18.153846153846242</c:v>
                </c:pt>
                <c:pt idx="1205">
                  <c:v>18.153846153846242</c:v>
                </c:pt>
                <c:pt idx="1206">
                  <c:v>18.153846153846242</c:v>
                </c:pt>
                <c:pt idx="1207">
                  <c:v>18.153846153846242</c:v>
                </c:pt>
                <c:pt idx="1208">
                  <c:v>18.153846153846242</c:v>
                </c:pt>
                <c:pt idx="1209">
                  <c:v>18.153846153846242</c:v>
                </c:pt>
                <c:pt idx="1210">
                  <c:v>18.153846153846242</c:v>
                </c:pt>
                <c:pt idx="1211">
                  <c:v>18.153846153846242</c:v>
                </c:pt>
                <c:pt idx="1212">
                  <c:v>18.153846153846242</c:v>
                </c:pt>
                <c:pt idx="1213">
                  <c:v>18.153846153846242</c:v>
                </c:pt>
                <c:pt idx="1214">
                  <c:v>18.153846153846242</c:v>
                </c:pt>
                <c:pt idx="1215">
                  <c:v>18.153846153846242</c:v>
                </c:pt>
                <c:pt idx="1216">
                  <c:v>18.153846153846242</c:v>
                </c:pt>
                <c:pt idx="1217">
                  <c:v>18.153846153846242</c:v>
                </c:pt>
                <c:pt idx="1218">
                  <c:v>18.153846153846242</c:v>
                </c:pt>
                <c:pt idx="1219">
                  <c:v>18.153846153846242</c:v>
                </c:pt>
                <c:pt idx="1220">
                  <c:v>18.153846153846242</c:v>
                </c:pt>
                <c:pt idx="1221">
                  <c:v>18.153846153846242</c:v>
                </c:pt>
                <c:pt idx="1222">
                  <c:v>18.153846153846242</c:v>
                </c:pt>
                <c:pt idx="1223">
                  <c:v>18.153846153846242</c:v>
                </c:pt>
                <c:pt idx="1224">
                  <c:v>18.153846153846242</c:v>
                </c:pt>
                <c:pt idx="1225">
                  <c:v>18.153846153846242</c:v>
                </c:pt>
                <c:pt idx="1226">
                  <c:v>18.153846153846242</c:v>
                </c:pt>
                <c:pt idx="1227">
                  <c:v>18.153846153846242</c:v>
                </c:pt>
                <c:pt idx="1228">
                  <c:v>18.153846153846242</c:v>
                </c:pt>
                <c:pt idx="1229">
                  <c:v>18.153846153846242</c:v>
                </c:pt>
                <c:pt idx="1230">
                  <c:v>18.153846153846242</c:v>
                </c:pt>
                <c:pt idx="1231">
                  <c:v>18.153846153846242</c:v>
                </c:pt>
                <c:pt idx="1232">
                  <c:v>18.153846153846242</c:v>
                </c:pt>
                <c:pt idx="1233">
                  <c:v>18.153846153846242</c:v>
                </c:pt>
                <c:pt idx="1234">
                  <c:v>18.153846153846242</c:v>
                </c:pt>
                <c:pt idx="1235">
                  <c:v>18.153846153846242</c:v>
                </c:pt>
                <c:pt idx="1236">
                  <c:v>18.153846153846242</c:v>
                </c:pt>
                <c:pt idx="1237">
                  <c:v>18.153846153846242</c:v>
                </c:pt>
              </c:numCache>
            </c:numRef>
          </c:val>
          <c:smooth val="0"/>
          <c:extLst>
            <c:ext xmlns:c16="http://schemas.microsoft.com/office/drawing/2014/chart" uri="{C3380CC4-5D6E-409C-BE32-E72D297353CC}">
              <c16:uniqueId val="{00000000-77D3-44DD-B076-A549DF9B0BC4}"/>
            </c:ext>
          </c:extLst>
        </c:ser>
        <c:ser>
          <c:idx val="1"/>
          <c:order val="1"/>
          <c:tx>
            <c:v>S</c:v>
          </c:tx>
          <c:spPr>
            <a:ln w="28575" cap="rnd">
              <a:solidFill>
                <a:schemeClr val="accent2"/>
              </a:solidFill>
              <a:round/>
            </a:ln>
            <a:effectLst/>
          </c:spPr>
          <c:marker>
            <c:symbol val="none"/>
          </c:marker>
          <c:val>
            <c:numRef>
              <c:f>'Journal Live'!$BY$1388:$BY$2630</c:f>
              <c:numCache>
                <c:formatCode>General</c:formatCode>
                <c:ptCount val="1238"/>
                <c:pt idx="0">
                  <c:v>35.200000000000031</c:v>
                </c:pt>
                <c:pt idx="1">
                  <c:v>35.200000000000031</c:v>
                </c:pt>
                <c:pt idx="2">
                  <c:v>35.200000000000031</c:v>
                </c:pt>
                <c:pt idx="3">
                  <c:v>35.200000000000031</c:v>
                </c:pt>
                <c:pt idx="4">
                  <c:v>23.200000000000031</c:v>
                </c:pt>
                <c:pt idx="5">
                  <c:v>23.200000000000031</c:v>
                </c:pt>
                <c:pt idx="6">
                  <c:v>-8.7999999999999758</c:v>
                </c:pt>
                <c:pt idx="7">
                  <c:v>-8.7999999999999758</c:v>
                </c:pt>
                <c:pt idx="8">
                  <c:v>-8.7999999999999758</c:v>
                </c:pt>
                <c:pt idx="9">
                  <c:v>13.866666666666681</c:v>
                </c:pt>
                <c:pt idx="10">
                  <c:v>13.866666666666681</c:v>
                </c:pt>
                <c:pt idx="11">
                  <c:v>13.866666666666681</c:v>
                </c:pt>
                <c:pt idx="12">
                  <c:v>29.866666666666696</c:v>
                </c:pt>
                <c:pt idx="13">
                  <c:v>29.866666666666696</c:v>
                </c:pt>
                <c:pt idx="14">
                  <c:v>29.866666666666696</c:v>
                </c:pt>
                <c:pt idx="15">
                  <c:v>53.866666666666696</c:v>
                </c:pt>
                <c:pt idx="16">
                  <c:v>46.593939393939444</c:v>
                </c:pt>
                <c:pt idx="17">
                  <c:v>46.593939393939444</c:v>
                </c:pt>
                <c:pt idx="18">
                  <c:v>46.593939393939444</c:v>
                </c:pt>
                <c:pt idx="19">
                  <c:v>46.593939393939444</c:v>
                </c:pt>
                <c:pt idx="20">
                  <c:v>46.593939393939444</c:v>
                </c:pt>
                <c:pt idx="21">
                  <c:v>46.593939393939444</c:v>
                </c:pt>
                <c:pt idx="22">
                  <c:v>46.593939393939444</c:v>
                </c:pt>
                <c:pt idx="23">
                  <c:v>46.593939393939444</c:v>
                </c:pt>
                <c:pt idx="24">
                  <c:v>46.593939393939444</c:v>
                </c:pt>
                <c:pt idx="25">
                  <c:v>62.593939393939436</c:v>
                </c:pt>
                <c:pt idx="26">
                  <c:v>96.593939393939451</c:v>
                </c:pt>
                <c:pt idx="27">
                  <c:v>112.59393939393945</c:v>
                </c:pt>
                <c:pt idx="28">
                  <c:v>112.59393939393945</c:v>
                </c:pt>
                <c:pt idx="29">
                  <c:v>112.59393939393945</c:v>
                </c:pt>
                <c:pt idx="30">
                  <c:v>112.59393939393945</c:v>
                </c:pt>
                <c:pt idx="31">
                  <c:v>112.59393939393945</c:v>
                </c:pt>
                <c:pt idx="32">
                  <c:v>112.59393939393945</c:v>
                </c:pt>
                <c:pt idx="33">
                  <c:v>112.59393939393945</c:v>
                </c:pt>
                <c:pt idx="34">
                  <c:v>118.24099821746883</c:v>
                </c:pt>
                <c:pt idx="35">
                  <c:v>118.24099821746883</c:v>
                </c:pt>
                <c:pt idx="36">
                  <c:v>118.24099821746883</c:v>
                </c:pt>
                <c:pt idx="37">
                  <c:v>134.24099821746884</c:v>
                </c:pt>
                <c:pt idx="38">
                  <c:v>134.24099821746884</c:v>
                </c:pt>
                <c:pt idx="39">
                  <c:v>134.24099821746884</c:v>
                </c:pt>
                <c:pt idx="40">
                  <c:v>71.632302565294935</c:v>
                </c:pt>
                <c:pt idx="41">
                  <c:v>71.632302565294935</c:v>
                </c:pt>
                <c:pt idx="42">
                  <c:v>87.632302565294935</c:v>
                </c:pt>
                <c:pt idx="43">
                  <c:v>87.632302565294935</c:v>
                </c:pt>
                <c:pt idx="44">
                  <c:v>87.632302565294935</c:v>
                </c:pt>
                <c:pt idx="45">
                  <c:v>87.632302565294935</c:v>
                </c:pt>
                <c:pt idx="46">
                  <c:v>87.632302565294935</c:v>
                </c:pt>
                <c:pt idx="47">
                  <c:v>87.632302565294935</c:v>
                </c:pt>
                <c:pt idx="48">
                  <c:v>87.632302565294935</c:v>
                </c:pt>
                <c:pt idx="49">
                  <c:v>87.632302565294935</c:v>
                </c:pt>
                <c:pt idx="50">
                  <c:v>87.632302565294935</c:v>
                </c:pt>
                <c:pt idx="51">
                  <c:v>87.632302565294935</c:v>
                </c:pt>
                <c:pt idx="52">
                  <c:v>103.63230256529495</c:v>
                </c:pt>
                <c:pt idx="53">
                  <c:v>103.63230256529495</c:v>
                </c:pt>
                <c:pt idx="54">
                  <c:v>103.63230256529495</c:v>
                </c:pt>
                <c:pt idx="55">
                  <c:v>103.63230256529495</c:v>
                </c:pt>
                <c:pt idx="56">
                  <c:v>103.63230256529495</c:v>
                </c:pt>
                <c:pt idx="57">
                  <c:v>103.63230256529495</c:v>
                </c:pt>
                <c:pt idx="58">
                  <c:v>103.63230256529495</c:v>
                </c:pt>
                <c:pt idx="59">
                  <c:v>103.63230256529495</c:v>
                </c:pt>
                <c:pt idx="60">
                  <c:v>103.63230256529495</c:v>
                </c:pt>
                <c:pt idx="61">
                  <c:v>119.63230256529495</c:v>
                </c:pt>
                <c:pt idx="62">
                  <c:v>135.63230256529494</c:v>
                </c:pt>
                <c:pt idx="63">
                  <c:v>151.63230256529494</c:v>
                </c:pt>
                <c:pt idx="64">
                  <c:v>151.63230256529494</c:v>
                </c:pt>
                <c:pt idx="65">
                  <c:v>151.63230256529494</c:v>
                </c:pt>
                <c:pt idx="66">
                  <c:v>151.63230256529494</c:v>
                </c:pt>
                <c:pt idx="67">
                  <c:v>151.63230256529494</c:v>
                </c:pt>
                <c:pt idx="68">
                  <c:v>151.63230256529494</c:v>
                </c:pt>
                <c:pt idx="69">
                  <c:v>143.63230256529494</c:v>
                </c:pt>
                <c:pt idx="70">
                  <c:v>143.63230256529494</c:v>
                </c:pt>
                <c:pt idx="71">
                  <c:v>143.63230256529494</c:v>
                </c:pt>
                <c:pt idx="72">
                  <c:v>143.63230256529494</c:v>
                </c:pt>
                <c:pt idx="73">
                  <c:v>143.63230256529494</c:v>
                </c:pt>
                <c:pt idx="74">
                  <c:v>143.63230256529494</c:v>
                </c:pt>
                <c:pt idx="75">
                  <c:v>143.63230256529494</c:v>
                </c:pt>
                <c:pt idx="76">
                  <c:v>143.63230256529494</c:v>
                </c:pt>
                <c:pt idx="77">
                  <c:v>143.63230256529494</c:v>
                </c:pt>
                <c:pt idx="78">
                  <c:v>143.63230256529494</c:v>
                </c:pt>
                <c:pt idx="79">
                  <c:v>143.63230256529494</c:v>
                </c:pt>
                <c:pt idx="80">
                  <c:v>143.63230256529494</c:v>
                </c:pt>
                <c:pt idx="81">
                  <c:v>143.63230256529494</c:v>
                </c:pt>
                <c:pt idx="82">
                  <c:v>143.63230256529494</c:v>
                </c:pt>
                <c:pt idx="83">
                  <c:v>143.63230256529494</c:v>
                </c:pt>
                <c:pt idx="84">
                  <c:v>144.88230256529496</c:v>
                </c:pt>
                <c:pt idx="85">
                  <c:v>144.88230256529496</c:v>
                </c:pt>
                <c:pt idx="86">
                  <c:v>144.88230256529496</c:v>
                </c:pt>
                <c:pt idx="87">
                  <c:v>144.88230256529496</c:v>
                </c:pt>
                <c:pt idx="88">
                  <c:v>144.88230256529496</c:v>
                </c:pt>
                <c:pt idx="89">
                  <c:v>144.88230256529496</c:v>
                </c:pt>
                <c:pt idx="90">
                  <c:v>144.88230256529496</c:v>
                </c:pt>
                <c:pt idx="91">
                  <c:v>144.88230256529496</c:v>
                </c:pt>
                <c:pt idx="92">
                  <c:v>144.88230256529496</c:v>
                </c:pt>
                <c:pt idx="93">
                  <c:v>144.88230256529496</c:v>
                </c:pt>
                <c:pt idx="94">
                  <c:v>144.88230256529496</c:v>
                </c:pt>
                <c:pt idx="95">
                  <c:v>144.88230256529496</c:v>
                </c:pt>
                <c:pt idx="96">
                  <c:v>144.88230256529496</c:v>
                </c:pt>
                <c:pt idx="97">
                  <c:v>144.88230256529496</c:v>
                </c:pt>
                <c:pt idx="98">
                  <c:v>144.88230256529496</c:v>
                </c:pt>
                <c:pt idx="99">
                  <c:v>144.88230256529496</c:v>
                </c:pt>
                <c:pt idx="100">
                  <c:v>163.40861835476863</c:v>
                </c:pt>
                <c:pt idx="101">
                  <c:v>163.40861835476863</c:v>
                </c:pt>
                <c:pt idx="102">
                  <c:v>163.40861835476863</c:v>
                </c:pt>
                <c:pt idx="103">
                  <c:v>163.40861835476863</c:v>
                </c:pt>
                <c:pt idx="104">
                  <c:v>163.40861835476863</c:v>
                </c:pt>
                <c:pt idx="105">
                  <c:v>163.40861835476863</c:v>
                </c:pt>
                <c:pt idx="106">
                  <c:v>163.40861835476863</c:v>
                </c:pt>
                <c:pt idx="107">
                  <c:v>179.40861835476863</c:v>
                </c:pt>
                <c:pt idx="108">
                  <c:v>211.40861835476863</c:v>
                </c:pt>
                <c:pt idx="109">
                  <c:v>227.40861835476863</c:v>
                </c:pt>
                <c:pt idx="110">
                  <c:v>239.59909454524481</c:v>
                </c:pt>
                <c:pt idx="111">
                  <c:v>239.59909454524481</c:v>
                </c:pt>
                <c:pt idx="112">
                  <c:v>239.59909454524481</c:v>
                </c:pt>
                <c:pt idx="113">
                  <c:v>239.59909454524481</c:v>
                </c:pt>
                <c:pt idx="114">
                  <c:v>239.59909454524481</c:v>
                </c:pt>
                <c:pt idx="115">
                  <c:v>239.59909454524481</c:v>
                </c:pt>
                <c:pt idx="116">
                  <c:v>239.59909454524481</c:v>
                </c:pt>
                <c:pt idx="117">
                  <c:v>271.59909454524484</c:v>
                </c:pt>
                <c:pt idx="118">
                  <c:v>271.59909454524484</c:v>
                </c:pt>
                <c:pt idx="119">
                  <c:v>271.59909454524484</c:v>
                </c:pt>
                <c:pt idx="120">
                  <c:v>271.59909454524484</c:v>
                </c:pt>
                <c:pt idx="121">
                  <c:v>271.59909454524484</c:v>
                </c:pt>
                <c:pt idx="122">
                  <c:v>271.59909454524484</c:v>
                </c:pt>
                <c:pt idx="123">
                  <c:v>271.59909454524484</c:v>
                </c:pt>
                <c:pt idx="124">
                  <c:v>271.59909454524484</c:v>
                </c:pt>
                <c:pt idx="125">
                  <c:v>271.59909454524484</c:v>
                </c:pt>
                <c:pt idx="126">
                  <c:v>271.59909454524484</c:v>
                </c:pt>
                <c:pt idx="127">
                  <c:v>271.59909454524484</c:v>
                </c:pt>
                <c:pt idx="128">
                  <c:v>271.59909454524484</c:v>
                </c:pt>
                <c:pt idx="129">
                  <c:v>271.59909454524484</c:v>
                </c:pt>
                <c:pt idx="130">
                  <c:v>271.59909454524484</c:v>
                </c:pt>
                <c:pt idx="131">
                  <c:v>271.59909454524484</c:v>
                </c:pt>
                <c:pt idx="132">
                  <c:v>271.59909454524484</c:v>
                </c:pt>
                <c:pt idx="133">
                  <c:v>271.59909454524484</c:v>
                </c:pt>
                <c:pt idx="134">
                  <c:v>271.59909454524484</c:v>
                </c:pt>
                <c:pt idx="135">
                  <c:v>271.59909454524484</c:v>
                </c:pt>
                <c:pt idx="136">
                  <c:v>271.59909454524484</c:v>
                </c:pt>
                <c:pt idx="137">
                  <c:v>271.59909454524484</c:v>
                </c:pt>
                <c:pt idx="138">
                  <c:v>271.59909454524484</c:v>
                </c:pt>
                <c:pt idx="139">
                  <c:v>271.59909454524484</c:v>
                </c:pt>
                <c:pt idx="140">
                  <c:v>271.59909454524484</c:v>
                </c:pt>
                <c:pt idx="141">
                  <c:v>287.59909454524478</c:v>
                </c:pt>
                <c:pt idx="142">
                  <c:v>287.59909454524478</c:v>
                </c:pt>
                <c:pt idx="143">
                  <c:v>287.59909454524478</c:v>
                </c:pt>
                <c:pt idx="144">
                  <c:v>287.59909454524478</c:v>
                </c:pt>
                <c:pt idx="145">
                  <c:v>308.9324278785781</c:v>
                </c:pt>
                <c:pt idx="146">
                  <c:v>332.9324278785781</c:v>
                </c:pt>
                <c:pt idx="147">
                  <c:v>332.9324278785781</c:v>
                </c:pt>
                <c:pt idx="148">
                  <c:v>332.9324278785781</c:v>
                </c:pt>
                <c:pt idx="149">
                  <c:v>332.9324278785781</c:v>
                </c:pt>
                <c:pt idx="150">
                  <c:v>332.9324278785781</c:v>
                </c:pt>
                <c:pt idx="151">
                  <c:v>332.9324278785781</c:v>
                </c:pt>
                <c:pt idx="152">
                  <c:v>348.9324278785781</c:v>
                </c:pt>
                <c:pt idx="153">
                  <c:v>364.9324278785781</c:v>
                </c:pt>
                <c:pt idx="154">
                  <c:v>364.9324278785781</c:v>
                </c:pt>
                <c:pt idx="155">
                  <c:v>364.9324278785781</c:v>
                </c:pt>
                <c:pt idx="156">
                  <c:v>364.9324278785781</c:v>
                </c:pt>
                <c:pt idx="157">
                  <c:v>364.9324278785781</c:v>
                </c:pt>
                <c:pt idx="158">
                  <c:v>364.9324278785781</c:v>
                </c:pt>
                <c:pt idx="159">
                  <c:v>364.9324278785781</c:v>
                </c:pt>
                <c:pt idx="160">
                  <c:v>364.9324278785781</c:v>
                </c:pt>
                <c:pt idx="161">
                  <c:v>364.9324278785781</c:v>
                </c:pt>
                <c:pt idx="162">
                  <c:v>364.9324278785781</c:v>
                </c:pt>
                <c:pt idx="163">
                  <c:v>364.9324278785781</c:v>
                </c:pt>
                <c:pt idx="164">
                  <c:v>364.9324278785781</c:v>
                </c:pt>
                <c:pt idx="165">
                  <c:v>380.9324278785781</c:v>
                </c:pt>
                <c:pt idx="166">
                  <c:v>396.9324278785781</c:v>
                </c:pt>
                <c:pt idx="167">
                  <c:v>396.9324278785781</c:v>
                </c:pt>
                <c:pt idx="168">
                  <c:v>396.9324278785781</c:v>
                </c:pt>
                <c:pt idx="169">
                  <c:v>412.93242787857804</c:v>
                </c:pt>
                <c:pt idx="170">
                  <c:v>412.93242787857804</c:v>
                </c:pt>
                <c:pt idx="171">
                  <c:v>412.93242787857804</c:v>
                </c:pt>
                <c:pt idx="172">
                  <c:v>424.00935095550108</c:v>
                </c:pt>
                <c:pt idx="173">
                  <c:v>424.00935095550108</c:v>
                </c:pt>
                <c:pt idx="174">
                  <c:v>424.00935095550108</c:v>
                </c:pt>
                <c:pt idx="175">
                  <c:v>424.00935095550108</c:v>
                </c:pt>
                <c:pt idx="176">
                  <c:v>424.00935095550108</c:v>
                </c:pt>
                <c:pt idx="177">
                  <c:v>424.00935095550108</c:v>
                </c:pt>
                <c:pt idx="178">
                  <c:v>424.00935095550108</c:v>
                </c:pt>
                <c:pt idx="179">
                  <c:v>424.00935095550108</c:v>
                </c:pt>
                <c:pt idx="180">
                  <c:v>424.00935095550108</c:v>
                </c:pt>
                <c:pt idx="181">
                  <c:v>424.00935095550108</c:v>
                </c:pt>
                <c:pt idx="182">
                  <c:v>424.00935095550108</c:v>
                </c:pt>
                <c:pt idx="183">
                  <c:v>424.00935095550108</c:v>
                </c:pt>
                <c:pt idx="184">
                  <c:v>424.00935095550108</c:v>
                </c:pt>
                <c:pt idx="185">
                  <c:v>392.00935095550108</c:v>
                </c:pt>
                <c:pt idx="186">
                  <c:v>392.74781249396261</c:v>
                </c:pt>
                <c:pt idx="187">
                  <c:v>392.74781249396261</c:v>
                </c:pt>
                <c:pt idx="188">
                  <c:v>392.74781249396261</c:v>
                </c:pt>
                <c:pt idx="189">
                  <c:v>392.74781249396261</c:v>
                </c:pt>
                <c:pt idx="190">
                  <c:v>392.74781249396261</c:v>
                </c:pt>
                <c:pt idx="191">
                  <c:v>392.74781249396261</c:v>
                </c:pt>
                <c:pt idx="192">
                  <c:v>392.74781249396261</c:v>
                </c:pt>
                <c:pt idx="193">
                  <c:v>392.74781249396261</c:v>
                </c:pt>
                <c:pt idx="194">
                  <c:v>392.74781249396261</c:v>
                </c:pt>
                <c:pt idx="195">
                  <c:v>328.74781249396261</c:v>
                </c:pt>
                <c:pt idx="196">
                  <c:v>328.74781249396261</c:v>
                </c:pt>
                <c:pt idx="197">
                  <c:v>328.74781249396261</c:v>
                </c:pt>
                <c:pt idx="198">
                  <c:v>328.74781249396261</c:v>
                </c:pt>
                <c:pt idx="199">
                  <c:v>312.74781249396261</c:v>
                </c:pt>
                <c:pt idx="200">
                  <c:v>312.74781249396261</c:v>
                </c:pt>
                <c:pt idx="201">
                  <c:v>312.74781249396261</c:v>
                </c:pt>
                <c:pt idx="202">
                  <c:v>312.74781249396261</c:v>
                </c:pt>
                <c:pt idx="203">
                  <c:v>312.74781249396261</c:v>
                </c:pt>
                <c:pt idx="204">
                  <c:v>296.74781249396261</c:v>
                </c:pt>
                <c:pt idx="205">
                  <c:v>296.74781249396261</c:v>
                </c:pt>
                <c:pt idx="206">
                  <c:v>296.74781249396261</c:v>
                </c:pt>
                <c:pt idx="207">
                  <c:v>296.74781249396261</c:v>
                </c:pt>
                <c:pt idx="208">
                  <c:v>296.74781249396261</c:v>
                </c:pt>
                <c:pt idx="209">
                  <c:v>296.74781249396261</c:v>
                </c:pt>
                <c:pt idx="210">
                  <c:v>296.74781249396261</c:v>
                </c:pt>
                <c:pt idx="211">
                  <c:v>296.74781249396261</c:v>
                </c:pt>
                <c:pt idx="212">
                  <c:v>296.74781249396261</c:v>
                </c:pt>
                <c:pt idx="213">
                  <c:v>296.74781249396261</c:v>
                </c:pt>
                <c:pt idx="214">
                  <c:v>296.74781249396261</c:v>
                </c:pt>
                <c:pt idx="215">
                  <c:v>296.74781249396261</c:v>
                </c:pt>
                <c:pt idx="216">
                  <c:v>296.74781249396261</c:v>
                </c:pt>
                <c:pt idx="217">
                  <c:v>296.74781249396261</c:v>
                </c:pt>
                <c:pt idx="218">
                  <c:v>296.74781249396261</c:v>
                </c:pt>
                <c:pt idx="219">
                  <c:v>296.74781249396261</c:v>
                </c:pt>
                <c:pt idx="220">
                  <c:v>296.74781249396261</c:v>
                </c:pt>
                <c:pt idx="221">
                  <c:v>296.74781249396261</c:v>
                </c:pt>
                <c:pt idx="222">
                  <c:v>296.74781249396261</c:v>
                </c:pt>
                <c:pt idx="223">
                  <c:v>296.74781249396261</c:v>
                </c:pt>
                <c:pt idx="224">
                  <c:v>296.74781249396261</c:v>
                </c:pt>
                <c:pt idx="225">
                  <c:v>296.74781249396261</c:v>
                </c:pt>
                <c:pt idx="226">
                  <c:v>312.74781249396256</c:v>
                </c:pt>
                <c:pt idx="227">
                  <c:v>312.74781249396256</c:v>
                </c:pt>
                <c:pt idx="228">
                  <c:v>312.74781249396256</c:v>
                </c:pt>
                <c:pt idx="229">
                  <c:v>312.74781249396256</c:v>
                </c:pt>
                <c:pt idx="230">
                  <c:v>280.74781249396256</c:v>
                </c:pt>
                <c:pt idx="231">
                  <c:v>312.74781249396256</c:v>
                </c:pt>
                <c:pt idx="232">
                  <c:v>280.74781249396256</c:v>
                </c:pt>
                <c:pt idx="233">
                  <c:v>312.74781249396256</c:v>
                </c:pt>
                <c:pt idx="234">
                  <c:v>312.74781249396256</c:v>
                </c:pt>
                <c:pt idx="235">
                  <c:v>312.74781249396256</c:v>
                </c:pt>
                <c:pt idx="236">
                  <c:v>312.74781249396256</c:v>
                </c:pt>
                <c:pt idx="237">
                  <c:v>312.74781249396256</c:v>
                </c:pt>
                <c:pt idx="238">
                  <c:v>312.74781249396256</c:v>
                </c:pt>
                <c:pt idx="239">
                  <c:v>312.74781249396256</c:v>
                </c:pt>
                <c:pt idx="240">
                  <c:v>312.74781249396256</c:v>
                </c:pt>
                <c:pt idx="241">
                  <c:v>312.74781249396256</c:v>
                </c:pt>
                <c:pt idx="242">
                  <c:v>280.74781249396256</c:v>
                </c:pt>
                <c:pt idx="243">
                  <c:v>280.74781249396256</c:v>
                </c:pt>
                <c:pt idx="244">
                  <c:v>280.74781249396256</c:v>
                </c:pt>
                <c:pt idx="245">
                  <c:v>280.74781249396256</c:v>
                </c:pt>
                <c:pt idx="246">
                  <c:v>280.74781249396256</c:v>
                </c:pt>
                <c:pt idx="247">
                  <c:v>280.74781249396256</c:v>
                </c:pt>
                <c:pt idx="248">
                  <c:v>280.74781249396256</c:v>
                </c:pt>
                <c:pt idx="249">
                  <c:v>280.74781249396256</c:v>
                </c:pt>
                <c:pt idx="250">
                  <c:v>280.74781249396256</c:v>
                </c:pt>
                <c:pt idx="251">
                  <c:v>280.74781249396256</c:v>
                </c:pt>
                <c:pt idx="252">
                  <c:v>280.74781249396256</c:v>
                </c:pt>
                <c:pt idx="253">
                  <c:v>280.74781249396256</c:v>
                </c:pt>
                <c:pt idx="254">
                  <c:v>280.74781249396256</c:v>
                </c:pt>
                <c:pt idx="255">
                  <c:v>280.74781249396256</c:v>
                </c:pt>
                <c:pt idx="256">
                  <c:v>280.74781249396256</c:v>
                </c:pt>
                <c:pt idx="257">
                  <c:v>280.74781249396256</c:v>
                </c:pt>
                <c:pt idx="258">
                  <c:v>280.74781249396256</c:v>
                </c:pt>
                <c:pt idx="259">
                  <c:v>280.74781249396256</c:v>
                </c:pt>
                <c:pt idx="260">
                  <c:v>280.74781249396256</c:v>
                </c:pt>
                <c:pt idx="261">
                  <c:v>280.74781249396256</c:v>
                </c:pt>
                <c:pt idx="262">
                  <c:v>280.74781249396256</c:v>
                </c:pt>
                <c:pt idx="263">
                  <c:v>280.74781249396256</c:v>
                </c:pt>
                <c:pt idx="264">
                  <c:v>280.74781249396256</c:v>
                </c:pt>
                <c:pt idx="265">
                  <c:v>280.74781249396256</c:v>
                </c:pt>
                <c:pt idx="266">
                  <c:v>280.74781249396256</c:v>
                </c:pt>
                <c:pt idx="267">
                  <c:v>280.74781249396256</c:v>
                </c:pt>
                <c:pt idx="268">
                  <c:v>280.74781249396256</c:v>
                </c:pt>
                <c:pt idx="269">
                  <c:v>280.74781249396256</c:v>
                </c:pt>
                <c:pt idx="270">
                  <c:v>280.74781249396256</c:v>
                </c:pt>
                <c:pt idx="271">
                  <c:v>280.74781249396256</c:v>
                </c:pt>
                <c:pt idx="272">
                  <c:v>280.74781249396256</c:v>
                </c:pt>
                <c:pt idx="273">
                  <c:v>280.74781249396256</c:v>
                </c:pt>
                <c:pt idx="274">
                  <c:v>280.74781249396256</c:v>
                </c:pt>
                <c:pt idx="275">
                  <c:v>280.74781249396256</c:v>
                </c:pt>
                <c:pt idx="276">
                  <c:v>280.74781249396256</c:v>
                </c:pt>
                <c:pt idx="277">
                  <c:v>280.74781249396256</c:v>
                </c:pt>
                <c:pt idx="278">
                  <c:v>280.74781249396256</c:v>
                </c:pt>
                <c:pt idx="279">
                  <c:v>280.74781249396256</c:v>
                </c:pt>
                <c:pt idx="280">
                  <c:v>290.34781249396258</c:v>
                </c:pt>
                <c:pt idx="281">
                  <c:v>290.34781249396258</c:v>
                </c:pt>
                <c:pt idx="282">
                  <c:v>290.34781249396258</c:v>
                </c:pt>
                <c:pt idx="283">
                  <c:v>290.34781249396258</c:v>
                </c:pt>
                <c:pt idx="284">
                  <c:v>290.34781249396258</c:v>
                </c:pt>
                <c:pt idx="285">
                  <c:v>290.34781249396258</c:v>
                </c:pt>
                <c:pt idx="286">
                  <c:v>290.34781249396258</c:v>
                </c:pt>
                <c:pt idx="287">
                  <c:v>290.34781249396258</c:v>
                </c:pt>
                <c:pt idx="288">
                  <c:v>290.34781249396258</c:v>
                </c:pt>
                <c:pt idx="289">
                  <c:v>290.34781249396258</c:v>
                </c:pt>
                <c:pt idx="290">
                  <c:v>290.34781249396258</c:v>
                </c:pt>
                <c:pt idx="291">
                  <c:v>290.34781249396258</c:v>
                </c:pt>
                <c:pt idx="292">
                  <c:v>290.34781249396258</c:v>
                </c:pt>
                <c:pt idx="293">
                  <c:v>290.34781249396258</c:v>
                </c:pt>
                <c:pt idx="294">
                  <c:v>290.34781249396258</c:v>
                </c:pt>
                <c:pt idx="295">
                  <c:v>290.34781249396258</c:v>
                </c:pt>
                <c:pt idx="296">
                  <c:v>290.34781249396258</c:v>
                </c:pt>
                <c:pt idx="297">
                  <c:v>290.34781249396258</c:v>
                </c:pt>
                <c:pt idx="298">
                  <c:v>290.34781249396258</c:v>
                </c:pt>
                <c:pt idx="299">
                  <c:v>290.34781249396258</c:v>
                </c:pt>
                <c:pt idx="300">
                  <c:v>290.34781249396258</c:v>
                </c:pt>
                <c:pt idx="301">
                  <c:v>290.34781249396258</c:v>
                </c:pt>
                <c:pt idx="302">
                  <c:v>306.34781249396258</c:v>
                </c:pt>
                <c:pt idx="303">
                  <c:v>306.34781249396258</c:v>
                </c:pt>
                <c:pt idx="304">
                  <c:v>306.34781249396258</c:v>
                </c:pt>
                <c:pt idx="305">
                  <c:v>306.34781249396258</c:v>
                </c:pt>
                <c:pt idx="306">
                  <c:v>306.34781249396258</c:v>
                </c:pt>
                <c:pt idx="307">
                  <c:v>306.34781249396258</c:v>
                </c:pt>
                <c:pt idx="308">
                  <c:v>306.34781249396258</c:v>
                </c:pt>
                <c:pt idx="309">
                  <c:v>306.34781249396258</c:v>
                </c:pt>
                <c:pt idx="310">
                  <c:v>306.34781249396258</c:v>
                </c:pt>
                <c:pt idx="311">
                  <c:v>306.34781249396258</c:v>
                </c:pt>
                <c:pt idx="312">
                  <c:v>322.34781249396258</c:v>
                </c:pt>
                <c:pt idx="313">
                  <c:v>322.34781249396258</c:v>
                </c:pt>
                <c:pt idx="314">
                  <c:v>322.34781249396258</c:v>
                </c:pt>
                <c:pt idx="315">
                  <c:v>322.34781249396258</c:v>
                </c:pt>
                <c:pt idx="316">
                  <c:v>322.34781249396258</c:v>
                </c:pt>
                <c:pt idx="317">
                  <c:v>322.34781249396258</c:v>
                </c:pt>
                <c:pt idx="318">
                  <c:v>322.34781249396258</c:v>
                </c:pt>
                <c:pt idx="319">
                  <c:v>322.34781249396258</c:v>
                </c:pt>
                <c:pt idx="320">
                  <c:v>322.34781249396258</c:v>
                </c:pt>
                <c:pt idx="321">
                  <c:v>322.34781249396258</c:v>
                </c:pt>
                <c:pt idx="322">
                  <c:v>322.34781249396258</c:v>
                </c:pt>
                <c:pt idx="323">
                  <c:v>322.34781249396258</c:v>
                </c:pt>
                <c:pt idx="324">
                  <c:v>322.34781249396258</c:v>
                </c:pt>
                <c:pt idx="325">
                  <c:v>322.34781249396258</c:v>
                </c:pt>
                <c:pt idx="326">
                  <c:v>341.39543154158156</c:v>
                </c:pt>
                <c:pt idx="327">
                  <c:v>341.39543154158156</c:v>
                </c:pt>
                <c:pt idx="328">
                  <c:v>367.10971725586728</c:v>
                </c:pt>
                <c:pt idx="329">
                  <c:v>367.10971725586728</c:v>
                </c:pt>
                <c:pt idx="330">
                  <c:v>367.10971725586728</c:v>
                </c:pt>
                <c:pt idx="331">
                  <c:v>367.10971725586728</c:v>
                </c:pt>
                <c:pt idx="332">
                  <c:v>367.10971725586728</c:v>
                </c:pt>
                <c:pt idx="333">
                  <c:v>367.10971725586728</c:v>
                </c:pt>
                <c:pt idx="334">
                  <c:v>367.10971725586728</c:v>
                </c:pt>
                <c:pt idx="335">
                  <c:v>367.10971725586728</c:v>
                </c:pt>
                <c:pt idx="336">
                  <c:v>367.10971725586728</c:v>
                </c:pt>
                <c:pt idx="337">
                  <c:v>367.10971725586728</c:v>
                </c:pt>
                <c:pt idx="338">
                  <c:v>367.10971725586728</c:v>
                </c:pt>
                <c:pt idx="339">
                  <c:v>367.10971725586728</c:v>
                </c:pt>
                <c:pt idx="340">
                  <c:v>367.10971725586728</c:v>
                </c:pt>
                <c:pt idx="341">
                  <c:v>367.10971725586728</c:v>
                </c:pt>
                <c:pt idx="342">
                  <c:v>367.10971725586728</c:v>
                </c:pt>
                <c:pt idx="343">
                  <c:v>367.10971725586728</c:v>
                </c:pt>
                <c:pt idx="344">
                  <c:v>367.10971725586728</c:v>
                </c:pt>
                <c:pt idx="345">
                  <c:v>367.10971725586728</c:v>
                </c:pt>
                <c:pt idx="346">
                  <c:v>367.10971725586728</c:v>
                </c:pt>
                <c:pt idx="347">
                  <c:v>367.10971725586728</c:v>
                </c:pt>
                <c:pt idx="348">
                  <c:v>367.10971725586728</c:v>
                </c:pt>
                <c:pt idx="349">
                  <c:v>367.10971725586728</c:v>
                </c:pt>
                <c:pt idx="350">
                  <c:v>367.10971725586728</c:v>
                </c:pt>
                <c:pt idx="351">
                  <c:v>367.10971725586728</c:v>
                </c:pt>
                <c:pt idx="352">
                  <c:v>392.44305058920065</c:v>
                </c:pt>
                <c:pt idx="353">
                  <c:v>392.44305058920065</c:v>
                </c:pt>
                <c:pt idx="354">
                  <c:v>392.44305058920065</c:v>
                </c:pt>
                <c:pt idx="355">
                  <c:v>392.44305058920065</c:v>
                </c:pt>
                <c:pt idx="356">
                  <c:v>408.44305058920065</c:v>
                </c:pt>
                <c:pt idx="357">
                  <c:v>408.44305058920065</c:v>
                </c:pt>
                <c:pt idx="358">
                  <c:v>408.44305058920065</c:v>
                </c:pt>
                <c:pt idx="359">
                  <c:v>408.44305058920065</c:v>
                </c:pt>
                <c:pt idx="360">
                  <c:v>408.44305058920065</c:v>
                </c:pt>
                <c:pt idx="361">
                  <c:v>408.44305058920065</c:v>
                </c:pt>
                <c:pt idx="362">
                  <c:v>408.44305058920065</c:v>
                </c:pt>
                <c:pt idx="363">
                  <c:v>408.44305058920065</c:v>
                </c:pt>
                <c:pt idx="364">
                  <c:v>408.44305058920065</c:v>
                </c:pt>
                <c:pt idx="365">
                  <c:v>408.44305058920065</c:v>
                </c:pt>
                <c:pt idx="366">
                  <c:v>408.44305058920065</c:v>
                </c:pt>
                <c:pt idx="367">
                  <c:v>408.44305058920065</c:v>
                </c:pt>
                <c:pt idx="368">
                  <c:v>392.44305058920065</c:v>
                </c:pt>
                <c:pt idx="369">
                  <c:v>408.44305058920065</c:v>
                </c:pt>
                <c:pt idx="370">
                  <c:v>408.44305058920065</c:v>
                </c:pt>
                <c:pt idx="371">
                  <c:v>417.77638392253397</c:v>
                </c:pt>
                <c:pt idx="372">
                  <c:v>433.77638392253397</c:v>
                </c:pt>
                <c:pt idx="373">
                  <c:v>433.77638392253397</c:v>
                </c:pt>
                <c:pt idx="374">
                  <c:v>433.77638392253397</c:v>
                </c:pt>
                <c:pt idx="375">
                  <c:v>433.77638392253397</c:v>
                </c:pt>
                <c:pt idx="376">
                  <c:v>433.77638392253397</c:v>
                </c:pt>
                <c:pt idx="377">
                  <c:v>433.77638392253397</c:v>
                </c:pt>
                <c:pt idx="378">
                  <c:v>433.77638392253397</c:v>
                </c:pt>
                <c:pt idx="379">
                  <c:v>433.77638392253397</c:v>
                </c:pt>
                <c:pt idx="380">
                  <c:v>433.77638392253397</c:v>
                </c:pt>
                <c:pt idx="381">
                  <c:v>449.77638392253397</c:v>
                </c:pt>
                <c:pt idx="382">
                  <c:v>433.77638392253397</c:v>
                </c:pt>
                <c:pt idx="383">
                  <c:v>433.77638392253397</c:v>
                </c:pt>
                <c:pt idx="384">
                  <c:v>433.77638392253397</c:v>
                </c:pt>
                <c:pt idx="385">
                  <c:v>433.77638392253397</c:v>
                </c:pt>
                <c:pt idx="386">
                  <c:v>433.77638392253397</c:v>
                </c:pt>
                <c:pt idx="387">
                  <c:v>433.77638392253397</c:v>
                </c:pt>
                <c:pt idx="388">
                  <c:v>433.77638392253397</c:v>
                </c:pt>
                <c:pt idx="389">
                  <c:v>433.77638392253397</c:v>
                </c:pt>
                <c:pt idx="390">
                  <c:v>433.77638392253397</c:v>
                </c:pt>
                <c:pt idx="391">
                  <c:v>433.77638392253397</c:v>
                </c:pt>
                <c:pt idx="392">
                  <c:v>433.77638392253397</c:v>
                </c:pt>
                <c:pt idx="393">
                  <c:v>433.77638392253397</c:v>
                </c:pt>
                <c:pt idx="394">
                  <c:v>417.77638392253397</c:v>
                </c:pt>
                <c:pt idx="395">
                  <c:v>425.77638392253397</c:v>
                </c:pt>
                <c:pt idx="396">
                  <c:v>425.77638392253397</c:v>
                </c:pt>
                <c:pt idx="397">
                  <c:v>393.77638392253397</c:v>
                </c:pt>
                <c:pt idx="398">
                  <c:v>393.77638392253397</c:v>
                </c:pt>
                <c:pt idx="399">
                  <c:v>361.77638392253397</c:v>
                </c:pt>
                <c:pt idx="400">
                  <c:v>337.77638392253402</c:v>
                </c:pt>
                <c:pt idx="401">
                  <c:v>337.77638392253402</c:v>
                </c:pt>
                <c:pt idx="402">
                  <c:v>337.77638392253402</c:v>
                </c:pt>
                <c:pt idx="403">
                  <c:v>337.77638392253402</c:v>
                </c:pt>
                <c:pt idx="404">
                  <c:v>337.77638392253402</c:v>
                </c:pt>
                <c:pt idx="405">
                  <c:v>337.77638392253402</c:v>
                </c:pt>
                <c:pt idx="406">
                  <c:v>337.77638392253402</c:v>
                </c:pt>
                <c:pt idx="407">
                  <c:v>337.77638392253402</c:v>
                </c:pt>
                <c:pt idx="408">
                  <c:v>337.77638392253402</c:v>
                </c:pt>
                <c:pt idx="409">
                  <c:v>337.77638392253402</c:v>
                </c:pt>
                <c:pt idx="410">
                  <c:v>337.77638392253402</c:v>
                </c:pt>
                <c:pt idx="411">
                  <c:v>337.77638392253402</c:v>
                </c:pt>
                <c:pt idx="412">
                  <c:v>337.77638392253402</c:v>
                </c:pt>
                <c:pt idx="413">
                  <c:v>337.77638392253402</c:v>
                </c:pt>
                <c:pt idx="414">
                  <c:v>337.77638392253402</c:v>
                </c:pt>
                <c:pt idx="415">
                  <c:v>337.77638392253402</c:v>
                </c:pt>
                <c:pt idx="416">
                  <c:v>337.77638392253402</c:v>
                </c:pt>
                <c:pt idx="417">
                  <c:v>337.77638392253402</c:v>
                </c:pt>
                <c:pt idx="418">
                  <c:v>337.77638392253402</c:v>
                </c:pt>
                <c:pt idx="419">
                  <c:v>337.77638392253402</c:v>
                </c:pt>
                <c:pt idx="420">
                  <c:v>353.77638392253402</c:v>
                </c:pt>
                <c:pt idx="421">
                  <c:v>353.77638392253402</c:v>
                </c:pt>
                <c:pt idx="422">
                  <c:v>353.77638392253402</c:v>
                </c:pt>
                <c:pt idx="423">
                  <c:v>353.77638392253402</c:v>
                </c:pt>
                <c:pt idx="424">
                  <c:v>353.77638392253402</c:v>
                </c:pt>
                <c:pt idx="425">
                  <c:v>353.77638392253402</c:v>
                </c:pt>
                <c:pt idx="426">
                  <c:v>353.77638392253402</c:v>
                </c:pt>
                <c:pt idx="427">
                  <c:v>353.77638392253402</c:v>
                </c:pt>
                <c:pt idx="428">
                  <c:v>353.77638392253402</c:v>
                </c:pt>
                <c:pt idx="429">
                  <c:v>353.77638392253402</c:v>
                </c:pt>
                <c:pt idx="430">
                  <c:v>353.77638392253402</c:v>
                </c:pt>
                <c:pt idx="431">
                  <c:v>353.77638392253402</c:v>
                </c:pt>
                <c:pt idx="432">
                  <c:v>353.77638392253402</c:v>
                </c:pt>
                <c:pt idx="433">
                  <c:v>353.77638392253402</c:v>
                </c:pt>
                <c:pt idx="434">
                  <c:v>353.77638392253402</c:v>
                </c:pt>
                <c:pt idx="435">
                  <c:v>353.77638392253402</c:v>
                </c:pt>
                <c:pt idx="436">
                  <c:v>353.77638392253402</c:v>
                </c:pt>
                <c:pt idx="437">
                  <c:v>369.77638392253402</c:v>
                </c:pt>
                <c:pt idx="438">
                  <c:v>369.77638392253402</c:v>
                </c:pt>
                <c:pt idx="439">
                  <c:v>369.77638392253402</c:v>
                </c:pt>
                <c:pt idx="440">
                  <c:v>369.77638392253402</c:v>
                </c:pt>
                <c:pt idx="441">
                  <c:v>369.77638392253402</c:v>
                </c:pt>
                <c:pt idx="442">
                  <c:v>369.77638392253402</c:v>
                </c:pt>
                <c:pt idx="443">
                  <c:v>369.77638392253402</c:v>
                </c:pt>
                <c:pt idx="444">
                  <c:v>376.81638392253404</c:v>
                </c:pt>
                <c:pt idx="445">
                  <c:v>376.81638392253404</c:v>
                </c:pt>
                <c:pt idx="446">
                  <c:v>376.81638392253404</c:v>
                </c:pt>
                <c:pt idx="447">
                  <c:v>392.81638392253404</c:v>
                </c:pt>
                <c:pt idx="448">
                  <c:v>392.81638392253404</c:v>
                </c:pt>
                <c:pt idx="449">
                  <c:v>392.81638392253404</c:v>
                </c:pt>
                <c:pt idx="450">
                  <c:v>392.81638392253404</c:v>
                </c:pt>
                <c:pt idx="451">
                  <c:v>392.81638392253404</c:v>
                </c:pt>
                <c:pt idx="452">
                  <c:v>392.81638392253404</c:v>
                </c:pt>
                <c:pt idx="453">
                  <c:v>392.81638392253404</c:v>
                </c:pt>
                <c:pt idx="454">
                  <c:v>392.81638392253404</c:v>
                </c:pt>
                <c:pt idx="455">
                  <c:v>392.81638392253404</c:v>
                </c:pt>
                <c:pt idx="456">
                  <c:v>392.81638392253404</c:v>
                </c:pt>
                <c:pt idx="457">
                  <c:v>392.81638392253404</c:v>
                </c:pt>
                <c:pt idx="458">
                  <c:v>392.81638392253404</c:v>
                </c:pt>
                <c:pt idx="459">
                  <c:v>392.81638392253404</c:v>
                </c:pt>
                <c:pt idx="460">
                  <c:v>392.81638392253404</c:v>
                </c:pt>
                <c:pt idx="461">
                  <c:v>392.81638392253404</c:v>
                </c:pt>
                <c:pt idx="462">
                  <c:v>392.81638392253404</c:v>
                </c:pt>
                <c:pt idx="463">
                  <c:v>392.81638392253404</c:v>
                </c:pt>
                <c:pt idx="464">
                  <c:v>392.81638392253404</c:v>
                </c:pt>
                <c:pt idx="465">
                  <c:v>392.81638392253404</c:v>
                </c:pt>
                <c:pt idx="466">
                  <c:v>392.81638392253404</c:v>
                </c:pt>
                <c:pt idx="467">
                  <c:v>392.81638392253404</c:v>
                </c:pt>
                <c:pt idx="468">
                  <c:v>392.81638392253404</c:v>
                </c:pt>
                <c:pt idx="469">
                  <c:v>392.81638392253404</c:v>
                </c:pt>
                <c:pt idx="470">
                  <c:v>392.81638392253404</c:v>
                </c:pt>
                <c:pt idx="471">
                  <c:v>392.81638392253404</c:v>
                </c:pt>
                <c:pt idx="472">
                  <c:v>392.81638392253404</c:v>
                </c:pt>
                <c:pt idx="473">
                  <c:v>392.81638392253404</c:v>
                </c:pt>
                <c:pt idx="474">
                  <c:v>408.81638392253404</c:v>
                </c:pt>
                <c:pt idx="475">
                  <c:v>424.81638392253404</c:v>
                </c:pt>
                <c:pt idx="476">
                  <c:v>456.81638392253404</c:v>
                </c:pt>
                <c:pt idx="477">
                  <c:v>472.81638392253404</c:v>
                </c:pt>
                <c:pt idx="478">
                  <c:v>472.81638392253404</c:v>
                </c:pt>
                <c:pt idx="479">
                  <c:v>488.81638392253404</c:v>
                </c:pt>
                <c:pt idx="480">
                  <c:v>504.81638392253404</c:v>
                </c:pt>
                <c:pt idx="481">
                  <c:v>504.81638392253404</c:v>
                </c:pt>
                <c:pt idx="482">
                  <c:v>504.81638392253404</c:v>
                </c:pt>
                <c:pt idx="483">
                  <c:v>504.81638392253404</c:v>
                </c:pt>
                <c:pt idx="484">
                  <c:v>504.81638392253404</c:v>
                </c:pt>
                <c:pt idx="485">
                  <c:v>472.81638392253404</c:v>
                </c:pt>
                <c:pt idx="486">
                  <c:v>472.81638392253404</c:v>
                </c:pt>
                <c:pt idx="487">
                  <c:v>488.81638392253404</c:v>
                </c:pt>
                <c:pt idx="488">
                  <c:v>488.81638392253404</c:v>
                </c:pt>
                <c:pt idx="489">
                  <c:v>488.81638392253404</c:v>
                </c:pt>
                <c:pt idx="490">
                  <c:v>488.81638392253404</c:v>
                </c:pt>
                <c:pt idx="491">
                  <c:v>488.81638392253404</c:v>
                </c:pt>
                <c:pt idx="492">
                  <c:v>488.81638392253404</c:v>
                </c:pt>
                <c:pt idx="493">
                  <c:v>488.81638392253404</c:v>
                </c:pt>
                <c:pt idx="494">
                  <c:v>488.81638392253404</c:v>
                </c:pt>
                <c:pt idx="495">
                  <c:v>488.81638392253404</c:v>
                </c:pt>
                <c:pt idx="496">
                  <c:v>488.81638392253404</c:v>
                </c:pt>
                <c:pt idx="497">
                  <c:v>488.81638392253404</c:v>
                </c:pt>
                <c:pt idx="498">
                  <c:v>488.81638392253404</c:v>
                </c:pt>
                <c:pt idx="499">
                  <c:v>488.81638392253404</c:v>
                </c:pt>
                <c:pt idx="500">
                  <c:v>488.81638392253404</c:v>
                </c:pt>
                <c:pt idx="501">
                  <c:v>504.81638392253404</c:v>
                </c:pt>
                <c:pt idx="502">
                  <c:v>504.81638392253404</c:v>
                </c:pt>
                <c:pt idx="503">
                  <c:v>504.81638392253404</c:v>
                </c:pt>
                <c:pt idx="504">
                  <c:v>504.81638392253404</c:v>
                </c:pt>
                <c:pt idx="505">
                  <c:v>520.8163839225341</c:v>
                </c:pt>
                <c:pt idx="506">
                  <c:v>520.8163839225341</c:v>
                </c:pt>
                <c:pt idx="507">
                  <c:v>520.8163839225341</c:v>
                </c:pt>
                <c:pt idx="508">
                  <c:v>520.8163839225341</c:v>
                </c:pt>
                <c:pt idx="509">
                  <c:v>520.8163839225341</c:v>
                </c:pt>
                <c:pt idx="510">
                  <c:v>520.8163839225341</c:v>
                </c:pt>
                <c:pt idx="511">
                  <c:v>523.63991333429885</c:v>
                </c:pt>
                <c:pt idx="512">
                  <c:v>523.63991333429885</c:v>
                </c:pt>
                <c:pt idx="513">
                  <c:v>523.63991333429885</c:v>
                </c:pt>
                <c:pt idx="514">
                  <c:v>523.63991333429885</c:v>
                </c:pt>
                <c:pt idx="515">
                  <c:v>523.63991333429885</c:v>
                </c:pt>
                <c:pt idx="516">
                  <c:v>523.63991333429885</c:v>
                </c:pt>
                <c:pt idx="517">
                  <c:v>523.63991333429885</c:v>
                </c:pt>
                <c:pt idx="518">
                  <c:v>555.63991333429885</c:v>
                </c:pt>
                <c:pt idx="519">
                  <c:v>571.63991333429885</c:v>
                </c:pt>
                <c:pt idx="520">
                  <c:v>571.63991333429885</c:v>
                </c:pt>
                <c:pt idx="521">
                  <c:v>571.63991333429885</c:v>
                </c:pt>
                <c:pt idx="522">
                  <c:v>587.63991333429885</c:v>
                </c:pt>
                <c:pt idx="523">
                  <c:v>587.63991333429885</c:v>
                </c:pt>
                <c:pt idx="524">
                  <c:v>587.63991333429885</c:v>
                </c:pt>
                <c:pt idx="525">
                  <c:v>558.83991333429879</c:v>
                </c:pt>
                <c:pt idx="526">
                  <c:v>558.83991333429879</c:v>
                </c:pt>
                <c:pt idx="527">
                  <c:v>558.83991333429879</c:v>
                </c:pt>
                <c:pt idx="528">
                  <c:v>558.83991333429879</c:v>
                </c:pt>
                <c:pt idx="529">
                  <c:v>558.83991333429879</c:v>
                </c:pt>
                <c:pt idx="530">
                  <c:v>558.83991333429879</c:v>
                </c:pt>
                <c:pt idx="531">
                  <c:v>558.83991333429879</c:v>
                </c:pt>
                <c:pt idx="532">
                  <c:v>558.83991333429879</c:v>
                </c:pt>
                <c:pt idx="533">
                  <c:v>558.83991333429879</c:v>
                </c:pt>
                <c:pt idx="534">
                  <c:v>558.83991333429879</c:v>
                </c:pt>
                <c:pt idx="535">
                  <c:v>558.83991333429879</c:v>
                </c:pt>
                <c:pt idx="536">
                  <c:v>558.83991333429879</c:v>
                </c:pt>
                <c:pt idx="537">
                  <c:v>558.83991333429879</c:v>
                </c:pt>
                <c:pt idx="538">
                  <c:v>558.83991333429879</c:v>
                </c:pt>
                <c:pt idx="539">
                  <c:v>558.83991333429879</c:v>
                </c:pt>
                <c:pt idx="540">
                  <c:v>558.83991333429879</c:v>
                </c:pt>
                <c:pt idx="541">
                  <c:v>558.83991333429879</c:v>
                </c:pt>
                <c:pt idx="542">
                  <c:v>558.83991333429879</c:v>
                </c:pt>
                <c:pt idx="543">
                  <c:v>558.83991333429879</c:v>
                </c:pt>
                <c:pt idx="544">
                  <c:v>558.83991333429879</c:v>
                </c:pt>
                <c:pt idx="545">
                  <c:v>558.83991333429879</c:v>
                </c:pt>
                <c:pt idx="546">
                  <c:v>606.83991333429879</c:v>
                </c:pt>
                <c:pt idx="547">
                  <c:v>674.03991333429883</c:v>
                </c:pt>
                <c:pt idx="548">
                  <c:v>606.83991333429879</c:v>
                </c:pt>
                <c:pt idx="549">
                  <c:v>606.83991333429879</c:v>
                </c:pt>
                <c:pt idx="550">
                  <c:v>622.83991333429879</c:v>
                </c:pt>
                <c:pt idx="551">
                  <c:v>658.03991333429883</c:v>
                </c:pt>
                <c:pt idx="552">
                  <c:v>674.03991333429883</c:v>
                </c:pt>
                <c:pt idx="553">
                  <c:v>706.03991333429883</c:v>
                </c:pt>
                <c:pt idx="554">
                  <c:v>732.70658000096557</c:v>
                </c:pt>
                <c:pt idx="555">
                  <c:v>676.67714277152845</c:v>
                </c:pt>
                <c:pt idx="556">
                  <c:v>732.70658000096557</c:v>
                </c:pt>
                <c:pt idx="557">
                  <c:v>732.70658000096557</c:v>
                </c:pt>
                <c:pt idx="558">
                  <c:v>732.70658000096557</c:v>
                </c:pt>
                <c:pt idx="559">
                  <c:v>732.70658000096557</c:v>
                </c:pt>
                <c:pt idx="560">
                  <c:v>700.70658000096557</c:v>
                </c:pt>
                <c:pt idx="561">
                  <c:v>700.70658000096557</c:v>
                </c:pt>
                <c:pt idx="562">
                  <c:v>700.70658000096557</c:v>
                </c:pt>
                <c:pt idx="563">
                  <c:v>700.70658000096557</c:v>
                </c:pt>
                <c:pt idx="564">
                  <c:v>700.70658000096557</c:v>
                </c:pt>
                <c:pt idx="565">
                  <c:v>700.70658000096557</c:v>
                </c:pt>
                <c:pt idx="566">
                  <c:v>700.70658000096557</c:v>
                </c:pt>
                <c:pt idx="567">
                  <c:v>700.70658000096557</c:v>
                </c:pt>
                <c:pt idx="568">
                  <c:v>775.76285705724263</c:v>
                </c:pt>
                <c:pt idx="569">
                  <c:v>700.70658000096557</c:v>
                </c:pt>
                <c:pt idx="570">
                  <c:v>700.70658000096557</c:v>
                </c:pt>
                <c:pt idx="571">
                  <c:v>775.76285705724263</c:v>
                </c:pt>
                <c:pt idx="572">
                  <c:v>700.70658000096557</c:v>
                </c:pt>
                <c:pt idx="573">
                  <c:v>700.70658000096557</c:v>
                </c:pt>
                <c:pt idx="574">
                  <c:v>700.70658000096557</c:v>
                </c:pt>
                <c:pt idx="575">
                  <c:v>775.76285705724263</c:v>
                </c:pt>
                <c:pt idx="576">
                  <c:v>676.67714277152845</c:v>
                </c:pt>
                <c:pt idx="577">
                  <c:v>716.70658000096557</c:v>
                </c:pt>
                <c:pt idx="578">
                  <c:v>716.70658000096557</c:v>
                </c:pt>
                <c:pt idx="579">
                  <c:v>716.70658000096557</c:v>
                </c:pt>
                <c:pt idx="580">
                  <c:v>716.70658000096557</c:v>
                </c:pt>
                <c:pt idx="581">
                  <c:v>706.03991333429894</c:v>
                </c:pt>
                <c:pt idx="582">
                  <c:v>706.03991333429894</c:v>
                </c:pt>
                <c:pt idx="583">
                  <c:v>784.03991333429894</c:v>
                </c:pt>
                <c:pt idx="584">
                  <c:v>706.03991333429894</c:v>
                </c:pt>
                <c:pt idx="585">
                  <c:v>706.03991333429894</c:v>
                </c:pt>
                <c:pt idx="586">
                  <c:v>802.03991333429894</c:v>
                </c:pt>
                <c:pt idx="587">
                  <c:v>722.03991333429894</c:v>
                </c:pt>
                <c:pt idx="588">
                  <c:v>722.03991333429894</c:v>
                </c:pt>
                <c:pt idx="589">
                  <c:v>738.03991333429894</c:v>
                </c:pt>
                <c:pt idx="590">
                  <c:v>738.03991333429894</c:v>
                </c:pt>
                <c:pt idx="591">
                  <c:v>754.03991333429894</c:v>
                </c:pt>
                <c:pt idx="592">
                  <c:v>770.03991333429894</c:v>
                </c:pt>
                <c:pt idx="593">
                  <c:v>802.03991333429894</c:v>
                </c:pt>
                <c:pt idx="594">
                  <c:v>802.03991333429894</c:v>
                </c:pt>
                <c:pt idx="595">
                  <c:v>802.03991333429894</c:v>
                </c:pt>
                <c:pt idx="596">
                  <c:v>818.03991333429894</c:v>
                </c:pt>
                <c:pt idx="597">
                  <c:v>818.03991333429894</c:v>
                </c:pt>
                <c:pt idx="598">
                  <c:v>818.03991333429894</c:v>
                </c:pt>
                <c:pt idx="599">
                  <c:v>784.03991333429894</c:v>
                </c:pt>
                <c:pt idx="600">
                  <c:v>818.03991333429894</c:v>
                </c:pt>
                <c:pt idx="601">
                  <c:v>818.03991333429894</c:v>
                </c:pt>
                <c:pt idx="602">
                  <c:v>818.03991333429894</c:v>
                </c:pt>
                <c:pt idx="603">
                  <c:v>818.03991333429894</c:v>
                </c:pt>
                <c:pt idx="604">
                  <c:v>818.03991333429894</c:v>
                </c:pt>
                <c:pt idx="605">
                  <c:v>800.03991333429894</c:v>
                </c:pt>
                <c:pt idx="606">
                  <c:v>800.03991333429894</c:v>
                </c:pt>
                <c:pt idx="607">
                  <c:v>800.03991333429894</c:v>
                </c:pt>
                <c:pt idx="608">
                  <c:v>768.03991333429894</c:v>
                </c:pt>
                <c:pt idx="609">
                  <c:v>752.03991333429894</c:v>
                </c:pt>
                <c:pt idx="610">
                  <c:v>768.03991333429894</c:v>
                </c:pt>
                <c:pt idx="611">
                  <c:v>768.03991333429894</c:v>
                </c:pt>
                <c:pt idx="612">
                  <c:v>784.03991333429894</c:v>
                </c:pt>
                <c:pt idx="613">
                  <c:v>784.03991333429894</c:v>
                </c:pt>
                <c:pt idx="614">
                  <c:v>784.03991333429894</c:v>
                </c:pt>
                <c:pt idx="615">
                  <c:v>784.03991333429894</c:v>
                </c:pt>
                <c:pt idx="616">
                  <c:v>784.03991333429894</c:v>
                </c:pt>
                <c:pt idx="617">
                  <c:v>784.03991333429894</c:v>
                </c:pt>
                <c:pt idx="618">
                  <c:v>784.03991333429894</c:v>
                </c:pt>
                <c:pt idx="619">
                  <c:v>784.03991333429894</c:v>
                </c:pt>
                <c:pt idx="620">
                  <c:v>775.76285705724263</c:v>
                </c:pt>
                <c:pt idx="621">
                  <c:v>800.03991333429894</c:v>
                </c:pt>
                <c:pt idx="622">
                  <c:v>800.03991333429894</c:v>
                </c:pt>
                <c:pt idx="623">
                  <c:v>816.03991333429894</c:v>
                </c:pt>
                <c:pt idx="624">
                  <c:v>832.03991333429894</c:v>
                </c:pt>
                <c:pt idx="625">
                  <c:v>848.03991333429894</c:v>
                </c:pt>
                <c:pt idx="626">
                  <c:v>848.03991333429894</c:v>
                </c:pt>
                <c:pt idx="627">
                  <c:v>775.76285705724263</c:v>
                </c:pt>
                <c:pt idx="628">
                  <c:v>848.03991333429894</c:v>
                </c:pt>
                <c:pt idx="629">
                  <c:v>848.03991333429894</c:v>
                </c:pt>
                <c:pt idx="630">
                  <c:v>848.03991333429894</c:v>
                </c:pt>
                <c:pt idx="631">
                  <c:v>848.03991333429894</c:v>
                </c:pt>
                <c:pt idx="632">
                  <c:v>848.03991333429894</c:v>
                </c:pt>
                <c:pt idx="633">
                  <c:v>848.03991333429894</c:v>
                </c:pt>
                <c:pt idx="634">
                  <c:v>848.03991333429894</c:v>
                </c:pt>
                <c:pt idx="635">
                  <c:v>848.03991333429894</c:v>
                </c:pt>
                <c:pt idx="636">
                  <c:v>848.03991333429894</c:v>
                </c:pt>
                <c:pt idx="637">
                  <c:v>848.03991333429894</c:v>
                </c:pt>
                <c:pt idx="638">
                  <c:v>816.03991333429894</c:v>
                </c:pt>
                <c:pt idx="639">
                  <c:v>775.76285705724263</c:v>
                </c:pt>
                <c:pt idx="640">
                  <c:v>800.03991333429894</c:v>
                </c:pt>
                <c:pt idx="641">
                  <c:v>768.03991333429894</c:v>
                </c:pt>
                <c:pt idx="642">
                  <c:v>775.76285705724263</c:v>
                </c:pt>
                <c:pt idx="643">
                  <c:v>768.03991333429894</c:v>
                </c:pt>
                <c:pt idx="644">
                  <c:v>768.03991333429894</c:v>
                </c:pt>
                <c:pt idx="645">
                  <c:v>738.32562762001328</c:v>
                </c:pt>
                <c:pt idx="646">
                  <c:v>768.03991333429894</c:v>
                </c:pt>
                <c:pt idx="647">
                  <c:v>738.32562762001328</c:v>
                </c:pt>
                <c:pt idx="648">
                  <c:v>768.03991333429894</c:v>
                </c:pt>
                <c:pt idx="649">
                  <c:v>768.03991333429894</c:v>
                </c:pt>
                <c:pt idx="650">
                  <c:v>768.03991333429894</c:v>
                </c:pt>
                <c:pt idx="651">
                  <c:v>768.03991333429894</c:v>
                </c:pt>
                <c:pt idx="652">
                  <c:v>768.03991333429894</c:v>
                </c:pt>
                <c:pt idx="653">
                  <c:v>768.03991333429894</c:v>
                </c:pt>
                <c:pt idx="654">
                  <c:v>768.03991333429894</c:v>
                </c:pt>
                <c:pt idx="655">
                  <c:v>768.03991333429894</c:v>
                </c:pt>
                <c:pt idx="656">
                  <c:v>768.03991333429894</c:v>
                </c:pt>
                <c:pt idx="657">
                  <c:v>768.03991333429894</c:v>
                </c:pt>
                <c:pt idx="658">
                  <c:v>768.03991333429894</c:v>
                </c:pt>
                <c:pt idx="659">
                  <c:v>752.03991333429894</c:v>
                </c:pt>
                <c:pt idx="660">
                  <c:v>752.03991333429894</c:v>
                </c:pt>
                <c:pt idx="661">
                  <c:v>752.03991333429894</c:v>
                </c:pt>
                <c:pt idx="662">
                  <c:v>752.03991333429894</c:v>
                </c:pt>
                <c:pt idx="663">
                  <c:v>752.03991333429894</c:v>
                </c:pt>
                <c:pt idx="664">
                  <c:v>706.32562762001328</c:v>
                </c:pt>
                <c:pt idx="665">
                  <c:v>690.32562762001328</c:v>
                </c:pt>
                <c:pt idx="666">
                  <c:v>738.32562762001328</c:v>
                </c:pt>
                <c:pt idx="667">
                  <c:v>690.32562762001328</c:v>
                </c:pt>
                <c:pt idx="668">
                  <c:v>690.32562762001328</c:v>
                </c:pt>
                <c:pt idx="669">
                  <c:v>706.32562762001328</c:v>
                </c:pt>
                <c:pt idx="670">
                  <c:v>706.32562762001328</c:v>
                </c:pt>
                <c:pt idx="671">
                  <c:v>706.32562762001328</c:v>
                </c:pt>
                <c:pt idx="672">
                  <c:v>706.32562762001328</c:v>
                </c:pt>
                <c:pt idx="673">
                  <c:v>706.32562762001328</c:v>
                </c:pt>
                <c:pt idx="674">
                  <c:v>706.32562762001328</c:v>
                </c:pt>
                <c:pt idx="675">
                  <c:v>706.32562762001328</c:v>
                </c:pt>
                <c:pt idx="676">
                  <c:v>706.32562762001328</c:v>
                </c:pt>
                <c:pt idx="677">
                  <c:v>706.32562762001328</c:v>
                </c:pt>
                <c:pt idx="678">
                  <c:v>706.32562762001328</c:v>
                </c:pt>
                <c:pt idx="679">
                  <c:v>706.32562762001328</c:v>
                </c:pt>
                <c:pt idx="680">
                  <c:v>706.32562762001328</c:v>
                </c:pt>
                <c:pt idx="681">
                  <c:v>706.32562762001328</c:v>
                </c:pt>
                <c:pt idx="682">
                  <c:v>706.32562762001328</c:v>
                </c:pt>
                <c:pt idx="683">
                  <c:v>706.32562762001328</c:v>
                </c:pt>
                <c:pt idx="684">
                  <c:v>706.32562762001328</c:v>
                </c:pt>
                <c:pt idx="685">
                  <c:v>706.32562762001328</c:v>
                </c:pt>
                <c:pt idx="686">
                  <c:v>706.32562762001328</c:v>
                </c:pt>
                <c:pt idx="687">
                  <c:v>706.32562762001328</c:v>
                </c:pt>
                <c:pt idx="688">
                  <c:v>706.32562762001328</c:v>
                </c:pt>
                <c:pt idx="689">
                  <c:v>706.32562762001328</c:v>
                </c:pt>
                <c:pt idx="690">
                  <c:v>706.32562762001328</c:v>
                </c:pt>
                <c:pt idx="691">
                  <c:v>706.32562762001328</c:v>
                </c:pt>
                <c:pt idx="692">
                  <c:v>706.32562762001328</c:v>
                </c:pt>
                <c:pt idx="693">
                  <c:v>706.32562762001328</c:v>
                </c:pt>
                <c:pt idx="694">
                  <c:v>706.32562762001328</c:v>
                </c:pt>
                <c:pt idx="695">
                  <c:v>706.32562762001328</c:v>
                </c:pt>
                <c:pt idx="696">
                  <c:v>706.32562762001328</c:v>
                </c:pt>
                <c:pt idx="697">
                  <c:v>706.32562762001328</c:v>
                </c:pt>
                <c:pt idx="698">
                  <c:v>706.32562762001328</c:v>
                </c:pt>
                <c:pt idx="699">
                  <c:v>706.32562762001328</c:v>
                </c:pt>
                <c:pt idx="700">
                  <c:v>706.32562762001328</c:v>
                </c:pt>
                <c:pt idx="701">
                  <c:v>706.32562762001328</c:v>
                </c:pt>
                <c:pt idx="702">
                  <c:v>738.32562762001328</c:v>
                </c:pt>
                <c:pt idx="703">
                  <c:v>706.32562762001328</c:v>
                </c:pt>
                <c:pt idx="704">
                  <c:v>706.32562762001328</c:v>
                </c:pt>
                <c:pt idx="705">
                  <c:v>706.32562762001328</c:v>
                </c:pt>
                <c:pt idx="706">
                  <c:v>706.32562762001328</c:v>
                </c:pt>
                <c:pt idx="707">
                  <c:v>706.32562762001328</c:v>
                </c:pt>
                <c:pt idx="708">
                  <c:v>706.32562762001328</c:v>
                </c:pt>
                <c:pt idx="709">
                  <c:v>722.32562762001328</c:v>
                </c:pt>
                <c:pt idx="710">
                  <c:v>738.32562762001328</c:v>
                </c:pt>
                <c:pt idx="711">
                  <c:v>738.32562762001328</c:v>
                </c:pt>
                <c:pt idx="712">
                  <c:v>738.32562762001328</c:v>
                </c:pt>
                <c:pt idx="713">
                  <c:v>738.32562762001328</c:v>
                </c:pt>
                <c:pt idx="714">
                  <c:v>738.32562762001328</c:v>
                </c:pt>
                <c:pt idx="715">
                  <c:v>738.32562762001328</c:v>
                </c:pt>
                <c:pt idx="716">
                  <c:v>738.32562762001328</c:v>
                </c:pt>
                <c:pt idx="717">
                  <c:v>738.32562762001328</c:v>
                </c:pt>
                <c:pt idx="718">
                  <c:v>738.32562762001328</c:v>
                </c:pt>
                <c:pt idx="719">
                  <c:v>738.32562762001328</c:v>
                </c:pt>
                <c:pt idx="720">
                  <c:v>738.32562762001328</c:v>
                </c:pt>
                <c:pt idx="721">
                  <c:v>738.32562762001328</c:v>
                </c:pt>
                <c:pt idx="722">
                  <c:v>738.32562762001328</c:v>
                </c:pt>
                <c:pt idx="723">
                  <c:v>738.32562762001328</c:v>
                </c:pt>
                <c:pt idx="724">
                  <c:v>738.32562762001328</c:v>
                </c:pt>
                <c:pt idx="725">
                  <c:v>738.32562762001328</c:v>
                </c:pt>
                <c:pt idx="726">
                  <c:v>738.32562762001328</c:v>
                </c:pt>
                <c:pt idx="727">
                  <c:v>738.32562762001328</c:v>
                </c:pt>
                <c:pt idx="728">
                  <c:v>738.32562762001328</c:v>
                </c:pt>
                <c:pt idx="729">
                  <c:v>738.32562762001328</c:v>
                </c:pt>
                <c:pt idx="730">
                  <c:v>738.32562762001328</c:v>
                </c:pt>
                <c:pt idx="731">
                  <c:v>775.76285705724263</c:v>
                </c:pt>
                <c:pt idx="732">
                  <c:v>676.61134190572739</c:v>
                </c:pt>
                <c:pt idx="733">
                  <c:v>738.32562762001328</c:v>
                </c:pt>
                <c:pt idx="734">
                  <c:v>738.32562762001328</c:v>
                </c:pt>
                <c:pt idx="735">
                  <c:v>738.32562762001328</c:v>
                </c:pt>
                <c:pt idx="736">
                  <c:v>738.32562762001328</c:v>
                </c:pt>
                <c:pt idx="737">
                  <c:v>738.32562762001328</c:v>
                </c:pt>
                <c:pt idx="738">
                  <c:v>676.61134190572739</c:v>
                </c:pt>
                <c:pt idx="739">
                  <c:v>738.32562762001328</c:v>
                </c:pt>
                <c:pt idx="740">
                  <c:v>738.32562762001328</c:v>
                </c:pt>
                <c:pt idx="741">
                  <c:v>754.32562762001328</c:v>
                </c:pt>
                <c:pt idx="742">
                  <c:v>738.32562762001328</c:v>
                </c:pt>
                <c:pt idx="743">
                  <c:v>738.32562762001328</c:v>
                </c:pt>
                <c:pt idx="744">
                  <c:v>738.32562762001328</c:v>
                </c:pt>
                <c:pt idx="745">
                  <c:v>738.32562762001328</c:v>
                </c:pt>
                <c:pt idx="746">
                  <c:v>754.32562762001328</c:v>
                </c:pt>
                <c:pt idx="747">
                  <c:v>738.32562762001328</c:v>
                </c:pt>
                <c:pt idx="748">
                  <c:v>738.32562762001328</c:v>
                </c:pt>
                <c:pt idx="749">
                  <c:v>738.32562762001328</c:v>
                </c:pt>
                <c:pt idx="750">
                  <c:v>738.32562762001328</c:v>
                </c:pt>
                <c:pt idx="751">
                  <c:v>738.32562762001328</c:v>
                </c:pt>
                <c:pt idx="752">
                  <c:v>738.32562762001328</c:v>
                </c:pt>
                <c:pt idx="753">
                  <c:v>738.32562762001328</c:v>
                </c:pt>
                <c:pt idx="754">
                  <c:v>754.32562762001328</c:v>
                </c:pt>
                <c:pt idx="755">
                  <c:v>754.32562762001328</c:v>
                </c:pt>
                <c:pt idx="756">
                  <c:v>754.32562762001328</c:v>
                </c:pt>
                <c:pt idx="757">
                  <c:v>754.32562762001328</c:v>
                </c:pt>
                <c:pt idx="758">
                  <c:v>754.32562762001328</c:v>
                </c:pt>
                <c:pt idx="759">
                  <c:v>754.32562762001328</c:v>
                </c:pt>
                <c:pt idx="760">
                  <c:v>754.32562762001328</c:v>
                </c:pt>
                <c:pt idx="761">
                  <c:v>754.32562762001328</c:v>
                </c:pt>
                <c:pt idx="762">
                  <c:v>756.6113419057275</c:v>
                </c:pt>
                <c:pt idx="763">
                  <c:v>754.32562762001328</c:v>
                </c:pt>
                <c:pt idx="764">
                  <c:v>754.32562762001328</c:v>
                </c:pt>
                <c:pt idx="765">
                  <c:v>754.32562762001328</c:v>
                </c:pt>
                <c:pt idx="766">
                  <c:v>754.32562762001328</c:v>
                </c:pt>
                <c:pt idx="767">
                  <c:v>756.6113419057275</c:v>
                </c:pt>
                <c:pt idx="768">
                  <c:v>756.6113419057275</c:v>
                </c:pt>
                <c:pt idx="769">
                  <c:v>756.6113419057275</c:v>
                </c:pt>
                <c:pt idx="770">
                  <c:v>756.6113419057275</c:v>
                </c:pt>
                <c:pt idx="771">
                  <c:v>756.6113419057275</c:v>
                </c:pt>
                <c:pt idx="772">
                  <c:v>756.6113419057275</c:v>
                </c:pt>
                <c:pt idx="773">
                  <c:v>756.6113419057275</c:v>
                </c:pt>
                <c:pt idx="774">
                  <c:v>756.6113419057275</c:v>
                </c:pt>
                <c:pt idx="775">
                  <c:v>820.61134190572739</c:v>
                </c:pt>
                <c:pt idx="776">
                  <c:v>756.6113419057275</c:v>
                </c:pt>
                <c:pt idx="777">
                  <c:v>756.6113419057275</c:v>
                </c:pt>
                <c:pt idx="778">
                  <c:v>756.6113419057275</c:v>
                </c:pt>
                <c:pt idx="779">
                  <c:v>756.6113419057275</c:v>
                </c:pt>
                <c:pt idx="780">
                  <c:v>756.6113419057275</c:v>
                </c:pt>
                <c:pt idx="781">
                  <c:v>756.6113419057275</c:v>
                </c:pt>
                <c:pt idx="782">
                  <c:v>756.6113419057275</c:v>
                </c:pt>
                <c:pt idx="783">
                  <c:v>756.6113419057275</c:v>
                </c:pt>
                <c:pt idx="784">
                  <c:v>756.6113419057275</c:v>
                </c:pt>
                <c:pt idx="785">
                  <c:v>820.61134190572739</c:v>
                </c:pt>
                <c:pt idx="786">
                  <c:v>756.6113419057275</c:v>
                </c:pt>
                <c:pt idx="787">
                  <c:v>756.6113419057275</c:v>
                </c:pt>
                <c:pt idx="788">
                  <c:v>820.61134190572739</c:v>
                </c:pt>
                <c:pt idx="789">
                  <c:v>756.6113419057275</c:v>
                </c:pt>
                <c:pt idx="790">
                  <c:v>756.6113419057275</c:v>
                </c:pt>
                <c:pt idx="791">
                  <c:v>788.6113419057275</c:v>
                </c:pt>
                <c:pt idx="792">
                  <c:v>804.61134190572739</c:v>
                </c:pt>
                <c:pt idx="793">
                  <c:v>820.61134190572739</c:v>
                </c:pt>
                <c:pt idx="794">
                  <c:v>820.61134190572739</c:v>
                </c:pt>
                <c:pt idx="795">
                  <c:v>820.61134190572739</c:v>
                </c:pt>
                <c:pt idx="796">
                  <c:v>820.61134190572739</c:v>
                </c:pt>
                <c:pt idx="797">
                  <c:v>820.61134190572739</c:v>
                </c:pt>
                <c:pt idx="798">
                  <c:v>820.61134190572739</c:v>
                </c:pt>
                <c:pt idx="799">
                  <c:v>820.61134190572739</c:v>
                </c:pt>
                <c:pt idx="800">
                  <c:v>820.61134190572739</c:v>
                </c:pt>
                <c:pt idx="801">
                  <c:v>804.61134190572739</c:v>
                </c:pt>
                <c:pt idx="802">
                  <c:v>820.61134190572739</c:v>
                </c:pt>
                <c:pt idx="803">
                  <c:v>820.61134190572739</c:v>
                </c:pt>
                <c:pt idx="804">
                  <c:v>820.61134190572739</c:v>
                </c:pt>
                <c:pt idx="805">
                  <c:v>820.61134190572739</c:v>
                </c:pt>
                <c:pt idx="806">
                  <c:v>804.61134190572739</c:v>
                </c:pt>
                <c:pt idx="807">
                  <c:v>804.61134190572739</c:v>
                </c:pt>
                <c:pt idx="808">
                  <c:v>804.61134190572739</c:v>
                </c:pt>
                <c:pt idx="809">
                  <c:v>804.61134190572739</c:v>
                </c:pt>
                <c:pt idx="810">
                  <c:v>804.61134190572739</c:v>
                </c:pt>
                <c:pt idx="811">
                  <c:v>804.61134190572739</c:v>
                </c:pt>
                <c:pt idx="812">
                  <c:v>804.61134190572739</c:v>
                </c:pt>
                <c:pt idx="813">
                  <c:v>820.61134190572739</c:v>
                </c:pt>
                <c:pt idx="814">
                  <c:v>676.61134190572739</c:v>
                </c:pt>
                <c:pt idx="815">
                  <c:v>804.61134190572739</c:v>
                </c:pt>
                <c:pt idx="816">
                  <c:v>804.61134190572739</c:v>
                </c:pt>
                <c:pt idx="817">
                  <c:v>820.61134190572739</c:v>
                </c:pt>
                <c:pt idx="818">
                  <c:v>804.61134190572739</c:v>
                </c:pt>
                <c:pt idx="819">
                  <c:v>804.61134190572739</c:v>
                </c:pt>
                <c:pt idx="820">
                  <c:v>804.61134190572739</c:v>
                </c:pt>
                <c:pt idx="821">
                  <c:v>804.61134190572739</c:v>
                </c:pt>
                <c:pt idx="822">
                  <c:v>820.61134190572739</c:v>
                </c:pt>
                <c:pt idx="823">
                  <c:v>676.61134190572739</c:v>
                </c:pt>
                <c:pt idx="824">
                  <c:v>820.61134190572739</c:v>
                </c:pt>
                <c:pt idx="825">
                  <c:v>820.61134190572739</c:v>
                </c:pt>
                <c:pt idx="826">
                  <c:v>820.61134190572739</c:v>
                </c:pt>
                <c:pt idx="827">
                  <c:v>676.61134190572739</c:v>
                </c:pt>
                <c:pt idx="828">
                  <c:v>676.61134190572739</c:v>
                </c:pt>
                <c:pt idx="829">
                  <c:v>820.61134190572739</c:v>
                </c:pt>
                <c:pt idx="830">
                  <c:v>820.61134190572739</c:v>
                </c:pt>
                <c:pt idx="831">
                  <c:v>820.61134190572739</c:v>
                </c:pt>
                <c:pt idx="832">
                  <c:v>820.61134190572739</c:v>
                </c:pt>
                <c:pt idx="833">
                  <c:v>820.61134190572739</c:v>
                </c:pt>
                <c:pt idx="834">
                  <c:v>676.61134190572739</c:v>
                </c:pt>
                <c:pt idx="835">
                  <c:v>676.61134190572739</c:v>
                </c:pt>
                <c:pt idx="836">
                  <c:v>820.61134190572739</c:v>
                </c:pt>
                <c:pt idx="837">
                  <c:v>676.61134190572739</c:v>
                </c:pt>
                <c:pt idx="838">
                  <c:v>676.61134190572739</c:v>
                </c:pt>
                <c:pt idx="839">
                  <c:v>820.61134190572739</c:v>
                </c:pt>
                <c:pt idx="840">
                  <c:v>836.61134190572739</c:v>
                </c:pt>
                <c:pt idx="841">
                  <c:v>836.61134190572739</c:v>
                </c:pt>
                <c:pt idx="842">
                  <c:v>836.61134190572739</c:v>
                </c:pt>
                <c:pt idx="843">
                  <c:v>836.61134190572739</c:v>
                </c:pt>
                <c:pt idx="844">
                  <c:v>836.61134190572739</c:v>
                </c:pt>
                <c:pt idx="845">
                  <c:v>692.61134190572739</c:v>
                </c:pt>
                <c:pt idx="846">
                  <c:v>676.61134190572739</c:v>
                </c:pt>
                <c:pt idx="847">
                  <c:v>836.61134190572739</c:v>
                </c:pt>
                <c:pt idx="848">
                  <c:v>836.61134190572739</c:v>
                </c:pt>
                <c:pt idx="849">
                  <c:v>692.61134190572739</c:v>
                </c:pt>
                <c:pt idx="850">
                  <c:v>676.61134190572739</c:v>
                </c:pt>
                <c:pt idx="851">
                  <c:v>836.61134190572739</c:v>
                </c:pt>
                <c:pt idx="852">
                  <c:v>836.61134190572739</c:v>
                </c:pt>
                <c:pt idx="853">
                  <c:v>836.61134190572739</c:v>
                </c:pt>
                <c:pt idx="854">
                  <c:v>836.61134190572739</c:v>
                </c:pt>
                <c:pt idx="855">
                  <c:v>804.61134190572739</c:v>
                </c:pt>
                <c:pt idx="856">
                  <c:v>804.61134190572739</c:v>
                </c:pt>
                <c:pt idx="857">
                  <c:v>772.61134190572739</c:v>
                </c:pt>
                <c:pt idx="858">
                  <c:v>772.61134190572739</c:v>
                </c:pt>
                <c:pt idx="859">
                  <c:v>708.61134190572739</c:v>
                </c:pt>
                <c:pt idx="860">
                  <c:v>692.61134190572739</c:v>
                </c:pt>
                <c:pt idx="861">
                  <c:v>692.61134190572739</c:v>
                </c:pt>
                <c:pt idx="862">
                  <c:v>676.61134190572739</c:v>
                </c:pt>
                <c:pt idx="863">
                  <c:v>676.61134190572739</c:v>
                </c:pt>
                <c:pt idx="864">
                  <c:v>692.61134190572739</c:v>
                </c:pt>
                <c:pt idx="865">
                  <c:v>692.61134190572739</c:v>
                </c:pt>
                <c:pt idx="866">
                  <c:v>676.61134190572739</c:v>
                </c:pt>
                <c:pt idx="867">
                  <c:v>676.61134190572739</c:v>
                </c:pt>
                <c:pt idx="868">
                  <c:v>676.61134190572739</c:v>
                </c:pt>
                <c:pt idx="869">
                  <c:v>676.61134190572739</c:v>
                </c:pt>
                <c:pt idx="870">
                  <c:v>676.61134190572739</c:v>
                </c:pt>
                <c:pt idx="871">
                  <c:v>676.61134190572739</c:v>
                </c:pt>
                <c:pt idx="872">
                  <c:v>676.61134190572739</c:v>
                </c:pt>
                <c:pt idx="873">
                  <c:v>676.61134190572739</c:v>
                </c:pt>
                <c:pt idx="874">
                  <c:v>676.61134190572739</c:v>
                </c:pt>
                <c:pt idx="875">
                  <c:v>676.61134190572739</c:v>
                </c:pt>
                <c:pt idx="876">
                  <c:v>676.61134190572739</c:v>
                </c:pt>
                <c:pt idx="877">
                  <c:v>676.61134190572739</c:v>
                </c:pt>
                <c:pt idx="878">
                  <c:v>676.61134190572739</c:v>
                </c:pt>
                <c:pt idx="879">
                  <c:v>676.61134190572739</c:v>
                </c:pt>
                <c:pt idx="880">
                  <c:v>676.61134190572739</c:v>
                </c:pt>
                <c:pt idx="881">
                  <c:v>676.61134190572739</c:v>
                </c:pt>
                <c:pt idx="882">
                  <c:v>676.61134190572739</c:v>
                </c:pt>
                <c:pt idx="883">
                  <c:v>676.61134190572739</c:v>
                </c:pt>
                <c:pt idx="884">
                  <c:v>676.61134190572739</c:v>
                </c:pt>
                <c:pt idx="885">
                  <c:v>676.61134190572739</c:v>
                </c:pt>
                <c:pt idx="886">
                  <c:v>676.61134190572739</c:v>
                </c:pt>
                <c:pt idx="887">
                  <c:v>676.61134190572739</c:v>
                </c:pt>
                <c:pt idx="888">
                  <c:v>0.44154640263800299</c:v>
                </c:pt>
                <c:pt idx="889">
                  <c:v>676.61134190572739</c:v>
                </c:pt>
                <c:pt idx="890">
                  <c:v>676.61134190572739</c:v>
                </c:pt>
                <c:pt idx="891">
                  <c:v>676.61134190572739</c:v>
                </c:pt>
                <c:pt idx="892">
                  <c:v>676.61134190572739</c:v>
                </c:pt>
                <c:pt idx="893">
                  <c:v>676.61134190572739</c:v>
                </c:pt>
                <c:pt idx="894">
                  <c:v>676.61134190572739</c:v>
                </c:pt>
                <c:pt idx="895">
                  <c:v>676.61134190572739</c:v>
                </c:pt>
                <c:pt idx="896">
                  <c:v>676.61134190572739</c:v>
                </c:pt>
                <c:pt idx="897">
                  <c:v>676.61134190572739</c:v>
                </c:pt>
                <c:pt idx="898">
                  <c:v>676.61134190572739</c:v>
                </c:pt>
                <c:pt idx="899">
                  <c:v>676.61134190572739</c:v>
                </c:pt>
                <c:pt idx="900">
                  <c:v>676.61134190572739</c:v>
                </c:pt>
                <c:pt idx="901">
                  <c:v>676.61134190572739</c:v>
                </c:pt>
                <c:pt idx="902">
                  <c:v>689.94467523906087</c:v>
                </c:pt>
                <c:pt idx="903">
                  <c:v>676.61134190572739</c:v>
                </c:pt>
                <c:pt idx="904">
                  <c:v>676.61134190572739</c:v>
                </c:pt>
                <c:pt idx="905">
                  <c:v>676.61134190572739</c:v>
                </c:pt>
                <c:pt idx="906">
                  <c:v>676.61134190572739</c:v>
                </c:pt>
                <c:pt idx="907">
                  <c:v>676.61134190572739</c:v>
                </c:pt>
                <c:pt idx="908">
                  <c:v>676.61134190572739</c:v>
                </c:pt>
                <c:pt idx="909">
                  <c:v>676.61134190572739</c:v>
                </c:pt>
                <c:pt idx="910">
                  <c:v>676.61134190572739</c:v>
                </c:pt>
                <c:pt idx="911">
                  <c:v>676.61134190572739</c:v>
                </c:pt>
                <c:pt idx="912">
                  <c:v>689.94467523906087</c:v>
                </c:pt>
                <c:pt idx="913">
                  <c:v>684.61134190572739</c:v>
                </c:pt>
                <c:pt idx="914">
                  <c:v>684.61134190572739</c:v>
                </c:pt>
                <c:pt idx="915">
                  <c:v>684.61134190572739</c:v>
                </c:pt>
                <c:pt idx="916">
                  <c:v>684.61134190572739</c:v>
                </c:pt>
                <c:pt idx="917">
                  <c:v>684.61134190572739</c:v>
                </c:pt>
                <c:pt idx="918">
                  <c:v>689.94467523906087</c:v>
                </c:pt>
                <c:pt idx="919">
                  <c:v>689.94467523906087</c:v>
                </c:pt>
                <c:pt idx="920">
                  <c:v>689.94467523906087</c:v>
                </c:pt>
                <c:pt idx="921">
                  <c:v>689.94467523906087</c:v>
                </c:pt>
                <c:pt idx="922">
                  <c:v>689.94467523906087</c:v>
                </c:pt>
                <c:pt idx="923">
                  <c:v>689.94467523906087</c:v>
                </c:pt>
                <c:pt idx="924">
                  <c:v>689.94467523906087</c:v>
                </c:pt>
                <c:pt idx="925">
                  <c:v>689.94467523906087</c:v>
                </c:pt>
                <c:pt idx="926">
                  <c:v>689.94467523906087</c:v>
                </c:pt>
                <c:pt idx="927">
                  <c:v>689.94467523906087</c:v>
                </c:pt>
                <c:pt idx="928">
                  <c:v>689.94467523906087</c:v>
                </c:pt>
                <c:pt idx="929">
                  <c:v>689.94467523906087</c:v>
                </c:pt>
                <c:pt idx="930">
                  <c:v>775.76285705724263</c:v>
                </c:pt>
                <c:pt idx="931">
                  <c:v>721.94467523906087</c:v>
                </c:pt>
                <c:pt idx="932">
                  <c:v>721.94467523906087</c:v>
                </c:pt>
                <c:pt idx="933">
                  <c:v>721.94467523906087</c:v>
                </c:pt>
                <c:pt idx="934">
                  <c:v>721.94467523906087</c:v>
                </c:pt>
                <c:pt idx="935">
                  <c:v>737.94467523906087</c:v>
                </c:pt>
                <c:pt idx="936">
                  <c:v>753.94467523906087</c:v>
                </c:pt>
                <c:pt idx="937">
                  <c:v>753.94467523906087</c:v>
                </c:pt>
                <c:pt idx="938">
                  <c:v>753.94467523906087</c:v>
                </c:pt>
                <c:pt idx="939">
                  <c:v>775.76285705724263</c:v>
                </c:pt>
                <c:pt idx="940">
                  <c:v>753.94467523906087</c:v>
                </c:pt>
                <c:pt idx="941">
                  <c:v>769.94467523906087</c:v>
                </c:pt>
                <c:pt idx="942">
                  <c:v>769.94467523906087</c:v>
                </c:pt>
                <c:pt idx="943">
                  <c:v>769.94467523906087</c:v>
                </c:pt>
                <c:pt idx="944">
                  <c:v>769.94467523906087</c:v>
                </c:pt>
                <c:pt idx="945">
                  <c:v>727.76285705724263</c:v>
                </c:pt>
                <c:pt idx="946">
                  <c:v>727.76285705724263</c:v>
                </c:pt>
                <c:pt idx="947">
                  <c:v>759.76285705724263</c:v>
                </c:pt>
                <c:pt idx="948">
                  <c:v>727.76285705724263</c:v>
                </c:pt>
                <c:pt idx="949">
                  <c:v>727.76285705724263</c:v>
                </c:pt>
                <c:pt idx="950">
                  <c:v>727.76285705724263</c:v>
                </c:pt>
                <c:pt idx="951">
                  <c:v>727.76285705724263</c:v>
                </c:pt>
                <c:pt idx="952">
                  <c:v>727.76285705724263</c:v>
                </c:pt>
                <c:pt idx="953">
                  <c:v>727.76285705724263</c:v>
                </c:pt>
                <c:pt idx="954">
                  <c:v>727.76285705724263</c:v>
                </c:pt>
                <c:pt idx="955">
                  <c:v>727.76285705724263</c:v>
                </c:pt>
                <c:pt idx="956">
                  <c:v>727.76285705724263</c:v>
                </c:pt>
                <c:pt idx="957">
                  <c:v>759.76285705724263</c:v>
                </c:pt>
                <c:pt idx="958">
                  <c:v>727.76285705724263</c:v>
                </c:pt>
                <c:pt idx="959">
                  <c:v>727.76285705724263</c:v>
                </c:pt>
                <c:pt idx="960">
                  <c:v>759.76285705724263</c:v>
                </c:pt>
                <c:pt idx="961">
                  <c:v>727.76285705724263</c:v>
                </c:pt>
                <c:pt idx="962">
                  <c:v>743.76285705724263</c:v>
                </c:pt>
                <c:pt idx="963">
                  <c:v>759.76285705724263</c:v>
                </c:pt>
                <c:pt idx="964">
                  <c:v>759.76285705724263</c:v>
                </c:pt>
                <c:pt idx="965">
                  <c:v>759.76285705724263</c:v>
                </c:pt>
                <c:pt idx="966">
                  <c:v>759.76285705724263</c:v>
                </c:pt>
                <c:pt idx="967">
                  <c:v>775.76285705724263</c:v>
                </c:pt>
                <c:pt idx="968">
                  <c:v>759.76285705724263</c:v>
                </c:pt>
                <c:pt idx="969">
                  <c:v>759.76285705724263</c:v>
                </c:pt>
                <c:pt idx="970">
                  <c:v>759.76285705724263</c:v>
                </c:pt>
                <c:pt idx="971">
                  <c:v>759.76285705724263</c:v>
                </c:pt>
                <c:pt idx="972">
                  <c:v>759.76285705724263</c:v>
                </c:pt>
                <c:pt idx="973">
                  <c:v>759.76285705724263</c:v>
                </c:pt>
                <c:pt idx="974">
                  <c:v>759.76285705724263</c:v>
                </c:pt>
                <c:pt idx="975">
                  <c:v>775.76285705724263</c:v>
                </c:pt>
                <c:pt idx="976">
                  <c:v>759.76285705724263</c:v>
                </c:pt>
                <c:pt idx="977">
                  <c:v>759.76285705724263</c:v>
                </c:pt>
                <c:pt idx="978">
                  <c:v>759.76285705724263</c:v>
                </c:pt>
                <c:pt idx="979">
                  <c:v>775.76285705724263</c:v>
                </c:pt>
                <c:pt idx="980">
                  <c:v>775.76285705724263</c:v>
                </c:pt>
                <c:pt idx="981">
                  <c:v>775.76285705724263</c:v>
                </c:pt>
                <c:pt idx="982">
                  <c:v>775.76285705724263</c:v>
                </c:pt>
                <c:pt idx="983">
                  <c:v>775.76285705724263</c:v>
                </c:pt>
                <c:pt idx="984">
                  <c:v>775.76285705724263</c:v>
                </c:pt>
                <c:pt idx="985">
                  <c:v>775.76285705724263</c:v>
                </c:pt>
                <c:pt idx="986">
                  <c:v>775.76285705724263</c:v>
                </c:pt>
                <c:pt idx="987">
                  <c:v>775.76285705724263</c:v>
                </c:pt>
                <c:pt idx="988">
                  <c:v>775.76285705724263</c:v>
                </c:pt>
                <c:pt idx="989">
                  <c:v>0.44154640263800299</c:v>
                </c:pt>
                <c:pt idx="990">
                  <c:v>767.76285705724263</c:v>
                </c:pt>
                <c:pt idx="991">
                  <c:v>767.76285705724263</c:v>
                </c:pt>
                <c:pt idx="992">
                  <c:v>767.76285705724263</c:v>
                </c:pt>
                <c:pt idx="993">
                  <c:v>767.76285705724263</c:v>
                </c:pt>
                <c:pt idx="994">
                  <c:v>767.76285705724263</c:v>
                </c:pt>
                <c:pt idx="995">
                  <c:v>767.76285705724263</c:v>
                </c:pt>
                <c:pt idx="996">
                  <c:v>770.42952372390926</c:v>
                </c:pt>
                <c:pt idx="997">
                  <c:v>786.42952372390937</c:v>
                </c:pt>
                <c:pt idx="998">
                  <c:v>738.42952372390937</c:v>
                </c:pt>
                <c:pt idx="999">
                  <c:v>658.42952372390937</c:v>
                </c:pt>
                <c:pt idx="1000">
                  <c:v>658.42952372390937</c:v>
                </c:pt>
                <c:pt idx="1001">
                  <c:v>676.67714277152845</c:v>
                </c:pt>
                <c:pt idx="1002">
                  <c:v>676.67714277152845</c:v>
                </c:pt>
                <c:pt idx="1003">
                  <c:v>676.67714277152845</c:v>
                </c:pt>
                <c:pt idx="1004">
                  <c:v>690.47424422080383</c:v>
                </c:pt>
                <c:pt idx="1005">
                  <c:v>690.47424422080383</c:v>
                </c:pt>
                <c:pt idx="1006">
                  <c:v>690.47424422080383</c:v>
                </c:pt>
                <c:pt idx="1007">
                  <c:v>690.47424422080383</c:v>
                </c:pt>
                <c:pt idx="1008">
                  <c:v>690.47424422080383</c:v>
                </c:pt>
                <c:pt idx="1009">
                  <c:v>690.47424422080383</c:v>
                </c:pt>
                <c:pt idx="1010">
                  <c:v>690.47424422080383</c:v>
                </c:pt>
                <c:pt idx="1011">
                  <c:v>690.47424422080383</c:v>
                </c:pt>
                <c:pt idx="1012">
                  <c:v>690.47424422080383</c:v>
                </c:pt>
                <c:pt idx="1013">
                  <c:v>690.47424422080383</c:v>
                </c:pt>
                <c:pt idx="1014">
                  <c:v>690.47424422080383</c:v>
                </c:pt>
                <c:pt idx="1015">
                  <c:v>690.47424422080383</c:v>
                </c:pt>
                <c:pt idx="1016">
                  <c:v>690.47424422080383</c:v>
                </c:pt>
                <c:pt idx="1017">
                  <c:v>690.47424422080383</c:v>
                </c:pt>
                <c:pt idx="1018">
                  <c:v>690.47424422080383</c:v>
                </c:pt>
                <c:pt idx="1019">
                  <c:v>690.47424422080383</c:v>
                </c:pt>
                <c:pt idx="1020">
                  <c:v>690.47424422080383</c:v>
                </c:pt>
                <c:pt idx="1021">
                  <c:v>690.47424422080383</c:v>
                </c:pt>
                <c:pt idx="1022">
                  <c:v>690.47424422080383</c:v>
                </c:pt>
                <c:pt idx="1023">
                  <c:v>690.47424422080383</c:v>
                </c:pt>
                <c:pt idx="1024">
                  <c:v>690.47424422080383</c:v>
                </c:pt>
                <c:pt idx="1025">
                  <c:v>690.47424422080383</c:v>
                </c:pt>
                <c:pt idx="1027">
                  <c:v>64.044720496894826</c:v>
                </c:pt>
                <c:pt idx="1028">
                  <c:v>64.044720496894826</c:v>
                </c:pt>
                <c:pt idx="1029">
                  <c:v>64.044720496894826</c:v>
                </c:pt>
                <c:pt idx="1030">
                  <c:v>64.044720496894826</c:v>
                </c:pt>
                <c:pt idx="1031">
                  <c:v>64.044720496894826</c:v>
                </c:pt>
                <c:pt idx="1032">
                  <c:v>64.044720496894826</c:v>
                </c:pt>
                <c:pt idx="1033">
                  <c:v>64.044720496894826</c:v>
                </c:pt>
                <c:pt idx="1034">
                  <c:v>64.044720496894826</c:v>
                </c:pt>
                <c:pt idx="1035">
                  <c:v>64.044720496894826</c:v>
                </c:pt>
                <c:pt idx="1036">
                  <c:v>64.044720496894826</c:v>
                </c:pt>
                <c:pt idx="1037">
                  <c:v>64.044720496894826</c:v>
                </c:pt>
                <c:pt idx="1038">
                  <c:v>64.044720496894826</c:v>
                </c:pt>
                <c:pt idx="1039">
                  <c:v>64.044720496894826</c:v>
                </c:pt>
                <c:pt idx="1040">
                  <c:v>64.044720496894826</c:v>
                </c:pt>
                <c:pt idx="1041">
                  <c:v>64.044720496894826</c:v>
                </c:pt>
                <c:pt idx="1042">
                  <c:v>64.044720496894826</c:v>
                </c:pt>
                <c:pt idx="1043">
                  <c:v>64.044720496894826</c:v>
                </c:pt>
                <c:pt idx="1044">
                  <c:v>64.044720496894826</c:v>
                </c:pt>
                <c:pt idx="1045">
                  <c:v>64.044720496894826</c:v>
                </c:pt>
                <c:pt idx="1046">
                  <c:v>64.044720496894826</c:v>
                </c:pt>
                <c:pt idx="1047">
                  <c:v>64.044720496894826</c:v>
                </c:pt>
                <c:pt idx="1048">
                  <c:v>64.044720496894826</c:v>
                </c:pt>
                <c:pt idx="1049">
                  <c:v>64.044720496894826</c:v>
                </c:pt>
                <c:pt idx="1050">
                  <c:v>64.044720496894826</c:v>
                </c:pt>
                <c:pt idx="1051">
                  <c:v>64.044720496894826</c:v>
                </c:pt>
                <c:pt idx="1052">
                  <c:v>64.044720496894826</c:v>
                </c:pt>
                <c:pt idx="1053">
                  <c:v>64.044720496894826</c:v>
                </c:pt>
                <c:pt idx="1054">
                  <c:v>64.044720496894826</c:v>
                </c:pt>
                <c:pt idx="1055">
                  <c:v>64.044720496894826</c:v>
                </c:pt>
                <c:pt idx="1056">
                  <c:v>64.044720496894826</c:v>
                </c:pt>
                <c:pt idx="1057">
                  <c:v>64.044720496894826</c:v>
                </c:pt>
                <c:pt idx="1058">
                  <c:v>64.044720496894826</c:v>
                </c:pt>
                <c:pt idx="1059">
                  <c:v>64.044720496894826</c:v>
                </c:pt>
                <c:pt idx="1060">
                  <c:v>64.044720496894826</c:v>
                </c:pt>
                <c:pt idx="1061">
                  <c:v>64.044720496894826</c:v>
                </c:pt>
                <c:pt idx="1062">
                  <c:v>64.044720496894826</c:v>
                </c:pt>
                <c:pt idx="1063">
                  <c:v>64.044720496894826</c:v>
                </c:pt>
                <c:pt idx="1064">
                  <c:v>64.044720496894826</c:v>
                </c:pt>
                <c:pt idx="1065">
                  <c:v>64.044720496894826</c:v>
                </c:pt>
                <c:pt idx="1066">
                  <c:v>64.044720496894826</c:v>
                </c:pt>
                <c:pt idx="1067">
                  <c:v>64.044720496894826</c:v>
                </c:pt>
                <c:pt idx="1068">
                  <c:v>64.044720496894826</c:v>
                </c:pt>
                <c:pt idx="1069">
                  <c:v>64.044720496894826</c:v>
                </c:pt>
                <c:pt idx="1070">
                  <c:v>64.044720496894826</c:v>
                </c:pt>
                <c:pt idx="1071">
                  <c:v>64.044720496894826</c:v>
                </c:pt>
                <c:pt idx="1072">
                  <c:v>64.044720496894826</c:v>
                </c:pt>
                <c:pt idx="1073">
                  <c:v>64.044720496894826</c:v>
                </c:pt>
                <c:pt idx="1074">
                  <c:v>64.044720496894826</c:v>
                </c:pt>
                <c:pt idx="1075">
                  <c:v>64.044720496894826</c:v>
                </c:pt>
                <c:pt idx="1076">
                  <c:v>64.044720496894826</c:v>
                </c:pt>
                <c:pt idx="1077">
                  <c:v>64.044720496894826</c:v>
                </c:pt>
                <c:pt idx="1078">
                  <c:v>64.044720496894826</c:v>
                </c:pt>
                <c:pt idx="1079">
                  <c:v>64.044720496894826</c:v>
                </c:pt>
                <c:pt idx="1080">
                  <c:v>64.044720496894826</c:v>
                </c:pt>
                <c:pt idx="1081">
                  <c:v>64.044720496894826</c:v>
                </c:pt>
                <c:pt idx="1082">
                  <c:v>64.044720496894826</c:v>
                </c:pt>
                <c:pt idx="1083">
                  <c:v>64.044720496894826</c:v>
                </c:pt>
                <c:pt idx="1084">
                  <c:v>64.044720496894826</c:v>
                </c:pt>
                <c:pt idx="1085">
                  <c:v>64.044720496894826</c:v>
                </c:pt>
                <c:pt idx="1086">
                  <c:v>64.044720496894826</c:v>
                </c:pt>
                <c:pt idx="1087">
                  <c:v>64.044720496894826</c:v>
                </c:pt>
                <c:pt idx="1088">
                  <c:v>64.044720496894826</c:v>
                </c:pt>
                <c:pt idx="1089">
                  <c:v>64.044720496894826</c:v>
                </c:pt>
                <c:pt idx="1090">
                  <c:v>64.044720496894826</c:v>
                </c:pt>
                <c:pt idx="1091">
                  <c:v>64.044720496894826</c:v>
                </c:pt>
                <c:pt idx="1092">
                  <c:v>64.044720496894826</c:v>
                </c:pt>
                <c:pt idx="1093">
                  <c:v>64.044720496894826</c:v>
                </c:pt>
                <c:pt idx="1094">
                  <c:v>64.044720496894826</c:v>
                </c:pt>
                <c:pt idx="1095">
                  <c:v>64.044720496894826</c:v>
                </c:pt>
                <c:pt idx="1096">
                  <c:v>64.044720496894826</c:v>
                </c:pt>
                <c:pt idx="1097">
                  <c:v>64.044720496894826</c:v>
                </c:pt>
                <c:pt idx="1098">
                  <c:v>64.044720496894826</c:v>
                </c:pt>
                <c:pt idx="1099">
                  <c:v>64.044720496894826</c:v>
                </c:pt>
                <c:pt idx="1100">
                  <c:v>64.044720496894826</c:v>
                </c:pt>
                <c:pt idx="1101">
                  <c:v>64.044720496894826</c:v>
                </c:pt>
                <c:pt idx="1102">
                  <c:v>64.044720496894826</c:v>
                </c:pt>
                <c:pt idx="1103">
                  <c:v>64.044720496894826</c:v>
                </c:pt>
                <c:pt idx="1104">
                  <c:v>64.044720496894826</c:v>
                </c:pt>
                <c:pt idx="1105">
                  <c:v>64.044720496894826</c:v>
                </c:pt>
                <c:pt idx="1106">
                  <c:v>64.044720496894826</c:v>
                </c:pt>
                <c:pt idx="1107">
                  <c:v>64.044720496894826</c:v>
                </c:pt>
                <c:pt idx="1108">
                  <c:v>64.044720496894826</c:v>
                </c:pt>
                <c:pt idx="1109">
                  <c:v>64.044720496894826</c:v>
                </c:pt>
                <c:pt idx="1110">
                  <c:v>64.044720496894826</c:v>
                </c:pt>
                <c:pt idx="1111">
                  <c:v>64.044720496894826</c:v>
                </c:pt>
                <c:pt idx="1112">
                  <c:v>64.044720496894826</c:v>
                </c:pt>
                <c:pt idx="1113">
                  <c:v>64.044720496894826</c:v>
                </c:pt>
                <c:pt idx="1114">
                  <c:v>64.044720496894826</c:v>
                </c:pt>
                <c:pt idx="1115">
                  <c:v>64.044720496894826</c:v>
                </c:pt>
                <c:pt idx="1116">
                  <c:v>64.044720496894826</c:v>
                </c:pt>
                <c:pt idx="1117">
                  <c:v>64.044720496894826</c:v>
                </c:pt>
                <c:pt idx="1118">
                  <c:v>64.044720496894826</c:v>
                </c:pt>
                <c:pt idx="1119">
                  <c:v>64.044720496894826</c:v>
                </c:pt>
                <c:pt idx="1120">
                  <c:v>64.044720496894826</c:v>
                </c:pt>
                <c:pt idx="1121">
                  <c:v>64.044720496894826</c:v>
                </c:pt>
                <c:pt idx="1122">
                  <c:v>64.044720496894826</c:v>
                </c:pt>
                <c:pt idx="1123">
                  <c:v>64.044720496894826</c:v>
                </c:pt>
                <c:pt idx="1124">
                  <c:v>64.044720496894826</c:v>
                </c:pt>
                <c:pt idx="1125">
                  <c:v>64.044720496894826</c:v>
                </c:pt>
                <c:pt idx="1126">
                  <c:v>64.044720496894826</c:v>
                </c:pt>
                <c:pt idx="1127">
                  <c:v>64.044720496894826</c:v>
                </c:pt>
                <c:pt idx="1128">
                  <c:v>64.044720496894826</c:v>
                </c:pt>
                <c:pt idx="1129">
                  <c:v>64.044720496894826</c:v>
                </c:pt>
                <c:pt idx="1130">
                  <c:v>64.044720496894826</c:v>
                </c:pt>
                <c:pt idx="1131">
                  <c:v>64.044720496894826</c:v>
                </c:pt>
                <c:pt idx="1132">
                  <c:v>64.044720496894826</c:v>
                </c:pt>
                <c:pt idx="1133">
                  <c:v>64.044720496894826</c:v>
                </c:pt>
                <c:pt idx="1134">
                  <c:v>64.044720496894826</c:v>
                </c:pt>
                <c:pt idx="1135">
                  <c:v>64.044720496894826</c:v>
                </c:pt>
                <c:pt idx="1136">
                  <c:v>64.044720496894826</c:v>
                </c:pt>
                <c:pt idx="1137">
                  <c:v>64.044720496894826</c:v>
                </c:pt>
                <c:pt idx="1138">
                  <c:v>64.044720496894826</c:v>
                </c:pt>
                <c:pt idx="1139">
                  <c:v>64.044720496894826</c:v>
                </c:pt>
                <c:pt idx="1140">
                  <c:v>64.044720496894826</c:v>
                </c:pt>
                <c:pt idx="1141">
                  <c:v>64.044720496894826</c:v>
                </c:pt>
                <c:pt idx="1142">
                  <c:v>64.044720496894826</c:v>
                </c:pt>
                <c:pt idx="1143">
                  <c:v>64.044720496894826</c:v>
                </c:pt>
                <c:pt idx="1144">
                  <c:v>64.044720496894826</c:v>
                </c:pt>
                <c:pt idx="1145">
                  <c:v>64.044720496894826</c:v>
                </c:pt>
                <c:pt idx="1146">
                  <c:v>64.044720496894826</c:v>
                </c:pt>
                <c:pt idx="1147">
                  <c:v>64.044720496894826</c:v>
                </c:pt>
                <c:pt idx="1148">
                  <c:v>64.044720496894826</c:v>
                </c:pt>
                <c:pt idx="1149">
                  <c:v>64.044720496894826</c:v>
                </c:pt>
                <c:pt idx="1150">
                  <c:v>64.044720496894826</c:v>
                </c:pt>
                <c:pt idx="1151">
                  <c:v>64.044720496894826</c:v>
                </c:pt>
                <c:pt idx="1152">
                  <c:v>64.044720496894826</c:v>
                </c:pt>
                <c:pt idx="1153">
                  <c:v>64.044720496894826</c:v>
                </c:pt>
                <c:pt idx="1154">
                  <c:v>64.044720496894826</c:v>
                </c:pt>
                <c:pt idx="1155">
                  <c:v>64.044720496894826</c:v>
                </c:pt>
                <c:pt idx="1156">
                  <c:v>64.044720496894826</c:v>
                </c:pt>
                <c:pt idx="1157">
                  <c:v>64.044720496894826</c:v>
                </c:pt>
                <c:pt idx="1158">
                  <c:v>64.044720496894826</c:v>
                </c:pt>
                <c:pt idx="1159">
                  <c:v>64.044720496894826</c:v>
                </c:pt>
                <c:pt idx="1160">
                  <c:v>64.044720496894826</c:v>
                </c:pt>
                <c:pt idx="1161">
                  <c:v>64.044720496894826</c:v>
                </c:pt>
                <c:pt idx="1162">
                  <c:v>64.044720496894826</c:v>
                </c:pt>
                <c:pt idx="1163">
                  <c:v>64.044720496894826</c:v>
                </c:pt>
                <c:pt idx="1164">
                  <c:v>64.044720496894826</c:v>
                </c:pt>
                <c:pt idx="1165">
                  <c:v>64.044720496894826</c:v>
                </c:pt>
                <c:pt idx="1166">
                  <c:v>64.044720496894826</c:v>
                </c:pt>
                <c:pt idx="1167">
                  <c:v>64.044720496894826</c:v>
                </c:pt>
                <c:pt idx="1168">
                  <c:v>64.044720496894826</c:v>
                </c:pt>
                <c:pt idx="1169">
                  <c:v>64.044720496894826</c:v>
                </c:pt>
                <c:pt idx="1170">
                  <c:v>64.044720496894826</c:v>
                </c:pt>
                <c:pt idx="1171">
                  <c:v>64.044720496894826</c:v>
                </c:pt>
                <c:pt idx="1172">
                  <c:v>64.044720496894826</c:v>
                </c:pt>
                <c:pt idx="1173">
                  <c:v>64.044720496894826</c:v>
                </c:pt>
                <c:pt idx="1174">
                  <c:v>64.044720496894826</c:v>
                </c:pt>
                <c:pt idx="1175">
                  <c:v>64.044720496894826</c:v>
                </c:pt>
                <c:pt idx="1176">
                  <c:v>64.044720496894826</c:v>
                </c:pt>
                <c:pt idx="1177">
                  <c:v>64.044720496894826</c:v>
                </c:pt>
                <c:pt idx="1178">
                  <c:v>64.044720496894826</c:v>
                </c:pt>
                <c:pt idx="1179">
                  <c:v>64.044720496894826</c:v>
                </c:pt>
                <c:pt idx="1180">
                  <c:v>64.044720496894826</c:v>
                </c:pt>
                <c:pt idx="1181">
                  <c:v>64.044720496894826</c:v>
                </c:pt>
                <c:pt idx="1182">
                  <c:v>64.044720496894826</c:v>
                </c:pt>
                <c:pt idx="1183">
                  <c:v>64.044720496894826</c:v>
                </c:pt>
                <c:pt idx="1184">
                  <c:v>64.044720496894826</c:v>
                </c:pt>
                <c:pt idx="1185">
                  <c:v>64.044720496894826</c:v>
                </c:pt>
                <c:pt idx="1186">
                  <c:v>64.044720496894826</c:v>
                </c:pt>
                <c:pt idx="1187">
                  <c:v>64.044720496894826</c:v>
                </c:pt>
                <c:pt idx="1188">
                  <c:v>64.044720496894826</c:v>
                </c:pt>
                <c:pt idx="1189">
                  <c:v>64.044720496894826</c:v>
                </c:pt>
                <c:pt idx="1190">
                  <c:v>64.044720496894826</c:v>
                </c:pt>
                <c:pt idx="1191">
                  <c:v>64.044720496894826</c:v>
                </c:pt>
                <c:pt idx="1192">
                  <c:v>64.044720496894826</c:v>
                </c:pt>
                <c:pt idx="1193">
                  <c:v>64.044720496894826</c:v>
                </c:pt>
                <c:pt idx="1194">
                  <c:v>64.044720496894826</c:v>
                </c:pt>
                <c:pt idx="1195">
                  <c:v>64.044720496894826</c:v>
                </c:pt>
                <c:pt idx="1196">
                  <c:v>64.044720496894826</c:v>
                </c:pt>
                <c:pt idx="1197">
                  <c:v>64.044720496894826</c:v>
                </c:pt>
                <c:pt idx="1198">
                  <c:v>64.044720496894826</c:v>
                </c:pt>
                <c:pt idx="1199">
                  <c:v>64.044720496894826</c:v>
                </c:pt>
                <c:pt idx="1200">
                  <c:v>64.044720496894826</c:v>
                </c:pt>
                <c:pt idx="1201">
                  <c:v>64.044720496894826</c:v>
                </c:pt>
                <c:pt idx="1202">
                  <c:v>64.044720496894826</c:v>
                </c:pt>
                <c:pt idx="1203">
                  <c:v>64.044720496894826</c:v>
                </c:pt>
                <c:pt idx="1204">
                  <c:v>64.044720496894826</c:v>
                </c:pt>
                <c:pt idx="1205">
                  <c:v>64.044720496894826</c:v>
                </c:pt>
                <c:pt idx="1206">
                  <c:v>64.044720496894826</c:v>
                </c:pt>
                <c:pt idx="1207">
                  <c:v>64.044720496894826</c:v>
                </c:pt>
                <c:pt idx="1208">
                  <c:v>64.044720496894826</c:v>
                </c:pt>
                <c:pt idx="1209">
                  <c:v>64.044720496894826</c:v>
                </c:pt>
                <c:pt idx="1210">
                  <c:v>64.044720496894826</c:v>
                </c:pt>
                <c:pt idx="1211">
                  <c:v>64.044720496894826</c:v>
                </c:pt>
                <c:pt idx="1212">
                  <c:v>64.044720496894826</c:v>
                </c:pt>
                <c:pt idx="1213">
                  <c:v>64.044720496894826</c:v>
                </c:pt>
                <c:pt idx="1214">
                  <c:v>64.044720496894826</c:v>
                </c:pt>
                <c:pt idx="1215">
                  <c:v>64.044720496894826</c:v>
                </c:pt>
                <c:pt idx="1216">
                  <c:v>64.044720496894826</c:v>
                </c:pt>
                <c:pt idx="1217">
                  <c:v>64.044720496894826</c:v>
                </c:pt>
                <c:pt idx="1218">
                  <c:v>64.044720496894826</c:v>
                </c:pt>
                <c:pt idx="1219">
                  <c:v>64.044720496894826</c:v>
                </c:pt>
                <c:pt idx="1220">
                  <c:v>64.044720496894826</c:v>
                </c:pt>
                <c:pt idx="1221">
                  <c:v>64.044720496894826</c:v>
                </c:pt>
                <c:pt idx="1222">
                  <c:v>64.044720496894826</c:v>
                </c:pt>
                <c:pt idx="1223">
                  <c:v>64.044720496894826</c:v>
                </c:pt>
                <c:pt idx="1224">
                  <c:v>64.044720496894826</c:v>
                </c:pt>
                <c:pt idx="1225">
                  <c:v>64.044720496894826</c:v>
                </c:pt>
                <c:pt idx="1226">
                  <c:v>64.044720496894826</c:v>
                </c:pt>
                <c:pt idx="1227">
                  <c:v>64.044720496894826</c:v>
                </c:pt>
                <c:pt idx="1228">
                  <c:v>64.044720496894826</c:v>
                </c:pt>
                <c:pt idx="1229">
                  <c:v>64.044720496894826</c:v>
                </c:pt>
                <c:pt idx="1230">
                  <c:v>64.044720496894826</c:v>
                </c:pt>
                <c:pt idx="1231">
                  <c:v>64.044720496894826</c:v>
                </c:pt>
                <c:pt idx="1232">
                  <c:v>64.044720496894826</c:v>
                </c:pt>
                <c:pt idx="1233">
                  <c:v>64.044720496894826</c:v>
                </c:pt>
                <c:pt idx="1234">
                  <c:v>64.044720496894826</c:v>
                </c:pt>
                <c:pt idx="1235">
                  <c:v>64.044720496894826</c:v>
                </c:pt>
                <c:pt idx="1236">
                  <c:v>64.044720496894826</c:v>
                </c:pt>
                <c:pt idx="1237">
                  <c:v>64.044720496894826</c:v>
                </c:pt>
              </c:numCache>
            </c:numRef>
          </c:val>
          <c:smooth val="0"/>
          <c:extLst>
            <c:ext xmlns:c16="http://schemas.microsoft.com/office/drawing/2014/chart" uri="{C3380CC4-5D6E-409C-BE32-E72D297353CC}">
              <c16:uniqueId val="{00000001-77D3-44DD-B076-A549DF9B0BC4}"/>
            </c:ext>
          </c:extLst>
        </c:ser>
        <c:ser>
          <c:idx val="2"/>
          <c:order val="2"/>
          <c:tx>
            <c:v>O</c:v>
          </c:tx>
          <c:spPr>
            <a:ln w="28575" cap="rnd">
              <a:solidFill>
                <a:schemeClr val="accent3"/>
              </a:solidFill>
              <a:round/>
            </a:ln>
            <a:effectLst/>
          </c:spPr>
          <c:marker>
            <c:symbol val="none"/>
          </c:marker>
          <c:val>
            <c:numRef>
              <c:f>'Journal Live'!$BZ$1388:$BZ$2630</c:f>
              <c:numCache>
                <c:formatCode>General</c:formatCode>
                <c:ptCount val="1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202.99999999998022</c:v>
                </c:pt>
                <c:pt idx="81">
                  <c:v>202.99999999998022</c:v>
                </c:pt>
                <c:pt idx="82">
                  <c:v>202.99999999998022</c:v>
                </c:pt>
                <c:pt idx="83">
                  <c:v>202.99999999998022</c:v>
                </c:pt>
                <c:pt idx="84">
                  <c:v>202.99999999998022</c:v>
                </c:pt>
                <c:pt idx="85">
                  <c:v>202.99999999998022</c:v>
                </c:pt>
                <c:pt idx="86">
                  <c:v>202.99999999998022</c:v>
                </c:pt>
                <c:pt idx="87">
                  <c:v>202.99999999998022</c:v>
                </c:pt>
                <c:pt idx="88">
                  <c:v>202.99999999998022</c:v>
                </c:pt>
                <c:pt idx="89">
                  <c:v>202.99999999998022</c:v>
                </c:pt>
                <c:pt idx="90">
                  <c:v>202.99999999998022</c:v>
                </c:pt>
                <c:pt idx="91">
                  <c:v>202.99999999998022</c:v>
                </c:pt>
                <c:pt idx="92">
                  <c:v>202.99999999998022</c:v>
                </c:pt>
                <c:pt idx="93">
                  <c:v>202.99999999998022</c:v>
                </c:pt>
                <c:pt idx="94">
                  <c:v>202.99999999998022</c:v>
                </c:pt>
                <c:pt idx="95">
                  <c:v>202.99999999998022</c:v>
                </c:pt>
                <c:pt idx="96">
                  <c:v>202.99999999998022</c:v>
                </c:pt>
                <c:pt idx="97">
                  <c:v>202.99999999998022</c:v>
                </c:pt>
                <c:pt idx="98">
                  <c:v>202.99999999998022</c:v>
                </c:pt>
                <c:pt idx="99">
                  <c:v>226.19999999992615</c:v>
                </c:pt>
                <c:pt idx="100">
                  <c:v>226.19999999992615</c:v>
                </c:pt>
                <c:pt idx="101">
                  <c:v>226.19999999992615</c:v>
                </c:pt>
                <c:pt idx="102">
                  <c:v>226.19999999992615</c:v>
                </c:pt>
                <c:pt idx="103">
                  <c:v>226.19999999992615</c:v>
                </c:pt>
                <c:pt idx="104">
                  <c:v>226.19999999992615</c:v>
                </c:pt>
                <c:pt idx="105">
                  <c:v>226.19999999992615</c:v>
                </c:pt>
                <c:pt idx="106">
                  <c:v>242.1999999999116</c:v>
                </c:pt>
                <c:pt idx="107">
                  <c:v>242.1999999999116</c:v>
                </c:pt>
                <c:pt idx="108">
                  <c:v>242.1999999999116</c:v>
                </c:pt>
                <c:pt idx="109">
                  <c:v>242.1999999999116</c:v>
                </c:pt>
                <c:pt idx="110">
                  <c:v>242.1999999999116</c:v>
                </c:pt>
                <c:pt idx="111">
                  <c:v>242.1999999999116</c:v>
                </c:pt>
                <c:pt idx="112">
                  <c:v>242.1999999999116</c:v>
                </c:pt>
                <c:pt idx="113">
                  <c:v>242.1999999999116</c:v>
                </c:pt>
                <c:pt idx="114">
                  <c:v>242.1999999999116</c:v>
                </c:pt>
                <c:pt idx="115">
                  <c:v>242.1999999999116</c:v>
                </c:pt>
                <c:pt idx="116">
                  <c:v>242.1999999999116</c:v>
                </c:pt>
                <c:pt idx="117">
                  <c:v>242.1999999999116</c:v>
                </c:pt>
                <c:pt idx="118">
                  <c:v>242.1999999999116</c:v>
                </c:pt>
                <c:pt idx="119">
                  <c:v>224.93999999992729</c:v>
                </c:pt>
                <c:pt idx="120">
                  <c:v>224.93999999992729</c:v>
                </c:pt>
                <c:pt idx="121">
                  <c:v>224.93999999992729</c:v>
                </c:pt>
                <c:pt idx="122">
                  <c:v>224.93999999992729</c:v>
                </c:pt>
                <c:pt idx="123">
                  <c:v>224.93999999992729</c:v>
                </c:pt>
                <c:pt idx="124">
                  <c:v>224.93999999992729</c:v>
                </c:pt>
                <c:pt idx="125">
                  <c:v>224.93999999992729</c:v>
                </c:pt>
                <c:pt idx="126">
                  <c:v>224.93999999992729</c:v>
                </c:pt>
                <c:pt idx="127">
                  <c:v>224.93999999992729</c:v>
                </c:pt>
                <c:pt idx="128">
                  <c:v>224.93999999992729</c:v>
                </c:pt>
                <c:pt idx="129">
                  <c:v>224.93999999992729</c:v>
                </c:pt>
                <c:pt idx="130">
                  <c:v>224.93999999992729</c:v>
                </c:pt>
                <c:pt idx="131">
                  <c:v>224.93999999992729</c:v>
                </c:pt>
                <c:pt idx="132">
                  <c:v>224.93999999992729</c:v>
                </c:pt>
                <c:pt idx="133">
                  <c:v>172.73999999992532</c:v>
                </c:pt>
                <c:pt idx="134">
                  <c:v>172.73999999992532</c:v>
                </c:pt>
                <c:pt idx="135">
                  <c:v>172.73999999992532</c:v>
                </c:pt>
                <c:pt idx="136">
                  <c:v>172.73999999992532</c:v>
                </c:pt>
                <c:pt idx="137">
                  <c:v>172.73999999992532</c:v>
                </c:pt>
                <c:pt idx="138">
                  <c:v>172.73999999992532</c:v>
                </c:pt>
                <c:pt idx="139">
                  <c:v>172.73999999992532</c:v>
                </c:pt>
                <c:pt idx="140">
                  <c:v>172.73999999992532</c:v>
                </c:pt>
                <c:pt idx="141">
                  <c:v>172.73999999992532</c:v>
                </c:pt>
                <c:pt idx="142">
                  <c:v>172.73999999992532</c:v>
                </c:pt>
                <c:pt idx="143">
                  <c:v>172.73999999992532</c:v>
                </c:pt>
                <c:pt idx="144">
                  <c:v>172.73999999992532</c:v>
                </c:pt>
                <c:pt idx="145">
                  <c:v>172.73999999992532</c:v>
                </c:pt>
                <c:pt idx="146">
                  <c:v>172.73999999992532</c:v>
                </c:pt>
                <c:pt idx="147">
                  <c:v>172.73999999992532</c:v>
                </c:pt>
                <c:pt idx="148">
                  <c:v>172.73999999992532</c:v>
                </c:pt>
                <c:pt idx="149">
                  <c:v>172.73999999992532</c:v>
                </c:pt>
                <c:pt idx="150">
                  <c:v>201.73999999989894</c:v>
                </c:pt>
                <c:pt idx="151">
                  <c:v>114.73999999989564</c:v>
                </c:pt>
                <c:pt idx="152">
                  <c:v>114.73999999989564</c:v>
                </c:pt>
                <c:pt idx="153">
                  <c:v>114.73999999989564</c:v>
                </c:pt>
                <c:pt idx="154">
                  <c:v>114.73999999989564</c:v>
                </c:pt>
                <c:pt idx="155">
                  <c:v>114.73999999989564</c:v>
                </c:pt>
                <c:pt idx="156">
                  <c:v>114.73999999989564</c:v>
                </c:pt>
                <c:pt idx="157">
                  <c:v>114.73999999989564</c:v>
                </c:pt>
                <c:pt idx="158">
                  <c:v>114.73999999989564</c:v>
                </c:pt>
                <c:pt idx="159">
                  <c:v>114.73999999989564</c:v>
                </c:pt>
                <c:pt idx="160">
                  <c:v>114.73999999989564</c:v>
                </c:pt>
                <c:pt idx="161">
                  <c:v>114.73999999989564</c:v>
                </c:pt>
                <c:pt idx="162">
                  <c:v>114.73999999989564</c:v>
                </c:pt>
                <c:pt idx="163">
                  <c:v>137.93999999984158</c:v>
                </c:pt>
                <c:pt idx="164">
                  <c:v>137.93999999984158</c:v>
                </c:pt>
                <c:pt idx="165">
                  <c:v>137.93999999984158</c:v>
                </c:pt>
                <c:pt idx="166">
                  <c:v>137.93999999984158</c:v>
                </c:pt>
                <c:pt idx="167">
                  <c:v>137.93999999984158</c:v>
                </c:pt>
                <c:pt idx="168">
                  <c:v>137.93999999984158</c:v>
                </c:pt>
                <c:pt idx="169">
                  <c:v>137.93999999984158</c:v>
                </c:pt>
                <c:pt idx="170">
                  <c:v>166.9399999998152</c:v>
                </c:pt>
                <c:pt idx="171">
                  <c:v>166.9399999998152</c:v>
                </c:pt>
                <c:pt idx="172">
                  <c:v>166.9399999998152</c:v>
                </c:pt>
                <c:pt idx="173">
                  <c:v>166.9399999998152</c:v>
                </c:pt>
                <c:pt idx="174">
                  <c:v>166.9399999998152</c:v>
                </c:pt>
                <c:pt idx="175">
                  <c:v>166.9399999998152</c:v>
                </c:pt>
                <c:pt idx="176">
                  <c:v>166.9399999998152</c:v>
                </c:pt>
                <c:pt idx="177">
                  <c:v>166.9399999998152</c:v>
                </c:pt>
                <c:pt idx="178">
                  <c:v>166.9399999998152</c:v>
                </c:pt>
                <c:pt idx="179">
                  <c:v>166.9399999998152</c:v>
                </c:pt>
                <c:pt idx="180">
                  <c:v>166.9399999998152</c:v>
                </c:pt>
                <c:pt idx="181">
                  <c:v>166.9399999998152</c:v>
                </c:pt>
                <c:pt idx="182">
                  <c:v>166.9399999998152</c:v>
                </c:pt>
                <c:pt idx="183">
                  <c:v>166.9399999998152</c:v>
                </c:pt>
                <c:pt idx="184">
                  <c:v>491.73999999988246</c:v>
                </c:pt>
                <c:pt idx="185">
                  <c:v>491.73999999988246</c:v>
                </c:pt>
                <c:pt idx="186">
                  <c:v>491.73999999988246</c:v>
                </c:pt>
                <c:pt idx="187">
                  <c:v>491.73999999988246</c:v>
                </c:pt>
                <c:pt idx="188">
                  <c:v>491.73999999988246</c:v>
                </c:pt>
                <c:pt idx="189">
                  <c:v>491.73999999988246</c:v>
                </c:pt>
                <c:pt idx="190">
                  <c:v>491.73999999988246</c:v>
                </c:pt>
                <c:pt idx="191">
                  <c:v>491.73999999988246</c:v>
                </c:pt>
                <c:pt idx="192">
                  <c:v>491.73999999988246</c:v>
                </c:pt>
                <c:pt idx="193">
                  <c:v>491.73999999988246</c:v>
                </c:pt>
                <c:pt idx="194">
                  <c:v>491.73999999988246</c:v>
                </c:pt>
                <c:pt idx="195">
                  <c:v>491.73999999988246</c:v>
                </c:pt>
                <c:pt idx="196">
                  <c:v>491.73999999988246</c:v>
                </c:pt>
                <c:pt idx="197">
                  <c:v>491.73999999988246</c:v>
                </c:pt>
                <c:pt idx="198">
                  <c:v>491.73999999988246</c:v>
                </c:pt>
                <c:pt idx="199">
                  <c:v>491.73999999988246</c:v>
                </c:pt>
                <c:pt idx="200">
                  <c:v>520.73999999985608</c:v>
                </c:pt>
                <c:pt idx="201">
                  <c:v>520.73999999985608</c:v>
                </c:pt>
                <c:pt idx="202">
                  <c:v>520.73999999985608</c:v>
                </c:pt>
                <c:pt idx="203">
                  <c:v>520.73999999985608</c:v>
                </c:pt>
                <c:pt idx="204">
                  <c:v>520.73999999985608</c:v>
                </c:pt>
                <c:pt idx="205">
                  <c:v>520.73999999985608</c:v>
                </c:pt>
                <c:pt idx="206">
                  <c:v>520.73999999985608</c:v>
                </c:pt>
                <c:pt idx="207">
                  <c:v>520.73999999985608</c:v>
                </c:pt>
                <c:pt idx="208">
                  <c:v>520.73999999985608</c:v>
                </c:pt>
                <c:pt idx="209">
                  <c:v>520.73999999985608</c:v>
                </c:pt>
                <c:pt idx="210">
                  <c:v>520.73999999985608</c:v>
                </c:pt>
                <c:pt idx="211">
                  <c:v>520.73999999985608</c:v>
                </c:pt>
                <c:pt idx="212">
                  <c:v>520.73999999985608</c:v>
                </c:pt>
                <c:pt idx="213">
                  <c:v>520.73999999985608</c:v>
                </c:pt>
                <c:pt idx="214">
                  <c:v>520.73999999985608</c:v>
                </c:pt>
                <c:pt idx="215">
                  <c:v>520.73999999985608</c:v>
                </c:pt>
                <c:pt idx="216">
                  <c:v>520.73999999985608</c:v>
                </c:pt>
                <c:pt idx="217">
                  <c:v>520.73999999985608</c:v>
                </c:pt>
                <c:pt idx="218">
                  <c:v>520.73999999985608</c:v>
                </c:pt>
                <c:pt idx="219">
                  <c:v>520.73999999985608</c:v>
                </c:pt>
                <c:pt idx="220">
                  <c:v>520.73999999985608</c:v>
                </c:pt>
                <c:pt idx="221">
                  <c:v>520.73999999985608</c:v>
                </c:pt>
                <c:pt idx="222">
                  <c:v>520.73999999985608</c:v>
                </c:pt>
                <c:pt idx="223">
                  <c:v>520.73999999985608</c:v>
                </c:pt>
                <c:pt idx="224">
                  <c:v>520.73999999985608</c:v>
                </c:pt>
                <c:pt idx="225">
                  <c:v>520.73999999985608</c:v>
                </c:pt>
                <c:pt idx="226">
                  <c:v>520.73999999985608</c:v>
                </c:pt>
                <c:pt idx="227">
                  <c:v>520.73999999985608</c:v>
                </c:pt>
                <c:pt idx="228">
                  <c:v>520.73999999985608</c:v>
                </c:pt>
                <c:pt idx="229">
                  <c:v>520.73999999985608</c:v>
                </c:pt>
                <c:pt idx="230">
                  <c:v>520.73999999985608</c:v>
                </c:pt>
                <c:pt idx="231">
                  <c:v>520.73999999985608</c:v>
                </c:pt>
                <c:pt idx="232">
                  <c:v>520.73999999985608</c:v>
                </c:pt>
                <c:pt idx="233">
                  <c:v>520.73999999985608</c:v>
                </c:pt>
                <c:pt idx="234">
                  <c:v>520.73999999985608</c:v>
                </c:pt>
                <c:pt idx="235">
                  <c:v>520.73999999985608</c:v>
                </c:pt>
                <c:pt idx="236">
                  <c:v>520.73999999985608</c:v>
                </c:pt>
                <c:pt idx="237">
                  <c:v>520.73999999985608</c:v>
                </c:pt>
                <c:pt idx="238">
                  <c:v>520.73999999985608</c:v>
                </c:pt>
                <c:pt idx="239">
                  <c:v>520.73999999985608</c:v>
                </c:pt>
                <c:pt idx="240">
                  <c:v>520.73999999985608</c:v>
                </c:pt>
                <c:pt idx="241">
                  <c:v>520.73999999985608</c:v>
                </c:pt>
                <c:pt idx="242">
                  <c:v>520.73999999985608</c:v>
                </c:pt>
                <c:pt idx="243">
                  <c:v>520.73999999985608</c:v>
                </c:pt>
                <c:pt idx="244">
                  <c:v>520.73999999985608</c:v>
                </c:pt>
                <c:pt idx="245">
                  <c:v>520.73999999985608</c:v>
                </c:pt>
                <c:pt idx="246">
                  <c:v>520.73999999985608</c:v>
                </c:pt>
                <c:pt idx="247">
                  <c:v>520.73999999985608</c:v>
                </c:pt>
                <c:pt idx="248">
                  <c:v>520.73999999985608</c:v>
                </c:pt>
                <c:pt idx="249">
                  <c:v>520.73999999985608</c:v>
                </c:pt>
                <c:pt idx="250">
                  <c:v>520.73999999985608</c:v>
                </c:pt>
                <c:pt idx="251">
                  <c:v>520.73999999985608</c:v>
                </c:pt>
                <c:pt idx="252">
                  <c:v>520.73999999985608</c:v>
                </c:pt>
                <c:pt idx="253">
                  <c:v>520.73999999985608</c:v>
                </c:pt>
                <c:pt idx="254">
                  <c:v>520.73999999985608</c:v>
                </c:pt>
                <c:pt idx="255">
                  <c:v>520.73999999985608</c:v>
                </c:pt>
                <c:pt idx="256">
                  <c:v>520.73999999985608</c:v>
                </c:pt>
                <c:pt idx="257">
                  <c:v>520.73999999985608</c:v>
                </c:pt>
                <c:pt idx="258">
                  <c:v>520.73999999985608</c:v>
                </c:pt>
                <c:pt idx="259">
                  <c:v>520.73999999985608</c:v>
                </c:pt>
                <c:pt idx="260">
                  <c:v>520.73999999985608</c:v>
                </c:pt>
                <c:pt idx="261">
                  <c:v>520.73999999985608</c:v>
                </c:pt>
                <c:pt idx="262">
                  <c:v>520.73999999985608</c:v>
                </c:pt>
                <c:pt idx="263">
                  <c:v>520.73999999985608</c:v>
                </c:pt>
                <c:pt idx="264">
                  <c:v>520.73999999985608</c:v>
                </c:pt>
                <c:pt idx="265">
                  <c:v>520.73999999985608</c:v>
                </c:pt>
                <c:pt idx="266">
                  <c:v>520.73999999985608</c:v>
                </c:pt>
                <c:pt idx="267">
                  <c:v>520.73999999985608</c:v>
                </c:pt>
                <c:pt idx="268">
                  <c:v>520.73999999985608</c:v>
                </c:pt>
                <c:pt idx="269">
                  <c:v>520.73999999985608</c:v>
                </c:pt>
                <c:pt idx="270">
                  <c:v>520.73999999985608</c:v>
                </c:pt>
                <c:pt idx="271">
                  <c:v>520.73999999985608</c:v>
                </c:pt>
                <c:pt idx="272">
                  <c:v>520.73999999985608</c:v>
                </c:pt>
                <c:pt idx="273">
                  <c:v>520.73999999985608</c:v>
                </c:pt>
                <c:pt idx="274">
                  <c:v>520.73999999985608</c:v>
                </c:pt>
                <c:pt idx="275">
                  <c:v>520.73999999985608</c:v>
                </c:pt>
                <c:pt idx="276">
                  <c:v>520.73999999985608</c:v>
                </c:pt>
                <c:pt idx="277">
                  <c:v>520.73999999985608</c:v>
                </c:pt>
                <c:pt idx="278">
                  <c:v>520.73999999985608</c:v>
                </c:pt>
                <c:pt idx="279">
                  <c:v>520.73999999985608</c:v>
                </c:pt>
                <c:pt idx="280">
                  <c:v>520.73999999985608</c:v>
                </c:pt>
                <c:pt idx="281">
                  <c:v>520.73999999985608</c:v>
                </c:pt>
                <c:pt idx="282">
                  <c:v>520.73999999985608</c:v>
                </c:pt>
                <c:pt idx="283">
                  <c:v>474.3399999998818</c:v>
                </c:pt>
                <c:pt idx="284">
                  <c:v>456.93999999988114</c:v>
                </c:pt>
                <c:pt idx="285">
                  <c:v>456.93999999988114</c:v>
                </c:pt>
                <c:pt idx="286">
                  <c:v>456.93999999988114</c:v>
                </c:pt>
                <c:pt idx="287">
                  <c:v>456.93999999988114</c:v>
                </c:pt>
                <c:pt idx="288">
                  <c:v>456.93999999988114</c:v>
                </c:pt>
                <c:pt idx="289">
                  <c:v>456.93999999988114</c:v>
                </c:pt>
                <c:pt idx="290">
                  <c:v>456.93999999988114</c:v>
                </c:pt>
                <c:pt idx="291">
                  <c:v>456.93999999988114</c:v>
                </c:pt>
                <c:pt idx="292">
                  <c:v>456.93999999988114</c:v>
                </c:pt>
                <c:pt idx="293">
                  <c:v>456.93999999988114</c:v>
                </c:pt>
                <c:pt idx="294">
                  <c:v>485.93999999985476</c:v>
                </c:pt>
                <c:pt idx="295">
                  <c:v>485.93999999985476</c:v>
                </c:pt>
                <c:pt idx="296">
                  <c:v>485.93999999985476</c:v>
                </c:pt>
                <c:pt idx="297">
                  <c:v>485.93999999985476</c:v>
                </c:pt>
                <c:pt idx="298">
                  <c:v>485.93999999985476</c:v>
                </c:pt>
                <c:pt idx="299">
                  <c:v>485.93999999985476</c:v>
                </c:pt>
                <c:pt idx="300">
                  <c:v>485.93999999985476</c:v>
                </c:pt>
                <c:pt idx="301">
                  <c:v>485.93999999985476</c:v>
                </c:pt>
                <c:pt idx="302">
                  <c:v>485.93999999985476</c:v>
                </c:pt>
                <c:pt idx="303">
                  <c:v>503.33999999985542</c:v>
                </c:pt>
                <c:pt idx="304">
                  <c:v>519.33999999986361</c:v>
                </c:pt>
                <c:pt idx="305">
                  <c:v>519.33999999986361</c:v>
                </c:pt>
                <c:pt idx="306">
                  <c:v>519.33999999986361</c:v>
                </c:pt>
                <c:pt idx="307">
                  <c:v>519.33999999986361</c:v>
                </c:pt>
                <c:pt idx="308">
                  <c:v>519.33999999986361</c:v>
                </c:pt>
                <c:pt idx="309">
                  <c:v>519.33999999986361</c:v>
                </c:pt>
                <c:pt idx="310">
                  <c:v>571.53999999986559</c:v>
                </c:pt>
                <c:pt idx="311">
                  <c:v>571.53999999986559</c:v>
                </c:pt>
                <c:pt idx="312">
                  <c:v>571.53999999986559</c:v>
                </c:pt>
                <c:pt idx="313">
                  <c:v>571.53999999986559</c:v>
                </c:pt>
                <c:pt idx="314">
                  <c:v>571.53999999986559</c:v>
                </c:pt>
                <c:pt idx="315">
                  <c:v>519.33999999986361</c:v>
                </c:pt>
                <c:pt idx="316">
                  <c:v>519.33999999986361</c:v>
                </c:pt>
                <c:pt idx="317">
                  <c:v>519.33999999986361</c:v>
                </c:pt>
                <c:pt idx="318">
                  <c:v>519.33999999986361</c:v>
                </c:pt>
                <c:pt idx="319">
                  <c:v>519.33999999986361</c:v>
                </c:pt>
                <c:pt idx="320">
                  <c:v>519.33999999986361</c:v>
                </c:pt>
                <c:pt idx="321">
                  <c:v>519.33999999986361</c:v>
                </c:pt>
                <c:pt idx="322">
                  <c:v>519.33999999986361</c:v>
                </c:pt>
                <c:pt idx="323">
                  <c:v>519.33999999986361</c:v>
                </c:pt>
                <c:pt idx="324">
                  <c:v>519.33999999986361</c:v>
                </c:pt>
                <c:pt idx="325">
                  <c:v>519.33999999986361</c:v>
                </c:pt>
                <c:pt idx="326">
                  <c:v>519.33999999986361</c:v>
                </c:pt>
                <c:pt idx="327">
                  <c:v>519.33999999986361</c:v>
                </c:pt>
                <c:pt idx="328">
                  <c:v>519.33999999986361</c:v>
                </c:pt>
                <c:pt idx="329">
                  <c:v>519.33999999986361</c:v>
                </c:pt>
                <c:pt idx="330">
                  <c:v>519.33999999986361</c:v>
                </c:pt>
                <c:pt idx="331">
                  <c:v>519.33999999986361</c:v>
                </c:pt>
                <c:pt idx="332">
                  <c:v>519.33999999986361</c:v>
                </c:pt>
                <c:pt idx="333">
                  <c:v>519.33999999986361</c:v>
                </c:pt>
                <c:pt idx="334">
                  <c:v>519.33999999986361</c:v>
                </c:pt>
                <c:pt idx="335">
                  <c:v>519.33999999986361</c:v>
                </c:pt>
                <c:pt idx="336">
                  <c:v>519.33999999986361</c:v>
                </c:pt>
                <c:pt idx="337">
                  <c:v>519.33999999986361</c:v>
                </c:pt>
                <c:pt idx="338">
                  <c:v>519.33999999986361</c:v>
                </c:pt>
                <c:pt idx="339">
                  <c:v>519.33999999986361</c:v>
                </c:pt>
                <c:pt idx="340">
                  <c:v>519.33999999986361</c:v>
                </c:pt>
                <c:pt idx="341">
                  <c:v>519.33999999986361</c:v>
                </c:pt>
                <c:pt idx="342">
                  <c:v>519.33999999986361</c:v>
                </c:pt>
                <c:pt idx="343">
                  <c:v>519.33999999986361</c:v>
                </c:pt>
                <c:pt idx="344">
                  <c:v>519.33999999986361</c:v>
                </c:pt>
                <c:pt idx="345">
                  <c:v>519.33999999986361</c:v>
                </c:pt>
                <c:pt idx="346">
                  <c:v>519.33999999986361</c:v>
                </c:pt>
                <c:pt idx="347">
                  <c:v>519.33999999986361</c:v>
                </c:pt>
                <c:pt idx="348">
                  <c:v>519.33999999986361</c:v>
                </c:pt>
                <c:pt idx="349">
                  <c:v>519.33999999986361</c:v>
                </c:pt>
                <c:pt idx="350">
                  <c:v>519.33999999986361</c:v>
                </c:pt>
                <c:pt idx="351">
                  <c:v>519.33999999986361</c:v>
                </c:pt>
                <c:pt idx="352">
                  <c:v>519.33999999986361</c:v>
                </c:pt>
                <c:pt idx="353">
                  <c:v>519.33999999986361</c:v>
                </c:pt>
                <c:pt idx="354">
                  <c:v>519.33999999986361</c:v>
                </c:pt>
                <c:pt idx="355">
                  <c:v>519.33999999986361</c:v>
                </c:pt>
                <c:pt idx="356">
                  <c:v>519.33999999986361</c:v>
                </c:pt>
                <c:pt idx="357">
                  <c:v>548.33999999983723</c:v>
                </c:pt>
                <c:pt idx="358">
                  <c:v>548.33999999983723</c:v>
                </c:pt>
                <c:pt idx="359">
                  <c:v>548.33999999983723</c:v>
                </c:pt>
                <c:pt idx="360">
                  <c:v>548.33999999983723</c:v>
                </c:pt>
                <c:pt idx="361">
                  <c:v>548.33999999983723</c:v>
                </c:pt>
                <c:pt idx="362">
                  <c:v>548.33999999983723</c:v>
                </c:pt>
                <c:pt idx="363">
                  <c:v>548.33999999983723</c:v>
                </c:pt>
                <c:pt idx="364">
                  <c:v>548.33999999983723</c:v>
                </c:pt>
                <c:pt idx="365">
                  <c:v>548.33999999983723</c:v>
                </c:pt>
                <c:pt idx="366">
                  <c:v>548.33999999983723</c:v>
                </c:pt>
                <c:pt idx="367">
                  <c:v>548.33999999983723</c:v>
                </c:pt>
                <c:pt idx="368">
                  <c:v>548.33999999983723</c:v>
                </c:pt>
                <c:pt idx="369">
                  <c:v>548.33999999983723</c:v>
                </c:pt>
                <c:pt idx="370">
                  <c:v>606.3399999998669</c:v>
                </c:pt>
                <c:pt idx="371">
                  <c:v>606.3399999998669</c:v>
                </c:pt>
                <c:pt idx="372">
                  <c:v>606.3399999998669</c:v>
                </c:pt>
                <c:pt idx="373">
                  <c:v>606.3399999998669</c:v>
                </c:pt>
                <c:pt idx="374">
                  <c:v>606.3399999998669</c:v>
                </c:pt>
                <c:pt idx="375">
                  <c:v>606.3399999998669</c:v>
                </c:pt>
                <c:pt idx="376">
                  <c:v>606.3399999998669</c:v>
                </c:pt>
                <c:pt idx="377">
                  <c:v>586.0399999998524</c:v>
                </c:pt>
                <c:pt idx="378">
                  <c:v>586.0399999998524</c:v>
                </c:pt>
                <c:pt idx="379">
                  <c:v>586.0399999998524</c:v>
                </c:pt>
                <c:pt idx="380">
                  <c:v>586.0399999998524</c:v>
                </c:pt>
                <c:pt idx="381">
                  <c:v>586.0399999998524</c:v>
                </c:pt>
                <c:pt idx="382">
                  <c:v>586.0399999998524</c:v>
                </c:pt>
                <c:pt idx="383">
                  <c:v>586.0399999998524</c:v>
                </c:pt>
                <c:pt idx="384">
                  <c:v>586.0399999998524</c:v>
                </c:pt>
                <c:pt idx="385">
                  <c:v>586.0399999998524</c:v>
                </c:pt>
                <c:pt idx="386">
                  <c:v>554.03999999983603</c:v>
                </c:pt>
                <c:pt idx="387">
                  <c:v>554.03999999983603</c:v>
                </c:pt>
                <c:pt idx="388">
                  <c:v>554.03999999983603</c:v>
                </c:pt>
                <c:pt idx="389">
                  <c:v>554.03999999983603</c:v>
                </c:pt>
                <c:pt idx="390">
                  <c:v>554.03999999983603</c:v>
                </c:pt>
                <c:pt idx="391">
                  <c:v>554.03999999983603</c:v>
                </c:pt>
                <c:pt idx="392">
                  <c:v>739.63999999989801</c:v>
                </c:pt>
                <c:pt idx="393">
                  <c:v>707.63999999990438</c:v>
                </c:pt>
                <c:pt idx="394">
                  <c:v>707.63999999990438</c:v>
                </c:pt>
                <c:pt idx="395">
                  <c:v>707.63999999990438</c:v>
                </c:pt>
                <c:pt idx="396">
                  <c:v>707.63999999990438</c:v>
                </c:pt>
                <c:pt idx="397">
                  <c:v>707.63999999990438</c:v>
                </c:pt>
                <c:pt idx="398">
                  <c:v>707.63999999990438</c:v>
                </c:pt>
                <c:pt idx="399">
                  <c:v>707.63999999990438</c:v>
                </c:pt>
                <c:pt idx="400">
                  <c:v>707.63999999990438</c:v>
                </c:pt>
                <c:pt idx="401">
                  <c:v>707.63999999990438</c:v>
                </c:pt>
                <c:pt idx="402">
                  <c:v>707.63999999990438</c:v>
                </c:pt>
                <c:pt idx="403">
                  <c:v>707.63999999990438</c:v>
                </c:pt>
                <c:pt idx="404">
                  <c:v>707.63999999990438</c:v>
                </c:pt>
                <c:pt idx="405">
                  <c:v>707.63999999990438</c:v>
                </c:pt>
                <c:pt idx="406">
                  <c:v>707.63999999990438</c:v>
                </c:pt>
                <c:pt idx="407">
                  <c:v>707.63999999990438</c:v>
                </c:pt>
                <c:pt idx="408">
                  <c:v>707.63999999990438</c:v>
                </c:pt>
                <c:pt idx="409">
                  <c:v>707.63999999990438</c:v>
                </c:pt>
                <c:pt idx="410">
                  <c:v>707.63999999990438</c:v>
                </c:pt>
                <c:pt idx="411">
                  <c:v>707.63999999990438</c:v>
                </c:pt>
                <c:pt idx="412">
                  <c:v>707.63999999990438</c:v>
                </c:pt>
                <c:pt idx="413">
                  <c:v>707.63999999990438</c:v>
                </c:pt>
                <c:pt idx="414">
                  <c:v>707.63999999990438</c:v>
                </c:pt>
                <c:pt idx="415">
                  <c:v>707.63999999990438</c:v>
                </c:pt>
                <c:pt idx="416">
                  <c:v>707.63999999990438</c:v>
                </c:pt>
                <c:pt idx="417">
                  <c:v>707.63999999990438</c:v>
                </c:pt>
                <c:pt idx="418">
                  <c:v>707.63999999990438</c:v>
                </c:pt>
                <c:pt idx="419">
                  <c:v>707.63999999990438</c:v>
                </c:pt>
                <c:pt idx="420">
                  <c:v>707.63999999990438</c:v>
                </c:pt>
                <c:pt idx="421">
                  <c:v>707.63999999990438</c:v>
                </c:pt>
                <c:pt idx="422">
                  <c:v>707.63999999990438</c:v>
                </c:pt>
                <c:pt idx="423">
                  <c:v>707.63999999990438</c:v>
                </c:pt>
                <c:pt idx="424">
                  <c:v>707.63999999990438</c:v>
                </c:pt>
                <c:pt idx="425">
                  <c:v>707.63999999990438</c:v>
                </c:pt>
                <c:pt idx="426">
                  <c:v>707.63999999990438</c:v>
                </c:pt>
                <c:pt idx="427">
                  <c:v>707.63999999990438</c:v>
                </c:pt>
                <c:pt idx="428">
                  <c:v>678.63999999984833</c:v>
                </c:pt>
                <c:pt idx="429">
                  <c:v>678.63999999984833</c:v>
                </c:pt>
                <c:pt idx="430">
                  <c:v>678.63999999984833</c:v>
                </c:pt>
                <c:pt idx="431">
                  <c:v>678.63999999984833</c:v>
                </c:pt>
                <c:pt idx="432">
                  <c:v>678.63999999984833</c:v>
                </c:pt>
                <c:pt idx="433">
                  <c:v>678.63999999984833</c:v>
                </c:pt>
                <c:pt idx="434">
                  <c:v>678.63999999984833</c:v>
                </c:pt>
                <c:pt idx="435">
                  <c:v>678.63999999984833</c:v>
                </c:pt>
                <c:pt idx="436">
                  <c:v>678.63999999984833</c:v>
                </c:pt>
                <c:pt idx="437">
                  <c:v>678.63999999984833</c:v>
                </c:pt>
                <c:pt idx="438">
                  <c:v>678.63999999984833</c:v>
                </c:pt>
                <c:pt idx="439">
                  <c:v>678.63999999984833</c:v>
                </c:pt>
                <c:pt idx="440">
                  <c:v>678.63999999984833</c:v>
                </c:pt>
                <c:pt idx="441">
                  <c:v>678.63999999984833</c:v>
                </c:pt>
                <c:pt idx="442">
                  <c:v>678.63999999984833</c:v>
                </c:pt>
                <c:pt idx="443">
                  <c:v>678.63999999984833</c:v>
                </c:pt>
                <c:pt idx="444">
                  <c:v>678.63999999984833</c:v>
                </c:pt>
                <c:pt idx="445">
                  <c:v>678.63999999984833</c:v>
                </c:pt>
                <c:pt idx="446">
                  <c:v>678.63999999984833</c:v>
                </c:pt>
                <c:pt idx="447">
                  <c:v>678.63999999984833</c:v>
                </c:pt>
                <c:pt idx="448">
                  <c:v>591.63999999984503</c:v>
                </c:pt>
                <c:pt idx="449">
                  <c:v>591.63999999984503</c:v>
                </c:pt>
                <c:pt idx="450">
                  <c:v>591.63999999984503</c:v>
                </c:pt>
                <c:pt idx="451">
                  <c:v>591.63999999984503</c:v>
                </c:pt>
                <c:pt idx="452">
                  <c:v>591.63999999984503</c:v>
                </c:pt>
                <c:pt idx="453">
                  <c:v>591.63999999984503</c:v>
                </c:pt>
                <c:pt idx="454">
                  <c:v>591.63999999984503</c:v>
                </c:pt>
                <c:pt idx="455">
                  <c:v>597.4399999997903</c:v>
                </c:pt>
                <c:pt idx="456">
                  <c:v>613.43999999979849</c:v>
                </c:pt>
                <c:pt idx="457">
                  <c:v>613.43999999979849</c:v>
                </c:pt>
                <c:pt idx="458">
                  <c:v>613.43999999979849</c:v>
                </c:pt>
                <c:pt idx="459">
                  <c:v>613.43999999979849</c:v>
                </c:pt>
                <c:pt idx="460">
                  <c:v>613.43999999979849</c:v>
                </c:pt>
                <c:pt idx="461">
                  <c:v>613.43999999979849</c:v>
                </c:pt>
                <c:pt idx="462">
                  <c:v>642.43999999977211</c:v>
                </c:pt>
                <c:pt idx="463">
                  <c:v>642.43999999977211</c:v>
                </c:pt>
                <c:pt idx="464">
                  <c:v>642.43999999977211</c:v>
                </c:pt>
                <c:pt idx="465">
                  <c:v>642.43999999977211</c:v>
                </c:pt>
                <c:pt idx="466">
                  <c:v>642.43999999977211</c:v>
                </c:pt>
                <c:pt idx="467">
                  <c:v>642.43999999977211</c:v>
                </c:pt>
                <c:pt idx="468">
                  <c:v>642.43999999977211</c:v>
                </c:pt>
                <c:pt idx="469">
                  <c:v>642.43999999977211</c:v>
                </c:pt>
                <c:pt idx="470">
                  <c:v>642.43999999977211</c:v>
                </c:pt>
                <c:pt idx="471">
                  <c:v>642.43999999977211</c:v>
                </c:pt>
                <c:pt idx="472">
                  <c:v>642.43999999977211</c:v>
                </c:pt>
                <c:pt idx="473">
                  <c:v>642.43999999977211</c:v>
                </c:pt>
                <c:pt idx="474">
                  <c:v>642.43999999977211</c:v>
                </c:pt>
                <c:pt idx="475">
                  <c:v>642.43999999977211</c:v>
                </c:pt>
                <c:pt idx="476">
                  <c:v>642.43999999977211</c:v>
                </c:pt>
                <c:pt idx="477">
                  <c:v>642.43999999977211</c:v>
                </c:pt>
                <c:pt idx="478">
                  <c:v>642.43999999977211</c:v>
                </c:pt>
                <c:pt idx="479">
                  <c:v>642.43999999977211</c:v>
                </c:pt>
                <c:pt idx="480">
                  <c:v>642.43999999977211</c:v>
                </c:pt>
                <c:pt idx="481">
                  <c:v>897.63999999983673</c:v>
                </c:pt>
                <c:pt idx="482">
                  <c:v>897.63999999983673</c:v>
                </c:pt>
                <c:pt idx="483">
                  <c:v>897.63999999983673</c:v>
                </c:pt>
                <c:pt idx="484">
                  <c:v>897.63999999983673</c:v>
                </c:pt>
                <c:pt idx="485">
                  <c:v>897.63999999983673</c:v>
                </c:pt>
                <c:pt idx="486">
                  <c:v>897.63999999983673</c:v>
                </c:pt>
                <c:pt idx="487">
                  <c:v>897.63999999983673</c:v>
                </c:pt>
                <c:pt idx="488">
                  <c:v>897.63999999983673</c:v>
                </c:pt>
                <c:pt idx="489">
                  <c:v>897.63999999983673</c:v>
                </c:pt>
                <c:pt idx="490">
                  <c:v>897.63999999983673</c:v>
                </c:pt>
                <c:pt idx="491">
                  <c:v>897.63999999983673</c:v>
                </c:pt>
                <c:pt idx="492">
                  <c:v>897.63999999983673</c:v>
                </c:pt>
                <c:pt idx="493">
                  <c:v>897.63999999983673</c:v>
                </c:pt>
                <c:pt idx="494">
                  <c:v>897.63999999983673</c:v>
                </c:pt>
                <c:pt idx="495">
                  <c:v>897.63999999983673</c:v>
                </c:pt>
                <c:pt idx="496">
                  <c:v>897.63999999983673</c:v>
                </c:pt>
                <c:pt idx="497">
                  <c:v>897.63999999983673</c:v>
                </c:pt>
                <c:pt idx="498">
                  <c:v>897.63999999983673</c:v>
                </c:pt>
                <c:pt idx="499">
                  <c:v>897.63999999983673</c:v>
                </c:pt>
                <c:pt idx="500">
                  <c:v>897.63999999983673</c:v>
                </c:pt>
                <c:pt idx="501">
                  <c:v>897.63999999983673</c:v>
                </c:pt>
                <c:pt idx="502">
                  <c:v>897.63999999983673</c:v>
                </c:pt>
                <c:pt idx="503">
                  <c:v>897.63999999983673</c:v>
                </c:pt>
                <c:pt idx="504">
                  <c:v>897.63999999983673</c:v>
                </c:pt>
                <c:pt idx="505">
                  <c:v>897.63999999983673</c:v>
                </c:pt>
                <c:pt idx="506">
                  <c:v>897.63999999983673</c:v>
                </c:pt>
                <c:pt idx="507">
                  <c:v>887.28399999983628</c:v>
                </c:pt>
                <c:pt idx="508">
                  <c:v>887.28399999983628</c:v>
                </c:pt>
                <c:pt idx="509">
                  <c:v>858.28399999978024</c:v>
                </c:pt>
                <c:pt idx="510">
                  <c:v>871.22899999976846</c:v>
                </c:pt>
                <c:pt idx="511">
                  <c:v>871.22899999976846</c:v>
                </c:pt>
                <c:pt idx="512">
                  <c:v>871.22899999976846</c:v>
                </c:pt>
                <c:pt idx="513">
                  <c:v>871.22899999976846</c:v>
                </c:pt>
                <c:pt idx="514">
                  <c:v>871.22899999976846</c:v>
                </c:pt>
                <c:pt idx="515">
                  <c:v>871.22899999976846</c:v>
                </c:pt>
                <c:pt idx="516">
                  <c:v>871.22899999976846</c:v>
                </c:pt>
                <c:pt idx="517">
                  <c:v>871.22899999976846</c:v>
                </c:pt>
                <c:pt idx="518">
                  <c:v>871.22899999976846</c:v>
                </c:pt>
                <c:pt idx="519">
                  <c:v>871.22899999976846</c:v>
                </c:pt>
                <c:pt idx="520">
                  <c:v>871.22899999976846</c:v>
                </c:pt>
                <c:pt idx="521">
                  <c:v>871.22899999976846</c:v>
                </c:pt>
                <c:pt idx="522">
                  <c:v>871.22899999976846</c:v>
                </c:pt>
                <c:pt idx="523">
                  <c:v>871.22899999976846</c:v>
                </c:pt>
                <c:pt idx="524">
                  <c:v>871.22899999976846</c:v>
                </c:pt>
                <c:pt idx="525">
                  <c:v>871.22899999976846</c:v>
                </c:pt>
                <c:pt idx="526">
                  <c:v>871.22899999976846</c:v>
                </c:pt>
                <c:pt idx="527">
                  <c:v>871.22899999976846</c:v>
                </c:pt>
                <c:pt idx="528">
                  <c:v>871.22899999976846</c:v>
                </c:pt>
                <c:pt idx="529">
                  <c:v>871.22899999976846</c:v>
                </c:pt>
                <c:pt idx="530">
                  <c:v>871.22899999976846</c:v>
                </c:pt>
                <c:pt idx="531">
                  <c:v>871.22899999976846</c:v>
                </c:pt>
                <c:pt idx="532">
                  <c:v>871.22899999976846</c:v>
                </c:pt>
                <c:pt idx="533">
                  <c:v>871.22899999976846</c:v>
                </c:pt>
                <c:pt idx="534">
                  <c:v>871.22899999976846</c:v>
                </c:pt>
                <c:pt idx="535">
                  <c:v>871.22899999976846</c:v>
                </c:pt>
                <c:pt idx="536">
                  <c:v>871.22899999976846</c:v>
                </c:pt>
                <c:pt idx="537">
                  <c:v>871.22899999976846</c:v>
                </c:pt>
                <c:pt idx="538">
                  <c:v>871.22899999976846</c:v>
                </c:pt>
                <c:pt idx="539">
                  <c:v>871.22899999976846</c:v>
                </c:pt>
                <c:pt idx="540">
                  <c:v>871.22899999976846</c:v>
                </c:pt>
                <c:pt idx="541">
                  <c:v>871.22899999976846</c:v>
                </c:pt>
                <c:pt idx="542">
                  <c:v>871.22899999976846</c:v>
                </c:pt>
                <c:pt idx="543">
                  <c:v>871.22899999976846</c:v>
                </c:pt>
                <c:pt idx="544">
                  <c:v>755.22899999970912</c:v>
                </c:pt>
                <c:pt idx="545">
                  <c:v>755.22899999970912</c:v>
                </c:pt>
                <c:pt idx="546">
                  <c:v>755.22899999970912</c:v>
                </c:pt>
                <c:pt idx="547">
                  <c:v>755.22899999970912</c:v>
                </c:pt>
                <c:pt idx="548">
                  <c:v>755.22899999970912</c:v>
                </c:pt>
                <c:pt idx="549">
                  <c:v>755.22899999970912</c:v>
                </c:pt>
                <c:pt idx="550">
                  <c:v>755.22899999970912</c:v>
                </c:pt>
                <c:pt idx="551">
                  <c:v>755.22899999970912</c:v>
                </c:pt>
                <c:pt idx="552">
                  <c:v>755.22899999970912</c:v>
                </c:pt>
                <c:pt idx="553">
                  <c:v>755.22899999970912</c:v>
                </c:pt>
                <c:pt idx="554">
                  <c:v>755.22899999970912</c:v>
                </c:pt>
                <c:pt idx="555">
                  <c:v>326.96596666624367</c:v>
                </c:pt>
                <c:pt idx="556">
                  <c:v>755.22899999970912</c:v>
                </c:pt>
                <c:pt idx="557">
                  <c:v>639.2289999997322</c:v>
                </c:pt>
                <c:pt idx="558">
                  <c:v>639.2289999997322</c:v>
                </c:pt>
                <c:pt idx="559">
                  <c:v>639.2289999997322</c:v>
                </c:pt>
                <c:pt idx="560">
                  <c:v>639.2289999997322</c:v>
                </c:pt>
                <c:pt idx="561">
                  <c:v>639.2289999997322</c:v>
                </c:pt>
                <c:pt idx="562">
                  <c:v>639.2289999997322</c:v>
                </c:pt>
                <c:pt idx="563">
                  <c:v>628.95929999973464</c:v>
                </c:pt>
                <c:pt idx="564">
                  <c:v>628.95929999973464</c:v>
                </c:pt>
                <c:pt idx="565">
                  <c:v>628.95929999973464</c:v>
                </c:pt>
                <c:pt idx="566">
                  <c:v>628.95929999973464</c:v>
                </c:pt>
                <c:pt idx="567">
                  <c:v>628.95929999973464</c:v>
                </c:pt>
                <c:pt idx="568">
                  <c:v>569.29929999965555</c:v>
                </c:pt>
                <c:pt idx="569">
                  <c:v>628.95929999973464</c:v>
                </c:pt>
                <c:pt idx="570">
                  <c:v>628.95929999973464</c:v>
                </c:pt>
                <c:pt idx="571">
                  <c:v>569.29929999965555</c:v>
                </c:pt>
                <c:pt idx="572">
                  <c:v>596.95929999974101</c:v>
                </c:pt>
                <c:pt idx="573">
                  <c:v>596.95929999974101</c:v>
                </c:pt>
                <c:pt idx="574">
                  <c:v>596.95929999974101</c:v>
                </c:pt>
                <c:pt idx="575">
                  <c:v>569.29929999965555</c:v>
                </c:pt>
                <c:pt idx="576">
                  <c:v>326.96596666624367</c:v>
                </c:pt>
                <c:pt idx="577">
                  <c:v>596.95929999974101</c:v>
                </c:pt>
                <c:pt idx="578">
                  <c:v>596.95929999974101</c:v>
                </c:pt>
                <c:pt idx="579">
                  <c:v>596.95929999974101</c:v>
                </c:pt>
                <c:pt idx="580">
                  <c:v>596.95929999974101</c:v>
                </c:pt>
                <c:pt idx="581">
                  <c:v>596.95929999974101</c:v>
                </c:pt>
                <c:pt idx="582">
                  <c:v>612.95929999974919</c:v>
                </c:pt>
                <c:pt idx="583">
                  <c:v>612.95929999974919</c:v>
                </c:pt>
                <c:pt idx="584">
                  <c:v>612.95929999974919</c:v>
                </c:pt>
                <c:pt idx="585">
                  <c:v>612.95929999974919</c:v>
                </c:pt>
                <c:pt idx="586">
                  <c:v>612.95929999974919</c:v>
                </c:pt>
                <c:pt idx="587">
                  <c:v>612.95929999974919</c:v>
                </c:pt>
                <c:pt idx="588">
                  <c:v>612.95929999974919</c:v>
                </c:pt>
                <c:pt idx="589">
                  <c:v>612.95929999974919</c:v>
                </c:pt>
                <c:pt idx="590">
                  <c:v>612.95929999974919</c:v>
                </c:pt>
                <c:pt idx="591">
                  <c:v>612.95929999974919</c:v>
                </c:pt>
                <c:pt idx="592">
                  <c:v>612.95929999974919</c:v>
                </c:pt>
                <c:pt idx="593">
                  <c:v>612.95929999974919</c:v>
                </c:pt>
                <c:pt idx="594">
                  <c:v>612.95929999974919</c:v>
                </c:pt>
                <c:pt idx="595">
                  <c:v>612.95929999974919</c:v>
                </c:pt>
                <c:pt idx="596">
                  <c:v>612.95929999974919</c:v>
                </c:pt>
                <c:pt idx="597">
                  <c:v>612.95929999974919</c:v>
                </c:pt>
                <c:pt idx="598">
                  <c:v>612.95929999974919</c:v>
                </c:pt>
                <c:pt idx="599">
                  <c:v>612.95929999974919</c:v>
                </c:pt>
                <c:pt idx="600">
                  <c:v>612.95929999974919</c:v>
                </c:pt>
                <c:pt idx="601">
                  <c:v>612.95929999974919</c:v>
                </c:pt>
                <c:pt idx="602">
                  <c:v>612.95929999974919</c:v>
                </c:pt>
                <c:pt idx="603">
                  <c:v>612.95929999974919</c:v>
                </c:pt>
                <c:pt idx="604">
                  <c:v>612.95929999974919</c:v>
                </c:pt>
                <c:pt idx="605">
                  <c:v>612.95929999974919</c:v>
                </c:pt>
                <c:pt idx="606">
                  <c:v>612.95929999974919</c:v>
                </c:pt>
                <c:pt idx="607">
                  <c:v>612.95929999974919</c:v>
                </c:pt>
                <c:pt idx="608">
                  <c:v>612.95929999974919</c:v>
                </c:pt>
                <c:pt idx="609">
                  <c:v>612.95929999974919</c:v>
                </c:pt>
                <c:pt idx="610">
                  <c:v>612.95929999974919</c:v>
                </c:pt>
                <c:pt idx="611">
                  <c:v>612.95929999974919</c:v>
                </c:pt>
                <c:pt idx="612">
                  <c:v>612.95929999974919</c:v>
                </c:pt>
                <c:pt idx="613">
                  <c:v>612.95929999974919</c:v>
                </c:pt>
                <c:pt idx="614">
                  <c:v>612.95929999974919</c:v>
                </c:pt>
                <c:pt idx="615">
                  <c:v>612.95929999974919</c:v>
                </c:pt>
                <c:pt idx="616">
                  <c:v>612.95929999974919</c:v>
                </c:pt>
                <c:pt idx="617">
                  <c:v>612.95929999974919</c:v>
                </c:pt>
                <c:pt idx="618">
                  <c:v>612.95929999974919</c:v>
                </c:pt>
                <c:pt idx="619">
                  <c:v>612.95929999974919</c:v>
                </c:pt>
                <c:pt idx="620">
                  <c:v>569.29929999965555</c:v>
                </c:pt>
                <c:pt idx="621">
                  <c:v>628.95929999975738</c:v>
                </c:pt>
                <c:pt idx="622">
                  <c:v>628.95929999975738</c:v>
                </c:pt>
                <c:pt idx="623">
                  <c:v>628.95929999975738</c:v>
                </c:pt>
                <c:pt idx="624">
                  <c:v>628.95929999975738</c:v>
                </c:pt>
                <c:pt idx="625">
                  <c:v>628.95929999975738</c:v>
                </c:pt>
                <c:pt idx="626">
                  <c:v>628.95929999975738</c:v>
                </c:pt>
                <c:pt idx="627">
                  <c:v>569.29929999965555</c:v>
                </c:pt>
                <c:pt idx="628">
                  <c:v>628.95929999975738</c:v>
                </c:pt>
                <c:pt idx="629">
                  <c:v>628.95929999975738</c:v>
                </c:pt>
                <c:pt idx="630">
                  <c:v>564.95929999974737</c:v>
                </c:pt>
                <c:pt idx="631">
                  <c:v>484.95929999975192</c:v>
                </c:pt>
                <c:pt idx="632">
                  <c:v>420.95929999974192</c:v>
                </c:pt>
                <c:pt idx="633">
                  <c:v>356.95929999974192</c:v>
                </c:pt>
                <c:pt idx="634">
                  <c:v>292.95929999975465</c:v>
                </c:pt>
                <c:pt idx="635">
                  <c:v>372.95929999976715</c:v>
                </c:pt>
                <c:pt idx="636">
                  <c:v>372.95929999976715</c:v>
                </c:pt>
                <c:pt idx="637">
                  <c:v>372.95929999976715</c:v>
                </c:pt>
                <c:pt idx="638">
                  <c:v>372.95929999976715</c:v>
                </c:pt>
                <c:pt idx="639">
                  <c:v>569.29929999965555</c:v>
                </c:pt>
                <c:pt idx="640">
                  <c:v>372.95929999976715</c:v>
                </c:pt>
                <c:pt idx="641">
                  <c:v>372.95929999976715</c:v>
                </c:pt>
                <c:pt idx="642">
                  <c:v>569.29929999965555</c:v>
                </c:pt>
                <c:pt idx="643">
                  <c:v>372.95929999976715</c:v>
                </c:pt>
                <c:pt idx="644">
                  <c:v>372.95929999976715</c:v>
                </c:pt>
                <c:pt idx="645">
                  <c:v>471.55929999966099</c:v>
                </c:pt>
                <c:pt idx="646">
                  <c:v>372.95929999976715</c:v>
                </c:pt>
                <c:pt idx="647">
                  <c:v>471.55929999966099</c:v>
                </c:pt>
                <c:pt idx="648">
                  <c:v>372.95929999976715</c:v>
                </c:pt>
                <c:pt idx="649">
                  <c:v>372.95929999976715</c:v>
                </c:pt>
                <c:pt idx="650">
                  <c:v>372.95929999976715</c:v>
                </c:pt>
                <c:pt idx="651">
                  <c:v>372.95929999976715</c:v>
                </c:pt>
                <c:pt idx="652">
                  <c:v>372.95929999976715</c:v>
                </c:pt>
                <c:pt idx="653">
                  <c:v>372.95929999976715</c:v>
                </c:pt>
                <c:pt idx="654">
                  <c:v>372.95929999976715</c:v>
                </c:pt>
                <c:pt idx="655">
                  <c:v>372.95929999976715</c:v>
                </c:pt>
                <c:pt idx="656">
                  <c:v>372.95929999976715</c:v>
                </c:pt>
                <c:pt idx="657">
                  <c:v>372.95929999976715</c:v>
                </c:pt>
                <c:pt idx="658">
                  <c:v>297.55929999973682</c:v>
                </c:pt>
                <c:pt idx="659">
                  <c:v>297.55929999973682</c:v>
                </c:pt>
                <c:pt idx="660">
                  <c:v>297.55929999973682</c:v>
                </c:pt>
                <c:pt idx="661">
                  <c:v>297.55929999973682</c:v>
                </c:pt>
                <c:pt idx="662">
                  <c:v>297.55929999973682</c:v>
                </c:pt>
                <c:pt idx="663">
                  <c:v>297.55929999973682</c:v>
                </c:pt>
                <c:pt idx="664">
                  <c:v>297.55929999973682</c:v>
                </c:pt>
                <c:pt idx="665">
                  <c:v>297.55929999973682</c:v>
                </c:pt>
                <c:pt idx="666">
                  <c:v>471.55929999966099</c:v>
                </c:pt>
                <c:pt idx="667">
                  <c:v>297.55929999973682</c:v>
                </c:pt>
                <c:pt idx="668">
                  <c:v>297.55929999973682</c:v>
                </c:pt>
                <c:pt idx="669">
                  <c:v>297.55929999973682</c:v>
                </c:pt>
                <c:pt idx="670">
                  <c:v>297.55929999973682</c:v>
                </c:pt>
                <c:pt idx="671">
                  <c:v>297.55929999973682</c:v>
                </c:pt>
                <c:pt idx="672">
                  <c:v>297.55929999973682</c:v>
                </c:pt>
                <c:pt idx="673">
                  <c:v>297.55929999973682</c:v>
                </c:pt>
                <c:pt idx="674">
                  <c:v>297.55929999973682</c:v>
                </c:pt>
                <c:pt idx="675">
                  <c:v>297.55929999973682</c:v>
                </c:pt>
                <c:pt idx="676">
                  <c:v>297.55929999973682</c:v>
                </c:pt>
                <c:pt idx="677">
                  <c:v>297.55929999973682</c:v>
                </c:pt>
                <c:pt idx="678">
                  <c:v>297.55929999973682</c:v>
                </c:pt>
                <c:pt idx="679">
                  <c:v>297.55929999973682</c:v>
                </c:pt>
                <c:pt idx="680">
                  <c:v>297.55929999973682</c:v>
                </c:pt>
                <c:pt idx="681">
                  <c:v>297.55929999973682</c:v>
                </c:pt>
                <c:pt idx="682">
                  <c:v>297.55929999973682</c:v>
                </c:pt>
                <c:pt idx="683">
                  <c:v>297.55929999973682</c:v>
                </c:pt>
                <c:pt idx="684">
                  <c:v>297.55929999973682</c:v>
                </c:pt>
                <c:pt idx="685">
                  <c:v>297.55929999973682</c:v>
                </c:pt>
                <c:pt idx="686">
                  <c:v>297.55929999973682</c:v>
                </c:pt>
                <c:pt idx="687">
                  <c:v>297.55929999973682</c:v>
                </c:pt>
                <c:pt idx="688">
                  <c:v>297.55929999973682</c:v>
                </c:pt>
                <c:pt idx="689">
                  <c:v>297.55929999973682</c:v>
                </c:pt>
                <c:pt idx="690">
                  <c:v>297.55929999973682</c:v>
                </c:pt>
                <c:pt idx="691">
                  <c:v>297.55929999973682</c:v>
                </c:pt>
                <c:pt idx="692">
                  <c:v>297.55929999973682</c:v>
                </c:pt>
                <c:pt idx="693">
                  <c:v>297.55929999973682</c:v>
                </c:pt>
                <c:pt idx="694">
                  <c:v>297.55929999973682</c:v>
                </c:pt>
                <c:pt idx="695">
                  <c:v>297.55929999973682</c:v>
                </c:pt>
                <c:pt idx="696">
                  <c:v>297.55929999973682</c:v>
                </c:pt>
                <c:pt idx="697">
                  <c:v>297.55929999973682</c:v>
                </c:pt>
                <c:pt idx="698">
                  <c:v>297.55929999973682</c:v>
                </c:pt>
                <c:pt idx="699">
                  <c:v>297.55929999973682</c:v>
                </c:pt>
                <c:pt idx="700">
                  <c:v>297.55929999973682</c:v>
                </c:pt>
                <c:pt idx="701">
                  <c:v>297.55929999973682</c:v>
                </c:pt>
                <c:pt idx="702">
                  <c:v>471.55929999966099</c:v>
                </c:pt>
                <c:pt idx="703">
                  <c:v>297.55929999973682</c:v>
                </c:pt>
                <c:pt idx="704">
                  <c:v>413.55929999971374</c:v>
                </c:pt>
                <c:pt idx="705">
                  <c:v>413.55929999971374</c:v>
                </c:pt>
                <c:pt idx="706">
                  <c:v>413.55929999971374</c:v>
                </c:pt>
                <c:pt idx="707">
                  <c:v>413.55929999971374</c:v>
                </c:pt>
                <c:pt idx="708">
                  <c:v>413.55929999971374</c:v>
                </c:pt>
                <c:pt idx="709">
                  <c:v>413.55929999971374</c:v>
                </c:pt>
                <c:pt idx="710">
                  <c:v>413.55929999971374</c:v>
                </c:pt>
                <c:pt idx="711">
                  <c:v>471.55929999966099</c:v>
                </c:pt>
                <c:pt idx="712">
                  <c:v>413.55929999971374</c:v>
                </c:pt>
                <c:pt idx="713">
                  <c:v>413.55929999971374</c:v>
                </c:pt>
                <c:pt idx="714">
                  <c:v>471.55929999966099</c:v>
                </c:pt>
                <c:pt idx="715">
                  <c:v>471.55929999966099</c:v>
                </c:pt>
                <c:pt idx="716">
                  <c:v>471.55929999966099</c:v>
                </c:pt>
                <c:pt idx="717">
                  <c:v>471.55929999966099</c:v>
                </c:pt>
                <c:pt idx="718">
                  <c:v>471.55929999966099</c:v>
                </c:pt>
                <c:pt idx="719">
                  <c:v>471.55929999966099</c:v>
                </c:pt>
                <c:pt idx="720">
                  <c:v>471.55929999966099</c:v>
                </c:pt>
                <c:pt idx="721">
                  <c:v>471.55929999966099</c:v>
                </c:pt>
                <c:pt idx="722">
                  <c:v>471.55929999966099</c:v>
                </c:pt>
                <c:pt idx="723">
                  <c:v>471.55929999966099</c:v>
                </c:pt>
                <c:pt idx="724">
                  <c:v>471.55929999966099</c:v>
                </c:pt>
                <c:pt idx="725">
                  <c:v>471.55929999966099</c:v>
                </c:pt>
                <c:pt idx="726">
                  <c:v>471.55929999966099</c:v>
                </c:pt>
                <c:pt idx="727">
                  <c:v>471.55929999966099</c:v>
                </c:pt>
                <c:pt idx="728">
                  <c:v>471.55929999966099</c:v>
                </c:pt>
                <c:pt idx="729">
                  <c:v>471.55929999966099</c:v>
                </c:pt>
                <c:pt idx="730">
                  <c:v>471.55929999966099</c:v>
                </c:pt>
                <c:pt idx="731">
                  <c:v>569.29929999965555</c:v>
                </c:pt>
                <c:pt idx="732">
                  <c:v>378.55929999967736</c:v>
                </c:pt>
                <c:pt idx="733">
                  <c:v>471.55929999966099</c:v>
                </c:pt>
                <c:pt idx="734">
                  <c:v>471.55929999966099</c:v>
                </c:pt>
                <c:pt idx="735">
                  <c:v>471.55929999966099</c:v>
                </c:pt>
                <c:pt idx="736">
                  <c:v>471.55929999966099</c:v>
                </c:pt>
                <c:pt idx="737">
                  <c:v>471.55929999966099</c:v>
                </c:pt>
                <c:pt idx="738">
                  <c:v>378.55929999967736</c:v>
                </c:pt>
                <c:pt idx="739">
                  <c:v>471.55929999966099</c:v>
                </c:pt>
                <c:pt idx="740">
                  <c:v>471.55929999966099</c:v>
                </c:pt>
                <c:pt idx="741">
                  <c:v>471.55929999966099</c:v>
                </c:pt>
                <c:pt idx="742">
                  <c:v>471.55929999966099</c:v>
                </c:pt>
                <c:pt idx="743">
                  <c:v>471.55929999966099</c:v>
                </c:pt>
                <c:pt idx="744">
                  <c:v>471.55929999966099</c:v>
                </c:pt>
                <c:pt idx="745">
                  <c:v>471.55929999966099</c:v>
                </c:pt>
                <c:pt idx="746">
                  <c:v>471.55929999966099</c:v>
                </c:pt>
                <c:pt idx="747">
                  <c:v>471.55929999966099</c:v>
                </c:pt>
                <c:pt idx="748">
                  <c:v>471.55929999966099</c:v>
                </c:pt>
                <c:pt idx="749">
                  <c:v>471.55929999966099</c:v>
                </c:pt>
                <c:pt idx="750">
                  <c:v>471.55929999966099</c:v>
                </c:pt>
                <c:pt idx="751">
                  <c:v>471.55929999966099</c:v>
                </c:pt>
                <c:pt idx="752">
                  <c:v>471.55929999966099</c:v>
                </c:pt>
                <c:pt idx="753">
                  <c:v>471.55929999966099</c:v>
                </c:pt>
                <c:pt idx="754">
                  <c:v>471.55929999966099</c:v>
                </c:pt>
                <c:pt idx="755">
                  <c:v>471.55929999966099</c:v>
                </c:pt>
                <c:pt idx="756">
                  <c:v>471.55929999966099</c:v>
                </c:pt>
                <c:pt idx="757">
                  <c:v>471.55929999966099</c:v>
                </c:pt>
                <c:pt idx="758">
                  <c:v>471.55929999966099</c:v>
                </c:pt>
                <c:pt idx="759">
                  <c:v>471.55929999966099</c:v>
                </c:pt>
                <c:pt idx="760">
                  <c:v>471.55929999966099</c:v>
                </c:pt>
                <c:pt idx="761">
                  <c:v>471.55929999966099</c:v>
                </c:pt>
                <c:pt idx="762">
                  <c:v>471.55929999966099</c:v>
                </c:pt>
                <c:pt idx="763">
                  <c:v>471.55929999966099</c:v>
                </c:pt>
                <c:pt idx="764">
                  <c:v>471.55929999966099</c:v>
                </c:pt>
                <c:pt idx="765">
                  <c:v>471.55929999966099</c:v>
                </c:pt>
                <c:pt idx="766">
                  <c:v>471.55929999966099</c:v>
                </c:pt>
                <c:pt idx="767">
                  <c:v>471.55929999966099</c:v>
                </c:pt>
                <c:pt idx="768">
                  <c:v>471.55929999966099</c:v>
                </c:pt>
                <c:pt idx="769">
                  <c:v>471.55929999966099</c:v>
                </c:pt>
                <c:pt idx="770">
                  <c:v>471.55929999966099</c:v>
                </c:pt>
                <c:pt idx="771">
                  <c:v>471.55929999966099</c:v>
                </c:pt>
                <c:pt idx="772">
                  <c:v>471.55929999966099</c:v>
                </c:pt>
                <c:pt idx="773">
                  <c:v>471.55929999966099</c:v>
                </c:pt>
                <c:pt idx="774">
                  <c:v>471.55929999966099</c:v>
                </c:pt>
                <c:pt idx="775">
                  <c:v>471.55929999966099</c:v>
                </c:pt>
                <c:pt idx="776">
                  <c:v>471.55929999966099</c:v>
                </c:pt>
                <c:pt idx="777">
                  <c:v>471.55929999966099</c:v>
                </c:pt>
                <c:pt idx="778">
                  <c:v>471.55929999966099</c:v>
                </c:pt>
                <c:pt idx="779">
                  <c:v>471.55929999966099</c:v>
                </c:pt>
                <c:pt idx="780">
                  <c:v>471.55929999966099</c:v>
                </c:pt>
                <c:pt idx="781">
                  <c:v>471.55929999966099</c:v>
                </c:pt>
                <c:pt idx="782">
                  <c:v>471.55929999966099</c:v>
                </c:pt>
                <c:pt idx="783">
                  <c:v>471.55929999966099</c:v>
                </c:pt>
                <c:pt idx="784">
                  <c:v>471.55929999966099</c:v>
                </c:pt>
                <c:pt idx="785">
                  <c:v>471.55929999966099</c:v>
                </c:pt>
                <c:pt idx="786">
                  <c:v>471.55929999966099</c:v>
                </c:pt>
                <c:pt idx="787">
                  <c:v>471.55929999966099</c:v>
                </c:pt>
                <c:pt idx="788">
                  <c:v>471.55929999966099</c:v>
                </c:pt>
                <c:pt idx="789">
                  <c:v>471.55929999966099</c:v>
                </c:pt>
                <c:pt idx="790">
                  <c:v>471.55929999966099</c:v>
                </c:pt>
                <c:pt idx="791">
                  <c:v>471.55929999966099</c:v>
                </c:pt>
                <c:pt idx="792">
                  <c:v>471.55929999966099</c:v>
                </c:pt>
                <c:pt idx="793">
                  <c:v>471.55929999966099</c:v>
                </c:pt>
                <c:pt idx="794">
                  <c:v>471.55929999966099</c:v>
                </c:pt>
                <c:pt idx="795">
                  <c:v>545.55929999969885</c:v>
                </c:pt>
                <c:pt idx="796">
                  <c:v>487.55929999966918</c:v>
                </c:pt>
                <c:pt idx="797">
                  <c:v>487.55929999966918</c:v>
                </c:pt>
                <c:pt idx="798">
                  <c:v>545.55929999969885</c:v>
                </c:pt>
                <c:pt idx="799">
                  <c:v>487.55929999966918</c:v>
                </c:pt>
                <c:pt idx="800">
                  <c:v>487.55929999966918</c:v>
                </c:pt>
                <c:pt idx="801">
                  <c:v>545.55929999969885</c:v>
                </c:pt>
                <c:pt idx="802">
                  <c:v>545.55929999969885</c:v>
                </c:pt>
                <c:pt idx="803">
                  <c:v>487.55929999966918</c:v>
                </c:pt>
                <c:pt idx="804">
                  <c:v>487.55929999966918</c:v>
                </c:pt>
                <c:pt idx="805">
                  <c:v>487.55929999966918</c:v>
                </c:pt>
                <c:pt idx="806">
                  <c:v>545.55929999969885</c:v>
                </c:pt>
                <c:pt idx="807">
                  <c:v>545.55929999969885</c:v>
                </c:pt>
                <c:pt idx="808">
                  <c:v>487.55929999966918</c:v>
                </c:pt>
                <c:pt idx="809">
                  <c:v>545.55929999969885</c:v>
                </c:pt>
                <c:pt idx="810">
                  <c:v>545.55929999969885</c:v>
                </c:pt>
                <c:pt idx="811">
                  <c:v>545.55929999969885</c:v>
                </c:pt>
                <c:pt idx="812">
                  <c:v>545.55929999969885</c:v>
                </c:pt>
                <c:pt idx="813">
                  <c:v>545.55929999969885</c:v>
                </c:pt>
                <c:pt idx="814">
                  <c:v>378.55929999967736</c:v>
                </c:pt>
                <c:pt idx="815">
                  <c:v>545.55929999969885</c:v>
                </c:pt>
                <c:pt idx="816">
                  <c:v>545.55929999969885</c:v>
                </c:pt>
                <c:pt idx="817">
                  <c:v>545.55929999969885</c:v>
                </c:pt>
                <c:pt idx="818">
                  <c:v>545.55929999969885</c:v>
                </c:pt>
                <c:pt idx="819">
                  <c:v>545.55929999969885</c:v>
                </c:pt>
                <c:pt idx="820">
                  <c:v>545.55929999969885</c:v>
                </c:pt>
                <c:pt idx="821">
                  <c:v>545.55929999969885</c:v>
                </c:pt>
                <c:pt idx="822">
                  <c:v>545.55929999969885</c:v>
                </c:pt>
                <c:pt idx="823">
                  <c:v>378.55929999967736</c:v>
                </c:pt>
                <c:pt idx="824">
                  <c:v>545.55929999969885</c:v>
                </c:pt>
                <c:pt idx="825">
                  <c:v>545.55929999969885</c:v>
                </c:pt>
                <c:pt idx="826">
                  <c:v>545.55929999969885</c:v>
                </c:pt>
                <c:pt idx="827">
                  <c:v>378.55929999967736</c:v>
                </c:pt>
                <c:pt idx="828">
                  <c:v>378.55929999967736</c:v>
                </c:pt>
                <c:pt idx="829">
                  <c:v>545.55929999969885</c:v>
                </c:pt>
                <c:pt idx="830">
                  <c:v>545.55929999969885</c:v>
                </c:pt>
                <c:pt idx="831">
                  <c:v>545.55929999969885</c:v>
                </c:pt>
                <c:pt idx="832">
                  <c:v>545.55929999969885</c:v>
                </c:pt>
                <c:pt idx="833">
                  <c:v>545.55929999969885</c:v>
                </c:pt>
                <c:pt idx="834">
                  <c:v>378.55929999967736</c:v>
                </c:pt>
                <c:pt idx="835">
                  <c:v>378.55929999967736</c:v>
                </c:pt>
                <c:pt idx="836">
                  <c:v>545.55929999969885</c:v>
                </c:pt>
                <c:pt idx="837">
                  <c:v>378.55929999967736</c:v>
                </c:pt>
                <c:pt idx="838">
                  <c:v>378.55929999967736</c:v>
                </c:pt>
                <c:pt idx="839">
                  <c:v>545.55929999969885</c:v>
                </c:pt>
                <c:pt idx="840">
                  <c:v>545.55929999969885</c:v>
                </c:pt>
                <c:pt idx="841">
                  <c:v>545.55929999969885</c:v>
                </c:pt>
                <c:pt idx="842">
                  <c:v>545.55929999969885</c:v>
                </c:pt>
                <c:pt idx="843">
                  <c:v>545.55929999969885</c:v>
                </c:pt>
                <c:pt idx="844">
                  <c:v>545.55929999969885</c:v>
                </c:pt>
                <c:pt idx="845">
                  <c:v>378.55929999967736</c:v>
                </c:pt>
                <c:pt idx="846">
                  <c:v>378.55929999967736</c:v>
                </c:pt>
                <c:pt idx="847">
                  <c:v>545.55929999969885</c:v>
                </c:pt>
                <c:pt idx="848">
                  <c:v>529.55929999969067</c:v>
                </c:pt>
                <c:pt idx="849">
                  <c:v>378.55929999967736</c:v>
                </c:pt>
                <c:pt idx="850">
                  <c:v>378.55929999967736</c:v>
                </c:pt>
                <c:pt idx="851">
                  <c:v>529.55929999969067</c:v>
                </c:pt>
                <c:pt idx="852">
                  <c:v>529.55929999969067</c:v>
                </c:pt>
                <c:pt idx="853">
                  <c:v>442.55929999968737</c:v>
                </c:pt>
                <c:pt idx="854">
                  <c:v>378.55929999967736</c:v>
                </c:pt>
                <c:pt idx="855">
                  <c:v>378.55929999967736</c:v>
                </c:pt>
                <c:pt idx="856">
                  <c:v>378.55929999967736</c:v>
                </c:pt>
                <c:pt idx="857">
                  <c:v>378.55929999967736</c:v>
                </c:pt>
                <c:pt idx="858">
                  <c:v>378.55929999967736</c:v>
                </c:pt>
                <c:pt idx="859">
                  <c:v>378.55929999967736</c:v>
                </c:pt>
                <c:pt idx="860">
                  <c:v>378.55929999967736</c:v>
                </c:pt>
                <c:pt idx="861">
                  <c:v>378.55929999967736</c:v>
                </c:pt>
                <c:pt idx="862">
                  <c:v>378.55929999967736</c:v>
                </c:pt>
                <c:pt idx="863">
                  <c:v>378.55929999967736</c:v>
                </c:pt>
                <c:pt idx="864">
                  <c:v>378.55929999967736</c:v>
                </c:pt>
                <c:pt idx="865">
                  <c:v>378.55929999967736</c:v>
                </c:pt>
                <c:pt idx="866">
                  <c:v>378.55929999967736</c:v>
                </c:pt>
                <c:pt idx="867">
                  <c:v>378.55929999967736</c:v>
                </c:pt>
                <c:pt idx="868">
                  <c:v>378.55929999967736</c:v>
                </c:pt>
                <c:pt idx="869">
                  <c:v>378.55929999967736</c:v>
                </c:pt>
                <c:pt idx="870">
                  <c:v>378.55929999967736</c:v>
                </c:pt>
                <c:pt idx="871">
                  <c:v>378.55929999967736</c:v>
                </c:pt>
                <c:pt idx="872">
                  <c:v>378.55929999967736</c:v>
                </c:pt>
                <c:pt idx="873">
                  <c:v>378.55929999967736</c:v>
                </c:pt>
                <c:pt idx="874">
                  <c:v>378.55929999967736</c:v>
                </c:pt>
                <c:pt idx="875">
                  <c:v>378.55929999967736</c:v>
                </c:pt>
                <c:pt idx="876">
                  <c:v>378.55929999967736</c:v>
                </c:pt>
                <c:pt idx="877">
                  <c:v>378.55929999967736</c:v>
                </c:pt>
                <c:pt idx="878">
                  <c:v>378.55929999967736</c:v>
                </c:pt>
                <c:pt idx="879">
                  <c:v>378.55929999967736</c:v>
                </c:pt>
                <c:pt idx="880">
                  <c:v>378.55929999967736</c:v>
                </c:pt>
                <c:pt idx="881">
                  <c:v>378.55929999967736</c:v>
                </c:pt>
                <c:pt idx="882">
                  <c:v>378.55929999967736</c:v>
                </c:pt>
                <c:pt idx="883">
                  <c:v>378.55929999967736</c:v>
                </c:pt>
                <c:pt idx="884">
                  <c:v>378.55929999967736</c:v>
                </c:pt>
                <c:pt idx="885">
                  <c:v>378.55929999967736</c:v>
                </c:pt>
                <c:pt idx="886">
                  <c:v>378.55929999967736</c:v>
                </c:pt>
                <c:pt idx="887">
                  <c:v>378.55929999967736</c:v>
                </c:pt>
                <c:pt idx="888">
                  <c:v>-0.18728333333339395</c:v>
                </c:pt>
                <c:pt idx="889">
                  <c:v>378.55929999967736</c:v>
                </c:pt>
                <c:pt idx="890">
                  <c:v>378.55929999967736</c:v>
                </c:pt>
                <c:pt idx="891">
                  <c:v>378.55929999967736</c:v>
                </c:pt>
                <c:pt idx="892">
                  <c:v>378.55929999967736</c:v>
                </c:pt>
                <c:pt idx="893">
                  <c:v>378.55929999967736</c:v>
                </c:pt>
                <c:pt idx="894">
                  <c:v>378.55929999967736</c:v>
                </c:pt>
                <c:pt idx="895">
                  <c:v>378.55929999967736</c:v>
                </c:pt>
                <c:pt idx="896">
                  <c:v>378.55929999967736</c:v>
                </c:pt>
                <c:pt idx="897">
                  <c:v>378.55929999967736</c:v>
                </c:pt>
                <c:pt idx="898">
                  <c:v>378.55929999967736</c:v>
                </c:pt>
                <c:pt idx="899">
                  <c:v>378.55929999967736</c:v>
                </c:pt>
                <c:pt idx="900">
                  <c:v>378.55929999967736</c:v>
                </c:pt>
                <c:pt idx="901">
                  <c:v>378.55929999967736</c:v>
                </c:pt>
                <c:pt idx="902">
                  <c:v>346.55929999968373</c:v>
                </c:pt>
                <c:pt idx="903">
                  <c:v>378.55929999967736</c:v>
                </c:pt>
                <c:pt idx="904">
                  <c:v>378.55929999967736</c:v>
                </c:pt>
                <c:pt idx="905">
                  <c:v>378.55929999967736</c:v>
                </c:pt>
                <c:pt idx="906">
                  <c:v>378.55929999967736</c:v>
                </c:pt>
                <c:pt idx="907">
                  <c:v>378.55929999967736</c:v>
                </c:pt>
                <c:pt idx="908">
                  <c:v>378.55929999967736</c:v>
                </c:pt>
                <c:pt idx="909">
                  <c:v>378.55929999967736</c:v>
                </c:pt>
                <c:pt idx="910">
                  <c:v>378.55929999967736</c:v>
                </c:pt>
                <c:pt idx="911">
                  <c:v>378.55929999967736</c:v>
                </c:pt>
                <c:pt idx="912">
                  <c:v>346.55929999968373</c:v>
                </c:pt>
                <c:pt idx="913">
                  <c:v>378.55929999967736</c:v>
                </c:pt>
                <c:pt idx="914">
                  <c:v>378.55929999967736</c:v>
                </c:pt>
                <c:pt idx="915">
                  <c:v>378.55929999967736</c:v>
                </c:pt>
                <c:pt idx="916">
                  <c:v>378.55929999967736</c:v>
                </c:pt>
                <c:pt idx="917">
                  <c:v>378.55929999967736</c:v>
                </c:pt>
                <c:pt idx="918">
                  <c:v>378.55929999967736</c:v>
                </c:pt>
                <c:pt idx="919">
                  <c:v>378.55929999967736</c:v>
                </c:pt>
                <c:pt idx="920">
                  <c:v>378.55929999967736</c:v>
                </c:pt>
                <c:pt idx="921">
                  <c:v>378.55929999967736</c:v>
                </c:pt>
                <c:pt idx="922">
                  <c:v>378.55929999967736</c:v>
                </c:pt>
                <c:pt idx="923">
                  <c:v>346.55929999968373</c:v>
                </c:pt>
                <c:pt idx="924">
                  <c:v>346.55929999968373</c:v>
                </c:pt>
                <c:pt idx="925">
                  <c:v>346.55929999968373</c:v>
                </c:pt>
                <c:pt idx="926">
                  <c:v>346.55929999968373</c:v>
                </c:pt>
                <c:pt idx="927">
                  <c:v>346.55929999968373</c:v>
                </c:pt>
                <c:pt idx="928">
                  <c:v>346.55929999968373</c:v>
                </c:pt>
                <c:pt idx="929">
                  <c:v>346.55929999968373</c:v>
                </c:pt>
                <c:pt idx="930">
                  <c:v>569.29929999965555</c:v>
                </c:pt>
                <c:pt idx="931">
                  <c:v>346.55929999968373</c:v>
                </c:pt>
                <c:pt idx="932">
                  <c:v>346.55929999968373</c:v>
                </c:pt>
                <c:pt idx="933">
                  <c:v>346.55929999968373</c:v>
                </c:pt>
                <c:pt idx="934">
                  <c:v>329.29929999967487</c:v>
                </c:pt>
                <c:pt idx="935">
                  <c:v>329.29929999967487</c:v>
                </c:pt>
                <c:pt idx="936">
                  <c:v>329.29929999967487</c:v>
                </c:pt>
                <c:pt idx="937">
                  <c:v>329.29929999967487</c:v>
                </c:pt>
                <c:pt idx="938">
                  <c:v>329.29929999967487</c:v>
                </c:pt>
                <c:pt idx="939">
                  <c:v>569.29929999965555</c:v>
                </c:pt>
                <c:pt idx="940">
                  <c:v>329.29929999967487</c:v>
                </c:pt>
                <c:pt idx="941">
                  <c:v>329.29929999967487</c:v>
                </c:pt>
                <c:pt idx="942">
                  <c:v>329.29929999967487</c:v>
                </c:pt>
                <c:pt idx="943">
                  <c:v>329.29929999967487</c:v>
                </c:pt>
                <c:pt idx="944">
                  <c:v>329.29929999967487</c:v>
                </c:pt>
                <c:pt idx="945">
                  <c:v>329.29929999967487</c:v>
                </c:pt>
                <c:pt idx="946">
                  <c:v>329.29929999967487</c:v>
                </c:pt>
                <c:pt idx="947">
                  <c:v>349.29929999965668</c:v>
                </c:pt>
                <c:pt idx="948">
                  <c:v>329.29929999967487</c:v>
                </c:pt>
                <c:pt idx="949">
                  <c:v>349.29929999965668</c:v>
                </c:pt>
                <c:pt idx="950">
                  <c:v>329.29929999967487</c:v>
                </c:pt>
                <c:pt idx="951">
                  <c:v>329.29929999967487</c:v>
                </c:pt>
                <c:pt idx="952">
                  <c:v>349.29929999965668</c:v>
                </c:pt>
                <c:pt idx="953">
                  <c:v>349.29929999965668</c:v>
                </c:pt>
                <c:pt idx="954">
                  <c:v>349.29929999965668</c:v>
                </c:pt>
                <c:pt idx="955">
                  <c:v>349.29929999965668</c:v>
                </c:pt>
                <c:pt idx="956">
                  <c:v>349.29929999965668</c:v>
                </c:pt>
                <c:pt idx="957">
                  <c:v>349.29929999965668</c:v>
                </c:pt>
                <c:pt idx="958">
                  <c:v>349.29929999965668</c:v>
                </c:pt>
                <c:pt idx="959">
                  <c:v>349.29929999965668</c:v>
                </c:pt>
                <c:pt idx="960">
                  <c:v>349.29929999965668</c:v>
                </c:pt>
                <c:pt idx="961">
                  <c:v>349.29929999965668</c:v>
                </c:pt>
                <c:pt idx="962">
                  <c:v>349.29929999965668</c:v>
                </c:pt>
                <c:pt idx="963">
                  <c:v>349.29929999965668</c:v>
                </c:pt>
                <c:pt idx="964">
                  <c:v>349.29929999965668</c:v>
                </c:pt>
                <c:pt idx="965">
                  <c:v>349.29929999965668</c:v>
                </c:pt>
                <c:pt idx="966">
                  <c:v>349.29929999965668</c:v>
                </c:pt>
                <c:pt idx="967">
                  <c:v>569.29929999965555</c:v>
                </c:pt>
                <c:pt idx="968">
                  <c:v>349.29929999965668</c:v>
                </c:pt>
                <c:pt idx="969">
                  <c:v>349.29929999965668</c:v>
                </c:pt>
                <c:pt idx="970">
                  <c:v>349.29929999965668</c:v>
                </c:pt>
                <c:pt idx="971">
                  <c:v>349.29929999965668</c:v>
                </c:pt>
                <c:pt idx="972">
                  <c:v>349.29929999965668</c:v>
                </c:pt>
                <c:pt idx="973">
                  <c:v>349.29929999965668</c:v>
                </c:pt>
                <c:pt idx="974">
                  <c:v>569.29929999965555</c:v>
                </c:pt>
                <c:pt idx="975">
                  <c:v>569.29929999965555</c:v>
                </c:pt>
                <c:pt idx="976">
                  <c:v>569.29929999965555</c:v>
                </c:pt>
                <c:pt idx="977">
                  <c:v>569.29929999965555</c:v>
                </c:pt>
                <c:pt idx="978">
                  <c:v>569.29929999965555</c:v>
                </c:pt>
                <c:pt idx="979">
                  <c:v>569.29929999965555</c:v>
                </c:pt>
                <c:pt idx="980">
                  <c:v>569.29929999965555</c:v>
                </c:pt>
                <c:pt idx="981">
                  <c:v>569.29929999965555</c:v>
                </c:pt>
                <c:pt idx="982">
                  <c:v>569.29929999965555</c:v>
                </c:pt>
                <c:pt idx="983">
                  <c:v>569.29929999965555</c:v>
                </c:pt>
                <c:pt idx="984">
                  <c:v>569.29929999965555</c:v>
                </c:pt>
                <c:pt idx="985">
                  <c:v>569.29929999965555</c:v>
                </c:pt>
                <c:pt idx="986">
                  <c:v>569.29929999965555</c:v>
                </c:pt>
                <c:pt idx="987">
                  <c:v>569.29929999965555</c:v>
                </c:pt>
                <c:pt idx="988">
                  <c:v>569.29929999965555</c:v>
                </c:pt>
                <c:pt idx="989">
                  <c:v>-0.18728333333339395</c:v>
                </c:pt>
                <c:pt idx="990">
                  <c:v>569.29929999965555</c:v>
                </c:pt>
                <c:pt idx="991">
                  <c:v>569.29929999965555</c:v>
                </c:pt>
                <c:pt idx="992">
                  <c:v>569.29929999965555</c:v>
                </c:pt>
                <c:pt idx="993">
                  <c:v>569.29929999965555</c:v>
                </c:pt>
                <c:pt idx="994">
                  <c:v>569.29929999965555</c:v>
                </c:pt>
                <c:pt idx="995">
                  <c:v>569.29929999965555</c:v>
                </c:pt>
                <c:pt idx="996">
                  <c:v>569.29929999965555</c:v>
                </c:pt>
                <c:pt idx="997">
                  <c:v>569.29929999965555</c:v>
                </c:pt>
                <c:pt idx="998">
                  <c:v>569.29929999965555</c:v>
                </c:pt>
                <c:pt idx="999">
                  <c:v>569.29929999965555</c:v>
                </c:pt>
                <c:pt idx="1000">
                  <c:v>569.29929999965555</c:v>
                </c:pt>
                <c:pt idx="1001">
                  <c:v>326.96596666624367</c:v>
                </c:pt>
                <c:pt idx="1002">
                  <c:v>326.96596666624367</c:v>
                </c:pt>
                <c:pt idx="1003">
                  <c:v>326.96596666624367</c:v>
                </c:pt>
                <c:pt idx="1004">
                  <c:v>121.16596666627566</c:v>
                </c:pt>
                <c:pt idx="1005">
                  <c:v>121.16596666627566</c:v>
                </c:pt>
                <c:pt idx="1006">
                  <c:v>121.16596666627566</c:v>
                </c:pt>
                <c:pt idx="1007">
                  <c:v>121.16596666627566</c:v>
                </c:pt>
                <c:pt idx="1008">
                  <c:v>121.16596666627566</c:v>
                </c:pt>
                <c:pt idx="1009">
                  <c:v>121.16596666627566</c:v>
                </c:pt>
                <c:pt idx="1010">
                  <c:v>121.16596666627566</c:v>
                </c:pt>
                <c:pt idx="1011">
                  <c:v>121.16596666627566</c:v>
                </c:pt>
                <c:pt idx="1012">
                  <c:v>121.16596666627566</c:v>
                </c:pt>
                <c:pt idx="1013">
                  <c:v>121.16596666627566</c:v>
                </c:pt>
                <c:pt idx="1014">
                  <c:v>121.16596666627566</c:v>
                </c:pt>
                <c:pt idx="1015">
                  <c:v>121.16596666627566</c:v>
                </c:pt>
                <c:pt idx="1016">
                  <c:v>121.16596666627566</c:v>
                </c:pt>
                <c:pt idx="1017">
                  <c:v>121.16596666627566</c:v>
                </c:pt>
                <c:pt idx="1018">
                  <c:v>121.16596666627566</c:v>
                </c:pt>
                <c:pt idx="1019">
                  <c:v>121.16596666627566</c:v>
                </c:pt>
                <c:pt idx="1020">
                  <c:v>121.16596666627566</c:v>
                </c:pt>
                <c:pt idx="1021">
                  <c:v>121.16596666627566</c:v>
                </c:pt>
                <c:pt idx="1022">
                  <c:v>121.16596666627566</c:v>
                </c:pt>
                <c:pt idx="1023">
                  <c:v>121.16596666627566</c:v>
                </c:pt>
                <c:pt idx="1024">
                  <c:v>121.16596666627566</c:v>
                </c:pt>
                <c:pt idx="1025">
                  <c:v>121.16596666627566</c:v>
                </c:pt>
                <c:pt idx="1027">
                  <c:v>-458.13333333332537</c:v>
                </c:pt>
                <c:pt idx="1028">
                  <c:v>-458.13333333332537</c:v>
                </c:pt>
                <c:pt idx="1029">
                  <c:v>-458.13333333332537</c:v>
                </c:pt>
                <c:pt idx="1030">
                  <c:v>-458.13333333332537</c:v>
                </c:pt>
                <c:pt idx="1031">
                  <c:v>-458.13333333332537</c:v>
                </c:pt>
                <c:pt idx="1032">
                  <c:v>-458.13333333332537</c:v>
                </c:pt>
                <c:pt idx="1033">
                  <c:v>-458.13333333332537</c:v>
                </c:pt>
                <c:pt idx="1034">
                  <c:v>-458.13333333332537</c:v>
                </c:pt>
                <c:pt idx="1035">
                  <c:v>-458.13333333332537</c:v>
                </c:pt>
                <c:pt idx="1036">
                  <c:v>-458.13333333332537</c:v>
                </c:pt>
                <c:pt idx="1037">
                  <c:v>-458.13333333332537</c:v>
                </c:pt>
                <c:pt idx="1038">
                  <c:v>-458.13333333332537</c:v>
                </c:pt>
                <c:pt idx="1039">
                  <c:v>-458.13333333332537</c:v>
                </c:pt>
                <c:pt idx="1040">
                  <c:v>-458.13333333332537</c:v>
                </c:pt>
                <c:pt idx="1041">
                  <c:v>-458.13333333332537</c:v>
                </c:pt>
                <c:pt idx="1042">
                  <c:v>-458.13333333332537</c:v>
                </c:pt>
                <c:pt idx="1043">
                  <c:v>-458.13333333332537</c:v>
                </c:pt>
                <c:pt idx="1044">
                  <c:v>-458.13333333332537</c:v>
                </c:pt>
                <c:pt idx="1045">
                  <c:v>-458.13333333332537</c:v>
                </c:pt>
                <c:pt idx="1046">
                  <c:v>-458.13333333332537</c:v>
                </c:pt>
                <c:pt idx="1047">
                  <c:v>-458.13333333332537</c:v>
                </c:pt>
                <c:pt idx="1048">
                  <c:v>-458.13333333332537</c:v>
                </c:pt>
                <c:pt idx="1049">
                  <c:v>-458.13333333332537</c:v>
                </c:pt>
                <c:pt idx="1050">
                  <c:v>-458.13333333332537</c:v>
                </c:pt>
                <c:pt idx="1051">
                  <c:v>-458.13333333332537</c:v>
                </c:pt>
                <c:pt idx="1052">
                  <c:v>-458.13333333332537</c:v>
                </c:pt>
                <c:pt idx="1053">
                  <c:v>-458.13333333332537</c:v>
                </c:pt>
                <c:pt idx="1054">
                  <c:v>-458.13333333332537</c:v>
                </c:pt>
                <c:pt idx="1055">
                  <c:v>-458.13333333332537</c:v>
                </c:pt>
                <c:pt idx="1056">
                  <c:v>-458.13333333332537</c:v>
                </c:pt>
                <c:pt idx="1057">
                  <c:v>-458.13333333332537</c:v>
                </c:pt>
                <c:pt idx="1058">
                  <c:v>-458.13333333332537</c:v>
                </c:pt>
                <c:pt idx="1059">
                  <c:v>-458.13333333332537</c:v>
                </c:pt>
                <c:pt idx="1060">
                  <c:v>-458.13333333332537</c:v>
                </c:pt>
                <c:pt idx="1061">
                  <c:v>-458.13333333332537</c:v>
                </c:pt>
                <c:pt idx="1062">
                  <c:v>-458.13333333332537</c:v>
                </c:pt>
                <c:pt idx="1063">
                  <c:v>-458.13333333332537</c:v>
                </c:pt>
                <c:pt idx="1064">
                  <c:v>-458.13333333332537</c:v>
                </c:pt>
                <c:pt idx="1065">
                  <c:v>-458.13333333332537</c:v>
                </c:pt>
                <c:pt idx="1066">
                  <c:v>-458.13333333332537</c:v>
                </c:pt>
                <c:pt idx="1067">
                  <c:v>-458.13333333332537</c:v>
                </c:pt>
                <c:pt idx="1068">
                  <c:v>-458.13333333332537</c:v>
                </c:pt>
                <c:pt idx="1069">
                  <c:v>-458.13333333332537</c:v>
                </c:pt>
                <c:pt idx="1070">
                  <c:v>-458.13333333332537</c:v>
                </c:pt>
                <c:pt idx="1071">
                  <c:v>-458.13333333332537</c:v>
                </c:pt>
                <c:pt idx="1072">
                  <c:v>-458.13333333332537</c:v>
                </c:pt>
                <c:pt idx="1073">
                  <c:v>-458.13333333332537</c:v>
                </c:pt>
                <c:pt idx="1074">
                  <c:v>-458.13333333332537</c:v>
                </c:pt>
                <c:pt idx="1075">
                  <c:v>-458.13333333332537</c:v>
                </c:pt>
                <c:pt idx="1076">
                  <c:v>-458.13333333332537</c:v>
                </c:pt>
                <c:pt idx="1077">
                  <c:v>-458.13333333332537</c:v>
                </c:pt>
                <c:pt idx="1078">
                  <c:v>-458.13333333332537</c:v>
                </c:pt>
                <c:pt idx="1079">
                  <c:v>-458.13333333332537</c:v>
                </c:pt>
                <c:pt idx="1080">
                  <c:v>-458.13333333332537</c:v>
                </c:pt>
                <c:pt idx="1081">
                  <c:v>-458.13333333332537</c:v>
                </c:pt>
                <c:pt idx="1082">
                  <c:v>-458.13333333332537</c:v>
                </c:pt>
                <c:pt idx="1083">
                  <c:v>-458.13333333332537</c:v>
                </c:pt>
                <c:pt idx="1084">
                  <c:v>-458.13333333332537</c:v>
                </c:pt>
                <c:pt idx="1085">
                  <c:v>-458.13333333332537</c:v>
                </c:pt>
                <c:pt idx="1086">
                  <c:v>-458.13333333332537</c:v>
                </c:pt>
                <c:pt idx="1087">
                  <c:v>-458.13333333332537</c:v>
                </c:pt>
                <c:pt idx="1088">
                  <c:v>-458.13333333332537</c:v>
                </c:pt>
                <c:pt idx="1089">
                  <c:v>-458.13333333332537</c:v>
                </c:pt>
                <c:pt idx="1090">
                  <c:v>-458.13333333332537</c:v>
                </c:pt>
                <c:pt idx="1091">
                  <c:v>-458.13333333332537</c:v>
                </c:pt>
                <c:pt idx="1092">
                  <c:v>-458.13333333332537</c:v>
                </c:pt>
                <c:pt idx="1093">
                  <c:v>-458.13333333332537</c:v>
                </c:pt>
                <c:pt idx="1094">
                  <c:v>-458.13333333332537</c:v>
                </c:pt>
                <c:pt idx="1095">
                  <c:v>-458.13333333332537</c:v>
                </c:pt>
                <c:pt idx="1096">
                  <c:v>-458.13333333332537</c:v>
                </c:pt>
                <c:pt idx="1097">
                  <c:v>-458.13333333332537</c:v>
                </c:pt>
                <c:pt idx="1098">
                  <c:v>-458.13333333332537</c:v>
                </c:pt>
                <c:pt idx="1099">
                  <c:v>-458.13333333332537</c:v>
                </c:pt>
                <c:pt idx="1100">
                  <c:v>-458.13333333332537</c:v>
                </c:pt>
                <c:pt idx="1101">
                  <c:v>-458.13333333332537</c:v>
                </c:pt>
                <c:pt idx="1102">
                  <c:v>-458.13333333332537</c:v>
                </c:pt>
                <c:pt idx="1103">
                  <c:v>-458.13333333332537</c:v>
                </c:pt>
                <c:pt idx="1104">
                  <c:v>-458.13333333332537</c:v>
                </c:pt>
                <c:pt idx="1105">
                  <c:v>-458.13333333332537</c:v>
                </c:pt>
                <c:pt idx="1106">
                  <c:v>-458.13333333332537</c:v>
                </c:pt>
                <c:pt idx="1107">
                  <c:v>-458.13333333332537</c:v>
                </c:pt>
                <c:pt idx="1108">
                  <c:v>-458.13333333332537</c:v>
                </c:pt>
                <c:pt idx="1109">
                  <c:v>-458.13333333332537</c:v>
                </c:pt>
                <c:pt idx="1110">
                  <c:v>-458.13333333332537</c:v>
                </c:pt>
                <c:pt idx="1111">
                  <c:v>-458.13333333332537</c:v>
                </c:pt>
                <c:pt idx="1112">
                  <c:v>-458.13333333332537</c:v>
                </c:pt>
                <c:pt idx="1113">
                  <c:v>-458.13333333332537</c:v>
                </c:pt>
                <c:pt idx="1114">
                  <c:v>-458.13333333332537</c:v>
                </c:pt>
                <c:pt idx="1115">
                  <c:v>-458.13333333332537</c:v>
                </c:pt>
                <c:pt idx="1116">
                  <c:v>-458.13333333332537</c:v>
                </c:pt>
                <c:pt idx="1117">
                  <c:v>-458.13333333332537</c:v>
                </c:pt>
                <c:pt idx="1118">
                  <c:v>-458.13333333332537</c:v>
                </c:pt>
                <c:pt idx="1119">
                  <c:v>-458.13333333332537</c:v>
                </c:pt>
                <c:pt idx="1120">
                  <c:v>-458.13333333332537</c:v>
                </c:pt>
                <c:pt idx="1121">
                  <c:v>-458.13333333332537</c:v>
                </c:pt>
                <c:pt idx="1122">
                  <c:v>-458.13333333332537</c:v>
                </c:pt>
                <c:pt idx="1123">
                  <c:v>-458.13333333332537</c:v>
                </c:pt>
                <c:pt idx="1124">
                  <c:v>-458.13333333332537</c:v>
                </c:pt>
                <c:pt idx="1125">
                  <c:v>-458.13333333332537</c:v>
                </c:pt>
                <c:pt idx="1126">
                  <c:v>-458.13333333332537</c:v>
                </c:pt>
                <c:pt idx="1127">
                  <c:v>-458.13333333332537</c:v>
                </c:pt>
                <c:pt idx="1128">
                  <c:v>-458.13333333332537</c:v>
                </c:pt>
                <c:pt idx="1129">
                  <c:v>-458.13333333332537</c:v>
                </c:pt>
                <c:pt idx="1130">
                  <c:v>-458.13333333332537</c:v>
                </c:pt>
                <c:pt idx="1131">
                  <c:v>-458.13333333332537</c:v>
                </c:pt>
                <c:pt idx="1132">
                  <c:v>-458.13333333332537</c:v>
                </c:pt>
                <c:pt idx="1133">
                  <c:v>-458.13333333332537</c:v>
                </c:pt>
                <c:pt idx="1134">
                  <c:v>-458.13333333332537</c:v>
                </c:pt>
                <c:pt idx="1135">
                  <c:v>-458.13333333332537</c:v>
                </c:pt>
                <c:pt idx="1136">
                  <c:v>-458.13333333332537</c:v>
                </c:pt>
                <c:pt idx="1137">
                  <c:v>-458.13333333332537</c:v>
                </c:pt>
                <c:pt idx="1138">
                  <c:v>-458.13333333332537</c:v>
                </c:pt>
                <c:pt idx="1139">
                  <c:v>-458.13333333332537</c:v>
                </c:pt>
                <c:pt idx="1140">
                  <c:v>-458.13333333332537</c:v>
                </c:pt>
                <c:pt idx="1141">
                  <c:v>-458.13333333332537</c:v>
                </c:pt>
                <c:pt idx="1142">
                  <c:v>-458.13333333332537</c:v>
                </c:pt>
                <c:pt idx="1143">
                  <c:v>-458.13333333332537</c:v>
                </c:pt>
                <c:pt idx="1144">
                  <c:v>-458.13333333332537</c:v>
                </c:pt>
                <c:pt idx="1145">
                  <c:v>-458.13333333332537</c:v>
                </c:pt>
                <c:pt idx="1146">
                  <c:v>-458.13333333332537</c:v>
                </c:pt>
                <c:pt idx="1147">
                  <c:v>-458.13333333332537</c:v>
                </c:pt>
                <c:pt idx="1148">
                  <c:v>-458.13333333332537</c:v>
                </c:pt>
                <c:pt idx="1149">
                  <c:v>-458.13333333332537</c:v>
                </c:pt>
                <c:pt idx="1150">
                  <c:v>-458.13333333332537</c:v>
                </c:pt>
                <c:pt idx="1151">
                  <c:v>-458.13333333332537</c:v>
                </c:pt>
                <c:pt idx="1152">
                  <c:v>-458.13333333332537</c:v>
                </c:pt>
                <c:pt idx="1153">
                  <c:v>-458.13333333332537</c:v>
                </c:pt>
                <c:pt idx="1154">
                  <c:v>-458.13333333332537</c:v>
                </c:pt>
                <c:pt idx="1155">
                  <c:v>-458.13333333332537</c:v>
                </c:pt>
                <c:pt idx="1156">
                  <c:v>-458.13333333332537</c:v>
                </c:pt>
                <c:pt idx="1157">
                  <c:v>-458.13333333332537</c:v>
                </c:pt>
                <c:pt idx="1158">
                  <c:v>-458.13333333332537</c:v>
                </c:pt>
                <c:pt idx="1159">
                  <c:v>-458.13333333332537</c:v>
                </c:pt>
                <c:pt idx="1160">
                  <c:v>-458.13333333332537</c:v>
                </c:pt>
                <c:pt idx="1161">
                  <c:v>-458.13333333332537</c:v>
                </c:pt>
                <c:pt idx="1162">
                  <c:v>-458.13333333332537</c:v>
                </c:pt>
                <c:pt idx="1163">
                  <c:v>-458.13333333332537</c:v>
                </c:pt>
                <c:pt idx="1164">
                  <c:v>-458.13333333332537</c:v>
                </c:pt>
                <c:pt idx="1165">
                  <c:v>-458.13333333332537</c:v>
                </c:pt>
                <c:pt idx="1166">
                  <c:v>-458.13333333332537</c:v>
                </c:pt>
                <c:pt idx="1167">
                  <c:v>-458.13333333332537</c:v>
                </c:pt>
                <c:pt idx="1168">
                  <c:v>-458.13333333332537</c:v>
                </c:pt>
                <c:pt idx="1169">
                  <c:v>-458.13333333332537</c:v>
                </c:pt>
                <c:pt idx="1170">
                  <c:v>-458.13333333332537</c:v>
                </c:pt>
                <c:pt idx="1171">
                  <c:v>-458.13333333332537</c:v>
                </c:pt>
                <c:pt idx="1172">
                  <c:v>-458.13333333332537</c:v>
                </c:pt>
                <c:pt idx="1173">
                  <c:v>-458.13333333332537</c:v>
                </c:pt>
                <c:pt idx="1174">
                  <c:v>-458.13333333332537</c:v>
                </c:pt>
                <c:pt idx="1175">
                  <c:v>-458.13333333332537</c:v>
                </c:pt>
                <c:pt idx="1176">
                  <c:v>-458.13333333332537</c:v>
                </c:pt>
                <c:pt idx="1177">
                  <c:v>-458.13333333332537</c:v>
                </c:pt>
                <c:pt idx="1178">
                  <c:v>-458.13333333332537</c:v>
                </c:pt>
                <c:pt idx="1179">
                  <c:v>-458.13333333332537</c:v>
                </c:pt>
                <c:pt idx="1180">
                  <c:v>-458.13333333332537</c:v>
                </c:pt>
                <c:pt idx="1181">
                  <c:v>-458.13333333332537</c:v>
                </c:pt>
                <c:pt idx="1182">
                  <c:v>-458.13333333332537</c:v>
                </c:pt>
                <c:pt idx="1183">
                  <c:v>-458.13333333332537</c:v>
                </c:pt>
                <c:pt idx="1184">
                  <c:v>-458.13333333332537</c:v>
                </c:pt>
                <c:pt idx="1185">
                  <c:v>-458.13333333332537</c:v>
                </c:pt>
                <c:pt idx="1186">
                  <c:v>-458.13333333332537</c:v>
                </c:pt>
                <c:pt idx="1187">
                  <c:v>-458.13333333332537</c:v>
                </c:pt>
                <c:pt idx="1188">
                  <c:v>-458.13333333332537</c:v>
                </c:pt>
                <c:pt idx="1189">
                  <c:v>-458.13333333332537</c:v>
                </c:pt>
                <c:pt idx="1190">
                  <c:v>-458.13333333332537</c:v>
                </c:pt>
                <c:pt idx="1191">
                  <c:v>-458.13333333332537</c:v>
                </c:pt>
                <c:pt idx="1192">
                  <c:v>-458.13333333332537</c:v>
                </c:pt>
                <c:pt idx="1193">
                  <c:v>-458.13333333332537</c:v>
                </c:pt>
                <c:pt idx="1194">
                  <c:v>-458.13333333332537</c:v>
                </c:pt>
                <c:pt idx="1195">
                  <c:v>-458.13333333332537</c:v>
                </c:pt>
                <c:pt idx="1196">
                  <c:v>-458.13333333332537</c:v>
                </c:pt>
                <c:pt idx="1197">
                  <c:v>-458.13333333332537</c:v>
                </c:pt>
                <c:pt idx="1198">
                  <c:v>-458.13333333332537</c:v>
                </c:pt>
                <c:pt idx="1199">
                  <c:v>-458.13333333332537</c:v>
                </c:pt>
                <c:pt idx="1200">
                  <c:v>-458.13333333332537</c:v>
                </c:pt>
                <c:pt idx="1201">
                  <c:v>-458.13333333332537</c:v>
                </c:pt>
                <c:pt idx="1202">
                  <c:v>-458.13333333332537</c:v>
                </c:pt>
                <c:pt idx="1203">
                  <c:v>-458.13333333332537</c:v>
                </c:pt>
                <c:pt idx="1204">
                  <c:v>-458.13333333332537</c:v>
                </c:pt>
                <c:pt idx="1205">
                  <c:v>-458.13333333332537</c:v>
                </c:pt>
                <c:pt idx="1206">
                  <c:v>-458.13333333332537</c:v>
                </c:pt>
                <c:pt idx="1207">
                  <c:v>-458.13333333332537</c:v>
                </c:pt>
                <c:pt idx="1208">
                  <c:v>-458.13333333332537</c:v>
                </c:pt>
                <c:pt idx="1209">
                  <c:v>-458.13333333332537</c:v>
                </c:pt>
                <c:pt idx="1210">
                  <c:v>-458.13333333332537</c:v>
                </c:pt>
                <c:pt idx="1211">
                  <c:v>-458.13333333332537</c:v>
                </c:pt>
                <c:pt idx="1212">
                  <c:v>-458.13333333332537</c:v>
                </c:pt>
                <c:pt idx="1213">
                  <c:v>-458.13333333332537</c:v>
                </c:pt>
                <c:pt idx="1214">
                  <c:v>-458.13333333332537</c:v>
                </c:pt>
                <c:pt idx="1215">
                  <c:v>-458.13333333332537</c:v>
                </c:pt>
                <c:pt idx="1216">
                  <c:v>-458.13333333332537</c:v>
                </c:pt>
                <c:pt idx="1217">
                  <c:v>-458.13333333332537</c:v>
                </c:pt>
                <c:pt idx="1218">
                  <c:v>-458.13333333332537</c:v>
                </c:pt>
                <c:pt idx="1219">
                  <c:v>-458.13333333332537</c:v>
                </c:pt>
                <c:pt idx="1220">
                  <c:v>-458.13333333332537</c:v>
                </c:pt>
                <c:pt idx="1221">
                  <c:v>-458.13333333332537</c:v>
                </c:pt>
                <c:pt idx="1222">
                  <c:v>-458.13333333332537</c:v>
                </c:pt>
                <c:pt idx="1223">
                  <c:v>-458.13333333332537</c:v>
                </c:pt>
                <c:pt idx="1224">
                  <c:v>-458.13333333332537</c:v>
                </c:pt>
                <c:pt idx="1225">
                  <c:v>-458.13333333332537</c:v>
                </c:pt>
                <c:pt idx="1226">
                  <c:v>-458.13333333332537</c:v>
                </c:pt>
                <c:pt idx="1227">
                  <c:v>-458.13333333332537</c:v>
                </c:pt>
                <c:pt idx="1228">
                  <c:v>-458.13333333332537</c:v>
                </c:pt>
                <c:pt idx="1229">
                  <c:v>-458.13333333332537</c:v>
                </c:pt>
                <c:pt idx="1230">
                  <c:v>-458.13333333332537</c:v>
                </c:pt>
                <c:pt idx="1231">
                  <c:v>-458.13333333332537</c:v>
                </c:pt>
                <c:pt idx="1232">
                  <c:v>-458.13333333332537</c:v>
                </c:pt>
                <c:pt idx="1233">
                  <c:v>-458.13333333332537</c:v>
                </c:pt>
                <c:pt idx="1234">
                  <c:v>-458.13333333332537</c:v>
                </c:pt>
                <c:pt idx="1235">
                  <c:v>-458.13333333332537</c:v>
                </c:pt>
                <c:pt idx="1236">
                  <c:v>-458.13333333332537</c:v>
                </c:pt>
                <c:pt idx="1237">
                  <c:v>-458.13333333332537</c:v>
                </c:pt>
              </c:numCache>
            </c:numRef>
          </c:val>
          <c:smooth val="0"/>
          <c:extLst>
            <c:ext xmlns:c16="http://schemas.microsoft.com/office/drawing/2014/chart" uri="{C3380CC4-5D6E-409C-BE32-E72D297353CC}">
              <c16:uniqueId val="{00000002-77D3-44DD-B076-A549DF9B0BC4}"/>
            </c:ext>
          </c:extLst>
        </c:ser>
        <c:dLbls>
          <c:showLegendKey val="0"/>
          <c:showVal val="0"/>
          <c:showCatName val="0"/>
          <c:showSerName val="0"/>
          <c:showPercent val="0"/>
          <c:showBubbleSize val="0"/>
        </c:dLbls>
        <c:smooth val="0"/>
        <c:axId val="2111194495"/>
        <c:axId val="81990783"/>
      </c:lineChart>
      <c:catAx>
        <c:axId val="211119449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90783"/>
        <c:crosses val="autoZero"/>
        <c:auto val="1"/>
        <c:lblAlgn val="ctr"/>
        <c:lblOffset val="100"/>
        <c:noMultiLvlLbl val="0"/>
      </c:catAx>
      <c:valAx>
        <c:axId val="81990783"/>
        <c:scaling>
          <c:orientation val="minMax"/>
        </c:scaling>
        <c:delete val="0"/>
        <c:axPos val="l"/>
        <c:majorGridlines>
          <c:spPr>
            <a:ln w="9525" cap="flat" cmpd="sng" algn="ctr">
              <a:solidFill>
                <a:schemeClr val="tx2">
                  <a:lumMod val="75000"/>
                  <a:lumOff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194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chart" Target="../charts/chart9.xml"/><Relationship Id="rId18" Type="http://schemas.openxmlformats.org/officeDocument/2006/relationships/chart" Target="../charts/chart14.xml"/><Relationship Id="rId3" Type="http://schemas.openxmlformats.org/officeDocument/2006/relationships/chart" Target="../charts/chart3.xml"/><Relationship Id="rId21" Type="http://schemas.openxmlformats.org/officeDocument/2006/relationships/chart" Target="../charts/chart17.xml"/><Relationship Id="rId7" Type="http://schemas.openxmlformats.org/officeDocument/2006/relationships/hyperlink" Target="#'PERFORMANCE ANALYSIS'!A1"/><Relationship Id="rId12" Type="http://schemas.openxmlformats.org/officeDocument/2006/relationships/chart" Target="../charts/chart8.xml"/><Relationship Id="rId17" Type="http://schemas.openxmlformats.org/officeDocument/2006/relationships/chart" Target="../charts/chart13.xml"/><Relationship Id="rId25" Type="http://schemas.openxmlformats.org/officeDocument/2006/relationships/chart" Target="../charts/chart21.xml"/><Relationship Id="rId2" Type="http://schemas.openxmlformats.org/officeDocument/2006/relationships/chart" Target="../charts/chart2.xml"/><Relationship Id="rId16" Type="http://schemas.openxmlformats.org/officeDocument/2006/relationships/chart" Target="../charts/chart12.xml"/><Relationship Id="rId20"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chart" Target="../charts/chart7.xml"/><Relationship Id="rId24" Type="http://schemas.openxmlformats.org/officeDocument/2006/relationships/chart" Target="../charts/chart20.xml"/><Relationship Id="rId5" Type="http://schemas.openxmlformats.org/officeDocument/2006/relationships/hyperlink" Target="#'PERFORMANCE ANALYSIS'!A80"/><Relationship Id="rId15" Type="http://schemas.openxmlformats.org/officeDocument/2006/relationships/chart" Target="../charts/chart11.xml"/><Relationship Id="rId23" Type="http://schemas.openxmlformats.org/officeDocument/2006/relationships/chart" Target="../charts/chart19.xml"/><Relationship Id="rId10" Type="http://schemas.openxmlformats.org/officeDocument/2006/relationships/chart" Target="../charts/chart6.xml"/><Relationship Id="rId19" Type="http://schemas.openxmlformats.org/officeDocument/2006/relationships/chart" Target="../charts/chart15.xml"/><Relationship Id="rId4" Type="http://schemas.openxmlformats.org/officeDocument/2006/relationships/chart" Target="../charts/chart4.xml"/><Relationship Id="rId9" Type="http://schemas.openxmlformats.org/officeDocument/2006/relationships/chart" Target="../charts/chart5.xml"/><Relationship Id="rId14" Type="http://schemas.openxmlformats.org/officeDocument/2006/relationships/chart" Target="../charts/chart10.xml"/><Relationship Id="rId22" Type="http://schemas.openxmlformats.org/officeDocument/2006/relationships/chart" Target="../charts/chart18.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4" Type="http://schemas.openxmlformats.org/officeDocument/2006/relationships/chart" Target="../charts/chart25.xml"/></Relationships>
</file>

<file path=xl/drawings/_rels/drawing3.xml.rels><?xml version="1.0" encoding="UTF-8" standalone="yes"?>
<Relationships xmlns="http://schemas.openxmlformats.org/package/2006/relationships"><Relationship Id="rId8" Type="http://schemas.openxmlformats.org/officeDocument/2006/relationships/chart" Target="../charts/chart33.xml"/><Relationship Id="rId3" Type="http://schemas.openxmlformats.org/officeDocument/2006/relationships/chart" Target="../charts/chart28.xml"/><Relationship Id="rId7" Type="http://schemas.openxmlformats.org/officeDocument/2006/relationships/chart" Target="../charts/chart32.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1.xml"/><Relationship Id="rId5" Type="http://schemas.openxmlformats.org/officeDocument/2006/relationships/chart" Target="../charts/chart30.xml"/><Relationship Id="rId4"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0</xdr:col>
      <xdr:colOff>472441</xdr:colOff>
      <xdr:row>65</xdr:row>
      <xdr:rowOff>120287</xdr:rowOff>
    </xdr:from>
    <xdr:to>
      <xdr:col>3</xdr:col>
      <xdr:colOff>7077</xdr:colOff>
      <xdr:row>85</xdr:row>
      <xdr:rowOff>8709</xdr:rowOff>
    </xdr:to>
    <xdr:graphicFrame macro="">
      <xdr:nvGraphicFramePr>
        <xdr:cNvPr id="3" name="Chart 2">
          <a:extLst>
            <a:ext uri="{FF2B5EF4-FFF2-40B4-BE49-F238E27FC236}">
              <a16:creationId xmlns:a16="http://schemas.microsoft.com/office/drawing/2014/main" id="{C567C2E5-43A5-2EE3-6109-11921B2AB6D5}"/>
            </a:ext>
            <a:ext uri="{147F2762-F138-4A5C-976F-8EAC2B608ADB}">
              <a16:predDERef xmlns:a16="http://schemas.microsoft.com/office/drawing/2014/main" pred="{6F61C48B-8F7C-45FB-BD6A-C08F9DC201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117803</xdr:colOff>
      <xdr:row>38</xdr:row>
      <xdr:rowOff>121004</xdr:rowOff>
    </xdr:from>
    <xdr:to>
      <xdr:col>5</xdr:col>
      <xdr:colOff>859730</xdr:colOff>
      <xdr:row>61</xdr:row>
      <xdr:rowOff>12468</xdr:rowOff>
    </xdr:to>
    <xdr:graphicFrame macro="">
      <xdr:nvGraphicFramePr>
        <xdr:cNvPr id="16" name="Chart 15">
          <a:extLst>
            <a:ext uri="{FF2B5EF4-FFF2-40B4-BE49-F238E27FC236}">
              <a16:creationId xmlns:a16="http://schemas.microsoft.com/office/drawing/2014/main" id="{2FA4AB58-8037-4CFF-8175-47B5D4884CC6}"/>
            </a:ext>
            <a:ext uri="{147F2762-F138-4A5C-976F-8EAC2B608ADB}">
              <a16:predDERef xmlns:a16="http://schemas.microsoft.com/office/drawing/2014/main" pred="{B5FE781E-4CBC-4BAD-8651-0C92B10392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881742</xdr:colOff>
      <xdr:row>38</xdr:row>
      <xdr:rowOff>124814</xdr:rowOff>
    </xdr:from>
    <xdr:to>
      <xdr:col>11</xdr:col>
      <xdr:colOff>475802</xdr:colOff>
      <xdr:row>61</xdr:row>
      <xdr:rowOff>8658</xdr:rowOff>
    </xdr:to>
    <xdr:graphicFrame macro="">
      <xdr:nvGraphicFramePr>
        <xdr:cNvPr id="17" name="Chart 16">
          <a:extLst>
            <a:ext uri="{FF2B5EF4-FFF2-40B4-BE49-F238E27FC236}">
              <a16:creationId xmlns:a16="http://schemas.microsoft.com/office/drawing/2014/main" id="{503993E9-12CC-4019-9C9E-79952989E0EB}"/>
            </a:ext>
            <a:ext uri="{147F2762-F138-4A5C-976F-8EAC2B608ADB}">
              <a16:predDERef xmlns:a16="http://schemas.microsoft.com/office/drawing/2014/main" pred="{2FA4AB58-8037-4CFF-8175-47B5D4884C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349432</xdr:colOff>
      <xdr:row>79</xdr:row>
      <xdr:rowOff>124367</xdr:rowOff>
    </xdr:from>
    <xdr:to>
      <xdr:col>28</xdr:col>
      <xdr:colOff>556260</xdr:colOff>
      <xdr:row>92</xdr:row>
      <xdr:rowOff>99059</xdr:rowOff>
    </xdr:to>
    <xdr:graphicFrame macro="">
      <xdr:nvGraphicFramePr>
        <xdr:cNvPr id="4" name="Chart 17">
          <a:extLst>
            <a:ext uri="{FF2B5EF4-FFF2-40B4-BE49-F238E27FC236}">
              <a16:creationId xmlns:a16="http://schemas.microsoft.com/office/drawing/2014/main" id="{BFD504C2-9F7C-4E87-8FF6-BA236DADA11B}"/>
            </a:ext>
            <a:ext uri="{147F2762-F138-4A5C-976F-8EAC2B608ADB}">
              <a16:predDERef xmlns:a16="http://schemas.microsoft.com/office/drawing/2014/main" pred="{503993E9-12CC-4019-9C9E-79952989E0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894262</xdr:colOff>
      <xdr:row>0</xdr:row>
      <xdr:rowOff>64226</xdr:rowOff>
    </xdr:from>
    <xdr:to>
      <xdr:col>1</xdr:col>
      <xdr:colOff>1126362</xdr:colOff>
      <xdr:row>1</xdr:row>
      <xdr:rowOff>130084</xdr:rowOff>
    </xdr:to>
    <xdr:pic>
      <xdr:nvPicPr>
        <xdr:cNvPr id="5" name="Picture 4">
          <a:hlinkClick xmlns:r="http://schemas.openxmlformats.org/officeDocument/2006/relationships" r:id="rId5"/>
          <a:extLst>
            <a:ext uri="{FF2B5EF4-FFF2-40B4-BE49-F238E27FC236}">
              <a16:creationId xmlns:a16="http://schemas.microsoft.com/office/drawing/2014/main" id="{2F875A94-B750-BA76-6F6F-DF07D17A041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282191" y="64226"/>
          <a:ext cx="228290" cy="225334"/>
        </a:xfrm>
        <a:prstGeom prst="rect">
          <a:avLst/>
        </a:prstGeom>
      </xdr:spPr>
    </xdr:pic>
    <xdr:clientData/>
  </xdr:twoCellAnchor>
  <xdr:twoCellAnchor editAs="oneCell">
    <xdr:from>
      <xdr:col>0</xdr:col>
      <xdr:colOff>213905</xdr:colOff>
      <xdr:row>33</xdr:row>
      <xdr:rowOff>55385</xdr:rowOff>
    </xdr:from>
    <xdr:to>
      <xdr:col>0</xdr:col>
      <xdr:colOff>438380</xdr:colOff>
      <xdr:row>34</xdr:row>
      <xdr:rowOff>134572</xdr:rowOff>
    </xdr:to>
    <xdr:pic>
      <xdr:nvPicPr>
        <xdr:cNvPr id="7" name="Picture 6">
          <a:hlinkClick xmlns:r="http://schemas.openxmlformats.org/officeDocument/2006/relationships" r:id="rId7"/>
          <a:extLst>
            <a:ext uri="{FF2B5EF4-FFF2-40B4-BE49-F238E27FC236}">
              <a16:creationId xmlns:a16="http://schemas.microsoft.com/office/drawing/2014/main" id="{DA75B445-1A7D-B31D-FFFF-9186548ACB3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3905" y="3266671"/>
          <a:ext cx="220665" cy="246555"/>
        </a:xfrm>
        <a:prstGeom prst="rect">
          <a:avLst/>
        </a:prstGeom>
      </xdr:spPr>
    </xdr:pic>
    <xdr:clientData/>
  </xdr:twoCellAnchor>
  <xdr:twoCellAnchor>
    <xdr:from>
      <xdr:col>4</xdr:col>
      <xdr:colOff>96216</xdr:colOff>
      <xdr:row>80</xdr:row>
      <xdr:rowOff>27214</xdr:rowOff>
    </xdr:from>
    <xdr:to>
      <xdr:col>7</xdr:col>
      <xdr:colOff>598800</xdr:colOff>
      <xdr:row>92</xdr:row>
      <xdr:rowOff>195513</xdr:rowOff>
    </xdr:to>
    <xdr:graphicFrame macro="">
      <xdr:nvGraphicFramePr>
        <xdr:cNvPr id="24" name="Chart 17">
          <a:extLst>
            <a:ext uri="{FF2B5EF4-FFF2-40B4-BE49-F238E27FC236}">
              <a16:creationId xmlns:a16="http://schemas.microsoft.com/office/drawing/2014/main" id="{2F642EDB-50DA-42C2-8D27-696DEE539AB9}"/>
            </a:ext>
            <a:ext uri="{147F2762-F138-4A5C-976F-8EAC2B608ADB}">
              <a16:predDERef xmlns:a16="http://schemas.microsoft.com/office/drawing/2014/main" pred="{DA75B445-1A7D-B31D-FFFF-9186548ACB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198117</xdr:colOff>
      <xdr:row>38</xdr:row>
      <xdr:rowOff>121004</xdr:rowOff>
    </xdr:from>
    <xdr:to>
      <xdr:col>3</xdr:col>
      <xdr:colOff>76199</xdr:colOff>
      <xdr:row>61</xdr:row>
      <xdr:rowOff>12468</xdr:rowOff>
    </xdr:to>
    <xdr:graphicFrame macro="">
      <xdr:nvGraphicFramePr>
        <xdr:cNvPr id="23" name="Chart 22">
          <a:extLst>
            <a:ext uri="{FF2B5EF4-FFF2-40B4-BE49-F238E27FC236}">
              <a16:creationId xmlns:a16="http://schemas.microsoft.com/office/drawing/2014/main" id="{520B3244-DDB6-49B3-920B-562313A1201C}"/>
            </a:ext>
            <a:ext uri="{147F2762-F138-4A5C-976F-8EAC2B608ADB}">
              <a16:predDERef xmlns:a16="http://schemas.microsoft.com/office/drawing/2014/main" pred="{FF02BEAF-2C66-AFBD-D603-D0F1C98B18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96216</xdr:colOff>
      <xdr:row>67</xdr:row>
      <xdr:rowOff>134165</xdr:rowOff>
    </xdr:from>
    <xdr:to>
      <xdr:col>7</xdr:col>
      <xdr:colOff>598800</xdr:colOff>
      <xdr:row>79</xdr:row>
      <xdr:rowOff>124211</xdr:rowOff>
    </xdr:to>
    <xdr:graphicFrame macro="">
      <xdr:nvGraphicFramePr>
        <xdr:cNvPr id="32" name="Chart 7">
          <a:extLst>
            <a:ext uri="{FF2B5EF4-FFF2-40B4-BE49-F238E27FC236}">
              <a16:creationId xmlns:a16="http://schemas.microsoft.com/office/drawing/2014/main" id="{0EB20AFE-C25D-4043-B11E-75217B8781FD}"/>
            </a:ext>
            <a:ext uri="{147F2762-F138-4A5C-976F-8EAC2B608ADB}">
              <a16:predDERef xmlns:a16="http://schemas.microsoft.com/office/drawing/2014/main" pred="{520B3244-DDB6-49B3-920B-562313A12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xdr:col>
      <xdr:colOff>11623</xdr:colOff>
      <xdr:row>64</xdr:row>
      <xdr:rowOff>53616</xdr:rowOff>
    </xdr:from>
    <xdr:ext cx="1803378" cy="483146"/>
    <xdr:sp macro="" textlink="">
      <xdr:nvSpPr>
        <xdr:cNvPr id="9" name="TextBox 8">
          <a:extLst>
            <a:ext uri="{FF2B5EF4-FFF2-40B4-BE49-F238E27FC236}">
              <a16:creationId xmlns:a16="http://schemas.microsoft.com/office/drawing/2014/main" id="{162FAC0C-50FD-1462-72F3-03C185E660E4}"/>
            </a:ext>
          </a:extLst>
        </xdr:cNvPr>
        <xdr:cNvSpPr txBox="1"/>
      </xdr:nvSpPr>
      <xdr:spPr>
        <a:xfrm>
          <a:off x="1399552" y="8911866"/>
          <a:ext cx="1803378" cy="483146"/>
        </a:xfrm>
        <a:prstGeom prst="rect">
          <a:avLst/>
        </a:prstGeom>
        <a:solidFill>
          <a:schemeClr val="tx2">
            <a:lumMod val="95000"/>
            <a:lumOff val="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600" b="1">
              <a:solidFill>
                <a:schemeClr val="bg2">
                  <a:lumMod val="75000"/>
                </a:schemeClr>
              </a:solidFill>
            </a:rPr>
            <a:t>WHITES V REDS</a:t>
          </a:r>
        </a:p>
        <a:p>
          <a:pPr algn="ctr"/>
          <a:r>
            <a:rPr lang="en-US" sz="1000" b="1">
              <a:solidFill>
                <a:schemeClr val="bg2">
                  <a:lumMod val="75000"/>
                </a:schemeClr>
              </a:solidFill>
            </a:rPr>
            <a:t>(in terms of lots)</a:t>
          </a:r>
          <a:endParaRPr lang="en-US" sz="1600" b="1">
            <a:solidFill>
              <a:schemeClr val="bg2">
                <a:lumMod val="75000"/>
              </a:schemeClr>
            </a:solidFill>
          </a:endParaRPr>
        </a:p>
      </xdr:txBody>
    </xdr:sp>
    <xdr:clientData/>
  </xdr:oneCellAnchor>
  <xdr:oneCellAnchor>
    <xdr:from>
      <xdr:col>4</xdr:col>
      <xdr:colOff>705089</xdr:colOff>
      <xdr:row>35</xdr:row>
      <xdr:rowOff>136026</xdr:rowOff>
    </xdr:from>
    <xdr:ext cx="1104387" cy="328295"/>
    <xdr:sp macro="" textlink="">
      <xdr:nvSpPr>
        <xdr:cNvPr id="11" name="TextBox 10">
          <a:extLst>
            <a:ext uri="{FF2B5EF4-FFF2-40B4-BE49-F238E27FC236}">
              <a16:creationId xmlns:a16="http://schemas.microsoft.com/office/drawing/2014/main" id="{B4F8227D-1B42-4A65-9713-3FBCF300E60B}"/>
            </a:ext>
          </a:extLst>
        </xdr:cNvPr>
        <xdr:cNvSpPr txBox="1"/>
      </xdr:nvSpPr>
      <xdr:spPr>
        <a:xfrm>
          <a:off x="5971053" y="4286205"/>
          <a:ext cx="1104387" cy="328295"/>
        </a:xfrm>
        <a:prstGeom prst="rect">
          <a:avLst/>
        </a:prstGeom>
        <a:solidFill>
          <a:schemeClr val="tx2">
            <a:lumMod val="95000"/>
            <a:lumOff val="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b="1">
              <a:solidFill>
                <a:schemeClr val="bg2">
                  <a:lumMod val="75000"/>
                </a:schemeClr>
              </a:solidFill>
            </a:rPr>
            <a:t>NET PNL</a:t>
          </a:r>
        </a:p>
      </xdr:txBody>
    </xdr:sp>
    <xdr:clientData/>
  </xdr:oneCellAnchor>
  <xdr:oneCellAnchor>
    <xdr:from>
      <xdr:col>5</xdr:col>
      <xdr:colOff>511525</xdr:colOff>
      <xdr:row>64</xdr:row>
      <xdr:rowOff>131042</xdr:rowOff>
    </xdr:from>
    <xdr:ext cx="3182602" cy="328295"/>
    <xdr:sp macro="" textlink="">
      <xdr:nvSpPr>
        <xdr:cNvPr id="14" name="TextBox 13">
          <a:extLst>
            <a:ext uri="{FF2B5EF4-FFF2-40B4-BE49-F238E27FC236}">
              <a16:creationId xmlns:a16="http://schemas.microsoft.com/office/drawing/2014/main" id="{5395F0E5-DC7A-4FED-9B8B-33214B1AA020}"/>
            </a:ext>
            <a:ext uri="{147F2762-F138-4A5C-976F-8EAC2B608ADB}">
              <a16:predDERef xmlns:a16="http://schemas.microsoft.com/office/drawing/2014/main" pred="{B4F8227D-1B42-4A65-9713-3FBCF300E60B}"/>
            </a:ext>
          </a:extLst>
        </xdr:cNvPr>
        <xdr:cNvSpPr txBox="1"/>
      </xdr:nvSpPr>
      <xdr:spPr>
        <a:xfrm>
          <a:off x="6784418" y="8989292"/>
          <a:ext cx="3182602" cy="328295"/>
        </a:xfrm>
        <a:prstGeom prst="rect">
          <a:avLst/>
        </a:prstGeom>
        <a:solidFill>
          <a:schemeClr val="tx2">
            <a:lumMod val="95000"/>
            <a:lumOff val="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600" b="1">
              <a:solidFill>
                <a:schemeClr val="bg2">
                  <a:lumMod val="75000"/>
                </a:schemeClr>
              </a:solidFill>
            </a:rPr>
            <a:t>CONTRACTS PARTICIPATION </a:t>
          </a:r>
        </a:p>
      </xdr:txBody>
    </xdr:sp>
    <xdr:clientData/>
  </xdr:oneCellAnchor>
  <xdr:twoCellAnchor>
    <xdr:from>
      <xdr:col>3</xdr:col>
      <xdr:colOff>248737</xdr:colOff>
      <xdr:row>67</xdr:row>
      <xdr:rowOff>131174</xdr:rowOff>
    </xdr:from>
    <xdr:to>
      <xdr:col>3</xdr:col>
      <xdr:colOff>248737</xdr:colOff>
      <xdr:row>91</xdr:row>
      <xdr:rowOff>156483</xdr:rowOff>
    </xdr:to>
    <xdr:cxnSp macro="">
      <xdr:nvCxnSpPr>
        <xdr:cNvPr id="19" name="Straight Connector 18">
          <a:extLst>
            <a:ext uri="{FF2B5EF4-FFF2-40B4-BE49-F238E27FC236}">
              <a16:creationId xmlns:a16="http://schemas.microsoft.com/office/drawing/2014/main" id="{F6AA068A-7239-2849-CA0B-BF4CC8FE65CE}"/>
            </a:ext>
          </a:extLst>
        </xdr:cNvPr>
        <xdr:cNvCxnSpPr/>
      </xdr:nvCxnSpPr>
      <xdr:spPr>
        <a:xfrm>
          <a:off x="4480558" y="9969138"/>
          <a:ext cx="0" cy="4542881"/>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136071</xdr:colOff>
      <xdr:row>81</xdr:row>
      <xdr:rowOff>76200</xdr:rowOff>
    </xdr:from>
    <xdr:to>
      <xdr:col>16</xdr:col>
      <xdr:colOff>136071</xdr:colOff>
      <xdr:row>89</xdr:row>
      <xdr:rowOff>48986</xdr:rowOff>
    </xdr:to>
    <xdr:cxnSp macro="">
      <xdr:nvCxnSpPr>
        <xdr:cNvPr id="10" name="Straight Connector 9">
          <a:extLst>
            <a:ext uri="{FF2B5EF4-FFF2-40B4-BE49-F238E27FC236}">
              <a16:creationId xmlns:a16="http://schemas.microsoft.com/office/drawing/2014/main" id="{E50F0DFD-F2B7-7917-5B7C-8171647F2C4E}"/>
            </a:ext>
          </a:extLst>
        </xdr:cNvPr>
        <xdr:cNvCxnSpPr/>
      </xdr:nvCxnSpPr>
      <xdr:spPr>
        <a:xfrm>
          <a:off x="16804821" y="11478986"/>
          <a:ext cx="0" cy="1374321"/>
        </a:xfrm>
        <a:prstGeom prst="line">
          <a:avLst/>
        </a:prstGeom>
        <a:ln w="25400">
          <a:solidFill>
            <a:schemeClr val="tx2">
              <a:lumMod val="85000"/>
              <a:lumOff val="1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438150</xdr:colOff>
      <xdr:row>81</xdr:row>
      <xdr:rowOff>76200</xdr:rowOff>
    </xdr:from>
    <xdr:to>
      <xdr:col>19</xdr:col>
      <xdr:colOff>438150</xdr:colOff>
      <xdr:row>89</xdr:row>
      <xdr:rowOff>48986</xdr:rowOff>
    </xdr:to>
    <xdr:cxnSp macro="">
      <xdr:nvCxnSpPr>
        <xdr:cNvPr id="28" name="Straight Connector 27">
          <a:extLst>
            <a:ext uri="{FF2B5EF4-FFF2-40B4-BE49-F238E27FC236}">
              <a16:creationId xmlns:a16="http://schemas.microsoft.com/office/drawing/2014/main" id="{7900E52C-789A-4050-86D2-9D65A786B972}"/>
            </a:ext>
          </a:extLst>
        </xdr:cNvPr>
        <xdr:cNvCxnSpPr/>
      </xdr:nvCxnSpPr>
      <xdr:spPr>
        <a:xfrm>
          <a:off x="18943864" y="11478986"/>
          <a:ext cx="0" cy="1374321"/>
        </a:xfrm>
        <a:prstGeom prst="line">
          <a:avLst/>
        </a:prstGeom>
        <a:ln w="25400">
          <a:solidFill>
            <a:schemeClr val="tx2">
              <a:lumMod val="85000"/>
              <a:lumOff val="15000"/>
            </a:schemeClr>
          </a:solidFill>
        </a:ln>
      </xdr:spPr>
      <xdr:style>
        <a:lnRef idx="1">
          <a:schemeClr val="dk1"/>
        </a:lnRef>
        <a:fillRef idx="0">
          <a:schemeClr val="dk1"/>
        </a:fillRef>
        <a:effectRef idx="0">
          <a:schemeClr val="dk1"/>
        </a:effectRef>
        <a:fontRef idx="minor">
          <a:schemeClr val="tx1"/>
        </a:fontRef>
      </xdr:style>
    </xdr:cxnSp>
    <xdr:clientData/>
  </xdr:twoCellAnchor>
  <xdr:oneCellAnchor>
    <xdr:from>
      <xdr:col>17</xdr:col>
      <xdr:colOff>497752</xdr:colOff>
      <xdr:row>37</xdr:row>
      <xdr:rowOff>120798</xdr:rowOff>
    </xdr:from>
    <xdr:ext cx="1128539" cy="341697"/>
    <xdr:sp macro="" textlink="">
      <xdr:nvSpPr>
        <xdr:cNvPr id="30" name="TextBox 29">
          <a:extLst>
            <a:ext uri="{FF2B5EF4-FFF2-40B4-BE49-F238E27FC236}">
              <a16:creationId xmlns:a16="http://schemas.microsoft.com/office/drawing/2014/main" id="{8073C66F-CE3B-7B59-5993-B87E8909813A}"/>
            </a:ext>
          </a:extLst>
        </xdr:cNvPr>
        <xdr:cNvSpPr txBox="1"/>
      </xdr:nvSpPr>
      <xdr:spPr>
        <a:xfrm>
          <a:off x="17778823" y="4570334"/>
          <a:ext cx="1128539" cy="341697"/>
        </a:xfrm>
        <a:prstGeom prst="rect">
          <a:avLst/>
        </a:prstGeom>
        <a:solidFill>
          <a:srgbClr val="00C5C8"/>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b="1">
              <a:solidFill>
                <a:schemeClr val="bg2"/>
              </a:solidFill>
              <a:latin typeface="Verdana Pro Black" panose="020B0A04030504040204" pitchFamily="34" charset="0"/>
            </a:rPr>
            <a:t>WINS</a:t>
          </a:r>
        </a:p>
      </xdr:txBody>
    </xdr:sp>
    <xdr:clientData/>
  </xdr:oneCellAnchor>
  <xdr:oneCellAnchor>
    <xdr:from>
      <xdr:col>19</xdr:col>
      <xdr:colOff>385629</xdr:colOff>
      <xdr:row>37</xdr:row>
      <xdr:rowOff>120798</xdr:rowOff>
    </xdr:from>
    <xdr:ext cx="1128539" cy="341697"/>
    <xdr:sp macro="" textlink="">
      <xdr:nvSpPr>
        <xdr:cNvPr id="31" name="TextBox 30">
          <a:extLst>
            <a:ext uri="{FF2B5EF4-FFF2-40B4-BE49-F238E27FC236}">
              <a16:creationId xmlns:a16="http://schemas.microsoft.com/office/drawing/2014/main" id="{F4C59CA7-6F5D-4160-8C38-07EFEE1B9996}"/>
            </a:ext>
          </a:extLst>
        </xdr:cNvPr>
        <xdr:cNvSpPr txBox="1"/>
      </xdr:nvSpPr>
      <xdr:spPr>
        <a:xfrm>
          <a:off x="18891343" y="4570334"/>
          <a:ext cx="1128539" cy="341697"/>
        </a:xfrm>
        <a:prstGeom prst="rect">
          <a:avLst/>
        </a:prstGeom>
        <a:solidFill>
          <a:srgbClr val="DF007C"/>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b="1">
              <a:solidFill>
                <a:schemeClr val="bg2"/>
              </a:solidFill>
              <a:latin typeface="Verdana Pro Black" panose="020B0A04030504040204" pitchFamily="34" charset="0"/>
            </a:rPr>
            <a:t>LOSSES</a:t>
          </a:r>
        </a:p>
      </xdr:txBody>
    </xdr:sp>
    <xdr:clientData/>
  </xdr:oneCellAnchor>
  <xdr:oneCellAnchor>
    <xdr:from>
      <xdr:col>17</xdr:col>
      <xdr:colOff>216311</xdr:colOff>
      <xdr:row>41</xdr:row>
      <xdr:rowOff>45273</xdr:rowOff>
    </xdr:from>
    <xdr:ext cx="2828468" cy="246221"/>
    <xdr:sp macro="" textlink="">
      <xdr:nvSpPr>
        <xdr:cNvPr id="6" name="TextBox 5">
          <a:extLst>
            <a:ext uri="{FF2B5EF4-FFF2-40B4-BE49-F238E27FC236}">
              <a16:creationId xmlns:a16="http://schemas.microsoft.com/office/drawing/2014/main" id="{F7269A13-4537-4595-D3D3-0D513168AA22}"/>
            </a:ext>
          </a:extLst>
        </xdr:cNvPr>
        <xdr:cNvSpPr txBox="1"/>
      </xdr:nvSpPr>
      <xdr:spPr>
        <a:xfrm>
          <a:off x="17970911" y="4508416"/>
          <a:ext cx="2828468" cy="2462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000" b="1">
              <a:latin typeface="Roboto" panose="02000000000000000000" pitchFamily="2" charset="0"/>
              <a:ea typeface="Roboto" panose="02000000000000000000" pitchFamily="2" charset="0"/>
              <a:cs typeface="Roboto" panose="02000000000000000000" pitchFamily="2" charset="0"/>
            </a:rPr>
            <a:t>LOTS/ORDER</a:t>
          </a:r>
          <a:r>
            <a:rPr lang="en-IN" sz="1000" b="1" baseline="0">
              <a:latin typeface="Roboto" panose="02000000000000000000" pitchFamily="2" charset="0"/>
              <a:ea typeface="Roboto" panose="02000000000000000000" pitchFamily="2" charset="0"/>
              <a:cs typeface="Roboto" panose="02000000000000000000" pitchFamily="2" charset="0"/>
            </a:rPr>
            <a:t> </a:t>
          </a:r>
          <a:r>
            <a:rPr lang="en-IN" sz="1000" b="0">
              <a:latin typeface="Roboto" panose="02000000000000000000" pitchFamily="2" charset="0"/>
              <a:ea typeface="Roboto" panose="02000000000000000000" pitchFamily="2" charset="0"/>
              <a:cs typeface="Roboto" panose="02000000000000000000" pitchFamily="2" charset="0"/>
            </a:rPr>
            <a:t>(average</a:t>
          </a:r>
          <a:r>
            <a:rPr lang="en-IN" sz="1000" b="0" baseline="0">
              <a:latin typeface="Roboto" panose="02000000000000000000" pitchFamily="2" charset="0"/>
              <a:ea typeface="Roboto" panose="02000000000000000000" pitchFamily="2" charset="0"/>
              <a:cs typeface="Roboto" panose="02000000000000000000" pitchFamily="2" charset="0"/>
            </a:rPr>
            <a:t> l</a:t>
          </a:r>
          <a:r>
            <a:rPr lang="en-IN" sz="1000" b="0">
              <a:latin typeface="Roboto" panose="02000000000000000000" pitchFamily="2" charset="0"/>
              <a:ea typeface="Roboto" panose="02000000000000000000" pitchFamily="2" charset="0"/>
              <a:cs typeface="Roboto" panose="02000000000000000000" pitchFamily="2" charset="0"/>
            </a:rPr>
            <a:t>ot size for every order)</a:t>
          </a:r>
        </a:p>
      </xdr:txBody>
    </xdr:sp>
    <xdr:clientData/>
  </xdr:oneCellAnchor>
  <xdr:oneCellAnchor>
    <xdr:from>
      <xdr:col>17</xdr:col>
      <xdr:colOff>472857</xdr:colOff>
      <xdr:row>53</xdr:row>
      <xdr:rowOff>75423</xdr:rowOff>
    </xdr:from>
    <xdr:ext cx="2315377" cy="239809"/>
    <xdr:sp macro="" textlink="">
      <xdr:nvSpPr>
        <xdr:cNvPr id="18" name="TextBox 17">
          <a:extLst>
            <a:ext uri="{FF2B5EF4-FFF2-40B4-BE49-F238E27FC236}">
              <a16:creationId xmlns:a16="http://schemas.microsoft.com/office/drawing/2014/main" id="{5B0C9F0F-5DC7-47FE-8FC1-4944D0437E27}"/>
            </a:ext>
          </a:extLst>
        </xdr:cNvPr>
        <xdr:cNvSpPr txBox="1"/>
      </xdr:nvSpPr>
      <xdr:spPr>
        <a:xfrm>
          <a:off x="18227457" y="6628623"/>
          <a:ext cx="2315377"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000" b="1"/>
            <a:t>PNL/LOT</a:t>
          </a:r>
          <a:r>
            <a:rPr lang="en-IN" sz="1000" b="1" baseline="0"/>
            <a:t> </a:t>
          </a:r>
          <a:r>
            <a:rPr lang="en-IN" sz="1000" b="0"/>
            <a:t>(How much amount per lot</a:t>
          </a:r>
          <a:r>
            <a:rPr lang="en-IN" sz="1000" b="0" baseline="0"/>
            <a:t>)</a:t>
          </a:r>
          <a:endParaRPr lang="en-IN" sz="1000" b="0"/>
        </a:p>
      </xdr:txBody>
    </xdr:sp>
    <xdr:clientData/>
  </xdr:oneCellAnchor>
  <xdr:oneCellAnchor>
    <xdr:from>
      <xdr:col>17</xdr:col>
      <xdr:colOff>611933</xdr:colOff>
      <xdr:row>65</xdr:row>
      <xdr:rowOff>156245</xdr:rowOff>
    </xdr:from>
    <xdr:ext cx="2037224" cy="239809"/>
    <xdr:sp macro="" textlink="">
      <xdr:nvSpPr>
        <xdr:cNvPr id="26" name="TextBox 25">
          <a:extLst>
            <a:ext uri="{FF2B5EF4-FFF2-40B4-BE49-F238E27FC236}">
              <a16:creationId xmlns:a16="http://schemas.microsoft.com/office/drawing/2014/main" id="{F368825B-666A-49E7-97FE-7148C6102AF1}"/>
            </a:ext>
          </a:extLst>
        </xdr:cNvPr>
        <xdr:cNvSpPr txBox="1"/>
      </xdr:nvSpPr>
      <xdr:spPr>
        <a:xfrm>
          <a:off x="17893004" y="9191388"/>
          <a:ext cx="2037224"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000" b="1"/>
            <a:t>WIN LOSS %</a:t>
          </a:r>
          <a:r>
            <a:rPr lang="en-IN" sz="1000" b="1" baseline="0"/>
            <a:t> </a:t>
          </a:r>
          <a:r>
            <a:rPr lang="en-IN" sz="1000" b="0"/>
            <a:t>(How many times</a:t>
          </a:r>
          <a:r>
            <a:rPr lang="en-IN" sz="1000" b="0" baseline="0"/>
            <a:t>)</a:t>
          </a:r>
          <a:endParaRPr lang="en-IN" sz="1000" b="0"/>
        </a:p>
      </xdr:txBody>
    </xdr:sp>
    <xdr:clientData/>
  </xdr:oneCellAnchor>
  <xdr:twoCellAnchor>
    <xdr:from>
      <xdr:col>12</xdr:col>
      <xdr:colOff>302759</xdr:colOff>
      <xdr:row>42</xdr:row>
      <xdr:rowOff>125458</xdr:rowOff>
    </xdr:from>
    <xdr:to>
      <xdr:col>28</xdr:col>
      <xdr:colOff>585245</xdr:colOff>
      <xdr:row>53</xdr:row>
      <xdr:rowOff>40821</xdr:rowOff>
    </xdr:to>
    <xdr:graphicFrame macro="">
      <xdr:nvGraphicFramePr>
        <xdr:cNvPr id="8" name="Chart 7">
          <a:extLst>
            <a:ext uri="{FF2B5EF4-FFF2-40B4-BE49-F238E27FC236}">
              <a16:creationId xmlns:a16="http://schemas.microsoft.com/office/drawing/2014/main" id="{BC267B40-C0BD-D498-C193-446196CBC669}"/>
            </a:ext>
            <a:ext uri="{147F2762-F138-4A5C-976F-8EAC2B608ADB}">
              <a16:predDERef xmlns:a16="http://schemas.microsoft.com/office/drawing/2014/main" pred="{F368825B-666A-49E7-97FE-7148C6102A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441413</xdr:colOff>
      <xdr:row>44</xdr:row>
      <xdr:rowOff>88175</xdr:rowOff>
    </xdr:from>
    <xdr:to>
      <xdr:col>19</xdr:col>
      <xdr:colOff>441413</xdr:colOff>
      <xdr:row>52</xdr:row>
      <xdr:rowOff>101601</xdr:rowOff>
    </xdr:to>
    <xdr:cxnSp macro="">
      <xdr:nvCxnSpPr>
        <xdr:cNvPr id="39" name="Straight Connector 38">
          <a:extLst>
            <a:ext uri="{FF2B5EF4-FFF2-40B4-BE49-F238E27FC236}">
              <a16:creationId xmlns:a16="http://schemas.microsoft.com/office/drawing/2014/main" id="{97B30136-903F-40D3-B5AC-DE40803125E0}"/>
            </a:ext>
          </a:extLst>
        </xdr:cNvPr>
        <xdr:cNvCxnSpPr/>
      </xdr:nvCxnSpPr>
      <xdr:spPr>
        <a:xfrm>
          <a:off x="19436984" y="5073832"/>
          <a:ext cx="0" cy="1406798"/>
        </a:xfrm>
        <a:prstGeom prst="line">
          <a:avLst/>
        </a:prstGeom>
        <a:ln w="38100">
          <a:solidFill>
            <a:schemeClr val="tx2">
              <a:lumMod val="85000"/>
              <a:lumOff val="1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54427</xdr:colOff>
      <xdr:row>44</xdr:row>
      <xdr:rowOff>94843</xdr:rowOff>
    </xdr:from>
    <xdr:to>
      <xdr:col>16</xdr:col>
      <xdr:colOff>54427</xdr:colOff>
      <xdr:row>52</xdr:row>
      <xdr:rowOff>94934</xdr:rowOff>
    </xdr:to>
    <xdr:cxnSp macro="">
      <xdr:nvCxnSpPr>
        <xdr:cNvPr id="40" name="Straight Connector 39">
          <a:extLst>
            <a:ext uri="{FF2B5EF4-FFF2-40B4-BE49-F238E27FC236}">
              <a16:creationId xmlns:a16="http://schemas.microsoft.com/office/drawing/2014/main" id="{45AEAF18-2412-4660-88AE-305D0DD0639D}"/>
            </a:ext>
          </a:extLst>
        </xdr:cNvPr>
        <xdr:cNvCxnSpPr/>
      </xdr:nvCxnSpPr>
      <xdr:spPr>
        <a:xfrm>
          <a:off x="17188541" y="5080500"/>
          <a:ext cx="0" cy="1393463"/>
        </a:xfrm>
        <a:prstGeom prst="line">
          <a:avLst/>
        </a:prstGeom>
        <a:ln w="38100">
          <a:solidFill>
            <a:schemeClr val="tx2">
              <a:lumMod val="85000"/>
              <a:lumOff val="1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302759</xdr:colOff>
      <xdr:row>55</xdr:row>
      <xdr:rowOff>40823</xdr:rowOff>
    </xdr:from>
    <xdr:to>
      <xdr:col>28</xdr:col>
      <xdr:colOff>585245</xdr:colOff>
      <xdr:row>65</xdr:row>
      <xdr:rowOff>130358</xdr:rowOff>
    </xdr:to>
    <xdr:graphicFrame macro="">
      <xdr:nvGraphicFramePr>
        <xdr:cNvPr id="41" name="Chart 40">
          <a:extLst>
            <a:ext uri="{FF2B5EF4-FFF2-40B4-BE49-F238E27FC236}">
              <a16:creationId xmlns:a16="http://schemas.microsoft.com/office/drawing/2014/main" id="{1DB09B6B-1EA7-411D-8569-4C47C5F16F2E}"/>
            </a:ext>
            <a:ext uri="{147F2762-F138-4A5C-976F-8EAC2B608ADB}">
              <a16:predDERef xmlns:a16="http://schemas.microsoft.com/office/drawing/2014/main" pred="{45AEAF18-2412-4660-88AE-305D0DD063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65313</xdr:colOff>
      <xdr:row>56</xdr:row>
      <xdr:rowOff>147169</xdr:rowOff>
    </xdr:from>
    <xdr:to>
      <xdr:col>16</xdr:col>
      <xdr:colOff>65313</xdr:colOff>
      <xdr:row>64</xdr:row>
      <xdr:rowOff>147260</xdr:rowOff>
    </xdr:to>
    <xdr:cxnSp macro="">
      <xdr:nvCxnSpPr>
        <xdr:cNvPr id="42" name="Straight Connector 41">
          <a:extLst>
            <a:ext uri="{FF2B5EF4-FFF2-40B4-BE49-F238E27FC236}">
              <a16:creationId xmlns:a16="http://schemas.microsoft.com/office/drawing/2014/main" id="{75A91A10-3ED4-4A3E-8DD5-6EC8D9EBF1B0}"/>
            </a:ext>
            <a:ext uri="{147F2762-F138-4A5C-976F-8EAC2B608ADB}">
              <a16:predDERef xmlns:a16="http://schemas.microsoft.com/office/drawing/2014/main" pred="{1DB09B6B-1EA7-411D-8569-4C47C5F16F2E}"/>
            </a:ext>
          </a:extLst>
        </xdr:cNvPr>
        <xdr:cNvCxnSpPr/>
      </xdr:nvCxnSpPr>
      <xdr:spPr>
        <a:xfrm>
          <a:off x="17199427" y="7222883"/>
          <a:ext cx="0" cy="1393463"/>
        </a:xfrm>
        <a:prstGeom prst="line">
          <a:avLst/>
        </a:prstGeom>
        <a:ln w="38100">
          <a:solidFill>
            <a:schemeClr val="tx2">
              <a:lumMod val="85000"/>
              <a:lumOff val="1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446856</xdr:colOff>
      <xdr:row>56</xdr:row>
      <xdr:rowOff>140501</xdr:rowOff>
    </xdr:from>
    <xdr:to>
      <xdr:col>19</xdr:col>
      <xdr:colOff>446856</xdr:colOff>
      <xdr:row>64</xdr:row>
      <xdr:rowOff>153927</xdr:rowOff>
    </xdr:to>
    <xdr:cxnSp macro="">
      <xdr:nvCxnSpPr>
        <xdr:cNvPr id="44" name="Straight Connector 43">
          <a:extLst>
            <a:ext uri="{FF2B5EF4-FFF2-40B4-BE49-F238E27FC236}">
              <a16:creationId xmlns:a16="http://schemas.microsoft.com/office/drawing/2014/main" id="{16EDB6D9-8C95-426E-8448-7E957D2BE04A}"/>
            </a:ext>
            <a:ext uri="{147F2762-F138-4A5C-976F-8EAC2B608ADB}">
              <a16:predDERef xmlns:a16="http://schemas.microsoft.com/office/drawing/2014/main" pred="{75A91A10-3ED4-4A3E-8DD5-6EC8D9EBF1B0}"/>
            </a:ext>
          </a:extLst>
        </xdr:cNvPr>
        <xdr:cNvCxnSpPr/>
      </xdr:nvCxnSpPr>
      <xdr:spPr>
        <a:xfrm>
          <a:off x="19442427" y="7216215"/>
          <a:ext cx="0" cy="1406798"/>
        </a:xfrm>
        <a:prstGeom prst="line">
          <a:avLst/>
        </a:prstGeom>
        <a:ln w="38100">
          <a:solidFill>
            <a:schemeClr val="tx2">
              <a:lumMod val="85000"/>
              <a:lumOff val="1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302759</xdr:colOff>
      <xdr:row>67</xdr:row>
      <xdr:rowOff>65314</xdr:rowOff>
    </xdr:from>
    <xdr:to>
      <xdr:col>28</xdr:col>
      <xdr:colOff>585245</xdr:colOff>
      <xdr:row>76</xdr:row>
      <xdr:rowOff>165734</xdr:rowOff>
    </xdr:to>
    <xdr:graphicFrame macro="">
      <xdr:nvGraphicFramePr>
        <xdr:cNvPr id="49" name="Chart 48">
          <a:extLst>
            <a:ext uri="{FF2B5EF4-FFF2-40B4-BE49-F238E27FC236}">
              <a16:creationId xmlns:a16="http://schemas.microsoft.com/office/drawing/2014/main" id="{8F3E0115-3D6A-42C8-AAEF-9EE20D46195B}"/>
            </a:ext>
            <a:ext uri="{147F2762-F138-4A5C-976F-8EAC2B608ADB}">
              <a16:predDERef xmlns:a16="http://schemas.microsoft.com/office/drawing/2014/main" pred="{16EDB6D9-8C95-426E-8448-7E957D2BE0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65314</xdr:colOff>
      <xdr:row>68</xdr:row>
      <xdr:rowOff>179827</xdr:rowOff>
    </xdr:from>
    <xdr:to>
      <xdr:col>16</xdr:col>
      <xdr:colOff>65314</xdr:colOff>
      <xdr:row>76</xdr:row>
      <xdr:rowOff>38404</xdr:rowOff>
    </xdr:to>
    <xdr:cxnSp macro="">
      <xdr:nvCxnSpPr>
        <xdr:cNvPr id="50" name="Straight Connector 49">
          <a:extLst>
            <a:ext uri="{FF2B5EF4-FFF2-40B4-BE49-F238E27FC236}">
              <a16:creationId xmlns:a16="http://schemas.microsoft.com/office/drawing/2014/main" id="{F585F5DB-80F8-4E01-BBBF-1728A740038D}"/>
            </a:ext>
          </a:extLst>
        </xdr:cNvPr>
        <xdr:cNvCxnSpPr/>
      </xdr:nvCxnSpPr>
      <xdr:spPr>
        <a:xfrm>
          <a:off x="17199428" y="9389141"/>
          <a:ext cx="0" cy="1393463"/>
        </a:xfrm>
        <a:prstGeom prst="line">
          <a:avLst/>
        </a:prstGeom>
        <a:ln w="38100">
          <a:solidFill>
            <a:schemeClr val="tx2">
              <a:lumMod val="85000"/>
              <a:lumOff val="1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446857</xdr:colOff>
      <xdr:row>68</xdr:row>
      <xdr:rowOff>173159</xdr:rowOff>
    </xdr:from>
    <xdr:to>
      <xdr:col>19</xdr:col>
      <xdr:colOff>446857</xdr:colOff>
      <xdr:row>76</xdr:row>
      <xdr:rowOff>45071</xdr:rowOff>
    </xdr:to>
    <xdr:cxnSp macro="">
      <xdr:nvCxnSpPr>
        <xdr:cNvPr id="51" name="Straight Connector 50">
          <a:extLst>
            <a:ext uri="{FF2B5EF4-FFF2-40B4-BE49-F238E27FC236}">
              <a16:creationId xmlns:a16="http://schemas.microsoft.com/office/drawing/2014/main" id="{20931564-F101-4EA6-9806-E23E10570EF3}"/>
            </a:ext>
          </a:extLst>
        </xdr:cNvPr>
        <xdr:cNvCxnSpPr/>
      </xdr:nvCxnSpPr>
      <xdr:spPr>
        <a:xfrm>
          <a:off x="19442428" y="9382473"/>
          <a:ext cx="0" cy="1406798"/>
        </a:xfrm>
        <a:prstGeom prst="line">
          <a:avLst/>
        </a:prstGeom>
        <a:ln w="38100">
          <a:solidFill>
            <a:schemeClr val="tx2">
              <a:lumMod val="85000"/>
              <a:lumOff val="1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756966</xdr:colOff>
      <xdr:row>78</xdr:row>
      <xdr:rowOff>27214</xdr:rowOff>
    </xdr:from>
    <xdr:to>
      <xdr:col>23</xdr:col>
      <xdr:colOff>253502</xdr:colOff>
      <xdr:row>78</xdr:row>
      <xdr:rowOff>27214</xdr:rowOff>
    </xdr:to>
    <xdr:cxnSp macro="">
      <xdr:nvCxnSpPr>
        <xdr:cNvPr id="20" name="Straight Connector 19">
          <a:extLst>
            <a:ext uri="{FF2B5EF4-FFF2-40B4-BE49-F238E27FC236}">
              <a16:creationId xmlns:a16="http://schemas.microsoft.com/office/drawing/2014/main" id="{5C45636D-FFB2-4C85-A3F9-02DB47C727D4}"/>
            </a:ext>
          </a:extLst>
        </xdr:cNvPr>
        <xdr:cNvCxnSpPr/>
      </xdr:nvCxnSpPr>
      <xdr:spPr>
        <a:xfrm flipH="1">
          <a:off x="16636502" y="11552464"/>
          <a:ext cx="4572000" cy="0"/>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oneCellAnchor>
    <xdr:from>
      <xdr:col>1</xdr:col>
      <xdr:colOff>321402</xdr:colOff>
      <xdr:row>73</xdr:row>
      <xdr:rowOff>7461</xdr:rowOff>
    </xdr:from>
    <xdr:ext cx="1183821" cy="374141"/>
    <xdr:sp macro="" textlink="$AL$16">
      <xdr:nvSpPr>
        <xdr:cNvPr id="33" name="TextBox 32">
          <a:extLst>
            <a:ext uri="{FF2B5EF4-FFF2-40B4-BE49-F238E27FC236}">
              <a16:creationId xmlns:a16="http://schemas.microsoft.com/office/drawing/2014/main" id="{56AE7376-B709-8587-1CD4-91819DA8357D}"/>
            </a:ext>
          </a:extLst>
        </xdr:cNvPr>
        <xdr:cNvSpPr txBox="1"/>
      </xdr:nvSpPr>
      <xdr:spPr>
        <a:xfrm>
          <a:off x="1709331" y="10593818"/>
          <a:ext cx="1183821"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B0B6D85D-9310-4A09-B2FE-719AF5177AA1}" type="TxLink">
            <a:rPr lang="en-US" sz="1800" b="1" i="0" u="none" strike="noStrike">
              <a:solidFill>
                <a:schemeClr val="bg2">
                  <a:lumMod val="85000"/>
                </a:schemeClr>
              </a:solidFill>
              <a:latin typeface="Calibri"/>
              <a:cs typeface="Calibri"/>
            </a:rPr>
            <a:pPr algn="ctr"/>
            <a:t>2.4</a:t>
          </a:fld>
          <a:endParaRPr lang="en-US" sz="2000" b="1">
            <a:solidFill>
              <a:schemeClr val="bg2">
                <a:lumMod val="85000"/>
              </a:schemeClr>
            </a:solidFill>
          </a:endParaRPr>
        </a:p>
      </xdr:txBody>
    </xdr:sp>
    <xdr:clientData/>
  </xdr:oneCellAnchor>
  <xdr:twoCellAnchor>
    <xdr:from>
      <xdr:col>1</xdr:col>
      <xdr:colOff>498295</xdr:colOff>
      <xdr:row>70</xdr:row>
      <xdr:rowOff>108856</xdr:rowOff>
    </xdr:from>
    <xdr:to>
      <xdr:col>1</xdr:col>
      <xdr:colOff>1328330</xdr:colOff>
      <xdr:row>73</xdr:row>
      <xdr:rowOff>136071</xdr:rowOff>
    </xdr:to>
    <xdr:sp macro="" textlink="">
      <xdr:nvSpPr>
        <xdr:cNvPr id="34" name="TextBox 33">
          <a:extLst>
            <a:ext uri="{FF2B5EF4-FFF2-40B4-BE49-F238E27FC236}">
              <a16:creationId xmlns:a16="http://schemas.microsoft.com/office/drawing/2014/main" id="{33B066B4-C8E4-6245-2CF0-8A0217A749FB}"/>
            </a:ext>
          </a:extLst>
        </xdr:cNvPr>
        <xdr:cNvSpPr txBox="1"/>
      </xdr:nvSpPr>
      <xdr:spPr>
        <a:xfrm>
          <a:off x="1886224" y="10096499"/>
          <a:ext cx="830035" cy="625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2">
                  <a:lumMod val="65000"/>
                </a:schemeClr>
              </a:solidFill>
            </a:rPr>
            <a:t>R:W LOTS / ORDER</a:t>
          </a:r>
        </a:p>
      </xdr:txBody>
    </xdr:sp>
    <xdr:clientData/>
  </xdr:twoCellAnchor>
  <xdr:twoCellAnchor>
    <xdr:from>
      <xdr:col>1</xdr:col>
      <xdr:colOff>382634</xdr:colOff>
      <xdr:row>75</xdr:row>
      <xdr:rowOff>40821</xdr:rowOff>
    </xdr:from>
    <xdr:to>
      <xdr:col>1</xdr:col>
      <xdr:colOff>1443991</xdr:colOff>
      <xdr:row>77</xdr:row>
      <xdr:rowOff>136072</xdr:rowOff>
    </xdr:to>
    <xdr:sp macro="" textlink="">
      <xdr:nvSpPr>
        <xdr:cNvPr id="36" name="TextBox 35">
          <a:extLst>
            <a:ext uri="{FF2B5EF4-FFF2-40B4-BE49-F238E27FC236}">
              <a16:creationId xmlns:a16="http://schemas.microsoft.com/office/drawing/2014/main" id="{663E6980-0CEA-4246-A1F1-FE8CF6307389}"/>
            </a:ext>
          </a:extLst>
        </xdr:cNvPr>
        <xdr:cNvSpPr txBox="1"/>
      </xdr:nvSpPr>
      <xdr:spPr>
        <a:xfrm>
          <a:off x="1770563" y="10994571"/>
          <a:ext cx="1061357" cy="503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2">
                  <a:lumMod val="85000"/>
                </a:schemeClr>
              </a:solidFill>
            </a:rPr>
            <a:t>R:W</a:t>
          </a:r>
        </a:p>
        <a:p>
          <a:pPr algn="ctr"/>
          <a:r>
            <a:rPr lang="en-US" sz="1100" b="1">
              <a:solidFill>
                <a:schemeClr val="bg2">
                  <a:lumMod val="85000"/>
                </a:schemeClr>
              </a:solidFill>
            </a:rPr>
            <a:t># </a:t>
          </a:r>
          <a:r>
            <a:rPr lang="en-US" sz="1100" b="1">
              <a:solidFill>
                <a:schemeClr val="bg2">
                  <a:lumMod val="65000"/>
                </a:schemeClr>
              </a:solidFill>
            </a:rPr>
            <a:t>TRADES</a:t>
          </a:r>
        </a:p>
      </xdr:txBody>
    </xdr:sp>
    <xdr:clientData/>
  </xdr:twoCellAnchor>
  <xdr:oneCellAnchor>
    <xdr:from>
      <xdr:col>1</xdr:col>
      <xdr:colOff>321402</xdr:colOff>
      <xdr:row>77</xdr:row>
      <xdr:rowOff>13608</xdr:rowOff>
    </xdr:from>
    <xdr:ext cx="1183821" cy="374141"/>
    <xdr:sp macro="" textlink="#REF!">
      <xdr:nvSpPr>
        <xdr:cNvPr id="38" name="TextBox 37">
          <a:extLst>
            <a:ext uri="{FF2B5EF4-FFF2-40B4-BE49-F238E27FC236}">
              <a16:creationId xmlns:a16="http://schemas.microsoft.com/office/drawing/2014/main" id="{3DD22D9F-54FA-4084-A244-0165D7724985}"/>
            </a:ext>
          </a:extLst>
        </xdr:cNvPr>
        <xdr:cNvSpPr txBox="1"/>
      </xdr:nvSpPr>
      <xdr:spPr>
        <a:xfrm>
          <a:off x="1709331" y="11375572"/>
          <a:ext cx="1183821"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5CD6E94F-572F-46DE-BCBB-3D75757DE02F}" type="TxLink">
            <a:rPr lang="en-US" sz="1800" b="1" i="0" u="none" strike="noStrike">
              <a:solidFill>
                <a:schemeClr val="bg2">
                  <a:lumMod val="85000"/>
                </a:schemeClr>
              </a:solidFill>
              <a:latin typeface="Calibri"/>
              <a:cs typeface="Calibri"/>
            </a:rPr>
            <a:pPr algn="ctr"/>
            <a:t>0.29</a:t>
          </a:fld>
          <a:endParaRPr lang="en-US" sz="4400" b="1">
            <a:solidFill>
              <a:schemeClr val="bg2">
                <a:lumMod val="85000"/>
              </a:schemeClr>
            </a:solidFill>
          </a:endParaRPr>
        </a:p>
      </xdr:txBody>
    </xdr:sp>
    <xdr:clientData/>
  </xdr:oneCellAnchor>
  <xdr:twoCellAnchor>
    <xdr:from>
      <xdr:col>0</xdr:col>
      <xdr:colOff>748391</xdr:colOff>
      <xdr:row>82</xdr:row>
      <xdr:rowOff>186417</xdr:rowOff>
    </xdr:from>
    <xdr:to>
      <xdr:col>2</xdr:col>
      <xdr:colOff>693965</xdr:colOff>
      <xdr:row>87</xdr:row>
      <xdr:rowOff>40821</xdr:rowOff>
    </xdr:to>
    <xdr:graphicFrame macro="">
      <xdr:nvGraphicFramePr>
        <xdr:cNvPr id="21" name="Chart 20">
          <a:extLst>
            <a:ext uri="{FF2B5EF4-FFF2-40B4-BE49-F238E27FC236}">
              <a16:creationId xmlns:a16="http://schemas.microsoft.com/office/drawing/2014/main" id="{5A04E2E0-70E2-C038-BE7A-DE1775603770}"/>
            </a:ext>
            <a:ext uri="{147F2762-F138-4A5C-976F-8EAC2B608ADB}">
              <a16:predDERef xmlns:a16="http://schemas.microsoft.com/office/drawing/2014/main" pred="{3DD22D9F-54FA-4084-A244-0165D77249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707571</xdr:colOff>
      <xdr:row>87</xdr:row>
      <xdr:rowOff>81643</xdr:rowOff>
    </xdr:from>
    <xdr:to>
      <xdr:col>2</xdr:col>
      <xdr:colOff>653145</xdr:colOff>
      <xdr:row>91</xdr:row>
      <xdr:rowOff>153761</xdr:rowOff>
    </xdr:to>
    <xdr:graphicFrame macro="">
      <xdr:nvGraphicFramePr>
        <xdr:cNvPr id="25" name="Chart 24">
          <a:extLst>
            <a:ext uri="{FF2B5EF4-FFF2-40B4-BE49-F238E27FC236}">
              <a16:creationId xmlns:a16="http://schemas.microsoft.com/office/drawing/2014/main" id="{73EE5828-8D4B-4981-A4A5-7D572ADB964E}"/>
            </a:ext>
            <a:ext uri="{147F2762-F138-4A5C-976F-8EAC2B608ADB}">
              <a16:predDERef xmlns:a16="http://schemas.microsoft.com/office/drawing/2014/main" pred="{5A04E2E0-70E2-C038-BE7A-DE17756037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oneCellAnchor>
    <xdr:from>
      <xdr:col>8</xdr:col>
      <xdr:colOff>802820</xdr:colOff>
      <xdr:row>81</xdr:row>
      <xdr:rowOff>83603</xdr:rowOff>
    </xdr:from>
    <xdr:ext cx="734786" cy="342786"/>
    <xdr:sp macro="" textlink="$AL$13">
      <xdr:nvSpPr>
        <xdr:cNvPr id="22" name="TextBox 21">
          <a:extLst>
            <a:ext uri="{FF2B5EF4-FFF2-40B4-BE49-F238E27FC236}">
              <a16:creationId xmlns:a16="http://schemas.microsoft.com/office/drawing/2014/main" id="{DC16762E-5A68-9D99-B072-4CC10528D566}"/>
            </a:ext>
          </a:extLst>
        </xdr:cNvPr>
        <xdr:cNvSpPr txBox="1"/>
      </xdr:nvSpPr>
      <xdr:spPr>
        <a:xfrm>
          <a:off x="10409463" y="13568282"/>
          <a:ext cx="734786"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5E7AF51F-D0A9-4745-96EA-4BC8BD4EAA3C}" type="TxLink">
            <a:rPr lang="en-US" sz="1600" b="1" i="0" u="none" strike="noStrike">
              <a:solidFill>
                <a:schemeClr val="bg2"/>
              </a:solidFill>
              <a:latin typeface="Calibri"/>
              <a:cs typeface="Calibri"/>
            </a:rPr>
            <a:pPr algn="ctr"/>
            <a:t>1.6</a:t>
          </a:fld>
          <a:endParaRPr lang="en-US" sz="1400" b="1">
            <a:solidFill>
              <a:schemeClr val="bg2"/>
            </a:solidFill>
          </a:endParaRPr>
        </a:p>
      </xdr:txBody>
    </xdr:sp>
    <xdr:clientData/>
  </xdr:oneCellAnchor>
  <xdr:oneCellAnchor>
    <xdr:from>
      <xdr:col>8</xdr:col>
      <xdr:colOff>556744</xdr:colOff>
      <xdr:row>79</xdr:row>
      <xdr:rowOff>81642</xdr:rowOff>
    </xdr:from>
    <xdr:ext cx="1226939" cy="416781"/>
    <xdr:sp macro="" textlink="">
      <xdr:nvSpPr>
        <xdr:cNvPr id="29" name="TextBox 28">
          <a:extLst>
            <a:ext uri="{FF2B5EF4-FFF2-40B4-BE49-F238E27FC236}">
              <a16:creationId xmlns:a16="http://schemas.microsoft.com/office/drawing/2014/main" id="{D33A8438-CF45-21F9-F88C-B11F5D5AAB73}"/>
            </a:ext>
          </a:extLst>
        </xdr:cNvPr>
        <xdr:cNvSpPr txBox="1"/>
      </xdr:nvSpPr>
      <xdr:spPr>
        <a:xfrm>
          <a:off x="10163387" y="13198928"/>
          <a:ext cx="1226939" cy="416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100" b="1">
              <a:solidFill>
                <a:schemeClr val="bg2">
                  <a:lumMod val="75000"/>
                </a:schemeClr>
              </a:solidFill>
            </a:rPr>
            <a:t>FLY : SPD </a:t>
          </a:r>
        </a:p>
        <a:p>
          <a:pPr algn="ctr"/>
          <a:r>
            <a:rPr lang="en-US" sz="1100" b="1">
              <a:solidFill>
                <a:schemeClr val="bg2">
                  <a:lumMod val="75000"/>
                </a:schemeClr>
              </a:solidFill>
            </a:rPr>
            <a:t> LOTS</a:t>
          </a:r>
          <a:r>
            <a:rPr lang="en-US" sz="1100" b="1" baseline="0">
              <a:solidFill>
                <a:schemeClr val="bg2">
                  <a:lumMod val="75000"/>
                </a:schemeClr>
              </a:solidFill>
            </a:rPr>
            <a:t> / ORDER</a:t>
          </a:r>
          <a:endParaRPr lang="en-US" sz="1100" b="1">
            <a:solidFill>
              <a:schemeClr val="bg2">
                <a:lumMod val="75000"/>
              </a:schemeClr>
            </a:solidFill>
          </a:endParaRPr>
        </a:p>
      </xdr:txBody>
    </xdr:sp>
    <xdr:clientData/>
  </xdr:oneCellAnchor>
  <xdr:oneCellAnchor>
    <xdr:from>
      <xdr:col>8</xdr:col>
      <xdr:colOff>756542</xdr:colOff>
      <xdr:row>84</xdr:row>
      <xdr:rowOff>174852</xdr:rowOff>
    </xdr:from>
    <xdr:ext cx="827342" cy="254557"/>
    <xdr:sp macro="" textlink="">
      <xdr:nvSpPr>
        <xdr:cNvPr id="35" name="TextBox 34">
          <a:extLst>
            <a:ext uri="{FF2B5EF4-FFF2-40B4-BE49-F238E27FC236}">
              <a16:creationId xmlns:a16="http://schemas.microsoft.com/office/drawing/2014/main" id="{F821B3CB-4486-47DB-3C11-9EA4D56AD3C3}"/>
            </a:ext>
          </a:extLst>
        </xdr:cNvPr>
        <xdr:cNvSpPr txBox="1"/>
      </xdr:nvSpPr>
      <xdr:spPr>
        <a:xfrm>
          <a:off x="10363185" y="14217423"/>
          <a:ext cx="827342"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100" b="1">
              <a:solidFill>
                <a:schemeClr val="bg2">
                  <a:lumMod val="75000"/>
                </a:schemeClr>
              </a:solidFill>
            </a:rPr>
            <a:t>SPD RT%</a:t>
          </a:r>
        </a:p>
      </xdr:txBody>
    </xdr:sp>
    <xdr:clientData/>
  </xdr:oneCellAnchor>
  <xdr:oneCellAnchor>
    <xdr:from>
      <xdr:col>8</xdr:col>
      <xdr:colOff>819669</xdr:colOff>
      <xdr:row>86</xdr:row>
      <xdr:rowOff>14589</xdr:rowOff>
    </xdr:from>
    <xdr:ext cx="663515" cy="342786"/>
    <xdr:sp macro="" textlink="$W$13">
      <xdr:nvSpPr>
        <xdr:cNvPr id="43" name="TextBox 42">
          <a:extLst>
            <a:ext uri="{FF2B5EF4-FFF2-40B4-BE49-F238E27FC236}">
              <a16:creationId xmlns:a16="http://schemas.microsoft.com/office/drawing/2014/main" id="{E235524D-4472-EE9A-F603-2FF089C9BC45}"/>
            </a:ext>
          </a:extLst>
        </xdr:cNvPr>
        <xdr:cNvSpPr txBox="1"/>
      </xdr:nvSpPr>
      <xdr:spPr>
        <a:xfrm>
          <a:off x="10682126" y="16637075"/>
          <a:ext cx="66351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369A034-9F75-4361-9010-1FD2CD79BDE4}" type="TxLink">
            <a:rPr lang="en-US" sz="1600" b="1" i="0" u="none" strike="noStrike">
              <a:solidFill>
                <a:schemeClr val="bg2"/>
              </a:solidFill>
              <a:latin typeface="Calibri"/>
              <a:cs typeface="Calibri"/>
            </a:rPr>
            <a:pPr/>
            <a:t>#REF!</a:t>
          </a:fld>
          <a:endParaRPr lang="en-US" sz="2000" b="1">
            <a:solidFill>
              <a:schemeClr val="bg2"/>
            </a:solidFill>
          </a:endParaRPr>
        </a:p>
      </xdr:txBody>
    </xdr:sp>
    <xdr:clientData/>
  </xdr:oneCellAnchor>
  <xdr:oneCellAnchor>
    <xdr:from>
      <xdr:col>8</xdr:col>
      <xdr:colOff>772187</xdr:colOff>
      <xdr:row>90</xdr:row>
      <xdr:rowOff>24194</xdr:rowOff>
    </xdr:from>
    <xdr:ext cx="796052" cy="254557"/>
    <xdr:sp macro="" textlink="">
      <xdr:nvSpPr>
        <xdr:cNvPr id="45" name="TextBox 44">
          <a:extLst>
            <a:ext uri="{FF2B5EF4-FFF2-40B4-BE49-F238E27FC236}">
              <a16:creationId xmlns:a16="http://schemas.microsoft.com/office/drawing/2014/main" id="{D5C1286D-4A4F-D072-F7DE-6D06F0BFDD9C}"/>
            </a:ext>
          </a:extLst>
        </xdr:cNvPr>
        <xdr:cNvSpPr txBox="1"/>
      </xdr:nvSpPr>
      <xdr:spPr>
        <a:xfrm>
          <a:off x="10378830" y="15073694"/>
          <a:ext cx="796052"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100" b="1">
              <a:solidFill>
                <a:schemeClr val="bg2">
                  <a:lumMod val="75000"/>
                </a:schemeClr>
              </a:solidFill>
            </a:rPr>
            <a:t>FLY RT%</a:t>
          </a:r>
        </a:p>
      </xdr:txBody>
    </xdr:sp>
    <xdr:clientData/>
  </xdr:oneCellAnchor>
  <xdr:oneCellAnchor>
    <xdr:from>
      <xdr:col>8</xdr:col>
      <xdr:colOff>838456</xdr:colOff>
      <xdr:row>91</xdr:row>
      <xdr:rowOff>54430</xdr:rowOff>
    </xdr:from>
    <xdr:ext cx="663515" cy="342786"/>
    <xdr:sp macro="" textlink="$W$14">
      <xdr:nvSpPr>
        <xdr:cNvPr id="46" name="TextBox 45">
          <a:extLst>
            <a:ext uri="{FF2B5EF4-FFF2-40B4-BE49-F238E27FC236}">
              <a16:creationId xmlns:a16="http://schemas.microsoft.com/office/drawing/2014/main" id="{DD3E00E6-7EF0-9E58-E4F6-8E82927824A8}"/>
            </a:ext>
          </a:extLst>
        </xdr:cNvPr>
        <xdr:cNvSpPr txBox="1"/>
      </xdr:nvSpPr>
      <xdr:spPr>
        <a:xfrm>
          <a:off x="10700913" y="17547773"/>
          <a:ext cx="66351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52DEAC39-67CA-433C-AE04-3C68B8E0D726}" type="TxLink">
            <a:rPr lang="en-US" sz="1600" b="1" i="0" u="none" strike="noStrike">
              <a:solidFill>
                <a:schemeClr val="bg2"/>
              </a:solidFill>
              <a:latin typeface="Calibri"/>
              <a:cs typeface="Calibri"/>
            </a:rPr>
            <a:pPr algn="ctr"/>
            <a:t>#REF!</a:t>
          </a:fld>
          <a:endParaRPr lang="en-US" sz="2000" b="1">
            <a:solidFill>
              <a:schemeClr val="bg2"/>
            </a:solidFill>
          </a:endParaRPr>
        </a:p>
      </xdr:txBody>
    </xdr:sp>
    <xdr:clientData/>
  </xdr:oneCellAnchor>
  <xdr:twoCellAnchor>
    <xdr:from>
      <xdr:col>6</xdr:col>
      <xdr:colOff>815974</xdr:colOff>
      <xdr:row>207</xdr:row>
      <xdr:rowOff>158748</xdr:rowOff>
    </xdr:from>
    <xdr:to>
      <xdr:col>32</xdr:col>
      <xdr:colOff>333375</xdr:colOff>
      <xdr:row>259</xdr:row>
      <xdr:rowOff>31749</xdr:rowOff>
    </xdr:to>
    <xdr:graphicFrame macro="">
      <xdr:nvGraphicFramePr>
        <xdr:cNvPr id="47" name="Chart 46">
          <a:extLst>
            <a:ext uri="{FF2B5EF4-FFF2-40B4-BE49-F238E27FC236}">
              <a16:creationId xmlns:a16="http://schemas.microsoft.com/office/drawing/2014/main" id="{9C0AF72E-5CCD-4AAA-9393-7B227B999235}"/>
            </a:ext>
            <a:ext uri="{147F2762-F138-4A5C-976F-8EAC2B608ADB}">
              <a16:predDERef xmlns:a16="http://schemas.microsoft.com/office/drawing/2014/main" pred="{DD3E00E6-7EF0-9E58-E4F6-8E82927824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30</xdr:col>
      <xdr:colOff>95250</xdr:colOff>
      <xdr:row>40</xdr:row>
      <xdr:rowOff>10368</xdr:rowOff>
    </xdr:from>
    <xdr:to>
      <xdr:col>37</xdr:col>
      <xdr:colOff>444500</xdr:colOff>
      <xdr:row>59</xdr:row>
      <xdr:rowOff>96093</xdr:rowOff>
    </xdr:to>
    <xdr:graphicFrame macro="">
      <xdr:nvGraphicFramePr>
        <xdr:cNvPr id="48" name="Chart 47">
          <a:extLst>
            <a:ext uri="{FF2B5EF4-FFF2-40B4-BE49-F238E27FC236}">
              <a16:creationId xmlns:a16="http://schemas.microsoft.com/office/drawing/2014/main" id="{AB9C7C63-FE2E-6CFF-E20D-B3469FB1FF33}"/>
            </a:ext>
            <a:ext uri="{147F2762-F138-4A5C-976F-8EAC2B608ADB}">
              <a16:predDERef xmlns:a16="http://schemas.microsoft.com/office/drawing/2014/main" pred="{9C0AF72E-5CCD-4AAA-9393-7B227B9992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xdr:col>
      <xdr:colOff>0</xdr:colOff>
      <xdr:row>272</xdr:row>
      <xdr:rowOff>0</xdr:rowOff>
    </xdr:from>
    <xdr:to>
      <xdr:col>32</xdr:col>
      <xdr:colOff>317500</xdr:colOff>
      <xdr:row>325</xdr:row>
      <xdr:rowOff>0</xdr:rowOff>
    </xdr:to>
    <xdr:graphicFrame macro="">
      <xdr:nvGraphicFramePr>
        <xdr:cNvPr id="52" name="Chart 51">
          <a:extLst>
            <a:ext uri="{FF2B5EF4-FFF2-40B4-BE49-F238E27FC236}">
              <a16:creationId xmlns:a16="http://schemas.microsoft.com/office/drawing/2014/main" id="{F7EB3AEE-B08B-4591-818B-4C9E87103CC9}"/>
            </a:ext>
            <a:ext uri="{147F2762-F138-4A5C-976F-8EAC2B608ADB}">
              <a16:predDERef xmlns:a16="http://schemas.microsoft.com/office/drawing/2014/main" pred="{AB9C7C63-FE2E-6CFF-E20D-B3469FB1F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7</xdr:col>
      <xdr:colOff>0</xdr:colOff>
      <xdr:row>334</xdr:row>
      <xdr:rowOff>0</xdr:rowOff>
    </xdr:from>
    <xdr:to>
      <xdr:col>32</xdr:col>
      <xdr:colOff>342900</xdr:colOff>
      <xdr:row>368</xdr:row>
      <xdr:rowOff>114300</xdr:rowOff>
    </xdr:to>
    <xdr:graphicFrame macro="">
      <xdr:nvGraphicFramePr>
        <xdr:cNvPr id="53" name="Chart 52">
          <a:extLst>
            <a:ext uri="{FF2B5EF4-FFF2-40B4-BE49-F238E27FC236}">
              <a16:creationId xmlns:a16="http://schemas.microsoft.com/office/drawing/2014/main" id="{072D1832-5C36-4998-8EDC-7D76E5405BA0}"/>
            </a:ext>
            <a:ext uri="{147F2762-F138-4A5C-976F-8EAC2B608ADB}">
              <a16:predDERef xmlns:a16="http://schemas.microsoft.com/office/drawing/2014/main" pred="{F7EB3AEE-B08B-4591-818B-4C9E87103C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xdr:col>
      <xdr:colOff>825499</xdr:colOff>
      <xdr:row>378</xdr:row>
      <xdr:rowOff>158749</xdr:rowOff>
    </xdr:from>
    <xdr:to>
      <xdr:col>32</xdr:col>
      <xdr:colOff>349249</xdr:colOff>
      <xdr:row>424</xdr:row>
      <xdr:rowOff>79374</xdr:rowOff>
    </xdr:to>
    <xdr:graphicFrame macro="">
      <xdr:nvGraphicFramePr>
        <xdr:cNvPr id="54" name="Chart 53">
          <a:extLst>
            <a:ext uri="{FF2B5EF4-FFF2-40B4-BE49-F238E27FC236}">
              <a16:creationId xmlns:a16="http://schemas.microsoft.com/office/drawing/2014/main" id="{F94FCE11-8480-479D-85B0-2E25FA47D47B}"/>
            </a:ext>
            <a:ext uri="{147F2762-F138-4A5C-976F-8EAC2B608ADB}">
              <a16:predDERef xmlns:a16="http://schemas.microsoft.com/office/drawing/2014/main" pred="{072D1832-5C36-4998-8EDC-7D76E5405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7</xdr:col>
      <xdr:colOff>0</xdr:colOff>
      <xdr:row>428</xdr:row>
      <xdr:rowOff>0</xdr:rowOff>
    </xdr:from>
    <xdr:to>
      <xdr:col>32</xdr:col>
      <xdr:colOff>330200</xdr:colOff>
      <xdr:row>475</xdr:row>
      <xdr:rowOff>101600</xdr:rowOff>
    </xdr:to>
    <xdr:graphicFrame macro="">
      <xdr:nvGraphicFramePr>
        <xdr:cNvPr id="55" name="Chart 54">
          <a:extLst>
            <a:ext uri="{FF2B5EF4-FFF2-40B4-BE49-F238E27FC236}">
              <a16:creationId xmlns:a16="http://schemas.microsoft.com/office/drawing/2014/main" id="{CD198971-CE70-4393-9C87-B124A943D7DA}"/>
            </a:ext>
            <a:ext uri="{147F2762-F138-4A5C-976F-8EAC2B608ADB}">
              <a16:predDERef xmlns:a16="http://schemas.microsoft.com/office/drawing/2014/main" pred="{F94FCE11-8480-479D-85B0-2E25FA47D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xdr:col>
      <xdr:colOff>0</xdr:colOff>
      <xdr:row>479</xdr:row>
      <xdr:rowOff>0</xdr:rowOff>
    </xdr:from>
    <xdr:to>
      <xdr:col>32</xdr:col>
      <xdr:colOff>342900</xdr:colOff>
      <xdr:row>525</xdr:row>
      <xdr:rowOff>88900</xdr:rowOff>
    </xdr:to>
    <xdr:graphicFrame macro="">
      <xdr:nvGraphicFramePr>
        <xdr:cNvPr id="56" name="Chart 55">
          <a:extLst>
            <a:ext uri="{FF2B5EF4-FFF2-40B4-BE49-F238E27FC236}">
              <a16:creationId xmlns:a16="http://schemas.microsoft.com/office/drawing/2014/main" id="{69EBCF72-24BE-4A65-A4C2-379DDD50F48D}"/>
            </a:ext>
            <a:ext uri="{147F2762-F138-4A5C-976F-8EAC2B608ADB}">
              <a16:predDERef xmlns:a16="http://schemas.microsoft.com/office/drawing/2014/main" pred="{CD198971-CE70-4393-9C87-B124A943D7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7</xdr:col>
      <xdr:colOff>802822</xdr:colOff>
      <xdr:row>67</xdr:row>
      <xdr:rowOff>163285</xdr:rowOff>
    </xdr:from>
    <xdr:to>
      <xdr:col>11</xdr:col>
      <xdr:colOff>488977</xdr:colOff>
      <xdr:row>79</xdr:row>
      <xdr:rowOff>153331</xdr:rowOff>
    </xdr:to>
    <xdr:graphicFrame macro="">
      <xdr:nvGraphicFramePr>
        <xdr:cNvPr id="57" name="Chart 7">
          <a:extLst>
            <a:ext uri="{FF2B5EF4-FFF2-40B4-BE49-F238E27FC236}">
              <a16:creationId xmlns:a16="http://schemas.microsoft.com/office/drawing/2014/main" id="{90766409-BB6C-42EE-B3FB-839A52816636}"/>
            </a:ext>
            <a:ext uri="{147F2762-F138-4A5C-976F-8EAC2B608ADB}">
              <a16:predDERef xmlns:a16="http://schemas.microsoft.com/office/drawing/2014/main" pred="{69EBCF72-24BE-4A65-A4C2-379DDD50F4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10</xdr:col>
      <xdr:colOff>161925</xdr:colOff>
      <xdr:row>97</xdr:row>
      <xdr:rowOff>95250</xdr:rowOff>
    </xdr:from>
    <xdr:to>
      <xdr:col>27</xdr:col>
      <xdr:colOff>314325</xdr:colOff>
      <xdr:row>130</xdr:row>
      <xdr:rowOff>47625</xdr:rowOff>
    </xdr:to>
    <xdr:graphicFrame macro="">
      <xdr:nvGraphicFramePr>
        <xdr:cNvPr id="2" name="Chart 1">
          <a:extLst>
            <a:ext uri="{FF2B5EF4-FFF2-40B4-BE49-F238E27FC236}">
              <a16:creationId xmlns:a16="http://schemas.microsoft.com/office/drawing/2014/main" id="{6922184A-06AB-4546-AB87-42271AE32064}"/>
            </a:ext>
            <a:ext uri="{147F2762-F138-4A5C-976F-8EAC2B608ADB}">
              <a16:predDERef xmlns:a16="http://schemas.microsoft.com/office/drawing/2014/main" pred="{90766409-BB6C-42EE-B3FB-839A528166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18</xdr:col>
      <xdr:colOff>466725</xdr:colOff>
      <xdr:row>1</xdr:row>
      <xdr:rowOff>152400</xdr:rowOff>
    </xdr:from>
    <xdr:to>
      <xdr:col>29</xdr:col>
      <xdr:colOff>552450</xdr:colOff>
      <xdr:row>14</xdr:row>
      <xdr:rowOff>95250</xdr:rowOff>
    </xdr:to>
    <xdr:graphicFrame macro="">
      <xdr:nvGraphicFramePr>
        <xdr:cNvPr id="2" name="Chart 1">
          <a:extLst>
            <a:ext uri="{FF2B5EF4-FFF2-40B4-BE49-F238E27FC236}">
              <a16:creationId xmlns:a16="http://schemas.microsoft.com/office/drawing/2014/main" id="{6409799F-7A53-45AC-81A8-16A55DDC9D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19049</xdr:colOff>
      <xdr:row>2</xdr:row>
      <xdr:rowOff>142875</xdr:rowOff>
    </xdr:from>
    <xdr:to>
      <xdr:col>17</xdr:col>
      <xdr:colOff>457200</xdr:colOff>
      <xdr:row>20</xdr:row>
      <xdr:rowOff>152400</xdr:rowOff>
    </xdr:to>
    <xdr:graphicFrame macro="">
      <xdr:nvGraphicFramePr>
        <xdr:cNvPr id="3" name="Chart 2">
          <a:extLst>
            <a:ext uri="{FF2B5EF4-FFF2-40B4-BE49-F238E27FC236}">
              <a16:creationId xmlns:a16="http://schemas.microsoft.com/office/drawing/2014/main" id="{4B9A4FE0-696F-4590-9146-7ED1F270F9B2}"/>
            </a:ext>
            <a:ext uri="{147F2762-F138-4A5C-976F-8EAC2B608ADB}">
              <a16:predDERef xmlns:a16="http://schemas.microsoft.com/office/drawing/2014/main" pred="{6409799F-7A53-45AC-81A8-16A55DDC9D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409574</xdr:colOff>
      <xdr:row>19</xdr:row>
      <xdr:rowOff>47625</xdr:rowOff>
    </xdr:from>
    <xdr:to>
      <xdr:col>17</xdr:col>
      <xdr:colOff>285749</xdr:colOff>
      <xdr:row>36</xdr:row>
      <xdr:rowOff>38100</xdr:rowOff>
    </xdr:to>
    <xdr:graphicFrame macro="">
      <xdr:nvGraphicFramePr>
        <xdr:cNvPr id="6" name="Chart 4">
          <a:extLst>
            <a:ext uri="{FF2B5EF4-FFF2-40B4-BE49-F238E27FC236}">
              <a16:creationId xmlns:a16="http://schemas.microsoft.com/office/drawing/2014/main" id="{9F18343C-AA7F-4C3C-843D-2BA54706C700}"/>
            </a:ext>
            <a:ext uri="{147F2762-F138-4A5C-976F-8EAC2B608ADB}">
              <a16:predDERef xmlns:a16="http://schemas.microsoft.com/office/drawing/2014/main" pred="{4B9A4FE0-696F-4590-9146-7ED1F270F9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590549</xdr:colOff>
      <xdr:row>15</xdr:row>
      <xdr:rowOff>76200</xdr:rowOff>
    </xdr:from>
    <xdr:to>
      <xdr:col>29</xdr:col>
      <xdr:colOff>371474</xdr:colOff>
      <xdr:row>29</xdr:row>
      <xdr:rowOff>123825</xdr:rowOff>
    </xdr:to>
    <xdr:graphicFrame macro="">
      <xdr:nvGraphicFramePr>
        <xdr:cNvPr id="4" name="Chart 3">
          <a:extLst>
            <a:ext uri="{FF2B5EF4-FFF2-40B4-BE49-F238E27FC236}">
              <a16:creationId xmlns:a16="http://schemas.microsoft.com/office/drawing/2014/main" id="{233B8A0A-931A-4DAD-9CDE-2DF366714820}"/>
            </a:ext>
            <a:ext uri="{147F2762-F138-4A5C-976F-8EAC2B608ADB}">
              <a16:predDERef xmlns:a16="http://schemas.microsoft.com/office/drawing/2014/main" pred="{9F18343C-AA7F-4C3C-843D-2BA54706C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428624</xdr:colOff>
      <xdr:row>2</xdr:row>
      <xdr:rowOff>142875</xdr:rowOff>
    </xdr:from>
    <xdr:to>
      <xdr:col>15</xdr:col>
      <xdr:colOff>257176</xdr:colOff>
      <xdr:row>20</xdr:row>
      <xdr:rowOff>152400</xdr:rowOff>
    </xdr:to>
    <xdr:graphicFrame macro="">
      <xdr:nvGraphicFramePr>
        <xdr:cNvPr id="3" name="Chart 2">
          <a:extLst>
            <a:ext uri="{FF2B5EF4-FFF2-40B4-BE49-F238E27FC236}">
              <a16:creationId xmlns:a16="http://schemas.microsoft.com/office/drawing/2014/main" id="{6DD56421-BB4E-43DB-B4C1-6B242F1483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209549</xdr:colOff>
      <xdr:row>19</xdr:row>
      <xdr:rowOff>47625</xdr:rowOff>
    </xdr:from>
    <xdr:to>
      <xdr:col>14</xdr:col>
      <xdr:colOff>361950</xdr:colOff>
      <xdr:row>36</xdr:row>
      <xdr:rowOff>38100</xdr:rowOff>
    </xdr:to>
    <xdr:graphicFrame macro="">
      <xdr:nvGraphicFramePr>
        <xdr:cNvPr id="4" name="Chart 4">
          <a:extLst>
            <a:ext uri="{FF2B5EF4-FFF2-40B4-BE49-F238E27FC236}">
              <a16:creationId xmlns:a16="http://schemas.microsoft.com/office/drawing/2014/main" id="{5C8AFAE8-E5B7-4D1F-9AAB-4E2CB33C46EC}"/>
            </a:ext>
            <a:ext uri="{147F2762-F138-4A5C-976F-8EAC2B608ADB}">
              <a16:predDERef xmlns:a16="http://schemas.microsoft.com/office/drawing/2014/main" pred="{6DD56421-BB4E-43DB-B4C1-6B242F1483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47624</xdr:colOff>
      <xdr:row>23</xdr:row>
      <xdr:rowOff>0</xdr:rowOff>
    </xdr:from>
    <xdr:to>
      <xdr:col>28</xdr:col>
      <xdr:colOff>47625</xdr:colOff>
      <xdr:row>39</xdr:row>
      <xdr:rowOff>152400</xdr:rowOff>
    </xdr:to>
    <xdr:graphicFrame macro="">
      <xdr:nvGraphicFramePr>
        <xdr:cNvPr id="5" name="Chart 4">
          <a:extLst>
            <a:ext uri="{FF2B5EF4-FFF2-40B4-BE49-F238E27FC236}">
              <a16:creationId xmlns:a16="http://schemas.microsoft.com/office/drawing/2014/main" id="{5547DFE9-7D93-4948-83E8-584E279C625C}"/>
            </a:ext>
            <a:ext uri="{147F2762-F138-4A5C-976F-8EAC2B608ADB}">
              <a16:predDERef xmlns:a16="http://schemas.microsoft.com/office/drawing/2014/main" pred="{5C8AFAE8-E5B7-4D1F-9AAB-4E2CB33C46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47624</xdr:colOff>
      <xdr:row>42</xdr:row>
      <xdr:rowOff>0</xdr:rowOff>
    </xdr:from>
    <xdr:to>
      <xdr:col>28</xdr:col>
      <xdr:colOff>47625</xdr:colOff>
      <xdr:row>58</xdr:row>
      <xdr:rowOff>152400</xdr:rowOff>
    </xdr:to>
    <xdr:graphicFrame macro="">
      <xdr:nvGraphicFramePr>
        <xdr:cNvPr id="6" name="Chart 5">
          <a:extLst>
            <a:ext uri="{FF2B5EF4-FFF2-40B4-BE49-F238E27FC236}">
              <a16:creationId xmlns:a16="http://schemas.microsoft.com/office/drawing/2014/main" id="{CFD3B290-1A94-4AB6-AB03-38550D7787D9}"/>
            </a:ext>
            <a:ext uri="{147F2762-F138-4A5C-976F-8EAC2B608ADB}">
              <a16:predDERef xmlns:a16="http://schemas.microsoft.com/office/drawing/2014/main" pred="{5547DFE9-7D93-4948-83E8-584E279C62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38</xdr:row>
      <xdr:rowOff>0</xdr:rowOff>
    </xdr:from>
    <xdr:to>
      <xdr:col>14</xdr:col>
      <xdr:colOff>396240</xdr:colOff>
      <xdr:row>61</xdr:row>
      <xdr:rowOff>121920</xdr:rowOff>
    </xdr:to>
    <xdr:graphicFrame macro="">
      <xdr:nvGraphicFramePr>
        <xdr:cNvPr id="7" name="Chart 6">
          <a:extLst>
            <a:ext uri="{FF2B5EF4-FFF2-40B4-BE49-F238E27FC236}">
              <a16:creationId xmlns:a16="http://schemas.microsoft.com/office/drawing/2014/main" id="{CA06CB8A-75C3-425E-BD86-58A5AFBE15E0}"/>
            </a:ext>
            <a:ext uri="{147F2762-F138-4A5C-976F-8EAC2B608ADB}">
              <a16:predDERef xmlns:a16="http://schemas.microsoft.com/office/drawing/2014/main" pred="{CFD3B290-1A94-4AB6-AB03-38550D7787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63</xdr:row>
      <xdr:rowOff>0</xdr:rowOff>
    </xdr:from>
    <xdr:to>
      <xdr:col>14</xdr:col>
      <xdr:colOff>274320</xdr:colOff>
      <xdr:row>84</xdr:row>
      <xdr:rowOff>144780</xdr:rowOff>
    </xdr:to>
    <xdr:graphicFrame macro="">
      <xdr:nvGraphicFramePr>
        <xdr:cNvPr id="8" name="Chart 7">
          <a:extLst>
            <a:ext uri="{FF2B5EF4-FFF2-40B4-BE49-F238E27FC236}">
              <a16:creationId xmlns:a16="http://schemas.microsoft.com/office/drawing/2014/main" id="{37D41FE6-CAD9-40BF-8BBC-EB6563A6532D}"/>
            </a:ext>
            <a:ext uri="{147F2762-F138-4A5C-976F-8EAC2B608ADB}">
              <a16:predDERef xmlns:a16="http://schemas.microsoft.com/office/drawing/2014/main" pred="{CA06CB8A-75C3-425E-BD86-58A5AFBE15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89</xdr:row>
      <xdr:rowOff>0</xdr:rowOff>
    </xdr:from>
    <xdr:to>
      <xdr:col>14</xdr:col>
      <xdr:colOff>335280</xdr:colOff>
      <xdr:row>113</xdr:row>
      <xdr:rowOff>45720</xdr:rowOff>
    </xdr:to>
    <xdr:graphicFrame macro="">
      <xdr:nvGraphicFramePr>
        <xdr:cNvPr id="9" name="Chart 8">
          <a:extLst>
            <a:ext uri="{FF2B5EF4-FFF2-40B4-BE49-F238E27FC236}">
              <a16:creationId xmlns:a16="http://schemas.microsoft.com/office/drawing/2014/main" id="{DE1619B9-8ADB-40DA-B27A-AD46308A9743}"/>
            </a:ext>
            <a:ext uri="{147F2762-F138-4A5C-976F-8EAC2B608ADB}">
              <a16:predDERef xmlns:a16="http://schemas.microsoft.com/office/drawing/2014/main" pred="{37D41FE6-CAD9-40BF-8BBC-EB6563A653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114</xdr:row>
      <xdr:rowOff>0</xdr:rowOff>
    </xdr:from>
    <xdr:to>
      <xdr:col>14</xdr:col>
      <xdr:colOff>259080</xdr:colOff>
      <xdr:row>138</xdr:row>
      <xdr:rowOff>160020</xdr:rowOff>
    </xdr:to>
    <xdr:graphicFrame macro="">
      <xdr:nvGraphicFramePr>
        <xdr:cNvPr id="10" name="Chart 9">
          <a:extLst>
            <a:ext uri="{FF2B5EF4-FFF2-40B4-BE49-F238E27FC236}">
              <a16:creationId xmlns:a16="http://schemas.microsoft.com/office/drawing/2014/main" id="{677DF82A-2126-457D-B875-051E725E78B0}"/>
            </a:ext>
            <a:ext uri="{147F2762-F138-4A5C-976F-8EAC2B608ADB}">
              <a16:predDERef xmlns:a16="http://schemas.microsoft.com/office/drawing/2014/main" pred="{DE1619B9-8ADB-40DA-B27A-AD46308A9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44C005-DFE4-4DD4-90DC-84C3177902F0}" name="Journal_Live" displayName="Journal_Live" ref="A2:BZ2630" totalsRowShown="0" headerRowDxfId="193" dataDxfId="192" tableBorderDxfId="191" totalsRowBorderDxfId="190">
  <autoFilter ref="A2:BZ2630" xr:uid="{00000000-0009-0000-0000-000000000000}"/>
  <tableColumns count="78">
    <tableColumn id="1" xr3:uid="{573BDAA4-1943-4773-8BD8-CAEB6AD06B05}" name="MONTH" dataDxfId="189"/>
    <tableColumn id="56" xr3:uid="{FBF13D99-387C-439D-AE58-628A33BFB3FE}" name="DATE2" dataDxfId="188"/>
    <tableColumn id="2" xr3:uid="{F02CE009-915D-418E-B8F0-9E88CE5B8941}" name="entry time" dataDxfId="187"/>
    <tableColumn id="3" xr3:uid="{0C4D08BF-D248-4F4A-B40B-FA80F0F8F82D}" name="DAY" dataDxfId="186"/>
    <tableColumn id="4" xr3:uid="{8E6CAF46-38D6-4DE1-866D-A8FE21D53C6E}" name="MAJOR EVENT" dataDxfId="185"/>
    <tableColumn id="5" xr3:uid="{1473CA32-71B0-499C-8D4B-4FB70FEE5637}" name="ACTION" dataDxfId="184"/>
    <tableColumn id="6" xr3:uid="{AB84FA13-05BB-4BDE-B4A0-098C471D297F}" name="CONTRACT " dataDxfId="183"/>
    <tableColumn id="7" xr3:uid="{F66F1806-C2FE-445D-9EB2-0BFF31FE58CD}" name="A" dataDxfId="182"/>
    <tableColumn id="8" xr3:uid="{56C56A55-C7BE-4786-AA1C-437BC3DF96C2}" name="E" dataDxfId="181"/>
    <tableColumn id="9" xr3:uid="{3C396FDC-7ED2-49A5-BC09-942B08AC97A0}" name="B" dataDxfId="180"/>
    <tableColumn id="10" xr3:uid="{492E7CBC-B384-4E13-8953-ACAB994C83A7}" name="D/H" dataDxfId="179"/>
    <tableColumn id="11" xr3:uid="{8BAF6A2B-2A43-4CDD-B029-7A9FFDDCC023}" name="REACTIVE | response to price action" dataDxfId="178"/>
    <tableColumn id="12" xr3:uid="{1936CD64-A845-48C6-AFE6-6CF0488293BA}" name="PROACTIVE  | expectations after consideration" dataDxfId="177"/>
    <tableColumn id="13" xr3:uid="{16C22FC5-16B6-4552-8F43-E730CEDA5DCB}" name="SIGNALS  | technical indicators/models" dataDxfId="176"/>
    <tableColumn id="14" xr3:uid="{18D95C9C-1AB4-40F6-83DB-0AFC3D4BD36B}" name="CODE" dataDxfId="175"/>
    <tableColumn id="15" xr3:uid="{3B198F79-DD5D-4C6C-BAB6-1941C0184216}" name="CODE2" dataDxfId="174"/>
    <tableColumn id="16" xr3:uid="{4D6C2A60-E52B-408D-9992-413E4A1D95C4}" name="O,S,F" dataDxfId="173"/>
    <tableColumn id="17" xr3:uid="{2EB94367-68FE-4400-AB26-4F2B0D27316E}" name="E QTY" dataDxfId="172"/>
    <tableColumn id="18" xr3:uid="{BB36A032-0240-4963-B7C0-0D33F83DFDE0}" name="X QTY" dataDxfId="171"/>
    <tableColumn id="19" xr3:uid="{4FDF2F6E-0AD7-42C8-A028-760103C1E169}" name="MAX SHOT" dataDxfId="170"/>
    <tableColumn id="20" xr3:uid="{EF1207B1-498E-4A95-889D-49A59944636B}" name="B/S" dataDxfId="169"/>
    <tableColumn id="76" xr3:uid="{5822FCF1-5F6B-493D-BD41-124857CBAF85}" name="P,I" dataDxfId="168"/>
    <tableColumn id="77" xr3:uid="{94ABF427-A01E-4909-99DE-9851BD8172D3}" name="UD,D,B,A,UA" dataDxfId="167"/>
    <tableColumn id="79" xr3:uid="{905790C2-506B-4BE5-B879-8C40DF2F0559}" name="MS,F" dataDxfId="166"/>
    <tableColumn id="21" xr3:uid="{242391C8-E818-4AF7-A9F1-2709D9770DC0}" name="TICK SIZE" dataDxfId="165"/>
    <tableColumn id="22" xr3:uid="{CD159E34-CFB7-4738-8BCD-2D485467997C}" name="MIN TICK VALUE ADJUSTED" dataDxfId="164"/>
    <tableColumn id="23" xr3:uid="{084C1C3B-F364-436C-AAD4-AE8DE0A4E71A}" name="TECHNICAL" dataDxfId="163"/>
    <tableColumn id="24" xr3:uid="{D3C6560D-EB4B-423D-ADB0-638E79682F42}" name="FUNDAMENTAL" dataDxfId="162"/>
    <tableColumn id="25" xr3:uid="{B69D257F-37C6-429D-A174-913AEF66D399}" name="CURVES" dataDxfId="161"/>
    <tableColumn id="26" xr3:uid="{E792761F-1F93-43FF-A877-9B7D0BEA1D7D}" name="ENTRY" dataDxfId="160"/>
    <tableColumn id="27" xr3:uid="{14564756-4D8B-4F4F-9C6C-E73E099E3738}" name="ENTRY LOGIC" dataDxfId="159"/>
    <tableColumn id="28" xr3:uid="{4C03E083-864E-4A5F-84C5-CEDD7CDE7B42}" name="STOPLOSS" dataDxfId="158"/>
    <tableColumn id="29" xr3:uid="{048C1B26-4104-4E09-A3C7-0B8B1A4D5A8B}" name="STOPLOSS LOGIC" dataDxfId="157"/>
    <tableColumn id="30" xr3:uid="{1F393B37-3FF7-4F5B-BAFE-3136798B4F5C}" name="PLANNED EXIT" dataDxfId="156"/>
    <tableColumn id="31" xr3:uid="{F2A21D3F-CA7A-4DB7-9CCC-2E31EE8027DD}" name="PLANNED EXIT LOGIC" dataDxfId="155"/>
    <tableColumn id="32" xr3:uid="{1047EB71-7A3F-45A8-8D80-FABF32A1F8BE}" name="BACKUP PLAN" dataDxfId="154"/>
    <tableColumn id="33" xr3:uid="{AABD4648-B109-4DF0-A4C2-929EBBC9798E}" name="WORST CASE REWARD/RISK" dataDxfId="153"/>
    <tableColumn id="34" xr3:uid="{5AD1318B-E85E-4768-A274-0B42BABB2CF3}" name="WORST CASE LOSS/LOT" dataDxfId="152"/>
    <tableColumn id="35" xr3:uid="{4E910393-90EE-4B3D-966A-A6DA8109DAAE}" name="WORST CASE LOSS" dataDxfId="151"/>
    <tableColumn id="36" xr3:uid="{F9837CA8-0D2B-4AC6-B0D7-54636FFF8595}" name="PLANNED DURATION" dataDxfId="150"/>
    <tableColumn id="37" xr3:uid="{230A1C5C-9856-4021-B8FE-6FABC3F63BF0}" name="DURATION LOGIC" dataDxfId="149"/>
    <tableColumn id="38" xr3:uid="{0E541C66-F84B-4DAB-BD40-077EABCA8360}" name="DURATION " dataDxfId="148"/>
    <tableColumn id="39" xr3:uid="{0659CDF2-A5CA-42AC-A706-FDF2FA6DF30D}" name="(M/H/D/W) | W - &gt; DAYS" dataDxfId="147">
      <calculatedColumnFormula>UPPER(RIGHT(Journal_Live[[#This Row],[DURATION ]]))</calculatedColumnFormula>
    </tableColumn>
    <tableColumn id="40" xr3:uid="{8BCF1703-A104-4C02-AAFC-AC95FD5E0FA9}" name="exit date/time" dataDxfId="146"/>
    <tableColumn id="41" xr3:uid="{7DD3197A-1C41-49DC-BFD1-0D035517CE9B}" name="EXIT" dataDxfId="145"/>
    <tableColumn id="42" xr3:uid="{80793E94-FD90-4730-9729-99594EBA5309}" name="PNL (PRICE)" dataDxfId="144"/>
    <tableColumn id="43" xr3:uid="{DE70FBFC-A980-4ED2-91D4-1ED482A08855}" name="TOTAL PROFIT" dataDxfId="143"/>
    <tableColumn id="44" xr3:uid="{10A825F7-2CBF-46CD-912A-A6D87A9CA12A}" name="PNL ($) SINGLE ORDER" dataDxfId="142"/>
    <tableColumn id="45" xr3:uid="{C5F3B5EF-6186-4AD5-83B8-AEF950779AA2}" name="W/L" dataDxfId="141"/>
    <tableColumn id="46" xr3:uid="{AD039B48-9431-4A11-B748-93132E3E12F3}" name="REMARKS 1" dataDxfId="140"/>
    <tableColumn id="47" xr3:uid="{8444F280-DFD2-4618-9DF6-00C65614A92C}" name="REMARKS 2" dataDxfId="139"/>
    <tableColumn id="48" xr3:uid="{E7682F10-3E37-4263-A289-BC871CFC3CE0}" name="REMARKS 3" dataDxfId="138"/>
    <tableColumn id="49" xr3:uid="{BD1DDC79-9A0C-40B1-A60D-B3CC530E5593}" name="PERSPECTIVE 1" dataDxfId="137"/>
    <tableColumn id="50" xr3:uid="{7A5FB48C-FC48-449E-AD20-CB7E87254914}" name="PERSPECTIVE 2" dataDxfId="136"/>
    <tableColumn id="51" xr3:uid="{872572DD-5E17-4703-9DEF-95232C04B3E4}" name="PERSPECTIVE 3" dataDxfId="135"/>
    <tableColumn id="52" xr3:uid="{83875B8D-60BF-465D-8982-9E25DAE2CA50}" name="REMARKS 4" dataDxfId="134"/>
    <tableColumn id="53" xr3:uid="{EB61C050-CDD2-4555-A3BC-699E3CBAC022}" name="REMARKS 5" dataDxfId="133"/>
    <tableColumn id="54" xr3:uid="{9F1BEB01-1C4A-4317-817D-8F9BEAC25DDC}" name="REMARKS 6" dataDxfId="132"/>
    <tableColumn id="55" xr3:uid="{D188873E-69AB-49B2-B37F-6A879F69B425}" name="ROLLING PnL2" dataDxfId="131"/>
    <tableColumn id="57" xr3:uid="{67AD5420-AC9D-43F6-A341-F49500022CB3}" name="ROLLING PnL" dataDxfId="130">
      <calculatedColumnFormula>SUM($AU3:AU$4)</calculatedColumnFormula>
    </tableColumn>
    <tableColumn id="58" xr3:uid="{E5D7A726-0BAE-454F-9931-8BD018B88E18}" name="rolling sum of FLY TRADES" dataDxfId="129"/>
    <tableColumn id="59" xr3:uid="{A8943E52-AB72-4020-926E-87FAEF266FF7}" name="ROLLING SUM OF SPDS" dataDxfId="128">
      <calculatedColumnFormula>SUMIFS($AU4:AU$1388,$Q4:Q$1388,"F")</calculatedColumnFormula>
    </tableColumn>
    <tableColumn id="60" xr3:uid="{8860A188-DBAE-4196-9C4B-B8E9D2A3A80F}" name="ROLLING SUM W" dataDxfId="127">
      <calculatedColumnFormula>SUMIFS($AU4:AU$1388,$P4:P$1388,"W")</calculatedColumnFormula>
    </tableColumn>
    <tableColumn id="61" xr3:uid="{12E3A0C2-FCDB-4CCE-ADC8-AFC94F9C5E21}" name="ROLLING SUM R" dataDxfId="126">
      <calculatedColumnFormula>SUMIFS($AU4:AU$1388,$P4:P$1388,"W")</calculatedColumnFormula>
    </tableColumn>
    <tableColumn id="62" xr3:uid="{7CE4B308-584C-45DD-96AB-06CE1C86D5EA}" name="M RS" dataDxfId="125">
      <calculatedColumnFormula>SUMIFS($AU4:AU$134,$AQ4:AQ$134,"M")</calculatedColumnFormula>
    </tableColumn>
    <tableColumn id="63" xr3:uid="{299BCA6F-A89E-4CA0-98F2-7B7D3B3C2745}" name="H RS" dataDxfId="124">
      <calculatedColumnFormula>SUMIFS($AU4:AU$134,$AQ4:AQ$134,"M")</calculatedColumnFormula>
    </tableColumn>
    <tableColumn id="64" xr3:uid="{E271A4D4-4FC7-431C-8720-0A8BD14803F8}" name="D RS" dataDxfId="123">
      <calculatedColumnFormula>SUMIFS($AU4:AU$134,$AQ4:AQ$134,"H")</calculatedColumnFormula>
    </tableColumn>
    <tableColumn id="65" xr3:uid="{FB3DABEF-BF16-4412-AD14-274BB8CD7391}" name="W RS" dataDxfId="122">
      <calculatedColumnFormula>SUMIFS($AU6:AU$134,$AQ6:AQ$134,"D")</calculatedColumnFormula>
    </tableColumn>
    <tableColumn id="66" xr3:uid="{5B3A1D2C-5A57-410D-88F0-526F174FAFEA}" name="Outright RS" dataDxfId="121">
      <calculatedColumnFormula>SUMIFS(#REF!,#REF!,"O")</calculatedColumnFormula>
    </tableColumn>
    <tableColumn id="67" xr3:uid="{FEEF7B15-5668-418F-A943-223F093F7502}" name="T RS" dataDxfId="120">
      <calculatedColumnFormula>SUMIFS($AU4:AU$134,$AA4:AA$134,"*")</calculatedColumnFormula>
    </tableColumn>
    <tableColumn id="68" xr3:uid="{42C6E40C-9EC6-4E04-A140-5D35811A8D03}" name="F RS" dataDxfId="119">
      <calculatedColumnFormula>SUMIFS($AU4:AU$134,$AA4:AA$134,"*")</calculatedColumnFormula>
    </tableColumn>
    <tableColumn id="69" xr3:uid="{9F09405B-2EEB-46A0-86A0-4CED2444B001}" name="C RS" dataDxfId="118">
      <calculatedColumnFormula>SUMIFS($AU4:AU$134,$AB4:AB$134,"*")</calculatedColumnFormula>
    </tableColumn>
    <tableColumn id="70" xr3:uid="{1A3C77F2-8D5D-4AD7-AB1D-42930F0B6D3C}" name="TF RS" dataDxfId="117">
      <calculatedColumnFormula>SUMIFS($AU4:AU$134,$AA4:AA$134,"*",$AB4:AB$134,"*")</calculatedColumnFormula>
    </tableColumn>
    <tableColumn id="71" xr3:uid="{FB6412F1-3D65-49C3-A2CF-3F5EDFD54D27}" name="TC RS" dataDxfId="116">
      <calculatedColumnFormula>SUMIFS($AU4:AU$134,$AA4:AA$134,"*",$AB4:AB$134,"*")</calculatedColumnFormula>
    </tableColumn>
    <tableColumn id="72" xr3:uid="{CEC479ED-A9AD-4BB1-910C-FD1DA6C43383}" name="FC RS" dataDxfId="115">
      <calculatedColumnFormula>SUMIFS($AU4:AU$134,$AA4:AA$134,"*",$AC4:AC$134,"*")</calculatedColumnFormula>
    </tableColumn>
    <tableColumn id="73" xr3:uid="{B88B4AF3-20D8-49C4-91EC-258EE9A52AB7}" name="RS F PNL/LOT" dataDxfId="114">
      <calculatedColumnFormula>SUMIFS($AU4:AU$1388,$Q4:Q$1388,"F")</calculatedColumnFormula>
    </tableColumn>
    <tableColumn id="74" xr3:uid="{59B2031C-A933-4BED-A24A-7A3ABE94EA2C}" name="RS S PNL/LOT" dataDxfId="113">
      <calculatedColumnFormula>SUMIFS($AU4:AU$1388,$Q4:Q$1388,"S")</calculatedColumnFormula>
    </tableColumn>
    <tableColumn id="75" xr3:uid="{B0F3A55E-CB1E-41C9-B5C3-DCC4F017895B}" name="RS O PNL/LOT" dataDxfId="112">
      <calculatedColumnFormula>SUMIFS($AU4:AU$1388,$Q4:Q$1388,"O")</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B13FC2D-F099-4B15-A394-984094C2173F}" name="Table2" displayName="Table2" ref="A5:X28" totalsRowShown="0" headerRowDxfId="104" dataDxfId="103" headerRowBorderDxfId="101" tableBorderDxfId="102">
  <autoFilter ref="A5:X28" xr:uid="{8B13FC2D-F099-4B15-A394-984094C2173F}"/>
  <tableColumns count="24">
    <tableColumn id="1" xr3:uid="{67FB27B5-CD7D-4530-A8A1-A12AE44285FE}" name="CATEGORY" dataDxfId="99" totalsRowDxfId="100"/>
    <tableColumn id="2" xr3:uid="{A3B75B1B-9EF5-406F-804B-6DE4B6B574C2}" name="TYPE" dataDxfId="97" totalsRowDxfId="98"/>
    <tableColumn id="3" xr3:uid="{4C6E5ACB-33E0-48D9-ABF3-92FDCAB83C75}" name="# ORDERS" dataDxfId="95" totalsRowDxfId="96">
      <calculatedColumnFormula>COUNTIFS(Journal_Live[MONTH],'PERFORMANCE ANALYSIS'!$A$3,Journal_Live[TECHNICAL],"*")</calculatedColumnFormula>
    </tableColumn>
    <tableColumn id="4" xr3:uid="{BC1C545D-85A5-4832-9DE1-01A18757F0F1}" name="TOTAL LOTS" dataDxfId="93" totalsRowDxfId="94">
      <calculatedColumnFormula>SUMIFS(Journal_Live[E QTY],Journal_Live[MONTH],'PERFORMANCE ANALYSIS'!$A$3,Journal_Live[TECHNICAL],"*")</calculatedColumnFormula>
    </tableColumn>
    <tableColumn id="5" xr3:uid="{1BBBBEB5-1876-408B-BD99-983D1287CABF}" name="AVG GAINS/LOT" dataDxfId="91" totalsRowDxfId="92">
      <calculatedColumnFormula>AVERAGEIFS(Journal_Live[PNL ($) SINGLE ORDER],Journal_Live[MONTH],'PERFORMANCE ANALYSIS'!$A$3,Journal_Live[W/L],"W",Journal_Live[TECHNICAL],"*")</calculatedColumnFormula>
    </tableColumn>
    <tableColumn id="6" xr3:uid="{9931C952-AD09-44ED-86FB-DF84530DD9AA}" name="TOTAL GAINS" dataDxfId="89" totalsRowDxfId="90">
      <calculatedColumnFormula>SUMIFS(Journal_Live[TOTAL PROFIT],Journal_Live[MONTH],'PERFORMANCE ANALYSIS'!$A$3,Journal_Live[W/L],"W",Journal_Live[TECHNICAL],"*")</calculatedColumnFormula>
    </tableColumn>
    <tableColumn id="7" xr3:uid="{2C5E9E55-7830-483D-A106-424323484063}" name="WIN%" dataDxfId="87" totalsRowDxfId="88">
      <calculatedColumnFormula>(COUNTIFS(Journal_Live[W/L],"W",Journal_Live[MONTH],'PERFORMANCE ANALYSIS'!$A$3,Journal_Live[TECHNICAL],"*"))/Table2[[#This Row],['# ORDERS]]</calculatedColumnFormula>
    </tableColumn>
    <tableColumn id="8" xr3:uid="{B27E4ABD-FF32-4B20-A587-D61324F8EEF2}" name="AVG LOSS/ LOT" dataDxfId="85" totalsRowDxfId="86">
      <calculatedColumnFormula>AVERAGEIFS(Journal_Live[PNL ($) SINGLE ORDER],Journal_Live[MONTH],'PERFORMANCE ANALYSIS'!$A$3,Journal_Live[W/L],"L",Journal_Live[TECHNICAL],"*")</calculatedColumnFormula>
    </tableColumn>
    <tableColumn id="9" xr3:uid="{DDD2CADD-495F-4786-8A17-E5C934AD6977}" name="TOTAL LOSS" dataDxfId="83" totalsRowDxfId="84">
      <calculatedColumnFormula>SUMIFS(Journal_Live[TOTAL PROFIT],Journal_Live[MONTH],'PERFORMANCE ANALYSIS'!$A$3,Journal_Live[W/L],"L",Journal_Live[TECHNICAL],"*")</calculatedColumnFormula>
    </tableColumn>
    <tableColumn id="10" xr3:uid="{22558177-A971-477E-B0DC-35CDCD9BD360}" name="LOSS%" dataDxfId="81" totalsRowDxfId="82">
      <calculatedColumnFormula>(COUNTIFS(Journal_Live[W/L],"L",Journal_Live[MONTH],'PERFORMANCE ANALYSIS'!$A$3,Journal_Live[TECHNICAL],"*"))/Table2[[#This Row],['# ORDERS]]</calculatedColumnFormula>
    </tableColumn>
    <tableColumn id="11" xr3:uid="{31475D39-7C28-4CA6-8240-A099EC19C9E7}" name="G/L" dataDxfId="79" totalsRowDxfId="80">
      <calculatedColumnFormula>IFERROR(Table2[[#This Row],[TOTAL GAINS]]/Table2[[#This Row],[TOTAL LOSS]],1)</calculatedColumnFormula>
    </tableColumn>
    <tableColumn id="12" xr3:uid="{9057571D-7CEC-48A5-A6C2-FDAA71F2E6D7}" name="NET P/L" dataDxfId="77" totalsRowDxfId="78">
      <calculatedColumnFormula>Table2[[#This Row],[TOTAL GAINS]]-Table2[[#This Row],[TOTAL LOSS]]</calculatedColumnFormula>
    </tableColumn>
    <tableColumn id="13" xr3:uid="{219D7ED0-CA69-41D1-B18B-23CB9A9BA539}" name="MODE CLIP SIZE" dataDxfId="75" totalsRowDxfId="76">
      <calculatedColumnFormula array="1">MODE(IF(Journal_Live[MONTH]='PERFORMANCE ANALYSIS'!$A$3,IF(Journal_Live[TECHNICAL]&lt;&gt;"",Journal_Live[E QTY])))</calculatedColumnFormula>
    </tableColumn>
    <tableColumn id="15" xr3:uid="{54665246-CCDA-4FD8-9A81-8416D6ECB42F}" name="MAX LOSS" dataDxfId="73" totalsRowDxfId="74">
      <calculatedColumnFormula array="1">MAX(IF(Journal_Live[MONTH]='PERFORMANCE ANALYSIS'!$A$3,IF(Journal_Live[TECHNICAL]&lt;&gt;"",Journal_Live[TOTAL PROFIT])))</calculatedColumnFormula>
    </tableColumn>
    <tableColumn id="16" xr3:uid="{728176E6-D3EF-4682-91A5-432F67A15FB0}" name="G/L per lot" dataDxfId="72">
      <calculatedColumnFormula>IFERROR(Table2[[#This Row],[AVG GAINS/LOT]]/Table2[[#This Row],[AVG LOSS/ LOT]],0)</calculatedColumnFormula>
    </tableColumn>
    <tableColumn id="18" xr3:uid="{5ADB0E3A-A110-4AA4-9889-A05DBA4DB89E}" name="W SCORE" dataDxfId="71">
      <calculatedColumnFormula>IFERROR((Table2[[#This Row],[AVG GAINS/LOT]]*Table2[[#This Row],[WIN%]]),1)</calculatedColumnFormula>
    </tableColumn>
    <tableColumn id="19" xr3:uid="{6D80B728-B27C-4D33-B3D6-1B9D1956D2A8}" name="L SCORE" dataDxfId="70">
      <calculatedColumnFormula>IFERROR((Table2[[#This Row],[AVG LOSS/ LOT]]*Table2[[#This Row],[LOSS%]]),1)</calculatedColumnFormula>
    </tableColumn>
    <tableColumn id="17" xr3:uid="{E9D95E31-F1F6-4681-854E-934AAE1C8A12}" name="SCORE1" dataDxfId="69">
      <calculatedColumnFormula>Table2[[#This Row],[W SCORE]]-Table2[[#This Row],[L SCORE]]</calculatedColumnFormula>
    </tableColumn>
    <tableColumn id="20" xr3:uid="{3976828F-37F1-4184-B7A4-6FE3BF992AF9}" name="LOTS/ORDERS" dataDxfId="68">
      <calculatedColumnFormula>IFERROR(Table2[[#This Row],[TOTAL LOTS]]/Table2[[#This Row],['# ORDERS]],0)</calculatedColumnFormula>
    </tableColumn>
    <tableColumn id="14" xr3:uid="{309A7A5F-1E61-4E00-AC54-EAB5E2687962}" name="efficiency" dataDxfId="67">
      <calculatedColumnFormula>IFERROR(Table2[[#This Row],[NET P/L]]/Table2[[#This Row],[TOTAL LOTS]],0)</calculatedColumnFormula>
    </tableColumn>
    <tableColumn id="21" xr3:uid="{3CB00AE8-BCA9-4A70-B660-2F47869C6FC6}" name="EFFICIENCY2" dataDxfId="66">
      <calculatedColumnFormula>IFERROR(Table2[[#This Row],[NET P/L]]/Table2[[#This Row],['# ORDERS]],0)</calculatedColumnFormula>
    </tableColumn>
    <tableColumn id="22" xr3:uid="{DA3625B6-F354-4D48-9A3F-90756A1011E7}" name="RT" dataDxfId="65"/>
    <tableColumn id="23" xr3:uid="{FA0241C4-8CD7-4B15-A819-E15DDCA29C3F}" name="RT%" dataDxfId="64"/>
    <tableColumn id="24" xr3:uid="{B21C9DB2-EC77-4AD7-B71D-1859F17C23C6}" name="NET PL%" dataDxfId="63">
      <calculatedColumnFormula>Table2[[#This Row],[NET P/L]]/AJ10</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B3E126-A5B5-490E-AD3B-5A000390515C}" name="Table3" displayName="Table3" ref="AN5:AY16" totalsRowShown="0" headerRowDxfId="62" dataDxfId="61" headerRowBorderDxfId="59" tableBorderDxfId="60">
  <autoFilter ref="AN5:AY16" xr:uid="{51B3E126-A5B5-490E-AD3B-5A000390515C}"/>
  <tableColumns count="12">
    <tableColumn id="1" xr3:uid="{784EF45F-9E0E-4E2F-8858-DA09B73B1C41}" name="CATEGORY" dataDxfId="58"/>
    <tableColumn id="2" xr3:uid="{F4B64B7A-2F64-4578-AA9D-946B8D002048}" name="TYPE" dataDxfId="57"/>
    <tableColumn id="3" xr3:uid="{7DC4C47F-0911-414F-B26D-CCF130501BCF}" name="ORDERS" dataDxfId="56"/>
    <tableColumn id="9" xr3:uid="{65ECCC1D-E60F-44C3-BB8F-F371356527AD}" name="TOTAL LOTS" dataDxfId="55"/>
    <tableColumn id="4" xr3:uid="{C5B18EA4-7198-45EB-A461-AB1F2F35CBDC}" name="TOTAL AMOUNT" dataDxfId="54"/>
    <tableColumn id="5" xr3:uid="{AC9729E9-9E0D-4F53-8ECD-8028182A6126}" name="UNIT AMOUNT" dataDxfId="53"/>
    <tableColumn id="11" xr3:uid="{5186CD66-FA29-4BBF-9529-C9D431D95133}" name="AVERAGE LOT" dataDxfId="52">
      <calculatedColumnFormula>IFERROR(Table3[[#This Row],[TOTAL LOTS]]/Table3[[#This Row],[ORDERS]],0)</calculatedColumnFormula>
    </tableColumn>
    <tableColumn id="10" xr3:uid="{BD6DEF14-4F16-4641-837F-6748C6BBCD41}" name="ORDERS2" dataDxfId="51"/>
    <tableColumn id="6" xr3:uid="{52F67797-24DC-49D9-83D0-7A537361FD66}" name="TOTAL LOTS2" dataDxfId="50"/>
    <tableColumn id="7" xr3:uid="{700C45FF-0934-4AE5-A5BC-9F105AC18103}" name="TOTAL AMOUNT3" dataDxfId="49"/>
    <tableColumn id="8" xr3:uid="{D385433D-C4D1-492F-AC45-44F248093355}" name="UNIT AMOUNT4" dataDxfId="48"/>
    <tableColumn id="12" xr3:uid="{735C421B-E629-45DB-BDEF-DE4630B08931}" name="AVERAGE LOT2" dataDxfId="47">
      <calculatedColumnFormula>IFERROR(Table3[[#This Row],[TOTAL LOTS2]]/Table3[[#This Row],[ORDERS2]],0)</calculatedColumnFormula>
    </tableColumn>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891AD"/>
      </a:accent1>
      <a:accent2>
        <a:srgbClr val="004561"/>
      </a:accent2>
      <a:accent3>
        <a:srgbClr val="FF6F31"/>
      </a:accent3>
      <a:accent4>
        <a:srgbClr val="1C7685"/>
      </a:accent4>
      <a:accent5>
        <a:srgbClr val="0F45A8"/>
      </a:accent5>
      <a:accent6>
        <a:srgbClr val="4CDC8B"/>
      </a:accent6>
      <a:hlink>
        <a:srgbClr val="0097A7"/>
      </a:hlink>
      <a:folHlink>
        <a:srgbClr val="0097A7"/>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investing.com/economic-calendar/cpi-1011" TargetMode="External"/><Relationship Id="rId21" Type="http://schemas.openxmlformats.org/officeDocument/2006/relationships/hyperlink" Target="https://www.investing.com/economic-calendar/core-cpi-56" TargetMode="External"/><Relationship Id="rId42" Type="http://schemas.openxmlformats.org/officeDocument/2006/relationships/hyperlink" Target="https://www.investing.com/economic-calendar/ism-manufacturing-pmi-173" TargetMode="External"/><Relationship Id="rId47" Type="http://schemas.openxmlformats.org/officeDocument/2006/relationships/hyperlink" Target="https://www.investing.com/economic-calendar/employment-change-94" TargetMode="External"/><Relationship Id="rId63" Type="http://schemas.openxmlformats.org/officeDocument/2006/relationships/hyperlink" Target="https://www.investing.com/economic-calendar/core-pce-price-index-905" TargetMode="External"/><Relationship Id="rId68" Type="http://schemas.openxmlformats.org/officeDocument/2006/relationships/hyperlink" Target="https://www.investing.com/economic-calendar/initial-jobless-claims-294" TargetMode="External"/><Relationship Id="rId2" Type="http://schemas.openxmlformats.org/officeDocument/2006/relationships/hyperlink" Target="https://www.investing.com/economic-calendar/core-cpi-56" TargetMode="External"/><Relationship Id="rId16" Type="http://schemas.openxmlformats.org/officeDocument/2006/relationships/hyperlink" Target="https://www.investing.com/economic-calendar/trimmed-mean-cpi-293" TargetMode="External"/><Relationship Id="rId29" Type="http://schemas.openxmlformats.org/officeDocument/2006/relationships/hyperlink" Target="https://www.investing.com/economic-calendar/nonfarm-payrolls-227" TargetMode="External"/><Relationship Id="rId11" Type="http://schemas.openxmlformats.org/officeDocument/2006/relationships/hyperlink" Target="https://www.investing.com/economic-calendar/unemployment-rate-302" TargetMode="External"/><Relationship Id="rId24" Type="http://schemas.openxmlformats.org/officeDocument/2006/relationships/hyperlink" Target="https://www.investing.com/economic-calendar/retail-sales-256" TargetMode="External"/><Relationship Id="rId32" Type="http://schemas.openxmlformats.org/officeDocument/2006/relationships/hyperlink" Target="https://www.investing.com/economic-calendar/cpi-69" TargetMode="External"/><Relationship Id="rId37" Type="http://schemas.openxmlformats.org/officeDocument/2006/relationships/hyperlink" Target="https://www.investing.com/economic-calendar/employment-change-94" TargetMode="External"/><Relationship Id="rId40" Type="http://schemas.openxmlformats.org/officeDocument/2006/relationships/hyperlink" Target="https://www.investing.com/economic-calendar/gdp-375" TargetMode="External"/><Relationship Id="rId45" Type="http://schemas.openxmlformats.org/officeDocument/2006/relationships/hyperlink" Target="https://www.investing.com/economic-calendar/ism-non-manufacturing-pmi-176" TargetMode="External"/><Relationship Id="rId53" Type="http://schemas.openxmlformats.org/officeDocument/2006/relationships/hyperlink" Target="https://www.investing.com/economic-calendar/cpi-73" TargetMode="External"/><Relationship Id="rId58" Type="http://schemas.openxmlformats.org/officeDocument/2006/relationships/hyperlink" Target="https://www.investing.com/economic-calendar/wage-price-index-336" TargetMode="External"/><Relationship Id="rId66" Type="http://schemas.openxmlformats.org/officeDocument/2006/relationships/hyperlink" Target="https://www.investing.com/economic-calendar/building-approvals-22" TargetMode="External"/><Relationship Id="rId74" Type="http://schemas.openxmlformats.org/officeDocument/2006/relationships/printerSettings" Target="../printerSettings/printerSettings1.bin"/><Relationship Id="rId5" Type="http://schemas.openxmlformats.org/officeDocument/2006/relationships/hyperlink" Target="https://www.investing.com/economic-calendar/initial-jobless-claims-294" TargetMode="External"/><Relationship Id="rId61" Type="http://schemas.openxmlformats.org/officeDocument/2006/relationships/hyperlink" Target="https://www.investing.com/economic-calendar/retail-sales-262" TargetMode="External"/><Relationship Id="rId19" Type="http://schemas.openxmlformats.org/officeDocument/2006/relationships/hyperlink" Target="https://www.investing.com/economic-calendar/unemployment-rate-300" TargetMode="External"/><Relationship Id="rId14" Type="http://schemas.openxmlformats.org/officeDocument/2006/relationships/hyperlink" Target="https://www.investing.com/economic-calendar/cpi-73" TargetMode="External"/><Relationship Id="rId22" Type="http://schemas.openxmlformats.org/officeDocument/2006/relationships/hyperlink" Target="https://www.investing.com/economic-calendar/cpi-69" TargetMode="External"/><Relationship Id="rId27" Type="http://schemas.openxmlformats.org/officeDocument/2006/relationships/hyperlink" Target="https://www.investing.com/economic-calendar/gdp-124" TargetMode="External"/><Relationship Id="rId30" Type="http://schemas.openxmlformats.org/officeDocument/2006/relationships/hyperlink" Target="https://www.investing.com/economic-calendar/unemployment-rate-300" TargetMode="External"/><Relationship Id="rId35" Type="http://schemas.openxmlformats.org/officeDocument/2006/relationships/hyperlink" Target="https://www.investing.com/economic-calendar/ppi-238" TargetMode="External"/><Relationship Id="rId43" Type="http://schemas.openxmlformats.org/officeDocument/2006/relationships/hyperlink" Target="https://www.investing.com/economic-calendar/jolts-job-openings-1057" TargetMode="External"/><Relationship Id="rId48" Type="http://schemas.openxmlformats.org/officeDocument/2006/relationships/hyperlink" Target="https://www.investing.com/economic-calendar/unemployment-rate-302" TargetMode="External"/><Relationship Id="rId56" Type="http://schemas.openxmlformats.org/officeDocument/2006/relationships/hyperlink" Target="https://www.investing.com/economic-calendar/core-cpi-317" TargetMode="External"/><Relationship Id="rId64" Type="http://schemas.openxmlformats.org/officeDocument/2006/relationships/hyperlink" Target="https://www.investing.com/economic-calendar/pce-price-index-906" TargetMode="External"/><Relationship Id="rId69" Type="http://schemas.openxmlformats.org/officeDocument/2006/relationships/hyperlink" Target="https://www.investing.com/economic-calendar/ism-manufacturing-pmi-173" TargetMode="External"/><Relationship Id="rId8" Type="http://schemas.openxmlformats.org/officeDocument/2006/relationships/hyperlink" Target="https://www.investing.com/economic-calendar/retail-sales-256" TargetMode="External"/><Relationship Id="rId51" Type="http://schemas.openxmlformats.org/officeDocument/2006/relationships/hyperlink" Target="https://www.investing.com/economic-calendar/cb-consumer-confidence-48" TargetMode="External"/><Relationship Id="rId72" Type="http://schemas.openxmlformats.org/officeDocument/2006/relationships/hyperlink" Target="https://www.investing.com/economic-calendar/national-core-cpi-344" TargetMode="External"/><Relationship Id="rId3" Type="http://schemas.openxmlformats.org/officeDocument/2006/relationships/hyperlink" Target="https://www.investing.com/economic-calendar/cpi-69" TargetMode="External"/><Relationship Id="rId12" Type="http://schemas.openxmlformats.org/officeDocument/2006/relationships/hyperlink" Target="https://www.investing.com/economic-calendar/participation-rate-1051" TargetMode="External"/><Relationship Id="rId17" Type="http://schemas.openxmlformats.org/officeDocument/2006/relationships/hyperlink" Target="https://www.investing.com/economic-calendar/retail-sales-262" TargetMode="External"/><Relationship Id="rId25" Type="http://schemas.openxmlformats.org/officeDocument/2006/relationships/hyperlink" Target="https://www.investing.com/economic-calendar/gdp-375" TargetMode="External"/><Relationship Id="rId33" Type="http://schemas.openxmlformats.org/officeDocument/2006/relationships/hyperlink" Target="https://www.investing.com/economic-calendar/cpi-733" TargetMode="External"/><Relationship Id="rId38" Type="http://schemas.openxmlformats.org/officeDocument/2006/relationships/hyperlink" Target="https://edition.cnn.com/markets/fear-and-greed" TargetMode="External"/><Relationship Id="rId46" Type="http://schemas.openxmlformats.org/officeDocument/2006/relationships/hyperlink" Target="https://www.investing.com/economic-calendar/westpac-consumer-sentiment-364" TargetMode="External"/><Relationship Id="rId59" Type="http://schemas.openxmlformats.org/officeDocument/2006/relationships/hyperlink" Target="https://www.investing.com/economic-calendar/cpi-67" TargetMode="External"/><Relationship Id="rId67" Type="http://schemas.openxmlformats.org/officeDocument/2006/relationships/hyperlink" Target="https://www.investing.com/economic-calendar/chinese-gdp-461" TargetMode="External"/><Relationship Id="rId20" Type="http://schemas.openxmlformats.org/officeDocument/2006/relationships/hyperlink" Target="https://www.investing.com/economic-calendar/retail-trade-1283" TargetMode="External"/><Relationship Id="rId41" Type="http://schemas.openxmlformats.org/officeDocument/2006/relationships/hyperlink" Target="https://www.investing.com/economic-calendar/retail-sales-262" TargetMode="External"/><Relationship Id="rId54" Type="http://schemas.openxmlformats.org/officeDocument/2006/relationships/hyperlink" Target="https://www.investing.com/economic-calendar/trimmed-mean-cpi-293" TargetMode="External"/><Relationship Id="rId62" Type="http://schemas.openxmlformats.org/officeDocument/2006/relationships/hyperlink" Target="https://www.investing.com/economic-calendar/core-pce-price-index-61" TargetMode="External"/><Relationship Id="rId70" Type="http://schemas.openxmlformats.org/officeDocument/2006/relationships/hyperlink" Target="https://www.investing.com/economic-calendar/services-pmi-1062" TargetMode="External"/><Relationship Id="rId75" Type="http://schemas.openxmlformats.org/officeDocument/2006/relationships/table" Target="../tables/table1.xml"/><Relationship Id="rId1" Type="http://schemas.openxmlformats.org/officeDocument/2006/relationships/hyperlink" Target="https://www.investing.com/economic-calendar/nab-business-confidence-217" TargetMode="External"/><Relationship Id="rId6" Type="http://schemas.openxmlformats.org/officeDocument/2006/relationships/hyperlink" Target="https://www.investing.com/economic-calendar/westpac-consumer-sentiment-364" TargetMode="External"/><Relationship Id="rId15" Type="http://schemas.openxmlformats.org/officeDocument/2006/relationships/hyperlink" Target="https://www.investing.com/economic-calendar/cpi-1011" TargetMode="External"/><Relationship Id="rId23" Type="http://schemas.openxmlformats.org/officeDocument/2006/relationships/hyperlink" Target="https://www.investing.com/economic-calendar/core-retail-sales-63" TargetMode="External"/><Relationship Id="rId28" Type="http://schemas.openxmlformats.org/officeDocument/2006/relationships/hyperlink" Target="https://www.investing.com/economic-calendar/adp-nonfarm-employment-change-1" TargetMode="External"/><Relationship Id="rId36" Type="http://schemas.openxmlformats.org/officeDocument/2006/relationships/hyperlink" Target="https://www.investing.com/economic-calendar/retail-sales-256" TargetMode="External"/><Relationship Id="rId49" Type="http://schemas.openxmlformats.org/officeDocument/2006/relationships/hyperlink" Target="https://www.investing.com/economic-calendar/michigan-inflation-expectations-389" TargetMode="External"/><Relationship Id="rId57" Type="http://schemas.openxmlformats.org/officeDocument/2006/relationships/hyperlink" Target="https://www.investing.com/economic-calendar/retail-sales-262" TargetMode="External"/><Relationship Id="rId10" Type="http://schemas.openxmlformats.org/officeDocument/2006/relationships/hyperlink" Target="https://www.investing.com/economic-calendar/employment-change-94" TargetMode="External"/><Relationship Id="rId31" Type="http://schemas.openxmlformats.org/officeDocument/2006/relationships/hyperlink" Target="https://www.investing.com/economic-calendar/core-cpi-56" TargetMode="External"/><Relationship Id="rId44" Type="http://schemas.openxmlformats.org/officeDocument/2006/relationships/hyperlink" Target="https://www.investing.com/economic-calendar/adp-nonfarm-employment-change-1" TargetMode="External"/><Relationship Id="rId52" Type="http://schemas.openxmlformats.org/officeDocument/2006/relationships/hyperlink" Target="https://www.investing.com/economic-calendar/new-home-sales-222" TargetMode="External"/><Relationship Id="rId60" Type="http://schemas.openxmlformats.org/officeDocument/2006/relationships/hyperlink" Target="https://www.investing.com/economic-calendar/retail-sales-262" TargetMode="External"/><Relationship Id="rId65" Type="http://schemas.openxmlformats.org/officeDocument/2006/relationships/hyperlink" Target="https://www.investing.com/economic-calendar/michigan-consumer-sentiment-320" TargetMode="External"/><Relationship Id="rId73" Type="http://schemas.openxmlformats.org/officeDocument/2006/relationships/hyperlink" Target="https://www.investing.com/economic-calendar/weighted-cpi-2215" TargetMode="External"/><Relationship Id="rId4" Type="http://schemas.openxmlformats.org/officeDocument/2006/relationships/hyperlink" Target="https://www.investing.com/economic-calendar/cpi-733" TargetMode="External"/><Relationship Id="rId9" Type="http://schemas.openxmlformats.org/officeDocument/2006/relationships/hyperlink" Target="https://www.investing.com/economic-calendar/ppi-238" TargetMode="External"/><Relationship Id="rId13" Type="http://schemas.openxmlformats.org/officeDocument/2006/relationships/hyperlink" Target="https://www.investing.com/economic-calendar/initial-jobless-claims-294" TargetMode="External"/><Relationship Id="rId18" Type="http://schemas.openxmlformats.org/officeDocument/2006/relationships/hyperlink" Target="https://www.investing.com/economic-calendar/nonfarm-payrolls-227" TargetMode="External"/><Relationship Id="rId39" Type="http://schemas.openxmlformats.org/officeDocument/2006/relationships/hyperlink" Target="https://edition.cnn.com/markets/fear-and-greed" TargetMode="External"/><Relationship Id="rId34" Type="http://schemas.openxmlformats.org/officeDocument/2006/relationships/hyperlink" Target="https://www.investing.com/economic-calendar/core-retail-sales-63" TargetMode="External"/><Relationship Id="rId50" Type="http://schemas.openxmlformats.org/officeDocument/2006/relationships/hyperlink" Target="https://www.investing.com/economic-calendar/retail-sales-258" TargetMode="External"/><Relationship Id="rId55" Type="http://schemas.openxmlformats.org/officeDocument/2006/relationships/hyperlink" Target="https://www.investing.com/economic-calendar/cpi-68" TargetMode="External"/><Relationship Id="rId7" Type="http://schemas.openxmlformats.org/officeDocument/2006/relationships/hyperlink" Target="https://www.investing.com/economic-calendar/core-retail-sales-63" TargetMode="External"/><Relationship Id="rId71" Type="http://schemas.openxmlformats.org/officeDocument/2006/relationships/hyperlink" Target="https://www.investing.com/economic-calendar/ism-manufacturing-pmi-173"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8" Type="http://schemas.openxmlformats.org/officeDocument/2006/relationships/hyperlink" Target="https://library.tradingtechnologies.com/trade/as-spread-configuration-order-execution.html" TargetMode="External"/><Relationship Id="rId13" Type="http://schemas.openxmlformats.org/officeDocument/2006/relationships/hyperlink" Target="https://www.investing.com/economic-calendar/cpi-69" TargetMode="External"/><Relationship Id="rId18" Type="http://schemas.openxmlformats.org/officeDocument/2006/relationships/hyperlink" Target="https://www.investing.com/economic-calendar/initial-jobless-claims-294" TargetMode="External"/><Relationship Id="rId26" Type="http://schemas.openxmlformats.org/officeDocument/2006/relationships/hyperlink" Target="https://www.investing.com/economic-calendar/gdp-375" TargetMode="External"/><Relationship Id="rId3" Type="http://schemas.openxmlformats.org/officeDocument/2006/relationships/hyperlink" Target="https://www.investing.com/economic-calendar/retail-sales-262" TargetMode="External"/><Relationship Id="rId21" Type="http://schemas.openxmlformats.org/officeDocument/2006/relationships/hyperlink" Target="https://www.investing.com/economic-calendar/cpi-68" TargetMode="External"/><Relationship Id="rId7" Type="http://schemas.openxmlformats.org/officeDocument/2006/relationships/hyperlink" Target="https://library.tradingtechnologies.com/trade/as-spread-configuration-order-execution.html" TargetMode="External"/><Relationship Id="rId12" Type="http://schemas.openxmlformats.org/officeDocument/2006/relationships/hyperlink" Target="https://www.investing.com/economic-calendar/cpi-733" TargetMode="External"/><Relationship Id="rId17" Type="http://schemas.openxmlformats.org/officeDocument/2006/relationships/hyperlink" Target="https://www.investing.com/economic-calendar/core-retail-sales-63" TargetMode="External"/><Relationship Id="rId25" Type="http://schemas.openxmlformats.org/officeDocument/2006/relationships/hyperlink" Target="https://www.investing.com/economic-calendar/nab-business-confidence-217" TargetMode="External"/><Relationship Id="rId2" Type="http://schemas.openxmlformats.org/officeDocument/2006/relationships/hyperlink" Target="https://www.investing.com/economic-calendar/unemployment-rate-302" TargetMode="External"/><Relationship Id="rId16" Type="http://schemas.openxmlformats.org/officeDocument/2006/relationships/hyperlink" Target="https://www.investing.com/economic-calendar/unemployment-rate-302" TargetMode="External"/><Relationship Id="rId20" Type="http://schemas.openxmlformats.org/officeDocument/2006/relationships/hyperlink" Target="https://www.investing.com/economic-calendar/cpi-68" TargetMode="External"/><Relationship Id="rId1" Type="http://schemas.openxmlformats.org/officeDocument/2006/relationships/hyperlink" Target="https://www.investing.com/economic-calendar/employment-change-94" TargetMode="External"/><Relationship Id="rId6" Type="http://schemas.openxmlformats.org/officeDocument/2006/relationships/hyperlink" Target="https://www.investing.com/economic-calendar/retail-sales-262" TargetMode="External"/><Relationship Id="rId11" Type="http://schemas.openxmlformats.org/officeDocument/2006/relationships/hyperlink" Target="https://www.investing.com/economic-calendar/interest-rate-decision-171" TargetMode="External"/><Relationship Id="rId24" Type="http://schemas.openxmlformats.org/officeDocument/2006/relationships/hyperlink" Target="https://www.investing.com/economic-calendar/employment-change-95" TargetMode="External"/><Relationship Id="rId5" Type="http://schemas.openxmlformats.org/officeDocument/2006/relationships/hyperlink" Target="https://www.investing.com/economic-calendar/retail-sales-262" TargetMode="External"/><Relationship Id="rId15" Type="http://schemas.openxmlformats.org/officeDocument/2006/relationships/hyperlink" Target="https://www.investing.com/economic-calendar/cpi-67" TargetMode="External"/><Relationship Id="rId23" Type="http://schemas.openxmlformats.org/officeDocument/2006/relationships/hyperlink" Target="https://www.investing.com/economic-calendar/unemployment-rate-300" TargetMode="External"/><Relationship Id="rId10" Type="http://schemas.openxmlformats.org/officeDocument/2006/relationships/hyperlink" Target="https://www.investing.com/economic-calendar/interest-rate-decision-171" TargetMode="External"/><Relationship Id="rId19" Type="http://schemas.openxmlformats.org/officeDocument/2006/relationships/hyperlink" Target="https://www.investing.com/economic-calendar/retail-sales-256" TargetMode="External"/><Relationship Id="rId4" Type="http://schemas.openxmlformats.org/officeDocument/2006/relationships/hyperlink" Target="https://www.investing.com/economic-calendar/retail-sales-262" TargetMode="External"/><Relationship Id="rId9" Type="http://schemas.openxmlformats.org/officeDocument/2006/relationships/hyperlink" Target="https://www.investing.com/economic-calendar/interest-rate-decision-171" TargetMode="External"/><Relationship Id="rId14" Type="http://schemas.openxmlformats.org/officeDocument/2006/relationships/hyperlink" Target="https://www.investing.com/economic-calendar/core-cpi-56" TargetMode="External"/><Relationship Id="rId22" Type="http://schemas.openxmlformats.org/officeDocument/2006/relationships/hyperlink" Target="https://www.investing.com/economic-calendar/nonfarm-payrolls-227"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A2656"/>
  <sheetViews>
    <sheetView tabSelected="1" zoomScale="70" zoomScaleNormal="70" workbookViewId="0">
      <pane xSplit="7" ySplit="2" topLeftCell="BK2533" activePane="bottomRight" state="frozen"/>
      <selection pane="bottomRight" activeCell="BG2560" sqref="BG2560:BZ2560"/>
      <selection pane="bottomLeft" activeCell="A3" sqref="A3"/>
      <selection pane="topRight" activeCell="G1" sqref="G1"/>
    </sheetView>
  </sheetViews>
  <sheetFormatPr defaultColWidth="12.5703125" defaultRowHeight="15.75" customHeight="1"/>
  <cols>
    <col min="1" max="1" width="14.85546875" bestFit="1" customWidth="1"/>
    <col min="2" max="2" width="12.7109375" customWidth="1"/>
    <col min="3" max="3" width="12" customWidth="1"/>
    <col min="4" max="4" width="11.5703125" customWidth="1"/>
    <col min="5" max="5" width="15.85546875" customWidth="1"/>
    <col min="6" max="6" width="15.7109375" customWidth="1"/>
    <col min="7" max="7" width="20.5703125" customWidth="1"/>
    <col min="8" max="8" width="4.42578125" customWidth="1"/>
    <col min="9" max="9" width="4.140625" customWidth="1"/>
    <col min="10" max="10" width="4.42578125" customWidth="1"/>
    <col min="11" max="11" width="6.42578125" customWidth="1"/>
    <col min="12" max="13" width="4.140625" customWidth="1"/>
    <col min="14" max="14" width="4" customWidth="1"/>
    <col min="15" max="15" width="5.85546875" customWidth="1"/>
    <col min="16" max="16" width="6" customWidth="1"/>
    <col min="17" max="17" width="7.42578125" customWidth="1"/>
    <col min="18" max="19" width="8.5703125" customWidth="1"/>
    <col min="20" max="20" width="8.7109375" customWidth="1"/>
    <col min="21" max="21" width="6.28515625" customWidth="1"/>
    <col min="22" max="22" width="6.140625" customWidth="1"/>
    <col min="23" max="23" width="7.42578125" customWidth="1"/>
    <col min="24" max="24" width="10.28515625" customWidth="1"/>
    <col min="25" max="26" width="8.5703125" customWidth="1"/>
    <col min="27" max="27" width="27.5703125" customWidth="1"/>
    <col min="28" max="28" width="29" customWidth="1"/>
    <col min="29" max="29" width="27.28515625" customWidth="1"/>
    <col min="30" max="30" width="9.140625" customWidth="1"/>
    <col min="31" max="31" width="14.7109375" customWidth="1"/>
    <col min="32" max="32" width="11.28515625" customWidth="1"/>
    <col min="33" max="33" width="15" customWidth="1"/>
    <col min="34" max="34" width="16.28515625" customWidth="1"/>
    <col min="35" max="35" width="17.28515625" customWidth="1"/>
    <col min="36" max="36" width="21.140625" customWidth="1"/>
    <col min="37" max="37" width="20" customWidth="1"/>
    <col min="38" max="38" width="19.140625" customWidth="1"/>
    <col min="39" max="39" width="18.140625" customWidth="1"/>
    <col min="40" max="40" width="14.85546875" customWidth="1"/>
    <col min="41" max="41" width="19.140625" customWidth="1"/>
    <col min="42" max="42" width="8.7109375" customWidth="1"/>
    <col min="43" max="43" width="7" customWidth="1"/>
    <col min="44" max="44" width="15.5703125" customWidth="1"/>
    <col min="45" max="45" width="15.140625" customWidth="1"/>
    <col min="46" max="46" width="11.7109375" customWidth="1"/>
    <col min="47" max="47" width="17.5703125" customWidth="1"/>
    <col min="48" max="48" width="10.5703125" customWidth="1"/>
    <col min="49" max="49" width="7.28515625" customWidth="1"/>
    <col min="50" max="50" width="30" customWidth="1"/>
    <col min="51" max="51" width="25.28515625" customWidth="1"/>
    <col min="52" max="52" width="26.140625" customWidth="1"/>
    <col min="53" max="53" width="21.85546875" customWidth="1"/>
    <col min="54" max="54" width="31.42578125" customWidth="1"/>
    <col min="55" max="55" width="27.42578125" customWidth="1"/>
    <col min="56" max="56" width="34.42578125" customWidth="1"/>
    <col min="57" max="57" width="35.7109375" customWidth="1"/>
    <col min="58" max="58" width="36.5703125" customWidth="1"/>
  </cols>
  <sheetData>
    <row r="1" spans="1:78" ht="23.25">
      <c r="A1" s="671" t="s">
        <v>0</v>
      </c>
      <c r="B1" s="672"/>
      <c r="C1" s="672"/>
      <c r="D1" s="672"/>
      <c r="E1" s="672"/>
      <c r="F1" s="672"/>
      <c r="G1" s="528" t="s">
        <v>1</v>
      </c>
      <c r="H1" s="673" t="s">
        <v>2</v>
      </c>
      <c r="I1" s="696"/>
      <c r="J1" s="697"/>
      <c r="K1" s="148" t="s">
        <v>3</v>
      </c>
      <c r="L1" s="674" t="s">
        <v>4</v>
      </c>
      <c r="M1" s="696"/>
      <c r="N1" s="697"/>
      <c r="O1" s="669" t="s">
        <v>5</v>
      </c>
      <c r="P1" s="670"/>
      <c r="Q1" s="670"/>
      <c r="R1" s="670"/>
      <c r="S1" s="670"/>
      <c r="T1" s="670"/>
      <c r="U1" s="670"/>
      <c r="V1" s="670"/>
      <c r="W1" s="670"/>
      <c r="X1" s="670"/>
      <c r="Y1" s="670"/>
      <c r="Z1" s="675"/>
      <c r="AA1" s="669" t="s">
        <v>6</v>
      </c>
      <c r="AB1" s="670"/>
      <c r="AC1" s="675"/>
      <c r="AD1" s="676" t="s">
        <v>7</v>
      </c>
      <c r="AE1" s="677"/>
      <c r="AF1" s="677"/>
      <c r="AG1" s="677"/>
      <c r="AH1" s="677"/>
      <c r="AI1" s="677"/>
      <c r="AJ1" s="677"/>
      <c r="AK1" s="677"/>
      <c r="AL1" s="677"/>
      <c r="AM1" s="677"/>
      <c r="AN1" s="677"/>
      <c r="AO1" s="678"/>
      <c r="AP1" s="679" t="s">
        <v>8</v>
      </c>
      <c r="AQ1" s="680"/>
      <c r="AR1" s="680"/>
      <c r="AS1" s="680"/>
      <c r="AT1" s="680"/>
      <c r="AU1" s="680"/>
      <c r="AV1" s="680"/>
      <c r="AW1" s="681"/>
      <c r="AX1" s="679" t="s">
        <v>9</v>
      </c>
      <c r="AY1" s="680"/>
      <c r="AZ1" s="681"/>
      <c r="BA1" s="669" t="s">
        <v>10</v>
      </c>
      <c r="BB1" s="670"/>
      <c r="BC1" s="675"/>
      <c r="BD1" s="669" t="s">
        <v>11</v>
      </c>
      <c r="BE1" s="670"/>
      <c r="BF1" s="675"/>
      <c r="BG1" s="669" t="s">
        <v>12</v>
      </c>
      <c r="BH1" s="670"/>
      <c r="BI1" s="670"/>
      <c r="BJ1" s="670"/>
      <c r="BK1" s="670"/>
      <c r="BL1" s="670"/>
      <c r="BM1" s="670"/>
      <c r="BN1" s="670"/>
      <c r="BO1" s="670"/>
      <c r="BP1" s="670"/>
      <c r="BQ1" s="670"/>
      <c r="BR1" s="670"/>
      <c r="BS1" s="670"/>
      <c r="BT1" s="670"/>
      <c r="BU1" s="670"/>
      <c r="BV1" s="670"/>
      <c r="BW1" s="670"/>
      <c r="BX1" s="670"/>
      <c r="BY1" s="670"/>
      <c r="BZ1" s="670"/>
    </row>
    <row r="2" spans="1:78" ht="12.75">
      <c r="A2" s="149" t="s">
        <v>13</v>
      </c>
      <c r="B2" s="149" t="s">
        <v>14</v>
      </c>
      <c r="C2" s="149" t="s">
        <v>15</v>
      </c>
      <c r="D2" s="82" t="s">
        <v>16</v>
      </c>
      <c r="E2" s="82" t="s">
        <v>17</v>
      </c>
      <c r="F2" s="82" t="s">
        <v>18</v>
      </c>
      <c r="G2" s="83" t="s">
        <v>19</v>
      </c>
      <c r="H2" s="149" t="s">
        <v>20</v>
      </c>
      <c r="I2" s="149" t="s">
        <v>21</v>
      </c>
      <c r="J2" s="149" t="s">
        <v>22</v>
      </c>
      <c r="K2" s="150" t="s">
        <v>3</v>
      </c>
      <c r="L2" s="82" t="s">
        <v>23</v>
      </c>
      <c r="M2" s="82" t="s">
        <v>24</v>
      </c>
      <c r="N2" s="82" t="s">
        <v>25</v>
      </c>
      <c r="O2" s="151" t="s">
        <v>26</v>
      </c>
      <c r="P2" s="151" t="s">
        <v>27</v>
      </c>
      <c r="Q2" s="586" t="s">
        <v>28</v>
      </c>
      <c r="R2" s="151" t="s">
        <v>29</v>
      </c>
      <c r="S2" s="151" t="s">
        <v>30</v>
      </c>
      <c r="T2" s="151" t="s">
        <v>31</v>
      </c>
      <c r="U2" s="586" t="s">
        <v>32</v>
      </c>
      <c r="V2" s="586" t="s">
        <v>33</v>
      </c>
      <c r="W2" s="586" t="s">
        <v>34</v>
      </c>
      <c r="X2" s="586" t="s">
        <v>35</v>
      </c>
      <c r="Y2" s="151" t="s">
        <v>36</v>
      </c>
      <c r="Z2" s="151" t="s">
        <v>37</v>
      </c>
      <c r="AA2" s="82" t="s">
        <v>38</v>
      </c>
      <c r="AB2" s="82" t="s">
        <v>39</v>
      </c>
      <c r="AC2" s="82" t="s">
        <v>40</v>
      </c>
      <c r="AD2" s="152" t="s">
        <v>41</v>
      </c>
      <c r="AE2" s="82" t="s">
        <v>42</v>
      </c>
      <c r="AF2" s="153" t="s">
        <v>43</v>
      </c>
      <c r="AG2" s="82" t="s">
        <v>44</v>
      </c>
      <c r="AH2" s="82" t="s">
        <v>45</v>
      </c>
      <c r="AI2" s="82" t="s">
        <v>46</v>
      </c>
      <c r="AJ2" s="153" t="s">
        <v>47</v>
      </c>
      <c r="AK2" s="154" t="s">
        <v>48</v>
      </c>
      <c r="AL2" s="623" t="s">
        <v>49</v>
      </c>
      <c r="AM2" s="623" t="s">
        <v>50</v>
      </c>
      <c r="AN2" s="82" t="s">
        <v>51</v>
      </c>
      <c r="AO2" s="82" t="s">
        <v>52</v>
      </c>
      <c r="AP2" s="82" t="s">
        <v>53</v>
      </c>
      <c r="AQ2" s="82" t="s">
        <v>54</v>
      </c>
      <c r="AR2" s="149" t="s">
        <v>55</v>
      </c>
      <c r="AS2" s="84" t="s">
        <v>56</v>
      </c>
      <c r="AT2" s="82" t="s">
        <v>57</v>
      </c>
      <c r="AU2" s="82" t="s">
        <v>58</v>
      </c>
      <c r="AV2" s="155" t="s">
        <v>59</v>
      </c>
      <c r="AW2" s="83" t="s">
        <v>60</v>
      </c>
      <c r="AX2" s="82" t="s">
        <v>61</v>
      </c>
      <c r="AY2" s="82" t="s">
        <v>62</v>
      </c>
      <c r="AZ2" s="82" t="s">
        <v>63</v>
      </c>
      <c r="BA2" s="82" t="s">
        <v>64</v>
      </c>
      <c r="BB2" s="82" t="s">
        <v>65</v>
      </c>
      <c r="BC2" s="82" t="s">
        <v>66</v>
      </c>
      <c r="BD2" s="82" t="s">
        <v>67</v>
      </c>
      <c r="BE2" s="82" t="s">
        <v>68</v>
      </c>
      <c r="BF2" s="82" t="s">
        <v>69</v>
      </c>
      <c r="BG2" s="389" t="s">
        <v>70</v>
      </c>
      <c r="BH2" s="390" t="s">
        <v>71</v>
      </c>
      <c r="BI2" s="390" t="s">
        <v>72</v>
      </c>
      <c r="BJ2" s="390" t="s">
        <v>73</v>
      </c>
      <c r="BK2" s="512" t="s">
        <v>74</v>
      </c>
      <c r="BL2" s="511" t="s">
        <v>75</v>
      </c>
      <c r="BM2" s="389" t="s">
        <v>76</v>
      </c>
      <c r="BN2" s="389" t="s">
        <v>77</v>
      </c>
      <c r="BO2" s="389" t="s">
        <v>78</v>
      </c>
      <c r="BP2" s="389" t="s">
        <v>79</v>
      </c>
      <c r="BQ2" s="389" t="s">
        <v>80</v>
      </c>
      <c r="BR2" s="389" t="s">
        <v>81</v>
      </c>
      <c r="BS2" s="389" t="s">
        <v>82</v>
      </c>
      <c r="BT2" s="389" t="s">
        <v>83</v>
      </c>
      <c r="BU2" s="389" t="s">
        <v>84</v>
      </c>
      <c r="BV2" s="389" t="s">
        <v>85</v>
      </c>
      <c r="BW2" s="389" t="s">
        <v>86</v>
      </c>
      <c r="BX2" s="389" t="s">
        <v>87</v>
      </c>
      <c r="BY2" s="389" t="s">
        <v>88</v>
      </c>
      <c r="BZ2" s="389" t="s">
        <v>89</v>
      </c>
    </row>
    <row r="3" spans="1:78" ht="18" customHeight="1">
      <c r="A3" s="156" t="s">
        <v>90</v>
      </c>
      <c r="B3" s="156"/>
      <c r="C3" s="157"/>
      <c r="D3" s="157"/>
      <c r="E3" s="158"/>
      <c r="F3" s="159"/>
      <c r="G3" s="160"/>
      <c r="H3" s="157"/>
      <c r="I3" s="157"/>
      <c r="J3" s="157"/>
      <c r="K3" s="160"/>
      <c r="L3" s="157"/>
      <c r="M3" s="157"/>
      <c r="N3" s="157"/>
      <c r="O3" s="160"/>
      <c r="P3" s="160"/>
      <c r="Q3" s="160"/>
      <c r="R3" s="160"/>
      <c r="S3" s="160"/>
      <c r="T3" s="160"/>
      <c r="U3" s="160"/>
      <c r="V3" s="160"/>
      <c r="W3" s="160"/>
      <c r="X3" s="160"/>
      <c r="Y3" s="160"/>
      <c r="Z3" s="160"/>
      <c r="AA3" s="157"/>
      <c r="AB3" s="157"/>
      <c r="AC3" s="157"/>
      <c r="AD3" s="647"/>
      <c r="AE3" s="157"/>
      <c r="AF3" s="157"/>
      <c r="AG3" s="157"/>
      <c r="AH3" s="157"/>
      <c r="AI3" s="157"/>
      <c r="AJ3" s="638"/>
      <c r="AK3" s="157"/>
      <c r="AL3" s="157"/>
      <c r="AM3" s="157"/>
      <c r="AN3" s="624"/>
      <c r="AO3" s="157"/>
      <c r="AP3" s="157"/>
      <c r="AQ3" s="330" t="str">
        <f>UPPER(RIGHT(Journal_Live[[#This Row],[DURATION ]]))</f>
        <v/>
      </c>
      <c r="AR3" s="157"/>
      <c r="AS3" s="161"/>
      <c r="AT3" s="157"/>
      <c r="AU3" s="162"/>
      <c r="AV3" s="163"/>
      <c r="AW3" s="164"/>
      <c r="AX3" s="410"/>
      <c r="AY3" s="410"/>
      <c r="AZ3" s="410"/>
      <c r="BA3" s="410"/>
      <c r="BB3" s="551"/>
      <c r="BC3" s="410"/>
      <c r="BD3" s="410"/>
      <c r="BE3" s="410"/>
      <c r="BF3" s="410"/>
      <c r="BG3" s="388"/>
      <c r="BH3" s="393"/>
      <c r="BI3" s="388"/>
      <c r="BJ3" s="388">
        <f>SUMIFS($AU4:AU$1388,$Q4:Q$1388,"F")</f>
        <v>14821.066666666669</v>
      </c>
      <c r="BK3" s="343">
        <f>SUMIFS($AU4:AU$1388,$P4:P$1388,"W")</f>
        <v>21597.141999999945</v>
      </c>
      <c r="BL3" s="343">
        <f>SUMIFS($AU4:AU$1388,$P4:P$1388,"W")</f>
        <v>21597.141999999945</v>
      </c>
      <c r="BM3" s="343">
        <f>SUMIFS($AU4:AU$134,$AQ4:AQ$134,"M")</f>
        <v>0</v>
      </c>
      <c r="BN3" s="343">
        <f>SUMIFS($AU4:AU$134,$AQ4:AQ$134,"M")</f>
        <v>0</v>
      </c>
      <c r="BO3" s="343">
        <f>SUMIFS($AU4:AU$134,$AQ4:AQ$134,"H")</f>
        <v>0</v>
      </c>
      <c r="BP3" s="343">
        <f>SUMIFS($AU6:AU$134,$AQ6:AQ$134,"D")</f>
        <v>400.6</v>
      </c>
      <c r="BQ3" s="343">
        <f>SUMIFS($AU4:AU$134,$Q4:Q$134,"O")</f>
        <v>-32.199999999993601</v>
      </c>
      <c r="BR3" s="343">
        <f>SUMIFS($AU4:AU$134,$AA4:AA$134,"*")</f>
        <v>1537.5700000000063</v>
      </c>
      <c r="BS3" s="343">
        <f>SUMIFS($AU4:AU$134,$AA4:AA$134,"*")</f>
        <v>1537.5700000000063</v>
      </c>
      <c r="BT3" s="343">
        <f>SUMIFS($AU4:AU$134,$AB4:AB$134,"*")</f>
        <v>85.099999999999923</v>
      </c>
      <c r="BU3" s="343">
        <f>SUMIFS($AU4:AU$134,$AA4:AA$134,"*",$AB4:AB$134,"*")</f>
        <v>85.099999999999923</v>
      </c>
      <c r="BV3" s="343">
        <f>SUMIFS($AU4:AU$134,$AA4:AA$134,"*",$AB4:AB$134,"*")</f>
        <v>85.099999999999923</v>
      </c>
      <c r="BW3" s="343">
        <f>SUMIFS($AU4:AU$134,$AA4:AA$134,"*",$AC4:AC$134,"*")</f>
        <v>1361.47</v>
      </c>
      <c r="BX3" s="343">
        <f>SUMIFS($AU4:AU$1388,$Q4:Q$1388,"F")</f>
        <v>14821.066666666669</v>
      </c>
      <c r="BY3" s="343">
        <f>SUMIFS($AU4:AU$1388,$Q4:Q$1388,"S")</f>
        <v>22136.912000000022</v>
      </c>
      <c r="BZ3" s="343">
        <f>SUMIFS($AU4:AU$1388,$Q4:Q$1388,"O")</f>
        <v>-1681.0579999997917</v>
      </c>
    </row>
    <row r="4" spans="1:78" ht="18" customHeight="1">
      <c r="A4" s="165" t="s">
        <v>91</v>
      </c>
      <c r="B4" s="165">
        <v>44840</v>
      </c>
      <c r="C4" s="166" t="s">
        <v>92</v>
      </c>
      <c r="D4" s="166" t="s">
        <v>93</v>
      </c>
      <c r="E4" s="167"/>
      <c r="F4" s="168"/>
      <c r="G4" s="169" t="s">
        <v>94</v>
      </c>
      <c r="H4" s="166"/>
      <c r="I4" s="166"/>
      <c r="J4" s="166"/>
      <c r="K4" s="169"/>
      <c r="L4" s="166">
        <v>1</v>
      </c>
      <c r="M4" s="166"/>
      <c r="N4" s="166"/>
      <c r="O4" s="169" t="s">
        <v>95</v>
      </c>
      <c r="P4" s="169" t="s">
        <v>96</v>
      </c>
      <c r="Q4" s="169" t="s">
        <v>97</v>
      </c>
      <c r="R4" s="169">
        <v>1</v>
      </c>
      <c r="S4" s="169">
        <v>1</v>
      </c>
      <c r="T4" s="169">
        <v>1</v>
      </c>
      <c r="U4" s="170" t="s">
        <v>97</v>
      </c>
      <c r="V4" s="170"/>
      <c r="W4" s="170"/>
      <c r="X4" s="170"/>
      <c r="Y4" s="171">
        <f t="shared" ref="Y4:Y9" si="0">IF(ISBLANK(O4),,(IF(O4=UPPER("IB"),0.005,0.01)))</f>
        <v>0.01</v>
      </c>
      <c r="Z4" s="171">
        <f>IF(ISBLANK(O4),,IF(O4=UPPER("IB"),8.63*200,15.5*100))</f>
        <v>1550</v>
      </c>
      <c r="AA4" s="172" t="s">
        <v>98</v>
      </c>
      <c r="AB4" s="172"/>
      <c r="AC4" s="172" t="s">
        <v>99</v>
      </c>
      <c r="AD4" s="648">
        <v>0.02</v>
      </c>
      <c r="AE4" s="166" t="s">
        <v>100</v>
      </c>
      <c r="AF4" s="331">
        <v>0.04</v>
      </c>
      <c r="AG4" s="166" t="s">
        <v>101</v>
      </c>
      <c r="AH4" s="166">
        <v>0.01</v>
      </c>
      <c r="AI4" s="166"/>
      <c r="AJ4" s="639" t="s">
        <v>102</v>
      </c>
      <c r="AK4" s="166" t="s">
        <v>103</v>
      </c>
      <c r="AL4" s="495">
        <f>-0.02*Z4</f>
        <v>-31</v>
      </c>
      <c r="AM4" s="495">
        <f>AL4*R4</f>
        <v>-31</v>
      </c>
      <c r="AN4" s="625" t="s">
        <v>104</v>
      </c>
      <c r="AO4" s="166"/>
      <c r="AP4" s="166" t="s">
        <v>105</v>
      </c>
      <c r="AQ4" s="331" t="str">
        <f>UPPER(RIGHT(Journal_Live[[#This Row],[DURATION ]]))</f>
        <v>S</v>
      </c>
      <c r="AR4" s="166" t="s">
        <v>106</v>
      </c>
      <c r="AS4" s="174">
        <v>0.01</v>
      </c>
      <c r="AT4" s="174">
        <f>IF(ISBLANK(AS4),,IF(U4="S",AD4-AS4,AS4-AD4))</f>
        <v>0.01</v>
      </c>
      <c r="AU4" s="173">
        <f>AV4*R4</f>
        <v>15.5</v>
      </c>
      <c r="AV4" s="175">
        <f>IF(ISBLANK(AS4),,(AT4*Z4))</f>
        <v>15.5</v>
      </c>
      <c r="AW4" s="176" t="s">
        <v>96</v>
      </c>
      <c r="AX4" s="411" t="s">
        <v>107</v>
      </c>
      <c r="AY4" s="411" t="s">
        <v>108</v>
      </c>
      <c r="AZ4" s="411" t="s">
        <v>109</v>
      </c>
      <c r="BA4" s="411"/>
      <c r="BB4" s="411"/>
      <c r="BC4" s="411"/>
      <c r="BD4" s="411"/>
      <c r="BE4" s="411"/>
      <c r="BF4" s="421"/>
      <c r="BG4" s="391">
        <f>SUM($AV$4:AV4)</f>
        <v>15.5</v>
      </c>
      <c r="BH4" s="392">
        <f>SUM($AU$4:AU4)</f>
        <v>15.5</v>
      </c>
      <c r="BI4" s="318"/>
      <c r="BJ4" s="318">
        <f>SUMIFS($AU5:AU$1388,$Q5:Q$1388,"F")</f>
        <v>14821.066666666669</v>
      </c>
      <c r="BK4" s="343">
        <f>SUMIFS($AU5:AU$1388,$P5:P$1388,"W")</f>
        <v>21581.641999999945</v>
      </c>
      <c r="BL4" s="343">
        <f>SUMIFS($AU5:AU$1388,$P5:P$1388,"W")</f>
        <v>21581.641999999945</v>
      </c>
      <c r="BM4" s="343">
        <f>SUMIFS($AU5:AU$134,$AQ5:AQ$134,"M")</f>
        <v>0</v>
      </c>
      <c r="BN4" s="343">
        <f>SUMIFS($AU5:AU$134,$AQ5:AQ$134,"M")</f>
        <v>0</v>
      </c>
      <c r="BO4" s="343">
        <f>SUMIFS($AU5:AU$134,$AQ5:AQ$134,"H")</f>
        <v>0</v>
      </c>
      <c r="BP4" s="343">
        <f>SUMIFS($AU7:AU$134,$AQ7:AQ$134,"D")</f>
        <v>400.6</v>
      </c>
      <c r="BQ4" s="343">
        <f>SUMIFS($AU5:AU$134,$Q5:Q$134,"O")</f>
        <v>-32.199999999993601</v>
      </c>
      <c r="BR4" s="343">
        <f>SUMIFS($AU5:AU$134,$AA5:AA$134,"*")</f>
        <v>1522.0700000000063</v>
      </c>
      <c r="BS4" s="343">
        <f>SUMIFS($AU5:AU$134,$AA5:AA$134,"*")</f>
        <v>1522.0700000000063</v>
      </c>
      <c r="BT4" s="343">
        <f>SUMIFS($AU5:AU$134,$AB5:AB$134,"*")</f>
        <v>85.099999999999923</v>
      </c>
      <c r="BU4" s="343">
        <f>SUMIFS($AU5:AU$134,$AA5:AA$134,"*",$AB5:AB$134,"*")</f>
        <v>85.099999999999923</v>
      </c>
      <c r="BV4" s="343">
        <f>SUMIFS($AU5:AU$134,$AA5:AA$134,"*",$AB5:AB$134,"*")</f>
        <v>85.099999999999923</v>
      </c>
      <c r="BW4" s="343">
        <f>SUMIFS($AU5:AU$134,$AA5:AA$134,"*",$AC5:AC$134,"*")</f>
        <v>1345.97</v>
      </c>
      <c r="BX4" s="343">
        <f>SUMIFS($AU5:AU$1388,$Q5:Q$1388,"F")</f>
        <v>14821.066666666669</v>
      </c>
      <c r="BY4" s="343">
        <f>SUMIFS($AU5:AU$1388,$Q5:Q$1388,"S")</f>
        <v>22121.412000000022</v>
      </c>
      <c r="BZ4" s="343">
        <f>SUMIFS($AU5:AU$1388,$Q5:Q$1388,"O")</f>
        <v>-1681.0579999997917</v>
      </c>
    </row>
    <row r="5" spans="1:78" ht="18" customHeight="1">
      <c r="A5" s="178" t="s">
        <v>91</v>
      </c>
      <c r="B5" s="177">
        <v>44841</v>
      </c>
      <c r="C5" s="178" t="s">
        <v>110</v>
      </c>
      <c r="D5" s="178" t="s">
        <v>111</v>
      </c>
      <c r="E5" s="179"/>
      <c r="F5" s="180"/>
      <c r="G5" s="181" t="s">
        <v>94</v>
      </c>
      <c r="H5" s="182"/>
      <c r="I5" s="182"/>
      <c r="J5" s="182"/>
      <c r="K5" s="183"/>
      <c r="L5" s="182">
        <v>1</v>
      </c>
      <c r="M5" s="182"/>
      <c r="N5" s="182"/>
      <c r="O5" s="183" t="s">
        <v>95</v>
      </c>
      <c r="P5" s="183" t="s">
        <v>96</v>
      </c>
      <c r="Q5" s="183" t="s">
        <v>97</v>
      </c>
      <c r="R5" s="183">
        <v>1</v>
      </c>
      <c r="S5" s="183">
        <v>1</v>
      </c>
      <c r="T5" s="183">
        <v>1</v>
      </c>
      <c r="U5" s="183" t="s">
        <v>22</v>
      </c>
      <c r="V5" s="183"/>
      <c r="W5" s="183"/>
      <c r="X5" s="183"/>
      <c r="Y5" s="184">
        <f t="shared" si="0"/>
        <v>0.01</v>
      </c>
      <c r="Z5" s="184">
        <f>IF(ISBLANK(O5),,IF(O5=UPPER("IB"),8.63*200,15.5*100))</f>
        <v>1550</v>
      </c>
      <c r="AA5" s="185" t="s">
        <v>112</v>
      </c>
      <c r="AB5" s="185"/>
      <c r="AC5" s="185" t="s">
        <v>99</v>
      </c>
      <c r="AD5" s="649">
        <v>0</v>
      </c>
      <c r="AE5" s="182" t="s">
        <v>100</v>
      </c>
      <c r="AF5" s="332">
        <v>-0.03</v>
      </c>
      <c r="AG5" s="182"/>
      <c r="AH5" s="182">
        <v>0.01</v>
      </c>
      <c r="AI5" s="182"/>
      <c r="AJ5" s="640" t="s">
        <v>113</v>
      </c>
      <c r="AK5" s="182" t="s">
        <v>103</v>
      </c>
      <c r="AL5" s="496">
        <f t="shared" ref="AL5:AL6" si="1">-0.03*Z5</f>
        <v>-46.5</v>
      </c>
      <c r="AM5" s="496">
        <f>AL5*R5</f>
        <v>-46.5</v>
      </c>
      <c r="AN5" s="626" t="s">
        <v>104</v>
      </c>
      <c r="AO5" s="182"/>
      <c r="AP5" s="182" t="s">
        <v>114</v>
      </c>
      <c r="AQ5" s="332" t="str">
        <f>UPPER(RIGHT(Journal_Live[[#This Row],[DURATION ]]))</f>
        <v>M</v>
      </c>
      <c r="AR5" s="188"/>
      <c r="AS5" s="189">
        <v>0</v>
      </c>
      <c r="AT5" s="189">
        <f>IF(ISBLANK(AS5),,IF(U5="S",AD5-AS5,AS5-AD5))</f>
        <v>0</v>
      </c>
      <c r="AU5" s="187">
        <f>AV5*R5</f>
        <v>0</v>
      </c>
      <c r="AV5" s="190">
        <f>IF(ISBLANK(AS5),,(AT5*Z5))</f>
        <v>0</v>
      </c>
      <c r="AW5" s="191" t="s">
        <v>115</v>
      </c>
      <c r="AX5" s="407" t="s">
        <v>116</v>
      </c>
      <c r="AY5" s="407" t="s">
        <v>117</v>
      </c>
      <c r="AZ5" s="407" t="s">
        <v>118</v>
      </c>
      <c r="BA5" s="407"/>
      <c r="BB5" s="407"/>
      <c r="BC5" s="407"/>
      <c r="BD5" s="407" t="s">
        <v>119</v>
      </c>
      <c r="BE5" s="407" t="s">
        <v>120</v>
      </c>
      <c r="BF5" s="422" t="s">
        <v>121</v>
      </c>
      <c r="BG5" s="391">
        <f>SUM($AV$4:AV5)</f>
        <v>15.5</v>
      </c>
      <c r="BH5" s="392">
        <f>SUM($AU$4:AU5)</f>
        <v>15.5</v>
      </c>
      <c r="BI5" s="318"/>
      <c r="BJ5" s="318">
        <f>SUMIFS($AU6:AU$1388,$Q6:Q$1388,"F")</f>
        <v>14821.066666666669</v>
      </c>
      <c r="BK5" s="343">
        <f>SUMIFS($AU6:AU$1388,$P6:P$1388,"W")</f>
        <v>21581.641999999945</v>
      </c>
      <c r="BL5" s="343">
        <f>SUMIFS($AU6:AU$1388,$P6:P$1388,"W")</f>
        <v>21581.641999999945</v>
      </c>
      <c r="BM5" s="343">
        <f>SUMIFS($AU6:AU$134,$AQ6:AQ$134,"M")</f>
        <v>0</v>
      </c>
      <c r="BN5" s="343">
        <f>SUMIFS($AU6:AU$134,$AQ6:AQ$134,"M")</f>
        <v>0</v>
      </c>
      <c r="BO5" s="343">
        <f>SUMIFS($AU6:AU$134,$AQ6:AQ$134,"H")</f>
        <v>0</v>
      </c>
      <c r="BP5" s="343">
        <f>SUMIFS($AU8:AU$134,$AQ8:AQ$134,"D")</f>
        <v>400.6</v>
      </c>
      <c r="BQ5" s="343">
        <f>SUMIFS($AU6:AU$134,$Q6:Q$134,"O")</f>
        <v>-32.199999999993601</v>
      </c>
      <c r="BR5" s="343">
        <f>SUMIFS($AU6:AU$134,$AA6:AA$134,"*")</f>
        <v>1522.0700000000063</v>
      </c>
      <c r="BS5" s="343">
        <f>SUMIFS($AU6:AU$134,$AA6:AA$134,"*")</f>
        <v>1522.0700000000063</v>
      </c>
      <c r="BT5" s="343">
        <f>SUMIFS($AU6:AU$134,$AB6:AB$134,"*")</f>
        <v>85.099999999999923</v>
      </c>
      <c r="BU5" s="343">
        <f>SUMIFS($AU6:AU$134,$AA6:AA$134,"*",$AB6:AB$134,"*")</f>
        <v>85.099999999999923</v>
      </c>
      <c r="BV5" s="343">
        <f>SUMIFS($AU6:AU$134,$AA6:AA$134,"*",$AB6:AB$134,"*")</f>
        <v>85.099999999999923</v>
      </c>
      <c r="BW5" s="343">
        <f>SUMIFS($AU6:AU$134,$AA6:AA$134,"*",$AC6:AC$134,"*")</f>
        <v>1345.97</v>
      </c>
      <c r="BX5" s="343">
        <f>SUMIFS($AU6:AU$1388,$Q6:Q$1388,"F")</f>
        <v>14821.066666666669</v>
      </c>
      <c r="BY5" s="343">
        <f>SUMIFS($AU6:AU$1388,$Q6:Q$1388,"S")</f>
        <v>22121.412000000022</v>
      </c>
      <c r="BZ5" s="343">
        <f>SUMIFS($AU6:AU$1388,$Q6:Q$1388,"O")</f>
        <v>-1681.0579999997917</v>
      </c>
    </row>
    <row r="6" spans="1:78" ht="18" customHeight="1">
      <c r="A6" s="178" t="s">
        <v>91</v>
      </c>
      <c r="B6" s="177">
        <v>44841</v>
      </c>
      <c r="C6" s="178" t="s">
        <v>122</v>
      </c>
      <c r="D6" s="178" t="s">
        <v>111</v>
      </c>
      <c r="E6" s="179"/>
      <c r="F6" s="180"/>
      <c r="G6" s="181" t="s">
        <v>94</v>
      </c>
      <c r="H6" s="182"/>
      <c r="I6" s="182"/>
      <c r="J6" s="182"/>
      <c r="K6" s="183"/>
      <c r="L6" s="182">
        <v>1</v>
      </c>
      <c r="M6" s="182"/>
      <c r="N6" s="182"/>
      <c r="O6" s="183" t="s">
        <v>95</v>
      </c>
      <c r="P6" s="183" t="s">
        <v>96</v>
      </c>
      <c r="Q6" s="183" t="s">
        <v>97</v>
      </c>
      <c r="R6" s="183">
        <v>1</v>
      </c>
      <c r="S6" s="183">
        <v>1</v>
      </c>
      <c r="T6" s="183">
        <v>1</v>
      </c>
      <c r="U6" s="183" t="s">
        <v>22</v>
      </c>
      <c r="V6" s="183"/>
      <c r="W6" s="183"/>
      <c r="X6" s="183"/>
      <c r="Y6" s="184">
        <f t="shared" si="0"/>
        <v>0.01</v>
      </c>
      <c r="Z6" s="184">
        <f>IF(ISBLANK(O6),,IF(O6=UPPER("IB"),8.63*200,15.5*100))</f>
        <v>1550</v>
      </c>
      <c r="AA6" s="185" t="s">
        <v>112</v>
      </c>
      <c r="AB6" s="185"/>
      <c r="AC6" s="185" t="s">
        <v>99</v>
      </c>
      <c r="AD6" s="649">
        <v>0</v>
      </c>
      <c r="AE6" s="182" t="s">
        <v>100</v>
      </c>
      <c r="AF6" s="332">
        <v>-0.03</v>
      </c>
      <c r="AG6" s="182"/>
      <c r="AH6" s="182">
        <v>0.01</v>
      </c>
      <c r="AI6" s="182"/>
      <c r="AJ6" s="640" t="s">
        <v>123</v>
      </c>
      <c r="AK6" s="182" t="s">
        <v>103</v>
      </c>
      <c r="AL6" s="496">
        <f t="shared" si="1"/>
        <v>-46.5</v>
      </c>
      <c r="AM6" s="496">
        <f>AL6*R6</f>
        <v>-46.5</v>
      </c>
      <c r="AN6" s="626" t="s">
        <v>104</v>
      </c>
      <c r="AO6" s="182"/>
      <c r="AP6" s="182" t="s">
        <v>124</v>
      </c>
      <c r="AQ6" s="332" t="str">
        <f>UPPER(RIGHT(Journal_Live[[#This Row],[DURATION ]]))</f>
        <v>M</v>
      </c>
      <c r="AR6" s="192">
        <v>44844</v>
      </c>
      <c r="AS6" s="189">
        <v>0</v>
      </c>
      <c r="AT6" s="189">
        <f>IF(ISBLANK(AS6),,IF(U6="S",AD6-AS6,AS6-AD6))</f>
        <v>0</v>
      </c>
      <c r="AU6" s="187">
        <f>AV6*R6</f>
        <v>0</v>
      </c>
      <c r="AV6" s="190">
        <f>IF(ISBLANK(AS6),,(AT6*Z6))</f>
        <v>0</v>
      </c>
      <c r="AW6" s="191" t="s">
        <v>115</v>
      </c>
      <c r="AX6" s="407" t="s">
        <v>125</v>
      </c>
      <c r="AY6" s="407" t="s">
        <v>126</v>
      </c>
      <c r="AZ6" s="407" t="s">
        <v>127</v>
      </c>
      <c r="BA6" s="407"/>
      <c r="BB6" s="407"/>
      <c r="BC6" s="407"/>
      <c r="BD6" s="407" t="s">
        <v>128</v>
      </c>
      <c r="BE6" s="407" t="s">
        <v>129</v>
      </c>
      <c r="BF6" s="422" t="s">
        <v>130</v>
      </c>
      <c r="BG6" s="391">
        <f>SUM($AV$4:AV6)</f>
        <v>15.5</v>
      </c>
      <c r="BH6" s="392">
        <f>SUM($AU$4:AU6)</f>
        <v>15.5</v>
      </c>
      <c r="BI6" s="318"/>
      <c r="BJ6" s="318">
        <f>SUMIFS($AU7:AU$1388,$Q7:Q$1388,"F")</f>
        <v>14821.066666666669</v>
      </c>
      <c r="BK6" s="343">
        <f>SUMIFS($AU7:AU$1388,$P7:P$1388,"W")</f>
        <v>21581.641999999945</v>
      </c>
      <c r="BL6" s="343">
        <f>SUMIFS($AU7:AU$1388,$P7:P$1388,"W")</f>
        <v>21581.641999999945</v>
      </c>
      <c r="BM6" s="343">
        <f>SUMIFS($AU7:AU$134,$AQ7:AQ$134,"M")</f>
        <v>0</v>
      </c>
      <c r="BN6" s="343">
        <f>SUMIFS($AU7:AU$134,$AQ7:AQ$134,"M")</f>
        <v>0</v>
      </c>
      <c r="BO6" s="343">
        <f>SUMIFS($AU7:AU$134,$AQ7:AQ$134,"H")</f>
        <v>0</v>
      </c>
      <c r="BP6" s="343">
        <f>SUMIFS($AU9:AU$134,$AQ9:AQ$134,"D")</f>
        <v>400.6</v>
      </c>
      <c r="BQ6" s="343">
        <f>SUMIFS($AU7:AU$134,$Q7:Q$134,"O")</f>
        <v>-32.199999999993601</v>
      </c>
      <c r="BR6" s="343">
        <f>SUMIFS($AU7:AU$134,$AA7:AA$134,"*")</f>
        <v>1522.0700000000063</v>
      </c>
      <c r="BS6" s="343">
        <f>SUMIFS($AU7:AU$134,$AA7:AA$134,"*")</f>
        <v>1522.0700000000063</v>
      </c>
      <c r="BT6" s="343">
        <f>SUMIFS($AU7:AU$134,$AB7:AB$134,"*")</f>
        <v>85.099999999999923</v>
      </c>
      <c r="BU6" s="343">
        <f>SUMIFS($AU7:AU$134,$AA7:AA$134,"*",$AB7:AB$134,"*")</f>
        <v>85.099999999999923</v>
      </c>
      <c r="BV6" s="343">
        <f>SUMIFS($AU7:AU$134,$AA7:AA$134,"*",$AB7:AB$134,"*")</f>
        <v>85.099999999999923</v>
      </c>
      <c r="BW6" s="343">
        <f>SUMIFS($AU7:AU$134,$AA7:AA$134,"*",$AC7:AC$134,"*")</f>
        <v>1345.97</v>
      </c>
      <c r="BX6" s="343">
        <f>SUMIFS($AU7:AU$1388,$Q7:Q$1388,"F")</f>
        <v>14821.066666666669</v>
      </c>
      <c r="BY6" s="343">
        <f>SUMIFS($AU7:AU$1388,$Q7:Q$1388,"S")</f>
        <v>22121.412000000022</v>
      </c>
      <c r="BZ6" s="343">
        <f>SUMIFS($AU7:AU$1388,$Q7:Q$1388,"O")</f>
        <v>-1681.0579999997917</v>
      </c>
    </row>
    <row r="7" spans="1:78" ht="18" customHeight="1">
      <c r="A7" s="178" t="s">
        <v>91</v>
      </c>
      <c r="B7" s="177">
        <v>44844</v>
      </c>
      <c r="C7" s="178" t="s">
        <v>131</v>
      </c>
      <c r="D7" s="178" t="s">
        <v>132</v>
      </c>
      <c r="E7" s="193"/>
      <c r="F7" s="180"/>
      <c r="G7" s="181" t="s">
        <v>133</v>
      </c>
      <c r="H7" s="182"/>
      <c r="I7" s="182"/>
      <c r="J7" s="182"/>
      <c r="K7" s="183"/>
      <c r="L7" s="182"/>
      <c r="M7" s="182"/>
      <c r="N7" s="182"/>
      <c r="O7" s="183" t="s">
        <v>95</v>
      </c>
      <c r="P7" s="183" t="s">
        <v>96</v>
      </c>
      <c r="Q7" s="183" t="s">
        <v>97</v>
      </c>
      <c r="R7" s="183">
        <v>1</v>
      </c>
      <c r="S7" s="183">
        <v>1</v>
      </c>
      <c r="T7" s="183">
        <v>1</v>
      </c>
      <c r="U7" s="183" t="s">
        <v>97</v>
      </c>
      <c r="V7" s="183"/>
      <c r="W7" s="183"/>
      <c r="X7" s="183"/>
      <c r="Y7" s="184">
        <f t="shared" si="0"/>
        <v>0.01</v>
      </c>
      <c r="Z7" s="184">
        <f>IF(ISBLANK(O7),,IF(O7=UPPER("IB"),8.63*200,15.5*100))</f>
        <v>1550</v>
      </c>
      <c r="AA7" s="185"/>
      <c r="AB7" s="185"/>
      <c r="AC7" s="185"/>
      <c r="AD7" s="649">
        <v>0</v>
      </c>
      <c r="AE7" s="182" t="s">
        <v>134</v>
      </c>
      <c r="AF7" s="332"/>
      <c r="AG7" s="182"/>
      <c r="AH7" s="182"/>
      <c r="AI7" s="182"/>
      <c r="AJ7" s="640"/>
      <c r="AK7" s="182"/>
      <c r="AL7" s="496"/>
      <c r="AM7" s="496">
        <f>AL7*R7</f>
        <v>0</v>
      </c>
      <c r="AN7" s="626"/>
      <c r="AO7" s="182"/>
      <c r="AP7" s="182"/>
      <c r="AQ7" s="332" t="str">
        <f>UPPER(RIGHT(Journal_Live[[#This Row],[DURATION ]]))</f>
        <v/>
      </c>
      <c r="AR7" s="192">
        <v>44844</v>
      </c>
      <c r="AS7" s="189">
        <v>0</v>
      </c>
      <c r="AT7" s="189">
        <f>IF(ISBLANK(AS7),,IF(U7="S",AD7-AS7,AS7-AD7))</f>
        <v>0</v>
      </c>
      <c r="AU7" s="187">
        <f>AV7*R7</f>
        <v>0</v>
      </c>
      <c r="AV7" s="190">
        <f>IF(ISBLANK(AS7),,(AT7*Z7))</f>
        <v>0</v>
      </c>
      <c r="AW7" s="191" t="s">
        <v>115</v>
      </c>
      <c r="AX7" s="407" t="s">
        <v>135</v>
      </c>
      <c r="AY7" s="407"/>
      <c r="AZ7" s="407"/>
      <c r="BA7" s="407"/>
      <c r="BB7" s="407"/>
      <c r="BC7" s="407"/>
      <c r="BD7" s="407"/>
      <c r="BE7" s="407"/>
      <c r="BF7" s="422"/>
      <c r="BG7" s="391">
        <f>SUM($AV$4:AV7)</f>
        <v>15.5</v>
      </c>
      <c r="BH7" s="392">
        <f>SUM($AU$4:AU7)</f>
        <v>15.5</v>
      </c>
      <c r="BI7" s="318"/>
      <c r="BJ7" s="318">
        <f>SUMIFS($AU8:AU$1388,$Q8:Q$1388,"F")</f>
        <v>14821.066666666669</v>
      </c>
      <c r="BK7" s="343">
        <f>SUMIFS($AU8:AU$1388,$P8:P$1388,"W")</f>
        <v>21581.641999999945</v>
      </c>
      <c r="BL7" s="343">
        <f>SUMIFS($AU8:AU$1388,$P8:P$1388,"W")</f>
        <v>21581.641999999945</v>
      </c>
      <c r="BM7" s="343">
        <f>SUMIFS($AU8:AU$134,$AQ8:AQ$134,"M")</f>
        <v>0</v>
      </c>
      <c r="BN7" s="343">
        <f>SUMIFS($AU8:AU$134,$AQ8:AQ$134,"M")</f>
        <v>0</v>
      </c>
      <c r="BO7" s="343">
        <f>SUMIFS($AU8:AU$134,$AQ8:AQ$134,"H")</f>
        <v>0</v>
      </c>
      <c r="BP7" s="343">
        <f>SUMIFS($AU10:AU$134,$AQ10:AQ$134,"D")</f>
        <v>400.6</v>
      </c>
      <c r="BQ7" s="343">
        <f>SUMIFS($AU8:AU$134,$Q8:Q$134,"O")</f>
        <v>-32.199999999993601</v>
      </c>
      <c r="BR7" s="343">
        <f>SUMIFS($AU8:AU$134,$AA8:AA$134,"*")</f>
        <v>1522.0700000000063</v>
      </c>
      <c r="BS7" s="343">
        <f>SUMIFS($AU8:AU$134,$AA8:AA$134,"*")</f>
        <v>1522.0700000000063</v>
      </c>
      <c r="BT7" s="343">
        <f>SUMIFS($AU8:AU$134,$AB8:AB$134,"*")</f>
        <v>85.099999999999923</v>
      </c>
      <c r="BU7" s="343">
        <f>SUMIFS($AU8:AU$134,$AA8:AA$134,"*",$AB8:AB$134,"*")</f>
        <v>85.099999999999923</v>
      </c>
      <c r="BV7" s="343">
        <f>SUMIFS($AU8:AU$134,$AA8:AA$134,"*",$AB8:AB$134,"*")</f>
        <v>85.099999999999923</v>
      </c>
      <c r="BW7" s="343">
        <f>SUMIFS($AU8:AU$134,$AA8:AA$134,"*",$AC8:AC$134,"*")</f>
        <v>1345.97</v>
      </c>
      <c r="BX7" s="343">
        <f>SUMIFS($AU8:AU$1388,$Q8:Q$1388,"F")</f>
        <v>14821.066666666669</v>
      </c>
      <c r="BY7" s="343">
        <f>SUMIFS($AU8:AU$1388,$Q8:Q$1388,"S")</f>
        <v>22121.412000000022</v>
      </c>
      <c r="BZ7" s="343">
        <f>SUMIFS($AU8:AU$1388,$Q8:Q$1388,"O")</f>
        <v>-1681.0579999997917</v>
      </c>
    </row>
    <row r="8" spans="1:78" ht="18" customHeight="1">
      <c r="A8" s="178" t="s">
        <v>91</v>
      </c>
      <c r="B8" s="177">
        <v>44844</v>
      </c>
      <c r="C8" s="194">
        <v>0.83333333333333337</v>
      </c>
      <c r="D8" s="178" t="s">
        <v>132</v>
      </c>
      <c r="E8" s="179"/>
      <c r="F8" s="180"/>
      <c r="G8" s="181" t="s">
        <v>136</v>
      </c>
      <c r="H8" s="182"/>
      <c r="I8" s="182"/>
      <c r="J8" s="182"/>
      <c r="K8" s="183"/>
      <c r="L8" s="182">
        <v>1</v>
      </c>
      <c r="M8" s="182"/>
      <c r="N8" s="182"/>
      <c r="O8" s="183" t="s">
        <v>95</v>
      </c>
      <c r="P8" s="183" t="s">
        <v>137</v>
      </c>
      <c r="Q8" s="183" t="s">
        <v>97</v>
      </c>
      <c r="R8" s="183">
        <v>1</v>
      </c>
      <c r="S8" s="183">
        <v>1</v>
      </c>
      <c r="T8" s="183">
        <v>1</v>
      </c>
      <c r="U8" s="183" t="s">
        <v>97</v>
      </c>
      <c r="V8" s="183"/>
      <c r="W8" s="183"/>
      <c r="X8" s="183"/>
      <c r="Y8" s="184">
        <f t="shared" si="0"/>
        <v>0.01</v>
      </c>
      <c r="Z8" s="184">
        <f>IF(ISBLANK(O8),,IF(O8=UPPER("IB"),8.63*200,15.4*100))</f>
        <v>1540</v>
      </c>
      <c r="AA8" s="185" t="s">
        <v>138</v>
      </c>
      <c r="AB8" s="185"/>
      <c r="AC8" s="185" t="s">
        <v>99</v>
      </c>
      <c r="AD8" s="649">
        <v>-0.02</v>
      </c>
      <c r="AE8" s="182"/>
      <c r="AF8" s="332"/>
      <c r="AG8" s="182"/>
      <c r="AH8" s="182">
        <v>-0.03</v>
      </c>
      <c r="AI8" s="182"/>
      <c r="AJ8" s="640" t="s">
        <v>139</v>
      </c>
      <c r="AK8" s="182"/>
      <c r="AL8" s="496">
        <f>-0.03*Z8</f>
        <v>-46.199999999999996</v>
      </c>
      <c r="AM8" s="496">
        <f>AL8*R8</f>
        <v>-46.199999999999996</v>
      </c>
      <c r="AN8" s="626"/>
      <c r="AO8" s="182"/>
      <c r="AP8" s="182" t="s">
        <v>140</v>
      </c>
      <c r="AQ8" s="332" t="str">
        <f>UPPER(RIGHT(Journal_Live[[#This Row],[DURATION ]]))</f>
        <v>N</v>
      </c>
      <c r="AR8" s="182" t="s">
        <v>141</v>
      </c>
      <c r="AS8" s="189">
        <v>-0.03</v>
      </c>
      <c r="AT8" s="189">
        <f>IF(ISBLANK(AS8),,IF(U8="S",AD8-AS8,AS8-AD8))</f>
        <v>9.9999999999999985E-3</v>
      </c>
      <c r="AU8" s="187">
        <f>AV8*R8</f>
        <v>15.399999999999997</v>
      </c>
      <c r="AV8" s="190">
        <f>IF(ISBLANK(AS8),,(AT8*Z8))</f>
        <v>15.399999999999997</v>
      </c>
      <c r="AW8" s="191" t="s">
        <v>96</v>
      </c>
      <c r="AX8" s="407" t="s">
        <v>142</v>
      </c>
      <c r="AY8" s="407" t="s">
        <v>143</v>
      </c>
      <c r="AZ8" s="407" t="s">
        <v>144</v>
      </c>
      <c r="BA8" s="407"/>
      <c r="BB8" s="407"/>
      <c r="BC8" s="407"/>
      <c r="BD8" s="407" t="s">
        <v>145</v>
      </c>
      <c r="BE8" s="407"/>
      <c r="BF8" s="422"/>
      <c r="BG8" s="391">
        <f>SUM($AV$4:AV8)</f>
        <v>30.9</v>
      </c>
      <c r="BH8" s="392">
        <f>SUM($AU$4:AU8)</f>
        <v>30.9</v>
      </c>
      <c r="BI8" s="318"/>
      <c r="BJ8" s="318">
        <f>SUMIFS($AU9:AU$1388,$Q9:Q$1388,"F")</f>
        <v>14821.066666666669</v>
      </c>
      <c r="BK8" s="343">
        <f>SUMIFS($AU9:AU$1388,$P9:P$1388,"W")</f>
        <v>21581.641999999945</v>
      </c>
      <c r="BL8" s="343">
        <f>SUMIFS($AU9:AU$1388,$P9:P$1388,"W")</f>
        <v>21581.641999999945</v>
      </c>
      <c r="BM8" s="343">
        <f>SUMIFS($AU9:AU$134,$AQ9:AQ$134,"M")</f>
        <v>0</v>
      </c>
      <c r="BN8" s="343">
        <f>SUMIFS($AU9:AU$134,$AQ9:AQ$134,"M")</f>
        <v>0</v>
      </c>
      <c r="BO8" s="343">
        <f>SUMIFS($AU9:AU$134,$AQ9:AQ$134,"H")</f>
        <v>0</v>
      </c>
      <c r="BP8" s="343">
        <f>SUMIFS($AU11:AU$134,$AQ11:AQ$134,"D")</f>
        <v>400.6</v>
      </c>
      <c r="BQ8" s="343">
        <f>SUMIFS($AU9:AU$134,$Q9:Q$134,"O")</f>
        <v>-32.199999999993601</v>
      </c>
      <c r="BR8" s="343">
        <f>SUMIFS($AU9:AU$134,$AA9:AA$134,"*")</f>
        <v>1506.6700000000064</v>
      </c>
      <c r="BS8" s="343">
        <f>SUMIFS($AU9:AU$134,$AA9:AA$134,"*")</f>
        <v>1506.6700000000064</v>
      </c>
      <c r="BT8" s="343">
        <f>SUMIFS($AU9:AU$134,$AB9:AB$134,"*")</f>
        <v>85.099999999999923</v>
      </c>
      <c r="BU8" s="343">
        <f>SUMIFS($AU9:AU$134,$AA9:AA$134,"*",$AB9:AB$134,"*")</f>
        <v>85.099999999999923</v>
      </c>
      <c r="BV8" s="343">
        <f>SUMIFS($AU9:AU$134,$AA9:AA$134,"*",$AB9:AB$134,"*")</f>
        <v>85.099999999999923</v>
      </c>
      <c r="BW8" s="343">
        <f>SUMIFS($AU9:AU$134,$AA9:AA$134,"*",$AC9:AC$134,"*")</f>
        <v>1330.57</v>
      </c>
      <c r="BX8" s="343">
        <f>SUMIFS($AU9:AU$1388,$Q9:Q$1388,"F")</f>
        <v>14821.066666666669</v>
      </c>
      <c r="BY8" s="343">
        <f>SUMIFS($AU9:AU$1388,$Q9:Q$1388,"S")</f>
        <v>22106.012000000021</v>
      </c>
      <c r="BZ8" s="343">
        <f>SUMIFS($AU9:AU$1388,$Q9:Q$1388,"O")</f>
        <v>-1681.0579999997917</v>
      </c>
    </row>
    <row r="9" spans="1:78" ht="18" customHeight="1">
      <c r="A9" s="178" t="s">
        <v>91</v>
      </c>
      <c r="B9" s="177">
        <v>44845</v>
      </c>
      <c r="C9" s="178"/>
      <c r="D9" s="178" t="s">
        <v>146</v>
      </c>
      <c r="E9" s="179" t="s">
        <v>147</v>
      </c>
      <c r="F9" s="180" t="s">
        <v>148</v>
      </c>
      <c r="G9" s="181"/>
      <c r="H9" s="182"/>
      <c r="I9" s="182"/>
      <c r="J9" s="182">
        <v>1</v>
      </c>
      <c r="K9" s="183"/>
      <c r="L9" s="182"/>
      <c r="M9" s="182"/>
      <c r="N9" s="182"/>
      <c r="O9" s="183"/>
      <c r="P9" s="183"/>
      <c r="Q9" s="183"/>
      <c r="R9" s="183"/>
      <c r="S9" s="183"/>
      <c r="T9" s="183"/>
      <c r="U9" s="183"/>
      <c r="V9" s="183"/>
      <c r="W9" s="183"/>
      <c r="X9" s="183"/>
      <c r="Y9" s="183">
        <f t="shared" si="0"/>
        <v>0</v>
      </c>
      <c r="Z9" s="183">
        <f>IF(ISBLANK(O9),,IF(O9=UPPER("IB"),8.63*200,16.65*100))</f>
        <v>0</v>
      </c>
      <c r="AA9" s="185"/>
      <c r="AB9" s="185"/>
      <c r="AC9" s="185"/>
      <c r="AD9" s="649"/>
      <c r="AE9" s="182"/>
      <c r="AF9" s="332"/>
      <c r="AG9" s="182"/>
      <c r="AH9" s="182"/>
      <c r="AI9" s="182"/>
      <c r="AJ9" s="640"/>
      <c r="AK9" s="182"/>
      <c r="AL9" s="496"/>
      <c r="AM9" s="497"/>
      <c r="AN9" s="626"/>
      <c r="AO9" s="182"/>
      <c r="AP9" s="182"/>
      <c r="AQ9" s="332" t="str">
        <f>UPPER(RIGHT(Journal_Live[[#This Row],[DURATION ]]))</f>
        <v/>
      </c>
      <c r="AR9" s="182"/>
      <c r="AS9" s="189"/>
      <c r="AT9" s="182"/>
      <c r="AU9" s="187"/>
      <c r="AV9" s="190"/>
      <c r="AW9" s="191"/>
      <c r="AX9" s="409"/>
      <c r="AY9" s="409" t="s">
        <v>149</v>
      </c>
      <c r="AZ9" s="407" t="s">
        <v>150</v>
      </c>
      <c r="BA9" s="409"/>
      <c r="BB9" s="409"/>
      <c r="BC9" s="409"/>
      <c r="BD9" s="409" t="s">
        <v>149</v>
      </c>
      <c r="BE9" s="407" t="s">
        <v>150</v>
      </c>
      <c r="BF9" s="422"/>
      <c r="BG9" s="391">
        <f>SUM($AV$4:AV9)</f>
        <v>30.9</v>
      </c>
      <c r="BH9" s="392">
        <f>SUM($AU$4:AU9)</f>
        <v>30.9</v>
      </c>
      <c r="BI9" s="318"/>
      <c r="BJ9" s="318">
        <f>SUMIFS($AU10:AU$1388,$Q10:Q$1388,"F")</f>
        <v>14821.066666666669</v>
      </c>
      <c r="BK9" s="343">
        <f>SUMIFS($AU10:AU$1388,$P10:P$1388,"W")</f>
        <v>21581.641999999945</v>
      </c>
      <c r="BL9" s="343">
        <f>SUMIFS($AU10:AU$1388,$P10:P$1388,"W")</f>
        <v>21581.641999999945</v>
      </c>
      <c r="BM9" s="343">
        <f>SUMIFS($AU10:AU$134,$AQ10:AQ$134,"M")</f>
        <v>0</v>
      </c>
      <c r="BN9" s="343">
        <f>SUMIFS($AU10:AU$134,$AQ10:AQ$134,"M")</f>
        <v>0</v>
      </c>
      <c r="BO9" s="343">
        <f>SUMIFS($AU10:AU$134,$AQ10:AQ$134,"H")</f>
        <v>0</v>
      </c>
      <c r="BP9" s="343">
        <f>SUMIFS($AU12:AU$134,$AQ12:AQ$134,"D")</f>
        <v>400.6</v>
      </c>
      <c r="BQ9" s="343">
        <f>SUMIFS($AU10:AU$134,$Q10:Q$134,"O")</f>
        <v>-32.199999999993601</v>
      </c>
      <c r="BR9" s="343">
        <f>SUMIFS($AU10:AU$134,$AA10:AA$134,"*")</f>
        <v>1506.6700000000064</v>
      </c>
      <c r="BS9" s="343">
        <f>SUMIFS($AU10:AU$134,$AA10:AA$134,"*")</f>
        <v>1506.6700000000064</v>
      </c>
      <c r="BT9" s="343">
        <f>SUMIFS($AU10:AU$134,$AB10:AB$134,"*")</f>
        <v>85.099999999999923</v>
      </c>
      <c r="BU9" s="343">
        <f>SUMIFS($AU10:AU$134,$AA10:AA$134,"*",$AB10:AB$134,"*")</f>
        <v>85.099999999999923</v>
      </c>
      <c r="BV9" s="343">
        <f>SUMIFS($AU10:AU$134,$AA10:AA$134,"*",$AB10:AB$134,"*")</f>
        <v>85.099999999999923</v>
      </c>
      <c r="BW9" s="343">
        <f>SUMIFS($AU10:AU$134,$AA10:AA$134,"*",$AC10:AC$134,"*")</f>
        <v>1330.57</v>
      </c>
      <c r="BX9" s="343">
        <f>SUMIFS($AU10:AU$1388,$Q10:Q$1388,"F")</f>
        <v>14821.066666666669</v>
      </c>
      <c r="BY9" s="343">
        <f>SUMIFS($AU10:AU$1388,$Q10:Q$1388,"S")</f>
        <v>22106.012000000021</v>
      </c>
      <c r="BZ9" s="343">
        <f>SUMIFS($AU10:AU$1388,$Q10:Q$1388,"O")</f>
        <v>-1681.0579999997917</v>
      </c>
    </row>
    <row r="10" spans="1:78" ht="18" customHeight="1">
      <c r="A10" s="178" t="s">
        <v>91</v>
      </c>
      <c r="B10" s="177">
        <v>44846</v>
      </c>
      <c r="C10" s="178"/>
      <c r="D10" s="178" t="s">
        <v>151</v>
      </c>
      <c r="E10" s="179" t="s">
        <v>152</v>
      </c>
      <c r="F10" s="180" t="s">
        <v>153</v>
      </c>
      <c r="G10" s="181"/>
      <c r="H10" s="182">
        <v>1</v>
      </c>
      <c r="I10" s="182"/>
      <c r="J10" s="182"/>
      <c r="K10" s="183"/>
      <c r="L10" s="182"/>
      <c r="M10" s="182"/>
      <c r="N10" s="182"/>
      <c r="O10" s="183"/>
      <c r="P10" s="183"/>
      <c r="Q10" s="183"/>
      <c r="R10" s="183"/>
      <c r="S10" s="183"/>
      <c r="T10" s="183"/>
      <c r="U10" s="183"/>
      <c r="V10" s="183"/>
      <c r="W10" s="183"/>
      <c r="X10" s="183"/>
      <c r="Y10" s="184"/>
      <c r="Z10" s="184"/>
      <c r="AA10" s="185"/>
      <c r="AB10" s="185"/>
      <c r="AC10" s="185"/>
      <c r="AD10" s="649"/>
      <c r="AE10" s="182"/>
      <c r="AF10" s="332"/>
      <c r="AG10" s="182"/>
      <c r="AH10" s="182"/>
      <c r="AI10" s="182"/>
      <c r="AJ10" s="640"/>
      <c r="AK10" s="182"/>
      <c r="AL10" s="496"/>
      <c r="AM10" s="497"/>
      <c r="AN10" s="626"/>
      <c r="AO10" s="182"/>
      <c r="AP10" s="182"/>
      <c r="AQ10" s="332" t="str">
        <f>UPPER(RIGHT(Journal_Live[[#This Row],[DURATION ]]))</f>
        <v/>
      </c>
      <c r="AR10" s="182"/>
      <c r="AS10" s="189"/>
      <c r="AT10" s="182"/>
      <c r="AU10" s="187"/>
      <c r="AV10" s="190"/>
      <c r="AW10" s="191"/>
      <c r="AX10" s="407"/>
      <c r="AY10" s="407"/>
      <c r="AZ10" s="407"/>
      <c r="BA10" s="407"/>
      <c r="BB10" s="407"/>
      <c r="BC10" s="407"/>
      <c r="BD10" s="407"/>
      <c r="BE10" s="407"/>
      <c r="BF10" s="422"/>
      <c r="BG10" s="391">
        <f>SUM($AV$4:AV10)</f>
        <v>30.9</v>
      </c>
      <c r="BH10" s="392">
        <f>SUM($AU$4:AU10)</f>
        <v>30.9</v>
      </c>
      <c r="BI10" s="318"/>
      <c r="BJ10" s="318">
        <f>SUMIFS($AU11:AU$1388,$Q11:Q$1388,"F")</f>
        <v>14821.066666666669</v>
      </c>
      <c r="BK10" s="343">
        <f>SUMIFS($AU11:AU$1388,$P11:P$1388,"W")</f>
        <v>21581.641999999945</v>
      </c>
      <c r="BL10" s="343">
        <f>SUMIFS($AU11:AU$1388,$P11:P$1388,"W")</f>
        <v>21581.641999999945</v>
      </c>
      <c r="BM10" s="343">
        <f>SUMIFS($AU11:AU$134,$AQ11:AQ$134,"M")</f>
        <v>0</v>
      </c>
      <c r="BN10" s="343">
        <f>SUMIFS($AU11:AU$134,$AQ11:AQ$134,"M")</f>
        <v>0</v>
      </c>
      <c r="BO10" s="343">
        <f>SUMIFS($AU11:AU$134,$AQ11:AQ$134,"H")</f>
        <v>0</v>
      </c>
      <c r="BP10" s="343">
        <f>SUMIFS($AU13:AU$134,$AQ13:AQ$134,"D")</f>
        <v>400.6</v>
      </c>
      <c r="BQ10" s="343">
        <f>SUMIFS($AU11:AU$134,$Q11:Q$134,"O")</f>
        <v>-32.199999999993601</v>
      </c>
      <c r="BR10" s="343">
        <f>SUMIFS($AU11:AU$134,$AA11:AA$134,"*")</f>
        <v>1506.6700000000064</v>
      </c>
      <c r="BS10" s="343">
        <f>SUMIFS($AU11:AU$134,$AA11:AA$134,"*")</f>
        <v>1506.6700000000064</v>
      </c>
      <c r="BT10" s="343">
        <f>SUMIFS($AU11:AU$134,$AB11:AB$134,"*")</f>
        <v>85.099999999999923</v>
      </c>
      <c r="BU10" s="343">
        <f>SUMIFS($AU11:AU$134,$AA11:AA$134,"*",$AB11:AB$134,"*")</f>
        <v>85.099999999999923</v>
      </c>
      <c r="BV10" s="343">
        <f>SUMIFS($AU11:AU$134,$AA11:AA$134,"*",$AB11:AB$134,"*")</f>
        <v>85.099999999999923</v>
      </c>
      <c r="BW10" s="343">
        <f>SUMIFS($AU11:AU$134,$AA11:AA$134,"*",$AC11:AC$134,"*")</f>
        <v>1330.57</v>
      </c>
      <c r="BX10" s="343">
        <f>SUMIFS($AU11:AU$1388,$Q11:Q$1388,"F")</f>
        <v>14821.066666666669</v>
      </c>
      <c r="BY10" s="343">
        <f>SUMIFS($AU11:AU$1388,$Q11:Q$1388,"S")</f>
        <v>22106.012000000021</v>
      </c>
      <c r="BZ10" s="343">
        <f>SUMIFS($AU11:AU$1388,$Q11:Q$1388,"O")</f>
        <v>-1681.0579999997917</v>
      </c>
    </row>
    <row r="11" spans="1:78" ht="18" customHeight="1">
      <c r="A11" s="178" t="s">
        <v>91</v>
      </c>
      <c r="B11" s="177">
        <v>44847</v>
      </c>
      <c r="C11" s="178" t="s">
        <v>154</v>
      </c>
      <c r="D11" s="178" t="s">
        <v>93</v>
      </c>
      <c r="E11" s="179"/>
      <c r="F11" s="180"/>
      <c r="G11" s="181" t="s">
        <v>136</v>
      </c>
      <c r="H11" s="182"/>
      <c r="I11" s="182"/>
      <c r="J11" s="182"/>
      <c r="K11" s="183"/>
      <c r="L11" s="182">
        <v>1</v>
      </c>
      <c r="M11" s="182"/>
      <c r="N11" s="182"/>
      <c r="O11" s="183" t="s">
        <v>95</v>
      </c>
      <c r="P11" s="183" t="s">
        <v>137</v>
      </c>
      <c r="Q11" s="183" t="s">
        <v>97</v>
      </c>
      <c r="R11" s="183">
        <v>1</v>
      </c>
      <c r="S11" s="183">
        <v>1</v>
      </c>
      <c r="T11" s="183">
        <v>1</v>
      </c>
      <c r="U11" s="183" t="s">
        <v>97</v>
      </c>
      <c r="V11" s="183"/>
      <c r="W11" s="183"/>
      <c r="X11" s="183"/>
      <c r="Y11" s="184">
        <f t="shared" ref="Y11:Y19" si="2">IF(ISBLANK(O11),,(IF(O11=UPPER("IB"),0.005,0.01)))</f>
        <v>0.01</v>
      </c>
      <c r="Z11" s="184">
        <f>IF(ISBLANK(O11),,IF(O11=UPPER("IB"),8.63*200,15.14*100))</f>
        <v>1514</v>
      </c>
      <c r="AA11" s="185" t="s">
        <v>138</v>
      </c>
      <c r="AB11" s="185"/>
      <c r="AC11" s="185" t="s">
        <v>99</v>
      </c>
      <c r="AD11" s="649">
        <v>-0.02</v>
      </c>
      <c r="AE11" s="182" t="s">
        <v>155</v>
      </c>
      <c r="AF11" s="332"/>
      <c r="AG11" s="182"/>
      <c r="AH11" s="182">
        <v>-0.03</v>
      </c>
      <c r="AI11" s="182"/>
      <c r="AJ11" s="640" t="s">
        <v>156</v>
      </c>
      <c r="AK11" s="182"/>
      <c r="AL11" s="496">
        <f>-0.03*Z11</f>
        <v>-45.42</v>
      </c>
      <c r="AM11" s="496">
        <f t="shared" ref="AM11:AM17" si="3">AL11*R11</f>
        <v>-45.42</v>
      </c>
      <c r="AN11" s="626" t="s">
        <v>157</v>
      </c>
      <c r="AO11" s="182"/>
      <c r="AP11" s="182" t="s">
        <v>158</v>
      </c>
      <c r="AQ11" s="332" t="str">
        <f>UPPER(RIGHT(Journal_Live[[#This Row],[DURATION ]]))</f>
        <v>S</v>
      </c>
      <c r="AR11" s="182" t="s">
        <v>159</v>
      </c>
      <c r="AS11" s="189">
        <v>-0.03</v>
      </c>
      <c r="AT11" s="189">
        <f>IF(ISBLANK(AS11),,IF(U11="S",AD11-AS11,AS11-AD11))</f>
        <v>9.9999999999999985E-3</v>
      </c>
      <c r="AU11" s="187">
        <f>AV11*R11</f>
        <v>15.139999999999997</v>
      </c>
      <c r="AV11" s="190">
        <f>IF(ISBLANK(AS11),,(AT11*Z11))</f>
        <v>15.139999999999997</v>
      </c>
      <c r="AW11" s="191" t="s">
        <v>96</v>
      </c>
      <c r="AX11" s="407" t="s">
        <v>160</v>
      </c>
      <c r="AY11" s="407" t="s">
        <v>161</v>
      </c>
      <c r="AZ11" s="407" t="s">
        <v>162</v>
      </c>
      <c r="BA11" s="407"/>
      <c r="BB11" s="407"/>
      <c r="BC11" s="407"/>
      <c r="BD11" s="407"/>
      <c r="BE11" s="407"/>
      <c r="BF11" s="422" t="s">
        <v>163</v>
      </c>
      <c r="BG11" s="391">
        <f>SUM($AV$4:AV11)</f>
        <v>46.039999999999992</v>
      </c>
      <c r="BH11" s="392">
        <f>SUM($AU$4:AU11)</f>
        <v>46.039999999999992</v>
      </c>
      <c r="BI11" s="318"/>
      <c r="BJ11" s="318">
        <f>SUMIFS($AU12:AU$1388,$Q12:Q$1388,"F")</f>
        <v>14821.066666666669</v>
      </c>
      <c r="BK11" s="343">
        <f>SUMIFS($AU12:AU$1388,$P12:P$1388,"W")</f>
        <v>21581.641999999945</v>
      </c>
      <c r="BL11" s="343">
        <f>SUMIFS($AU12:AU$1388,$P12:P$1388,"W")</f>
        <v>21581.641999999945</v>
      </c>
      <c r="BM11" s="343">
        <f>SUMIFS($AU12:AU$134,$AQ12:AQ$134,"M")</f>
        <v>0</v>
      </c>
      <c r="BN11" s="343">
        <f>SUMIFS($AU12:AU$134,$AQ12:AQ$134,"M")</f>
        <v>0</v>
      </c>
      <c r="BO11" s="343">
        <f>SUMIFS($AU12:AU$134,$AQ12:AQ$134,"H")</f>
        <v>0</v>
      </c>
      <c r="BP11" s="343">
        <f>SUMIFS($AU14:AU$134,$AQ14:AQ$134,"D")</f>
        <v>400.6</v>
      </c>
      <c r="BQ11" s="343">
        <f>SUMIFS($AU12:AU$134,$Q12:Q$134,"O")</f>
        <v>-32.199999999993601</v>
      </c>
      <c r="BR11" s="343">
        <f>SUMIFS($AU12:AU$134,$AA12:AA$134,"*")</f>
        <v>1491.5300000000063</v>
      </c>
      <c r="BS11" s="343">
        <f>SUMIFS($AU12:AU$134,$AA12:AA$134,"*")</f>
        <v>1491.5300000000063</v>
      </c>
      <c r="BT11" s="343">
        <f>SUMIFS($AU12:AU$134,$AB12:AB$134,"*")</f>
        <v>85.099999999999923</v>
      </c>
      <c r="BU11" s="343">
        <f>SUMIFS($AU12:AU$134,$AA12:AA$134,"*",$AB12:AB$134,"*")</f>
        <v>85.099999999999923</v>
      </c>
      <c r="BV11" s="343">
        <f>SUMIFS($AU12:AU$134,$AA12:AA$134,"*",$AB12:AB$134,"*")</f>
        <v>85.099999999999923</v>
      </c>
      <c r="BW11" s="343">
        <f>SUMIFS($AU12:AU$134,$AA12:AA$134,"*",$AC12:AC$134,"*")</f>
        <v>1315.43</v>
      </c>
      <c r="BX11" s="343">
        <f>SUMIFS($AU12:AU$1388,$Q12:Q$1388,"F")</f>
        <v>14821.066666666669</v>
      </c>
      <c r="BY11" s="343">
        <f>SUMIFS($AU12:AU$1388,$Q12:Q$1388,"S")</f>
        <v>22090.872000000021</v>
      </c>
      <c r="BZ11" s="343">
        <f>SUMIFS($AU12:AU$1388,$Q12:Q$1388,"O")</f>
        <v>-1681.0579999997917</v>
      </c>
    </row>
    <row r="12" spans="1:78" ht="18" customHeight="1">
      <c r="A12" s="178" t="s">
        <v>91</v>
      </c>
      <c r="B12" s="177">
        <v>44847</v>
      </c>
      <c r="C12" s="194">
        <v>0.75</v>
      </c>
      <c r="D12" s="178" t="s">
        <v>93</v>
      </c>
      <c r="E12" s="179" t="s">
        <v>164</v>
      </c>
      <c r="F12" s="180" t="s">
        <v>165</v>
      </c>
      <c r="G12" s="181"/>
      <c r="H12" s="182">
        <v>1</v>
      </c>
      <c r="I12" s="182"/>
      <c r="J12" s="182"/>
      <c r="K12" s="183"/>
      <c r="L12" s="182"/>
      <c r="M12" s="182"/>
      <c r="N12" s="182"/>
      <c r="O12" s="183"/>
      <c r="P12" s="183"/>
      <c r="Q12" s="183"/>
      <c r="R12" s="183"/>
      <c r="S12" s="183"/>
      <c r="T12" s="183"/>
      <c r="U12" s="183"/>
      <c r="V12" s="183"/>
      <c r="W12" s="183"/>
      <c r="X12" s="183"/>
      <c r="Y12" s="184">
        <f t="shared" si="2"/>
        <v>0</v>
      </c>
      <c r="Z12" s="184">
        <f>IF(ISBLANK(O12),,IF(O12=UPPER("IB"),8.63*200,15.14*100))</f>
        <v>0</v>
      </c>
      <c r="AA12" s="185"/>
      <c r="AB12" s="185"/>
      <c r="AC12" s="185"/>
      <c r="AD12" s="649"/>
      <c r="AE12" s="182"/>
      <c r="AF12" s="332"/>
      <c r="AG12" s="182"/>
      <c r="AH12" s="182"/>
      <c r="AI12" s="182"/>
      <c r="AJ12" s="640"/>
      <c r="AK12" s="182"/>
      <c r="AL12" s="496"/>
      <c r="AM12" s="496">
        <f t="shared" si="3"/>
        <v>0</v>
      </c>
      <c r="AN12" s="626"/>
      <c r="AO12" s="182"/>
      <c r="AP12" s="182"/>
      <c r="AQ12" s="332" t="str">
        <f>UPPER(RIGHT(Journal_Live[[#This Row],[DURATION ]]))</f>
        <v/>
      </c>
      <c r="AR12" s="182"/>
      <c r="AS12" s="189"/>
      <c r="AT12" s="182"/>
      <c r="AU12" s="187"/>
      <c r="AV12" s="190"/>
      <c r="AW12" s="191"/>
      <c r="AX12" s="407" t="s">
        <v>166</v>
      </c>
      <c r="AY12" s="407" t="s">
        <v>167</v>
      </c>
      <c r="AZ12" s="407"/>
      <c r="BA12" s="407"/>
      <c r="BB12" s="407"/>
      <c r="BC12" s="407"/>
      <c r="BD12" s="407"/>
      <c r="BE12" s="407"/>
      <c r="BF12" s="422" t="s">
        <v>168</v>
      </c>
      <c r="BG12" s="391">
        <f>SUM($AV$4:AV12)</f>
        <v>46.039999999999992</v>
      </c>
      <c r="BH12" s="392">
        <f>SUM($AU$4:AU12)</f>
        <v>46.039999999999992</v>
      </c>
      <c r="BI12" s="318"/>
      <c r="BJ12" s="318">
        <f>SUMIFS($AU13:AU$1388,$Q13:Q$1388,"F")</f>
        <v>14821.066666666669</v>
      </c>
      <c r="BK12" s="343">
        <f>SUMIFS($AU13:AU$1388,$P13:P$1388,"W")</f>
        <v>21581.641999999945</v>
      </c>
      <c r="BL12" s="343">
        <f>SUMIFS($AU13:AU$1388,$P13:P$1388,"W")</f>
        <v>21581.641999999945</v>
      </c>
      <c r="BM12" s="343">
        <f>SUMIFS($AU13:AU$134,$AQ13:AQ$134,"M")</f>
        <v>0</v>
      </c>
      <c r="BN12" s="343">
        <f>SUMIFS($AU13:AU$134,$AQ13:AQ$134,"M")</f>
        <v>0</v>
      </c>
      <c r="BO12" s="343">
        <f>SUMIFS($AU13:AU$134,$AQ13:AQ$134,"H")</f>
        <v>0</v>
      </c>
      <c r="BP12" s="343">
        <f>SUMIFS($AU15:AU$134,$AQ15:AQ$134,"D")</f>
        <v>400.6</v>
      </c>
      <c r="BQ12" s="343">
        <f>SUMIFS($AU13:AU$134,$Q13:Q$134,"O")</f>
        <v>-32.199999999993601</v>
      </c>
      <c r="BR12" s="343">
        <f>SUMIFS($AU13:AU$134,$AA13:AA$134,"*")</f>
        <v>1491.5300000000063</v>
      </c>
      <c r="BS12" s="343">
        <f>SUMIFS($AU13:AU$134,$AA13:AA$134,"*")</f>
        <v>1491.5300000000063</v>
      </c>
      <c r="BT12" s="343">
        <f>SUMIFS($AU13:AU$134,$AB13:AB$134,"*")</f>
        <v>85.099999999999923</v>
      </c>
      <c r="BU12" s="343">
        <f>SUMIFS($AU13:AU$134,$AA13:AA$134,"*",$AB13:AB$134,"*")</f>
        <v>85.099999999999923</v>
      </c>
      <c r="BV12" s="343">
        <f>SUMIFS($AU13:AU$134,$AA13:AA$134,"*",$AB13:AB$134,"*")</f>
        <v>85.099999999999923</v>
      </c>
      <c r="BW12" s="343">
        <f>SUMIFS($AU13:AU$134,$AA13:AA$134,"*",$AC13:AC$134,"*")</f>
        <v>1315.43</v>
      </c>
      <c r="BX12" s="343">
        <f>SUMIFS($AU13:AU$1388,$Q13:Q$1388,"F")</f>
        <v>14821.066666666669</v>
      </c>
      <c r="BY12" s="343">
        <f>SUMIFS($AU13:AU$1388,$Q13:Q$1388,"S")</f>
        <v>22090.872000000021</v>
      </c>
      <c r="BZ12" s="343">
        <f>SUMIFS($AU13:AU$1388,$Q13:Q$1388,"O")</f>
        <v>-1681.0579999997917</v>
      </c>
    </row>
    <row r="13" spans="1:78" ht="18" customHeight="1">
      <c r="A13" s="178" t="s">
        <v>91</v>
      </c>
      <c r="B13" s="177"/>
      <c r="C13" s="178"/>
      <c r="D13" s="178"/>
      <c r="E13" s="179" t="s">
        <v>169</v>
      </c>
      <c r="F13" s="180" t="s">
        <v>170</v>
      </c>
      <c r="G13" s="181"/>
      <c r="H13" s="182">
        <v>1</v>
      </c>
      <c r="I13" s="182"/>
      <c r="J13" s="182"/>
      <c r="K13" s="183"/>
      <c r="L13" s="182"/>
      <c r="M13" s="182"/>
      <c r="N13" s="182"/>
      <c r="O13" s="183"/>
      <c r="P13" s="183"/>
      <c r="Q13" s="183"/>
      <c r="R13" s="183"/>
      <c r="S13" s="183"/>
      <c r="T13" s="183"/>
      <c r="U13" s="183"/>
      <c r="V13" s="183"/>
      <c r="W13" s="183"/>
      <c r="X13" s="183"/>
      <c r="Y13" s="184">
        <f t="shared" si="2"/>
        <v>0</v>
      </c>
      <c r="Z13" s="184">
        <f>IF(ISBLANK(O13),,IF(O13=UPPER("IB"),8.63*200,15.14*100))</f>
        <v>0</v>
      </c>
      <c r="AA13" s="185"/>
      <c r="AB13" s="185"/>
      <c r="AC13" s="185"/>
      <c r="AD13" s="649"/>
      <c r="AE13" s="182"/>
      <c r="AF13" s="332"/>
      <c r="AG13" s="182"/>
      <c r="AH13" s="182"/>
      <c r="AI13" s="182"/>
      <c r="AJ13" s="640"/>
      <c r="AK13" s="182"/>
      <c r="AL13" s="496"/>
      <c r="AM13" s="496">
        <f t="shared" si="3"/>
        <v>0</v>
      </c>
      <c r="AN13" s="626"/>
      <c r="AO13" s="182"/>
      <c r="AP13" s="182"/>
      <c r="AQ13" s="332" t="str">
        <f>UPPER(RIGHT(Journal_Live[[#This Row],[DURATION ]]))</f>
        <v/>
      </c>
      <c r="AR13" s="182"/>
      <c r="AS13" s="189"/>
      <c r="AT13" s="182"/>
      <c r="AU13" s="187"/>
      <c r="AV13" s="190"/>
      <c r="AW13" s="191"/>
      <c r="AX13" s="407"/>
      <c r="AY13" s="407"/>
      <c r="AZ13" s="407"/>
      <c r="BA13" s="407"/>
      <c r="BB13" s="407"/>
      <c r="BC13" s="407"/>
      <c r="BD13" s="407"/>
      <c r="BE13" s="407"/>
      <c r="BF13" s="422"/>
      <c r="BG13" s="391">
        <f>SUM($AV$4:AV13)</f>
        <v>46.039999999999992</v>
      </c>
      <c r="BH13" s="392">
        <f>SUM($AU$4:AU13)</f>
        <v>46.039999999999992</v>
      </c>
      <c r="BI13" s="318"/>
      <c r="BJ13" s="318">
        <f>SUMIFS($AU14:AU$1388,$Q14:Q$1388,"F")</f>
        <v>14821.066666666669</v>
      </c>
      <c r="BK13" s="343">
        <f>SUMIFS($AU14:AU$1388,$P14:P$1388,"W")</f>
        <v>21581.641999999945</v>
      </c>
      <c r="BL13" s="343">
        <f>SUMIFS($AU14:AU$1388,$P14:P$1388,"W")</f>
        <v>21581.641999999945</v>
      </c>
      <c r="BM13" s="343">
        <f>SUMIFS($AU14:AU$134,$AQ14:AQ$134,"M")</f>
        <v>0</v>
      </c>
      <c r="BN13" s="343">
        <f>SUMIFS($AU14:AU$134,$AQ14:AQ$134,"M")</f>
        <v>0</v>
      </c>
      <c r="BO13" s="343">
        <f>SUMIFS($AU14:AU$134,$AQ14:AQ$134,"H")</f>
        <v>0</v>
      </c>
      <c r="BP13" s="343">
        <f>SUMIFS($AU16:AU$134,$AQ16:AQ$134,"D")</f>
        <v>400.6</v>
      </c>
      <c r="BQ13" s="343">
        <f>SUMIFS($AU14:AU$134,$Q14:Q$134,"O")</f>
        <v>-32.199999999993601</v>
      </c>
      <c r="BR13" s="343">
        <f>SUMIFS($AU14:AU$134,$AA14:AA$134,"*")</f>
        <v>1491.5300000000063</v>
      </c>
      <c r="BS13" s="343">
        <f>SUMIFS($AU14:AU$134,$AA14:AA$134,"*")</f>
        <v>1491.5300000000063</v>
      </c>
      <c r="BT13" s="343">
        <f>SUMIFS($AU14:AU$134,$AB14:AB$134,"*")</f>
        <v>85.099999999999923</v>
      </c>
      <c r="BU13" s="343">
        <f>SUMIFS($AU14:AU$134,$AA14:AA$134,"*",$AB14:AB$134,"*")</f>
        <v>85.099999999999923</v>
      </c>
      <c r="BV13" s="343">
        <f>SUMIFS($AU14:AU$134,$AA14:AA$134,"*",$AB14:AB$134,"*")</f>
        <v>85.099999999999923</v>
      </c>
      <c r="BW13" s="343">
        <f>SUMIFS($AU14:AU$134,$AA14:AA$134,"*",$AC14:AC$134,"*")</f>
        <v>1315.43</v>
      </c>
      <c r="BX13" s="343">
        <f>SUMIFS($AU14:AU$1388,$Q14:Q$1388,"F")</f>
        <v>14821.066666666669</v>
      </c>
      <c r="BY13" s="343">
        <f>SUMIFS($AU14:AU$1388,$Q14:Q$1388,"S")</f>
        <v>22090.872000000021</v>
      </c>
      <c r="BZ13" s="343">
        <f>SUMIFS($AU14:AU$1388,$Q14:Q$1388,"O")</f>
        <v>-1681.0579999997917</v>
      </c>
    </row>
    <row r="14" spans="1:78" ht="18" customHeight="1">
      <c r="A14" s="178" t="s">
        <v>91</v>
      </c>
      <c r="B14" s="177">
        <v>44851</v>
      </c>
      <c r="C14" s="178" t="s">
        <v>171</v>
      </c>
      <c r="D14" s="178" t="s">
        <v>132</v>
      </c>
      <c r="E14" s="179"/>
      <c r="F14" s="180"/>
      <c r="G14" s="181" t="s">
        <v>136</v>
      </c>
      <c r="H14" s="182"/>
      <c r="I14" s="182"/>
      <c r="J14" s="182"/>
      <c r="K14" s="183"/>
      <c r="L14" s="182">
        <v>1</v>
      </c>
      <c r="M14" s="182"/>
      <c r="N14" s="182"/>
      <c r="O14" s="183" t="s">
        <v>95</v>
      </c>
      <c r="P14" s="183" t="s">
        <v>137</v>
      </c>
      <c r="Q14" s="183" t="s">
        <v>97</v>
      </c>
      <c r="R14" s="183">
        <v>1</v>
      </c>
      <c r="S14" s="183">
        <v>1</v>
      </c>
      <c r="T14" s="183">
        <v>1</v>
      </c>
      <c r="U14" s="183" t="s">
        <v>97</v>
      </c>
      <c r="V14" s="183"/>
      <c r="W14" s="183"/>
      <c r="X14" s="183"/>
      <c r="Y14" s="184">
        <f t="shared" si="2"/>
        <v>0.01</v>
      </c>
      <c r="Z14" s="184">
        <f>IF(ISBLANK(O14),,IF(O14=UPPER("IB"),8.63*200,15*100))</f>
        <v>1500</v>
      </c>
      <c r="AA14" s="185" t="s">
        <v>138</v>
      </c>
      <c r="AB14" s="185"/>
      <c r="AC14" s="185" t="s">
        <v>99</v>
      </c>
      <c r="AD14" s="649">
        <v>-0.02</v>
      </c>
      <c r="AE14" s="182"/>
      <c r="AF14" s="332"/>
      <c r="AG14" s="182"/>
      <c r="AH14" s="182">
        <v>-0.03</v>
      </c>
      <c r="AI14" s="182"/>
      <c r="AJ14" s="640"/>
      <c r="AK14" s="182"/>
      <c r="AL14" s="496">
        <f t="shared" ref="AL14:AL16" si="4">-0.03*Z14</f>
        <v>-45</v>
      </c>
      <c r="AM14" s="496">
        <f t="shared" si="3"/>
        <v>-45</v>
      </c>
      <c r="AN14" s="626" t="s">
        <v>172</v>
      </c>
      <c r="AO14" s="182"/>
      <c r="AP14" s="182" t="s">
        <v>158</v>
      </c>
      <c r="AQ14" s="332" t="str">
        <f>UPPER(RIGHT(Journal_Live[[#This Row],[DURATION ]]))</f>
        <v>S</v>
      </c>
      <c r="AR14" s="182" t="s">
        <v>173</v>
      </c>
      <c r="AS14" s="189">
        <v>-0.03</v>
      </c>
      <c r="AT14" s="189">
        <f t="shared" ref="AT14:AT19" si="5">IF(ISBLANK(AS14),,IF(U14="S",AD14-AS14,AS14-AD14))</f>
        <v>9.9999999999999985E-3</v>
      </c>
      <c r="AU14" s="187">
        <f>AV14*R14</f>
        <v>14.999999999999998</v>
      </c>
      <c r="AV14" s="190">
        <f t="shared" ref="AV14:AV19" si="6">IF(ISBLANK(AS14),,(AT14*Z14))</f>
        <v>14.999999999999998</v>
      </c>
      <c r="AW14" s="191" t="s">
        <v>96</v>
      </c>
      <c r="AX14" s="407" t="s">
        <v>174</v>
      </c>
      <c r="AY14" s="407" t="s">
        <v>175</v>
      </c>
      <c r="AZ14" s="407" t="s">
        <v>176</v>
      </c>
      <c r="BA14" s="407"/>
      <c r="BB14" s="407"/>
      <c r="BC14" s="407"/>
      <c r="BD14" s="407"/>
      <c r="BE14" s="407"/>
      <c r="BF14" s="422"/>
      <c r="BG14" s="391">
        <f>SUM($AV$4:AV14)</f>
        <v>61.039999999999992</v>
      </c>
      <c r="BH14" s="392">
        <f>SUM($AU$4:AU14)</f>
        <v>61.039999999999992</v>
      </c>
      <c r="BI14" s="318"/>
      <c r="BJ14" s="318">
        <f>SUMIFS($AU15:AU$1388,$Q15:Q$1388,"F")</f>
        <v>14821.066666666669</v>
      </c>
      <c r="BK14" s="343">
        <f>SUMIFS($AU15:AU$1388,$P15:P$1388,"W")</f>
        <v>21581.641999999945</v>
      </c>
      <c r="BL14" s="343">
        <f>SUMIFS($AU15:AU$1388,$P15:P$1388,"W")</f>
        <v>21581.641999999945</v>
      </c>
      <c r="BM14" s="343">
        <f>SUMIFS($AU15:AU$134,$AQ15:AQ$134,"M")</f>
        <v>0</v>
      </c>
      <c r="BN14" s="343">
        <f>SUMIFS($AU15:AU$134,$AQ15:AQ$134,"M")</f>
        <v>0</v>
      </c>
      <c r="BO14" s="343">
        <f>SUMIFS($AU15:AU$134,$AQ15:AQ$134,"H")</f>
        <v>0</v>
      </c>
      <c r="BP14" s="343">
        <f>SUMIFS($AU17:AU$134,$AQ17:AQ$134,"D")</f>
        <v>400.6</v>
      </c>
      <c r="BQ14" s="343">
        <f>SUMIFS($AU15:AU$134,$Q15:Q$134,"O")</f>
        <v>-32.199999999993601</v>
      </c>
      <c r="BR14" s="343">
        <f>SUMIFS($AU15:AU$134,$AA15:AA$134,"*")</f>
        <v>1476.5300000000063</v>
      </c>
      <c r="BS14" s="343">
        <f>SUMIFS($AU15:AU$134,$AA15:AA$134,"*")</f>
        <v>1476.5300000000063</v>
      </c>
      <c r="BT14" s="343">
        <f>SUMIFS($AU15:AU$134,$AB15:AB$134,"*")</f>
        <v>85.099999999999923</v>
      </c>
      <c r="BU14" s="343">
        <f>SUMIFS($AU15:AU$134,$AA15:AA$134,"*",$AB15:AB$134,"*")</f>
        <v>85.099999999999923</v>
      </c>
      <c r="BV14" s="343">
        <f>SUMIFS($AU15:AU$134,$AA15:AA$134,"*",$AB15:AB$134,"*")</f>
        <v>85.099999999999923</v>
      </c>
      <c r="BW14" s="343">
        <f>SUMIFS($AU15:AU$134,$AA15:AA$134,"*",$AC15:AC$134,"*")</f>
        <v>1300.43</v>
      </c>
      <c r="BX14" s="343">
        <f>SUMIFS($AU15:AU$1388,$Q15:Q$1388,"F")</f>
        <v>14821.066666666669</v>
      </c>
      <c r="BY14" s="343">
        <f>SUMIFS($AU15:AU$1388,$Q15:Q$1388,"S")</f>
        <v>22075.872000000021</v>
      </c>
      <c r="BZ14" s="343">
        <f>SUMIFS($AU15:AU$1388,$Q15:Q$1388,"O")</f>
        <v>-1681.0579999997917</v>
      </c>
    </row>
    <row r="15" spans="1:78" ht="18" customHeight="1">
      <c r="A15" s="178" t="s">
        <v>91</v>
      </c>
      <c r="B15" s="177">
        <v>44852</v>
      </c>
      <c r="C15" s="178" t="s">
        <v>177</v>
      </c>
      <c r="D15" s="178" t="s">
        <v>146</v>
      </c>
      <c r="E15" s="179" t="s">
        <v>178</v>
      </c>
      <c r="F15" s="180" t="s">
        <v>179</v>
      </c>
      <c r="G15" s="181"/>
      <c r="H15" s="182"/>
      <c r="I15" s="182"/>
      <c r="J15" s="182"/>
      <c r="K15" s="183"/>
      <c r="L15" s="182"/>
      <c r="M15" s="182"/>
      <c r="N15" s="182"/>
      <c r="O15" s="183"/>
      <c r="P15" s="183"/>
      <c r="Q15" s="183"/>
      <c r="R15" s="183"/>
      <c r="S15" s="183"/>
      <c r="T15" s="183"/>
      <c r="U15" s="183"/>
      <c r="V15" s="183"/>
      <c r="W15" s="183"/>
      <c r="X15" s="183"/>
      <c r="Y15" s="184">
        <f t="shared" si="2"/>
        <v>0</v>
      </c>
      <c r="Z15" s="184">
        <f>IF(ISBLANK(O15),,IF(O15=UPPER("IB"),8.63*200,15*100))</f>
        <v>0</v>
      </c>
      <c r="AA15" s="185"/>
      <c r="AB15" s="185"/>
      <c r="AC15" s="185"/>
      <c r="AD15" s="649"/>
      <c r="AE15" s="182"/>
      <c r="AF15" s="332"/>
      <c r="AG15" s="182"/>
      <c r="AH15" s="182"/>
      <c r="AI15" s="182"/>
      <c r="AJ15" s="640"/>
      <c r="AK15" s="182"/>
      <c r="AL15" s="496">
        <f t="shared" si="4"/>
        <v>0</v>
      </c>
      <c r="AM15" s="496">
        <f t="shared" si="3"/>
        <v>0</v>
      </c>
      <c r="AN15" s="626"/>
      <c r="AO15" s="182"/>
      <c r="AP15" s="182"/>
      <c r="AQ15" s="332" t="str">
        <f>UPPER(RIGHT(Journal_Live[[#This Row],[DURATION ]]))</f>
        <v/>
      </c>
      <c r="AR15" s="182"/>
      <c r="AS15" s="189"/>
      <c r="AT15" s="182">
        <f t="shared" si="5"/>
        <v>0</v>
      </c>
      <c r="AU15" s="187"/>
      <c r="AV15" s="190">
        <f t="shared" si="6"/>
        <v>0</v>
      </c>
      <c r="AW15" s="191"/>
      <c r="AX15" s="407"/>
      <c r="AY15" s="407"/>
      <c r="AZ15" s="407"/>
      <c r="BA15" s="407"/>
      <c r="BB15" s="407"/>
      <c r="BC15" s="407"/>
      <c r="BD15" s="407"/>
      <c r="BE15" s="407"/>
      <c r="BF15" s="422"/>
      <c r="BG15" s="391">
        <f>SUM($AV$4:AV15)</f>
        <v>61.039999999999992</v>
      </c>
      <c r="BH15" s="392">
        <f>SUM($AU$4:AU15)</f>
        <v>61.039999999999992</v>
      </c>
      <c r="BI15" s="318"/>
      <c r="BJ15" s="318">
        <f>SUMIFS($AU16:AU$1388,$Q16:Q$1388,"F")</f>
        <v>14821.066666666669</v>
      </c>
      <c r="BK15" s="343">
        <f>SUMIFS($AU16:AU$1388,$P16:P$1388,"W")</f>
        <v>21581.641999999945</v>
      </c>
      <c r="BL15" s="343">
        <f>SUMIFS($AU16:AU$1388,$P16:P$1388,"W")</f>
        <v>21581.641999999945</v>
      </c>
      <c r="BM15" s="343">
        <f>SUMIFS($AU16:AU$134,$AQ16:AQ$134,"M")</f>
        <v>0</v>
      </c>
      <c r="BN15" s="343">
        <f>SUMIFS($AU16:AU$134,$AQ16:AQ$134,"M")</f>
        <v>0</v>
      </c>
      <c r="BO15" s="343">
        <f>SUMIFS($AU16:AU$134,$AQ16:AQ$134,"H")</f>
        <v>0</v>
      </c>
      <c r="BP15" s="343">
        <f>SUMIFS($AU18:AU$134,$AQ18:AQ$134,"D")</f>
        <v>400.6</v>
      </c>
      <c r="BQ15" s="343">
        <f>SUMIFS($AU16:AU$134,$Q16:Q$134,"O")</f>
        <v>-32.199999999993601</v>
      </c>
      <c r="BR15" s="343">
        <f>SUMIFS($AU16:AU$134,$AA16:AA$134,"*")</f>
        <v>1476.5300000000063</v>
      </c>
      <c r="BS15" s="343">
        <f>SUMIFS($AU16:AU$134,$AA16:AA$134,"*")</f>
        <v>1476.5300000000063</v>
      </c>
      <c r="BT15" s="343">
        <f>SUMIFS($AU16:AU$134,$AB16:AB$134,"*")</f>
        <v>85.099999999999923</v>
      </c>
      <c r="BU15" s="343">
        <f>SUMIFS($AU16:AU$134,$AA16:AA$134,"*",$AB16:AB$134,"*")</f>
        <v>85.099999999999923</v>
      </c>
      <c r="BV15" s="343">
        <f>SUMIFS($AU16:AU$134,$AA16:AA$134,"*",$AB16:AB$134,"*")</f>
        <v>85.099999999999923</v>
      </c>
      <c r="BW15" s="343">
        <f>SUMIFS($AU16:AU$134,$AA16:AA$134,"*",$AC16:AC$134,"*")</f>
        <v>1300.43</v>
      </c>
      <c r="BX15" s="343">
        <f>SUMIFS($AU16:AU$1388,$Q16:Q$1388,"F")</f>
        <v>14821.066666666669</v>
      </c>
      <c r="BY15" s="343">
        <f>SUMIFS($AU16:AU$1388,$Q16:Q$1388,"S")</f>
        <v>22075.872000000021</v>
      </c>
      <c r="BZ15" s="343">
        <f>SUMIFS($AU16:AU$1388,$Q16:Q$1388,"O")</f>
        <v>-1681.0579999997917</v>
      </c>
    </row>
    <row r="16" spans="1:78" ht="18" customHeight="1">
      <c r="A16" s="178" t="s">
        <v>91</v>
      </c>
      <c r="B16" s="177">
        <v>44852</v>
      </c>
      <c r="C16" s="178" t="s">
        <v>180</v>
      </c>
      <c r="D16" s="178" t="s">
        <v>146</v>
      </c>
      <c r="E16" s="179"/>
      <c r="F16" s="180"/>
      <c r="G16" s="181" t="s">
        <v>181</v>
      </c>
      <c r="H16" s="182"/>
      <c r="I16" s="182"/>
      <c r="J16" s="182"/>
      <c r="K16" s="183"/>
      <c r="L16" s="182">
        <v>1</v>
      </c>
      <c r="M16" s="182"/>
      <c r="N16" s="182"/>
      <c r="O16" s="183" t="s">
        <v>95</v>
      </c>
      <c r="P16" s="183" t="s">
        <v>137</v>
      </c>
      <c r="Q16" s="183" t="s">
        <v>97</v>
      </c>
      <c r="R16" s="183">
        <v>1</v>
      </c>
      <c r="S16" s="183">
        <v>1</v>
      </c>
      <c r="T16" s="183">
        <v>1</v>
      </c>
      <c r="U16" s="183" t="s">
        <v>97</v>
      </c>
      <c r="V16" s="183"/>
      <c r="W16" s="183"/>
      <c r="X16" s="183"/>
      <c r="Y16" s="184">
        <f t="shared" si="2"/>
        <v>0.01</v>
      </c>
      <c r="Z16" s="184">
        <f>IF(ISBLANK(O16),,IF(O16=UPPER("IB"),8.63*200,15.13*100))</f>
        <v>1513</v>
      </c>
      <c r="AA16" s="185" t="s">
        <v>138</v>
      </c>
      <c r="AB16" s="185"/>
      <c r="AC16" s="185" t="s">
        <v>99</v>
      </c>
      <c r="AD16" s="649">
        <v>-0.04</v>
      </c>
      <c r="AE16" s="182" t="s">
        <v>182</v>
      </c>
      <c r="AF16" s="332"/>
      <c r="AG16" s="182"/>
      <c r="AH16" s="182">
        <v>-0.05</v>
      </c>
      <c r="AI16" s="182"/>
      <c r="AJ16" s="640" t="s">
        <v>183</v>
      </c>
      <c r="AK16" s="182"/>
      <c r="AL16" s="496">
        <f t="shared" si="4"/>
        <v>-45.39</v>
      </c>
      <c r="AM16" s="496">
        <f t="shared" si="3"/>
        <v>-45.39</v>
      </c>
      <c r="AN16" s="626" t="s">
        <v>184</v>
      </c>
      <c r="AO16" s="182"/>
      <c r="AP16" s="182" t="s">
        <v>185</v>
      </c>
      <c r="AQ16" s="332" t="str">
        <f>UPPER(RIGHT(Journal_Live[[#This Row],[DURATION ]]))</f>
        <v>S</v>
      </c>
      <c r="AR16" s="182" t="s">
        <v>186</v>
      </c>
      <c r="AS16" s="189">
        <v>-0.05</v>
      </c>
      <c r="AT16" s="189">
        <f t="shared" si="5"/>
        <v>1.0000000000000002E-2</v>
      </c>
      <c r="AU16" s="187">
        <f>AV16*R16</f>
        <v>15.130000000000003</v>
      </c>
      <c r="AV16" s="190">
        <f t="shared" si="6"/>
        <v>15.130000000000003</v>
      </c>
      <c r="AW16" s="191" t="s">
        <v>96</v>
      </c>
      <c r="AX16" s="407" t="s">
        <v>174</v>
      </c>
      <c r="AY16" s="407" t="s">
        <v>187</v>
      </c>
      <c r="AZ16" s="407" t="s">
        <v>188</v>
      </c>
      <c r="BA16" s="407"/>
      <c r="BB16" s="407"/>
      <c r="BC16" s="407"/>
      <c r="BD16" s="407"/>
      <c r="BE16" s="407"/>
      <c r="BF16" s="422"/>
      <c r="BG16" s="391">
        <f>SUM($AV$4:AV16)</f>
        <v>76.169999999999987</v>
      </c>
      <c r="BH16" s="392">
        <f>SUM($AU$4:AU16)</f>
        <v>76.169999999999987</v>
      </c>
      <c r="BI16" s="318"/>
      <c r="BJ16" s="318">
        <f>SUMIFS($AU17:AU$1388,$Q17:Q$1388,"F")</f>
        <v>14821.066666666669</v>
      </c>
      <c r="BK16" s="343">
        <f>SUMIFS($AU17:AU$1388,$P17:P$1388,"W")</f>
        <v>21581.641999999945</v>
      </c>
      <c r="BL16" s="343">
        <f>SUMIFS($AU17:AU$1388,$P17:P$1388,"W")</f>
        <v>21581.641999999945</v>
      </c>
      <c r="BM16" s="343">
        <f>SUMIFS($AU17:AU$134,$AQ17:AQ$134,"M")</f>
        <v>0</v>
      </c>
      <c r="BN16" s="343">
        <f>SUMIFS($AU17:AU$134,$AQ17:AQ$134,"M")</f>
        <v>0</v>
      </c>
      <c r="BO16" s="343">
        <f>SUMIFS($AU17:AU$134,$AQ17:AQ$134,"H")</f>
        <v>0</v>
      </c>
      <c r="BP16" s="343">
        <f>SUMIFS($AU19:AU$134,$AQ19:AQ$134,"D")</f>
        <v>400.6</v>
      </c>
      <c r="BQ16" s="343">
        <f>SUMIFS($AU17:AU$134,$Q17:Q$134,"O")</f>
        <v>-32.199999999993601</v>
      </c>
      <c r="BR16" s="343">
        <f>SUMIFS($AU17:AU$134,$AA17:AA$134,"*")</f>
        <v>1461.4000000000062</v>
      </c>
      <c r="BS16" s="343">
        <f>SUMIFS($AU17:AU$134,$AA17:AA$134,"*")</f>
        <v>1461.4000000000062</v>
      </c>
      <c r="BT16" s="343">
        <f>SUMIFS($AU17:AU$134,$AB17:AB$134,"*")</f>
        <v>85.099999999999923</v>
      </c>
      <c r="BU16" s="343">
        <f>SUMIFS($AU17:AU$134,$AA17:AA$134,"*",$AB17:AB$134,"*")</f>
        <v>85.099999999999923</v>
      </c>
      <c r="BV16" s="343">
        <f>SUMIFS($AU17:AU$134,$AA17:AA$134,"*",$AB17:AB$134,"*")</f>
        <v>85.099999999999923</v>
      </c>
      <c r="BW16" s="343">
        <f>SUMIFS($AU17:AU$134,$AA17:AA$134,"*",$AC17:AC$134,"*")</f>
        <v>1285.3</v>
      </c>
      <c r="BX16" s="343">
        <f>SUMIFS($AU17:AU$1388,$Q17:Q$1388,"F")</f>
        <v>14821.066666666669</v>
      </c>
      <c r="BY16" s="343">
        <f>SUMIFS($AU17:AU$1388,$Q17:Q$1388,"S")</f>
        <v>22060.74200000002</v>
      </c>
      <c r="BZ16" s="343">
        <f>SUMIFS($AU17:AU$1388,$Q17:Q$1388,"O")</f>
        <v>-1681.0579999997917</v>
      </c>
    </row>
    <row r="17" spans="1:78" ht="18" customHeight="1">
      <c r="A17" s="178" t="s">
        <v>91</v>
      </c>
      <c r="B17" s="177">
        <v>44852</v>
      </c>
      <c r="C17" s="178" t="s">
        <v>189</v>
      </c>
      <c r="D17" s="178" t="s">
        <v>146</v>
      </c>
      <c r="E17" s="179"/>
      <c r="F17" s="180"/>
      <c r="G17" s="181" t="s">
        <v>94</v>
      </c>
      <c r="H17" s="182"/>
      <c r="I17" s="182"/>
      <c r="J17" s="182"/>
      <c r="K17" s="183"/>
      <c r="L17" s="182">
        <v>1</v>
      </c>
      <c r="M17" s="182"/>
      <c r="N17" s="182"/>
      <c r="O17" s="183" t="s">
        <v>95</v>
      </c>
      <c r="P17" s="183" t="s">
        <v>137</v>
      </c>
      <c r="Q17" s="183" t="s">
        <v>97</v>
      </c>
      <c r="R17" s="183">
        <v>1</v>
      </c>
      <c r="S17" s="183">
        <v>1</v>
      </c>
      <c r="T17" s="183">
        <v>1</v>
      </c>
      <c r="U17" s="183" t="s">
        <v>22</v>
      </c>
      <c r="V17" s="183"/>
      <c r="W17" s="183"/>
      <c r="X17" s="183"/>
      <c r="Y17" s="184">
        <f t="shared" si="2"/>
        <v>0.01</v>
      </c>
      <c r="Z17" s="184">
        <f>IF(ISBLANK(O17),,IF(O17=UPPER("IB"),8.63*200,15.15*100))</f>
        <v>1515</v>
      </c>
      <c r="AA17" s="185" t="s">
        <v>138</v>
      </c>
      <c r="AB17" s="185"/>
      <c r="AC17" s="185" t="s">
        <v>99</v>
      </c>
      <c r="AD17" s="649">
        <v>-0.01</v>
      </c>
      <c r="AE17" s="182"/>
      <c r="AF17" s="332"/>
      <c r="AG17" s="182"/>
      <c r="AH17" s="182">
        <v>1</v>
      </c>
      <c r="AI17" s="182"/>
      <c r="AJ17" s="640" t="s">
        <v>190</v>
      </c>
      <c r="AK17" s="182"/>
      <c r="AL17" s="496">
        <f>-0.02*Z17</f>
        <v>-30.3</v>
      </c>
      <c r="AM17" s="496">
        <f t="shared" si="3"/>
        <v>-30.3</v>
      </c>
      <c r="AN17" s="626" t="s">
        <v>191</v>
      </c>
      <c r="AO17" s="182"/>
      <c r="AP17" s="182" t="s">
        <v>192</v>
      </c>
      <c r="AQ17" s="332" t="str">
        <f>UPPER(RIGHT(Journal_Live[[#This Row],[DURATION ]]))</f>
        <v>Y</v>
      </c>
      <c r="AR17" s="182" t="s">
        <v>193</v>
      </c>
      <c r="AS17" s="189">
        <v>0</v>
      </c>
      <c r="AT17" s="189">
        <f t="shared" si="5"/>
        <v>0.01</v>
      </c>
      <c r="AU17" s="187">
        <f>AV17*R17</f>
        <v>15.15</v>
      </c>
      <c r="AV17" s="190">
        <f t="shared" si="6"/>
        <v>15.15</v>
      </c>
      <c r="AW17" s="191" t="s">
        <v>96</v>
      </c>
      <c r="AX17" s="407" t="s">
        <v>194</v>
      </c>
      <c r="AY17" s="407" t="s">
        <v>195</v>
      </c>
      <c r="AZ17" s="407"/>
      <c r="BA17" s="407"/>
      <c r="BB17" s="407"/>
      <c r="BC17" s="407"/>
      <c r="BD17" s="423" t="s">
        <v>195</v>
      </c>
      <c r="BE17" s="407"/>
      <c r="BF17" s="422"/>
      <c r="BG17" s="391">
        <f>SUM($AV$4:AV17)</f>
        <v>91.32</v>
      </c>
      <c r="BH17" s="392">
        <f>SUM($AU$4:AU17)</f>
        <v>91.32</v>
      </c>
      <c r="BI17" s="318"/>
      <c r="BJ17" s="318">
        <f>SUMIFS($AU18:AU$1388,$Q18:Q$1388,"F")</f>
        <v>14821.066666666669</v>
      </c>
      <c r="BK17" s="343">
        <f>SUMIFS($AU18:AU$1388,$P18:P$1388,"W")</f>
        <v>21581.641999999945</v>
      </c>
      <c r="BL17" s="343">
        <f>SUMIFS($AU18:AU$1388,$P18:P$1388,"W")</f>
        <v>21581.641999999945</v>
      </c>
      <c r="BM17" s="343">
        <f>SUMIFS($AU18:AU$134,$AQ18:AQ$134,"M")</f>
        <v>0</v>
      </c>
      <c r="BN17" s="343">
        <f>SUMIFS($AU18:AU$134,$AQ18:AQ$134,"M")</f>
        <v>0</v>
      </c>
      <c r="BO17" s="343">
        <f>SUMIFS($AU18:AU$134,$AQ18:AQ$134,"H")</f>
        <v>0</v>
      </c>
      <c r="BP17" s="343">
        <f>SUMIFS($AU20:AU$134,$AQ20:AQ$134,"D")</f>
        <v>400.6</v>
      </c>
      <c r="BQ17" s="343">
        <f>SUMIFS($AU18:AU$134,$Q18:Q$134,"O")</f>
        <v>-32.199999999993601</v>
      </c>
      <c r="BR17" s="343">
        <f>SUMIFS($AU18:AU$134,$AA18:AA$134,"*")</f>
        <v>1446.2500000000064</v>
      </c>
      <c r="BS17" s="343">
        <f>SUMIFS($AU18:AU$134,$AA18:AA$134,"*")</f>
        <v>1446.2500000000064</v>
      </c>
      <c r="BT17" s="343">
        <f>SUMIFS($AU18:AU$134,$AB18:AB$134,"*")</f>
        <v>85.099999999999923</v>
      </c>
      <c r="BU17" s="343">
        <f>SUMIFS($AU18:AU$134,$AA18:AA$134,"*",$AB18:AB$134,"*")</f>
        <v>85.099999999999923</v>
      </c>
      <c r="BV17" s="343">
        <f>SUMIFS($AU18:AU$134,$AA18:AA$134,"*",$AB18:AB$134,"*")</f>
        <v>85.099999999999923</v>
      </c>
      <c r="BW17" s="343">
        <f>SUMIFS($AU18:AU$134,$AA18:AA$134,"*",$AC18:AC$134,"*")</f>
        <v>1270.1499999999999</v>
      </c>
      <c r="BX17" s="343">
        <f>SUMIFS($AU18:AU$1388,$Q18:Q$1388,"F")</f>
        <v>14821.066666666669</v>
      </c>
      <c r="BY17" s="343">
        <f>SUMIFS($AU18:AU$1388,$Q18:Q$1388,"S")</f>
        <v>22045.592000000022</v>
      </c>
      <c r="BZ17" s="343">
        <f>SUMIFS($AU18:AU$1388,$Q18:Q$1388,"O")</f>
        <v>-1681.0579999997917</v>
      </c>
    </row>
    <row r="18" spans="1:78" ht="18" customHeight="1">
      <c r="A18" s="178" t="s">
        <v>91</v>
      </c>
      <c r="B18" s="177">
        <v>44852</v>
      </c>
      <c r="C18" s="178" t="s">
        <v>196</v>
      </c>
      <c r="D18" s="178" t="s">
        <v>146</v>
      </c>
      <c r="E18" s="179"/>
      <c r="F18" s="180"/>
      <c r="G18" s="181" t="s">
        <v>133</v>
      </c>
      <c r="H18" s="182"/>
      <c r="I18" s="182"/>
      <c r="J18" s="182"/>
      <c r="K18" s="183"/>
      <c r="L18" s="182">
        <v>1</v>
      </c>
      <c r="M18" s="182"/>
      <c r="N18" s="182"/>
      <c r="O18" s="183" t="s">
        <v>95</v>
      </c>
      <c r="P18" s="183" t="s">
        <v>96</v>
      </c>
      <c r="Q18" s="183" t="s">
        <v>97</v>
      </c>
      <c r="R18" s="183">
        <v>1</v>
      </c>
      <c r="S18" s="183">
        <v>1</v>
      </c>
      <c r="T18" s="183">
        <v>1</v>
      </c>
      <c r="U18" s="183" t="s">
        <v>22</v>
      </c>
      <c r="V18" s="183"/>
      <c r="W18" s="183"/>
      <c r="X18" s="183"/>
      <c r="Y18" s="184">
        <f t="shared" si="2"/>
        <v>0.01</v>
      </c>
      <c r="Z18" s="184">
        <f>IF(ISBLANK(O18),,IF(O18=UPPER("IB"),8.63*200,15*100))</f>
        <v>1500</v>
      </c>
      <c r="AA18" s="185" t="s">
        <v>138</v>
      </c>
      <c r="AB18" s="185"/>
      <c r="AC18" s="185" t="s">
        <v>99</v>
      </c>
      <c r="AD18" s="649">
        <v>-0.01</v>
      </c>
      <c r="AE18" s="182"/>
      <c r="AF18" s="332"/>
      <c r="AG18" s="182"/>
      <c r="AH18" s="182"/>
      <c r="AI18" s="182"/>
      <c r="AJ18" s="640" t="s">
        <v>197</v>
      </c>
      <c r="AK18" s="182"/>
      <c r="AL18" s="496"/>
      <c r="AM18" s="497"/>
      <c r="AN18" s="626"/>
      <c r="AO18" s="182"/>
      <c r="AP18" s="182" t="s">
        <v>192</v>
      </c>
      <c r="AQ18" s="332" t="str">
        <f>UPPER(RIGHT(Journal_Live[[#This Row],[DURATION ]]))</f>
        <v>Y</v>
      </c>
      <c r="AR18" s="182" t="s">
        <v>198</v>
      </c>
      <c r="AS18" s="189">
        <v>-0.01</v>
      </c>
      <c r="AT18" s="189">
        <f t="shared" si="5"/>
        <v>0</v>
      </c>
      <c r="AU18" s="187">
        <f>AV18*R18</f>
        <v>0</v>
      </c>
      <c r="AV18" s="190">
        <f t="shared" si="6"/>
        <v>0</v>
      </c>
      <c r="AW18" s="191" t="s">
        <v>115</v>
      </c>
      <c r="AX18" s="407" t="s">
        <v>199</v>
      </c>
      <c r="AY18" s="407" t="s">
        <v>200</v>
      </c>
      <c r="AZ18" s="407" t="s">
        <v>201</v>
      </c>
      <c r="BA18" s="407"/>
      <c r="BB18" s="407"/>
      <c r="BC18" s="407"/>
      <c r="BD18" s="407"/>
      <c r="BE18" s="407"/>
      <c r="BF18" s="422"/>
      <c r="BG18" s="391">
        <f>SUM($AV$4:AV18)</f>
        <v>91.32</v>
      </c>
      <c r="BH18" s="392">
        <f>SUM($AU$4:AU18)</f>
        <v>91.32</v>
      </c>
      <c r="BI18" s="318"/>
      <c r="BJ18" s="318">
        <f>SUMIFS($AU19:AU$1388,$Q19:Q$1388,"F")</f>
        <v>14821.066666666669</v>
      </c>
      <c r="BK18" s="343">
        <f>SUMIFS($AU19:AU$1388,$P19:P$1388,"W")</f>
        <v>21581.641999999945</v>
      </c>
      <c r="BL18" s="343">
        <f>SUMIFS($AU19:AU$1388,$P19:P$1388,"W")</f>
        <v>21581.641999999945</v>
      </c>
      <c r="BM18" s="343">
        <f>SUMIFS($AU19:AU$134,$AQ19:AQ$134,"M")</f>
        <v>0</v>
      </c>
      <c r="BN18" s="343">
        <f>SUMIFS($AU19:AU$134,$AQ19:AQ$134,"M")</f>
        <v>0</v>
      </c>
      <c r="BO18" s="343">
        <f>SUMIFS($AU19:AU$134,$AQ19:AQ$134,"H")</f>
        <v>0</v>
      </c>
      <c r="BP18" s="343">
        <f>SUMIFS($AU21:AU$134,$AQ21:AQ$134,"D")</f>
        <v>400.6</v>
      </c>
      <c r="BQ18" s="343">
        <f>SUMIFS($AU19:AU$134,$Q19:Q$134,"O")</f>
        <v>-32.199999999993601</v>
      </c>
      <c r="BR18" s="343">
        <f>SUMIFS($AU19:AU$134,$AA19:AA$134,"*")</f>
        <v>1446.2500000000064</v>
      </c>
      <c r="BS18" s="343">
        <f>SUMIFS($AU19:AU$134,$AA19:AA$134,"*")</f>
        <v>1446.2500000000064</v>
      </c>
      <c r="BT18" s="343">
        <f>SUMIFS($AU19:AU$134,$AB19:AB$134,"*")</f>
        <v>85.099999999999923</v>
      </c>
      <c r="BU18" s="343">
        <f>SUMIFS($AU19:AU$134,$AA19:AA$134,"*",$AB19:AB$134,"*")</f>
        <v>85.099999999999923</v>
      </c>
      <c r="BV18" s="343">
        <f>SUMIFS($AU19:AU$134,$AA19:AA$134,"*",$AB19:AB$134,"*")</f>
        <v>85.099999999999923</v>
      </c>
      <c r="BW18" s="343">
        <f>SUMIFS($AU19:AU$134,$AA19:AA$134,"*",$AC19:AC$134,"*")</f>
        <v>1270.1499999999999</v>
      </c>
      <c r="BX18" s="343">
        <f>SUMIFS($AU19:AU$1388,$Q19:Q$1388,"F")</f>
        <v>14821.066666666669</v>
      </c>
      <c r="BY18" s="343">
        <f>SUMIFS($AU19:AU$1388,$Q19:Q$1388,"S")</f>
        <v>22045.592000000022</v>
      </c>
      <c r="BZ18" s="343">
        <f>SUMIFS($AU19:AU$1388,$Q19:Q$1388,"O")</f>
        <v>-1681.0579999997917</v>
      </c>
    </row>
    <row r="19" spans="1:78" ht="18" customHeight="1">
      <c r="A19" s="178" t="s">
        <v>91</v>
      </c>
      <c r="B19" s="177">
        <v>44853</v>
      </c>
      <c r="C19" s="178" t="s">
        <v>202</v>
      </c>
      <c r="D19" s="178" t="s">
        <v>151</v>
      </c>
      <c r="E19" s="179"/>
      <c r="F19" s="180"/>
      <c r="G19" s="181" t="s">
        <v>181</v>
      </c>
      <c r="H19" s="182"/>
      <c r="I19" s="182"/>
      <c r="J19" s="182"/>
      <c r="K19" s="183"/>
      <c r="L19" s="182">
        <v>1</v>
      </c>
      <c r="M19" s="182"/>
      <c r="N19" s="182"/>
      <c r="O19" s="183" t="s">
        <v>95</v>
      </c>
      <c r="P19" s="183" t="s">
        <v>137</v>
      </c>
      <c r="Q19" s="183" t="s">
        <v>97</v>
      </c>
      <c r="R19" s="183">
        <v>1</v>
      </c>
      <c r="S19" s="183">
        <v>1</v>
      </c>
      <c r="T19" s="183">
        <v>1</v>
      </c>
      <c r="U19" s="183" t="s">
        <v>97</v>
      </c>
      <c r="V19" s="183"/>
      <c r="W19" s="183"/>
      <c r="X19" s="183"/>
      <c r="Y19" s="184">
        <f t="shared" si="2"/>
        <v>0.01</v>
      </c>
      <c r="Z19" s="184">
        <f t="shared" ref="Z19:Z25" si="7">IF(ISBLANK(O19),,IF(O19=UPPER("IB"),8.63*200,15.15*100))</f>
        <v>1515</v>
      </c>
      <c r="AA19" s="185" t="s">
        <v>138</v>
      </c>
      <c r="AB19" s="185"/>
      <c r="AC19" s="185" t="s">
        <v>99</v>
      </c>
      <c r="AD19" s="649">
        <v>-0.04</v>
      </c>
      <c r="AE19" s="182" t="s">
        <v>182</v>
      </c>
      <c r="AF19" s="332"/>
      <c r="AG19" s="182"/>
      <c r="AH19" s="182">
        <v>-0.05</v>
      </c>
      <c r="AI19" s="182"/>
      <c r="AJ19" s="640" t="s">
        <v>183</v>
      </c>
      <c r="AK19" s="182"/>
      <c r="AL19" s="496">
        <f>-0.03*Z19</f>
        <v>-45.449999999999996</v>
      </c>
      <c r="AM19" s="496">
        <f t="shared" ref="AM19:AM26" si="8">AL19*R19</f>
        <v>-45.449999999999996</v>
      </c>
      <c r="AN19" s="626" t="s">
        <v>184</v>
      </c>
      <c r="AO19" s="182"/>
      <c r="AP19" s="182" t="s">
        <v>203</v>
      </c>
      <c r="AQ19" s="332" t="str">
        <f>UPPER(RIGHT(Journal_Live[[#This Row],[DURATION ]]))</f>
        <v>S</v>
      </c>
      <c r="AR19" s="195">
        <v>44853.333333333336</v>
      </c>
      <c r="AS19" s="189">
        <v>-0.05</v>
      </c>
      <c r="AT19" s="189">
        <f t="shared" si="5"/>
        <v>1.0000000000000002E-2</v>
      </c>
      <c r="AU19" s="187">
        <f>AV19*R19</f>
        <v>15.150000000000002</v>
      </c>
      <c r="AV19" s="190">
        <f t="shared" si="6"/>
        <v>15.150000000000002</v>
      </c>
      <c r="AW19" s="191" t="s">
        <v>96</v>
      </c>
      <c r="AX19" s="407" t="s">
        <v>204</v>
      </c>
      <c r="AY19" s="407"/>
      <c r="AZ19" s="407" t="s">
        <v>205</v>
      </c>
      <c r="BA19" s="407"/>
      <c r="BB19" s="407"/>
      <c r="BC19" s="407"/>
      <c r="BD19" s="407"/>
      <c r="BE19" s="407"/>
      <c r="BF19" s="422"/>
      <c r="BG19" s="391">
        <f>SUM($AV$4:AV19)</f>
        <v>106.47</v>
      </c>
      <c r="BH19" s="392">
        <f>SUM($AU$4:AU19)</f>
        <v>106.47</v>
      </c>
      <c r="BI19" s="318"/>
      <c r="BJ19" s="318">
        <f>SUMIFS($AU20:AU$1388,$Q20:Q$1388,"F")</f>
        <v>14821.066666666669</v>
      </c>
      <c r="BK19" s="343">
        <f>SUMIFS($AU20:AU$1388,$P20:P$1388,"W")</f>
        <v>21581.641999999945</v>
      </c>
      <c r="BL19" s="343">
        <f>SUMIFS($AU20:AU$1388,$P20:P$1388,"W")</f>
        <v>21581.641999999945</v>
      </c>
      <c r="BM19" s="343">
        <f>SUMIFS($AU20:AU$134,$AQ20:AQ$134,"M")</f>
        <v>0</v>
      </c>
      <c r="BN19" s="343">
        <f>SUMIFS($AU20:AU$134,$AQ20:AQ$134,"M")</f>
        <v>0</v>
      </c>
      <c r="BO19" s="343">
        <f>SUMIFS($AU20:AU$134,$AQ20:AQ$134,"H")</f>
        <v>0</v>
      </c>
      <c r="BP19" s="343">
        <f>SUMIFS($AU22:AU$134,$AQ22:AQ$134,"D")</f>
        <v>400.6</v>
      </c>
      <c r="BQ19" s="343">
        <f>SUMIFS($AU20:AU$134,$Q20:Q$134,"O")</f>
        <v>-32.199999999993601</v>
      </c>
      <c r="BR19" s="343">
        <f>SUMIFS($AU20:AU$134,$AA20:AA$134,"*")</f>
        <v>1431.1000000000063</v>
      </c>
      <c r="BS19" s="343">
        <f>SUMIFS($AU20:AU$134,$AA20:AA$134,"*")</f>
        <v>1431.1000000000063</v>
      </c>
      <c r="BT19" s="343">
        <f>SUMIFS($AU20:AU$134,$AB20:AB$134,"*")</f>
        <v>85.099999999999923</v>
      </c>
      <c r="BU19" s="343">
        <f>SUMIFS($AU20:AU$134,$AA20:AA$134,"*",$AB20:AB$134,"*")</f>
        <v>85.099999999999923</v>
      </c>
      <c r="BV19" s="343">
        <f>SUMIFS($AU20:AU$134,$AA20:AA$134,"*",$AB20:AB$134,"*")</f>
        <v>85.099999999999923</v>
      </c>
      <c r="BW19" s="343">
        <f>SUMIFS($AU20:AU$134,$AA20:AA$134,"*",$AC20:AC$134,"*")</f>
        <v>1255</v>
      </c>
      <c r="BX19" s="343">
        <f>SUMIFS($AU20:AU$1388,$Q20:Q$1388,"F")</f>
        <v>14821.066666666669</v>
      </c>
      <c r="BY19" s="343">
        <f>SUMIFS($AU20:AU$1388,$Q20:Q$1388,"S")</f>
        <v>22030.442000000021</v>
      </c>
      <c r="BZ19" s="343">
        <f>SUMIFS($AU20:AU$1388,$Q20:Q$1388,"O")</f>
        <v>-1681.0579999997917</v>
      </c>
    </row>
    <row r="20" spans="1:78" ht="18" customHeight="1">
      <c r="A20" s="178" t="s">
        <v>91</v>
      </c>
      <c r="B20" s="177">
        <v>44854</v>
      </c>
      <c r="C20" s="178"/>
      <c r="D20" s="178" t="s">
        <v>93</v>
      </c>
      <c r="E20" s="179" t="s">
        <v>206</v>
      </c>
      <c r="F20" s="180" t="s">
        <v>207</v>
      </c>
      <c r="G20" s="181"/>
      <c r="H20" s="182"/>
      <c r="I20" s="182"/>
      <c r="J20" s="182">
        <v>1</v>
      </c>
      <c r="K20" s="183"/>
      <c r="L20" s="182"/>
      <c r="M20" s="182"/>
      <c r="N20" s="182"/>
      <c r="O20" s="183"/>
      <c r="P20" s="183"/>
      <c r="Q20" s="183"/>
      <c r="R20" s="183"/>
      <c r="S20" s="183"/>
      <c r="T20" s="183"/>
      <c r="U20" s="183"/>
      <c r="V20" s="183"/>
      <c r="W20" s="183"/>
      <c r="X20" s="183"/>
      <c r="Y20" s="184"/>
      <c r="Z20" s="184">
        <f t="shared" si="7"/>
        <v>0</v>
      </c>
      <c r="AA20" s="185"/>
      <c r="AB20" s="185"/>
      <c r="AC20" s="185"/>
      <c r="AD20" s="649"/>
      <c r="AE20" s="182"/>
      <c r="AF20" s="332"/>
      <c r="AG20" s="182"/>
      <c r="AH20" s="182"/>
      <c r="AI20" s="182"/>
      <c r="AJ20" s="640"/>
      <c r="AK20" s="182"/>
      <c r="AL20" s="496"/>
      <c r="AM20" s="496">
        <f t="shared" si="8"/>
        <v>0</v>
      </c>
      <c r="AN20" s="626"/>
      <c r="AO20" s="182"/>
      <c r="AP20" s="182"/>
      <c r="AQ20" s="332" t="str">
        <f>UPPER(RIGHT(Journal_Live[[#This Row],[DURATION ]]))</f>
        <v/>
      </c>
      <c r="AR20" s="182"/>
      <c r="AS20" s="189"/>
      <c r="AT20" s="182"/>
      <c r="AU20" s="187"/>
      <c r="AV20" s="190"/>
      <c r="AW20" s="191"/>
      <c r="AX20" s="407"/>
      <c r="AY20" s="407"/>
      <c r="AZ20" s="407"/>
      <c r="BA20" s="407"/>
      <c r="BB20" s="407"/>
      <c r="BC20" s="407"/>
      <c r="BD20" s="407"/>
      <c r="BE20" s="407"/>
      <c r="BF20" s="422"/>
      <c r="BG20" s="391">
        <f>SUM($AV$4:AV20)</f>
        <v>106.47</v>
      </c>
      <c r="BH20" s="392">
        <f>SUM($AU$4:AU20)</f>
        <v>106.47</v>
      </c>
      <c r="BI20" s="318"/>
      <c r="BJ20" s="318">
        <f>SUMIFS($AU21:AU$1388,$Q21:Q$1388,"F")</f>
        <v>14821.066666666669</v>
      </c>
      <c r="BK20" s="343">
        <f>SUMIFS($AU21:AU$1388,$P21:P$1388,"W")</f>
        <v>21581.641999999945</v>
      </c>
      <c r="BL20" s="343">
        <f>SUMIFS($AU21:AU$1388,$P21:P$1388,"W")</f>
        <v>21581.641999999945</v>
      </c>
      <c r="BM20" s="343">
        <f>SUMIFS($AU21:AU$134,$AQ21:AQ$134,"M")</f>
        <v>0</v>
      </c>
      <c r="BN20" s="343">
        <f>SUMIFS($AU21:AU$134,$AQ21:AQ$134,"M")</f>
        <v>0</v>
      </c>
      <c r="BO20" s="343">
        <f>SUMIFS($AU21:AU$134,$AQ21:AQ$134,"H")</f>
        <v>0</v>
      </c>
      <c r="BP20" s="343">
        <f>SUMIFS($AU23:AU$134,$AQ23:AQ$134,"D")</f>
        <v>400.6</v>
      </c>
      <c r="BQ20" s="343">
        <f>SUMIFS($AU21:AU$134,$Q21:Q$134,"O")</f>
        <v>-32.199999999993601</v>
      </c>
      <c r="BR20" s="343">
        <f>SUMIFS($AU21:AU$134,$AA21:AA$134,"*")</f>
        <v>1431.1000000000063</v>
      </c>
      <c r="BS20" s="343">
        <f>SUMIFS($AU21:AU$134,$AA21:AA$134,"*")</f>
        <v>1431.1000000000063</v>
      </c>
      <c r="BT20" s="343">
        <f>SUMIFS($AU21:AU$134,$AB21:AB$134,"*")</f>
        <v>85.099999999999923</v>
      </c>
      <c r="BU20" s="343">
        <f>SUMIFS($AU21:AU$134,$AA21:AA$134,"*",$AB21:AB$134,"*")</f>
        <v>85.099999999999923</v>
      </c>
      <c r="BV20" s="343">
        <f>SUMIFS($AU21:AU$134,$AA21:AA$134,"*",$AB21:AB$134,"*")</f>
        <v>85.099999999999923</v>
      </c>
      <c r="BW20" s="343">
        <f>SUMIFS($AU21:AU$134,$AA21:AA$134,"*",$AC21:AC$134,"*")</f>
        <v>1255</v>
      </c>
      <c r="BX20" s="343">
        <f>SUMIFS($AU21:AU$1388,$Q21:Q$1388,"F")</f>
        <v>14821.066666666669</v>
      </c>
      <c r="BY20" s="343">
        <f>SUMIFS($AU21:AU$1388,$Q21:Q$1388,"S")</f>
        <v>22030.442000000021</v>
      </c>
      <c r="BZ20" s="343">
        <f>SUMIFS($AU21:AU$1388,$Q21:Q$1388,"O")</f>
        <v>-1681.0579999997917</v>
      </c>
    </row>
    <row r="21" spans="1:78" ht="18" customHeight="1">
      <c r="A21" s="178" t="s">
        <v>91</v>
      </c>
      <c r="B21" s="177"/>
      <c r="C21" s="178"/>
      <c r="D21" s="178"/>
      <c r="E21" s="179" t="s">
        <v>208</v>
      </c>
      <c r="F21" s="180"/>
      <c r="G21" s="181"/>
      <c r="H21" s="182"/>
      <c r="I21" s="182">
        <v>1</v>
      </c>
      <c r="J21" s="182"/>
      <c r="K21" s="183"/>
      <c r="L21" s="182"/>
      <c r="M21" s="182"/>
      <c r="N21" s="182"/>
      <c r="O21" s="183"/>
      <c r="P21" s="183"/>
      <c r="Q21" s="183"/>
      <c r="R21" s="183"/>
      <c r="S21" s="183"/>
      <c r="T21" s="183"/>
      <c r="U21" s="183"/>
      <c r="V21" s="183"/>
      <c r="W21" s="183"/>
      <c r="X21" s="183"/>
      <c r="Y21" s="184"/>
      <c r="Z21" s="184">
        <f t="shared" si="7"/>
        <v>0</v>
      </c>
      <c r="AA21" s="185"/>
      <c r="AB21" s="185"/>
      <c r="AC21" s="185"/>
      <c r="AD21" s="649"/>
      <c r="AE21" s="182"/>
      <c r="AF21" s="332"/>
      <c r="AG21" s="182"/>
      <c r="AH21" s="182"/>
      <c r="AI21" s="182"/>
      <c r="AJ21" s="640"/>
      <c r="AK21" s="182"/>
      <c r="AL21" s="496"/>
      <c r="AM21" s="496">
        <f t="shared" si="8"/>
        <v>0</v>
      </c>
      <c r="AN21" s="626"/>
      <c r="AO21" s="182"/>
      <c r="AP21" s="182"/>
      <c r="AQ21" s="332" t="str">
        <f>UPPER(RIGHT(Journal_Live[[#This Row],[DURATION ]]))</f>
        <v/>
      </c>
      <c r="AR21" s="182"/>
      <c r="AS21" s="189"/>
      <c r="AT21" s="182"/>
      <c r="AU21" s="187"/>
      <c r="AV21" s="190"/>
      <c r="AW21" s="191"/>
      <c r="AX21" s="407"/>
      <c r="AY21" s="407"/>
      <c r="AZ21" s="407"/>
      <c r="BA21" s="407"/>
      <c r="BB21" s="407"/>
      <c r="BC21" s="407"/>
      <c r="BD21" s="407"/>
      <c r="BE21" s="407"/>
      <c r="BF21" s="422"/>
      <c r="BG21" s="391">
        <f>SUM($AV$4:AV21)</f>
        <v>106.47</v>
      </c>
      <c r="BH21" s="392">
        <f>SUM($AU$4:AU21)</f>
        <v>106.47</v>
      </c>
      <c r="BI21" s="318"/>
      <c r="BJ21" s="318">
        <f>SUMIFS($AU22:AU$1388,$Q22:Q$1388,"F")</f>
        <v>14821.066666666669</v>
      </c>
      <c r="BK21" s="343">
        <f>SUMIFS($AU22:AU$1388,$P22:P$1388,"W")</f>
        <v>21581.641999999945</v>
      </c>
      <c r="BL21" s="343">
        <f>SUMIFS($AU22:AU$1388,$P22:P$1388,"W")</f>
        <v>21581.641999999945</v>
      </c>
      <c r="BM21" s="343">
        <f>SUMIFS($AU22:AU$134,$AQ22:AQ$134,"M")</f>
        <v>0</v>
      </c>
      <c r="BN21" s="343">
        <f>SUMIFS($AU22:AU$134,$AQ22:AQ$134,"M")</f>
        <v>0</v>
      </c>
      <c r="BO21" s="343">
        <f>SUMIFS($AU22:AU$134,$AQ22:AQ$134,"H")</f>
        <v>0</v>
      </c>
      <c r="BP21" s="343">
        <f>SUMIFS($AU24:AU$134,$AQ24:AQ$134,"D")</f>
        <v>400.6</v>
      </c>
      <c r="BQ21" s="343">
        <f>SUMIFS($AU22:AU$134,$Q22:Q$134,"O")</f>
        <v>-32.199999999993601</v>
      </c>
      <c r="BR21" s="343">
        <f>SUMIFS($AU22:AU$134,$AA22:AA$134,"*")</f>
        <v>1431.1000000000063</v>
      </c>
      <c r="BS21" s="343">
        <f>SUMIFS($AU22:AU$134,$AA22:AA$134,"*")</f>
        <v>1431.1000000000063</v>
      </c>
      <c r="BT21" s="343">
        <f>SUMIFS($AU22:AU$134,$AB22:AB$134,"*")</f>
        <v>85.099999999999923</v>
      </c>
      <c r="BU21" s="343">
        <f>SUMIFS($AU22:AU$134,$AA22:AA$134,"*",$AB22:AB$134,"*")</f>
        <v>85.099999999999923</v>
      </c>
      <c r="BV21" s="343">
        <f>SUMIFS($AU22:AU$134,$AA22:AA$134,"*",$AB22:AB$134,"*")</f>
        <v>85.099999999999923</v>
      </c>
      <c r="BW21" s="343">
        <f>SUMIFS($AU22:AU$134,$AA22:AA$134,"*",$AC22:AC$134,"*")</f>
        <v>1255</v>
      </c>
      <c r="BX21" s="343">
        <f>SUMIFS($AU22:AU$1388,$Q22:Q$1388,"F")</f>
        <v>14821.066666666669</v>
      </c>
      <c r="BY21" s="343">
        <f>SUMIFS($AU22:AU$1388,$Q22:Q$1388,"S")</f>
        <v>22030.442000000021</v>
      </c>
      <c r="BZ21" s="343">
        <f>SUMIFS($AU22:AU$1388,$Q22:Q$1388,"O")</f>
        <v>-1681.0579999997917</v>
      </c>
    </row>
    <row r="22" spans="1:78" ht="18" customHeight="1">
      <c r="A22" s="178" t="s">
        <v>91</v>
      </c>
      <c r="B22" s="177">
        <v>44854</v>
      </c>
      <c r="C22" s="178" t="s">
        <v>209</v>
      </c>
      <c r="D22" s="178" t="s">
        <v>93</v>
      </c>
      <c r="E22" s="179"/>
      <c r="F22" s="180"/>
      <c r="G22" s="181" t="s">
        <v>210</v>
      </c>
      <c r="H22" s="182"/>
      <c r="I22" s="182"/>
      <c r="J22" s="182"/>
      <c r="K22" s="183"/>
      <c r="L22" s="182">
        <v>1</v>
      </c>
      <c r="M22" s="182">
        <v>1</v>
      </c>
      <c r="N22" s="182"/>
      <c r="O22" s="183" t="s">
        <v>95</v>
      </c>
      <c r="P22" s="183" t="s">
        <v>96</v>
      </c>
      <c r="Q22" s="183" t="s">
        <v>97</v>
      </c>
      <c r="R22" s="183">
        <v>1</v>
      </c>
      <c r="S22" s="183">
        <v>1</v>
      </c>
      <c r="T22" s="183">
        <v>1</v>
      </c>
      <c r="U22" s="183" t="s">
        <v>97</v>
      </c>
      <c r="V22" s="183"/>
      <c r="W22" s="183"/>
      <c r="X22" s="183"/>
      <c r="Y22" s="184">
        <f>IF(ISBLANK(O22),,(IF(O22=UPPER("IB"),0.005,0.01)))</f>
        <v>0.01</v>
      </c>
      <c r="Z22" s="184">
        <f t="shared" si="7"/>
        <v>1515</v>
      </c>
      <c r="AA22" s="185" t="s">
        <v>211</v>
      </c>
      <c r="AB22" s="185" t="s">
        <v>212</v>
      </c>
      <c r="AC22" s="185"/>
      <c r="AD22" s="649">
        <v>0.67</v>
      </c>
      <c r="AE22" s="182"/>
      <c r="AF22" s="332">
        <v>72</v>
      </c>
      <c r="AG22" s="182"/>
      <c r="AH22" s="182">
        <v>60</v>
      </c>
      <c r="AI22" s="182" t="s">
        <v>213</v>
      </c>
      <c r="AJ22" s="640" t="s">
        <v>214</v>
      </c>
      <c r="AK22" s="182">
        <f t="shared" ref="AK22:AK24" si="9">7/5</f>
        <v>1.4</v>
      </c>
      <c r="AL22" s="496">
        <f t="shared" ref="AL22:AL23" si="10">-0.05*Z22</f>
        <v>-75.75</v>
      </c>
      <c r="AM22" s="496">
        <f t="shared" si="8"/>
        <v>-75.75</v>
      </c>
      <c r="AN22" s="626" t="s">
        <v>215</v>
      </c>
      <c r="AO22" s="182"/>
      <c r="AP22" s="182" t="s">
        <v>216</v>
      </c>
      <c r="AQ22" s="332" t="str">
        <f>UPPER(RIGHT(Journal_Live[[#This Row],[DURATION ]]))</f>
        <v>R</v>
      </c>
      <c r="AR22" s="182"/>
      <c r="AS22" s="189">
        <v>0.67</v>
      </c>
      <c r="AT22" s="189">
        <f t="shared" ref="AT22:AT32" si="11">IF(ISBLANK(AS22),,IF(U22="S",AD22-AS22,AS22-AD22))</f>
        <v>0</v>
      </c>
      <c r="AU22" s="187">
        <f>AV22*R22</f>
        <v>0</v>
      </c>
      <c r="AV22" s="190">
        <f t="shared" ref="AV22:AV32" si="12">IF(ISBLANK(AS22),,(AT22*Z22))</f>
        <v>0</v>
      </c>
      <c r="AW22" s="191" t="s">
        <v>115</v>
      </c>
      <c r="AX22" s="407" t="s">
        <v>217</v>
      </c>
      <c r="AY22" s="407" t="s">
        <v>218</v>
      </c>
      <c r="AZ22" s="407" t="s">
        <v>219</v>
      </c>
      <c r="BA22" s="407" t="s">
        <v>220</v>
      </c>
      <c r="BB22" s="407"/>
      <c r="BC22" s="407"/>
      <c r="BD22" s="407" t="s">
        <v>221</v>
      </c>
      <c r="BE22" s="407"/>
      <c r="BF22" s="422" t="s">
        <v>222</v>
      </c>
      <c r="BG22" s="391">
        <f>SUM($AV$4:AV22)</f>
        <v>106.47</v>
      </c>
      <c r="BH22" s="392">
        <f>SUM($AU$4:AU22)</f>
        <v>106.47</v>
      </c>
      <c r="BI22" s="318"/>
      <c r="BJ22" s="318">
        <f>SUMIFS($AU23:AU$1388,$Q23:Q$1388,"F")</f>
        <v>14821.066666666669</v>
      </c>
      <c r="BK22" s="343">
        <f>SUMIFS($AU23:AU$1388,$P23:P$1388,"W")</f>
        <v>21581.641999999945</v>
      </c>
      <c r="BL22" s="343">
        <f>SUMIFS($AU23:AU$1388,$P23:P$1388,"W")</f>
        <v>21581.641999999945</v>
      </c>
      <c r="BM22" s="343">
        <f>SUMIFS($AU23:AU$134,$AQ23:AQ$134,"M")</f>
        <v>0</v>
      </c>
      <c r="BN22" s="343">
        <f>SUMIFS($AU23:AU$134,$AQ23:AQ$134,"M")</f>
        <v>0</v>
      </c>
      <c r="BO22" s="343">
        <f>SUMIFS($AU23:AU$134,$AQ23:AQ$134,"H")</f>
        <v>0</v>
      </c>
      <c r="BP22" s="343">
        <f>SUMIFS($AU25:AU$134,$AQ25:AQ$134,"D")</f>
        <v>400.6</v>
      </c>
      <c r="BQ22" s="343">
        <f>SUMIFS($AU23:AU$134,$Q23:Q$134,"O")</f>
        <v>-32.199999999993601</v>
      </c>
      <c r="BR22" s="343">
        <f>SUMIFS($AU23:AU$134,$AA23:AA$134,"*")</f>
        <v>1431.1000000000063</v>
      </c>
      <c r="BS22" s="343">
        <f>SUMIFS($AU23:AU$134,$AA23:AA$134,"*")</f>
        <v>1431.1000000000063</v>
      </c>
      <c r="BT22" s="343">
        <f>SUMIFS($AU23:AU$134,$AB23:AB$134,"*")</f>
        <v>85.099999999999923</v>
      </c>
      <c r="BU22" s="343">
        <f>SUMIFS($AU23:AU$134,$AA23:AA$134,"*",$AB23:AB$134,"*")</f>
        <v>85.099999999999923</v>
      </c>
      <c r="BV22" s="343">
        <f>SUMIFS($AU23:AU$134,$AA23:AA$134,"*",$AB23:AB$134,"*")</f>
        <v>85.099999999999923</v>
      </c>
      <c r="BW22" s="343">
        <f>SUMIFS($AU23:AU$134,$AA23:AA$134,"*",$AC23:AC$134,"*")</f>
        <v>1255</v>
      </c>
      <c r="BX22" s="343">
        <f>SUMIFS($AU23:AU$1388,$Q23:Q$1388,"F")</f>
        <v>14821.066666666669</v>
      </c>
      <c r="BY22" s="343">
        <f>SUMIFS($AU23:AU$1388,$Q23:Q$1388,"S")</f>
        <v>22030.442000000021</v>
      </c>
      <c r="BZ22" s="343">
        <f>SUMIFS($AU23:AU$1388,$Q23:Q$1388,"O")</f>
        <v>-1681.0579999997917</v>
      </c>
    </row>
    <row r="23" spans="1:78" ht="18" customHeight="1">
      <c r="A23" s="178" t="s">
        <v>91</v>
      </c>
      <c r="B23" s="177">
        <v>44854</v>
      </c>
      <c r="C23" s="178" t="s">
        <v>209</v>
      </c>
      <c r="D23" s="178" t="s">
        <v>93</v>
      </c>
      <c r="E23" s="179"/>
      <c r="F23" s="180"/>
      <c r="G23" s="181" t="s">
        <v>210</v>
      </c>
      <c r="H23" s="182"/>
      <c r="I23" s="182"/>
      <c r="J23" s="182"/>
      <c r="K23" s="183"/>
      <c r="L23" s="182">
        <v>1</v>
      </c>
      <c r="M23" s="182">
        <v>1</v>
      </c>
      <c r="N23" s="182"/>
      <c r="O23" s="183" t="s">
        <v>95</v>
      </c>
      <c r="P23" s="183" t="s">
        <v>96</v>
      </c>
      <c r="Q23" s="183" t="s">
        <v>97</v>
      </c>
      <c r="R23" s="183">
        <v>1</v>
      </c>
      <c r="S23" s="183">
        <v>1</v>
      </c>
      <c r="T23" s="183">
        <v>1</v>
      </c>
      <c r="U23" s="183" t="s">
        <v>97</v>
      </c>
      <c r="V23" s="183"/>
      <c r="W23" s="183"/>
      <c r="X23" s="183"/>
      <c r="Y23" s="184">
        <f>IF(ISBLANK(O23),,(IF(O23=UPPER("IB"),0.005,0.01)))</f>
        <v>0.01</v>
      </c>
      <c r="Z23" s="185">
        <f t="shared" si="7"/>
        <v>1515</v>
      </c>
      <c r="AA23" s="185" t="s">
        <v>211</v>
      </c>
      <c r="AB23" s="185" t="s">
        <v>212</v>
      </c>
      <c r="AC23" s="185"/>
      <c r="AD23" s="649">
        <v>0.7</v>
      </c>
      <c r="AE23" s="182"/>
      <c r="AF23" s="332">
        <v>74</v>
      </c>
      <c r="AG23" s="182"/>
      <c r="AH23" s="182" t="s">
        <v>223</v>
      </c>
      <c r="AI23" s="182" t="s">
        <v>224</v>
      </c>
      <c r="AJ23" s="640" t="s">
        <v>225</v>
      </c>
      <c r="AK23" s="182">
        <f t="shared" si="9"/>
        <v>1.4</v>
      </c>
      <c r="AL23" s="496">
        <f t="shared" si="10"/>
        <v>-75.75</v>
      </c>
      <c r="AM23" s="496">
        <f t="shared" si="8"/>
        <v>-75.75</v>
      </c>
      <c r="AN23" s="626" t="s">
        <v>226</v>
      </c>
      <c r="AO23" s="182"/>
      <c r="AP23" s="182" t="s">
        <v>227</v>
      </c>
      <c r="AQ23" s="332" t="str">
        <f>UPPER(RIGHT(Journal_Live[[#This Row],[DURATION ]]))</f>
        <v>Y</v>
      </c>
      <c r="AR23" s="182" t="s">
        <v>228</v>
      </c>
      <c r="AS23" s="189">
        <v>0.74</v>
      </c>
      <c r="AT23" s="189">
        <f t="shared" si="11"/>
        <v>-4.0000000000000036E-2</v>
      </c>
      <c r="AU23" s="187">
        <f>AV23*R23</f>
        <v>-60.600000000000051</v>
      </c>
      <c r="AV23" s="190">
        <f t="shared" si="12"/>
        <v>-60.600000000000051</v>
      </c>
      <c r="AW23" s="191" t="s">
        <v>229</v>
      </c>
      <c r="AX23" s="407" t="s">
        <v>230</v>
      </c>
      <c r="AY23" s="407" t="s">
        <v>231</v>
      </c>
      <c r="AZ23" s="407" t="s">
        <v>232</v>
      </c>
      <c r="BA23" s="407" t="s">
        <v>233</v>
      </c>
      <c r="BB23" s="407" t="s">
        <v>234</v>
      </c>
      <c r="BC23" s="407" t="s">
        <v>235</v>
      </c>
      <c r="BD23" s="407" t="s">
        <v>236</v>
      </c>
      <c r="BE23" s="407"/>
      <c r="BF23" s="422" t="s">
        <v>222</v>
      </c>
      <c r="BG23" s="391">
        <f>SUM($AV$4:AV23)</f>
        <v>45.869999999999948</v>
      </c>
      <c r="BH23" s="392">
        <f>SUM($AU$4:AU23)</f>
        <v>45.869999999999948</v>
      </c>
      <c r="BI23" s="318"/>
      <c r="BJ23" s="318">
        <f>SUMIFS($AU24:AU$1388,$Q24:Q$1388,"F")</f>
        <v>14821.066666666669</v>
      </c>
      <c r="BK23" s="343">
        <f>SUMIFS($AU24:AU$1388,$P24:P$1388,"W")</f>
        <v>21642.241999999944</v>
      </c>
      <c r="BL23" s="343">
        <f>SUMIFS($AU24:AU$1388,$P24:P$1388,"W")</f>
        <v>21642.241999999944</v>
      </c>
      <c r="BM23" s="343">
        <f>SUMIFS($AU24:AU$134,$AQ24:AQ$134,"M")</f>
        <v>0</v>
      </c>
      <c r="BN23" s="343">
        <f>SUMIFS($AU24:AU$134,$AQ24:AQ$134,"M")</f>
        <v>0</v>
      </c>
      <c r="BO23" s="343">
        <f>SUMIFS($AU24:AU$134,$AQ24:AQ$134,"H")</f>
        <v>0</v>
      </c>
      <c r="BP23" s="343">
        <f>SUMIFS($AU26:AU$134,$AQ26:AQ$134,"D")</f>
        <v>400.6</v>
      </c>
      <c r="BQ23" s="343">
        <f>SUMIFS($AU24:AU$134,$Q24:Q$134,"O")</f>
        <v>-32.199999999993601</v>
      </c>
      <c r="BR23" s="343">
        <f>SUMIFS($AU24:AU$134,$AA24:AA$134,"*")</f>
        <v>1491.7000000000064</v>
      </c>
      <c r="BS23" s="343">
        <f>SUMIFS($AU24:AU$134,$AA24:AA$134,"*")</f>
        <v>1491.7000000000064</v>
      </c>
      <c r="BT23" s="343">
        <f>SUMIFS($AU24:AU$134,$AB24:AB$134,"*")</f>
        <v>145.69999999999999</v>
      </c>
      <c r="BU23" s="343">
        <f>SUMIFS($AU24:AU$134,$AA24:AA$134,"*",$AB24:AB$134,"*")</f>
        <v>145.69999999999999</v>
      </c>
      <c r="BV23" s="343">
        <f>SUMIFS($AU24:AU$134,$AA24:AA$134,"*",$AB24:AB$134,"*")</f>
        <v>145.69999999999999</v>
      </c>
      <c r="BW23" s="343">
        <f>SUMIFS($AU24:AU$134,$AA24:AA$134,"*",$AC24:AC$134,"*")</f>
        <v>1255</v>
      </c>
      <c r="BX23" s="343">
        <f>SUMIFS($AU24:AU$1388,$Q24:Q$1388,"F")</f>
        <v>14821.066666666669</v>
      </c>
      <c r="BY23" s="343">
        <f>SUMIFS($AU24:AU$1388,$Q24:Q$1388,"S")</f>
        <v>22091.042000000019</v>
      </c>
      <c r="BZ23" s="343">
        <f>SUMIFS($AU24:AU$1388,$Q24:Q$1388,"O")</f>
        <v>-1681.0579999997917</v>
      </c>
    </row>
    <row r="24" spans="1:78" ht="18" customHeight="1">
      <c r="A24" s="178" t="s">
        <v>91</v>
      </c>
      <c r="B24" s="177">
        <v>44854</v>
      </c>
      <c r="C24" s="178" t="s">
        <v>209</v>
      </c>
      <c r="D24" s="178" t="s">
        <v>93</v>
      </c>
      <c r="E24" s="179"/>
      <c r="F24" s="180"/>
      <c r="G24" s="181" t="s">
        <v>210</v>
      </c>
      <c r="H24" s="182"/>
      <c r="I24" s="182"/>
      <c r="J24" s="182"/>
      <c r="K24" s="183"/>
      <c r="L24" s="182">
        <v>1</v>
      </c>
      <c r="M24" s="182">
        <v>1</v>
      </c>
      <c r="N24" s="182"/>
      <c r="O24" s="183" t="s">
        <v>95</v>
      </c>
      <c r="P24" s="183" t="s">
        <v>96</v>
      </c>
      <c r="Q24" s="183" t="s">
        <v>97</v>
      </c>
      <c r="R24" s="183">
        <v>1</v>
      </c>
      <c r="S24" s="183">
        <v>1</v>
      </c>
      <c r="T24" s="183">
        <v>1</v>
      </c>
      <c r="U24" s="183" t="s">
        <v>97</v>
      </c>
      <c r="V24" s="183"/>
      <c r="W24" s="183"/>
      <c r="X24" s="183"/>
      <c r="Y24" s="184">
        <f>IF(ISBLANK(O24),,(IF(O24=UPPER("IB"),0.005,0.01)))</f>
        <v>0.01</v>
      </c>
      <c r="Z24" s="185">
        <f t="shared" si="7"/>
        <v>1515</v>
      </c>
      <c r="AA24" s="185" t="s">
        <v>211</v>
      </c>
      <c r="AB24" s="185" t="s">
        <v>212</v>
      </c>
      <c r="AC24" s="185"/>
      <c r="AD24" s="649">
        <v>0.69</v>
      </c>
      <c r="AE24" s="182"/>
      <c r="AF24" s="332">
        <v>73</v>
      </c>
      <c r="AG24" s="182"/>
      <c r="AH24" s="182">
        <v>67</v>
      </c>
      <c r="AI24" s="182" t="s">
        <v>237</v>
      </c>
      <c r="AJ24" s="640" t="s">
        <v>225</v>
      </c>
      <c r="AK24" s="182">
        <f t="shared" si="9"/>
        <v>1.4</v>
      </c>
      <c r="AL24" s="496">
        <f t="shared" ref="AL24:AL25" si="13">-0.04*Z24</f>
        <v>-60.6</v>
      </c>
      <c r="AM24" s="496">
        <f t="shared" si="8"/>
        <v>-60.6</v>
      </c>
      <c r="AN24" s="626" t="s">
        <v>226</v>
      </c>
      <c r="AO24" s="182"/>
      <c r="AP24" s="182" t="s">
        <v>238</v>
      </c>
      <c r="AQ24" s="332" t="str">
        <f>UPPER(RIGHT(Journal_Live[[#This Row],[DURATION ]]))</f>
        <v>S</v>
      </c>
      <c r="AR24" s="182" t="s">
        <v>239</v>
      </c>
      <c r="AS24" s="189">
        <v>0.71</v>
      </c>
      <c r="AT24" s="189">
        <f t="shared" si="11"/>
        <v>-2.0000000000000018E-2</v>
      </c>
      <c r="AU24" s="187">
        <f>AV24*R24</f>
        <v>-30.300000000000026</v>
      </c>
      <c r="AV24" s="190">
        <f t="shared" si="12"/>
        <v>-30.300000000000026</v>
      </c>
      <c r="AW24" s="191" t="s">
        <v>229</v>
      </c>
      <c r="AX24" s="407" t="s">
        <v>240</v>
      </c>
      <c r="AY24" s="407" t="s">
        <v>241</v>
      </c>
      <c r="AZ24" s="407" t="s">
        <v>242</v>
      </c>
      <c r="BA24" s="412" t="s">
        <v>243</v>
      </c>
      <c r="BB24" s="424" t="s">
        <v>244</v>
      </c>
      <c r="BC24" s="425" t="s">
        <v>245</v>
      </c>
      <c r="BD24" s="424" t="s">
        <v>246</v>
      </c>
      <c r="BE24" s="407" t="s">
        <v>247</v>
      </c>
      <c r="BF24" s="422" t="s">
        <v>248</v>
      </c>
      <c r="BG24" s="391">
        <f>SUM($AV$4:AV24)</f>
        <v>15.569999999999922</v>
      </c>
      <c r="BH24" s="392">
        <f>SUM($AU$4:AU24)</f>
        <v>15.569999999999922</v>
      </c>
      <c r="BI24" s="318"/>
      <c r="BJ24" s="318">
        <f>SUMIFS($AU25:AU$1388,$Q25:Q$1388,"F")</f>
        <v>14821.066666666669</v>
      </c>
      <c r="BK24" s="343">
        <f>SUMIFS($AU25:AU$1388,$P25:P$1388,"W")</f>
        <v>21672.541999999943</v>
      </c>
      <c r="BL24" s="343">
        <f>SUMIFS($AU25:AU$1388,$P25:P$1388,"W")</f>
        <v>21672.541999999943</v>
      </c>
      <c r="BM24" s="343">
        <f>SUMIFS($AU25:AU$134,$AQ25:AQ$134,"M")</f>
        <v>0</v>
      </c>
      <c r="BN24" s="343">
        <f>SUMIFS($AU25:AU$134,$AQ25:AQ$134,"M")</f>
        <v>0</v>
      </c>
      <c r="BO24" s="343">
        <f>SUMIFS($AU25:AU$134,$AQ25:AQ$134,"H")</f>
        <v>0</v>
      </c>
      <c r="BP24" s="343">
        <f>SUMIFS($AU27:AU$134,$AQ27:AQ$134,"D")</f>
        <v>400.6</v>
      </c>
      <c r="BQ24" s="343">
        <f>SUMIFS($AU25:AU$134,$Q25:Q$134,"O")</f>
        <v>-32.199999999993601</v>
      </c>
      <c r="BR24" s="343">
        <f>SUMIFS($AU25:AU$134,$AA25:AA$134,"*")</f>
        <v>1522.0000000000064</v>
      </c>
      <c r="BS24" s="343">
        <f>SUMIFS($AU25:AU$134,$AA25:AA$134,"*")</f>
        <v>1522.0000000000064</v>
      </c>
      <c r="BT24" s="343">
        <f>SUMIFS($AU25:AU$134,$AB25:AB$134,"*")</f>
        <v>176</v>
      </c>
      <c r="BU24" s="343">
        <f>SUMIFS($AU25:AU$134,$AA25:AA$134,"*",$AB25:AB$134,"*")</f>
        <v>176</v>
      </c>
      <c r="BV24" s="343">
        <f>SUMIFS($AU25:AU$134,$AA25:AA$134,"*",$AB25:AB$134,"*")</f>
        <v>176</v>
      </c>
      <c r="BW24" s="343">
        <f>SUMIFS($AU25:AU$134,$AA25:AA$134,"*",$AC25:AC$134,"*")</f>
        <v>1255</v>
      </c>
      <c r="BX24" s="343">
        <f>SUMIFS($AU25:AU$1388,$Q25:Q$1388,"F")</f>
        <v>14821.066666666669</v>
      </c>
      <c r="BY24" s="343">
        <f>SUMIFS($AU25:AU$1388,$Q25:Q$1388,"S")</f>
        <v>22121.342000000022</v>
      </c>
      <c r="BZ24" s="343">
        <f>SUMIFS($AU25:AU$1388,$Q25:Q$1388,"O")</f>
        <v>-1681.0579999997917</v>
      </c>
    </row>
    <row r="25" spans="1:78" ht="18" customHeight="1">
      <c r="A25" s="178" t="s">
        <v>91</v>
      </c>
      <c r="B25" s="177"/>
      <c r="C25" s="178"/>
      <c r="D25" s="178"/>
      <c r="E25" s="179"/>
      <c r="F25" s="180"/>
      <c r="G25" s="181"/>
      <c r="H25" s="182"/>
      <c r="I25" s="182"/>
      <c r="J25" s="182"/>
      <c r="K25" s="183"/>
      <c r="L25" s="182"/>
      <c r="M25" s="182"/>
      <c r="N25" s="182"/>
      <c r="O25" s="183"/>
      <c r="P25" s="183"/>
      <c r="Q25" s="183"/>
      <c r="R25" s="183"/>
      <c r="S25" s="183"/>
      <c r="T25" s="183"/>
      <c r="U25" s="183"/>
      <c r="V25" s="183"/>
      <c r="W25" s="183"/>
      <c r="X25" s="183"/>
      <c r="Y25" s="184"/>
      <c r="Z25" s="184">
        <f t="shared" si="7"/>
        <v>0</v>
      </c>
      <c r="AA25" s="185"/>
      <c r="AB25" s="185"/>
      <c r="AC25" s="185"/>
      <c r="AD25" s="649"/>
      <c r="AE25" s="182"/>
      <c r="AF25" s="332"/>
      <c r="AG25" s="182"/>
      <c r="AH25" s="182"/>
      <c r="AI25" s="182"/>
      <c r="AJ25" s="640"/>
      <c r="AK25" s="182"/>
      <c r="AL25" s="496">
        <f t="shared" si="13"/>
        <v>0</v>
      </c>
      <c r="AM25" s="496">
        <f t="shared" si="8"/>
        <v>0</v>
      </c>
      <c r="AN25" s="626"/>
      <c r="AO25" s="182"/>
      <c r="AP25" s="182"/>
      <c r="AQ25" s="332" t="str">
        <f>UPPER(RIGHT(Journal_Live[[#This Row],[DURATION ]]))</f>
        <v/>
      </c>
      <c r="AR25" s="182"/>
      <c r="AS25" s="189"/>
      <c r="AT25" s="182">
        <f t="shared" si="11"/>
        <v>0</v>
      </c>
      <c r="AU25" s="187"/>
      <c r="AV25" s="190">
        <f t="shared" si="12"/>
        <v>0</v>
      </c>
      <c r="AW25" s="191"/>
      <c r="AX25" s="407" t="s">
        <v>249</v>
      </c>
      <c r="AY25" s="407" t="s">
        <v>250</v>
      </c>
      <c r="AZ25" s="409" t="s">
        <v>251</v>
      </c>
      <c r="BA25" s="407"/>
      <c r="BB25" s="407"/>
      <c r="BC25" s="407"/>
      <c r="BD25" s="407"/>
      <c r="BE25" s="407"/>
      <c r="BF25" s="422"/>
      <c r="BG25" s="391">
        <f>SUM($AV$4:AV25)</f>
        <v>15.569999999999922</v>
      </c>
      <c r="BH25" s="392">
        <f>SUM($AU$4:AU25)</f>
        <v>15.569999999999922</v>
      </c>
      <c r="BI25" s="318"/>
      <c r="BJ25" s="318">
        <f>SUMIFS($AU26:AU$1388,$Q26:Q$1388,"F")</f>
        <v>14821.066666666669</v>
      </c>
      <c r="BK25" s="343">
        <f>SUMIFS($AU26:AU$1388,$P26:P$1388,"W")</f>
        <v>21672.541999999943</v>
      </c>
      <c r="BL25" s="343">
        <f>SUMIFS($AU26:AU$1388,$P26:P$1388,"W")</f>
        <v>21672.541999999943</v>
      </c>
      <c r="BM25" s="343">
        <f>SUMIFS($AU26:AU$134,$AQ26:AQ$134,"M")</f>
        <v>0</v>
      </c>
      <c r="BN25" s="343">
        <f>SUMIFS($AU26:AU$134,$AQ26:AQ$134,"M")</f>
        <v>0</v>
      </c>
      <c r="BO25" s="343">
        <f>SUMIFS($AU26:AU$134,$AQ26:AQ$134,"H")</f>
        <v>0</v>
      </c>
      <c r="BP25" s="343">
        <f>SUMIFS($AU28:AU$134,$AQ28:AQ$134,"D")</f>
        <v>400.6</v>
      </c>
      <c r="BQ25" s="343">
        <f>SUMIFS($AU26:AU$134,$Q26:Q$134,"O")</f>
        <v>-32.199999999993601</v>
      </c>
      <c r="BR25" s="343">
        <f>SUMIFS($AU26:AU$134,$AA26:AA$134,"*")</f>
        <v>1522.0000000000064</v>
      </c>
      <c r="BS25" s="343">
        <f>SUMIFS($AU26:AU$134,$AA26:AA$134,"*")</f>
        <v>1522.0000000000064</v>
      </c>
      <c r="BT25" s="343">
        <f>SUMIFS($AU26:AU$134,$AB26:AB$134,"*")</f>
        <v>176</v>
      </c>
      <c r="BU25" s="343">
        <f>SUMIFS($AU26:AU$134,$AA26:AA$134,"*",$AB26:AB$134,"*")</f>
        <v>176</v>
      </c>
      <c r="BV25" s="343">
        <f>SUMIFS($AU26:AU$134,$AA26:AA$134,"*",$AB26:AB$134,"*")</f>
        <v>176</v>
      </c>
      <c r="BW25" s="343">
        <f>SUMIFS($AU26:AU$134,$AA26:AA$134,"*",$AC26:AC$134,"*")</f>
        <v>1255</v>
      </c>
      <c r="BX25" s="343">
        <f>SUMIFS($AU26:AU$1388,$Q26:Q$1388,"F")</f>
        <v>14821.066666666669</v>
      </c>
      <c r="BY25" s="343">
        <f>SUMIFS($AU26:AU$1388,$Q26:Q$1388,"S")</f>
        <v>22121.342000000022</v>
      </c>
      <c r="BZ25" s="343">
        <f>SUMIFS($AU26:AU$1388,$Q26:Q$1388,"O")</f>
        <v>-1681.0579999997917</v>
      </c>
    </row>
    <row r="26" spans="1:78" ht="18" customHeight="1">
      <c r="A26" s="178" t="s">
        <v>91</v>
      </c>
      <c r="B26" s="177">
        <v>44855</v>
      </c>
      <c r="C26" s="178" t="s">
        <v>252</v>
      </c>
      <c r="D26" s="178" t="s">
        <v>111</v>
      </c>
      <c r="E26" s="179" t="s">
        <v>253</v>
      </c>
      <c r="F26" s="180" t="s">
        <v>254</v>
      </c>
      <c r="G26" s="181" t="s">
        <v>255</v>
      </c>
      <c r="H26" s="182"/>
      <c r="I26" s="182"/>
      <c r="J26" s="182"/>
      <c r="K26" s="183"/>
      <c r="L26" s="182">
        <v>1</v>
      </c>
      <c r="M26" s="182">
        <v>1</v>
      </c>
      <c r="N26" s="182"/>
      <c r="O26" s="183" t="s">
        <v>95</v>
      </c>
      <c r="P26" s="183" t="s">
        <v>96</v>
      </c>
      <c r="Q26" s="183" t="s">
        <v>256</v>
      </c>
      <c r="R26" s="183">
        <v>2</v>
      </c>
      <c r="S26" s="183">
        <v>2</v>
      </c>
      <c r="T26" s="183">
        <v>2</v>
      </c>
      <c r="U26" s="183" t="s">
        <v>97</v>
      </c>
      <c r="V26" s="183"/>
      <c r="W26" s="183"/>
      <c r="X26" s="183"/>
      <c r="Y26" s="184">
        <f t="shared" ref="Y26:Y51" si="14">IF(ISBLANK(O26),,(IF(O26=UPPER("IB"),0.005,0.01)))</f>
        <v>0.01</v>
      </c>
      <c r="Z26" s="184">
        <f>IF(ISBLANK(O26),,IF(O26=UPPER("IB"),8.63*200,15.2*100))</f>
        <v>1520</v>
      </c>
      <c r="AA26" s="185" t="s">
        <v>257</v>
      </c>
      <c r="AB26" s="185"/>
      <c r="AC26" s="185" t="s">
        <v>258</v>
      </c>
      <c r="AD26" s="649">
        <v>0.28000000000000003</v>
      </c>
      <c r="AE26" s="182"/>
      <c r="AF26" s="332">
        <v>0.31</v>
      </c>
      <c r="AG26" s="182"/>
      <c r="AH26" s="182" t="s">
        <v>259</v>
      </c>
      <c r="AI26" s="182" t="s">
        <v>260</v>
      </c>
      <c r="AJ26" s="640"/>
      <c r="AK26" s="182"/>
      <c r="AL26" s="496">
        <f>-0.03*Z26</f>
        <v>-45.6</v>
      </c>
      <c r="AM26" s="496">
        <f t="shared" si="8"/>
        <v>-91.2</v>
      </c>
      <c r="AN26" s="626" t="s">
        <v>261</v>
      </c>
      <c r="AO26" s="182" t="s">
        <v>262</v>
      </c>
      <c r="AP26" s="182" t="s">
        <v>263</v>
      </c>
      <c r="AQ26" s="332" t="str">
        <f>UPPER(RIGHT(Journal_Live[[#This Row],[DURATION ]]))</f>
        <v>S</v>
      </c>
      <c r="AR26" s="182" t="s">
        <v>264</v>
      </c>
      <c r="AS26" s="189">
        <v>0.26500000000000001</v>
      </c>
      <c r="AT26" s="189">
        <f t="shared" si="11"/>
        <v>1.5000000000000013E-2</v>
      </c>
      <c r="AU26" s="187">
        <f t="shared" ref="AU26:AU32" si="15">AV26*R26</f>
        <v>45.600000000000037</v>
      </c>
      <c r="AV26" s="190">
        <f t="shared" si="12"/>
        <v>22.800000000000018</v>
      </c>
      <c r="AW26" s="191" t="s">
        <v>96</v>
      </c>
      <c r="AX26" s="407" t="s">
        <v>265</v>
      </c>
      <c r="AY26" s="407" t="s">
        <v>266</v>
      </c>
      <c r="AZ26" s="407" t="s">
        <v>267</v>
      </c>
      <c r="BA26" s="407" t="s">
        <v>268</v>
      </c>
      <c r="BB26" s="407" t="s">
        <v>269</v>
      </c>
      <c r="BC26" s="407"/>
      <c r="BD26" s="407"/>
      <c r="BE26" s="407"/>
      <c r="BF26" s="422"/>
      <c r="BG26" s="391">
        <f>SUM($AV$4:AV26)</f>
        <v>38.369999999999941</v>
      </c>
      <c r="BH26" s="392">
        <f>SUM($AU$4:AU26)</f>
        <v>61.169999999999959</v>
      </c>
      <c r="BI26" s="318"/>
      <c r="BJ26" s="318">
        <f>SUMIFS($AU27:AU$1388,$Q27:Q$1388,"F")</f>
        <v>14775.466666666669</v>
      </c>
      <c r="BK26" s="343">
        <f>SUMIFS($AU27:AU$1388,$P27:P$1388,"W")</f>
        <v>21626.941999999945</v>
      </c>
      <c r="BL26" s="343">
        <f>SUMIFS($AU27:AU$1388,$P27:P$1388,"W")</f>
        <v>21626.941999999945</v>
      </c>
      <c r="BM26" s="343">
        <f>SUMIFS($AU27:AU$134,$AQ27:AQ$134,"M")</f>
        <v>0</v>
      </c>
      <c r="BN26" s="343">
        <f>SUMIFS($AU27:AU$134,$AQ27:AQ$134,"M")</f>
        <v>0</v>
      </c>
      <c r="BO26" s="343">
        <f>SUMIFS($AU27:AU$134,$AQ27:AQ$134,"H")</f>
        <v>0</v>
      </c>
      <c r="BP26" s="343">
        <f>SUMIFS($AU29:AU$134,$AQ29:AQ$134,"D")</f>
        <v>400.6</v>
      </c>
      <c r="BQ26" s="343">
        <f>SUMIFS($AU27:AU$134,$Q27:Q$134,"O")</f>
        <v>-32.199999999993601</v>
      </c>
      <c r="BR26" s="343">
        <f>SUMIFS($AU27:AU$134,$AA27:AA$134,"*")</f>
        <v>1476.4000000000065</v>
      </c>
      <c r="BS26" s="343">
        <f>SUMIFS($AU27:AU$134,$AA27:AA$134,"*")</f>
        <v>1476.4000000000065</v>
      </c>
      <c r="BT26" s="343">
        <f>SUMIFS($AU27:AU$134,$AB27:AB$134,"*")</f>
        <v>176</v>
      </c>
      <c r="BU26" s="343">
        <f>SUMIFS($AU27:AU$134,$AA27:AA$134,"*",$AB27:AB$134,"*")</f>
        <v>176</v>
      </c>
      <c r="BV26" s="343">
        <f>SUMIFS($AU27:AU$134,$AA27:AA$134,"*",$AB27:AB$134,"*")</f>
        <v>176</v>
      </c>
      <c r="BW26" s="343">
        <f>SUMIFS($AU27:AU$134,$AA27:AA$134,"*",$AC27:AC$134,"*")</f>
        <v>1209.3999999999999</v>
      </c>
      <c r="BX26" s="343">
        <f>SUMIFS($AU27:AU$1388,$Q27:Q$1388,"F")</f>
        <v>14775.466666666669</v>
      </c>
      <c r="BY26" s="343">
        <f>SUMIFS($AU27:AU$1388,$Q27:Q$1388,"S")</f>
        <v>22121.342000000022</v>
      </c>
      <c r="BZ26" s="343">
        <f>SUMIFS($AU27:AU$1388,$Q27:Q$1388,"O")</f>
        <v>-1681.0579999997917</v>
      </c>
    </row>
    <row r="27" spans="1:78" ht="18" customHeight="1">
      <c r="A27" s="178" t="s">
        <v>91</v>
      </c>
      <c r="B27" s="177">
        <v>44858</v>
      </c>
      <c r="C27" s="178" t="s">
        <v>270</v>
      </c>
      <c r="D27" s="178" t="s">
        <v>132</v>
      </c>
      <c r="E27" s="179"/>
      <c r="F27" s="180"/>
      <c r="G27" s="181" t="s">
        <v>271</v>
      </c>
      <c r="H27" s="182"/>
      <c r="I27" s="182"/>
      <c r="J27" s="182"/>
      <c r="K27" s="183"/>
      <c r="L27" s="182">
        <v>1</v>
      </c>
      <c r="M27" s="182"/>
      <c r="N27" s="182"/>
      <c r="O27" s="183" t="s">
        <v>95</v>
      </c>
      <c r="P27" s="183" t="s">
        <v>137</v>
      </c>
      <c r="Q27" s="183" t="s">
        <v>97</v>
      </c>
      <c r="R27" s="183">
        <v>1</v>
      </c>
      <c r="S27" s="183">
        <v>1</v>
      </c>
      <c r="T27" s="183">
        <v>1</v>
      </c>
      <c r="U27" s="183" t="s">
        <v>22</v>
      </c>
      <c r="V27" s="183"/>
      <c r="W27" s="183"/>
      <c r="X27" s="183"/>
      <c r="Y27" s="184">
        <f t="shared" si="14"/>
        <v>0.01</v>
      </c>
      <c r="Z27" s="184">
        <f>IF(ISBLANK(O27),,IF(O27=UPPER("IB"),8.63*200,15.2*100))</f>
        <v>1520</v>
      </c>
      <c r="AA27" s="185" t="s">
        <v>138</v>
      </c>
      <c r="AB27" s="185"/>
      <c r="AC27" s="185" t="s">
        <v>99</v>
      </c>
      <c r="AD27" s="649">
        <v>-7.0000000000000007E-2</v>
      </c>
      <c r="AE27" s="182"/>
      <c r="AF27" s="332"/>
      <c r="AG27" s="182"/>
      <c r="AH27" s="182"/>
      <c r="AI27" s="182"/>
      <c r="AJ27" s="640"/>
      <c r="AK27" s="182"/>
      <c r="AL27" s="496"/>
      <c r="AM27" s="497"/>
      <c r="AN27" s="626"/>
      <c r="AO27" s="182"/>
      <c r="AP27" s="182"/>
      <c r="AQ27" s="332" t="str">
        <f>UPPER(RIGHT(Journal_Live[[#This Row],[DURATION ]]))</f>
        <v/>
      </c>
      <c r="AR27" s="182" t="s">
        <v>272</v>
      </c>
      <c r="AS27" s="189">
        <v>-7.0000000000000007E-2</v>
      </c>
      <c r="AT27" s="189">
        <f t="shared" si="11"/>
        <v>0</v>
      </c>
      <c r="AU27" s="187">
        <f t="shared" si="15"/>
        <v>0</v>
      </c>
      <c r="AV27" s="190">
        <f t="shared" si="12"/>
        <v>0</v>
      </c>
      <c r="AW27" s="191" t="s">
        <v>115</v>
      </c>
      <c r="AX27" s="407" t="s">
        <v>273</v>
      </c>
      <c r="AY27" s="407" t="s">
        <v>274</v>
      </c>
      <c r="AZ27" s="407" t="s">
        <v>275</v>
      </c>
      <c r="BA27" s="407"/>
      <c r="BB27" s="407"/>
      <c r="BC27" s="407"/>
      <c r="BD27" s="407"/>
      <c r="BE27" s="407"/>
      <c r="BF27" s="422"/>
      <c r="BG27" s="391">
        <f>SUM($AV$4:AV27)</f>
        <v>38.369999999999941</v>
      </c>
      <c r="BH27" s="392">
        <f>SUM($AU$4:AU27)</f>
        <v>61.169999999999959</v>
      </c>
      <c r="BI27" s="318"/>
      <c r="BJ27" s="318">
        <f>SUMIFS($AU28:AU$1388,$Q28:Q$1388,"F")</f>
        <v>14775.466666666669</v>
      </c>
      <c r="BK27" s="343">
        <f>SUMIFS($AU28:AU$1388,$P28:P$1388,"W")</f>
        <v>21626.941999999945</v>
      </c>
      <c r="BL27" s="343">
        <f>SUMIFS($AU28:AU$1388,$P28:P$1388,"W")</f>
        <v>21626.941999999945</v>
      </c>
      <c r="BM27" s="343">
        <f>SUMIFS($AU28:AU$134,$AQ28:AQ$134,"M")</f>
        <v>0</v>
      </c>
      <c r="BN27" s="343">
        <f>SUMIFS($AU28:AU$134,$AQ28:AQ$134,"M")</f>
        <v>0</v>
      </c>
      <c r="BO27" s="343">
        <f>SUMIFS($AU28:AU$134,$AQ28:AQ$134,"H")</f>
        <v>0</v>
      </c>
      <c r="BP27" s="343">
        <f>SUMIFS($AU30:AU$134,$AQ30:AQ$134,"D")</f>
        <v>400.6</v>
      </c>
      <c r="BQ27" s="343">
        <f>SUMIFS($AU28:AU$134,$Q28:Q$134,"O")</f>
        <v>-32.199999999993601</v>
      </c>
      <c r="BR27" s="343">
        <f>SUMIFS($AU28:AU$134,$AA28:AA$134,"*")</f>
        <v>1476.4000000000065</v>
      </c>
      <c r="BS27" s="343">
        <f>SUMIFS($AU28:AU$134,$AA28:AA$134,"*")</f>
        <v>1476.4000000000065</v>
      </c>
      <c r="BT27" s="343">
        <f>SUMIFS($AU28:AU$134,$AB28:AB$134,"*")</f>
        <v>176</v>
      </c>
      <c r="BU27" s="343">
        <f>SUMIFS($AU28:AU$134,$AA28:AA$134,"*",$AB28:AB$134,"*")</f>
        <v>176</v>
      </c>
      <c r="BV27" s="343">
        <f>SUMIFS($AU28:AU$134,$AA28:AA$134,"*",$AB28:AB$134,"*")</f>
        <v>176</v>
      </c>
      <c r="BW27" s="343">
        <f>SUMIFS($AU28:AU$134,$AA28:AA$134,"*",$AC28:AC$134,"*")</f>
        <v>1209.3999999999999</v>
      </c>
      <c r="BX27" s="343">
        <f>SUMIFS($AU28:AU$1388,$Q28:Q$1388,"F")</f>
        <v>14775.466666666669</v>
      </c>
      <c r="BY27" s="343">
        <f>SUMIFS($AU28:AU$1388,$Q28:Q$1388,"S")</f>
        <v>22121.342000000022</v>
      </c>
      <c r="BZ27" s="343">
        <f>SUMIFS($AU28:AU$1388,$Q28:Q$1388,"O")</f>
        <v>-1681.0579999997917</v>
      </c>
    </row>
    <row r="28" spans="1:78" ht="18" customHeight="1">
      <c r="A28" s="178" t="s">
        <v>91</v>
      </c>
      <c r="B28" s="177">
        <v>44858</v>
      </c>
      <c r="C28" s="178" t="s">
        <v>276</v>
      </c>
      <c r="D28" s="178" t="s">
        <v>132</v>
      </c>
      <c r="E28" s="179"/>
      <c r="F28" s="180"/>
      <c r="G28" s="181" t="s">
        <v>271</v>
      </c>
      <c r="H28" s="182"/>
      <c r="I28" s="182"/>
      <c r="J28" s="182"/>
      <c r="K28" s="183"/>
      <c r="L28" s="182">
        <v>1</v>
      </c>
      <c r="M28" s="182"/>
      <c r="N28" s="182"/>
      <c r="O28" s="183" t="s">
        <v>95</v>
      </c>
      <c r="P28" s="183" t="s">
        <v>137</v>
      </c>
      <c r="Q28" s="183" t="s">
        <v>97</v>
      </c>
      <c r="R28" s="183">
        <v>1</v>
      </c>
      <c r="S28" s="183">
        <v>1</v>
      </c>
      <c r="T28" s="183">
        <v>1</v>
      </c>
      <c r="U28" s="183" t="s">
        <v>22</v>
      </c>
      <c r="V28" s="183"/>
      <c r="W28" s="183"/>
      <c r="X28" s="183"/>
      <c r="Y28" s="184">
        <f t="shared" si="14"/>
        <v>0.01</v>
      </c>
      <c r="Z28" s="184">
        <f>IF(ISBLANK(O28),,IF(O28=UPPER("IB"),8.63*200,15.2*100))</f>
        <v>1520</v>
      </c>
      <c r="AA28" s="185" t="s">
        <v>138</v>
      </c>
      <c r="AB28" s="185"/>
      <c r="AC28" s="185" t="s">
        <v>99</v>
      </c>
      <c r="AD28" s="649">
        <v>-7.0000000000000007E-2</v>
      </c>
      <c r="AE28" s="182"/>
      <c r="AF28" s="332"/>
      <c r="AG28" s="182"/>
      <c r="AH28" s="182"/>
      <c r="AI28" s="182"/>
      <c r="AJ28" s="640"/>
      <c r="AK28" s="182"/>
      <c r="AL28" s="496"/>
      <c r="AM28" s="497"/>
      <c r="AN28" s="626"/>
      <c r="AO28" s="182"/>
      <c r="AP28" s="182"/>
      <c r="AQ28" s="332" t="str">
        <f>UPPER(RIGHT(Journal_Live[[#This Row],[DURATION ]]))</f>
        <v/>
      </c>
      <c r="AR28" s="182" t="s">
        <v>277</v>
      </c>
      <c r="AS28" s="189">
        <v>-7.0000000000000007E-2</v>
      </c>
      <c r="AT28" s="189">
        <f t="shared" si="11"/>
        <v>0</v>
      </c>
      <c r="AU28" s="187">
        <f t="shared" si="15"/>
        <v>0</v>
      </c>
      <c r="AV28" s="190">
        <f t="shared" si="12"/>
        <v>0</v>
      </c>
      <c r="AW28" s="191" t="s">
        <v>115</v>
      </c>
      <c r="AX28" s="407" t="s">
        <v>273</v>
      </c>
      <c r="AY28" s="407" t="s">
        <v>278</v>
      </c>
      <c r="AZ28" s="407" t="s">
        <v>275</v>
      </c>
      <c r="BA28" s="407"/>
      <c r="BB28" s="407"/>
      <c r="BC28" s="407"/>
      <c r="BD28" s="407"/>
      <c r="BE28" s="407"/>
      <c r="BF28" s="422"/>
      <c r="BG28" s="391">
        <f>SUM($AV$4:AV28)</f>
        <v>38.369999999999941</v>
      </c>
      <c r="BH28" s="392">
        <f>SUM($AU$4:AU28)</f>
        <v>61.169999999999959</v>
      </c>
      <c r="BI28" s="318"/>
      <c r="BJ28" s="318">
        <f>SUMIFS($AU29:AU$1388,$Q29:Q$1388,"F")</f>
        <v>14775.466666666669</v>
      </c>
      <c r="BK28" s="343">
        <f>SUMIFS($AU29:AU$1388,$P29:P$1388,"W")</f>
        <v>21626.941999999945</v>
      </c>
      <c r="BL28" s="343">
        <f>SUMIFS($AU29:AU$1388,$P29:P$1388,"W")</f>
        <v>21626.941999999945</v>
      </c>
      <c r="BM28" s="343">
        <f>SUMIFS($AU29:AU$134,$AQ29:AQ$134,"M")</f>
        <v>0</v>
      </c>
      <c r="BN28" s="343">
        <f>SUMIFS($AU29:AU$134,$AQ29:AQ$134,"M")</f>
        <v>0</v>
      </c>
      <c r="BO28" s="343">
        <f>SUMIFS($AU29:AU$134,$AQ29:AQ$134,"H")</f>
        <v>0</v>
      </c>
      <c r="BP28" s="343">
        <f>SUMIFS($AU31:AU$134,$AQ31:AQ$134,"D")</f>
        <v>400.6</v>
      </c>
      <c r="BQ28" s="343">
        <f>SUMIFS($AU29:AU$134,$Q29:Q$134,"O")</f>
        <v>-32.199999999993601</v>
      </c>
      <c r="BR28" s="343">
        <f>SUMIFS($AU29:AU$134,$AA29:AA$134,"*")</f>
        <v>1476.4000000000065</v>
      </c>
      <c r="BS28" s="343">
        <f>SUMIFS($AU29:AU$134,$AA29:AA$134,"*")</f>
        <v>1476.4000000000065</v>
      </c>
      <c r="BT28" s="343">
        <f>SUMIFS($AU29:AU$134,$AB29:AB$134,"*")</f>
        <v>176</v>
      </c>
      <c r="BU28" s="343">
        <f>SUMIFS($AU29:AU$134,$AA29:AA$134,"*",$AB29:AB$134,"*")</f>
        <v>176</v>
      </c>
      <c r="BV28" s="343">
        <f>SUMIFS($AU29:AU$134,$AA29:AA$134,"*",$AB29:AB$134,"*")</f>
        <v>176</v>
      </c>
      <c r="BW28" s="343">
        <f>SUMIFS($AU29:AU$134,$AA29:AA$134,"*",$AC29:AC$134,"*")</f>
        <v>1209.3999999999999</v>
      </c>
      <c r="BX28" s="343">
        <f>SUMIFS($AU29:AU$1388,$Q29:Q$1388,"F")</f>
        <v>14775.466666666669</v>
      </c>
      <c r="BY28" s="343">
        <f>SUMIFS($AU29:AU$1388,$Q29:Q$1388,"S")</f>
        <v>22121.342000000022</v>
      </c>
      <c r="BZ28" s="343">
        <f>SUMIFS($AU29:AU$1388,$Q29:Q$1388,"O")</f>
        <v>-1681.0579999997917</v>
      </c>
    </row>
    <row r="29" spans="1:78" ht="18" customHeight="1">
      <c r="A29" s="178" t="s">
        <v>91</v>
      </c>
      <c r="B29" s="177">
        <v>44858</v>
      </c>
      <c r="C29" s="178" t="s">
        <v>279</v>
      </c>
      <c r="D29" s="178" t="s">
        <v>132</v>
      </c>
      <c r="E29" s="179"/>
      <c r="F29" s="180"/>
      <c r="G29" s="181" t="s">
        <v>280</v>
      </c>
      <c r="H29" s="182"/>
      <c r="I29" s="182"/>
      <c r="J29" s="182"/>
      <c r="K29" s="183"/>
      <c r="L29" s="182">
        <v>1</v>
      </c>
      <c r="M29" s="182"/>
      <c r="N29" s="182"/>
      <c r="O29" s="183" t="s">
        <v>95</v>
      </c>
      <c r="P29" s="183" t="s">
        <v>137</v>
      </c>
      <c r="Q29" s="183" t="s">
        <v>97</v>
      </c>
      <c r="R29" s="183">
        <v>1</v>
      </c>
      <c r="S29" s="183">
        <v>1</v>
      </c>
      <c r="T29" s="183">
        <v>1</v>
      </c>
      <c r="U29" s="183" t="s">
        <v>22</v>
      </c>
      <c r="V29" s="183"/>
      <c r="W29" s="183"/>
      <c r="X29" s="183"/>
      <c r="Y29" s="184">
        <f t="shared" si="14"/>
        <v>0.01</v>
      </c>
      <c r="Z29" s="184">
        <f>IF(ISBLANK(O29),,IF(O29=UPPER("IB"),8.63*200,15.2*100))</f>
        <v>1520</v>
      </c>
      <c r="AA29" s="185" t="s">
        <v>281</v>
      </c>
      <c r="AB29" s="185"/>
      <c r="AC29" s="185" t="s">
        <v>99</v>
      </c>
      <c r="AD29" s="649">
        <v>-7.0000000000000007E-2</v>
      </c>
      <c r="AE29" s="182"/>
      <c r="AF29" s="332">
        <v>-0.1</v>
      </c>
      <c r="AG29" s="182"/>
      <c r="AH29" s="182">
        <v>-0.06</v>
      </c>
      <c r="AI29" s="182"/>
      <c r="AJ29" s="640"/>
      <c r="AK29" s="182"/>
      <c r="AL29" s="496">
        <f t="shared" ref="AL29:AL35" si="16">-0.03*Z29</f>
        <v>-45.6</v>
      </c>
      <c r="AM29" s="496">
        <f t="shared" ref="AM29:AM35" si="17">AL29*R29</f>
        <v>-45.6</v>
      </c>
      <c r="AN29" s="626" t="s">
        <v>172</v>
      </c>
      <c r="AO29" s="182"/>
      <c r="AP29" s="182" t="s">
        <v>238</v>
      </c>
      <c r="AQ29" s="332" t="str">
        <f>UPPER(RIGHT(Journal_Live[[#This Row],[DURATION ]]))</f>
        <v>S</v>
      </c>
      <c r="AR29" s="182" t="s">
        <v>282</v>
      </c>
      <c r="AS29" s="189">
        <v>-0.06</v>
      </c>
      <c r="AT29" s="189">
        <f t="shared" si="11"/>
        <v>1.0000000000000009E-2</v>
      </c>
      <c r="AU29" s="187">
        <f t="shared" si="15"/>
        <v>15.200000000000014</v>
      </c>
      <c r="AV29" s="190">
        <f t="shared" si="12"/>
        <v>15.200000000000014</v>
      </c>
      <c r="AW29" s="191" t="s">
        <v>96</v>
      </c>
      <c r="AX29" s="407" t="s">
        <v>273</v>
      </c>
      <c r="AY29" s="407" t="s">
        <v>283</v>
      </c>
      <c r="AZ29" s="407"/>
      <c r="BA29" s="407"/>
      <c r="BB29" s="407"/>
      <c r="BC29" s="407"/>
      <c r="BD29" s="407"/>
      <c r="BE29" s="407"/>
      <c r="BF29" s="422"/>
      <c r="BG29" s="391">
        <f>SUM($AV$4:AV29)</f>
        <v>53.569999999999951</v>
      </c>
      <c r="BH29" s="392">
        <f>SUM($AU$4:AU29)</f>
        <v>76.369999999999976</v>
      </c>
      <c r="BI29" s="318"/>
      <c r="BJ29" s="318">
        <f>SUMIFS($AU30:AU$1388,$Q30:Q$1388,"F")</f>
        <v>14775.466666666669</v>
      </c>
      <c r="BK29" s="343">
        <f>SUMIFS($AU30:AU$1388,$P30:P$1388,"W")</f>
        <v>21626.941999999945</v>
      </c>
      <c r="BL29" s="343">
        <f>SUMIFS($AU30:AU$1388,$P30:P$1388,"W")</f>
        <v>21626.941999999945</v>
      </c>
      <c r="BM29" s="343">
        <f>SUMIFS($AU30:AU$134,$AQ30:AQ$134,"M")</f>
        <v>0</v>
      </c>
      <c r="BN29" s="343">
        <f>SUMIFS($AU30:AU$134,$AQ30:AQ$134,"M")</f>
        <v>0</v>
      </c>
      <c r="BO29" s="343">
        <f>SUMIFS($AU30:AU$134,$AQ30:AQ$134,"H")</f>
        <v>0</v>
      </c>
      <c r="BP29" s="343">
        <f>SUMIFS($AU32:AU$134,$AQ32:AQ$134,"D")</f>
        <v>400.6</v>
      </c>
      <c r="BQ29" s="343">
        <f>SUMIFS($AU30:AU$134,$Q30:Q$134,"O")</f>
        <v>-32.199999999993601</v>
      </c>
      <c r="BR29" s="343">
        <f>SUMIFS($AU30:AU$134,$AA30:AA$134,"*")</f>
        <v>1461.2000000000064</v>
      </c>
      <c r="BS29" s="343">
        <f>SUMIFS($AU30:AU$134,$AA30:AA$134,"*")</f>
        <v>1461.2000000000064</v>
      </c>
      <c r="BT29" s="343">
        <f>SUMIFS($AU30:AU$134,$AB30:AB$134,"*")</f>
        <v>176</v>
      </c>
      <c r="BU29" s="343">
        <f>SUMIFS($AU30:AU$134,$AA30:AA$134,"*",$AB30:AB$134,"*")</f>
        <v>176</v>
      </c>
      <c r="BV29" s="343">
        <f>SUMIFS($AU30:AU$134,$AA30:AA$134,"*",$AB30:AB$134,"*")</f>
        <v>176</v>
      </c>
      <c r="BW29" s="343">
        <f>SUMIFS($AU30:AU$134,$AA30:AA$134,"*",$AC30:AC$134,"*")</f>
        <v>1194.1999999999998</v>
      </c>
      <c r="BX29" s="343">
        <f>SUMIFS($AU30:AU$1388,$Q30:Q$1388,"F")</f>
        <v>14775.466666666669</v>
      </c>
      <c r="BY29" s="343">
        <f>SUMIFS($AU30:AU$1388,$Q30:Q$1388,"S")</f>
        <v>22106.142000000022</v>
      </c>
      <c r="BZ29" s="343">
        <f>SUMIFS($AU30:AU$1388,$Q30:Q$1388,"O")</f>
        <v>-1681.0579999997917</v>
      </c>
    </row>
    <row r="30" spans="1:78" ht="18" customHeight="1">
      <c r="A30" s="178" t="s">
        <v>91</v>
      </c>
      <c r="B30" s="177">
        <v>44858</v>
      </c>
      <c r="C30" s="178"/>
      <c r="D30" s="178" t="s">
        <v>284</v>
      </c>
      <c r="E30" s="179"/>
      <c r="F30" s="180"/>
      <c r="G30" s="181" t="s">
        <v>280</v>
      </c>
      <c r="H30" s="182"/>
      <c r="I30" s="182"/>
      <c r="J30" s="182"/>
      <c r="K30" s="183"/>
      <c r="L30" s="182"/>
      <c r="M30" s="182"/>
      <c r="N30" s="182"/>
      <c r="O30" s="183" t="s">
        <v>95</v>
      </c>
      <c r="P30" s="183" t="s">
        <v>137</v>
      </c>
      <c r="Q30" s="183" t="s">
        <v>97</v>
      </c>
      <c r="R30" s="183">
        <v>2</v>
      </c>
      <c r="S30" s="183">
        <v>2</v>
      </c>
      <c r="T30" s="183">
        <v>2</v>
      </c>
      <c r="U30" s="183" t="s">
        <v>22</v>
      </c>
      <c r="V30" s="183"/>
      <c r="W30" s="183"/>
      <c r="X30" s="183"/>
      <c r="Y30" s="184">
        <f t="shared" si="14"/>
        <v>0.01</v>
      </c>
      <c r="Z30" s="184">
        <f>IF(ISBLANK(O30),,IF(O30=UPPER("IB"),8.63*200,15.2*100))</f>
        <v>1520</v>
      </c>
      <c r="AA30" s="185" t="s">
        <v>285</v>
      </c>
      <c r="AB30" s="185"/>
      <c r="AC30" s="185" t="s">
        <v>99</v>
      </c>
      <c r="AD30" s="649">
        <v>-7.0000000000000007E-2</v>
      </c>
      <c r="AE30" s="182"/>
      <c r="AF30" s="332"/>
      <c r="AG30" s="182"/>
      <c r="AH30" s="182"/>
      <c r="AI30" s="182"/>
      <c r="AJ30" s="640"/>
      <c r="AK30" s="182"/>
      <c r="AL30" s="496">
        <f t="shared" si="16"/>
        <v>-45.6</v>
      </c>
      <c r="AM30" s="496">
        <f t="shared" si="17"/>
        <v>-91.2</v>
      </c>
      <c r="AN30" s="626"/>
      <c r="AO30" s="182"/>
      <c r="AP30" s="182"/>
      <c r="AQ30" s="332" t="str">
        <f>UPPER(RIGHT(Journal_Live[[#This Row],[DURATION ]]))</f>
        <v/>
      </c>
      <c r="AR30" s="182"/>
      <c r="AS30" s="189">
        <v>-7.0000000000000007E-2</v>
      </c>
      <c r="AT30" s="189">
        <f t="shared" si="11"/>
        <v>0</v>
      </c>
      <c r="AU30" s="187">
        <f t="shared" si="15"/>
        <v>0</v>
      </c>
      <c r="AV30" s="190">
        <f t="shared" si="12"/>
        <v>0</v>
      </c>
      <c r="AW30" s="191" t="s">
        <v>115</v>
      </c>
      <c r="AX30" s="407" t="s">
        <v>286</v>
      </c>
      <c r="AY30" s="407"/>
      <c r="AZ30" s="407"/>
      <c r="BA30" s="407"/>
      <c r="BB30" s="407"/>
      <c r="BC30" s="407"/>
      <c r="BD30" s="407"/>
      <c r="BE30" s="407"/>
      <c r="BF30" s="422"/>
      <c r="BG30" s="391">
        <f>SUM($AV$4:AV30)</f>
        <v>53.569999999999951</v>
      </c>
      <c r="BH30" s="392">
        <f>SUM($AU$4:AU30)</f>
        <v>76.369999999999976</v>
      </c>
      <c r="BI30" s="318"/>
      <c r="BJ30" s="318">
        <f>SUMIFS($AU31:AU$1388,$Q31:Q$1388,"F")</f>
        <v>14775.466666666669</v>
      </c>
      <c r="BK30" s="343">
        <f>SUMIFS($AU31:AU$1388,$P31:P$1388,"W")</f>
        <v>21626.941999999945</v>
      </c>
      <c r="BL30" s="343">
        <f>SUMIFS($AU31:AU$1388,$P31:P$1388,"W")</f>
        <v>21626.941999999945</v>
      </c>
      <c r="BM30" s="343">
        <f>SUMIFS($AU31:AU$134,$AQ31:AQ$134,"M")</f>
        <v>0</v>
      </c>
      <c r="BN30" s="343">
        <f>SUMIFS($AU31:AU$134,$AQ31:AQ$134,"M")</f>
        <v>0</v>
      </c>
      <c r="BO30" s="343">
        <f>SUMIFS($AU31:AU$134,$AQ31:AQ$134,"H")</f>
        <v>0</v>
      </c>
      <c r="BP30" s="343">
        <f>SUMIFS($AU33:AU$134,$AQ33:AQ$134,"D")</f>
        <v>400.6</v>
      </c>
      <c r="BQ30" s="343">
        <f>SUMIFS($AU31:AU$134,$Q31:Q$134,"O")</f>
        <v>-32.199999999993601</v>
      </c>
      <c r="BR30" s="343">
        <f>SUMIFS($AU31:AU$134,$AA31:AA$134,"*")</f>
        <v>1461.2000000000064</v>
      </c>
      <c r="BS30" s="343">
        <f>SUMIFS($AU31:AU$134,$AA31:AA$134,"*")</f>
        <v>1461.2000000000064</v>
      </c>
      <c r="BT30" s="343">
        <f>SUMIFS($AU31:AU$134,$AB31:AB$134,"*")</f>
        <v>176</v>
      </c>
      <c r="BU30" s="343">
        <f>SUMIFS($AU31:AU$134,$AA31:AA$134,"*",$AB31:AB$134,"*")</f>
        <v>176</v>
      </c>
      <c r="BV30" s="343">
        <f>SUMIFS($AU31:AU$134,$AA31:AA$134,"*",$AB31:AB$134,"*")</f>
        <v>176</v>
      </c>
      <c r="BW30" s="343">
        <f>SUMIFS($AU31:AU$134,$AA31:AA$134,"*",$AC31:AC$134,"*")</f>
        <v>1194.1999999999998</v>
      </c>
      <c r="BX30" s="343">
        <f>SUMIFS($AU31:AU$1388,$Q31:Q$1388,"F")</f>
        <v>14775.466666666669</v>
      </c>
      <c r="BY30" s="343">
        <f>SUMIFS($AU31:AU$1388,$Q31:Q$1388,"S")</f>
        <v>22106.142000000022</v>
      </c>
      <c r="BZ30" s="343">
        <f>SUMIFS($AU31:AU$1388,$Q31:Q$1388,"O")</f>
        <v>-1681.0579999997917</v>
      </c>
    </row>
    <row r="31" spans="1:78" ht="18" customHeight="1">
      <c r="A31" s="178" t="s">
        <v>91</v>
      </c>
      <c r="B31" s="177">
        <v>44859</v>
      </c>
      <c r="C31" s="178" t="s">
        <v>287</v>
      </c>
      <c r="D31" s="178" t="s">
        <v>146</v>
      </c>
      <c r="E31" s="179"/>
      <c r="F31" s="180"/>
      <c r="G31" s="181" t="s">
        <v>280</v>
      </c>
      <c r="H31" s="182"/>
      <c r="I31" s="182"/>
      <c r="J31" s="182"/>
      <c r="K31" s="183"/>
      <c r="L31" s="182">
        <v>1</v>
      </c>
      <c r="M31" s="182"/>
      <c r="N31" s="182"/>
      <c r="O31" s="183" t="s">
        <v>95</v>
      </c>
      <c r="P31" s="183" t="s">
        <v>137</v>
      </c>
      <c r="Q31" s="183" t="s">
        <v>97</v>
      </c>
      <c r="R31" s="183">
        <v>1</v>
      </c>
      <c r="S31" s="183">
        <v>1</v>
      </c>
      <c r="T31" s="183">
        <v>1</v>
      </c>
      <c r="U31" s="183" t="s">
        <v>22</v>
      </c>
      <c r="V31" s="183"/>
      <c r="W31" s="183"/>
      <c r="X31" s="183"/>
      <c r="Y31" s="184">
        <f t="shared" si="14"/>
        <v>0.01</v>
      </c>
      <c r="Z31" s="184">
        <f>IF(ISBLANK(O31),,IF(O31=UPPER("IB"),8.63*200,15.3*100))</f>
        <v>1530</v>
      </c>
      <c r="AA31" s="185" t="s">
        <v>138</v>
      </c>
      <c r="AB31" s="185"/>
      <c r="AC31" s="185" t="s">
        <v>99</v>
      </c>
      <c r="AD31" s="649">
        <v>-0.08</v>
      </c>
      <c r="AE31" s="182"/>
      <c r="AF31" s="332"/>
      <c r="AG31" s="182"/>
      <c r="AH31" s="182"/>
      <c r="AI31" s="182"/>
      <c r="AJ31" s="640" t="s">
        <v>288</v>
      </c>
      <c r="AK31" s="182"/>
      <c r="AL31" s="496">
        <f t="shared" si="16"/>
        <v>-45.9</v>
      </c>
      <c r="AM31" s="496">
        <f t="shared" si="17"/>
        <v>-45.9</v>
      </c>
      <c r="AN31" s="626"/>
      <c r="AO31" s="182"/>
      <c r="AP31" s="182" t="s">
        <v>289</v>
      </c>
      <c r="AQ31" s="332" t="str">
        <f>UPPER(RIGHT(Journal_Live[[#This Row],[DURATION ]]))</f>
        <v>S</v>
      </c>
      <c r="AR31" s="182" t="s">
        <v>290</v>
      </c>
      <c r="AS31" s="189">
        <v>-7.0000000000000007E-2</v>
      </c>
      <c r="AT31" s="189">
        <f t="shared" si="11"/>
        <v>9.999999999999995E-3</v>
      </c>
      <c r="AU31" s="187">
        <f t="shared" si="15"/>
        <v>15.299999999999992</v>
      </c>
      <c r="AV31" s="190">
        <f t="shared" si="12"/>
        <v>15.299999999999992</v>
      </c>
      <c r="AW31" s="191" t="s">
        <v>96</v>
      </c>
      <c r="AX31" s="426"/>
      <c r="AY31" s="407"/>
      <c r="AZ31" s="407" t="s">
        <v>291</v>
      </c>
      <c r="BA31" s="407"/>
      <c r="BB31" s="407"/>
      <c r="BC31" s="407"/>
      <c r="BD31" s="407"/>
      <c r="BE31" s="407"/>
      <c r="BF31" s="422"/>
      <c r="BG31" s="391">
        <f>SUM($AV$4:AV31)</f>
        <v>68.869999999999948</v>
      </c>
      <c r="BH31" s="392">
        <f>SUM($AU$4:AU31)</f>
        <v>91.669999999999973</v>
      </c>
      <c r="BI31" s="318"/>
      <c r="BJ31" s="318">
        <f>SUMIFS($AU32:AU$1388,$Q32:Q$1388,"F")</f>
        <v>14775.466666666669</v>
      </c>
      <c r="BK31" s="343">
        <f>SUMIFS($AU32:AU$1388,$P32:P$1388,"W")</f>
        <v>21626.941999999945</v>
      </c>
      <c r="BL31" s="343">
        <f>SUMIFS($AU32:AU$1388,$P32:P$1388,"W")</f>
        <v>21626.941999999945</v>
      </c>
      <c r="BM31" s="343">
        <f>SUMIFS($AU32:AU$134,$AQ32:AQ$134,"M")</f>
        <v>0</v>
      </c>
      <c r="BN31" s="343">
        <f>SUMIFS($AU32:AU$134,$AQ32:AQ$134,"M")</f>
        <v>0</v>
      </c>
      <c r="BO31" s="343">
        <f>SUMIFS($AU32:AU$134,$AQ32:AQ$134,"H")</f>
        <v>0</v>
      </c>
      <c r="BP31" s="343">
        <f>SUMIFS($AU34:AU$134,$AQ34:AQ$134,"D")</f>
        <v>400.6</v>
      </c>
      <c r="BQ31" s="343">
        <f>SUMIFS($AU32:AU$134,$Q32:Q$134,"O")</f>
        <v>-32.199999999993601</v>
      </c>
      <c r="BR31" s="343">
        <f>SUMIFS($AU32:AU$134,$AA32:AA$134,"*")</f>
        <v>1445.9000000000065</v>
      </c>
      <c r="BS31" s="343">
        <f>SUMIFS($AU32:AU$134,$AA32:AA$134,"*")</f>
        <v>1445.9000000000065</v>
      </c>
      <c r="BT31" s="343">
        <f>SUMIFS($AU32:AU$134,$AB32:AB$134,"*")</f>
        <v>176</v>
      </c>
      <c r="BU31" s="343">
        <f>SUMIFS($AU32:AU$134,$AA32:AA$134,"*",$AB32:AB$134,"*")</f>
        <v>176</v>
      </c>
      <c r="BV31" s="343">
        <f>SUMIFS($AU32:AU$134,$AA32:AA$134,"*",$AB32:AB$134,"*")</f>
        <v>176</v>
      </c>
      <c r="BW31" s="343">
        <f>SUMIFS($AU32:AU$134,$AA32:AA$134,"*",$AC32:AC$134,"*")</f>
        <v>1178.8999999999999</v>
      </c>
      <c r="BX31" s="343">
        <f>SUMIFS($AU32:AU$1388,$Q32:Q$1388,"F")</f>
        <v>14775.466666666669</v>
      </c>
      <c r="BY31" s="343">
        <f>SUMIFS($AU32:AU$1388,$Q32:Q$1388,"S")</f>
        <v>22090.842000000022</v>
      </c>
      <c r="BZ31" s="343">
        <f>SUMIFS($AU32:AU$1388,$Q32:Q$1388,"O")</f>
        <v>-1681.0579999997917</v>
      </c>
    </row>
    <row r="32" spans="1:78" ht="18" customHeight="1">
      <c r="A32" s="178" t="s">
        <v>91</v>
      </c>
      <c r="B32" s="177">
        <v>44859</v>
      </c>
      <c r="C32" s="178" t="s">
        <v>292</v>
      </c>
      <c r="D32" s="178" t="s">
        <v>146</v>
      </c>
      <c r="E32" s="179"/>
      <c r="F32" s="180"/>
      <c r="G32" s="181" t="s">
        <v>271</v>
      </c>
      <c r="H32" s="182"/>
      <c r="I32" s="182"/>
      <c r="J32" s="182"/>
      <c r="K32" s="183"/>
      <c r="L32" s="182">
        <v>1</v>
      </c>
      <c r="M32" s="182"/>
      <c r="N32" s="182"/>
      <c r="O32" s="183" t="s">
        <v>95</v>
      </c>
      <c r="P32" s="183" t="s">
        <v>137</v>
      </c>
      <c r="Q32" s="183" t="s">
        <v>97</v>
      </c>
      <c r="R32" s="183">
        <v>1</v>
      </c>
      <c r="S32" s="183">
        <v>1</v>
      </c>
      <c r="T32" s="183">
        <v>1</v>
      </c>
      <c r="U32" s="183" t="s">
        <v>22</v>
      </c>
      <c r="V32" s="183"/>
      <c r="W32" s="183"/>
      <c r="X32" s="183"/>
      <c r="Y32" s="184">
        <f t="shared" si="14"/>
        <v>0.01</v>
      </c>
      <c r="Z32" s="184">
        <f t="shared" ref="Z32:Z39" si="18">IF(ISBLANK(O32),,IF(O32=UPPER("IB"),8.63*200,15.2*100))</f>
        <v>1520</v>
      </c>
      <c r="AA32" s="185" t="s">
        <v>138</v>
      </c>
      <c r="AB32" s="185"/>
      <c r="AC32" s="185" t="s">
        <v>99</v>
      </c>
      <c r="AD32" s="649">
        <v>-0.08</v>
      </c>
      <c r="AE32" s="182"/>
      <c r="AF32" s="332"/>
      <c r="AG32" s="182"/>
      <c r="AH32" s="182"/>
      <c r="AI32" s="182"/>
      <c r="AJ32" s="640"/>
      <c r="AK32" s="182"/>
      <c r="AL32" s="496">
        <f t="shared" si="16"/>
        <v>-45.6</v>
      </c>
      <c r="AM32" s="496">
        <f t="shared" si="17"/>
        <v>-45.6</v>
      </c>
      <c r="AN32" s="626"/>
      <c r="AO32" s="182"/>
      <c r="AP32" s="182" t="s">
        <v>293</v>
      </c>
      <c r="AQ32" s="332" t="str">
        <f>UPPER(RIGHT(Journal_Live[[#This Row],[DURATION ]]))</f>
        <v>S</v>
      </c>
      <c r="AR32" s="182" t="s">
        <v>294</v>
      </c>
      <c r="AS32" s="189">
        <v>-7.0000000000000007E-2</v>
      </c>
      <c r="AT32" s="189">
        <f t="shared" si="11"/>
        <v>9.999999999999995E-3</v>
      </c>
      <c r="AU32" s="187">
        <f t="shared" si="15"/>
        <v>15.199999999999992</v>
      </c>
      <c r="AV32" s="190">
        <f t="shared" si="12"/>
        <v>15.199999999999992</v>
      </c>
      <c r="AW32" s="191" t="s">
        <v>96</v>
      </c>
      <c r="AX32" s="407" t="s">
        <v>275</v>
      </c>
      <c r="AY32" s="407"/>
      <c r="AZ32" s="407"/>
      <c r="BA32" s="407"/>
      <c r="BB32" s="407"/>
      <c r="BC32" s="407"/>
      <c r="BD32" s="407"/>
      <c r="BE32" s="407"/>
      <c r="BF32" s="422"/>
      <c r="BG32" s="391">
        <f>SUM($AV$4:AV32)</f>
        <v>84.069999999999936</v>
      </c>
      <c r="BH32" s="392">
        <f>SUM($AU$4:AU32)</f>
        <v>106.86999999999996</v>
      </c>
      <c r="BI32" s="318"/>
      <c r="BJ32" s="318">
        <f>SUMIFS($AU33:AU$1388,$Q33:Q$1388,"F")</f>
        <v>14775.466666666669</v>
      </c>
      <c r="BK32" s="343">
        <f>SUMIFS($AU33:AU$1388,$P33:P$1388,"W")</f>
        <v>21626.941999999945</v>
      </c>
      <c r="BL32" s="343">
        <f>SUMIFS($AU33:AU$1388,$P33:P$1388,"W")</f>
        <v>21626.941999999945</v>
      </c>
      <c r="BM32" s="343">
        <f>SUMIFS($AU33:AU$134,$AQ33:AQ$134,"M")</f>
        <v>0</v>
      </c>
      <c r="BN32" s="343">
        <f>SUMIFS($AU33:AU$134,$AQ33:AQ$134,"M")</f>
        <v>0</v>
      </c>
      <c r="BO32" s="343">
        <f>SUMIFS($AU33:AU$134,$AQ33:AQ$134,"H")</f>
        <v>0</v>
      </c>
      <c r="BP32" s="343">
        <f>SUMIFS($AU35:AU$134,$AQ35:AQ$134,"D")</f>
        <v>400.6</v>
      </c>
      <c r="BQ32" s="343">
        <f>SUMIFS($AU33:AU$134,$Q33:Q$134,"O")</f>
        <v>-32.199999999993601</v>
      </c>
      <c r="BR32" s="343">
        <f>SUMIFS($AU33:AU$134,$AA33:AA$134,"*")</f>
        <v>1430.7000000000064</v>
      </c>
      <c r="BS32" s="343">
        <f>SUMIFS($AU33:AU$134,$AA33:AA$134,"*")</f>
        <v>1430.7000000000064</v>
      </c>
      <c r="BT32" s="343">
        <f>SUMIFS($AU33:AU$134,$AB33:AB$134,"*")</f>
        <v>176</v>
      </c>
      <c r="BU32" s="343">
        <f>SUMIFS($AU33:AU$134,$AA33:AA$134,"*",$AB33:AB$134,"*")</f>
        <v>176</v>
      </c>
      <c r="BV32" s="343">
        <f>SUMIFS($AU33:AU$134,$AA33:AA$134,"*",$AB33:AB$134,"*")</f>
        <v>176</v>
      </c>
      <c r="BW32" s="343">
        <f>SUMIFS($AU33:AU$134,$AA33:AA$134,"*",$AC33:AC$134,"*")</f>
        <v>1163.7</v>
      </c>
      <c r="BX32" s="343">
        <f>SUMIFS($AU33:AU$1388,$Q33:Q$1388,"F")</f>
        <v>14775.466666666669</v>
      </c>
      <c r="BY32" s="343">
        <f>SUMIFS($AU33:AU$1388,$Q33:Q$1388,"S")</f>
        <v>22075.642000000022</v>
      </c>
      <c r="BZ32" s="343">
        <f>SUMIFS($AU33:AU$1388,$Q33:Q$1388,"O")</f>
        <v>-1681.0579999997917</v>
      </c>
    </row>
    <row r="33" spans="1:78" ht="18" customHeight="1">
      <c r="A33" s="178" t="s">
        <v>91</v>
      </c>
      <c r="B33" s="177">
        <v>44860</v>
      </c>
      <c r="C33" s="178"/>
      <c r="D33" s="178" t="s">
        <v>151</v>
      </c>
      <c r="E33" s="179" t="s">
        <v>295</v>
      </c>
      <c r="F33" s="180" t="s">
        <v>296</v>
      </c>
      <c r="G33" s="198"/>
      <c r="H33" s="182">
        <v>1</v>
      </c>
      <c r="I33" s="182"/>
      <c r="J33" s="182"/>
      <c r="K33" s="183"/>
      <c r="L33" s="182"/>
      <c r="M33" s="182"/>
      <c r="N33" s="182"/>
      <c r="O33" s="183"/>
      <c r="P33" s="183"/>
      <c r="Q33" s="183"/>
      <c r="R33" s="183"/>
      <c r="S33" s="183"/>
      <c r="T33" s="183"/>
      <c r="U33" s="183"/>
      <c r="V33" s="183"/>
      <c r="W33" s="183"/>
      <c r="X33" s="183"/>
      <c r="Y33" s="184">
        <f t="shared" si="14"/>
        <v>0</v>
      </c>
      <c r="Z33" s="184">
        <f t="shared" si="18"/>
        <v>0</v>
      </c>
      <c r="AA33" s="185"/>
      <c r="AB33" s="185"/>
      <c r="AC33" s="185"/>
      <c r="AD33" s="649"/>
      <c r="AE33" s="182"/>
      <c r="AF33" s="332"/>
      <c r="AG33" s="182"/>
      <c r="AH33" s="182"/>
      <c r="AI33" s="182"/>
      <c r="AJ33" s="640"/>
      <c r="AK33" s="182"/>
      <c r="AL33" s="496">
        <f t="shared" si="16"/>
        <v>0</v>
      </c>
      <c r="AM33" s="496">
        <f t="shared" si="17"/>
        <v>0</v>
      </c>
      <c r="AN33" s="626"/>
      <c r="AO33" s="182"/>
      <c r="AP33" s="182"/>
      <c r="AQ33" s="332" t="str">
        <f>UPPER(RIGHT(Journal_Live[[#This Row],[DURATION ]]))</f>
        <v/>
      </c>
      <c r="AR33" s="182"/>
      <c r="AS33" s="189"/>
      <c r="AT33" s="182"/>
      <c r="AU33" s="187"/>
      <c r="AV33" s="190"/>
      <c r="AW33" s="191"/>
      <c r="AX33" s="407" t="s">
        <v>297</v>
      </c>
      <c r="AY33" s="407" t="s">
        <v>298</v>
      </c>
      <c r="AZ33" s="409" t="s">
        <v>299</v>
      </c>
      <c r="BA33" s="409" t="s">
        <v>300</v>
      </c>
      <c r="BB33" s="407" t="s">
        <v>301</v>
      </c>
      <c r="BC33" s="407"/>
      <c r="BD33" s="407" t="s">
        <v>302</v>
      </c>
      <c r="BE33" s="407"/>
      <c r="BF33" s="422"/>
      <c r="BG33" s="391">
        <f>SUM($AV$4:AV33)</f>
        <v>84.069999999999936</v>
      </c>
      <c r="BH33" s="392">
        <f>SUM($AU$4:AU33)</f>
        <v>106.86999999999996</v>
      </c>
      <c r="BI33" s="318"/>
      <c r="BJ33" s="318">
        <f>SUMIFS($AU34:AU$1388,$Q34:Q$1388,"F")</f>
        <v>14775.466666666669</v>
      </c>
      <c r="BK33" s="343">
        <f>SUMIFS($AU34:AU$1388,$P34:P$1388,"W")</f>
        <v>21626.941999999945</v>
      </c>
      <c r="BL33" s="343">
        <f>SUMIFS($AU34:AU$1388,$P34:P$1388,"W")</f>
        <v>21626.941999999945</v>
      </c>
      <c r="BM33" s="343">
        <f>SUMIFS($AU34:AU$134,$AQ34:AQ$134,"M")</f>
        <v>0</v>
      </c>
      <c r="BN33" s="343">
        <f>SUMIFS($AU34:AU$134,$AQ34:AQ$134,"M")</f>
        <v>0</v>
      </c>
      <c r="BO33" s="343">
        <f>SUMIFS($AU34:AU$134,$AQ34:AQ$134,"H")</f>
        <v>0</v>
      </c>
      <c r="BP33" s="343">
        <f>SUMIFS($AU36:AU$134,$AQ36:AQ$134,"D")</f>
        <v>400.6</v>
      </c>
      <c r="BQ33" s="343">
        <f>SUMIFS($AU34:AU$134,$Q34:Q$134,"O")</f>
        <v>-32.199999999993601</v>
      </c>
      <c r="BR33" s="343">
        <f>SUMIFS($AU34:AU$134,$AA34:AA$134,"*")</f>
        <v>1430.7000000000064</v>
      </c>
      <c r="BS33" s="343">
        <f>SUMIFS($AU34:AU$134,$AA34:AA$134,"*")</f>
        <v>1430.7000000000064</v>
      </c>
      <c r="BT33" s="343">
        <f>SUMIFS($AU34:AU$134,$AB34:AB$134,"*")</f>
        <v>176</v>
      </c>
      <c r="BU33" s="343">
        <f>SUMIFS($AU34:AU$134,$AA34:AA$134,"*",$AB34:AB$134,"*")</f>
        <v>176</v>
      </c>
      <c r="BV33" s="343">
        <f>SUMIFS($AU34:AU$134,$AA34:AA$134,"*",$AB34:AB$134,"*")</f>
        <v>176</v>
      </c>
      <c r="BW33" s="343">
        <f>SUMIFS($AU34:AU$134,$AA34:AA$134,"*",$AC34:AC$134,"*")</f>
        <v>1163.7</v>
      </c>
      <c r="BX33" s="343">
        <f>SUMIFS($AU34:AU$1388,$Q34:Q$1388,"F")</f>
        <v>14775.466666666669</v>
      </c>
      <c r="BY33" s="343">
        <f>SUMIFS($AU34:AU$1388,$Q34:Q$1388,"S")</f>
        <v>22075.642000000022</v>
      </c>
      <c r="BZ33" s="343">
        <f>SUMIFS($AU34:AU$1388,$Q34:Q$1388,"O")</f>
        <v>-1681.0579999997917</v>
      </c>
    </row>
    <row r="34" spans="1:78" ht="18" customHeight="1">
      <c r="A34" s="178" t="s">
        <v>91</v>
      </c>
      <c r="B34" s="177"/>
      <c r="C34" s="178"/>
      <c r="D34" s="178"/>
      <c r="E34" s="179" t="s">
        <v>303</v>
      </c>
      <c r="F34" s="180"/>
      <c r="G34" s="181"/>
      <c r="H34" s="182">
        <v>1</v>
      </c>
      <c r="I34" s="182"/>
      <c r="J34" s="182"/>
      <c r="K34" s="183"/>
      <c r="L34" s="182"/>
      <c r="M34" s="182"/>
      <c r="N34" s="182"/>
      <c r="O34" s="183"/>
      <c r="P34" s="183"/>
      <c r="Q34" s="183"/>
      <c r="R34" s="183"/>
      <c r="S34" s="183"/>
      <c r="T34" s="183"/>
      <c r="U34" s="183"/>
      <c r="V34" s="183"/>
      <c r="W34" s="183"/>
      <c r="X34" s="183"/>
      <c r="Y34" s="184">
        <f t="shared" si="14"/>
        <v>0</v>
      </c>
      <c r="Z34" s="184">
        <f t="shared" si="18"/>
        <v>0</v>
      </c>
      <c r="AA34" s="185"/>
      <c r="AB34" s="185"/>
      <c r="AC34" s="185"/>
      <c r="AD34" s="649"/>
      <c r="AE34" s="182"/>
      <c r="AF34" s="332"/>
      <c r="AG34" s="182"/>
      <c r="AH34" s="182"/>
      <c r="AI34" s="182"/>
      <c r="AJ34" s="640"/>
      <c r="AK34" s="182"/>
      <c r="AL34" s="496">
        <f t="shared" si="16"/>
        <v>0</v>
      </c>
      <c r="AM34" s="496">
        <f t="shared" si="17"/>
        <v>0</v>
      </c>
      <c r="AN34" s="626"/>
      <c r="AO34" s="182"/>
      <c r="AP34" s="182"/>
      <c r="AQ34" s="332" t="str">
        <f>UPPER(RIGHT(Journal_Live[[#This Row],[DURATION ]]))</f>
        <v/>
      </c>
      <c r="AR34" s="182"/>
      <c r="AS34" s="189"/>
      <c r="AT34" s="182"/>
      <c r="AU34" s="187"/>
      <c r="AV34" s="190"/>
      <c r="AW34" s="191"/>
      <c r="AX34" s="407"/>
      <c r="AY34" s="407"/>
      <c r="AZ34" s="407"/>
      <c r="BA34" s="407" t="s">
        <v>304</v>
      </c>
      <c r="BB34" s="407" t="s">
        <v>305</v>
      </c>
      <c r="BC34" s="407"/>
      <c r="BD34" s="407"/>
      <c r="BE34" s="407"/>
      <c r="BF34" s="422"/>
      <c r="BG34" s="391">
        <f>SUM($AV$4:AV34)</f>
        <v>84.069999999999936</v>
      </c>
      <c r="BH34" s="392">
        <f>SUM($AU$4:AU34)</f>
        <v>106.86999999999996</v>
      </c>
      <c r="BI34" s="318"/>
      <c r="BJ34" s="318">
        <f>SUMIFS($AU35:AU$1388,$Q35:Q$1388,"F")</f>
        <v>14775.466666666669</v>
      </c>
      <c r="BK34" s="343">
        <f>SUMIFS($AU35:AU$1388,$P35:P$1388,"W")</f>
        <v>21626.941999999945</v>
      </c>
      <c r="BL34" s="343">
        <f>SUMIFS($AU35:AU$1388,$P35:P$1388,"W")</f>
        <v>21626.941999999945</v>
      </c>
      <c r="BM34" s="343">
        <f>SUMIFS($AU35:AU$134,$AQ35:AQ$134,"M")</f>
        <v>0</v>
      </c>
      <c r="BN34" s="343">
        <f>SUMIFS($AU35:AU$134,$AQ35:AQ$134,"M")</f>
        <v>0</v>
      </c>
      <c r="BO34" s="343">
        <f>SUMIFS($AU35:AU$134,$AQ35:AQ$134,"H")</f>
        <v>0</v>
      </c>
      <c r="BP34" s="343">
        <f>SUMIFS($AU37:AU$134,$AQ37:AQ$134,"D")</f>
        <v>400.6</v>
      </c>
      <c r="BQ34" s="343">
        <f>SUMIFS($AU35:AU$134,$Q35:Q$134,"O")</f>
        <v>-32.199999999993601</v>
      </c>
      <c r="BR34" s="343">
        <f>SUMIFS($AU35:AU$134,$AA35:AA$134,"*")</f>
        <v>1430.7000000000064</v>
      </c>
      <c r="BS34" s="343">
        <f>SUMIFS($AU35:AU$134,$AA35:AA$134,"*")</f>
        <v>1430.7000000000064</v>
      </c>
      <c r="BT34" s="343">
        <f>SUMIFS($AU35:AU$134,$AB35:AB$134,"*")</f>
        <v>176</v>
      </c>
      <c r="BU34" s="343">
        <f>SUMIFS($AU35:AU$134,$AA35:AA$134,"*",$AB35:AB$134,"*")</f>
        <v>176</v>
      </c>
      <c r="BV34" s="343">
        <f>SUMIFS($AU35:AU$134,$AA35:AA$134,"*",$AB35:AB$134,"*")</f>
        <v>176</v>
      </c>
      <c r="BW34" s="343">
        <f>SUMIFS($AU35:AU$134,$AA35:AA$134,"*",$AC35:AC$134,"*")</f>
        <v>1163.7</v>
      </c>
      <c r="BX34" s="343">
        <f>SUMIFS($AU35:AU$1388,$Q35:Q$1388,"F")</f>
        <v>14775.466666666669</v>
      </c>
      <c r="BY34" s="343">
        <f>SUMIFS($AU35:AU$1388,$Q35:Q$1388,"S")</f>
        <v>22075.642000000022</v>
      </c>
      <c r="BZ34" s="343">
        <f>SUMIFS($AU35:AU$1388,$Q35:Q$1388,"O")</f>
        <v>-1681.0579999997917</v>
      </c>
    </row>
    <row r="35" spans="1:78" ht="18" customHeight="1">
      <c r="A35" s="178" t="s">
        <v>91</v>
      </c>
      <c r="B35" s="177">
        <v>44860</v>
      </c>
      <c r="C35" s="178"/>
      <c r="D35" s="178" t="s">
        <v>151</v>
      </c>
      <c r="E35" s="179"/>
      <c r="F35" s="180"/>
      <c r="G35" s="181" t="s">
        <v>255</v>
      </c>
      <c r="H35" s="182"/>
      <c r="I35" s="182"/>
      <c r="J35" s="182"/>
      <c r="K35" s="183"/>
      <c r="L35" s="182"/>
      <c r="M35" s="182"/>
      <c r="N35" s="182"/>
      <c r="O35" s="183" t="s">
        <v>95</v>
      </c>
      <c r="P35" s="183" t="s">
        <v>96</v>
      </c>
      <c r="Q35" s="183" t="s">
        <v>256</v>
      </c>
      <c r="R35" s="183"/>
      <c r="S35" s="183"/>
      <c r="T35" s="183"/>
      <c r="U35" s="183" t="s">
        <v>22</v>
      </c>
      <c r="V35" s="183"/>
      <c r="W35" s="183"/>
      <c r="X35" s="183"/>
      <c r="Y35" s="184">
        <f t="shared" si="14"/>
        <v>0.01</v>
      </c>
      <c r="Z35" s="184">
        <f t="shared" si="18"/>
        <v>1520</v>
      </c>
      <c r="AA35" s="185"/>
      <c r="AB35" s="185"/>
      <c r="AC35" s="185"/>
      <c r="AD35" s="649">
        <v>0.25</v>
      </c>
      <c r="AE35" s="182"/>
      <c r="AF35" s="332"/>
      <c r="AG35" s="182"/>
      <c r="AH35" s="182"/>
      <c r="AI35" s="182"/>
      <c r="AJ35" s="640"/>
      <c r="AK35" s="182"/>
      <c r="AL35" s="496">
        <f t="shared" si="16"/>
        <v>-45.6</v>
      </c>
      <c r="AM35" s="496">
        <f t="shared" si="17"/>
        <v>0</v>
      </c>
      <c r="AN35" s="626"/>
      <c r="AO35" s="182"/>
      <c r="AP35" s="182"/>
      <c r="AQ35" s="332" t="str">
        <f>UPPER(RIGHT(Journal_Live[[#This Row],[DURATION ]]))</f>
        <v/>
      </c>
      <c r="AR35" s="182"/>
      <c r="AS35" s="189">
        <v>0.25</v>
      </c>
      <c r="AT35" s="189">
        <f>IF(ISBLANK(AS35),,IF(U35="S",AD35-AS35,AS35-AD35))</f>
        <v>0</v>
      </c>
      <c r="AU35" s="187">
        <f>AV35*R35</f>
        <v>0</v>
      </c>
      <c r="AV35" s="190">
        <f>IF(ISBLANK(AS35),,(AT35*Z35))</f>
        <v>0</v>
      </c>
      <c r="AW35" s="191" t="s">
        <v>115</v>
      </c>
      <c r="AX35" s="407" t="s">
        <v>306</v>
      </c>
      <c r="AY35" s="407"/>
      <c r="AZ35" s="407"/>
      <c r="BA35" s="407"/>
      <c r="BB35" s="407"/>
      <c r="BC35" s="407"/>
      <c r="BD35" s="407"/>
      <c r="BE35" s="407"/>
      <c r="BF35" s="422"/>
      <c r="BG35" s="391">
        <f>SUM($AV$4:AV35)</f>
        <v>84.069999999999936</v>
      </c>
      <c r="BH35" s="392">
        <f>SUM($AU$4:AU35)</f>
        <v>106.86999999999996</v>
      </c>
      <c r="BI35" s="318"/>
      <c r="BJ35" s="318">
        <f>SUMIFS($AU36:AU$1388,$Q36:Q$1388,"F")</f>
        <v>14775.466666666669</v>
      </c>
      <c r="BK35" s="343">
        <f>SUMIFS($AU36:AU$1388,$P36:P$1388,"W")</f>
        <v>21626.941999999945</v>
      </c>
      <c r="BL35" s="343">
        <f>SUMIFS($AU36:AU$1388,$P36:P$1388,"W")</f>
        <v>21626.941999999945</v>
      </c>
      <c r="BM35" s="343">
        <f>SUMIFS($AU36:AU$134,$AQ36:AQ$134,"M")</f>
        <v>0</v>
      </c>
      <c r="BN35" s="343">
        <f>SUMIFS($AU36:AU$134,$AQ36:AQ$134,"M")</f>
        <v>0</v>
      </c>
      <c r="BO35" s="343">
        <f>SUMIFS($AU36:AU$134,$AQ36:AQ$134,"H")</f>
        <v>0</v>
      </c>
      <c r="BP35" s="343">
        <f>SUMIFS($AU38:AU$134,$AQ38:AQ$134,"D")</f>
        <v>400.6</v>
      </c>
      <c r="BQ35" s="343">
        <f>SUMIFS($AU36:AU$134,$Q36:Q$134,"O")</f>
        <v>-32.199999999993601</v>
      </c>
      <c r="BR35" s="343">
        <f>SUMIFS($AU36:AU$134,$AA36:AA$134,"*")</f>
        <v>1430.7000000000064</v>
      </c>
      <c r="BS35" s="343">
        <f>SUMIFS($AU36:AU$134,$AA36:AA$134,"*")</f>
        <v>1430.7000000000064</v>
      </c>
      <c r="BT35" s="343">
        <f>SUMIFS($AU36:AU$134,$AB36:AB$134,"*")</f>
        <v>176</v>
      </c>
      <c r="BU35" s="343">
        <f>SUMIFS($AU36:AU$134,$AA36:AA$134,"*",$AB36:AB$134,"*")</f>
        <v>176</v>
      </c>
      <c r="BV35" s="343">
        <f>SUMIFS($AU36:AU$134,$AA36:AA$134,"*",$AB36:AB$134,"*")</f>
        <v>176</v>
      </c>
      <c r="BW35" s="343">
        <f>SUMIFS($AU36:AU$134,$AA36:AA$134,"*",$AC36:AC$134,"*")</f>
        <v>1163.7</v>
      </c>
      <c r="BX35" s="343">
        <f>SUMIFS($AU36:AU$1388,$Q36:Q$1388,"F")</f>
        <v>14775.466666666669</v>
      </c>
      <c r="BY35" s="343">
        <f>SUMIFS($AU36:AU$1388,$Q36:Q$1388,"S")</f>
        <v>22075.642000000022</v>
      </c>
      <c r="BZ35" s="343">
        <f>SUMIFS($AU36:AU$1388,$Q36:Q$1388,"O")</f>
        <v>-1681.0579999997917</v>
      </c>
    </row>
    <row r="36" spans="1:78" ht="18" customHeight="1">
      <c r="A36" s="178" t="s">
        <v>91</v>
      </c>
      <c r="B36" s="177">
        <v>44861</v>
      </c>
      <c r="C36" s="178" t="s">
        <v>307</v>
      </c>
      <c r="D36" s="178" t="s">
        <v>93</v>
      </c>
      <c r="E36" s="179" t="s">
        <v>308</v>
      </c>
      <c r="F36" s="180" t="s">
        <v>309</v>
      </c>
      <c r="G36" s="181"/>
      <c r="H36" s="182"/>
      <c r="I36" s="182"/>
      <c r="J36" s="182"/>
      <c r="K36" s="183"/>
      <c r="L36" s="182"/>
      <c r="M36" s="182"/>
      <c r="N36" s="182"/>
      <c r="O36" s="183"/>
      <c r="P36" s="183"/>
      <c r="Q36" s="183"/>
      <c r="R36" s="183"/>
      <c r="S36" s="183"/>
      <c r="T36" s="183"/>
      <c r="U36" s="183"/>
      <c r="V36" s="183"/>
      <c r="W36" s="183"/>
      <c r="X36" s="183"/>
      <c r="Y36" s="184">
        <f t="shared" si="14"/>
        <v>0</v>
      </c>
      <c r="Z36" s="184">
        <f t="shared" si="18"/>
        <v>0</v>
      </c>
      <c r="AA36" s="185"/>
      <c r="AB36" s="185"/>
      <c r="AC36" s="185"/>
      <c r="AD36" s="649"/>
      <c r="AE36" s="182"/>
      <c r="AF36" s="332"/>
      <c r="AG36" s="182"/>
      <c r="AH36" s="182"/>
      <c r="AI36" s="182"/>
      <c r="AJ36" s="640"/>
      <c r="AK36" s="182"/>
      <c r="AL36" s="496"/>
      <c r="AM36" s="497"/>
      <c r="AN36" s="626"/>
      <c r="AO36" s="182"/>
      <c r="AP36" s="182"/>
      <c r="AQ36" s="332" t="str">
        <f>UPPER(RIGHT(Journal_Live[[#This Row],[DURATION ]]))</f>
        <v/>
      </c>
      <c r="AR36" s="182"/>
      <c r="AS36" s="189"/>
      <c r="AT36" s="182"/>
      <c r="AU36" s="187"/>
      <c r="AV36" s="190"/>
      <c r="AW36" s="191"/>
      <c r="AX36" s="407"/>
      <c r="AY36" s="407"/>
      <c r="AZ36" s="407"/>
      <c r="BA36" s="409" t="s">
        <v>310</v>
      </c>
      <c r="BB36" s="407"/>
      <c r="BC36" s="407"/>
      <c r="BD36" s="407"/>
      <c r="BE36" s="407"/>
      <c r="BF36" s="422"/>
      <c r="BG36" s="391">
        <f>SUM($AV$4:AV36)</f>
        <v>84.069999999999936</v>
      </c>
      <c r="BH36" s="392">
        <f>SUM($AU$4:AU36)</f>
        <v>106.86999999999996</v>
      </c>
      <c r="BI36" s="318"/>
      <c r="BJ36" s="318">
        <f>SUMIFS($AU37:AU$1388,$Q37:Q$1388,"F")</f>
        <v>14775.466666666669</v>
      </c>
      <c r="BK36" s="343">
        <f>SUMIFS($AU37:AU$1388,$P37:P$1388,"W")</f>
        <v>21626.941999999945</v>
      </c>
      <c r="BL36" s="343">
        <f>SUMIFS($AU37:AU$1388,$P37:P$1388,"W")</f>
        <v>21626.941999999945</v>
      </c>
      <c r="BM36" s="343">
        <f>SUMIFS($AU37:AU$134,$AQ37:AQ$134,"M")</f>
        <v>0</v>
      </c>
      <c r="BN36" s="343">
        <f>SUMIFS($AU37:AU$134,$AQ37:AQ$134,"M")</f>
        <v>0</v>
      </c>
      <c r="BO36" s="343">
        <f>SUMIFS($AU37:AU$134,$AQ37:AQ$134,"H")</f>
        <v>0</v>
      </c>
      <c r="BP36" s="343">
        <f>SUMIFS($AU39:AU$134,$AQ39:AQ$134,"D")</f>
        <v>400.6</v>
      </c>
      <c r="BQ36" s="343">
        <f>SUMIFS($AU37:AU$134,$Q37:Q$134,"O")</f>
        <v>-32.199999999993601</v>
      </c>
      <c r="BR36" s="343">
        <f>SUMIFS($AU37:AU$134,$AA37:AA$134,"*")</f>
        <v>1430.7000000000064</v>
      </c>
      <c r="BS36" s="343">
        <f>SUMIFS($AU37:AU$134,$AA37:AA$134,"*")</f>
        <v>1430.7000000000064</v>
      </c>
      <c r="BT36" s="343">
        <f>SUMIFS($AU37:AU$134,$AB37:AB$134,"*")</f>
        <v>176</v>
      </c>
      <c r="BU36" s="343">
        <f>SUMIFS($AU37:AU$134,$AA37:AA$134,"*",$AB37:AB$134,"*")</f>
        <v>176</v>
      </c>
      <c r="BV36" s="343">
        <f>SUMIFS($AU37:AU$134,$AA37:AA$134,"*",$AB37:AB$134,"*")</f>
        <v>176</v>
      </c>
      <c r="BW36" s="343">
        <f>SUMIFS($AU37:AU$134,$AA37:AA$134,"*",$AC37:AC$134,"*")</f>
        <v>1163.7</v>
      </c>
      <c r="BX36" s="343">
        <f>SUMIFS($AU37:AU$1388,$Q37:Q$1388,"F")</f>
        <v>14775.466666666669</v>
      </c>
      <c r="BY36" s="343">
        <f>SUMIFS($AU37:AU$1388,$Q37:Q$1388,"S")</f>
        <v>22075.642000000022</v>
      </c>
      <c r="BZ36" s="343">
        <f>SUMIFS($AU37:AU$1388,$Q37:Q$1388,"O")</f>
        <v>-1681.0579999997917</v>
      </c>
    </row>
    <row r="37" spans="1:78" ht="18" customHeight="1">
      <c r="A37" s="178" t="s">
        <v>91</v>
      </c>
      <c r="B37" s="177">
        <v>44861</v>
      </c>
      <c r="C37" s="178" t="s">
        <v>311</v>
      </c>
      <c r="D37" s="178" t="s">
        <v>93</v>
      </c>
      <c r="E37" s="179" t="s">
        <v>312</v>
      </c>
      <c r="F37" s="180"/>
      <c r="G37" s="181"/>
      <c r="H37" s="182"/>
      <c r="I37" s="182">
        <v>1</v>
      </c>
      <c r="J37" s="182"/>
      <c r="K37" s="183"/>
      <c r="L37" s="182"/>
      <c r="M37" s="182"/>
      <c r="N37" s="182"/>
      <c r="O37" s="183"/>
      <c r="P37" s="183"/>
      <c r="Q37" s="183"/>
      <c r="R37" s="183"/>
      <c r="S37" s="183"/>
      <c r="T37" s="183"/>
      <c r="U37" s="183"/>
      <c r="V37" s="183"/>
      <c r="W37" s="183"/>
      <c r="X37" s="183"/>
      <c r="Y37" s="184">
        <f t="shared" si="14"/>
        <v>0</v>
      </c>
      <c r="Z37" s="184">
        <f t="shared" si="18"/>
        <v>0</v>
      </c>
      <c r="AA37" s="185"/>
      <c r="AB37" s="185"/>
      <c r="AC37" s="185"/>
      <c r="AD37" s="649"/>
      <c r="AE37" s="182"/>
      <c r="AF37" s="332"/>
      <c r="AG37" s="182"/>
      <c r="AH37" s="182"/>
      <c r="AI37" s="182"/>
      <c r="AJ37" s="640"/>
      <c r="AK37" s="182"/>
      <c r="AL37" s="496"/>
      <c r="AM37" s="497"/>
      <c r="AN37" s="626"/>
      <c r="AO37" s="182"/>
      <c r="AP37" s="182"/>
      <c r="AQ37" s="332" t="str">
        <f>UPPER(RIGHT(Journal_Live[[#This Row],[DURATION ]]))</f>
        <v/>
      </c>
      <c r="AR37" s="182"/>
      <c r="AS37" s="189"/>
      <c r="AT37" s="182"/>
      <c r="AU37" s="187"/>
      <c r="AV37" s="190"/>
      <c r="AW37" s="191"/>
      <c r="AX37" s="407"/>
      <c r="AY37" s="407"/>
      <c r="AZ37" s="407"/>
      <c r="BA37" s="407"/>
      <c r="BB37" s="407"/>
      <c r="BC37" s="407"/>
      <c r="BD37" s="407"/>
      <c r="BE37" s="407"/>
      <c r="BF37" s="422"/>
      <c r="BG37" s="391">
        <f>SUM($AV$4:AV37)</f>
        <v>84.069999999999936</v>
      </c>
      <c r="BH37" s="392">
        <f>SUM($AU$4:AU37)</f>
        <v>106.86999999999996</v>
      </c>
      <c r="BI37" s="318"/>
      <c r="BJ37" s="318">
        <f>SUMIFS($AU38:AU$1388,$Q38:Q$1388,"F")</f>
        <v>14775.466666666669</v>
      </c>
      <c r="BK37" s="343">
        <f>SUMIFS($AU38:AU$1388,$P38:P$1388,"W")</f>
        <v>21626.941999999945</v>
      </c>
      <c r="BL37" s="343">
        <f>SUMIFS($AU38:AU$1388,$P38:P$1388,"W")</f>
        <v>21626.941999999945</v>
      </c>
      <c r="BM37" s="343">
        <f>SUMIFS($AU38:AU$134,$AQ38:AQ$134,"M")</f>
        <v>0</v>
      </c>
      <c r="BN37" s="343">
        <f>SUMIFS($AU38:AU$134,$AQ38:AQ$134,"M")</f>
        <v>0</v>
      </c>
      <c r="BO37" s="343">
        <f>SUMIFS($AU38:AU$134,$AQ38:AQ$134,"H")</f>
        <v>0</v>
      </c>
      <c r="BP37" s="343">
        <f>SUMIFS($AU40:AU$134,$AQ40:AQ$134,"D")</f>
        <v>400.6</v>
      </c>
      <c r="BQ37" s="343">
        <f>SUMIFS($AU38:AU$134,$Q38:Q$134,"O")</f>
        <v>-32.199999999993601</v>
      </c>
      <c r="BR37" s="343">
        <f>SUMIFS($AU38:AU$134,$AA38:AA$134,"*")</f>
        <v>1430.7000000000064</v>
      </c>
      <c r="BS37" s="343">
        <f>SUMIFS($AU38:AU$134,$AA38:AA$134,"*")</f>
        <v>1430.7000000000064</v>
      </c>
      <c r="BT37" s="343">
        <f>SUMIFS($AU38:AU$134,$AB38:AB$134,"*")</f>
        <v>176</v>
      </c>
      <c r="BU37" s="343">
        <f>SUMIFS($AU38:AU$134,$AA38:AA$134,"*",$AB38:AB$134,"*")</f>
        <v>176</v>
      </c>
      <c r="BV37" s="343">
        <f>SUMIFS($AU38:AU$134,$AA38:AA$134,"*",$AB38:AB$134,"*")</f>
        <v>176</v>
      </c>
      <c r="BW37" s="343">
        <f>SUMIFS($AU38:AU$134,$AA38:AA$134,"*",$AC38:AC$134,"*")</f>
        <v>1163.7</v>
      </c>
      <c r="BX37" s="343">
        <f>SUMIFS($AU38:AU$1388,$Q38:Q$1388,"F")</f>
        <v>14775.466666666669</v>
      </c>
      <c r="BY37" s="343">
        <f>SUMIFS($AU38:AU$1388,$Q38:Q$1388,"S")</f>
        <v>22075.642000000022</v>
      </c>
      <c r="BZ37" s="343">
        <f>SUMIFS($AU38:AU$1388,$Q38:Q$1388,"O")</f>
        <v>-1681.0579999997917</v>
      </c>
    </row>
    <row r="38" spans="1:78" ht="18" customHeight="1">
      <c r="A38" s="178" t="s">
        <v>91</v>
      </c>
      <c r="B38" s="177">
        <v>44861</v>
      </c>
      <c r="C38" s="194">
        <v>0.75</v>
      </c>
      <c r="D38" s="178" t="s">
        <v>93</v>
      </c>
      <c r="E38" s="179" t="s">
        <v>313</v>
      </c>
      <c r="F38" s="180" t="s">
        <v>314</v>
      </c>
      <c r="G38" s="181"/>
      <c r="H38" s="182">
        <v>1</v>
      </c>
      <c r="I38" s="182"/>
      <c r="J38" s="182"/>
      <c r="K38" s="183" t="s">
        <v>115</v>
      </c>
      <c r="L38" s="182"/>
      <c r="M38" s="182"/>
      <c r="N38" s="182"/>
      <c r="O38" s="183"/>
      <c r="P38" s="183"/>
      <c r="Q38" s="183"/>
      <c r="R38" s="183"/>
      <c r="S38" s="183"/>
      <c r="T38" s="183"/>
      <c r="U38" s="183"/>
      <c r="V38" s="183"/>
      <c r="W38" s="183"/>
      <c r="X38" s="183"/>
      <c r="Y38" s="184">
        <f t="shared" si="14"/>
        <v>0</v>
      </c>
      <c r="Z38" s="184">
        <f t="shared" si="18"/>
        <v>0</v>
      </c>
      <c r="AA38" s="185"/>
      <c r="AB38" s="185"/>
      <c r="AC38" s="185"/>
      <c r="AD38" s="649"/>
      <c r="AE38" s="182"/>
      <c r="AF38" s="332"/>
      <c r="AG38" s="182"/>
      <c r="AH38" s="182"/>
      <c r="AI38" s="182"/>
      <c r="AJ38" s="640"/>
      <c r="AK38" s="182"/>
      <c r="AL38" s="496"/>
      <c r="AM38" s="497"/>
      <c r="AN38" s="626"/>
      <c r="AO38" s="182"/>
      <c r="AP38" s="182"/>
      <c r="AQ38" s="332" t="str">
        <f>UPPER(RIGHT(Journal_Live[[#This Row],[DURATION ]]))</f>
        <v/>
      </c>
      <c r="AR38" s="182"/>
      <c r="AS38" s="189"/>
      <c r="AT38" s="182"/>
      <c r="AU38" s="187"/>
      <c r="AV38" s="190"/>
      <c r="AW38" s="191"/>
      <c r="AX38" s="407"/>
      <c r="AY38" s="407"/>
      <c r="AZ38" s="407"/>
      <c r="BA38" s="407"/>
      <c r="BB38" s="407"/>
      <c r="BC38" s="407"/>
      <c r="BD38" s="407"/>
      <c r="BE38" s="407"/>
      <c r="BF38" s="422"/>
      <c r="BG38" s="391">
        <f>SUM($AV$4:AV38)</f>
        <v>84.069999999999936</v>
      </c>
      <c r="BH38" s="392">
        <f>SUM($AU$4:AU38)</f>
        <v>106.86999999999996</v>
      </c>
      <c r="BI38" s="318"/>
      <c r="BJ38" s="318">
        <f>SUMIFS($AU39:AU$1388,$Q39:Q$1388,"F")</f>
        <v>14775.466666666669</v>
      </c>
      <c r="BK38" s="343">
        <f>SUMIFS($AU39:AU$1388,$P39:P$1388,"W")</f>
        <v>21626.941999999945</v>
      </c>
      <c r="BL38" s="343">
        <f>SUMIFS($AU39:AU$1388,$P39:P$1388,"W")</f>
        <v>21626.941999999945</v>
      </c>
      <c r="BM38" s="343">
        <f>SUMIFS($AU39:AU$134,$AQ39:AQ$134,"M")</f>
        <v>0</v>
      </c>
      <c r="BN38" s="343">
        <f>SUMIFS($AU39:AU$134,$AQ39:AQ$134,"M")</f>
        <v>0</v>
      </c>
      <c r="BO38" s="343">
        <f>SUMIFS($AU39:AU$134,$AQ39:AQ$134,"H")</f>
        <v>0</v>
      </c>
      <c r="BP38" s="343">
        <f>SUMIFS($AU41:AU$134,$AQ41:AQ$134,"D")</f>
        <v>400.6</v>
      </c>
      <c r="BQ38" s="343">
        <f>SUMIFS($AU39:AU$134,$Q39:Q$134,"O")</f>
        <v>-32.199999999993601</v>
      </c>
      <c r="BR38" s="343">
        <f>SUMIFS($AU39:AU$134,$AA39:AA$134,"*")</f>
        <v>1430.7000000000064</v>
      </c>
      <c r="BS38" s="343">
        <f>SUMIFS($AU39:AU$134,$AA39:AA$134,"*")</f>
        <v>1430.7000000000064</v>
      </c>
      <c r="BT38" s="343">
        <f>SUMIFS($AU39:AU$134,$AB39:AB$134,"*")</f>
        <v>176</v>
      </c>
      <c r="BU38" s="343">
        <f>SUMIFS($AU39:AU$134,$AA39:AA$134,"*",$AB39:AB$134,"*")</f>
        <v>176</v>
      </c>
      <c r="BV38" s="343">
        <f>SUMIFS($AU39:AU$134,$AA39:AA$134,"*",$AB39:AB$134,"*")</f>
        <v>176</v>
      </c>
      <c r="BW38" s="343">
        <f>SUMIFS($AU39:AU$134,$AA39:AA$134,"*",$AC39:AC$134,"*")</f>
        <v>1163.7</v>
      </c>
      <c r="BX38" s="343">
        <f>SUMIFS($AU39:AU$1388,$Q39:Q$1388,"F")</f>
        <v>14775.466666666669</v>
      </c>
      <c r="BY38" s="343">
        <f>SUMIFS($AU39:AU$1388,$Q39:Q$1388,"S")</f>
        <v>22075.642000000022</v>
      </c>
      <c r="BZ38" s="343">
        <f>SUMIFS($AU39:AU$1388,$Q39:Q$1388,"O")</f>
        <v>-1681.0579999997917</v>
      </c>
    </row>
    <row r="39" spans="1:78" ht="18" customHeight="1">
      <c r="A39" s="177" t="s">
        <v>91</v>
      </c>
      <c r="B39" s="177">
        <v>44862</v>
      </c>
      <c r="C39" s="194">
        <v>0.25</v>
      </c>
      <c r="D39" s="178" t="s">
        <v>111</v>
      </c>
      <c r="E39" s="179" t="s">
        <v>315</v>
      </c>
      <c r="F39" s="180"/>
      <c r="G39" s="181"/>
      <c r="H39" s="182"/>
      <c r="I39" s="182"/>
      <c r="J39" s="182"/>
      <c r="K39" s="183"/>
      <c r="L39" s="182"/>
      <c r="M39" s="182"/>
      <c r="N39" s="182"/>
      <c r="O39" s="183"/>
      <c r="P39" s="183"/>
      <c r="Q39" s="183"/>
      <c r="R39" s="183"/>
      <c r="S39" s="183"/>
      <c r="T39" s="183"/>
      <c r="U39" s="183"/>
      <c r="V39" s="183"/>
      <c r="W39" s="183"/>
      <c r="X39" s="183"/>
      <c r="Y39" s="184">
        <f t="shared" si="14"/>
        <v>0</v>
      </c>
      <c r="Z39" s="184">
        <f t="shared" si="18"/>
        <v>0</v>
      </c>
      <c r="AA39" s="185"/>
      <c r="AB39" s="185"/>
      <c r="AC39" s="185"/>
      <c r="AD39" s="649"/>
      <c r="AE39" s="182"/>
      <c r="AF39" s="332"/>
      <c r="AG39" s="182"/>
      <c r="AH39" s="182"/>
      <c r="AI39" s="182"/>
      <c r="AJ39" s="640"/>
      <c r="AK39" s="182"/>
      <c r="AL39" s="496"/>
      <c r="AM39" s="497"/>
      <c r="AN39" s="626"/>
      <c r="AO39" s="182"/>
      <c r="AP39" s="182"/>
      <c r="AQ39" s="332" t="str">
        <f>UPPER(RIGHT(Journal_Live[[#This Row],[DURATION ]]))</f>
        <v/>
      </c>
      <c r="AR39" s="182"/>
      <c r="AS39" s="189"/>
      <c r="AT39" s="182"/>
      <c r="AU39" s="187"/>
      <c r="AV39" s="190"/>
      <c r="AW39" s="191"/>
      <c r="AX39" s="407"/>
      <c r="AY39" s="407"/>
      <c r="AZ39" s="407"/>
      <c r="BA39" s="407"/>
      <c r="BB39" s="407"/>
      <c r="BC39" s="407"/>
      <c r="BD39" s="407"/>
      <c r="BE39" s="407"/>
      <c r="BF39" s="422"/>
      <c r="BG39" s="391">
        <f>SUM($AV$4:AV39)</f>
        <v>84.069999999999936</v>
      </c>
      <c r="BH39" s="392">
        <f>SUM($AU$4:AU39)</f>
        <v>106.86999999999996</v>
      </c>
      <c r="BI39" s="318"/>
      <c r="BJ39" s="318">
        <f>SUMIFS($AU40:AU$1388,$Q40:Q$1388,"F")</f>
        <v>14775.466666666669</v>
      </c>
      <c r="BK39" s="343">
        <f>SUMIFS($AU40:AU$1388,$P40:P$1388,"W")</f>
        <v>21626.941999999945</v>
      </c>
      <c r="BL39" s="343">
        <f>SUMIFS($AU40:AU$1388,$P40:P$1388,"W")</f>
        <v>21626.941999999945</v>
      </c>
      <c r="BM39" s="343">
        <f>SUMIFS($AU40:AU$134,$AQ40:AQ$134,"M")</f>
        <v>0</v>
      </c>
      <c r="BN39" s="343">
        <f>SUMIFS($AU40:AU$134,$AQ40:AQ$134,"M")</f>
        <v>0</v>
      </c>
      <c r="BO39" s="343">
        <f>SUMIFS($AU40:AU$134,$AQ40:AQ$134,"H")</f>
        <v>0</v>
      </c>
      <c r="BP39" s="343">
        <f>SUMIFS($AU42:AU$134,$AQ42:AQ$134,"D")</f>
        <v>400.6</v>
      </c>
      <c r="BQ39" s="343">
        <f>SUMIFS($AU40:AU$134,$Q40:Q$134,"O")</f>
        <v>-32.199999999993601</v>
      </c>
      <c r="BR39" s="343">
        <f>SUMIFS($AU40:AU$134,$AA40:AA$134,"*")</f>
        <v>1430.7000000000064</v>
      </c>
      <c r="BS39" s="343">
        <f>SUMIFS($AU40:AU$134,$AA40:AA$134,"*")</f>
        <v>1430.7000000000064</v>
      </c>
      <c r="BT39" s="343">
        <f>SUMIFS($AU40:AU$134,$AB40:AB$134,"*")</f>
        <v>176</v>
      </c>
      <c r="BU39" s="343">
        <f>SUMIFS($AU40:AU$134,$AA40:AA$134,"*",$AB40:AB$134,"*")</f>
        <v>176</v>
      </c>
      <c r="BV39" s="343">
        <f>SUMIFS($AU40:AU$134,$AA40:AA$134,"*",$AB40:AB$134,"*")</f>
        <v>176</v>
      </c>
      <c r="BW39" s="343">
        <f>SUMIFS($AU40:AU$134,$AA40:AA$134,"*",$AC40:AC$134,"*")</f>
        <v>1163.7</v>
      </c>
      <c r="BX39" s="343">
        <f>SUMIFS($AU40:AU$1388,$Q40:Q$1388,"F")</f>
        <v>14775.466666666669</v>
      </c>
      <c r="BY39" s="343">
        <f>SUMIFS($AU40:AU$1388,$Q40:Q$1388,"S")</f>
        <v>22075.642000000022</v>
      </c>
      <c r="BZ39" s="343">
        <f>SUMIFS($AU40:AU$1388,$Q40:Q$1388,"O")</f>
        <v>-1681.0579999997917</v>
      </c>
    </row>
    <row r="40" spans="1:78" ht="18" customHeight="1">
      <c r="A40" s="177" t="s">
        <v>91</v>
      </c>
      <c r="B40" s="177">
        <v>44862</v>
      </c>
      <c r="C40" s="178" t="s">
        <v>316</v>
      </c>
      <c r="D40" s="178" t="s">
        <v>111</v>
      </c>
      <c r="E40" s="179"/>
      <c r="F40" s="180"/>
      <c r="G40" s="199" t="s">
        <v>181</v>
      </c>
      <c r="H40" s="182"/>
      <c r="I40" s="182"/>
      <c r="J40" s="182"/>
      <c r="K40" s="183"/>
      <c r="L40" s="182">
        <v>1</v>
      </c>
      <c r="M40" s="182"/>
      <c r="N40" s="182">
        <v>1</v>
      </c>
      <c r="O40" s="183" t="s">
        <v>95</v>
      </c>
      <c r="P40" s="183" t="s">
        <v>137</v>
      </c>
      <c r="Q40" s="183" t="s">
        <v>97</v>
      </c>
      <c r="R40" s="183">
        <v>1</v>
      </c>
      <c r="S40" s="183">
        <v>1</v>
      </c>
      <c r="T40" s="183">
        <v>1</v>
      </c>
      <c r="U40" s="183" t="s">
        <v>22</v>
      </c>
      <c r="V40" s="183"/>
      <c r="W40" s="183"/>
      <c r="X40" s="183"/>
      <c r="Y40" s="184">
        <f t="shared" si="14"/>
        <v>0.01</v>
      </c>
      <c r="Z40" s="184">
        <f>IF(ISBLANK(O40),,IF(O40=UPPER("IB"),8.63*200,15.3*100))</f>
        <v>1530</v>
      </c>
      <c r="AA40" s="185" t="s">
        <v>317</v>
      </c>
      <c r="AB40" s="185"/>
      <c r="AC40" s="185"/>
      <c r="AD40" s="649">
        <v>-0.09</v>
      </c>
      <c r="AE40" s="182"/>
      <c r="AF40" s="332"/>
      <c r="AG40" s="182"/>
      <c r="AH40" s="185">
        <v>-7.0000000000000007E-2</v>
      </c>
      <c r="AI40" s="182" t="s">
        <v>318</v>
      </c>
      <c r="AJ40" s="640" t="s">
        <v>319</v>
      </c>
      <c r="AK40" s="182"/>
      <c r="AL40" s="496">
        <f t="shared" ref="AL40:AL45" si="19">-0.03*Z40</f>
        <v>-45.9</v>
      </c>
      <c r="AM40" s="496">
        <f>AL40*R40</f>
        <v>-45.9</v>
      </c>
      <c r="AN40" s="626"/>
      <c r="AO40" s="182"/>
      <c r="AP40" s="182" t="s">
        <v>320</v>
      </c>
      <c r="AQ40" s="332" t="str">
        <f>UPPER(RIGHT(Journal_Live[[#This Row],[DURATION ]]))</f>
        <v>Y</v>
      </c>
      <c r="AR40" s="182" t="s">
        <v>321</v>
      </c>
      <c r="AS40" s="189">
        <v>-7.0000000000000007E-2</v>
      </c>
      <c r="AT40" s="189">
        <f>IF(ISBLANK(AS40),,IF(U40="S",AD40-AS40,AS40-AD40))</f>
        <v>1.999999999999999E-2</v>
      </c>
      <c r="AU40" s="187">
        <f>AV40*R40</f>
        <v>30.599999999999984</v>
      </c>
      <c r="AV40" s="190">
        <f>IF(ISBLANK(AS40),,(AT40*Z40))</f>
        <v>30.599999999999984</v>
      </c>
      <c r="AW40" s="191" t="s">
        <v>96</v>
      </c>
      <c r="AX40" s="407" t="s">
        <v>322</v>
      </c>
      <c r="AY40" s="407" t="s">
        <v>323</v>
      </c>
      <c r="AZ40" s="407" t="s">
        <v>324</v>
      </c>
      <c r="BA40" s="407" t="s">
        <v>325</v>
      </c>
      <c r="BB40" s="407"/>
      <c r="BC40" s="407"/>
      <c r="BD40" s="407" t="s">
        <v>326</v>
      </c>
      <c r="BE40" s="407"/>
      <c r="BF40" s="422"/>
      <c r="BG40" s="391">
        <f>SUM($AV$4:AV40)</f>
        <v>114.66999999999992</v>
      </c>
      <c r="BH40" s="392">
        <f>SUM($AU$4:AU40)</f>
        <v>137.46999999999994</v>
      </c>
      <c r="BI40" s="318"/>
      <c r="BJ40" s="318">
        <f>SUMIFS($AU41:AU$1388,$Q41:Q$1388,"F")</f>
        <v>14775.466666666669</v>
      </c>
      <c r="BK40" s="343">
        <f>SUMIFS($AU41:AU$1388,$P41:P$1388,"W")</f>
        <v>21626.941999999945</v>
      </c>
      <c r="BL40" s="343">
        <f>SUMIFS($AU41:AU$1388,$P41:P$1388,"W")</f>
        <v>21626.941999999945</v>
      </c>
      <c r="BM40" s="343">
        <f>SUMIFS($AU41:AU$134,$AQ41:AQ$134,"M")</f>
        <v>0</v>
      </c>
      <c r="BN40" s="343">
        <f>SUMIFS($AU41:AU$134,$AQ41:AQ$134,"M")</f>
        <v>0</v>
      </c>
      <c r="BO40" s="343">
        <f>SUMIFS($AU41:AU$134,$AQ41:AQ$134,"H")</f>
        <v>0</v>
      </c>
      <c r="BP40" s="343">
        <f>SUMIFS($AU43:AU$134,$AQ43:AQ$134,"D")</f>
        <v>400.6</v>
      </c>
      <c r="BQ40" s="343">
        <f>SUMIFS($AU41:AU$134,$Q41:Q$134,"O")</f>
        <v>-32.199999999993601</v>
      </c>
      <c r="BR40" s="343">
        <f>SUMIFS($AU41:AU$134,$AA41:AA$134,"*")</f>
        <v>1400.1000000000063</v>
      </c>
      <c r="BS40" s="343">
        <f>SUMIFS($AU41:AU$134,$AA41:AA$134,"*")</f>
        <v>1400.1000000000063</v>
      </c>
      <c r="BT40" s="343">
        <f>SUMIFS($AU41:AU$134,$AB41:AB$134,"*")</f>
        <v>176</v>
      </c>
      <c r="BU40" s="343">
        <f>SUMIFS($AU41:AU$134,$AA41:AA$134,"*",$AB41:AB$134,"*")</f>
        <v>176</v>
      </c>
      <c r="BV40" s="343">
        <f>SUMIFS($AU41:AU$134,$AA41:AA$134,"*",$AB41:AB$134,"*")</f>
        <v>176</v>
      </c>
      <c r="BW40" s="343">
        <f>SUMIFS($AU41:AU$134,$AA41:AA$134,"*",$AC41:AC$134,"*")</f>
        <v>1163.7</v>
      </c>
      <c r="BX40" s="343">
        <f>SUMIFS($AU41:AU$1388,$Q41:Q$1388,"F")</f>
        <v>14775.466666666669</v>
      </c>
      <c r="BY40" s="343">
        <f>SUMIFS($AU41:AU$1388,$Q41:Q$1388,"S")</f>
        <v>22045.042000000019</v>
      </c>
      <c r="BZ40" s="343">
        <f>SUMIFS($AU41:AU$1388,$Q41:Q$1388,"O")</f>
        <v>-1681.0579999997917</v>
      </c>
    </row>
    <row r="41" spans="1:78" ht="18" customHeight="1">
      <c r="A41" s="177" t="s">
        <v>91</v>
      </c>
      <c r="B41" s="177">
        <v>44862</v>
      </c>
      <c r="C41" s="178" t="s">
        <v>327</v>
      </c>
      <c r="D41" s="178" t="s">
        <v>111</v>
      </c>
      <c r="E41" s="179"/>
      <c r="F41" s="180"/>
      <c r="G41" s="181" t="s">
        <v>271</v>
      </c>
      <c r="H41" s="182"/>
      <c r="I41" s="182"/>
      <c r="J41" s="182"/>
      <c r="K41" s="183"/>
      <c r="L41" s="182">
        <v>1</v>
      </c>
      <c r="M41" s="182"/>
      <c r="N41" s="182"/>
      <c r="O41" s="183" t="s">
        <v>95</v>
      </c>
      <c r="P41" s="183" t="s">
        <v>137</v>
      </c>
      <c r="Q41" s="183" t="s">
        <v>97</v>
      </c>
      <c r="R41" s="183">
        <v>1</v>
      </c>
      <c r="S41" s="183">
        <v>1</v>
      </c>
      <c r="T41" s="183">
        <v>1</v>
      </c>
      <c r="U41" s="183" t="s">
        <v>22</v>
      </c>
      <c r="V41" s="183"/>
      <c r="W41" s="183"/>
      <c r="X41" s="183"/>
      <c r="Y41" s="184">
        <f t="shared" si="14"/>
        <v>0.01</v>
      </c>
      <c r="Z41" s="184">
        <f>IF(ISBLANK(O41),,IF(O41=UPPER("IB"),8.63*200,15.4*100))</f>
        <v>1540</v>
      </c>
      <c r="AA41" s="185" t="s">
        <v>138</v>
      </c>
      <c r="AB41" s="185"/>
      <c r="AC41" s="185" t="s">
        <v>99</v>
      </c>
      <c r="AD41" s="649">
        <v>-0.09</v>
      </c>
      <c r="AE41" s="182"/>
      <c r="AF41" s="332"/>
      <c r="AG41" s="182"/>
      <c r="AH41" s="182">
        <v>-0.08</v>
      </c>
      <c r="AI41" s="182"/>
      <c r="AJ41" s="640" t="s">
        <v>328</v>
      </c>
      <c r="AK41" s="182"/>
      <c r="AL41" s="496">
        <f t="shared" si="19"/>
        <v>-46.199999999999996</v>
      </c>
      <c r="AM41" s="496">
        <f>AL41*R41</f>
        <v>-46.199999999999996</v>
      </c>
      <c r="AN41" s="626"/>
      <c r="AO41" s="182"/>
      <c r="AP41" s="182" t="s">
        <v>329</v>
      </c>
      <c r="AQ41" s="332" t="str">
        <f>UPPER(RIGHT(Journal_Live[[#This Row],[DURATION ]]))</f>
        <v>S</v>
      </c>
      <c r="AR41" s="182" t="s">
        <v>330</v>
      </c>
      <c r="AS41" s="189">
        <v>-0.08</v>
      </c>
      <c r="AT41" s="189">
        <f>IF(ISBLANK(AS41),,IF(U41="S",AD41-AS41,AS41-AD41))</f>
        <v>9.999999999999995E-3</v>
      </c>
      <c r="AU41" s="187">
        <f>AV41*R41</f>
        <v>15.399999999999991</v>
      </c>
      <c r="AV41" s="190">
        <f>IF(ISBLANK(AS41),,(AT41*Z41))</f>
        <v>15.399999999999991</v>
      </c>
      <c r="AW41" s="191" t="s">
        <v>96</v>
      </c>
      <c r="AX41" s="407" t="s">
        <v>331</v>
      </c>
      <c r="AY41" s="407"/>
      <c r="AZ41" s="407" t="s">
        <v>332</v>
      </c>
      <c r="BA41" s="407"/>
      <c r="BB41" s="407"/>
      <c r="BC41" s="407"/>
      <c r="BD41" s="407"/>
      <c r="BE41" s="407"/>
      <c r="BF41" s="422"/>
      <c r="BG41" s="391">
        <f>SUM($AV$4:AV41)</f>
        <v>130.06999999999991</v>
      </c>
      <c r="BH41" s="392">
        <f>SUM($AU$4:AU41)</f>
        <v>152.86999999999995</v>
      </c>
      <c r="BI41" s="318"/>
      <c r="BJ41" s="318">
        <f>SUMIFS($AU42:AU$1388,$Q42:Q$1388,"F")</f>
        <v>14775.466666666669</v>
      </c>
      <c r="BK41" s="343">
        <f>SUMIFS($AU42:AU$1388,$P42:P$1388,"W")</f>
        <v>21626.941999999945</v>
      </c>
      <c r="BL41" s="343">
        <f>SUMIFS($AU42:AU$1388,$P42:P$1388,"W")</f>
        <v>21626.941999999945</v>
      </c>
      <c r="BM41" s="343">
        <f>SUMIFS($AU42:AU$134,$AQ42:AQ$134,"M")</f>
        <v>0</v>
      </c>
      <c r="BN41" s="343">
        <f>SUMIFS($AU42:AU$134,$AQ42:AQ$134,"M")</f>
        <v>0</v>
      </c>
      <c r="BO41" s="343">
        <f>SUMIFS($AU42:AU$134,$AQ42:AQ$134,"H")</f>
        <v>0</v>
      </c>
      <c r="BP41" s="343">
        <f>SUMIFS($AU44:AU$134,$AQ44:AQ$134,"D")</f>
        <v>400.6</v>
      </c>
      <c r="BQ41" s="343">
        <f>SUMIFS($AU42:AU$134,$Q42:Q$134,"O")</f>
        <v>-32.199999999993601</v>
      </c>
      <c r="BR41" s="343">
        <f>SUMIFS($AU42:AU$134,$AA42:AA$134,"*")</f>
        <v>1384.7000000000064</v>
      </c>
      <c r="BS41" s="343">
        <f>SUMIFS($AU42:AU$134,$AA42:AA$134,"*")</f>
        <v>1384.7000000000064</v>
      </c>
      <c r="BT41" s="343">
        <f>SUMIFS($AU42:AU$134,$AB42:AB$134,"*")</f>
        <v>176</v>
      </c>
      <c r="BU41" s="343">
        <f>SUMIFS($AU42:AU$134,$AA42:AA$134,"*",$AB42:AB$134,"*")</f>
        <v>176</v>
      </c>
      <c r="BV41" s="343">
        <f>SUMIFS($AU42:AU$134,$AA42:AA$134,"*",$AB42:AB$134,"*")</f>
        <v>176</v>
      </c>
      <c r="BW41" s="343">
        <f>SUMIFS($AU42:AU$134,$AA42:AA$134,"*",$AC42:AC$134,"*")</f>
        <v>1148.3</v>
      </c>
      <c r="BX41" s="343">
        <f>SUMIFS($AU42:AU$1388,$Q42:Q$1388,"F")</f>
        <v>14775.466666666669</v>
      </c>
      <c r="BY41" s="343">
        <f>SUMIFS($AU42:AU$1388,$Q42:Q$1388,"S")</f>
        <v>22029.642000000022</v>
      </c>
      <c r="BZ41" s="343">
        <f>SUMIFS($AU42:AU$1388,$Q42:Q$1388,"O")</f>
        <v>-1681.0579999997917</v>
      </c>
    </row>
    <row r="42" spans="1:78" ht="18" customHeight="1">
      <c r="A42" s="177" t="s">
        <v>91</v>
      </c>
      <c r="B42" s="177">
        <v>44862</v>
      </c>
      <c r="C42" s="178" t="s">
        <v>333</v>
      </c>
      <c r="D42" s="178" t="s">
        <v>111</v>
      </c>
      <c r="E42" s="179"/>
      <c r="F42" s="180"/>
      <c r="G42" s="199" t="s">
        <v>280</v>
      </c>
      <c r="H42" s="182"/>
      <c r="I42" s="182"/>
      <c r="J42" s="182"/>
      <c r="K42" s="183"/>
      <c r="L42" s="182">
        <v>1</v>
      </c>
      <c r="M42" s="182"/>
      <c r="N42" s="182"/>
      <c r="O42" s="183" t="s">
        <v>95</v>
      </c>
      <c r="P42" s="183" t="s">
        <v>137</v>
      </c>
      <c r="Q42" s="183" t="s">
        <v>97</v>
      </c>
      <c r="R42" s="183">
        <v>1</v>
      </c>
      <c r="S42" s="183">
        <v>1</v>
      </c>
      <c r="T42" s="183">
        <v>1</v>
      </c>
      <c r="U42" s="183" t="s">
        <v>22</v>
      </c>
      <c r="V42" s="183"/>
      <c r="W42" s="183"/>
      <c r="X42" s="183"/>
      <c r="Y42" s="184">
        <f t="shared" si="14"/>
        <v>0.01</v>
      </c>
      <c r="Z42" s="184">
        <f t="shared" ref="Z42:Z51" si="20">IF(ISBLANK(O42),,IF(O42=UPPER("IB"),8.63*200,15.3*100))</f>
        <v>1530</v>
      </c>
      <c r="AA42" s="185" t="s">
        <v>138</v>
      </c>
      <c r="AB42" s="185"/>
      <c r="AC42" s="185" t="s">
        <v>99</v>
      </c>
      <c r="AD42" s="649">
        <v>-0.08</v>
      </c>
      <c r="AE42" s="182"/>
      <c r="AF42" s="332"/>
      <c r="AG42" s="182"/>
      <c r="AH42" s="185">
        <v>-7.0000000000000007E-2</v>
      </c>
      <c r="AI42" s="182"/>
      <c r="AJ42" s="640" t="s">
        <v>328</v>
      </c>
      <c r="AK42" s="182"/>
      <c r="AL42" s="496">
        <f t="shared" si="19"/>
        <v>-45.9</v>
      </c>
      <c r="AM42" s="496">
        <f>AL42*R42</f>
        <v>-45.9</v>
      </c>
      <c r="AN42" s="626"/>
      <c r="AO42" s="182"/>
      <c r="AP42" s="182" t="s">
        <v>334</v>
      </c>
      <c r="AQ42" s="332" t="str">
        <f>UPPER(RIGHT(Journal_Live[[#This Row],[DURATION ]]))</f>
        <v>Y</v>
      </c>
      <c r="AR42" s="182" t="s">
        <v>335</v>
      </c>
      <c r="AS42" s="189">
        <v>-7.0000000000000007E-2</v>
      </c>
      <c r="AT42" s="189">
        <f>IF(ISBLANK(AS42),,IF(U42="S",AD42-AS42,AS42-AD42))</f>
        <v>9.999999999999995E-3</v>
      </c>
      <c r="AU42" s="187">
        <f>AV42*R42</f>
        <v>15.299999999999992</v>
      </c>
      <c r="AV42" s="190">
        <f>IF(ISBLANK(AS42),,(AT42*Z42))</f>
        <v>15.299999999999992</v>
      </c>
      <c r="AW42" s="191" t="s">
        <v>96</v>
      </c>
      <c r="AX42" s="407" t="s">
        <v>326</v>
      </c>
      <c r="AY42" s="407" t="s">
        <v>336</v>
      </c>
      <c r="AZ42" s="407"/>
      <c r="BA42" s="407" t="s">
        <v>337</v>
      </c>
      <c r="BB42" s="407"/>
      <c r="BC42" s="407"/>
      <c r="BD42" s="407" t="s">
        <v>326</v>
      </c>
      <c r="BE42" s="407" t="s">
        <v>338</v>
      </c>
      <c r="BF42" s="422"/>
      <c r="BG42" s="391">
        <f>SUM($AV$4:AV42)</f>
        <v>145.36999999999989</v>
      </c>
      <c r="BH42" s="392">
        <f>SUM($AU$4:AU42)</f>
        <v>168.16999999999993</v>
      </c>
      <c r="BI42" s="318"/>
      <c r="BJ42" s="318">
        <f>SUMIFS($AU43:AU$1388,$Q43:Q$1388,"F")</f>
        <v>14775.466666666669</v>
      </c>
      <c r="BK42" s="343">
        <f>SUMIFS($AU43:AU$1388,$P43:P$1388,"W")</f>
        <v>21626.941999999945</v>
      </c>
      <c r="BL42" s="343">
        <f>SUMIFS($AU43:AU$1388,$P43:P$1388,"W")</f>
        <v>21626.941999999945</v>
      </c>
      <c r="BM42" s="343">
        <f>SUMIFS($AU43:AU$134,$AQ43:AQ$134,"M")</f>
        <v>0</v>
      </c>
      <c r="BN42" s="343">
        <f>SUMIFS($AU43:AU$134,$AQ43:AQ$134,"M")</f>
        <v>0</v>
      </c>
      <c r="BO42" s="343">
        <f>SUMIFS($AU43:AU$134,$AQ43:AQ$134,"H")</f>
        <v>0</v>
      </c>
      <c r="BP42" s="343">
        <f>SUMIFS($AU45:AU$134,$AQ45:AQ$134,"D")</f>
        <v>400.6</v>
      </c>
      <c r="BQ42" s="343">
        <f>SUMIFS($AU43:AU$134,$Q43:Q$134,"O")</f>
        <v>-32.199999999993601</v>
      </c>
      <c r="BR42" s="343">
        <f>SUMIFS($AU43:AU$134,$AA43:AA$134,"*")</f>
        <v>1369.4000000000065</v>
      </c>
      <c r="BS42" s="343">
        <f>SUMIFS($AU43:AU$134,$AA43:AA$134,"*")</f>
        <v>1369.4000000000065</v>
      </c>
      <c r="BT42" s="343">
        <f>SUMIFS($AU43:AU$134,$AB43:AB$134,"*")</f>
        <v>176</v>
      </c>
      <c r="BU42" s="343">
        <f>SUMIFS($AU43:AU$134,$AA43:AA$134,"*",$AB43:AB$134,"*")</f>
        <v>176</v>
      </c>
      <c r="BV42" s="343">
        <f>SUMIFS($AU43:AU$134,$AA43:AA$134,"*",$AB43:AB$134,"*")</f>
        <v>176</v>
      </c>
      <c r="BW42" s="343">
        <f>SUMIFS($AU43:AU$134,$AA43:AA$134,"*",$AC43:AC$134,"*")</f>
        <v>1133</v>
      </c>
      <c r="BX42" s="343">
        <f>SUMIFS($AU43:AU$1388,$Q43:Q$1388,"F")</f>
        <v>14775.466666666669</v>
      </c>
      <c r="BY42" s="343">
        <f>SUMIFS($AU43:AU$1388,$Q43:Q$1388,"S")</f>
        <v>22014.342000000022</v>
      </c>
      <c r="BZ42" s="343">
        <f>SUMIFS($AU43:AU$1388,$Q43:Q$1388,"O")</f>
        <v>-1681.0579999997917</v>
      </c>
    </row>
    <row r="43" spans="1:78" ht="18" customHeight="1">
      <c r="A43" s="177" t="s">
        <v>91</v>
      </c>
      <c r="B43" s="177">
        <v>44865</v>
      </c>
      <c r="C43" s="194">
        <v>0.25</v>
      </c>
      <c r="D43" s="178" t="s">
        <v>132</v>
      </c>
      <c r="E43" s="179" t="s">
        <v>339</v>
      </c>
      <c r="F43" s="180" t="s">
        <v>340</v>
      </c>
      <c r="G43" s="181"/>
      <c r="H43" s="182"/>
      <c r="I43" s="182">
        <v>1</v>
      </c>
      <c r="J43" s="182"/>
      <c r="K43" s="183"/>
      <c r="L43" s="182"/>
      <c r="M43" s="182"/>
      <c r="N43" s="182"/>
      <c r="O43" s="183"/>
      <c r="P43" s="183"/>
      <c r="Q43" s="183"/>
      <c r="R43" s="183"/>
      <c r="S43" s="183"/>
      <c r="T43" s="183"/>
      <c r="U43" s="183"/>
      <c r="V43" s="183"/>
      <c r="W43" s="183"/>
      <c r="X43" s="183"/>
      <c r="Y43" s="184">
        <f t="shared" si="14"/>
        <v>0</v>
      </c>
      <c r="Z43" s="184">
        <f t="shared" si="20"/>
        <v>0</v>
      </c>
      <c r="AA43" s="185"/>
      <c r="AB43" s="185"/>
      <c r="AC43" s="185"/>
      <c r="AD43" s="649"/>
      <c r="AE43" s="182"/>
      <c r="AF43" s="332"/>
      <c r="AG43" s="182"/>
      <c r="AH43" s="182"/>
      <c r="AI43" s="182"/>
      <c r="AJ43" s="640"/>
      <c r="AK43" s="182"/>
      <c r="AL43" s="496">
        <f t="shared" si="19"/>
        <v>0</v>
      </c>
      <c r="AM43" s="497"/>
      <c r="AN43" s="626"/>
      <c r="AO43" s="182"/>
      <c r="AP43" s="182"/>
      <c r="AQ43" s="332" t="str">
        <f>UPPER(RIGHT(Journal_Live[[#This Row],[DURATION ]]))</f>
        <v/>
      </c>
      <c r="AR43" s="182"/>
      <c r="AS43" s="189"/>
      <c r="AT43" s="182"/>
      <c r="AU43" s="187"/>
      <c r="AV43" s="190"/>
      <c r="AW43" s="191"/>
      <c r="AX43" s="424"/>
      <c r="AY43" s="407"/>
      <c r="AZ43" s="407"/>
      <c r="BA43" s="407"/>
      <c r="BB43" s="407"/>
      <c r="BC43" s="407"/>
      <c r="BD43" s="407"/>
      <c r="BE43" s="407"/>
      <c r="BF43" s="422"/>
      <c r="BG43" s="391">
        <f>SUM($AV$4:AV43)</f>
        <v>145.36999999999989</v>
      </c>
      <c r="BH43" s="392">
        <f>SUM($AU$4:AU43)</f>
        <v>168.16999999999993</v>
      </c>
      <c r="BI43" s="318"/>
      <c r="BJ43" s="318">
        <f>SUMIFS($AU44:AU$1388,$Q44:Q$1388,"F")</f>
        <v>14775.466666666669</v>
      </c>
      <c r="BK43" s="343">
        <f>SUMIFS($AU44:AU$1388,$P44:P$1388,"W")</f>
        <v>21626.941999999945</v>
      </c>
      <c r="BL43" s="343">
        <f>SUMIFS($AU44:AU$1388,$P44:P$1388,"W")</f>
        <v>21626.941999999945</v>
      </c>
      <c r="BM43" s="343">
        <f>SUMIFS($AU44:AU$134,$AQ44:AQ$134,"M")</f>
        <v>0</v>
      </c>
      <c r="BN43" s="343">
        <f>SUMIFS($AU44:AU$134,$AQ44:AQ$134,"M")</f>
        <v>0</v>
      </c>
      <c r="BO43" s="343">
        <f>SUMIFS($AU44:AU$134,$AQ44:AQ$134,"H")</f>
        <v>0</v>
      </c>
      <c r="BP43" s="343">
        <f>SUMIFS($AU46:AU$134,$AQ46:AQ$134,"D")</f>
        <v>400.6</v>
      </c>
      <c r="BQ43" s="343">
        <f>SUMIFS($AU44:AU$134,$Q44:Q$134,"O")</f>
        <v>-32.199999999993601</v>
      </c>
      <c r="BR43" s="343">
        <f>SUMIFS($AU44:AU$134,$AA44:AA$134,"*")</f>
        <v>1369.4000000000065</v>
      </c>
      <c r="BS43" s="343">
        <f>SUMIFS($AU44:AU$134,$AA44:AA$134,"*")</f>
        <v>1369.4000000000065</v>
      </c>
      <c r="BT43" s="343">
        <f>SUMIFS($AU44:AU$134,$AB44:AB$134,"*")</f>
        <v>176</v>
      </c>
      <c r="BU43" s="343">
        <f>SUMIFS($AU44:AU$134,$AA44:AA$134,"*",$AB44:AB$134,"*")</f>
        <v>176</v>
      </c>
      <c r="BV43" s="343">
        <f>SUMIFS($AU44:AU$134,$AA44:AA$134,"*",$AB44:AB$134,"*")</f>
        <v>176</v>
      </c>
      <c r="BW43" s="343">
        <f>SUMIFS($AU44:AU$134,$AA44:AA$134,"*",$AC44:AC$134,"*")</f>
        <v>1133</v>
      </c>
      <c r="BX43" s="343">
        <f>SUMIFS($AU44:AU$1388,$Q44:Q$1388,"F")</f>
        <v>14775.466666666669</v>
      </c>
      <c r="BY43" s="343">
        <f>SUMIFS($AU44:AU$1388,$Q44:Q$1388,"S")</f>
        <v>22014.342000000022</v>
      </c>
      <c r="BZ43" s="343">
        <f>SUMIFS($AU44:AU$1388,$Q44:Q$1388,"O")</f>
        <v>-1681.0579999997917</v>
      </c>
    </row>
    <row r="44" spans="1:78" ht="18" customHeight="1">
      <c r="A44" s="177" t="s">
        <v>91</v>
      </c>
      <c r="B44" s="177">
        <v>44865</v>
      </c>
      <c r="C44" s="178" t="s">
        <v>341</v>
      </c>
      <c r="D44" s="178" t="s">
        <v>132</v>
      </c>
      <c r="E44" s="179" t="s">
        <v>342</v>
      </c>
      <c r="F44" s="180" t="s">
        <v>343</v>
      </c>
      <c r="G44" s="181"/>
      <c r="H44" s="182">
        <v>1</v>
      </c>
      <c r="I44" s="182"/>
      <c r="J44" s="182"/>
      <c r="K44" s="183"/>
      <c r="L44" s="182"/>
      <c r="M44" s="182"/>
      <c r="N44" s="182"/>
      <c r="O44" s="183"/>
      <c r="P44" s="183"/>
      <c r="Q44" s="183"/>
      <c r="R44" s="183"/>
      <c r="S44" s="183"/>
      <c r="T44" s="183"/>
      <c r="U44" s="183"/>
      <c r="V44" s="183"/>
      <c r="W44" s="183"/>
      <c r="X44" s="183"/>
      <c r="Y44" s="184">
        <f t="shared" si="14"/>
        <v>0</v>
      </c>
      <c r="Z44" s="184">
        <f t="shared" si="20"/>
        <v>0</v>
      </c>
      <c r="AA44" s="185"/>
      <c r="AB44" s="185"/>
      <c r="AC44" s="185"/>
      <c r="AD44" s="649"/>
      <c r="AE44" s="182"/>
      <c r="AF44" s="332"/>
      <c r="AG44" s="182"/>
      <c r="AH44" s="182"/>
      <c r="AI44" s="182"/>
      <c r="AJ44" s="640"/>
      <c r="AK44" s="182"/>
      <c r="AL44" s="496">
        <f t="shared" si="19"/>
        <v>0</v>
      </c>
      <c r="AM44" s="497"/>
      <c r="AN44" s="626"/>
      <c r="AO44" s="182"/>
      <c r="AP44" s="182"/>
      <c r="AQ44" s="332" t="str">
        <f>UPPER(RIGHT(Journal_Live[[#This Row],[DURATION ]]))</f>
        <v/>
      </c>
      <c r="AR44" s="182"/>
      <c r="AS44" s="189"/>
      <c r="AT44" s="182"/>
      <c r="AU44" s="187"/>
      <c r="AV44" s="190"/>
      <c r="AW44" s="191"/>
      <c r="AX44" s="424"/>
      <c r="AY44" s="407"/>
      <c r="AZ44" s="407"/>
      <c r="BA44" s="407"/>
      <c r="BB44" s="407"/>
      <c r="BC44" s="407"/>
      <c r="BD44" s="407"/>
      <c r="BE44" s="407"/>
      <c r="BF44" s="422"/>
      <c r="BG44" s="391">
        <f>SUM($AV$4:AV44)</f>
        <v>145.36999999999989</v>
      </c>
      <c r="BH44" s="392">
        <f>SUM($AU$4:AU44)</f>
        <v>168.16999999999993</v>
      </c>
      <c r="BI44" s="318"/>
      <c r="BJ44" s="318">
        <f>SUMIFS($AU45:AU$1388,$Q45:Q$1388,"F")</f>
        <v>14775.466666666669</v>
      </c>
      <c r="BK44" s="343">
        <f>SUMIFS($AU45:AU$1388,$P45:P$1388,"W")</f>
        <v>21626.941999999945</v>
      </c>
      <c r="BL44" s="343">
        <f>SUMIFS($AU45:AU$1388,$P45:P$1388,"W")</f>
        <v>21626.941999999945</v>
      </c>
      <c r="BM44" s="343">
        <f>SUMIFS($AU45:AU$134,$AQ45:AQ$134,"M")</f>
        <v>0</v>
      </c>
      <c r="BN44" s="343">
        <f>SUMIFS($AU45:AU$134,$AQ45:AQ$134,"M")</f>
        <v>0</v>
      </c>
      <c r="BO44" s="343">
        <f>SUMIFS($AU45:AU$134,$AQ45:AQ$134,"H")</f>
        <v>0</v>
      </c>
      <c r="BP44" s="343">
        <f>SUMIFS($AU47:AU$134,$AQ47:AQ$134,"D")</f>
        <v>400.6</v>
      </c>
      <c r="BQ44" s="343">
        <f>SUMIFS($AU45:AU$134,$Q45:Q$134,"O")</f>
        <v>-32.199999999993601</v>
      </c>
      <c r="BR44" s="343">
        <f>SUMIFS($AU45:AU$134,$AA45:AA$134,"*")</f>
        <v>1369.4000000000065</v>
      </c>
      <c r="BS44" s="343">
        <f>SUMIFS($AU45:AU$134,$AA45:AA$134,"*")</f>
        <v>1369.4000000000065</v>
      </c>
      <c r="BT44" s="343">
        <f>SUMIFS($AU45:AU$134,$AB45:AB$134,"*")</f>
        <v>176</v>
      </c>
      <c r="BU44" s="343">
        <f>SUMIFS($AU45:AU$134,$AA45:AA$134,"*",$AB45:AB$134,"*")</f>
        <v>176</v>
      </c>
      <c r="BV44" s="343">
        <f>SUMIFS($AU45:AU$134,$AA45:AA$134,"*",$AB45:AB$134,"*")</f>
        <v>176</v>
      </c>
      <c r="BW44" s="343">
        <f>SUMIFS($AU45:AU$134,$AA45:AA$134,"*",$AC45:AC$134,"*")</f>
        <v>1133</v>
      </c>
      <c r="BX44" s="343">
        <f>SUMIFS($AU45:AU$1388,$Q45:Q$1388,"F")</f>
        <v>14775.466666666669</v>
      </c>
      <c r="BY44" s="343">
        <f>SUMIFS($AU45:AU$1388,$Q45:Q$1388,"S")</f>
        <v>22014.342000000022</v>
      </c>
      <c r="BZ44" s="343">
        <f>SUMIFS($AU45:AU$1388,$Q45:Q$1388,"O")</f>
        <v>-1681.0579999997917</v>
      </c>
    </row>
    <row r="45" spans="1:78" ht="18" customHeight="1">
      <c r="A45" s="177" t="s">
        <v>91</v>
      </c>
      <c r="B45" s="200"/>
      <c r="C45" s="201"/>
      <c r="D45" s="201"/>
      <c r="E45" s="202"/>
      <c r="F45" s="203"/>
      <c r="G45" s="204"/>
      <c r="H45" s="205"/>
      <c r="I45" s="205"/>
      <c r="J45" s="205"/>
      <c r="K45" s="206"/>
      <c r="L45" s="205"/>
      <c r="M45" s="205"/>
      <c r="N45" s="205"/>
      <c r="O45" s="206"/>
      <c r="P45" s="206"/>
      <c r="Q45" s="206"/>
      <c r="R45" s="206"/>
      <c r="S45" s="206"/>
      <c r="T45" s="206"/>
      <c r="U45" s="206"/>
      <c r="V45" s="206"/>
      <c r="W45" s="206"/>
      <c r="X45" s="206"/>
      <c r="Y45" s="207">
        <f t="shared" si="14"/>
        <v>0</v>
      </c>
      <c r="Z45" s="207">
        <f t="shared" si="20"/>
        <v>0</v>
      </c>
      <c r="AA45" s="208"/>
      <c r="AB45" s="208"/>
      <c r="AC45" s="208"/>
      <c r="AD45" s="650"/>
      <c r="AE45" s="205"/>
      <c r="AF45" s="333"/>
      <c r="AG45" s="205"/>
      <c r="AH45" s="205"/>
      <c r="AI45" s="205"/>
      <c r="AJ45" s="641"/>
      <c r="AK45" s="205"/>
      <c r="AL45" s="498">
        <f t="shared" si="19"/>
        <v>0</v>
      </c>
      <c r="AM45" s="499"/>
      <c r="AN45" s="627"/>
      <c r="AO45" s="205"/>
      <c r="AP45" s="205"/>
      <c r="AQ45" s="333" t="str">
        <f>UPPER(RIGHT(Journal_Live[[#This Row],[DURATION ]]))</f>
        <v/>
      </c>
      <c r="AR45" s="205"/>
      <c r="AS45" s="211"/>
      <c r="AT45" s="205"/>
      <c r="AU45" s="210"/>
      <c r="AV45" s="212"/>
      <c r="AW45" s="213"/>
      <c r="AX45" s="415" t="s">
        <v>344</v>
      </c>
      <c r="AY45" s="415" t="s">
        <v>345</v>
      </c>
      <c r="AZ45" s="413"/>
      <c r="BA45" s="413"/>
      <c r="BB45" s="413"/>
      <c r="BC45" s="413"/>
      <c r="BD45" s="413"/>
      <c r="BE45" s="413"/>
      <c r="BF45" s="427"/>
      <c r="BG45" s="391">
        <f>SUM($AV$4:AV45)</f>
        <v>145.36999999999989</v>
      </c>
      <c r="BH45" s="392">
        <f>SUM($AU$4:AU45)</f>
        <v>168.16999999999993</v>
      </c>
      <c r="BI45" s="318"/>
      <c r="BJ45" s="318">
        <f>SUMIFS($AU46:AU$1388,$Q46:Q$1388,"F")</f>
        <v>14775.466666666669</v>
      </c>
      <c r="BK45" s="343">
        <f>SUMIFS($AU46:AU$1388,$P46:P$1388,"W")</f>
        <v>21626.941999999945</v>
      </c>
      <c r="BL45" s="343">
        <f>SUMIFS($AU46:AU$1388,$P46:P$1388,"W")</f>
        <v>21626.941999999945</v>
      </c>
      <c r="BM45" s="343">
        <f>SUMIFS($AU46:AU$134,$AQ46:AQ$134,"M")</f>
        <v>0</v>
      </c>
      <c r="BN45" s="343">
        <f>SUMIFS($AU46:AU$134,$AQ46:AQ$134,"M")</f>
        <v>0</v>
      </c>
      <c r="BO45" s="343">
        <f>SUMIFS($AU46:AU$134,$AQ46:AQ$134,"H")</f>
        <v>0</v>
      </c>
      <c r="BP45" s="343">
        <f>SUMIFS($AU48:AU$134,$AQ48:AQ$134,"D")</f>
        <v>400.6</v>
      </c>
      <c r="BQ45" s="343">
        <f>SUMIFS($AU46:AU$134,$Q46:Q$134,"O")</f>
        <v>-32.199999999993601</v>
      </c>
      <c r="BR45" s="343">
        <f>SUMIFS($AU46:AU$134,$AA46:AA$134,"*")</f>
        <v>1369.4000000000065</v>
      </c>
      <c r="BS45" s="343">
        <f>SUMIFS($AU46:AU$134,$AA46:AA$134,"*")</f>
        <v>1369.4000000000065</v>
      </c>
      <c r="BT45" s="343">
        <f>SUMIFS($AU46:AU$134,$AB46:AB$134,"*")</f>
        <v>176</v>
      </c>
      <c r="BU45" s="343">
        <f>SUMIFS($AU46:AU$134,$AA46:AA$134,"*",$AB46:AB$134,"*")</f>
        <v>176</v>
      </c>
      <c r="BV45" s="343">
        <f>SUMIFS($AU46:AU$134,$AA46:AA$134,"*",$AB46:AB$134,"*")</f>
        <v>176</v>
      </c>
      <c r="BW45" s="343">
        <f>SUMIFS($AU46:AU$134,$AA46:AA$134,"*",$AC46:AC$134,"*")</f>
        <v>1133</v>
      </c>
      <c r="BX45" s="343">
        <f>SUMIFS($AU46:AU$1388,$Q46:Q$1388,"F")</f>
        <v>14775.466666666669</v>
      </c>
      <c r="BY45" s="343">
        <f>SUMIFS($AU46:AU$1388,$Q46:Q$1388,"S")</f>
        <v>22014.342000000022</v>
      </c>
      <c r="BZ45" s="343">
        <f>SUMIFS($AU46:AU$1388,$Q46:Q$1388,"O")</f>
        <v>-1681.0579999997917</v>
      </c>
    </row>
    <row r="46" spans="1:78" ht="18" customHeight="1">
      <c r="A46" s="156" t="s">
        <v>346</v>
      </c>
      <c r="B46" s="156"/>
      <c r="C46" s="214"/>
      <c r="D46" s="214"/>
      <c r="E46" s="215"/>
      <c r="F46" s="216"/>
      <c r="G46" s="214"/>
      <c r="H46" s="214"/>
      <c r="I46" s="214"/>
      <c r="J46" s="214"/>
      <c r="K46" s="217"/>
      <c r="L46" s="214"/>
      <c r="M46" s="214"/>
      <c r="N46" s="214"/>
      <c r="O46" s="217"/>
      <c r="P46" s="217"/>
      <c r="Q46" s="217"/>
      <c r="R46" s="217"/>
      <c r="S46" s="217"/>
      <c r="T46" s="217"/>
      <c r="U46" s="217"/>
      <c r="V46" s="217"/>
      <c r="W46" s="217"/>
      <c r="X46" s="217"/>
      <c r="Y46" s="218">
        <f t="shared" si="14"/>
        <v>0</v>
      </c>
      <c r="Z46" s="218">
        <f t="shared" si="20"/>
        <v>0</v>
      </c>
      <c r="AA46" s="218"/>
      <c r="AB46" s="218"/>
      <c r="AC46" s="218"/>
      <c r="AD46" s="651"/>
      <c r="AE46" s="214"/>
      <c r="AF46" s="214"/>
      <c r="AG46" s="214"/>
      <c r="AH46" s="214"/>
      <c r="AI46" s="214"/>
      <c r="AJ46" s="642"/>
      <c r="AK46" s="214"/>
      <c r="AL46" s="500"/>
      <c r="AM46" s="500"/>
      <c r="AN46" s="628"/>
      <c r="AO46" s="214"/>
      <c r="AP46" s="214"/>
      <c r="AQ46" s="334" t="str">
        <f>UPPER(RIGHT(Journal_Live[[#This Row],[DURATION ]]))</f>
        <v/>
      </c>
      <c r="AR46" s="214"/>
      <c r="AS46" s="219"/>
      <c r="AT46" s="219">
        <f t="shared" ref="AT46:AT51" si="21">IF(ISBLANK(AS46),,IF(U46="S",AD46-AS46,AS46-AD46))</f>
        <v>0</v>
      </c>
      <c r="AU46" s="219"/>
      <c r="AV46" s="219">
        <f t="shared" ref="AV46:AV51" si="22">IF(ISBLANK(AS46),,(AT46*Z46))</f>
        <v>0</v>
      </c>
      <c r="AW46" s="220"/>
      <c r="AX46" s="414"/>
      <c r="AY46" s="414"/>
      <c r="AZ46" s="414"/>
      <c r="BA46" s="414"/>
      <c r="BB46" s="414"/>
      <c r="BC46" s="414"/>
      <c r="BD46" s="414"/>
      <c r="BE46" s="414"/>
      <c r="BF46" s="414"/>
      <c r="BG46" s="391">
        <f>SUM($AV$4:AV46)</f>
        <v>145.36999999999989</v>
      </c>
      <c r="BH46" s="392">
        <f>SUM($AU$4:AU46)</f>
        <v>168.16999999999993</v>
      </c>
      <c r="BI46" s="318"/>
      <c r="BJ46" s="318">
        <f>SUMIFS($AU47:AU$1388,$Q47:Q$1388,"F")</f>
        <v>14775.466666666669</v>
      </c>
      <c r="BK46" s="343">
        <f>SUMIFS($AU47:AU$1388,$P47:P$1388,"W")</f>
        <v>21626.941999999945</v>
      </c>
      <c r="BL46" s="343">
        <f>SUMIFS($AU47:AU$1388,$P47:P$1388,"W")</f>
        <v>21626.941999999945</v>
      </c>
      <c r="BM46" s="343">
        <f>SUMIFS($AU47:AU$134,$AQ47:AQ$134,"M")</f>
        <v>0</v>
      </c>
      <c r="BN46" s="343">
        <f>SUMIFS($AU47:AU$134,$AQ47:AQ$134,"M")</f>
        <v>0</v>
      </c>
      <c r="BO46" s="343">
        <f>SUMIFS($AU47:AU$134,$AQ47:AQ$134,"H")</f>
        <v>0</v>
      </c>
      <c r="BP46" s="343">
        <f>SUMIFS($AU49:AU$134,$AQ49:AQ$134,"D")</f>
        <v>400.6</v>
      </c>
      <c r="BQ46" s="343">
        <f>SUMIFS($AU47:AU$134,$Q47:Q$134,"O")</f>
        <v>-32.199999999993601</v>
      </c>
      <c r="BR46" s="343">
        <f>SUMIFS($AU47:AU$134,$AA47:AA$134,"*")</f>
        <v>1369.4000000000065</v>
      </c>
      <c r="BS46" s="343">
        <f>SUMIFS($AU47:AU$134,$AA47:AA$134,"*")</f>
        <v>1369.4000000000065</v>
      </c>
      <c r="BT46" s="343">
        <f>SUMIFS($AU47:AU$134,$AB47:AB$134,"*")</f>
        <v>176</v>
      </c>
      <c r="BU46" s="343">
        <f>SUMIFS($AU47:AU$134,$AA47:AA$134,"*",$AB47:AB$134,"*")</f>
        <v>176</v>
      </c>
      <c r="BV46" s="343">
        <f>SUMIFS($AU47:AU$134,$AA47:AA$134,"*",$AB47:AB$134,"*")</f>
        <v>176</v>
      </c>
      <c r="BW46" s="343">
        <f>SUMIFS($AU47:AU$134,$AA47:AA$134,"*",$AC47:AC$134,"*")</f>
        <v>1133</v>
      </c>
      <c r="BX46" s="343">
        <f>SUMIFS($AU47:AU$1388,$Q47:Q$1388,"F")</f>
        <v>14775.466666666669</v>
      </c>
      <c r="BY46" s="343">
        <f>SUMIFS($AU47:AU$1388,$Q47:Q$1388,"S")</f>
        <v>22014.342000000022</v>
      </c>
      <c r="BZ46" s="343">
        <f>SUMIFS($AU47:AU$1388,$Q47:Q$1388,"O")</f>
        <v>-1681.0579999997917</v>
      </c>
    </row>
    <row r="47" spans="1:78" ht="18" customHeight="1">
      <c r="A47" s="221" t="s">
        <v>347</v>
      </c>
      <c r="B47" s="221">
        <v>44866</v>
      </c>
      <c r="C47" s="222">
        <v>0.375</v>
      </c>
      <c r="D47" s="223" t="s">
        <v>146</v>
      </c>
      <c r="E47" s="224" t="s">
        <v>348</v>
      </c>
      <c r="F47" s="225" t="s">
        <v>349</v>
      </c>
      <c r="G47" s="226"/>
      <c r="H47" s="166"/>
      <c r="I47" s="166">
        <v>1</v>
      </c>
      <c r="J47" s="166"/>
      <c r="K47" s="169"/>
      <c r="L47" s="166"/>
      <c r="M47" s="166"/>
      <c r="N47" s="166"/>
      <c r="O47" s="169"/>
      <c r="P47" s="169"/>
      <c r="Q47" s="169"/>
      <c r="R47" s="169"/>
      <c r="S47" s="169"/>
      <c r="T47" s="169"/>
      <c r="U47" s="169"/>
      <c r="V47" s="169"/>
      <c r="W47" s="169"/>
      <c r="X47" s="169"/>
      <c r="Y47" s="171">
        <f t="shared" si="14"/>
        <v>0</v>
      </c>
      <c r="Z47" s="171">
        <f t="shared" si="20"/>
        <v>0</v>
      </c>
      <c r="AA47" s="172"/>
      <c r="AB47" s="172"/>
      <c r="AC47" s="172"/>
      <c r="AD47" s="648"/>
      <c r="AE47" s="166"/>
      <c r="AF47" s="331"/>
      <c r="AG47" s="166"/>
      <c r="AH47" s="166"/>
      <c r="AI47" s="166"/>
      <c r="AJ47" s="639"/>
      <c r="AK47" s="166"/>
      <c r="AL47" s="495">
        <f t="shared" ref="AL47:AL48" si="23">-0.03*Z47</f>
        <v>0</v>
      </c>
      <c r="AM47" s="501"/>
      <c r="AN47" s="625"/>
      <c r="AO47" s="166"/>
      <c r="AP47" s="166"/>
      <c r="AQ47" s="331" t="str">
        <f>UPPER(RIGHT(Journal_Live[[#This Row],[DURATION ]]))</f>
        <v/>
      </c>
      <c r="AR47" s="166"/>
      <c r="AS47" s="174"/>
      <c r="AT47" s="166">
        <f t="shared" si="21"/>
        <v>0</v>
      </c>
      <c r="AU47" s="173"/>
      <c r="AV47" s="175">
        <f t="shared" si="22"/>
        <v>0</v>
      </c>
      <c r="AW47" s="176"/>
      <c r="AX47" s="411"/>
      <c r="AY47" s="411"/>
      <c r="AZ47" s="411"/>
      <c r="BA47" s="411"/>
      <c r="BB47" s="411"/>
      <c r="BC47" s="411"/>
      <c r="BD47" s="411"/>
      <c r="BE47" s="411"/>
      <c r="BF47" s="421"/>
      <c r="BG47" s="391">
        <f>SUM($AV$4:AV47)</f>
        <v>145.36999999999989</v>
      </c>
      <c r="BH47" s="392">
        <f>SUM($AU$4:AU47)</f>
        <v>168.16999999999993</v>
      </c>
      <c r="BI47" s="318"/>
      <c r="BJ47" s="318">
        <f>SUMIFS($AU48:AU$1388,$Q48:Q$1388,"F")</f>
        <v>14775.466666666669</v>
      </c>
      <c r="BK47" s="343">
        <f>SUMIFS($AU48:AU$1388,$P48:P$1388,"W")</f>
        <v>21626.941999999945</v>
      </c>
      <c r="BL47" s="343">
        <f>SUMIFS($AU48:AU$1388,$P48:P$1388,"W")</f>
        <v>21626.941999999945</v>
      </c>
      <c r="BM47" s="343">
        <f>SUMIFS($AU48:AU$134,$AQ48:AQ$134,"M")</f>
        <v>0</v>
      </c>
      <c r="BN47" s="343">
        <f>SUMIFS($AU48:AU$134,$AQ48:AQ$134,"M")</f>
        <v>0</v>
      </c>
      <c r="BO47" s="343">
        <f>SUMIFS($AU48:AU$134,$AQ48:AQ$134,"H")</f>
        <v>0</v>
      </c>
      <c r="BP47" s="343">
        <f>SUMIFS($AU50:AU$134,$AQ50:AQ$134,"D")</f>
        <v>400.6</v>
      </c>
      <c r="BQ47" s="343">
        <f>SUMIFS($AU48:AU$134,$Q48:Q$134,"O")</f>
        <v>-32.199999999993601</v>
      </c>
      <c r="BR47" s="343">
        <f>SUMIFS($AU48:AU$134,$AA48:AA$134,"*")</f>
        <v>1369.4000000000065</v>
      </c>
      <c r="BS47" s="343">
        <f>SUMIFS($AU48:AU$134,$AA48:AA$134,"*")</f>
        <v>1369.4000000000065</v>
      </c>
      <c r="BT47" s="343">
        <f>SUMIFS($AU48:AU$134,$AB48:AB$134,"*")</f>
        <v>176</v>
      </c>
      <c r="BU47" s="343">
        <f>SUMIFS($AU48:AU$134,$AA48:AA$134,"*",$AB48:AB$134,"*")</f>
        <v>176</v>
      </c>
      <c r="BV47" s="343">
        <f>SUMIFS($AU48:AU$134,$AA48:AA$134,"*",$AB48:AB$134,"*")</f>
        <v>176</v>
      </c>
      <c r="BW47" s="343">
        <f>SUMIFS($AU48:AU$134,$AA48:AA$134,"*",$AC48:AC$134,"*")</f>
        <v>1133</v>
      </c>
      <c r="BX47" s="343">
        <f>SUMIFS($AU48:AU$1388,$Q48:Q$1388,"F")</f>
        <v>14775.466666666669</v>
      </c>
      <c r="BY47" s="343">
        <f>SUMIFS($AU48:AU$1388,$Q48:Q$1388,"S")</f>
        <v>22014.342000000022</v>
      </c>
      <c r="BZ47" s="343">
        <f>SUMIFS($AU48:AU$1388,$Q48:Q$1388,"O")</f>
        <v>-1681.0579999997917</v>
      </c>
    </row>
    <row r="48" spans="1:78" ht="18" customHeight="1">
      <c r="A48" s="221" t="s">
        <v>347</v>
      </c>
      <c r="B48" s="177">
        <v>44866</v>
      </c>
      <c r="C48" s="178" t="s">
        <v>350</v>
      </c>
      <c r="D48" s="178" t="s">
        <v>146</v>
      </c>
      <c r="E48" s="227"/>
      <c r="F48" s="180"/>
      <c r="G48" s="181" t="s">
        <v>133</v>
      </c>
      <c r="H48" s="182"/>
      <c r="I48" s="182"/>
      <c r="J48" s="182"/>
      <c r="K48" s="183"/>
      <c r="L48" s="182">
        <v>1</v>
      </c>
      <c r="M48" s="182"/>
      <c r="N48" s="182"/>
      <c r="O48" s="183" t="s">
        <v>95</v>
      </c>
      <c r="P48" s="183" t="s">
        <v>96</v>
      </c>
      <c r="Q48" s="183" t="s">
        <v>97</v>
      </c>
      <c r="R48" s="183">
        <v>2</v>
      </c>
      <c r="S48" s="183">
        <v>2</v>
      </c>
      <c r="T48" s="183">
        <v>2</v>
      </c>
      <c r="U48" s="183" t="s">
        <v>22</v>
      </c>
      <c r="V48" s="183"/>
      <c r="W48" s="183"/>
      <c r="X48" s="183"/>
      <c r="Y48" s="184">
        <f t="shared" si="14"/>
        <v>0.01</v>
      </c>
      <c r="Z48" s="184">
        <f t="shared" si="20"/>
        <v>1530</v>
      </c>
      <c r="AA48" s="185" t="s">
        <v>138</v>
      </c>
      <c r="AB48" s="185"/>
      <c r="AC48" s="185" t="s">
        <v>99</v>
      </c>
      <c r="AD48" s="649">
        <v>0.01</v>
      </c>
      <c r="AE48" s="182"/>
      <c r="AF48" s="332"/>
      <c r="AG48" s="182"/>
      <c r="AH48" s="182">
        <v>0.02</v>
      </c>
      <c r="AI48" s="182"/>
      <c r="AJ48" s="640" t="s">
        <v>351</v>
      </c>
      <c r="AK48" s="182"/>
      <c r="AL48" s="496">
        <f t="shared" si="23"/>
        <v>-45.9</v>
      </c>
      <c r="AM48" s="496">
        <f>AL48*R48</f>
        <v>-91.8</v>
      </c>
      <c r="AN48" s="626"/>
      <c r="AO48" s="182"/>
      <c r="AP48" s="182" t="s">
        <v>352</v>
      </c>
      <c r="AQ48" s="332" t="str">
        <f>UPPER(RIGHT(Journal_Live[[#This Row],[DURATION ]]))</f>
        <v>S</v>
      </c>
      <c r="AR48" s="182" t="s">
        <v>353</v>
      </c>
      <c r="AS48" s="189">
        <v>0.02</v>
      </c>
      <c r="AT48" s="189">
        <f t="shared" si="21"/>
        <v>0.01</v>
      </c>
      <c r="AU48" s="187">
        <f>AV48*R48</f>
        <v>30.6</v>
      </c>
      <c r="AV48" s="190">
        <f t="shared" si="22"/>
        <v>15.3</v>
      </c>
      <c r="AW48" s="191" t="s">
        <v>96</v>
      </c>
      <c r="AX48" s="407" t="s">
        <v>354</v>
      </c>
      <c r="AY48" s="407"/>
      <c r="AZ48" s="407"/>
      <c r="BA48" s="407"/>
      <c r="BB48" s="407"/>
      <c r="BC48" s="407"/>
      <c r="BD48" s="407"/>
      <c r="BE48" s="407"/>
      <c r="BF48" s="422"/>
      <c r="BG48" s="391">
        <f>SUM($AV$4:AV48)</f>
        <v>160.6699999999999</v>
      </c>
      <c r="BH48" s="392">
        <f>SUM($AU$4:AU48)</f>
        <v>198.76999999999992</v>
      </c>
      <c r="BI48" s="318"/>
      <c r="BJ48" s="318">
        <f>SUMIFS($AU49:AU$1388,$Q49:Q$1388,"F")</f>
        <v>14775.466666666669</v>
      </c>
      <c r="BK48" s="343">
        <f>SUMIFS($AU49:AU$1388,$P49:P$1388,"W")</f>
        <v>21596.341999999946</v>
      </c>
      <c r="BL48" s="343">
        <f>SUMIFS($AU49:AU$1388,$P49:P$1388,"W")</f>
        <v>21596.341999999946</v>
      </c>
      <c r="BM48" s="343">
        <f>SUMIFS($AU49:AU$134,$AQ49:AQ$134,"M")</f>
        <v>0</v>
      </c>
      <c r="BN48" s="343">
        <f>SUMIFS($AU49:AU$134,$AQ49:AQ$134,"M")</f>
        <v>0</v>
      </c>
      <c r="BO48" s="343">
        <f>SUMIFS($AU49:AU$134,$AQ49:AQ$134,"H")</f>
        <v>0</v>
      </c>
      <c r="BP48" s="343">
        <f>SUMIFS($AU51:AU$134,$AQ51:AQ$134,"D")</f>
        <v>400.6</v>
      </c>
      <c r="BQ48" s="343">
        <f>SUMIFS($AU49:AU$134,$Q49:Q$134,"O")</f>
        <v>-32.199999999993601</v>
      </c>
      <c r="BR48" s="343">
        <f>SUMIFS($AU49:AU$134,$AA49:AA$134,"*")</f>
        <v>1338.8000000000065</v>
      </c>
      <c r="BS48" s="343">
        <f>SUMIFS($AU49:AU$134,$AA49:AA$134,"*")</f>
        <v>1338.8000000000065</v>
      </c>
      <c r="BT48" s="343">
        <f>SUMIFS($AU49:AU$134,$AB49:AB$134,"*")</f>
        <v>176</v>
      </c>
      <c r="BU48" s="343">
        <f>SUMIFS($AU49:AU$134,$AA49:AA$134,"*",$AB49:AB$134,"*")</f>
        <v>176</v>
      </c>
      <c r="BV48" s="343">
        <f>SUMIFS($AU49:AU$134,$AA49:AA$134,"*",$AB49:AB$134,"*")</f>
        <v>176</v>
      </c>
      <c r="BW48" s="343">
        <f>SUMIFS($AU49:AU$134,$AA49:AA$134,"*",$AC49:AC$134,"*")</f>
        <v>1102.4000000000001</v>
      </c>
      <c r="BX48" s="343">
        <f>SUMIFS($AU49:AU$1388,$Q49:Q$1388,"F")</f>
        <v>14775.466666666669</v>
      </c>
      <c r="BY48" s="343">
        <f>SUMIFS($AU49:AU$1388,$Q49:Q$1388,"S")</f>
        <v>21983.74200000002</v>
      </c>
      <c r="BZ48" s="343">
        <f>SUMIFS($AU49:AU$1388,$Q49:Q$1388,"O")</f>
        <v>-1681.0579999997917</v>
      </c>
    </row>
    <row r="49" spans="1:78" ht="18" customHeight="1">
      <c r="A49" s="221" t="s">
        <v>347</v>
      </c>
      <c r="B49" s="177">
        <v>44866</v>
      </c>
      <c r="C49" s="178" t="s">
        <v>355</v>
      </c>
      <c r="D49" s="178" t="s">
        <v>146</v>
      </c>
      <c r="E49" s="227"/>
      <c r="F49" s="180"/>
      <c r="G49" s="181" t="s">
        <v>356</v>
      </c>
      <c r="H49" s="182"/>
      <c r="I49" s="182"/>
      <c r="J49" s="182"/>
      <c r="K49" s="183"/>
      <c r="L49" s="182">
        <v>1</v>
      </c>
      <c r="M49" s="182"/>
      <c r="N49" s="182"/>
      <c r="O49" s="183" t="s">
        <v>95</v>
      </c>
      <c r="P49" s="183" t="s">
        <v>96</v>
      </c>
      <c r="Q49" s="183" t="s">
        <v>97</v>
      </c>
      <c r="R49" s="183">
        <v>2</v>
      </c>
      <c r="S49" s="183">
        <v>2</v>
      </c>
      <c r="T49" s="183">
        <v>2</v>
      </c>
      <c r="U49" s="183" t="s">
        <v>22</v>
      </c>
      <c r="V49" s="183"/>
      <c r="W49" s="183"/>
      <c r="X49" s="183"/>
      <c r="Y49" s="184">
        <f t="shared" si="14"/>
        <v>0.01</v>
      </c>
      <c r="Z49" s="184">
        <f t="shared" si="20"/>
        <v>1530</v>
      </c>
      <c r="AA49" s="185" t="s">
        <v>138</v>
      </c>
      <c r="AB49" s="185"/>
      <c r="AC49" s="185" t="s">
        <v>99</v>
      </c>
      <c r="AD49" s="649">
        <v>0.01</v>
      </c>
      <c r="AE49" s="182"/>
      <c r="AF49" s="332"/>
      <c r="AG49" s="182"/>
      <c r="AH49" s="182">
        <v>0.02</v>
      </c>
      <c r="AI49" s="182"/>
      <c r="AJ49" s="640" t="s">
        <v>351</v>
      </c>
      <c r="AK49" s="182"/>
      <c r="AL49" s="496">
        <f>-0.02*Z49</f>
        <v>-30.6</v>
      </c>
      <c r="AM49" s="496">
        <f>AL49*R49</f>
        <v>-61.2</v>
      </c>
      <c r="AN49" s="626"/>
      <c r="AO49" s="182"/>
      <c r="AP49" s="182" t="s">
        <v>352</v>
      </c>
      <c r="AQ49" s="332" t="str">
        <f>UPPER(RIGHT(Journal_Live[[#This Row],[DURATION ]]))</f>
        <v>S</v>
      </c>
      <c r="AR49" s="182" t="s">
        <v>353</v>
      </c>
      <c r="AS49" s="189">
        <v>0.02</v>
      </c>
      <c r="AT49" s="189">
        <f t="shared" si="21"/>
        <v>0.01</v>
      </c>
      <c r="AU49" s="187">
        <f>AV49*R49</f>
        <v>30.6</v>
      </c>
      <c r="AV49" s="190">
        <f t="shared" si="22"/>
        <v>15.3</v>
      </c>
      <c r="AW49" s="191" t="s">
        <v>96</v>
      </c>
      <c r="AX49" s="407" t="s">
        <v>357</v>
      </c>
      <c r="AY49" s="407" t="s">
        <v>358</v>
      </c>
      <c r="AZ49" s="407" t="s">
        <v>359</v>
      </c>
      <c r="BA49" s="407"/>
      <c r="BB49" s="407"/>
      <c r="BC49" s="407"/>
      <c r="BD49" s="423" t="s">
        <v>195</v>
      </c>
      <c r="BE49" s="407"/>
      <c r="BF49" s="422"/>
      <c r="BG49" s="391">
        <f>SUM($AV$4:AV49)</f>
        <v>175.96999999999991</v>
      </c>
      <c r="BH49" s="392">
        <f>SUM($AU$4:AU49)</f>
        <v>229.36999999999992</v>
      </c>
      <c r="BI49" s="318"/>
      <c r="BJ49" s="318">
        <f>SUMIFS($AU50:AU$1388,$Q50:Q$1388,"F")</f>
        <v>14775.466666666669</v>
      </c>
      <c r="BK49" s="343">
        <f>SUMIFS($AU50:AU$1388,$P50:P$1388,"W")</f>
        <v>21565.741999999947</v>
      </c>
      <c r="BL49" s="343">
        <f>SUMIFS($AU50:AU$1388,$P50:P$1388,"W")</f>
        <v>21565.741999999947</v>
      </c>
      <c r="BM49" s="343">
        <f>SUMIFS($AU50:AU$134,$AQ50:AQ$134,"M")</f>
        <v>0</v>
      </c>
      <c r="BN49" s="343">
        <f>SUMIFS($AU50:AU$134,$AQ50:AQ$134,"M")</f>
        <v>0</v>
      </c>
      <c r="BO49" s="343">
        <f>SUMIFS($AU50:AU$134,$AQ50:AQ$134,"H")</f>
        <v>0</v>
      </c>
      <c r="BP49" s="343">
        <f>SUMIFS($AU52:AU$134,$AQ52:AQ$134,"D")</f>
        <v>400.6</v>
      </c>
      <c r="BQ49" s="343">
        <f>SUMIFS($AU50:AU$134,$Q50:Q$134,"O")</f>
        <v>-32.199999999993601</v>
      </c>
      <c r="BR49" s="343">
        <f>SUMIFS($AU50:AU$134,$AA50:AA$134,"*")</f>
        <v>1308.2000000000064</v>
      </c>
      <c r="BS49" s="343">
        <f>SUMIFS($AU50:AU$134,$AA50:AA$134,"*")</f>
        <v>1308.2000000000064</v>
      </c>
      <c r="BT49" s="343">
        <f>SUMIFS($AU50:AU$134,$AB50:AB$134,"*")</f>
        <v>176</v>
      </c>
      <c r="BU49" s="343">
        <f>SUMIFS($AU50:AU$134,$AA50:AA$134,"*",$AB50:AB$134,"*")</f>
        <v>176</v>
      </c>
      <c r="BV49" s="343">
        <f>SUMIFS($AU50:AU$134,$AA50:AA$134,"*",$AB50:AB$134,"*")</f>
        <v>176</v>
      </c>
      <c r="BW49" s="343">
        <f>SUMIFS($AU50:AU$134,$AA50:AA$134,"*",$AC50:AC$134,"*")</f>
        <v>1071.8</v>
      </c>
      <c r="BX49" s="343">
        <f>SUMIFS($AU50:AU$1388,$Q50:Q$1388,"F")</f>
        <v>14775.466666666669</v>
      </c>
      <c r="BY49" s="343">
        <f>SUMIFS($AU50:AU$1388,$Q50:Q$1388,"S")</f>
        <v>21953.142000000022</v>
      </c>
      <c r="BZ49" s="343">
        <f>SUMIFS($AU50:AU$1388,$Q50:Q$1388,"O")</f>
        <v>-1681.0579999997917</v>
      </c>
    </row>
    <row r="50" spans="1:78" ht="18" customHeight="1">
      <c r="A50" s="221" t="s">
        <v>347</v>
      </c>
      <c r="B50" s="177">
        <v>44866</v>
      </c>
      <c r="C50" s="178" t="s">
        <v>360</v>
      </c>
      <c r="D50" s="178" t="s">
        <v>146</v>
      </c>
      <c r="E50" s="227"/>
      <c r="F50" s="180"/>
      <c r="G50" s="181" t="s">
        <v>133</v>
      </c>
      <c r="H50" s="182"/>
      <c r="I50" s="182"/>
      <c r="J50" s="182"/>
      <c r="K50" s="183"/>
      <c r="L50" s="182">
        <v>1</v>
      </c>
      <c r="M50" s="182"/>
      <c r="N50" s="182">
        <v>1</v>
      </c>
      <c r="O50" s="183" t="s">
        <v>95</v>
      </c>
      <c r="P50" s="183" t="s">
        <v>96</v>
      </c>
      <c r="Q50" s="183" t="s">
        <v>97</v>
      </c>
      <c r="R50" s="183">
        <v>2</v>
      </c>
      <c r="S50" s="183">
        <v>2</v>
      </c>
      <c r="T50" s="183">
        <v>2</v>
      </c>
      <c r="U50" s="183" t="s">
        <v>22</v>
      </c>
      <c r="V50" s="183"/>
      <c r="W50" s="183"/>
      <c r="X50" s="183"/>
      <c r="Y50" s="184">
        <f t="shared" si="14"/>
        <v>0.01</v>
      </c>
      <c r="Z50" s="184">
        <f t="shared" si="20"/>
        <v>1530</v>
      </c>
      <c r="AA50" s="185" t="s">
        <v>361</v>
      </c>
      <c r="AB50" s="185"/>
      <c r="AC50" s="185"/>
      <c r="AD50" s="649">
        <v>0</v>
      </c>
      <c r="AE50" s="182"/>
      <c r="AF50" s="332"/>
      <c r="AG50" s="182"/>
      <c r="AH50" s="182">
        <v>0.02</v>
      </c>
      <c r="AI50" s="182"/>
      <c r="AJ50" s="640">
        <v>-0.01</v>
      </c>
      <c r="AK50" s="182"/>
      <c r="AL50" s="496">
        <f t="shared" ref="AL50:AL51" si="24">-0.01*Z50</f>
        <v>-15.3</v>
      </c>
      <c r="AM50" s="496">
        <f>AL50*R50</f>
        <v>-30.6</v>
      </c>
      <c r="AN50" s="626"/>
      <c r="AO50" s="182"/>
      <c r="AP50" s="182" t="s">
        <v>352</v>
      </c>
      <c r="AQ50" s="332" t="str">
        <f>UPPER(RIGHT(Journal_Live[[#This Row],[DURATION ]]))</f>
        <v>S</v>
      </c>
      <c r="AR50" s="228">
        <v>44867.208333333336</v>
      </c>
      <c r="AS50" s="189">
        <v>0.02</v>
      </c>
      <c r="AT50" s="189">
        <f t="shared" si="21"/>
        <v>0.02</v>
      </c>
      <c r="AU50" s="187">
        <f>AV50*R50</f>
        <v>61.2</v>
      </c>
      <c r="AV50" s="190">
        <f t="shared" si="22"/>
        <v>30.6</v>
      </c>
      <c r="AW50" s="191" t="s">
        <v>96</v>
      </c>
      <c r="AX50" s="407" t="s">
        <v>362</v>
      </c>
      <c r="AY50" s="407" t="s">
        <v>363</v>
      </c>
      <c r="AZ50" s="407"/>
      <c r="BA50" s="407"/>
      <c r="BB50" s="407"/>
      <c r="BC50" s="407"/>
      <c r="BD50" s="407"/>
      <c r="BE50" s="407"/>
      <c r="BF50" s="422"/>
      <c r="BG50" s="391">
        <f>SUM($AV$4:AV50)</f>
        <v>206.56999999999991</v>
      </c>
      <c r="BH50" s="392">
        <f>SUM($AU$4:AU50)</f>
        <v>290.56999999999994</v>
      </c>
      <c r="BI50" s="318"/>
      <c r="BJ50" s="318">
        <f>SUMIFS($AU51:AU$1388,$Q51:Q$1388,"F")</f>
        <v>14775.466666666669</v>
      </c>
      <c r="BK50" s="343">
        <f>SUMIFS($AU51:AU$1388,$P51:P$1388,"W")</f>
        <v>21504.541999999947</v>
      </c>
      <c r="BL50" s="343">
        <f>SUMIFS($AU51:AU$1388,$P51:P$1388,"W")</f>
        <v>21504.541999999947</v>
      </c>
      <c r="BM50" s="343">
        <f>SUMIFS($AU51:AU$134,$AQ51:AQ$134,"M")</f>
        <v>0</v>
      </c>
      <c r="BN50" s="343">
        <f>SUMIFS($AU51:AU$134,$AQ51:AQ$134,"M")</f>
        <v>0</v>
      </c>
      <c r="BO50" s="343">
        <f>SUMIFS($AU51:AU$134,$AQ51:AQ$134,"H")</f>
        <v>0</v>
      </c>
      <c r="BP50" s="343">
        <f>SUMIFS($AU53:AU$134,$AQ53:AQ$134,"D")</f>
        <v>400.6</v>
      </c>
      <c r="BQ50" s="343">
        <f>SUMIFS($AU51:AU$134,$Q51:Q$134,"O")</f>
        <v>-32.199999999993601</v>
      </c>
      <c r="BR50" s="343">
        <f>SUMIFS($AU51:AU$134,$AA51:AA$134,"*")</f>
        <v>1247.0000000000064</v>
      </c>
      <c r="BS50" s="343">
        <f>SUMIFS($AU51:AU$134,$AA51:AA$134,"*")</f>
        <v>1247.0000000000064</v>
      </c>
      <c r="BT50" s="343">
        <f>SUMIFS($AU51:AU$134,$AB51:AB$134,"*")</f>
        <v>176</v>
      </c>
      <c r="BU50" s="343">
        <f>SUMIFS($AU51:AU$134,$AA51:AA$134,"*",$AB51:AB$134,"*")</f>
        <v>176</v>
      </c>
      <c r="BV50" s="343">
        <f>SUMIFS($AU51:AU$134,$AA51:AA$134,"*",$AB51:AB$134,"*")</f>
        <v>176</v>
      </c>
      <c r="BW50" s="343">
        <f>SUMIFS($AU51:AU$134,$AA51:AA$134,"*",$AC51:AC$134,"*")</f>
        <v>1071.8</v>
      </c>
      <c r="BX50" s="343">
        <f>SUMIFS($AU51:AU$1388,$Q51:Q$1388,"F")</f>
        <v>14775.466666666669</v>
      </c>
      <c r="BY50" s="343">
        <f>SUMIFS($AU51:AU$1388,$Q51:Q$1388,"S")</f>
        <v>21891.942000000021</v>
      </c>
      <c r="BZ50" s="343">
        <f>SUMIFS($AU51:AU$1388,$Q51:Q$1388,"O")</f>
        <v>-1681.0579999997917</v>
      </c>
    </row>
    <row r="51" spans="1:78" ht="18" customHeight="1">
      <c r="A51" s="221" t="s">
        <v>347</v>
      </c>
      <c r="B51" s="177">
        <v>44866</v>
      </c>
      <c r="C51" s="178" t="s">
        <v>364</v>
      </c>
      <c r="D51" s="178" t="s">
        <v>146</v>
      </c>
      <c r="E51" s="227"/>
      <c r="F51" s="180"/>
      <c r="G51" s="181" t="s">
        <v>365</v>
      </c>
      <c r="H51" s="182"/>
      <c r="I51" s="182"/>
      <c r="J51" s="182"/>
      <c r="K51" s="183"/>
      <c r="L51" s="182">
        <v>1</v>
      </c>
      <c r="M51" s="182"/>
      <c r="N51" s="182"/>
      <c r="O51" s="183" t="s">
        <v>95</v>
      </c>
      <c r="P51" s="183" t="s">
        <v>137</v>
      </c>
      <c r="Q51" s="183" t="s">
        <v>97</v>
      </c>
      <c r="R51" s="183">
        <v>2</v>
      </c>
      <c r="S51" s="183">
        <v>2</v>
      </c>
      <c r="T51" s="183">
        <v>2</v>
      </c>
      <c r="U51" s="183" t="s">
        <v>22</v>
      </c>
      <c r="V51" s="183"/>
      <c r="W51" s="183"/>
      <c r="X51" s="183"/>
      <c r="Y51" s="184">
        <f t="shared" si="14"/>
        <v>0.01</v>
      </c>
      <c r="Z51" s="184">
        <f t="shared" si="20"/>
        <v>1530</v>
      </c>
      <c r="AA51" s="185" t="s">
        <v>366</v>
      </c>
      <c r="AB51" s="185"/>
      <c r="AC51" s="185" t="s">
        <v>99</v>
      </c>
      <c r="AD51" s="649">
        <v>-0.03</v>
      </c>
      <c r="AE51" s="182"/>
      <c r="AF51" s="332"/>
      <c r="AG51" s="182"/>
      <c r="AH51" s="182">
        <v>-0.02</v>
      </c>
      <c r="AI51" s="182"/>
      <c r="AJ51" s="640" t="s">
        <v>367</v>
      </c>
      <c r="AK51" s="182"/>
      <c r="AL51" s="496">
        <f t="shared" si="24"/>
        <v>-15.3</v>
      </c>
      <c r="AM51" s="496">
        <f>AL51*R51</f>
        <v>-30.6</v>
      </c>
      <c r="AN51" s="626"/>
      <c r="AO51" s="182"/>
      <c r="AP51" s="182"/>
      <c r="AQ51" s="332" t="str">
        <f>UPPER(RIGHT(Journal_Live[[#This Row],[DURATION ]]))</f>
        <v/>
      </c>
      <c r="AR51" s="182"/>
      <c r="AS51" s="189">
        <f>-0.03</f>
        <v>-0.03</v>
      </c>
      <c r="AT51" s="189">
        <f t="shared" si="21"/>
        <v>0</v>
      </c>
      <c r="AU51" s="187">
        <f>AV51*R51</f>
        <v>0</v>
      </c>
      <c r="AV51" s="190">
        <f t="shared" si="22"/>
        <v>0</v>
      </c>
      <c r="AW51" s="191" t="s">
        <v>115</v>
      </c>
      <c r="AX51" s="407" t="s">
        <v>368</v>
      </c>
      <c r="AY51" s="407" t="s">
        <v>369</v>
      </c>
      <c r="AZ51" s="407" t="s">
        <v>370</v>
      </c>
      <c r="BA51" s="407"/>
      <c r="BB51" s="407"/>
      <c r="BC51" s="407"/>
      <c r="BD51" s="407"/>
      <c r="BE51" s="407"/>
      <c r="BF51" s="422"/>
      <c r="BG51" s="391">
        <f>SUM($AV$4:AV51)</f>
        <v>206.56999999999991</v>
      </c>
      <c r="BH51" s="392">
        <f>SUM($AU$4:AU51)</f>
        <v>290.56999999999994</v>
      </c>
      <c r="BI51" s="318"/>
      <c r="BJ51" s="318">
        <f>SUMIFS($AU52:AU$1388,$Q52:Q$1388,"F")</f>
        <v>14775.466666666669</v>
      </c>
      <c r="BK51" s="343">
        <f>SUMIFS($AU52:AU$1388,$P52:P$1388,"W")</f>
        <v>21504.541999999947</v>
      </c>
      <c r="BL51" s="343">
        <f>SUMIFS($AU52:AU$1388,$P52:P$1388,"W")</f>
        <v>21504.541999999947</v>
      </c>
      <c r="BM51" s="343">
        <f>SUMIFS($AU52:AU$134,$AQ52:AQ$134,"M")</f>
        <v>0</v>
      </c>
      <c r="BN51" s="343">
        <f>SUMIFS($AU52:AU$134,$AQ52:AQ$134,"M")</f>
        <v>0</v>
      </c>
      <c r="BO51" s="343">
        <f>SUMIFS($AU52:AU$134,$AQ52:AQ$134,"H")</f>
        <v>0</v>
      </c>
      <c r="BP51" s="343">
        <f>SUMIFS($AU54:AU$134,$AQ54:AQ$134,"D")</f>
        <v>400.6</v>
      </c>
      <c r="BQ51" s="343">
        <f>SUMIFS($AU52:AU$134,$Q52:Q$134,"O")</f>
        <v>-32.199999999993601</v>
      </c>
      <c r="BR51" s="343">
        <f>SUMIFS($AU52:AU$134,$AA52:AA$134,"*")</f>
        <v>1247.0000000000064</v>
      </c>
      <c r="BS51" s="343">
        <f>SUMIFS($AU52:AU$134,$AA52:AA$134,"*")</f>
        <v>1247.0000000000064</v>
      </c>
      <c r="BT51" s="343">
        <f>SUMIFS($AU52:AU$134,$AB52:AB$134,"*")</f>
        <v>176</v>
      </c>
      <c r="BU51" s="343">
        <f>SUMIFS($AU52:AU$134,$AA52:AA$134,"*",$AB52:AB$134,"*")</f>
        <v>176</v>
      </c>
      <c r="BV51" s="343">
        <f>SUMIFS($AU52:AU$134,$AA52:AA$134,"*",$AB52:AB$134,"*")</f>
        <v>176</v>
      </c>
      <c r="BW51" s="343">
        <f>SUMIFS($AU52:AU$134,$AA52:AA$134,"*",$AC52:AC$134,"*")</f>
        <v>1071.8</v>
      </c>
      <c r="BX51" s="343">
        <f>SUMIFS($AU52:AU$1388,$Q52:Q$1388,"F")</f>
        <v>14775.466666666669</v>
      </c>
      <c r="BY51" s="343">
        <f>SUMIFS($AU52:AU$1388,$Q52:Q$1388,"S")</f>
        <v>21891.942000000021</v>
      </c>
      <c r="BZ51" s="343">
        <f>SUMIFS($AU52:AU$1388,$Q52:Q$1388,"O")</f>
        <v>-1681.0579999997917</v>
      </c>
    </row>
    <row r="52" spans="1:78" ht="18" customHeight="1">
      <c r="A52" s="221" t="s">
        <v>347</v>
      </c>
      <c r="B52" s="177">
        <v>44867</v>
      </c>
      <c r="C52" s="178"/>
      <c r="D52" s="178" t="s">
        <v>151</v>
      </c>
      <c r="E52" s="227" t="s">
        <v>371</v>
      </c>
      <c r="F52" s="180"/>
      <c r="G52" s="181"/>
      <c r="H52" s="182"/>
      <c r="I52" s="182">
        <v>1</v>
      </c>
      <c r="J52" s="182"/>
      <c r="K52" s="183" t="s">
        <v>372</v>
      </c>
      <c r="L52" s="182"/>
      <c r="M52" s="182"/>
      <c r="N52" s="182"/>
      <c r="O52" s="183"/>
      <c r="P52" s="183"/>
      <c r="Q52" s="183"/>
      <c r="R52" s="183"/>
      <c r="S52" s="183"/>
      <c r="T52" s="183"/>
      <c r="U52" s="183"/>
      <c r="V52" s="183"/>
      <c r="W52" s="183"/>
      <c r="X52" s="183"/>
      <c r="Y52" s="184"/>
      <c r="Z52" s="184"/>
      <c r="AA52" s="185"/>
      <c r="AB52" s="185"/>
      <c r="AC52" s="185"/>
      <c r="AD52" s="649"/>
      <c r="AE52" s="182"/>
      <c r="AF52" s="332"/>
      <c r="AG52" s="182"/>
      <c r="AH52" s="182"/>
      <c r="AI52" s="182"/>
      <c r="AJ52" s="640"/>
      <c r="AK52" s="182"/>
      <c r="AL52" s="496"/>
      <c r="AM52" s="497"/>
      <c r="AN52" s="626"/>
      <c r="AO52" s="182"/>
      <c r="AP52" s="182"/>
      <c r="AQ52" s="332" t="str">
        <f>UPPER(RIGHT(Journal_Live[[#This Row],[DURATION ]]))</f>
        <v/>
      </c>
      <c r="AR52" s="182"/>
      <c r="AS52" s="189"/>
      <c r="AT52" s="182"/>
      <c r="AU52" s="187"/>
      <c r="AV52" s="190"/>
      <c r="AW52" s="191"/>
      <c r="AX52" s="407"/>
      <c r="AY52" s="407"/>
      <c r="AZ52" s="407"/>
      <c r="BA52" s="407"/>
      <c r="BB52" s="407"/>
      <c r="BC52" s="407"/>
      <c r="BD52" s="407"/>
      <c r="BE52" s="407"/>
      <c r="BF52" s="422"/>
      <c r="BG52" s="391">
        <f>SUM($AV$4:AV52)</f>
        <v>206.56999999999991</v>
      </c>
      <c r="BH52" s="392">
        <f>SUM($AU$4:AU52)</f>
        <v>290.56999999999994</v>
      </c>
      <c r="BI52" s="318"/>
      <c r="BJ52" s="318">
        <f>SUMIFS($AU53:AU$1388,$Q53:Q$1388,"F")</f>
        <v>14775.466666666669</v>
      </c>
      <c r="BK52" s="343">
        <f>SUMIFS($AU53:AU$1388,$P53:P$1388,"W")</f>
        <v>21504.541999999947</v>
      </c>
      <c r="BL52" s="343">
        <f>SUMIFS($AU53:AU$1388,$P53:P$1388,"W")</f>
        <v>21504.541999999947</v>
      </c>
      <c r="BM52" s="343">
        <f>SUMIFS($AU53:AU$134,$AQ53:AQ$134,"M")</f>
        <v>0</v>
      </c>
      <c r="BN52" s="343">
        <f>SUMIFS($AU53:AU$134,$AQ53:AQ$134,"M")</f>
        <v>0</v>
      </c>
      <c r="BO52" s="343">
        <f>SUMIFS($AU53:AU$134,$AQ53:AQ$134,"H")</f>
        <v>0</v>
      </c>
      <c r="BP52" s="343">
        <f>SUMIFS($AU55:AU$134,$AQ55:AQ$134,"D")</f>
        <v>400.6</v>
      </c>
      <c r="BQ52" s="343">
        <f>SUMIFS($AU53:AU$134,$Q53:Q$134,"O")</f>
        <v>-32.199999999993601</v>
      </c>
      <c r="BR52" s="343">
        <f>SUMIFS($AU53:AU$134,$AA53:AA$134,"*")</f>
        <v>1247.0000000000064</v>
      </c>
      <c r="BS52" s="343">
        <f>SUMIFS($AU53:AU$134,$AA53:AA$134,"*")</f>
        <v>1247.0000000000064</v>
      </c>
      <c r="BT52" s="343">
        <f>SUMIFS($AU53:AU$134,$AB53:AB$134,"*")</f>
        <v>176</v>
      </c>
      <c r="BU52" s="343">
        <f>SUMIFS($AU53:AU$134,$AA53:AA$134,"*",$AB53:AB$134,"*")</f>
        <v>176</v>
      </c>
      <c r="BV52" s="343">
        <f>SUMIFS($AU53:AU$134,$AA53:AA$134,"*",$AB53:AB$134,"*")</f>
        <v>176</v>
      </c>
      <c r="BW52" s="343">
        <f>SUMIFS($AU53:AU$134,$AA53:AA$134,"*",$AC53:AC$134,"*")</f>
        <v>1071.8</v>
      </c>
      <c r="BX52" s="343">
        <f>SUMIFS($AU53:AU$1388,$Q53:Q$1388,"F")</f>
        <v>14775.466666666669</v>
      </c>
      <c r="BY52" s="343">
        <f>SUMIFS($AU53:AU$1388,$Q53:Q$1388,"S")</f>
        <v>21891.942000000021</v>
      </c>
      <c r="BZ52" s="343">
        <f>SUMIFS($AU53:AU$1388,$Q53:Q$1388,"O")</f>
        <v>-1681.0579999997917</v>
      </c>
    </row>
    <row r="53" spans="1:78" ht="18" customHeight="1">
      <c r="A53" s="221" t="s">
        <v>347</v>
      </c>
      <c r="B53" s="177">
        <v>44868</v>
      </c>
      <c r="C53" s="178" t="s">
        <v>373</v>
      </c>
      <c r="D53" s="178" t="s">
        <v>93</v>
      </c>
      <c r="E53" s="227"/>
      <c r="F53" s="180"/>
      <c r="G53" s="181" t="s">
        <v>374</v>
      </c>
      <c r="H53" s="182"/>
      <c r="I53" s="182"/>
      <c r="J53" s="182"/>
      <c r="K53" s="183"/>
      <c r="L53" s="182">
        <v>1</v>
      </c>
      <c r="M53" s="182"/>
      <c r="N53" s="182"/>
      <c r="O53" s="183" t="s">
        <v>95</v>
      </c>
      <c r="P53" s="183" t="s">
        <v>96</v>
      </c>
      <c r="Q53" s="183" t="s">
        <v>97</v>
      </c>
      <c r="R53" s="183">
        <v>2</v>
      </c>
      <c r="S53" s="183">
        <v>2</v>
      </c>
      <c r="T53" s="183">
        <v>2</v>
      </c>
      <c r="U53" s="183" t="s">
        <v>97</v>
      </c>
      <c r="V53" s="183"/>
      <c r="W53" s="183"/>
      <c r="X53" s="183"/>
      <c r="Y53" s="184">
        <f t="shared" ref="Y53:Y64" si="25">IF(ISBLANK(O53),,(IF(O53=UPPER("IB"),0.005,0.01)))</f>
        <v>0.01</v>
      </c>
      <c r="Z53" s="184">
        <f>IF(ISBLANK(O53),,IF(O53=UPPER("IB"),8.63*200,15.2*100))</f>
        <v>1520</v>
      </c>
      <c r="AA53" s="185" t="s">
        <v>138</v>
      </c>
      <c r="AB53" s="185"/>
      <c r="AC53" s="185" t="s">
        <v>99</v>
      </c>
      <c r="AD53" s="649">
        <v>0.03</v>
      </c>
      <c r="AE53" s="182"/>
      <c r="AF53" s="332"/>
      <c r="AG53" s="182"/>
      <c r="AH53" s="182">
        <v>0.02</v>
      </c>
      <c r="AI53" s="182"/>
      <c r="AJ53" s="640" t="s">
        <v>375</v>
      </c>
      <c r="AK53" s="182"/>
      <c r="AL53" s="496">
        <f t="shared" ref="AL53:AL57" si="26">-0.03*Z53</f>
        <v>-45.6</v>
      </c>
      <c r="AM53" s="496">
        <f t="shared" ref="AM53:AM64" si="27">AL53*R53</f>
        <v>-91.2</v>
      </c>
      <c r="AN53" s="626"/>
      <c r="AO53" s="182"/>
      <c r="AP53" s="182" t="s">
        <v>376</v>
      </c>
      <c r="AQ53" s="332" t="str">
        <f>UPPER(RIGHT(Journal_Live[[#This Row],[DURATION ]]))</f>
        <v>S</v>
      </c>
      <c r="AR53" s="182" t="s">
        <v>377</v>
      </c>
      <c r="AS53" s="189">
        <v>0.02</v>
      </c>
      <c r="AT53" s="189">
        <f t="shared" ref="AT53:AT64" si="28">IF(ISBLANK(AS53),,IF(U53="S",AD53-AS53,AS53-AD53))</f>
        <v>9.9999999999999985E-3</v>
      </c>
      <c r="AU53" s="187">
        <f t="shared" ref="AU53:AU64" si="29">AV53*R53</f>
        <v>30.399999999999995</v>
      </c>
      <c r="AV53" s="190">
        <f t="shared" ref="AV53:AV64" si="30">IF(ISBLANK(AS53),,(AT53*Z53))</f>
        <v>15.199999999999998</v>
      </c>
      <c r="AW53" s="191" t="s">
        <v>96</v>
      </c>
      <c r="AX53" s="407"/>
      <c r="AY53" s="407"/>
      <c r="AZ53" s="407"/>
      <c r="BA53" s="407"/>
      <c r="BB53" s="407"/>
      <c r="BC53" s="407"/>
      <c r="BD53" s="407" t="s">
        <v>378</v>
      </c>
      <c r="BE53" s="407"/>
      <c r="BF53" s="422"/>
      <c r="BG53" s="391">
        <f>SUM($AV$4:AV53)</f>
        <v>221.7699999999999</v>
      </c>
      <c r="BH53" s="392">
        <f>SUM($AU$4:AU53)</f>
        <v>320.96999999999991</v>
      </c>
      <c r="BI53" s="318"/>
      <c r="BJ53" s="318">
        <f>SUMIFS($AU54:AU$1388,$Q54:Q$1388,"F")</f>
        <v>14775.466666666669</v>
      </c>
      <c r="BK53" s="343">
        <f>SUMIFS($AU54:AU$1388,$P54:P$1388,"W")</f>
        <v>21474.141999999945</v>
      </c>
      <c r="BL53" s="343">
        <f>SUMIFS($AU54:AU$1388,$P54:P$1388,"W")</f>
        <v>21474.141999999945</v>
      </c>
      <c r="BM53" s="343">
        <f>SUMIFS($AU54:AU$134,$AQ54:AQ$134,"M")</f>
        <v>0</v>
      </c>
      <c r="BN53" s="343">
        <f>SUMIFS($AU54:AU$134,$AQ54:AQ$134,"M")</f>
        <v>0</v>
      </c>
      <c r="BO53" s="343">
        <f>SUMIFS($AU54:AU$134,$AQ54:AQ$134,"H")</f>
        <v>0</v>
      </c>
      <c r="BP53" s="343">
        <f>SUMIFS($AU56:AU$134,$AQ56:AQ$134,"D")</f>
        <v>400.6</v>
      </c>
      <c r="BQ53" s="343">
        <f>SUMIFS($AU54:AU$134,$Q54:Q$134,"O")</f>
        <v>-32.199999999993601</v>
      </c>
      <c r="BR53" s="343">
        <f>SUMIFS($AU54:AU$134,$AA54:AA$134,"*")</f>
        <v>1216.6000000000065</v>
      </c>
      <c r="BS53" s="343">
        <f>SUMIFS($AU54:AU$134,$AA54:AA$134,"*")</f>
        <v>1216.6000000000065</v>
      </c>
      <c r="BT53" s="343">
        <f>SUMIFS($AU54:AU$134,$AB54:AB$134,"*")</f>
        <v>176</v>
      </c>
      <c r="BU53" s="343">
        <f>SUMIFS($AU54:AU$134,$AA54:AA$134,"*",$AB54:AB$134,"*")</f>
        <v>176</v>
      </c>
      <c r="BV53" s="343">
        <f>SUMIFS($AU54:AU$134,$AA54:AA$134,"*",$AB54:AB$134,"*")</f>
        <v>176</v>
      </c>
      <c r="BW53" s="343">
        <f>SUMIFS($AU54:AU$134,$AA54:AA$134,"*",$AC54:AC$134,"*")</f>
        <v>1041.4000000000001</v>
      </c>
      <c r="BX53" s="343">
        <f>SUMIFS($AU54:AU$1388,$Q54:Q$1388,"F")</f>
        <v>14775.466666666669</v>
      </c>
      <c r="BY53" s="343">
        <f>SUMIFS($AU54:AU$1388,$Q54:Q$1388,"S")</f>
        <v>21861.542000000023</v>
      </c>
      <c r="BZ53" s="343">
        <f>SUMIFS($AU54:AU$1388,$Q54:Q$1388,"O")</f>
        <v>-1681.0579999997917</v>
      </c>
    </row>
    <row r="54" spans="1:78" ht="18" customHeight="1">
      <c r="A54" s="221" t="s">
        <v>347</v>
      </c>
      <c r="B54" s="177">
        <v>44868</v>
      </c>
      <c r="C54" s="178" t="s">
        <v>379</v>
      </c>
      <c r="D54" s="178" t="s">
        <v>93</v>
      </c>
      <c r="E54" s="227"/>
      <c r="F54" s="180"/>
      <c r="G54" s="181" t="s">
        <v>374</v>
      </c>
      <c r="H54" s="182"/>
      <c r="I54" s="182"/>
      <c r="J54" s="182"/>
      <c r="K54" s="183"/>
      <c r="L54" s="182">
        <v>1</v>
      </c>
      <c r="M54" s="182"/>
      <c r="N54" s="182"/>
      <c r="O54" s="183" t="s">
        <v>95</v>
      </c>
      <c r="P54" s="183" t="s">
        <v>96</v>
      </c>
      <c r="Q54" s="183" t="s">
        <v>97</v>
      </c>
      <c r="R54" s="183">
        <v>2</v>
      </c>
      <c r="S54" s="183">
        <v>2</v>
      </c>
      <c r="T54" s="183">
        <v>2</v>
      </c>
      <c r="U54" s="183" t="s">
        <v>22</v>
      </c>
      <c r="V54" s="183"/>
      <c r="W54" s="183"/>
      <c r="X54" s="183"/>
      <c r="Y54" s="184">
        <f t="shared" si="25"/>
        <v>0.01</v>
      </c>
      <c r="Z54" s="184">
        <f>IF(ISBLANK(O54),,IF(O54=UPPER("IB"),8.63*200,15.15*100))</f>
        <v>1515</v>
      </c>
      <c r="AA54" s="185" t="s">
        <v>138</v>
      </c>
      <c r="AB54" s="185"/>
      <c r="AC54" s="185" t="s">
        <v>99</v>
      </c>
      <c r="AD54" s="649">
        <v>0.01</v>
      </c>
      <c r="AE54" s="182"/>
      <c r="AF54" s="332"/>
      <c r="AG54" s="182"/>
      <c r="AH54" s="182">
        <v>0.02</v>
      </c>
      <c r="AI54" s="182"/>
      <c r="AJ54" s="640" t="s">
        <v>380</v>
      </c>
      <c r="AK54" s="182"/>
      <c r="AL54" s="496">
        <f t="shared" si="26"/>
        <v>-45.449999999999996</v>
      </c>
      <c r="AM54" s="496">
        <f t="shared" si="27"/>
        <v>-90.899999999999991</v>
      </c>
      <c r="AN54" s="626"/>
      <c r="AO54" s="182"/>
      <c r="AP54" s="182" t="s">
        <v>381</v>
      </c>
      <c r="AQ54" s="332" t="str">
        <f>UPPER(RIGHT(Journal_Live[[#This Row],[DURATION ]]))</f>
        <v>S</v>
      </c>
      <c r="AR54" s="182" t="s">
        <v>382</v>
      </c>
      <c r="AS54" s="189">
        <v>0.02</v>
      </c>
      <c r="AT54" s="189">
        <f t="shared" si="28"/>
        <v>0.01</v>
      </c>
      <c r="AU54" s="187">
        <f t="shared" si="29"/>
        <v>30.3</v>
      </c>
      <c r="AV54" s="190">
        <f t="shared" si="30"/>
        <v>15.15</v>
      </c>
      <c r="AW54" s="191" t="s">
        <v>96</v>
      </c>
      <c r="AX54" s="407"/>
      <c r="AY54" s="407"/>
      <c r="AZ54" s="407"/>
      <c r="BA54" s="407"/>
      <c r="BB54" s="407"/>
      <c r="BC54" s="407"/>
      <c r="BD54" s="407"/>
      <c r="BE54" s="407"/>
      <c r="BF54" s="422"/>
      <c r="BG54" s="391">
        <f>SUM($AV$4:AV54)</f>
        <v>236.9199999999999</v>
      </c>
      <c r="BH54" s="392">
        <f>SUM($AU$4:AU54)</f>
        <v>351.26999999999992</v>
      </c>
      <c r="BI54" s="318"/>
      <c r="BJ54" s="318">
        <f>SUMIFS($AU55:AU$1388,$Q55:Q$1388,"F")</f>
        <v>14775.466666666669</v>
      </c>
      <c r="BK54" s="343">
        <f>SUMIFS($AU55:AU$1388,$P55:P$1388,"W")</f>
        <v>21443.841999999946</v>
      </c>
      <c r="BL54" s="343">
        <f>SUMIFS($AU55:AU$1388,$P55:P$1388,"W")</f>
        <v>21443.841999999946</v>
      </c>
      <c r="BM54" s="343">
        <f>SUMIFS($AU55:AU$134,$AQ55:AQ$134,"M")</f>
        <v>0</v>
      </c>
      <c r="BN54" s="343">
        <f>SUMIFS($AU55:AU$134,$AQ55:AQ$134,"M")</f>
        <v>0</v>
      </c>
      <c r="BO54" s="343">
        <f>SUMIFS($AU55:AU$134,$AQ55:AQ$134,"H")</f>
        <v>0</v>
      </c>
      <c r="BP54" s="343">
        <f>SUMIFS($AU57:AU$134,$AQ57:AQ$134,"D")</f>
        <v>400.6</v>
      </c>
      <c r="BQ54" s="343">
        <f>SUMIFS($AU55:AU$134,$Q55:Q$134,"O")</f>
        <v>-32.199999999993601</v>
      </c>
      <c r="BR54" s="343">
        <f>SUMIFS($AU55:AU$134,$AA55:AA$134,"*")</f>
        <v>1186.3000000000065</v>
      </c>
      <c r="BS54" s="343">
        <f>SUMIFS($AU55:AU$134,$AA55:AA$134,"*")</f>
        <v>1186.3000000000065</v>
      </c>
      <c r="BT54" s="343">
        <f>SUMIFS($AU55:AU$134,$AB55:AB$134,"*")</f>
        <v>176</v>
      </c>
      <c r="BU54" s="343">
        <f>SUMIFS($AU55:AU$134,$AA55:AA$134,"*",$AB55:AB$134,"*")</f>
        <v>176</v>
      </c>
      <c r="BV54" s="343">
        <f>SUMIFS($AU55:AU$134,$AA55:AA$134,"*",$AB55:AB$134,"*")</f>
        <v>176</v>
      </c>
      <c r="BW54" s="343">
        <f>SUMIFS($AU55:AU$134,$AA55:AA$134,"*",$AC55:AC$134,"*")</f>
        <v>1011.1</v>
      </c>
      <c r="BX54" s="343">
        <f>SUMIFS($AU55:AU$1388,$Q55:Q$1388,"F")</f>
        <v>14775.466666666669</v>
      </c>
      <c r="BY54" s="343">
        <f>SUMIFS($AU55:AU$1388,$Q55:Q$1388,"S")</f>
        <v>21831.24200000002</v>
      </c>
      <c r="BZ54" s="343">
        <f>SUMIFS($AU55:AU$1388,$Q55:Q$1388,"O")</f>
        <v>-1681.0579999997917</v>
      </c>
    </row>
    <row r="55" spans="1:78" ht="18" customHeight="1">
      <c r="A55" s="221" t="s">
        <v>347</v>
      </c>
      <c r="B55" s="177">
        <v>44869</v>
      </c>
      <c r="C55" s="178" t="s">
        <v>383</v>
      </c>
      <c r="D55" s="178" t="s">
        <v>111</v>
      </c>
      <c r="E55" s="227"/>
      <c r="F55" s="180"/>
      <c r="G55" s="181" t="s">
        <v>280</v>
      </c>
      <c r="H55" s="182"/>
      <c r="I55" s="182"/>
      <c r="J55" s="182"/>
      <c r="K55" s="183"/>
      <c r="L55" s="182">
        <v>1</v>
      </c>
      <c r="M55" s="182"/>
      <c r="N55" s="182"/>
      <c r="O55" s="183" t="s">
        <v>95</v>
      </c>
      <c r="P55" s="183" t="s">
        <v>137</v>
      </c>
      <c r="Q55" s="183" t="s">
        <v>97</v>
      </c>
      <c r="R55" s="183">
        <v>1</v>
      </c>
      <c r="S55" s="183">
        <v>1</v>
      </c>
      <c r="T55" s="183">
        <v>1</v>
      </c>
      <c r="U55" s="183" t="s">
        <v>97</v>
      </c>
      <c r="V55" s="183"/>
      <c r="W55" s="183"/>
      <c r="X55" s="183"/>
      <c r="Y55" s="184">
        <f t="shared" si="25"/>
        <v>0.01</v>
      </c>
      <c r="Z55" s="184">
        <f>IF(ISBLANK(O55),,IF(O55=UPPER("IB"),8.63*200,15.15*100))</f>
        <v>1515</v>
      </c>
      <c r="AA55" s="185" t="s">
        <v>384</v>
      </c>
      <c r="AB55" s="185"/>
      <c r="AC55" s="185" t="s">
        <v>99</v>
      </c>
      <c r="AD55" s="649">
        <v>-0.05</v>
      </c>
      <c r="AE55" s="182"/>
      <c r="AF55" s="332"/>
      <c r="AG55" s="182"/>
      <c r="AH55" s="182">
        <v>-0.06</v>
      </c>
      <c r="AI55" s="182"/>
      <c r="AJ55" s="640" t="s">
        <v>385</v>
      </c>
      <c r="AK55" s="182"/>
      <c r="AL55" s="496">
        <f t="shared" si="26"/>
        <v>-45.449999999999996</v>
      </c>
      <c r="AM55" s="496">
        <f t="shared" si="27"/>
        <v>-45.449999999999996</v>
      </c>
      <c r="AN55" s="626"/>
      <c r="AO55" s="182"/>
      <c r="AP55" s="197"/>
      <c r="AQ55" s="332" t="str">
        <f>UPPER(RIGHT(Journal_Live[[#This Row],[DURATION ]]))</f>
        <v/>
      </c>
      <c r="AR55" s="182" t="s">
        <v>386</v>
      </c>
      <c r="AS55" s="189">
        <v>-0.05</v>
      </c>
      <c r="AT55" s="189">
        <f t="shared" si="28"/>
        <v>0</v>
      </c>
      <c r="AU55" s="187">
        <f t="shared" si="29"/>
        <v>0</v>
      </c>
      <c r="AV55" s="190">
        <f t="shared" si="30"/>
        <v>0</v>
      </c>
      <c r="AW55" s="191" t="s">
        <v>115</v>
      </c>
      <c r="AX55" s="407" t="s">
        <v>387</v>
      </c>
      <c r="AY55" s="407" t="s">
        <v>388</v>
      </c>
      <c r="AZ55" s="407"/>
      <c r="BA55" s="407"/>
      <c r="BB55" s="407"/>
      <c r="BC55" s="407"/>
      <c r="BD55" s="407"/>
      <c r="BE55" s="407"/>
      <c r="BF55" s="422"/>
      <c r="BG55" s="391">
        <f>SUM($AV$4:AV55)</f>
        <v>236.9199999999999</v>
      </c>
      <c r="BH55" s="392">
        <f>SUM($AU$4:AU55)</f>
        <v>351.26999999999992</v>
      </c>
      <c r="BI55" s="318"/>
      <c r="BJ55" s="318">
        <f>SUMIFS($AU56:AU$1388,$Q56:Q$1388,"F")</f>
        <v>14775.466666666669</v>
      </c>
      <c r="BK55" s="343">
        <f>SUMIFS($AU56:AU$1388,$P56:P$1388,"W")</f>
        <v>21443.841999999946</v>
      </c>
      <c r="BL55" s="343">
        <f>SUMIFS($AU56:AU$1388,$P56:P$1388,"W")</f>
        <v>21443.841999999946</v>
      </c>
      <c r="BM55" s="343">
        <f>SUMIFS($AU56:AU$134,$AQ56:AQ$134,"M")</f>
        <v>0</v>
      </c>
      <c r="BN55" s="343">
        <f>SUMIFS($AU56:AU$134,$AQ56:AQ$134,"M")</f>
        <v>0</v>
      </c>
      <c r="BO55" s="343">
        <f>SUMIFS($AU56:AU$134,$AQ56:AQ$134,"H")</f>
        <v>0</v>
      </c>
      <c r="BP55" s="343">
        <f>SUMIFS($AU58:AU$134,$AQ58:AQ$134,"D")</f>
        <v>400.6</v>
      </c>
      <c r="BQ55" s="343">
        <f>SUMIFS($AU56:AU$134,$Q56:Q$134,"O")</f>
        <v>-32.199999999993601</v>
      </c>
      <c r="BR55" s="343">
        <f>SUMIFS($AU56:AU$134,$AA56:AA$134,"*")</f>
        <v>1186.3000000000065</v>
      </c>
      <c r="BS55" s="343">
        <f>SUMIFS($AU56:AU$134,$AA56:AA$134,"*")</f>
        <v>1186.3000000000065</v>
      </c>
      <c r="BT55" s="343">
        <f>SUMIFS($AU56:AU$134,$AB56:AB$134,"*")</f>
        <v>176</v>
      </c>
      <c r="BU55" s="343">
        <f>SUMIFS($AU56:AU$134,$AA56:AA$134,"*",$AB56:AB$134,"*")</f>
        <v>176</v>
      </c>
      <c r="BV55" s="343">
        <f>SUMIFS($AU56:AU$134,$AA56:AA$134,"*",$AB56:AB$134,"*")</f>
        <v>176</v>
      </c>
      <c r="BW55" s="343">
        <f>SUMIFS($AU56:AU$134,$AA56:AA$134,"*",$AC56:AC$134,"*")</f>
        <v>1011.1</v>
      </c>
      <c r="BX55" s="343">
        <f>SUMIFS($AU56:AU$1388,$Q56:Q$1388,"F")</f>
        <v>14775.466666666669</v>
      </c>
      <c r="BY55" s="343">
        <f>SUMIFS($AU56:AU$1388,$Q56:Q$1388,"S")</f>
        <v>21831.24200000002</v>
      </c>
      <c r="BZ55" s="343">
        <f>SUMIFS($AU56:AU$1388,$Q56:Q$1388,"O")</f>
        <v>-1681.0579999997917</v>
      </c>
    </row>
    <row r="56" spans="1:78" ht="18" customHeight="1">
      <c r="A56" s="221" t="s">
        <v>347</v>
      </c>
      <c r="B56" s="177">
        <v>44872</v>
      </c>
      <c r="C56" s="178" t="s">
        <v>389</v>
      </c>
      <c r="D56" s="178" t="s">
        <v>132</v>
      </c>
      <c r="E56" s="227"/>
      <c r="F56" s="180"/>
      <c r="G56" s="181" t="s">
        <v>181</v>
      </c>
      <c r="H56" s="182"/>
      <c r="I56" s="182"/>
      <c r="J56" s="182"/>
      <c r="K56" s="183"/>
      <c r="L56" s="182">
        <v>1</v>
      </c>
      <c r="M56" s="182"/>
      <c r="N56" s="182"/>
      <c r="O56" s="183" t="s">
        <v>95</v>
      </c>
      <c r="P56" s="183" t="s">
        <v>137</v>
      </c>
      <c r="Q56" s="183" t="s">
        <v>97</v>
      </c>
      <c r="R56" s="183">
        <v>1</v>
      </c>
      <c r="S56" s="183">
        <v>1</v>
      </c>
      <c r="T56" s="183">
        <v>1</v>
      </c>
      <c r="U56" s="183" t="s">
        <v>97</v>
      </c>
      <c r="V56" s="183"/>
      <c r="W56" s="183"/>
      <c r="X56" s="183"/>
      <c r="Y56" s="184">
        <f t="shared" si="25"/>
        <v>0.01</v>
      </c>
      <c r="Z56" s="184">
        <f>IF(ISBLANK(O56),,IF(O56=UPPER("IB"),8.63*200,15.5*100))</f>
        <v>1550</v>
      </c>
      <c r="AA56" s="185" t="s">
        <v>138</v>
      </c>
      <c r="AB56" s="185"/>
      <c r="AC56" s="185" t="s">
        <v>99</v>
      </c>
      <c r="AD56" s="649">
        <v>-0.04</v>
      </c>
      <c r="AE56" s="182"/>
      <c r="AF56" s="332"/>
      <c r="AG56" s="182"/>
      <c r="AH56" s="182">
        <v>-0.05</v>
      </c>
      <c r="AI56" s="182"/>
      <c r="AJ56" s="640"/>
      <c r="AK56" s="182"/>
      <c r="AL56" s="496">
        <f t="shared" si="26"/>
        <v>-46.5</v>
      </c>
      <c r="AM56" s="496">
        <f t="shared" si="27"/>
        <v>-46.5</v>
      </c>
      <c r="AN56" s="626"/>
      <c r="AO56" s="182"/>
      <c r="AP56" s="182"/>
      <c r="AQ56" s="332" t="str">
        <f>UPPER(RIGHT(Journal_Live[[#This Row],[DURATION ]]))</f>
        <v/>
      </c>
      <c r="AR56" s="229">
        <v>0.91666666666666663</v>
      </c>
      <c r="AS56" s="189">
        <v>-0.05</v>
      </c>
      <c r="AT56" s="189">
        <f t="shared" si="28"/>
        <v>1.0000000000000002E-2</v>
      </c>
      <c r="AU56" s="187">
        <f t="shared" si="29"/>
        <v>15.500000000000004</v>
      </c>
      <c r="AV56" s="190">
        <f t="shared" si="30"/>
        <v>15.500000000000004</v>
      </c>
      <c r="AW56" s="191" t="s">
        <v>96</v>
      </c>
      <c r="AX56" s="407" t="s">
        <v>390</v>
      </c>
      <c r="AY56" s="407"/>
      <c r="AZ56" s="407"/>
      <c r="BA56" s="407"/>
      <c r="BB56" s="407"/>
      <c r="BC56" s="407"/>
      <c r="BD56" s="407"/>
      <c r="BE56" s="407"/>
      <c r="BF56" s="422"/>
      <c r="BG56" s="391">
        <f>SUM($AV$4:AV56)</f>
        <v>252.4199999999999</v>
      </c>
      <c r="BH56" s="392">
        <f>SUM($AU$4:AU56)</f>
        <v>366.76999999999992</v>
      </c>
      <c r="BI56" s="318"/>
      <c r="BJ56" s="318">
        <f>SUMIFS($AU57:AU$1388,$Q57:Q$1388,"F")</f>
        <v>14775.466666666669</v>
      </c>
      <c r="BK56" s="343">
        <f>SUMIFS($AU57:AU$1388,$P57:P$1388,"W")</f>
        <v>21443.841999999946</v>
      </c>
      <c r="BL56" s="343">
        <f>SUMIFS($AU57:AU$1388,$P57:P$1388,"W")</f>
        <v>21443.841999999946</v>
      </c>
      <c r="BM56" s="343">
        <f>SUMIFS($AU57:AU$134,$AQ57:AQ$134,"M")</f>
        <v>0</v>
      </c>
      <c r="BN56" s="343">
        <f>SUMIFS($AU57:AU$134,$AQ57:AQ$134,"M")</f>
        <v>0</v>
      </c>
      <c r="BO56" s="343">
        <f>SUMIFS($AU57:AU$134,$AQ57:AQ$134,"H")</f>
        <v>0</v>
      </c>
      <c r="BP56" s="343">
        <f>SUMIFS($AU59:AU$134,$AQ59:AQ$134,"D")</f>
        <v>400.6</v>
      </c>
      <c r="BQ56" s="343">
        <f>SUMIFS($AU57:AU$134,$Q57:Q$134,"O")</f>
        <v>-32.199999999993601</v>
      </c>
      <c r="BR56" s="343">
        <f>SUMIFS($AU57:AU$134,$AA57:AA$134,"*")</f>
        <v>1170.8000000000065</v>
      </c>
      <c r="BS56" s="343">
        <f>SUMIFS($AU57:AU$134,$AA57:AA$134,"*")</f>
        <v>1170.8000000000065</v>
      </c>
      <c r="BT56" s="343">
        <f>SUMIFS($AU57:AU$134,$AB57:AB$134,"*")</f>
        <v>176</v>
      </c>
      <c r="BU56" s="343">
        <f>SUMIFS($AU57:AU$134,$AA57:AA$134,"*",$AB57:AB$134,"*")</f>
        <v>176</v>
      </c>
      <c r="BV56" s="343">
        <f>SUMIFS($AU57:AU$134,$AA57:AA$134,"*",$AB57:AB$134,"*")</f>
        <v>176</v>
      </c>
      <c r="BW56" s="343">
        <f>SUMIFS($AU57:AU$134,$AA57:AA$134,"*",$AC57:AC$134,"*")</f>
        <v>995.6</v>
      </c>
      <c r="BX56" s="343">
        <f>SUMIFS($AU57:AU$1388,$Q57:Q$1388,"F")</f>
        <v>14775.466666666669</v>
      </c>
      <c r="BY56" s="343">
        <f>SUMIFS($AU57:AU$1388,$Q57:Q$1388,"S")</f>
        <v>21815.74200000002</v>
      </c>
      <c r="BZ56" s="343">
        <f>SUMIFS($AU57:AU$1388,$Q57:Q$1388,"O")</f>
        <v>-1681.0579999997917</v>
      </c>
    </row>
    <row r="57" spans="1:78" ht="18" customHeight="1">
      <c r="A57" s="221" t="s">
        <v>347</v>
      </c>
      <c r="B57" s="177">
        <v>44872</v>
      </c>
      <c r="C57" s="178" t="s">
        <v>391</v>
      </c>
      <c r="D57" s="178"/>
      <c r="E57" s="227"/>
      <c r="F57" s="180"/>
      <c r="G57" s="181" t="s">
        <v>392</v>
      </c>
      <c r="H57" s="182"/>
      <c r="I57" s="182"/>
      <c r="J57" s="182"/>
      <c r="K57" s="183"/>
      <c r="L57" s="182">
        <v>1</v>
      </c>
      <c r="M57" s="182"/>
      <c r="N57" s="182"/>
      <c r="O57" s="183" t="s">
        <v>95</v>
      </c>
      <c r="P57" s="183" t="s">
        <v>96</v>
      </c>
      <c r="Q57" s="183" t="s">
        <v>97</v>
      </c>
      <c r="R57" s="183">
        <v>1</v>
      </c>
      <c r="S57" s="183">
        <v>1</v>
      </c>
      <c r="T57" s="183">
        <v>1</v>
      </c>
      <c r="U57" s="183" t="s">
        <v>22</v>
      </c>
      <c r="V57" s="183"/>
      <c r="W57" s="183"/>
      <c r="X57" s="183"/>
      <c r="Y57" s="184">
        <f t="shared" si="25"/>
        <v>0.01</v>
      </c>
      <c r="Z57" s="184">
        <f>IF(ISBLANK(O57),,IF(O57=UPPER("IB"),8.63*200,15.5*100))</f>
        <v>1550</v>
      </c>
      <c r="AA57" s="185"/>
      <c r="AB57" s="185"/>
      <c r="AC57" s="185" t="s">
        <v>393</v>
      </c>
      <c r="AD57" s="649">
        <v>95.71</v>
      </c>
      <c r="AE57" s="182"/>
      <c r="AF57" s="332"/>
      <c r="AG57" s="182"/>
      <c r="AH57" s="182"/>
      <c r="AI57" s="182"/>
      <c r="AJ57" s="640"/>
      <c r="AK57" s="182"/>
      <c r="AL57" s="496">
        <f t="shared" si="26"/>
        <v>-46.5</v>
      </c>
      <c r="AM57" s="496">
        <f t="shared" si="27"/>
        <v>-46.5</v>
      </c>
      <c r="AN57" s="626"/>
      <c r="AO57" s="182"/>
      <c r="AP57" s="182" t="s">
        <v>394</v>
      </c>
      <c r="AQ57" s="332" t="str">
        <f>UPPER(RIGHT(Journal_Live[[#This Row],[DURATION ]]))</f>
        <v>S</v>
      </c>
      <c r="AR57" s="182"/>
      <c r="AS57" s="189">
        <v>95.68</v>
      </c>
      <c r="AT57" s="189">
        <f t="shared" si="28"/>
        <v>-2.9999999999986926E-2</v>
      </c>
      <c r="AU57" s="187">
        <f t="shared" si="29"/>
        <v>-46.499999999979735</v>
      </c>
      <c r="AV57" s="190">
        <f t="shared" si="30"/>
        <v>-46.499999999979735</v>
      </c>
      <c r="AW57" s="191" t="s">
        <v>229</v>
      </c>
      <c r="AX57" s="407" t="s">
        <v>395</v>
      </c>
      <c r="AY57" s="407" t="s">
        <v>396</v>
      </c>
      <c r="AZ57" s="407" t="s">
        <v>397</v>
      </c>
      <c r="BA57" s="407"/>
      <c r="BB57" s="407"/>
      <c r="BC57" s="407"/>
      <c r="BD57" s="407" t="s">
        <v>398</v>
      </c>
      <c r="BE57" s="407" t="s">
        <v>399</v>
      </c>
      <c r="BF57" s="422"/>
      <c r="BG57" s="391">
        <f>SUM($AV$4:AV57)</f>
        <v>205.92000000002017</v>
      </c>
      <c r="BH57" s="392">
        <f>SUM($AU$4:AU57)</f>
        <v>320.27000000002022</v>
      </c>
      <c r="BI57" s="318"/>
      <c r="BJ57" s="318">
        <f>SUMIFS($AU58:AU$1388,$Q58:Q$1388,"F")</f>
        <v>14775.466666666669</v>
      </c>
      <c r="BK57" s="343">
        <f>SUMIFS($AU58:AU$1388,$P58:P$1388,"W")</f>
        <v>21490.341999999924</v>
      </c>
      <c r="BL57" s="343">
        <f>SUMIFS($AU58:AU$1388,$P58:P$1388,"W")</f>
        <v>21490.341999999924</v>
      </c>
      <c r="BM57" s="343">
        <f>SUMIFS($AU58:AU$134,$AQ58:AQ$134,"M")</f>
        <v>0</v>
      </c>
      <c r="BN57" s="343">
        <f>SUMIFS($AU58:AU$134,$AQ58:AQ$134,"M")</f>
        <v>0</v>
      </c>
      <c r="BO57" s="343">
        <f>SUMIFS($AU58:AU$134,$AQ58:AQ$134,"H")</f>
        <v>0</v>
      </c>
      <c r="BP57" s="343">
        <f>SUMIFS($AU60:AU$134,$AQ60:AQ$134,"D")</f>
        <v>400.6</v>
      </c>
      <c r="BQ57" s="343">
        <f>SUMIFS($AU58:AU$134,$Q58:Q$134,"O")</f>
        <v>-32.199999999993601</v>
      </c>
      <c r="BR57" s="343">
        <f>SUMIFS($AU58:AU$134,$AA58:AA$134,"*")</f>
        <v>1170.8000000000065</v>
      </c>
      <c r="BS57" s="343">
        <f>SUMIFS($AU58:AU$134,$AA58:AA$134,"*")</f>
        <v>1170.8000000000065</v>
      </c>
      <c r="BT57" s="343">
        <f>SUMIFS($AU58:AU$134,$AB58:AB$134,"*")</f>
        <v>176</v>
      </c>
      <c r="BU57" s="343">
        <f>SUMIFS($AU58:AU$134,$AA58:AA$134,"*",$AB58:AB$134,"*")</f>
        <v>176</v>
      </c>
      <c r="BV57" s="343">
        <f>SUMIFS($AU58:AU$134,$AA58:AA$134,"*",$AB58:AB$134,"*")</f>
        <v>176</v>
      </c>
      <c r="BW57" s="343">
        <f>SUMIFS($AU58:AU$134,$AA58:AA$134,"*",$AC58:AC$134,"*")</f>
        <v>995.6</v>
      </c>
      <c r="BX57" s="343">
        <f>SUMIFS($AU58:AU$1388,$Q58:Q$1388,"F")</f>
        <v>14775.466666666669</v>
      </c>
      <c r="BY57" s="343">
        <f>SUMIFS($AU58:AU$1388,$Q58:Q$1388,"S")</f>
        <v>21862.242000000002</v>
      </c>
      <c r="BZ57" s="343">
        <f>SUMIFS($AU58:AU$1388,$Q58:Q$1388,"O")</f>
        <v>-1681.0579999997917</v>
      </c>
    </row>
    <row r="58" spans="1:78" ht="18" customHeight="1">
      <c r="A58" s="221" t="s">
        <v>347</v>
      </c>
      <c r="B58" s="177">
        <v>44873</v>
      </c>
      <c r="C58" s="178" t="s">
        <v>400</v>
      </c>
      <c r="D58" s="178" t="s">
        <v>146</v>
      </c>
      <c r="E58" s="227"/>
      <c r="F58" s="180"/>
      <c r="G58" s="181" t="s">
        <v>280</v>
      </c>
      <c r="H58" s="182"/>
      <c r="I58" s="182"/>
      <c r="J58" s="182"/>
      <c r="K58" s="183"/>
      <c r="L58" s="182"/>
      <c r="M58" s="182"/>
      <c r="N58" s="182"/>
      <c r="O58" s="183" t="s">
        <v>95</v>
      </c>
      <c r="P58" s="183" t="s">
        <v>137</v>
      </c>
      <c r="Q58" s="183" t="s">
        <v>97</v>
      </c>
      <c r="R58" s="183">
        <v>2</v>
      </c>
      <c r="S58" s="183">
        <v>2</v>
      </c>
      <c r="T58" s="183">
        <v>2</v>
      </c>
      <c r="U58" s="183" t="s">
        <v>22</v>
      </c>
      <c r="V58" s="183"/>
      <c r="W58" s="183"/>
      <c r="X58" s="183"/>
      <c r="Y58" s="184">
        <f t="shared" si="25"/>
        <v>0.01</v>
      </c>
      <c r="Z58" s="184">
        <f>IF(ISBLANK(O58),,IF(O58=UPPER("IB"),8.63*200,15.6*100))</f>
        <v>1560</v>
      </c>
      <c r="AA58" s="185" t="s">
        <v>366</v>
      </c>
      <c r="AB58" s="185"/>
      <c r="AC58" s="185" t="s">
        <v>99</v>
      </c>
      <c r="AD58" s="649">
        <v>-0.06</v>
      </c>
      <c r="AE58" s="182"/>
      <c r="AF58" s="332"/>
      <c r="AG58" s="182"/>
      <c r="AH58" s="182">
        <v>-0.05</v>
      </c>
      <c r="AI58" s="182"/>
      <c r="AJ58" s="640" t="s">
        <v>367</v>
      </c>
      <c r="AK58" s="182"/>
      <c r="AL58" s="496">
        <f t="shared" ref="AL58:AL60" si="31">-0.02*Z58</f>
        <v>-31.2</v>
      </c>
      <c r="AM58" s="496">
        <f t="shared" si="27"/>
        <v>-62.4</v>
      </c>
      <c r="AN58" s="626"/>
      <c r="AO58" s="182"/>
      <c r="AP58" s="182"/>
      <c r="AQ58" s="332" t="str">
        <f>UPPER(RIGHT(Journal_Live[[#This Row],[DURATION ]]))</f>
        <v/>
      </c>
      <c r="AR58" s="182" t="s">
        <v>401</v>
      </c>
      <c r="AS58" s="189">
        <v>-0.06</v>
      </c>
      <c r="AT58" s="189">
        <f t="shared" si="28"/>
        <v>0</v>
      </c>
      <c r="AU58" s="187">
        <f t="shared" si="29"/>
        <v>0</v>
      </c>
      <c r="AV58" s="190">
        <f t="shared" si="30"/>
        <v>0</v>
      </c>
      <c r="AW58" s="191" t="s">
        <v>115</v>
      </c>
      <c r="AX58" s="407" t="s">
        <v>402</v>
      </c>
      <c r="AY58" s="407"/>
      <c r="AZ58" s="407"/>
      <c r="BA58" s="407"/>
      <c r="BB58" s="407"/>
      <c r="BC58" s="407"/>
      <c r="BD58" s="407"/>
      <c r="BE58" s="407"/>
      <c r="BF58" s="422"/>
      <c r="BG58" s="391">
        <f>SUM($AV$4:AV58)</f>
        <v>205.92000000002017</v>
      </c>
      <c r="BH58" s="392">
        <f>SUM($AU$4:AU58)</f>
        <v>320.27000000002022</v>
      </c>
      <c r="BI58" s="318"/>
      <c r="BJ58" s="318">
        <f>SUMIFS($AU59:AU$1388,$Q59:Q$1388,"F")</f>
        <v>14775.466666666669</v>
      </c>
      <c r="BK58" s="343">
        <f>SUMIFS($AU59:AU$1388,$P59:P$1388,"W")</f>
        <v>21490.341999999924</v>
      </c>
      <c r="BL58" s="343">
        <f>SUMIFS($AU59:AU$1388,$P59:P$1388,"W")</f>
        <v>21490.341999999924</v>
      </c>
      <c r="BM58" s="343">
        <f>SUMIFS($AU59:AU$134,$AQ59:AQ$134,"M")</f>
        <v>0</v>
      </c>
      <c r="BN58" s="343">
        <f>SUMIFS($AU59:AU$134,$AQ59:AQ$134,"M")</f>
        <v>0</v>
      </c>
      <c r="BO58" s="343">
        <f>SUMIFS($AU59:AU$134,$AQ59:AQ$134,"H")</f>
        <v>0</v>
      </c>
      <c r="BP58" s="343">
        <f>SUMIFS($AU61:AU$134,$AQ61:AQ$134,"D")</f>
        <v>400.6</v>
      </c>
      <c r="BQ58" s="343">
        <f>SUMIFS($AU59:AU$134,$Q59:Q$134,"O")</f>
        <v>-32.199999999993601</v>
      </c>
      <c r="BR58" s="343">
        <f>SUMIFS($AU59:AU$134,$AA59:AA$134,"*")</f>
        <v>1170.8000000000065</v>
      </c>
      <c r="BS58" s="343">
        <f>SUMIFS($AU59:AU$134,$AA59:AA$134,"*")</f>
        <v>1170.8000000000065</v>
      </c>
      <c r="BT58" s="343">
        <f>SUMIFS($AU59:AU$134,$AB59:AB$134,"*")</f>
        <v>176</v>
      </c>
      <c r="BU58" s="343">
        <f>SUMIFS($AU59:AU$134,$AA59:AA$134,"*",$AB59:AB$134,"*")</f>
        <v>176</v>
      </c>
      <c r="BV58" s="343">
        <f>SUMIFS($AU59:AU$134,$AA59:AA$134,"*",$AB59:AB$134,"*")</f>
        <v>176</v>
      </c>
      <c r="BW58" s="343">
        <f>SUMIFS($AU59:AU$134,$AA59:AA$134,"*",$AC59:AC$134,"*")</f>
        <v>995.6</v>
      </c>
      <c r="BX58" s="343">
        <f>SUMIFS($AU59:AU$1388,$Q59:Q$1388,"F")</f>
        <v>14775.466666666669</v>
      </c>
      <c r="BY58" s="343">
        <f>SUMIFS($AU59:AU$1388,$Q59:Q$1388,"S")</f>
        <v>21862.242000000002</v>
      </c>
      <c r="BZ58" s="343">
        <f>SUMIFS($AU59:AU$1388,$Q59:Q$1388,"O")</f>
        <v>-1681.0579999997917</v>
      </c>
    </row>
    <row r="59" spans="1:78" ht="18" customHeight="1">
      <c r="A59" s="221" t="s">
        <v>347</v>
      </c>
      <c r="B59" s="177">
        <v>44873</v>
      </c>
      <c r="C59" s="178" t="s">
        <v>403</v>
      </c>
      <c r="D59" s="178" t="s">
        <v>146</v>
      </c>
      <c r="E59" s="227"/>
      <c r="F59" s="180"/>
      <c r="G59" s="181" t="s">
        <v>365</v>
      </c>
      <c r="H59" s="182"/>
      <c r="I59" s="182"/>
      <c r="J59" s="182"/>
      <c r="K59" s="183"/>
      <c r="L59" s="182"/>
      <c r="M59" s="182"/>
      <c r="N59" s="182"/>
      <c r="O59" s="183" t="s">
        <v>95</v>
      </c>
      <c r="P59" s="183" t="s">
        <v>137</v>
      </c>
      <c r="Q59" s="183" t="s">
        <v>97</v>
      </c>
      <c r="R59" s="183">
        <v>2</v>
      </c>
      <c r="S59" s="183">
        <v>2</v>
      </c>
      <c r="T59" s="183">
        <v>2</v>
      </c>
      <c r="U59" s="183" t="s">
        <v>97</v>
      </c>
      <c r="V59" s="183"/>
      <c r="W59" s="183"/>
      <c r="X59" s="183"/>
      <c r="Y59" s="184">
        <f t="shared" si="25"/>
        <v>0.01</v>
      </c>
      <c r="Z59" s="184">
        <f>IF(ISBLANK(O59),,IF(O59=UPPER("IB"),8.63*200,15.15*100))</f>
        <v>1515</v>
      </c>
      <c r="AA59" s="185" t="s">
        <v>404</v>
      </c>
      <c r="AB59" s="185"/>
      <c r="AC59" s="185"/>
      <c r="AD59" s="649">
        <v>-0.03</v>
      </c>
      <c r="AE59" s="182"/>
      <c r="AF59" s="332"/>
      <c r="AG59" s="182"/>
      <c r="AH59" s="182" t="s">
        <v>405</v>
      </c>
      <c r="AI59" s="182"/>
      <c r="AJ59" s="640" t="s">
        <v>406</v>
      </c>
      <c r="AK59" s="182"/>
      <c r="AL59" s="496">
        <f t="shared" si="31"/>
        <v>-30.3</v>
      </c>
      <c r="AM59" s="496">
        <f t="shared" si="27"/>
        <v>-60.6</v>
      </c>
      <c r="AN59" s="626"/>
      <c r="AO59" s="182"/>
      <c r="AP59" s="182"/>
      <c r="AQ59" s="332" t="str">
        <f>UPPER(RIGHT(Journal_Live[[#This Row],[DURATION ]]))</f>
        <v/>
      </c>
      <c r="AR59" s="182"/>
      <c r="AS59" s="189">
        <v>-0.03</v>
      </c>
      <c r="AT59" s="189">
        <f t="shared" si="28"/>
        <v>0</v>
      </c>
      <c r="AU59" s="187">
        <f t="shared" si="29"/>
        <v>0</v>
      </c>
      <c r="AV59" s="190">
        <f t="shared" si="30"/>
        <v>0</v>
      </c>
      <c r="AW59" s="191" t="s">
        <v>115</v>
      </c>
      <c r="AX59" s="407" t="s">
        <v>407</v>
      </c>
      <c r="AY59" s="407" t="s">
        <v>408</v>
      </c>
      <c r="AZ59" s="407"/>
      <c r="BA59" s="407" t="s">
        <v>409</v>
      </c>
      <c r="BB59" s="407"/>
      <c r="BC59" s="407"/>
      <c r="BD59" s="407"/>
      <c r="BE59" s="407"/>
      <c r="BF59" s="422"/>
      <c r="BG59" s="391">
        <f>SUM($AV$4:AV59)</f>
        <v>205.92000000002017</v>
      </c>
      <c r="BH59" s="392">
        <f>SUM($AU$4:AU59)</f>
        <v>320.27000000002022</v>
      </c>
      <c r="BI59" s="318"/>
      <c r="BJ59" s="318">
        <f>SUMIFS($AU60:AU$1388,$Q60:Q$1388,"F")</f>
        <v>14775.466666666669</v>
      </c>
      <c r="BK59" s="343">
        <f>SUMIFS($AU60:AU$1388,$P60:P$1388,"W")</f>
        <v>21490.341999999924</v>
      </c>
      <c r="BL59" s="343">
        <f>SUMIFS($AU60:AU$1388,$P60:P$1388,"W")</f>
        <v>21490.341999999924</v>
      </c>
      <c r="BM59" s="343">
        <f>SUMIFS($AU60:AU$134,$AQ60:AQ$134,"M")</f>
        <v>0</v>
      </c>
      <c r="BN59" s="343">
        <f>SUMIFS($AU60:AU$134,$AQ60:AQ$134,"M")</f>
        <v>0</v>
      </c>
      <c r="BO59" s="343">
        <f>SUMIFS($AU60:AU$134,$AQ60:AQ$134,"H")</f>
        <v>0</v>
      </c>
      <c r="BP59" s="343">
        <f>SUMIFS($AU62:AU$134,$AQ62:AQ$134,"D")</f>
        <v>400.6</v>
      </c>
      <c r="BQ59" s="343">
        <f>SUMIFS($AU60:AU$134,$Q60:Q$134,"O")</f>
        <v>-32.199999999993601</v>
      </c>
      <c r="BR59" s="343">
        <f>SUMIFS($AU60:AU$134,$AA60:AA$134,"*")</f>
        <v>1170.8000000000065</v>
      </c>
      <c r="BS59" s="343">
        <f>SUMIFS($AU60:AU$134,$AA60:AA$134,"*")</f>
        <v>1170.8000000000065</v>
      </c>
      <c r="BT59" s="343">
        <f>SUMIFS($AU60:AU$134,$AB60:AB$134,"*")</f>
        <v>176</v>
      </c>
      <c r="BU59" s="343">
        <f>SUMIFS($AU60:AU$134,$AA60:AA$134,"*",$AB60:AB$134,"*")</f>
        <v>176</v>
      </c>
      <c r="BV59" s="343">
        <f>SUMIFS($AU60:AU$134,$AA60:AA$134,"*",$AB60:AB$134,"*")</f>
        <v>176</v>
      </c>
      <c r="BW59" s="343">
        <f>SUMIFS($AU60:AU$134,$AA60:AA$134,"*",$AC60:AC$134,"*")</f>
        <v>995.6</v>
      </c>
      <c r="BX59" s="343">
        <f>SUMIFS($AU60:AU$1388,$Q60:Q$1388,"F")</f>
        <v>14775.466666666669</v>
      </c>
      <c r="BY59" s="343">
        <f>SUMIFS($AU60:AU$1388,$Q60:Q$1388,"S")</f>
        <v>21862.242000000002</v>
      </c>
      <c r="BZ59" s="343">
        <f>SUMIFS($AU60:AU$1388,$Q60:Q$1388,"O")</f>
        <v>-1681.0579999997917</v>
      </c>
    </row>
    <row r="60" spans="1:78" ht="18" customHeight="1">
      <c r="A60" s="221" t="s">
        <v>347</v>
      </c>
      <c r="B60" s="177">
        <v>44873</v>
      </c>
      <c r="C60" s="178" t="s">
        <v>410</v>
      </c>
      <c r="D60" s="178" t="s">
        <v>146</v>
      </c>
      <c r="E60" s="227"/>
      <c r="F60" s="180"/>
      <c r="G60" s="181" t="s">
        <v>280</v>
      </c>
      <c r="H60" s="182"/>
      <c r="I60" s="182"/>
      <c r="J60" s="182"/>
      <c r="K60" s="183"/>
      <c r="L60" s="182">
        <v>1</v>
      </c>
      <c r="M60" s="182"/>
      <c r="N60" s="182">
        <v>1</v>
      </c>
      <c r="O60" s="183" t="s">
        <v>95</v>
      </c>
      <c r="P60" s="183" t="s">
        <v>137</v>
      </c>
      <c r="Q60" s="183" t="s">
        <v>97</v>
      </c>
      <c r="R60" s="183">
        <v>1</v>
      </c>
      <c r="S60" s="183">
        <v>1</v>
      </c>
      <c r="T60" s="183">
        <v>1</v>
      </c>
      <c r="U60" s="183" t="s">
        <v>22</v>
      </c>
      <c r="V60" s="183"/>
      <c r="W60" s="183"/>
      <c r="X60" s="183"/>
      <c r="Y60" s="184">
        <f t="shared" si="25"/>
        <v>0.01</v>
      </c>
      <c r="Z60" s="184">
        <f>IF(ISBLANK(O60),,IF(O60=UPPER("IB"),8.63*200,15.6*100))</f>
        <v>1560</v>
      </c>
      <c r="AA60" s="185" t="s">
        <v>411</v>
      </c>
      <c r="AB60" s="185"/>
      <c r="AC60" s="185"/>
      <c r="AD60" s="649">
        <v>-7.0000000000000007E-2</v>
      </c>
      <c r="AE60" s="182"/>
      <c r="AF60" s="332"/>
      <c r="AG60" s="182"/>
      <c r="AH60" s="182">
        <v>5</v>
      </c>
      <c r="AI60" s="182"/>
      <c r="AJ60" s="640" t="s">
        <v>367</v>
      </c>
      <c r="AK60" s="182"/>
      <c r="AL60" s="496">
        <f t="shared" si="31"/>
        <v>-31.2</v>
      </c>
      <c r="AM60" s="496">
        <f t="shared" si="27"/>
        <v>-31.2</v>
      </c>
      <c r="AN60" s="626"/>
      <c r="AO60" s="182"/>
      <c r="AP60" s="182" t="s">
        <v>412</v>
      </c>
      <c r="AQ60" s="332" t="str">
        <f>UPPER(RIGHT(Journal_Live[[#This Row],[DURATION ]]))</f>
        <v>S</v>
      </c>
      <c r="AR60" s="182" t="s">
        <v>401</v>
      </c>
      <c r="AS60" s="189">
        <v>-0.06</v>
      </c>
      <c r="AT60" s="189">
        <f t="shared" si="28"/>
        <v>1.0000000000000009E-2</v>
      </c>
      <c r="AU60" s="187">
        <f t="shared" si="29"/>
        <v>15.600000000000014</v>
      </c>
      <c r="AV60" s="190">
        <f t="shared" si="30"/>
        <v>15.600000000000014</v>
      </c>
      <c r="AW60" s="191" t="s">
        <v>96</v>
      </c>
      <c r="AX60" s="407" t="s">
        <v>407</v>
      </c>
      <c r="AY60" s="407" t="s">
        <v>413</v>
      </c>
      <c r="AZ60" s="407"/>
      <c r="BA60" s="407"/>
      <c r="BB60" s="407"/>
      <c r="BC60" s="407"/>
      <c r="BD60" s="407" t="s">
        <v>414</v>
      </c>
      <c r="BE60" s="407"/>
      <c r="BF60" s="422"/>
      <c r="BG60" s="391">
        <f>SUM($AV$4:AV60)</f>
        <v>221.52000000002019</v>
      </c>
      <c r="BH60" s="392">
        <f>SUM($AU$4:AU60)</f>
        <v>335.87000000002024</v>
      </c>
      <c r="BI60" s="318"/>
      <c r="BJ60" s="318">
        <f>SUMIFS($AU61:AU$1388,$Q61:Q$1388,"F")</f>
        <v>14775.466666666669</v>
      </c>
      <c r="BK60" s="343">
        <f>SUMIFS($AU61:AU$1388,$P61:P$1388,"W")</f>
        <v>21490.341999999924</v>
      </c>
      <c r="BL60" s="343">
        <f>SUMIFS($AU61:AU$1388,$P61:P$1388,"W")</f>
        <v>21490.341999999924</v>
      </c>
      <c r="BM60" s="343">
        <f>SUMIFS($AU61:AU$134,$AQ61:AQ$134,"M")</f>
        <v>0</v>
      </c>
      <c r="BN60" s="343">
        <f>SUMIFS($AU61:AU$134,$AQ61:AQ$134,"M")</f>
        <v>0</v>
      </c>
      <c r="BO60" s="343">
        <f>SUMIFS($AU61:AU$134,$AQ61:AQ$134,"H")</f>
        <v>0</v>
      </c>
      <c r="BP60" s="343">
        <f>SUMIFS($AU63:AU$134,$AQ63:AQ$134,"D")</f>
        <v>400.6</v>
      </c>
      <c r="BQ60" s="343">
        <f>SUMIFS($AU61:AU$134,$Q61:Q$134,"O")</f>
        <v>-32.199999999993601</v>
      </c>
      <c r="BR60" s="343">
        <f>SUMIFS($AU61:AU$134,$AA61:AA$134,"*")</f>
        <v>1155.2000000000064</v>
      </c>
      <c r="BS60" s="343">
        <f>SUMIFS($AU61:AU$134,$AA61:AA$134,"*")</f>
        <v>1155.2000000000064</v>
      </c>
      <c r="BT60" s="343">
        <f>SUMIFS($AU61:AU$134,$AB61:AB$134,"*")</f>
        <v>176</v>
      </c>
      <c r="BU60" s="343">
        <f>SUMIFS($AU61:AU$134,$AA61:AA$134,"*",$AB61:AB$134,"*")</f>
        <v>176</v>
      </c>
      <c r="BV60" s="343">
        <f>SUMIFS($AU61:AU$134,$AA61:AA$134,"*",$AB61:AB$134,"*")</f>
        <v>176</v>
      </c>
      <c r="BW60" s="343">
        <f>SUMIFS($AU61:AU$134,$AA61:AA$134,"*",$AC61:AC$134,"*")</f>
        <v>995.6</v>
      </c>
      <c r="BX60" s="343">
        <f>SUMIFS($AU61:AU$1388,$Q61:Q$1388,"F")</f>
        <v>14775.466666666669</v>
      </c>
      <c r="BY60" s="343">
        <f>SUMIFS($AU61:AU$1388,$Q61:Q$1388,"S")</f>
        <v>21846.642</v>
      </c>
      <c r="BZ60" s="343">
        <f>SUMIFS($AU61:AU$1388,$Q61:Q$1388,"O")</f>
        <v>-1681.0579999997917</v>
      </c>
    </row>
    <row r="61" spans="1:78" ht="18" customHeight="1">
      <c r="A61" s="221" t="s">
        <v>347</v>
      </c>
      <c r="B61" s="177">
        <v>44873</v>
      </c>
      <c r="C61" s="178" t="s">
        <v>415</v>
      </c>
      <c r="D61" s="178" t="s">
        <v>146</v>
      </c>
      <c r="E61" s="227"/>
      <c r="F61" s="180"/>
      <c r="G61" s="199" t="s">
        <v>374</v>
      </c>
      <c r="H61" s="182"/>
      <c r="I61" s="182"/>
      <c r="J61" s="182"/>
      <c r="K61" s="183"/>
      <c r="L61" s="182">
        <v>1</v>
      </c>
      <c r="M61" s="182"/>
      <c r="N61" s="182">
        <v>1</v>
      </c>
      <c r="O61" s="183" t="s">
        <v>95</v>
      </c>
      <c r="P61" s="183" t="s">
        <v>96</v>
      </c>
      <c r="Q61" s="183" t="s">
        <v>97</v>
      </c>
      <c r="R61" s="183">
        <v>2</v>
      </c>
      <c r="S61" s="183">
        <v>2</v>
      </c>
      <c r="T61" s="183">
        <v>2</v>
      </c>
      <c r="U61" s="183" t="s">
        <v>97</v>
      </c>
      <c r="V61" s="183"/>
      <c r="W61" s="183"/>
      <c r="X61" s="183"/>
      <c r="Y61" s="184">
        <f t="shared" si="25"/>
        <v>0.01</v>
      </c>
      <c r="Z61" s="184">
        <f>IF(ISBLANK(O61),,IF(O61=UPPER("IB"),8.63*200,15.5*100))</f>
        <v>1550</v>
      </c>
      <c r="AA61" s="185" t="s">
        <v>416</v>
      </c>
      <c r="AB61" s="185"/>
      <c r="AC61" s="185"/>
      <c r="AD61" s="649">
        <v>0.02</v>
      </c>
      <c r="AE61" s="182"/>
      <c r="AF61" s="332"/>
      <c r="AG61" s="182"/>
      <c r="AH61" s="182" t="s">
        <v>417</v>
      </c>
      <c r="AI61" s="182"/>
      <c r="AJ61" s="640" t="s">
        <v>418</v>
      </c>
      <c r="AK61" s="182"/>
      <c r="AL61" s="496">
        <f t="shared" ref="AL61:AL62" si="32">-0.03*Z61</f>
        <v>-46.5</v>
      </c>
      <c r="AM61" s="496">
        <f t="shared" si="27"/>
        <v>-93</v>
      </c>
      <c r="AN61" s="626"/>
      <c r="AO61" s="182"/>
      <c r="AP61" s="182" t="s">
        <v>419</v>
      </c>
      <c r="AQ61" s="332" t="str">
        <f>UPPER(RIGHT(Journal_Live[[#This Row],[DURATION ]]))</f>
        <v>S</v>
      </c>
      <c r="AR61" s="182" t="s">
        <v>420</v>
      </c>
      <c r="AS61" s="189">
        <v>0.01</v>
      </c>
      <c r="AT61" s="189">
        <f t="shared" si="28"/>
        <v>0.01</v>
      </c>
      <c r="AU61" s="187">
        <f t="shared" si="29"/>
        <v>31</v>
      </c>
      <c r="AV61" s="190">
        <f t="shared" si="30"/>
        <v>15.5</v>
      </c>
      <c r="AW61" s="191" t="s">
        <v>96</v>
      </c>
      <c r="AX61" s="407" t="s">
        <v>407</v>
      </c>
      <c r="AY61" s="407" t="s">
        <v>408</v>
      </c>
      <c r="AZ61" s="407"/>
      <c r="BA61" s="407" t="s">
        <v>421</v>
      </c>
      <c r="BB61" s="407" t="s">
        <v>409</v>
      </c>
      <c r="BC61" s="407"/>
      <c r="BD61" s="407" t="s">
        <v>414</v>
      </c>
      <c r="BE61" s="407"/>
      <c r="BF61" s="422"/>
      <c r="BG61" s="391">
        <f>SUM($AV$4:AV61)</f>
        <v>237.02000000002019</v>
      </c>
      <c r="BH61" s="392">
        <f>SUM($AU$4:AU61)</f>
        <v>366.87000000002024</v>
      </c>
      <c r="BI61" s="318"/>
      <c r="BJ61" s="318">
        <f>SUMIFS($AU62:AU$1388,$Q62:Q$1388,"F")</f>
        <v>14775.466666666669</v>
      </c>
      <c r="BK61" s="343">
        <f>SUMIFS($AU62:AU$1388,$P62:P$1388,"W")</f>
        <v>21459.341999999924</v>
      </c>
      <c r="BL61" s="343">
        <f>SUMIFS($AU62:AU$1388,$P62:P$1388,"W")</f>
        <v>21459.341999999924</v>
      </c>
      <c r="BM61" s="343">
        <f>SUMIFS($AU62:AU$134,$AQ62:AQ$134,"M")</f>
        <v>0</v>
      </c>
      <c r="BN61" s="343">
        <f>SUMIFS($AU62:AU$134,$AQ62:AQ$134,"M")</f>
        <v>0</v>
      </c>
      <c r="BO61" s="343">
        <f>SUMIFS($AU62:AU$134,$AQ62:AQ$134,"H")</f>
        <v>0</v>
      </c>
      <c r="BP61" s="343">
        <f>SUMIFS($AU64:AU$134,$AQ64:AQ$134,"D")</f>
        <v>400.6</v>
      </c>
      <c r="BQ61" s="343">
        <f>SUMIFS($AU62:AU$134,$Q62:Q$134,"O")</f>
        <v>-32.199999999993601</v>
      </c>
      <c r="BR61" s="343">
        <f>SUMIFS($AU62:AU$134,$AA62:AA$134,"*")</f>
        <v>1124.2000000000064</v>
      </c>
      <c r="BS61" s="343">
        <f>SUMIFS($AU62:AU$134,$AA62:AA$134,"*")</f>
        <v>1124.2000000000064</v>
      </c>
      <c r="BT61" s="343">
        <f>SUMIFS($AU62:AU$134,$AB62:AB$134,"*")</f>
        <v>176</v>
      </c>
      <c r="BU61" s="343">
        <f>SUMIFS($AU62:AU$134,$AA62:AA$134,"*",$AB62:AB$134,"*")</f>
        <v>176</v>
      </c>
      <c r="BV61" s="343">
        <f>SUMIFS($AU62:AU$134,$AA62:AA$134,"*",$AB62:AB$134,"*")</f>
        <v>176</v>
      </c>
      <c r="BW61" s="343">
        <f>SUMIFS($AU62:AU$134,$AA62:AA$134,"*",$AC62:AC$134,"*")</f>
        <v>995.6</v>
      </c>
      <c r="BX61" s="343">
        <f>SUMIFS($AU62:AU$1388,$Q62:Q$1388,"F")</f>
        <v>14775.466666666669</v>
      </c>
      <c r="BY61" s="343">
        <f>SUMIFS($AU62:AU$1388,$Q62:Q$1388,"S")</f>
        <v>21815.642</v>
      </c>
      <c r="BZ61" s="343">
        <f>SUMIFS($AU62:AU$1388,$Q62:Q$1388,"O")</f>
        <v>-1681.0579999997917</v>
      </c>
    </row>
    <row r="62" spans="1:78" ht="18" customHeight="1">
      <c r="A62" s="221" t="s">
        <v>347</v>
      </c>
      <c r="B62" s="230">
        <v>44874</v>
      </c>
      <c r="C62" s="178" t="s">
        <v>422</v>
      </c>
      <c r="D62" s="178" t="s">
        <v>151</v>
      </c>
      <c r="E62" s="227"/>
      <c r="F62" s="180"/>
      <c r="G62" s="199" t="s">
        <v>423</v>
      </c>
      <c r="H62" s="182"/>
      <c r="I62" s="182"/>
      <c r="J62" s="182"/>
      <c r="K62" s="183"/>
      <c r="L62" s="182"/>
      <c r="M62" s="182">
        <v>1</v>
      </c>
      <c r="N62" s="182"/>
      <c r="O62" s="183" t="s">
        <v>95</v>
      </c>
      <c r="P62" s="183" t="s">
        <v>96</v>
      </c>
      <c r="Q62" s="231" t="s">
        <v>256</v>
      </c>
      <c r="R62" s="183">
        <v>1</v>
      </c>
      <c r="S62" s="183">
        <v>1</v>
      </c>
      <c r="T62" s="183">
        <v>1</v>
      </c>
      <c r="U62" s="183" t="s">
        <v>22</v>
      </c>
      <c r="V62" s="183"/>
      <c r="W62" s="183"/>
      <c r="X62" s="183"/>
      <c r="Y62" s="184">
        <f t="shared" si="25"/>
        <v>0.01</v>
      </c>
      <c r="Z62" s="184">
        <f>IF(ISBLANK(O62),,IF(O62=UPPER("IB"),8.63*200,16.2*100))</f>
        <v>1620</v>
      </c>
      <c r="AA62" s="185"/>
      <c r="AB62" s="185"/>
      <c r="AC62" s="185" t="s">
        <v>424</v>
      </c>
      <c r="AD62" s="649">
        <v>0.03</v>
      </c>
      <c r="AE62" s="182" t="s">
        <v>425</v>
      </c>
      <c r="AF62" s="332"/>
      <c r="AG62" s="182"/>
      <c r="AH62" s="182">
        <v>0.05</v>
      </c>
      <c r="AI62" s="182" t="s">
        <v>426</v>
      </c>
      <c r="AJ62" s="640"/>
      <c r="AK62" s="182"/>
      <c r="AL62" s="496">
        <f t="shared" si="32"/>
        <v>-48.6</v>
      </c>
      <c r="AM62" s="496">
        <f t="shared" si="27"/>
        <v>-48.6</v>
      </c>
      <c r="AN62" s="626" t="s">
        <v>427</v>
      </c>
      <c r="AO62" s="182"/>
      <c r="AP62" s="182" t="s">
        <v>428</v>
      </c>
      <c r="AQ62" s="332" t="str">
        <f>UPPER(RIGHT(Journal_Live[[#This Row],[DURATION ]]))</f>
        <v>K</v>
      </c>
      <c r="AR62" s="228">
        <v>44881.208333333336</v>
      </c>
      <c r="AS62" s="189">
        <v>0.04</v>
      </c>
      <c r="AT62" s="189">
        <f t="shared" si="28"/>
        <v>1.0000000000000002E-2</v>
      </c>
      <c r="AU62" s="187">
        <f t="shared" si="29"/>
        <v>16.200000000000003</v>
      </c>
      <c r="AV62" s="190">
        <f t="shared" si="30"/>
        <v>16.200000000000003</v>
      </c>
      <c r="AW62" s="191" t="s">
        <v>96</v>
      </c>
      <c r="AX62" s="407" t="s">
        <v>429</v>
      </c>
      <c r="AY62" s="407" t="s">
        <v>430</v>
      </c>
      <c r="AZ62" s="426" t="s">
        <v>431</v>
      </c>
      <c r="BA62" s="407"/>
      <c r="BB62" s="407"/>
      <c r="BC62" s="407"/>
      <c r="BD62" s="407" t="s">
        <v>432</v>
      </c>
      <c r="BE62" s="407" t="s">
        <v>433</v>
      </c>
      <c r="BF62" s="422"/>
      <c r="BG62" s="391">
        <f>SUM($AV$4:AV62)</f>
        <v>253.22000000002021</v>
      </c>
      <c r="BH62" s="392">
        <f>SUM($AU$4:AU62)</f>
        <v>383.07000000002023</v>
      </c>
      <c r="BI62" s="318"/>
      <c r="BJ62" s="318">
        <f>SUMIFS($AU63:AU$1388,$Q63:Q$1388,"F")</f>
        <v>14759.266666666668</v>
      </c>
      <c r="BK62" s="343">
        <f>SUMIFS($AU63:AU$1388,$P63:P$1388,"W")</f>
        <v>21443.141999999927</v>
      </c>
      <c r="BL62" s="343">
        <f>SUMIFS($AU63:AU$1388,$P63:P$1388,"W")</f>
        <v>21443.141999999927</v>
      </c>
      <c r="BM62" s="343">
        <f>SUMIFS($AU63:AU$134,$AQ63:AQ$134,"M")</f>
        <v>0</v>
      </c>
      <c r="BN62" s="343">
        <f>SUMIFS($AU63:AU$134,$AQ63:AQ$134,"M")</f>
        <v>0</v>
      </c>
      <c r="BO62" s="343">
        <f>SUMIFS($AU63:AU$134,$AQ63:AQ$134,"H")</f>
        <v>0</v>
      </c>
      <c r="BP62" s="343">
        <f>SUMIFS($AU65:AU$134,$AQ65:AQ$134,"D")</f>
        <v>400.6</v>
      </c>
      <c r="BQ62" s="343">
        <f>SUMIFS($AU63:AU$134,$Q63:Q$134,"O")</f>
        <v>-32.199999999993601</v>
      </c>
      <c r="BR62" s="343">
        <f>SUMIFS($AU63:AU$134,$AA63:AA$134,"*")</f>
        <v>1124.2000000000064</v>
      </c>
      <c r="BS62" s="343">
        <f>SUMIFS($AU63:AU$134,$AA63:AA$134,"*")</f>
        <v>1124.2000000000064</v>
      </c>
      <c r="BT62" s="343">
        <f>SUMIFS($AU63:AU$134,$AB63:AB$134,"*")</f>
        <v>176</v>
      </c>
      <c r="BU62" s="343">
        <f>SUMIFS($AU63:AU$134,$AA63:AA$134,"*",$AB63:AB$134,"*")</f>
        <v>176</v>
      </c>
      <c r="BV62" s="343">
        <f>SUMIFS($AU63:AU$134,$AA63:AA$134,"*",$AB63:AB$134,"*")</f>
        <v>176</v>
      </c>
      <c r="BW62" s="343">
        <f>SUMIFS($AU63:AU$134,$AA63:AA$134,"*",$AC63:AC$134,"*")</f>
        <v>995.6</v>
      </c>
      <c r="BX62" s="343">
        <f>SUMIFS($AU63:AU$1388,$Q63:Q$1388,"F")</f>
        <v>14759.266666666668</v>
      </c>
      <c r="BY62" s="343">
        <f>SUMIFS($AU63:AU$1388,$Q63:Q$1388,"S")</f>
        <v>21815.642</v>
      </c>
      <c r="BZ62" s="343">
        <f>SUMIFS($AU63:AU$1388,$Q63:Q$1388,"O")</f>
        <v>-1681.0579999997917</v>
      </c>
    </row>
    <row r="63" spans="1:78" ht="18" customHeight="1">
      <c r="A63" s="221" t="s">
        <v>347</v>
      </c>
      <c r="B63" s="177">
        <v>44875</v>
      </c>
      <c r="C63" s="178" t="s">
        <v>434</v>
      </c>
      <c r="D63" s="178" t="s">
        <v>93</v>
      </c>
      <c r="E63" s="227"/>
      <c r="F63" s="180"/>
      <c r="G63" s="181" t="s">
        <v>435</v>
      </c>
      <c r="H63" s="182"/>
      <c r="I63" s="182"/>
      <c r="J63" s="182"/>
      <c r="K63" s="183"/>
      <c r="L63" s="182"/>
      <c r="M63" s="182"/>
      <c r="N63" s="182">
        <v>1</v>
      </c>
      <c r="O63" s="183" t="s">
        <v>95</v>
      </c>
      <c r="P63" s="183" t="s">
        <v>96</v>
      </c>
      <c r="Q63" s="183" t="s">
        <v>97</v>
      </c>
      <c r="R63" s="183">
        <v>1</v>
      </c>
      <c r="S63" s="183">
        <v>1</v>
      </c>
      <c r="T63" s="183">
        <v>1</v>
      </c>
      <c r="U63" s="183" t="s">
        <v>22</v>
      </c>
      <c r="V63" s="183"/>
      <c r="W63" s="183"/>
      <c r="X63" s="183"/>
      <c r="Y63" s="184">
        <f t="shared" si="25"/>
        <v>0.01</v>
      </c>
      <c r="Z63" s="184">
        <f>IF(ISBLANK(O63),,IF(O63=UPPER("IB"),8.63*200,15.8*100))</f>
        <v>1580</v>
      </c>
      <c r="AA63" s="185" t="s">
        <v>436</v>
      </c>
      <c r="AB63" s="185"/>
      <c r="AC63" s="185"/>
      <c r="AD63" s="649">
        <v>0.26</v>
      </c>
      <c r="AE63" s="182" t="s">
        <v>437</v>
      </c>
      <c r="AF63" s="332">
        <v>0.23</v>
      </c>
      <c r="AG63" s="182" t="s">
        <v>438</v>
      </c>
      <c r="AH63" s="182" t="s">
        <v>439</v>
      </c>
      <c r="AI63" s="182" t="s">
        <v>440</v>
      </c>
      <c r="AJ63" s="640"/>
      <c r="AK63" s="182">
        <v>1</v>
      </c>
      <c r="AL63" s="496">
        <f>-0.04*Z63</f>
        <v>-63.2</v>
      </c>
      <c r="AM63" s="496">
        <f t="shared" si="27"/>
        <v>-63.2</v>
      </c>
      <c r="AN63" s="626" t="s">
        <v>441</v>
      </c>
      <c r="AO63" s="182"/>
      <c r="AP63" s="182"/>
      <c r="AQ63" s="332" t="str">
        <f>UPPER(RIGHT(Journal_Live[[#This Row],[DURATION ]]))</f>
        <v/>
      </c>
      <c r="AR63" s="182" t="s">
        <v>442</v>
      </c>
      <c r="AS63" s="189">
        <v>0.22</v>
      </c>
      <c r="AT63" s="189">
        <f t="shared" si="28"/>
        <v>-4.0000000000000008E-2</v>
      </c>
      <c r="AU63" s="187">
        <f t="shared" si="29"/>
        <v>-63.20000000000001</v>
      </c>
      <c r="AV63" s="190">
        <f t="shared" si="30"/>
        <v>-63.20000000000001</v>
      </c>
      <c r="AW63" s="191" t="s">
        <v>229</v>
      </c>
      <c r="AX63" s="407" t="s">
        <v>443</v>
      </c>
      <c r="AY63" s="407" t="s">
        <v>444</v>
      </c>
      <c r="AZ63" s="407"/>
      <c r="BA63" s="407"/>
      <c r="BB63" s="407"/>
      <c r="BC63" s="407"/>
      <c r="BD63" s="407" t="s">
        <v>445</v>
      </c>
      <c r="BE63" s="407"/>
      <c r="BF63" s="422"/>
      <c r="BG63" s="391">
        <f>SUM($AV$4:AV63)</f>
        <v>190.02000000002019</v>
      </c>
      <c r="BH63" s="392">
        <f>SUM($AU$4:AU63)</f>
        <v>319.87000000002024</v>
      </c>
      <c r="BI63" s="318"/>
      <c r="BJ63" s="318">
        <f>SUMIFS($AU64:AU$1388,$Q64:Q$1388,"F")</f>
        <v>14759.266666666668</v>
      </c>
      <c r="BK63" s="343">
        <f>SUMIFS($AU64:AU$1388,$P64:P$1388,"W")</f>
        <v>21506.341999999924</v>
      </c>
      <c r="BL63" s="343">
        <f>SUMIFS($AU64:AU$1388,$P64:P$1388,"W")</f>
        <v>21506.341999999924</v>
      </c>
      <c r="BM63" s="343">
        <f>SUMIFS($AU64:AU$134,$AQ64:AQ$134,"M")</f>
        <v>0</v>
      </c>
      <c r="BN63" s="343">
        <f>SUMIFS($AU64:AU$134,$AQ64:AQ$134,"M")</f>
        <v>0</v>
      </c>
      <c r="BO63" s="343">
        <f>SUMIFS($AU64:AU$134,$AQ64:AQ$134,"H")</f>
        <v>0</v>
      </c>
      <c r="BP63" s="343">
        <f>SUMIFS($AU66:AU$134,$AQ66:AQ$134,"D")</f>
        <v>400.6</v>
      </c>
      <c r="BQ63" s="343">
        <f>SUMIFS($AU64:AU$134,$Q64:Q$134,"O")</f>
        <v>-32.199999999993601</v>
      </c>
      <c r="BR63" s="343">
        <f>SUMIFS($AU64:AU$134,$AA64:AA$134,"*")</f>
        <v>1187.4000000000065</v>
      </c>
      <c r="BS63" s="343">
        <f>SUMIFS($AU64:AU$134,$AA64:AA$134,"*")</f>
        <v>1187.4000000000065</v>
      </c>
      <c r="BT63" s="343">
        <f>SUMIFS($AU64:AU$134,$AB64:AB$134,"*")</f>
        <v>176</v>
      </c>
      <c r="BU63" s="343">
        <f>SUMIFS($AU64:AU$134,$AA64:AA$134,"*",$AB64:AB$134,"*")</f>
        <v>176</v>
      </c>
      <c r="BV63" s="343">
        <f>SUMIFS($AU64:AU$134,$AA64:AA$134,"*",$AB64:AB$134,"*")</f>
        <v>176</v>
      </c>
      <c r="BW63" s="343">
        <f>SUMIFS($AU64:AU$134,$AA64:AA$134,"*",$AC64:AC$134,"*")</f>
        <v>995.6</v>
      </c>
      <c r="BX63" s="343">
        <f>SUMIFS($AU64:AU$1388,$Q64:Q$1388,"F")</f>
        <v>14759.266666666668</v>
      </c>
      <c r="BY63" s="343">
        <f>SUMIFS($AU64:AU$1388,$Q64:Q$1388,"S")</f>
        <v>21878.842000000001</v>
      </c>
      <c r="BZ63" s="343">
        <f>SUMIFS($AU64:AU$1388,$Q64:Q$1388,"O")</f>
        <v>-1681.0579999997917</v>
      </c>
    </row>
    <row r="64" spans="1:78" ht="18" customHeight="1">
      <c r="A64" s="221" t="s">
        <v>347</v>
      </c>
      <c r="B64" s="232">
        <v>44875</v>
      </c>
      <c r="C64" s="233" t="s">
        <v>446</v>
      </c>
      <c r="D64" s="178" t="s">
        <v>93</v>
      </c>
      <c r="E64" s="227"/>
      <c r="F64" s="180"/>
      <c r="G64" s="199" t="s">
        <v>423</v>
      </c>
      <c r="H64" s="182"/>
      <c r="I64" s="182"/>
      <c r="J64" s="182"/>
      <c r="K64" s="183"/>
      <c r="L64" s="182"/>
      <c r="M64" s="182">
        <v>1</v>
      </c>
      <c r="N64" s="182"/>
      <c r="O64" s="183" t="s">
        <v>95</v>
      </c>
      <c r="P64" s="183" t="s">
        <v>96</v>
      </c>
      <c r="Q64" s="183" t="s">
        <v>256</v>
      </c>
      <c r="R64" s="183">
        <v>1</v>
      </c>
      <c r="S64" s="183">
        <v>1</v>
      </c>
      <c r="T64" s="183">
        <v>1</v>
      </c>
      <c r="U64" s="183" t="s">
        <v>22</v>
      </c>
      <c r="V64" s="183"/>
      <c r="W64" s="183"/>
      <c r="X64" s="183"/>
      <c r="Y64" s="184">
        <f t="shared" si="25"/>
        <v>0.01</v>
      </c>
      <c r="Z64" s="184">
        <f>IF(ISBLANK(O64),,IF(O64=UPPER("IB"),8.63*200,16.1*100))</f>
        <v>1610.0000000000002</v>
      </c>
      <c r="AA64" s="185"/>
      <c r="AB64" s="185"/>
      <c r="AC64" s="185" t="s">
        <v>447</v>
      </c>
      <c r="AD64" s="649">
        <v>0.03</v>
      </c>
      <c r="AE64" s="182"/>
      <c r="AF64" s="332"/>
      <c r="AG64" s="182"/>
      <c r="AH64" s="182">
        <v>5</v>
      </c>
      <c r="AI64" s="182" t="s">
        <v>426</v>
      </c>
      <c r="AJ64" s="640"/>
      <c r="AK64" s="182"/>
      <c r="AL64" s="496">
        <f>-0.03*Z64</f>
        <v>-48.300000000000004</v>
      </c>
      <c r="AM64" s="496">
        <f t="shared" si="27"/>
        <v>-48.300000000000004</v>
      </c>
      <c r="AN64" s="626" t="s">
        <v>448</v>
      </c>
      <c r="AO64" s="182"/>
      <c r="AP64" s="182" t="s">
        <v>449</v>
      </c>
      <c r="AQ64" s="332" t="str">
        <f>UPPER(RIGHT(Journal_Live[[#This Row],[DURATION ]]))</f>
        <v>K</v>
      </c>
      <c r="AR64" s="182" t="s">
        <v>450</v>
      </c>
      <c r="AS64" s="189">
        <v>7.0000000000000007E-2</v>
      </c>
      <c r="AT64" s="189">
        <f t="shared" si="28"/>
        <v>4.0000000000000008E-2</v>
      </c>
      <c r="AU64" s="187">
        <f t="shared" si="29"/>
        <v>64.40000000000002</v>
      </c>
      <c r="AV64" s="190">
        <f t="shared" si="30"/>
        <v>64.40000000000002</v>
      </c>
      <c r="AW64" s="191" t="s">
        <v>96</v>
      </c>
      <c r="AX64" s="407" t="s">
        <v>430</v>
      </c>
      <c r="AY64" s="407" t="s">
        <v>451</v>
      </c>
      <c r="AZ64" s="407"/>
      <c r="BA64" s="407" t="s">
        <v>452</v>
      </c>
      <c r="BB64" s="407"/>
      <c r="BC64" s="407"/>
      <c r="BD64" s="409" t="s">
        <v>453</v>
      </c>
      <c r="BE64" s="407"/>
      <c r="BF64" s="422"/>
      <c r="BG64" s="391">
        <f>SUM($AV$4:AV64)</f>
        <v>254.4200000000202</v>
      </c>
      <c r="BH64" s="392">
        <f>SUM($AU$4:AU64)</f>
        <v>384.27000000002027</v>
      </c>
      <c r="BI64" s="318"/>
      <c r="BJ64" s="318">
        <f>SUMIFS($AU65:AU$1388,$Q65:Q$1388,"F")</f>
        <v>14694.866666666669</v>
      </c>
      <c r="BK64" s="343">
        <f>SUMIFS($AU65:AU$1388,$P65:P$1388,"W")</f>
        <v>21441.941999999926</v>
      </c>
      <c r="BL64" s="343">
        <f>SUMIFS($AU65:AU$1388,$P65:P$1388,"W")</f>
        <v>21441.941999999926</v>
      </c>
      <c r="BM64" s="343">
        <f>SUMIFS($AU65:AU$134,$AQ65:AQ$134,"M")</f>
        <v>0</v>
      </c>
      <c r="BN64" s="343">
        <f>SUMIFS($AU65:AU$134,$AQ65:AQ$134,"M")</f>
        <v>0</v>
      </c>
      <c r="BO64" s="343">
        <f>SUMIFS($AU65:AU$134,$AQ65:AQ$134,"H")</f>
        <v>0</v>
      </c>
      <c r="BP64" s="343">
        <f>SUMIFS($AU67:AU$134,$AQ67:AQ$134,"D")</f>
        <v>400.6</v>
      </c>
      <c r="BQ64" s="343">
        <f>SUMIFS($AU65:AU$134,$Q65:Q$134,"O")</f>
        <v>-32.199999999993601</v>
      </c>
      <c r="BR64" s="343">
        <f>SUMIFS($AU65:AU$134,$AA65:AA$134,"*")</f>
        <v>1187.4000000000065</v>
      </c>
      <c r="BS64" s="343">
        <f>SUMIFS($AU65:AU$134,$AA65:AA$134,"*")</f>
        <v>1187.4000000000065</v>
      </c>
      <c r="BT64" s="343">
        <f>SUMIFS($AU65:AU$134,$AB65:AB$134,"*")</f>
        <v>176</v>
      </c>
      <c r="BU64" s="343">
        <f>SUMIFS($AU65:AU$134,$AA65:AA$134,"*",$AB65:AB$134,"*")</f>
        <v>176</v>
      </c>
      <c r="BV64" s="343">
        <f>SUMIFS($AU65:AU$134,$AA65:AA$134,"*",$AB65:AB$134,"*")</f>
        <v>176</v>
      </c>
      <c r="BW64" s="343">
        <f>SUMIFS($AU65:AU$134,$AA65:AA$134,"*",$AC65:AC$134,"*")</f>
        <v>995.6</v>
      </c>
      <c r="BX64" s="343">
        <f>SUMIFS($AU65:AU$1388,$Q65:Q$1388,"F")</f>
        <v>14694.866666666669</v>
      </c>
      <c r="BY64" s="343">
        <f>SUMIFS($AU65:AU$1388,$Q65:Q$1388,"S")</f>
        <v>21878.842000000001</v>
      </c>
      <c r="BZ64" s="343">
        <f>SUMIFS($AU65:AU$1388,$Q65:Q$1388,"O")</f>
        <v>-1681.0579999997917</v>
      </c>
    </row>
    <row r="65" spans="1:78" ht="18" customHeight="1">
      <c r="A65" s="221" t="s">
        <v>347</v>
      </c>
      <c r="B65" s="232">
        <v>44875</v>
      </c>
      <c r="C65" s="194">
        <v>0.79166666666666663</v>
      </c>
      <c r="D65" s="178" t="s">
        <v>93</v>
      </c>
      <c r="E65" s="227" t="s">
        <v>454</v>
      </c>
      <c r="F65" s="234" t="s">
        <v>455</v>
      </c>
      <c r="G65" s="181"/>
      <c r="H65" s="182"/>
      <c r="I65" s="182"/>
      <c r="J65" s="182">
        <v>1</v>
      </c>
      <c r="K65" s="183" t="s">
        <v>115</v>
      </c>
      <c r="L65" s="182"/>
      <c r="M65" s="182"/>
      <c r="N65" s="182"/>
      <c r="O65" s="183"/>
      <c r="P65" s="183"/>
      <c r="Q65" s="183"/>
      <c r="R65" s="183"/>
      <c r="S65" s="183"/>
      <c r="T65" s="183"/>
      <c r="U65" s="183"/>
      <c r="V65" s="183"/>
      <c r="W65" s="183"/>
      <c r="X65" s="183"/>
      <c r="Y65" s="184"/>
      <c r="Z65" s="184"/>
      <c r="AA65" s="185"/>
      <c r="AB65" s="185"/>
      <c r="AC65" s="185"/>
      <c r="AD65" s="649"/>
      <c r="AE65" s="182"/>
      <c r="AF65" s="332"/>
      <c r="AG65" s="182"/>
      <c r="AH65" s="182"/>
      <c r="AI65" s="182"/>
      <c r="AJ65" s="640"/>
      <c r="AK65" s="182"/>
      <c r="AL65" s="496"/>
      <c r="AM65" s="497"/>
      <c r="AN65" s="626"/>
      <c r="AO65" s="182"/>
      <c r="AP65" s="182"/>
      <c r="AQ65" s="332" t="str">
        <f>UPPER(RIGHT(Journal_Live[[#This Row],[DURATION ]]))</f>
        <v/>
      </c>
      <c r="AR65" s="182"/>
      <c r="AS65" s="189"/>
      <c r="AT65" s="182"/>
      <c r="AU65" s="187"/>
      <c r="AV65" s="190"/>
      <c r="AW65" s="191"/>
      <c r="AX65" s="407"/>
      <c r="AY65" s="407"/>
      <c r="AZ65" s="407"/>
      <c r="BA65" s="407"/>
      <c r="BB65" s="407"/>
      <c r="BC65" s="407"/>
      <c r="BD65" s="407"/>
      <c r="BE65" s="407"/>
      <c r="BF65" s="422"/>
      <c r="BG65" s="391">
        <f>SUM($AV$4:AV65)</f>
        <v>254.4200000000202</v>
      </c>
      <c r="BH65" s="392">
        <f>SUM($AU$4:AU65)</f>
        <v>384.27000000002027</v>
      </c>
      <c r="BI65" s="318"/>
      <c r="BJ65" s="318">
        <f>SUMIFS($AU66:AU$1388,$Q66:Q$1388,"F")</f>
        <v>14694.866666666669</v>
      </c>
      <c r="BK65" s="343">
        <f>SUMIFS($AU66:AU$1388,$P66:P$1388,"W")</f>
        <v>21441.941999999926</v>
      </c>
      <c r="BL65" s="343">
        <f>SUMIFS($AU66:AU$1388,$P66:P$1388,"W")</f>
        <v>21441.941999999926</v>
      </c>
      <c r="BM65" s="343">
        <f>SUMIFS($AU66:AU$134,$AQ66:AQ$134,"M")</f>
        <v>0</v>
      </c>
      <c r="BN65" s="343">
        <f>SUMIFS($AU66:AU$134,$AQ66:AQ$134,"M")</f>
        <v>0</v>
      </c>
      <c r="BO65" s="343">
        <f>SUMIFS($AU66:AU$134,$AQ66:AQ$134,"H")</f>
        <v>0</v>
      </c>
      <c r="BP65" s="343">
        <f>SUMIFS($AU68:AU$134,$AQ68:AQ$134,"D")</f>
        <v>400.6</v>
      </c>
      <c r="BQ65" s="343">
        <f>SUMIFS($AU66:AU$134,$Q66:Q$134,"O")</f>
        <v>-32.199999999993601</v>
      </c>
      <c r="BR65" s="343">
        <f>SUMIFS($AU66:AU$134,$AA66:AA$134,"*")</f>
        <v>1187.4000000000065</v>
      </c>
      <c r="BS65" s="343">
        <f>SUMIFS($AU66:AU$134,$AA66:AA$134,"*")</f>
        <v>1187.4000000000065</v>
      </c>
      <c r="BT65" s="343">
        <f>SUMIFS($AU66:AU$134,$AB66:AB$134,"*")</f>
        <v>176</v>
      </c>
      <c r="BU65" s="343">
        <f>SUMIFS($AU66:AU$134,$AA66:AA$134,"*",$AB66:AB$134,"*")</f>
        <v>176</v>
      </c>
      <c r="BV65" s="343">
        <f>SUMIFS($AU66:AU$134,$AA66:AA$134,"*",$AB66:AB$134,"*")</f>
        <v>176</v>
      </c>
      <c r="BW65" s="343">
        <f>SUMIFS($AU66:AU$134,$AA66:AA$134,"*",$AC66:AC$134,"*")</f>
        <v>995.6</v>
      </c>
      <c r="BX65" s="343">
        <f>SUMIFS($AU66:AU$1388,$Q66:Q$1388,"F")</f>
        <v>14694.866666666669</v>
      </c>
      <c r="BY65" s="343">
        <f>SUMIFS($AU66:AU$1388,$Q66:Q$1388,"S")</f>
        <v>21878.842000000001</v>
      </c>
      <c r="BZ65" s="343">
        <f>SUMIFS($AU66:AU$1388,$Q66:Q$1388,"O")</f>
        <v>-1681.0579999997917</v>
      </c>
    </row>
    <row r="66" spans="1:78" ht="18" customHeight="1">
      <c r="A66" s="221" t="s">
        <v>347</v>
      </c>
      <c r="B66" s="235"/>
      <c r="C66" s="194"/>
      <c r="D66" s="178"/>
      <c r="E66" s="227" t="s">
        <v>456</v>
      </c>
      <c r="F66" s="180"/>
      <c r="G66" s="181"/>
      <c r="H66" s="182"/>
      <c r="I66" s="182"/>
      <c r="J66" s="182">
        <v>1</v>
      </c>
      <c r="K66" s="183" t="s">
        <v>115</v>
      </c>
      <c r="L66" s="182"/>
      <c r="M66" s="182"/>
      <c r="N66" s="182"/>
      <c r="O66" s="183"/>
      <c r="P66" s="183"/>
      <c r="Q66" s="183"/>
      <c r="R66" s="183"/>
      <c r="S66" s="183"/>
      <c r="T66" s="183"/>
      <c r="U66" s="183"/>
      <c r="V66" s="183"/>
      <c r="W66" s="183"/>
      <c r="X66" s="183"/>
      <c r="Y66" s="184"/>
      <c r="Z66" s="184"/>
      <c r="AA66" s="185"/>
      <c r="AB66" s="185"/>
      <c r="AC66" s="185"/>
      <c r="AD66" s="649"/>
      <c r="AE66" s="182"/>
      <c r="AF66" s="332"/>
      <c r="AG66" s="182"/>
      <c r="AH66" s="182"/>
      <c r="AI66" s="182"/>
      <c r="AJ66" s="640"/>
      <c r="AK66" s="182"/>
      <c r="AL66" s="496"/>
      <c r="AM66" s="497"/>
      <c r="AN66" s="626"/>
      <c r="AO66" s="182"/>
      <c r="AP66" s="182"/>
      <c r="AQ66" s="332" t="str">
        <f>UPPER(RIGHT(Journal_Live[[#This Row],[DURATION ]]))</f>
        <v/>
      </c>
      <c r="AR66" s="182"/>
      <c r="AS66" s="189"/>
      <c r="AT66" s="182"/>
      <c r="AU66" s="187"/>
      <c r="AV66" s="190"/>
      <c r="AW66" s="191"/>
      <c r="AX66" s="407"/>
      <c r="AY66" s="407"/>
      <c r="AZ66" s="407"/>
      <c r="BA66" s="407"/>
      <c r="BB66" s="407"/>
      <c r="BC66" s="407"/>
      <c r="BD66" s="407"/>
      <c r="BE66" s="407"/>
      <c r="BF66" s="422"/>
      <c r="BG66" s="391">
        <f>SUM($AV$4:AV66)</f>
        <v>254.4200000000202</v>
      </c>
      <c r="BH66" s="392">
        <f>SUM($AU$4:AU66)</f>
        <v>384.27000000002027</v>
      </c>
      <c r="BI66" s="318"/>
      <c r="BJ66" s="318">
        <f>SUMIFS($AU67:AU$1388,$Q67:Q$1388,"F")</f>
        <v>14694.866666666669</v>
      </c>
      <c r="BK66" s="343">
        <f>SUMIFS($AU67:AU$1388,$P67:P$1388,"W")</f>
        <v>21441.941999999926</v>
      </c>
      <c r="BL66" s="343">
        <f>SUMIFS($AU67:AU$1388,$P67:P$1388,"W")</f>
        <v>21441.941999999926</v>
      </c>
      <c r="BM66" s="343">
        <f>SUMIFS($AU67:AU$134,$AQ67:AQ$134,"M")</f>
        <v>0</v>
      </c>
      <c r="BN66" s="343">
        <f>SUMIFS($AU67:AU$134,$AQ67:AQ$134,"M")</f>
        <v>0</v>
      </c>
      <c r="BO66" s="343">
        <f>SUMIFS($AU67:AU$134,$AQ67:AQ$134,"H")</f>
        <v>0</v>
      </c>
      <c r="BP66" s="343">
        <f>SUMIFS($AU69:AU$134,$AQ69:AQ$134,"D")</f>
        <v>400.6</v>
      </c>
      <c r="BQ66" s="343">
        <f>SUMIFS($AU67:AU$134,$Q67:Q$134,"O")</f>
        <v>-32.199999999993601</v>
      </c>
      <c r="BR66" s="343">
        <f>SUMIFS($AU67:AU$134,$AA67:AA$134,"*")</f>
        <v>1187.4000000000065</v>
      </c>
      <c r="BS66" s="343">
        <f>SUMIFS($AU67:AU$134,$AA67:AA$134,"*")</f>
        <v>1187.4000000000065</v>
      </c>
      <c r="BT66" s="343">
        <f>SUMIFS($AU67:AU$134,$AB67:AB$134,"*")</f>
        <v>176</v>
      </c>
      <c r="BU66" s="343">
        <f>SUMIFS($AU67:AU$134,$AA67:AA$134,"*",$AB67:AB$134,"*")</f>
        <v>176</v>
      </c>
      <c r="BV66" s="343">
        <f>SUMIFS($AU67:AU$134,$AA67:AA$134,"*",$AB67:AB$134,"*")</f>
        <v>176</v>
      </c>
      <c r="BW66" s="343">
        <f>SUMIFS($AU67:AU$134,$AA67:AA$134,"*",$AC67:AC$134,"*")</f>
        <v>995.6</v>
      </c>
      <c r="BX66" s="343">
        <f>SUMIFS($AU67:AU$1388,$Q67:Q$1388,"F")</f>
        <v>14694.866666666669</v>
      </c>
      <c r="BY66" s="343">
        <f>SUMIFS($AU67:AU$1388,$Q67:Q$1388,"S")</f>
        <v>21878.842000000001</v>
      </c>
      <c r="BZ66" s="343">
        <f>SUMIFS($AU67:AU$1388,$Q67:Q$1388,"O")</f>
        <v>-1681.0579999997917</v>
      </c>
    </row>
    <row r="67" spans="1:78" ht="18" customHeight="1">
      <c r="A67" s="221" t="s">
        <v>347</v>
      </c>
      <c r="B67" s="232"/>
      <c r="C67" s="194"/>
      <c r="D67" s="178"/>
      <c r="E67" s="227" t="s">
        <v>457</v>
      </c>
      <c r="F67" s="180"/>
      <c r="G67" s="181"/>
      <c r="H67" s="182"/>
      <c r="I67" s="182"/>
      <c r="J67" s="182">
        <v>1</v>
      </c>
      <c r="K67" s="183" t="s">
        <v>115</v>
      </c>
      <c r="L67" s="182"/>
      <c r="M67" s="182"/>
      <c r="N67" s="182"/>
      <c r="O67" s="183"/>
      <c r="P67" s="183"/>
      <c r="Q67" s="183"/>
      <c r="R67" s="183"/>
      <c r="S67" s="183"/>
      <c r="T67" s="183"/>
      <c r="U67" s="183"/>
      <c r="V67" s="183"/>
      <c r="W67" s="183"/>
      <c r="X67" s="183"/>
      <c r="Y67" s="184"/>
      <c r="Z67" s="184"/>
      <c r="AA67" s="185"/>
      <c r="AB67" s="185"/>
      <c r="AC67" s="185"/>
      <c r="AD67" s="649"/>
      <c r="AE67" s="182"/>
      <c r="AF67" s="332"/>
      <c r="AG67" s="182"/>
      <c r="AH67" s="182"/>
      <c r="AI67" s="182"/>
      <c r="AJ67" s="640"/>
      <c r="AK67" s="182"/>
      <c r="AL67" s="496"/>
      <c r="AM67" s="497"/>
      <c r="AN67" s="626"/>
      <c r="AO67" s="182"/>
      <c r="AP67" s="182"/>
      <c r="AQ67" s="332" t="str">
        <f>UPPER(RIGHT(Journal_Live[[#This Row],[DURATION ]]))</f>
        <v/>
      </c>
      <c r="AR67" s="182"/>
      <c r="AS67" s="189"/>
      <c r="AT67" s="182"/>
      <c r="AU67" s="187"/>
      <c r="AV67" s="190"/>
      <c r="AW67" s="191"/>
      <c r="AX67" s="407"/>
      <c r="AY67" s="407"/>
      <c r="AZ67" s="407"/>
      <c r="BA67" s="407"/>
      <c r="BB67" s="407"/>
      <c r="BC67" s="407"/>
      <c r="BD67" s="407"/>
      <c r="BE67" s="407"/>
      <c r="BF67" s="422"/>
      <c r="BG67" s="391">
        <f>SUM($AV$4:AV67)</f>
        <v>254.4200000000202</v>
      </c>
      <c r="BH67" s="392">
        <f>SUM($AU$4:AU67)</f>
        <v>384.27000000002027</v>
      </c>
      <c r="BI67" s="318"/>
      <c r="BJ67" s="318">
        <f>SUMIFS($AU68:AU$1388,$Q68:Q$1388,"F")</f>
        <v>14694.866666666669</v>
      </c>
      <c r="BK67" s="343">
        <f>SUMIFS($AU68:AU$1388,$P68:P$1388,"W")</f>
        <v>21441.941999999926</v>
      </c>
      <c r="BL67" s="343">
        <f>SUMIFS($AU68:AU$1388,$P68:P$1388,"W")</f>
        <v>21441.941999999926</v>
      </c>
      <c r="BM67" s="343">
        <f>SUMIFS($AU68:AU$134,$AQ68:AQ$134,"M")</f>
        <v>0</v>
      </c>
      <c r="BN67" s="343">
        <f>SUMIFS($AU68:AU$134,$AQ68:AQ$134,"M")</f>
        <v>0</v>
      </c>
      <c r="BO67" s="343">
        <f>SUMIFS($AU68:AU$134,$AQ68:AQ$134,"H")</f>
        <v>0</v>
      </c>
      <c r="BP67" s="343">
        <f>SUMIFS($AU70:AU$134,$AQ70:AQ$134,"D")</f>
        <v>400.6</v>
      </c>
      <c r="BQ67" s="343">
        <f>SUMIFS($AU68:AU$134,$Q68:Q$134,"O")</f>
        <v>-32.199999999993601</v>
      </c>
      <c r="BR67" s="343">
        <f>SUMIFS($AU68:AU$134,$AA68:AA$134,"*")</f>
        <v>1187.4000000000065</v>
      </c>
      <c r="BS67" s="343">
        <f>SUMIFS($AU68:AU$134,$AA68:AA$134,"*")</f>
        <v>1187.4000000000065</v>
      </c>
      <c r="BT67" s="343">
        <f>SUMIFS($AU68:AU$134,$AB68:AB$134,"*")</f>
        <v>176</v>
      </c>
      <c r="BU67" s="343">
        <f>SUMIFS($AU68:AU$134,$AA68:AA$134,"*",$AB68:AB$134,"*")</f>
        <v>176</v>
      </c>
      <c r="BV67" s="343">
        <f>SUMIFS($AU68:AU$134,$AA68:AA$134,"*",$AB68:AB$134,"*")</f>
        <v>176</v>
      </c>
      <c r="BW67" s="343">
        <f>SUMIFS($AU68:AU$134,$AA68:AA$134,"*",$AC68:AC$134,"*")</f>
        <v>995.6</v>
      </c>
      <c r="BX67" s="343">
        <f>SUMIFS($AU68:AU$1388,$Q68:Q$1388,"F")</f>
        <v>14694.866666666669</v>
      </c>
      <c r="BY67" s="343">
        <f>SUMIFS($AU68:AU$1388,$Q68:Q$1388,"S")</f>
        <v>21878.842000000001</v>
      </c>
      <c r="BZ67" s="343">
        <f>SUMIFS($AU68:AU$1388,$Q68:Q$1388,"O")</f>
        <v>-1681.0579999997917</v>
      </c>
    </row>
    <row r="68" spans="1:78" ht="18" customHeight="1">
      <c r="A68" s="221" t="s">
        <v>347</v>
      </c>
      <c r="B68" s="232">
        <v>44875</v>
      </c>
      <c r="C68" s="178"/>
      <c r="D68" s="178" t="s">
        <v>93</v>
      </c>
      <c r="E68" s="227"/>
      <c r="F68" s="180"/>
      <c r="G68" s="236" t="s">
        <v>458</v>
      </c>
      <c r="H68" s="182"/>
      <c r="I68" s="182"/>
      <c r="J68" s="182"/>
      <c r="K68" s="183"/>
      <c r="L68" s="182">
        <v>1</v>
      </c>
      <c r="M68" s="182">
        <v>1</v>
      </c>
      <c r="N68" s="182"/>
      <c r="O68" s="183" t="s">
        <v>95</v>
      </c>
      <c r="P68" s="183" t="s">
        <v>96</v>
      </c>
      <c r="Q68" s="183" t="s">
        <v>97</v>
      </c>
      <c r="R68" s="183">
        <v>1</v>
      </c>
      <c r="S68" s="183">
        <v>1</v>
      </c>
      <c r="T68" s="183">
        <v>1</v>
      </c>
      <c r="U68" s="183" t="s">
        <v>22</v>
      </c>
      <c r="V68" s="183"/>
      <c r="W68" s="183"/>
      <c r="X68" s="183"/>
      <c r="Y68" s="184">
        <f t="shared" ref="Y68:Y99" si="33">IF(ISBLANK(O68),,(IF(O68=UPPER("IB"),0.005,0.01)))</f>
        <v>0.01</v>
      </c>
      <c r="Z68" s="184">
        <f>IF(ISBLANK(O68),,IF(O68=UPPER("IB"),8.63*200,15.8*100))</f>
        <v>1580</v>
      </c>
      <c r="AA68" s="185"/>
      <c r="AB68" s="185"/>
      <c r="AC68" s="185" t="s">
        <v>459</v>
      </c>
      <c r="AD68" s="649">
        <v>0.03</v>
      </c>
      <c r="AE68" s="182" t="s">
        <v>460</v>
      </c>
      <c r="AF68" s="332"/>
      <c r="AG68" s="182"/>
      <c r="AH68" s="182" t="s">
        <v>461</v>
      </c>
      <c r="AI68" s="182"/>
      <c r="AJ68" s="640"/>
      <c r="AK68" s="182"/>
      <c r="AL68" s="496">
        <f t="shared" ref="AL68:AL70" si="34">-0.03*Z68</f>
        <v>-47.4</v>
      </c>
      <c r="AM68" s="496">
        <f t="shared" ref="AM68:AM77" si="35">AL68*R68</f>
        <v>-47.4</v>
      </c>
      <c r="AN68" s="626"/>
      <c r="AO68" s="182"/>
      <c r="AP68" s="182" t="s">
        <v>462</v>
      </c>
      <c r="AQ68" s="332" t="str">
        <f>UPPER(RIGHT(Journal_Live[[#This Row],[DURATION ]]))</f>
        <v>+</v>
      </c>
      <c r="AR68" s="182" t="s">
        <v>463</v>
      </c>
      <c r="AS68" s="189">
        <v>0.06</v>
      </c>
      <c r="AT68" s="189">
        <f t="shared" ref="AT68:AT80" si="36">IF(ISBLANK(AS68),,IF(U68="S",AD68-AS68,AS68-AD68))</f>
        <v>0.03</v>
      </c>
      <c r="AU68" s="187">
        <f t="shared" ref="AU68:AU77" si="37">AV68*R68</f>
        <v>47.4</v>
      </c>
      <c r="AV68" s="190">
        <f t="shared" ref="AV68:AV80" si="38">IF(ISBLANK(AS68),,(AT68*Z68))</f>
        <v>47.4</v>
      </c>
      <c r="AW68" s="191" t="s">
        <v>96</v>
      </c>
      <c r="AX68" s="407" t="s">
        <v>464</v>
      </c>
      <c r="AY68" s="407" t="s">
        <v>465</v>
      </c>
      <c r="AZ68" s="407"/>
      <c r="BA68" s="407"/>
      <c r="BB68" s="407"/>
      <c r="BC68" s="407"/>
      <c r="BD68" s="407"/>
      <c r="BE68" s="407"/>
      <c r="BF68" s="422"/>
      <c r="BG68" s="391">
        <f>SUM($AV$4:AV68)</f>
        <v>301.82000000002017</v>
      </c>
      <c r="BH68" s="392">
        <f>SUM($AU$4:AU68)</f>
        <v>431.67000000002025</v>
      </c>
      <c r="BI68" s="318"/>
      <c r="BJ68" s="318">
        <f>SUMIFS($AU69:AU$1388,$Q69:Q$1388,"F")</f>
        <v>14694.866666666669</v>
      </c>
      <c r="BK68" s="343">
        <f>SUMIFS($AU69:AU$1388,$P69:P$1388,"W")</f>
        <v>21394.541999999925</v>
      </c>
      <c r="BL68" s="343">
        <f>SUMIFS($AU69:AU$1388,$P69:P$1388,"W")</f>
        <v>21394.541999999925</v>
      </c>
      <c r="BM68" s="343">
        <f>SUMIFS($AU69:AU$134,$AQ69:AQ$134,"M")</f>
        <v>0</v>
      </c>
      <c r="BN68" s="343">
        <f>SUMIFS($AU69:AU$134,$AQ69:AQ$134,"M")</f>
        <v>0</v>
      </c>
      <c r="BO68" s="343">
        <f>SUMIFS($AU69:AU$134,$AQ69:AQ$134,"H")</f>
        <v>0</v>
      </c>
      <c r="BP68" s="343">
        <f>SUMIFS($AU71:AU$134,$AQ71:AQ$134,"D")</f>
        <v>400.6</v>
      </c>
      <c r="BQ68" s="343">
        <f>SUMIFS($AU69:AU$134,$Q69:Q$134,"O")</f>
        <v>-32.199999999993601</v>
      </c>
      <c r="BR68" s="343">
        <f>SUMIFS($AU69:AU$134,$AA69:AA$134,"*")</f>
        <v>1187.4000000000065</v>
      </c>
      <c r="BS68" s="343">
        <f>SUMIFS($AU69:AU$134,$AA69:AA$134,"*")</f>
        <v>1187.4000000000065</v>
      </c>
      <c r="BT68" s="343">
        <f>SUMIFS($AU69:AU$134,$AB69:AB$134,"*")</f>
        <v>176</v>
      </c>
      <c r="BU68" s="343">
        <f>SUMIFS($AU69:AU$134,$AA69:AA$134,"*",$AB69:AB$134,"*")</f>
        <v>176</v>
      </c>
      <c r="BV68" s="343">
        <f>SUMIFS($AU69:AU$134,$AA69:AA$134,"*",$AB69:AB$134,"*")</f>
        <v>176</v>
      </c>
      <c r="BW68" s="343">
        <f>SUMIFS($AU69:AU$134,$AA69:AA$134,"*",$AC69:AC$134,"*")</f>
        <v>995.6</v>
      </c>
      <c r="BX68" s="343">
        <f>SUMIFS($AU69:AU$1388,$Q69:Q$1388,"F")</f>
        <v>14694.866666666669</v>
      </c>
      <c r="BY68" s="343">
        <f>SUMIFS($AU69:AU$1388,$Q69:Q$1388,"S")</f>
        <v>21831.442000000003</v>
      </c>
      <c r="BZ68" s="343">
        <f>SUMIFS($AU69:AU$1388,$Q69:Q$1388,"O")</f>
        <v>-1681.0579999997917</v>
      </c>
    </row>
    <row r="69" spans="1:78" ht="18" customHeight="1">
      <c r="A69" s="221" t="s">
        <v>347</v>
      </c>
      <c r="B69" s="177">
        <v>44876</v>
      </c>
      <c r="C69" s="178" t="s">
        <v>466</v>
      </c>
      <c r="D69" s="178" t="s">
        <v>111</v>
      </c>
      <c r="E69" s="227"/>
      <c r="F69" s="180"/>
      <c r="G69" s="181" t="s">
        <v>435</v>
      </c>
      <c r="H69" s="182"/>
      <c r="I69" s="182"/>
      <c r="J69" s="182"/>
      <c r="K69" s="183"/>
      <c r="L69" s="182"/>
      <c r="M69" s="182"/>
      <c r="N69" s="182">
        <v>1</v>
      </c>
      <c r="O69" s="183" t="s">
        <v>95</v>
      </c>
      <c r="P69" s="183" t="s">
        <v>96</v>
      </c>
      <c r="Q69" s="183" t="s">
        <v>97</v>
      </c>
      <c r="R69" s="183">
        <v>1</v>
      </c>
      <c r="S69" s="183">
        <v>1</v>
      </c>
      <c r="T69" s="183">
        <v>1</v>
      </c>
      <c r="U69" s="183" t="s">
        <v>97</v>
      </c>
      <c r="V69" s="183"/>
      <c r="W69" s="183"/>
      <c r="X69" s="183"/>
      <c r="Y69" s="184">
        <f t="shared" si="33"/>
        <v>0.01</v>
      </c>
      <c r="Z69" s="184">
        <f>IF(ISBLANK(O69),,IF(O69=UPPER("IB"),8.63*200,15.8*100))</f>
        <v>1580</v>
      </c>
      <c r="AA69" s="185" t="s">
        <v>467</v>
      </c>
      <c r="AB69" s="185"/>
      <c r="AC69" s="185"/>
      <c r="AD69" s="649">
        <v>0.2</v>
      </c>
      <c r="AE69" s="182"/>
      <c r="AF69" s="332"/>
      <c r="AG69" s="182"/>
      <c r="AH69" s="182"/>
      <c r="AI69" s="182"/>
      <c r="AJ69" s="640"/>
      <c r="AK69" s="182"/>
      <c r="AL69" s="496">
        <f t="shared" si="34"/>
        <v>-47.4</v>
      </c>
      <c r="AM69" s="496">
        <f t="shared" si="35"/>
        <v>-47.4</v>
      </c>
      <c r="AN69" s="626"/>
      <c r="AO69" s="182"/>
      <c r="AP69" s="182"/>
      <c r="AQ69" s="332" t="str">
        <f>UPPER(RIGHT(Journal_Live[[#This Row],[DURATION ]]))</f>
        <v/>
      </c>
      <c r="AR69" s="229">
        <v>0.16666666666666666</v>
      </c>
      <c r="AS69" s="189">
        <v>0.22</v>
      </c>
      <c r="AT69" s="189">
        <f t="shared" si="36"/>
        <v>-1.999999999999999E-2</v>
      </c>
      <c r="AU69" s="187">
        <f t="shared" si="37"/>
        <v>-31.599999999999984</v>
      </c>
      <c r="AV69" s="190">
        <f t="shared" si="38"/>
        <v>-31.599999999999984</v>
      </c>
      <c r="AW69" s="191" t="s">
        <v>229</v>
      </c>
      <c r="AX69" s="407" t="s">
        <v>468</v>
      </c>
      <c r="AY69" s="407" t="s">
        <v>469</v>
      </c>
      <c r="AZ69" s="407" t="s">
        <v>470</v>
      </c>
      <c r="BA69" s="407" t="s">
        <v>471</v>
      </c>
      <c r="BB69" s="407" t="s">
        <v>472</v>
      </c>
      <c r="BC69" s="407" t="s">
        <v>473</v>
      </c>
      <c r="BD69" s="407" t="s">
        <v>474</v>
      </c>
      <c r="BE69" s="407"/>
      <c r="BF69" s="422"/>
      <c r="BG69" s="391">
        <f>SUM($AV$4:AV69)</f>
        <v>270.22000000002021</v>
      </c>
      <c r="BH69" s="392">
        <f>SUM($AU$4:AU69)</f>
        <v>400.07000000002029</v>
      </c>
      <c r="BI69" s="318"/>
      <c r="BJ69" s="318">
        <f>SUMIFS($AU70:AU$1388,$Q70:Q$1388,"F")</f>
        <v>14694.866666666669</v>
      </c>
      <c r="BK69" s="343">
        <f>SUMIFS($AU70:AU$1388,$P70:P$1388,"W")</f>
        <v>21426.141999999927</v>
      </c>
      <c r="BL69" s="343">
        <f>SUMIFS($AU70:AU$1388,$P70:P$1388,"W")</f>
        <v>21426.141999999927</v>
      </c>
      <c r="BM69" s="343">
        <f>SUMIFS($AU70:AU$134,$AQ70:AQ$134,"M")</f>
        <v>0</v>
      </c>
      <c r="BN69" s="343">
        <f>SUMIFS($AU70:AU$134,$AQ70:AQ$134,"M")</f>
        <v>0</v>
      </c>
      <c r="BO69" s="343">
        <f>SUMIFS($AU70:AU$134,$AQ70:AQ$134,"H")</f>
        <v>0</v>
      </c>
      <c r="BP69" s="343">
        <f>SUMIFS($AU72:AU$134,$AQ72:AQ$134,"D")</f>
        <v>400.6</v>
      </c>
      <c r="BQ69" s="343">
        <f>SUMIFS($AU70:AU$134,$Q70:Q$134,"O")</f>
        <v>-32.199999999993601</v>
      </c>
      <c r="BR69" s="343">
        <f>SUMIFS($AU70:AU$134,$AA70:AA$134,"*")</f>
        <v>1219.0000000000066</v>
      </c>
      <c r="BS69" s="343">
        <f>SUMIFS($AU70:AU$134,$AA70:AA$134,"*")</f>
        <v>1219.0000000000066</v>
      </c>
      <c r="BT69" s="343">
        <f>SUMIFS($AU70:AU$134,$AB70:AB$134,"*")</f>
        <v>176</v>
      </c>
      <c r="BU69" s="343">
        <f>SUMIFS($AU70:AU$134,$AA70:AA$134,"*",$AB70:AB$134,"*")</f>
        <v>176</v>
      </c>
      <c r="BV69" s="343">
        <f>SUMIFS($AU70:AU$134,$AA70:AA$134,"*",$AB70:AB$134,"*")</f>
        <v>176</v>
      </c>
      <c r="BW69" s="343">
        <f>SUMIFS($AU70:AU$134,$AA70:AA$134,"*",$AC70:AC$134,"*")</f>
        <v>995.6</v>
      </c>
      <c r="BX69" s="343">
        <f>SUMIFS($AU70:AU$1388,$Q70:Q$1388,"F")</f>
        <v>14694.866666666669</v>
      </c>
      <c r="BY69" s="343">
        <f>SUMIFS($AU70:AU$1388,$Q70:Q$1388,"S")</f>
        <v>21863.042000000001</v>
      </c>
      <c r="BZ69" s="343">
        <f>SUMIFS($AU70:AU$1388,$Q70:Q$1388,"O")</f>
        <v>-1681.0579999997917</v>
      </c>
    </row>
    <row r="70" spans="1:78" ht="18" customHeight="1">
      <c r="A70" s="221" t="s">
        <v>347</v>
      </c>
      <c r="B70" s="177">
        <v>44876</v>
      </c>
      <c r="C70" s="178" t="s">
        <v>475</v>
      </c>
      <c r="D70" s="178" t="s">
        <v>111</v>
      </c>
      <c r="E70" s="227"/>
      <c r="F70" s="180"/>
      <c r="G70" s="237" t="s">
        <v>458</v>
      </c>
      <c r="H70" s="182"/>
      <c r="I70" s="182"/>
      <c r="J70" s="182"/>
      <c r="K70" s="183"/>
      <c r="L70" s="182"/>
      <c r="M70" s="182">
        <v>2</v>
      </c>
      <c r="N70" s="182"/>
      <c r="O70" s="183" t="s">
        <v>95</v>
      </c>
      <c r="P70" s="183" t="s">
        <v>96</v>
      </c>
      <c r="Q70" s="183" t="s">
        <v>256</v>
      </c>
      <c r="R70" s="183">
        <v>1</v>
      </c>
      <c r="S70" s="183">
        <v>1</v>
      </c>
      <c r="T70" s="183">
        <v>1</v>
      </c>
      <c r="U70" s="183" t="s">
        <v>22</v>
      </c>
      <c r="V70" s="183"/>
      <c r="W70" s="183"/>
      <c r="X70" s="183"/>
      <c r="Y70" s="184">
        <f t="shared" si="33"/>
        <v>0.01</v>
      </c>
      <c r="Z70" s="184">
        <f>IF(ISBLANK(O70),,IF(O70=UPPER("IB"),8.63*200,15.8*100))</f>
        <v>1580</v>
      </c>
      <c r="AA70" s="185" t="s">
        <v>476</v>
      </c>
      <c r="AB70" s="185"/>
      <c r="AC70" s="185" t="s">
        <v>424</v>
      </c>
      <c r="AD70" s="649">
        <v>0.02</v>
      </c>
      <c r="AE70" s="184"/>
      <c r="AF70" s="332"/>
      <c r="AG70" s="182"/>
      <c r="AH70" s="182" t="s">
        <v>461</v>
      </c>
      <c r="AI70" s="182"/>
      <c r="AJ70" s="640"/>
      <c r="AK70" s="182"/>
      <c r="AL70" s="496">
        <f t="shared" si="34"/>
        <v>-47.4</v>
      </c>
      <c r="AM70" s="496">
        <f t="shared" si="35"/>
        <v>-47.4</v>
      </c>
      <c r="AN70" s="626"/>
      <c r="AO70" s="182"/>
      <c r="AP70" s="182" t="s">
        <v>462</v>
      </c>
      <c r="AQ70" s="332" t="str">
        <f>UPPER(RIGHT(Journal_Live[[#This Row],[DURATION ]]))</f>
        <v>+</v>
      </c>
      <c r="AR70" s="182" t="s">
        <v>477</v>
      </c>
      <c r="AS70" s="189">
        <v>0.06</v>
      </c>
      <c r="AT70" s="189">
        <f t="shared" si="36"/>
        <v>3.9999999999999994E-2</v>
      </c>
      <c r="AU70" s="187">
        <f t="shared" si="37"/>
        <v>63.199999999999989</v>
      </c>
      <c r="AV70" s="190">
        <f t="shared" si="38"/>
        <v>63.199999999999989</v>
      </c>
      <c r="AW70" s="191" t="s">
        <v>96</v>
      </c>
      <c r="AX70" s="407" t="s">
        <v>478</v>
      </c>
      <c r="AY70" s="407" t="s">
        <v>464</v>
      </c>
      <c r="AZ70" s="407"/>
      <c r="BA70" s="407" t="s">
        <v>479</v>
      </c>
      <c r="BB70" s="409" t="s">
        <v>480</v>
      </c>
      <c r="BC70" s="407" t="s">
        <v>481</v>
      </c>
      <c r="BD70" s="407"/>
      <c r="BE70" s="407"/>
      <c r="BF70" s="422"/>
      <c r="BG70" s="391">
        <f>SUM($AV$4:AV70)</f>
        <v>333.4200000000202</v>
      </c>
      <c r="BH70" s="392">
        <f>SUM($AU$4:AU70)</f>
        <v>463.27000000002027</v>
      </c>
      <c r="BI70" s="318"/>
      <c r="BJ70" s="318">
        <f>SUMIFS($AU71:AU$1388,$Q71:Q$1388,"F")</f>
        <v>14631.666666666668</v>
      </c>
      <c r="BK70" s="343">
        <f>SUMIFS($AU71:AU$1388,$P71:P$1388,"W")</f>
        <v>21362.941999999926</v>
      </c>
      <c r="BL70" s="343">
        <f>SUMIFS($AU71:AU$1388,$P71:P$1388,"W")</f>
        <v>21362.941999999926</v>
      </c>
      <c r="BM70" s="343">
        <f>SUMIFS($AU71:AU$134,$AQ71:AQ$134,"M")</f>
        <v>0</v>
      </c>
      <c r="BN70" s="343">
        <f>SUMIFS($AU71:AU$134,$AQ71:AQ$134,"M")</f>
        <v>0</v>
      </c>
      <c r="BO70" s="343">
        <f>SUMIFS($AU71:AU$134,$AQ71:AQ$134,"H")</f>
        <v>0</v>
      </c>
      <c r="BP70" s="343">
        <f>SUMIFS($AU73:AU$134,$AQ73:AQ$134,"D")</f>
        <v>400.6</v>
      </c>
      <c r="BQ70" s="343">
        <f>SUMIFS($AU71:AU$134,$Q71:Q$134,"O")</f>
        <v>-32.199999999993601</v>
      </c>
      <c r="BR70" s="343">
        <f>SUMIFS($AU71:AU$134,$AA71:AA$134,"*")</f>
        <v>1155.8000000000063</v>
      </c>
      <c r="BS70" s="343">
        <f>SUMIFS($AU71:AU$134,$AA71:AA$134,"*")</f>
        <v>1155.8000000000063</v>
      </c>
      <c r="BT70" s="343">
        <f>SUMIFS($AU71:AU$134,$AB71:AB$134,"*")</f>
        <v>176</v>
      </c>
      <c r="BU70" s="343">
        <f>SUMIFS($AU71:AU$134,$AA71:AA$134,"*",$AB71:AB$134,"*")</f>
        <v>176</v>
      </c>
      <c r="BV70" s="343">
        <f>SUMIFS($AU71:AU$134,$AA71:AA$134,"*",$AB71:AB$134,"*")</f>
        <v>176</v>
      </c>
      <c r="BW70" s="343">
        <f>SUMIFS($AU71:AU$134,$AA71:AA$134,"*",$AC71:AC$134,"*")</f>
        <v>932.4000000000002</v>
      </c>
      <c r="BX70" s="343">
        <f>SUMIFS($AU71:AU$1388,$Q71:Q$1388,"F")</f>
        <v>14631.666666666668</v>
      </c>
      <c r="BY70" s="343">
        <f>SUMIFS($AU71:AU$1388,$Q71:Q$1388,"S")</f>
        <v>21863.042000000001</v>
      </c>
      <c r="BZ70" s="343">
        <f>SUMIFS($AU71:AU$1388,$Q71:Q$1388,"O")</f>
        <v>-1681.0579999997917</v>
      </c>
    </row>
    <row r="71" spans="1:78" ht="18" customHeight="1">
      <c r="A71" s="221" t="s">
        <v>347</v>
      </c>
      <c r="B71" s="177">
        <v>44876</v>
      </c>
      <c r="C71" s="178" t="s">
        <v>482</v>
      </c>
      <c r="D71" s="178" t="s">
        <v>111</v>
      </c>
      <c r="E71" s="227"/>
      <c r="F71" s="180"/>
      <c r="G71" s="181" t="s">
        <v>280</v>
      </c>
      <c r="H71" s="182"/>
      <c r="I71" s="182"/>
      <c r="J71" s="182"/>
      <c r="K71" s="183"/>
      <c r="L71" s="182">
        <v>1</v>
      </c>
      <c r="M71" s="182">
        <v>1</v>
      </c>
      <c r="N71" s="182"/>
      <c r="O71" s="183" t="s">
        <v>95</v>
      </c>
      <c r="P71" s="183" t="s">
        <v>137</v>
      </c>
      <c r="Q71" s="183" t="s">
        <v>97</v>
      </c>
      <c r="R71" s="183">
        <v>2</v>
      </c>
      <c r="S71" s="183">
        <v>2</v>
      </c>
      <c r="T71" s="183">
        <v>2</v>
      </c>
      <c r="U71" s="183" t="s">
        <v>97</v>
      </c>
      <c r="V71" s="183"/>
      <c r="W71" s="183"/>
      <c r="X71" s="183"/>
      <c r="Y71" s="184">
        <f t="shared" si="33"/>
        <v>0.01</v>
      </c>
      <c r="Z71" s="184">
        <f>IF(ISBLANK(O71),,IF(O71=UPPER("IB"),8.63*200,15.8*100))</f>
        <v>1580</v>
      </c>
      <c r="AA71" s="185" t="s">
        <v>483</v>
      </c>
      <c r="AB71" s="185"/>
      <c r="AC71" s="185" t="s">
        <v>99</v>
      </c>
      <c r="AD71" s="649">
        <v>-0.04</v>
      </c>
      <c r="AE71" s="182"/>
      <c r="AF71" s="332">
        <v>0</v>
      </c>
      <c r="AG71" s="182"/>
      <c r="AH71" s="182">
        <v>-0.04</v>
      </c>
      <c r="AI71" s="182" t="s">
        <v>484</v>
      </c>
      <c r="AJ71" s="640"/>
      <c r="AK71" s="182"/>
      <c r="AL71" s="496">
        <f>-0.02*Z71</f>
        <v>-31.6</v>
      </c>
      <c r="AM71" s="496">
        <f t="shared" si="35"/>
        <v>-63.2</v>
      </c>
      <c r="AN71" s="626"/>
      <c r="AO71" s="182"/>
      <c r="AP71" s="182" t="s">
        <v>485</v>
      </c>
      <c r="AQ71" s="332" t="str">
        <f>UPPER(RIGHT(Journal_Live[[#This Row],[DURATION ]]))</f>
        <v>S</v>
      </c>
      <c r="AR71" s="182" t="s">
        <v>486</v>
      </c>
      <c r="AS71" s="189">
        <v>-0.04</v>
      </c>
      <c r="AT71" s="189">
        <f t="shared" si="36"/>
        <v>0</v>
      </c>
      <c r="AU71" s="187">
        <f t="shared" si="37"/>
        <v>0</v>
      </c>
      <c r="AV71" s="190">
        <f t="shared" si="38"/>
        <v>0</v>
      </c>
      <c r="AW71" s="191" t="s">
        <v>115</v>
      </c>
      <c r="AX71" s="407"/>
      <c r="AY71" s="407"/>
      <c r="AZ71" s="407"/>
      <c r="BA71" s="407"/>
      <c r="BB71" s="407"/>
      <c r="BC71" s="407"/>
      <c r="BD71" s="407"/>
      <c r="BE71" s="407"/>
      <c r="BF71" s="422"/>
      <c r="BG71" s="391">
        <f>SUM($AV$4:AV71)</f>
        <v>333.4200000000202</v>
      </c>
      <c r="BH71" s="392">
        <f>SUM($AU$4:AU71)</f>
        <v>463.27000000002027</v>
      </c>
      <c r="BI71" s="318"/>
      <c r="BJ71" s="318">
        <f>SUMIFS($AU72:AU$1388,$Q72:Q$1388,"F")</f>
        <v>14631.666666666668</v>
      </c>
      <c r="BK71" s="343">
        <f>SUMIFS($AU72:AU$1388,$P72:P$1388,"W")</f>
        <v>21362.941999999926</v>
      </c>
      <c r="BL71" s="343">
        <f>SUMIFS($AU72:AU$1388,$P72:P$1388,"W")</f>
        <v>21362.941999999926</v>
      </c>
      <c r="BM71" s="343">
        <f>SUMIFS($AU72:AU$134,$AQ72:AQ$134,"M")</f>
        <v>0</v>
      </c>
      <c r="BN71" s="343">
        <f>SUMIFS($AU72:AU$134,$AQ72:AQ$134,"M")</f>
        <v>0</v>
      </c>
      <c r="BO71" s="343">
        <f>SUMIFS($AU72:AU$134,$AQ72:AQ$134,"H")</f>
        <v>0</v>
      </c>
      <c r="BP71" s="343">
        <f>SUMIFS($AU74:AU$134,$AQ74:AQ$134,"D")</f>
        <v>400.6</v>
      </c>
      <c r="BQ71" s="343">
        <f>SUMIFS($AU72:AU$134,$Q72:Q$134,"O")</f>
        <v>-32.199999999993601</v>
      </c>
      <c r="BR71" s="343">
        <f>SUMIFS($AU72:AU$134,$AA72:AA$134,"*")</f>
        <v>1155.8000000000063</v>
      </c>
      <c r="BS71" s="343">
        <f>SUMIFS($AU72:AU$134,$AA72:AA$134,"*")</f>
        <v>1155.8000000000063</v>
      </c>
      <c r="BT71" s="343">
        <f>SUMIFS($AU72:AU$134,$AB72:AB$134,"*")</f>
        <v>176</v>
      </c>
      <c r="BU71" s="343">
        <f>SUMIFS($AU72:AU$134,$AA72:AA$134,"*",$AB72:AB$134,"*")</f>
        <v>176</v>
      </c>
      <c r="BV71" s="343">
        <f>SUMIFS($AU72:AU$134,$AA72:AA$134,"*",$AB72:AB$134,"*")</f>
        <v>176</v>
      </c>
      <c r="BW71" s="343">
        <f>SUMIFS($AU72:AU$134,$AA72:AA$134,"*",$AC72:AC$134,"*")</f>
        <v>932.4000000000002</v>
      </c>
      <c r="BX71" s="343">
        <f>SUMIFS($AU72:AU$1388,$Q72:Q$1388,"F")</f>
        <v>14631.666666666668</v>
      </c>
      <c r="BY71" s="343">
        <f>SUMIFS($AU72:AU$1388,$Q72:Q$1388,"S")</f>
        <v>21863.042000000001</v>
      </c>
      <c r="BZ71" s="343">
        <f>SUMIFS($AU72:AU$1388,$Q72:Q$1388,"O")</f>
        <v>-1681.0579999997917</v>
      </c>
    </row>
    <row r="72" spans="1:78" ht="18" customHeight="1">
      <c r="A72" s="221" t="s">
        <v>347</v>
      </c>
      <c r="B72" s="177">
        <v>44876</v>
      </c>
      <c r="C72" s="178" t="s">
        <v>487</v>
      </c>
      <c r="D72" s="178" t="s">
        <v>111</v>
      </c>
      <c r="E72" s="227"/>
      <c r="F72" s="180"/>
      <c r="G72" s="183" t="s">
        <v>271</v>
      </c>
      <c r="H72" s="182"/>
      <c r="I72" s="182"/>
      <c r="J72" s="182"/>
      <c r="K72" s="183"/>
      <c r="L72" s="182">
        <v>1</v>
      </c>
      <c r="M72" s="182">
        <v>1</v>
      </c>
      <c r="N72" s="182"/>
      <c r="O72" s="183" t="s">
        <v>95</v>
      </c>
      <c r="P72" s="183" t="s">
        <v>137</v>
      </c>
      <c r="Q72" s="183" t="s">
        <v>97</v>
      </c>
      <c r="R72" s="183">
        <v>2</v>
      </c>
      <c r="S72" s="183">
        <v>2</v>
      </c>
      <c r="T72" s="183">
        <v>2</v>
      </c>
      <c r="U72" s="183" t="s">
        <v>97</v>
      </c>
      <c r="V72" s="183"/>
      <c r="W72" s="183"/>
      <c r="X72" s="183"/>
      <c r="Y72" s="184">
        <f t="shared" si="33"/>
        <v>0.01</v>
      </c>
      <c r="Z72" s="184">
        <f>IF(ISBLANK(O72),,IF(O72=UPPER("IB"),8.63*200,16.2*100))</f>
        <v>1620</v>
      </c>
      <c r="AA72" s="185"/>
      <c r="AB72" s="185"/>
      <c r="AC72" s="185" t="s">
        <v>488</v>
      </c>
      <c r="AD72" s="649">
        <v>-0.04</v>
      </c>
      <c r="AE72" s="182"/>
      <c r="AF72" s="332">
        <v>-0.01</v>
      </c>
      <c r="AG72" s="182"/>
      <c r="AH72" s="182"/>
      <c r="AI72" s="182"/>
      <c r="AJ72" s="640"/>
      <c r="AK72" s="182"/>
      <c r="AL72" s="496">
        <f t="shared" ref="AL72:AL75" si="39">-0.03*Z72</f>
        <v>-48.6</v>
      </c>
      <c r="AM72" s="496">
        <f t="shared" si="35"/>
        <v>-97.2</v>
      </c>
      <c r="AN72" s="626"/>
      <c r="AO72" s="182"/>
      <c r="AP72" s="182" t="s">
        <v>489</v>
      </c>
      <c r="AQ72" s="332" t="str">
        <f>UPPER(RIGHT(Journal_Live[[#This Row],[DURATION ]]))</f>
        <v>S</v>
      </c>
      <c r="AR72" s="195">
        <v>44880.666666666664</v>
      </c>
      <c r="AS72" s="189">
        <v>-0.05</v>
      </c>
      <c r="AT72" s="189">
        <f t="shared" si="36"/>
        <v>1.0000000000000002E-2</v>
      </c>
      <c r="AU72" s="187">
        <f t="shared" si="37"/>
        <v>32.400000000000006</v>
      </c>
      <c r="AV72" s="190">
        <f t="shared" si="38"/>
        <v>16.200000000000003</v>
      </c>
      <c r="AW72" s="191" t="s">
        <v>96</v>
      </c>
      <c r="AX72" s="407"/>
      <c r="AY72" s="407"/>
      <c r="AZ72" s="407"/>
      <c r="BA72" s="407"/>
      <c r="BB72" s="407"/>
      <c r="BC72" s="407"/>
      <c r="BD72" s="407"/>
      <c r="BE72" s="407"/>
      <c r="BF72" s="422"/>
      <c r="BG72" s="391">
        <f>SUM($AV$4:AV72)</f>
        <v>349.62000000002018</v>
      </c>
      <c r="BH72" s="392">
        <f>SUM($AU$4:AU72)</f>
        <v>495.67000000002031</v>
      </c>
      <c r="BI72" s="318"/>
      <c r="BJ72" s="318">
        <f>SUMIFS($AU73:AU$1388,$Q73:Q$1388,"F")</f>
        <v>14631.666666666668</v>
      </c>
      <c r="BK72" s="343">
        <f>SUMIFS($AU73:AU$1388,$P73:P$1388,"W")</f>
        <v>21362.941999999926</v>
      </c>
      <c r="BL72" s="343">
        <f>SUMIFS($AU73:AU$1388,$P73:P$1388,"W")</f>
        <v>21362.941999999926</v>
      </c>
      <c r="BM72" s="343">
        <f>SUMIFS($AU73:AU$134,$AQ73:AQ$134,"M")</f>
        <v>0</v>
      </c>
      <c r="BN72" s="343">
        <f>SUMIFS($AU73:AU$134,$AQ73:AQ$134,"M")</f>
        <v>0</v>
      </c>
      <c r="BO72" s="343">
        <f>SUMIFS($AU73:AU$134,$AQ73:AQ$134,"H")</f>
        <v>0</v>
      </c>
      <c r="BP72" s="343">
        <f>SUMIFS($AU75:AU$134,$AQ75:AQ$134,"D")</f>
        <v>400.6</v>
      </c>
      <c r="BQ72" s="343">
        <f>SUMIFS($AU73:AU$134,$Q73:Q$134,"O")</f>
        <v>-32.199999999993601</v>
      </c>
      <c r="BR72" s="343">
        <f>SUMIFS($AU73:AU$134,$AA73:AA$134,"*")</f>
        <v>1155.8000000000063</v>
      </c>
      <c r="BS72" s="343">
        <f>SUMIFS($AU73:AU$134,$AA73:AA$134,"*")</f>
        <v>1155.8000000000063</v>
      </c>
      <c r="BT72" s="343">
        <f>SUMIFS($AU73:AU$134,$AB73:AB$134,"*")</f>
        <v>176</v>
      </c>
      <c r="BU72" s="343">
        <f>SUMIFS($AU73:AU$134,$AA73:AA$134,"*",$AB73:AB$134,"*")</f>
        <v>176</v>
      </c>
      <c r="BV72" s="343">
        <f>SUMIFS($AU73:AU$134,$AA73:AA$134,"*",$AB73:AB$134,"*")</f>
        <v>176</v>
      </c>
      <c r="BW72" s="343">
        <f>SUMIFS($AU73:AU$134,$AA73:AA$134,"*",$AC73:AC$134,"*")</f>
        <v>932.4000000000002</v>
      </c>
      <c r="BX72" s="343">
        <f>SUMIFS($AU73:AU$1388,$Q73:Q$1388,"F")</f>
        <v>14631.666666666668</v>
      </c>
      <c r="BY72" s="343">
        <f>SUMIFS($AU73:AU$1388,$Q73:Q$1388,"S")</f>
        <v>21830.642</v>
      </c>
      <c r="BZ72" s="343">
        <f>SUMIFS($AU73:AU$1388,$Q73:Q$1388,"O")</f>
        <v>-1681.0579999997917</v>
      </c>
    </row>
    <row r="73" spans="1:78" ht="18" customHeight="1">
      <c r="A73" s="221" t="s">
        <v>347</v>
      </c>
      <c r="B73" s="177">
        <v>44876</v>
      </c>
      <c r="C73" s="178" t="s">
        <v>490</v>
      </c>
      <c r="D73" s="178" t="s">
        <v>111</v>
      </c>
      <c r="E73" s="227"/>
      <c r="F73" s="180"/>
      <c r="G73" s="238" t="s">
        <v>280</v>
      </c>
      <c r="H73" s="182"/>
      <c r="I73" s="182"/>
      <c r="J73" s="182"/>
      <c r="K73" s="183"/>
      <c r="L73" s="182">
        <v>1</v>
      </c>
      <c r="M73" s="182"/>
      <c r="N73" s="182"/>
      <c r="O73" s="183" t="s">
        <v>95</v>
      </c>
      <c r="P73" s="183" t="s">
        <v>137</v>
      </c>
      <c r="Q73" s="183" t="s">
        <v>97</v>
      </c>
      <c r="R73" s="183">
        <v>2</v>
      </c>
      <c r="S73" s="183">
        <v>2</v>
      </c>
      <c r="T73" s="183">
        <v>2</v>
      </c>
      <c r="U73" s="183" t="s">
        <v>97</v>
      </c>
      <c r="V73" s="183"/>
      <c r="W73" s="183"/>
      <c r="X73" s="183"/>
      <c r="Y73" s="184">
        <f t="shared" si="33"/>
        <v>0.01</v>
      </c>
      <c r="Z73" s="184">
        <f>IF(ISBLANK(O73),,IF(O73=UPPER("IB"),8.63*200,16.2*100))</f>
        <v>1620</v>
      </c>
      <c r="AA73" s="185"/>
      <c r="AB73" s="185"/>
      <c r="AC73" s="185" t="s">
        <v>488</v>
      </c>
      <c r="AD73" s="649">
        <v>-0.03</v>
      </c>
      <c r="AE73" s="182"/>
      <c r="AF73" s="332">
        <v>0</v>
      </c>
      <c r="AG73" s="182"/>
      <c r="AH73" s="182"/>
      <c r="AI73" s="182"/>
      <c r="AJ73" s="640"/>
      <c r="AK73" s="182"/>
      <c r="AL73" s="496">
        <f t="shared" si="39"/>
        <v>-48.6</v>
      </c>
      <c r="AM73" s="496">
        <f t="shared" si="35"/>
        <v>-97.2</v>
      </c>
      <c r="AN73" s="626"/>
      <c r="AO73" s="182"/>
      <c r="AP73" s="182" t="s">
        <v>489</v>
      </c>
      <c r="AQ73" s="332" t="str">
        <f>UPPER(RIGHT(Journal_Live[[#This Row],[DURATION ]]))</f>
        <v>S</v>
      </c>
      <c r="AR73" s="182" t="s">
        <v>491</v>
      </c>
      <c r="AS73" s="189">
        <v>-0.05</v>
      </c>
      <c r="AT73" s="189">
        <f t="shared" si="36"/>
        <v>2.0000000000000004E-2</v>
      </c>
      <c r="AU73" s="187">
        <f t="shared" si="37"/>
        <v>64.800000000000011</v>
      </c>
      <c r="AV73" s="190">
        <f t="shared" si="38"/>
        <v>32.400000000000006</v>
      </c>
      <c r="AW73" s="191" t="s">
        <v>96</v>
      </c>
      <c r="AX73" s="407" t="s">
        <v>492</v>
      </c>
      <c r="AY73" s="407"/>
      <c r="AZ73" s="407"/>
      <c r="BA73" s="407"/>
      <c r="BB73" s="407"/>
      <c r="BC73" s="407"/>
      <c r="BD73" s="407"/>
      <c r="BE73" s="407"/>
      <c r="BF73" s="422"/>
      <c r="BG73" s="391">
        <f>SUM($AV$4:AV73)</f>
        <v>382.02000000002022</v>
      </c>
      <c r="BH73" s="392">
        <f>SUM($AU$4:AU73)</f>
        <v>560.47000000002026</v>
      </c>
      <c r="BI73" s="318"/>
      <c r="BJ73" s="318">
        <f>SUMIFS($AU74:AU$1388,$Q74:Q$1388,"F")</f>
        <v>14631.666666666668</v>
      </c>
      <c r="BK73" s="343">
        <f>SUMIFS($AU74:AU$1388,$P74:P$1388,"W")</f>
        <v>21362.941999999926</v>
      </c>
      <c r="BL73" s="343">
        <f>SUMIFS($AU74:AU$1388,$P74:P$1388,"W")</f>
        <v>21362.941999999926</v>
      </c>
      <c r="BM73" s="343">
        <f>SUMIFS($AU74:AU$134,$AQ74:AQ$134,"M")</f>
        <v>0</v>
      </c>
      <c r="BN73" s="343">
        <f>SUMIFS($AU74:AU$134,$AQ74:AQ$134,"M")</f>
        <v>0</v>
      </c>
      <c r="BO73" s="343">
        <f>SUMIFS($AU74:AU$134,$AQ74:AQ$134,"H")</f>
        <v>0</v>
      </c>
      <c r="BP73" s="343">
        <f>SUMIFS($AU76:AU$134,$AQ76:AQ$134,"D")</f>
        <v>400.6</v>
      </c>
      <c r="BQ73" s="343">
        <f>SUMIFS($AU74:AU$134,$Q74:Q$134,"O")</f>
        <v>-32.199999999993601</v>
      </c>
      <c r="BR73" s="343">
        <f>SUMIFS($AU74:AU$134,$AA74:AA$134,"*")</f>
        <v>1155.8000000000063</v>
      </c>
      <c r="BS73" s="343">
        <f>SUMIFS($AU74:AU$134,$AA74:AA$134,"*")</f>
        <v>1155.8000000000063</v>
      </c>
      <c r="BT73" s="343">
        <f>SUMIFS($AU74:AU$134,$AB74:AB$134,"*")</f>
        <v>176</v>
      </c>
      <c r="BU73" s="343">
        <f>SUMIFS($AU74:AU$134,$AA74:AA$134,"*",$AB74:AB$134,"*")</f>
        <v>176</v>
      </c>
      <c r="BV73" s="343">
        <f>SUMIFS($AU74:AU$134,$AA74:AA$134,"*",$AB74:AB$134,"*")</f>
        <v>176</v>
      </c>
      <c r="BW73" s="343">
        <f>SUMIFS($AU74:AU$134,$AA74:AA$134,"*",$AC74:AC$134,"*")</f>
        <v>932.4000000000002</v>
      </c>
      <c r="BX73" s="343">
        <f>SUMIFS($AU74:AU$1388,$Q74:Q$1388,"F")</f>
        <v>14631.666666666668</v>
      </c>
      <c r="BY73" s="343">
        <f>SUMIFS($AU74:AU$1388,$Q74:Q$1388,"S")</f>
        <v>21765.842000000001</v>
      </c>
      <c r="BZ73" s="343">
        <f>SUMIFS($AU74:AU$1388,$Q74:Q$1388,"O")</f>
        <v>-1681.0579999997917</v>
      </c>
    </row>
    <row r="74" spans="1:78" ht="18" customHeight="1">
      <c r="A74" s="221" t="s">
        <v>347</v>
      </c>
      <c r="B74" s="177">
        <v>44876</v>
      </c>
      <c r="C74" s="178" t="s">
        <v>493</v>
      </c>
      <c r="D74" s="178" t="s">
        <v>111</v>
      </c>
      <c r="E74" s="227"/>
      <c r="F74" s="180"/>
      <c r="G74" s="199" t="s">
        <v>271</v>
      </c>
      <c r="H74" s="182"/>
      <c r="I74" s="182"/>
      <c r="J74" s="182"/>
      <c r="K74" s="183"/>
      <c r="L74" s="182">
        <v>1</v>
      </c>
      <c r="M74" s="182"/>
      <c r="N74" s="182"/>
      <c r="O74" s="183" t="s">
        <v>95</v>
      </c>
      <c r="P74" s="183" t="s">
        <v>137</v>
      </c>
      <c r="Q74" s="183" t="s">
        <v>97</v>
      </c>
      <c r="R74" s="183">
        <v>2</v>
      </c>
      <c r="S74" s="183">
        <v>2</v>
      </c>
      <c r="T74" s="183">
        <v>2</v>
      </c>
      <c r="U74" s="183" t="s">
        <v>97</v>
      </c>
      <c r="V74" s="183"/>
      <c r="W74" s="183"/>
      <c r="X74" s="183"/>
      <c r="Y74" s="184">
        <f t="shared" si="33"/>
        <v>0.01</v>
      </c>
      <c r="Z74" s="184">
        <f>IF(ISBLANK(O74),,IF(O74=UPPER("IB"),8.63*200,16.2*100))</f>
        <v>1620</v>
      </c>
      <c r="AA74" s="185"/>
      <c r="AB74" s="185"/>
      <c r="AC74" s="185" t="s">
        <v>494</v>
      </c>
      <c r="AD74" s="649">
        <v>-0.03</v>
      </c>
      <c r="AE74" s="182"/>
      <c r="AF74" s="332"/>
      <c r="AG74" s="182"/>
      <c r="AH74" s="182"/>
      <c r="AI74" s="182"/>
      <c r="AJ74" s="640"/>
      <c r="AK74" s="182"/>
      <c r="AL74" s="496">
        <f t="shared" si="39"/>
        <v>-48.6</v>
      </c>
      <c r="AM74" s="496">
        <f t="shared" si="35"/>
        <v>-97.2</v>
      </c>
      <c r="AN74" s="626"/>
      <c r="AO74" s="182"/>
      <c r="AP74" s="182" t="s">
        <v>489</v>
      </c>
      <c r="AQ74" s="332" t="str">
        <f>UPPER(RIGHT(Journal_Live[[#This Row],[DURATION ]]))</f>
        <v>S</v>
      </c>
      <c r="AR74" s="182" t="s">
        <v>495</v>
      </c>
      <c r="AS74" s="189">
        <v>-0.06</v>
      </c>
      <c r="AT74" s="189">
        <f t="shared" si="36"/>
        <v>0.03</v>
      </c>
      <c r="AU74" s="187">
        <f t="shared" si="37"/>
        <v>97.2</v>
      </c>
      <c r="AV74" s="190">
        <f t="shared" si="38"/>
        <v>48.6</v>
      </c>
      <c r="AW74" s="191" t="s">
        <v>96</v>
      </c>
      <c r="AX74" s="407" t="s">
        <v>496</v>
      </c>
      <c r="AY74" s="407" t="s">
        <v>497</v>
      </c>
      <c r="AZ74" s="407"/>
      <c r="BA74" s="407" t="s">
        <v>498</v>
      </c>
      <c r="BB74" s="407" t="s">
        <v>499</v>
      </c>
      <c r="BC74" s="407"/>
      <c r="BD74" s="407"/>
      <c r="BE74" s="407"/>
      <c r="BF74" s="422"/>
      <c r="BG74" s="391">
        <f>SUM($AV$4:AV74)</f>
        <v>430.62000000002024</v>
      </c>
      <c r="BH74" s="392">
        <f>SUM($AU$4:AU74)</f>
        <v>657.67000000002031</v>
      </c>
      <c r="BI74" s="318"/>
      <c r="BJ74" s="318">
        <f>SUMIFS($AU75:AU$1388,$Q75:Q$1388,"F")</f>
        <v>14631.666666666668</v>
      </c>
      <c r="BK74" s="343">
        <f>SUMIFS($AU75:AU$1388,$P75:P$1388,"W")</f>
        <v>21362.941999999926</v>
      </c>
      <c r="BL74" s="343">
        <f>SUMIFS($AU75:AU$1388,$P75:P$1388,"W")</f>
        <v>21362.941999999926</v>
      </c>
      <c r="BM74" s="343">
        <f>SUMIFS($AU75:AU$134,$AQ75:AQ$134,"M")</f>
        <v>0</v>
      </c>
      <c r="BN74" s="343">
        <f>SUMIFS($AU75:AU$134,$AQ75:AQ$134,"M")</f>
        <v>0</v>
      </c>
      <c r="BO74" s="343">
        <f>SUMIFS($AU75:AU$134,$AQ75:AQ$134,"H")</f>
        <v>0</v>
      </c>
      <c r="BP74" s="343">
        <f>SUMIFS($AU77:AU$134,$AQ77:AQ$134,"D")</f>
        <v>400.6</v>
      </c>
      <c r="BQ74" s="343">
        <f>SUMIFS($AU75:AU$134,$Q75:Q$134,"O")</f>
        <v>-32.199999999993601</v>
      </c>
      <c r="BR74" s="343">
        <f>SUMIFS($AU75:AU$134,$AA75:AA$134,"*")</f>
        <v>1155.8000000000063</v>
      </c>
      <c r="BS74" s="343">
        <f>SUMIFS($AU75:AU$134,$AA75:AA$134,"*")</f>
        <v>1155.8000000000063</v>
      </c>
      <c r="BT74" s="343">
        <f>SUMIFS($AU75:AU$134,$AB75:AB$134,"*")</f>
        <v>176</v>
      </c>
      <c r="BU74" s="343">
        <f>SUMIFS($AU75:AU$134,$AA75:AA$134,"*",$AB75:AB$134,"*")</f>
        <v>176</v>
      </c>
      <c r="BV74" s="343">
        <f>SUMIFS($AU75:AU$134,$AA75:AA$134,"*",$AB75:AB$134,"*")</f>
        <v>176</v>
      </c>
      <c r="BW74" s="343">
        <f>SUMIFS($AU75:AU$134,$AA75:AA$134,"*",$AC75:AC$134,"*")</f>
        <v>932.4000000000002</v>
      </c>
      <c r="BX74" s="343">
        <f>SUMIFS($AU75:AU$1388,$Q75:Q$1388,"F")</f>
        <v>14631.666666666668</v>
      </c>
      <c r="BY74" s="343">
        <f>SUMIFS($AU75:AU$1388,$Q75:Q$1388,"S")</f>
        <v>21668.642</v>
      </c>
      <c r="BZ74" s="343">
        <f>SUMIFS($AU75:AU$1388,$Q75:Q$1388,"O")</f>
        <v>-1681.0579999997917</v>
      </c>
    </row>
    <row r="75" spans="1:78" ht="18" customHeight="1">
      <c r="A75" s="221" t="s">
        <v>347</v>
      </c>
      <c r="B75" s="177">
        <v>44876</v>
      </c>
      <c r="C75" s="178" t="s">
        <v>500</v>
      </c>
      <c r="D75" s="178" t="s">
        <v>111</v>
      </c>
      <c r="E75" s="227"/>
      <c r="F75" s="180"/>
      <c r="G75" s="181" t="s">
        <v>365</v>
      </c>
      <c r="H75" s="182"/>
      <c r="I75" s="182"/>
      <c r="J75" s="182"/>
      <c r="K75" s="183"/>
      <c r="L75" s="182">
        <v>1</v>
      </c>
      <c r="M75" s="182"/>
      <c r="N75" s="182"/>
      <c r="O75" s="183" t="s">
        <v>95</v>
      </c>
      <c r="P75" s="183" t="s">
        <v>137</v>
      </c>
      <c r="Q75" s="183" t="s">
        <v>97</v>
      </c>
      <c r="R75" s="183">
        <v>2</v>
      </c>
      <c r="S75" s="183">
        <v>2</v>
      </c>
      <c r="T75" s="183">
        <v>2</v>
      </c>
      <c r="U75" s="183" t="s">
        <v>97</v>
      </c>
      <c r="V75" s="183"/>
      <c r="W75" s="183"/>
      <c r="X75" s="183"/>
      <c r="Y75" s="184">
        <f t="shared" si="33"/>
        <v>0.01</v>
      </c>
      <c r="Z75" s="184">
        <f>IF(ISBLANK(O75),,IF(O75=UPPER("IB"),8.63*200,15.8*100))</f>
        <v>1580</v>
      </c>
      <c r="AA75" s="185"/>
      <c r="AB75" s="185"/>
      <c r="AC75" s="185" t="s">
        <v>501</v>
      </c>
      <c r="AD75" s="649">
        <v>-0.03</v>
      </c>
      <c r="AE75" s="182"/>
      <c r="AF75" s="332"/>
      <c r="AG75" s="182"/>
      <c r="AH75" s="182">
        <v>-0.03</v>
      </c>
      <c r="AI75" s="182" t="s">
        <v>502</v>
      </c>
      <c r="AJ75" s="640"/>
      <c r="AK75" s="182"/>
      <c r="AL75" s="496">
        <f t="shared" si="39"/>
        <v>-47.4</v>
      </c>
      <c r="AM75" s="496">
        <f t="shared" si="35"/>
        <v>-94.8</v>
      </c>
      <c r="AN75" s="626"/>
      <c r="AO75" s="182"/>
      <c r="AP75" s="182" t="s">
        <v>489</v>
      </c>
      <c r="AQ75" s="332" t="str">
        <f>UPPER(RIGHT(Journal_Live[[#This Row],[DURATION ]]))</f>
        <v>S</v>
      </c>
      <c r="AR75" s="182" t="s">
        <v>503</v>
      </c>
      <c r="AS75" s="189">
        <v>-0.03</v>
      </c>
      <c r="AT75" s="189">
        <f t="shared" si="36"/>
        <v>0</v>
      </c>
      <c r="AU75" s="187">
        <f t="shared" si="37"/>
        <v>0</v>
      </c>
      <c r="AV75" s="190">
        <f t="shared" si="38"/>
        <v>0</v>
      </c>
      <c r="AW75" s="191" t="s">
        <v>115</v>
      </c>
      <c r="AX75" s="407" t="s">
        <v>504</v>
      </c>
      <c r="AY75" s="407"/>
      <c r="AZ75" s="407"/>
      <c r="BA75" s="407"/>
      <c r="BB75" s="407"/>
      <c r="BC75" s="407"/>
      <c r="BD75" s="407"/>
      <c r="BE75" s="407"/>
      <c r="BF75" s="422"/>
      <c r="BG75" s="391">
        <f>SUM($AV$4:AV75)</f>
        <v>430.62000000002024</v>
      </c>
      <c r="BH75" s="392">
        <f>SUM($AU$4:AU75)</f>
        <v>657.67000000002031</v>
      </c>
      <c r="BI75" s="318"/>
      <c r="BJ75" s="318">
        <f>SUMIFS($AU76:AU$1388,$Q76:Q$1388,"F")</f>
        <v>14631.666666666668</v>
      </c>
      <c r="BK75" s="343">
        <f>SUMIFS($AU76:AU$1388,$P76:P$1388,"W")</f>
        <v>21362.941999999926</v>
      </c>
      <c r="BL75" s="343">
        <f>SUMIFS($AU76:AU$1388,$P76:P$1388,"W")</f>
        <v>21362.941999999926</v>
      </c>
      <c r="BM75" s="343">
        <f>SUMIFS($AU76:AU$134,$AQ76:AQ$134,"M")</f>
        <v>0</v>
      </c>
      <c r="BN75" s="343">
        <f>SUMIFS($AU76:AU$134,$AQ76:AQ$134,"M")</f>
        <v>0</v>
      </c>
      <c r="BO75" s="343">
        <f>SUMIFS($AU76:AU$134,$AQ76:AQ$134,"H")</f>
        <v>0</v>
      </c>
      <c r="BP75" s="343">
        <f>SUMIFS($AU78:AU$134,$AQ78:AQ$134,"D")</f>
        <v>400.6</v>
      </c>
      <c r="BQ75" s="343">
        <f>SUMIFS($AU76:AU$134,$Q76:Q$134,"O")</f>
        <v>-32.199999999993601</v>
      </c>
      <c r="BR75" s="343">
        <f>SUMIFS($AU76:AU$134,$AA76:AA$134,"*")</f>
        <v>1155.8000000000063</v>
      </c>
      <c r="BS75" s="343">
        <f>SUMIFS($AU76:AU$134,$AA76:AA$134,"*")</f>
        <v>1155.8000000000063</v>
      </c>
      <c r="BT75" s="343">
        <f>SUMIFS($AU76:AU$134,$AB76:AB$134,"*")</f>
        <v>176</v>
      </c>
      <c r="BU75" s="343">
        <f>SUMIFS($AU76:AU$134,$AA76:AA$134,"*",$AB76:AB$134,"*")</f>
        <v>176</v>
      </c>
      <c r="BV75" s="343">
        <f>SUMIFS($AU76:AU$134,$AA76:AA$134,"*",$AB76:AB$134,"*")</f>
        <v>176</v>
      </c>
      <c r="BW75" s="343">
        <f>SUMIFS($AU76:AU$134,$AA76:AA$134,"*",$AC76:AC$134,"*")</f>
        <v>932.4000000000002</v>
      </c>
      <c r="BX75" s="343">
        <f>SUMIFS($AU76:AU$1388,$Q76:Q$1388,"F")</f>
        <v>14631.666666666668</v>
      </c>
      <c r="BY75" s="343">
        <f>SUMIFS($AU76:AU$1388,$Q76:Q$1388,"S")</f>
        <v>21668.642</v>
      </c>
      <c r="BZ75" s="343">
        <f>SUMIFS($AU76:AU$1388,$Q76:Q$1388,"O")</f>
        <v>-1681.0579999997917</v>
      </c>
    </row>
    <row r="76" spans="1:78" ht="18" customHeight="1">
      <c r="A76" s="221" t="s">
        <v>347</v>
      </c>
      <c r="B76" s="177">
        <v>44876</v>
      </c>
      <c r="C76" s="178" t="s">
        <v>505</v>
      </c>
      <c r="D76" s="178" t="s">
        <v>111</v>
      </c>
      <c r="E76" s="227"/>
      <c r="F76" s="180"/>
      <c r="G76" s="199" t="s">
        <v>506</v>
      </c>
      <c r="H76" s="182"/>
      <c r="I76" s="182"/>
      <c r="J76" s="182"/>
      <c r="K76" s="183"/>
      <c r="L76" s="182">
        <v>1</v>
      </c>
      <c r="M76" s="182">
        <v>1</v>
      </c>
      <c r="N76" s="182"/>
      <c r="O76" s="183" t="s">
        <v>95</v>
      </c>
      <c r="P76" s="183" t="s">
        <v>96</v>
      </c>
      <c r="Q76" s="183" t="s">
        <v>256</v>
      </c>
      <c r="R76" s="183">
        <v>1</v>
      </c>
      <c r="S76" s="183">
        <v>1</v>
      </c>
      <c r="T76" s="183">
        <v>1</v>
      </c>
      <c r="U76" s="183" t="s">
        <v>22</v>
      </c>
      <c r="V76" s="183"/>
      <c r="W76" s="183"/>
      <c r="X76" s="183"/>
      <c r="Y76" s="184">
        <f t="shared" si="33"/>
        <v>0.01</v>
      </c>
      <c r="Z76" s="184">
        <f>IF(ISBLANK(O76),,IF(O76=UPPER("IB"),8.63*200,16.2*100))</f>
        <v>1620</v>
      </c>
      <c r="AA76" s="185" t="s">
        <v>507</v>
      </c>
      <c r="AB76" s="185"/>
      <c r="AC76" s="185" t="s">
        <v>508</v>
      </c>
      <c r="AD76" s="649">
        <v>0.15</v>
      </c>
      <c r="AE76" s="182" t="s">
        <v>509</v>
      </c>
      <c r="AF76" s="332">
        <v>12</v>
      </c>
      <c r="AG76" s="182"/>
      <c r="AH76" s="182" t="s">
        <v>510</v>
      </c>
      <c r="AI76" s="182" t="s">
        <v>511</v>
      </c>
      <c r="AJ76" s="640"/>
      <c r="AK76" s="182"/>
      <c r="AL76" s="496">
        <f t="shared" ref="AL76:AL77" si="40">-0.04*Z76</f>
        <v>-64.8</v>
      </c>
      <c r="AM76" s="496">
        <f t="shared" si="35"/>
        <v>-64.8</v>
      </c>
      <c r="AN76" s="626" t="s">
        <v>512</v>
      </c>
      <c r="AO76" s="182" t="s">
        <v>513</v>
      </c>
      <c r="AP76" s="182"/>
      <c r="AQ76" s="332" t="str">
        <f>UPPER(RIGHT(Journal_Live[[#This Row],[DURATION ]]))</f>
        <v/>
      </c>
      <c r="AR76" s="182" t="s">
        <v>514</v>
      </c>
      <c r="AS76" s="189">
        <v>0.13</v>
      </c>
      <c r="AT76" s="189">
        <f t="shared" si="36"/>
        <v>-1.999999999999999E-2</v>
      </c>
      <c r="AU76" s="187">
        <f t="shared" si="37"/>
        <v>-32.399999999999984</v>
      </c>
      <c r="AV76" s="190">
        <f t="shared" si="38"/>
        <v>-32.399999999999984</v>
      </c>
      <c r="AW76" s="191" t="s">
        <v>229</v>
      </c>
      <c r="AX76" s="407" t="s">
        <v>515</v>
      </c>
      <c r="AY76" s="407" t="s">
        <v>516</v>
      </c>
      <c r="AZ76" s="407" t="s">
        <v>517</v>
      </c>
      <c r="BA76" s="407"/>
      <c r="BB76" s="407"/>
      <c r="BC76" s="407"/>
      <c r="BD76" s="407"/>
      <c r="BE76" s="407"/>
      <c r="BF76" s="422"/>
      <c r="BG76" s="391">
        <f>SUM($AV$4:AV76)</f>
        <v>398.22000000002026</v>
      </c>
      <c r="BH76" s="392">
        <f>SUM($AU$4:AU76)</f>
        <v>625.27000000002033</v>
      </c>
      <c r="BI76" s="318"/>
      <c r="BJ76" s="318">
        <f>SUMIFS($AU77:AU$1388,$Q77:Q$1388,"F")</f>
        <v>14664.066666666669</v>
      </c>
      <c r="BK76" s="343">
        <f>SUMIFS($AU77:AU$1388,$P77:P$1388,"W")</f>
        <v>21395.341999999928</v>
      </c>
      <c r="BL76" s="343">
        <f>SUMIFS($AU77:AU$1388,$P77:P$1388,"W")</f>
        <v>21395.341999999928</v>
      </c>
      <c r="BM76" s="343">
        <f>SUMIFS($AU77:AU$134,$AQ77:AQ$134,"M")</f>
        <v>0</v>
      </c>
      <c r="BN76" s="343">
        <f>SUMIFS($AU77:AU$134,$AQ77:AQ$134,"M")</f>
        <v>0</v>
      </c>
      <c r="BO76" s="343">
        <f>SUMIFS($AU77:AU$134,$AQ77:AQ$134,"H")</f>
        <v>0</v>
      </c>
      <c r="BP76" s="343">
        <f>SUMIFS($AU79:AU$134,$AQ79:AQ$134,"D")</f>
        <v>400.6</v>
      </c>
      <c r="BQ76" s="343">
        <f>SUMIFS($AU77:AU$134,$Q77:Q$134,"O")</f>
        <v>-32.199999999993601</v>
      </c>
      <c r="BR76" s="343">
        <f>SUMIFS($AU77:AU$134,$AA77:AA$134,"*")</f>
        <v>1188.2000000000064</v>
      </c>
      <c r="BS76" s="343">
        <f>SUMIFS($AU77:AU$134,$AA77:AA$134,"*")</f>
        <v>1188.2000000000064</v>
      </c>
      <c r="BT76" s="343">
        <f>SUMIFS($AU77:AU$134,$AB77:AB$134,"*")</f>
        <v>176</v>
      </c>
      <c r="BU76" s="343">
        <f>SUMIFS($AU77:AU$134,$AA77:AA$134,"*",$AB77:AB$134,"*")</f>
        <v>176</v>
      </c>
      <c r="BV76" s="343">
        <f>SUMIFS($AU77:AU$134,$AA77:AA$134,"*",$AB77:AB$134,"*")</f>
        <v>176</v>
      </c>
      <c r="BW76" s="343">
        <f>SUMIFS($AU77:AU$134,$AA77:AA$134,"*",$AC77:AC$134,"*")</f>
        <v>964.80000000000007</v>
      </c>
      <c r="BX76" s="343">
        <f>SUMIFS($AU77:AU$1388,$Q77:Q$1388,"F")</f>
        <v>14664.066666666669</v>
      </c>
      <c r="BY76" s="343">
        <f>SUMIFS($AU77:AU$1388,$Q77:Q$1388,"S")</f>
        <v>21668.642</v>
      </c>
      <c r="BZ76" s="343">
        <f>SUMIFS($AU77:AU$1388,$Q77:Q$1388,"O")</f>
        <v>-1681.0579999997917</v>
      </c>
    </row>
    <row r="77" spans="1:78" ht="18" customHeight="1">
      <c r="A77" s="221" t="s">
        <v>347</v>
      </c>
      <c r="B77" s="177">
        <v>40861</v>
      </c>
      <c r="C77" s="178" t="s">
        <v>518</v>
      </c>
      <c r="D77" s="178" t="s">
        <v>111</v>
      </c>
      <c r="E77" s="227"/>
      <c r="F77" s="180"/>
      <c r="G77" s="181" t="s">
        <v>519</v>
      </c>
      <c r="H77" s="182"/>
      <c r="I77" s="182"/>
      <c r="J77" s="182"/>
      <c r="K77" s="183"/>
      <c r="L77" s="182"/>
      <c r="M77" s="182">
        <v>1</v>
      </c>
      <c r="N77" s="182"/>
      <c r="O77" s="183" t="s">
        <v>95</v>
      </c>
      <c r="P77" s="183" t="s">
        <v>96</v>
      </c>
      <c r="Q77" s="183" t="s">
        <v>256</v>
      </c>
      <c r="R77" s="183">
        <v>1</v>
      </c>
      <c r="S77" s="183">
        <v>1</v>
      </c>
      <c r="T77" s="183">
        <v>1</v>
      </c>
      <c r="U77" s="183" t="s">
        <v>22</v>
      </c>
      <c r="V77" s="183"/>
      <c r="W77" s="183"/>
      <c r="X77" s="183"/>
      <c r="Y77" s="184">
        <f t="shared" si="33"/>
        <v>0.01</v>
      </c>
      <c r="Z77" s="184">
        <f t="shared" ref="Z77:Z86" si="41">IF(ISBLANK(O77),,IF(O77=UPPER("IB"),8.63*200,15.8*100))</f>
        <v>1580</v>
      </c>
      <c r="AA77" s="185" t="s">
        <v>520</v>
      </c>
      <c r="AB77" s="185"/>
      <c r="AC77" s="185" t="s">
        <v>521</v>
      </c>
      <c r="AD77" s="649">
        <v>0.02</v>
      </c>
      <c r="AE77" s="182"/>
      <c r="AF77" s="332">
        <v>-2</v>
      </c>
      <c r="AG77" s="182"/>
      <c r="AH77" s="182" t="s">
        <v>522</v>
      </c>
      <c r="AI77" s="182" t="s">
        <v>523</v>
      </c>
      <c r="AJ77" s="640"/>
      <c r="AK77" s="182"/>
      <c r="AL77" s="496">
        <f t="shared" si="40"/>
        <v>-63.2</v>
      </c>
      <c r="AM77" s="496">
        <f t="shared" si="35"/>
        <v>-63.2</v>
      </c>
      <c r="AN77" s="626" t="s">
        <v>261</v>
      </c>
      <c r="AO77" s="182"/>
      <c r="AP77" s="239">
        <v>44895</v>
      </c>
      <c r="AQ77" s="332" t="str">
        <f>UPPER(RIGHT(Journal_Live[[#This Row],[DURATION ]]))</f>
        <v>5</v>
      </c>
      <c r="AR77" s="182" t="s">
        <v>524</v>
      </c>
      <c r="AS77" s="189">
        <v>0.02</v>
      </c>
      <c r="AT77" s="189">
        <f t="shared" si="36"/>
        <v>0</v>
      </c>
      <c r="AU77" s="187">
        <f t="shared" si="37"/>
        <v>0</v>
      </c>
      <c r="AV77" s="190">
        <f t="shared" si="38"/>
        <v>0</v>
      </c>
      <c r="AW77" s="191" t="s">
        <v>115</v>
      </c>
      <c r="AX77" s="407" t="s">
        <v>525</v>
      </c>
      <c r="AY77" s="407" t="s">
        <v>526</v>
      </c>
      <c r="AZ77" s="407" t="s">
        <v>527</v>
      </c>
      <c r="BA77" s="407" t="s">
        <v>528</v>
      </c>
      <c r="BB77" s="407"/>
      <c r="BC77" s="407"/>
      <c r="BD77" s="407"/>
      <c r="BE77" s="407"/>
      <c r="BF77" s="422"/>
      <c r="BG77" s="391">
        <f>SUM($AV$4:AV77)</f>
        <v>398.22000000002026</v>
      </c>
      <c r="BH77" s="392">
        <f>SUM($AU$4:AU77)</f>
        <v>625.27000000002033</v>
      </c>
      <c r="BI77" s="318"/>
      <c r="BJ77" s="318">
        <f>SUMIFS($AU78:AU$1388,$Q78:Q$1388,"F")</f>
        <v>14664.066666666669</v>
      </c>
      <c r="BK77" s="343">
        <f>SUMIFS($AU78:AU$1388,$P78:P$1388,"W")</f>
        <v>21395.341999999928</v>
      </c>
      <c r="BL77" s="343">
        <f>SUMIFS($AU78:AU$1388,$P78:P$1388,"W")</f>
        <v>21395.341999999928</v>
      </c>
      <c r="BM77" s="343">
        <f>SUMIFS($AU78:AU$134,$AQ78:AQ$134,"M")</f>
        <v>0</v>
      </c>
      <c r="BN77" s="343">
        <f>SUMIFS($AU78:AU$134,$AQ78:AQ$134,"M")</f>
        <v>0</v>
      </c>
      <c r="BO77" s="343">
        <f>SUMIFS($AU78:AU$134,$AQ78:AQ$134,"H")</f>
        <v>0</v>
      </c>
      <c r="BP77" s="343">
        <f>SUMIFS($AU80:AU$134,$AQ80:AQ$134,"D")</f>
        <v>400.6</v>
      </c>
      <c r="BQ77" s="343">
        <f>SUMIFS($AU78:AU$134,$Q78:Q$134,"O")</f>
        <v>-32.199999999993601</v>
      </c>
      <c r="BR77" s="343">
        <f>SUMIFS($AU78:AU$134,$AA78:AA$134,"*")</f>
        <v>1188.2000000000064</v>
      </c>
      <c r="BS77" s="343">
        <f>SUMIFS($AU78:AU$134,$AA78:AA$134,"*")</f>
        <v>1188.2000000000064</v>
      </c>
      <c r="BT77" s="343">
        <f>SUMIFS($AU78:AU$134,$AB78:AB$134,"*")</f>
        <v>176</v>
      </c>
      <c r="BU77" s="343">
        <f>SUMIFS($AU78:AU$134,$AA78:AA$134,"*",$AB78:AB$134,"*")</f>
        <v>176</v>
      </c>
      <c r="BV77" s="343">
        <f>SUMIFS($AU78:AU$134,$AA78:AA$134,"*",$AB78:AB$134,"*")</f>
        <v>176</v>
      </c>
      <c r="BW77" s="343">
        <f>SUMIFS($AU78:AU$134,$AA78:AA$134,"*",$AC78:AC$134,"*")</f>
        <v>964.80000000000007</v>
      </c>
      <c r="BX77" s="343">
        <f>SUMIFS($AU78:AU$1388,$Q78:Q$1388,"F")</f>
        <v>14664.066666666669</v>
      </c>
      <c r="BY77" s="343">
        <f>SUMIFS($AU78:AU$1388,$Q78:Q$1388,"S")</f>
        <v>21668.642</v>
      </c>
      <c r="BZ77" s="343">
        <f>SUMIFS($AU78:AU$1388,$Q78:Q$1388,"O")</f>
        <v>-1681.0579999997917</v>
      </c>
    </row>
    <row r="78" spans="1:78" ht="18" customHeight="1">
      <c r="A78" s="221" t="s">
        <v>347</v>
      </c>
      <c r="B78" s="177">
        <v>44876</v>
      </c>
      <c r="C78" s="178" t="s">
        <v>505</v>
      </c>
      <c r="D78" s="178" t="s">
        <v>111</v>
      </c>
      <c r="E78" s="227"/>
      <c r="F78" s="180"/>
      <c r="G78" s="181" t="s">
        <v>506</v>
      </c>
      <c r="H78" s="182"/>
      <c r="I78" s="182"/>
      <c r="J78" s="182"/>
      <c r="K78" s="183"/>
      <c r="L78" s="182"/>
      <c r="M78" s="182"/>
      <c r="N78" s="182"/>
      <c r="O78" s="183"/>
      <c r="P78" s="183"/>
      <c r="Q78" s="183"/>
      <c r="R78" s="183"/>
      <c r="S78" s="183"/>
      <c r="T78" s="183"/>
      <c r="U78" s="183"/>
      <c r="V78" s="183"/>
      <c r="W78" s="183"/>
      <c r="X78" s="183"/>
      <c r="Y78" s="184">
        <f t="shared" si="33"/>
        <v>0</v>
      </c>
      <c r="Z78" s="184">
        <f t="shared" si="41"/>
        <v>0</v>
      </c>
      <c r="AA78" s="185"/>
      <c r="AB78" s="185"/>
      <c r="AC78" s="185"/>
      <c r="AD78" s="649">
        <v>0.14000000000000001</v>
      </c>
      <c r="AE78" s="182"/>
      <c r="AF78" s="332"/>
      <c r="AG78" s="182"/>
      <c r="AH78" s="182"/>
      <c r="AI78" s="182"/>
      <c r="AJ78" s="640"/>
      <c r="AK78" s="182"/>
      <c r="AL78" s="496"/>
      <c r="AM78" s="497"/>
      <c r="AN78" s="626"/>
      <c r="AO78" s="182"/>
      <c r="AP78" s="182" t="s">
        <v>529</v>
      </c>
      <c r="AQ78" s="332" t="str">
        <f>UPPER(RIGHT(Journal_Live[[#This Row],[DURATION ]]))</f>
        <v xml:space="preserve"> </v>
      </c>
      <c r="AR78" s="182"/>
      <c r="AS78" s="189"/>
      <c r="AT78" s="182">
        <f t="shared" si="36"/>
        <v>0</v>
      </c>
      <c r="AU78" s="187"/>
      <c r="AV78" s="190">
        <f t="shared" si="38"/>
        <v>0</v>
      </c>
      <c r="AW78" s="191"/>
      <c r="AX78" s="407" t="s">
        <v>530</v>
      </c>
      <c r="AY78" s="407" t="s">
        <v>516</v>
      </c>
      <c r="AZ78" s="407"/>
      <c r="BA78" s="407"/>
      <c r="BB78" s="407"/>
      <c r="BC78" s="407"/>
      <c r="BD78" s="407"/>
      <c r="BE78" s="407"/>
      <c r="BF78" s="422"/>
      <c r="BG78" s="391">
        <f>SUM($AV$4:AV78)</f>
        <v>398.22000000002026</v>
      </c>
      <c r="BH78" s="392">
        <f>SUM($AU$4:AU78)</f>
        <v>625.27000000002033</v>
      </c>
      <c r="BI78" s="318"/>
      <c r="BJ78" s="318">
        <f>SUMIFS($AU79:AU$1388,$Q79:Q$1388,"F")</f>
        <v>14664.066666666669</v>
      </c>
      <c r="BK78" s="343">
        <f>SUMIFS($AU79:AU$1388,$P79:P$1388,"W")</f>
        <v>21395.341999999928</v>
      </c>
      <c r="BL78" s="343">
        <f>SUMIFS($AU79:AU$1388,$P79:P$1388,"W")</f>
        <v>21395.341999999928</v>
      </c>
      <c r="BM78" s="343">
        <f>SUMIFS($AU79:AU$134,$AQ79:AQ$134,"M")</f>
        <v>0</v>
      </c>
      <c r="BN78" s="343">
        <f>SUMIFS($AU79:AU$134,$AQ79:AQ$134,"M")</f>
        <v>0</v>
      </c>
      <c r="BO78" s="343">
        <f>SUMIFS($AU79:AU$134,$AQ79:AQ$134,"H")</f>
        <v>0</v>
      </c>
      <c r="BP78" s="343">
        <f>SUMIFS($AU81:AU$134,$AQ81:AQ$134,"D")</f>
        <v>400.6</v>
      </c>
      <c r="BQ78" s="343">
        <f>SUMIFS($AU79:AU$134,$Q79:Q$134,"O")</f>
        <v>-32.199999999993601</v>
      </c>
      <c r="BR78" s="343">
        <f>SUMIFS($AU79:AU$134,$AA79:AA$134,"*")</f>
        <v>1188.2000000000064</v>
      </c>
      <c r="BS78" s="343">
        <f>SUMIFS($AU79:AU$134,$AA79:AA$134,"*")</f>
        <v>1188.2000000000064</v>
      </c>
      <c r="BT78" s="343">
        <f>SUMIFS($AU79:AU$134,$AB79:AB$134,"*")</f>
        <v>176</v>
      </c>
      <c r="BU78" s="343">
        <f>SUMIFS($AU79:AU$134,$AA79:AA$134,"*",$AB79:AB$134,"*")</f>
        <v>176</v>
      </c>
      <c r="BV78" s="343">
        <f>SUMIFS($AU79:AU$134,$AA79:AA$134,"*",$AB79:AB$134,"*")</f>
        <v>176</v>
      </c>
      <c r="BW78" s="343">
        <f>SUMIFS($AU79:AU$134,$AA79:AA$134,"*",$AC79:AC$134,"*")</f>
        <v>964.80000000000007</v>
      </c>
      <c r="BX78" s="343">
        <f>SUMIFS($AU79:AU$1388,$Q79:Q$1388,"F")</f>
        <v>14664.066666666669</v>
      </c>
      <c r="BY78" s="343">
        <f>SUMIFS($AU79:AU$1388,$Q79:Q$1388,"S")</f>
        <v>21668.642</v>
      </c>
      <c r="BZ78" s="343">
        <f>SUMIFS($AU79:AU$1388,$Q79:Q$1388,"O")</f>
        <v>-1681.0579999997917</v>
      </c>
    </row>
    <row r="79" spans="1:78" ht="18" customHeight="1">
      <c r="A79" s="221" t="s">
        <v>347</v>
      </c>
      <c r="B79" s="177">
        <v>44879</v>
      </c>
      <c r="C79" s="178" t="s">
        <v>518</v>
      </c>
      <c r="D79" s="178" t="s">
        <v>132</v>
      </c>
      <c r="E79" s="227"/>
      <c r="F79" s="180"/>
      <c r="G79" s="181" t="s">
        <v>531</v>
      </c>
      <c r="H79" s="182"/>
      <c r="I79" s="182"/>
      <c r="J79" s="182"/>
      <c r="K79" s="183"/>
      <c r="L79" s="182"/>
      <c r="M79" s="182"/>
      <c r="N79" s="182"/>
      <c r="O79" s="183"/>
      <c r="P79" s="183"/>
      <c r="Q79" s="183"/>
      <c r="R79" s="183"/>
      <c r="S79" s="183"/>
      <c r="T79" s="183"/>
      <c r="U79" s="183"/>
      <c r="V79" s="183"/>
      <c r="W79" s="183"/>
      <c r="X79" s="183"/>
      <c r="Y79" s="184">
        <f t="shared" si="33"/>
        <v>0</v>
      </c>
      <c r="Z79" s="184">
        <f t="shared" si="41"/>
        <v>0</v>
      </c>
      <c r="AA79" s="185"/>
      <c r="AB79" s="185"/>
      <c r="AC79" s="185"/>
      <c r="AD79" s="649">
        <v>0.12</v>
      </c>
      <c r="AE79" s="182"/>
      <c r="AF79" s="332"/>
      <c r="AG79" s="182"/>
      <c r="AH79" s="182"/>
      <c r="AI79" s="182"/>
      <c r="AJ79" s="640"/>
      <c r="AK79" s="182"/>
      <c r="AL79" s="496"/>
      <c r="AM79" s="497"/>
      <c r="AN79" s="626"/>
      <c r="AO79" s="182"/>
      <c r="AP79" s="182"/>
      <c r="AQ79" s="332" t="str">
        <f>UPPER(RIGHT(Journal_Live[[#This Row],[DURATION ]]))</f>
        <v/>
      </c>
      <c r="AR79" s="182"/>
      <c r="AS79" s="189"/>
      <c r="AT79" s="182">
        <f t="shared" si="36"/>
        <v>0</v>
      </c>
      <c r="AU79" s="187"/>
      <c r="AV79" s="190">
        <f t="shared" si="38"/>
        <v>0</v>
      </c>
      <c r="AW79" s="191"/>
      <c r="AX79" s="407"/>
      <c r="AY79" s="407"/>
      <c r="AZ79" s="407"/>
      <c r="BA79" s="407"/>
      <c r="BB79" s="407"/>
      <c r="BC79" s="407"/>
      <c r="BD79" s="407"/>
      <c r="BE79" s="407"/>
      <c r="BF79" s="422"/>
      <c r="BG79" s="391">
        <f>SUM($AV$4:AV79)</f>
        <v>398.22000000002026</v>
      </c>
      <c r="BH79" s="392">
        <f>SUM($AU$4:AU79)</f>
        <v>625.27000000002033</v>
      </c>
      <c r="BI79" s="318"/>
      <c r="BJ79" s="318">
        <f>SUMIFS($AU80:AU$1388,$Q80:Q$1388,"F")</f>
        <v>14664.066666666669</v>
      </c>
      <c r="BK79" s="343">
        <f>SUMIFS($AU80:AU$1388,$P80:P$1388,"W")</f>
        <v>21395.341999999928</v>
      </c>
      <c r="BL79" s="343">
        <f>SUMIFS($AU80:AU$1388,$P80:P$1388,"W")</f>
        <v>21395.341999999928</v>
      </c>
      <c r="BM79" s="343">
        <f>SUMIFS($AU80:AU$134,$AQ80:AQ$134,"M")</f>
        <v>0</v>
      </c>
      <c r="BN79" s="343">
        <f>SUMIFS($AU80:AU$134,$AQ80:AQ$134,"M")</f>
        <v>0</v>
      </c>
      <c r="BO79" s="343">
        <f>SUMIFS($AU80:AU$134,$AQ80:AQ$134,"H")</f>
        <v>0</v>
      </c>
      <c r="BP79" s="343">
        <f>SUMIFS($AU82:AU$134,$AQ82:AQ$134,"D")</f>
        <v>400.6</v>
      </c>
      <c r="BQ79" s="343">
        <f>SUMIFS($AU80:AU$134,$Q80:Q$134,"O")</f>
        <v>-32.199999999993601</v>
      </c>
      <c r="BR79" s="343">
        <f>SUMIFS($AU80:AU$134,$AA80:AA$134,"*")</f>
        <v>1188.2000000000064</v>
      </c>
      <c r="BS79" s="343">
        <f>SUMIFS($AU80:AU$134,$AA80:AA$134,"*")</f>
        <v>1188.2000000000064</v>
      </c>
      <c r="BT79" s="343">
        <f>SUMIFS($AU80:AU$134,$AB80:AB$134,"*")</f>
        <v>176</v>
      </c>
      <c r="BU79" s="343">
        <f>SUMIFS($AU80:AU$134,$AA80:AA$134,"*",$AB80:AB$134,"*")</f>
        <v>176</v>
      </c>
      <c r="BV79" s="343">
        <f>SUMIFS($AU80:AU$134,$AA80:AA$134,"*",$AB80:AB$134,"*")</f>
        <v>176</v>
      </c>
      <c r="BW79" s="343">
        <f>SUMIFS($AU80:AU$134,$AA80:AA$134,"*",$AC80:AC$134,"*")</f>
        <v>964.80000000000007</v>
      </c>
      <c r="BX79" s="343">
        <f>SUMIFS($AU80:AU$1388,$Q80:Q$1388,"F")</f>
        <v>14664.066666666669</v>
      </c>
      <c r="BY79" s="343">
        <f>SUMIFS($AU80:AU$1388,$Q80:Q$1388,"S")</f>
        <v>21668.642</v>
      </c>
      <c r="BZ79" s="343">
        <f>SUMIFS($AU80:AU$1388,$Q80:Q$1388,"O")</f>
        <v>-1681.0579999997917</v>
      </c>
    </row>
    <row r="80" spans="1:78" ht="18" customHeight="1">
      <c r="A80" s="221" t="s">
        <v>347</v>
      </c>
      <c r="B80" s="177">
        <v>44879</v>
      </c>
      <c r="C80" s="178" t="s">
        <v>518</v>
      </c>
      <c r="D80" s="178" t="s">
        <v>132</v>
      </c>
      <c r="E80" s="227"/>
      <c r="F80" s="180"/>
      <c r="G80" s="240" t="s">
        <v>532</v>
      </c>
      <c r="H80" s="182"/>
      <c r="I80" s="182"/>
      <c r="J80" s="182"/>
      <c r="K80" s="183"/>
      <c r="L80" s="182"/>
      <c r="M80" s="182">
        <v>2</v>
      </c>
      <c r="N80" s="182"/>
      <c r="O80" s="183" t="s">
        <v>95</v>
      </c>
      <c r="P80" s="183" t="s">
        <v>96</v>
      </c>
      <c r="Q80" s="183" t="s">
        <v>256</v>
      </c>
      <c r="R80" s="183">
        <v>1</v>
      </c>
      <c r="S80" s="183">
        <v>1</v>
      </c>
      <c r="T80" s="183">
        <v>1</v>
      </c>
      <c r="U80" s="183" t="s">
        <v>22</v>
      </c>
      <c r="V80" s="183"/>
      <c r="W80" s="183"/>
      <c r="X80" s="183"/>
      <c r="Y80" s="184">
        <f t="shared" si="33"/>
        <v>0.01</v>
      </c>
      <c r="Z80" s="184">
        <f t="shared" si="41"/>
        <v>1580</v>
      </c>
      <c r="AA80" s="185" t="s">
        <v>520</v>
      </c>
      <c r="AB80" s="185"/>
      <c r="AC80" s="185" t="s">
        <v>521</v>
      </c>
      <c r="AD80" s="649">
        <v>0.02</v>
      </c>
      <c r="AE80" s="182"/>
      <c r="AF80" s="332" t="s">
        <v>533</v>
      </c>
      <c r="AG80" s="182"/>
      <c r="AH80" s="182" t="s">
        <v>534</v>
      </c>
      <c r="AI80" s="182" t="s">
        <v>535</v>
      </c>
      <c r="AJ80" s="640"/>
      <c r="AK80" s="182"/>
      <c r="AL80" s="496">
        <f>-0.03*Z80</f>
        <v>-47.4</v>
      </c>
      <c r="AM80" s="496">
        <f>AL80*R80</f>
        <v>-47.4</v>
      </c>
      <c r="AN80" s="626" t="s">
        <v>536</v>
      </c>
      <c r="AO80" s="182" t="s">
        <v>513</v>
      </c>
      <c r="AP80" s="182" t="s">
        <v>537</v>
      </c>
      <c r="AQ80" s="332" t="str">
        <f>UPPER(RIGHT(Journal_Live[[#This Row],[DURATION ]]))</f>
        <v>+</v>
      </c>
      <c r="AR80" s="182" t="s">
        <v>538</v>
      </c>
      <c r="AS80" s="189">
        <v>0.05</v>
      </c>
      <c r="AT80" s="189">
        <f t="shared" si="36"/>
        <v>3.0000000000000002E-2</v>
      </c>
      <c r="AU80" s="187">
        <f>AV80*R80</f>
        <v>47.400000000000006</v>
      </c>
      <c r="AV80" s="190">
        <f t="shared" si="38"/>
        <v>47.400000000000006</v>
      </c>
      <c r="AW80" s="191" t="s">
        <v>96</v>
      </c>
      <c r="AX80" s="407" t="s">
        <v>539</v>
      </c>
      <c r="AY80" s="407" t="s">
        <v>540</v>
      </c>
      <c r="AZ80" s="407" t="s">
        <v>541</v>
      </c>
      <c r="BA80" s="407" t="s">
        <v>542</v>
      </c>
      <c r="BB80" s="407" t="s">
        <v>543</v>
      </c>
      <c r="BC80" s="407" t="s">
        <v>544</v>
      </c>
      <c r="BD80" s="407" t="s">
        <v>545</v>
      </c>
      <c r="BE80" s="407" t="s">
        <v>546</v>
      </c>
      <c r="BF80" s="422" t="s">
        <v>547</v>
      </c>
      <c r="BG80" s="391">
        <f>SUM($AV$4:AV80)</f>
        <v>445.62000000002024</v>
      </c>
      <c r="BH80" s="392">
        <f>SUM($AU$4:AU80)</f>
        <v>672.67000000002031</v>
      </c>
      <c r="BI80" s="318"/>
      <c r="BJ80" s="318">
        <f>SUMIFS($AU81:AU$1388,$Q81:Q$1388,"F")</f>
        <v>14616.666666666668</v>
      </c>
      <c r="BK80" s="343">
        <f>SUMIFS($AU81:AU$1388,$P81:P$1388,"W")</f>
        <v>21347.941999999926</v>
      </c>
      <c r="BL80" s="343">
        <f>SUMIFS($AU81:AU$1388,$P81:P$1388,"W")</f>
        <v>21347.941999999926</v>
      </c>
      <c r="BM80" s="343">
        <f>SUMIFS($AU81:AU$134,$AQ81:AQ$134,"M")</f>
        <v>0</v>
      </c>
      <c r="BN80" s="343">
        <f>SUMIFS($AU81:AU$134,$AQ81:AQ$134,"M")</f>
        <v>0</v>
      </c>
      <c r="BO80" s="343">
        <f>SUMIFS($AU81:AU$134,$AQ81:AQ$134,"H")</f>
        <v>0</v>
      </c>
      <c r="BP80" s="343">
        <f>SUMIFS($AU83:AU$134,$AQ83:AQ$134,"D")</f>
        <v>400.6</v>
      </c>
      <c r="BQ80" s="343">
        <f>SUMIFS($AU81:AU$134,$Q81:Q$134,"O")</f>
        <v>-32.199999999993601</v>
      </c>
      <c r="BR80" s="343">
        <f>SUMIFS($AU81:AU$134,$AA81:AA$134,"*")</f>
        <v>1140.8000000000063</v>
      </c>
      <c r="BS80" s="343">
        <f>SUMIFS($AU81:AU$134,$AA81:AA$134,"*")</f>
        <v>1140.8000000000063</v>
      </c>
      <c r="BT80" s="343">
        <f>SUMIFS($AU81:AU$134,$AB81:AB$134,"*")</f>
        <v>176</v>
      </c>
      <c r="BU80" s="343">
        <f>SUMIFS($AU81:AU$134,$AA81:AA$134,"*",$AB81:AB$134,"*")</f>
        <v>176</v>
      </c>
      <c r="BV80" s="343">
        <f>SUMIFS($AU81:AU$134,$AA81:AA$134,"*",$AB81:AB$134,"*")</f>
        <v>176</v>
      </c>
      <c r="BW80" s="343">
        <f>SUMIFS($AU81:AU$134,$AA81:AA$134,"*",$AC81:AC$134,"*")</f>
        <v>917.4000000000002</v>
      </c>
      <c r="BX80" s="343">
        <f>SUMIFS($AU81:AU$1388,$Q81:Q$1388,"F")</f>
        <v>14616.666666666668</v>
      </c>
      <c r="BY80" s="343">
        <f>SUMIFS($AU81:AU$1388,$Q81:Q$1388,"S")</f>
        <v>21668.642</v>
      </c>
      <c r="BZ80" s="343">
        <f>SUMIFS($AU81:AU$1388,$Q81:Q$1388,"O")</f>
        <v>-1681.0579999997917</v>
      </c>
    </row>
    <row r="81" spans="1:78" ht="18" customHeight="1">
      <c r="A81" s="221" t="s">
        <v>347</v>
      </c>
      <c r="B81" s="177">
        <v>44880</v>
      </c>
      <c r="C81" s="194">
        <v>0.79166666666666663</v>
      </c>
      <c r="D81" s="178" t="s">
        <v>146</v>
      </c>
      <c r="E81" s="227" t="s">
        <v>548</v>
      </c>
      <c r="F81" s="180" t="s">
        <v>549</v>
      </c>
      <c r="G81" s="181"/>
      <c r="H81" s="182"/>
      <c r="I81" s="182"/>
      <c r="J81" s="182">
        <v>1</v>
      </c>
      <c r="K81" s="183" t="s">
        <v>115</v>
      </c>
      <c r="L81" s="182"/>
      <c r="M81" s="182"/>
      <c r="N81" s="182"/>
      <c r="O81" s="183"/>
      <c r="P81" s="183"/>
      <c r="Q81" s="183"/>
      <c r="R81" s="183"/>
      <c r="S81" s="183"/>
      <c r="T81" s="183"/>
      <c r="U81" s="183"/>
      <c r="V81" s="183"/>
      <c r="W81" s="183"/>
      <c r="X81" s="183"/>
      <c r="Y81" s="184">
        <f t="shared" si="33"/>
        <v>0</v>
      </c>
      <c r="Z81" s="184">
        <f t="shared" si="41"/>
        <v>0</v>
      </c>
      <c r="AA81" s="185"/>
      <c r="AB81" s="185"/>
      <c r="AC81" s="185"/>
      <c r="AD81" s="649"/>
      <c r="AE81" s="182"/>
      <c r="AF81" s="332"/>
      <c r="AG81" s="182"/>
      <c r="AH81" s="182"/>
      <c r="AI81" s="182"/>
      <c r="AJ81" s="640"/>
      <c r="AK81" s="182"/>
      <c r="AL81" s="496"/>
      <c r="AM81" s="497"/>
      <c r="AN81" s="626"/>
      <c r="AO81" s="182"/>
      <c r="AP81" s="182"/>
      <c r="AQ81" s="332" t="str">
        <f>UPPER(RIGHT(Journal_Live[[#This Row],[DURATION ]]))</f>
        <v/>
      </c>
      <c r="AR81" s="182"/>
      <c r="AS81" s="189"/>
      <c r="AT81" s="182"/>
      <c r="AU81" s="187"/>
      <c r="AV81" s="190"/>
      <c r="AW81" s="191"/>
      <c r="AX81" s="407"/>
      <c r="AY81" s="407"/>
      <c r="AZ81" s="407"/>
      <c r="BA81" s="407"/>
      <c r="BB81" s="407"/>
      <c r="BC81" s="407"/>
      <c r="BD81" s="407"/>
      <c r="BE81" s="407"/>
      <c r="BF81" s="422"/>
      <c r="BG81" s="391">
        <f>SUM($AV$4:AV81)</f>
        <v>445.62000000002024</v>
      </c>
      <c r="BH81" s="392">
        <f>SUM($AU$4:AU81)</f>
        <v>672.67000000002031</v>
      </c>
      <c r="BI81" s="318"/>
      <c r="BJ81" s="318">
        <f>SUMIFS($AU82:AU$1388,$Q82:Q$1388,"F")</f>
        <v>14616.666666666668</v>
      </c>
      <c r="BK81" s="343">
        <f>SUMIFS($AU82:AU$1388,$P82:P$1388,"W")</f>
        <v>21347.941999999926</v>
      </c>
      <c r="BL81" s="343">
        <f>SUMIFS($AU82:AU$1388,$P82:P$1388,"W")</f>
        <v>21347.941999999926</v>
      </c>
      <c r="BM81" s="343">
        <f>SUMIFS($AU82:AU$134,$AQ82:AQ$134,"M")</f>
        <v>0</v>
      </c>
      <c r="BN81" s="343">
        <f>SUMIFS($AU82:AU$134,$AQ82:AQ$134,"M")</f>
        <v>0</v>
      </c>
      <c r="BO81" s="343">
        <f>SUMIFS($AU82:AU$134,$AQ82:AQ$134,"H")</f>
        <v>0</v>
      </c>
      <c r="BP81" s="343">
        <f>SUMIFS($AU84:AU$134,$AQ84:AQ$134,"D")</f>
        <v>400.6</v>
      </c>
      <c r="BQ81" s="343">
        <f>SUMIFS($AU82:AU$134,$Q82:Q$134,"O")</f>
        <v>-32.199999999993601</v>
      </c>
      <c r="BR81" s="343">
        <f>SUMIFS($AU82:AU$134,$AA82:AA$134,"*")</f>
        <v>1140.8000000000063</v>
      </c>
      <c r="BS81" s="343">
        <f>SUMIFS($AU82:AU$134,$AA82:AA$134,"*")</f>
        <v>1140.8000000000063</v>
      </c>
      <c r="BT81" s="343">
        <f>SUMIFS($AU82:AU$134,$AB82:AB$134,"*")</f>
        <v>176</v>
      </c>
      <c r="BU81" s="343">
        <f>SUMIFS($AU82:AU$134,$AA82:AA$134,"*",$AB82:AB$134,"*")</f>
        <v>176</v>
      </c>
      <c r="BV81" s="343">
        <f>SUMIFS($AU82:AU$134,$AA82:AA$134,"*",$AB82:AB$134,"*")</f>
        <v>176</v>
      </c>
      <c r="BW81" s="343">
        <f>SUMIFS($AU82:AU$134,$AA82:AA$134,"*",$AC82:AC$134,"*")</f>
        <v>917.4000000000002</v>
      </c>
      <c r="BX81" s="343">
        <f>SUMIFS($AU82:AU$1388,$Q82:Q$1388,"F")</f>
        <v>14616.666666666668</v>
      </c>
      <c r="BY81" s="343">
        <f>SUMIFS($AU82:AU$1388,$Q82:Q$1388,"S")</f>
        <v>21668.642</v>
      </c>
      <c r="BZ81" s="343">
        <f>SUMIFS($AU82:AU$1388,$Q82:Q$1388,"O")</f>
        <v>-1681.0579999997917</v>
      </c>
    </row>
    <row r="82" spans="1:78" ht="18" customHeight="1">
      <c r="A82" s="221" t="s">
        <v>347</v>
      </c>
      <c r="B82" s="177">
        <v>44881</v>
      </c>
      <c r="C82" s="194">
        <v>0.25</v>
      </c>
      <c r="D82" s="178" t="s">
        <v>151</v>
      </c>
      <c r="E82" s="227" t="s">
        <v>550</v>
      </c>
      <c r="F82" s="180" t="s">
        <v>551</v>
      </c>
      <c r="G82" s="181"/>
      <c r="H82" s="182">
        <v>1</v>
      </c>
      <c r="I82" s="182"/>
      <c r="J82" s="182"/>
      <c r="K82" s="183" t="s">
        <v>372</v>
      </c>
      <c r="L82" s="182"/>
      <c r="M82" s="182"/>
      <c r="N82" s="182"/>
      <c r="O82" s="183"/>
      <c r="P82" s="183"/>
      <c r="Q82" s="183"/>
      <c r="R82" s="183"/>
      <c r="S82" s="183"/>
      <c r="T82" s="183"/>
      <c r="U82" s="183"/>
      <c r="V82" s="183"/>
      <c r="W82" s="183"/>
      <c r="X82" s="183"/>
      <c r="Y82" s="184">
        <f t="shared" si="33"/>
        <v>0</v>
      </c>
      <c r="Z82" s="184">
        <f t="shared" si="41"/>
        <v>0</v>
      </c>
      <c r="AA82" s="185"/>
      <c r="AB82" s="185"/>
      <c r="AC82" s="185"/>
      <c r="AD82" s="649"/>
      <c r="AE82" s="182"/>
      <c r="AF82" s="332"/>
      <c r="AG82" s="182"/>
      <c r="AH82" s="182"/>
      <c r="AI82" s="182"/>
      <c r="AJ82" s="640"/>
      <c r="AK82" s="182"/>
      <c r="AL82" s="496"/>
      <c r="AM82" s="497"/>
      <c r="AN82" s="626"/>
      <c r="AO82" s="182"/>
      <c r="AP82" s="182"/>
      <c r="AQ82" s="332" t="str">
        <f>UPPER(RIGHT(Journal_Live[[#This Row],[DURATION ]]))</f>
        <v/>
      </c>
      <c r="AR82" s="182"/>
      <c r="AS82" s="189"/>
      <c r="AT82" s="182"/>
      <c r="AU82" s="187"/>
      <c r="AV82" s="190"/>
      <c r="AW82" s="191"/>
      <c r="AX82" s="407"/>
      <c r="AY82" s="407"/>
      <c r="AZ82" s="407"/>
      <c r="BA82" s="407"/>
      <c r="BB82" s="407"/>
      <c r="BC82" s="407"/>
      <c r="BD82" s="407"/>
      <c r="BE82" s="407"/>
      <c r="BF82" s="422"/>
      <c r="BG82" s="391">
        <f>SUM($AV$4:AV82)</f>
        <v>445.62000000002024</v>
      </c>
      <c r="BH82" s="392">
        <f>SUM($AU$4:AU82)</f>
        <v>672.67000000002031</v>
      </c>
      <c r="BI82" s="318"/>
      <c r="BJ82" s="318">
        <f>SUMIFS($AU83:AU$1388,$Q83:Q$1388,"F")</f>
        <v>14616.666666666668</v>
      </c>
      <c r="BK82" s="343">
        <f>SUMIFS($AU83:AU$1388,$P83:P$1388,"W")</f>
        <v>21347.941999999926</v>
      </c>
      <c r="BL82" s="343">
        <f>SUMIFS($AU83:AU$1388,$P83:P$1388,"W")</f>
        <v>21347.941999999926</v>
      </c>
      <c r="BM82" s="343">
        <f>SUMIFS($AU83:AU$134,$AQ83:AQ$134,"M")</f>
        <v>0</v>
      </c>
      <c r="BN82" s="343">
        <f>SUMIFS($AU83:AU$134,$AQ83:AQ$134,"M")</f>
        <v>0</v>
      </c>
      <c r="BO82" s="343">
        <f>SUMIFS($AU83:AU$134,$AQ83:AQ$134,"H")</f>
        <v>0</v>
      </c>
      <c r="BP82" s="343">
        <f>SUMIFS($AU85:AU$134,$AQ85:AQ$134,"D")</f>
        <v>400.6</v>
      </c>
      <c r="BQ82" s="343">
        <f>SUMIFS($AU83:AU$134,$Q83:Q$134,"O")</f>
        <v>-32.199999999993601</v>
      </c>
      <c r="BR82" s="343">
        <f>SUMIFS($AU83:AU$134,$AA83:AA$134,"*")</f>
        <v>1140.8000000000063</v>
      </c>
      <c r="BS82" s="343">
        <f>SUMIFS($AU83:AU$134,$AA83:AA$134,"*")</f>
        <v>1140.8000000000063</v>
      </c>
      <c r="BT82" s="343">
        <f>SUMIFS($AU83:AU$134,$AB83:AB$134,"*")</f>
        <v>176</v>
      </c>
      <c r="BU82" s="343">
        <f>SUMIFS($AU83:AU$134,$AA83:AA$134,"*",$AB83:AB$134,"*")</f>
        <v>176</v>
      </c>
      <c r="BV82" s="343">
        <f>SUMIFS($AU83:AU$134,$AA83:AA$134,"*",$AB83:AB$134,"*")</f>
        <v>176</v>
      </c>
      <c r="BW82" s="343">
        <f>SUMIFS($AU83:AU$134,$AA83:AA$134,"*",$AC83:AC$134,"*")</f>
        <v>917.4000000000002</v>
      </c>
      <c r="BX82" s="343">
        <f>SUMIFS($AU83:AU$1388,$Q83:Q$1388,"F")</f>
        <v>14616.666666666668</v>
      </c>
      <c r="BY82" s="343">
        <f>SUMIFS($AU83:AU$1388,$Q83:Q$1388,"S")</f>
        <v>21668.642</v>
      </c>
      <c r="BZ82" s="343">
        <f>SUMIFS($AU83:AU$1388,$Q83:Q$1388,"O")</f>
        <v>-1681.0579999997917</v>
      </c>
    </row>
    <row r="83" spans="1:78" ht="18" customHeight="1">
      <c r="A83" s="221" t="s">
        <v>347</v>
      </c>
      <c r="B83" s="177">
        <v>44881</v>
      </c>
      <c r="C83" s="178" t="s">
        <v>552</v>
      </c>
      <c r="D83" s="178" t="s">
        <v>151</v>
      </c>
      <c r="E83" s="227"/>
      <c r="F83" s="180"/>
      <c r="G83" s="181" t="s">
        <v>553</v>
      </c>
      <c r="H83" s="182"/>
      <c r="I83" s="182"/>
      <c r="J83" s="182"/>
      <c r="K83" s="183"/>
      <c r="L83" s="182">
        <v>1</v>
      </c>
      <c r="M83" s="182"/>
      <c r="N83" s="182"/>
      <c r="O83" s="183" t="s">
        <v>95</v>
      </c>
      <c r="P83" s="183" t="s">
        <v>137</v>
      </c>
      <c r="Q83" s="183" t="s">
        <v>97</v>
      </c>
      <c r="R83" s="183">
        <v>1</v>
      </c>
      <c r="S83" s="183">
        <v>1</v>
      </c>
      <c r="T83" s="183">
        <v>1</v>
      </c>
      <c r="U83" s="183" t="s">
        <v>22</v>
      </c>
      <c r="V83" s="183"/>
      <c r="W83" s="183"/>
      <c r="X83" s="183"/>
      <c r="Y83" s="184">
        <f t="shared" si="33"/>
        <v>0.01</v>
      </c>
      <c r="Z83" s="184">
        <f t="shared" si="41"/>
        <v>1580</v>
      </c>
      <c r="AA83" s="185" t="s">
        <v>554</v>
      </c>
      <c r="AB83" s="185"/>
      <c r="AC83" s="185" t="s">
        <v>555</v>
      </c>
      <c r="AD83" s="649">
        <v>-0.06</v>
      </c>
      <c r="AE83" s="182"/>
      <c r="AF83" s="332">
        <v>-0.09</v>
      </c>
      <c r="AG83" s="182"/>
      <c r="AH83" s="182">
        <v>-0.05</v>
      </c>
      <c r="AI83" s="182"/>
      <c r="AJ83" s="640"/>
      <c r="AK83" s="182"/>
      <c r="AL83" s="496">
        <f t="shared" ref="AL83:AL84" si="42">-0.03*Z83</f>
        <v>-47.4</v>
      </c>
      <c r="AM83" s="496">
        <f>AL83*R83</f>
        <v>-47.4</v>
      </c>
      <c r="AN83" s="626"/>
      <c r="AO83" s="182"/>
      <c r="AP83" s="182"/>
      <c r="AQ83" s="332" t="str">
        <f>UPPER(RIGHT(Journal_Live[[#This Row],[DURATION ]]))</f>
        <v/>
      </c>
      <c r="AR83" s="182" t="s">
        <v>556</v>
      </c>
      <c r="AS83" s="189">
        <v>-0.06</v>
      </c>
      <c r="AT83" s="189">
        <f>IF(ISBLANK(AS83),,IF(U83="S",AD83-AS83,AS83-AD83))</f>
        <v>0</v>
      </c>
      <c r="AU83" s="187">
        <f>AV83*R83</f>
        <v>0</v>
      </c>
      <c r="AV83" s="190">
        <f>IF(ISBLANK(AS83),,(AT83*Z83))</f>
        <v>0</v>
      </c>
      <c r="AW83" s="191" t="s">
        <v>115</v>
      </c>
      <c r="AX83" s="407"/>
      <c r="AY83" s="407"/>
      <c r="AZ83" s="407"/>
      <c r="BA83" s="407"/>
      <c r="BB83" s="407"/>
      <c r="BC83" s="407"/>
      <c r="BD83" s="407"/>
      <c r="BE83" s="407"/>
      <c r="BF83" s="422"/>
      <c r="BG83" s="391">
        <f>SUM($AV$4:AV83)</f>
        <v>445.62000000002024</v>
      </c>
      <c r="BH83" s="392">
        <f>SUM($AU$4:AU83)</f>
        <v>672.67000000002031</v>
      </c>
      <c r="BI83" s="318"/>
      <c r="BJ83" s="318">
        <f>SUMIFS($AU84:AU$1388,$Q84:Q$1388,"F")</f>
        <v>14616.666666666668</v>
      </c>
      <c r="BK83" s="343">
        <f>SUMIFS($AU84:AU$1388,$P84:P$1388,"W")</f>
        <v>21347.941999999926</v>
      </c>
      <c r="BL83" s="343">
        <f>SUMIFS($AU84:AU$1388,$P84:P$1388,"W")</f>
        <v>21347.941999999926</v>
      </c>
      <c r="BM83" s="343">
        <f>SUMIFS($AU84:AU$134,$AQ84:AQ$134,"M")</f>
        <v>0</v>
      </c>
      <c r="BN83" s="343">
        <f>SUMIFS($AU84:AU$134,$AQ84:AQ$134,"M")</f>
        <v>0</v>
      </c>
      <c r="BO83" s="343">
        <f>SUMIFS($AU84:AU$134,$AQ84:AQ$134,"H")</f>
        <v>0</v>
      </c>
      <c r="BP83" s="343">
        <f>SUMIFS($AU86:AU$134,$AQ86:AQ$134,"D")</f>
        <v>400.6</v>
      </c>
      <c r="BQ83" s="343">
        <f>SUMIFS($AU84:AU$134,$Q84:Q$134,"O")</f>
        <v>-32.199999999993601</v>
      </c>
      <c r="BR83" s="343">
        <f>SUMIFS($AU84:AU$134,$AA84:AA$134,"*")</f>
        <v>1140.8000000000063</v>
      </c>
      <c r="BS83" s="343">
        <f>SUMIFS($AU84:AU$134,$AA84:AA$134,"*")</f>
        <v>1140.8000000000063</v>
      </c>
      <c r="BT83" s="343">
        <f>SUMIFS($AU84:AU$134,$AB84:AB$134,"*")</f>
        <v>176</v>
      </c>
      <c r="BU83" s="343">
        <f>SUMIFS($AU84:AU$134,$AA84:AA$134,"*",$AB84:AB$134,"*")</f>
        <v>176</v>
      </c>
      <c r="BV83" s="343">
        <f>SUMIFS($AU84:AU$134,$AA84:AA$134,"*",$AB84:AB$134,"*")</f>
        <v>176</v>
      </c>
      <c r="BW83" s="343">
        <f>SUMIFS($AU84:AU$134,$AA84:AA$134,"*",$AC84:AC$134,"*")</f>
        <v>917.4000000000002</v>
      </c>
      <c r="BX83" s="343">
        <f>SUMIFS($AU84:AU$1388,$Q84:Q$1388,"F")</f>
        <v>14616.666666666668</v>
      </c>
      <c r="BY83" s="343">
        <f>SUMIFS($AU84:AU$1388,$Q84:Q$1388,"S")</f>
        <v>21668.642</v>
      </c>
      <c r="BZ83" s="343">
        <f>SUMIFS($AU84:AU$1388,$Q84:Q$1388,"O")</f>
        <v>-1681.0579999997917</v>
      </c>
    </row>
    <row r="84" spans="1:78" ht="18" customHeight="1">
      <c r="A84" s="221" t="s">
        <v>347</v>
      </c>
      <c r="B84" s="177">
        <v>44881</v>
      </c>
      <c r="C84" s="178" t="s">
        <v>557</v>
      </c>
      <c r="D84" s="178" t="s">
        <v>151</v>
      </c>
      <c r="E84" s="227"/>
      <c r="F84" s="180"/>
      <c r="G84" s="181" t="s">
        <v>255</v>
      </c>
      <c r="H84" s="182"/>
      <c r="I84" s="182"/>
      <c r="J84" s="182"/>
      <c r="K84" s="183"/>
      <c r="L84" s="182"/>
      <c r="M84" s="182"/>
      <c r="N84" s="182"/>
      <c r="O84" s="183" t="s">
        <v>95</v>
      </c>
      <c r="P84" s="183"/>
      <c r="Q84" s="183"/>
      <c r="R84" s="183">
        <v>1</v>
      </c>
      <c r="S84" s="183">
        <v>1</v>
      </c>
      <c r="T84" s="183">
        <v>1</v>
      </c>
      <c r="U84" s="183" t="s">
        <v>97</v>
      </c>
      <c r="V84" s="183"/>
      <c r="W84" s="183"/>
      <c r="X84" s="183"/>
      <c r="Y84" s="184">
        <f t="shared" si="33"/>
        <v>0.01</v>
      </c>
      <c r="Z84" s="184">
        <f t="shared" si="41"/>
        <v>1580</v>
      </c>
      <c r="AA84" s="185"/>
      <c r="AB84" s="185"/>
      <c r="AC84" s="185"/>
      <c r="AD84" s="649">
        <v>0.13</v>
      </c>
      <c r="AE84" s="182"/>
      <c r="AF84" s="332"/>
      <c r="AG84" s="182"/>
      <c r="AH84" s="182"/>
      <c r="AI84" s="182"/>
      <c r="AJ84" s="640"/>
      <c r="AK84" s="182"/>
      <c r="AL84" s="496">
        <f t="shared" si="42"/>
        <v>-47.4</v>
      </c>
      <c r="AM84" s="496">
        <f>AL84*R84</f>
        <v>-47.4</v>
      </c>
      <c r="AN84" s="626"/>
      <c r="AO84" s="182"/>
      <c r="AP84" s="182"/>
      <c r="AQ84" s="332" t="str">
        <f>UPPER(RIGHT(Journal_Live[[#This Row],[DURATION ]]))</f>
        <v/>
      </c>
      <c r="AR84" s="182" t="s">
        <v>558</v>
      </c>
      <c r="AS84" s="189">
        <v>0.13</v>
      </c>
      <c r="AT84" s="189">
        <f>IF(ISBLANK(AS84),,IF(U84="S",AD84-AS84,AS84-AD84))</f>
        <v>0</v>
      </c>
      <c r="AU84" s="187">
        <f>AV84*R84</f>
        <v>0</v>
      </c>
      <c r="AV84" s="190">
        <f>IF(ISBLANK(AS84),,(AT84*Z84))</f>
        <v>0</v>
      </c>
      <c r="AW84" s="191" t="s">
        <v>115</v>
      </c>
      <c r="AX84" s="407" t="s">
        <v>559</v>
      </c>
      <c r="AY84" s="407" t="s">
        <v>560</v>
      </c>
      <c r="AZ84" s="407" t="s">
        <v>561</v>
      </c>
      <c r="BA84" s="407"/>
      <c r="BB84" s="407"/>
      <c r="BC84" s="407"/>
      <c r="BD84" s="407" t="s">
        <v>562</v>
      </c>
      <c r="BE84" s="407"/>
      <c r="BF84" s="422"/>
      <c r="BG84" s="391">
        <f>SUM($AV$4:AV84)</f>
        <v>445.62000000002024</v>
      </c>
      <c r="BH84" s="392">
        <f>SUM($AU$4:AU84)</f>
        <v>672.67000000002031</v>
      </c>
      <c r="BI84" s="318"/>
      <c r="BJ84" s="318">
        <f>SUMIFS($AU85:AU$1388,$Q85:Q$1388,"F")</f>
        <v>14616.666666666668</v>
      </c>
      <c r="BK84" s="343">
        <f>SUMIFS($AU85:AU$1388,$P85:P$1388,"W")</f>
        <v>21347.941999999926</v>
      </c>
      <c r="BL84" s="343">
        <f>SUMIFS($AU85:AU$1388,$P85:P$1388,"W")</f>
        <v>21347.941999999926</v>
      </c>
      <c r="BM84" s="343">
        <f>SUMIFS($AU85:AU$134,$AQ85:AQ$134,"M")</f>
        <v>0</v>
      </c>
      <c r="BN84" s="343">
        <f>SUMIFS($AU85:AU$134,$AQ85:AQ$134,"M")</f>
        <v>0</v>
      </c>
      <c r="BO84" s="343">
        <f>SUMIFS($AU85:AU$134,$AQ85:AQ$134,"H")</f>
        <v>0</v>
      </c>
      <c r="BP84" s="343">
        <f>SUMIFS($AU87:AU$134,$AQ87:AQ$134,"D")</f>
        <v>400.6</v>
      </c>
      <c r="BQ84" s="343">
        <f>SUMIFS($AU85:AU$134,$Q85:Q$134,"O")</f>
        <v>-32.199999999993601</v>
      </c>
      <c r="BR84" s="343">
        <f>SUMIFS($AU85:AU$134,$AA85:AA$134,"*")</f>
        <v>1140.8000000000063</v>
      </c>
      <c r="BS84" s="343">
        <f>SUMIFS($AU85:AU$134,$AA85:AA$134,"*")</f>
        <v>1140.8000000000063</v>
      </c>
      <c r="BT84" s="343">
        <f>SUMIFS($AU85:AU$134,$AB85:AB$134,"*")</f>
        <v>176</v>
      </c>
      <c r="BU84" s="343">
        <f>SUMIFS($AU85:AU$134,$AA85:AA$134,"*",$AB85:AB$134,"*")</f>
        <v>176</v>
      </c>
      <c r="BV84" s="343">
        <f>SUMIFS($AU85:AU$134,$AA85:AA$134,"*",$AB85:AB$134,"*")</f>
        <v>176</v>
      </c>
      <c r="BW84" s="343">
        <f>SUMIFS($AU85:AU$134,$AA85:AA$134,"*",$AC85:AC$134,"*")</f>
        <v>917.4000000000002</v>
      </c>
      <c r="BX84" s="343">
        <f>SUMIFS($AU85:AU$1388,$Q85:Q$1388,"F")</f>
        <v>14616.666666666668</v>
      </c>
      <c r="BY84" s="343">
        <f>SUMIFS($AU85:AU$1388,$Q85:Q$1388,"S")</f>
        <v>21668.642</v>
      </c>
      <c r="BZ84" s="343">
        <f>SUMIFS($AU85:AU$1388,$Q85:Q$1388,"O")</f>
        <v>-1681.0579999997917</v>
      </c>
    </row>
    <row r="85" spans="1:78" ht="18" customHeight="1">
      <c r="A85" s="221" t="s">
        <v>347</v>
      </c>
      <c r="B85" s="177">
        <v>44881</v>
      </c>
      <c r="C85" s="194">
        <v>0.79166666666666663</v>
      </c>
      <c r="D85" s="178" t="s">
        <v>151</v>
      </c>
      <c r="E85" s="227" t="s">
        <v>563</v>
      </c>
      <c r="F85" s="180" t="s">
        <v>564</v>
      </c>
      <c r="G85" s="181"/>
      <c r="H85" s="182">
        <v>1</v>
      </c>
      <c r="I85" s="182"/>
      <c r="J85" s="182"/>
      <c r="K85" s="183" t="s">
        <v>372</v>
      </c>
      <c r="L85" s="182"/>
      <c r="M85" s="182"/>
      <c r="N85" s="182"/>
      <c r="O85" s="183"/>
      <c r="P85" s="183"/>
      <c r="Q85" s="183"/>
      <c r="R85" s="183"/>
      <c r="S85" s="183"/>
      <c r="T85" s="183"/>
      <c r="U85" s="183"/>
      <c r="V85" s="183"/>
      <c r="W85" s="183"/>
      <c r="X85" s="183"/>
      <c r="Y85" s="184">
        <f t="shared" si="33"/>
        <v>0</v>
      </c>
      <c r="Z85" s="184">
        <f t="shared" si="41"/>
        <v>0</v>
      </c>
      <c r="AA85" s="185"/>
      <c r="AB85" s="185"/>
      <c r="AC85" s="185"/>
      <c r="AD85" s="649"/>
      <c r="AE85" s="182"/>
      <c r="AF85" s="332"/>
      <c r="AG85" s="182"/>
      <c r="AH85" s="182"/>
      <c r="AI85" s="182"/>
      <c r="AJ85" s="640"/>
      <c r="AK85" s="182"/>
      <c r="AL85" s="496"/>
      <c r="AM85" s="497"/>
      <c r="AN85" s="626"/>
      <c r="AO85" s="182"/>
      <c r="AP85" s="182"/>
      <c r="AQ85" s="332" t="str">
        <f>UPPER(RIGHT(Journal_Live[[#This Row],[DURATION ]]))</f>
        <v/>
      </c>
      <c r="AR85" s="182"/>
      <c r="AS85" s="189"/>
      <c r="AT85" s="182"/>
      <c r="AU85" s="187"/>
      <c r="AV85" s="190"/>
      <c r="AW85" s="191"/>
      <c r="AX85" s="407"/>
      <c r="AY85" s="407"/>
      <c r="AZ85" s="407"/>
      <c r="BA85" s="407"/>
      <c r="BB85" s="407"/>
      <c r="BC85" s="407"/>
      <c r="BD85" s="407"/>
      <c r="BE85" s="407"/>
      <c r="BF85" s="422"/>
      <c r="BG85" s="391">
        <f>SUM($AV$4:AV85)</f>
        <v>445.62000000002024</v>
      </c>
      <c r="BH85" s="392">
        <f>SUM($AU$4:AU85)</f>
        <v>672.67000000002031</v>
      </c>
      <c r="BI85" s="318"/>
      <c r="BJ85" s="318">
        <f>SUMIFS($AU86:AU$1388,$Q86:Q$1388,"F")</f>
        <v>14616.666666666668</v>
      </c>
      <c r="BK85" s="343">
        <f>SUMIFS($AU86:AU$1388,$P86:P$1388,"W")</f>
        <v>21347.941999999926</v>
      </c>
      <c r="BL85" s="343">
        <f>SUMIFS($AU86:AU$1388,$P86:P$1388,"W")</f>
        <v>21347.941999999926</v>
      </c>
      <c r="BM85" s="343">
        <f>SUMIFS($AU86:AU$134,$AQ86:AQ$134,"M")</f>
        <v>0</v>
      </c>
      <c r="BN85" s="343">
        <f>SUMIFS($AU86:AU$134,$AQ86:AQ$134,"M")</f>
        <v>0</v>
      </c>
      <c r="BO85" s="343">
        <f>SUMIFS($AU86:AU$134,$AQ86:AQ$134,"H")</f>
        <v>0</v>
      </c>
      <c r="BP85" s="343">
        <f>SUMIFS($AU88:AU$134,$AQ88:AQ$134,"D")</f>
        <v>400.6</v>
      </c>
      <c r="BQ85" s="343">
        <f>SUMIFS($AU86:AU$134,$Q86:Q$134,"O")</f>
        <v>-32.199999999993601</v>
      </c>
      <c r="BR85" s="343">
        <f>SUMIFS($AU86:AU$134,$AA86:AA$134,"*")</f>
        <v>1140.8000000000063</v>
      </c>
      <c r="BS85" s="343">
        <f>SUMIFS($AU86:AU$134,$AA86:AA$134,"*")</f>
        <v>1140.8000000000063</v>
      </c>
      <c r="BT85" s="343">
        <f>SUMIFS($AU86:AU$134,$AB86:AB$134,"*")</f>
        <v>176</v>
      </c>
      <c r="BU85" s="343">
        <f>SUMIFS($AU86:AU$134,$AA86:AA$134,"*",$AB86:AB$134,"*")</f>
        <v>176</v>
      </c>
      <c r="BV85" s="343">
        <f>SUMIFS($AU86:AU$134,$AA86:AA$134,"*",$AB86:AB$134,"*")</f>
        <v>176</v>
      </c>
      <c r="BW85" s="343">
        <f>SUMIFS($AU86:AU$134,$AA86:AA$134,"*",$AC86:AC$134,"*")</f>
        <v>917.4000000000002</v>
      </c>
      <c r="BX85" s="343">
        <f>SUMIFS($AU86:AU$1388,$Q86:Q$1388,"F")</f>
        <v>14616.666666666668</v>
      </c>
      <c r="BY85" s="343">
        <f>SUMIFS($AU86:AU$1388,$Q86:Q$1388,"S")</f>
        <v>21668.642</v>
      </c>
      <c r="BZ85" s="343">
        <f>SUMIFS($AU86:AU$1388,$Q86:Q$1388,"O")</f>
        <v>-1681.0579999997917</v>
      </c>
    </row>
    <row r="86" spans="1:78" ht="18" customHeight="1">
      <c r="A86" s="221" t="s">
        <v>347</v>
      </c>
      <c r="B86" s="177">
        <v>44882</v>
      </c>
      <c r="C86" s="194">
        <v>0.25</v>
      </c>
      <c r="D86" s="178" t="s">
        <v>93</v>
      </c>
      <c r="E86" s="227" t="s">
        <v>565</v>
      </c>
      <c r="F86" s="180"/>
      <c r="G86" s="181"/>
      <c r="H86" s="182">
        <v>1</v>
      </c>
      <c r="I86" s="182"/>
      <c r="J86" s="182"/>
      <c r="K86" s="183" t="s">
        <v>372</v>
      </c>
      <c r="L86" s="182"/>
      <c r="M86" s="182"/>
      <c r="N86" s="182"/>
      <c r="O86" s="183"/>
      <c r="P86" s="183"/>
      <c r="Q86" s="183"/>
      <c r="R86" s="183"/>
      <c r="S86" s="183"/>
      <c r="T86" s="183"/>
      <c r="U86" s="183"/>
      <c r="V86" s="183"/>
      <c r="W86" s="183"/>
      <c r="X86" s="183"/>
      <c r="Y86" s="184">
        <f t="shared" si="33"/>
        <v>0</v>
      </c>
      <c r="Z86" s="184">
        <f t="shared" si="41"/>
        <v>0</v>
      </c>
      <c r="AA86" s="185"/>
      <c r="AB86" s="185"/>
      <c r="AC86" s="185"/>
      <c r="AD86" s="649"/>
      <c r="AE86" s="182"/>
      <c r="AF86" s="332"/>
      <c r="AG86" s="182"/>
      <c r="AH86" s="182"/>
      <c r="AI86" s="182"/>
      <c r="AJ86" s="640"/>
      <c r="AK86" s="182"/>
      <c r="AL86" s="496"/>
      <c r="AM86" s="497"/>
      <c r="AN86" s="626"/>
      <c r="AO86" s="182"/>
      <c r="AP86" s="182"/>
      <c r="AQ86" s="332" t="str">
        <f>UPPER(RIGHT(Journal_Live[[#This Row],[DURATION ]]))</f>
        <v/>
      </c>
      <c r="AR86" s="182"/>
      <c r="AS86" s="189"/>
      <c r="AT86" s="182"/>
      <c r="AU86" s="187"/>
      <c r="AV86" s="190"/>
      <c r="AW86" s="191"/>
      <c r="AX86" s="407"/>
      <c r="AY86" s="407"/>
      <c r="AZ86" s="407"/>
      <c r="BA86" s="407"/>
      <c r="BB86" s="407"/>
      <c r="BC86" s="407"/>
      <c r="BD86" s="407"/>
      <c r="BE86" s="407"/>
      <c r="BF86" s="422"/>
      <c r="BG86" s="391">
        <f>SUM($AV$4:AV86)</f>
        <v>445.62000000002024</v>
      </c>
      <c r="BH86" s="392">
        <f>SUM($AU$4:AU86)</f>
        <v>672.67000000002031</v>
      </c>
      <c r="BI86" s="318"/>
      <c r="BJ86" s="318">
        <f>SUMIFS($AU87:AU$1388,$Q87:Q$1388,"F")</f>
        <v>14616.666666666668</v>
      </c>
      <c r="BK86" s="343">
        <f>SUMIFS($AU87:AU$1388,$P87:P$1388,"W")</f>
        <v>21347.941999999926</v>
      </c>
      <c r="BL86" s="343">
        <f>SUMIFS($AU87:AU$1388,$P87:P$1388,"W")</f>
        <v>21347.941999999926</v>
      </c>
      <c r="BM86" s="343">
        <f>SUMIFS($AU87:AU$134,$AQ87:AQ$134,"M")</f>
        <v>0</v>
      </c>
      <c r="BN86" s="343">
        <f>SUMIFS($AU87:AU$134,$AQ87:AQ$134,"M")</f>
        <v>0</v>
      </c>
      <c r="BO86" s="343">
        <f>SUMIFS($AU87:AU$134,$AQ87:AQ$134,"H")</f>
        <v>0</v>
      </c>
      <c r="BP86" s="343">
        <f>SUMIFS($AU89:AU$134,$AQ89:AQ$134,"D")</f>
        <v>400.6</v>
      </c>
      <c r="BQ86" s="343">
        <f>SUMIFS($AU87:AU$134,$Q87:Q$134,"O")</f>
        <v>-32.199999999993601</v>
      </c>
      <c r="BR86" s="343">
        <f>SUMIFS($AU87:AU$134,$AA87:AA$134,"*")</f>
        <v>1140.8000000000063</v>
      </c>
      <c r="BS86" s="343">
        <f>SUMIFS($AU87:AU$134,$AA87:AA$134,"*")</f>
        <v>1140.8000000000063</v>
      </c>
      <c r="BT86" s="343">
        <f>SUMIFS($AU87:AU$134,$AB87:AB$134,"*")</f>
        <v>176</v>
      </c>
      <c r="BU86" s="343">
        <f>SUMIFS($AU87:AU$134,$AA87:AA$134,"*",$AB87:AB$134,"*")</f>
        <v>176</v>
      </c>
      <c r="BV86" s="343">
        <f>SUMIFS($AU87:AU$134,$AA87:AA$134,"*",$AB87:AB$134,"*")</f>
        <v>176</v>
      </c>
      <c r="BW86" s="343">
        <f>SUMIFS($AU87:AU$134,$AA87:AA$134,"*",$AC87:AC$134,"*")</f>
        <v>917.4000000000002</v>
      </c>
      <c r="BX86" s="343">
        <f>SUMIFS($AU87:AU$1388,$Q87:Q$1388,"F")</f>
        <v>14616.666666666668</v>
      </c>
      <c r="BY86" s="343">
        <f>SUMIFS($AU87:AU$1388,$Q87:Q$1388,"S")</f>
        <v>21668.642</v>
      </c>
      <c r="BZ86" s="343">
        <f>SUMIFS($AU87:AU$1388,$Q87:Q$1388,"O")</f>
        <v>-1681.0579999997917</v>
      </c>
    </row>
    <row r="87" spans="1:78" ht="18" customHeight="1">
      <c r="A87" s="221" t="s">
        <v>347</v>
      </c>
      <c r="B87" s="177">
        <v>44882</v>
      </c>
      <c r="C87" s="178" t="s">
        <v>566</v>
      </c>
      <c r="D87" s="178" t="s">
        <v>93</v>
      </c>
      <c r="E87" s="227"/>
      <c r="F87" s="180"/>
      <c r="G87" s="181" t="s">
        <v>553</v>
      </c>
      <c r="H87" s="182"/>
      <c r="I87" s="182"/>
      <c r="J87" s="182"/>
      <c r="K87" s="183"/>
      <c r="L87" s="182">
        <v>1</v>
      </c>
      <c r="M87" s="182"/>
      <c r="N87" s="182"/>
      <c r="O87" s="183" t="s">
        <v>95</v>
      </c>
      <c r="P87" s="183" t="s">
        <v>137</v>
      </c>
      <c r="Q87" s="183" t="s">
        <v>97</v>
      </c>
      <c r="R87" s="183">
        <v>1</v>
      </c>
      <c r="S87" s="183">
        <v>1</v>
      </c>
      <c r="T87" s="183">
        <v>1</v>
      </c>
      <c r="U87" s="183" t="s">
        <v>22</v>
      </c>
      <c r="V87" s="183"/>
      <c r="W87" s="183"/>
      <c r="X87" s="183"/>
      <c r="Y87" s="184">
        <f t="shared" si="33"/>
        <v>0.01</v>
      </c>
      <c r="Z87" s="184">
        <f>IF(ISBLANK(O87),,IF(O87=UPPER("IB"),8.63*200,16*100))</f>
        <v>1600</v>
      </c>
      <c r="AA87" s="185" t="s">
        <v>567</v>
      </c>
      <c r="AB87" s="185"/>
      <c r="AC87" s="185" t="s">
        <v>99</v>
      </c>
      <c r="AD87" s="649">
        <v>-7.0000000000000007E-2</v>
      </c>
      <c r="AE87" s="182"/>
      <c r="AF87" s="332">
        <v>-0.11</v>
      </c>
      <c r="AG87" s="182"/>
      <c r="AH87" s="182">
        <v>-7.0000000000000007E-2</v>
      </c>
      <c r="AI87" s="182"/>
      <c r="AJ87" s="640"/>
      <c r="AK87" s="182"/>
      <c r="AL87" s="496">
        <f>-0.03*Z87</f>
        <v>-48</v>
      </c>
      <c r="AM87" s="496">
        <f>AL87*R87</f>
        <v>-48</v>
      </c>
      <c r="AN87" s="626"/>
      <c r="AO87" s="182"/>
      <c r="AP87" s="182"/>
      <c r="AQ87" s="332" t="str">
        <f>UPPER(RIGHT(Journal_Live[[#This Row],[DURATION ]]))</f>
        <v/>
      </c>
      <c r="AR87" s="182" t="s">
        <v>568</v>
      </c>
      <c r="AS87" s="189">
        <v>-0.06</v>
      </c>
      <c r="AT87" s="189">
        <f t="shared" ref="AT87:AT102" si="43">IF(ISBLANK(AS87),,IF(U87="S",AD87-AS87,AS87-AD87))</f>
        <v>1.0000000000000009E-2</v>
      </c>
      <c r="AU87" s="187">
        <f>AV87*R87</f>
        <v>16.000000000000014</v>
      </c>
      <c r="AV87" s="190">
        <f>IF(ISBLANK(AS87),,(AT87*Z87))</f>
        <v>16.000000000000014</v>
      </c>
      <c r="AW87" s="191" t="s">
        <v>96</v>
      </c>
      <c r="AX87" s="407"/>
      <c r="AY87" s="407"/>
      <c r="AZ87" s="407"/>
      <c r="BA87" s="407"/>
      <c r="BB87" s="407"/>
      <c r="BC87" s="407"/>
      <c r="BD87" s="407"/>
      <c r="BE87" s="407"/>
      <c r="BF87" s="422"/>
      <c r="BG87" s="391">
        <f>SUM($AV$4:AV87)</f>
        <v>461.62000000002024</v>
      </c>
      <c r="BH87" s="392">
        <f>SUM($AU$4:AU87)</f>
        <v>688.67000000002031</v>
      </c>
      <c r="BI87" s="318"/>
      <c r="BJ87" s="318">
        <f>SUMIFS($AU88:AU$1388,$Q88:Q$1388,"F")</f>
        <v>14616.666666666668</v>
      </c>
      <c r="BK87" s="343">
        <f>SUMIFS($AU88:AU$1388,$P88:P$1388,"W")</f>
        <v>21347.941999999926</v>
      </c>
      <c r="BL87" s="343">
        <f>SUMIFS($AU88:AU$1388,$P88:P$1388,"W")</f>
        <v>21347.941999999926</v>
      </c>
      <c r="BM87" s="343">
        <f>SUMIFS($AU88:AU$134,$AQ88:AQ$134,"M")</f>
        <v>0</v>
      </c>
      <c r="BN87" s="343">
        <f>SUMIFS($AU88:AU$134,$AQ88:AQ$134,"M")</f>
        <v>0</v>
      </c>
      <c r="BO87" s="343">
        <f>SUMIFS($AU88:AU$134,$AQ88:AQ$134,"H")</f>
        <v>0</v>
      </c>
      <c r="BP87" s="343">
        <f>SUMIFS($AU90:AU$134,$AQ90:AQ$134,"D")</f>
        <v>400.6</v>
      </c>
      <c r="BQ87" s="343">
        <f>SUMIFS($AU88:AU$134,$Q88:Q$134,"O")</f>
        <v>-32.199999999993601</v>
      </c>
      <c r="BR87" s="343">
        <f>SUMIFS($AU88:AU$134,$AA88:AA$134,"*")</f>
        <v>1124.8000000000063</v>
      </c>
      <c r="BS87" s="343">
        <f>SUMIFS($AU88:AU$134,$AA88:AA$134,"*")</f>
        <v>1124.8000000000063</v>
      </c>
      <c r="BT87" s="343">
        <f>SUMIFS($AU88:AU$134,$AB88:AB$134,"*")</f>
        <v>176</v>
      </c>
      <c r="BU87" s="343">
        <f>SUMIFS($AU88:AU$134,$AA88:AA$134,"*",$AB88:AB$134,"*")</f>
        <v>176</v>
      </c>
      <c r="BV87" s="343">
        <f>SUMIFS($AU88:AU$134,$AA88:AA$134,"*",$AB88:AB$134,"*")</f>
        <v>176</v>
      </c>
      <c r="BW87" s="343">
        <f>SUMIFS($AU88:AU$134,$AA88:AA$134,"*",$AC88:AC$134,"*")</f>
        <v>901.40000000000009</v>
      </c>
      <c r="BX87" s="343">
        <f>SUMIFS($AU88:AU$1388,$Q88:Q$1388,"F")</f>
        <v>14616.666666666668</v>
      </c>
      <c r="BY87" s="343">
        <f>SUMIFS($AU88:AU$1388,$Q88:Q$1388,"S")</f>
        <v>21652.642</v>
      </c>
      <c r="BZ87" s="343">
        <f>SUMIFS($AU88:AU$1388,$Q88:Q$1388,"O")</f>
        <v>-1681.0579999997917</v>
      </c>
    </row>
    <row r="88" spans="1:78" ht="18" customHeight="1">
      <c r="A88" s="221" t="s">
        <v>347</v>
      </c>
      <c r="B88" s="177">
        <v>44882</v>
      </c>
      <c r="C88" s="178" t="s">
        <v>569</v>
      </c>
      <c r="D88" s="178" t="s">
        <v>93</v>
      </c>
      <c r="E88" s="227"/>
      <c r="F88" s="180"/>
      <c r="G88" s="199" t="s">
        <v>280</v>
      </c>
      <c r="H88" s="182"/>
      <c r="I88" s="182"/>
      <c r="J88" s="182"/>
      <c r="K88" s="183"/>
      <c r="L88" s="182">
        <v>1</v>
      </c>
      <c r="M88" s="182"/>
      <c r="N88" s="182"/>
      <c r="O88" s="183" t="s">
        <v>95</v>
      </c>
      <c r="P88" s="183" t="s">
        <v>137</v>
      </c>
      <c r="Q88" s="183" t="s">
        <v>97</v>
      </c>
      <c r="R88" s="183">
        <v>3</v>
      </c>
      <c r="S88" s="183">
        <v>3</v>
      </c>
      <c r="T88" s="183">
        <v>3</v>
      </c>
      <c r="U88" s="183" t="s">
        <v>22</v>
      </c>
      <c r="V88" s="183"/>
      <c r="W88" s="183"/>
      <c r="X88" s="183"/>
      <c r="Y88" s="184">
        <f t="shared" si="33"/>
        <v>0.01</v>
      </c>
      <c r="Z88" s="184">
        <f>IF(ISBLANK(O88),,IF(O88=UPPER("IB"),8.63*200,15.8*100))</f>
        <v>1580</v>
      </c>
      <c r="AA88" s="185" t="s">
        <v>570</v>
      </c>
      <c r="AB88" s="185"/>
      <c r="AC88" s="185"/>
      <c r="AD88" s="649">
        <v>-0.09</v>
      </c>
      <c r="AE88" s="182"/>
      <c r="AF88" s="332"/>
      <c r="AG88" s="182"/>
      <c r="AH88" s="182"/>
      <c r="AI88" s="182"/>
      <c r="AJ88" s="640"/>
      <c r="AK88" s="182"/>
      <c r="AL88" s="496"/>
      <c r="AM88" s="497"/>
      <c r="AN88" s="626" t="s">
        <v>571</v>
      </c>
      <c r="AO88" s="182" t="s">
        <v>572</v>
      </c>
      <c r="AP88" s="182" t="s">
        <v>573</v>
      </c>
      <c r="AQ88" s="332" t="str">
        <f>UPPER(RIGHT(Journal_Live[[#This Row],[DURATION ]]))</f>
        <v>S</v>
      </c>
      <c r="AR88" s="182" t="s">
        <v>574</v>
      </c>
      <c r="AS88" s="189">
        <v>-7.0000000000000007E-2</v>
      </c>
      <c r="AT88" s="189">
        <f t="shared" si="43"/>
        <v>1.999999999999999E-2</v>
      </c>
      <c r="AU88" s="187">
        <f>AV88*R88</f>
        <v>94.799999999999955</v>
      </c>
      <c r="AV88" s="190">
        <f>IF(ISBLANK(AS88),,(AT88*Z88))</f>
        <v>31.599999999999984</v>
      </c>
      <c r="AW88" s="191" t="s">
        <v>96</v>
      </c>
      <c r="AX88" s="407"/>
      <c r="AY88" s="407"/>
      <c r="AZ88" s="407"/>
      <c r="BA88" s="407"/>
      <c r="BB88" s="407"/>
      <c r="BC88" s="407"/>
      <c r="BD88" s="407"/>
      <c r="BE88" s="407"/>
      <c r="BF88" s="422"/>
      <c r="BG88" s="391">
        <f>SUM($AV$4:AV88)</f>
        <v>493.22000000002021</v>
      </c>
      <c r="BH88" s="392">
        <f>SUM($AU$4:AU88)</f>
        <v>783.47000000002026</v>
      </c>
      <c r="BI88" s="318"/>
      <c r="BJ88" s="318">
        <f>SUMIFS($AU89:AU$1388,$Q89:Q$1388,"F")</f>
        <v>14616.666666666668</v>
      </c>
      <c r="BK88" s="343">
        <f>SUMIFS($AU89:AU$1388,$P89:P$1388,"W")</f>
        <v>21347.941999999926</v>
      </c>
      <c r="BL88" s="343">
        <f>SUMIFS($AU89:AU$1388,$P89:P$1388,"W")</f>
        <v>21347.941999999926</v>
      </c>
      <c r="BM88" s="343">
        <f>SUMIFS($AU89:AU$134,$AQ89:AQ$134,"M")</f>
        <v>0</v>
      </c>
      <c r="BN88" s="343">
        <f>SUMIFS($AU89:AU$134,$AQ89:AQ$134,"M")</f>
        <v>0</v>
      </c>
      <c r="BO88" s="343">
        <f>SUMIFS($AU89:AU$134,$AQ89:AQ$134,"H")</f>
        <v>0</v>
      </c>
      <c r="BP88" s="343">
        <f>SUMIFS($AU91:AU$134,$AQ91:AQ$134,"D")</f>
        <v>400.6</v>
      </c>
      <c r="BQ88" s="343">
        <f>SUMIFS($AU89:AU$134,$Q89:Q$134,"O")</f>
        <v>-32.199999999993601</v>
      </c>
      <c r="BR88" s="343">
        <f>SUMIFS($AU89:AU$134,$AA89:AA$134,"*")</f>
        <v>1030.0000000000064</v>
      </c>
      <c r="BS88" s="343">
        <f>SUMIFS($AU89:AU$134,$AA89:AA$134,"*")</f>
        <v>1030.0000000000064</v>
      </c>
      <c r="BT88" s="343">
        <f>SUMIFS($AU89:AU$134,$AB89:AB$134,"*")</f>
        <v>176</v>
      </c>
      <c r="BU88" s="343">
        <f>SUMIFS($AU89:AU$134,$AA89:AA$134,"*",$AB89:AB$134,"*")</f>
        <v>176</v>
      </c>
      <c r="BV88" s="343">
        <f>SUMIFS($AU89:AU$134,$AA89:AA$134,"*",$AB89:AB$134,"*")</f>
        <v>176</v>
      </c>
      <c r="BW88" s="343">
        <f>SUMIFS($AU89:AU$134,$AA89:AA$134,"*",$AC89:AC$134,"*")</f>
        <v>901.40000000000009</v>
      </c>
      <c r="BX88" s="343">
        <f>SUMIFS($AU89:AU$1388,$Q89:Q$1388,"F")</f>
        <v>14616.666666666668</v>
      </c>
      <c r="BY88" s="343">
        <f>SUMIFS($AU89:AU$1388,$Q89:Q$1388,"S")</f>
        <v>21557.841999999997</v>
      </c>
      <c r="BZ88" s="343">
        <f>SUMIFS($AU89:AU$1388,$Q89:Q$1388,"O")</f>
        <v>-1681.0579999997917</v>
      </c>
    </row>
    <row r="89" spans="1:78" ht="18" customHeight="1">
      <c r="A89" s="221" t="s">
        <v>347</v>
      </c>
      <c r="B89" s="177">
        <v>44883</v>
      </c>
      <c r="C89" s="178" t="s">
        <v>575</v>
      </c>
      <c r="D89" s="178" t="s">
        <v>111</v>
      </c>
      <c r="E89" s="227"/>
      <c r="F89" s="180"/>
      <c r="G89" s="241" t="s">
        <v>576</v>
      </c>
      <c r="H89" s="182"/>
      <c r="I89" s="182"/>
      <c r="J89" s="182"/>
      <c r="K89" s="183"/>
      <c r="L89" s="182"/>
      <c r="M89" s="182">
        <v>1</v>
      </c>
      <c r="N89" s="182"/>
      <c r="O89" s="183" t="s">
        <v>95</v>
      </c>
      <c r="P89" s="183" t="s">
        <v>96</v>
      </c>
      <c r="Q89" s="183" t="s">
        <v>97</v>
      </c>
      <c r="R89" s="183">
        <v>2</v>
      </c>
      <c r="S89" s="183">
        <v>2</v>
      </c>
      <c r="T89" s="183">
        <v>2</v>
      </c>
      <c r="U89" s="183" t="s">
        <v>97</v>
      </c>
      <c r="V89" s="183"/>
      <c r="W89" s="183"/>
      <c r="X89" s="183"/>
      <c r="Y89" s="184">
        <f t="shared" si="33"/>
        <v>0.01</v>
      </c>
      <c r="Z89" s="184">
        <f>IF(ISBLANK(O89),,IF(O89=UPPER("IB"),8.63*200,16*100))</f>
        <v>1600</v>
      </c>
      <c r="AA89" s="185" t="s">
        <v>285</v>
      </c>
      <c r="AB89" s="185"/>
      <c r="AC89" s="185" t="s">
        <v>577</v>
      </c>
      <c r="AD89" s="649">
        <v>0.13</v>
      </c>
      <c r="AE89" s="182"/>
      <c r="AF89" s="332"/>
      <c r="AG89" s="182"/>
      <c r="AH89" s="182"/>
      <c r="AI89" s="182"/>
      <c r="AJ89" s="640" t="s">
        <v>578</v>
      </c>
      <c r="AK89" s="182"/>
      <c r="AL89" s="496"/>
      <c r="AM89" s="497"/>
      <c r="AN89" s="626"/>
      <c r="AO89" s="182"/>
      <c r="AP89" s="182" t="s">
        <v>158</v>
      </c>
      <c r="AQ89" s="332" t="str">
        <f>UPPER(RIGHT(Journal_Live[[#This Row],[DURATION ]]))</f>
        <v>S</v>
      </c>
      <c r="AR89" s="182" t="s">
        <v>579</v>
      </c>
      <c r="AS89" s="189">
        <v>0.12</v>
      </c>
      <c r="AT89" s="189">
        <f t="shared" si="43"/>
        <v>1.0000000000000009E-2</v>
      </c>
      <c r="AU89" s="187">
        <f>AV89*R89</f>
        <v>32.000000000000028</v>
      </c>
      <c r="AV89" s="190">
        <f>IF(ISBLANK(AS89),,(AT89*Z89))</f>
        <v>16.000000000000014</v>
      </c>
      <c r="AW89" s="191" t="s">
        <v>96</v>
      </c>
      <c r="AX89" s="407" t="s">
        <v>580</v>
      </c>
      <c r="AY89" s="407"/>
      <c r="AZ89" s="407"/>
      <c r="BA89" s="407" t="s">
        <v>581</v>
      </c>
      <c r="BB89" s="407"/>
      <c r="BC89" s="407"/>
      <c r="BD89" s="407"/>
      <c r="BE89" s="407"/>
      <c r="BF89" s="422"/>
      <c r="BG89" s="391">
        <f>SUM($AV$4:AV89)</f>
        <v>509.22000000002021</v>
      </c>
      <c r="BH89" s="392">
        <f>SUM($AU$4:AU89)</f>
        <v>815.47000000002026</v>
      </c>
      <c r="BI89" s="318"/>
      <c r="BJ89" s="318">
        <f>SUMIFS($AU90:AU$1388,$Q90:Q$1388,"F")</f>
        <v>14616.666666666668</v>
      </c>
      <c r="BK89" s="343">
        <f>SUMIFS($AU90:AU$1388,$P90:P$1388,"W")</f>
        <v>21315.941999999926</v>
      </c>
      <c r="BL89" s="343">
        <f>SUMIFS($AU90:AU$1388,$P90:P$1388,"W")</f>
        <v>21315.941999999926</v>
      </c>
      <c r="BM89" s="343">
        <f>SUMIFS($AU90:AU$134,$AQ90:AQ$134,"M")</f>
        <v>0</v>
      </c>
      <c r="BN89" s="343">
        <f>SUMIFS($AU90:AU$134,$AQ90:AQ$134,"M")</f>
        <v>0</v>
      </c>
      <c r="BO89" s="343">
        <f>SUMIFS($AU90:AU$134,$AQ90:AQ$134,"H")</f>
        <v>0</v>
      </c>
      <c r="BP89" s="343">
        <f>SUMIFS($AU92:AU$134,$AQ92:AQ$134,"D")</f>
        <v>400.6</v>
      </c>
      <c r="BQ89" s="343">
        <f>SUMIFS($AU90:AU$134,$Q90:Q$134,"O")</f>
        <v>-32.199999999993601</v>
      </c>
      <c r="BR89" s="343">
        <f>SUMIFS($AU90:AU$134,$AA90:AA$134,"*")</f>
        <v>998.00000000000648</v>
      </c>
      <c r="BS89" s="343">
        <f>SUMIFS($AU90:AU$134,$AA90:AA$134,"*")</f>
        <v>998.00000000000648</v>
      </c>
      <c r="BT89" s="343">
        <f>SUMIFS($AU90:AU$134,$AB90:AB$134,"*")</f>
        <v>176</v>
      </c>
      <c r="BU89" s="343">
        <f>SUMIFS($AU90:AU$134,$AA90:AA$134,"*",$AB90:AB$134,"*")</f>
        <v>176</v>
      </c>
      <c r="BV89" s="343">
        <f>SUMIFS($AU90:AU$134,$AA90:AA$134,"*",$AB90:AB$134,"*")</f>
        <v>176</v>
      </c>
      <c r="BW89" s="343">
        <f>SUMIFS($AU90:AU$134,$AA90:AA$134,"*",$AC90:AC$134,"*")</f>
        <v>869.40000000000009</v>
      </c>
      <c r="BX89" s="343">
        <f>SUMIFS($AU90:AU$1388,$Q90:Q$1388,"F")</f>
        <v>14616.666666666668</v>
      </c>
      <c r="BY89" s="343">
        <f>SUMIFS($AU90:AU$1388,$Q90:Q$1388,"S")</f>
        <v>21525.841999999997</v>
      </c>
      <c r="BZ89" s="343">
        <f>SUMIFS($AU90:AU$1388,$Q90:Q$1388,"O")</f>
        <v>-1681.0579999997917</v>
      </c>
    </row>
    <row r="90" spans="1:78" ht="18" customHeight="1">
      <c r="A90" s="221" t="s">
        <v>347</v>
      </c>
      <c r="B90" s="177">
        <v>44887</v>
      </c>
      <c r="C90" s="178"/>
      <c r="D90" s="178" t="s">
        <v>146</v>
      </c>
      <c r="E90" s="227"/>
      <c r="F90" s="180"/>
      <c r="G90" s="181"/>
      <c r="H90" s="182"/>
      <c r="I90" s="182"/>
      <c r="J90" s="182"/>
      <c r="K90" s="183"/>
      <c r="L90" s="182"/>
      <c r="M90" s="182"/>
      <c r="N90" s="182"/>
      <c r="O90" s="183"/>
      <c r="P90" s="183"/>
      <c r="Q90" s="183"/>
      <c r="R90" s="183"/>
      <c r="S90" s="183"/>
      <c r="T90" s="183"/>
      <c r="U90" s="183"/>
      <c r="V90" s="183"/>
      <c r="W90" s="183"/>
      <c r="X90" s="183"/>
      <c r="Y90" s="184">
        <f t="shared" si="33"/>
        <v>0</v>
      </c>
      <c r="Z90" s="184">
        <f>IF(ISBLANK(O90),,IF(O90=UPPER("IB"),8.63*200,16*100))</f>
        <v>0</v>
      </c>
      <c r="AA90" s="185"/>
      <c r="AB90" s="185"/>
      <c r="AC90" s="185"/>
      <c r="AD90" s="649"/>
      <c r="AE90" s="182"/>
      <c r="AF90" s="332"/>
      <c r="AG90" s="182"/>
      <c r="AH90" s="182"/>
      <c r="AI90" s="182"/>
      <c r="AJ90" s="640"/>
      <c r="AK90" s="182"/>
      <c r="AL90" s="496"/>
      <c r="AM90" s="497"/>
      <c r="AN90" s="626"/>
      <c r="AO90" s="182"/>
      <c r="AP90" s="182"/>
      <c r="AQ90" s="332" t="str">
        <f>UPPER(RIGHT(Journal_Live[[#This Row],[DURATION ]]))</f>
        <v/>
      </c>
      <c r="AR90" s="182"/>
      <c r="AS90" s="189"/>
      <c r="AT90" s="182">
        <f t="shared" si="43"/>
        <v>0</v>
      </c>
      <c r="AU90" s="187"/>
      <c r="AV90" s="190"/>
      <c r="AW90" s="191"/>
      <c r="AX90" s="407" t="s">
        <v>582</v>
      </c>
      <c r="AY90" s="407" t="s">
        <v>583</v>
      </c>
      <c r="AZ90" s="407" t="s">
        <v>584</v>
      </c>
      <c r="BA90" s="407"/>
      <c r="BB90" s="407"/>
      <c r="BC90" s="407"/>
      <c r="BD90" s="407"/>
      <c r="BE90" s="407"/>
      <c r="BF90" s="422"/>
      <c r="BG90" s="391">
        <f>SUM($AV$4:AV90)</f>
        <v>509.22000000002021</v>
      </c>
      <c r="BH90" s="392">
        <f>SUM($AU$4:AU90)</f>
        <v>815.47000000002026</v>
      </c>
      <c r="BI90" s="318"/>
      <c r="BJ90" s="318">
        <f>SUMIFS($AU91:AU$1388,$Q91:Q$1388,"F")</f>
        <v>14616.666666666668</v>
      </c>
      <c r="BK90" s="343">
        <f>SUMIFS($AU91:AU$1388,$P91:P$1388,"W")</f>
        <v>21315.941999999926</v>
      </c>
      <c r="BL90" s="343">
        <f>SUMIFS($AU91:AU$1388,$P91:P$1388,"W")</f>
        <v>21315.941999999926</v>
      </c>
      <c r="BM90" s="343">
        <f>SUMIFS($AU91:AU$134,$AQ91:AQ$134,"M")</f>
        <v>0</v>
      </c>
      <c r="BN90" s="343">
        <f>SUMIFS($AU91:AU$134,$AQ91:AQ$134,"M")</f>
        <v>0</v>
      </c>
      <c r="BO90" s="343">
        <f>SUMIFS($AU91:AU$134,$AQ91:AQ$134,"H")</f>
        <v>0</v>
      </c>
      <c r="BP90" s="343">
        <f>SUMIFS($AU93:AU$134,$AQ93:AQ$134,"D")</f>
        <v>400.6</v>
      </c>
      <c r="BQ90" s="343">
        <f>SUMIFS($AU91:AU$134,$Q91:Q$134,"O")</f>
        <v>-32.199999999993601</v>
      </c>
      <c r="BR90" s="343">
        <f>SUMIFS($AU91:AU$134,$AA91:AA$134,"*")</f>
        <v>998.00000000000648</v>
      </c>
      <c r="BS90" s="343">
        <f>SUMIFS($AU91:AU$134,$AA91:AA$134,"*")</f>
        <v>998.00000000000648</v>
      </c>
      <c r="BT90" s="343">
        <f>SUMIFS($AU91:AU$134,$AB91:AB$134,"*")</f>
        <v>176</v>
      </c>
      <c r="BU90" s="343">
        <f>SUMIFS($AU91:AU$134,$AA91:AA$134,"*",$AB91:AB$134,"*")</f>
        <v>176</v>
      </c>
      <c r="BV90" s="343">
        <f>SUMIFS($AU91:AU$134,$AA91:AA$134,"*",$AB91:AB$134,"*")</f>
        <v>176</v>
      </c>
      <c r="BW90" s="343">
        <f>SUMIFS($AU91:AU$134,$AA91:AA$134,"*",$AC91:AC$134,"*")</f>
        <v>869.40000000000009</v>
      </c>
      <c r="BX90" s="343">
        <f>SUMIFS($AU91:AU$1388,$Q91:Q$1388,"F")</f>
        <v>14616.666666666668</v>
      </c>
      <c r="BY90" s="343">
        <f>SUMIFS($AU91:AU$1388,$Q91:Q$1388,"S")</f>
        <v>21525.841999999997</v>
      </c>
      <c r="BZ90" s="343">
        <f>SUMIFS($AU91:AU$1388,$Q91:Q$1388,"O")</f>
        <v>-1681.0579999997917</v>
      </c>
    </row>
    <row r="91" spans="1:78" ht="18" customHeight="1">
      <c r="A91" s="221" t="s">
        <v>347</v>
      </c>
      <c r="B91" s="242">
        <v>44888</v>
      </c>
      <c r="C91" s="243" t="s">
        <v>500</v>
      </c>
      <c r="D91" s="243" t="s">
        <v>151</v>
      </c>
      <c r="E91" s="244" t="s">
        <v>585</v>
      </c>
      <c r="F91" s="180" t="s">
        <v>586</v>
      </c>
      <c r="G91" s="181"/>
      <c r="H91" s="182"/>
      <c r="I91" s="182">
        <v>1</v>
      </c>
      <c r="J91" s="182"/>
      <c r="K91" s="183" t="s">
        <v>372</v>
      </c>
      <c r="L91" s="182"/>
      <c r="M91" s="182"/>
      <c r="N91" s="182"/>
      <c r="O91" s="183"/>
      <c r="P91" s="183"/>
      <c r="Q91" s="183"/>
      <c r="R91" s="183"/>
      <c r="S91" s="183"/>
      <c r="T91" s="183"/>
      <c r="U91" s="183"/>
      <c r="V91" s="183"/>
      <c r="W91" s="183"/>
      <c r="X91" s="183"/>
      <c r="Y91" s="184">
        <f t="shared" si="33"/>
        <v>0</v>
      </c>
      <c r="Z91" s="184">
        <f>IF(ISBLANK(O91),,IF(O91=UPPER("IB"),8.63*200,16*100))</f>
        <v>0</v>
      </c>
      <c r="AA91" s="185"/>
      <c r="AB91" s="185"/>
      <c r="AC91" s="185"/>
      <c r="AD91" s="649"/>
      <c r="AE91" s="182"/>
      <c r="AF91" s="332"/>
      <c r="AG91" s="182"/>
      <c r="AH91" s="182"/>
      <c r="AI91" s="182"/>
      <c r="AJ91" s="640"/>
      <c r="AK91" s="182"/>
      <c r="AL91" s="496"/>
      <c r="AM91" s="497"/>
      <c r="AN91" s="626"/>
      <c r="AO91" s="182"/>
      <c r="AP91" s="182"/>
      <c r="AQ91" s="332" t="str">
        <f>UPPER(RIGHT(Journal_Live[[#This Row],[DURATION ]]))</f>
        <v/>
      </c>
      <c r="AR91" s="182"/>
      <c r="AS91" s="189"/>
      <c r="AT91" s="182">
        <f t="shared" si="43"/>
        <v>0</v>
      </c>
      <c r="AU91" s="187"/>
      <c r="AV91" s="190"/>
      <c r="AW91" s="191"/>
      <c r="AX91" s="407"/>
      <c r="AY91" s="407"/>
      <c r="AZ91" s="407"/>
      <c r="BA91" s="407"/>
      <c r="BB91" s="407"/>
      <c r="BC91" s="407"/>
      <c r="BD91" s="407"/>
      <c r="BE91" s="407"/>
      <c r="BF91" s="422"/>
      <c r="BG91" s="391">
        <f>SUM($AV$4:AV91)</f>
        <v>509.22000000002021</v>
      </c>
      <c r="BH91" s="392">
        <f>SUM($AU$4:AU91)</f>
        <v>815.47000000002026</v>
      </c>
      <c r="BI91" s="318"/>
      <c r="BJ91" s="318">
        <f>SUMIFS($AU92:AU$1388,$Q92:Q$1388,"F")</f>
        <v>14616.666666666668</v>
      </c>
      <c r="BK91" s="343">
        <f>SUMIFS($AU92:AU$1388,$P92:P$1388,"W")</f>
        <v>21315.941999999926</v>
      </c>
      <c r="BL91" s="343">
        <f>SUMIFS($AU92:AU$1388,$P92:P$1388,"W")</f>
        <v>21315.941999999926</v>
      </c>
      <c r="BM91" s="343">
        <f>SUMIFS($AU92:AU$134,$AQ92:AQ$134,"M")</f>
        <v>0</v>
      </c>
      <c r="BN91" s="343">
        <f>SUMIFS($AU92:AU$134,$AQ92:AQ$134,"M")</f>
        <v>0</v>
      </c>
      <c r="BO91" s="343">
        <f>SUMIFS($AU92:AU$134,$AQ92:AQ$134,"H")</f>
        <v>0</v>
      </c>
      <c r="BP91" s="343">
        <f>SUMIFS($AU94:AU$134,$AQ94:AQ$134,"D")</f>
        <v>400.6</v>
      </c>
      <c r="BQ91" s="343">
        <f>SUMIFS($AU92:AU$134,$Q92:Q$134,"O")</f>
        <v>-32.199999999993601</v>
      </c>
      <c r="BR91" s="343">
        <f>SUMIFS($AU92:AU$134,$AA92:AA$134,"*")</f>
        <v>998.00000000000648</v>
      </c>
      <c r="BS91" s="343">
        <f>SUMIFS($AU92:AU$134,$AA92:AA$134,"*")</f>
        <v>998.00000000000648</v>
      </c>
      <c r="BT91" s="343">
        <f>SUMIFS($AU92:AU$134,$AB92:AB$134,"*")</f>
        <v>176</v>
      </c>
      <c r="BU91" s="343">
        <f>SUMIFS($AU92:AU$134,$AA92:AA$134,"*",$AB92:AB$134,"*")</f>
        <v>176</v>
      </c>
      <c r="BV91" s="343">
        <f>SUMIFS($AU92:AU$134,$AA92:AA$134,"*",$AB92:AB$134,"*")</f>
        <v>176</v>
      </c>
      <c r="BW91" s="343">
        <f>SUMIFS($AU92:AU$134,$AA92:AA$134,"*",$AC92:AC$134,"*")</f>
        <v>869.40000000000009</v>
      </c>
      <c r="BX91" s="343">
        <f>SUMIFS($AU92:AU$1388,$Q92:Q$1388,"F")</f>
        <v>14616.666666666668</v>
      </c>
      <c r="BY91" s="343">
        <f>SUMIFS($AU92:AU$1388,$Q92:Q$1388,"S")</f>
        <v>21525.841999999997</v>
      </c>
      <c r="BZ91" s="343">
        <f>SUMIFS($AU92:AU$1388,$Q92:Q$1388,"O")</f>
        <v>-1681.0579999997917</v>
      </c>
    </row>
    <row r="92" spans="1:78" ht="18" customHeight="1">
      <c r="A92" s="221" t="s">
        <v>347</v>
      </c>
      <c r="B92" s="242">
        <v>44888</v>
      </c>
      <c r="C92" s="243" t="s">
        <v>587</v>
      </c>
      <c r="D92" s="243" t="s">
        <v>151</v>
      </c>
      <c r="E92" s="244"/>
      <c r="F92" s="180"/>
      <c r="G92" s="181" t="s">
        <v>280</v>
      </c>
      <c r="H92" s="182"/>
      <c r="I92" s="182"/>
      <c r="J92" s="182"/>
      <c r="K92" s="183"/>
      <c r="L92" s="182">
        <v>1</v>
      </c>
      <c r="M92" s="182"/>
      <c r="N92" s="182"/>
      <c r="O92" s="183" t="s">
        <v>95</v>
      </c>
      <c r="P92" s="183" t="s">
        <v>137</v>
      </c>
      <c r="Q92" s="183" t="s">
        <v>97</v>
      </c>
      <c r="R92" s="183">
        <v>2</v>
      </c>
      <c r="S92" s="183">
        <v>2</v>
      </c>
      <c r="T92" s="183">
        <v>2</v>
      </c>
      <c r="U92" s="183" t="s">
        <v>22</v>
      </c>
      <c r="V92" s="183"/>
      <c r="W92" s="183"/>
      <c r="X92" s="183"/>
      <c r="Y92" s="184">
        <f t="shared" si="33"/>
        <v>0.01</v>
      </c>
      <c r="Z92" s="184">
        <f>IF(ISBLANK(O92),,IF(O92=UPPER("IB"),8.63*200,16*100))</f>
        <v>1600</v>
      </c>
      <c r="AA92" s="185" t="s">
        <v>588</v>
      </c>
      <c r="AB92" s="185"/>
      <c r="AC92" s="185" t="s">
        <v>99</v>
      </c>
      <c r="AD92" s="649">
        <v>-0.08</v>
      </c>
      <c r="AE92" s="182"/>
      <c r="AF92" s="332">
        <v>-0.11</v>
      </c>
      <c r="AG92" s="182"/>
      <c r="AH92" s="182">
        <v>-7.0000000000000007E-2</v>
      </c>
      <c r="AI92" s="182"/>
      <c r="AJ92" s="640"/>
      <c r="AK92" s="182"/>
      <c r="AL92" s="496">
        <f>-0.02*Z92</f>
        <v>-32</v>
      </c>
      <c r="AM92" s="496">
        <f t="shared" ref="AM92:AM98" si="44">AL92*R92</f>
        <v>-64</v>
      </c>
      <c r="AN92" s="626" t="s">
        <v>111</v>
      </c>
      <c r="AO92" s="182"/>
      <c r="AP92" s="182" t="s">
        <v>589</v>
      </c>
      <c r="AQ92" s="332" t="str">
        <f>UPPER(RIGHT(Journal_Live[[#This Row],[DURATION ]]))</f>
        <v>D</v>
      </c>
      <c r="AR92" s="195">
        <v>44890.791666666664</v>
      </c>
      <c r="AS92" s="189">
        <v>-0.08</v>
      </c>
      <c r="AT92" s="189">
        <f t="shared" si="43"/>
        <v>0</v>
      </c>
      <c r="AU92" s="187">
        <f t="shared" ref="AU92:AU98" si="45">AV92*R92</f>
        <v>0</v>
      </c>
      <c r="AV92" s="190">
        <f t="shared" ref="AV92:AV98" si="46">IF(ISBLANK(AS92),,(AT92*Z92))</f>
        <v>0</v>
      </c>
      <c r="AW92" s="191" t="s">
        <v>115</v>
      </c>
      <c r="AX92" s="407" t="s">
        <v>590</v>
      </c>
      <c r="AY92" s="407"/>
      <c r="AZ92" s="407"/>
      <c r="BA92" s="407"/>
      <c r="BB92" s="407"/>
      <c r="BC92" s="407"/>
      <c r="BD92" s="407"/>
      <c r="BE92" s="407"/>
      <c r="BF92" s="422"/>
      <c r="BG92" s="391">
        <f>SUM($AV$4:AV92)</f>
        <v>509.22000000002021</v>
      </c>
      <c r="BH92" s="392">
        <f>SUM($AU$4:AU92)</f>
        <v>815.47000000002026</v>
      </c>
      <c r="BI92" s="318"/>
      <c r="BJ92" s="318">
        <f>SUMIFS($AU93:AU$1388,$Q93:Q$1388,"F")</f>
        <v>14616.666666666668</v>
      </c>
      <c r="BK92" s="343">
        <f>SUMIFS($AU93:AU$1388,$P93:P$1388,"W")</f>
        <v>21315.941999999926</v>
      </c>
      <c r="BL92" s="343">
        <f>SUMIFS($AU93:AU$1388,$P93:P$1388,"W")</f>
        <v>21315.941999999926</v>
      </c>
      <c r="BM92" s="343">
        <f>SUMIFS($AU93:AU$134,$AQ93:AQ$134,"M")</f>
        <v>0</v>
      </c>
      <c r="BN92" s="343">
        <f>SUMIFS($AU93:AU$134,$AQ93:AQ$134,"M")</f>
        <v>0</v>
      </c>
      <c r="BO92" s="343">
        <f>SUMIFS($AU93:AU$134,$AQ93:AQ$134,"H")</f>
        <v>0</v>
      </c>
      <c r="BP92" s="343">
        <f>SUMIFS($AU95:AU$134,$AQ95:AQ$134,"D")</f>
        <v>400.6</v>
      </c>
      <c r="BQ92" s="343">
        <f>SUMIFS($AU93:AU$134,$Q93:Q$134,"O")</f>
        <v>-32.199999999993601</v>
      </c>
      <c r="BR92" s="343">
        <f>SUMIFS($AU93:AU$134,$AA93:AA$134,"*")</f>
        <v>998.00000000000648</v>
      </c>
      <c r="BS92" s="343">
        <f>SUMIFS($AU93:AU$134,$AA93:AA$134,"*")</f>
        <v>998.00000000000648</v>
      </c>
      <c r="BT92" s="343">
        <f>SUMIFS($AU93:AU$134,$AB93:AB$134,"*")</f>
        <v>176</v>
      </c>
      <c r="BU92" s="343">
        <f>SUMIFS($AU93:AU$134,$AA93:AA$134,"*",$AB93:AB$134,"*")</f>
        <v>176</v>
      </c>
      <c r="BV92" s="343">
        <f>SUMIFS($AU93:AU$134,$AA93:AA$134,"*",$AB93:AB$134,"*")</f>
        <v>176</v>
      </c>
      <c r="BW92" s="343">
        <f>SUMIFS($AU93:AU$134,$AA93:AA$134,"*",$AC93:AC$134,"*")</f>
        <v>869.40000000000009</v>
      </c>
      <c r="BX92" s="343">
        <f>SUMIFS($AU93:AU$1388,$Q93:Q$1388,"F")</f>
        <v>14616.666666666668</v>
      </c>
      <c r="BY92" s="343">
        <f>SUMIFS($AU93:AU$1388,$Q93:Q$1388,"S")</f>
        <v>21525.841999999997</v>
      </c>
      <c r="BZ92" s="343">
        <f>SUMIFS($AU93:AU$1388,$Q93:Q$1388,"O")</f>
        <v>-1681.0579999997917</v>
      </c>
    </row>
    <row r="93" spans="1:78" ht="18" customHeight="1">
      <c r="A93" s="221" t="s">
        <v>347</v>
      </c>
      <c r="B93" s="242">
        <v>44888</v>
      </c>
      <c r="C93" s="245" t="s">
        <v>591</v>
      </c>
      <c r="D93" s="243" t="s">
        <v>151</v>
      </c>
      <c r="E93" s="244"/>
      <c r="F93" s="180"/>
      <c r="G93" s="199" t="s">
        <v>365</v>
      </c>
      <c r="H93" s="182"/>
      <c r="I93" s="182"/>
      <c r="J93" s="182"/>
      <c r="K93" s="183"/>
      <c r="L93" s="182">
        <v>1</v>
      </c>
      <c r="M93" s="182"/>
      <c r="N93" s="182"/>
      <c r="O93" s="183" t="s">
        <v>95</v>
      </c>
      <c r="P93" s="183" t="s">
        <v>96</v>
      </c>
      <c r="Q93" s="183" t="s">
        <v>97</v>
      </c>
      <c r="R93" s="183">
        <v>2</v>
      </c>
      <c r="S93" s="183">
        <v>2</v>
      </c>
      <c r="T93" s="183">
        <v>2</v>
      </c>
      <c r="U93" s="183" t="s">
        <v>22</v>
      </c>
      <c r="V93" s="183"/>
      <c r="W93" s="183"/>
      <c r="X93" s="183"/>
      <c r="Y93" s="184">
        <f t="shared" si="33"/>
        <v>0.01</v>
      </c>
      <c r="Z93" s="184">
        <f>IF(ISBLANK(O93),,IF(O93=UPPER("IB"),8.63*200,16.2*100))</f>
        <v>1620</v>
      </c>
      <c r="AA93" s="185" t="s">
        <v>592</v>
      </c>
      <c r="AB93" s="185"/>
      <c r="AC93" s="185" t="s">
        <v>99</v>
      </c>
      <c r="AD93" s="649">
        <v>-7.0000000000000007E-2</v>
      </c>
      <c r="AE93" s="182"/>
      <c r="AF93" s="332">
        <v>-0.1</v>
      </c>
      <c r="AG93" s="182"/>
      <c r="AH93" s="182">
        <v>-0.05</v>
      </c>
      <c r="AI93" s="182" t="s">
        <v>593</v>
      </c>
      <c r="AJ93" s="640"/>
      <c r="AK93" s="182"/>
      <c r="AL93" s="496">
        <f t="shared" ref="AL93:AL95" si="47">-0.03*Z93</f>
        <v>-48.6</v>
      </c>
      <c r="AM93" s="496">
        <f t="shared" si="44"/>
        <v>-97.2</v>
      </c>
      <c r="AN93" s="626" t="s">
        <v>111</v>
      </c>
      <c r="AO93" s="182"/>
      <c r="AP93" s="182" t="s">
        <v>594</v>
      </c>
      <c r="AQ93" s="332" t="str">
        <f>UPPER(RIGHT(Journal_Live[[#This Row],[DURATION ]]))</f>
        <v>S</v>
      </c>
      <c r="AR93" s="182" t="s">
        <v>595</v>
      </c>
      <c r="AS93" s="189">
        <v>-0.06</v>
      </c>
      <c r="AT93" s="189">
        <f t="shared" si="43"/>
        <v>1.0000000000000009E-2</v>
      </c>
      <c r="AU93" s="187">
        <f t="shared" si="45"/>
        <v>32.400000000000027</v>
      </c>
      <c r="AV93" s="190">
        <f t="shared" si="46"/>
        <v>16.200000000000014</v>
      </c>
      <c r="AW93" s="191" t="s">
        <v>96</v>
      </c>
      <c r="AX93" s="407" t="s">
        <v>596</v>
      </c>
      <c r="AY93" s="407"/>
      <c r="AZ93" s="407"/>
      <c r="BA93" s="407"/>
      <c r="BB93" s="407"/>
      <c r="BC93" s="407"/>
      <c r="BD93" s="407"/>
      <c r="BE93" s="407"/>
      <c r="BF93" s="422"/>
      <c r="BG93" s="391">
        <f>SUM($AV$4:AV93)</f>
        <v>525.4200000000202</v>
      </c>
      <c r="BH93" s="392">
        <f>SUM($AU$4:AU93)</f>
        <v>847.87000000002024</v>
      </c>
      <c r="BI93" s="318"/>
      <c r="BJ93" s="318">
        <f>SUMIFS($AU94:AU$1388,$Q94:Q$1388,"F")</f>
        <v>14616.666666666668</v>
      </c>
      <c r="BK93" s="343">
        <f>SUMIFS($AU94:AU$1388,$P94:P$1388,"W")</f>
        <v>21283.541999999925</v>
      </c>
      <c r="BL93" s="343">
        <f>SUMIFS($AU94:AU$1388,$P94:P$1388,"W")</f>
        <v>21283.541999999925</v>
      </c>
      <c r="BM93" s="343">
        <f>SUMIFS($AU94:AU$134,$AQ94:AQ$134,"M")</f>
        <v>0</v>
      </c>
      <c r="BN93" s="343">
        <f>SUMIFS($AU94:AU$134,$AQ94:AQ$134,"M")</f>
        <v>0</v>
      </c>
      <c r="BO93" s="343">
        <f>SUMIFS($AU94:AU$134,$AQ94:AQ$134,"H")</f>
        <v>0</v>
      </c>
      <c r="BP93" s="343">
        <f>SUMIFS($AU96:AU$134,$AQ96:AQ$134,"D")</f>
        <v>400.6</v>
      </c>
      <c r="BQ93" s="343">
        <f>SUMIFS($AU94:AU$134,$Q94:Q$134,"O")</f>
        <v>-32.199999999993601</v>
      </c>
      <c r="BR93" s="343">
        <f>SUMIFS($AU94:AU$134,$AA94:AA$134,"*")</f>
        <v>965.60000000000639</v>
      </c>
      <c r="BS93" s="343">
        <f>SUMIFS($AU94:AU$134,$AA94:AA$134,"*")</f>
        <v>965.60000000000639</v>
      </c>
      <c r="BT93" s="343">
        <f>SUMIFS($AU94:AU$134,$AB94:AB$134,"*")</f>
        <v>176</v>
      </c>
      <c r="BU93" s="343">
        <f>SUMIFS($AU94:AU$134,$AA94:AA$134,"*",$AB94:AB$134,"*")</f>
        <v>176</v>
      </c>
      <c r="BV93" s="343">
        <f>SUMIFS($AU94:AU$134,$AA94:AA$134,"*",$AB94:AB$134,"*")</f>
        <v>176</v>
      </c>
      <c r="BW93" s="343">
        <f>SUMIFS($AU94:AU$134,$AA94:AA$134,"*",$AC94:AC$134,"*")</f>
        <v>837.00000000000011</v>
      </c>
      <c r="BX93" s="343">
        <f>SUMIFS($AU94:AU$1388,$Q94:Q$1388,"F")</f>
        <v>14616.666666666668</v>
      </c>
      <c r="BY93" s="343">
        <f>SUMIFS($AU94:AU$1388,$Q94:Q$1388,"S")</f>
        <v>21493.441999999999</v>
      </c>
      <c r="BZ93" s="343">
        <f>SUMIFS($AU94:AU$1388,$Q94:Q$1388,"O")</f>
        <v>-1681.0579999997917</v>
      </c>
    </row>
    <row r="94" spans="1:78" ht="18" customHeight="1">
      <c r="A94" s="221" t="s">
        <v>347</v>
      </c>
      <c r="B94" s="177">
        <v>44888</v>
      </c>
      <c r="C94" s="178" t="s">
        <v>597</v>
      </c>
      <c r="D94" s="178" t="s">
        <v>151</v>
      </c>
      <c r="E94" s="227"/>
      <c r="F94" s="180"/>
      <c r="G94" s="181" t="s">
        <v>271</v>
      </c>
      <c r="H94" s="182"/>
      <c r="I94" s="182"/>
      <c r="J94" s="182"/>
      <c r="K94" s="183"/>
      <c r="L94" s="182">
        <v>1</v>
      </c>
      <c r="M94" s="182"/>
      <c r="N94" s="182"/>
      <c r="O94" s="183" t="s">
        <v>95</v>
      </c>
      <c r="P94" s="183" t="s">
        <v>137</v>
      </c>
      <c r="Q94" s="183" t="s">
        <v>97</v>
      </c>
      <c r="R94" s="183">
        <v>2</v>
      </c>
      <c r="S94" s="183">
        <v>2</v>
      </c>
      <c r="T94" s="183">
        <v>2</v>
      </c>
      <c r="U94" s="183" t="s">
        <v>22</v>
      </c>
      <c r="V94" s="183"/>
      <c r="W94" s="183"/>
      <c r="X94" s="183"/>
      <c r="Y94" s="184">
        <f t="shared" si="33"/>
        <v>0.01</v>
      </c>
      <c r="Z94" s="184">
        <f>IF(ISBLANK(O94),,IF(O94=UPPER("IB"),8.63*200,16*100))</f>
        <v>1600</v>
      </c>
      <c r="AA94" s="185" t="s">
        <v>570</v>
      </c>
      <c r="AB94" s="185"/>
      <c r="AC94" s="185"/>
      <c r="AD94" s="649">
        <v>-0.09</v>
      </c>
      <c r="AE94" s="182"/>
      <c r="AF94" s="332">
        <v>-0.12</v>
      </c>
      <c r="AG94" s="182"/>
      <c r="AH94" s="182">
        <v>-7.0000000000000007E-2</v>
      </c>
      <c r="AI94" s="182" t="s">
        <v>593</v>
      </c>
      <c r="AJ94" s="640"/>
      <c r="AK94" s="182"/>
      <c r="AL94" s="496">
        <f t="shared" si="47"/>
        <v>-48</v>
      </c>
      <c r="AM94" s="496">
        <f t="shared" si="44"/>
        <v>-96</v>
      </c>
      <c r="AN94" s="629">
        <v>44897</v>
      </c>
      <c r="AO94" s="182" t="s">
        <v>598</v>
      </c>
      <c r="AP94" s="182" t="s">
        <v>599</v>
      </c>
      <c r="AQ94" s="332" t="str">
        <f>UPPER(RIGHT(Journal_Live[[#This Row],[DURATION ]]))</f>
        <v>D</v>
      </c>
      <c r="AR94" s="182" t="s">
        <v>600</v>
      </c>
      <c r="AS94" s="189">
        <v>-0.09</v>
      </c>
      <c r="AT94" s="189">
        <f t="shared" si="43"/>
        <v>0</v>
      </c>
      <c r="AU94" s="187">
        <f t="shared" si="45"/>
        <v>0</v>
      </c>
      <c r="AV94" s="190">
        <f t="shared" si="46"/>
        <v>0</v>
      </c>
      <c r="AW94" s="191" t="s">
        <v>115</v>
      </c>
      <c r="AX94" s="407"/>
      <c r="AY94" s="407"/>
      <c r="AZ94" s="407"/>
      <c r="BA94" s="407"/>
      <c r="BB94" s="407"/>
      <c r="BC94" s="407"/>
      <c r="BD94" s="407"/>
      <c r="BE94" s="407"/>
      <c r="BF94" s="422"/>
      <c r="BG94" s="391">
        <f>SUM($AV$4:AV94)</f>
        <v>525.4200000000202</v>
      </c>
      <c r="BH94" s="392">
        <f>SUM($AU$4:AU94)</f>
        <v>847.87000000002024</v>
      </c>
      <c r="BI94" s="318"/>
      <c r="BJ94" s="318">
        <f>SUMIFS($AU95:AU$1388,$Q95:Q$1388,"F")</f>
        <v>14616.666666666668</v>
      </c>
      <c r="BK94" s="343">
        <f>SUMIFS($AU95:AU$1388,$P95:P$1388,"W")</f>
        <v>21283.541999999925</v>
      </c>
      <c r="BL94" s="343">
        <f>SUMIFS($AU95:AU$1388,$P95:P$1388,"W")</f>
        <v>21283.541999999925</v>
      </c>
      <c r="BM94" s="343">
        <f>SUMIFS($AU95:AU$134,$AQ95:AQ$134,"M")</f>
        <v>0</v>
      </c>
      <c r="BN94" s="343">
        <f>SUMIFS($AU95:AU$134,$AQ95:AQ$134,"M")</f>
        <v>0</v>
      </c>
      <c r="BO94" s="343">
        <f>SUMIFS($AU95:AU$134,$AQ95:AQ$134,"H")</f>
        <v>0</v>
      </c>
      <c r="BP94" s="343">
        <f>SUMIFS($AU97:AU$134,$AQ97:AQ$134,"D")</f>
        <v>368.6</v>
      </c>
      <c r="BQ94" s="343">
        <f>SUMIFS($AU95:AU$134,$Q95:Q$134,"O")</f>
        <v>-32.199999999993601</v>
      </c>
      <c r="BR94" s="343">
        <f>SUMIFS($AU95:AU$134,$AA95:AA$134,"*")</f>
        <v>965.60000000000639</v>
      </c>
      <c r="BS94" s="343">
        <f>SUMIFS($AU95:AU$134,$AA95:AA$134,"*")</f>
        <v>965.60000000000639</v>
      </c>
      <c r="BT94" s="343">
        <f>SUMIFS($AU95:AU$134,$AB95:AB$134,"*")</f>
        <v>176</v>
      </c>
      <c r="BU94" s="343">
        <f>SUMIFS($AU95:AU$134,$AA95:AA$134,"*",$AB95:AB$134,"*")</f>
        <v>176</v>
      </c>
      <c r="BV94" s="343">
        <f>SUMIFS($AU95:AU$134,$AA95:AA$134,"*",$AB95:AB$134,"*")</f>
        <v>176</v>
      </c>
      <c r="BW94" s="343">
        <f>SUMIFS($AU95:AU$134,$AA95:AA$134,"*",$AC95:AC$134,"*")</f>
        <v>837.00000000000011</v>
      </c>
      <c r="BX94" s="343">
        <f>SUMIFS($AU95:AU$1388,$Q95:Q$1388,"F")</f>
        <v>14616.666666666668</v>
      </c>
      <c r="BY94" s="343">
        <f>SUMIFS($AU95:AU$1388,$Q95:Q$1388,"S")</f>
        <v>21493.441999999999</v>
      </c>
      <c r="BZ94" s="343">
        <f>SUMIFS($AU95:AU$1388,$Q95:Q$1388,"O")</f>
        <v>-1681.0579999997917</v>
      </c>
    </row>
    <row r="95" spans="1:78" ht="18" customHeight="1">
      <c r="A95" s="221" t="s">
        <v>347</v>
      </c>
      <c r="B95" s="177">
        <v>44888</v>
      </c>
      <c r="C95" s="245" t="s">
        <v>601</v>
      </c>
      <c r="D95" s="178" t="s">
        <v>151</v>
      </c>
      <c r="E95" s="227"/>
      <c r="F95" s="180"/>
      <c r="G95" s="199" t="s">
        <v>553</v>
      </c>
      <c r="H95" s="182"/>
      <c r="I95" s="182"/>
      <c r="J95" s="182"/>
      <c r="K95" s="183"/>
      <c r="L95" s="182">
        <v>1</v>
      </c>
      <c r="M95" s="182"/>
      <c r="N95" s="182"/>
      <c r="O95" s="183" t="s">
        <v>95</v>
      </c>
      <c r="P95" s="183" t="s">
        <v>137</v>
      </c>
      <c r="Q95" s="183" t="s">
        <v>97</v>
      </c>
      <c r="R95" s="183">
        <v>1</v>
      </c>
      <c r="S95" s="183">
        <v>1</v>
      </c>
      <c r="T95" s="183">
        <v>1</v>
      </c>
      <c r="U95" s="183" t="s">
        <v>22</v>
      </c>
      <c r="V95" s="183"/>
      <c r="W95" s="183"/>
      <c r="X95" s="183"/>
      <c r="Y95" s="184">
        <f t="shared" si="33"/>
        <v>0.01</v>
      </c>
      <c r="Z95" s="184">
        <f>IF(ISBLANK(O95),,IF(O95=UPPER("IB"),8.63*200,16.2*100))</f>
        <v>1620</v>
      </c>
      <c r="AA95" s="185" t="s">
        <v>588</v>
      </c>
      <c r="AB95" s="185"/>
      <c r="AC95" s="185" t="s">
        <v>99</v>
      </c>
      <c r="AD95" s="649">
        <v>-7.0000000000000007E-2</v>
      </c>
      <c r="AE95" s="182"/>
      <c r="AF95" s="332">
        <v>-0.1</v>
      </c>
      <c r="AG95" s="182"/>
      <c r="AH95" s="182">
        <v>-0.06</v>
      </c>
      <c r="AI95" s="182"/>
      <c r="AJ95" s="640"/>
      <c r="AK95" s="182"/>
      <c r="AL95" s="496">
        <f t="shared" si="47"/>
        <v>-48.6</v>
      </c>
      <c r="AM95" s="496">
        <f t="shared" si="44"/>
        <v>-48.6</v>
      </c>
      <c r="AN95" s="626" t="s">
        <v>111</v>
      </c>
      <c r="AO95" s="182"/>
      <c r="AP95" s="182" t="s">
        <v>602</v>
      </c>
      <c r="AQ95" s="332" t="str">
        <f>UPPER(RIGHT(Journal_Live[[#This Row],[DURATION ]]))</f>
        <v>S</v>
      </c>
      <c r="AR95" s="182" t="s">
        <v>603</v>
      </c>
      <c r="AS95" s="189">
        <v>-0.06</v>
      </c>
      <c r="AT95" s="189">
        <f t="shared" si="43"/>
        <v>1.0000000000000009E-2</v>
      </c>
      <c r="AU95" s="187">
        <f t="shared" si="45"/>
        <v>16.200000000000014</v>
      </c>
      <c r="AV95" s="190">
        <f t="shared" si="46"/>
        <v>16.200000000000014</v>
      </c>
      <c r="AW95" s="191" t="s">
        <v>96</v>
      </c>
      <c r="AX95" s="407" t="s">
        <v>604</v>
      </c>
      <c r="AY95" s="407"/>
      <c r="AZ95" s="407"/>
      <c r="BA95" s="407"/>
      <c r="BB95" s="407"/>
      <c r="BC95" s="407"/>
      <c r="BD95" s="407"/>
      <c r="BE95" s="407"/>
      <c r="BF95" s="422"/>
      <c r="BG95" s="391">
        <f>SUM($AV$4:AV95)</f>
        <v>541.62000000002024</v>
      </c>
      <c r="BH95" s="392">
        <f>SUM($AU$4:AU95)</f>
        <v>864.07000000002029</v>
      </c>
      <c r="BI95" s="318"/>
      <c r="BJ95" s="318">
        <f>SUMIFS($AU96:AU$1388,$Q96:Q$1388,"F")</f>
        <v>14616.666666666668</v>
      </c>
      <c r="BK95" s="343">
        <f>SUMIFS($AU96:AU$1388,$P96:P$1388,"W")</f>
        <v>21283.541999999925</v>
      </c>
      <c r="BL95" s="343">
        <f>SUMIFS($AU96:AU$1388,$P96:P$1388,"W")</f>
        <v>21283.541999999925</v>
      </c>
      <c r="BM95" s="343">
        <f>SUMIFS($AU96:AU$134,$AQ96:AQ$134,"M")</f>
        <v>0</v>
      </c>
      <c r="BN95" s="343">
        <f>SUMIFS($AU96:AU$134,$AQ96:AQ$134,"M")</f>
        <v>0</v>
      </c>
      <c r="BO95" s="343">
        <f>SUMIFS($AU96:AU$134,$AQ96:AQ$134,"H")</f>
        <v>0</v>
      </c>
      <c r="BP95" s="343">
        <f>SUMIFS($AU98:AU$134,$AQ98:AQ$134,"D")</f>
        <v>368.6</v>
      </c>
      <c r="BQ95" s="343">
        <f>SUMIFS($AU96:AU$134,$Q96:Q$134,"O")</f>
        <v>-32.199999999993601</v>
      </c>
      <c r="BR95" s="343">
        <f>SUMIFS($AU96:AU$134,$AA96:AA$134,"*")</f>
        <v>949.40000000000634</v>
      </c>
      <c r="BS95" s="343">
        <f>SUMIFS($AU96:AU$134,$AA96:AA$134,"*")</f>
        <v>949.40000000000634</v>
      </c>
      <c r="BT95" s="343">
        <f>SUMIFS($AU96:AU$134,$AB96:AB$134,"*")</f>
        <v>176</v>
      </c>
      <c r="BU95" s="343">
        <f>SUMIFS($AU96:AU$134,$AA96:AA$134,"*",$AB96:AB$134,"*")</f>
        <v>176</v>
      </c>
      <c r="BV95" s="343">
        <f>SUMIFS($AU96:AU$134,$AA96:AA$134,"*",$AB96:AB$134,"*")</f>
        <v>176</v>
      </c>
      <c r="BW95" s="343">
        <f>SUMIFS($AU96:AU$134,$AA96:AA$134,"*",$AC96:AC$134,"*")</f>
        <v>820.80000000000007</v>
      </c>
      <c r="BX95" s="343">
        <f>SUMIFS($AU96:AU$1388,$Q96:Q$1388,"F")</f>
        <v>14616.666666666668</v>
      </c>
      <c r="BY95" s="343">
        <f>SUMIFS($AU96:AU$1388,$Q96:Q$1388,"S")</f>
        <v>21477.241999999998</v>
      </c>
      <c r="BZ95" s="343">
        <f>SUMIFS($AU96:AU$1388,$Q96:Q$1388,"O")</f>
        <v>-1681.0579999997917</v>
      </c>
    </row>
    <row r="96" spans="1:78" ht="18" customHeight="1">
      <c r="A96" s="221" t="s">
        <v>347</v>
      </c>
      <c r="B96" s="177">
        <v>44888</v>
      </c>
      <c r="C96" s="245" t="s">
        <v>605</v>
      </c>
      <c r="D96" s="178" t="s">
        <v>151</v>
      </c>
      <c r="E96" s="227"/>
      <c r="F96" s="180"/>
      <c r="G96" s="199" t="s">
        <v>280</v>
      </c>
      <c r="H96" s="182"/>
      <c r="I96" s="182"/>
      <c r="J96" s="182"/>
      <c r="K96" s="183"/>
      <c r="L96" s="182">
        <v>1</v>
      </c>
      <c r="M96" s="182"/>
      <c r="N96" s="182"/>
      <c r="O96" s="183" t="s">
        <v>95</v>
      </c>
      <c r="P96" s="183" t="s">
        <v>137</v>
      </c>
      <c r="Q96" s="183" t="s">
        <v>97</v>
      </c>
      <c r="R96" s="183">
        <v>2</v>
      </c>
      <c r="S96" s="183">
        <v>2</v>
      </c>
      <c r="T96" s="183">
        <v>2</v>
      </c>
      <c r="U96" s="183" t="s">
        <v>22</v>
      </c>
      <c r="V96" s="183"/>
      <c r="W96" s="183"/>
      <c r="X96" s="183"/>
      <c r="Y96" s="184">
        <f t="shared" si="33"/>
        <v>0.01</v>
      </c>
      <c r="Z96" s="184">
        <f>IF(ISBLANK(O96),,IF(O96=UPPER("IB"),8.63*200,16*100))</f>
        <v>1600</v>
      </c>
      <c r="AA96" s="185" t="s">
        <v>570</v>
      </c>
      <c r="AB96" s="185"/>
      <c r="AC96" s="185"/>
      <c r="AD96" s="649">
        <v>-0.09</v>
      </c>
      <c r="AE96" s="182"/>
      <c r="AF96" s="332">
        <v>-0.12</v>
      </c>
      <c r="AG96" s="182"/>
      <c r="AH96" s="182">
        <v>-7.0000000000000007E-2</v>
      </c>
      <c r="AI96" s="182"/>
      <c r="AJ96" s="640"/>
      <c r="AK96" s="182"/>
      <c r="AL96" s="496">
        <f>-0.02*Z96</f>
        <v>-32</v>
      </c>
      <c r="AM96" s="496">
        <f t="shared" si="44"/>
        <v>-64</v>
      </c>
      <c r="AN96" s="626" t="s">
        <v>111</v>
      </c>
      <c r="AO96" s="182"/>
      <c r="AP96" s="182" t="s">
        <v>589</v>
      </c>
      <c r="AQ96" s="332" t="str">
        <f>UPPER(RIGHT(Journal_Live[[#This Row],[DURATION ]]))</f>
        <v>D</v>
      </c>
      <c r="AR96" s="195">
        <v>44890.791666666664</v>
      </c>
      <c r="AS96" s="189">
        <v>-0.08</v>
      </c>
      <c r="AT96" s="189">
        <f t="shared" si="43"/>
        <v>9.999999999999995E-3</v>
      </c>
      <c r="AU96" s="187">
        <f t="shared" si="45"/>
        <v>31.999999999999986</v>
      </c>
      <c r="AV96" s="190">
        <f t="shared" si="46"/>
        <v>15.999999999999993</v>
      </c>
      <c r="AW96" s="191" t="s">
        <v>96</v>
      </c>
      <c r="AX96" s="407" t="s">
        <v>590</v>
      </c>
      <c r="AY96" s="407"/>
      <c r="AZ96" s="407"/>
      <c r="BA96" s="407"/>
      <c r="BB96" s="407"/>
      <c r="BC96" s="407"/>
      <c r="BD96" s="407"/>
      <c r="BE96" s="407"/>
      <c r="BF96" s="422"/>
      <c r="BG96" s="391">
        <f>SUM($AV$4:AV96)</f>
        <v>557.62000000002024</v>
      </c>
      <c r="BH96" s="392">
        <f>SUM($AU$4:AU96)</f>
        <v>896.07000000002029</v>
      </c>
      <c r="BI96" s="318"/>
      <c r="BJ96" s="318">
        <f>SUMIFS($AU97:AU$1388,$Q97:Q$1388,"F")</f>
        <v>14616.666666666668</v>
      </c>
      <c r="BK96" s="343">
        <f>SUMIFS($AU97:AU$1388,$P97:P$1388,"W")</f>
        <v>21283.541999999925</v>
      </c>
      <c r="BL96" s="343">
        <f>SUMIFS($AU97:AU$1388,$P97:P$1388,"W")</f>
        <v>21283.541999999925</v>
      </c>
      <c r="BM96" s="343">
        <f>SUMIFS($AU97:AU$134,$AQ97:AQ$134,"M")</f>
        <v>0</v>
      </c>
      <c r="BN96" s="343">
        <f>SUMIFS($AU97:AU$134,$AQ97:AQ$134,"M")</f>
        <v>0</v>
      </c>
      <c r="BO96" s="343">
        <f>SUMIFS($AU97:AU$134,$AQ97:AQ$134,"H")</f>
        <v>0</v>
      </c>
      <c r="BP96" s="343">
        <f>SUMIFS($AU99:AU$134,$AQ99:AQ$134,"D")</f>
        <v>368.6</v>
      </c>
      <c r="BQ96" s="343">
        <f>SUMIFS($AU97:AU$134,$Q97:Q$134,"O")</f>
        <v>-32.199999999993601</v>
      </c>
      <c r="BR96" s="343">
        <f>SUMIFS($AU97:AU$134,$AA97:AA$134,"*")</f>
        <v>917.40000000000634</v>
      </c>
      <c r="BS96" s="343">
        <f>SUMIFS($AU97:AU$134,$AA97:AA$134,"*")</f>
        <v>917.40000000000634</v>
      </c>
      <c r="BT96" s="343">
        <f>SUMIFS($AU97:AU$134,$AB97:AB$134,"*")</f>
        <v>176</v>
      </c>
      <c r="BU96" s="343">
        <f>SUMIFS($AU97:AU$134,$AA97:AA$134,"*",$AB97:AB$134,"*")</f>
        <v>176</v>
      </c>
      <c r="BV96" s="343">
        <f>SUMIFS($AU97:AU$134,$AA97:AA$134,"*",$AB97:AB$134,"*")</f>
        <v>176</v>
      </c>
      <c r="BW96" s="343">
        <f>SUMIFS($AU97:AU$134,$AA97:AA$134,"*",$AC97:AC$134,"*")</f>
        <v>820.80000000000007</v>
      </c>
      <c r="BX96" s="343">
        <f>SUMIFS($AU97:AU$1388,$Q97:Q$1388,"F")</f>
        <v>14616.666666666668</v>
      </c>
      <c r="BY96" s="343">
        <f>SUMIFS($AU97:AU$1388,$Q97:Q$1388,"S")</f>
        <v>21445.241999999998</v>
      </c>
      <c r="BZ96" s="343">
        <f>SUMIFS($AU97:AU$1388,$Q97:Q$1388,"O")</f>
        <v>-1681.0579999997917</v>
      </c>
    </row>
    <row r="97" spans="1:78" ht="18" customHeight="1">
      <c r="A97" s="221" t="s">
        <v>347</v>
      </c>
      <c r="B97" s="177">
        <v>44889</v>
      </c>
      <c r="C97" s="245" t="s">
        <v>606</v>
      </c>
      <c r="D97" s="178" t="s">
        <v>93</v>
      </c>
      <c r="E97" s="227"/>
      <c r="F97" s="180"/>
      <c r="G97" s="181" t="s">
        <v>210</v>
      </c>
      <c r="H97" s="182"/>
      <c r="I97" s="182"/>
      <c r="J97" s="182"/>
      <c r="K97" s="183"/>
      <c r="L97" s="182">
        <v>1</v>
      </c>
      <c r="M97" s="182"/>
      <c r="N97" s="182">
        <v>1</v>
      </c>
      <c r="O97" s="183" t="s">
        <v>95</v>
      </c>
      <c r="P97" s="183" t="s">
        <v>96</v>
      </c>
      <c r="Q97" s="183" t="s">
        <v>97</v>
      </c>
      <c r="R97" s="183">
        <v>1</v>
      </c>
      <c r="S97" s="183">
        <v>1</v>
      </c>
      <c r="T97" s="183">
        <v>1</v>
      </c>
      <c r="U97" s="183" t="s">
        <v>97</v>
      </c>
      <c r="V97" s="183"/>
      <c r="W97" s="183"/>
      <c r="X97" s="183"/>
      <c r="Y97" s="184">
        <f t="shared" si="33"/>
        <v>0.01</v>
      </c>
      <c r="Z97" s="184">
        <f>IF(ISBLANK(O97),,IF(O97=UPPER("IB"),8.63*200,16.2*100))</f>
        <v>1620</v>
      </c>
      <c r="AA97" s="185" t="s">
        <v>607</v>
      </c>
      <c r="AB97" s="185"/>
      <c r="AC97" s="185"/>
      <c r="AD97" s="649">
        <v>0.55000000000000004</v>
      </c>
      <c r="AE97" s="185" t="s">
        <v>608</v>
      </c>
      <c r="AF97" s="332">
        <v>0.57999999999999996</v>
      </c>
      <c r="AG97" s="182" t="s">
        <v>609</v>
      </c>
      <c r="AH97" s="182">
        <v>0.52</v>
      </c>
      <c r="AI97" s="182" t="s">
        <v>610</v>
      </c>
      <c r="AJ97" s="640"/>
      <c r="AK97" s="182"/>
      <c r="AL97" s="496">
        <f>-0.03*Z97</f>
        <v>-48.6</v>
      </c>
      <c r="AM97" s="496">
        <f t="shared" si="44"/>
        <v>-48.6</v>
      </c>
      <c r="AN97" s="626"/>
      <c r="AO97" s="182"/>
      <c r="AP97" s="182" t="s">
        <v>381</v>
      </c>
      <c r="AQ97" s="332" t="str">
        <f>UPPER(RIGHT(Journal_Live[[#This Row],[DURATION ]]))</f>
        <v>S</v>
      </c>
      <c r="AR97" s="182" t="s">
        <v>611</v>
      </c>
      <c r="AS97" s="189">
        <v>0.51</v>
      </c>
      <c r="AT97" s="189">
        <f t="shared" si="43"/>
        <v>4.0000000000000036E-2</v>
      </c>
      <c r="AU97" s="187">
        <f t="shared" si="45"/>
        <v>64.800000000000054</v>
      </c>
      <c r="AV97" s="190">
        <f t="shared" si="46"/>
        <v>64.800000000000054</v>
      </c>
      <c r="AW97" s="191" t="s">
        <v>96</v>
      </c>
      <c r="AX97" s="407" t="s">
        <v>612</v>
      </c>
      <c r="AY97" s="407"/>
      <c r="AZ97" s="407" t="s">
        <v>613</v>
      </c>
      <c r="BA97" s="407" t="s">
        <v>614</v>
      </c>
      <c r="BB97" s="407" t="s">
        <v>615</v>
      </c>
      <c r="BC97" s="407" t="s">
        <v>616</v>
      </c>
      <c r="BD97" s="407" t="s">
        <v>617</v>
      </c>
      <c r="BE97" s="407"/>
      <c r="BF97" s="422"/>
      <c r="BG97" s="391">
        <f>SUM($AV$4:AV97)</f>
        <v>622.42000000002031</v>
      </c>
      <c r="BH97" s="392">
        <f>SUM($AU$4:AU97)</f>
        <v>960.87000000002035</v>
      </c>
      <c r="BI97" s="318"/>
      <c r="BJ97" s="318">
        <f>SUMIFS($AU98:AU$1388,$Q98:Q$1388,"F")</f>
        <v>14616.666666666668</v>
      </c>
      <c r="BK97" s="343">
        <f>SUMIFS($AU98:AU$1388,$P98:P$1388,"W")</f>
        <v>21218.741999999926</v>
      </c>
      <c r="BL97" s="343">
        <f>SUMIFS($AU98:AU$1388,$P98:P$1388,"W")</f>
        <v>21218.741999999926</v>
      </c>
      <c r="BM97" s="343">
        <f>SUMIFS($AU98:AU$134,$AQ98:AQ$134,"M")</f>
        <v>0</v>
      </c>
      <c r="BN97" s="343">
        <f>SUMIFS($AU98:AU$134,$AQ98:AQ$134,"M")</f>
        <v>0</v>
      </c>
      <c r="BO97" s="343">
        <f>SUMIFS($AU98:AU$134,$AQ98:AQ$134,"H")</f>
        <v>0</v>
      </c>
      <c r="BP97" s="343">
        <f>SUMIFS($AU100:AU$134,$AQ100:AQ$134,"D")</f>
        <v>368.6</v>
      </c>
      <c r="BQ97" s="343">
        <f>SUMIFS($AU98:AU$134,$Q98:Q$134,"O")</f>
        <v>-32.199999999993601</v>
      </c>
      <c r="BR97" s="343">
        <f>SUMIFS($AU98:AU$134,$AA98:AA$134,"*")</f>
        <v>852.60000000000639</v>
      </c>
      <c r="BS97" s="343">
        <f>SUMIFS($AU98:AU$134,$AA98:AA$134,"*")</f>
        <v>852.60000000000639</v>
      </c>
      <c r="BT97" s="343">
        <f>SUMIFS($AU98:AU$134,$AB98:AB$134,"*")</f>
        <v>176</v>
      </c>
      <c r="BU97" s="343">
        <f>SUMIFS($AU98:AU$134,$AA98:AA$134,"*",$AB98:AB$134,"*")</f>
        <v>176</v>
      </c>
      <c r="BV97" s="343">
        <f>SUMIFS($AU98:AU$134,$AA98:AA$134,"*",$AB98:AB$134,"*")</f>
        <v>176</v>
      </c>
      <c r="BW97" s="343">
        <f>SUMIFS($AU98:AU$134,$AA98:AA$134,"*",$AC98:AC$134,"*")</f>
        <v>820.80000000000007</v>
      </c>
      <c r="BX97" s="343">
        <f>SUMIFS($AU98:AU$1388,$Q98:Q$1388,"F")</f>
        <v>14616.666666666668</v>
      </c>
      <c r="BY97" s="343">
        <f>SUMIFS($AU98:AU$1388,$Q98:Q$1388,"S")</f>
        <v>21380.441999999999</v>
      </c>
      <c r="BZ97" s="343">
        <f>SUMIFS($AU98:AU$1388,$Q98:Q$1388,"O")</f>
        <v>-1681.0579999997917</v>
      </c>
    </row>
    <row r="98" spans="1:78" ht="18" customHeight="1">
      <c r="A98" s="221" t="s">
        <v>347</v>
      </c>
      <c r="B98" s="177">
        <v>44890</v>
      </c>
      <c r="C98" s="178" t="s">
        <v>618</v>
      </c>
      <c r="D98" s="178" t="s">
        <v>111</v>
      </c>
      <c r="E98" s="227"/>
      <c r="F98" s="180"/>
      <c r="G98" s="181" t="s">
        <v>553</v>
      </c>
      <c r="H98" s="182"/>
      <c r="I98" s="182"/>
      <c r="J98" s="182"/>
      <c r="K98" s="183"/>
      <c r="L98" s="182">
        <v>1</v>
      </c>
      <c r="M98" s="182"/>
      <c r="N98" s="182"/>
      <c r="O98" s="183" t="s">
        <v>95</v>
      </c>
      <c r="P98" s="183" t="s">
        <v>137</v>
      </c>
      <c r="Q98" s="183" t="s">
        <v>97</v>
      </c>
      <c r="R98" s="183">
        <v>2</v>
      </c>
      <c r="S98" s="183">
        <v>2</v>
      </c>
      <c r="T98" s="183">
        <v>1</v>
      </c>
      <c r="U98" s="183" t="s">
        <v>22</v>
      </c>
      <c r="V98" s="183"/>
      <c r="W98" s="183"/>
      <c r="X98" s="183"/>
      <c r="Y98" s="184">
        <f t="shared" si="33"/>
        <v>0.01</v>
      </c>
      <c r="Z98" s="184">
        <f>IF(ISBLANK(O98),,IF(O98=UPPER("IB"),8.63*200,16.2*100))</f>
        <v>1620</v>
      </c>
      <c r="AA98" s="185" t="s">
        <v>361</v>
      </c>
      <c r="AB98" s="185"/>
      <c r="AC98" s="185" t="s">
        <v>99</v>
      </c>
      <c r="AD98" s="649">
        <v>-7.0000000000000007E-2</v>
      </c>
      <c r="AE98" s="182"/>
      <c r="AF98" s="332"/>
      <c r="AG98" s="182"/>
      <c r="AH98" s="182">
        <v>-0.06</v>
      </c>
      <c r="AI98" s="182"/>
      <c r="AJ98" s="640" t="s">
        <v>619</v>
      </c>
      <c r="AK98" s="182"/>
      <c r="AL98" s="496">
        <f>-0.02*Z98</f>
        <v>-32.4</v>
      </c>
      <c r="AM98" s="496">
        <f t="shared" si="44"/>
        <v>-64.8</v>
      </c>
      <c r="AN98" s="626" t="s">
        <v>93</v>
      </c>
      <c r="AO98" s="182" t="s">
        <v>620</v>
      </c>
      <c r="AP98" s="182"/>
      <c r="AQ98" s="332" t="str">
        <f>UPPER(RIGHT(Journal_Live[[#This Row],[DURATION ]]))</f>
        <v/>
      </c>
      <c r="AR98" s="239">
        <v>44895</v>
      </c>
      <c r="AS98" s="189">
        <v>-0.08</v>
      </c>
      <c r="AT98" s="189">
        <f t="shared" si="43"/>
        <v>-9.999999999999995E-3</v>
      </c>
      <c r="AU98" s="187">
        <f t="shared" si="45"/>
        <v>-32.399999999999984</v>
      </c>
      <c r="AV98" s="190">
        <f t="shared" si="46"/>
        <v>-16.199999999999992</v>
      </c>
      <c r="AW98" s="191" t="s">
        <v>229</v>
      </c>
      <c r="AX98" s="407" t="s">
        <v>621</v>
      </c>
      <c r="AY98" s="407"/>
      <c r="AZ98" s="407"/>
      <c r="BA98" s="407"/>
      <c r="BB98" s="407"/>
      <c r="BC98" s="407"/>
      <c r="BD98" s="407"/>
      <c r="BE98" s="407"/>
      <c r="BF98" s="422"/>
      <c r="BG98" s="391">
        <f>SUM($AV$4:AV98)</f>
        <v>606.22000000002026</v>
      </c>
      <c r="BH98" s="392">
        <f>SUM($AU$4:AU98)</f>
        <v>928.47000000002038</v>
      </c>
      <c r="BI98" s="318"/>
      <c r="BJ98" s="318">
        <f>SUMIFS($AU99:AU$1388,$Q99:Q$1388,"F")</f>
        <v>14616.666666666668</v>
      </c>
      <c r="BK98" s="343">
        <f>SUMIFS($AU99:AU$1388,$P99:P$1388,"W")</f>
        <v>21218.741999999926</v>
      </c>
      <c r="BL98" s="343">
        <f>SUMIFS($AU99:AU$1388,$P99:P$1388,"W")</f>
        <v>21218.741999999926</v>
      </c>
      <c r="BM98" s="343">
        <f>SUMIFS($AU99:AU$134,$AQ99:AQ$134,"M")</f>
        <v>0</v>
      </c>
      <c r="BN98" s="343">
        <f>SUMIFS($AU99:AU$134,$AQ99:AQ$134,"M")</f>
        <v>0</v>
      </c>
      <c r="BO98" s="343">
        <f>SUMIFS($AU99:AU$134,$AQ99:AQ$134,"H")</f>
        <v>0</v>
      </c>
      <c r="BP98" s="343">
        <f>SUMIFS($AU101:AU$134,$AQ101:AQ$134,"D")</f>
        <v>368.6</v>
      </c>
      <c r="BQ98" s="343">
        <f>SUMIFS($AU99:AU$134,$Q99:Q$134,"O")</f>
        <v>-32.199999999993601</v>
      </c>
      <c r="BR98" s="343">
        <f>SUMIFS($AU99:AU$134,$AA99:AA$134,"*")</f>
        <v>885.00000000000648</v>
      </c>
      <c r="BS98" s="343">
        <f>SUMIFS($AU99:AU$134,$AA99:AA$134,"*")</f>
        <v>885.00000000000648</v>
      </c>
      <c r="BT98" s="343">
        <f>SUMIFS($AU99:AU$134,$AB99:AB$134,"*")</f>
        <v>176</v>
      </c>
      <c r="BU98" s="343">
        <f>SUMIFS($AU99:AU$134,$AA99:AA$134,"*",$AB99:AB$134,"*")</f>
        <v>176</v>
      </c>
      <c r="BV98" s="343">
        <f>SUMIFS($AU99:AU$134,$AA99:AA$134,"*",$AB99:AB$134,"*")</f>
        <v>176</v>
      </c>
      <c r="BW98" s="343">
        <f>SUMIFS($AU99:AU$134,$AA99:AA$134,"*",$AC99:AC$134,"*")</f>
        <v>853.2</v>
      </c>
      <c r="BX98" s="343">
        <f>SUMIFS($AU99:AU$1388,$Q99:Q$1388,"F")</f>
        <v>14616.666666666668</v>
      </c>
      <c r="BY98" s="343">
        <f>SUMIFS($AU99:AU$1388,$Q99:Q$1388,"S")</f>
        <v>21412.841999999997</v>
      </c>
      <c r="BZ98" s="343">
        <f>SUMIFS($AU99:AU$1388,$Q99:Q$1388,"O")</f>
        <v>-1681.0579999997917</v>
      </c>
    </row>
    <row r="99" spans="1:78" ht="18" customHeight="1">
      <c r="A99" s="221" t="s">
        <v>347</v>
      </c>
      <c r="B99" s="177">
        <v>44893</v>
      </c>
      <c r="C99" s="194">
        <v>0.25</v>
      </c>
      <c r="D99" s="178" t="s">
        <v>132</v>
      </c>
      <c r="E99" s="227" t="s">
        <v>622</v>
      </c>
      <c r="F99" s="180" t="s">
        <v>623</v>
      </c>
      <c r="G99" s="181"/>
      <c r="H99" s="182"/>
      <c r="I99" s="182"/>
      <c r="J99" s="182">
        <v>1</v>
      </c>
      <c r="K99" s="183" t="s">
        <v>115</v>
      </c>
      <c r="L99" s="182"/>
      <c r="M99" s="182"/>
      <c r="N99" s="182"/>
      <c r="O99" s="183"/>
      <c r="P99" s="183"/>
      <c r="Q99" s="183"/>
      <c r="R99" s="183"/>
      <c r="S99" s="183"/>
      <c r="T99" s="183"/>
      <c r="U99" s="183"/>
      <c r="V99" s="183"/>
      <c r="W99" s="183"/>
      <c r="X99" s="183"/>
      <c r="Y99" s="184">
        <f t="shared" si="33"/>
        <v>0</v>
      </c>
      <c r="Z99" s="184">
        <f>IF(ISBLANK(O99),,IF(O99=UPPER("IB"),8.63*200,16.2*100))</f>
        <v>0</v>
      </c>
      <c r="AA99" s="185"/>
      <c r="AB99" s="185"/>
      <c r="AC99" s="185"/>
      <c r="AD99" s="649"/>
      <c r="AE99" s="182"/>
      <c r="AF99" s="332"/>
      <c r="AG99" s="182"/>
      <c r="AH99" s="182"/>
      <c r="AI99" s="182"/>
      <c r="AJ99" s="640"/>
      <c r="AK99" s="182"/>
      <c r="AL99" s="496"/>
      <c r="AM99" s="497"/>
      <c r="AN99" s="626"/>
      <c r="AO99" s="182"/>
      <c r="AP99" s="182"/>
      <c r="AQ99" s="332" t="str">
        <f>UPPER(RIGHT(Journal_Live[[#This Row],[DURATION ]]))</f>
        <v/>
      </c>
      <c r="AR99" s="182"/>
      <c r="AS99" s="189"/>
      <c r="AT99" s="182">
        <f t="shared" si="43"/>
        <v>0</v>
      </c>
      <c r="AU99" s="187"/>
      <c r="AV99" s="190"/>
      <c r="AW99" s="191"/>
      <c r="AX99" s="407"/>
      <c r="AY99" s="407"/>
      <c r="AZ99" s="407"/>
      <c r="BA99" s="407"/>
      <c r="BB99" s="407"/>
      <c r="BC99" s="407"/>
      <c r="BD99" s="407"/>
      <c r="BE99" s="407"/>
      <c r="BF99" s="422"/>
      <c r="BG99" s="391">
        <f>SUM($AV$4:AV99)</f>
        <v>606.22000000002026</v>
      </c>
      <c r="BH99" s="392">
        <f>SUM($AU$4:AU99)</f>
        <v>928.47000000002038</v>
      </c>
      <c r="BI99" s="318"/>
      <c r="BJ99" s="318">
        <f>SUMIFS($AU100:AU$1388,$Q100:Q$1388,"F")</f>
        <v>14616.666666666668</v>
      </c>
      <c r="BK99" s="343">
        <f>SUMIFS($AU100:AU$1388,$P100:P$1388,"W")</f>
        <v>21218.741999999926</v>
      </c>
      <c r="BL99" s="343">
        <f>SUMIFS($AU100:AU$1388,$P100:P$1388,"W")</f>
        <v>21218.741999999926</v>
      </c>
      <c r="BM99" s="343">
        <f>SUMIFS($AU100:AU$134,$AQ100:AQ$134,"M")</f>
        <v>0</v>
      </c>
      <c r="BN99" s="343">
        <f>SUMIFS($AU100:AU$134,$AQ100:AQ$134,"M")</f>
        <v>0</v>
      </c>
      <c r="BO99" s="343">
        <f>SUMIFS($AU100:AU$134,$AQ100:AQ$134,"H")</f>
        <v>0</v>
      </c>
      <c r="BP99" s="343">
        <f>SUMIFS($AU102:AU$134,$AQ102:AQ$134,"D")</f>
        <v>368.6</v>
      </c>
      <c r="BQ99" s="343">
        <f>SUMIFS($AU100:AU$134,$Q100:Q$134,"O")</f>
        <v>-32.199999999993601</v>
      </c>
      <c r="BR99" s="343">
        <f>SUMIFS($AU100:AU$134,$AA100:AA$134,"*")</f>
        <v>885.00000000000648</v>
      </c>
      <c r="BS99" s="343">
        <f>SUMIFS($AU100:AU$134,$AA100:AA$134,"*")</f>
        <v>885.00000000000648</v>
      </c>
      <c r="BT99" s="343">
        <f>SUMIFS($AU100:AU$134,$AB100:AB$134,"*")</f>
        <v>176</v>
      </c>
      <c r="BU99" s="343">
        <f>SUMIFS($AU100:AU$134,$AA100:AA$134,"*",$AB100:AB$134,"*")</f>
        <v>176</v>
      </c>
      <c r="BV99" s="343">
        <f>SUMIFS($AU100:AU$134,$AA100:AA$134,"*",$AB100:AB$134,"*")</f>
        <v>176</v>
      </c>
      <c r="BW99" s="343">
        <f>SUMIFS($AU100:AU$134,$AA100:AA$134,"*",$AC100:AC$134,"*")</f>
        <v>853.2</v>
      </c>
      <c r="BX99" s="343">
        <f>SUMIFS($AU100:AU$1388,$Q100:Q$1388,"F")</f>
        <v>14616.666666666668</v>
      </c>
      <c r="BY99" s="343">
        <f>SUMIFS($AU100:AU$1388,$Q100:Q$1388,"S")</f>
        <v>21412.841999999997</v>
      </c>
      <c r="BZ99" s="343">
        <f>SUMIFS($AU100:AU$1388,$Q100:Q$1388,"O")</f>
        <v>-1681.0579999997917</v>
      </c>
    </row>
    <row r="100" spans="1:78" ht="18" customHeight="1">
      <c r="A100" s="221" t="s">
        <v>347</v>
      </c>
      <c r="B100" s="177">
        <v>44893</v>
      </c>
      <c r="C100" s="178" t="s">
        <v>624</v>
      </c>
      <c r="D100" s="178" t="s">
        <v>132</v>
      </c>
      <c r="E100" s="227"/>
      <c r="F100" s="180"/>
      <c r="G100" s="181" t="s">
        <v>280</v>
      </c>
      <c r="H100" s="182"/>
      <c r="I100" s="182"/>
      <c r="J100" s="182"/>
      <c r="K100" s="183"/>
      <c r="L100" s="182">
        <v>1</v>
      </c>
      <c r="M100" s="182"/>
      <c r="N100" s="182"/>
      <c r="O100" s="183" t="s">
        <v>95</v>
      </c>
      <c r="P100" s="183" t="s">
        <v>137</v>
      </c>
      <c r="Q100" s="183" t="s">
        <v>97</v>
      </c>
      <c r="R100" s="183">
        <v>2</v>
      </c>
      <c r="S100" s="183">
        <v>2</v>
      </c>
      <c r="T100" s="183">
        <v>2</v>
      </c>
      <c r="U100" s="183" t="s">
        <v>22</v>
      </c>
      <c r="V100" s="183"/>
      <c r="W100" s="183"/>
      <c r="X100" s="183"/>
      <c r="Y100" s="184">
        <f t="shared" ref="Y100:Y131" si="48">IF(ISBLANK(O100),,(IF(O100=UPPER("IB"),0.005,0.01)))</f>
        <v>0.01</v>
      </c>
      <c r="Z100" s="184">
        <f t="shared" ref="Z100:Z105" si="49">IF(ISBLANK(O100),,IF(O100=UPPER("IB"),8.63*200,16*100))</f>
        <v>1600</v>
      </c>
      <c r="AA100" s="185" t="s">
        <v>570</v>
      </c>
      <c r="AB100" s="185"/>
      <c r="AC100" s="185"/>
      <c r="AD100" s="649">
        <v>-0.09</v>
      </c>
      <c r="AE100" s="182" t="s">
        <v>625</v>
      </c>
      <c r="AF100" s="332"/>
      <c r="AG100" s="182"/>
      <c r="AH100" s="182"/>
      <c r="AI100" s="182"/>
      <c r="AJ100" s="640"/>
      <c r="AK100" s="182"/>
      <c r="AL100" s="496">
        <f t="shared" ref="AL100:AL101" si="50">-0.03*Z100</f>
        <v>-48</v>
      </c>
      <c r="AM100" s="496">
        <f>AL100*R100</f>
        <v>-96</v>
      </c>
      <c r="AN100" s="626" t="s">
        <v>93</v>
      </c>
      <c r="AO100" s="182" t="s">
        <v>620</v>
      </c>
      <c r="AP100" s="182" t="s">
        <v>626</v>
      </c>
      <c r="AQ100" s="332" t="str">
        <f>UPPER(RIGHT(Journal_Live[[#This Row],[DURATION ]]))</f>
        <v>D</v>
      </c>
      <c r="AR100" s="182" t="s">
        <v>627</v>
      </c>
      <c r="AS100" s="189">
        <v>-0.09</v>
      </c>
      <c r="AT100" s="189">
        <f t="shared" si="43"/>
        <v>0</v>
      </c>
      <c r="AU100" s="187">
        <f>AV100*R100</f>
        <v>0</v>
      </c>
      <c r="AV100" s="190">
        <f>IF(ISBLANK(AS100),,(AT100*Z100))</f>
        <v>0</v>
      </c>
      <c r="AW100" s="191" t="s">
        <v>115</v>
      </c>
      <c r="AX100" s="407" t="s">
        <v>628</v>
      </c>
      <c r="AY100" s="407"/>
      <c r="AZ100" s="407"/>
      <c r="BA100" s="407"/>
      <c r="BB100" s="407"/>
      <c r="BC100" s="407"/>
      <c r="BD100" s="407"/>
      <c r="BE100" s="407"/>
      <c r="BF100" s="422"/>
      <c r="BG100" s="391">
        <f>SUM($AV$4:AV100)</f>
        <v>606.22000000002026</v>
      </c>
      <c r="BH100" s="392">
        <f>SUM($AU$4:AU100)</f>
        <v>928.47000000002038</v>
      </c>
      <c r="BI100" s="318"/>
      <c r="BJ100" s="318">
        <f>SUMIFS($AU101:AU$1388,$Q101:Q$1388,"F")</f>
        <v>14616.666666666668</v>
      </c>
      <c r="BK100" s="343">
        <f>SUMIFS($AU101:AU$1388,$P101:P$1388,"W")</f>
        <v>21218.741999999926</v>
      </c>
      <c r="BL100" s="343">
        <f>SUMIFS($AU101:AU$1388,$P101:P$1388,"W")</f>
        <v>21218.741999999926</v>
      </c>
      <c r="BM100" s="343">
        <f>SUMIFS($AU101:AU$134,$AQ101:AQ$134,"M")</f>
        <v>0</v>
      </c>
      <c r="BN100" s="343">
        <f>SUMIFS($AU101:AU$134,$AQ101:AQ$134,"M")</f>
        <v>0</v>
      </c>
      <c r="BO100" s="343">
        <f>SUMIFS($AU101:AU$134,$AQ101:AQ$134,"H")</f>
        <v>0</v>
      </c>
      <c r="BP100" s="343">
        <f>SUMIFS($AU103:AU$134,$AQ103:AQ$134,"D")</f>
        <v>368.6</v>
      </c>
      <c r="BQ100" s="343">
        <f>SUMIFS($AU101:AU$134,$Q101:Q$134,"O")</f>
        <v>-32.199999999993601</v>
      </c>
      <c r="BR100" s="343">
        <f>SUMIFS($AU101:AU$134,$AA101:AA$134,"*")</f>
        <v>885.00000000000648</v>
      </c>
      <c r="BS100" s="343">
        <f>SUMIFS($AU101:AU$134,$AA101:AA$134,"*")</f>
        <v>885.00000000000648</v>
      </c>
      <c r="BT100" s="343">
        <f>SUMIFS($AU101:AU$134,$AB101:AB$134,"*")</f>
        <v>176</v>
      </c>
      <c r="BU100" s="343">
        <f>SUMIFS($AU101:AU$134,$AA101:AA$134,"*",$AB101:AB$134,"*")</f>
        <v>176</v>
      </c>
      <c r="BV100" s="343">
        <f>SUMIFS($AU101:AU$134,$AA101:AA$134,"*",$AB101:AB$134,"*")</f>
        <v>176</v>
      </c>
      <c r="BW100" s="343">
        <f>SUMIFS($AU101:AU$134,$AA101:AA$134,"*",$AC101:AC$134,"*")</f>
        <v>853.2</v>
      </c>
      <c r="BX100" s="343">
        <f>SUMIFS($AU101:AU$1388,$Q101:Q$1388,"F")</f>
        <v>14616.666666666668</v>
      </c>
      <c r="BY100" s="343">
        <f>SUMIFS($AU101:AU$1388,$Q101:Q$1388,"S")</f>
        <v>21412.841999999997</v>
      </c>
      <c r="BZ100" s="343">
        <f>SUMIFS($AU101:AU$1388,$Q101:Q$1388,"O")</f>
        <v>-1681.0579999997917</v>
      </c>
    </row>
    <row r="101" spans="1:78" ht="18" customHeight="1">
      <c r="A101" s="221" t="s">
        <v>347</v>
      </c>
      <c r="B101" s="177">
        <v>44893</v>
      </c>
      <c r="C101" s="178" t="s">
        <v>629</v>
      </c>
      <c r="D101" s="178" t="s">
        <v>132</v>
      </c>
      <c r="E101" s="227"/>
      <c r="F101" s="180"/>
      <c r="G101" s="199" t="s">
        <v>553</v>
      </c>
      <c r="H101" s="182"/>
      <c r="I101" s="182"/>
      <c r="J101" s="182"/>
      <c r="K101" s="183"/>
      <c r="L101" s="182">
        <v>1</v>
      </c>
      <c r="M101" s="182"/>
      <c r="N101" s="182"/>
      <c r="O101" s="183" t="s">
        <v>95</v>
      </c>
      <c r="P101" s="183" t="s">
        <v>137</v>
      </c>
      <c r="Q101" s="183" t="s">
        <v>97</v>
      </c>
      <c r="R101" s="183">
        <v>2</v>
      </c>
      <c r="S101" s="183">
        <v>2</v>
      </c>
      <c r="T101" s="183">
        <v>2</v>
      </c>
      <c r="U101" s="183" t="s">
        <v>22</v>
      </c>
      <c r="V101" s="183"/>
      <c r="W101" s="183"/>
      <c r="X101" s="183"/>
      <c r="Y101" s="184">
        <f t="shared" si="48"/>
        <v>0.01</v>
      </c>
      <c r="Z101" s="184">
        <f t="shared" si="49"/>
        <v>1600</v>
      </c>
      <c r="AA101" s="185" t="s">
        <v>138</v>
      </c>
      <c r="AB101" s="185"/>
      <c r="AC101" s="185" t="s">
        <v>99</v>
      </c>
      <c r="AD101" s="649">
        <v>-0.08</v>
      </c>
      <c r="AE101" s="182"/>
      <c r="AF101" s="332"/>
      <c r="AG101" s="182"/>
      <c r="AH101" s="182"/>
      <c r="AI101" s="182"/>
      <c r="AJ101" s="640"/>
      <c r="AK101" s="182"/>
      <c r="AL101" s="496">
        <f t="shared" si="50"/>
        <v>-48</v>
      </c>
      <c r="AM101" s="496">
        <f>AL101*R101</f>
        <v>-96</v>
      </c>
      <c r="AN101" s="626"/>
      <c r="AO101" s="182"/>
      <c r="AP101" s="182"/>
      <c r="AQ101" s="332" t="str">
        <f>UPPER(RIGHT(Journal_Live[[#This Row],[DURATION ]]))</f>
        <v/>
      </c>
      <c r="AR101" s="182" t="s">
        <v>630</v>
      </c>
      <c r="AS101" s="189">
        <v>-7.0000000000000007E-2</v>
      </c>
      <c r="AT101" s="189">
        <f t="shared" si="43"/>
        <v>9.999999999999995E-3</v>
      </c>
      <c r="AU101" s="187">
        <f>AV101*R101</f>
        <v>31.999999999999986</v>
      </c>
      <c r="AV101" s="190">
        <f>IF(ISBLANK(AS101),,(AT101*Z101))</f>
        <v>15.999999999999993</v>
      </c>
      <c r="AW101" s="191" t="s">
        <v>96</v>
      </c>
      <c r="AX101" s="407"/>
      <c r="AY101" s="407"/>
      <c r="AZ101" s="407"/>
      <c r="BA101" s="407"/>
      <c r="BB101" s="407"/>
      <c r="BC101" s="407"/>
      <c r="BD101" s="407"/>
      <c r="BE101" s="407"/>
      <c r="BF101" s="422"/>
      <c r="BG101" s="391">
        <f>SUM($AV$4:AV101)</f>
        <v>622.22000000002026</v>
      </c>
      <c r="BH101" s="392">
        <f>SUM($AU$4:AU101)</f>
        <v>960.47000000002038</v>
      </c>
      <c r="BI101" s="318"/>
      <c r="BJ101" s="318">
        <f>SUMIFS($AU102:AU$1388,$Q102:Q$1388,"F")</f>
        <v>14616.666666666668</v>
      </c>
      <c r="BK101" s="343">
        <f>SUMIFS($AU102:AU$1388,$P102:P$1388,"W")</f>
        <v>21218.741999999926</v>
      </c>
      <c r="BL101" s="343">
        <f>SUMIFS($AU102:AU$1388,$P102:P$1388,"W")</f>
        <v>21218.741999999926</v>
      </c>
      <c r="BM101" s="343">
        <f>SUMIFS($AU102:AU$134,$AQ102:AQ$134,"M")</f>
        <v>0</v>
      </c>
      <c r="BN101" s="343">
        <f>SUMIFS($AU102:AU$134,$AQ102:AQ$134,"M")</f>
        <v>0</v>
      </c>
      <c r="BO101" s="343">
        <f>SUMIFS($AU102:AU$134,$AQ102:AQ$134,"H")</f>
        <v>0</v>
      </c>
      <c r="BP101" s="343">
        <f>SUMIFS($AU104:AU$134,$AQ104:AQ$134,"D")</f>
        <v>368.6</v>
      </c>
      <c r="BQ101" s="343">
        <f>SUMIFS($AU102:AU$134,$Q102:Q$134,"O")</f>
        <v>-32.199999999993601</v>
      </c>
      <c r="BR101" s="343">
        <f>SUMIFS($AU102:AU$134,$AA102:AA$134,"*")</f>
        <v>853.00000000000648</v>
      </c>
      <c r="BS101" s="343">
        <f>SUMIFS($AU102:AU$134,$AA102:AA$134,"*")</f>
        <v>853.00000000000648</v>
      </c>
      <c r="BT101" s="343">
        <f>SUMIFS($AU102:AU$134,$AB102:AB$134,"*")</f>
        <v>176</v>
      </c>
      <c r="BU101" s="343">
        <f>SUMIFS($AU102:AU$134,$AA102:AA$134,"*",$AB102:AB$134,"*")</f>
        <v>176</v>
      </c>
      <c r="BV101" s="343">
        <f>SUMIFS($AU102:AU$134,$AA102:AA$134,"*",$AB102:AB$134,"*")</f>
        <v>176</v>
      </c>
      <c r="BW101" s="343">
        <f>SUMIFS($AU102:AU$134,$AA102:AA$134,"*",$AC102:AC$134,"*")</f>
        <v>821.2</v>
      </c>
      <c r="BX101" s="343">
        <f>SUMIFS($AU102:AU$1388,$Q102:Q$1388,"F")</f>
        <v>14616.666666666668</v>
      </c>
      <c r="BY101" s="343">
        <f>SUMIFS($AU102:AU$1388,$Q102:Q$1388,"S")</f>
        <v>21380.841999999997</v>
      </c>
      <c r="BZ101" s="343">
        <f>SUMIFS($AU102:AU$1388,$Q102:Q$1388,"O")</f>
        <v>-1681.0579999997917</v>
      </c>
    </row>
    <row r="102" spans="1:78" ht="18" customHeight="1">
      <c r="A102" s="221" t="s">
        <v>347</v>
      </c>
      <c r="B102" s="177">
        <v>44893</v>
      </c>
      <c r="C102" s="178" t="s">
        <v>631</v>
      </c>
      <c r="D102" s="178" t="s">
        <v>132</v>
      </c>
      <c r="E102" s="227"/>
      <c r="F102" s="180"/>
      <c r="G102" s="199" t="s">
        <v>632</v>
      </c>
      <c r="H102" s="182"/>
      <c r="I102" s="182"/>
      <c r="J102" s="182"/>
      <c r="K102" s="183"/>
      <c r="L102" s="182"/>
      <c r="M102" s="182">
        <v>1</v>
      </c>
      <c r="N102" s="182"/>
      <c r="O102" s="183" t="s">
        <v>95</v>
      </c>
      <c r="P102" s="183" t="s">
        <v>96</v>
      </c>
      <c r="Q102" s="183" t="s">
        <v>256</v>
      </c>
      <c r="R102" s="183">
        <v>2</v>
      </c>
      <c r="S102" s="183">
        <v>2</v>
      </c>
      <c r="T102" s="183">
        <v>1</v>
      </c>
      <c r="U102" s="183" t="s">
        <v>22</v>
      </c>
      <c r="V102" s="183"/>
      <c r="W102" s="183"/>
      <c r="X102" s="183"/>
      <c r="Y102" s="184">
        <f t="shared" si="48"/>
        <v>0.01</v>
      </c>
      <c r="Z102" s="184">
        <f t="shared" si="49"/>
        <v>1600</v>
      </c>
      <c r="AA102" s="185" t="s">
        <v>633</v>
      </c>
      <c r="AB102" s="196" t="s">
        <v>634</v>
      </c>
      <c r="AC102" s="185" t="s">
        <v>635</v>
      </c>
      <c r="AD102" s="649">
        <v>0</v>
      </c>
      <c r="AE102" s="182"/>
      <c r="AF102" s="332">
        <v>-2</v>
      </c>
      <c r="AG102" s="182"/>
      <c r="AH102" s="182" t="s">
        <v>636</v>
      </c>
      <c r="AI102" s="182"/>
      <c r="AJ102" s="640"/>
      <c r="AK102" s="182"/>
      <c r="AL102" s="496"/>
      <c r="AM102" s="497"/>
      <c r="AN102" s="626" t="s">
        <v>637</v>
      </c>
      <c r="AO102" s="182" t="s">
        <v>638</v>
      </c>
      <c r="AP102" s="182" t="s">
        <v>639</v>
      </c>
      <c r="AQ102" s="332" t="str">
        <f>UPPER(RIGHT(Journal_Live[[#This Row],[DURATION ]]))</f>
        <v>+</v>
      </c>
      <c r="AR102" s="182" t="s">
        <v>640</v>
      </c>
      <c r="AS102" s="189">
        <v>5.5E-2</v>
      </c>
      <c r="AT102" s="189">
        <f t="shared" si="43"/>
        <v>5.5E-2</v>
      </c>
      <c r="AU102" s="187">
        <f>AV102*R102</f>
        <v>176</v>
      </c>
      <c r="AV102" s="190">
        <f>IF(ISBLANK(AS102),,(AT102*Z102))</f>
        <v>88</v>
      </c>
      <c r="AW102" s="191" t="s">
        <v>96</v>
      </c>
      <c r="AX102" s="407" t="s">
        <v>641</v>
      </c>
      <c r="AY102" s="409" t="s">
        <v>642</v>
      </c>
      <c r="AZ102" s="409" t="s">
        <v>643</v>
      </c>
      <c r="BA102" s="407" t="s">
        <v>644</v>
      </c>
      <c r="BB102" s="407" t="s">
        <v>645</v>
      </c>
      <c r="BC102" s="407" t="s">
        <v>646</v>
      </c>
      <c r="BD102" s="409" t="s">
        <v>547</v>
      </c>
      <c r="BE102" s="407" t="s">
        <v>647</v>
      </c>
      <c r="BF102" s="422" t="s">
        <v>648</v>
      </c>
      <c r="BG102" s="391">
        <f>SUM($AV$4:AV102)</f>
        <v>710.22000000002026</v>
      </c>
      <c r="BH102" s="392">
        <f>SUM($AU$4:AU102)</f>
        <v>1136.4700000000203</v>
      </c>
      <c r="BI102" s="318"/>
      <c r="BJ102" s="318">
        <f>SUMIFS($AU103:AU$1388,$Q103:Q$1388,"F")</f>
        <v>14440.666666666668</v>
      </c>
      <c r="BK102" s="343">
        <f>SUMIFS($AU103:AU$1388,$P103:P$1388,"W")</f>
        <v>21042.741999999926</v>
      </c>
      <c r="BL102" s="343">
        <f>SUMIFS($AU103:AU$1388,$P103:P$1388,"W")</f>
        <v>21042.741999999926</v>
      </c>
      <c r="BM102" s="343">
        <f>SUMIFS($AU103:AU$134,$AQ103:AQ$134,"M")</f>
        <v>0</v>
      </c>
      <c r="BN102" s="343">
        <f>SUMIFS($AU103:AU$134,$AQ103:AQ$134,"M")</f>
        <v>0</v>
      </c>
      <c r="BO102" s="343">
        <f>SUMIFS($AU103:AU$134,$AQ103:AQ$134,"H")</f>
        <v>0</v>
      </c>
      <c r="BP102" s="343">
        <f>SUMIFS($AU105:AU$134,$AQ105:AQ$134,"D")</f>
        <v>368.6</v>
      </c>
      <c r="BQ102" s="343">
        <f>SUMIFS($AU103:AU$134,$Q103:Q$134,"O")</f>
        <v>-32.199999999993601</v>
      </c>
      <c r="BR102" s="343">
        <f>SUMIFS($AU103:AU$134,$AA103:AA$134,"*")</f>
        <v>677.00000000000648</v>
      </c>
      <c r="BS102" s="343">
        <f>SUMIFS($AU103:AU$134,$AA103:AA$134,"*")</f>
        <v>677.00000000000648</v>
      </c>
      <c r="BT102" s="343">
        <f>SUMIFS($AU103:AU$134,$AB103:AB$134,"*")</f>
        <v>0</v>
      </c>
      <c r="BU102" s="343">
        <f>SUMIFS($AU103:AU$134,$AA103:AA$134,"*",$AB103:AB$134,"*")</f>
        <v>0</v>
      </c>
      <c r="BV102" s="343">
        <f>SUMIFS($AU103:AU$134,$AA103:AA$134,"*",$AB103:AB$134,"*")</f>
        <v>0</v>
      </c>
      <c r="BW102" s="343">
        <f>SUMIFS($AU103:AU$134,$AA103:AA$134,"*",$AC103:AC$134,"*")</f>
        <v>645.20000000000005</v>
      </c>
      <c r="BX102" s="343">
        <f>SUMIFS($AU103:AU$1388,$Q103:Q$1388,"F")</f>
        <v>14440.666666666668</v>
      </c>
      <c r="BY102" s="343">
        <f>SUMIFS($AU103:AU$1388,$Q103:Q$1388,"S")</f>
        <v>21380.841999999997</v>
      </c>
      <c r="BZ102" s="343">
        <f>SUMIFS($AU103:AU$1388,$Q103:Q$1388,"O")</f>
        <v>-1681.0579999997917</v>
      </c>
    </row>
    <row r="103" spans="1:78" ht="18" customHeight="1">
      <c r="A103" s="221" t="s">
        <v>347</v>
      </c>
      <c r="B103" s="177"/>
      <c r="C103" s="178"/>
      <c r="D103" s="178"/>
      <c r="E103" s="227"/>
      <c r="F103" s="180"/>
      <c r="G103" s="181"/>
      <c r="H103" s="182"/>
      <c r="I103" s="182"/>
      <c r="J103" s="182"/>
      <c r="K103" s="183"/>
      <c r="L103" s="182"/>
      <c r="M103" s="182"/>
      <c r="N103" s="182"/>
      <c r="O103" s="183"/>
      <c r="P103" s="183"/>
      <c r="Q103" s="183"/>
      <c r="R103" s="183"/>
      <c r="S103" s="183"/>
      <c r="T103" s="183"/>
      <c r="U103" s="183"/>
      <c r="V103" s="183"/>
      <c r="W103" s="183"/>
      <c r="X103" s="183"/>
      <c r="Y103" s="184">
        <f t="shared" si="48"/>
        <v>0</v>
      </c>
      <c r="Z103" s="184">
        <f t="shared" si="49"/>
        <v>0</v>
      </c>
      <c r="AA103" s="185"/>
      <c r="AB103" s="185"/>
      <c r="AC103" s="185"/>
      <c r="AD103" s="649"/>
      <c r="AE103" s="182"/>
      <c r="AF103" s="332"/>
      <c r="AG103" s="182"/>
      <c r="AH103" s="182"/>
      <c r="AI103" s="182"/>
      <c r="AJ103" s="640"/>
      <c r="AK103" s="182"/>
      <c r="AL103" s="496"/>
      <c r="AM103" s="497"/>
      <c r="AN103" s="626"/>
      <c r="AO103" s="182"/>
      <c r="AP103" s="182"/>
      <c r="AQ103" s="332" t="str">
        <f>UPPER(RIGHT(Journal_Live[[#This Row],[DURATION ]]))</f>
        <v/>
      </c>
      <c r="AR103" s="182"/>
      <c r="AS103" s="189"/>
      <c r="AT103" s="182"/>
      <c r="AU103" s="187"/>
      <c r="AV103" s="190"/>
      <c r="AW103" s="191"/>
      <c r="AX103" s="407" t="s">
        <v>649</v>
      </c>
      <c r="AY103" s="407" t="s">
        <v>650</v>
      </c>
      <c r="AZ103" s="407" t="s">
        <v>651</v>
      </c>
      <c r="BA103" s="407"/>
      <c r="BB103" s="407"/>
      <c r="BC103" s="407"/>
      <c r="BD103" s="407"/>
      <c r="BE103" s="407"/>
      <c r="BF103" s="422"/>
      <c r="BG103" s="391">
        <f>SUM($AV$4:AV103)</f>
        <v>710.22000000002026</v>
      </c>
      <c r="BH103" s="392">
        <f>SUM($AU$4:AU103)</f>
        <v>1136.4700000000203</v>
      </c>
      <c r="BI103" s="318"/>
      <c r="BJ103" s="318">
        <f>SUMIFS($AU104:AU$1388,$Q104:Q$1388,"F")</f>
        <v>14440.666666666668</v>
      </c>
      <c r="BK103" s="343">
        <f>SUMIFS($AU104:AU$1388,$P104:P$1388,"W")</f>
        <v>21042.741999999926</v>
      </c>
      <c r="BL103" s="343">
        <f>SUMIFS($AU104:AU$1388,$P104:P$1388,"W")</f>
        <v>21042.741999999926</v>
      </c>
      <c r="BM103" s="343">
        <f>SUMIFS($AU104:AU$134,$AQ104:AQ$134,"M")</f>
        <v>0</v>
      </c>
      <c r="BN103" s="343">
        <f>SUMIFS($AU104:AU$134,$AQ104:AQ$134,"M")</f>
        <v>0</v>
      </c>
      <c r="BO103" s="343">
        <f>SUMIFS($AU104:AU$134,$AQ104:AQ$134,"H")</f>
        <v>0</v>
      </c>
      <c r="BP103" s="343">
        <f>SUMIFS($AU106:AU$134,$AQ106:AQ$134,"D")</f>
        <v>368.6</v>
      </c>
      <c r="BQ103" s="343">
        <f>SUMIFS($AU104:AU$134,$Q104:Q$134,"O")</f>
        <v>-32.199999999993601</v>
      </c>
      <c r="BR103" s="343">
        <f>SUMIFS($AU104:AU$134,$AA104:AA$134,"*")</f>
        <v>677.00000000000648</v>
      </c>
      <c r="BS103" s="343">
        <f>SUMIFS($AU104:AU$134,$AA104:AA$134,"*")</f>
        <v>677.00000000000648</v>
      </c>
      <c r="BT103" s="343">
        <f>SUMIFS($AU104:AU$134,$AB104:AB$134,"*")</f>
        <v>0</v>
      </c>
      <c r="BU103" s="343">
        <f>SUMIFS($AU104:AU$134,$AA104:AA$134,"*",$AB104:AB$134,"*")</f>
        <v>0</v>
      </c>
      <c r="BV103" s="343">
        <f>SUMIFS($AU104:AU$134,$AA104:AA$134,"*",$AB104:AB$134,"*")</f>
        <v>0</v>
      </c>
      <c r="BW103" s="343">
        <f>SUMIFS($AU104:AU$134,$AA104:AA$134,"*",$AC104:AC$134,"*")</f>
        <v>645.20000000000005</v>
      </c>
      <c r="BX103" s="343">
        <f>SUMIFS($AU104:AU$1388,$Q104:Q$1388,"F")</f>
        <v>14440.666666666668</v>
      </c>
      <c r="BY103" s="343">
        <f>SUMIFS($AU104:AU$1388,$Q104:Q$1388,"S")</f>
        <v>21380.841999999997</v>
      </c>
      <c r="BZ103" s="343">
        <f>SUMIFS($AU104:AU$1388,$Q104:Q$1388,"O")</f>
        <v>-1681.0579999997917</v>
      </c>
    </row>
    <row r="104" spans="1:78" ht="18" customHeight="1">
      <c r="A104" s="221" t="s">
        <v>347</v>
      </c>
      <c r="B104" s="177">
        <v>44895</v>
      </c>
      <c r="C104" s="178" t="s">
        <v>652</v>
      </c>
      <c r="D104" s="178" t="s">
        <v>151</v>
      </c>
      <c r="E104" s="227" t="s">
        <v>653</v>
      </c>
      <c r="F104" s="180" t="s">
        <v>654</v>
      </c>
      <c r="G104" s="181"/>
      <c r="H104" s="182"/>
      <c r="I104" s="182"/>
      <c r="J104" s="182">
        <v>1</v>
      </c>
      <c r="K104" s="183" t="s">
        <v>115</v>
      </c>
      <c r="L104" s="182"/>
      <c r="M104" s="182"/>
      <c r="N104" s="182"/>
      <c r="O104" s="183"/>
      <c r="P104" s="183"/>
      <c r="Q104" s="183"/>
      <c r="R104" s="183"/>
      <c r="S104" s="183"/>
      <c r="T104" s="183"/>
      <c r="U104" s="183"/>
      <c r="V104" s="183"/>
      <c r="W104" s="183"/>
      <c r="X104" s="183"/>
      <c r="Y104" s="184">
        <f t="shared" si="48"/>
        <v>0</v>
      </c>
      <c r="Z104" s="184">
        <f t="shared" si="49"/>
        <v>0</v>
      </c>
      <c r="AA104" s="185"/>
      <c r="AB104" s="185"/>
      <c r="AC104" s="185"/>
      <c r="AD104" s="649"/>
      <c r="AE104" s="182"/>
      <c r="AF104" s="332"/>
      <c r="AG104" s="182"/>
      <c r="AH104" s="182"/>
      <c r="AI104" s="182"/>
      <c r="AJ104" s="640"/>
      <c r="AK104" s="182"/>
      <c r="AL104" s="496"/>
      <c r="AM104" s="497"/>
      <c r="AN104" s="626"/>
      <c r="AO104" s="182"/>
      <c r="AP104" s="182"/>
      <c r="AQ104" s="332" t="str">
        <f>UPPER(RIGHT(Journal_Live[[#This Row],[DURATION ]]))</f>
        <v/>
      </c>
      <c r="AR104" s="182"/>
      <c r="AS104" s="189"/>
      <c r="AT104" s="182"/>
      <c r="AU104" s="187"/>
      <c r="AV104" s="190"/>
      <c r="AW104" s="191"/>
      <c r="AX104" s="407"/>
      <c r="AY104" s="407"/>
      <c r="AZ104" s="407"/>
      <c r="BA104" s="409" t="s">
        <v>655</v>
      </c>
      <c r="BB104" s="409" t="s">
        <v>656</v>
      </c>
      <c r="BC104" s="407"/>
      <c r="BD104" s="407"/>
      <c r="BE104" s="407"/>
      <c r="BF104" s="422"/>
      <c r="BG104" s="391">
        <f>SUM($AV$4:AV104)</f>
        <v>710.22000000002026</v>
      </c>
      <c r="BH104" s="392">
        <f>SUM($AU$4:AU104)</f>
        <v>1136.4700000000203</v>
      </c>
      <c r="BI104" s="318"/>
      <c r="BJ104" s="318">
        <f>SUMIFS($AU105:AU$1388,$Q105:Q$1388,"F")</f>
        <v>14440.666666666668</v>
      </c>
      <c r="BK104" s="343">
        <f>SUMIFS($AU105:AU$1388,$P105:P$1388,"W")</f>
        <v>21042.741999999926</v>
      </c>
      <c r="BL104" s="343">
        <f>SUMIFS($AU105:AU$1388,$P105:P$1388,"W")</f>
        <v>21042.741999999926</v>
      </c>
      <c r="BM104" s="343">
        <f>SUMIFS($AU105:AU$134,$AQ105:AQ$134,"M")</f>
        <v>0</v>
      </c>
      <c r="BN104" s="343">
        <f>SUMIFS($AU105:AU$134,$AQ105:AQ$134,"M")</f>
        <v>0</v>
      </c>
      <c r="BO104" s="343">
        <f>SUMIFS($AU105:AU$134,$AQ105:AQ$134,"H")</f>
        <v>0</v>
      </c>
      <c r="BP104" s="343">
        <f>SUMIFS($AU107:AU$134,$AQ107:AQ$134,"D")</f>
        <v>335.99999999999994</v>
      </c>
      <c r="BQ104" s="343">
        <f>SUMIFS($AU105:AU$134,$Q105:Q$134,"O")</f>
        <v>-32.199999999993601</v>
      </c>
      <c r="BR104" s="343">
        <f>SUMIFS($AU105:AU$134,$AA105:AA$134,"*")</f>
        <v>677.00000000000648</v>
      </c>
      <c r="BS104" s="343">
        <f>SUMIFS($AU105:AU$134,$AA105:AA$134,"*")</f>
        <v>677.00000000000648</v>
      </c>
      <c r="BT104" s="343">
        <f>SUMIFS($AU105:AU$134,$AB105:AB$134,"*")</f>
        <v>0</v>
      </c>
      <c r="BU104" s="343">
        <f>SUMIFS($AU105:AU$134,$AA105:AA$134,"*",$AB105:AB$134,"*")</f>
        <v>0</v>
      </c>
      <c r="BV104" s="343">
        <f>SUMIFS($AU105:AU$134,$AA105:AA$134,"*",$AB105:AB$134,"*")</f>
        <v>0</v>
      </c>
      <c r="BW104" s="343">
        <f>SUMIFS($AU105:AU$134,$AA105:AA$134,"*",$AC105:AC$134,"*")</f>
        <v>645.20000000000005</v>
      </c>
      <c r="BX104" s="343">
        <f>SUMIFS($AU105:AU$1388,$Q105:Q$1388,"F")</f>
        <v>14440.666666666668</v>
      </c>
      <c r="BY104" s="343">
        <f>SUMIFS($AU105:AU$1388,$Q105:Q$1388,"S")</f>
        <v>21380.841999999997</v>
      </c>
      <c r="BZ104" s="343">
        <f>SUMIFS($AU105:AU$1388,$Q105:Q$1388,"O")</f>
        <v>-1681.0579999997917</v>
      </c>
    </row>
    <row r="105" spans="1:78" ht="18" customHeight="1">
      <c r="A105" s="221" t="s">
        <v>347</v>
      </c>
      <c r="B105" s="177">
        <v>44895</v>
      </c>
      <c r="C105" s="178" t="s">
        <v>500</v>
      </c>
      <c r="D105" s="178" t="s">
        <v>151</v>
      </c>
      <c r="E105" s="227"/>
      <c r="F105" s="180"/>
      <c r="G105" s="199" t="s">
        <v>657</v>
      </c>
      <c r="H105" s="182"/>
      <c r="I105" s="182"/>
      <c r="J105" s="182"/>
      <c r="K105" s="183"/>
      <c r="L105" s="182">
        <v>1</v>
      </c>
      <c r="M105" s="182"/>
      <c r="N105" s="182"/>
      <c r="O105" s="183" t="s">
        <v>95</v>
      </c>
      <c r="P105" s="183" t="s">
        <v>137</v>
      </c>
      <c r="Q105" s="183" t="s">
        <v>97</v>
      </c>
      <c r="R105" s="183">
        <v>2</v>
      </c>
      <c r="S105" s="183">
        <v>2</v>
      </c>
      <c r="T105" s="183">
        <v>2</v>
      </c>
      <c r="U105" s="183" t="s">
        <v>22</v>
      </c>
      <c r="V105" s="183"/>
      <c r="W105" s="183"/>
      <c r="X105" s="183"/>
      <c r="Y105" s="184">
        <f t="shared" si="48"/>
        <v>0.01</v>
      </c>
      <c r="Z105" s="184">
        <f t="shared" si="49"/>
        <v>1600</v>
      </c>
      <c r="AA105" s="185" t="s">
        <v>658</v>
      </c>
      <c r="AB105" s="185"/>
      <c r="AC105" s="185"/>
      <c r="AD105" s="649">
        <v>-0.09</v>
      </c>
      <c r="AE105" s="182"/>
      <c r="AF105" s="332"/>
      <c r="AG105" s="182"/>
      <c r="AH105" s="182"/>
      <c r="AI105" s="182"/>
      <c r="AJ105" s="640"/>
      <c r="AK105" s="182"/>
      <c r="AL105" s="496"/>
      <c r="AM105" s="497"/>
      <c r="AN105" s="626"/>
      <c r="AO105" s="182"/>
      <c r="AP105" s="182"/>
      <c r="AQ105" s="332" t="str">
        <f>UPPER(RIGHT(Journal_Live[[#This Row],[DURATION ]]))</f>
        <v/>
      </c>
      <c r="AR105" s="182" t="s">
        <v>341</v>
      </c>
      <c r="AS105" s="189">
        <v>-7.0000000000000007E-2</v>
      </c>
      <c r="AT105" s="189">
        <f>IF(ISBLANK(AS105),,IF(U105="S",AD105-AS105,AS105-AD105))</f>
        <v>1.999999999999999E-2</v>
      </c>
      <c r="AU105" s="187">
        <f>AV105*R105</f>
        <v>63.999999999999972</v>
      </c>
      <c r="AV105" s="190">
        <f>IF(ISBLANK(AS105),,(AT105*Z105))</f>
        <v>31.999999999999986</v>
      </c>
      <c r="AW105" s="191" t="s">
        <v>96</v>
      </c>
      <c r="AX105" s="407"/>
      <c r="AY105" s="407"/>
      <c r="AZ105" s="407"/>
      <c r="BA105" s="407"/>
      <c r="BB105" s="407"/>
      <c r="BC105" s="407"/>
      <c r="BD105" s="407"/>
      <c r="BE105" s="407"/>
      <c r="BF105" s="422"/>
      <c r="BG105" s="391">
        <f>SUM($AV$4:AV105)</f>
        <v>742.22000000002026</v>
      </c>
      <c r="BH105" s="392">
        <f>SUM($AU$4:AU105)</f>
        <v>1200.4700000000203</v>
      </c>
      <c r="BI105" s="318"/>
      <c r="BJ105" s="318">
        <f>SUMIFS($AU106:AU$1388,$Q106:Q$1388,"F")</f>
        <v>14440.666666666668</v>
      </c>
      <c r="BK105" s="343">
        <f>SUMIFS($AU106:AU$1388,$P106:P$1388,"W")</f>
        <v>21042.741999999926</v>
      </c>
      <c r="BL105" s="343">
        <f>SUMIFS($AU106:AU$1388,$P106:P$1388,"W")</f>
        <v>21042.741999999926</v>
      </c>
      <c r="BM105" s="343">
        <f>SUMIFS($AU106:AU$134,$AQ106:AQ$134,"M")</f>
        <v>0</v>
      </c>
      <c r="BN105" s="343">
        <f>SUMIFS($AU106:AU$134,$AQ106:AQ$134,"M")</f>
        <v>0</v>
      </c>
      <c r="BO105" s="343">
        <f>SUMIFS($AU106:AU$134,$AQ106:AQ$134,"H")</f>
        <v>0</v>
      </c>
      <c r="BP105" s="343">
        <f>SUMIFS($AU108:AU$134,$AQ108:AQ$134,"D")</f>
        <v>335.99999999999994</v>
      </c>
      <c r="BQ105" s="343">
        <f>SUMIFS($AU106:AU$134,$Q106:Q$134,"O")</f>
        <v>-32.199999999993601</v>
      </c>
      <c r="BR105" s="343">
        <f>SUMIFS($AU106:AU$134,$AA106:AA$134,"*")</f>
        <v>613.00000000000637</v>
      </c>
      <c r="BS105" s="343">
        <f>SUMIFS($AU106:AU$134,$AA106:AA$134,"*")</f>
        <v>613.00000000000637</v>
      </c>
      <c r="BT105" s="343">
        <f>SUMIFS($AU106:AU$134,$AB106:AB$134,"*")</f>
        <v>0</v>
      </c>
      <c r="BU105" s="343">
        <f>SUMIFS($AU106:AU$134,$AA106:AA$134,"*",$AB106:AB$134,"*")</f>
        <v>0</v>
      </c>
      <c r="BV105" s="343">
        <f>SUMIFS($AU106:AU$134,$AA106:AA$134,"*",$AB106:AB$134,"*")</f>
        <v>0</v>
      </c>
      <c r="BW105" s="343">
        <f>SUMIFS($AU106:AU$134,$AA106:AA$134,"*",$AC106:AC$134,"*")</f>
        <v>645.20000000000005</v>
      </c>
      <c r="BX105" s="343">
        <f>SUMIFS($AU106:AU$1388,$Q106:Q$1388,"F")</f>
        <v>14440.666666666668</v>
      </c>
      <c r="BY105" s="343">
        <f>SUMIFS($AU106:AU$1388,$Q106:Q$1388,"S")</f>
        <v>21316.842000000001</v>
      </c>
      <c r="BZ105" s="343">
        <f>SUMIFS($AU106:AU$1388,$Q106:Q$1388,"O")</f>
        <v>-1681.0579999997917</v>
      </c>
    </row>
    <row r="106" spans="1:78" ht="18" customHeight="1">
      <c r="A106" s="221" t="s">
        <v>347</v>
      </c>
      <c r="B106" s="177">
        <v>44895</v>
      </c>
      <c r="C106" s="178" t="s">
        <v>500</v>
      </c>
      <c r="D106" s="178" t="s">
        <v>151</v>
      </c>
      <c r="E106" s="227"/>
      <c r="F106" s="180"/>
      <c r="G106" s="246" t="s">
        <v>271</v>
      </c>
      <c r="H106" s="182"/>
      <c r="I106" s="182"/>
      <c r="J106" s="182"/>
      <c r="K106" s="183"/>
      <c r="L106" s="182">
        <v>1</v>
      </c>
      <c r="M106" s="182"/>
      <c r="N106" s="182"/>
      <c r="O106" s="183" t="s">
        <v>95</v>
      </c>
      <c r="P106" s="183" t="s">
        <v>137</v>
      </c>
      <c r="Q106" s="183" t="s">
        <v>97</v>
      </c>
      <c r="R106" s="183">
        <v>2</v>
      </c>
      <c r="S106" s="183">
        <v>2</v>
      </c>
      <c r="T106" s="183">
        <v>2</v>
      </c>
      <c r="U106" s="183" t="s">
        <v>22</v>
      </c>
      <c r="V106" s="183"/>
      <c r="W106" s="183"/>
      <c r="X106" s="183"/>
      <c r="Y106" s="184">
        <f t="shared" si="48"/>
        <v>0.01</v>
      </c>
      <c r="Z106" s="184">
        <f>IF(ISBLANK(O106),,IF(O106=UPPER("IB"),8.63*200,16.3*100))</f>
        <v>1630</v>
      </c>
      <c r="AA106" s="185" t="s">
        <v>659</v>
      </c>
      <c r="AB106" s="185"/>
      <c r="AC106" s="185" t="s">
        <v>99</v>
      </c>
      <c r="AD106" s="649">
        <v>-0.1</v>
      </c>
      <c r="AE106" s="182"/>
      <c r="AF106" s="332"/>
      <c r="AG106" s="182"/>
      <c r="AH106" s="182"/>
      <c r="AI106" s="182"/>
      <c r="AJ106" s="640"/>
      <c r="AK106" s="182"/>
      <c r="AL106" s="496"/>
      <c r="AM106" s="497"/>
      <c r="AN106" s="626"/>
      <c r="AO106" s="182"/>
      <c r="AP106" s="182" t="s">
        <v>660</v>
      </c>
      <c r="AQ106" s="332" t="str">
        <f>UPPER(RIGHT(Journal_Live[[#This Row],[DURATION ]]))</f>
        <v>D</v>
      </c>
      <c r="AR106" s="182" t="s">
        <v>661</v>
      </c>
      <c r="AS106" s="189">
        <v>-0.09</v>
      </c>
      <c r="AT106" s="189">
        <f>IF(ISBLANK(AS106),,IF(U106="S",AD106-AS106,AS106-AD106))</f>
        <v>1.0000000000000009E-2</v>
      </c>
      <c r="AU106" s="187">
        <f>AV106*R106</f>
        <v>32.60000000000003</v>
      </c>
      <c r="AV106" s="190">
        <f>IF(ISBLANK(AS106),,(AT106*Z106))</f>
        <v>16.300000000000015</v>
      </c>
      <c r="AW106" s="191" t="s">
        <v>96</v>
      </c>
      <c r="AX106" s="407" t="s">
        <v>662</v>
      </c>
      <c r="AY106" s="407"/>
      <c r="AZ106" s="407"/>
      <c r="BA106" s="407"/>
      <c r="BB106" s="407"/>
      <c r="BC106" s="407"/>
      <c r="BD106" s="407"/>
      <c r="BE106" s="407"/>
      <c r="BF106" s="422"/>
      <c r="BG106" s="391">
        <f>SUM($AV$4:AV106)</f>
        <v>758.52000000002033</v>
      </c>
      <c r="BH106" s="392">
        <f>SUM($AU$4:AU106)</f>
        <v>1233.0700000000204</v>
      </c>
      <c r="BI106" s="318"/>
      <c r="BJ106" s="318">
        <f>SUMIFS($AU107:AU$1388,$Q107:Q$1388,"F")</f>
        <v>14440.666666666668</v>
      </c>
      <c r="BK106" s="343">
        <f>SUMIFS($AU107:AU$1388,$P107:P$1388,"W")</f>
        <v>21042.741999999926</v>
      </c>
      <c r="BL106" s="343">
        <f>SUMIFS($AU107:AU$1388,$P107:P$1388,"W")</f>
        <v>21042.741999999926</v>
      </c>
      <c r="BM106" s="343">
        <f>SUMIFS($AU107:AU$134,$AQ107:AQ$134,"M")</f>
        <v>0</v>
      </c>
      <c r="BN106" s="343">
        <f>SUMIFS($AU107:AU$134,$AQ107:AQ$134,"M")</f>
        <v>0</v>
      </c>
      <c r="BO106" s="343">
        <f>SUMIFS($AU107:AU$134,$AQ107:AQ$134,"H")</f>
        <v>0</v>
      </c>
      <c r="BP106" s="343">
        <f>SUMIFS($AU109:AU$134,$AQ109:AQ$134,"D")</f>
        <v>335.99999999999994</v>
      </c>
      <c r="BQ106" s="343">
        <f>SUMIFS($AU107:AU$134,$Q107:Q$134,"O")</f>
        <v>-32.199999999993601</v>
      </c>
      <c r="BR106" s="343">
        <f>SUMIFS($AU107:AU$134,$AA107:AA$134,"*")</f>
        <v>580.40000000000634</v>
      </c>
      <c r="BS106" s="343">
        <f>SUMIFS($AU107:AU$134,$AA107:AA$134,"*")</f>
        <v>580.40000000000634</v>
      </c>
      <c r="BT106" s="343">
        <f>SUMIFS($AU107:AU$134,$AB107:AB$134,"*")</f>
        <v>0</v>
      </c>
      <c r="BU106" s="343">
        <f>SUMIFS($AU107:AU$134,$AA107:AA$134,"*",$AB107:AB$134,"*")</f>
        <v>0</v>
      </c>
      <c r="BV106" s="343">
        <f>SUMIFS($AU107:AU$134,$AA107:AA$134,"*",$AB107:AB$134,"*")</f>
        <v>0</v>
      </c>
      <c r="BW106" s="343">
        <f>SUMIFS($AU107:AU$134,$AA107:AA$134,"*",$AC107:AC$134,"*")</f>
        <v>612.6</v>
      </c>
      <c r="BX106" s="343">
        <f>SUMIFS($AU107:AU$1388,$Q107:Q$1388,"F")</f>
        <v>14440.666666666668</v>
      </c>
      <c r="BY106" s="343">
        <f>SUMIFS($AU107:AU$1388,$Q107:Q$1388,"S")</f>
        <v>21284.241999999998</v>
      </c>
      <c r="BZ106" s="343">
        <f>SUMIFS($AU107:AU$1388,$Q107:Q$1388,"O")</f>
        <v>-1681.0579999997917</v>
      </c>
    </row>
    <row r="107" spans="1:78" ht="18" customHeight="1">
      <c r="A107" s="221" t="s">
        <v>347</v>
      </c>
      <c r="B107" s="177">
        <v>44895</v>
      </c>
      <c r="C107" s="178" t="s">
        <v>500</v>
      </c>
      <c r="D107" s="178" t="s">
        <v>151</v>
      </c>
      <c r="E107" s="227"/>
      <c r="F107" s="180"/>
      <c r="G107" s="199" t="s">
        <v>280</v>
      </c>
      <c r="H107" s="182"/>
      <c r="I107" s="182"/>
      <c r="J107" s="182"/>
      <c r="K107" s="183"/>
      <c r="L107" s="182">
        <v>1</v>
      </c>
      <c r="M107" s="182"/>
      <c r="N107" s="182"/>
      <c r="O107" s="183" t="s">
        <v>95</v>
      </c>
      <c r="P107" s="183" t="s">
        <v>137</v>
      </c>
      <c r="Q107" s="183" t="s">
        <v>97</v>
      </c>
      <c r="R107" s="183">
        <v>1</v>
      </c>
      <c r="S107" s="183">
        <v>1</v>
      </c>
      <c r="T107" s="183">
        <v>1</v>
      </c>
      <c r="U107" s="183" t="s">
        <v>22</v>
      </c>
      <c r="V107" s="183"/>
      <c r="W107" s="183"/>
      <c r="X107" s="183"/>
      <c r="Y107" s="184">
        <f t="shared" si="48"/>
        <v>0.01</v>
      </c>
      <c r="Z107" s="184">
        <f>IF(ISBLANK(O107),,IF(O107=UPPER("IB"),8.63*200,16*100))</f>
        <v>1600</v>
      </c>
      <c r="AA107" s="185" t="s">
        <v>659</v>
      </c>
      <c r="AB107" s="185"/>
      <c r="AC107" s="185" t="s">
        <v>99</v>
      </c>
      <c r="AD107" s="649">
        <v>-0.1</v>
      </c>
      <c r="AE107" s="182"/>
      <c r="AF107" s="332"/>
      <c r="AG107" s="182"/>
      <c r="AH107" s="182"/>
      <c r="AI107" s="182"/>
      <c r="AJ107" s="640"/>
      <c r="AK107" s="182"/>
      <c r="AL107" s="496"/>
      <c r="AM107" s="497"/>
      <c r="AN107" s="626"/>
      <c r="AO107" s="182"/>
      <c r="AP107" s="182" t="s">
        <v>663</v>
      </c>
      <c r="AQ107" s="332" t="str">
        <f>UPPER(RIGHT(Journal_Live[[#This Row],[DURATION ]]))</f>
        <v>R</v>
      </c>
      <c r="AR107" s="182" t="s">
        <v>664</v>
      </c>
      <c r="AS107" s="189">
        <v>-0.09</v>
      </c>
      <c r="AT107" s="189">
        <f>IF(ISBLANK(AS107),,IF(U107="S",AD107-AS107,AS107-AD107))</f>
        <v>1.0000000000000009E-2</v>
      </c>
      <c r="AU107" s="187">
        <f>AV107*R107</f>
        <v>16.000000000000014</v>
      </c>
      <c r="AV107" s="190">
        <f>IF(ISBLANK(AS107),,(AT107*Z107))</f>
        <v>16.000000000000014</v>
      </c>
      <c r="AW107" s="191" t="s">
        <v>96</v>
      </c>
      <c r="AX107" s="407" t="s">
        <v>665</v>
      </c>
      <c r="AY107" s="407"/>
      <c r="AZ107" s="407"/>
      <c r="BA107" s="407"/>
      <c r="BB107" s="407"/>
      <c r="BC107" s="407"/>
      <c r="BD107" s="407"/>
      <c r="BE107" s="407"/>
      <c r="BF107" s="422"/>
      <c r="BG107" s="391">
        <f>SUM($AV$4:AV107)</f>
        <v>774.52000000002033</v>
      </c>
      <c r="BH107" s="392">
        <f>SUM($AU$4:AU107)</f>
        <v>1249.0700000000204</v>
      </c>
      <c r="BI107" s="318"/>
      <c r="BJ107" s="318">
        <f>SUMIFS($AU108:AU$1388,$Q108:Q$1388,"F")</f>
        <v>14440.666666666668</v>
      </c>
      <c r="BK107" s="343">
        <f>SUMIFS($AU108:AU$1388,$P108:P$1388,"W")</f>
        <v>21042.741999999926</v>
      </c>
      <c r="BL107" s="343">
        <f>SUMIFS($AU108:AU$1388,$P108:P$1388,"W")</f>
        <v>21042.741999999926</v>
      </c>
      <c r="BM107" s="343">
        <f>SUMIFS($AU108:AU$134,$AQ108:AQ$134,"M")</f>
        <v>0</v>
      </c>
      <c r="BN107" s="343">
        <f>SUMIFS($AU108:AU$134,$AQ108:AQ$134,"M")</f>
        <v>0</v>
      </c>
      <c r="BO107" s="343">
        <f>SUMIFS($AU108:AU$134,$AQ108:AQ$134,"H")</f>
        <v>0</v>
      </c>
      <c r="BP107" s="343">
        <f>SUMIFS($AU110:AU$134,$AQ110:AQ$134,"D")</f>
        <v>335.99999999999994</v>
      </c>
      <c r="BQ107" s="343">
        <f>SUMIFS($AU108:AU$134,$Q108:Q$134,"O")</f>
        <v>-32.199999999993601</v>
      </c>
      <c r="BR107" s="343">
        <f>SUMIFS($AU108:AU$134,$AA108:AA$134,"*")</f>
        <v>564.40000000000634</v>
      </c>
      <c r="BS107" s="343">
        <f>SUMIFS($AU108:AU$134,$AA108:AA$134,"*")</f>
        <v>564.40000000000634</v>
      </c>
      <c r="BT107" s="343">
        <f>SUMIFS($AU108:AU$134,$AB108:AB$134,"*")</f>
        <v>0</v>
      </c>
      <c r="BU107" s="343">
        <f>SUMIFS($AU108:AU$134,$AA108:AA$134,"*",$AB108:AB$134,"*")</f>
        <v>0</v>
      </c>
      <c r="BV107" s="343">
        <f>SUMIFS($AU108:AU$134,$AA108:AA$134,"*",$AB108:AB$134,"*")</f>
        <v>0</v>
      </c>
      <c r="BW107" s="343">
        <f>SUMIFS($AU108:AU$134,$AA108:AA$134,"*",$AC108:AC$134,"*")</f>
        <v>596.6</v>
      </c>
      <c r="BX107" s="343">
        <f>SUMIFS($AU108:AU$1388,$Q108:Q$1388,"F")</f>
        <v>14440.666666666668</v>
      </c>
      <c r="BY107" s="343">
        <f>SUMIFS($AU108:AU$1388,$Q108:Q$1388,"S")</f>
        <v>21268.241999999998</v>
      </c>
      <c r="BZ107" s="343">
        <f>SUMIFS($AU108:AU$1388,$Q108:Q$1388,"O")</f>
        <v>-1681.0579999997917</v>
      </c>
    </row>
    <row r="108" spans="1:78" ht="18" customHeight="1">
      <c r="A108" s="221" t="s">
        <v>347</v>
      </c>
      <c r="B108" s="177"/>
      <c r="C108" s="178"/>
      <c r="D108" s="178"/>
      <c r="E108" s="227"/>
      <c r="F108" s="180"/>
      <c r="G108" s="181"/>
      <c r="H108" s="182"/>
      <c r="I108" s="182"/>
      <c r="J108" s="182"/>
      <c r="K108" s="183"/>
      <c r="L108" s="182"/>
      <c r="M108" s="182"/>
      <c r="N108" s="182"/>
      <c r="O108" s="183"/>
      <c r="P108" s="183"/>
      <c r="Q108" s="183"/>
      <c r="R108" s="183"/>
      <c r="S108" s="183"/>
      <c r="T108" s="183"/>
      <c r="U108" s="183"/>
      <c r="V108" s="183"/>
      <c r="W108" s="183"/>
      <c r="X108" s="183"/>
      <c r="Y108" s="184">
        <f t="shared" si="48"/>
        <v>0</v>
      </c>
      <c r="Z108" s="184">
        <f>IF(ISBLANK(O108),,IF(O108=UPPER("IB"),8.63*200,16*100))</f>
        <v>0</v>
      </c>
      <c r="AA108" s="185"/>
      <c r="AB108" s="185"/>
      <c r="AC108" s="185"/>
      <c r="AD108" s="649"/>
      <c r="AE108" s="182"/>
      <c r="AF108" s="332"/>
      <c r="AG108" s="182"/>
      <c r="AH108" s="182"/>
      <c r="AI108" s="182"/>
      <c r="AJ108" s="640"/>
      <c r="AK108" s="182"/>
      <c r="AL108" s="496"/>
      <c r="AM108" s="497"/>
      <c r="AN108" s="626"/>
      <c r="AO108" s="182"/>
      <c r="AP108" s="182"/>
      <c r="AQ108" s="332" t="str">
        <f>UPPER(RIGHT(Journal_Live[[#This Row],[DURATION ]]))</f>
        <v/>
      </c>
      <c r="AR108" s="182"/>
      <c r="AS108" s="189"/>
      <c r="AT108" s="182"/>
      <c r="AU108" s="187"/>
      <c r="AV108" s="190"/>
      <c r="AW108" s="191"/>
      <c r="AX108" s="407"/>
      <c r="AY108" s="407"/>
      <c r="AZ108" s="407"/>
      <c r="BA108" s="407"/>
      <c r="BB108" s="407"/>
      <c r="BC108" s="407"/>
      <c r="BD108" s="407"/>
      <c r="BE108" s="407"/>
      <c r="BF108" s="422"/>
      <c r="BG108" s="391">
        <f>SUM($AV$4:AV108)</f>
        <v>774.52000000002033</v>
      </c>
      <c r="BH108" s="392">
        <f>SUM($AU$4:AU108)</f>
        <v>1249.0700000000204</v>
      </c>
      <c r="BI108" s="318"/>
      <c r="BJ108" s="318">
        <f>SUMIFS($AU109:AU$1388,$Q109:Q$1388,"F")</f>
        <v>14440.666666666668</v>
      </c>
      <c r="BK108" s="343">
        <f>SUMIFS($AU109:AU$1388,$P109:P$1388,"W")</f>
        <v>21042.741999999926</v>
      </c>
      <c r="BL108" s="343">
        <f>SUMIFS($AU109:AU$1388,$P109:P$1388,"W")</f>
        <v>21042.741999999926</v>
      </c>
      <c r="BM108" s="343">
        <f>SUMIFS($AU109:AU$134,$AQ109:AQ$134,"M")</f>
        <v>0</v>
      </c>
      <c r="BN108" s="343">
        <f>SUMIFS($AU109:AU$134,$AQ109:AQ$134,"M")</f>
        <v>0</v>
      </c>
      <c r="BO108" s="343">
        <f>SUMIFS($AU109:AU$134,$AQ109:AQ$134,"H")</f>
        <v>0</v>
      </c>
      <c r="BP108" s="343">
        <f>SUMIFS($AU111:AU$134,$AQ111:AQ$134,"D")</f>
        <v>335.99999999999994</v>
      </c>
      <c r="BQ108" s="343">
        <f>SUMIFS($AU109:AU$134,$Q109:Q$134,"O")</f>
        <v>-32.199999999993601</v>
      </c>
      <c r="BR108" s="343">
        <f>SUMIFS($AU109:AU$134,$AA109:AA$134,"*")</f>
        <v>564.40000000000634</v>
      </c>
      <c r="BS108" s="343">
        <f>SUMIFS($AU109:AU$134,$AA109:AA$134,"*")</f>
        <v>564.40000000000634</v>
      </c>
      <c r="BT108" s="343">
        <f>SUMIFS($AU109:AU$134,$AB109:AB$134,"*")</f>
        <v>0</v>
      </c>
      <c r="BU108" s="343">
        <f>SUMIFS($AU109:AU$134,$AA109:AA$134,"*",$AB109:AB$134,"*")</f>
        <v>0</v>
      </c>
      <c r="BV108" s="343">
        <f>SUMIFS($AU109:AU$134,$AA109:AA$134,"*",$AB109:AB$134,"*")</f>
        <v>0</v>
      </c>
      <c r="BW108" s="343">
        <f>SUMIFS($AU109:AU$134,$AA109:AA$134,"*",$AC109:AC$134,"*")</f>
        <v>596.6</v>
      </c>
      <c r="BX108" s="343">
        <f>SUMIFS($AU109:AU$1388,$Q109:Q$1388,"F")</f>
        <v>14440.666666666668</v>
      </c>
      <c r="BY108" s="343">
        <f>SUMIFS($AU109:AU$1388,$Q109:Q$1388,"S")</f>
        <v>21268.241999999998</v>
      </c>
      <c r="BZ108" s="343">
        <f>SUMIFS($AU109:AU$1388,$Q109:Q$1388,"O")</f>
        <v>-1681.0579999997917</v>
      </c>
    </row>
    <row r="109" spans="1:78" ht="18" customHeight="1">
      <c r="A109" s="221" t="s">
        <v>347</v>
      </c>
      <c r="B109" s="200"/>
      <c r="C109" s="201"/>
      <c r="D109" s="201"/>
      <c r="E109" s="247"/>
      <c r="F109" s="203"/>
      <c r="G109" s="204"/>
      <c r="H109" s="205"/>
      <c r="I109" s="205"/>
      <c r="J109" s="205"/>
      <c r="K109" s="206"/>
      <c r="L109" s="205"/>
      <c r="M109" s="205"/>
      <c r="N109" s="205"/>
      <c r="O109" s="206"/>
      <c r="P109" s="206"/>
      <c r="Q109" s="206"/>
      <c r="R109" s="206"/>
      <c r="S109" s="206"/>
      <c r="T109" s="206"/>
      <c r="U109" s="206"/>
      <c r="V109" s="206"/>
      <c r="W109" s="206"/>
      <c r="X109" s="206"/>
      <c r="Y109" s="207">
        <f t="shared" si="48"/>
        <v>0</v>
      </c>
      <c r="Z109" s="207">
        <f>IF(ISBLANK(O109),,IF(O109=UPPER("IB"),8.63*200,16*100))</f>
        <v>0</v>
      </c>
      <c r="AA109" s="208"/>
      <c r="AB109" s="208"/>
      <c r="AC109" s="208"/>
      <c r="AD109" s="650"/>
      <c r="AE109" s="205"/>
      <c r="AF109" s="333"/>
      <c r="AG109" s="205"/>
      <c r="AH109" s="205"/>
      <c r="AI109" s="205"/>
      <c r="AJ109" s="641"/>
      <c r="AK109" s="205"/>
      <c r="AL109" s="498"/>
      <c r="AM109" s="499"/>
      <c r="AN109" s="627"/>
      <c r="AO109" s="205"/>
      <c r="AP109" s="205"/>
      <c r="AQ109" s="333" t="str">
        <f>UPPER(RIGHT(Journal_Live[[#This Row],[DURATION ]]))</f>
        <v/>
      </c>
      <c r="AR109" s="205"/>
      <c r="AS109" s="211"/>
      <c r="AT109" s="205"/>
      <c r="AU109" s="210"/>
      <c r="AV109" s="212"/>
      <c r="AW109" s="213"/>
      <c r="AX109" s="415" t="s">
        <v>666</v>
      </c>
      <c r="AY109" s="415" t="s">
        <v>667</v>
      </c>
      <c r="AZ109" s="415" t="s">
        <v>668</v>
      </c>
      <c r="BA109" s="415" t="s">
        <v>669</v>
      </c>
      <c r="BB109" s="415" t="s">
        <v>480</v>
      </c>
      <c r="BC109" s="415" t="s">
        <v>670</v>
      </c>
      <c r="BD109" s="415" t="s">
        <v>671</v>
      </c>
      <c r="BE109" s="415" t="s">
        <v>672</v>
      </c>
      <c r="BF109" s="427"/>
      <c r="BG109" s="391">
        <f>SUM($AV$4:AV109)</f>
        <v>774.52000000002033</v>
      </c>
      <c r="BH109" s="392">
        <f>SUM($AU$4:AU109)</f>
        <v>1249.0700000000204</v>
      </c>
      <c r="BI109" s="318"/>
      <c r="BJ109" s="318">
        <f>SUMIFS($AU110:AU$1388,$Q110:Q$1388,"F")</f>
        <v>14440.666666666668</v>
      </c>
      <c r="BK109" s="343">
        <f>SUMIFS($AU110:AU$1388,$P110:P$1388,"W")</f>
        <v>21042.741999999926</v>
      </c>
      <c r="BL109" s="343">
        <f>SUMIFS($AU110:AU$1388,$P110:P$1388,"W")</f>
        <v>21042.741999999926</v>
      </c>
      <c r="BM109" s="343">
        <f>SUMIFS($AU110:AU$134,$AQ110:AQ$134,"M")</f>
        <v>0</v>
      </c>
      <c r="BN109" s="343">
        <f>SUMIFS($AU110:AU$134,$AQ110:AQ$134,"M")</f>
        <v>0</v>
      </c>
      <c r="BO109" s="343">
        <f>SUMIFS($AU110:AU$134,$AQ110:AQ$134,"H")</f>
        <v>0</v>
      </c>
      <c r="BP109" s="343">
        <f>SUMIFS($AU112:AU$134,$AQ112:AQ$134,"D")</f>
        <v>335.99999999999994</v>
      </c>
      <c r="BQ109" s="343">
        <f>SUMIFS($AU110:AU$134,$Q110:Q$134,"O")</f>
        <v>-32.199999999993601</v>
      </c>
      <c r="BR109" s="343">
        <f>SUMIFS($AU110:AU$134,$AA110:AA$134,"*")</f>
        <v>564.40000000000634</v>
      </c>
      <c r="BS109" s="343">
        <f>SUMIFS($AU110:AU$134,$AA110:AA$134,"*")</f>
        <v>564.40000000000634</v>
      </c>
      <c r="BT109" s="343">
        <f>SUMIFS($AU110:AU$134,$AB110:AB$134,"*")</f>
        <v>0</v>
      </c>
      <c r="BU109" s="343">
        <f>SUMIFS($AU110:AU$134,$AA110:AA$134,"*",$AB110:AB$134,"*")</f>
        <v>0</v>
      </c>
      <c r="BV109" s="343">
        <f>SUMIFS($AU110:AU$134,$AA110:AA$134,"*",$AB110:AB$134,"*")</f>
        <v>0</v>
      </c>
      <c r="BW109" s="343">
        <f>SUMIFS($AU110:AU$134,$AA110:AA$134,"*",$AC110:AC$134,"*")</f>
        <v>596.6</v>
      </c>
      <c r="BX109" s="343">
        <f>SUMIFS($AU110:AU$1388,$Q110:Q$1388,"F")</f>
        <v>14440.666666666668</v>
      </c>
      <c r="BY109" s="343">
        <f>SUMIFS($AU110:AU$1388,$Q110:Q$1388,"S")</f>
        <v>21268.241999999998</v>
      </c>
      <c r="BZ109" s="343">
        <f>SUMIFS($AU110:AU$1388,$Q110:Q$1388,"O")</f>
        <v>-1681.0579999997917</v>
      </c>
    </row>
    <row r="110" spans="1:78" ht="18" customHeight="1">
      <c r="A110" s="156" t="s">
        <v>673</v>
      </c>
      <c r="B110" s="156"/>
      <c r="C110" s="214"/>
      <c r="D110" s="214"/>
      <c r="E110" s="215"/>
      <c r="F110" s="216"/>
      <c r="G110" s="214"/>
      <c r="H110" s="214"/>
      <c r="I110" s="214"/>
      <c r="J110" s="214"/>
      <c r="K110" s="217"/>
      <c r="L110" s="214"/>
      <c r="M110" s="214"/>
      <c r="N110" s="214"/>
      <c r="O110" s="217"/>
      <c r="P110" s="217"/>
      <c r="Q110" s="217"/>
      <c r="R110" s="217"/>
      <c r="S110" s="217"/>
      <c r="T110" s="217"/>
      <c r="U110" s="217"/>
      <c r="V110" s="217"/>
      <c r="W110" s="217"/>
      <c r="X110" s="217"/>
      <c r="Y110" s="218">
        <f t="shared" si="48"/>
        <v>0</v>
      </c>
      <c r="Z110" s="218">
        <f>IF(ISBLANK(O110),,IF(O110=UPPER("IB"),8.63*200,16*100))</f>
        <v>0</v>
      </c>
      <c r="AA110" s="218"/>
      <c r="AB110" s="218"/>
      <c r="AC110" s="218"/>
      <c r="AD110" s="651"/>
      <c r="AE110" s="214"/>
      <c r="AF110" s="347"/>
      <c r="AG110" s="343"/>
      <c r="AH110" s="214"/>
      <c r="AI110" s="214"/>
      <c r="AJ110" s="642"/>
      <c r="AK110" s="214"/>
      <c r="AL110" s="502"/>
      <c r="AM110" s="502"/>
      <c r="AN110" s="628"/>
      <c r="AO110" s="214"/>
      <c r="AP110" s="214"/>
      <c r="AQ110" s="334" t="str">
        <f>UPPER(RIGHT(Journal_Live[[#This Row],[DURATION ]]))</f>
        <v/>
      </c>
      <c r="AR110" s="214"/>
      <c r="AS110" s="219"/>
      <c r="AT110" s="219">
        <f t="shared" ref="AT110:AT125" si="51">IF(ISBLANK(AS110),,IF(U110="S",AD110-AS110,AS110-AD110))</f>
        <v>0</v>
      </c>
      <c r="AU110" s="219"/>
      <c r="AV110" s="219">
        <f t="shared" ref="AV110:AV125" si="52">IF(ISBLANK(AS110),,(AT110*Z110))</f>
        <v>0</v>
      </c>
      <c r="AW110" s="220"/>
      <c r="AX110" s="414"/>
      <c r="AY110" s="414"/>
      <c r="AZ110" s="414"/>
      <c r="BA110" s="414"/>
      <c r="BB110" s="414"/>
      <c r="BC110" s="414"/>
      <c r="BD110" s="414"/>
      <c r="BE110" s="414"/>
      <c r="BF110" s="414"/>
      <c r="BG110" s="391">
        <f>SUM($AV$4:AV110)</f>
        <v>774.52000000002033</v>
      </c>
      <c r="BH110" s="392">
        <f>SUM($AU$4:AU110)</f>
        <v>1249.0700000000204</v>
      </c>
      <c r="BI110" s="318"/>
      <c r="BJ110" s="318">
        <f>SUMIFS($AU111:AU$1388,$Q111:Q$1388,"F")</f>
        <v>14440.666666666668</v>
      </c>
      <c r="BK110" s="343">
        <f>SUMIFS($AU111:AU$1388,$P111:P$1388,"W")</f>
        <v>21042.741999999926</v>
      </c>
      <c r="BL110" s="343">
        <f>SUMIFS($AU111:AU$1388,$P111:P$1388,"W")</f>
        <v>21042.741999999926</v>
      </c>
      <c r="BM110" s="343">
        <f>SUMIFS($AU111:AU$134,$AQ111:AQ$134,"M")</f>
        <v>0</v>
      </c>
      <c r="BN110" s="343">
        <f>SUMIFS($AU111:AU$134,$AQ111:AQ$134,"M")</f>
        <v>0</v>
      </c>
      <c r="BO110" s="343">
        <f>SUMIFS($AU111:AU$134,$AQ111:AQ$134,"H")</f>
        <v>0</v>
      </c>
      <c r="BP110" s="343">
        <f>SUMIFS($AU113:AU$134,$AQ113:AQ$134,"D")</f>
        <v>335.99999999999994</v>
      </c>
      <c r="BQ110" s="343">
        <f>SUMIFS($AU111:AU$134,$Q111:Q$134,"O")</f>
        <v>-32.199999999993601</v>
      </c>
      <c r="BR110" s="343">
        <f>SUMIFS($AU111:AU$134,$AA111:AA$134,"*")</f>
        <v>564.40000000000634</v>
      </c>
      <c r="BS110" s="343">
        <f>SUMIFS($AU111:AU$134,$AA111:AA$134,"*")</f>
        <v>564.40000000000634</v>
      </c>
      <c r="BT110" s="343">
        <f>SUMIFS($AU111:AU$134,$AB111:AB$134,"*")</f>
        <v>0</v>
      </c>
      <c r="BU110" s="343">
        <f>SUMIFS($AU111:AU$134,$AA111:AA$134,"*",$AB111:AB$134,"*")</f>
        <v>0</v>
      </c>
      <c r="BV110" s="343">
        <f>SUMIFS($AU111:AU$134,$AA111:AA$134,"*",$AB111:AB$134,"*")</f>
        <v>0</v>
      </c>
      <c r="BW110" s="343">
        <f>SUMIFS($AU111:AU$134,$AA111:AA$134,"*",$AC111:AC$134,"*")</f>
        <v>596.6</v>
      </c>
      <c r="BX110" s="343">
        <f>SUMIFS($AU111:AU$1388,$Q111:Q$1388,"F")</f>
        <v>14440.666666666668</v>
      </c>
      <c r="BY110" s="343">
        <f>SUMIFS($AU111:AU$1388,$Q111:Q$1388,"S")</f>
        <v>21268.241999999998</v>
      </c>
      <c r="BZ110" s="343">
        <f>SUMIFS($AU111:AU$1388,$Q111:Q$1388,"O")</f>
        <v>-1681.0579999997917</v>
      </c>
    </row>
    <row r="111" spans="1:78" ht="18" customHeight="1">
      <c r="A111" s="221" t="s">
        <v>674</v>
      </c>
      <c r="B111" s="221">
        <v>44897</v>
      </c>
      <c r="C111" s="223" t="s">
        <v>675</v>
      </c>
      <c r="D111" s="223" t="s">
        <v>111</v>
      </c>
      <c r="E111" s="224"/>
      <c r="F111" s="225"/>
      <c r="G111" s="226" t="s">
        <v>553</v>
      </c>
      <c r="H111" s="166"/>
      <c r="I111" s="166"/>
      <c r="J111" s="166"/>
      <c r="K111" s="169"/>
      <c r="L111" s="166">
        <v>1</v>
      </c>
      <c r="M111" s="166"/>
      <c r="N111" s="166"/>
      <c r="O111" s="169" t="s">
        <v>95</v>
      </c>
      <c r="P111" s="169" t="s">
        <v>137</v>
      </c>
      <c r="Q111" s="169" t="s">
        <v>97</v>
      </c>
      <c r="R111" s="169">
        <v>2</v>
      </c>
      <c r="S111" s="169">
        <v>2</v>
      </c>
      <c r="T111" s="169">
        <v>2</v>
      </c>
      <c r="U111" s="169" t="s">
        <v>22</v>
      </c>
      <c r="V111" s="169"/>
      <c r="W111" s="169"/>
      <c r="X111" s="169"/>
      <c r="Y111" s="171">
        <f t="shared" si="48"/>
        <v>0.01</v>
      </c>
      <c r="Z111" s="171">
        <f>IF(ISBLANK(O111),,IF(O111=UPPER("IB"),8.63*200,16.4*100))</f>
        <v>1639.9999999999998</v>
      </c>
      <c r="AA111" s="172" t="s">
        <v>676</v>
      </c>
      <c r="AB111" s="172"/>
      <c r="AC111" s="172" t="s">
        <v>99</v>
      </c>
      <c r="AD111" s="648">
        <v>-0.08</v>
      </c>
      <c r="AE111" s="166"/>
      <c r="AF111" s="331">
        <v>-0.11</v>
      </c>
      <c r="AG111" s="166"/>
      <c r="AH111" s="166">
        <v>-6</v>
      </c>
      <c r="AI111" s="166"/>
      <c r="AJ111" s="639"/>
      <c r="AK111" s="166"/>
      <c r="AL111" s="495">
        <f>-0.02*Z111</f>
        <v>-32.799999999999997</v>
      </c>
      <c r="AM111" s="495">
        <f>AL111*R111</f>
        <v>-65.599999999999994</v>
      </c>
      <c r="AN111" s="625"/>
      <c r="AO111" s="166"/>
      <c r="AP111" s="166" t="s">
        <v>677</v>
      </c>
      <c r="AQ111" s="331" t="str">
        <f>UPPER(RIGHT(Journal_Live[[#This Row],[DURATION ]]))</f>
        <v>S</v>
      </c>
      <c r="AR111" s="166" t="s">
        <v>678</v>
      </c>
      <c r="AS111" s="174">
        <v>-7.0000000000000007E-2</v>
      </c>
      <c r="AT111" s="174">
        <f t="shared" si="51"/>
        <v>9.999999999999995E-3</v>
      </c>
      <c r="AU111" s="173">
        <f>AV111*R111</f>
        <v>32.799999999999976</v>
      </c>
      <c r="AV111" s="175">
        <f t="shared" si="52"/>
        <v>16.399999999999988</v>
      </c>
      <c r="AW111" s="176" t="s">
        <v>96</v>
      </c>
      <c r="AX111" s="411"/>
      <c r="AY111" s="411"/>
      <c r="AZ111" s="411"/>
      <c r="BA111" s="411"/>
      <c r="BB111" s="411"/>
      <c r="BC111" s="411"/>
      <c r="BD111" s="411" t="s">
        <v>679</v>
      </c>
      <c r="BE111" s="411" t="s">
        <v>680</v>
      </c>
      <c r="BF111" s="421"/>
      <c r="BG111" s="391">
        <f>SUM($AV$4:AV111)</f>
        <v>790.92000000002031</v>
      </c>
      <c r="BH111" s="392">
        <f>SUM($AU$4:AU111)</f>
        <v>1281.8700000000204</v>
      </c>
      <c r="BI111" s="318"/>
      <c r="BJ111" s="318">
        <f>SUMIFS($AU112:AU$1388,$Q112:Q$1388,"F")</f>
        <v>14440.666666666668</v>
      </c>
      <c r="BK111" s="343">
        <f>SUMIFS($AU112:AU$1388,$P112:P$1388,"W")</f>
        <v>21042.741999999926</v>
      </c>
      <c r="BL111" s="343">
        <f>SUMIFS($AU112:AU$1388,$P112:P$1388,"W")</f>
        <v>21042.741999999926</v>
      </c>
      <c r="BM111" s="343">
        <f>SUMIFS($AU112:AU$134,$AQ112:AQ$134,"M")</f>
        <v>0</v>
      </c>
      <c r="BN111" s="343">
        <f>SUMIFS($AU112:AU$134,$AQ112:AQ$134,"M")</f>
        <v>0</v>
      </c>
      <c r="BO111" s="343">
        <f>SUMIFS($AU112:AU$134,$AQ112:AQ$134,"H")</f>
        <v>0</v>
      </c>
      <c r="BP111" s="343">
        <f>SUMIFS($AU114:AU$134,$AQ114:AQ$134,"D")</f>
        <v>335.99999999999994</v>
      </c>
      <c r="BQ111" s="343">
        <f>SUMIFS($AU112:AU$134,$Q112:Q$134,"O")</f>
        <v>-32.199999999993601</v>
      </c>
      <c r="BR111" s="343">
        <f>SUMIFS($AU112:AU$134,$AA112:AA$134,"*")</f>
        <v>531.60000000000639</v>
      </c>
      <c r="BS111" s="343">
        <f>SUMIFS($AU112:AU$134,$AA112:AA$134,"*")</f>
        <v>531.60000000000639</v>
      </c>
      <c r="BT111" s="343">
        <f>SUMIFS($AU112:AU$134,$AB112:AB$134,"*")</f>
        <v>0</v>
      </c>
      <c r="BU111" s="343">
        <f>SUMIFS($AU112:AU$134,$AA112:AA$134,"*",$AB112:AB$134,"*")</f>
        <v>0</v>
      </c>
      <c r="BV111" s="343">
        <f>SUMIFS($AU112:AU$134,$AA112:AA$134,"*",$AB112:AB$134,"*")</f>
        <v>0</v>
      </c>
      <c r="BW111" s="343">
        <f>SUMIFS($AU112:AU$134,$AA112:AA$134,"*",$AC112:AC$134,"*")</f>
        <v>563.80000000000007</v>
      </c>
      <c r="BX111" s="343">
        <f>SUMIFS($AU112:AU$1388,$Q112:Q$1388,"F")</f>
        <v>14440.666666666668</v>
      </c>
      <c r="BY111" s="343">
        <f>SUMIFS($AU112:AU$1388,$Q112:Q$1388,"S")</f>
        <v>21235.441999999999</v>
      </c>
      <c r="BZ111" s="343">
        <f>SUMIFS($AU112:AU$1388,$Q112:Q$1388,"O")</f>
        <v>-1681.0579999997917</v>
      </c>
    </row>
    <row r="112" spans="1:78" ht="18" customHeight="1">
      <c r="A112" s="221" t="s">
        <v>674</v>
      </c>
      <c r="B112" s="177">
        <v>44901</v>
      </c>
      <c r="C112" s="178" t="s">
        <v>681</v>
      </c>
      <c r="D112" s="178" t="s">
        <v>146</v>
      </c>
      <c r="E112" s="227"/>
      <c r="F112" s="180"/>
      <c r="G112" s="181"/>
      <c r="H112" s="182"/>
      <c r="I112" s="182"/>
      <c r="J112" s="182"/>
      <c r="K112" s="183" t="s">
        <v>372</v>
      </c>
      <c r="L112" s="182"/>
      <c r="M112" s="182"/>
      <c r="N112" s="182"/>
      <c r="O112" s="183"/>
      <c r="P112" s="183"/>
      <c r="Q112" s="183"/>
      <c r="R112" s="183"/>
      <c r="S112" s="183"/>
      <c r="T112" s="183"/>
      <c r="U112" s="183"/>
      <c r="V112" s="183"/>
      <c r="W112" s="183"/>
      <c r="X112" s="183"/>
      <c r="Y112" s="184">
        <f t="shared" si="48"/>
        <v>0</v>
      </c>
      <c r="Z112" s="184">
        <f>IF(ISBLANK(O112),,IF(O112=UPPER("IB"),8.63*200,16.4*100))</f>
        <v>0</v>
      </c>
      <c r="AA112" s="185"/>
      <c r="AB112" s="185"/>
      <c r="AC112" s="185"/>
      <c r="AD112" s="649"/>
      <c r="AE112" s="182"/>
      <c r="AF112" s="332"/>
      <c r="AG112" s="182"/>
      <c r="AH112" s="182"/>
      <c r="AI112" s="182"/>
      <c r="AJ112" s="640"/>
      <c r="AK112" s="182"/>
      <c r="AL112" s="496"/>
      <c r="AM112" s="497"/>
      <c r="AN112" s="626"/>
      <c r="AO112" s="182"/>
      <c r="AP112" s="182"/>
      <c r="AQ112" s="332" t="str">
        <f>UPPER(RIGHT(Journal_Live[[#This Row],[DURATION ]]))</f>
        <v/>
      </c>
      <c r="AR112" s="182"/>
      <c r="AS112" s="189"/>
      <c r="AT112" s="182">
        <f t="shared" si="51"/>
        <v>0</v>
      </c>
      <c r="AU112" s="187"/>
      <c r="AV112" s="190">
        <f t="shared" si="52"/>
        <v>0</v>
      </c>
      <c r="AW112" s="191"/>
      <c r="AX112" s="407"/>
      <c r="AY112" s="407"/>
      <c r="AZ112" s="407"/>
      <c r="BA112" s="407"/>
      <c r="BB112" s="407"/>
      <c r="BC112" s="407"/>
      <c r="BD112" s="407"/>
      <c r="BE112" s="407"/>
      <c r="BF112" s="422"/>
      <c r="BG112" s="391">
        <f>SUM($AV$4:AV112)</f>
        <v>790.92000000002031</v>
      </c>
      <c r="BH112" s="392">
        <f>SUM($AU$4:AU112)</f>
        <v>1281.8700000000204</v>
      </c>
      <c r="BI112" s="318"/>
      <c r="BJ112" s="318">
        <f>SUMIFS($AU113:AU$1388,$Q113:Q$1388,"F")</f>
        <v>14440.666666666668</v>
      </c>
      <c r="BK112" s="343">
        <f>SUMIFS($AU113:AU$1388,$P113:P$1388,"W")</f>
        <v>21042.741999999926</v>
      </c>
      <c r="BL112" s="343">
        <f>SUMIFS($AU113:AU$1388,$P113:P$1388,"W")</f>
        <v>21042.741999999926</v>
      </c>
      <c r="BM112" s="343">
        <f>SUMIFS($AU113:AU$134,$AQ113:AQ$134,"M")</f>
        <v>0</v>
      </c>
      <c r="BN112" s="343">
        <f>SUMIFS($AU113:AU$134,$AQ113:AQ$134,"M")</f>
        <v>0</v>
      </c>
      <c r="BO112" s="343">
        <f>SUMIFS($AU113:AU$134,$AQ113:AQ$134,"H")</f>
        <v>0</v>
      </c>
      <c r="BP112" s="343">
        <f>SUMIFS($AU115:AU$134,$AQ115:AQ$134,"D")</f>
        <v>335.99999999999994</v>
      </c>
      <c r="BQ112" s="343">
        <f>SUMIFS($AU113:AU$134,$Q113:Q$134,"O")</f>
        <v>-32.199999999993601</v>
      </c>
      <c r="BR112" s="343">
        <f>SUMIFS($AU113:AU$134,$AA113:AA$134,"*")</f>
        <v>531.60000000000639</v>
      </c>
      <c r="BS112" s="343">
        <f>SUMIFS($AU113:AU$134,$AA113:AA$134,"*")</f>
        <v>531.60000000000639</v>
      </c>
      <c r="BT112" s="343">
        <f>SUMIFS($AU113:AU$134,$AB113:AB$134,"*")</f>
        <v>0</v>
      </c>
      <c r="BU112" s="343">
        <f>SUMIFS($AU113:AU$134,$AA113:AA$134,"*",$AB113:AB$134,"*")</f>
        <v>0</v>
      </c>
      <c r="BV112" s="343">
        <f>SUMIFS($AU113:AU$134,$AA113:AA$134,"*",$AB113:AB$134,"*")</f>
        <v>0</v>
      </c>
      <c r="BW112" s="343">
        <f>SUMIFS($AU113:AU$134,$AA113:AA$134,"*",$AC113:AC$134,"*")</f>
        <v>563.80000000000007</v>
      </c>
      <c r="BX112" s="343">
        <f>SUMIFS($AU113:AU$1388,$Q113:Q$1388,"F")</f>
        <v>14440.666666666668</v>
      </c>
      <c r="BY112" s="343">
        <f>SUMIFS($AU113:AU$1388,$Q113:Q$1388,"S")</f>
        <v>21235.441999999999</v>
      </c>
      <c r="BZ112" s="343">
        <f>SUMIFS($AU113:AU$1388,$Q113:Q$1388,"O")</f>
        <v>-1681.0579999997917</v>
      </c>
    </row>
    <row r="113" spans="1:78" ht="18" customHeight="1">
      <c r="A113" s="221" t="s">
        <v>674</v>
      </c>
      <c r="B113" s="177">
        <v>44901</v>
      </c>
      <c r="C113" s="178" t="s">
        <v>682</v>
      </c>
      <c r="D113" s="178" t="s">
        <v>146</v>
      </c>
      <c r="E113" s="227"/>
      <c r="F113" s="180"/>
      <c r="G113" s="181" t="s">
        <v>683</v>
      </c>
      <c r="H113" s="182"/>
      <c r="I113" s="182"/>
      <c r="J113" s="182"/>
      <c r="K113" s="183"/>
      <c r="L113" s="182">
        <v>1</v>
      </c>
      <c r="M113" s="182"/>
      <c r="N113" s="182"/>
      <c r="O113" s="183" t="s">
        <v>95</v>
      </c>
      <c r="P113" s="183" t="s">
        <v>137</v>
      </c>
      <c r="Q113" s="183" t="s">
        <v>684</v>
      </c>
      <c r="R113" s="183">
        <v>1</v>
      </c>
      <c r="S113" s="183">
        <v>1</v>
      </c>
      <c r="T113" s="183">
        <v>1</v>
      </c>
      <c r="U113" s="183" t="s">
        <v>22</v>
      </c>
      <c r="V113" s="183"/>
      <c r="W113" s="183"/>
      <c r="X113" s="183"/>
      <c r="Y113" s="184">
        <f t="shared" si="48"/>
        <v>0.01</v>
      </c>
      <c r="Z113" s="184">
        <f>IF(ISBLANK(O113),,IF(O113=UPPER("IB"),8.63*200,16.1*100))</f>
        <v>1610.0000000000002</v>
      </c>
      <c r="AA113" s="185" t="s">
        <v>685</v>
      </c>
      <c r="AB113" s="185"/>
      <c r="AC113" s="185"/>
      <c r="AD113" s="649">
        <v>96.21</v>
      </c>
      <c r="AE113" s="182"/>
      <c r="AF113" s="332"/>
      <c r="AG113" s="182"/>
      <c r="AH113" s="182"/>
      <c r="AI113" s="182"/>
      <c r="AJ113" s="640"/>
      <c r="AK113" s="182"/>
      <c r="AL113" s="496"/>
      <c r="AM113" s="497"/>
      <c r="AN113" s="626"/>
      <c r="AO113" s="182"/>
      <c r="AP113" s="182" t="s">
        <v>686</v>
      </c>
      <c r="AQ113" s="332" t="str">
        <f>UPPER(RIGHT(Journal_Live[[#This Row],[DURATION ]]))</f>
        <v>.</v>
      </c>
      <c r="AR113" s="182"/>
      <c r="AS113" s="189">
        <v>96.19</v>
      </c>
      <c r="AT113" s="189">
        <f t="shared" si="51"/>
        <v>-1.9999999999996021E-2</v>
      </c>
      <c r="AU113" s="187">
        <f>AV113*R113</f>
        <v>-32.199999999993601</v>
      </c>
      <c r="AV113" s="190">
        <f t="shared" si="52"/>
        <v>-32.199999999993601</v>
      </c>
      <c r="AW113" s="191" t="s">
        <v>229</v>
      </c>
      <c r="AX113" s="407" t="s">
        <v>687</v>
      </c>
      <c r="AY113" s="407"/>
      <c r="AZ113" s="407"/>
      <c r="BA113" s="407"/>
      <c r="BB113" s="407"/>
      <c r="BC113" s="407"/>
      <c r="BD113" s="407"/>
      <c r="BE113" s="407"/>
      <c r="BF113" s="422"/>
      <c r="BG113" s="391">
        <f>SUM($AV$4:AV113)</f>
        <v>758.72000000002674</v>
      </c>
      <c r="BH113" s="392">
        <f>SUM($AU$4:AU113)</f>
        <v>1249.6700000000267</v>
      </c>
      <c r="BI113" s="318"/>
      <c r="BJ113" s="318">
        <f>SUMIFS($AU114:AU$1388,$Q114:Q$1388,"F")</f>
        <v>14440.666666666668</v>
      </c>
      <c r="BK113" s="343">
        <f>SUMIFS($AU114:AU$1388,$P114:P$1388,"W")</f>
        <v>21042.741999999926</v>
      </c>
      <c r="BL113" s="343">
        <f>SUMIFS($AU114:AU$1388,$P114:P$1388,"W")</f>
        <v>21042.741999999926</v>
      </c>
      <c r="BM113" s="343">
        <f>SUMIFS($AU114:AU$134,$AQ114:AQ$134,"M")</f>
        <v>0</v>
      </c>
      <c r="BN113" s="343">
        <f>SUMIFS($AU114:AU$134,$AQ114:AQ$134,"M")</f>
        <v>0</v>
      </c>
      <c r="BO113" s="343">
        <f>SUMIFS($AU114:AU$134,$AQ114:AQ$134,"H")</f>
        <v>0</v>
      </c>
      <c r="BP113" s="343">
        <f>SUMIFS($AU116:AU$134,$AQ116:AQ$134,"D")</f>
        <v>335.99999999999994</v>
      </c>
      <c r="BQ113" s="343">
        <f>SUMIFS($AU114:AU$134,$Q114:Q$134,"O")</f>
        <v>0</v>
      </c>
      <c r="BR113" s="343">
        <f>SUMIFS($AU114:AU$134,$AA114:AA$134,"*")</f>
        <v>563.80000000000007</v>
      </c>
      <c r="BS113" s="343">
        <f>SUMIFS($AU114:AU$134,$AA114:AA$134,"*")</f>
        <v>563.80000000000007</v>
      </c>
      <c r="BT113" s="343">
        <f>SUMIFS($AU114:AU$134,$AB114:AB$134,"*")</f>
        <v>0</v>
      </c>
      <c r="BU113" s="343">
        <f>SUMIFS($AU114:AU$134,$AA114:AA$134,"*",$AB114:AB$134,"*")</f>
        <v>0</v>
      </c>
      <c r="BV113" s="343">
        <f>SUMIFS($AU114:AU$134,$AA114:AA$134,"*",$AB114:AB$134,"*")</f>
        <v>0</v>
      </c>
      <c r="BW113" s="343">
        <f>SUMIFS($AU114:AU$134,$AA114:AA$134,"*",$AC114:AC$134,"*")</f>
        <v>563.80000000000007</v>
      </c>
      <c r="BX113" s="343">
        <f>SUMIFS($AU114:AU$1388,$Q114:Q$1388,"F")</f>
        <v>14440.666666666668</v>
      </c>
      <c r="BY113" s="343">
        <f>SUMIFS($AU114:AU$1388,$Q114:Q$1388,"S")</f>
        <v>21235.441999999999</v>
      </c>
      <c r="BZ113" s="343">
        <f>SUMIFS($AU114:AU$1388,$Q114:Q$1388,"O")</f>
        <v>-1648.8579999997983</v>
      </c>
    </row>
    <row r="114" spans="1:78" ht="18" customHeight="1">
      <c r="A114" s="221" t="s">
        <v>674</v>
      </c>
      <c r="B114" s="177">
        <v>44902</v>
      </c>
      <c r="C114" s="178"/>
      <c r="D114" s="178"/>
      <c r="E114" s="179" t="s">
        <v>688</v>
      </c>
      <c r="F114" s="180"/>
      <c r="G114" s="181"/>
      <c r="H114" s="182"/>
      <c r="I114" s="182"/>
      <c r="J114" s="182">
        <v>1</v>
      </c>
      <c r="K114" s="183"/>
      <c r="L114" s="182"/>
      <c r="M114" s="182"/>
      <c r="N114" s="182"/>
      <c r="O114" s="183"/>
      <c r="P114" s="183"/>
      <c r="Q114" s="183"/>
      <c r="R114" s="183"/>
      <c r="S114" s="183"/>
      <c r="T114" s="183"/>
      <c r="U114" s="183"/>
      <c r="V114" s="183"/>
      <c r="W114" s="183"/>
      <c r="X114" s="183"/>
      <c r="Y114" s="184">
        <f t="shared" si="48"/>
        <v>0</v>
      </c>
      <c r="Z114" s="184">
        <f>IF(ISBLANK(O114),,IF(O114=UPPER("IB"),8.63*200,16.1*100))</f>
        <v>0</v>
      </c>
      <c r="AA114" s="185"/>
      <c r="AB114" s="185"/>
      <c r="AC114" s="185"/>
      <c r="AD114" s="649"/>
      <c r="AE114" s="182"/>
      <c r="AF114" s="332"/>
      <c r="AG114" s="182"/>
      <c r="AH114" s="182"/>
      <c r="AI114" s="182"/>
      <c r="AJ114" s="640"/>
      <c r="AK114" s="182"/>
      <c r="AL114" s="496"/>
      <c r="AM114" s="497"/>
      <c r="AN114" s="626"/>
      <c r="AO114" s="182"/>
      <c r="AP114" s="182"/>
      <c r="AQ114" s="332" t="str">
        <f>UPPER(RIGHT(Journal_Live[[#This Row],[DURATION ]]))</f>
        <v/>
      </c>
      <c r="AR114" s="182"/>
      <c r="AS114" s="189"/>
      <c r="AT114" s="182">
        <f t="shared" si="51"/>
        <v>0</v>
      </c>
      <c r="AU114" s="187">
        <f>AV114*R114</f>
        <v>0</v>
      </c>
      <c r="AV114" s="190">
        <f t="shared" si="52"/>
        <v>0</v>
      </c>
      <c r="AW114" s="191"/>
      <c r="AX114" s="407" t="s">
        <v>689</v>
      </c>
      <c r="AY114" s="407" t="s">
        <v>690</v>
      </c>
      <c r="AZ114" s="407"/>
      <c r="BA114" s="407"/>
      <c r="BB114" s="407"/>
      <c r="BC114" s="407"/>
      <c r="BD114" s="407" t="s">
        <v>691</v>
      </c>
      <c r="BE114" s="407"/>
      <c r="BF114" s="422"/>
      <c r="BG114" s="391">
        <f>SUM($AV$4:AV114)</f>
        <v>758.72000000002674</v>
      </c>
      <c r="BH114" s="392">
        <f>SUM($AU$4:AU114)</f>
        <v>1249.6700000000267</v>
      </c>
      <c r="BI114" s="318"/>
      <c r="BJ114" s="318">
        <f>SUMIFS($AU115:AU$1388,$Q115:Q$1388,"F")</f>
        <v>14440.666666666668</v>
      </c>
      <c r="BK114" s="343">
        <f>SUMIFS($AU115:AU$1388,$P115:P$1388,"W")</f>
        <v>21042.741999999926</v>
      </c>
      <c r="BL114" s="343">
        <f>SUMIFS($AU115:AU$1388,$P115:P$1388,"W")</f>
        <v>21042.741999999926</v>
      </c>
      <c r="BM114" s="343">
        <f>SUMIFS($AU115:AU$134,$AQ115:AQ$134,"M")</f>
        <v>0</v>
      </c>
      <c r="BN114" s="343">
        <f>SUMIFS($AU115:AU$134,$AQ115:AQ$134,"M")</f>
        <v>0</v>
      </c>
      <c r="BO114" s="343">
        <f>SUMIFS($AU115:AU$134,$AQ115:AQ$134,"H")</f>
        <v>0</v>
      </c>
      <c r="BP114" s="343">
        <f>SUMIFS($AU117:AU$134,$AQ117:AQ$134,"D")</f>
        <v>335.99999999999994</v>
      </c>
      <c r="BQ114" s="343">
        <f>SUMIFS($AU115:AU$134,$Q115:Q$134,"O")</f>
        <v>0</v>
      </c>
      <c r="BR114" s="343">
        <f>SUMIFS($AU115:AU$134,$AA115:AA$134,"*")</f>
        <v>563.80000000000007</v>
      </c>
      <c r="BS114" s="343">
        <f>SUMIFS($AU115:AU$134,$AA115:AA$134,"*")</f>
        <v>563.80000000000007</v>
      </c>
      <c r="BT114" s="343">
        <f>SUMIFS($AU115:AU$134,$AB115:AB$134,"*")</f>
        <v>0</v>
      </c>
      <c r="BU114" s="343">
        <f>SUMIFS($AU115:AU$134,$AA115:AA$134,"*",$AB115:AB$134,"*")</f>
        <v>0</v>
      </c>
      <c r="BV114" s="343">
        <f>SUMIFS($AU115:AU$134,$AA115:AA$134,"*",$AB115:AB$134,"*")</f>
        <v>0</v>
      </c>
      <c r="BW114" s="343">
        <f>SUMIFS($AU115:AU$134,$AA115:AA$134,"*",$AC115:AC$134,"*")</f>
        <v>563.80000000000007</v>
      </c>
      <c r="BX114" s="343">
        <f>SUMIFS($AU115:AU$1388,$Q115:Q$1388,"F")</f>
        <v>14440.666666666668</v>
      </c>
      <c r="BY114" s="343">
        <f>SUMIFS($AU115:AU$1388,$Q115:Q$1388,"S")</f>
        <v>21235.441999999999</v>
      </c>
      <c r="BZ114" s="343">
        <f>SUMIFS($AU115:AU$1388,$Q115:Q$1388,"O")</f>
        <v>-1648.8579999997983</v>
      </c>
    </row>
    <row r="115" spans="1:78" ht="18" customHeight="1">
      <c r="A115" s="221" t="s">
        <v>674</v>
      </c>
      <c r="B115" s="230">
        <v>44903</v>
      </c>
      <c r="C115" s="178"/>
      <c r="D115" s="178" t="s">
        <v>692</v>
      </c>
      <c r="E115" s="227"/>
      <c r="F115" s="180"/>
      <c r="G115" s="181" t="s">
        <v>271</v>
      </c>
      <c r="H115" s="182"/>
      <c r="I115" s="182"/>
      <c r="J115" s="182"/>
      <c r="K115" s="183"/>
      <c r="L115" s="182">
        <v>1</v>
      </c>
      <c r="M115" s="182"/>
      <c r="N115" s="182"/>
      <c r="O115" s="183" t="s">
        <v>95</v>
      </c>
      <c r="P115" s="183" t="s">
        <v>137</v>
      </c>
      <c r="Q115" s="183" t="s">
        <v>97</v>
      </c>
      <c r="R115" s="183">
        <v>2</v>
      </c>
      <c r="S115" s="183">
        <v>2</v>
      </c>
      <c r="T115" s="183">
        <v>2</v>
      </c>
      <c r="U115" s="183" t="s">
        <v>22</v>
      </c>
      <c r="V115" s="183"/>
      <c r="W115" s="183"/>
      <c r="X115" s="183"/>
      <c r="Y115" s="184">
        <f t="shared" si="48"/>
        <v>0.01</v>
      </c>
      <c r="Z115" s="184">
        <f>IF(ISBLANK(O115),,IF(O115=UPPER("IB"),8.63*200,16.1*100))</f>
        <v>1610.0000000000002</v>
      </c>
      <c r="AA115" s="185" t="s">
        <v>693</v>
      </c>
      <c r="AB115" s="185"/>
      <c r="AC115" s="185" t="s">
        <v>694</v>
      </c>
      <c r="AD115" s="649">
        <v>-0.09</v>
      </c>
      <c r="AE115" s="182" t="s">
        <v>695</v>
      </c>
      <c r="AF115" s="332">
        <v>-0.12</v>
      </c>
      <c r="AG115" s="182"/>
      <c r="AH115" s="182">
        <v>-7.0000000000000007E-2</v>
      </c>
      <c r="AI115" s="182"/>
      <c r="AJ115" s="640"/>
      <c r="AK115" s="182"/>
      <c r="AL115" s="496"/>
      <c r="AM115" s="497"/>
      <c r="AN115" s="626" t="s">
        <v>696</v>
      </c>
      <c r="AO115" s="182" t="s">
        <v>697</v>
      </c>
      <c r="AP115" s="182" t="s">
        <v>698</v>
      </c>
      <c r="AQ115" s="332" t="str">
        <f>UPPER(RIGHT(Journal_Live[[#This Row],[DURATION ]]))</f>
        <v>S</v>
      </c>
      <c r="AR115" s="182" t="s">
        <v>699</v>
      </c>
      <c r="AS115" s="189">
        <v>-0.08</v>
      </c>
      <c r="AT115" s="189">
        <f t="shared" si="51"/>
        <v>9.999999999999995E-3</v>
      </c>
      <c r="AU115" s="187">
        <f>AV115*R115</f>
        <v>32.199999999999989</v>
      </c>
      <c r="AV115" s="190">
        <f t="shared" si="52"/>
        <v>16.099999999999994</v>
      </c>
      <c r="AW115" s="191" t="s">
        <v>96</v>
      </c>
      <c r="AX115" s="407" t="s">
        <v>700</v>
      </c>
      <c r="AY115" s="407" t="s">
        <v>701</v>
      </c>
      <c r="AZ115" s="407"/>
      <c r="BA115" s="407"/>
      <c r="BB115" s="407"/>
      <c r="BC115" s="407"/>
      <c r="BD115" s="407"/>
      <c r="BE115" s="407"/>
      <c r="BF115" s="422"/>
      <c r="BG115" s="391">
        <f>SUM($AV$4:AV115)</f>
        <v>774.82000000002677</v>
      </c>
      <c r="BH115" s="392">
        <f>SUM($AU$4:AU115)</f>
        <v>1281.8700000000267</v>
      </c>
      <c r="BI115" s="318"/>
      <c r="BJ115" s="318">
        <f>SUMIFS($AU116:AU$1388,$Q116:Q$1388,"F")</f>
        <v>14440.666666666668</v>
      </c>
      <c r="BK115" s="343">
        <f>SUMIFS($AU116:AU$1388,$P116:P$1388,"W")</f>
        <v>21042.741999999926</v>
      </c>
      <c r="BL115" s="343">
        <f>SUMIFS($AU116:AU$1388,$P116:P$1388,"W")</f>
        <v>21042.741999999926</v>
      </c>
      <c r="BM115" s="343">
        <f>SUMIFS($AU116:AU$134,$AQ116:AQ$134,"M")</f>
        <v>0</v>
      </c>
      <c r="BN115" s="343">
        <f>SUMIFS($AU116:AU$134,$AQ116:AQ$134,"M")</f>
        <v>0</v>
      </c>
      <c r="BO115" s="343">
        <f>SUMIFS($AU116:AU$134,$AQ116:AQ$134,"H")</f>
        <v>0</v>
      </c>
      <c r="BP115" s="343">
        <f>SUMIFS($AU118:AU$134,$AQ118:AQ$134,"D")</f>
        <v>335.99999999999994</v>
      </c>
      <c r="BQ115" s="343">
        <f>SUMIFS($AU116:AU$134,$Q116:Q$134,"O")</f>
        <v>0</v>
      </c>
      <c r="BR115" s="343">
        <f>SUMIFS($AU116:AU$134,$AA116:AA$134,"*")</f>
        <v>531.6</v>
      </c>
      <c r="BS115" s="343">
        <f>SUMIFS($AU116:AU$134,$AA116:AA$134,"*")</f>
        <v>531.6</v>
      </c>
      <c r="BT115" s="343">
        <f>SUMIFS($AU116:AU$134,$AB116:AB$134,"*")</f>
        <v>0</v>
      </c>
      <c r="BU115" s="343">
        <f>SUMIFS($AU116:AU$134,$AA116:AA$134,"*",$AB116:AB$134,"*")</f>
        <v>0</v>
      </c>
      <c r="BV115" s="343">
        <f>SUMIFS($AU116:AU$134,$AA116:AA$134,"*",$AB116:AB$134,"*")</f>
        <v>0</v>
      </c>
      <c r="BW115" s="343">
        <f>SUMIFS($AU116:AU$134,$AA116:AA$134,"*",$AC116:AC$134,"*")</f>
        <v>531.6</v>
      </c>
      <c r="BX115" s="343">
        <f>SUMIFS($AU116:AU$1388,$Q116:Q$1388,"F")</f>
        <v>14440.666666666668</v>
      </c>
      <c r="BY115" s="343">
        <f>SUMIFS($AU116:AU$1388,$Q116:Q$1388,"S")</f>
        <v>21203.241999999998</v>
      </c>
      <c r="BZ115" s="343">
        <f>SUMIFS($AU116:AU$1388,$Q116:Q$1388,"O")</f>
        <v>-1648.8579999997983</v>
      </c>
    </row>
    <row r="116" spans="1:78" ht="18" customHeight="1">
      <c r="A116" s="221" t="s">
        <v>674</v>
      </c>
      <c r="B116" s="177">
        <v>44904</v>
      </c>
      <c r="C116" s="178" t="s">
        <v>702</v>
      </c>
      <c r="D116" s="178" t="s">
        <v>111</v>
      </c>
      <c r="E116" s="227"/>
      <c r="F116" s="180"/>
      <c r="G116" s="181" t="s">
        <v>133</v>
      </c>
      <c r="H116" s="182"/>
      <c r="I116" s="182"/>
      <c r="J116" s="182"/>
      <c r="K116" s="183"/>
      <c r="L116" s="182"/>
      <c r="M116" s="182"/>
      <c r="N116" s="182"/>
      <c r="O116" s="183" t="s">
        <v>95</v>
      </c>
      <c r="P116" s="183" t="s">
        <v>96</v>
      </c>
      <c r="Q116" s="183" t="s">
        <v>97</v>
      </c>
      <c r="R116" s="183">
        <v>2</v>
      </c>
      <c r="S116" s="183">
        <v>2</v>
      </c>
      <c r="T116" s="183">
        <v>2</v>
      </c>
      <c r="U116" s="183" t="s">
        <v>97</v>
      </c>
      <c r="V116" s="183"/>
      <c r="W116" s="183"/>
      <c r="X116" s="183"/>
      <c r="Y116" s="184">
        <f t="shared" si="48"/>
        <v>0.01</v>
      </c>
      <c r="Z116" s="184">
        <f>IF(ISBLANK(O116),,IF(O116=UPPER("IB"),8.63*200,16.3*100))</f>
        <v>1630</v>
      </c>
      <c r="AA116" s="185" t="s">
        <v>285</v>
      </c>
      <c r="AB116" s="185"/>
      <c r="AC116" s="185" t="s">
        <v>99</v>
      </c>
      <c r="AD116" s="649">
        <v>0.01</v>
      </c>
      <c r="AE116" s="182" t="s">
        <v>703</v>
      </c>
      <c r="AF116" s="332"/>
      <c r="AG116" s="182"/>
      <c r="AH116" s="182"/>
      <c r="AI116" s="182"/>
      <c r="AJ116" s="640"/>
      <c r="AK116" s="182"/>
      <c r="AL116" s="496"/>
      <c r="AM116" s="497"/>
      <c r="AN116" s="626"/>
      <c r="AO116" s="182"/>
      <c r="AP116" s="182" t="s">
        <v>704</v>
      </c>
      <c r="AQ116" s="332" t="str">
        <f>UPPER(RIGHT(Journal_Live[[#This Row],[DURATION ]]))</f>
        <v>S</v>
      </c>
      <c r="AR116" s="229">
        <v>0.41666666666666669</v>
      </c>
      <c r="AS116" s="189">
        <v>0</v>
      </c>
      <c r="AT116" s="189">
        <f t="shared" si="51"/>
        <v>0.01</v>
      </c>
      <c r="AU116" s="187">
        <f>AV116*R116</f>
        <v>32.6</v>
      </c>
      <c r="AV116" s="190">
        <f t="shared" si="52"/>
        <v>16.3</v>
      </c>
      <c r="AW116" s="191" t="s">
        <v>96</v>
      </c>
      <c r="AX116" s="407" t="s">
        <v>705</v>
      </c>
      <c r="AY116" s="407"/>
      <c r="AZ116" s="407"/>
      <c r="BA116" s="407" t="s">
        <v>706</v>
      </c>
      <c r="BB116" s="423" t="s">
        <v>707</v>
      </c>
      <c r="BC116" s="407"/>
      <c r="BD116" s="407" t="s">
        <v>708</v>
      </c>
      <c r="BE116" s="407"/>
      <c r="BF116" s="422"/>
      <c r="BG116" s="391">
        <f>SUM($AV$4:AV116)</f>
        <v>791.12000000002672</v>
      </c>
      <c r="BH116" s="392">
        <f>SUM($AU$4:AU116)</f>
        <v>1314.4700000000266</v>
      </c>
      <c r="BI116" s="318"/>
      <c r="BJ116" s="318">
        <f>SUMIFS($AU117:AU$1388,$Q117:Q$1388,"F")</f>
        <v>14440.666666666668</v>
      </c>
      <c r="BK116" s="343">
        <f>SUMIFS($AU117:AU$1388,$P117:P$1388,"W")</f>
        <v>21010.141999999927</v>
      </c>
      <c r="BL116" s="343">
        <f>SUMIFS($AU117:AU$1388,$P117:P$1388,"W")</f>
        <v>21010.141999999927</v>
      </c>
      <c r="BM116" s="343">
        <f>SUMIFS($AU117:AU$134,$AQ117:AQ$134,"M")</f>
        <v>0</v>
      </c>
      <c r="BN116" s="343">
        <f>SUMIFS($AU117:AU$134,$AQ117:AQ$134,"M")</f>
        <v>0</v>
      </c>
      <c r="BO116" s="343">
        <f>SUMIFS($AU117:AU$134,$AQ117:AQ$134,"H")</f>
        <v>0</v>
      </c>
      <c r="BP116" s="343">
        <f>SUMIFS($AU119:AU$134,$AQ119:AQ$134,"D")</f>
        <v>320</v>
      </c>
      <c r="BQ116" s="343">
        <f>SUMIFS($AU117:AU$134,$Q117:Q$134,"O")</f>
        <v>0</v>
      </c>
      <c r="BR116" s="343">
        <f>SUMIFS($AU117:AU$134,$AA117:AA$134,"*")</f>
        <v>498.99999999999994</v>
      </c>
      <c r="BS116" s="343">
        <f>SUMIFS($AU117:AU$134,$AA117:AA$134,"*")</f>
        <v>498.99999999999994</v>
      </c>
      <c r="BT116" s="343">
        <f>SUMIFS($AU117:AU$134,$AB117:AB$134,"*")</f>
        <v>0</v>
      </c>
      <c r="BU116" s="343">
        <f>SUMIFS($AU117:AU$134,$AA117:AA$134,"*",$AB117:AB$134,"*")</f>
        <v>0</v>
      </c>
      <c r="BV116" s="343">
        <f>SUMIFS($AU117:AU$134,$AA117:AA$134,"*",$AB117:AB$134,"*")</f>
        <v>0</v>
      </c>
      <c r="BW116" s="343">
        <f>SUMIFS($AU117:AU$134,$AA117:AA$134,"*",$AC117:AC$134,"*")</f>
        <v>498.99999999999994</v>
      </c>
      <c r="BX116" s="343">
        <f>SUMIFS($AU117:AU$1388,$Q117:Q$1388,"F")</f>
        <v>14440.666666666668</v>
      </c>
      <c r="BY116" s="343">
        <f>SUMIFS($AU117:AU$1388,$Q117:Q$1388,"S")</f>
        <v>21170.642000000003</v>
      </c>
      <c r="BZ116" s="343">
        <f>SUMIFS($AU117:AU$1388,$Q117:Q$1388,"O")</f>
        <v>-1648.8579999997983</v>
      </c>
    </row>
    <row r="117" spans="1:78" ht="18" customHeight="1">
      <c r="A117" s="221" t="s">
        <v>674</v>
      </c>
      <c r="B117" s="177">
        <v>44904</v>
      </c>
      <c r="C117" s="194">
        <v>0.79166666666666663</v>
      </c>
      <c r="D117" s="178" t="s">
        <v>111</v>
      </c>
      <c r="E117" s="179" t="s">
        <v>709</v>
      </c>
      <c r="F117" s="180" t="s">
        <v>710</v>
      </c>
      <c r="G117" s="181"/>
      <c r="H117" s="182"/>
      <c r="I117" s="182"/>
      <c r="J117" s="182"/>
      <c r="K117" s="183"/>
      <c r="L117" s="182"/>
      <c r="M117" s="182"/>
      <c r="N117" s="182"/>
      <c r="O117" s="183"/>
      <c r="P117" s="183"/>
      <c r="Q117" s="183"/>
      <c r="R117" s="183"/>
      <c r="S117" s="183"/>
      <c r="T117" s="183"/>
      <c r="U117" s="183"/>
      <c r="V117" s="183"/>
      <c r="W117" s="183"/>
      <c r="X117" s="183"/>
      <c r="Y117" s="184">
        <f t="shared" si="48"/>
        <v>0</v>
      </c>
      <c r="Z117" s="184">
        <f>IF(ISBLANK(O117),,IF(O117=UPPER("IB"),8.63*200,16.3*100))</f>
        <v>0</v>
      </c>
      <c r="AA117" s="185"/>
      <c r="AB117" s="185"/>
      <c r="AC117" s="185"/>
      <c r="AD117" s="649"/>
      <c r="AE117" s="182"/>
      <c r="AF117" s="332"/>
      <c r="AG117" s="182"/>
      <c r="AH117" s="182"/>
      <c r="AI117" s="182"/>
      <c r="AJ117" s="640"/>
      <c r="AK117" s="182"/>
      <c r="AL117" s="496"/>
      <c r="AM117" s="497"/>
      <c r="AN117" s="626"/>
      <c r="AO117" s="182"/>
      <c r="AP117" s="182"/>
      <c r="AQ117" s="332" t="str">
        <f>UPPER(RIGHT(Journal_Live[[#This Row],[DURATION ]]))</f>
        <v/>
      </c>
      <c r="AR117" s="182"/>
      <c r="AS117" s="189"/>
      <c r="AT117" s="182">
        <f t="shared" si="51"/>
        <v>0</v>
      </c>
      <c r="AU117" s="187"/>
      <c r="AV117" s="190">
        <f t="shared" si="52"/>
        <v>0</v>
      </c>
      <c r="AW117" s="191"/>
      <c r="AX117" s="407"/>
      <c r="AY117" s="407"/>
      <c r="AZ117" s="407"/>
      <c r="BA117" s="407"/>
      <c r="BB117" s="407"/>
      <c r="BC117" s="407"/>
      <c r="BD117" s="407"/>
      <c r="BE117" s="407"/>
      <c r="BF117" s="422"/>
      <c r="BG117" s="391">
        <f>SUM($AV$4:AV117)</f>
        <v>791.12000000002672</v>
      </c>
      <c r="BH117" s="392">
        <f>SUM($AU$4:AU117)</f>
        <v>1314.4700000000266</v>
      </c>
      <c r="BI117" s="318"/>
      <c r="BJ117" s="318">
        <f>SUMIFS($AU118:AU$1388,$Q118:Q$1388,"F")</f>
        <v>14440.666666666668</v>
      </c>
      <c r="BK117" s="343">
        <f>SUMIFS($AU118:AU$1388,$P118:P$1388,"W")</f>
        <v>21010.141999999927</v>
      </c>
      <c r="BL117" s="343">
        <f>SUMIFS($AU118:AU$1388,$P118:P$1388,"W")</f>
        <v>21010.141999999927</v>
      </c>
      <c r="BM117" s="343">
        <f>SUMIFS($AU118:AU$134,$AQ118:AQ$134,"M")</f>
        <v>0</v>
      </c>
      <c r="BN117" s="343">
        <f>SUMIFS($AU118:AU$134,$AQ118:AQ$134,"M")</f>
        <v>0</v>
      </c>
      <c r="BO117" s="343">
        <f>SUMIFS($AU118:AU$134,$AQ118:AQ$134,"H")</f>
        <v>0</v>
      </c>
      <c r="BP117" s="343">
        <f>SUMIFS($AU120:AU$134,$AQ120:AQ$134,"D")</f>
        <v>288</v>
      </c>
      <c r="BQ117" s="343">
        <f>SUMIFS($AU118:AU$134,$Q118:Q$134,"O")</f>
        <v>0</v>
      </c>
      <c r="BR117" s="343">
        <f>SUMIFS($AU118:AU$134,$AA118:AA$134,"*")</f>
        <v>498.99999999999994</v>
      </c>
      <c r="BS117" s="343">
        <f>SUMIFS($AU118:AU$134,$AA118:AA$134,"*")</f>
        <v>498.99999999999994</v>
      </c>
      <c r="BT117" s="343">
        <f>SUMIFS($AU118:AU$134,$AB118:AB$134,"*")</f>
        <v>0</v>
      </c>
      <c r="BU117" s="343">
        <f>SUMIFS($AU118:AU$134,$AA118:AA$134,"*",$AB118:AB$134,"*")</f>
        <v>0</v>
      </c>
      <c r="BV117" s="343">
        <f>SUMIFS($AU118:AU$134,$AA118:AA$134,"*",$AB118:AB$134,"*")</f>
        <v>0</v>
      </c>
      <c r="BW117" s="343">
        <f>SUMIFS($AU118:AU$134,$AA118:AA$134,"*",$AC118:AC$134,"*")</f>
        <v>498.99999999999994</v>
      </c>
      <c r="BX117" s="343">
        <f>SUMIFS($AU118:AU$1388,$Q118:Q$1388,"F")</f>
        <v>14440.666666666668</v>
      </c>
      <c r="BY117" s="343">
        <f>SUMIFS($AU118:AU$1388,$Q118:Q$1388,"S")</f>
        <v>21170.642000000003</v>
      </c>
      <c r="BZ117" s="343">
        <f>SUMIFS($AU118:AU$1388,$Q118:Q$1388,"O")</f>
        <v>-1648.8579999997983</v>
      </c>
    </row>
    <row r="118" spans="1:78" ht="18" customHeight="1">
      <c r="A118" s="221" t="s">
        <v>674</v>
      </c>
      <c r="B118" s="177">
        <v>44907</v>
      </c>
      <c r="C118" s="178" t="s">
        <v>711</v>
      </c>
      <c r="D118" s="178" t="s">
        <v>132</v>
      </c>
      <c r="E118" s="227"/>
      <c r="F118" s="180"/>
      <c r="G118" s="248" t="s">
        <v>271</v>
      </c>
      <c r="H118" s="182"/>
      <c r="I118" s="182"/>
      <c r="J118" s="182"/>
      <c r="K118" s="183"/>
      <c r="L118" s="182">
        <v>1</v>
      </c>
      <c r="M118" s="182"/>
      <c r="N118" s="182"/>
      <c r="O118" s="183" t="s">
        <v>95</v>
      </c>
      <c r="P118" s="183" t="s">
        <v>137</v>
      </c>
      <c r="Q118" s="183" t="s">
        <v>97</v>
      </c>
      <c r="R118" s="183">
        <v>1</v>
      </c>
      <c r="S118" s="183">
        <v>1</v>
      </c>
      <c r="T118" s="183">
        <v>1</v>
      </c>
      <c r="U118" s="183" t="s">
        <v>22</v>
      </c>
      <c r="V118" s="183"/>
      <c r="W118" s="183"/>
      <c r="X118" s="183"/>
      <c r="Y118" s="184">
        <f t="shared" si="48"/>
        <v>0.01</v>
      </c>
      <c r="Z118" s="184">
        <f>IF(ISBLANK(O118),,IF(O118=UPPER("IB"),8.63*200,16*100))</f>
        <v>1600</v>
      </c>
      <c r="AA118" s="185" t="s">
        <v>712</v>
      </c>
      <c r="AB118" s="185"/>
      <c r="AC118" s="185" t="s">
        <v>713</v>
      </c>
      <c r="AD118" s="649">
        <v>-0.09</v>
      </c>
      <c r="AE118" s="182"/>
      <c r="AF118" s="332">
        <v>-0.12</v>
      </c>
      <c r="AG118" s="182"/>
      <c r="AH118" s="182" t="s">
        <v>714</v>
      </c>
      <c r="AI118" s="182" t="s">
        <v>715</v>
      </c>
      <c r="AJ118" s="640"/>
      <c r="AK118" s="182"/>
      <c r="AL118" s="496">
        <f t="shared" ref="AL118:AL119" si="53">-0.03*Z118</f>
        <v>-48</v>
      </c>
      <c r="AM118" s="496">
        <f>AL118*R118</f>
        <v>-48</v>
      </c>
      <c r="AN118" s="626" t="s">
        <v>716</v>
      </c>
      <c r="AO118" s="182"/>
      <c r="AP118" s="182" t="s">
        <v>717</v>
      </c>
      <c r="AQ118" s="332" t="str">
        <f>UPPER(RIGHT(Journal_Live[[#This Row],[DURATION ]]))</f>
        <v>D</v>
      </c>
      <c r="AR118" s="182" t="s">
        <v>718</v>
      </c>
      <c r="AS118" s="189">
        <v>-0.08</v>
      </c>
      <c r="AT118" s="189">
        <f t="shared" si="51"/>
        <v>9.999999999999995E-3</v>
      </c>
      <c r="AU118" s="187">
        <f>AV118*R118</f>
        <v>15.999999999999993</v>
      </c>
      <c r="AV118" s="190">
        <f t="shared" si="52"/>
        <v>15.999999999999993</v>
      </c>
      <c r="AW118" s="191" t="s">
        <v>96</v>
      </c>
      <c r="AX118" s="407"/>
      <c r="AY118" s="407" t="s">
        <v>719</v>
      </c>
      <c r="AZ118" s="428" t="s">
        <v>720</v>
      </c>
      <c r="BA118" s="407"/>
      <c r="BB118" s="407"/>
      <c r="BC118" s="407"/>
      <c r="BD118" s="407"/>
      <c r="BE118" s="407"/>
      <c r="BF118" s="422"/>
      <c r="BG118" s="391">
        <f>SUM($AV$4:AV118)</f>
        <v>807.12000000002672</v>
      </c>
      <c r="BH118" s="392">
        <f>SUM($AU$4:AU118)</f>
        <v>1330.4700000000266</v>
      </c>
      <c r="BI118" s="318"/>
      <c r="BJ118" s="318">
        <f>SUMIFS($AU119:AU$1388,$Q119:Q$1388,"F")</f>
        <v>14440.666666666668</v>
      </c>
      <c r="BK118" s="343">
        <f>SUMIFS($AU119:AU$1388,$P119:P$1388,"W")</f>
        <v>21010.141999999927</v>
      </c>
      <c r="BL118" s="343">
        <f>SUMIFS($AU119:AU$1388,$P119:P$1388,"W")</f>
        <v>21010.141999999927</v>
      </c>
      <c r="BM118" s="343">
        <f>SUMIFS($AU119:AU$134,$AQ119:AQ$134,"M")</f>
        <v>0</v>
      </c>
      <c r="BN118" s="343">
        <f>SUMIFS($AU119:AU$134,$AQ119:AQ$134,"M")</f>
        <v>0</v>
      </c>
      <c r="BO118" s="343">
        <f>SUMIFS($AU119:AU$134,$AQ119:AQ$134,"H")</f>
        <v>0</v>
      </c>
      <c r="BP118" s="343">
        <f>SUMIFS($AU121:AU$134,$AQ121:AQ$134,"D")</f>
        <v>288</v>
      </c>
      <c r="BQ118" s="343">
        <f>SUMIFS($AU119:AU$134,$Q119:Q$134,"O")</f>
        <v>0</v>
      </c>
      <c r="BR118" s="343">
        <f>SUMIFS($AU119:AU$134,$AA119:AA$134,"*")</f>
        <v>482.99999999999994</v>
      </c>
      <c r="BS118" s="343">
        <f>SUMIFS($AU119:AU$134,$AA119:AA$134,"*")</f>
        <v>482.99999999999994</v>
      </c>
      <c r="BT118" s="343">
        <f>SUMIFS($AU119:AU$134,$AB119:AB$134,"*")</f>
        <v>0</v>
      </c>
      <c r="BU118" s="343">
        <f>SUMIFS($AU119:AU$134,$AA119:AA$134,"*",$AB119:AB$134,"*")</f>
        <v>0</v>
      </c>
      <c r="BV118" s="343">
        <f>SUMIFS($AU119:AU$134,$AA119:AA$134,"*",$AB119:AB$134,"*")</f>
        <v>0</v>
      </c>
      <c r="BW118" s="343">
        <f>SUMIFS($AU119:AU$134,$AA119:AA$134,"*",$AC119:AC$134,"*")</f>
        <v>482.99999999999994</v>
      </c>
      <c r="BX118" s="343">
        <f>SUMIFS($AU119:AU$1388,$Q119:Q$1388,"F")</f>
        <v>14440.666666666668</v>
      </c>
      <c r="BY118" s="343">
        <f>SUMIFS($AU119:AU$1388,$Q119:Q$1388,"S")</f>
        <v>21154.642000000003</v>
      </c>
      <c r="BZ118" s="343">
        <f>SUMIFS($AU119:AU$1388,$Q119:Q$1388,"O")</f>
        <v>-1648.8579999997983</v>
      </c>
    </row>
    <row r="119" spans="1:78" ht="18" customHeight="1">
      <c r="A119" s="221" t="s">
        <v>674</v>
      </c>
      <c r="B119" s="177">
        <v>44908</v>
      </c>
      <c r="C119" s="178" t="s">
        <v>721</v>
      </c>
      <c r="D119" s="178" t="s">
        <v>146</v>
      </c>
      <c r="E119" s="227" t="s">
        <v>722</v>
      </c>
      <c r="F119" s="180" t="s">
        <v>723</v>
      </c>
      <c r="G119" s="248" t="s">
        <v>271</v>
      </c>
      <c r="H119" s="182"/>
      <c r="I119" s="182"/>
      <c r="J119" s="182">
        <v>1</v>
      </c>
      <c r="K119" s="183" t="s">
        <v>115</v>
      </c>
      <c r="L119" s="182">
        <v>1</v>
      </c>
      <c r="M119" s="182">
        <v>1</v>
      </c>
      <c r="N119" s="182"/>
      <c r="O119" s="183" t="s">
        <v>95</v>
      </c>
      <c r="P119" s="183" t="s">
        <v>137</v>
      </c>
      <c r="Q119" s="183" t="s">
        <v>97</v>
      </c>
      <c r="R119" s="183">
        <v>2</v>
      </c>
      <c r="S119" s="183">
        <v>2</v>
      </c>
      <c r="T119" s="183">
        <v>2</v>
      </c>
      <c r="U119" s="183" t="s">
        <v>22</v>
      </c>
      <c r="V119" s="183"/>
      <c r="W119" s="183"/>
      <c r="X119" s="183"/>
      <c r="Y119" s="184">
        <f t="shared" si="48"/>
        <v>0.01</v>
      </c>
      <c r="Z119" s="184">
        <f>IF(ISBLANK(O119),,IF(O119=UPPER("IB"),8.63*200,16*100))</f>
        <v>1600</v>
      </c>
      <c r="AA119" s="185" t="s">
        <v>693</v>
      </c>
      <c r="AB119" s="185"/>
      <c r="AC119" s="185" t="s">
        <v>99</v>
      </c>
      <c r="AD119" s="649">
        <v>-0.09</v>
      </c>
      <c r="AE119" s="182"/>
      <c r="AF119" s="332">
        <v>-0.12</v>
      </c>
      <c r="AG119" s="182"/>
      <c r="AH119" s="182">
        <v>-0.08</v>
      </c>
      <c r="AI119" s="182"/>
      <c r="AJ119" s="640"/>
      <c r="AK119" s="182"/>
      <c r="AL119" s="496">
        <f t="shared" si="53"/>
        <v>-48</v>
      </c>
      <c r="AM119" s="496">
        <f>AL119*R119</f>
        <v>-96</v>
      </c>
      <c r="AN119" s="626" t="s">
        <v>716</v>
      </c>
      <c r="AO119" s="182"/>
      <c r="AP119" s="182" t="s">
        <v>717</v>
      </c>
      <c r="AQ119" s="332" t="str">
        <f>UPPER(RIGHT(Journal_Live[[#This Row],[DURATION ]]))</f>
        <v>D</v>
      </c>
      <c r="AR119" s="182" t="s">
        <v>718</v>
      </c>
      <c r="AS119" s="189">
        <v>-0.08</v>
      </c>
      <c r="AT119" s="189">
        <f t="shared" si="51"/>
        <v>9.999999999999995E-3</v>
      </c>
      <c r="AU119" s="187">
        <f>AV119*R119</f>
        <v>31.999999999999986</v>
      </c>
      <c r="AV119" s="190">
        <f t="shared" si="52"/>
        <v>15.999999999999993</v>
      </c>
      <c r="AW119" s="191" t="s">
        <v>96</v>
      </c>
      <c r="AX119" s="407"/>
      <c r="AY119" s="407" t="s">
        <v>719</v>
      </c>
      <c r="AZ119" s="428" t="s">
        <v>720</v>
      </c>
      <c r="BA119" s="407"/>
      <c r="BB119" s="407"/>
      <c r="BC119" s="407"/>
      <c r="BD119" s="407"/>
      <c r="BE119" s="407"/>
      <c r="BF119" s="422"/>
      <c r="BG119" s="391">
        <f>SUM($AV$4:AV119)</f>
        <v>823.12000000002672</v>
      </c>
      <c r="BH119" s="392">
        <f>SUM($AU$4:AU119)</f>
        <v>1362.4700000000266</v>
      </c>
      <c r="BI119" s="318"/>
      <c r="BJ119" s="318">
        <f>SUMIFS($AU120:AU$1388,$Q120:Q$1388,"F")</f>
        <v>14440.666666666668</v>
      </c>
      <c r="BK119" s="343">
        <f>SUMIFS($AU120:AU$1388,$P120:P$1388,"W")</f>
        <v>21010.141999999927</v>
      </c>
      <c r="BL119" s="343">
        <f>SUMIFS($AU120:AU$1388,$P120:P$1388,"W")</f>
        <v>21010.141999999927</v>
      </c>
      <c r="BM119" s="343">
        <f>SUMIFS($AU120:AU$134,$AQ120:AQ$134,"M")</f>
        <v>0</v>
      </c>
      <c r="BN119" s="343">
        <f>SUMIFS($AU120:AU$134,$AQ120:AQ$134,"M")</f>
        <v>0</v>
      </c>
      <c r="BO119" s="343">
        <f>SUMIFS($AU120:AU$134,$AQ120:AQ$134,"H")</f>
        <v>0</v>
      </c>
      <c r="BP119" s="343">
        <f>SUMIFS($AU122:AU$134,$AQ122:AQ$134,"D")</f>
        <v>240</v>
      </c>
      <c r="BQ119" s="343">
        <f>SUMIFS($AU120:AU$134,$Q120:Q$134,"O")</f>
        <v>0</v>
      </c>
      <c r="BR119" s="343">
        <f>SUMIFS($AU120:AU$134,$AA120:AA$134,"*")</f>
        <v>450.99999999999994</v>
      </c>
      <c r="BS119" s="343">
        <f>SUMIFS($AU120:AU$134,$AA120:AA$134,"*")</f>
        <v>450.99999999999994</v>
      </c>
      <c r="BT119" s="343">
        <f>SUMIFS($AU120:AU$134,$AB120:AB$134,"*")</f>
        <v>0</v>
      </c>
      <c r="BU119" s="343">
        <f>SUMIFS($AU120:AU$134,$AA120:AA$134,"*",$AB120:AB$134,"*")</f>
        <v>0</v>
      </c>
      <c r="BV119" s="343">
        <f>SUMIFS($AU120:AU$134,$AA120:AA$134,"*",$AB120:AB$134,"*")</f>
        <v>0</v>
      </c>
      <c r="BW119" s="343">
        <f>SUMIFS($AU120:AU$134,$AA120:AA$134,"*",$AC120:AC$134,"*")</f>
        <v>450.99999999999994</v>
      </c>
      <c r="BX119" s="343">
        <f>SUMIFS($AU120:AU$1388,$Q120:Q$1388,"F")</f>
        <v>14440.666666666668</v>
      </c>
      <c r="BY119" s="343">
        <f>SUMIFS($AU120:AU$1388,$Q120:Q$1388,"S")</f>
        <v>21122.642</v>
      </c>
      <c r="BZ119" s="343">
        <f>SUMIFS($AU120:AU$1388,$Q120:Q$1388,"O")</f>
        <v>-1648.8579999997983</v>
      </c>
    </row>
    <row r="120" spans="1:78" ht="18" customHeight="1">
      <c r="A120" s="221" t="s">
        <v>674</v>
      </c>
      <c r="B120" s="177"/>
      <c r="C120" s="178"/>
      <c r="D120" s="178"/>
      <c r="E120" s="227" t="s">
        <v>724</v>
      </c>
      <c r="F120" s="180" t="s">
        <v>725</v>
      </c>
      <c r="G120" s="181"/>
      <c r="H120" s="182"/>
      <c r="I120" s="182"/>
      <c r="J120" s="182">
        <v>1</v>
      </c>
      <c r="K120" s="183" t="s">
        <v>115</v>
      </c>
      <c r="L120" s="182"/>
      <c r="M120" s="182"/>
      <c r="N120" s="182"/>
      <c r="O120" s="183"/>
      <c r="P120" s="183"/>
      <c r="Q120" s="183"/>
      <c r="R120" s="183"/>
      <c r="S120" s="183"/>
      <c r="T120" s="183"/>
      <c r="U120" s="183"/>
      <c r="V120" s="183"/>
      <c r="W120" s="183"/>
      <c r="X120" s="183"/>
      <c r="Y120" s="184">
        <f t="shared" si="48"/>
        <v>0</v>
      </c>
      <c r="Z120" s="184">
        <f>IF(ISBLANK(O120),,IF(O120=UPPER("IB"),8.63*200,16.3*100))</f>
        <v>0</v>
      </c>
      <c r="AA120" s="185"/>
      <c r="AB120" s="185"/>
      <c r="AC120" s="185"/>
      <c r="AD120" s="649"/>
      <c r="AE120" s="182"/>
      <c r="AF120" s="332"/>
      <c r="AG120" s="182"/>
      <c r="AH120" s="182"/>
      <c r="AI120" s="182"/>
      <c r="AJ120" s="640"/>
      <c r="AK120" s="182"/>
      <c r="AL120" s="496"/>
      <c r="AM120" s="497"/>
      <c r="AN120" s="626"/>
      <c r="AO120" s="182"/>
      <c r="AP120" s="182"/>
      <c r="AQ120" s="332" t="str">
        <f>UPPER(RIGHT(Journal_Live[[#This Row],[DURATION ]]))</f>
        <v/>
      </c>
      <c r="AR120" s="182"/>
      <c r="AS120" s="189"/>
      <c r="AT120" s="182">
        <f t="shared" si="51"/>
        <v>0</v>
      </c>
      <c r="AU120" s="187"/>
      <c r="AV120" s="190">
        <f t="shared" si="52"/>
        <v>0</v>
      </c>
      <c r="AW120" s="191"/>
      <c r="AX120" s="407" t="s">
        <v>726</v>
      </c>
      <c r="AY120" s="407"/>
      <c r="AZ120" s="407"/>
      <c r="BA120" s="407"/>
      <c r="BB120" s="407"/>
      <c r="BC120" s="407"/>
      <c r="BD120" s="407" t="s">
        <v>727</v>
      </c>
      <c r="BE120" s="407"/>
      <c r="BF120" s="422"/>
      <c r="BG120" s="391">
        <f>SUM($AV$4:AV120)</f>
        <v>823.12000000002672</v>
      </c>
      <c r="BH120" s="392">
        <f>SUM($AU$4:AU120)</f>
        <v>1362.4700000000266</v>
      </c>
      <c r="BI120" s="318"/>
      <c r="BJ120" s="318">
        <f>SUMIFS($AU121:AU$1388,$Q121:Q$1388,"F")</f>
        <v>14440.666666666668</v>
      </c>
      <c r="BK120" s="343">
        <f>SUMIFS($AU121:AU$1388,$P121:P$1388,"W")</f>
        <v>21010.141999999927</v>
      </c>
      <c r="BL120" s="343">
        <f>SUMIFS($AU121:AU$1388,$P121:P$1388,"W")</f>
        <v>21010.141999999927</v>
      </c>
      <c r="BM120" s="343">
        <f>SUMIFS($AU121:AU$134,$AQ121:AQ$134,"M")</f>
        <v>0</v>
      </c>
      <c r="BN120" s="343">
        <f>SUMIFS($AU121:AU$134,$AQ121:AQ$134,"M")</f>
        <v>0</v>
      </c>
      <c r="BO120" s="343">
        <f>SUMIFS($AU121:AU$134,$AQ121:AQ$134,"H")</f>
        <v>0</v>
      </c>
      <c r="BP120" s="343">
        <f>SUMIFS($AU123:AU$134,$AQ123:AQ$134,"D")</f>
        <v>240</v>
      </c>
      <c r="BQ120" s="343">
        <f>SUMIFS($AU121:AU$134,$Q121:Q$134,"O")</f>
        <v>0</v>
      </c>
      <c r="BR120" s="343">
        <f>SUMIFS($AU121:AU$134,$AA121:AA$134,"*")</f>
        <v>450.99999999999994</v>
      </c>
      <c r="BS120" s="343">
        <f>SUMIFS($AU121:AU$134,$AA121:AA$134,"*")</f>
        <v>450.99999999999994</v>
      </c>
      <c r="BT120" s="343">
        <f>SUMIFS($AU121:AU$134,$AB121:AB$134,"*")</f>
        <v>0</v>
      </c>
      <c r="BU120" s="343">
        <f>SUMIFS($AU121:AU$134,$AA121:AA$134,"*",$AB121:AB$134,"*")</f>
        <v>0</v>
      </c>
      <c r="BV120" s="343">
        <f>SUMIFS($AU121:AU$134,$AA121:AA$134,"*",$AB121:AB$134,"*")</f>
        <v>0</v>
      </c>
      <c r="BW120" s="343">
        <f>SUMIFS($AU121:AU$134,$AA121:AA$134,"*",$AC121:AC$134,"*")</f>
        <v>450.99999999999994</v>
      </c>
      <c r="BX120" s="343">
        <f>SUMIFS($AU121:AU$1388,$Q121:Q$1388,"F")</f>
        <v>14440.666666666668</v>
      </c>
      <c r="BY120" s="343">
        <f>SUMIFS($AU121:AU$1388,$Q121:Q$1388,"S")</f>
        <v>21122.642</v>
      </c>
      <c r="BZ120" s="343">
        <f>SUMIFS($AU121:AU$1388,$Q121:Q$1388,"O")</f>
        <v>-1648.8579999997983</v>
      </c>
    </row>
    <row r="121" spans="1:78" ht="18" customHeight="1">
      <c r="A121" s="221" t="s">
        <v>674</v>
      </c>
      <c r="B121" s="177">
        <v>44909</v>
      </c>
      <c r="C121" s="178" t="s">
        <v>728</v>
      </c>
      <c r="D121" s="178" t="s">
        <v>151</v>
      </c>
      <c r="E121" s="227"/>
      <c r="F121" s="180"/>
      <c r="G121" s="248" t="s">
        <v>271</v>
      </c>
      <c r="H121" s="182"/>
      <c r="I121" s="182"/>
      <c r="J121" s="182"/>
      <c r="K121" s="183"/>
      <c r="L121" s="182">
        <v>1</v>
      </c>
      <c r="M121" s="182"/>
      <c r="N121" s="182"/>
      <c r="O121" s="183" t="s">
        <v>95</v>
      </c>
      <c r="P121" s="183" t="s">
        <v>137</v>
      </c>
      <c r="Q121" s="183" t="s">
        <v>97</v>
      </c>
      <c r="R121" s="183">
        <v>3</v>
      </c>
      <c r="S121" s="183">
        <v>3</v>
      </c>
      <c r="T121" s="183">
        <v>3</v>
      </c>
      <c r="U121" s="183" t="s">
        <v>22</v>
      </c>
      <c r="V121" s="183"/>
      <c r="W121" s="183"/>
      <c r="X121" s="183"/>
      <c r="Y121" s="184">
        <f t="shared" si="48"/>
        <v>0.01</v>
      </c>
      <c r="Z121" s="184">
        <f>IF(ISBLANK(O121),,IF(O121=UPPER("IB"),8.63*200,16*100))</f>
        <v>1600</v>
      </c>
      <c r="AA121" s="185" t="s">
        <v>693</v>
      </c>
      <c r="AB121" s="185"/>
      <c r="AC121" s="185" t="s">
        <v>694</v>
      </c>
      <c r="AD121" s="649">
        <v>-0.09</v>
      </c>
      <c r="AE121" s="182"/>
      <c r="AF121" s="332">
        <v>-0.12</v>
      </c>
      <c r="AG121" s="182"/>
      <c r="AH121" s="182" t="s">
        <v>729</v>
      </c>
      <c r="AI121" s="182" t="s">
        <v>730</v>
      </c>
      <c r="AJ121" s="640"/>
      <c r="AK121" s="182"/>
      <c r="AL121" s="496">
        <f t="shared" ref="AL121:AL122" si="54">-0.03*Z121</f>
        <v>-48</v>
      </c>
      <c r="AM121" s="496">
        <f>AL121*R121</f>
        <v>-144</v>
      </c>
      <c r="AN121" s="626" t="s">
        <v>428</v>
      </c>
      <c r="AO121" s="182" t="s">
        <v>716</v>
      </c>
      <c r="AP121" s="182" t="s">
        <v>717</v>
      </c>
      <c r="AQ121" s="332" t="str">
        <f>UPPER(RIGHT(Journal_Live[[#This Row],[DURATION ]]))</f>
        <v>D</v>
      </c>
      <c r="AR121" s="182" t="s">
        <v>718</v>
      </c>
      <c r="AS121" s="189">
        <v>-0.08</v>
      </c>
      <c r="AT121" s="189">
        <f t="shared" si="51"/>
        <v>9.999999999999995E-3</v>
      </c>
      <c r="AU121" s="187">
        <f>AV121*R121</f>
        <v>47.999999999999979</v>
      </c>
      <c r="AV121" s="190">
        <f t="shared" si="52"/>
        <v>15.999999999999993</v>
      </c>
      <c r="AW121" s="191" t="s">
        <v>96</v>
      </c>
      <c r="AX121" s="407" t="s">
        <v>731</v>
      </c>
      <c r="AY121" s="407" t="s">
        <v>719</v>
      </c>
      <c r="AZ121" s="428" t="s">
        <v>720</v>
      </c>
      <c r="BA121" s="407" t="s">
        <v>732</v>
      </c>
      <c r="BB121" s="407"/>
      <c r="BC121" s="407"/>
      <c r="BD121" s="407"/>
      <c r="BE121" s="407"/>
      <c r="BF121" s="422"/>
      <c r="BG121" s="391">
        <f>SUM($AV$4:AV121)</f>
        <v>839.12000000002672</v>
      </c>
      <c r="BH121" s="392">
        <f>SUM($AU$4:AU121)</f>
        <v>1410.4700000000266</v>
      </c>
      <c r="BI121" s="318"/>
      <c r="BJ121" s="318">
        <f>SUMIFS($AU122:AU$1388,$Q122:Q$1388,"F")</f>
        <v>14440.666666666668</v>
      </c>
      <c r="BK121" s="343">
        <f>SUMIFS($AU122:AU$1388,$P122:P$1388,"W")</f>
        <v>21010.141999999927</v>
      </c>
      <c r="BL121" s="343">
        <f>SUMIFS($AU122:AU$1388,$P122:P$1388,"W")</f>
        <v>21010.141999999927</v>
      </c>
      <c r="BM121" s="343">
        <f>SUMIFS($AU122:AU$134,$AQ122:AQ$134,"M")</f>
        <v>0</v>
      </c>
      <c r="BN121" s="343">
        <f>SUMIFS($AU122:AU$134,$AQ122:AQ$134,"M")</f>
        <v>0</v>
      </c>
      <c r="BO121" s="343">
        <f>SUMIFS($AU122:AU$134,$AQ122:AQ$134,"H")</f>
        <v>0</v>
      </c>
      <c r="BP121" s="343">
        <f>SUMIFS($AU124:AU$134,$AQ124:AQ$134,"D")</f>
        <v>240</v>
      </c>
      <c r="BQ121" s="343">
        <f>SUMIFS($AU122:AU$134,$Q122:Q$134,"O")</f>
        <v>0</v>
      </c>
      <c r="BR121" s="343">
        <f>SUMIFS($AU122:AU$134,$AA122:AA$134,"*")</f>
        <v>403</v>
      </c>
      <c r="BS121" s="343">
        <f>SUMIFS($AU122:AU$134,$AA122:AA$134,"*")</f>
        <v>403</v>
      </c>
      <c r="BT121" s="343">
        <f>SUMIFS($AU122:AU$134,$AB122:AB$134,"*")</f>
        <v>0</v>
      </c>
      <c r="BU121" s="343">
        <f>SUMIFS($AU122:AU$134,$AA122:AA$134,"*",$AB122:AB$134,"*")</f>
        <v>0</v>
      </c>
      <c r="BV121" s="343">
        <f>SUMIFS($AU122:AU$134,$AA122:AA$134,"*",$AB122:AB$134,"*")</f>
        <v>0</v>
      </c>
      <c r="BW121" s="343">
        <f>SUMIFS($AU122:AU$134,$AA122:AA$134,"*",$AC122:AC$134,"*")</f>
        <v>403</v>
      </c>
      <c r="BX121" s="343">
        <f>SUMIFS($AU122:AU$1388,$Q122:Q$1388,"F")</f>
        <v>14440.666666666668</v>
      </c>
      <c r="BY121" s="343">
        <f>SUMIFS($AU122:AU$1388,$Q122:Q$1388,"S")</f>
        <v>21074.642000000003</v>
      </c>
      <c r="BZ121" s="343">
        <f>SUMIFS($AU122:AU$1388,$Q122:Q$1388,"O")</f>
        <v>-1648.8579999997983</v>
      </c>
    </row>
    <row r="122" spans="1:78" ht="18" customHeight="1">
      <c r="A122" s="221" t="s">
        <v>674</v>
      </c>
      <c r="B122" s="177">
        <v>44909</v>
      </c>
      <c r="C122" s="178" t="s">
        <v>733</v>
      </c>
      <c r="D122" s="178" t="s">
        <v>151</v>
      </c>
      <c r="E122" s="227"/>
      <c r="F122" s="180"/>
      <c r="G122" s="181" t="s">
        <v>280</v>
      </c>
      <c r="H122" s="182"/>
      <c r="I122" s="182"/>
      <c r="J122" s="182"/>
      <c r="K122" s="183"/>
      <c r="L122" s="182">
        <v>1</v>
      </c>
      <c r="M122" s="182"/>
      <c r="N122" s="182"/>
      <c r="O122" s="183" t="s">
        <v>95</v>
      </c>
      <c r="P122" s="183" t="s">
        <v>137</v>
      </c>
      <c r="Q122" s="183" t="s">
        <v>97</v>
      </c>
      <c r="R122" s="183">
        <v>2</v>
      </c>
      <c r="S122" s="183">
        <v>2</v>
      </c>
      <c r="T122" s="183">
        <v>2</v>
      </c>
      <c r="U122" s="183" t="s">
        <v>22</v>
      </c>
      <c r="V122" s="183"/>
      <c r="W122" s="183"/>
      <c r="X122" s="183"/>
      <c r="Y122" s="184">
        <f t="shared" si="48"/>
        <v>0.01</v>
      </c>
      <c r="Z122" s="184">
        <f>IF(ISBLANK(O122),,IF(O122=UPPER("IB"),8.63*200,16.3*100))</f>
        <v>1630</v>
      </c>
      <c r="AA122" s="185" t="s">
        <v>281</v>
      </c>
      <c r="AB122" s="185"/>
      <c r="AC122" s="185" t="s">
        <v>734</v>
      </c>
      <c r="AD122" s="649">
        <v>-0.08</v>
      </c>
      <c r="AE122" s="182"/>
      <c r="AF122" s="332">
        <v>-0.11</v>
      </c>
      <c r="AG122" s="182"/>
      <c r="AH122" s="182" t="s">
        <v>735</v>
      </c>
      <c r="AI122" s="182" t="s">
        <v>715</v>
      </c>
      <c r="AJ122" s="640"/>
      <c r="AK122" s="182"/>
      <c r="AL122" s="496">
        <f t="shared" si="54"/>
        <v>-48.9</v>
      </c>
      <c r="AM122" s="496">
        <f>AL122*R122</f>
        <v>-97.8</v>
      </c>
      <c r="AN122" s="626" t="s">
        <v>428</v>
      </c>
      <c r="AO122" s="182"/>
      <c r="AP122" s="182" t="s">
        <v>573</v>
      </c>
      <c r="AQ122" s="332" t="str">
        <f>UPPER(RIGHT(Journal_Live[[#This Row],[DURATION ]]))</f>
        <v>S</v>
      </c>
      <c r="AR122" s="182" t="s">
        <v>736</v>
      </c>
      <c r="AS122" s="189">
        <v>-0.08</v>
      </c>
      <c r="AT122" s="189">
        <f t="shared" si="51"/>
        <v>0</v>
      </c>
      <c r="AU122" s="187">
        <f>AV122*R122</f>
        <v>0</v>
      </c>
      <c r="AV122" s="190">
        <f t="shared" si="52"/>
        <v>0</v>
      </c>
      <c r="AW122" s="191" t="s">
        <v>115</v>
      </c>
      <c r="AX122" s="407"/>
      <c r="AY122" s="407" t="s">
        <v>719</v>
      </c>
      <c r="AZ122" s="407"/>
      <c r="BA122" s="407"/>
      <c r="BB122" s="407"/>
      <c r="BC122" s="407"/>
      <c r="BD122" s="407"/>
      <c r="BE122" s="407"/>
      <c r="BF122" s="422"/>
      <c r="BG122" s="391">
        <f>SUM($AV$4:AV122)</f>
        <v>839.12000000002672</v>
      </c>
      <c r="BH122" s="392">
        <f>SUM($AU$4:AU122)</f>
        <v>1410.4700000000266</v>
      </c>
      <c r="BI122" s="318"/>
      <c r="BJ122" s="318">
        <f>SUMIFS($AU123:AU$1388,$Q123:Q$1388,"F")</f>
        <v>14440.666666666668</v>
      </c>
      <c r="BK122" s="343">
        <f>SUMIFS($AU123:AU$1388,$P123:P$1388,"W")</f>
        <v>21010.141999999927</v>
      </c>
      <c r="BL122" s="343">
        <f>SUMIFS($AU123:AU$1388,$P123:P$1388,"W")</f>
        <v>21010.141999999927</v>
      </c>
      <c r="BM122" s="343">
        <f>SUMIFS($AU123:AU$134,$AQ123:AQ$134,"M")</f>
        <v>0</v>
      </c>
      <c r="BN122" s="343">
        <f>SUMIFS($AU123:AU$134,$AQ123:AQ$134,"M")</f>
        <v>0</v>
      </c>
      <c r="BO122" s="343">
        <f>SUMIFS($AU123:AU$134,$AQ123:AQ$134,"H")</f>
        <v>0</v>
      </c>
      <c r="BP122" s="343">
        <f>SUMIFS($AU125:AU$134,$AQ125:AQ$134,"D")</f>
        <v>0</v>
      </c>
      <c r="BQ122" s="343">
        <f>SUMIFS($AU123:AU$134,$Q123:Q$134,"O")</f>
        <v>0</v>
      </c>
      <c r="BR122" s="343">
        <f>SUMIFS($AU123:AU$134,$AA123:AA$134,"*")</f>
        <v>403</v>
      </c>
      <c r="BS122" s="343">
        <f>SUMIFS($AU123:AU$134,$AA123:AA$134,"*")</f>
        <v>403</v>
      </c>
      <c r="BT122" s="343">
        <f>SUMIFS($AU123:AU$134,$AB123:AB$134,"*")</f>
        <v>0</v>
      </c>
      <c r="BU122" s="343">
        <f>SUMIFS($AU123:AU$134,$AA123:AA$134,"*",$AB123:AB$134,"*")</f>
        <v>0</v>
      </c>
      <c r="BV122" s="343">
        <f>SUMIFS($AU123:AU$134,$AA123:AA$134,"*",$AB123:AB$134,"*")</f>
        <v>0</v>
      </c>
      <c r="BW122" s="343">
        <f>SUMIFS($AU123:AU$134,$AA123:AA$134,"*",$AC123:AC$134,"*")</f>
        <v>403</v>
      </c>
      <c r="BX122" s="343">
        <f>SUMIFS($AU123:AU$1388,$Q123:Q$1388,"F")</f>
        <v>14440.666666666668</v>
      </c>
      <c r="BY122" s="343">
        <f>SUMIFS($AU123:AU$1388,$Q123:Q$1388,"S")</f>
        <v>21074.642000000003</v>
      </c>
      <c r="BZ122" s="343">
        <f>SUMIFS($AU123:AU$1388,$Q123:Q$1388,"O")</f>
        <v>-1648.8579999997983</v>
      </c>
    </row>
    <row r="123" spans="1:78" ht="18" customHeight="1">
      <c r="A123" s="221" t="s">
        <v>674</v>
      </c>
      <c r="B123" s="177">
        <v>44909</v>
      </c>
      <c r="C123" s="178" t="s">
        <v>737</v>
      </c>
      <c r="D123" s="178" t="s">
        <v>151</v>
      </c>
      <c r="E123" s="227"/>
      <c r="F123" s="180"/>
      <c r="G123" s="199" t="s">
        <v>271</v>
      </c>
      <c r="H123" s="182"/>
      <c r="I123" s="182"/>
      <c r="J123" s="182"/>
      <c r="K123" s="183"/>
      <c r="L123" s="182">
        <v>1</v>
      </c>
      <c r="M123" s="182">
        <v>1</v>
      </c>
      <c r="N123" s="182"/>
      <c r="O123" s="183" t="s">
        <v>95</v>
      </c>
      <c r="P123" s="183" t="s">
        <v>137</v>
      </c>
      <c r="Q123" s="183" t="s">
        <v>97</v>
      </c>
      <c r="R123" s="183">
        <v>4</v>
      </c>
      <c r="S123" s="183">
        <v>4</v>
      </c>
      <c r="T123" s="183">
        <v>3</v>
      </c>
      <c r="U123" s="183" t="s">
        <v>22</v>
      </c>
      <c r="V123" s="183"/>
      <c r="W123" s="183"/>
      <c r="X123" s="183"/>
      <c r="Y123" s="184">
        <f t="shared" si="48"/>
        <v>0.01</v>
      </c>
      <c r="Z123" s="184">
        <f>IF(ISBLANK(O123),,IF(O123=UPPER("IB"),8.63*200,16.3*100))</f>
        <v>1630</v>
      </c>
      <c r="AA123" s="185" t="s">
        <v>693</v>
      </c>
      <c r="AB123" s="185"/>
      <c r="AC123" s="185" t="s">
        <v>738</v>
      </c>
      <c r="AD123" s="649">
        <v>-0.1</v>
      </c>
      <c r="AE123" s="182" t="s">
        <v>739</v>
      </c>
      <c r="AF123" s="332">
        <v>-0.12</v>
      </c>
      <c r="AG123" s="182"/>
      <c r="AH123" s="182" t="s">
        <v>740</v>
      </c>
      <c r="AI123" s="182"/>
      <c r="AJ123" s="640"/>
      <c r="AK123" s="182"/>
      <c r="AL123" s="496">
        <f t="shared" ref="AL123:AL125" si="55">-0.02*Z123</f>
        <v>-32.6</v>
      </c>
      <c r="AM123" s="496">
        <f>AL123*R123</f>
        <v>-130.4</v>
      </c>
      <c r="AN123" s="626" t="s">
        <v>448</v>
      </c>
      <c r="AO123" s="182" t="s">
        <v>716</v>
      </c>
      <c r="AP123" s="182" t="s">
        <v>449</v>
      </c>
      <c r="AQ123" s="332" t="str">
        <f>UPPER(RIGHT(Journal_Live[[#This Row],[DURATION ]]))</f>
        <v>K</v>
      </c>
      <c r="AR123" s="182" t="s">
        <v>741</v>
      </c>
      <c r="AS123" s="189">
        <v>-0.08</v>
      </c>
      <c r="AT123" s="189">
        <f t="shared" si="51"/>
        <v>2.0000000000000004E-2</v>
      </c>
      <c r="AU123" s="187">
        <f>AV123*R123</f>
        <v>130.40000000000003</v>
      </c>
      <c r="AV123" s="190">
        <f t="shared" si="52"/>
        <v>32.600000000000009</v>
      </c>
      <c r="AW123" s="191" t="s">
        <v>96</v>
      </c>
      <c r="AX123" s="407" t="s">
        <v>742</v>
      </c>
      <c r="AY123" s="407" t="s">
        <v>743</v>
      </c>
      <c r="AZ123" s="407" t="s">
        <v>744</v>
      </c>
      <c r="BA123" s="407"/>
      <c r="BB123" s="407"/>
      <c r="BC123" s="407"/>
      <c r="BD123" s="407"/>
      <c r="BE123" s="407"/>
      <c r="BF123" s="422"/>
      <c r="BG123" s="391">
        <f>SUM($AV$4:AV123)</f>
        <v>871.72000000002674</v>
      </c>
      <c r="BH123" s="392">
        <f>SUM($AU$4:AU123)</f>
        <v>1540.8700000000267</v>
      </c>
      <c r="BI123" s="318"/>
      <c r="BJ123" s="318">
        <f>SUMIFS($AU124:AU$1388,$Q124:Q$1388,"F")</f>
        <v>14440.666666666668</v>
      </c>
      <c r="BK123" s="343">
        <f>SUMIFS($AU124:AU$1388,$P124:P$1388,"W")</f>
        <v>21010.141999999927</v>
      </c>
      <c r="BL123" s="343">
        <f>SUMIFS($AU124:AU$1388,$P124:P$1388,"W")</f>
        <v>21010.141999999927</v>
      </c>
      <c r="BM123" s="343">
        <f>SUMIFS($AU124:AU$134,$AQ124:AQ$134,"M")</f>
        <v>0</v>
      </c>
      <c r="BN123" s="343">
        <f>SUMIFS($AU124:AU$134,$AQ124:AQ$134,"M")</f>
        <v>0</v>
      </c>
      <c r="BO123" s="343">
        <f>SUMIFS($AU124:AU$134,$AQ124:AQ$134,"H")</f>
        <v>0</v>
      </c>
      <c r="BP123" s="343">
        <f>SUMIFS($AU126:AU$134,$AQ126:AQ$134,"D")</f>
        <v>0</v>
      </c>
      <c r="BQ123" s="343">
        <f>SUMIFS($AU124:AU$134,$Q124:Q$134,"O")</f>
        <v>0</v>
      </c>
      <c r="BR123" s="343">
        <f>SUMIFS($AU124:AU$134,$AA124:AA$134,"*")</f>
        <v>272.59999999999997</v>
      </c>
      <c r="BS123" s="343">
        <f>SUMIFS($AU124:AU$134,$AA124:AA$134,"*")</f>
        <v>272.59999999999997</v>
      </c>
      <c r="BT123" s="343">
        <f>SUMIFS($AU124:AU$134,$AB124:AB$134,"*")</f>
        <v>0</v>
      </c>
      <c r="BU123" s="343">
        <f>SUMIFS($AU124:AU$134,$AA124:AA$134,"*",$AB124:AB$134,"*")</f>
        <v>0</v>
      </c>
      <c r="BV123" s="343">
        <f>SUMIFS($AU124:AU$134,$AA124:AA$134,"*",$AB124:AB$134,"*")</f>
        <v>0</v>
      </c>
      <c r="BW123" s="343">
        <f>SUMIFS($AU124:AU$134,$AA124:AA$134,"*",$AC124:AC$134,"*")</f>
        <v>272.59999999999997</v>
      </c>
      <c r="BX123" s="343">
        <f>SUMIFS($AU124:AU$1388,$Q124:Q$1388,"F")</f>
        <v>14440.666666666668</v>
      </c>
      <c r="BY123" s="343">
        <f>SUMIFS($AU124:AU$1388,$Q124:Q$1388,"S")</f>
        <v>20944.241999999998</v>
      </c>
      <c r="BZ123" s="343">
        <f>SUMIFS($AU124:AU$1388,$Q124:Q$1388,"O")</f>
        <v>-1648.8579999997983</v>
      </c>
    </row>
    <row r="124" spans="1:78" ht="18" customHeight="1">
      <c r="A124" s="221" t="s">
        <v>674</v>
      </c>
      <c r="B124" s="177">
        <v>44910</v>
      </c>
      <c r="C124" s="178" t="s">
        <v>745</v>
      </c>
      <c r="D124" s="178" t="s">
        <v>93</v>
      </c>
      <c r="E124" s="227" t="s">
        <v>746</v>
      </c>
      <c r="F124" s="180" t="s">
        <v>747</v>
      </c>
      <c r="G124" s="249" t="s">
        <v>271</v>
      </c>
      <c r="H124" s="182"/>
      <c r="I124" s="182">
        <v>1</v>
      </c>
      <c r="J124" s="182"/>
      <c r="K124" s="183"/>
      <c r="L124" s="182">
        <v>1</v>
      </c>
      <c r="M124" s="182">
        <v>1</v>
      </c>
      <c r="N124" s="182"/>
      <c r="O124" s="183" t="s">
        <v>95</v>
      </c>
      <c r="P124" s="183" t="s">
        <v>137</v>
      </c>
      <c r="Q124" s="183" t="s">
        <v>97</v>
      </c>
      <c r="R124" s="183">
        <v>5</v>
      </c>
      <c r="S124" s="183">
        <v>5</v>
      </c>
      <c r="T124" s="183">
        <v>5</v>
      </c>
      <c r="U124" s="183" t="s">
        <v>22</v>
      </c>
      <c r="V124" s="183"/>
      <c r="W124" s="183"/>
      <c r="X124" s="183"/>
      <c r="Y124" s="184">
        <f t="shared" si="48"/>
        <v>0.01</v>
      </c>
      <c r="Z124" s="184">
        <f>IF(ISBLANK(O124),,IF(O124=UPPER("IB"),8.63*200,16*100))</f>
        <v>1600</v>
      </c>
      <c r="AA124" s="185" t="s">
        <v>748</v>
      </c>
      <c r="AB124" s="185"/>
      <c r="AC124" s="185" t="s">
        <v>749</v>
      </c>
      <c r="AD124" s="649">
        <v>-0.11</v>
      </c>
      <c r="AE124" s="182" t="s">
        <v>739</v>
      </c>
      <c r="AF124" s="332">
        <v>-0.13</v>
      </c>
      <c r="AG124" s="182"/>
      <c r="AH124" s="182" t="s">
        <v>750</v>
      </c>
      <c r="AI124" s="182"/>
      <c r="AJ124" s="640"/>
      <c r="AK124" s="182"/>
      <c r="AL124" s="496">
        <f t="shared" si="55"/>
        <v>-32</v>
      </c>
      <c r="AM124" s="496">
        <f>AL124*R124</f>
        <v>-160</v>
      </c>
      <c r="AN124" s="626" t="s">
        <v>448</v>
      </c>
      <c r="AO124" s="182" t="s">
        <v>716</v>
      </c>
      <c r="AP124" s="182" t="s">
        <v>751</v>
      </c>
      <c r="AQ124" s="332" t="str">
        <f>UPPER(RIGHT(Journal_Live[[#This Row],[DURATION ]]))</f>
        <v>D</v>
      </c>
      <c r="AR124" s="228">
        <v>44916.125</v>
      </c>
      <c r="AS124" s="189">
        <v>-0.08</v>
      </c>
      <c r="AT124" s="189">
        <f t="shared" si="51"/>
        <v>0.03</v>
      </c>
      <c r="AU124" s="187">
        <f>AV124*R124</f>
        <v>240</v>
      </c>
      <c r="AV124" s="190">
        <f t="shared" si="52"/>
        <v>48</v>
      </c>
      <c r="AW124" s="191" t="s">
        <v>96</v>
      </c>
      <c r="AX124" s="407" t="s">
        <v>742</v>
      </c>
      <c r="AY124" s="407" t="s">
        <v>743</v>
      </c>
      <c r="AZ124" s="407" t="s">
        <v>744</v>
      </c>
      <c r="BA124" s="407"/>
      <c r="BB124" s="407"/>
      <c r="BC124" s="407"/>
      <c r="BD124" s="407"/>
      <c r="BE124" s="407"/>
      <c r="BF124" s="422"/>
      <c r="BG124" s="391">
        <f>SUM($AV$4:AV124)</f>
        <v>919.72000000002674</v>
      </c>
      <c r="BH124" s="392">
        <f>SUM($AU$4:AU124)</f>
        <v>1780.8700000000267</v>
      </c>
      <c r="BI124" s="318"/>
      <c r="BJ124" s="318">
        <f>SUMIFS($AU125:AU$1388,$Q125:Q$1388,"F")</f>
        <v>14440.666666666668</v>
      </c>
      <c r="BK124" s="343">
        <f>SUMIFS($AU125:AU$1388,$P125:P$1388,"W")</f>
        <v>21010.141999999927</v>
      </c>
      <c r="BL124" s="343">
        <f>SUMIFS($AU125:AU$1388,$P125:P$1388,"W")</f>
        <v>21010.141999999927</v>
      </c>
      <c r="BM124" s="343">
        <f>SUMIFS($AU125:AU$134,$AQ125:AQ$134,"M")</f>
        <v>0</v>
      </c>
      <c r="BN124" s="343">
        <f>SUMIFS($AU125:AU$134,$AQ125:AQ$134,"M")</f>
        <v>0</v>
      </c>
      <c r="BO124" s="343">
        <f>SUMIFS($AU125:AU$134,$AQ125:AQ$134,"H")</f>
        <v>0</v>
      </c>
      <c r="BP124" s="343">
        <f>SUMIFS($AU127:AU$134,$AQ127:AQ$134,"D")</f>
        <v>0</v>
      </c>
      <c r="BQ124" s="343">
        <f>SUMIFS($AU125:AU$134,$Q125:Q$134,"O")</f>
        <v>0</v>
      </c>
      <c r="BR124" s="343">
        <f>SUMIFS($AU125:AU$134,$AA125:AA$134,"*")</f>
        <v>32.599999999999987</v>
      </c>
      <c r="BS124" s="343">
        <f>SUMIFS($AU125:AU$134,$AA125:AA$134,"*")</f>
        <v>32.599999999999987</v>
      </c>
      <c r="BT124" s="343">
        <f>SUMIFS($AU125:AU$134,$AB125:AB$134,"*")</f>
        <v>0</v>
      </c>
      <c r="BU124" s="343">
        <f>SUMIFS($AU125:AU$134,$AA125:AA$134,"*",$AB125:AB$134,"*")</f>
        <v>0</v>
      </c>
      <c r="BV124" s="343">
        <f>SUMIFS($AU125:AU$134,$AA125:AA$134,"*",$AB125:AB$134,"*")</f>
        <v>0</v>
      </c>
      <c r="BW124" s="343">
        <f>SUMIFS($AU125:AU$134,$AA125:AA$134,"*",$AC125:AC$134,"*")</f>
        <v>32.599999999999987</v>
      </c>
      <c r="BX124" s="343">
        <f>SUMIFS($AU125:AU$1388,$Q125:Q$1388,"F")</f>
        <v>14440.666666666668</v>
      </c>
      <c r="BY124" s="343">
        <f>SUMIFS($AU125:AU$1388,$Q125:Q$1388,"S")</f>
        <v>20704.241999999998</v>
      </c>
      <c r="BZ124" s="343">
        <f>SUMIFS($AU125:AU$1388,$Q125:Q$1388,"O")</f>
        <v>-1648.8579999997983</v>
      </c>
    </row>
    <row r="125" spans="1:78" ht="18" customHeight="1">
      <c r="A125" s="221" t="s">
        <v>674</v>
      </c>
      <c r="B125" s="177">
        <v>44910</v>
      </c>
      <c r="C125" s="194">
        <v>0.25</v>
      </c>
      <c r="D125" s="178" t="s">
        <v>93</v>
      </c>
      <c r="E125" s="227" t="s">
        <v>752</v>
      </c>
      <c r="F125" s="180"/>
      <c r="G125" s="199" t="s">
        <v>753</v>
      </c>
      <c r="H125" s="182">
        <v>1</v>
      </c>
      <c r="I125" s="182"/>
      <c r="J125" s="182"/>
      <c r="K125" s="183"/>
      <c r="L125" s="182"/>
      <c r="M125" s="182"/>
      <c r="N125" s="182"/>
      <c r="O125" s="183" t="s">
        <v>95</v>
      </c>
      <c r="P125" s="183" t="s">
        <v>137</v>
      </c>
      <c r="Q125" s="183" t="s">
        <v>97</v>
      </c>
      <c r="R125" s="183">
        <v>2</v>
      </c>
      <c r="S125" s="183">
        <v>2</v>
      </c>
      <c r="T125" s="183">
        <v>2</v>
      </c>
      <c r="U125" s="183" t="s">
        <v>22</v>
      </c>
      <c r="V125" s="183"/>
      <c r="W125" s="183"/>
      <c r="X125" s="183"/>
      <c r="Y125" s="184">
        <f t="shared" si="48"/>
        <v>0.01</v>
      </c>
      <c r="Z125" s="184">
        <f t="shared" ref="Z125:Z139" si="56">IF(ISBLANK(O125),,IF(O125=UPPER("IB"),8.63*200,16.3*100))</f>
        <v>1630</v>
      </c>
      <c r="AA125" s="185" t="s">
        <v>285</v>
      </c>
      <c r="AB125" s="185"/>
      <c r="AC125" s="185" t="s">
        <v>713</v>
      </c>
      <c r="AD125" s="649">
        <v>-0.09</v>
      </c>
      <c r="AE125" s="182"/>
      <c r="AF125" s="332"/>
      <c r="AG125" s="182"/>
      <c r="AH125" s="182">
        <v>-7.0000000000000007E-2</v>
      </c>
      <c r="AI125" s="182"/>
      <c r="AJ125" s="640"/>
      <c r="AK125" s="182"/>
      <c r="AL125" s="496">
        <f t="shared" si="55"/>
        <v>-32.6</v>
      </c>
      <c r="AM125" s="496">
        <f>AL125*R125</f>
        <v>-65.2</v>
      </c>
      <c r="AN125" s="626" t="s">
        <v>448</v>
      </c>
      <c r="AO125" s="182"/>
      <c r="AP125" s="182" t="s">
        <v>754</v>
      </c>
      <c r="AQ125" s="332" t="str">
        <f>UPPER(RIGHT(Journal_Live[[#This Row],[DURATION ]]))</f>
        <v>K</v>
      </c>
      <c r="AR125" s="182"/>
      <c r="AS125" s="189">
        <v>-0.08</v>
      </c>
      <c r="AT125" s="189">
        <f t="shared" si="51"/>
        <v>9.999999999999995E-3</v>
      </c>
      <c r="AU125" s="187">
        <f>AV125*R125</f>
        <v>32.599999999999987</v>
      </c>
      <c r="AV125" s="190">
        <f t="shared" si="52"/>
        <v>16.299999999999994</v>
      </c>
      <c r="AW125" s="191" t="s">
        <v>96</v>
      </c>
      <c r="AX125" s="407"/>
      <c r="AY125" s="407"/>
      <c r="AZ125" s="407"/>
      <c r="BA125" s="407"/>
      <c r="BB125" s="407"/>
      <c r="BC125" s="407"/>
      <c r="BD125" s="407"/>
      <c r="BE125" s="407"/>
      <c r="BF125" s="422"/>
      <c r="BG125" s="391">
        <f>SUM($AV$4:AV125)</f>
        <v>936.0200000000267</v>
      </c>
      <c r="BH125" s="392">
        <f>SUM($AU$4:AU125)</f>
        <v>1813.4700000000266</v>
      </c>
      <c r="BI125" s="318"/>
      <c r="BJ125" s="318">
        <f>SUMIFS($AU126:AU$1388,$Q126:Q$1388,"F")</f>
        <v>14440.666666666668</v>
      </c>
      <c r="BK125" s="343">
        <f>SUMIFS($AU126:AU$1388,$P126:P$1388,"W")</f>
        <v>21010.141999999927</v>
      </c>
      <c r="BL125" s="343">
        <f>SUMIFS($AU126:AU$1388,$P126:P$1388,"W")</f>
        <v>21010.141999999927</v>
      </c>
      <c r="BM125" s="343">
        <f>SUMIFS($AU126:AU$134,$AQ126:AQ$134,"M")</f>
        <v>0</v>
      </c>
      <c r="BN125" s="343">
        <f>SUMIFS($AU126:AU$134,$AQ126:AQ$134,"M")</f>
        <v>0</v>
      </c>
      <c r="BO125" s="343">
        <f>SUMIFS($AU126:AU$134,$AQ126:AQ$134,"H")</f>
        <v>0</v>
      </c>
      <c r="BP125" s="343">
        <f>SUMIFS($AU128:AU$134,$AQ128:AQ$134,"D")</f>
        <v>0</v>
      </c>
      <c r="BQ125" s="343">
        <f>SUMIFS($AU126:AU$134,$Q126:Q$134,"O")</f>
        <v>0</v>
      </c>
      <c r="BR125" s="343">
        <f>SUMIFS($AU126:AU$134,$AA126:AA$134,"*")</f>
        <v>0</v>
      </c>
      <c r="BS125" s="343">
        <f>SUMIFS($AU126:AU$134,$AA126:AA$134,"*")</f>
        <v>0</v>
      </c>
      <c r="BT125" s="343">
        <f>SUMIFS($AU126:AU$134,$AB126:AB$134,"*")</f>
        <v>0</v>
      </c>
      <c r="BU125" s="343">
        <f>SUMIFS($AU126:AU$134,$AA126:AA$134,"*",$AB126:AB$134,"*")</f>
        <v>0</v>
      </c>
      <c r="BV125" s="343">
        <f>SUMIFS($AU126:AU$134,$AA126:AA$134,"*",$AB126:AB$134,"*")</f>
        <v>0</v>
      </c>
      <c r="BW125" s="343">
        <f>SUMIFS($AU126:AU$134,$AA126:AA$134,"*",$AC126:AC$134,"*")</f>
        <v>0</v>
      </c>
      <c r="BX125" s="343">
        <f>SUMIFS($AU126:AU$1388,$Q126:Q$1388,"F")</f>
        <v>14440.666666666668</v>
      </c>
      <c r="BY125" s="343">
        <f>SUMIFS($AU126:AU$1388,$Q126:Q$1388,"S")</f>
        <v>20671.642</v>
      </c>
      <c r="BZ125" s="343">
        <f>SUMIFS($AU126:AU$1388,$Q126:Q$1388,"O")</f>
        <v>-1648.8579999997983</v>
      </c>
    </row>
    <row r="126" spans="1:78" ht="18" customHeight="1">
      <c r="A126" s="221" t="s">
        <v>674</v>
      </c>
      <c r="B126" s="177"/>
      <c r="C126" s="178"/>
      <c r="D126" s="178"/>
      <c r="E126" s="227" t="s">
        <v>755</v>
      </c>
      <c r="F126" s="180"/>
      <c r="G126" s="181"/>
      <c r="H126" s="182"/>
      <c r="I126" s="182">
        <v>1</v>
      </c>
      <c r="J126" s="182"/>
      <c r="K126" s="183"/>
      <c r="L126" s="182"/>
      <c r="M126" s="182"/>
      <c r="N126" s="182"/>
      <c r="O126" s="183"/>
      <c r="P126" s="183"/>
      <c r="Q126" s="183"/>
      <c r="R126" s="183"/>
      <c r="S126" s="183"/>
      <c r="T126" s="183"/>
      <c r="U126" s="183"/>
      <c r="V126" s="183"/>
      <c r="W126" s="183"/>
      <c r="X126" s="183"/>
      <c r="Y126" s="184">
        <f t="shared" si="48"/>
        <v>0</v>
      </c>
      <c r="Z126" s="184">
        <f t="shared" si="56"/>
        <v>0</v>
      </c>
      <c r="AA126" s="185"/>
      <c r="AB126" s="185"/>
      <c r="AC126" s="185"/>
      <c r="AD126" s="649"/>
      <c r="AE126" s="182"/>
      <c r="AF126" s="332"/>
      <c r="AG126" s="182"/>
      <c r="AH126" s="182"/>
      <c r="AI126" s="182"/>
      <c r="AJ126" s="640"/>
      <c r="AK126" s="182"/>
      <c r="AL126" s="496"/>
      <c r="AM126" s="497"/>
      <c r="AN126" s="626"/>
      <c r="AO126" s="182"/>
      <c r="AP126" s="182"/>
      <c r="AQ126" s="332" t="str">
        <f>UPPER(RIGHT(Journal_Live[[#This Row],[DURATION ]]))</f>
        <v/>
      </c>
      <c r="AR126" s="182"/>
      <c r="AS126" s="189"/>
      <c r="AT126" s="182"/>
      <c r="AU126" s="187"/>
      <c r="AV126" s="190"/>
      <c r="AW126" s="191"/>
      <c r="AX126" s="407"/>
      <c r="AY126" s="407"/>
      <c r="AZ126" s="407"/>
      <c r="BA126" s="407"/>
      <c r="BB126" s="407"/>
      <c r="BC126" s="407"/>
      <c r="BD126" s="407"/>
      <c r="BE126" s="407"/>
      <c r="BF126" s="422"/>
      <c r="BG126" s="391">
        <f>SUM($AV$4:AV126)</f>
        <v>936.0200000000267</v>
      </c>
      <c r="BH126" s="392">
        <f>SUM($AU$4:AU126)</f>
        <v>1813.4700000000266</v>
      </c>
      <c r="BI126" s="318"/>
      <c r="BJ126" s="318">
        <f>SUMIFS($AU127:AU$1388,$Q127:Q$1388,"F")</f>
        <v>14440.666666666668</v>
      </c>
      <c r="BK126" s="343">
        <f>SUMIFS($AU127:AU$1388,$P127:P$1388,"W")</f>
        <v>21010.141999999927</v>
      </c>
      <c r="BL126" s="343">
        <f>SUMIFS($AU127:AU$1388,$P127:P$1388,"W")</f>
        <v>21010.141999999927</v>
      </c>
      <c r="BM126" s="343">
        <f>SUMIFS($AU127:AU$134,$AQ127:AQ$134,"M")</f>
        <v>0</v>
      </c>
      <c r="BN126" s="343">
        <f>SUMIFS($AU127:AU$134,$AQ127:AQ$134,"M")</f>
        <v>0</v>
      </c>
      <c r="BO126" s="343">
        <f>SUMIFS($AU127:AU$134,$AQ127:AQ$134,"H")</f>
        <v>0</v>
      </c>
      <c r="BP126" s="343">
        <f>SUMIFS($AU129:AU$134,$AQ129:AQ$134,"D")</f>
        <v>0</v>
      </c>
      <c r="BQ126" s="343">
        <f>SUMIFS($AU127:AU$134,$Q127:Q$134,"O")</f>
        <v>0</v>
      </c>
      <c r="BR126" s="343">
        <f>SUMIFS($AU127:AU$134,$AA127:AA$134,"*")</f>
        <v>0</v>
      </c>
      <c r="BS126" s="343">
        <f>SUMIFS($AU127:AU$134,$AA127:AA$134,"*")</f>
        <v>0</v>
      </c>
      <c r="BT126" s="343">
        <f>SUMIFS($AU127:AU$134,$AB127:AB$134,"*")</f>
        <v>0</v>
      </c>
      <c r="BU126" s="343">
        <f>SUMIFS($AU127:AU$134,$AA127:AA$134,"*",$AB127:AB$134,"*")</f>
        <v>0</v>
      </c>
      <c r="BV126" s="343">
        <f>SUMIFS($AU127:AU$134,$AA127:AA$134,"*",$AB127:AB$134,"*")</f>
        <v>0</v>
      </c>
      <c r="BW126" s="343">
        <f>SUMIFS($AU127:AU$134,$AA127:AA$134,"*",$AC127:AC$134,"*")</f>
        <v>0</v>
      </c>
      <c r="BX126" s="343">
        <f>SUMIFS($AU127:AU$1388,$Q127:Q$1388,"F")</f>
        <v>14440.666666666668</v>
      </c>
      <c r="BY126" s="343">
        <f>SUMIFS($AU127:AU$1388,$Q127:Q$1388,"S")</f>
        <v>20671.642</v>
      </c>
      <c r="BZ126" s="343">
        <f>SUMIFS($AU127:AU$1388,$Q127:Q$1388,"O")</f>
        <v>-1648.8579999997983</v>
      </c>
    </row>
    <row r="127" spans="1:78" ht="18" customHeight="1">
      <c r="A127" s="221" t="s">
        <v>674</v>
      </c>
      <c r="B127" s="177">
        <v>44910</v>
      </c>
      <c r="C127" s="178" t="s">
        <v>756</v>
      </c>
      <c r="D127" s="178" t="s">
        <v>93</v>
      </c>
      <c r="E127" s="227"/>
      <c r="F127" s="180"/>
      <c r="G127" s="181" t="s">
        <v>757</v>
      </c>
      <c r="H127" s="182"/>
      <c r="I127" s="182"/>
      <c r="J127" s="182"/>
      <c r="K127" s="183"/>
      <c r="L127" s="182">
        <v>1</v>
      </c>
      <c r="M127" s="182">
        <v>1</v>
      </c>
      <c r="N127" s="182"/>
      <c r="O127" s="183" t="s">
        <v>95</v>
      </c>
      <c r="P127" s="183" t="s">
        <v>96</v>
      </c>
      <c r="Q127" s="183" t="s">
        <v>97</v>
      </c>
      <c r="R127" s="183">
        <v>1</v>
      </c>
      <c r="S127" s="183">
        <v>1</v>
      </c>
      <c r="T127" s="183">
        <v>1</v>
      </c>
      <c r="U127" s="183" t="s">
        <v>97</v>
      </c>
      <c r="V127" s="183"/>
      <c r="W127" s="183"/>
      <c r="X127" s="183"/>
      <c r="Y127" s="184">
        <f t="shared" si="48"/>
        <v>0.01</v>
      </c>
      <c r="Z127" s="184">
        <f t="shared" si="56"/>
        <v>1630</v>
      </c>
      <c r="AA127" s="185" t="s">
        <v>138</v>
      </c>
      <c r="AB127" s="185"/>
      <c r="AC127" s="185" t="s">
        <v>758</v>
      </c>
      <c r="AD127" s="649">
        <v>0.11</v>
      </c>
      <c r="AE127" s="182"/>
      <c r="AF127" s="332"/>
      <c r="AG127" s="182"/>
      <c r="AH127" s="182" t="s">
        <v>759</v>
      </c>
      <c r="AI127" s="182"/>
      <c r="AJ127" s="640"/>
      <c r="AK127" s="182"/>
      <c r="AL127" s="496">
        <f>-0.02*Z127</f>
        <v>-32.6</v>
      </c>
      <c r="AM127" s="496">
        <f>AL127*R127</f>
        <v>-32.6</v>
      </c>
      <c r="AN127" s="626" t="s">
        <v>111</v>
      </c>
      <c r="AO127" s="182"/>
      <c r="AP127" s="182"/>
      <c r="AQ127" s="332" t="str">
        <f>UPPER(RIGHT(Journal_Live[[#This Row],[DURATION ]]))</f>
        <v/>
      </c>
      <c r="AR127" s="182" t="s">
        <v>760</v>
      </c>
      <c r="AS127" s="189">
        <v>0.11</v>
      </c>
      <c r="AT127" s="189">
        <f>IF(ISBLANK(AS127),,IF(U127="S",AD127-AS127,AS127-AD127))</f>
        <v>0</v>
      </c>
      <c r="AU127" s="187">
        <f>AV127*R127</f>
        <v>0</v>
      </c>
      <c r="AV127" s="190">
        <f>IF(ISBLANK(AS127),,(AT127*Z127))</f>
        <v>0</v>
      </c>
      <c r="AW127" s="191" t="s">
        <v>115</v>
      </c>
      <c r="AX127" s="407" t="s">
        <v>761</v>
      </c>
      <c r="AY127" s="407" t="s">
        <v>762</v>
      </c>
      <c r="AZ127" s="407" t="s">
        <v>763</v>
      </c>
      <c r="BA127" s="407"/>
      <c r="BB127" s="407"/>
      <c r="BC127" s="407"/>
      <c r="BD127" s="407"/>
      <c r="BE127" s="407"/>
      <c r="BF127" s="422"/>
      <c r="BG127" s="391">
        <f>SUM($AV$4:AV127)</f>
        <v>936.0200000000267</v>
      </c>
      <c r="BH127" s="392">
        <f>SUM($AU$4:AU127)</f>
        <v>1813.4700000000266</v>
      </c>
      <c r="BI127" s="318"/>
      <c r="BJ127" s="318">
        <f>SUMIFS($AU128:AU$1388,$Q128:Q$1388,"F")</f>
        <v>14440.666666666668</v>
      </c>
      <c r="BK127" s="343">
        <f>SUMIFS($AU128:AU$1388,$P128:P$1388,"W")</f>
        <v>21010.141999999927</v>
      </c>
      <c r="BL127" s="343">
        <f>SUMIFS($AU128:AU$1388,$P128:P$1388,"W")</f>
        <v>21010.141999999927</v>
      </c>
      <c r="BM127" s="343">
        <f>SUMIFS($AU128:AU$134,$AQ128:AQ$134,"M")</f>
        <v>0</v>
      </c>
      <c r="BN127" s="343">
        <f>SUMIFS($AU128:AU$134,$AQ128:AQ$134,"M")</f>
        <v>0</v>
      </c>
      <c r="BO127" s="343">
        <f>SUMIFS($AU128:AU$134,$AQ128:AQ$134,"H")</f>
        <v>0</v>
      </c>
      <c r="BP127" s="343">
        <f>SUMIFS($AU130:AU$134,$AQ130:AQ$134,"D")</f>
        <v>0</v>
      </c>
      <c r="BQ127" s="343">
        <f>SUMIFS($AU128:AU$134,$Q128:Q$134,"O")</f>
        <v>0</v>
      </c>
      <c r="BR127" s="343">
        <f>SUMIFS($AU128:AU$134,$AA128:AA$134,"*")</f>
        <v>0</v>
      </c>
      <c r="BS127" s="343">
        <f>SUMIFS($AU128:AU$134,$AA128:AA$134,"*")</f>
        <v>0</v>
      </c>
      <c r="BT127" s="343">
        <f>SUMIFS($AU128:AU$134,$AB128:AB$134,"*")</f>
        <v>0</v>
      </c>
      <c r="BU127" s="343">
        <f>SUMIFS($AU128:AU$134,$AA128:AA$134,"*",$AB128:AB$134,"*")</f>
        <v>0</v>
      </c>
      <c r="BV127" s="343">
        <f>SUMIFS($AU128:AU$134,$AA128:AA$134,"*",$AB128:AB$134,"*")</f>
        <v>0</v>
      </c>
      <c r="BW127" s="343">
        <f>SUMIFS($AU128:AU$134,$AA128:AA$134,"*",$AC128:AC$134,"*")</f>
        <v>0</v>
      </c>
      <c r="BX127" s="343">
        <f>SUMIFS($AU128:AU$1388,$Q128:Q$1388,"F")</f>
        <v>14440.666666666668</v>
      </c>
      <c r="BY127" s="343">
        <f>SUMIFS($AU128:AU$1388,$Q128:Q$1388,"S")</f>
        <v>20671.642</v>
      </c>
      <c r="BZ127" s="343">
        <f>SUMIFS($AU128:AU$1388,$Q128:Q$1388,"O")</f>
        <v>-1648.8579999997983</v>
      </c>
    </row>
    <row r="128" spans="1:78" ht="18" customHeight="1">
      <c r="A128" s="221" t="s">
        <v>674</v>
      </c>
      <c r="B128" s="177">
        <v>44915</v>
      </c>
      <c r="C128" s="178" t="s">
        <v>764</v>
      </c>
      <c r="D128" s="178" t="s">
        <v>146</v>
      </c>
      <c r="E128" s="250" t="s">
        <v>720</v>
      </c>
      <c r="F128" s="180" t="s">
        <v>765</v>
      </c>
      <c r="G128" s="181" t="s">
        <v>365</v>
      </c>
      <c r="H128" s="182"/>
      <c r="I128" s="182"/>
      <c r="J128" s="182"/>
      <c r="K128" s="183"/>
      <c r="L128" s="182">
        <v>1</v>
      </c>
      <c r="M128" s="182"/>
      <c r="N128" s="182"/>
      <c r="O128" s="183" t="s">
        <v>95</v>
      </c>
      <c r="P128" s="183" t="s">
        <v>96</v>
      </c>
      <c r="Q128" s="183" t="s">
        <v>97</v>
      </c>
      <c r="R128" s="183">
        <v>3</v>
      </c>
      <c r="S128" s="183">
        <v>3</v>
      </c>
      <c r="T128" s="183">
        <v>3</v>
      </c>
      <c r="U128" s="183" t="s">
        <v>97</v>
      </c>
      <c r="V128" s="183"/>
      <c r="W128" s="183"/>
      <c r="X128" s="183"/>
      <c r="Y128" s="184">
        <f t="shared" si="48"/>
        <v>0.01</v>
      </c>
      <c r="Z128" s="184">
        <f t="shared" si="56"/>
        <v>1630</v>
      </c>
      <c r="AA128" s="185" t="s">
        <v>766</v>
      </c>
      <c r="AB128" s="185"/>
      <c r="AC128" s="185" t="s">
        <v>767</v>
      </c>
      <c r="AD128" s="649">
        <v>-0.03</v>
      </c>
      <c r="AE128" s="182"/>
      <c r="AF128" s="332">
        <v>1</v>
      </c>
      <c r="AG128" s="182"/>
      <c r="AH128" s="182" t="s">
        <v>768</v>
      </c>
      <c r="AI128" s="182" t="s">
        <v>769</v>
      </c>
      <c r="AJ128" s="640"/>
      <c r="AK128" s="182"/>
      <c r="AL128" s="496">
        <f>-0.04*Z128</f>
        <v>-65.2</v>
      </c>
      <c r="AM128" s="496">
        <f>AL128*R128</f>
        <v>-195.60000000000002</v>
      </c>
      <c r="AN128" s="626" t="s">
        <v>589</v>
      </c>
      <c r="AO128" s="182"/>
      <c r="AP128" s="182" t="s">
        <v>770</v>
      </c>
      <c r="AQ128" s="332" t="str">
        <f>UPPER(RIGHT(Journal_Live[[#This Row],[DURATION ]]))</f>
        <v>D</v>
      </c>
      <c r="AR128" s="182" t="s">
        <v>771</v>
      </c>
      <c r="AS128" s="189">
        <v>-0.03</v>
      </c>
      <c r="AT128" s="189">
        <f>IF(ISBLANK(AS128),,IF(U128="S",AD128-AS128,AS128-AD128))</f>
        <v>0</v>
      </c>
      <c r="AU128" s="187">
        <f>AV128*R128</f>
        <v>0</v>
      </c>
      <c r="AV128" s="190">
        <f>IF(ISBLANK(AS128),,(AT128*Z128))</f>
        <v>0</v>
      </c>
      <c r="AW128" s="191" t="s">
        <v>115</v>
      </c>
      <c r="AX128" s="407" t="s">
        <v>772</v>
      </c>
      <c r="AY128" s="407"/>
      <c r="AZ128" s="407"/>
      <c r="BA128" s="407"/>
      <c r="BB128" s="407"/>
      <c r="BC128" s="407"/>
      <c r="BD128" s="407"/>
      <c r="BE128" s="407"/>
      <c r="BF128" s="422"/>
      <c r="BG128" s="391">
        <f>SUM($AV$4:AV128)</f>
        <v>936.0200000000267</v>
      </c>
      <c r="BH128" s="392">
        <f>SUM($AU$4:AU128)</f>
        <v>1813.4700000000266</v>
      </c>
      <c r="BI128" s="318"/>
      <c r="BJ128" s="318">
        <f>SUMIFS($AU129:AU$1388,$Q129:Q$1388,"F")</f>
        <v>14440.666666666668</v>
      </c>
      <c r="BK128" s="343">
        <f>SUMIFS($AU129:AU$1388,$P129:P$1388,"W")</f>
        <v>21010.141999999927</v>
      </c>
      <c r="BL128" s="343">
        <f>SUMIFS($AU129:AU$1388,$P129:P$1388,"W")</f>
        <v>21010.141999999927</v>
      </c>
      <c r="BM128" s="343">
        <f>SUMIFS($AU129:AU$134,$AQ129:AQ$134,"M")</f>
        <v>0</v>
      </c>
      <c r="BN128" s="343">
        <f>SUMIFS($AU129:AU$134,$AQ129:AQ$134,"M")</f>
        <v>0</v>
      </c>
      <c r="BO128" s="343">
        <f>SUMIFS($AU129:AU$134,$AQ129:AQ$134,"H")</f>
        <v>0</v>
      </c>
      <c r="BP128" s="343">
        <f>SUMIFS($AU131:AU$134,$AQ131:AQ$134,"D")</f>
        <v>0</v>
      </c>
      <c r="BQ128" s="343">
        <f>SUMIFS($AU129:AU$134,$Q129:Q$134,"O")</f>
        <v>0</v>
      </c>
      <c r="BR128" s="343">
        <f>SUMIFS($AU129:AU$134,$AA129:AA$134,"*")</f>
        <v>0</v>
      </c>
      <c r="BS128" s="343">
        <f>SUMIFS($AU129:AU$134,$AA129:AA$134,"*")</f>
        <v>0</v>
      </c>
      <c r="BT128" s="343">
        <f>SUMIFS($AU129:AU$134,$AB129:AB$134,"*")</f>
        <v>0</v>
      </c>
      <c r="BU128" s="343">
        <f>SUMIFS($AU129:AU$134,$AA129:AA$134,"*",$AB129:AB$134,"*")</f>
        <v>0</v>
      </c>
      <c r="BV128" s="343">
        <f>SUMIFS($AU129:AU$134,$AA129:AA$134,"*",$AB129:AB$134,"*")</f>
        <v>0</v>
      </c>
      <c r="BW128" s="343">
        <f>SUMIFS($AU129:AU$134,$AA129:AA$134,"*",$AC129:AC$134,"*")</f>
        <v>0</v>
      </c>
      <c r="BX128" s="343">
        <f>SUMIFS($AU129:AU$1388,$Q129:Q$1388,"F")</f>
        <v>14440.666666666668</v>
      </c>
      <c r="BY128" s="343">
        <f>SUMIFS($AU129:AU$1388,$Q129:Q$1388,"S")</f>
        <v>20671.642</v>
      </c>
      <c r="BZ128" s="343">
        <f>SUMIFS($AU129:AU$1388,$Q129:Q$1388,"O")</f>
        <v>-1648.8579999997983</v>
      </c>
    </row>
    <row r="129" spans="1:78" ht="18" customHeight="1">
      <c r="A129" s="221" t="s">
        <v>674</v>
      </c>
      <c r="B129" s="177"/>
      <c r="C129" s="178"/>
      <c r="D129" s="178"/>
      <c r="E129" s="227"/>
      <c r="F129" s="180"/>
      <c r="G129" s="181"/>
      <c r="H129" s="182"/>
      <c r="I129" s="182"/>
      <c r="J129" s="182"/>
      <c r="K129" s="183"/>
      <c r="L129" s="182"/>
      <c r="M129" s="182"/>
      <c r="N129" s="182"/>
      <c r="O129" s="183"/>
      <c r="P129" s="183"/>
      <c r="Q129" s="183"/>
      <c r="R129" s="183"/>
      <c r="S129" s="183"/>
      <c r="T129" s="183"/>
      <c r="U129" s="183"/>
      <c r="V129" s="183"/>
      <c r="W129" s="183"/>
      <c r="X129" s="183"/>
      <c r="Y129" s="184">
        <f t="shared" si="48"/>
        <v>0</v>
      </c>
      <c r="Z129" s="184">
        <f t="shared" si="56"/>
        <v>0</v>
      </c>
      <c r="AA129" s="185"/>
      <c r="AB129" s="185"/>
      <c r="AC129" s="185"/>
      <c r="AD129" s="649"/>
      <c r="AE129" s="182"/>
      <c r="AF129" s="332"/>
      <c r="AG129" s="182"/>
      <c r="AH129" s="182"/>
      <c r="AI129" s="182"/>
      <c r="AJ129" s="640"/>
      <c r="AK129" s="182"/>
      <c r="AL129" s="496"/>
      <c r="AM129" s="497"/>
      <c r="AN129" s="626"/>
      <c r="AO129" s="182"/>
      <c r="AP129" s="182"/>
      <c r="AQ129" s="332" t="str">
        <f>UPPER(RIGHT(Journal_Live[[#This Row],[DURATION ]]))</f>
        <v/>
      </c>
      <c r="AR129" s="182"/>
      <c r="AS129" s="189"/>
      <c r="AT129" s="182"/>
      <c r="AU129" s="187"/>
      <c r="AV129" s="190"/>
      <c r="AW129" s="191"/>
      <c r="AX129" s="407" t="s">
        <v>773</v>
      </c>
      <c r="AY129" s="407" t="s">
        <v>774</v>
      </c>
      <c r="AZ129" s="407"/>
      <c r="BA129" s="407"/>
      <c r="BB129" s="407"/>
      <c r="BC129" s="407"/>
      <c r="BD129" s="407"/>
      <c r="BE129" s="407"/>
      <c r="BF129" s="422"/>
      <c r="BG129" s="391">
        <f>SUM($AV$4:AV129)</f>
        <v>936.0200000000267</v>
      </c>
      <c r="BH129" s="392">
        <f>SUM($AU$4:AU129)</f>
        <v>1813.4700000000266</v>
      </c>
      <c r="BI129" s="318"/>
      <c r="BJ129" s="318">
        <f>SUMIFS($AU130:AU$1388,$Q130:Q$1388,"F")</f>
        <v>14440.666666666668</v>
      </c>
      <c r="BK129" s="343">
        <f>SUMIFS($AU130:AU$1388,$P130:P$1388,"W")</f>
        <v>21010.141999999927</v>
      </c>
      <c r="BL129" s="343">
        <f>SUMIFS($AU130:AU$1388,$P130:P$1388,"W")</f>
        <v>21010.141999999927</v>
      </c>
      <c r="BM129" s="343">
        <f>SUMIFS($AU130:AU$134,$AQ130:AQ$134,"M")</f>
        <v>0</v>
      </c>
      <c r="BN129" s="343">
        <f>SUMIFS($AU130:AU$134,$AQ130:AQ$134,"M")</f>
        <v>0</v>
      </c>
      <c r="BO129" s="343">
        <f>SUMIFS($AU130:AU$134,$AQ130:AQ$134,"H")</f>
        <v>0</v>
      </c>
      <c r="BP129" s="343">
        <f>SUMIFS($AU132:AU$134,$AQ132:AQ$134,"D")</f>
        <v>0</v>
      </c>
      <c r="BQ129" s="343">
        <f>SUMIFS($AU130:AU$134,$Q130:Q$134,"O")</f>
        <v>0</v>
      </c>
      <c r="BR129" s="343">
        <f>SUMIFS($AU130:AU$134,$AA130:AA$134,"*")</f>
        <v>0</v>
      </c>
      <c r="BS129" s="343">
        <f>SUMIFS($AU130:AU$134,$AA130:AA$134,"*")</f>
        <v>0</v>
      </c>
      <c r="BT129" s="343">
        <f>SUMIFS($AU130:AU$134,$AB130:AB$134,"*")</f>
        <v>0</v>
      </c>
      <c r="BU129" s="343">
        <f>SUMIFS($AU130:AU$134,$AA130:AA$134,"*",$AB130:AB$134,"*")</f>
        <v>0</v>
      </c>
      <c r="BV129" s="343">
        <f>SUMIFS($AU130:AU$134,$AA130:AA$134,"*",$AB130:AB$134,"*")</f>
        <v>0</v>
      </c>
      <c r="BW129" s="343">
        <f>SUMIFS($AU130:AU$134,$AA130:AA$134,"*",$AC130:AC$134,"*")</f>
        <v>0</v>
      </c>
      <c r="BX129" s="343">
        <f>SUMIFS($AU130:AU$1388,$Q130:Q$1388,"F")</f>
        <v>14440.666666666668</v>
      </c>
      <c r="BY129" s="343">
        <f>SUMIFS($AU130:AU$1388,$Q130:Q$1388,"S")</f>
        <v>20671.642</v>
      </c>
      <c r="BZ129" s="343">
        <f>SUMIFS($AU130:AU$1388,$Q130:Q$1388,"O")</f>
        <v>-1648.8579999997983</v>
      </c>
    </row>
    <row r="130" spans="1:78" ht="18" customHeight="1">
      <c r="A130" s="221" t="s">
        <v>674</v>
      </c>
      <c r="B130" s="200"/>
      <c r="C130" s="201"/>
      <c r="D130" s="201"/>
      <c r="E130" s="247"/>
      <c r="F130" s="203"/>
      <c r="G130" s="204"/>
      <c r="H130" s="205"/>
      <c r="I130" s="205"/>
      <c r="J130" s="205"/>
      <c r="K130" s="206"/>
      <c r="L130" s="205"/>
      <c r="M130" s="205"/>
      <c r="N130" s="205"/>
      <c r="O130" s="206"/>
      <c r="P130" s="206"/>
      <c r="Q130" s="206"/>
      <c r="R130" s="206"/>
      <c r="S130" s="206"/>
      <c r="T130" s="206"/>
      <c r="U130" s="206"/>
      <c r="V130" s="206"/>
      <c r="W130" s="206"/>
      <c r="X130" s="206"/>
      <c r="Y130" s="207">
        <f t="shared" si="48"/>
        <v>0</v>
      </c>
      <c r="Z130" s="207">
        <f t="shared" si="56"/>
        <v>0</v>
      </c>
      <c r="AA130" s="208"/>
      <c r="AB130" s="208"/>
      <c r="AC130" s="208"/>
      <c r="AD130" s="650"/>
      <c r="AE130" s="205"/>
      <c r="AF130" s="333"/>
      <c r="AG130" s="205"/>
      <c r="AH130" s="205"/>
      <c r="AI130" s="205"/>
      <c r="AJ130" s="641"/>
      <c r="AK130" s="205"/>
      <c r="AL130" s="498"/>
      <c r="AM130" s="499"/>
      <c r="AN130" s="627"/>
      <c r="AO130" s="205"/>
      <c r="AP130" s="205"/>
      <c r="AQ130" s="333" t="str">
        <f>UPPER(RIGHT(Journal_Live[[#This Row],[DURATION ]]))</f>
        <v/>
      </c>
      <c r="AR130" s="205"/>
      <c r="AS130" s="211"/>
      <c r="AT130" s="205"/>
      <c r="AU130" s="210"/>
      <c r="AV130" s="212"/>
      <c r="AW130" s="213"/>
      <c r="AX130" s="415" t="s">
        <v>775</v>
      </c>
      <c r="AY130" s="415" t="s">
        <v>776</v>
      </c>
      <c r="AZ130" s="415" t="s">
        <v>777</v>
      </c>
      <c r="BA130" s="415" t="s">
        <v>778</v>
      </c>
      <c r="BB130" s="415" t="s">
        <v>779</v>
      </c>
      <c r="BC130" s="415" t="s">
        <v>780</v>
      </c>
      <c r="BD130" s="413"/>
      <c r="BE130" s="413"/>
      <c r="BF130" s="427"/>
      <c r="BG130" s="391">
        <f>SUM($AV$4:AV130)</f>
        <v>936.0200000000267</v>
      </c>
      <c r="BH130" s="392">
        <f>SUM($AU$4:AU130)</f>
        <v>1813.4700000000266</v>
      </c>
      <c r="BI130" s="318"/>
      <c r="BJ130" s="318">
        <f>SUMIFS($AU131:AU$1388,$Q131:Q$1388,"F")</f>
        <v>14440.666666666668</v>
      </c>
      <c r="BK130" s="343">
        <f>SUMIFS($AU131:AU$1388,$P131:P$1388,"W")</f>
        <v>21010.141999999927</v>
      </c>
      <c r="BL130" s="343">
        <f>SUMIFS($AU131:AU$1388,$P131:P$1388,"W")</f>
        <v>21010.141999999927</v>
      </c>
      <c r="BM130" s="343">
        <f>SUMIFS($AU131:AU$134,$AQ131:AQ$134,"M")</f>
        <v>0</v>
      </c>
      <c r="BN130" s="343">
        <f>SUMIFS($AU131:AU$134,$AQ131:AQ$134,"M")</f>
        <v>0</v>
      </c>
      <c r="BO130" s="343">
        <f>SUMIFS($AU131:AU$134,$AQ131:AQ$134,"H")</f>
        <v>0</v>
      </c>
      <c r="BP130" s="343">
        <f>SUMIFS($AU133:AU$134,$AQ133:AQ$134,"D")</f>
        <v>0</v>
      </c>
      <c r="BQ130" s="343">
        <f>SUMIFS($AU131:AU$134,$Q131:Q$134,"O")</f>
        <v>0</v>
      </c>
      <c r="BR130" s="343">
        <f>SUMIFS($AU131:AU$134,$AA131:AA$134,"*")</f>
        <v>0</v>
      </c>
      <c r="BS130" s="343">
        <f>SUMIFS($AU131:AU$134,$AA131:AA$134,"*")</f>
        <v>0</v>
      </c>
      <c r="BT130" s="343">
        <f>SUMIFS($AU131:AU$134,$AB131:AB$134,"*")</f>
        <v>0</v>
      </c>
      <c r="BU130" s="343">
        <f>SUMIFS($AU131:AU$134,$AA131:AA$134,"*",$AB131:AB$134,"*")</f>
        <v>0</v>
      </c>
      <c r="BV130" s="343">
        <f>SUMIFS($AU131:AU$134,$AA131:AA$134,"*",$AB131:AB$134,"*")</f>
        <v>0</v>
      </c>
      <c r="BW130" s="343">
        <f>SUMIFS($AU131:AU$134,$AA131:AA$134,"*",$AC131:AC$134,"*")</f>
        <v>0</v>
      </c>
      <c r="BX130" s="343">
        <f>SUMIFS($AU131:AU$1388,$Q131:Q$1388,"F")</f>
        <v>14440.666666666668</v>
      </c>
      <c r="BY130" s="343">
        <f>SUMIFS($AU131:AU$1388,$Q131:Q$1388,"S")</f>
        <v>20671.642</v>
      </c>
      <c r="BZ130" s="343">
        <f>SUMIFS($AU131:AU$1388,$Q131:Q$1388,"O")</f>
        <v>-1648.8579999997983</v>
      </c>
    </row>
    <row r="131" spans="1:78" ht="18" customHeight="1">
      <c r="A131" s="156" t="s">
        <v>781</v>
      </c>
      <c r="B131" s="156"/>
      <c r="C131" s="251" t="s">
        <v>782</v>
      </c>
      <c r="D131" s="214"/>
      <c r="E131" s="215"/>
      <c r="F131" s="216"/>
      <c r="G131" s="214"/>
      <c r="H131" s="214"/>
      <c r="I131" s="214"/>
      <c r="J131" s="214"/>
      <c r="K131" s="217"/>
      <c r="L131" s="214"/>
      <c r="M131" s="214"/>
      <c r="N131" s="214"/>
      <c r="O131" s="217"/>
      <c r="P131" s="217"/>
      <c r="Q131" s="217"/>
      <c r="R131" s="217"/>
      <c r="S131" s="217"/>
      <c r="T131" s="217"/>
      <c r="U131" s="217"/>
      <c r="V131" s="217"/>
      <c r="W131" s="217"/>
      <c r="X131" s="217"/>
      <c r="Y131" s="218">
        <f t="shared" si="48"/>
        <v>0</v>
      </c>
      <c r="Z131" s="218">
        <f t="shared" si="56"/>
        <v>0</v>
      </c>
      <c r="AA131" s="218"/>
      <c r="AB131" s="218"/>
      <c r="AC131" s="218"/>
      <c r="AD131" s="651"/>
      <c r="AE131" s="214"/>
      <c r="AF131" s="347"/>
      <c r="AG131" s="343"/>
      <c r="AH131" s="214"/>
      <c r="AI131" s="214"/>
      <c r="AJ131" s="642"/>
      <c r="AK131" s="214"/>
      <c r="AL131" s="502"/>
      <c r="AM131" s="502"/>
      <c r="AN131" s="628"/>
      <c r="AO131" s="214"/>
      <c r="AP131" s="214"/>
      <c r="AQ131" s="334" t="str">
        <f>UPPER(RIGHT(Journal_Live[[#This Row],[DURATION ]]))</f>
        <v/>
      </c>
      <c r="AR131" s="214"/>
      <c r="AS131" s="219"/>
      <c r="AT131" s="219"/>
      <c r="AU131" s="219"/>
      <c r="AV131" s="219"/>
      <c r="AW131" s="220"/>
      <c r="AX131" s="414"/>
      <c r="AY131" s="414"/>
      <c r="AZ131" s="414"/>
      <c r="BA131" s="414"/>
      <c r="BB131" s="414"/>
      <c r="BC131" s="414"/>
      <c r="BD131" s="414"/>
      <c r="BE131" s="414"/>
      <c r="BF131" s="414"/>
      <c r="BG131" s="391">
        <f>SUM($AV$4:AV131)</f>
        <v>936.0200000000267</v>
      </c>
      <c r="BH131" s="392">
        <f>SUM($AU$4:AU131)</f>
        <v>1813.4700000000266</v>
      </c>
      <c r="BI131" s="318"/>
      <c r="BJ131" s="318">
        <f>SUMIFS($AU132:AU$1388,$Q132:Q$1388,"F")</f>
        <v>14440.666666666668</v>
      </c>
      <c r="BK131" s="343">
        <f>SUMIFS($AU132:AU$1388,$P132:P$1388,"W")</f>
        <v>21010.141999999927</v>
      </c>
      <c r="BL131" s="343">
        <f>SUMIFS($AU132:AU$1388,$P132:P$1388,"W")</f>
        <v>21010.141999999927</v>
      </c>
      <c r="BM131" s="343">
        <f>SUMIFS($AU132:AU$134,$AQ132:AQ$134,"M")</f>
        <v>0</v>
      </c>
      <c r="BN131" s="343">
        <f>SUMIFS($AU132:AU$134,$AQ132:AQ$134,"M")</f>
        <v>0</v>
      </c>
      <c r="BO131" s="343">
        <f>SUMIFS($AU132:AU$134,$AQ132:AQ$134,"H")</f>
        <v>0</v>
      </c>
      <c r="BP131" s="343">
        <f>SUMIFS($AU$134:AU134,$AQ$134:AQ134,"D")</f>
        <v>0</v>
      </c>
      <c r="BQ131" s="343">
        <f>SUMIFS($AU132:AU$134,$Q132:Q$134,"O")</f>
        <v>0</v>
      </c>
      <c r="BR131" s="343">
        <f>SUMIFS($AU132:AU$134,$AA132:AA$134,"*")</f>
        <v>0</v>
      </c>
      <c r="BS131" s="343">
        <f>SUMIFS($AU132:AU$134,$AA132:AA$134,"*")</f>
        <v>0</v>
      </c>
      <c r="BT131" s="343">
        <f>SUMIFS($AU132:AU$134,$AB132:AB$134,"*")</f>
        <v>0</v>
      </c>
      <c r="BU131" s="343">
        <f>SUMIFS($AU132:AU$134,$AA132:AA$134,"*",$AB132:AB$134,"*")</f>
        <v>0</v>
      </c>
      <c r="BV131" s="343">
        <f>SUMIFS($AU132:AU$134,$AA132:AA$134,"*",$AB132:AB$134,"*")</f>
        <v>0</v>
      </c>
      <c r="BW131" s="343">
        <f>SUMIFS($AU132:AU$134,$AA132:AA$134,"*",$AC132:AC$134,"*")</f>
        <v>0</v>
      </c>
      <c r="BX131" s="343">
        <f>SUMIFS($AU132:AU$1388,$Q132:Q$1388,"F")</f>
        <v>14440.666666666668</v>
      </c>
      <c r="BY131" s="343">
        <f>SUMIFS($AU132:AU$1388,$Q132:Q$1388,"S")</f>
        <v>20671.642</v>
      </c>
      <c r="BZ131" s="343">
        <f>SUMIFS($AU132:AU$1388,$Q132:Q$1388,"O")</f>
        <v>-1648.8579999997983</v>
      </c>
    </row>
    <row r="132" spans="1:78" ht="18" customHeight="1">
      <c r="A132" s="252" t="s">
        <v>783</v>
      </c>
      <c r="B132" s="252" t="s">
        <v>783</v>
      </c>
      <c r="C132" s="253"/>
      <c r="D132" s="253"/>
      <c r="E132" s="254"/>
      <c r="F132" s="255"/>
      <c r="G132" s="253"/>
      <c r="H132" s="253"/>
      <c r="I132" s="253"/>
      <c r="J132" s="253"/>
      <c r="K132" s="256"/>
      <c r="L132" s="253"/>
      <c r="M132" s="253"/>
      <c r="N132" s="253"/>
      <c r="O132" s="256"/>
      <c r="P132" s="256"/>
      <c r="Q132" s="256"/>
      <c r="R132" s="256"/>
      <c r="S132" s="256"/>
      <c r="T132" s="256"/>
      <c r="U132" s="256"/>
      <c r="V132" s="256"/>
      <c r="W132" s="256"/>
      <c r="X132" s="256"/>
      <c r="Y132" s="257">
        <f t="shared" ref="Y132:Y146" si="57">IF(ISBLANK(O132),,(IF(O132=UPPER("IB"),0.005,0.01)))</f>
        <v>0</v>
      </c>
      <c r="Z132" s="257">
        <f t="shared" si="56"/>
        <v>0</v>
      </c>
      <c r="AA132" s="258"/>
      <c r="AB132" s="258"/>
      <c r="AC132" s="258"/>
      <c r="AD132" s="652"/>
      <c r="AE132" s="253"/>
      <c r="AF132" s="335"/>
      <c r="AG132" s="253"/>
      <c r="AH132" s="253"/>
      <c r="AI132" s="253"/>
      <c r="AJ132" s="643"/>
      <c r="AK132" s="253"/>
      <c r="AL132" s="503"/>
      <c r="AM132" s="504"/>
      <c r="AN132" s="630"/>
      <c r="AO132" s="253"/>
      <c r="AP132" s="253"/>
      <c r="AQ132" s="335" t="str">
        <f>UPPER(RIGHT(Journal_Live[[#This Row],[DURATION ]]))</f>
        <v/>
      </c>
      <c r="AR132" s="253"/>
      <c r="AS132" s="260"/>
      <c r="AT132" s="253"/>
      <c r="AU132" s="259"/>
      <c r="AV132" s="261"/>
      <c r="AW132" s="262"/>
      <c r="AX132" s="416"/>
      <c r="AY132" s="416"/>
      <c r="AZ132" s="416"/>
      <c r="BA132" s="416"/>
      <c r="BB132" s="416"/>
      <c r="BC132" s="416"/>
      <c r="BD132" s="416"/>
      <c r="BE132" s="416"/>
      <c r="BF132" s="429"/>
      <c r="BG132" s="391"/>
      <c r="BH132" s="392"/>
      <c r="BI132" s="318"/>
      <c r="BJ132" s="318"/>
      <c r="BK132" s="343"/>
      <c r="BL132" s="343"/>
      <c r="BM132" s="343"/>
      <c r="BN132" s="343"/>
      <c r="BO132" s="343"/>
      <c r="BP132" s="343"/>
      <c r="BQ132" s="343"/>
      <c r="BR132" s="343"/>
      <c r="BS132" s="343"/>
      <c r="BT132" s="343"/>
      <c r="BU132" s="343"/>
      <c r="BV132" s="343"/>
      <c r="BW132" s="343"/>
      <c r="BX132" s="343">
        <f>SUMIFS($AU133:AU$1388,$Q133:Q$1388,"F")</f>
        <v>14440.666666666668</v>
      </c>
      <c r="BY132" s="343">
        <f>SUMIFS($AU133:AU$1388,$Q133:Q$1388,"S")</f>
        <v>20671.642</v>
      </c>
      <c r="BZ132" s="343">
        <f>SUMIFS($AU133:AU$1388,$Q133:Q$1388,"O")</f>
        <v>-1648.8579999997983</v>
      </c>
    </row>
    <row r="133" spans="1:78" ht="18" customHeight="1">
      <c r="A133" s="156" t="s">
        <v>784</v>
      </c>
      <c r="B133" s="156"/>
      <c r="C133" s="214"/>
      <c r="D133" s="214"/>
      <c r="E133" s="215"/>
      <c r="F133" s="216"/>
      <c r="G133" s="214"/>
      <c r="H133" s="214"/>
      <c r="I133" s="214"/>
      <c r="J133" s="214"/>
      <c r="K133" s="217"/>
      <c r="L133" s="214"/>
      <c r="M133" s="214"/>
      <c r="N133" s="214"/>
      <c r="O133" s="217"/>
      <c r="P133" s="217"/>
      <c r="Q133" s="217"/>
      <c r="R133" s="217"/>
      <c r="S133" s="217"/>
      <c r="T133" s="217"/>
      <c r="U133" s="217"/>
      <c r="V133" s="217"/>
      <c r="W133" s="217"/>
      <c r="X133" s="217"/>
      <c r="Y133" s="218">
        <f t="shared" si="57"/>
        <v>0</v>
      </c>
      <c r="Z133" s="218">
        <f t="shared" si="56"/>
        <v>0</v>
      </c>
      <c r="AA133" s="218"/>
      <c r="AB133" s="218"/>
      <c r="AC133" s="218"/>
      <c r="AD133" s="651"/>
      <c r="AE133" s="214"/>
      <c r="AF133" s="347"/>
      <c r="AG133" s="343"/>
      <c r="AH133" s="214"/>
      <c r="AI133" s="214"/>
      <c r="AJ133" s="642"/>
      <c r="AK133" s="214"/>
      <c r="AL133" s="502"/>
      <c r="AM133" s="502"/>
      <c r="AN133" s="628"/>
      <c r="AO133" s="214"/>
      <c r="AP133" s="214"/>
      <c r="AQ133" s="334" t="str">
        <f>UPPER(RIGHT(Journal_Live[[#This Row],[DURATION ]]))</f>
        <v/>
      </c>
      <c r="AR133" s="214"/>
      <c r="AS133" s="219"/>
      <c r="AT133" s="219"/>
      <c r="AU133" s="219"/>
      <c r="AV133" s="219"/>
      <c r="AW133" s="220"/>
      <c r="AX133" s="414"/>
      <c r="AY133" s="414"/>
      <c r="AZ133" s="414"/>
      <c r="BA133" s="414"/>
      <c r="BB133" s="414"/>
      <c r="BC133" s="414"/>
      <c r="BD133" s="414"/>
      <c r="BE133" s="414"/>
      <c r="BF133" s="414"/>
      <c r="BG133" s="391"/>
      <c r="BH133" s="392"/>
      <c r="BI133" s="318"/>
      <c r="BJ133" s="318"/>
      <c r="BK133" s="343"/>
      <c r="BL133" s="343"/>
      <c r="BM133" s="343"/>
      <c r="BN133" s="343"/>
      <c r="BO133" s="343"/>
      <c r="BP133" s="343"/>
      <c r="BQ133" s="343"/>
      <c r="BR133" s="343"/>
      <c r="BS133" s="343"/>
      <c r="BT133" s="343"/>
      <c r="BU133" s="343"/>
      <c r="BV133" s="343"/>
      <c r="BW133" s="343"/>
      <c r="BX133" s="343">
        <f>SUMIFS($AU134:AU$1388,$Q134:Q$1388,"F")</f>
        <v>14440.666666666668</v>
      </c>
      <c r="BY133" s="343">
        <f>SUMIFS($AU134:AU$1388,$Q134:Q$1388,"S")</f>
        <v>20671.642</v>
      </c>
      <c r="BZ133" s="343">
        <f>SUMIFS($AU134:AU$1388,$Q134:Q$1388,"O")</f>
        <v>-1648.8579999997983</v>
      </c>
    </row>
    <row r="134" spans="1:78" ht="18" customHeight="1">
      <c r="A134" s="221" t="s">
        <v>785</v>
      </c>
      <c r="B134" s="221">
        <v>44929</v>
      </c>
      <c r="C134" s="223"/>
      <c r="D134" s="223" t="s">
        <v>146</v>
      </c>
      <c r="E134" s="224"/>
      <c r="F134" s="225"/>
      <c r="G134" s="226"/>
      <c r="H134" s="166"/>
      <c r="I134" s="166"/>
      <c r="J134" s="166"/>
      <c r="K134" s="169"/>
      <c r="L134" s="166"/>
      <c r="M134" s="166"/>
      <c r="N134" s="166"/>
      <c r="O134" s="169"/>
      <c r="P134" s="169"/>
      <c r="Q134" s="169"/>
      <c r="R134" s="169"/>
      <c r="S134" s="169"/>
      <c r="T134" s="169"/>
      <c r="U134" s="169"/>
      <c r="V134" s="169"/>
      <c r="W134" s="169"/>
      <c r="X134" s="169"/>
      <c r="Y134" s="171">
        <f t="shared" si="57"/>
        <v>0</v>
      </c>
      <c r="Z134" s="171">
        <f t="shared" si="56"/>
        <v>0</v>
      </c>
      <c r="AA134" s="172"/>
      <c r="AB134" s="172"/>
      <c r="AC134" s="172"/>
      <c r="AD134" s="648"/>
      <c r="AE134" s="166"/>
      <c r="AF134" s="331"/>
      <c r="AG134" s="166"/>
      <c r="AH134" s="166"/>
      <c r="AI134" s="166"/>
      <c r="AJ134" s="639"/>
      <c r="AK134" s="166"/>
      <c r="AL134" s="495"/>
      <c r="AM134" s="501"/>
      <c r="AN134" s="625"/>
      <c r="AO134" s="166"/>
      <c r="AP134" s="166"/>
      <c r="AQ134" s="331" t="str">
        <f>UPPER(RIGHT(Journal_Live[[#This Row],[DURATION ]]))</f>
        <v/>
      </c>
      <c r="AR134" s="166"/>
      <c r="AS134" s="174"/>
      <c r="AT134" s="166"/>
      <c r="AU134" s="173"/>
      <c r="AV134" s="175"/>
      <c r="AW134" s="176"/>
      <c r="AX134" s="411" t="s">
        <v>786</v>
      </c>
      <c r="AY134" s="411" t="s">
        <v>787</v>
      </c>
      <c r="AZ134" s="411" t="s">
        <v>788</v>
      </c>
      <c r="BA134" s="411" t="s">
        <v>789</v>
      </c>
      <c r="BB134" s="411" t="s">
        <v>790</v>
      </c>
      <c r="BC134" s="411"/>
      <c r="BD134" s="411"/>
      <c r="BE134" s="411"/>
      <c r="BF134" s="421"/>
      <c r="BG134" s="391">
        <f>SUM($AV$4:AV134)</f>
        <v>936.0200000000267</v>
      </c>
      <c r="BH134" s="392">
        <f>SUM($AU$134:AU134)</f>
        <v>0</v>
      </c>
      <c r="BI134" s="318">
        <f>SUMIFS($AU$134:AU135,$Q$134:Q135,"F")</f>
        <v>0</v>
      </c>
      <c r="BJ134" s="318">
        <f>SUMIFS($AU$134:AU135,$Q$134:Q135,"S")</f>
        <v>0</v>
      </c>
      <c r="BK134" s="343">
        <f>SUMIFS($AU$134:AU135,$P$134:P135,"W")</f>
        <v>0</v>
      </c>
      <c r="BL134" s="343">
        <f>SUMIFS($AU$134:AU135,$P$134:P135,"R")</f>
        <v>0</v>
      </c>
      <c r="BM134" s="343">
        <f>SUMIFS($AU$134:AU135,$AQ$134:AQ135,"M")</f>
        <v>0</v>
      </c>
      <c r="BN134" s="343">
        <f>SUMIFS($AU$134:AU135,$AQ$134:AQ135,"H")</f>
        <v>0</v>
      </c>
      <c r="BO134" s="343">
        <f>SUMIFS($AU$134:AU135,$AQ$134:AQ135,"D")</f>
        <v>0</v>
      </c>
      <c r="BP134" s="343">
        <f>SUMIFS($AU$134:AU137,$AQ$134:AQ137,"W")</f>
        <v>0</v>
      </c>
      <c r="BQ134" s="343">
        <f>SUMIFS($AU$134:AU135,$Q$134:Q135,"O")</f>
        <v>0</v>
      </c>
      <c r="BR134" s="343">
        <f>SUMIFS($AU$134:AU135,$AA$134:AA135,"*")</f>
        <v>0</v>
      </c>
      <c r="BS134" s="343">
        <f>SUMIFS($AU$134:AU135,$AB$134:AB135,"*")</f>
        <v>0</v>
      </c>
      <c r="BT134" s="343">
        <f>SUMIFS($AU$134:AU135,$AC$134:AC135,"*")</f>
        <v>0</v>
      </c>
      <c r="BU134" s="343">
        <f>SUMIFS($AU$134:AU135,$AA$134:AA135,"*",$AB$134:AB135,"*")</f>
        <v>0</v>
      </c>
      <c r="BV134" s="343">
        <f>SUMIFS($AU$134:AU135,$AA$134:AA135,"*",$AC$134:AC135,"*")</f>
        <v>0</v>
      </c>
      <c r="BW134" s="343">
        <f>SUMIFS($AU$134:AU135,$AB$134:AB135,"*",$AC$134:AC135,"*")</f>
        <v>0</v>
      </c>
      <c r="BX134" s="343">
        <f>SUMIFS($AU135:AU$1388,$Q135:Q$1388,"F")</f>
        <v>14440.666666666668</v>
      </c>
      <c r="BY134" s="343">
        <f>SUMIFS($AU135:AU$1388,$Q135:Q$1388,"S")</f>
        <v>20671.642</v>
      </c>
      <c r="BZ134" s="343">
        <f>SUMIFS($AU135:AU$1388,$Q135:Q$1388,"O")</f>
        <v>-1648.8579999997983</v>
      </c>
    </row>
    <row r="135" spans="1:78" ht="18" customHeight="1">
      <c r="A135" s="177" t="s">
        <v>785</v>
      </c>
      <c r="B135" s="177"/>
      <c r="C135" s="178"/>
      <c r="D135" s="178"/>
      <c r="E135" s="227"/>
      <c r="F135" s="180"/>
      <c r="G135" s="181"/>
      <c r="H135" s="182"/>
      <c r="I135" s="182"/>
      <c r="J135" s="182"/>
      <c r="K135" s="183"/>
      <c r="L135" s="182"/>
      <c r="M135" s="182"/>
      <c r="N135" s="182"/>
      <c r="O135" s="183"/>
      <c r="P135" s="183"/>
      <c r="Q135" s="183"/>
      <c r="R135" s="183"/>
      <c r="S135" s="183"/>
      <c r="T135" s="183"/>
      <c r="U135" s="183"/>
      <c r="V135" s="183"/>
      <c r="W135" s="183"/>
      <c r="X135" s="183"/>
      <c r="Y135" s="184">
        <f t="shared" si="57"/>
        <v>0</v>
      </c>
      <c r="Z135" s="184">
        <f t="shared" si="56"/>
        <v>0</v>
      </c>
      <c r="AA135" s="185"/>
      <c r="AB135" s="185"/>
      <c r="AC135" s="185"/>
      <c r="AD135" s="649"/>
      <c r="AE135" s="182"/>
      <c r="AF135" s="332"/>
      <c r="AG135" s="182"/>
      <c r="AH135" s="182"/>
      <c r="AI135" s="182"/>
      <c r="AJ135" s="640"/>
      <c r="AK135" s="182"/>
      <c r="AL135" s="496"/>
      <c r="AM135" s="497"/>
      <c r="AN135" s="626"/>
      <c r="AO135" s="182"/>
      <c r="AP135" s="182"/>
      <c r="AQ135" s="332" t="str">
        <f>UPPER(RIGHT(Journal_Live[[#This Row],[DURATION ]]))</f>
        <v/>
      </c>
      <c r="AR135" s="182"/>
      <c r="AS135" s="189"/>
      <c r="AT135" s="182"/>
      <c r="AU135" s="187"/>
      <c r="AV135" s="190"/>
      <c r="AW135" s="191"/>
      <c r="AX135" s="407" t="s">
        <v>791</v>
      </c>
      <c r="AY135" s="407" t="s">
        <v>792</v>
      </c>
      <c r="AZ135" s="407" t="s">
        <v>793</v>
      </c>
      <c r="BA135" s="407"/>
      <c r="BB135" s="407"/>
      <c r="BC135" s="407"/>
      <c r="BD135" s="407"/>
      <c r="BE135" s="407"/>
      <c r="BF135" s="422"/>
      <c r="BG135" s="391">
        <f>SUM($AV$4:AV135)</f>
        <v>936.0200000000267</v>
      </c>
      <c r="BH135" s="392">
        <f>SUM($AU$134:AU135)</f>
        <v>0</v>
      </c>
      <c r="BI135" s="318">
        <f>SUMIFS($AU$134:AU136,$Q$134:Q136,"F")</f>
        <v>0</v>
      </c>
      <c r="BJ135" s="318">
        <f>SUMIFS($AU$134:AU136,$Q$134:Q136,"S")</f>
        <v>16.300000000000015</v>
      </c>
      <c r="BK135" s="343">
        <f>SUMIFS($AU$134:AU136,$P$134:P136,"W")</f>
        <v>16.300000000000015</v>
      </c>
      <c r="BL135" s="343">
        <f>SUMIFS($AU$134:AU136,$P$134:P136,"R")</f>
        <v>0</v>
      </c>
      <c r="BM135" s="343">
        <f>SUMIFS($AU$134:AU136,$AQ$134:AQ136,"M")</f>
        <v>0</v>
      </c>
      <c r="BN135" s="343">
        <f>SUMIFS($AU$134:AU136,$AQ$134:AQ136,"H")</f>
        <v>0</v>
      </c>
      <c r="BO135" s="343">
        <f>SUMIFS($AU$134:AU136,$AQ$134:AQ136,"D")</f>
        <v>0</v>
      </c>
      <c r="BP135" s="343">
        <f>SUMIFS($AU$134:AU138,$AQ$134:AQ138,"W")</f>
        <v>0</v>
      </c>
      <c r="BQ135" s="343">
        <f>SUMIFS($AU$134:AU136,$Q$134:Q136,"O")</f>
        <v>0</v>
      </c>
      <c r="BR135" s="343">
        <f>SUMIFS($AU$134:AU136,$AA$134:AA136,"*")</f>
        <v>16.300000000000015</v>
      </c>
      <c r="BS135" s="343">
        <f>SUMIFS($AU$134:AU136,$AB$134:AB136,"*")</f>
        <v>0</v>
      </c>
      <c r="BT135" s="343">
        <f>SUMIFS($AU$134:AU136,$AC$134:AC136,"*")</f>
        <v>0</v>
      </c>
      <c r="BU135" s="343">
        <f>SUMIFS($AU$134:AU136,$AA$134:AA136,"*",$AB$134:AB136,"*")</f>
        <v>0</v>
      </c>
      <c r="BV135" s="343">
        <f>SUMIFS($AU$134:AU136,$AA$134:AA136,"*",$AC$134:AC136,"*")</f>
        <v>0</v>
      </c>
      <c r="BW135" s="343">
        <f>SUMIFS($AU$134:AU136,$AB$134:AB136,"*",$AC$134:AC136,"*")</f>
        <v>0</v>
      </c>
      <c r="BX135" s="343">
        <f>SUMIFS($AU136:AU$1388,$Q136:Q$1388,"F")</f>
        <v>14440.666666666668</v>
      </c>
      <c r="BY135" s="343">
        <f>SUMIFS($AU136:AU$1388,$Q136:Q$1388,"S")</f>
        <v>20671.642</v>
      </c>
      <c r="BZ135" s="343">
        <f>SUMIFS($AU136:AU$1388,$Q136:Q$1388,"O")</f>
        <v>-1648.8579999997983</v>
      </c>
    </row>
    <row r="136" spans="1:78" ht="18" customHeight="1">
      <c r="A136" s="177" t="s">
        <v>785</v>
      </c>
      <c r="B136" s="177">
        <v>44929</v>
      </c>
      <c r="C136" s="178" t="s">
        <v>794</v>
      </c>
      <c r="D136" s="178" t="s">
        <v>146</v>
      </c>
      <c r="E136" s="227"/>
      <c r="F136" s="180"/>
      <c r="G136" s="181" t="s">
        <v>435</v>
      </c>
      <c r="H136" s="182"/>
      <c r="I136" s="182"/>
      <c r="J136" s="182"/>
      <c r="K136" s="183"/>
      <c r="L136" s="182">
        <v>1</v>
      </c>
      <c r="M136" s="182"/>
      <c r="N136" s="182">
        <v>1</v>
      </c>
      <c r="O136" s="183" t="s">
        <v>95</v>
      </c>
      <c r="P136" s="183" t="s">
        <v>96</v>
      </c>
      <c r="Q136" s="183" t="s">
        <v>97</v>
      </c>
      <c r="R136" s="183">
        <v>1</v>
      </c>
      <c r="S136" s="183">
        <v>1</v>
      </c>
      <c r="T136" s="183">
        <v>1</v>
      </c>
      <c r="U136" s="183" t="s">
        <v>97</v>
      </c>
      <c r="V136" s="183"/>
      <c r="W136" s="183"/>
      <c r="X136" s="183"/>
      <c r="Y136" s="184">
        <f t="shared" si="57"/>
        <v>0.01</v>
      </c>
      <c r="Z136" s="184">
        <f t="shared" si="56"/>
        <v>1630</v>
      </c>
      <c r="AA136" s="185" t="s">
        <v>795</v>
      </c>
      <c r="AB136" s="185"/>
      <c r="AC136" s="185"/>
      <c r="AD136" s="649">
        <v>0.45</v>
      </c>
      <c r="AE136" s="182"/>
      <c r="AF136" s="332">
        <v>0.48</v>
      </c>
      <c r="AG136" s="182"/>
      <c r="AH136" s="182" t="s">
        <v>796</v>
      </c>
      <c r="AI136" s="182"/>
      <c r="AJ136" s="640"/>
      <c r="AK136" s="182"/>
      <c r="AL136" s="496">
        <f t="shared" ref="AL136:AL138" si="58">-0.03*Z136</f>
        <v>-48.9</v>
      </c>
      <c r="AM136" s="496">
        <f t="shared" ref="AM136:AM141" si="59">AL136*R136</f>
        <v>-48.9</v>
      </c>
      <c r="AN136" s="626"/>
      <c r="AO136" s="182"/>
      <c r="AP136" s="182" t="s">
        <v>797</v>
      </c>
      <c r="AQ136" s="332" t="str">
        <f>UPPER(RIGHT(Journal_Live[[#This Row],[DURATION ]]))</f>
        <v>S</v>
      </c>
      <c r="AR136" s="182" t="s">
        <v>798</v>
      </c>
      <c r="AS136" s="189">
        <v>0.44</v>
      </c>
      <c r="AT136" s="189">
        <f t="shared" ref="AT136:AT146" si="60">IF(ISBLANK(AS136),,IF(U136="S",AD136-AS136,AS136-AD136))</f>
        <v>1.0000000000000009E-2</v>
      </c>
      <c r="AU136" s="187">
        <f t="shared" ref="AU136:AU146" si="61">AV136*R136</f>
        <v>16.300000000000015</v>
      </c>
      <c r="AV136" s="190">
        <f t="shared" ref="AV136:AV146" si="62">IF(ISBLANK(AS136),,(AT136*Z136))</f>
        <v>16.300000000000015</v>
      </c>
      <c r="AW136" s="191" t="s">
        <v>96</v>
      </c>
      <c r="AX136" s="407" t="s">
        <v>799</v>
      </c>
      <c r="AY136" s="407" t="s">
        <v>800</v>
      </c>
      <c r="AZ136" s="407"/>
      <c r="BA136" s="407"/>
      <c r="BB136" s="407"/>
      <c r="BC136" s="407"/>
      <c r="BD136" s="407"/>
      <c r="BE136" s="407"/>
      <c r="BF136" s="422"/>
      <c r="BG136" s="391">
        <f>SUM($AV$4:AV136)</f>
        <v>952.32000000002677</v>
      </c>
      <c r="BH136" s="392">
        <f>SUM($AU$134:AU136)</f>
        <v>16.300000000000015</v>
      </c>
      <c r="BI136" s="318">
        <f>SUMIFS($AU$134:AU137,$Q$134:Q137,"F")</f>
        <v>0</v>
      </c>
      <c r="BJ136" s="318">
        <f>SUMIFS($AU$134:AU137,$Q$134:Q137,"S")</f>
        <v>32.60000000000003</v>
      </c>
      <c r="BK136" s="343">
        <f>SUMIFS($AU$134:AU137,$P$134:P137,"W")</f>
        <v>16.300000000000015</v>
      </c>
      <c r="BL136" s="343">
        <f>SUMIFS($AU$134:AU137,$P$134:P137,"R")</f>
        <v>16.300000000000015</v>
      </c>
      <c r="BM136" s="343">
        <f>SUMIFS($AU$134:AU137,$AQ$134:AQ137,"M")</f>
        <v>0</v>
      </c>
      <c r="BN136" s="343">
        <f>SUMIFS($AU$134:AU137,$AQ$134:AQ137,"H")</f>
        <v>0</v>
      </c>
      <c r="BO136" s="343">
        <f>SUMIFS($AU$134:AU137,$AQ$134:AQ137,"D")</f>
        <v>16.300000000000015</v>
      </c>
      <c r="BP136" s="343">
        <f>SUMIFS($AU$134:AU139,$AQ$134:AQ139,"W")</f>
        <v>0</v>
      </c>
      <c r="BQ136" s="343">
        <f>SUMIFS($AU$134:AU137,$Q$134:Q137,"O")</f>
        <v>0</v>
      </c>
      <c r="BR136" s="343">
        <f>SUMIFS($AU$134:AU137,$AA$134:AA137,"*")</f>
        <v>32.60000000000003</v>
      </c>
      <c r="BS136" s="343">
        <f>SUMIFS($AU$134:AU137,$AB$134:AB137,"*")</f>
        <v>0</v>
      </c>
      <c r="BT136" s="343">
        <f>SUMIFS($AU$134:AU137,$AC$134:AC137,"*")</f>
        <v>16.300000000000015</v>
      </c>
      <c r="BU136" s="343">
        <f>SUMIFS($AU$134:AU137,$AA$134:AA137,"*",$AB$134:AB137,"*")</f>
        <v>0</v>
      </c>
      <c r="BV136" s="343">
        <f>SUMIFS($AU$134:AU137,$AA$134:AA137,"*",$AC$134:AC137,"*")</f>
        <v>16.300000000000015</v>
      </c>
      <c r="BW136" s="343">
        <f>SUMIFS($AU$134:AU137,$AB$134:AB137,"*",$AC$134:AC137,"*")</f>
        <v>0</v>
      </c>
      <c r="BX136" s="343">
        <f>SUMIFS($AU137:AU$1388,$Q137:Q$1388,"F")</f>
        <v>14440.666666666668</v>
      </c>
      <c r="BY136" s="343">
        <f>SUMIFS($AU137:AU$1388,$Q137:Q$1388,"S")</f>
        <v>20655.342000000001</v>
      </c>
      <c r="BZ136" s="343">
        <f>SUMIFS($AU137:AU$1388,$Q137:Q$1388,"O")</f>
        <v>-1648.8579999997983</v>
      </c>
    </row>
    <row r="137" spans="1:78" ht="18" customHeight="1">
      <c r="A137" s="177" t="s">
        <v>785</v>
      </c>
      <c r="B137" s="177">
        <v>44930</v>
      </c>
      <c r="C137" s="178" t="s">
        <v>801</v>
      </c>
      <c r="D137" s="178" t="s">
        <v>151</v>
      </c>
      <c r="E137" s="227"/>
      <c r="F137" s="180"/>
      <c r="G137" s="241" t="s">
        <v>280</v>
      </c>
      <c r="H137" s="182"/>
      <c r="I137" s="182"/>
      <c r="J137" s="182"/>
      <c r="K137" s="183"/>
      <c r="L137" s="182">
        <v>1</v>
      </c>
      <c r="M137" s="182"/>
      <c r="N137" s="182"/>
      <c r="O137" s="183" t="s">
        <v>95</v>
      </c>
      <c r="P137" s="183" t="s">
        <v>137</v>
      </c>
      <c r="Q137" s="183" t="s">
        <v>97</v>
      </c>
      <c r="R137" s="183">
        <v>1</v>
      </c>
      <c r="S137" s="183">
        <v>1</v>
      </c>
      <c r="T137" s="183">
        <v>1</v>
      </c>
      <c r="U137" s="183" t="s">
        <v>22</v>
      </c>
      <c r="V137" s="183"/>
      <c r="W137" s="183"/>
      <c r="X137" s="183"/>
      <c r="Y137" s="184">
        <f t="shared" si="57"/>
        <v>0.01</v>
      </c>
      <c r="Z137" s="184">
        <f t="shared" si="56"/>
        <v>1630</v>
      </c>
      <c r="AA137" s="185" t="s">
        <v>802</v>
      </c>
      <c r="AB137" s="185"/>
      <c r="AC137" s="185" t="s">
        <v>99</v>
      </c>
      <c r="AD137" s="649">
        <v>-0.1</v>
      </c>
      <c r="AE137" s="182"/>
      <c r="AF137" s="332"/>
      <c r="AG137" s="182"/>
      <c r="AH137" s="182"/>
      <c r="AI137" s="182"/>
      <c r="AJ137" s="640"/>
      <c r="AK137" s="182"/>
      <c r="AL137" s="496">
        <f t="shared" si="58"/>
        <v>-48.9</v>
      </c>
      <c r="AM137" s="496">
        <f t="shared" si="59"/>
        <v>-48.9</v>
      </c>
      <c r="AN137" s="626" t="s">
        <v>803</v>
      </c>
      <c r="AO137" s="182"/>
      <c r="AP137" s="182" t="s">
        <v>804</v>
      </c>
      <c r="AQ137" s="332" t="str">
        <f>UPPER(RIGHT(Journal_Live[[#This Row],[DURATION ]]))</f>
        <v>D</v>
      </c>
      <c r="AR137" s="182" t="s">
        <v>805</v>
      </c>
      <c r="AS137" s="189">
        <v>-0.09</v>
      </c>
      <c r="AT137" s="189">
        <f t="shared" si="60"/>
        <v>1.0000000000000009E-2</v>
      </c>
      <c r="AU137" s="187">
        <f t="shared" si="61"/>
        <v>16.300000000000015</v>
      </c>
      <c r="AV137" s="190">
        <f t="shared" si="62"/>
        <v>16.300000000000015</v>
      </c>
      <c r="AW137" s="191" t="s">
        <v>96</v>
      </c>
      <c r="AX137" s="407"/>
      <c r="AY137" s="407"/>
      <c r="AZ137" s="407"/>
      <c r="BA137" s="407"/>
      <c r="BB137" s="407"/>
      <c r="BC137" s="407"/>
      <c r="BD137" s="407"/>
      <c r="BE137" s="407"/>
      <c r="BF137" s="422"/>
      <c r="BG137" s="391">
        <f>SUM($AV$4:AV137)</f>
        <v>968.62000000002683</v>
      </c>
      <c r="BH137" s="392">
        <f>SUM($AU$134:AU137)</f>
        <v>32.60000000000003</v>
      </c>
      <c r="BI137" s="318">
        <f>SUMIFS($AU$134:AU138,$Q$134:Q138,"F")</f>
        <v>0</v>
      </c>
      <c r="BJ137" s="318">
        <f>SUMIFS($AU$134:AU138,$Q$134:Q138,"S")</f>
        <v>114.10000000000002</v>
      </c>
      <c r="BK137" s="343">
        <f>SUMIFS($AU$134:AU138,$P$134:P138,"W")</f>
        <v>97.8</v>
      </c>
      <c r="BL137" s="343">
        <f>SUMIFS($AU$134:AU138,$P$134:P138,"R")</f>
        <v>16.300000000000015</v>
      </c>
      <c r="BM137" s="343">
        <f>SUMIFS($AU$134:AU138,$AQ$134:AQ138,"M")</f>
        <v>0</v>
      </c>
      <c r="BN137" s="343">
        <f>SUMIFS($AU$134:AU138,$AQ$134:AQ138,"H")</f>
        <v>0</v>
      </c>
      <c r="BO137" s="343">
        <f>SUMIFS($AU$134:AU138,$AQ$134:AQ138,"D")</f>
        <v>16.300000000000015</v>
      </c>
      <c r="BP137" s="343">
        <f>SUMIFS($AU$134:AU140,$AQ$134:AQ140,"W")</f>
        <v>0</v>
      </c>
      <c r="BQ137" s="343">
        <f>SUMIFS($AU$134:AU138,$Q$134:Q138,"O")</f>
        <v>0</v>
      </c>
      <c r="BR137" s="343">
        <f>SUMIFS($AU$134:AU138,$AA$134:AA138,"*")</f>
        <v>114.10000000000002</v>
      </c>
      <c r="BS137" s="343">
        <f>SUMIFS($AU$134:AU138,$AB$134:AB138,"*")</f>
        <v>81.499999999999986</v>
      </c>
      <c r="BT137" s="343">
        <f>SUMIFS($AU$134:AU138,$AC$134:AC138,"*")</f>
        <v>97.8</v>
      </c>
      <c r="BU137" s="343">
        <f>SUMIFS($AU$134:AU138,$AA$134:AA138,"*",$AB$134:AB138,"*")</f>
        <v>81.499999999999986</v>
      </c>
      <c r="BV137" s="343">
        <f>SUMIFS($AU$134:AU138,$AA$134:AA138,"*",$AC$134:AC138,"*")</f>
        <v>97.8</v>
      </c>
      <c r="BW137" s="343">
        <f>SUMIFS($AU$134:AU138,$AB$134:AB138,"*",$AC$134:AC138,"*")</f>
        <v>81.499999999999986</v>
      </c>
      <c r="BX137" s="343">
        <f>SUMIFS($AU138:AU$1388,$Q138:Q$1388,"F")</f>
        <v>14440.666666666668</v>
      </c>
      <c r="BY137" s="343">
        <f>SUMIFS($AU138:AU$1388,$Q138:Q$1388,"S")</f>
        <v>20639.042000000001</v>
      </c>
      <c r="BZ137" s="343">
        <f>SUMIFS($AU138:AU$1388,$Q138:Q$1388,"O")</f>
        <v>-1648.8579999997983</v>
      </c>
    </row>
    <row r="138" spans="1:78" ht="18" customHeight="1">
      <c r="A138" s="177" t="s">
        <v>785</v>
      </c>
      <c r="B138" s="177">
        <v>44930</v>
      </c>
      <c r="C138" s="178" t="s">
        <v>806</v>
      </c>
      <c r="D138" s="178" t="s">
        <v>151</v>
      </c>
      <c r="E138" s="227"/>
      <c r="F138" s="180"/>
      <c r="G138" s="241" t="s">
        <v>435</v>
      </c>
      <c r="H138" s="182"/>
      <c r="I138" s="182"/>
      <c r="J138" s="182"/>
      <c r="K138" s="183"/>
      <c r="L138" s="182">
        <v>1</v>
      </c>
      <c r="M138" s="182">
        <v>1</v>
      </c>
      <c r="N138" s="182">
        <v>1</v>
      </c>
      <c r="O138" s="183" t="s">
        <v>95</v>
      </c>
      <c r="P138" s="183" t="s">
        <v>96</v>
      </c>
      <c r="Q138" s="183" t="s">
        <v>97</v>
      </c>
      <c r="R138" s="183">
        <v>1</v>
      </c>
      <c r="S138" s="183">
        <v>1</v>
      </c>
      <c r="T138" s="183">
        <v>1</v>
      </c>
      <c r="U138" s="183" t="s">
        <v>97</v>
      </c>
      <c r="V138" s="183"/>
      <c r="W138" s="183"/>
      <c r="X138" s="183"/>
      <c r="Y138" s="184">
        <f t="shared" si="57"/>
        <v>0.01</v>
      </c>
      <c r="Z138" s="184">
        <f t="shared" si="56"/>
        <v>1630</v>
      </c>
      <c r="AA138" s="185" t="s">
        <v>807</v>
      </c>
      <c r="AB138" s="185" t="s">
        <v>808</v>
      </c>
      <c r="AC138" s="185" t="s">
        <v>809</v>
      </c>
      <c r="AD138" s="649">
        <v>0.41</v>
      </c>
      <c r="AE138" s="182" t="s">
        <v>810</v>
      </c>
      <c r="AF138" s="332">
        <v>0.44</v>
      </c>
      <c r="AG138" s="182"/>
      <c r="AH138" s="182" t="s">
        <v>811</v>
      </c>
      <c r="AI138" s="182" t="s">
        <v>812</v>
      </c>
      <c r="AJ138" s="640" t="s">
        <v>813</v>
      </c>
      <c r="AK138" s="182">
        <v>1</v>
      </c>
      <c r="AL138" s="496">
        <f t="shared" si="58"/>
        <v>-48.9</v>
      </c>
      <c r="AM138" s="496">
        <f t="shared" si="59"/>
        <v>-48.9</v>
      </c>
      <c r="AN138" s="626" t="s">
        <v>814</v>
      </c>
      <c r="AO138" s="182"/>
      <c r="AP138" s="182" t="s">
        <v>815</v>
      </c>
      <c r="AQ138" s="332" t="str">
        <f>UPPER(RIGHT(Journal_Live[[#This Row],[DURATION ]]))</f>
        <v xml:space="preserve"> </v>
      </c>
      <c r="AR138" s="182" t="s">
        <v>816</v>
      </c>
      <c r="AS138" s="189">
        <v>0.36</v>
      </c>
      <c r="AT138" s="189">
        <f t="shared" si="60"/>
        <v>4.9999999999999989E-2</v>
      </c>
      <c r="AU138" s="187">
        <f t="shared" si="61"/>
        <v>81.499999999999986</v>
      </c>
      <c r="AV138" s="190">
        <f t="shared" si="62"/>
        <v>81.499999999999986</v>
      </c>
      <c r="AW138" s="191" t="s">
        <v>96</v>
      </c>
      <c r="AX138" s="407" t="s">
        <v>817</v>
      </c>
      <c r="AY138" s="407"/>
      <c r="AZ138" s="407"/>
      <c r="BA138" s="407"/>
      <c r="BB138" s="407"/>
      <c r="BC138" s="407"/>
      <c r="BD138" s="407"/>
      <c r="BE138" s="407"/>
      <c r="BF138" s="422"/>
      <c r="BG138" s="391">
        <f>SUM($AV$4:AV138)</f>
        <v>1050.1200000000267</v>
      </c>
      <c r="BH138" s="392">
        <f>SUM($AU$134:AU138)</f>
        <v>114.10000000000002</v>
      </c>
      <c r="BI138" s="318">
        <f>SUMIFS($AU$134:AU139,$Q$134:Q139,"F")</f>
        <v>0</v>
      </c>
      <c r="BJ138" s="318">
        <f>SUMIFS($AU$134:AU139,$Q$134:Q139,"S")</f>
        <v>130.40000000000003</v>
      </c>
      <c r="BK138" s="343">
        <f>SUMIFS($AU$134:AU139,$P$134:P139,"W")</f>
        <v>114.10000000000001</v>
      </c>
      <c r="BL138" s="343">
        <f>SUMIFS($AU$134:AU139,$P$134:P139,"R")</f>
        <v>16.300000000000015</v>
      </c>
      <c r="BM138" s="343">
        <f>SUMIFS($AU$134:AU139,$AQ$134:AQ139,"M")</f>
        <v>0</v>
      </c>
      <c r="BN138" s="343">
        <f>SUMIFS($AU$134:AU139,$AQ$134:AQ139,"H")</f>
        <v>0</v>
      </c>
      <c r="BO138" s="343">
        <f>SUMIFS($AU$134:AU139,$AQ$134:AQ139,"D")</f>
        <v>16.300000000000015</v>
      </c>
      <c r="BP138" s="343">
        <f>SUMIFS($AU$134:AU141,$AQ$134:AQ141,"W")</f>
        <v>0</v>
      </c>
      <c r="BQ138" s="343">
        <f>SUMIFS($AU$134:AU139,$Q$134:Q139,"O")</f>
        <v>0</v>
      </c>
      <c r="BR138" s="343">
        <f>SUMIFS($AU$134:AU139,$AA$134:AA139,"*")</f>
        <v>130.40000000000003</v>
      </c>
      <c r="BS138" s="343">
        <f>SUMIFS($AU$134:AU139,$AB$134:AB139,"*")</f>
        <v>97.8</v>
      </c>
      <c r="BT138" s="343">
        <f>SUMIFS($AU$134:AU139,$AC$134:AC139,"*")</f>
        <v>114.10000000000001</v>
      </c>
      <c r="BU138" s="343">
        <f>SUMIFS($AU$134:AU139,$AA$134:AA139,"*",$AB$134:AB139,"*")</f>
        <v>97.8</v>
      </c>
      <c r="BV138" s="343">
        <f>SUMIFS($AU$134:AU139,$AA$134:AA139,"*",$AC$134:AC139,"*")</f>
        <v>114.10000000000001</v>
      </c>
      <c r="BW138" s="343">
        <f>SUMIFS($AU$134:AU139,$AB$134:AB139,"*",$AC$134:AC139,"*")</f>
        <v>97.8</v>
      </c>
      <c r="BX138" s="343">
        <f>SUMIFS($AU139:AU$1388,$Q139:Q$1388,"F")</f>
        <v>14440.666666666668</v>
      </c>
      <c r="BY138" s="343">
        <f>SUMIFS($AU139:AU$1388,$Q139:Q$1388,"S")</f>
        <v>20557.542000000001</v>
      </c>
      <c r="BZ138" s="343">
        <f>SUMIFS($AU139:AU$1388,$Q139:Q$1388,"O")</f>
        <v>-1648.8579999997983</v>
      </c>
    </row>
    <row r="139" spans="1:78" ht="18" customHeight="1">
      <c r="A139" s="177" t="s">
        <v>785</v>
      </c>
      <c r="B139" s="177">
        <v>44930</v>
      </c>
      <c r="C139" s="178" t="s">
        <v>818</v>
      </c>
      <c r="D139" s="178" t="s">
        <v>151</v>
      </c>
      <c r="E139" s="227"/>
      <c r="F139" s="180"/>
      <c r="G139" s="199" t="s">
        <v>757</v>
      </c>
      <c r="H139" s="182"/>
      <c r="I139" s="182"/>
      <c r="J139" s="182"/>
      <c r="K139" s="183"/>
      <c r="L139" s="182">
        <v>1</v>
      </c>
      <c r="M139" s="182">
        <v>1</v>
      </c>
      <c r="N139" s="182"/>
      <c r="O139" s="183" t="s">
        <v>95</v>
      </c>
      <c r="P139" s="183" t="s">
        <v>96</v>
      </c>
      <c r="Q139" s="183" t="s">
        <v>97</v>
      </c>
      <c r="R139" s="183">
        <v>1</v>
      </c>
      <c r="S139" s="183">
        <v>1</v>
      </c>
      <c r="T139" s="183">
        <v>1</v>
      </c>
      <c r="U139" s="183" t="s">
        <v>97</v>
      </c>
      <c r="V139" s="183"/>
      <c r="W139" s="183"/>
      <c r="X139" s="183"/>
      <c r="Y139" s="184">
        <f t="shared" si="57"/>
        <v>0.01</v>
      </c>
      <c r="Z139" s="184">
        <f t="shared" si="56"/>
        <v>1630</v>
      </c>
      <c r="AA139" s="185" t="s">
        <v>819</v>
      </c>
      <c r="AB139" s="185" t="s">
        <v>820</v>
      </c>
      <c r="AC139" s="185" t="s">
        <v>809</v>
      </c>
      <c r="AD139" s="649">
        <v>0.16</v>
      </c>
      <c r="AE139" s="182" t="s">
        <v>821</v>
      </c>
      <c r="AF139" s="332">
        <v>0.21</v>
      </c>
      <c r="AG139" s="182"/>
      <c r="AH139" s="182" t="s">
        <v>822</v>
      </c>
      <c r="AI139" s="182" t="s">
        <v>812</v>
      </c>
      <c r="AJ139" s="640" t="s">
        <v>823</v>
      </c>
      <c r="AK139" s="182">
        <v>1</v>
      </c>
      <c r="AL139" s="496">
        <f>-0.06*Z139</f>
        <v>-97.8</v>
      </c>
      <c r="AM139" s="496">
        <f t="shared" si="59"/>
        <v>-97.8</v>
      </c>
      <c r="AN139" s="626" t="s">
        <v>824</v>
      </c>
      <c r="AO139" s="182"/>
      <c r="AP139" s="182"/>
      <c r="AQ139" s="332" t="str">
        <f>UPPER(RIGHT(Journal_Live[[#This Row],[DURATION ]]))</f>
        <v/>
      </c>
      <c r="AR139" s="192">
        <v>44935</v>
      </c>
      <c r="AS139" s="189">
        <v>0.15</v>
      </c>
      <c r="AT139" s="189">
        <f t="shared" si="60"/>
        <v>1.0000000000000009E-2</v>
      </c>
      <c r="AU139" s="187">
        <f t="shared" si="61"/>
        <v>16.300000000000015</v>
      </c>
      <c r="AV139" s="190">
        <f t="shared" si="62"/>
        <v>16.300000000000015</v>
      </c>
      <c r="AW139" s="191" t="s">
        <v>96</v>
      </c>
      <c r="AX139" s="407"/>
      <c r="AY139" s="407"/>
      <c r="AZ139" s="407"/>
      <c r="BA139" s="407"/>
      <c r="BB139" s="407"/>
      <c r="BC139" s="407"/>
      <c r="BD139" s="407"/>
      <c r="BE139" s="407"/>
      <c r="BF139" s="422"/>
      <c r="BG139" s="391">
        <f>SUM($AV$4:AV139)</f>
        <v>1066.4200000000267</v>
      </c>
      <c r="BH139" s="392">
        <f>SUM($AU$134:AU139)</f>
        <v>130.40000000000003</v>
      </c>
      <c r="BI139" s="318">
        <f>SUMIFS($AU$134:AU140,$Q$134:Q140,"F")</f>
        <v>0</v>
      </c>
      <c r="BJ139" s="318">
        <f>SUMIFS($AU$134:AU140,$Q$134:Q140,"S")</f>
        <v>196.8</v>
      </c>
      <c r="BK139" s="343">
        <f>SUMIFS($AU$134:AU140,$P$134:P140,"W")</f>
        <v>180.5</v>
      </c>
      <c r="BL139" s="343">
        <f>SUMIFS($AU$134:AU140,$P$134:P140,"R")</f>
        <v>16.300000000000015</v>
      </c>
      <c r="BM139" s="343">
        <f>SUMIFS($AU$134:AU140,$AQ$134:AQ140,"M")</f>
        <v>0</v>
      </c>
      <c r="BN139" s="343">
        <f>SUMIFS($AU$134:AU140,$AQ$134:AQ140,"H")</f>
        <v>0</v>
      </c>
      <c r="BO139" s="343">
        <f>SUMIFS($AU$134:AU140,$AQ$134:AQ140,"D")</f>
        <v>82.699999999999989</v>
      </c>
      <c r="BP139" s="343">
        <f>SUMIFS($AU$134:AU142,$AQ$134:AQ142,"W")</f>
        <v>0</v>
      </c>
      <c r="BQ139" s="343">
        <f>SUMIFS($AU$134:AU140,$Q$134:Q140,"O")</f>
        <v>0</v>
      </c>
      <c r="BR139" s="343">
        <f>SUMIFS($AU$134:AU140,$AA$134:AA140,"*")</f>
        <v>196.8</v>
      </c>
      <c r="BS139" s="343">
        <f>SUMIFS($AU$134:AU140,$AB$134:AB140,"*")</f>
        <v>164.2</v>
      </c>
      <c r="BT139" s="343">
        <f>SUMIFS($AU$134:AU140,$AC$134:AC140,"*")</f>
        <v>180.5</v>
      </c>
      <c r="BU139" s="343">
        <f>SUMIFS($AU$134:AU140,$AA$134:AA140,"*",$AB$134:AB140,"*")</f>
        <v>164.2</v>
      </c>
      <c r="BV139" s="343">
        <f>SUMIFS($AU$134:AU140,$AA$134:AA140,"*",$AC$134:AC140,"*")</f>
        <v>180.5</v>
      </c>
      <c r="BW139" s="343">
        <f>SUMIFS($AU$134:AU140,$AB$134:AB140,"*",$AC$134:AC140,"*")</f>
        <v>164.2</v>
      </c>
      <c r="BX139" s="343">
        <f>SUMIFS($AU140:AU$1388,$Q140:Q$1388,"F")</f>
        <v>14440.666666666668</v>
      </c>
      <c r="BY139" s="343">
        <f>SUMIFS($AU140:AU$1388,$Q140:Q$1388,"S")</f>
        <v>20541.242000000002</v>
      </c>
      <c r="BZ139" s="343">
        <f>SUMIFS($AU140:AU$1388,$Q140:Q$1388,"O")</f>
        <v>-1648.8579999997983</v>
      </c>
    </row>
    <row r="140" spans="1:78" ht="18" customHeight="1">
      <c r="A140" s="177" t="s">
        <v>785</v>
      </c>
      <c r="B140" s="177">
        <v>44931</v>
      </c>
      <c r="C140" s="178" t="s">
        <v>606</v>
      </c>
      <c r="D140" s="178" t="s">
        <v>93</v>
      </c>
      <c r="E140" s="227"/>
      <c r="F140" s="180"/>
      <c r="G140" s="249" t="s">
        <v>757</v>
      </c>
      <c r="H140" s="182"/>
      <c r="I140" s="182"/>
      <c r="J140" s="182"/>
      <c r="K140" s="183"/>
      <c r="L140" s="182">
        <v>1</v>
      </c>
      <c r="M140" s="182">
        <v>1</v>
      </c>
      <c r="N140" s="182">
        <v>1</v>
      </c>
      <c r="O140" s="183" t="s">
        <v>95</v>
      </c>
      <c r="P140" s="183" t="s">
        <v>96</v>
      </c>
      <c r="Q140" s="183" t="s">
        <v>97</v>
      </c>
      <c r="R140" s="183">
        <v>1</v>
      </c>
      <c r="S140" s="183">
        <v>1</v>
      </c>
      <c r="T140" s="183">
        <v>1</v>
      </c>
      <c r="U140" s="183" t="s">
        <v>97</v>
      </c>
      <c r="V140" s="183"/>
      <c r="W140" s="183"/>
      <c r="X140" s="183"/>
      <c r="Y140" s="184">
        <f t="shared" si="57"/>
        <v>0.01</v>
      </c>
      <c r="Z140" s="184">
        <f>IF(ISBLANK(O140),,IF(O140=UPPER("IB"),8.63*200,16.6*100))</f>
        <v>1660.0000000000002</v>
      </c>
      <c r="AA140" s="185" t="s">
        <v>819</v>
      </c>
      <c r="AB140" s="185" t="s">
        <v>825</v>
      </c>
      <c r="AC140" s="185" t="s">
        <v>809</v>
      </c>
      <c r="AD140" s="649">
        <v>0.18</v>
      </c>
      <c r="AE140" s="182"/>
      <c r="AF140" s="332">
        <v>0.23</v>
      </c>
      <c r="AG140" s="182"/>
      <c r="AH140" s="182" t="s">
        <v>822</v>
      </c>
      <c r="AI140" s="182" t="s">
        <v>812</v>
      </c>
      <c r="AJ140" s="640" t="s">
        <v>826</v>
      </c>
      <c r="AK140" s="182">
        <v>1</v>
      </c>
      <c r="AL140" s="496">
        <f>-0.05*Z140</f>
        <v>-83.000000000000014</v>
      </c>
      <c r="AM140" s="496">
        <f t="shared" si="59"/>
        <v>-83.000000000000014</v>
      </c>
      <c r="AN140" s="626" t="s">
        <v>814</v>
      </c>
      <c r="AO140" s="182"/>
      <c r="AP140" s="182" t="s">
        <v>827</v>
      </c>
      <c r="AQ140" s="332" t="str">
        <f>UPPER(RIGHT(Journal_Live[[#This Row],[DURATION ]]))</f>
        <v>D</v>
      </c>
      <c r="AR140" s="182" t="s">
        <v>828</v>
      </c>
      <c r="AS140" s="189">
        <v>0.14000000000000001</v>
      </c>
      <c r="AT140" s="189">
        <f t="shared" si="60"/>
        <v>3.999999999999998E-2</v>
      </c>
      <c r="AU140" s="187">
        <f t="shared" si="61"/>
        <v>66.399999999999977</v>
      </c>
      <c r="AV140" s="190">
        <f t="shared" si="62"/>
        <v>66.399999999999977</v>
      </c>
      <c r="AW140" s="191" t="s">
        <v>96</v>
      </c>
      <c r="AX140" s="407" t="s">
        <v>829</v>
      </c>
      <c r="AY140" s="407"/>
      <c r="AZ140" s="407"/>
      <c r="BA140" s="407"/>
      <c r="BB140" s="407"/>
      <c r="BC140" s="407"/>
      <c r="BD140" s="407"/>
      <c r="BE140" s="407"/>
      <c r="BF140" s="422"/>
      <c r="BG140" s="391">
        <f>SUM($AV$4:AV140)</f>
        <v>1132.8200000000265</v>
      </c>
      <c r="BH140" s="392">
        <f>SUM($AU$134:AU140)</f>
        <v>196.8</v>
      </c>
      <c r="BI140" s="318">
        <f>SUMIFS($AU$134:AU141,$Q$134:Q141,"F")</f>
        <v>0</v>
      </c>
      <c r="BJ140" s="318">
        <f>SUMIFS($AU$134:AU141,$Q$134:Q141,"S")</f>
        <v>196.8</v>
      </c>
      <c r="BK140" s="343">
        <f>SUMIFS($AU$134:AU141,$P$134:P141,"W")</f>
        <v>180.5</v>
      </c>
      <c r="BL140" s="343">
        <f>SUMIFS($AU$134:AU141,$P$134:P141,"R")</f>
        <v>-32.600000000001842</v>
      </c>
      <c r="BM140" s="343">
        <f>SUMIFS($AU$134:AU141,$AQ$134:AQ141,"M")</f>
        <v>0</v>
      </c>
      <c r="BN140" s="343">
        <f>SUMIFS($AU$134:AU141,$AQ$134:AQ141,"H")</f>
        <v>-48.900000000001853</v>
      </c>
      <c r="BO140" s="343">
        <f>SUMIFS($AU$134:AU141,$AQ$134:AQ141,"D")</f>
        <v>82.699999999999989</v>
      </c>
      <c r="BP140" s="343">
        <f>SUMIFS($AU$134:AU143,$AQ$134:AQ143,"W")</f>
        <v>0</v>
      </c>
      <c r="BQ140" s="343">
        <f>SUMIFS($AU$134:AU141,$Q$134:Q141,"O")</f>
        <v>-48.900000000001853</v>
      </c>
      <c r="BR140" s="343">
        <f>SUMIFS($AU$134:AU141,$AA$134:AA141,"*")</f>
        <v>147.89999999999816</v>
      </c>
      <c r="BS140" s="343">
        <f>SUMIFS($AU$134:AU141,$AB$134:AB141,"*")</f>
        <v>115.29999999999814</v>
      </c>
      <c r="BT140" s="343">
        <f>SUMIFS($AU$134:AU141,$AC$134:AC141,"*")</f>
        <v>180.5</v>
      </c>
      <c r="BU140" s="343">
        <f>SUMIFS($AU$134:AU141,$AA$134:AA141,"*",$AB$134:AB141,"*")</f>
        <v>115.29999999999814</v>
      </c>
      <c r="BV140" s="343">
        <f>SUMIFS($AU$134:AU141,$AA$134:AA141,"*",$AC$134:AC141,"*")</f>
        <v>180.5</v>
      </c>
      <c r="BW140" s="343">
        <f>SUMIFS($AU$134:AU141,$AB$134:AB141,"*",$AC$134:AC141,"*")</f>
        <v>164.2</v>
      </c>
      <c r="BX140" s="343">
        <f>SUMIFS($AU141:AU$1388,$Q141:Q$1388,"F")</f>
        <v>14440.666666666668</v>
      </c>
      <c r="BY140" s="343">
        <f>SUMIFS($AU141:AU$1388,$Q141:Q$1388,"S")</f>
        <v>20474.842000000001</v>
      </c>
      <c r="BZ140" s="343">
        <f>SUMIFS($AU141:AU$1388,$Q141:Q$1388,"O")</f>
        <v>-1648.8579999997983</v>
      </c>
    </row>
    <row r="141" spans="1:78" ht="18" customHeight="1">
      <c r="A141" s="177" t="s">
        <v>785</v>
      </c>
      <c r="B141" s="177">
        <v>44931</v>
      </c>
      <c r="C141" s="178" t="s">
        <v>830</v>
      </c>
      <c r="D141" s="178" t="s">
        <v>93</v>
      </c>
      <c r="E141" s="227"/>
      <c r="F141" s="180"/>
      <c r="G141" s="181" t="s">
        <v>831</v>
      </c>
      <c r="H141" s="182"/>
      <c r="I141" s="182"/>
      <c r="J141" s="182"/>
      <c r="K141" s="183"/>
      <c r="L141" s="182"/>
      <c r="M141" s="182">
        <v>1</v>
      </c>
      <c r="N141" s="182">
        <v>1</v>
      </c>
      <c r="O141" s="183" t="s">
        <v>95</v>
      </c>
      <c r="P141" s="183" t="s">
        <v>137</v>
      </c>
      <c r="Q141" s="183" t="s">
        <v>684</v>
      </c>
      <c r="R141" s="183">
        <v>1</v>
      </c>
      <c r="S141" s="183">
        <v>1</v>
      </c>
      <c r="T141" s="183">
        <v>1</v>
      </c>
      <c r="U141" s="183" t="s">
        <v>22</v>
      </c>
      <c r="V141" s="183"/>
      <c r="W141" s="183"/>
      <c r="X141" s="183"/>
      <c r="Y141" s="184">
        <f t="shared" si="57"/>
        <v>0.01</v>
      </c>
      <c r="Z141" s="184">
        <f>IF(ISBLANK(O141),,IF(O141=UPPER("IB"),8.63*200,16.3*100))</f>
        <v>1630</v>
      </c>
      <c r="AA141" s="185" t="s">
        <v>832</v>
      </c>
      <c r="AB141" s="185" t="s">
        <v>833</v>
      </c>
      <c r="AC141" s="185"/>
      <c r="AD141" s="649">
        <v>95.85</v>
      </c>
      <c r="AE141" s="182"/>
      <c r="AF141" s="332">
        <v>95.81</v>
      </c>
      <c r="AG141" s="182"/>
      <c r="AH141" s="182" t="s">
        <v>834</v>
      </c>
      <c r="AI141" s="182" t="s">
        <v>835</v>
      </c>
      <c r="AJ141" s="640" t="s">
        <v>836</v>
      </c>
      <c r="AK141" s="182"/>
      <c r="AL141" s="496">
        <f>-0.04*Z141</f>
        <v>-65.2</v>
      </c>
      <c r="AM141" s="496">
        <f t="shared" si="59"/>
        <v>-65.2</v>
      </c>
      <c r="AN141" s="626" t="s">
        <v>837</v>
      </c>
      <c r="AO141" s="182"/>
      <c r="AP141" s="182" t="s">
        <v>838</v>
      </c>
      <c r="AQ141" s="332" t="str">
        <f>UPPER(RIGHT(Journal_Live[[#This Row],[DURATION ]]))</f>
        <v>H</v>
      </c>
      <c r="AR141" s="229">
        <v>0.79166666666666663</v>
      </c>
      <c r="AS141" s="189">
        <v>95.82</v>
      </c>
      <c r="AT141" s="189">
        <f t="shared" si="60"/>
        <v>-3.0000000000001137E-2</v>
      </c>
      <c r="AU141" s="187">
        <f t="shared" si="61"/>
        <v>-48.900000000001853</v>
      </c>
      <c r="AV141" s="190">
        <f t="shared" si="62"/>
        <v>-48.900000000001853</v>
      </c>
      <c r="AW141" s="191" t="s">
        <v>229</v>
      </c>
      <c r="AX141" s="407" t="s">
        <v>839</v>
      </c>
      <c r="AY141" s="407" t="s">
        <v>840</v>
      </c>
      <c r="AZ141" s="407" t="s">
        <v>841</v>
      </c>
      <c r="BA141" s="407"/>
      <c r="BB141" s="407"/>
      <c r="BC141" s="407"/>
      <c r="BD141" s="407" t="s">
        <v>842</v>
      </c>
      <c r="BE141" s="407" t="s">
        <v>843</v>
      </c>
      <c r="BF141" s="422" t="s">
        <v>844</v>
      </c>
      <c r="BG141" s="391">
        <f>SUM($AV$4:AV141)</f>
        <v>1083.9200000000246</v>
      </c>
      <c r="BH141" s="392">
        <f>SUM($AU$134:AU141)</f>
        <v>147.89999999999816</v>
      </c>
      <c r="BI141" s="318">
        <f>SUMIFS($AU$134:AU142,$Q$134:Q142,"F")</f>
        <v>0</v>
      </c>
      <c r="BJ141" s="318">
        <f>SUMIFS($AU$134:AU142,$Q$134:Q142,"S")</f>
        <v>229.2</v>
      </c>
      <c r="BK141" s="343">
        <f>SUMIFS($AU$134:AU142,$P$134:P142,"W")</f>
        <v>180.5</v>
      </c>
      <c r="BL141" s="343">
        <f>SUMIFS($AU$134:AU142,$P$134:P142,"R")</f>
        <v>-0.20000000000185736</v>
      </c>
      <c r="BM141" s="343">
        <f>SUMIFS($AU$134:AU142,$AQ$134:AQ142,"M")</f>
        <v>0</v>
      </c>
      <c r="BN141" s="343">
        <f>SUMIFS($AU$134:AU142,$AQ$134:AQ142,"H")</f>
        <v>-16.500000000001869</v>
      </c>
      <c r="BO141" s="343">
        <f>SUMIFS($AU$134:AU142,$AQ$134:AQ142,"D")</f>
        <v>82.699999999999989</v>
      </c>
      <c r="BP141" s="343">
        <f>SUMIFS($AU$134:AU144,$AQ$134:AQ144,"W")</f>
        <v>167.20000000000002</v>
      </c>
      <c r="BQ141" s="343">
        <f>SUMIFS($AU$134:AU142,$Q$134:Q142,"O")</f>
        <v>-48.900000000001853</v>
      </c>
      <c r="BR141" s="343">
        <f>SUMIFS($AU$134:AU142,$AA$134:AA142,"*")</f>
        <v>180.29999999999814</v>
      </c>
      <c r="BS141" s="343">
        <f>SUMIFS($AU$134:AU142,$AB$134:AB142,"*")</f>
        <v>115.29999999999814</v>
      </c>
      <c r="BT141" s="343">
        <f>SUMIFS($AU$134:AU142,$AC$134:AC142,"*")</f>
        <v>212.89999999999998</v>
      </c>
      <c r="BU141" s="343">
        <f>SUMIFS($AU$134:AU142,$AA$134:AA142,"*",$AB$134:AB142,"*")</f>
        <v>115.29999999999814</v>
      </c>
      <c r="BV141" s="343">
        <f>SUMIFS($AU$134:AU142,$AA$134:AA142,"*",$AC$134:AC142,"*")</f>
        <v>212.89999999999998</v>
      </c>
      <c r="BW141" s="343">
        <f>SUMIFS($AU$134:AU142,$AB$134:AB142,"*",$AC$134:AC142,"*")</f>
        <v>164.2</v>
      </c>
      <c r="BX141" s="343">
        <f>SUMIFS($AU142:AU$1388,$Q142:Q$1388,"F")</f>
        <v>14440.666666666668</v>
      </c>
      <c r="BY141" s="343">
        <f>SUMIFS($AU142:AU$1388,$Q142:Q$1388,"S")</f>
        <v>20474.842000000001</v>
      </c>
      <c r="BZ141" s="343">
        <f>SUMIFS($AU142:AU$1388,$Q142:Q$1388,"O")</f>
        <v>-1599.9579999997966</v>
      </c>
    </row>
    <row r="142" spans="1:78" ht="18" customHeight="1">
      <c r="A142" s="177" t="s">
        <v>785</v>
      </c>
      <c r="B142" s="177">
        <v>44931</v>
      </c>
      <c r="C142" s="178" t="s">
        <v>845</v>
      </c>
      <c r="D142" s="178" t="s">
        <v>93</v>
      </c>
      <c r="E142" s="227"/>
      <c r="F142" s="180"/>
      <c r="G142" s="181" t="s">
        <v>271</v>
      </c>
      <c r="H142" s="182"/>
      <c r="I142" s="182"/>
      <c r="J142" s="182"/>
      <c r="K142" s="183"/>
      <c r="L142" s="182">
        <v>1</v>
      </c>
      <c r="M142" s="182"/>
      <c r="N142" s="182"/>
      <c r="O142" s="183" t="s">
        <v>95</v>
      </c>
      <c r="P142" s="183" t="s">
        <v>137</v>
      </c>
      <c r="Q142" s="183" t="s">
        <v>97</v>
      </c>
      <c r="R142" s="183">
        <v>2</v>
      </c>
      <c r="S142" s="183">
        <v>2</v>
      </c>
      <c r="T142" s="183">
        <v>2</v>
      </c>
      <c r="U142" s="183" t="s">
        <v>22</v>
      </c>
      <c r="V142" s="183"/>
      <c r="W142" s="183"/>
      <c r="X142" s="183"/>
      <c r="Y142" s="184">
        <f t="shared" si="57"/>
        <v>0.01</v>
      </c>
      <c r="Z142" s="184">
        <f>IF(ISBLANK(O142),,IF(O142=UPPER("IB"),8.63*200,16.2*100))</f>
        <v>1620</v>
      </c>
      <c r="AA142" s="185" t="s">
        <v>138</v>
      </c>
      <c r="AB142" s="185"/>
      <c r="AC142" s="185" t="s">
        <v>99</v>
      </c>
      <c r="AD142" s="649">
        <v>-0.11</v>
      </c>
      <c r="AE142" s="182"/>
      <c r="AF142" s="332"/>
      <c r="AG142" s="182"/>
      <c r="AH142" s="182"/>
      <c r="AI142" s="182"/>
      <c r="AJ142" s="640"/>
      <c r="AK142" s="182"/>
      <c r="AL142" s="496"/>
      <c r="AM142" s="497"/>
      <c r="AN142" s="626"/>
      <c r="AO142" s="182"/>
      <c r="AP142" s="182" t="s">
        <v>846</v>
      </c>
      <c r="AQ142" s="332" t="str">
        <f>UPPER(RIGHT(Journal_Live[[#This Row],[DURATION ]]))</f>
        <v>H</v>
      </c>
      <c r="AR142" s="182" t="s">
        <v>847</v>
      </c>
      <c r="AS142" s="189">
        <v>-0.1</v>
      </c>
      <c r="AT142" s="189">
        <f t="shared" si="60"/>
        <v>9.999999999999995E-3</v>
      </c>
      <c r="AU142" s="187">
        <f t="shared" si="61"/>
        <v>32.399999999999984</v>
      </c>
      <c r="AV142" s="190">
        <f t="shared" si="62"/>
        <v>16.199999999999992</v>
      </c>
      <c r="AW142" s="191" t="s">
        <v>96</v>
      </c>
      <c r="AX142" s="407"/>
      <c r="AY142" s="407"/>
      <c r="AZ142" s="407"/>
      <c r="BA142" s="407"/>
      <c r="BB142" s="407"/>
      <c r="BC142" s="407"/>
      <c r="BD142" s="407"/>
      <c r="BE142" s="407"/>
      <c r="BF142" s="422"/>
      <c r="BG142" s="391">
        <f>SUM($AV$4:AV142)</f>
        <v>1100.1200000000247</v>
      </c>
      <c r="BH142" s="392">
        <f>SUM($AU$134:AU142)</f>
        <v>180.29999999999814</v>
      </c>
      <c r="BI142" s="318">
        <f>SUMIFS($AU$134:AU143,$Q$134:Q143,"F")</f>
        <v>0</v>
      </c>
      <c r="BJ142" s="318">
        <f>SUMIFS($AU$134:AU143,$Q$134:Q143,"S")</f>
        <v>262.39999999999998</v>
      </c>
      <c r="BK142" s="343">
        <f>SUMIFS($AU$134:AU143,$P$134:P143,"W")</f>
        <v>180.5</v>
      </c>
      <c r="BL142" s="343">
        <f>SUMIFS($AU$134:AU143,$P$134:P143,"R")</f>
        <v>32.999999999998153</v>
      </c>
      <c r="BM142" s="343">
        <f>SUMIFS($AU$134:AU143,$AQ$134:AQ143,"M")</f>
        <v>0</v>
      </c>
      <c r="BN142" s="343">
        <f>SUMIFS($AU$134:AU143,$AQ$134:AQ143,"H")</f>
        <v>-16.500000000001869</v>
      </c>
      <c r="BO142" s="343">
        <f>SUMIFS($AU$134:AU143,$AQ$134:AQ143,"D")</f>
        <v>82.699999999999989</v>
      </c>
      <c r="BP142" s="343">
        <f>SUMIFS($AU$134:AU145,$AQ$134:AQ145,"W")</f>
        <v>167.20000000000002</v>
      </c>
      <c r="BQ142" s="343">
        <f>SUMIFS($AU$134:AU143,$Q$134:Q143,"O")</f>
        <v>-48.900000000001853</v>
      </c>
      <c r="BR142" s="343">
        <f>SUMIFS($AU$134:AU143,$AA$134:AA143,"*")</f>
        <v>213.49999999999815</v>
      </c>
      <c r="BS142" s="343">
        <f>SUMIFS($AU$134:AU143,$AB$134:AB143,"*")</f>
        <v>115.29999999999814</v>
      </c>
      <c r="BT142" s="343">
        <f>SUMIFS($AU$134:AU143,$AC$134:AC143,"*")</f>
        <v>212.89999999999998</v>
      </c>
      <c r="BU142" s="343">
        <f>SUMIFS($AU$134:AU143,$AA$134:AA143,"*",$AB$134:AB143,"*")</f>
        <v>115.29999999999814</v>
      </c>
      <c r="BV142" s="343">
        <f>SUMIFS($AU$134:AU143,$AA$134:AA143,"*",$AC$134:AC143,"*")</f>
        <v>212.89999999999998</v>
      </c>
      <c r="BW142" s="343">
        <f>SUMIFS($AU$134:AU143,$AB$134:AB143,"*",$AC$134:AC143,"*")</f>
        <v>164.2</v>
      </c>
      <c r="BX142" s="343">
        <f>SUMIFS($AU143:AU$1388,$Q143:Q$1388,"F")</f>
        <v>14440.666666666668</v>
      </c>
      <c r="BY142" s="343">
        <f>SUMIFS($AU143:AU$1388,$Q143:Q$1388,"S")</f>
        <v>20442.441999999999</v>
      </c>
      <c r="BZ142" s="343">
        <f>SUMIFS($AU143:AU$1388,$Q143:Q$1388,"O")</f>
        <v>-1599.9579999997966</v>
      </c>
    </row>
    <row r="143" spans="1:78" ht="18" customHeight="1">
      <c r="A143" s="177" t="s">
        <v>785</v>
      </c>
      <c r="B143" s="177">
        <v>44932</v>
      </c>
      <c r="C143" s="178" t="s">
        <v>848</v>
      </c>
      <c r="D143" s="178" t="s">
        <v>111</v>
      </c>
      <c r="E143" s="227"/>
      <c r="F143" s="180"/>
      <c r="G143" s="241" t="s">
        <v>280</v>
      </c>
      <c r="H143" s="182"/>
      <c r="I143" s="182"/>
      <c r="J143" s="182"/>
      <c r="K143" s="183"/>
      <c r="L143" s="182">
        <v>1</v>
      </c>
      <c r="M143" s="182"/>
      <c r="N143" s="182"/>
      <c r="O143" s="183" t="s">
        <v>95</v>
      </c>
      <c r="P143" s="183" t="s">
        <v>137</v>
      </c>
      <c r="Q143" s="183" t="s">
        <v>97</v>
      </c>
      <c r="R143" s="183">
        <v>1</v>
      </c>
      <c r="S143" s="183">
        <v>1</v>
      </c>
      <c r="T143" s="183">
        <v>1</v>
      </c>
      <c r="U143" s="183" t="s">
        <v>97</v>
      </c>
      <c r="V143" s="183"/>
      <c r="W143" s="183"/>
      <c r="X143" s="183"/>
      <c r="Y143" s="184">
        <f t="shared" si="57"/>
        <v>0.01</v>
      </c>
      <c r="Z143" s="184">
        <f>IF(ISBLANK(O143),,IF(O143=UPPER("IB"),8.63*200,16.6*100))</f>
        <v>1660.0000000000002</v>
      </c>
      <c r="AA143" s="185" t="s">
        <v>849</v>
      </c>
      <c r="AB143" s="185"/>
      <c r="AC143" s="185"/>
      <c r="AD143" s="649">
        <v>-0.08</v>
      </c>
      <c r="AE143" s="182"/>
      <c r="AF143" s="332"/>
      <c r="AG143" s="182"/>
      <c r="AH143" s="182">
        <v>-10</v>
      </c>
      <c r="AI143" s="182"/>
      <c r="AJ143" s="640"/>
      <c r="AK143" s="182"/>
      <c r="AL143" s="496"/>
      <c r="AM143" s="497"/>
      <c r="AN143" s="626"/>
      <c r="AO143" s="182"/>
      <c r="AP143" s="182"/>
      <c r="AQ143" s="332" t="str">
        <f>UPPER(RIGHT(Journal_Live[[#This Row],[DURATION ]]))</f>
        <v/>
      </c>
      <c r="AR143" s="182" t="s">
        <v>850</v>
      </c>
      <c r="AS143" s="189">
        <v>-0.1</v>
      </c>
      <c r="AT143" s="189">
        <f t="shared" si="60"/>
        <v>2.0000000000000004E-2</v>
      </c>
      <c r="AU143" s="187">
        <f t="shared" si="61"/>
        <v>33.20000000000001</v>
      </c>
      <c r="AV143" s="190">
        <f t="shared" si="62"/>
        <v>33.20000000000001</v>
      </c>
      <c r="AW143" s="191" t="s">
        <v>96</v>
      </c>
      <c r="AX143" s="407"/>
      <c r="AY143" s="407"/>
      <c r="AZ143" s="407"/>
      <c r="BA143" s="407"/>
      <c r="BB143" s="407"/>
      <c r="BC143" s="407"/>
      <c r="BD143" s="407"/>
      <c r="BE143" s="407"/>
      <c r="BF143" s="422"/>
      <c r="BG143" s="391">
        <f>SUM($AV$4:AV143)</f>
        <v>1133.3200000000247</v>
      </c>
      <c r="BH143" s="392">
        <f>SUM($AU$134:AU143)</f>
        <v>213.49999999999815</v>
      </c>
      <c r="BI143" s="318">
        <f>SUMIFS($AU$134:AU144,$Q$134:Q144,"F")</f>
        <v>0</v>
      </c>
      <c r="BJ143" s="318">
        <f>SUMIFS($AU$134:AU144,$Q$134:Q144,"S")</f>
        <v>429.6</v>
      </c>
      <c r="BK143" s="343">
        <f>SUMIFS($AU$134:AU144,$P$134:P144,"W")</f>
        <v>347.70000000000005</v>
      </c>
      <c r="BL143" s="343">
        <f>SUMIFS($AU$134:AU144,$P$134:P144,"R")</f>
        <v>32.999999999998153</v>
      </c>
      <c r="BM143" s="343">
        <f>SUMIFS($AU$134:AU144,$AQ$134:AQ144,"M")</f>
        <v>0</v>
      </c>
      <c r="BN143" s="343">
        <f>SUMIFS($AU$134:AU144,$AQ$134:AQ144,"H")</f>
        <v>-16.500000000001869</v>
      </c>
      <c r="BO143" s="343">
        <f>SUMIFS($AU$134:AU144,$AQ$134:AQ144,"D")</f>
        <v>82.699999999999989</v>
      </c>
      <c r="BP143" s="343">
        <f>SUMIFS($AU$134:AU146,$AQ$134:AQ146,"W")</f>
        <v>167.20000000000002</v>
      </c>
      <c r="BQ143" s="343">
        <f>SUMIFS($AU$134:AU144,$Q$134:Q144,"O")</f>
        <v>-48.900000000001853</v>
      </c>
      <c r="BR143" s="343">
        <f>SUMIFS($AU$134:AU144,$AA$134:AA144,"*")</f>
        <v>380.69999999999817</v>
      </c>
      <c r="BS143" s="343">
        <f>SUMIFS($AU$134:AU144,$AB$134:AB144,"*")</f>
        <v>282.49999999999818</v>
      </c>
      <c r="BT143" s="343">
        <f>SUMIFS($AU$134:AU144,$AC$134:AC144,"*")</f>
        <v>380.1</v>
      </c>
      <c r="BU143" s="343">
        <f>SUMIFS($AU$134:AU144,$AA$134:AA144,"*",$AB$134:AB144,"*")</f>
        <v>282.49999999999818</v>
      </c>
      <c r="BV143" s="343">
        <f>SUMIFS($AU$134:AU144,$AA$134:AA144,"*",$AC$134:AC144,"*")</f>
        <v>380.1</v>
      </c>
      <c r="BW143" s="343">
        <f>SUMIFS($AU$134:AU144,$AB$134:AB144,"*",$AC$134:AC144,"*")</f>
        <v>331.4</v>
      </c>
      <c r="BX143" s="343">
        <f>SUMIFS($AU144:AU$1388,$Q144:Q$1388,"F")</f>
        <v>14440.666666666668</v>
      </c>
      <c r="BY143" s="343">
        <f>SUMIFS($AU144:AU$1388,$Q144:Q$1388,"S")</f>
        <v>20409.241999999998</v>
      </c>
      <c r="BZ143" s="343">
        <f>SUMIFS($AU144:AU$1388,$Q144:Q$1388,"O")</f>
        <v>-1599.9579999997966</v>
      </c>
    </row>
    <row r="144" spans="1:78" ht="18" customHeight="1">
      <c r="A144" s="177" t="s">
        <v>785</v>
      </c>
      <c r="B144" s="177">
        <v>44932</v>
      </c>
      <c r="C144" s="178" t="s">
        <v>851</v>
      </c>
      <c r="D144" s="178" t="s">
        <v>111</v>
      </c>
      <c r="E144" s="227"/>
      <c r="F144" s="180"/>
      <c r="G144" s="263" t="s">
        <v>757</v>
      </c>
      <c r="H144" s="182"/>
      <c r="I144" s="182"/>
      <c r="J144" s="182"/>
      <c r="K144" s="183"/>
      <c r="L144" s="182">
        <v>1</v>
      </c>
      <c r="M144" s="182">
        <v>1</v>
      </c>
      <c r="N144" s="182">
        <v>1</v>
      </c>
      <c r="O144" s="183" t="s">
        <v>95</v>
      </c>
      <c r="P144" s="183" t="s">
        <v>96</v>
      </c>
      <c r="Q144" s="183" t="s">
        <v>97</v>
      </c>
      <c r="R144" s="183">
        <v>1</v>
      </c>
      <c r="S144" s="183">
        <v>1</v>
      </c>
      <c r="T144" s="183">
        <v>1</v>
      </c>
      <c r="U144" s="183" t="s">
        <v>97</v>
      </c>
      <c r="V144" s="183"/>
      <c r="W144" s="183"/>
      <c r="X144" s="183"/>
      <c r="Y144" s="184">
        <f t="shared" si="57"/>
        <v>0.01</v>
      </c>
      <c r="Z144" s="184">
        <f>IF(ISBLANK(O144),,IF(O144=UPPER("IB"),8.63*200,16.72*100))</f>
        <v>1672</v>
      </c>
      <c r="AA144" s="185" t="s">
        <v>819</v>
      </c>
      <c r="AB144" s="185" t="s">
        <v>852</v>
      </c>
      <c r="AC144" s="185" t="s">
        <v>853</v>
      </c>
      <c r="AD144" s="649">
        <v>0.19</v>
      </c>
      <c r="AE144" s="182"/>
      <c r="AF144" s="332">
        <v>0.23</v>
      </c>
      <c r="AG144" s="182"/>
      <c r="AH144" s="182" t="s">
        <v>822</v>
      </c>
      <c r="AI144" s="182" t="s">
        <v>812</v>
      </c>
      <c r="AJ144" s="640" t="s">
        <v>826</v>
      </c>
      <c r="AK144" s="182">
        <v>1</v>
      </c>
      <c r="AL144" s="496">
        <f>-0.04*Z144</f>
        <v>-66.88</v>
      </c>
      <c r="AM144" s="496">
        <f>AL144*R144</f>
        <v>-66.88</v>
      </c>
      <c r="AN144" s="626"/>
      <c r="AO144" s="182"/>
      <c r="AP144" s="182" t="s">
        <v>428</v>
      </c>
      <c r="AQ144" s="332" t="s">
        <v>96</v>
      </c>
      <c r="AR144" s="182" t="s">
        <v>854</v>
      </c>
      <c r="AS144" s="189">
        <v>0.09</v>
      </c>
      <c r="AT144" s="189">
        <f t="shared" si="60"/>
        <v>0.1</v>
      </c>
      <c r="AU144" s="187">
        <f t="shared" si="61"/>
        <v>167.20000000000002</v>
      </c>
      <c r="AV144" s="190">
        <f t="shared" si="62"/>
        <v>167.20000000000002</v>
      </c>
      <c r="AW144" s="191" t="s">
        <v>96</v>
      </c>
      <c r="AX144" s="407" t="s">
        <v>855</v>
      </c>
      <c r="AY144" s="407"/>
      <c r="AZ144" s="407"/>
      <c r="BA144" s="407"/>
      <c r="BB144" s="407"/>
      <c r="BC144" s="407"/>
      <c r="BD144" s="407"/>
      <c r="BE144" s="407"/>
      <c r="BF144" s="422"/>
      <c r="BG144" s="391">
        <f>SUM($AV$4:AV144)</f>
        <v>1300.5200000000248</v>
      </c>
      <c r="BH144" s="392">
        <f>SUM($AU$134:AU144)</f>
        <v>380.69999999999817</v>
      </c>
      <c r="BI144" s="318">
        <f>SUMIFS($AU$134:AU145,$Q$134:Q145,"F")</f>
        <v>0</v>
      </c>
      <c r="BJ144" s="318">
        <f>SUMIFS($AU$134:AU145,$Q$134:Q145,"S")</f>
        <v>479.40000000000003</v>
      </c>
      <c r="BK144" s="343">
        <f>SUMIFS($AU$134:AU145,$P$134:P145,"W")</f>
        <v>347.70000000000005</v>
      </c>
      <c r="BL144" s="343">
        <f>SUMIFS($AU$134:AU145,$P$134:P145,"R")</f>
        <v>82.799999999998164</v>
      </c>
      <c r="BM144" s="343">
        <f>SUMIFS($AU$134:AU145,$AQ$134:AQ145,"M")</f>
        <v>0</v>
      </c>
      <c r="BN144" s="343">
        <f>SUMIFS($AU$134:AU145,$AQ$134:AQ145,"H")</f>
        <v>-16.500000000001869</v>
      </c>
      <c r="BO144" s="343">
        <f>SUMIFS($AU$134:AU145,$AQ$134:AQ145,"D")</f>
        <v>132.5</v>
      </c>
      <c r="BP144" s="343">
        <f>SUMIFS($AU$134:AU147,$AQ$134:AQ147,"W")</f>
        <v>167.20000000000002</v>
      </c>
      <c r="BQ144" s="343">
        <f>SUMIFS($AU$134:AU145,$Q$134:Q145,"O")</f>
        <v>-48.900000000001853</v>
      </c>
      <c r="BR144" s="343">
        <f>SUMIFS($AU$134:AU145,$AA$134:AA145,"*")</f>
        <v>430.49999999999818</v>
      </c>
      <c r="BS144" s="343">
        <f>SUMIFS($AU$134:AU145,$AB$134:AB145,"*")</f>
        <v>282.49999999999818</v>
      </c>
      <c r="BT144" s="343">
        <f>SUMIFS($AU$134:AU145,$AC$134:AC145,"*")</f>
        <v>429.90000000000003</v>
      </c>
      <c r="BU144" s="343">
        <f>SUMIFS($AU$134:AU145,$AA$134:AA145,"*",$AB$134:AB145,"*")</f>
        <v>282.49999999999818</v>
      </c>
      <c r="BV144" s="343">
        <f>SUMIFS($AU$134:AU145,$AA$134:AA145,"*",$AC$134:AC145,"*")</f>
        <v>429.90000000000003</v>
      </c>
      <c r="BW144" s="343">
        <f>SUMIFS($AU$134:AU145,$AB$134:AB145,"*",$AC$134:AC145,"*")</f>
        <v>331.4</v>
      </c>
      <c r="BX144" s="343">
        <f>SUMIFS($AU145:AU$1388,$Q145:Q$1388,"F")</f>
        <v>14440.666666666668</v>
      </c>
      <c r="BY144" s="343">
        <f>SUMIFS($AU145:AU$1388,$Q145:Q$1388,"S")</f>
        <v>20242.042000000001</v>
      </c>
      <c r="BZ144" s="343">
        <f>SUMIFS($AU145:AU$1388,$Q145:Q$1388,"O")</f>
        <v>-1599.9579999997966</v>
      </c>
    </row>
    <row r="145" spans="1:78" ht="18" customHeight="1">
      <c r="A145" s="177" t="s">
        <v>785</v>
      </c>
      <c r="B145" s="177">
        <v>44932</v>
      </c>
      <c r="C145" s="178" t="s">
        <v>856</v>
      </c>
      <c r="D145" s="178" t="s">
        <v>111</v>
      </c>
      <c r="E145" s="227"/>
      <c r="F145" s="180"/>
      <c r="G145" s="241" t="s">
        <v>553</v>
      </c>
      <c r="H145" s="182"/>
      <c r="I145" s="182"/>
      <c r="J145" s="182"/>
      <c r="K145" s="183"/>
      <c r="L145" s="182">
        <v>1</v>
      </c>
      <c r="M145" s="182"/>
      <c r="N145" s="182"/>
      <c r="O145" s="183" t="s">
        <v>95</v>
      </c>
      <c r="P145" s="183" t="s">
        <v>137</v>
      </c>
      <c r="Q145" s="183" t="s">
        <v>97</v>
      </c>
      <c r="R145" s="183">
        <v>2</v>
      </c>
      <c r="S145" s="183">
        <v>2</v>
      </c>
      <c r="T145" s="183">
        <v>2</v>
      </c>
      <c r="U145" s="183" t="s">
        <v>97</v>
      </c>
      <c r="V145" s="183"/>
      <c r="W145" s="183"/>
      <c r="X145" s="183"/>
      <c r="Y145" s="184">
        <f t="shared" si="57"/>
        <v>0.01</v>
      </c>
      <c r="Z145" s="184">
        <f>IF(ISBLANK(O145),,IF(O145=UPPER("IB"),8.63*200,16.6*100))</f>
        <v>1660.0000000000002</v>
      </c>
      <c r="AA145" s="185" t="s">
        <v>857</v>
      </c>
      <c r="AB145" s="185"/>
      <c r="AC145" s="185" t="s">
        <v>858</v>
      </c>
      <c r="AD145" s="649">
        <v>-0.06</v>
      </c>
      <c r="AE145" s="182"/>
      <c r="AF145" s="332"/>
      <c r="AG145" s="182"/>
      <c r="AH145" s="182"/>
      <c r="AI145" s="182"/>
      <c r="AJ145" s="640"/>
      <c r="AK145" s="182"/>
      <c r="AL145" s="496">
        <f>-0.02*Z145</f>
        <v>-33.200000000000003</v>
      </c>
      <c r="AM145" s="496">
        <f>AL145*R145</f>
        <v>-66.400000000000006</v>
      </c>
      <c r="AN145" s="626"/>
      <c r="AO145" s="182"/>
      <c r="AP145" s="182" t="s">
        <v>859</v>
      </c>
      <c r="AQ145" s="332" t="str">
        <f>UPPER(RIGHT(Journal_Live[[#This Row],[DURATION ]]))</f>
        <v>D</v>
      </c>
      <c r="AR145" s="182" t="s">
        <v>860</v>
      </c>
      <c r="AS145" s="189">
        <v>-7.4999999999999997E-2</v>
      </c>
      <c r="AT145" s="189">
        <f t="shared" si="60"/>
        <v>1.4999999999999999E-2</v>
      </c>
      <c r="AU145" s="187">
        <f t="shared" si="61"/>
        <v>49.800000000000004</v>
      </c>
      <c r="AV145" s="190">
        <f t="shared" si="62"/>
        <v>24.900000000000002</v>
      </c>
      <c r="AW145" s="191" t="s">
        <v>96</v>
      </c>
      <c r="AX145" s="407"/>
      <c r="AY145" s="407"/>
      <c r="AZ145" s="407"/>
      <c r="BA145" s="407"/>
      <c r="BB145" s="407"/>
      <c r="BC145" s="407"/>
      <c r="BD145" s="407"/>
      <c r="BE145" s="407"/>
      <c r="BF145" s="422"/>
      <c r="BG145" s="391">
        <f>SUM($AV$4:AV145)</f>
        <v>1325.4200000000249</v>
      </c>
      <c r="BH145" s="392">
        <f>SUM($AU$134:AU145)</f>
        <v>430.49999999999818</v>
      </c>
      <c r="BI145" s="318">
        <f>SUMIFS($AU$134:AU146,$Q$134:Q146,"F")</f>
        <v>0</v>
      </c>
      <c r="BJ145" s="318">
        <f>SUMIFS($AU$134:AU146,$Q$134:Q146,"S")</f>
        <v>479.40000000000003</v>
      </c>
      <c r="BK145" s="343">
        <f>SUMIFS($AU$134:AU146,$P$134:P146,"W")</f>
        <v>513.70000000000005</v>
      </c>
      <c r="BL145" s="343">
        <f>SUMIFS($AU$134:AU146,$P$134:P146,"R")</f>
        <v>82.799999999998164</v>
      </c>
      <c r="BM145" s="343">
        <f>SUMIFS($AU$134:AU146,$AQ$134:AQ146,"M")</f>
        <v>0</v>
      </c>
      <c r="BN145" s="343">
        <f>SUMIFS($AU$134:AU146,$AQ$134:AQ146,"H")</f>
        <v>-16.500000000001869</v>
      </c>
      <c r="BO145" s="343">
        <f>SUMIFS($AU$134:AU146,$AQ$134:AQ146,"D")</f>
        <v>298.5</v>
      </c>
      <c r="BP145" s="343">
        <f>SUMIFS($AU$134:AU148,$AQ$134:AQ148,"W")</f>
        <v>167.20000000000002</v>
      </c>
      <c r="BQ145" s="343">
        <f>SUMIFS($AU$134:AU146,$Q$134:Q146,"O")</f>
        <v>-48.900000000001853</v>
      </c>
      <c r="BR145" s="343">
        <f>SUMIFS($AU$134:AU146,$AA$134:AA146,"*")</f>
        <v>596.49999999999818</v>
      </c>
      <c r="BS145" s="343">
        <f>SUMIFS($AU$134:AU146,$AB$134:AB146,"*")</f>
        <v>282.49999999999818</v>
      </c>
      <c r="BT145" s="343">
        <f>SUMIFS($AU$134:AU146,$AC$134:AC146,"*")</f>
        <v>429.90000000000003</v>
      </c>
      <c r="BU145" s="343">
        <f>SUMIFS($AU$134:AU146,$AA$134:AA146,"*",$AB$134:AB146,"*")</f>
        <v>282.49999999999818</v>
      </c>
      <c r="BV145" s="343">
        <f>SUMIFS($AU$134:AU146,$AA$134:AA146,"*",$AC$134:AC146,"*")</f>
        <v>429.90000000000003</v>
      </c>
      <c r="BW145" s="343">
        <f>SUMIFS($AU$134:AU146,$AB$134:AB146,"*",$AC$134:AC146,"*")</f>
        <v>331.4</v>
      </c>
      <c r="BX145" s="343">
        <f>SUMIFS($AU146:AU$1388,$Q146:Q$1388,"F")</f>
        <v>14440.666666666668</v>
      </c>
      <c r="BY145" s="343">
        <f>SUMIFS($AU146:AU$1388,$Q146:Q$1388,"S")</f>
        <v>20192.241999999998</v>
      </c>
      <c r="BZ145" s="343">
        <f>SUMIFS($AU146:AU$1388,$Q146:Q$1388,"O")</f>
        <v>-1599.9579999997966</v>
      </c>
    </row>
    <row r="146" spans="1:78" ht="18" customHeight="1">
      <c r="A146" s="177" t="s">
        <v>785</v>
      </c>
      <c r="B146" s="177">
        <v>44932</v>
      </c>
      <c r="C146" s="178" t="s">
        <v>861</v>
      </c>
      <c r="D146" s="178" t="s">
        <v>111</v>
      </c>
      <c r="E146" s="179"/>
      <c r="F146" s="180"/>
      <c r="G146" s="264" t="s">
        <v>435</v>
      </c>
      <c r="H146" s="182"/>
      <c r="I146" s="182"/>
      <c r="J146" s="182"/>
      <c r="K146" s="183"/>
      <c r="L146" s="182">
        <v>1</v>
      </c>
      <c r="M146" s="182"/>
      <c r="N146" s="182">
        <v>1</v>
      </c>
      <c r="O146" s="183" t="s">
        <v>95</v>
      </c>
      <c r="P146" s="183" t="s">
        <v>96</v>
      </c>
      <c r="Q146" s="183"/>
      <c r="R146" s="183">
        <v>1</v>
      </c>
      <c r="S146" s="183">
        <v>1</v>
      </c>
      <c r="T146" s="183">
        <v>1</v>
      </c>
      <c r="U146" s="183" t="s">
        <v>97</v>
      </c>
      <c r="V146" s="183"/>
      <c r="W146" s="183"/>
      <c r="X146" s="183"/>
      <c r="Y146" s="184">
        <f t="shared" si="57"/>
        <v>0.01</v>
      </c>
      <c r="Z146" s="184">
        <f>IF(ISBLANK(O146),,IF(O146=UPPER("IB"),8.63*200,16.6*100))</f>
        <v>1660.0000000000002</v>
      </c>
      <c r="AA146" s="185" t="s">
        <v>807</v>
      </c>
      <c r="AB146" s="185"/>
      <c r="AC146" s="185"/>
      <c r="AD146" s="649">
        <v>0.42</v>
      </c>
      <c r="AE146" s="182"/>
      <c r="AF146" s="332">
        <v>0.46</v>
      </c>
      <c r="AG146" s="182" t="s">
        <v>862</v>
      </c>
      <c r="AH146" s="182"/>
      <c r="AI146" s="182" t="s">
        <v>863</v>
      </c>
      <c r="AJ146" s="640"/>
      <c r="AK146" s="182"/>
      <c r="AL146" s="496">
        <f>-0.04*Z146</f>
        <v>-66.400000000000006</v>
      </c>
      <c r="AM146" s="496">
        <f>AL146*R146</f>
        <v>-66.400000000000006</v>
      </c>
      <c r="AN146" s="626" t="s">
        <v>814</v>
      </c>
      <c r="AO146" s="182"/>
      <c r="AP146" s="182" t="s">
        <v>864</v>
      </c>
      <c r="AQ146" s="332" t="str">
        <f>UPPER(RIGHT(Journal_Live[[#This Row],[DURATION ]]))</f>
        <v>D</v>
      </c>
      <c r="AR146" s="182" t="s">
        <v>865</v>
      </c>
      <c r="AS146" s="189">
        <v>0.32</v>
      </c>
      <c r="AT146" s="189">
        <f t="shared" si="60"/>
        <v>9.9999999999999978E-2</v>
      </c>
      <c r="AU146" s="187">
        <f t="shared" si="61"/>
        <v>166</v>
      </c>
      <c r="AV146" s="190">
        <f t="shared" si="62"/>
        <v>166</v>
      </c>
      <c r="AW146" s="191" t="s">
        <v>96</v>
      </c>
      <c r="AX146" s="407" t="s">
        <v>829</v>
      </c>
      <c r="AY146" s="407" t="s">
        <v>866</v>
      </c>
      <c r="AZ146" s="407" t="s">
        <v>867</v>
      </c>
      <c r="BA146" s="407"/>
      <c r="BB146" s="407"/>
      <c r="BC146" s="407"/>
      <c r="BD146" s="407"/>
      <c r="BE146" s="407"/>
      <c r="BF146" s="422"/>
      <c r="BG146" s="391">
        <f>SUM($AV$4:AV146)</f>
        <v>1491.4200000000249</v>
      </c>
      <c r="BH146" s="392">
        <f>SUM($AU$134:AU146)</f>
        <v>596.49999999999818</v>
      </c>
      <c r="BI146" s="318">
        <f>SUMIFS($AU$134:AU147,$Q$134:Q147,"F")</f>
        <v>0</v>
      </c>
      <c r="BJ146" s="318">
        <f>SUMIFS($AU$134:AU147,$Q$134:Q147,"S")</f>
        <v>479.40000000000003</v>
      </c>
      <c r="BK146" s="343">
        <f>SUMIFS($AU$134:AU147,$P$134:P147,"W")</f>
        <v>513.70000000000005</v>
      </c>
      <c r="BL146" s="343">
        <f>SUMIFS($AU$134:AU147,$P$134:P147,"R")</f>
        <v>82.799999999998164</v>
      </c>
      <c r="BM146" s="343">
        <f>SUMIFS($AU$134:AU147,$AQ$134:AQ147,"M")</f>
        <v>0</v>
      </c>
      <c r="BN146" s="343">
        <f>SUMIFS($AU$134:AU147,$AQ$134:AQ147,"H")</f>
        <v>-16.500000000001869</v>
      </c>
      <c r="BO146" s="343">
        <f>SUMIFS($AU$134:AU147,$AQ$134:AQ147,"D")</f>
        <v>298.5</v>
      </c>
      <c r="BP146" s="343">
        <f>SUMIFS($AU$134:AU149,$AQ$134:AQ149,"W")</f>
        <v>350.90000000000003</v>
      </c>
      <c r="BQ146" s="343">
        <f>SUMIFS($AU$134:AU147,$Q$134:Q147,"O")</f>
        <v>-48.900000000001853</v>
      </c>
      <c r="BR146" s="343">
        <f>SUMIFS($AU$134:AU147,$AA$134:AA147,"*")</f>
        <v>596.49999999999818</v>
      </c>
      <c r="BS146" s="343">
        <f>SUMIFS($AU$134:AU147,$AB$134:AB147,"*")</f>
        <v>282.49999999999818</v>
      </c>
      <c r="BT146" s="343">
        <f>SUMIFS($AU$134:AU147,$AC$134:AC147,"*")</f>
        <v>429.90000000000003</v>
      </c>
      <c r="BU146" s="343">
        <f>SUMIFS($AU$134:AU147,$AA$134:AA147,"*",$AB$134:AB147,"*")</f>
        <v>282.49999999999818</v>
      </c>
      <c r="BV146" s="343">
        <f>SUMIFS($AU$134:AU147,$AA$134:AA147,"*",$AC$134:AC147,"*")</f>
        <v>429.90000000000003</v>
      </c>
      <c r="BW146" s="343">
        <f>SUMIFS($AU$134:AU147,$AB$134:AB147,"*",$AC$134:AC147,"*")</f>
        <v>331.4</v>
      </c>
      <c r="BX146" s="343">
        <f>SUMIFS($AU147:AU$1388,$Q147:Q$1388,"F")</f>
        <v>14440.666666666668</v>
      </c>
      <c r="BY146" s="343">
        <f>SUMIFS($AU147:AU$1388,$Q147:Q$1388,"S")</f>
        <v>20192.241999999998</v>
      </c>
      <c r="BZ146" s="343">
        <f>SUMIFS($AU147:AU$1388,$Q147:Q$1388,"O")</f>
        <v>-1599.9579999997966</v>
      </c>
    </row>
    <row r="147" spans="1:78" ht="18" customHeight="1">
      <c r="A147" s="177" t="s">
        <v>785</v>
      </c>
      <c r="B147" s="177">
        <v>44932</v>
      </c>
      <c r="C147" s="194">
        <v>0.79166666666666663</v>
      </c>
      <c r="D147" s="178" t="s">
        <v>111</v>
      </c>
      <c r="E147" s="227" t="s">
        <v>868</v>
      </c>
      <c r="F147" s="180" t="s">
        <v>869</v>
      </c>
      <c r="G147" s="181"/>
      <c r="H147" s="182"/>
      <c r="I147" s="182"/>
      <c r="J147" s="182"/>
      <c r="K147" s="183"/>
      <c r="L147" s="182"/>
      <c r="M147" s="182"/>
      <c r="N147" s="182"/>
      <c r="O147" s="183"/>
      <c r="P147" s="183"/>
      <c r="Q147" s="183"/>
      <c r="R147" s="183"/>
      <c r="S147" s="183"/>
      <c r="T147" s="183"/>
      <c r="U147" s="183"/>
      <c r="V147" s="183"/>
      <c r="W147" s="183"/>
      <c r="X147" s="183"/>
      <c r="Y147" s="184"/>
      <c r="Z147" s="184"/>
      <c r="AA147" s="185"/>
      <c r="AB147" s="185"/>
      <c r="AC147" s="185"/>
      <c r="AD147" s="649"/>
      <c r="AE147" s="182"/>
      <c r="AF147" s="332"/>
      <c r="AG147" s="182"/>
      <c r="AH147" s="182"/>
      <c r="AI147" s="182"/>
      <c r="AJ147" s="640"/>
      <c r="AK147" s="182"/>
      <c r="AL147" s="496"/>
      <c r="AM147" s="497"/>
      <c r="AN147" s="626"/>
      <c r="AO147" s="182"/>
      <c r="AP147" s="182"/>
      <c r="AQ147" s="332" t="str">
        <f>UPPER(RIGHT(Journal_Live[[#This Row],[DURATION ]]))</f>
        <v/>
      </c>
      <c r="AR147" s="182"/>
      <c r="AS147" s="189"/>
      <c r="AT147" s="182"/>
      <c r="AU147" s="187"/>
      <c r="AV147" s="190"/>
      <c r="AW147" s="191"/>
      <c r="AX147" s="407"/>
      <c r="AY147" s="407"/>
      <c r="AZ147" s="407"/>
      <c r="BA147" s="407"/>
      <c r="BB147" s="407"/>
      <c r="BC147" s="407"/>
      <c r="BD147" s="407"/>
      <c r="BE147" s="407"/>
      <c r="BF147" s="422"/>
      <c r="BG147" s="391">
        <f>SUM($AV$4:AV147)</f>
        <v>1491.4200000000249</v>
      </c>
      <c r="BH147" s="392">
        <f>SUM($AU$134:AU147)</f>
        <v>596.49999999999818</v>
      </c>
      <c r="BI147" s="318">
        <f>SUMIFS($AU$134:AU148,$Q$134:Q148,"F")</f>
        <v>0</v>
      </c>
      <c r="BJ147" s="318">
        <f>SUMIFS($AU$134:AU148,$Q$134:Q148,"S")</f>
        <v>479.40000000000003</v>
      </c>
      <c r="BK147" s="343">
        <f>SUMIFS($AU$134:AU148,$P$134:P148,"W")</f>
        <v>513.70000000000005</v>
      </c>
      <c r="BL147" s="343">
        <f>SUMIFS($AU$134:AU148,$P$134:P148,"R")</f>
        <v>82.799999999998164</v>
      </c>
      <c r="BM147" s="343">
        <f>SUMIFS($AU$134:AU148,$AQ$134:AQ148,"M")</f>
        <v>0</v>
      </c>
      <c r="BN147" s="343">
        <f>SUMIFS($AU$134:AU148,$AQ$134:AQ148,"H")</f>
        <v>-16.500000000001869</v>
      </c>
      <c r="BO147" s="343">
        <f>SUMIFS($AU$134:AU148,$AQ$134:AQ148,"D")</f>
        <v>298.5</v>
      </c>
      <c r="BP147" s="343">
        <f>SUMIFS($AU$134:AU150,$AQ$134:AQ150,"W")</f>
        <v>350.90000000000003</v>
      </c>
      <c r="BQ147" s="343">
        <f>SUMIFS($AU$134:AU148,$Q$134:Q148,"O")</f>
        <v>-48.900000000001853</v>
      </c>
      <c r="BR147" s="343">
        <f>SUMIFS($AU$134:AU148,$AA$134:AA148,"*")</f>
        <v>596.49999999999818</v>
      </c>
      <c r="BS147" s="343">
        <f>SUMIFS($AU$134:AU148,$AB$134:AB148,"*")</f>
        <v>282.49999999999818</v>
      </c>
      <c r="BT147" s="343">
        <f>SUMIFS($AU$134:AU148,$AC$134:AC148,"*")</f>
        <v>429.90000000000003</v>
      </c>
      <c r="BU147" s="343">
        <f>SUMIFS($AU$134:AU148,$AA$134:AA148,"*",$AB$134:AB148,"*")</f>
        <v>282.49999999999818</v>
      </c>
      <c r="BV147" s="343">
        <f>SUMIFS($AU$134:AU148,$AA$134:AA148,"*",$AC$134:AC148,"*")</f>
        <v>429.90000000000003</v>
      </c>
      <c r="BW147" s="343">
        <f>SUMIFS($AU$134:AU148,$AB$134:AB148,"*",$AC$134:AC148,"*")</f>
        <v>331.4</v>
      </c>
      <c r="BX147" s="343">
        <f>SUMIFS($AU148:AU$1388,$Q148:Q$1388,"F")</f>
        <v>14440.666666666668</v>
      </c>
      <c r="BY147" s="343">
        <f>SUMIFS($AU148:AU$1388,$Q148:Q$1388,"S")</f>
        <v>20192.241999999998</v>
      </c>
      <c r="BZ147" s="343">
        <f>SUMIFS($AU148:AU$1388,$Q148:Q$1388,"O")</f>
        <v>-1599.9579999997966</v>
      </c>
    </row>
    <row r="148" spans="1:78" ht="18" customHeight="1">
      <c r="A148" s="177" t="s">
        <v>785</v>
      </c>
      <c r="B148" s="177"/>
      <c r="C148" s="194"/>
      <c r="D148" s="178"/>
      <c r="E148" s="227" t="s">
        <v>870</v>
      </c>
      <c r="F148" s="180" t="s">
        <v>871</v>
      </c>
      <c r="G148" s="181"/>
      <c r="H148" s="182"/>
      <c r="I148" s="182"/>
      <c r="J148" s="182">
        <v>1</v>
      </c>
      <c r="K148" s="183" t="s">
        <v>372</v>
      </c>
      <c r="L148" s="182"/>
      <c r="M148" s="182"/>
      <c r="N148" s="182"/>
      <c r="O148" s="183"/>
      <c r="P148" s="183"/>
      <c r="Q148" s="183"/>
      <c r="R148" s="183"/>
      <c r="S148" s="183"/>
      <c r="T148" s="183"/>
      <c r="U148" s="183"/>
      <c r="V148" s="183"/>
      <c r="W148" s="183"/>
      <c r="X148" s="183"/>
      <c r="Y148" s="184"/>
      <c r="Z148" s="184"/>
      <c r="AA148" s="185"/>
      <c r="AB148" s="185"/>
      <c r="AC148" s="185"/>
      <c r="AD148" s="649"/>
      <c r="AE148" s="182"/>
      <c r="AF148" s="332"/>
      <c r="AG148" s="182"/>
      <c r="AH148" s="182"/>
      <c r="AI148" s="182"/>
      <c r="AJ148" s="640"/>
      <c r="AK148" s="182"/>
      <c r="AL148" s="496"/>
      <c r="AM148" s="497"/>
      <c r="AN148" s="626"/>
      <c r="AO148" s="182"/>
      <c r="AP148" s="182"/>
      <c r="AQ148" s="332" t="str">
        <f>UPPER(RIGHT(Journal_Live[[#This Row],[DURATION ]]))</f>
        <v/>
      </c>
      <c r="AR148" s="182"/>
      <c r="AS148" s="189"/>
      <c r="AT148" s="182"/>
      <c r="AU148" s="187"/>
      <c r="AV148" s="190"/>
      <c r="AW148" s="191"/>
      <c r="AX148" s="407"/>
      <c r="AY148" s="407"/>
      <c r="AZ148" s="407"/>
      <c r="BA148" s="407"/>
      <c r="BB148" s="407"/>
      <c r="BC148" s="407"/>
      <c r="BD148" s="407"/>
      <c r="BE148" s="407"/>
      <c r="BF148" s="422"/>
      <c r="BG148" s="391">
        <f>SUM($AV$4:AV148)</f>
        <v>1491.4200000000249</v>
      </c>
      <c r="BH148" s="392">
        <f>SUM($AU$134:AU148)</f>
        <v>596.49999999999818</v>
      </c>
      <c r="BI148" s="318">
        <f>SUMIFS($AU$134:AU149,$Q$134:Q149,"F")</f>
        <v>0</v>
      </c>
      <c r="BJ148" s="318">
        <f>SUMIFS($AU$134:AU149,$Q$134:Q149,"S")</f>
        <v>663.1</v>
      </c>
      <c r="BK148" s="343">
        <f>SUMIFS($AU$134:AU149,$P$134:P149,"W")</f>
        <v>697.40000000000009</v>
      </c>
      <c r="BL148" s="343">
        <f>SUMIFS($AU$134:AU149,$P$134:P149,"R")</f>
        <v>82.799999999998164</v>
      </c>
      <c r="BM148" s="343">
        <f>SUMIFS($AU$134:AU149,$AQ$134:AQ149,"M")</f>
        <v>0</v>
      </c>
      <c r="BN148" s="343">
        <f>SUMIFS($AU$134:AU149,$AQ$134:AQ149,"H")</f>
        <v>-16.500000000001869</v>
      </c>
      <c r="BO148" s="343">
        <f>SUMIFS($AU$134:AU149,$AQ$134:AQ149,"D")</f>
        <v>298.5</v>
      </c>
      <c r="BP148" s="343">
        <f>SUMIFS($AU$134:AU151,$AQ$134:AQ151,"W")</f>
        <v>350.90000000000003</v>
      </c>
      <c r="BQ148" s="343">
        <f>SUMIFS($AU$134:AU149,$Q$134:Q149,"O")</f>
        <v>-48.900000000001853</v>
      </c>
      <c r="BR148" s="343">
        <f>SUMIFS($AU$134:AU149,$AA$134:AA149,"*")</f>
        <v>780.19999999999823</v>
      </c>
      <c r="BS148" s="343">
        <f>SUMIFS($AU$134:AU149,$AB$134:AB149,"*")</f>
        <v>466.19999999999823</v>
      </c>
      <c r="BT148" s="343">
        <f>SUMIFS($AU$134:AU149,$AC$134:AC149,"*")</f>
        <v>613.6</v>
      </c>
      <c r="BU148" s="343">
        <f>SUMIFS($AU$134:AU149,$AA$134:AA149,"*",$AB$134:AB149,"*")</f>
        <v>466.19999999999823</v>
      </c>
      <c r="BV148" s="343">
        <f>SUMIFS($AU$134:AU149,$AA$134:AA149,"*",$AC$134:AC149,"*")</f>
        <v>613.6</v>
      </c>
      <c r="BW148" s="343">
        <f>SUMIFS($AU$134:AU149,$AB$134:AB149,"*",$AC$134:AC149,"*")</f>
        <v>515.1</v>
      </c>
      <c r="BX148" s="343">
        <f>SUMIFS($AU149:AU$1388,$Q149:Q$1388,"F")</f>
        <v>14440.666666666668</v>
      </c>
      <c r="BY148" s="343">
        <f>SUMIFS($AU149:AU$1388,$Q149:Q$1388,"S")</f>
        <v>20192.241999999998</v>
      </c>
      <c r="BZ148" s="343">
        <f>SUMIFS($AU149:AU$1388,$Q149:Q$1388,"O")</f>
        <v>-1599.9579999997966</v>
      </c>
    </row>
    <row r="149" spans="1:78" ht="18" customHeight="1">
      <c r="A149" s="177" t="s">
        <v>785</v>
      </c>
      <c r="B149" s="177">
        <v>44932</v>
      </c>
      <c r="C149" s="178" t="s">
        <v>872</v>
      </c>
      <c r="D149" s="178" t="s">
        <v>111</v>
      </c>
      <c r="E149" s="227"/>
      <c r="F149" s="180"/>
      <c r="G149" s="263" t="s">
        <v>757</v>
      </c>
      <c r="H149" s="182"/>
      <c r="I149" s="182"/>
      <c r="J149" s="182"/>
      <c r="K149" s="183"/>
      <c r="L149" s="182">
        <v>1</v>
      </c>
      <c r="M149" s="182">
        <v>1</v>
      </c>
      <c r="N149" s="182">
        <v>1</v>
      </c>
      <c r="O149" s="183" t="s">
        <v>95</v>
      </c>
      <c r="P149" s="183" t="s">
        <v>96</v>
      </c>
      <c r="Q149" s="183" t="s">
        <v>97</v>
      </c>
      <c r="R149" s="183">
        <v>1</v>
      </c>
      <c r="S149" s="183">
        <v>1</v>
      </c>
      <c r="T149" s="183">
        <v>1</v>
      </c>
      <c r="U149" s="183" t="s">
        <v>97</v>
      </c>
      <c r="V149" s="183"/>
      <c r="W149" s="183"/>
      <c r="X149" s="183"/>
      <c r="Y149" s="184">
        <f t="shared" ref="Y149:Y163" si="63">IF(ISBLANK(O149),,(IF(O149=UPPER("IB"),0.005,0.01)))</f>
        <v>0.01</v>
      </c>
      <c r="Z149" s="184">
        <f>IF(ISBLANK(O149),,IF(O149=UPPER("IB"),8.63*200,16.7*100))</f>
        <v>1670</v>
      </c>
      <c r="AA149" s="185" t="s">
        <v>819</v>
      </c>
      <c r="AB149" s="185" t="s">
        <v>852</v>
      </c>
      <c r="AC149" s="185" t="s">
        <v>853</v>
      </c>
      <c r="AD149" s="649">
        <v>0.2</v>
      </c>
      <c r="AE149" s="182"/>
      <c r="AF149" s="332">
        <v>0.26</v>
      </c>
      <c r="AG149" s="182"/>
      <c r="AH149" s="182" t="s">
        <v>822</v>
      </c>
      <c r="AI149" s="182" t="s">
        <v>812</v>
      </c>
      <c r="AJ149" s="640" t="s">
        <v>826</v>
      </c>
      <c r="AK149" s="182">
        <v>1</v>
      </c>
      <c r="AL149" s="496">
        <f>-0.04*Z149</f>
        <v>-66.8</v>
      </c>
      <c r="AM149" s="496">
        <f t="shared" ref="AM149:AM157" si="64">AL149*R149</f>
        <v>-66.8</v>
      </c>
      <c r="AN149" s="626" t="s">
        <v>873</v>
      </c>
      <c r="AO149" s="182"/>
      <c r="AP149" s="182" t="s">
        <v>428</v>
      </c>
      <c r="AQ149" s="332" t="s">
        <v>96</v>
      </c>
      <c r="AR149" s="182" t="s">
        <v>874</v>
      </c>
      <c r="AS149" s="189">
        <v>0.09</v>
      </c>
      <c r="AT149" s="189">
        <f t="shared" ref="AT149:AT157" si="65">IF(ISBLANK(AS149),,IF(U149="S",AD149-AS149,AS149-AD149))</f>
        <v>0.11000000000000001</v>
      </c>
      <c r="AU149" s="187">
        <f t="shared" ref="AU149:AU157" si="66">AV149*R149</f>
        <v>183.70000000000002</v>
      </c>
      <c r="AV149" s="190">
        <f t="shared" ref="AV149:AV157" si="67">IF(ISBLANK(AS149),,(AT149*Z149))</f>
        <v>183.70000000000002</v>
      </c>
      <c r="AW149" s="191" t="s">
        <v>96</v>
      </c>
      <c r="AX149" s="407" t="s">
        <v>829</v>
      </c>
      <c r="AY149" s="407" t="s">
        <v>875</v>
      </c>
      <c r="AZ149" s="407"/>
      <c r="BA149" s="407"/>
      <c r="BB149" s="407"/>
      <c r="BC149" s="407"/>
      <c r="BD149" s="407" t="s">
        <v>876</v>
      </c>
      <c r="BE149" s="407"/>
      <c r="BF149" s="422" t="s">
        <v>529</v>
      </c>
      <c r="BG149" s="391">
        <f>SUM($AV$4:AV149)</f>
        <v>1675.1200000000249</v>
      </c>
      <c r="BH149" s="392">
        <f>SUM($AU$134:AU149)</f>
        <v>780.19999999999823</v>
      </c>
      <c r="BI149" s="318">
        <f>SUMIFS($AU$134:AU150,$Q$134:Q150,"F")</f>
        <v>0</v>
      </c>
      <c r="BJ149" s="318">
        <f>SUMIFS($AU$134:AU150,$Q$134:Q150,"S")</f>
        <v>581.6</v>
      </c>
      <c r="BK149" s="343">
        <f>SUMIFS($AU$134:AU150,$P$134:P150,"W")</f>
        <v>697.40000000000009</v>
      </c>
      <c r="BL149" s="343">
        <f>SUMIFS($AU$134:AU150,$P$134:P150,"R")</f>
        <v>1.2999999999981355</v>
      </c>
      <c r="BM149" s="343">
        <f>SUMIFS($AU$134:AU150,$AQ$134:AQ150,"M")</f>
        <v>0</v>
      </c>
      <c r="BN149" s="343">
        <f>SUMIFS($AU$134:AU150,$AQ$134:AQ150,"H")</f>
        <v>-16.500000000001869</v>
      </c>
      <c r="BO149" s="343">
        <f>SUMIFS($AU$134:AU150,$AQ$134:AQ150,"D")</f>
        <v>216.99999999999997</v>
      </c>
      <c r="BP149" s="343">
        <f>SUMIFS($AU$134:AU152,$AQ$134:AQ152,"W")</f>
        <v>350.90000000000003</v>
      </c>
      <c r="BQ149" s="343">
        <f>SUMIFS($AU$134:AU150,$Q$134:Q150,"O")</f>
        <v>-48.900000000001853</v>
      </c>
      <c r="BR149" s="343">
        <f>SUMIFS($AU$134:AU150,$AA$134:AA150,"*")</f>
        <v>698.69999999999823</v>
      </c>
      <c r="BS149" s="343">
        <f>SUMIFS($AU$134:AU150,$AB$134:AB150,"*")</f>
        <v>466.19999999999823</v>
      </c>
      <c r="BT149" s="343">
        <f>SUMIFS($AU$134:AU150,$AC$134:AC150,"*")</f>
        <v>532.1</v>
      </c>
      <c r="BU149" s="343">
        <f>SUMIFS($AU$134:AU150,$AA$134:AA150,"*",$AB$134:AB150,"*")</f>
        <v>466.19999999999823</v>
      </c>
      <c r="BV149" s="343">
        <f>SUMIFS($AU$134:AU150,$AA$134:AA150,"*",$AC$134:AC150,"*")</f>
        <v>532.1</v>
      </c>
      <c r="BW149" s="343">
        <f>SUMIFS($AU$134:AU150,$AB$134:AB150,"*",$AC$134:AC150,"*")</f>
        <v>515.1</v>
      </c>
      <c r="BX149" s="343">
        <f>SUMIFS($AU150:AU$1388,$Q150:Q$1388,"F")</f>
        <v>14440.666666666668</v>
      </c>
      <c r="BY149" s="343">
        <f>SUMIFS($AU150:AU$1388,$Q150:Q$1388,"S")</f>
        <v>20008.542000000001</v>
      </c>
      <c r="BZ149" s="343">
        <f>SUMIFS($AU150:AU$1388,$Q150:Q$1388,"O")</f>
        <v>-1599.9579999997966</v>
      </c>
    </row>
    <row r="150" spans="1:78" ht="18" customHeight="1">
      <c r="A150" s="177" t="s">
        <v>785</v>
      </c>
      <c r="B150" s="177">
        <v>44932</v>
      </c>
      <c r="C150" s="178" t="s">
        <v>877</v>
      </c>
      <c r="D150" s="178" t="s">
        <v>111</v>
      </c>
      <c r="E150" s="227"/>
      <c r="F150" s="180"/>
      <c r="G150" s="265" t="s">
        <v>271</v>
      </c>
      <c r="H150" s="182"/>
      <c r="I150" s="182"/>
      <c r="J150" s="182"/>
      <c r="K150" s="183"/>
      <c r="L150" s="182">
        <v>1</v>
      </c>
      <c r="M150" s="182"/>
      <c r="N150" s="182"/>
      <c r="O150" s="183" t="s">
        <v>95</v>
      </c>
      <c r="P150" s="183" t="s">
        <v>137</v>
      </c>
      <c r="Q150" s="183" t="s">
        <v>97</v>
      </c>
      <c r="R150" s="183">
        <v>2</v>
      </c>
      <c r="S150" s="183">
        <v>2</v>
      </c>
      <c r="T150" s="183">
        <v>2</v>
      </c>
      <c r="U150" s="183" t="s">
        <v>22</v>
      </c>
      <c r="V150" s="183"/>
      <c r="W150" s="183"/>
      <c r="X150" s="183"/>
      <c r="Y150" s="184">
        <f t="shared" si="63"/>
        <v>0.01</v>
      </c>
      <c r="Z150" s="184">
        <f>IF(ISBLANK(O150),,IF(O150=UPPER("IB"),8.63*200,16.3*100))</f>
        <v>1630</v>
      </c>
      <c r="AA150" s="185" t="s">
        <v>361</v>
      </c>
      <c r="AB150" s="185"/>
      <c r="AC150" s="185" t="s">
        <v>99</v>
      </c>
      <c r="AD150" s="649">
        <v>-0.11</v>
      </c>
      <c r="AE150" s="182"/>
      <c r="AF150" s="332"/>
      <c r="AG150" s="182"/>
      <c r="AH150" s="182"/>
      <c r="AI150" s="182"/>
      <c r="AJ150" s="640" t="s">
        <v>878</v>
      </c>
      <c r="AK150" s="182"/>
      <c r="AL150" s="496">
        <f t="shared" ref="AL150:AL153" si="68">-0.03*Z150</f>
        <v>-48.9</v>
      </c>
      <c r="AM150" s="496">
        <f t="shared" si="64"/>
        <v>-97.8</v>
      </c>
      <c r="AN150" s="626"/>
      <c r="AO150" s="182"/>
      <c r="AP150" s="182" t="s">
        <v>879</v>
      </c>
      <c r="AQ150" s="332" t="str">
        <f>UPPER(RIGHT(Journal_Live[[#This Row],[DURATION ]]))</f>
        <v>D</v>
      </c>
      <c r="AR150" s="182" t="s">
        <v>880</v>
      </c>
      <c r="AS150" s="189">
        <v>-0.13500000000000001</v>
      </c>
      <c r="AT150" s="189">
        <f t="shared" si="65"/>
        <v>-2.5000000000000008E-2</v>
      </c>
      <c r="AU150" s="187">
        <f t="shared" si="66"/>
        <v>-81.500000000000028</v>
      </c>
      <c r="AV150" s="190">
        <f t="shared" si="67"/>
        <v>-40.750000000000014</v>
      </c>
      <c r="AW150" s="191" t="s">
        <v>229</v>
      </c>
      <c r="AX150" s="407" t="s">
        <v>881</v>
      </c>
      <c r="AY150" s="407"/>
      <c r="AZ150" s="407"/>
      <c r="BA150" s="407"/>
      <c r="BB150" s="407"/>
      <c r="BC150" s="407"/>
      <c r="BD150" s="407"/>
      <c r="BE150" s="407"/>
      <c r="BF150" s="422"/>
      <c r="BG150" s="391">
        <f>SUM($AV$4:AV150)</f>
        <v>1634.3700000000249</v>
      </c>
      <c r="BH150" s="392">
        <f>SUM($AU$134:AU150)</f>
        <v>698.69999999999823</v>
      </c>
      <c r="BI150" s="318">
        <f>SUMIFS($AU$134:AU151,$Q$134:Q151,"F")</f>
        <v>0</v>
      </c>
      <c r="BJ150" s="318">
        <f>SUMIFS($AU$134:AU151,$Q$134:Q151,"S")</f>
        <v>581.6</v>
      </c>
      <c r="BK150" s="343">
        <f>SUMIFS($AU$134:AU151,$P$134:P151,"W")</f>
        <v>697.40000000000009</v>
      </c>
      <c r="BL150" s="343">
        <f>SUMIFS($AU$134:AU151,$P$134:P151,"R")</f>
        <v>1.2999999999981355</v>
      </c>
      <c r="BM150" s="343">
        <f>SUMIFS($AU$134:AU151,$AQ$134:AQ151,"M")</f>
        <v>0</v>
      </c>
      <c r="BN150" s="343">
        <f>SUMIFS($AU$134:AU151,$AQ$134:AQ151,"H")</f>
        <v>-16.500000000001869</v>
      </c>
      <c r="BO150" s="343">
        <f>SUMIFS($AU$134:AU151,$AQ$134:AQ151,"D")</f>
        <v>216.99999999999997</v>
      </c>
      <c r="BP150" s="343">
        <f>SUMIFS($AU$134:AU153,$AQ$134:AQ153,"W")</f>
        <v>350.90000000000003</v>
      </c>
      <c r="BQ150" s="343">
        <f>SUMIFS($AU$134:AU151,$Q$134:Q151,"O")</f>
        <v>-48.900000000001853</v>
      </c>
      <c r="BR150" s="343">
        <f>SUMIFS($AU$134:AU151,$AA$134:AA151,"*")</f>
        <v>698.69999999999823</v>
      </c>
      <c r="BS150" s="343">
        <f>SUMIFS($AU$134:AU151,$AB$134:AB151,"*")</f>
        <v>466.19999999999823</v>
      </c>
      <c r="BT150" s="343">
        <f>SUMIFS($AU$134:AU151,$AC$134:AC151,"*")</f>
        <v>532.1</v>
      </c>
      <c r="BU150" s="343">
        <f>SUMIFS($AU$134:AU151,$AA$134:AA151,"*",$AB$134:AB151,"*")</f>
        <v>466.19999999999823</v>
      </c>
      <c r="BV150" s="343">
        <f>SUMIFS($AU$134:AU151,$AA$134:AA151,"*",$AC$134:AC151,"*")</f>
        <v>532.1</v>
      </c>
      <c r="BW150" s="343">
        <f>SUMIFS($AU$134:AU151,$AB$134:AB151,"*",$AC$134:AC151,"*")</f>
        <v>515.1</v>
      </c>
      <c r="BX150" s="343">
        <f>SUMIFS($AU151:AU$1388,$Q151:Q$1388,"F")</f>
        <v>14440.666666666668</v>
      </c>
      <c r="BY150" s="343">
        <f>SUMIFS($AU151:AU$1388,$Q151:Q$1388,"S")</f>
        <v>20090.042000000001</v>
      </c>
      <c r="BZ150" s="343">
        <f>SUMIFS($AU151:AU$1388,$Q151:Q$1388,"O")</f>
        <v>-1599.9579999997966</v>
      </c>
    </row>
    <row r="151" spans="1:78" ht="18" customHeight="1">
      <c r="A151" s="177" t="s">
        <v>785</v>
      </c>
      <c r="B151" s="177">
        <v>44932</v>
      </c>
      <c r="C151" s="178" t="s">
        <v>882</v>
      </c>
      <c r="D151" s="178" t="s">
        <v>111</v>
      </c>
      <c r="E151" s="227"/>
      <c r="F151" s="180"/>
      <c r="G151" s="181" t="s">
        <v>365</v>
      </c>
      <c r="H151" s="182"/>
      <c r="I151" s="182"/>
      <c r="J151" s="182"/>
      <c r="K151" s="183"/>
      <c r="L151" s="182">
        <v>1</v>
      </c>
      <c r="M151" s="182"/>
      <c r="N151" s="182"/>
      <c r="O151" s="183" t="s">
        <v>95</v>
      </c>
      <c r="P151" s="183" t="s">
        <v>137</v>
      </c>
      <c r="Q151" s="183" t="s">
        <v>97</v>
      </c>
      <c r="R151" s="183">
        <v>1</v>
      </c>
      <c r="S151" s="183">
        <v>1</v>
      </c>
      <c r="T151" s="183">
        <v>1</v>
      </c>
      <c r="U151" s="183" t="s">
        <v>22</v>
      </c>
      <c r="V151" s="183"/>
      <c r="W151" s="183"/>
      <c r="X151" s="183"/>
      <c r="Y151" s="184">
        <f t="shared" si="63"/>
        <v>0.01</v>
      </c>
      <c r="Z151" s="184">
        <f>IF(ISBLANK(O151),,IF(O151=UPPER("IB"),8.63*200,16.3*100))</f>
        <v>1630</v>
      </c>
      <c r="AA151" s="185" t="s">
        <v>883</v>
      </c>
      <c r="AB151" s="185"/>
      <c r="AC151" s="185"/>
      <c r="AD151" s="649">
        <v>-0.08</v>
      </c>
      <c r="AE151" s="182"/>
      <c r="AF151" s="332"/>
      <c r="AG151" s="182"/>
      <c r="AH151" s="182">
        <v>-0.06</v>
      </c>
      <c r="AI151" s="182"/>
      <c r="AJ151" s="640"/>
      <c r="AK151" s="182"/>
      <c r="AL151" s="496">
        <f t="shared" si="68"/>
        <v>-48.9</v>
      </c>
      <c r="AM151" s="496">
        <f t="shared" si="64"/>
        <v>-48.9</v>
      </c>
      <c r="AN151" s="626"/>
      <c r="AO151" s="182"/>
      <c r="AP151" s="182"/>
      <c r="AQ151" s="332" t="str">
        <f>UPPER(RIGHT(Journal_Live[[#This Row],[DURATION ]]))</f>
        <v/>
      </c>
      <c r="AR151" s="182" t="s">
        <v>884</v>
      </c>
      <c r="AS151" s="189">
        <v>-0.08</v>
      </c>
      <c r="AT151" s="189">
        <f t="shared" si="65"/>
        <v>0</v>
      </c>
      <c r="AU151" s="187">
        <f t="shared" si="66"/>
        <v>0</v>
      </c>
      <c r="AV151" s="190">
        <f t="shared" si="67"/>
        <v>0</v>
      </c>
      <c r="AW151" s="191" t="s">
        <v>115</v>
      </c>
      <c r="AX151" s="407"/>
      <c r="AY151" s="407"/>
      <c r="AZ151" s="407"/>
      <c r="BA151" s="407"/>
      <c r="BB151" s="407"/>
      <c r="BC151" s="407"/>
      <c r="BD151" s="407"/>
      <c r="BE151" s="407"/>
      <c r="BF151" s="422"/>
      <c r="BG151" s="391">
        <f>SUM($AV$4:AV151)</f>
        <v>1634.3700000000249</v>
      </c>
      <c r="BH151" s="392">
        <f>SUM($AU$134:AU151)</f>
        <v>698.69999999999823</v>
      </c>
      <c r="BI151" s="318">
        <f>SUMIFS($AU$134:AU152,$Q$134:Q152,"F")</f>
        <v>0</v>
      </c>
      <c r="BJ151" s="318">
        <f>SUMIFS($AU$134:AU152,$Q$134:Q152,"S")</f>
        <v>597.9</v>
      </c>
      <c r="BK151" s="343">
        <f>SUMIFS($AU$134:AU152,$P$134:P152,"W")</f>
        <v>697.40000000000009</v>
      </c>
      <c r="BL151" s="343">
        <f>SUMIFS($AU$134:AU152,$P$134:P152,"R")</f>
        <v>17.59999999999814</v>
      </c>
      <c r="BM151" s="343">
        <f>SUMIFS($AU$134:AU152,$AQ$134:AQ152,"M")</f>
        <v>0</v>
      </c>
      <c r="BN151" s="343">
        <f>SUMIFS($AU$134:AU152,$AQ$134:AQ152,"H")</f>
        <v>-16.500000000001869</v>
      </c>
      <c r="BO151" s="343">
        <f>SUMIFS($AU$134:AU152,$AQ$134:AQ152,"D")</f>
        <v>216.99999999999997</v>
      </c>
      <c r="BP151" s="343">
        <f>SUMIFS($AU$134:AU154,$AQ$134:AQ154,"W")</f>
        <v>302</v>
      </c>
      <c r="BQ151" s="343">
        <f>SUMIFS($AU$134:AU152,$Q$134:Q152,"O")</f>
        <v>-48.900000000001853</v>
      </c>
      <c r="BR151" s="343">
        <f>SUMIFS($AU$134:AU152,$AA$134:AA152,"*")</f>
        <v>714.99999999999818</v>
      </c>
      <c r="BS151" s="343">
        <f>SUMIFS($AU$134:AU152,$AB$134:AB152,"*")</f>
        <v>466.19999999999823</v>
      </c>
      <c r="BT151" s="343">
        <f>SUMIFS($AU$134:AU152,$AC$134:AC152,"*")</f>
        <v>548.4</v>
      </c>
      <c r="BU151" s="343">
        <f>SUMIFS($AU$134:AU152,$AA$134:AA152,"*",$AB$134:AB152,"*")</f>
        <v>466.19999999999823</v>
      </c>
      <c r="BV151" s="343">
        <f>SUMIFS($AU$134:AU152,$AA$134:AA152,"*",$AC$134:AC152,"*")</f>
        <v>548.4</v>
      </c>
      <c r="BW151" s="343">
        <f>SUMIFS($AU$134:AU152,$AB$134:AB152,"*",$AC$134:AC152,"*")</f>
        <v>515.1</v>
      </c>
      <c r="BX151" s="343">
        <f>SUMIFS($AU152:AU$1388,$Q152:Q$1388,"F")</f>
        <v>14440.666666666668</v>
      </c>
      <c r="BY151" s="343">
        <f>SUMIFS($AU152:AU$1388,$Q152:Q$1388,"S")</f>
        <v>20090.042000000001</v>
      </c>
      <c r="BZ151" s="343">
        <f>SUMIFS($AU152:AU$1388,$Q152:Q$1388,"O")</f>
        <v>-1599.9579999997966</v>
      </c>
    </row>
    <row r="152" spans="1:78" ht="18" customHeight="1">
      <c r="A152" s="177" t="s">
        <v>785</v>
      </c>
      <c r="B152" s="177">
        <v>44932</v>
      </c>
      <c r="C152" s="178" t="s">
        <v>885</v>
      </c>
      <c r="D152" s="178" t="s">
        <v>111</v>
      </c>
      <c r="E152" s="227"/>
      <c r="F152" s="180"/>
      <c r="G152" s="266" t="s">
        <v>886</v>
      </c>
      <c r="H152" s="182"/>
      <c r="I152" s="182"/>
      <c r="J152" s="182"/>
      <c r="K152" s="183"/>
      <c r="L152" s="182">
        <v>1</v>
      </c>
      <c r="M152" s="182"/>
      <c r="N152" s="182"/>
      <c r="O152" s="183" t="s">
        <v>95</v>
      </c>
      <c r="P152" s="183" t="s">
        <v>137</v>
      </c>
      <c r="Q152" s="183" t="s">
        <v>97</v>
      </c>
      <c r="R152" s="183">
        <v>1</v>
      </c>
      <c r="S152" s="183">
        <v>1</v>
      </c>
      <c r="T152" s="183">
        <v>1</v>
      </c>
      <c r="U152" s="183" t="s">
        <v>97</v>
      </c>
      <c r="V152" s="183"/>
      <c r="W152" s="183"/>
      <c r="X152" s="183"/>
      <c r="Y152" s="184">
        <f t="shared" si="63"/>
        <v>0.01</v>
      </c>
      <c r="Z152" s="184">
        <f>IF(ISBLANK(O152),,IF(O152=UPPER("IB"),8.63*200,16.3*100))</f>
        <v>1630</v>
      </c>
      <c r="AA152" s="185" t="s">
        <v>887</v>
      </c>
      <c r="AB152" s="185"/>
      <c r="AC152" s="185" t="s">
        <v>99</v>
      </c>
      <c r="AD152" s="649">
        <v>-0.03</v>
      </c>
      <c r="AE152" s="182"/>
      <c r="AF152" s="332"/>
      <c r="AG152" s="182"/>
      <c r="AH152" s="182">
        <v>-0.04</v>
      </c>
      <c r="AI152" s="182" t="s">
        <v>888</v>
      </c>
      <c r="AJ152" s="640"/>
      <c r="AK152" s="182"/>
      <c r="AL152" s="496">
        <f t="shared" si="68"/>
        <v>-48.9</v>
      </c>
      <c r="AM152" s="496">
        <f t="shared" si="64"/>
        <v>-48.9</v>
      </c>
      <c r="AN152" s="626"/>
      <c r="AO152" s="182"/>
      <c r="AP152" s="182" t="s">
        <v>512</v>
      </c>
      <c r="AQ152" s="332" t="str">
        <f>UPPER(RIGHT(Journal_Live[[#This Row],[DURATION ]]))</f>
        <v>S</v>
      </c>
      <c r="AR152" s="182" t="s">
        <v>889</v>
      </c>
      <c r="AS152" s="189">
        <v>-0.04</v>
      </c>
      <c r="AT152" s="189">
        <f t="shared" si="65"/>
        <v>1.0000000000000002E-2</v>
      </c>
      <c r="AU152" s="187">
        <f t="shared" si="66"/>
        <v>16.300000000000004</v>
      </c>
      <c r="AV152" s="190">
        <f t="shared" si="67"/>
        <v>16.300000000000004</v>
      </c>
      <c r="AW152" s="191" t="s">
        <v>96</v>
      </c>
      <c r="AX152" s="407"/>
      <c r="AY152" s="407"/>
      <c r="AZ152" s="407"/>
      <c r="BA152" s="407"/>
      <c r="BB152" s="407"/>
      <c r="BC152" s="407"/>
      <c r="BD152" s="407"/>
      <c r="BE152" s="407"/>
      <c r="BF152" s="422"/>
      <c r="BG152" s="391">
        <f>SUM($AV$4:AV152)</f>
        <v>1650.6700000000249</v>
      </c>
      <c r="BH152" s="392">
        <f>SUM($AU$134:AU152)</f>
        <v>714.99999999999818</v>
      </c>
      <c r="BI152" s="318">
        <f>SUMIFS($AU$134:AU153,$Q$134:Q153,"F")</f>
        <v>0</v>
      </c>
      <c r="BJ152" s="318">
        <f>SUMIFS($AU$134:AU153,$Q$134:Q153,"S")</f>
        <v>681.4</v>
      </c>
      <c r="BK152" s="343">
        <f>SUMIFS($AU$134:AU153,$P$134:P153,"W")</f>
        <v>697.40000000000009</v>
      </c>
      <c r="BL152" s="343">
        <f>SUMIFS($AU$134:AU153,$P$134:P153,"R")</f>
        <v>101.09999999999815</v>
      </c>
      <c r="BM152" s="343">
        <f>SUMIFS($AU$134:AU153,$AQ$134:AQ153,"M")</f>
        <v>0</v>
      </c>
      <c r="BN152" s="343">
        <f>SUMIFS($AU$134:AU153,$AQ$134:AQ153,"H")</f>
        <v>-16.500000000001869</v>
      </c>
      <c r="BO152" s="343">
        <f>SUMIFS($AU$134:AU153,$AQ$134:AQ153,"D")</f>
        <v>216.99999999999997</v>
      </c>
      <c r="BP152" s="343">
        <f>SUMIFS($AU$134:AU155,$AQ$134:AQ155,"W")</f>
        <v>318.59999999999997</v>
      </c>
      <c r="BQ152" s="343">
        <f>SUMIFS($AU$134:AU153,$Q$134:Q153,"O")</f>
        <v>-48.900000000001853</v>
      </c>
      <c r="BR152" s="343">
        <f>SUMIFS($AU$134:AU153,$AA$134:AA153,"*")</f>
        <v>798.49999999999818</v>
      </c>
      <c r="BS152" s="343">
        <f>SUMIFS($AU$134:AU153,$AB$134:AB153,"*")</f>
        <v>466.19999999999823</v>
      </c>
      <c r="BT152" s="343">
        <f>SUMIFS($AU$134:AU153,$AC$134:AC153,"*")</f>
        <v>548.4</v>
      </c>
      <c r="BU152" s="343">
        <f>SUMIFS($AU$134:AU153,$AA$134:AA153,"*",$AB$134:AB153,"*")</f>
        <v>466.19999999999823</v>
      </c>
      <c r="BV152" s="343">
        <f>SUMIFS($AU$134:AU153,$AA$134:AA153,"*",$AC$134:AC153,"*")</f>
        <v>548.4</v>
      </c>
      <c r="BW152" s="343">
        <f>SUMIFS($AU$134:AU153,$AB$134:AB153,"*",$AC$134:AC153,"*")</f>
        <v>515.1</v>
      </c>
      <c r="BX152" s="343">
        <f>SUMIFS($AU153:AU$1388,$Q153:Q$1388,"F")</f>
        <v>14440.666666666668</v>
      </c>
      <c r="BY152" s="343">
        <f>SUMIFS($AU153:AU$1388,$Q153:Q$1388,"S")</f>
        <v>20073.742000000002</v>
      </c>
      <c r="BZ152" s="343">
        <f>SUMIFS($AU153:AU$1388,$Q153:Q$1388,"O")</f>
        <v>-1599.9579999997966</v>
      </c>
    </row>
    <row r="153" spans="1:78" ht="18" customHeight="1">
      <c r="A153" s="177" t="s">
        <v>785</v>
      </c>
      <c r="B153" s="177">
        <v>44932</v>
      </c>
      <c r="C153" s="178" t="s">
        <v>890</v>
      </c>
      <c r="D153" s="178" t="s">
        <v>111</v>
      </c>
      <c r="E153" s="227"/>
      <c r="F153" s="180"/>
      <c r="G153" s="266" t="s">
        <v>886</v>
      </c>
      <c r="H153" s="182"/>
      <c r="I153" s="182"/>
      <c r="J153" s="182"/>
      <c r="K153" s="183"/>
      <c r="L153" s="182">
        <v>1</v>
      </c>
      <c r="M153" s="182"/>
      <c r="N153" s="182">
        <v>1</v>
      </c>
      <c r="O153" s="183" t="s">
        <v>95</v>
      </c>
      <c r="P153" s="183" t="s">
        <v>137</v>
      </c>
      <c r="Q153" s="183" t="s">
        <v>97</v>
      </c>
      <c r="R153" s="183">
        <v>2</v>
      </c>
      <c r="S153" s="183">
        <v>2</v>
      </c>
      <c r="T153" s="183">
        <v>2</v>
      </c>
      <c r="U153" s="183" t="s">
        <v>97</v>
      </c>
      <c r="V153" s="183"/>
      <c r="W153" s="183"/>
      <c r="X153" s="183"/>
      <c r="Y153" s="184">
        <f t="shared" si="63"/>
        <v>0.01</v>
      </c>
      <c r="Z153" s="184">
        <f>IF(ISBLANK(O153),,IF(O153=UPPER("IB"),8.63*200,16.7*100))</f>
        <v>1670</v>
      </c>
      <c r="AA153" s="185" t="s">
        <v>891</v>
      </c>
      <c r="AB153" s="185"/>
      <c r="AC153" s="185"/>
      <c r="AD153" s="649">
        <v>-0.02</v>
      </c>
      <c r="AE153" s="182"/>
      <c r="AF153" s="332"/>
      <c r="AG153" s="182"/>
      <c r="AH153" s="182">
        <v>-4.4999999999999998E-2</v>
      </c>
      <c r="AI153" s="182" t="s">
        <v>888</v>
      </c>
      <c r="AJ153" s="640"/>
      <c r="AK153" s="182"/>
      <c r="AL153" s="496">
        <f t="shared" si="68"/>
        <v>-50.1</v>
      </c>
      <c r="AM153" s="496">
        <f t="shared" si="64"/>
        <v>-100.2</v>
      </c>
      <c r="AN153" s="626"/>
      <c r="AO153" s="182"/>
      <c r="AP153" s="182" t="s">
        <v>892</v>
      </c>
      <c r="AQ153" s="332" t="str">
        <f>UPPER(RIGHT(Journal_Live[[#This Row],[DURATION ]]))</f>
        <v>S</v>
      </c>
      <c r="AR153" s="182" t="s">
        <v>893</v>
      </c>
      <c r="AS153" s="189">
        <v>-4.4999999999999998E-2</v>
      </c>
      <c r="AT153" s="189">
        <f t="shared" si="65"/>
        <v>2.4999999999999998E-2</v>
      </c>
      <c r="AU153" s="187">
        <f t="shared" si="66"/>
        <v>83.5</v>
      </c>
      <c r="AV153" s="190">
        <f t="shared" si="67"/>
        <v>41.75</v>
      </c>
      <c r="AW153" s="191" t="s">
        <v>96</v>
      </c>
      <c r="AX153" s="407" t="s">
        <v>894</v>
      </c>
      <c r="AY153" s="407" t="s">
        <v>895</v>
      </c>
      <c r="AZ153" s="407"/>
      <c r="BA153" s="407"/>
      <c r="BB153" s="407"/>
      <c r="BC153" s="407"/>
      <c r="BD153" s="407"/>
      <c r="BE153" s="407"/>
      <c r="BF153" s="422"/>
      <c r="BG153" s="391">
        <f>SUM($AV$4:AV153)</f>
        <v>1692.4200000000249</v>
      </c>
      <c r="BH153" s="392">
        <f>SUM($AU$134:AU153)</f>
        <v>798.49999999999818</v>
      </c>
      <c r="BI153" s="318">
        <f>SUMIFS($AU$134:AU154,$Q$134:Q154,"F")</f>
        <v>0</v>
      </c>
      <c r="BJ153" s="318">
        <f>SUMIFS($AU$134:AU154,$Q$134:Q154,"S")</f>
        <v>632.49999999999989</v>
      </c>
      <c r="BK153" s="343">
        <f>SUMIFS($AU$134:AU154,$P$134:P154,"W")</f>
        <v>697.40000000000009</v>
      </c>
      <c r="BL153" s="343">
        <f>SUMIFS($AU$134:AU154,$P$134:P154,"R")</f>
        <v>52.199999999998099</v>
      </c>
      <c r="BM153" s="343">
        <f>SUMIFS($AU$134:AU154,$AQ$134:AQ154,"M")</f>
        <v>0</v>
      </c>
      <c r="BN153" s="343">
        <f>SUMIFS($AU$134:AU154,$AQ$134:AQ154,"H")</f>
        <v>-16.500000000001869</v>
      </c>
      <c r="BO153" s="343">
        <f>SUMIFS($AU$134:AU154,$AQ$134:AQ154,"D")</f>
        <v>216.99999999999997</v>
      </c>
      <c r="BP153" s="343">
        <f>SUMIFS($AU$134:AU156,$AQ$134:AQ156,"W")</f>
        <v>318.59999999999997</v>
      </c>
      <c r="BQ153" s="343">
        <f>SUMIFS($AU$134:AU154,$Q$134:Q154,"O")</f>
        <v>-48.900000000001853</v>
      </c>
      <c r="BR153" s="343">
        <f>SUMIFS($AU$134:AU154,$AA$134:AA154,"*")</f>
        <v>749.59999999999809</v>
      </c>
      <c r="BS153" s="343">
        <f>SUMIFS($AU$134:AU154,$AB$134:AB154,"*")</f>
        <v>466.19999999999823</v>
      </c>
      <c r="BT153" s="343">
        <f>SUMIFS($AU$134:AU154,$AC$134:AC154,"*")</f>
        <v>499.49999999999994</v>
      </c>
      <c r="BU153" s="343">
        <f>SUMIFS($AU$134:AU154,$AA$134:AA154,"*",$AB$134:AB154,"*")</f>
        <v>466.19999999999823</v>
      </c>
      <c r="BV153" s="343">
        <f>SUMIFS($AU$134:AU154,$AA$134:AA154,"*",$AC$134:AC154,"*")</f>
        <v>499.49999999999994</v>
      </c>
      <c r="BW153" s="343">
        <f>SUMIFS($AU$134:AU154,$AB$134:AB154,"*",$AC$134:AC154,"*")</f>
        <v>515.1</v>
      </c>
      <c r="BX153" s="343">
        <f>SUMIFS($AU154:AU$1388,$Q154:Q$1388,"F")</f>
        <v>14440.666666666668</v>
      </c>
      <c r="BY153" s="343">
        <f>SUMIFS($AU154:AU$1388,$Q154:Q$1388,"S")</f>
        <v>19990.242000000002</v>
      </c>
      <c r="BZ153" s="343">
        <f>SUMIFS($AU154:AU$1388,$Q154:Q$1388,"O")</f>
        <v>-1599.9579999997966</v>
      </c>
    </row>
    <row r="154" spans="1:78" ht="18" customHeight="1">
      <c r="A154" s="177" t="s">
        <v>785</v>
      </c>
      <c r="B154" s="177">
        <v>44935</v>
      </c>
      <c r="C154" s="178" t="s">
        <v>728</v>
      </c>
      <c r="D154" s="178" t="s">
        <v>132</v>
      </c>
      <c r="E154" s="227"/>
      <c r="F154" s="180"/>
      <c r="G154" s="267" t="s">
        <v>271</v>
      </c>
      <c r="H154" s="182"/>
      <c r="I154" s="182"/>
      <c r="J154" s="182"/>
      <c r="K154" s="183"/>
      <c r="L154" s="182">
        <v>1</v>
      </c>
      <c r="M154" s="182"/>
      <c r="N154" s="182">
        <v>1</v>
      </c>
      <c r="O154" s="183" t="s">
        <v>95</v>
      </c>
      <c r="P154" s="183" t="s">
        <v>137</v>
      </c>
      <c r="Q154" s="183" t="s">
        <v>97</v>
      </c>
      <c r="R154" s="183">
        <v>3</v>
      </c>
      <c r="S154" s="183">
        <v>3</v>
      </c>
      <c r="T154" s="183">
        <v>3</v>
      </c>
      <c r="U154" s="183" t="s">
        <v>22</v>
      </c>
      <c r="V154" s="183"/>
      <c r="W154" s="183"/>
      <c r="X154" s="183"/>
      <c r="Y154" s="184">
        <f t="shared" si="63"/>
        <v>0.01</v>
      </c>
      <c r="Z154" s="184">
        <f>IF(ISBLANK(O154),,IF(O154=UPPER("IB"),8.63*200,16.3*100))</f>
        <v>1630</v>
      </c>
      <c r="AA154" s="185" t="s">
        <v>891</v>
      </c>
      <c r="AB154" s="185"/>
      <c r="AC154" s="185" t="s">
        <v>99</v>
      </c>
      <c r="AD154" s="649">
        <v>-0.12</v>
      </c>
      <c r="AE154" s="182"/>
      <c r="AF154" s="332">
        <v>-0.15</v>
      </c>
      <c r="AG154" s="182"/>
      <c r="AH154" s="182"/>
      <c r="AI154" s="182"/>
      <c r="AJ154" s="640"/>
      <c r="AK154" s="182"/>
      <c r="AL154" s="496">
        <f t="shared" ref="AL154:AL155" si="69">-0.02*Z154</f>
        <v>-32.6</v>
      </c>
      <c r="AM154" s="496">
        <f t="shared" si="64"/>
        <v>-97.800000000000011</v>
      </c>
      <c r="AN154" s="626" t="s">
        <v>151</v>
      </c>
      <c r="AO154" s="182" t="s">
        <v>896</v>
      </c>
      <c r="AP154" s="182" t="s">
        <v>897</v>
      </c>
      <c r="AQ154" s="332" t="str">
        <f>UPPER(RIGHT(Journal_Live[[#This Row],[DURATION ]]))</f>
        <v>W</v>
      </c>
      <c r="AR154" s="182" t="s">
        <v>898</v>
      </c>
      <c r="AS154" s="189">
        <v>-0.13</v>
      </c>
      <c r="AT154" s="189">
        <f t="shared" si="65"/>
        <v>-1.0000000000000009E-2</v>
      </c>
      <c r="AU154" s="187">
        <f t="shared" si="66"/>
        <v>-48.900000000000048</v>
      </c>
      <c r="AV154" s="190">
        <f t="shared" si="67"/>
        <v>-16.300000000000015</v>
      </c>
      <c r="AW154" s="191" t="s">
        <v>229</v>
      </c>
      <c r="AX154" s="407" t="s">
        <v>899</v>
      </c>
      <c r="AY154" s="407" t="s">
        <v>900</v>
      </c>
      <c r="AZ154" s="407"/>
      <c r="BA154" s="407"/>
      <c r="BB154" s="407"/>
      <c r="BC154" s="407"/>
      <c r="BD154" s="407"/>
      <c r="BE154" s="407"/>
      <c r="BF154" s="422"/>
      <c r="BG154" s="391">
        <f>SUM($AV$4:AV154)</f>
        <v>1676.1200000000249</v>
      </c>
      <c r="BH154" s="392">
        <f>SUM($AU$134:AU154)</f>
        <v>749.59999999999809</v>
      </c>
      <c r="BI154" s="318">
        <f>SUMIFS($AU$134:AU155,$Q$134:Q155,"F")</f>
        <v>0</v>
      </c>
      <c r="BJ154" s="318">
        <f>SUMIFS($AU$134:AU155,$Q$134:Q155,"S")</f>
        <v>649.09999999999991</v>
      </c>
      <c r="BK154" s="343">
        <f>SUMIFS($AU$134:AU155,$P$134:P155,"W")</f>
        <v>697.40000000000009</v>
      </c>
      <c r="BL154" s="343">
        <f>SUMIFS($AU$134:AU155,$P$134:P155,"R")</f>
        <v>68.799999999998064</v>
      </c>
      <c r="BM154" s="343">
        <f>SUMIFS($AU$134:AU155,$AQ$134:AQ155,"M")</f>
        <v>0</v>
      </c>
      <c r="BN154" s="343">
        <f>SUMIFS($AU$134:AU155,$AQ$134:AQ155,"H")</f>
        <v>-16.500000000001869</v>
      </c>
      <c r="BO154" s="343">
        <f>SUMIFS($AU$134:AU155,$AQ$134:AQ155,"D")</f>
        <v>216.99999999999997</v>
      </c>
      <c r="BP154" s="343">
        <f>SUMIFS($AU$134:AU157,$AQ$134:AQ157,"W")</f>
        <v>318.59999999999997</v>
      </c>
      <c r="BQ154" s="343">
        <f>SUMIFS($AU$134:AU155,$Q$134:Q155,"O")</f>
        <v>-48.900000000001853</v>
      </c>
      <c r="BR154" s="343">
        <f>SUMIFS($AU$134:AU155,$AA$134:AA155,"*")</f>
        <v>766.19999999999811</v>
      </c>
      <c r="BS154" s="343">
        <f>SUMIFS($AU$134:AU155,$AB$134:AB155,"*")</f>
        <v>466.19999999999823</v>
      </c>
      <c r="BT154" s="343">
        <f>SUMIFS($AU$134:AU155,$AC$134:AC155,"*")</f>
        <v>499.49999999999994</v>
      </c>
      <c r="BU154" s="343">
        <f>SUMIFS($AU$134:AU155,$AA$134:AA155,"*",$AB$134:AB155,"*")</f>
        <v>466.19999999999823</v>
      </c>
      <c r="BV154" s="343">
        <f>SUMIFS($AU$134:AU155,$AA$134:AA155,"*",$AC$134:AC155,"*")</f>
        <v>499.49999999999994</v>
      </c>
      <c r="BW154" s="343">
        <f>SUMIFS($AU$134:AU155,$AB$134:AB155,"*",$AC$134:AC155,"*")</f>
        <v>515.1</v>
      </c>
      <c r="BX154" s="343">
        <f>SUMIFS($AU155:AU$1388,$Q155:Q$1388,"F")</f>
        <v>14440.666666666668</v>
      </c>
      <c r="BY154" s="343">
        <f>SUMIFS($AU155:AU$1388,$Q155:Q$1388,"S")</f>
        <v>20039.142</v>
      </c>
      <c r="BZ154" s="343">
        <f>SUMIFS($AU155:AU$1388,$Q155:Q$1388,"O")</f>
        <v>-1599.9579999997966</v>
      </c>
    </row>
    <row r="155" spans="1:78" ht="18" customHeight="1">
      <c r="A155" s="177" t="s">
        <v>785</v>
      </c>
      <c r="B155" s="177">
        <v>44935</v>
      </c>
      <c r="C155" s="178" t="s">
        <v>901</v>
      </c>
      <c r="D155" s="178" t="s">
        <v>132</v>
      </c>
      <c r="E155" s="227"/>
      <c r="F155" s="180"/>
      <c r="G155" s="249" t="s">
        <v>365</v>
      </c>
      <c r="H155" s="182"/>
      <c r="I155" s="182"/>
      <c r="J155" s="182"/>
      <c r="K155" s="183"/>
      <c r="L155" s="182">
        <v>1</v>
      </c>
      <c r="M155" s="182"/>
      <c r="N155" s="182"/>
      <c r="O155" s="183" t="s">
        <v>95</v>
      </c>
      <c r="P155" s="183" t="s">
        <v>137</v>
      </c>
      <c r="Q155" s="183" t="s">
        <v>97</v>
      </c>
      <c r="R155" s="183">
        <v>2</v>
      </c>
      <c r="S155" s="183">
        <v>2</v>
      </c>
      <c r="T155" s="183">
        <v>2</v>
      </c>
      <c r="U155" s="183" t="s">
        <v>22</v>
      </c>
      <c r="V155" s="183"/>
      <c r="W155" s="183"/>
      <c r="X155" s="183"/>
      <c r="Y155" s="184">
        <f t="shared" si="63"/>
        <v>0.01</v>
      </c>
      <c r="Z155" s="184">
        <f>IF(ISBLANK(O155),,IF(O155=UPPER("IB"),8.63*200,16.6*100))</f>
        <v>1660.0000000000002</v>
      </c>
      <c r="AA155" s="185" t="s">
        <v>883</v>
      </c>
      <c r="AB155" s="185"/>
      <c r="AC155" s="185"/>
      <c r="AD155" s="649">
        <v>-0.09</v>
      </c>
      <c r="AE155" s="182"/>
      <c r="AF155" s="332"/>
      <c r="AG155" s="182"/>
      <c r="AH155" s="182">
        <v>-0.06</v>
      </c>
      <c r="AI155" s="182"/>
      <c r="AJ155" s="640"/>
      <c r="AK155" s="182"/>
      <c r="AL155" s="496">
        <f t="shared" si="69"/>
        <v>-33.200000000000003</v>
      </c>
      <c r="AM155" s="496">
        <f t="shared" si="64"/>
        <v>-66.400000000000006</v>
      </c>
      <c r="AN155" s="626"/>
      <c r="AO155" s="182"/>
      <c r="AP155" s="182" t="s">
        <v>902</v>
      </c>
      <c r="AQ155" s="332" t="str">
        <f>UPPER(RIGHT(Journal_Live[[#This Row],[DURATION ]]))</f>
        <v>W</v>
      </c>
      <c r="AR155" s="182" t="s">
        <v>903</v>
      </c>
      <c r="AS155" s="189">
        <f>(-0.07-0.1)/2</f>
        <v>-8.5000000000000006E-2</v>
      </c>
      <c r="AT155" s="189">
        <f t="shared" si="65"/>
        <v>4.9999999999999906E-3</v>
      </c>
      <c r="AU155" s="187">
        <f t="shared" si="66"/>
        <v>16.599999999999969</v>
      </c>
      <c r="AV155" s="190">
        <f t="shared" si="67"/>
        <v>8.2999999999999847</v>
      </c>
      <c r="AW155" s="191" t="s">
        <v>96</v>
      </c>
      <c r="AX155" s="407" t="s">
        <v>904</v>
      </c>
      <c r="AY155" s="407" t="s">
        <v>195</v>
      </c>
      <c r="AZ155" s="407"/>
      <c r="BA155" s="407"/>
      <c r="BB155" s="407"/>
      <c r="BC155" s="407"/>
      <c r="BD155" s="407" t="s">
        <v>195</v>
      </c>
      <c r="BE155" s="407"/>
      <c r="BF155" s="422"/>
      <c r="BG155" s="391">
        <f>SUM($AV$4:AV155)</f>
        <v>1684.4200000000249</v>
      </c>
      <c r="BH155" s="392">
        <f>SUM($AU$134:AU155)</f>
        <v>766.19999999999811</v>
      </c>
      <c r="BI155" s="318">
        <f>SUMIFS($AU$134:AU156,$Q$134:Q156,"F")</f>
        <v>0</v>
      </c>
      <c r="BJ155" s="318">
        <f>SUMIFS($AU$134:AU156,$Q$134:Q156,"S")</f>
        <v>649.09999999999991</v>
      </c>
      <c r="BK155" s="343">
        <f>SUMIFS($AU$134:AU156,$P$134:P156,"W")</f>
        <v>730.60000000000014</v>
      </c>
      <c r="BL155" s="343">
        <f>SUMIFS($AU$134:AU156,$P$134:P156,"R")</f>
        <v>68.799999999998064</v>
      </c>
      <c r="BM155" s="343">
        <f>SUMIFS($AU$134:AU156,$AQ$134:AQ156,"M")</f>
        <v>0</v>
      </c>
      <c r="BN155" s="343">
        <f>SUMIFS($AU$134:AU156,$AQ$134:AQ156,"H")</f>
        <v>-16.500000000001869</v>
      </c>
      <c r="BO155" s="343">
        <f>SUMIFS($AU$134:AU156,$AQ$134:AQ156,"D")</f>
        <v>250.2</v>
      </c>
      <c r="BP155" s="343">
        <f>SUMIFS($AU$134:AU158,$AQ$134:AQ158,"W")</f>
        <v>318.59999999999997</v>
      </c>
      <c r="BQ155" s="343">
        <f>SUMIFS($AU$134:AU156,$Q$134:Q156,"O")</f>
        <v>-48.900000000001853</v>
      </c>
      <c r="BR155" s="343">
        <f>SUMIFS($AU$134:AU156,$AA$134:AA156,"*")</f>
        <v>799.39999999999816</v>
      </c>
      <c r="BS155" s="343">
        <f>SUMIFS($AU$134:AU156,$AB$134:AB156,"*")</f>
        <v>466.19999999999823</v>
      </c>
      <c r="BT155" s="343">
        <f>SUMIFS($AU$134:AU156,$AC$134:AC156,"*")</f>
        <v>499.49999999999994</v>
      </c>
      <c r="BU155" s="343">
        <f>SUMIFS($AU$134:AU156,$AA$134:AA156,"*",$AB$134:AB156,"*")</f>
        <v>466.19999999999823</v>
      </c>
      <c r="BV155" s="343">
        <f>SUMIFS($AU$134:AU156,$AA$134:AA156,"*",$AC$134:AC156,"*")</f>
        <v>499.49999999999994</v>
      </c>
      <c r="BW155" s="343">
        <f>SUMIFS($AU$134:AU156,$AB$134:AB156,"*",$AC$134:AC156,"*")</f>
        <v>515.1</v>
      </c>
      <c r="BX155" s="343">
        <f>SUMIFS($AU156:AU$1388,$Q156:Q$1388,"F")</f>
        <v>14440.666666666668</v>
      </c>
      <c r="BY155" s="343">
        <f>SUMIFS($AU156:AU$1388,$Q156:Q$1388,"S")</f>
        <v>20022.542000000001</v>
      </c>
      <c r="BZ155" s="343">
        <f>SUMIFS($AU156:AU$1388,$Q156:Q$1388,"O")</f>
        <v>-1599.9579999997966</v>
      </c>
    </row>
    <row r="156" spans="1:78" ht="18" customHeight="1">
      <c r="A156" s="177" t="s">
        <v>785</v>
      </c>
      <c r="B156" s="177">
        <v>44935</v>
      </c>
      <c r="C156" s="178" t="s">
        <v>905</v>
      </c>
      <c r="D156" s="178" t="s">
        <v>132</v>
      </c>
      <c r="E156" s="179"/>
      <c r="F156" s="180"/>
      <c r="G156" s="241" t="s">
        <v>435</v>
      </c>
      <c r="H156" s="182"/>
      <c r="I156" s="182"/>
      <c r="J156" s="182"/>
      <c r="K156" s="183"/>
      <c r="L156" s="182">
        <v>1</v>
      </c>
      <c r="M156" s="182"/>
      <c r="N156" s="182">
        <v>1</v>
      </c>
      <c r="O156" s="183" t="s">
        <v>95</v>
      </c>
      <c r="P156" s="183" t="s">
        <v>96</v>
      </c>
      <c r="Q156" s="183"/>
      <c r="R156" s="183">
        <v>1</v>
      </c>
      <c r="S156" s="183">
        <v>1</v>
      </c>
      <c r="T156" s="183">
        <v>1</v>
      </c>
      <c r="U156" s="183" t="s">
        <v>97</v>
      </c>
      <c r="V156" s="183"/>
      <c r="W156" s="183"/>
      <c r="X156" s="183"/>
      <c r="Y156" s="184">
        <f t="shared" si="63"/>
        <v>0.01</v>
      </c>
      <c r="Z156" s="184">
        <f>IF(ISBLANK(O156),,IF(O156=UPPER("IB"),8.63*200,16.6*100))</f>
        <v>1660.0000000000002</v>
      </c>
      <c r="AA156" s="185" t="s">
        <v>807</v>
      </c>
      <c r="AB156" s="185"/>
      <c r="AC156" s="185"/>
      <c r="AD156" s="649">
        <v>0.39</v>
      </c>
      <c r="AE156" s="182"/>
      <c r="AF156" s="332">
        <v>0.46</v>
      </c>
      <c r="AG156" s="182" t="s">
        <v>862</v>
      </c>
      <c r="AH156" s="182">
        <v>36</v>
      </c>
      <c r="AI156" s="182"/>
      <c r="AJ156" s="640"/>
      <c r="AK156" s="182"/>
      <c r="AL156" s="496">
        <f>-0.04*Z156</f>
        <v>-66.400000000000006</v>
      </c>
      <c r="AM156" s="496">
        <f t="shared" si="64"/>
        <v>-66.400000000000006</v>
      </c>
      <c r="AN156" s="626" t="s">
        <v>906</v>
      </c>
      <c r="AO156" s="182"/>
      <c r="AP156" s="182" t="s">
        <v>589</v>
      </c>
      <c r="AQ156" s="332" t="str">
        <f>UPPER(RIGHT(Journal_Live[[#This Row],[DURATION ]]))</f>
        <v>D</v>
      </c>
      <c r="AR156" s="182" t="s">
        <v>828</v>
      </c>
      <c r="AS156" s="189">
        <v>0.37</v>
      </c>
      <c r="AT156" s="189">
        <f t="shared" si="65"/>
        <v>2.0000000000000018E-2</v>
      </c>
      <c r="AU156" s="187">
        <f t="shared" si="66"/>
        <v>33.200000000000031</v>
      </c>
      <c r="AV156" s="190">
        <f t="shared" si="67"/>
        <v>33.200000000000031</v>
      </c>
      <c r="AW156" s="191" t="s">
        <v>96</v>
      </c>
      <c r="AX156" s="407" t="s">
        <v>907</v>
      </c>
      <c r="AY156" s="407" t="s">
        <v>908</v>
      </c>
      <c r="AZ156" s="407"/>
      <c r="BA156" s="407" t="s">
        <v>909</v>
      </c>
      <c r="BB156" s="407"/>
      <c r="BC156" s="407"/>
      <c r="BD156" s="407" t="s">
        <v>907</v>
      </c>
      <c r="BE156" s="407"/>
      <c r="BF156" s="422"/>
      <c r="BG156" s="391">
        <f>SUM($AV$4:AV156)</f>
        <v>1717.6200000000249</v>
      </c>
      <c r="BH156" s="392">
        <f>SUM($AU$134:AU156)</f>
        <v>799.39999999999816</v>
      </c>
      <c r="BI156" s="318">
        <f>SUMIFS($AU$134:AU157,$Q$134:Q157,"F")</f>
        <v>0</v>
      </c>
      <c r="BJ156" s="318">
        <f>SUMIFS($AU$134:AU157,$Q$134:Q157,"S")</f>
        <v>649.09999999999991</v>
      </c>
      <c r="BK156" s="343">
        <f>SUMIFS($AU$134:AU157,$P$134:P157,"W")</f>
        <v>730.60000000000014</v>
      </c>
      <c r="BL156" s="343">
        <f>SUMIFS($AU$134:AU157,$P$134:P157,"R")</f>
        <v>68.799999999998064</v>
      </c>
      <c r="BM156" s="343">
        <f>SUMIFS($AU$134:AU157,$AQ$134:AQ157,"M")</f>
        <v>0</v>
      </c>
      <c r="BN156" s="343">
        <f>SUMIFS($AU$134:AU157,$AQ$134:AQ157,"H")</f>
        <v>-16.500000000001869</v>
      </c>
      <c r="BO156" s="343">
        <f>SUMIFS($AU$134:AU157,$AQ$134:AQ157,"D")</f>
        <v>250.2</v>
      </c>
      <c r="BP156" s="343">
        <f>SUMIFS($AU$134:AU159,$AQ$134:AQ159,"W")</f>
        <v>318.59999999999997</v>
      </c>
      <c r="BQ156" s="343">
        <f>SUMIFS($AU$134:AU157,$Q$134:Q157,"O")</f>
        <v>-48.900000000001853</v>
      </c>
      <c r="BR156" s="343">
        <f>SUMIFS($AU$134:AU157,$AA$134:AA157,"*")</f>
        <v>799.39999999999816</v>
      </c>
      <c r="BS156" s="343">
        <f>SUMIFS($AU$134:AU157,$AB$134:AB157,"*")</f>
        <v>466.19999999999823</v>
      </c>
      <c r="BT156" s="343">
        <f>SUMIFS($AU$134:AU157,$AC$134:AC157,"*")</f>
        <v>499.49999999999994</v>
      </c>
      <c r="BU156" s="343">
        <f>SUMIFS($AU$134:AU157,$AA$134:AA157,"*",$AB$134:AB157,"*")</f>
        <v>466.19999999999823</v>
      </c>
      <c r="BV156" s="343">
        <f>SUMIFS($AU$134:AU157,$AA$134:AA157,"*",$AC$134:AC157,"*")</f>
        <v>499.49999999999994</v>
      </c>
      <c r="BW156" s="343">
        <f>SUMIFS($AU$134:AU157,$AB$134:AB157,"*",$AC$134:AC157,"*")</f>
        <v>515.1</v>
      </c>
      <c r="BX156" s="343">
        <f>SUMIFS($AU157:AU$1388,$Q157:Q$1388,"F")</f>
        <v>14440.666666666668</v>
      </c>
      <c r="BY156" s="343">
        <f>SUMIFS($AU157:AU$1388,$Q157:Q$1388,"S")</f>
        <v>20022.542000000001</v>
      </c>
      <c r="BZ156" s="343">
        <f>SUMIFS($AU157:AU$1388,$Q157:Q$1388,"O")</f>
        <v>-1599.9579999997966</v>
      </c>
    </row>
    <row r="157" spans="1:78" ht="18" customHeight="1">
      <c r="A157" s="177" t="s">
        <v>785</v>
      </c>
      <c r="B157" s="268" t="s">
        <v>910</v>
      </c>
      <c r="C157" s="178" t="s">
        <v>911</v>
      </c>
      <c r="D157" s="178" t="s">
        <v>132</v>
      </c>
      <c r="E157" s="227"/>
      <c r="F157" s="180"/>
      <c r="G157" s="181" t="s">
        <v>271</v>
      </c>
      <c r="H157" s="182"/>
      <c r="I157" s="182"/>
      <c r="J157" s="182"/>
      <c r="K157" s="183"/>
      <c r="L157" s="182">
        <v>1</v>
      </c>
      <c r="M157" s="182"/>
      <c r="N157" s="182">
        <v>1</v>
      </c>
      <c r="O157" s="183" t="s">
        <v>95</v>
      </c>
      <c r="P157" s="183" t="s">
        <v>137</v>
      </c>
      <c r="Q157" s="183" t="s">
        <v>97</v>
      </c>
      <c r="R157" s="183">
        <v>3</v>
      </c>
      <c r="S157" s="183">
        <v>3</v>
      </c>
      <c r="T157" s="183">
        <v>1</v>
      </c>
      <c r="U157" s="183" t="s">
        <v>22</v>
      </c>
      <c r="V157" s="183"/>
      <c r="W157" s="183"/>
      <c r="X157" s="183"/>
      <c r="Y157" s="184">
        <f t="shared" si="63"/>
        <v>0.01</v>
      </c>
      <c r="Z157" s="184">
        <f>IF(ISBLANK(O157),,IF(O157=UPPER("IB"),8.63*200,16.3*100))</f>
        <v>1630</v>
      </c>
      <c r="AA157" s="185" t="s">
        <v>891</v>
      </c>
      <c r="AB157" s="185"/>
      <c r="AC157" s="185"/>
      <c r="AD157" s="649">
        <v>-0.13</v>
      </c>
      <c r="AE157" s="182"/>
      <c r="AF157" s="332">
        <v>-0.15</v>
      </c>
      <c r="AG157" s="182"/>
      <c r="AH157" s="182"/>
      <c r="AI157" s="182"/>
      <c r="AJ157" s="640"/>
      <c r="AK157" s="182"/>
      <c r="AL157" s="496">
        <f>-0.03*Z157</f>
        <v>-48.9</v>
      </c>
      <c r="AM157" s="496">
        <f t="shared" si="64"/>
        <v>-146.69999999999999</v>
      </c>
      <c r="AN157" s="626"/>
      <c r="AO157" s="182"/>
      <c r="AP157" s="182" t="s">
        <v>897</v>
      </c>
      <c r="AQ157" s="332" t="str">
        <f>UPPER(RIGHT(Journal_Live[[#This Row],[DURATION ]]))</f>
        <v>W</v>
      </c>
      <c r="AR157" s="195">
        <v>44946.791666666664</v>
      </c>
      <c r="AS157" s="189">
        <v>-0.13</v>
      </c>
      <c r="AT157" s="189">
        <f t="shared" si="65"/>
        <v>0</v>
      </c>
      <c r="AU157" s="187">
        <f t="shared" si="66"/>
        <v>0</v>
      </c>
      <c r="AV157" s="190">
        <f t="shared" si="67"/>
        <v>0</v>
      </c>
      <c r="AW157" s="191" t="s">
        <v>115</v>
      </c>
      <c r="AX157" s="407" t="s">
        <v>912</v>
      </c>
      <c r="AY157" s="407"/>
      <c r="AZ157" s="407"/>
      <c r="BA157" s="407"/>
      <c r="BB157" s="407"/>
      <c r="BC157" s="407"/>
      <c r="BD157" s="407"/>
      <c r="BE157" s="407"/>
      <c r="BF157" s="422"/>
      <c r="BG157" s="391">
        <f>SUM($AV$4:AV157)</f>
        <v>1717.6200000000249</v>
      </c>
      <c r="BH157" s="392">
        <f>SUM($AU$134:AU157)</f>
        <v>799.39999999999816</v>
      </c>
      <c r="BI157" s="318">
        <f>SUMIFS($AU$134:AU158,$Q$134:Q158,"F")</f>
        <v>0</v>
      </c>
      <c r="BJ157" s="318">
        <f>SUMIFS($AU$134:AU158,$Q$134:Q158,"S")</f>
        <v>649.09999999999991</v>
      </c>
      <c r="BK157" s="343">
        <f>SUMIFS($AU$134:AU158,$P$134:P158,"W")</f>
        <v>730.60000000000014</v>
      </c>
      <c r="BL157" s="343">
        <f>SUMIFS($AU$134:AU158,$P$134:P158,"R")</f>
        <v>68.799999999998064</v>
      </c>
      <c r="BM157" s="343">
        <f>SUMIFS($AU$134:AU158,$AQ$134:AQ158,"M")</f>
        <v>0</v>
      </c>
      <c r="BN157" s="343">
        <f>SUMIFS($AU$134:AU158,$AQ$134:AQ158,"H")</f>
        <v>-16.500000000001869</v>
      </c>
      <c r="BO157" s="343">
        <f>SUMIFS($AU$134:AU158,$AQ$134:AQ158,"D")</f>
        <v>250.2</v>
      </c>
      <c r="BP157" s="343">
        <f>SUMIFS($AU$134:AU160,$AQ$134:AQ160,"W")</f>
        <v>318.59999999999997</v>
      </c>
      <c r="BQ157" s="343">
        <f>SUMIFS($AU$134:AU158,$Q$134:Q158,"O")</f>
        <v>-48.900000000001853</v>
      </c>
      <c r="BR157" s="343">
        <f>SUMIFS($AU$134:AU158,$AA$134:AA158,"*")</f>
        <v>799.39999999999816</v>
      </c>
      <c r="BS157" s="343">
        <f>SUMIFS($AU$134:AU158,$AB$134:AB158,"*")</f>
        <v>466.19999999999823</v>
      </c>
      <c r="BT157" s="343">
        <f>SUMIFS($AU$134:AU158,$AC$134:AC158,"*")</f>
        <v>499.49999999999994</v>
      </c>
      <c r="BU157" s="343">
        <f>SUMIFS($AU$134:AU158,$AA$134:AA158,"*",$AB$134:AB158,"*")</f>
        <v>466.19999999999823</v>
      </c>
      <c r="BV157" s="343">
        <f>SUMIFS($AU$134:AU158,$AA$134:AA158,"*",$AC$134:AC158,"*")</f>
        <v>499.49999999999994</v>
      </c>
      <c r="BW157" s="343">
        <f>SUMIFS($AU$134:AU158,$AB$134:AB158,"*",$AC$134:AC158,"*")</f>
        <v>515.1</v>
      </c>
      <c r="BX157" s="343">
        <f>SUMIFS($AU158:AU$1388,$Q158:Q$1388,"F")</f>
        <v>14440.666666666668</v>
      </c>
      <c r="BY157" s="343">
        <f>SUMIFS($AU158:AU$1388,$Q158:Q$1388,"S")</f>
        <v>20022.542000000001</v>
      </c>
      <c r="BZ157" s="343">
        <f>SUMIFS($AU158:AU$1388,$Q158:Q$1388,"O")</f>
        <v>-1599.9579999997966</v>
      </c>
    </row>
    <row r="158" spans="1:78" ht="18" customHeight="1">
      <c r="A158" s="177" t="s">
        <v>785</v>
      </c>
      <c r="B158" s="177">
        <v>44937</v>
      </c>
      <c r="C158" s="194">
        <v>0.25</v>
      </c>
      <c r="D158" s="178" t="s">
        <v>151</v>
      </c>
      <c r="E158" s="227" t="s">
        <v>913</v>
      </c>
      <c r="F158" s="180" t="s">
        <v>914</v>
      </c>
      <c r="G158" s="181"/>
      <c r="H158" s="182">
        <v>1</v>
      </c>
      <c r="I158" s="182"/>
      <c r="J158" s="182"/>
      <c r="K158" s="183" t="s">
        <v>372</v>
      </c>
      <c r="L158" s="182"/>
      <c r="M158" s="182"/>
      <c r="N158" s="182"/>
      <c r="O158" s="183"/>
      <c r="P158" s="183"/>
      <c r="Q158" s="183"/>
      <c r="R158" s="183"/>
      <c r="S158" s="183"/>
      <c r="T158" s="183"/>
      <c r="U158" s="183"/>
      <c r="V158" s="183"/>
      <c r="W158" s="183"/>
      <c r="X158" s="183"/>
      <c r="Y158" s="184">
        <f t="shared" si="63"/>
        <v>0</v>
      </c>
      <c r="Z158" s="184">
        <f>IF(ISBLANK(O158),,IF(O158=UPPER("IB"),8.63*200,16.3*100))</f>
        <v>0</v>
      </c>
      <c r="AA158" s="185"/>
      <c r="AB158" s="185"/>
      <c r="AC158" s="185"/>
      <c r="AD158" s="649"/>
      <c r="AE158" s="182"/>
      <c r="AF158" s="332"/>
      <c r="AG158" s="182"/>
      <c r="AH158" s="182"/>
      <c r="AI158" s="182"/>
      <c r="AJ158" s="640"/>
      <c r="AK158" s="182"/>
      <c r="AL158" s="496"/>
      <c r="AM158" s="497"/>
      <c r="AN158" s="626"/>
      <c r="AO158" s="182"/>
      <c r="AP158" s="182"/>
      <c r="AQ158" s="332" t="str">
        <f>UPPER(RIGHT(Journal_Live[[#This Row],[DURATION ]]))</f>
        <v/>
      </c>
      <c r="AR158" s="182"/>
      <c r="AS158" s="189"/>
      <c r="AT158" s="182"/>
      <c r="AU158" s="187"/>
      <c r="AV158" s="190"/>
      <c r="AW158" s="191"/>
      <c r="AX158" s="407"/>
      <c r="AY158" s="407"/>
      <c r="AZ158" s="407"/>
      <c r="BA158" s="407"/>
      <c r="BB158" s="407"/>
      <c r="BC158" s="407"/>
      <c r="BD158" s="407"/>
      <c r="BE158" s="407"/>
      <c r="BF158" s="422"/>
      <c r="BG158" s="391">
        <f>SUM($AV$4:AV158)</f>
        <v>1717.6200000000249</v>
      </c>
      <c r="BH158" s="392">
        <f>SUM($AU$134:AU158)</f>
        <v>799.39999999999816</v>
      </c>
      <c r="BI158" s="318">
        <f>SUMIFS($AU$134:AU159,$Q$134:Q159,"F")</f>
        <v>0</v>
      </c>
      <c r="BJ158" s="318">
        <f>SUMIFS($AU$134:AU159,$Q$134:Q159,"S")</f>
        <v>649.09999999999991</v>
      </c>
      <c r="BK158" s="343">
        <f>SUMIFS($AU$134:AU159,$P$134:P159,"W")</f>
        <v>730.60000000000014</v>
      </c>
      <c r="BL158" s="343">
        <f>SUMIFS($AU$134:AU159,$P$134:P159,"R")</f>
        <v>68.799999999998064</v>
      </c>
      <c r="BM158" s="343">
        <f>SUMIFS($AU$134:AU159,$AQ$134:AQ159,"M")</f>
        <v>0</v>
      </c>
      <c r="BN158" s="343">
        <f>SUMIFS($AU$134:AU159,$AQ$134:AQ159,"H")</f>
        <v>-16.500000000001869</v>
      </c>
      <c r="BO158" s="343">
        <f>SUMIFS($AU$134:AU159,$AQ$134:AQ159,"D")</f>
        <v>250.2</v>
      </c>
      <c r="BP158" s="343">
        <f>SUMIFS($AU$134:AU161,$AQ$134:AQ161,"W")</f>
        <v>318.59999999999997</v>
      </c>
      <c r="BQ158" s="343">
        <f>SUMIFS($AU$134:AU159,$Q$134:Q159,"O")</f>
        <v>-48.900000000001853</v>
      </c>
      <c r="BR158" s="343">
        <f>SUMIFS($AU$134:AU159,$AA$134:AA159,"*")</f>
        <v>799.39999999999816</v>
      </c>
      <c r="BS158" s="343">
        <f>SUMIFS($AU$134:AU159,$AB$134:AB159,"*")</f>
        <v>466.19999999999823</v>
      </c>
      <c r="BT158" s="343">
        <f>SUMIFS($AU$134:AU159,$AC$134:AC159,"*")</f>
        <v>499.49999999999994</v>
      </c>
      <c r="BU158" s="343">
        <f>SUMIFS($AU$134:AU159,$AA$134:AA159,"*",$AB$134:AB159,"*")</f>
        <v>466.19999999999823</v>
      </c>
      <c r="BV158" s="343">
        <f>SUMIFS($AU$134:AU159,$AA$134:AA159,"*",$AC$134:AC159,"*")</f>
        <v>499.49999999999994</v>
      </c>
      <c r="BW158" s="343">
        <f>SUMIFS($AU$134:AU159,$AB$134:AB159,"*",$AC$134:AC159,"*")</f>
        <v>515.1</v>
      </c>
      <c r="BX158" s="343">
        <f>SUMIFS($AU159:AU$1388,$Q159:Q$1388,"F")</f>
        <v>14440.666666666668</v>
      </c>
      <c r="BY158" s="343">
        <f>SUMIFS($AU159:AU$1388,$Q159:Q$1388,"S")</f>
        <v>20022.542000000001</v>
      </c>
      <c r="BZ158" s="343">
        <f>SUMIFS($AU159:AU$1388,$Q159:Q$1388,"O")</f>
        <v>-1599.9579999997966</v>
      </c>
    </row>
    <row r="159" spans="1:78" ht="18" customHeight="1">
      <c r="A159" s="177" t="s">
        <v>785</v>
      </c>
      <c r="B159" s="177"/>
      <c r="C159" s="178"/>
      <c r="D159" s="178"/>
      <c r="E159" s="227" t="s">
        <v>915</v>
      </c>
      <c r="F159" s="180"/>
      <c r="G159" s="181"/>
      <c r="H159" s="182">
        <v>1</v>
      </c>
      <c r="I159" s="182"/>
      <c r="J159" s="182"/>
      <c r="K159" s="183" t="s">
        <v>372</v>
      </c>
      <c r="L159" s="182"/>
      <c r="M159" s="182"/>
      <c r="N159" s="182"/>
      <c r="O159" s="183"/>
      <c r="P159" s="183"/>
      <c r="Q159" s="183"/>
      <c r="R159" s="183"/>
      <c r="S159" s="183"/>
      <c r="T159" s="183"/>
      <c r="U159" s="183"/>
      <c r="V159" s="183"/>
      <c r="W159" s="183"/>
      <c r="X159" s="183"/>
      <c r="Y159" s="184">
        <f t="shared" si="63"/>
        <v>0</v>
      </c>
      <c r="Z159" s="184">
        <f>IF(ISBLANK(O159),,IF(O159=UPPER("IB"),8.63*200,16.3*100))</f>
        <v>0</v>
      </c>
      <c r="AA159" s="185"/>
      <c r="AB159" s="185"/>
      <c r="AC159" s="185"/>
      <c r="AD159" s="649"/>
      <c r="AE159" s="182"/>
      <c r="AF159" s="332"/>
      <c r="AG159" s="182"/>
      <c r="AH159" s="182"/>
      <c r="AI159" s="182"/>
      <c r="AJ159" s="640"/>
      <c r="AK159" s="182"/>
      <c r="AL159" s="496"/>
      <c r="AM159" s="497"/>
      <c r="AN159" s="626"/>
      <c r="AO159" s="182"/>
      <c r="AP159" s="182"/>
      <c r="AQ159" s="332" t="str">
        <f>UPPER(RIGHT(Journal_Live[[#This Row],[DURATION ]]))</f>
        <v/>
      </c>
      <c r="AR159" s="182"/>
      <c r="AS159" s="189"/>
      <c r="AT159" s="182"/>
      <c r="AU159" s="187"/>
      <c r="AV159" s="190"/>
      <c r="AW159" s="191"/>
      <c r="AX159" s="407"/>
      <c r="AY159" s="407"/>
      <c r="AZ159" s="407"/>
      <c r="BA159" s="407"/>
      <c r="BB159" s="407"/>
      <c r="BC159" s="407"/>
      <c r="BD159" s="407"/>
      <c r="BE159" s="407"/>
      <c r="BF159" s="422"/>
      <c r="BG159" s="391">
        <f>SUM($AV$4:AV159)</f>
        <v>1717.6200000000249</v>
      </c>
      <c r="BH159" s="392">
        <f>SUM($AU$134:AU159)</f>
        <v>799.39999999999816</v>
      </c>
      <c r="BI159" s="318">
        <f>SUMIFS($AU$134:AU160,$Q$134:Q160,"F")</f>
        <v>0</v>
      </c>
      <c r="BJ159" s="318">
        <f>SUMIFS($AU$134:AU160,$Q$134:Q160,"S")</f>
        <v>682.3</v>
      </c>
      <c r="BK159" s="343">
        <f>SUMIFS($AU$134:AU160,$P$134:P160,"W")</f>
        <v>730.60000000000014</v>
      </c>
      <c r="BL159" s="343">
        <f>SUMIFS($AU$134:AU160,$P$134:P160,"R")</f>
        <v>101.99999999999807</v>
      </c>
      <c r="BM159" s="343">
        <f>SUMIFS($AU$134:AU160,$AQ$134:AQ160,"M")</f>
        <v>0</v>
      </c>
      <c r="BN159" s="343">
        <f>SUMIFS($AU$134:AU160,$AQ$134:AQ160,"H")</f>
        <v>-16.500000000001869</v>
      </c>
      <c r="BO159" s="343">
        <f>SUMIFS($AU$134:AU160,$AQ$134:AQ160,"D")</f>
        <v>283.39999999999998</v>
      </c>
      <c r="BP159" s="343">
        <f>SUMIFS($AU$134:AU162,$AQ$134:AQ162,"W")</f>
        <v>351.79999999999995</v>
      </c>
      <c r="BQ159" s="343">
        <f>SUMIFS($AU$134:AU160,$Q$134:Q160,"O")</f>
        <v>-48.900000000001853</v>
      </c>
      <c r="BR159" s="343">
        <f>SUMIFS($AU$134:AU160,$AA$134:AA160,"*")</f>
        <v>832.5999999999982</v>
      </c>
      <c r="BS159" s="343">
        <f>SUMIFS($AU$134:AU160,$AB$134:AB160,"*")</f>
        <v>466.19999999999823</v>
      </c>
      <c r="BT159" s="343">
        <f>SUMIFS($AU$134:AU160,$AC$134:AC160,"*")</f>
        <v>499.49999999999994</v>
      </c>
      <c r="BU159" s="343">
        <f>SUMIFS($AU$134:AU160,$AA$134:AA160,"*",$AB$134:AB160,"*")</f>
        <v>466.19999999999823</v>
      </c>
      <c r="BV159" s="343">
        <f>SUMIFS($AU$134:AU160,$AA$134:AA160,"*",$AC$134:AC160,"*")</f>
        <v>499.49999999999994</v>
      </c>
      <c r="BW159" s="343">
        <f>SUMIFS($AU$134:AU160,$AB$134:AB160,"*",$AC$134:AC160,"*")</f>
        <v>515.1</v>
      </c>
      <c r="BX159" s="343">
        <f>SUMIFS($AU160:AU$1388,$Q160:Q$1388,"F")</f>
        <v>14440.666666666668</v>
      </c>
      <c r="BY159" s="343">
        <f>SUMIFS($AU160:AU$1388,$Q160:Q$1388,"S")</f>
        <v>20022.542000000001</v>
      </c>
      <c r="BZ159" s="343">
        <f>SUMIFS($AU160:AU$1388,$Q160:Q$1388,"O")</f>
        <v>-1599.9579999997966</v>
      </c>
    </row>
    <row r="160" spans="1:78" ht="18" customHeight="1">
      <c r="A160" s="177" t="s">
        <v>785</v>
      </c>
      <c r="B160" s="177">
        <v>44937</v>
      </c>
      <c r="C160" s="178" t="s">
        <v>916</v>
      </c>
      <c r="D160" s="178" t="s">
        <v>151</v>
      </c>
      <c r="E160" s="227"/>
      <c r="F160" s="180"/>
      <c r="G160" s="241" t="s">
        <v>553</v>
      </c>
      <c r="H160" s="182"/>
      <c r="I160" s="182"/>
      <c r="J160" s="182"/>
      <c r="K160" s="183"/>
      <c r="L160" s="182">
        <v>1</v>
      </c>
      <c r="M160" s="182"/>
      <c r="N160" s="182"/>
      <c r="O160" s="183" t="s">
        <v>95</v>
      </c>
      <c r="P160" s="183" t="s">
        <v>137</v>
      </c>
      <c r="Q160" s="183" t="s">
        <v>97</v>
      </c>
      <c r="R160" s="183">
        <v>1</v>
      </c>
      <c r="S160" s="183">
        <v>1</v>
      </c>
      <c r="T160" s="183">
        <v>1</v>
      </c>
      <c r="U160" s="183" t="s">
        <v>97</v>
      </c>
      <c r="V160" s="183"/>
      <c r="W160" s="183"/>
      <c r="X160" s="183"/>
      <c r="Y160" s="184">
        <f t="shared" si="63"/>
        <v>0.01</v>
      </c>
      <c r="Z160" s="184">
        <f>IF(ISBLANK(O160),,IF(O160=UPPER("IB"),8.63*200,16.6*100))</f>
        <v>1660.0000000000002</v>
      </c>
      <c r="AA160" s="185" t="s">
        <v>857</v>
      </c>
      <c r="AB160" s="185"/>
      <c r="AC160" s="185"/>
      <c r="AD160" s="649">
        <v>-0.06</v>
      </c>
      <c r="AE160" s="182"/>
      <c r="AF160" s="332"/>
      <c r="AG160" s="182"/>
      <c r="AH160" s="182"/>
      <c r="AI160" s="182"/>
      <c r="AJ160" s="640"/>
      <c r="AK160" s="182"/>
      <c r="AL160" s="496">
        <f>-0.03*Z160</f>
        <v>-49.800000000000004</v>
      </c>
      <c r="AM160" s="496">
        <f>AL160*R160</f>
        <v>-49.800000000000004</v>
      </c>
      <c r="AN160" s="626"/>
      <c r="AO160" s="182"/>
      <c r="AP160" s="182" t="s">
        <v>804</v>
      </c>
      <c r="AQ160" s="332" t="str">
        <f>UPPER(RIGHT(Journal_Live[[#This Row],[DURATION ]]))</f>
        <v>D</v>
      </c>
      <c r="AR160" s="182" t="s">
        <v>917</v>
      </c>
      <c r="AS160" s="189">
        <v>-0.08</v>
      </c>
      <c r="AT160" s="189">
        <f>IF(ISBLANK(AS160),,IF(U160="S",AD160-AS160,AS160-AD160))</f>
        <v>2.0000000000000004E-2</v>
      </c>
      <c r="AU160" s="187">
        <f>AV160*R160</f>
        <v>33.20000000000001</v>
      </c>
      <c r="AV160" s="190">
        <f>IF(ISBLANK(AS160),,(AT160*Z160))</f>
        <v>33.20000000000001</v>
      </c>
      <c r="AW160" s="191" t="s">
        <v>96</v>
      </c>
      <c r="AX160" s="407"/>
      <c r="AY160" s="407"/>
      <c r="AZ160" s="407"/>
      <c r="BA160" s="407"/>
      <c r="BB160" s="407"/>
      <c r="BC160" s="407"/>
      <c r="BD160" s="407"/>
      <c r="BE160" s="407"/>
      <c r="BF160" s="422"/>
      <c r="BG160" s="391">
        <f>SUM($AV$4:AV160)</f>
        <v>1750.8200000000249</v>
      </c>
      <c r="BH160" s="392">
        <f>SUM($AU$134:AU160)</f>
        <v>832.5999999999982</v>
      </c>
      <c r="BI160" s="318">
        <f>SUMIFS($AU$134:AU161,$Q$134:Q161,"F")</f>
        <v>0</v>
      </c>
      <c r="BJ160" s="318">
        <f>SUMIFS($AU$134:AU161,$Q$134:Q161,"S")</f>
        <v>682.3</v>
      </c>
      <c r="BK160" s="343">
        <f>SUMIFS($AU$134:AU161,$P$134:P161,"W")</f>
        <v>730.60000000000014</v>
      </c>
      <c r="BL160" s="343">
        <f>SUMIFS($AU$134:AU161,$P$134:P161,"R")</f>
        <v>101.99999999999807</v>
      </c>
      <c r="BM160" s="343">
        <f>SUMIFS($AU$134:AU161,$AQ$134:AQ161,"M")</f>
        <v>0</v>
      </c>
      <c r="BN160" s="343">
        <f>SUMIFS($AU$134:AU161,$AQ$134:AQ161,"H")</f>
        <v>-16.500000000001869</v>
      </c>
      <c r="BO160" s="343">
        <f>SUMIFS($AU$134:AU161,$AQ$134:AQ161,"D")</f>
        <v>283.39999999999998</v>
      </c>
      <c r="BP160" s="343">
        <f>SUMIFS($AU$134:AU163,$AQ$134:AQ163,"W")</f>
        <v>351.79999999999995</v>
      </c>
      <c r="BQ160" s="343">
        <f>SUMIFS($AU$134:AU161,$Q$134:Q161,"O")</f>
        <v>-48.900000000001853</v>
      </c>
      <c r="BR160" s="343">
        <f>SUMIFS($AU$134:AU161,$AA$134:AA161,"*")</f>
        <v>832.5999999999982</v>
      </c>
      <c r="BS160" s="343">
        <f>SUMIFS($AU$134:AU161,$AB$134:AB161,"*")</f>
        <v>466.19999999999823</v>
      </c>
      <c r="BT160" s="343">
        <f>SUMIFS($AU$134:AU161,$AC$134:AC161,"*")</f>
        <v>499.49999999999994</v>
      </c>
      <c r="BU160" s="343">
        <f>SUMIFS($AU$134:AU161,$AA$134:AA161,"*",$AB$134:AB161,"*")</f>
        <v>466.19999999999823</v>
      </c>
      <c r="BV160" s="343">
        <f>SUMIFS($AU$134:AU161,$AA$134:AA161,"*",$AC$134:AC161,"*")</f>
        <v>499.49999999999994</v>
      </c>
      <c r="BW160" s="343">
        <f>SUMIFS($AU$134:AU161,$AB$134:AB161,"*",$AC$134:AC161,"*")</f>
        <v>515.1</v>
      </c>
      <c r="BX160" s="343">
        <f>SUMIFS($AU161:AU$1388,$Q161:Q$1388,"F")</f>
        <v>14440.666666666668</v>
      </c>
      <c r="BY160" s="343">
        <f>SUMIFS($AU161:AU$1388,$Q161:Q$1388,"S")</f>
        <v>19989.342000000001</v>
      </c>
      <c r="BZ160" s="343">
        <f>SUMIFS($AU161:AU$1388,$Q161:Q$1388,"O")</f>
        <v>-1599.9579999997966</v>
      </c>
    </row>
    <row r="161" spans="1:78" ht="18" customHeight="1">
      <c r="A161" s="177" t="s">
        <v>785</v>
      </c>
      <c r="B161" s="177">
        <v>44937</v>
      </c>
      <c r="C161" s="178" t="s">
        <v>918</v>
      </c>
      <c r="D161" s="178" t="s">
        <v>151</v>
      </c>
      <c r="E161" s="227"/>
      <c r="F161" s="180"/>
      <c r="G161" s="181" t="s">
        <v>280</v>
      </c>
      <c r="H161" s="182"/>
      <c r="I161" s="182"/>
      <c r="J161" s="182"/>
      <c r="K161" s="183"/>
      <c r="L161" s="182">
        <v>1</v>
      </c>
      <c r="M161" s="182"/>
      <c r="N161" s="182"/>
      <c r="O161" s="183" t="s">
        <v>95</v>
      </c>
      <c r="P161" s="183" t="s">
        <v>137</v>
      </c>
      <c r="Q161" s="183" t="s">
        <v>97</v>
      </c>
      <c r="R161" s="183">
        <v>1</v>
      </c>
      <c r="S161" s="183">
        <v>1</v>
      </c>
      <c r="T161" s="183">
        <v>1</v>
      </c>
      <c r="U161" s="183" t="s">
        <v>22</v>
      </c>
      <c r="V161" s="183"/>
      <c r="W161" s="183"/>
      <c r="X161" s="183"/>
      <c r="Y161" s="184">
        <f t="shared" si="63"/>
        <v>0.01</v>
      </c>
      <c r="Z161" s="184">
        <f>IF(ISBLANK(O161),,IF(O161=UPPER("IB"),8.63*200,16.6*100))</f>
        <v>1660.0000000000002</v>
      </c>
      <c r="AA161" s="185" t="s">
        <v>919</v>
      </c>
      <c r="AB161" s="185"/>
      <c r="AC161" s="185"/>
      <c r="AD161" s="649">
        <v>-0.1</v>
      </c>
      <c r="AE161" s="182"/>
      <c r="AF161" s="332"/>
      <c r="AG161" s="182"/>
      <c r="AH161" s="182"/>
      <c r="AI161" s="182"/>
      <c r="AJ161" s="640"/>
      <c r="AK161" s="182"/>
      <c r="AL161" s="496">
        <f>-0.02*Z161</f>
        <v>-33.200000000000003</v>
      </c>
      <c r="AM161" s="496">
        <f>AL161*R161</f>
        <v>-33.200000000000003</v>
      </c>
      <c r="AN161" s="626"/>
      <c r="AO161" s="182"/>
      <c r="AP161" s="182" t="s">
        <v>920</v>
      </c>
      <c r="AQ161" s="332" t="s">
        <v>96</v>
      </c>
      <c r="AR161" s="182" t="s">
        <v>921</v>
      </c>
      <c r="AS161" s="189">
        <v>-0.1</v>
      </c>
      <c r="AT161" s="189">
        <f>IF(ISBLANK(AS161),,IF(U161="S",AD161-AS161,AS161-AD161))</f>
        <v>0</v>
      </c>
      <c r="AU161" s="187">
        <f>AV161*R161</f>
        <v>0</v>
      </c>
      <c r="AV161" s="190">
        <f>IF(ISBLANK(AS161),,(AT161*Z161))</f>
        <v>0</v>
      </c>
      <c r="AW161" s="191" t="s">
        <v>115</v>
      </c>
      <c r="AX161" s="407" t="s">
        <v>922</v>
      </c>
      <c r="AY161" s="407"/>
      <c r="AZ161" s="407"/>
      <c r="BA161" s="407"/>
      <c r="BB161" s="407"/>
      <c r="BC161" s="407"/>
      <c r="BD161" s="407"/>
      <c r="BE161" s="407"/>
      <c r="BF161" s="422"/>
      <c r="BG161" s="391">
        <f>SUM($AV$4:AV161)</f>
        <v>1750.8200000000249</v>
      </c>
      <c r="BH161" s="392">
        <f>SUM($AU$134:AU161)</f>
        <v>832.5999999999982</v>
      </c>
      <c r="BI161" s="318">
        <f>SUMIFS($AU$134:AU162,$Q$134:Q162,"F")</f>
        <v>0</v>
      </c>
      <c r="BJ161" s="318">
        <f>SUMIFS($AU$134:AU162,$Q$134:Q162,"S")</f>
        <v>715.5</v>
      </c>
      <c r="BK161" s="343">
        <f>SUMIFS($AU$134:AU162,$P$134:P162,"W")</f>
        <v>730.60000000000014</v>
      </c>
      <c r="BL161" s="343">
        <f>SUMIFS($AU$134:AU162,$P$134:P162,"R")</f>
        <v>135.19999999999806</v>
      </c>
      <c r="BM161" s="343">
        <f>SUMIFS($AU$134:AU162,$AQ$134:AQ162,"M")</f>
        <v>0</v>
      </c>
      <c r="BN161" s="343">
        <f>SUMIFS($AU$134:AU162,$AQ$134:AQ162,"H")</f>
        <v>-16.500000000001869</v>
      </c>
      <c r="BO161" s="343">
        <f>SUMIFS($AU$134:AU162,$AQ$134:AQ162,"D")</f>
        <v>283.39999999999998</v>
      </c>
      <c r="BP161" s="343">
        <f>SUMIFS($AU$134:AU164,$AQ$134:AQ164,"W")</f>
        <v>351.79999999999995</v>
      </c>
      <c r="BQ161" s="343">
        <f>SUMIFS($AU$134:AU162,$Q$134:Q162,"O")</f>
        <v>-48.900000000001853</v>
      </c>
      <c r="BR161" s="343">
        <f>SUMIFS($AU$134:AU162,$AA$134:AA162,"*")</f>
        <v>865.79999999999814</v>
      </c>
      <c r="BS161" s="343">
        <f>SUMIFS($AU$134:AU162,$AB$134:AB162,"*")</f>
        <v>466.19999999999823</v>
      </c>
      <c r="BT161" s="343">
        <f>SUMIFS($AU$134:AU162,$AC$134:AC162,"*")</f>
        <v>499.49999999999994</v>
      </c>
      <c r="BU161" s="343">
        <f>SUMIFS($AU$134:AU162,$AA$134:AA162,"*",$AB$134:AB162,"*")</f>
        <v>466.19999999999823</v>
      </c>
      <c r="BV161" s="343">
        <f>SUMIFS($AU$134:AU162,$AA$134:AA162,"*",$AC$134:AC162,"*")</f>
        <v>499.49999999999994</v>
      </c>
      <c r="BW161" s="343">
        <f>SUMIFS($AU$134:AU162,$AB$134:AB162,"*",$AC$134:AC162,"*")</f>
        <v>515.1</v>
      </c>
      <c r="BX161" s="343">
        <f>SUMIFS($AU162:AU$1388,$Q162:Q$1388,"F")</f>
        <v>14440.666666666668</v>
      </c>
      <c r="BY161" s="343">
        <f>SUMIFS($AU162:AU$1388,$Q162:Q$1388,"S")</f>
        <v>19989.342000000001</v>
      </c>
      <c r="BZ161" s="343">
        <f>SUMIFS($AU162:AU$1388,$Q162:Q$1388,"O")</f>
        <v>-1599.9579999997966</v>
      </c>
    </row>
    <row r="162" spans="1:78" ht="18" customHeight="1">
      <c r="A162" s="177" t="s">
        <v>785</v>
      </c>
      <c r="B162" s="268" t="s">
        <v>923</v>
      </c>
      <c r="C162" s="178" t="s">
        <v>924</v>
      </c>
      <c r="D162" s="178" t="s">
        <v>93</v>
      </c>
      <c r="E162" s="227"/>
      <c r="F162" s="180"/>
      <c r="G162" s="241" t="s">
        <v>280</v>
      </c>
      <c r="H162" s="182"/>
      <c r="I162" s="182"/>
      <c r="J162" s="182"/>
      <c r="K162" s="183"/>
      <c r="L162" s="182">
        <v>1</v>
      </c>
      <c r="M162" s="182"/>
      <c r="N162" s="182"/>
      <c r="O162" s="183" t="s">
        <v>95</v>
      </c>
      <c r="P162" s="183" t="s">
        <v>137</v>
      </c>
      <c r="Q162" s="183" t="s">
        <v>97</v>
      </c>
      <c r="R162" s="183">
        <v>2</v>
      </c>
      <c r="S162" s="183">
        <v>2</v>
      </c>
      <c r="T162" s="183">
        <v>1</v>
      </c>
      <c r="U162" s="183" t="s">
        <v>22</v>
      </c>
      <c r="V162" s="183"/>
      <c r="W162" s="183"/>
      <c r="X162" s="183"/>
      <c r="Y162" s="184">
        <f t="shared" si="63"/>
        <v>0.01</v>
      </c>
      <c r="Z162" s="184">
        <f>IF(ISBLANK(O162),,IF(O162=UPPER("IB"),8.63*200,16.6*100))</f>
        <v>1660.0000000000002</v>
      </c>
      <c r="AA162" s="185" t="s">
        <v>919</v>
      </c>
      <c r="AB162" s="185"/>
      <c r="AC162" s="185"/>
      <c r="AD162" s="649">
        <v>-0.11</v>
      </c>
      <c r="AE162" s="182"/>
      <c r="AF162" s="332"/>
      <c r="AG162" s="182"/>
      <c r="AH162" s="182"/>
      <c r="AI162" s="182"/>
      <c r="AJ162" s="640"/>
      <c r="AK162" s="182"/>
      <c r="AL162" s="496">
        <f>-0.04*Z162</f>
        <v>-66.400000000000006</v>
      </c>
      <c r="AM162" s="496">
        <f>AL162*R162</f>
        <v>-132.80000000000001</v>
      </c>
      <c r="AN162" s="626"/>
      <c r="AO162" s="182"/>
      <c r="AP162" s="182" t="s">
        <v>925</v>
      </c>
      <c r="AQ162" s="332" t="str">
        <f>UPPER(RIGHT(Journal_Live[[#This Row],[DURATION ]]))</f>
        <v>W</v>
      </c>
      <c r="AR162" s="182" t="s">
        <v>921</v>
      </c>
      <c r="AS162" s="189">
        <v>-0.1</v>
      </c>
      <c r="AT162" s="189">
        <f>IF(ISBLANK(AS162),,IF(U162="S",AD162-AS162,AS162-AD162))</f>
        <v>9.999999999999995E-3</v>
      </c>
      <c r="AU162" s="187">
        <f>AV162*R162</f>
        <v>33.199999999999989</v>
      </c>
      <c r="AV162" s="190">
        <f>IF(ISBLANK(AS162),,(AT162*Z162))</f>
        <v>16.599999999999994</v>
      </c>
      <c r="AW162" s="191" t="s">
        <v>96</v>
      </c>
      <c r="AX162" s="407" t="s">
        <v>922</v>
      </c>
      <c r="AY162" s="407"/>
      <c r="AZ162" s="407"/>
      <c r="BA162" s="407"/>
      <c r="BB162" s="407"/>
      <c r="BC162" s="407"/>
      <c r="BD162" s="407"/>
      <c r="BE162" s="407"/>
      <c r="BF162" s="422"/>
      <c r="BG162" s="391">
        <f>SUM($AV$4:AV162)</f>
        <v>1767.4200000000249</v>
      </c>
      <c r="BH162" s="392">
        <f>SUM($AU$134:AU162)</f>
        <v>865.79999999999814</v>
      </c>
      <c r="BI162" s="318">
        <f>SUMIFS($AU$134:AU163,$Q$134:Q163,"F")</f>
        <v>0</v>
      </c>
      <c r="BJ162" s="318">
        <f>SUMIFS($AU$134:AU163,$Q$134:Q163,"S")</f>
        <v>815.7</v>
      </c>
      <c r="BK162" s="343">
        <f>SUMIFS($AU$134:AU163,$P$134:P163,"W")</f>
        <v>830.80000000000018</v>
      </c>
      <c r="BL162" s="343">
        <f>SUMIFS($AU$134:AU163,$P$134:P163,"R")</f>
        <v>135.19999999999806</v>
      </c>
      <c r="BM162" s="343">
        <f>SUMIFS($AU$134:AU163,$AQ$134:AQ163,"M")</f>
        <v>0</v>
      </c>
      <c r="BN162" s="343">
        <f>SUMIFS($AU$134:AU163,$AQ$134:AQ163,"H")</f>
        <v>-16.500000000001869</v>
      </c>
      <c r="BO162" s="343">
        <f>SUMIFS($AU$134:AU163,$AQ$134:AQ163,"D")</f>
        <v>383.59999999999997</v>
      </c>
      <c r="BP162" s="343">
        <f>SUMIFS($AU$134:AU165,$AQ$134:AQ165,"W")</f>
        <v>351.79999999999995</v>
      </c>
      <c r="BQ162" s="343">
        <f>SUMIFS($AU$134:AU163,$Q$134:Q163,"O")</f>
        <v>-48.900000000001853</v>
      </c>
      <c r="BR162" s="343">
        <f>SUMIFS($AU$134:AU163,$AA$134:AA163,"*")</f>
        <v>965.99999999999818</v>
      </c>
      <c r="BS162" s="343">
        <f>SUMIFS($AU$134:AU163,$AB$134:AB163,"*")</f>
        <v>466.19999999999823</v>
      </c>
      <c r="BT162" s="343">
        <f>SUMIFS($AU$134:AU163,$AC$134:AC163,"*")</f>
        <v>499.49999999999994</v>
      </c>
      <c r="BU162" s="343">
        <f>SUMIFS($AU$134:AU163,$AA$134:AA163,"*",$AB$134:AB163,"*")</f>
        <v>466.19999999999823</v>
      </c>
      <c r="BV162" s="343">
        <f>SUMIFS($AU$134:AU163,$AA$134:AA163,"*",$AC$134:AC163,"*")</f>
        <v>499.49999999999994</v>
      </c>
      <c r="BW162" s="343">
        <f>SUMIFS($AU$134:AU163,$AB$134:AB163,"*",$AC$134:AC163,"*")</f>
        <v>515.1</v>
      </c>
      <c r="BX162" s="343">
        <f>SUMIFS($AU163:AU$1388,$Q163:Q$1388,"F")</f>
        <v>14440.666666666668</v>
      </c>
      <c r="BY162" s="343">
        <f>SUMIFS($AU163:AU$1388,$Q163:Q$1388,"S")</f>
        <v>19956.142</v>
      </c>
      <c r="BZ162" s="343">
        <f>SUMIFS($AU163:AU$1388,$Q163:Q$1388,"O")</f>
        <v>-1599.9579999997966</v>
      </c>
    </row>
    <row r="163" spans="1:78" ht="18" customHeight="1">
      <c r="A163" s="177" t="s">
        <v>785</v>
      </c>
      <c r="B163" s="177">
        <v>44938</v>
      </c>
      <c r="C163" s="178" t="s">
        <v>926</v>
      </c>
      <c r="D163" s="178" t="s">
        <v>93</v>
      </c>
      <c r="E163" s="227"/>
      <c r="F163" s="180"/>
      <c r="G163" s="269" t="s">
        <v>133</v>
      </c>
      <c r="H163" s="182"/>
      <c r="I163" s="182"/>
      <c r="J163" s="182"/>
      <c r="K163" s="183"/>
      <c r="L163" s="182">
        <v>1</v>
      </c>
      <c r="M163" s="182"/>
      <c r="N163" s="182">
        <v>1</v>
      </c>
      <c r="O163" s="183" t="s">
        <v>95</v>
      </c>
      <c r="P163" s="183" t="s">
        <v>96</v>
      </c>
      <c r="Q163" s="183" t="s">
        <v>97</v>
      </c>
      <c r="R163" s="183">
        <v>2</v>
      </c>
      <c r="S163" s="183">
        <v>2</v>
      </c>
      <c r="T163" s="183">
        <v>2</v>
      </c>
      <c r="U163" s="183" t="s">
        <v>22</v>
      </c>
      <c r="V163" s="183"/>
      <c r="W163" s="183"/>
      <c r="X163" s="183"/>
      <c r="Y163" s="184">
        <f t="shared" si="63"/>
        <v>0.01</v>
      </c>
      <c r="Z163" s="184">
        <f>IF(ISBLANK(O163),,IF(O163=UPPER("IB"),8.63*200,16.7*100))</f>
        <v>1670</v>
      </c>
      <c r="AA163" s="185" t="s">
        <v>927</v>
      </c>
      <c r="AB163" s="185"/>
      <c r="AC163" s="185"/>
      <c r="AD163" s="649">
        <v>-0.04</v>
      </c>
      <c r="AE163" s="182"/>
      <c r="AF163" s="332"/>
      <c r="AG163" s="182"/>
      <c r="AH163" s="182"/>
      <c r="AI163" s="182"/>
      <c r="AJ163" s="640"/>
      <c r="AK163" s="182"/>
      <c r="AL163" s="496">
        <f>-0.03*Z163</f>
        <v>-50.1</v>
      </c>
      <c r="AM163" s="496">
        <f>AL163*R163</f>
        <v>-100.2</v>
      </c>
      <c r="AN163" s="626"/>
      <c r="AO163" s="182"/>
      <c r="AP163" s="182" t="s">
        <v>928</v>
      </c>
      <c r="AQ163" s="332" t="str">
        <f>UPPER(RIGHT(Journal_Live[[#This Row],[DURATION ]]))</f>
        <v>D</v>
      </c>
      <c r="AR163" s="195">
        <v>44942.25</v>
      </c>
      <c r="AS163" s="189">
        <v>-0.01</v>
      </c>
      <c r="AT163" s="189">
        <f>IF(ISBLANK(AS163),,IF(U163="S",AD163-AS163,AS163-AD163))</f>
        <v>0.03</v>
      </c>
      <c r="AU163" s="187">
        <f>AV163*R163</f>
        <v>100.2</v>
      </c>
      <c r="AV163" s="190">
        <f>IF(ISBLANK(AS163),,(AT163*Z163))</f>
        <v>50.1</v>
      </c>
      <c r="AW163" s="191" t="s">
        <v>96</v>
      </c>
      <c r="AX163" s="407"/>
      <c r="AY163" s="407"/>
      <c r="AZ163" s="407"/>
      <c r="BA163" s="407"/>
      <c r="BB163" s="407"/>
      <c r="BC163" s="407"/>
      <c r="BD163" s="407"/>
      <c r="BE163" s="407"/>
      <c r="BF163" s="422"/>
      <c r="BG163" s="391">
        <f>SUM($AV$4:AV163)</f>
        <v>1817.5200000000248</v>
      </c>
      <c r="BH163" s="392">
        <f>SUM($AU$134:AU163)</f>
        <v>965.99999999999818</v>
      </c>
      <c r="BI163" s="318">
        <f>SUMIFS($AU$134:AU164,$Q$134:Q164,"F")</f>
        <v>0</v>
      </c>
      <c r="BJ163" s="318">
        <f>SUMIFS($AU$134:AU164,$Q$134:Q164,"S")</f>
        <v>815.7</v>
      </c>
      <c r="BK163" s="343">
        <f>SUMIFS($AU$134:AU164,$P$134:P164,"W")</f>
        <v>830.80000000000018</v>
      </c>
      <c r="BL163" s="343">
        <f>SUMIFS($AU$134:AU164,$P$134:P164,"R")</f>
        <v>135.19999999999806</v>
      </c>
      <c r="BM163" s="343">
        <f>SUMIFS($AU$134:AU164,$AQ$134:AQ164,"M")</f>
        <v>0</v>
      </c>
      <c r="BN163" s="343">
        <f>SUMIFS($AU$134:AU164,$AQ$134:AQ164,"H")</f>
        <v>-16.500000000001869</v>
      </c>
      <c r="BO163" s="343">
        <f>SUMIFS($AU$134:AU164,$AQ$134:AQ164,"D")</f>
        <v>383.59999999999997</v>
      </c>
      <c r="BP163" s="343">
        <f>SUMIFS($AU$134:AU166,$AQ$134:AQ166,"W")</f>
        <v>351.79999999999995</v>
      </c>
      <c r="BQ163" s="343">
        <f>SUMIFS($AU$134:AU164,$Q$134:Q164,"O")</f>
        <v>-48.900000000001853</v>
      </c>
      <c r="BR163" s="343">
        <f>SUMIFS($AU$134:AU164,$AA$134:AA164,"*")</f>
        <v>965.99999999999818</v>
      </c>
      <c r="BS163" s="343">
        <f>SUMIFS($AU$134:AU164,$AB$134:AB164,"*")</f>
        <v>466.19999999999823</v>
      </c>
      <c r="BT163" s="343">
        <f>SUMIFS($AU$134:AU164,$AC$134:AC164,"*")</f>
        <v>499.49999999999994</v>
      </c>
      <c r="BU163" s="343">
        <f>SUMIFS($AU$134:AU164,$AA$134:AA164,"*",$AB$134:AB164,"*")</f>
        <v>466.19999999999823</v>
      </c>
      <c r="BV163" s="343">
        <f>SUMIFS($AU$134:AU164,$AA$134:AA164,"*",$AC$134:AC164,"*")</f>
        <v>499.49999999999994</v>
      </c>
      <c r="BW163" s="343">
        <f>SUMIFS($AU$134:AU164,$AB$134:AB164,"*",$AC$134:AC164,"*")</f>
        <v>515.1</v>
      </c>
      <c r="BX163" s="343">
        <f>SUMIFS($AU164:AU$1388,$Q164:Q$1388,"F")</f>
        <v>14440.666666666668</v>
      </c>
      <c r="BY163" s="343">
        <f>SUMIFS($AU164:AU$1388,$Q164:Q$1388,"S")</f>
        <v>19855.941999999999</v>
      </c>
      <c r="BZ163" s="343">
        <f>SUMIFS($AU164:AU$1388,$Q164:Q$1388,"O")</f>
        <v>-1599.9579999997966</v>
      </c>
    </row>
    <row r="164" spans="1:78" ht="18" customHeight="1">
      <c r="A164" s="177" t="s">
        <v>785</v>
      </c>
      <c r="B164" s="177">
        <v>44938</v>
      </c>
      <c r="C164" s="194">
        <v>0.79166666666666663</v>
      </c>
      <c r="D164" s="178" t="s">
        <v>93</v>
      </c>
      <c r="E164" s="227" t="s">
        <v>929</v>
      </c>
      <c r="F164" s="180" t="s">
        <v>930</v>
      </c>
      <c r="G164" s="181"/>
      <c r="H164" s="182"/>
      <c r="I164" s="182">
        <v>1</v>
      </c>
      <c r="J164" s="182"/>
      <c r="K164" s="183"/>
      <c r="L164" s="182"/>
      <c r="M164" s="182"/>
      <c r="N164" s="182"/>
      <c r="O164" s="183"/>
      <c r="P164" s="183"/>
      <c r="Q164" s="183"/>
      <c r="R164" s="183"/>
      <c r="S164" s="183"/>
      <c r="T164" s="183"/>
      <c r="U164" s="183"/>
      <c r="V164" s="183"/>
      <c r="W164" s="183"/>
      <c r="X164" s="183"/>
      <c r="Y164" s="184"/>
      <c r="Z164" s="184"/>
      <c r="AA164" s="185"/>
      <c r="AB164" s="185"/>
      <c r="AC164" s="185"/>
      <c r="AD164" s="649"/>
      <c r="AE164" s="182"/>
      <c r="AF164" s="332"/>
      <c r="AG164" s="182"/>
      <c r="AH164" s="182"/>
      <c r="AI164" s="182"/>
      <c r="AJ164" s="640"/>
      <c r="AK164" s="182"/>
      <c r="AL164" s="496"/>
      <c r="AM164" s="497"/>
      <c r="AN164" s="626"/>
      <c r="AO164" s="182"/>
      <c r="AP164" s="182"/>
      <c r="AQ164" s="332" t="str">
        <f>UPPER(RIGHT(Journal_Live[[#This Row],[DURATION ]]))</f>
        <v/>
      </c>
      <c r="AR164" s="182"/>
      <c r="AS164" s="189"/>
      <c r="AT164" s="182">
        <f>IF(ISBLANK(AS164),,IF(U164="S",AD164-AS164,AS164-AD164))</f>
        <v>0</v>
      </c>
      <c r="AU164" s="187"/>
      <c r="AV164" s="190">
        <f>IF(ISBLANK(AS164),,(AT164*Z164))</f>
        <v>0</v>
      </c>
      <c r="AW164" s="191"/>
      <c r="AX164" s="407"/>
      <c r="AY164" s="407"/>
      <c r="AZ164" s="407"/>
      <c r="BA164" s="407"/>
      <c r="BB164" s="407"/>
      <c r="BC164" s="407"/>
      <c r="BD164" s="407"/>
      <c r="BE164" s="407"/>
      <c r="BF164" s="422"/>
      <c r="BG164" s="391">
        <f>SUM($AV$4:AV164)</f>
        <v>1817.5200000000248</v>
      </c>
      <c r="BH164" s="392">
        <f>SUM($AU$134:AU164)</f>
        <v>965.99999999999818</v>
      </c>
      <c r="BI164" s="318">
        <f>SUMIFS($AU$134:AU165,$Q$134:Q165,"F")</f>
        <v>0</v>
      </c>
      <c r="BJ164" s="318">
        <f>SUMIFS($AU$134:AU165,$Q$134:Q165,"S")</f>
        <v>815.7</v>
      </c>
      <c r="BK164" s="343">
        <f>SUMIFS($AU$134:AU165,$P$134:P165,"W")</f>
        <v>830.80000000000018</v>
      </c>
      <c r="BL164" s="343">
        <f>SUMIFS($AU$134:AU165,$P$134:P165,"R")</f>
        <v>135.19999999999806</v>
      </c>
      <c r="BM164" s="343">
        <f>SUMIFS($AU$134:AU165,$AQ$134:AQ165,"M")</f>
        <v>0</v>
      </c>
      <c r="BN164" s="343">
        <f>SUMIFS($AU$134:AU165,$AQ$134:AQ165,"H")</f>
        <v>-16.500000000001869</v>
      </c>
      <c r="BO164" s="343">
        <f>SUMIFS($AU$134:AU165,$AQ$134:AQ165,"D")</f>
        <v>383.59999999999997</v>
      </c>
      <c r="BP164" s="343">
        <f>SUMIFS($AU$134:AU167,$AQ$134:AQ167,"W")</f>
        <v>351.79999999999995</v>
      </c>
      <c r="BQ164" s="343">
        <f>SUMIFS($AU$134:AU165,$Q$134:Q165,"O")</f>
        <v>-48.900000000001853</v>
      </c>
      <c r="BR164" s="343">
        <f>SUMIFS($AU$134:AU165,$AA$134:AA165,"*")</f>
        <v>965.99999999999818</v>
      </c>
      <c r="BS164" s="343">
        <f>SUMIFS($AU$134:AU165,$AB$134:AB165,"*")</f>
        <v>466.19999999999823</v>
      </c>
      <c r="BT164" s="343">
        <f>SUMIFS($AU$134:AU165,$AC$134:AC165,"*")</f>
        <v>499.49999999999994</v>
      </c>
      <c r="BU164" s="343">
        <f>SUMIFS($AU$134:AU165,$AA$134:AA165,"*",$AB$134:AB165,"*")</f>
        <v>466.19999999999823</v>
      </c>
      <c r="BV164" s="343">
        <f>SUMIFS($AU$134:AU165,$AA$134:AA165,"*",$AC$134:AC165,"*")</f>
        <v>499.49999999999994</v>
      </c>
      <c r="BW164" s="343">
        <f>SUMIFS($AU$134:AU165,$AB$134:AB165,"*",$AC$134:AC165,"*")</f>
        <v>515.1</v>
      </c>
      <c r="BX164" s="343">
        <f>SUMIFS($AU165:AU$1388,$Q165:Q$1388,"F")</f>
        <v>14440.666666666668</v>
      </c>
      <c r="BY164" s="343">
        <f>SUMIFS($AU165:AU$1388,$Q165:Q$1388,"S")</f>
        <v>19855.941999999999</v>
      </c>
      <c r="BZ164" s="343">
        <f>SUMIFS($AU165:AU$1388,$Q165:Q$1388,"O")</f>
        <v>-1599.9579999997966</v>
      </c>
    </row>
    <row r="165" spans="1:78" ht="18" customHeight="1">
      <c r="A165" s="177" t="s">
        <v>785</v>
      </c>
      <c r="B165" s="177"/>
      <c r="C165" s="178"/>
      <c r="D165" s="178"/>
      <c r="E165" s="227" t="s">
        <v>931</v>
      </c>
      <c r="F165" s="180" t="s">
        <v>932</v>
      </c>
      <c r="G165" s="181"/>
      <c r="H165" s="182"/>
      <c r="I165" s="182"/>
      <c r="J165" s="182">
        <v>1</v>
      </c>
      <c r="K165" s="183" t="s">
        <v>115</v>
      </c>
      <c r="L165" s="182"/>
      <c r="M165" s="182"/>
      <c r="N165" s="182"/>
      <c r="O165" s="183"/>
      <c r="P165" s="183"/>
      <c r="Q165" s="183"/>
      <c r="R165" s="183"/>
      <c r="S165" s="183"/>
      <c r="T165" s="183"/>
      <c r="U165" s="183"/>
      <c r="V165" s="183"/>
      <c r="W165" s="183"/>
      <c r="X165" s="183"/>
      <c r="Y165" s="184"/>
      <c r="Z165" s="184"/>
      <c r="AA165" s="185"/>
      <c r="AB165" s="185"/>
      <c r="AC165" s="185"/>
      <c r="AD165" s="649"/>
      <c r="AE165" s="182"/>
      <c r="AF165" s="332"/>
      <c r="AG165" s="182"/>
      <c r="AH165" s="182"/>
      <c r="AI165" s="182"/>
      <c r="AJ165" s="640"/>
      <c r="AK165" s="182"/>
      <c r="AL165" s="496"/>
      <c r="AM165" s="497"/>
      <c r="AN165" s="626"/>
      <c r="AO165" s="182"/>
      <c r="AP165" s="182"/>
      <c r="AQ165" s="332" t="str">
        <f>UPPER(RIGHT(Journal_Live[[#This Row],[DURATION ]]))</f>
        <v/>
      </c>
      <c r="AR165" s="182"/>
      <c r="AS165" s="189"/>
      <c r="AT165" s="182"/>
      <c r="AU165" s="187"/>
      <c r="AV165" s="190"/>
      <c r="AW165" s="191"/>
      <c r="AX165" s="407"/>
      <c r="AY165" s="407"/>
      <c r="AZ165" s="407"/>
      <c r="BA165" s="407"/>
      <c r="BB165" s="407"/>
      <c r="BC165" s="407"/>
      <c r="BD165" s="407"/>
      <c r="BE165" s="407"/>
      <c r="BF165" s="422"/>
      <c r="BG165" s="391">
        <f>SUM($AV$4:AV165)</f>
        <v>1817.5200000000248</v>
      </c>
      <c r="BH165" s="392">
        <f>SUM($AU$134:AU165)</f>
        <v>965.99999999999818</v>
      </c>
      <c r="BI165" s="318">
        <f>SUMIFS($AU$134:AU166,$Q$134:Q166,"F")</f>
        <v>0</v>
      </c>
      <c r="BJ165" s="318">
        <f>SUMIFS($AU$134:AU166,$Q$134:Q166,"S")</f>
        <v>815.7</v>
      </c>
      <c r="BK165" s="343">
        <f>SUMIFS($AU$134:AU166,$P$134:P166,"W")</f>
        <v>830.80000000000018</v>
      </c>
      <c r="BL165" s="343">
        <f>SUMIFS($AU$134:AU166,$P$134:P166,"R")</f>
        <v>135.19999999999806</v>
      </c>
      <c r="BM165" s="343">
        <f>SUMIFS($AU$134:AU166,$AQ$134:AQ166,"M")</f>
        <v>0</v>
      </c>
      <c r="BN165" s="343">
        <f>SUMIFS($AU$134:AU166,$AQ$134:AQ166,"H")</f>
        <v>-16.500000000001869</v>
      </c>
      <c r="BO165" s="343">
        <f>SUMIFS($AU$134:AU166,$AQ$134:AQ166,"D")</f>
        <v>383.59999999999997</v>
      </c>
      <c r="BP165" s="343">
        <f>SUMIFS($AU$134:AU168,$AQ$134:AQ168,"W")</f>
        <v>351.79999999999995</v>
      </c>
      <c r="BQ165" s="343">
        <f>SUMIFS($AU$134:AU166,$Q$134:Q166,"O")</f>
        <v>-48.900000000001853</v>
      </c>
      <c r="BR165" s="343">
        <f>SUMIFS($AU$134:AU166,$AA$134:AA166,"*")</f>
        <v>965.99999999999818</v>
      </c>
      <c r="BS165" s="343">
        <f>SUMIFS($AU$134:AU166,$AB$134:AB166,"*")</f>
        <v>466.19999999999823</v>
      </c>
      <c r="BT165" s="343">
        <f>SUMIFS($AU$134:AU166,$AC$134:AC166,"*")</f>
        <v>499.49999999999994</v>
      </c>
      <c r="BU165" s="343">
        <f>SUMIFS($AU$134:AU166,$AA$134:AA166,"*",$AB$134:AB166,"*")</f>
        <v>466.19999999999823</v>
      </c>
      <c r="BV165" s="343">
        <f>SUMIFS($AU$134:AU166,$AA$134:AA166,"*",$AC$134:AC166,"*")</f>
        <v>499.49999999999994</v>
      </c>
      <c r="BW165" s="343">
        <f>SUMIFS($AU$134:AU166,$AB$134:AB166,"*",$AC$134:AC166,"*")</f>
        <v>515.1</v>
      </c>
      <c r="BX165" s="343">
        <f>SUMIFS($AU166:AU$1388,$Q166:Q$1388,"F")</f>
        <v>14440.666666666668</v>
      </c>
      <c r="BY165" s="343">
        <f>SUMIFS($AU166:AU$1388,$Q166:Q$1388,"S")</f>
        <v>19855.941999999999</v>
      </c>
      <c r="BZ165" s="343">
        <f>SUMIFS($AU166:AU$1388,$Q166:Q$1388,"O")</f>
        <v>-1599.9579999997966</v>
      </c>
    </row>
    <row r="166" spans="1:78" ht="18" customHeight="1">
      <c r="A166" s="177" t="s">
        <v>785</v>
      </c>
      <c r="B166" s="177"/>
      <c r="C166" s="178"/>
      <c r="D166" s="178"/>
      <c r="E166" s="227" t="s">
        <v>933</v>
      </c>
      <c r="F166" s="180"/>
      <c r="G166" s="181"/>
      <c r="H166" s="182"/>
      <c r="I166" s="182">
        <v>1</v>
      </c>
      <c r="J166" s="182"/>
      <c r="K166" s="183" t="s">
        <v>115</v>
      </c>
      <c r="L166" s="182"/>
      <c r="M166" s="182"/>
      <c r="N166" s="182"/>
      <c r="O166" s="183"/>
      <c r="P166" s="183"/>
      <c r="Q166" s="183"/>
      <c r="R166" s="183"/>
      <c r="S166" s="183"/>
      <c r="T166" s="183"/>
      <c r="U166" s="183"/>
      <c r="V166" s="183"/>
      <c r="W166" s="183"/>
      <c r="X166" s="183"/>
      <c r="Y166" s="184"/>
      <c r="Z166" s="184"/>
      <c r="AA166" s="185"/>
      <c r="AB166" s="185"/>
      <c r="AC166" s="185"/>
      <c r="AD166" s="649"/>
      <c r="AE166" s="182"/>
      <c r="AF166" s="332"/>
      <c r="AG166" s="182"/>
      <c r="AH166" s="182"/>
      <c r="AI166" s="182"/>
      <c r="AJ166" s="640"/>
      <c r="AK166" s="182"/>
      <c r="AL166" s="496"/>
      <c r="AM166" s="497"/>
      <c r="AN166" s="626"/>
      <c r="AO166" s="182"/>
      <c r="AP166" s="182"/>
      <c r="AQ166" s="332" t="str">
        <f>UPPER(RIGHT(Journal_Live[[#This Row],[DURATION ]]))</f>
        <v/>
      </c>
      <c r="AR166" s="182"/>
      <c r="AS166" s="189"/>
      <c r="AT166" s="182"/>
      <c r="AU166" s="187"/>
      <c r="AV166" s="190"/>
      <c r="AW166" s="191"/>
      <c r="AX166" s="407"/>
      <c r="AY166" s="407"/>
      <c r="AZ166" s="407"/>
      <c r="BA166" s="407"/>
      <c r="BB166" s="407"/>
      <c r="BC166" s="407"/>
      <c r="BD166" s="407"/>
      <c r="BE166" s="407"/>
      <c r="BF166" s="422"/>
      <c r="BG166" s="391">
        <f>SUM($AV$4:AV166)</f>
        <v>1817.5200000000248</v>
      </c>
      <c r="BH166" s="392">
        <f>SUM($AU$134:AU166)</f>
        <v>965.99999999999818</v>
      </c>
      <c r="BI166" s="318">
        <f>SUMIFS($AU$134:AU167,$Q$134:Q167,"F")</f>
        <v>0</v>
      </c>
      <c r="BJ166" s="318">
        <f>SUMIFS($AU$134:AU167,$Q$134:Q167,"S")</f>
        <v>815.7</v>
      </c>
      <c r="BK166" s="343">
        <f>SUMIFS($AU$134:AU167,$P$134:P167,"W")</f>
        <v>830.80000000000018</v>
      </c>
      <c r="BL166" s="343">
        <f>SUMIFS($AU$134:AU167,$P$134:P167,"R")</f>
        <v>135.19999999999806</v>
      </c>
      <c r="BM166" s="343">
        <f>SUMIFS($AU$134:AU167,$AQ$134:AQ167,"M")</f>
        <v>0</v>
      </c>
      <c r="BN166" s="343">
        <f>SUMIFS($AU$134:AU167,$AQ$134:AQ167,"H")</f>
        <v>-16.500000000001869</v>
      </c>
      <c r="BO166" s="343">
        <f>SUMIFS($AU$134:AU167,$AQ$134:AQ167,"D")</f>
        <v>383.59999999999997</v>
      </c>
      <c r="BP166" s="343">
        <f>SUMIFS($AU$134:AU169,$AQ$134:AQ169,"W")</f>
        <v>351.79999999999995</v>
      </c>
      <c r="BQ166" s="343">
        <f>SUMIFS($AU$134:AU167,$Q$134:Q167,"O")</f>
        <v>-48.900000000001853</v>
      </c>
      <c r="BR166" s="343">
        <f>SUMIFS($AU$134:AU167,$AA$134:AA167,"*")</f>
        <v>965.99999999999818</v>
      </c>
      <c r="BS166" s="343">
        <f>SUMIFS($AU$134:AU167,$AB$134:AB167,"*")</f>
        <v>466.19999999999823</v>
      </c>
      <c r="BT166" s="343">
        <f>SUMIFS($AU$134:AU167,$AC$134:AC167,"*")</f>
        <v>499.49999999999994</v>
      </c>
      <c r="BU166" s="343">
        <f>SUMIFS($AU$134:AU167,$AA$134:AA167,"*",$AB$134:AB167,"*")</f>
        <v>466.19999999999823</v>
      </c>
      <c r="BV166" s="343">
        <f>SUMIFS($AU$134:AU167,$AA$134:AA167,"*",$AC$134:AC167,"*")</f>
        <v>499.49999999999994</v>
      </c>
      <c r="BW166" s="343">
        <f>SUMIFS($AU$134:AU167,$AB$134:AB167,"*",$AC$134:AC167,"*")</f>
        <v>515.1</v>
      </c>
      <c r="BX166" s="343">
        <f>SUMIFS($AU167:AU$1388,$Q167:Q$1388,"F")</f>
        <v>14440.666666666668</v>
      </c>
      <c r="BY166" s="343">
        <f>SUMIFS($AU167:AU$1388,$Q167:Q$1388,"S")</f>
        <v>19855.941999999999</v>
      </c>
      <c r="BZ166" s="343">
        <f>SUMIFS($AU167:AU$1388,$Q167:Q$1388,"O")</f>
        <v>-1599.9579999997966</v>
      </c>
    </row>
    <row r="167" spans="1:78" ht="18" customHeight="1">
      <c r="A167" s="177" t="s">
        <v>785</v>
      </c>
      <c r="B167" s="177"/>
      <c r="C167" s="178"/>
      <c r="D167" s="178"/>
      <c r="E167" s="227" t="s">
        <v>934</v>
      </c>
      <c r="F167" s="180"/>
      <c r="G167" s="181"/>
      <c r="H167" s="182"/>
      <c r="I167" s="182"/>
      <c r="J167" s="182"/>
      <c r="K167" s="183"/>
      <c r="L167" s="182"/>
      <c r="M167" s="182"/>
      <c r="N167" s="182"/>
      <c r="O167" s="183"/>
      <c r="P167" s="183"/>
      <c r="Q167" s="183"/>
      <c r="R167" s="183"/>
      <c r="S167" s="183"/>
      <c r="T167" s="183"/>
      <c r="U167" s="183"/>
      <c r="V167" s="183"/>
      <c r="W167" s="183"/>
      <c r="X167" s="183"/>
      <c r="Y167" s="184"/>
      <c r="Z167" s="184"/>
      <c r="AA167" s="185"/>
      <c r="AB167" s="185"/>
      <c r="AC167" s="185"/>
      <c r="AD167" s="649"/>
      <c r="AE167" s="182"/>
      <c r="AF167" s="332"/>
      <c r="AG167" s="182"/>
      <c r="AH167" s="182"/>
      <c r="AI167" s="182"/>
      <c r="AJ167" s="640"/>
      <c r="AK167" s="182"/>
      <c r="AL167" s="496"/>
      <c r="AM167" s="497"/>
      <c r="AN167" s="626"/>
      <c r="AO167" s="182"/>
      <c r="AP167" s="182"/>
      <c r="AQ167" s="332" t="str">
        <f>UPPER(RIGHT(Journal_Live[[#This Row],[DURATION ]]))</f>
        <v/>
      </c>
      <c r="AR167" s="182"/>
      <c r="AS167" s="189"/>
      <c r="AT167" s="182"/>
      <c r="AU167" s="187"/>
      <c r="AV167" s="190"/>
      <c r="AW167" s="191"/>
      <c r="AX167" s="407"/>
      <c r="AY167" s="407"/>
      <c r="AZ167" s="407"/>
      <c r="BA167" s="407"/>
      <c r="BB167" s="407"/>
      <c r="BC167" s="407"/>
      <c r="BD167" s="407"/>
      <c r="BE167" s="407"/>
      <c r="BF167" s="422"/>
      <c r="BG167" s="391">
        <f>SUM($AV$4:AV167)</f>
        <v>1817.5200000000248</v>
      </c>
      <c r="BH167" s="392">
        <f>SUM($AU$134:AU167)</f>
        <v>965.99999999999818</v>
      </c>
      <c r="BI167" s="318">
        <f>SUMIFS($AU$134:AU168,$Q$134:Q168,"F")</f>
        <v>0</v>
      </c>
      <c r="BJ167" s="318">
        <f>SUMIFS($AU$134:AU168,$Q$134:Q168,"S")</f>
        <v>865.80000000000007</v>
      </c>
      <c r="BK167" s="343">
        <f>SUMIFS($AU$134:AU168,$P$134:P168,"W")</f>
        <v>830.80000000000018</v>
      </c>
      <c r="BL167" s="343">
        <f>SUMIFS($AU$134:AU168,$P$134:P168,"R")</f>
        <v>185.29999999999805</v>
      </c>
      <c r="BM167" s="343">
        <f>SUMIFS($AU$134:AU168,$AQ$134:AQ168,"M")</f>
        <v>0</v>
      </c>
      <c r="BN167" s="343">
        <f>SUMIFS($AU$134:AU168,$AQ$134:AQ168,"H")</f>
        <v>33.599999999998133</v>
      </c>
      <c r="BO167" s="343">
        <f>SUMIFS($AU$134:AU168,$AQ$134:AQ168,"D")</f>
        <v>383.59999999999997</v>
      </c>
      <c r="BP167" s="343">
        <f>SUMIFS($AU$134:AU170,$AQ$134:AQ170,"W")</f>
        <v>351.79999999999995</v>
      </c>
      <c r="BQ167" s="343">
        <f>SUMIFS($AU$134:AU168,$Q$134:Q168,"O")</f>
        <v>-48.900000000001853</v>
      </c>
      <c r="BR167" s="343">
        <f>SUMIFS($AU$134:AU168,$AA$134:AA168,"*")</f>
        <v>1016.0999999999982</v>
      </c>
      <c r="BS167" s="343">
        <f>SUMIFS($AU$134:AU168,$AB$134:AB168,"*")</f>
        <v>466.19999999999823</v>
      </c>
      <c r="BT167" s="343">
        <f>SUMIFS($AU$134:AU168,$AC$134:AC168,"*")</f>
        <v>499.49999999999994</v>
      </c>
      <c r="BU167" s="343">
        <f>SUMIFS($AU$134:AU168,$AA$134:AA168,"*",$AB$134:AB168,"*")</f>
        <v>466.19999999999823</v>
      </c>
      <c r="BV167" s="343">
        <f>SUMIFS($AU$134:AU168,$AA$134:AA168,"*",$AC$134:AC168,"*")</f>
        <v>499.49999999999994</v>
      </c>
      <c r="BW167" s="343">
        <f>SUMIFS($AU$134:AU168,$AB$134:AB168,"*",$AC$134:AC168,"*")</f>
        <v>515.1</v>
      </c>
      <c r="BX167" s="343">
        <f>SUMIFS($AU168:AU$1388,$Q168:Q$1388,"F")</f>
        <v>14440.666666666668</v>
      </c>
      <c r="BY167" s="343">
        <f>SUMIFS($AU168:AU$1388,$Q168:Q$1388,"S")</f>
        <v>19855.941999999999</v>
      </c>
      <c r="BZ167" s="343">
        <f>SUMIFS($AU168:AU$1388,$Q168:Q$1388,"O")</f>
        <v>-1599.9579999997966</v>
      </c>
    </row>
    <row r="168" spans="1:78" ht="18" customHeight="1">
      <c r="A168" s="177" t="s">
        <v>785</v>
      </c>
      <c r="B168" s="177">
        <v>44939</v>
      </c>
      <c r="C168" s="178" t="s">
        <v>935</v>
      </c>
      <c r="D168" s="178" t="s">
        <v>111</v>
      </c>
      <c r="E168" s="227"/>
      <c r="F168" s="180"/>
      <c r="G168" s="249" t="s">
        <v>553</v>
      </c>
      <c r="H168" s="182"/>
      <c r="I168" s="182"/>
      <c r="J168" s="182"/>
      <c r="K168" s="183"/>
      <c r="L168" s="182">
        <v>1</v>
      </c>
      <c r="M168" s="182"/>
      <c r="N168" s="182"/>
      <c r="O168" s="183" t="s">
        <v>95</v>
      </c>
      <c r="P168" s="183" t="s">
        <v>137</v>
      </c>
      <c r="Q168" s="183" t="s">
        <v>97</v>
      </c>
      <c r="R168" s="183">
        <v>1</v>
      </c>
      <c r="S168" s="183">
        <v>1</v>
      </c>
      <c r="T168" s="183">
        <v>1</v>
      </c>
      <c r="U168" s="183" t="s">
        <v>22</v>
      </c>
      <c r="V168" s="183"/>
      <c r="W168" s="183"/>
      <c r="X168" s="183"/>
      <c r="Y168" s="184">
        <f t="shared" ref="Y168:Y199" si="70">IF(ISBLANK(O168),,(IF(O168=UPPER("IB"),0.005,0.01)))</f>
        <v>0.01</v>
      </c>
      <c r="Z168" s="184">
        <f t="shared" ref="Z168:Z184" si="71">IF(ISBLANK(O168),,IF(O168=UPPER("IB"),8.63*200,16.7*100))</f>
        <v>1670</v>
      </c>
      <c r="AA168" s="185" t="s">
        <v>936</v>
      </c>
      <c r="AB168" s="185"/>
      <c r="AC168" s="185"/>
      <c r="AD168" s="649">
        <v>-0.09</v>
      </c>
      <c r="AE168" s="182"/>
      <c r="AF168" s="332">
        <v>-0.12</v>
      </c>
      <c r="AG168" s="182"/>
      <c r="AH168" s="182">
        <v>-7.0000000000000007E-2</v>
      </c>
      <c r="AI168" s="182"/>
      <c r="AJ168" s="640"/>
      <c r="AK168" s="182"/>
      <c r="AL168" s="496">
        <f t="shared" ref="AL168:AL169" si="72">-0.03*Z168</f>
        <v>-50.1</v>
      </c>
      <c r="AM168" s="496">
        <f>AL168*R168</f>
        <v>-50.1</v>
      </c>
      <c r="AN168" s="626"/>
      <c r="AO168" s="182"/>
      <c r="AP168" s="182" t="s">
        <v>937</v>
      </c>
      <c r="AQ168" s="332" t="str">
        <f>UPPER(RIGHT(Journal_Live[[#This Row],[DURATION ]]))</f>
        <v>H</v>
      </c>
      <c r="AR168" s="182" t="s">
        <v>938</v>
      </c>
      <c r="AS168" s="189">
        <v>-0.06</v>
      </c>
      <c r="AT168" s="189">
        <f>IF(ISBLANK(AS168),,IF(U168="S",AD168-AS168,AS168-AD168))</f>
        <v>0.03</v>
      </c>
      <c r="AU168" s="187">
        <f>AV168*R168</f>
        <v>50.1</v>
      </c>
      <c r="AV168" s="190">
        <f>IF(ISBLANK(AS168),,(AT168*Z168))</f>
        <v>50.1</v>
      </c>
      <c r="AW168" s="191" t="s">
        <v>96</v>
      </c>
      <c r="AX168" s="407" t="s">
        <v>939</v>
      </c>
      <c r="AY168" s="407" t="s">
        <v>940</v>
      </c>
      <c r="AZ168" s="407"/>
      <c r="BA168" s="407"/>
      <c r="BB168" s="407"/>
      <c r="BC168" s="407"/>
      <c r="BD168" s="407"/>
      <c r="BE168" s="407"/>
      <c r="BF168" s="422"/>
      <c r="BG168" s="391">
        <f>SUM($AV$4:AV168)</f>
        <v>1867.6200000000247</v>
      </c>
      <c r="BH168" s="392">
        <f>SUM($AU$134:AU168)</f>
        <v>1016.0999999999982</v>
      </c>
      <c r="BI168" s="318">
        <f>SUMIFS($AU$134:AU169,$Q$134:Q169,"F")</f>
        <v>0</v>
      </c>
      <c r="BJ168" s="318">
        <f>SUMIFS($AU$134:AU169,$Q$134:Q169,"S")</f>
        <v>882.50000000000011</v>
      </c>
      <c r="BK168" s="343">
        <f>SUMIFS($AU$134:AU169,$P$134:P169,"W")</f>
        <v>830.80000000000018</v>
      </c>
      <c r="BL168" s="343">
        <f>SUMIFS($AU$134:AU169,$P$134:P169,"R")</f>
        <v>201.99999999999807</v>
      </c>
      <c r="BM168" s="343">
        <f>SUMIFS($AU$134:AU169,$AQ$134:AQ169,"M")</f>
        <v>0</v>
      </c>
      <c r="BN168" s="343">
        <f>SUMIFS($AU$134:AU169,$AQ$134:AQ169,"H")</f>
        <v>50.29999999999815</v>
      </c>
      <c r="BO168" s="343">
        <f>SUMIFS($AU$134:AU169,$AQ$134:AQ169,"D")</f>
        <v>383.59999999999997</v>
      </c>
      <c r="BP168" s="343">
        <f>SUMIFS($AU$134:AU171,$AQ$134:AQ171,"W")</f>
        <v>351.79999999999995</v>
      </c>
      <c r="BQ168" s="343">
        <f>SUMIFS($AU$134:AU169,$Q$134:Q169,"O")</f>
        <v>-48.900000000001853</v>
      </c>
      <c r="BR168" s="343">
        <f>SUMIFS($AU$134:AU169,$AA$134:AA169,"*")</f>
        <v>1032.7999999999981</v>
      </c>
      <c r="BS168" s="343">
        <f>SUMIFS($AU$134:AU169,$AB$134:AB169,"*")</f>
        <v>466.19999999999823</v>
      </c>
      <c r="BT168" s="343">
        <f>SUMIFS($AU$134:AU169,$AC$134:AC169,"*")</f>
        <v>516.19999999999993</v>
      </c>
      <c r="BU168" s="343">
        <f>SUMIFS($AU$134:AU169,$AA$134:AA169,"*",$AB$134:AB169,"*")</f>
        <v>466.19999999999823</v>
      </c>
      <c r="BV168" s="343">
        <f>SUMIFS($AU$134:AU169,$AA$134:AA169,"*",$AC$134:AC169,"*")</f>
        <v>516.19999999999993</v>
      </c>
      <c r="BW168" s="343">
        <f>SUMIFS($AU$134:AU169,$AB$134:AB169,"*",$AC$134:AC169,"*")</f>
        <v>515.1</v>
      </c>
      <c r="BX168" s="343">
        <f>SUMIFS($AU169:AU$1388,$Q169:Q$1388,"F")</f>
        <v>14440.666666666668</v>
      </c>
      <c r="BY168" s="343">
        <f>SUMIFS($AU169:AU$1388,$Q169:Q$1388,"S")</f>
        <v>19805.841999999997</v>
      </c>
      <c r="BZ168" s="343">
        <f>SUMIFS($AU169:AU$1388,$Q169:Q$1388,"O")</f>
        <v>-1599.9579999997966</v>
      </c>
    </row>
    <row r="169" spans="1:78" ht="18" customHeight="1">
      <c r="A169" s="177" t="s">
        <v>785</v>
      </c>
      <c r="B169" s="177">
        <v>44939</v>
      </c>
      <c r="C169" s="178" t="s">
        <v>941</v>
      </c>
      <c r="D169" s="178" t="s">
        <v>111</v>
      </c>
      <c r="E169" s="227"/>
      <c r="F169" s="180"/>
      <c r="G169" s="249" t="s">
        <v>553</v>
      </c>
      <c r="H169" s="182"/>
      <c r="I169" s="182"/>
      <c r="J169" s="182"/>
      <c r="K169" s="183"/>
      <c r="L169" s="182">
        <v>1</v>
      </c>
      <c r="M169" s="182"/>
      <c r="N169" s="182"/>
      <c r="O169" s="183" t="s">
        <v>95</v>
      </c>
      <c r="P169" s="183" t="s">
        <v>137</v>
      </c>
      <c r="Q169" s="183" t="s">
        <v>97</v>
      </c>
      <c r="R169" s="183">
        <v>1</v>
      </c>
      <c r="S169" s="183">
        <v>1</v>
      </c>
      <c r="T169" s="183">
        <v>1</v>
      </c>
      <c r="U169" s="270" t="s">
        <v>97</v>
      </c>
      <c r="V169" s="270"/>
      <c r="W169" s="270"/>
      <c r="X169" s="270"/>
      <c r="Y169" s="184">
        <f t="shared" si="70"/>
        <v>0.01</v>
      </c>
      <c r="Z169" s="184">
        <f t="shared" si="71"/>
        <v>1670</v>
      </c>
      <c r="AA169" s="185" t="s">
        <v>588</v>
      </c>
      <c r="AB169" s="185"/>
      <c r="AC169" s="185" t="s">
        <v>99</v>
      </c>
      <c r="AD169" s="649">
        <v>-0.06</v>
      </c>
      <c r="AE169" s="182"/>
      <c r="AF169" s="332">
        <v>-0.12</v>
      </c>
      <c r="AG169" s="182"/>
      <c r="AH169" s="182">
        <v>-7.0000000000000007E-2</v>
      </c>
      <c r="AI169" s="182"/>
      <c r="AJ169" s="640"/>
      <c r="AK169" s="182"/>
      <c r="AL169" s="496">
        <f t="shared" si="72"/>
        <v>-50.1</v>
      </c>
      <c r="AM169" s="496">
        <f>AL169*R169</f>
        <v>-50.1</v>
      </c>
      <c r="AN169" s="626"/>
      <c r="AO169" s="182"/>
      <c r="AP169" s="182" t="s">
        <v>942</v>
      </c>
      <c r="AQ169" s="332" t="str">
        <f>UPPER(RIGHT(Journal_Live[[#This Row],[DURATION ]]))</f>
        <v>H</v>
      </c>
      <c r="AR169" s="182" t="s">
        <v>943</v>
      </c>
      <c r="AS169" s="189">
        <v>-7.0000000000000007E-2</v>
      </c>
      <c r="AT169" s="189">
        <f>IF(ISBLANK(AS169),,IF(U169="S",AD169-AS169,AS169-AD169))</f>
        <v>1.0000000000000009E-2</v>
      </c>
      <c r="AU169" s="187">
        <f>AV169*R169</f>
        <v>16.700000000000014</v>
      </c>
      <c r="AV169" s="190">
        <f>IF(ISBLANK(AS169),,(AT169*Z169))</f>
        <v>16.700000000000014</v>
      </c>
      <c r="AW169" s="191" t="s">
        <v>96</v>
      </c>
      <c r="AX169" s="407" t="s">
        <v>940</v>
      </c>
      <c r="AY169" s="407"/>
      <c r="AZ169" s="407"/>
      <c r="BA169" s="407"/>
      <c r="BB169" s="407"/>
      <c r="BC169" s="407"/>
      <c r="BD169" s="407"/>
      <c r="BE169" s="407"/>
      <c r="BF169" s="422"/>
      <c r="BG169" s="391">
        <f>SUM($AV$4:AV169)</f>
        <v>1884.3200000000247</v>
      </c>
      <c r="BH169" s="392">
        <f>SUM($AU$134:AU169)</f>
        <v>1032.7999999999981</v>
      </c>
      <c r="BI169" s="318">
        <f>SUMIFS($AU$134:AU170,$Q$134:Q170,"F")</f>
        <v>0</v>
      </c>
      <c r="BJ169" s="318">
        <f>SUMIFS($AU$134:AU170,$Q$134:Q170,"S")</f>
        <v>882.50000000000011</v>
      </c>
      <c r="BK169" s="343">
        <f>SUMIFS($AU$134:AU170,$P$134:P170,"W")</f>
        <v>830.80000000000018</v>
      </c>
      <c r="BL169" s="343">
        <f>SUMIFS($AU$134:AU170,$P$134:P170,"R")</f>
        <v>118.50000000000281</v>
      </c>
      <c r="BM169" s="343">
        <f>SUMIFS($AU$134:AU170,$AQ$134:AQ170,"M")</f>
        <v>0</v>
      </c>
      <c r="BN169" s="343">
        <f>SUMIFS($AU$134:AU170,$AQ$134:AQ170,"H")</f>
        <v>-33.199999999997104</v>
      </c>
      <c r="BO169" s="343">
        <f>SUMIFS($AU$134:AU170,$AQ$134:AQ170,"D")</f>
        <v>383.59999999999997</v>
      </c>
      <c r="BP169" s="343">
        <f>SUMIFS($AU$134:AU172,$AQ$134:AQ172,"W")</f>
        <v>351.79999999999995</v>
      </c>
      <c r="BQ169" s="343">
        <f>SUMIFS($AU$134:AU170,$Q$134:Q170,"O")</f>
        <v>-132.39999999999711</v>
      </c>
      <c r="BR169" s="343">
        <f>SUMIFS($AU$134:AU170,$AA$134:AA170,"*")</f>
        <v>949.30000000000291</v>
      </c>
      <c r="BS169" s="343">
        <f>SUMIFS($AU$134:AU170,$AB$134:AB170,"*")</f>
        <v>466.19999999999823</v>
      </c>
      <c r="BT169" s="343">
        <f>SUMIFS($AU$134:AU170,$AC$134:AC170,"*")</f>
        <v>516.19999999999993</v>
      </c>
      <c r="BU169" s="343">
        <f>SUMIFS($AU$134:AU170,$AA$134:AA170,"*",$AB$134:AB170,"*")</f>
        <v>466.19999999999823</v>
      </c>
      <c r="BV169" s="343">
        <f>SUMIFS($AU$134:AU170,$AA$134:AA170,"*",$AC$134:AC170,"*")</f>
        <v>516.19999999999993</v>
      </c>
      <c r="BW169" s="343">
        <f>SUMIFS($AU$134:AU170,$AB$134:AB170,"*",$AC$134:AC170,"*")</f>
        <v>515.1</v>
      </c>
      <c r="BX169" s="343">
        <f>SUMIFS($AU170:AU$1388,$Q170:Q$1388,"F")</f>
        <v>14440.666666666668</v>
      </c>
      <c r="BY169" s="343">
        <f>SUMIFS($AU170:AU$1388,$Q170:Q$1388,"S")</f>
        <v>19789.142</v>
      </c>
      <c r="BZ169" s="343">
        <f>SUMIFS($AU170:AU$1388,$Q170:Q$1388,"O")</f>
        <v>-1599.9579999997966</v>
      </c>
    </row>
    <row r="170" spans="1:78" ht="18" customHeight="1">
      <c r="A170" s="177" t="s">
        <v>785</v>
      </c>
      <c r="B170" s="177">
        <v>44942</v>
      </c>
      <c r="C170" s="178" t="s">
        <v>944</v>
      </c>
      <c r="D170" s="178" t="s">
        <v>132</v>
      </c>
      <c r="E170" s="227"/>
      <c r="F170" s="180"/>
      <c r="G170" s="181" t="s">
        <v>945</v>
      </c>
      <c r="H170" s="182"/>
      <c r="I170" s="182"/>
      <c r="J170" s="182"/>
      <c r="K170" s="183"/>
      <c r="L170" s="182">
        <v>1</v>
      </c>
      <c r="M170" s="182"/>
      <c r="N170" s="182"/>
      <c r="O170" s="183" t="s">
        <v>95</v>
      </c>
      <c r="P170" s="183" t="s">
        <v>137</v>
      </c>
      <c r="Q170" s="183" t="s">
        <v>684</v>
      </c>
      <c r="R170" s="183">
        <v>1</v>
      </c>
      <c r="S170" s="183">
        <v>1</v>
      </c>
      <c r="T170" s="183">
        <v>1</v>
      </c>
      <c r="U170" s="183" t="s">
        <v>97</v>
      </c>
      <c r="V170" s="183"/>
      <c r="W170" s="183"/>
      <c r="X170" s="183"/>
      <c r="Y170" s="184">
        <f t="shared" si="70"/>
        <v>0.01</v>
      </c>
      <c r="Z170" s="184">
        <f t="shared" si="71"/>
        <v>1670</v>
      </c>
      <c r="AA170" s="185" t="s">
        <v>946</v>
      </c>
      <c r="AB170" s="185"/>
      <c r="AC170" s="185"/>
      <c r="AD170" s="649">
        <v>96.42</v>
      </c>
      <c r="AE170" s="182"/>
      <c r="AF170" s="332">
        <v>96.46</v>
      </c>
      <c r="AG170" s="182"/>
      <c r="AH170" s="182" t="s">
        <v>947</v>
      </c>
      <c r="AI170" s="182"/>
      <c r="AJ170" s="640"/>
      <c r="AK170" s="182"/>
      <c r="AL170" s="496">
        <f>-0.04*Z170</f>
        <v>-66.8</v>
      </c>
      <c r="AM170" s="496">
        <f>AL170*R170</f>
        <v>-66.8</v>
      </c>
      <c r="AN170" s="626" t="s">
        <v>948</v>
      </c>
      <c r="AO170" s="182"/>
      <c r="AP170" s="182" t="s">
        <v>949</v>
      </c>
      <c r="AQ170" s="332" t="str">
        <f>UPPER(RIGHT(Journal_Live[[#This Row],[DURATION ]]))</f>
        <v>H</v>
      </c>
      <c r="AR170" s="182" t="s">
        <v>950</v>
      </c>
      <c r="AS170" s="189">
        <v>96.47</v>
      </c>
      <c r="AT170" s="189">
        <f>IF(ISBLANK(AS170),,IF(U170="S",AD170-AS170,AS170-AD170))</f>
        <v>-4.9999999999997158E-2</v>
      </c>
      <c r="AU170" s="187">
        <f>AV170*R170</f>
        <v>-83.499999999995254</v>
      </c>
      <c r="AV170" s="190">
        <f>IF(ISBLANK(AS170),,(AT170*Z170))</f>
        <v>-83.499999999995254</v>
      </c>
      <c r="AW170" s="191" t="s">
        <v>229</v>
      </c>
      <c r="AX170" s="407" t="s">
        <v>951</v>
      </c>
      <c r="AY170" s="407" t="s">
        <v>952</v>
      </c>
      <c r="AZ170" s="407" t="s">
        <v>953</v>
      </c>
      <c r="BA170" s="407" t="s">
        <v>954</v>
      </c>
      <c r="BB170" s="407"/>
      <c r="BC170" s="407"/>
      <c r="BD170" s="407"/>
      <c r="BE170" s="407"/>
      <c r="BF170" s="422"/>
      <c r="BG170" s="391">
        <f>SUM($AV$4:AV170)</f>
        <v>1800.8200000000295</v>
      </c>
      <c r="BH170" s="392">
        <f>SUM($AU$134:AU170)</f>
        <v>949.30000000000291</v>
      </c>
      <c r="BI170" s="318">
        <f>SUMIFS($AU$134:AU171,$Q$134:Q171,"F")</f>
        <v>0</v>
      </c>
      <c r="BJ170" s="318">
        <f>SUMIFS($AU$134:AU171,$Q$134:Q171,"S")</f>
        <v>882.50000000000011</v>
      </c>
      <c r="BK170" s="343">
        <f>SUMIFS($AU$134:AU171,$P$134:P171,"W")</f>
        <v>830.80000000000018</v>
      </c>
      <c r="BL170" s="343">
        <f>SUMIFS($AU$134:AU171,$P$134:P171,"R")</f>
        <v>118.50000000000281</v>
      </c>
      <c r="BM170" s="343">
        <f>SUMIFS($AU$134:AU171,$AQ$134:AQ171,"M")</f>
        <v>0</v>
      </c>
      <c r="BN170" s="343">
        <f>SUMIFS($AU$134:AU171,$AQ$134:AQ171,"H")</f>
        <v>-33.199999999997104</v>
      </c>
      <c r="BO170" s="343">
        <f>SUMIFS($AU$134:AU171,$AQ$134:AQ171,"D")</f>
        <v>383.59999999999997</v>
      </c>
      <c r="BP170" s="343">
        <f>SUMIFS($AU$134:AU173,$AQ$134:AQ173,"W")</f>
        <v>351.79999999999995</v>
      </c>
      <c r="BQ170" s="343">
        <f>SUMIFS($AU$134:AU171,$Q$134:Q171,"O")</f>
        <v>-132.39999999999711</v>
      </c>
      <c r="BR170" s="343">
        <f>SUMIFS($AU$134:AU171,$AA$134:AA171,"*")</f>
        <v>949.30000000000291</v>
      </c>
      <c r="BS170" s="343">
        <f>SUMIFS($AU$134:AU171,$AB$134:AB171,"*")</f>
        <v>466.19999999999823</v>
      </c>
      <c r="BT170" s="343">
        <f>SUMIFS($AU$134:AU171,$AC$134:AC171,"*")</f>
        <v>516.19999999999993</v>
      </c>
      <c r="BU170" s="343">
        <f>SUMIFS($AU$134:AU171,$AA$134:AA171,"*",$AB$134:AB171,"*")</f>
        <v>466.19999999999823</v>
      </c>
      <c r="BV170" s="343">
        <f>SUMIFS($AU$134:AU171,$AA$134:AA171,"*",$AC$134:AC171,"*")</f>
        <v>516.19999999999993</v>
      </c>
      <c r="BW170" s="343">
        <f>SUMIFS($AU$134:AU171,$AB$134:AB171,"*",$AC$134:AC171,"*")</f>
        <v>515.1</v>
      </c>
      <c r="BX170" s="343">
        <f>SUMIFS($AU171:AU$1388,$Q171:Q$1388,"F")</f>
        <v>14440.666666666668</v>
      </c>
      <c r="BY170" s="343">
        <f>SUMIFS($AU171:AU$1388,$Q171:Q$1388,"S")</f>
        <v>19789.142</v>
      </c>
      <c r="BZ170" s="343">
        <f>SUMIFS($AU171:AU$1388,$Q171:Q$1388,"O")</f>
        <v>-1516.4579999998011</v>
      </c>
    </row>
    <row r="171" spans="1:78" ht="18" customHeight="1">
      <c r="A171" s="177" t="s">
        <v>785</v>
      </c>
      <c r="B171" s="177">
        <v>44943</v>
      </c>
      <c r="C171" s="194">
        <v>0.20833333333333334</v>
      </c>
      <c r="D171" s="178" t="s">
        <v>146</v>
      </c>
      <c r="E171" s="227" t="s">
        <v>955</v>
      </c>
      <c r="F171" s="180" t="s">
        <v>956</v>
      </c>
      <c r="G171" s="181"/>
      <c r="H171" s="182"/>
      <c r="I171" s="182"/>
      <c r="J171" s="182"/>
      <c r="K171" s="183"/>
      <c r="L171" s="182"/>
      <c r="M171" s="182"/>
      <c r="N171" s="182"/>
      <c r="O171" s="183"/>
      <c r="P171" s="183"/>
      <c r="Q171" s="183"/>
      <c r="R171" s="183"/>
      <c r="S171" s="183"/>
      <c r="T171" s="183"/>
      <c r="U171" s="183"/>
      <c r="V171" s="183"/>
      <c r="W171" s="183"/>
      <c r="X171" s="183"/>
      <c r="Y171" s="184">
        <f t="shared" si="70"/>
        <v>0</v>
      </c>
      <c r="Z171" s="184">
        <f t="shared" si="71"/>
        <v>0</v>
      </c>
      <c r="AA171" s="185"/>
      <c r="AB171" s="185"/>
      <c r="AC171" s="185"/>
      <c r="AD171" s="649"/>
      <c r="AE171" s="182"/>
      <c r="AF171" s="332"/>
      <c r="AG171" s="182"/>
      <c r="AH171" s="182"/>
      <c r="AI171" s="182"/>
      <c r="AJ171" s="640"/>
      <c r="AK171" s="182"/>
      <c r="AL171" s="496"/>
      <c r="AM171" s="497"/>
      <c r="AN171" s="626"/>
      <c r="AO171" s="182"/>
      <c r="AP171" s="182"/>
      <c r="AQ171" s="332" t="str">
        <f>UPPER(RIGHT(Journal_Live[[#This Row],[DURATION ]]))</f>
        <v/>
      </c>
      <c r="AR171" s="182"/>
      <c r="AS171" s="189"/>
      <c r="AT171" s="182"/>
      <c r="AU171" s="187"/>
      <c r="AV171" s="190"/>
      <c r="AW171" s="191"/>
      <c r="AX171" s="409"/>
      <c r="AY171" s="407" t="s">
        <v>957</v>
      </c>
      <c r="AZ171" s="407"/>
      <c r="BA171" s="407"/>
      <c r="BB171" s="407"/>
      <c r="BC171" s="407"/>
      <c r="BD171" s="407"/>
      <c r="BE171" s="407"/>
      <c r="BF171" s="422"/>
      <c r="BG171" s="391">
        <f>SUM($AV$4:AV171)</f>
        <v>1800.8200000000295</v>
      </c>
      <c r="BH171" s="392">
        <f>SUM($AU$134:AU171)</f>
        <v>949.30000000000291</v>
      </c>
      <c r="BI171" s="318">
        <f>SUMIFS($AU$134:AU172,$Q$134:Q172,"F")</f>
        <v>0</v>
      </c>
      <c r="BJ171" s="318">
        <f>SUMIFS($AU$134:AU172,$Q$134:Q172,"S")</f>
        <v>949.30000000000007</v>
      </c>
      <c r="BK171" s="343">
        <f>SUMIFS($AU$134:AU172,$P$134:P172,"W")</f>
        <v>897.60000000000014</v>
      </c>
      <c r="BL171" s="343">
        <f>SUMIFS($AU$134:AU172,$P$134:P172,"R")</f>
        <v>118.50000000000281</v>
      </c>
      <c r="BM171" s="343">
        <f>SUMIFS($AU$134:AU172,$AQ$134:AQ172,"M")</f>
        <v>0</v>
      </c>
      <c r="BN171" s="343">
        <f>SUMIFS($AU$134:AU172,$AQ$134:AQ172,"H")</f>
        <v>33.600000000002893</v>
      </c>
      <c r="BO171" s="343">
        <f>SUMIFS($AU$134:AU172,$AQ$134:AQ172,"D")</f>
        <v>383.59999999999997</v>
      </c>
      <c r="BP171" s="343">
        <f>SUMIFS($AU$134:AU174,$AQ$134:AQ174,"W")</f>
        <v>351.79999999999995</v>
      </c>
      <c r="BQ171" s="343">
        <f>SUMIFS($AU$134:AU172,$Q$134:Q172,"O")</f>
        <v>-132.39999999999711</v>
      </c>
      <c r="BR171" s="343">
        <f>SUMIFS($AU$134:AU172,$AA$134:AA172,"*")</f>
        <v>1016.1000000000029</v>
      </c>
      <c r="BS171" s="343">
        <f>SUMIFS($AU$134:AU172,$AB$134:AB172,"*")</f>
        <v>466.19999999999823</v>
      </c>
      <c r="BT171" s="343">
        <f>SUMIFS($AU$134:AU172,$AC$134:AC172,"*")</f>
        <v>516.19999999999993</v>
      </c>
      <c r="BU171" s="343">
        <f>SUMIFS($AU$134:AU172,$AA$134:AA172,"*",$AB$134:AB172,"*")</f>
        <v>466.19999999999823</v>
      </c>
      <c r="BV171" s="343">
        <f>SUMIFS($AU$134:AU172,$AA$134:AA172,"*",$AC$134:AC172,"*")</f>
        <v>516.19999999999993</v>
      </c>
      <c r="BW171" s="343">
        <f>SUMIFS($AU$134:AU172,$AB$134:AB172,"*",$AC$134:AC172,"*")</f>
        <v>515.1</v>
      </c>
      <c r="BX171" s="343">
        <f>SUMIFS($AU172:AU$1388,$Q172:Q$1388,"F")</f>
        <v>14440.666666666668</v>
      </c>
      <c r="BY171" s="343">
        <f>SUMIFS($AU172:AU$1388,$Q172:Q$1388,"S")</f>
        <v>19789.142</v>
      </c>
      <c r="BZ171" s="343">
        <f>SUMIFS($AU172:AU$1388,$Q172:Q$1388,"O")</f>
        <v>-1516.4579999998011</v>
      </c>
    </row>
    <row r="172" spans="1:78" ht="18" customHeight="1">
      <c r="A172" s="177" t="s">
        <v>785</v>
      </c>
      <c r="B172" s="177">
        <v>44943</v>
      </c>
      <c r="C172" s="178" t="s">
        <v>958</v>
      </c>
      <c r="D172" s="178" t="s">
        <v>146</v>
      </c>
      <c r="E172" s="227"/>
      <c r="F172" s="180"/>
      <c r="G172" s="249" t="s">
        <v>133</v>
      </c>
      <c r="H172" s="182"/>
      <c r="I172" s="182"/>
      <c r="J172" s="182"/>
      <c r="K172" s="183"/>
      <c r="L172" s="182">
        <v>1</v>
      </c>
      <c r="M172" s="182"/>
      <c r="N172" s="182">
        <v>1</v>
      </c>
      <c r="O172" s="183" t="s">
        <v>95</v>
      </c>
      <c r="P172" s="183" t="s">
        <v>96</v>
      </c>
      <c r="Q172" s="183" t="s">
        <v>97</v>
      </c>
      <c r="R172" s="183">
        <v>2</v>
      </c>
      <c r="S172" s="183">
        <v>2</v>
      </c>
      <c r="T172" s="183">
        <v>2</v>
      </c>
      <c r="U172" s="183" t="s">
        <v>22</v>
      </c>
      <c r="V172" s="183"/>
      <c r="W172" s="183"/>
      <c r="X172" s="183"/>
      <c r="Y172" s="184">
        <f t="shared" si="70"/>
        <v>0.01</v>
      </c>
      <c r="Z172" s="184">
        <f t="shared" si="71"/>
        <v>1670</v>
      </c>
      <c r="AA172" s="185" t="s">
        <v>959</v>
      </c>
      <c r="AB172" s="185"/>
      <c r="AC172" s="185"/>
      <c r="AD172" s="649">
        <v>-0.04</v>
      </c>
      <c r="AE172" s="182"/>
      <c r="AF172" s="332"/>
      <c r="AG172" s="182"/>
      <c r="AH172" s="182">
        <v>-0.02</v>
      </c>
      <c r="AI172" s="182"/>
      <c r="AJ172" s="640"/>
      <c r="AK172" s="182"/>
      <c r="AL172" s="496">
        <f>-0.02*Z172</f>
        <v>-33.4</v>
      </c>
      <c r="AM172" s="496">
        <f>AL172*R172</f>
        <v>-66.8</v>
      </c>
      <c r="AN172" s="626"/>
      <c r="AO172" s="182"/>
      <c r="AP172" s="182" t="s">
        <v>960</v>
      </c>
      <c r="AQ172" s="332" t="str">
        <f>UPPER(RIGHT(Journal_Live[[#This Row],[DURATION ]]))</f>
        <v>H</v>
      </c>
      <c r="AR172" s="182" t="s">
        <v>961</v>
      </c>
      <c r="AS172" s="189">
        <v>-0.02</v>
      </c>
      <c r="AT172" s="189">
        <f>IF(ISBLANK(AS172),,IF(U172="S",AD172-AS172,AS172-AD172))</f>
        <v>0.02</v>
      </c>
      <c r="AU172" s="187">
        <f>AV172*R172</f>
        <v>66.8</v>
      </c>
      <c r="AV172" s="190">
        <f>IF(ISBLANK(AS172),,(AT172*Z172))</f>
        <v>33.4</v>
      </c>
      <c r="AW172" s="191" t="s">
        <v>96</v>
      </c>
      <c r="AX172" s="407" t="s">
        <v>604</v>
      </c>
      <c r="AY172" s="407"/>
      <c r="AZ172" s="407"/>
      <c r="BA172" s="407"/>
      <c r="BB172" s="407"/>
      <c r="BC172" s="407"/>
      <c r="BD172" s="407"/>
      <c r="BE172" s="407"/>
      <c r="BF172" s="422"/>
      <c r="BG172" s="391">
        <f>SUM($AV$4:AV172)</f>
        <v>1834.2200000000296</v>
      </c>
      <c r="BH172" s="392">
        <f>SUM($AU$134:AU172)</f>
        <v>1016.1000000000029</v>
      </c>
      <c r="BI172" s="318">
        <f>SUMIFS($AU$134:AU173,$Q$134:Q173,"F")</f>
        <v>0</v>
      </c>
      <c r="BJ172" s="318">
        <f>SUMIFS($AU$134:AU173,$Q$134:Q173,"S")</f>
        <v>982.7</v>
      </c>
      <c r="BK172" s="343">
        <f>SUMIFS($AU$134:AU173,$P$134:P173,"W")</f>
        <v>931.00000000000011</v>
      </c>
      <c r="BL172" s="343">
        <f>SUMIFS($AU$134:AU173,$P$134:P173,"R")</f>
        <v>118.50000000000281</v>
      </c>
      <c r="BM172" s="343">
        <f>SUMIFS($AU$134:AU173,$AQ$134:AQ173,"M")</f>
        <v>0</v>
      </c>
      <c r="BN172" s="343">
        <f>SUMIFS($AU$134:AU173,$AQ$134:AQ173,"H")</f>
        <v>67.000000000002871</v>
      </c>
      <c r="BO172" s="343">
        <f>SUMIFS($AU$134:AU173,$AQ$134:AQ173,"D")</f>
        <v>383.59999999999997</v>
      </c>
      <c r="BP172" s="343">
        <f>SUMIFS($AU$134:AU175,$AQ$134:AQ175,"W")</f>
        <v>351.79999999999995</v>
      </c>
      <c r="BQ172" s="343">
        <f>SUMIFS($AU$134:AU173,$Q$134:Q173,"O")</f>
        <v>-132.39999999999711</v>
      </c>
      <c r="BR172" s="343">
        <f>SUMIFS($AU$134:AU173,$AA$134:AA173,"*")</f>
        <v>1049.500000000003</v>
      </c>
      <c r="BS172" s="343">
        <f>SUMIFS($AU$134:AU173,$AB$134:AB173,"*")</f>
        <v>466.19999999999823</v>
      </c>
      <c r="BT172" s="343">
        <f>SUMIFS($AU$134:AU173,$AC$134:AC173,"*")</f>
        <v>549.59999999999991</v>
      </c>
      <c r="BU172" s="343">
        <f>SUMIFS($AU$134:AU173,$AA$134:AA173,"*",$AB$134:AB173,"*")</f>
        <v>466.19999999999823</v>
      </c>
      <c r="BV172" s="343">
        <f>SUMIFS($AU$134:AU173,$AA$134:AA173,"*",$AC$134:AC173,"*")</f>
        <v>549.59999999999991</v>
      </c>
      <c r="BW172" s="343">
        <f>SUMIFS($AU$134:AU173,$AB$134:AB173,"*",$AC$134:AC173,"*")</f>
        <v>515.1</v>
      </c>
      <c r="BX172" s="343">
        <f>SUMIFS($AU173:AU$1388,$Q173:Q$1388,"F")</f>
        <v>14440.666666666668</v>
      </c>
      <c r="BY172" s="343">
        <f>SUMIFS($AU173:AU$1388,$Q173:Q$1388,"S")</f>
        <v>19722.342000000001</v>
      </c>
      <c r="BZ172" s="343">
        <f>SUMIFS($AU173:AU$1388,$Q173:Q$1388,"O")</f>
        <v>-1516.4579999998011</v>
      </c>
    </row>
    <row r="173" spans="1:78" ht="18" customHeight="1">
      <c r="A173" s="177" t="s">
        <v>785</v>
      </c>
      <c r="B173" s="177">
        <v>44943</v>
      </c>
      <c r="C173" s="178" t="s">
        <v>962</v>
      </c>
      <c r="D173" s="178" t="s">
        <v>146</v>
      </c>
      <c r="E173" s="227"/>
      <c r="F173" s="180"/>
      <c r="G173" s="249" t="s">
        <v>365</v>
      </c>
      <c r="H173" s="182"/>
      <c r="I173" s="182"/>
      <c r="J173" s="182"/>
      <c r="K173" s="183"/>
      <c r="L173" s="182">
        <v>1</v>
      </c>
      <c r="M173" s="182"/>
      <c r="N173" s="182">
        <v>1</v>
      </c>
      <c r="O173" s="183" t="s">
        <v>95</v>
      </c>
      <c r="P173" s="183" t="s">
        <v>96</v>
      </c>
      <c r="Q173" s="183" t="s">
        <v>97</v>
      </c>
      <c r="R173" s="183">
        <v>2</v>
      </c>
      <c r="S173" s="183">
        <v>2</v>
      </c>
      <c r="T173" s="183">
        <v>1</v>
      </c>
      <c r="U173" s="183" t="s">
        <v>22</v>
      </c>
      <c r="V173" s="183"/>
      <c r="W173" s="183"/>
      <c r="X173" s="183"/>
      <c r="Y173" s="184">
        <f t="shared" si="70"/>
        <v>0.01</v>
      </c>
      <c r="Z173" s="184">
        <f t="shared" si="71"/>
        <v>1670</v>
      </c>
      <c r="AA173" s="185" t="s">
        <v>963</v>
      </c>
      <c r="AB173" s="185"/>
      <c r="AC173" s="185" t="s">
        <v>99</v>
      </c>
      <c r="AD173" s="649">
        <v>-0.11</v>
      </c>
      <c r="AE173" s="182"/>
      <c r="AF173" s="332"/>
      <c r="AG173" s="182"/>
      <c r="AH173" s="182">
        <v>-2</v>
      </c>
      <c r="AI173" s="182"/>
      <c r="AJ173" s="640"/>
      <c r="AK173" s="182"/>
      <c r="AL173" s="496">
        <f>-0.03*Z173</f>
        <v>-50.1</v>
      </c>
      <c r="AM173" s="496">
        <f>AL173*R173</f>
        <v>-100.2</v>
      </c>
      <c r="AN173" s="626"/>
      <c r="AO173" s="182"/>
      <c r="AP173" s="182" t="s">
        <v>964</v>
      </c>
      <c r="AQ173" s="332" t="str">
        <f>UPPER(RIGHT(Journal_Live[[#This Row],[DURATION ]]))</f>
        <v>H</v>
      </c>
      <c r="AR173" s="182" t="s">
        <v>965</v>
      </c>
      <c r="AS173" s="189">
        <v>-0.1</v>
      </c>
      <c r="AT173" s="189">
        <f>IF(ISBLANK(AS173),,IF(U173="S",AD173-AS173,AS173-AD173))</f>
        <v>9.999999999999995E-3</v>
      </c>
      <c r="AU173" s="187">
        <f>AV173*R173</f>
        <v>33.399999999999984</v>
      </c>
      <c r="AV173" s="190">
        <f>IF(ISBLANK(AS173),,(AT173*Z173))</f>
        <v>16.699999999999992</v>
      </c>
      <c r="AW173" s="191" t="s">
        <v>96</v>
      </c>
      <c r="AX173" s="407"/>
      <c r="AY173" s="407"/>
      <c r="AZ173" s="407"/>
      <c r="BA173" s="407"/>
      <c r="BB173" s="407"/>
      <c r="BC173" s="407"/>
      <c r="BD173" s="407"/>
      <c r="BE173" s="407"/>
      <c r="BF173" s="422"/>
      <c r="BG173" s="391">
        <f>SUM($AV$4:AV173)</f>
        <v>1850.9200000000296</v>
      </c>
      <c r="BH173" s="392">
        <f>SUM($AU$134:AU173)</f>
        <v>1049.500000000003</v>
      </c>
      <c r="BI173" s="318">
        <f>SUMIFS($AU$134:AU174,$Q$134:Q174,"F")</f>
        <v>0</v>
      </c>
      <c r="BJ173" s="318">
        <f>SUMIFS($AU$134:AU174,$Q$134:Q174,"S")</f>
        <v>982.7</v>
      </c>
      <c r="BK173" s="343">
        <f>SUMIFS($AU$134:AU174,$P$134:P174,"W")</f>
        <v>931.00000000000011</v>
      </c>
      <c r="BL173" s="343">
        <f>SUMIFS($AU$134:AU174,$P$134:P174,"R")</f>
        <v>118.50000000000281</v>
      </c>
      <c r="BM173" s="343">
        <f>SUMIFS($AU$134:AU174,$AQ$134:AQ174,"M")</f>
        <v>0</v>
      </c>
      <c r="BN173" s="343">
        <f>SUMIFS($AU$134:AU174,$AQ$134:AQ174,"H")</f>
        <v>67.000000000002871</v>
      </c>
      <c r="BO173" s="343">
        <f>SUMIFS($AU$134:AU174,$AQ$134:AQ174,"D")</f>
        <v>383.59999999999997</v>
      </c>
      <c r="BP173" s="343">
        <f>SUMIFS($AU$134:AU176,$AQ$134:AQ176,"W")</f>
        <v>351.79999999999995</v>
      </c>
      <c r="BQ173" s="343">
        <f>SUMIFS($AU$134:AU174,$Q$134:Q174,"O")</f>
        <v>-132.39999999999711</v>
      </c>
      <c r="BR173" s="343">
        <f>SUMIFS($AU$134:AU174,$AA$134:AA174,"*")</f>
        <v>1049.500000000003</v>
      </c>
      <c r="BS173" s="343">
        <f>SUMIFS($AU$134:AU174,$AB$134:AB174,"*")</f>
        <v>466.19999999999823</v>
      </c>
      <c r="BT173" s="343">
        <f>SUMIFS($AU$134:AU174,$AC$134:AC174,"*")</f>
        <v>549.59999999999991</v>
      </c>
      <c r="BU173" s="343">
        <f>SUMIFS($AU$134:AU174,$AA$134:AA174,"*",$AB$134:AB174,"*")</f>
        <v>466.19999999999823</v>
      </c>
      <c r="BV173" s="343">
        <f>SUMIFS($AU$134:AU174,$AA$134:AA174,"*",$AC$134:AC174,"*")</f>
        <v>549.59999999999991</v>
      </c>
      <c r="BW173" s="343">
        <f>SUMIFS($AU$134:AU174,$AB$134:AB174,"*",$AC$134:AC174,"*")</f>
        <v>515.1</v>
      </c>
      <c r="BX173" s="343">
        <f>SUMIFS($AU174:AU$1388,$Q174:Q$1388,"F")</f>
        <v>14440.666666666668</v>
      </c>
      <c r="BY173" s="343">
        <f>SUMIFS($AU174:AU$1388,$Q174:Q$1388,"S")</f>
        <v>19688.941999999999</v>
      </c>
      <c r="BZ173" s="343">
        <f>SUMIFS($AU174:AU$1388,$Q174:Q$1388,"O")</f>
        <v>-1516.4579999998011</v>
      </c>
    </row>
    <row r="174" spans="1:78" ht="18" customHeight="1">
      <c r="A174" s="177" t="s">
        <v>785</v>
      </c>
      <c r="B174" s="177">
        <v>44943</v>
      </c>
      <c r="C174" s="178" t="s">
        <v>966</v>
      </c>
      <c r="D174" s="178" t="s">
        <v>146</v>
      </c>
      <c r="E174" s="227"/>
      <c r="F174" s="180"/>
      <c r="G174" s="181" t="s">
        <v>945</v>
      </c>
      <c r="H174" s="182"/>
      <c r="I174" s="182"/>
      <c r="J174" s="182"/>
      <c r="K174" s="183"/>
      <c r="L174" s="182">
        <v>1</v>
      </c>
      <c r="M174" s="182"/>
      <c r="N174" s="182"/>
      <c r="O174" s="183" t="s">
        <v>95</v>
      </c>
      <c r="P174" s="183" t="s">
        <v>137</v>
      </c>
      <c r="Q174" s="183" t="s">
        <v>684</v>
      </c>
      <c r="R174" s="183">
        <v>1</v>
      </c>
      <c r="S174" s="183">
        <v>1</v>
      </c>
      <c r="T174" s="183">
        <v>1</v>
      </c>
      <c r="U174" s="183" t="s">
        <v>97</v>
      </c>
      <c r="V174" s="183"/>
      <c r="W174" s="183"/>
      <c r="X174" s="183"/>
      <c r="Y174" s="184">
        <f t="shared" si="70"/>
        <v>0.01</v>
      </c>
      <c r="Z174" s="184">
        <f t="shared" si="71"/>
        <v>1670</v>
      </c>
      <c r="AA174" s="185" t="s">
        <v>946</v>
      </c>
      <c r="AB174" s="185"/>
      <c r="AC174" s="185"/>
      <c r="AD174" s="649">
        <v>96.42</v>
      </c>
      <c r="AE174" s="182"/>
      <c r="AF174" s="332">
        <v>96.46</v>
      </c>
      <c r="AG174" s="182"/>
      <c r="AH174" s="182" t="s">
        <v>947</v>
      </c>
      <c r="AI174" s="182"/>
      <c r="AJ174" s="640"/>
      <c r="AK174" s="182"/>
      <c r="AL174" s="496">
        <f>-0.04*Z174</f>
        <v>-66.8</v>
      </c>
      <c r="AM174" s="496">
        <f>AL174*R174</f>
        <v>-66.8</v>
      </c>
      <c r="AN174" s="626" t="s">
        <v>948</v>
      </c>
      <c r="AO174" s="182"/>
      <c r="AP174" s="182" t="s">
        <v>967</v>
      </c>
      <c r="AQ174" s="332" t="str">
        <f>UPPER(RIGHT(Journal_Live[[#This Row],[DURATION ]]))</f>
        <v>H</v>
      </c>
      <c r="AR174" s="182" t="s">
        <v>968</v>
      </c>
      <c r="AS174" s="189">
        <v>96.42</v>
      </c>
      <c r="AT174" s="189">
        <f>IF(ISBLANK(AS174),,IF(U174="S",AD174-AS174,AS174-AD174))</f>
        <v>0</v>
      </c>
      <c r="AU174" s="187">
        <f>AV174*R174</f>
        <v>0</v>
      </c>
      <c r="AV174" s="190">
        <f>IF(ISBLANK(AS174),,(AT174*Z174))</f>
        <v>0</v>
      </c>
      <c r="AW174" s="191" t="s">
        <v>115</v>
      </c>
      <c r="AX174" s="407" t="s">
        <v>951</v>
      </c>
      <c r="AY174" s="407" t="s">
        <v>969</v>
      </c>
      <c r="AZ174" s="407" t="s">
        <v>970</v>
      </c>
      <c r="BA174" s="407" t="s">
        <v>971</v>
      </c>
      <c r="BB174" s="407" t="s">
        <v>972</v>
      </c>
      <c r="BC174" s="407"/>
      <c r="BD174" s="407"/>
      <c r="BE174" s="407"/>
      <c r="BF174" s="422"/>
      <c r="BG174" s="391">
        <f>SUM($AV$4:AV174)</f>
        <v>1850.9200000000296</v>
      </c>
      <c r="BH174" s="392">
        <f>SUM($AU$134:AU174)</f>
        <v>1049.500000000003</v>
      </c>
      <c r="BI174" s="318">
        <f>SUMIFS($AU$134:AU175,$Q$134:Q175,"F")</f>
        <v>0</v>
      </c>
      <c r="BJ174" s="318">
        <f>SUMIFS($AU$134:AU175,$Q$134:Q175,"S")</f>
        <v>982.7</v>
      </c>
      <c r="BK174" s="343">
        <f>SUMIFS($AU$134:AU175,$P$134:P175,"W")</f>
        <v>931.00000000000011</v>
      </c>
      <c r="BL174" s="343">
        <f>SUMIFS($AU$134:AU175,$P$134:P175,"R")</f>
        <v>118.50000000000281</v>
      </c>
      <c r="BM174" s="343">
        <f>SUMIFS($AU$134:AU175,$AQ$134:AQ175,"M")</f>
        <v>0</v>
      </c>
      <c r="BN174" s="343">
        <f>SUMIFS($AU$134:AU175,$AQ$134:AQ175,"H")</f>
        <v>67.000000000002871</v>
      </c>
      <c r="BO174" s="343">
        <f>SUMIFS($AU$134:AU175,$AQ$134:AQ175,"D")</f>
        <v>383.59999999999997</v>
      </c>
      <c r="BP174" s="343">
        <f>SUMIFS($AU$134:AU177,$AQ$134:AQ177,"W")</f>
        <v>351.79999999999995</v>
      </c>
      <c r="BQ174" s="343">
        <f>SUMIFS($AU$134:AU175,$Q$134:Q175,"O")</f>
        <v>-132.39999999999711</v>
      </c>
      <c r="BR174" s="343">
        <f>SUMIFS($AU$134:AU175,$AA$134:AA175,"*")</f>
        <v>1049.500000000003</v>
      </c>
      <c r="BS174" s="343">
        <f>SUMIFS($AU$134:AU175,$AB$134:AB175,"*")</f>
        <v>466.19999999999823</v>
      </c>
      <c r="BT174" s="343">
        <f>SUMIFS($AU$134:AU175,$AC$134:AC175,"*")</f>
        <v>549.59999999999991</v>
      </c>
      <c r="BU174" s="343">
        <f>SUMIFS($AU$134:AU175,$AA$134:AA175,"*",$AB$134:AB175,"*")</f>
        <v>466.19999999999823</v>
      </c>
      <c r="BV174" s="343">
        <f>SUMIFS($AU$134:AU175,$AA$134:AA175,"*",$AC$134:AC175,"*")</f>
        <v>549.59999999999991</v>
      </c>
      <c r="BW174" s="343">
        <f>SUMIFS($AU$134:AU175,$AB$134:AB175,"*",$AC$134:AC175,"*")</f>
        <v>515.1</v>
      </c>
      <c r="BX174" s="343">
        <f>SUMIFS($AU175:AU$1388,$Q175:Q$1388,"F")</f>
        <v>14440.666666666668</v>
      </c>
      <c r="BY174" s="343">
        <f>SUMIFS($AU175:AU$1388,$Q175:Q$1388,"S")</f>
        <v>19688.941999999999</v>
      </c>
      <c r="BZ174" s="343">
        <f>SUMIFS($AU175:AU$1388,$Q175:Q$1388,"O")</f>
        <v>-1516.4579999998011</v>
      </c>
    </row>
    <row r="175" spans="1:78" ht="18" customHeight="1">
      <c r="A175" s="177" t="s">
        <v>785</v>
      </c>
      <c r="B175" s="177">
        <v>44944</v>
      </c>
      <c r="C175" s="194">
        <v>0.33333333333333331</v>
      </c>
      <c r="D175" s="178" t="s">
        <v>151</v>
      </c>
      <c r="E175" s="227" t="s">
        <v>973</v>
      </c>
      <c r="F175" s="180" t="s">
        <v>974</v>
      </c>
      <c r="G175" s="181"/>
      <c r="H175" s="182"/>
      <c r="I175" s="182"/>
      <c r="J175" s="182"/>
      <c r="K175" s="183"/>
      <c r="L175" s="182"/>
      <c r="M175" s="182"/>
      <c r="N175" s="182"/>
      <c r="O175" s="183"/>
      <c r="P175" s="183"/>
      <c r="Q175" s="183"/>
      <c r="R175" s="183"/>
      <c r="S175" s="183"/>
      <c r="T175" s="183"/>
      <c r="U175" s="183"/>
      <c r="V175" s="183"/>
      <c r="W175" s="183"/>
      <c r="X175" s="183"/>
      <c r="Y175" s="184">
        <f t="shared" si="70"/>
        <v>0</v>
      </c>
      <c r="Z175" s="184">
        <f t="shared" si="71"/>
        <v>0</v>
      </c>
      <c r="AA175" s="185"/>
      <c r="AB175" s="185"/>
      <c r="AC175" s="185"/>
      <c r="AD175" s="649"/>
      <c r="AE175" s="182"/>
      <c r="AF175" s="332"/>
      <c r="AG175" s="182"/>
      <c r="AH175" s="182"/>
      <c r="AI175" s="182"/>
      <c r="AJ175" s="640"/>
      <c r="AK175" s="182"/>
      <c r="AL175" s="496"/>
      <c r="AM175" s="497"/>
      <c r="AN175" s="626"/>
      <c r="AO175" s="182"/>
      <c r="AP175" s="182"/>
      <c r="AQ175" s="332" t="str">
        <f>UPPER(RIGHT(Journal_Live[[#This Row],[DURATION ]]))</f>
        <v/>
      </c>
      <c r="AR175" s="182"/>
      <c r="AS175" s="189"/>
      <c r="AT175" s="182"/>
      <c r="AU175" s="187"/>
      <c r="AV175" s="190"/>
      <c r="AW175" s="191"/>
      <c r="AX175" s="407"/>
      <c r="AY175" s="407"/>
      <c r="AZ175" s="407"/>
      <c r="BA175" s="407"/>
      <c r="BB175" s="407"/>
      <c r="BC175" s="407"/>
      <c r="BD175" s="407"/>
      <c r="BE175" s="407"/>
      <c r="BF175" s="422"/>
      <c r="BG175" s="391">
        <f>SUM($AV$4:AV175)</f>
        <v>1850.9200000000296</v>
      </c>
      <c r="BH175" s="392">
        <f>SUM($AU$134:AU175)</f>
        <v>1049.500000000003</v>
      </c>
      <c r="BI175" s="318">
        <f>SUMIFS($AU$134:AU176,$Q$134:Q176,"F")</f>
        <v>0</v>
      </c>
      <c r="BJ175" s="318">
        <f>SUMIFS($AU$134:AU176,$Q$134:Q176,"S")</f>
        <v>982.7</v>
      </c>
      <c r="BK175" s="343">
        <f>SUMIFS($AU$134:AU176,$P$134:P176,"W")</f>
        <v>931.00000000000011</v>
      </c>
      <c r="BL175" s="343">
        <f>SUMIFS($AU$134:AU176,$P$134:P176,"R")</f>
        <v>35.00000000000756</v>
      </c>
      <c r="BM175" s="343">
        <f>SUMIFS($AU$134:AU176,$AQ$134:AQ176,"M")</f>
        <v>0</v>
      </c>
      <c r="BN175" s="343">
        <f>SUMIFS($AU$134:AU176,$AQ$134:AQ176,"H")</f>
        <v>-16.499999999992383</v>
      </c>
      <c r="BO175" s="343">
        <f>SUMIFS($AU$134:AU176,$AQ$134:AQ176,"D")</f>
        <v>383.59999999999997</v>
      </c>
      <c r="BP175" s="343">
        <f>SUMIFS($AU$134:AU178,$AQ$134:AQ178,"W")</f>
        <v>351.79999999999995</v>
      </c>
      <c r="BQ175" s="343">
        <f>SUMIFS($AU$134:AU176,$Q$134:Q176,"O")</f>
        <v>-215.89999999999236</v>
      </c>
      <c r="BR175" s="343">
        <f>SUMIFS($AU$134:AU176,$AA$134:AA176,"*")</f>
        <v>966.00000000000773</v>
      </c>
      <c r="BS175" s="343">
        <f>SUMIFS($AU$134:AU176,$AB$134:AB176,"*")</f>
        <v>466.19999999999823</v>
      </c>
      <c r="BT175" s="343">
        <f>SUMIFS($AU$134:AU176,$AC$134:AC176,"*")</f>
        <v>549.59999999999991</v>
      </c>
      <c r="BU175" s="343">
        <f>SUMIFS($AU$134:AU176,$AA$134:AA176,"*",$AB$134:AB176,"*")</f>
        <v>466.19999999999823</v>
      </c>
      <c r="BV175" s="343">
        <f>SUMIFS($AU$134:AU176,$AA$134:AA176,"*",$AC$134:AC176,"*")</f>
        <v>549.59999999999991</v>
      </c>
      <c r="BW175" s="343">
        <f>SUMIFS($AU$134:AU176,$AB$134:AB176,"*",$AC$134:AC176,"*")</f>
        <v>515.1</v>
      </c>
      <c r="BX175" s="343">
        <f>SUMIFS($AU176:AU$1388,$Q176:Q$1388,"F")</f>
        <v>14440.666666666668</v>
      </c>
      <c r="BY175" s="343">
        <f>SUMIFS($AU176:AU$1388,$Q176:Q$1388,"S")</f>
        <v>19688.941999999999</v>
      </c>
      <c r="BZ175" s="343">
        <f>SUMIFS($AU176:AU$1388,$Q176:Q$1388,"O")</f>
        <v>-1516.4579999998011</v>
      </c>
    </row>
    <row r="176" spans="1:78" ht="18" customHeight="1">
      <c r="A176" s="177" t="s">
        <v>785</v>
      </c>
      <c r="B176" s="177">
        <v>44944</v>
      </c>
      <c r="C176" s="178" t="s">
        <v>975</v>
      </c>
      <c r="D176" s="178" t="s">
        <v>151</v>
      </c>
      <c r="E176" s="227"/>
      <c r="F176" s="180"/>
      <c r="G176" s="181" t="s">
        <v>945</v>
      </c>
      <c r="H176" s="182"/>
      <c r="I176" s="182"/>
      <c r="J176" s="182"/>
      <c r="K176" s="183"/>
      <c r="L176" s="182">
        <v>1</v>
      </c>
      <c r="M176" s="182"/>
      <c r="N176" s="182"/>
      <c r="O176" s="183" t="s">
        <v>95</v>
      </c>
      <c r="P176" s="183" t="s">
        <v>137</v>
      </c>
      <c r="Q176" s="183" t="s">
        <v>684</v>
      </c>
      <c r="R176" s="183">
        <v>1</v>
      </c>
      <c r="S176" s="183">
        <v>1</v>
      </c>
      <c r="T176" s="183">
        <v>1</v>
      </c>
      <c r="U176" s="183" t="s">
        <v>97</v>
      </c>
      <c r="V176" s="183"/>
      <c r="W176" s="183"/>
      <c r="X176" s="183"/>
      <c r="Y176" s="184">
        <f t="shared" si="70"/>
        <v>0.01</v>
      </c>
      <c r="Z176" s="184">
        <f t="shared" si="71"/>
        <v>1670</v>
      </c>
      <c r="AA176" s="185" t="s">
        <v>976</v>
      </c>
      <c r="AB176" s="185"/>
      <c r="AC176" s="185"/>
      <c r="AD176" s="649">
        <v>96.43</v>
      </c>
      <c r="AE176" s="182"/>
      <c r="AF176" s="332"/>
      <c r="AG176" s="182"/>
      <c r="AH176" s="182"/>
      <c r="AI176" s="182"/>
      <c r="AJ176" s="640"/>
      <c r="AK176" s="182"/>
      <c r="AL176" s="496"/>
      <c r="AM176" s="497"/>
      <c r="AN176" s="626"/>
      <c r="AO176" s="182"/>
      <c r="AP176" s="182" t="s">
        <v>977</v>
      </c>
      <c r="AQ176" s="332" t="str">
        <f>UPPER(RIGHT(Journal_Live[[#This Row],[DURATION ]]))</f>
        <v>H</v>
      </c>
      <c r="AR176" s="182" t="s">
        <v>682</v>
      </c>
      <c r="AS176" s="189">
        <v>96.48</v>
      </c>
      <c r="AT176" s="189">
        <f>IF(ISBLANK(AS176),,IF(U176="S",AD176-AS176,AS176-AD176))</f>
        <v>-4.9999999999997158E-2</v>
      </c>
      <c r="AU176" s="187">
        <f>AV176*R176</f>
        <v>-83.499999999995254</v>
      </c>
      <c r="AV176" s="190">
        <f>IF(ISBLANK(AS176),,(AT176*Z176))</f>
        <v>-83.499999999995254</v>
      </c>
      <c r="AW176" s="191" t="s">
        <v>229</v>
      </c>
      <c r="AX176" s="407" t="s">
        <v>978</v>
      </c>
      <c r="AY176" s="407"/>
      <c r="AZ176" s="407"/>
      <c r="BA176" s="407" t="s">
        <v>979</v>
      </c>
      <c r="BB176" s="407"/>
      <c r="BC176" s="407"/>
      <c r="BD176" s="407"/>
      <c r="BE176" s="407"/>
      <c r="BF176" s="422"/>
      <c r="BG176" s="391">
        <f>SUM($AV$4:AV176)</f>
        <v>1767.4200000000344</v>
      </c>
      <c r="BH176" s="392">
        <f>SUM($AU$134:AU176)</f>
        <v>966.00000000000773</v>
      </c>
      <c r="BI176" s="318">
        <f>SUMIFS($AU$134:AU177,$Q$134:Q177,"F")</f>
        <v>0</v>
      </c>
      <c r="BJ176" s="318">
        <f>SUMIFS($AU$134:AU177,$Q$134:Q177,"S")</f>
        <v>982.7</v>
      </c>
      <c r="BK176" s="343">
        <f>SUMIFS($AU$134:AU177,$P$134:P177,"W")</f>
        <v>931.00000000000011</v>
      </c>
      <c r="BL176" s="343">
        <f>SUMIFS($AU$134:AU177,$P$134:P177,"R")</f>
        <v>35.00000000000756</v>
      </c>
      <c r="BM176" s="343">
        <f>SUMIFS($AU$134:AU177,$AQ$134:AQ177,"M")</f>
        <v>0</v>
      </c>
      <c r="BN176" s="343">
        <f>SUMIFS($AU$134:AU177,$AQ$134:AQ177,"H")</f>
        <v>-16.499999999992383</v>
      </c>
      <c r="BO176" s="343">
        <f>SUMIFS($AU$134:AU177,$AQ$134:AQ177,"D")</f>
        <v>383.59999999999997</v>
      </c>
      <c r="BP176" s="343">
        <f>SUMIFS($AU$134:AU179,$AQ$134:AQ179,"W")</f>
        <v>351.79999999999995</v>
      </c>
      <c r="BQ176" s="343">
        <f>SUMIFS($AU$134:AU177,$Q$134:Q177,"O")</f>
        <v>-215.89999999999236</v>
      </c>
      <c r="BR176" s="343">
        <f>SUMIFS($AU$134:AU177,$AA$134:AA177,"*")</f>
        <v>966.00000000000773</v>
      </c>
      <c r="BS176" s="343">
        <f>SUMIFS($AU$134:AU177,$AB$134:AB177,"*")</f>
        <v>466.19999999999823</v>
      </c>
      <c r="BT176" s="343">
        <f>SUMIFS($AU$134:AU177,$AC$134:AC177,"*")</f>
        <v>549.59999999999991</v>
      </c>
      <c r="BU176" s="343">
        <f>SUMIFS($AU$134:AU177,$AA$134:AA177,"*",$AB$134:AB177,"*")</f>
        <v>466.19999999999823</v>
      </c>
      <c r="BV176" s="343">
        <f>SUMIFS($AU$134:AU177,$AA$134:AA177,"*",$AC$134:AC177,"*")</f>
        <v>549.59999999999991</v>
      </c>
      <c r="BW176" s="343">
        <f>SUMIFS($AU$134:AU177,$AB$134:AB177,"*",$AC$134:AC177,"*")</f>
        <v>515.1</v>
      </c>
      <c r="BX176" s="343">
        <f>SUMIFS($AU177:AU$1388,$Q177:Q$1388,"F")</f>
        <v>14440.666666666668</v>
      </c>
      <c r="BY176" s="343">
        <f>SUMIFS($AU177:AU$1388,$Q177:Q$1388,"S")</f>
        <v>19688.941999999999</v>
      </c>
      <c r="BZ176" s="343">
        <f>SUMIFS($AU177:AU$1388,$Q177:Q$1388,"O")</f>
        <v>-1432.9579999998061</v>
      </c>
    </row>
    <row r="177" spans="1:78" ht="18" customHeight="1">
      <c r="A177" s="177" t="s">
        <v>785</v>
      </c>
      <c r="B177" s="177">
        <v>44944</v>
      </c>
      <c r="C177" s="194">
        <v>0.375</v>
      </c>
      <c r="D177" s="178" t="s">
        <v>151</v>
      </c>
      <c r="E177" s="227"/>
      <c r="F177" s="180"/>
      <c r="G177" s="181" t="s">
        <v>753</v>
      </c>
      <c r="H177" s="182"/>
      <c r="I177" s="182"/>
      <c r="J177" s="182"/>
      <c r="K177" s="183"/>
      <c r="L177" s="182">
        <v>1</v>
      </c>
      <c r="M177" s="182"/>
      <c r="N177" s="182">
        <v>1</v>
      </c>
      <c r="O177" s="183" t="s">
        <v>95</v>
      </c>
      <c r="P177" s="183" t="s">
        <v>137</v>
      </c>
      <c r="Q177" s="183" t="s">
        <v>97</v>
      </c>
      <c r="R177" s="183">
        <v>3</v>
      </c>
      <c r="S177" s="183">
        <v>3</v>
      </c>
      <c r="T177" s="183">
        <v>3</v>
      </c>
      <c r="U177" s="183" t="s">
        <v>22</v>
      </c>
      <c r="V177" s="183"/>
      <c r="W177" s="183"/>
      <c r="X177" s="183"/>
      <c r="Y177" s="184">
        <f t="shared" si="70"/>
        <v>0.01</v>
      </c>
      <c r="Z177" s="184">
        <f t="shared" si="71"/>
        <v>1670</v>
      </c>
      <c r="AA177" s="185" t="s">
        <v>980</v>
      </c>
      <c r="AB177" s="185"/>
      <c r="AC177" s="185"/>
      <c r="AD177" s="649">
        <v>-0.11</v>
      </c>
      <c r="AE177" s="182"/>
      <c r="AF177" s="332">
        <v>-0.13</v>
      </c>
      <c r="AG177" s="182"/>
      <c r="AH177" s="182">
        <v>-0.09</v>
      </c>
      <c r="AI177" s="182"/>
      <c r="AJ177" s="640"/>
      <c r="AK177" s="182"/>
      <c r="AL177" s="496">
        <f t="shared" ref="AL177:AL178" si="73">-0.02*Z177</f>
        <v>-33.4</v>
      </c>
      <c r="AM177" s="496">
        <f>AL177*R177</f>
        <v>-100.19999999999999</v>
      </c>
      <c r="AN177" s="626"/>
      <c r="AO177" s="182"/>
      <c r="AP177" s="182" t="s">
        <v>981</v>
      </c>
      <c r="AQ177" s="332" t="str">
        <f>UPPER(RIGHT(Journal_Live[[#This Row],[DURATION ]]))</f>
        <v>H</v>
      </c>
      <c r="AR177" s="182" t="s">
        <v>682</v>
      </c>
      <c r="AS177" s="189">
        <v>-0.11</v>
      </c>
      <c r="AT177" s="189">
        <f>IF(ISBLANK(AS177),,IF(U177="S",AD177-AS177,AS177-AD177))</f>
        <v>0</v>
      </c>
      <c r="AU177" s="187">
        <f>AV177*R177</f>
        <v>0</v>
      </c>
      <c r="AV177" s="190">
        <f>IF(ISBLANK(AS177),,(AT177*Z177))</f>
        <v>0</v>
      </c>
      <c r="AW177" s="191" t="s">
        <v>115</v>
      </c>
      <c r="AX177" s="407"/>
      <c r="AY177" s="407"/>
      <c r="AZ177" s="407"/>
      <c r="BA177" s="407"/>
      <c r="BB177" s="407"/>
      <c r="BC177" s="407"/>
      <c r="BD177" s="407"/>
      <c r="BE177" s="407"/>
      <c r="BF177" s="422"/>
      <c r="BG177" s="391">
        <f>SUM($AV$4:AV177)</f>
        <v>1767.4200000000344</v>
      </c>
      <c r="BH177" s="392">
        <f>SUM($AU$134:AU177)</f>
        <v>966.00000000000773</v>
      </c>
      <c r="BI177" s="318">
        <f>SUMIFS($AU$134:AU178,$Q$134:Q178,"F")</f>
        <v>0</v>
      </c>
      <c r="BJ177" s="318">
        <f>SUMIFS($AU$134:AU178,$Q$134:Q178,"S")</f>
        <v>982.7</v>
      </c>
      <c r="BK177" s="343">
        <f>SUMIFS($AU$134:AU178,$P$134:P178,"W")</f>
        <v>914.29999999999154</v>
      </c>
      <c r="BL177" s="343">
        <f>SUMIFS($AU$134:AU178,$P$134:P178,"R")</f>
        <v>35.00000000000756</v>
      </c>
      <c r="BM177" s="343">
        <f>SUMIFS($AU$134:AU178,$AQ$134:AQ178,"M")</f>
        <v>0</v>
      </c>
      <c r="BN177" s="343">
        <f>SUMIFS($AU$134:AU178,$AQ$134:AQ178,"H")</f>
        <v>-33.200000000000927</v>
      </c>
      <c r="BO177" s="343">
        <f>SUMIFS($AU$134:AU178,$AQ$134:AQ178,"D")</f>
        <v>383.59999999999997</v>
      </c>
      <c r="BP177" s="343">
        <f>SUMIFS($AU$134:AU180,$AQ$134:AQ180,"W")</f>
        <v>351.79999999999995</v>
      </c>
      <c r="BQ177" s="343">
        <f>SUMIFS($AU$134:AU178,$Q$134:Q178,"O")</f>
        <v>-232.6000000000009</v>
      </c>
      <c r="BR177" s="343">
        <f>SUMIFS($AU$134:AU178,$AA$134:AA178,"*")</f>
        <v>949.29999999999916</v>
      </c>
      <c r="BS177" s="343">
        <f>SUMIFS($AU$134:AU178,$AB$134:AB178,"*")</f>
        <v>466.19999999999823</v>
      </c>
      <c r="BT177" s="343">
        <f>SUMIFS($AU$134:AU178,$AC$134:AC178,"*")</f>
        <v>549.59999999999991</v>
      </c>
      <c r="BU177" s="343">
        <f>SUMIFS($AU$134:AU178,$AA$134:AA178,"*",$AB$134:AB178,"*")</f>
        <v>466.19999999999823</v>
      </c>
      <c r="BV177" s="343">
        <f>SUMIFS($AU$134:AU178,$AA$134:AA178,"*",$AC$134:AC178,"*")</f>
        <v>549.59999999999991</v>
      </c>
      <c r="BW177" s="343">
        <f>SUMIFS($AU$134:AU178,$AB$134:AB178,"*",$AC$134:AC178,"*")</f>
        <v>515.1</v>
      </c>
      <c r="BX177" s="343">
        <f>SUMIFS($AU178:AU$1388,$Q178:Q$1388,"F")</f>
        <v>14440.666666666668</v>
      </c>
      <c r="BY177" s="343">
        <f>SUMIFS($AU178:AU$1388,$Q178:Q$1388,"S")</f>
        <v>19688.941999999999</v>
      </c>
      <c r="BZ177" s="343">
        <f>SUMIFS($AU178:AU$1388,$Q178:Q$1388,"O")</f>
        <v>-1432.9579999998061</v>
      </c>
    </row>
    <row r="178" spans="1:78" ht="18" customHeight="1">
      <c r="A178" s="177" t="s">
        <v>785</v>
      </c>
      <c r="B178" s="177">
        <v>44944</v>
      </c>
      <c r="C178" s="178" t="s">
        <v>982</v>
      </c>
      <c r="D178" s="178" t="s">
        <v>151</v>
      </c>
      <c r="E178" s="227"/>
      <c r="F178" s="180"/>
      <c r="G178" s="181" t="s">
        <v>983</v>
      </c>
      <c r="H178" s="182"/>
      <c r="I178" s="182"/>
      <c r="J178" s="182"/>
      <c r="K178" s="183"/>
      <c r="L178" s="182">
        <v>1</v>
      </c>
      <c r="M178" s="182"/>
      <c r="N178" s="182"/>
      <c r="O178" s="183" t="s">
        <v>95</v>
      </c>
      <c r="P178" s="183" t="s">
        <v>96</v>
      </c>
      <c r="Q178" s="183" t="s">
        <v>684</v>
      </c>
      <c r="R178" s="183">
        <v>1</v>
      </c>
      <c r="S178" s="183">
        <v>1</v>
      </c>
      <c r="T178" s="183">
        <v>1</v>
      </c>
      <c r="U178" s="183" t="s">
        <v>97</v>
      </c>
      <c r="V178" s="183"/>
      <c r="W178" s="183"/>
      <c r="X178" s="183"/>
      <c r="Y178" s="184">
        <f t="shared" si="70"/>
        <v>0.01</v>
      </c>
      <c r="Z178" s="184">
        <f t="shared" si="71"/>
        <v>1670</v>
      </c>
      <c r="AA178" s="185" t="s">
        <v>984</v>
      </c>
      <c r="AB178" s="185"/>
      <c r="AC178" s="185"/>
      <c r="AD178" s="649">
        <v>96.1</v>
      </c>
      <c r="AE178" s="182"/>
      <c r="AF178" s="332">
        <v>96.12</v>
      </c>
      <c r="AG178" s="182"/>
      <c r="AH178" s="182"/>
      <c r="AI178" s="182"/>
      <c r="AJ178" s="640"/>
      <c r="AK178" s="182"/>
      <c r="AL178" s="496">
        <f t="shared" si="73"/>
        <v>-33.4</v>
      </c>
      <c r="AM178" s="496">
        <f>AL178*R178</f>
        <v>-33.4</v>
      </c>
      <c r="AN178" s="626"/>
      <c r="AO178" s="182"/>
      <c r="AP178" s="182" t="s">
        <v>967</v>
      </c>
      <c r="AQ178" s="332" t="str">
        <f>UPPER(RIGHT(Journal_Live[[#This Row],[DURATION ]]))</f>
        <v>H</v>
      </c>
      <c r="AR178" s="182" t="s">
        <v>985</v>
      </c>
      <c r="AS178" s="189">
        <v>96.11</v>
      </c>
      <c r="AT178" s="189">
        <f>IF(ISBLANK(AS178),,IF(U178="S",AD178-AS178,AS178-AD178))</f>
        <v>-1.0000000000005116E-2</v>
      </c>
      <c r="AU178" s="187">
        <f>AV178*R178</f>
        <v>-16.700000000008544</v>
      </c>
      <c r="AV178" s="190">
        <f>IF(ISBLANK(AS178),,(AT178*Z178))</f>
        <v>-16.700000000008544</v>
      </c>
      <c r="AW178" s="191" t="s">
        <v>229</v>
      </c>
      <c r="AX178" s="407" t="s">
        <v>986</v>
      </c>
      <c r="AY178" s="407"/>
      <c r="AZ178" s="407"/>
      <c r="BA178" s="407"/>
      <c r="BB178" s="407"/>
      <c r="BC178" s="407"/>
      <c r="BD178" s="407"/>
      <c r="BE178" s="407"/>
      <c r="BF178" s="422"/>
      <c r="BG178" s="391">
        <f>SUM($AV$4:AV178)</f>
        <v>1750.7200000000259</v>
      </c>
      <c r="BH178" s="392">
        <f>SUM($AU$134:AU178)</f>
        <v>949.29999999999916</v>
      </c>
      <c r="BI178" s="318">
        <f>SUMIFS($AU$134:AU179,$Q$134:Q179,"F")</f>
        <v>0</v>
      </c>
      <c r="BJ178" s="318">
        <f>SUMIFS($AU$134:AU179,$Q$134:Q179,"S")</f>
        <v>982.7</v>
      </c>
      <c r="BK178" s="343">
        <f>SUMIFS($AU$134:AU179,$P$134:P179,"W")</f>
        <v>914.29999999999154</v>
      </c>
      <c r="BL178" s="343">
        <f>SUMIFS($AU$134:AU179,$P$134:P179,"R")</f>
        <v>35.00000000000756</v>
      </c>
      <c r="BM178" s="343">
        <f>SUMIFS($AU$134:AU179,$AQ$134:AQ179,"M")</f>
        <v>0</v>
      </c>
      <c r="BN178" s="343">
        <f>SUMIFS($AU$134:AU179,$AQ$134:AQ179,"H")</f>
        <v>-33.200000000000927</v>
      </c>
      <c r="BO178" s="343">
        <f>SUMIFS($AU$134:AU179,$AQ$134:AQ179,"D")</f>
        <v>383.59999999999997</v>
      </c>
      <c r="BP178" s="343">
        <f>SUMIFS($AU$134:AU181,$AQ$134:AQ181,"W")</f>
        <v>351.79999999999995</v>
      </c>
      <c r="BQ178" s="343">
        <f>SUMIFS($AU$134:AU179,$Q$134:Q179,"O")</f>
        <v>-232.6000000000009</v>
      </c>
      <c r="BR178" s="343">
        <f>SUMIFS($AU$134:AU179,$AA$134:AA179,"*")</f>
        <v>949.29999999999916</v>
      </c>
      <c r="BS178" s="343">
        <f>SUMIFS($AU$134:AU179,$AB$134:AB179,"*")</f>
        <v>466.19999999999823</v>
      </c>
      <c r="BT178" s="343">
        <f>SUMIFS($AU$134:AU179,$AC$134:AC179,"*")</f>
        <v>549.59999999999991</v>
      </c>
      <c r="BU178" s="343">
        <f>SUMIFS($AU$134:AU179,$AA$134:AA179,"*",$AB$134:AB179,"*")</f>
        <v>466.19999999999823</v>
      </c>
      <c r="BV178" s="343">
        <f>SUMIFS($AU$134:AU179,$AA$134:AA179,"*",$AC$134:AC179,"*")</f>
        <v>549.59999999999991</v>
      </c>
      <c r="BW178" s="343">
        <f>SUMIFS($AU$134:AU179,$AB$134:AB179,"*",$AC$134:AC179,"*")</f>
        <v>515.1</v>
      </c>
      <c r="BX178" s="343">
        <f>SUMIFS($AU179:AU$1388,$Q179:Q$1388,"F")</f>
        <v>14440.666666666668</v>
      </c>
      <c r="BY178" s="343">
        <f>SUMIFS($AU179:AU$1388,$Q179:Q$1388,"S")</f>
        <v>19688.941999999999</v>
      </c>
      <c r="BZ178" s="343">
        <f>SUMIFS($AU179:AU$1388,$Q179:Q$1388,"O")</f>
        <v>-1416.2579999997977</v>
      </c>
    </row>
    <row r="179" spans="1:78" ht="18" customHeight="1">
      <c r="A179" s="177" t="s">
        <v>785</v>
      </c>
      <c r="B179" s="177"/>
      <c r="C179" s="178"/>
      <c r="D179" s="178"/>
      <c r="E179" s="227"/>
      <c r="F179" s="180"/>
      <c r="G179" s="181"/>
      <c r="H179" s="182"/>
      <c r="I179" s="182"/>
      <c r="J179" s="182"/>
      <c r="K179" s="183"/>
      <c r="L179" s="182"/>
      <c r="M179" s="182"/>
      <c r="N179" s="182"/>
      <c r="O179" s="183"/>
      <c r="P179" s="183"/>
      <c r="Q179" s="183"/>
      <c r="R179" s="183"/>
      <c r="S179" s="183"/>
      <c r="T179" s="183"/>
      <c r="U179" s="183"/>
      <c r="V179" s="183"/>
      <c r="W179" s="183"/>
      <c r="X179" s="183"/>
      <c r="Y179" s="184">
        <f t="shared" si="70"/>
        <v>0</v>
      </c>
      <c r="Z179" s="184">
        <f t="shared" si="71"/>
        <v>0</v>
      </c>
      <c r="AA179" s="185"/>
      <c r="AB179" s="185"/>
      <c r="AC179" s="185"/>
      <c r="AD179" s="649"/>
      <c r="AE179" s="182"/>
      <c r="AF179" s="332"/>
      <c r="AG179" s="182"/>
      <c r="AH179" s="182"/>
      <c r="AI179" s="182"/>
      <c r="AJ179" s="640"/>
      <c r="AK179" s="182"/>
      <c r="AL179" s="496"/>
      <c r="AM179" s="497"/>
      <c r="AN179" s="626"/>
      <c r="AO179" s="182"/>
      <c r="AP179" s="182"/>
      <c r="AQ179" s="332" t="str">
        <f>UPPER(RIGHT(Journal_Live[[#This Row],[DURATION ]]))</f>
        <v/>
      </c>
      <c r="AR179" s="182"/>
      <c r="AS179" s="189"/>
      <c r="AT179" s="182"/>
      <c r="AU179" s="187"/>
      <c r="AV179" s="190"/>
      <c r="AW179" s="191"/>
      <c r="AX179" s="409" t="s">
        <v>987</v>
      </c>
      <c r="AY179" s="407" t="s">
        <v>988</v>
      </c>
      <c r="AZ179" s="407" t="s">
        <v>989</v>
      </c>
      <c r="BA179" s="407" t="s">
        <v>990</v>
      </c>
      <c r="BB179" s="407"/>
      <c r="BC179" s="407"/>
      <c r="BD179" s="407"/>
      <c r="BE179" s="407"/>
      <c r="BF179" s="422"/>
      <c r="BG179" s="391">
        <f>SUM($AV$4:AV179)</f>
        <v>1750.7200000000259</v>
      </c>
      <c r="BH179" s="392">
        <f>SUM($AU$134:AU179)</f>
        <v>949.29999999999916</v>
      </c>
      <c r="BI179" s="318">
        <f>SUMIFS($AU$134:AU180,$Q$134:Q180,"F")</f>
        <v>0</v>
      </c>
      <c r="BJ179" s="318">
        <f>SUMIFS($AU$134:AU180,$Q$134:Q180,"S")</f>
        <v>982.7</v>
      </c>
      <c r="BK179" s="343">
        <f>SUMIFS($AU$134:AU180,$P$134:P180,"W")</f>
        <v>914.29999999999154</v>
      </c>
      <c r="BL179" s="343">
        <f>SUMIFS($AU$134:AU180,$P$134:P180,"R")</f>
        <v>35.00000000000756</v>
      </c>
      <c r="BM179" s="343">
        <f>SUMIFS($AU$134:AU180,$AQ$134:AQ180,"M")</f>
        <v>0</v>
      </c>
      <c r="BN179" s="343">
        <f>SUMIFS($AU$134:AU180,$AQ$134:AQ180,"H")</f>
        <v>-33.200000000000927</v>
      </c>
      <c r="BO179" s="343">
        <f>SUMIFS($AU$134:AU180,$AQ$134:AQ180,"D")</f>
        <v>383.59999999999997</v>
      </c>
      <c r="BP179" s="343">
        <f>SUMIFS($AU$134:AU182,$AQ$134:AQ182,"W")</f>
        <v>351.79999999999995</v>
      </c>
      <c r="BQ179" s="343">
        <f>SUMIFS($AU$134:AU180,$Q$134:Q180,"O")</f>
        <v>-232.6000000000009</v>
      </c>
      <c r="BR179" s="343">
        <f>SUMIFS($AU$134:AU180,$AA$134:AA180,"*")</f>
        <v>949.29999999999916</v>
      </c>
      <c r="BS179" s="343">
        <f>SUMIFS($AU$134:AU180,$AB$134:AB180,"*")</f>
        <v>466.19999999999823</v>
      </c>
      <c r="BT179" s="343">
        <f>SUMIFS($AU$134:AU180,$AC$134:AC180,"*")</f>
        <v>549.59999999999991</v>
      </c>
      <c r="BU179" s="343">
        <f>SUMIFS($AU$134:AU180,$AA$134:AA180,"*",$AB$134:AB180,"*")</f>
        <v>466.19999999999823</v>
      </c>
      <c r="BV179" s="343">
        <f>SUMIFS($AU$134:AU180,$AA$134:AA180,"*",$AC$134:AC180,"*")</f>
        <v>549.59999999999991</v>
      </c>
      <c r="BW179" s="343">
        <f>SUMIFS($AU$134:AU180,$AB$134:AB180,"*",$AC$134:AC180,"*")</f>
        <v>515.1</v>
      </c>
      <c r="BX179" s="343">
        <f>SUMIFS($AU180:AU$1388,$Q180:Q$1388,"F")</f>
        <v>14440.666666666668</v>
      </c>
      <c r="BY179" s="343">
        <f>SUMIFS($AU180:AU$1388,$Q180:Q$1388,"S")</f>
        <v>19688.941999999999</v>
      </c>
      <c r="BZ179" s="343">
        <f>SUMIFS($AU180:AU$1388,$Q180:Q$1388,"O")</f>
        <v>-1416.2579999997977</v>
      </c>
    </row>
    <row r="180" spans="1:78" ht="18" customHeight="1">
      <c r="A180" s="177" t="s">
        <v>785</v>
      </c>
      <c r="B180" s="177">
        <v>44944</v>
      </c>
      <c r="C180" s="194">
        <v>0.79166666666666663</v>
      </c>
      <c r="D180" s="178" t="s">
        <v>151</v>
      </c>
      <c r="E180" s="227" t="s">
        <v>991</v>
      </c>
      <c r="F180" s="180" t="s">
        <v>992</v>
      </c>
      <c r="G180" s="198"/>
      <c r="H180" s="182"/>
      <c r="I180" s="182"/>
      <c r="J180" s="182">
        <v>1</v>
      </c>
      <c r="K180" s="183" t="s">
        <v>115</v>
      </c>
      <c r="L180" s="182"/>
      <c r="M180" s="182"/>
      <c r="N180" s="182"/>
      <c r="O180" s="183"/>
      <c r="P180" s="183"/>
      <c r="Q180" s="183"/>
      <c r="R180" s="183"/>
      <c r="S180" s="183"/>
      <c r="T180" s="183"/>
      <c r="U180" s="183"/>
      <c r="V180" s="183"/>
      <c r="W180" s="183"/>
      <c r="X180" s="183"/>
      <c r="Y180" s="184">
        <f t="shared" si="70"/>
        <v>0</v>
      </c>
      <c r="Z180" s="184">
        <f t="shared" si="71"/>
        <v>0</v>
      </c>
      <c r="AA180" s="185"/>
      <c r="AB180" s="185"/>
      <c r="AC180" s="185"/>
      <c r="AD180" s="649"/>
      <c r="AE180" s="182"/>
      <c r="AF180" s="332"/>
      <c r="AG180" s="182"/>
      <c r="AH180" s="182"/>
      <c r="AI180" s="182"/>
      <c r="AJ180" s="640"/>
      <c r="AK180" s="182"/>
      <c r="AL180" s="496"/>
      <c r="AM180" s="497"/>
      <c r="AN180" s="626"/>
      <c r="AO180" s="182"/>
      <c r="AP180" s="182"/>
      <c r="AQ180" s="332" t="str">
        <f>UPPER(RIGHT(Journal_Live[[#This Row],[DURATION ]]))</f>
        <v/>
      </c>
      <c r="AR180" s="182"/>
      <c r="AS180" s="189"/>
      <c r="AT180" s="182"/>
      <c r="AU180" s="187"/>
      <c r="AV180" s="190"/>
      <c r="AW180" s="191"/>
      <c r="AX180" s="407"/>
      <c r="AY180" s="407"/>
      <c r="AZ180" s="407"/>
      <c r="BA180" s="407"/>
      <c r="BB180" s="407"/>
      <c r="BC180" s="407"/>
      <c r="BD180" s="407"/>
      <c r="BE180" s="407"/>
      <c r="BF180" s="422"/>
      <c r="BG180" s="391">
        <f>SUM($AV$4:AV180)</f>
        <v>1750.7200000000259</v>
      </c>
      <c r="BH180" s="392">
        <f>SUM($AU$134:AU180)</f>
        <v>949.29999999999916</v>
      </c>
      <c r="BI180" s="318">
        <f>SUMIFS($AU$134:AU181,$Q$134:Q181,"F")</f>
        <v>0</v>
      </c>
      <c r="BJ180" s="318">
        <f>SUMIFS($AU$134:AU181,$Q$134:Q181,"S")</f>
        <v>982.7</v>
      </c>
      <c r="BK180" s="343">
        <f>SUMIFS($AU$134:AU181,$P$134:P181,"W")</f>
        <v>914.29999999999154</v>
      </c>
      <c r="BL180" s="343">
        <f>SUMIFS($AU$134:AU181,$P$134:P181,"R")</f>
        <v>35.00000000000756</v>
      </c>
      <c r="BM180" s="343">
        <f>SUMIFS($AU$134:AU181,$AQ$134:AQ181,"M")</f>
        <v>0</v>
      </c>
      <c r="BN180" s="343">
        <f>SUMIFS($AU$134:AU181,$AQ$134:AQ181,"H")</f>
        <v>-33.200000000000927</v>
      </c>
      <c r="BO180" s="343">
        <f>SUMIFS($AU$134:AU181,$AQ$134:AQ181,"D")</f>
        <v>383.59999999999997</v>
      </c>
      <c r="BP180" s="343">
        <f>SUMIFS($AU$134:AU183,$AQ$134:AQ183,"W")</f>
        <v>351.79999999999995</v>
      </c>
      <c r="BQ180" s="343">
        <f>SUMIFS($AU$134:AU181,$Q$134:Q181,"O")</f>
        <v>-232.6000000000009</v>
      </c>
      <c r="BR180" s="343">
        <f>SUMIFS($AU$134:AU181,$AA$134:AA181,"*")</f>
        <v>949.29999999999916</v>
      </c>
      <c r="BS180" s="343">
        <f>SUMIFS($AU$134:AU181,$AB$134:AB181,"*")</f>
        <v>466.19999999999823</v>
      </c>
      <c r="BT180" s="343">
        <f>SUMIFS($AU$134:AU181,$AC$134:AC181,"*")</f>
        <v>549.59999999999991</v>
      </c>
      <c r="BU180" s="343">
        <f>SUMIFS($AU$134:AU181,$AA$134:AA181,"*",$AB$134:AB181,"*")</f>
        <v>466.19999999999823</v>
      </c>
      <c r="BV180" s="343">
        <f>SUMIFS($AU$134:AU181,$AA$134:AA181,"*",$AC$134:AC181,"*")</f>
        <v>549.59999999999991</v>
      </c>
      <c r="BW180" s="343">
        <f>SUMIFS($AU$134:AU181,$AB$134:AB181,"*",$AC$134:AC181,"*")</f>
        <v>515.1</v>
      </c>
      <c r="BX180" s="343">
        <f>SUMIFS($AU181:AU$1388,$Q181:Q$1388,"F")</f>
        <v>14440.666666666668</v>
      </c>
      <c r="BY180" s="343">
        <f>SUMIFS($AU181:AU$1388,$Q181:Q$1388,"S")</f>
        <v>19688.941999999999</v>
      </c>
      <c r="BZ180" s="343">
        <f>SUMIFS($AU181:AU$1388,$Q181:Q$1388,"O")</f>
        <v>-1416.2579999997977</v>
      </c>
    </row>
    <row r="181" spans="1:78" ht="18" customHeight="1">
      <c r="A181" s="177" t="s">
        <v>785</v>
      </c>
      <c r="B181" s="177"/>
      <c r="C181" s="178"/>
      <c r="D181" s="178"/>
      <c r="E181" s="227" t="s">
        <v>993</v>
      </c>
      <c r="F181" s="180" t="s">
        <v>994</v>
      </c>
      <c r="G181" s="198"/>
      <c r="H181" s="182"/>
      <c r="I181" s="182"/>
      <c r="J181" s="182">
        <v>1</v>
      </c>
      <c r="K181" s="183" t="s">
        <v>115</v>
      </c>
      <c r="L181" s="182"/>
      <c r="M181" s="182"/>
      <c r="N181" s="182"/>
      <c r="O181" s="183"/>
      <c r="P181" s="183"/>
      <c r="Q181" s="183"/>
      <c r="R181" s="183"/>
      <c r="S181" s="183"/>
      <c r="T181" s="183"/>
      <c r="U181" s="183"/>
      <c r="V181" s="183"/>
      <c r="W181" s="183"/>
      <c r="X181" s="183"/>
      <c r="Y181" s="184">
        <f t="shared" si="70"/>
        <v>0</v>
      </c>
      <c r="Z181" s="184">
        <f t="shared" si="71"/>
        <v>0</v>
      </c>
      <c r="AA181" s="185"/>
      <c r="AB181" s="185"/>
      <c r="AC181" s="185"/>
      <c r="AD181" s="649"/>
      <c r="AE181" s="182"/>
      <c r="AF181" s="332"/>
      <c r="AG181" s="182"/>
      <c r="AH181" s="182"/>
      <c r="AI181" s="182"/>
      <c r="AJ181" s="640"/>
      <c r="AK181" s="182"/>
      <c r="AL181" s="496"/>
      <c r="AM181" s="497"/>
      <c r="AN181" s="626"/>
      <c r="AO181" s="182"/>
      <c r="AP181" s="182"/>
      <c r="AQ181" s="332" t="str">
        <f>UPPER(RIGHT(Journal_Live[[#This Row],[DURATION ]]))</f>
        <v/>
      </c>
      <c r="AR181" s="182"/>
      <c r="AS181" s="189"/>
      <c r="AT181" s="182"/>
      <c r="AU181" s="187"/>
      <c r="AV181" s="190"/>
      <c r="AW181" s="191"/>
      <c r="AX181" s="407"/>
      <c r="AY181" s="407"/>
      <c r="AZ181" s="407"/>
      <c r="BA181" s="407"/>
      <c r="BB181" s="407"/>
      <c r="BC181" s="407"/>
      <c r="BD181" s="407"/>
      <c r="BE181" s="407"/>
      <c r="BF181" s="422"/>
      <c r="BG181" s="391">
        <f>SUM($AV$4:AV181)</f>
        <v>1750.7200000000259</v>
      </c>
      <c r="BH181" s="392">
        <f>SUM($AU$134:AU181)</f>
        <v>949.29999999999916</v>
      </c>
      <c r="BI181" s="318">
        <f>SUMIFS($AU$134:AU182,$Q$134:Q182,"F")</f>
        <v>0</v>
      </c>
      <c r="BJ181" s="318">
        <f>SUMIFS($AU$134:AU182,$Q$134:Q182,"S")</f>
        <v>982.7</v>
      </c>
      <c r="BK181" s="343">
        <f>SUMIFS($AU$134:AU182,$P$134:P182,"W")</f>
        <v>914.29999999999154</v>
      </c>
      <c r="BL181" s="343">
        <f>SUMIFS($AU$134:AU182,$P$134:P182,"R")</f>
        <v>35.00000000000756</v>
      </c>
      <c r="BM181" s="343">
        <f>SUMIFS($AU$134:AU182,$AQ$134:AQ182,"M")</f>
        <v>0</v>
      </c>
      <c r="BN181" s="343">
        <f>SUMIFS($AU$134:AU182,$AQ$134:AQ182,"H")</f>
        <v>-33.200000000000927</v>
      </c>
      <c r="BO181" s="343">
        <f>SUMIFS($AU$134:AU182,$AQ$134:AQ182,"D")</f>
        <v>383.59999999999997</v>
      </c>
      <c r="BP181" s="343">
        <f>SUMIFS($AU$134:AU184,$AQ$134:AQ184,"W")</f>
        <v>351.79999999999995</v>
      </c>
      <c r="BQ181" s="343">
        <f>SUMIFS($AU$134:AU182,$Q$134:Q182,"O")</f>
        <v>-232.6000000000009</v>
      </c>
      <c r="BR181" s="343">
        <f>SUMIFS($AU$134:AU182,$AA$134:AA182,"*")</f>
        <v>949.29999999999916</v>
      </c>
      <c r="BS181" s="343">
        <f>SUMIFS($AU$134:AU182,$AB$134:AB182,"*")</f>
        <v>466.19999999999823</v>
      </c>
      <c r="BT181" s="343">
        <f>SUMIFS($AU$134:AU182,$AC$134:AC182,"*")</f>
        <v>549.59999999999991</v>
      </c>
      <c r="BU181" s="343">
        <f>SUMIFS($AU$134:AU182,$AA$134:AA182,"*",$AB$134:AB182,"*")</f>
        <v>466.19999999999823</v>
      </c>
      <c r="BV181" s="343">
        <f>SUMIFS($AU$134:AU182,$AA$134:AA182,"*",$AC$134:AC182,"*")</f>
        <v>549.59999999999991</v>
      </c>
      <c r="BW181" s="343">
        <f>SUMIFS($AU$134:AU182,$AB$134:AB182,"*",$AC$134:AC182,"*")</f>
        <v>515.1</v>
      </c>
      <c r="BX181" s="343">
        <f>SUMIFS($AU182:AU$1388,$Q182:Q$1388,"F")</f>
        <v>14440.666666666668</v>
      </c>
      <c r="BY181" s="343">
        <f>SUMIFS($AU182:AU$1388,$Q182:Q$1388,"S")</f>
        <v>19688.941999999999</v>
      </c>
      <c r="BZ181" s="343">
        <f>SUMIFS($AU182:AU$1388,$Q182:Q$1388,"O")</f>
        <v>-1416.2579999997977</v>
      </c>
    </row>
    <row r="182" spans="1:78" ht="18" customHeight="1">
      <c r="A182" s="177" t="s">
        <v>785</v>
      </c>
      <c r="B182" s="177"/>
      <c r="C182" s="178"/>
      <c r="D182" s="178"/>
      <c r="E182" s="227" t="s">
        <v>995</v>
      </c>
      <c r="F182" s="180" t="s">
        <v>996</v>
      </c>
      <c r="G182" s="198"/>
      <c r="H182" s="182"/>
      <c r="I182" s="182"/>
      <c r="J182" s="182">
        <v>1</v>
      </c>
      <c r="K182" s="183" t="s">
        <v>115</v>
      </c>
      <c r="L182" s="182"/>
      <c r="M182" s="182"/>
      <c r="N182" s="182"/>
      <c r="O182" s="183"/>
      <c r="P182" s="183"/>
      <c r="Q182" s="183"/>
      <c r="R182" s="183"/>
      <c r="S182" s="183"/>
      <c r="T182" s="183"/>
      <c r="U182" s="183"/>
      <c r="V182" s="183"/>
      <c r="W182" s="183"/>
      <c r="X182" s="183"/>
      <c r="Y182" s="184">
        <f t="shared" si="70"/>
        <v>0</v>
      </c>
      <c r="Z182" s="184">
        <f t="shared" si="71"/>
        <v>0</v>
      </c>
      <c r="AA182" s="185"/>
      <c r="AB182" s="185"/>
      <c r="AC182" s="185"/>
      <c r="AD182" s="649"/>
      <c r="AE182" s="182"/>
      <c r="AF182" s="332"/>
      <c r="AG182" s="182"/>
      <c r="AH182" s="182"/>
      <c r="AI182" s="182"/>
      <c r="AJ182" s="640"/>
      <c r="AK182" s="182"/>
      <c r="AL182" s="496"/>
      <c r="AM182" s="497"/>
      <c r="AN182" s="626"/>
      <c r="AO182" s="182"/>
      <c r="AP182" s="182"/>
      <c r="AQ182" s="332" t="str">
        <f>UPPER(RIGHT(Journal_Live[[#This Row],[DURATION ]]))</f>
        <v/>
      </c>
      <c r="AR182" s="182"/>
      <c r="AS182" s="189"/>
      <c r="AT182" s="182"/>
      <c r="AU182" s="187"/>
      <c r="AV182" s="190"/>
      <c r="AW182" s="191"/>
      <c r="AX182" s="407"/>
      <c r="AY182" s="407"/>
      <c r="AZ182" s="407"/>
      <c r="BA182" s="407"/>
      <c r="BB182" s="407"/>
      <c r="BC182" s="407"/>
      <c r="BD182" s="407"/>
      <c r="BE182" s="407"/>
      <c r="BF182" s="422"/>
      <c r="BG182" s="391">
        <f>SUM($AV$4:AV182)</f>
        <v>1750.7200000000259</v>
      </c>
      <c r="BH182" s="392">
        <f>SUM($AU$134:AU182)</f>
        <v>949.29999999999916</v>
      </c>
      <c r="BI182" s="318">
        <f>SUMIFS($AU$134:AU183,$Q$134:Q183,"F")</f>
        <v>0</v>
      </c>
      <c r="BJ182" s="318">
        <f>SUMIFS($AU$134:AU183,$Q$134:Q183,"S")</f>
        <v>1049.5</v>
      </c>
      <c r="BK182" s="343">
        <f>SUMIFS($AU$134:AU183,$P$134:P183,"W")</f>
        <v>914.29999999999154</v>
      </c>
      <c r="BL182" s="343">
        <f>SUMIFS($AU$134:AU183,$P$134:P183,"R")</f>
        <v>101.80000000000761</v>
      </c>
      <c r="BM182" s="343">
        <f>SUMIFS($AU$134:AU183,$AQ$134:AQ183,"M")</f>
        <v>0</v>
      </c>
      <c r="BN182" s="343">
        <f>SUMIFS($AU$134:AU183,$AQ$134:AQ183,"H")</f>
        <v>-33.200000000000927</v>
      </c>
      <c r="BO182" s="343">
        <f>SUMIFS($AU$134:AU183,$AQ$134:AQ183,"D")</f>
        <v>450.40000000000003</v>
      </c>
      <c r="BP182" s="343">
        <f>SUMIFS($AU$134:AU185,$AQ$134:AQ185,"W")</f>
        <v>351.79999999999995</v>
      </c>
      <c r="BQ182" s="343">
        <f>SUMIFS($AU$134:AU183,$Q$134:Q183,"O")</f>
        <v>-232.6000000000009</v>
      </c>
      <c r="BR182" s="343">
        <f>SUMIFS($AU$134:AU183,$AA$134:AA183,"*")</f>
        <v>1016.0999999999992</v>
      </c>
      <c r="BS182" s="343">
        <f>SUMIFS($AU$134:AU183,$AB$134:AB183,"*")</f>
        <v>466.19999999999823</v>
      </c>
      <c r="BT182" s="343">
        <f>SUMIFS($AU$134:AU183,$AC$134:AC183,"*")</f>
        <v>616.4</v>
      </c>
      <c r="BU182" s="343">
        <f>SUMIFS($AU$134:AU183,$AA$134:AA183,"*",$AB$134:AB183,"*")</f>
        <v>466.19999999999823</v>
      </c>
      <c r="BV182" s="343">
        <f>SUMIFS($AU$134:AU183,$AA$134:AA183,"*",$AC$134:AC183,"*")</f>
        <v>616.4</v>
      </c>
      <c r="BW182" s="343">
        <f>SUMIFS($AU$134:AU183,$AB$134:AB183,"*",$AC$134:AC183,"*")</f>
        <v>515.1</v>
      </c>
      <c r="BX182" s="343">
        <f>SUMIFS($AU183:AU$1388,$Q183:Q$1388,"F")</f>
        <v>14440.666666666668</v>
      </c>
      <c r="BY182" s="343">
        <f>SUMIFS($AU183:AU$1388,$Q183:Q$1388,"S")</f>
        <v>19688.941999999999</v>
      </c>
      <c r="BZ182" s="343">
        <f>SUMIFS($AU183:AU$1388,$Q183:Q$1388,"O")</f>
        <v>-1416.2579999997977</v>
      </c>
    </row>
    <row r="183" spans="1:78" ht="18" customHeight="1">
      <c r="A183" s="177" t="s">
        <v>785</v>
      </c>
      <c r="B183" s="177">
        <v>44944</v>
      </c>
      <c r="C183" s="194">
        <v>0.79166666666666663</v>
      </c>
      <c r="D183" s="178" t="s">
        <v>151</v>
      </c>
      <c r="E183" s="227"/>
      <c r="F183" s="180"/>
      <c r="G183" s="241" t="s">
        <v>271</v>
      </c>
      <c r="H183" s="182"/>
      <c r="I183" s="182"/>
      <c r="J183" s="182"/>
      <c r="K183" s="183"/>
      <c r="L183" s="182">
        <v>1</v>
      </c>
      <c r="M183" s="182"/>
      <c r="N183" s="182">
        <v>1</v>
      </c>
      <c r="O183" s="183" t="s">
        <v>95</v>
      </c>
      <c r="P183" s="183" t="s">
        <v>137</v>
      </c>
      <c r="Q183" s="183" t="s">
        <v>97</v>
      </c>
      <c r="R183" s="183">
        <v>5</v>
      </c>
      <c r="S183" s="183">
        <v>5</v>
      </c>
      <c r="T183" s="183">
        <v>3</v>
      </c>
      <c r="U183" s="183" t="s">
        <v>22</v>
      </c>
      <c r="V183" s="183"/>
      <c r="W183" s="183"/>
      <c r="X183" s="183"/>
      <c r="Y183" s="184">
        <f t="shared" si="70"/>
        <v>0.01</v>
      </c>
      <c r="Z183" s="184">
        <f t="shared" si="71"/>
        <v>1670</v>
      </c>
      <c r="AA183" s="185" t="s">
        <v>997</v>
      </c>
      <c r="AB183" s="185"/>
      <c r="AC183" s="185" t="s">
        <v>998</v>
      </c>
      <c r="AD183" s="649">
        <v>-0.14000000000000001</v>
      </c>
      <c r="AE183" s="182"/>
      <c r="AF183" s="332">
        <v>-0.15</v>
      </c>
      <c r="AG183" s="182"/>
      <c r="AH183" s="182"/>
      <c r="AI183" s="182"/>
      <c r="AJ183" s="640"/>
      <c r="AK183" s="182"/>
      <c r="AL183" s="496">
        <f t="shared" ref="AL183:AL187" si="74">-0.02*Z183</f>
        <v>-33.4</v>
      </c>
      <c r="AM183" s="496">
        <f t="shared" ref="AM183:AM188" si="75">AL183*R183</f>
        <v>-167</v>
      </c>
      <c r="AN183" s="626"/>
      <c r="AO183" s="182"/>
      <c r="AP183" s="182" t="s">
        <v>999</v>
      </c>
      <c r="AQ183" s="332" t="str">
        <f>UPPER(RIGHT(Journal_Live[[#This Row],[DURATION ]]))</f>
        <v>D</v>
      </c>
      <c r="AR183" s="182" t="s">
        <v>1000</v>
      </c>
      <c r="AS183" s="189">
        <v>-0.13200000000000001</v>
      </c>
      <c r="AT183" s="189">
        <f t="shared" ref="AT183:AT188" si="76">IF(ISBLANK(AS183),,IF(U183="S",AD183-AS183,AS183-AD183))</f>
        <v>8.0000000000000071E-3</v>
      </c>
      <c r="AU183" s="187">
        <f t="shared" ref="AU183:AU188" si="77">AV183*R183</f>
        <v>66.800000000000054</v>
      </c>
      <c r="AV183" s="190">
        <f t="shared" ref="AV183:AV188" si="78">IF(ISBLANK(AS183),,(AT183*Z183))</f>
        <v>13.360000000000012</v>
      </c>
      <c r="AW183" s="191" t="s">
        <v>96</v>
      </c>
      <c r="AX183" s="407" t="s">
        <v>1001</v>
      </c>
      <c r="AY183" s="407"/>
      <c r="AZ183" s="407"/>
      <c r="BA183" s="407"/>
      <c r="BB183" s="407"/>
      <c r="BC183" s="407"/>
      <c r="BD183" s="407"/>
      <c r="BE183" s="407"/>
      <c r="BF183" s="422"/>
      <c r="BG183" s="391">
        <f>SUM($AV$4:AV183)</f>
        <v>1764.0800000000258</v>
      </c>
      <c r="BH183" s="392">
        <f>SUM($AU$134:AU183)</f>
        <v>1016.0999999999992</v>
      </c>
      <c r="BI183" s="318">
        <f>SUMIFS($AU$134:AU184,$Q$134:Q184,"F")</f>
        <v>0</v>
      </c>
      <c r="BJ183" s="318">
        <f>SUMIFS($AU$134:AU184,$Q$134:Q184,"S")</f>
        <v>1099.6000000000001</v>
      </c>
      <c r="BK183" s="343">
        <f>SUMIFS($AU$134:AU184,$P$134:P184,"W")</f>
        <v>914.29999999999154</v>
      </c>
      <c r="BL183" s="343">
        <f>SUMIFS($AU$134:AU184,$P$134:P184,"R")</f>
        <v>151.90000000000765</v>
      </c>
      <c r="BM183" s="343">
        <f>SUMIFS($AU$134:AU184,$AQ$134:AQ184,"M")</f>
        <v>0</v>
      </c>
      <c r="BN183" s="343">
        <f>SUMIFS($AU$134:AU184,$AQ$134:AQ184,"H")</f>
        <v>16.899999999999118</v>
      </c>
      <c r="BO183" s="343">
        <f>SUMIFS($AU$134:AU184,$AQ$134:AQ184,"D")</f>
        <v>450.40000000000003</v>
      </c>
      <c r="BP183" s="343">
        <f>SUMIFS($AU$134:AU186,$AQ$134:AQ186,"W")</f>
        <v>351.79999999999995</v>
      </c>
      <c r="BQ183" s="343">
        <f>SUMIFS($AU$134:AU184,$Q$134:Q184,"O")</f>
        <v>-232.6000000000009</v>
      </c>
      <c r="BR183" s="343">
        <f>SUMIFS($AU$134:AU184,$AA$134:AA184,"*")</f>
        <v>1066.1999999999994</v>
      </c>
      <c r="BS183" s="343">
        <f>SUMIFS($AU$134:AU184,$AB$134:AB184,"*")</f>
        <v>466.19999999999823</v>
      </c>
      <c r="BT183" s="343">
        <f>SUMIFS($AU$134:AU184,$AC$134:AC184,"*")</f>
        <v>666.5</v>
      </c>
      <c r="BU183" s="343">
        <f>SUMIFS($AU$134:AU184,$AA$134:AA184,"*",$AB$134:AB184,"*")</f>
        <v>466.19999999999823</v>
      </c>
      <c r="BV183" s="343">
        <f>SUMIFS($AU$134:AU184,$AA$134:AA184,"*",$AC$134:AC184,"*")</f>
        <v>666.5</v>
      </c>
      <c r="BW183" s="343">
        <f>SUMIFS($AU$134:AU184,$AB$134:AB184,"*",$AC$134:AC184,"*")</f>
        <v>515.1</v>
      </c>
      <c r="BX183" s="343">
        <f>SUMIFS($AU184:AU$1388,$Q184:Q$1388,"F")</f>
        <v>14440.666666666668</v>
      </c>
      <c r="BY183" s="343">
        <f>SUMIFS($AU184:AU$1388,$Q184:Q$1388,"S")</f>
        <v>19622.142</v>
      </c>
      <c r="BZ183" s="343">
        <f>SUMIFS($AU184:AU$1388,$Q184:Q$1388,"O")</f>
        <v>-1416.2579999997977</v>
      </c>
    </row>
    <row r="184" spans="1:78" ht="18" customHeight="1">
      <c r="A184" s="177" t="s">
        <v>785</v>
      </c>
      <c r="B184" s="177">
        <v>44944</v>
      </c>
      <c r="C184" s="178" t="s">
        <v>1002</v>
      </c>
      <c r="D184" s="178" t="s">
        <v>151</v>
      </c>
      <c r="E184" s="227"/>
      <c r="F184" s="180"/>
      <c r="G184" s="241" t="s">
        <v>553</v>
      </c>
      <c r="H184" s="182"/>
      <c r="I184" s="182"/>
      <c r="J184" s="182"/>
      <c r="K184" s="183"/>
      <c r="L184" s="182">
        <v>1</v>
      </c>
      <c r="M184" s="182"/>
      <c r="N184" s="182"/>
      <c r="O184" s="183" t="s">
        <v>95</v>
      </c>
      <c r="P184" s="183" t="s">
        <v>137</v>
      </c>
      <c r="Q184" s="183" t="s">
        <v>97</v>
      </c>
      <c r="R184" s="183">
        <v>4</v>
      </c>
      <c r="S184" s="183">
        <v>4</v>
      </c>
      <c r="T184" s="183">
        <v>4</v>
      </c>
      <c r="U184" s="183" t="s">
        <v>22</v>
      </c>
      <c r="V184" s="183"/>
      <c r="W184" s="183"/>
      <c r="X184" s="183"/>
      <c r="Y184" s="184">
        <f t="shared" si="70"/>
        <v>0.01</v>
      </c>
      <c r="Z184" s="184">
        <f t="shared" si="71"/>
        <v>1670</v>
      </c>
      <c r="AA184" s="185" t="s">
        <v>1003</v>
      </c>
      <c r="AB184" s="185"/>
      <c r="AC184" s="185" t="s">
        <v>1004</v>
      </c>
      <c r="AD184" s="649">
        <v>-0.08</v>
      </c>
      <c r="AE184" s="182"/>
      <c r="AF184" s="332">
        <v>-0.1</v>
      </c>
      <c r="AG184" s="182"/>
      <c r="AH184" s="182"/>
      <c r="AI184" s="182"/>
      <c r="AJ184" s="640"/>
      <c r="AK184" s="182"/>
      <c r="AL184" s="496">
        <f t="shared" si="74"/>
        <v>-33.4</v>
      </c>
      <c r="AM184" s="496">
        <f t="shared" si="75"/>
        <v>-133.6</v>
      </c>
      <c r="AN184" s="626"/>
      <c r="AO184" s="182"/>
      <c r="AP184" s="182" t="s">
        <v>1005</v>
      </c>
      <c r="AQ184" s="332" t="str">
        <f>UPPER(RIGHT(Journal_Live[[#This Row],[DURATION ]]))</f>
        <v>H</v>
      </c>
      <c r="AR184" s="182" t="s">
        <v>1006</v>
      </c>
      <c r="AS184" s="189">
        <v>-7.2499999999999995E-2</v>
      </c>
      <c r="AT184" s="189">
        <f t="shared" si="76"/>
        <v>7.5000000000000067E-3</v>
      </c>
      <c r="AU184" s="187">
        <f t="shared" si="77"/>
        <v>50.100000000000044</v>
      </c>
      <c r="AV184" s="190">
        <f t="shared" si="78"/>
        <v>12.525000000000011</v>
      </c>
      <c r="AW184" s="191" t="s">
        <v>96</v>
      </c>
      <c r="AX184" s="407" t="s">
        <v>1007</v>
      </c>
      <c r="AY184" s="407"/>
      <c r="AZ184" s="407"/>
      <c r="BA184" s="407"/>
      <c r="BB184" s="407"/>
      <c r="BC184" s="407"/>
      <c r="BD184" s="407"/>
      <c r="BE184" s="407"/>
      <c r="BF184" s="422"/>
      <c r="BG184" s="391">
        <f>SUM($AV$4:AV184)</f>
        <v>1776.6050000000259</v>
      </c>
      <c r="BH184" s="392">
        <f>SUM($AU$134:AU184)</f>
        <v>1066.1999999999994</v>
      </c>
      <c r="BI184" s="318">
        <f>SUMIFS($AU$134:AU185,$Q$134:Q185,"F")</f>
        <v>0</v>
      </c>
      <c r="BJ184" s="318">
        <f>SUMIFS($AU$134:AU185,$Q$134:Q185,"S")</f>
        <v>1099.6000000000001</v>
      </c>
      <c r="BK184" s="343">
        <f>SUMIFS($AU$134:AU185,$P$134:P185,"W")</f>
        <v>914.29999999999154</v>
      </c>
      <c r="BL184" s="343">
        <f>SUMIFS($AU$134:AU185,$P$134:P185,"R")</f>
        <v>84.700000000021021</v>
      </c>
      <c r="BM184" s="343">
        <f>SUMIFS($AU$134:AU185,$AQ$134:AQ185,"M")</f>
        <v>0</v>
      </c>
      <c r="BN184" s="343">
        <f>SUMIFS($AU$134:AU185,$AQ$134:AQ185,"H")</f>
        <v>16.899999999999118</v>
      </c>
      <c r="BO184" s="343">
        <f>SUMIFS($AU$134:AU185,$AQ$134:AQ185,"D")</f>
        <v>450.40000000000003</v>
      </c>
      <c r="BP184" s="343">
        <f>SUMIFS($AU$134:AU187,$AQ$134:AQ187,"W")</f>
        <v>351.79999999999995</v>
      </c>
      <c r="BQ184" s="343">
        <f>SUMIFS($AU$134:AU185,$Q$134:Q185,"O")</f>
        <v>-299.79999999998756</v>
      </c>
      <c r="BR184" s="343">
        <f>SUMIFS($AU$134:AU185,$AA$134:AA185,"*")</f>
        <v>999.00000000001273</v>
      </c>
      <c r="BS184" s="343">
        <f>SUMIFS($AU$134:AU185,$AB$134:AB185,"*")</f>
        <v>466.19999999999823</v>
      </c>
      <c r="BT184" s="343">
        <f>SUMIFS($AU$134:AU185,$AC$134:AC185,"*")</f>
        <v>666.5</v>
      </c>
      <c r="BU184" s="343">
        <f>SUMIFS($AU$134:AU185,$AA$134:AA185,"*",$AB$134:AB185,"*")</f>
        <v>466.19999999999823</v>
      </c>
      <c r="BV184" s="343">
        <f>SUMIFS($AU$134:AU185,$AA$134:AA185,"*",$AC$134:AC185,"*")</f>
        <v>666.5</v>
      </c>
      <c r="BW184" s="343">
        <f>SUMIFS($AU$134:AU185,$AB$134:AB185,"*",$AC$134:AC185,"*")</f>
        <v>515.1</v>
      </c>
      <c r="BX184" s="343">
        <f>SUMIFS($AU185:AU$1388,$Q185:Q$1388,"F")</f>
        <v>14440.666666666668</v>
      </c>
      <c r="BY184" s="343">
        <f>SUMIFS($AU185:AU$1388,$Q185:Q$1388,"S")</f>
        <v>19572.041999999998</v>
      </c>
      <c r="BZ184" s="343">
        <f>SUMIFS($AU185:AU$1388,$Q185:Q$1388,"O")</f>
        <v>-1416.2579999997977</v>
      </c>
    </row>
    <row r="185" spans="1:78" ht="18" customHeight="1">
      <c r="A185" s="177" t="s">
        <v>785</v>
      </c>
      <c r="B185" s="177">
        <v>44944</v>
      </c>
      <c r="C185" s="178" t="s">
        <v>1008</v>
      </c>
      <c r="D185" s="178" t="s">
        <v>151</v>
      </c>
      <c r="E185" s="227"/>
      <c r="F185" s="180"/>
      <c r="G185" s="181" t="s">
        <v>945</v>
      </c>
      <c r="H185" s="182"/>
      <c r="I185" s="182"/>
      <c r="J185" s="182"/>
      <c r="K185" s="183"/>
      <c r="L185" s="182">
        <v>1</v>
      </c>
      <c r="M185" s="182"/>
      <c r="N185" s="182"/>
      <c r="O185" s="183" t="s">
        <v>95</v>
      </c>
      <c r="P185" s="183" t="s">
        <v>137</v>
      </c>
      <c r="Q185" s="183" t="s">
        <v>684</v>
      </c>
      <c r="R185" s="183">
        <v>1</v>
      </c>
      <c r="S185" s="183">
        <v>1</v>
      </c>
      <c r="T185" s="183">
        <v>1</v>
      </c>
      <c r="U185" s="183" t="s">
        <v>97</v>
      </c>
      <c r="V185" s="183"/>
      <c r="W185" s="183"/>
      <c r="X185" s="183"/>
      <c r="Y185" s="184">
        <f t="shared" si="70"/>
        <v>0.01</v>
      </c>
      <c r="Z185" s="184">
        <f>IF(ISBLANK(O185),,IF(O185=UPPER("IB"),8.63*200,16.8*100))</f>
        <v>1680</v>
      </c>
      <c r="AA185" s="185" t="s">
        <v>1009</v>
      </c>
      <c r="AB185" s="185"/>
      <c r="AC185" s="185"/>
      <c r="AD185" s="649">
        <v>96.53</v>
      </c>
      <c r="AE185" s="182"/>
      <c r="AF185" s="332"/>
      <c r="AG185" s="182"/>
      <c r="AH185" s="182"/>
      <c r="AI185" s="182"/>
      <c r="AJ185" s="640"/>
      <c r="AK185" s="182"/>
      <c r="AL185" s="496">
        <f t="shared" si="74"/>
        <v>-33.6</v>
      </c>
      <c r="AM185" s="496">
        <f t="shared" si="75"/>
        <v>-33.6</v>
      </c>
      <c r="AN185" s="626"/>
      <c r="AO185" s="182"/>
      <c r="AP185" s="182" t="s">
        <v>394</v>
      </c>
      <c r="AQ185" s="332" t="str">
        <f>UPPER(RIGHT(Journal_Live[[#This Row],[DURATION ]]))</f>
        <v>S</v>
      </c>
      <c r="AR185" s="182" t="s">
        <v>1010</v>
      </c>
      <c r="AS185" s="189">
        <v>96.57</v>
      </c>
      <c r="AT185" s="189">
        <f t="shared" si="76"/>
        <v>-3.9999999999992042E-2</v>
      </c>
      <c r="AU185" s="187">
        <f t="shared" si="77"/>
        <v>-67.19999999998663</v>
      </c>
      <c r="AV185" s="190">
        <f t="shared" si="78"/>
        <v>-67.19999999998663</v>
      </c>
      <c r="AW185" s="191" t="s">
        <v>229</v>
      </c>
      <c r="AX185" s="407" t="s">
        <v>1011</v>
      </c>
      <c r="AY185" s="407" t="s">
        <v>1012</v>
      </c>
      <c r="AZ185" s="407"/>
      <c r="BA185" s="407"/>
      <c r="BB185" s="407"/>
      <c r="BC185" s="407"/>
      <c r="BD185" s="407"/>
      <c r="BE185" s="407"/>
      <c r="BF185" s="422"/>
      <c r="BG185" s="391">
        <f>SUM($AV$4:AV185)</f>
        <v>1709.4050000000393</v>
      </c>
      <c r="BH185" s="392">
        <f>SUM($AU$134:AU185)</f>
        <v>999.00000000001273</v>
      </c>
      <c r="BI185" s="318">
        <f>SUMIFS($AU$134:AU186,$Q$134:Q186,"F")</f>
        <v>0</v>
      </c>
      <c r="BJ185" s="318">
        <f>SUMIFS($AU$134:AU186,$Q$134:Q186,"S")</f>
        <v>1099.6000000000001</v>
      </c>
      <c r="BK185" s="343">
        <f>SUMIFS($AU$134:AU186,$P$134:P186,"W")</f>
        <v>914.29999999999154</v>
      </c>
      <c r="BL185" s="343">
        <f>SUMIFS($AU$134:AU186,$P$134:P186,"R")</f>
        <v>67.900000000012426</v>
      </c>
      <c r="BM185" s="343">
        <f>SUMIFS($AU$134:AU186,$AQ$134:AQ186,"M")</f>
        <v>0</v>
      </c>
      <c r="BN185" s="343">
        <f>SUMIFS($AU$134:AU186,$AQ$134:AQ186,"H")</f>
        <v>16.899999999999118</v>
      </c>
      <c r="BO185" s="343">
        <f>SUMIFS($AU$134:AU186,$AQ$134:AQ186,"D")</f>
        <v>450.40000000000003</v>
      </c>
      <c r="BP185" s="343">
        <f>SUMIFS($AU$134:AU188,$AQ$134:AQ188,"W")</f>
        <v>351.79999999999995</v>
      </c>
      <c r="BQ185" s="343">
        <f>SUMIFS($AU$134:AU186,$Q$134:Q186,"O")</f>
        <v>-316.59999999999616</v>
      </c>
      <c r="BR185" s="343">
        <f>SUMIFS($AU$134:AU186,$AA$134:AA186,"*")</f>
        <v>982.20000000000414</v>
      </c>
      <c r="BS185" s="343">
        <f>SUMIFS($AU$134:AU186,$AB$134:AB186,"*")</f>
        <v>466.19999999999823</v>
      </c>
      <c r="BT185" s="343">
        <f>SUMIFS($AU$134:AU186,$AC$134:AC186,"*")</f>
        <v>666.5</v>
      </c>
      <c r="BU185" s="343">
        <f>SUMIFS($AU$134:AU186,$AA$134:AA186,"*",$AB$134:AB186,"*")</f>
        <v>466.19999999999823</v>
      </c>
      <c r="BV185" s="343">
        <f>SUMIFS($AU$134:AU186,$AA$134:AA186,"*",$AC$134:AC186,"*")</f>
        <v>666.5</v>
      </c>
      <c r="BW185" s="343">
        <f>SUMIFS($AU$134:AU186,$AB$134:AB186,"*",$AC$134:AC186,"*")</f>
        <v>515.1</v>
      </c>
      <c r="BX185" s="343">
        <f>SUMIFS($AU186:AU$1388,$Q186:Q$1388,"F")</f>
        <v>14440.666666666668</v>
      </c>
      <c r="BY185" s="343">
        <f>SUMIFS($AU186:AU$1388,$Q186:Q$1388,"S")</f>
        <v>19572.041999999998</v>
      </c>
      <c r="BZ185" s="343">
        <f>SUMIFS($AU186:AU$1388,$Q186:Q$1388,"O")</f>
        <v>-1349.0579999998108</v>
      </c>
    </row>
    <row r="186" spans="1:78" ht="18" customHeight="1">
      <c r="A186" s="177" t="s">
        <v>785</v>
      </c>
      <c r="B186" s="177">
        <v>44944</v>
      </c>
      <c r="C186" s="178" t="s">
        <v>1008</v>
      </c>
      <c r="D186" s="178" t="s">
        <v>151</v>
      </c>
      <c r="E186" s="227"/>
      <c r="F186" s="180"/>
      <c r="G186" s="181" t="s">
        <v>831</v>
      </c>
      <c r="H186" s="182"/>
      <c r="I186" s="182"/>
      <c r="J186" s="182"/>
      <c r="K186" s="183"/>
      <c r="L186" s="182">
        <v>1</v>
      </c>
      <c r="M186" s="182"/>
      <c r="N186" s="182"/>
      <c r="O186" s="183" t="s">
        <v>95</v>
      </c>
      <c r="P186" s="183" t="s">
        <v>137</v>
      </c>
      <c r="Q186" s="183" t="s">
        <v>684</v>
      </c>
      <c r="R186" s="183">
        <v>1</v>
      </c>
      <c r="S186" s="183">
        <v>1</v>
      </c>
      <c r="T186" s="183">
        <v>1</v>
      </c>
      <c r="U186" s="183" t="s">
        <v>97</v>
      </c>
      <c r="V186" s="183"/>
      <c r="W186" s="183"/>
      <c r="X186" s="183"/>
      <c r="Y186" s="184">
        <f t="shared" si="70"/>
        <v>0.01</v>
      </c>
      <c r="Z186" s="184">
        <f>IF(ISBLANK(O186),,IF(O186=UPPER("IB"),8.63*200,16.8*100))</f>
        <v>1680</v>
      </c>
      <c r="AA186" s="185" t="s">
        <v>1009</v>
      </c>
      <c r="AB186" s="185"/>
      <c r="AC186" s="185"/>
      <c r="AD186" s="649">
        <v>96.28</v>
      </c>
      <c r="AE186" s="182"/>
      <c r="AF186" s="332"/>
      <c r="AG186" s="182"/>
      <c r="AH186" s="182"/>
      <c r="AI186" s="182"/>
      <c r="AJ186" s="640"/>
      <c r="AK186" s="182"/>
      <c r="AL186" s="496">
        <f t="shared" si="74"/>
        <v>-33.6</v>
      </c>
      <c r="AM186" s="496">
        <f t="shared" si="75"/>
        <v>-33.6</v>
      </c>
      <c r="AN186" s="626"/>
      <c r="AO186" s="182"/>
      <c r="AP186" s="182" t="s">
        <v>1013</v>
      </c>
      <c r="AQ186" s="332" t="str">
        <f>UPPER(RIGHT(Journal_Live[[#This Row],[DURATION ]]))</f>
        <v>S</v>
      </c>
      <c r="AR186" s="182" t="s">
        <v>1014</v>
      </c>
      <c r="AS186" s="189">
        <v>96.29</v>
      </c>
      <c r="AT186" s="189">
        <f t="shared" si="76"/>
        <v>-1.0000000000005116E-2</v>
      </c>
      <c r="AU186" s="187">
        <f t="shared" si="77"/>
        <v>-16.800000000008595</v>
      </c>
      <c r="AV186" s="190">
        <f t="shared" si="78"/>
        <v>-16.800000000008595</v>
      </c>
      <c r="AW186" s="191" t="s">
        <v>229</v>
      </c>
      <c r="AX186" s="407"/>
      <c r="AY186" s="407"/>
      <c r="AZ186" s="407"/>
      <c r="BA186" s="407"/>
      <c r="BB186" s="407"/>
      <c r="BC186" s="407"/>
      <c r="BD186" s="407"/>
      <c r="BE186" s="407"/>
      <c r="BF186" s="422"/>
      <c r="BG186" s="391">
        <f>SUM($AV$4:AV186)</f>
        <v>1692.6050000000307</v>
      </c>
      <c r="BH186" s="392">
        <f>SUM($AU$134:AU186)</f>
        <v>982.20000000000414</v>
      </c>
      <c r="BI186" s="318">
        <f>SUMIFS($AU$134:AU187,$Q$134:Q187,"F")</f>
        <v>0</v>
      </c>
      <c r="BJ186" s="318">
        <f>SUMIFS($AU$134:AU187,$Q$134:Q187,"S")</f>
        <v>1183.1000000000001</v>
      </c>
      <c r="BK186" s="343">
        <f>SUMIFS($AU$134:AU187,$P$134:P187,"W")</f>
        <v>997.79999999999154</v>
      </c>
      <c r="BL186" s="343">
        <f>SUMIFS($AU$134:AU187,$P$134:P187,"R")</f>
        <v>67.900000000012426</v>
      </c>
      <c r="BM186" s="343">
        <f>SUMIFS($AU$134:AU187,$AQ$134:AQ187,"M")</f>
        <v>0</v>
      </c>
      <c r="BN186" s="343">
        <f>SUMIFS($AU$134:AU187,$AQ$134:AQ187,"H")</f>
        <v>100.39999999999907</v>
      </c>
      <c r="BO186" s="343">
        <f>SUMIFS($AU$134:AU187,$AQ$134:AQ187,"D")</f>
        <v>450.40000000000003</v>
      </c>
      <c r="BP186" s="343">
        <f>SUMIFS($AU$134:AU189,$AQ$134:AQ189,"W")</f>
        <v>351.79999999999995</v>
      </c>
      <c r="BQ186" s="343">
        <f>SUMIFS($AU$134:AU187,$Q$134:Q187,"O")</f>
        <v>-316.59999999999616</v>
      </c>
      <c r="BR186" s="343">
        <f>SUMIFS($AU$134:AU187,$AA$134:AA187,"*")</f>
        <v>1065.7000000000041</v>
      </c>
      <c r="BS186" s="343">
        <f>SUMIFS($AU$134:AU187,$AB$134:AB187,"*")</f>
        <v>466.19999999999823</v>
      </c>
      <c r="BT186" s="343">
        <f>SUMIFS($AU$134:AU187,$AC$134:AC187,"*")</f>
        <v>666.5</v>
      </c>
      <c r="BU186" s="343">
        <f>SUMIFS($AU$134:AU187,$AA$134:AA187,"*",$AB$134:AB187,"*")</f>
        <v>466.19999999999823</v>
      </c>
      <c r="BV186" s="343">
        <f>SUMIFS($AU$134:AU187,$AA$134:AA187,"*",$AC$134:AC187,"*")</f>
        <v>666.5</v>
      </c>
      <c r="BW186" s="343">
        <f>SUMIFS($AU$134:AU187,$AB$134:AB187,"*",$AC$134:AC187,"*")</f>
        <v>515.1</v>
      </c>
      <c r="BX186" s="343">
        <f>SUMIFS($AU187:AU$1388,$Q187:Q$1388,"F")</f>
        <v>14440.666666666668</v>
      </c>
      <c r="BY186" s="343">
        <f>SUMIFS($AU187:AU$1388,$Q187:Q$1388,"S")</f>
        <v>19572.041999999998</v>
      </c>
      <c r="BZ186" s="343">
        <f>SUMIFS($AU187:AU$1388,$Q187:Q$1388,"O")</f>
        <v>-1332.2579999998022</v>
      </c>
    </row>
    <row r="187" spans="1:78" ht="18" customHeight="1">
      <c r="A187" s="177" t="s">
        <v>785</v>
      </c>
      <c r="B187" s="177">
        <v>44944</v>
      </c>
      <c r="C187" s="178" t="s">
        <v>1015</v>
      </c>
      <c r="D187" s="178" t="s">
        <v>151</v>
      </c>
      <c r="E187" s="227"/>
      <c r="F187" s="180"/>
      <c r="G187" s="241" t="s">
        <v>365</v>
      </c>
      <c r="H187" s="182"/>
      <c r="I187" s="182"/>
      <c r="J187" s="182"/>
      <c r="K187" s="183"/>
      <c r="L187" s="182">
        <v>1</v>
      </c>
      <c r="M187" s="182"/>
      <c r="N187" s="182">
        <v>1</v>
      </c>
      <c r="O187" s="183" t="s">
        <v>95</v>
      </c>
      <c r="P187" s="183" t="s">
        <v>96</v>
      </c>
      <c r="Q187" s="183" t="s">
        <v>97</v>
      </c>
      <c r="R187" s="183">
        <v>5</v>
      </c>
      <c r="S187" s="183">
        <v>5</v>
      </c>
      <c r="T187" s="183">
        <v>5</v>
      </c>
      <c r="U187" s="183" t="s">
        <v>22</v>
      </c>
      <c r="V187" s="183"/>
      <c r="W187" s="183"/>
      <c r="X187" s="183"/>
      <c r="Y187" s="184">
        <f t="shared" si="70"/>
        <v>0.01</v>
      </c>
      <c r="Z187" s="184">
        <f t="shared" ref="Z187:Z210" si="79">IF(ISBLANK(O187),,IF(O187=UPPER("IB"),8.63*200,16.7*100))</f>
        <v>1670</v>
      </c>
      <c r="AA187" s="185" t="s">
        <v>1016</v>
      </c>
      <c r="AB187" s="185"/>
      <c r="AC187" s="185"/>
      <c r="AD187" s="649">
        <v>-0.12</v>
      </c>
      <c r="AE187" s="182"/>
      <c r="AF187" s="332">
        <v>-0.14000000000000001</v>
      </c>
      <c r="AG187" s="182"/>
      <c r="AH187" s="182"/>
      <c r="AI187" s="182"/>
      <c r="AJ187" s="640"/>
      <c r="AK187" s="182"/>
      <c r="AL187" s="496">
        <f t="shared" si="74"/>
        <v>-33.4</v>
      </c>
      <c r="AM187" s="496">
        <f t="shared" si="75"/>
        <v>-167</v>
      </c>
      <c r="AN187" s="626"/>
      <c r="AO187" s="182"/>
      <c r="AP187" s="182" t="s">
        <v>1017</v>
      </c>
      <c r="AQ187" s="332" t="str">
        <f>UPPER(RIGHT(Journal_Live[[#This Row],[DURATION ]]))</f>
        <v>H</v>
      </c>
      <c r="AR187" s="182" t="s">
        <v>1018</v>
      </c>
      <c r="AS187" s="189">
        <v>-0.11</v>
      </c>
      <c r="AT187" s="189">
        <f t="shared" si="76"/>
        <v>9.999999999999995E-3</v>
      </c>
      <c r="AU187" s="187">
        <f t="shared" si="77"/>
        <v>83.499999999999957</v>
      </c>
      <c r="AV187" s="190">
        <f t="shared" si="78"/>
        <v>16.699999999999992</v>
      </c>
      <c r="AW187" s="191" t="s">
        <v>96</v>
      </c>
      <c r="AX187" s="409" t="s">
        <v>1019</v>
      </c>
      <c r="AY187" s="407" t="s">
        <v>1020</v>
      </c>
      <c r="AZ187" s="407" t="s">
        <v>1021</v>
      </c>
      <c r="BA187" s="407"/>
      <c r="BB187" s="407"/>
      <c r="BC187" s="407"/>
      <c r="BD187" s="407"/>
      <c r="BE187" s="407"/>
      <c r="BF187" s="422"/>
      <c r="BG187" s="391">
        <f>SUM($AV$4:AV187)</f>
        <v>1709.3050000000308</v>
      </c>
      <c r="BH187" s="392">
        <f>SUM($AU$134:AU187)</f>
        <v>1065.7000000000041</v>
      </c>
      <c r="BI187" s="318">
        <f>SUMIFS($AU$134:AU188,$Q$134:Q188,"F")</f>
        <v>0</v>
      </c>
      <c r="BJ187" s="318">
        <f>SUMIFS($AU$134:AU188,$Q$134:Q188,"S")</f>
        <v>1183.1000000000001</v>
      </c>
      <c r="BK187" s="343">
        <f>SUMIFS($AU$134:AU188,$P$134:P188,"W")</f>
        <v>997.79999999999154</v>
      </c>
      <c r="BL187" s="343">
        <f>SUMIFS($AU$134:AU188,$P$134:P188,"R")</f>
        <v>-32.299999999991371</v>
      </c>
      <c r="BM187" s="343">
        <f>SUMIFS($AU$134:AU188,$AQ$134:AQ188,"M")</f>
        <v>0</v>
      </c>
      <c r="BN187" s="343">
        <f>SUMIFS($AU$134:AU188,$AQ$134:AQ188,"H")</f>
        <v>0.19999999999527063</v>
      </c>
      <c r="BO187" s="343">
        <f>SUMIFS($AU$134:AU188,$AQ$134:AQ188,"D")</f>
        <v>450.40000000000003</v>
      </c>
      <c r="BP187" s="343">
        <f>SUMIFS($AU$134:AU190,$AQ$134:AQ190,"W")</f>
        <v>351.79999999999995</v>
      </c>
      <c r="BQ187" s="343">
        <f>SUMIFS($AU$134:AU188,$Q$134:Q188,"O")</f>
        <v>-416.79999999999995</v>
      </c>
      <c r="BR187" s="343">
        <f>SUMIFS($AU$134:AU188,$AA$134:AA188,"*")</f>
        <v>965.50000000000034</v>
      </c>
      <c r="BS187" s="343">
        <f>SUMIFS($AU$134:AU188,$AB$134:AB188,"*")</f>
        <v>466.19999999999823</v>
      </c>
      <c r="BT187" s="343">
        <f>SUMIFS($AU$134:AU188,$AC$134:AC188,"*")</f>
        <v>666.5</v>
      </c>
      <c r="BU187" s="343">
        <f>SUMIFS($AU$134:AU188,$AA$134:AA188,"*",$AB$134:AB188,"*")</f>
        <v>466.19999999999823</v>
      </c>
      <c r="BV187" s="343">
        <f>SUMIFS($AU$134:AU188,$AA$134:AA188,"*",$AC$134:AC188,"*")</f>
        <v>666.5</v>
      </c>
      <c r="BW187" s="343">
        <f>SUMIFS($AU$134:AU188,$AB$134:AB188,"*",$AC$134:AC188,"*")</f>
        <v>515.1</v>
      </c>
      <c r="BX187" s="343">
        <f>SUMIFS($AU188:AU$1388,$Q188:Q$1388,"F")</f>
        <v>14440.666666666668</v>
      </c>
      <c r="BY187" s="343">
        <f>SUMIFS($AU188:AU$1388,$Q188:Q$1388,"S")</f>
        <v>19488.542000000001</v>
      </c>
      <c r="BZ187" s="343">
        <f>SUMIFS($AU188:AU$1388,$Q188:Q$1388,"O")</f>
        <v>-1332.2579999998022</v>
      </c>
    </row>
    <row r="188" spans="1:78" ht="18" customHeight="1">
      <c r="A188" s="177" t="s">
        <v>785</v>
      </c>
      <c r="B188" s="177">
        <v>44944</v>
      </c>
      <c r="C188" s="178" t="s">
        <v>1022</v>
      </c>
      <c r="D188" s="178" t="s">
        <v>151</v>
      </c>
      <c r="E188" s="227"/>
      <c r="F188" s="180"/>
      <c r="G188" s="181" t="s">
        <v>831</v>
      </c>
      <c r="H188" s="182"/>
      <c r="I188" s="182"/>
      <c r="J188" s="182"/>
      <c r="K188" s="183"/>
      <c r="L188" s="182">
        <v>1</v>
      </c>
      <c r="M188" s="182"/>
      <c r="N188" s="182"/>
      <c r="O188" s="183" t="s">
        <v>95</v>
      </c>
      <c r="P188" s="183" t="s">
        <v>137</v>
      </c>
      <c r="Q188" s="183" t="s">
        <v>684</v>
      </c>
      <c r="R188" s="183">
        <v>2</v>
      </c>
      <c r="S188" s="183">
        <v>2</v>
      </c>
      <c r="T188" s="183">
        <v>1</v>
      </c>
      <c r="U188" s="183" t="s">
        <v>97</v>
      </c>
      <c r="V188" s="183"/>
      <c r="W188" s="183"/>
      <c r="X188" s="183"/>
      <c r="Y188" s="184">
        <f t="shared" si="70"/>
        <v>0.01</v>
      </c>
      <c r="Z188" s="184">
        <f t="shared" si="79"/>
        <v>1670</v>
      </c>
      <c r="AA188" s="185" t="s">
        <v>1023</v>
      </c>
      <c r="AB188" s="185"/>
      <c r="AC188" s="185"/>
      <c r="AD188" s="649">
        <v>96.28</v>
      </c>
      <c r="AE188" s="182"/>
      <c r="AF188" s="332">
        <v>96.31</v>
      </c>
      <c r="AG188" s="182" t="s">
        <v>1024</v>
      </c>
      <c r="AH188" s="182">
        <v>96.26</v>
      </c>
      <c r="AI188" s="182" t="s">
        <v>1025</v>
      </c>
      <c r="AJ188" s="640"/>
      <c r="AK188" s="182"/>
      <c r="AL188" s="496">
        <f>-0.03*Z188</f>
        <v>-50.1</v>
      </c>
      <c r="AM188" s="496">
        <f t="shared" si="75"/>
        <v>-100.2</v>
      </c>
      <c r="AN188" s="626"/>
      <c r="AO188" s="182"/>
      <c r="AP188" s="182" t="s">
        <v>1026</v>
      </c>
      <c r="AQ188" s="332" t="str">
        <f>UPPER(RIGHT(Journal_Live[[#This Row],[DURATION ]]))</f>
        <v>H</v>
      </c>
      <c r="AR188" s="182" t="s">
        <v>1027</v>
      </c>
      <c r="AS188" s="189">
        <v>96.31</v>
      </c>
      <c r="AT188" s="189">
        <f t="shared" si="76"/>
        <v>-3.0000000000001137E-2</v>
      </c>
      <c r="AU188" s="187">
        <f t="shared" si="77"/>
        <v>-100.2000000000038</v>
      </c>
      <c r="AV188" s="190">
        <f t="shared" si="78"/>
        <v>-50.100000000001899</v>
      </c>
      <c r="AW188" s="191" t="s">
        <v>229</v>
      </c>
      <c r="AX188" s="407" t="s">
        <v>1028</v>
      </c>
      <c r="AY188" s="407"/>
      <c r="AZ188" s="407"/>
      <c r="BA188" s="407"/>
      <c r="BB188" s="407"/>
      <c r="BC188" s="407"/>
      <c r="BD188" s="407" t="s">
        <v>1029</v>
      </c>
      <c r="BE188" s="407"/>
      <c r="BF188" s="422"/>
      <c r="BG188" s="391">
        <f>SUM($AV$4:AV188)</f>
        <v>1659.2050000000288</v>
      </c>
      <c r="BH188" s="392">
        <f>SUM($AU$134:AU188)</f>
        <v>965.50000000000034</v>
      </c>
      <c r="BI188" s="318">
        <f>SUMIFS($AU$134:AU189,$Q$134:Q189,"F")</f>
        <v>0</v>
      </c>
      <c r="BJ188" s="318">
        <f>SUMIFS($AU$134:AU189,$Q$134:Q189,"S")</f>
        <v>1183.1000000000001</v>
      </c>
      <c r="BK188" s="343">
        <f>SUMIFS($AU$134:AU189,$P$134:P189,"W")</f>
        <v>997.79999999999154</v>
      </c>
      <c r="BL188" s="343">
        <f>SUMIFS($AU$134:AU189,$P$134:P189,"R")</f>
        <v>-32.299999999991371</v>
      </c>
      <c r="BM188" s="343">
        <f>SUMIFS($AU$134:AU189,$AQ$134:AQ189,"M")</f>
        <v>0</v>
      </c>
      <c r="BN188" s="343">
        <f>SUMIFS($AU$134:AU189,$AQ$134:AQ189,"H")</f>
        <v>0.19999999999527063</v>
      </c>
      <c r="BO188" s="343">
        <f>SUMIFS($AU$134:AU189,$AQ$134:AQ189,"D")</f>
        <v>450.40000000000003</v>
      </c>
      <c r="BP188" s="343">
        <f>SUMIFS($AU$134:AU191,$AQ$134:AQ191,"W")</f>
        <v>351.79999999999995</v>
      </c>
      <c r="BQ188" s="343">
        <f>SUMIFS($AU$134:AU189,$Q$134:Q189,"O")</f>
        <v>-416.79999999999995</v>
      </c>
      <c r="BR188" s="343">
        <f>SUMIFS($AU$134:AU189,$AA$134:AA189,"*")</f>
        <v>965.50000000000034</v>
      </c>
      <c r="BS188" s="343">
        <f>SUMIFS($AU$134:AU189,$AB$134:AB189,"*")</f>
        <v>466.19999999999823</v>
      </c>
      <c r="BT188" s="343">
        <f>SUMIFS($AU$134:AU189,$AC$134:AC189,"*")</f>
        <v>666.5</v>
      </c>
      <c r="BU188" s="343">
        <f>SUMIFS($AU$134:AU189,$AA$134:AA189,"*",$AB$134:AB189,"*")</f>
        <v>466.19999999999823</v>
      </c>
      <c r="BV188" s="343">
        <f>SUMIFS($AU$134:AU189,$AA$134:AA189,"*",$AC$134:AC189,"*")</f>
        <v>666.5</v>
      </c>
      <c r="BW188" s="343">
        <f>SUMIFS($AU$134:AU189,$AB$134:AB189,"*",$AC$134:AC189,"*")</f>
        <v>515.1</v>
      </c>
      <c r="BX188" s="343">
        <f>SUMIFS($AU189:AU$1388,$Q189:Q$1388,"F")</f>
        <v>14440.666666666668</v>
      </c>
      <c r="BY188" s="343">
        <f>SUMIFS($AU189:AU$1388,$Q189:Q$1388,"S")</f>
        <v>19488.542000000001</v>
      </c>
      <c r="BZ188" s="343">
        <f>SUMIFS($AU189:AU$1388,$Q189:Q$1388,"O")</f>
        <v>-1232.0579999997983</v>
      </c>
    </row>
    <row r="189" spans="1:78" ht="18" customHeight="1">
      <c r="A189" s="177" t="s">
        <v>785</v>
      </c>
      <c r="B189" s="177">
        <v>44945</v>
      </c>
      <c r="C189" s="194">
        <v>0.25</v>
      </c>
      <c r="D189" s="178" t="s">
        <v>93</v>
      </c>
      <c r="E189" s="227" t="s">
        <v>1030</v>
      </c>
      <c r="F189" s="180" t="s">
        <v>1031</v>
      </c>
      <c r="G189" s="181"/>
      <c r="H189" s="182"/>
      <c r="I189" s="182"/>
      <c r="J189" s="182">
        <v>1</v>
      </c>
      <c r="K189" s="183" t="s">
        <v>115</v>
      </c>
      <c r="L189" s="182"/>
      <c r="M189" s="182"/>
      <c r="N189" s="182"/>
      <c r="O189" s="183"/>
      <c r="P189" s="183"/>
      <c r="Q189" s="183"/>
      <c r="R189" s="183"/>
      <c r="S189" s="183"/>
      <c r="T189" s="183"/>
      <c r="U189" s="183"/>
      <c r="V189" s="183"/>
      <c r="W189" s="183"/>
      <c r="X189" s="183"/>
      <c r="Y189" s="184">
        <f t="shared" si="70"/>
        <v>0</v>
      </c>
      <c r="Z189" s="184">
        <f t="shared" si="79"/>
        <v>0</v>
      </c>
      <c r="AA189" s="185"/>
      <c r="AB189" s="185"/>
      <c r="AC189" s="185"/>
      <c r="AD189" s="649"/>
      <c r="AE189" s="182"/>
      <c r="AF189" s="332"/>
      <c r="AG189" s="182"/>
      <c r="AH189" s="182"/>
      <c r="AI189" s="182"/>
      <c r="AJ189" s="640"/>
      <c r="AK189" s="182"/>
      <c r="AL189" s="496"/>
      <c r="AM189" s="497"/>
      <c r="AN189" s="626"/>
      <c r="AO189" s="182"/>
      <c r="AP189" s="182"/>
      <c r="AQ189" s="332" t="str">
        <f>UPPER(RIGHT(Journal_Live[[#This Row],[DURATION ]]))</f>
        <v/>
      </c>
      <c r="AR189" s="182"/>
      <c r="AS189" s="189"/>
      <c r="AT189" s="182"/>
      <c r="AU189" s="187"/>
      <c r="AV189" s="190"/>
      <c r="AW189" s="191"/>
      <c r="AX189" s="407"/>
      <c r="AY189" s="407"/>
      <c r="AZ189" s="407"/>
      <c r="BA189" s="407"/>
      <c r="BB189" s="407"/>
      <c r="BC189" s="407"/>
      <c r="BD189" s="407"/>
      <c r="BE189" s="407"/>
      <c r="BF189" s="422"/>
      <c r="BG189" s="391">
        <f>SUM($AV$4:AV189)</f>
        <v>1659.2050000000288</v>
      </c>
      <c r="BH189" s="392">
        <f>SUM($AU$134:AU189)</f>
        <v>965.50000000000034</v>
      </c>
      <c r="BI189" s="318">
        <f>SUMIFS($AU$134:AU190,$Q$134:Q190,"F")</f>
        <v>0</v>
      </c>
      <c r="BJ189" s="318">
        <f>SUMIFS($AU$134:AU190,$Q$134:Q190,"S")</f>
        <v>1183.1000000000001</v>
      </c>
      <c r="BK189" s="343">
        <f>SUMIFS($AU$134:AU190,$P$134:P190,"W")</f>
        <v>997.79999999999154</v>
      </c>
      <c r="BL189" s="343">
        <f>SUMIFS($AU$134:AU190,$P$134:P190,"R")</f>
        <v>-32.299999999991371</v>
      </c>
      <c r="BM189" s="343">
        <f>SUMIFS($AU$134:AU190,$AQ$134:AQ190,"M")</f>
        <v>0</v>
      </c>
      <c r="BN189" s="343">
        <f>SUMIFS($AU$134:AU190,$AQ$134:AQ190,"H")</f>
        <v>0.19999999999527063</v>
      </c>
      <c r="BO189" s="343">
        <f>SUMIFS($AU$134:AU190,$AQ$134:AQ190,"D")</f>
        <v>450.40000000000003</v>
      </c>
      <c r="BP189" s="343">
        <f>SUMIFS($AU$134:AU192,$AQ$134:AQ192,"W")</f>
        <v>351.79999999999995</v>
      </c>
      <c r="BQ189" s="343">
        <f>SUMIFS($AU$134:AU190,$Q$134:Q190,"O")</f>
        <v>-416.79999999999995</v>
      </c>
      <c r="BR189" s="343">
        <f>SUMIFS($AU$134:AU190,$AA$134:AA190,"*")</f>
        <v>965.50000000000034</v>
      </c>
      <c r="BS189" s="343">
        <f>SUMIFS($AU$134:AU190,$AB$134:AB190,"*")</f>
        <v>466.19999999999823</v>
      </c>
      <c r="BT189" s="343">
        <f>SUMIFS($AU$134:AU190,$AC$134:AC190,"*")</f>
        <v>666.5</v>
      </c>
      <c r="BU189" s="343">
        <f>SUMIFS($AU$134:AU190,$AA$134:AA190,"*",$AB$134:AB190,"*")</f>
        <v>466.19999999999823</v>
      </c>
      <c r="BV189" s="343">
        <f>SUMIFS($AU$134:AU190,$AA$134:AA190,"*",$AC$134:AC190,"*")</f>
        <v>666.5</v>
      </c>
      <c r="BW189" s="343">
        <f>SUMIFS($AU$134:AU190,$AB$134:AB190,"*",$AC$134:AC190,"*")</f>
        <v>515.1</v>
      </c>
      <c r="BX189" s="343">
        <f>SUMIFS($AU190:AU$1388,$Q190:Q$1388,"F")</f>
        <v>14440.666666666668</v>
      </c>
      <c r="BY189" s="343">
        <f>SUMIFS($AU190:AU$1388,$Q190:Q$1388,"S")</f>
        <v>19488.542000000001</v>
      </c>
      <c r="BZ189" s="343">
        <f>SUMIFS($AU190:AU$1388,$Q190:Q$1388,"O")</f>
        <v>-1232.0579999997983</v>
      </c>
    </row>
    <row r="190" spans="1:78" ht="18" customHeight="1">
      <c r="A190" s="177" t="s">
        <v>785</v>
      </c>
      <c r="B190" s="177"/>
      <c r="C190" s="178"/>
      <c r="D190" s="178"/>
      <c r="E190" s="227" t="s">
        <v>1032</v>
      </c>
      <c r="F190" s="180" t="s">
        <v>1033</v>
      </c>
      <c r="G190" s="181"/>
      <c r="H190" s="182">
        <v>1</v>
      </c>
      <c r="I190" s="182"/>
      <c r="J190" s="182"/>
      <c r="K190" s="183" t="s">
        <v>115</v>
      </c>
      <c r="L190" s="182"/>
      <c r="M190" s="182"/>
      <c r="N190" s="182"/>
      <c r="O190" s="183"/>
      <c r="P190" s="183"/>
      <c r="Q190" s="183"/>
      <c r="R190" s="183"/>
      <c r="S190" s="183"/>
      <c r="T190" s="183"/>
      <c r="U190" s="183"/>
      <c r="V190" s="183"/>
      <c r="W190" s="183"/>
      <c r="X190" s="183"/>
      <c r="Y190" s="184">
        <f t="shared" si="70"/>
        <v>0</v>
      </c>
      <c r="Z190" s="184">
        <f t="shared" si="79"/>
        <v>0</v>
      </c>
      <c r="AA190" s="185"/>
      <c r="AB190" s="185"/>
      <c r="AC190" s="185"/>
      <c r="AD190" s="649"/>
      <c r="AE190" s="182"/>
      <c r="AF190" s="332"/>
      <c r="AG190" s="182"/>
      <c r="AH190" s="182"/>
      <c r="AI190" s="182"/>
      <c r="AJ190" s="640"/>
      <c r="AK190" s="182"/>
      <c r="AL190" s="496"/>
      <c r="AM190" s="497"/>
      <c r="AN190" s="626"/>
      <c r="AO190" s="182"/>
      <c r="AP190" s="182"/>
      <c r="AQ190" s="332" t="str">
        <f>UPPER(RIGHT(Journal_Live[[#This Row],[DURATION ]]))</f>
        <v/>
      </c>
      <c r="AR190" s="182"/>
      <c r="AS190" s="189"/>
      <c r="AT190" s="182"/>
      <c r="AU190" s="187"/>
      <c r="AV190" s="190"/>
      <c r="AW190" s="191"/>
      <c r="AX190" s="407"/>
      <c r="AY190" s="407"/>
      <c r="AZ190" s="407"/>
      <c r="BA190" s="407"/>
      <c r="BB190" s="407"/>
      <c r="BC190" s="407"/>
      <c r="BD190" s="407"/>
      <c r="BE190" s="407"/>
      <c r="BF190" s="422"/>
      <c r="BG190" s="391">
        <f>SUM($AV$4:AV190)</f>
        <v>1659.2050000000288</v>
      </c>
      <c r="BH190" s="392">
        <f>SUM($AU$134:AU190)</f>
        <v>965.50000000000034</v>
      </c>
      <c r="BI190" s="318">
        <f>SUMIFS($AU$134:AU191,$Q$134:Q191,"F")</f>
        <v>0</v>
      </c>
      <c r="BJ190" s="318">
        <f>SUMIFS($AU$134:AU191,$Q$134:Q191,"S")</f>
        <v>1183.1000000000001</v>
      </c>
      <c r="BK190" s="343">
        <f>SUMIFS($AU$134:AU191,$P$134:P191,"W")</f>
        <v>997.79999999999154</v>
      </c>
      <c r="BL190" s="343">
        <f>SUMIFS($AU$134:AU191,$P$134:P191,"R")</f>
        <v>-32.299999999991371</v>
      </c>
      <c r="BM190" s="343">
        <f>SUMIFS($AU$134:AU191,$AQ$134:AQ191,"M")</f>
        <v>0</v>
      </c>
      <c r="BN190" s="343">
        <f>SUMIFS($AU$134:AU191,$AQ$134:AQ191,"H")</f>
        <v>0.19999999999527063</v>
      </c>
      <c r="BO190" s="343">
        <f>SUMIFS($AU$134:AU191,$AQ$134:AQ191,"D")</f>
        <v>450.40000000000003</v>
      </c>
      <c r="BP190" s="343">
        <f>SUMIFS($AU$134:AU193,$AQ$134:AQ193,"W")</f>
        <v>351.79999999999995</v>
      </c>
      <c r="BQ190" s="343">
        <f>SUMIFS($AU$134:AU191,$Q$134:Q191,"O")</f>
        <v>-416.79999999999995</v>
      </c>
      <c r="BR190" s="343">
        <f>SUMIFS($AU$134:AU191,$AA$134:AA191,"*")</f>
        <v>965.50000000000034</v>
      </c>
      <c r="BS190" s="343">
        <f>SUMIFS($AU$134:AU191,$AB$134:AB191,"*")</f>
        <v>466.19999999999823</v>
      </c>
      <c r="BT190" s="343">
        <f>SUMIFS($AU$134:AU191,$AC$134:AC191,"*")</f>
        <v>666.5</v>
      </c>
      <c r="BU190" s="343">
        <f>SUMIFS($AU$134:AU191,$AA$134:AA191,"*",$AB$134:AB191,"*")</f>
        <v>466.19999999999823</v>
      </c>
      <c r="BV190" s="343">
        <f>SUMIFS($AU$134:AU191,$AA$134:AA191,"*",$AC$134:AC191,"*")</f>
        <v>666.5</v>
      </c>
      <c r="BW190" s="343">
        <f>SUMIFS($AU$134:AU191,$AB$134:AB191,"*",$AC$134:AC191,"*")</f>
        <v>515.1</v>
      </c>
      <c r="BX190" s="343">
        <f>SUMIFS($AU191:AU$1388,$Q191:Q$1388,"F")</f>
        <v>14440.666666666668</v>
      </c>
      <c r="BY190" s="343">
        <f>SUMIFS($AU191:AU$1388,$Q191:Q$1388,"S")</f>
        <v>19488.542000000001</v>
      </c>
      <c r="BZ190" s="343">
        <f>SUMIFS($AU191:AU$1388,$Q191:Q$1388,"O")</f>
        <v>-1232.0579999997983</v>
      </c>
    </row>
    <row r="191" spans="1:78" ht="18" customHeight="1">
      <c r="A191" s="177" t="s">
        <v>785</v>
      </c>
      <c r="B191" s="268"/>
      <c r="C191" s="178"/>
      <c r="D191" s="178"/>
      <c r="E191" s="227" t="s">
        <v>1034</v>
      </c>
      <c r="F191" s="180" t="s">
        <v>1035</v>
      </c>
      <c r="G191" s="181"/>
      <c r="H191" s="182"/>
      <c r="I191" s="182"/>
      <c r="J191" s="182"/>
      <c r="K191" s="183"/>
      <c r="L191" s="182"/>
      <c r="M191" s="182"/>
      <c r="N191" s="182"/>
      <c r="O191" s="183"/>
      <c r="P191" s="183"/>
      <c r="Q191" s="183"/>
      <c r="R191" s="183"/>
      <c r="S191" s="183"/>
      <c r="T191" s="183"/>
      <c r="U191" s="183"/>
      <c r="V191" s="183"/>
      <c r="W191" s="183"/>
      <c r="X191" s="183"/>
      <c r="Y191" s="184">
        <f t="shared" si="70"/>
        <v>0</v>
      </c>
      <c r="Z191" s="184">
        <f t="shared" si="79"/>
        <v>0</v>
      </c>
      <c r="AA191" s="185"/>
      <c r="AB191" s="185"/>
      <c r="AC191" s="185"/>
      <c r="AD191" s="649"/>
      <c r="AE191" s="182"/>
      <c r="AF191" s="332"/>
      <c r="AG191" s="182"/>
      <c r="AH191" s="182"/>
      <c r="AI191" s="182"/>
      <c r="AJ191" s="640"/>
      <c r="AK191" s="182"/>
      <c r="AL191" s="496"/>
      <c r="AM191" s="497"/>
      <c r="AN191" s="626"/>
      <c r="AO191" s="182"/>
      <c r="AP191" s="182"/>
      <c r="AQ191" s="332" t="str">
        <f>UPPER(RIGHT(Journal_Live[[#This Row],[DURATION ]]))</f>
        <v/>
      </c>
      <c r="AR191" s="182"/>
      <c r="AS191" s="189"/>
      <c r="AT191" s="182"/>
      <c r="AU191" s="187"/>
      <c r="AV191" s="190"/>
      <c r="AW191" s="191"/>
      <c r="AX191" s="407"/>
      <c r="AY191" s="407"/>
      <c r="AZ191" s="407"/>
      <c r="BA191" s="407"/>
      <c r="BB191" s="407"/>
      <c r="BC191" s="407"/>
      <c r="BD191" s="407"/>
      <c r="BE191" s="407"/>
      <c r="BF191" s="422"/>
      <c r="BG191" s="391">
        <f>SUM($AV$4:AV191)</f>
        <v>1659.2050000000288</v>
      </c>
      <c r="BH191" s="392">
        <f>SUM($AU$134:AU191)</f>
        <v>965.50000000000034</v>
      </c>
      <c r="BI191" s="318">
        <f>SUMIFS($AU$134:AU192,$Q$134:Q192,"F")</f>
        <v>0</v>
      </c>
      <c r="BJ191" s="318">
        <f>SUMIFS($AU$134:AU192,$Q$134:Q192,"S")</f>
        <v>1183.1000000000001</v>
      </c>
      <c r="BK191" s="343">
        <f>SUMIFS($AU$134:AU192,$P$134:P192,"W")</f>
        <v>1148.0999999999972</v>
      </c>
      <c r="BL191" s="343">
        <f>SUMIFS($AU$134:AU192,$P$134:P192,"R")</f>
        <v>-32.299999999991371</v>
      </c>
      <c r="BM191" s="343">
        <f>SUMIFS($AU$134:AU192,$AQ$134:AQ192,"M")</f>
        <v>0</v>
      </c>
      <c r="BN191" s="343">
        <f>SUMIFS($AU$134:AU192,$AQ$134:AQ192,"H")</f>
        <v>0.19999999999527063</v>
      </c>
      <c r="BO191" s="343">
        <f>SUMIFS($AU$134:AU192,$AQ$134:AQ192,"D")</f>
        <v>450.40000000000003</v>
      </c>
      <c r="BP191" s="343">
        <f>SUMIFS($AU$134:AU194,$AQ$134:AQ194,"W")</f>
        <v>351.79999999999995</v>
      </c>
      <c r="BQ191" s="343">
        <f>SUMIFS($AU$134:AU192,$Q$134:Q192,"O")</f>
        <v>-266.49999999999426</v>
      </c>
      <c r="BR191" s="343">
        <f>SUMIFS($AU$134:AU192,$AA$134:AA192,"*")</f>
        <v>1115.8000000000061</v>
      </c>
      <c r="BS191" s="343">
        <f>SUMIFS($AU$134:AU192,$AB$134:AB192,"*")</f>
        <v>466.19999999999823</v>
      </c>
      <c r="BT191" s="343">
        <f>SUMIFS($AU$134:AU192,$AC$134:AC192,"*")</f>
        <v>666.5</v>
      </c>
      <c r="BU191" s="343">
        <f>SUMIFS($AU$134:AU192,$AA$134:AA192,"*",$AB$134:AB192,"*")</f>
        <v>466.19999999999823</v>
      </c>
      <c r="BV191" s="343">
        <f>SUMIFS($AU$134:AU192,$AA$134:AA192,"*",$AC$134:AC192,"*")</f>
        <v>666.5</v>
      </c>
      <c r="BW191" s="343">
        <f>SUMIFS($AU$134:AU192,$AB$134:AB192,"*",$AC$134:AC192,"*")</f>
        <v>515.1</v>
      </c>
      <c r="BX191" s="343">
        <f>SUMIFS($AU192:AU$1388,$Q192:Q$1388,"F")</f>
        <v>14440.666666666668</v>
      </c>
      <c r="BY191" s="343">
        <f>SUMIFS($AU192:AU$1388,$Q192:Q$1388,"S")</f>
        <v>19488.542000000001</v>
      </c>
      <c r="BZ191" s="343">
        <f>SUMIFS($AU192:AU$1388,$Q192:Q$1388,"O")</f>
        <v>-1232.0579999997983</v>
      </c>
    </row>
    <row r="192" spans="1:78" ht="18" customHeight="1">
      <c r="A192" s="177" t="s">
        <v>785</v>
      </c>
      <c r="B192" s="177">
        <v>44945</v>
      </c>
      <c r="C192" s="178" t="s">
        <v>682</v>
      </c>
      <c r="D192" s="178" t="s">
        <v>93</v>
      </c>
      <c r="E192" s="227"/>
      <c r="F192" s="180"/>
      <c r="G192" s="181" t="s">
        <v>983</v>
      </c>
      <c r="H192" s="182"/>
      <c r="I192" s="182"/>
      <c r="J192" s="182"/>
      <c r="K192" s="183"/>
      <c r="L192" s="182">
        <v>2</v>
      </c>
      <c r="M192" s="182"/>
      <c r="N192" s="182"/>
      <c r="O192" s="183" t="s">
        <v>95</v>
      </c>
      <c r="P192" s="183" t="s">
        <v>96</v>
      </c>
      <c r="Q192" s="183" t="s">
        <v>684</v>
      </c>
      <c r="R192" s="183">
        <v>1</v>
      </c>
      <c r="S192" s="183">
        <v>1</v>
      </c>
      <c r="T192" s="183">
        <v>1</v>
      </c>
      <c r="U192" s="183" t="s">
        <v>22</v>
      </c>
      <c r="V192" s="183"/>
      <c r="W192" s="183"/>
      <c r="X192" s="183"/>
      <c r="Y192" s="184">
        <f t="shared" si="70"/>
        <v>0.01</v>
      </c>
      <c r="Z192" s="184">
        <f t="shared" si="79"/>
        <v>1670</v>
      </c>
      <c r="AA192" s="185" t="s">
        <v>1036</v>
      </c>
      <c r="AB192" s="185"/>
      <c r="AC192" s="185"/>
      <c r="AD192" s="649">
        <v>96.21</v>
      </c>
      <c r="AE192" s="182"/>
      <c r="AF192" s="332"/>
      <c r="AG192" s="182"/>
      <c r="AH192" s="182"/>
      <c r="AI192" s="182"/>
      <c r="AJ192" s="640"/>
      <c r="AK192" s="182"/>
      <c r="AL192" s="496"/>
      <c r="AM192" s="497"/>
      <c r="AN192" s="626"/>
      <c r="AO192" s="182"/>
      <c r="AP192" s="182" t="s">
        <v>1037</v>
      </c>
      <c r="AQ192" s="332" t="str">
        <f>UPPER(RIGHT(Journal_Live[[#This Row],[DURATION ]]))</f>
        <v>S</v>
      </c>
      <c r="AR192" s="182" t="s">
        <v>1038</v>
      </c>
      <c r="AS192" s="189">
        <v>96.3</v>
      </c>
      <c r="AT192" s="189">
        <f t="shared" ref="AT192:AT198" si="80">IF(ISBLANK(AS192),,IF(U192="S",AD192-AS192,AS192-AD192))</f>
        <v>9.0000000000003411E-2</v>
      </c>
      <c r="AU192" s="187">
        <f t="shared" ref="AU192:AU198" si="81">AV192*R192</f>
        <v>150.3000000000057</v>
      </c>
      <c r="AV192" s="190">
        <f t="shared" ref="AV192:AV198" si="82">IF(ISBLANK(AS192),,(AT192*Z192))</f>
        <v>150.3000000000057</v>
      </c>
      <c r="AW192" s="191" t="s">
        <v>96</v>
      </c>
      <c r="AX192" s="407" t="s">
        <v>1039</v>
      </c>
      <c r="AY192" s="407" t="s">
        <v>1040</v>
      </c>
      <c r="AZ192" s="407" t="s">
        <v>782</v>
      </c>
      <c r="BA192" s="407" t="s">
        <v>1041</v>
      </c>
      <c r="BB192" s="407"/>
      <c r="BC192" s="407"/>
      <c r="BD192" s="407"/>
      <c r="BE192" s="407"/>
      <c r="BF192" s="422"/>
      <c r="BG192" s="391">
        <f>SUM($AV$4:AV192)</f>
        <v>1809.5050000000344</v>
      </c>
      <c r="BH192" s="392">
        <f>SUM($AU$134:AU192)</f>
        <v>1115.8000000000061</v>
      </c>
      <c r="BI192" s="318">
        <f>SUMIFS($AU$134:AU193,$Q$134:Q193,"F")</f>
        <v>0</v>
      </c>
      <c r="BJ192" s="318">
        <f>SUMIFS($AU$134:AU193,$Q$134:Q193,"S")</f>
        <v>1199.8000000000002</v>
      </c>
      <c r="BK192" s="343">
        <f>SUMIFS($AU$134:AU193,$P$134:P193,"W")</f>
        <v>1164.7999999999972</v>
      </c>
      <c r="BL192" s="343">
        <f>SUMIFS($AU$134:AU193,$P$134:P193,"R")</f>
        <v>-32.299999999991371</v>
      </c>
      <c r="BM192" s="343">
        <f>SUMIFS($AU$134:AU193,$AQ$134:AQ193,"M")</f>
        <v>0</v>
      </c>
      <c r="BN192" s="343">
        <f>SUMIFS($AU$134:AU193,$AQ$134:AQ193,"H")</f>
        <v>16.899999999995284</v>
      </c>
      <c r="BO192" s="343">
        <f>SUMIFS($AU$134:AU193,$AQ$134:AQ193,"D")</f>
        <v>450.40000000000003</v>
      </c>
      <c r="BP192" s="343">
        <f>SUMIFS($AU$134:AU195,$AQ$134:AQ195,"W")</f>
        <v>451.99999999999994</v>
      </c>
      <c r="BQ192" s="343">
        <f>SUMIFS($AU$134:AU193,$Q$134:Q193,"O")</f>
        <v>-266.49999999999426</v>
      </c>
      <c r="BR192" s="343">
        <f>SUMIFS($AU$134:AU193,$AA$134:AA193,"*")</f>
        <v>1115.8000000000061</v>
      </c>
      <c r="BS192" s="343">
        <f>SUMIFS($AU$134:AU193,$AB$134:AB193,"*")</f>
        <v>466.19999999999823</v>
      </c>
      <c r="BT192" s="343">
        <f>SUMIFS($AU$134:AU193,$AC$134:AC193,"*")</f>
        <v>666.5</v>
      </c>
      <c r="BU192" s="343">
        <f>SUMIFS($AU$134:AU193,$AA$134:AA193,"*",$AB$134:AB193,"*")</f>
        <v>466.19999999999823</v>
      </c>
      <c r="BV192" s="343">
        <f>SUMIFS($AU$134:AU193,$AA$134:AA193,"*",$AC$134:AC193,"*")</f>
        <v>666.5</v>
      </c>
      <c r="BW192" s="343">
        <f>SUMIFS($AU$134:AU193,$AB$134:AB193,"*",$AC$134:AC193,"*")</f>
        <v>515.1</v>
      </c>
      <c r="BX192" s="343">
        <f>SUMIFS($AU193:AU$1388,$Q193:Q$1388,"F")</f>
        <v>14440.666666666668</v>
      </c>
      <c r="BY192" s="343">
        <f>SUMIFS($AU193:AU$1388,$Q193:Q$1388,"S")</f>
        <v>19488.542000000001</v>
      </c>
      <c r="BZ192" s="343">
        <f>SUMIFS($AU193:AU$1388,$Q193:Q$1388,"O")</f>
        <v>-1382.3579999998042</v>
      </c>
    </row>
    <row r="193" spans="1:78" ht="18" customHeight="1">
      <c r="A193" s="177" t="s">
        <v>785</v>
      </c>
      <c r="B193" s="177">
        <v>44945</v>
      </c>
      <c r="C193" s="178" t="s">
        <v>682</v>
      </c>
      <c r="D193" s="178" t="s">
        <v>93</v>
      </c>
      <c r="E193" s="227"/>
      <c r="F193" s="180"/>
      <c r="G193" s="246" t="s">
        <v>435</v>
      </c>
      <c r="H193" s="182"/>
      <c r="I193" s="182"/>
      <c r="J193" s="182"/>
      <c r="K193" s="183"/>
      <c r="L193" s="182">
        <v>1</v>
      </c>
      <c r="M193" s="182"/>
      <c r="N193" s="182"/>
      <c r="O193" s="183" t="s">
        <v>95</v>
      </c>
      <c r="P193" s="183" t="s">
        <v>96</v>
      </c>
      <c r="Q193" s="183" t="s">
        <v>97</v>
      </c>
      <c r="R193" s="183">
        <v>1</v>
      </c>
      <c r="S193" s="183">
        <v>1</v>
      </c>
      <c r="T193" s="183">
        <v>1</v>
      </c>
      <c r="U193" s="183" t="s">
        <v>22</v>
      </c>
      <c r="V193" s="183"/>
      <c r="W193" s="183"/>
      <c r="X193" s="183"/>
      <c r="Y193" s="184">
        <f t="shared" si="70"/>
        <v>0.01</v>
      </c>
      <c r="Z193" s="184">
        <f t="shared" si="79"/>
        <v>1670</v>
      </c>
      <c r="AA193" s="185"/>
      <c r="AB193" s="185"/>
      <c r="AC193" s="185"/>
      <c r="AD193" s="649">
        <v>0.22</v>
      </c>
      <c r="AE193" s="182"/>
      <c r="AF193" s="332"/>
      <c r="AG193" s="182"/>
      <c r="AH193" s="182"/>
      <c r="AI193" s="182"/>
      <c r="AJ193" s="640"/>
      <c r="AK193" s="182"/>
      <c r="AL193" s="496">
        <f t="shared" ref="AL193:AL197" si="83">-0.03*Z193</f>
        <v>-50.1</v>
      </c>
      <c r="AM193" s="496">
        <f t="shared" ref="AM193:AM198" si="84">AL193*R193</f>
        <v>-50.1</v>
      </c>
      <c r="AN193" s="626"/>
      <c r="AO193" s="182"/>
      <c r="AP193" s="182" t="s">
        <v>1042</v>
      </c>
      <c r="AQ193" s="332" t="str">
        <f>UPPER(RIGHT(Journal_Live[[#This Row],[DURATION ]]))</f>
        <v>H</v>
      </c>
      <c r="AR193" s="182" t="s">
        <v>830</v>
      </c>
      <c r="AS193" s="189">
        <v>0.23</v>
      </c>
      <c r="AT193" s="189">
        <f t="shared" si="80"/>
        <v>1.0000000000000009E-2</v>
      </c>
      <c r="AU193" s="187">
        <f t="shared" si="81"/>
        <v>16.700000000000014</v>
      </c>
      <c r="AV193" s="190">
        <f t="shared" si="82"/>
        <v>16.700000000000014</v>
      </c>
      <c r="AW193" s="191" t="s">
        <v>96</v>
      </c>
      <c r="AX193" s="407" t="s">
        <v>1043</v>
      </c>
      <c r="AY193" s="407"/>
      <c r="AZ193" s="407"/>
      <c r="BA193" s="407"/>
      <c r="BB193" s="407"/>
      <c r="BC193" s="407"/>
      <c r="BD193" s="407"/>
      <c r="BE193" s="407"/>
      <c r="BF193" s="422"/>
      <c r="BG193" s="391">
        <f>SUM($AV$4:AV193)</f>
        <v>1826.2050000000345</v>
      </c>
      <c r="BH193" s="392">
        <f>SUM($AU$134:AU193)</f>
        <v>1132.5000000000061</v>
      </c>
      <c r="BI193" s="318">
        <f>SUMIFS($AU$134:AU194,$Q$134:Q194,"F")</f>
        <v>0</v>
      </c>
      <c r="BJ193" s="318">
        <f>SUMIFS($AU$134:AU194,$Q$134:Q194,"S")</f>
        <v>1283.3000000000002</v>
      </c>
      <c r="BK193" s="343">
        <f>SUMIFS($AU$134:AU194,$P$134:P194,"W")</f>
        <v>1248.2999999999972</v>
      </c>
      <c r="BL193" s="343">
        <f>SUMIFS($AU$134:AU194,$P$134:P194,"R")</f>
        <v>-32.299999999991371</v>
      </c>
      <c r="BM193" s="343">
        <f>SUMIFS($AU$134:AU194,$AQ$134:AQ194,"M")</f>
        <v>0</v>
      </c>
      <c r="BN193" s="343">
        <f>SUMIFS($AU$134:AU194,$AQ$134:AQ194,"H")</f>
        <v>100.39999999999527</v>
      </c>
      <c r="BO193" s="343">
        <f>SUMIFS($AU$134:AU194,$AQ$134:AQ194,"D")</f>
        <v>450.40000000000003</v>
      </c>
      <c r="BP193" s="343">
        <f>SUMIFS($AU$134:AU196,$AQ$134:AQ196,"W")</f>
        <v>451.99999999999994</v>
      </c>
      <c r="BQ193" s="343">
        <f>SUMIFS($AU$134:AU194,$Q$134:Q194,"O")</f>
        <v>-266.49999999999426</v>
      </c>
      <c r="BR193" s="343">
        <f>SUMIFS($AU$134:AU194,$AA$134:AA194,"*")</f>
        <v>1115.8000000000061</v>
      </c>
      <c r="BS193" s="343">
        <f>SUMIFS($AU$134:AU194,$AB$134:AB194,"*")</f>
        <v>466.19999999999823</v>
      </c>
      <c r="BT193" s="343">
        <f>SUMIFS($AU$134:AU194,$AC$134:AC194,"*")</f>
        <v>666.5</v>
      </c>
      <c r="BU193" s="343">
        <f>SUMIFS($AU$134:AU194,$AA$134:AA194,"*",$AB$134:AB194,"*")</f>
        <v>466.19999999999823</v>
      </c>
      <c r="BV193" s="343">
        <f>SUMIFS($AU$134:AU194,$AA$134:AA194,"*",$AC$134:AC194,"*")</f>
        <v>666.5</v>
      </c>
      <c r="BW193" s="343">
        <f>SUMIFS($AU$134:AU194,$AB$134:AB194,"*",$AC$134:AC194,"*")</f>
        <v>515.1</v>
      </c>
      <c r="BX193" s="343">
        <f>SUMIFS($AU194:AU$1388,$Q194:Q$1388,"F")</f>
        <v>14440.666666666668</v>
      </c>
      <c r="BY193" s="343">
        <f>SUMIFS($AU194:AU$1388,$Q194:Q$1388,"S")</f>
        <v>19471.842000000001</v>
      </c>
      <c r="BZ193" s="343">
        <f>SUMIFS($AU194:AU$1388,$Q194:Q$1388,"O")</f>
        <v>-1382.3579999998042</v>
      </c>
    </row>
    <row r="194" spans="1:78" ht="18" customHeight="1">
      <c r="A194" s="177" t="s">
        <v>785</v>
      </c>
      <c r="B194" s="177">
        <v>44945</v>
      </c>
      <c r="C194" s="178" t="s">
        <v>682</v>
      </c>
      <c r="D194" s="178" t="s">
        <v>93</v>
      </c>
      <c r="E194" s="227"/>
      <c r="F194" s="180"/>
      <c r="G194" s="246" t="s">
        <v>435</v>
      </c>
      <c r="H194" s="182"/>
      <c r="I194" s="182"/>
      <c r="J194" s="182"/>
      <c r="K194" s="183"/>
      <c r="L194" s="182">
        <v>1</v>
      </c>
      <c r="M194" s="182"/>
      <c r="N194" s="182"/>
      <c r="O194" s="183" t="s">
        <v>95</v>
      </c>
      <c r="P194" s="183" t="s">
        <v>96</v>
      </c>
      <c r="Q194" s="183" t="s">
        <v>97</v>
      </c>
      <c r="R194" s="183">
        <v>2</v>
      </c>
      <c r="S194" s="183">
        <v>2</v>
      </c>
      <c r="T194" s="183">
        <v>2</v>
      </c>
      <c r="U194" s="183" t="s">
        <v>22</v>
      </c>
      <c r="V194" s="183"/>
      <c r="W194" s="183"/>
      <c r="X194" s="183"/>
      <c r="Y194" s="184">
        <f t="shared" si="70"/>
        <v>0.01</v>
      </c>
      <c r="Z194" s="184">
        <f t="shared" si="79"/>
        <v>1670</v>
      </c>
      <c r="AA194" s="185"/>
      <c r="AB194" s="185"/>
      <c r="AC194" s="185"/>
      <c r="AD194" s="649">
        <v>0.21</v>
      </c>
      <c r="AE194" s="182"/>
      <c r="AF194" s="332"/>
      <c r="AG194" s="182"/>
      <c r="AH194" s="182"/>
      <c r="AI194" s="182"/>
      <c r="AJ194" s="640"/>
      <c r="AK194" s="182"/>
      <c r="AL194" s="496">
        <f t="shared" si="83"/>
        <v>-50.1</v>
      </c>
      <c r="AM194" s="496">
        <f t="shared" si="84"/>
        <v>-100.2</v>
      </c>
      <c r="AN194" s="626"/>
      <c r="AO194" s="182"/>
      <c r="AP194" s="182" t="s">
        <v>942</v>
      </c>
      <c r="AQ194" s="332" t="str">
        <f>UPPER(RIGHT(Journal_Live[[#This Row],[DURATION ]]))</f>
        <v>H</v>
      </c>
      <c r="AR194" s="182" t="s">
        <v>1044</v>
      </c>
      <c r="AS194" s="189">
        <v>0.23499999999999999</v>
      </c>
      <c r="AT194" s="189">
        <f t="shared" si="80"/>
        <v>2.4999999999999994E-2</v>
      </c>
      <c r="AU194" s="187">
        <f t="shared" si="81"/>
        <v>83.499999999999986</v>
      </c>
      <c r="AV194" s="190">
        <f t="shared" si="82"/>
        <v>41.749999999999993</v>
      </c>
      <c r="AW194" s="191" t="s">
        <v>96</v>
      </c>
      <c r="AX194" s="407" t="s">
        <v>1045</v>
      </c>
      <c r="AY194" s="407" t="s">
        <v>1046</v>
      </c>
      <c r="AZ194" s="407"/>
      <c r="BA194" s="407"/>
      <c r="BB194" s="407"/>
      <c r="BC194" s="407"/>
      <c r="BD194" s="407" t="s">
        <v>195</v>
      </c>
      <c r="BE194" s="407"/>
      <c r="BF194" s="422"/>
      <c r="BG194" s="391">
        <f>SUM($AV$4:AV194)</f>
        <v>1867.9550000000345</v>
      </c>
      <c r="BH194" s="392">
        <f>SUM($AU$134:AU194)</f>
        <v>1216.0000000000061</v>
      </c>
      <c r="BI194" s="318">
        <f>SUMIFS($AU$134:AU195,$Q$134:Q195,"F")</f>
        <v>0</v>
      </c>
      <c r="BJ194" s="318">
        <f>SUMIFS($AU$134:AU195,$Q$134:Q195,"S")</f>
        <v>1383.5000000000002</v>
      </c>
      <c r="BK194" s="343">
        <f>SUMIFS($AU$134:AU195,$P$134:P195,"W")</f>
        <v>1248.2999999999972</v>
      </c>
      <c r="BL194" s="343">
        <f>SUMIFS($AU$134:AU195,$P$134:P195,"R")</f>
        <v>67.900000000008632</v>
      </c>
      <c r="BM194" s="343">
        <f>SUMIFS($AU$134:AU195,$AQ$134:AQ195,"M")</f>
        <v>0</v>
      </c>
      <c r="BN194" s="343">
        <f>SUMIFS($AU$134:AU195,$AQ$134:AQ195,"H")</f>
        <v>100.39999999999527</v>
      </c>
      <c r="BO194" s="343">
        <f>SUMIFS($AU$134:AU195,$AQ$134:AQ195,"D")</f>
        <v>450.40000000000003</v>
      </c>
      <c r="BP194" s="343">
        <f>SUMIFS($AU$134:AU197,$AQ$134:AQ197,"W")</f>
        <v>451.99999999999994</v>
      </c>
      <c r="BQ194" s="343">
        <f>SUMIFS($AU$134:AU195,$Q$134:Q195,"O")</f>
        <v>-266.49999999999426</v>
      </c>
      <c r="BR194" s="343">
        <f>SUMIFS($AU$134:AU195,$AA$134:AA195,"*")</f>
        <v>1115.8000000000061</v>
      </c>
      <c r="BS194" s="343">
        <f>SUMIFS($AU$134:AU195,$AB$134:AB195,"*")</f>
        <v>466.19999999999823</v>
      </c>
      <c r="BT194" s="343">
        <f>SUMIFS($AU$134:AU195,$AC$134:AC195,"*")</f>
        <v>666.5</v>
      </c>
      <c r="BU194" s="343">
        <f>SUMIFS($AU$134:AU195,$AA$134:AA195,"*",$AB$134:AB195,"*")</f>
        <v>466.19999999999823</v>
      </c>
      <c r="BV194" s="343">
        <f>SUMIFS($AU$134:AU195,$AA$134:AA195,"*",$AC$134:AC195,"*")</f>
        <v>666.5</v>
      </c>
      <c r="BW194" s="343">
        <f>SUMIFS($AU$134:AU195,$AB$134:AB195,"*",$AC$134:AC195,"*")</f>
        <v>515.1</v>
      </c>
      <c r="BX194" s="343">
        <f>SUMIFS($AU195:AU$1388,$Q195:Q$1388,"F")</f>
        <v>14440.666666666668</v>
      </c>
      <c r="BY194" s="343">
        <f>SUMIFS($AU195:AU$1388,$Q195:Q$1388,"S")</f>
        <v>19388.342000000001</v>
      </c>
      <c r="BZ194" s="343">
        <f>SUMIFS($AU195:AU$1388,$Q195:Q$1388,"O")</f>
        <v>-1382.3579999998042</v>
      </c>
    </row>
    <row r="195" spans="1:78" ht="18" customHeight="1">
      <c r="A195" s="177" t="s">
        <v>785</v>
      </c>
      <c r="B195" s="177">
        <v>44945</v>
      </c>
      <c r="C195" s="178" t="s">
        <v>682</v>
      </c>
      <c r="D195" s="178" t="s">
        <v>93</v>
      </c>
      <c r="E195" s="227"/>
      <c r="F195" s="180"/>
      <c r="G195" s="249" t="s">
        <v>886</v>
      </c>
      <c r="H195" s="182"/>
      <c r="I195" s="182"/>
      <c r="J195" s="182"/>
      <c r="K195" s="183"/>
      <c r="L195" s="182">
        <v>1</v>
      </c>
      <c r="M195" s="182"/>
      <c r="N195" s="182"/>
      <c r="O195" s="183" t="s">
        <v>95</v>
      </c>
      <c r="P195" s="183" t="s">
        <v>137</v>
      </c>
      <c r="Q195" s="183" t="s">
        <v>97</v>
      </c>
      <c r="R195" s="183">
        <v>2</v>
      </c>
      <c r="S195" s="183">
        <v>2</v>
      </c>
      <c r="T195" s="183">
        <v>2</v>
      </c>
      <c r="U195" s="183" t="s">
        <v>97</v>
      </c>
      <c r="V195" s="183"/>
      <c r="W195" s="183"/>
      <c r="X195" s="183"/>
      <c r="Y195" s="184">
        <f t="shared" si="70"/>
        <v>0.01</v>
      </c>
      <c r="Z195" s="184">
        <f t="shared" si="79"/>
        <v>1670</v>
      </c>
      <c r="AA195" s="185"/>
      <c r="AB195" s="185"/>
      <c r="AC195" s="185"/>
      <c r="AD195" s="649">
        <v>-0.01</v>
      </c>
      <c r="AE195" s="182"/>
      <c r="AF195" s="332"/>
      <c r="AG195" s="182"/>
      <c r="AH195" s="182"/>
      <c r="AI195" s="182"/>
      <c r="AJ195" s="640"/>
      <c r="AK195" s="182"/>
      <c r="AL195" s="496">
        <f t="shared" si="83"/>
        <v>-50.1</v>
      </c>
      <c r="AM195" s="496">
        <f t="shared" si="84"/>
        <v>-100.2</v>
      </c>
      <c r="AN195" s="626"/>
      <c r="AO195" s="182"/>
      <c r="AP195" s="182" t="s">
        <v>1047</v>
      </c>
      <c r="AQ195" s="332" t="str">
        <f>UPPER(RIGHT(Journal_Live[[#This Row],[DURATION ]]))</f>
        <v>W</v>
      </c>
      <c r="AR195" s="182" t="s">
        <v>1048</v>
      </c>
      <c r="AS195" s="189">
        <v>-0.04</v>
      </c>
      <c r="AT195" s="189">
        <f t="shared" si="80"/>
        <v>0.03</v>
      </c>
      <c r="AU195" s="187">
        <f t="shared" si="81"/>
        <v>100.2</v>
      </c>
      <c r="AV195" s="190">
        <f t="shared" si="82"/>
        <v>50.1</v>
      </c>
      <c r="AW195" s="191" t="s">
        <v>96</v>
      </c>
      <c r="AX195" s="407" t="s">
        <v>1049</v>
      </c>
      <c r="AY195" s="407"/>
      <c r="AZ195" s="407"/>
      <c r="BA195" s="407"/>
      <c r="BB195" s="407"/>
      <c r="BC195" s="407"/>
      <c r="BD195" s="407"/>
      <c r="BE195" s="407"/>
      <c r="BF195" s="422"/>
      <c r="BG195" s="391">
        <f>SUM($AV$4:AV195)</f>
        <v>1918.0550000000344</v>
      </c>
      <c r="BH195" s="392">
        <f>SUM($AU$134:AU195)</f>
        <v>1316.2000000000062</v>
      </c>
      <c r="BI195" s="318">
        <f>SUMIFS($AU$134:AU196,$Q$134:Q196,"F")</f>
        <v>0</v>
      </c>
      <c r="BJ195" s="318">
        <f>SUMIFS($AU$134:AU196,$Q$134:Q196,"S")</f>
        <v>1366.8000000000002</v>
      </c>
      <c r="BK195" s="343">
        <f>SUMIFS($AU$134:AU196,$P$134:P196,"W")</f>
        <v>1231.5999999999972</v>
      </c>
      <c r="BL195" s="343">
        <f>SUMIFS($AU$134:AU196,$P$134:P196,"R")</f>
        <v>67.900000000008632</v>
      </c>
      <c r="BM195" s="343">
        <f>SUMIFS($AU$134:AU196,$AQ$134:AQ196,"M")</f>
        <v>0</v>
      </c>
      <c r="BN195" s="343">
        <f>SUMIFS($AU$134:AU196,$AQ$134:AQ196,"H")</f>
        <v>100.39999999999527</v>
      </c>
      <c r="BO195" s="343">
        <f>SUMIFS($AU$134:AU196,$AQ$134:AQ196,"D")</f>
        <v>433.70000000000005</v>
      </c>
      <c r="BP195" s="343">
        <f>SUMIFS($AU$134:AU198,$AQ$134:AQ198,"W")</f>
        <v>451.99999999999994</v>
      </c>
      <c r="BQ195" s="343">
        <f>SUMIFS($AU$134:AU196,$Q$134:Q196,"O")</f>
        <v>-266.49999999999426</v>
      </c>
      <c r="BR195" s="343">
        <f>SUMIFS($AU$134:AU196,$AA$134:AA196,"*")</f>
        <v>1115.8000000000061</v>
      </c>
      <c r="BS195" s="343">
        <f>SUMIFS($AU$134:AU196,$AB$134:AB196,"*")</f>
        <v>466.19999999999823</v>
      </c>
      <c r="BT195" s="343">
        <f>SUMIFS($AU$134:AU196,$AC$134:AC196,"*")</f>
        <v>666.5</v>
      </c>
      <c r="BU195" s="343">
        <f>SUMIFS($AU$134:AU196,$AA$134:AA196,"*",$AB$134:AB196,"*")</f>
        <v>466.19999999999823</v>
      </c>
      <c r="BV195" s="343">
        <f>SUMIFS($AU$134:AU196,$AA$134:AA196,"*",$AC$134:AC196,"*")</f>
        <v>666.5</v>
      </c>
      <c r="BW195" s="343">
        <f>SUMIFS($AU$134:AU196,$AB$134:AB196,"*",$AC$134:AC196,"*")</f>
        <v>515.1</v>
      </c>
      <c r="BX195" s="343">
        <f>SUMIFS($AU196:AU$1388,$Q196:Q$1388,"F")</f>
        <v>14440.666666666668</v>
      </c>
      <c r="BY195" s="343">
        <f>SUMIFS($AU196:AU$1388,$Q196:Q$1388,"S")</f>
        <v>19288.142000000003</v>
      </c>
      <c r="BZ195" s="343">
        <f>SUMIFS($AU196:AU$1388,$Q196:Q$1388,"O")</f>
        <v>-1382.3579999998042</v>
      </c>
    </row>
    <row r="196" spans="1:78" ht="18" customHeight="1">
      <c r="A196" s="177" t="s">
        <v>785</v>
      </c>
      <c r="B196" s="177">
        <v>44945</v>
      </c>
      <c r="C196" s="178" t="s">
        <v>1050</v>
      </c>
      <c r="D196" s="178" t="s">
        <v>93</v>
      </c>
      <c r="E196" s="227"/>
      <c r="F196" s="180"/>
      <c r="G196" s="271" t="s">
        <v>757</v>
      </c>
      <c r="H196" s="182"/>
      <c r="I196" s="182"/>
      <c r="J196" s="182"/>
      <c r="K196" s="183"/>
      <c r="L196" s="182">
        <v>1</v>
      </c>
      <c r="M196" s="182"/>
      <c r="N196" s="182"/>
      <c r="O196" s="183" t="s">
        <v>95</v>
      </c>
      <c r="P196" s="183" t="s">
        <v>96</v>
      </c>
      <c r="Q196" s="183" t="s">
        <v>97</v>
      </c>
      <c r="R196" s="183">
        <v>1</v>
      </c>
      <c r="S196" s="183">
        <v>1</v>
      </c>
      <c r="T196" s="183">
        <v>1</v>
      </c>
      <c r="U196" s="183" t="s">
        <v>22</v>
      </c>
      <c r="V196" s="183"/>
      <c r="W196" s="183"/>
      <c r="X196" s="183"/>
      <c r="Y196" s="184">
        <f t="shared" si="70"/>
        <v>0.01</v>
      </c>
      <c r="Z196" s="184">
        <f t="shared" si="79"/>
        <v>1670</v>
      </c>
      <c r="AA196" s="185"/>
      <c r="AB196" s="185"/>
      <c r="AC196" s="185"/>
      <c r="AD196" s="649">
        <v>0.08</v>
      </c>
      <c r="AE196" s="182"/>
      <c r="AF196" s="332"/>
      <c r="AG196" s="182"/>
      <c r="AH196" s="182"/>
      <c r="AI196" s="182"/>
      <c r="AJ196" s="640"/>
      <c r="AK196" s="182"/>
      <c r="AL196" s="496">
        <f t="shared" si="83"/>
        <v>-50.1</v>
      </c>
      <c r="AM196" s="496">
        <f t="shared" si="84"/>
        <v>-50.1</v>
      </c>
      <c r="AN196" s="626"/>
      <c r="AO196" s="182"/>
      <c r="AP196" s="182" t="s">
        <v>589</v>
      </c>
      <c r="AQ196" s="332" t="str">
        <f>UPPER(RIGHT(Journal_Live[[#This Row],[DURATION ]]))</f>
        <v>D</v>
      </c>
      <c r="AR196" s="182" t="s">
        <v>1051</v>
      </c>
      <c r="AS196" s="189">
        <v>7.0000000000000007E-2</v>
      </c>
      <c r="AT196" s="189">
        <f t="shared" si="80"/>
        <v>-9.999999999999995E-3</v>
      </c>
      <c r="AU196" s="187">
        <f t="shared" si="81"/>
        <v>-16.699999999999992</v>
      </c>
      <c r="AV196" s="190">
        <f t="shared" si="82"/>
        <v>-16.699999999999992</v>
      </c>
      <c r="AW196" s="191" t="s">
        <v>229</v>
      </c>
      <c r="AX196" s="407"/>
      <c r="AY196" s="407"/>
      <c r="AZ196" s="407"/>
      <c r="BA196" s="407"/>
      <c r="BB196" s="407"/>
      <c r="BC196" s="407"/>
      <c r="BD196" s="407"/>
      <c r="BE196" s="407"/>
      <c r="BF196" s="422"/>
      <c r="BG196" s="391">
        <f>SUM($AV$4:AV196)</f>
        <v>1901.3550000000344</v>
      </c>
      <c r="BH196" s="392">
        <f>SUM($AU$134:AU196)</f>
        <v>1299.5000000000061</v>
      </c>
      <c r="BI196" s="318">
        <f>SUMIFS($AU$134:AU197,$Q$134:Q197,"F")</f>
        <v>0</v>
      </c>
      <c r="BJ196" s="318">
        <f>SUMIFS($AU$134:AU197,$Q$134:Q197,"S")</f>
        <v>1416.9</v>
      </c>
      <c r="BK196" s="343">
        <f>SUMIFS($AU$134:AU197,$P$134:P197,"W")</f>
        <v>1281.6999999999971</v>
      </c>
      <c r="BL196" s="343">
        <f>SUMIFS($AU$134:AU197,$P$134:P197,"R")</f>
        <v>67.900000000008632</v>
      </c>
      <c r="BM196" s="343">
        <f>SUMIFS($AU$134:AU197,$AQ$134:AQ197,"M")</f>
        <v>0</v>
      </c>
      <c r="BN196" s="343">
        <f>SUMIFS($AU$134:AU197,$AQ$134:AQ197,"H")</f>
        <v>150.49999999999528</v>
      </c>
      <c r="BO196" s="343">
        <f>SUMIFS($AU$134:AU197,$AQ$134:AQ197,"D")</f>
        <v>433.70000000000005</v>
      </c>
      <c r="BP196" s="343">
        <f>SUMIFS($AU$134:AU199,$AQ$134:AQ199,"W")</f>
        <v>451.99999999999994</v>
      </c>
      <c r="BQ196" s="343">
        <f>SUMIFS($AU$134:AU197,$Q$134:Q197,"O")</f>
        <v>-266.49999999999426</v>
      </c>
      <c r="BR196" s="343">
        <f>SUMIFS($AU$134:AU197,$AA$134:AA197,"*")</f>
        <v>1115.8000000000061</v>
      </c>
      <c r="BS196" s="343">
        <f>SUMIFS($AU$134:AU197,$AB$134:AB197,"*")</f>
        <v>466.19999999999823</v>
      </c>
      <c r="BT196" s="343">
        <f>SUMIFS($AU$134:AU197,$AC$134:AC197,"*")</f>
        <v>666.5</v>
      </c>
      <c r="BU196" s="343">
        <f>SUMIFS($AU$134:AU197,$AA$134:AA197,"*",$AB$134:AB197,"*")</f>
        <v>466.19999999999823</v>
      </c>
      <c r="BV196" s="343">
        <f>SUMIFS($AU$134:AU197,$AA$134:AA197,"*",$AC$134:AC197,"*")</f>
        <v>666.5</v>
      </c>
      <c r="BW196" s="343">
        <f>SUMIFS($AU$134:AU197,$AB$134:AB197,"*",$AC$134:AC197,"*")</f>
        <v>515.1</v>
      </c>
      <c r="BX196" s="343">
        <f>SUMIFS($AU197:AU$1388,$Q197:Q$1388,"F")</f>
        <v>14440.666666666668</v>
      </c>
      <c r="BY196" s="343">
        <f>SUMIFS($AU197:AU$1388,$Q197:Q$1388,"S")</f>
        <v>19304.842000000001</v>
      </c>
      <c r="BZ196" s="343">
        <f>SUMIFS($AU197:AU$1388,$Q197:Q$1388,"O")</f>
        <v>-1382.3579999998042</v>
      </c>
    </row>
    <row r="197" spans="1:78" ht="18" customHeight="1">
      <c r="A197" s="177" t="s">
        <v>785</v>
      </c>
      <c r="B197" s="177">
        <v>44945</v>
      </c>
      <c r="C197" s="178" t="s">
        <v>1052</v>
      </c>
      <c r="D197" s="178" t="s">
        <v>93</v>
      </c>
      <c r="E197" s="227"/>
      <c r="F197" s="180"/>
      <c r="G197" s="246" t="s">
        <v>133</v>
      </c>
      <c r="H197" s="182"/>
      <c r="I197" s="182"/>
      <c r="J197" s="182"/>
      <c r="K197" s="183"/>
      <c r="L197" s="182">
        <v>1</v>
      </c>
      <c r="M197" s="182"/>
      <c r="N197" s="182"/>
      <c r="O197" s="183" t="s">
        <v>95</v>
      </c>
      <c r="P197" s="183" t="s">
        <v>96</v>
      </c>
      <c r="Q197" s="183" t="s">
        <v>97</v>
      </c>
      <c r="R197" s="183">
        <v>3</v>
      </c>
      <c r="S197" s="183">
        <v>3</v>
      </c>
      <c r="T197" s="183">
        <v>3</v>
      </c>
      <c r="U197" s="183" t="s">
        <v>22</v>
      </c>
      <c r="V197" s="183"/>
      <c r="W197" s="183"/>
      <c r="X197" s="183"/>
      <c r="Y197" s="184">
        <f t="shared" si="70"/>
        <v>0.01</v>
      </c>
      <c r="Z197" s="184">
        <f t="shared" si="79"/>
        <v>1670</v>
      </c>
      <c r="AA197" s="185"/>
      <c r="AB197" s="185"/>
      <c r="AC197" s="185"/>
      <c r="AD197" s="649">
        <v>-0.04</v>
      </c>
      <c r="AE197" s="182"/>
      <c r="AF197" s="332"/>
      <c r="AG197" s="182"/>
      <c r="AH197" s="182"/>
      <c r="AI197" s="182"/>
      <c r="AJ197" s="640"/>
      <c r="AK197" s="182"/>
      <c r="AL197" s="496">
        <f t="shared" si="83"/>
        <v>-50.1</v>
      </c>
      <c r="AM197" s="496">
        <f t="shared" si="84"/>
        <v>-150.30000000000001</v>
      </c>
      <c r="AN197" s="626"/>
      <c r="AO197" s="182"/>
      <c r="AP197" s="182" t="s">
        <v>1053</v>
      </c>
      <c r="AQ197" s="332" t="str">
        <f>UPPER(RIGHT(Journal_Live[[#This Row],[DURATION ]]))</f>
        <v>H</v>
      </c>
      <c r="AR197" s="182" t="s">
        <v>1054</v>
      </c>
      <c r="AS197" s="189">
        <v>-0.03</v>
      </c>
      <c r="AT197" s="189">
        <f t="shared" si="80"/>
        <v>1.0000000000000002E-2</v>
      </c>
      <c r="AU197" s="187">
        <f t="shared" si="81"/>
        <v>50.100000000000009</v>
      </c>
      <c r="AV197" s="190">
        <f t="shared" si="82"/>
        <v>16.700000000000003</v>
      </c>
      <c r="AW197" s="191" t="s">
        <v>96</v>
      </c>
      <c r="AX197" s="407"/>
      <c r="AY197" s="407"/>
      <c r="AZ197" s="407"/>
      <c r="BA197" s="407"/>
      <c r="BB197" s="407"/>
      <c r="BC197" s="407"/>
      <c r="BD197" s="407"/>
      <c r="BE197" s="407"/>
      <c r="BF197" s="422"/>
      <c r="BG197" s="391">
        <f>SUM($AV$4:AV197)</f>
        <v>1918.0550000000344</v>
      </c>
      <c r="BH197" s="392">
        <f>SUM($AU$134:AU197)</f>
        <v>1349.600000000006</v>
      </c>
      <c r="BI197" s="318">
        <f>SUMIFS($AU$134:AU198,$Q$134:Q198,"F")</f>
        <v>0</v>
      </c>
      <c r="BJ197" s="318">
        <f>SUMIFS($AU$134:AU198,$Q$134:Q198,"S")</f>
        <v>1416.9</v>
      </c>
      <c r="BK197" s="343">
        <f>SUMIFS($AU$134:AU198,$P$134:P198,"W")</f>
        <v>1368.0000000000168</v>
      </c>
      <c r="BL197" s="343">
        <f>SUMIFS($AU$134:AU198,$P$134:P198,"R")</f>
        <v>67.900000000008632</v>
      </c>
      <c r="BM197" s="343">
        <f>SUMIFS($AU$134:AU198,$AQ$134:AQ198,"M")</f>
        <v>0</v>
      </c>
      <c r="BN197" s="343">
        <f>SUMIFS($AU$134:AU198,$AQ$134:AQ198,"H")</f>
        <v>236.8000000000149</v>
      </c>
      <c r="BO197" s="343">
        <f>SUMIFS($AU$134:AU198,$AQ$134:AQ198,"D")</f>
        <v>433.70000000000005</v>
      </c>
      <c r="BP197" s="343">
        <f>SUMIFS($AU$134:AU200,$AQ$134:AQ200,"W")</f>
        <v>451.99999999999994</v>
      </c>
      <c r="BQ197" s="343">
        <f>SUMIFS($AU$134:AU198,$Q$134:Q198,"O")</f>
        <v>-180.19999999997464</v>
      </c>
      <c r="BR197" s="343">
        <f>SUMIFS($AU$134:AU198,$AA$134:AA198,"*")</f>
        <v>1202.1000000000258</v>
      </c>
      <c r="BS197" s="343">
        <f>SUMIFS($AU$134:AU198,$AB$134:AB198,"*")</f>
        <v>466.19999999999823</v>
      </c>
      <c r="BT197" s="343">
        <f>SUMIFS($AU$134:AU198,$AC$134:AC198,"*")</f>
        <v>666.5</v>
      </c>
      <c r="BU197" s="343">
        <f>SUMIFS($AU$134:AU198,$AA$134:AA198,"*",$AB$134:AB198,"*")</f>
        <v>466.19999999999823</v>
      </c>
      <c r="BV197" s="343">
        <f>SUMIFS($AU$134:AU198,$AA$134:AA198,"*",$AC$134:AC198,"*")</f>
        <v>666.5</v>
      </c>
      <c r="BW197" s="343">
        <f>SUMIFS($AU$134:AU198,$AB$134:AB198,"*",$AC$134:AC198,"*")</f>
        <v>515.1</v>
      </c>
      <c r="BX197" s="343">
        <f>SUMIFS($AU198:AU$1388,$Q198:Q$1388,"F")</f>
        <v>14440.666666666668</v>
      </c>
      <c r="BY197" s="343">
        <f>SUMIFS($AU198:AU$1388,$Q198:Q$1388,"S")</f>
        <v>19254.742000000002</v>
      </c>
      <c r="BZ197" s="343">
        <f>SUMIFS($AU198:AU$1388,$Q198:Q$1388,"O")</f>
        <v>-1382.3579999998042</v>
      </c>
    </row>
    <row r="198" spans="1:78" ht="18" customHeight="1">
      <c r="A198" s="177" t="s">
        <v>785</v>
      </c>
      <c r="B198" s="177">
        <v>44945</v>
      </c>
      <c r="C198" s="178" t="s">
        <v>1055</v>
      </c>
      <c r="D198" s="178" t="s">
        <v>93</v>
      </c>
      <c r="E198" s="227"/>
      <c r="F198" s="180"/>
      <c r="G198" s="246" t="s">
        <v>1056</v>
      </c>
      <c r="H198" s="182"/>
      <c r="I198" s="182"/>
      <c r="J198" s="182"/>
      <c r="K198" s="183"/>
      <c r="L198" s="182"/>
      <c r="M198" s="182">
        <v>1</v>
      </c>
      <c r="N198" s="182"/>
      <c r="O198" s="183" t="s">
        <v>1057</v>
      </c>
      <c r="P198" s="183" t="s">
        <v>96</v>
      </c>
      <c r="Q198" s="183" t="s">
        <v>684</v>
      </c>
      <c r="R198" s="183">
        <v>2</v>
      </c>
      <c r="S198" s="183">
        <v>2</v>
      </c>
      <c r="T198" s="183">
        <v>1</v>
      </c>
      <c r="U198" s="183" t="s">
        <v>97</v>
      </c>
      <c r="V198" s="183"/>
      <c r="W198" s="183"/>
      <c r="X198" s="183"/>
      <c r="Y198" s="184">
        <f t="shared" si="70"/>
        <v>5.0000000000000001E-3</v>
      </c>
      <c r="Z198" s="184">
        <f t="shared" si="79"/>
        <v>1726.0000000000002</v>
      </c>
      <c r="AA198" s="185" t="s">
        <v>1058</v>
      </c>
      <c r="AB198" s="185"/>
      <c r="AC198" s="185"/>
      <c r="AD198" s="649">
        <v>96.81</v>
      </c>
      <c r="AE198" s="182"/>
      <c r="AF198" s="332"/>
      <c r="AG198" s="182"/>
      <c r="AH198" s="182"/>
      <c r="AI198" s="182"/>
      <c r="AJ198" s="640"/>
      <c r="AK198" s="182"/>
      <c r="AL198" s="496">
        <f>-0.02*Z198</f>
        <v>-34.520000000000003</v>
      </c>
      <c r="AM198" s="496">
        <f t="shared" si="84"/>
        <v>-69.040000000000006</v>
      </c>
      <c r="AN198" s="626"/>
      <c r="AO198" s="182"/>
      <c r="AP198" s="182" t="s">
        <v>838</v>
      </c>
      <c r="AQ198" s="332" t="str">
        <f>UPPER(RIGHT(Journal_Live[[#This Row],[DURATION ]]))</f>
        <v>H</v>
      </c>
      <c r="AR198" s="182" t="s">
        <v>1059</v>
      </c>
      <c r="AS198" s="189">
        <v>96.784999999999997</v>
      </c>
      <c r="AT198" s="189">
        <f t="shared" si="80"/>
        <v>2.5000000000005684E-2</v>
      </c>
      <c r="AU198" s="187">
        <f t="shared" si="81"/>
        <v>86.300000000019637</v>
      </c>
      <c r="AV198" s="190">
        <f t="shared" si="82"/>
        <v>43.150000000009818</v>
      </c>
      <c r="AW198" s="191" t="s">
        <v>96</v>
      </c>
      <c r="AX198" s="407" t="s">
        <v>1060</v>
      </c>
      <c r="AY198" s="407" t="s">
        <v>1061</v>
      </c>
      <c r="AZ198" s="407" t="s">
        <v>452</v>
      </c>
      <c r="BA198" s="407"/>
      <c r="BB198" s="407"/>
      <c r="BC198" s="407"/>
      <c r="BD198" s="407"/>
      <c r="BE198" s="407"/>
      <c r="BF198" s="422"/>
      <c r="BG198" s="391">
        <f>SUM($AV$4:AV198)</f>
        <v>1961.2050000000443</v>
      </c>
      <c r="BH198" s="392">
        <f>SUM($AU$134:AU198)</f>
        <v>1435.9000000000258</v>
      </c>
      <c r="BI198" s="318">
        <f>SUMIFS($AU$134:AU199,$Q$134:Q199,"F")</f>
        <v>0</v>
      </c>
      <c r="BJ198" s="318">
        <f>SUMIFS($AU$134:AU199,$Q$134:Q199,"S")</f>
        <v>1416.9</v>
      </c>
      <c r="BK198" s="343">
        <f>SUMIFS($AU$134:AU199,$P$134:P199,"W")</f>
        <v>1368.0000000000168</v>
      </c>
      <c r="BL198" s="343">
        <f>SUMIFS($AU$134:AU199,$P$134:P199,"R")</f>
        <v>67.900000000008632</v>
      </c>
      <c r="BM198" s="343">
        <f>SUMIFS($AU$134:AU199,$AQ$134:AQ199,"M")</f>
        <v>0</v>
      </c>
      <c r="BN198" s="343">
        <f>SUMIFS($AU$134:AU199,$AQ$134:AQ199,"H")</f>
        <v>236.8000000000149</v>
      </c>
      <c r="BO198" s="343">
        <f>SUMIFS($AU$134:AU199,$AQ$134:AQ199,"D")</f>
        <v>433.70000000000005</v>
      </c>
      <c r="BP198" s="343">
        <f>SUMIFS($AU$134:AU201,$AQ$134:AQ201,"W")</f>
        <v>451.99999999999994</v>
      </c>
      <c r="BQ198" s="343">
        <f>SUMIFS($AU$134:AU199,$Q$134:Q199,"O")</f>
        <v>-180.19999999997464</v>
      </c>
      <c r="BR198" s="343">
        <f>SUMIFS($AU$134:AU199,$AA$134:AA199,"*")</f>
        <v>1202.1000000000258</v>
      </c>
      <c r="BS198" s="343">
        <f>SUMIFS($AU$134:AU199,$AB$134:AB199,"*")</f>
        <v>466.19999999999823</v>
      </c>
      <c r="BT198" s="343">
        <f>SUMIFS($AU$134:AU199,$AC$134:AC199,"*")</f>
        <v>666.5</v>
      </c>
      <c r="BU198" s="343">
        <f>SUMIFS($AU$134:AU199,$AA$134:AA199,"*",$AB$134:AB199,"*")</f>
        <v>466.19999999999823</v>
      </c>
      <c r="BV198" s="343">
        <f>SUMIFS($AU$134:AU199,$AA$134:AA199,"*",$AC$134:AC199,"*")</f>
        <v>666.5</v>
      </c>
      <c r="BW198" s="343">
        <f>SUMIFS($AU$134:AU199,$AB$134:AB199,"*",$AC$134:AC199,"*")</f>
        <v>515.1</v>
      </c>
      <c r="BX198" s="343">
        <f>SUMIFS($AU199:AU$1388,$Q199:Q$1388,"F")</f>
        <v>14440.666666666668</v>
      </c>
      <c r="BY198" s="343">
        <f>SUMIFS($AU199:AU$1388,$Q199:Q$1388,"S")</f>
        <v>19254.742000000002</v>
      </c>
      <c r="BZ198" s="343">
        <f>SUMIFS($AU199:AU$1388,$Q199:Q$1388,"O")</f>
        <v>-1468.6579999998237</v>
      </c>
    </row>
    <row r="199" spans="1:78" ht="18" customHeight="1">
      <c r="A199" s="177" t="s">
        <v>785</v>
      </c>
      <c r="B199" s="177">
        <v>44945</v>
      </c>
      <c r="C199" s="194">
        <v>0.79166666666666663</v>
      </c>
      <c r="D199" s="178" t="s">
        <v>93</v>
      </c>
      <c r="E199" s="227" t="s">
        <v>1062</v>
      </c>
      <c r="F199" s="180" t="s">
        <v>1063</v>
      </c>
      <c r="G199" s="181"/>
      <c r="H199" s="182"/>
      <c r="I199" s="182"/>
      <c r="J199" s="182">
        <v>1</v>
      </c>
      <c r="K199" s="183" t="s">
        <v>372</v>
      </c>
      <c r="L199" s="182"/>
      <c r="M199" s="182"/>
      <c r="N199" s="182"/>
      <c r="O199" s="183"/>
      <c r="P199" s="183"/>
      <c r="Q199" s="183"/>
      <c r="R199" s="183"/>
      <c r="S199" s="183"/>
      <c r="T199" s="183"/>
      <c r="U199" s="183"/>
      <c r="V199" s="183"/>
      <c r="W199" s="183"/>
      <c r="X199" s="183"/>
      <c r="Y199" s="184">
        <f t="shared" si="70"/>
        <v>0</v>
      </c>
      <c r="Z199" s="184">
        <f t="shared" si="79"/>
        <v>0</v>
      </c>
      <c r="AA199" s="185"/>
      <c r="AB199" s="185"/>
      <c r="AC199" s="185"/>
      <c r="AD199" s="649"/>
      <c r="AE199" s="182"/>
      <c r="AF199" s="332"/>
      <c r="AG199" s="182"/>
      <c r="AH199" s="182"/>
      <c r="AI199" s="182"/>
      <c r="AJ199" s="640"/>
      <c r="AK199" s="182"/>
      <c r="AL199" s="496"/>
      <c r="AM199" s="497"/>
      <c r="AN199" s="626"/>
      <c r="AO199" s="182"/>
      <c r="AP199" s="182"/>
      <c r="AQ199" s="332" t="str">
        <f>UPPER(RIGHT(Journal_Live[[#This Row],[DURATION ]]))</f>
        <v/>
      </c>
      <c r="AR199" s="182"/>
      <c r="AS199" s="189"/>
      <c r="AT199" s="182"/>
      <c r="AU199" s="187"/>
      <c r="AV199" s="190"/>
      <c r="AW199" s="191"/>
      <c r="AX199" s="407"/>
      <c r="AY199" s="407"/>
      <c r="AZ199" s="407"/>
      <c r="BA199" s="407"/>
      <c r="BB199" s="407"/>
      <c r="BC199" s="407"/>
      <c r="BD199" s="407"/>
      <c r="BE199" s="407"/>
      <c r="BF199" s="422"/>
      <c r="BG199" s="391">
        <f>SUM($AV$4:AV199)</f>
        <v>1961.2050000000443</v>
      </c>
      <c r="BH199" s="392">
        <f>SUM($AU$134:AU199)</f>
        <v>1435.9000000000258</v>
      </c>
      <c r="BI199" s="318">
        <f>SUMIFS($AU$134:AU200,$Q$134:Q200,"F")</f>
        <v>0</v>
      </c>
      <c r="BJ199" s="318">
        <f>SUMIFS($AU$134:AU200,$Q$134:Q200,"S")</f>
        <v>1416.9</v>
      </c>
      <c r="BK199" s="343">
        <f>SUMIFS($AU$134:AU200,$P$134:P200,"W")</f>
        <v>1368.0000000000168</v>
      </c>
      <c r="BL199" s="343">
        <f>SUMIFS($AU$134:AU200,$P$134:P200,"R")</f>
        <v>67.900000000008632</v>
      </c>
      <c r="BM199" s="343">
        <f>SUMIFS($AU$134:AU200,$AQ$134:AQ200,"M")</f>
        <v>0</v>
      </c>
      <c r="BN199" s="343">
        <f>SUMIFS($AU$134:AU200,$AQ$134:AQ200,"H")</f>
        <v>236.8000000000149</v>
      </c>
      <c r="BO199" s="343">
        <f>SUMIFS($AU$134:AU200,$AQ$134:AQ200,"D")</f>
        <v>433.70000000000005</v>
      </c>
      <c r="BP199" s="343">
        <f>SUMIFS($AU$134:AU202,$AQ$134:AQ202,"W")</f>
        <v>451.99999999999994</v>
      </c>
      <c r="BQ199" s="343">
        <f>SUMIFS($AU$134:AU200,$Q$134:Q200,"O")</f>
        <v>-180.19999999997464</v>
      </c>
      <c r="BR199" s="343">
        <f>SUMIFS($AU$134:AU200,$AA$134:AA200,"*")</f>
        <v>1202.1000000000258</v>
      </c>
      <c r="BS199" s="343">
        <f>SUMIFS($AU$134:AU200,$AB$134:AB200,"*")</f>
        <v>466.19999999999823</v>
      </c>
      <c r="BT199" s="343">
        <f>SUMIFS($AU$134:AU200,$AC$134:AC200,"*")</f>
        <v>666.5</v>
      </c>
      <c r="BU199" s="343">
        <f>SUMIFS($AU$134:AU200,$AA$134:AA200,"*",$AB$134:AB200,"*")</f>
        <v>466.19999999999823</v>
      </c>
      <c r="BV199" s="343">
        <f>SUMIFS($AU$134:AU200,$AA$134:AA200,"*",$AC$134:AC200,"*")</f>
        <v>666.5</v>
      </c>
      <c r="BW199" s="343">
        <f>SUMIFS($AU$134:AU200,$AB$134:AB200,"*",$AC$134:AC200,"*")</f>
        <v>515.1</v>
      </c>
      <c r="BX199" s="343">
        <f>SUMIFS($AU200:AU$1388,$Q200:Q$1388,"F")</f>
        <v>14440.666666666668</v>
      </c>
      <c r="BY199" s="343">
        <f>SUMIFS($AU200:AU$1388,$Q200:Q$1388,"S")</f>
        <v>19254.742000000002</v>
      </c>
      <c r="BZ199" s="343">
        <f>SUMIFS($AU200:AU$1388,$Q200:Q$1388,"O")</f>
        <v>-1468.6579999998237</v>
      </c>
    </row>
    <row r="200" spans="1:78" ht="18" customHeight="1">
      <c r="A200" s="177" t="s">
        <v>785</v>
      </c>
      <c r="B200" s="177">
        <v>44946</v>
      </c>
      <c r="C200" s="178" t="s">
        <v>1064</v>
      </c>
      <c r="D200" s="178" t="s">
        <v>111</v>
      </c>
      <c r="E200" s="227"/>
      <c r="F200" s="180"/>
      <c r="G200" s="181" t="s">
        <v>365</v>
      </c>
      <c r="H200" s="182"/>
      <c r="I200" s="182"/>
      <c r="J200" s="182"/>
      <c r="K200" s="183"/>
      <c r="L200" s="182">
        <v>1</v>
      </c>
      <c r="M200" s="182">
        <v>1</v>
      </c>
      <c r="N200" s="182"/>
      <c r="O200" s="183" t="s">
        <v>95</v>
      </c>
      <c r="P200" s="183" t="s">
        <v>96</v>
      </c>
      <c r="Q200" s="183" t="s">
        <v>97</v>
      </c>
      <c r="R200" s="183">
        <v>3</v>
      </c>
      <c r="S200" s="183">
        <v>3</v>
      </c>
      <c r="T200" s="183">
        <v>3</v>
      </c>
      <c r="U200" s="183" t="s">
        <v>97</v>
      </c>
      <c r="V200" s="183"/>
      <c r="W200" s="183"/>
      <c r="X200" s="183"/>
      <c r="Y200" s="184">
        <f t="shared" ref="Y200:Y220" si="85">IF(ISBLANK(O200),,(IF(O200=UPPER("IB"),0.005,0.01)))</f>
        <v>0.01</v>
      </c>
      <c r="Z200" s="184">
        <f t="shared" si="79"/>
        <v>1670</v>
      </c>
      <c r="AA200" s="185" t="s">
        <v>1065</v>
      </c>
      <c r="AB200" s="185"/>
      <c r="AC200" s="185" t="s">
        <v>1066</v>
      </c>
      <c r="AD200" s="649">
        <v>-0.09</v>
      </c>
      <c r="AE200" s="182"/>
      <c r="AF200" s="332">
        <v>-0.06</v>
      </c>
      <c r="AG200" s="182"/>
      <c r="AH200" s="182" t="s">
        <v>1067</v>
      </c>
      <c r="AI200" s="182" t="s">
        <v>1068</v>
      </c>
      <c r="AJ200" s="640"/>
      <c r="AK200" s="182"/>
      <c r="AL200" s="496">
        <f>-0.02*Z200</f>
        <v>-33.4</v>
      </c>
      <c r="AM200" s="496">
        <f t="shared" ref="AM200:AM206" si="86">AL200*R200</f>
        <v>-100.19999999999999</v>
      </c>
      <c r="AN200" s="626"/>
      <c r="AO200" s="182"/>
      <c r="AP200" s="182" t="s">
        <v>864</v>
      </c>
      <c r="AQ200" s="332" t="str">
        <f>UPPER(RIGHT(Journal_Live[[#This Row],[DURATION ]]))</f>
        <v>D</v>
      </c>
      <c r="AR200" s="182" t="s">
        <v>1069</v>
      </c>
      <c r="AS200" s="189">
        <v>-0.09</v>
      </c>
      <c r="AT200" s="189">
        <f t="shared" ref="AT200:AT206" si="87">IF(ISBLANK(AS200),,IF(U200="S",AD200-AS200,AS200-AD200))</f>
        <v>0</v>
      </c>
      <c r="AU200" s="187">
        <f t="shared" ref="AU200:AU206" si="88">AV200*R200</f>
        <v>0</v>
      </c>
      <c r="AV200" s="190">
        <f t="shared" ref="AV200:AV206" si="89">IF(ISBLANK(AS200),,(AT200*Z200))</f>
        <v>0</v>
      </c>
      <c r="AW200" s="191" t="s">
        <v>115</v>
      </c>
      <c r="AX200" s="407" t="s">
        <v>1070</v>
      </c>
      <c r="AY200" s="407"/>
      <c r="AZ200" s="407"/>
      <c r="BA200" s="407"/>
      <c r="BB200" s="407"/>
      <c r="BC200" s="407"/>
      <c r="BD200" s="407"/>
      <c r="BE200" s="407"/>
      <c r="BF200" s="422"/>
      <c r="BG200" s="391">
        <f>SUM($AV$4:AV200)</f>
        <v>1961.2050000000443</v>
      </c>
      <c r="BH200" s="392">
        <f>SUM($AU$134:AU200)</f>
        <v>1435.9000000000258</v>
      </c>
      <c r="BI200" s="318">
        <f>SUMIFS($AU$134:AU201,$Q$134:Q201,"F")</f>
        <v>0</v>
      </c>
      <c r="BJ200" s="318">
        <f>SUMIFS($AU$134:AU201,$Q$134:Q201,"S")</f>
        <v>1450.3000000000002</v>
      </c>
      <c r="BK200" s="343">
        <f>SUMIFS($AU$134:AU201,$P$134:P201,"W")</f>
        <v>1401.4000000000169</v>
      </c>
      <c r="BL200" s="343">
        <f>SUMIFS($AU$134:AU201,$P$134:P201,"R")</f>
        <v>67.900000000008632</v>
      </c>
      <c r="BM200" s="343">
        <f>SUMIFS($AU$134:AU201,$AQ$134:AQ201,"M")</f>
        <v>0</v>
      </c>
      <c r="BN200" s="343">
        <f>SUMIFS($AU$134:AU201,$AQ$134:AQ201,"H")</f>
        <v>236.8000000000149</v>
      </c>
      <c r="BO200" s="343">
        <f>SUMIFS($AU$134:AU201,$AQ$134:AQ201,"D")</f>
        <v>467.10000000000008</v>
      </c>
      <c r="BP200" s="343">
        <f>SUMIFS($AU$134:AU203,$AQ$134:AQ203,"W")</f>
        <v>451.99999999999994</v>
      </c>
      <c r="BQ200" s="343">
        <f>SUMIFS($AU$134:AU201,$Q$134:Q201,"O")</f>
        <v>-180.19999999997464</v>
      </c>
      <c r="BR200" s="343">
        <f>SUMIFS($AU$134:AU201,$AA$134:AA201,"*")</f>
        <v>1235.5000000000259</v>
      </c>
      <c r="BS200" s="343">
        <f>SUMIFS($AU$134:AU201,$AB$134:AB201,"*")</f>
        <v>466.19999999999823</v>
      </c>
      <c r="BT200" s="343">
        <f>SUMIFS($AU$134:AU201,$AC$134:AC201,"*")</f>
        <v>699.9</v>
      </c>
      <c r="BU200" s="343">
        <f>SUMIFS($AU$134:AU201,$AA$134:AA201,"*",$AB$134:AB201,"*")</f>
        <v>466.19999999999823</v>
      </c>
      <c r="BV200" s="343">
        <f>SUMIFS($AU$134:AU201,$AA$134:AA201,"*",$AC$134:AC201,"*")</f>
        <v>699.9</v>
      </c>
      <c r="BW200" s="343">
        <f>SUMIFS($AU$134:AU201,$AB$134:AB201,"*",$AC$134:AC201,"*")</f>
        <v>515.1</v>
      </c>
      <c r="BX200" s="343">
        <f>SUMIFS($AU201:AU$1388,$Q201:Q$1388,"F")</f>
        <v>14440.666666666668</v>
      </c>
      <c r="BY200" s="343">
        <f>SUMIFS($AU201:AU$1388,$Q201:Q$1388,"S")</f>
        <v>19254.742000000002</v>
      </c>
      <c r="BZ200" s="343">
        <f>SUMIFS($AU201:AU$1388,$Q201:Q$1388,"O")</f>
        <v>-1468.6579999998237</v>
      </c>
    </row>
    <row r="201" spans="1:78" ht="18" customHeight="1">
      <c r="A201" s="177" t="s">
        <v>785</v>
      </c>
      <c r="B201" s="177">
        <v>44946</v>
      </c>
      <c r="C201" s="194">
        <v>0.16666666666666666</v>
      </c>
      <c r="D201" s="178" t="s">
        <v>111</v>
      </c>
      <c r="E201" s="227"/>
      <c r="F201" s="180"/>
      <c r="G201" s="249" t="s">
        <v>757</v>
      </c>
      <c r="H201" s="182"/>
      <c r="I201" s="182"/>
      <c r="J201" s="182"/>
      <c r="K201" s="183"/>
      <c r="L201" s="182">
        <v>1</v>
      </c>
      <c r="M201" s="182"/>
      <c r="N201" s="182"/>
      <c r="O201" s="183" t="s">
        <v>95</v>
      </c>
      <c r="P201" s="183" t="s">
        <v>96</v>
      </c>
      <c r="Q201" s="183" t="s">
        <v>97</v>
      </c>
      <c r="R201" s="183">
        <v>2</v>
      </c>
      <c r="S201" s="183">
        <v>2</v>
      </c>
      <c r="T201" s="183">
        <v>2</v>
      </c>
      <c r="U201" s="183" t="s">
        <v>22</v>
      </c>
      <c r="V201" s="183"/>
      <c r="W201" s="183"/>
      <c r="X201" s="183"/>
      <c r="Y201" s="184">
        <f t="shared" si="85"/>
        <v>0.01</v>
      </c>
      <c r="Z201" s="184">
        <f t="shared" si="79"/>
        <v>1670</v>
      </c>
      <c r="AA201" s="185" t="s">
        <v>1071</v>
      </c>
      <c r="AB201" s="185"/>
      <c r="AC201" s="185" t="s">
        <v>1072</v>
      </c>
      <c r="AD201" s="649">
        <v>0.06</v>
      </c>
      <c r="AE201" s="182"/>
      <c r="AF201" s="332">
        <v>0</v>
      </c>
      <c r="AG201" s="182"/>
      <c r="AH201" s="182">
        <v>9</v>
      </c>
      <c r="AI201" s="182"/>
      <c r="AJ201" s="640"/>
      <c r="AK201" s="182"/>
      <c r="AL201" s="496">
        <f>-0.06*Z201</f>
        <v>-100.2</v>
      </c>
      <c r="AM201" s="496">
        <f t="shared" si="86"/>
        <v>-200.4</v>
      </c>
      <c r="AN201" s="626"/>
      <c r="AO201" s="182"/>
      <c r="AP201" s="182" t="s">
        <v>804</v>
      </c>
      <c r="AQ201" s="332" t="str">
        <f>UPPER(RIGHT(Journal_Live[[#This Row],[DURATION ]]))</f>
        <v>D</v>
      </c>
      <c r="AR201" s="182" t="s">
        <v>1051</v>
      </c>
      <c r="AS201" s="189">
        <v>7.0000000000000007E-2</v>
      </c>
      <c r="AT201" s="189">
        <f t="shared" si="87"/>
        <v>1.0000000000000009E-2</v>
      </c>
      <c r="AU201" s="187">
        <f t="shared" si="88"/>
        <v>33.400000000000027</v>
      </c>
      <c r="AV201" s="190">
        <f t="shared" si="89"/>
        <v>16.700000000000014</v>
      </c>
      <c r="AW201" s="191" t="s">
        <v>96</v>
      </c>
      <c r="AX201" s="407"/>
      <c r="AY201" s="407"/>
      <c r="AZ201" s="407"/>
      <c r="BA201" s="407"/>
      <c r="BB201" s="407"/>
      <c r="BC201" s="407"/>
      <c r="BD201" s="407"/>
      <c r="BE201" s="407"/>
      <c r="BF201" s="422"/>
      <c r="BG201" s="391">
        <f>SUM($AV$4:AV201)</f>
        <v>1977.9050000000443</v>
      </c>
      <c r="BH201" s="392">
        <f>SUM($AU$134:AU201)</f>
        <v>1469.3000000000259</v>
      </c>
      <c r="BI201" s="318">
        <f>SUMIFS($AU$134:AU202,$Q$134:Q202,"F")</f>
        <v>0</v>
      </c>
      <c r="BJ201" s="318">
        <f>SUMIFS($AU$134:AU202,$Q$134:Q202,"S")</f>
        <v>1500.4</v>
      </c>
      <c r="BK201" s="343">
        <f>SUMIFS($AU$134:AU202,$P$134:P202,"W")</f>
        <v>1451.5000000000168</v>
      </c>
      <c r="BL201" s="343">
        <f>SUMIFS($AU$134:AU202,$P$134:P202,"R")</f>
        <v>67.900000000008632</v>
      </c>
      <c r="BM201" s="343">
        <f>SUMIFS($AU$134:AU202,$AQ$134:AQ202,"M")</f>
        <v>0</v>
      </c>
      <c r="BN201" s="343">
        <f>SUMIFS($AU$134:AU202,$AQ$134:AQ202,"H")</f>
        <v>286.90000000001487</v>
      </c>
      <c r="BO201" s="343">
        <f>SUMIFS($AU$134:AU202,$AQ$134:AQ202,"D")</f>
        <v>467.10000000000008</v>
      </c>
      <c r="BP201" s="343">
        <f>SUMIFS($AU$134:AU204,$AQ$134:AQ204,"W")</f>
        <v>451.99999999999994</v>
      </c>
      <c r="BQ201" s="343">
        <f>SUMIFS($AU$134:AU202,$Q$134:Q202,"O")</f>
        <v>-180.19999999997464</v>
      </c>
      <c r="BR201" s="343">
        <f>SUMIFS($AU$134:AU202,$AA$134:AA202,"*")</f>
        <v>1285.6000000000258</v>
      </c>
      <c r="BS201" s="343">
        <f>SUMIFS($AU$134:AU202,$AB$134:AB202,"*")</f>
        <v>466.19999999999823</v>
      </c>
      <c r="BT201" s="343">
        <f>SUMIFS($AU$134:AU202,$AC$134:AC202,"*")</f>
        <v>699.9</v>
      </c>
      <c r="BU201" s="343">
        <f>SUMIFS($AU$134:AU202,$AA$134:AA202,"*",$AB$134:AB202,"*")</f>
        <v>466.19999999999823</v>
      </c>
      <c r="BV201" s="343">
        <f>SUMIFS($AU$134:AU202,$AA$134:AA202,"*",$AC$134:AC202,"*")</f>
        <v>699.9</v>
      </c>
      <c r="BW201" s="343">
        <f>SUMIFS($AU$134:AU202,$AB$134:AB202,"*",$AC$134:AC202,"*")</f>
        <v>515.1</v>
      </c>
      <c r="BX201" s="343">
        <f>SUMIFS($AU202:AU$1388,$Q202:Q$1388,"F")</f>
        <v>14440.666666666668</v>
      </c>
      <c r="BY201" s="343">
        <f>SUMIFS($AU202:AU$1388,$Q202:Q$1388,"S")</f>
        <v>19221.342000000001</v>
      </c>
      <c r="BZ201" s="343">
        <f>SUMIFS($AU202:AU$1388,$Q202:Q$1388,"O")</f>
        <v>-1468.6579999998237</v>
      </c>
    </row>
    <row r="202" spans="1:78" ht="18" customHeight="1">
      <c r="A202" s="177" t="s">
        <v>785</v>
      </c>
      <c r="B202" s="177">
        <v>44946</v>
      </c>
      <c r="C202" s="178" t="s">
        <v>1073</v>
      </c>
      <c r="D202" s="178" t="s">
        <v>111</v>
      </c>
      <c r="E202" s="227"/>
      <c r="F202" s="180"/>
      <c r="G202" s="181" t="s">
        <v>133</v>
      </c>
      <c r="H202" s="182"/>
      <c r="I202" s="182"/>
      <c r="J202" s="182"/>
      <c r="K202" s="183"/>
      <c r="L202" s="182">
        <v>1</v>
      </c>
      <c r="M202" s="182"/>
      <c r="N202" s="182"/>
      <c r="O202" s="183" t="s">
        <v>95</v>
      </c>
      <c r="P202" s="183" t="s">
        <v>96</v>
      </c>
      <c r="Q202" s="183" t="s">
        <v>97</v>
      </c>
      <c r="R202" s="183">
        <v>3</v>
      </c>
      <c r="S202" s="183">
        <v>3</v>
      </c>
      <c r="T202" s="183">
        <v>3</v>
      </c>
      <c r="U202" s="183" t="s">
        <v>97</v>
      </c>
      <c r="V202" s="183"/>
      <c r="W202" s="183"/>
      <c r="X202" s="183"/>
      <c r="Y202" s="184">
        <f t="shared" si="85"/>
        <v>0.01</v>
      </c>
      <c r="Z202" s="184">
        <f t="shared" si="79"/>
        <v>1670</v>
      </c>
      <c r="AA202" s="185" t="s">
        <v>1074</v>
      </c>
      <c r="AB202" s="185"/>
      <c r="AC202" s="185"/>
      <c r="AD202" s="649">
        <v>-0.02</v>
      </c>
      <c r="AE202" s="182"/>
      <c r="AF202" s="332">
        <v>0.01</v>
      </c>
      <c r="AG202" s="182"/>
      <c r="AH202" s="182">
        <v>0.03</v>
      </c>
      <c r="AI202" s="182"/>
      <c r="AJ202" s="640"/>
      <c r="AK202" s="182"/>
      <c r="AL202" s="496">
        <f t="shared" ref="AL202:AL206" si="90">-0.03*Z202</f>
        <v>-50.1</v>
      </c>
      <c r="AM202" s="496">
        <f t="shared" si="86"/>
        <v>-150.30000000000001</v>
      </c>
      <c r="AN202" s="626"/>
      <c r="AO202" s="182"/>
      <c r="AP202" s="182" t="s">
        <v>942</v>
      </c>
      <c r="AQ202" s="332" t="str">
        <f>UPPER(RIGHT(Journal_Live[[#This Row],[DURATION ]]))</f>
        <v>H</v>
      </c>
      <c r="AR202" s="182" t="s">
        <v>1075</v>
      </c>
      <c r="AS202" s="189">
        <v>-0.03</v>
      </c>
      <c r="AT202" s="189">
        <f t="shared" si="87"/>
        <v>9.9999999999999985E-3</v>
      </c>
      <c r="AU202" s="187">
        <f t="shared" si="88"/>
        <v>50.099999999999987</v>
      </c>
      <c r="AV202" s="190">
        <f t="shared" si="89"/>
        <v>16.699999999999996</v>
      </c>
      <c r="AW202" s="191" t="s">
        <v>96</v>
      </c>
      <c r="AX202" s="407"/>
      <c r="AY202" s="407"/>
      <c r="AZ202" s="407"/>
      <c r="BA202" s="407"/>
      <c r="BB202" s="407"/>
      <c r="BC202" s="407"/>
      <c r="BD202" s="407"/>
      <c r="BE202" s="407"/>
      <c r="BF202" s="422"/>
      <c r="BG202" s="391">
        <f>SUM($AV$4:AV202)</f>
        <v>1994.6050000000444</v>
      </c>
      <c r="BH202" s="392">
        <f>SUM($AU$134:AU202)</f>
        <v>1519.4000000000258</v>
      </c>
      <c r="BI202" s="318">
        <f>SUMIFS($AU$134:AU203,$Q$134:Q203,"F")</f>
        <v>0</v>
      </c>
      <c r="BJ202" s="318">
        <f>SUMIFS($AU$134:AU203,$Q$134:Q203,"S")</f>
        <v>1517.1000000000001</v>
      </c>
      <c r="BK202" s="343">
        <f>SUMIFS($AU$134:AU203,$P$134:P203,"W")</f>
        <v>1468.2000000000169</v>
      </c>
      <c r="BL202" s="343">
        <f>SUMIFS($AU$134:AU203,$P$134:P203,"R")</f>
        <v>67.900000000008632</v>
      </c>
      <c r="BM202" s="343">
        <f>SUMIFS($AU$134:AU203,$AQ$134:AQ203,"M")</f>
        <v>0</v>
      </c>
      <c r="BN202" s="343">
        <f>SUMIFS($AU$134:AU203,$AQ$134:AQ203,"H")</f>
        <v>286.90000000001487</v>
      </c>
      <c r="BO202" s="343">
        <f>SUMIFS($AU$134:AU203,$AQ$134:AQ203,"D")</f>
        <v>483.80000000000007</v>
      </c>
      <c r="BP202" s="343">
        <f>SUMIFS($AU$134:AU205,$AQ$134:AQ205,"W")</f>
        <v>451.99999999999994</v>
      </c>
      <c r="BQ202" s="343">
        <f>SUMIFS($AU$134:AU203,$Q$134:Q203,"O")</f>
        <v>-180.19999999997464</v>
      </c>
      <c r="BR202" s="343">
        <f>SUMIFS($AU$134:AU203,$AA$134:AA203,"*")</f>
        <v>1302.3000000000259</v>
      </c>
      <c r="BS202" s="343">
        <f>SUMIFS($AU$134:AU203,$AB$134:AB203,"*")</f>
        <v>466.19999999999823</v>
      </c>
      <c r="BT202" s="343">
        <f>SUMIFS($AU$134:AU203,$AC$134:AC203,"*")</f>
        <v>699.9</v>
      </c>
      <c r="BU202" s="343">
        <f>SUMIFS($AU$134:AU203,$AA$134:AA203,"*",$AB$134:AB203,"*")</f>
        <v>466.19999999999823</v>
      </c>
      <c r="BV202" s="343">
        <f>SUMIFS($AU$134:AU203,$AA$134:AA203,"*",$AC$134:AC203,"*")</f>
        <v>699.9</v>
      </c>
      <c r="BW202" s="343">
        <f>SUMIFS($AU$134:AU203,$AB$134:AB203,"*",$AC$134:AC203,"*")</f>
        <v>515.1</v>
      </c>
      <c r="BX202" s="343">
        <f>SUMIFS($AU203:AU$1388,$Q203:Q$1388,"F")</f>
        <v>14440.666666666668</v>
      </c>
      <c r="BY202" s="343">
        <f>SUMIFS($AU203:AU$1388,$Q203:Q$1388,"S")</f>
        <v>19171.242000000002</v>
      </c>
      <c r="BZ202" s="343">
        <f>SUMIFS($AU203:AU$1388,$Q203:Q$1388,"O")</f>
        <v>-1468.6579999998237</v>
      </c>
    </row>
    <row r="203" spans="1:78" ht="18" customHeight="1">
      <c r="A203" s="177" t="s">
        <v>785</v>
      </c>
      <c r="B203" s="177">
        <v>44946</v>
      </c>
      <c r="C203" s="178" t="s">
        <v>1076</v>
      </c>
      <c r="D203" s="178" t="s">
        <v>111</v>
      </c>
      <c r="E203" s="227"/>
      <c r="F203" s="180"/>
      <c r="G203" s="241" t="s">
        <v>757</v>
      </c>
      <c r="H203" s="182"/>
      <c r="I203" s="182"/>
      <c r="J203" s="182"/>
      <c r="K203" s="183"/>
      <c r="L203" s="182">
        <v>1</v>
      </c>
      <c r="M203" s="182"/>
      <c r="N203" s="182"/>
      <c r="O203" s="183" t="s">
        <v>95</v>
      </c>
      <c r="P203" s="183" t="s">
        <v>96</v>
      </c>
      <c r="Q203" s="183" t="s">
        <v>97</v>
      </c>
      <c r="R203" s="183">
        <v>1</v>
      </c>
      <c r="S203" s="183">
        <v>1</v>
      </c>
      <c r="T203" s="183">
        <v>1</v>
      </c>
      <c r="U203" s="183" t="s">
        <v>22</v>
      </c>
      <c r="V203" s="183"/>
      <c r="W203" s="183"/>
      <c r="X203" s="183"/>
      <c r="Y203" s="184">
        <f t="shared" si="85"/>
        <v>0.01</v>
      </c>
      <c r="Z203" s="184">
        <f t="shared" si="79"/>
        <v>1670</v>
      </c>
      <c r="AA203" s="185" t="s">
        <v>1071</v>
      </c>
      <c r="AB203" s="185"/>
      <c r="AC203" s="185"/>
      <c r="AD203" s="649">
        <v>7.0000000000000007E-2</v>
      </c>
      <c r="AE203" s="182"/>
      <c r="AF203" s="332">
        <v>0.04</v>
      </c>
      <c r="AG203" s="182"/>
      <c r="AH203" s="182"/>
      <c r="AI203" s="182"/>
      <c r="AJ203" s="640"/>
      <c r="AK203" s="182"/>
      <c r="AL203" s="496">
        <f t="shared" si="90"/>
        <v>-50.1</v>
      </c>
      <c r="AM203" s="496">
        <f t="shared" si="86"/>
        <v>-50.1</v>
      </c>
      <c r="AN203" s="626"/>
      <c r="AO203" s="182"/>
      <c r="AP203" s="182" t="s">
        <v>804</v>
      </c>
      <c r="AQ203" s="332" t="str">
        <f>UPPER(RIGHT(Journal_Live[[#This Row],[DURATION ]]))</f>
        <v>D</v>
      </c>
      <c r="AR203" s="182" t="s">
        <v>442</v>
      </c>
      <c r="AS203" s="189">
        <v>0.08</v>
      </c>
      <c r="AT203" s="189">
        <f t="shared" si="87"/>
        <v>9.999999999999995E-3</v>
      </c>
      <c r="AU203" s="187">
        <f t="shared" si="88"/>
        <v>16.699999999999992</v>
      </c>
      <c r="AV203" s="190">
        <f t="shared" si="89"/>
        <v>16.699999999999992</v>
      </c>
      <c r="AW203" s="191" t="s">
        <v>96</v>
      </c>
      <c r="AX203" s="407"/>
      <c r="AY203" s="407"/>
      <c r="AZ203" s="407"/>
      <c r="BA203" s="407"/>
      <c r="BB203" s="407"/>
      <c r="BC203" s="407"/>
      <c r="BD203" s="407"/>
      <c r="BE203" s="407"/>
      <c r="BF203" s="422"/>
      <c r="BG203" s="391">
        <f>SUM($AV$4:AV203)</f>
        <v>2011.3050000000444</v>
      </c>
      <c r="BH203" s="392">
        <f>SUM($AU$134:AU203)</f>
        <v>1536.1000000000258</v>
      </c>
      <c r="BI203" s="318">
        <f>SUMIFS($AU$134:AU204,$Q$134:Q204,"F")</f>
        <v>0</v>
      </c>
      <c r="BJ203" s="318">
        <f>SUMIFS($AU$134:AU204,$Q$134:Q204,"S")</f>
        <v>1650.7</v>
      </c>
      <c r="BK203" s="343">
        <f>SUMIFS($AU$134:AU204,$P$134:P204,"W")</f>
        <v>1601.8000000000168</v>
      </c>
      <c r="BL203" s="343">
        <f>SUMIFS($AU$134:AU204,$P$134:P204,"R")</f>
        <v>67.900000000008632</v>
      </c>
      <c r="BM203" s="343">
        <f>SUMIFS($AU$134:AU204,$AQ$134:AQ204,"M")</f>
        <v>0</v>
      </c>
      <c r="BN203" s="343">
        <f>SUMIFS($AU$134:AU204,$AQ$134:AQ204,"H")</f>
        <v>286.90000000001487</v>
      </c>
      <c r="BO203" s="343">
        <f>SUMIFS($AU$134:AU204,$AQ$134:AQ204,"D")</f>
        <v>617.4</v>
      </c>
      <c r="BP203" s="343">
        <f>SUMIFS($AU$134:AU206,$AQ$134:AQ206,"W")</f>
        <v>451.99999999999994</v>
      </c>
      <c r="BQ203" s="343">
        <f>SUMIFS($AU$134:AU204,$Q$134:Q204,"O")</f>
        <v>-180.19999999997464</v>
      </c>
      <c r="BR203" s="343">
        <f>SUMIFS($AU$134:AU204,$AA$134:AA204,"*")</f>
        <v>1435.9000000000258</v>
      </c>
      <c r="BS203" s="343">
        <f>SUMIFS($AU$134:AU204,$AB$134:AB204,"*")</f>
        <v>466.19999999999823</v>
      </c>
      <c r="BT203" s="343">
        <f>SUMIFS($AU$134:AU204,$AC$134:AC204,"*")</f>
        <v>833.49999999999989</v>
      </c>
      <c r="BU203" s="343">
        <f>SUMIFS($AU$134:AU204,$AA$134:AA204,"*",$AB$134:AB204,"*")</f>
        <v>466.19999999999823</v>
      </c>
      <c r="BV203" s="343">
        <f>SUMIFS($AU$134:AU204,$AA$134:AA204,"*",$AC$134:AC204,"*")</f>
        <v>833.49999999999989</v>
      </c>
      <c r="BW203" s="343">
        <f>SUMIFS($AU$134:AU204,$AB$134:AB204,"*",$AC$134:AC204,"*")</f>
        <v>515.1</v>
      </c>
      <c r="BX203" s="343">
        <f>SUMIFS($AU204:AU$1388,$Q204:Q$1388,"F")</f>
        <v>14440.666666666668</v>
      </c>
      <c r="BY203" s="343">
        <f>SUMIFS($AU204:AU$1388,$Q204:Q$1388,"S")</f>
        <v>19154.542000000005</v>
      </c>
      <c r="BZ203" s="343">
        <f>SUMIFS($AU204:AU$1388,$Q204:Q$1388,"O")</f>
        <v>-1468.6579999998237</v>
      </c>
    </row>
    <row r="204" spans="1:78" ht="18" customHeight="1">
      <c r="A204" s="177" t="s">
        <v>785</v>
      </c>
      <c r="B204" s="268" t="s">
        <v>1077</v>
      </c>
      <c r="C204" s="178" t="s">
        <v>1078</v>
      </c>
      <c r="D204" s="178" t="s">
        <v>111</v>
      </c>
      <c r="E204" s="227"/>
      <c r="F204" s="180"/>
      <c r="G204" s="241" t="s">
        <v>365</v>
      </c>
      <c r="H204" s="182"/>
      <c r="I204" s="182"/>
      <c r="J204" s="182"/>
      <c r="K204" s="183"/>
      <c r="L204" s="182">
        <v>1</v>
      </c>
      <c r="M204" s="182">
        <v>1</v>
      </c>
      <c r="N204" s="182"/>
      <c r="O204" s="183" t="s">
        <v>95</v>
      </c>
      <c r="P204" s="183" t="s">
        <v>96</v>
      </c>
      <c r="Q204" s="183" t="s">
        <v>97</v>
      </c>
      <c r="R204" s="183">
        <v>4</v>
      </c>
      <c r="S204" s="183">
        <v>4</v>
      </c>
      <c r="T204" s="183">
        <v>3</v>
      </c>
      <c r="U204" s="183" t="s">
        <v>97</v>
      </c>
      <c r="V204" s="183"/>
      <c r="W204" s="183"/>
      <c r="X204" s="183"/>
      <c r="Y204" s="184">
        <f t="shared" si="85"/>
        <v>0.01</v>
      </c>
      <c r="Z204" s="184">
        <f t="shared" si="79"/>
        <v>1670</v>
      </c>
      <c r="AA204" s="185" t="s">
        <v>138</v>
      </c>
      <c r="AB204" s="185"/>
      <c r="AC204" s="185" t="s">
        <v>1079</v>
      </c>
      <c r="AD204" s="649">
        <v>-7.0000000000000007E-2</v>
      </c>
      <c r="AE204" s="182"/>
      <c r="AF204" s="332"/>
      <c r="AG204" s="182"/>
      <c r="AH204" s="182">
        <v>-0.08</v>
      </c>
      <c r="AI204" s="182"/>
      <c r="AJ204" s="640"/>
      <c r="AK204" s="182"/>
      <c r="AL204" s="496">
        <f t="shared" si="90"/>
        <v>-50.1</v>
      </c>
      <c r="AM204" s="496">
        <f t="shared" si="86"/>
        <v>-200.4</v>
      </c>
      <c r="AN204" s="626"/>
      <c r="AO204" s="182"/>
      <c r="AP204" s="182" t="s">
        <v>864</v>
      </c>
      <c r="AQ204" s="332" t="str">
        <f>UPPER(RIGHT(Journal_Live[[#This Row],[DURATION ]]))</f>
        <v>D</v>
      </c>
      <c r="AR204" s="182" t="s">
        <v>1069</v>
      </c>
      <c r="AS204" s="189">
        <v>-0.09</v>
      </c>
      <c r="AT204" s="189">
        <f t="shared" si="87"/>
        <v>1.999999999999999E-2</v>
      </c>
      <c r="AU204" s="187">
        <f t="shared" si="88"/>
        <v>133.59999999999994</v>
      </c>
      <c r="AV204" s="190">
        <f t="shared" si="89"/>
        <v>33.399999999999984</v>
      </c>
      <c r="AW204" s="191" t="s">
        <v>96</v>
      </c>
      <c r="AX204" s="407" t="s">
        <v>1070</v>
      </c>
      <c r="AY204" s="407" t="s">
        <v>1080</v>
      </c>
      <c r="AZ204" s="407"/>
      <c r="BA204" s="407"/>
      <c r="BB204" s="407"/>
      <c r="BC204" s="407"/>
      <c r="BD204" s="407"/>
      <c r="BE204" s="407"/>
      <c r="BF204" s="422"/>
      <c r="BG204" s="391">
        <f>SUM($AV$4:AV204)</f>
        <v>2044.7050000000445</v>
      </c>
      <c r="BH204" s="392">
        <f>SUM($AU$134:AU204)</f>
        <v>1669.7000000000257</v>
      </c>
      <c r="BI204" s="318">
        <f>SUMIFS($AU$134:AU205,$Q$134:Q205,"F")</f>
        <v>0</v>
      </c>
      <c r="BJ204" s="318">
        <f>SUMIFS($AU$134:AU205,$Q$134:Q205,"S")</f>
        <v>1750.9</v>
      </c>
      <c r="BK204" s="343">
        <f>SUMIFS($AU$134:AU205,$P$134:P205,"W")</f>
        <v>1702.0000000000168</v>
      </c>
      <c r="BL204" s="343">
        <f>SUMIFS($AU$134:AU205,$P$134:P205,"R")</f>
        <v>67.900000000008632</v>
      </c>
      <c r="BM204" s="343">
        <f>SUMIFS($AU$134:AU205,$AQ$134:AQ205,"M")</f>
        <v>0</v>
      </c>
      <c r="BN204" s="343">
        <f>SUMIFS($AU$134:AU205,$AQ$134:AQ205,"H")</f>
        <v>286.90000000001487</v>
      </c>
      <c r="BO204" s="343">
        <f>SUMIFS($AU$134:AU205,$AQ$134:AQ205,"D")</f>
        <v>717.59999999999991</v>
      </c>
      <c r="BP204" s="343">
        <f>SUMIFS($AU$134:AU207,$AQ$134:AQ207,"W")</f>
        <v>451.99999999999994</v>
      </c>
      <c r="BQ204" s="343">
        <f>SUMIFS($AU$134:AU205,$Q$134:Q205,"O")</f>
        <v>-180.19999999997464</v>
      </c>
      <c r="BR204" s="343">
        <f>SUMIFS($AU$134:AU205,$AA$134:AA205,"*")</f>
        <v>1536.1000000000258</v>
      </c>
      <c r="BS204" s="343">
        <f>SUMIFS($AU$134:AU205,$AB$134:AB205,"*")</f>
        <v>466.19999999999823</v>
      </c>
      <c r="BT204" s="343">
        <f>SUMIFS($AU$134:AU205,$AC$134:AC205,"*")</f>
        <v>933.69999999999982</v>
      </c>
      <c r="BU204" s="343">
        <f>SUMIFS($AU$134:AU205,$AA$134:AA205,"*",$AB$134:AB205,"*")</f>
        <v>466.19999999999823</v>
      </c>
      <c r="BV204" s="343">
        <f>SUMIFS($AU$134:AU205,$AA$134:AA205,"*",$AC$134:AC205,"*")</f>
        <v>933.69999999999982</v>
      </c>
      <c r="BW204" s="343">
        <f>SUMIFS($AU$134:AU205,$AB$134:AB205,"*",$AC$134:AC205,"*")</f>
        <v>515.1</v>
      </c>
      <c r="BX204" s="343">
        <f>SUMIFS($AU205:AU$1388,$Q205:Q$1388,"F")</f>
        <v>14440.666666666668</v>
      </c>
      <c r="BY204" s="343">
        <f>SUMIFS($AU205:AU$1388,$Q205:Q$1388,"S")</f>
        <v>19020.942000000003</v>
      </c>
      <c r="BZ204" s="343">
        <f>SUMIFS($AU205:AU$1388,$Q205:Q$1388,"O")</f>
        <v>-1468.6579999998237</v>
      </c>
    </row>
    <row r="205" spans="1:78" ht="18" customHeight="1">
      <c r="A205" s="177" t="s">
        <v>785</v>
      </c>
      <c r="B205" s="177">
        <v>44946</v>
      </c>
      <c r="C205" s="178" t="s">
        <v>1081</v>
      </c>
      <c r="D205" s="178" t="s">
        <v>111</v>
      </c>
      <c r="E205" s="227"/>
      <c r="F205" s="180"/>
      <c r="G205" s="246" t="s">
        <v>133</v>
      </c>
      <c r="H205" s="182"/>
      <c r="I205" s="182"/>
      <c r="J205" s="182"/>
      <c r="K205" s="183"/>
      <c r="L205" s="182">
        <v>1</v>
      </c>
      <c r="M205" s="182"/>
      <c r="N205" s="182"/>
      <c r="O205" s="183" t="s">
        <v>95</v>
      </c>
      <c r="P205" s="183" t="s">
        <v>96</v>
      </c>
      <c r="Q205" s="183" t="s">
        <v>97</v>
      </c>
      <c r="R205" s="183">
        <v>3</v>
      </c>
      <c r="S205" s="183">
        <v>3</v>
      </c>
      <c r="T205" s="183">
        <v>3</v>
      </c>
      <c r="U205" s="183" t="s">
        <v>97</v>
      </c>
      <c r="V205" s="183"/>
      <c r="W205" s="183"/>
      <c r="X205" s="183"/>
      <c r="Y205" s="184">
        <f t="shared" si="85"/>
        <v>0.01</v>
      </c>
      <c r="Z205" s="184">
        <f t="shared" si="79"/>
        <v>1670</v>
      </c>
      <c r="AA205" s="185" t="s">
        <v>1074</v>
      </c>
      <c r="AB205" s="185"/>
      <c r="AC205" s="185" t="s">
        <v>1082</v>
      </c>
      <c r="AD205" s="649">
        <v>-0.02</v>
      </c>
      <c r="AE205" s="182"/>
      <c r="AF205" s="332">
        <v>1</v>
      </c>
      <c r="AG205" s="182"/>
      <c r="AH205" s="182">
        <v>-0.03</v>
      </c>
      <c r="AI205" s="182"/>
      <c r="AJ205" s="640"/>
      <c r="AK205" s="182"/>
      <c r="AL205" s="496">
        <f t="shared" si="90"/>
        <v>-50.1</v>
      </c>
      <c r="AM205" s="496">
        <f t="shared" si="86"/>
        <v>-150.30000000000001</v>
      </c>
      <c r="AN205" s="626"/>
      <c r="AO205" s="182"/>
      <c r="AP205" s="182" t="s">
        <v>864</v>
      </c>
      <c r="AQ205" s="332" t="str">
        <f>UPPER(RIGHT(Journal_Live[[#This Row],[DURATION ]]))</f>
        <v>D</v>
      </c>
      <c r="AR205" s="182" t="s">
        <v>1069</v>
      </c>
      <c r="AS205" s="189">
        <v>-0.04</v>
      </c>
      <c r="AT205" s="189">
        <f t="shared" si="87"/>
        <v>0.02</v>
      </c>
      <c r="AU205" s="187">
        <f t="shared" si="88"/>
        <v>100.19999999999999</v>
      </c>
      <c r="AV205" s="190">
        <f t="shared" si="89"/>
        <v>33.4</v>
      </c>
      <c r="AW205" s="191" t="s">
        <v>96</v>
      </c>
      <c r="AX205" s="407"/>
      <c r="AY205" s="407"/>
      <c r="AZ205" s="407"/>
      <c r="BA205" s="407"/>
      <c r="BB205" s="407"/>
      <c r="BC205" s="407"/>
      <c r="BD205" s="407"/>
      <c r="BE205" s="407"/>
      <c r="BF205" s="422"/>
      <c r="BG205" s="391">
        <f>SUM($AV$4:AV205)</f>
        <v>2078.1050000000446</v>
      </c>
      <c r="BH205" s="392">
        <f>SUM($AU$134:AU205)</f>
        <v>1769.9000000000258</v>
      </c>
      <c r="BI205" s="318">
        <f>SUMIFS($AU$134:AU206,$Q$134:Q206,"F")</f>
        <v>0</v>
      </c>
      <c r="BJ205" s="318">
        <f>SUMIFS($AU$134:AU206,$Q$134:Q206,"S")</f>
        <v>1801</v>
      </c>
      <c r="BK205" s="343">
        <f>SUMIFS($AU$134:AU206,$P$134:P206,"W")</f>
        <v>1752.1000000000167</v>
      </c>
      <c r="BL205" s="343">
        <f>SUMIFS($AU$134:AU206,$P$134:P206,"R")</f>
        <v>67.900000000008632</v>
      </c>
      <c r="BM205" s="343">
        <f>SUMIFS($AU$134:AU206,$AQ$134:AQ206,"M")</f>
        <v>0</v>
      </c>
      <c r="BN205" s="343">
        <f>SUMIFS($AU$134:AU206,$AQ$134:AQ206,"H")</f>
        <v>337.00000000001489</v>
      </c>
      <c r="BO205" s="343">
        <f>SUMIFS($AU$134:AU206,$AQ$134:AQ206,"D")</f>
        <v>717.59999999999991</v>
      </c>
      <c r="BP205" s="343">
        <f>SUMIFS($AU$134:AU208,$AQ$134:AQ208,"W")</f>
        <v>451.99999999999994</v>
      </c>
      <c r="BQ205" s="343">
        <f>SUMIFS($AU$134:AU206,$Q$134:Q206,"O")</f>
        <v>-180.19999999997464</v>
      </c>
      <c r="BR205" s="343">
        <f>SUMIFS($AU$134:AU206,$AA$134:AA206,"*")</f>
        <v>1586.2000000000257</v>
      </c>
      <c r="BS205" s="343">
        <f>SUMIFS($AU$134:AU206,$AB$134:AB206,"*")</f>
        <v>466.19999999999823</v>
      </c>
      <c r="BT205" s="343">
        <f>SUMIFS($AU$134:AU206,$AC$134:AC206,"*")</f>
        <v>933.69999999999982</v>
      </c>
      <c r="BU205" s="343">
        <f>SUMIFS($AU$134:AU206,$AA$134:AA206,"*",$AB$134:AB206,"*")</f>
        <v>466.19999999999823</v>
      </c>
      <c r="BV205" s="343">
        <f>SUMIFS($AU$134:AU206,$AA$134:AA206,"*",$AC$134:AC206,"*")</f>
        <v>933.69999999999982</v>
      </c>
      <c r="BW205" s="343">
        <f>SUMIFS($AU$134:AU206,$AB$134:AB206,"*",$AC$134:AC206,"*")</f>
        <v>515.1</v>
      </c>
      <c r="BX205" s="343">
        <f>SUMIFS($AU206:AU$1388,$Q206:Q$1388,"F")</f>
        <v>14440.666666666668</v>
      </c>
      <c r="BY205" s="343">
        <f>SUMIFS($AU206:AU$1388,$Q206:Q$1388,"S")</f>
        <v>18920.742000000002</v>
      </c>
      <c r="BZ205" s="343">
        <f>SUMIFS($AU206:AU$1388,$Q206:Q$1388,"O")</f>
        <v>-1468.6579999998237</v>
      </c>
    </row>
    <row r="206" spans="1:78" ht="18" customHeight="1">
      <c r="A206" s="177" t="s">
        <v>785</v>
      </c>
      <c r="B206" s="177">
        <v>44949</v>
      </c>
      <c r="C206" s="178" t="s">
        <v>1083</v>
      </c>
      <c r="D206" s="178" t="s">
        <v>132</v>
      </c>
      <c r="E206" s="227"/>
      <c r="F206" s="180"/>
      <c r="G206" s="249" t="s">
        <v>757</v>
      </c>
      <c r="H206" s="182"/>
      <c r="I206" s="182"/>
      <c r="J206" s="182"/>
      <c r="K206" s="183"/>
      <c r="L206" s="182">
        <v>1</v>
      </c>
      <c r="M206" s="182"/>
      <c r="N206" s="182"/>
      <c r="O206" s="183" t="s">
        <v>95</v>
      </c>
      <c r="P206" s="183" t="s">
        <v>96</v>
      </c>
      <c r="Q206" s="183" t="s">
        <v>97</v>
      </c>
      <c r="R206" s="183">
        <v>1</v>
      </c>
      <c r="S206" s="183">
        <v>1</v>
      </c>
      <c r="T206" s="183">
        <v>1</v>
      </c>
      <c r="U206" s="183" t="s">
        <v>22</v>
      </c>
      <c r="V206" s="183"/>
      <c r="W206" s="183"/>
      <c r="X206" s="183"/>
      <c r="Y206" s="184">
        <f t="shared" si="85"/>
        <v>0.01</v>
      </c>
      <c r="Z206" s="184">
        <f t="shared" si="79"/>
        <v>1670</v>
      </c>
      <c r="AA206" s="185" t="s">
        <v>1071</v>
      </c>
      <c r="AB206" s="185"/>
      <c r="AC206" s="185"/>
      <c r="AD206" s="649">
        <v>0.05</v>
      </c>
      <c r="AE206" s="182"/>
      <c r="AF206" s="332">
        <v>0.04</v>
      </c>
      <c r="AG206" s="182"/>
      <c r="AH206" s="182"/>
      <c r="AI206" s="182"/>
      <c r="AJ206" s="640"/>
      <c r="AK206" s="182"/>
      <c r="AL206" s="496">
        <f t="shared" si="90"/>
        <v>-50.1</v>
      </c>
      <c r="AM206" s="496">
        <f t="shared" si="86"/>
        <v>-50.1</v>
      </c>
      <c r="AN206" s="626"/>
      <c r="AO206" s="182"/>
      <c r="AP206" s="182" t="s">
        <v>1084</v>
      </c>
      <c r="AQ206" s="332" t="str">
        <f>UPPER(RIGHT(Journal_Live[[#This Row],[DURATION ]]))</f>
        <v>H</v>
      </c>
      <c r="AR206" s="182" t="s">
        <v>442</v>
      </c>
      <c r="AS206" s="189">
        <v>0.08</v>
      </c>
      <c r="AT206" s="189">
        <f t="shared" si="87"/>
        <v>0.03</v>
      </c>
      <c r="AU206" s="187">
        <f t="shared" si="88"/>
        <v>50.1</v>
      </c>
      <c r="AV206" s="190">
        <f t="shared" si="89"/>
        <v>50.1</v>
      </c>
      <c r="AW206" s="191" t="s">
        <v>96</v>
      </c>
      <c r="AX206" s="407"/>
      <c r="AY206" s="407"/>
      <c r="AZ206" s="407"/>
      <c r="BA206" s="407"/>
      <c r="BB206" s="407"/>
      <c r="BC206" s="407"/>
      <c r="BD206" s="407"/>
      <c r="BE206" s="407"/>
      <c r="BF206" s="422"/>
      <c r="BG206" s="391">
        <f>SUM($AV$4:AV206)</f>
        <v>2128.2050000000445</v>
      </c>
      <c r="BH206" s="392">
        <f>SUM($AU$134:AU206)</f>
        <v>1820.0000000000257</v>
      </c>
      <c r="BI206" s="318">
        <f>SUMIFS($AU$134:AU207,$Q$134:Q207,"F")</f>
        <v>0</v>
      </c>
      <c r="BJ206" s="318">
        <f>SUMIFS($AU$134:AU207,$Q$134:Q207,"S")</f>
        <v>1801</v>
      </c>
      <c r="BK206" s="343">
        <f>SUMIFS($AU$134:AU207,$P$134:P207,"W")</f>
        <v>1752.1000000000167</v>
      </c>
      <c r="BL206" s="343">
        <f>SUMIFS($AU$134:AU207,$P$134:P207,"R")</f>
        <v>67.900000000008632</v>
      </c>
      <c r="BM206" s="343">
        <f>SUMIFS($AU$134:AU207,$AQ$134:AQ207,"M")</f>
        <v>0</v>
      </c>
      <c r="BN206" s="343">
        <f>SUMIFS($AU$134:AU207,$AQ$134:AQ207,"H")</f>
        <v>337.00000000001489</v>
      </c>
      <c r="BO206" s="343">
        <f>SUMIFS($AU$134:AU207,$AQ$134:AQ207,"D")</f>
        <v>717.59999999999991</v>
      </c>
      <c r="BP206" s="343">
        <f>SUMIFS($AU$134:AU209,$AQ$134:AQ209,"W")</f>
        <v>451.99999999999994</v>
      </c>
      <c r="BQ206" s="343">
        <f>SUMIFS($AU$134:AU207,$Q$134:Q207,"O")</f>
        <v>-180.19999999997464</v>
      </c>
      <c r="BR206" s="343">
        <f>SUMIFS($AU$134:AU207,$AA$134:AA207,"*")</f>
        <v>1586.2000000000257</v>
      </c>
      <c r="BS206" s="343">
        <f>SUMIFS($AU$134:AU207,$AB$134:AB207,"*")</f>
        <v>466.19999999999823</v>
      </c>
      <c r="BT206" s="343">
        <f>SUMIFS($AU$134:AU207,$AC$134:AC207,"*")</f>
        <v>933.69999999999982</v>
      </c>
      <c r="BU206" s="343">
        <f>SUMIFS($AU$134:AU207,$AA$134:AA207,"*",$AB$134:AB207,"*")</f>
        <v>466.19999999999823</v>
      </c>
      <c r="BV206" s="343">
        <f>SUMIFS($AU$134:AU207,$AA$134:AA207,"*",$AC$134:AC207,"*")</f>
        <v>933.69999999999982</v>
      </c>
      <c r="BW206" s="343">
        <f>SUMIFS($AU$134:AU207,$AB$134:AB207,"*",$AC$134:AC207,"*")</f>
        <v>515.1</v>
      </c>
      <c r="BX206" s="343">
        <f>SUMIFS($AU207:AU$1388,$Q207:Q$1388,"F")</f>
        <v>14440.666666666668</v>
      </c>
      <c r="BY206" s="343">
        <f>SUMIFS($AU207:AU$1388,$Q207:Q$1388,"S")</f>
        <v>18870.642000000003</v>
      </c>
      <c r="BZ206" s="343">
        <f>SUMIFS($AU207:AU$1388,$Q207:Q$1388,"O")</f>
        <v>-1468.6579999998237</v>
      </c>
    </row>
    <row r="207" spans="1:78" ht="18" customHeight="1">
      <c r="A207" s="177" t="s">
        <v>785</v>
      </c>
      <c r="B207" s="177"/>
      <c r="C207" s="178"/>
      <c r="D207" s="178"/>
      <c r="E207" s="227"/>
      <c r="F207" s="180"/>
      <c r="G207" s="181"/>
      <c r="H207" s="182"/>
      <c r="I207" s="182"/>
      <c r="J207" s="182"/>
      <c r="K207" s="183"/>
      <c r="L207" s="182"/>
      <c r="M207" s="182"/>
      <c r="N207" s="182"/>
      <c r="O207" s="183"/>
      <c r="P207" s="183"/>
      <c r="Q207" s="183"/>
      <c r="R207" s="183"/>
      <c r="S207" s="183"/>
      <c r="T207" s="183"/>
      <c r="U207" s="183"/>
      <c r="V207" s="183"/>
      <c r="W207" s="183"/>
      <c r="X207" s="183"/>
      <c r="Y207" s="184">
        <f t="shared" si="85"/>
        <v>0</v>
      </c>
      <c r="Z207" s="184">
        <f t="shared" si="79"/>
        <v>0</v>
      </c>
      <c r="AA207" s="185"/>
      <c r="AB207" s="185"/>
      <c r="AC207" s="185"/>
      <c r="AD207" s="649"/>
      <c r="AE207" s="182"/>
      <c r="AF207" s="332"/>
      <c r="AG207" s="182"/>
      <c r="AH207" s="182"/>
      <c r="AI207" s="182"/>
      <c r="AJ207" s="640"/>
      <c r="AK207" s="182"/>
      <c r="AL207" s="496"/>
      <c r="AM207" s="497"/>
      <c r="AN207" s="626"/>
      <c r="AO207" s="182"/>
      <c r="AP207" s="182"/>
      <c r="AQ207" s="332" t="str">
        <f>UPPER(RIGHT(Journal_Live[[#This Row],[DURATION ]]))</f>
        <v/>
      </c>
      <c r="AR207" s="182"/>
      <c r="AS207" s="189"/>
      <c r="AT207" s="182"/>
      <c r="AU207" s="187"/>
      <c r="AV207" s="190"/>
      <c r="AW207" s="191"/>
      <c r="AX207" s="409" t="s">
        <v>987</v>
      </c>
      <c r="AY207" s="407" t="s">
        <v>1085</v>
      </c>
      <c r="AZ207" s="407" t="s">
        <v>1086</v>
      </c>
      <c r="BA207" s="407"/>
      <c r="BB207" s="407"/>
      <c r="BC207" s="407"/>
      <c r="BD207" s="407" t="s">
        <v>1087</v>
      </c>
      <c r="BE207" s="407"/>
      <c r="BF207" s="422"/>
      <c r="BG207" s="391">
        <f>SUM($AV$4:AV207)</f>
        <v>2128.2050000000445</v>
      </c>
      <c r="BH207" s="392">
        <f>SUM($AU$134:AU207)</f>
        <v>1820.0000000000257</v>
      </c>
      <c r="BI207" s="318">
        <f>SUMIFS($AU$134:AU208,$Q$134:Q208,"F")</f>
        <v>0</v>
      </c>
      <c r="BJ207" s="318">
        <f>SUMIFS($AU$134:AU208,$Q$134:Q208,"S")</f>
        <v>1801</v>
      </c>
      <c r="BK207" s="343">
        <f>SUMIFS($AU$134:AU208,$P$134:P208,"W")</f>
        <v>1752.1000000000167</v>
      </c>
      <c r="BL207" s="343">
        <f>SUMIFS($AU$134:AU208,$P$134:P208,"R")</f>
        <v>67.900000000008632</v>
      </c>
      <c r="BM207" s="343">
        <f>SUMIFS($AU$134:AU208,$AQ$134:AQ208,"M")</f>
        <v>0</v>
      </c>
      <c r="BN207" s="343">
        <f>SUMIFS($AU$134:AU208,$AQ$134:AQ208,"H")</f>
        <v>337.00000000001489</v>
      </c>
      <c r="BO207" s="343">
        <f>SUMIFS($AU$134:AU208,$AQ$134:AQ208,"D")</f>
        <v>717.59999999999991</v>
      </c>
      <c r="BP207" s="343">
        <f>SUMIFS($AU$134:AU210,$AQ$134:AQ210,"W")</f>
        <v>451.99999999999994</v>
      </c>
      <c r="BQ207" s="343">
        <f>SUMIFS($AU$134:AU208,$Q$134:Q208,"O")</f>
        <v>-180.19999999997464</v>
      </c>
      <c r="BR207" s="343">
        <f>SUMIFS($AU$134:AU208,$AA$134:AA208,"*")</f>
        <v>1586.2000000000257</v>
      </c>
      <c r="BS207" s="343">
        <f>SUMIFS($AU$134:AU208,$AB$134:AB208,"*")</f>
        <v>466.19999999999823</v>
      </c>
      <c r="BT207" s="343">
        <f>SUMIFS($AU$134:AU208,$AC$134:AC208,"*")</f>
        <v>933.69999999999982</v>
      </c>
      <c r="BU207" s="343">
        <f>SUMIFS($AU$134:AU208,$AA$134:AA208,"*",$AB$134:AB208,"*")</f>
        <v>466.19999999999823</v>
      </c>
      <c r="BV207" s="343">
        <f>SUMIFS($AU$134:AU208,$AA$134:AA208,"*",$AC$134:AC208,"*")</f>
        <v>933.69999999999982</v>
      </c>
      <c r="BW207" s="343">
        <f>SUMIFS($AU$134:AU208,$AB$134:AB208,"*",$AC$134:AC208,"*")</f>
        <v>515.1</v>
      </c>
      <c r="BX207" s="343">
        <f>SUMIFS($AU208:AU$1388,$Q208:Q$1388,"F")</f>
        <v>14440.666666666668</v>
      </c>
      <c r="BY207" s="343">
        <f>SUMIFS($AU208:AU$1388,$Q208:Q$1388,"S")</f>
        <v>18870.642000000003</v>
      </c>
      <c r="BZ207" s="343">
        <f>SUMIFS($AU208:AU$1388,$Q208:Q$1388,"O")</f>
        <v>-1468.6579999998237</v>
      </c>
    </row>
    <row r="208" spans="1:78" ht="18" customHeight="1">
      <c r="A208" s="177" t="s">
        <v>785</v>
      </c>
      <c r="B208" s="177">
        <v>44951</v>
      </c>
      <c r="C208" s="194">
        <v>0.25</v>
      </c>
      <c r="D208" s="178" t="s">
        <v>151</v>
      </c>
      <c r="E208" s="227" t="s">
        <v>1088</v>
      </c>
      <c r="F208" s="180" t="s">
        <v>1089</v>
      </c>
      <c r="G208" s="181"/>
      <c r="H208" s="182">
        <v>1</v>
      </c>
      <c r="I208" s="182"/>
      <c r="J208" s="182"/>
      <c r="K208" s="183" t="s">
        <v>372</v>
      </c>
      <c r="L208" s="182"/>
      <c r="M208" s="182"/>
      <c r="N208" s="182"/>
      <c r="O208" s="183"/>
      <c r="P208" s="183"/>
      <c r="Q208" s="183"/>
      <c r="R208" s="183"/>
      <c r="S208" s="183"/>
      <c r="T208" s="183"/>
      <c r="U208" s="183"/>
      <c r="V208" s="183"/>
      <c r="W208" s="183"/>
      <c r="X208" s="183"/>
      <c r="Y208" s="184">
        <f t="shared" si="85"/>
        <v>0</v>
      </c>
      <c r="Z208" s="184">
        <f t="shared" si="79"/>
        <v>0</v>
      </c>
      <c r="AA208" s="185"/>
      <c r="AB208" s="185"/>
      <c r="AC208" s="185"/>
      <c r="AD208" s="649"/>
      <c r="AE208" s="182"/>
      <c r="AF208" s="332"/>
      <c r="AG208" s="182"/>
      <c r="AH208" s="182"/>
      <c r="AI208" s="182"/>
      <c r="AJ208" s="640"/>
      <c r="AK208" s="182"/>
      <c r="AL208" s="496"/>
      <c r="AM208" s="497"/>
      <c r="AN208" s="626"/>
      <c r="AO208" s="182"/>
      <c r="AP208" s="182"/>
      <c r="AQ208" s="332" t="str">
        <f>UPPER(RIGHT(Journal_Live[[#This Row],[DURATION ]]))</f>
        <v/>
      </c>
      <c r="AR208" s="182"/>
      <c r="AS208" s="189"/>
      <c r="AT208" s="182"/>
      <c r="AU208" s="187"/>
      <c r="AV208" s="190"/>
      <c r="AW208" s="191"/>
      <c r="AX208" s="407" t="s">
        <v>1090</v>
      </c>
      <c r="AY208" s="407" t="s">
        <v>1091</v>
      </c>
      <c r="AZ208" s="407" t="s">
        <v>1086</v>
      </c>
      <c r="BA208" s="407"/>
      <c r="BB208" s="407"/>
      <c r="BC208" s="407"/>
      <c r="BD208" s="407"/>
      <c r="BE208" s="407"/>
      <c r="BF208" s="422"/>
      <c r="BG208" s="391">
        <f>SUM($AV$4:AV208)</f>
        <v>2128.2050000000445</v>
      </c>
      <c r="BH208" s="392">
        <f>SUM($AU$134:AU208)</f>
        <v>1820.0000000000257</v>
      </c>
      <c r="BI208" s="318">
        <f>SUMIFS($AU$134:AU209,$Q$134:Q209,"F")</f>
        <v>0</v>
      </c>
      <c r="BJ208" s="318">
        <f>SUMIFS($AU$134:AU209,$Q$134:Q209,"S")</f>
        <v>1801</v>
      </c>
      <c r="BK208" s="343">
        <f>SUMIFS($AU$134:AU209,$P$134:P209,"W")</f>
        <v>1752.1000000000167</v>
      </c>
      <c r="BL208" s="343">
        <f>SUMIFS($AU$134:AU209,$P$134:P209,"R")</f>
        <v>67.900000000008632</v>
      </c>
      <c r="BM208" s="343">
        <f>SUMIFS($AU$134:AU209,$AQ$134:AQ209,"M")</f>
        <v>0</v>
      </c>
      <c r="BN208" s="343">
        <f>SUMIFS($AU$134:AU209,$AQ$134:AQ209,"H")</f>
        <v>337.00000000001489</v>
      </c>
      <c r="BO208" s="343">
        <f>SUMIFS($AU$134:AU209,$AQ$134:AQ209,"D")</f>
        <v>717.59999999999991</v>
      </c>
      <c r="BP208" s="343">
        <f>SUMIFS($AU$134:AU211,$AQ$134:AQ211,"W")</f>
        <v>451.99999999999994</v>
      </c>
      <c r="BQ208" s="343">
        <f>SUMIFS($AU$134:AU209,$Q$134:Q209,"O")</f>
        <v>-180.19999999997464</v>
      </c>
      <c r="BR208" s="343">
        <f>SUMIFS($AU$134:AU209,$AA$134:AA209,"*")</f>
        <v>1586.2000000000257</v>
      </c>
      <c r="BS208" s="343">
        <f>SUMIFS($AU$134:AU209,$AB$134:AB209,"*")</f>
        <v>466.19999999999823</v>
      </c>
      <c r="BT208" s="343">
        <f>SUMIFS($AU$134:AU209,$AC$134:AC209,"*")</f>
        <v>933.69999999999982</v>
      </c>
      <c r="BU208" s="343">
        <f>SUMIFS($AU$134:AU209,$AA$134:AA209,"*",$AB$134:AB209,"*")</f>
        <v>466.19999999999823</v>
      </c>
      <c r="BV208" s="343">
        <f>SUMIFS($AU$134:AU209,$AA$134:AA209,"*",$AC$134:AC209,"*")</f>
        <v>933.69999999999982</v>
      </c>
      <c r="BW208" s="343">
        <f>SUMIFS($AU$134:AU209,$AB$134:AB209,"*",$AC$134:AC209,"*")</f>
        <v>515.1</v>
      </c>
      <c r="BX208" s="343">
        <f>SUMIFS($AU209:AU$1388,$Q209:Q$1388,"F")</f>
        <v>14440.666666666668</v>
      </c>
      <c r="BY208" s="343">
        <f>SUMIFS($AU209:AU$1388,$Q209:Q$1388,"S")</f>
        <v>18870.642000000003</v>
      </c>
      <c r="BZ208" s="343">
        <f>SUMIFS($AU209:AU$1388,$Q209:Q$1388,"O")</f>
        <v>-1468.6579999998237</v>
      </c>
    </row>
    <row r="209" spans="1:78" ht="18" customHeight="1">
      <c r="A209" s="177" t="s">
        <v>785</v>
      </c>
      <c r="B209" s="177"/>
      <c r="C209" s="178"/>
      <c r="D209" s="178"/>
      <c r="E209" s="227" t="s">
        <v>1092</v>
      </c>
      <c r="F209" s="180" t="s">
        <v>1093</v>
      </c>
      <c r="G209" s="181"/>
      <c r="H209" s="182">
        <v>1</v>
      </c>
      <c r="I209" s="182"/>
      <c r="J209" s="182"/>
      <c r="K209" s="183" t="s">
        <v>372</v>
      </c>
      <c r="L209" s="182"/>
      <c r="M209" s="182"/>
      <c r="N209" s="182"/>
      <c r="O209" s="183"/>
      <c r="P209" s="183"/>
      <c r="Q209" s="183"/>
      <c r="R209" s="183"/>
      <c r="S209" s="183"/>
      <c r="T209" s="183"/>
      <c r="U209" s="183"/>
      <c r="V209" s="183"/>
      <c r="W209" s="183"/>
      <c r="X209" s="183"/>
      <c r="Y209" s="184">
        <f t="shared" si="85"/>
        <v>0</v>
      </c>
      <c r="Z209" s="184">
        <f t="shared" si="79"/>
        <v>0</v>
      </c>
      <c r="AA209" s="185"/>
      <c r="AB209" s="185"/>
      <c r="AC209" s="185"/>
      <c r="AD209" s="649"/>
      <c r="AE209" s="182"/>
      <c r="AF209" s="332"/>
      <c r="AG209" s="182"/>
      <c r="AH209" s="182"/>
      <c r="AI209" s="182"/>
      <c r="AJ209" s="640"/>
      <c r="AK209" s="182"/>
      <c r="AL209" s="496"/>
      <c r="AM209" s="497"/>
      <c r="AN209" s="626"/>
      <c r="AO209" s="182"/>
      <c r="AP209" s="182"/>
      <c r="AQ209" s="332" t="str">
        <f>UPPER(RIGHT(Journal_Live[[#This Row],[DURATION ]]))</f>
        <v/>
      </c>
      <c r="AR209" s="182"/>
      <c r="AS209" s="189"/>
      <c r="AT209" s="182"/>
      <c r="AU209" s="187"/>
      <c r="AV209" s="190"/>
      <c r="AW209" s="191"/>
      <c r="AX209" s="407"/>
      <c r="AY209" s="407"/>
      <c r="AZ209" s="407"/>
      <c r="BA209" s="407"/>
      <c r="BB209" s="407"/>
      <c r="BC209" s="407"/>
      <c r="BD209" s="407"/>
      <c r="BE209" s="407"/>
      <c r="BF209" s="422"/>
      <c r="BG209" s="391">
        <f>SUM($AV$4:AV209)</f>
        <v>2128.2050000000445</v>
      </c>
      <c r="BH209" s="392">
        <f>SUM($AU$134:AU209)</f>
        <v>1820.0000000000257</v>
      </c>
      <c r="BI209" s="318">
        <f>SUMIFS($AU$134:AU210,$Q$134:Q210,"F")</f>
        <v>0</v>
      </c>
      <c r="BJ209" s="318">
        <f>SUMIFS($AU$134:AU210,$Q$134:Q210,"S")</f>
        <v>1801</v>
      </c>
      <c r="BK209" s="343">
        <f>SUMIFS($AU$134:AU210,$P$134:P210,"W")</f>
        <v>1752.1000000000167</v>
      </c>
      <c r="BL209" s="343">
        <f>SUMIFS($AU$134:AU210,$P$134:P210,"R")</f>
        <v>67.900000000008632</v>
      </c>
      <c r="BM209" s="343">
        <f>SUMIFS($AU$134:AU210,$AQ$134:AQ210,"M")</f>
        <v>0</v>
      </c>
      <c r="BN209" s="343">
        <f>SUMIFS($AU$134:AU210,$AQ$134:AQ210,"H")</f>
        <v>337.00000000001489</v>
      </c>
      <c r="BO209" s="343">
        <f>SUMIFS($AU$134:AU210,$AQ$134:AQ210,"D")</f>
        <v>717.59999999999991</v>
      </c>
      <c r="BP209" s="343">
        <f>SUMIFS($AU$134:AU212,$AQ$134:AQ212,"W")</f>
        <v>451.99999999999994</v>
      </c>
      <c r="BQ209" s="343">
        <f>SUMIFS($AU$134:AU210,$Q$134:Q210,"O")</f>
        <v>-180.19999999997464</v>
      </c>
      <c r="BR209" s="343">
        <f>SUMIFS($AU$134:AU210,$AA$134:AA210,"*")</f>
        <v>1586.2000000000257</v>
      </c>
      <c r="BS209" s="343">
        <f>SUMIFS($AU$134:AU210,$AB$134:AB210,"*")</f>
        <v>466.19999999999823</v>
      </c>
      <c r="BT209" s="343">
        <f>SUMIFS($AU$134:AU210,$AC$134:AC210,"*")</f>
        <v>933.69999999999982</v>
      </c>
      <c r="BU209" s="343">
        <f>SUMIFS($AU$134:AU210,$AA$134:AA210,"*",$AB$134:AB210,"*")</f>
        <v>466.19999999999823</v>
      </c>
      <c r="BV209" s="343">
        <f>SUMIFS($AU$134:AU210,$AA$134:AA210,"*",$AC$134:AC210,"*")</f>
        <v>933.69999999999982</v>
      </c>
      <c r="BW209" s="343">
        <f>SUMIFS($AU$134:AU210,$AB$134:AB210,"*",$AC$134:AC210,"*")</f>
        <v>515.1</v>
      </c>
      <c r="BX209" s="343">
        <f>SUMIFS($AU210:AU$1388,$Q210:Q$1388,"F")</f>
        <v>14440.666666666668</v>
      </c>
      <c r="BY209" s="343">
        <f>SUMIFS($AU210:AU$1388,$Q210:Q$1388,"S")</f>
        <v>18870.642000000003</v>
      </c>
      <c r="BZ209" s="343">
        <f>SUMIFS($AU210:AU$1388,$Q210:Q$1388,"O")</f>
        <v>-1468.6579999998237</v>
      </c>
    </row>
    <row r="210" spans="1:78" ht="18" customHeight="1">
      <c r="A210" s="177" t="s">
        <v>785</v>
      </c>
      <c r="B210" s="177"/>
      <c r="C210" s="178"/>
      <c r="D210" s="178"/>
      <c r="E210" s="227" t="s">
        <v>1094</v>
      </c>
      <c r="F210" s="180"/>
      <c r="G210" s="181"/>
      <c r="H210" s="182">
        <v>1</v>
      </c>
      <c r="I210" s="182"/>
      <c r="J210" s="182"/>
      <c r="K210" s="183" t="s">
        <v>372</v>
      </c>
      <c r="L210" s="182"/>
      <c r="M210" s="182"/>
      <c r="N210" s="182"/>
      <c r="O210" s="183"/>
      <c r="P210" s="183"/>
      <c r="Q210" s="183"/>
      <c r="R210" s="183"/>
      <c r="S210" s="183"/>
      <c r="T210" s="183"/>
      <c r="U210" s="183"/>
      <c r="V210" s="183"/>
      <c r="W210" s="183"/>
      <c r="X210" s="183"/>
      <c r="Y210" s="184">
        <f t="shared" si="85"/>
        <v>0</v>
      </c>
      <c r="Z210" s="184">
        <f t="shared" si="79"/>
        <v>0</v>
      </c>
      <c r="AA210" s="185"/>
      <c r="AB210" s="185"/>
      <c r="AC210" s="185"/>
      <c r="AD210" s="649"/>
      <c r="AE210" s="182"/>
      <c r="AF210" s="332"/>
      <c r="AG210" s="182"/>
      <c r="AH210" s="182"/>
      <c r="AI210" s="182"/>
      <c r="AJ210" s="640"/>
      <c r="AK210" s="182"/>
      <c r="AL210" s="496"/>
      <c r="AM210" s="497"/>
      <c r="AN210" s="626"/>
      <c r="AO210" s="182"/>
      <c r="AP210" s="182"/>
      <c r="AQ210" s="332" t="str">
        <f>UPPER(RIGHT(Journal_Live[[#This Row],[DURATION ]]))</f>
        <v/>
      </c>
      <c r="AR210" s="182"/>
      <c r="AS210" s="189"/>
      <c r="AT210" s="182"/>
      <c r="AU210" s="187"/>
      <c r="AV210" s="190"/>
      <c r="AW210" s="191"/>
      <c r="AX210" s="407"/>
      <c r="AY210" s="407"/>
      <c r="AZ210" s="407"/>
      <c r="BA210" s="407"/>
      <c r="BB210" s="407"/>
      <c r="BC210" s="407"/>
      <c r="BD210" s="407"/>
      <c r="BE210" s="407"/>
      <c r="BF210" s="422"/>
      <c r="BG210" s="391">
        <f>SUM($AV$4:AV210)</f>
        <v>2128.2050000000445</v>
      </c>
      <c r="BH210" s="392">
        <f>SUM($AU$134:AU210)</f>
        <v>1820.0000000000257</v>
      </c>
      <c r="BI210" s="318">
        <f>SUMIFS($AU$134:AU211,$Q$134:Q211,"F")</f>
        <v>0</v>
      </c>
      <c r="BJ210" s="318">
        <f>SUMIFS($AU$134:AU211,$Q$134:Q211,"S")</f>
        <v>1801</v>
      </c>
      <c r="BK210" s="343">
        <f>SUMIFS($AU$134:AU211,$P$134:P211,"W")</f>
        <v>1752.1000000000167</v>
      </c>
      <c r="BL210" s="343">
        <f>SUMIFS($AU$134:AU211,$P$134:P211,"R")</f>
        <v>135.89999999999509</v>
      </c>
      <c r="BM210" s="343">
        <f>SUMIFS($AU$134:AU211,$AQ$134:AQ211,"M")</f>
        <v>0</v>
      </c>
      <c r="BN210" s="343">
        <f>SUMIFS($AU$134:AU211,$AQ$134:AQ211,"H")</f>
        <v>337.00000000001489</v>
      </c>
      <c r="BO210" s="343">
        <f>SUMIFS($AU$134:AU211,$AQ$134:AQ211,"D")</f>
        <v>717.59999999999991</v>
      </c>
      <c r="BP210" s="343">
        <f>SUMIFS($AU$134:AU213,$AQ$134:AQ213,"W")</f>
        <v>451.99999999999994</v>
      </c>
      <c r="BQ210" s="343">
        <f>SUMIFS($AU$134:AU211,$Q$134:Q211,"O")</f>
        <v>-112.19999999998817</v>
      </c>
      <c r="BR210" s="343">
        <f>SUMIFS($AU$134:AU211,$AA$134:AA211,"*")</f>
        <v>1654.2000000000121</v>
      </c>
      <c r="BS210" s="343">
        <f>SUMIFS($AU$134:AU211,$AB$134:AB211,"*")</f>
        <v>534.1999999999847</v>
      </c>
      <c r="BT210" s="343">
        <f>SUMIFS($AU$134:AU211,$AC$134:AC211,"*")</f>
        <v>933.69999999999982</v>
      </c>
      <c r="BU210" s="343">
        <f>SUMIFS($AU$134:AU211,$AA$134:AA211,"*",$AB$134:AB211,"*")</f>
        <v>534.1999999999847</v>
      </c>
      <c r="BV210" s="343">
        <f>SUMIFS($AU$134:AU211,$AA$134:AA211,"*",$AC$134:AC211,"*")</f>
        <v>933.69999999999982</v>
      </c>
      <c r="BW210" s="343">
        <f>SUMIFS($AU$134:AU211,$AB$134:AB211,"*",$AC$134:AC211,"*")</f>
        <v>515.1</v>
      </c>
      <c r="BX210" s="343">
        <f>SUMIFS($AU211:AU$1388,$Q211:Q$1388,"F")</f>
        <v>14440.666666666668</v>
      </c>
      <c r="BY210" s="343">
        <f>SUMIFS($AU211:AU$1388,$Q211:Q$1388,"S")</f>
        <v>18870.642000000003</v>
      </c>
      <c r="BZ210" s="343">
        <f>SUMIFS($AU211:AU$1388,$Q211:Q$1388,"O")</f>
        <v>-1468.6579999998237</v>
      </c>
    </row>
    <row r="211" spans="1:78" ht="18" customHeight="1">
      <c r="A211" s="177" t="s">
        <v>785</v>
      </c>
      <c r="B211" s="177">
        <v>44951</v>
      </c>
      <c r="C211" s="178" t="s">
        <v>682</v>
      </c>
      <c r="D211" s="178" t="s">
        <v>151</v>
      </c>
      <c r="E211" s="227"/>
      <c r="F211" s="180"/>
      <c r="G211" s="181" t="s">
        <v>1095</v>
      </c>
      <c r="H211" s="182"/>
      <c r="I211" s="182"/>
      <c r="J211" s="182"/>
      <c r="K211" s="183"/>
      <c r="L211" s="182">
        <v>2</v>
      </c>
      <c r="M211" s="182"/>
      <c r="N211" s="182"/>
      <c r="O211" s="183" t="s">
        <v>95</v>
      </c>
      <c r="P211" s="183" t="s">
        <v>137</v>
      </c>
      <c r="Q211" s="183" t="s">
        <v>684</v>
      </c>
      <c r="R211" s="183">
        <v>1</v>
      </c>
      <c r="S211" s="183">
        <v>1</v>
      </c>
      <c r="T211" s="183">
        <v>1</v>
      </c>
      <c r="U211" s="183" t="s">
        <v>97</v>
      </c>
      <c r="V211" s="183"/>
      <c r="W211" s="183"/>
      <c r="X211" s="183"/>
      <c r="Y211" s="184">
        <f t="shared" si="85"/>
        <v>0.01</v>
      </c>
      <c r="Z211" s="184">
        <f t="shared" ref="Z211:Z219" si="91">IF(ISBLANK(O211),,IF(O211=UPPER("IB"),8.63*200,17*100))</f>
        <v>1700</v>
      </c>
      <c r="AA211" s="185" t="s">
        <v>1096</v>
      </c>
      <c r="AB211" s="185" t="s">
        <v>1097</v>
      </c>
      <c r="AC211" s="185"/>
      <c r="AD211" s="649">
        <v>96.52</v>
      </c>
      <c r="AE211" s="182"/>
      <c r="AF211" s="332"/>
      <c r="AG211" s="182"/>
      <c r="AH211" s="182"/>
      <c r="AI211" s="182"/>
      <c r="AJ211" s="640"/>
      <c r="AK211" s="182"/>
      <c r="AL211" s="496">
        <f t="shared" ref="AL211:AL212" si="92">-0.03*Z211</f>
        <v>-51</v>
      </c>
      <c r="AM211" s="496">
        <f>AL211*R211</f>
        <v>-51</v>
      </c>
      <c r="AN211" s="626"/>
      <c r="AO211" s="182"/>
      <c r="AP211" s="182" t="s">
        <v>1098</v>
      </c>
      <c r="AQ211" s="332" t="s">
        <v>97</v>
      </c>
      <c r="AR211" s="182" t="s">
        <v>682</v>
      </c>
      <c r="AS211" s="189">
        <v>96.48</v>
      </c>
      <c r="AT211" s="189">
        <f>IF(ISBLANK(AS211),,IF(U211="S",AD211-AS211,AS211-AD211))</f>
        <v>3.9999999999992042E-2</v>
      </c>
      <c r="AU211" s="187">
        <f>AV211*R211</f>
        <v>67.999999999986471</v>
      </c>
      <c r="AV211" s="190">
        <f>IF(ISBLANK(AS211),,(AT211*Z211))</f>
        <v>67.999999999986471</v>
      </c>
      <c r="AW211" s="191" t="s">
        <v>96</v>
      </c>
      <c r="AX211" s="407" t="s">
        <v>1099</v>
      </c>
      <c r="AY211" s="407" t="s">
        <v>1100</v>
      </c>
      <c r="AZ211" s="407" t="s">
        <v>1101</v>
      </c>
      <c r="BA211" s="407"/>
      <c r="BB211" s="407"/>
      <c r="BC211" s="407"/>
      <c r="BD211" s="407" t="s">
        <v>1102</v>
      </c>
      <c r="BE211" s="407"/>
      <c r="BF211" s="422"/>
      <c r="BG211" s="391">
        <f>SUM($AV$4:AV211)</f>
        <v>2196.2050000000309</v>
      </c>
      <c r="BH211" s="392">
        <f>SUM($AU$134:AU211)</f>
        <v>1888.0000000000123</v>
      </c>
      <c r="BI211" s="318">
        <f>SUMIFS($AU$134:AU212,$Q$134:Q212,"F")</f>
        <v>0</v>
      </c>
      <c r="BJ211" s="318">
        <f>SUMIFS($AU$134:AU212,$Q$134:Q212,"S")</f>
        <v>1801</v>
      </c>
      <c r="BK211" s="343">
        <f>SUMIFS($AU$134:AU212,$P$134:P212,"W")</f>
        <v>1734.8399999999833</v>
      </c>
      <c r="BL211" s="343">
        <f>SUMIFS($AU$134:AU212,$P$134:P212,"R")</f>
        <v>135.89999999999509</v>
      </c>
      <c r="BM211" s="343">
        <f>SUMIFS($AU$134:AU212,$AQ$134:AQ212,"M")</f>
        <v>0</v>
      </c>
      <c r="BN211" s="343">
        <f>SUMIFS($AU$134:AU212,$AQ$134:AQ212,"H")</f>
        <v>337.00000000001489</v>
      </c>
      <c r="BO211" s="343">
        <f>SUMIFS($AU$134:AU212,$AQ$134:AQ212,"D")</f>
        <v>717.59999999999991</v>
      </c>
      <c r="BP211" s="343">
        <f>SUMIFS($AU$134:AU214,$AQ$134:AQ214,"W")</f>
        <v>451.99999999999994</v>
      </c>
      <c r="BQ211" s="343">
        <f>SUMIFS($AU$134:AU212,$Q$134:Q212,"O")</f>
        <v>-129.46000000002152</v>
      </c>
      <c r="BR211" s="343">
        <f>SUMIFS($AU$134:AU212,$AA$134:AA212,"*")</f>
        <v>1654.2000000000121</v>
      </c>
      <c r="BS211" s="343">
        <f>SUMIFS($AU$134:AU212,$AB$134:AB212,"*")</f>
        <v>516.93999999995128</v>
      </c>
      <c r="BT211" s="343">
        <f>SUMIFS($AU$134:AU212,$AC$134:AC212,"*")</f>
        <v>933.69999999999982</v>
      </c>
      <c r="BU211" s="343">
        <f>SUMIFS($AU$134:AU212,$AA$134:AA212,"*",$AB$134:AB212,"*")</f>
        <v>534.1999999999847</v>
      </c>
      <c r="BV211" s="343">
        <f>SUMIFS($AU$134:AU212,$AA$134:AA212,"*",$AC$134:AC212,"*")</f>
        <v>933.69999999999982</v>
      </c>
      <c r="BW211" s="343">
        <f>SUMIFS($AU$134:AU212,$AB$134:AB212,"*",$AC$134:AC212,"*")</f>
        <v>515.1</v>
      </c>
      <c r="BX211" s="343">
        <f>SUMIFS($AU212:AU$1388,$Q212:Q$1388,"F")</f>
        <v>14440.666666666668</v>
      </c>
      <c r="BY211" s="343">
        <f>SUMIFS($AU212:AU$1388,$Q212:Q$1388,"S")</f>
        <v>18870.642000000003</v>
      </c>
      <c r="BZ211" s="343">
        <f>SUMIFS($AU212:AU$1388,$Q212:Q$1388,"O")</f>
        <v>-1536.6579999998103</v>
      </c>
    </row>
    <row r="212" spans="1:78" ht="18" customHeight="1">
      <c r="A212" s="177" t="s">
        <v>785</v>
      </c>
      <c r="B212" s="177">
        <v>44951</v>
      </c>
      <c r="C212" s="178" t="s">
        <v>682</v>
      </c>
      <c r="D212" s="178" t="s">
        <v>151</v>
      </c>
      <c r="E212" s="227"/>
      <c r="F212" s="272"/>
      <c r="G212" s="181" t="s">
        <v>1056</v>
      </c>
      <c r="H212" s="182"/>
      <c r="I212" s="182"/>
      <c r="J212" s="182"/>
      <c r="K212" s="183"/>
      <c r="L212" s="182">
        <v>1</v>
      </c>
      <c r="M212" s="182">
        <v>1</v>
      </c>
      <c r="N212" s="182"/>
      <c r="O212" s="183" t="s">
        <v>1057</v>
      </c>
      <c r="P212" s="183" t="s">
        <v>96</v>
      </c>
      <c r="Q212" s="183" t="s">
        <v>684</v>
      </c>
      <c r="R212" s="183">
        <v>2</v>
      </c>
      <c r="S212" s="183">
        <v>2</v>
      </c>
      <c r="T212" s="183">
        <v>2</v>
      </c>
      <c r="U212" s="183" t="s">
        <v>22</v>
      </c>
      <c r="V212" s="183"/>
      <c r="W212" s="183"/>
      <c r="X212" s="183"/>
      <c r="Y212" s="184">
        <f t="shared" si="85"/>
        <v>5.0000000000000001E-3</v>
      </c>
      <c r="Z212" s="184">
        <f t="shared" si="91"/>
        <v>1726.0000000000002</v>
      </c>
      <c r="AA212" s="185"/>
      <c r="AB212" s="185" t="s">
        <v>1103</v>
      </c>
      <c r="AC212" s="185"/>
      <c r="AD212" s="649">
        <v>96.76</v>
      </c>
      <c r="AE212" s="182"/>
      <c r="AF212" s="332"/>
      <c r="AG212" s="182"/>
      <c r="AH212" s="182"/>
      <c r="AI212" s="182"/>
      <c r="AJ212" s="640"/>
      <c r="AK212" s="182"/>
      <c r="AL212" s="496">
        <f t="shared" si="92"/>
        <v>-51.780000000000008</v>
      </c>
      <c r="AM212" s="496">
        <f>AL212*R212</f>
        <v>-103.56000000000002</v>
      </c>
      <c r="AN212" s="626"/>
      <c r="AO212" s="182"/>
      <c r="AP212" s="182" t="s">
        <v>1104</v>
      </c>
      <c r="AQ212" s="332" t="s">
        <v>97</v>
      </c>
      <c r="AR212" s="182" t="s">
        <v>682</v>
      </c>
      <c r="AS212" s="189">
        <v>96.754999999999995</v>
      </c>
      <c r="AT212" s="189">
        <f>IF(ISBLANK(AS212),,IF(U212="S",AD212-AS212,AS212-AD212))</f>
        <v>-5.0000000000096634E-3</v>
      </c>
      <c r="AU212" s="187">
        <f>AV212*R212</f>
        <v>-17.260000000033362</v>
      </c>
      <c r="AV212" s="190">
        <f>IF(ISBLANK(AS212),,(AT212*Z212))</f>
        <v>-8.6300000000166808</v>
      </c>
      <c r="AW212" s="191" t="s">
        <v>229</v>
      </c>
      <c r="AX212" s="407" t="s">
        <v>1105</v>
      </c>
      <c r="AY212" s="407" t="s">
        <v>1106</v>
      </c>
      <c r="AZ212" s="407"/>
      <c r="BA212" s="407"/>
      <c r="BB212" s="407"/>
      <c r="BC212" s="407"/>
      <c r="BD212" s="407"/>
      <c r="BE212" s="407"/>
      <c r="BF212" s="422"/>
      <c r="BG212" s="391">
        <f>SUM($AV$4:AV212)</f>
        <v>2187.5750000000144</v>
      </c>
      <c r="BH212" s="392">
        <f>SUM($AU$134:AU212)</f>
        <v>1870.7399999999789</v>
      </c>
      <c r="BI212" s="318">
        <f>SUMIFS($AU$134:AU213,$Q$134:Q213,"F")</f>
        <v>0</v>
      </c>
      <c r="BJ212" s="318">
        <f>SUMIFS($AU$134:AU213,$Q$134:Q213,"S")</f>
        <v>1801</v>
      </c>
      <c r="BK212" s="343">
        <f>SUMIFS($AU$134:AU213,$P$134:P213,"W")</f>
        <v>1734.8399999999833</v>
      </c>
      <c r="BL212" s="343">
        <f>SUMIFS($AU$134:AU213,$P$134:P213,"R")</f>
        <v>135.89999999999509</v>
      </c>
      <c r="BM212" s="343">
        <f>SUMIFS($AU$134:AU213,$AQ$134:AQ213,"M")</f>
        <v>0</v>
      </c>
      <c r="BN212" s="343">
        <f>SUMIFS($AU$134:AU213,$AQ$134:AQ213,"H")</f>
        <v>337.00000000001489</v>
      </c>
      <c r="BO212" s="343">
        <f>SUMIFS($AU$134:AU213,$AQ$134:AQ213,"D")</f>
        <v>717.59999999999991</v>
      </c>
      <c r="BP212" s="343">
        <f>SUMIFS($AU$134:AU215,$AQ$134:AQ215,"W")</f>
        <v>451.99999999999994</v>
      </c>
      <c r="BQ212" s="343">
        <f>SUMIFS($AU$134:AU213,$Q$134:Q213,"O")</f>
        <v>-129.46000000002152</v>
      </c>
      <c r="BR212" s="343">
        <f>SUMIFS($AU$134:AU213,$AA$134:AA213,"*")</f>
        <v>1654.2000000000121</v>
      </c>
      <c r="BS212" s="343">
        <f>SUMIFS($AU$134:AU213,$AB$134:AB213,"*")</f>
        <v>516.93999999995128</v>
      </c>
      <c r="BT212" s="343">
        <f>SUMIFS($AU$134:AU213,$AC$134:AC213,"*")</f>
        <v>933.69999999999982</v>
      </c>
      <c r="BU212" s="343">
        <f>SUMIFS($AU$134:AU213,$AA$134:AA213,"*",$AB$134:AB213,"*")</f>
        <v>534.1999999999847</v>
      </c>
      <c r="BV212" s="343">
        <f>SUMIFS($AU$134:AU213,$AA$134:AA213,"*",$AC$134:AC213,"*")</f>
        <v>933.69999999999982</v>
      </c>
      <c r="BW212" s="343">
        <f>SUMIFS($AU$134:AU213,$AB$134:AB213,"*",$AC$134:AC213,"*")</f>
        <v>515.1</v>
      </c>
      <c r="BX212" s="343">
        <f>SUMIFS($AU213:AU$1388,$Q213:Q$1388,"F")</f>
        <v>14440.666666666668</v>
      </c>
      <c r="BY212" s="343">
        <f>SUMIFS($AU213:AU$1388,$Q213:Q$1388,"S")</f>
        <v>18870.642000000003</v>
      </c>
      <c r="BZ212" s="343">
        <f>SUMIFS($AU213:AU$1388,$Q213:Q$1388,"O")</f>
        <v>-1519.3979999997771</v>
      </c>
    </row>
    <row r="213" spans="1:78" ht="18" customHeight="1">
      <c r="A213" s="177" t="s">
        <v>785</v>
      </c>
      <c r="B213" s="177"/>
      <c r="C213" s="194"/>
      <c r="D213" s="178"/>
      <c r="E213" s="227"/>
      <c r="F213" s="180"/>
      <c r="G213" s="181"/>
      <c r="H213" s="182"/>
      <c r="I213" s="182"/>
      <c r="J213" s="182"/>
      <c r="K213" s="183"/>
      <c r="L213" s="182"/>
      <c r="M213" s="182"/>
      <c r="N213" s="182"/>
      <c r="O213" s="183"/>
      <c r="P213" s="183"/>
      <c r="Q213" s="183"/>
      <c r="R213" s="183"/>
      <c r="S213" s="183"/>
      <c r="T213" s="183"/>
      <c r="U213" s="183"/>
      <c r="V213" s="183"/>
      <c r="W213" s="183"/>
      <c r="X213" s="183"/>
      <c r="Y213" s="184">
        <f t="shared" si="85"/>
        <v>0</v>
      </c>
      <c r="Z213" s="184">
        <f t="shared" si="91"/>
        <v>0</v>
      </c>
      <c r="AA213" s="185"/>
      <c r="AB213" s="185"/>
      <c r="AC213" s="185"/>
      <c r="AD213" s="649"/>
      <c r="AE213" s="182"/>
      <c r="AF213" s="332"/>
      <c r="AG213" s="182"/>
      <c r="AH213" s="182"/>
      <c r="AI213" s="182"/>
      <c r="AJ213" s="640"/>
      <c r="AK213" s="182"/>
      <c r="AL213" s="496"/>
      <c r="AM213" s="497"/>
      <c r="AN213" s="626"/>
      <c r="AO213" s="182"/>
      <c r="AP213" s="182"/>
      <c r="AQ213" s="332" t="str">
        <f>UPPER(RIGHT(Journal_Live[[#This Row],[DURATION ]]))</f>
        <v/>
      </c>
      <c r="AR213" s="182"/>
      <c r="AS213" s="189"/>
      <c r="AT213" s="182"/>
      <c r="AU213" s="187"/>
      <c r="AV213" s="190"/>
      <c r="AW213" s="191"/>
      <c r="AX213" s="430" t="s">
        <v>1107</v>
      </c>
      <c r="AY213" s="407" t="s">
        <v>1108</v>
      </c>
      <c r="AZ213" s="409" t="s">
        <v>1109</v>
      </c>
      <c r="BA213" s="407"/>
      <c r="BB213" s="407"/>
      <c r="BC213" s="407"/>
      <c r="BD213" s="407" t="s">
        <v>1110</v>
      </c>
      <c r="BE213" s="407" t="s">
        <v>1111</v>
      </c>
      <c r="BF213" s="422"/>
      <c r="BG213" s="391">
        <f>SUM($AV$4:AV213)</f>
        <v>2187.5750000000144</v>
      </c>
      <c r="BH213" s="392">
        <f>SUM($AU$134:AU213)</f>
        <v>1870.7399999999789</v>
      </c>
      <c r="BI213" s="318">
        <f>SUMIFS($AU$134:AU214,$Q$134:Q214,"F")</f>
        <v>0</v>
      </c>
      <c r="BJ213" s="318">
        <f>SUMIFS($AU$134:AU214,$Q$134:Q214,"S")</f>
        <v>1801</v>
      </c>
      <c r="BK213" s="343">
        <f>SUMIFS($AU$134:AU214,$P$134:P214,"W")</f>
        <v>1734.8399999999833</v>
      </c>
      <c r="BL213" s="343">
        <f>SUMIFS($AU$134:AU214,$P$134:P214,"R")</f>
        <v>135.89999999999509</v>
      </c>
      <c r="BM213" s="343">
        <f>SUMIFS($AU$134:AU214,$AQ$134:AQ214,"M")</f>
        <v>0</v>
      </c>
      <c r="BN213" s="343">
        <f>SUMIFS($AU$134:AU214,$AQ$134:AQ214,"H")</f>
        <v>337.00000000001489</v>
      </c>
      <c r="BO213" s="343">
        <f>SUMIFS($AU$134:AU214,$AQ$134:AQ214,"D")</f>
        <v>717.59999999999991</v>
      </c>
      <c r="BP213" s="343">
        <f>SUMIFS($AU$134:AU216,$AQ$134:AQ216,"W")</f>
        <v>451.99999999999994</v>
      </c>
      <c r="BQ213" s="343">
        <f>SUMIFS($AU$134:AU214,$Q$134:Q214,"O")</f>
        <v>-129.46000000002152</v>
      </c>
      <c r="BR213" s="343">
        <f>SUMIFS($AU$134:AU214,$AA$134:AA214,"*")</f>
        <v>1654.2000000000121</v>
      </c>
      <c r="BS213" s="343">
        <f>SUMIFS($AU$134:AU214,$AB$134:AB214,"*")</f>
        <v>516.93999999995128</v>
      </c>
      <c r="BT213" s="343">
        <f>SUMIFS($AU$134:AU214,$AC$134:AC214,"*")</f>
        <v>933.69999999999982</v>
      </c>
      <c r="BU213" s="343">
        <f>SUMIFS($AU$134:AU214,$AA$134:AA214,"*",$AB$134:AB214,"*")</f>
        <v>534.1999999999847</v>
      </c>
      <c r="BV213" s="343">
        <f>SUMIFS($AU$134:AU214,$AA$134:AA214,"*",$AC$134:AC214,"*")</f>
        <v>933.69999999999982</v>
      </c>
      <c r="BW213" s="343">
        <f>SUMIFS($AU$134:AU214,$AB$134:AB214,"*",$AC$134:AC214,"*")</f>
        <v>515.1</v>
      </c>
      <c r="BX213" s="343">
        <f>SUMIFS($AU214:AU$1388,$Q214:Q$1388,"F")</f>
        <v>14440.666666666668</v>
      </c>
      <c r="BY213" s="343">
        <f>SUMIFS($AU214:AU$1388,$Q214:Q$1388,"S")</f>
        <v>18870.642000000003</v>
      </c>
      <c r="BZ213" s="343">
        <f>SUMIFS($AU214:AU$1388,$Q214:Q$1388,"O")</f>
        <v>-1519.3979999997771</v>
      </c>
    </row>
    <row r="214" spans="1:78" ht="18" customHeight="1">
      <c r="A214" s="177" t="s">
        <v>785</v>
      </c>
      <c r="B214" s="177">
        <v>44951</v>
      </c>
      <c r="C214" s="194">
        <v>0.41666666666666669</v>
      </c>
      <c r="D214" s="178" t="s">
        <v>151</v>
      </c>
      <c r="E214" s="227"/>
      <c r="F214" s="180"/>
      <c r="G214" s="181" t="s">
        <v>757</v>
      </c>
      <c r="H214" s="182"/>
      <c r="I214" s="182"/>
      <c r="J214" s="182"/>
      <c r="K214" s="183"/>
      <c r="L214" s="182">
        <v>1</v>
      </c>
      <c r="M214" s="182"/>
      <c r="N214" s="182"/>
      <c r="O214" s="183" t="s">
        <v>95</v>
      </c>
      <c r="P214" s="183" t="s">
        <v>96</v>
      </c>
      <c r="Q214" s="183" t="s">
        <v>97</v>
      </c>
      <c r="R214" s="183">
        <v>2</v>
      </c>
      <c r="S214" s="183">
        <v>2</v>
      </c>
      <c r="T214" s="183">
        <v>2</v>
      </c>
      <c r="U214" s="183" t="s">
        <v>22</v>
      </c>
      <c r="V214" s="183"/>
      <c r="W214" s="183"/>
      <c r="X214" s="183"/>
      <c r="Y214" s="184">
        <f t="shared" si="85"/>
        <v>0.01</v>
      </c>
      <c r="Z214" s="184">
        <f t="shared" si="91"/>
        <v>1700</v>
      </c>
      <c r="AA214" s="185" t="s">
        <v>1112</v>
      </c>
      <c r="AB214" s="185"/>
      <c r="AC214" s="185" t="s">
        <v>1113</v>
      </c>
      <c r="AD214" s="649">
        <v>7.0000000000000007E-2</v>
      </c>
      <c r="AE214" s="182"/>
      <c r="AF214" s="332">
        <v>0.04</v>
      </c>
      <c r="AG214" s="182"/>
      <c r="AH214" s="182" t="s">
        <v>1114</v>
      </c>
      <c r="AI214" s="182"/>
      <c r="AJ214" s="640"/>
      <c r="AK214" s="182"/>
      <c r="AL214" s="496">
        <f t="shared" ref="AL214:AL216" si="93">-0.03*Z214</f>
        <v>-51</v>
      </c>
      <c r="AM214" s="496">
        <f>AL214*R214</f>
        <v>-102</v>
      </c>
      <c r="AN214" s="626"/>
      <c r="AO214" s="182"/>
      <c r="AP214" s="182" t="s">
        <v>770</v>
      </c>
      <c r="AQ214" s="332" t="str">
        <f>UPPER(RIGHT(Journal_Live[[#This Row],[DURATION ]]))</f>
        <v>D</v>
      </c>
      <c r="AR214" s="182" t="s">
        <v>1115</v>
      </c>
      <c r="AS214" s="189">
        <v>7.0000000000000007E-2</v>
      </c>
      <c r="AT214" s="189">
        <f>IF(ISBLANK(AS214),,IF(U214="S",AD214-AS214,AS214-AD214))</f>
        <v>0</v>
      </c>
      <c r="AU214" s="187">
        <f>AV214*R214</f>
        <v>0</v>
      </c>
      <c r="AV214" s="190">
        <f>IF(ISBLANK(AS214),,(AT214*Z214))</f>
        <v>0</v>
      </c>
      <c r="AW214" s="191" t="s">
        <v>115</v>
      </c>
      <c r="AX214" s="407" t="s">
        <v>1116</v>
      </c>
      <c r="AY214" s="407" t="s">
        <v>1117</v>
      </c>
      <c r="AZ214" s="407"/>
      <c r="BA214" s="407"/>
      <c r="BB214" s="407"/>
      <c r="BC214" s="407"/>
      <c r="BD214" s="407"/>
      <c r="BE214" s="407"/>
      <c r="BF214" s="422"/>
      <c r="BG214" s="391">
        <f>SUM($AV$4:AV214)</f>
        <v>2187.5750000000144</v>
      </c>
      <c r="BH214" s="392">
        <f>SUM($AU$134:AU214)</f>
        <v>1870.7399999999789</v>
      </c>
      <c r="BI214" s="318">
        <f>SUMIFS($AU$134:AU215,$Q$134:Q215,"F")</f>
        <v>0</v>
      </c>
      <c r="BJ214" s="318">
        <f>SUMIFS($AU$134:AU215,$Q$134:Q215,"S")</f>
        <v>1937</v>
      </c>
      <c r="BK214" s="343">
        <f>SUMIFS($AU$134:AU215,$P$134:P215,"W")</f>
        <v>1870.8399999999833</v>
      </c>
      <c r="BL214" s="343">
        <f>SUMIFS($AU$134:AU215,$P$134:P215,"R")</f>
        <v>135.89999999999509</v>
      </c>
      <c r="BM214" s="343">
        <f>SUMIFS($AU$134:AU215,$AQ$134:AQ215,"M")</f>
        <v>0</v>
      </c>
      <c r="BN214" s="343">
        <f>SUMIFS($AU$134:AU215,$AQ$134:AQ215,"H")</f>
        <v>337.00000000001489</v>
      </c>
      <c r="BO214" s="343">
        <f>SUMIFS($AU$134:AU215,$AQ$134:AQ215,"D")</f>
        <v>853.59999999999991</v>
      </c>
      <c r="BP214" s="343">
        <f>SUMIFS($AU$134:AU217,$AQ$134:AQ217,"W")</f>
        <v>451.99999999999994</v>
      </c>
      <c r="BQ214" s="343">
        <f>SUMIFS($AU$134:AU215,$Q$134:Q215,"O")</f>
        <v>-129.46000000002152</v>
      </c>
      <c r="BR214" s="343">
        <f>SUMIFS($AU$134:AU215,$AA$134:AA215,"*")</f>
        <v>1790.2000000000121</v>
      </c>
      <c r="BS214" s="343">
        <f>SUMIFS($AU$134:AU215,$AB$134:AB215,"*")</f>
        <v>516.93999999995128</v>
      </c>
      <c r="BT214" s="343">
        <f>SUMIFS($AU$134:AU215,$AC$134:AC215,"*")</f>
        <v>933.69999999999982</v>
      </c>
      <c r="BU214" s="343">
        <f>SUMIFS($AU$134:AU215,$AA$134:AA215,"*",$AB$134:AB215,"*")</f>
        <v>534.1999999999847</v>
      </c>
      <c r="BV214" s="343">
        <f>SUMIFS($AU$134:AU215,$AA$134:AA215,"*",$AC$134:AC215,"*")</f>
        <v>933.69999999999982</v>
      </c>
      <c r="BW214" s="343">
        <f>SUMIFS($AU$134:AU215,$AB$134:AB215,"*",$AC$134:AC215,"*")</f>
        <v>515.1</v>
      </c>
      <c r="BX214" s="343">
        <f>SUMIFS($AU215:AU$1388,$Q215:Q$1388,"F")</f>
        <v>14440.666666666668</v>
      </c>
      <c r="BY214" s="343">
        <f>SUMIFS($AU215:AU$1388,$Q215:Q$1388,"S")</f>
        <v>18870.642000000003</v>
      </c>
      <c r="BZ214" s="343">
        <f>SUMIFS($AU215:AU$1388,$Q215:Q$1388,"O")</f>
        <v>-1519.3979999997771</v>
      </c>
    </row>
    <row r="215" spans="1:78" ht="18" customHeight="1">
      <c r="A215" s="177" t="s">
        <v>785</v>
      </c>
      <c r="B215" s="177">
        <v>44951</v>
      </c>
      <c r="C215" s="178" t="s">
        <v>1118</v>
      </c>
      <c r="D215" s="178" t="s">
        <v>151</v>
      </c>
      <c r="E215" s="227"/>
      <c r="F215" s="180"/>
      <c r="G215" s="181" t="s">
        <v>133</v>
      </c>
      <c r="H215" s="182"/>
      <c r="I215" s="182"/>
      <c r="J215" s="182"/>
      <c r="K215" s="183"/>
      <c r="L215" s="182">
        <v>1</v>
      </c>
      <c r="M215" s="182"/>
      <c r="N215" s="182"/>
      <c r="O215" s="183" t="s">
        <v>95</v>
      </c>
      <c r="P215" s="183" t="s">
        <v>96</v>
      </c>
      <c r="Q215" s="183" t="s">
        <v>97</v>
      </c>
      <c r="R215" s="183">
        <v>4</v>
      </c>
      <c r="S215" s="183">
        <v>4</v>
      </c>
      <c r="T215" s="183">
        <v>4</v>
      </c>
      <c r="U215" s="183" t="s">
        <v>22</v>
      </c>
      <c r="V215" s="183"/>
      <c r="W215" s="183"/>
      <c r="X215" s="183"/>
      <c r="Y215" s="184">
        <f t="shared" si="85"/>
        <v>0.01</v>
      </c>
      <c r="Z215" s="184">
        <f t="shared" si="91"/>
        <v>1700</v>
      </c>
      <c r="AA215" s="185" t="s">
        <v>1119</v>
      </c>
      <c r="AB215" s="185"/>
      <c r="AC215" s="185"/>
      <c r="AD215" s="649">
        <v>-0.05</v>
      </c>
      <c r="AE215" s="182"/>
      <c r="AF215" s="332">
        <v>-0.08</v>
      </c>
      <c r="AG215" s="182"/>
      <c r="AH215" s="182"/>
      <c r="AI215" s="182"/>
      <c r="AJ215" s="640"/>
      <c r="AK215" s="182"/>
      <c r="AL215" s="496">
        <f t="shared" si="93"/>
        <v>-51</v>
      </c>
      <c r="AM215" s="496">
        <f>AL215*R215</f>
        <v>-204</v>
      </c>
      <c r="AN215" s="626"/>
      <c r="AO215" s="182"/>
      <c r="AP215" s="182" t="s">
        <v>804</v>
      </c>
      <c r="AQ215" s="332" t="str">
        <f>UPPER(RIGHT(Journal_Live[[#This Row],[DURATION ]]))</f>
        <v>D</v>
      </c>
      <c r="AR215" s="182" t="s">
        <v>1120</v>
      </c>
      <c r="AS215" s="189">
        <v>-0.03</v>
      </c>
      <c r="AT215" s="189">
        <f>IF(ISBLANK(AS215),,IF(U215="S",AD215-AS215,AS215-AD215))</f>
        <v>2.0000000000000004E-2</v>
      </c>
      <c r="AU215" s="187">
        <f>AV215*R215</f>
        <v>136.00000000000003</v>
      </c>
      <c r="AV215" s="190">
        <f>IF(ISBLANK(AS215),,(AT215*Z215))</f>
        <v>34.000000000000007</v>
      </c>
      <c r="AW215" s="191" t="s">
        <v>96</v>
      </c>
      <c r="AX215" s="407"/>
      <c r="AY215" s="407"/>
      <c r="AZ215" s="407"/>
      <c r="BA215" s="407"/>
      <c r="BB215" s="407"/>
      <c r="BC215" s="407"/>
      <c r="BD215" s="407"/>
      <c r="BE215" s="407"/>
      <c r="BF215" s="422"/>
      <c r="BG215" s="391">
        <f>SUM($AV$4:AV215)</f>
        <v>2221.5750000000144</v>
      </c>
      <c r="BH215" s="392">
        <f>SUM($AU$134:AU215)</f>
        <v>2006.7399999999789</v>
      </c>
      <c r="BI215" s="318">
        <f>SUMIFS($AU$134:AU216,$Q$134:Q216,"F")</f>
        <v>0</v>
      </c>
      <c r="BJ215" s="318">
        <f>SUMIFS($AU$134:AU216,$Q$134:Q216,"S")</f>
        <v>1971</v>
      </c>
      <c r="BK215" s="343">
        <f>SUMIFS($AU$134:AU216,$P$134:P216,"W")</f>
        <v>1870.8399999999833</v>
      </c>
      <c r="BL215" s="343">
        <f>SUMIFS($AU$134:AU216,$P$134:P216,"R")</f>
        <v>169.89999999999512</v>
      </c>
      <c r="BM215" s="343">
        <f>SUMIFS($AU$134:AU216,$AQ$134:AQ216,"M")</f>
        <v>0</v>
      </c>
      <c r="BN215" s="343">
        <f>SUMIFS($AU$134:AU216,$AQ$134:AQ216,"H")</f>
        <v>337.00000000001489</v>
      </c>
      <c r="BO215" s="343">
        <f>SUMIFS($AU$134:AU216,$AQ$134:AQ216,"D")</f>
        <v>853.59999999999991</v>
      </c>
      <c r="BP215" s="343">
        <f>SUMIFS($AU$134:AU218,$AQ$134:AQ218,"W")</f>
        <v>451.99999999999994</v>
      </c>
      <c r="BQ215" s="343">
        <f>SUMIFS($AU$134:AU216,$Q$134:Q216,"O")</f>
        <v>-129.46000000002152</v>
      </c>
      <c r="BR215" s="343">
        <f>SUMIFS($AU$134:AU216,$AA$134:AA216,"*")</f>
        <v>1824.2000000000121</v>
      </c>
      <c r="BS215" s="343">
        <f>SUMIFS($AU$134:AU216,$AB$134:AB216,"*")</f>
        <v>516.93999999995128</v>
      </c>
      <c r="BT215" s="343">
        <f>SUMIFS($AU$134:AU216,$AC$134:AC216,"*")</f>
        <v>967.69999999999982</v>
      </c>
      <c r="BU215" s="343">
        <f>SUMIFS($AU$134:AU216,$AA$134:AA216,"*",$AB$134:AB216,"*")</f>
        <v>534.1999999999847</v>
      </c>
      <c r="BV215" s="343">
        <f>SUMIFS($AU$134:AU216,$AA$134:AA216,"*",$AC$134:AC216,"*")</f>
        <v>967.69999999999982</v>
      </c>
      <c r="BW215" s="343">
        <f>SUMIFS($AU$134:AU216,$AB$134:AB216,"*",$AC$134:AC216,"*")</f>
        <v>515.1</v>
      </c>
      <c r="BX215" s="343">
        <f>SUMIFS($AU216:AU$1388,$Q216:Q$1388,"F")</f>
        <v>14440.666666666668</v>
      </c>
      <c r="BY215" s="343">
        <f>SUMIFS($AU216:AU$1388,$Q216:Q$1388,"S")</f>
        <v>18734.642</v>
      </c>
      <c r="BZ215" s="343">
        <f>SUMIFS($AU216:AU$1388,$Q216:Q$1388,"O")</f>
        <v>-1519.3979999997771</v>
      </c>
    </row>
    <row r="216" spans="1:78" ht="18" customHeight="1">
      <c r="A216" s="177" t="s">
        <v>785</v>
      </c>
      <c r="B216" s="177">
        <v>44953</v>
      </c>
      <c r="C216" s="178" t="s">
        <v>1121</v>
      </c>
      <c r="D216" s="178" t="s">
        <v>111</v>
      </c>
      <c r="E216" s="227"/>
      <c r="F216" s="180"/>
      <c r="G216" s="181" t="s">
        <v>271</v>
      </c>
      <c r="H216" s="182"/>
      <c r="I216" s="182"/>
      <c r="J216" s="182"/>
      <c r="K216" s="183"/>
      <c r="L216" s="182">
        <v>1</v>
      </c>
      <c r="M216" s="182"/>
      <c r="N216" s="182"/>
      <c r="O216" s="183" t="s">
        <v>95</v>
      </c>
      <c r="P216" s="183" t="s">
        <v>137</v>
      </c>
      <c r="Q216" s="183" t="s">
        <v>97</v>
      </c>
      <c r="R216" s="183">
        <v>2</v>
      </c>
      <c r="S216" s="183">
        <v>2</v>
      </c>
      <c r="T216" s="183">
        <v>2</v>
      </c>
      <c r="U216" s="183" t="s">
        <v>22</v>
      </c>
      <c r="V216" s="183"/>
      <c r="W216" s="183"/>
      <c r="X216" s="183"/>
      <c r="Y216" s="184">
        <f t="shared" si="85"/>
        <v>0.01</v>
      </c>
      <c r="Z216" s="184">
        <f t="shared" si="91"/>
        <v>1700</v>
      </c>
      <c r="AA216" s="185" t="s">
        <v>567</v>
      </c>
      <c r="AB216" s="185"/>
      <c r="AC216" s="185" t="s">
        <v>99</v>
      </c>
      <c r="AD216" s="649">
        <v>-0.16</v>
      </c>
      <c r="AE216" s="182"/>
      <c r="AF216" s="332">
        <v>-0.19</v>
      </c>
      <c r="AG216" s="182"/>
      <c r="AH216" s="182">
        <v>-0.15</v>
      </c>
      <c r="AI216" s="182"/>
      <c r="AJ216" s="640"/>
      <c r="AK216" s="182"/>
      <c r="AL216" s="496">
        <f t="shared" si="93"/>
        <v>-51</v>
      </c>
      <c r="AM216" s="496">
        <f>AL216*R216</f>
        <v>-102</v>
      </c>
      <c r="AN216" s="626"/>
      <c r="AO216" s="182"/>
      <c r="AP216" s="182" t="s">
        <v>1122</v>
      </c>
      <c r="AQ216" s="332" t="str">
        <f>UPPER(RIGHT(Journal_Live[[#This Row],[DURATION ]]))</f>
        <v>S</v>
      </c>
      <c r="AR216" s="182" t="s">
        <v>1123</v>
      </c>
      <c r="AS216" s="189">
        <v>-0.15</v>
      </c>
      <c r="AT216" s="189">
        <f>IF(ISBLANK(AS216),,IF(U216="S",AD216-AS216,AS216-AD216))</f>
        <v>1.0000000000000009E-2</v>
      </c>
      <c r="AU216" s="187">
        <f>AV216*R216</f>
        <v>34.000000000000028</v>
      </c>
      <c r="AV216" s="190">
        <f>IF(ISBLANK(AS216),,(AT216*Z216))</f>
        <v>17.000000000000014</v>
      </c>
      <c r="AW216" s="191" t="s">
        <v>96</v>
      </c>
      <c r="AX216" s="407" t="s">
        <v>1124</v>
      </c>
      <c r="AY216" s="407"/>
      <c r="AZ216" s="407"/>
      <c r="BA216" s="407"/>
      <c r="BB216" s="407"/>
      <c r="BC216" s="407"/>
      <c r="BD216" s="407"/>
      <c r="BE216" s="407"/>
      <c r="BF216" s="422"/>
      <c r="BG216" s="391">
        <f>SUM($AV$4:AV216)</f>
        <v>2238.5750000000144</v>
      </c>
      <c r="BH216" s="392">
        <f>SUM($AU$134:AU216)</f>
        <v>2040.7399999999789</v>
      </c>
      <c r="BI216" s="318">
        <f>SUMIFS($AU$134:AU217,$Q$134:Q217,"F")</f>
        <v>0</v>
      </c>
      <c r="BJ216" s="318">
        <f>SUMIFS($AU$134:AU217,$Q$134:Q217,"S")</f>
        <v>1971</v>
      </c>
      <c r="BK216" s="343">
        <f>SUMIFS($AU$134:AU217,$P$134:P217,"W")</f>
        <v>1870.8399999999833</v>
      </c>
      <c r="BL216" s="343">
        <f>SUMIFS($AU$134:AU217,$P$134:P217,"R")</f>
        <v>169.89999999999512</v>
      </c>
      <c r="BM216" s="343">
        <f>SUMIFS($AU$134:AU217,$AQ$134:AQ217,"M")</f>
        <v>0</v>
      </c>
      <c r="BN216" s="343">
        <f>SUMIFS($AU$134:AU217,$AQ$134:AQ217,"H")</f>
        <v>337.00000000001489</v>
      </c>
      <c r="BO216" s="343">
        <f>SUMIFS($AU$134:AU217,$AQ$134:AQ217,"D")</f>
        <v>853.59999999999991</v>
      </c>
      <c r="BP216" s="343">
        <f>SUMIFS($AU$134:AU219,$AQ$134:AQ219,"W")</f>
        <v>451.99999999999994</v>
      </c>
      <c r="BQ216" s="343">
        <f>SUMIFS($AU$134:AU217,$Q$134:Q217,"O")</f>
        <v>-129.46000000002152</v>
      </c>
      <c r="BR216" s="343">
        <f>SUMIFS($AU$134:AU217,$AA$134:AA217,"*")</f>
        <v>1824.2000000000121</v>
      </c>
      <c r="BS216" s="343">
        <f>SUMIFS($AU$134:AU217,$AB$134:AB217,"*")</f>
        <v>516.93999999995128</v>
      </c>
      <c r="BT216" s="343">
        <f>SUMIFS($AU$134:AU217,$AC$134:AC217,"*")</f>
        <v>967.69999999999982</v>
      </c>
      <c r="BU216" s="343">
        <f>SUMIFS($AU$134:AU217,$AA$134:AA217,"*",$AB$134:AB217,"*")</f>
        <v>534.1999999999847</v>
      </c>
      <c r="BV216" s="343">
        <f>SUMIFS($AU$134:AU217,$AA$134:AA217,"*",$AC$134:AC217,"*")</f>
        <v>967.69999999999982</v>
      </c>
      <c r="BW216" s="343">
        <f>SUMIFS($AU$134:AU217,$AB$134:AB217,"*",$AC$134:AC217,"*")</f>
        <v>515.1</v>
      </c>
      <c r="BX216" s="343">
        <f>SUMIFS($AU217:AU$1388,$Q217:Q$1388,"F")</f>
        <v>14440.666666666668</v>
      </c>
      <c r="BY216" s="343">
        <f>SUMIFS($AU217:AU$1388,$Q217:Q$1388,"S")</f>
        <v>18700.642</v>
      </c>
      <c r="BZ216" s="343">
        <f>SUMIFS($AU217:AU$1388,$Q217:Q$1388,"O")</f>
        <v>-1519.3979999997771</v>
      </c>
    </row>
    <row r="217" spans="1:78" ht="18" customHeight="1">
      <c r="A217" s="177" t="s">
        <v>785</v>
      </c>
      <c r="B217" s="177">
        <v>44953</v>
      </c>
      <c r="C217" s="194">
        <v>0.25</v>
      </c>
      <c r="D217" s="178" t="s">
        <v>111</v>
      </c>
      <c r="E217" s="227" t="s">
        <v>1125</v>
      </c>
      <c r="F217" s="180" t="s">
        <v>343</v>
      </c>
      <c r="G217" s="181"/>
      <c r="H217" s="182"/>
      <c r="I217" s="182"/>
      <c r="J217" s="182">
        <v>1</v>
      </c>
      <c r="K217" s="183" t="s">
        <v>115</v>
      </c>
      <c r="L217" s="182"/>
      <c r="M217" s="182"/>
      <c r="N217" s="182"/>
      <c r="O217" s="183"/>
      <c r="P217" s="183"/>
      <c r="Q217" s="183"/>
      <c r="R217" s="183"/>
      <c r="S217" s="183"/>
      <c r="T217" s="183"/>
      <c r="U217" s="183"/>
      <c r="V217" s="183"/>
      <c r="W217" s="183"/>
      <c r="X217" s="183"/>
      <c r="Y217" s="184">
        <f t="shared" si="85"/>
        <v>0</v>
      </c>
      <c r="Z217" s="184">
        <f t="shared" si="91"/>
        <v>0</v>
      </c>
      <c r="AA217" s="185"/>
      <c r="AB217" s="185"/>
      <c r="AC217" s="185"/>
      <c r="AD217" s="649"/>
      <c r="AE217" s="182"/>
      <c r="AF217" s="332"/>
      <c r="AG217" s="182"/>
      <c r="AH217" s="182"/>
      <c r="AI217" s="182"/>
      <c r="AJ217" s="640"/>
      <c r="AK217" s="182"/>
      <c r="AL217" s="496"/>
      <c r="AM217" s="497"/>
      <c r="AN217" s="626"/>
      <c r="AO217" s="182"/>
      <c r="AP217" s="182"/>
      <c r="AQ217" s="332" t="str">
        <f>UPPER(RIGHT(Journal_Live[[#This Row],[DURATION ]]))</f>
        <v/>
      </c>
      <c r="AR217" s="182"/>
      <c r="AS217" s="189"/>
      <c r="AT217" s="182"/>
      <c r="AU217" s="187"/>
      <c r="AV217" s="190"/>
      <c r="AW217" s="191"/>
      <c r="AX217" s="407"/>
      <c r="AY217" s="407"/>
      <c r="AZ217" s="407"/>
      <c r="BA217" s="407"/>
      <c r="BB217" s="407"/>
      <c r="BC217" s="407"/>
      <c r="BD217" s="407"/>
      <c r="BE217" s="407"/>
      <c r="BF217" s="422"/>
      <c r="BG217" s="391">
        <f>SUM($AV$4:AV217)</f>
        <v>2238.5750000000144</v>
      </c>
      <c r="BH217" s="392">
        <f>SUM($AU$134:AU217)</f>
        <v>2040.7399999999789</v>
      </c>
      <c r="BI217" s="318">
        <f>SUMIFS($AU$134:AU218,$Q$134:Q218,"F")</f>
        <v>0</v>
      </c>
      <c r="BJ217" s="318">
        <f>SUMIFS($AU$134:AU218,$Q$134:Q218,"S")</f>
        <v>1971</v>
      </c>
      <c r="BK217" s="343">
        <f>SUMIFS($AU$134:AU218,$P$134:P218,"W")</f>
        <v>1870.8399999999833</v>
      </c>
      <c r="BL217" s="343">
        <f>SUMIFS($AU$134:AU218,$P$134:P218,"R")</f>
        <v>169.89999999999512</v>
      </c>
      <c r="BM217" s="343">
        <f>SUMIFS($AU$134:AU218,$AQ$134:AQ218,"M")</f>
        <v>0</v>
      </c>
      <c r="BN217" s="343">
        <f>SUMIFS($AU$134:AU218,$AQ$134:AQ218,"H")</f>
        <v>337.00000000001489</v>
      </c>
      <c r="BO217" s="343">
        <f>SUMIFS($AU$134:AU218,$AQ$134:AQ218,"D")</f>
        <v>853.59999999999991</v>
      </c>
      <c r="BP217" s="343">
        <f>SUMIFS($AU$134:AU220,$AQ$134:AQ220,"W")</f>
        <v>451.99999999999994</v>
      </c>
      <c r="BQ217" s="343">
        <f>SUMIFS($AU$134:AU218,$Q$134:Q218,"O")</f>
        <v>-129.46000000002152</v>
      </c>
      <c r="BR217" s="343">
        <f>SUMIFS($AU$134:AU218,$AA$134:AA218,"*")</f>
        <v>1824.2000000000121</v>
      </c>
      <c r="BS217" s="343">
        <f>SUMIFS($AU$134:AU218,$AB$134:AB218,"*")</f>
        <v>516.93999999995128</v>
      </c>
      <c r="BT217" s="343">
        <f>SUMIFS($AU$134:AU218,$AC$134:AC218,"*")</f>
        <v>967.69999999999982</v>
      </c>
      <c r="BU217" s="343">
        <f>SUMIFS($AU$134:AU218,$AA$134:AA218,"*",$AB$134:AB218,"*")</f>
        <v>534.1999999999847</v>
      </c>
      <c r="BV217" s="343">
        <f>SUMIFS($AU$134:AU218,$AA$134:AA218,"*",$AC$134:AC218,"*")</f>
        <v>967.69999999999982</v>
      </c>
      <c r="BW217" s="343">
        <f>SUMIFS($AU$134:AU218,$AB$134:AB218,"*",$AC$134:AC218,"*")</f>
        <v>515.1</v>
      </c>
      <c r="BX217" s="343">
        <f>SUMIFS($AU218:AU$1388,$Q218:Q$1388,"F")</f>
        <v>14440.666666666668</v>
      </c>
      <c r="BY217" s="343">
        <f>SUMIFS($AU218:AU$1388,$Q218:Q$1388,"S")</f>
        <v>18700.642</v>
      </c>
      <c r="BZ217" s="343">
        <f>SUMIFS($AU218:AU$1388,$Q218:Q$1388,"O")</f>
        <v>-1519.3979999997771</v>
      </c>
    </row>
    <row r="218" spans="1:78" ht="18" customHeight="1">
      <c r="A218" s="177" t="s">
        <v>785</v>
      </c>
      <c r="B218" s="177"/>
      <c r="C218" s="178"/>
      <c r="D218" s="178"/>
      <c r="E218" s="227" t="s">
        <v>1126</v>
      </c>
      <c r="F218" s="180"/>
      <c r="G218" s="181"/>
      <c r="H218" s="182"/>
      <c r="I218" s="182"/>
      <c r="J218" s="182">
        <v>1</v>
      </c>
      <c r="K218" s="183" t="s">
        <v>115</v>
      </c>
      <c r="L218" s="182"/>
      <c r="M218" s="182"/>
      <c r="N218" s="182"/>
      <c r="O218" s="183"/>
      <c r="P218" s="183"/>
      <c r="Q218" s="183"/>
      <c r="R218" s="183"/>
      <c r="S218" s="183"/>
      <c r="T218" s="183"/>
      <c r="U218" s="183"/>
      <c r="V218" s="183"/>
      <c r="W218" s="183"/>
      <c r="X218" s="183"/>
      <c r="Y218" s="184">
        <f t="shared" si="85"/>
        <v>0</v>
      </c>
      <c r="Z218" s="184">
        <f t="shared" si="91"/>
        <v>0</v>
      </c>
      <c r="AA218" s="185"/>
      <c r="AB218" s="185"/>
      <c r="AC218" s="185"/>
      <c r="AD218" s="649"/>
      <c r="AE218" s="182"/>
      <c r="AF218" s="332"/>
      <c r="AG218" s="182"/>
      <c r="AH218" s="182"/>
      <c r="AI218" s="182"/>
      <c r="AJ218" s="640"/>
      <c r="AK218" s="182"/>
      <c r="AL218" s="496"/>
      <c r="AM218" s="497"/>
      <c r="AN218" s="626"/>
      <c r="AO218" s="182"/>
      <c r="AP218" s="182"/>
      <c r="AQ218" s="332" t="str">
        <f>UPPER(RIGHT(Journal_Live[[#This Row],[DURATION ]]))</f>
        <v/>
      </c>
      <c r="AR218" s="182"/>
      <c r="AS218" s="189"/>
      <c r="AT218" s="182"/>
      <c r="AU218" s="187"/>
      <c r="AV218" s="190"/>
      <c r="AW218" s="191"/>
      <c r="AX218" s="407"/>
      <c r="AY218" s="407"/>
      <c r="AZ218" s="407"/>
      <c r="BA218" s="407"/>
      <c r="BB218" s="407"/>
      <c r="BC218" s="407"/>
      <c r="BD218" s="407"/>
      <c r="BE218" s="407"/>
      <c r="BF218" s="422"/>
      <c r="BG218" s="391">
        <f>SUM($AV$4:AV218)</f>
        <v>2238.5750000000144</v>
      </c>
      <c r="BH218" s="392">
        <f>SUM($AU$134:AU218)</f>
        <v>2040.7399999999789</v>
      </c>
      <c r="BI218" s="318">
        <f>SUMIFS($AU$134:AU219,$Q$134:Q219,"F")</f>
        <v>0</v>
      </c>
      <c r="BJ218" s="318">
        <f>SUMIFS($AU$134:AU219,$Q$134:Q219,"S")</f>
        <v>2005</v>
      </c>
      <c r="BK218" s="343">
        <f>SUMIFS($AU$134:AU219,$P$134:P219,"W")</f>
        <v>1904.8399999999833</v>
      </c>
      <c r="BL218" s="343">
        <f>SUMIFS($AU$134:AU219,$P$134:P219,"R")</f>
        <v>169.89999999999512</v>
      </c>
      <c r="BM218" s="343">
        <f>SUMIFS($AU$134:AU219,$AQ$134:AQ219,"M")</f>
        <v>0</v>
      </c>
      <c r="BN218" s="343">
        <f>SUMIFS($AU$134:AU219,$AQ$134:AQ219,"H")</f>
        <v>337.00000000001489</v>
      </c>
      <c r="BO218" s="343">
        <f>SUMIFS($AU$134:AU219,$AQ$134:AQ219,"D")</f>
        <v>887.59999999999991</v>
      </c>
      <c r="BP218" s="343">
        <f>SUMIFS($AU$134:AU221,$AQ$134:AQ221,"W")</f>
        <v>451.99999999999994</v>
      </c>
      <c r="BQ218" s="343">
        <f>SUMIFS($AU$134:AU219,$Q$134:Q219,"O")</f>
        <v>-129.46000000002152</v>
      </c>
      <c r="BR218" s="343">
        <f>SUMIFS($AU$134:AU219,$AA$134:AA219,"*")</f>
        <v>1858.2000000000121</v>
      </c>
      <c r="BS218" s="343">
        <f>SUMIFS($AU$134:AU219,$AB$134:AB219,"*")</f>
        <v>516.93999999995128</v>
      </c>
      <c r="BT218" s="343">
        <f>SUMIFS($AU$134:AU219,$AC$134:AC219,"*")</f>
        <v>967.69999999999982</v>
      </c>
      <c r="BU218" s="343">
        <f>SUMIFS($AU$134:AU219,$AA$134:AA219,"*",$AB$134:AB219,"*")</f>
        <v>534.1999999999847</v>
      </c>
      <c r="BV218" s="343">
        <f>SUMIFS($AU$134:AU219,$AA$134:AA219,"*",$AC$134:AC219,"*")</f>
        <v>967.69999999999982</v>
      </c>
      <c r="BW218" s="343">
        <f>SUMIFS($AU$134:AU219,$AB$134:AB219,"*",$AC$134:AC219,"*")</f>
        <v>515.1</v>
      </c>
      <c r="BX218" s="343">
        <f>SUMIFS($AU219:AU$1388,$Q219:Q$1388,"F")</f>
        <v>14440.666666666668</v>
      </c>
      <c r="BY218" s="343">
        <f>SUMIFS($AU219:AU$1388,$Q219:Q$1388,"S")</f>
        <v>18700.642</v>
      </c>
      <c r="BZ218" s="343">
        <f>SUMIFS($AU219:AU$1388,$Q219:Q$1388,"O")</f>
        <v>-1519.3979999997771</v>
      </c>
    </row>
    <row r="219" spans="1:78" ht="18" customHeight="1">
      <c r="A219" s="177" t="s">
        <v>785</v>
      </c>
      <c r="B219" s="177">
        <v>44953</v>
      </c>
      <c r="C219" s="194">
        <v>0.375</v>
      </c>
      <c r="D219" s="178" t="s">
        <v>111</v>
      </c>
      <c r="E219" s="227"/>
      <c r="F219" s="180"/>
      <c r="G219" s="181" t="s">
        <v>133</v>
      </c>
      <c r="H219" s="182"/>
      <c r="I219" s="182"/>
      <c r="J219" s="182"/>
      <c r="K219" s="183"/>
      <c r="L219" s="182">
        <v>1</v>
      </c>
      <c r="M219" s="182"/>
      <c r="N219" s="182"/>
      <c r="O219" s="183" t="s">
        <v>95</v>
      </c>
      <c r="P219" s="183" t="s">
        <v>96</v>
      </c>
      <c r="Q219" s="183" t="s">
        <v>97</v>
      </c>
      <c r="R219" s="183">
        <v>4</v>
      </c>
      <c r="S219" s="183">
        <v>4</v>
      </c>
      <c r="T219" s="183">
        <v>4</v>
      </c>
      <c r="U219" s="270" t="s">
        <v>97</v>
      </c>
      <c r="V219" s="270"/>
      <c r="W219" s="270"/>
      <c r="X219" s="270"/>
      <c r="Y219" s="184">
        <f t="shared" si="85"/>
        <v>0.01</v>
      </c>
      <c r="Z219" s="184">
        <f t="shared" si="91"/>
        <v>1700</v>
      </c>
      <c r="AA219" s="185" t="s">
        <v>1127</v>
      </c>
      <c r="AB219" s="185"/>
      <c r="AC219" s="185"/>
      <c r="AD219" s="649">
        <v>-0.02</v>
      </c>
      <c r="AE219" s="182"/>
      <c r="AF219" s="332">
        <v>2</v>
      </c>
      <c r="AG219" s="182"/>
      <c r="AH219" s="182"/>
      <c r="AI219" s="182"/>
      <c r="AJ219" s="640"/>
      <c r="AK219" s="182"/>
      <c r="AL219" s="496">
        <f>-0.04*Z219</f>
        <v>-68</v>
      </c>
      <c r="AM219" s="496">
        <f>AL219*R219</f>
        <v>-272</v>
      </c>
      <c r="AN219" s="626"/>
      <c r="AO219" s="182"/>
      <c r="AP219" s="182" t="s">
        <v>804</v>
      </c>
      <c r="AQ219" s="332" t="str">
        <f>UPPER(RIGHT(Journal_Live[[#This Row],[DURATION ]]))</f>
        <v>D</v>
      </c>
      <c r="AR219" s="182" t="s">
        <v>1128</v>
      </c>
      <c r="AS219" s="189">
        <v>-2.5000000000000001E-2</v>
      </c>
      <c r="AT219" s="189">
        <f>IF(ISBLANK(AS219),,IF(U219="S",AD219-AS219,AS219-AD219))</f>
        <v>5.000000000000001E-3</v>
      </c>
      <c r="AU219" s="187">
        <f>AV219*R219</f>
        <v>34.000000000000007</v>
      </c>
      <c r="AV219" s="190">
        <f>IF(ISBLANK(AS219),,(AT219*Z219))</f>
        <v>8.5000000000000018</v>
      </c>
      <c r="AW219" s="191" t="s">
        <v>96</v>
      </c>
      <c r="AX219" s="407" t="s">
        <v>1129</v>
      </c>
      <c r="AY219" s="407" t="s">
        <v>1130</v>
      </c>
      <c r="AZ219" s="407"/>
      <c r="BA219" s="407"/>
      <c r="BB219" s="407"/>
      <c r="BC219" s="407"/>
      <c r="BD219" s="407"/>
      <c r="BE219" s="407"/>
      <c r="BF219" s="422"/>
      <c r="BG219" s="391">
        <f>SUM($AV$4:AV219)</f>
        <v>2247.0750000000144</v>
      </c>
      <c r="BH219" s="392">
        <f>SUM($AU$134:AU219)</f>
        <v>2074.7399999999789</v>
      </c>
      <c r="BI219" s="318">
        <f>SUMIFS($AU$134:AU220,$Q$134:Q220,"F")</f>
        <v>0</v>
      </c>
      <c r="BJ219" s="318">
        <f>SUMIFS($AU$134:AU220,$Q$134:Q220,"S")</f>
        <v>2140.1999999999998</v>
      </c>
      <c r="BK219" s="343">
        <f>SUMIFS($AU$134:AU220,$P$134:P220,"W")</f>
        <v>2040.0399999999834</v>
      </c>
      <c r="BL219" s="343">
        <f>SUMIFS($AU$134:AU220,$P$134:P220,"R")</f>
        <v>169.89999999999512</v>
      </c>
      <c r="BM219" s="343">
        <f>SUMIFS($AU$134:AU220,$AQ$134:AQ220,"M")</f>
        <v>0</v>
      </c>
      <c r="BN219" s="343">
        <f>SUMIFS($AU$134:AU220,$AQ$134:AQ220,"H")</f>
        <v>337.00000000001489</v>
      </c>
      <c r="BO219" s="343">
        <f>SUMIFS($AU$134:AU220,$AQ$134:AQ220,"D")</f>
        <v>1022.8</v>
      </c>
      <c r="BP219" s="343">
        <f>SUMIFS($AU$134:AU222,$AQ$134:AQ222,"W")</f>
        <v>451.99999999999994</v>
      </c>
      <c r="BQ219" s="343">
        <f>SUMIFS($AU$134:AU220,$Q$134:Q220,"O")</f>
        <v>-129.46000000002152</v>
      </c>
      <c r="BR219" s="343">
        <f>SUMIFS($AU$134:AU220,$AA$134:AA220,"*")</f>
        <v>1993.4000000000121</v>
      </c>
      <c r="BS219" s="343">
        <f>SUMIFS($AU$134:AU220,$AB$134:AB220,"*")</f>
        <v>652.13999999995133</v>
      </c>
      <c r="BT219" s="343">
        <f>SUMIFS($AU$134:AU220,$AC$134:AC220,"*")</f>
        <v>1102.8999999999999</v>
      </c>
      <c r="BU219" s="343">
        <f>SUMIFS($AU$134:AU220,$AA$134:AA220,"*",$AB$134:AB220,"*")</f>
        <v>669.39999999998474</v>
      </c>
      <c r="BV219" s="343">
        <f>SUMIFS($AU$134:AU220,$AA$134:AA220,"*",$AC$134:AC220,"*")</f>
        <v>1102.8999999999999</v>
      </c>
      <c r="BW219" s="343">
        <f>SUMIFS($AU$134:AU220,$AB$134:AB220,"*",$AC$134:AC220,"*")</f>
        <v>650.30000000000007</v>
      </c>
      <c r="BX219" s="343">
        <f>SUMIFS($AU220:AU$1388,$Q220:Q$1388,"F")</f>
        <v>14440.666666666668</v>
      </c>
      <c r="BY219" s="343">
        <f>SUMIFS($AU220:AU$1388,$Q220:Q$1388,"S")</f>
        <v>18666.642</v>
      </c>
      <c r="BZ219" s="343">
        <f>SUMIFS($AU220:AU$1388,$Q220:Q$1388,"O")</f>
        <v>-1519.3979999997771</v>
      </c>
    </row>
    <row r="220" spans="1:78" ht="18" customHeight="1">
      <c r="A220" s="177" t="s">
        <v>785</v>
      </c>
      <c r="B220" s="177">
        <v>44953</v>
      </c>
      <c r="C220" s="178" t="s">
        <v>1131</v>
      </c>
      <c r="D220" s="178" t="s">
        <v>111</v>
      </c>
      <c r="E220" s="227"/>
      <c r="F220" s="180"/>
      <c r="G220" s="181" t="s">
        <v>280</v>
      </c>
      <c r="H220" s="182"/>
      <c r="I220" s="182"/>
      <c r="J220" s="182"/>
      <c r="K220" s="183"/>
      <c r="L220" s="182">
        <v>1</v>
      </c>
      <c r="M220" s="182">
        <v>1</v>
      </c>
      <c r="N220" s="182"/>
      <c r="O220" s="183" t="s">
        <v>95</v>
      </c>
      <c r="P220" s="183" t="s">
        <v>96</v>
      </c>
      <c r="Q220" s="183" t="s">
        <v>97</v>
      </c>
      <c r="R220" s="183">
        <v>4</v>
      </c>
      <c r="S220" s="183">
        <v>4</v>
      </c>
      <c r="T220" s="183">
        <v>4</v>
      </c>
      <c r="U220" s="270" t="s">
        <v>97</v>
      </c>
      <c r="V220" s="270"/>
      <c r="W220" s="270"/>
      <c r="X220" s="270"/>
      <c r="Y220" s="184">
        <f t="shared" si="85"/>
        <v>0.01</v>
      </c>
      <c r="Z220" s="184">
        <f>IF(ISBLANK(O220),,IF(O220=UPPER("IB"),8.63*200,16.9*100))</f>
        <v>1689.9999999999998</v>
      </c>
      <c r="AA220" s="185" t="s">
        <v>1132</v>
      </c>
      <c r="AB220" s="185" t="s">
        <v>1133</v>
      </c>
      <c r="AC220" s="185" t="s">
        <v>1134</v>
      </c>
      <c r="AD220" s="649">
        <v>-0.09</v>
      </c>
      <c r="AE220" s="182"/>
      <c r="AF220" s="332">
        <v>2</v>
      </c>
      <c r="AG220" s="182"/>
      <c r="AH220" s="182" t="s">
        <v>1135</v>
      </c>
      <c r="AI220" s="182"/>
      <c r="AJ220" s="640"/>
      <c r="AK220" s="182"/>
      <c r="AL220" s="496">
        <f>-0.03*Z220</f>
        <v>-50.699999999999989</v>
      </c>
      <c r="AM220" s="496">
        <f>AL220*R220</f>
        <v>-202.79999999999995</v>
      </c>
      <c r="AN220" s="626"/>
      <c r="AO220" s="182"/>
      <c r="AP220" s="182" t="s">
        <v>589</v>
      </c>
      <c r="AQ220" s="332" t="str">
        <f>UPPER(RIGHT(Journal_Live[[#This Row],[DURATION ]]))</f>
        <v>D</v>
      </c>
      <c r="AR220" s="182" t="s">
        <v>1136</v>
      </c>
      <c r="AS220" s="189">
        <v>-0.11</v>
      </c>
      <c r="AT220" s="189">
        <f>IF(ISBLANK(AS220),,IF(U220="S",AD220-AS220,AS220-AD220))</f>
        <v>2.0000000000000004E-2</v>
      </c>
      <c r="AU220" s="187">
        <f>AV220*R220</f>
        <v>135.20000000000002</v>
      </c>
      <c r="AV220" s="190">
        <f>IF(ISBLANK(AS220),,(AT220*Z220))</f>
        <v>33.800000000000004</v>
      </c>
      <c r="AW220" s="191" t="s">
        <v>96</v>
      </c>
      <c r="AX220" s="407" t="s">
        <v>1137</v>
      </c>
      <c r="AY220" s="407"/>
      <c r="AZ220" s="407"/>
      <c r="BA220" s="407"/>
      <c r="BB220" s="407"/>
      <c r="BC220" s="407"/>
      <c r="BD220" s="407"/>
      <c r="BE220" s="407"/>
      <c r="BF220" s="422"/>
      <c r="BG220" s="391">
        <f>SUM($AV$4:AV220)</f>
        <v>2280.8750000000146</v>
      </c>
      <c r="BH220" s="392">
        <f>SUM($AU$134:AU220)</f>
        <v>2209.9399999999787</v>
      </c>
      <c r="BI220" s="318">
        <f>SUMIFS($AU$134:AU221,$Q$134:Q221,"F")</f>
        <v>0</v>
      </c>
      <c r="BJ220" s="318">
        <f>SUMIFS($AU$134:AU221,$Q$134:Q221,"S")</f>
        <v>2140.1999999999998</v>
      </c>
      <c r="BK220" s="343">
        <f>SUMIFS($AU$134:AU221,$P$134:P221,"W")</f>
        <v>2040.0399999999834</v>
      </c>
      <c r="BL220" s="343">
        <f>SUMIFS($AU$134:AU221,$P$134:P221,"R")</f>
        <v>169.89999999999512</v>
      </c>
      <c r="BM220" s="343">
        <f>SUMIFS($AU$134:AU221,$AQ$134:AQ221,"M")</f>
        <v>0</v>
      </c>
      <c r="BN220" s="343">
        <f>SUMIFS($AU$134:AU221,$AQ$134:AQ221,"H")</f>
        <v>337.00000000001489</v>
      </c>
      <c r="BO220" s="343">
        <f>SUMIFS($AU$134:AU221,$AQ$134:AQ221,"D")</f>
        <v>1022.8</v>
      </c>
      <c r="BP220" s="343">
        <f>SUMIFS($AU$134:AU223,$AQ$134:AQ223,"W")</f>
        <v>451.99999999999994</v>
      </c>
      <c r="BQ220" s="343">
        <f>SUMIFS($AU$134:AU221,$Q$134:Q221,"O")</f>
        <v>-129.46000000002152</v>
      </c>
      <c r="BR220" s="343">
        <f>SUMIFS($AU$134:AU221,$AA$134:AA221,"*")</f>
        <v>1993.4000000000121</v>
      </c>
      <c r="BS220" s="343">
        <f>SUMIFS($AU$134:AU221,$AB$134:AB221,"*")</f>
        <v>652.13999999995133</v>
      </c>
      <c r="BT220" s="343">
        <f>SUMIFS($AU$134:AU221,$AC$134:AC221,"*")</f>
        <v>1102.8999999999999</v>
      </c>
      <c r="BU220" s="343">
        <f>SUMIFS($AU$134:AU221,$AA$134:AA221,"*",$AB$134:AB221,"*")</f>
        <v>669.39999999998474</v>
      </c>
      <c r="BV220" s="343">
        <f>SUMIFS($AU$134:AU221,$AA$134:AA221,"*",$AC$134:AC221,"*")</f>
        <v>1102.8999999999999</v>
      </c>
      <c r="BW220" s="343">
        <f>SUMIFS($AU$134:AU221,$AB$134:AB221,"*",$AC$134:AC221,"*")</f>
        <v>650.30000000000007</v>
      </c>
      <c r="BX220" s="343">
        <f>SUMIFS($AU221:AU$1388,$Q221:Q$1388,"F")</f>
        <v>14440.666666666668</v>
      </c>
      <c r="BY220" s="343">
        <f>SUMIFS($AU221:AU$1388,$Q221:Q$1388,"S")</f>
        <v>18531.442000000003</v>
      </c>
      <c r="BZ220" s="343">
        <f>SUMIFS($AU221:AU$1388,$Q221:Q$1388,"O")</f>
        <v>-1519.3979999997771</v>
      </c>
    </row>
    <row r="221" spans="1:78" ht="18" customHeight="1">
      <c r="A221" s="177" t="s">
        <v>785</v>
      </c>
      <c r="B221" s="177">
        <v>44957</v>
      </c>
      <c r="C221" s="178" t="s">
        <v>682</v>
      </c>
      <c r="D221" s="178" t="s">
        <v>146</v>
      </c>
      <c r="E221" s="227" t="s">
        <v>1138</v>
      </c>
      <c r="F221" s="180" t="s">
        <v>1139</v>
      </c>
      <c r="G221" s="181"/>
      <c r="H221" s="182"/>
      <c r="I221" s="182"/>
      <c r="J221" s="182"/>
      <c r="K221" s="183" t="s">
        <v>115</v>
      </c>
      <c r="L221" s="182"/>
      <c r="M221" s="182"/>
      <c r="N221" s="182"/>
      <c r="O221" s="183"/>
      <c r="P221" s="183"/>
      <c r="Q221" s="183"/>
      <c r="R221" s="183"/>
      <c r="S221" s="183"/>
      <c r="T221" s="183"/>
      <c r="U221" s="183"/>
      <c r="V221" s="183"/>
      <c r="W221" s="183"/>
      <c r="X221" s="183"/>
      <c r="Y221" s="184"/>
      <c r="Z221" s="184"/>
      <c r="AA221" s="185"/>
      <c r="AB221" s="185"/>
      <c r="AC221" s="185"/>
      <c r="AD221" s="649"/>
      <c r="AE221" s="182"/>
      <c r="AF221" s="332"/>
      <c r="AG221" s="182"/>
      <c r="AH221" s="182"/>
      <c r="AI221" s="182"/>
      <c r="AJ221" s="640"/>
      <c r="AK221" s="182"/>
      <c r="AL221" s="496"/>
      <c r="AM221" s="497"/>
      <c r="AN221" s="626"/>
      <c r="AO221" s="182"/>
      <c r="AP221" s="182"/>
      <c r="AQ221" s="332" t="str">
        <f>UPPER(RIGHT(Journal_Live[[#This Row],[DURATION ]]))</f>
        <v/>
      </c>
      <c r="AR221" s="182"/>
      <c r="AS221" s="189"/>
      <c r="AT221" s="182"/>
      <c r="AU221" s="187"/>
      <c r="AV221" s="190"/>
      <c r="AW221" s="191"/>
      <c r="AX221" s="407"/>
      <c r="AY221" s="407"/>
      <c r="AZ221" s="407"/>
      <c r="BA221" s="407"/>
      <c r="BB221" s="407"/>
      <c r="BC221" s="407"/>
      <c r="BD221" s="407"/>
      <c r="BE221" s="407"/>
      <c r="BF221" s="422"/>
      <c r="BG221" s="391">
        <f>SUM($AV$4:AV221)</f>
        <v>2280.8750000000146</v>
      </c>
      <c r="BH221" s="392">
        <f>SUM($AU$134:AU221)</f>
        <v>2209.9399999999787</v>
      </c>
      <c r="BI221" s="318">
        <f>SUMIFS($AU$134:AU222,$Q$134:Q222,"F")</f>
        <v>0</v>
      </c>
      <c r="BJ221" s="318">
        <f>SUMIFS($AU$134:AU222,$Q$134:Q222,"S")</f>
        <v>2140.1999999999998</v>
      </c>
      <c r="BK221" s="343">
        <f>SUMIFS($AU$134:AU222,$P$134:P222,"W")</f>
        <v>2056.9399999999678</v>
      </c>
      <c r="BL221" s="343">
        <f>SUMIFS($AU$134:AU222,$P$134:P222,"R")</f>
        <v>169.89999999999512</v>
      </c>
      <c r="BM221" s="343">
        <f>SUMIFS($AU$134:AU222,$AQ$134:AQ222,"M")</f>
        <v>0</v>
      </c>
      <c r="BN221" s="343">
        <f>SUMIFS($AU$134:AU222,$AQ$134:AQ222,"H")</f>
        <v>337.00000000001489</v>
      </c>
      <c r="BO221" s="343">
        <f>SUMIFS($AU$134:AU222,$AQ$134:AQ222,"D")</f>
        <v>1022.8</v>
      </c>
      <c r="BP221" s="343">
        <f>SUMIFS($AU$134:AU224,$AQ$134:AQ224,"W")</f>
        <v>451.99999999999994</v>
      </c>
      <c r="BQ221" s="343">
        <f>SUMIFS($AU$134:AU222,$Q$134:Q222,"O")</f>
        <v>-112.56000000003689</v>
      </c>
      <c r="BR221" s="343">
        <f>SUMIFS($AU$134:AU222,$AA$134:AA222,"*")</f>
        <v>2010.2999999999968</v>
      </c>
      <c r="BS221" s="343">
        <f>SUMIFS($AU$134:AU222,$AB$134:AB222,"*")</f>
        <v>652.13999999995133</v>
      </c>
      <c r="BT221" s="343">
        <f>SUMIFS($AU$134:AU222,$AC$134:AC222,"*")</f>
        <v>1102.8999999999999</v>
      </c>
      <c r="BU221" s="343">
        <f>SUMIFS($AU$134:AU222,$AA$134:AA222,"*",$AB$134:AB222,"*")</f>
        <v>669.39999999998474</v>
      </c>
      <c r="BV221" s="343">
        <f>SUMIFS($AU$134:AU222,$AA$134:AA222,"*",$AC$134:AC222,"*")</f>
        <v>1102.8999999999999</v>
      </c>
      <c r="BW221" s="343">
        <f>SUMIFS($AU$134:AU222,$AB$134:AB222,"*",$AC$134:AC222,"*")</f>
        <v>650.30000000000007</v>
      </c>
      <c r="BX221" s="343">
        <f>SUMIFS($AU222:AU$1388,$Q222:Q$1388,"F")</f>
        <v>14440.666666666668</v>
      </c>
      <c r="BY221" s="343">
        <f>SUMIFS($AU222:AU$1388,$Q222:Q$1388,"S")</f>
        <v>18531.442000000003</v>
      </c>
      <c r="BZ221" s="343">
        <f>SUMIFS($AU222:AU$1388,$Q222:Q$1388,"O")</f>
        <v>-1519.3979999997771</v>
      </c>
    </row>
    <row r="222" spans="1:78" ht="18" customHeight="1">
      <c r="A222" s="177" t="s">
        <v>785</v>
      </c>
      <c r="B222" s="177">
        <v>44957</v>
      </c>
      <c r="C222" s="178" t="s">
        <v>682</v>
      </c>
      <c r="D222" s="178" t="s">
        <v>146</v>
      </c>
      <c r="E222" s="227"/>
      <c r="F222" s="180"/>
      <c r="G222" s="181" t="s">
        <v>1140</v>
      </c>
      <c r="H222" s="182"/>
      <c r="I222" s="182"/>
      <c r="J222" s="182"/>
      <c r="K222" s="183"/>
      <c r="L222" s="182"/>
      <c r="M222" s="182"/>
      <c r="N222" s="182"/>
      <c r="O222" s="183" t="s">
        <v>95</v>
      </c>
      <c r="P222" s="183" t="s">
        <v>96</v>
      </c>
      <c r="Q222" s="183" t="s">
        <v>684</v>
      </c>
      <c r="R222" s="183">
        <v>1</v>
      </c>
      <c r="S222" s="183">
        <v>1</v>
      </c>
      <c r="T222" s="183">
        <v>1</v>
      </c>
      <c r="U222" s="183" t="s">
        <v>22</v>
      </c>
      <c r="V222" s="183"/>
      <c r="W222" s="183"/>
      <c r="X222" s="183"/>
      <c r="Y222" s="184">
        <f>IF(ISBLANK(O222),,(IF(O222=UPPER("IB"),0.005,0.01)))</f>
        <v>0.01</v>
      </c>
      <c r="Z222" s="184">
        <f>IF(ISBLANK(O222),,IF(O222=UPPER("IB"),8.63*200,16.9*100))</f>
        <v>1689.9999999999998</v>
      </c>
      <c r="AA222" s="185" t="s">
        <v>1096</v>
      </c>
      <c r="AB222" s="185"/>
      <c r="AC222" s="185"/>
      <c r="AD222" s="649">
        <v>96.12</v>
      </c>
      <c r="AE222" s="182"/>
      <c r="AF222" s="332"/>
      <c r="AG222" s="182"/>
      <c r="AH222" s="182"/>
      <c r="AI222" s="182"/>
      <c r="AJ222" s="640"/>
      <c r="AK222" s="182"/>
      <c r="AL222" s="496"/>
      <c r="AM222" s="497"/>
      <c r="AN222" s="626"/>
      <c r="AO222" s="182"/>
      <c r="AP222" s="182" t="s">
        <v>1141</v>
      </c>
      <c r="AQ222" s="332" t="str">
        <f>UPPER(RIGHT(Journal_Live[[#This Row],[DURATION ]]))</f>
        <v>S</v>
      </c>
      <c r="AR222" s="182" t="s">
        <v>1142</v>
      </c>
      <c r="AS222" s="189">
        <v>96.13</v>
      </c>
      <c r="AT222" s="189">
        <f>IF(ISBLANK(AS222),,IF(U222="S",AD222-AS222,AS222-AD222))</f>
        <v>9.9999999999909051E-3</v>
      </c>
      <c r="AU222" s="187">
        <f>AV222*R222</f>
        <v>16.899999999984626</v>
      </c>
      <c r="AV222" s="190">
        <f>IF(ISBLANK(AS222),,(AT222*Z222))</f>
        <v>16.899999999984626</v>
      </c>
      <c r="AW222" s="191" t="s">
        <v>96</v>
      </c>
      <c r="AX222" s="407" t="s">
        <v>1143</v>
      </c>
      <c r="AY222" s="407"/>
      <c r="AZ222" s="407"/>
      <c r="BA222" s="407"/>
      <c r="BB222" s="407"/>
      <c r="BC222" s="407"/>
      <c r="BD222" s="407" t="s">
        <v>195</v>
      </c>
      <c r="BE222" s="407"/>
      <c r="BF222" s="422"/>
      <c r="BG222" s="391">
        <f>SUM($AV$4:AV222)</f>
        <v>2297.7749999999992</v>
      </c>
      <c r="BH222" s="392">
        <f>SUM($AU$134:AU222)</f>
        <v>2226.8399999999633</v>
      </c>
      <c r="BI222" s="318">
        <f>SUMIFS($AU$134:AU223,$Q$134:Q223,"F")</f>
        <v>0</v>
      </c>
      <c r="BJ222" s="318">
        <f>SUMIFS($AU$134:AU223,$Q$134:Q223,"S")</f>
        <v>2140.1999999999998</v>
      </c>
      <c r="BK222" s="343">
        <f>SUMIFS($AU$134:AU223,$P$134:P223,"W")</f>
        <v>2056.9399999999678</v>
      </c>
      <c r="BL222" s="343">
        <f>SUMIFS($AU$134:AU223,$P$134:P223,"R")</f>
        <v>169.89999999999512</v>
      </c>
      <c r="BM222" s="343">
        <f>SUMIFS($AU$134:AU223,$AQ$134:AQ223,"M")</f>
        <v>0</v>
      </c>
      <c r="BN222" s="343">
        <f>SUMIFS($AU$134:AU223,$AQ$134:AQ223,"H")</f>
        <v>337.00000000001489</v>
      </c>
      <c r="BO222" s="343">
        <f>SUMIFS($AU$134:AU223,$AQ$134:AQ223,"D")</f>
        <v>1022.8</v>
      </c>
      <c r="BP222" s="343">
        <f>SUMIFS($AU$134:AU225,$AQ$134:AQ225,"W")</f>
        <v>451.99999999999994</v>
      </c>
      <c r="BQ222" s="343">
        <f>SUMIFS($AU$134:AU223,$Q$134:Q223,"O")</f>
        <v>-112.56000000003689</v>
      </c>
      <c r="BR222" s="343">
        <f>SUMIFS($AU$134:AU223,$AA$134:AA223,"*")</f>
        <v>2010.2999999999968</v>
      </c>
      <c r="BS222" s="343">
        <f>SUMIFS($AU$134:AU223,$AB$134:AB223,"*")</f>
        <v>652.13999999995133</v>
      </c>
      <c r="BT222" s="343">
        <f>SUMIFS($AU$134:AU223,$AC$134:AC223,"*")</f>
        <v>1102.8999999999999</v>
      </c>
      <c r="BU222" s="343">
        <f>SUMIFS($AU$134:AU223,$AA$134:AA223,"*",$AB$134:AB223,"*")</f>
        <v>669.39999999998474</v>
      </c>
      <c r="BV222" s="343">
        <f>SUMIFS($AU$134:AU223,$AA$134:AA223,"*",$AC$134:AC223,"*")</f>
        <v>1102.8999999999999</v>
      </c>
      <c r="BW222" s="343">
        <f>SUMIFS($AU$134:AU223,$AB$134:AB223,"*",$AC$134:AC223,"*")</f>
        <v>650.30000000000007</v>
      </c>
      <c r="BX222" s="343">
        <f>SUMIFS($AU223:AU$1388,$Q223:Q$1388,"F")</f>
        <v>14440.666666666668</v>
      </c>
      <c r="BY222" s="343">
        <f>SUMIFS($AU223:AU$1388,$Q223:Q$1388,"S")</f>
        <v>18531.442000000003</v>
      </c>
      <c r="BZ222" s="343">
        <f>SUMIFS($AU223:AU$1388,$Q223:Q$1388,"O")</f>
        <v>-1536.2979999997617</v>
      </c>
    </row>
    <row r="223" spans="1:78" ht="18" customHeight="1">
      <c r="A223" s="177" t="s">
        <v>785</v>
      </c>
      <c r="B223" s="177"/>
      <c r="C223" s="178"/>
      <c r="D223" s="178"/>
      <c r="E223" s="227"/>
      <c r="F223" s="180"/>
      <c r="G223" s="181"/>
      <c r="H223" s="182"/>
      <c r="I223" s="182"/>
      <c r="J223" s="182"/>
      <c r="K223" s="183"/>
      <c r="L223" s="182"/>
      <c r="M223" s="182"/>
      <c r="N223" s="182"/>
      <c r="O223" s="183"/>
      <c r="P223" s="183"/>
      <c r="Q223" s="183"/>
      <c r="R223" s="183"/>
      <c r="S223" s="183"/>
      <c r="T223" s="183"/>
      <c r="U223" s="183"/>
      <c r="V223" s="183"/>
      <c r="W223" s="183"/>
      <c r="X223" s="183"/>
      <c r="Y223" s="184">
        <f>IF(ISBLANK(O223),,(IF(O223=UPPER("IB"),0.005,0.01)))</f>
        <v>0</v>
      </c>
      <c r="Z223" s="184">
        <f>IF(ISBLANK(O223),,IF(O223=UPPER("IB"),8.63*200,16.9*100))</f>
        <v>0</v>
      </c>
      <c r="AA223" s="185"/>
      <c r="AB223" s="185"/>
      <c r="AC223" s="185"/>
      <c r="AD223" s="649"/>
      <c r="AE223" s="182"/>
      <c r="AF223" s="332"/>
      <c r="AG223" s="182"/>
      <c r="AH223" s="182"/>
      <c r="AI223" s="182"/>
      <c r="AJ223" s="640"/>
      <c r="AK223" s="182"/>
      <c r="AL223" s="496"/>
      <c r="AM223" s="497"/>
      <c r="AN223" s="626"/>
      <c r="AO223" s="182"/>
      <c r="AP223" s="182"/>
      <c r="AQ223" s="332" t="str">
        <f>UPPER(RIGHT(Journal_Live[[#This Row],[DURATION ]]))</f>
        <v/>
      </c>
      <c r="AR223" s="182"/>
      <c r="AS223" s="189"/>
      <c r="AT223" s="182"/>
      <c r="AU223" s="187"/>
      <c r="AV223" s="190"/>
      <c r="AW223" s="191"/>
      <c r="AX223" s="407"/>
      <c r="AY223" s="407"/>
      <c r="AZ223" s="407"/>
      <c r="BA223" s="407"/>
      <c r="BB223" s="407"/>
      <c r="BC223" s="407"/>
      <c r="BD223" s="407"/>
      <c r="BE223" s="407"/>
      <c r="BF223" s="422"/>
      <c r="BG223" s="391">
        <f>SUM($AV$4:AV223)</f>
        <v>2297.7749999999992</v>
      </c>
      <c r="BH223" s="392">
        <f>SUM($AU$134:AU223)</f>
        <v>2226.8399999999633</v>
      </c>
      <c r="BI223" s="318">
        <f>SUMIFS($AU$134:AU224,$Q$134:Q224,"F")</f>
        <v>0</v>
      </c>
      <c r="BJ223" s="318">
        <f>SUMIFS($AU$134:AU224,$Q$134:Q224,"S")</f>
        <v>2140.1999999999998</v>
      </c>
      <c r="BK223" s="343">
        <f>SUMIFS($AU$134:AU224,$P$134:P224,"W")</f>
        <v>2056.9399999999678</v>
      </c>
      <c r="BL223" s="343">
        <f>SUMIFS($AU$134:AU224,$P$134:P224,"R")</f>
        <v>169.89999999999512</v>
      </c>
      <c r="BM223" s="343">
        <f>SUMIFS($AU$134:AU224,$AQ$134:AQ224,"M")</f>
        <v>0</v>
      </c>
      <c r="BN223" s="343">
        <f>SUMIFS($AU$134:AU224,$AQ$134:AQ224,"H")</f>
        <v>337.00000000001489</v>
      </c>
      <c r="BO223" s="343">
        <f>SUMIFS($AU$134:AU224,$AQ$134:AQ224,"D")</f>
        <v>1022.8</v>
      </c>
      <c r="BP223" s="343">
        <f>SUMIFS($AU$134:AU226,$AQ$134:AQ226,"W")</f>
        <v>451.99999999999994</v>
      </c>
      <c r="BQ223" s="343">
        <f>SUMIFS($AU$134:AU224,$Q$134:Q224,"O")</f>
        <v>-112.56000000003689</v>
      </c>
      <c r="BR223" s="343">
        <f>SUMIFS($AU$134:AU224,$AA$134:AA224,"*")</f>
        <v>2010.2999999999968</v>
      </c>
      <c r="BS223" s="343">
        <f>SUMIFS($AU$134:AU224,$AB$134:AB224,"*")</f>
        <v>652.13999999995133</v>
      </c>
      <c r="BT223" s="343">
        <f>SUMIFS($AU$134:AU224,$AC$134:AC224,"*")</f>
        <v>1102.8999999999999</v>
      </c>
      <c r="BU223" s="343">
        <f>SUMIFS($AU$134:AU224,$AA$134:AA224,"*",$AB$134:AB224,"*")</f>
        <v>669.39999999998474</v>
      </c>
      <c r="BV223" s="343">
        <f>SUMIFS($AU$134:AU224,$AA$134:AA224,"*",$AC$134:AC224,"*")</f>
        <v>1102.8999999999999</v>
      </c>
      <c r="BW223" s="343">
        <f>SUMIFS($AU$134:AU224,$AB$134:AB224,"*",$AC$134:AC224,"*")</f>
        <v>650.30000000000007</v>
      </c>
      <c r="BX223" s="343">
        <f>SUMIFS($AU224:AU$1388,$Q224:Q$1388,"F")</f>
        <v>14440.666666666668</v>
      </c>
      <c r="BY223" s="343">
        <f>SUMIFS($AU224:AU$1388,$Q224:Q$1388,"S")</f>
        <v>18531.442000000003</v>
      </c>
      <c r="BZ223" s="343">
        <f>SUMIFS($AU224:AU$1388,$Q224:Q$1388,"O")</f>
        <v>-1536.2979999997617</v>
      </c>
    </row>
    <row r="224" spans="1:78" ht="18" customHeight="1">
      <c r="A224" s="177" t="s">
        <v>785</v>
      </c>
      <c r="B224" s="200"/>
      <c r="C224" s="201"/>
      <c r="D224" s="201"/>
      <c r="E224" s="247"/>
      <c r="F224" s="203"/>
      <c r="G224" s="204"/>
      <c r="H224" s="205"/>
      <c r="I224" s="205"/>
      <c r="J224" s="205"/>
      <c r="K224" s="206"/>
      <c r="L224" s="205"/>
      <c r="M224" s="205"/>
      <c r="N224" s="205"/>
      <c r="O224" s="206"/>
      <c r="P224" s="206"/>
      <c r="Q224" s="206"/>
      <c r="R224" s="206"/>
      <c r="S224" s="206"/>
      <c r="T224" s="206"/>
      <c r="U224" s="206"/>
      <c r="V224" s="206"/>
      <c r="W224" s="206"/>
      <c r="X224" s="206"/>
      <c r="Y224" s="206"/>
      <c r="Z224" s="206"/>
      <c r="AA224" s="206"/>
      <c r="AB224" s="206"/>
      <c r="AC224" s="206"/>
      <c r="AD224" s="650"/>
      <c r="AE224" s="205"/>
      <c r="AF224" s="333"/>
      <c r="AG224" s="205"/>
      <c r="AH224" s="205"/>
      <c r="AI224" s="205"/>
      <c r="AJ224" s="641"/>
      <c r="AK224" s="205"/>
      <c r="AL224" s="498"/>
      <c r="AM224" s="499"/>
      <c r="AN224" s="627"/>
      <c r="AO224" s="205"/>
      <c r="AP224" s="205"/>
      <c r="AQ224" s="333" t="str">
        <f>UPPER(RIGHT(Journal_Live[[#This Row],[DURATION ]]))</f>
        <v/>
      </c>
      <c r="AR224" s="205"/>
      <c r="AS224" s="211"/>
      <c r="AT224" s="205"/>
      <c r="AU224" s="210"/>
      <c r="AV224" s="212"/>
      <c r="AW224" s="213"/>
      <c r="AX224" s="415" t="s">
        <v>1144</v>
      </c>
      <c r="AY224" s="415" t="s">
        <v>1145</v>
      </c>
      <c r="AZ224" s="415" t="s">
        <v>1146</v>
      </c>
      <c r="BA224" s="413"/>
      <c r="BB224" s="413"/>
      <c r="BC224" s="413"/>
      <c r="BD224" s="413"/>
      <c r="BE224" s="413"/>
      <c r="BF224" s="427"/>
      <c r="BG224" s="391">
        <f>SUM($AV$4:AV224)</f>
        <v>2297.7749999999992</v>
      </c>
      <c r="BH224" s="392">
        <f>SUM($AU$134:AU224)</f>
        <v>2226.8399999999633</v>
      </c>
      <c r="BI224" s="318">
        <f>SUMIFS($AU$134:AU225,$Q$134:Q225,"F")</f>
        <v>0</v>
      </c>
      <c r="BJ224" s="318">
        <f>SUMIFS($AU$134:AU225,$Q$134:Q225,"S")</f>
        <v>2140.1999999999998</v>
      </c>
      <c r="BK224" s="343">
        <f>SUMIFS($AU$134:AU225,$P$134:P225,"W")</f>
        <v>2056.9399999999678</v>
      </c>
      <c r="BL224" s="343">
        <f>SUMIFS($AU$134:AU225,$P$134:P225,"R")</f>
        <v>169.89999999999512</v>
      </c>
      <c r="BM224" s="343">
        <f>SUMIFS($AU$134:AU225,$AQ$134:AQ225,"M")</f>
        <v>0</v>
      </c>
      <c r="BN224" s="343">
        <f>SUMIFS($AU$134:AU225,$AQ$134:AQ225,"H")</f>
        <v>337.00000000001489</v>
      </c>
      <c r="BO224" s="343">
        <f>SUMIFS($AU$134:AU225,$AQ$134:AQ225,"D")</f>
        <v>1022.8</v>
      </c>
      <c r="BP224" s="343">
        <f>SUMIFS($AU$134:AU227,$AQ$134:AQ227,"W")</f>
        <v>451.99999999999994</v>
      </c>
      <c r="BQ224" s="343">
        <f>SUMIFS($AU$134:AU225,$Q$134:Q225,"O")</f>
        <v>-112.56000000003689</v>
      </c>
      <c r="BR224" s="343">
        <f>SUMIFS($AU$134:AU225,$AA$134:AA225,"*")</f>
        <v>2010.2999999999968</v>
      </c>
      <c r="BS224" s="343">
        <f>SUMIFS($AU$134:AU225,$AB$134:AB225,"*")</f>
        <v>652.13999999995133</v>
      </c>
      <c r="BT224" s="343">
        <f>SUMIFS($AU$134:AU225,$AC$134:AC225,"*")</f>
        <v>1102.8999999999999</v>
      </c>
      <c r="BU224" s="343">
        <f>SUMIFS($AU$134:AU225,$AA$134:AA225,"*",$AB$134:AB225,"*")</f>
        <v>669.39999999998474</v>
      </c>
      <c r="BV224" s="343">
        <f>SUMIFS($AU$134:AU225,$AA$134:AA225,"*",$AC$134:AC225,"*")</f>
        <v>1102.8999999999999</v>
      </c>
      <c r="BW224" s="343">
        <f>SUMIFS($AU$134:AU225,$AB$134:AB225,"*",$AC$134:AC225,"*")</f>
        <v>650.30000000000007</v>
      </c>
      <c r="BX224" s="343">
        <f>SUMIFS($AU225:AU$1388,$Q225:Q$1388,"F")</f>
        <v>14440.666666666668</v>
      </c>
      <c r="BY224" s="343">
        <f>SUMIFS($AU225:AU$1388,$Q225:Q$1388,"S")</f>
        <v>18531.442000000003</v>
      </c>
      <c r="BZ224" s="343">
        <f>SUMIFS($AU225:AU$1388,$Q225:Q$1388,"O")</f>
        <v>-1536.2979999997617</v>
      </c>
    </row>
    <row r="225" spans="1:78" ht="18" customHeight="1">
      <c r="A225" s="273" t="s">
        <v>1147</v>
      </c>
      <c r="B225" s="273"/>
      <c r="C225" s="214"/>
      <c r="D225" s="214"/>
      <c r="E225" s="215"/>
      <c r="F225" s="216"/>
      <c r="G225" s="214"/>
      <c r="H225" s="214"/>
      <c r="I225" s="214"/>
      <c r="J225" s="214"/>
      <c r="K225" s="217"/>
      <c r="L225" s="214"/>
      <c r="M225" s="214"/>
      <c r="N225" s="214"/>
      <c r="O225" s="217"/>
      <c r="P225" s="217"/>
      <c r="Q225" s="217"/>
      <c r="R225" s="217"/>
      <c r="S225" s="217"/>
      <c r="T225" s="217"/>
      <c r="U225" s="217"/>
      <c r="V225" s="217"/>
      <c r="W225" s="217"/>
      <c r="X225" s="217"/>
      <c r="Y225" s="277"/>
      <c r="Z225" s="277"/>
      <c r="AA225" s="218"/>
      <c r="AB225" s="218"/>
      <c r="AC225" s="218"/>
      <c r="AD225" s="651"/>
      <c r="AE225" s="214"/>
      <c r="AF225" s="347"/>
      <c r="AG225" s="343"/>
      <c r="AH225" s="214"/>
      <c r="AI225" s="214"/>
      <c r="AJ225" s="642"/>
      <c r="AK225" s="214"/>
      <c r="AL225" s="502"/>
      <c r="AM225" s="502"/>
      <c r="AN225" s="628"/>
      <c r="AO225" s="214"/>
      <c r="AP225" s="214"/>
      <c r="AQ225" s="334" t="str">
        <f>UPPER(RIGHT(Journal_Live[[#This Row],[DURATION ]]))</f>
        <v/>
      </c>
      <c r="AR225" s="214"/>
      <c r="AS225" s="219"/>
      <c r="AT225" s="219"/>
      <c r="AU225" s="219"/>
      <c r="AV225" s="219"/>
      <c r="AW225" s="220"/>
      <c r="AX225" s="414"/>
      <c r="AY225" s="414"/>
      <c r="AZ225" s="414"/>
      <c r="BA225" s="414"/>
      <c r="BB225" s="414"/>
      <c r="BC225" s="414"/>
      <c r="BD225" s="414"/>
      <c r="BE225" s="414"/>
      <c r="BF225" s="414"/>
      <c r="BG225" s="391">
        <f>SUM($AV$4:AV225)</f>
        <v>2297.7749999999992</v>
      </c>
      <c r="BH225" s="392">
        <f>SUM($AU$134:AU225)</f>
        <v>2226.8399999999633</v>
      </c>
      <c r="BI225" s="318">
        <f>SUMIFS($AU$134:AU226,$Q$134:Q226,"F")</f>
        <v>0</v>
      </c>
      <c r="BJ225" s="318">
        <f>SUMIFS($AU$134:AU226,$Q$134:Q226,"S")</f>
        <v>2140.1999999999998</v>
      </c>
      <c r="BK225" s="343">
        <f>SUMIFS($AU$134:AU226,$P$134:P226,"W")</f>
        <v>2056.9399999999678</v>
      </c>
      <c r="BL225" s="343">
        <f>SUMIFS($AU$134:AU226,$P$134:P226,"R")</f>
        <v>169.89999999999512</v>
      </c>
      <c r="BM225" s="343">
        <f>SUMIFS($AU$134:AU226,$AQ$134:AQ226,"M")</f>
        <v>0</v>
      </c>
      <c r="BN225" s="343">
        <f>SUMIFS($AU$134:AU226,$AQ$134:AQ226,"H")</f>
        <v>337.00000000001489</v>
      </c>
      <c r="BO225" s="343">
        <f>SUMIFS($AU$134:AU226,$AQ$134:AQ226,"D")</f>
        <v>1022.8</v>
      </c>
      <c r="BP225" s="343">
        <f>SUMIFS($AU$134:AU228,$AQ$134:AQ228,"W")</f>
        <v>451.99999999999994</v>
      </c>
      <c r="BQ225" s="343">
        <f>SUMIFS($AU$134:AU226,$Q$134:Q226,"O")</f>
        <v>-112.56000000003689</v>
      </c>
      <c r="BR225" s="343">
        <f>SUMIFS($AU$134:AU226,$AA$134:AA226,"*")</f>
        <v>2010.2999999999968</v>
      </c>
      <c r="BS225" s="343">
        <f>SUMIFS($AU$134:AU226,$AB$134:AB226,"*")</f>
        <v>652.13999999995133</v>
      </c>
      <c r="BT225" s="343">
        <f>SUMIFS($AU$134:AU226,$AC$134:AC226,"*")</f>
        <v>1102.8999999999999</v>
      </c>
      <c r="BU225" s="343">
        <f>SUMIFS($AU$134:AU226,$AA$134:AA226,"*",$AB$134:AB226,"*")</f>
        <v>669.39999999998474</v>
      </c>
      <c r="BV225" s="343">
        <f>SUMIFS($AU$134:AU226,$AA$134:AA226,"*",$AC$134:AC226,"*")</f>
        <v>1102.8999999999999</v>
      </c>
      <c r="BW225" s="343">
        <f>SUMIFS($AU$134:AU226,$AB$134:AB226,"*",$AC$134:AC226,"*")</f>
        <v>650.30000000000007</v>
      </c>
      <c r="BX225" s="343">
        <f>SUMIFS($AU226:AU$1388,$Q226:Q$1388,"F")</f>
        <v>14440.666666666668</v>
      </c>
      <c r="BY225" s="343">
        <f>SUMIFS($AU226:AU$1388,$Q226:Q$1388,"S")</f>
        <v>18531.442000000003</v>
      </c>
      <c r="BZ225" s="343">
        <f>SUMIFS($AU226:AU$1388,$Q226:Q$1388,"O")</f>
        <v>-1536.2979999997617</v>
      </c>
    </row>
    <row r="226" spans="1:78" ht="18" customHeight="1">
      <c r="A226" s="221" t="s">
        <v>1148</v>
      </c>
      <c r="B226" s="221">
        <v>44958</v>
      </c>
      <c r="C226" s="223"/>
      <c r="D226" s="223"/>
      <c r="E226" s="224"/>
      <c r="F226" s="225"/>
      <c r="G226" s="226"/>
      <c r="H226" s="166"/>
      <c r="I226" s="166"/>
      <c r="J226" s="166"/>
      <c r="K226" s="169"/>
      <c r="L226" s="166"/>
      <c r="M226" s="166"/>
      <c r="N226" s="166"/>
      <c r="O226" s="169"/>
      <c r="P226" s="169"/>
      <c r="Q226" s="169"/>
      <c r="R226" s="169"/>
      <c r="S226" s="169"/>
      <c r="T226" s="169"/>
      <c r="U226" s="169"/>
      <c r="V226" s="169"/>
      <c r="W226" s="169"/>
      <c r="X226" s="169"/>
      <c r="Y226" s="171"/>
      <c r="Z226" s="171"/>
      <c r="AA226" s="172"/>
      <c r="AB226" s="172"/>
      <c r="AC226" s="172"/>
      <c r="AD226" s="648"/>
      <c r="AE226" s="166"/>
      <c r="AF226" s="331"/>
      <c r="AG226" s="166"/>
      <c r="AH226" s="166"/>
      <c r="AI226" s="166"/>
      <c r="AJ226" s="639"/>
      <c r="AK226" s="166"/>
      <c r="AL226" s="495"/>
      <c r="AM226" s="501"/>
      <c r="AN226" s="625"/>
      <c r="AO226" s="166"/>
      <c r="AP226" s="166"/>
      <c r="AQ226" s="331" t="str">
        <f>UPPER(RIGHT(Journal_Live[[#This Row],[DURATION ]]))</f>
        <v/>
      </c>
      <c r="AR226" s="166"/>
      <c r="AS226" s="174"/>
      <c r="AT226" s="166">
        <f>IF(ISBLANK(AS226),,IF(U226="S",AD226-AS226,AS226-AD226))</f>
        <v>0</v>
      </c>
      <c r="AU226" s="173"/>
      <c r="AV226" s="175">
        <f>IF(ISBLANK(AS226),,(AT226*Z226))</f>
        <v>0</v>
      </c>
      <c r="AW226" s="176"/>
      <c r="AX226" s="431" t="s">
        <v>1149</v>
      </c>
      <c r="AY226" s="431" t="s">
        <v>1150</v>
      </c>
      <c r="AZ226" s="411" t="s">
        <v>1151</v>
      </c>
      <c r="BA226" s="411" t="s">
        <v>1152</v>
      </c>
      <c r="BB226" s="411"/>
      <c r="BC226" s="411"/>
      <c r="BD226" s="411"/>
      <c r="BE226" s="411"/>
      <c r="BF226" s="421"/>
      <c r="BG226" s="391">
        <f>SUM($AV$4:AV226)</f>
        <v>2297.7749999999992</v>
      </c>
      <c r="BH226" s="392">
        <f>SUM($AU$134:AU226)</f>
        <v>2226.8399999999633</v>
      </c>
      <c r="BI226" s="318">
        <f>SUMIFS($AU$134:AU227,$Q$134:Q227,"F")</f>
        <v>0</v>
      </c>
      <c r="BJ226" s="318">
        <f>SUMIFS($AU$134:AU227,$Q$134:Q227,"S")</f>
        <v>2242.7999999999997</v>
      </c>
      <c r="BK226" s="343">
        <f>SUMIFS($AU$134:AU227,$P$134:P227,"W")</f>
        <v>2159.5399999999677</v>
      </c>
      <c r="BL226" s="343">
        <f>SUMIFS($AU$134:AU227,$P$134:P227,"R")</f>
        <v>169.89999999999512</v>
      </c>
      <c r="BM226" s="343">
        <f>SUMIFS($AU$134:AU227,$AQ$134:AQ227,"M")</f>
        <v>0</v>
      </c>
      <c r="BN226" s="343">
        <f>SUMIFS($AU$134:AU227,$AQ$134:AQ227,"H")</f>
        <v>439.60000000001492</v>
      </c>
      <c r="BO226" s="343">
        <f>SUMIFS($AU$134:AU227,$AQ$134:AQ227,"D")</f>
        <v>1022.8</v>
      </c>
      <c r="BP226" s="343">
        <f>SUMIFS($AU$134:AU229,$AQ$134:AQ229,"W")</f>
        <v>451.99999999999994</v>
      </c>
      <c r="BQ226" s="343">
        <f>SUMIFS($AU$134:AU227,$Q$134:Q227,"O")</f>
        <v>-112.56000000003689</v>
      </c>
      <c r="BR226" s="343">
        <f>SUMIFS($AU$134:AU227,$AA$134:AA227,"*")</f>
        <v>2112.8999999999969</v>
      </c>
      <c r="BS226" s="343">
        <f>SUMIFS($AU$134:AU227,$AB$134:AB227,"*")</f>
        <v>652.13999999995133</v>
      </c>
      <c r="BT226" s="343">
        <f>SUMIFS($AU$134:AU227,$AC$134:AC227,"*")</f>
        <v>1205.4999999999998</v>
      </c>
      <c r="BU226" s="343">
        <f>SUMIFS($AU$134:AU227,$AA$134:AA227,"*",$AB$134:AB227,"*")</f>
        <v>669.39999999998474</v>
      </c>
      <c r="BV226" s="343">
        <f>SUMIFS($AU$134:AU227,$AA$134:AA227,"*",$AC$134:AC227,"*")</f>
        <v>1205.4999999999998</v>
      </c>
      <c r="BW226" s="343">
        <f>SUMIFS($AU$134:AU227,$AB$134:AB227,"*",$AC$134:AC227,"*")</f>
        <v>650.30000000000007</v>
      </c>
      <c r="BX226" s="343">
        <f>SUMIFS($AU227:AU$1388,$Q227:Q$1388,"F")</f>
        <v>14440.666666666668</v>
      </c>
      <c r="BY226" s="343">
        <f>SUMIFS($AU227:AU$1388,$Q227:Q$1388,"S")</f>
        <v>18531.442000000003</v>
      </c>
      <c r="BZ226" s="343">
        <f>SUMIFS($AU227:AU$1388,$Q227:Q$1388,"O")</f>
        <v>-1536.2979999997617</v>
      </c>
    </row>
    <row r="227" spans="1:78" ht="18" customHeight="1">
      <c r="A227" s="177" t="s">
        <v>1148</v>
      </c>
      <c r="B227" s="177">
        <v>44959</v>
      </c>
      <c r="C227" s="178" t="s">
        <v>1153</v>
      </c>
      <c r="D227" s="178" t="s">
        <v>93</v>
      </c>
      <c r="E227" s="227"/>
      <c r="F227" s="180"/>
      <c r="G227" s="241" t="s">
        <v>133</v>
      </c>
      <c r="H227" s="182"/>
      <c r="I227" s="182"/>
      <c r="J227" s="182"/>
      <c r="K227" s="183"/>
      <c r="L227" s="182">
        <v>1</v>
      </c>
      <c r="M227" s="182"/>
      <c r="N227" s="182"/>
      <c r="O227" s="183" t="s">
        <v>95</v>
      </c>
      <c r="P227" s="183" t="s">
        <v>96</v>
      </c>
      <c r="Q227" s="183" t="s">
        <v>97</v>
      </c>
      <c r="R227" s="183">
        <v>3</v>
      </c>
      <c r="S227" s="183">
        <v>3</v>
      </c>
      <c r="T227" s="183">
        <v>3</v>
      </c>
      <c r="U227" s="183" t="s">
        <v>97</v>
      </c>
      <c r="V227" s="183"/>
      <c r="W227" s="183"/>
      <c r="X227" s="183"/>
      <c r="Y227" s="184">
        <f>IF(ISBLANK(O227),,(IF(O227=UPPER("IB"),0.005,0.01)))</f>
        <v>0.01</v>
      </c>
      <c r="Z227" s="184">
        <f>IF(ISBLANK(O227),,IF(O227=UPPER("IB"),8.63*200,17.1*100))</f>
        <v>1710.0000000000002</v>
      </c>
      <c r="AA227" s="185" t="s">
        <v>1154</v>
      </c>
      <c r="AB227" s="185"/>
      <c r="AC227" s="185" t="s">
        <v>99</v>
      </c>
      <c r="AD227" s="649">
        <v>-0.02</v>
      </c>
      <c r="AE227" s="182"/>
      <c r="AF227" s="332">
        <v>2</v>
      </c>
      <c r="AG227" s="182"/>
      <c r="AH227" s="182" t="s">
        <v>1155</v>
      </c>
      <c r="AI227" s="182"/>
      <c r="AJ227" s="640"/>
      <c r="AK227" s="182"/>
      <c r="AL227" s="496">
        <f>-0.04*Z227</f>
        <v>-68.400000000000006</v>
      </c>
      <c r="AM227" s="496">
        <f>AL227*R227</f>
        <v>-205.20000000000002</v>
      </c>
      <c r="AN227" s="626"/>
      <c r="AO227" s="182"/>
      <c r="AP227" s="182" t="s">
        <v>846</v>
      </c>
      <c r="AQ227" s="332" t="str">
        <f>UPPER(RIGHT(Journal_Live[[#This Row],[DURATION ]]))</f>
        <v>H</v>
      </c>
      <c r="AR227" s="182" t="s">
        <v>1156</v>
      </c>
      <c r="AS227" s="189">
        <v>-0.04</v>
      </c>
      <c r="AT227" s="189">
        <f>IF(ISBLANK(AS227),,IF(U227="S",AD227-AS227,AS227-AD227))</f>
        <v>0.02</v>
      </c>
      <c r="AU227" s="187">
        <f>AV227*R227</f>
        <v>102.60000000000001</v>
      </c>
      <c r="AV227" s="190">
        <f>IF(ISBLANK(AS227),,(AT227*Z227))</f>
        <v>34.200000000000003</v>
      </c>
      <c r="AW227" s="191" t="s">
        <v>96</v>
      </c>
      <c r="AX227" s="407"/>
      <c r="AY227" s="407"/>
      <c r="AZ227" s="407"/>
      <c r="BA227" s="407"/>
      <c r="BB227" s="407"/>
      <c r="BC227" s="407"/>
      <c r="BD227" s="407"/>
      <c r="BE227" s="407"/>
      <c r="BF227" s="422"/>
      <c r="BG227" s="391">
        <f>SUM($AV$4:AV227)</f>
        <v>2331.974999999999</v>
      </c>
      <c r="BH227" s="392">
        <f>SUM($AU$134:AU227)</f>
        <v>2329.4399999999632</v>
      </c>
      <c r="BI227" s="318">
        <f>SUMIFS($AU$134:AU228,$Q$134:Q228,"F")</f>
        <v>0</v>
      </c>
      <c r="BJ227" s="318">
        <f>SUMIFS($AU$134:AU228,$Q$134:Q228,"S")</f>
        <v>2242.7999999999997</v>
      </c>
      <c r="BK227" s="343">
        <f>SUMIFS($AU$134:AU228,$P$134:P228,"W")</f>
        <v>2159.5399999999677</v>
      </c>
      <c r="BL227" s="343">
        <f>SUMIFS($AU$134:AU228,$P$134:P228,"R")</f>
        <v>169.89999999999512</v>
      </c>
      <c r="BM227" s="343">
        <f>SUMIFS($AU$134:AU228,$AQ$134:AQ228,"M")</f>
        <v>0</v>
      </c>
      <c r="BN227" s="343">
        <f>SUMIFS($AU$134:AU228,$AQ$134:AQ228,"H")</f>
        <v>439.60000000001492</v>
      </c>
      <c r="BO227" s="343">
        <f>SUMIFS($AU$134:AU228,$AQ$134:AQ228,"D")</f>
        <v>1022.8</v>
      </c>
      <c r="BP227" s="343">
        <f>SUMIFS($AU$134:AU230,$AQ$134:AQ230,"W")</f>
        <v>451.99999999999994</v>
      </c>
      <c r="BQ227" s="343">
        <f>SUMIFS($AU$134:AU228,$Q$134:Q228,"O")</f>
        <v>-112.56000000003689</v>
      </c>
      <c r="BR227" s="343">
        <f>SUMIFS($AU$134:AU228,$AA$134:AA228,"*")</f>
        <v>2112.8999999999969</v>
      </c>
      <c r="BS227" s="343">
        <f>SUMIFS($AU$134:AU228,$AB$134:AB228,"*")</f>
        <v>652.13999999995133</v>
      </c>
      <c r="BT227" s="343">
        <f>SUMIFS($AU$134:AU228,$AC$134:AC228,"*")</f>
        <v>1205.4999999999998</v>
      </c>
      <c r="BU227" s="343">
        <f>SUMIFS($AU$134:AU228,$AA$134:AA228,"*",$AB$134:AB228,"*")</f>
        <v>669.39999999998474</v>
      </c>
      <c r="BV227" s="343">
        <f>SUMIFS($AU$134:AU228,$AA$134:AA228,"*",$AC$134:AC228,"*")</f>
        <v>1205.4999999999998</v>
      </c>
      <c r="BW227" s="343">
        <f>SUMIFS($AU$134:AU228,$AB$134:AB228,"*",$AC$134:AC228,"*")</f>
        <v>650.30000000000007</v>
      </c>
      <c r="BX227" s="343">
        <f>SUMIFS($AU228:AU$1388,$Q228:Q$1388,"F")</f>
        <v>14440.666666666668</v>
      </c>
      <c r="BY227" s="343">
        <f>SUMIFS($AU228:AU$1388,$Q228:Q$1388,"S")</f>
        <v>18428.842000000004</v>
      </c>
      <c r="BZ227" s="343">
        <f>SUMIFS($AU228:AU$1388,$Q228:Q$1388,"O")</f>
        <v>-1536.2979999997617</v>
      </c>
    </row>
    <row r="228" spans="1:78" ht="18" customHeight="1">
      <c r="A228" s="177" t="s">
        <v>1148</v>
      </c>
      <c r="B228" s="177">
        <v>44959</v>
      </c>
      <c r="C228" s="178" t="s">
        <v>1157</v>
      </c>
      <c r="D228" s="178" t="s">
        <v>93</v>
      </c>
      <c r="E228" s="227" t="s">
        <v>1158</v>
      </c>
      <c r="F228" s="180" t="s">
        <v>1159</v>
      </c>
      <c r="G228" s="181"/>
      <c r="H228" s="182"/>
      <c r="I228" s="182">
        <v>1</v>
      </c>
      <c r="J228" s="182"/>
      <c r="K228" s="183"/>
      <c r="L228" s="182"/>
      <c r="M228" s="182"/>
      <c r="N228" s="182"/>
      <c r="O228" s="183"/>
      <c r="P228" s="183"/>
      <c r="Q228" s="183"/>
      <c r="R228" s="183"/>
      <c r="S228" s="183"/>
      <c r="T228" s="183"/>
      <c r="U228" s="183"/>
      <c r="V228" s="183"/>
      <c r="W228" s="183"/>
      <c r="X228" s="183"/>
      <c r="Y228" s="184"/>
      <c r="Z228" s="184"/>
      <c r="AA228" s="185"/>
      <c r="AB228" s="185"/>
      <c r="AC228" s="185"/>
      <c r="AD228" s="649"/>
      <c r="AE228" s="182"/>
      <c r="AF228" s="332"/>
      <c r="AG228" s="182"/>
      <c r="AH228" s="182"/>
      <c r="AI228" s="182"/>
      <c r="AJ228" s="640"/>
      <c r="AK228" s="182"/>
      <c r="AL228" s="496"/>
      <c r="AM228" s="497"/>
      <c r="AN228" s="626"/>
      <c r="AO228" s="182"/>
      <c r="AP228" s="182"/>
      <c r="AQ228" s="332" t="str">
        <f>UPPER(RIGHT(Journal_Live[[#This Row],[DURATION ]]))</f>
        <v/>
      </c>
      <c r="AR228" s="182"/>
      <c r="AS228" s="189"/>
      <c r="AT228" s="182"/>
      <c r="AU228" s="187"/>
      <c r="AV228" s="190"/>
      <c r="AW228" s="191"/>
      <c r="AX228" s="407"/>
      <c r="AY228" s="407"/>
      <c r="AZ228" s="407"/>
      <c r="BA228" s="407"/>
      <c r="BB228" s="407"/>
      <c r="BC228" s="407"/>
      <c r="BD228" s="407"/>
      <c r="BE228" s="407"/>
      <c r="BF228" s="422"/>
      <c r="BG228" s="391">
        <f>SUM($AV$4:AV228)</f>
        <v>2331.974999999999</v>
      </c>
      <c r="BH228" s="392">
        <f>SUM($AU$134:AU228)</f>
        <v>2329.4399999999632</v>
      </c>
      <c r="BI228" s="318">
        <f>SUMIFS($AU$134:AU229,$Q$134:Q229,"F")</f>
        <v>0</v>
      </c>
      <c r="BJ228" s="318">
        <f>SUMIFS($AU$134:AU229,$Q$134:Q229,"S")</f>
        <v>2242.7999999999997</v>
      </c>
      <c r="BK228" s="343">
        <f>SUMIFS($AU$134:AU229,$P$134:P229,"W")</f>
        <v>2159.5399999999677</v>
      </c>
      <c r="BL228" s="343">
        <f>SUMIFS($AU$134:AU229,$P$134:P229,"R")</f>
        <v>169.89999999999512</v>
      </c>
      <c r="BM228" s="343">
        <f>SUMIFS($AU$134:AU229,$AQ$134:AQ229,"M")</f>
        <v>0</v>
      </c>
      <c r="BN228" s="343">
        <f>SUMIFS($AU$134:AU229,$AQ$134:AQ229,"H")</f>
        <v>439.60000000001492</v>
      </c>
      <c r="BO228" s="343">
        <f>SUMIFS($AU$134:AU229,$AQ$134:AQ229,"D")</f>
        <v>1022.8</v>
      </c>
      <c r="BP228" s="343">
        <f>SUMIFS($AU$134:AU231,$AQ$134:AQ231,"W")</f>
        <v>451.99999999999994</v>
      </c>
      <c r="BQ228" s="343">
        <f>SUMIFS($AU$134:AU229,$Q$134:Q229,"O")</f>
        <v>-112.56000000003689</v>
      </c>
      <c r="BR228" s="343">
        <f>SUMIFS($AU$134:AU229,$AA$134:AA229,"*")</f>
        <v>2112.8999999999969</v>
      </c>
      <c r="BS228" s="343">
        <f>SUMIFS($AU$134:AU229,$AB$134:AB229,"*")</f>
        <v>652.13999999995133</v>
      </c>
      <c r="BT228" s="343">
        <f>SUMIFS($AU$134:AU229,$AC$134:AC229,"*")</f>
        <v>1205.4999999999998</v>
      </c>
      <c r="BU228" s="343">
        <f>SUMIFS($AU$134:AU229,$AA$134:AA229,"*",$AB$134:AB229,"*")</f>
        <v>669.39999999998474</v>
      </c>
      <c r="BV228" s="343">
        <f>SUMIFS($AU$134:AU229,$AA$134:AA229,"*",$AC$134:AC229,"*")</f>
        <v>1205.4999999999998</v>
      </c>
      <c r="BW228" s="343">
        <f>SUMIFS($AU$134:AU229,$AB$134:AB229,"*",$AC$134:AC229,"*")</f>
        <v>650.30000000000007</v>
      </c>
      <c r="BX228" s="343">
        <f>SUMIFS($AU229:AU$1388,$Q229:Q$1388,"F")</f>
        <v>14440.666666666668</v>
      </c>
      <c r="BY228" s="343">
        <f>SUMIFS($AU229:AU$1388,$Q229:Q$1388,"S")</f>
        <v>18428.842000000004</v>
      </c>
      <c r="BZ228" s="343">
        <f>SUMIFS($AU229:AU$1388,$Q229:Q$1388,"O")</f>
        <v>-1536.2979999997617</v>
      </c>
    </row>
    <row r="229" spans="1:78" ht="18" customHeight="1">
      <c r="A229" s="221" t="s">
        <v>1148</v>
      </c>
      <c r="B229" s="177">
        <v>44959</v>
      </c>
      <c r="C229" s="178" t="s">
        <v>1142</v>
      </c>
      <c r="D229" s="178" t="s">
        <v>93</v>
      </c>
      <c r="E229" s="227" t="s">
        <v>1160</v>
      </c>
      <c r="F229" s="180" t="s">
        <v>1161</v>
      </c>
      <c r="G229" s="181"/>
      <c r="H229" s="182"/>
      <c r="I229" s="182"/>
      <c r="J229" s="182"/>
      <c r="K229" s="183"/>
      <c r="L229" s="182"/>
      <c r="M229" s="182"/>
      <c r="N229" s="182"/>
      <c r="O229" s="183"/>
      <c r="P229" s="183"/>
      <c r="Q229" s="183"/>
      <c r="R229" s="183"/>
      <c r="S229" s="183"/>
      <c r="T229" s="183"/>
      <c r="U229" s="183"/>
      <c r="V229" s="183"/>
      <c r="W229" s="183"/>
      <c r="X229" s="183"/>
      <c r="Y229" s="184"/>
      <c r="Z229" s="184"/>
      <c r="AA229" s="185"/>
      <c r="AB229" s="185"/>
      <c r="AC229" s="185"/>
      <c r="AD229" s="649"/>
      <c r="AE229" s="182"/>
      <c r="AF229" s="332"/>
      <c r="AG229" s="182"/>
      <c r="AH229" s="182"/>
      <c r="AI229" s="182"/>
      <c r="AJ229" s="640"/>
      <c r="AK229" s="182"/>
      <c r="AL229" s="496"/>
      <c r="AM229" s="497"/>
      <c r="AN229" s="626"/>
      <c r="AO229" s="182"/>
      <c r="AP229" s="182"/>
      <c r="AQ229" s="332" t="str">
        <f>UPPER(RIGHT(Journal_Live[[#This Row],[DURATION ]]))</f>
        <v/>
      </c>
      <c r="AR229" s="182"/>
      <c r="AS229" s="189"/>
      <c r="AT229" s="182"/>
      <c r="AU229" s="187"/>
      <c r="AV229" s="190"/>
      <c r="AW229" s="191"/>
      <c r="AX229" s="407"/>
      <c r="AY229" s="407"/>
      <c r="AZ229" s="407"/>
      <c r="BA229" s="407"/>
      <c r="BB229" s="407"/>
      <c r="BC229" s="407"/>
      <c r="BD229" s="407"/>
      <c r="BE229" s="407"/>
      <c r="BF229" s="422"/>
      <c r="BG229" s="391">
        <f>SUM($AV$4:AV229)</f>
        <v>2331.974999999999</v>
      </c>
      <c r="BH229" s="392">
        <f>SUM($AU$134:AU229)</f>
        <v>2329.4399999999632</v>
      </c>
      <c r="BI229" s="318">
        <f>SUMIFS($AU$134:AU230,$Q$134:Q230,"F")</f>
        <v>0</v>
      </c>
      <c r="BJ229" s="318">
        <f>SUMIFS($AU$134:AU230,$Q$134:Q230,"S")</f>
        <v>2242.7999999999997</v>
      </c>
      <c r="BK229" s="343">
        <f>SUMIFS($AU$134:AU230,$P$134:P230,"W")</f>
        <v>2159.5399999999677</v>
      </c>
      <c r="BL229" s="343">
        <f>SUMIFS($AU$134:AU230,$P$134:P230,"R")</f>
        <v>169.89999999999512</v>
      </c>
      <c r="BM229" s="343">
        <f>SUMIFS($AU$134:AU230,$AQ$134:AQ230,"M")</f>
        <v>0</v>
      </c>
      <c r="BN229" s="343">
        <f>SUMIFS($AU$134:AU230,$AQ$134:AQ230,"H")</f>
        <v>439.60000000001492</v>
      </c>
      <c r="BO229" s="343">
        <f>SUMIFS($AU$134:AU230,$AQ$134:AQ230,"D")</f>
        <v>1022.8</v>
      </c>
      <c r="BP229" s="343">
        <f>SUMIFS($AU$134:AU232,$AQ$134:AQ232,"W")</f>
        <v>451.99999999999994</v>
      </c>
      <c r="BQ229" s="343">
        <f>SUMIFS($AU$134:AU230,$Q$134:Q230,"O")</f>
        <v>-112.56000000003689</v>
      </c>
      <c r="BR229" s="343">
        <f>SUMIFS($AU$134:AU230,$AA$134:AA230,"*")</f>
        <v>2112.8999999999969</v>
      </c>
      <c r="BS229" s="343">
        <f>SUMIFS($AU$134:AU230,$AB$134:AB230,"*")</f>
        <v>652.13999999995133</v>
      </c>
      <c r="BT229" s="343">
        <f>SUMIFS($AU$134:AU230,$AC$134:AC230,"*")</f>
        <v>1205.4999999999998</v>
      </c>
      <c r="BU229" s="343">
        <f>SUMIFS($AU$134:AU230,$AA$134:AA230,"*",$AB$134:AB230,"*")</f>
        <v>669.39999999998474</v>
      </c>
      <c r="BV229" s="343">
        <f>SUMIFS($AU$134:AU230,$AA$134:AA230,"*",$AC$134:AC230,"*")</f>
        <v>1205.4999999999998</v>
      </c>
      <c r="BW229" s="343">
        <f>SUMIFS($AU$134:AU230,$AB$134:AB230,"*",$AC$134:AC230,"*")</f>
        <v>650.30000000000007</v>
      </c>
      <c r="BX229" s="343">
        <f>SUMIFS($AU230:AU$1388,$Q230:Q$1388,"F")</f>
        <v>14440.666666666668</v>
      </c>
      <c r="BY229" s="343">
        <f>SUMIFS($AU230:AU$1388,$Q230:Q$1388,"S")</f>
        <v>18428.842000000004</v>
      </c>
      <c r="BZ229" s="343">
        <f>SUMIFS($AU230:AU$1388,$Q230:Q$1388,"O")</f>
        <v>-1536.2979999997617</v>
      </c>
    </row>
    <row r="230" spans="1:78" ht="18" customHeight="1">
      <c r="A230" s="177" t="s">
        <v>1148</v>
      </c>
      <c r="B230" s="177">
        <v>44959</v>
      </c>
      <c r="C230" s="178" t="s">
        <v>1162</v>
      </c>
      <c r="D230" s="178" t="s">
        <v>93</v>
      </c>
      <c r="E230" s="227"/>
      <c r="F230" s="180"/>
      <c r="G230" s="181" t="s">
        <v>280</v>
      </c>
      <c r="H230" s="182"/>
      <c r="I230" s="182"/>
      <c r="J230" s="182"/>
      <c r="K230" s="183"/>
      <c r="L230" s="182">
        <v>1</v>
      </c>
      <c r="M230" s="182"/>
      <c r="N230" s="182"/>
      <c r="O230" s="183" t="s">
        <v>95</v>
      </c>
      <c r="P230" s="183" t="s">
        <v>137</v>
      </c>
      <c r="Q230" s="183" t="s">
        <v>97</v>
      </c>
      <c r="R230" s="183">
        <v>3</v>
      </c>
      <c r="S230" s="183">
        <v>3</v>
      </c>
      <c r="T230" s="183">
        <v>3</v>
      </c>
      <c r="U230" s="183" t="s">
        <v>22</v>
      </c>
      <c r="V230" s="183"/>
      <c r="W230" s="183"/>
      <c r="X230" s="183"/>
      <c r="Y230" s="184">
        <f t="shared" ref="Y230:Y236" si="94">IF(ISBLANK(O230),,(IF(O230=UPPER("IB"),0.005,0.01)))</f>
        <v>0.01</v>
      </c>
      <c r="Z230" s="184">
        <f t="shared" ref="Z230:Z236" si="95">IF(ISBLANK(O230),,IF(O230=UPPER("IB"),8.63*200,17*100))</f>
        <v>1700</v>
      </c>
      <c r="AA230" s="185" t="s">
        <v>1163</v>
      </c>
      <c r="AB230" s="185"/>
      <c r="AC230" s="185" t="s">
        <v>99</v>
      </c>
      <c r="AD230" s="649">
        <v>-0.11</v>
      </c>
      <c r="AE230" s="182"/>
      <c r="AF230" s="332">
        <v>-0.13</v>
      </c>
      <c r="AG230" s="182"/>
      <c r="AH230" s="182">
        <v>-0.1</v>
      </c>
      <c r="AI230" s="182"/>
      <c r="AJ230" s="640"/>
      <c r="AK230" s="182"/>
      <c r="AL230" s="496">
        <f t="shared" ref="AL230:AL232" si="96">-0.03*Z230</f>
        <v>-51</v>
      </c>
      <c r="AM230" s="496">
        <f t="shared" ref="AM230:AM236" si="97">AL230*R230</f>
        <v>-153</v>
      </c>
      <c r="AN230" s="626" t="s">
        <v>1164</v>
      </c>
      <c r="AO230" s="182"/>
      <c r="AP230" s="182"/>
      <c r="AQ230" s="332" t="str">
        <f>UPPER(RIGHT(Journal_Live[[#This Row],[DURATION ]]))</f>
        <v/>
      </c>
      <c r="AR230" s="182" t="s">
        <v>1165</v>
      </c>
      <c r="AS230" s="189">
        <v>-0.11</v>
      </c>
      <c r="AT230" s="189">
        <f t="shared" ref="AT230:AT236" si="98">IF(ISBLANK(AS230),,IF(U230="S",AD230-AS230,AS230-AD230))</f>
        <v>0</v>
      </c>
      <c r="AU230" s="187">
        <f t="shared" ref="AU230:AU236" si="99">AV230*R230</f>
        <v>0</v>
      </c>
      <c r="AV230" s="190">
        <f t="shared" ref="AV230:AV236" si="100">IF(ISBLANK(AS230),,(AT230*Z230))</f>
        <v>0</v>
      </c>
      <c r="AW230" s="191" t="s">
        <v>115</v>
      </c>
      <c r="AX230" s="407" t="s">
        <v>1166</v>
      </c>
      <c r="AY230" s="407"/>
      <c r="AZ230" s="407"/>
      <c r="BA230" s="407"/>
      <c r="BB230" s="407"/>
      <c r="BC230" s="407"/>
      <c r="BD230" s="407"/>
      <c r="BE230" s="407"/>
      <c r="BF230" s="422"/>
      <c r="BG230" s="391">
        <f>SUM($AV$4:AV230)</f>
        <v>2331.974999999999</v>
      </c>
      <c r="BH230" s="392">
        <f>SUM($AU$134:AU230)</f>
        <v>2329.4399999999632</v>
      </c>
      <c r="BI230" s="318">
        <f>SUMIFS($AU$134:AU231,$Q$134:Q231,"F")</f>
        <v>0</v>
      </c>
      <c r="BJ230" s="318">
        <f>SUMIFS($AU$134:AU231,$Q$134:Q231,"S")</f>
        <v>2089.7999999999997</v>
      </c>
      <c r="BK230" s="343">
        <f>SUMIFS($AU$134:AU231,$P$134:P231,"W")</f>
        <v>2006.5399999999677</v>
      </c>
      <c r="BL230" s="343">
        <f>SUMIFS($AU$134:AU231,$P$134:P231,"R")</f>
        <v>169.89999999999512</v>
      </c>
      <c r="BM230" s="343">
        <f>SUMIFS($AU$134:AU231,$AQ$134:AQ231,"M")</f>
        <v>0</v>
      </c>
      <c r="BN230" s="343">
        <f>SUMIFS($AU$134:AU231,$AQ$134:AQ231,"H")</f>
        <v>286.60000000001492</v>
      </c>
      <c r="BO230" s="343">
        <f>SUMIFS($AU$134:AU231,$AQ$134:AQ231,"D")</f>
        <v>1022.8</v>
      </c>
      <c r="BP230" s="343">
        <f>SUMIFS($AU$134:AU233,$AQ$134:AQ233,"W")</f>
        <v>451.99999999999994</v>
      </c>
      <c r="BQ230" s="343">
        <f>SUMIFS($AU$134:AU231,$Q$134:Q231,"O")</f>
        <v>-112.56000000003689</v>
      </c>
      <c r="BR230" s="343">
        <f>SUMIFS($AU$134:AU231,$AA$134:AA231,"*")</f>
        <v>1959.8999999999969</v>
      </c>
      <c r="BS230" s="343">
        <f>SUMIFS($AU$134:AU231,$AB$134:AB231,"*")</f>
        <v>652.13999999995133</v>
      </c>
      <c r="BT230" s="343">
        <f>SUMIFS($AU$134:AU231,$AC$134:AC231,"*")</f>
        <v>1052.4999999999998</v>
      </c>
      <c r="BU230" s="343">
        <f>SUMIFS($AU$134:AU231,$AA$134:AA231,"*",$AB$134:AB231,"*")</f>
        <v>669.39999999998474</v>
      </c>
      <c r="BV230" s="343">
        <f>SUMIFS($AU$134:AU231,$AA$134:AA231,"*",$AC$134:AC231,"*")</f>
        <v>1052.4999999999998</v>
      </c>
      <c r="BW230" s="343">
        <f>SUMIFS($AU$134:AU231,$AB$134:AB231,"*",$AC$134:AC231,"*")</f>
        <v>650.30000000000007</v>
      </c>
      <c r="BX230" s="343">
        <f>SUMIFS($AU231:AU$1388,$Q231:Q$1388,"F")</f>
        <v>14440.666666666668</v>
      </c>
      <c r="BY230" s="343">
        <f>SUMIFS($AU231:AU$1388,$Q231:Q$1388,"S")</f>
        <v>18428.842000000004</v>
      </c>
      <c r="BZ230" s="343">
        <f>SUMIFS($AU231:AU$1388,$Q231:Q$1388,"O")</f>
        <v>-1536.2979999997617</v>
      </c>
    </row>
    <row r="231" spans="1:78" ht="18" customHeight="1">
      <c r="A231" s="177" t="s">
        <v>1148</v>
      </c>
      <c r="B231" s="177">
        <v>44959</v>
      </c>
      <c r="C231" s="178" t="s">
        <v>1167</v>
      </c>
      <c r="D231" s="178" t="s">
        <v>93</v>
      </c>
      <c r="E231" s="227"/>
      <c r="F231" s="180"/>
      <c r="G231" s="265" t="s">
        <v>757</v>
      </c>
      <c r="H231" s="182"/>
      <c r="I231" s="182"/>
      <c r="J231" s="182"/>
      <c r="K231" s="183"/>
      <c r="L231" s="182">
        <v>1</v>
      </c>
      <c r="M231" s="182"/>
      <c r="N231" s="182"/>
      <c r="O231" s="183" t="s">
        <v>95</v>
      </c>
      <c r="P231" s="183" t="s">
        <v>96</v>
      </c>
      <c r="Q231" s="183" t="s">
        <v>97</v>
      </c>
      <c r="R231" s="183">
        <v>3</v>
      </c>
      <c r="S231" s="183">
        <v>3</v>
      </c>
      <c r="T231" s="183">
        <v>3</v>
      </c>
      <c r="U231" s="183" t="s">
        <v>22</v>
      </c>
      <c r="V231" s="183"/>
      <c r="W231" s="183"/>
      <c r="X231" s="183"/>
      <c r="Y231" s="184">
        <f t="shared" si="94"/>
        <v>0.01</v>
      </c>
      <c r="Z231" s="184">
        <f t="shared" si="95"/>
        <v>1700</v>
      </c>
      <c r="AA231" s="185" t="s">
        <v>1168</v>
      </c>
      <c r="AB231" s="185"/>
      <c r="AC231" s="185" t="s">
        <v>1169</v>
      </c>
      <c r="AD231" s="649">
        <v>0.04</v>
      </c>
      <c r="AE231" s="182"/>
      <c r="AF231" s="332">
        <v>0</v>
      </c>
      <c r="AG231" s="182"/>
      <c r="AH231" s="182">
        <v>4</v>
      </c>
      <c r="AI231" s="182"/>
      <c r="AJ231" s="640"/>
      <c r="AK231" s="182"/>
      <c r="AL231" s="496">
        <f t="shared" si="96"/>
        <v>-51</v>
      </c>
      <c r="AM231" s="496">
        <f t="shared" si="97"/>
        <v>-153</v>
      </c>
      <c r="AN231" s="626" t="s">
        <v>1170</v>
      </c>
      <c r="AO231" s="182"/>
      <c r="AP231" s="182" t="s">
        <v>846</v>
      </c>
      <c r="AQ231" s="332" t="str">
        <f>UPPER(RIGHT(Journal_Live[[#This Row],[DURATION ]]))</f>
        <v>H</v>
      </c>
      <c r="AR231" s="229">
        <v>0.29166666666666669</v>
      </c>
      <c r="AS231" s="189">
        <v>0.01</v>
      </c>
      <c r="AT231" s="189">
        <f t="shared" si="98"/>
        <v>-0.03</v>
      </c>
      <c r="AU231" s="187">
        <f t="shared" si="99"/>
        <v>-153</v>
      </c>
      <c r="AV231" s="190">
        <f t="shared" si="100"/>
        <v>-51</v>
      </c>
      <c r="AW231" s="191" t="s">
        <v>229</v>
      </c>
      <c r="AX231" s="407" t="s">
        <v>1171</v>
      </c>
      <c r="AY231" s="407" t="s">
        <v>1172</v>
      </c>
      <c r="AZ231" s="407" t="s">
        <v>1173</v>
      </c>
      <c r="BA231" s="407" t="s">
        <v>1174</v>
      </c>
      <c r="BB231" s="407" t="s">
        <v>1175</v>
      </c>
      <c r="BC231" s="407"/>
      <c r="BD231" s="407" t="s">
        <v>1174</v>
      </c>
      <c r="BE231" s="407"/>
      <c r="BF231" s="422"/>
      <c r="BG231" s="391">
        <f>SUM($AV$4:AV231)</f>
        <v>2280.974999999999</v>
      </c>
      <c r="BH231" s="392">
        <f>SUM($AU$134:AU231)</f>
        <v>2176.4399999999632</v>
      </c>
      <c r="BI231" s="318">
        <f>SUMIFS($AU$134:AU232,$Q$134:Q232,"F")</f>
        <v>0</v>
      </c>
      <c r="BJ231" s="318">
        <f>SUMIFS($AU$134:AU232,$Q$134:Q232,"S")</f>
        <v>2174.7999999999997</v>
      </c>
      <c r="BK231" s="343">
        <f>SUMIFS($AU$134:AU232,$P$134:P232,"W")</f>
        <v>2006.5399999999677</v>
      </c>
      <c r="BL231" s="343">
        <f>SUMIFS($AU$134:AU232,$P$134:P232,"R")</f>
        <v>254.89999999999509</v>
      </c>
      <c r="BM231" s="343">
        <f>SUMIFS($AU$134:AU232,$AQ$134:AQ232,"M")</f>
        <v>0</v>
      </c>
      <c r="BN231" s="343">
        <f>SUMIFS($AU$134:AU232,$AQ$134:AQ232,"H")</f>
        <v>286.60000000001492</v>
      </c>
      <c r="BO231" s="343">
        <f>SUMIFS($AU$134:AU232,$AQ$134:AQ232,"D")</f>
        <v>1107.8</v>
      </c>
      <c r="BP231" s="343">
        <f>SUMIFS($AU$134:AU234,$AQ$134:AQ234,"W")</f>
        <v>451.99999999999994</v>
      </c>
      <c r="BQ231" s="343">
        <f>SUMIFS($AU$134:AU232,$Q$134:Q232,"O")</f>
        <v>-112.56000000003689</v>
      </c>
      <c r="BR231" s="343">
        <f>SUMIFS($AU$134:AU232,$AA$134:AA232,"*")</f>
        <v>2044.8999999999969</v>
      </c>
      <c r="BS231" s="343">
        <f>SUMIFS($AU$134:AU232,$AB$134:AB232,"*")</f>
        <v>652.13999999995133</v>
      </c>
      <c r="BT231" s="343">
        <f>SUMIFS($AU$134:AU232,$AC$134:AC232,"*")</f>
        <v>1137.4999999999998</v>
      </c>
      <c r="BU231" s="343">
        <f>SUMIFS($AU$134:AU232,$AA$134:AA232,"*",$AB$134:AB232,"*")</f>
        <v>669.39999999998474</v>
      </c>
      <c r="BV231" s="343">
        <f>SUMIFS($AU$134:AU232,$AA$134:AA232,"*",$AC$134:AC232,"*")</f>
        <v>1137.4999999999998</v>
      </c>
      <c r="BW231" s="343">
        <f>SUMIFS($AU$134:AU232,$AB$134:AB232,"*",$AC$134:AC232,"*")</f>
        <v>650.30000000000007</v>
      </c>
      <c r="BX231" s="343">
        <f>SUMIFS($AU232:AU$1388,$Q232:Q$1388,"F")</f>
        <v>14440.666666666668</v>
      </c>
      <c r="BY231" s="343">
        <f>SUMIFS($AU232:AU$1388,$Q232:Q$1388,"S")</f>
        <v>18581.842000000001</v>
      </c>
      <c r="BZ231" s="343">
        <f>SUMIFS($AU232:AU$1388,$Q232:Q$1388,"O")</f>
        <v>-1536.2979999997617</v>
      </c>
    </row>
    <row r="232" spans="1:78" ht="18" customHeight="1">
      <c r="A232" s="221" t="s">
        <v>1148</v>
      </c>
      <c r="B232" s="177">
        <v>44959</v>
      </c>
      <c r="C232" s="178" t="s">
        <v>1176</v>
      </c>
      <c r="D232" s="178" t="s">
        <v>93</v>
      </c>
      <c r="E232" s="227"/>
      <c r="F232" s="180"/>
      <c r="G232" s="269" t="s">
        <v>365</v>
      </c>
      <c r="H232" s="182"/>
      <c r="I232" s="182"/>
      <c r="J232" s="182"/>
      <c r="K232" s="183"/>
      <c r="L232" s="182">
        <v>1</v>
      </c>
      <c r="M232" s="182">
        <v>1</v>
      </c>
      <c r="N232" s="182"/>
      <c r="O232" s="183" t="s">
        <v>95</v>
      </c>
      <c r="P232" s="183" t="s">
        <v>137</v>
      </c>
      <c r="Q232" s="183" t="s">
        <v>97</v>
      </c>
      <c r="R232" s="183">
        <v>5</v>
      </c>
      <c r="S232" s="183">
        <v>5</v>
      </c>
      <c r="T232" s="183">
        <v>5</v>
      </c>
      <c r="U232" s="183" t="s">
        <v>22</v>
      </c>
      <c r="V232" s="183"/>
      <c r="W232" s="183"/>
      <c r="X232" s="183"/>
      <c r="Y232" s="184">
        <f t="shared" si="94"/>
        <v>0.01</v>
      </c>
      <c r="Z232" s="184">
        <f t="shared" si="95"/>
        <v>1700</v>
      </c>
      <c r="AA232" s="185" t="s">
        <v>1177</v>
      </c>
      <c r="AB232" s="185"/>
      <c r="AC232" s="185" t="s">
        <v>1178</v>
      </c>
      <c r="AD232" s="649">
        <v>-0.12</v>
      </c>
      <c r="AE232" s="182"/>
      <c r="AF232" s="332">
        <v>15</v>
      </c>
      <c r="AG232" s="182"/>
      <c r="AH232" s="182" t="s">
        <v>1179</v>
      </c>
      <c r="AI232" s="182"/>
      <c r="AJ232" s="640"/>
      <c r="AK232" s="182"/>
      <c r="AL232" s="496">
        <f t="shared" si="96"/>
        <v>-51</v>
      </c>
      <c r="AM232" s="496">
        <f t="shared" si="97"/>
        <v>-255</v>
      </c>
      <c r="AN232" s="626" t="s">
        <v>1164</v>
      </c>
      <c r="AO232" s="182"/>
      <c r="AP232" s="182" t="s">
        <v>804</v>
      </c>
      <c r="AQ232" s="332" t="str">
        <f>UPPER(RIGHT(Journal_Live[[#This Row],[DURATION ]]))</f>
        <v>D</v>
      </c>
      <c r="AR232" s="182" t="s">
        <v>1180</v>
      </c>
      <c r="AS232" s="189">
        <v>-0.11</v>
      </c>
      <c r="AT232" s="189">
        <f t="shared" si="98"/>
        <v>9.999999999999995E-3</v>
      </c>
      <c r="AU232" s="187">
        <f t="shared" si="99"/>
        <v>84.999999999999972</v>
      </c>
      <c r="AV232" s="190">
        <f t="shared" si="100"/>
        <v>16.999999999999993</v>
      </c>
      <c r="AW232" s="191" t="s">
        <v>96</v>
      </c>
      <c r="AX232" s="407"/>
      <c r="AY232" s="407"/>
      <c r="AZ232" s="407"/>
      <c r="BA232" s="407"/>
      <c r="BB232" s="407"/>
      <c r="BC232" s="407"/>
      <c r="BD232" s="407"/>
      <c r="BE232" s="407"/>
      <c r="BF232" s="422"/>
      <c r="BG232" s="391">
        <f>SUM($AV$4:AV232)</f>
        <v>2297.974999999999</v>
      </c>
      <c r="BH232" s="392">
        <f>SUM($AU$134:AU232)</f>
        <v>2261.4399999999632</v>
      </c>
      <c r="BI232" s="318">
        <f>SUMIFS($AU$134:AU233,$Q$134:Q233,"F")</f>
        <v>0</v>
      </c>
      <c r="BJ232" s="318">
        <f>SUMIFS($AU$134:AU233,$Q$134:Q233,"S")</f>
        <v>2072.7999999999997</v>
      </c>
      <c r="BK232" s="343">
        <f>SUMIFS($AU$134:AU233,$P$134:P233,"W")</f>
        <v>1904.5399999999677</v>
      </c>
      <c r="BL232" s="343">
        <f>SUMIFS($AU$134:AU233,$P$134:P233,"R")</f>
        <v>254.89999999999509</v>
      </c>
      <c r="BM232" s="343">
        <f>SUMIFS($AU$134:AU233,$AQ$134:AQ233,"M")</f>
        <v>0</v>
      </c>
      <c r="BN232" s="343">
        <f>SUMIFS($AU$134:AU233,$AQ$134:AQ233,"H")</f>
        <v>184.60000000001494</v>
      </c>
      <c r="BO232" s="343">
        <f>SUMIFS($AU$134:AU233,$AQ$134:AQ233,"D")</f>
        <v>1107.8</v>
      </c>
      <c r="BP232" s="343">
        <f>SUMIFS($AU$134:AU235,$AQ$134:AQ235,"W")</f>
        <v>451.99999999999994</v>
      </c>
      <c r="BQ232" s="343">
        <f>SUMIFS($AU$134:AU233,$Q$134:Q233,"O")</f>
        <v>-112.56000000003689</v>
      </c>
      <c r="BR232" s="343">
        <f>SUMIFS($AU$134:AU233,$AA$134:AA233,"*")</f>
        <v>1942.8999999999969</v>
      </c>
      <c r="BS232" s="343">
        <f>SUMIFS($AU$134:AU233,$AB$134:AB233,"*")</f>
        <v>550.13999999995133</v>
      </c>
      <c r="BT232" s="343">
        <f>SUMIFS($AU$134:AU233,$AC$134:AC233,"*")</f>
        <v>1035.4999999999998</v>
      </c>
      <c r="BU232" s="343">
        <f>SUMIFS($AU$134:AU233,$AA$134:AA233,"*",$AB$134:AB233,"*")</f>
        <v>567.39999999998474</v>
      </c>
      <c r="BV232" s="343">
        <f>SUMIFS($AU$134:AU233,$AA$134:AA233,"*",$AC$134:AC233,"*")</f>
        <v>1035.4999999999998</v>
      </c>
      <c r="BW232" s="343">
        <f>SUMIFS($AU$134:AU233,$AB$134:AB233,"*",$AC$134:AC233,"*")</f>
        <v>548.30000000000007</v>
      </c>
      <c r="BX232" s="343">
        <f>SUMIFS($AU233:AU$1388,$Q233:Q$1388,"F")</f>
        <v>14440.666666666668</v>
      </c>
      <c r="BY232" s="343">
        <f>SUMIFS($AU233:AU$1388,$Q233:Q$1388,"S")</f>
        <v>18496.842000000001</v>
      </c>
      <c r="BZ232" s="343">
        <f>SUMIFS($AU233:AU$1388,$Q233:Q$1388,"O")</f>
        <v>-1536.2979999997617</v>
      </c>
    </row>
    <row r="233" spans="1:78" ht="18" customHeight="1">
      <c r="A233" s="177" t="s">
        <v>1148</v>
      </c>
      <c r="B233" s="177">
        <v>44959</v>
      </c>
      <c r="C233" s="178" t="s">
        <v>1181</v>
      </c>
      <c r="D233" s="178" t="s">
        <v>93</v>
      </c>
      <c r="E233" s="227"/>
      <c r="F233" s="180"/>
      <c r="G233" s="271" t="s">
        <v>757</v>
      </c>
      <c r="H233" s="182"/>
      <c r="I233" s="182"/>
      <c r="J233" s="182"/>
      <c r="K233" s="183"/>
      <c r="L233" s="182">
        <v>1</v>
      </c>
      <c r="M233" s="182"/>
      <c r="N233" s="182"/>
      <c r="O233" s="183" t="s">
        <v>95</v>
      </c>
      <c r="P233" s="183" t="s">
        <v>96</v>
      </c>
      <c r="Q233" s="183" t="s">
        <v>97</v>
      </c>
      <c r="R233" s="183">
        <v>3</v>
      </c>
      <c r="S233" s="183">
        <v>3</v>
      </c>
      <c r="T233" s="183">
        <v>3</v>
      </c>
      <c r="U233" s="183" t="s">
        <v>22</v>
      </c>
      <c r="V233" s="183"/>
      <c r="W233" s="183"/>
      <c r="X233" s="183"/>
      <c r="Y233" s="184">
        <f t="shared" si="94"/>
        <v>0.01</v>
      </c>
      <c r="Z233" s="184">
        <f t="shared" si="95"/>
        <v>1700</v>
      </c>
      <c r="AA233" s="185" t="s">
        <v>1168</v>
      </c>
      <c r="AB233" s="184" t="s">
        <v>1182</v>
      </c>
      <c r="AC233" s="185" t="s">
        <v>1183</v>
      </c>
      <c r="AD233" s="649">
        <v>0.03</v>
      </c>
      <c r="AE233" s="182"/>
      <c r="AF233" s="332">
        <v>-1</v>
      </c>
      <c r="AG233" s="182"/>
      <c r="AH233" s="182">
        <v>4</v>
      </c>
      <c r="AI233" s="182"/>
      <c r="AJ233" s="640"/>
      <c r="AK233" s="182"/>
      <c r="AL233" s="496">
        <f t="shared" ref="AL233:AL235" si="101">-0.04*Z233</f>
        <v>-68</v>
      </c>
      <c r="AM233" s="496">
        <f t="shared" si="97"/>
        <v>-204</v>
      </c>
      <c r="AN233" s="626" t="s">
        <v>1170</v>
      </c>
      <c r="AO233" s="182"/>
      <c r="AP233" s="182" t="s">
        <v>1084</v>
      </c>
      <c r="AQ233" s="332" t="str">
        <f>UPPER(RIGHT(Journal_Live[[#This Row],[DURATION ]]))</f>
        <v>H</v>
      </c>
      <c r="AR233" s="229">
        <v>0.29166666666666669</v>
      </c>
      <c r="AS233" s="189">
        <v>0.01</v>
      </c>
      <c r="AT233" s="189">
        <f t="shared" si="98"/>
        <v>-1.9999999999999997E-2</v>
      </c>
      <c r="AU233" s="187">
        <f t="shared" si="99"/>
        <v>-101.99999999999997</v>
      </c>
      <c r="AV233" s="190">
        <f t="shared" si="100"/>
        <v>-33.999999999999993</v>
      </c>
      <c r="AW233" s="191" t="s">
        <v>229</v>
      </c>
      <c r="AX233" s="407" t="s">
        <v>1184</v>
      </c>
      <c r="AY233" s="407" t="s">
        <v>1185</v>
      </c>
      <c r="AZ233" s="407" t="s">
        <v>1186</v>
      </c>
      <c r="BA233" s="407"/>
      <c r="BB233" s="407"/>
      <c r="BC233" s="407"/>
      <c r="BD233" s="407"/>
      <c r="BE233" s="407"/>
      <c r="BF233" s="422"/>
      <c r="BG233" s="391">
        <f>SUM($AV$4:AV233)</f>
        <v>2263.974999999999</v>
      </c>
      <c r="BH233" s="392">
        <f>SUM($AU$134:AU233)</f>
        <v>2159.4399999999632</v>
      </c>
      <c r="BI233" s="318">
        <f>SUMIFS($AU$134:AU234,$Q$134:Q234,"F")</f>
        <v>0</v>
      </c>
      <c r="BJ233" s="318">
        <f>SUMIFS($AU$134:AU234,$Q$134:Q234,"S")</f>
        <v>2072.7999999999997</v>
      </c>
      <c r="BK233" s="343">
        <f>SUMIFS($AU$134:AU234,$P$134:P234,"W")</f>
        <v>1904.5399999999677</v>
      </c>
      <c r="BL233" s="343">
        <f>SUMIFS($AU$134:AU234,$P$134:P234,"R")</f>
        <v>254.89999999999509</v>
      </c>
      <c r="BM233" s="343">
        <f>SUMIFS($AU$134:AU234,$AQ$134:AQ234,"M")</f>
        <v>0</v>
      </c>
      <c r="BN233" s="343">
        <f>SUMIFS($AU$134:AU234,$AQ$134:AQ234,"H")</f>
        <v>184.60000000001494</v>
      </c>
      <c r="BO233" s="343">
        <f>SUMIFS($AU$134:AU234,$AQ$134:AQ234,"D")</f>
        <v>1107.8</v>
      </c>
      <c r="BP233" s="343">
        <f>SUMIFS($AU$134:AU236,$AQ$134:AQ236,"W")</f>
        <v>451.99999999999994</v>
      </c>
      <c r="BQ233" s="343">
        <f>SUMIFS($AU$134:AU234,$Q$134:Q234,"O")</f>
        <v>-112.56000000003689</v>
      </c>
      <c r="BR233" s="343">
        <f>SUMIFS($AU$134:AU234,$AA$134:AA234,"*")</f>
        <v>1942.8999999999969</v>
      </c>
      <c r="BS233" s="343">
        <f>SUMIFS($AU$134:AU234,$AB$134:AB234,"*")</f>
        <v>550.13999999995133</v>
      </c>
      <c r="BT233" s="343">
        <f>SUMIFS($AU$134:AU234,$AC$134:AC234,"*")</f>
        <v>1035.4999999999998</v>
      </c>
      <c r="BU233" s="343">
        <f>SUMIFS($AU$134:AU234,$AA$134:AA234,"*",$AB$134:AB234,"*")</f>
        <v>567.39999999998474</v>
      </c>
      <c r="BV233" s="343">
        <f>SUMIFS($AU$134:AU234,$AA$134:AA234,"*",$AC$134:AC234,"*")</f>
        <v>1035.4999999999998</v>
      </c>
      <c r="BW233" s="343">
        <f>SUMIFS($AU$134:AU234,$AB$134:AB234,"*",$AC$134:AC234,"*")</f>
        <v>548.30000000000007</v>
      </c>
      <c r="BX233" s="343">
        <f>SUMIFS($AU234:AU$1388,$Q234:Q$1388,"F")</f>
        <v>14440.666666666668</v>
      </c>
      <c r="BY233" s="343">
        <f>SUMIFS($AU234:AU$1388,$Q234:Q$1388,"S")</f>
        <v>18598.842000000001</v>
      </c>
      <c r="BZ233" s="343">
        <f>SUMIFS($AU234:AU$1388,$Q234:Q$1388,"O")</f>
        <v>-1536.2979999997617</v>
      </c>
    </row>
    <row r="234" spans="1:78" ht="18" customHeight="1">
      <c r="A234" s="177" t="s">
        <v>1148</v>
      </c>
      <c r="B234" s="177">
        <v>44959</v>
      </c>
      <c r="C234" s="178" t="s">
        <v>1187</v>
      </c>
      <c r="D234" s="178" t="s">
        <v>93</v>
      </c>
      <c r="E234" s="227"/>
      <c r="F234" s="180"/>
      <c r="G234" s="181" t="s">
        <v>435</v>
      </c>
      <c r="H234" s="182"/>
      <c r="I234" s="182"/>
      <c r="J234" s="182"/>
      <c r="K234" s="183"/>
      <c r="L234" s="182">
        <v>1</v>
      </c>
      <c r="M234" s="182"/>
      <c r="N234" s="182"/>
      <c r="O234" s="183" t="s">
        <v>95</v>
      </c>
      <c r="P234" s="183" t="s">
        <v>96</v>
      </c>
      <c r="Q234" s="183" t="s">
        <v>97</v>
      </c>
      <c r="R234" s="183">
        <v>2</v>
      </c>
      <c r="S234" s="183">
        <v>2</v>
      </c>
      <c r="T234" s="183">
        <v>2</v>
      </c>
      <c r="U234" s="183" t="s">
        <v>22</v>
      </c>
      <c r="V234" s="183"/>
      <c r="W234" s="183"/>
      <c r="X234" s="183"/>
      <c r="Y234" s="184">
        <f t="shared" si="94"/>
        <v>0.01</v>
      </c>
      <c r="Z234" s="184">
        <f t="shared" si="95"/>
        <v>1700</v>
      </c>
      <c r="AA234" s="185" t="s">
        <v>1188</v>
      </c>
      <c r="AB234" s="185"/>
      <c r="AC234" s="185"/>
      <c r="AD234" s="649">
        <v>0.2</v>
      </c>
      <c r="AE234" s="182"/>
      <c r="AF234" s="332">
        <v>16</v>
      </c>
      <c r="AG234" s="182"/>
      <c r="AH234" s="182" t="s">
        <v>1189</v>
      </c>
      <c r="AI234" s="182" t="s">
        <v>1190</v>
      </c>
      <c r="AJ234" s="640"/>
      <c r="AK234" s="182"/>
      <c r="AL234" s="496">
        <f t="shared" si="101"/>
        <v>-68</v>
      </c>
      <c r="AM234" s="496">
        <f t="shared" si="97"/>
        <v>-136</v>
      </c>
      <c r="AN234" s="626"/>
      <c r="AO234" s="182"/>
      <c r="AP234" s="182"/>
      <c r="AQ234" s="332" t="str">
        <f>UPPER(RIGHT(Journal_Live[[#This Row],[DURATION ]]))</f>
        <v/>
      </c>
      <c r="AR234" s="182" t="s">
        <v>1191</v>
      </c>
      <c r="AS234" s="189">
        <v>0.2</v>
      </c>
      <c r="AT234" s="189">
        <f t="shared" si="98"/>
        <v>0</v>
      </c>
      <c r="AU234" s="187">
        <f t="shared" si="99"/>
        <v>0</v>
      </c>
      <c r="AV234" s="190">
        <f t="shared" si="100"/>
        <v>0</v>
      </c>
      <c r="AW234" s="191" t="s">
        <v>115</v>
      </c>
      <c r="AX234" s="407"/>
      <c r="AY234" s="407"/>
      <c r="AZ234" s="407"/>
      <c r="BA234" s="407"/>
      <c r="BB234" s="407"/>
      <c r="BC234" s="407"/>
      <c r="BD234" s="407"/>
      <c r="BE234" s="407"/>
      <c r="BF234" s="422"/>
      <c r="BG234" s="391">
        <f>SUM($AV$4:AV234)</f>
        <v>2263.974999999999</v>
      </c>
      <c r="BH234" s="392">
        <f>SUM($AU$134:AU234)</f>
        <v>2159.4399999999632</v>
      </c>
      <c r="BI234" s="318">
        <f>SUMIFS($AU$134:AU235,$Q$134:Q235,"F")</f>
        <v>0</v>
      </c>
      <c r="BJ234" s="318">
        <f>SUMIFS($AU$134:AU235,$Q$134:Q235,"S")</f>
        <v>2157.7999999999997</v>
      </c>
      <c r="BK234" s="343">
        <f>SUMIFS($AU$134:AU235,$P$134:P235,"W")</f>
        <v>1989.5399999999677</v>
      </c>
      <c r="BL234" s="343">
        <f>SUMIFS($AU$134:AU235,$P$134:P235,"R")</f>
        <v>254.89999999999509</v>
      </c>
      <c r="BM234" s="343">
        <f>SUMIFS($AU$134:AU235,$AQ$134:AQ235,"M")</f>
        <v>0</v>
      </c>
      <c r="BN234" s="343">
        <f>SUMIFS($AU$134:AU235,$AQ$134:AQ235,"H")</f>
        <v>184.60000000001494</v>
      </c>
      <c r="BO234" s="343">
        <f>SUMIFS($AU$134:AU235,$AQ$134:AQ235,"D")</f>
        <v>1192.8</v>
      </c>
      <c r="BP234" s="343">
        <f>SUMIFS($AU$134:AU237,$AQ$134:AQ237,"W")</f>
        <v>451.99999999999994</v>
      </c>
      <c r="BQ234" s="343">
        <f>SUMIFS($AU$134:AU235,$Q$134:Q235,"O")</f>
        <v>-112.56000000003689</v>
      </c>
      <c r="BR234" s="343">
        <f>SUMIFS($AU$134:AU235,$AA$134:AA235,"*")</f>
        <v>2027.8999999999969</v>
      </c>
      <c r="BS234" s="343">
        <f>SUMIFS($AU$134:AU235,$AB$134:AB235,"*")</f>
        <v>635.13999999995133</v>
      </c>
      <c r="BT234" s="343">
        <f>SUMIFS($AU$134:AU235,$AC$134:AC235,"*")</f>
        <v>1035.4999999999998</v>
      </c>
      <c r="BU234" s="343">
        <f>SUMIFS($AU$134:AU235,$AA$134:AA235,"*",$AB$134:AB235,"*")</f>
        <v>652.39999999998474</v>
      </c>
      <c r="BV234" s="343">
        <f>SUMIFS($AU$134:AU235,$AA$134:AA235,"*",$AC$134:AC235,"*")</f>
        <v>1035.4999999999998</v>
      </c>
      <c r="BW234" s="343">
        <f>SUMIFS($AU$134:AU235,$AB$134:AB235,"*",$AC$134:AC235,"*")</f>
        <v>548.30000000000007</v>
      </c>
      <c r="BX234" s="343">
        <f>SUMIFS($AU235:AU$1388,$Q235:Q$1388,"F")</f>
        <v>14440.666666666668</v>
      </c>
      <c r="BY234" s="343">
        <f>SUMIFS($AU235:AU$1388,$Q235:Q$1388,"S")</f>
        <v>18598.842000000001</v>
      </c>
      <c r="BZ234" s="343">
        <f>SUMIFS($AU235:AU$1388,$Q235:Q$1388,"O")</f>
        <v>-1536.2979999997617</v>
      </c>
    </row>
    <row r="235" spans="1:78" ht="18" customHeight="1">
      <c r="A235" s="221" t="s">
        <v>1148</v>
      </c>
      <c r="B235" s="177">
        <v>44959</v>
      </c>
      <c r="C235" s="178" t="s">
        <v>1187</v>
      </c>
      <c r="D235" s="178" t="s">
        <v>93</v>
      </c>
      <c r="E235" s="227"/>
      <c r="F235" s="180"/>
      <c r="G235" s="269" t="s">
        <v>133</v>
      </c>
      <c r="H235" s="182"/>
      <c r="I235" s="182"/>
      <c r="J235" s="182"/>
      <c r="K235" s="183"/>
      <c r="L235" s="182">
        <v>1</v>
      </c>
      <c r="M235" s="182"/>
      <c r="N235" s="182"/>
      <c r="O235" s="183" t="s">
        <v>95</v>
      </c>
      <c r="P235" s="183" t="s">
        <v>96</v>
      </c>
      <c r="Q235" s="183" t="s">
        <v>97</v>
      </c>
      <c r="R235" s="183">
        <v>5</v>
      </c>
      <c r="S235" s="183">
        <v>5</v>
      </c>
      <c r="T235" s="183">
        <v>5</v>
      </c>
      <c r="U235" s="183" t="s">
        <v>22</v>
      </c>
      <c r="V235" s="183"/>
      <c r="W235" s="183"/>
      <c r="X235" s="183"/>
      <c r="Y235" s="184">
        <f t="shared" si="94"/>
        <v>0.01</v>
      </c>
      <c r="Z235" s="184">
        <f t="shared" si="95"/>
        <v>1700</v>
      </c>
      <c r="AA235" s="185" t="s">
        <v>1192</v>
      </c>
      <c r="AB235" s="185" t="s">
        <v>1193</v>
      </c>
      <c r="AC235" s="185"/>
      <c r="AD235" s="649">
        <v>-0.05</v>
      </c>
      <c r="AE235" s="182"/>
      <c r="AF235" s="332">
        <v>-8</v>
      </c>
      <c r="AG235" s="182"/>
      <c r="AH235" s="182" t="s">
        <v>1194</v>
      </c>
      <c r="AI235" s="182"/>
      <c r="AJ235" s="640"/>
      <c r="AK235" s="182"/>
      <c r="AL235" s="496">
        <f t="shared" si="101"/>
        <v>-68</v>
      </c>
      <c r="AM235" s="496">
        <f t="shared" si="97"/>
        <v>-340</v>
      </c>
      <c r="AN235" s="626"/>
      <c r="AO235" s="182"/>
      <c r="AP235" s="182" t="s">
        <v>804</v>
      </c>
      <c r="AQ235" s="332" t="str">
        <f>UPPER(RIGHT(Journal_Live[[#This Row],[DURATION ]]))</f>
        <v>D</v>
      </c>
      <c r="AR235" s="195">
        <v>44960.833333333336</v>
      </c>
      <c r="AS235" s="189">
        <v>-0.04</v>
      </c>
      <c r="AT235" s="189">
        <f t="shared" si="98"/>
        <v>1.0000000000000002E-2</v>
      </c>
      <c r="AU235" s="187">
        <f t="shared" si="99"/>
        <v>85.000000000000014</v>
      </c>
      <c r="AV235" s="190">
        <f t="shared" si="100"/>
        <v>17.000000000000004</v>
      </c>
      <c r="AW235" s="191" t="s">
        <v>96</v>
      </c>
      <c r="AX235" s="407" t="s">
        <v>1195</v>
      </c>
      <c r="AY235" s="407" t="s">
        <v>1196</v>
      </c>
      <c r="AZ235" s="407"/>
      <c r="BA235" s="407"/>
      <c r="BB235" s="407"/>
      <c r="BC235" s="407"/>
      <c r="BD235" s="407"/>
      <c r="BE235" s="407"/>
      <c r="BF235" s="422"/>
      <c r="BG235" s="391">
        <f>SUM($AV$4:AV235)</f>
        <v>2280.974999999999</v>
      </c>
      <c r="BH235" s="392">
        <f>SUM($AU$134:AU235)</f>
        <v>2244.4399999999632</v>
      </c>
      <c r="BI235" s="318">
        <f>SUMIFS($AU$134:AU236,$Q$134:Q236,"F")</f>
        <v>0</v>
      </c>
      <c r="BJ235" s="318">
        <f>SUMIFS($AU$134:AU236,$Q$134:Q236,"S")</f>
        <v>2157.7999999999997</v>
      </c>
      <c r="BK235" s="343">
        <f>SUMIFS($AU$134:AU236,$P$134:P236,"W")</f>
        <v>1989.5399999999677</v>
      </c>
      <c r="BL235" s="343">
        <f>SUMIFS($AU$134:AU236,$P$134:P236,"R")</f>
        <v>254.89999999999509</v>
      </c>
      <c r="BM235" s="343">
        <f>SUMIFS($AU$134:AU236,$AQ$134:AQ236,"M")</f>
        <v>0</v>
      </c>
      <c r="BN235" s="343">
        <f>SUMIFS($AU$134:AU236,$AQ$134:AQ236,"H")</f>
        <v>184.60000000001494</v>
      </c>
      <c r="BO235" s="343">
        <f>SUMIFS($AU$134:AU236,$AQ$134:AQ236,"D")</f>
        <v>1192.8</v>
      </c>
      <c r="BP235" s="343">
        <f>SUMIFS($AU$134:AU238,$AQ$134:AQ238,"W")</f>
        <v>451.99999999999994</v>
      </c>
      <c r="BQ235" s="343">
        <f>SUMIFS($AU$134:AU236,$Q$134:Q236,"O")</f>
        <v>-112.56000000003689</v>
      </c>
      <c r="BR235" s="343">
        <f>SUMIFS($AU$134:AU236,$AA$134:AA236,"*")</f>
        <v>2027.8999999999969</v>
      </c>
      <c r="BS235" s="343">
        <f>SUMIFS($AU$134:AU236,$AB$134:AB236,"*")</f>
        <v>635.13999999995133</v>
      </c>
      <c r="BT235" s="343">
        <f>SUMIFS($AU$134:AU236,$AC$134:AC236,"*")</f>
        <v>1035.4999999999998</v>
      </c>
      <c r="BU235" s="343">
        <f>SUMIFS($AU$134:AU236,$AA$134:AA236,"*",$AB$134:AB236,"*")</f>
        <v>652.39999999998474</v>
      </c>
      <c r="BV235" s="343">
        <f>SUMIFS($AU$134:AU236,$AA$134:AA236,"*",$AC$134:AC236,"*")</f>
        <v>1035.4999999999998</v>
      </c>
      <c r="BW235" s="343">
        <f>SUMIFS($AU$134:AU236,$AB$134:AB236,"*",$AC$134:AC236,"*")</f>
        <v>548.30000000000007</v>
      </c>
      <c r="BX235" s="343">
        <f>SUMIFS($AU236:AU$1388,$Q236:Q$1388,"F")</f>
        <v>14440.666666666668</v>
      </c>
      <c r="BY235" s="343">
        <f>SUMIFS($AU236:AU$1388,$Q236:Q$1388,"S")</f>
        <v>18513.842000000001</v>
      </c>
      <c r="BZ235" s="343">
        <f>SUMIFS($AU236:AU$1388,$Q236:Q$1388,"O")</f>
        <v>-1536.2979999997617</v>
      </c>
    </row>
    <row r="236" spans="1:78" ht="18" customHeight="1">
      <c r="A236" s="177" t="s">
        <v>1148</v>
      </c>
      <c r="B236" s="177">
        <v>44959</v>
      </c>
      <c r="C236" s="194">
        <v>0.95833333333333337</v>
      </c>
      <c r="D236" s="178" t="s">
        <v>93</v>
      </c>
      <c r="E236" s="227"/>
      <c r="F236" s="180"/>
      <c r="G236" s="181" t="s">
        <v>757</v>
      </c>
      <c r="H236" s="182"/>
      <c r="I236" s="182"/>
      <c r="J236" s="182"/>
      <c r="K236" s="183"/>
      <c r="L236" s="182">
        <v>1</v>
      </c>
      <c r="M236" s="182"/>
      <c r="N236" s="182"/>
      <c r="O236" s="183" t="s">
        <v>95</v>
      </c>
      <c r="P236" s="183" t="s">
        <v>96</v>
      </c>
      <c r="Q236" s="183" t="s">
        <v>97</v>
      </c>
      <c r="R236" s="183">
        <v>4</v>
      </c>
      <c r="S236" s="183">
        <v>4</v>
      </c>
      <c r="T236" s="183">
        <v>4</v>
      </c>
      <c r="U236" s="183" t="s">
        <v>22</v>
      </c>
      <c r="V236" s="183"/>
      <c r="W236" s="183"/>
      <c r="X236" s="183"/>
      <c r="Y236" s="184">
        <f t="shared" si="94"/>
        <v>0.01</v>
      </c>
      <c r="Z236" s="184">
        <f t="shared" si="95"/>
        <v>1700</v>
      </c>
      <c r="AA236" s="185" t="s">
        <v>1168</v>
      </c>
      <c r="AB236" s="185"/>
      <c r="AC236" s="185"/>
      <c r="AD236" s="649">
        <v>0.02</v>
      </c>
      <c r="AE236" s="182"/>
      <c r="AF236" s="332">
        <v>-1</v>
      </c>
      <c r="AG236" s="182"/>
      <c r="AH236" s="182">
        <v>4</v>
      </c>
      <c r="AI236" s="182"/>
      <c r="AJ236" s="640"/>
      <c r="AK236" s="182"/>
      <c r="AL236" s="496">
        <f>-0.03*Z236</f>
        <v>-51</v>
      </c>
      <c r="AM236" s="496">
        <f t="shared" si="97"/>
        <v>-204</v>
      </c>
      <c r="AN236" s="626" t="s">
        <v>1164</v>
      </c>
      <c r="AO236" s="182"/>
      <c r="AP236" s="182" t="s">
        <v>846</v>
      </c>
      <c r="AQ236" s="332" t="str">
        <f>UPPER(RIGHT(Journal_Live[[#This Row],[DURATION ]]))</f>
        <v>H</v>
      </c>
      <c r="AR236" s="182" t="s">
        <v>1197</v>
      </c>
      <c r="AS236" s="189">
        <v>0.02</v>
      </c>
      <c r="AT236" s="189">
        <f t="shared" si="98"/>
        <v>0</v>
      </c>
      <c r="AU236" s="187">
        <f t="shared" si="99"/>
        <v>0</v>
      </c>
      <c r="AV236" s="190">
        <f t="shared" si="100"/>
        <v>0</v>
      </c>
      <c r="AW236" s="191" t="s">
        <v>115</v>
      </c>
      <c r="AX236" s="407" t="s">
        <v>1198</v>
      </c>
      <c r="AY236" s="407" t="s">
        <v>1199</v>
      </c>
      <c r="AZ236" s="407"/>
      <c r="BA236" s="407"/>
      <c r="BB236" s="407"/>
      <c r="BC236" s="407"/>
      <c r="BD236" s="407"/>
      <c r="BE236" s="407"/>
      <c r="BF236" s="422"/>
      <c r="BG236" s="391">
        <f>SUM($AV$4:AV236)</f>
        <v>2280.974999999999</v>
      </c>
      <c r="BH236" s="392">
        <f>SUM($AU$134:AU236)</f>
        <v>2244.4399999999632</v>
      </c>
      <c r="BI236" s="318">
        <f>SUMIFS($AU$134:AU237,$Q$134:Q237,"F")</f>
        <v>0</v>
      </c>
      <c r="BJ236" s="318">
        <f>SUMIFS($AU$134:AU237,$Q$134:Q237,"S")</f>
        <v>2157.7999999999997</v>
      </c>
      <c r="BK236" s="343">
        <f>SUMIFS($AU$134:AU237,$P$134:P237,"W")</f>
        <v>1989.5399999999677</v>
      </c>
      <c r="BL236" s="343">
        <f>SUMIFS($AU$134:AU237,$P$134:P237,"R")</f>
        <v>254.89999999999509</v>
      </c>
      <c r="BM236" s="343">
        <f>SUMIFS($AU$134:AU237,$AQ$134:AQ237,"M")</f>
        <v>0</v>
      </c>
      <c r="BN236" s="343">
        <f>SUMIFS($AU$134:AU237,$AQ$134:AQ237,"H")</f>
        <v>184.60000000001494</v>
      </c>
      <c r="BO236" s="343">
        <f>SUMIFS($AU$134:AU237,$AQ$134:AQ237,"D")</f>
        <v>1192.8</v>
      </c>
      <c r="BP236" s="343">
        <f>SUMIFS($AU$134:AU239,$AQ$134:AQ239,"W")</f>
        <v>451.99999999999994</v>
      </c>
      <c r="BQ236" s="343">
        <f>SUMIFS($AU$134:AU237,$Q$134:Q237,"O")</f>
        <v>-112.56000000003689</v>
      </c>
      <c r="BR236" s="343">
        <f>SUMIFS($AU$134:AU237,$AA$134:AA237,"*")</f>
        <v>2027.8999999999969</v>
      </c>
      <c r="BS236" s="343">
        <f>SUMIFS($AU$134:AU237,$AB$134:AB237,"*")</f>
        <v>635.13999999995133</v>
      </c>
      <c r="BT236" s="343">
        <f>SUMIFS($AU$134:AU237,$AC$134:AC237,"*")</f>
        <v>1035.4999999999998</v>
      </c>
      <c r="BU236" s="343">
        <f>SUMIFS($AU$134:AU237,$AA$134:AA237,"*",$AB$134:AB237,"*")</f>
        <v>652.39999999998474</v>
      </c>
      <c r="BV236" s="343">
        <f>SUMIFS($AU$134:AU237,$AA$134:AA237,"*",$AC$134:AC237,"*")</f>
        <v>1035.4999999999998</v>
      </c>
      <c r="BW236" s="343">
        <f>SUMIFS($AU$134:AU237,$AB$134:AB237,"*",$AC$134:AC237,"*")</f>
        <v>548.30000000000007</v>
      </c>
      <c r="BX236" s="343">
        <f>SUMIFS($AU237:AU$1388,$Q237:Q$1388,"F")</f>
        <v>14440.666666666668</v>
      </c>
      <c r="BY236" s="343">
        <f>SUMIFS($AU237:AU$1388,$Q237:Q$1388,"S")</f>
        <v>18513.842000000001</v>
      </c>
      <c r="BZ236" s="343">
        <f>SUMIFS($AU237:AU$1388,$Q237:Q$1388,"O")</f>
        <v>-1536.2979999997617</v>
      </c>
    </row>
    <row r="237" spans="1:78" ht="18" customHeight="1">
      <c r="A237" s="177" t="s">
        <v>1148</v>
      </c>
      <c r="B237" s="177">
        <v>44960</v>
      </c>
      <c r="C237" s="194">
        <v>0.79166666666666663</v>
      </c>
      <c r="D237" s="178" t="s">
        <v>111</v>
      </c>
      <c r="E237" s="227" t="s">
        <v>1200</v>
      </c>
      <c r="F237" s="180" t="s">
        <v>1201</v>
      </c>
      <c r="G237" s="181"/>
      <c r="H237" s="182">
        <v>1</v>
      </c>
      <c r="I237" s="182"/>
      <c r="J237" s="182"/>
      <c r="K237" s="183" t="s">
        <v>372</v>
      </c>
      <c r="L237" s="182"/>
      <c r="M237" s="182"/>
      <c r="N237" s="182"/>
      <c r="O237" s="183"/>
      <c r="P237" s="183"/>
      <c r="Q237" s="183"/>
      <c r="R237" s="183"/>
      <c r="S237" s="183"/>
      <c r="T237" s="183"/>
      <c r="U237" s="183"/>
      <c r="V237" s="183"/>
      <c r="W237" s="183"/>
      <c r="X237" s="183"/>
      <c r="Y237" s="184"/>
      <c r="Z237" s="184"/>
      <c r="AA237" s="185"/>
      <c r="AB237" s="185"/>
      <c r="AC237" s="185"/>
      <c r="AD237" s="649"/>
      <c r="AE237" s="182"/>
      <c r="AF237" s="332"/>
      <c r="AG237" s="182"/>
      <c r="AH237" s="182"/>
      <c r="AI237" s="182"/>
      <c r="AJ237" s="640"/>
      <c r="AK237" s="182"/>
      <c r="AL237" s="496"/>
      <c r="AM237" s="497"/>
      <c r="AN237" s="626"/>
      <c r="AO237" s="182"/>
      <c r="AP237" s="182"/>
      <c r="AQ237" s="332" t="str">
        <f>UPPER(RIGHT(Journal_Live[[#This Row],[DURATION ]]))</f>
        <v/>
      </c>
      <c r="AR237" s="182"/>
      <c r="AS237" s="189"/>
      <c r="AT237" s="182"/>
      <c r="AU237" s="187"/>
      <c r="AV237" s="190"/>
      <c r="AW237" s="191"/>
      <c r="AX237" s="407"/>
      <c r="AY237" s="407"/>
      <c r="AZ237" s="407"/>
      <c r="BA237" s="407"/>
      <c r="BB237" s="407"/>
      <c r="BC237" s="407"/>
      <c r="BD237" s="407"/>
      <c r="BE237" s="407"/>
      <c r="BF237" s="422"/>
      <c r="BG237" s="391">
        <f>SUM($AV$4:AV237)</f>
        <v>2280.974999999999</v>
      </c>
      <c r="BH237" s="392">
        <f>SUM($AU$134:AU237)</f>
        <v>2244.4399999999632</v>
      </c>
      <c r="BI237" s="318">
        <f>SUMIFS($AU$134:AU238,$Q$134:Q238,"F")</f>
        <v>0</v>
      </c>
      <c r="BJ237" s="318">
        <f>SUMIFS($AU$134:AU238,$Q$134:Q238,"S")</f>
        <v>2157.7999999999997</v>
      </c>
      <c r="BK237" s="343">
        <f>SUMIFS($AU$134:AU238,$P$134:P238,"W")</f>
        <v>1989.5399999999677</v>
      </c>
      <c r="BL237" s="343">
        <f>SUMIFS($AU$134:AU238,$P$134:P238,"R")</f>
        <v>254.89999999999509</v>
      </c>
      <c r="BM237" s="343">
        <f>SUMIFS($AU$134:AU238,$AQ$134:AQ238,"M")</f>
        <v>0</v>
      </c>
      <c r="BN237" s="343">
        <f>SUMIFS($AU$134:AU238,$AQ$134:AQ238,"H")</f>
        <v>184.60000000001494</v>
      </c>
      <c r="BO237" s="343">
        <f>SUMIFS($AU$134:AU238,$AQ$134:AQ238,"D")</f>
        <v>1192.8</v>
      </c>
      <c r="BP237" s="343">
        <f>SUMIFS($AU$134:AU240,$AQ$134:AQ240,"W")</f>
        <v>451.99999999999994</v>
      </c>
      <c r="BQ237" s="343">
        <f>SUMIFS($AU$134:AU238,$Q$134:Q238,"O")</f>
        <v>-112.56000000003689</v>
      </c>
      <c r="BR237" s="343">
        <f>SUMIFS($AU$134:AU238,$AA$134:AA238,"*")</f>
        <v>2027.8999999999969</v>
      </c>
      <c r="BS237" s="343">
        <f>SUMIFS($AU$134:AU238,$AB$134:AB238,"*")</f>
        <v>635.13999999995133</v>
      </c>
      <c r="BT237" s="343">
        <f>SUMIFS($AU$134:AU238,$AC$134:AC238,"*")</f>
        <v>1035.4999999999998</v>
      </c>
      <c r="BU237" s="343">
        <f>SUMIFS($AU$134:AU238,$AA$134:AA238,"*",$AB$134:AB238,"*")</f>
        <v>652.39999999998474</v>
      </c>
      <c r="BV237" s="343">
        <f>SUMIFS($AU$134:AU238,$AA$134:AA238,"*",$AC$134:AC238,"*")</f>
        <v>1035.4999999999998</v>
      </c>
      <c r="BW237" s="343">
        <f>SUMIFS($AU$134:AU238,$AB$134:AB238,"*",$AC$134:AC238,"*")</f>
        <v>548.30000000000007</v>
      </c>
      <c r="BX237" s="343">
        <f>SUMIFS($AU238:AU$1388,$Q238:Q$1388,"F")</f>
        <v>14440.666666666668</v>
      </c>
      <c r="BY237" s="343">
        <f>SUMIFS($AU238:AU$1388,$Q238:Q$1388,"S")</f>
        <v>18513.842000000001</v>
      </c>
      <c r="BZ237" s="343">
        <f>SUMIFS($AU238:AU$1388,$Q238:Q$1388,"O")</f>
        <v>-1536.2979999997617</v>
      </c>
    </row>
    <row r="238" spans="1:78" ht="18" customHeight="1">
      <c r="A238" s="221" t="s">
        <v>1148</v>
      </c>
      <c r="B238" s="177"/>
      <c r="C238" s="178"/>
      <c r="D238" s="178"/>
      <c r="E238" s="227" t="s">
        <v>1202</v>
      </c>
      <c r="F238" s="180"/>
      <c r="G238" s="181"/>
      <c r="H238" s="182"/>
      <c r="I238" s="182"/>
      <c r="J238" s="182">
        <v>1</v>
      </c>
      <c r="K238" s="183" t="s">
        <v>372</v>
      </c>
      <c r="L238" s="182"/>
      <c r="M238" s="182"/>
      <c r="N238" s="182"/>
      <c r="O238" s="183"/>
      <c r="P238" s="183"/>
      <c r="Q238" s="183"/>
      <c r="R238" s="183"/>
      <c r="S238" s="183"/>
      <c r="T238" s="183"/>
      <c r="U238" s="183"/>
      <c r="V238" s="183"/>
      <c r="W238" s="183"/>
      <c r="X238" s="183"/>
      <c r="Y238" s="184"/>
      <c r="Z238" s="184"/>
      <c r="AA238" s="185"/>
      <c r="AB238" s="185"/>
      <c r="AC238" s="185"/>
      <c r="AD238" s="649"/>
      <c r="AE238" s="182"/>
      <c r="AF238" s="332"/>
      <c r="AG238" s="182"/>
      <c r="AH238" s="182"/>
      <c r="AI238" s="182"/>
      <c r="AJ238" s="640"/>
      <c r="AK238" s="182"/>
      <c r="AL238" s="496"/>
      <c r="AM238" s="497"/>
      <c r="AN238" s="626"/>
      <c r="AO238" s="182"/>
      <c r="AP238" s="182"/>
      <c r="AQ238" s="332" t="str">
        <f>UPPER(RIGHT(Journal_Live[[#This Row],[DURATION ]]))</f>
        <v/>
      </c>
      <c r="AR238" s="182"/>
      <c r="AS238" s="189"/>
      <c r="AT238" s="182"/>
      <c r="AU238" s="187"/>
      <c r="AV238" s="190"/>
      <c r="AW238" s="191"/>
      <c r="AX238" s="407"/>
      <c r="AY238" s="407"/>
      <c r="AZ238" s="407"/>
      <c r="BA238" s="407"/>
      <c r="BB238" s="407"/>
      <c r="BC238" s="407"/>
      <c r="BD238" s="407"/>
      <c r="BE238" s="407"/>
      <c r="BF238" s="422"/>
      <c r="BG238" s="391">
        <f>SUM($AV$4:AV238)</f>
        <v>2280.974999999999</v>
      </c>
      <c r="BH238" s="392">
        <f>SUM($AU$134:AU238)</f>
        <v>2244.4399999999632</v>
      </c>
      <c r="BI238" s="318">
        <f>SUMIFS($AU$134:AU239,$Q$134:Q239,"F")</f>
        <v>0</v>
      </c>
      <c r="BJ238" s="318">
        <f>SUMIFS($AU$134:AU239,$Q$134:Q239,"S")</f>
        <v>2157.7999999999997</v>
      </c>
      <c r="BK238" s="343">
        <f>SUMIFS($AU$134:AU239,$P$134:P239,"W")</f>
        <v>1989.5399999999677</v>
      </c>
      <c r="BL238" s="343">
        <f>SUMIFS($AU$134:AU239,$P$134:P239,"R")</f>
        <v>271.90000000000379</v>
      </c>
      <c r="BM238" s="343">
        <f>SUMIFS($AU$134:AU239,$AQ$134:AQ239,"M")</f>
        <v>0</v>
      </c>
      <c r="BN238" s="343">
        <f>SUMIFS($AU$134:AU239,$AQ$134:AQ239,"H")</f>
        <v>184.60000000001494</v>
      </c>
      <c r="BO238" s="343">
        <f>SUMIFS($AU$134:AU239,$AQ$134:AQ239,"D")</f>
        <v>1192.8</v>
      </c>
      <c r="BP238" s="343">
        <f>SUMIFS($AU$134:AU241,$AQ$134:AQ241,"W")</f>
        <v>451.99999999999994</v>
      </c>
      <c r="BQ238" s="343">
        <f>SUMIFS($AU$134:AU239,$Q$134:Q239,"O")</f>
        <v>-95.560000000028197</v>
      </c>
      <c r="BR238" s="343">
        <f>SUMIFS($AU$134:AU239,$AA$134:AA239,"*")</f>
        <v>2044.9000000000055</v>
      </c>
      <c r="BS238" s="343">
        <f>SUMIFS($AU$134:AU239,$AB$134:AB239,"*")</f>
        <v>635.13999999995133</v>
      </c>
      <c r="BT238" s="343">
        <f>SUMIFS($AU$134:AU239,$AC$134:AC239,"*")</f>
        <v>1035.4999999999998</v>
      </c>
      <c r="BU238" s="343">
        <f>SUMIFS($AU$134:AU239,$AA$134:AA239,"*",$AB$134:AB239,"*")</f>
        <v>652.39999999998474</v>
      </c>
      <c r="BV238" s="343">
        <f>SUMIFS($AU$134:AU239,$AA$134:AA239,"*",$AC$134:AC239,"*")</f>
        <v>1035.4999999999998</v>
      </c>
      <c r="BW238" s="343">
        <f>SUMIFS($AU$134:AU239,$AB$134:AB239,"*",$AC$134:AC239,"*")</f>
        <v>548.30000000000007</v>
      </c>
      <c r="BX238" s="343">
        <f>SUMIFS($AU239:AU$1388,$Q239:Q$1388,"F")</f>
        <v>14440.666666666668</v>
      </c>
      <c r="BY238" s="343">
        <f>SUMIFS($AU239:AU$1388,$Q239:Q$1388,"S")</f>
        <v>18513.842000000001</v>
      </c>
      <c r="BZ238" s="343">
        <f>SUMIFS($AU239:AU$1388,$Q239:Q$1388,"O")</f>
        <v>-1536.2979999997617</v>
      </c>
    </row>
    <row r="239" spans="1:78" ht="18" customHeight="1">
      <c r="A239" s="177" t="s">
        <v>1148</v>
      </c>
      <c r="B239" s="177">
        <v>44960</v>
      </c>
      <c r="C239" s="178" t="s">
        <v>682</v>
      </c>
      <c r="D239" s="178" t="s">
        <v>111</v>
      </c>
      <c r="E239" s="227"/>
      <c r="F239" s="180"/>
      <c r="G239" s="181" t="s">
        <v>1203</v>
      </c>
      <c r="H239" s="182"/>
      <c r="I239" s="182"/>
      <c r="J239" s="182"/>
      <c r="K239" s="183"/>
      <c r="L239" s="182">
        <v>1</v>
      </c>
      <c r="M239" s="182"/>
      <c r="N239" s="182"/>
      <c r="O239" s="183" t="s">
        <v>95</v>
      </c>
      <c r="P239" s="183" t="s">
        <v>137</v>
      </c>
      <c r="Q239" s="183" t="s">
        <v>684</v>
      </c>
      <c r="R239" s="183">
        <v>1</v>
      </c>
      <c r="S239" s="183">
        <v>1</v>
      </c>
      <c r="T239" s="183">
        <v>1</v>
      </c>
      <c r="U239" s="183" t="s">
        <v>97</v>
      </c>
      <c r="V239" s="183"/>
      <c r="W239" s="183"/>
      <c r="X239" s="183"/>
      <c r="Y239" s="184">
        <f>IF(ISBLANK(O239),,(IF(O239=UPPER("IB"),0.005,0.01)))</f>
        <v>0.01</v>
      </c>
      <c r="Z239" s="184">
        <f>IF(ISBLANK(O239),,IF(O239=UPPER("IB"),8.63*200,17*100))</f>
        <v>1700</v>
      </c>
      <c r="AA239" s="185" t="s">
        <v>1204</v>
      </c>
      <c r="AB239" s="185"/>
      <c r="AC239" s="185"/>
      <c r="AD239" s="649">
        <v>96.54</v>
      </c>
      <c r="AE239" s="182"/>
      <c r="AF239" s="332"/>
      <c r="AG239" s="182"/>
      <c r="AH239" s="182"/>
      <c r="AI239" s="182"/>
      <c r="AJ239" s="640"/>
      <c r="AK239" s="182"/>
      <c r="AL239" s="496"/>
      <c r="AM239" s="497"/>
      <c r="AN239" s="626"/>
      <c r="AO239" s="182"/>
      <c r="AP239" s="182" t="s">
        <v>1141</v>
      </c>
      <c r="AQ239" s="332" t="str">
        <f>UPPER(RIGHT(Journal_Live[[#This Row],[DURATION ]]))</f>
        <v>S</v>
      </c>
      <c r="AR239" s="182" t="s">
        <v>1205</v>
      </c>
      <c r="AS239" s="189">
        <v>96.53</v>
      </c>
      <c r="AT239" s="189">
        <f t="shared" ref="AT239:AT244" si="102">IF(ISBLANK(AS239),,IF(U239="S",AD239-AS239,AS239-AD239))</f>
        <v>1.0000000000005116E-2</v>
      </c>
      <c r="AU239" s="187">
        <f t="shared" ref="AU239:AU244" si="103">AV239*R239</f>
        <v>17.000000000008697</v>
      </c>
      <c r="AV239" s="190">
        <f t="shared" ref="AV239:AV244" si="104">IF(ISBLANK(AS239),,(AT239*Z239))</f>
        <v>17.000000000008697</v>
      </c>
      <c r="AW239" s="191" t="s">
        <v>96</v>
      </c>
      <c r="AX239" s="407" t="s">
        <v>1206</v>
      </c>
      <c r="AY239" s="407"/>
      <c r="AZ239" s="407"/>
      <c r="BA239" s="407"/>
      <c r="BB239" s="407"/>
      <c r="BC239" s="407"/>
      <c r="BD239" s="407"/>
      <c r="BE239" s="407"/>
      <c r="BF239" s="422"/>
      <c r="BG239" s="391">
        <f>SUM($AV$4:AV239)</f>
        <v>2297.9750000000076</v>
      </c>
      <c r="BH239" s="392">
        <f>SUM($AU$134:AU239)</f>
        <v>2261.4399999999719</v>
      </c>
      <c r="BI239" s="318">
        <f>SUMIFS($AU$134:AU240,$Q$134:Q240,"F")</f>
        <v>0</v>
      </c>
      <c r="BJ239" s="318">
        <f>SUMIFS($AU$134:AU240,$Q$134:Q240,"S")</f>
        <v>2157.7999999999997</v>
      </c>
      <c r="BK239" s="343">
        <f>SUMIFS($AU$134:AU240,$P$134:P240,"W")</f>
        <v>1989.5399999999677</v>
      </c>
      <c r="BL239" s="343">
        <f>SUMIFS($AU$134:AU240,$P$134:P240,"R")</f>
        <v>305.89999999999702</v>
      </c>
      <c r="BM239" s="343">
        <f>SUMIFS($AU$134:AU240,$AQ$134:AQ240,"M")</f>
        <v>0</v>
      </c>
      <c r="BN239" s="343">
        <f>SUMIFS($AU$134:AU240,$AQ$134:AQ240,"H")</f>
        <v>184.60000000001494</v>
      </c>
      <c r="BO239" s="343">
        <f>SUMIFS($AU$134:AU240,$AQ$134:AQ240,"D")</f>
        <v>1192.8</v>
      </c>
      <c r="BP239" s="343">
        <f>SUMIFS($AU$134:AU242,$AQ$134:AQ242,"W")</f>
        <v>451.99999999999994</v>
      </c>
      <c r="BQ239" s="343">
        <f>SUMIFS($AU$134:AU240,$Q$134:Q240,"O")</f>
        <v>-61.560000000034961</v>
      </c>
      <c r="BR239" s="343">
        <f>SUMIFS($AU$134:AU240,$AA$134:AA240,"*")</f>
        <v>2078.8999999999987</v>
      </c>
      <c r="BS239" s="343">
        <f>SUMIFS($AU$134:AU240,$AB$134:AB240,"*")</f>
        <v>635.13999999995133</v>
      </c>
      <c r="BT239" s="343">
        <f>SUMIFS($AU$134:AU240,$AC$134:AC240,"*")</f>
        <v>1035.4999999999998</v>
      </c>
      <c r="BU239" s="343">
        <f>SUMIFS($AU$134:AU240,$AA$134:AA240,"*",$AB$134:AB240,"*")</f>
        <v>652.39999999998474</v>
      </c>
      <c r="BV239" s="343">
        <f>SUMIFS($AU$134:AU240,$AA$134:AA240,"*",$AC$134:AC240,"*")</f>
        <v>1035.4999999999998</v>
      </c>
      <c r="BW239" s="343">
        <f>SUMIFS($AU$134:AU240,$AB$134:AB240,"*",$AC$134:AC240,"*")</f>
        <v>548.30000000000007</v>
      </c>
      <c r="BX239" s="343">
        <f>SUMIFS($AU240:AU$1388,$Q240:Q$1388,"F")</f>
        <v>14440.666666666668</v>
      </c>
      <c r="BY239" s="343">
        <f>SUMIFS($AU240:AU$1388,$Q240:Q$1388,"S")</f>
        <v>18513.842000000001</v>
      </c>
      <c r="BZ239" s="343">
        <f>SUMIFS($AU240:AU$1388,$Q240:Q$1388,"O")</f>
        <v>-1553.2979999997704</v>
      </c>
    </row>
    <row r="240" spans="1:78" ht="18" customHeight="1">
      <c r="A240" s="177" t="s">
        <v>1148</v>
      </c>
      <c r="B240" s="177">
        <v>44960</v>
      </c>
      <c r="C240" s="178" t="s">
        <v>682</v>
      </c>
      <c r="D240" s="178" t="s">
        <v>111</v>
      </c>
      <c r="E240" s="227"/>
      <c r="F240" s="180"/>
      <c r="G240" s="181" t="s">
        <v>945</v>
      </c>
      <c r="H240" s="182"/>
      <c r="I240" s="182"/>
      <c r="J240" s="182"/>
      <c r="K240" s="183"/>
      <c r="L240" s="182">
        <v>1</v>
      </c>
      <c r="M240" s="182"/>
      <c r="N240" s="182"/>
      <c r="O240" s="183" t="s">
        <v>95</v>
      </c>
      <c r="P240" s="183" t="s">
        <v>137</v>
      </c>
      <c r="Q240" s="183" t="s">
        <v>684</v>
      </c>
      <c r="R240" s="183">
        <v>1</v>
      </c>
      <c r="S240" s="183">
        <v>1</v>
      </c>
      <c r="T240" s="183">
        <v>1</v>
      </c>
      <c r="U240" s="183" t="s">
        <v>97</v>
      </c>
      <c r="V240" s="183"/>
      <c r="W240" s="183"/>
      <c r="X240" s="183"/>
      <c r="Y240" s="184">
        <f>IF(ISBLANK(O240),,(IF(O240=UPPER("IB"),0.005,0.01)))</f>
        <v>0.01</v>
      </c>
      <c r="Z240" s="184">
        <f>IF(ISBLANK(O240),,IF(O240=UPPER("IB"),8.63*200,17*100))</f>
        <v>1700</v>
      </c>
      <c r="AA240" s="185" t="s">
        <v>1096</v>
      </c>
      <c r="AB240" s="185"/>
      <c r="AC240" s="185"/>
      <c r="AD240" s="649">
        <v>96.66</v>
      </c>
      <c r="AE240" s="182"/>
      <c r="AF240" s="332"/>
      <c r="AG240" s="182"/>
      <c r="AH240" s="182"/>
      <c r="AI240" s="182"/>
      <c r="AJ240" s="640"/>
      <c r="AK240" s="182"/>
      <c r="AL240" s="496"/>
      <c r="AM240" s="497"/>
      <c r="AN240" s="626"/>
      <c r="AO240" s="182"/>
      <c r="AP240" s="182" t="s">
        <v>1207</v>
      </c>
      <c r="AQ240" s="332" t="str">
        <f>UPPER(RIGHT(Journal_Live[[#This Row],[DURATION ]]))</f>
        <v>S</v>
      </c>
      <c r="AR240" s="182" t="s">
        <v>1208</v>
      </c>
      <c r="AS240" s="189">
        <v>96.64</v>
      </c>
      <c r="AT240" s="189">
        <f t="shared" si="102"/>
        <v>1.9999999999996021E-2</v>
      </c>
      <c r="AU240" s="187">
        <f t="shared" si="103"/>
        <v>33.999999999993236</v>
      </c>
      <c r="AV240" s="190">
        <f t="shared" si="104"/>
        <v>33.999999999993236</v>
      </c>
      <c r="AW240" s="191" t="s">
        <v>96</v>
      </c>
      <c r="AX240" s="407" t="s">
        <v>1209</v>
      </c>
      <c r="AY240" s="407" t="s">
        <v>1210</v>
      </c>
      <c r="AZ240" s="407" t="s">
        <v>1211</v>
      </c>
      <c r="BA240" s="407"/>
      <c r="BB240" s="407"/>
      <c r="BC240" s="407"/>
      <c r="BD240" s="407" t="s">
        <v>1212</v>
      </c>
      <c r="BE240" s="407"/>
      <c r="BF240" s="422"/>
      <c r="BG240" s="391">
        <f>SUM($AV$4:AV240)</f>
        <v>2331.9750000000008</v>
      </c>
      <c r="BH240" s="392">
        <f>SUM($AU$134:AU240)</f>
        <v>2295.439999999965</v>
      </c>
      <c r="BI240" s="318">
        <f>SUMIFS($AU$134:AU241,$Q$134:Q241,"F")</f>
        <v>0</v>
      </c>
      <c r="BJ240" s="318">
        <f>SUMIFS($AU$134:AU241,$Q$134:Q241,"S")</f>
        <v>2157.7999999999997</v>
      </c>
      <c r="BK240" s="343">
        <f>SUMIFS($AU$134:AU241,$P$134:P241,"W")</f>
        <v>1989.5399999999677</v>
      </c>
      <c r="BL240" s="343">
        <f>SUMIFS($AU$134:AU241,$P$134:P241,"R")</f>
        <v>288.89999999998832</v>
      </c>
      <c r="BM240" s="343">
        <f>SUMIFS($AU$134:AU241,$AQ$134:AQ241,"M")</f>
        <v>0</v>
      </c>
      <c r="BN240" s="343">
        <f>SUMIFS($AU$134:AU241,$AQ$134:AQ241,"H")</f>
        <v>184.60000000001494</v>
      </c>
      <c r="BO240" s="343">
        <f>SUMIFS($AU$134:AU241,$AQ$134:AQ241,"D")</f>
        <v>1192.8</v>
      </c>
      <c r="BP240" s="343">
        <f>SUMIFS($AU$134:AU243,$AQ$134:AQ243,"W")</f>
        <v>451.99999999999994</v>
      </c>
      <c r="BQ240" s="343">
        <f>SUMIFS($AU$134:AU241,$Q$134:Q241,"O")</f>
        <v>-78.560000000043658</v>
      </c>
      <c r="BR240" s="343">
        <f>SUMIFS($AU$134:AU241,$AA$134:AA241,"*")</f>
        <v>2061.8999999999901</v>
      </c>
      <c r="BS240" s="343">
        <f>SUMIFS($AU$134:AU241,$AB$134:AB241,"*")</f>
        <v>635.13999999995133</v>
      </c>
      <c r="BT240" s="343">
        <f>SUMIFS($AU$134:AU241,$AC$134:AC241,"*")</f>
        <v>1035.4999999999998</v>
      </c>
      <c r="BU240" s="343">
        <f>SUMIFS($AU$134:AU241,$AA$134:AA241,"*",$AB$134:AB241,"*")</f>
        <v>652.39999999998474</v>
      </c>
      <c r="BV240" s="343">
        <f>SUMIFS($AU$134:AU241,$AA$134:AA241,"*",$AC$134:AC241,"*")</f>
        <v>1035.4999999999998</v>
      </c>
      <c r="BW240" s="343">
        <f>SUMIFS($AU$134:AU241,$AB$134:AB241,"*",$AC$134:AC241,"*")</f>
        <v>548.30000000000007</v>
      </c>
      <c r="BX240" s="343">
        <f>SUMIFS($AU241:AU$1388,$Q241:Q$1388,"F")</f>
        <v>14440.666666666668</v>
      </c>
      <c r="BY240" s="343">
        <f>SUMIFS($AU241:AU$1388,$Q241:Q$1388,"S")</f>
        <v>18513.842000000001</v>
      </c>
      <c r="BZ240" s="343">
        <f>SUMIFS($AU241:AU$1388,$Q241:Q$1388,"O")</f>
        <v>-1587.2979999997635</v>
      </c>
    </row>
    <row r="241" spans="1:78" ht="18" customHeight="1">
      <c r="A241" s="221" t="s">
        <v>1148</v>
      </c>
      <c r="B241" s="177">
        <v>44960</v>
      </c>
      <c r="C241" s="178" t="s">
        <v>682</v>
      </c>
      <c r="D241" s="178" t="s">
        <v>111</v>
      </c>
      <c r="E241" s="227"/>
      <c r="F241" s="180"/>
      <c r="G241" s="181" t="s">
        <v>831</v>
      </c>
      <c r="H241" s="182"/>
      <c r="I241" s="182"/>
      <c r="J241" s="182"/>
      <c r="K241" s="183"/>
      <c r="L241" s="182">
        <v>1</v>
      </c>
      <c r="M241" s="182"/>
      <c r="N241" s="182"/>
      <c r="O241" s="183" t="s">
        <v>95</v>
      </c>
      <c r="P241" s="183" t="s">
        <v>137</v>
      </c>
      <c r="Q241" s="183" t="s">
        <v>684</v>
      </c>
      <c r="R241" s="183">
        <v>1</v>
      </c>
      <c r="S241" s="183">
        <v>1</v>
      </c>
      <c r="T241" s="183">
        <v>1</v>
      </c>
      <c r="U241" s="183" t="s">
        <v>97</v>
      </c>
      <c r="V241" s="183"/>
      <c r="W241" s="183"/>
      <c r="X241" s="183"/>
      <c r="Y241" s="184">
        <f>IF(ISBLANK(O241),,(IF(O241=UPPER("IB"),0.005,0.01)))</f>
        <v>0.01</v>
      </c>
      <c r="Z241" s="184">
        <f>IF(ISBLANK(O241),,IF(O241=UPPER("IB"),8.63*200,17*100))</f>
        <v>1700</v>
      </c>
      <c r="AA241" s="185" t="s">
        <v>1096</v>
      </c>
      <c r="AB241" s="185"/>
      <c r="AC241" s="185"/>
      <c r="AD241" s="649">
        <v>96.35</v>
      </c>
      <c r="AE241" s="182"/>
      <c r="AF241" s="332"/>
      <c r="AG241" s="182"/>
      <c r="AH241" s="182"/>
      <c r="AI241" s="182"/>
      <c r="AJ241" s="640"/>
      <c r="AK241" s="182"/>
      <c r="AL241" s="496"/>
      <c r="AM241" s="497"/>
      <c r="AN241" s="626"/>
      <c r="AO241" s="182"/>
      <c r="AP241" s="182"/>
      <c r="AQ241" s="332" t="str">
        <f>UPPER(RIGHT(Journal_Live[[#This Row],[DURATION ]]))</f>
        <v/>
      </c>
      <c r="AR241" s="182"/>
      <c r="AS241" s="189">
        <v>96.36</v>
      </c>
      <c r="AT241" s="189">
        <f t="shared" si="102"/>
        <v>-1.0000000000005116E-2</v>
      </c>
      <c r="AU241" s="187">
        <f t="shared" si="103"/>
        <v>-17.000000000008697</v>
      </c>
      <c r="AV241" s="190">
        <f t="shared" si="104"/>
        <v>-17.000000000008697</v>
      </c>
      <c r="AW241" s="191" t="s">
        <v>229</v>
      </c>
      <c r="AX241" s="407" t="s">
        <v>1213</v>
      </c>
      <c r="AY241" s="407" t="s">
        <v>1214</v>
      </c>
      <c r="AZ241" s="407"/>
      <c r="BA241" s="407"/>
      <c r="BB241" s="407"/>
      <c r="BC241" s="407"/>
      <c r="BD241" s="407" t="s">
        <v>1215</v>
      </c>
      <c r="BE241" s="407" t="s">
        <v>1216</v>
      </c>
      <c r="BF241" s="422"/>
      <c r="BG241" s="391">
        <f>SUM($AV$4:AV241)</f>
        <v>2314.9749999999922</v>
      </c>
      <c r="BH241" s="392">
        <f>SUM($AU$134:AU241)</f>
        <v>2278.4399999999564</v>
      </c>
      <c r="BI241" s="318">
        <f>SUMIFS($AU$134:AU242,$Q$134:Q242,"F")</f>
        <v>0</v>
      </c>
      <c r="BJ241" s="318">
        <f>SUMIFS($AU$134:AU242,$Q$134:Q242,"S")</f>
        <v>2157.7999999999997</v>
      </c>
      <c r="BK241" s="343">
        <f>SUMIFS($AU$134:AU242,$P$134:P242,"W")</f>
        <v>1989.5399999999677</v>
      </c>
      <c r="BL241" s="343">
        <f>SUMIFS($AU$134:AU242,$P$134:P242,"R")</f>
        <v>288.89999999998832</v>
      </c>
      <c r="BM241" s="343">
        <f>SUMIFS($AU$134:AU242,$AQ$134:AQ242,"M")</f>
        <v>0</v>
      </c>
      <c r="BN241" s="343">
        <f>SUMIFS($AU$134:AU242,$AQ$134:AQ242,"H")</f>
        <v>184.60000000001494</v>
      </c>
      <c r="BO241" s="343">
        <f>SUMIFS($AU$134:AU242,$AQ$134:AQ242,"D")</f>
        <v>1192.8</v>
      </c>
      <c r="BP241" s="343">
        <f>SUMIFS($AU$134:AU244,$AQ$134:AQ244,"W")</f>
        <v>451.99999999999994</v>
      </c>
      <c r="BQ241" s="343">
        <f>SUMIFS($AU$134:AU242,$Q$134:Q242,"O")</f>
        <v>-78.560000000043658</v>
      </c>
      <c r="BR241" s="343">
        <f>SUMIFS($AU$134:AU242,$AA$134:AA242,"*")</f>
        <v>2061.8999999999901</v>
      </c>
      <c r="BS241" s="343">
        <f>SUMIFS($AU$134:AU242,$AB$134:AB242,"*")</f>
        <v>635.13999999995133</v>
      </c>
      <c r="BT241" s="343">
        <f>SUMIFS($AU$134:AU242,$AC$134:AC242,"*")</f>
        <v>1035.4999999999998</v>
      </c>
      <c r="BU241" s="343">
        <f>SUMIFS($AU$134:AU242,$AA$134:AA242,"*",$AB$134:AB242,"*")</f>
        <v>652.39999999998474</v>
      </c>
      <c r="BV241" s="343">
        <f>SUMIFS($AU$134:AU242,$AA$134:AA242,"*",$AC$134:AC242,"*")</f>
        <v>1035.4999999999998</v>
      </c>
      <c r="BW241" s="343">
        <f>SUMIFS($AU$134:AU242,$AB$134:AB242,"*",$AC$134:AC242,"*")</f>
        <v>548.30000000000007</v>
      </c>
      <c r="BX241" s="343">
        <f>SUMIFS($AU242:AU$1388,$Q242:Q$1388,"F")</f>
        <v>14440.666666666668</v>
      </c>
      <c r="BY241" s="343">
        <f>SUMIFS($AU242:AU$1388,$Q242:Q$1388,"S")</f>
        <v>18513.842000000001</v>
      </c>
      <c r="BZ241" s="343">
        <f>SUMIFS($AU242:AU$1388,$Q242:Q$1388,"O")</f>
        <v>-1570.2979999997549</v>
      </c>
    </row>
    <row r="242" spans="1:78" ht="18" customHeight="1">
      <c r="A242" s="177" t="s">
        <v>1148</v>
      </c>
      <c r="B242" s="177">
        <v>44960</v>
      </c>
      <c r="C242" s="178" t="s">
        <v>1217</v>
      </c>
      <c r="D242" s="178" t="s">
        <v>111</v>
      </c>
      <c r="E242" s="227"/>
      <c r="F242" s="180"/>
      <c r="G242" s="181" t="s">
        <v>757</v>
      </c>
      <c r="H242" s="182"/>
      <c r="I242" s="182"/>
      <c r="J242" s="182"/>
      <c r="K242" s="183"/>
      <c r="L242" s="182">
        <v>1</v>
      </c>
      <c r="M242" s="182"/>
      <c r="N242" s="182"/>
      <c r="O242" s="183" t="s">
        <v>95</v>
      </c>
      <c r="P242" s="183" t="s">
        <v>96</v>
      </c>
      <c r="Q242" s="183" t="s">
        <v>97</v>
      </c>
      <c r="R242" s="183">
        <v>2</v>
      </c>
      <c r="S242" s="183">
        <v>2</v>
      </c>
      <c r="T242" s="183">
        <v>2</v>
      </c>
      <c r="U242" s="183" t="s">
        <v>97</v>
      </c>
      <c r="V242" s="183"/>
      <c r="W242" s="183"/>
      <c r="X242" s="183"/>
      <c r="Y242" s="184">
        <f>IF(ISBLANK(O242),,(IF(O242=UPPER("IB"),0.005,0.01)))</f>
        <v>0.01</v>
      </c>
      <c r="Z242" s="184">
        <f>IF(ISBLANK(O242),,IF(O242=UPPER("IB"),8.63*200,17*100))</f>
        <v>1700</v>
      </c>
      <c r="AA242" s="185"/>
      <c r="AB242" s="185" t="s">
        <v>1218</v>
      </c>
      <c r="AC242" s="185" t="s">
        <v>529</v>
      </c>
      <c r="AD242" s="649">
        <v>0.03</v>
      </c>
      <c r="AE242" s="182"/>
      <c r="AF242" s="332"/>
      <c r="AG242" s="182"/>
      <c r="AH242" s="182"/>
      <c r="AI242" s="182"/>
      <c r="AJ242" s="640"/>
      <c r="AK242" s="182"/>
      <c r="AL242" s="496"/>
      <c r="AM242" s="497"/>
      <c r="AN242" s="626"/>
      <c r="AO242" s="182"/>
      <c r="AP242" s="182"/>
      <c r="AQ242" s="332" t="str">
        <f>UPPER(RIGHT(Journal_Live[[#This Row],[DURATION ]]))</f>
        <v/>
      </c>
      <c r="AR242" s="182" t="s">
        <v>1219</v>
      </c>
      <c r="AS242" s="189">
        <v>0.03</v>
      </c>
      <c r="AT242" s="189">
        <f t="shared" si="102"/>
        <v>0</v>
      </c>
      <c r="AU242" s="187">
        <f t="shared" si="103"/>
        <v>0</v>
      </c>
      <c r="AV242" s="190">
        <f t="shared" si="104"/>
        <v>0</v>
      </c>
      <c r="AW242" s="191" t="s">
        <v>115</v>
      </c>
      <c r="AX242" s="407" t="s">
        <v>1220</v>
      </c>
      <c r="AY242" s="407" t="s">
        <v>1221</v>
      </c>
      <c r="AZ242" s="407"/>
      <c r="BA242" s="407"/>
      <c r="BB242" s="407"/>
      <c r="BC242" s="407"/>
      <c r="BD242" s="407"/>
      <c r="BE242" s="407"/>
      <c r="BF242" s="422"/>
      <c r="BG242" s="391">
        <f>SUM($AV$4:AV242)</f>
        <v>2314.9749999999922</v>
      </c>
      <c r="BH242" s="392">
        <f>SUM($AU$134:AU242)</f>
        <v>2278.4399999999564</v>
      </c>
      <c r="BI242" s="318">
        <f>SUMIFS($AU$134:AU243,$Q$134:Q243,"F")</f>
        <v>0</v>
      </c>
      <c r="BJ242" s="318">
        <f>SUMIFS($AU$134:AU243,$Q$134:Q243,"S")</f>
        <v>2157.7999999999997</v>
      </c>
      <c r="BK242" s="343">
        <f>SUMIFS($AU$134:AU243,$P$134:P243,"W")</f>
        <v>1989.5399999999677</v>
      </c>
      <c r="BL242" s="343">
        <f>SUMIFS($AU$134:AU243,$P$134:P243,"R")</f>
        <v>288.89999999998832</v>
      </c>
      <c r="BM242" s="343">
        <f>SUMIFS($AU$134:AU243,$AQ$134:AQ243,"M")</f>
        <v>0</v>
      </c>
      <c r="BN242" s="343">
        <f>SUMIFS($AU$134:AU243,$AQ$134:AQ243,"H")</f>
        <v>184.60000000001494</v>
      </c>
      <c r="BO242" s="343">
        <f>SUMIFS($AU$134:AU243,$AQ$134:AQ243,"D")</f>
        <v>1192.8</v>
      </c>
      <c r="BP242" s="343">
        <f>SUMIFS($AU$134:AU245,$AQ$134:AQ245,"W")</f>
        <v>451.99999999999994</v>
      </c>
      <c r="BQ242" s="343">
        <f>SUMIFS($AU$134:AU243,$Q$134:Q243,"O")</f>
        <v>-78.560000000043658</v>
      </c>
      <c r="BR242" s="343">
        <f>SUMIFS($AU$134:AU243,$AA$134:AA243,"*")</f>
        <v>2061.8999999999901</v>
      </c>
      <c r="BS242" s="343">
        <f>SUMIFS($AU$134:AU243,$AB$134:AB243,"*")</f>
        <v>635.13999999995133</v>
      </c>
      <c r="BT242" s="343">
        <f>SUMIFS($AU$134:AU243,$AC$134:AC243,"*")</f>
        <v>1035.4999999999998</v>
      </c>
      <c r="BU242" s="343">
        <f>SUMIFS($AU$134:AU243,$AA$134:AA243,"*",$AB$134:AB243,"*")</f>
        <v>652.39999999998474</v>
      </c>
      <c r="BV242" s="343">
        <f>SUMIFS($AU$134:AU243,$AA$134:AA243,"*",$AC$134:AC243,"*")</f>
        <v>1035.4999999999998</v>
      </c>
      <c r="BW242" s="343">
        <f>SUMIFS($AU$134:AU243,$AB$134:AB243,"*",$AC$134:AC243,"*")</f>
        <v>548.30000000000007</v>
      </c>
      <c r="BX242" s="343">
        <f>SUMIFS($AU243:AU$1388,$Q243:Q$1388,"F")</f>
        <v>14440.666666666668</v>
      </c>
      <c r="BY242" s="343">
        <f>SUMIFS($AU243:AU$1388,$Q243:Q$1388,"S")</f>
        <v>18513.842000000001</v>
      </c>
      <c r="BZ242" s="343">
        <f>SUMIFS($AU243:AU$1388,$Q243:Q$1388,"O")</f>
        <v>-1570.2979999997549</v>
      </c>
    </row>
    <row r="243" spans="1:78" ht="18" customHeight="1">
      <c r="A243" s="177" t="s">
        <v>1148</v>
      </c>
      <c r="B243" s="177">
        <v>44960</v>
      </c>
      <c r="C243" s="178" t="s">
        <v>1222</v>
      </c>
      <c r="D243" s="178" t="s">
        <v>111</v>
      </c>
      <c r="E243" s="227"/>
      <c r="F243" s="180"/>
      <c r="G243" s="181" t="s">
        <v>757</v>
      </c>
      <c r="H243" s="182"/>
      <c r="I243" s="182"/>
      <c r="J243" s="182"/>
      <c r="K243" s="183"/>
      <c r="L243" s="182">
        <v>1</v>
      </c>
      <c r="M243" s="182"/>
      <c r="N243" s="182"/>
      <c r="O243" s="183" t="s">
        <v>95</v>
      </c>
      <c r="P243" s="183" t="s">
        <v>96</v>
      </c>
      <c r="Q243" s="183" t="s">
        <v>97</v>
      </c>
      <c r="R243" s="183">
        <v>2</v>
      </c>
      <c r="S243" s="183">
        <v>2</v>
      </c>
      <c r="T243" s="183">
        <v>2</v>
      </c>
      <c r="U243" s="183" t="s">
        <v>97</v>
      </c>
      <c r="V243" s="183"/>
      <c r="W243" s="183"/>
      <c r="X243" s="183"/>
      <c r="Y243" s="184">
        <f>IF(ISBLANK(O243),,(IF(O243=UPPER("IB"),0.005,0.01)))</f>
        <v>0.01</v>
      </c>
      <c r="Z243" s="184">
        <f>IF(ISBLANK(O243),,IF(O243=UPPER("IB"),8.63*200,17*100))</f>
        <v>1700</v>
      </c>
      <c r="AA243" s="185"/>
      <c r="AB243" s="185" t="s">
        <v>1218</v>
      </c>
      <c r="AC243" s="185" t="s">
        <v>529</v>
      </c>
      <c r="AD243" s="649">
        <v>0.03</v>
      </c>
      <c r="AE243" s="182"/>
      <c r="AF243" s="332"/>
      <c r="AG243" s="182"/>
      <c r="AH243" s="182"/>
      <c r="AI243" s="182"/>
      <c r="AJ243" s="640"/>
      <c r="AK243" s="182"/>
      <c r="AL243" s="496"/>
      <c r="AM243" s="497"/>
      <c r="AN243" s="626"/>
      <c r="AO243" s="182"/>
      <c r="AP243" s="182"/>
      <c r="AQ243" s="332" t="str">
        <f>UPPER(RIGHT(Journal_Live[[#This Row],[DURATION ]]))</f>
        <v/>
      </c>
      <c r="AR243" s="182" t="s">
        <v>1223</v>
      </c>
      <c r="AS243" s="189">
        <v>0.03</v>
      </c>
      <c r="AT243" s="189">
        <f t="shared" si="102"/>
        <v>0</v>
      </c>
      <c r="AU243" s="187">
        <f t="shared" si="103"/>
        <v>0</v>
      </c>
      <c r="AV243" s="190">
        <f t="shared" si="104"/>
        <v>0</v>
      </c>
      <c r="AW243" s="191" t="s">
        <v>115</v>
      </c>
      <c r="AX243" s="407" t="s">
        <v>1220</v>
      </c>
      <c r="AY243" s="407"/>
      <c r="AZ243" s="407"/>
      <c r="BA243" s="407"/>
      <c r="BB243" s="407"/>
      <c r="BC243" s="407"/>
      <c r="BD243" s="407"/>
      <c r="BE243" s="407"/>
      <c r="BF243" s="422"/>
      <c r="BG243" s="391">
        <f>SUM($AV$4:AV243)</f>
        <v>2314.9749999999922</v>
      </c>
      <c r="BH243" s="392">
        <f>SUM($AU$134:AU243)</f>
        <v>2278.4399999999564</v>
      </c>
      <c r="BI243" s="318">
        <f>SUMIFS($AU$134:AU244,$Q$134:Q244,"F")</f>
        <v>0</v>
      </c>
      <c r="BJ243" s="318">
        <f>SUMIFS($AU$134:AU244,$Q$134:Q244,"S")</f>
        <v>2224.1999999999998</v>
      </c>
      <c r="BK243" s="343">
        <f>SUMIFS($AU$134:AU244,$P$134:P244,"W")</f>
        <v>2055.9399999999678</v>
      </c>
      <c r="BL243" s="343">
        <f>SUMIFS($AU$134:AU244,$P$134:P244,"R")</f>
        <v>288.89999999998832</v>
      </c>
      <c r="BM243" s="343">
        <f>SUMIFS($AU$134:AU244,$AQ$134:AQ244,"M")</f>
        <v>0</v>
      </c>
      <c r="BN243" s="343">
        <f>SUMIFS($AU$134:AU244,$AQ$134:AQ244,"H")</f>
        <v>184.60000000001494</v>
      </c>
      <c r="BO243" s="343">
        <f>SUMIFS($AU$134:AU244,$AQ$134:AQ244,"D")</f>
        <v>1259.2</v>
      </c>
      <c r="BP243" s="343">
        <f>SUMIFS($AU$134:AU246,$AQ$134:AQ246,"W")</f>
        <v>451.99999999999994</v>
      </c>
      <c r="BQ243" s="343">
        <f>SUMIFS($AU$134:AU244,$Q$134:Q244,"O")</f>
        <v>-78.560000000043658</v>
      </c>
      <c r="BR243" s="343">
        <f>SUMIFS($AU$134:AU244,$AA$134:AA244,"*")</f>
        <v>2128.2999999999902</v>
      </c>
      <c r="BS243" s="343">
        <f>SUMIFS($AU$134:AU244,$AB$134:AB244,"*")</f>
        <v>635.13999999995133</v>
      </c>
      <c r="BT243" s="343">
        <f>SUMIFS($AU$134:AU244,$AC$134:AC244,"*")</f>
        <v>1101.8999999999999</v>
      </c>
      <c r="BU243" s="343">
        <f>SUMIFS($AU$134:AU244,$AA$134:AA244,"*",$AB$134:AB244,"*")</f>
        <v>652.39999999998474</v>
      </c>
      <c r="BV243" s="343">
        <f>SUMIFS($AU$134:AU244,$AA$134:AA244,"*",$AC$134:AC244,"*")</f>
        <v>1101.8999999999999</v>
      </c>
      <c r="BW243" s="343">
        <f>SUMIFS($AU$134:AU244,$AB$134:AB244,"*",$AC$134:AC244,"*")</f>
        <v>548.30000000000007</v>
      </c>
      <c r="BX243" s="343">
        <f>SUMIFS($AU244:AU$1388,$Q244:Q$1388,"F")</f>
        <v>14440.666666666668</v>
      </c>
      <c r="BY243" s="343">
        <f>SUMIFS($AU244:AU$1388,$Q244:Q$1388,"S")</f>
        <v>18513.842000000001</v>
      </c>
      <c r="BZ243" s="343">
        <f>SUMIFS($AU244:AU$1388,$Q244:Q$1388,"O")</f>
        <v>-1570.2979999997549</v>
      </c>
    </row>
    <row r="244" spans="1:78" ht="18" customHeight="1">
      <c r="A244" s="221" t="s">
        <v>1148</v>
      </c>
      <c r="B244" s="177">
        <v>44963</v>
      </c>
      <c r="C244" s="178" t="s">
        <v>1224</v>
      </c>
      <c r="D244" s="178" t="s">
        <v>132</v>
      </c>
      <c r="E244" s="227"/>
      <c r="F244" s="180"/>
      <c r="G244" s="271" t="s">
        <v>133</v>
      </c>
      <c r="H244" s="182"/>
      <c r="I244" s="182"/>
      <c r="J244" s="182"/>
      <c r="K244" s="183"/>
      <c r="L244" s="182">
        <v>1</v>
      </c>
      <c r="M244" s="182"/>
      <c r="N244" s="182"/>
      <c r="O244" s="183" t="s">
        <v>95</v>
      </c>
      <c r="P244" s="183" t="s">
        <v>96</v>
      </c>
      <c r="Q244" s="183" t="s">
        <v>97</v>
      </c>
      <c r="R244" s="183">
        <v>5</v>
      </c>
      <c r="S244" s="183">
        <v>5</v>
      </c>
      <c r="T244" s="183">
        <v>4</v>
      </c>
      <c r="U244" s="183" t="s">
        <v>97</v>
      </c>
      <c r="V244" s="183"/>
      <c r="W244" s="183"/>
      <c r="X244" s="183"/>
      <c r="Y244" s="184">
        <f t="shared" ref="Y244:Y263" si="105">IF(ISBLANK(O244),"",(IF(O244=UPPER("IB"),0.005,0.01)))</f>
        <v>0.01</v>
      </c>
      <c r="Z244" s="184">
        <f>IF(ISBLANK(O244),"",IF(O244=UPPER("IB"),8.63*200,16.6*100))</f>
        <v>1660.0000000000002</v>
      </c>
      <c r="AA244" s="185" t="s">
        <v>1225</v>
      </c>
      <c r="AB244" s="185"/>
      <c r="AC244" s="185" t="s">
        <v>1226</v>
      </c>
      <c r="AD244" s="649">
        <v>-0.03</v>
      </c>
      <c r="AE244" s="182"/>
      <c r="AF244" s="332">
        <v>0</v>
      </c>
      <c r="AG244" s="182"/>
      <c r="AH244" s="182" t="s">
        <v>1227</v>
      </c>
      <c r="AI244" s="182"/>
      <c r="AJ244" s="640"/>
      <c r="AK244" s="182"/>
      <c r="AL244" s="496">
        <f>-0.04*Z244</f>
        <v>-66.400000000000006</v>
      </c>
      <c r="AM244" s="496">
        <f>AL244*R244</f>
        <v>-332</v>
      </c>
      <c r="AN244" s="626"/>
      <c r="AO244" s="182"/>
      <c r="AP244" s="182" t="s">
        <v>770</v>
      </c>
      <c r="AQ244" s="332" t="str">
        <f>UPPER(RIGHT(Journal_Live[[#This Row],[DURATION ]]))</f>
        <v>D</v>
      </c>
      <c r="AR244" s="182" t="s">
        <v>1228</v>
      </c>
      <c r="AS244" s="189">
        <f>(-0.03*3 +2*-0.05)/5</f>
        <v>-3.7999999999999999E-2</v>
      </c>
      <c r="AT244" s="189">
        <f t="shared" si="102"/>
        <v>8.0000000000000002E-3</v>
      </c>
      <c r="AU244" s="187">
        <f t="shared" si="103"/>
        <v>66.40000000000002</v>
      </c>
      <c r="AV244" s="190">
        <f t="shared" si="104"/>
        <v>13.280000000000003</v>
      </c>
      <c r="AW244" s="191" t="s">
        <v>96</v>
      </c>
      <c r="AX244" s="407" t="s">
        <v>1229</v>
      </c>
      <c r="AY244" s="407"/>
      <c r="AZ244" s="407"/>
      <c r="BA244" s="407"/>
      <c r="BB244" s="407"/>
      <c r="BC244" s="407"/>
      <c r="BD244" s="407"/>
      <c r="BE244" s="407"/>
      <c r="BF244" s="422"/>
      <c r="BG244" s="391">
        <f>SUM($AV$4:AV244)</f>
        <v>2328.2549999999924</v>
      </c>
      <c r="BH244" s="392">
        <f>SUM($AU$134:AU244)</f>
        <v>2344.8399999999565</v>
      </c>
      <c r="BI244" s="318">
        <f>SUMIFS($AU$134:AU245,$Q$134:Q245,"F")</f>
        <v>0</v>
      </c>
      <c r="BJ244" s="318">
        <f>SUMIFS($AU$134:AU245,$Q$134:Q245,"S")</f>
        <v>2224.1999999999998</v>
      </c>
      <c r="BK244" s="343">
        <f>SUMIFS($AU$134:AU245,$P$134:P245,"W")</f>
        <v>2055.9399999999678</v>
      </c>
      <c r="BL244" s="343">
        <f>SUMIFS($AU$134:AU245,$P$134:P245,"R")</f>
        <v>288.89999999998832</v>
      </c>
      <c r="BM244" s="343">
        <f>SUMIFS($AU$134:AU245,$AQ$134:AQ245,"M")</f>
        <v>0</v>
      </c>
      <c r="BN244" s="343">
        <f>SUMIFS($AU$134:AU245,$AQ$134:AQ245,"H")</f>
        <v>184.60000000001494</v>
      </c>
      <c r="BO244" s="343">
        <f>SUMIFS($AU$134:AU245,$AQ$134:AQ245,"D")</f>
        <v>1259.2</v>
      </c>
      <c r="BP244" s="343">
        <f>SUMIFS($AU$134:AU247,$AQ$134:AQ247,"W")</f>
        <v>451.99999999999994</v>
      </c>
      <c r="BQ244" s="343">
        <f>SUMIFS($AU$134:AU245,$Q$134:Q245,"O")</f>
        <v>-78.560000000043658</v>
      </c>
      <c r="BR244" s="343">
        <f>SUMIFS($AU$134:AU245,$AA$134:AA245,"*")</f>
        <v>2128.2999999999902</v>
      </c>
      <c r="BS244" s="343">
        <f>SUMIFS($AU$134:AU245,$AB$134:AB245,"*")</f>
        <v>635.13999999995133</v>
      </c>
      <c r="BT244" s="343">
        <f>SUMIFS($AU$134:AU245,$AC$134:AC245,"*")</f>
        <v>1101.8999999999999</v>
      </c>
      <c r="BU244" s="343">
        <f>SUMIFS($AU$134:AU245,$AA$134:AA245,"*",$AB$134:AB245,"*")</f>
        <v>652.39999999998474</v>
      </c>
      <c r="BV244" s="343">
        <f>SUMIFS($AU$134:AU245,$AA$134:AA245,"*",$AC$134:AC245,"*")</f>
        <v>1101.8999999999999</v>
      </c>
      <c r="BW244" s="343">
        <f>SUMIFS($AU$134:AU245,$AB$134:AB245,"*",$AC$134:AC245,"*")</f>
        <v>548.30000000000007</v>
      </c>
      <c r="BX244" s="343">
        <f>SUMIFS($AU245:AU$1388,$Q245:Q$1388,"F")</f>
        <v>14440.666666666668</v>
      </c>
      <c r="BY244" s="343">
        <f>SUMIFS($AU245:AU$1388,$Q245:Q$1388,"S")</f>
        <v>18447.442000000003</v>
      </c>
      <c r="BZ244" s="343">
        <f>SUMIFS($AU245:AU$1388,$Q245:Q$1388,"O")</f>
        <v>-1570.2979999997549</v>
      </c>
    </row>
    <row r="245" spans="1:78" ht="18" customHeight="1">
      <c r="A245" s="177" t="s">
        <v>1148</v>
      </c>
      <c r="B245" s="177">
        <v>44963</v>
      </c>
      <c r="C245" s="194">
        <v>0.25</v>
      </c>
      <c r="D245" s="178" t="s">
        <v>132</v>
      </c>
      <c r="E245" s="227" t="s">
        <v>1230</v>
      </c>
      <c r="F245" s="180" t="s">
        <v>1231</v>
      </c>
      <c r="G245" s="181"/>
      <c r="H245" s="182">
        <v>1</v>
      </c>
      <c r="I245" s="182"/>
      <c r="J245" s="182"/>
      <c r="K245" s="183"/>
      <c r="L245" s="182"/>
      <c r="M245" s="182"/>
      <c r="N245" s="182"/>
      <c r="O245" s="183"/>
      <c r="P245" s="183"/>
      <c r="Q245" s="183"/>
      <c r="R245" s="183"/>
      <c r="S245" s="183"/>
      <c r="T245" s="183"/>
      <c r="U245" s="183"/>
      <c r="V245" s="183"/>
      <c r="W245" s="183"/>
      <c r="X245" s="183"/>
      <c r="Y245" s="184" t="str">
        <f t="shared" si="105"/>
        <v/>
      </c>
      <c r="Z245" s="184" t="str">
        <f>IF(ISBLANK(O245),"",IF(O245=UPPER("IB"),8.63*200,16.6*100))</f>
        <v/>
      </c>
      <c r="AA245" s="185"/>
      <c r="AB245" s="185"/>
      <c r="AC245" s="185"/>
      <c r="AD245" s="649"/>
      <c r="AE245" s="182"/>
      <c r="AF245" s="332"/>
      <c r="AG245" s="182"/>
      <c r="AH245" s="182"/>
      <c r="AI245" s="182"/>
      <c r="AJ245" s="640"/>
      <c r="AK245" s="182"/>
      <c r="AL245" s="496"/>
      <c r="AM245" s="497"/>
      <c r="AN245" s="626"/>
      <c r="AO245" s="182"/>
      <c r="AP245" s="182"/>
      <c r="AQ245" s="332" t="str">
        <f>UPPER(RIGHT(Journal_Live[[#This Row],[DURATION ]]))</f>
        <v/>
      </c>
      <c r="AR245" s="182"/>
      <c r="AS245" s="189"/>
      <c r="AT245" s="189"/>
      <c r="AU245" s="187"/>
      <c r="AV245" s="190"/>
      <c r="AW245" s="191"/>
      <c r="AX245" s="407"/>
      <c r="AY245" s="407"/>
      <c r="AZ245" s="407"/>
      <c r="BA245" s="407"/>
      <c r="BB245" s="407"/>
      <c r="BC245" s="407"/>
      <c r="BD245" s="407"/>
      <c r="BE245" s="407"/>
      <c r="BF245" s="422"/>
      <c r="BG245" s="391">
        <f>SUM($AV$4:AV245)</f>
        <v>2328.2549999999924</v>
      </c>
      <c r="BH245" s="392">
        <f>SUM($AU$134:AU245)</f>
        <v>2344.8399999999565</v>
      </c>
      <c r="BI245" s="318">
        <f>SUMIFS($AU$134:AU246,$Q$134:Q246,"F")</f>
        <v>0</v>
      </c>
      <c r="BJ245" s="318">
        <f>SUMIFS($AU$134:AU246,$Q$134:Q246,"S")</f>
        <v>2224.1999999999998</v>
      </c>
      <c r="BK245" s="343">
        <f>SUMIFS($AU$134:AU246,$P$134:P246,"W")</f>
        <v>2055.9399999999678</v>
      </c>
      <c r="BL245" s="343">
        <f>SUMIFS($AU$134:AU246,$P$134:P246,"R")</f>
        <v>288.89999999998832</v>
      </c>
      <c r="BM245" s="343">
        <f>SUMIFS($AU$134:AU246,$AQ$134:AQ246,"M")</f>
        <v>0</v>
      </c>
      <c r="BN245" s="343">
        <f>SUMIFS($AU$134:AU246,$AQ$134:AQ246,"H")</f>
        <v>184.60000000001494</v>
      </c>
      <c r="BO245" s="343">
        <f>SUMIFS($AU$134:AU246,$AQ$134:AQ246,"D")</f>
        <v>1259.2</v>
      </c>
      <c r="BP245" s="343">
        <f>SUMIFS($AU$134:AU248,$AQ$134:AQ248,"W")</f>
        <v>451.99999999999994</v>
      </c>
      <c r="BQ245" s="343">
        <f>SUMIFS($AU$134:AU246,$Q$134:Q246,"O")</f>
        <v>-78.560000000043658</v>
      </c>
      <c r="BR245" s="343">
        <f>SUMIFS($AU$134:AU246,$AA$134:AA246,"*")</f>
        <v>2128.2999999999902</v>
      </c>
      <c r="BS245" s="343">
        <f>SUMIFS($AU$134:AU246,$AB$134:AB246,"*")</f>
        <v>635.13999999995133</v>
      </c>
      <c r="BT245" s="343">
        <f>SUMIFS($AU$134:AU246,$AC$134:AC246,"*")</f>
        <v>1101.8999999999999</v>
      </c>
      <c r="BU245" s="343">
        <f>SUMIFS($AU$134:AU246,$AA$134:AA246,"*",$AB$134:AB246,"*")</f>
        <v>652.39999999998474</v>
      </c>
      <c r="BV245" s="343">
        <f>SUMIFS($AU$134:AU246,$AA$134:AA246,"*",$AC$134:AC246,"*")</f>
        <v>1101.8999999999999</v>
      </c>
      <c r="BW245" s="343">
        <f>SUMIFS($AU$134:AU246,$AB$134:AB246,"*",$AC$134:AC246,"*")</f>
        <v>548.30000000000007</v>
      </c>
      <c r="BX245" s="343">
        <f>SUMIFS($AU246:AU$1388,$Q246:Q$1388,"F")</f>
        <v>14440.666666666668</v>
      </c>
      <c r="BY245" s="343">
        <f>SUMIFS($AU246:AU$1388,$Q246:Q$1388,"S")</f>
        <v>18447.442000000003</v>
      </c>
      <c r="BZ245" s="343">
        <f>SUMIFS($AU246:AU$1388,$Q246:Q$1388,"O")</f>
        <v>-1570.2979999997549</v>
      </c>
    </row>
    <row r="246" spans="1:78" ht="18" customHeight="1">
      <c r="A246" s="177" t="s">
        <v>1148</v>
      </c>
      <c r="B246" s="177" t="s">
        <v>1232</v>
      </c>
      <c r="C246" s="178" t="s">
        <v>1233</v>
      </c>
      <c r="D246" s="178" t="s">
        <v>132</v>
      </c>
      <c r="E246" s="227"/>
      <c r="F246" s="180"/>
      <c r="G246" s="278" t="s">
        <v>757</v>
      </c>
      <c r="H246" s="182"/>
      <c r="I246" s="182"/>
      <c r="J246" s="182"/>
      <c r="K246" s="183"/>
      <c r="L246" s="182">
        <v>1</v>
      </c>
      <c r="M246" s="182">
        <v>1</v>
      </c>
      <c r="N246" s="182"/>
      <c r="O246" s="183" t="s">
        <v>95</v>
      </c>
      <c r="P246" s="183" t="s">
        <v>96</v>
      </c>
      <c r="Q246" s="183" t="s">
        <v>97</v>
      </c>
      <c r="R246" s="183">
        <v>2</v>
      </c>
      <c r="S246" s="183">
        <v>2</v>
      </c>
      <c r="T246" s="183">
        <v>1</v>
      </c>
      <c r="U246" s="183" t="s">
        <v>97</v>
      </c>
      <c r="V246" s="183"/>
      <c r="W246" s="183"/>
      <c r="X246" s="183"/>
      <c r="Y246" s="184">
        <f t="shared" si="105"/>
        <v>0.01</v>
      </c>
      <c r="Z246" s="184">
        <f>IF(ISBLANK(O246),"",IF(O246=UPPER("IB"),8.63*200,16.6*100))</f>
        <v>1660.0000000000002</v>
      </c>
      <c r="AA246" s="185" t="s">
        <v>1234</v>
      </c>
      <c r="AB246" s="185"/>
      <c r="AC246" s="185" t="s">
        <v>1235</v>
      </c>
      <c r="AD246" s="649">
        <v>0.05</v>
      </c>
      <c r="AE246" s="182"/>
      <c r="AF246" s="332">
        <v>9</v>
      </c>
      <c r="AG246" s="182" t="s">
        <v>1236</v>
      </c>
      <c r="AH246" s="182" t="s">
        <v>1237</v>
      </c>
      <c r="AI246" s="182"/>
      <c r="AJ246" s="640"/>
      <c r="AK246" s="182"/>
      <c r="AL246" s="496">
        <f t="shared" ref="AL246:AL247" si="106">-0.04*Z246</f>
        <v>-66.400000000000006</v>
      </c>
      <c r="AM246" s="496">
        <f>AL246*R246</f>
        <v>-132.80000000000001</v>
      </c>
      <c r="AN246" s="626" t="s">
        <v>1238</v>
      </c>
      <c r="AO246" s="182" t="s">
        <v>1239</v>
      </c>
      <c r="AP246" s="182" t="s">
        <v>846</v>
      </c>
      <c r="AQ246" s="332" t="str">
        <f>UPPER(RIGHT(Journal_Live[[#This Row],[DURATION ]]))</f>
        <v>H</v>
      </c>
      <c r="AR246" s="182" t="s">
        <v>1240</v>
      </c>
      <c r="AS246" s="189">
        <v>0.05</v>
      </c>
      <c r="AT246" s="189">
        <f>IF(ISBLANK(AS246),,IF(U246="S",AD246-AS246,AS246-AD246))</f>
        <v>0</v>
      </c>
      <c r="AU246" s="187">
        <f>AV246*R246</f>
        <v>0</v>
      </c>
      <c r="AV246" s="190">
        <f>IF(ISBLANK(AS246),,(AT246*Z246))</f>
        <v>0</v>
      </c>
      <c r="AW246" s="191" t="s">
        <v>115</v>
      </c>
      <c r="AX246" s="407" t="s">
        <v>1241</v>
      </c>
      <c r="AY246" s="407"/>
      <c r="AZ246" s="407"/>
      <c r="BA246" s="407"/>
      <c r="BB246" s="407"/>
      <c r="BC246" s="407"/>
      <c r="BD246" s="407"/>
      <c r="BE246" s="407"/>
      <c r="BF246" s="422"/>
      <c r="BG246" s="391">
        <f>SUM($AV$4:AV246)</f>
        <v>2328.2549999999924</v>
      </c>
      <c r="BH246" s="392">
        <f>SUM($AU$134:AU246)</f>
        <v>2344.8399999999565</v>
      </c>
      <c r="BI246" s="318">
        <f>SUMIFS($AU$134:AU247,$Q$134:Q247,"F")</f>
        <v>33.199999999999989</v>
      </c>
      <c r="BJ246" s="318">
        <f>SUMIFS($AU$134:AU247,$Q$134:Q247,"S")</f>
        <v>2224.1999999999998</v>
      </c>
      <c r="BK246" s="343">
        <f>SUMIFS($AU$134:AU247,$P$134:P247,"W")</f>
        <v>2089.1399999999676</v>
      </c>
      <c r="BL246" s="343">
        <f>SUMIFS($AU$134:AU247,$P$134:P247,"R")</f>
        <v>288.89999999998832</v>
      </c>
      <c r="BM246" s="343">
        <f>SUMIFS($AU$134:AU247,$AQ$134:AQ247,"M")</f>
        <v>0</v>
      </c>
      <c r="BN246" s="343">
        <f>SUMIFS($AU$134:AU247,$AQ$134:AQ247,"H")</f>
        <v>184.60000000001494</v>
      </c>
      <c r="BO246" s="343">
        <f>SUMIFS($AU$134:AU247,$AQ$134:AQ247,"D")</f>
        <v>1292.4000000000001</v>
      </c>
      <c r="BP246" s="343">
        <f>SUMIFS($AU$134:AU249,$AQ$134:AQ249,"W")</f>
        <v>451.99999999999994</v>
      </c>
      <c r="BQ246" s="343">
        <f>SUMIFS($AU$134:AU247,$Q$134:Q247,"O")</f>
        <v>-78.560000000043658</v>
      </c>
      <c r="BR246" s="343">
        <f>SUMIFS($AU$134:AU247,$AA$134:AA247,"*")</f>
        <v>2161.49999999999</v>
      </c>
      <c r="BS246" s="343">
        <f>SUMIFS($AU$134:AU247,$AB$134:AB247,"*")</f>
        <v>635.13999999995133</v>
      </c>
      <c r="BT246" s="343">
        <f>SUMIFS($AU$134:AU247,$AC$134:AC247,"*")</f>
        <v>1135.0999999999999</v>
      </c>
      <c r="BU246" s="343">
        <f>SUMIFS($AU$134:AU247,$AA$134:AA247,"*",$AB$134:AB247,"*")</f>
        <v>652.39999999998474</v>
      </c>
      <c r="BV246" s="343">
        <f>SUMIFS($AU$134:AU247,$AA$134:AA247,"*",$AC$134:AC247,"*")</f>
        <v>1135.0999999999999</v>
      </c>
      <c r="BW246" s="343">
        <f>SUMIFS($AU$134:AU247,$AB$134:AB247,"*",$AC$134:AC247,"*")</f>
        <v>548.30000000000007</v>
      </c>
      <c r="BX246" s="343">
        <f>SUMIFS($AU247:AU$1388,$Q247:Q$1388,"F")</f>
        <v>14440.666666666668</v>
      </c>
      <c r="BY246" s="343">
        <f>SUMIFS($AU247:AU$1388,$Q247:Q$1388,"S")</f>
        <v>18447.442000000003</v>
      </c>
      <c r="BZ246" s="343">
        <f>SUMIFS($AU247:AU$1388,$Q247:Q$1388,"O")</f>
        <v>-1570.2979999997549</v>
      </c>
    </row>
    <row r="247" spans="1:78" ht="18" customHeight="1">
      <c r="A247" s="221" t="s">
        <v>1148</v>
      </c>
      <c r="B247" s="177">
        <v>44963</v>
      </c>
      <c r="C247" s="178" t="s">
        <v>1242</v>
      </c>
      <c r="D247" s="178" t="s">
        <v>132</v>
      </c>
      <c r="E247" s="227"/>
      <c r="F247" s="180"/>
      <c r="G247" s="246" t="s">
        <v>1243</v>
      </c>
      <c r="H247" s="182"/>
      <c r="I247" s="182"/>
      <c r="J247" s="182"/>
      <c r="K247" s="183"/>
      <c r="L247" s="182">
        <v>1</v>
      </c>
      <c r="M247" s="182">
        <v>1</v>
      </c>
      <c r="N247" s="182"/>
      <c r="O247" s="183" t="s">
        <v>95</v>
      </c>
      <c r="P247" s="183" t="s">
        <v>96</v>
      </c>
      <c r="Q247" s="183" t="s">
        <v>256</v>
      </c>
      <c r="R247" s="183">
        <v>2</v>
      </c>
      <c r="S247" s="183">
        <v>2</v>
      </c>
      <c r="T247" s="183">
        <v>2</v>
      </c>
      <c r="U247" s="183" t="s">
        <v>97</v>
      </c>
      <c r="V247" s="183"/>
      <c r="W247" s="183"/>
      <c r="X247" s="183"/>
      <c r="Y247" s="184">
        <f t="shared" si="105"/>
        <v>0.01</v>
      </c>
      <c r="Z247" s="184">
        <f>IF(ISBLANK(O247),"",IF(O247=UPPER("IB"),8.63*200,16.6*100))</f>
        <v>1660.0000000000002</v>
      </c>
      <c r="AA247" s="185" t="s">
        <v>1244</v>
      </c>
      <c r="AB247" s="185"/>
      <c r="AC247" s="185" t="s">
        <v>1226</v>
      </c>
      <c r="AD247" s="649">
        <v>0.08</v>
      </c>
      <c r="AE247" s="182" t="s">
        <v>1245</v>
      </c>
      <c r="AF247" s="332">
        <v>12</v>
      </c>
      <c r="AG247" s="182"/>
      <c r="AH247" s="182" t="s">
        <v>1246</v>
      </c>
      <c r="AI247" s="182"/>
      <c r="AJ247" s="640"/>
      <c r="AK247" s="182"/>
      <c r="AL247" s="496">
        <f t="shared" si="106"/>
        <v>-66.400000000000006</v>
      </c>
      <c r="AM247" s="496">
        <f>AL247*R247</f>
        <v>-132.80000000000001</v>
      </c>
      <c r="AN247" s="626" t="s">
        <v>1247</v>
      </c>
      <c r="AO247" s="182"/>
      <c r="AP247" s="182" t="s">
        <v>770</v>
      </c>
      <c r="AQ247" s="332" t="str">
        <f>UPPER(RIGHT(Journal_Live[[#This Row],[DURATION ]]))</f>
        <v>D</v>
      </c>
      <c r="AR247" s="182" t="s">
        <v>1248</v>
      </c>
      <c r="AS247" s="189">
        <v>7.0000000000000007E-2</v>
      </c>
      <c r="AT247" s="189">
        <f>IF(ISBLANK(AS247),,IF(U247="S",AD247-AS247,AS247-AD247))</f>
        <v>9.999999999999995E-3</v>
      </c>
      <c r="AU247" s="187">
        <f>AV247*R247</f>
        <v>33.199999999999989</v>
      </c>
      <c r="AV247" s="190">
        <f>IF(ISBLANK(AS247),,(AT247*Z247))</f>
        <v>16.599999999999994</v>
      </c>
      <c r="AW247" s="191" t="s">
        <v>96</v>
      </c>
      <c r="AX247" s="407" t="s">
        <v>1249</v>
      </c>
      <c r="AY247" s="407"/>
      <c r="AZ247" s="407"/>
      <c r="BA247" s="407"/>
      <c r="BB247" s="407"/>
      <c r="BC247" s="407"/>
      <c r="BD247" s="407"/>
      <c r="BE247" s="407"/>
      <c r="BF247" s="422"/>
      <c r="BG247" s="391">
        <f>SUM($AV$4:AV247)</f>
        <v>2344.8549999999923</v>
      </c>
      <c r="BH247" s="392">
        <f>SUM($AU$134:AU247)</f>
        <v>2378.0399999999563</v>
      </c>
      <c r="BI247" s="318">
        <f>SUMIFS($AU$134:AU248,$Q$134:Q248,"F")</f>
        <v>33.199999999999989</v>
      </c>
      <c r="BJ247" s="318">
        <f>SUMIFS($AU$134:AU248,$Q$134:Q248,"S")</f>
        <v>2507.25</v>
      </c>
      <c r="BK247" s="343">
        <f>SUMIFS($AU$134:AU248,$P$134:P248,"W")</f>
        <v>2372.1899999999678</v>
      </c>
      <c r="BL247" s="343">
        <f>SUMIFS($AU$134:AU248,$P$134:P248,"R")</f>
        <v>288.89999999998832</v>
      </c>
      <c r="BM247" s="343">
        <f>SUMIFS($AU$134:AU248,$AQ$134:AQ248,"M")</f>
        <v>0</v>
      </c>
      <c r="BN247" s="343">
        <f>SUMIFS($AU$134:AU248,$AQ$134:AQ248,"H")</f>
        <v>184.60000000001494</v>
      </c>
      <c r="BO247" s="343">
        <f>SUMIFS($AU$134:AU248,$AQ$134:AQ248,"D")</f>
        <v>1575.45</v>
      </c>
      <c r="BP247" s="343">
        <f>SUMIFS($AU$134:AU250,$AQ$134:AQ250,"W")</f>
        <v>451.99999999999994</v>
      </c>
      <c r="BQ247" s="343">
        <f>SUMIFS($AU$134:AU248,$Q$134:Q248,"O")</f>
        <v>-78.560000000043658</v>
      </c>
      <c r="BR247" s="343">
        <f>SUMIFS($AU$134:AU248,$AA$134:AA248,"*")</f>
        <v>2444.5499999999902</v>
      </c>
      <c r="BS247" s="343">
        <f>SUMIFS($AU$134:AU248,$AB$134:AB248,"*")</f>
        <v>635.13999999995133</v>
      </c>
      <c r="BT247" s="343">
        <f>SUMIFS($AU$134:AU248,$AC$134:AC248,"*")</f>
        <v>1418.1499999999999</v>
      </c>
      <c r="BU247" s="343">
        <f>SUMIFS($AU$134:AU248,$AA$134:AA248,"*",$AB$134:AB248,"*")</f>
        <v>652.39999999998474</v>
      </c>
      <c r="BV247" s="343">
        <f>SUMIFS($AU$134:AU248,$AA$134:AA248,"*",$AC$134:AC248,"*")</f>
        <v>1418.1499999999999</v>
      </c>
      <c r="BW247" s="343">
        <f>SUMIFS($AU$134:AU248,$AB$134:AB248,"*",$AC$134:AC248,"*")</f>
        <v>548.30000000000007</v>
      </c>
      <c r="BX247" s="343">
        <f>SUMIFS($AU248:AU$1388,$Q248:Q$1388,"F")</f>
        <v>14407.466666666669</v>
      </c>
      <c r="BY247" s="343">
        <f>SUMIFS($AU248:AU$1388,$Q248:Q$1388,"S")</f>
        <v>18447.442000000003</v>
      </c>
      <c r="BZ247" s="343">
        <f>SUMIFS($AU248:AU$1388,$Q248:Q$1388,"O")</f>
        <v>-1570.2979999997549</v>
      </c>
    </row>
    <row r="248" spans="1:78" ht="18" customHeight="1">
      <c r="A248" s="177" t="s">
        <v>1148</v>
      </c>
      <c r="B248" s="177">
        <v>44964</v>
      </c>
      <c r="C248" s="178" t="s">
        <v>1250</v>
      </c>
      <c r="D248" s="178" t="s">
        <v>146</v>
      </c>
      <c r="E248" s="227"/>
      <c r="F248" s="180"/>
      <c r="G248" s="279" t="s">
        <v>133</v>
      </c>
      <c r="H248" s="182"/>
      <c r="I248" s="182"/>
      <c r="J248" s="182"/>
      <c r="K248" s="183"/>
      <c r="L248" s="182">
        <v>1</v>
      </c>
      <c r="M248" s="182"/>
      <c r="N248" s="182"/>
      <c r="O248" s="183" t="s">
        <v>95</v>
      </c>
      <c r="P248" s="183" t="s">
        <v>96</v>
      </c>
      <c r="Q248" s="183" t="s">
        <v>97</v>
      </c>
      <c r="R248" s="183">
        <v>5</v>
      </c>
      <c r="S248" s="183">
        <v>5</v>
      </c>
      <c r="T248" s="183">
        <v>5</v>
      </c>
      <c r="U248" s="183" t="s">
        <v>97</v>
      </c>
      <c r="V248" s="183"/>
      <c r="W248" s="183"/>
      <c r="X248" s="183"/>
      <c r="Y248" s="184">
        <f t="shared" si="105"/>
        <v>0.01</v>
      </c>
      <c r="Z248" s="184">
        <f>IF(ISBLANK(O248),"",IF(O248=UPPER("IB"),8.63*200,16.65*100))</f>
        <v>1664.9999999999998</v>
      </c>
      <c r="AA248" s="185" t="s">
        <v>1251</v>
      </c>
      <c r="AB248" s="185"/>
      <c r="AC248" s="185" t="s">
        <v>1252</v>
      </c>
      <c r="AD248" s="649">
        <v>-0.02</v>
      </c>
      <c r="AE248" s="182"/>
      <c r="AF248" s="332">
        <v>0</v>
      </c>
      <c r="AG248" s="182"/>
      <c r="AH248" s="182" t="s">
        <v>1227</v>
      </c>
      <c r="AI248" s="182"/>
      <c r="AJ248" s="640"/>
      <c r="AK248" s="182"/>
      <c r="AL248" s="496"/>
      <c r="AM248" s="496"/>
      <c r="AN248" s="626"/>
      <c r="AO248" s="182"/>
      <c r="AP248" s="182" t="s">
        <v>589</v>
      </c>
      <c r="AQ248" s="332" t="str">
        <f>UPPER(RIGHT(Journal_Live[[#This Row],[DURATION ]]))</f>
        <v>D</v>
      </c>
      <c r="AR248" s="182" t="s">
        <v>1253</v>
      </c>
      <c r="AS248" s="189">
        <f>(3*-0.05+2*-0.06)/5</f>
        <v>-5.4000000000000006E-2</v>
      </c>
      <c r="AT248" s="189">
        <f>IF(ISBLANK(AS248),,IF(U248="S",AD248-AS248,AS248-AD248))</f>
        <v>3.4000000000000002E-2</v>
      </c>
      <c r="AU248" s="187">
        <f>AV248*R248</f>
        <v>283.05</v>
      </c>
      <c r="AV248" s="190">
        <f>IF(ISBLANK(AS248),,(AT248*Z248))</f>
        <v>56.61</v>
      </c>
      <c r="AW248" s="191" t="s">
        <v>96</v>
      </c>
      <c r="AX248" s="407" t="s">
        <v>1254</v>
      </c>
      <c r="AY248" s="407"/>
      <c r="AZ248" s="407"/>
      <c r="BA248" s="407"/>
      <c r="BB248" s="407"/>
      <c r="BC248" s="407"/>
      <c r="BD248" s="407" t="s">
        <v>907</v>
      </c>
      <c r="BE248" s="407"/>
      <c r="BF248" s="422"/>
      <c r="BG248" s="391">
        <f>SUM($AV$4:AV248)</f>
        <v>2401.4649999999924</v>
      </c>
      <c r="BH248" s="392">
        <f>SUM($AU$134:AU248)</f>
        <v>2661.0899999999565</v>
      </c>
      <c r="BI248" s="318">
        <f>SUMIFS($AU$134:AU249,$Q$134:Q249,"F")</f>
        <v>33.199999999999989</v>
      </c>
      <c r="BJ248" s="318">
        <f>SUMIFS($AU$134:AU249,$Q$134:Q249,"S")</f>
        <v>2507.25</v>
      </c>
      <c r="BK248" s="343">
        <f>SUMIFS($AU$134:AU249,$P$134:P249,"W")</f>
        <v>2372.1899999999678</v>
      </c>
      <c r="BL248" s="343">
        <f>SUMIFS($AU$134:AU249,$P$134:P249,"R")</f>
        <v>288.89999999998832</v>
      </c>
      <c r="BM248" s="343">
        <f>SUMIFS($AU$134:AU249,$AQ$134:AQ249,"M")</f>
        <v>0</v>
      </c>
      <c r="BN248" s="343">
        <f>SUMIFS($AU$134:AU249,$AQ$134:AQ249,"H")</f>
        <v>184.60000000001494</v>
      </c>
      <c r="BO248" s="343">
        <f>SUMIFS($AU$134:AU249,$AQ$134:AQ249,"D")</f>
        <v>1575.45</v>
      </c>
      <c r="BP248" s="343">
        <f>SUMIFS($AU$134:AU251,$AQ$134:AQ251,"W")</f>
        <v>451.99999999999994</v>
      </c>
      <c r="BQ248" s="343">
        <f>SUMIFS($AU$134:AU249,$Q$134:Q249,"O")</f>
        <v>-78.560000000043658</v>
      </c>
      <c r="BR248" s="343">
        <f>SUMIFS($AU$134:AU249,$AA$134:AA249,"*")</f>
        <v>2444.5499999999902</v>
      </c>
      <c r="BS248" s="343">
        <f>SUMIFS($AU$134:AU249,$AB$134:AB249,"*")</f>
        <v>635.13999999995133</v>
      </c>
      <c r="BT248" s="343">
        <f>SUMIFS($AU$134:AU249,$AC$134:AC249,"*")</f>
        <v>1418.1499999999999</v>
      </c>
      <c r="BU248" s="343">
        <f>SUMIFS($AU$134:AU249,$AA$134:AA249,"*",$AB$134:AB249,"*")</f>
        <v>652.39999999998474</v>
      </c>
      <c r="BV248" s="343">
        <f>SUMIFS($AU$134:AU249,$AA$134:AA249,"*",$AC$134:AC249,"*")</f>
        <v>1418.1499999999999</v>
      </c>
      <c r="BW248" s="343">
        <f>SUMIFS($AU$134:AU249,$AB$134:AB249,"*",$AC$134:AC249,"*")</f>
        <v>548.30000000000007</v>
      </c>
      <c r="BX248" s="343">
        <f>SUMIFS($AU249:AU$1388,$Q249:Q$1388,"F")</f>
        <v>14407.466666666669</v>
      </c>
      <c r="BY248" s="343">
        <f>SUMIFS($AU249:AU$1388,$Q249:Q$1388,"S")</f>
        <v>18164.392000000003</v>
      </c>
      <c r="BZ248" s="343">
        <f>SUMIFS($AU249:AU$1388,$Q249:Q$1388,"O")</f>
        <v>-1570.2979999997549</v>
      </c>
    </row>
    <row r="249" spans="1:78" ht="18" customHeight="1">
      <c r="A249" s="177" t="s">
        <v>1148</v>
      </c>
      <c r="B249" s="177">
        <v>44964</v>
      </c>
      <c r="C249" s="178" t="s">
        <v>1255</v>
      </c>
      <c r="D249" s="178" t="s">
        <v>146</v>
      </c>
      <c r="E249" s="227" t="s">
        <v>1256</v>
      </c>
      <c r="F249" s="180" t="s">
        <v>1257</v>
      </c>
      <c r="G249" s="181"/>
      <c r="H249" s="182"/>
      <c r="I249" s="182">
        <v>1</v>
      </c>
      <c r="J249" s="182"/>
      <c r="K249" s="183"/>
      <c r="L249" s="182"/>
      <c r="M249" s="182"/>
      <c r="N249" s="182"/>
      <c r="O249" s="183"/>
      <c r="P249" s="183"/>
      <c r="Q249" s="183"/>
      <c r="R249" s="183"/>
      <c r="S249" s="183"/>
      <c r="T249" s="183"/>
      <c r="U249" s="183"/>
      <c r="V249" s="183"/>
      <c r="W249" s="183"/>
      <c r="X249" s="183"/>
      <c r="Y249" s="184" t="str">
        <f t="shared" si="105"/>
        <v/>
      </c>
      <c r="Z249" s="184" t="str">
        <f>IF(ISBLANK(O249),"",IF(O249=UPPER("IB"),8.63*200,16.6*100))</f>
        <v/>
      </c>
      <c r="AA249" s="185"/>
      <c r="AB249" s="185"/>
      <c r="AC249" s="185"/>
      <c r="AD249" s="649"/>
      <c r="AE249" s="182"/>
      <c r="AF249" s="332"/>
      <c r="AG249" s="182"/>
      <c r="AH249" s="182"/>
      <c r="AI249" s="182"/>
      <c r="AJ249" s="640"/>
      <c r="AK249" s="182"/>
      <c r="AL249" s="496"/>
      <c r="AM249" s="496"/>
      <c r="AN249" s="626"/>
      <c r="AO249" s="182"/>
      <c r="AP249" s="182"/>
      <c r="AQ249" s="332" t="str">
        <f>UPPER(RIGHT(Journal_Live[[#This Row],[DURATION ]]))</f>
        <v/>
      </c>
      <c r="AR249" s="182"/>
      <c r="AS249" s="189"/>
      <c r="AT249" s="189"/>
      <c r="AU249" s="187"/>
      <c r="AV249" s="190"/>
      <c r="AW249" s="191"/>
      <c r="AX249" s="407"/>
      <c r="AY249" s="407"/>
      <c r="AZ249" s="407"/>
      <c r="BA249" s="407"/>
      <c r="BB249" s="407"/>
      <c r="BC249" s="407"/>
      <c r="BD249" s="407"/>
      <c r="BE249" s="407"/>
      <c r="BF249" s="422"/>
      <c r="BG249" s="391">
        <f>SUM($AV$4:AV249)</f>
        <v>2401.4649999999924</v>
      </c>
      <c r="BH249" s="392">
        <f>SUM($AU$134:AU249)</f>
        <v>2661.0899999999565</v>
      </c>
      <c r="BI249" s="318">
        <f>SUMIFS($AU$134:AU250,$Q$134:Q250,"F")</f>
        <v>33.199999999999989</v>
      </c>
      <c r="BJ249" s="318">
        <f>SUMIFS($AU$134:AU250,$Q$134:Q250,"S")</f>
        <v>2507.25</v>
      </c>
      <c r="BK249" s="343">
        <f>SUMIFS($AU$134:AU250,$P$134:P250,"W")</f>
        <v>2289.1899999999723</v>
      </c>
      <c r="BL249" s="343">
        <f>SUMIFS($AU$134:AU250,$P$134:P250,"R")</f>
        <v>288.89999999998832</v>
      </c>
      <c r="BM249" s="343">
        <f>SUMIFS($AU$134:AU250,$AQ$134:AQ250,"M")</f>
        <v>-82.999999999995296</v>
      </c>
      <c r="BN249" s="343">
        <f>SUMIFS($AU$134:AU250,$AQ$134:AQ250,"H")</f>
        <v>184.60000000001494</v>
      </c>
      <c r="BO249" s="343">
        <f>SUMIFS($AU$134:AU250,$AQ$134:AQ250,"D")</f>
        <v>1575.45</v>
      </c>
      <c r="BP249" s="343">
        <f>SUMIFS($AU$134:AU252,$AQ$134:AQ252,"W")</f>
        <v>368.99999999999994</v>
      </c>
      <c r="BQ249" s="343">
        <f>SUMIFS($AU$134:AU250,$Q$134:Q250,"O")</f>
        <v>-161.56000000003894</v>
      </c>
      <c r="BR249" s="343">
        <f>SUMIFS($AU$134:AU250,$AA$134:AA250,"*")</f>
        <v>2444.5499999999902</v>
      </c>
      <c r="BS249" s="343">
        <f>SUMIFS($AU$134:AU250,$AB$134:AB250,"*")</f>
        <v>552.13999999995599</v>
      </c>
      <c r="BT249" s="343">
        <f>SUMIFS($AU$134:AU250,$AC$134:AC250,"*")</f>
        <v>1418.1499999999999</v>
      </c>
      <c r="BU249" s="343">
        <f>SUMIFS($AU$134:AU250,$AA$134:AA250,"*",$AB$134:AB250,"*")</f>
        <v>652.39999999998474</v>
      </c>
      <c r="BV249" s="343">
        <f>SUMIFS($AU$134:AU250,$AA$134:AA250,"*",$AC$134:AC250,"*")</f>
        <v>1418.1499999999999</v>
      </c>
      <c r="BW249" s="343">
        <f>SUMIFS($AU$134:AU250,$AB$134:AB250,"*",$AC$134:AC250,"*")</f>
        <v>548.30000000000007</v>
      </c>
      <c r="BX249" s="343">
        <f>SUMIFS($AU250:AU$1388,$Q250:Q$1388,"F")</f>
        <v>14407.466666666669</v>
      </c>
      <c r="BY249" s="343">
        <f>SUMIFS($AU250:AU$1388,$Q250:Q$1388,"S")</f>
        <v>18164.392000000003</v>
      </c>
      <c r="BZ249" s="343">
        <f>SUMIFS($AU250:AU$1388,$Q250:Q$1388,"O")</f>
        <v>-1570.2979999997549</v>
      </c>
    </row>
    <row r="250" spans="1:78" ht="18" customHeight="1">
      <c r="A250" s="221" t="s">
        <v>1148</v>
      </c>
      <c r="B250" s="177">
        <v>44964</v>
      </c>
      <c r="C250" s="178" t="s">
        <v>1255</v>
      </c>
      <c r="D250" s="178" t="s">
        <v>146</v>
      </c>
      <c r="E250" s="227"/>
      <c r="F250" s="180"/>
      <c r="G250" s="181" t="s">
        <v>983</v>
      </c>
      <c r="H250" s="182"/>
      <c r="I250" s="182"/>
      <c r="J250" s="182"/>
      <c r="K250" s="183"/>
      <c r="L250" s="182">
        <v>1</v>
      </c>
      <c r="M250" s="182"/>
      <c r="N250" s="182"/>
      <c r="O250" s="183" t="s">
        <v>95</v>
      </c>
      <c r="P250" s="183" t="s">
        <v>96</v>
      </c>
      <c r="Q250" s="183" t="s">
        <v>684</v>
      </c>
      <c r="R250" s="183">
        <v>1</v>
      </c>
      <c r="S250" s="183">
        <v>1</v>
      </c>
      <c r="T250" s="183">
        <v>1</v>
      </c>
      <c r="U250" s="183" t="s">
        <v>22</v>
      </c>
      <c r="V250" s="183"/>
      <c r="W250" s="183"/>
      <c r="X250" s="183"/>
      <c r="Y250" s="184">
        <f t="shared" si="105"/>
        <v>0.01</v>
      </c>
      <c r="Z250" s="184">
        <f>IF(ISBLANK(O250),"",IF(O250=UPPER("IB"),8.63*200,16.6*100))</f>
        <v>1660.0000000000002</v>
      </c>
      <c r="AA250" s="185"/>
      <c r="AB250" s="185" t="s">
        <v>1258</v>
      </c>
      <c r="AC250" s="185"/>
      <c r="AD250" s="649">
        <v>96.05</v>
      </c>
      <c r="AE250" s="182"/>
      <c r="AF250" s="332"/>
      <c r="AG250" s="182"/>
      <c r="AH250" s="182"/>
      <c r="AI250" s="182"/>
      <c r="AJ250" s="640"/>
      <c r="AK250" s="182"/>
      <c r="AL250" s="496"/>
      <c r="AM250" s="496"/>
      <c r="AN250" s="626"/>
      <c r="AO250" s="182"/>
      <c r="AP250" s="182" t="s">
        <v>1142</v>
      </c>
      <c r="AQ250" s="332" t="s">
        <v>1259</v>
      </c>
      <c r="AR250" s="182" t="s">
        <v>1142</v>
      </c>
      <c r="AS250" s="189">
        <v>96</v>
      </c>
      <c r="AT250" s="189">
        <f t="shared" ref="AT250:AT260" si="107">IF(ISBLANK(AS250),,IF(U250="S",AD250-AS250,AS250-AD250))</f>
        <v>-4.9999999999997158E-2</v>
      </c>
      <c r="AU250" s="187">
        <f t="shared" ref="AU250:AU260" si="108">AV250*R250</f>
        <v>-82.999999999995296</v>
      </c>
      <c r="AV250" s="190">
        <f t="shared" ref="AV250:AV260" si="109">IF(ISBLANK(AS250),,(AT250*Z250))</f>
        <v>-82.999999999995296</v>
      </c>
      <c r="AW250" s="191" t="s">
        <v>229</v>
      </c>
      <c r="AX250" s="407"/>
      <c r="AY250" s="407"/>
      <c r="AZ250" s="407"/>
      <c r="BA250" s="407"/>
      <c r="BB250" s="407"/>
      <c r="BC250" s="407"/>
      <c r="BD250" s="407"/>
      <c r="BE250" s="407"/>
      <c r="BF250" s="422"/>
      <c r="BG250" s="391">
        <f>SUM($AV$4:AV250)</f>
        <v>2318.464999999997</v>
      </c>
      <c r="BH250" s="392">
        <f>SUM($AU$134:AU250)</f>
        <v>2578.089999999961</v>
      </c>
      <c r="BI250" s="318">
        <f>SUMIFS($AU$134:AU251,$Q$134:Q251,"F")</f>
        <v>33.199999999999989</v>
      </c>
      <c r="BJ250" s="318">
        <f>SUMIFS($AU$134:AU251,$Q$134:Q251,"S")</f>
        <v>2457.4499999999998</v>
      </c>
      <c r="BK250" s="343">
        <f>SUMIFS($AU$134:AU251,$P$134:P251,"W")</f>
        <v>2289.1899999999723</v>
      </c>
      <c r="BL250" s="343">
        <f>SUMIFS($AU$134:AU251,$P$134:P251,"R")</f>
        <v>239.09999999998831</v>
      </c>
      <c r="BM250" s="343">
        <f>SUMIFS($AU$134:AU251,$AQ$134:AQ251,"M")</f>
        <v>-82.999999999995296</v>
      </c>
      <c r="BN250" s="343">
        <f>SUMIFS($AU$134:AU251,$AQ$134:AQ251,"H")</f>
        <v>184.60000000001494</v>
      </c>
      <c r="BO250" s="343">
        <f>SUMIFS($AU$134:AU251,$AQ$134:AQ251,"D")</f>
        <v>1525.65</v>
      </c>
      <c r="BP250" s="343">
        <f>SUMIFS($AU$134:AU253,$AQ$134:AQ253,"W")</f>
        <v>368.99999999999994</v>
      </c>
      <c r="BQ250" s="343">
        <f>SUMIFS($AU$134:AU251,$Q$134:Q251,"O")</f>
        <v>-161.56000000003894</v>
      </c>
      <c r="BR250" s="343">
        <f>SUMIFS($AU$134:AU251,$AA$134:AA251,"*")</f>
        <v>2394.74999999999</v>
      </c>
      <c r="BS250" s="343">
        <f>SUMIFS($AU$134:AU251,$AB$134:AB251,"*")</f>
        <v>552.13999999995599</v>
      </c>
      <c r="BT250" s="343">
        <f>SUMIFS($AU$134:AU251,$AC$134:AC251,"*")</f>
        <v>1418.1499999999999</v>
      </c>
      <c r="BU250" s="343">
        <f>SUMIFS($AU$134:AU251,$AA$134:AA251,"*",$AB$134:AB251,"*")</f>
        <v>652.39999999998474</v>
      </c>
      <c r="BV250" s="343">
        <f>SUMIFS($AU$134:AU251,$AA$134:AA251,"*",$AC$134:AC251,"*")</f>
        <v>1418.1499999999999</v>
      </c>
      <c r="BW250" s="343">
        <f>SUMIFS($AU$134:AU251,$AB$134:AB251,"*",$AC$134:AC251,"*")</f>
        <v>548.30000000000007</v>
      </c>
      <c r="BX250" s="343">
        <f>SUMIFS($AU251:AU$1388,$Q251:Q$1388,"F")</f>
        <v>14407.466666666669</v>
      </c>
      <c r="BY250" s="343">
        <f>SUMIFS($AU251:AU$1388,$Q251:Q$1388,"S")</f>
        <v>18164.392000000003</v>
      </c>
      <c r="BZ250" s="343">
        <f>SUMIFS($AU251:AU$1388,$Q251:Q$1388,"O")</f>
        <v>-1487.2979999997594</v>
      </c>
    </row>
    <row r="251" spans="1:78" ht="18" customHeight="1">
      <c r="A251" s="177" t="s">
        <v>1148</v>
      </c>
      <c r="B251" s="177">
        <v>44964</v>
      </c>
      <c r="C251" s="178" t="s">
        <v>975</v>
      </c>
      <c r="D251" s="178" t="s">
        <v>146</v>
      </c>
      <c r="E251" s="227"/>
      <c r="F251" s="180"/>
      <c r="G251" s="280" t="s">
        <v>553</v>
      </c>
      <c r="H251" s="182"/>
      <c r="I251" s="182"/>
      <c r="J251" s="182"/>
      <c r="K251" s="183"/>
      <c r="L251" s="182">
        <v>1</v>
      </c>
      <c r="M251" s="182"/>
      <c r="N251" s="182"/>
      <c r="O251" s="183" t="s">
        <v>95</v>
      </c>
      <c r="P251" s="183" t="s">
        <v>137</v>
      </c>
      <c r="Q251" s="183" t="s">
        <v>97</v>
      </c>
      <c r="R251" s="183">
        <v>2</v>
      </c>
      <c r="S251" s="183">
        <v>2</v>
      </c>
      <c r="T251" s="183">
        <v>2</v>
      </c>
      <c r="U251" s="183" t="s">
        <v>22</v>
      </c>
      <c r="V251" s="183"/>
      <c r="W251" s="183"/>
      <c r="X251" s="183"/>
      <c r="Y251" s="184">
        <f t="shared" si="105"/>
        <v>0.01</v>
      </c>
      <c r="Z251" s="184">
        <f>IF(ISBLANK(O251),"",IF(O251=UPPER("IB"),8.63*200,16.6*100))</f>
        <v>1660.0000000000002</v>
      </c>
      <c r="AA251" s="185" t="s">
        <v>936</v>
      </c>
      <c r="AB251" s="185"/>
      <c r="AC251" s="185"/>
      <c r="AD251" s="649">
        <v>-0.09</v>
      </c>
      <c r="AE251" s="182"/>
      <c r="AF251" s="332">
        <v>-12</v>
      </c>
      <c r="AG251" s="182"/>
      <c r="AH251" s="182" t="s">
        <v>1260</v>
      </c>
      <c r="AI251" s="182"/>
      <c r="AJ251" s="640"/>
      <c r="AK251" s="182"/>
      <c r="AL251" s="496">
        <f>-0.02*Z251</f>
        <v>-33.200000000000003</v>
      </c>
      <c r="AM251" s="496">
        <f>AL251*R251</f>
        <v>-66.400000000000006</v>
      </c>
      <c r="AN251" s="626"/>
      <c r="AO251" s="182"/>
      <c r="AP251" s="182" t="s">
        <v>1261</v>
      </c>
      <c r="AQ251" s="332" t="str">
        <f>UPPER(RIGHT(Journal_Live[[#This Row],[DURATION ]]))</f>
        <v>D</v>
      </c>
      <c r="AR251" s="182" t="s">
        <v>1262</v>
      </c>
      <c r="AS251" s="189">
        <v>-0.105</v>
      </c>
      <c r="AT251" s="189">
        <f t="shared" si="107"/>
        <v>-1.4999999999999999E-2</v>
      </c>
      <c r="AU251" s="187">
        <f t="shared" si="108"/>
        <v>-49.800000000000004</v>
      </c>
      <c r="AV251" s="190">
        <f t="shared" si="109"/>
        <v>-24.900000000000002</v>
      </c>
      <c r="AW251" s="191" t="s">
        <v>229</v>
      </c>
      <c r="AX251" s="407" t="s">
        <v>1263</v>
      </c>
      <c r="AY251" s="407" t="s">
        <v>1264</v>
      </c>
      <c r="AZ251" s="407" t="s">
        <v>1265</v>
      </c>
      <c r="BA251" s="407" t="s">
        <v>1266</v>
      </c>
      <c r="BB251" s="407" t="s">
        <v>1267</v>
      </c>
      <c r="BC251" s="407"/>
      <c r="BD251" s="407"/>
      <c r="BE251" s="407"/>
      <c r="BF251" s="422"/>
      <c r="BG251" s="391">
        <f>SUM($AV$4:AV251)</f>
        <v>2293.5649999999969</v>
      </c>
      <c r="BH251" s="392">
        <f>SUM($AU$134:AU251)</f>
        <v>2528.2899999999609</v>
      </c>
      <c r="BI251" s="318">
        <f>SUMIFS($AU$134:AU252,$Q$134:Q252,"F")</f>
        <v>33.199999999999989</v>
      </c>
      <c r="BJ251" s="318">
        <f>SUMIFS($AU$134:AU252,$Q$134:Q252,"S")</f>
        <v>2374.4499999999998</v>
      </c>
      <c r="BK251" s="343">
        <f>SUMIFS($AU$134:AU252,$P$134:P252,"W")</f>
        <v>2206.1899999999723</v>
      </c>
      <c r="BL251" s="343">
        <f>SUMIFS($AU$134:AU252,$P$134:P252,"R")</f>
        <v>239.09999999998831</v>
      </c>
      <c r="BM251" s="343">
        <f>SUMIFS($AU$134:AU252,$AQ$134:AQ252,"M")</f>
        <v>-82.999999999995296</v>
      </c>
      <c r="BN251" s="343">
        <f>SUMIFS($AU$134:AU252,$AQ$134:AQ252,"H")</f>
        <v>184.60000000001494</v>
      </c>
      <c r="BO251" s="343">
        <f>SUMIFS($AU$134:AU252,$AQ$134:AQ252,"D")</f>
        <v>1525.65</v>
      </c>
      <c r="BP251" s="343">
        <f>SUMIFS($AU$134:AU254,$AQ$134:AQ254,"W")</f>
        <v>252.10000000000008</v>
      </c>
      <c r="BQ251" s="343">
        <f>SUMIFS($AU$134:AU252,$Q$134:Q252,"O")</f>
        <v>-161.56000000003894</v>
      </c>
      <c r="BR251" s="343">
        <f>SUMIFS($AU$134:AU252,$AA$134:AA252,"*")</f>
        <v>2311.74999999999</v>
      </c>
      <c r="BS251" s="343">
        <f>SUMIFS($AU$134:AU252,$AB$134:AB252,"*")</f>
        <v>552.13999999995599</v>
      </c>
      <c r="BT251" s="343">
        <f>SUMIFS($AU$134:AU252,$AC$134:AC252,"*")</f>
        <v>1335.1499999999999</v>
      </c>
      <c r="BU251" s="343">
        <f>SUMIFS($AU$134:AU252,$AA$134:AA252,"*",$AB$134:AB252,"*")</f>
        <v>652.39999999998474</v>
      </c>
      <c r="BV251" s="343">
        <f>SUMIFS($AU$134:AU252,$AA$134:AA252,"*",$AC$134:AC252,"*")</f>
        <v>1335.1499999999999</v>
      </c>
      <c r="BW251" s="343">
        <f>SUMIFS($AU$134:AU252,$AB$134:AB252,"*",$AC$134:AC252,"*")</f>
        <v>548.30000000000007</v>
      </c>
      <c r="BX251" s="343">
        <f>SUMIFS($AU252:AU$1388,$Q252:Q$1388,"F")</f>
        <v>14407.466666666669</v>
      </c>
      <c r="BY251" s="343">
        <f>SUMIFS($AU252:AU$1388,$Q252:Q$1388,"S")</f>
        <v>18214.192000000003</v>
      </c>
      <c r="BZ251" s="343">
        <f>SUMIFS($AU252:AU$1388,$Q252:Q$1388,"O")</f>
        <v>-1487.2979999997594</v>
      </c>
    </row>
    <row r="252" spans="1:78" ht="18" customHeight="1">
      <c r="A252" s="177" t="s">
        <v>1148</v>
      </c>
      <c r="B252" s="177">
        <v>44964</v>
      </c>
      <c r="C252" s="178" t="s">
        <v>682</v>
      </c>
      <c r="D252" s="178" t="s">
        <v>146</v>
      </c>
      <c r="E252" s="227"/>
      <c r="F252" s="180"/>
      <c r="G252" s="297" t="s">
        <v>133</v>
      </c>
      <c r="H252" s="182"/>
      <c r="I252" s="182"/>
      <c r="J252" s="182"/>
      <c r="K252" s="183"/>
      <c r="L252" s="182">
        <v>1</v>
      </c>
      <c r="M252" s="182"/>
      <c r="N252" s="182"/>
      <c r="O252" s="183" t="s">
        <v>95</v>
      </c>
      <c r="P252" s="183" t="s">
        <v>96</v>
      </c>
      <c r="Q252" s="183" t="s">
        <v>97</v>
      </c>
      <c r="R252" s="183">
        <v>5</v>
      </c>
      <c r="S252" s="183">
        <v>5</v>
      </c>
      <c r="T252" s="183">
        <v>5</v>
      </c>
      <c r="U252" s="183" t="s">
        <v>97</v>
      </c>
      <c r="V252" s="183"/>
      <c r="W252" s="183"/>
      <c r="X252" s="183"/>
      <c r="Y252" s="184">
        <f t="shared" si="105"/>
        <v>0.01</v>
      </c>
      <c r="Z252" s="184">
        <f>IF(ISBLANK(O252),"",IF(O252=UPPER("IB"),8.63*200,16.6*100))</f>
        <v>1660.0000000000002</v>
      </c>
      <c r="AA252" s="185" t="s">
        <v>1268</v>
      </c>
      <c r="AB252" s="185"/>
      <c r="AC252" s="185" t="s">
        <v>1269</v>
      </c>
      <c r="AD252" s="649">
        <v>-0.01</v>
      </c>
      <c r="AE252" s="182"/>
      <c r="AF252" s="332">
        <v>1</v>
      </c>
      <c r="AG252" s="182"/>
      <c r="AH252" s="182" t="s">
        <v>1270</v>
      </c>
      <c r="AI252" s="182"/>
      <c r="AJ252" s="640"/>
      <c r="AK252" s="182"/>
      <c r="AL252" s="496"/>
      <c r="AM252" s="496"/>
      <c r="AN252" s="626"/>
      <c r="AO252" s="182"/>
      <c r="AP252" s="182" t="s">
        <v>920</v>
      </c>
      <c r="AQ252" s="332" t="s">
        <v>96</v>
      </c>
      <c r="AR252" s="182" t="s">
        <v>1271</v>
      </c>
      <c r="AS252" s="189">
        <v>0</v>
      </c>
      <c r="AT252" s="189">
        <f t="shared" si="107"/>
        <v>-0.01</v>
      </c>
      <c r="AU252" s="187">
        <f t="shared" si="108"/>
        <v>-83</v>
      </c>
      <c r="AV252" s="190">
        <f t="shared" si="109"/>
        <v>-16.600000000000001</v>
      </c>
      <c r="AW252" s="191" t="s">
        <v>229</v>
      </c>
      <c r="AX252" s="407"/>
      <c r="AY252" s="407" t="s">
        <v>1272</v>
      </c>
      <c r="AZ252" s="407" t="s">
        <v>1273</v>
      </c>
      <c r="BA252" s="407"/>
      <c r="BB252" s="407"/>
      <c r="BC252" s="407"/>
      <c r="BD252" s="407"/>
      <c r="BE252" s="407"/>
      <c r="BF252" s="422"/>
      <c r="BG252" s="391">
        <f>SUM($AV$4:AV252)</f>
        <v>2276.964999999997</v>
      </c>
      <c r="BH252" s="392">
        <f>SUM($AU$134:AU252)</f>
        <v>2445.2899999999609</v>
      </c>
      <c r="BI252" s="318">
        <f>SUMIFS($AU$134:AU253,$Q$134:Q253,"F")</f>
        <v>33.199999999999989</v>
      </c>
      <c r="BJ252" s="318">
        <f>SUMIFS($AU$134:AU253,$Q$134:Q253,"S")</f>
        <v>2374.4499999999998</v>
      </c>
      <c r="BK252" s="343">
        <f>SUMIFS($AU$134:AU253,$P$134:P253,"W")</f>
        <v>2206.1899999999723</v>
      </c>
      <c r="BL252" s="343">
        <f>SUMIFS($AU$134:AU253,$P$134:P253,"R")</f>
        <v>239.09999999998831</v>
      </c>
      <c r="BM252" s="343">
        <f>SUMIFS($AU$134:AU253,$AQ$134:AQ253,"M")</f>
        <v>-82.999999999995296</v>
      </c>
      <c r="BN252" s="343">
        <f>SUMIFS($AU$134:AU253,$AQ$134:AQ253,"H")</f>
        <v>184.60000000001494</v>
      </c>
      <c r="BO252" s="343">
        <f>SUMIFS($AU$134:AU253,$AQ$134:AQ253,"D")</f>
        <v>1525.65</v>
      </c>
      <c r="BP252" s="343">
        <f>SUMIFS($AU$134:AU255,$AQ$134:AQ255,"W")</f>
        <v>252.10000000000008</v>
      </c>
      <c r="BQ252" s="343">
        <f>SUMIFS($AU$134:AU253,$Q$134:Q253,"O")</f>
        <v>-161.56000000003894</v>
      </c>
      <c r="BR252" s="343">
        <f>SUMIFS($AU$134:AU253,$AA$134:AA253,"*")</f>
        <v>2311.74999999999</v>
      </c>
      <c r="BS252" s="343">
        <f>SUMIFS($AU$134:AU253,$AB$134:AB253,"*")</f>
        <v>552.13999999995599</v>
      </c>
      <c r="BT252" s="343">
        <f>SUMIFS($AU$134:AU253,$AC$134:AC253,"*")</f>
        <v>1335.1499999999999</v>
      </c>
      <c r="BU252" s="343">
        <f>SUMIFS($AU$134:AU253,$AA$134:AA253,"*",$AB$134:AB253,"*")</f>
        <v>652.39999999998474</v>
      </c>
      <c r="BV252" s="343">
        <f>SUMIFS($AU$134:AU253,$AA$134:AA253,"*",$AC$134:AC253,"*")</f>
        <v>1335.1499999999999</v>
      </c>
      <c r="BW252" s="343">
        <f>SUMIFS($AU$134:AU253,$AB$134:AB253,"*",$AC$134:AC253,"*")</f>
        <v>548.30000000000007</v>
      </c>
      <c r="BX252" s="343">
        <f>SUMIFS($AU253:AU$1388,$Q253:Q$1388,"F")</f>
        <v>14407.466666666669</v>
      </c>
      <c r="BY252" s="343">
        <f>SUMIFS($AU253:AU$1388,$Q253:Q$1388,"S")</f>
        <v>18297.192000000003</v>
      </c>
      <c r="BZ252" s="343">
        <f>SUMIFS($AU253:AU$1388,$Q253:Q$1388,"O")</f>
        <v>-1487.2979999997594</v>
      </c>
    </row>
    <row r="253" spans="1:78" ht="18" customHeight="1">
      <c r="A253" s="221" t="s">
        <v>1148</v>
      </c>
      <c r="B253" s="177">
        <v>44964</v>
      </c>
      <c r="C253" s="178" t="s">
        <v>682</v>
      </c>
      <c r="D253" s="178" t="s">
        <v>146</v>
      </c>
      <c r="E253" s="227"/>
      <c r="F253" s="180"/>
      <c r="G253" s="281" t="s">
        <v>271</v>
      </c>
      <c r="H253" s="182"/>
      <c r="I253" s="182"/>
      <c r="J253" s="182"/>
      <c r="K253" s="183"/>
      <c r="L253" s="182">
        <v>1</v>
      </c>
      <c r="M253" s="182"/>
      <c r="N253" s="182"/>
      <c r="O253" s="183" t="s">
        <v>95</v>
      </c>
      <c r="P253" s="183" t="s">
        <v>137</v>
      </c>
      <c r="Q253" s="183" t="s">
        <v>97</v>
      </c>
      <c r="R253" s="183">
        <v>5</v>
      </c>
      <c r="S253" s="183">
        <v>5</v>
      </c>
      <c r="T253" s="183">
        <v>5</v>
      </c>
      <c r="U253" s="183" t="s">
        <v>22</v>
      </c>
      <c r="V253" s="183"/>
      <c r="W253" s="183"/>
      <c r="X253" s="183"/>
      <c r="Y253" s="184">
        <f t="shared" si="105"/>
        <v>0.01</v>
      </c>
      <c r="Z253" s="184">
        <f>IF(ISBLANK(O253),"",IF(O253=UPPER("IB"),8.63*200,16.6*100))</f>
        <v>1660.0000000000002</v>
      </c>
      <c r="AA253" s="185" t="s">
        <v>1274</v>
      </c>
      <c r="AB253" s="185"/>
      <c r="AC253" s="185"/>
      <c r="AD253" s="649">
        <v>-0.16</v>
      </c>
      <c r="AE253" s="182"/>
      <c r="AF253" s="332"/>
      <c r="AG253" s="182"/>
      <c r="AH253" s="182">
        <v>-14</v>
      </c>
      <c r="AI253" s="182"/>
      <c r="AJ253" s="640"/>
      <c r="AK253" s="182"/>
      <c r="AL253" s="496">
        <f>-0.03*Z253</f>
        <v>-49.800000000000004</v>
      </c>
      <c r="AM253" s="496">
        <f t="shared" ref="AM253:AM260" si="110">AL253*R253</f>
        <v>-249.00000000000003</v>
      </c>
      <c r="AN253" s="626"/>
      <c r="AO253" s="182"/>
      <c r="AP253" s="182" t="s">
        <v>999</v>
      </c>
      <c r="AQ253" s="332" t="str">
        <f>UPPER(RIGHT(Journal_Live[[#This Row],[DURATION ]]))</f>
        <v>D</v>
      </c>
      <c r="AR253" s="182" t="s">
        <v>1275</v>
      </c>
      <c r="AS253" s="189">
        <v>-0.16</v>
      </c>
      <c r="AT253" s="189">
        <f t="shared" si="107"/>
        <v>0</v>
      </c>
      <c r="AU253" s="187">
        <f t="shared" si="108"/>
        <v>0</v>
      </c>
      <c r="AV253" s="190">
        <f t="shared" si="109"/>
        <v>0</v>
      </c>
      <c r="AW253" s="191" t="s">
        <v>115</v>
      </c>
      <c r="AX253" s="407" t="s">
        <v>1276</v>
      </c>
      <c r="AY253" s="407" t="s">
        <v>1277</v>
      </c>
      <c r="AZ253" s="407" t="s">
        <v>1278</v>
      </c>
      <c r="BA253" s="407"/>
      <c r="BB253" s="407"/>
      <c r="BC253" s="407"/>
      <c r="BD253" s="407"/>
      <c r="BE253" s="407"/>
      <c r="BF253" s="422"/>
      <c r="BG253" s="391">
        <f>SUM($AV$4:AV253)</f>
        <v>2276.964999999997</v>
      </c>
      <c r="BH253" s="392">
        <f>SUM($AU$134:AU253)</f>
        <v>2445.2899999999609</v>
      </c>
      <c r="BI253" s="318">
        <f>SUMIFS($AU$134:AU254,$Q$134:Q254,"F")</f>
        <v>33.199999999999989</v>
      </c>
      <c r="BJ253" s="318">
        <f>SUMIFS($AU$134:AU254,$Q$134:Q254,"S")</f>
        <v>2257.5500000000002</v>
      </c>
      <c r="BK253" s="343">
        <f>SUMIFS($AU$134:AU254,$P$134:P254,"W")</f>
        <v>2206.1899999999723</v>
      </c>
      <c r="BL253" s="343">
        <f>SUMIFS($AU$134:AU254,$P$134:P254,"R")</f>
        <v>122.19999999998845</v>
      </c>
      <c r="BM253" s="343">
        <f>SUMIFS($AU$134:AU254,$AQ$134:AQ254,"M")</f>
        <v>-82.999999999995296</v>
      </c>
      <c r="BN253" s="343">
        <f>SUMIFS($AU$134:AU254,$AQ$134:AQ254,"H")</f>
        <v>184.60000000001494</v>
      </c>
      <c r="BO253" s="343">
        <f>SUMIFS($AU$134:AU254,$AQ$134:AQ254,"D")</f>
        <v>1525.65</v>
      </c>
      <c r="BP253" s="343">
        <f>SUMIFS($AU$134:AU256,$AQ$134:AQ256,"W")</f>
        <v>252.10000000000008</v>
      </c>
      <c r="BQ253" s="343">
        <f>SUMIFS($AU$134:AU254,$Q$134:Q254,"O")</f>
        <v>-161.56000000003894</v>
      </c>
      <c r="BR253" s="343">
        <f>SUMIFS($AU$134:AU254,$AA$134:AA254,"*")</f>
        <v>2194.8499999999904</v>
      </c>
      <c r="BS253" s="343">
        <f>SUMIFS($AU$134:AU254,$AB$134:AB254,"*")</f>
        <v>435.23999999995613</v>
      </c>
      <c r="BT253" s="343">
        <f>SUMIFS($AU$134:AU254,$AC$134:AC254,"*")</f>
        <v>1335.1499999999999</v>
      </c>
      <c r="BU253" s="343">
        <f>SUMIFS($AU$134:AU254,$AA$134:AA254,"*",$AB$134:AB254,"*")</f>
        <v>535.49999999998488</v>
      </c>
      <c r="BV253" s="343">
        <f>SUMIFS($AU$134:AU254,$AA$134:AA254,"*",$AC$134:AC254,"*")</f>
        <v>1335.1499999999999</v>
      </c>
      <c r="BW253" s="343">
        <f>SUMIFS($AU$134:AU254,$AB$134:AB254,"*",$AC$134:AC254,"*")</f>
        <v>548.30000000000007</v>
      </c>
      <c r="BX253" s="343">
        <f>SUMIFS($AU254:AU$1388,$Q254:Q$1388,"F")</f>
        <v>14407.466666666669</v>
      </c>
      <c r="BY253" s="343">
        <f>SUMIFS($AU254:AU$1388,$Q254:Q$1388,"S")</f>
        <v>18297.192000000003</v>
      </c>
      <c r="BZ253" s="343">
        <f>SUMIFS($AU254:AU$1388,$Q254:Q$1388,"O")</f>
        <v>-1487.2979999997594</v>
      </c>
    </row>
    <row r="254" spans="1:78" ht="18" customHeight="1">
      <c r="A254" s="177" t="s">
        <v>1148</v>
      </c>
      <c r="B254" s="177">
        <v>44964</v>
      </c>
      <c r="C254" s="178" t="s">
        <v>1279</v>
      </c>
      <c r="D254" s="178" t="s">
        <v>146</v>
      </c>
      <c r="E254" s="227"/>
      <c r="F254" s="180"/>
      <c r="G254" s="286" t="s">
        <v>280</v>
      </c>
      <c r="H254" s="182"/>
      <c r="I254" s="182"/>
      <c r="J254" s="182"/>
      <c r="K254" s="183"/>
      <c r="L254" s="182">
        <v>1</v>
      </c>
      <c r="M254" s="182"/>
      <c r="N254" s="182"/>
      <c r="O254" s="183" t="s">
        <v>95</v>
      </c>
      <c r="P254" s="183" t="s">
        <v>137</v>
      </c>
      <c r="Q254" s="183" t="s">
        <v>97</v>
      </c>
      <c r="R254" s="183">
        <v>5</v>
      </c>
      <c r="S254" s="183">
        <v>5</v>
      </c>
      <c r="T254" s="183">
        <v>5</v>
      </c>
      <c r="U254" s="183" t="s">
        <v>22</v>
      </c>
      <c r="V254" s="183"/>
      <c r="W254" s="183"/>
      <c r="X254" s="183"/>
      <c r="Y254" s="184">
        <f t="shared" si="105"/>
        <v>0.01</v>
      </c>
      <c r="Z254" s="184">
        <f>IF(ISBLANK(O254),"",IF(O254=UPPER("IB"),8.63*200,16.7*100))</f>
        <v>1670</v>
      </c>
      <c r="AA254" s="185" t="s">
        <v>1280</v>
      </c>
      <c r="AB254" s="185" t="s">
        <v>529</v>
      </c>
      <c r="AC254" s="185"/>
      <c r="AD254" s="649">
        <v>-0.13</v>
      </c>
      <c r="AE254" s="182"/>
      <c r="AF254" s="332"/>
      <c r="AG254" s="182"/>
      <c r="AH254" s="182">
        <v>-11</v>
      </c>
      <c r="AI254" s="182"/>
      <c r="AJ254" s="640"/>
      <c r="AK254" s="182"/>
      <c r="AL254" s="496">
        <f>-0.03*Z254</f>
        <v>-50.1</v>
      </c>
      <c r="AM254" s="496">
        <f t="shared" si="110"/>
        <v>-250.5</v>
      </c>
      <c r="AN254" s="626" t="s">
        <v>1281</v>
      </c>
      <c r="AO254" s="182"/>
      <c r="AP254" s="182" t="s">
        <v>902</v>
      </c>
      <c r="AQ254" s="332" t="str">
        <f>UPPER(RIGHT(Journal_Live[[#This Row],[DURATION ]]))</f>
        <v>W</v>
      </c>
      <c r="AR254" s="285" t="s">
        <v>1282</v>
      </c>
      <c r="AS254" s="189">
        <f>(-0.15*2+-0.14*3)/5</f>
        <v>-0.14399999999999999</v>
      </c>
      <c r="AT254" s="189">
        <f t="shared" si="107"/>
        <v>-1.3999999999999985E-2</v>
      </c>
      <c r="AU254" s="187">
        <f t="shared" si="108"/>
        <v>-116.89999999999986</v>
      </c>
      <c r="AV254" s="190">
        <f t="shared" si="109"/>
        <v>-23.379999999999974</v>
      </c>
      <c r="AW254" s="191" t="s">
        <v>229</v>
      </c>
      <c r="AX254" s="407" t="s">
        <v>1283</v>
      </c>
      <c r="AY254" s="407" t="s">
        <v>1277</v>
      </c>
      <c r="AZ254" s="407" t="s">
        <v>1284</v>
      </c>
      <c r="BA254" s="407" t="s">
        <v>1285</v>
      </c>
      <c r="BB254" s="407"/>
      <c r="BC254" s="407"/>
      <c r="BD254" s="407"/>
      <c r="BE254" s="407"/>
      <c r="BF254" s="422"/>
      <c r="BG254" s="391">
        <f>SUM($AV$4:AV254)</f>
        <v>2253.5849999999969</v>
      </c>
      <c r="BH254" s="392">
        <f>SUM($AU$134:AU254)</f>
        <v>2328.3899999999612</v>
      </c>
      <c r="BI254" s="318">
        <f>SUMIFS($AU$134:AU255,$Q$134:Q255,"F")</f>
        <v>33.199999999999989</v>
      </c>
      <c r="BJ254" s="318">
        <f>SUMIFS($AU$134:AU255,$Q$134:Q255,"S")</f>
        <v>2290.75</v>
      </c>
      <c r="BK254" s="343">
        <f>SUMIFS($AU$134:AU255,$P$134:P255,"W")</f>
        <v>2206.1899999999723</v>
      </c>
      <c r="BL254" s="343">
        <f>SUMIFS($AU$134:AU255,$P$134:P255,"R")</f>
        <v>155.39999999998844</v>
      </c>
      <c r="BM254" s="343">
        <f>SUMIFS($AU$134:AU255,$AQ$134:AQ255,"M")</f>
        <v>-82.999999999995296</v>
      </c>
      <c r="BN254" s="343">
        <f>SUMIFS($AU$134:AU255,$AQ$134:AQ255,"H")</f>
        <v>217.80000000001493</v>
      </c>
      <c r="BO254" s="343">
        <f>SUMIFS($AU$134:AU255,$AQ$134:AQ255,"D")</f>
        <v>1525.65</v>
      </c>
      <c r="BP254" s="343">
        <f>SUMIFS($AU$134:AU257,$AQ$134:AQ257,"W")</f>
        <v>252.10000000000008</v>
      </c>
      <c r="BQ254" s="343">
        <f>SUMIFS($AU$134:AU255,$Q$134:Q255,"O")</f>
        <v>-161.56000000003894</v>
      </c>
      <c r="BR254" s="343">
        <f>SUMIFS($AU$134:AU255,$AA$134:AA255,"*")</f>
        <v>2228.0499999999902</v>
      </c>
      <c r="BS254" s="343">
        <f>SUMIFS($AU$134:AU255,$AB$134:AB255,"*")</f>
        <v>435.23999999995613</v>
      </c>
      <c r="BT254" s="343">
        <f>SUMIFS($AU$134:AU255,$AC$134:AC255,"*")</f>
        <v>1368.35</v>
      </c>
      <c r="BU254" s="343">
        <f>SUMIFS($AU$134:AU255,$AA$134:AA255,"*",$AB$134:AB255,"*")</f>
        <v>535.49999999998488</v>
      </c>
      <c r="BV254" s="343">
        <f>SUMIFS($AU$134:AU255,$AA$134:AA255,"*",$AC$134:AC255,"*")</f>
        <v>1368.35</v>
      </c>
      <c r="BW254" s="343">
        <f>SUMIFS($AU$134:AU255,$AB$134:AB255,"*",$AC$134:AC255,"*")</f>
        <v>548.30000000000007</v>
      </c>
      <c r="BX254" s="343">
        <f>SUMIFS($AU255:AU$1388,$Q255:Q$1388,"F")</f>
        <v>14407.466666666669</v>
      </c>
      <c r="BY254" s="343">
        <f>SUMIFS($AU255:AU$1388,$Q255:Q$1388,"S")</f>
        <v>18414.092000000004</v>
      </c>
      <c r="BZ254" s="343">
        <f>SUMIFS($AU255:AU$1388,$Q255:Q$1388,"O")</f>
        <v>-1487.2979999997594</v>
      </c>
    </row>
    <row r="255" spans="1:78" ht="18" customHeight="1">
      <c r="A255" s="177" t="s">
        <v>1148</v>
      </c>
      <c r="B255" s="177">
        <v>44964</v>
      </c>
      <c r="C255" s="178" t="s">
        <v>1279</v>
      </c>
      <c r="D255" s="178" t="s">
        <v>146</v>
      </c>
      <c r="E255" s="227"/>
      <c r="F255" s="180"/>
      <c r="G255" s="276" t="s">
        <v>365</v>
      </c>
      <c r="H255" s="182"/>
      <c r="I255" s="182"/>
      <c r="J255" s="182"/>
      <c r="K255" s="183"/>
      <c r="L255" s="182">
        <v>1</v>
      </c>
      <c r="M255" s="182"/>
      <c r="N255" s="182"/>
      <c r="O255" s="183" t="s">
        <v>95</v>
      </c>
      <c r="P255" s="183" t="s">
        <v>137</v>
      </c>
      <c r="Q255" s="183" t="s">
        <v>97</v>
      </c>
      <c r="R255" s="183">
        <v>2</v>
      </c>
      <c r="S255" s="183">
        <v>2</v>
      </c>
      <c r="T255" s="183">
        <v>2</v>
      </c>
      <c r="U255" s="183" t="s">
        <v>22</v>
      </c>
      <c r="V255" s="183"/>
      <c r="W255" s="183"/>
      <c r="X255" s="183"/>
      <c r="Y255" s="184">
        <f t="shared" si="105"/>
        <v>0.01</v>
      </c>
      <c r="Z255" s="184">
        <f t="shared" ref="Z255:Z263" si="111">IF(ISBLANK(O255),"",IF(O255=UPPER("IB"),8.63*200,16.6*100))</f>
        <v>1660.0000000000002</v>
      </c>
      <c r="AA255" s="185" t="s">
        <v>1286</v>
      </c>
      <c r="AB255" s="185"/>
      <c r="AC255" s="185" t="s">
        <v>1287</v>
      </c>
      <c r="AD255" s="649">
        <v>-0.12</v>
      </c>
      <c r="AE255" s="182"/>
      <c r="AF255" s="332"/>
      <c r="AG255" s="182"/>
      <c r="AH255" s="182"/>
      <c r="AI255" s="182"/>
      <c r="AJ255" s="640"/>
      <c r="AK255" s="182"/>
      <c r="AL255" s="496">
        <f t="shared" ref="AL255" si="112">-0.02*Z255</f>
        <v>-33.200000000000003</v>
      </c>
      <c r="AM255" s="496">
        <f t="shared" si="110"/>
        <v>-66.400000000000006</v>
      </c>
      <c r="AN255" s="626"/>
      <c r="AO255" s="182"/>
      <c r="AP255" s="182" t="s">
        <v>964</v>
      </c>
      <c r="AQ255" s="332" t="str">
        <f>UPPER(RIGHT(Journal_Live[[#This Row],[DURATION ]]))</f>
        <v>H</v>
      </c>
      <c r="AR255" s="182" t="s">
        <v>1288</v>
      </c>
      <c r="AS255" s="189">
        <v>-0.11</v>
      </c>
      <c r="AT255" s="189">
        <f t="shared" si="107"/>
        <v>9.999999999999995E-3</v>
      </c>
      <c r="AU255" s="187">
        <f t="shared" si="108"/>
        <v>33.199999999999989</v>
      </c>
      <c r="AV255" s="190">
        <f t="shared" si="109"/>
        <v>16.599999999999994</v>
      </c>
      <c r="AW255" s="191" t="s">
        <v>96</v>
      </c>
      <c r="AX255" s="407"/>
      <c r="AY255" s="407"/>
      <c r="AZ255" s="407"/>
      <c r="BA255" s="407"/>
      <c r="BB255" s="407"/>
      <c r="BC255" s="407"/>
      <c r="BD255" s="407"/>
      <c r="BE255" s="407"/>
      <c r="BF255" s="422"/>
      <c r="BG255" s="391">
        <f>SUM($AV$4:AV255)</f>
        <v>2270.1849999999968</v>
      </c>
      <c r="BH255" s="392">
        <f>SUM($AU$134:AU255)</f>
        <v>2361.589999999961</v>
      </c>
      <c r="BI255" s="318">
        <f>SUMIFS($AU$134:AU256,$Q$134:Q256,"F")</f>
        <v>33.199999999999989</v>
      </c>
      <c r="BJ255" s="318">
        <f>SUMIFS($AU$134:AU256,$Q$134:Q256,"S")</f>
        <v>2307.35</v>
      </c>
      <c r="BK255" s="343">
        <f>SUMIFS($AU$134:AU256,$P$134:P256,"W")</f>
        <v>2222.7899999999722</v>
      </c>
      <c r="BL255" s="343">
        <f>SUMIFS($AU$134:AU256,$P$134:P256,"R")</f>
        <v>155.39999999998844</v>
      </c>
      <c r="BM255" s="343">
        <f>SUMIFS($AU$134:AU256,$AQ$134:AQ256,"M")</f>
        <v>-82.999999999995296</v>
      </c>
      <c r="BN255" s="343">
        <f>SUMIFS($AU$134:AU256,$AQ$134:AQ256,"H")</f>
        <v>234.40000000001493</v>
      </c>
      <c r="BO255" s="343">
        <f>SUMIFS($AU$134:AU256,$AQ$134:AQ256,"D")</f>
        <v>1525.65</v>
      </c>
      <c r="BP255" s="343">
        <f>SUMIFS($AU$134:AU258,$AQ$134:AQ258,"W")</f>
        <v>252.10000000000008</v>
      </c>
      <c r="BQ255" s="343">
        <f>SUMIFS($AU$134:AU256,$Q$134:Q256,"O")</f>
        <v>-161.56000000003894</v>
      </c>
      <c r="BR255" s="343">
        <f>SUMIFS($AU$134:AU256,$AA$134:AA256,"*")</f>
        <v>2244.6499999999901</v>
      </c>
      <c r="BS255" s="343">
        <f>SUMIFS($AU$134:AU256,$AB$134:AB256,"*")</f>
        <v>435.23999999995613</v>
      </c>
      <c r="BT255" s="343">
        <f>SUMIFS($AU$134:AU256,$AC$134:AC256,"*")</f>
        <v>1384.9499999999998</v>
      </c>
      <c r="BU255" s="343">
        <f>SUMIFS($AU$134:AU256,$AA$134:AA256,"*",$AB$134:AB256,"*")</f>
        <v>535.49999999998488</v>
      </c>
      <c r="BV255" s="343">
        <f>SUMIFS($AU$134:AU256,$AA$134:AA256,"*",$AC$134:AC256,"*")</f>
        <v>1384.9499999999998</v>
      </c>
      <c r="BW255" s="343">
        <f>SUMIFS($AU$134:AU256,$AB$134:AB256,"*",$AC$134:AC256,"*")</f>
        <v>548.30000000000007</v>
      </c>
      <c r="BX255" s="343">
        <f>SUMIFS($AU256:AU$1388,$Q256:Q$1388,"F")</f>
        <v>14407.466666666669</v>
      </c>
      <c r="BY255" s="343">
        <f>SUMIFS($AU256:AU$1388,$Q256:Q$1388,"S")</f>
        <v>18380.892000000003</v>
      </c>
      <c r="BZ255" s="343">
        <f>SUMIFS($AU256:AU$1388,$Q256:Q$1388,"O")</f>
        <v>-1487.2979999997594</v>
      </c>
    </row>
    <row r="256" spans="1:78" ht="18" customHeight="1">
      <c r="A256" s="221" t="s">
        <v>1148</v>
      </c>
      <c r="B256" s="177">
        <v>44964</v>
      </c>
      <c r="C256" s="178" t="s">
        <v>682</v>
      </c>
      <c r="D256" s="178" t="s">
        <v>146</v>
      </c>
      <c r="E256" s="227"/>
      <c r="F256" s="180"/>
      <c r="G256" s="249" t="s">
        <v>757</v>
      </c>
      <c r="H256" s="182"/>
      <c r="I256" s="182"/>
      <c r="J256" s="182"/>
      <c r="K256" s="183"/>
      <c r="L256" s="182">
        <v>1</v>
      </c>
      <c r="M256" s="182">
        <v>1</v>
      </c>
      <c r="N256" s="182"/>
      <c r="O256" s="183" t="s">
        <v>95</v>
      </c>
      <c r="P256" s="183" t="s">
        <v>96</v>
      </c>
      <c r="Q256" s="183" t="s">
        <v>97</v>
      </c>
      <c r="R256" s="183">
        <v>1</v>
      </c>
      <c r="S256" s="183">
        <v>1</v>
      </c>
      <c r="T256" s="183">
        <v>1</v>
      </c>
      <c r="U256" s="183" t="s">
        <v>97</v>
      </c>
      <c r="V256" s="183"/>
      <c r="W256" s="183"/>
      <c r="X256" s="183"/>
      <c r="Y256" s="184">
        <f t="shared" si="105"/>
        <v>0.01</v>
      </c>
      <c r="Z256" s="184">
        <f t="shared" si="111"/>
        <v>1660.0000000000002</v>
      </c>
      <c r="AA256" s="185" t="s">
        <v>1234</v>
      </c>
      <c r="AB256" s="185"/>
      <c r="AC256" s="185" t="s">
        <v>1235</v>
      </c>
      <c r="AD256" s="649">
        <v>0.06</v>
      </c>
      <c r="AE256" s="182"/>
      <c r="AF256" s="332">
        <v>9</v>
      </c>
      <c r="AG256" s="182" t="s">
        <v>1236</v>
      </c>
      <c r="AH256" s="182" t="s">
        <v>1289</v>
      </c>
      <c r="AI256" s="182"/>
      <c r="AJ256" s="640"/>
      <c r="AK256" s="182"/>
      <c r="AL256" s="496">
        <f t="shared" ref="AL256" si="113">-0.04*Z256</f>
        <v>-66.400000000000006</v>
      </c>
      <c r="AM256" s="496">
        <f t="shared" si="110"/>
        <v>-66.400000000000006</v>
      </c>
      <c r="AN256" s="626" t="s">
        <v>1238</v>
      </c>
      <c r="AO256" s="182" t="s">
        <v>1239</v>
      </c>
      <c r="AP256" s="182" t="s">
        <v>846</v>
      </c>
      <c r="AQ256" s="332" t="str">
        <f>UPPER(RIGHT(Journal_Live[[#This Row],[DURATION ]]))</f>
        <v>H</v>
      </c>
      <c r="AR256" s="182" t="s">
        <v>1240</v>
      </c>
      <c r="AS256" s="189">
        <v>0.05</v>
      </c>
      <c r="AT256" s="189">
        <f t="shared" si="107"/>
        <v>9.999999999999995E-3</v>
      </c>
      <c r="AU256" s="187">
        <f t="shared" si="108"/>
        <v>16.599999999999994</v>
      </c>
      <c r="AV256" s="190">
        <f t="shared" si="109"/>
        <v>16.599999999999994</v>
      </c>
      <c r="AW256" s="191" t="s">
        <v>96</v>
      </c>
      <c r="AX256" s="407"/>
      <c r="AY256" s="407"/>
      <c r="AZ256" s="407"/>
      <c r="BA256" s="407"/>
      <c r="BB256" s="407"/>
      <c r="BC256" s="407"/>
      <c r="BD256" s="407"/>
      <c r="BE256" s="407"/>
      <c r="BF256" s="422"/>
      <c r="BG256" s="391">
        <f>SUM($AV$4:AV256)</f>
        <v>2286.7849999999967</v>
      </c>
      <c r="BH256" s="392">
        <f>SUM($AU$134:AU256)</f>
        <v>2378.1899999999609</v>
      </c>
      <c r="BI256" s="318">
        <f>SUMIFS($AU$134:AU257,$Q$134:Q257,"F")</f>
        <v>33.199999999999989</v>
      </c>
      <c r="BJ256" s="318">
        <f>SUMIFS($AU$134:AU257,$Q$134:Q257,"S")</f>
        <v>2323.9499999999998</v>
      </c>
      <c r="BK256" s="343">
        <f>SUMIFS($AU$134:AU257,$P$134:P257,"W")</f>
        <v>2239.3899999999721</v>
      </c>
      <c r="BL256" s="343">
        <f>SUMIFS($AU$134:AU257,$P$134:P257,"R")</f>
        <v>155.39999999998844</v>
      </c>
      <c r="BM256" s="343">
        <f>SUMIFS($AU$134:AU257,$AQ$134:AQ257,"M")</f>
        <v>-82.999999999995296</v>
      </c>
      <c r="BN256" s="343">
        <f>SUMIFS($AU$134:AU257,$AQ$134:AQ257,"H")</f>
        <v>251.00000000001495</v>
      </c>
      <c r="BO256" s="343">
        <f>SUMIFS($AU$134:AU257,$AQ$134:AQ257,"D")</f>
        <v>1525.65</v>
      </c>
      <c r="BP256" s="343">
        <f>SUMIFS($AU$134:AU259,$AQ$134:AQ259,"W")</f>
        <v>252.10000000000008</v>
      </c>
      <c r="BQ256" s="343">
        <f>SUMIFS($AU$134:AU257,$Q$134:Q257,"O")</f>
        <v>-161.56000000003894</v>
      </c>
      <c r="BR256" s="343">
        <f>SUMIFS($AU$134:AU257,$AA$134:AA257,"*")</f>
        <v>2261.24999999999</v>
      </c>
      <c r="BS256" s="343">
        <f>SUMIFS($AU$134:AU257,$AB$134:AB257,"*")</f>
        <v>435.23999999995613</v>
      </c>
      <c r="BT256" s="343">
        <f>SUMIFS($AU$134:AU257,$AC$134:AC257,"*")</f>
        <v>1401.5499999999997</v>
      </c>
      <c r="BU256" s="343">
        <f>SUMIFS($AU$134:AU257,$AA$134:AA257,"*",$AB$134:AB257,"*")</f>
        <v>535.49999999998488</v>
      </c>
      <c r="BV256" s="343">
        <f>SUMIFS($AU$134:AU257,$AA$134:AA257,"*",$AC$134:AC257,"*")</f>
        <v>1401.5499999999997</v>
      </c>
      <c r="BW256" s="343">
        <f>SUMIFS($AU$134:AU257,$AB$134:AB257,"*",$AC$134:AC257,"*")</f>
        <v>548.30000000000007</v>
      </c>
      <c r="BX256" s="343">
        <f>SUMIFS($AU257:AU$1388,$Q257:Q$1388,"F")</f>
        <v>14407.466666666669</v>
      </c>
      <c r="BY256" s="343">
        <f>SUMIFS($AU257:AU$1388,$Q257:Q$1388,"S")</f>
        <v>18364.292000000001</v>
      </c>
      <c r="BZ256" s="343">
        <f>SUMIFS($AU257:AU$1388,$Q257:Q$1388,"O")</f>
        <v>-1487.2979999997594</v>
      </c>
    </row>
    <row r="257" spans="1:78" ht="18" customHeight="1">
      <c r="A257" s="177" t="s">
        <v>1148</v>
      </c>
      <c r="B257" s="177">
        <v>44964</v>
      </c>
      <c r="C257" s="178" t="s">
        <v>1290</v>
      </c>
      <c r="D257" s="178" t="s">
        <v>146</v>
      </c>
      <c r="E257" s="227"/>
      <c r="F257" s="180"/>
      <c r="G257" s="276" t="s">
        <v>435</v>
      </c>
      <c r="H257" s="182"/>
      <c r="I257" s="182"/>
      <c r="J257" s="182"/>
      <c r="K257" s="183"/>
      <c r="L257" s="182">
        <v>1</v>
      </c>
      <c r="M257" s="182"/>
      <c r="N257" s="182"/>
      <c r="O257" s="183" t="s">
        <v>95</v>
      </c>
      <c r="P257" s="183" t="s">
        <v>96</v>
      </c>
      <c r="Q257" s="183" t="s">
        <v>97</v>
      </c>
      <c r="R257" s="183">
        <v>1</v>
      </c>
      <c r="S257" s="183">
        <v>1</v>
      </c>
      <c r="T257" s="183">
        <v>1</v>
      </c>
      <c r="U257" s="183" t="s">
        <v>97</v>
      </c>
      <c r="V257" s="183"/>
      <c r="W257" s="183"/>
      <c r="X257" s="183"/>
      <c r="Y257" s="184">
        <f t="shared" si="105"/>
        <v>0.01</v>
      </c>
      <c r="Z257" s="184">
        <f t="shared" si="111"/>
        <v>1660.0000000000002</v>
      </c>
      <c r="AA257" s="185" t="s">
        <v>138</v>
      </c>
      <c r="AB257" s="185"/>
      <c r="AC257" s="185" t="s">
        <v>1291</v>
      </c>
      <c r="AD257" s="649">
        <v>0.32</v>
      </c>
      <c r="AE257" s="182"/>
      <c r="AF257" s="332"/>
      <c r="AG257" s="182"/>
      <c r="AH257" s="182"/>
      <c r="AI257" s="182"/>
      <c r="AJ257" s="640"/>
      <c r="AK257" s="182"/>
      <c r="AL257" s="496">
        <f>-0.03*Z257</f>
        <v>-49.800000000000004</v>
      </c>
      <c r="AM257" s="496">
        <f t="shared" si="110"/>
        <v>-49.800000000000004</v>
      </c>
      <c r="AN257" s="626"/>
      <c r="AO257" s="182"/>
      <c r="AP257" s="182" t="s">
        <v>1292</v>
      </c>
      <c r="AQ257" s="332" t="str">
        <f>UPPER(RIGHT(Journal_Live[[#This Row],[DURATION ]]))</f>
        <v>H</v>
      </c>
      <c r="AR257" s="182" t="s">
        <v>1293</v>
      </c>
      <c r="AS257" s="189">
        <v>0.31</v>
      </c>
      <c r="AT257" s="189">
        <f t="shared" si="107"/>
        <v>1.0000000000000009E-2</v>
      </c>
      <c r="AU257" s="187">
        <f t="shared" si="108"/>
        <v>16.600000000000016</v>
      </c>
      <c r="AV257" s="190">
        <f t="shared" si="109"/>
        <v>16.600000000000016</v>
      </c>
      <c r="AW257" s="191" t="s">
        <v>96</v>
      </c>
      <c r="AX257" s="407" t="s">
        <v>1294</v>
      </c>
      <c r="AY257" s="407" t="s">
        <v>529</v>
      </c>
      <c r="AZ257" s="407"/>
      <c r="BA257" s="407"/>
      <c r="BB257" s="407"/>
      <c r="BC257" s="407"/>
      <c r="BD257" s="407"/>
      <c r="BE257" s="407"/>
      <c r="BF257" s="422"/>
      <c r="BG257" s="391">
        <f>SUM($AV$4:AV257)</f>
        <v>2303.3849999999966</v>
      </c>
      <c r="BH257" s="392">
        <f>SUM($AU$134:AU257)</f>
        <v>2394.7899999999609</v>
      </c>
      <c r="BI257" s="318">
        <f>SUMIFS($AU$134:AU258,$Q$134:Q258,"F")</f>
        <v>33.199999999999989</v>
      </c>
      <c r="BJ257" s="318">
        <f>SUMIFS($AU$134:AU258,$Q$134:Q258,"S")</f>
        <v>2323.9499999999998</v>
      </c>
      <c r="BK257" s="343">
        <f>SUMIFS($AU$134:AU258,$P$134:P258,"W")</f>
        <v>2239.3899999999721</v>
      </c>
      <c r="BL257" s="343">
        <f>SUMIFS($AU$134:AU258,$P$134:P258,"R")</f>
        <v>155.39999999998844</v>
      </c>
      <c r="BM257" s="343">
        <f>SUMIFS($AU$134:AU258,$AQ$134:AQ258,"M")</f>
        <v>-82.999999999995296</v>
      </c>
      <c r="BN257" s="343">
        <f>SUMIFS($AU$134:AU258,$AQ$134:AQ258,"H")</f>
        <v>251.00000000001495</v>
      </c>
      <c r="BO257" s="343">
        <f>SUMIFS($AU$134:AU258,$AQ$134:AQ258,"D")</f>
        <v>1525.65</v>
      </c>
      <c r="BP257" s="343">
        <f>SUMIFS($AU$134:AU260,$AQ$134:AQ260,"W")</f>
        <v>252.10000000000008</v>
      </c>
      <c r="BQ257" s="343">
        <f>SUMIFS($AU$134:AU258,$Q$134:Q258,"O")</f>
        <v>-161.56000000003894</v>
      </c>
      <c r="BR257" s="343">
        <f>SUMIFS($AU$134:AU258,$AA$134:AA258,"*")</f>
        <v>2261.24999999999</v>
      </c>
      <c r="BS257" s="343">
        <f>SUMIFS($AU$134:AU258,$AB$134:AB258,"*")</f>
        <v>435.23999999995613</v>
      </c>
      <c r="BT257" s="343">
        <f>SUMIFS($AU$134:AU258,$AC$134:AC258,"*")</f>
        <v>1401.5499999999997</v>
      </c>
      <c r="BU257" s="343">
        <f>SUMIFS($AU$134:AU258,$AA$134:AA258,"*",$AB$134:AB258,"*")</f>
        <v>535.49999999998488</v>
      </c>
      <c r="BV257" s="343">
        <f>SUMIFS($AU$134:AU258,$AA$134:AA258,"*",$AC$134:AC258,"*")</f>
        <v>1401.5499999999997</v>
      </c>
      <c r="BW257" s="343">
        <f>SUMIFS($AU$134:AU258,$AB$134:AB258,"*",$AC$134:AC258,"*")</f>
        <v>548.30000000000007</v>
      </c>
      <c r="BX257" s="343">
        <f>SUMIFS($AU258:AU$1388,$Q258:Q$1388,"F")</f>
        <v>14407.466666666669</v>
      </c>
      <c r="BY257" s="343">
        <f>SUMIFS($AU258:AU$1388,$Q258:Q$1388,"S")</f>
        <v>18347.692000000003</v>
      </c>
      <c r="BZ257" s="343">
        <f>SUMIFS($AU258:AU$1388,$Q258:Q$1388,"O")</f>
        <v>-1487.2979999997594</v>
      </c>
    </row>
    <row r="258" spans="1:78" ht="18" customHeight="1">
      <c r="A258" s="177" t="s">
        <v>1148</v>
      </c>
      <c r="B258" s="177">
        <v>44967</v>
      </c>
      <c r="C258" s="178" t="s">
        <v>1295</v>
      </c>
      <c r="D258" s="178" t="s">
        <v>111</v>
      </c>
      <c r="E258" s="227"/>
      <c r="F258" s="180"/>
      <c r="G258" s="281" t="s">
        <v>553</v>
      </c>
      <c r="H258" s="182"/>
      <c r="I258" s="182"/>
      <c r="J258" s="182"/>
      <c r="K258" s="183"/>
      <c r="L258" s="182">
        <v>1</v>
      </c>
      <c r="M258" s="182"/>
      <c r="N258" s="182"/>
      <c r="O258" s="183" t="s">
        <v>95</v>
      </c>
      <c r="P258" s="183" t="s">
        <v>137</v>
      </c>
      <c r="Q258" s="183" t="s">
        <v>97</v>
      </c>
      <c r="R258" s="183">
        <v>3</v>
      </c>
      <c r="S258" s="183">
        <v>3</v>
      </c>
      <c r="T258" s="183">
        <v>3</v>
      </c>
      <c r="U258" s="183" t="s">
        <v>22</v>
      </c>
      <c r="V258" s="183"/>
      <c r="W258" s="183"/>
      <c r="X258" s="183"/>
      <c r="Y258" s="184">
        <f t="shared" si="105"/>
        <v>0.01</v>
      </c>
      <c r="Z258" s="184">
        <f t="shared" si="111"/>
        <v>1660.0000000000002</v>
      </c>
      <c r="AA258" s="185"/>
      <c r="AB258" s="185"/>
      <c r="AC258" s="185" t="s">
        <v>99</v>
      </c>
      <c r="AD258" s="649">
        <v>-0.11</v>
      </c>
      <c r="AE258" s="182"/>
      <c r="AF258" s="332"/>
      <c r="AG258" s="182"/>
      <c r="AH258" s="182"/>
      <c r="AI258" s="182"/>
      <c r="AJ258" s="640"/>
      <c r="AK258" s="182"/>
      <c r="AL258" s="496">
        <f t="shared" ref="AL258" si="114">-0.03*Z258</f>
        <v>-49.800000000000004</v>
      </c>
      <c r="AM258" s="496">
        <f t="shared" si="110"/>
        <v>-149.4</v>
      </c>
      <c r="AN258" s="626"/>
      <c r="AO258" s="182"/>
      <c r="AP258" s="182" t="s">
        <v>964</v>
      </c>
      <c r="AQ258" s="332" t="str">
        <f>UPPER(RIGHT(Journal_Live[[#This Row],[DURATION ]]))</f>
        <v>H</v>
      </c>
      <c r="AR258" s="182" t="s">
        <v>1296</v>
      </c>
      <c r="AS258" s="189">
        <v>-0.11</v>
      </c>
      <c r="AT258" s="189">
        <f t="shared" si="107"/>
        <v>0</v>
      </c>
      <c r="AU258" s="187">
        <f t="shared" si="108"/>
        <v>0</v>
      </c>
      <c r="AV258" s="190">
        <f t="shared" si="109"/>
        <v>0</v>
      </c>
      <c r="AW258" s="191" t="s">
        <v>115</v>
      </c>
      <c r="AX258" s="407" t="s">
        <v>1297</v>
      </c>
      <c r="AY258" s="407" t="s">
        <v>1298</v>
      </c>
      <c r="AZ258" s="407"/>
      <c r="BA258" s="407"/>
      <c r="BB258" s="407"/>
      <c r="BC258" s="407"/>
      <c r="BD258" s="407"/>
      <c r="BE258" s="407"/>
      <c r="BF258" s="422"/>
      <c r="BG258" s="391">
        <f>SUM($AV$4:AV258)</f>
        <v>2303.3849999999966</v>
      </c>
      <c r="BH258" s="392">
        <f>SUM($AU$134:AU258)</f>
        <v>2394.7899999999609</v>
      </c>
      <c r="BI258" s="318">
        <f>SUMIFS($AU$134:AU259,$Q$134:Q259,"F")</f>
        <v>33.199999999999989</v>
      </c>
      <c r="BJ258" s="318">
        <f>SUMIFS($AU$134:AU259,$Q$134:Q259,"S")</f>
        <v>2323.9499999999998</v>
      </c>
      <c r="BK258" s="343">
        <f>SUMIFS($AU$134:AU259,$P$134:P259,"W")</f>
        <v>2239.3899999999721</v>
      </c>
      <c r="BL258" s="343">
        <f>SUMIFS($AU$134:AU259,$P$134:P259,"R")</f>
        <v>155.39999999998844</v>
      </c>
      <c r="BM258" s="343">
        <f>SUMIFS($AU$134:AU259,$AQ$134:AQ259,"M")</f>
        <v>-82.999999999995296</v>
      </c>
      <c r="BN258" s="343">
        <f>SUMIFS($AU$134:AU259,$AQ$134:AQ259,"H")</f>
        <v>251.00000000001495</v>
      </c>
      <c r="BO258" s="343">
        <f>SUMIFS($AU$134:AU259,$AQ$134:AQ259,"D")</f>
        <v>1525.65</v>
      </c>
      <c r="BP258" s="343">
        <f>SUMIFS($AU$134:AU261,$AQ$134:AQ261,"W")</f>
        <v>252.10000000000008</v>
      </c>
      <c r="BQ258" s="343">
        <f>SUMIFS($AU$134:AU259,$Q$134:Q259,"O")</f>
        <v>-161.56000000003894</v>
      </c>
      <c r="BR258" s="343">
        <f>SUMIFS($AU$134:AU259,$AA$134:AA259,"*")</f>
        <v>2261.24999999999</v>
      </c>
      <c r="BS258" s="343">
        <f>SUMIFS($AU$134:AU259,$AB$134:AB259,"*")</f>
        <v>435.23999999995613</v>
      </c>
      <c r="BT258" s="343">
        <f>SUMIFS($AU$134:AU259,$AC$134:AC259,"*")</f>
        <v>1401.5499999999997</v>
      </c>
      <c r="BU258" s="343">
        <f>SUMIFS($AU$134:AU259,$AA$134:AA259,"*",$AB$134:AB259,"*")</f>
        <v>535.49999999998488</v>
      </c>
      <c r="BV258" s="343">
        <f>SUMIFS($AU$134:AU259,$AA$134:AA259,"*",$AC$134:AC259,"*")</f>
        <v>1401.5499999999997</v>
      </c>
      <c r="BW258" s="343">
        <f>SUMIFS($AU$134:AU259,$AB$134:AB259,"*",$AC$134:AC259,"*")</f>
        <v>548.30000000000007</v>
      </c>
      <c r="BX258" s="343">
        <f>SUMIFS($AU259:AU$1388,$Q259:Q$1388,"F")</f>
        <v>14407.466666666669</v>
      </c>
      <c r="BY258" s="343">
        <f>SUMIFS($AU259:AU$1388,$Q259:Q$1388,"S")</f>
        <v>18347.692000000003</v>
      </c>
      <c r="BZ258" s="343">
        <f>SUMIFS($AU259:AU$1388,$Q259:Q$1388,"O")</f>
        <v>-1487.2979999997594</v>
      </c>
    </row>
    <row r="259" spans="1:78" ht="18" customHeight="1">
      <c r="A259" s="221" t="s">
        <v>1148</v>
      </c>
      <c r="B259" s="177">
        <v>44967</v>
      </c>
      <c r="C259" s="178" t="s">
        <v>1299</v>
      </c>
      <c r="D259" s="178" t="s">
        <v>111</v>
      </c>
      <c r="E259" s="227"/>
      <c r="F259" s="180"/>
      <c r="G259" s="281" t="s">
        <v>435</v>
      </c>
      <c r="H259" s="182"/>
      <c r="I259" s="182"/>
      <c r="J259" s="182"/>
      <c r="K259" s="183"/>
      <c r="L259" s="182">
        <v>1</v>
      </c>
      <c r="M259" s="182"/>
      <c r="N259" s="182"/>
      <c r="O259" s="183" t="s">
        <v>95</v>
      </c>
      <c r="P259" s="183" t="s">
        <v>96</v>
      </c>
      <c r="Q259" s="183" t="s">
        <v>97</v>
      </c>
      <c r="R259" s="183">
        <v>1</v>
      </c>
      <c r="S259" s="183">
        <v>1</v>
      </c>
      <c r="T259" s="183">
        <v>1</v>
      </c>
      <c r="U259" s="183" t="s">
        <v>97</v>
      </c>
      <c r="V259" s="183"/>
      <c r="W259" s="183"/>
      <c r="X259" s="183"/>
      <c r="Y259" s="184">
        <f t="shared" si="105"/>
        <v>0.01</v>
      </c>
      <c r="Z259" s="184">
        <f t="shared" si="111"/>
        <v>1660.0000000000002</v>
      </c>
      <c r="AA259" s="185" t="s">
        <v>1300</v>
      </c>
      <c r="AB259" s="185" t="s">
        <v>1301</v>
      </c>
      <c r="AC259" s="185" t="s">
        <v>1302</v>
      </c>
      <c r="AD259" s="649">
        <v>0.44</v>
      </c>
      <c r="AE259" s="182"/>
      <c r="AF259" s="332"/>
      <c r="AG259" s="182"/>
      <c r="AH259" s="182" t="s">
        <v>1303</v>
      </c>
      <c r="AI259" s="182"/>
      <c r="AJ259" s="640"/>
      <c r="AK259" s="182">
        <v>1</v>
      </c>
      <c r="AL259" s="496">
        <f>-0.05*Z259</f>
        <v>-83.000000000000014</v>
      </c>
      <c r="AM259" s="496">
        <f t="shared" si="110"/>
        <v>-83.000000000000014</v>
      </c>
      <c r="AN259" s="626"/>
      <c r="AO259" s="182"/>
      <c r="AP259" s="182" t="s">
        <v>1026</v>
      </c>
      <c r="AQ259" s="332" t="str">
        <f>UPPER(RIGHT(Journal_Live[[#This Row],[DURATION ]]))</f>
        <v>H</v>
      </c>
      <c r="AR259" s="182" t="s">
        <v>1304</v>
      </c>
      <c r="AS259" s="189">
        <v>0.44</v>
      </c>
      <c r="AT259" s="189">
        <f t="shared" si="107"/>
        <v>0</v>
      </c>
      <c r="AU259" s="187">
        <f t="shared" si="108"/>
        <v>0</v>
      </c>
      <c r="AV259" s="190">
        <f t="shared" si="109"/>
        <v>0</v>
      </c>
      <c r="AW259" s="191" t="s">
        <v>115</v>
      </c>
      <c r="AX259" s="407" t="s">
        <v>1305</v>
      </c>
      <c r="AY259" s="407" t="s">
        <v>1306</v>
      </c>
      <c r="AZ259" s="407"/>
      <c r="BA259" s="407" t="s">
        <v>1307</v>
      </c>
      <c r="BB259" s="407" t="s">
        <v>529</v>
      </c>
      <c r="BC259" s="407"/>
      <c r="BD259" s="407"/>
      <c r="BE259" s="407"/>
      <c r="BF259" s="422"/>
      <c r="BG259" s="391">
        <f>SUM($AV$4:AV259)</f>
        <v>2303.3849999999966</v>
      </c>
      <c r="BH259" s="392">
        <f>SUM($AU$134:AU259)</f>
        <v>2394.7899999999609</v>
      </c>
      <c r="BI259" s="318">
        <f>SUMIFS($AU$134:AU260,$Q$134:Q260,"F")</f>
        <v>33.199999999999989</v>
      </c>
      <c r="BJ259" s="318">
        <f>SUMIFS($AU$134:AU260,$Q$134:Q260,"S")</f>
        <v>2257.5499999999997</v>
      </c>
      <c r="BK259" s="343">
        <f>SUMIFS($AU$134:AU260,$P$134:P260,"W")</f>
        <v>2172.989999999972</v>
      </c>
      <c r="BL259" s="343">
        <f>SUMIFS($AU$134:AU260,$P$134:P260,"R")</f>
        <v>155.39999999998844</v>
      </c>
      <c r="BM259" s="343">
        <f>SUMIFS($AU$134:AU260,$AQ$134:AQ260,"M")</f>
        <v>-82.999999999995296</v>
      </c>
      <c r="BN259" s="343">
        <f>SUMIFS($AU$134:AU260,$AQ$134:AQ260,"H")</f>
        <v>251.00000000001495</v>
      </c>
      <c r="BO259" s="343">
        <f>SUMIFS($AU$134:AU260,$AQ$134:AQ260,"D")</f>
        <v>1459.25</v>
      </c>
      <c r="BP259" s="343">
        <f>SUMIFS($AU$134:AU262,$AQ$134:AQ262,"W")</f>
        <v>252.10000000000008</v>
      </c>
      <c r="BQ259" s="343">
        <f>SUMIFS($AU$134:AU260,$Q$134:Q260,"O")</f>
        <v>-161.56000000003894</v>
      </c>
      <c r="BR259" s="343">
        <f>SUMIFS($AU$134:AU260,$AA$134:AA260,"*")</f>
        <v>2194.8499999999899</v>
      </c>
      <c r="BS259" s="343">
        <f>SUMIFS($AU$134:AU260,$AB$134:AB260,"*")</f>
        <v>435.23999999995613</v>
      </c>
      <c r="BT259" s="343">
        <f>SUMIFS($AU$134:AU260,$AC$134:AC260,"*")</f>
        <v>1335.1499999999996</v>
      </c>
      <c r="BU259" s="343">
        <f>SUMIFS($AU$134:AU260,$AA$134:AA260,"*",$AB$134:AB260,"*")</f>
        <v>535.49999999998488</v>
      </c>
      <c r="BV259" s="343">
        <f>SUMIFS($AU$134:AU260,$AA$134:AA260,"*",$AC$134:AC260,"*")</f>
        <v>1335.1499999999996</v>
      </c>
      <c r="BW259" s="343">
        <f>SUMIFS($AU$134:AU260,$AB$134:AB260,"*",$AC$134:AC260,"*")</f>
        <v>548.30000000000007</v>
      </c>
      <c r="BX259" s="343">
        <f>SUMIFS($AU260:AU$1388,$Q260:Q$1388,"F")</f>
        <v>14407.466666666669</v>
      </c>
      <c r="BY259" s="343">
        <f>SUMIFS($AU260:AU$1388,$Q260:Q$1388,"S")</f>
        <v>18347.692000000003</v>
      </c>
      <c r="BZ259" s="343">
        <f>SUMIFS($AU260:AU$1388,$Q260:Q$1388,"O")</f>
        <v>-1487.2979999997594</v>
      </c>
    </row>
    <row r="260" spans="1:78" ht="18" customHeight="1">
      <c r="A260" s="177" t="s">
        <v>1148</v>
      </c>
      <c r="B260" s="177">
        <v>44967</v>
      </c>
      <c r="C260" s="178" t="s">
        <v>1308</v>
      </c>
      <c r="D260" s="178" t="s">
        <v>111</v>
      </c>
      <c r="E260" s="227"/>
      <c r="F260" s="180"/>
      <c r="G260" s="282" t="s">
        <v>757</v>
      </c>
      <c r="H260" s="182"/>
      <c r="I260" s="182"/>
      <c r="J260" s="182"/>
      <c r="K260" s="183"/>
      <c r="L260" s="182">
        <v>1</v>
      </c>
      <c r="M260" s="182">
        <v>1</v>
      </c>
      <c r="N260" s="182"/>
      <c r="O260" s="183" t="s">
        <v>95</v>
      </c>
      <c r="P260" s="183" t="s">
        <v>96</v>
      </c>
      <c r="Q260" s="183" t="s">
        <v>97</v>
      </c>
      <c r="R260" s="183">
        <v>2</v>
      </c>
      <c r="S260" s="183">
        <v>2</v>
      </c>
      <c r="T260" s="183">
        <v>1</v>
      </c>
      <c r="U260" s="183" t="s">
        <v>97</v>
      </c>
      <c r="V260" s="183"/>
      <c r="W260" s="183"/>
      <c r="X260" s="183"/>
      <c r="Y260" s="184">
        <f t="shared" si="105"/>
        <v>0.01</v>
      </c>
      <c r="Z260" s="184">
        <f t="shared" si="111"/>
        <v>1660.0000000000002</v>
      </c>
      <c r="AA260" s="185" t="s">
        <v>1234</v>
      </c>
      <c r="AB260" s="185"/>
      <c r="AC260" s="185" t="s">
        <v>1309</v>
      </c>
      <c r="AD260" s="649">
        <v>0.09</v>
      </c>
      <c r="AE260" s="182"/>
      <c r="AF260" s="332">
        <v>13</v>
      </c>
      <c r="AG260" s="182" t="s">
        <v>1236</v>
      </c>
      <c r="AH260" s="182" t="s">
        <v>1310</v>
      </c>
      <c r="AI260" s="182"/>
      <c r="AJ260" s="640"/>
      <c r="AK260" s="182"/>
      <c r="AL260" s="496">
        <f>-0.03*Z260</f>
        <v>-49.800000000000004</v>
      </c>
      <c r="AM260" s="496">
        <f t="shared" si="110"/>
        <v>-99.600000000000009</v>
      </c>
      <c r="AN260" s="626"/>
      <c r="AO260" s="182"/>
      <c r="AP260" s="182" t="s">
        <v>770</v>
      </c>
      <c r="AQ260" s="332" t="str">
        <f>UPPER(RIGHT(Journal_Live[[#This Row],[DURATION ]]))</f>
        <v>D</v>
      </c>
      <c r="AR260" s="182" t="s">
        <v>1311</v>
      </c>
      <c r="AS260" s="189">
        <v>0.11</v>
      </c>
      <c r="AT260" s="189">
        <f t="shared" si="107"/>
        <v>-2.0000000000000004E-2</v>
      </c>
      <c r="AU260" s="187">
        <f t="shared" si="108"/>
        <v>-66.40000000000002</v>
      </c>
      <c r="AV260" s="190">
        <f t="shared" si="109"/>
        <v>-33.20000000000001</v>
      </c>
      <c r="AW260" s="191" t="s">
        <v>229</v>
      </c>
      <c r="AX260" s="407" t="s">
        <v>1312</v>
      </c>
      <c r="AY260" s="407"/>
      <c r="AZ260" s="407"/>
      <c r="BA260" s="407"/>
      <c r="BB260" s="407"/>
      <c r="BC260" s="407"/>
      <c r="BD260" s="407"/>
      <c r="BE260" s="407"/>
      <c r="BF260" s="422"/>
      <c r="BG260" s="391">
        <f>SUM($AV$4:AV260)</f>
        <v>2270.1849999999968</v>
      </c>
      <c r="BH260" s="392">
        <f>SUM($AU$134:AU260)</f>
        <v>2328.3899999999608</v>
      </c>
      <c r="BI260" s="318">
        <f>SUMIFS($AU$134:AU261,$Q$134:Q261,"F")</f>
        <v>33.199999999999989</v>
      </c>
      <c r="BJ260" s="318">
        <f>SUMIFS($AU$134:AU261,$Q$134:Q261,"S")</f>
        <v>2257.5499999999997</v>
      </c>
      <c r="BK260" s="343">
        <f>SUMIFS($AU$134:AU261,$P$134:P261,"W")</f>
        <v>2172.989999999972</v>
      </c>
      <c r="BL260" s="343">
        <f>SUMIFS($AU$134:AU261,$P$134:P261,"R")</f>
        <v>155.39999999998844</v>
      </c>
      <c r="BM260" s="343">
        <f>SUMIFS($AU$134:AU261,$AQ$134:AQ261,"M")</f>
        <v>-82.999999999995296</v>
      </c>
      <c r="BN260" s="343">
        <f>SUMIFS($AU$134:AU261,$AQ$134:AQ261,"H")</f>
        <v>251.00000000001495</v>
      </c>
      <c r="BO260" s="343">
        <f>SUMIFS($AU$134:AU261,$AQ$134:AQ261,"D")</f>
        <v>1459.25</v>
      </c>
      <c r="BP260" s="343">
        <f>SUMIFS($AU$134:AU263,$AQ$134:AQ263,"W")</f>
        <v>252.10000000000008</v>
      </c>
      <c r="BQ260" s="343">
        <f>SUMIFS($AU$134:AU261,$Q$134:Q261,"O")</f>
        <v>-161.56000000003894</v>
      </c>
      <c r="BR260" s="343">
        <f>SUMIFS($AU$134:AU261,$AA$134:AA261,"*")</f>
        <v>2194.8499999999899</v>
      </c>
      <c r="BS260" s="343">
        <f>SUMIFS($AU$134:AU261,$AB$134:AB261,"*")</f>
        <v>435.23999999995613</v>
      </c>
      <c r="BT260" s="343">
        <f>SUMIFS($AU$134:AU261,$AC$134:AC261,"*")</f>
        <v>1335.1499999999996</v>
      </c>
      <c r="BU260" s="343">
        <f>SUMIFS($AU$134:AU261,$AA$134:AA261,"*",$AB$134:AB261,"*")</f>
        <v>535.49999999998488</v>
      </c>
      <c r="BV260" s="343">
        <f>SUMIFS($AU$134:AU261,$AA$134:AA261,"*",$AC$134:AC261,"*")</f>
        <v>1335.1499999999996</v>
      </c>
      <c r="BW260" s="343">
        <f>SUMIFS($AU$134:AU261,$AB$134:AB261,"*",$AC$134:AC261,"*")</f>
        <v>548.30000000000007</v>
      </c>
      <c r="BX260" s="343">
        <f>SUMIFS($AU261:AU$1388,$Q261:Q$1388,"F")</f>
        <v>14407.466666666669</v>
      </c>
      <c r="BY260" s="343">
        <f>SUMIFS($AU261:AU$1388,$Q261:Q$1388,"S")</f>
        <v>18414.092000000004</v>
      </c>
      <c r="BZ260" s="343">
        <f>SUMIFS($AU261:AU$1388,$Q261:Q$1388,"O")</f>
        <v>-1487.2979999997594</v>
      </c>
    </row>
    <row r="261" spans="1:78" ht="18" customHeight="1">
      <c r="A261" s="177" t="s">
        <v>1148</v>
      </c>
      <c r="B261" s="177">
        <v>44967</v>
      </c>
      <c r="C261" s="178" t="s">
        <v>1255</v>
      </c>
      <c r="D261" s="178" t="s">
        <v>111</v>
      </c>
      <c r="E261" s="283" t="s">
        <v>1313</v>
      </c>
      <c r="F261" s="180" t="s">
        <v>1314</v>
      </c>
      <c r="G261" s="181"/>
      <c r="H261" s="182"/>
      <c r="I261" s="182"/>
      <c r="J261" s="182"/>
      <c r="K261" s="183"/>
      <c r="L261" s="182"/>
      <c r="M261" s="182"/>
      <c r="N261" s="182"/>
      <c r="O261" s="183"/>
      <c r="P261" s="183"/>
      <c r="Q261" s="183"/>
      <c r="R261" s="183"/>
      <c r="S261" s="183"/>
      <c r="T261" s="183"/>
      <c r="U261" s="183"/>
      <c r="V261" s="183"/>
      <c r="W261" s="183"/>
      <c r="X261" s="183"/>
      <c r="Y261" s="184" t="str">
        <f t="shared" si="105"/>
        <v/>
      </c>
      <c r="Z261" s="184" t="str">
        <f t="shared" si="111"/>
        <v/>
      </c>
      <c r="AA261" s="185"/>
      <c r="AB261" s="185"/>
      <c r="AC261" s="185"/>
      <c r="AD261" s="649"/>
      <c r="AE261" s="182"/>
      <c r="AF261" s="332"/>
      <c r="AG261" s="182"/>
      <c r="AH261" s="182"/>
      <c r="AI261" s="182"/>
      <c r="AJ261" s="640"/>
      <c r="AK261" s="182"/>
      <c r="AL261" s="496"/>
      <c r="AM261" s="496"/>
      <c r="AN261" s="626"/>
      <c r="AO261" s="182"/>
      <c r="AP261" s="182"/>
      <c r="AQ261" s="332" t="str">
        <f>UPPER(RIGHT(Journal_Live[[#This Row],[DURATION ]]))</f>
        <v/>
      </c>
      <c r="AR261" s="182"/>
      <c r="AS261" s="189"/>
      <c r="AT261" s="189"/>
      <c r="AU261" s="187"/>
      <c r="AV261" s="190"/>
      <c r="AW261" s="191"/>
      <c r="AX261" s="407" t="s">
        <v>1315</v>
      </c>
      <c r="AY261" s="407" t="s">
        <v>529</v>
      </c>
      <c r="AZ261" s="407"/>
      <c r="BA261" s="407"/>
      <c r="BB261" s="407"/>
      <c r="BC261" s="407"/>
      <c r="BD261" s="407"/>
      <c r="BE261" s="407"/>
      <c r="BF261" s="422"/>
      <c r="BG261" s="391">
        <f>SUM($AV$4:AV261)</f>
        <v>2270.1849999999968</v>
      </c>
      <c r="BH261" s="392">
        <f>SUM($AU$134:AU261)</f>
        <v>2328.3899999999608</v>
      </c>
      <c r="BI261" s="318">
        <f>SUMIFS($AU$134:AU262,$Q$134:Q262,"F")</f>
        <v>33.199999999999989</v>
      </c>
      <c r="BJ261" s="318">
        <f>SUMIFS($AU$134:AU262,$Q$134:Q262,"S")</f>
        <v>2307.35</v>
      </c>
      <c r="BK261" s="343">
        <f>SUMIFS($AU$134:AU262,$P$134:P262,"W")</f>
        <v>2172.989999999972</v>
      </c>
      <c r="BL261" s="343">
        <f>SUMIFS($AU$134:AU262,$P$134:P262,"R")</f>
        <v>205.19999999998848</v>
      </c>
      <c r="BM261" s="343">
        <f>SUMIFS($AU$134:AU262,$AQ$134:AQ262,"M")</f>
        <v>-82.999999999995296</v>
      </c>
      <c r="BN261" s="343">
        <f>SUMIFS($AU$134:AU262,$AQ$134:AQ262,"H")</f>
        <v>251.00000000001495</v>
      </c>
      <c r="BO261" s="343">
        <f>SUMIFS($AU$134:AU262,$AQ$134:AQ262,"D")</f>
        <v>1509.05</v>
      </c>
      <c r="BP261" s="343">
        <f>SUMIFS($AU$134:AU264,$AQ$134:AQ264,"W")</f>
        <v>252.10000000000008</v>
      </c>
      <c r="BQ261" s="343">
        <f>SUMIFS($AU$134:AU262,$Q$134:Q262,"O")</f>
        <v>-161.56000000003894</v>
      </c>
      <c r="BR261" s="343">
        <f>SUMIFS($AU$134:AU262,$AA$134:AA262,"*")</f>
        <v>2244.6499999999901</v>
      </c>
      <c r="BS261" s="343">
        <f>SUMIFS($AU$134:AU262,$AB$134:AB262,"*")</f>
        <v>435.23999999995613</v>
      </c>
      <c r="BT261" s="343">
        <f>SUMIFS($AU$134:AU262,$AC$134:AC262,"*")</f>
        <v>1384.9499999999996</v>
      </c>
      <c r="BU261" s="343">
        <f>SUMIFS($AU$134:AU262,$AA$134:AA262,"*",$AB$134:AB262,"*")</f>
        <v>535.49999999998488</v>
      </c>
      <c r="BV261" s="343">
        <f>SUMIFS($AU$134:AU262,$AA$134:AA262,"*",$AC$134:AC262,"*")</f>
        <v>1384.9499999999996</v>
      </c>
      <c r="BW261" s="343">
        <f>SUMIFS($AU$134:AU262,$AB$134:AB262,"*",$AC$134:AC262,"*")</f>
        <v>548.30000000000007</v>
      </c>
      <c r="BX261" s="343">
        <f>SUMIFS($AU262:AU$1388,$Q262:Q$1388,"F")</f>
        <v>14407.466666666669</v>
      </c>
      <c r="BY261" s="343">
        <f>SUMIFS($AU262:AU$1388,$Q262:Q$1388,"S")</f>
        <v>18414.092000000004</v>
      </c>
      <c r="BZ261" s="343">
        <f>SUMIFS($AU262:AU$1388,$Q262:Q$1388,"O")</f>
        <v>-1487.2979999997594</v>
      </c>
    </row>
    <row r="262" spans="1:78" ht="18" customHeight="1">
      <c r="A262" s="221" t="s">
        <v>1148</v>
      </c>
      <c r="B262" s="177">
        <v>44967</v>
      </c>
      <c r="C262" s="178" t="s">
        <v>1316</v>
      </c>
      <c r="D262" s="178" t="s">
        <v>111</v>
      </c>
      <c r="E262" s="227"/>
      <c r="F262" s="180"/>
      <c r="G262" s="284" t="s">
        <v>553</v>
      </c>
      <c r="H262" s="182"/>
      <c r="I262" s="182"/>
      <c r="J262" s="182"/>
      <c r="K262" s="183"/>
      <c r="L262" s="182">
        <v>1</v>
      </c>
      <c r="M262" s="182"/>
      <c r="N262" s="182"/>
      <c r="O262" s="183" t="s">
        <v>95</v>
      </c>
      <c r="P262" s="183" t="s">
        <v>137</v>
      </c>
      <c r="Q262" s="183" t="s">
        <v>97</v>
      </c>
      <c r="R262" s="183">
        <v>3</v>
      </c>
      <c r="S262" s="183">
        <v>3</v>
      </c>
      <c r="T262" s="183">
        <v>3</v>
      </c>
      <c r="U262" s="183" t="s">
        <v>97</v>
      </c>
      <c r="V262" s="183"/>
      <c r="W262" s="183"/>
      <c r="X262" s="183"/>
      <c r="Y262" s="184">
        <f t="shared" si="105"/>
        <v>0.01</v>
      </c>
      <c r="Z262" s="184">
        <f t="shared" si="111"/>
        <v>1660.0000000000002</v>
      </c>
      <c r="AA262" s="185" t="s">
        <v>1317</v>
      </c>
      <c r="AB262" s="185"/>
      <c r="AC262" s="185" t="s">
        <v>1318</v>
      </c>
      <c r="AD262" s="649">
        <v>-0.09</v>
      </c>
      <c r="AE262" s="182"/>
      <c r="AF262" s="332"/>
      <c r="AG262" s="182"/>
      <c r="AH262" s="182"/>
      <c r="AI262" s="182"/>
      <c r="AJ262" s="640"/>
      <c r="AK262" s="182"/>
      <c r="AL262" s="496">
        <f>-0.02*Z262</f>
        <v>-33.200000000000003</v>
      </c>
      <c r="AM262" s="496">
        <f>AL262*R262</f>
        <v>-99.600000000000009</v>
      </c>
      <c r="AN262" s="626"/>
      <c r="AO262" s="182"/>
      <c r="AP262" s="182" t="s">
        <v>804</v>
      </c>
      <c r="AQ262" s="332" t="str">
        <f>UPPER(RIGHT(Journal_Live[[#This Row],[DURATION ]]))</f>
        <v>D</v>
      </c>
      <c r="AR262" s="182" t="s">
        <v>1319</v>
      </c>
      <c r="AS262" s="189">
        <v>-0.1</v>
      </c>
      <c r="AT262" s="189">
        <f>IF(ISBLANK(AS262),,IF(U262="S",AD262-AS262,AS262-AD262))</f>
        <v>1.0000000000000009E-2</v>
      </c>
      <c r="AU262" s="187">
        <f>AV262*R262</f>
        <v>49.800000000000047</v>
      </c>
      <c r="AV262" s="190">
        <f>IF(ISBLANK(AS262),,(AT262*Z262))</f>
        <v>16.600000000000016</v>
      </c>
      <c r="AW262" s="191" t="s">
        <v>96</v>
      </c>
      <c r="AX262" s="407" t="s">
        <v>1320</v>
      </c>
      <c r="AY262" s="407" t="s">
        <v>1321</v>
      </c>
      <c r="AZ262" s="407"/>
      <c r="BA262" s="407"/>
      <c r="BB262" s="407"/>
      <c r="BC262" s="407"/>
      <c r="BD262" s="407"/>
      <c r="BE262" s="407"/>
      <c r="BF262" s="422"/>
      <c r="BG262" s="391">
        <f>SUM($AV$4:AV262)</f>
        <v>2286.7849999999967</v>
      </c>
      <c r="BH262" s="392">
        <f>SUM($AU$134:AU262)</f>
        <v>2378.1899999999609</v>
      </c>
      <c r="BI262" s="318">
        <f>SUMIFS($AU$134:AU263,$Q$134:Q263,"F")</f>
        <v>33.199999999999989</v>
      </c>
      <c r="BJ262" s="318">
        <f>SUMIFS($AU$134:AU263,$Q$134:Q263,"S")</f>
        <v>2307.35</v>
      </c>
      <c r="BK262" s="343">
        <f>SUMIFS($AU$134:AU263,$P$134:P263,"W")</f>
        <v>2172.989999999972</v>
      </c>
      <c r="BL262" s="343">
        <f>SUMIFS($AU$134:AU263,$P$134:P263,"R")</f>
        <v>205.19999999998848</v>
      </c>
      <c r="BM262" s="343">
        <f>SUMIFS($AU$134:AU263,$AQ$134:AQ263,"M")</f>
        <v>-82.999999999995296</v>
      </c>
      <c r="BN262" s="343">
        <f>SUMIFS($AU$134:AU263,$AQ$134:AQ263,"H")</f>
        <v>251.00000000001495</v>
      </c>
      <c r="BO262" s="343">
        <f>SUMIFS($AU$134:AU263,$AQ$134:AQ263,"D")</f>
        <v>1509.05</v>
      </c>
      <c r="BP262" s="343">
        <f>SUMIFS($AU$134:AU265,$AQ$134:AQ265,"W")</f>
        <v>252.10000000000008</v>
      </c>
      <c r="BQ262" s="343">
        <f>SUMIFS($AU$134:AU263,$Q$134:Q263,"O")</f>
        <v>-161.56000000003894</v>
      </c>
      <c r="BR262" s="343">
        <f>SUMIFS($AU$134:AU263,$AA$134:AA263,"*")</f>
        <v>2244.6499999999901</v>
      </c>
      <c r="BS262" s="343">
        <f>SUMIFS($AU$134:AU263,$AB$134:AB263,"*")</f>
        <v>435.23999999995613</v>
      </c>
      <c r="BT262" s="343">
        <f>SUMIFS($AU$134:AU263,$AC$134:AC263,"*")</f>
        <v>1384.9499999999996</v>
      </c>
      <c r="BU262" s="343">
        <f>SUMIFS($AU$134:AU263,$AA$134:AA263,"*",$AB$134:AB263,"*")</f>
        <v>535.49999999998488</v>
      </c>
      <c r="BV262" s="343">
        <f>SUMIFS($AU$134:AU263,$AA$134:AA263,"*",$AC$134:AC263,"*")</f>
        <v>1384.9499999999996</v>
      </c>
      <c r="BW262" s="343">
        <f>SUMIFS($AU$134:AU263,$AB$134:AB263,"*",$AC$134:AC263,"*")</f>
        <v>548.30000000000007</v>
      </c>
      <c r="BX262" s="343">
        <f>SUMIFS($AU263:AU$1388,$Q263:Q$1388,"F")</f>
        <v>14407.466666666669</v>
      </c>
      <c r="BY262" s="343">
        <f>SUMIFS($AU263:AU$1388,$Q263:Q$1388,"S")</f>
        <v>18364.292000000001</v>
      </c>
      <c r="BZ262" s="343">
        <f>SUMIFS($AU263:AU$1388,$Q263:Q$1388,"O")</f>
        <v>-1487.2979999997594</v>
      </c>
    </row>
    <row r="263" spans="1:78" ht="18" customHeight="1">
      <c r="A263" s="177" t="s">
        <v>1148</v>
      </c>
      <c r="B263" s="177">
        <v>44967</v>
      </c>
      <c r="C263" s="178" t="s">
        <v>1322</v>
      </c>
      <c r="D263" s="178" t="s">
        <v>111</v>
      </c>
      <c r="E263" s="290"/>
      <c r="F263" s="180"/>
      <c r="G263" s="282" t="s">
        <v>757</v>
      </c>
      <c r="H263" s="182"/>
      <c r="I263" s="182"/>
      <c r="J263" s="182"/>
      <c r="K263" s="183"/>
      <c r="L263" s="182">
        <v>1</v>
      </c>
      <c r="M263" s="182">
        <v>1</v>
      </c>
      <c r="N263" s="182"/>
      <c r="O263" s="183" t="s">
        <v>95</v>
      </c>
      <c r="P263" s="183" t="s">
        <v>96</v>
      </c>
      <c r="Q263" s="183" t="s">
        <v>97</v>
      </c>
      <c r="R263" s="183">
        <v>2</v>
      </c>
      <c r="S263" s="183">
        <v>2</v>
      </c>
      <c r="T263" s="183">
        <v>1</v>
      </c>
      <c r="U263" s="183" t="s">
        <v>97</v>
      </c>
      <c r="V263" s="183"/>
      <c r="W263" s="183"/>
      <c r="X263" s="183"/>
      <c r="Y263" s="184">
        <f t="shared" si="105"/>
        <v>0.01</v>
      </c>
      <c r="Z263" s="184">
        <f t="shared" si="111"/>
        <v>1660.0000000000002</v>
      </c>
      <c r="AA263" s="185"/>
      <c r="AB263" s="185"/>
      <c r="AC263" s="185" t="s">
        <v>1309</v>
      </c>
      <c r="AD263" s="649">
        <v>0.1</v>
      </c>
      <c r="AE263" s="182"/>
      <c r="AF263" s="332">
        <v>15</v>
      </c>
      <c r="AG263" s="182" t="s">
        <v>1236</v>
      </c>
      <c r="AH263" s="182" t="s">
        <v>1323</v>
      </c>
      <c r="AI263" s="182"/>
      <c r="AJ263" s="640" t="s">
        <v>1324</v>
      </c>
      <c r="AK263" s="182"/>
      <c r="AL263" s="496">
        <f>-0.05*Z263</f>
        <v>-83.000000000000014</v>
      </c>
      <c r="AM263" s="496">
        <f>AL263*R263</f>
        <v>-166.00000000000003</v>
      </c>
      <c r="AN263" s="626" t="s">
        <v>1325</v>
      </c>
      <c r="AO263" s="182" t="s">
        <v>1239</v>
      </c>
      <c r="AP263" s="182" t="s">
        <v>804</v>
      </c>
      <c r="AQ263" s="332" t="str">
        <f>UPPER(RIGHT(Journal_Live[[#This Row],[DURATION ]]))</f>
        <v>D</v>
      </c>
      <c r="AR263" s="285" t="s">
        <v>1326</v>
      </c>
      <c r="AS263" s="189">
        <v>0.1</v>
      </c>
      <c r="AT263" s="189">
        <f>IF(ISBLANK(AS263),,IF(U263="S",AD263-AS263,AS263-AD263))</f>
        <v>0</v>
      </c>
      <c r="AU263" s="187">
        <f>AV263*R263</f>
        <v>0</v>
      </c>
      <c r="AV263" s="190">
        <f>IF(ISBLANK(AS263),,(AT263*Z263))</f>
        <v>0</v>
      </c>
      <c r="AW263" s="191" t="s">
        <v>115</v>
      </c>
      <c r="AX263" s="407" t="s">
        <v>1327</v>
      </c>
      <c r="AY263" s="407"/>
      <c r="AZ263" s="407" t="s">
        <v>1328</v>
      </c>
      <c r="BA263" s="407"/>
      <c r="BB263" s="407"/>
      <c r="BC263" s="407"/>
      <c r="BD263" s="407"/>
      <c r="BE263" s="407"/>
      <c r="BF263" s="422"/>
      <c r="BG263" s="391">
        <f>SUM($AV$4:AV263)</f>
        <v>2286.7849999999967</v>
      </c>
      <c r="BH263" s="392">
        <f>SUM($AU$134:AU263)</f>
        <v>2378.1899999999609</v>
      </c>
      <c r="BI263" s="318">
        <f>SUMIFS($AU$134:AU264,$Q$134:Q264,"F")</f>
        <v>33.199999999999989</v>
      </c>
      <c r="BJ263" s="318">
        <f>SUMIFS($AU$134:AU264,$Q$134:Q264,"S")</f>
        <v>2307.35</v>
      </c>
      <c r="BK263" s="343">
        <f>SUMIFS($AU$134:AU264,$P$134:P264,"W")</f>
        <v>2172.989999999972</v>
      </c>
      <c r="BL263" s="343">
        <f>SUMIFS($AU$134:AU264,$P$134:P264,"R")</f>
        <v>205.19999999998848</v>
      </c>
      <c r="BM263" s="343">
        <f>SUMIFS($AU$134:AU264,$AQ$134:AQ264,"M")</f>
        <v>-82.999999999995296</v>
      </c>
      <c r="BN263" s="343">
        <f>SUMIFS($AU$134:AU264,$AQ$134:AQ264,"H")</f>
        <v>251.00000000001495</v>
      </c>
      <c r="BO263" s="343">
        <f>SUMIFS($AU$134:AU264,$AQ$134:AQ264,"D")</f>
        <v>1509.05</v>
      </c>
      <c r="BP263" s="343">
        <f>SUMIFS($AU$134:AU266,$AQ$134:AQ266,"W")</f>
        <v>252.10000000000008</v>
      </c>
      <c r="BQ263" s="343">
        <f>SUMIFS($AU$134:AU264,$Q$134:Q264,"O")</f>
        <v>-161.56000000003894</v>
      </c>
      <c r="BR263" s="343">
        <f>SUMIFS($AU$134:AU264,$AA$134:AA264,"*")</f>
        <v>2244.6499999999901</v>
      </c>
      <c r="BS263" s="343">
        <f>SUMIFS($AU$134:AU264,$AB$134:AB264,"*")</f>
        <v>435.23999999995613</v>
      </c>
      <c r="BT263" s="343">
        <f>SUMIFS($AU$134:AU264,$AC$134:AC264,"*")</f>
        <v>1384.9499999999996</v>
      </c>
      <c r="BU263" s="343">
        <f>SUMIFS($AU$134:AU264,$AA$134:AA264,"*",$AB$134:AB264,"*")</f>
        <v>535.49999999998488</v>
      </c>
      <c r="BV263" s="343">
        <f>SUMIFS($AU$134:AU264,$AA$134:AA264,"*",$AC$134:AC264,"*")</f>
        <v>1384.9499999999996</v>
      </c>
      <c r="BW263" s="343">
        <f>SUMIFS($AU$134:AU264,$AB$134:AB264,"*",$AC$134:AC264,"*")</f>
        <v>548.30000000000007</v>
      </c>
      <c r="BX263" s="343">
        <f>SUMIFS($AU264:AU$1388,$Q264:Q$1388,"F")</f>
        <v>14407.466666666669</v>
      </c>
      <c r="BY263" s="343">
        <f>SUMIFS($AU264:AU$1388,$Q264:Q$1388,"S")</f>
        <v>18364.292000000001</v>
      </c>
      <c r="BZ263" s="343">
        <f>SUMIFS($AU264:AU$1388,$Q264:Q$1388,"O")</f>
        <v>-1487.2979999997594</v>
      </c>
    </row>
    <row r="264" spans="1:78" ht="18" customHeight="1">
      <c r="A264" s="177" t="s">
        <v>1148</v>
      </c>
      <c r="B264" s="177"/>
      <c r="C264" s="178"/>
      <c r="D264" s="178"/>
      <c r="E264" s="290"/>
      <c r="F264" s="180"/>
      <c r="G264" s="181"/>
      <c r="H264" s="182"/>
      <c r="I264" s="182"/>
      <c r="J264" s="182"/>
      <c r="K264" s="183"/>
      <c r="L264" s="182"/>
      <c r="M264" s="182"/>
      <c r="N264" s="182"/>
      <c r="O264" s="183"/>
      <c r="P264" s="183"/>
      <c r="Q264" s="183"/>
      <c r="R264" s="183"/>
      <c r="S264" s="183"/>
      <c r="T264" s="183"/>
      <c r="U264" s="183"/>
      <c r="V264" s="183"/>
      <c r="W264" s="183"/>
      <c r="X264" s="183"/>
      <c r="Y264" s="274"/>
      <c r="Z264" s="274"/>
      <c r="AA264" s="185"/>
      <c r="AB264" s="185"/>
      <c r="AC264" s="185"/>
      <c r="AD264" s="649"/>
      <c r="AE264" s="182"/>
      <c r="AF264" s="332"/>
      <c r="AG264" s="182"/>
      <c r="AH264" s="182"/>
      <c r="AI264" s="182"/>
      <c r="AJ264" s="640"/>
      <c r="AK264" s="182"/>
      <c r="AL264" s="496"/>
      <c r="AM264" s="496"/>
      <c r="AN264" s="626"/>
      <c r="AO264" s="182"/>
      <c r="AP264" s="182"/>
      <c r="AQ264" s="332" t="str">
        <f>UPPER(RIGHT(Journal_Live[[#This Row],[DURATION ]]))</f>
        <v/>
      </c>
      <c r="AR264" s="182"/>
      <c r="AS264" s="189"/>
      <c r="AT264" s="189"/>
      <c r="AU264" s="187"/>
      <c r="AV264" s="190"/>
      <c r="AW264" s="191"/>
      <c r="AX264" s="407" t="s">
        <v>1329</v>
      </c>
      <c r="AY264" s="407" t="s">
        <v>1330</v>
      </c>
      <c r="AZ264" s="407" t="s">
        <v>1331</v>
      </c>
      <c r="BA264" s="407" t="s">
        <v>1332</v>
      </c>
      <c r="BB264" s="407" t="s">
        <v>1333</v>
      </c>
      <c r="BC264" s="407" t="s">
        <v>1334</v>
      </c>
      <c r="BD264" s="407" t="s">
        <v>529</v>
      </c>
      <c r="BE264" s="407"/>
      <c r="BF264" s="422"/>
      <c r="BG264" s="391">
        <f>SUM($AV$4:AV264)</f>
        <v>2286.7849999999967</v>
      </c>
      <c r="BH264" s="392">
        <f>SUM($AU$134:AU264)</f>
        <v>2378.1899999999609</v>
      </c>
      <c r="BI264" s="318">
        <f>SUMIFS($AU$134:AU265,$Q$134:Q265,"F")</f>
        <v>33.199999999999989</v>
      </c>
      <c r="BJ264" s="318">
        <f>SUMIFS($AU$134:AU265,$Q$134:Q265,"S")</f>
        <v>2008.55</v>
      </c>
      <c r="BK264" s="343">
        <f>SUMIFS($AU$134:AU265,$P$134:P265,"W")</f>
        <v>1874.1899999999721</v>
      </c>
      <c r="BL264" s="343">
        <f>SUMIFS($AU$134:AU265,$P$134:P265,"R")</f>
        <v>205.19999999998848</v>
      </c>
      <c r="BM264" s="343">
        <f>SUMIFS($AU$134:AU265,$AQ$134:AQ265,"M")</f>
        <v>-82.999999999995296</v>
      </c>
      <c r="BN264" s="343">
        <f>SUMIFS($AU$134:AU265,$AQ$134:AQ265,"H")</f>
        <v>251.00000000001495</v>
      </c>
      <c r="BO264" s="343">
        <f>SUMIFS($AU$134:AU265,$AQ$134:AQ265,"D")</f>
        <v>1210.25</v>
      </c>
      <c r="BP264" s="343">
        <f>SUMIFS($AU$134:AU267,$AQ$134:AQ267,"W")</f>
        <v>252.10000000000008</v>
      </c>
      <c r="BQ264" s="343">
        <f>SUMIFS($AU$134:AU265,$Q$134:Q265,"O")</f>
        <v>-161.56000000003894</v>
      </c>
      <c r="BR264" s="343">
        <f>SUMIFS($AU$134:AU265,$AA$134:AA265,"*")</f>
        <v>2244.6499999999901</v>
      </c>
      <c r="BS264" s="343">
        <f>SUMIFS($AU$134:AU265,$AB$134:AB265,"*")</f>
        <v>435.23999999995613</v>
      </c>
      <c r="BT264" s="343">
        <f>SUMIFS($AU$134:AU265,$AC$134:AC265,"*")</f>
        <v>1086.1499999999996</v>
      </c>
      <c r="BU264" s="343">
        <f>SUMIFS($AU$134:AU265,$AA$134:AA265,"*",$AB$134:AB265,"*")</f>
        <v>535.49999999998488</v>
      </c>
      <c r="BV264" s="343">
        <f>SUMIFS($AU$134:AU265,$AA$134:AA265,"*",$AC$134:AC265,"*")</f>
        <v>1384.9499999999996</v>
      </c>
      <c r="BW264" s="343">
        <f>SUMIFS($AU$134:AU265,$AB$134:AB265,"*",$AC$134:AC265,"*")</f>
        <v>548.30000000000007</v>
      </c>
      <c r="BX264" s="343">
        <f>SUMIFS($AU265:AU$1388,$Q265:Q$1388,"F")</f>
        <v>14407.466666666669</v>
      </c>
      <c r="BY264" s="343">
        <f>SUMIFS($AU265:AU$1388,$Q265:Q$1388,"S")</f>
        <v>18364.292000000001</v>
      </c>
      <c r="BZ264" s="343">
        <f>SUMIFS($AU265:AU$1388,$Q265:Q$1388,"O")</f>
        <v>-1487.2979999997594</v>
      </c>
    </row>
    <row r="265" spans="1:78" ht="18" customHeight="1">
      <c r="A265" s="221" t="s">
        <v>1148</v>
      </c>
      <c r="B265" s="177">
        <v>44970</v>
      </c>
      <c r="C265" s="178" t="s">
        <v>1335</v>
      </c>
      <c r="D265" s="178" t="s">
        <v>132</v>
      </c>
      <c r="E265" s="290"/>
      <c r="F265" s="180"/>
      <c r="G265" s="294" t="s">
        <v>133</v>
      </c>
      <c r="H265" s="182"/>
      <c r="I265" s="182"/>
      <c r="J265" s="182"/>
      <c r="K265" s="183"/>
      <c r="L265" s="182">
        <v>1</v>
      </c>
      <c r="M265" s="182"/>
      <c r="N265" s="182"/>
      <c r="O265" s="183" t="s">
        <v>95</v>
      </c>
      <c r="P265" s="183" t="s">
        <v>96</v>
      </c>
      <c r="Q265" s="183" t="s">
        <v>97</v>
      </c>
      <c r="R265" s="183">
        <v>3</v>
      </c>
      <c r="S265" s="183">
        <v>3</v>
      </c>
      <c r="T265" s="183">
        <v>3</v>
      </c>
      <c r="U265" s="183" t="s">
        <v>97</v>
      </c>
      <c r="V265" s="183"/>
      <c r="W265" s="183"/>
      <c r="X265" s="183"/>
      <c r="Y265" s="184">
        <f t="shared" ref="Y265:Y294" si="115">IF(ISBLANK(O265),"",(IF(O265=UPPER("IB"),0.005,0.01)))</f>
        <v>0.01</v>
      </c>
      <c r="Z265" s="184">
        <f t="shared" ref="Z265:Z284" si="116">IF(ISBLANK(O265),"",IF(O265=UPPER("IB"),8.63*200,16.6*100))</f>
        <v>1660.0000000000002</v>
      </c>
      <c r="AA265" s="185"/>
      <c r="AB265" s="185"/>
      <c r="AC265" s="185" t="s">
        <v>1336</v>
      </c>
      <c r="AD265" s="649">
        <v>-0.03</v>
      </c>
      <c r="AE265" s="182"/>
      <c r="AF265" s="332"/>
      <c r="AG265" s="182"/>
      <c r="AH265" s="182"/>
      <c r="AI265" s="182"/>
      <c r="AJ265" s="640"/>
      <c r="AK265" s="182"/>
      <c r="AL265" s="496">
        <f>-0.05*Z265</f>
        <v>-83.000000000000014</v>
      </c>
      <c r="AM265" s="496">
        <f>AL265*R265</f>
        <v>-249.00000000000006</v>
      </c>
      <c r="AN265" s="626"/>
      <c r="AO265" s="182"/>
      <c r="AP265" s="182" t="s">
        <v>589</v>
      </c>
      <c r="AQ265" s="332" t="str">
        <f>UPPER(RIGHT(Journal_Live[[#This Row],[DURATION ]]))</f>
        <v>D</v>
      </c>
      <c r="AR265" s="182" t="s">
        <v>1337</v>
      </c>
      <c r="AS265" s="189">
        <v>0.03</v>
      </c>
      <c r="AT265" s="189">
        <f>IF(ISBLANK(AS265),,IF(U265="S",AD265-AS265,AS265-AD265))</f>
        <v>-0.06</v>
      </c>
      <c r="AU265" s="187">
        <f>AV265*R265</f>
        <v>-298.8</v>
      </c>
      <c r="AV265" s="190">
        <f>IF(ISBLANK(AS265),,(AT265*Z265))</f>
        <v>-99.600000000000009</v>
      </c>
      <c r="AW265" s="191" t="s">
        <v>229</v>
      </c>
      <c r="AX265" s="407" t="s">
        <v>1338</v>
      </c>
      <c r="AY265" s="407"/>
      <c r="AZ265" s="407"/>
      <c r="BA265" s="407"/>
      <c r="BB265" s="407"/>
      <c r="BC265" s="407" t="s">
        <v>529</v>
      </c>
      <c r="BD265" s="407"/>
      <c r="BE265" s="407"/>
      <c r="BF265" s="422"/>
      <c r="BG265" s="391">
        <f>SUM($AV$4:AV265)</f>
        <v>2187.1849999999968</v>
      </c>
      <c r="BH265" s="392">
        <f>SUM($AU$134:AU265)</f>
        <v>2079.3899999999608</v>
      </c>
      <c r="BI265" s="318">
        <f>SUMIFS($AU$134:AU266,$Q$134:Q266,"F")</f>
        <v>33.199999999999989</v>
      </c>
      <c r="BJ265" s="318">
        <f>SUMIFS($AU$134:AU266,$Q$134:Q266,"S")</f>
        <v>1809.35</v>
      </c>
      <c r="BK265" s="343">
        <f>SUMIFS($AU$134:AU266,$P$134:P266,"W")</f>
        <v>1674.989999999972</v>
      </c>
      <c r="BL265" s="343">
        <f>SUMIFS($AU$134:AU266,$P$134:P266,"R")</f>
        <v>205.19999999998848</v>
      </c>
      <c r="BM265" s="343">
        <f>SUMIFS($AU$134:AU266,$AQ$134:AQ266,"M")</f>
        <v>-82.999999999995296</v>
      </c>
      <c r="BN265" s="343">
        <f>SUMIFS($AU$134:AU266,$AQ$134:AQ266,"H")</f>
        <v>251.00000000001495</v>
      </c>
      <c r="BO265" s="343">
        <f>SUMIFS($AU$134:AU266,$AQ$134:AQ266,"D")</f>
        <v>1011.05</v>
      </c>
      <c r="BP265" s="343">
        <f>SUMIFS($AU$134:AU268,$AQ$134:AQ268,"W")</f>
        <v>252.10000000000008</v>
      </c>
      <c r="BQ265" s="343">
        <f>SUMIFS($AU$134:AU266,$Q$134:Q266,"O")</f>
        <v>-161.56000000003894</v>
      </c>
      <c r="BR265" s="343">
        <f>SUMIFS($AU$134:AU266,$AA$134:AA266,"*")</f>
        <v>2244.6499999999901</v>
      </c>
      <c r="BS265" s="343">
        <f>SUMIFS($AU$134:AU266,$AB$134:AB266,"*")</f>
        <v>435.23999999995613</v>
      </c>
      <c r="BT265" s="343">
        <f>SUMIFS($AU$134:AU266,$AC$134:AC266,"*")</f>
        <v>886.94999999999959</v>
      </c>
      <c r="BU265" s="343">
        <f>SUMIFS($AU$134:AU266,$AA$134:AA266,"*",$AB$134:AB266,"*")</f>
        <v>535.49999999998488</v>
      </c>
      <c r="BV265" s="343">
        <f>SUMIFS($AU$134:AU266,$AA$134:AA266,"*",$AC$134:AC266,"*")</f>
        <v>1384.9499999999996</v>
      </c>
      <c r="BW265" s="343">
        <f>SUMIFS($AU$134:AU266,$AB$134:AB266,"*",$AC$134:AC266,"*")</f>
        <v>548.30000000000007</v>
      </c>
      <c r="BX265" s="343">
        <f>SUMIFS($AU266:AU$1388,$Q266:Q$1388,"F")</f>
        <v>14407.466666666669</v>
      </c>
      <c r="BY265" s="343">
        <f>SUMIFS($AU266:AU$1388,$Q266:Q$1388,"S")</f>
        <v>18663.092000000001</v>
      </c>
      <c r="BZ265" s="343">
        <f>SUMIFS($AU266:AU$1388,$Q266:Q$1388,"O")</f>
        <v>-1487.2979999997594</v>
      </c>
    </row>
    <row r="266" spans="1:78" ht="18" customHeight="1">
      <c r="A266" s="177" t="s">
        <v>1148</v>
      </c>
      <c r="B266" s="177">
        <v>44970</v>
      </c>
      <c r="C266" s="178" t="s">
        <v>848</v>
      </c>
      <c r="D266" s="178" t="s">
        <v>132</v>
      </c>
      <c r="E266" s="290"/>
      <c r="F266" s="180"/>
      <c r="G266" s="297" t="s">
        <v>133</v>
      </c>
      <c r="H266" s="182"/>
      <c r="I266" s="182"/>
      <c r="J266" s="182"/>
      <c r="K266" s="183"/>
      <c r="L266" s="182">
        <v>1</v>
      </c>
      <c r="M266" s="182"/>
      <c r="N266" s="182"/>
      <c r="O266" s="183" t="s">
        <v>95</v>
      </c>
      <c r="P266" s="183" t="s">
        <v>96</v>
      </c>
      <c r="Q266" s="183" t="s">
        <v>97</v>
      </c>
      <c r="R266" s="183">
        <v>4</v>
      </c>
      <c r="S266" s="183">
        <v>4</v>
      </c>
      <c r="T266" s="183">
        <v>3</v>
      </c>
      <c r="U266" s="183" t="s">
        <v>97</v>
      </c>
      <c r="V266" s="183"/>
      <c r="W266" s="183"/>
      <c r="X266" s="183"/>
      <c r="Y266" s="184">
        <f t="shared" si="115"/>
        <v>0.01</v>
      </c>
      <c r="Z266" s="184">
        <f t="shared" si="116"/>
        <v>1660.0000000000002</v>
      </c>
      <c r="AA266" s="185"/>
      <c r="AB266" s="185"/>
      <c r="AC266" s="185" t="s">
        <v>1336</v>
      </c>
      <c r="AD266" s="649">
        <v>-0.02</v>
      </c>
      <c r="AE266" s="182"/>
      <c r="AF266" s="332">
        <v>0</v>
      </c>
      <c r="AG266" s="182"/>
      <c r="AH266" s="182"/>
      <c r="AI266" s="182"/>
      <c r="AJ266" s="640"/>
      <c r="AK266" s="182"/>
      <c r="AL266" s="496">
        <f>-0.04*Z266</f>
        <v>-66.400000000000006</v>
      </c>
      <c r="AM266" s="496">
        <f>AL266*R266</f>
        <v>-265.60000000000002</v>
      </c>
      <c r="AN266" s="626"/>
      <c r="AO266" s="182"/>
      <c r="AP266" s="182" t="s">
        <v>864</v>
      </c>
      <c r="AQ266" s="332" t="str">
        <f>UPPER(RIGHT(Journal_Live[[#This Row],[DURATION ]]))</f>
        <v>D</v>
      </c>
      <c r="AR266" s="182" t="s">
        <v>1339</v>
      </c>
      <c r="AS266" s="189">
        <v>0.01</v>
      </c>
      <c r="AT266" s="189">
        <f>IF(ISBLANK(AS266),,IF(U266="S",AD266-AS266,AS266-AD266))</f>
        <v>-0.03</v>
      </c>
      <c r="AU266" s="187">
        <f>AV266*R266</f>
        <v>-199.20000000000002</v>
      </c>
      <c r="AV266" s="190">
        <f>IF(ISBLANK(AS266),,(AT266*Z266))</f>
        <v>-49.800000000000004</v>
      </c>
      <c r="AW266" s="191" t="s">
        <v>229</v>
      </c>
      <c r="AX266" s="407" t="s">
        <v>1340</v>
      </c>
      <c r="AY266" s="407"/>
      <c r="AZ266" s="407"/>
      <c r="BA266" s="407"/>
      <c r="BB266" s="407"/>
      <c r="BC266" s="407"/>
      <c r="BD266" s="407"/>
      <c r="BE266" s="407"/>
      <c r="BF266" s="422"/>
      <c r="BG266" s="391">
        <f>SUM($AV$4:AV266)</f>
        <v>2137.3849999999966</v>
      </c>
      <c r="BH266" s="392">
        <f>SUM($AU$134:AU266)</f>
        <v>1880.1899999999607</v>
      </c>
      <c r="BI266" s="318">
        <f>SUMIFS($AU$134:AU267,$Q$134:Q267,"F")</f>
        <v>33.199999999999989</v>
      </c>
      <c r="BJ266" s="318">
        <f>SUMIFS($AU$134:AU267,$Q$134:Q267,"S")</f>
        <v>1892.35</v>
      </c>
      <c r="BK266" s="343">
        <f>SUMIFS($AU$134:AU267,$P$134:P267,"W")</f>
        <v>1757.989999999972</v>
      </c>
      <c r="BL266" s="343">
        <f>SUMIFS($AU$134:AU267,$P$134:P267,"R")</f>
        <v>205.19999999998848</v>
      </c>
      <c r="BM266" s="343">
        <f>SUMIFS($AU$134:AU267,$AQ$134:AQ267,"M")</f>
        <v>-82.999999999995296</v>
      </c>
      <c r="BN266" s="343">
        <f>SUMIFS($AU$134:AU267,$AQ$134:AQ267,"H")</f>
        <v>251.00000000001495</v>
      </c>
      <c r="BO266" s="343">
        <f>SUMIFS($AU$134:AU267,$AQ$134:AQ267,"D")</f>
        <v>1011.05</v>
      </c>
      <c r="BP266" s="343">
        <f>SUMIFS($AU$134:AU269,$AQ$134:AQ269,"W")</f>
        <v>252.10000000000008</v>
      </c>
      <c r="BQ266" s="343">
        <f>SUMIFS($AU$134:AU267,$Q$134:Q267,"O")</f>
        <v>-161.56000000003894</v>
      </c>
      <c r="BR266" s="343">
        <f>SUMIFS($AU$134:AU267,$AA$134:AA267,"*")</f>
        <v>2244.6499999999901</v>
      </c>
      <c r="BS266" s="343">
        <f>SUMIFS($AU$134:AU267,$AB$134:AB267,"*")</f>
        <v>435.23999999995613</v>
      </c>
      <c r="BT266" s="343">
        <f>SUMIFS($AU$134:AU267,$AC$134:AC267,"*")</f>
        <v>969.94999999999959</v>
      </c>
      <c r="BU266" s="343">
        <f>SUMIFS($AU$134:AU267,$AA$134:AA267,"*",$AB$134:AB267,"*")</f>
        <v>535.49999999998488</v>
      </c>
      <c r="BV266" s="343">
        <f>SUMIFS($AU$134:AU267,$AA$134:AA267,"*",$AC$134:AC267,"*")</f>
        <v>1384.9499999999996</v>
      </c>
      <c r="BW266" s="343">
        <f>SUMIFS($AU$134:AU267,$AB$134:AB267,"*",$AC$134:AC267,"*")</f>
        <v>548.30000000000007</v>
      </c>
      <c r="BX266" s="343">
        <f>SUMIFS($AU267:AU$1388,$Q267:Q$1388,"F")</f>
        <v>14407.466666666669</v>
      </c>
      <c r="BY266" s="343">
        <f>SUMIFS($AU267:AU$1388,$Q267:Q$1388,"S")</f>
        <v>18862.292000000005</v>
      </c>
      <c r="BZ266" s="343">
        <f>SUMIFS($AU267:AU$1388,$Q267:Q$1388,"O")</f>
        <v>-1487.2979999997594</v>
      </c>
    </row>
    <row r="267" spans="1:78" ht="18" customHeight="1">
      <c r="A267" s="177" t="s">
        <v>1148</v>
      </c>
      <c r="B267" s="177">
        <v>44970</v>
      </c>
      <c r="C267" s="178" t="s">
        <v>1341</v>
      </c>
      <c r="D267" s="178" t="s">
        <v>132</v>
      </c>
      <c r="E267" s="290"/>
      <c r="F267" s="180"/>
      <c r="G267" s="287" t="s">
        <v>133</v>
      </c>
      <c r="H267" s="182"/>
      <c r="I267" s="182"/>
      <c r="J267" s="182"/>
      <c r="K267" s="183"/>
      <c r="L267" s="182">
        <v>1</v>
      </c>
      <c r="M267" s="182"/>
      <c r="N267" s="182"/>
      <c r="O267" s="183" t="s">
        <v>95</v>
      </c>
      <c r="P267" s="183" t="s">
        <v>96</v>
      </c>
      <c r="Q267" s="183" t="s">
        <v>97</v>
      </c>
      <c r="R267" s="183">
        <v>1</v>
      </c>
      <c r="S267" s="183">
        <v>1</v>
      </c>
      <c r="T267" s="183">
        <v>1</v>
      </c>
      <c r="U267" s="183" t="s">
        <v>97</v>
      </c>
      <c r="V267" s="183"/>
      <c r="W267" s="183"/>
      <c r="X267" s="183"/>
      <c r="Y267" s="184">
        <f t="shared" si="115"/>
        <v>0.01</v>
      </c>
      <c r="Z267" s="184">
        <f t="shared" si="116"/>
        <v>1660.0000000000002</v>
      </c>
      <c r="AA267" s="185"/>
      <c r="AB267" s="185"/>
      <c r="AC267" s="185" t="s">
        <v>1336</v>
      </c>
      <c r="AD267" s="649">
        <v>-0.01</v>
      </c>
      <c r="AE267" s="182"/>
      <c r="AF267" s="332"/>
      <c r="AG267" s="182"/>
      <c r="AH267" s="182"/>
      <c r="AI267" s="182"/>
      <c r="AJ267" s="640"/>
      <c r="AK267" s="182"/>
      <c r="AL267" s="496">
        <f>-0.03*Z267</f>
        <v>-49.800000000000004</v>
      </c>
      <c r="AM267" s="496">
        <f>AL267*R267</f>
        <v>-49.800000000000004</v>
      </c>
      <c r="AN267" s="626"/>
      <c r="AO267" s="182"/>
      <c r="AP267" s="182"/>
      <c r="AQ267" s="332" t="str">
        <f>UPPER(RIGHT(Journal_Live[[#This Row],[DURATION ]]))</f>
        <v/>
      </c>
      <c r="AR267" s="182" t="s">
        <v>1342</v>
      </c>
      <c r="AS267" s="189">
        <v>-0.06</v>
      </c>
      <c r="AT267" s="189">
        <f>IF(ISBLANK(AS267),,IF(U267="S",AD267-AS267,AS267-AD267))</f>
        <v>4.9999999999999996E-2</v>
      </c>
      <c r="AU267" s="187">
        <f>AV267*R267</f>
        <v>83</v>
      </c>
      <c r="AV267" s="190">
        <f>IF(ISBLANK(AS267),,(AT267*Z267))</f>
        <v>83</v>
      </c>
      <c r="AW267" s="191" t="s">
        <v>96</v>
      </c>
      <c r="AX267" s="407" t="s">
        <v>1343</v>
      </c>
      <c r="AY267" s="407"/>
      <c r="AZ267" s="407"/>
      <c r="BA267" s="407"/>
      <c r="BB267" s="407"/>
      <c r="BC267" s="407"/>
      <c r="BD267" s="407"/>
      <c r="BE267" s="407"/>
      <c r="BF267" s="422"/>
      <c r="BG267" s="391">
        <f>SUM($AV$4:AV267)</f>
        <v>2220.3849999999966</v>
      </c>
      <c r="BH267" s="392">
        <f>SUM($AU$134:AU267)</f>
        <v>1963.1899999999607</v>
      </c>
      <c r="BI267" s="318">
        <f>SUMIFS($AU$134:AU268,$Q$134:Q268,"F")</f>
        <v>33.199999999999989</v>
      </c>
      <c r="BJ267" s="318">
        <f>SUMIFS($AU$134:AU268,$Q$134:Q268,"S")</f>
        <v>1892.35</v>
      </c>
      <c r="BK267" s="343">
        <f>SUMIFS($AU$134:AU268,$P$134:P268,"W")</f>
        <v>1757.989999999972</v>
      </c>
      <c r="BL267" s="343">
        <f>SUMIFS($AU$134:AU268,$P$134:P268,"R")</f>
        <v>205.19999999998848</v>
      </c>
      <c r="BM267" s="343">
        <f>SUMIFS($AU$134:AU268,$AQ$134:AQ268,"M")</f>
        <v>-82.999999999995296</v>
      </c>
      <c r="BN267" s="343">
        <f>SUMIFS($AU$134:AU268,$AQ$134:AQ268,"H")</f>
        <v>251.00000000001495</v>
      </c>
      <c r="BO267" s="343">
        <f>SUMIFS($AU$134:AU268,$AQ$134:AQ268,"D")</f>
        <v>1011.05</v>
      </c>
      <c r="BP267" s="343">
        <f>SUMIFS($AU$134:AU270,$AQ$134:AQ270,"W")</f>
        <v>252.10000000000008</v>
      </c>
      <c r="BQ267" s="343">
        <f>SUMIFS($AU$134:AU268,$Q$134:Q268,"O")</f>
        <v>-161.56000000003894</v>
      </c>
      <c r="BR267" s="343">
        <f>SUMIFS($AU$134:AU268,$AA$134:AA268,"*")</f>
        <v>2244.6499999999901</v>
      </c>
      <c r="BS267" s="343">
        <f>SUMIFS($AU$134:AU268,$AB$134:AB268,"*")</f>
        <v>435.23999999995613</v>
      </c>
      <c r="BT267" s="343">
        <f>SUMIFS($AU$134:AU268,$AC$134:AC268,"*")</f>
        <v>969.94999999999959</v>
      </c>
      <c r="BU267" s="343">
        <f>SUMIFS($AU$134:AU268,$AA$134:AA268,"*",$AB$134:AB268,"*")</f>
        <v>535.49999999998488</v>
      </c>
      <c r="BV267" s="343">
        <f>SUMIFS($AU$134:AU268,$AA$134:AA268,"*",$AC$134:AC268,"*")</f>
        <v>1384.9499999999996</v>
      </c>
      <c r="BW267" s="343">
        <f>SUMIFS($AU$134:AU268,$AB$134:AB268,"*",$AC$134:AC268,"*")</f>
        <v>548.30000000000007</v>
      </c>
      <c r="BX267" s="343">
        <f>SUMIFS($AU268:AU$1388,$Q268:Q$1388,"F")</f>
        <v>14407.466666666669</v>
      </c>
      <c r="BY267" s="343">
        <f>SUMIFS($AU268:AU$1388,$Q268:Q$1388,"S")</f>
        <v>18779.292000000001</v>
      </c>
      <c r="BZ267" s="343">
        <f>SUMIFS($AU268:AU$1388,$Q268:Q$1388,"O")</f>
        <v>-1487.2979999997594</v>
      </c>
    </row>
    <row r="268" spans="1:78" ht="18" customHeight="1">
      <c r="A268" s="221" t="s">
        <v>1148</v>
      </c>
      <c r="B268" s="177">
        <v>44971</v>
      </c>
      <c r="C268" s="178" t="s">
        <v>1344</v>
      </c>
      <c r="D268" s="178" t="s">
        <v>146</v>
      </c>
      <c r="E268" s="291" t="s">
        <v>1345</v>
      </c>
      <c r="F268" s="180" t="s">
        <v>1346</v>
      </c>
      <c r="G268" s="181"/>
      <c r="H268" s="182"/>
      <c r="I268" s="182">
        <v>1</v>
      </c>
      <c r="J268" s="182"/>
      <c r="K268" s="183"/>
      <c r="L268" s="182"/>
      <c r="M268" s="182"/>
      <c r="N268" s="182"/>
      <c r="O268" s="183"/>
      <c r="P268" s="183"/>
      <c r="Q268" s="183"/>
      <c r="R268" s="183"/>
      <c r="S268" s="183"/>
      <c r="T268" s="183"/>
      <c r="U268" s="183"/>
      <c r="V268" s="183"/>
      <c r="W268" s="183"/>
      <c r="X268" s="183"/>
      <c r="Y268" s="184" t="str">
        <f t="shared" si="115"/>
        <v/>
      </c>
      <c r="Z268" s="184" t="str">
        <f t="shared" si="116"/>
        <v/>
      </c>
      <c r="AA268" s="185"/>
      <c r="AB268" s="185"/>
      <c r="AC268" s="185"/>
      <c r="AD268" s="649"/>
      <c r="AE268" s="182"/>
      <c r="AF268" s="332"/>
      <c r="AG268" s="182"/>
      <c r="AH268" s="182"/>
      <c r="AI268" s="182"/>
      <c r="AJ268" s="640"/>
      <c r="AK268" s="182"/>
      <c r="AL268" s="496"/>
      <c r="AM268" s="496"/>
      <c r="AN268" s="626"/>
      <c r="AO268" s="182"/>
      <c r="AP268" s="182"/>
      <c r="AQ268" s="332" t="str">
        <f>UPPER(RIGHT(Journal_Live[[#This Row],[DURATION ]]))</f>
        <v/>
      </c>
      <c r="AR268" s="182"/>
      <c r="AS268" s="189"/>
      <c r="AT268" s="189"/>
      <c r="AU268" s="187"/>
      <c r="AV268" s="190"/>
      <c r="AW268" s="191"/>
      <c r="AX268" s="407" t="s">
        <v>1347</v>
      </c>
      <c r="AY268" s="407" t="s">
        <v>1348</v>
      </c>
      <c r="AZ268" s="407" t="s">
        <v>1349</v>
      </c>
      <c r="BA268" s="407"/>
      <c r="BB268" s="407"/>
      <c r="BC268" s="407"/>
      <c r="BD268" s="407"/>
      <c r="BE268" s="407"/>
      <c r="BF268" s="422"/>
      <c r="BG268" s="391">
        <f>SUM($AV$4:AV268)</f>
        <v>2220.3849999999966</v>
      </c>
      <c r="BH268" s="392">
        <f>SUM($AU$134:AU268)</f>
        <v>1963.1899999999607</v>
      </c>
      <c r="BI268" s="318">
        <f>SUMIFS($AU$134:AU269,$Q$134:Q269,"F")</f>
        <v>33.199999999999989</v>
      </c>
      <c r="BJ268" s="318">
        <f>SUMIFS($AU$134:AU269,$Q$134:Q269,"S")</f>
        <v>1892.35</v>
      </c>
      <c r="BK268" s="343">
        <f>SUMIFS($AU$134:AU269,$P$134:P269,"W")</f>
        <v>1757.989999999972</v>
      </c>
      <c r="BL268" s="343">
        <f>SUMIFS($AU$134:AU269,$P$134:P269,"R")</f>
        <v>205.19999999998848</v>
      </c>
      <c r="BM268" s="343">
        <f>SUMIFS($AU$134:AU269,$AQ$134:AQ269,"M")</f>
        <v>-82.999999999995296</v>
      </c>
      <c r="BN268" s="343">
        <f>SUMIFS($AU$134:AU269,$AQ$134:AQ269,"H")</f>
        <v>251.00000000001495</v>
      </c>
      <c r="BO268" s="343">
        <f>SUMIFS($AU$134:AU269,$AQ$134:AQ269,"D")</f>
        <v>1011.05</v>
      </c>
      <c r="BP268" s="343">
        <f>SUMIFS($AU$134:AU271,$AQ$134:AQ271,"W")</f>
        <v>252.10000000000008</v>
      </c>
      <c r="BQ268" s="343">
        <f>SUMIFS($AU$134:AU269,$Q$134:Q269,"O")</f>
        <v>-161.56000000003894</v>
      </c>
      <c r="BR268" s="343">
        <f>SUMIFS($AU$134:AU269,$AA$134:AA269,"*")</f>
        <v>2244.6499999999901</v>
      </c>
      <c r="BS268" s="343">
        <f>SUMIFS($AU$134:AU269,$AB$134:AB269,"*")</f>
        <v>435.23999999995613</v>
      </c>
      <c r="BT268" s="343">
        <f>SUMIFS($AU$134:AU269,$AC$134:AC269,"*")</f>
        <v>969.94999999999959</v>
      </c>
      <c r="BU268" s="343">
        <f>SUMIFS($AU$134:AU269,$AA$134:AA269,"*",$AB$134:AB269,"*")</f>
        <v>535.49999999998488</v>
      </c>
      <c r="BV268" s="343">
        <f>SUMIFS($AU$134:AU269,$AA$134:AA269,"*",$AC$134:AC269,"*")</f>
        <v>1384.9499999999996</v>
      </c>
      <c r="BW268" s="343">
        <f>SUMIFS($AU$134:AU269,$AB$134:AB269,"*",$AC$134:AC269,"*")</f>
        <v>548.30000000000007</v>
      </c>
      <c r="BX268" s="343">
        <f>SUMIFS($AU269:AU$1388,$Q269:Q$1388,"F")</f>
        <v>14407.466666666669</v>
      </c>
      <c r="BY268" s="343">
        <f>SUMIFS($AU269:AU$1388,$Q269:Q$1388,"S")</f>
        <v>18779.292000000001</v>
      </c>
      <c r="BZ268" s="343">
        <f>SUMIFS($AU269:AU$1388,$Q269:Q$1388,"O")</f>
        <v>-1487.2979999997594</v>
      </c>
    </row>
    <row r="269" spans="1:78" ht="18" customHeight="1">
      <c r="A269" s="177" t="s">
        <v>1148</v>
      </c>
      <c r="B269" s="177"/>
      <c r="C269" s="178"/>
      <c r="D269" s="178"/>
      <c r="E269" s="291" t="s">
        <v>1350</v>
      </c>
      <c r="F269" s="180" t="s">
        <v>1351</v>
      </c>
      <c r="G269" s="181"/>
      <c r="H269" s="182"/>
      <c r="I269" s="182">
        <v>1</v>
      </c>
      <c r="J269" s="182"/>
      <c r="K269" s="183"/>
      <c r="L269" s="182"/>
      <c r="M269" s="182"/>
      <c r="N269" s="182"/>
      <c r="O269" s="183"/>
      <c r="P269" s="183"/>
      <c r="Q269" s="183"/>
      <c r="R269" s="183"/>
      <c r="S269" s="183"/>
      <c r="T269" s="183"/>
      <c r="U269" s="183"/>
      <c r="V269" s="183"/>
      <c r="W269" s="183"/>
      <c r="X269" s="183"/>
      <c r="Y269" s="184" t="str">
        <f t="shared" si="115"/>
        <v/>
      </c>
      <c r="Z269" s="184" t="str">
        <f t="shared" si="116"/>
        <v/>
      </c>
      <c r="AA269" s="185"/>
      <c r="AB269" s="185"/>
      <c r="AC269" s="185"/>
      <c r="AD269" s="649"/>
      <c r="AE269" s="182"/>
      <c r="AF269" s="332"/>
      <c r="AG269" s="182"/>
      <c r="AH269" s="182"/>
      <c r="AI269" s="182"/>
      <c r="AJ269" s="640"/>
      <c r="AK269" s="182"/>
      <c r="AL269" s="496"/>
      <c r="AM269" s="496"/>
      <c r="AN269" s="626"/>
      <c r="AO269" s="182"/>
      <c r="AP269" s="182"/>
      <c r="AQ269" s="332" t="str">
        <f>UPPER(RIGHT(Journal_Live[[#This Row],[DURATION ]]))</f>
        <v/>
      </c>
      <c r="AR269" s="182"/>
      <c r="AS269" s="189"/>
      <c r="AT269" s="189"/>
      <c r="AU269" s="187"/>
      <c r="AV269" s="190"/>
      <c r="AW269" s="191"/>
      <c r="AX269" s="407"/>
      <c r="AY269" s="407"/>
      <c r="AZ269" s="407"/>
      <c r="BA269" s="407"/>
      <c r="BB269" s="407"/>
      <c r="BC269" s="407"/>
      <c r="BD269" s="407"/>
      <c r="BE269" s="407"/>
      <c r="BF269" s="422"/>
      <c r="BG269" s="391">
        <f>SUM($AV$4:AV269)</f>
        <v>2220.3849999999966</v>
      </c>
      <c r="BH269" s="392">
        <f>SUM($AU$134:AU269)</f>
        <v>1963.1899999999607</v>
      </c>
      <c r="BI269" s="318">
        <f>SUMIFS($AU$134:AU270,$Q$134:Q270,"F")</f>
        <v>33.199999999999989</v>
      </c>
      <c r="BJ269" s="318">
        <f>SUMIFS($AU$134:AU270,$Q$134:Q270,"S")</f>
        <v>1892.35</v>
      </c>
      <c r="BK269" s="343">
        <f>SUMIFS($AU$134:AU270,$P$134:P270,"W")</f>
        <v>1757.989999999972</v>
      </c>
      <c r="BL269" s="343">
        <f>SUMIFS($AU$134:AU270,$P$134:P270,"R")</f>
        <v>205.19999999998848</v>
      </c>
      <c r="BM269" s="343">
        <f>SUMIFS($AU$134:AU270,$AQ$134:AQ270,"M")</f>
        <v>-82.999999999995296</v>
      </c>
      <c r="BN269" s="343">
        <f>SUMIFS($AU$134:AU270,$AQ$134:AQ270,"H")</f>
        <v>251.00000000001495</v>
      </c>
      <c r="BO269" s="343">
        <f>SUMIFS($AU$134:AU270,$AQ$134:AQ270,"D")</f>
        <v>1011.05</v>
      </c>
      <c r="BP269" s="343">
        <f>SUMIFS($AU$134:AU272,$AQ$134:AQ272,"W")</f>
        <v>252.10000000000008</v>
      </c>
      <c r="BQ269" s="343">
        <f>SUMIFS($AU$134:AU270,$Q$134:Q270,"O")</f>
        <v>-161.56000000003894</v>
      </c>
      <c r="BR269" s="343">
        <f>SUMIFS($AU$134:AU270,$AA$134:AA270,"*")</f>
        <v>2244.6499999999901</v>
      </c>
      <c r="BS269" s="343">
        <f>SUMIFS($AU$134:AU270,$AB$134:AB270,"*")</f>
        <v>435.23999999995613</v>
      </c>
      <c r="BT269" s="343">
        <f>SUMIFS($AU$134:AU270,$AC$134:AC270,"*")</f>
        <v>969.94999999999959</v>
      </c>
      <c r="BU269" s="343">
        <f>SUMIFS($AU$134:AU270,$AA$134:AA270,"*",$AB$134:AB270,"*")</f>
        <v>535.49999999998488</v>
      </c>
      <c r="BV269" s="343">
        <f>SUMIFS($AU$134:AU270,$AA$134:AA270,"*",$AC$134:AC270,"*")</f>
        <v>1384.9499999999996</v>
      </c>
      <c r="BW269" s="343">
        <f>SUMIFS($AU$134:AU270,$AB$134:AB270,"*",$AC$134:AC270,"*")</f>
        <v>548.30000000000007</v>
      </c>
      <c r="BX269" s="343">
        <f>SUMIFS($AU270:AU$1388,$Q270:Q$1388,"F")</f>
        <v>14407.466666666669</v>
      </c>
      <c r="BY269" s="343">
        <f>SUMIFS($AU270:AU$1388,$Q270:Q$1388,"S")</f>
        <v>18779.292000000001</v>
      </c>
      <c r="BZ269" s="343">
        <f>SUMIFS($AU270:AU$1388,$Q270:Q$1388,"O")</f>
        <v>-1487.2979999997594</v>
      </c>
    </row>
    <row r="270" spans="1:78" ht="18" customHeight="1">
      <c r="A270" s="177" t="s">
        <v>1148</v>
      </c>
      <c r="B270" s="177"/>
      <c r="C270" s="178"/>
      <c r="D270" s="178"/>
      <c r="E270" s="292" t="s">
        <v>1352</v>
      </c>
      <c r="F270" s="180" t="s">
        <v>1353</v>
      </c>
      <c r="G270" s="181"/>
      <c r="H270" s="182">
        <v>1</v>
      </c>
      <c r="I270" s="182"/>
      <c r="J270" s="182"/>
      <c r="K270" s="183" t="s">
        <v>372</v>
      </c>
      <c r="L270" s="182"/>
      <c r="M270" s="182"/>
      <c r="N270" s="182"/>
      <c r="O270" s="183"/>
      <c r="P270" s="183"/>
      <c r="Q270" s="183"/>
      <c r="R270" s="183"/>
      <c r="S270" s="183"/>
      <c r="T270" s="183"/>
      <c r="U270" s="183"/>
      <c r="V270" s="183"/>
      <c r="W270" s="183"/>
      <c r="X270" s="183"/>
      <c r="Y270" s="184" t="str">
        <f t="shared" si="115"/>
        <v/>
      </c>
      <c r="Z270" s="184" t="str">
        <f t="shared" si="116"/>
        <v/>
      </c>
      <c r="AA270" s="185"/>
      <c r="AB270" s="185"/>
      <c r="AC270" s="185"/>
      <c r="AD270" s="649"/>
      <c r="AE270" s="182"/>
      <c r="AF270" s="332"/>
      <c r="AG270" s="182"/>
      <c r="AH270" s="182"/>
      <c r="AI270" s="182"/>
      <c r="AJ270" s="640"/>
      <c r="AK270" s="182"/>
      <c r="AL270" s="496"/>
      <c r="AM270" s="496"/>
      <c r="AN270" s="626"/>
      <c r="AO270" s="182"/>
      <c r="AP270" s="182"/>
      <c r="AQ270" s="332" t="str">
        <f>UPPER(RIGHT(Journal_Live[[#This Row],[DURATION ]]))</f>
        <v/>
      </c>
      <c r="AR270" s="182"/>
      <c r="AS270" s="189"/>
      <c r="AT270" s="189"/>
      <c r="AU270" s="187"/>
      <c r="AV270" s="190"/>
      <c r="AW270" s="191"/>
      <c r="AX270" s="407"/>
      <c r="AY270" s="407"/>
      <c r="AZ270" s="407"/>
      <c r="BA270" s="407"/>
      <c r="BB270" s="407"/>
      <c r="BC270" s="407"/>
      <c r="BD270" s="407"/>
      <c r="BE270" s="407"/>
      <c r="BF270" s="422"/>
      <c r="BG270" s="391">
        <f>SUM($AV$4:AV270)</f>
        <v>2220.3849999999966</v>
      </c>
      <c r="BH270" s="392">
        <f>SUM($AU$134:AU270)</f>
        <v>1963.1899999999607</v>
      </c>
      <c r="BI270" s="318">
        <f>SUMIFS($AU$134:AU271,$Q$134:Q271,"F")</f>
        <v>33.199999999999989</v>
      </c>
      <c r="BJ270" s="318">
        <f>SUMIFS($AU$134:AU271,$Q$134:Q271,"S")</f>
        <v>1892.35</v>
      </c>
      <c r="BK270" s="343">
        <f>SUMIFS($AU$134:AU271,$P$134:P271,"W")</f>
        <v>1757.989999999972</v>
      </c>
      <c r="BL270" s="343">
        <f>SUMIFS($AU$134:AU271,$P$134:P271,"R")</f>
        <v>205.19999999998848</v>
      </c>
      <c r="BM270" s="343">
        <f>SUMIFS($AU$134:AU271,$AQ$134:AQ271,"M")</f>
        <v>-82.999999999995296</v>
      </c>
      <c r="BN270" s="343">
        <f>SUMIFS($AU$134:AU271,$AQ$134:AQ271,"H")</f>
        <v>251.00000000001495</v>
      </c>
      <c r="BO270" s="343">
        <f>SUMIFS($AU$134:AU271,$AQ$134:AQ271,"D")</f>
        <v>1011.05</v>
      </c>
      <c r="BP270" s="343">
        <f>SUMIFS($AU$134:AU273,$AQ$134:AQ273,"W")</f>
        <v>252.10000000000008</v>
      </c>
      <c r="BQ270" s="343">
        <f>SUMIFS($AU$134:AU271,$Q$134:Q271,"O")</f>
        <v>-161.56000000003894</v>
      </c>
      <c r="BR270" s="343">
        <f>SUMIFS($AU$134:AU271,$AA$134:AA271,"*")</f>
        <v>2244.6499999999901</v>
      </c>
      <c r="BS270" s="343">
        <f>SUMIFS($AU$134:AU271,$AB$134:AB271,"*")</f>
        <v>435.23999999995613</v>
      </c>
      <c r="BT270" s="343">
        <f>SUMIFS($AU$134:AU271,$AC$134:AC271,"*")</f>
        <v>969.94999999999959</v>
      </c>
      <c r="BU270" s="343">
        <f>SUMIFS($AU$134:AU271,$AA$134:AA271,"*",$AB$134:AB271,"*")</f>
        <v>535.49999999998488</v>
      </c>
      <c r="BV270" s="343">
        <f>SUMIFS($AU$134:AU271,$AA$134:AA271,"*",$AC$134:AC271,"*")</f>
        <v>1384.9499999999996</v>
      </c>
      <c r="BW270" s="343">
        <f>SUMIFS($AU$134:AU271,$AB$134:AB271,"*",$AC$134:AC271,"*")</f>
        <v>548.30000000000007</v>
      </c>
      <c r="BX270" s="343">
        <f>SUMIFS($AU271:AU$1388,$Q271:Q$1388,"F")</f>
        <v>14407.466666666669</v>
      </c>
      <c r="BY270" s="343">
        <f>SUMIFS($AU271:AU$1388,$Q271:Q$1388,"S")</f>
        <v>18779.292000000001</v>
      </c>
      <c r="BZ270" s="343">
        <f>SUMIFS($AU271:AU$1388,$Q271:Q$1388,"O")</f>
        <v>-1487.2979999997594</v>
      </c>
    </row>
    <row r="271" spans="1:78" ht="18" customHeight="1">
      <c r="A271" s="221" t="s">
        <v>1148</v>
      </c>
      <c r="B271" s="177"/>
      <c r="C271" s="178"/>
      <c r="D271" s="178"/>
      <c r="E271" s="292" t="s">
        <v>1354</v>
      </c>
      <c r="F271" s="180" t="s">
        <v>1347</v>
      </c>
      <c r="G271" s="181"/>
      <c r="H271" s="182">
        <v>1</v>
      </c>
      <c r="I271" s="182"/>
      <c r="J271" s="182"/>
      <c r="K271" s="183" t="s">
        <v>372</v>
      </c>
      <c r="L271" s="182"/>
      <c r="M271" s="182"/>
      <c r="N271" s="182"/>
      <c r="O271" s="183"/>
      <c r="P271" s="183"/>
      <c r="Q271" s="183"/>
      <c r="R271" s="183"/>
      <c r="S271" s="183"/>
      <c r="T271" s="183"/>
      <c r="U271" s="183"/>
      <c r="V271" s="183"/>
      <c r="W271" s="183"/>
      <c r="X271" s="183"/>
      <c r="Y271" s="184" t="str">
        <f t="shared" si="115"/>
        <v/>
      </c>
      <c r="Z271" s="184" t="str">
        <f t="shared" si="116"/>
        <v/>
      </c>
      <c r="AA271" s="185"/>
      <c r="AB271" s="185"/>
      <c r="AC271" s="185"/>
      <c r="AD271" s="649"/>
      <c r="AE271" s="182"/>
      <c r="AF271" s="332"/>
      <c r="AG271" s="182"/>
      <c r="AH271" s="182"/>
      <c r="AI271" s="182"/>
      <c r="AJ271" s="640"/>
      <c r="AK271" s="182"/>
      <c r="AL271" s="496"/>
      <c r="AM271" s="496"/>
      <c r="AN271" s="626"/>
      <c r="AO271" s="182"/>
      <c r="AP271" s="182"/>
      <c r="AQ271" s="332" t="str">
        <f>UPPER(RIGHT(Journal_Live[[#This Row],[DURATION ]]))</f>
        <v/>
      </c>
      <c r="AR271" s="182"/>
      <c r="AS271" s="189"/>
      <c r="AT271" s="189"/>
      <c r="AU271" s="187"/>
      <c r="AV271" s="190"/>
      <c r="AW271" s="191"/>
      <c r="AX271" s="407"/>
      <c r="AY271" s="407"/>
      <c r="AZ271" s="407"/>
      <c r="BA271" s="407"/>
      <c r="BB271" s="407"/>
      <c r="BC271" s="407"/>
      <c r="BD271" s="407"/>
      <c r="BE271" s="407"/>
      <c r="BF271" s="422"/>
      <c r="BG271" s="391">
        <f>SUM($AV$4:AV271)</f>
        <v>2220.3849999999966</v>
      </c>
      <c r="BH271" s="392">
        <f>SUM($AU$134:AU271)</f>
        <v>1963.1899999999607</v>
      </c>
      <c r="BI271" s="318">
        <f>SUMIFS($AU$134:AU272,$Q$134:Q272,"F")</f>
        <v>33.199999999999989</v>
      </c>
      <c r="BJ271" s="318">
        <f>SUMIFS($AU$134:AU272,$Q$134:Q272,"S")</f>
        <v>1942.1499999999999</v>
      </c>
      <c r="BK271" s="343">
        <f>SUMIFS($AU$134:AU272,$P$134:P272,"W")</f>
        <v>1757.989999999972</v>
      </c>
      <c r="BL271" s="343">
        <f>SUMIFS($AU$134:AU272,$P$134:P272,"R")</f>
        <v>254.99999999998846</v>
      </c>
      <c r="BM271" s="343">
        <f>SUMIFS($AU$134:AU272,$AQ$134:AQ272,"M")</f>
        <v>-82.999999999995296</v>
      </c>
      <c r="BN271" s="343">
        <f>SUMIFS($AU$134:AU272,$AQ$134:AQ272,"H")</f>
        <v>251.00000000001495</v>
      </c>
      <c r="BO271" s="343">
        <f>SUMIFS($AU$134:AU272,$AQ$134:AQ272,"D")</f>
        <v>1060.8499999999999</v>
      </c>
      <c r="BP271" s="343">
        <f>SUMIFS($AU$134:AU274,$AQ$134:AQ274,"W")</f>
        <v>252.10000000000008</v>
      </c>
      <c r="BQ271" s="343">
        <f>SUMIFS($AU$134:AU272,$Q$134:Q272,"O")</f>
        <v>-161.56000000003894</v>
      </c>
      <c r="BR271" s="343">
        <f>SUMIFS($AU$134:AU272,$AA$134:AA272,"*")</f>
        <v>2244.6499999999901</v>
      </c>
      <c r="BS271" s="343">
        <f>SUMIFS($AU$134:AU272,$AB$134:AB272,"*")</f>
        <v>485.03999999995608</v>
      </c>
      <c r="BT271" s="343">
        <f>SUMIFS($AU$134:AU272,$AC$134:AC272,"*")</f>
        <v>1019.7499999999995</v>
      </c>
      <c r="BU271" s="343">
        <f>SUMIFS($AU$134:AU272,$AA$134:AA272,"*",$AB$134:AB272,"*")</f>
        <v>535.49999999998488</v>
      </c>
      <c r="BV271" s="343">
        <f>SUMIFS($AU$134:AU272,$AA$134:AA272,"*",$AC$134:AC272,"*")</f>
        <v>1384.9499999999996</v>
      </c>
      <c r="BW271" s="343">
        <f>SUMIFS($AU$134:AU272,$AB$134:AB272,"*",$AC$134:AC272,"*")</f>
        <v>598.1</v>
      </c>
      <c r="BX271" s="343">
        <f>SUMIFS($AU272:AU$1388,$Q272:Q$1388,"F")</f>
        <v>14407.466666666669</v>
      </c>
      <c r="BY271" s="343">
        <f>SUMIFS($AU272:AU$1388,$Q272:Q$1388,"S")</f>
        <v>18779.292000000001</v>
      </c>
      <c r="BZ271" s="343">
        <f>SUMIFS($AU272:AU$1388,$Q272:Q$1388,"O")</f>
        <v>-1487.2979999997594</v>
      </c>
    </row>
    <row r="272" spans="1:78" ht="18" customHeight="1">
      <c r="A272" s="177" t="s">
        <v>1148</v>
      </c>
      <c r="B272" s="177" t="s">
        <v>1355</v>
      </c>
      <c r="C272" s="178" t="s">
        <v>1356</v>
      </c>
      <c r="D272" s="178" t="s">
        <v>146</v>
      </c>
      <c r="E272" s="289" t="s">
        <v>529</v>
      </c>
      <c r="F272" s="180"/>
      <c r="G272" s="293" t="s">
        <v>553</v>
      </c>
      <c r="H272" s="182"/>
      <c r="I272" s="182"/>
      <c r="J272" s="182"/>
      <c r="K272" s="183"/>
      <c r="L272" s="182">
        <v>1</v>
      </c>
      <c r="M272" s="182"/>
      <c r="N272" s="182"/>
      <c r="O272" s="183" t="s">
        <v>95</v>
      </c>
      <c r="P272" s="183" t="s">
        <v>137</v>
      </c>
      <c r="Q272" s="183" t="s">
        <v>97</v>
      </c>
      <c r="R272" s="183">
        <v>3</v>
      </c>
      <c r="S272" s="183">
        <v>3</v>
      </c>
      <c r="T272" s="183">
        <v>2</v>
      </c>
      <c r="U272" s="183" t="s">
        <v>97</v>
      </c>
      <c r="V272" s="183"/>
      <c r="W272" s="183"/>
      <c r="X272" s="183"/>
      <c r="Y272" s="184">
        <f t="shared" si="115"/>
        <v>0.01</v>
      </c>
      <c r="Z272" s="184">
        <f t="shared" si="116"/>
        <v>1660.0000000000002</v>
      </c>
      <c r="AA272" s="185"/>
      <c r="AB272" s="185" t="s">
        <v>1357</v>
      </c>
      <c r="AC272" s="185" t="s">
        <v>1358</v>
      </c>
      <c r="AD272" s="649">
        <v>-0.1</v>
      </c>
      <c r="AE272" s="182"/>
      <c r="AF272" s="332"/>
      <c r="AG272" s="182"/>
      <c r="AH272" s="182" t="s">
        <v>1359</v>
      </c>
      <c r="AI272" s="182"/>
      <c r="AJ272" s="640" t="s">
        <v>1360</v>
      </c>
      <c r="AK272" s="182"/>
      <c r="AL272" s="496">
        <f t="shared" ref="AL272:AL277" si="117">-0.03*Z272</f>
        <v>-49.800000000000004</v>
      </c>
      <c r="AM272" s="496">
        <f t="shared" ref="AM272:AM277" si="118">AL272*R272</f>
        <v>-149.4</v>
      </c>
      <c r="AN272" s="626"/>
      <c r="AO272" s="182"/>
      <c r="AP272" s="182" t="s">
        <v>589</v>
      </c>
      <c r="AQ272" s="332" t="str">
        <f>UPPER(RIGHT(Journal_Live[[#This Row],[DURATION ]]))</f>
        <v>D</v>
      </c>
      <c r="AR272" s="285">
        <v>44973</v>
      </c>
      <c r="AS272" s="189">
        <v>-0.11</v>
      </c>
      <c r="AT272" s="189">
        <f t="shared" ref="AT272:AT277" si="119">IF(ISBLANK(AS272),,IF(U272="S",AD272-AS272,AS272-AD272))</f>
        <v>9.999999999999995E-3</v>
      </c>
      <c r="AU272" s="187">
        <f t="shared" ref="AU272:AU277" si="120">AV272*R272</f>
        <v>49.799999999999983</v>
      </c>
      <c r="AV272" s="190">
        <f t="shared" ref="AV272:AV277" si="121">IF(ISBLANK(AS272),,(AT272*Z272))</f>
        <v>16.599999999999994</v>
      </c>
      <c r="AW272" s="191" t="s">
        <v>96</v>
      </c>
      <c r="AX272" s="407" t="s">
        <v>1361</v>
      </c>
      <c r="AY272" s="407" t="s">
        <v>1362</v>
      </c>
      <c r="AZ272" s="407"/>
      <c r="BA272" s="407"/>
      <c r="BB272" s="407"/>
      <c r="BC272" s="407"/>
      <c r="BD272" s="407"/>
      <c r="BE272" s="407"/>
      <c r="BF272" s="422"/>
      <c r="BG272" s="391">
        <f>SUM($AV$4:AV272)</f>
        <v>2236.9849999999965</v>
      </c>
      <c r="BH272" s="392">
        <f>SUM($AU$134:AU272)</f>
        <v>2012.9899999999607</v>
      </c>
      <c r="BI272" s="318">
        <f>SUMIFS($AU$134:AU273,$Q$134:Q273,"F")</f>
        <v>33.199999999999989</v>
      </c>
      <c r="BJ272" s="318">
        <f>SUMIFS($AU$134:AU273,$Q$134:Q273,"S")</f>
        <v>1942.1499999999999</v>
      </c>
      <c r="BK272" s="343">
        <f>SUMIFS($AU$134:AU273,$P$134:P273,"W")</f>
        <v>1757.989999999972</v>
      </c>
      <c r="BL272" s="343">
        <f>SUMIFS($AU$134:AU273,$P$134:P273,"R")</f>
        <v>254.99999999998846</v>
      </c>
      <c r="BM272" s="343">
        <f>SUMIFS($AU$134:AU273,$AQ$134:AQ273,"M")</f>
        <v>-82.999999999995296</v>
      </c>
      <c r="BN272" s="343">
        <f>SUMIFS($AU$134:AU273,$AQ$134:AQ273,"H")</f>
        <v>251.00000000001495</v>
      </c>
      <c r="BO272" s="343">
        <f>SUMIFS($AU$134:AU273,$AQ$134:AQ273,"D")</f>
        <v>1060.8499999999999</v>
      </c>
      <c r="BP272" s="343">
        <f>SUMIFS($AU$134:AU275,$AQ$134:AQ275,"W")</f>
        <v>252.10000000000008</v>
      </c>
      <c r="BQ272" s="343">
        <f>SUMIFS($AU$134:AU273,$Q$134:Q273,"O")</f>
        <v>-161.56000000003894</v>
      </c>
      <c r="BR272" s="343">
        <f>SUMIFS($AU$134:AU273,$AA$134:AA273,"*")</f>
        <v>2244.6499999999901</v>
      </c>
      <c r="BS272" s="343">
        <f>SUMIFS($AU$134:AU273,$AB$134:AB273,"*")</f>
        <v>485.03999999995608</v>
      </c>
      <c r="BT272" s="343">
        <f>SUMIFS($AU$134:AU273,$AC$134:AC273,"*")</f>
        <v>1019.7499999999995</v>
      </c>
      <c r="BU272" s="343">
        <f>SUMIFS($AU$134:AU273,$AA$134:AA273,"*",$AB$134:AB273,"*")</f>
        <v>535.49999999998488</v>
      </c>
      <c r="BV272" s="343">
        <f>SUMIFS($AU$134:AU273,$AA$134:AA273,"*",$AC$134:AC273,"*")</f>
        <v>1384.9499999999996</v>
      </c>
      <c r="BW272" s="343">
        <f>SUMIFS($AU$134:AU273,$AB$134:AB273,"*",$AC$134:AC273,"*")</f>
        <v>598.1</v>
      </c>
      <c r="BX272" s="343">
        <f>SUMIFS($AU273:AU$1388,$Q273:Q$1388,"F")</f>
        <v>14407.466666666669</v>
      </c>
      <c r="BY272" s="343">
        <f>SUMIFS($AU273:AU$1388,$Q273:Q$1388,"S")</f>
        <v>18729.492000000002</v>
      </c>
      <c r="BZ272" s="343">
        <f>SUMIFS($AU273:AU$1388,$Q273:Q$1388,"O")</f>
        <v>-1487.2979999997594</v>
      </c>
    </row>
    <row r="273" spans="1:78" ht="18" customHeight="1">
      <c r="A273" s="177" t="s">
        <v>1148</v>
      </c>
      <c r="B273" s="177">
        <v>44971</v>
      </c>
      <c r="C273" s="178" t="s">
        <v>1363</v>
      </c>
      <c r="D273" s="178" t="s">
        <v>146</v>
      </c>
      <c r="E273" s="289"/>
      <c r="F273" s="180"/>
      <c r="G273" s="288" t="s">
        <v>757</v>
      </c>
      <c r="H273" s="182"/>
      <c r="I273" s="182"/>
      <c r="J273" s="182"/>
      <c r="K273" s="183"/>
      <c r="L273" s="182">
        <v>1</v>
      </c>
      <c r="M273" s="182">
        <v>1</v>
      </c>
      <c r="N273" s="182"/>
      <c r="O273" s="183" t="s">
        <v>95</v>
      </c>
      <c r="P273" s="183" t="s">
        <v>96</v>
      </c>
      <c r="Q273" s="183" t="s">
        <v>97</v>
      </c>
      <c r="R273" s="183">
        <v>1</v>
      </c>
      <c r="S273" s="183">
        <v>1</v>
      </c>
      <c r="T273" s="183">
        <v>1</v>
      </c>
      <c r="U273" s="183" t="s">
        <v>97</v>
      </c>
      <c r="V273" s="183"/>
      <c r="W273" s="183"/>
      <c r="X273" s="183"/>
      <c r="Y273" s="184">
        <f t="shared" si="115"/>
        <v>0.01</v>
      </c>
      <c r="Z273" s="184">
        <f t="shared" si="116"/>
        <v>1660.0000000000002</v>
      </c>
      <c r="AA273" s="185" t="s">
        <v>1364</v>
      </c>
      <c r="AB273" s="185" t="s">
        <v>1365</v>
      </c>
      <c r="AC273" s="185" t="s">
        <v>1366</v>
      </c>
      <c r="AD273" s="649">
        <v>0.15</v>
      </c>
      <c r="AE273" s="182"/>
      <c r="AF273" s="332">
        <v>18</v>
      </c>
      <c r="AG273" s="182" t="s">
        <v>1367</v>
      </c>
      <c r="AH273" s="182" t="s">
        <v>1368</v>
      </c>
      <c r="AI273" s="182"/>
      <c r="AJ273" s="640"/>
      <c r="AK273" s="182"/>
      <c r="AL273" s="496">
        <f t="shared" si="117"/>
        <v>-49.800000000000004</v>
      </c>
      <c r="AM273" s="496">
        <f t="shared" si="118"/>
        <v>-49.800000000000004</v>
      </c>
      <c r="AN273" s="626"/>
      <c r="AO273" s="182"/>
      <c r="AP273" s="182"/>
      <c r="AQ273" s="332" t="str">
        <f>UPPER(RIGHT(Journal_Live[[#This Row],[DURATION ]]))</f>
        <v/>
      </c>
      <c r="AR273" s="298">
        <v>44971</v>
      </c>
      <c r="AS273" s="189">
        <v>0.15</v>
      </c>
      <c r="AT273" s="189">
        <f t="shared" si="119"/>
        <v>0</v>
      </c>
      <c r="AU273" s="187">
        <f t="shared" si="120"/>
        <v>0</v>
      </c>
      <c r="AV273" s="190">
        <f t="shared" si="121"/>
        <v>0</v>
      </c>
      <c r="AW273" s="191" t="s">
        <v>115</v>
      </c>
      <c r="AX273" s="407" t="s">
        <v>1369</v>
      </c>
      <c r="AY273" s="407"/>
      <c r="AZ273" s="407"/>
      <c r="BA273" s="407"/>
      <c r="BB273" s="407"/>
      <c r="BC273" s="407"/>
      <c r="BD273" s="407"/>
      <c r="BE273" s="407"/>
      <c r="BF273" s="422"/>
      <c r="BG273" s="391">
        <f>SUM($AV$4:AV273)</f>
        <v>2236.9849999999965</v>
      </c>
      <c r="BH273" s="392">
        <f>SUM($AU$134:AU273)</f>
        <v>2012.9899999999607</v>
      </c>
      <c r="BI273" s="318">
        <f>SUMIFS($AU$134:AU274,$Q$134:Q274,"F")</f>
        <v>33.199999999999989</v>
      </c>
      <c r="BJ273" s="318">
        <f>SUMIFS($AU$134:AU274,$Q$134:Q274,"S")</f>
        <v>1942.1499999999999</v>
      </c>
      <c r="BK273" s="343">
        <f>SUMIFS($AU$134:AU274,$P$134:P274,"W")</f>
        <v>1757.989999999972</v>
      </c>
      <c r="BL273" s="343">
        <f>SUMIFS($AU$134:AU274,$P$134:P274,"R")</f>
        <v>254.99999999998846</v>
      </c>
      <c r="BM273" s="343">
        <f>SUMIFS($AU$134:AU274,$AQ$134:AQ274,"M")</f>
        <v>-82.999999999995296</v>
      </c>
      <c r="BN273" s="343">
        <f>SUMIFS($AU$134:AU274,$AQ$134:AQ274,"H")</f>
        <v>251.00000000001495</v>
      </c>
      <c r="BO273" s="343">
        <f>SUMIFS($AU$134:AU274,$AQ$134:AQ274,"D")</f>
        <v>1060.8499999999999</v>
      </c>
      <c r="BP273" s="343">
        <f>SUMIFS($AU$134:AU276,$AQ$134:AQ276,"W")</f>
        <v>252.10000000000008</v>
      </c>
      <c r="BQ273" s="343">
        <f>SUMIFS($AU$134:AU274,$Q$134:Q274,"O")</f>
        <v>-161.56000000003894</v>
      </c>
      <c r="BR273" s="343">
        <f>SUMIFS($AU$134:AU274,$AA$134:AA274,"*")</f>
        <v>2244.6499999999901</v>
      </c>
      <c r="BS273" s="343">
        <f>SUMIFS($AU$134:AU274,$AB$134:AB274,"*")</f>
        <v>485.03999999995608</v>
      </c>
      <c r="BT273" s="343">
        <f>SUMIFS($AU$134:AU274,$AC$134:AC274,"*")</f>
        <v>1019.7499999999995</v>
      </c>
      <c r="BU273" s="343">
        <f>SUMIFS($AU$134:AU274,$AA$134:AA274,"*",$AB$134:AB274,"*")</f>
        <v>535.49999999998488</v>
      </c>
      <c r="BV273" s="343">
        <f>SUMIFS($AU$134:AU274,$AA$134:AA274,"*",$AC$134:AC274,"*")</f>
        <v>1384.9499999999996</v>
      </c>
      <c r="BW273" s="343">
        <f>SUMIFS($AU$134:AU274,$AB$134:AB274,"*",$AC$134:AC274,"*")</f>
        <v>598.1</v>
      </c>
      <c r="BX273" s="343">
        <f>SUMIFS($AU274:AU$1388,$Q274:Q$1388,"F")</f>
        <v>14407.466666666669</v>
      </c>
      <c r="BY273" s="343">
        <f>SUMIFS($AU274:AU$1388,$Q274:Q$1388,"S")</f>
        <v>18729.492000000002</v>
      </c>
      <c r="BZ273" s="343">
        <f>SUMIFS($AU274:AU$1388,$Q274:Q$1388,"O")</f>
        <v>-1487.2979999997594</v>
      </c>
    </row>
    <row r="274" spans="1:78" ht="18" customHeight="1">
      <c r="A274" s="221" t="s">
        <v>1148</v>
      </c>
      <c r="B274" s="177">
        <v>44972</v>
      </c>
      <c r="C274" s="178" t="s">
        <v>1370</v>
      </c>
      <c r="D274" s="178" t="s">
        <v>151</v>
      </c>
      <c r="E274" s="290"/>
      <c r="F274" s="180"/>
      <c r="G274" s="287" t="s">
        <v>133</v>
      </c>
      <c r="H274" s="182"/>
      <c r="I274" s="182"/>
      <c r="J274" s="182"/>
      <c r="K274" s="183"/>
      <c r="L274" s="182">
        <v>1</v>
      </c>
      <c r="M274" s="182"/>
      <c r="N274" s="182"/>
      <c r="O274" s="183" t="s">
        <v>95</v>
      </c>
      <c r="P274" s="183" t="s">
        <v>96</v>
      </c>
      <c r="Q274" s="183" t="s">
        <v>97</v>
      </c>
      <c r="R274" s="183">
        <v>2</v>
      </c>
      <c r="S274" s="183">
        <v>2</v>
      </c>
      <c r="T274" s="183">
        <v>2</v>
      </c>
      <c r="U274" s="183" t="s">
        <v>97</v>
      </c>
      <c r="V274" s="183"/>
      <c r="W274" s="183"/>
      <c r="X274" s="183"/>
      <c r="Y274" s="184">
        <f t="shared" si="115"/>
        <v>0.01</v>
      </c>
      <c r="Z274" s="184">
        <f t="shared" si="116"/>
        <v>1660.0000000000002</v>
      </c>
      <c r="AA274" s="185"/>
      <c r="AB274" s="185"/>
      <c r="AC274" s="185" t="s">
        <v>1336</v>
      </c>
      <c r="AD274" s="649">
        <v>0</v>
      </c>
      <c r="AE274" s="182"/>
      <c r="AF274" s="332">
        <v>3</v>
      </c>
      <c r="AG274" s="182"/>
      <c r="AH274" s="182">
        <v>-2</v>
      </c>
      <c r="AI274" s="182" t="s">
        <v>1371</v>
      </c>
      <c r="AJ274" s="640"/>
      <c r="AK274" s="182"/>
      <c r="AL274" s="496">
        <f t="shared" si="117"/>
        <v>-49.800000000000004</v>
      </c>
      <c r="AM274" s="496">
        <f t="shared" si="118"/>
        <v>-99.600000000000009</v>
      </c>
      <c r="AN274" s="626"/>
      <c r="AO274" s="182"/>
      <c r="AP274" s="182" t="s">
        <v>770</v>
      </c>
      <c r="AQ274" s="332" t="str">
        <f>UPPER(RIGHT(Journal_Live[[#This Row],[DURATION ]]))</f>
        <v>D</v>
      </c>
      <c r="AR274" s="285">
        <v>44973</v>
      </c>
      <c r="AS274" s="189">
        <v>0</v>
      </c>
      <c r="AT274" s="189">
        <f t="shared" si="119"/>
        <v>0</v>
      </c>
      <c r="AU274" s="187">
        <f t="shared" si="120"/>
        <v>0</v>
      </c>
      <c r="AV274" s="190">
        <f t="shared" si="121"/>
        <v>0</v>
      </c>
      <c r="AW274" s="191" t="s">
        <v>115</v>
      </c>
      <c r="AX274" s="407"/>
      <c r="AY274" s="407"/>
      <c r="AZ274" s="407"/>
      <c r="BA274" s="407"/>
      <c r="BB274" s="407"/>
      <c r="BC274" s="407"/>
      <c r="BD274" s="407"/>
      <c r="BE274" s="407"/>
      <c r="BF274" s="422"/>
      <c r="BG274" s="391">
        <f>SUM($AV$4:AV274)</f>
        <v>2236.9849999999965</v>
      </c>
      <c r="BH274" s="392">
        <f>SUM($AU$134:AU274)</f>
        <v>2012.9899999999607</v>
      </c>
      <c r="BI274" s="318">
        <f>SUMIFS($AU$134:AU275,$Q$134:Q275,"F")</f>
        <v>33.199999999999989</v>
      </c>
      <c r="BJ274" s="318">
        <f>SUMIFS($AU$134:AU275,$Q$134:Q275,"S")</f>
        <v>1942.1499999999999</v>
      </c>
      <c r="BK274" s="343">
        <f>SUMIFS($AU$134:AU275,$P$134:P275,"W")</f>
        <v>1757.989999999972</v>
      </c>
      <c r="BL274" s="343">
        <f>SUMIFS($AU$134:AU275,$P$134:P275,"R")</f>
        <v>254.99999999998846</v>
      </c>
      <c r="BM274" s="343">
        <f>SUMIFS($AU$134:AU275,$AQ$134:AQ275,"M")</f>
        <v>-82.999999999995296</v>
      </c>
      <c r="BN274" s="343">
        <f>SUMIFS($AU$134:AU275,$AQ$134:AQ275,"H")</f>
        <v>251.00000000001495</v>
      </c>
      <c r="BO274" s="343">
        <f>SUMIFS($AU$134:AU275,$AQ$134:AQ275,"D")</f>
        <v>1060.8499999999999</v>
      </c>
      <c r="BP274" s="343">
        <f>SUMIFS($AU$134:AU277,$AQ$134:AQ277,"W")</f>
        <v>252.10000000000008</v>
      </c>
      <c r="BQ274" s="343">
        <f>SUMIFS($AU$134:AU275,$Q$134:Q275,"O")</f>
        <v>-161.56000000003894</v>
      </c>
      <c r="BR274" s="343">
        <f>SUMIFS($AU$134:AU275,$AA$134:AA275,"*")</f>
        <v>2244.6499999999901</v>
      </c>
      <c r="BS274" s="343">
        <f>SUMIFS($AU$134:AU275,$AB$134:AB275,"*")</f>
        <v>485.03999999995608</v>
      </c>
      <c r="BT274" s="343">
        <f>SUMIFS($AU$134:AU275,$AC$134:AC275,"*")</f>
        <v>1019.7499999999995</v>
      </c>
      <c r="BU274" s="343">
        <f>SUMIFS($AU$134:AU275,$AA$134:AA275,"*",$AB$134:AB275,"*")</f>
        <v>535.49999999998488</v>
      </c>
      <c r="BV274" s="343">
        <f>SUMIFS($AU$134:AU275,$AA$134:AA275,"*",$AC$134:AC275,"*")</f>
        <v>1384.9499999999996</v>
      </c>
      <c r="BW274" s="343">
        <f>SUMIFS($AU$134:AU275,$AB$134:AB275,"*",$AC$134:AC275,"*")</f>
        <v>598.1</v>
      </c>
      <c r="BX274" s="343">
        <f>SUMIFS($AU275:AU$1388,$Q275:Q$1388,"F")</f>
        <v>14407.466666666669</v>
      </c>
      <c r="BY274" s="343">
        <f>SUMIFS($AU275:AU$1388,$Q275:Q$1388,"S")</f>
        <v>18729.492000000002</v>
      </c>
      <c r="BZ274" s="343">
        <f>SUMIFS($AU275:AU$1388,$Q275:Q$1388,"O")</f>
        <v>-1487.2979999997594</v>
      </c>
    </row>
    <row r="275" spans="1:78" ht="18" customHeight="1">
      <c r="A275" s="177" t="s">
        <v>1148</v>
      </c>
      <c r="B275" s="177">
        <v>44972</v>
      </c>
      <c r="C275" s="178" t="s">
        <v>1372</v>
      </c>
      <c r="D275" s="178" t="s">
        <v>151</v>
      </c>
      <c r="E275" s="290"/>
      <c r="F275" s="180"/>
      <c r="G275" s="288" t="s">
        <v>280</v>
      </c>
      <c r="H275" s="182"/>
      <c r="I275" s="182"/>
      <c r="J275" s="182"/>
      <c r="K275" s="183"/>
      <c r="L275" s="182">
        <v>1</v>
      </c>
      <c r="M275" s="182"/>
      <c r="N275" s="182"/>
      <c r="O275" s="183" t="s">
        <v>95</v>
      </c>
      <c r="P275" s="183" t="s">
        <v>137</v>
      </c>
      <c r="Q275" s="183" t="s">
        <v>97</v>
      </c>
      <c r="R275" s="183">
        <v>3</v>
      </c>
      <c r="S275" s="183">
        <v>3</v>
      </c>
      <c r="T275" s="183">
        <v>2</v>
      </c>
      <c r="U275" s="183" t="s">
        <v>97</v>
      </c>
      <c r="V275" s="183"/>
      <c r="W275" s="183"/>
      <c r="X275" s="183"/>
      <c r="Y275" s="184">
        <f t="shared" si="115"/>
        <v>0.01</v>
      </c>
      <c r="Z275" s="184">
        <f t="shared" si="116"/>
        <v>1660.0000000000002</v>
      </c>
      <c r="AA275" s="185"/>
      <c r="AB275" s="185"/>
      <c r="AC275" s="185" t="s">
        <v>1358</v>
      </c>
      <c r="AD275" s="649">
        <v>-0.14000000000000001</v>
      </c>
      <c r="AE275" s="182"/>
      <c r="AF275" s="332"/>
      <c r="AG275" s="182"/>
      <c r="AH275" s="182"/>
      <c r="AI275" s="182"/>
      <c r="AJ275" s="640"/>
      <c r="AK275" s="182"/>
      <c r="AL275" s="496">
        <f t="shared" si="117"/>
        <v>-49.800000000000004</v>
      </c>
      <c r="AM275" s="496">
        <f t="shared" si="118"/>
        <v>-149.4</v>
      </c>
      <c r="AN275" s="626"/>
      <c r="AO275" s="182"/>
      <c r="AP275" s="182" t="s">
        <v>804</v>
      </c>
      <c r="AQ275" s="332" t="str">
        <f>UPPER(RIGHT(Journal_Live[[#This Row],[DURATION ]]))</f>
        <v>D</v>
      </c>
      <c r="AR275" s="285" t="s">
        <v>1373</v>
      </c>
      <c r="AS275" s="189">
        <v>-0.14000000000000001</v>
      </c>
      <c r="AT275" s="189">
        <f t="shared" si="119"/>
        <v>0</v>
      </c>
      <c r="AU275" s="187">
        <f t="shared" si="120"/>
        <v>0</v>
      </c>
      <c r="AV275" s="190">
        <f t="shared" si="121"/>
        <v>0</v>
      </c>
      <c r="AW275" s="191" t="s">
        <v>115</v>
      </c>
      <c r="AX275" s="407" t="s">
        <v>1374</v>
      </c>
      <c r="AY275" s="407"/>
      <c r="AZ275" s="407"/>
      <c r="BA275" s="407"/>
      <c r="BB275" s="407"/>
      <c r="BC275" s="407"/>
      <c r="BD275" s="407"/>
      <c r="BE275" s="407"/>
      <c r="BF275" s="422"/>
      <c r="BG275" s="391">
        <f>SUM($AV$4:AV275)</f>
        <v>2236.9849999999965</v>
      </c>
      <c r="BH275" s="392">
        <f>SUM($AU$134:AU275)</f>
        <v>2012.9899999999607</v>
      </c>
      <c r="BI275" s="318">
        <f>SUMIFS($AU$134:AU276,$Q$134:Q276,"F")</f>
        <v>33.199999999999989</v>
      </c>
      <c r="BJ275" s="318">
        <f>SUMIFS($AU$134:AU276,$Q$134:Q276,"S")</f>
        <v>1991.9499999999998</v>
      </c>
      <c r="BK275" s="343">
        <f>SUMIFS($AU$134:AU276,$P$134:P276,"W")</f>
        <v>1807.789999999972</v>
      </c>
      <c r="BL275" s="343">
        <f>SUMIFS($AU$134:AU276,$P$134:P276,"R")</f>
        <v>254.99999999998846</v>
      </c>
      <c r="BM275" s="343">
        <f>SUMIFS($AU$134:AU276,$AQ$134:AQ276,"M")</f>
        <v>-82.999999999995296</v>
      </c>
      <c r="BN275" s="343">
        <f>SUMIFS($AU$134:AU276,$AQ$134:AQ276,"H")</f>
        <v>251.00000000001495</v>
      </c>
      <c r="BO275" s="343">
        <f>SUMIFS($AU$134:AU276,$AQ$134:AQ276,"D")</f>
        <v>1110.6499999999999</v>
      </c>
      <c r="BP275" s="343">
        <f>SUMIFS($AU$134:AU278,$AQ$134:AQ278,"W")</f>
        <v>252.10000000000008</v>
      </c>
      <c r="BQ275" s="343">
        <f>SUMIFS($AU$134:AU276,$Q$134:Q276,"O")</f>
        <v>-161.56000000003894</v>
      </c>
      <c r="BR275" s="343">
        <f>SUMIFS($AU$134:AU276,$AA$134:AA276,"*")</f>
        <v>2294.4499999999903</v>
      </c>
      <c r="BS275" s="343">
        <f>SUMIFS($AU$134:AU276,$AB$134:AB276,"*")</f>
        <v>485.03999999995608</v>
      </c>
      <c r="BT275" s="343">
        <f>SUMIFS($AU$134:AU276,$AC$134:AC276,"*")</f>
        <v>1069.5499999999995</v>
      </c>
      <c r="BU275" s="343">
        <f>SUMIFS($AU$134:AU276,$AA$134:AA276,"*",$AB$134:AB276,"*")</f>
        <v>535.49999999998488</v>
      </c>
      <c r="BV275" s="343">
        <f>SUMIFS($AU$134:AU276,$AA$134:AA276,"*",$AC$134:AC276,"*")</f>
        <v>1434.7499999999995</v>
      </c>
      <c r="BW275" s="343">
        <f>SUMIFS($AU$134:AU276,$AB$134:AB276,"*",$AC$134:AC276,"*")</f>
        <v>598.1</v>
      </c>
      <c r="BX275" s="343">
        <f>SUMIFS($AU276:AU$1388,$Q276:Q$1388,"F")</f>
        <v>14407.466666666669</v>
      </c>
      <c r="BY275" s="343">
        <f>SUMIFS($AU276:AU$1388,$Q276:Q$1388,"S")</f>
        <v>18729.492000000002</v>
      </c>
      <c r="BZ275" s="343">
        <f>SUMIFS($AU276:AU$1388,$Q276:Q$1388,"O")</f>
        <v>-1487.2979999997594</v>
      </c>
    </row>
    <row r="276" spans="1:78" ht="18" customHeight="1">
      <c r="A276" s="177" t="s">
        <v>1148</v>
      </c>
      <c r="B276" s="177">
        <v>44972</v>
      </c>
      <c r="C276" s="178" t="s">
        <v>1370</v>
      </c>
      <c r="D276" s="178" t="s">
        <v>151</v>
      </c>
      <c r="E276" s="290"/>
      <c r="F276" s="180"/>
      <c r="G276" s="281" t="s">
        <v>133</v>
      </c>
      <c r="H276" s="182"/>
      <c r="I276" s="182"/>
      <c r="J276" s="182"/>
      <c r="K276" s="183"/>
      <c r="L276" s="182">
        <v>1</v>
      </c>
      <c r="M276" s="182"/>
      <c r="N276" s="182"/>
      <c r="O276" s="183" t="s">
        <v>95</v>
      </c>
      <c r="P276" s="183" t="s">
        <v>96</v>
      </c>
      <c r="Q276" s="183" t="s">
        <v>97</v>
      </c>
      <c r="R276" s="183">
        <v>3</v>
      </c>
      <c r="S276" s="183">
        <v>3</v>
      </c>
      <c r="T276" s="183">
        <v>2</v>
      </c>
      <c r="U276" s="183" t="s">
        <v>97</v>
      </c>
      <c r="V276" s="183"/>
      <c r="W276" s="183"/>
      <c r="X276" s="183"/>
      <c r="Y276" s="184">
        <f t="shared" si="115"/>
        <v>0.01</v>
      </c>
      <c r="Z276" s="184">
        <f t="shared" si="116"/>
        <v>1660.0000000000002</v>
      </c>
      <c r="AA276" s="185" t="s">
        <v>1375</v>
      </c>
      <c r="AB276" s="185"/>
      <c r="AC276" s="185" t="s">
        <v>1336</v>
      </c>
      <c r="AD276" s="649">
        <v>0.01</v>
      </c>
      <c r="AE276" s="182"/>
      <c r="AF276" s="332">
        <v>4</v>
      </c>
      <c r="AG276" s="182"/>
      <c r="AH276" s="182">
        <v>-3</v>
      </c>
      <c r="AI276" s="182" t="s">
        <v>1376</v>
      </c>
      <c r="AJ276" s="640"/>
      <c r="AK276" s="182"/>
      <c r="AL276" s="496">
        <f t="shared" si="117"/>
        <v>-49.800000000000004</v>
      </c>
      <c r="AM276" s="496">
        <f t="shared" si="118"/>
        <v>-149.4</v>
      </c>
      <c r="AN276" s="626"/>
      <c r="AO276" s="182"/>
      <c r="AP276" s="182" t="s">
        <v>770</v>
      </c>
      <c r="AQ276" s="332" t="str">
        <f>UPPER(RIGHT(Journal_Live[[#This Row],[DURATION ]]))</f>
        <v>D</v>
      </c>
      <c r="AR276" s="285">
        <v>44973</v>
      </c>
      <c r="AS276" s="189">
        <v>0</v>
      </c>
      <c r="AT276" s="189">
        <f t="shared" si="119"/>
        <v>0.01</v>
      </c>
      <c r="AU276" s="187">
        <f t="shared" si="120"/>
        <v>49.800000000000004</v>
      </c>
      <c r="AV276" s="190">
        <f t="shared" si="121"/>
        <v>16.600000000000001</v>
      </c>
      <c r="AW276" s="191" t="s">
        <v>96</v>
      </c>
      <c r="AX276" s="407"/>
      <c r="AY276" s="407"/>
      <c r="AZ276" s="407"/>
      <c r="BA276" s="407"/>
      <c r="BB276" s="407"/>
      <c r="BC276" s="407"/>
      <c r="BD276" s="407"/>
      <c r="BE276" s="407"/>
      <c r="BF276" s="422"/>
      <c r="BG276" s="391">
        <f>SUM($AV$4:AV276)</f>
        <v>2253.5849999999964</v>
      </c>
      <c r="BH276" s="392">
        <f>SUM($AU$134:AU276)</f>
        <v>2062.7899999999609</v>
      </c>
      <c r="BI276" s="318">
        <f>SUMIFS($AU$134:AU277,$Q$134:Q277,"F")</f>
        <v>33.199999999999989</v>
      </c>
      <c r="BJ276" s="318">
        <f>SUMIFS($AU$134:AU277,$Q$134:Q277,"S")</f>
        <v>2091.5499999999997</v>
      </c>
      <c r="BK276" s="343">
        <f>SUMIFS($AU$134:AU277,$P$134:P277,"W")</f>
        <v>1907.3899999999719</v>
      </c>
      <c r="BL276" s="343">
        <f>SUMIFS($AU$134:AU277,$P$134:P277,"R")</f>
        <v>254.99999999998846</v>
      </c>
      <c r="BM276" s="343">
        <f>SUMIFS($AU$134:AU277,$AQ$134:AQ277,"M")</f>
        <v>-82.999999999995296</v>
      </c>
      <c r="BN276" s="343">
        <f>SUMIFS($AU$134:AU277,$AQ$134:AQ277,"H")</f>
        <v>251.00000000001495</v>
      </c>
      <c r="BO276" s="343">
        <f>SUMIFS($AU$134:AU277,$AQ$134:AQ277,"D")</f>
        <v>1210.2499999999998</v>
      </c>
      <c r="BP276" s="343">
        <f>SUMIFS($AU$134:AU279,$AQ$134:AQ279,"W")</f>
        <v>252.10000000000008</v>
      </c>
      <c r="BQ276" s="343">
        <f>SUMIFS($AU$134:AU277,$Q$134:Q277,"O")</f>
        <v>-161.56000000003894</v>
      </c>
      <c r="BR276" s="343">
        <f>SUMIFS($AU$134:AU277,$AA$134:AA277,"*")</f>
        <v>2394.0499999999902</v>
      </c>
      <c r="BS276" s="343">
        <f>SUMIFS($AU$134:AU277,$AB$134:AB277,"*")</f>
        <v>485.03999999995608</v>
      </c>
      <c r="BT276" s="343">
        <f>SUMIFS($AU$134:AU277,$AC$134:AC277,"*")</f>
        <v>1169.1499999999994</v>
      </c>
      <c r="BU276" s="343">
        <f>SUMIFS($AU$134:AU277,$AA$134:AA277,"*",$AB$134:AB277,"*")</f>
        <v>535.49999999998488</v>
      </c>
      <c r="BV276" s="343">
        <f>SUMIFS($AU$134:AU277,$AA$134:AA277,"*",$AC$134:AC277,"*")</f>
        <v>1534.3499999999995</v>
      </c>
      <c r="BW276" s="343">
        <f>SUMIFS($AU$134:AU277,$AB$134:AB277,"*",$AC$134:AC277,"*")</f>
        <v>598.1</v>
      </c>
      <c r="BX276" s="343">
        <f>SUMIFS($AU277:AU$1388,$Q277:Q$1388,"F")</f>
        <v>14407.466666666669</v>
      </c>
      <c r="BY276" s="343">
        <f>SUMIFS($AU277:AU$1388,$Q277:Q$1388,"S")</f>
        <v>18679.692000000003</v>
      </c>
      <c r="BZ276" s="343">
        <f>SUMIFS($AU277:AU$1388,$Q277:Q$1388,"O")</f>
        <v>-1487.2979999997594</v>
      </c>
    </row>
    <row r="277" spans="1:78" ht="18" customHeight="1">
      <c r="A277" s="221" t="s">
        <v>1148</v>
      </c>
      <c r="B277" s="177">
        <v>44972</v>
      </c>
      <c r="C277" s="178" t="s">
        <v>1377</v>
      </c>
      <c r="D277" s="178" t="s">
        <v>151</v>
      </c>
      <c r="E277" s="227"/>
      <c r="F277" s="180"/>
      <c r="G277" s="295" t="s">
        <v>133</v>
      </c>
      <c r="H277" s="182"/>
      <c r="I277" s="182"/>
      <c r="J277" s="182"/>
      <c r="K277" s="183"/>
      <c r="L277" s="182">
        <v>1</v>
      </c>
      <c r="M277" s="182"/>
      <c r="N277" s="182"/>
      <c r="O277" s="183" t="s">
        <v>95</v>
      </c>
      <c r="P277" s="183" t="s">
        <v>96</v>
      </c>
      <c r="Q277" s="183" t="s">
        <v>97</v>
      </c>
      <c r="R277" s="183">
        <v>3</v>
      </c>
      <c r="S277" s="183">
        <v>3</v>
      </c>
      <c r="T277" s="183">
        <v>3</v>
      </c>
      <c r="U277" s="183" t="s">
        <v>97</v>
      </c>
      <c r="V277" s="183"/>
      <c r="W277" s="183"/>
      <c r="X277" s="183"/>
      <c r="Y277" s="184">
        <f t="shared" si="115"/>
        <v>0.01</v>
      </c>
      <c r="Z277" s="184">
        <f t="shared" si="116"/>
        <v>1660.0000000000002</v>
      </c>
      <c r="AA277" s="185" t="s">
        <v>1375</v>
      </c>
      <c r="AB277" s="185"/>
      <c r="AC277" s="185" t="s">
        <v>1336</v>
      </c>
      <c r="AD277" s="649">
        <v>0.02</v>
      </c>
      <c r="AE277" s="182"/>
      <c r="AF277" s="332">
        <v>5</v>
      </c>
      <c r="AG277" s="182"/>
      <c r="AH277" s="182">
        <v>-3</v>
      </c>
      <c r="AI277" s="182" t="s">
        <v>1376</v>
      </c>
      <c r="AJ277" s="640"/>
      <c r="AK277" s="182"/>
      <c r="AL277" s="496">
        <f t="shared" si="117"/>
        <v>-49.800000000000004</v>
      </c>
      <c r="AM277" s="496">
        <f t="shared" si="118"/>
        <v>-149.4</v>
      </c>
      <c r="AN277" s="626"/>
      <c r="AO277" s="182"/>
      <c r="AP277" s="182" t="s">
        <v>770</v>
      </c>
      <c r="AQ277" s="332" t="str">
        <f>UPPER(RIGHT(Journal_Live[[#This Row],[DURATION ]]))</f>
        <v>D</v>
      </c>
      <c r="AR277" s="285">
        <v>44973</v>
      </c>
      <c r="AS277" s="189">
        <v>0</v>
      </c>
      <c r="AT277" s="189">
        <f t="shared" si="119"/>
        <v>0.02</v>
      </c>
      <c r="AU277" s="187">
        <f t="shared" si="120"/>
        <v>99.600000000000009</v>
      </c>
      <c r="AV277" s="190">
        <f t="shared" si="121"/>
        <v>33.200000000000003</v>
      </c>
      <c r="AW277" s="191" t="s">
        <v>96</v>
      </c>
      <c r="AX277" s="407" t="s">
        <v>1378</v>
      </c>
      <c r="AY277" s="407"/>
      <c r="AZ277" s="407"/>
      <c r="BA277" s="407"/>
      <c r="BB277" s="407"/>
      <c r="BC277" s="407"/>
      <c r="BD277" s="407"/>
      <c r="BE277" s="407"/>
      <c r="BF277" s="422"/>
      <c r="BG277" s="391">
        <f>SUM($AV$4:AV277)</f>
        <v>2286.7849999999962</v>
      </c>
      <c r="BH277" s="392">
        <f>SUM($AU$134:AU277)</f>
        <v>2162.3899999999608</v>
      </c>
      <c r="BI277" s="318">
        <f>SUMIFS($AU$134:AU278,$Q$134:Q278,"F")</f>
        <v>33.199999999999989</v>
      </c>
      <c r="BJ277" s="318">
        <f>SUMIFS($AU$134:AU278,$Q$134:Q278,"S")</f>
        <v>2091.5499999999997</v>
      </c>
      <c r="BK277" s="343">
        <f>SUMIFS($AU$134:AU278,$P$134:P278,"W")</f>
        <v>1907.3899999999719</v>
      </c>
      <c r="BL277" s="343">
        <f>SUMIFS($AU$134:AU278,$P$134:P278,"R")</f>
        <v>254.99999999998846</v>
      </c>
      <c r="BM277" s="343">
        <f>SUMIFS($AU$134:AU278,$AQ$134:AQ278,"M")</f>
        <v>-82.999999999995296</v>
      </c>
      <c r="BN277" s="343">
        <f>SUMIFS($AU$134:AU278,$AQ$134:AQ278,"H")</f>
        <v>251.00000000001495</v>
      </c>
      <c r="BO277" s="343">
        <f>SUMIFS($AU$134:AU278,$AQ$134:AQ278,"D")</f>
        <v>1210.2499999999998</v>
      </c>
      <c r="BP277" s="343">
        <f>SUMIFS($AU$134:AU280,$AQ$134:AQ280,"W")</f>
        <v>252.10000000000008</v>
      </c>
      <c r="BQ277" s="343">
        <f>SUMIFS($AU$134:AU278,$Q$134:Q278,"O")</f>
        <v>-161.56000000003894</v>
      </c>
      <c r="BR277" s="343">
        <f>SUMIFS($AU$134:AU278,$AA$134:AA278,"*")</f>
        <v>2394.0499999999902</v>
      </c>
      <c r="BS277" s="343">
        <f>SUMIFS($AU$134:AU278,$AB$134:AB278,"*")</f>
        <v>485.03999999995608</v>
      </c>
      <c r="BT277" s="343">
        <f>SUMIFS($AU$134:AU278,$AC$134:AC278,"*")</f>
        <v>1169.1499999999994</v>
      </c>
      <c r="BU277" s="343">
        <f>SUMIFS($AU$134:AU278,$AA$134:AA278,"*",$AB$134:AB278,"*")</f>
        <v>535.49999999998488</v>
      </c>
      <c r="BV277" s="343">
        <f>SUMIFS($AU$134:AU278,$AA$134:AA278,"*",$AC$134:AC278,"*")</f>
        <v>1534.3499999999995</v>
      </c>
      <c r="BW277" s="343">
        <f>SUMIFS($AU$134:AU278,$AB$134:AB278,"*",$AC$134:AC278,"*")</f>
        <v>598.1</v>
      </c>
      <c r="BX277" s="343">
        <f>SUMIFS($AU278:AU$1388,$Q278:Q$1388,"F")</f>
        <v>14407.466666666669</v>
      </c>
      <c r="BY277" s="343">
        <f>SUMIFS($AU278:AU$1388,$Q278:Q$1388,"S")</f>
        <v>18580.092000000001</v>
      </c>
      <c r="BZ277" s="343">
        <f>SUMIFS($AU278:AU$1388,$Q278:Q$1388,"O")</f>
        <v>-1487.2979999997594</v>
      </c>
    </row>
    <row r="278" spans="1:78" ht="18" customHeight="1">
      <c r="A278" s="177" t="s">
        <v>1148</v>
      </c>
      <c r="B278" s="177">
        <v>44972</v>
      </c>
      <c r="C278" s="178" t="s">
        <v>1344</v>
      </c>
      <c r="D278" s="178" t="s">
        <v>151</v>
      </c>
      <c r="E278" s="291" t="s">
        <v>1379</v>
      </c>
      <c r="F278" s="180" t="s">
        <v>1380</v>
      </c>
      <c r="G278" s="181"/>
      <c r="H278" s="182">
        <v>1</v>
      </c>
      <c r="I278" s="182"/>
      <c r="J278" s="182"/>
      <c r="K278" s="183" t="s">
        <v>372</v>
      </c>
      <c r="L278" s="182"/>
      <c r="M278" s="182"/>
      <c r="N278" s="182"/>
      <c r="O278" s="183"/>
      <c r="P278" s="183"/>
      <c r="Q278" s="183"/>
      <c r="R278" s="183"/>
      <c r="S278" s="183"/>
      <c r="T278" s="183"/>
      <c r="U278" s="183"/>
      <c r="V278" s="183"/>
      <c r="W278" s="183"/>
      <c r="X278" s="183"/>
      <c r="Y278" s="184" t="str">
        <f t="shared" si="115"/>
        <v/>
      </c>
      <c r="Z278" s="184" t="str">
        <f t="shared" si="116"/>
        <v/>
      </c>
      <c r="AA278" s="185"/>
      <c r="AB278" s="185"/>
      <c r="AC278" s="185"/>
      <c r="AD278" s="649"/>
      <c r="AE278" s="182"/>
      <c r="AF278" s="332"/>
      <c r="AG278" s="182"/>
      <c r="AH278" s="182"/>
      <c r="AI278" s="182"/>
      <c r="AJ278" s="640"/>
      <c r="AK278" s="182"/>
      <c r="AL278" s="496"/>
      <c r="AM278" s="496"/>
      <c r="AN278" s="626"/>
      <c r="AO278" s="182"/>
      <c r="AP278" s="182"/>
      <c r="AQ278" s="332" t="str">
        <f>UPPER(RIGHT(Journal_Live[[#This Row],[DURATION ]]))</f>
        <v/>
      </c>
      <c r="AR278" s="182"/>
      <c r="AS278" s="189"/>
      <c r="AT278" s="189"/>
      <c r="AU278" s="187"/>
      <c r="AV278" s="190"/>
      <c r="AW278" s="191"/>
      <c r="AX278" s="407"/>
      <c r="AY278" s="407"/>
      <c r="AZ278" s="407"/>
      <c r="BA278" s="407"/>
      <c r="BB278" s="407"/>
      <c r="BC278" s="407"/>
      <c r="BD278" s="407"/>
      <c r="BE278" s="407"/>
      <c r="BF278" s="422"/>
      <c r="BG278" s="391">
        <f>SUM($AV$4:AV278)</f>
        <v>2286.7849999999962</v>
      </c>
      <c r="BH278" s="392">
        <f>SUM($AU$134:AU278)</f>
        <v>2162.3899999999608</v>
      </c>
      <c r="BI278" s="318">
        <f>SUMIFS($AU$134:AU279,$Q$134:Q279,"F")</f>
        <v>33.199999999999989</v>
      </c>
      <c r="BJ278" s="318">
        <f>SUMIFS($AU$134:AU279,$Q$134:Q279,"S")</f>
        <v>2091.5499999999997</v>
      </c>
      <c r="BK278" s="343">
        <f>SUMIFS($AU$134:AU279,$P$134:P279,"W")</f>
        <v>1907.3899999999719</v>
      </c>
      <c r="BL278" s="343">
        <f>SUMIFS($AU$134:AU279,$P$134:P279,"R")</f>
        <v>254.99999999998846</v>
      </c>
      <c r="BM278" s="343">
        <f>SUMIFS($AU$134:AU279,$AQ$134:AQ279,"M")</f>
        <v>-82.999999999995296</v>
      </c>
      <c r="BN278" s="343">
        <f>SUMIFS($AU$134:AU279,$AQ$134:AQ279,"H")</f>
        <v>251.00000000001495</v>
      </c>
      <c r="BO278" s="343">
        <f>SUMIFS($AU$134:AU279,$AQ$134:AQ279,"D")</f>
        <v>1210.2499999999998</v>
      </c>
      <c r="BP278" s="343">
        <f>SUMIFS($AU$134:AU281,$AQ$134:AQ281,"W")</f>
        <v>252.10000000000008</v>
      </c>
      <c r="BQ278" s="343">
        <f>SUMIFS($AU$134:AU279,$Q$134:Q279,"O")</f>
        <v>-161.56000000003894</v>
      </c>
      <c r="BR278" s="343">
        <f>SUMIFS($AU$134:AU279,$AA$134:AA279,"*")</f>
        <v>2394.0499999999902</v>
      </c>
      <c r="BS278" s="343">
        <f>SUMIFS($AU$134:AU279,$AB$134:AB279,"*")</f>
        <v>485.03999999995608</v>
      </c>
      <c r="BT278" s="343">
        <f>SUMIFS($AU$134:AU279,$AC$134:AC279,"*")</f>
        <v>1169.1499999999994</v>
      </c>
      <c r="BU278" s="343">
        <f>SUMIFS($AU$134:AU279,$AA$134:AA279,"*",$AB$134:AB279,"*")</f>
        <v>535.49999999998488</v>
      </c>
      <c r="BV278" s="343">
        <f>SUMIFS($AU$134:AU279,$AA$134:AA279,"*",$AC$134:AC279,"*")</f>
        <v>1534.3499999999995</v>
      </c>
      <c r="BW278" s="343">
        <f>SUMIFS($AU$134:AU279,$AB$134:AB279,"*",$AC$134:AC279,"*")</f>
        <v>598.1</v>
      </c>
      <c r="BX278" s="343">
        <f>SUMIFS($AU279:AU$1388,$Q279:Q$1388,"F")</f>
        <v>14407.466666666669</v>
      </c>
      <c r="BY278" s="343">
        <f>SUMIFS($AU279:AU$1388,$Q279:Q$1388,"S")</f>
        <v>18580.092000000001</v>
      </c>
      <c r="BZ278" s="343">
        <f>SUMIFS($AU279:AU$1388,$Q279:Q$1388,"O")</f>
        <v>-1487.2979999997594</v>
      </c>
    </row>
    <row r="279" spans="1:78" ht="18" customHeight="1">
      <c r="A279" s="177" t="s">
        <v>1148</v>
      </c>
      <c r="B279" s="177"/>
      <c r="C279" s="178"/>
      <c r="D279" s="178"/>
      <c r="E279" s="291" t="s">
        <v>1381</v>
      </c>
      <c r="F279" s="291"/>
      <c r="G279" s="181"/>
      <c r="H279" s="182">
        <v>1</v>
      </c>
      <c r="I279" s="182"/>
      <c r="J279" s="182"/>
      <c r="K279" s="183" t="s">
        <v>372</v>
      </c>
      <c r="L279" s="182"/>
      <c r="M279" s="182"/>
      <c r="N279" s="182"/>
      <c r="O279" s="183"/>
      <c r="P279" s="183"/>
      <c r="Q279" s="183"/>
      <c r="R279" s="183"/>
      <c r="S279" s="183"/>
      <c r="T279" s="183"/>
      <c r="U279" s="183"/>
      <c r="V279" s="183"/>
      <c r="W279" s="183"/>
      <c r="X279" s="183"/>
      <c r="Y279" s="184" t="str">
        <f t="shared" si="115"/>
        <v/>
      </c>
      <c r="Z279" s="184" t="str">
        <f t="shared" si="116"/>
        <v/>
      </c>
      <c r="AA279" s="185"/>
      <c r="AB279" s="185"/>
      <c r="AC279" s="185"/>
      <c r="AD279" s="649"/>
      <c r="AE279" s="182"/>
      <c r="AF279" s="332"/>
      <c r="AG279" s="182"/>
      <c r="AH279" s="182"/>
      <c r="AI279" s="182"/>
      <c r="AJ279" s="640"/>
      <c r="AK279" s="182"/>
      <c r="AL279" s="496"/>
      <c r="AM279" s="496"/>
      <c r="AN279" s="626"/>
      <c r="AO279" s="182"/>
      <c r="AP279" s="182"/>
      <c r="AQ279" s="332" t="str">
        <f>UPPER(RIGHT(Journal_Live[[#This Row],[DURATION ]]))</f>
        <v/>
      </c>
      <c r="AR279" s="182"/>
      <c r="AS279" s="189"/>
      <c r="AT279" s="189"/>
      <c r="AU279" s="187"/>
      <c r="AV279" s="190"/>
      <c r="AW279" s="191"/>
      <c r="AX279" s="407"/>
      <c r="AY279" s="407"/>
      <c r="AZ279" s="407"/>
      <c r="BA279" s="407"/>
      <c r="BB279" s="407"/>
      <c r="BC279" s="407"/>
      <c r="BD279" s="407"/>
      <c r="BE279" s="407"/>
      <c r="BF279" s="422"/>
      <c r="BG279" s="391">
        <f>SUM($AV$4:AV279)</f>
        <v>2286.7849999999962</v>
      </c>
      <c r="BH279" s="392">
        <f>SUM($AU$134:AU279)</f>
        <v>2162.3899999999608</v>
      </c>
      <c r="BI279" s="318">
        <f>SUMIFS($AU$134:AU280,$Q$134:Q280,"F")</f>
        <v>33.199999999999989</v>
      </c>
      <c r="BJ279" s="318">
        <f>SUMIFS($AU$134:AU280,$Q$134:Q280,"S")</f>
        <v>2091.5499999999997</v>
      </c>
      <c r="BK279" s="343">
        <f>SUMIFS($AU$134:AU280,$P$134:P280,"W")</f>
        <v>1907.3899999999719</v>
      </c>
      <c r="BL279" s="343">
        <f>SUMIFS($AU$134:AU280,$P$134:P280,"R")</f>
        <v>254.99999999998846</v>
      </c>
      <c r="BM279" s="343">
        <f>SUMIFS($AU$134:AU280,$AQ$134:AQ280,"M")</f>
        <v>-82.999999999995296</v>
      </c>
      <c r="BN279" s="343">
        <f>SUMIFS($AU$134:AU280,$AQ$134:AQ280,"H")</f>
        <v>251.00000000001495</v>
      </c>
      <c r="BO279" s="343">
        <f>SUMIFS($AU$134:AU280,$AQ$134:AQ280,"D")</f>
        <v>1210.2499999999998</v>
      </c>
      <c r="BP279" s="343">
        <f>SUMIFS($AU$134:AU282,$AQ$134:AQ282,"W")</f>
        <v>252.10000000000008</v>
      </c>
      <c r="BQ279" s="343">
        <f>SUMIFS($AU$134:AU280,$Q$134:Q280,"O")</f>
        <v>-161.56000000003894</v>
      </c>
      <c r="BR279" s="343">
        <f>SUMIFS($AU$134:AU280,$AA$134:AA280,"*")</f>
        <v>2394.0499999999902</v>
      </c>
      <c r="BS279" s="343">
        <f>SUMIFS($AU$134:AU280,$AB$134:AB280,"*")</f>
        <v>485.03999999995608</v>
      </c>
      <c r="BT279" s="343">
        <f>SUMIFS($AU$134:AU280,$AC$134:AC280,"*")</f>
        <v>1169.1499999999994</v>
      </c>
      <c r="BU279" s="343">
        <f>SUMIFS($AU$134:AU280,$AA$134:AA280,"*",$AB$134:AB280,"*")</f>
        <v>535.49999999998488</v>
      </c>
      <c r="BV279" s="343">
        <f>SUMIFS($AU$134:AU280,$AA$134:AA280,"*",$AC$134:AC280,"*")</f>
        <v>1534.3499999999995</v>
      </c>
      <c r="BW279" s="343">
        <f>SUMIFS($AU$134:AU280,$AB$134:AB280,"*",$AC$134:AC280,"*")</f>
        <v>598.1</v>
      </c>
      <c r="BX279" s="343">
        <f>SUMIFS($AU280:AU$1388,$Q280:Q$1388,"F")</f>
        <v>14407.466666666669</v>
      </c>
      <c r="BY279" s="343">
        <f>SUMIFS($AU280:AU$1388,$Q280:Q$1388,"S")</f>
        <v>18580.092000000001</v>
      </c>
      <c r="BZ279" s="343">
        <f>SUMIFS($AU280:AU$1388,$Q280:Q$1388,"O")</f>
        <v>-1487.2979999997594</v>
      </c>
    </row>
    <row r="280" spans="1:78" ht="18" customHeight="1">
      <c r="A280" s="221" t="s">
        <v>1148</v>
      </c>
      <c r="B280" s="177">
        <v>44973</v>
      </c>
      <c r="C280" s="178" t="s">
        <v>1255</v>
      </c>
      <c r="D280" s="178" t="s">
        <v>93</v>
      </c>
      <c r="E280" s="289" t="s">
        <v>1382</v>
      </c>
      <c r="F280" s="296" t="s">
        <v>1383</v>
      </c>
      <c r="G280" s="181"/>
      <c r="H280" s="182"/>
      <c r="I280" s="182"/>
      <c r="J280" s="182">
        <v>1</v>
      </c>
      <c r="K280" s="183" t="s">
        <v>115</v>
      </c>
      <c r="L280" s="182"/>
      <c r="M280" s="182"/>
      <c r="N280" s="182"/>
      <c r="O280" s="183"/>
      <c r="P280" s="183"/>
      <c r="Q280" s="183"/>
      <c r="R280" s="183"/>
      <c r="S280" s="183"/>
      <c r="T280" s="183"/>
      <c r="U280" s="183"/>
      <c r="V280" s="183"/>
      <c r="W280" s="183"/>
      <c r="X280" s="183"/>
      <c r="Y280" s="184" t="str">
        <f t="shared" si="115"/>
        <v/>
      </c>
      <c r="Z280" s="184" t="str">
        <f t="shared" si="116"/>
        <v/>
      </c>
      <c r="AA280" s="185"/>
      <c r="AB280" s="185"/>
      <c r="AC280" s="185"/>
      <c r="AD280" s="649"/>
      <c r="AE280" s="182"/>
      <c r="AF280" s="332"/>
      <c r="AG280" s="182"/>
      <c r="AH280" s="182"/>
      <c r="AI280" s="182"/>
      <c r="AJ280" s="640"/>
      <c r="AK280" s="182"/>
      <c r="AL280" s="496"/>
      <c r="AM280" s="496"/>
      <c r="AN280" s="626"/>
      <c r="AO280" s="182"/>
      <c r="AP280" s="182"/>
      <c r="AQ280" s="332" t="str">
        <f>UPPER(RIGHT(Journal_Live[[#This Row],[DURATION ]]))</f>
        <v/>
      </c>
      <c r="AR280" s="182"/>
      <c r="AS280" s="189"/>
      <c r="AT280" s="189"/>
      <c r="AU280" s="187"/>
      <c r="AV280" s="190"/>
      <c r="AW280" s="191"/>
      <c r="AX280" s="407" t="s">
        <v>1384</v>
      </c>
      <c r="AY280" s="407" t="s">
        <v>1385</v>
      </c>
      <c r="AZ280" s="407" t="s">
        <v>1386</v>
      </c>
      <c r="BA280" s="407" t="s">
        <v>1387</v>
      </c>
      <c r="BB280" s="407" t="s">
        <v>529</v>
      </c>
      <c r="BC280" s="407"/>
      <c r="BD280" s="407"/>
      <c r="BE280" s="407"/>
      <c r="BF280" s="422"/>
      <c r="BG280" s="391">
        <f>SUM($AV$4:AV280)</f>
        <v>2286.7849999999962</v>
      </c>
      <c r="BH280" s="392">
        <f>SUM($AU$134:AU280)</f>
        <v>2162.3899999999608</v>
      </c>
      <c r="BI280" s="318">
        <f>SUMIFS($AU$134:AU281,$Q$134:Q281,"F")</f>
        <v>33.199999999999989</v>
      </c>
      <c r="BJ280" s="318">
        <f>SUMIFS($AU$134:AU281,$Q$134:Q281,"S")</f>
        <v>2091.5499999999997</v>
      </c>
      <c r="BK280" s="343">
        <f>SUMIFS($AU$134:AU281,$P$134:P281,"W")</f>
        <v>1907.3899999999719</v>
      </c>
      <c r="BL280" s="343">
        <f>SUMIFS($AU$134:AU281,$P$134:P281,"R")</f>
        <v>254.99999999998846</v>
      </c>
      <c r="BM280" s="343">
        <f>SUMIFS($AU$134:AU281,$AQ$134:AQ281,"M")</f>
        <v>-82.999999999995296</v>
      </c>
      <c r="BN280" s="343">
        <f>SUMIFS($AU$134:AU281,$AQ$134:AQ281,"H")</f>
        <v>251.00000000001495</v>
      </c>
      <c r="BO280" s="343">
        <f>SUMIFS($AU$134:AU281,$AQ$134:AQ281,"D")</f>
        <v>1210.2499999999998</v>
      </c>
      <c r="BP280" s="343">
        <f>SUMIFS($AU$134:AU283,$AQ$134:AQ283,"W")</f>
        <v>252.10000000000008</v>
      </c>
      <c r="BQ280" s="343">
        <f>SUMIFS($AU$134:AU281,$Q$134:Q281,"O")</f>
        <v>-161.56000000003894</v>
      </c>
      <c r="BR280" s="343">
        <f>SUMIFS($AU$134:AU281,$AA$134:AA281,"*")</f>
        <v>2394.0499999999902</v>
      </c>
      <c r="BS280" s="343">
        <f>SUMIFS($AU$134:AU281,$AB$134:AB281,"*")</f>
        <v>485.03999999995608</v>
      </c>
      <c r="BT280" s="343">
        <f>SUMIFS($AU$134:AU281,$AC$134:AC281,"*")</f>
        <v>1169.1499999999994</v>
      </c>
      <c r="BU280" s="343">
        <f>SUMIFS($AU$134:AU281,$AA$134:AA281,"*",$AB$134:AB281,"*")</f>
        <v>535.49999999998488</v>
      </c>
      <c r="BV280" s="343">
        <f>SUMIFS($AU$134:AU281,$AA$134:AA281,"*",$AC$134:AC281,"*")</f>
        <v>1534.3499999999995</v>
      </c>
      <c r="BW280" s="343">
        <f>SUMIFS($AU$134:AU281,$AB$134:AB281,"*",$AC$134:AC281,"*")</f>
        <v>598.1</v>
      </c>
      <c r="BX280" s="343">
        <f>SUMIFS($AU281:AU$1388,$Q281:Q$1388,"F")</f>
        <v>14407.466666666669</v>
      </c>
      <c r="BY280" s="343">
        <f>SUMIFS($AU281:AU$1388,$Q281:Q$1388,"S")</f>
        <v>18580.092000000001</v>
      </c>
      <c r="BZ280" s="343">
        <f>SUMIFS($AU281:AU$1388,$Q281:Q$1388,"O")</f>
        <v>-1487.2979999997594</v>
      </c>
    </row>
    <row r="281" spans="1:78" ht="18" customHeight="1">
      <c r="A281" s="177" t="s">
        <v>1148</v>
      </c>
      <c r="B281" s="177"/>
      <c r="C281" s="178"/>
      <c r="D281" s="178"/>
      <c r="E281" s="289" t="s">
        <v>1388</v>
      </c>
      <c r="F281" s="296" t="s">
        <v>1389</v>
      </c>
      <c r="G281" s="181"/>
      <c r="H281" s="182">
        <v>1</v>
      </c>
      <c r="I281" s="182"/>
      <c r="J281" s="182"/>
      <c r="K281" s="183" t="s">
        <v>115</v>
      </c>
      <c r="L281" s="182"/>
      <c r="M281" s="182"/>
      <c r="N281" s="182"/>
      <c r="O281" s="183"/>
      <c r="P281" s="183"/>
      <c r="Q281" s="183"/>
      <c r="R281" s="183"/>
      <c r="S281" s="183"/>
      <c r="T281" s="183"/>
      <c r="U281" s="183"/>
      <c r="V281" s="183"/>
      <c r="W281" s="183"/>
      <c r="X281" s="183"/>
      <c r="Y281" s="184" t="str">
        <f t="shared" si="115"/>
        <v/>
      </c>
      <c r="Z281" s="184" t="str">
        <f t="shared" si="116"/>
        <v/>
      </c>
      <c r="AA281" s="185"/>
      <c r="AB281" s="185"/>
      <c r="AC281" s="185"/>
      <c r="AD281" s="649"/>
      <c r="AE281" s="182"/>
      <c r="AF281" s="332"/>
      <c r="AG281" s="182"/>
      <c r="AH281" s="182"/>
      <c r="AI281" s="182"/>
      <c r="AJ281" s="640"/>
      <c r="AK281" s="182"/>
      <c r="AL281" s="496"/>
      <c r="AM281" s="496"/>
      <c r="AN281" s="626"/>
      <c r="AO281" s="182"/>
      <c r="AP281" s="182"/>
      <c r="AQ281" s="332" t="str">
        <f>UPPER(RIGHT(Journal_Live[[#This Row],[DURATION ]]))</f>
        <v/>
      </c>
      <c r="AR281" s="182"/>
      <c r="AS281" s="189"/>
      <c r="AT281" s="189"/>
      <c r="AU281" s="187"/>
      <c r="AV281" s="190"/>
      <c r="AW281" s="191"/>
      <c r="AX281" s="407" t="s">
        <v>1390</v>
      </c>
      <c r="AY281" s="407" t="s">
        <v>1391</v>
      </c>
      <c r="AZ281" s="407"/>
      <c r="BA281" s="407"/>
      <c r="BB281" s="407"/>
      <c r="BC281" s="407"/>
      <c r="BD281" s="407"/>
      <c r="BE281" s="407"/>
      <c r="BF281" s="422"/>
      <c r="BG281" s="391">
        <f>SUM($AV$4:AV281)</f>
        <v>2286.7849999999962</v>
      </c>
      <c r="BH281" s="392">
        <f>SUM($AU$134:AU281)</f>
        <v>2162.3899999999608</v>
      </c>
      <c r="BI281" s="318">
        <f>SUMIFS($AU$134:AU282,$Q$134:Q282,"F")</f>
        <v>33.199999999999989</v>
      </c>
      <c r="BJ281" s="318">
        <f>SUMIFS($AU$134:AU282,$Q$134:Q282,"S")</f>
        <v>2091.5499999999997</v>
      </c>
      <c r="BK281" s="343">
        <f>SUMIFS($AU$134:AU282,$P$134:P282,"W")</f>
        <v>1907.3899999999719</v>
      </c>
      <c r="BL281" s="343">
        <f>SUMIFS($AU$134:AU282,$P$134:P282,"R")</f>
        <v>337.99999999998374</v>
      </c>
      <c r="BM281" s="343">
        <f>SUMIFS($AU$134:AU282,$AQ$134:AQ282,"M")</f>
        <v>-82.999999999995296</v>
      </c>
      <c r="BN281" s="343">
        <f>SUMIFS($AU$134:AU282,$AQ$134:AQ282,"H")</f>
        <v>251.00000000001495</v>
      </c>
      <c r="BO281" s="343">
        <f>SUMIFS($AU$134:AU282,$AQ$134:AQ282,"D")</f>
        <v>1210.2499999999998</v>
      </c>
      <c r="BP281" s="343">
        <f>SUMIFS($AU$134:AU284,$AQ$134:AQ284,"W")</f>
        <v>252.10000000000008</v>
      </c>
      <c r="BQ281" s="343">
        <f>SUMIFS($AU$134:AU282,$Q$134:Q282,"O")</f>
        <v>-78.560000000043644</v>
      </c>
      <c r="BR281" s="343">
        <f>SUMIFS($AU$134:AU282,$AA$134:AA282,"*")</f>
        <v>2477.0499999999856</v>
      </c>
      <c r="BS281" s="343">
        <f>SUMIFS($AU$134:AU282,$AB$134:AB282,"*")</f>
        <v>485.03999999995608</v>
      </c>
      <c r="BT281" s="343">
        <f>SUMIFS($AU$134:AU282,$AC$134:AC282,"*")</f>
        <v>1169.1499999999994</v>
      </c>
      <c r="BU281" s="343">
        <f>SUMIFS($AU$134:AU282,$AA$134:AA282,"*",$AB$134:AB282,"*")</f>
        <v>535.49999999998488</v>
      </c>
      <c r="BV281" s="343">
        <f>SUMIFS($AU$134:AU282,$AA$134:AA282,"*",$AC$134:AC282,"*")</f>
        <v>1534.3499999999995</v>
      </c>
      <c r="BW281" s="343">
        <f>SUMIFS($AU$134:AU282,$AB$134:AB282,"*",$AC$134:AC282,"*")</f>
        <v>598.1</v>
      </c>
      <c r="BX281" s="343">
        <f>SUMIFS($AU282:AU$1388,$Q282:Q$1388,"F")</f>
        <v>14407.466666666669</v>
      </c>
      <c r="BY281" s="343">
        <f>SUMIFS($AU282:AU$1388,$Q282:Q$1388,"S")</f>
        <v>18580.092000000001</v>
      </c>
      <c r="BZ281" s="343">
        <f>SUMIFS($AU282:AU$1388,$Q282:Q$1388,"O")</f>
        <v>-1487.2979999997594</v>
      </c>
    </row>
    <row r="282" spans="1:78" ht="18" customHeight="1">
      <c r="A282" s="177" t="s">
        <v>1148</v>
      </c>
      <c r="B282" s="177">
        <v>44973</v>
      </c>
      <c r="C282" s="178" t="s">
        <v>682</v>
      </c>
      <c r="D282" s="178" t="s">
        <v>93</v>
      </c>
      <c r="E282" s="289"/>
      <c r="F282" s="296"/>
      <c r="G282" s="181" t="s">
        <v>1392</v>
      </c>
      <c r="H282" s="182"/>
      <c r="I282" s="182"/>
      <c r="J282" s="182"/>
      <c r="K282" s="183"/>
      <c r="L282" s="182">
        <v>2</v>
      </c>
      <c r="M282" s="182"/>
      <c r="N282" s="182"/>
      <c r="O282" s="183" t="s">
        <v>95</v>
      </c>
      <c r="P282" s="183" t="s">
        <v>137</v>
      </c>
      <c r="Q282" s="183" t="s">
        <v>684</v>
      </c>
      <c r="R282" s="183">
        <v>1</v>
      </c>
      <c r="S282" s="183">
        <v>1</v>
      </c>
      <c r="T282" s="183">
        <v>1</v>
      </c>
      <c r="U282" s="183" t="s">
        <v>22</v>
      </c>
      <c r="V282" s="183"/>
      <c r="W282" s="183"/>
      <c r="X282" s="183"/>
      <c r="Y282" s="184">
        <f t="shared" si="115"/>
        <v>0.01</v>
      </c>
      <c r="Z282" s="184">
        <f t="shared" si="116"/>
        <v>1660.0000000000002</v>
      </c>
      <c r="AA282" s="185" t="s">
        <v>1096</v>
      </c>
      <c r="AB282" s="185"/>
      <c r="AC282" s="185"/>
      <c r="AD282" s="649">
        <v>96.08</v>
      </c>
      <c r="AE282" s="182"/>
      <c r="AF282" s="332"/>
      <c r="AG282" s="182"/>
      <c r="AH282" s="182"/>
      <c r="AI282" s="182"/>
      <c r="AJ282" s="640"/>
      <c r="AK282" s="182"/>
      <c r="AL282" s="496"/>
      <c r="AM282" s="496"/>
      <c r="AN282" s="626"/>
      <c r="AO282" s="182"/>
      <c r="AP282" s="182" t="s">
        <v>1393</v>
      </c>
      <c r="AQ282" s="332" t="str">
        <f>UPPER(RIGHT(Journal_Live[[#This Row],[DURATION ]]))</f>
        <v>S</v>
      </c>
      <c r="AR282" s="182" t="s">
        <v>1394</v>
      </c>
      <c r="AS282" s="189">
        <v>96.13</v>
      </c>
      <c r="AT282" s="189">
        <f t="shared" ref="AT282:AT291" si="122">IF(ISBLANK(AS282),,IF(U282="S",AD282-AS282,AS282-AD282))</f>
        <v>4.9999999999997158E-2</v>
      </c>
      <c r="AU282" s="187">
        <f t="shared" ref="AU282:AU291" si="123">AV282*R282</f>
        <v>82.999999999995296</v>
      </c>
      <c r="AV282" s="190">
        <f t="shared" ref="AV282:AV291" si="124">IF(ISBLANK(AS282),,(AT282*Z282))</f>
        <v>82.999999999995296</v>
      </c>
      <c r="AW282" s="191" t="s">
        <v>96</v>
      </c>
      <c r="AX282" s="407" t="s">
        <v>1395</v>
      </c>
      <c r="AY282" s="407"/>
      <c r="AZ282" s="407"/>
      <c r="BA282" s="407"/>
      <c r="BB282" s="407"/>
      <c r="BC282" s="407"/>
      <c r="BD282" s="407"/>
      <c r="BE282" s="407"/>
      <c r="BF282" s="422"/>
      <c r="BG282" s="391">
        <f>SUM($AV$4:AV282)</f>
        <v>2369.7849999999917</v>
      </c>
      <c r="BH282" s="392">
        <f>SUM($AU$134:AU282)</f>
        <v>2245.3899999999562</v>
      </c>
      <c r="BI282" s="318">
        <f>SUMIFS($AU$134:AU283,$Q$134:Q283,"F")</f>
        <v>33.199999999999989</v>
      </c>
      <c r="BJ282" s="318">
        <f>SUMIFS($AU$134:AU283,$Q$134:Q283,"S")</f>
        <v>2091.5499999999997</v>
      </c>
      <c r="BK282" s="343">
        <f>SUMIFS($AU$134:AU283,$P$134:P283,"W")</f>
        <v>1907.3899999999719</v>
      </c>
      <c r="BL282" s="343">
        <f>SUMIFS($AU$134:AU283,$P$134:P283,"R")</f>
        <v>420.99999999997902</v>
      </c>
      <c r="BM282" s="343">
        <f>SUMIFS($AU$134:AU283,$AQ$134:AQ283,"M")</f>
        <v>-82.999999999995296</v>
      </c>
      <c r="BN282" s="343">
        <f>SUMIFS($AU$134:AU283,$AQ$134:AQ283,"H")</f>
        <v>251.00000000001495</v>
      </c>
      <c r="BO282" s="343">
        <f>SUMIFS($AU$134:AU283,$AQ$134:AQ283,"D")</f>
        <v>1210.2499999999998</v>
      </c>
      <c r="BP282" s="343">
        <f>SUMIFS($AU$134:AU285,$AQ$134:AQ285,"W")</f>
        <v>252.10000000000008</v>
      </c>
      <c r="BQ282" s="343">
        <f>SUMIFS($AU$134:AU283,$Q$134:Q283,"O")</f>
        <v>4.4399999999516524</v>
      </c>
      <c r="BR282" s="343">
        <f>SUMIFS($AU$134:AU283,$AA$134:AA283,"*")</f>
        <v>2560.0499999999811</v>
      </c>
      <c r="BS282" s="343">
        <f>SUMIFS($AU$134:AU283,$AB$134:AB283,"*")</f>
        <v>485.03999999995608</v>
      </c>
      <c r="BT282" s="343">
        <f>SUMIFS($AU$134:AU283,$AC$134:AC283,"*")</f>
        <v>1169.1499999999994</v>
      </c>
      <c r="BU282" s="343">
        <f>SUMIFS($AU$134:AU283,$AA$134:AA283,"*",$AB$134:AB283,"*")</f>
        <v>535.49999999998488</v>
      </c>
      <c r="BV282" s="343">
        <f>SUMIFS($AU$134:AU283,$AA$134:AA283,"*",$AC$134:AC283,"*")</f>
        <v>1534.3499999999995</v>
      </c>
      <c r="BW282" s="343">
        <f>SUMIFS($AU$134:AU283,$AB$134:AB283,"*",$AC$134:AC283,"*")</f>
        <v>598.1</v>
      </c>
      <c r="BX282" s="343">
        <f>SUMIFS($AU283:AU$1388,$Q283:Q$1388,"F")</f>
        <v>14407.466666666669</v>
      </c>
      <c r="BY282" s="343">
        <f>SUMIFS($AU283:AU$1388,$Q283:Q$1388,"S")</f>
        <v>18580.092000000001</v>
      </c>
      <c r="BZ282" s="343">
        <f>SUMIFS($AU283:AU$1388,$Q283:Q$1388,"O")</f>
        <v>-1570.2979999997549</v>
      </c>
    </row>
    <row r="283" spans="1:78" ht="18" customHeight="1">
      <c r="A283" s="221" t="s">
        <v>1148</v>
      </c>
      <c r="B283" s="177">
        <v>44973</v>
      </c>
      <c r="C283" s="178" t="s">
        <v>682</v>
      </c>
      <c r="D283" s="178" t="s">
        <v>93</v>
      </c>
      <c r="E283" s="289"/>
      <c r="F283" s="296"/>
      <c r="G283" s="181" t="s">
        <v>1203</v>
      </c>
      <c r="H283" s="182"/>
      <c r="I283" s="182"/>
      <c r="J283" s="182"/>
      <c r="K283" s="183"/>
      <c r="L283" s="182">
        <v>2</v>
      </c>
      <c r="M283" s="182"/>
      <c r="N283" s="182"/>
      <c r="O283" s="183" t="s">
        <v>95</v>
      </c>
      <c r="P283" s="183" t="s">
        <v>137</v>
      </c>
      <c r="Q283" s="183" t="s">
        <v>684</v>
      </c>
      <c r="R283" s="183">
        <v>1</v>
      </c>
      <c r="S283" s="183">
        <v>1</v>
      </c>
      <c r="T283" s="183">
        <v>1</v>
      </c>
      <c r="U283" s="183" t="s">
        <v>22</v>
      </c>
      <c r="V283" s="183"/>
      <c r="W283" s="183"/>
      <c r="X283" s="183"/>
      <c r="Y283" s="184">
        <f t="shared" si="115"/>
        <v>0.01</v>
      </c>
      <c r="Z283" s="184">
        <f t="shared" si="116"/>
        <v>1660.0000000000002</v>
      </c>
      <c r="AA283" s="185" t="s">
        <v>1096</v>
      </c>
      <c r="AB283" s="185"/>
      <c r="AC283" s="185"/>
      <c r="AD283" s="649">
        <v>95.97</v>
      </c>
      <c r="AE283" s="182"/>
      <c r="AF283" s="332"/>
      <c r="AG283" s="182"/>
      <c r="AH283" s="182"/>
      <c r="AI283" s="182"/>
      <c r="AJ283" s="640"/>
      <c r="AK283" s="182"/>
      <c r="AL283" s="496"/>
      <c r="AM283" s="496"/>
      <c r="AN283" s="626"/>
      <c r="AO283" s="182"/>
      <c r="AP283" s="182" t="s">
        <v>1037</v>
      </c>
      <c r="AQ283" s="332" t="str">
        <f>UPPER(RIGHT(Journal_Live[[#This Row],[DURATION ]]))</f>
        <v>S</v>
      </c>
      <c r="AR283" s="182" t="s">
        <v>1396</v>
      </c>
      <c r="AS283" s="189">
        <v>96.02</v>
      </c>
      <c r="AT283" s="189">
        <f t="shared" si="122"/>
        <v>4.9999999999997158E-2</v>
      </c>
      <c r="AU283" s="187">
        <f t="shared" si="123"/>
        <v>82.999999999995296</v>
      </c>
      <c r="AV283" s="190">
        <f t="shared" si="124"/>
        <v>82.999999999995296</v>
      </c>
      <c r="AW283" s="191" t="s">
        <v>96</v>
      </c>
      <c r="AX283" s="407" t="s">
        <v>1397</v>
      </c>
      <c r="AY283" s="407"/>
      <c r="AZ283" s="407"/>
      <c r="BA283" s="407"/>
      <c r="BB283" s="407"/>
      <c r="BC283" s="407"/>
      <c r="BD283" s="407"/>
      <c r="BE283" s="407"/>
      <c r="BF283" s="422"/>
      <c r="BG283" s="391">
        <f>SUM($AV$4:AV283)</f>
        <v>2452.7849999999871</v>
      </c>
      <c r="BH283" s="392">
        <f>SUM($AU$134:AU283)</f>
        <v>2328.3899999999517</v>
      </c>
      <c r="BI283" s="318">
        <f>SUMIFS($AU$134:AU284,$Q$134:Q284,"F")</f>
        <v>33.199999999999989</v>
      </c>
      <c r="BJ283" s="318">
        <f>SUMIFS($AU$134:AU284,$Q$134:Q284,"S")</f>
        <v>2141.35</v>
      </c>
      <c r="BK283" s="343">
        <f>SUMIFS($AU$134:AU284,$P$134:P284,"W")</f>
        <v>1907.3899999999719</v>
      </c>
      <c r="BL283" s="343">
        <f>SUMIFS($AU$134:AU284,$P$134:P284,"R")</f>
        <v>470.79999999997909</v>
      </c>
      <c r="BM283" s="343">
        <f>SUMIFS($AU$134:AU284,$AQ$134:AQ284,"M")</f>
        <v>-82.999999999995296</v>
      </c>
      <c r="BN283" s="343">
        <f>SUMIFS($AU$134:AU284,$AQ$134:AQ284,"H")</f>
        <v>300.80000000001502</v>
      </c>
      <c r="BO283" s="343">
        <f>SUMIFS($AU$134:AU284,$AQ$134:AQ284,"D")</f>
        <v>1210.2499999999998</v>
      </c>
      <c r="BP283" s="343">
        <f>SUMIFS($AU$134:AU286,$AQ$134:AQ286,"W")</f>
        <v>252.10000000000008</v>
      </c>
      <c r="BQ283" s="343">
        <f>SUMIFS($AU$134:AU284,$Q$134:Q284,"O")</f>
        <v>4.4399999999516524</v>
      </c>
      <c r="BR283" s="343">
        <f>SUMIFS($AU$134:AU284,$AA$134:AA284,"*")</f>
        <v>2560.0499999999811</v>
      </c>
      <c r="BS283" s="343">
        <f>SUMIFS($AU$134:AU284,$AB$134:AB284,"*")</f>
        <v>485.03999999995608</v>
      </c>
      <c r="BT283" s="343">
        <f>SUMIFS($AU$134:AU284,$AC$134:AC284,"*")</f>
        <v>1218.9499999999994</v>
      </c>
      <c r="BU283" s="343">
        <f>SUMIFS($AU$134:AU284,$AA$134:AA284,"*",$AB$134:AB284,"*")</f>
        <v>535.49999999998488</v>
      </c>
      <c r="BV283" s="343">
        <f>SUMIFS($AU$134:AU284,$AA$134:AA284,"*",$AC$134:AC284,"*")</f>
        <v>1534.3499999999995</v>
      </c>
      <c r="BW283" s="343">
        <f>SUMIFS($AU$134:AU284,$AB$134:AB284,"*",$AC$134:AC284,"*")</f>
        <v>598.1</v>
      </c>
      <c r="BX283" s="343">
        <f>SUMIFS($AU284:AU$1388,$Q284:Q$1388,"F")</f>
        <v>14407.466666666669</v>
      </c>
      <c r="BY283" s="343">
        <f>SUMIFS($AU284:AU$1388,$Q284:Q$1388,"S")</f>
        <v>18580.092000000001</v>
      </c>
      <c r="BZ283" s="343">
        <f>SUMIFS($AU284:AU$1388,$Q284:Q$1388,"O")</f>
        <v>-1653.2979999997497</v>
      </c>
    </row>
    <row r="284" spans="1:78" ht="18" customHeight="1">
      <c r="A284" s="177" t="s">
        <v>1148</v>
      </c>
      <c r="B284" s="177">
        <v>44973</v>
      </c>
      <c r="C284" s="178" t="s">
        <v>682</v>
      </c>
      <c r="D284" s="178" t="s">
        <v>93</v>
      </c>
      <c r="E284" s="289"/>
      <c r="F284" s="296"/>
      <c r="G284" s="288" t="s">
        <v>280</v>
      </c>
      <c r="H284" s="182"/>
      <c r="I284" s="182"/>
      <c r="J284" s="182"/>
      <c r="K284" s="183"/>
      <c r="L284" s="182">
        <v>1</v>
      </c>
      <c r="M284" s="182">
        <v>1</v>
      </c>
      <c r="N284" s="182"/>
      <c r="O284" s="183" t="s">
        <v>95</v>
      </c>
      <c r="P284" s="183" t="s">
        <v>137</v>
      </c>
      <c r="Q284" s="183" t="s">
        <v>97</v>
      </c>
      <c r="R284" s="183">
        <v>3</v>
      </c>
      <c r="S284" s="183">
        <v>3</v>
      </c>
      <c r="T284" s="183">
        <v>3</v>
      </c>
      <c r="U284" s="183" t="s">
        <v>97</v>
      </c>
      <c r="V284" s="183"/>
      <c r="W284" s="183"/>
      <c r="X284" s="183"/>
      <c r="Y284" s="184">
        <f t="shared" si="115"/>
        <v>0.01</v>
      </c>
      <c r="Z284" s="184">
        <f t="shared" si="116"/>
        <v>1660.0000000000002</v>
      </c>
      <c r="AA284" s="185"/>
      <c r="AB284" s="185"/>
      <c r="AC284" s="185" t="s">
        <v>1358</v>
      </c>
      <c r="AD284" s="649">
        <v>-0.13</v>
      </c>
      <c r="AE284" s="182"/>
      <c r="AF284" s="332"/>
      <c r="AG284" s="182"/>
      <c r="AH284" s="182"/>
      <c r="AI284" s="182"/>
      <c r="AJ284" s="640"/>
      <c r="AK284" s="182"/>
      <c r="AL284" s="496">
        <f>-0.03*Z284</f>
        <v>-49.800000000000004</v>
      </c>
      <c r="AM284" s="496">
        <f>AL284*R284</f>
        <v>-149.4</v>
      </c>
      <c r="AN284" s="626"/>
      <c r="AO284" s="182"/>
      <c r="AP284" s="182" t="s">
        <v>1398</v>
      </c>
      <c r="AQ284" s="332" t="str">
        <f>UPPER(RIGHT(Journal_Live[[#This Row],[DURATION ]]))</f>
        <v>H</v>
      </c>
      <c r="AR284" s="182" t="s">
        <v>1399</v>
      </c>
      <c r="AS284" s="189">
        <v>-0.14000000000000001</v>
      </c>
      <c r="AT284" s="189">
        <f t="shared" si="122"/>
        <v>1.0000000000000009E-2</v>
      </c>
      <c r="AU284" s="187">
        <f t="shared" si="123"/>
        <v>49.800000000000047</v>
      </c>
      <c r="AV284" s="190">
        <f t="shared" si="124"/>
        <v>16.600000000000016</v>
      </c>
      <c r="AW284" s="191" t="s">
        <v>96</v>
      </c>
      <c r="AX284" s="407" t="s">
        <v>1361</v>
      </c>
      <c r="AY284" s="407"/>
      <c r="AZ284" s="407"/>
      <c r="BA284" s="407"/>
      <c r="BB284" s="407"/>
      <c r="BC284" s="407"/>
      <c r="BD284" s="407"/>
      <c r="BE284" s="407"/>
      <c r="BF284" s="422"/>
      <c r="BG284" s="391">
        <f>SUM($AV$4:AV284)</f>
        <v>2469.384999999987</v>
      </c>
      <c r="BH284" s="392">
        <f>SUM($AU$134:AU284)</f>
        <v>2378.1899999999519</v>
      </c>
      <c r="BI284" s="318">
        <f>SUMIFS($AU$134:AU285,$Q$134:Q285,"F")</f>
        <v>33.199999999999989</v>
      </c>
      <c r="BJ284" s="318">
        <f>SUMIFS($AU$134:AU285,$Q$134:Q285,"S")</f>
        <v>2141.35</v>
      </c>
      <c r="BK284" s="343">
        <f>SUMIFS($AU$134:AU285,$P$134:P285,"W")</f>
        <v>1907.3899999999719</v>
      </c>
      <c r="BL284" s="343">
        <f>SUMIFS($AU$134:AU285,$P$134:P285,"R")</f>
        <v>470.79999999997909</v>
      </c>
      <c r="BM284" s="343">
        <f>SUMIFS($AU$134:AU285,$AQ$134:AQ285,"M")</f>
        <v>-82.999999999995296</v>
      </c>
      <c r="BN284" s="343">
        <f>SUMIFS($AU$134:AU285,$AQ$134:AQ285,"H")</f>
        <v>300.80000000001502</v>
      </c>
      <c r="BO284" s="343">
        <f>SUMIFS($AU$134:AU285,$AQ$134:AQ285,"D")</f>
        <v>1210.2499999999998</v>
      </c>
      <c r="BP284" s="343">
        <f>SUMIFS($AU$134:AU287,$AQ$134:AQ287,"W")</f>
        <v>252.10000000000008</v>
      </c>
      <c r="BQ284" s="343">
        <f>SUMIFS($AU$134:AU285,$Q$134:Q285,"O")</f>
        <v>4.4399999999516524</v>
      </c>
      <c r="BR284" s="343">
        <f>SUMIFS($AU$134:AU285,$AA$134:AA285,"*")</f>
        <v>2560.0499999999811</v>
      </c>
      <c r="BS284" s="343">
        <f>SUMIFS($AU$134:AU285,$AB$134:AB285,"*")</f>
        <v>485.03999999995608</v>
      </c>
      <c r="BT284" s="343">
        <f>SUMIFS($AU$134:AU285,$AC$134:AC285,"*")</f>
        <v>1218.9499999999994</v>
      </c>
      <c r="BU284" s="343">
        <f>SUMIFS($AU$134:AU285,$AA$134:AA285,"*",$AB$134:AB285,"*")</f>
        <v>535.49999999998488</v>
      </c>
      <c r="BV284" s="343">
        <f>SUMIFS($AU$134:AU285,$AA$134:AA285,"*",$AC$134:AC285,"*")</f>
        <v>1534.3499999999995</v>
      </c>
      <c r="BW284" s="343">
        <f>SUMIFS($AU$134:AU285,$AB$134:AB285,"*",$AC$134:AC285,"*")</f>
        <v>598.1</v>
      </c>
      <c r="BX284" s="343">
        <f>SUMIFS($AU285:AU$1388,$Q285:Q$1388,"F")</f>
        <v>14407.466666666669</v>
      </c>
      <c r="BY284" s="343">
        <f>SUMIFS($AU285:AU$1388,$Q285:Q$1388,"S")</f>
        <v>18530.292000000001</v>
      </c>
      <c r="BZ284" s="343">
        <f>SUMIFS($AU285:AU$1388,$Q285:Q$1388,"O")</f>
        <v>-1653.2979999997497</v>
      </c>
    </row>
    <row r="285" spans="1:78" ht="18" customHeight="1">
      <c r="A285" s="177" t="s">
        <v>1148</v>
      </c>
      <c r="B285" s="177">
        <v>44973</v>
      </c>
      <c r="C285" s="178" t="s">
        <v>1400</v>
      </c>
      <c r="D285" s="178" t="s">
        <v>93</v>
      </c>
      <c r="E285" s="289"/>
      <c r="F285" s="296"/>
      <c r="G285" s="181" t="s">
        <v>271</v>
      </c>
      <c r="H285" s="182"/>
      <c r="I285" s="182"/>
      <c r="J285" s="182"/>
      <c r="K285" s="183"/>
      <c r="L285" s="182">
        <v>1</v>
      </c>
      <c r="M285" s="182"/>
      <c r="N285" s="182"/>
      <c r="O285" s="183" t="s">
        <v>95</v>
      </c>
      <c r="P285" s="183" t="s">
        <v>137</v>
      </c>
      <c r="Q285" s="183" t="s">
        <v>97</v>
      </c>
      <c r="R285" s="183">
        <v>3</v>
      </c>
      <c r="S285" s="183">
        <v>3</v>
      </c>
      <c r="T285" s="183">
        <v>3</v>
      </c>
      <c r="U285" s="183" t="s">
        <v>97</v>
      </c>
      <c r="V285" s="183"/>
      <c r="W285" s="183"/>
      <c r="X285" s="183"/>
      <c r="Y285" s="184">
        <f t="shared" si="115"/>
        <v>0.01</v>
      </c>
      <c r="Z285" s="184">
        <f>IF(ISBLANK(O285),"",IF(O285=UPPER("IB"),8.63*200,16.5*100))</f>
        <v>1650</v>
      </c>
      <c r="AA285" s="185"/>
      <c r="AB285" s="185"/>
      <c r="AC285" s="185" t="s">
        <v>99</v>
      </c>
      <c r="AD285" s="649">
        <v>-0.14000000000000001</v>
      </c>
      <c r="AE285" s="182"/>
      <c r="AF285" s="332"/>
      <c r="AG285" s="182"/>
      <c r="AH285" s="182"/>
      <c r="AI285" s="182"/>
      <c r="AJ285" s="640"/>
      <c r="AK285" s="182"/>
      <c r="AL285" s="496"/>
      <c r="AM285" s="496"/>
      <c r="AN285" s="626"/>
      <c r="AO285" s="182"/>
      <c r="AP285" s="182"/>
      <c r="AQ285" s="332" t="str">
        <f>UPPER(RIGHT(Journal_Live[[#This Row],[DURATION ]]))</f>
        <v/>
      </c>
      <c r="AR285" s="182" t="s">
        <v>1401</v>
      </c>
      <c r="AS285" s="189">
        <v>-0.14000000000000001</v>
      </c>
      <c r="AT285" s="189">
        <f t="shared" si="122"/>
        <v>0</v>
      </c>
      <c r="AU285" s="187">
        <f t="shared" si="123"/>
        <v>0</v>
      </c>
      <c r="AV285" s="190">
        <f t="shared" si="124"/>
        <v>0</v>
      </c>
      <c r="AW285" s="191" t="s">
        <v>115</v>
      </c>
      <c r="AX285" s="407" t="s">
        <v>1402</v>
      </c>
      <c r="AY285" s="407" t="s">
        <v>529</v>
      </c>
      <c r="AZ285" s="407"/>
      <c r="BA285" s="407"/>
      <c r="BB285" s="407"/>
      <c r="BC285" s="407"/>
      <c r="BD285" s="407"/>
      <c r="BE285" s="407"/>
      <c r="BF285" s="422"/>
      <c r="BG285" s="391">
        <f>SUM($AV$4:AV285)</f>
        <v>2469.384999999987</v>
      </c>
      <c r="BH285" s="392">
        <f>SUM($AU$134:AU285)</f>
        <v>2378.1899999999519</v>
      </c>
      <c r="BI285" s="318">
        <f>SUMIFS($AU$134:AU286,$Q$134:Q286,"F")</f>
        <v>33.199999999999989</v>
      </c>
      <c r="BJ285" s="318">
        <f>SUMIFS($AU$134:AU286,$Q$134:Q286,"S")</f>
        <v>2157.85</v>
      </c>
      <c r="BK285" s="343">
        <f>SUMIFS($AU$134:AU286,$P$134:P286,"W")</f>
        <v>1923.8899999999719</v>
      </c>
      <c r="BL285" s="343">
        <f>SUMIFS($AU$134:AU286,$P$134:P286,"R")</f>
        <v>470.79999999997909</v>
      </c>
      <c r="BM285" s="343">
        <f>SUMIFS($AU$134:AU286,$AQ$134:AQ286,"M")</f>
        <v>-82.999999999995296</v>
      </c>
      <c r="BN285" s="343">
        <f>SUMIFS($AU$134:AU286,$AQ$134:AQ286,"H")</f>
        <v>300.80000000001502</v>
      </c>
      <c r="BO285" s="343">
        <f>SUMIFS($AU$134:AU286,$AQ$134:AQ286,"D")</f>
        <v>1210.2499999999998</v>
      </c>
      <c r="BP285" s="343">
        <f>SUMIFS($AU$134:AU288,$AQ$134:AQ288,"W")</f>
        <v>252.10000000000008</v>
      </c>
      <c r="BQ285" s="343">
        <f>SUMIFS($AU$134:AU286,$Q$134:Q286,"O")</f>
        <v>4.4399999999516524</v>
      </c>
      <c r="BR285" s="343">
        <f>SUMIFS($AU$134:AU286,$AA$134:AA286,"*")</f>
        <v>2576.5499999999811</v>
      </c>
      <c r="BS285" s="343">
        <f>SUMIFS($AU$134:AU286,$AB$134:AB286,"*")</f>
        <v>485.03999999995608</v>
      </c>
      <c r="BT285" s="343">
        <f>SUMIFS($AU$134:AU286,$AC$134:AC286,"*")</f>
        <v>1235.4499999999994</v>
      </c>
      <c r="BU285" s="343">
        <f>SUMIFS($AU$134:AU286,$AA$134:AA286,"*",$AB$134:AB286,"*")</f>
        <v>535.49999999998488</v>
      </c>
      <c r="BV285" s="343">
        <f>SUMIFS($AU$134:AU286,$AA$134:AA286,"*",$AC$134:AC286,"*")</f>
        <v>1550.8499999999995</v>
      </c>
      <c r="BW285" s="343">
        <f>SUMIFS($AU$134:AU286,$AB$134:AB286,"*",$AC$134:AC286,"*")</f>
        <v>598.1</v>
      </c>
      <c r="BX285" s="343">
        <f>SUMIFS($AU286:AU$1388,$Q286:Q$1388,"F")</f>
        <v>14407.466666666669</v>
      </c>
      <c r="BY285" s="343">
        <f>SUMIFS($AU286:AU$1388,$Q286:Q$1388,"S")</f>
        <v>18530.292000000001</v>
      </c>
      <c r="BZ285" s="343">
        <f>SUMIFS($AU286:AU$1388,$Q286:Q$1388,"O")</f>
        <v>-1653.2979999997497</v>
      </c>
    </row>
    <row r="286" spans="1:78" ht="18" customHeight="1">
      <c r="A286" s="221" t="s">
        <v>1148</v>
      </c>
      <c r="B286" s="177">
        <v>44974</v>
      </c>
      <c r="C286" s="178" t="s">
        <v>1403</v>
      </c>
      <c r="D286" s="178" t="s">
        <v>111</v>
      </c>
      <c r="E286" s="289"/>
      <c r="F286" s="296"/>
      <c r="G286" s="181" t="s">
        <v>435</v>
      </c>
      <c r="H286" s="182"/>
      <c r="I286" s="182"/>
      <c r="J286" s="182"/>
      <c r="K286" s="183"/>
      <c r="L286" s="182">
        <v>1</v>
      </c>
      <c r="M286" s="182"/>
      <c r="N286" s="182"/>
      <c r="O286" s="183" t="s">
        <v>95</v>
      </c>
      <c r="P286" s="183" t="s">
        <v>96</v>
      </c>
      <c r="Q286" s="183" t="s">
        <v>97</v>
      </c>
      <c r="R286" s="183">
        <v>1</v>
      </c>
      <c r="S286" s="183">
        <v>1</v>
      </c>
      <c r="T286" s="183">
        <v>1</v>
      </c>
      <c r="U286" s="183" t="s">
        <v>97</v>
      </c>
      <c r="V286" s="183"/>
      <c r="W286" s="183"/>
      <c r="X286" s="183"/>
      <c r="Y286" s="184">
        <f t="shared" si="115"/>
        <v>0.01</v>
      </c>
      <c r="Z286" s="184">
        <f>IF(ISBLANK(O286),"",IF(O286=UPPER("IB"),8.63*200,16.5*100))</f>
        <v>1650</v>
      </c>
      <c r="AA286" s="185" t="s">
        <v>1404</v>
      </c>
      <c r="AB286" s="185"/>
      <c r="AC286" s="185" t="s">
        <v>99</v>
      </c>
      <c r="AD286" s="649">
        <v>0.48</v>
      </c>
      <c r="AE286" s="182"/>
      <c r="AF286" s="332"/>
      <c r="AG286" s="182"/>
      <c r="AH286" s="182"/>
      <c r="AI286" s="182"/>
      <c r="AJ286" s="640"/>
      <c r="AK286" s="182"/>
      <c r="AL286" s="496"/>
      <c r="AM286" s="496"/>
      <c r="AN286" s="626"/>
      <c r="AO286" s="182"/>
      <c r="AP286" s="182" t="s">
        <v>1405</v>
      </c>
      <c r="AQ286" s="332" t="str">
        <f>UPPER(RIGHT(Journal_Live[[#This Row],[DURATION ]]))</f>
        <v>S</v>
      </c>
      <c r="AR286" s="182" t="s">
        <v>1406</v>
      </c>
      <c r="AS286" s="189">
        <v>0.47</v>
      </c>
      <c r="AT286" s="189">
        <f t="shared" si="122"/>
        <v>1.0000000000000009E-2</v>
      </c>
      <c r="AU286" s="187">
        <f t="shared" si="123"/>
        <v>16.500000000000014</v>
      </c>
      <c r="AV286" s="190">
        <f t="shared" si="124"/>
        <v>16.500000000000014</v>
      </c>
      <c r="AW286" s="191" t="s">
        <v>96</v>
      </c>
      <c r="AX286" s="407" t="s">
        <v>1407</v>
      </c>
      <c r="AY286" s="407"/>
      <c r="AZ286" s="407"/>
      <c r="BA286" s="407"/>
      <c r="BB286" s="407"/>
      <c r="BC286" s="407"/>
      <c r="BD286" s="407"/>
      <c r="BE286" s="407"/>
      <c r="BF286" s="422"/>
      <c r="BG286" s="391">
        <f>SUM($AV$4:AV286)</f>
        <v>2485.884999999987</v>
      </c>
      <c r="BH286" s="392">
        <f>SUM($AU$134:AU286)</f>
        <v>2394.6899999999519</v>
      </c>
      <c r="BI286" s="318">
        <f>SUMIFS($AU$134:AU287,$Q$134:Q287,"F")</f>
        <v>33.199999999999989</v>
      </c>
      <c r="BJ286" s="318">
        <f>SUMIFS($AU$134:AU287,$Q$134:Q287,"S")</f>
        <v>2190.85</v>
      </c>
      <c r="BK286" s="343">
        <f>SUMIFS($AU$134:AU287,$P$134:P287,"W")</f>
        <v>1956.8899999999719</v>
      </c>
      <c r="BL286" s="343">
        <f>SUMIFS($AU$134:AU287,$P$134:P287,"R")</f>
        <v>470.79999999997909</v>
      </c>
      <c r="BM286" s="343">
        <f>SUMIFS($AU$134:AU287,$AQ$134:AQ287,"M")</f>
        <v>-82.999999999995296</v>
      </c>
      <c r="BN286" s="343">
        <f>SUMIFS($AU$134:AU287,$AQ$134:AQ287,"H")</f>
        <v>300.80000000001502</v>
      </c>
      <c r="BO286" s="343">
        <f>SUMIFS($AU$134:AU287,$AQ$134:AQ287,"D")</f>
        <v>1243.2499999999998</v>
      </c>
      <c r="BP286" s="343">
        <f>SUMIFS($AU$134:AU289,$AQ$134:AQ289,"W")</f>
        <v>252.10000000000008</v>
      </c>
      <c r="BQ286" s="343">
        <f>SUMIFS($AU$134:AU287,$Q$134:Q287,"O")</f>
        <v>4.4399999999516524</v>
      </c>
      <c r="BR286" s="343">
        <f>SUMIFS($AU$134:AU287,$AA$134:AA287,"*")</f>
        <v>2609.5499999999811</v>
      </c>
      <c r="BS286" s="343">
        <f>SUMIFS($AU$134:AU287,$AB$134:AB287,"*")</f>
        <v>485.03999999995608</v>
      </c>
      <c r="BT286" s="343">
        <f>SUMIFS($AU$134:AU287,$AC$134:AC287,"*")</f>
        <v>1235.4499999999994</v>
      </c>
      <c r="BU286" s="343">
        <f>SUMIFS($AU$134:AU287,$AA$134:AA287,"*",$AB$134:AB287,"*")</f>
        <v>535.49999999998488</v>
      </c>
      <c r="BV286" s="343">
        <f>SUMIFS($AU$134:AU287,$AA$134:AA287,"*",$AC$134:AC287,"*")</f>
        <v>1550.8499999999995</v>
      </c>
      <c r="BW286" s="343">
        <f>SUMIFS($AU$134:AU287,$AB$134:AB287,"*",$AC$134:AC287,"*")</f>
        <v>598.1</v>
      </c>
      <c r="BX286" s="343">
        <f>SUMIFS($AU287:AU$1388,$Q287:Q$1388,"F")</f>
        <v>14407.466666666669</v>
      </c>
      <c r="BY286" s="343">
        <f>SUMIFS($AU287:AU$1388,$Q287:Q$1388,"S")</f>
        <v>18513.792000000001</v>
      </c>
      <c r="BZ286" s="343">
        <f>SUMIFS($AU287:AU$1388,$Q287:Q$1388,"O")</f>
        <v>-1653.2979999997497</v>
      </c>
    </row>
    <row r="287" spans="1:78" ht="18" customHeight="1">
      <c r="A287" s="177" t="s">
        <v>1148</v>
      </c>
      <c r="B287" s="177">
        <v>44974</v>
      </c>
      <c r="C287" s="178" t="s">
        <v>1408</v>
      </c>
      <c r="D287" s="178" t="s">
        <v>111</v>
      </c>
      <c r="E287" s="289"/>
      <c r="F287" s="296"/>
      <c r="G287" s="281" t="s">
        <v>435</v>
      </c>
      <c r="H287" s="182"/>
      <c r="I287" s="182"/>
      <c r="J287" s="182"/>
      <c r="K287" s="183"/>
      <c r="L287" s="182">
        <v>1</v>
      </c>
      <c r="M287" s="182"/>
      <c r="N287" s="182"/>
      <c r="O287" s="183" t="s">
        <v>95</v>
      </c>
      <c r="P287" s="183" t="s">
        <v>96</v>
      </c>
      <c r="Q287" s="183" t="s">
        <v>97</v>
      </c>
      <c r="R287" s="183">
        <v>1</v>
      </c>
      <c r="S287" s="183">
        <v>1</v>
      </c>
      <c r="T287" s="183">
        <v>1</v>
      </c>
      <c r="U287" s="183" t="s">
        <v>97</v>
      </c>
      <c r="V287" s="183"/>
      <c r="W287" s="183"/>
      <c r="X287" s="183"/>
      <c r="Y287" s="184">
        <f t="shared" si="115"/>
        <v>0.01</v>
      </c>
      <c r="Z287" s="184">
        <f>IF(ISBLANK(O287),"",IF(O287=UPPER("IB"),8.63*200,16.5*100))</f>
        <v>1650</v>
      </c>
      <c r="AA287" s="185" t="s">
        <v>1409</v>
      </c>
      <c r="AB287" s="185"/>
      <c r="AC287" s="185"/>
      <c r="AD287" s="649">
        <v>0.52</v>
      </c>
      <c r="AE287" s="182"/>
      <c r="AF287" s="332">
        <v>0.56999999999999995</v>
      </c>
      <c r="AG287" s="182"/>
      <c r="AH287" s="182" t="s">
        <v>1410</v>
      </c>
      <c r="AI287" s="182" t="s">
        <v>1411</v>
      </c>
      <c r="AJ287" s="640"/>
      <c r="AK287" s="182"/>
      <c r="AL287" s="496">
        <f>-0.03*Z287</f>
        <v>-49.5</v>
      </c>
      <c r="AM287" s="496">
        <f>AL287*R287</f>
        <v>-49.5</v>
      </c>
      <c r="AN287" s="626"/>
      <c r="AO287" s="182"/>
      <c r="AP287" s="182" t="s">
        <v>804</v>
      </c>
      <c r="AQ287" s="332" t="str">
        <f>UPPER(RIGHT(Journal_Live[[#This Row],[DURATION ]]))</f>
        <v>D</v>
      </c>
      <c r="AR287" s="182" t="s">
        <v>1412</v>
      </c>
      <c r="AS287" s="189">
        <v>0.5</v>
      </c>
      <c r="AT287" s="189">
        <f t="shared" si="122"/>
        <v>2.0000000000000018E-2</v>
      </c>
      <c r="AU287" s="187">
        <f t="shared" si="123"/>
        <v>33.000000000000028</v>
      </c>
      <c r="AV287" s="190">
        <f t="shared" si="124"/>
        <v>33.000000000000028</v>
      </c>
      <c r="AW287" s="191" t="s">
        <v>96</v>
      </c>
      <c r="AX287" s="407"/>
      <c r="AY287" s="407"/>
      <c r="AZ287" s="407"/>
      <c r="BA287" s="407"/>
      <c r="BB287" s="407"/>
      <c r="BC287" s="407"/>
      <c r="BD287" s="407"/>
      <c r="BE287" s="407"/>
      <c r="BF287" s="422"/>
      <c r="BG287" s="391">
        <f>SUM($AV$4:AV287)</f>
        <v>2518.884999999987</v>
      </c>
      <c r="BH287" s="392">
        <f>SUM($AU$134:AU287)</f>
        <v>2427.6899999999519</v>
      </c>
      <c r="BI287" s="318">
        <f>SUMIFS($AU$134:AU288,$Q$134:Q288,"F")</f>
        <v>33.199999999999989</v>
      </c>
      <c r="BJ287" s="318">
        <f>SUMIFS($AU$134:AU288,$Q$134:Q288,"S")</f>
        <v>2190.85</v>
      </c>
      <c r="BK287" s="343">
        <f>SUMIFS($AU$134:AU288,$P$134:P288,"W")</f>
        <v>1956.8899999999719</v>
      </c>
      <c r="BL287" s="343">
        <f>SUMIFS($AU$134:AU288,$P$134:P288,"R")</f>
        <v>470.79999999997909</v>
      </c>
      <c r="BM287" s="343">
        <f>SUMIFS($AU$134:AU288,$AQ$134:AQ288,"M")</f>
        <v>-82.999999999995296</v>
      </c>
      <c r="BN287" s="343">
        <f>SUMIFS($AU$134:AU288,$AQ$134:AQ288,"H")</f>
        <v>300.80000000001502</v>
      </c>
      <c r="BO287" s="343">
        <f>SUMIFS($AU$134:AU288,$AQ$134:AQ288,"D")</f>
        <v>1243.2499999999998</v>
      </c>
      <c r="BP287" s="343">
        <f>SUMIFS($AU$134:AU290,$AQ$134:AQ290,"W")</f>
        <v>252.10000000000008</v>
      </c>
      <c r="BQ287" s="343">
        <f>SUMIFS($AU$134:AU288,$Q$134:Q288,"O")</f>
        <v>4.4399999999516524</v>
      </c>
      <c r="BR287" s="343">
        <f>SUMIFS($AU$134:AU288,$AA$134:AA288,"*")</f>
        <v>2609.5499999999811</v>
      </c>
      <c r="BS287" s="343">
        <f>SUMIFS($AU$134:AU288,$AB$134:AB288,"*")</f>
        <v>485.03999999995608</v>
      </c>
      <c r="BT287" s="343">
        <f>SUMIFS($AU$134:AU288,$AC$134:AC288,"*")</f>
        <v>1235.4499999999994</v>
      </c>
      <c r="BU287" s="343">
        <f>SUMIFS($AU$134:AU288,$AA$134:AA288,"*",$AB$134:AB288,"*")</f>
        <v>535.49999999998488</v>
      </c>
      <c r="BV287" s="343">
        <f>SUMIFS($AU$134:AU288,$AA$134:AA288,"*",$AC$134:AC288,"*")</f>
        <v>1550.8499999999995</v>
      </c>
      <c r="BW287" s="343">
        <f>SUMIFS($AU$134:AU288,$AB$134:AB288,"*",$AC$134:AC288,"*")</f>
        <v>598.1</v>
      </c>
      <c r="BX287" s="343">
        <f>SUMIFS($AU288:AU$1388,$Q288:Q$1388,"F")</f>
        <v>14407.466666666669</v>
      </c>
      <c r="BY287" s="343">
        <f>SUMIFS($AU288:AU$1388,$Q288:Q$1388,"S")</f>
        <v>18480.792000000001</v>
      </c>
      <c r="BZ287" s="343">
        <f>SUMIFS($AU288:AU$1388,$Q288:Q$1388,"O")</f>
        <v>-1653.2979999997497</v>
      </c>
    </row>
    <row r="288" spans="1:78" ht="18" customHeight="1">
      <c r="A288" s="177" t="s">
        <v>1148</v>
      </c>
      <c r="B288" s="177">
        <v>44977</v>
      </c>
      <c r="C288" s="178" t="s">
        <v>1413</v>
      </c>
      <c r="D288" s="178" t="s">
        <v>132</v>
      </c>
      <c r="E288" s="289"/>
      <c r="F288" s="296"/>
      <c r="G288" s="287" t="s">
        <v>133</v>
      </c>
      <c r="H288" s="182"/>
      <c r="I288" s="182"/>
      <c r="J288" s="182"/>
      <c r="K288" s="183"/>
      <c r="L288" s="182">
        <v>1</v>
      </c>
      <c r="M288" s="182"/>
      <c r="N288" s="182"/>
      <c r="O288" s="183" t="s">
        <v>95</v>
      </c>
      <c r="P288" s="183" t="s">
        <v>96</v>
      </c>
      <c r="Q288" s="183" t="s">
        <v>97</v>
      </c>
      <c r="R288" s="183">
        <v>4</v>
      </c>
      <c r="S288" s="183">
        <v>4</v>
      </c>
      <c r="T288" s="183">
        <v>4</v>
      </c>
      <c r="U288" s="183" t="s">
        <v>97</v>
      </c>
      <c r="V288" s="183"/>
      <c r="W288" s="183"/>
      <c r="X288" s="183"/>
      <c r="Y288" s="184">
        <f t="shared" si="115"/>
        <v>0.01</v>
      </c>
      <c r="Z288" s="184">
        <f>IF(ISBLANK(O288),"",IF(O288=UPPER("IB"),8.63*200,16.5*100))</f>
        <v>1650</v>
      </c>
      <c r="AA288" s="185"/>
      <c r="AB288" s="185"/>
      <c r="AC288" s="185" t="s">
        <v>99</v>
      </c>
      <c r="AD288" s="649">
        <v>0.01</v>
      </c>
      <c r="AE288" s="182"/>
      <c r="AF288" s="332">
        <v>4</v>
      </c>
      <c r="AG288" s="182"/>
      <c r="AH288" s="182">
        <v>0</v>
      </c>
      <c r="AI288" s="182"/>
      <c r="AJ288" s="640"/>
      <c r="AK288" s="182"/>
      <c r="AL288" s="496">
        <f>-0.04*Z288</f>
        <v>-66</v>
      </c>
      <c r="AM288" s="496">
        <f>AL288*R288</f>
        <v>-264</v>
      </c>
      <c r="AN288" s="626"/>
      <c r="AO288" s="182"/>
      <c r="AP288" s="182" t="s">
        <v>804</v>
      </c>
      <c r="AQ288" s="332" t="str">
        <f>UPPER(RIGHT(Journal_Live[[#This Row],[DURATION ]]))</f>
        <v>D</v>
      </c>
      <c r="AR288" s="182" t="s">
        <v>1414</v>
      </c>
      <c r="AS288" s="189">
        <v>0.01</v>
      </c>
      <c r="AT288" s="189">
        <f t="shared" si="122"/>
        <v>0</v>
      </c>
      <c r="AU288" s="187">
        <f t="shared" si="123"/>
        <v>0</v>
      </c>
      <c r="AV288" s="190">
        <f t="shared" si="124"/>
        <v>0</v>
      </c>
      <c r="AW288" s="191" t="s">
        <v>115</v>
      </c>
      <c r="AX288" s="407" t="s">
        <v>1415</v>
      </c>
      <c r="AY288" s="407" t="s">
        <v>1416</v>
      </c>
      <c r="AZ288" s="407" t="s">
        <v>1417</v>
      </c>
      <c r="BA288" s="407"/>
      <c r="BB288" s="407" t="s">
        <v>529</v>
      </c>
      <c r="BC288" s="407"/>
      <c r="BD288" s="407"/>
      <c r="BE288" s="407"/>
      <c r="BF288" s="422"/>
      <c r="BG288" s="391">
        <f>SUM($AV$4:AV288)</f>
        <v>2518.884999999987</v>
      </c>
      <c r="BH288" s="392">
        <f>SUM($AU$134:AU288)</f>
        <v>2427.6899999999519</v>
      </c>
      <c r="BI288" s="318">
        <f>SUMIFS($AU$134:AU289,$Q$134:Q289,"F")</f>
        <v>33.199999999999989</v>
      </c>
      <c r="BJ288" s="318">
        <f>SUMIFS($AU$134:AU289,$Q$134:Q289,"S")</f>
        <v>2239.15</v>
      </c>
      <c r="BK288" s="343">
        <f>SUMIFS($AU$134:AU289,$P$134:P289,"W")</f>
        <v>1956.8899999999719</v>
      </c>
      <c r="BL288" s="343">
        <f>SUMIFS($AU$134:AU289,$P$134:P289,"R")</f>
        <v>519.0999999999791</v>
      </c>
      <c r="BM288" s="343">
        <f>SUMIFS($AU$134:AU289,$AQ$134:AQ289,"M")</f>
        <v>-82.999999999995296</v>
      </c>
      <c r="BN288" s="343">
        <f>SUMIFS($AU$134:AU289,$AQ$134:AQ289,"H")</f>
        <v>300.80000000001502</v>
      </c>
      <c r="BO288" s="343">
        <f>SUMIFS($AU$134:AU289,$AQ$134:AQ289,"D")</f>
        <v>1291.5499999999997</v>
      </c>
      <c r="BP288" s="343">
        <f>SUMIFS($AU$134:AU291,$AQ$134:AQ291,"W")</f>
        <v>252.10000000000008</v>
      </c>
      <c r="BQ288" s="343">
        <f>SUMIFS($AU$134:AU289,$Q$134:Q289,"O")</f>
        <v>4.4399999999516524</v>
      </c>
      <c r="BR288" s="343">
        <f>SUMIFS($AU$134:AU289,$AA$134:AA289,"*")</f>
        <v>2657.8499999999813</v>
      </c>
      <c r="BS288" s="343">
        <f>SUMIFS($AU$134:AU289,$AB$134:AB289,"*")</f>
        <v>485.03999999995608</v>
      </c>
      <c r="BT288" s="343">
        <f>SUMIFS($AU$134:AU289,$AC$134:AC289,"*")</f>
        <v>1283.7499999999993</v>
      </c>
      <c r="BU288" s="343">
        <f>SUMIFS($AU$134:AU289,$AA$134:AA289,"*",$AB$134:AB289,"*")</f>
        <v>535.49999999998488</v>
      </c>
      <c r="BV288" s="343">
        <f>SUMIFS($AU$134:AU289,$AA$134:AA289,"*",$AC$134:AC289,"*")</f>
        <v>1599.1499999999994</v>
      </c>
      <c r="BW288" s="343">
        <f>SUMIFS($AU$134:AU289,$AB$134:AB289,"*",$AC$134:AC289,"*")</f>
        <v>598.1</v>
      </c>
      <c r="BX288" s="343">
        <f>SUMIFS($AU289:AU$1388,$Q289:Q$1388,"F")</f>
        <v>14407.466666666669</v>
      </c>
      <c r="BY288" s="343">
        <f>SUMIFS($AU289:AU$1388,$Q289:Q$1388,"S")</f>
        <v>18480.792000000001</v>
      </c>
      <c r="BZ288" s="343">
        <f>SUMIFS($AU289:AU$1388,$Q289:Q$1388,"O")</f>
        <v>-1653.2979999997497</v>
      </c>
    </row>
    <row r="289" spans="1:78" ht="18" customHeight="1">
      <c r="A289" s="221" t="s">
        <v>1148</v>
      </c>
      <c r="B289" s="177">
        <v>44977</v>
      </c>
      <c r="C289" s="178" t="s">
        <v>1418</v>
      </c>
      <c r="D289" s="178" t="s">
        <v>132</v>
      </c>
      <c r="E289" s="289"/>
      <c r="F289" s="296"/>
      <c r="G289" s="281" t="s">
        <v>553</v>
      </c>
      <c r="H289" s="182"/>
      <c r="I289" s="182"/>
      <c r="J289" s="182"/>
      <c r="K289" s="183"/>
      <c r="L289" s="182">
        <v>1</v>
      </c>
      <c r="M289" s="182"/>
      <c r="N289" s="182"/>
      <c r="O289" s="183" t="s">
        <v>95</v>
      </c>
      <c r="P289" s="183" t="s">
        <v>137</v>
      </c>
      <c r="Q289" s="183" t="s">
        <v>97</v>
      </c>
      <c r="R289" s="183">
        <v>7</v>
      </c>
      <c r="S289" s="183">
        <v>7</v>
      </c>
      <c r="T289" s="183">
        <v>5</v>
      </c>
      <c r="U289" s="183" t="s">
        <v>97</v>
      </c>
      <c r="V289" s="183"/>
      <c r="W289" s="183"/>
      <c r="X289" s="183"/>
      <c r="Y289" s="184">
        <f t="shared" si="115"/>
        <v>0.01</v>
      </c>
      <c r="Z289" s="184">
        <f>IF(ISBLANK(O289),"",IF(O289=UPPER("IB"),8.63*200,16.1*100))</f>
        <v>1610.0000000000002</v>
      </c>
      <c r="AA289" s="185" t="s">
        <v>1419</v>
      </c>
      <c r="AB289" s="185"/>
      <c r="AC289" s="185" t="s">
        <v>99</v>
      </c>
      <c r="AD289" s="649">
        <v>-0.1</v>
      </c>
      <c r="AE289" s="182"/>
      <c r="AF289" s="332"/>
      <c r="AG289" s="182"/>
      <c r="AH289" s="182"/>
      <c r="AI289" s="182"/>
      <c r="AJ289" s="640"/>
      <c r="AK289" s="182"/>
      <c r="AL289" s="496">
        <f>-0.03*Z289</f>
        <v>-48.300000000000004</v>
      </c>
      <c r="AM289" s="496">
        <f>AL289*R289</f>
        <v>-338.1</v>
      </c>
      <c r="AN289" s="626"/>
      <c r="AO289" s="182"/>
      <c r="AP289" s="182" t="s">
        <v>751</v>
      </c>
      <c r="AQ289" s="332" t="str">
        <f>UPPER(RIGHT(Journal_Live[[#This Row],[DURATION ]]))</f>
        <v>D</v>
      </c>
      <c r="AR289" s="182" t="s">
        <v>1420</v>
      </c>
      <c r="AS289" s="189">
        <f>(-0.1*4 + (-0.11)*3)/7</f>
        <v>-0.10428571428571429</v>
      </c>
      <c r="AT289" s="189">
        <f t="shared" si="122"/>
        <v>4.2857142857142816E-3</v>
      </c>
      <c r="AU289" s="187">
        <f t="shared" si="123"/>
        <v>48.299999999999962</v>
      </c>
      <c r="AV289" s="190">
        <f t="shared" si="124"/>
        <v>6.8999999999999941</v>
      </c>
      <c r="AW289" s="191" t="s">
        <v>96</v>
      </c>
      <c r="AX289" s="407" t="s">
        <v>1421</v>
      </c>
      <c r="AY289" s="407" t="s">
        <v>1422</v>
      </c>
      <c r="AZ289" s="407" t="s">
        <v>1423</v>
      </c>
      <c r="BA289" s="407"/>
      <c r="BB289" s="407"/>
      <c r="BC289" s="407"/>
      <c r="BD289" s="407"/>
      <c r="BE289" s="407"/>
      <c r="BF289" s="422"/>
      <c r="BG289" s="391">
        <f>SUM($AV$4:AV289)</f>
        <v>2525.7849999999871</v>
      </c>
      <c r="BH289" s="392">
        <f>SUM($AU$134:AU289)</f>
        <v>2475.989999999952</v>
      </c>
      <c r="BI289" s="318">
        <f>SUMIFS($AU$134:AU290,$Q$134:Q290,"F")</f>
        <v>33.199999999999989</v>
      </c>
      <c r="BJ289" s="318">
        <f>SUMIFS($AU$134:AU290,$Q$134:Q290,"S")</f>
        <v>2321.15</v>
      </c>
      <c r="BK289" s="343">
        <f>SUMIFS($AU$134:AU290,$P$134:P290,"W")</f>
        <v>1956.8899999999719</v>
      </c>
      <c r="BL289" s="343">
        <f>SUMIFS($AU$134:AU290,$P$134:P290,"R")</f>
        <v>601.09999999997922</v>
      </c>
      <c r="BM289" s="343">
        <f>SUMIFS($AU$134:AU290,$AQ$134:AQ290,"M")</f>
        <v>-82.999999999995296</v>
      </c>
      <c r="BN289" s="343">
        <f>SUMIFS($AU$134:AU290,$AQ$134:AQ290,"H")</f>
        <v>300.80000000001502</v>
      </c>
      <c r="BO289" s="343">
        <f>SUMIFS($AU$134:AU290,$AQ$134:AQ290,"D")</f>
        <v>1373.5499999999997</v>
      </c>
      <c r="BP289" s="343">
        <f>SUMIFS($AU$134:AU292,$AQ$134:AQ292,"W")</f>
        <v>252.10000000000008</v>
      </c>
      <c r="BQ289" s="343">
        <f>SUMIFS($AU$134:AU290,$Q$134:Q290,"O")</f>
        <v>4.4399999999516524</v>
      </c>
      <c r="BR289" s="343">
        <f>SUMIFS($AU$134:AU290,$AA$134:AA290,"*")</f>
        <v>2739.8499999999813</v>
      </c>
      <c r="BS289" s="343">
        <f>SUMIFS($AU$134:AU290,$AB$134:AB290,"*")</f>
        <v>485.03999999995608</v>
      </c>
      <c r="BT289" s="343">
        <f>SUMIFS($AU$134:AU290,$AC$134:AC290,"*")</f>
        <v>1365.7499999999993</v>
      </c>
      <c r="BU289" s="343">
        <f>SUMIFS($AU$134:AU290,$AA$134:AA290,"*",$AB$134:AB290,"*")</f>
        <v>535.49999999998488</v>
      </c>
      <c r="BV289" s="343">
        <f>SUMIFS($AU$134:AU290,$AA$134:AA290,"*",$AC$134:AC290,"*")</f>
        <v>1681.1499999999994</v>
      </c>
      <c r="BW289" s="343">
        <f>SUMIFS($AU$134:AU290,$AB$134:AB290,"*",$AC$134:AC290,"*")</f>
        <v>598.1</v>
      </c>
      <c r="BX289" s="343">
        <f>SUMIFS($AU290:AU$1388,$Q290:Q$1388,"F")</f>
        <v>14407.466666666669</v>
      </c>
      <c r="BY289" s="343">
        <f>SUMIFS($AU290:AU$1388,$Q290:Q$1388,"S")</f>
        <v>18432.492000000002</v>
      </c>
      <c r="BZ289" s="343">
        <f>SUMIFS($AU290:AU$1388,$Q290:Q$1388,"O")</f>
        <v>-1653.2979999997497</v>
      </c>
    </row>
    <row r="290" spans="1:78" ht="18" customHeight="1">
      <c r="A290" s="177" t="s">
        <v>1148</v>
      </c>
      <c r="B290" s="177">
        <v>44977</v>
      </c>
      <c r="C290" s="178" t="s">
        <v>1424</v>
      </c>
      <c r="D290" s="178" t="s">
        <v>132</v>
      </c>
      <c r="E290" s="289"/>
      <c r="F290" s="296"/>
      <c r="G290" s="299" t="s">
        <v>280</v>
      </c>
      <c r="H290" s="182"/>
      <c r="I290" s="182"/>
      <c r="J290" s="182"/>
      <c r="K290" s="183"/>
      <c r="L290" s="182">
        <v>1</v>
      </c>
      <c r="M290" s="182"/>
      <c r="N290" s="182"/>
      <c r="O290" s="183" t="s">
        <v>95</v>
      </c>
      <c r="P290" s="183" t="s">
        <v>137</v>
      </c>
      <c r="Q290" s="183" t="s">
        <v>97</v>
      </c>
      <c r="R290" s="183">
        <v>5</v>
      </c>
      <c r="S290" s="183">
        <v>5</v>
      </c>
      <c r="T290" s="183">
        <v>5</v>
      </c>
      <c r="U290" s="183" t="s">
        <v>97</v>
      </c>
      <c r="V290" s="183"/>
      <c r="W290" s="183"/>
      <c r="X290" s="183"/>
      <c r="Y290" s="184">
        <f t="shared" si="115"/>
        <v>0.01</v>
      </c>
      <c r="Z290" s="184">
        <f>IF(ISBLANK(O290),"",IF(O290=UPPER("IB"),8.63*200,16.4*100))</f>
        <v>1639.9999999999998</v>
      </c>
      <c r="AA290" s="185" t="s">
        <v>1425</v>
      </c>
      <c r="AB290" s="185"/>
      <c r="AC290" s="185" t="s">
        <v>1426</v>
      </c>
      <c r="AD290" s="649">
        <v>-0.13</v>
      </c>
      <c r="AE290" s="182"/>
      <c r="AF290" s="332"/>
      <c r="AG290" s="182"/>
      <c r="AH290" s="182"/>
      <c r="AI290" s="182"/>
      <c r="AJ290" s="640"/>
      <c r="AK290" s="182"/>
      <c r="AL290" s="496">
        <f>-0.03*Z290</f>
        <v>-49.199999999999989</v>
      </c>
      <c r="AM290" s="496">
        <f>AL290*R290</f>
        <v>-245.99999999999994</v>
      </c>
      <c r="AN290" s="626"/>
      <c r="AO290" s="182"/>
      <c r="AP290" s="182" t="s">
        <v>864</v>
      </c>
      <c r="AQ290" s="332" t="str">
        <f>UPPER(RIGHT(Journal_Live[[#This Row],[DURATION ]]))</f>
        <v>D</v>
      </c>
      <c r="AR290" s="182" t="s">
        <v>1427</v>
      </c>
      <c r="AS290" s="189">
        <v>-0.14000000000000001</v>
      </c>
      <c r="AT290" s="189">
        <f t="shared" si="122"/>
        <v>1.0000000000000009E-2</v>
      </c>
      <c r="AU290" s="187">
        <f t="shared" si="123"/>
        <v>82.000000000000057</v>
      </c>
      <c r="AV290" s="190">
        <f t="shared" si="124"/>
        <v>16.400000000000013</v>
      </c>
      <c r="AW290" s="191" t="s">
        <v>96</v>
      </c>
      <c r="AX290" s="407" t="s">
        <v>1428</v>
      </c>
      <c r="AY290" s="407" t="s">
        <v>1429</v>
      </c>
      <c r="AZ290" s="407" t="s">
        <v>1430</v>
      </c>
      <c r="BA290" s="407"/>
      <c r="BB290" s="407"/>
      <c r="BC290" s="407"/>
      <c r="BD290" s="407"/>
      <c r="BE290" s="407"/>
      <c r="BF290" s="422"/>
      <c r="BG290" s="391">
        <f>SUM($AV$4:AV290)</f>
        <v>2542.1849999999872</v>
      </c>
      <c r="BH290" s="392">
        <f>SUM($AU$134:AU290)</f>
        <v>2557.989999999952</v>
      </c>
      <c r="BI290" s="318">
        <f>SUMIFS($AU$134:AU291,$Q$134:Q291,"F")</f>
        <v>33.199999999999989</v>
      </c>
      <c r="BJ290" s="318">
        <f>SUMIFS($AU$134:AU291,$Q$134:Q291,"S")</f>
        <v>2403.65</v>
      </c>
      <c r="BK290" s="343">
        <f>SUMIFS($AU$134:AU291,$P$134:P291,"W")</f>
        <v>2039.3899999999719</v>
      </c>
      <c r="BL290" s="343">
        <f>SUMIFS($AU$134:AU291,$P$134:P291,"R")</f>
        <v>601.09999999997922</v>
      </c>
      <c r="BM290" s="343">
        <f>SUMIFS($AU$134:AU291,$AQ$134:AQ291,"M")</f>
        <v>-82.999999999995296</v>
      </c>
      <c r="BN290" s="343">
        <f>SUMIFS($AU$134:AU291,$AQ$134:AQ291,"H")</f>
        <v>383.30000000001502</v>
      </c>
      <c r="BO290" s="343">
        <f>SUMIFS($AU$134:AU291,$AQ$134:AQ291,"D")</f>
        <v>1373.5499999999997</v>
      </c>
      <c r="BP290" s="343">
        <f>SUMIFS($AU$134:AU293,$AQ$134:AQ293,"W")</f>
        <v>252.10000000000008</v>
      </c>
      <c r="BQ290" s="343">
        <f>SUMIFS($AU$134:AU291,$Q$134:Q291,"O")</f>
        <v>4.4399999999516524</v>
      </c>
      <c r="BR290" s="343">
        <f>SUMIFS($AU$134:AU291,$AA$134:AA291,"*")</f>
        <v>2822.3499999999813</v>
      </c>
      <c r="BS290" s="343">
        <f>SUMIFS($AU$134:AU291,$AB$134:AB291,"*")</f>
        <v>485.03999999995608</v>
      </c>
      <c r="BT290" s="343">
        <f>SUMIFS($AU$134:AU291,$AC$134:AC291,"*")</f>
        <v>1365.7499999999993</v>
      </c>
      <c r="BU290" s="343">
        <f>SUMIFS($AU$134:AU291,$AA$134:AA291,"*",$AB$134:AB291,"*")</f>
        <v>535.49999999998488</v>
      </c>
      <c r="BV290" s="343">
        <f>SUMIFS($AU$134:AU291,$AA$134:AA291,"*",$AC$134:AC291,"*")</f>
        <v>1681.1499999999994</v>
      </c>
      <c r="BW290" s="343">
        <f>SUMIFS($AU$134:AU291,$AB$134:AB291,"*",$AC$134:AC291,"*")</f>
        <v>598.1</v>
      </c>
      <c r="BX290" s="343">
        <f>SUMIFS($AU291:AU$1388,$Q291:Q$1388,"F")</f>
        <v>14407.466666666669</v>
      </c>
      <c r="BY290" s="343">
        <f>SUMIFS($AU291:AU$1388,$Q291:Q$1388,"S")</f>
        <v>18350.492000000002</v>
      </c>
      <c r="BZ290" s="343">
        <f>SUMIFS($AU291:AU$1388,$Q291:Q$1388,"O")</f>
        <v>-1653.2979999997497</v>
      </c>
    </row>
    <row r="291" spans="1:78" ht="18" customHeight="1">
      <c r="A291" s="177" t="s">
        <v>1148</v>
      </c>
      <c r="B291" s="177">
        <v>44978</v>
      </c>
      <c r="C291" s="178" t="s">
        <v>1431</v>
      </c>
      <c r="D291" s="178" t="s">
        <v>146</v>
      </c>
      <c r="E291" s="289"/>
      <c r="F291" s="296"/>
      <c r="G291" s="281" t="s">
        <v>133</v>
      </c>
      <c r="H291" s="182"/>
      <c r="I291" s="182"/>
      <c r="J291" s="182"/>
      <c r="K291" s="183"/>
      <c r="L291" s="182">
        <v>1</v>
      </c>
      <c r="M291" s="182"/>
      <c r="N291" s="182"/>
      <c r="O291" s="183" t="s">
        <v>95</v>
      </c>
      <c r="P291" s="183" t="s">
        <v>96</v>
      </c>
      <c r="Q291" s="183" t="s">
        <v>97</v>
      </c>
      <c r="R291" s="183">
        <v>5</v>
      </c>
      <c r="S291" s="183">
        <v>5</v>
      </c>
      <c r="T291" s="183">
        <v>5</v>
      </c>
      <c r="U291" s="183" t="s">
        <v>97</v>
      </c>
      <c r="V291" s="183"/>
      <c r="W291" s="183"/>
      <c r="X291" s="183"/>
      <c r="Y291" s="184">
        <f t="shared" si="115"/>
        <v>0.01</v>
      </c>
      <c r="Z291" s="184">
        <f>IF(ISBLANK(O291),"",IF(O291=UPPER("IB"),8.63*200,16.5*100))</f>
        <v>1650</v>
      </c>
      <c r="AA291" s="185" t="s">
        <v>1432</v>
      </c>
      <c r="AB291" s="185"/>
      <c r="AC291" s="185"/>
      <c r="AD291" s="649">
        <v>0.02</v>
      </c>
      <c r="AE291" s="182"/>
      <c r="AF291" s="332"/>
      <c r="AG291" s="182"/>
      <c r="AH291" s="182"/>
      <c r="AI291" s="182"/>
      <c r="AJ291" s="640"/>
      <c r="AK291" s="182"/>
      <c r="AL291" s="496">
        <f>-0.03*Z291</f>
        <v>-49.5</v>
      </c>
      <c r="AM291" s="496">
        <f>AL291*R291</f>
        <v>-247.5</v>
      </c>
      <c r="AN291" s="626"/>
      <c r="AO291" s="182"/>
      <c r="AP291" s="182" t="s">
        <v>1433</v>
      </c>
      <c r="AQ291" s="332" t="str">
        <f>UPPER(RIGHT(Journal_Live[[#This Row],[DURATION ]]))</f>
        <v>H</v>
      </c>
      <c r="AR291" s="182" t="s">
        <v>1434</v>
      </c>
      <c r="AS291" s="189">
        <v>0.01</v>
      </c>
      <c r="AT291" s="189">
        <f t="shared" si="122"/>
        <v>0.01</v>
      </c>
      <c r="AU291" s="187">
        <f t="shared" si="123"/>
        <v>82.5</v>
      </c>
      <c r="AV291" s="190">
        <f t="shared" si="124"/>
        <v>16.5</v>
      </c>
      <c r="AW291" s="191" t="s">
        <v>96</v>
      </c>
      <c r="AX291" s="407" t="s">
        <v>1435</v>
      </c>
      <c r="AY291" s="407"/>
      <c r="AZ291" s="407"/>
      <c r="BA291" s="407"/>
      <c r="BB291" s="407"/>
      <c r="BC291" s="407"/>
      <c r="BD291" s="407" t="s">
        <v>1436</v>
      </c>
      <c r="BE291" s="407"/>
      <c r="BF291" s="422"/>
      <c r="BG291" s="391">
        <f>SUM($AV$4:AV291)</f>
        <v>2558.6849999999872</v>
      </c>
      <c r="BH291" s="392">
        <f>SUM($AU$134:AU291)</f>
        <v>2640.489999999952</v>
      </c>
      <c r="BI291" s="318">
        <f>SUMIFS($AU$134:AU292,$Q$134:Q292,"F")</f>
        <v>33.199999999999989</v>
      </c>
      <c r="BJ291" s="318">
        <f>SUMIFS($AU$134:AU292,$Q$134:Q292,"S")</f>
        <v>2403.65</v>
      </c>
      <c r="BK291" s="343">
        <f>SUMIFS($AU$134:AU292,$P$134:P292,"W")</f>
        <v>2039.3899999999719</v>
      </c>
      <c r="BL291" s="343">
        <f>SUMIFS($AU$134:AU292,$P$134:P292,"R")</f>
        <v>601.09999999997922</v>
      </c>
      <c r="BM291" s="343">
        <f>SUMIFS($AU$134:AU292,$AQ$134:AQ292,"M")</f>
        <v>-82.999999999995296</v>
      </c>
      <c r="BN291" s="343">
        <f>SUMIFS($AU$134:AU292,$AQ$134:AQ292,"H")</f>
        <v>383.30000000001502</v>
      </c>
      <c r="BO291" s="343">
        <f>SUMIFS($AU$134:AU292,$AQ$134:AQ292,"D")</f>
        <v>1373.5499999999997</v>
      </c>
      <c r="BP291" s="343">
        <f>SUMIFS($AU$134:AU294,$AQ$134:AQ294,"W")</f>
        <v>252.10000000000008</v>
      </c>
      <c r="BQ291" s="343">
        <f>SUMIFS($AU$134:AU292,$Q$134:Q292,"O")</f>
        <v>4.4399999999516524</v>
      </c>
      <c r="BR291" s="343">
        <f>SUMIFS($AU$134:AU292,$AA$134:AA292,"*")</f>
        <v>2822.3499999999813</v>
      </c>
      <c r="BS291" s="343">
        <f>SUMIFS($AU$134:AU292,$AB$134:AB292,"*")</f>
        <v>485.03999999995608</v>
      </c>
      <c r="BT291" s="343">
        <f>SUMIFS($AU$134:AU292,$AC$134:AC292,"*")</f>
        <v>1365.7499999999993</v>
      </c>
      <c r="BU291" s="343">
        <f>SUMIFS($AU$134:AU292,$AA$134:AA292,"*",$AB$134:AB292,"*")</f>
        <v>535.49999999998488</v>
      </c>
      <c r="BV291" s="343">
        <f>SUMIFS($AU$134:AU292,$AA$134:AA292,"*",$AC$134:AC292,"*")</f>
        <v>1681.1499999999994</v>
      </c>
      <c r="BW291" s="343">
        <f>SUMIFS($AU$134:AU292,$AB$134:AB292,"*",$AC$134:AC292,"*")</f>
        <v>598.1</v>
      </c>
      <c r="BX291" s="343">
        <f>SUMIFS($AU292:AU$1388,$Q292:Q$1388,"F")</f>
        <v>14407.466666666669</v>
      </c>
      <c r="BY291" s="343">
        <f>SUMIFS($AU292:AU$1388,$Q292:Q$1388,"S")</f>
        <v>18267.992000000002</v>
      </c>
      <c r="BZ291" s="343">
        <f>SUMIFS($AU292:AU$1388,$Q292:Q$1388,"O")</f>
        <v>-1653.2979999997497</v>
      </c>
    </row>
    <row r="292" spans="1:78" ht="18" customHeight="1">
      <c r="A292" s="221" t="s">
        <v>1148</v>
      </c>
      <c r="B292" s="177">
        <v>44978</v>
      </c>
      <c r="C292" s="178" t="s">
        <v>1437</v>
      </c>
      <c r="D292" s="178" t="s">
        <v>146</v>
      </c>
      <c r="E292" s="289" t="s">
        <v>1438</v>
      </c>
      <c r="F292" s="296" t="s">
        <v>1439</v>
      </c>
      <c r="G292" s="181"/>
      <c r="H292" s="182"/>
      <c r="I292" s="182"/>
      <c r="J292" s="182"/>
      <c r="K292" s="183"/>
      <c r="L292" s="182"/>
      <c r="M292" s="182"/>
      <c r="N292" s="182"/>
      <c r="O292" s="183"/>
      <c r="P292" s="183"/>
      <c r="Q292" s="183"/>
      <c r="R292" s="183"/>
      <c r="S292" s="183"/>
      <c r="T292" s="183"/>
      <c r="U292" s="183"/>
      <c r="V292" s="183"/>
      <c r="W292" s="183"/>
      <c r="X292" s="183"/>
      <c r="Y292" s="184" t="str">
        <f t="shared" si="115"/>
        <v/>
      </c>
      <c r="Z292" s="184" t="str">
        <f>IF(ISBLANK(O292),"",IF(O292=UPPER("IB"),8.63*200,16.5*100))</f>
        <v/>
      </c>
      <c r="AA292" s="185"/>
      <c r="AB292" s="185"/>
      <c r="AC292" s="185"/>
      <c r="AD292" s="649"/>
      <c r="AE292" s="182"/>
      <c r="AF292" s="332"/>
      <c r="AG292" s="182"/>
      <c r="AH292" s="182"/>
      <c r="AI292" s="182"/>
      <c r="AJ292" s="640"/>
      <c r="AK292" s="182"/>
      <c r="AL292" s="496"/>
      <c r="AM292" s="496"/>
      <c r="AN292" s="626"/>
      <c r="AO292" s="182"/>
      <c r="AP292" s="182"/>
      <c r="AQ292" s="332" t="str">
        <f>UPPER(RIGHT(Journal_Live[[#This Row],[DURATION ]]))</f>
        <v/>
      </c>
      <c r="AR292" s="182"/>
      <c r="AS292" s="189"/>
      <c r="AT292" s="189"/>
      <c r="AU292" s="187"/>
      <c r="AV292" s="190"/>
      <c r="AW292" s="191"/>
      <c r="AX292" s="407" t="s">
        <v>1440</v>
      </c>
      <c r="AY292" s="407" t="s">
        <v>1441</v>
      </c>
      <c r="AZ292" s="407" t="s">
        <v>1442</v>
      </c>
      <c r="BA292" s="407" t="s">
        <v>1443</v>
      </c>
      <c r="BB292" s="407" t="s">
        <v>529</v>
      </c>
      <c r="BC292" s="407"/>
      <c r="BD292" s="407"/>
      <c r="BE292" s="407"/>
      <c r="BF292" s="422"/>
      <c r="BG292" s="391">
        <f>SUM($AV$4:AV292)</f>
        <v>2558.6849999999872</v>
      </c>
      <c r="BH292" s="392">
        <f>SUM($AU$134:AU292)</f>
        <v>2640.489999999952</v>
      </c>
      <c r="BI292" s="318">
        <f>SUMIFS($AU$134:AU293,$Q$134:Q293,"F")</f>
        <v>33.199999999999989</v>
      </c>
      <c r="BJ292" s="318">
        <f>SUMIFS($AU$134:AU293,$Q$134:Q293,"S")</f>
        <v>2469.25</v>
      </c>
      <c r="BK292" s="343">
        <f>SUMIFS($AU$134:AU293,$P$134:P293,"W")</f>
        <v>2104.989999999972</v>
      </c>
      <c r="BL292" s="343">
        <f>SUMIFS($AU$134:AU293,$P$134:P293,"R")</f>
        <v>601.09999999997922</v>
      </c>
      <c r="BM292" s="343">
        <f>SUMIFS($AU$134:AU293,$AQ$134:AQ293,"M")</f>
        <v>-82.999999999995296</v>
      </c>
      <c r="BN292" s="343">
        <f>SUMIFS($AU$134:AU293,$AQ$134:AQ293,"H")</f>
        <v>383.30000000001502</v>
      </c>
      <c r="BO292" s="343">
        <f>SUMIFS($AU$134:AU293,$AQ$134:AQ293,"D")</f>
        <v>1373.5499999999997</v>
      </c>
      <c r="BP292" s="343">
        <f>SUMIFS($AU$134:AU295,$AQ$134:AQ295,"W")</f>
        <v>252.10000000000008</v>
      </c>
      <c r="BQ292" s="343">
        <f>SUMIFS($AU$134:AU293,$Q$134:Q293,"O")</f>
        <v>4.4399999999516524</v>
      </c>
      <c r="BR292" s="343">
        <f>SUMIFS($AU$134:AU293,$AA$134:AA293,"*")</f>
        <v>2887.9499999999812</v>
      </c>
      <c r="BS292" s="343">
        <f>SUMIFS($AU$134:AU293,$AB$134:AB293,"*")</f>
        <v>485.03999999995608</v>
      </c>
      <c r="BT292" s="343">
        <f>SUMIFS($AU$134:AU293,$AC$134:AC293,"*")</f>
        <v>1431.3499999999992</v>
      </c>
      <c r="BU292" s="343">
        <f>SUMIFS($AU$134:AU293,$AA$134:AA293,"*",$AB$134:AB293,"*")</f>
        <v>535.49999999998488</v>
      </c>
      <c r="BV292" s="343">
        <f>SUMIFS($AU$134:AU293,$AA$134:AA293,"*",$AC$134:AC293,"*")</f>
        <v>1746.7499999999993</v>
      </c>
      <c r="BW292" s="343">
        <f>SUMIFS($AU$134:AU293,$AB$134:AB293,"*",$AC$134:AC293,"*")</f>
        <v>598.1</v>
      </c>
      <c r="BX292" s="343">
        <f>SUMIFS($AU293:AU$1388,$Q293:Q$1388,"F")</f>
        <v>14407.466666666669</v>
      </c>
      <c r="BY292" s="343">
        <f>SUMIFS($AU293:AU$1388,$Q293:Q$1388,"S")</f>
        <v>18267.992000000002</v>
      </c>
      <c r="BZ292" s="343">
        <f>SUMIFS($AU293:AU$1388,$Q293:Q$1388,"O")</f>
        <v>-1653.2979999997497</v>
      </c>
    </row>
    <row r="293" spans="1:78" ht="18" customHeight="1">
      <c r="A293" s="177" t="s">
        <v>1148</v>
      </c>
      <c r="B293" s="177">
        <v>44979</v>
      </c>
      <c r="C293" s="178" t="s">
        <v>1444</v>
      </c>
      <c r="D293" s="178" t="s">
        <v>151</v>
      </c>
      <c r="E293" s="289"/>
      <c r="F293" s="296"/>
      <c r="G293" s="281" t="s">
        <v>133</v>
      </c>
      <c r="H293" s="182"/>
      <c r="I293" s="182"/>
      <c r="J293" s="182"/>
      <c r="K293" s="183"/>
      <c r="L293" s="182">
        <v>1</v>
      </c>
      <c r="M293" s="182"/>
      <c r="N293" s="182"/>
      <c r="O293" s="183" t="s">
        <v>95</v>
      </c>
      <c r="P293" s="183" t="s">
        <v>96</v>
      </c>
      <c r="Q293" s="183" t="s">
        <v>97</v>
      </c>
      <c r="R293" s="183">
        <v>4</v>
      </c>
      <c r="S293" s="183">
        <v>4</v>
      </c>
      <c r="T293" s="183">
        <v>4</v>
      </c>
      <c r="U293" s="183" t="s">
        <v>97</v>
      </c>
      <c r="V293" s="183"/>
      <c r="W293" s="183"/>
      <c r="X293" s="183"/>
      <c r="Y293" s="184">
        <f t="shared" si="115"/>
        <v>0.01</v>
      </c>
      <c r="Z293" s="184">
        <f>IF(ISBLANK(O293),"",IF(O293=UPPER("IB"),8.63*200,16.4*100))</f>
        <v>1639.9999999999998</v>
      </c>
      <c r="AA293" s="185" t="s">
        <v>1445</v>
      </c>
      <c r="AB293" s="185"/>
      <c r="AC293" s="185" t="s">
        <v>99</v>
      </c>
      <c r="AD293" s="649">
        <v>0.03</v>
      </c>
      <c r="AE293" s="182"/>
      <c r="AF293" s="332">
        <v>6</v>
      </c>
      <c r="AG293" s="182"/>
      <c r="AH293" s="182" t="s">
        <v>1446</v>
      </c>
      <c r="AI293" s="182" t="s">
        <v>1447</v>
      </c>
      <c r="AJ293" s="640" t="s">
        <v>1448</v>
      </c>
      <c r="AK293" s="182" t="s">
        <v>529</v>
      </c>
      <c r="AL293" s="496">
        <f>-0.03*Z293</f>
        <v>-49.199999999999989</v>
      </c>
      <c r="AM293" s="496">
        <f>AL293*R293</f>
        <v>-196.79999999999995</v>
      </c>
      <c r="AN293" s="626"/>
      <c r="AO293" s="182"/>
      <c r="AP293" s="182" t="s">
        <v>394</v>
      </c>
      <c r="AQ293" s="332" t="str">
        <f>UPPER(RIGHT(Journal_Live[[#This Row],[DURATION ]]))</f>
        <v>S</v>
      </c>
      <c r="AR293" s="182" t="s">
        <v>682</v>
      </c>
      <c r="AS293" s="189">
        <v>0.02</v>
      </c>
      <c r="AT293" s="189">
        <f>IF(ISBLANK(AS293),,IF(U293="S",AD293-AS293,AS293-AD293))</f>
        <v>9.9999999999999985E-3</v>
      </c>
      <c r="AU293" s="187">
        <f>AV293*R293</f>
        <v>65.59999999999998</v>
      </c>
      <c r="AV293" s="190">
        <f>IF(ISBLANK(AS293),,(AT293*Z293))</f>
        <v>16.399999999999995</v>
      </c>
      <c r="AW293" s="191" t="s">
        <v>96</v>
      </c>
      <c r="AX293" s="407" t="s">
        <v>1449</v>
      </c>
      <c r="AY293" s="407"/>
      <c r="AZ293" s="407"/>
      <c r="BA293" s="407"/>
      <c r="BB293" s="407"/>
      <c r="BC293" s="407"/>
      <c r="BD293" s="407"/>
      <c r="BE293" s="407"/>
      <c r="BF293" s="422"/>
      <c r="BG293" s="391">
        <f>SUM($AV$4:AV293)</f>
        <v>2575.0849999999873</v>
      </c>
      <c r="BH293" s="392">
        <f>SUM($AU$134:AU293)</f>
        <v>2706.0899999999519</v>
      </c>
      <c r="BI293" s="318">
        <f>SUMIFS($AU$134:AU294,$Q$134:Q294,"F")</f>
        <v>33.199999999999989</v>
      </c>
      <c r="BJ293" s="318">
        <f>SUMIFS($AU$134:AU294,$Q$134:Q294,"S")</f>
        <v>2469.25</v>
      </c>
      <c r="BK293" s="343">
        <f>SUMIFS($AU$134:AU294,$P$134:P294,"W")</f>
        <v>2104.989999999972</v>
      </c>
      <c r="BL293" s="343">
        <f>SUMIFS($AU$134:AU294,$P$134:P294,"R")</f>
        <v>601.09999999997922</v>
      </c>
      <c r="BM293" s="343">
        <f>SUMIFS($AU$134:AU294,$AQ$134:AQ294,"M")</f>
        <v>-82.999999999995296</v>
      </c>
      <c r="BN293" s="343">
        <f>SUMIFS($AU$134:AU294,$AQ$134:AQ294,"H")</f>
        <v>383.30000000001502</v>
      </c>
      <c r="BO293" s="343">
        <f>SUMIFS($AU$134:AU294,$AQ$134:AQ294,"D")</f>
        <v>1373.5499999999997</v>
      </c>
      <c r="BP293" s="343">
        <f>SUMIFS($AU$134:AU296,$AQ$134:AQ296,"W")</f>
        <v>252.10000000000008</v>
      </c>
      <c r="BQ293" s="343">
        <f>SUMIFS($AU$134:AU294,$Q$134:Q294,"O")</f>
        <v>4.4399999999516524</v>
      </c>
      <c r="BR293" s="343">
        <f>SUMIFS($AU$134:AU294,$AA$134:AA294,"*")</f>
        <v>2887.9499999999812</v>
      </c>
      <c r="BS293" s="343">
        <f>SUMIFS($AU$134:AU294,$AB$134:AB294,"*")</f>
        <v>485.03999999995608</v>
      </c>
      <c r="BT293" s="343">
        <f>SUMIFS($AU$134:AU294,$AC$134:AC294,"*")</f>
        <v>1431.3499999999992</v>
      </c>
      <c r="BU293" s="343">
        <f>SUMIFS($AU$134:AU294,$AA$134:AA294,"*",$AB$134:AB294,"*")</f>
        <v>535.49999999998488</v>
      </c>
      <c r="BV293" s="343">
        <f>SUMIFS($AU$134:AU294,$AA$134:AA294,"*",$AC$134:AC294,"*")</f>
        <v>1746.7499999999993</v>
      </c>
      <c r="BW293" s="343">
        <f>SUMIFS($AU$134:AU294,$AB$134:AB294,"*",$AC$134:AC294,"*")</f>
        <v>598.1</v>
      </c>
      <c r="BX293" s="343">
        <f>SUMIFS($AU294:AU$1388,$Q294:Q$1388,"F")</f>
        <v>14407.466666666669</v>
      </c>
      <c r="BY293" s="343">
        <f>SUMIFS($AU294:AU$1388,$Q294:Q$1388,"S")</f>
        <v>18202.392000000003</v>
      </c>
      <c r="BZ293" s="343">
        <f>SUMIFS($AU294:AU$1388,$Q294:Q$1388,"O")</f>
        <v>-1653.2979999997497</v>
      </c>
    </row>
    <row r="294" spans="1:78" ht="18" customHeight="1">
      <c r="A294" s="177" t="s">
        <v>1148</v>
      </c>
      <c r="B294" s="177">
        <v>44979</v>
      </c>
      <c r="C294" s="178" t="s">
        <v>1437</v>
      </c>
      <c r="D294" s="178" t="s">
        <v>151</v>
      </c>
      <c r="E294" s="289" t="s">
        <v>1450</v>
      </c>
      <c r="F294" s="296" t="s">
        <v>1451</v>
      </c>
      <c r="G294" s="181"/>
      <c r="H294" s="182"/>
      <c r="I294" s="182"/>
      <c r="J294" s="182"/>
      <c r="K294" s="183" t="s">
        <v>115</v>
      </c>
      <c r="L294" s="182"/>
      <c r="M294" s="182"/>
      <c r="N294" s="182"/>
      <c r="O294" s="183"/>
      <c r="P294" s="183"/>
      <c r="Q294" s="183"/>
      <c r="R294" s="183"/>
      <c r="S294" s="183"/>
      <c r="T294" s="183"/>
      <c r="U294" s="183"/>
      <c r="V294" s="183"/>
      <c r="W294" s="183"/>
      <c r="X294" s="183"/>
      <c r="Y294" s="184" t="str">
        <f t="shared" si="115"/>
        <v/>
      </c>
      <c r="Z294" s="184" t="str">
        <f>IF(ISBLANK(O294),"",IF(O294=UPPER("IB"),8.63*200,16.5*100))</f>
        <v/>
      </c>
      <c r="AA294" s="185"/>
      <c r="AB294" s="185"/>
      <c r="AC294" s="185"/>
      <c r="AD294" s="649"/>
      <c r="AE294" s="182"/>
      <c r="AF294" s="332"/>
      <c r="AG294" s="182"/>
      <c r="AH294" s="182"/>
      <c r="AI294" s="182"/>
      <c r="AJ294" s="640"/>
      <c r="AK294" s="182"/>
      <c r="AL294" s="496"/>
      <c r="AM294" s="496"/>
      <c r="AN294" s="626"/>
      <c r="AO294" s="182"/>
      <c r="AP294" s="182"/>
      <c r="AQ294" s="332" t="str">
        <f>UPPER(RIGHT(Journal_Live[[#This Row],[DURATION ]]))</f>
        <v/>
      </c>
      <c r="AR294" s="182"/>
      <c r="AS294" s="189"/>
      <c r="AT294" s="189"/>
      <c r="AU294" s="187"/>
      <c r="AV294" s="190"/>
      <c r="AW294" s="191"/>
      <c r="AX294" s="407" t="s">
        <v>1452</v>
      </c>
      <c r="AY294" s="407" t="s">
        <v>1453</v>
      </c>
      <c r="AZ294" s="407"/>
      <c r="BA294" s="407"/>
      <c r="BB294" s="407"/>
      <c r="BC294" s="407"/>
      <c r="BD294" s="407"/>
      <c r="BE294" s="407"/>
      <c r="BF294" s="422"/>
      <c r="BG294" s="391">
        <f>SUM($AV$4:AV294)</f>
        <v>2575.0849999999873</v>
      </c>
      <c r="BH294" s="392">
        <f>SUM($AU$134:AU294)</f>
        <v>2706.0899999999519</v>
      </c>
      <c r="BI294" s="318">
        <f>SUMIFS($AU$134:AU295,$Q$134:Q295,"F")</f>
        <v>33.199999999999989</v>
      </c>
      <c r="BJ294" s="318">
        <f>SUMIFS($AU$134:AU295,$Q$134:Q295,"S")</f>
        <v>2469.25</v>
      </c>
      <c r="BK294" s="343">
        <f>SUMIFS($AU$134:AU295,$P$134:P295,"W")</f>
        <v>2104.989999999972</v>
      </c>
      <c r="BL294" s="343">
        <f>SUMIFS($AU$134:AU295,$P$134:P295,"R")</f>
        <v>601.09999999997922</v>
      </c>
      <c r="BM294" s="343">
        <f>SUMIFS($AU$134:AU295,$AQ$134:AQ295,"M")</f>
        <v>-82.999999999995296</v>
      </c>
      <c r="BN294" s="343">
        <f>SUMIFS($AU$134:AU295,$AQ$134:AQ295,"H")</f>
        <v>383.30000000001502</v>
      </c>
      <c r="BO294" s="343">
        <f>SUMIFS($AU$134:AU295,$AQ$134:AQ295,"D")</f>
        <v>1373.5499999999997</v>
      </c>
      <c r="BP294" s="343">
        <f>SUMIFS($AU$134:AU297,$AQ$134:AQ297,"W")</f>
        <v>252.10000000000008</v>
      </c>
      <c r="BQ294" s="343">
        <f>SUMIFS($AU$134:AU295,$Q$134:Q295,"O")</f>
        <v>4.4399999999516524</v>
      </c>
      <c r="BR294" s="343">
        <f>SUMIFS($AU$134:AU295,$AA$134:AA295,"*")</f>
        <v>2887.9499999999812</v>
      </c>
      <c r="BS294" s="343">
        <f>SUMIFS($AU$134:AU295,$AB$134:AB295,"*")</f>
        <v>485.03999999995608</v>
      </c>
      <c r="BT294" s="343">
        <f>SUMIFS($AU$134:AU295,$AC$134:AC295,"*")</f>
        <v>1431.3499999999992</v>
      </c>
      <c r="BU294" s="343">
        <f>SUMIFS($AU$134:AU295,$AA$134:AA295,"*",$AB$134:AB295,"*")</f>
        <v>535.49999999998488</v>
      </c>
      <c r="BV294" s="343">
        <f>SUMIFS($AU$134:AU295,$AA$134:AA295,"*",$AC$134:AC295,"*")</f>
        <v>1746.7499999999993</v>
      </c>
      <c r="BW294" s="343">
        <f>SUMIFS($AU$134:AU295,$AB$134:AB295,"*",$AC$134:AC295,"*")</f>
        <v>598.1</v>
      </c>
      <c r="BX294" s="343">
        <f>SUMIFS($AU295:AU$1388,$Q295:Q$1388,"F")</f>
        <v>14407.466666666669</v>
      </c>
      <c r="BY294" s="343">
        <f>SUMIFS($AU295:AU$1388,$Q295:Q$1388,"S")</f>
        <v>18202.392000000003</v>
      </c>
      <c r="BZ294" s="343">
        <f>SUMIFS($AU295:AU$1388,$Q295:Q$1388,"O")</f>
        <v>-1653.2979999997497</v>
      </c>
    </row>
    <row r="295" spans="1:78" ht="18" customHeight="1">
      <c r="A295" s="221" t="s">
        <v>1148</v>
      </c>
      <c r="B295" s="177"/>
      <c r="C295" s="178"/>
      <c r="D295" s="178"/>
      <c r="E295" s="289" t="s">
        <v>1454</v>
      </c>
      <c r="F295" s="296"/>
      <c r="G295" s="181"/>
      <c r="H295" s="182"/>
      <c r="I295" s="182"/>
      <c r="J295" s="182"/>
      <c r="K295" s="183" t="s">
        <v>115</v>
      </c>
      <c r="L295" s="182"/>
      <c r="M295" s="182"/>
      <c r="N295" s="182"/>
      <c r="O295" s="183"/>
      <c r="P295" s="183"/>
      <c r="Q295" s="183"/>
      <c r="R295" s="183"/>
      <c r="S295" s="183"/>
      <c r="T295" s="183"/>
      <c r="U295" s="183"/>
      <c r="V295" s="183"/>
      <c r="W295" s="183"/>
      <c r="X295" s="183"/>
      <c r="Y295" s="274"/>
      <c r="Z295" s="274"/>
      <c r="AA295" s="185"/>
      <c r="AB295" s="185"/>
      <c r="AC295" s="185"/>
      <c r="AD295" s="649"/>
      <c r="AE295" s="182"/>
      <c r="AF295" s="332"/>
      <c r="AG295" s="182"/>
      <c r="AH295" s="182"/>
      <c r="AI295" s="182"/>
      <c r="AJ295" s="640"/>
      <c r="AK295" s="182"/>
      <c r="AL295" s="496"/>
      <c r="AM295" s="496"/>
      <c r="AN295" s="626"/>
      <c r="AO295" s="182"/>
      <c r="AP295" s="182"/>
      <c r="AQ295" s="332" t="str">
        <f>UPPER(RIGHT(Journal_Live[[#This Row],[DURATION ]]))</f>
        <v/>
      </c>
      <c r="AR295" s="182"/>
      <c r="AS295" s="189"/>
      <c r="AT295" s="189"/>
      <c r="AU295" s="187"/>
      <c r="AV295" s="190"/>
      <c r="AW295" s="191"/>
      <c r="AX295" s="407"/>
      <c r="AY295" s="407"/>
      <c r="AZ295" s="407"/>
      <c r="BA295" s="407"/>
      <c r="BB295" s="407"/>
      <c r="BC295" s="407"/>
      <c r="BD295" s="407"/>
      <c r="BE295" s="407"/>
      <c r="BF295" s="422"/>
      <c r="BG295" s="391">
        <f>SUM($AV$4:AV295)</f>
        <v>2575.0849999999873</v>
      </c>
      <c r="BH295" s="392">
        <f>SUM($AU$134:AU295)</f>
        <v>2706.0899999999519</v>
      </c>
      <c r="BI295" s="318">
        <f>SUMIFS($AU$134:AU296,$Q$134:Q296,"F")</f>
        <v>33.199999999999989</v>
      </c>
      <c r="BJ295" s="318">
        <f>SUMIFS($AU$134:AU296,$Q$134:Q296,"S")</f>
        <v>2469.25</v>
      </c>
      <c r="BK295" s="343">
        <f>SUMIFS($AU$134:AU296,$P$134:P296,"W")</f>
        <v>2104.989999999972</v>
      </c>
      <c r="BL295" s="343">
        <f>SUMIFS($AU$134:AU296,$P$134:P296,"R")</f>
        <v>633.899999999996</v>
      </c>
      <c r="BM295" s="343">
        <f>SUMIFS($AU$134:AU296,$AQ$134:AQ296,"M")</f>
        <v>-82.999999999995296</v>
      </c>
      <c r="BN295" s="343">
        <f>SUMIFS($AU$134:AU296,$AQ$134:AQ296,"H")</f>
        <v>383.30000000001502</v>
      </c>
      <c r="BO295" s="343">
        <f>SUMIFS($AU$134:AU296,$AQ$134:AQ296,"D")</f>
        <v>1373.5499999999997</v>
      </c>
      <c r="BP295" s="343">
        <f>SUMIFS($AU$134:AU298,$AQ$134:AQ298,"W")</f>
        <v>252.10000000000008</v>
      </c>
      <c r="BQ295" s="343">
        <f>SUMIFS($AU$134:AU296,$Q$134:Q296,"O")</f>
        <v>37.239999999968425</v>
      </c>
      <c r="BR295" s="343">
        <f>SUMIFS($AU$134:AU296,$AA$134:AA296,"*")</f>
        <v>2920.7499999999977</v>
      </c>
      <c r="BS295" s="343">
        <f>SUMIFS($AU$134:AU296,$AB$134:AB296,"*")</f>
        <v>485.03999999995608</v>
      </c>
      <c r="BT295" s="343">
        <f>SUMIFS($AU$134:AU296,$AC$134:AC296,"*")</f>
        <v>1431.3499999999992</v>
      </c>
      <c r="BU295" s="343">
        <f>SUMIFS($AU$134:AU296,$AA$134:AA296,"*",$AB$134:AB296,"*")</f>
        <v>535.49999999998488</v>
      </c>
      <c r="BV295" s="343">
        <f>SUMIFS($AU$134:AU296,$AA$134:AA296,"*",$AC$134:AC296,"*")</f>
        <v>1746.7499999999993</v>
      </c>
      <c r="BW295" s="343">
        <f>SUMIFS($AU$134:AU296,$AB$134:AB296,"*",$AC$134:AC296,"*")</f>
        <v>598.1</v>
      </c>
      <c r="BX295" s="343">
        <f>SUMIFS($AU296:AU$1388,$Q296:Q$1388,"F")</f>
        <v>14407.466666666669</v>
      </c>
      <c r="BY295" s="343">
        <f>SUMIFS($AU296:AU$1388,$Q296:Q$1388,"S")</f>
        <v>18202.392000000003</v>
      </c>
      <c r="BZ295" s="343">
        <f>SUMIFS($AU296:AU$1388,$Q296:Q$1388,"O")</f>
        <v>-1653.2979999997497</v>
      </c>
    </row>
    <row r="296" spans="1:78" ht="18" customHeight="1">
      <c r="A296" s="177" t="s">
        <v>1148</v>
      </c>
      <c r="B296" s="177">
        <v>44979</v>
      </c>
      <c r="C296" s="178" t="s">
        <v>682</v>
      </c>
      <c r="D296" s="178" t="s">
        <v>151</v>
      </c>
      <c r="E296" s="289"/>
      <c r="F296" s="296"/>
      <c r="G296" s="181" t="s">
        <v>1203</v>
      </c>
      <c r="H296" s="182"/>
      <c r="I296" s="182"/>
      <c r="J296" s="182"/>
      <c r="K296" s="183"/>
      <c r="L296" s="182">
        <v>2</v>
      </c>
      <c r="M296" s="182"/>
      <c r="N296" s="182"/>
      <c r="O296" s="183" t="s">
        <v>95</v>
      </c>
      <c r="P296" s="183" t="s">
        <v>137</v>
      </c>
      <c r="Q296" s="183" t="s">
        <v>684</v>
      </c>
      <c r="R296" s="183">
        <v>1</v>
      </c>
      <c r="S296" s="183">
        <v>1</v>
      </c>
      <c r="T296" s="183">
        <v>1</v>
      </c>
      <c r="U296" s="183" t="s">
        <v>22</v>
      </c>
      <c r="V296" s="183"/>
      <c r="W296" s="183"/>
      <c r="X296" s="183"/>
      <c r="Y296" s="184">
        <f t="shared" ref="Y296:Y301" si="125">IF(ISBLANK(O296),"",(IF(O296=UPPER("IB"),0.005,0.01)))</f>
        <v>0.01</v>
      </c>
      <c r="Z296" s="184">
        <f t="shared" ref="Z296:Z301" si="126">IF(ISBLANK(O296),"",IF(O296=UPPER("IB"),8.63*200,16.4*100))</f>
        <v>1639.9999999999998</v>
      </c>
      <c r="AA296" s="185" t="s">
        <v>1096</v>
      </c>
      <c r="AB296" s="185"/>
      <c r="AC296" s="185"/>
      <c r="AD296" s="649">
        <v>95.82</v>
      </c>
      <c r="AE296" s="182"/>
      <c r="AF296" s="332"/>
      <c r="AG296" s="182"/>
      <c r="AH296" s="182"/>
      <c r="AI296" s="182"/>
      <c r="AJ296" s="640"/>
      <c r="AK296" s="182"/>
      <c r="AL296" s="496"/>
      <c r="AM296" s="496"/>
      <c r="AN296" s="626"/>
      <c r="AO296" s="182"/>
      <c r="AP296" s="182" t="s">
        <v>1455</v>
      </c>
      <c r="AQ296" s="332" t="str">
        <f>UPPER(RIGHT(Journal_Live[[#This Row],[DURATION ]]))</f>
        <v>S</v>
      </c>
      <c r="AR296" s="182" t="s">
        <v>682</v>
      </c>
      <c r="AS296" s="189">
        <v>95.84</v>
      </c>
      <c r="AT296" s="189">
        <f>IF(ISBLANK(AS296),,IF(U296="S",AD296-AS296,AS296-AD296))</f>
        <v>2.0000000000010232E-2</v>
      </c>
      <c r="AU296" s="187">
        <f>AV296*R296</f>
        <v>32.800000000016773</v>
      </c>
      <c r="AV296" s="190">
        <f>IF(ISBLANK(AS296),,(AT296*Z296))</f>
        <v>32.800000000016773</v>
      </c>
      <c r="AW296" s="191" t="s">
        <v>96</v>
      </c>
      <c r="AX296" s="407" t="s">
        <v>1456</v>
      </c>
      <c r="AY296" s="407" t="s">
        <v>1457</v>
      </c>
      <c r="AZ296" s="407" t="s">
        <v>529</v>
      </c>
      <c r="BA296" s="407"/>
      <c r="BB296" s="407"/>
      <c r="BC296" s="407"/>
      <c r="BD296" s="407"/>
      <c r="BE296" s="407"/>
      <c r="BF296" s="422"/>
      <c r="BG296" s="391">
        <f>SUM($AV$4:AV296)</f>
        <v>2607.8850000000039</v>
      </c>
      <c r="BH296" s="392">
        <f>SUM($AU$134:AU296)</f>
        <v>2738.8899999999685</v>
      </c>
      <c r="BI296" s="318">
        <f>SUMIFS($AU$134:AU297,$Q$134:Q297,"F")</f>
        <v>33.199999999999989</v>
      </c>
      <c r="BJ296" s="318">
        <f>SUMIFS($AU$134:AU297,$Q$134:Q297,"S")</f>
        <v>2469.25</v>
      </c>
      <c r="BK296" s="343">
        <f>SUMIFS($AU$134:AU297,$P$134:P297,"W")</f>
        <v>2104.989999999972</v>
      </c>
      <c r="BL296" s="343">
        <f>SUMIFS($AU$134:AU297,$P$134:P297,"R")</f>
        <v>633.899999999996</v>
      </c>
      <c r="BM296" s="343">
        <f>SUMIFS($AU$134:AU297,$AQ$134:AQ297,"M")</f>
        <v>-82.999999999995296</v>
      </c>
      <c r="BN296" s="343">
        <f>SUMIFS($AU$134:AU297,$AQ$134:AQ297,"H")</f>
        <v>383.30000000001502</v>
      </c>
      <c r="BO296" s="343">
        <f>SUMIFS($AU$134:AU297,$AQ$134:AQ297,"D")</f>
        <v>1373.5499999999997</v>
      </c>
      <c r="BP296" s="343">
        <f>SUMIFS($AU$134:AU299,$AQ$134:AQ299,"W")</f>
        <v>252.10000000000008</v>
      </c>
      <c r="BQ296" s="343">
        <f>SUMIFS($AU$134:AU297,$Q$134:Q297,"O")</f>
        <v>37.239999999968425</v>
      </c>
      <c r="BR296" s="343">
        <f>SUMIFS($AU$134:AU297,$AA$134:AA297,"*")</f>
        <v>2920.7499999999977</v>
      </c>
      <c r="BS296" s="343">
        <f>SUMIFS($AU$134:AU297,$AB$134:AB297,"*")</f>
        <v>485.03999999995608</v>
      </c>
      <c r="BT296" s="343">
        <f>SUMIFS($AU$134:AU297,$AC$134:AC297,"*")</f>
        <v>1431.3499999999992</v>
      </c>
      <c r="BU296" s="343">
        <f>SUMIFS($AU$134:AU297,$AA$134:AA297,"*",$AB$134:AB297,"*")</f>
        <v>535.49999999998488</v>
      </c>
      <c r="BV296" s="343">
        <f>SUMIFS($AU$134:AU297,$AA$134:AA297,"*",$AC$134:AC297,"*")</f>
        <v>1746.7499999999993</v>
      </c>
      <c r="BW296" s="343">
        <f>SUMIFS($AU$134:AU297,$AB$134:AB297,"*",$AC$134:AC297,"*")</f>
        <v>598.1</v>
      </c>
      <c r="BX296" s="343">
        <f>SUMIFS($AU297:AU$1388,$Q297:Q$1388,"F")</f>
        <v>14407.466666666669</v>
      </c>
      <c r="BY296" s="343">
        <f>SUMIFS($AU297:AU$1388,$Q297:Q$1388,"S")</f>
        <v>18202.392000000003</v>
      </c>
      <c r="BZ296" s="343">
        <f>SUMIFS($AU297:AU$1388,$Q297:Q$1388,"O")</f>
        <v>-1686.0979999997671</v>
      </c>
    </row>
    <row r="297" spans="1:78" ht="18" customHeight="1">
      <c r="A297" s="177" t="s">
        <v>1148</v>
      </c>
      <c r="B297" s="177">
        <v>44979</v>
      </c>
      <c r="C297" s="178" t="s">
        <v>500</v>
      </c>
      <c r="D297" s="178" t="s">
        <v>151</v>
      </c>
      <c r="E297" s="289" t="s">
        <v>1458</v>
      </c>
      <c r="F297" s="296" t="s">
        <v>1459</v>
      </c>
      <c r="G297" s="181"/>
      <c r="H297" s="182"/>
      <c r="I297" s="182"/>
      <c r="J297" s="182"/>
      <c r="K297" s="183"/>
      <c r="L297" s="182"/>
      <c r="M297" s="182"/>
      <c r="N297" s="182"/>
      <c r="O297" s="183"/>
      <c r="P297" s="183"/>
      <c r="Q297" s="183"/>
      <c r="R297" s="183"/>
      <c r="S297" s="183"/>
      <c r="T297" s="183"/>
      <c r="U297" s="183"/>
      <c r="V297" s="183"/>
      <c r="W297" s="183"/>
      <c r="X297" s="183"/>
      <c r="Y297" s="184" t="str">
        <f t="shared" si="125"/>
        <v/>
      </c>
      <c r="Z297" s="184" t="str">
        <f t="shared" si="126"/>
        <v/>
      </c>
      <c r="AA297" s="185"/>
      <c r="AB297" s="185"/>
      <c r="AC297" s="185"/>
      <c r="AD297" s="649"/>
      <c r="AE297" s="182"/>
      <c r="AF297" s="332"/>
      <c r="AG297" s="182"/>
      <c r="AH297" s="182"/>
      <c r="AI297" s="182"/>
      <c r="AJ297" s="640"/>
      <c r="AK297" s="182"/>
      <c r="AL297" s="496"/>
      <c r="AM297" s="496"/>
      <c r="AN297" s="626"/>
      <c r="AO297" s="182"/>
      <c r="AP297" s="182"/>
      <c r="AQ297" s="332" t="str">
        <f>UPPER(RIGHT(Journal_Live[[#This Row],[DURATION ]]))</f>
        <v/>
      </c>
      <c r="AR297" s="182"/>
      <c r="AS297" s="189"/>
      <c r="AT297" s="189"/>
      <c r="AU297" s="187"/>
      <c r="AV297" s="190"/>
      <c r="AW297" s="191"/>
      <c r="AX297" s="407" t="s">
        <v>1460</v>
      </c>
      <c r="AY297" s="407" t="s">
        <v>1461</v>
      </c>
      <c r="AZ297" s="407"/>
      <c r="BA297" s="407"/>
      <c r="BB297" s="407"/>
      <c r="BC297" s="407"/>
      <c r="BD297" s="407"/>
      <c r="BE297" s="407"/>
      <c r="BF297" s="422"/>
      <c r="BG297" s="391">
        <f>SUM($AV$4:AV297)</f>
        <v>2607.8850000000039</v>
      </c>
      <c r="BH297" s="392">
        <f>SUM($AU$134:AU297)</f>
        <v>2738.8899999999685</v>
      </c>
      <c r="BI297" s="318">
        <f>SUMIFS($AU$134:AU298,$Q$134:Q298,"F")</f>
        <v>33.199999999999989</v>
      </c>
      <c r="BJ297" s="318">
        <f>SUMIFS($AU$134:AU298,$Q$134:Q298,"S")</f>
        <v>2534.85</v>
      </c>
      <c r="BK297" s="343">
        <f>SUMIFS($AU$134:AU298,$P$134:P298,"W")</f>
        <v>2104.989999999972</v>
      </c>
      <c r="BL297" s="343">
        <f>SUMIFS($AU$134:AU298,$P$134:P298,"R")</f>
        <v>699.49999999999591</v>
      </c>
      <c r="BM297" s="343">
        <f>SUMIFS($AU$134:AU298,$AQ$134:AQ298,"M")</f>
        <v>-82.999999999995296</v>
      </c>
      <c r="BN297" s="343">
        <f>SUMIFS($AU$134:AU298,$AQ$134:AQ298,"H")</f>
        <v>383.30000000001502</v>
      </c>
      <c r="BO297" s="343">
        <f>SUMIFS($AU$134:AU298,$AQ$134:AQ298,"D")</f>
        <v>1373.5499999999997</v>
      </c>
      <c r="BP297" s="343">
        <f>SUMIFS($AU$134:AU300,$AQ$134:AQ300,"W")</f>
        <v>252.10000000000008</v>
      </c>
      <c r="BQ297" s="343">
        <f>SUMIFS($AU$134:AU298,$Q$134:Q298,"O")</f>
        <v>37.239999999968425</v>
      </c>
      <c r="BR297" s="343">
        <f>SUMIFS($AU$134:AU298,$AA$134:AA298,"*")</f>
        <v>2986.3499999999976</v>
      </c>
      <c r="BS297" s="343">
        <f>SUMIFS($AU$134:AU298,$AB$134:AB298,"*")</f>
        <v>485.03999999995608</v>
      </c>
      <c r="BT297" s="343">
        <f>SUMIFS($AU$134:AU298,$AC$134:AC298,"*")</f>
        <v>1431.3499999999992</v>
      </c>
      <c r="BU297" s="343">
        <f>SUMIFS($AU$134:AU298,$AA$134:AA298,"*",$AB$134:AB298,"*")</f>
        <v>535.49999999998488</v>
      </c>
      <c r="BV297" s="343">
        <f>SUMIFS($AU$134:AU298,$AA$134:AA298,"*",$AC$134:AC298,"*")</f>
        <v>1746.7499999999993</v>
      </c>
      <c r="BW297" s="343">
        <f>SUMIFS($AU$134:AU298,$AB$134:AB298,"*",$AC$134:AC298,"*")</f>
        <v>598.1</v>
      </c>
      <c r="BX297" s="343">
        <f>SUMIFS($AU298:AU$1388,$Q298:Q$1388,"F")</f>
        <v>14407.466666666669</v>
      </c>
      <c r="BY297" s="343">
        <f>SUMIFS($AU298:AU$1388,$Q298:Q$1388,"S")</f>
        <v>18202.392000000003</v>
      </c>
      <c r="BZ297" s="343">
        <f>SUMIFS($AU298:AU$1388,$Q298:Q$1388,"O")</f>
        <v>-1686.0979999997671</v>
      </c>
    </row>
    <row r="298" spans="1:78" ht="18" customHeight="1">
      <c r="A298" s="221" t="s">
        <v>1148</v>
      </c>
      <c r="B298" s="177">
        <v>44979</v>
      </c>
      <c r="C298" s="178" t="s">
        <v>728</v>
      </c>
      <c r="D298" s="178" t="s">
        <v>151</v>
      </c>
      <c r="E298" s="289"/>
      <c r="F298" s="296"/>
      <c r="G298" s="281" t="s">
        <v>271</v>
      </c>
      <c r="H298" s="182"/>
      <c r="I298" s="182"/>
      <c r="J298" s="182"/>
      <c r="K298" s="183"/>
      <c r="L298" s="182">
        <v>1</v>
      </c>
      <c r="M298" s="182"/>
      <c r="N298" s="182"/>
      <c r="O298" s="183" t="s">
        <v>95</v>
      </c>
      <c r="P298" s="183" t="s">
        <v>137</v>
      </c>
      <c r="Q298" s="183" t="s">
        <v>97</v>
      </c>
      <c r="R298" s="183">
        <v>4</v>
      </c>
      <c r="S298" s="183">
        <v>4</v>
      </c>
      <c r="T298" s="183">
        <v>4</v>
      </c>
      <c r="U298" s="183" t="s">
        <v>97</v>
      </c>
      <c r="V298" s="183"/>
      <c r="W298" s="183"/>
      <c r="X298" s="183"/>
      <c r="Y298" s="184">
        <f t="shared" si="125"/>
        <v>0.01</v>
      </c>
      <c r="Z298" s="184">
        <f t="shared" si="126"/>
        <v>1639.9999999999998</v>
      </c>
      <c r="AA298" s="185" t="s">
        <v>1462</v>
      </c>
      <c r="AB298" s="185"/>
      <c r="AC298" s="185"/>
      <c r="AD298" s="649">
        <v>-0.14000000000000001</v>
      </c>
      <c r="AE298" s="182"/>
      <c r="AF298" s="332"/>
      <c r="AG298" s="182"/>
      <c r="AH298" s="182"/>
      <c r="AI298" s="182"/>
      <c r="AJ298" s="640"/>
      <c r="AK298" s="182"/>
      <c r="AL298" s="496">
        <f t="shared" ref="AL298" si="127">-0.03*Z298</f>
        <v>-49.199999999999989</v>
      </c>
      <c r="AM298" s="496">
        <f>AL298*R298</f>
        <v>-196.79999999999995</v>
      </c>
      <c r="AN298" s="626"/>
      <c r="AO298" s="182"/>
      <c r="AP298" s="182" t="s">
        <v>1463</v>
      </c>
      <c r="AQ298" s="332" t="str">
        <f>UPPER(RIGHT(Journal_Live[[#This Row],[DURATION ]]))</f>
        <v>S</v>
      </c>
      <c r="AR298" s="182" t="s">
        <v>764</v>
      </c>
      <c r="AS298" s="189">
        <v>-0.15</v>
      </c>
      <c r="AT298" s="189">
        <f>IF(ISBLANK(AS298),,IF(U298="S",AD298-AS298,AS298-AD298))</f>
        <v>9.9999999999999811E-3</v>
      </c>
      <c r="AU298" s="187">
        <f>AV298*R298</f>
        <v>65.599999999999866</v>
      </c>
      <c r="AV298" s="190">
        <f>IF(ISBLANK(AS298),,(AT298*Z298))</f>
        <v>16.399999999999967</v>
      </c>
      <c r="AW298" s="191" t="s">
        <v>96</v>
      </c>
      <c r="AX298" s="407"/>
      <c r="AY298" s="407"/>
      <c r="AZ298" s="407"/>
      <c r="BA298" s="407"/>
      <c r="BB298" s="407"/>
      <c r="BC298" s="407"/>
      <c r="BD298" s="407"/>
      <c r="BE298" s="407"/>
      <c r="BF298" s="422"/>
      <c r="BG298" s="391">
        <f>SUM($AV$4:AV298)</f>
        <v>2624.2850000000039</v>
      </c>
      <c r="BH298" s="392">
        <f>SUM($AU$134:AU298)</f>
        <v>2804.4899999999684</v>
      </c>
      <c r="BI298" s="318">
        <f>SUMIFS($AU$134:AU299,$Q$134:Q299,"F")</f>
        <v>33.199999999999989</v>
      </c>
      <c r="BJ298" s="318">
        <f>SUMIFS($AU$134:AU299,$Q$134:Q299,"S")</f>
        <v>2551.25</v>
      </c>
      <c r="BK298" s="343">
        <f>SUMIFS($AU$134:AU299,$P$134:P299,"W")</f>
        <v>2121.3899999999721</v>
      </c>
      <c r="BL298" s="343">
        <f>SUMIFS($AU$134:AU299,$P$134:P299,"R")</f>
        <v>699.49999999999591</v>
      </c>
      <c r="BM298" s="343">
        <f>SUMIFS($AU$134:AU299,$AQ$134:AQ299,"M")</f>
        <v>-82.999999999995296</v>
      </c>
      <c r="BN298" s="343">
        <f>SUMIFS($AU$134:AU299,$AQ$134:AQ299,"H")</f>
        <v>399.70000000001505</v>
      </c>
      <c r="BO298" s="343">
        <f>SUMIFS($AU$134:AU299,$AQ$134:AQ299,"D")</f>
        <v>1373.5499999999997</v>
      </c>
      <c r="BP298" s="343">
        <f>SUMIFS($AU$134:AU301,$AQ$134:AQ301,"W")</f>
        <v>252.10000000000008</v>
      </c>
      <c r="BQ298" s="343">
        <f>SUMIFS($AU$134:AU299,$Q$134:Q299,"O")</f>
        <v>37.239999999968425</v>
      </c>
      <c r="BR298" s="343">
        <f>SUMIFS($AU$134:AU299,$AA$134:AA299,"*")</f>
        <v>3002.7499999999977</v>
      </c>
      <c r="BS298" s="343">
        <f>SUMIFS($AU$134:AU299,$AB$134:AB299,"*")</f>
        <v>485.03999999995608</v>
      </c>
      <c r="BT298" s="343">
        <f>SUMIFS($AU$134:AU299,$AC$134:AC299,"*")</f>
        <v>1431.3499999999992</v>
      </c>
      <c r="BU298" s="343">
        <f>SUMIFS($AU$134:AU299,$AA$134:AA299,"*",$AB$134:AB299,"*")</f>
        <v>535.49999999998488</v>
      </c>
      <c r="BV298" s="343">
        <f>SUMIFS($AU$134:AU299,$AA$134:AA299,"*",$AC$134:AC299,"*")</f>
        <v>1746.7499999999993</v>
      </c>
      <c r="BW298" s="343">
        <f>SUMIFS($AU$134:AU299,$AB$134:AB299,"*",$AC$134:AC299,"*")</f>
        <v>598.1</v>
      </c>
      <c r="BX298" s="343">
        <f>SUMIFS($AU299:AU$1388,$Q299:Q$1388,"F")</f>
        <v>14407.466666666669</v>
      </c>
      <c r="BY298" s="343">
        <f>SUMIFS($AU299:AU$1388,$Q299:Q$1388,"S")</f>
        <v>18136.792000000001</v>
      </c>
      <c r="BZ298" s="343">
        <f>SUMIFS($AU299:AU$1388,$Q299:Q$1388,"O")</f>
        <v>-1686.0979999997671</v>
      </c>
    </row>
    <row r="299" spans="1:78" ht="18" customHeight="1">
      <c r="A299" s="177" t="s">
        <v>1148</v>
      </c>
      <c r="B299" s="177">
        <v>44979</v>
      </c>
      <c r="C299" s="178" t="s">
        <v>1464</v>
      </c>
      <c r="D299" s="178" t="s">
        <v>151</v>
      </c>
      <c r="E299" s="289"/>
      <c r="F299" s="296"/>
      <c r="G299" s="281" t="s">
        <v>435</v>
      </c>
      <c r="H299" s="182"/>
      <c r="I299" s="182"/>
      <c r="J299" s="182"/>
      <c r="K299" s="183"/>
      <c r="L299" s="182">
        <v>1</v>
      </c>
      <c r="M299" s="182"/>
      <c r="N299" s="182"/>
      <c r="O299" s="183" t="s">
        <v>95</v>
      </c>
      <c r="P299" s="183" t="s">
        <v>96</v>
      </c>
      <c r="Q299" s="183" t="s">
        <v>97</v>
      </c>
      <c r="R299" s="183">
        <v>1</v>
      </c>
      <c r="S299" s="183">
        <v>1</v>
      </c>
      <c r="T299" s="183">
        <v>1</v>
      </c>
      <c r="U299" s="183" t="s">
        <v>22</v>
      </c>
      <c r="V299" s="183"/>
      <c r="W299" s="183"/>
      <c r="X299" s="183"/>
      <c r="Y299" s="184">
        <f t="shared" si="125"/>
        <v>0.01</v>
      </c>
      <c r="Z299" s="184">
        <f t="shared" si="126"/>
        <v>1639.9999999999998</v>
      </c>
      <c r="AA299" s="185" t="s">
        <v>1465</v>
      </c>
      <c r="AB299" s="185"/>
      <c r="AC299" s="185"/>
      <c r="AD299" s="649">
        <v>0.49</v>
      </c>
      <c r="AE299" s="182"/>
      <c r="AF299" s="332"/>
      <c r="AG299" s="182"/>
      <c r="AH299" s="182"/>
      <c r="AI299" s="182"/>
      <c r="AJ299" s="640"/>
      <c r="AK299" s="182"/>
      <c r="AL299" s="496"/>
      <c r="AM299" s="496"/>
      <c r="AN299" s="626"/>
      <c r="AO299" s="182"/>
      <c r="AP299" s="182" t="s">
        <v>838</v>
      </c>
      <c r="AQ299" s="332" t="str">
        <f>UPPER(RIGHT(Journal_Live[[#This Row],[DURATION ]]))</f>
        <v>H</v>
      </c>
      <c r="AR299" s="182" t="s">
        <v>1466</v>
      </c>
      <c r="AS299" s="189">
        <v>0.5</v>
      </c>
      <c r="AT299" s="189">
        <f>IF(ISBLANK(AS299),,IF(U299="S",AD299-AS299,AS299-AD299))</f>
        <v>1.0000000000000009E-2</v>
      </c>
      <c r="AU299" s="187">
        <f>AV299*R299</f>
        <v>16.400000000000013</v>
      </c>
      <c r="AV299" s="190">
        <f>IF(ISBLANK(AS299),,(AT299*Z299))</f>
        <v>16.400000000000013</v>
      </c>
      <c r="AW299" s="191" t="s">
        <v>96</v>
      </c>
      <c r="AX299" s="407" t="s">
        <v>1467</v>
      </c>
      <c r="AY299" s="407" t="s">
        <v>1468</v>
      </c>
      <c r="AZ299" s="407" t="s">
        <v>1469</v>
      </c>
      <c r="BA299" s="407" t="s">
        <v>1470</v>
      </c>
      <c r="BB299" s="407"/>
      <c r="BC299" s="407" t="s">
        <v>529</v>
      </c>
      <c r="BD299" s="407" t="s">
        <v>1436</v>
      </c>
      <c r="BE299" s="407"/>
      <c r="BF299" s="422"/>
      <c r="BG299" s="391">
        <f>SUM($AV$4:AV299)</f>
        <v>2640.685000000004</v>
      </c>
      <c r="BH299" s="392">
        <f>SUM($AU$134:AU299)</f>
        <v>2820.8899999999685</v>
      </c>
      <c r="BI299" s="318">
        <f>SUMIFS($AU$134:AU300,$Q$134:Q300,"F")</f>
        <v>33.199999999999989</v>
      </c>
      <c r="BJ299" s="318">
        <f>SUMIFS($AU$134:AU300,$Q$134:Q300,"S")</f>
        <v>2551.25</v>
      </c>
      <c r="BK299" s="343">
        <f>SUMIFS($AU$134:AU300,$P$134:P300,"W")</f>
        <v>2121.3899999999721</v>
      </c>
      <c r="BL299" s="343">
        <f>SUMIFS($AU$134:AU300,$P$134:P300,"R")</f>
        <v>699.49999999999591</v>
      </c>
      <c r="BM299" s="343">
        <f>SUMIFS($AU$134:AU300,$AQ$134:AQ300,"M")</f>
        <v>-82.999999999995296</v>
      </c>
      <c r="BN299" s="343">
        <f>SUMIFS($AU$134:AU300,$AQ$134:AQ300,"H")</f>
        <v>399.70000000001505</v>
      </c>
      <c r="BO299" s="343">
        <f>SUMIFS($AU$134:AU300,$AQ$134:AQ300,"D")</f>
        <v>1373.5499999999997</v>
      </c>
      <c r="BP299" s="343">
        <f>SUMIFS($AU$134:AU302,$AQ$134:AQ302,"W")</f>
        <v>252.10000000000008</v>
      </c>
      <c r="BQ299" s="343">
        <f>SUMIFS($AU$134:AU300,$Q$134:Q300,"O")</f>
        <v>37.239999999968425</v>
      </c>
      <c r="BR299" s="343">
        <f>SUMIFS($AU$134:AU300,$AA$134:AA300,"*")</f>
        <v>3002.7499999999977</v>
      </c>
      <c r="BS299" s="343">
        <f>SUMIFS($AU$134:AU300,$AB$134:AB300,"*")</f>
        <v>485.03999999995608</v>
      </c>
      <c r="BT299" s="343">
        <f>SUMIFS($AU$134:AU300,$AC$134:AC300,"*")</f>
        <v>1431.3499999999992</v>
      </c>
      <c r="BU299" s="343">
        <f>SUMIFS($AU$134:AU300,$AA$134:AA300,"*",$AB$134:AB300,"*")</f>
        <v>535.49999999998488</v>
      </c>
      <c r="BV299" s="343">
        <f>SUMIFS($AU$134:AU300,$AA$134:AA300,"*",$AC$134:AC300,"*")</f>
        <v>1746.7499999999993</v>
      </c>
      <c r="BW299" s="343">
        <f>SUMIFS($AU$134:AU300,$AB$134:AB300,"*",$AC$134:AC300,"*")</f>
        <v>598.1</v>
      </c>
      <c r="BX299" s="343">
        <f>SUMIFS($AU300:AU$1388,$Q300:Q$1388,"F")</f>
        <v>14407.466666666669</v>
      </c>
      <c r="BY299" s="343">
        <f>SUMIFS($AU300:AU$1388,$Q300:Q$1388,"S")</f>
        <v>18120.392000000003</v>
      </c>
      <c r="BZ299" s="343">
        <f>SUMIFS($AU300:AU$1388,$Q300:Q$1388,"O")</f>
        <v>-1686.0979999997671</v>
      </c>
    </row>
    <row r="300" spans="1:78" ht="18" customHeight="1">
      <c r="A300" s="177" t="s">
        <v>1148</v>
      </c>
      <c r="B300" s="200">
        <v>44980</v>
      </c>
      <c r="C300" s="178" t="s">
        <v>1344</v>
      </c>
      <c r="D300" s="178" t="s">
        <v>93</v>
      </c>
      <c r="E300" s="289" t="s">
        <v>1471</v>
      </c>
      <c r="F300" s="296" t="s">
        <v>1472</v>
      </c>
      <c r="G300" s="181"/>
      <c r="H300" s="182"/>
      <c r="I300" s="182"/>
      <c r="J300" s="182">
        <v>1</v>
      </c>
      <c r="K300" s="183" t="s">
        <v>115</v>
      </c>
      <c r="L300" s="182"/>
      <c r="M300" s="182"/>
      <c r="N300" s="182"/>
      <c r="O300" s="183"/>
      <c r="P300" s="183"/>
      <c r="Q300" s="183"/>
      <c r="R300" s="183"/>
      <c r="S300" s="183"/>
      <c r="T300" s="183"/>
      <c r="U300" s="183"/>
      <c r="V300" s="183"/>
      <c r="W300" s="183"/>
      <c r="X300" s="183"/>
      <c r="Y300" s="184" t="str">
        <f t="shared" si="125"/>
        <v/>
      </c>
      <c r="Z300" s="184" t="str">
        <f t="shared" si="126"/>
        <v/>
      </c>
      <c r="AA300" s="185"/>
      <c r="AB300" s="185"/>
      <c r="AC300" s="185"/>
      <c r="AD300" s="649"/>
      <c r="AE300" s="182"/>
      <c r="AF300" s="332"/>
      <c r="AG300" s="182"/>
      <c r="AH300" s="182"/>
      <c r="AI300" s="182"/>
      <c r="AJ300" s="640"/>
      <c r="AK300" s="182"/>
      <c r="AL300" s="496"/>
      <c r="AM300" s="496"/>
      <c r="AN300" s="626"/>
      <c r="AO300" s="182"/>
      <c r="AP300" s="182"/>
      <c r="AQ300" s="332" t="str">
        <f>UPPER(RIGHT(Journal_Live[[#This Row],[DURATION ]]))</f>
        <v/>
      </c>
      <c r="AR300" s="182"/>
      <c r="AS300" s="189"/>
      <c r="AT300" s="189"/>
      <c r="AU300" s="187"/>
      <c r="AV300" s="190"/>
      <c r="AW300" s="191"/>
      <c r="AX300" s="407"/>
      <c r="AY300" s="407"/>
      <c r="AZ300" s="407"/>
      <c r="BA300" s="407"/>
      <c r="BB300" s="407"/>
      <c r="BC300" s="407"/>
      <c r="BD300" s="407"/>
      <c r="BE300" s="407"/>
      <c r="BF300" s="422"/>
      <c r="BG300" s="391">
        <f>SUM($AV$4:AV300)</f>
        <v>2640.685000000004</v>
      </c>
      <c r="BH300" s="392">
        <f>SUM($AU$134:AU300)</f>
        <v>2820.8899999999685</v>
      </c>
      <c r="BI300" s="318">
        <f>SUMIFS($AU$134:AU301,$Q$134:Q301,"F")</f>
        <v>33.199999999999989</v>
      </c>
      <c r="BJ300" s="318">
        <f>SUMIFS($AU$134:AU301,$Q$134:Q301,"S")</f>
        <v>2551.25</v>
      </c>
      <c r="BK300" s="343">
        <f>SUMIFS($AU$134:AU301,$P$134:P301,"W")</f>
        <v>2121.3899999999721</v>
      </c>
      <c r="BL300" s="343">
        <f>SUMIFS($AU$134:AU301,$P$134:P301,"R")</f>
        <v>699.49999999999591</v>
      </c>
      <c r="BM300" s="343">
        <f>SUMIFS($AU$134:AU301,$AQ$134:AQ301,"M")</f>
        <v>-82.999999999995296</v>
      </c>
      <c r="BN300" s="343">
        <f>SUMIFS($AU$134:AU301,$AQ$134:AQ301,"H")</f>
        <v>399.70000000001505</v>
      </c>
      <c r="BO300" s="343">
        <f>SUMIFS($AU$134:AU301,$AQ$134:AQ301,"D")</f>
        <v>1373.5499999999997</v>
      </c>
      <c r="BP300" s="343">
        <f>SUMIFS($AU$134:AU303,$AQ$134:AQ303,"W")</f>
        <v>252.10000000000008</v>
      </c>
      <c r="BQ300" s="343">
        <f>SUMIFS($AU$134:AU301,$Q$134:Q301,"O")</f>
        <v>37.239999999968425</v>
      </c>
      <c r="BR300" s="343">
        <f>SUMIFS($AU$134:AU301,$AA$134:AA301,"*")</f>
        <v>3002.7499999999977</v>
      </c>
      <c r="BS300" s="343">
        <f>SUMIFS($AU$134:AU301,$AB$134:AB301,"*")</f>
        <v>485.03999999995608</v>
      </c>
      <c r="BT300" s="343">
        <f>SUMIFS($AU$134:AU301,$AC$134:AC301,"*")</f>
        <v>1431.3499999999992</v>
      </c>
      <c r="BU300" s="343">
        <f>SUMIFS($AU$134:AU301,$AA$134:AA301,"*",$AB$134:AB301,"*")</f>
        <v>535.49999999998488</v>
      </c>
      <c r="BV300" s="343">
        <f>SUMIFS($AU$134:AU301,$AA$134:AA301,"*",$AC$134:AC301,"*")</f>
        <v>1746.7499999999993</v>
      </c>
      <c r="BW300" s="343">
        <f>SUMIFS($AU$134:AU301,$AB$134:AB301,"*",$AC$134:AC301,"*")</f>
        <v>598.1</v>
      </c>
      <c r="BX300" s="343">
        <f>SUMIFS($AU301:AU$1388,$Q301:Q$1388,"F")</f>
        <v>14407.466666666669</v>
      </c>
      <c r="BY300" s="343">
        <f>SUMIFS($AU301:AU$1388,$Q301:Q$1388,"S")</f>
        <v>18120.392000000003</v>
      </c>
      <c r="BZ300" s="343">
        <f>SUMIFS($AU301:AU$1388,$Q301:Q$1388,"O")</f>
        <v>-1686.0979999997671</v>
      </c>
    </row>
    <row r="301" spans="1:78" ht="18" customHeight="1">
      <c r="A301" s="177" t="s">
        <v>1148</v>
      </c>
      <c r="B301" s="177"/>
      <c r="C301" s="178"/>
      <c r="D301" s="178"/>
      <c r="E301" s="289" t="s">
        <v>1473</v>
      </c>
      <c r="F301" s="296"/>
      <c r="G301" s="181"/>
      <c r="H301" s="182"/>
      <c r="I301" s="182"/>
      <c r="J301" s="182">
        <v>1</v>
      </c>
      <c r="K301" s="183" t="s">
        <v>372</v>
      </c>
      <c r="L301" s="182"/>
      <c r="M301" s="182"/>
      <c r="N301" s="182"/>
      <c r="O301" s="183"/>
      <c r="P301" s="183"/>
      <c r="Q301" s="183"/>
      <c r="R301" s="183"/>
      <c r="S301" s="183"/>
      <c r="T301" s="183"/>
      <c r="U301" s="183"/>
      <c r="V301" s="183"/>
      <c r="W301" s="183"/>
      <c r="X301" s="183"/>
      <c r="Y301" s="184" t="str">
        <f t="shared" si="125"/>
        <v/>
      </c>
      <c r="Z301" s="184" t="str">
        <f t="shared" si="126"/>
        <v/>
      </c>
      <c r="AA301" s="185"/>
      <c r="AB301" s="185"/>
      <c r="AC301" s="185"/>
      <c r="AD301" s="649"/>
      <c r="AE301" s="182"/>
      <c r="AF301" s="332"/>
      <c r="AG301" s="182"/>
      <c r="AH301" s="182"/>
      <c r="AI301" s="182"/>
      <c r="AJ301" s="640"/>
      <c r="AK301" s="182"/>
      <c r="AL301" s="496"/>
      <c r="AM301" s="496"/>
      <c r="AN301" s="626"/>
      <c r="AO301" s="182"/>
      <c r="AP301" s="182"/>
      <c r="AQ301" s="332" t="str">
        <f>UPPER(RIGHT(Journal_Live[[#This Row],[DURATION ]]))</f>
        <v/>
      </c>
      <c r="AR301" s="182"/>
      <c r="AS301" s="189"/>
      <c r="AT301" s="189"/>
      <c r="AU301" s="187"/>
      <c r="AV301" s="190"/>
      <c r="AW301" s="191"/>
      <c r="AX301" s="407"/>
      <c r="AY301" s="407"/>
      <c r="AZ301" s="407"/>
      <c r="BA301" s="407"/>
      <c r="BB301" s="407"/>
      <c r="BC301" s="407"/>
      <c r="BD301" s="407"/>
      <c r="BE301" s="407"/>
      <c r="BF301" s="422"/>
      <c r="BG301" s="391">
        <f>SUM($AV$4:AV301)</f>
        <v>2640.685000000004</v>
      </c>
      <c r="BH301" s="392">
        <f>SUM($AU$134:AU301)</f>
        <v>2820.8899999999685</v>
      </c>
      <c r="BI301" s="318">
        <f>SUMIFS($AU$134:AU302,$Q$134:Q302,"F")</f>
        <v>33.199999999999989</v>
      </c>
      <c r="BJ301" s="318">
        <f>SUMIFS($AU$134:AU302,$Q$134:Q302,"S")</f>
        <v>2551.25</v>
      </c>
      <c r="BK301" s="343">
        <f>SUMIFS($AU$134:AU302,$P$134:P302,"W")</f>
        <v>2121.3899999999721</v>
      </c>
      <c r="BL301" s="343">
        <f>SUMIFS($AU$134:AU302,$P$134:P302,"R")</f>
        <v>699.49999999999591</v>
      </c>
      <c r="BM301" s="343">
        <f>SUMIFS($AU$134:AU302,$AQ$134:AQ302,"M")</f>
        <v>-82.999999999995296</v>
      </c>
      <c r="BN301" s="343">
        <f>SUMIFS($AU$134:AU302,$AQ$134:AQ302,"H")</f>
        <v>399.70000000001505</v>
      </c>
      <c r="BO301" s="343">
        <f>SUMIFS($AU$134:AU302,$AQ$134:AQ302,"D")</f>
        <v>1373.5499999999997</v>
      </c>
      <c r="BP301" s="343">
        <f>SUMIFS($AU$134:AU304,$AQ$134:AQ304,"W")</f>
        <v>252.10000000000008</v>
      </c>
      <c r="BQ301" s="343">
        <f>SUMIFS($AU$134:AU302,$Q$134:Q302,"O")</f>
        <v>37.239999999968425</v>
      </c>
      <c r="BR301" s="343">
        <f>SUMIFS($AU$134:AU302,$AA$134:AA302,"*")</f>
        <v>3002.7499999999977</v>
      </c>
      <c r="BS301" s="343">
        <f>SUMIFS($AU$134:AU302,$AB$134:AB302,"*")</f>
        <v>485.03999999995608</v>
      </c>
      <c r="BT301" s="343">
        <f>SUMIFS($AU$134:AU302,$AC$134:AC302,"*")</f>
        <v>1431.3499999999992</v>
      </c>
      <c r="BU301" s="343">
        <f>SUMIFS($AU$134:AU302,$AA$134:AA302,"*",$AB$134:AB302,"*")</f>
        <v>535.49999999998488</v>
      </c>
      <c r="BV301" s="343">
        <f>SUMIFS($AU$134:AU302,$AA$134:AA302,"*",$AC$134:AC302,"*")</f>
        <v>1746.7499999999993</v>
      </c>
      <c r="BW301" s="343">
        <f>SUMIFS($AU$134:AU302,$AB$134:AB302,"*",$AC$134:AC302,"*")</f>
        <v>598.1</v>
      </c>
      <c r="BX301" s="343">
        <f>SUMIFS($AU302:AU$1388,$Q302:Q$1388,"F")</f>
        <v>14407.466666666669</v>
      </c>
      <c r="BY301" s="343">
        <f>SUMIFS($AU302:AU$1388,$Q302:Q$1388,"S")</f>
        <v>18120.392000000003</v>
      </c>
      <c r="BZ301" s="343">
        <f>SUMIFS($AU302:AU$1388,$Q302:Q$1388,"O")</f>
        <v>-1686.0979999997671</v>
      </c>
    </row>
    <row r="302" spans="1:78" ht="18" customHeight="1">
      <c r="A302" s="177" t="s">
        <v>1148</v>
      </c>
      <c r="B302" s="200">
        <v>44981</v>
      </c>
      <c r="C302" s="178" t="s">
        <v>1474</v>
      </c>
      <c r="D302" s="178" t="s">
        <v>111</v>
      </c>
      <c r="E302" s="289" t="s">
        <v>1475</v>
      </c>
      <c r="F302" s="296" t="s">
        <v>1476</v>
      </c>
      <c r="G302" s="181"/>
      <c r="H302" s="182">
        <v>1</v>
      </c>
      <c r="I302" s="182"/>
      <c r="J302" s="182"/>
      <c r="K302" s="183" t="s">
        <v>372</v>
      </c>
      <c r="L302" s="182"/>
      <c r="M302" s="182"/>
      <c r="N302" s="182"/>
      <c r="O302" s="183"/>
      <c r="P302" s="183"/>
      <c r="Q302" s="183"/>
      <c r="R302" s="183"/>
      <c r="S302" s="183"/>
      <c r="T302" s="183"/>
      <c r="U302" s="183"/>
      <c r="V302" s="183"/>
      <c r="W302" s="183"/>
      <c r="X302" s="183"/>
      <c r="Y302" s="274"/>
      <c r="Z302" s="274"/>
      <c r="AA302" s="185"/>
      <c r="AB302" s="185"/>
      <c r="AC302" s="185"/>
      <c r="AD302" s="649"/>
      <c r="AE302" s="182"/>
      <c r="AF302" s="332"/>
      <c r="AG302" s="182"/>
      <c r="AH302" s="182"/>
      <c r="AI302" s="182"/>
      <c r="AJ302" s="640"/>
      <c r="AK302" s="182"/>
      <c r="AL302" s="496"/>
      <c r="AM302" s="496"/>
      <c r="AN302" s="626"/>
      <c r="AO302" s="182"/>
      <c r="AP302" s="182"/>
      <c r="AQ302" s="332" t="str">
        <f>UPPER(RIGHT(Journal_Live[[#This Row],[DURATION ]]))</f>
        <v/>
      </c>
      <c r="AR302" s="182"/>
      <c r="AS302" s="189"/>
      <c r="AT302" s="189"/>
      <c r="AU302" s="187"/>
      <c r="AV302" s="190"/>
      <c r="AW302" s="191"/>
      <c r="AX302" s="407" t="s">
        <v>1477</v>
      </c>
      <c r="AY302" s="407" t="s">
        <v>1478</v>
      </c>
      <c r="AZ302" s="407" t="s">
        <v>1479</v>
      </c>
      <c r="BA302" s="407" t="s">
        <v>529</v>
      </c>
      <c r="BB302" s="407"/>
      <c r="BC302" s="407"/>
      <c r="BD302" s="407"/>
      <c r="BE302" s="407"/>
      <c r="BF302" s="422"/>
      <c r="BG302" s="391">
        <f>SUM($AV$4:AV302)</f>
        <v>2640.685000000004</v>
      </c>
      <c r="BH302" s="392">
        <f>SUM($AU$134:AU302)</f>
        <v>2820.8899999999685</v>
      </c>
      <c r="BI302" s="318">
        <f>SUMIFS($AU$134:AU303,$Q$134:Q303,"F")</f>
        <v>33.199999999999989</v>
      </c>
      <c r="BJ302" s="318">
        <f>SUMIFS($AU$134:AU303,$Q$134:Q303,"S")</f>
        <v>2551.25</v>
      </c>
      <c r="BK302" s="343">
        <f>SUMIFS($AU$134:AU303,$P$134:P303,"W")</f>
        <v>2121.3899999999721</v>
      </c>
      <c r="BL302" s="343">
        <f>SUMIFS($AU$134:AU303,$P$134:P303,"R")</f>
        <v>699.49999999999591</v>
      </c>
      <c r="BM302" s="343">
        <f>SUMIFS($AU$134:AU303,$AQ$134:AQ303,"M")</f>
        <v>-82.999999999995296</v>
      </c>
      <c r="BN302" s="343">
        <f>SUMIFS($AU$134:AU303,$AQ$134:AQ303,"H")</f>
        <v>399.70000000001505</v>
      </c>
      <c r="BO302" s="343">
        <f>SUMIFS($AU$134:AU303,$AQ$134:AQ303,"D")</f>
        <v>1373.5499999999997</v>
      </c>
      <c r="BP302" s="343">
        <f>SUMIFS($AU$134:AU305,$AQ$134:AQ305,"W")</f>
        <v>252.10000000000008</v>
      </c>
      <c r="BQ302" s="343">
        <f>SUMIFS($AU$134:AU303,$Q$134:Q303,"O")</f>
        <v>37.239999999968425</v>
      </c>
      <c r="BR302" s="343">
        <f>SUMIFS($AU$134:AU303,$AA$134:AA303,"*")</f>
        <v>3002.7499999999977</v>
      </c>
      <c r="BS302" s="343">
        <f>SUMIFS($AU$134:AU303,$AB$134:AB303,"*")</f>
        <v>485.03999999995608</v>
      </c>
      <c r="BT302" s="343">
        <f>SUMIFS($AU$134:AU303,$AC$134:AC303,"*")</f>
        <v>1431.3499999999992</v>
      </c>
      <c r="BU302" s="343">
        <f>SUMIFS($AU$134:AU303,$AA$134:AA303,"*",$AB$134:AB303,"*")</f>
        <v>535.49999999998488</v>
      </c>
      <c r="BV302" s="343">
        <f>SUMIFS($AU$134:AU303,$AA$134:AA303,"*",$AC$134:AC303,"*")</f>
        <v>1746.7499999999993</v>
      </c>
      <c r="BW302" s="343">
        <f>SUMIFS($AU$134:AU303,$AB$134:AB303,"*",$AC$134:AC303,"*")</f>
        <v>598.1</v>
      </c>
      <c r="BX302" s="343">
        <f>SUMIFS($AU303:AU$1388,$Q303:Q$1388,"F")</f>
        <v>14407.466666666669</v>
      </c>
      <c r="BY302" s="343">
        <f>SUMIFS($AU303:AU$1388,$Q303:Q$1388,"S")</f>
        <v>18120.392000000003</v>
      </c>
      <c r="BZ302" s="343">
        <f>SUMIFS($AU303:AU$1388,$Q303:Q$1388,"O")</f>
        <v>-1686.0979999997671</v>
      </c>
    </row>
    <row r="303" spans="1:78" ht="18" customHeight="1">
      <c r="A303" s="177" t="s">
        <v>1148</v>
      </c>
      <c r="B303" s="200"/>
      <c r="C303" s="178"/>
      <c r="D303" s="178"/>
      <c r="E303" s="289" t="s">
        <v>1480</v>
      </c>
      <c r="F303" s="296"/>
      <c r="G303" s="181"/>
      <c r="H303" s="182">
        <v>1</v>
      </c>
      <c r="I303" s="182"/>
      <c r="J303" s="182"/>
      <c r="K303" s="183" t="s">
        <v>372</v>
      </c>
      <c r="L303" s="182"/>
      <c r="M303" s="182"/>
      <c r="N303" s="182"/>
      <c r="O303" s="183"/>
      <c r="P303" s="183"/>
      <c r="Q303" s="183"/>
      <c r="R303" s="183"/>
      <c r="S303" s="183"/>
      <c r="T303" s="183"/>
      <c r="U303" s="183"/>
      <c r="V303" s="183"/>
      <c r="W303" s="183"/>
      <c r="X303" s="183"/>
      <c r="Y303" s="274"/>
      <c r="Z303" s="274"/>
      <c r="AA303" s="185"/>
      <c r="AB303" s="185"/>
      <c r="AC303" s="185"/>
      <c r="AD303" s="649"/>
      <c r="AE303" s="182"/>
      <c r="AF303" s="332"/>
      <c r="AG303" s="182"/>
      <c r="AH303" s="182"/>
      <c r="AI303" s="182"/>
      <c r="AJ303" s="640"/>
      <c r="AK303" s="182"/>
      <c r="AL303" s="496"/>
      <c r="AM303" s="496"/>
      <c r="AN303" s="626"/>
      <c r="AO303" s="182"/>
      <c r="AP303" s="182"/>
      <c r="AQ303" s="332" t="str">
        <f>UPPER(RIGHT(Journal_Live[[#This Row],[DURATION ]]))</f>
        <v/>
      </c>
      <c r="AR303" s="182"/>
      <c r="AS303" s="189"/>
      <c r="AT303" s="189"/>
      <c r="AU303" s="187"/>
      <c r="AV303" s="190"/>
      <c r="AW303" s="191"/>
      <c r="AX303" s="407"/>
      <c r="AY303" s="407"/>
      <c r="AZ303" s="407"/>
      <c r="BA303" s="407"/>
      <c r="BB303" s="407"/>
      <c r="BC303" s="407"/>
      <c r="BD303" s="407"/>
      <c r="BE303" s="407"/>
      <c r="BF303" s="422"/>
      <c r="BG303" s="391">
        <f>SUM($AV$4:AV303)</f>
        <v>2640.685000000004</v>
      </c>
      <c r="BH303" s="392">
        <f>SUM($AU$134:AU303)</f>
        <v>2820.8899999999685</v>
      </c>
      <c r="BI303" s="318">
        <f>SUMIFS($AU$134:AU304,$Q$134:Q304,"F")</f>
        <v>33.199999999999989</v>
      </c>
      <c r="BJ303" s="318">
        <f>SUMIFS($AU$134:AU304,$Q$134:Q304,"S")</f>
        <v>2551.25</v>
      </c>
      <c r="BK303" s="343">
        <f>SUMIFS($AU$134:AU304,$P$134:P304,"W")</f>
        <v>2121.3899999999721</v>
      </c>
      <c r="BL303" s="343">
        <f>SUMIFS($AU$134:AU304,$P$134:P304,"R")</f>
        <v>699.49999999999591</v>
      </c>
      <c r="BM303" s="343">
        <f>SUMIFS($AU$134:AU304,$AQ$134:AQ304,"M")</f>
        <v>-82.999999999995296</v>
      </c>
      <c r="BN303" s="343">
        <f>SUMIFS($AU$134:AU304,$AQ$134:AQ304,"H")</f>
        <v>399.70000000001505</v>
      </c>
      <c r="BO303" s="343">
        <f>SUMIFS($AU$134:AU304,$AQ$134:AQ304,"D")</f>
        <v>1373.5499999999997</v>
      </c>
      <c r="BP303" s="343">
        <f>SUMIFS($AU$134:AU306,$AQ$134:AQ306,"W")</f>
        <v>252.10000000000008</v>
      </c>
      <c r="BQ303" s="343">
        <f>SUMIFS($AU$134:AU304,$Q$134:Q304,"O")</f>
        <v>37.239999999968425</v>
      </c>
      <c r="BR303" s="343">
        <f>SUMIFS($AU$134:AU304,$AA$134:AA304,"*")</f>
        <v>3002.7499999999977</v>
      </c>
      <c r="BS303" s="343">
        <f>SUMIFS($AU$134:AU304,$AB$134:AB304,"*")</f>
        <v>485.03999999995608</v>
      </c>
      <c r="BT303" s="343">
        <f>SUMIFS($AU$134:AU304,$AC$134:AC304,"*")</f>
        <v>1431.3499999999992</v>
      </c>
      <c r="BU303" s="343">
        <f>SUMIFS($AU$134:AU304,$AA$134:AA304,"*",$AB$134:AB304,"*")</f>
        <v>535.49999999998488</v>
      </c>
      <c r="BV303" s="343">
        <f>SUMIFS($AU$134:AU304,$AA$134:AA304,"*",$AC$134:AC304,"*")</f>
        <v>1746.7499999999993</v>
      </c>
      <c r="BW303" s="343">
        <f>SUMIFS($AU$134:AU304,$AB$134:AB304,"*",$AC$134:AC304,"*")</f>
        <v>598.1</v>
      </c>
      <c r="BX303" s="343">
        <f>SUMIFS($AU304:AU$1388,$Q304:Q$1388,"F")</f>
        <v>14407.466666666669</v>
      </c>
      <c r="BY303" s="343">
        <f>SUMIFS($AU304:AU$1388,$Q304:Q$1388,"S")</f>
        <v>18120.392000000003</v>
      </c>
      <c r="BZ303" s="343">
        <f>SUMIFS($AU304:AU$1388,$Q304:Q$1388,"O")</f>
        <v>-1686.0979999997671</v>
      </c>
    </row>
    <row r="304" spans="1:78" ht="18" customHeight="1">
      <c r="A304" s="221" t="s">
        <v>1148</v>
      </c>
      <c r="B304" s="177">
        <v>44981</v>
      </c>
      <c r="C304" s="178" t="s">
        <v>1481</v>
      </c>
      <c r="D304" s="178" t="s">
        <v>111</v>
      </c>
      <c r="E304" s="289"/>
      <c r="F304" s="296"/>
      <c r="G304" s="281" t="s">
        <v>757</v>
      </c>
      <c r="H304" s="182"/>
      <c r="I304" s="182"/>
      <c r="J304" s="182"/>
      <c r="K304" s="183"/>
      <c r="L304" s="182">
        <v>1</v>
      </c>
      <c r="M304" s="182"/>
      <c r="N304" s="182"/>
      <c r="O304" s="183" t="s">
        <v>95</v>
      </c>
      <c r="P304" s="183" t="s">
        <v>96</v>
      </c>
      <c r="Q304" s="183" t="s">
        <v>97</v>
      </c>
      <c r="R304" s="183">
        <v>2</v>
      </c>
      <c r="S304" s="183">
        <v>2</v>
      </c>
      <c r="T304" s="183">
        <v>1</v>
      </c>
      <c r="U304" s="183" t="s">
        <v>97</v>
      </c>
      <c r="V304" s="183"/>
      <c r="W304" s="183"/>
      <c r="X304" s="183"/>
      <c r="Y304" s="184">
        <f t="shared" ref="Y304:Y314" si="128">IF(ISBLANK(O304),"",(IF(O304=UPPER("IB"),0.005,0.01)))</f>
        <v>0.01</v>
      </c>
      <c r="Z304" s="184">
        <f>IF(ISBLANK(O304),"",IF(O304=UPPER("IB"),8.63*200,16.2*100))</f>
        <v>1620</v>
      </c>
      <c r="AA304" s="185" t="s">
        <v>1482</v>
      </c>
      <c r="AB304" s="185" t="s">
        <v>529</v>
      </c>
      <c r="AC304" s="185"/>
      <c r="AD304" s="649">
        <v>0.23</v>
      </c>
      <c r="AE304" s="182"/>
      <c r="AF304" s="332"/>
      <c r="AG304" s="182">
        <v>28</v>
      </c>
      <c r="AH304" s="182" t="s">
        <v>1483</v>
      </c>
      <c r="AI304" s="182" t="s">
        <v>1484</v>
      </c>
      <c r="AJ304" s="640" t="s">
        <v>1485</v>
      </c>
      <c r="AK304" s="182"/>
      <c r="AL304" s="496">
        <f>-0.05*Z304</f>
        <v>-81</v>
      </c>
      <c r="AM304" s="496">
        <f>AL304*R304</f>
        <v>-162</v>
      </c>
      <c r="AN304" s="626" t="s">
        <v>1486</v>
      </c>
      <c r="AO304" s="182" t="s">
        <v>1487</v>
      </c>
      <c r="AP304" s="182" t="s">
        <v>804</v>
      </c>
      <c r="AQ304" s="332" t="str">
        <f>UPPER(RIGHT(Journal_Live[[#This Row],[DURATION ]]))</f>
        <v>D</v>
      </c>
      <c r="AR304" s="182" t="s">
        <v>1488</v>
      </c>
      <c r="AS304" s="189">
        <v>0.23</v>
      </c>
      <c r="AT304" s="189">
        <f>IF(ISBLANK(AS304),,IF(U304="S",AD304-AS304,AS304-AD304))</f>
        <v>0</v>
      </c>
      <c r="AU304" s="187">
        <f>AV304*R304</f>
        <v>0</v>
      </c>
      <c r="AV304" s="190">
        <f>IF(ISBLANK(AS304),,(AT304*Z304))</f>
        <v>0</v>
      </c>
      <c r="AW304" s="191" t="s">
        <v>115</v>
      </c>
      <c r="AX304" s="407" t="s">
        <v>1489</v>
      </c>
      <c r="AY304" s="407" t="s">
        <v>1490</v>
      </c>
      <c r="AZ304" s="407" t="s">
        <v>1491</v>
      </c>
      <c r="BA304" s="407" t="s">
        <v>987</v>
      </c>
      <c r="BB304" s="407"/>
      <c r="BC304" s="407"/>
      <c r="BD304" s="407" t="s">
        <v>1492</v>
      </c>
      <c r="BE304" s="407" t="s">
        <v>1493</v>
      </c>
      <c r="BF304" s="422" t="s">
        <v>529</v>
      </c>
      <c r="BG304" s="391">
        <f>SUM($AV$4:AV304)</f>
        <v>2640.685000000004</v>
      </c>
      <c r="BH304" s="392">
        <f>SUM($AU$134:AU304)</f>
        <v>2820.8899999999685</v>
      </c>
      <c r="BI304" s="318">
        <f>SUMIFS($AU$134:AU305,$Q$134:Q305,"F")</f>
        <v>33.199999999999989</v>
      </c>
      <c r="BJ304" s="318">
        <f>SUMIFS($AU$134:AU305,$Q$134:Q305,"S")</f>
        <v>2551.25</v>
      </c>
      <c r="BK304" s="343">
        <f>SUMIFS($AU$134:AU305,$P$134:P305,"W")</f>
        <v>2121.3899999999721</v>
      </c>
      <c r="BL304" s="343">
        <f>SUMIFS($AU$134:AU305,$P$134:P305,"R")</f>
        <v>699.49999999999591</v>
      </c>
      <c r="BM304" s="343">
        <f>SUMIFS($AU$134:AU305,$AQ$134:AQ305,"M")</f>
        <v>-82.999999999995296</v>
      </c>
      <c r="BN304" s="343">
        <f>SUMIFS($AU$134:AU305,$AQ$134:AQ305,"H")</f>
        <v>399.70000000001505</v>
      </c>
      <c r="BO304" s="343">
        <f>SUMIFS($AU$134:AU305,$AQ$134:AQ305,"D")</f>
        <v>1373.5499999999997</v>
      </c>
      <c r="BP304" s="343">
        <f>SUMIFS($AU$134:AU307,$AQ$134:AQ307,"W")</f>
        <v>252.10000000000008</v>
      </c>
      <c r="BQ304" s="343">
        <f>SUMIFS($AU$134:AU305,$Q$134:Q305,"O")</f>
        <v>37.239999999968425</v>
      </c>
      <c r="BR304" s="343">
        <f>SUMIFS($AU$134:AU305,$AA$134:AA305,"*")</f>
        <v>3002.7499999999977</v>
      </c>
      <c r="BS304" s="343">
        <f>SUMIFS($AU$134:AU305,$AB$134:AB305,"*")</f>
        <v>485.03999999995608</v>
      </c>
      <c r="BT304" s="343">
        <f>SUMIFS($AU$134:AU305,$AC$134:AC305,"*")</f>
        <v>1431.3499999999992</v>
      </c>
      <c r="BU304" s="343">
        <f>SUMIFS($AU$134:AU305,$AA$134:AA305,"*",$AB$134:AB305,"*")</f>
        <v>535.49999999998488</v>
      </c>
      <c r="BV304" s="343">
        <f>SUMIFS($AU$134:AU305,$AA$134:AA305,"*",$AC$134:AC305,"*")</f>
        <v>1746.7499999999993</v>
      </c>
      <c r="BW304" s="343">
        <f>SUMIFS($AU$134:AU305,$AB$134:AB305,"*",$AC$134:AC305,"*")</f>
        <v>598.1</v>
      </c>
      <c r="BX304" s="343">
        <f>SUMIFS($AU305:AU$1388,$Q305:Q$1388,"F")</f>
        <v>14407.466666666669</v>
      </c>
      <c r="BY304" s="343">
        <f>SUMIFS($AU305:AU$1388,$Q305:Q$1388,"S")</f>
        <v>18120.392000000003</v>
      </c>
      <c r="BZ304" s="343">
        <f>SUMIFS($AU305:AU$1388,$Q305:Q$1388,"O")</f>
        <v>-1686.0979999997671</v>
      </c>
    </row>
    <row r="305" spans="1:78" ht="18" customHeight="1">
      <c r="A305" s="221" t="s">
        <v>1148</v>
      </c>
      <c r="B305" s="200">
        <v>44985</v>
      </c>
      <c r="C305" s="178" t="s">
        <v>1255</v>
      </c>
      <c r="D305" s="178" t="s">
        <v>146</v>
      </c>
      <c r="E305" s="289" t="s">
        <v>1494</v>
      </c>
      <c r="F305" s="296" t="s">
        <v>1495</v>
      </c>
      <c r="G305" s="181"/>
      <c r="H305" s="182">
        <v>1</v>
      </c>
      <c r="I305" s="182"/>
      <c r="J305" s="182"/>
      <c r="K305" s="183" t="s">
        <v>372</v>
      </c>
      <c r="L305" s="182"/>
      <c r="M305" s="182"/>
      <c r="N305" s="182"/>
      <c r="O305" s="183"/>
      <c r="P305" s="183"/>
      <c r="Q305" s="183"/>
      <c r="R305" s="183"/>
      <c r="S305" s="183"/>
      <c r="T305" s="183"/>
      <c r="U305" s="183"/>
      <c r="V305" s="183"/>
      <c r="W305" s="183"/>
      <c r="X305" s="183"/>
      <c r="Y305" s="184" t="str">
        <f t="shared" si="128"/>
        <v/>
      </c>
      <c r="Z305" s="184" t="str">
        <f>IF(ISBLANK(O305),"",IF(O305=UPPER("IB"),8.63*200,16.4*100))</f>
        <v/>
      </c>
      <c r="AA305" s="185"/>
      <c r="AB305" s="185"/>
      <c r="AC305" s="185"/>
      <c r="AD305" s="649"/>
      <c r="AE305" s="182"/>
      <c r="AF305" s="332"/>
      <c r="AG305" s="182"/>
      <c r="AH305" s="182"/>
      <c r="AI305" s="182"/>
      <c r="AJ305" s="640"/>
      <c r="AK305" s="182"/>
      <c r="AL305" s="496"/>
      <c r="AM305" s="496"/>
      <c r="AN305" s="626"/>
      <c r="AO305" s="182"/>
      <c r="AP305" s="182"/>
      <c r="AQ305" s="332" t="str">
        <f>UPPER(RIGHT(Journal_Live[[#This Row],[DURATION ]]))</f>
        <v/>
      </c>
      <c r="AR305" s="182"/>
      <c r="AS305" s="189"/>
      <c r="AT305" s="189"/>
      <c r="AU305" s="187"/>
      <c r="AV305" s="190"/>
      <c r="AW305" s="191"/>
      <c r="AX305" s="407"/>
      <c r="AY305" s="407"/>
      <c r="AZ305" s="407"/>
      <c r="BA305" s="407"/>
      <c r="BB305" s="407"/>
      <c r="BC305" s="407"/>
      <c r="BD305" s="407"/>
      <c r="BE305" s="407"/>
      <c r="BF305" s="422"/>
      <c r="BG305" s="391">
        <f>SUM($AV$4:AV305)</f>
        <v>2640.685000000004</v>
      </c>
      <c r="BH305" s="392">
        <f>SUM($AU$134:AU305)</f>
        <v>2820.8899999999685</v>
      </c>
      <c r="BI305" s="318">
        <f>SUMIFS($AU$134:AU306,$Q$134:Q306,"F")</f>
        <v>33.199999999999989</v>
      </c>
      <c r="BJ305" s="318">
        <f>SUMIFS($AU$134:AU306,$Q$134:Q306,"S")</f>
        <v>2551.25</v>
      </c>
      <c r="BK305" s="343">
        <f>SUMIFS($AU$134:AU306,$P$134:P306,"W")</f>
        <v>2121.3899999999721</v>
      </c>
      <c r="BL305" s="343">
        <f>SUMIFS($AU$134:AU306,$P$134:P306,"R")</f>
        <v>634.7000000000088</v>
      </c>
      <c r="BM305" s="343">
        <f>SUMIFS($AU$134:AU306,$AQ$134:AQ306,"M")</f>
        <v>-82.999999999995296</v>
      </c>
      <c r="BN305" s="343">
        <f>SUMIFS($AU$134:AU306,$AQ$134:AQ306,"H")</f>
        <v>399.70000000001505</v>
      </c>
      <c r="BO305" s="343">
        <f>SUMIFS($AU$134:AU306,$AQ$134:AQ306,"D")</f>
        <v>1373.5499999999997</v>
      </c>
      <c r="BP305" s="343">
        <f>SUMIFS($AU$134:AU308,$AQ$134:AQ308,"W")</f>
        <v>25.30000000000004</v>
      </c>
      <c r="BQ305" s="343">
        <f>SUMIFS($AU$134:AU306,$Q$134:Q306,"O")</f>
        <v>-27.560000000018682</v>
      </c>
      <c r="BR305" s="343">
        <f>SUMIFS($AU$134:AU306,$AA$134:AA306,"*")</f>
        <v>2937.9500000000107</v>
      </c>
      <c r="BS305" s="343">
        <f>SUMIFS($AU$134:AU306,$AB$134:AB306,"*")</f>
        <v>485.03999999995608</v>
      </c>
      <c r="BT305" s="343">
        <f>SUMIFS($AU$134:AU306,$AC$134:AC306,"*")</f>
        <v>1431.3499999999992</v>
      </c>
      <c r="BU305" s="343">
        <f>SUMIFS($AU$134:AU306,$AA$134:AA306,"*",$AB$134:AB306,"*")</f>
        <v>535.49999999998488</v>
      </c>
      <c r="BV305" s="343">
        <f>SUMIFS($AU$134:AU306,$AA$134:AA306,"*",$AC$134:AC306,"*")</f>
        <v>1746.7499999999993</v>
      </c>
      <c r="BW305" s="343">
        <f>SUMIFS($AU$134:AU306,$AB$134:AB306,"*",$AC$134:AC306,"*")</f>
        <v>598.1</v>
      </c>
      <c r="BX305" s="343">
        <f>SUMIFS($AU306:AU$1388,$Q306:Q$1388,"F")</f>
        <v>14407.466666666669</v>
      </c>
      <c r="BY305" s="343">
        <f>SUMIFS($AU306:AU$1388,$Q306:Q$1388,"S")</f>
        <v>18120.392000000003</v>
      </c>
      <c r="BZ305" s="343">
        <f>SUMIFS($AU306:AU$1388,$Q306:Q$1388,"O")</f>
        <v>-1686.0979999997671</v>
      </c>
    </row>
    <row r="306" spans="1:78" ht="18" customHeight="1">
      <c r="A306" s="221" t="s">
        <v>1148</v>
      </c>
      <c r="B306" s="200">
        <v>44985</v>
      </c>
      <c r="C306" s="178" t="s">
        <v>682</v>
      </c>
      <c r="D306" s="178"/>
      <c r="E306" s="289"/>
      <c r="F306" s="296"/>
      <c r="G306" s="181" t="s">
        <v>1392</v>
      </c>
      <c r="H306" s="182"/>
      <c r="I306" s="182"/>
      <c r="J306" s="182"/>
      <c r="K306" s="183"/>
      <c r="L306" s="182">
        <v>1</v>
      </c>
      <c r="M306" s="182"/>
      <c r="N306" s="182"/>
      <c r="O306" s="183" t="s">
        <v>95</v>
      </c>
      <c r="P306" s="183" t="s">
        <v>137</v>
      </c>
      <c r="Q306" s="183" t="s">
        <v>684</v>
      </c>
      <c r="R306" s="183">
        <v>2</v>
      </c>
      <c r="S306" s="183">
        <v>2</v>
      </c>
      <c r="T306" s="183">
        <v>2</v>
      </c>
      <c r="U306" s="183" t="s">
        <v>97</v>
      </c>
      <c r="V306" s="183"/>
      <c r="W306" s="183"/>
      <c r="X306" s="183"/>
      <c r="Y306" s="184">
        <f t="shared" si="128"/>
        <v>0.01</v>
      </c>
      <c r="Z306" s="184">
        <f t="shared" ref="Z306:Z314" si="129">IF(ISBLANK(O306),"",IF(O306=UPPER("IB"),8.63*200,16.2*100))</f>
        <v>1620</v>
      </c>
      <c r="AA306" s="185" t="s">
        <v>1096</v>
      </c>
      <c r="AB306" s="185"/>
      <c r="AC306" s="185"/>
      <c r="AD306" s="649">
        <v>95.92</v>
      </c>
      <c r="AE306" s="182"/>
      <c r="AF306" s="332"/>
      <c r="AG306" s="182"/>
      <c r="AH306" s="182"/>
      <c r="AI306" s="182"/>
      <c r="AJ306" s="640"/>
      <c r="AK306" s="182"/>
      <c r="AL306" s="496">
        <f>-0.03*Z306</f>
        <v>-48.6</v>
      </c>
      <c r="AM306" s="496">
        <f>AL306*R306</f>
        <v>-97.2</v>
      </c>
      <c r="AN306" s="626"/>
      <c r="AO306" s="182"/>
      <c r="AP306" s="182" t="s">
        <v>1496</v>
      </c>
      <c r="AQ306" s="332" t="str">
        <f>UPPER(RIGHT(Journal_Live[[#This Row],[DURATION ]]))</f>
        <v>S</v>
      </c>
      <c r="AR306" s="182" t="s">
        <v>682</v>
      </c>
      <c r="AS306" s="189">
        <v>95.94</v>
      </c>
      <c r="AT306" s="189">
        <f>IF(ISBLANK(AS306),,IF(U306="S",AD306-AS306,AS306-AD306))</f>
        <v>-1.9999999999996021E-2</v>
      </c>
      <c r="AU306" s="187">
        <f>AV306*R306</f>
        <v>-64.799999999987108</v>
      </c>
      <c r="AV306" s="190">
        <f>IF(ISBLANK(AS306),,(AT306*Z306))</f>
        <v>-32.399999999993554</v>
      </c>
      <c r="AW306" s="191" t="s">
        <v>229</v>
      </c>
      <c r="AX306" s="407" t="s">
        <v>1497</v>
      </c>
      <c r="AY306" s="407" t="s">
        <v>1498</v>
      </c>
      <c r="AZ306" s="407"/>
      <c r="BA306" s="407" t="s">
        <v>1499</v>
      </c>
      <c r="BB306" s="407" t="s">
        <v>1500</v>
      </c>
      <c r="BC306" s="407" t="s">
        <v>529</v>
      </c>
      <c r="BD306" s="407" t="s">
        <v>1501</v>
      </c>
      <c r="BE306" s="407" t="s">
        <v>1502</v>
      </c>
      <c r="BF306" s="422" t="s">
        <v>529</v>
      </c>
      <c r="BG306" s="391">
        <f>SUM($AV$4:AV306)</f>
        <v>2608.2850000000103</v>
      </c>
      <c r="BH306" s="392">
        <f>SUM($AU$134:AU306)</f>
        <v>2756.0899999999815</v>
      </c>
      <c r="BI306" s="318">
        <f>SUMIFS($AU$134:AU307,$Q$134:Q307,"F")</f>
        <v>33.199999999999989</v>
      </c>
      <c r="BJ306" s="318">
        <f>SUMIFS($AU$134:AU307,$Q$134:Q307,"S")</f>
        <v>2551.25</v>
      </c>
      <c r="BK306" s="343">
        <f>SUMIFS($AU$134:AU307,$P$134:P307,"W")</f>
        <v>2121.3899999999721</v>
      </c>
      <c r="BL306" s="343">
        <f>SUMIFS($AU$134:AU307,$P$134:P307,"R")</f>
        <v>634.7000000000088</v>
      </c>
      <c r="BM306" s="343">
        <f>SUMIFS($AU$134:AU307,$AQ$134:AQ307,"M")</f>
        <v>-82.999999999995296</v>
      </c>
      <c r="BN306" s="343">
        <f>SUMIFS($AU$134:AU307,$AQ$134:AQ307,"H")</f>
        <v>399.70000000001505</v>
      </c>
      <c r="BO306" s="343">
        <f>SUMIFS($AU$134:AU307,$AQ$134:AQ307,"D")</f>
        <v>1373.5499999999997</v>
      </c>
      <c r="BP306" s="343">
        <f>SUMIFS($AU$134:AU309,$AQ$134:AQ309,"W")</f>
        <v>25.30000000000004</v>
      </c>
      <c r="BQ306" s="343">
        <f>SUMIFS($AU$134:AU307,$Q$134:Q307,"O")</f>
        <v>-27.560000000018682</v>
      </c>
      <c r="BR306" s="343">
        <f>SUMIFS($AU$134:AU307,$AA$134:AA307,"*")</f>
        <v>2937.9500000000107</v>
      </c>
      <c r="BS306" s="343">
        <f>SUMIFS($AU$134:AU307,$AB$134:AB307,"*")</f>
        <v>485.03999999995608</v>
      </c>
      <c r="BT306" s="343">
        <f>SUMIFS($AU$134:AU307,$AC$134:AC307,"*")</f>
        <v>1431.3499999999992</v>
      </c>
      <c r="BU306" s="343">
        <f>SUMIFS($AU$134:AU307,$AA$134:AA307,"*",$AB$134:AB307,"*")</f>
        <v>535.49999999998488</v>
      </c>
      <c r="BV306" s="343">
        <f>SUMIFS($AU$134:AU307,$AA$134:AA307,"*",$AC$134:AC307,"*")</f>
        <v>1746.7499999999993</v>
      </c>
      <c r="BW306" s="343">
        <f>SUMIFS($AU$134:AU307,$AB$134:AB307,"*",$AC$134:AC307,"*")</f>
        <v>598.1</v>
      </c>
      <c r="BX306" s="343">
        <f>SUMIFS($AU307:AU$1388,$Q307:Q$1388,"F")</f>
        <v>14407.466666666669</v>
      </c>
      <c r="BY306" s="343">
        <f>SUMIFS($AU307:AU$1388,$Q307:Q$1388,"S")</f>
        <v>18120.392000000003</v>
      </c>
      <c r="BZ306" s="343">
        <f>SUMIFS($AU307:AU$1388,$Q307:Q$1388,"O")</f>
        <v>-1621.2979999997799</v>
      </c>
    </row>
    <row r="307" spans="1:78" ht="18" customHeight="1">
      <c r="A307" s="177" t="s">
        <v>1148</v>
      </c>
      <c r="B307" s="177">
        <v>44985</v>
      </c>
      <c r="C307" s="178" t="s">
        <v>629</v>
      </c>
      <c r="D307" s="178" t="s">
        <v>146</v>
      </c>
      <c r="E307" s="289"/>
      <c r="F307" s="296"/>
      <c r="G307" s="281" t="s">
        <v>133</v>
      </c>
      <c r="H307" s="182"/>
      <c r="I307" s="182"/>
      <c r="J307" s="182"/>
      <c r="K307" s="183"/>
      <c r="L307" s="182">
        <v>1</v>
      </c>
      <c r="M307" s="182"/>
      <c r="N307" s="182"/>
      <c r="O307" s="183" t="s">
        <v>95</v>
      </c>
      <c r="P307" s="183" t="s">
        <v>96</v>
      </c>
      <c r="Q307" s="183" t="s">
        <v>97</v>
      </c>
      <c r="R307" s="183">
        <v>3</v>
      </c>
      <c r="S307" s="183">
        <v>3</v>
      </c>
      <c r="T307" s="183">
        <v>3</v>
      </c>
      <c r="U307" s="183" t="s">
        <v>22</v>
      </c>
      <c r="V307" s="183"/>
      <c r="W307" s="183"/>
      <c r="X307" s="183"/>
      <c r="Y307" s="184">
        <f t="shared" si="128"/>
        <v>0.01</v>
      </c>
      <c r="Z307" s="184">
        <f t="shared" si="129"/>
        <v>1620</v>
      </c>
      <c r="AA307" s="185"/>
      <c r="AB307" s="185"/>
      <c r="AC307" s="185" t="s">
        <v>1503</v>
      </c>
      <c r="AD307" s="649">
        <v>0.01</v>
      </c>
      <c r="AE307" s="182"/>
      <c r="AF307" s="332"/>
      <c r="AG307" s="182"/>
      <c r="AH307" s="182" t="s">
        <v>1504</v>
      </c>
      <c r="AI307" s="182" t="s">
        <v>1505</v>
      </c>
      <c r="AJ307" s="640"/>
      <c r="AK307" s="182"/>
      <c r="AL307" s="496">
        <f>-0.03*Z307</f>
        <v>-48.6</v>
      </c>
      <c r="AM307" s="496">
        <f>AL307*R307</f>
        <v>-145.80000000000001</v>
      </c>
      <c r="AN307" s="626"/>
      <c r="AO307" s="182"/>
      <c r="AP307" s="182" t="s">
        <v>770</v>
      </c>
      <c r="AQ307" s="332" t="str">
        <f>UPPER(RIGHT(Journal_Live[[#This Row],[DURATION ]]))</f>
        <v>D</v>
      </c>
      <c r="AR307" s="182" t="s">
        <v>1506</v>
      </c>
      <c r="AS307" s="189">
        <v>0.01</v>
      </c>
      <c r="AT307" s="189">
        <f>IF(ISBLANK(AS307),,IF(U307="S",AD307-AS307,AS307-AD307))</f>
        <v>0</v>
      </c>
      <c r="AU307" s="187">
        <f>AV307*R307</f>
        <v>0</v>
      </c>
      <c r="AV307" s="190">
        <f>IF(ISBLANK(AS307),,(AT307*Z307))</f>
        <v>0</v>
      </c>
      <c r="AW307" s="191" t="s">
        <v>115</v>
      </c>
      <c r="AX307" s="407" t="s">
        <v>1507</v>
      </c>
      <c r="AY307" s="407"/>
      <c r="AZ307" s="407"/>
      <c r="BA307" s="407"/>
      <c r="BB307" s="407"/>
      <c r="BC307" s="407"/>
      <c r="BD307" s="407"/>
      <c r="BE307" s="407"/>
      <c r="BF307" s="422"/>
      <c r="BG307" s="391">
        <f>SUM($AV$4:AV307)</f>
        <v>2608.2850000000103</v>
      </c>
      <c r="BH307" s="392">
        <f>SUM($AU$134:AU307)</f>
        <v>2756.0899999999815</v>
      </c>
      <c r="BI307" s="318">
        <f>SUMIFS($AU$134:AU308,$Q$134:Q308,"F")</f>
        <v>33.199999999999989</v>
      </c>
      <c r="BJ307" s="318">
        <f>SUMIFS($AU$134:AU308,$Q$134:Q308,"S")</f>
        <v>2324.4499999999998</v>
      </c>
      <c r="BK307" s="343">
        <f>SUMIFS($AU$134:AU308,$P$134:P308,"W")</f>
        <v>2121.3899999999721</v>
      </c>
      <c r="BL307" s="343">
        <f>SUMIFS($AU$134:AU308,$P$134:P308,"R")</f>
        <v>407.90000000000873</v>
      </c>
      <c r="BM307" s="343">
        <f>SUMIFS($AU$134:AU308,$AQ$134:AQ308,"M")</f>
        <v>-82.999999999995296</v>
      </c>
      <c r="BN307" s="343">
        <f>SUMIFS($AU$134:AU308,$AQ$134:AQ308,"H")</f>
        <v>399.70000000001505</v>
      </c>
      <c r="BO307" s="343">
        <f>SUMIFS($AU$134:AU308,$AQ$134:AQ308,"D")</f>
        <v>1373.5499999999997</v>
      </c>
      <c r="BP307" s="343">
        <f>SUMIFS($AU$134:AU310,$AQ$134:AQ310,"W")</f>
        <v>25.30000000000004</v>
      </c>
      <c r="BQ307" s="343">
        <f>SUMIFS($AU$134:AU308,$Q$134:Q308,"O")</f>
        <v>-27.560000000018682</v>
      </c>
      <c r="BR307" s="343">
        <f>SUMIFS($AU$134:AU308,$AA$134:AA308,"*")</f>
        <v>2711.1500000000106</v>
      </c>
      <c r="BS307" s="343">
        <f>SUMIFS($AU$134:AU308,$AB$134:AB308,"*")</f>
        <v>485.03999999995608</v>
      </c>
      <c r="BT307" s="343">
        <f>SUMIFS($AU$134:AU308,$AC$134:AC308,"*")</f>
        <v>1204.5499999999993</v>
      </c>
      <c r="BU307" s="343">
        <f>SUMIFS($AU$134:AU308,$AA$134:AA308,"*",$AB$134:AB308,"*")</f>
        <v>535.49999999998488</v>
      </c>
      <c r="BV307" s="343">
        <f>SUMIFS($AU$134:AU308,$AA$134:AA308,"*",$AC$134:AC308,"*")</f>
        <v>1519.9499999999994</v>
      </c>
      <c r="BW307" s="343">
        <f>SUMIFS($AU$134:AU308,$AB$134:AB308,"*",$AC$134:AC308,"*")</f>
        <v>598.1</v>
      </c>
      <c r="BX307" s="343">
        <f>SUMIFS($AU308:AU$1388,$Q308:Q$1388,"F")</f>
        <v>14407.466666666669</v>
      </c>
      <c r="BY307" s="343">
        <f>SUMIFS($AU308:AU$1388,$Q308:Q$1388,"S")</f>
        <v>18120.392000000003</v>
      </c>
      <c r="BZ307" s="343">
        <f>SUMIFS($AU308:AU$1388,$Q308:Q$1388,"O")</f>
        <v>-1621.2979999997799</v>
      </c>
    </row>
    <row r="308" spans="1:78" ht="18" customHeight="1">
      <c r="A308" s="177" t="s">
        <v>1148</v>
      </c>
      <c r="B308" s="177">
        <v>44985</v>
      </c>
      <c r="C308" s="178" t="s">
        <v>1508</v>
      </c>
      <c r="D308" s="178" t="s">
        <v>146</v>
      </c>
      <c r="E308" s="289"/>
      <c r="F308" s="296"/>
      <c r="G308" s="281" t="s">
        <v>553</v>
      </c>
      <c r="H308" s="182"/>
      <c r="I308" s="182"/>
      <c r="J308" s="182"/>
      <c r="K308" s="183"/>
      <c r="L308" s="182">
        <v>1</v>
      </c>
      <c r="M308" s="182"/>
      <c r="N308" s="182"/>
      <c r="O308" s="183" t="s">
        <v>95</v>
      </c>
      <c r="P308" s="183" t="s">
        <v>137</v>
      </c>
      <c r="Q308" s="183" t="s">
        <v>97</v>
      </c>
      <c r="R308" s="183">
        <v>7</v>
      </c>
      <c r="S308" s="183">
        <v>7</v>
      </c>
      <c r="T308" s="183">
        <v>7</v>
      </c>
      <c r="U308" s="183" t="s">
        <v>97</v>
      </c>
      <c r="V308" s="183"/>
      <c r="W308" s="183"/>
      <c r="X308" s="183"/>
      <c r="Y308" s="184">
        <f t="shared" si="128"/>
        <v>0.01</v>
      </c>
      <c r="Z308" s="184">
        <f t="shared" si="129"/>
        <v>1620</v>
      </c>
      <c r="AA308" s="185" t="s">
        <v>1419</v>
      </c>
      <c r="AB308" s="185"/>
      <c r="AC308" s="185" t="s">
        <v>1509</v>
      </c>
      <c r="AD308" s="649">
        <v>-0.1</v>
      </c>
      <c r="AE308" s="182"/>
      <c r="AF308" s="332">
        <v>-7</v>
      </c>
      <c r="AG308" s="182"/>
      <c r="AH308" s="182" t="s">
        <v>1510</v>
      </c>
      <c r="AI308" s="182" t="s">
        <v>1511</v>
      </c>
      <c r="AJ308" s="640" t="s">
        <v>529</v>
      </c>
      <c r="AK308" s="182"/>
      <c r="AL308" s="496">
        <f>-0.03*Z308</f>
        <v>-48.6</v>
      </c>
      <c r="AM308" s="496">
        <f>AL308*R308</f>
        <v>-340.2</v>
      </c>
      <c r="AN308" s="627" t="s">
        <v>1512</v>
      </c>
      <c r="AO308" s="205" t="s">
        <v>1513</v>
      </c>
      <c r="AP308" s="182" t="s">
        <v>902</v>
      </c>
      <c r="AQ308" s="332" t="str">
        <f>UPPER(RIGHT(Journal_Live[[#This Row],[DURATION ]]))</f>
        <v>W</v>
      </c>
      <c r="AR308" s="182" t="s">
        <v>1514</v>
      </c>
      <c r="AS308" s="189">
        <v>-0.08</v>
      </c>
      <c r="AT308" s="189">
        <f>IF(ISBLANK(AS308),,IF(U308="S",AD308-AS308,AS308-AD308))</f>
        <v>-2.0000000000000004E-2</v>
      </c>
      <c r="AU308" s="187">
        <f>AV308*R308</f>
        <v>-226.80000000000004</v>
      </c>
      <c r="AV308" s="190">
        <f>IF(ISBLANK(AS308),,(AT308*Z308))</f>
        <v>-32.400000000000006</v>
      </c>
      <c r="AW308" s="191" t="s">
        <v>229</v>
      </c>
      <c r="AX308" s="413" t="s">
        <v>1515</v>
      </c>
      <c r="AY308" s="407"/>
      <c r="AZ308" s="413"/>
      <c r="BA308" s="407"/>
      <c r="BB308" s="407"/>
      <c r="BC308" s="407"/>
      <c r="BD308" s="407"/>
      <c r="BE308" s="407"/>
      <c r="BF308" s="422"/>
      <c r="BG308" s="391">
        <f>SUM($AV$4:AV308)</f>
        <v>2575.8850000000102</v>
      </c>
      <c r="BH308" s="392">
        <f>SUM($AU$134:AU308)</f>
        <v>2529.2899999999813</v>
      </c>
      <c r="BI308" s="318">
        <f>SUMIFS($AU$134:AU309,$Q$134:Q309,"F")</f>
        <v>33.199999999999989</v>
      </c>
      <c r="BJ308" s="318">
        <f>SUMIFS($AU$134:AU309,$Q$134:Q309,"S")</f>
        <v>2324.4499999999998</v>
      </c>
      <c r="BK308" s="343">
        <f>SUMIFS($AU$134:AU309,$P$134:P309,"W")</f>
        <v>2121.3899999999721</v>
      </c>
      <c r="BL308" s="343">
        <f>SUMIFS($AU$134:AU309,$P$134:P309,"R")</f>
        <v>407.90000000000873</v>
      </c>
      <c r="BM308" s="343">
        <f>SUMIFS($AU$134:AU309,$AQ$134:AQ309,"M")</f>
        <v>-82.999999999995296</v>
      </c>
      <c r="BN308" s="343">
        <f>SUMIFS($AU$134:AU309,$AQ$134:AQ309,"H")</f>
        <v>399.70000000001505</v>
      </c>
      <c r="BO308" s="343">
        <f>SUMIFS($AU$134:AU309,$AQ$134:AQ309,"D")</f>
        <v>1373.5499999999997</v>
      </c>
      <c r="BP308" s="343">
        <f>SUMIFS($AU$134:AU311,$AQ$134:AQ311,"W")</f>
        <v>25.30000000000004</v>
      </c>
      <c r="BQ308" s="343">
        <f>SUMIFS($AU$134:AU309,$Q$134:Q309,"O")</f>
        <v>-27.560000000018682</v>
      </c>
      <c r="BR308" s="343">
        <f>SUMIFS($AU$134:AU309,$AA$134:AA309,"*")</f>
        <v>2711.1500000000106</v>
      </c>
      <c r="BS308" s="343">
        <f>SUMIFS($AU$134:AU309,$AB$134:AB309,"*")</f>
        <v>485.03999999995608</v>
      </c>
      <c r="BT308" s="343">
        <f>SUMIFS($AU$134:AU309,$AC$134:AC309,"*")</f>
        <v>1204.5499999999993</v>
      </c>
      <c r="BU308" s="343">
        <f>SUMIFS($AU$134:AU309,$AA$134:AA309,"*",$AB$134:AB309,"*")</f>
        <v>535.49999999998488</v>
      </c>
      <c r="BV308" s="343">
        <f>SUMIFS($AU$134:AU309,$AA$134:AA309,"*",$AC$134:AC309,"*")</f>
        <v>1519.9499999999994</v>
      </c>
      <c r="BW308" s="343">
        <f>SUMIFS($AU$134:AU309,$AB$134:AB309,"*",$AC$134:AC309,"*")</f>
        <v>598.1</v>
      </c>
      <c r="BX308" s="343">
        <f>SUMIFS($AU309:AU$1388,$Q309:Q$1388,"F")</f>
        <v>14407.466666666669</v>
      </c>
      <c r="BY308" s="343">
        <f>SUMIFS($AU309:AU$1388,$Q309:Q$1388,"S")</f>
        <v>18347.192000000003</v>
      </c>
      <c r="BZ308" s="343">
        <f>SUMIFS($AU309:AU$1388,$Q309:Q$1388,"O")</f>
        <v>-1621.2979999997799</v>
      </c>
    </row>
    <row r="309" spans="1:78" ht="18" customHeight="1">
      <c r="A309" s="177" t="s">
        <v>1148</v>
      </c>
      <c r="B309" s="200"/>
      <c r="C309" s="178"/>
      <c r="D309" s="178"/>
      <c r="E309" s="289"/>
      <c r="F309" s="296"/>
      <c r="G309" s="181"/>
      <c r="H309" s="182"/>
      <c r="I309" s="182"/>
      <c r="J309" s="182"/>
      <c r="K309" s="183"/>
      <c r="L309" s="182"/>
      <c r="M309" s="182"/>
      <c r="N309" s="182"/>
      <c r="O309" s="183"/>
      <c r="P309" s="183"/>
      <c r="Q309" s="183"/>
      <c r="R309" s="183"/>
      <c r="S309" s="183"/>
      <c r="T309" s="183"/>
      <c r="U309" s="183"/>
      <c r="V309" s="183"/>
      <c r="W309" s="183"/>
      <c r="X309" s="183"/>
      <c r="Y309" s="184" t="str">
        <f t="shared" si="128"/>
        <v/>
      </c>
      <c r="Z309" s="184" t="str">
        <f t="shared" si="129"/>
        <v/>
      </c>
      <c r="AA309" s="185"/>
      <c r="AB309" s="185"/>
      <c r="AC309" s="185"/>
      <c r="AD309" s="649"/>
      <c r="AE309" s="182"/>
      <c r="AF309" s="332"/>
      <c r="AG309" s="182"/>
      <c r="AH309" s="182"/>
      <c r="AI309" s="182"/>
      <c r="AJ309" s="640"/>
      <c r="AK309" s="182"/>
      <c r="AL309" s="496"/>
      <c r="AM309" s="496"/>
      <c r="AN309" s="626"/>
      <c r="AO309" s="182"/>
      <c r="AP309" s="182"/>
      <c r="AQ309" s="332" t="str">
        <f>UPPER(RIGHT(Journal_Live[[#This Row],[DURATION ]]))</f>
        <v/>
      </c>
      <c r="AR309" s="182"/>
      <c r="AS309" s="189"/>
      <c r="AT309" s="189"/>
      <c r="AU309" s="187"/>
      <c r="AV309" s="190"/>
      <c r="AW309" s="191"/>
      <c r="AX309" s="407"/>
      <c r="AY309" s="407"/>
      <c r="AZ309" s="407"/>
      <c r="BA309" s="407"/>
      <c r="BB309" s="407"/>
      <c r="BC309" s="407"/>
      <c r="BD309" s="407"/>
      <c r="BE309" s="407"/>
      <c r="BF309" s="422"/>
      <c r="BG309" s="391">
        <f>SUM($AV$4:AV309)</f>
        <v>2575.8850000000102</v>
      </c>
      <c r="BH309" s="392">
        <f>SUM($AU$134:AU309)</f>
        <v>2529.2899999999813</v>
      </c>
      <c r="BI309" s="318">
        <f>SUMIFS($AU$134:AU310,$Q$134:Q310,"F")</f>
        <v>33.199999999999989</v>
      </c>
      <c r="BJ309" s="318">
        <f>SUMIFS($AU$134:AU310,$Q$134:Q310,"S")</f>
        <v>2324.4499999999998</v>
      </c>
      <c r="BK309" s="343">
        <f>SUMIFS($AU$134:AU310,$P$134:P310,"W")</f>
        <v>2121.3899999999721</v>
      </c>
      <c r="BL309" s="343">
        <f>SUMIFS($AU$134:AU310,$P$134:P310,"R")</f>
        <v>407.90000000000873</v>
      </c>
      <c r="BM309" s="343">
        <f>SUMIFS($AU$134:AU310,$AQ$134:AQ310,"M")</f>
        <v>-82.999999999995296</v>
      </c>
      <c r="BN309" s="343">
        <f>SUMIFS($AU$134:AU310,$AQ$134:AQ310,"H")</f>
        <v>399.70000000001505</v>
      </c>
      <c r="BO309" s="343">
        <f>SUMIFS($AU$134:AU310,$AQ$134:AQ310,"D")</f>
        <v>1373.5499999999997</v>
      </c>
      <c r="BP309" s="343">
        <f>SUMIFS($AU$134:AU312,$AQ$134:AQ312,"W")</f>
        <v>25.30000000000004</v>
      </c>
      <c r="BQ309" s="343">
        <f>SUMIFS($AU$134:AU310,$Q$134:Q310,"O")</f>
        <v>-27.560000000018682</v>
      </c>
      <c r="BR309" s="343">
        <f>SUMIFS($AU$134:AU310,$AA$134:AA310,"*")</f>
        <v>2711.1500000000106</v>
      </c>
      <c r="BS309" s="343">
        <f>SUMIFS($AU$134:AU310,$AB$134:AB310,"*")</f>
        <v>485.03999999995608</v>
      </c>
      <c r="BT309" s="343">
        <f>SUMIFS($AU$134:AU310,$AC$134:AC310,"*")</f>
        <v>1204.5499999999993</v>
      </c>
      <c r="BU309" s="343">
        <f>SUMIFS($AU$134:AU310,$AA$134:AA310,"*",$AB$134:AB310,"*")</f>
        <v>535.49999999998488</v>
      </c>
      <c r="BV309" s="343">
        <f>SUMIFS($AU$134:AU310,$AA$134:AA310,"*",$AC$134:AC310,"*")</f>
        <v>1519.9499999999994</v>
      </c>
      <c r="BW309" s="343">
        <f>SUMIFS($AU$134:AU310,$AB$134:AB310,"*",$AC$134:AC310,"*")</f>
        <v>598.1</v>
      </c>
      <c r="BX309" s="343">
        <f>SUMIFS($AU310:AU$1388,$Q310:Q$1388,"F")</f>
        <v>14407.466666666669</v>
      </c>
      <c r="BY309" s="343">
        <f>SUMIFS($AU310:AU$1388,$Q310:Q$1388,"S")</f>
        <v>18347.192000000003</v>
      </c>
      <c r="BZ309" s="343">
        <f>SUMIFS($AU310:AU$1388,$Q310:Q$1388,"O")</f>
        <v>-1621.2979999997799</v>
      </c>
    </row>
    <row r="310" spans="1:78" ht="18" customHeight="1">
      <c r="A310" s="177" t="s">
        <v>1148</v>
      </c>
      <c r="B310" s="200"/>
      <c r="C310" s="201"/>
      <c r="D310" s="178"/>
      <c r="E310" s="247"/>
      <c r="F310" s="203"/>
      <c r="G310" s="204"/>
      <c r="H310" s="205"/>
      <c r="I310" s="205"/>
      <c r="J310" s="205"/>
      <c r="K310" s="206"/>
      <c r="L310" s="205"/>
      <c r="M310" s="205"/>
      <c r="N310" s="205"/>
      <c r="O310" s="206"/>
      <c r="P310" s="206"/>
      <c r="Q310" s="206"/>
      <c r="R310" s="206"/>
      <c r="S310" s="206"/>
      <c r="T310" s="206"/>
      <c r="U310" s="206"/>
      <c r="V310" s="206"/>
      <c r="W310" s="206"/>
      <c r="X310" s="206"/>
      <c r="Y310" s="184" t="str">
        <f t="shared" si="128"/>
        <v/>
      </c>
      <c r="Z310" s="184" t="str">
        <f t="shared" si="129"/>
        <v/>
      </c>
      <c r="AA310" s="208"/>
      <c r="AB310" s="208"/>
      <c r="AC310" s="208"/>
      <c r="AD310" s="650"/>
      <c r="AE310" s="205"/>
      <c r="AF310" s="333"/>
      <c r="AG310" s="205"/>
      <c r="AH310" s="205"/>
      <c r="AI310" s="205"/>
      <c r="AJ310" s="641"/>
      <c r="AK310" s="205"/>
      <c r="AL310" s="496"/>
      <c r="AM310" s="496"/>
      <c r="AN310" s="627"/>
      <c r="AO310" s="205"/>
      <c r="AP310" s="205"/>
      <c r="AQ310" s="333" t="str">
        <f>UPPER(RIGHT(Journal_Live[[#This Row],[DURATION ]]))</f>
        <v/>
      </c>
      <c r="AR310" s="205"/>
      <c r="AS310" s="211"/>
      <c r="AT310" s="189"/>
      <c r="AU310" s="187"/>
      <c r="AV310" s="190"/>
      <c r="AW310" s="213"/>
      <c r="AX310" s="417" t="s">
        <v>1516</v>
      </c>
      <c r="AY310" s="417" t="s">
        <v>1517</v>
      </c>
      <c r="AZ310" s="417" t="s">
        <v>1518</v>
      </c>
      <c r="BA310" s="417" t="s">
        <v>1519</v>
      </c>
      <c r="BB310" s="417" t="s">
        <v>1520</v>
      </c>
      <c r="BC310" s="417" t="s">
        <v>1521</v>
      </c>
      <c r="BD310" s="413" t="s">
        <v>529</v>
      </c>
      <c r="BE310" s="413"/>
      <c r="BF310" s="427"/>
      <c r="BG310" s="391">
        <f>SUM($AV$4:AV310)</f>
        <v>2575.8850000000102</v>
      </c>
      <c r="BH310" s="392">
        <f>SUM($AU$134:AU310)</f>
        <v>2529.2899999999813</v>
      </c>
      <c r="BI310" s="318">
        <f>SUMIFS($AU$134:AU311,$Q$134:Q311,"F")</f>
        <v>33.199999999999989</v>
      </c>
      <c r="BJ310" s="318">
        <f>SUMIFS($AU$134:AU311,$Q$134:Q311,"S")</f>
        <v>2324.4499999999998</v>
      </c>
      <c r="BK310" s="343">
        <f>SUMIFS($AU$134:AU311,$P$134:P311,"W")</f>
        <v>2121.3899999999721</v>
      </c>
      <c r="BL310" s="343">
        <f>SUMIFS($AU$134:AU311,$P$134:P311,"R")</f>
        <v>407.90000000000873</v>
      </c>
      <c r="BM310" s="343">
        <f>SUMIFS($AU$134:AU311,$AQ$134:AQ311,"M")</f>
        <v>-82.999999999995296</v>
      </c>
      <c r="BN310" s="343">
        <f>SUMIFS($AU$134:AU311,$AQ$134:AQ311,"H")</f>
        <v>399.70000000001505</v>
      </c>
      <c r="BO310" s="343">
        <f>SUMIFS($AU$134:AU311,$AQ$134:AQ311,"D")</f>
        <v>1373.5499999999997</v>
      </c>
      <c r="BP310" s="343">
        <f>SUMIFS($AU$134:AU313,$AQ$134:AQ313,"W")</f>
        <v>25.30000000000004</v>
      </c>
      <c r="BQ310" s="343">
        <f>SUMIFS($AU$134:AU311,$Q$134:Q311,"O")</f>
        <v>-27.560000000018682</v>
      </c>
      <c r="BR310" s="343">
        <f>SUMIFS($AU$134:AU311,$AA$134:AA311,"*")</f>
        <v>2711.1500000000106</v>
      </c>
      <c r="BS310" s="343">
        <f>SUMIFS($AU$134:AU311,$AB$134:AB311,"*")</f>
        <v>485.03999999995608</v>
      </c>
      <c r="BT310" s="343">
        <f>SUMIFS($AU$134:AU311,$AC$134:AC311,"*")</f>
        <v>1204.5499999999993</v>
      </c>
      <c r="BU310" s="343">
        <f>SUMIFS($AU$134:AU311,$AA$134:AA311,"*",$AB$134:AB311,"*")</f>
        <v>535.49999999998488</v>
      </c>
      <c r="BV310" s="343">
        <f>SUMIFS($AU$134:AU311,$AA$134:AA311,"*",$AC$134:AC311,"*")</f>
        <v>1519.9499999999994</v>
      </c>
      <c r="BW310" s="343">
        <f>SUMIFS($AU$134:AU311,$AB$134:AB311,"*",$AC$134:AC311,"*")</f>
        <v>598.1</v>
      </c>
      <c r="BX310" s="343">
        <f>SUMIFS($AU311:AU$1388,$Q311:Q$1388,"F")</f>
        <v>14407.466666666669</v>
      </c>
      <c r="BY310" s="343">
        <f>SUMIFS($AU311:AU$1388,$Q311:Q$1388,"S")</f>
        <v>18347.192000000003</v>
      </c>
      <c r="BZ310" s="343">
        <f>SUMIFS($AU311:AU$1388,$Q311:Q$1388,"O")</f>
        <v>-1621.2979999997799</v>
      </c>
    </row>
    <row r="311" spans="1:78" ht="18" customHeight="1">
      <c r="A311" s="273" t="s">
        <v>1522</v>
      </c>
      <c r="B311" s="273"/>
      <c r="C311" s="214"/>
      <c r="D311" s="214"/>
      <c r="E311" s="215"/>
      <c r="F311" s="216"/>
      <c r="G311" s="214"/>
      <c r="H311" s="214"/>
      <c r="I311" s="214"/>
      <c r="J311" s="214"/>
      <c r="K311" s="217"/>
      <c r="L311" s="214"/>
      <c r="M311" s="214"/>
      <c r="N311" s="214"/>
      <c r="O311" s="217"/>
      <c r="P311" s="217"/>
      <c r="Q311" s="217"/>
      <c r="R311" s="217"/>
      <c r="S311" s="217"/>
      <c r="T311" s="217"/>
      <c r="U311" s="217"/>
      <c r="V311" s="217"/>
      <c r="W311" s="217"/>
      <c r="X311" s="217"/>
      <c r="Y311" s="218" t="str">
        <f t="shared" si="128"/>
        <v/>
      </c>
      <c r="Z311" s="218" t="str">
        <f t="shared" si="129"/>
        <v/>
      </c>
      <c r="AA311" s="218"/>
      <c r="AB311" s="218"/>
      <c r="AC311" s="218"/>
      <c r="AD311" s="651"/>
      <c r="AE311" s="214"/>
      <c r="AF311" s="214"/>
      <c r="AG311" s="214"/>
      <c r="AH311" s="214"/>
      <c r="AI311" s="214"/>
      <c r="AJ311" s="642"/>
      <c r="AK311" s="214"/>
      <c r="AL311" s="502"/>
      <c r="AM311" s="502"/>
      <c r="AN311" s="628"/>
      <c r="AO311" s="214"/>
      <c r="AP311" s="214"/>
      <c r="AQ311" s="334" t="str">
        <f>UPPER(RIGHT(Journal_Live[[#This Row],[DURATION ]]))</f>
        <v/>
      </c>
      <c r="AR311" s="214"/>
      <c r="AS311" s="219"/>
      <c r="AT311" s="219"/>
      <c r="AU311" s="219"/>
      <c r="AV311" s="219"/>
      <c r="AW311" s="220"/>
      <c r="AX311" s="414"/>
      <c r="AY311" s="414"/>
      <c r="AZ311" s="414"/>
      <c r="BA311" s="414"/>
      <c r="BB311" s="414"/>
      <c r="BC311" s="414"/>
      <c r="BD311" s="414"/>
      <c r="BE311" s="414"/>
      <c r="BF311" s="414"/>
      <c r="BG311" s="391">
        <f>SUM($AV$4:AV311)</f>
        <v>2575.8850000000102</v>
      </c>
      <c r="BH311" s="392">
        <f>SUM($AU$134:AU311)</f>
        <v>2529.2899999999813</v>
      </c>
      <c r="BI311" s="318">
        <f>SUMIFS($AU$134:AU312,$Q$134:Q312,"F")</f>
        <v>33.199999999999989</v>
      </c>
      <c r="BJ311" s="318">
        <f>SUMIFS($AU$134:AU312,$Q$134:Q312,"S")</f>
        <v>2324.4499999999998</v>
      </c>
      <c r="BK311" s="343">
        <f>SUMIFS($AU$134:AU312,$P$134:P312,"W")</f>
        <v>2121.3899999999721</v>
      </c>
      <c r="BL311" s="343">
        <f>SUMIFS($AU$134:AU312,$P$134:P312,"R")</f>
        <v>407.90000000000873</v>
      </c>
      <c r="BM311" s="343">
        <f>SUMIFS($AU$134:AU312,$AQ$134:AQ312,"M")</f>
        <v>-82.999999999995296</v>
      </c>
      <c r="BN311" s="343">
        <f>SUMIFS($AU$134:AU312,$AQ$134:AQ312,"H")</f>
        <v>399.70000000001505</v>
      </c>
      <c r="BO311" s="343">
        <f>SUMIFS($AU$134:AU312,$AQ$134:AQ312,"D")</f>
        <v>1373.5499999999997</v>
      </c>
      <c r="BP311" s="343">
        <f>SUMIFS($AU$134:AU314,$AQ$134:AQ314,"W")</f>
        <v>25.30000000000004</v>
      </c>
      <c r="BQ311" s="343">
        <f>SUMIFS($AU$134:AU312,$Q$134:Q312,"O")</f>
        <v>-27.560000000018682</v>
      </c>
      <c r="BR311" s="343">
        <f>SUMIFS($AU$134:AU312,$AA$134:AA312,"*")</f>
        <v>2711.1500000000106</v>
      </c>
      <c r="BS311" s="343">
        <f>SUMIFS($AU$134:AU312,$AB$134:AB312,"*")</f>
        <v>485.03999999995608</v>
      </c>
      <c r="BT311" s="343">
        <f>SUMIFS($AU$134:AU312,$AC$134:AC312,"*")</f>
        <v>1204.5499999999993</v>
      </c>
      <c r="BU311" s="343">
        <f>SUMIFS($AU$134:AU312,$AA$134:AA312,"*",$AB$134:AB312,"*")</f>
        <v>535.49999999998488</v>
      </c>
      <c r="BV311" s="343">
        <f>SUMIFS($AU$134:AU312,$AA$134:AA312,"*",$AC$134:AC312,"*")</f>
        <v>1519.9499999999994</v>
      </c>
      <c r="BW311" s="343">
        <f>SUMIFS($AU$134:AU312,$AB$134:AB312,"*",$AC$134:AC312,"*")</f>
        <v>598.1</v>
      </c>
      <c r="BX311" s="343">
        <f>SUMIFS($AU312:AU$1388,$Q312:Q$1388,"F")</f>
        <v>14407.466666666669</v>
      </c>
      <c r="BY311" s="343">
        <f>SUMIFS($AU312:AU$1388,$Q312:Q$1388,"S")</f>
        <v>18347.192000000003</v>
      </c>
      <c r="BZ311" s="343">
        <f>SUMIFS($AU312:AU$1388,$Q312:Q$1388,"O")</f>
        <v>-1621.2979999997799</v>
      </c>
    </row>
    <row r="312" spans="1:78" ht="18" customHeight="1">
      <c r="A312" s="221" t="s">
        <v>1523</v>
      </c>
      <c r="B312" s="221">
        <v>44986</v>
      </c>
      <c r="C312" s="223" t="s">
        <v>1437</v>
      </c>
      <c r="D312" s="223" t="s">
        <v>151</v>
      </c>
      <c r="E312" s="289" t="s">
        <v>1524</v>
      </c>
      <c r="F312" s="225" t="s">
        <v>1525</v>
      </c>
      <c r="G312" s="226"/>
      <c r="H312" s="166"/>
      <c r="I312" s="166"/>
      <c r="J312" s="166"/>
      <c r="K312" s="169" t="s">
        <v>115</v>
      </c>
      <c r="L312" s="166"/>
      <c r="M312" s="166"/>
      <c r="N312" s="166"/>
      <c r="O312" s="169"/>
      <c r="P312" s="169"/>
      <c r="Q312" s="169"/>
      <c r="R312" s="169"/>
      <c r="S312" s="169"/>
      <c r="T312" s="169"/>
      <c r="U312" s="169"/>
      <c r="V312" s="169"/>
      <c r="W312" s="169"/>
      <c r="X312" s="169"/>
      <c r="Y312" s="184" t="str">
        <f t="shared" si="128"/>
        <v/>
      </c>
      <c r="Z312" s="184" t="str">
        <f t="shared" si="129"/>
        <v/>
      </c>
      <c r="AA312" s="172"/>
      <c r="AB312" s="172"/>
      <c r="AC312" s="172"/>
      <c r="AD312" s="648"/>
      <c r="AE312" s="166"/>
      <c r="AF312" s="331"/>
      <c r="AG312" s="166"/>
      <c r="AH312" s="166"/>
      <c r="AI312" s="166"/>
      <c r="AJ312" s="639"/>
      <c r="AK312" s="166"/>
      <c r="AL312" s="496"/>
      <c r="AM312" s="496"/>
      <c r="AN312" s="625"/>
      <c r="AO312" s="166"/>
      <c r="AP312" s="166"/>
      <c r="AQ312" s="331" t="str">
        <f>UPPER(RIGHT(Journal_Live[[#This Row],[DURATION ]]))</f>
        <v/>
      </c>
      <c r="AR312" s="166"/>
      <c r="AS312" s="174"/>
      <c r="AT312" s="189"/>
      <c r="AU312" s="187"/>
      <c r="AV312" s="190"/>
      <c r="AW312" s="176"/>
      <c r="AX312" s="411" t="s">
        <v>1526</v>
      </c>
      <c r="AY312" s="411" t="s">
        <v>529</v>
      </c>
      <c r="AZ312" s="411"/>
      <c r="BA312" s="411"/>
      <c r="BB312" s="411"/>
      <c r="BC312" s="411"/>
      <c r="BD312" s="411"/>
      <c r="BE312" s="411"/>
      <c r="BF312" s="421"/>
      <c r="BG312" s="391">
        <f>SUM($AV$4:AV312)</f>
        <v>2575.8850000000102</v>
      </c>
      <c r="BH312" s="392">
        <f>SUM($AU$134:AU312)</f>
        <v>2529.2899999999813</v>
      </c>
      <c r="BI312" s="318">
        <f>SUMIFS($AU$134:AU313,$Q$134:Q313,"F")</f>
        <v>33.199999999999989</v>
      </c>
      <c r="BJ312" s="318">
        <f>SUMIFS($AU$134:AU313,$Q$134:Q313,"S")</f>
        <v>2324.4499999999998</v>
      </c>
      <c r="BK312" s="343">
        <f>SUMIFS($AU$134:AU313,$P$134:P313,"W")</f>
        <v>2121.3899999999721</v>
      </c>
      <c r="BL312" s="343">
        <f>SUMIFS($AU$134:AU313,$P$134:P313,"R")</f>
        <v>407.90000000000873</v>
      </c>
      <c r="BM312" s="343">
        <f>SUMIFS($AU$134:AU313,$AQ$134:AQ313,"M")</f>
        <v>-82.999999999995296</v>
      </c>
      <c r="BN312" s="343">
        <f>SUMIFS($AU$134:AU313,$AQ$134:AQ313,"H")</f>
        <v>399.70000000001505</v>
      </c>
      <c r="BO312" s="343">
        <f>SUMIFS($AU$134:AU313,$AQ$134:AQ313,"D")</f>
        <v>1373.5499999999997</v>
      </c>
      <c r="BP312" s="343">
        <f>SUMIFS($AU$134:AU315,$AQ$134:AQ315,"W")</f>
        <v>25.30000000000004</v>
      </c>
      <c r="BQ312" s="343">
        <f>SUMIFS($AU$134:AU313,$Q$134:Q313,"O")</f>
        <v>-27.560000000018682</v>
      </c>
      <c r="BR312" s="343">
        <f>SUMIFS($AU$134:AU313,$AA$134:AA313,"*")</f>
        <v>2711.1500000000106</v>
      </c>
      <c r="BS312" s="343">
        <f>SUMIFS($AU$134:AU313,$AB$134:AB313,"*")</f>
        <v>485.03999999995608</v>
      </c>
      <c r="BT312" s="343">
        <f>SUMIFS($AU$134:AU313,$AC$134:AC313,"*")</f>
        <v>1204.5499999999993</v>
      </c>
      <c r="BU312" s="343">
        <f>SUMIFS($AU$134:AU313,$AA$134:AA313,"*",$AB$134:AB313,"*")</f>
        <v>535.49999999998488</v>
      </c>
      <c r="BV312" s="343">
        <f>SUMIFS($AU$134:AU313,$AA$134:AA313,"*",$AC$134:AC313,"*")</f>
        <v>1519.9499999999994</v>
      </c>
      <c r="BW312" s="343">
        <f>SUMIFS($AU$134:AU313,$AB$134:AB313,"*",$AC$134:AC313,"*")</f>
        <v>598.1</v>
      </c>
      <c r="BX312" s="343">
        <f>SUMIFS($AU313:AU$1388,$Q313:Q$1388,"F")</f>
        <v>14407.466666666669</v>
      </c>
      <c r="BY312" s="343">
        <f>SUMIFS($AU313:AU$1388,$Q313:Q$1388,"S")</f>
        <v>18347.192000000003</v>
      </c>
      <c r="BZ312" s="343">
        <f>SUMIFS($AU313:AU$1388,$Q313:Q$1388,"O")</f>
        <v>-1621.2979999997799</v>
      </c>
    </row>
    <row r="313" spans="1:78" ht="18" customHeight="1">
      <c r="A313" s="221" t="s">
        <v>1523</v>
      </c>
      <c r="B313" s="200"/>
      <c r="C313" s="178"/>
      <c r="D313" s="178"/>
      <c r="E313" s="289" t="s">
        <v>1527</v>
      </c>
      <c r="F313" s="180" t="s">
        <v>1528</v>
      </c>
      <c r="G313" s="181"/>
      <c r="H313" s="182"/>
      <c r="I313" s="182"/>
      <c r="J313" s="182"/>
      <c r="K313" s="183" t="s">
        <v>115</v>
      </c>
      <c r="L313" s="182"/>
      <c r="M313" s="182"/>
      <c r="N313" s="182"/>
      <c r="O313" s="183"/>
      <c r="P313" s="183"/>
      <c r="Q313" s="183"/>
      <c r="R313" s="183"/>
      <c r="S313" s="183"/>
      <c r="T313" s="183"/>
      <c r="U313" s="183"/>
      <c r="V313" s="183"/>
      <c r="W313" s="183"/>
      <c r="X313" s="183"/>
      <c r="Y313" s="184" t="str">
        <f t="shared" si="128"/>
        <v/>
      </c>
      <c r="Z313" s="184" t="str">
        <f t="shared" si="129"/>
        <v/>
      </c>
      <c r="AA313" s="185"/>
      <c r="AB313" s="185"/>
      <c r="AC313" s="185"/>
      <c r="AD313" s="649"/>
      <c r="AE313" s="182"/>
      <c r="AF313" s="332"/>
      <c r="AG313" s="182"/>
      <c r="AH313" s="182"/>
      <c r="AI313" s="182"/>
      <c r="AJ313" s="640"/>
      <c r="AK313" s="182"/>
      <c r="AL313" s="496"/>
      <c r="AM313" s="496"/>
      <c r="AN313" s="626"/>
      <c r="AO313" s="182"/>
      <c r="AP313" s="182"/>
      <c r="AQ313" s="332" t="str">
        <f>UPPER(RIGHT(Journal_Live[[#This Row],[DURATION ]]))</f>
        <v/>
      </c>
      <c r="AR313" s="182"/>
      <c r="AS313" s="189"/>
      <c r="AT313" s="189"/>
      <c r="AU313" s="187"/>
      <c r="AV313" s="190"/>
      <c r="AW313" s="191"/>
      <c r="AX313" s="407"/>
      <c r="AY313" s="407"/>
      <c r="AZ313" s="407"/>
      <c r="BA313" s="407"/>
      <c r="BB313" s="407"/>
      <c r="BC313" s="407"/>
      <c r="BD313" s="407"/>
      <c r="BE313" s="407"/>
      <c r="BF313" s="422"/>
      <c r="BG313" s="391">
        <f>SUM($AV$4:AV313)</f>
        <v>2575.8850000000102</v>
      </c>
      <c r="BH313" s="392">
        <f>SUM($AU$134:AU313)</f>
        <v>2529.2899999999813</v>
      </c>
      <c r="BI313" s="318">
        <f>SUMIFS($AU$134:AU314,$Q$134:Q314,"F")</f>
        <v>33.199999999999989</v>
      </c>
      <c r="BJ313" s="318">
        <f>SUMIFS($AU$134:AU314,$Q$134:Q314,"S")</f>
        <v>2324.4499999999998</v>
      </c>
      <c r="BK313" s="343">
        <f>SUMIFS($AU$134:AU314,$P$134:P314,"W")</f>
        <v>2250.9899999999925</v>
      </c>
      <c r="BL313" s="343">
        <f>SUMIFS($AU$134:AU314,$P$134:P314,"R")</f>
        <v>407.90000000000873</v>
      </c>
      <c r="BM313" s="343">
        <f>SUMIFS($AU$134:AU314,$AQ$134:AQ314,"M")</f>
        <v>-82.999999999995296</v>
      </c>
      <c r="BN313" s="343">
        <f>SUMIFS($AU$134:AU314,$AQ$134:AQ314,"H")</f>
        <v>399.70000000001505</v>
      </c>
      <c r="BO313" s="343">
        <f>SUMIFS($AU$134:AU314,$AQ$134:AQ314,"D")</f>
        <v>1373.5499999999997</v>
      </c>
      <c r="BP313" s="343">
        <f>SUMIFS($AU$134:AU316,$AQ$134:AQ316,"W")</f>
        <v>25.30000000000004</v>
      </c>
      <c r="BQ313" s="343">
        <f>SUMIFS($AU$134:AU314,$Q$134:Q314,"O")</f>
        <v>102.04000000000158</v>
      </c>
      <c r="BR313" s="343">
        <f>SUMIFS($AU$134:AU314,$AA$134:AA314,"*")</f>
        <v>2840.7500000000309</v>
      </c>
      <c r="BS313" s="343">
        <f>SUMIFS($AU$134:AU314,$AB$134:AB314,"*")</f>
        <v>614.63999999997634</v>
      </c>
      <c r="BT313" s="343">
        <f>SUMIFS($AU$134:AU314,$AC$134:AC314,"*")</f>
        <v>1204.5499999999993</v>
      </c>
      <c r="BU313" s="343">
        <f>SUMIFS($AU$134:AU314,$AA$134:AA314,"*",$AB$134:AB314,"*")</f>
        <v>665.10000000000514</v>
      </c>
      <c r="BV313" s="343">
        <f>SUMIFS($AU$134:AU314,$AA$134:AA314,"*",$AC$134:AC314,"*")</f>
        <v>1519.9499999999994</v>
      </c>
      <c r="BW313" s="343">
        <f>SUMIFS($AU$134:AU314,$AB$134:AB314,"*",$AC$134:AC314,"*")</f>
        <v>598.1</v>
      </c>
      <c r="BX313" s="343">
        <f>SUMIFS($AU314:AU$1388,$Q314:Q$1388,"F")</f>
        <v>14407.466666666669</v>
      </c>
      <c r="BY313" s="343">
        <f>SUMIFS($AU314:AU$1388,$Q314:Q$1388,"S")</f>
        <v>18347.192000000003</v>
      </c>
      <c r="BZ313" s="343">
        <f>SUMIFS($AU314:AU$1388,$Q314:Q$1388,"O")</f>
        <v>-1621.2979999997799</v>
      </c>
    </row>
    <row r="314" spans="1:78" ht="15">
      <c r="A314" s="221" t="s">
        <v>1523</v>
      </c>
      <c r="B314" s="200">
        <v>44986</v>
      </c>
      <c r="C314" s="201" t="s">
        <v>682</v>
      </c>
      <c r="D314" s="223" t="s">
        <v>151</v>
      </c>
      <c r="E314" s="462"/>
      <c r="F314" s="203"/>
      <c r="G314" s="204" t="s">
        <v>1529</v>
      </c>
      <c r="H314" s="205"/>
      <c r="I314" s="205"/>
      <c r="J314" s="205"/>
      <c r="K314" s="206"/>
      <c r="L314" s="205">
        <v>2</v>
      </c>
      <c r="M314" s="205"/>
      <c r="N314" s="205"/>
      <c r="O314" s="206" t="s">
        <v>95</v>
      </c>
      <c r="P314" s="206" t="s">
        <v>96</v>
      </c>
      <c r="Q314" s="206" t="s">
        <v>684</v>
      </c>
      <c r="R314" s="206">
        <v>1</v>
      </c>
      <c r="S314" s="206">
        <v>1</v>
      </c>
      <c r="T314" s="206">
        <v>1</v>
      </c>
      <c r="U314" s="206" t="s">
        <v>22</v>
      </c>
      <c r="V314" s="206"/>
      <c r="W314" s="206"/>
      <c r="X314" s="206"/>
      <c r="Y314" s="184">
        <f t="shared" si="128"/>
        <v>0.01</v>
      </c>
      <c r="Z314" s="184">
        <f t="shared" si="129"/>
        <v>1620</v>
      </c>
      <c r="AA314" s="208" t="s">
        <v>1530</v>
      </c>
      <c r="AB314" s="208" t="s">
        <v>529</v>
      </c>
      <c r="AC314" s="208"/>
      <c r="AD314" s="650">
        <v>95.6</v>
      </c>
      <c r="AE314" s="205"/>
      <c r="AF314" s="333"/>
      <c r="AG314" s="205"/>
      <c r="AH314" s="205"/>
      <c r="AI314" s="205"/>
      <c r="AJ314" s="641"/>
      <c r="AK314" s="205"/>
      <c r="AL314" s="496"/>
      <c r="AM314" s="496"/>
      <c r="AN314" s="627"/>
      <c r="AO314" s="205"/>
      <c r="AP314" s="205" t="s">
        <v>1531</v>
      </c>
      <c r="AQ314" s="333" t="str">
        <f>UPPER(RIGHT(Journal_Live[[#This Row],[DURATION ]]))</f>
        <v>S</v>
      </c>
      <c r="AR314" s="205" t="s">
        <v>682</v>
      </c>
      <c r="AS314" s="211">
        <v>95.68</v>
      </c>
      <c r="AT314" s="189">
        <f>IF(ISBLANK(AS314),,IF(U314="S",AD314-AS314,AS314-AD314))</f>
        <v>8.0000000000012506E-2</v>
      </c>
      <c r="AU314" s="187">
        <f>AV314*R314</f>
        <v>129.60000000002026</v>
      </c>
      <c r="AV314" s="190">
        <f>IF(ISBLANK(AS314),,(AT314*Z314))</f>
        <v>129.60000000002026</v>
      </c>
      <c r="AW314" s="213" t="s">
        <v>96</v>
      </c>
      <c r="AX314" s="463" t="s">
        <v>1532</v>
      </c>
      <c r="AY314" s="463" t="s">
        <v>1533</v>
      </c>
      <c r="AZ314" s="463" t="s">
        <v>529</v>
      </c>
      <c r="BA314" s="463"/>
      <c r="BB314" s="463"/>
      <c r="BC314" s="463"/>
      <c r="BD314" s="463"/>
      <c r="BE314" s="463"/>
      <c r="BF314" s="464"/>
      <c r="BG314" s="391">
        <f>SUM($AV$4:AV314)</f>
        <v>2705.4850000000306</v>
      </c>
      <c r="BH314" s="392">
        <f>SUM($AU$134:AU314)</f>
        <v>2658.8900000000017</v>
      </c>
      <c r="BI314" s="318">
        <f>SUMIFS($AU$134:AU315,$Q$134:Q315,"F")</f>
        <v>33.199999999999989</v>
      </c>
      <c r="BJ314" s="318">
        <f>SUMIFS($AU$134:AU315,$Q$134:Q315,"S")</f>
        <v>2324.4499999999998</v>
      </c>
      <c r="BK314" s="343">
        <f>SUMIFS($AU$134:AU315,$P$134:P315,"W")</f>
        <v>2250.9899999999925</v>
      </c>
      <c r="BL314" s="343">
        <f>SUMIFS($AU$134:AU315,$P$134:P315,"R")</f>
        <v>407.90000000000873</v>
      </c>
      <c r="BM314" s="343">
        <f>SUMIFS($AU$134:AU315,$AQ$134:AQ315,"M")</f>
        <v>-82.999999999995296</v>
      </c>
      <c r="BN314" s="343">
        <f>SUMIFS($AU$134:AU315,$AQ$134:AQ315,"H")</f>
        <v>399.70000000001505</v>
      </c>
      <c r="BO314" s="343">
        <f>SUMIFS($AU$134:AU315,$AQ$134:AQ315,"D")</f>
        <v>1373.5499999999997</v>
      </c>
      <c r="BP314" s="343">
        <f>SUMIFS($AU$134:AU317,$AQ$134:AQ317,"W")</f>
        <v>25.30000000000004</v>
      </c>
      <c r="BQ314" s="343">
        <f>SUMIFS($AU$134:AU315,$Q$134:Q315,"O")</f>
        <v>102.04000000000158</v>
      </c>
      <c r="BR314" s="343">
        <f>SUMIFS($AU$134:AU315,$AA$134:AA315,"*")</f>
        <v>2840.7500000000309</v>
      </c>
      <c r="BS314" s="343">
        <f>SUMIFS($AU$134:AU315,$AB$134:AB315,"*")</f>
        <v>614.63999999997634</v>
      </c>
      <c r="BT314" s="343">
        <f>SUMIFS($AU$134:AU315,$AC$134:AC315,"*")</f>
        <v>1204.5499999999993</v>
      </c>
      <c r="BU314" s="343">
        <f>SUMIFS($AU$134:AU315,$AA$134:AA315,"*",$AB$134:AB315,"*")</f>
        <v>665.10000000000514</v>
      </c>
      <c r="BV314" s="343">
        <f>SUMIFS($AU$134:AU315,$AA$134:AA315,"*",$AC$134:AC315,"*")</f>
        <v>1519.9499999999994</v>
      </c>
      <c r="BW314" s="343">
        <f>SUMIFS($AU$134:AU315,$AB$134:AB315,"*",$AC$134:AC315,"*")</f>
        <v>598.1</v>
      </c>
      <c r="BX314" s="343">
        <f>SUMIFS($AU315:AU$1388,$Q315:Q$1388,"F")</f>
        <v>14407.466666666669</v>
      </c>
      <c r="BY314" s="343">
        <f>SUMIFS($AU315:AU$1388,$Q315:Q$1388,"S")</f>
        <v>18347.192000000003</v>
      </c>
      <c r="BZ314" s="343">
        <f>SUMIFS($AU315:AU$1388,$Q315:Q$1388,"O")</f>
        <v>-1750.8979999998</v>
      </c>
    </row>
    <row r="315" spans="1:78" ht="25.5">
      <c r="A315" s="221" t="s">
        <v>1523</v>
      </c>
      <c r="B315" s="200" t="s">
        <v>1534</v>
      </c>
      <c r="C315" s="201" t="s">
        <v>1535</v>
      </c>
      <c r="D315" s="223" t="s">
        <v>151</v>
      </c>
      <c r="E315" s="247"/>
      <c r="F315" s="203"/>
      <c r="G315" s="181" t="s">
        <v>553</v>
      </c>
      <c r="H315" s="205"/>
      <c r="I315" s="205"/>
      <c r="J315" s="205"/>
      <c r="K315" s="206"/>
      <c r="L315" s="205"/>
      <c r="M315" s="205"/>
      <c r="N315" s="205"/>
      <c r="O315" s="206"/>
      <c r="P315" s="206"/>
      <c r="Q315" s="206"/>
      <c r="R315" s="206"/>
      <c r="S315" s="206"/>
      <c r="T315" s="206"/>
      <c r="U315" s="206"/>
      <c r="V315" s="206"/>
      <c r="W315" s="206"/>
      <c r="X315" s="206"/>
      <c r="Y315" s="184"/>
      <c r="Z315" s="184"/>
      <c r="AA315" s="208"/>
      <c r="AB315" s="305"/>
      <c r="AC315" s="208"/>
      <c r="AD315" s="650"/>
      <c r="AE315" s="205"/>
      <c r="AF315" s="333"/>
      <c r="AG315" s="205"/>
      <c r="AH315" s="205"/>
      <c r="AI315" s="205"/>
      <c r="AJ315" s="641"/>
      <c r="AK315" s="205"/>
      <c r="AL315" s="496"/>
      <c r="AM315" s="496"/>
      <c r="AN315" s="627"/>
      <c r="AO315" s="205"/>
      <c r="AP315" s="205"/>
      <c r="AQ315" s="333" t="str">
        <f>UPPER(RIGHT(Journal_Live[[#This Row],[DURATION ]]))</f>
        <v/>
      </c>
      <c r="AR315" s="205"/>
      <c r="AS315" s="211"/>
      <c r="AT315" s="189"/>
      <c r="AU315" s="187"/>
      <c r="AV315" s="190"/>
      <c r="AW315" s="213"/>
      <c r="AX315" s="413" t="s">
        <v>1515</v>
      </c>
      <c r="AY315" s="413" t="s">
        <v>1536</v>
      </c>
      <c r="AZ315" s="413"/>
      <c r="BA315" s="413"/>
      <c r="BB315" s="413"/>
      <c r="BC315" s="413"/>
      <c r="BD315" s="413"/>
      <c r="BE315" s="413"/>
      <c r="BF315" s="427"/>
      <c r="BG315" s="391">
        <f>SUM($AV$4:AV315)</f>
        <v>2705.4850000000306</v>
      </c>
      <c r="BH315" s="392">
        <f>SUM($AU$134:AU315)</f>
        <v>2658.8900000000017</v>
      </c>
      <c r="BI315" s="318">
        <f>SUMIFS($AU$134:AU316,$Q$134:Q316,"F")</f>
        <v>33.199999999999989</v>
      </c>
      <c r="BJ315" s="318">
        <f>SUMIFS($AU$134:AU316,$Q$134:Q316,"S")</f>
        <v>1873.6499999999996</v>
      </c>
      <c r="BK315" s="343">
        <f>SUMIFS($AU$134:AU316,$P$134:P316,"W")</f>
        <v>2250.9899999999925</v>
      </c>
      <c r="BL315" s="343">
        <f>SUMIFS($AU$134:AU316,$P$134:P316,"R")</f>
        <v>-42.899999999991394</v>
      </c>
      <c r="BM315" s="343">
        <f>SUMIFS($AU$134:AU316,$AQ$134:AQ316,"M")</f>
        <v>-82.999999999995296</v>
      </c>
      <c r="BN315" s="343">
        <f>SUMIFS($AU$134:AU316,$AQ$134:AQ316,"H")</f>
        <v>399.70000000001505</v>
      </c>
      <c r="BO315" s="343">
        <f>SUMIFS($AU$134:AU316,$AQ$134:AQ316,"D")</f>
        <v>922.74999999999955</v>
      </c>
      <c r="BP315" s="343">
        <f>SUMIFS($AU$134:AU318,$AQ$134:AQ318,"W")</f>
        <v>25.30000000000004</v>
      </c>
      <c r="BQ315" s="343">
        <f>SUMIFS($AU$134:AU316,$Q$134:Q316,"O")</f>
        <v>102.04000000000158</v>
      </c>
      <c r="BR315" s="343">
        <f>SUMIFS($AU$134:AU316,$AA$134:AA316,"*")</f>
        <v>2389.9500000000307</v>
      </c>
      <c r="BS315" s="343">
        <f>SUMIFS($AU$134:AU316,$AB$134:AB316,"*")</f>
        <v>163.83999999997621</v>
      </c>
      <c r="BT315" s="343">
        <f>SUMIFS($AU$134:AU316,$AC$134:AC316,"*")</f>
        <v>753.74999999999909</v>
      </c>
      <c r="BU315" s="343">
        <f>SUMIFS($AU$134:AU316,$AA$134:AA316,"*",$AB$134:AB316,"*")</f>
        <v>214.30000000000501</v>
      </c>
      <c r="BV315" s="343">
        <f>SUMIFS($AU$134:AU316,$AA$134:AA316,"*",$AC$134:AC316,"*")</f>
        <v>1069.1499999999992</v>
      </c>
      <c r="BW315" s="343">
        <f>SUMIFS($AU$134:AU316,$AB$134:AB316,"*",$AC$134:AC316,"*")</f>
        <v>147.2999999999999</v>
      </c>
      <c r="BX315" s="343">
        <f>SUMIFS($AU316:AU$1388,$Q316:Q$1388,"F")</f>
        <v>14407.466666666669</v>
      </c>
      <c r="BY315" s="343">
        <f>SUMIFS($AU316:AU$1388,$Q316:Q$1388,"S")</f>
        <v>18347.192000000003</v>
      </c>
      <c r="BZ315" s="343">
        <f>SUMIFS($AU316:AU$1388,$Q316:Q$1388,"O")</f>
        <v>-1750.8979999998</v>
      </c>
    </row>
    <row r="316" spans="1:78" ht="15">
      <c r="A316" s="221" t="s">
        <v>1523</v>
      </c>
      <c r="B316" s="200">
        <v>44986</v>
      </c>
      <c r="C316" s="201" t="s">
        <v>682</v>
      </c>
      <c r="D316" s="223" t="s">
        <v>151</v>
      </c>
      <c r="E316" s="462"/>
      <c r="F316" s="203"/>
      <c r="G316" s="315" t="s">
        <v>271</v>
      </c>
      <c r="H316" s="205"/>
      <c r="I316" s="205"/>
      <c r="J316" s="205"/>
      <c r="K316" s="206"/>
      <c r="L316" s="205">
        <v>1</v>
      </c>
      <c r="M316" s="205"/>
      <c r="N316" s="205"/>
      <c r="O316" s="206" t="s">
        <v>95</v>
      </c>
      <c r="P316" s="206" t="s">
        <v>137</v>
      </c>
      <c r="Q316" s="206" t="s">
        <v>97</v>
      </c>
      <c r="R316" s="206">
        <v>7</v>
      </c>
      <c r="S316" s="206">
        <v>7</v>
      </c>
      <c r="T316" s="206">
        <v>7</v>
      </c>
      <c r="U316" s="206" t="s">
        <v>97</v>
      </c>
      <c r="V316" s="206"/>
      <c r="W316" s="206"/>
      <c r="X316" s="206"/>
      <c r="Y316" s="184">
        <f>IF(ISBLANK(O316),"",(IF(O316=UPPER("IB"),0.005,0.01)))</f>
        <v>0.01</v>
      </c>
      <c r="Z316" s="184">
        <f>IF(ISBLANK(O316),"",IF(O316=UPPER("IB"),8.63*200,16.1*100))</f>
        <v>1610.0000000000002</v>
      </c>
      <c r="AA316" s="208" t="s">
        <v>1537</v>
      </c>
      <c r="AB316" s="208" t="s">
        <v>1538</v>
      </c>
      <c r="AC316" s="208" t="s">
        <v>1539</v>
      </c>
      <c r="AD316" s="650">
        <v>-0.14000000000000001</v>
      </c>
      <c r="AE316" s="205"/>
      <c r="AF316" s="333">
        <v>-10</v>
      </c>
      <c r="AG316" s="205"/>
      <c r="AH316" s="205">
        <v>-15</v>
      </c>
      <c r="AI316" s="205" t="s">
        <v>1540</v>
      </c>
      <c r="AJ316" s="641" t="s">
        <v>529</v>
      </c>
      <c r="AK316" s="205"/>
      <c r="AL316" s="496">
        <f>-0.04*Z316</f>
        <v>-64.400000000000006</v>
      </c>
      <c r="AM316" s="496">
        <f>AL316*R316</f>
        <v>-450.80000000000007</v>
      </c>
      <c r="AN316" s="627" t="s">
        <v>1486</v>
      </c>
      <c r="AO316" s="205" t="s">
        <v>1541</v>
      </c>
      <c r="AP316" s="205" t="s">
        <v>589</v>
      </c>
      <c r="AQ316" s="333" t="str">
        <f>UPPER(RIGHT(Journal_Live[[#This Row],[DURATION ]]))</f>
        <v>D</v>
      </c>
      <c r="AR316" s="205" t="s">
        <v>1542</v>
      </c>
      <c r="AS316" s="211">
        <v>-0.1</v>
      </c>
      <c r="AT316" s="189">
        <f>IF(ISBLANK(AS316),,IF(U316="S",AD316-AS316,AS316-AD316))</f>
        <v>-4.0000000000000008E-2</v>
      </c>
      <c r="AU316" s="187">
        <f>AV316*R316</f>
        <v>-450.80000000000013</v>
      </c>
      <c r="AV316" s="190">
        <f>IF(ISBLANK(AS316),,(AT316*Z316))</f>
        <v>-64.40000000000002</v>
      </c>
      <c r="AW316" s="213" t="s">
        <v>229</v>
      </c>
      <c r="AX316" s="463" t="s">
        <v>1543</v>
      </c>
      <c r="AY316" s="463" t="s">
        <v>1544</v>
      </c>
      <c r="AZ316" s="463" t="s">
        <v>1545</v>
      </c>
      <c r="BA316" s="463" t="s">
        <v>1546</v>
      </c>
      <c r="BB316" s="463" t="s">
        <v>1547</v>
      </c>
      <c r="BC316" s="463" t="s">
        <v>1548</v>
      </c>
      <c r="BD316" s="463" t="s">
        <v>1549</v>
      </c>
      <c r="BE316" s="463" t="s">
        <v>1550</v>
      </c>
      <c r="BF316" s="464" t="s">
        <v>1551</v>
      </c>
      <c r="BG316" s="391">
        <f>SUM($AV$4:AV316)</f>
        <v>2641.0850000000305</v>
      </c>
      <c r="BH316" s="392">
        <f>SUM($AU$134:AU316)</f>
        <v>2208.0900000000015</v>
      </c>
      <c r="BI316" s="318">
        <f>SUMIFS($AU$134:AU317,$Q$134:Q317,"F")</f>
        <v>33.199999999999989</v>
      </c>
      <c r="BJ316" s="318">
        <f>SUMIFS($AU$134:AU317,$Q$134:Q317,"S")</f>
        <v>1873.6499999999996</v>
      </c>
      <c r="BK316" s="343">
        <f>SUMIFS($AU$134:AU317,$P$134:P317,"W")</f>
        <v>2250.9899999999925</v>
      </c>
      <c r="BL316" s="343">
        <f>SUMIFS($AU$134:AU317,$P$134:P317,"R")</f>
        <v>-42.899999999991394</v>
      </c>
      <c r="BM316" s="343">
        <f>SUMIFS($AU$134:AU317,$AQ$134:AQ317,"M")</f>
        <v>-82.999999999995296</v>
      </c>
      <c r="BN316" s="343">
        <f>SUMIFS($AU$134:AU317,$AQ$134:AQ317,"H")</f>
        <v>399.70000000001505</v>
      </c>
      <c r="BO316" s="343">
        <f>SUMIFS($AU$134:AU317,$AQ$134:AQ317,"D")</f>
        <v>922.74999999999955</v>
      </c>
      <c r="BP316" s="343">
        <f>SUMIFS($AU$134:AU319,$AQ$134:AQ319,"W")</f>
        <v>25.30000000000004</v>
      </c>
      <c r="BQ316" s="343">
        <f>SUMIFS($AU$134:AU317,$Q$134:Q317,"O")</f>
        <v>102.04000000000158</v>
      </c>
      <c r="BR316" s="343">
        <f>SUMIFS($AU$134:AU317,$AA$134:AA317,"*")</f>
        <v>2389.9500000000307</v>
      </c>
      <c r="BS316" s="343">
        <f>SUMIFS($AU$134:AU317,$AB$134:AB317,"*")</f>
        <v>163.83999999997621</v>
      </c>
      <c r="BT316" s="343">
        <f>SUMIFS($AU$134:AU317,$AC$134:AC317,"*")</f>
        <v>753.74999999999909</v>
      </c>
      <c r="BU316" s="343">
        <f>SUMIFS($AU$134:AU317,$AA$134:AA317,"*",$AB$134:AB317,"*")</f>
        <v>214.30000000000501</v>
      </c>
      <c r="BV316" s="343">
        <f>SUMIFS($AU$134:AU317,$AA$134:AA317,"*",$AC$134:AC317,"*")</f>
        <v>1069.1499999999992</v>
      </c>
      <c r="BW316" s="343">
        <f>SUMIFS($AU$134:AU317,$AB$134:AB317,"*",$AC$134:AC317,"*")</f>
        <v>147.2999999999999</v>
      </c>
      <c r="BX316" s="343">
        <f>SUMIFS($AU317:AU$1388,$Q317:Q$1388,"F")</f>
        <v>14407.466666666669</v>
      </c>
      <c r="BY316" s="343">
        <f>SUMIFS($AU317:AU$1388,$Q317:Q$1388,"S")</f>
        <v>18797.992000000002</v>
      </c>
      <c r="BZ316" s="343">
        <f>SUMIFS($AU317:AU$1388,$Q317:Q$1388,"O")</f>
        <v>-1750.8979999998</v>
      </c>
    </row>
    <row r="317" spans="1:78" ht="15">
      <c r="A317" s="221" t="s">
        <v>1523</v>
      </c>
      <c r="B317" s="200">
        <v>44986</v>
      </c>
      <c r="C317" s="201" t="s">
        <v>682</v>
      </c>
      <c r="D317" s="223" t="s">
        <v>151</v>
      </c>
      <c r="E317" s="247"/>
      <c r="F317" s="203"/>
      <c r="G317" s="314" t="s">
        <v>435</v>
      </c>
      <c r="H317" s="205"/>
      <c r="I317" s="205"/>
      <c r="J317" s="205"/>
      <c r="K317" s="206"/>
      <c r="L317" s="205">
        <v>1</v>
      </c>
      <c r="M317" s="205"/>
      <c r="N317" s="205"/>
      <c r="O317" s="206" t="s">
        <v>95</v>
      </c>
      <c r="P317" s="206" t="s">
        <v>96</v>
      </c>
      <c r="Q317" s="206" t="s">
        <v>97</v>
      </c>
      <c r="R317" s="206">
        <v>1</v>
      </c>
      <c r="S317" s="206">
        <v>1</v>
      </c>
      <c r="T317" s="206">
        <v>1</v>
      </c>
      <c r="U317" s="206" t="s">
        <v>22</v>
      </c>
      <c r="V317" s="206"/>
      <c r="W317" s="206"/>
      <c r="X317" s="206"/>
      <c r="Y317" s="184">
        <f>IF(ISBLANK(O317),"",(IF(O317=UPPER("IB"),0.005,0.01)))</f>
        <v>0.01</v>
      </c>
      <c r="Z317" s="184">
        <f>IF(ISBLANK(O317),"",IF(O317=UPPER("IB"),8.63*200,16.1*100))</f>
        <v>1610.0000000000002</v>
      </c>
      <c r="AA317" s="208" t="s">
        <v>1552</v>
      </c>
      <c r="AB317" s="208"/>
      <c r="AC317" s="208"/>
      <c r="AD317" s="650">
        <v>0.49</v>
      </c>
      <c r="AE317" s="205"/>
      <c r="AF317" s="333"/>
      <c r="AG317" s="205"/>
      <c r="AH317" s="205">
        <v>53</v>
      </c>
      <c r="AI317" s="205" t="s">
        <v>1553</v>
      </c>
      <c r="AJ317" s="641" t="s">
        <v>529</v>
      </c>
      <c r="AK317" s="205"/>
      <c r="AL317" s="496">
        <f>-0.03*Z317</f>
        <v>-48.300000000000004</v>
      </c>
      <c r="AM317" s="496">
        <f>AL317*R317</f>
        <v>-48.300000000000004</v>
      </c>
      <c r="AN317" s="627"/>
      <c r="AO317" s="205"/>
      <c r="AP317" s="205" t="s">
        <v>1554</v>
      </c>
      <c r="AQ317" s="333" t="str">
        <f>UPPER(RIGHT(Journal_Live[[#This Row],[DURATION ]]))</f>
        <v>H</v>
      </c>
      <c r="AR317" s="205" t="s">
        <v>1555</v>
      </c>
      <c r="AS317" s="211">
        <v>0.49</v>
      </c>
      <c r="AT317" s="189">
        <f>IF(ISBLANK(AS317),,IF(U317="S",AD317-AS317,AS317-AD317))</f>
        <v>0</v>
      </c>
      <c r="AU317" s="187">
        <f>AV317*R317</f>
        <v>0</v>
      </c>
      <c r="AV317" s="190">
        <f>IF(ISBLANK(AS317),,(AT317*Z317))</f>
        <v>0</v>
      </c>
      <c r="AW317" s="213" t="s">
        <v>115</v>
      </c>
      <c r="AX317" s="413" t="s">
        <v>1556</v>
      </c>
      <c r="AY317" s="413" t="s">
        <v>1557</v>
      </c>
      <c r="AZ317" s="413" t="s">
        <v>1558</v>
      </c>
      <c r="BA317" s="413"/>
      <c r="BB317" s="413"/>
      <c r="BC317" s="413"/>
      <c r="BD317" s="413"/>
      <c r="BE317" s="413"/>
      <c r="BF317" s="427"/>
      <c r="BG317" s="391">
        <f>SUM($AV$4:AV317)</f>
        <v>2641.0850000000305</v>
      </c>
      <c r="BH317" s="392">
        <f>SUM($AU$134:AU317)</f>
        <v>2208.0900000000015</v>
      </c>
      <c r="BI317" s="318">
        <f>SUMIFS($AU$134:AU318,$Q$134:Q318,"F")</f>
        <v>33.199999999999989</v>
      </c>
      <c r="BJ317" s="318">
        <f>SUMIFS($AU$134:AU318,$Q$134:Q318,"S")</f>
        <v>1422.8499999999995</v>
      </c>
      <c r="BK317" s="343">
        <f>SUMIFS($AU$134:AU318,$P$134:P318,"W")</f>
        <v>2250.9899999999925</v>
      </c>
      <c r="BL317" s="343">
        <f>SUMIFS($AU$134:AU318,$P$134:P318,"R")</f>
        <v>-493.69999999999152</v>
      </c>
      <c r="BM317" s="343">
        <f>SUMIFS($AU$134:AU318,$AQ$134:AQ318,"M")</f>
        <v>-82.999999999995296</v>
      </c>
      <c r="BN317" s="343">
        <f>SUMIFS($AU$134:AU318,$AQ$134:AQ318,"H")</f>
        <v>399.70000000001505</v>
      </c>
      <c r="BO317" s="343">
        <f>SUMIFS($AU$134:AU318,$AQ$134:AQ318,"D")</f>
        <v>471.94999999999942</v>
      </c>
      <c r="BP317" s="343">
        <f>SUMIFS($AU$134:AU320,$AQ$134:AQ320,"W")</f>
        <v>25.30000000000004</v>
      </c>
      <c r="BQ317" s="343">
        <f>SUMIFS($AU$134:AU318,$Q$134:Q318,"O")</f>
        <v>102.04000000000158</v>
      </c>
      <c r="BR317" s="343">
        <f>SUMIFS($AU$134:AU318,$AA$134:AA318,"*")</f>
        <v>1939.1500000000306</v>
      </c>
      <c r="BS317" s="343">
        <f>SUMIFS($AU$134:AU318,$AB$134:AB318,"*")</f>
        <v>-286.96000000002391</v>
      </c>
      <c r="BT317" s="343">
        <f>SUMIFS($AU$134:AU318,$AC$134:AC318,"*")</f>
        <v>302.94999999999897</v>
      </c>
      <c r="BU317" s="343">
        <f>SUMIFS($AU$134:AU318,$AA$134:AA318,"*",$AB$134:AB318,"*")</f>
        <v>-236.49999999999511</v>
      </c>
      <c r="BV317" s="343">
        <f>SUMIFS($AU$134:AU318,$AA$134:AA318,"*",$AC$134:AC318,"*")</f>
        <v>618.349999999999</v>
      </c>
      <c r="BW317" s="343">
        <f>SUMIFS($AU$134:AU318,$AB$134:AB318,"*",$AC$134:AC318,"*")</f>
        <v>-303.50000000000023</v>
      </c>
      <c r="BX317" s="343">
        <f>SUMIFS($AU318:AU$1388,$Q318:Q$1388,"F")</f>
        <v>14407.466666666669</v>
      </c>
      <c r="BY317" s="343">
        <f>SUMIFS($AU318:AU$1388,$Q318:Q$1388,"S")</f>
        <v>18797.992000000002</v>
      </c>
      <c r="BZ317" s="343">
        <f>SUMIFS($AU318:AU$1388,$Q318:Q$1388,"O")</f>
        <v>-1750.8979999998</v>
      </c>
    </row>
    <row r="318" spans="1:78" ht="15">
      <c r="A318" s="221" t="s">
        <v>1523</v>
      </c>
      <c r="B318" s="200">
        <v>44986</v>
      </c>
      <c r="C318" s="201" t="s">
        <v>1559</v>
      </c>
      <c r="D318" s="201" t="s">
        <v>151</v>
      </c>
      <c r="E318" s="462"/>
      <c r="F318" s="203"/>
      <c r="G318" s="315" t="s">
        <v>280</v>
      </c>
      <c r="H318" s="205"/>
      <c r="I318" s="205"/>
      <c r="J318" s="205"/>
      <c r="K318" s="206"/>
      <c r="L318" s="205">
        <v>1</v>
      </c>
      <c r="M318" s="205"/>
      <c r="N318" s="205"/>
      <c r="O318" s="206" t="s">
        <v>95</v>
      </c>
      <c r="P318" s="206" t="s">
        <v>137</v>
      </c>
      <c r="Q318" s="206" t="s">
        <v>97</v>
      </c>
      <c r="R318" s="206">
        <v>7</v>
      </c>
      <c r="S318" s="206">
        <v>7</v>
      </c>
      <c r="T318" s="206">
        <v>7</v>
      </c>
      <c r="U318" s="206" t="s">
        <v>97</v>
      </c>
      <c r="V318" s="206"/>
      <c r="W318" s="206"/>
      <c r="X318" s="206"/>
      <c r="Y318" s="184">
        <f>IF(ISBLANK(O318),"",(IF(O318=UPPER("IB"),0.005,0.01)))</f>
        <v>0.01</v>
      </c>
      <c r="Z318" s="184">
        <f>IF(ISBLANK(O318),"",IF(O318=UPPER("IB"),8.63*200,16.1*100))</f>
        <v>1610.0000000000002</v>
      </c>
      <c r="AA318" s="208" t="s">
        <v>1560</v>
      </c>
      <c r="AB318" s="208" t="s">
        <v>1538</v>
      </c>
      <c r="AC318" s="208" t="s">
        <v>1561</v>
      </c>
      <c r="AD318" s="650">
        <v>-0.13</v>
      </c>
      <c r="AE318" s="205"/>
      <c r="AF318" s="333">
        <v>-10</v>
      </c>
      <c r="AG318" s="205"/>
      <c r="AH318" s="205">
        <v>-13</v>
      </c>
      <c r="AI318" s="205" t="s">
        <v>1562</v>
      </c>
      <c r="AJ318" s="641" t="s">
        <v>529</v>
      </c>
      <c r="AK318" s="205"/>
      <c r="AL318" s="496">
        <f>-0.03*Z318</f>
        <v>-48.300000000000004</v>
      </c>
      <c r="AM318" s="496">
        <f>AL318*R318</f>
        <v>-338.1</v>
      </c>
      <c r="AN318" s="627" t="s">
        <v>1486</v>
      </c>
      <c r="AO318" s="205" t="s">
        <v>1541</v>
      </c>
      <c r="AP318" s="205" t="s">
        <v>589</v>
      </c>
      <c r="AQ318" s="333" t="str">
        <f>UPPER(RIGHT(Journal_Live[[#This Row],[DURATION ]]))</f>
        <v>D</v>
      </c>
      <c r="AR318" s="205" t="s">
        <v>1563</v>
      </c>
      <c r="AS318" s="211">
        <v>-0.09</v>
      </c>
      <c r="AT318" s="189">
        <f>IF(ISBLANK(AS318),,IF(U318="S",AD318-AS318,AS318-AD318))</f>
        <v>-4.0000000000000008E-2</v>
      </c>
      <c r="AU318" s="187">
        <f>AV318*R318</f>
        <v>-450.80000000000013</v>
      </c>
      <c r="AV318" s="190">
        <f>IF(ISBLANK(AS318),,(AT318*Z318))</f>
        <v>-64.40000000000002</v>
      </c>
      <c r="AW318" s="213" t="s">
        <v>229</v>
      </c>
      <c r="AX318" s="463" t="s">
        <v>1264</v>
      </c>
      <c r="AY318" s="463" t="s">
        <v>1564</v>
      </c>
      <c r="AZ318" s="463" t="s">
        <v>1545</v>
      </c>
      <c r="BA318" s="463" t="s">
        <v>1565</v>
      </c>
      <c r="BB318" s="463" t="s">
        <v>1566</v>
      </c>
      <c r="BC318" s="463" t="s">
        <v>1567</v>
      </c>
      <c r="BD318" s="463" t="s">
        <v>1568</v>
      </c>
      <c r="BE318" s="463" t="s">
        <v>1569</v>
      </c>
      <c r="BF318" s="464" t="s">
        <v>529</v>
      </c>
      <c r="BG318" s="391">
        <f>SUM($AV$4:AV318)</f>
        <v>2576.6850000000304</v>
      </c>
      <c r="BH318" s="392">
        <f>SUM($AU$134:AU318)</f>
        <v>1757.2900000000013</v>
      </c>
      <c r="BI318" s="318">
        <f>SUMIFS($AU$134:AU319,$Q$134:Q319,"F")</f>
        <v>33.199999999999989</v>
      </c>
      <c r="BJ318" s="318">
        <f>SUMIFS($AU$134:AU319,$Q$134:Q319,"S")</f>
        <v>1422.8499999999995</v>
      </c>
      <c r="BK318" s="343">
        <f>SUMIFS($AU$134:AU319,$P$134:P319,"W")</f>
        <v>2250.9899999999925</v>
      </c>
      <c r="BL318" s="343">
        <f>SUMIFS($AU$134:AU319,$P$134:P319,"R")</f>
        <v>-493.69999999999152</v>
      </c>
      <c r="BM318" s="343">
        <f>SUMIFS($AU$134:AU319,$AQ$134:AQ319,"M")</f>
        <v>-82.999999999995296</v>
      </c>
      <c r="BN318" s="343">
        <f>SUMIFS($AU$134:AU319,$AQ$134:AQ319,"H")</f>
        <v>399.70000000001505</v>
      </c>
      <c r="BO318" s="343">
        <f>SUMIFS($AU$134:AU319,$AQ$134:AQ319,"D")</f>
        <v>471.94999999999942</v>
      </c>
      <c r="BP318" s="343">
        <f>SUMIFS($AU$134:AU321,$AQ$134:AQ321,"W")</f>
        <v>25.30000000000004</v>
      </c>
      <c r="BQ318" s="343">
        <f>SUMIFS($AU$134:AU319,$Q$134:Q319,"O")</f>
        <v>102.04000000000158</v>
      </c>
      <c r="BR318" s="343">
        <f>SUMIFS($AU$134:AU319,$AA$134:AA319,"*")</f>
        <v>1939.1500000000306</v>
      </c>
      <c r="BS318" s="343">
        <f>SUMIFS($AU$134:AU319,$AB$134:AB319,"*")</f>
        <v>-286.96000000002391</v>
      </c>
      <c r="BT318" s="343">
        <f>SUMIFS($AU$134:AU319,$AC$134:AC319,"*")</f>
        <v>302.94999999999897</v>
      </c>
      <c r="BU318" s="343">
        <f>SUMIFS($AU$134:AU319,$AA$134:AA319,"*",$AB$134:AB319,"*")</f>
        <v>-236.49999999999511</v>
      </c>
      <c r="BV318" s="343">
        <f>SUMIFS($AU$134:AU319,$AA$134:AA319,"*",$AC$134:AC319,"*")</f>
        <v>618.349999999999</v>
      </c>
      <c r="BW318" s="343">
        <f>SUMIFS($AU$134:AU319,$AB$134:AB319,"*",$AC$134:AC319,"*")</f>
        <v>-303.50000000000023</v>
      </c>
      <c r="BX318" s="343">
        <f>SUMIFS($AU319:AU$1388,$Q319:Q$1388,"F")</f>
        <v>14407.466666666669</v>
      </c>
      <c r="BY318" s="343">
        <f>SUMIFS($AU319:AU$1388,$Q319:Q$1388,"S")</f>
        <v>19248.792000000001</v>
      </c>
      <c r="BZ318" s="343">
        <f>SUMIFS($AU319:AU$1388,$Q319:Q$1388,"O")</f>
        <v>-1750.8979999998</v>
      </c>
    </row>
    <row r="319" spans="1:78" ht="12.75">
      <c r="A319" s="221" t="s">
        <v>1523</v>
      </c>
      <c r="B319" s="200">
        <v>44987</v>
      </c>
      <c r="C319" s="178"/>
      <c r="D319" s="178" t="s">
        <v>151</v>
      </c>
      <c r="E319" s="465" t="s">
        <v>1570</v>
      </c>
      <c r="F319" s="180" t="s">
        <v>529</v>
      </c>
      <c r="G319" s="181"/>
      <c r="H319" s="182"/>
      <c r="I319" s="182"/>
      <c r="J319" s="182"/>
      <c r="K319" s="183"/>
      <c r="L319" s="182"/>
      <c r="M319" s="182"/>
      <c r="N319" s="182"/>
      <c r="O319" s="183"/>
      <c r="P319" s="183"/>
      <c r="Q319" s="183"/>
      <c r="R319" s="183"/>
      <c r="S319" s="183"/>
      <c r="T319" s="183"/>
      <c r="U319" s="183"/>
      <c r="V319" s="183"/>
      <c r="W319" s="183"/>
      <c r="X319" s="183"/>
      <c r="Y319" s="274"/>
      <c r="Z319" s="274"/>
      <c r="AA319" s="185"/>
      <c r="AB319" s="185"/>
      <c r="AC319" s="185"/>
      <c r="AD319" s="649"/>
      <c r="AE319" s="182"/>
      <c r="AF319" s="332"/>
      <c r="AG319" s="182"/>
      <c r="AH319" s="182"/>
      <c r="AI319" s="182"/>
      <c r="AJ319" s="640"/>
      <c r="AK319" s="182"/>
      <c r="AL319" s="496"/>
      <c r="AM319" s="496"/>
      <c r="AN319" s="626"/>
      <c r="AO319" s="182"/>
      <c r="AP319" s="182"/>
      <c r="AQ319" s="332" t="str">
        <f>UPPER(RIGHT(Journal_Live[[#This Row],[DURATION ]]))</f>
        <v/>
      </c>
      <c r="AR319" s="182"/>
      <c r="AS319" s="189"/>
      <c r="AT319" s="189"/>
      <c r="AU319" s="187"/>
      <c r="AV319" s="190"/>
      <c r="AW319" s="191"/>
      <c r="AX319" s="466"/>
      <c r="AY319" s="466"/>
      <c r="AZ319" s="466"/>
      <c r="BA319" s="466"/>
      <c r="BB319" s="466"/>
      <c r="BC319" s="466"/>
      <c r="BD319" s="466"/>
      <c r="BE319" s="466"/>
      <c r="BF319" s="467"/>
      <c r="BG319" s="391">
        <f>SUM($AV$4:AV319)</f>
        <v>2576.6850000000304</v>
      </c>
      <c r="BH319" s="392">
        <f>SUM($AU$134:AU319)</f>
        <v>1757.2900000000013</v>
      </c>
      <c r="BI319" s="318">
        <f>SUMIFS($AU$134:AU320,$Q$134:Q320,"F")</f>
        <v>33.199999999999989</v>
      </c>
      <c r="BJ319" s="318">
        <f>SUMIFS($AU$134:AU320,$Q$134:Q320,"S")</f>
        <v>1422.8499999999995</v>
      </c>
      <c r="BK319" s="343">
        <f>SUMIFS($AU$134:AU320,$P$134:P320,"W")</f>
        <v>2250.9899999999925</v>
      </c>
      <c r="BL319" s="343">
        <f>SUMIFS($AU$134:AU320,$P$134:P320,"R")</f>
        <v>-493.69999999999152</v>
      </c>
      <c r="BM319" s="343">
        <f>SUMIFS($AU$134:AU320,$AQ$134:AQ320,"M")</f>
        <v>-82.999999999995296</v>
      </c>
      <c r="BN319" s="343">
        <f>SUMIFS($AU$134:AU320,$AQ$134:AQ320,"H")</f>
        <v>399.70000000001505</v>
      </c>
      <c r="BO319" s="343">
        <f>SUMIFS($AU$134:AU320,$AQ$134:AQ320,"D")</f>
        <v>471.94999999999942</v>
      </c>
      <c r="BP319" s="343">
        <f>SUMIFS($AU$134:AU322,$AQ$134:AQ322,"W")</f>
        <v>25.30000000000004</v>
      </c>
      <c r="BQ319" s="343">
        <f>SUMIFS($AU$134:AU320,$Q$134:Q320,"O")</f>
        <v>102.04000000000158</v>
      </c>
      <c r="BR319" s="343">
        <f>SUMIFS($AU$134:AU320,$AA$134:AA320,"*")</f>
        <v>1939.1500000000306</v>
      </c>
      <c r="BS319" s="343">
        <f>SUMIFS($AU$134:AU320,$AB$134:AB320,"*")</f>
        <v>-286.96000000002391</v>
      </c>
      <c r="BT319" s="343">
        <f>SUMIFS($AU$134:AU320,$AC$134:AC320,"*")</f>
        <v>302.94999999999897</v>
      </c>
      <c r="BU319" s="343">
        <f>SUMIFS($AU$134:AU320,$AA$134:AA320,"*",$AB$134:AB320,"*")</f>
        <v>-236.49999999999511</v>
      </c>
      <c r="BV319" s="343">
        <f>SUMIFS($AU$134:AU320,$AA$134:AA320,"*",$AC$134:AC320,"*")</f>
        <v>618.349999999999</v>
      </c>
      <c r="BW319" s="343">
        <f>SUMIFS($AU$134:AU320,$AB$134:AB320,"*",$AC$134:AC320,"*")</f>
        <v>-303.50000000000023</v>
      </c>
      <c r="BX319" s="343">
        <f>SUMIFS($AU320:AU$1388,$Q320:Q$1388,"F")</f>
        <v>14407.466666666669</v>
      </c>
      <c r="BY319" s="343">
        <f>SUMIFS($AU320:AU$1388,$Q320:Q$1388,"S")</f>
        <v>19248.792000000001</v>
      </c>
      <c r="BZ319" s="343">
        <f>SUMIFS($AU320:AU$1388,$Q320:Q$1388,"O")</f>
        <v>-1750.8979999998</v>
      </c>
    </row>
    <row r="320" spans="1:78" ht="15">
      <c r="A320" s="221" t="s">
        <v>1523</v>
      </c>
      <c r="B320" s="200">
        <v>44987</v>
      </c>
      <c r="C320" s="201" t="s">
        <v>1571</v>
      </c>
      <c r="D320" s="201" t="s">
        <v>93</v>
      </c>
      <c r="E320" s="462"/>
      <c r="F320" s="203"/>
      <c r="G320" s="315" t="s">
        <v>280</v>
      </c>
      <c r="H320" s="205"/>
      <c r="I320" s="205"/>
      <c r="J320" s="205"/>
      <c r="K320" s="206"/>
      <c r="L320" s="205">
        <v>1</v>
      </c>
      <c r="M320" s="205"/>
      <c r="N320" s="205"/>
      <c r="O320" s="206" t="s">
        <v>95</v>
      </c>
      <c r="P320" s="206" t="s">
        <v>137</v>
      </c>
      <c r="Q320" s="206" t="s">
        <v>97</v>
      </c>
      <c r="R320" s="206">
        <v>10</v>
      </c>
      <c r="S320" s="206">
        <v>10</v>
      </c>
      <c r="T320" s="206">
        <v>10</v>
      </c>
      <c r="U320" s="206" t="s">
        <v>97</v>
      </c>
      <c r="V320" s="206"/>
      <c r="W320" s="206"/>
      <c r="X320" s="206"/>
      <c r="Y320" s="184">
        <f t="shared" ref="Y320:Y326" si="130">IF(ISBLANK(O320),"",(IF(O320=UPPER("IB"),0.005,0.01)))</f>
        <v>0.01</v>
      </c>
      <c r="Z320" s="184">
        <f>IF(ISBLANK(O320),"",IF(O320=UPPER("IB"),8.63*200,16.1*100))</f>
        <v>1610.0000000000002</v>
      </c>
      <c r="AA320" s="208" t="s">
        <v>1560</v>
      </c>
      <c r="AB320" s="305" t="s">
        <v>1538</v>
      </c>
      <c r="AC320" s="208" t="s">
        <v>1561</v>
      </c>
      <c r="AD320" s="650">
        <v>-0.12</v>
      </c>
      <c r="AE320" s="205"/>
      <c r="AF320" s="333">
        <v>-9</v>
      </c>
      <c r="AG320" s="205"/>
      <c r="AH320" s="205" t="s">
        <v>1572</v>
      </c>
      <c r="AI320" s="205" t="s">
        <v>1573</v>
      </c>
      <c r="AJ320" s="641" t="s">
        <v>529</v>
      </c>
      <c r="AK320" s="205"/>
      <c r="AL320" s="496">
        <f>-0.02*Z320</f>
        <v>-32.200000000000003</v>
      </c>
      <c r="AM320" s="496">
        <f t="shared" ref="AM320:AM326" si="131">AL320*R320</f>
        <v>-322</v>
      </c>
      <c r="AN320" s="627" t="s">
        <v>1486</v>
      </c>
      <c r="AO320" s="205" t="s">
        <v>1541</v>
      </c>
      <c r="AP320" s="205" t="s">
        <v>589</v>
      </c>
      <c r="AQ320" s="333" t="str">
        <f>UPPER(RIGHT(Journal_Live[[#This Row],[DURATION ]]))</f>
        <v>D</v>
      </c>
      <c r="AR320" s="205" t="s">
        <v>1574</v>
      </c>
      <c r="AS320" s="211">
        <v>-0.12</v>
      </c>
      <c r="AT320" s="189">
        <f t="shared" ref="AT320:AT326" si="132">IF(ISBLANK(AS320),,IF(U320="S",AD320-AS320,AS320-AD320))</f>
        <v>0</v>
      </c>
      <c r="AU320" s="187">
        <f t="shared" ref="AU320:AU326" si="133">AV320*R320</f>
        <v>0</v>
      </c>
      <c r="AV320" s="190">
        <f t="shared" ref="AV320:AV326" si="134">IF(ISBLANK(AS320),,(AT320*Z320))</f>
        <v>0</v>
      </c>
      <c r="AW320" s="213" t="s">
        <v>115</v>
      </c>
      <c r="AX320" s="463" t="s">
        <v>1575</v>
      </c>
      <c r="AY320" s="463"/>
      <c r="AZ320" s="463" t="s">
        <v>1558</v>
      </c>
      <c r="BA320" s="463" t="s">
        <v>1576</v>
      </c>
      <c r="BB320" s="463" t="s">
        <v>1577</v>
      </c>
      <c r="BC320" s="463" t="s">
        <v>529</v>
      </c>
      <c r="BD320" s="463"/>
      <c r="BE320" s="463"/>
      <c r="BF320" s="464"/>
      <c r="BG320" s="391">
        <f>SUM($AV$4:AV320)</f>
        <v>2576.6850000000304</v>
      </c>
      <c r="BH320" s="392">
        <f>SUM($AU$134:AU320)</f>
        <v>1757.2900000000013</v>
      </c>
      <c r="BI320" s="318">
        <f>SUMIFS($AU$134:AU321,$Q$134:Q321,"F")</f>
        <v>33.199999999999989</v>
      </c>
      <c r="BJ320" s="318">
        <f>SUMIFS($AU$134:AU321,$Q$134:Q321,"S")</f>
        <v>1438.9499999999994</v>
      </c>
      <c r="BK320" s="343">
        <f>SUMIFS($AU$134:AU321,$P$134:P321,"W")</f>
        <v>2267.0899999999924</v>
      </c>
      <c r="BL320" s="343">
        <f>SUMIFS($AU$134:AU321,$P$134:P321,"R")</f>
        <v>-493.69999999999152</v>
      </c>
      <c r="BM320" s="343">
        <f>SUMIFS($AU$134:AU321,$AQ$134:AQ321,"M")</f>
        <v>-82.999999999995296</v>
      </c>
      <c r="BN320" s="343">
        <f>SUMIFS($AU$134:AU321,$AQ$134:AQ321,"H")</f>
        <v>399.70000000001505</v>
      </c>
      <c r="BO320" s="343">
        <f>SUMIFS($AU$134:AU321,$AQ$134:AQ321,"D")</f>
        <v>471.94999999999942</v>
      </c>
      <c r="BP320" s="343">
        <f>SUMIFS($AU$134:AU323,$AQ$134:AQ323,"W")</f>
        <v>25.30000000000004</v>
      </c>
      <c r="BQ320" s="343">
        <f>SUMIFS($AU$134:AU321,$Q$134:Q321,"O")</f>
        <v>102.04000000000158</v>
      </c>
      <c r="BR320" s="343">
        <f>SUMIFS($AU$134:AU321,$AA$134:AA321,"*")</f>
        <v>1939.1500000000306</v>
      </c>
      <c r="BS320" s="343">
        <f>SUMIFS($AU$134:AU321,$AB$134:AB321,"*")</f>
        <v>-286.96000000002391</v>
      </c>
      <c r="BT320" s="343">
        <f>SUMIFS($AU$134:AU321,$AC$134:AC321,"*")</f>
        <v>319.04999999999899</v>
      </c>
      <c r="BU320" s="343">
        <f>SUMIFS($AU$134:AU321,$AA$134:AA321,"*",$AB$134:AB321,"*")</f>
        <v>-236.49999999999511</v>
      </c>
      <c r="BV320" s="343">
        <f>SUMIFS($AU$134:AU321,$AA$134:AA321,"*",$AC$134:AC321,"*")</f>
        <v>618.349999999999</v>
      </c>
      <c r="BW320" s="343">
        <f>SUMIFS($AU$134:AU321,$AB$134:AB321,"*",$AC$134:AC321,"*")</f>
        <v>-303.50000000000023</v>
      </c>
      <c r="BX320" s="343">
        <f>SUMIFS($AU321:AU$1388,$Q321:Q$1388,"F")</f>
        <v>14407.466666666669</v>
      </c>
      <c r="BY320" s="343">
        <f>SUMIFS($AU321:AU$1388,$Q321:Q$1388,"S")</f>
        <v>19248.792000000001</v>
      </c>
      <c r="BZ320" s="343">
        <f>SUMIFS($AU321:AU$1388,$Q321:Q$1388,"O")</f>
        <v>-1750.8979999998</v>
      </c>
    </row>
    <row r="321" spans="1:78" ht="15">
      <c r="A321" s="221" t="s">
        <v>1523</v>
      </c>
      <c r="B321" s="200">
        <v>44987</v>
      </c>
      <c r="C321" s="201" t="s">
        <v>92</v>
      </c>
      <c r="D321" s="201" t="s">
        <v>93</v>
      </c>
      <c r="E321" s="462"/>
      <c r="F321" s="203"/>
      <c r="G321" s="314" t="s">
        <v>133</v>
      </c>
      <c r="H321" s="205"/>
      <c r="I321" s="205"/>
      <c r="J321" s="205"/>
      <c r="K321" s="206"/>
      <c r="L321" s="205">
        <v>1</v>
      </c>
      <c r="M321" s="205"/>
      <c r="N321" s="205"/>
      <c r="O321" s="206" t="s">
        <v>95</v>
      </c>
      <c r="P321" s="206" t="s">
        <v>96</v>
      </c>
      <c r="Q321" s="206" t="s">
        <v>97</v>
      </c>
      <c r="R321" s="206">
        <v>1</v>
      </c>
      <c r="S321" s="206">
        <v>1</v>
      </c>
      <c r="T321" s="206">
        <v>1</v>
      </c>
      <c r="U321" s="206" t="s">
        <v>97</v>
      </c>
      <c r="V321" s="206"/>
      <c r="W321" s="206"/>
      <c r="X321" s="206"/>
      <c r="Y321" s="184">
        <f t="shared" si="130"/>
        <v>0.01</v>
      </c>
      <c r="Z321" s="184">
        <f>IF(ISBLANK(O321),"",IF(O321=UPPER("IB"),8.63*200,16.1*100))</f>
        <v>1610.0000000000002</v>
      </c>
      <c r="AA321" s="208"/>
      <c r="AB321" s="208"/>
      <c r="AC321" s="208" t="s">
        <v>99</v>
      </c>
      <c r="AD321" s="650">
        <v>0.03</v>
      </c>
      <c r="AE321" s="205"/>
      <c r="AF321" s="333"/>
      <c r="AG321" s="205"/>
      <c r="AH321" s="205"/>
      <c r="AI321" s="205"/>
      <c r="AJ321" s="641"/>
      <c r="AK321" s="205"/>
      <c r="AL321" s="496">
        <f>-0.03*Z321</f>
        <v>-48.300000000000004</v>
      </c>
      <c r="AM321" s="496">
        <f t="shared" si="131"/>
        <v>-48.300000000000004</v>
      </c>
      <c r="AN321" s="627"/>
      <c r="AO321" s="205"/>
      <c r="AP321" s="205" t="s">
        <v>1578</v>
      </c>
      <c r="AQ321" s="333" t="str">
        <f>UPPER(RIGHT(Journal_Live[[#This Row],[DURATION ]]))</f>
        <v>S</v>
      </c>
      <c r="AR321" s="205" t="s">
        <v>1579</v>
      </c>
      <c r="AS321" s="211">
        <v>0.02</v>
      </c>
      <c r="AT321" s="189">
        <f t="shared" si="132"/>
        <v>9.9999999999999985E-3</v>
      </c>
      <c r="AU321" s="187">
        <f t="shared" si="133"/>
        <v>16.100000000000001</v>
      </c>
      <c r="AV321" s="190">
        <f t="shared" si="134"/>
        <v>16.100000000000001</v>
      </c>
      <c r="AW321" s="213" t="s">
        <v>96</v>
      </c>
      <c r="AX321" s="463" t="s">
        <v>1580</v>
      </c>
      <c r="AY321" s="463"/>
      <c r="AZ321" s="463"/>
      <c r="BA321" s="463"/>
      <c r="BB321" s="463"/>
      <c r="BC321" s="463"/>
      <c r="BD321" s="463"/>
      <c r="BE321" s="463"/>
      <c r="BF321" s="464"/>
      <c r="BG321" s="391">
        <f>SUM($AV$4:AV321)</f>
        <v>2592.7850000000303</v>
      </c>
      <c r="BH321" s="392">
        <f>SUM($AU$134:AU321)</f>
        <v>1773.3900000000012</v>
      </c>
      <c r="BI321" s="318">
        <f>SUMIFS($AU$134:AU322,$Q$134:Q322,"F")</f>
        <v>33.199999999999989</v>
      </c>
      <c r="BJ321" s="318">
        <f>SUMIFS($AU$134:AU322,$Q$134:Q322,"S")</f>
        <v>1455.0499999999993</v>
      </c>
      <c r="BK321" s="343">
        <f>SUMIFS($AU$134:AU322,$P$134:P322,"W")</f>
        <v>2283.1899999999923</v>
      </c>
      <c r="BL321" s="343">
        <f>SUMIFS($AU$134:AU322,$P$134:P322,"R")</f>
        <v>-493.69999999999152</v>
      </c>
      <c r="BM321" s="343">
        <f>SUMIFS($AU$134:AU322,$AQ$134:AQ322,"M")</f>
        <v>-82.999999999995296</v>
      </c>
      <c r="BN321" s="343">
        <f>SUMIFS($AU$134:AU322,$AQ$134:AQ322,"H")</f>
        <v>415.80000000001507</v>
      </c>
      <c r="BO321" s="343">
        <f>SUMIFS($AU$134:AU322,$AQ$134:AQ322,"D")</f>
        <v>471.94999999999942</v>
      </c>
      <c r="BP321" s="343">
        <f>SUMIFS($AU$134:AU324,$AQ$134:AQ324,"W")</f>
        <v>25.30000000000004</v>
      </c>
      <c r="BQ321" s="343">
        <f>SUMIFS($AU$134:AU322,$Q$134:Q322,"O")</f>
        <v>102.04000000000158</v>
      </c>
      <c r="BR321" s="343">
        <f>SUMIFS($AU$134:AU322,$AA$134:AA322,"*")</f>
        <v>1939.1500000000306</v>
      </c>
      <c r="BS321" s="343">
        <f>SUMIFS($AU$134:AU322,$AB$134:AB322,"*")</f>
        <v>-286.96000000002391</v>
      </c>
      <c r="BT321" s="343">
        <f>SUMIFS($AU$134:AU322,$AC$134:AC322,"*")</f>
        <v>335.14999999999901</v>
      </c>
      <c r="BU321" s="343">
        <f>SUMIFS($AU$134:AU322,$AA$134:AA322,"*",$AB$134:AB322,"*")</f>
        <v>-236.49999999999511</v>
      </c>
      <c r="BV321" s="343">
        <f>SUMIFS($AU$134:AU322,$AA$134:AA322,"*",$AC$134:AC322,"*")</f>
        <v>618.349999999999</v>
      </c>
      <c r="BW321" s="343">
        <f>SUMIFS($AU$134:AU322,$AB$134:AB322,"*",$AC$134:AC322,"*")</f>
        <v>-303.50000000000023</v>
      </c>
      <c r="BX321" s="343">
        <f>SUMIFS($AU322:AU$1388,$Q322:Q$1388,"F")</f>
        <v>14407.466666666669</v>
      </c>
      <c r="BY321" s="343">
        <f>SUMIFS($AU322:AU$1388,$Q322:Q$1388,"S")</f>
        <v>19232.692000000003</v>
      </c>
      <c r="BZ321" s="343">
        <f>SUMIFS($AU322:AU$1388,$Q322:Q$1388,"O")</f>
        <v>-1750.8979999998</v>
      </c>
    </row>
    <row r="322" spans="1:78" ht="15">
      <c r="A322" s="221" t="s">
        <v>1523</v>
      </c>
      <c r="B322" s="200">
        <v>44987</v>
      </c>
      <c r="C322" s="201" t="s">
        <v>1581</v>
      </c>
      <c r="D322" s="201" t="s">
        <v>93</v>
      </c>
      <c r="E322" s="462"/>
      <c r="F322" s="203"/>
      <c r="G322" s="314" t="s">
        <v>133</v>
      </c>
      <c r="H322" s="205"/>
      <c r="I322" s="205"/>
      <c r="J322" s="205"/>
      <c r="K322" s="206"/>
      <c r="L322" s="205">
        <v>1</v>
      </c>
      <c r="M322" s="205"/>
      <c r="N322" s="205"/>
      <c r="O322" s="206" t="s">
        <v>95</v>
      </c>
      <c r="P322" s="206" t="s">
        <v>96</v>
      </c>
      <c r="Q322" s="206" t="s">
        <v>97</v>
      </c>
      <c r="R322" s="206">
        <v>1</v>
      </c>
      <c r="S322" s="206">
        <v>1</v>
      </c>
      <c r="T322" s="206">
        <v>1</v>
      </c>
      <c r="U322" s="206" t="s">
        <v>97</v>
      </c>
      <c r="V322" s="206"/>
      <c r="W322" s="206"/>
      <c r="X322" s="206"/>
      <c r="Y322" s="184">
        <f t="shared" si="130"/>
        <v>0.01</v>
      </c>
      <c r="Z322" s="184">
        <f>IF(ISBLANK(O322),"",IF(O322=UPPER("IB"),8.63*200,16.1*100))</f>
        <v>1610.0000000000002</v>
      </c>
      <c r="AA322" s="208"/>
      <c r="AB322" s="208"/>
      <c r="AC322" s="208" t="s">
        <v>99</v>
      </c>
      <c r="AD322" s="650">
        <v>0.03</v>
      </c>
      <c r="AE322" s="205"/>
      <c r="AF322" s="333"/>
      <c r="AG322" s="205"/>
      <c r="AH322" s="205"/>
      <c r="AI322" s="205"/>
      <c r="AJ322" s="641"/>
      <c r="AK322" s="205"/>
      <c r="AL322" s="496">
        <f t="shared" ref="AL322" si="135">-0.03*Z322</f>
        <v>-48.300000000000004</v>
      </c>
      <c r="AM322" s="496">
        <f t="shared" si="131"/>
        <v>-48.300000000000004</v>
      </c>
      <c r="AN322" s="627"/>
      <c r="AO322" s="205"/>
      <c r="AP322" s="205" t="s">
        <v>1554</v>
      </c>
      <c r="AQ322" s="333" t="str">
        <f>UPPER(RIGHT(Journal_Live[[#This Row],[DURATION ]]))</f>
        <v>H</v>
      </c>
      <c r="AR322" s="205" t="s">
        <v>1582</v>
      </c>
      <c r="AS322" s="211">
        <v>0.02</v>
      </c>
      <c r="AT322" s="189">
        <f t="shared" si="132"/>
        <v>9.9999999999999985E-3</v>
      </c>
      <c r="AU322" s="187">
        <f t="shared" si="133"/>
        <v>16.100000000000001</v>
      </c>
      <c r="AV322" s="190">
        <f t="shared" si="134"/>
        <v>16.100000000000001</v>
      </c>
      <c r="AW322" s="213" t="s">
        <v>96</v>
      </c>
      <c r="AX322" s="463" t="s">
        <v>1580</v>
      </c>
      <c r="AY322" s="463"/>
      <c r="AZ322" s="463"/>
      <c r="BA322" s="463"/>
      <c r="BB322" s="463"/>
      <c r="BC322" s="463"/>
      <c r="BD322" s="463"/>
      <c r="BE322" s="463"/>
      <c r="BF322" s="464"/>
      <c r="BG322" s="391">
        <f>SUM($AV$4:AV322)</f>
        <v>2608.8850000000302</v>
      </c>
      <c r="BH322" s="392">
        <f>SUM($AU$134:AU322)</f>
        <v>1789.4900000000011</v>
      </c>
      <c r="BI322" s="318">
        <f>SUMIFS($AU$134:AU323,$Q$134:Q323,"F")</f>
        <v>33.199999999999989</v>
      </c>
      <c r="BJ322" s="318">
        <f>SUMIFS($AU$134:AU323,$Q$134:Q323,"S")</f>
        <v>1616.0499999999993</v>
      </c>
      <c r="BK322" s="343">
        <f>SUMIFS($AU$134:AU323,$P$134:P323,"W")</f>
        <v>2283.1899999999923</v>
      </c>
      <c r="BL322" s="343">
        <f>SUMIFS($AU$134:AU323,$P$134:P323,"R")</f>
        <v>-332.69999999999158</v>
      </c>
      <c r="BM322" s="343">
        <f>SUMIFS($AU$134:AU323,$AQ$134:AQ323,"M")</f>
        <v>-82.999999999995296</v>
      </c>
      <c r="BN322" s="343">
        <f>SUMIFS($AU$134:AU323,$AQ$134:AQ323,"H")</f>
        <v>576.80000000001496</v>
      </c>
      <c r="BO322" s="343">
        <f>SUMIFS($AU$134:AU323,$AQ$134:AQ323,"D")</f>
        <v>471.94999999999942</v>
      </c>
      <c r="BP322" s="343">
        <f>SUMIFS($AU$134:AU325,$AQ$134:AQ325,"W")</f>
        <v>25.30000000000004</v>
      </c>
      <c r="BQ322" s="343">
        <f>SUMIFS($AU$134:AU323,$Q$134:Q323,"O")</f>
        <v>102.04000000000158</v>
      </c>
      <c r="BR322" s="343">
        <f>SUMIFS($AU$134:AU323,$AA$134:AA323,"*")</f>
        <v>2100.1500000000306</v>
      </c>
      <c r="BS322" s="343">
        <f>SUMIFS($AU$134:AU323,$AB$134:AB323,"*")</f>
        <v>-286.96000000002391</v>
      </c>
      <c r="BT322" s="343">
        <f>SUMIFS($AU$134:AU323,$AC$134:AC323,"*")</f>
        <v>335.14999999999901</v>
      </c>
      <c r="BU322" s="343">
        <f>SUMIFS($AU$134:AU323,$AA$134:AA323,"*",$AB$134:AB323,"*")</f>
        <v>-236.49999999999511</v>
      </c>
      <c r="BV322" s="343">
        <f>SUMIFS($AU$134:AU323,$AA$134:AA323,"*",$AC$134:AC323,"*")</f>
        <v>618.349999999999</v>
      </c>
      <c r="BW322" s="343">
        <f>SUMIFS($AU$134:AU323,$AB$134:AB323,"*",$AC$134:AC323,"*")</f>
        <v>-303.50000000000023</v>
      </c>
      <c r="BX322" s="343">
        <f>SUMIFS($AU323:AU$1388,$Q323:Q$1388,"F")</f>
        <v>14407.466666666669</v>
      </c>
      <c r="BY322" s="343">
        <f>SUMIFS($AU323:AU$1388,$Q323:Q$1388,"S")</f>
        <v>19216.592000000001</v>
      </c>
      <c r="BZ322" s="343">
        <f>SUMIFS($AU323:AU$1388,$Q323:Q$1388,"O")</f>
        <v>-1750.8979999998</v>
      </c>
    </row>
    <row r="323" spans="1:78" ht="15">
      <c r="A323" s="221" t="s">
        <v>1523</v>
      </c>
      <c r="B323" s="200">
        <v>44988</v>
      </c>
      <c r="C323" s="201" t="s">
        <v>1583</v>
      </c>
      <c r="D323" s="201" t="s">
        <v>111</v>
      </c>
      <c r="E323" s="462"/>
      <c r="F323" s="203"/>
      <c r="G323" s="316" t="s">
        <v>271</v>
      </c>
      <c r="H323" s="205"/>
      <c r="I323" s="205"/>
      <c r="J323" s="205"/>
      <c r="K323" s="206"/>
      <c r="L323" s="205">
        <v>1</v>
      </c>
      <c r="M323" s="205"/>
      <c r="N323" s="205"/>
      <c r="O323" s="206" t="s">
        <v>95</v>
      </c>
      <c r="P323" s="206" t="s">
        <v>137</v>
      </c>
      <c r="Q323" s="206" t="s">
        <v>97</v>
      </c>
      <c r="R323" s="206">
        <v>10</v>
      </c>
      <c r="S323" s="206">
        <v>10</v>
      </c>
      <c r="T323" s="206">
        <v>10</v>
      </c>
      <c r="U323" s="206" t="s">
        <v>97</v>
      </c>
      <c r="V323" s="206"/>
      <c r="W323" s="206"/>
      <c r="X323" s="206"/>
      <c r="Y323" s="184">
        <f t="shared" si="130"/>
        <v>0.01</v>
      </c>
      <c r="Z323" s="184">
        <f>IF(ISBLANK(O323),"",IF(O323=UPPER("IB"),8.63*200,16.1*100))</f>
        <v>1610.0000000000002</v>
      </c>
      <c r="AA323" s="208" t="s">
        <v>1584</v>
      </c>
      <c r="AB323" s="208"/>
      <c r="AC323" s="208"/>
      <c r="AD323" s="650">
        <v>-0.11</v>
      </c>
      <c r="AE323" s="205"/>
      <c r="AF323" s="333" t="s">
        <v>1378</v>
      </c>
      <c r="AG323" s="205"/>
      <c r="AH323" s="205">
        <v>-14</v>
      </c>
      <c r="AI323" s="205"/>
      <c r="AJ323" s="641"/>
      <c r="AK323" s="205"/>
      <c r="AL323" s="496">
        <f>-0.03*Z323</f>
        <v>-48.300000000000004</v>
      </c>
      <c r="AM323" s="496">
        <f t="shared" si="131"/>
        <v>-483.00000000000006</v>
      </c>
      <c r="AN323" s="627" t="s">
        <v>1486</v>
      </c>
      <c r="AO323" s="205" t="s">
        <v>1512</v>
      </c>
      <c r="AP323" s="205" t="s">
        <v>1585</v>
      </c>
      <c r="AQ323" s="333" t="str">
        <f>UPPER(RIGHT(Journal_Live[[#This Row],[DURATION ]]))</f>
        <v>H</v>
      </c>
      <c r="AR323" s="205" t="s">
        <v>1586</v>
      </c>
      <c r="AS323" s="211">
        <v>-0.12</v>
      </c>
      <c r="AT323" s="189">
        <f t="shared" si="132"/>
        <v>9.999999999999995E-3</v>
      </c>
      <c r="AU323" s="187">
        <f t="shared" si="133"/>
        <v>160.99999999999994</v>
      </c>
      <c r="AV323" s="190">
        <f t="shared" si="134"/>
        <v>16.099999999999994</v>
      </c>
      <c r="AW323" s="213" t="s">
        <v>96</v>
      </c>
      <c r="AX323" s="463"/>
      <c r="AY323" s="463" t="s">
        <v>1587</v>
      </c>
      <c r="AZ323" s="463" t="s">
        <v>1558</v>
      </c>
      <c r="BA323" s="463"/>
      <c r="BB323" s="463"/>
      <c r="BC323" s="463"/>
      <c r="BD323" s="463"/>
      <c r="BE323" s="463"/>
      <c r="BF323" s="464"/>
      <c r="BG323" s="391">
        <f>SUM($AV$4:AV323)</f>
        <v>2624.9850000000301</v>
      </c>
      <c r="BH323" s="392">
        <f>SUM($AU$134:AU323)</f>
        <v>1950.4900000000011</v>
      </c>
      <c r="BI323" s="318">
        <f>SUMIFS($AU$134:AU324,$Q$134:Q324,"F")</f>
        <v>33.199999999999989</v>
      </c>
      <c r="BJ323" s="318">
        <f>SUMIFS($AU$134:AU324,$Q$134:Q324,"S")</f>
        <v>1664.3499999999992</v>
      </c>
      <c r="BK323" s="343">
        <f>SUMIFS($AU$134:AU324,$P$134:P324,"W")</f>
        <v>2331.4899999999925</v>
      </c>
      <c r="BL323" s="343">
        <f>SUMIFS($AU$134:AU324,$P$134:P324,"R")</f>
        <v>-332.69999999999158</v>
      </c>
      <c r="BM323" s="343">
        <f>SUMIFS($AU$134:AU324,$AQ$134:AQ324,"M")</f>
        <v>-34.699999999995292</v>
      </c>
      <c r="BN323" s="343">
        <f>SUMIFS($AU$134:AU324,$AQ$134:AQ324,"H")</f>
        <v>576.80000000001496</v>
      </c>
      <c r="BO323" s="343">
        <f>SUMIFS($AU$134:AU324,$AQ$134:AQ324,"D")</f>
        <v>471.94999999999942</v>
      </c>
      <c r="BP323" s="343">
        <f>SUMIFS($AU$134:AU326,$AQ$134:AQ326,"W")</f>
        <v>25.30000000000004</v>
      </c>
      <c r="BQ323" s="343">
        <f>SUMIFS($AU$134:AU324,$Q$134:Q324,"O")</f>
        <v>102.04000000000158</v>
      </c>
      <c r="BR323" s="343">
        <f>SUMIFS($AU$134:AU324,$AA$134:AA324,"*")</f>
        <v>2100.1500000000306</v>
      </c>
      <c r="BS323" s="343">
        <f>SUMIFS($AU$134:AU324,$AB$134:AB324,"*")</f>
        <v>-286.96000000002391</v>
      </c>
      <c r="BT323" s="343">
        <f>SUMIFS($AU$134:AU324,$AC$134:AC324,"*")</f>
        <v>383.44999999999902</v>
      </c>
      <c r="BU323" s="343">
        <f>SUMIFS($AU$134:AU324,$AA$134:AA324,"*",$AB$134:AB324,"*")</f>
        <v>-236.49999999999511</v>
      </c>
      <c r="BV323" s="343">
        <f>SUMIFS($AU$134:AU324,$AA$134:AA324,"*",$AC$134:AC324,"*")</f>
        <v>618.349999999999</v>
      </c>
      <c r="BW323" s="343">
        <f>SUMIFS($AU$134:AU324,$AB$134:AB324,"*",$AC$134:AC324,"*")</f>
        <v>-303.50000000000023</v>
      </c>
      <c r="BX323" s="343">
        <f>SUMIFS($AU324:AU$1388,$Q324:Q$1388,"F")</f>
        <v>14407.466666666669</v>
      </c>
      <c r="BY323" s="343">
        <f>SUMIFS($AU324:AU$1388,$Q324:Q$1388,"S")</f>
        <v>19055.592000000001</v>
      </c>
      <c r="BZ323" s="343">
        <f>SUMIFS($AU324:AU$1388,$Q324:Q$1388,"O")</f>
        <v>-1750.8979999998</v>
      </c>
    </row>
    <row r="324" spans="1:78" ht="15">
      <c r="A324" s="221" t="s">
        <v>1523</v>
      </c>
      <c r="B324" s="200">
        <v>44988</v>
      </c>
      <c r="C324" s="201" t="s">
        <v>1370</v>
      </c>
      <c r="D324" s="201" t="s">
        <v>111</v>
      </c>
      <c r="E324" s="462"/>
      <c r="F324" s="203"/>
      <c r="G324" s="314" t="s">
        <v>133</v>
      </c>
      <c r="H324" s="205"/>
      <c r="I324" s="205"/>
      <c r="J324" s="205"/>
      <c r="K324" s="206"/>
      <c r="L324" s="205">
        <v>1</v>
      </c>
      <c r="M324" s="205"/>
      <c r="N324" s="205"/>
      <c r="O324" s="206" t="s">
        <v>95</v>
      </c>
      <c r="P324" s="206" t="s">
        <v>96</v>
      </c>
      <c r="Q324" s="206" t="s">
        <v>97</v>
      </c>
      <c r="R324" s="206">
        <v>3</v>
      </c>
      <c r="S324" s="206">
        <v>3</v>
      </c>
      <c r="T324" s="206">
        <v>3</v>
      </c>
      <c r="U324" s="206" t="s">
        <v>97</v>
      </c>
      <c r="V324" s="206"/>
      <c r="W324" s="206"/>
      <c r="X324" s="206"/>
      <c r="Y324" s="184">
        <f t="shared" si="130"/>
        <v>0.01</v>
      </c>
      <c r="Z324" s="184">
        <f>IF(ISBLANK(O324),"",IF(O324=UPPER("IB"),8.63*200,16.1*100))</f>
        <v>1610.0000000000002</v>
      </c>
      <c r="AA324" s="208"/>
      <c r="AB324" s="208"/>
      <c r="AC324" s="208" t="s">
        <v>99</v>
      </c>
      <c r="AD324" s="650">
        <v>0.03</v>
      </c>
      <c r="AE324" s="205"/>
      <c r="AF324" s="333"/>
      <c r="AG324" s="205"/>
      <c r="AH324" s="205"/>
      <c r="AI324" s="205"/>
      <c r="AJ324" s="641"/>
      <c r="AK324" s="205"/>
      <c r="AL324" s="496">
        <f t="shared" ref="AL324" si="136">-0.03*Z324</f>
        <v>-48.300000000000004</v>
      </c>
      <c r="AM324" s="496">
        <f t="shared" si="131"/>
        <v>-144.9</v>
      </c>
      <c r="AN324" s="627"/>
      <c r="AO324" s="205"/>
      <c r="AP324" s="205" t="s">
        <v>1588</v>
      </c>
      <c r="AQ324" s="333" t="str">
        <f>UPPER(RIGHT(Journal_Live[[#This Row],[DURATION ]]))</f>
        <v>M</v>
      </c>
      <c r="AR324" s="205" t="s">
        <v>1589</v>
      </c>
      <c r="AS324" s="211">
        <v>0.02</v>
      </c>
      <c r="AT324" s="189">
        <f t="shared" si="132"/>
        <v>9.9999999999999985E-3</v>
      </c>
      <c r="AU324" s="187">
        <f t="shared" si="133"/>
        <v>48.300000000000004</v>
      </c>
      <c r="AV324" s="190">
        <f t="shared" si="134"/>
        <v>16.100000000000001</v>
      </c>
      <c r="AW324" s="213" t="s">
        <v>96</v>
      </c>
      <c r="AX324" s="463" t="s">
        <v>940</v>
      </c>
      <c r="AY324" s="463"/>
      <c r="AZ324" s="463"/>
      <c r="BA324" s="463"/>
      <c r="BB324" s="463"/>
      <c r="BC324" s="463"/>
      <c r="BD324" s="463"/>
      <c r="BE324" s="463"/>
      <c r="BF324" s="464"/>
      <c r="BG324" s="391">
        <f>SUM($AV$4:AV324)</f>
        <v>2641.08500000003</v>
      </c>
      <c r="BH324" s="392">
        <f>SUM($AU$134:AU324)</f>
        <v>1998.7900000000011</v>
      </c>
      <c r="BI324" s="318">
        <f>SUMIFS($AU$134:AU325,$Q$134:Q325,"F")</f>
        <v>33.199999999999989</v>
      </c>
      <c r="BJ324" s="318">
        <f>SUMIFS($AU$134:AU325,$Q$134:Q325,"S")</f>
        <v>1664.3499999999992</v>
      </c>
      <c r="BK324" s="343">
        <f>SUMIFS($AU$134:AU325,$P$134:P325,"W")</f>
        <v>2331.4899999999925</v>
      </c>
      <c r="BL324" s="343">
        <f>SUMIFS($AU$134:AU325,$P$134:P325,"R")</f>
        <v>-332.69999999999158</v>
      </c>
      <c r="BM324" s="343">
        <f>SUMIFS($AU$134:AU325,$AQ$134:AQ325,"M")</f>
        <v>-34.699999999995292</v>
      </c>
      <c r="BN324" s="343">
        <f>SUMIFS($AU$134:AU325,$AQ$134:AQ325,"H")</f>
        <v>576.80000000001496</v>
      </c>
      <c r="BO324" s="343">
        <f>SUMIFS($AU$134:AU325,$AQ$134:AQ325,"D")</f>
        <v>471.94999999999942</v>
      </c>
      <c r="BP324" s="343">
        <f>SUMIFS($AU$134:AU327,$AQ$134:AQ327,"W")</f>
        <v>25.30000000000004</v>
      </c>
      <c r="BQ324" s="343">
        <f>SUMIFS($AU$134:AU325,$Q$134:Q325,"O")</f>
        <v>102.04000000000158</v>
      </c>
      <c r="BR324" s="343">
        <f>SUMIFS($AU$134:AU325,$AA$134:AA325,"*")</f>
        <v>2100.1500000000306</v>
      </c>
      <c r="BS324" s="343">
        <f>SUMIFS($AU$134:AU325,$AB$134:AB325,"*")</f>
        <v>-286.96000000002391</v>
      </c>
      <c r="BT324" s="343">
        <f>SUMIFS($AU$134:AU325,$AC$134:AC325,"*")</f>
        <v>383.44999999999902</v>
      </c>
      <c r="BU324" s="343">
        <f>SUMIFS($AU$134:AU325,$AA$134:AA325,"*",$AB$134:AB325,"*")</f>
        <v>-236.49999999999511</v>
      </c>
      <c r="BV324" s="343">
        <f>SUMIFS($AU$134:AU325,$AA$134:AA325,"*",$AC$134:AC325,"*")</f>
        <v>618.349999999999</v>
      </c>
      <c r="BW324" s="343">
        <f>SUMIFS($AU$134:AU325,$AB$134:AB325,"*",$AC$134:AC325,"*")</f>
        <v>-303.50000000000023</v>
      </c>
      <c r="BX324" s="343">
        <f>SUMIFS($AU325:AU$1388,$Q325:Q$1388,"F")</f>
        <v>14407.466666666669</v>
      </c>
      <c r="BY324" s="343">
        <f>SUMIFS($AU325:AU$1388,$Q325:Q$1388,"S")</f>
        <v>19007.292000000001</v>
      </c>
      <c r="BZ324" s="343">
        <f>SUMIFS($AU325:AU$1388,$Q325:Q$1388,"O")</f>
        <v>-1750.8979999998</v>
      </c>
    </row>
    <row r="325" spans="1:78" ht="15">
      <c r="A325" s="221" t="s">
        <v>1523</v>
      </c>
      <c r="B325" s="200">
        <v>44988</v>
      </c>
      <c r="C325" s="201" t="s">
        <v>1589</v>
      </c>
      <c r="D325" s="201" t="s">
        <v>111</v>
      </c>
      <c r="E325" s="462"/>
      <c r="F325" s="203"/>
      <c r="G325" s="314" t="s">
        <v>133</v>
      </c>
      <c r="H325" s="205"/>
      <c r="I325" s="205"/>
      <c r="J325" s="205"/>
      <c r="K325" s="206"/>
      <c r="L325" s="205">
        <v>1</v>
      </c>
      <c r="M325" s="205"/>
      <c r="N325" s="205"/>
      <c r="O325" s="206" t="s">
        <v>95</v>
      </c>
      <c r="P325" s="206" t="s">
        <v>96</v>
      </c>
      <c r="Q325" s="206" t="s">
        <v>97</v>
      </c>
      <c r="R325" s="206">
        <v>4</v>
      </c>
      <c r="S325" s="206">
        <v>4</v>
      </c>
      <c r="T325" s="206">
        <v>4</v>
      </c>
      <c r="U325" s="206" t="s">
        <v>97</v>
      </c>
      <c r="V325" s="206"/>
      <c r="W325" s="206"/>
      <c r="X325" s="206"/>
      <c r="Y325" s="184">
        <f t="shared" si="130"/>
        <v>0.01</v>
      </c>
      <c r="Z325" s="184">
        <f>IF(ISBLANK(O325),"",IF(O325=UPPER("IB"),8.63*200,16.2*100))</f>
        <v>1620</v>
      </c>
      <c r="AA325" s="208"/>
      <c r="AB325" s="208"/>
      <c r="AC325" s="208" t="s">
        <v>99</v>
      </c>
      <c r="AD325" s="650">
        <v>0.03</v>
      </c>
      <c r="AE325" s="205"/>
      <c r="AF325" s="333"/>
      <c r="AG325" s="205"/>
      <c r="AH325" s="205">
        <v>6</v>
      </c>
      <c r="AI325" s="205"/>
      <c r="AJ325" s="641"/>
      <c r="AK325" s="205"/>
      <c r="AL325" s="496">
        <f t="shared" ref="AL325" si="137">-0.03*Z325</f>
        <v>-48.6</v>
      </c>
      <c r="AM325" s="496">
        <f t="shared" si="131"/>
        <v>-194.4</v>
      </c>
      <c r="AN325" s="627"/>
      <c r="AO325" s="205" t="s">
        <v>1590</v>
      </c>
      <c r="AP325" s="205" t="s">
        <v>804</v>
      </c>
      <c r="AQ325" s="333" t="str">
        <f>UPPER(RIGHT(Journal_Live[[#This Row],[DURATION ]]))</f>
        <v>D</v>
      </c>
      <c r="AR325" s="205" t="s">
        <v>1591</v>
      </c>
      <c r="AS325" s="211">
        <v>0.03</v>
      </c>
      <c r="AT325" s="189">
        <f t="shared" si="132"/>
        <v>0</v>
      </c>
      <c r="AU325" s="187">
        <f t="shared" si="133"/>
        <v>0</v>
      </c>
      <c r="AV325" s="190">
        <f t="shared" si="134"/>
        <v>0</v>
      </c>
      <c r="AW325" s="213" t="s">
        <v>115</v>
      </c>
      <c r="AX325" s="463"/>
      <c r="AY325" s="463"/>
      <c r="AZ325" s="463"/>
      <c r="BA325" s="463"/>
      <c r="BB325" s="463"/>
      <c r="BC325" s="463"/>
      <c r="BD325" s="463"/>
      <c r="BE325" s="463"/>
      <c r="BF325" s="464"/>
      <c r="BG325" s="391">
        <f>SUM($AV$4:AV325)</f>
        <v>2641.08500000003</v>
      </c>
      <c r="BH325" s="392">
        <f>SUM($AU$134:AU325)</f>
        <v>1998.7900000000011</v>
      </c>
      <c r="BI325" s="318">
        <f>SUMIFS($AU$134:AU326,$Q$134:Q326,"F")</f>
        <v>33.199999999999989</v>
      </c>
      <c r="BJ325" s="318">
        <f>SUMIFS($AU$134:AU326,$Q$134:Q326,"S")</f>
        <v>1745.3499999999992</v>
      </c>
      <c r="BK325" s="343">
        <f>SUMIFS($AU$134:AU326,$P$134:P326,"W")</f>
        <v>2412.4899999999925</v>
      </c>
      <c r="BL325" s="343">
        <f>SUMIFS($AU$134:AU326,$P$134:P326,"R")</f>
        <v>-332.69999999999158</v>
      </c>
      <c r="BM325" s="343">
        <f>SUMIFS($AU$134:AU326,$AQ$134:AQ326,"M")</f>
        <v>-34.699999999995292</v>
      </c>
      <c r="BN325" s="343">
        <f>SUMIFS($AU$134:AU326,$AQ$134:AQ326,"H")</f>
        <v>576.80000000001496</v>
      </c>
      <c r="BO325" s="343">
        <f>SUMIFS($AU$134:AU326,$AQ$134:AQ326,"D")</f>
        <v>552.94999999999948</v>
      </c>
      <c r="BP325" s="343">
        <f>SUMIFS($AU$134:AU328,$AQ$134:AQ328,"W")</f>
        <v>25.30000000000004</v>
      </c>
      <c r="BQ325" s="343">
        <f>SUMIFS($AU$134:AU326,$Q$134:Q326,"O")</f>
        <v>102.04000000000158</v>
      </c>
      <c r="BR325" s="343">
        <f>SUMIFS($AU$134:AU326,$AA$134:AA326,"*")</f>
        <v>2100.1500000000306</v>
      </c>
      <c r="BS325" s="343">
        <f>SUMIFS($AU$134:AU326,$AB$134:AB326,"*")</f>
        <v>-205.96000000002391</v>
      </c>
      <c r="BT325" s="343">
        <f>SUMIFS($AU$134:AU326,$AC$134:AC326,"*")</f>
        <v>464.44999999999902</v>
      </c>
      <c r="BU325" s="343">
        <f>SUMIFS($AU$134:AU326,$AA$134:AA326,"*",$AB$134:AB326,"*")</f>
        <v>-236.49999999999511</v>
      </c>
      <c r="BV325" s="343">
        <f>SUMIFS($AU$134:AU326,$AA$134:AA326,"*",$AC$134:AC326,"*")</f>
        <v>618.349999999999</v>
      </c>
      <c r="BW325" s="343">
        <f>SUMIFS($AU$134:AU326,$AB$134:AB326,"*",$AC$134:AC326,"*")</f>
        <v>-222.50000000000023</v>
      </c>
      <c r="BX325" s="343">
        <f>SUMIFS($AU326:AU$1388,$Q326:Q$1388,"F")</f>
        <v>14407.466666666669</v>
      </c>
      <c r="BY325" s="343">
        <f>SUMIFS($AU326:AU$1388,$Q326:Q$1388,"S")</f>
        <v>19007.292000000001</v>
      </c>
      <c r="BZ325" s="343">
        <f>SUMIFS($AU326:AU$1388,$Q326:Q$1388,"O")</f>
        <v>-1750.8979999998</v>
      </c>
    </row>
    <row r="326" spans="1:78" ht="15">
      <c r="A326" s="221" t="s">
        <v>1523</v>
      </c>
      <c r="B326" s="200">
        <v>44988</v>
      </c>
      <c r="C326" s="201" t="s">
        <v>1589</v>
      </c>
      <c r="D326" s="201" t="s">
        <v>111</v>
      </c>
      <c r="E326" s="462"/>
      <c r="F326" s="203"/>
      <c r="G326" s="314" t="s">
        <v>133</v>
      </c>
      <c r="H326" s="205"/>
      <c r="I326" s="205"/>
      <c r="J326" s="205"/>
      <c r="K326" s="206"/>
      <c r="L326" s="205">
        <v>1</v>
      </c>
      <c r="M326" s="205"/>
      <c r="N326" s="205"/>
      <c r="O326" s="206" t="s">
        <v>95</v>
      </c>
      <c r="P326" s="206" t="s">
        <v>96</v>
      </c>
      <c r="Q326" s="206" t="s">
        <v>97</v>
      </c>
      <c r="R326" s="206">
        <v>5</v>
      </c>
      <c r="S326" s="206">
        <v>5</v>
      </c>
      <c r="T326" s="206">
        <v>5</v>
      </c>
      <c r="U326" s="206" t="s">
        <v>97</v>
      </c>
      <c r="V326" s="206"/>
      <c r="W326" s="206"/>
      <c r="X326" s="206"/>
      <c r="Y326" s="184">
        <f t="shared" si="130"/>
        <v>0.01</v>
      </c>
      <c r="Z326" s="184">
        <f>IF(ISBLANK(O326),"",IF(O326=UPPER("IB"),8.63*200,16.2*100))</f>
        <v>1620</v>
      </c>
      <c r="AA326" s="208"/>
      <c r="AB326" s="208" t="s">
        <v>1592</v>
      </c>
      <c r="AC326" s="208" t="s">
        <v>529</v>
      </c>
      <c r="AD326" s="650">
        <v>0.04</v>
      </c>
      <c r="AE326" s="205"/>
      <c r="AF326" s="333"/>
      <c r="AG326" s="205"/>
      <c r="AH326" s="205">
        <v>6</v>
      </c>
      <c r="AI326" s="205"/>
      <c r="AJ326" s="641"/>
      <c r="AK326" s="205"/>
      <c r="AL326" s="496">
        <f>-0.03*Z326</f>
        <v>-48.6</v>
      </c>
      <c r="AM326" s="496">
        <f t="shared" si="131"/>
        <v>-243</v>
      </c>
      <c r="AN326" s="627"/>
      <c r="AO326" s="205" t="s">
        <v>1593</v>
      </c>
      <c r="AP326" s="205" t="s">
        <v>804</v>
      </c>
      <c r="AQ326" s="333" t="str">
        <f>UPPER(RIGHT(Journal_Live[[#This Row],[DURATION ]]))</f>
        <v>D</v>
      </c>
      <c r="AR326" s="205" t="s">
        <v>1591</v>
      </c>
      <c r="AS326" s="211">
        <v>0.03</v>
      </c>
      <c r="AT326" s="189">
        <f t="shared" si="132"/>
        <v>1.0000000000000002E-2</v>
      </c>
      <c r="AU326" s="187">
        <f t="shared" si="133"/>
        <v>81.000000000000014</v>
      </c>
      <c r="AV326" s="190">
        <f t="shared" si="134"/>
        <v>16.200000000000003</v>
      </c>
      <c r="AW326" s="213" t="s">
        <v>96</v>
      </c>
      <c r="AX326" s="463" t="s">
        <v>1137</v>
      </c>
      <c r="AY326" s="463"/>
      <c r="AZ326" s="463"/>
      <c r="BA326" s="463" t="s">
        <v>1594</v>
      </c>
      <c r="BB326" s="463" t="s">
        <v>1595</v>
      </c>
      <c r="BC326" s="463" t="s">
        <v>1596</v>
      </c>
      <c r="BD326" s="463" t="s">
        <v>1597</v>
      </c>
      <c r="BE326" s="463" t="s">
        <v>529</v>
      </c>
      <c r="BF326" s="464"/>
      <c r="BG326" s="391">
        <f>SUM($AV$4:AV326)</f>
        <v>2657.2850000000299</v>
      </c>
      <c r="BH326" s="392">
        <f>SUM($AU$134:AU326)</f>
        <v>2079.7900000000013</v>
      </c>
      <c r="BI326" s="318">
        <f>SUMIFS($AU$134:AU327,$Q$134:Q327,"F")</f>
        <v>33.199999999999989</v>
      </c>
      <c r="BJ326" s="318">
        <f>SUMIFS($AU$134:AU327,$Q$134:Q327,"S")</f>
        <v>1745.3499999999992</v>
      </c>
      <c r="BK326" s="343">
        <f>SUMIFS($AU$134:AU327,$P$134:P327,"W")</f>
        <v>2412.4899999999925</v>
      </c>
      <c r="BL326" s="343">
        <f>SUMIFS($AU$134:AU327,$P$134:P327,"R")</f>
        <v>-332.69999999999158</v>
      </c>
      <c r="BM326" s="343">
        <f>SUMIFS($AU$134:AU327,$AQ$134:AQ327,"M")</f>
        <v>-34.699999999995292</v>
      </c>
      <c r="BN326" s="343">
        <f>SUMIFS($AU$134:AU327,$AQ$134:AQ327,"H")</f>
        <v>576.80000000001496</v>
      </c>
      <c r="BO326" s="343">
        <f>SUMIFS($AU$134:AU327,$AQ$134:AQ327,"D")</f>
        <v>552.94999999999948</v>
      </c>
      <c r="BP326" s="343">
        <f>SUMIFS($AU$134:AU329,$AQ$134:AQ329,"W")</f>
        <v>-1270.7</v>
      </c>
      <c r="BQ326" s="343">
        <f>SUMIFS($AU$134:AU327,$Q$134:Q327,"O")</f>
        <v>102.04000000000158</v>
      </c>
      <c r="BR326" s="343">
        <f>SUMIFS($AU$134:AU327,$AA$134:AA327,"*")</f>
        <v>2100.1500000000306</v>
      </c>
      <c r="BS326" s="343">
        <f>SUMIFS($AU$134:AU327,$AB$134:AB327,"*")</f>
        <v>-205.96000000002391</v>
      </c>
      <c r="BT326" s="343">
        <f>SUMIFS($AU$134:AU327,$AC$134:AC327,"*")</f>
        <v>464.44999999999902</v>
      </c>
      <c r="BU326" s="343">
        <f>SUMIFS($AU$134:AU327,$AA$134:AA327,"*",$AB$134:AB327,"*")</f>
        <v>-236.49999999999511</v>
      </c>
      <c r="BV326" s="343">
        <f>SUMIFS($AU$134:AU327,$AA$134:AA327,"*",$AC$134:AC327,"*")</f>
        <v>618.349999999999</v>
      </c>
      <c r="BW326" s="343">
        <f>SUMIFS($AU$134:AU327,$AB$134:AB327,"*",$AC$134:AC327,"*")</f>
        <v>-222.50000000000023</v>
      </c>
      <c r="BX326" s="343">
        <f>SUMIFS($AU327:AU$1388,$Q327:Q$1388,"F")</f>
        <v>14407.466666666669</v>
      </c>
      <c r="BY326" s="343">
        <f>SUMIFS($AU327:AU$1388,$Q327:Q$1388,"S")</f>
        <v>18926.292000000001</v>
      </c>
      <c r="BZ326" s="343">
        <f>SUMIFS($AU327:AU$1388,$Q327:Q$1388,"O")</f>
        <v>-1750.8979999998</v>
      </c>
    </row>
    <row r="327" spans="1:78" ht="15">
      <c r="A327" s="221" t="s">
        <v>1523</v>
      </c>
      <c r="B327" s="200"/>
      <c r="C327" s="201"/>
      <c r="D327" s="201"/>
      <c r="E327" s="462"/>
      <c r="F327" s="203"/>
      <c r="G327" s="204"/>
      <c r="H327" s="205"/>
      <c r="I327" s="205"/>
      <c r="J327" s="205"/>
      <c r="K327" s="206"/>
      <c r="L327" s="205"/>
      <c r="M327" s="205"/>
      <c r="N327" s="205"/>
      <c r="O327" s="206"/>
      <c r="P327" s="206"/>
      <c r="Q327" s="206"/>
      <c r="R327" s="206"/>
      <c r="S327" s="206"/>
      <c r="T327" s="206"/>
      <c r="U327" s="206"/>
      <c r="V327" s="206"/>
      <c r="W327" s="206"/>
      <c r="X327" s="206"/>
      <c r="Y327" s="184"/>
      <c r="Z327" s="184"/>
      <c r="AA327" s="208"/>
      <c r="AB327" s="208"/>
      <c r="AC327" s="208"/>
      <c r="AD327" s="650"/>
      <c r="AE327" s="205"/>
      <c r="AF327" s="333"/>
      <c r="AG327" s="205"/>
      <c r="AH327" s="205"/>
      <c r="AI327" s="205"/>
      <c r="AJ327" s="641"/>
      <c r="AK327" s="205"/>
      <c r="AL327" s="496"/>
      <c r="AM327" s="496"/>
      <c r="AN327" s="627"/>
      <c r="AO327" s="205"/>
      <c r="AP327" s="205"/>
      <c r="AQ327" s="333" t="str">
        <f>UPPER(RIGHT(Journal_Live[[#This Row],[DURATION ]]))</f>
        <v/>
      </c>
      <c r="AR327" s="205"/>
      <c r="AS327" s="211"/>
      <c r="AT327" s="189"/>
      <c r="AU327" s="187"/>
      <c r="AV327" s="190"/>
      <c r="AW327" s="213"/>
      <c r="AX327" s="463" t="s">
        <v>561</v>
      </c>
      <c r="AY327" s="463" t="s">
        <v>1598</v>
      </c>
      <c r="AZ327" s="463" t="s">
        <v>1599</v>
      </c>
      <c r="BA327" s="463" t="s">
        <v>1600</v>
      </c>
      <c r="BB327" s="463" t="s">
        <v>1601</v>
      </c>
      <c r="BC327" s="463" t="s">
        <v>1602</v>
      </c>
      <c r="BD327" s="463" t="s">
        <v>1603</v>
      </c>
      <c r="BE327" s="463" t="s">
        <v>1604</v>
      </c>
      <c r="BF327" s="464" t="s">
        <v>529</v>
      </c>
      <c r="BG327" s="391">
        <f>SUM($AV$4:AV327)</f>
        <v>2657.2850000000299</v>
      </c>
      <c r="BH327" s="392">
        <f>SUM($AU$134:AU327)</f>
        <v>2079.7900000000013</v>
      </c>
      <c r="BI327" s="318">
        <f>SUMIFS($AU$134:AU328,$Q$134:Q328,"F")</f>
        <v>33.199999999999989</v>
      </c>
      <c r="BJ327" s="318">
        <f>SUMIFS($AU$134:AU328,$Q$134:Q328,"S")</f>
        <v>1745.3499999999992</v>
      </c>
      <c r="BK327" s="343">
        <f>SUMIFS($AU$134:AU328,$P$134:P328,"W")</f>
        <v>2412.4899999999925</v>
      </c>
      <c r="BL327" s="343">
        <f>SUMIFS($AU$134:AU328,$P$134:P328,"R")</f>
        <v>-332.69999999999158</v>
      </c>
      <c r="BM327" s="343">
        <f>SUMIFS($AU$134:AU328,$AQ$134:AQ328,"M")</f>
        <v>-34.699999999995292</v>
      </c>
      <c r="BN327" s="343">
        <f>SUMIFS($AU$134:AU328,$AQ$134:AQ328,"H")</f>
        <v>576.80000000001496</v>
      </c>
      <c r="BO327" s="343">
        <f>SUMIFS($AU$134:AU328,$AQ$134:AQ328,"D")</f>
        <v>552.94999999999948</v>
      </c>
      <c r="BP327" s="343">
        <f>SUMIFS($AU$134:AU330,$AQ$134:AQ330,"W")</f>
        <v>-1270.7</v>
      </c>
      <c r="BQ327" s="343">
        <f>SUMIFS($AU$134:AU328,$Q$134:Q328,"O")</f>
        <v>102.04000000000158</v>
      </c>
      <c r="BR327" s="343">
        <f>SUMIFS($AU$134:AU328,$AA$134:AA328,"*")</f>
        <v>2100.1500000000306</v>
      </c>
      <c r="BS327" s="343">
        <f>SUMIFS($AU$134:AU328,$AB$134:AB328,"*")</f>
        <v>-205.96000000002391</v>
      </c>
      <c r="BT327" s="343">
        <f>SUMIFS($AU$134:AU328,$AC$134:AC328,"*")</f>
        <v>464.44999999999902</v>
      </c>
      <c r="BU327" s="343">
        <f>SUMIFS($AU$134:AU328,$AA$134:AA328,"*",$AB$134:AB328,"*")</f>
        <v>-236.49999999999511</v>
      </c>
      <c r="BV327" s="343">
        <f>SUMIFS($AU$134:AU328,$AA$134:AA328,"*",$AC$134:AC328,"*")</f>
        <v>618.349999999999</v>
      </c>
      <c r="BW327" s="343">
        <f>SUMIFS($AU$134:AU328,$AB$134:AB328,"*",$AC$134:AC328,"*")</f>
        <v>-222.50000000000023</v>
      </c>
      <c r="BX327" s="343">
        <f>SUMIFS($AU328:AU$1388,$Q328:Q$1388,"F")</f>
        <v>14407.466666666669</v>
      </c>
      <c r="BY327" s="343">
        <f>SUMIFS($AU328:AU$1388,$Q328:Q$1388,"S")</f>
        <v>18926.292000000001</v>
      </c>
      <c r="BZ327" s="343">
        <f>SUMIFS($AU328:AU$1388,$Q328:Q$1388,"O")</f>
        <v>-1750.8979999998</v>
      </c>
    </row>
    <row r="328" spans="1:78" ht="12.75">
      <c r="A328" s="221" t="s">
        <v>1523</v>
      </c>
      <c r="B328" s="200"/>
      <c r="C328" s="201"/>
      <c r="D328" s="201"/>
      <c r="E328" s="462"/>
      <c r="F328" s="203"/>
      <c r="G328" s="204"/>
      <c r="H328" s="205"/>
      <c r="I328" s="205"/>
      <c r="J328" s="205"/>
      <c r="K328" s="206"/>
      <c r="L328" s="205"/>
      <c r="M328" s="205"/>
      <c r="N328" s="205"/>
      <c r="O328" s="206"/>
      <c r="P328" s="206"/>
      <c r="Q328" s="206"/>
      <c r="R328" s="206"/>
      <c r="S328" s="206"/>
      <c r="T328" s="206"/>
      <c r="U328" s="206"/>
      <c r="V328" s="206"/>
      <c r="W328" s="206"/>
      <c r="X328" s="206"/>
      <c r="Y328" s="206"/>
      <c r="Z328" s="206"/>
      <c r="AA328" s="208"/>
      <c r="AB328" s="208"/>
      <c r="AC328" s="208"/>
      <c r="AD328" s="650"/>
      <c r="AE328" s="205"/>
      <c r="AF328" s="333"/>
      <c r="AG328" s="205"/>
      <c r="AH328" s="205"/>
      <c r="AI328" s="205"/>
      <c r="AJ328" s="641"/>
      <c r="AK328" s="205"/>
      <c r="AL328" s="498"/>
      <c r="AM328" s="499"/>
      <c r="AN328" s="627"/>
      <c r="AO328" s="205"/>
      <c r="AP328" s="205"/>
      <c r="AQ328" s="333" t="str">
        <f>UPPER(RIGHT(Journal_Live[[#This Row],[DURATION ]]))</f>
        <v/>
      </c>
      <c r="AR328" s="205"/>
      <c r="AS328" s="211"/>
      <c r="AT328" s="189"/>
      <c r="AU328" s="187"/>
      <c r="AV328" s="190"/>
      <c r="AW328" s="213"/>
      <c r="AX328" s="463" t="s">
        <v>1605</v>
      </c>
      <c r="AY328" s="463" t="s">
        <v>1606</v>
      </c>
      <c r="AZ328" s="468" t="s">
        <v>1607</v>
      </c>
      <c r="BA328" s="468" t="s">
        <v>1608</v>
      </c>
      <c r="BB328" s="463" t="s">
        <v>1609</v>
      </c>
      <c r="BC328" s="463" t="s">
        <v>1610</v>
      </c>
      <c r="BD328" s="463" t="s">
        <v>1611</v>
      </c>
      <c r="BE328" s="463" t="s">
        <v>529</v>
      </c>
      <c r="BF328" s="464"/>
      <c r="BG328" s="391">
        <f>SUM($AV$4:AV328)</f>
        <v>2657.2850000000299</v>
      </c>
      <c r="BH328" s="392">
        <f>SUM($AU$134:AU328)</f>
        <v>2079.7900000000013</v>
      </c>
      <c r="BI328" s="318">
        <f>SUMIFS($AU$134:AU329,$Q$134:Q329,"F")</f>
        <v>-1262.8</v>
      </c>
      <c r="BJ328" s="318">
        <f>SUMIFS($AU$134:AU329,$Q$134:Q329,"S")</f>
        <v>1745.3499999999992</v>
      </c>
      <c r="BK328" s="343">
        <f>SUMIFS($AU$134:AU329,$P$134:P329,"W")</f>
        <v>2412.4899999999925</v>
      </c>
      <c r="BL328" s="343">
        <f>SUMIFS($AU$134:AU329,$P$134:P329,"R")</f>
        <v>-1628.6999999999916</v>
      </c>
      <c r="BM328" s="343">
        <f>SUMIFS($AU$134:AU329,$AQ$134:AQ329,"M")</f>
        <v>-34.699999999995292</v>
      </c>
      <c r="BN328" s="343">
        <f>SUMIFS($AU$134:AU329,$AQ$134:AQ329,"H")</f>
        <v>576.80000000001496</v>
      </c>
      <c r="BO328" s="343">
        <f>SUMIFS($AU$134:AU329,$AQ$134:AQ329,"D")</f>
        <v>552.94999999999948</v>
      </c>
      <c r="BP328" s="343">
        <f>SUMIFS($AU$134:AU331,$AQ$134:AQ331,"W")</f>
        <v>-1270.7</v>
      </c>
      <c r="BQ328" s="343">
        <f>SUMIFS($AU$134:AU329,$Q$134:Q329,"O")</f>
        <v>102.04000000000158</v>
      </c>
      <c r="BR328" s="343">
        <f>SUMIFS($AU$134:AU329,$AA$134:AA329,"*")</f>
        <v>2100.1500000000306</v>
      </c>
      <c r="BS328" s="343">
        <f>SUMIFS($AU$134:AU329,$AB$134:AB329,"*")</f>
        <v>-205.96000000002391</v>
      </c>
      <c r="BT328" s="343">
        <f>SUMIFS($AU$134:AU329,$AC$134:AC329,"*")</f>
        <v>-831.55000000000098</v>
      </c>
      <c r="BU328" s="343">
        <f>SUMIFS($AU$134:AU329,$AA$134:AA329,"*",$AB$134:AB329,"*")</f>
        <v>-236.49999999999511</v>
      </c>
      <c r="BV328" s="343">
        <f>SUMIFS($AU$134:AU329,$AA$134:AA329,"*",$AC$134:AC329,"*")</f>
        <v>618.349999999999</v>
      </c>
      <c r="BW328" s="343">
        <f>SUMIFS($AU$134:AU329,$AB$134:AB329,"*",$AC$134:AC329,"*")</f>
        <v>-222.50000000000023</v>
      </c>
      <c r="BX328" s="343">
        <f>SUMIFS($AU329:AU$1388,$Q329:Q$1388,"F")</f>
        <v>14407.466666666669</v>
      </c>
      <c r="BY328" s="343">
        <f>SUMIFS($AU329:AU$1388,$Q329:Q$1388,"S")</f>
        <v>18926.292000000001</v>
      </c>
      <c r="BZ328" s="343">
        <f>SUMIFS($AU329:AU$1388,$Q329:Q$1388,"O")</f>
        <v>-1750.8979999998</v>
      </c>
    </row>
    <row r="329" spans="1:78" ht="15">
      <c r="A329" s="221" t="s">
        <v>1523</v>
      </c>
      <c r="B329" s="200">
        <v>44992</v>
      </c>
      <c r="C329" s="201" t="s">
        <v>1612</v>
      </c>
      <c r="D329" s="201" t="s">
        <v>146</v>
      </c>
      <c r="E329" s="462"/>
      <c r="F329" s="203"/>
      <c r="G329" s="314" t="s">
        <v>1613</v>
      </c>
      <c r="H329" s="205"/>
      <c r="I329" s="205"/>
      <c r="J329" s="205"/>
      <c r="K329" s="206"/>
      <c r="L329" s="205">
        <v>1</v>
      </c>
      <c r="M329" s="205">
        <v>2</v>
      </c>
      <c r="N329" s="205"/>
      <c r="O329" s="206" t="s">
        <v>95</v>
      </c>
      <c r="P329" s="206" t="s">
        <v>137</v>
      </c>
      <c r="Q329" s="206" t="s">
        <v>256</v>
      </c>
      <c r="R329" s="206">
        <v>10</v>
      </c>
      <c r="S329" s="206">
        <v>10</v>
      </c>
      <c r="T329" s="206">
        <v>10</v>
      </c>
      <c r="U329" s="206" t="s">
        <v>97</v>
      </c>
      <c r="V329" s="206"/>
      <c r="W329" s="206"/>
      <c r="X329" s="206"/>
      <c r="Y329" s="184">
        <f t="shared" ref="Y329:Y337" si="138">IF(ISBLANK(O329),"",(IF(O329=UPPER("IB"),0.005,0.01)))</f>
        <v>0.01</v>
      </c>
      <c r="Z329" s="184">
        <f t="shared" ref="Z329:Z334" si="139">IF(ISBLANK(O329),"",IF(O329=UPPER("IB"),8.63*200,16.2*100))</f>
        <v>1620</v>
      </c>
      <c r="AA329" s="208"/>
      <c r="AB329" s="208"/>
      <c r="AC329" s="208" t="s">
        <v>1614</v>
      </c>
      <c r="AD329" s="650">
        <v>-0.01</v>
      </c>
      <c r="AE329" s="205"/>
      <c r="AF329" s="333">
        <v>2</v>
      </c>
      <c r="AG329" s="205"/>
      <c r="AH329" s="205" t="s">
        <v>1615</v>
      </c>
      <c r="AI329" s="205" t="s">
        <v>1616</v>
      </c>
      <c r="AJ329" s="641" t="s">
        <v>1617</v>
      </c>
      <c r="AK329" s="205" t="s">
        <v>529</v>
      </c>
      <c r="AL329" s="496">
        <f>-0.03*Z329</f>
        <v>-48.6</v>
      </c>
      <c r="AM329" s="496">
        <f>AL329*R329</f>
        <v>-486</v>
      </c>
      <c r="AN329" s="627" t="s">
        <v>1618</v>
      </c>
      <c r="AO329" s="205" t="s">
        <v>1619</v>
      </c>
      <c r="AP329" s="205" t="s">
        <v>925</v>
      </c>
      <c r="AQ329" s="333" t="str">
        <f>UPPER(RIGHT(Journal_Live[[#This Row],[DURATION ]]))</f>
        <v>W</v>
      </c>
      <c r="AR329" s="205" t="s">
        <v>1620</v>
      </c>
      <c r="AS329" s="211">
        <v>7.0000000000000007E-2</v>
      </c>
      <c r="AT329" s="189">
        <f>IF(ISBLANK(AS329),,IF(U329="S",AD329-AS329,AS329-AD329))</f>
        <v>-0.08</v>
      </c>
      <c r="AU329" s="187">
        <f>AV329*R329</f>
        <v>-1296</v>
      </c>
      <c r="AV329" s="190">
        <f>IF(ISBLANK(AS329),,(AT329*Z329))</f>
        <v>-129.6</v>
      </c>
      <c r="AW329" s="213" t="s">
        <v>229</v>
      </c>
      <c r="AX329" s="463" t="s">
        <v>1621</v>
      </c>
      <c r="AY329" s="463" t="s">
        <v>1622</v>
      </c>
      <c r="AZ329" s="463" t="s">
        <v>1623</v>
      </c>
      <c r="BA329" s="463" t="s">
        <v>1624</v>
      </c>
      <c r="BB329" s="463" t="s">
        <v>1625</v>
      </c>
      <c r="BC329" s="463" t="s">
        <v>1626</v>
      </c>
      <c r="BD329" s="463"/>
      <c r="BE329" s="463"/>
      <c r="BF329" s="464" t="s">
        <v>529</v>
      </c>
      <c r="BG329" s="391">
        <f>SUM($AV$4:AV329)</f>
        <v>2527.68500000003</v>
      </c>
      <c r="BH329" s="392">
        <f>SUM($AU$134:AU329)</f>
        <v>783.79000000000133</v>
      </c>
      <c r="BI329" s="318">
        <f>SUMIFS($AU$134:AU330,$Q$134:Q330,"F")</f>
        <v>-1262.8</v>
      </c>
      <c r="BJ329" s="318">
        <f>SUMIFS($AU$134:AU330,$Q$134:Q330,"S")</f>
        <v>1745.3499999999992</v>
      </c>
      <c r="BK329" s="343">
        <f>SUMIFS($AU$134:AU330,$P$134:P330,"W")</f>
        <v>2412.4899999999925</v>
      </c>
      <c r="BL329" s="343">
        <f>SUMIFS($AU$134:AU330,$P$134:P330,"R")</f>
        <v>-1628.6999999999916</v>
      </c>
      <c r="BM329" s="343">
        <f>SUMIFS($AU$134:AU330,$AQ$134:AQ330,"M")</f>
        <v>-34.699999999995292</v>
      </c>
      <c r="BN329" s="343">
        <f>SUMIFS($AU$134:AU330,$AQ$134:AQ330,"H")</f>
        <v>576.80000000001496</v>
      </c>
      <c r="BO329" s="343">
        <f>SUMIFS($AU$134:AU330,$AQ$134:AQ330,"D")</f>
        <v>552.94999999999948</v>
      </c>
      <c r="BP329" s="343">
        <f>SUMIFS($AU$134:AU332,$AQ$134:AQ332,"W")</f>
        <v>-1270.7</v>
      </c>
      <c r="BQ329" s="343">
        <f>SUMIFS($AU$134:AU330,$Q$134:Q330,"O")</f>
        <v>102.04000000000158</v>
      </c>
      <c r="BR329" s="343">
        <f>SUMIFS($AU$134:AU330,$AA$134:AA330,"*")</f>
        <v>2100.1500000000306</v>
      </c>
      <c r="BS329" s="343">
        <f>SUMIFS($AU$134:AU330,$AB$134:AB330,"*")</f>
        <v>-205.96000000002391</v>
      </c>
      <c r="BT329" s="343">
        <f>SUMIFS($AU$134:AU330,$AC$134:AC330,"*")</f>
        <v>-831.55000000000098</v>
      </c>
      <c r="BU329" s="343">
        <f>SUMIFS($AU$134:AU330,$AA$134:AA330,"*",$AB$134:AB330,"*")</f>
        <v>-236.49999999999511</v>
      </c>
      <c r="BV329" s="343">
        <f>SUMIFS($AU$134:AU330,$AA$134:AA330,"*",$AC$134:AC330,"*")</f>
        <v>618.349999999999</v>
      </c>
      <c r="BW329" s="343">
        <f>SUMIFS($AU$134:AU330,$AB$134:AB330,"*",$AC$134:AC330,"*")</f>
        <v>-222.50000000000023</v>
      </c>
      <c r="BX329" s="343">
        <f>SUMIFS($AU330:AU$1388,$Q330:Q$1388,"F")</f>
        <v>15703.466666666667</v>
      </c>
      <c r="BY329" s="343">
        <f>SUMIFS($AU330:AU$1388,$Q330:Q$1388,"S")</f>
        <v>18926.292000000001</v>
      </c>
      <c r="BZ329" s="343">
        <f>SUMIFS($AU330:AU$1388,$Q330:Q$1388,"O")</f>
        <v>-1750.8979999998</v>
      </c>
    </row>
    <row r="330" spans="1:78" ht="15">
      <c r="A330" s="221" t="s">
        <v>1523</v>
      </c>
      <c r="B330" s="200">
        <v>44992</v>
      </c>
      <c r="C330" s="201" t="s">
        <v>1437</v>
      </c>
      <c r="D330" s="201" t="s">
        <v>146</v>
      </c>
      <c r="E330" s="462" t="s">
        <v>1627</v>
      </c>
      <c r="F330" s="203" t="s">
        <v>1628</v>
      </c>
      <c r="G330" s="204"/>
      <c r="H330" s="205"/>
      <c r="I330" s="205">
        <v>1</v>
      </c>
      <c r="J330" s="205"/>
      <c r="K330" s="206"/>
      <c r="L330" s="205"/>
      <c r="M330" s="205"/>
      <c r="N330" s="205"/>
      <c r="O330" s="206"/>
      <c r="P330" s="206"/>
      <c r="Q330" s="206"/>
      <c r="R330" s="206"/>
      <c r="S330" s="206"/>
      <c r="T330" s="206"/>
      <c r="U330" s="206"/>
      <c r="V330" s="206"/>
      <c r="W330" s="206"/>
      <c r="X330" s="206"/>
      <c r="Y330" s="184" t="str">
        <f t="shared" si="138"/>
        <v/>
      </c>
      <c r="Z330" s="184" t="str">
        <f t="shared" si="139"/>
        <v/>
      </c>
      <c r="AA330" s="208"/>
      <c r="AB330" s="208"/>
      <c r="AC330" s="208"/>
      <c r="AD330" s="650"/>
      <c r="AE330" s="205"/>
      <c r="AF330" s="333"/>
      <c r="AG330" s="205"/>
      <c r="AH330" s="205"/>
      <c r="AI330" s="205"/>
      <c r="AJ330" s="641"/>
      <c r="AK330" s="205"/>
      <c r="AL330" s="496"/>
      <c r="AM330" s="496"/>
      <c r="AN330" s="627"/>
      <c r="AO330" s="205"/>
      <c r="AP330" s="205"/>
      <c r="AQ330" s="333" t="str">
        <f>UPPER(RIGHT(Journal_Live[[#This Row],[DURATION ]]))</f>
        <v/>
      </c>
      <c r="AR330" s="205"/>
      <c r="AS330" s="211"/>
      <c r="AT330" s="189"/>
      <c r="AU330" s="187"/>
      <c r="AV330" s="190"/>
      <c r="AW330" s="213"/>
      <c r="AX330" s="463"/>
      <c r="AY330" s="463"/>
      <c r="AZ330" s="463"/>
      <c r="BA330" s="463"/>
      <c r="BB330" s="463"/>
      <c r="BC330" s="463"/>
      <c r="BD330" s="463"/>
      <c r="BE330" s="463"/>
      <c r="BF330" s="464"/>
      <c r="BG330" s="391">
        <f>SUM($AV$4:AV330)</f>
        <v>2527.68500000003</v>
      </c>
      <c r="BH330" s="392">
        <f>SUM($AU$134:AU330)</f>
        <v>783.79000000000133</v>
      </c>
      <c r="BI330" s="318">
        <f>SUMIFS($AU$134:AU331,$Q$134:Q331,"F")</f>
        <v>-1262.8</v>
      </c>
      <c r="BJ330" s="318">
        <f>SUMIFS($AU$134:AU331,$Q$134:Q331,"S")</f>
        <v>1745.3499999999992</v>
      </c>
      <c r="BK330" s="343">
        <f>SUMIFS($AU$134:AU331,$P$134:P331,"W")</f>
        <v>2412.4899999999925</v>
      </c>
      <c r="BL330" s="343">
        <f>SUMIFS($AU$134:AU331,$P$134:P331,"R")</f>
        <v>-1628.6999999999916</v>
      </c>
      <c r="BM330" s="343">
        <f>SUMIFS($AU$134:AU331,$AQ$134:AQ331,"M")</f>
        <v>-34.699999999995292</v>
      </c>
      <c r="BN330" s="343">
        <f>SUMIFS($AU$134:AU331,$AQ$134:AQ331,"H")</f>
        <v>576.80000000001496</v>
      </c>
      <c r="BO330" s="343">
        <f>SUMIFS($AU$134:AU331,$AQ$134:AQ331,"D")</f>
        <v>552.94999999999948</v>
      </c>
      <c r="BP330" s="343">
        <f>SUMIFS($AU$134:AU333,$AQ$134:AQ333,"W")</f>
        <v>-1270.7</v>
      </c>
      <c r="BQ330" s="343">
        <f>SUMIFS($AU$134:AU331,$Q$134:Q331,"O")</f>
        <v>102.04000000000158</v>
      </c>
      <c r="BR330" s="343">
        <f>SUMIFS($AU$134:AU331,$AA$134:AA331,"*")</f>
        <v>2100.1500000000306</v>
      </c>
      <c r="BS330" s="343">
        <f>SUMIFS($AU$134:AU331,$AB$134:AB331,"*")</f>
        <v>-205.96000000002391</v>
      </c>
      <c r="BT330" s="343">
        <f>SUMIFS($AU$134:AU331,$AC$134:AC331,"*")</f>
        <v>-831.55000000000098</v>
      </c>
      <c r="BU330" s="343">
        <f>SUMIFS($AU$134:AU331,$AA$134:AA331,"*",$AB$134:AB331,"*")</f>
        <v>-236.49999999999511</v>
      </c>
      <c r="BV330" s="343">
        <f>SUMIFS($AU$134:AU331,$AA$134:AA331,"*",$AC$134:AC331,"*")</f>
        <v>618.349999999999</v>
      </c>
      <c r="BW330" s="343">
        <f>SUMIFS($AU$134:AU331,$AB$134:AB331,"*",$AC$134:AC331,"*")</f>
        <v>-222.50000000000023</v>
      </c>
      <c r="BX330" s="343">
        <f>SUMIFS($AU331:AU$1388,$Q331:Q$1388,"F")</f>
        <v>15703.466666666667</v>
      </c>
      <c r="BY330" s="343">
        <f>SUMIFS($AU331:AU$1388,$Q331:Q$1388,"S")</f>
        <v>18926.292000000001</v>
      </c>
      <c r="BZ330" s="343">
        <f>SUMIFS($AU331:AU$1388,$Q331:Q$1388,"O")</f>
        <v>-1750.8979999998</v>
      </c>
    </row>
    <row r="331" spans="1:78" ht="15">
      <c r="A331" s="221" t="s">
        <v>1523</v>
      </c>
      <c r="B331" s="200">
        <v>44992</v>
      </c>
      <c r="C331" s="201" t="s">
        <v>1629</v>
      </c>
      <c r="D331" s="201" t="s">
        <v>146</v>
      </c>
      <c r="E331" s="462" t="s">
        <v>1630</v>
      </c>
      <c r="F331" s="203" t="s">
        <v>1631</v>
      </c>
      <c r="G331" s="204"/>
      <c r="H331" s="205"/>
      <c r="I331" s="205">
        <v>1</v>
      </c>
      <c r="J331" s="205"/>
      <c r="K331" s="206" t="s">
        <v>115</v>
      </c>
      <c r="L331" s="205"/>
      <c r="M331" s="205"/>
      <c r="N331" s="205"/>
      <c r="O331" s="206"/>
      <c r="P331" s="206"/>
      <c r="Q331" s="206"/>
      <c r="R331" s="206"/>
      <c r="S331" s="206"/>
      <c r="T331" s="206"/>
      <c r="U331" s="206"/>
      <c r="V331" s="206"/>
      <c r="W331" s="206"/>
      <c r="X331" s="206"/>
      <c r="Y331" s="184" t="str">
        <f t="shared" si="138"/>
        <v/>
      </c>
      <c r="Z331" s="184" t="str">
        <f t="shared" si="139"/>
        <v/>
      </c>
      <c r="AA331" s="208"/>
      <c r="AB331" s="208"/>
      <c r="AC331" s="208"/>
      <c r="AD331" s="650"/>
      <c r="AE331" s="205"/>
      <c r="AF331" s="333"/>
      <c r="AG331" s="205"/>
      <c r="AH331" s="205"/>
      <c r="AI331" s="205"/>
      <c r="AJ331" s="641"/>
      <c r="AK331" s="205"/>
      <c r="AL331" s="496"/>
      <c r="AM331" s="496"/>
      <c r="AN331" s="627"/>
      <c r="AO331" s="205"/>
      <c r="AP331" s="205"/>
      <c r="AQ331" s="333" t="str">
        <f>UPPER(RIGHT(Journal_Live[[#This Row],[DURATION ]]))</f>
        <v/>
      </c>
      <c r="AR331" s="205"/>
      <c r="AS331" s="211"/>
      <c r="AT331" s="189"/>
      <c r="AU331" s="187"/>
      <c r="AV331" s="190"/>
      <c r="AW331" s="213"/>
      <c r="AX331" s="463"/>
      <c r="AY331" s="463"/>
      <c r="AZ331" s="463"/>
      <c r="BA331" s="463"/>
      <c r="BB331" s="463"/>
      <c r="BC331" s="463"/>
      <c r="BD331" s="463"/>
      <c r="BE331" s="463"/>
      <c r="BF331" s="464"/>
      <c r="BG331" s="391">
        <f>SUM($AV$4:AV331)</f>
        <v>2527.68500000003</v>
      </c>
      <c r="BH331" s="392">
        <f>SUM($AU$134:AU331)</f>
        <v>783.79000000000133</v>
      </c>
      <c r="BI331" s="318">
        <f>SUMIFS($AU$134:AU332,$Q$134:Q332,"F")</f>
        <v>-1262.8</v>
      </c>
      <c r="BJ331" s="318">
        <f>SUMIFS($AU$134:AU332,$Q$134:Q332,"S")</f>
        <v>1745.3499999999992</v>
      </c>
      <c r="BK331" s="343">
        <f>SUMIFS($AU$134:AU332,$P$134:P332,"W")</f>
        <v>2412.4899999999925</v>
      </c>
      <c r="BL331" s="343">
        <f>SUMIFS($AU$134:AU332,$P$134:P332,"R")</f>
        <v>-1628.6999999999916</v>
      </c>
      <c r="BM331" s="343">
        <f>SUMIFS($AU$134:AU332,$AQ$134:AQ332,"M")</f>
        <v>-34.699999999995292</v>
      </c>
      <c r="BN331" s="343">
        <f>SUMIFS($AU$134:AU332,$AQ$134:AQ332,"H")</f>
        <v>576.80000000001496</v>
      </c>
      <c r="BO331" s="343">
        <f>SUMIFS($AU$134:AU332,$AQ$134:AQ332,"D")</f>
        <v>552.94999999999948</v>
      </c>
      <c r="BP331" s="343">
        <f>SUMIFS($AU$134:AU334,$AQ$134:AQ334,"W")</f>
        <v>-1270.7</v>
      </c>
      <c r="BQ331" s="343">
        <f>SUMIFS($AU$134:AU332,$Q$134:Q332,"O")</f>
        <v>102.04000000000158</v>
      </c>
      <c r="BR331" s="343">
        <f>SUMIFS($AU$134:AU332,$AA$134:AA332,"*")</f>
        <v>2100.1500000000306</v>
      </c>
      <c r="BS331" s="343">
        <f>SUMIFS($AU$134:AU332,$AB$134:AB332,"*")</f>
        <v>-205.96000000002391</v>
      </c>
      <c r="BT331" s="343">
        <f>SUMIFS($AU$134:AU332,$AC$134:AC332,"*")</f>
        <v>-831.55000000000098</v>
      </c>
      <c r="BU331" s="343">
        <f>SUMIFS($AU$134:AU332,$AA$134:AA332,"*",$AB$134:AB332,"*")</f>
        <v>-236.49999999999511</v>
      </c>
      <c r="BV331" s="343">
        <f>SUMIFS($AU$134:AU332,$AA$134:AA332,"*",$AC$134:AC332,"*")</f>
        <v>618.349999999999</v>
      </c>
      <c r="BW331" s="343">
        <f>SUMIFS($AU$134:AU332,$AB$134:AB332,"*",$AC$134:AC332,"*")</f>
        <v>-222.50000000000023</v>
      </c>
      <c r="BX331" s="343">
        <f>SUMIFS($AU332:AU$1388,$Q332:Q$1388,"F")</f>
        <v>15703.466666666667</v>
      </c>
      <c r="BY331" s="343">
        <f>SUMIFS($AU332:AU$1388,$Q332:Q$1388,"S")</f>
        <v>18926.292000000001</v>
      </c>
      <c r="BZ331" s="343">
        <f>SUMIFS($AU332:AU$1388,$Q332:Q$1388,"O")</f>
        <v>-1750.8979999998</v>
      </c>
    </row>
    <row r="332" spans="1:78" ht="15">
      <c r="A332" s="221" t="s">
        <v>1523</v>
      </c>
      <c r="B332" s="200"/>
      <c r="C332" s="201"/>
      <c r="D332" s="201"/>
      <c r="E332" s="462" t="s">
        <v>1632</v>
      </c>
      <c r="F332" s="203"/>
      <c r="G332" s="204"/>
      <c r="H332" s="205"/>
      <c r="I332" s="205"/>
      <c r="J332" s="205"/>
      <c r="K332" s="206"/>
      <c r="L332" s="205"/>
      <c r="M332" s="205"/>
      <c r="N332" s="205"/>
      <c r="O332" s="206"/>
      <c r="P332" s="206"/>
      <c r="Q332" s="206"/>
      <c r="R332" s="206"/>
      <c r="S332" s="206"/>
      <c r="T332" s="206"/>
      <c r="U332" s="206"/>
      <c r="V332" s="206"/>
      <c r="W332" s="206"/>
      <c r="X332" s="206"/>
      <c r="Y332" s="184" t="str">
        <f t="shared" si="138"/>
        <v/>
      </c>
      <c r="Z332" s="184" t="str">
        <f t="shared" si="139"/>
        <v/>
      </c>
      <c r="AA332" s="208"/>
      <c r="AB332" s="208"/>
      <c r="AC332" s="208"/>
      <c r="AD332" s="650"/>
      <c r="AE332" s="205"/>
      <c r="AF332" s="333"/>
      <c r="AG332" s="205"/>
      <c r="AH332" s="205"/>
      <c r="AI332" s="205"/>
      <c r="AJ332" s="641"/>
      <c r="AK332" s="205"/>
      <c r="AL332" s="496"/>
      <c r="AM332" s="496"/>
      <c r="AN332" s="627"/>
      <c r="AO332" s="205"/>
      <c r="AP332" s="205"/>
      <c r="AQ332" s="333" t="str">
        <f>UPPER(RIGHT(Journal_Live[[#This Row],[DURATION ]]))</f>
        <v/>
      </c>
      <c r="AR332" s="205"/>
      <c r="AS332" s="211"/>
      <c r="AT332" s="189"/>
      <c r="AU332" s="187"/>
      <c r="AV332" s="190"/>
      <c r="AW332" s="213"/>
      <c r="AX332" s="463"/>
      <c r="AY332" s="463"/>
      <c r="AZ332" s="463"/>
      <c r="BA332" s="463"/>
      <c r="BB332" s="463"/>
      <c r="BC332" s="463"/>
      <c r="BD332" s="463"/>
      <c r="BE332" s="463"/>
      <c r="BF332" s="464"/>
      <c r="BG332" s="391">
        <f>SUM($AV$4:AV332)</f>
        <v>2527.68500000003</v>
      </c>
      <c r="BH332" s="392">
        <f>SUM($AU$134:AU332)</f>
        <v>783.79000000000133</v>
      </c>
      <c r="BI332" s="318">
        <f>SUMIFS($AU$134:AU333,$Q$134:Q333,"F")</f>
        <v>-1262.8</v>
      </c>
      <c r="BJ332" s="318">
        <f>SUMIFS($AU$134:AU333,$Q$134:Q333,"S")</f>
        <v>1745.3499999999992</v>
      </c>
      <c r="BK332" s="343">
        <f>SUMIFS($AU$134:AU333,$P$134:P333,"W")</f>
        <v>2412.4899999999925</v>
      </c>
      <c r="BL332" s="343">
        <f>SUMIFS($AU$134:AU333,$P$134:P333,"R")</f>
        <v>-1628.6999999999916</v>
      </c>
      <c r="BM332" s="343">
        <f>SUMIFS($AU$134:AU333,$AQ$134:AQ333,"M")</f>
        <v>-34.699999999995292</v>
      </c>
      <c r="BN332" s="343">
        <f>SUMIFS($AU$134:AU333,$AQ$134:AQ333,"H")</f>
        <v>576.80000000001496</v>
      </c>
      <c r="BO332" s="343">
        <f>SUMIFS($AU$134:AU333,$AQ$134:AQ333,"D")</f>
        <v>552.94999999999948</v>
      </c>
      <c r="BP332" s="343">
        <f>SUMIFS($AU$134:AU335,$AQ$134:AQ335,"W")</f>
        <v>-1270.7</v>
      </c>
      <c r="BQ332" s="343">
        <f>SUMIFS($AU$134:AU333,$Q$134:Q333,"O")</f>
        <v>102.04000000000158</v>
      </c>
      <c r="BR332" s="343">
        <f>SUMIFS($AU$134:AU333,$AA$134:AA333,"*")</f>
        <v>2100.1500000000306</v>
      </c>
      <c r="BS332" s="343">
        <f>SUMIFS($AU$134:AU333,$AB$134:AB333,"*")</f>
        <v>-205.96000000002391</v>
      </c>
      <c r="BT332" s="343">
        <f>SUMIFS($AU$134:AU333,$AC$134:AC333,"*")</f>
        <v>-831.55000000000098</v>
      </c>
      <c r="BU332" s="343">
        <f>SUMIFS($AU$134:AU333,$AA$134:AA333,"*",$AB$134:AB333,"*")</f>
        <v>-236.49999999999511</v>
      </c>
      <c r="BV332" s="343">
        <f>SUMIFS($AU$134:AU333,$AA$134:AA333,"*",$AC$134:AC333,"*")</f>
        <v>618.349999999999</v>
      </c>
      <c r="BW332" s="343">
        <f>SUMIFS($AU$134:AU333,$AB$134:AB333,"*",$AC$134:AC333,"*")</f>
        <v>-222.50000000000023</v>
      </c>
      <c r="BX332" s="343">
        <f>SUMIFS($AU333:AU$1388,$Q333:Q$1388,"F")</f>
        <v>15703.466666666667</v>
      </c>
      <c r="BY332" s="343">
        <f>SUMIFS($AU333:AU$1388,$Q333:Q$1388,"S")</f>
        <v>18926.292000000001</v>
      </c>
      <c r="BZ332" s="343">
        <f>SUMIFS($AU333:AU$1388,$Q333:Q$1388,"O")</f>
        <v>-1750.8979999998</v>
      </c>
    </row>
    <row r="333" spans="1:78" ht="15">
      <c r="A333" s="221" t="s">
        <v>1523</v>
      </c>
      <c r="B333" s="200">
        <v>44993</v>
      </c>
      <c r="C333" s="201" t="s">
        <v>1633</v>
      </c>
      <c r="D333" s="201" t="s">
        <v>151</v>
      </c>
      <c r="E333" s="462" t="s">
        <v>1634</v>
      </c>
      <c r="F333" s="203"/>
      <c r="G333" s="204"/>
      <c r="H333" s="205"/>
      <c r="I333" s="205"/>
      <c r="J333" s="205"/>
      <c r="K333" s="206"/>
      <c r="L333" s="205"/>
      <c r="M333" s="205"/>
      <c r="N333" s="205"/>
      <c r="O333" s="206"/>
      <c r="P333" s="206"/>
      <c r="Q333" s="206"/>
      <c r="R333" s="206"/>
      <c r="S333" s="206"/>
      <c r="T333" s="206"/>
      <c r="U333" s="206"/>
      <c r="V333" s="206"/>
      <c r="W333" s="206"/>
      <c r="X333" s="206"/>
      <c r="Y333" s="184" t="str">
        <f t="shared" si="138"/>
        <v/>
      </c>
      <c r="Z333" s="184" t="str">
        <f t="shared" si="139"/>
        <v/>
      </c>
      <c r="AA333" s="208"/>
      <c r="AB333" s="208"/>
      <c r="AC333" s="208"/>
      <c r="AD333" s="650"/>
      <c r="AE333" s="205"/>
      <c r="AF333" s="333"/>
      <c r="AG333" s="205"/>
      <c r="AH333" s="205"/>
      <c r="AI333" s="205"/>
      <c r="AJ333" s="641"/>
      <c r="AK333" s="205"/>
      <c r="AL333" s="496"/>
      <c r="AM333" s="496"/>
      <c r="AN333" s="627"/>
      <c r="AO333" s="205"/>
      <c r="AP333" s="205"/>
      <c r="AQ333" s="333" t="str">
        <f>UPPER(RIGHT(Journal_Live[[#This Row],[DURATION ]]))</f>
        <v/>
      </c>
      <c r="AR333" s="205"/>
      <c r="AS333" s="211"/>
      <c r="AT333" s="189"/>
      <c r="AU333" s="187"/>
      <c r="AV333" s="190"/>
      <c r="AW333" s="213"/>
      <c r="AX333" s="463"/>
      <c r="AY333" s="463"/>
      <c r="AZ333" s="463"/>
      <c r="BA333" s="463"/>
      <c r="BB333" s="463"/>
      <c r="BC333" s="463"/>
      <c r="BD333" s="463"/>
      <c r="BE333" s="463"/>
      <c r="BF333" s="464"/>
      <c r="BG333" s="391">
        <f>SUM($AV$4:AV333)</f>
        <v>2527.68500000003</v>
      </c>
      <c r="BH333" s="392">
        <f>SUM($AU$134:AU333)</f>
        <v>783.79000000000133</v>
      </c>
      <c r="BI333" s="318">
        <f>SUMIFS($AU$134:AU334,$Q$134:Q334,"F")</f>
        <v>-1262.8</v>
      </c>
      <c r="BJ333" s="318">
        <f>SUMIFS($AU$134:AU334,$Q$134:Q334,"S")</f>
        <v>1745.3499999999992</v>
      </c>
      <c r="BK333" s="343">
        <f>SUMIFS($AU$134:AU334,$P$134:P334,"W")</f>
        <v>2412.4899999999925</v>
      </c>
      <c r="BL333" s="343">
        <f>SUMIFS($AU$134:AU334,$P$134:P334,"R")</f>
        <v>-1628.6999999999916</v>
      </c>
      <c r="BM333" s="343">
        <f>SUMIFS($AU$134:AU334,$AQ$134:AQ334,"M")</f>
        <v>-34.699999999995292</v>
      </c>
      <c r="BN333" s="343">
        <f>SUMIFS($AU$134:AU334,$AQ$134:AQ334,"H")</f>
        <v>576.80000000001496</v>
      </c>
      <c r="BO333" s="343">
        <f>SUMIFS($AU$134:AU334,$AQ$134:AQ334,"D")</f>
        <v>552.94999999999948</v>
      </c>
      <c r="BP333" s="343">
        <f>SUMIFS($AU$134:AU336,$AQ$134:AQ336,"W")</f>
        <v>-1270.7</v>
      </c>
      <c r="BQ333" s="343">
        <f>SUMIFS($AU$134:AU334,$Q$134:Q334,"O")</f>
        <v>102.04000000000158</v>
      </c>
      <c r="BR333" s="343">
        <f>SUMIFS($AU$134:AU334,$AA$134:AA334,"*")</f>
        <v>2100.1500000000306</v>
      </c>
      <c r="BS333" s="343">
        <f>SUMIFS($AU$134:AU334,$AB$134:AB334,"*")</f>
        <v>-205.96000000002391</v>
      </c>
      <c r="BT333" s="343">
        <f>SUMIFS($AU$134:AU334,$AC$134:AC334,"*")</f>
        <v>-831.55000000000098</v>
      </c>
      <c r="BU333" s="343">
        <f>SUMIFS($AU$134:AU334,$AA$134:AA334,"*",$AB$134:AB334,"*")</f>
        <v>-236.49999999999511</v>
      </c>
      <c r="BV333" s="343">
        <f>SUMIFS($AU$134:AU334,$AA$134:AA334,"*",$AC$134:AC334,"*")</f>
        <v>618.349999999999</v>
      </c>
      <c r="BW333" s="343">
        <f>SUMIFS($AU$134:AU334,$AB$134:AB334,"*",$AC$134:AC334,"*")</f>
        <v>-222.50000000000023</v>
      </c>
      <c r="BX333" s="343">
        <f>SUMIFS($AU334:AU$1388,$Q334:Q$1388,"F")</f>
        <v>15703.466666666667</v>
      </c>
      <c r="BY333" s="343">
        <f>SUMIFS($AU334:AU$1388,$Q334:Q$1388,"S")</f>
        <v>18926.292000000001</v>
      </c>
      <c r="BZ333" s="343">
        <f>SUMIFS($AU334:AU$1388,$Q334:Q$1388,"O")</f>
        <v>-1750.8979999998</v>
      </c>
    </row>
    <row r="334" spans="1:78" ht="15">
      <c r="A334" s="221" t="s">
        <v>1523</v>
      </c>
      <c r="B334" s="200">
        <v>44993</v>
      </c>
      <c r="C334" s="201" t="s">
        <v>1635</v>
      </c>
      <c r="D334" s="201" t="s">
        <v>151</v>
      </c>
      <c r="E334" s="462" t="s">
        <v>1636</v>
      </c>
      <c r="F334" s="203" t="s">
        <v>1628</v>
      </c>
      <c r="G334" s="204"/>
      <c r="H334" s="205">
        <v>1</v>
      </c>
      <c r="I334" s="205"/>
      <c r="J334" s="205"/>
      <c r="K334" s="206" t="s">
        <v>372</v>
      </c>
      <c r="L334" s="205"/>
      <c r="M334" s="205"/>
      <c r="N334" s="205"/>
      <c r="O334" s="206"/>
      <c r="P334" s="206"/>
      <c r="Q334" s="206"/>
      <c r="R334" s="206"/>
      <c r="S334" s="206"/>
      <c r="T334" s="206"/>
      <c r="U334" s="206"/>
      <c r="V334" s="206"/>
      <c r="W334" s="206"/>
      <c r="X334" s="206"/>
      <c r="Y334" s="184" t="str">
        <f t="shared" si="138"/>
        <v/>
      </c>
      <c r="Z334" s="184" t="str">
        <f t="shared" si="139"/>
        <v/>
      </c>
      <c r="AA334" s="208"/>
      <c r="AB334" s="208"/>
      <c r="AC334" s="208"/>
      <c r="AD334" s="650"/>
      <c r="AE334" s="205"/>
      <c r="AF334" s="333"/>
      <c r="AG334" s="205"/>
      <c r="AH334" s="205"/>
      <c r="AI334" s="205"/>
      <c r="AJ334" s="641"/>
      <c r="AK334" s="205"/>
      <c r="AL334" s="496"/>
      <c r="AM334" s="496"/>
      <c r="AN334" s="627"/>
      <c r="AO334" s="205"/>
      <c r="AP334" s="205"/>
      <c r="AQ334" s="333" t="str">
        <f>UPPER(RIGHT(Journal_Live[[#This Row],[DURATION ]]))</f>
        <v/>
      </c>
      <c r="AR334" s="205"/>
      <c r="AS334" s="211"/>
      <c r="AT334" s="189"/>
      <c r="AU334" s="187"/>
      <c r="AV334" s="190"/>
      <c r="AW334" s="213"/>
      <c r="AX334" s="463"/>
      <c r="AY334" s="463"/>
      <c r="AZ334" s="463"/>
      <c r="BA334" s="463"/>
      <c r="BB334" s="463"/>
      <c r="BC334" s="463"/>
      <c r="BD334" s="463"/>
      <c r="BE334" s="463"/>
      <c r="BF334" s="464"/>
      <c r="BG334" s="391">
        <f>SUM($AV$4:AV334)</f>
        <v>2527.68500000003</v>
      </c>
      <c r="BH334" s="392">
        <f>SUM($AU$134:AU334)</f>
        <v>783.79000000000133</v>
      </c>
      <c r="BI334" s="318">
        <f>SUMIFS($AU$134:AU335,$Q$134:Q335,"F")</f>
        <v>-1262.8</v>
      </c>
      <c r="BJ334" s="318">
        <f>SUMIFS($AU$134:AU335,$Q$134:Q335,"S")</f>
        <v>1745.3499999999992</v>
      </c>
      <c r="BK334" s="343">
        <f>SUMIFS($AU$134:AU335,$P$134:P335,"W")</f>
        <v>2412.4899999999925</v>
      </c>
      <c r="BL334" s="343">
        <f>SUMIFS($AU$134:AU335,$P$134:P335,"R")</f>
        <v>-1628.6999999999916</v>
      </c>
      <c r="BM334" s="343">
        <f>SUMIFS($AU$134:AU335,$AQ$134:AQ335,"M")</f>
        <v>-34.699999999995292</v>
      </c>
      <c r="BN334" s="343">
        <f>SUMIFS($AU$134:AU335,$AQ$134:AQ335,"H")</f>
        <v>576.80000000001496</v>
      </c>
      <c r="BO334" s="343">
        <f>SUMIFS($AU$134:AU335,$AQ$134:AQ335,"D")</f>
        <v>552.94999999999948</v>
      </c>
      <c r="BP334" s="343">
        <f>SUMIFS($AU$134:AU337,$AQ$134:AQ337,"W")</f>
        <v>-1270.7</v>
      </c>
      <c r="BQ334" s="343">
        <f>SUMIFS($AU$134:AU335,$Q$134:Q335,"O")</f>
        <v>102.04000000000158</v>
      </c>
      <c r="BR334" s="343">
        <f>SUMIFS($AU$134:AU335,$AA$134:AA335,"*")</f>
        <v>2100.1500000000306</v>
      </c>
      <c r="BS334" s="343">
        <f>SUMIFS($AU$134:AU335,$AB$134:AB335,"*")</f>
        <v>-205.96000000002391</v>
      </c>
      <c r="BT334" s="343">
        <f>SUMIFS($AU$134:AU335,$AC$134:AC335,"*")</f>
        <v>-831.55000000000098</v>
      </c>
      <c r="BU334" s="343">
        <f>SUMIFS($AU$134:AU335,$AA$134:AA335,"*",$AB$134:AB335,"*")</f>
        <v>-236.49999999999511</v>
      </c>
      <c r="BV334" s="343">
        <f>SUMIFS($AU$134:AU335,$AA$134:AA335,"*",$AC$134:AC335,"*")</f>
        <v>618.349999999999</v>
      </c>
      <c r="BW334" s="343">
        <f>SUMIFS($AU$134:AU335,$AB$134:AB335,"*",$AC$134:AC335,"*")</f>
        <v>-222.50000000000023</v>
      </c>
      <c r="BX334" s="343">
        <f>SUMIFS($AU335:AU$1388,$Q335:Q$1388,"F")</f>
        <v>15703.466666666667</v>
      </c>
      <c r="BY334" s="343">
        <f>SUMIFS($AU335:AU$1388,$Q335:Q$1388,"S")</f>
        <v>18926.292000000001</v>
      </c>
      <c r="BZ334" s="343">
        <f>SUMIFS($AU335:AU$1388,$Q335:Q$1388,"O")</f>
        <v>-1750.8979999998</v>
      </c>
    </row>
    <row r="335" spans="1:78" ht="15">
      <c r="A335" s="221" t="s">
        <v>1523</v>
      </c>
      <c r="B335" s="200">
        <v>44995</v>
      </c>
      <c r="C335" s="178" t="s">
        <v>1637</v>
      </c>
      <c r="D335" s="178" t="s">
        <v>111</v>
      </c>
      <c r="E335" s="234"/>
      <c r="F335" s="180"/>
      <c r="G335" s="281" t="s">
        <v>271</v>
      </c>
      <c r="H335" s="182"/>
      <c r="I335" s="182"/>
      <c r="J335" s="182"/>
      <c r="K335" s="183"/>
      <c r="L335" s="182">
        <v>3</v>
      </c>
      <c r="M335" s="182">
        <v>2</v>
      </c>
      <c r="N335" s="182"/>
      <c r="O335" s="183" t="s">
        <v>95</v>
      </c>
      <c r="P335" s="183" t="s">
        <v>137</v>
      </c>
      <c r="Q335" s="183" t="s">
        <v>97</v>
      </c>
      <c r="R335" s="183">
        <v>7</v>
      </c>
      <c r="S335" s="183">
        <v>7</v>
      </c>
      <c r="T335" s="183">
        <v>7</v>
      </c>
      <c r="U335" s="183" t="s">
        <v>22</v>
      </c>
      <c r="V335" s="183"/>
      <c r="W335" s="183"/>
      <c r="X335" s="183"/>
      <c r="Y335" s="184">
        <f t="shared" si="138"/>
        <v>0.01</v>
      </c>
      <c r="Z335" s="184">
        <f>IF(ISBLANK(O335),"",IF(O335=UPPER("IB"),8.63*200,15.8*100))</f>
        <v>1580</v>
      </c>
      <c r="AA335" s="185"/>
      <c r="AB335" s="185"/>
      <c r="AC335" s="185" t="s">
        <v>99</v>
      </c>
      <c r="AD335" s="649">
        <v>-0.11</v>
      </c>
      <c r="AE335" s="182"/>
      <c r="AF335" s="332">
        <v>-14</v>
      </c>
      <c r="AG335" s="182"/>
      <c r="AH335" s="182">
        <v>-10</v>
      </c>
      <c r="AI335" s="182"/>
      <c r="AJ335" s="640" t="s">
        <v>1638</v>
      </c>
      <c r="AK335" s="182" t="s">
        <v>529</v>
      </c>
      <c r="AL335" s="496">
        <f>-0.02*Z335</f>
        <v>-31.6</v>
      </c>
      <c r="AM335" s="496">
        <f>AL335*R335</f>
        <v>-221.20000000000002</v>
      </c>
      <c r="AN335" s="626"/>
      <c r="AO335" s="182"/>
      <c r="AP335" s="182" t="s">
        <v>1639</v>
      </c>
      <c r="AQ335" s="332" t="str">
        <f>UPPER(RIGHT(Journal_Live[[#This Row],[DURATION ]]))</f>
        <v>H</v>
      </c>
      <c r="AR335" s="182" t="s">
        <v>1640</v>
      </c>
      <c r="AS335" s="189">
        <v>-0.11</v>
      </c>
      <c r="AT335" s="189">
        <f>IF(ISBLANK(AS335),,IF(U335="S",AD335-AS335,AS335-AD335))</f>
        <v>0</v>
      </c>
      <c r="AU335" s="187">
        <f>AV335*R335</f>
        <v>0</v>
      </c>
      <c r="AV335" s="190">
        <f>IF(ISBLANK(AS335),,(AT335*Z335))</f>
        <v>0</v>
      </c>
      <c r="AW335" s="191" t="s">
        <v>115</v>
      </c>
      <c r="AX335" s="466" t="s">
        <v>1641</v>
      </c>
      <c r="AY335" s="466" t="s">
        <v>1642</v>
      </c>
      <c r="AZ335" s="466"/>
      <c r="BA335" s="466"/>
      <c r="BB335" s="466"/>
      <c r="BC335" s="466"/>
      <c r="BD335" s="466"/>
      <c r="BE335" s="466"/>
      <c r="BF335" s="467"/>
      <c r="BG335" s="391">
        <f>SUM($AV$4:AV335)</f>
        <v>2527.68500000003</v>
      </c>
      <c r="BH335" s="392">
        <f>SUM($AU$134:AU335)</f>
        <v>783.79000000000133</v>
      </c>
      <c r="BI335" s="318">
        <f>SUMIFS($AU$134:AU336,$Q$134:Q336,"F")</f>
        <v>-1262.8</v>
      </c>
      <c r="BJ335" s="318">
        <f>SUMIFS($AU$134:AU336,$Q$134:Q336,"S")</f>
        <v>1871.7499999999991</v>
      </c>
      <c r="BK335" s="343">
        <f>SUMIFS($AU$134:AU336,$P$134:P336,"W")</f>
        <v>2538.8899999999926</v>
      </c>
      <c r="BL335" s="343">
        <f>SUMIFS($AU$134:AU336,$P$134:P336,"R")</f>
        <v>-1628.6999999999916</v>
      </c>
      <c r="BM335" s="343">
        <f>SUMIFS($AU$134:AU336,$AQ$134:AQ336,"M")</f>
        <v>-34.699999999995292</v>
      </c>
      <c r="BN335" s="343">
        <f>SUMIFS($AU$134:AU336,$AQ$134:AQ336,"H")</f>
        <v>576.80000000001496</v>
      </c>
      <c r="BO335" s="343">
        <f>SUMIFS($AU$134:AU336,$AQ$134:AQ336,"D")</f>
        <v>552.94999999999948</v>
      </c>
      <c r="BP335" s="343">
        <f>SUMIFS($AU$134:AU338,$AQ$134:AQ338,"W")</f>
        <v>-1270.7</v>
      </c>
      <c r="BQ335" s="343">
        <f>SUMIFS($AU$134:AU336,$Q$134:Q336,"O")</f>
        <v>102.04000000000158</v>
      </c>
      <c r="BR335" s="343">
        <f>SUMIFS($AU$134:AU336,$AA$134:AA336,"*")</f>
        <v>2100.1500000000306</v>
      </c>
      <c r="BS335" s="343">
        <f>SUMIFS($AU$134:AU336,$AB$134:AB336,"*")</f>
        <v>-79.560000000023976</v>
      </c>
      <c r="BT335" s="343">
        <f>SUMIFS($AU$134:AU336,$AC$134:AC336,"*")</f>
        <v>-705.150000000001</v>
      </c>
      <c r="BU335" s="343">
        <f>SUMIFS($AU$134:AU336,$AA$134:AA336,"*",$AB$134:AB336,"*")</f>
        <v>-236.49999999999511</v>
      </c>
      <c r="BV335" s="343">
        <f>SUMIFS($AU$134:AU336,$AA$134:AA336,"*",$AC$134:AC336,"*")</f>
        <v>618.349999999999</v>
      </c>
      <c r="BW335" s="343">
        <f>SUMIFS($AU$134:AU336,$AB$134:AB336,"*",$AC$134:AC336,"*")</f>
        <v>-96.100000000000293</v>
      </c>
      <c r="BX335" s="343">
        <f>SUMIFS($AU336:AU$1388,$Q336:Q$1388,"F")</f>
        <v>15703.466666666667</v>
      </c>
      <c r="BY335" s="343">
        <f>SUMIFS($AU336:AU$1388,$Q336:Q$1388,"S")</f>
        <v>18926.292000000001</v>
      </c>
      <c r="BZ335" s="343">
        <f>SUMIFS($AU336:AU$1388,$Q336:Q$1388,"O")</f>
        <v>-1750.8979999998</v>
      </c>
    </row>
    <row r="336" spans="1:78" ht="15">
      <c r="A336" s="221" t="s">
        <v>1523</v>
      </c>
      <c r="B336" s="200">
        <v>44995</v>
      </c>
      <c r="C336" s="201" t="s">
        <v>1643</v>
      </c>
      <c r="D336" s="201" t="s">
        <v>111</v>
      </c>
      <c r="E336" s="462"/>
      <c r="F336" s="203"/>
      <c r="G336" s="314" t="s">
        <v>365</v>
      </c>
      <c r="H336" s="205"/>
      <c r="I336" s="205"/>
      <c r="J336" s="205"/>
      <c r="K336" s="206"/>
      <c r="L336" s="205">
        <v>3</v>
      </c>
      <c r="M336" s="205">
        <v>2</v>
      </c>
      <c r="N336" s="205"/>
      <c r="O336" s="206" t="s">
        <v>95</v>
      </c>
      <c r="P336" s="206" t="s">
        <v>96</v>
      </c>
      <c r="Q336" s="206" t="s">
        <v>97</v>
      </c>
      <c r="R336" s="206">
        <v>8</v>
      </c>
      <c r="S336" s="206">
        <v>8</v>
      </c>
      <c r="T336" s="206">
        <v>8</v>
      </c>
      <c r="U336" s="206" t="s">
        <v>22</v>
      </c>
      <c r="V336" s="206"/>
      <c r="W336" s="206"/>
      <c r="X336" s="206"/>
      <c r="Y336" s="184">
        <f t="shared" si="138"/>
        <v>0.01</v>
      </c>
      <c r="Z336" s="184">
        <f>IF(ISBLANK(O336),"",IF(O336=UPPER("IB"),8.63*200,15.8*100))</f>
        <v>1580</v>
      </c>
      <c r="AA336" s="208"/>
      <c r="AB336" s="208" t="s">
        <v>1644</v>
      </c>
      <c r="AC336" s="185" t="s">
        <v>99</v>
      </c>
      <c r="AD336" s="650">
        <v>-0.08</v>
      </c>
      <c r="AE336" s="205"/>
      <c r="AF336" s="333"/>
      <c r="AG336" s="205"/>
      <c r="AH336" s="205"/>
      <c r="AI336" s="205"/>
      <c r="AJ336" s="641"/>
      <c r="AK336" s="205"/>
      <c r="AL336" s="496"/>
      <c r="AM336" s="496"/>
      <c r="AN336" s="627"/>
      <c r="AO336" s="205"/>
      <c r="AP336" s="205" t="s">
        <v>1645</v>
      </c>
      <c r="AQ336" s="333" t="str">
        <f>UPPER(RIGHT(Journal_Live[[#This Row],[DURATION ]]))</f>
        <v>N</v>
      </c>
      <c r="AR336" s="205" t="s">
        <v>1646</v>
      </c>
      <c r="AS336" s="211">
        <v>-7.0000000000000007E-2</v>
      </c>
      <c r="AT336" s="189">
        <f>IF(ISBLANK(AS336),,IF(U336="S",AD336-AS336,AS336-AD336))</f>
        <v>9.999999999999995E-3</v>
      </c>
      <c r="AU336" s="187">
        <f>AV336*R336</f>
        <v>126.39999999999993</v>
      </c>
      <c r="AV336" s="190">
        <f>IF(ISBLANK(AS336),,(AT336*Z336))</f>
        <v>15.799999999999992</v>
      </c>
      <c r="AW336" s="213" t="s">
        <v>96</v>
      </c>
      <c r="AX336" s="463" t="s">
        <v>1137</v>
      </c>
      <c r="AY336" s="463" t="s">
        <v>1647</v>
      </c>
      <c r="AZ336" s="463"/>
      <c r="BA336" s="463" t="s">
        <v>1648</v>
      </c>
      <c r="BB336" s="463" t="s">
        <v>1649</v>
      </c>
      <c r="BC336" s="463" t="s">
        <v>1650</v>
      </c>
      <c r="BD336" s="463" t="s">
        <v>529</v>
      </c>
      <c r="BE336" s="463"/>
      <c r="BF336" s="464"/>
      <c r="BG336" s="391">
        <f>SUM($AV$4:AV336)</f>
        <v>2543.4850000000301</v>
      </c>
      <c r="BH336" s="392">
        <f>SUM($AU$134:AU336)</f>
        <v>910.19000000000131</v>
      </c>
      <c r="BI336" s="318">
        <f>SUMIFS($AU$134:AU337,$Q$134:Q337,"F")</f>
        <v>-1262.8</v>
      </c>
      <c r="BJ336" s="318">
        <f>SUMIFS($AU$134:AU337,$Q$134:Q337,"S")</f>
        <v>1998.149999999999</v>
      </c>
      <c r="BK336" s="343">
        <f>SUMIFS($AU$134:AU337,$P$134:P337,"W")</f>
        <v>2665.2899999999927</v>
      </c>
      <c r="BL336" s="343">
        <f>SUMIFS($AU$134:AU337,$P$134:P337,"R")</f>
        <v>-1628.6999999999916</v>
      </c>
      <c r="BM336" s="343">
        <f>SUMIFS($AU$134:AU337,$AQ$134:AQ337,"M")</f>
        <v>-34.699999999995292</v>
      </c>
      <c r="BN336" s="343">
        <f>SUMIFS($AU$134:AU337,$AQ$134:AQ337,"H")</f>
        <v>703.20000000001494</v>
      </c>
      <c r="BO336" s="343">
        <f>SUMIFS($AU$134:AU337,$AQ$134:AQ337,"D")</f>
        <v>552.94999999999948</v>
      </c>
      <c r="BP336" s="343">
        <f>SUMIFS($AU$134:AU339,$AQ$134:AQ339,"W")</f>
        <v>-1270.7</v>
      </c>
      <c r="BQ336" s="343">
        <f>SUMIFS($AU$134:AU337,$Q$134:Q337,"O")</f>
        <v>102.04000000000158</v>
      </c>
      <c r="BR336" s="343">
        <f>SUMIFS($AU$134:AU337,$AA$134:AA337,"*")</f>
        <v>2100.1500000000306</v>
      </c>
      <c r="BS336" s="343">
        <f>SUMIFS($AU$134:AU337,$AB$134:AB337,"*")</f>
        <v>46.839999999975959</v>
      </c>
      <c r="BT336" s="343">
        <f>SUMIFS($AU$134:AU337,$AC$134:AC337,"*")</f>
        <v>-578.75000000000102</v>
      </c>
      <c r="BU336" s="343">
        <f>SUMIFS($AU$134:AU337,$AA$134:AA337,"*",$AB$134:AB337,"*")</f>
        <v>-236.49999999999511</v>
      </c>
      <c r="BV336" s="343">
        <f>SUMIFS($AU$134:AU337,$AA$134:AA337,"*",$AC$134:AC337,"*")</f>
        <v>618.349999999999</v>
      </c>
      <c r="BW336" s="343">
        <f>SUMIFS($AU$134:AU337,$AB$134:AB337,"*",$AC$134:AC337,"*")</f>
        <v>30.299999999999642</v>
      </c>
      <c r="BX336" s="343">
        <f>SUMIFS($AU337:AU$1388,$Q337:Q$1388,"F")</f>
        <v>15703.466666666667</v>
      </c>
      <c r="BY336" s="343">
        <f>SUMIFS($AU337:AU$1388,$Q337:Q$1388,"S")</f>
        <v>18799.892000000003</v>
      </c>
      <c r="BZ336" s="343">
        <f>SUMIFS($AU337:AU$1388,$Q337:Q$1388,"O")</f>
        <v>-1750.8979999998</v>
      </c>
    </row>
    <row r="337" spans="1:78" ht="15.75" customHeight="1">
      <c r="A337" s="221" t="s">
        <v>1523</v>
      </c>
      <c r="B337" s="200">
        <v>44995</v>
      </c>
      <c r="C337" s="201" t="s">
        <v>1651</v>
      </c>
      <c r="D337" s="201" t="s">
        <v>111</v>
      </c>
      <c r="E337" s="462"/>
      <c r="F337" s="203"/>
      <c r="G337" s="314" t="s">
        <v>365</v>
      </c>
      <c r="H337" s="205"/>
      <c r="I337" s="205"/>
      <c r="J337" s="205"/>
      <c r="K337" s="206"/>
      <c r="L337" s="205">
        <v>3</v>
      </c>
      <c r="M337" s="205">
        <v>2</v>
      </c>
      <c r="N337" s="205"/>
      <c r="O337" s="206" t="s">
        <v>95</v>
      </c>
      <c r="P337" s="206" t="s">
        <v>96</v>
      </c>
      <c r="Q337" s="206" t="s">
        <v>97</v>
      </c>
      <c r="R337" s="206">
        <v>8</v>
      </c>
      <c r="S337" s="206">
        <v>8</v>
      </c>
      <c r="T337" s="206">
        <v>8</v>
      </c>
      <c r="U337" s="206" t="s">
        <v>22</v>
      </c>
      <c r="V337" s="206"/>
      <c r="W337" s="206"/>
      <c r="X337" s="206"/>
      <c r="Y337" s="184">
        <f t="shared" si="138"/>
        <v>0.01</v>
      </c>
      <c r="Z337" s="184">
        <f>IF(ISBLANK(O337),"",IF(O337=UPPER("IB"),8.63*200,15.8*100))</f>
        <v>1580</v>
      </c>
      <c r="AA337" s="208"/>
      <c r="AB337" s="208" t="s">
        <v>1644</v>
      </c>
      <c r="AC337" s="185" t="s">
        <v>99</v>
      </c>
      <c r="AD337" s="650">
        <v>-0.08</v>
      </c>
      <c r="AE337" s="205"/>
      <c r="AF337" s="333"/>
      <c r="AG337" s="205"/>
      <c r="AH337" s="205"/>
      <c r="AI337" s="205"/>
      <c r="AJ337" s="641" t="s">
        <v>1652</v>
      </c>
      <c r="AK337" s="205"/>
      <c r="AL337" s="496"/>
      <c r="AM337" s="496"/>
      <c r="AN337" s="627"/>
      <c r="AO337" s="205"/>
      <c r="AP337" s="205" t="s">
        <v>964</v>
      </c>
      <c r="AQ337" s="333" t="str">
        <f>UPPER(RIGHT(Journal_Live[[#This Row],[DURATION ]]))</f>
        <v>H</v>
      </c>
      <c r="AR337" s="205" t="s">
        <v>1653</v>
      </c>
      <c r="AS337" s="211">
        <v>-7.0000000000000007E-2</v>
      </c>
      <c r="AT337" s="189">
        <f>IF(ISBLANK(AS337),,IF(U337="S",AD337-AS337,AS337-AD337))</f>
        <v>9.999999999999995E-3</v>
      </c>
      <c r="AU337" s="187">
        <f>AV337*R337</f>
        <v>126.39999999999993</v>
      </c>
      <c r="AV337" s="190">
        <f>IF(ISBLANK(AS337),,(AT337*Z337))</f>
        <v>15.799999999999992</v>
      </c>
      <c r="AW337" s="213" t="s">
        <v>96</v>
      </c>
      <c r="AX337" s="463" t="s">
        <v>1137</v>
      </c>
      <c r="AY337" s="463"/>
      <c r="AZ337" s="463"/>
      <c r="BA337" s="463"/>
      <c r="BB337" s="463"/>
      <c r="BC337" s="463"/>
      <c r="BD337" s="463"/>
      <c r="BE337" s="463"/>
      <c r="BF337" s="464"/>
      <c r="BG337" s="391">
        <f>SUM($AV$4:AV337)</f>
        <v>2559.2850000000303</v>
      </c>
      <c r="BH337" s="392">
        <f>SUM($AU$134:AU337)</f>
        <v>1036.5900000000013</v>
      </c>
      <c r="BI337" s="318">
        <f>SUMIFS($AU$134:AU338,$Q$134:Q338,"F")</f>
        <v>-1262.8</v>
      </c>
      <c r="BJ337" s="318">
        <f>SUMIFS($AU$134:AU338,$Q$134:Q338,"S")</f>
        <v>1998.149999999999</v>
      </c>
      <c r="BK337" s="343">
        <f>SUMIFS($AU$134:AU338,$P$134:P338,"W")</f>
        <v>2665.2899999999927</v>
      </c>
      <c r="BL337" s="343">
        <f>SUMIFS($AU$134:AU338,$P$134:P338,"R")</f>
        <v>-1628.6999999999916</v>
      </c>
      <c r="BM337" s="343">
        <f>SUMIFS($AU$134:AU338,$AQ$134:AQ338,"M")</f>
        <v>-34.699999999995292</v>
      </c>
      <c r="BN337" s="343">
        <f>SUMIFS($AU$134:AU338,$AQ$134:AQ338,"H")</f>
        <v>703.20000000001494</v>
      </c>
      <c r="BO337" s="343">
        <f>SUMIFS($AU$134:AU338,$AQ$134:AQ338,"D")</f>
        <v>552.94999999999948</v>
      </c>
      <c r="BP337" s="343">
        <f>SUMIFS($AU$134:AU340,$AQ$134:AQ340,"W")</f>
        <v>-1270.7</v>
      </c>
      <c r="BQ337" s="343">
        <f>SUMIFS($AU$134:AU338,$Q$134:Q338,"O")</f>
        <v>102.04000000000158</v>
      </c>
      <c r="BR337" s="343">
        <f>SUMIFS($AU$134:AU338,$AA$134:AA338,"*")</f>
        <v>2100.1500000000306</v>
      </c>
      <c r="BS337" s="343">
        <f>SUMIFS($AU$134:AU338,$AB$134:AB338,"*")</f>
        <v>46.839999999975959</v>
      </c>
      <c r="BT337" s="343">
        <f>SUMIFS($AU$134:AU338,$AC$134:AC338,"*")</f>
        <v>-578.75000000000102</v>
      </c>
      <c r="BU337" s="343">
        <f>SUMIFS($AU$134:AU338,$AA$134:AA338,"*",$AB$134:AB338,"*")</f>
        <v>-236.49999999999511</v>
      </c>
      <c r="BV337" s="343">
        <f>SUMIFS($AU$134:AU338,$AA$134:AA338,"*",$AC$134:AC338,"*")</f>
        <v>618.349999999999</v>
      </c>
      <c r="BW337" s="343">
        <f>SUMIFS($AU$134:AU338,$AB$134:AB338,"*",$AC$134:AC338,"*")</f>
        <v>30.299999999999642</v>
      </c>
      <c r="BX337" s="343">
        <f>SUMIFS($AU338:AU$1388,$Q338:Q$1388,"F")</f>
        <v>15703.466666666667</v>
      </c>
      <c r="BY337" s="343">
        <f>SUMIFS($AU338:AU$1388,$Q338:Q$1388,"S")</f>
        <v>18673.492000000002</v>
      </c>
      <c r="BZ337" s="343">
        <f>SUMIFS($AU338:AU$1388,$Q338:Q$1388,"O")</f>
        <v>-1750.8979999998</v>
      </c>
    </row>
    <row r="338" spans="1:78" ht="15.75" customHeight="1">
      <c r="A338" s="221" t="s">
        <v>1523</v>
      </c>
      <c r="B338" s="200">
        <v>44995</v>
      </c>
      <c r="C338" s="201" t="s">
        <v>1474</v>
      </c>
      <c r="D338" s="201" t="s">
        <v>111</v>
      </c>
      <c r="E338" s="247" t="s">
        <v>1654</v>
      </c>
      <c r="F338" s="203" t="s">
        <v>1655</v>
      </c>
      <c r="G338" s="204"/>
      <c r="H338" s="205">
        <v>1</v>
      </c>
      <c r="I338" s="205"/>
      <c r="J338" s="205"/>
      <c r="K338" s="206" t="s">
        <v>372</v>
      </c>
      <c r="L338" s="205"/>
      <c r="M338" s="205"/>
      <c r="N338" s="205"/>
      <c r="O338" s="206"/>
      <c r="P338" s="206"/>
      <c r="Q338" s="206"/>
      <c r="R338" s="206"/>
      <c r="S338" s="206"/>
      <c r="T338" s="206"/>
      <c r="U338" s="206"/>
      <c r="V338" s="206"/>
      <c r="W338" s="206"/>
      <c r="X338" s="206"/>
      <c r="Y338" s="184"/>
      <c r="Z338" s="184"/>
      <c r="AA338" s="208"/>
      <c r="AB338" s="208"/>
      <c r="AC338" s="185"/>
      <c r="AD338" s="650"/>
      <c r="AE338" s="205"/>
      <c r="AF338" s="333"/>
      <c r="AG338" s="205"/>
      <c r="AH338" s="205"/>
      <c r="AI338" s="205"/>
      <c r="AJ338" s="641"/>
      <c r="AK338" s="205"/>
      <c r="AL338" s="496"/>
      <c r="AM338" s="496"/>
      <c r="AN338" s="627"/>
      <c r="AO338" s="205"/>
      <c r="AP338" s="205"/>
      <c r="AQ338" s="333" t="str">
        <f>UPPER(RIGHT(Journal_Live[[#This Row],[DURATION ]]))</f>
        <v/>
      </c>
      <c r="AR338" s="205"/>
      <c r="AS338" s="211"/>
      <c r="AT338" s="189"/>
      <c r="AU338" s="187"/>
      <c r="AV338" s="190"/>
      <c r="AW338" s="213"/>
      <c r="AX338" s="413"/>
      <c r="AY338" s="413"/>
      <c r="AZ338" s="413"/>
      <c r="BA338" s="413"/>
      <c r="BB338" s="413"/>
      <c r="BC338" s="413"/>
      <c r="BD338" s="413"/>
      <c r="BE338" s="413"/>
      <c r="BF338" s="427"/>
      <c r="BG338" s="391">
        <f>SUM($AV$4:AV338)</f>
        <v>2559.2850000000303</v>
      </c>
      <c r="BH338" s="392">
        <f>SUM($AU$134:AU338)</f>
        <v>1036.5900000000013</v>
      </c>
      <c r="BI338" s="318">
        <f>SUMIFS($AU$134:AU339,$Q$134:Q339,"F")</f>
        <v>-1262.8</v>
      </c>
      <c r="BJ338" s="318">
        <f>SUMIFS($AU$134:AU339,$Q$134:Q339,"S")</f>
        <v>1998.149999999999</v>
      </c>
      <c r="BK338" s="343">
        <f>SUMIFS($AU$134:AU339,$P$134:P339,"W")</f>
        <v>2665.2899999999927</v>
      </c>
      <c r="BL338" s="343">
        <f>SUMIFS($AU$134:AU339,$P$134:P339,"R")</f>
        <v>-1628.6999999999916</v>
      </c>
      <c r="BM338" s="343">
        <f>SUMIFS($AU$134:AU339,$AQ$134:AQ339,"M")</f>
        <v>-34.699999999995292</v>
      </c>
      <c r="BN338" s="343">
        <f>SUMIFS($AU$134:AU339,$AQ$134:AQ339,"H")</f>
        <v>703.20000000001494</v>
      </c>
      <c r="BO338" s="343">
        <f>SUMIFS($AU$134:AU339,$AQ$134:AQ339,"D")</f>
        <v>552.94999999999948</v>
      </c>
      <c r="BP338" s="343">
        <f>SUMIFS($AU$134:AU341,$AQ$134:AQ341,"W")</f>
        <v>-1270.7</v>
      </c>
      <c r="BQ338" s="343">
        <f>SUMIFS($AU$134:AU339,$Q$134:Q339,"O")</f>
        <v>102.04000000000158</v>
      </c>
      <c r="BR338" s="343">
        <f>SUMIFS($AU$134:AU339,$AA$134:AA339,"*")</f>
        <v>2100.1500000000306</v>
      </c>
      <c r="BS338" s="343">
        <f>SUMIFS($AU$134:AU339,$AB$134:AB339,"*")</f>
        <v>46.839999999975959</v>
      </c>
      <c r="BT338" s="343">
        <f>SUMIFS($AU$134:AU339,$AC$134:AC339,"*")</f>
        <v>-578.75000000000102</v>
      </c>
      <c r="BU338" s="343">
        <f>SUMIFS($AU$134:AU339,$AA$134:AA339,"*",$AB$134:AB339,"*")</f>
        <v>-236.49999999999511</v>
      </c>
      <c r="BV338" s="343">
        <f>SUMIFS($AU$134:AU339,$AA$134:AA339,"*",$AC$134:AC339,"*")</f>
        <v>618.349999999999</v>
      </c>
      <c r="BW338" s="343">
        <f>SUMIFS($AU$134:AU339,$AB$134:AB339,"*",$AC$134:AC339,"*")</f>
        <v>30.299999999999642</v>
      </c>
      <c r="BX338" s="343">
        <f>SUMIFS($AU339:AU$1388,$Q339:Q$1388,"F")</f>
        <v>15703.466666666667</v>
      </c>
      <c r="BY338" s="343">
        <f>SUMIFS($AU339:AU$1388,$Q339:Q$1388,"S")</f>
        <v>18673.492000000002</v>
      </c>
      <c r="BZ338" s="343">
        <f>SUMIFS($AU339:AU$1388,$Q339:Q$1388,"O")</f>
        <v>-1750.8979999998</v>
      </c>
    </row>
    <row r="339" spans="1:78" ht="15.75" customHeight="1">
      <c r="A339" s="221" t="s">
        <v>1523</v>
      </c>
      <c r="B339" s="200"/>
      <c r="C339" s="201"/>
      <c r="D339" s="201"/>
      <c r="E339" s="247" t="s">
        <v>1656</v>
      </c>
      <c r="F339" s="203" t="s">
        <v>1657</v>
      </c>
      <c r="G339" s="204"/>
      <c r="H339" s="205">
        <v>1</v>
      </c>
      <c r="I339" s="205"/>
      <c r="J339" s="205"/>
      <c r="K339" s="206" t="s">
        <v>115</v>
      </c>
      <c r="L339" s="205"/>
      <c r="M339" s="205"/>
      <c r="N339" s="205"/>
      <c r="O339" s="206"/>
      <c r="P339" s="206"/>
      <c r="Q339" s="206"/>
      <c r="R339" s="206"/>
      <c r="S339" s="206"/>
      <c r="T339" s="206"/>
      <c r="U339" s="206"/>
      <c r="V339" s="206"/>
      <c r="W339" s="206"/>
      <c r="X339" s="206"/>
      <c r="Y339" s="184"/>
      <c r="Z339" s="184"/>
      <c r="AA339" s="208"/>
      <c r="AB339" s="208"/>
      <c r="AC339" s="185"/>
      <c r="AD339" s="650"/>
      <c r="AE339" s="205"/>
      <c r="AF339" s="333"/>
      <c r="AG339" s="205"/>
      <c r="AH339" s="205"/>
      <c r="AI339" s="205"/>
      <c r="AJ339" s="641"/>
      <c r="AK339" s="205"/>
      <c r="AL339" s="496"/>
      <c r="AM339" s="496"/>
      <c r="AN339" s="627"/>
      <c r="AO339" s="205"/>
      <c r="AP339" s="205"/>
      <c r="AQ339" s="333" t="str">
        <f>UPPER(RIGHT(Journal_Live[[#This Row],[DURATION ]]))</f>
        <v/>
      </c>
      <c r="AR339" s="205"/>
      <c r="AS339" s="211"/>
      <c r="AT339" s="189"/>
      <c r="AU339" s="187"/>
      <c r="AV339" s="190"/>
      <c r="AW339" s="213"/>
      <c r="AX339" s="413"/>
      <c r="AY339" s="413"/>
      <c r="AZ339" s="413"/>
      <c r="BA339" s="413"/>
      <c r="BB339" s="413"/>
      <c r="BC339" s="413"/>
      <c r="BD339" s="413"/>
      <c r="BE339" s="413"/>
      <c r="BF339" s="427"/>
      <c r="BG339" s="391">
        <f>SUM($AV$4:AV339)</f>
        <v>2559.2850000000303</v>
      </c>
      <c r="BH339" s="392">
        <f>SUM($AU$134:AU339)</f>
        <v>1036.5900000000013</v>
      </c>
      <c r="BI339" s="318">
        <f>SUMIFS($AU$134:AU340,$Q$134:Q340,"F")</f>
        <v>-1262.8</v>
      </c>
      <c r="BJ339" s="318">
        <f>SUMIFS($AU$134:AU340,$Q$134:Q340,"S")</f>
        <v>1998.149999999999</v>
      </c>
      <c r="BK339" s="343">
        <f>SUMIFS($AU$134:AU340,$P$134:P340,"W")</f>
        <v>2665.2899999999927</v>
      </c>
      <c r="BL339" s="343">
        <f>SUMIFS($AU$134:AU340,$P$134:P340,"R")</f>
        <v>-1628.6999999999916</v>
      </c>
      <c r="BM339" s="343">
        <f>SUMIFS($AU$134:AU340,$AQ$134:AQ340,"M")</f>
        <v>-34.699999999995292</v>
      </c>
      <c r="BN339" s="343">
        <f>SUMIFS($AU$134:AU340,$AQ$134:AQ340,"H")</f>
        <v>703.20000000001494</v>
      </c>
      <c r="BO339" s="343">
        <f>SUMIFS($AU$134:AU340,$AQ$134:AQ340,"D")</f>
        <v>552.94999999999948</v>
      </c>
      <c r="BP339" s="343">
        <f>SUMIFS($AU$134:AU342,$AQ$134:AQ342,"W")</f>
        <v>-1270.7</v>
      </c>
      <c r="BQ339" s="343">
        <f>SUMIFS($AU$134:AU340,$Q$134:Q340,"O")</f>
        <v>102.04000000000158</v>
      </c>
      <c r="BR339" s="343">
        <f>SUMIFS($AU$134:AU340,$AA$134:AA340,"*")</f>
        <v>2100.1500000000306</v>
      </c>
      <c r="BS339" s="343">
        <f>SUMIFS($AU$134:AU340,$AB$134:AB340,"*")</f>
        <v>46.839999999975959</v>
      </c>
      <c r="BT339" s="343">
        <f>SUMIFS($AU$134:AU340,$AC$134:AC340,"*")</f>
        <v>-578.75000000000102</v>
      </c>
      <c r="BU339" s="343">
        <f>SUMIFS($AU$134:AU340,$AA$134:AA340,"*",$AB$134:AB340,"*")</f>
        <v>-236.49999999999511</v>
      </c>
      <c r="BV339" s="343">
        <f>SUMIFS($AU$134:AU340,$AA$134:AA340,"*",$AC$134:AC340,"*")</f>
        <v>618.349999999999</v>
      </c>
      <c r="BW339" s="343">
        <f>SUMIFS($AU$134:AU340,$AB$134:AB340,"*",$AC$134:AC340,"*")</f>
        <v>30.299999999999642</v>
      </c>
      <c r="BX339" s="343">
        <f>SUMIFS($AU340:AU$1388,$Q340:Q$1388,"F")</f>
        <v>15703.466666666667</v>
      </c>
      <c r="BY339" s="343">
        <f>SUMIFS($AU340:AU$1388,$Q340:Q$1388,"S")</f>
        <v>18673.492000000002</v>
      </c>
      <c r="BZ339" s="343">
        <f>SUMIFS($AU340:AU$1388,$Q340:Q$1388,"O")</f>
        <v>-1750.8979999998</v>
      </c>
    </row>
    <row r="340" spans="1:78" ht="15.75" customHeight="1">
      <c r="A340" s="221" t="s">
        <v>1523</v>
      </c>
      <c r="B340" s="200"/>
      <c r="C340" s="178"/>
      <c r="D340" s="178"/>
      <c r="E340" s="247" t="s">
        <v>1658</v>
      </c>
      <c r="F340" s="180" t="s">
        <v>1659</v>
      </c>
      <c r="G340" s="181"/>
      <c r="H340" s="182"/>
      <c r="I340" s="182"/>
      <c r="J340" s="182"/>
      <c r="K340" s="183"/>
      <c r="L340" s="182"/>
      <c r="M340" s="182"/>
      <c r="N340" s="182"/>
      <c r="O340" s="183"/>
      <c r="P340" s="183"/>
      <c r="Q340" s="183"/>
      <c r="R340" s="183"/>
      <c r="S340" s="183"/>
      <c r="T340" s="183"/>
      <c r="U340" s="183"/>
      <c r="V340" s="183"/>
      <c r="W340" s="183"/>
      <c r="X340" s="183"/>
      <c r="Y340" s="274"/>
      <c r="Z340" s="274"/>
      <c r="AA340" s="185"/>
      <c r="AB340" s="185"/>
      <c r="AC340" s="185"/>
      <c r="AD340" s="649"/>
      <c r="AE340" s="182"/>
      <c r="AF340" s="332"/>
      <c r="AG340" s="182"/>
      <c r="AH340" s="182"/>
      <c r="AI340" s="182"/>
      <c r="AJ340" s="640"/>
      <c r="AK340" s="182"/>
      <c r="AL340" s="496"/>
      <c r="AM340" s="496"/>
      <c r="AN340" s="626"/>
      <c r="AO340" s="182"/>
      <c r="AP340" s="182"/>
      <c r="AQ340" s="332" t="str">
        <f>UPPER(RIGHT(Journal_Live[[#This Row],[DURATION ]]))</f>
        <v/>
      </c>
      <c r="AR340" s="182"/>
      <c r="AS340" s="189"/>
      <c r="AT340" s="189"/>
      <c r="AU340" s="187"/>
      <c r="AV340" s="190"/>
      <c r="AW340" s="191"/>
      <c r="AX340" s="407" t="s">
        <v>1660</v>
      </c>
      <c r="AY340" s="407"/>
      <c r="AZ340" s="407"/>
      <c r="BA340" s="407"/>
      <c r="BB340" s="407"/>
      <c r="BC340" s="407"/>
      <c r="BD340" s="407"/>
      <c r="BE340" s="407"/>
      <c r="BF340" s="422"/>
      <c r="BG340" s="391">
        <f>SUM($AV$4:AV340)</f>
        <v>2559.2850000000303</v>
      </c>
      <c r="BH340" s="392">
        <f>SUM($AU$134:AU340)</f>
        <v>1036.5900000000013</v>
      </c>
      <c r="BI340" s="318">
        <f>SUMIFS($AU$134:AU341,$Q$134:Q341,"F")</f>
        <v>-1262.8</v>
      </c>
      <c r="BJ340" s="318">
        <f>SUMIFS($AU$134:AU341,$Q$134:Q341,"S")</f>
        <v>1998.149999999999</v>
      </c>
      <c r="BK340" s="343">
        <f>SUMIFS($AU$134:AU341,$P$134:P341,"W")</f>
        <v>2665.2899999999927</v>
      </c>
      <c r="BL340" s="343">
        <f>SUMIFS($AU$134:AU341,$P$134:P341,"R")</f>
        <v>-1628.6999999999916</v>
      </c>
      <c r="BM340" s="343">
        <f>SUMIFS($AU$134:AU341,$AQ$134:AQ341,"M")</f>
        <v>-34.699999999995292</v>
      </c>
      <c r="BN340" s="343">
        <f>SUMIFS($AU$134:AU341,$AQ$134:AQ341,"H")</f>
        <v>703.20000000001494</v>
      </c>
      <c r="BO340" s="343">
        <f>SUMIFS($AU$134:AU341,$AQ$134:AQ341,"D")</f>
        <v>552.94999999999948</v>
      </c>
      <c r="BP340" s="343">
        <f>SUMIFS($AU$134:AU343,$AQ$134:AQ343,"W")</f>
        <v>-1270.7</v>
      </c>
      <c r="BQ340" s="343">
        <f>SUMIFS($AU$134:AU341,$Q$134:Q341,"O")</f>
        <v>102.04000000000158</v>
      </c>
      <c r="BR340" s="343">
        <f>SUMIFS($AU$134:AU341,$AA$134:AA341,"*")</f>
        <v>2100.1500000000306</v>
      </c>
      <c r="BS340" s="343">
        <f>SUMIFS($AU$134:AU341,$AB$134:AB341,"*")</f>
        <v>46.839999999975959</v>
      </c>
      <c r="BT340" s="343">
        <f>SUMIFS($AU$134:AU341,$AC$134:AC341,"*")</f>
        <v>-578.75000000000102</v>
      </c>
      <c r="BU340" s="343">
        <f>SUMIFS($AU$134:AU341,$AA$134:AA341,"*",$AB$134:AB341,"*")</f>
        <v>-236.49999999999511</v>
      </c>
      <c r="BV340" s="343">
        <f>SUMIFS($AU$134:AU341,$AA$134:AA341,"*",$AC$134:AC341,"*")</f>
        <v>618.349999999999</v>
      </c>
      <c r="BW340" s="343">
        <f>SUMIFS($AU$134:AU341,$AB$134:AB341,"*",$AC$134:AC341,"*")</f>
        <v>30.299999999999642</v>
      </c>
      <c r="BX340" s="343">
        <f>SUMIFS($AU341:AU$1388,$Q341:Q$1388,"F")</f>
        <v>15703.466666666667</v>
      </c>
      <c r="BY340" s="343">
        <f>SUMIFS($AU341:AU$1388,$Q341:Q$1388,"S")</f>
        <v>18673.492000000002</v>
      </c>
      <c r="BZ340" s="343">
        <f>SUMIFS($AU341:AU$1388,$Q341:Q$1388,"O")</f>
        <v>-1750.8979999998</v>
      </c>
    </row>
    <row r="341" spans="1:78" ht="15.75" customHeight="1">
      <c r="A341" s="221" t="s">
        <v>1523</v>
      </c>
      <c r="B341" s="200">
        <v>44995</v>
      </c>
      <c r="C341" s="201" t="s">
        <v>682</v>
      </c>
      <c r="D341" s="201" t="s">
        <v>111</v>
      </c>
      <c r="E341" s="247"/>
      <c r="F341" s="203"/>
      <c r="G341" s="181" t="s">
        <v>365</v>
      </c>
      <c r="H341" s="205"/>
      <c r="I341" s="205"/>
      <c r="J341" s="205"/>
      <c r="K341" s="206"/>
      <c r="L341" s="205"/>
      <c r="M341" s="205"/>
      <c r="N341" s="205"/>
      <c r="O341" s="206"/>
      <c r="P341" s="206"/>
      <c r="Q341" s="206"/>
      <c r="R341" s="206"/>
      <c r="S341" s="206"/>
      <c r="T341" s="206"/>
      <c r="U341" s="206"/>
      <c r="V341" s="206"/>
      <c r="W341" s="206"/>
      <c r="X341" s="206"/>
      <c r="Y341" s="184"/>
      <c r="Z341" s="184"/>
      <c r="AA341" s="208"/>
      <c r="AB341" s="208"/>
      <c r="AC341" s="185"/>
      <c r="AD341" s="650"/>
      <c r="AE341" s="205"/>
      <c r="AF341" s="333"/>
      <c r="AG341" s="205"/>
      <c r="AH341" s="205"/>
      <c r="AI341" s="205"/>
      <c r="AJ341" s="641"/>
      <c r="AK341" s="205"/>
      <c r="AL341" s="496"/>
      <c r="AM341" s="496"/>
      <c r="AN341" s="627"/>
      <c r="AO341" s="205"/>
      <c r="AP341" s="205"/>
      <c r="AQ341" s="333" t="str">
        <f>UPPER(RIGHT(Journal_Live[[#This Row],[DURATION ]]))</f>
        <v/>
      </c>
      <c r="AR341" s="205"/>
      <c r="AS341" s="211"/>
      <c r="AT341" s="189"/>
      <c r="AU341" s="187"/>
      <c r="AV341" s="190"/>
      <c r="AW341" s="213"/>
      <c r="AX341" s="413" t="s">
        <v>1661</v>
      </c>
      <c r="AY341" s="413"/>
      <c r="AZ341" s="413"/>
      <c r="BA341" s="413" t="s">
        <v>1662</v>
      </c>
      <c r="BB341" s="413" t="s">
        <v>529</v>
      </c>
      <c r="BC341" s="413"/>
      <c r="BD341" s="413"/>
      <c r="BE341" s="413"/>
      <c r="BF341" s="427"/>
      <c r="BG341" s="391">
        <f>SUM($AV$4:AV341)</f>
        <v>2559.2850000000303</v>
      </c>
      <c r="BH341" s="392">
        <f>SUM($AU$134:AU341)</f>
        <v>1036.5900000000013</v>
      </c>
      <c r="BI341" s="318">
        <f>SUMIFS($AU$134:AU342,$Q$134:Q342,"F")</f>
        <v>-1815.8</v>
      </c>
      <c r="BJ341" s="318">
        <f>SUMIFS($AU$134:AU342,$Q$134:Q342,"S")</f>
        <v>1998.149999999999</v>
      </c>
      <c r="BK341" s="343">
        <f>SUMIFS($AU$134:AU342,$P$134:P342,"W")</f>
        <v>2112.2899999999927</v>
      </c>
      <c r="BL341" s="343">
        <f>SUMIFS($AU$134:AU342,$P$134:P342,"R")</f>
        <v>-1628.6999999999916</v>
      </c>
      <c r="BM341" s="343">
        <f>SUMIFS($AU$134:AU342,$AQ$134:AQ342,"M")</f>
        <v>-34.699999999995292</v>
      </c>
      <c r="BN341" s="343">
        <f>SUMIFS($AU$134:AU342,$AQ$134:AQ342,"H")</f>
        <v>703.20000000001494</v>
      </c>
      <c r="BO341" s="343">
        <f>SUMIFS($AU$134:AU342,$AQ$134:AQ342,"D")</f>
        <v>-5.0000000000522959E-2</v>
      </c>
      <c r="BP341" s="343">
        <f>SUMIFS($AU$134:AU344,$AQ$134:AQ344,"W")</f>
        <v>-1270.7</v>
      </c>
      <c r="BQ341" s="343">
        <f>SUMIFS($AU$134:AU342,$Q$134:Q342,"O")</f>
        <v>102.04000000000158</v>
      </c>
      <c r="BR341" s="343">
        <f>SUMIFS($AU$134:AU342,$AA$134:AA342,"*")</f>
        <v>2100.1500000000306</v>
      </c>
      <c r="BS341" s="343">
        <f>SUMIFS($AU$134:AU342,$AB$134:AB342,"*")</f>
        <v>46.839999999975959</v>
      </c>
      <c r="BT341" s="343">
        <f>SUMIFS($AU$134:AU342,$AC$134:AC342,"*")</f>
        <v>-1131.7500000000009</v>
      </c>
      <c r="BU341" s="343">
        <f>SUMIFS($AU$134:AU342,$AA$134:AA342,"*",$AB$134:AB342,"*")</f>
        <v>-236.49999999999511</v>
      </c>
      <c r="BV341" s="343">
        <f>SUMIFS($AU$134:AU342,$AA$134:AA342,"*",$AC$134:AC342,"*")</f>
        <v>618.349999999999</v>
      </c>
      <c r="BW341" s="343">
        <f>SUMIFS($AU$134:AU342,$AB$134:AB342,"*",$AC$134:AC342,"*")</f>
        <v>30.299999999999642</v>
      </c>
      <c r="BX341" s="343">
        <f>SUMIFS($AU342:AU$1388,$Q342:Q$1388,"F")</f>
        <v>15703.466666666667</v>
      </c>
      <c r="BY341" s="343">
        <f>SUMIFS($AU342:AU$1388,$Q342:Q$1388,"S")</f>
        <v>18673.492000000002</v>
      </c>
      <c r="BZ341" s="343">
        <f>SUMIFS($AU342:AU$1388,$Q342:Q$1388,"O")</f>
        <v>-1750.8979999998</v>
      </c>
    </row>
    <row r="342" spans="1:78" ht="15.75" customHeight="1">
      <c r="A342" s="221" t="s">
        <v>1523</v>
      </c>
      <c r="B342" s="200">
        <v>44995</v>
      </c>
      <c r="C342" s="201" t="s">
        <v>1663</v>
      </c>
      <c r="D342" s="201" t="s">
        <v>111</v>
      </c>
      <c r="E342" s="247"/>
      <c r="F342" s="203"/>
      <c r="G342" s="314" t="s">
        <v>1664</v>
      </c>
      <c r="H342" s="205"/>
      <c r="I342" s="205"/>
      <c r="J342" s="205"/>
      <c r="K342" s="206"/>
      <c r="L342" s="205">
        <v>3</v>
      </c>
      <c r="M342" s="205">
        <v>3</v>
      </c>
      <c r="N342" s="205"/>
      <c r="O342" s="206" t="s">
        <v>95</v>
      </c>
      <c r="P342" s="206" t="s">
        <v>96</v>
      </c>
      <c r="Q342" s="206" t="s">
        <v>256</v>
      </c>
      <c r="R342" s="206">
        <v>5</v>
      </c>
      <c r="S342" s="206">
        <v>5</v>
      </c>
      <c r="T342" s="206">
        <v>5</v>
      </c>
      <c r="U342" s="206" t="s">
        <v>22</v>
      </c>
      <c r="V342" s="206"/>
      <c r="W342" s="206"/>
      <c r="X342" s="206"/>
      <c r="Y342" s="184">
        <f t="shared" ref="Y342:Y373" si="140">IF(ISBLANK(O342),"",(IF(O342=UPPER("IB"),0.005,0.01)))</f>
        <v>0.01</v>
      </c>
      <c r="Z342" s="184">
        <f t="shared" ref="Z342:Z347" si="141">IF(ISBLANK(O342),"",IF(O342=UPPER("IB"),8.63*200,15.8*100))</f>
        <v>1580</v>
      </c>
      <c r="AA342" s="208"/>
      <c r="AB342" s="208"/>
      <c r="AC342" s="185" t="s">
        <v>1665</v>
      </c>
      <c r="AD342" s="650">
        <v>0.03</v>
      </c>
      <c r="AE342" s="205"/>
      <c r="AF342" s="333">
        <v>-1</v>
      </c>
      <c r="AG342" s="205" t="s">
        <v>1666</v>
      </c>
      <c r="AH342" s="205" t="s">
        <v>1667</v>
      </c>
      <c r="AI342" s="205" t="s">
        <v>1668</v>
      </c>
      <c r="AJ342" s="641" t="s">
        <v>1669</v>
      </c>
      <c r="AK342" s="205"/>
      <c r="AL342" s="496">
        <f>-0.04*Z342</f>
        <v>-63.2</v>
      </c>
      <c r="AM342" s="496">
        <f>AL342*R342</f>
        <v>-316</v>
      </c>
      <c r="AN342" s="627"/>
      <c r="AO342" s="205"/>
      <c r="AP342" s="205" t="s">
        <v>804</v>
      </c>
      <c r="AQ342" s="333" t="str">
        <f>UPPER(RIGHT(Journal_Live[[#This Row],[DURATION ]]))</f>
        <v>D</v>
      </c>
      <c r="AR342" s="205" t="s">
        <v>1670</v>
      </c>
      <c r="AS342" s="211">
        <v>-0.04</v>
      </c>
      <c r="AT342" s="189">
        <f>IF(ISBLANK(AS342),,IF(U342="S",AD342-AS342,AS342-AD342))</f>
        <v>-7.0000000000000007E-2</v>
      </c>
      <c r="AU342" s="187">
        <f>AV342*R342</f>
        <v>-553</v>
      </c>
      <c r="AV342" s="190">
        <f>IF(ISBLANK(AS342),,(AT342*Z342))</f>
        <v>-110.60000000000001</v>
      </c>
      <c r="AW342" s="213" t="s">
        <v>229</v>
      </c>
      <c r="AX342" s="413" t="s">
        <v>1671</v>
      </c>
      <c r="AY342" s="413" t="s">
        <v>1672</v>
      </c>
      <c r="AZ342" s="413"/>
      <c r="BA342" s="413" t="s">
        <v>1673</v>
      </c>
      <c r="BB342" s="413" t="s">
        <v>1626</v>
      </c>
      <c r="BC342" s="413" t="s">
        <v>1674</v>
      </c>
      <c r="BD342" s="413" t="s">
        <v>529</v>
      </c>
      <c r="BE342" s="413"/>
      <c r="BF342" s="427"/>
      <c r="BG342" s="391">
        <f>SUM($AV$4:AV342)</f>
        <v>2448.6850000000304</v>
      </c>
      <c r="BH342" s="392">
        <f>SUM($AU$134:AU342)</f>
        <v>483.59000000000128</v>
      </c>
      <c r="BI342" s="318">
        <f>SUMIFS($AU$134:AU343,$Q$134:Q343,"F")</f>
        <v>-1815.8</v>
      </c>
      <c r="BJ342" s="318">
        <f>SUMIFS($AU$134:AU343,$Q$134:Q343,"S")</f>
        <v>1998.149999999999</v>
      </c>
      <c r="BK342" s="343">
        <f>SUMIFS($AU$134:AU343,$P$134:P343,"W")</f>
        <v>2112.2899999999927</v>
      </c>
      <c r="BL342" s="343">
        <f>SUMIFS($AU$134:AU343,$P$134:P343,"R")</f>
        <v>-1628.6999999999916</v>
      </c>
      <c r="BM342" s="343">
        <f>SUMIFS($AU$134:AU343,$AQ$134:AQ343,"M")</f>
        <v>-34.699999999995292</v>
      </c>
      <c r="BN342" s="343">
        <f>SUMIFS($AU$134:AU343,$AQ$134:AQ343,"H")</f>
        <v>703.20000000001494</v>
      </c>
      <c r="BO342" s="343">
        <f>SUMIFS($AU$134:AU343,$AQ$134:AQ343,"D")</f>
        <v>-5.0000000000522959E-2</v>
      </c>
      <c r="BP342" s="343">
        <f>SUMIFS($AU$134:AU345,$AQ$134:AQ345,"W")</f>
        <v>-1270.7</v>
      </c>
      <c r="BQ342" s="343">
        <f>SUMIFS($AU$134:AU343,$Q$134:Q343,"O")</f>
        <v>102.04000000000158</v>
      </c>
      <c r="BR342" s="343">
        <f>SUMIFS($AU$134:AU343,$AA$134:AA343,"*")</f>
        <v>2100.1500000000306</v>
      </c>
      <c r="BS342" s="343">
        <f>SUMIFS($AU$134:AU343,$AB$134:AB343,"*")</f>
        <v>46.839999999975959</v>
      </c>
      <c r="BT342" s="343">
        <f>SUMIFS($AU$134:AU343,$AC$134:AC343,"*")</f>
        <v>-1131.7500000000009</v>
      </c>
      <c r="BU342" s="343">
        <f>SUMIFS($AU$134:AU343,$AA$134:AA343,"*",$AB$134:AB343,"*")</f>
        <v>-236.49999999999511</v>
      </c>
      <c r="BV342" s="343">
        <f>SUMIFS($AU$134:AU343,$AA$134:AA343,"*",$AC$134:AC343,"*")</f>
        <v>618.349999999999</v>
      </c>
      <c r="BW342" s="343">
        <f>SUMIFS($AU$134:AU343,$AB$134:AB343,"*",$AC$134:AC343,"*")</f>
        <v>30.299999999999642</v>
      </c>
      <c r="BX342" s="343">
        <f>SUMIFS($AU343:AU$1388,$Q343:Q$1388,"F")</f>
        <v>16256.466666666669</v>
      </c>
      <c r="BY342" s="343">
        <f>SUMIFS($AU343:AU$1388,$Q343:Q$1388,"S")</f>
        <v>18673.492000000002</v>
      </c>
      <c r="BZ342" s="343">
        <f>SUMIFS($AU343:AU$1388,$Q343:Q$1388,"O")</f>
        <v>-1750.8979999998</v>
      </c>
    </row>
    <row r="343" spans="1:78" ht="15.75" customHeight="1">
      <c r="A343" s="221" t="s">
        <v>1523</v>
      </c>
      <c r="B343" s="200">
        <v>44996</v>
      </c>
      <c r="C343" s="201" t="s">
        <v>1675</v>
      </c>
      <c r="D343" s="201" t="s">
        <v>1676</v>
      </c>
      <c r="E343" s="247"/>
      <c r="F343" s="203"/>
      <c r="G343" s="314" t="s">
        <v>133</v>
      </c>
      <c r="H343" s="205"/>
      <c r="I343" s="205"/>
      <c r="J343" s="205"/>
      <c r="K343" s="206"/>
      <c r="L343" s="205">
        <v>1</v>
      </c>
      <c r="M343" s="205"/>
      <c r="N343" s="205"/>
      <c r="O343" s="206" t="s">
        <v>95</v>
      </c>
      <c r="P343" s="206" t="s">
        <v>96</v>
      </c>
      <c r="Q343" s="206" t="s">
        <v>97</v>
      </c>
      <c r="R343" s="206">
        <v>7</v>
      </c>
      <c r="S343" s="206">
        <v>7</v>
      </c>
      <c r="T343" s="206">
        <v>7</v>
      </c>
      <c r="U343" s="206" t="s">
        <v>22</v>
      </c>
      <c r="V343" s="206"/>
      <c r="W343" s="206"/>
      <c r="X343" s="206"/>
      <c r="Y343" s="184">
        <f t="shared" si="140"/>
        <v>0.01</v>
      </c>
      <c r="Z343" s="184">
        <f t="shared" si="141"/>
        <v>1580</v>
      </c>
      <c r="AA343" s="208" t="s">
        <v>1552</v>
      </c>
      <c r="AB343" s="208"/>
      <c r="AC343" s="208"/>
      <c r="AD343" s="650">
        <v>-0.04</v>
      </c>
      <c r="AE343" s="205"/>
      <c r="AF343" s="333">
        <v>-7.0000000000000007E-2</v>
      </c>
      <c r="AG343" s="205" t="s">
        <v>1677</v>
      </c>
      <c r="AH343" s="205" t="s">
        <v>1678</v>
      </c>
      <c r="AI343" s="205" t="s">
        <v>1552</v>
      </c>
      <c r="AJ343" s="641"/>
      <c r="AK343" s="205"/>
      <c r="AL343" s="496">
        <f t="shared" ref="AL343" si="142">-0.04*Z343</f>
        <v>-63.2</v>
      </c>
      <c r="AM343" s="496">
        <f>AL343*R343</f>
        <v>-442.40000000000003</v>
      </c>
      <c r="AN343" s="627"/>
      <c r="AO343" s="205"/>
      <c r="AP343" s="205" t="s">
        <v>967</v>
      </c>
      <c r="AQ343" s="333" t="str">
        <f>UPPER(RIGHT(Journal_Live[[#This Row],[DURATION ]]))</f>
        <v>H</v>
      </c>
      <c r="AR343" s="205" t="s">
        <v>1679</v>
      </c>
      <c r="AS343" s="211">
        <v>-0.04</v>
      </c>
      <c r="AT343" s="189">
        <f>IF(ISBLANK(AS343),,IF(U343="S",AD343-AS343,AS343-AD343))</f>
        <v>0</v>
      </c>
      <c r="AU343" s="187">
        <f>AV343*R343</f>
        <v>0</v>
      </c>
      <c r="AV343" s="190">
        <f>IF(ISBLANK(AS343),,(AT343*Z343))</f>
        <v>0</v>
      </c>
      <c r="AW343" s="213" t="s">
        <v>115</v>
      </c>
      <c r="AX343" s="413" t="s">
        <v>1680</v>
      </c>
      <c r="AY343" s="413" t="s">
        <v>1681</v>
      </c>
      <c r="AZ343" s="413"/>
      <c r="BA343" s="413"/>
      <c r="BB343" s="413"/>
      <c r="BC343" s="413"/>
      <c r="BD343" s="413"/>
      <c r="BE343" s="413"/>
      <c r="BF343" s="427"/>
      <c r="BG343" s="391">
        <f>SUM($AV$4:AV343)</f>
        <v>2448.6850000000304</v>
      </c>
      <c r="BH343" s="392">
        <f>SUM($AU$134:AU343)</f>
        <v>483.59000000000128</v>
      </c>
      <c r="BI343" s="318">
        <f>SUMIFS($AU$134:AU344,$Q$134:Q344,"F")</f>
        <v>-1815.8</v>
      </c>
      <c r="BJ343" s="318">
        <f>SUMIFS($AU$134:AU344,$Q$134:Q344,"S")</f>
        <v>2124.5499999999988</v>
      </c>
      <c r="BK343" s="343">
        <f>SUMIFS($AU$134:AU344,$P$134:P344,"W")</f>
        <v>2238.6899999999928</v>
      </c>
      <c r="BL343" s="343">
        <f>SUMIFS($AU$134:AU344,$P$134:P344,"R")</f>
        <v>-1628.6999999999916</v>
      </c>
      <c r="BM343" s="343">
        <f>SUMIFS($AU$134:AU344,$AQ$134:AQ344,"M")</f>
        <v>-34.699999999995292</v>
      </c>
      <c r="BN343" s="343">
        <f>SUMIFS($AU$134:AU344,$AQ$134:AQ344,"H")</f>
        <v>829.60000000001492</v>
      </c>
      <c r="BO343" s="343">
        <f>SUMIFS($AU$134:AU344,$AQ$134:AQ344,"D")</f>
        <v>-5.0000000000522959E-2</v>
      </c>
      <c r="BP343" s="343">
        <f>SUMIFS($AU$134:AU346,$AQ$134:AQ346,"W")</f>
        <v>-1270.7</v>
      </c>
      <c r="BQ343" s="343">
        <f>SUMIFS($AU$134:AU344,$Q$134:Q344,"O")</f>
        <v>102.04000000000158</v>
      </c>
      <c r="BR343" s="343">
        <f>SUMIFS($AU$134:AU344,$AA$134:AA344,"*")</f>
        <v>2100.1500000000306</v>
      </c>
      <c r="BS343" s="343">
        <f>SUMIFS($AU$134:AU344,$AB$134:AB344,"*")</f>
        <v>46.839999999975959</v>
      </c>
      <c r="BT343" s="343">
        <f>SUMIFS($AU$134:AU344,$AC$134:AC344,"*")</f>
        <v>-1131.7500000000009</v>
      </c>
      <c r="BU343" s="343">
        <f>SUMIFS($AU$134:AU344,$AA$134:AA344,"*",$AB$134:AB344,"*")</f>
        <v>-236.49999999999511</v>
      </c>
      <c r="BV343" s="343">
        <f>SUMIFS($AU$134:AU344,$AA$134:AA344,"*",$AC$134:AC344,"*")</f>
        <v>618.349999999999</v>
      </c>
      <c r="BW343" s="343">
        <f>SUMIFS($AU$134:AU344,$AB$134:AB344,"*",$AC$134:AC344,"*")</f>
        <v>30.299999999999642</v>
      </c>
      <c r="BX343" s="343">
        <f>SUMIFS($AU344:AU$1388,$Q344:Q$1388,"F")</f>
        <v>16256.466666666669</v>
      </c>
      <c r="BY343" s="343">
        <f>SUMIFS($AU344:AU$1388,$Q344:Q$1388,"S")</f>
        <v>18673.492000000002</v>
      </c>
      <c r="BZ343" s="343">
        <f>SUMIFS($AU344:AU$1388,$Q344:Q$1388,"O")</f>
        <v>-1750.8979999998</v>
      </c>
    </row>
    <row r="344" spans="1:78" ht="15.75" customHeight="1">
      <c r="A344" s="221" t="s">
        <v>1523</v>
      </c>
      <c r="B344" s="200">
        <v>44996</v>
      </c>
      <c r="C344" s="201" t="s">
        <v>1643</v>
      </c>
      <c r="D344" s="201" t="s">
        <v>1676</v>
      </c>
      <c r="E344" s="247"/>
      <c r="F344" s="203"/>
      <c r="G344" s="314" t="s">
        <v>365</v>
      </c>
      <c r="H344" s="205"/>
      <c r="I344" s="205"/>
      <c r="J344" s="205"/>
      <c r="K344" s="206"/>
      <c r="L344" s="205">
        <v>2</v>
      </c>
      <c r="M344" s="205">
        <v>2</v>
      </c>
      <c r="N344" s="205"/>
      <c r="O344" s="206" t="s">
        <v>95</v>
      </c>
      <c r="P344" s="206" t="s">
        <v>96</v>
      </c>
      <c r="Q344" s="206" t="s">
        <v>97</v>
      </c>
      <c r="R344" s="206">
        <v>8</v>
      </c>
      <c r="S344" s="206">
        <v>8</v>
      </c>
      <c r="T344" s="206">
        <v>8</v>
      </c>
      <c r="U344" s="206" t="s">
        <v>22</v>
      </c>
      <c r="V344" s="206"/>
      <c r="W344" s="206"/>
      <c r="X344" s="206"/>
      <c r="Y344" s="184">
        <f t="shared" si="140"/>
        <v>0.01</v>
      </c>
      <c r="Z344" s="184">
        <f t="shared" si="141"/>
        <v>1580</v>
      </c>
      <c r="AA344" s="208"/>
      <c r="AB344" s="208"/>
      <c r="AC344" s="208"/>
      <c r="AD344" s="650">
        <v>-0.09</v>
      </c>
      <c r="AE344" s="205"/>
      <c r="AF344" s="333"/>
      <c r="AG344" s="205"/>
      <c r="AH344" s="205"/>
      <c r="AI344" s="205"/>
      <c r="AJ344" s="641"/>
      <c r="AK344" s="205"/>
      <c r="AL344" s="496"/>
      <c r="AM344" s="496"/>
      <c r="AN344" s="627"/>
      <c r="AO344" s="205"/>
      <c r="AP344" s="205" t="s">
        <v>967</v>
      </c>
      <c r="AQ344" s="333" t="str">
        <f>UPPER(RIGHT(Journal_Live[[#This Row],[DURATION ]]))</f>
        <v>H</v>
      </c>
      <c r="AR344" s="205" t="s">
        <v>1682</v>
      </c>
      <c r="AS344" s="211">
        <v>-0.08</v>
      </c>
      <c r="AT344" s="189">
        <f>IF(ISBLANK(AS344),,IF(U344="S",AD344-AS344,AS344-AD344))</f>
        <v>9.999999999999995E-3</v>
      </c>
      <c r="AU344" s="187">
        <f>AV344*R344</f>
        <v>126.39999999999993</v>
      </c>
      <c r="AV344" s="190">
        <f>IF(ISBLANK(AS344),,(AT344*Z344))</f>
        <v>15.799999999999992</v>
      </c>
      <c r="AW344" s="213" t="s">
        <v>96</v>
      </c>
      <c r="AX344" s="413" t="s">
        <v>1683</v>
      </c>
      <c r="AY344" s="413" t="s">
        <v>1684</v>
      </c>
      <c r="AZ344" s="413"/>
      <c r="BA344" s="413"/>
      <c r="BB344" s="413"/>
      <c r="BC344" s="413"/>
      <c r="BD344" s="413"/>
      <c r="BE344" s="413"/>
      <c r="BF344" s="427"/>
      <c r="BG344" s="391">
        <f>SUM($AV$4:AV344)</f>
        <v>2464.4850000000306</v>
      </c>
      <c r="BH344" s="392">
        <f>SUM($AU$134:AU344)</f>
        <v>609.99000000000126</v>
      </c>
      <c r="BI344" s="318">
        <f>SUMIFS($AU$134:AU345,$Q$134:Q345,"F")</f>
        <v>-2447.8000000000002</v>
      </c>
      <c r="BJ344" s="318">
        <f>SUMIFS($AU$134:AU345,$Q$134:Q345,"S")</f>
        <v>2124.5499999999988</v>
      </c>
      <c r="BK344" s="343">
        <f>SUMIFS($AU$134:AU345,$P$134:P345,"W")</f>
        <v>1606.6899999999928</v>
      </c>
      <c r="BL344" s="343">
        <f>SUMIFS($AU$134:AU345,$P$134:P345,"R")</f>
        <v>-1628.6999999999916</v>
      </c>
      <c r="BM344" s="343">
        <f>SUMIFS($AU$134:AU345,$AQ$134:AQ345,"M")</f>
        <v>-34.699999999995292</v>
      </c>
      <c r="BN344" s="343">
        <f>SUMIFS($AU$134:AU345,$AQ$134:AQ345,"H")</f>
        <v>829.60000000001492</v>
      </c>
      <c r="BO344" s="343">
        <f>SUMIFS($AU$134:AU345,$AQ$134:AQ345,"D")</f>
        <v>-632.05000000000052</v>
      </c>
      <c r="BP344" s="343">
        <f>SUMIFS($AU$134:AU347,$AQ$134:AQ347,"W")</f>
        <v>-1270.7</v>
      </c>
      <c r="BQ344" s="343">
        <f>SUMIFS($AU$134:AU345,$Q$134:Q345,"O")</f>
        <v>102.04000000000158</v>
      </c>
      <c r="BR344" s="343">
        <f>SUMIFS($AU$134:AU345,$AA$134:AA345,"*")</f>
        <v>2100.1500000000306</v>
      </c>
      <c r="BS344" s="343">
        <f>SUMIFS($AU$134:AU345,$AB$134:AB345,"*")</f>
        <v>46.839999999975959</v>
      </c>
      <c r="BT344" s="343">
        <f>SUMIFS($AU$134:AU345,$AC$134:AC345,"*")</f>
        <v>-1763.7500000000009</v>
      </c>
      <c r="BU344" s="343">
        <f>SUMIFS($AU$134:AU345,$AA$134:AA345,"*",$AB$134:AB345,"*")</f>
        <v>-236.49999999999511</v>
      </c>
      <c r="BV344" s="343">
        <f>SUMIFS($AU$134:AU345,$AA$134:AA345,"*",$AC$134:AC345,"*")</f>
        <v>618.349999999999</v>
      </c>
      <c r="BW344" s="343">
        <f>SUMIFS($AU$134:AU345,$AB$134:AB345,"*",$AC$134:AC345,"*")</f>
        <v>30.299999999999642</v>
      </c>
      <c r="BX344" s="343">
        <f>SUMIFS($AU345:AU$1388,$Q345:Q$1388,"F")</f>
        <v>16256.466666666669</v>
      </c>
      <c r="BY344" s="343">
        <f>SUMIFS($AU345:AU$1388,$Q345:Q$1388,"S")</f>
        <v>18547.092000000001</v>
      </c>
      <c r="BZ344" s="343">
        <f>SUMIFS($AU345:AU$1388,$Q345:Q$1388,"O")</f>
        <v>-1750.8979999998</v>
      </c>
    </row>
    <row r="345" spans="1:78" ht="15.75" customHeight="1">
      <c r="A345" s="221" t="s">
        <v>1523</v>
      </c>
      <c r="B345" s="200">
        <v>44998</v>
      </c>
      <c r="C345" s="201" t="s">
        <v>202</v>
      </c>
      <c r="D345" s="201" t="s">
        <v>132</v>
      </c>
      <c r="E345" s="247"/>
      <c r="F345" s="203"/>
      <c r="G345" s="314" t="s">
        <v>1685</v>
      </c>
      <c r="H345" s="205"/>
      <c r="I345" s="205"/>
      <c r="J345" s="205"/>
      <c r="K345" s="206"/>
      <c r="L345" s="205">
        <v>3</v>
      </c>
      <c r="M345" s="205">
        <v>3</v>
      </c>
      <c r="N345" s="205"/>
      <c r="O345" s="206" t="s">
        <v>95</v>
      </c>
      <c r="P345" s="206" t="s">
        <v>96</v>
      </c>
      <c r="Q345" s="206" t="s">
        <v>256</v>
      </c>
      <c r="R345" s="206">
        <v>10</v>
      </c>
      <c r="S345" s="206">
        <v>10</v>
      </c>
      <c r="T345" s="206">
        <v>5</v>
      </c>
      <c r="U345" s="206" t="s">
        <v>22</v>
      </c>
      <c r="V345" s="206"/>
      <c r="W345" s="206"/>
      <c r="X345" s="206"/>
      <c r="Y345" s="184">
        <f t="shared" si="140"/>
        <v>0.01</v>
      </c>
      <c r="Z345" s="184">
        <f t="shared" si="141"/>
        <v>1580</v>
      </c>
      <c r="AA345" s="208"/>
      <c r="AB345" s="208"/>
      <c r="AC345" s="185" t="s">
        <v>1665</v>
      </c>
      <c r="AD345" s="650">
        <v>0.02</v>
      </c>
      <c r="AE345" s="205"/>
      <c r="AF345" s="333"/>
      <c r="AG345" s="205"/>
      <c r="AH345" s="205"/>
      <c r="AI345" s="205"/>
      <c r="AJ345" s="641"/>
      <c r="AK345" s="205"/>
      <c r="AL345" s="496">
        <f>-0.04*Z345</f>
        <v>-63.2</v>
      </c>
      <c r="AM345" s="496">
        <f>AL345*R345</f>
        <v>-632</v>
      </c>
      <c r="AN345" s="627"/>
      <c r="AO345" s="205"/>
      <c r="AP345" s="205" t="s">
        <v>770</v>
      </c>
      <c r="AQ345" s="333" t="str">
        <f>UPPER(RIGHT(Journal_Live[[#This Row],[DURATION ]]))</f>
        <v>D</v>
      </c>
      <c r="AR345" s="205" t="s">
        <v>1341</v>
      </c>
      <c r="AS345" s="211">
        <v>-0.02</v>
      </c>
      <c r="AT345" s="189">
        <f>IF(ISBLANK(AS345),,IF(U345="S",AD345-AS345,AS345-AD345))</f>
        <v>-0.04</v>
      </c>
      <c r="AU345" s="187">
        <f>AV345*R345</f>
        <v>-632</v>
      </c>
      <c r="AV345" s="190">
        <f>IF(ISBLANK(AS345),,(AT345*Z345))</f>
        <v>-63.2</v>
      </c>
      <c r="AW345" s="213" t="s">
        <v>229</v>
      </c>
      <c r="AX345" s="413" t="s">
        <v>1686</v>
      </c>
      <c r="AY345" s="413" t="s">
        <v>1687</v>
      </c>
      <c r="AZ345" s="413" t="s">
        <v>1688</v>
      </c>
      <c r="BA345" s="413" t="s">
        <v>1689</v>
      </c>
      <c r="BB345" s="413" t="s">
        <v>1690</v>
      </c>
      <c r="BC345" s="413" t="s">
        <v>1691</v>
      </c>
      <c r="BD345" s="413" t="s">
        <v>529</v>
      </c>
      <c r="BE345" s="413"/>
      <c r="BF345" s="427"/>
      <c r="BG345" s="391">
        <f>SUM($AV$4:AV345)</f>
        <v>2401.2850000000308</v>
      </c>
      <c r="BH345" s="392">
        <f>SUM($AU$134:AU345)</f>
        <v>-22.00999999999874</v>
      </c>
      <c r="BI345" s="318">
        <f>SUMIFS($AU$134:AU346,$Q$134:Q346,"F")</f>
        <v>-2447.8000000000002</v>
      </c>
      <c r="BJ345" s="318">
        <f>SUMIFS($AU$134:AU346,$Q$134:Q346,"S")</f>
        <v>2124.5499999999988</v>
      </c>
      <c r="BK345" s="343">
        <f>SUMIFS($AU$134:AU346,$P$134:P346,"W")</f>
        <v>1606.6899999999928</v>
      </c>
      <c r="BL345" s="343">
        <f>SUMIFS($AU$134:AU346,$P$134:P346,"R")</f>
        <v>-1628.6999999999916</v>
      </c>
      <c r="BM345" s="343">
        <f>SUMIFS($AU$134:AU346,$AQ$134:AQ346,"M")</f>
        <v>-34.699999999995292</v>
      </c>
      <c r="BN345" s="343">
        <f>SUMIFS($AU$134:AU346,$AQ$134:AQ346,"H")</f>
        <v>829.60000000001492</v>
      </c>
      <c r="BO345" s="343">
        <f>SUMIFS($AU$134:AU346,$AQ$134:AQ346,"D")</f>
        <v>-632.05000000000052</v>
      </c>
      <c r="BP345" s="343">
        <f>SUMIFS($AU$134:AU348,$AQ$134:AQ348,"W")</f>
        <v>-1270.7</v>
      </c>
      <c r="BQ345" s="343">
        <f>SUMIFS($AU$134:AU346,$Q$134:Q346,"O")</f>
        <v>102.04000000000158</v>
      </c>
      <c r="BR345" s="343">
        <f>SUMIFS($AU$134:AU346,$AA$134:AA346,"*")</f>
        <v>2100.1500000000306</v>
      </c>
      <c r="BS345" s="343">
        <f>SUMIFS($AU$134:AU346,$AB$134:AB346,"*")</f>
        <v>46.839999999975959</v>
      </c>
      <c r="BT345" s="343">
        <f>SUMIFS($AU$134:AU346,$AC$134:AC346,"*")</f>
        <v>-1763.7500000000009</v>
      </c>
      <c r="BU345" s="343">
        <f>SUMIFS($AU$134:AU346,$AA$134:AA346,"*",$AB$134:AB346,"*")</f>
        <v>-236.49999999999511</v>
      </c>
      <c r="BV345" s="343">
        <f>SUMIFS($AU$134:AU346,$AA$134:AA346,"*",$AC$134:AC346,"*")</f>
        <v>618.349999999999</v>
      </c>
      <c r="BW345" s="343">
        <f>SUMIFS($AU$134:AU346,$AB$134:AB346,"*",$AC$134:AC346,"*")</f>
        <v>30.299999999999642</v>
      </c>
      <c r="BX345" s="343">
        <f>SUMIFS($AU346:AU$1388,$Q346:Q$1388,"F")</f>
        <v>16888.466666666671</v>
      </c>
      <c r="BY345" s="343">
        <f>SUMIFS($AU346:AU$1388,$Q346:Q$1388,"S")</f>
        <v>18547.092000000001</v>
      </c>
      <c r="BZ345" s="343">
        <f>SUMIFS($AU346:AU$1388,$Q346:Q$1388,"O")</f>
        <v>-1750.8979999998</v>
      </c>
    </row>
    <row r="346" spans="1:78" ht="15.75" customHeight="1">
      <c r="A346" s="221" t="s">
        <v>1523</v>
      </c>
      <c r="B346" s="200"/>
      <c r="C346" s="201"/>
      <c r="D346" s="201"/>
      <c r="E346" s="247"/>
      <c r="F346" s="203"/>
      <c r="G346" s="204"/>
      <c r="H346" s="205"/>
      <c r="I346" s="205"/>
      <c r="J346" s="205"/>
      <c r="K346" s="206"/>
      <c r="L346" s="205"/>
      <c r="M346" s="205"/>
      <c r="N346" s="205"/>
      <c r="O346" s="206"/>
      <c r="P346" s="206"/>
      <c r="Q346" s="206"/>
      <c r="R346" s="206"/>
      <c r="S346" s="206"/>
      <c r="T346" s="206"/>
      <c r="U346" s="206"/>
      <c r="V346" s="206"/>
      <c r="W346" s="206"/>
      <c r="X346" s="206"/>
      <c r="Y346" s="184" t="str">
        <f t="shared" si="140"/>
        <v/>
      </c>
      <c r="Z346" s="184" t="str">
        <f t="shared" si="141"/>
        <v/>
      </c>
      <c r="AA346" s="208"/>
      <c r="AB346" s="208"/>
      <c r="AC346" s="208"/>
      <c r="AD346" s="650"/>
      <c r="AE346" s="205"/>
      <c r="AF346" s="333"/>
      <c r="AG346" s="205"/>
      <c r="AH346" s="205"/>
      <c r="AI346" s="205"/>
      <c r="AJ346" s="641"/>
      <c r="AK346" s="205"/>
      <c r="AL346" s="496"/>
      <c r="AM346" s="496"/>
      <c r="AN346" s="627"/>
      <c r="AO346" s="205"/>
      <c r="AP346" s="205"/>
      <c r="AQ346" s="333" t="str">
        <f>UPPER(RIGHT(Journal_Live[[#This Row],[DURATION ]]))</f>
        <v/>
      </c>
      <c r="AR346" s="205"/>
      <c r="AS346" s="211"/>
      <c r="AT346" s="189"/>
      <c r="AU346" s="187"/>
      <c r="AV346" s="190"/>
      <c r="AW346" s="213"/>
      <c r="AX346" s="413" t="s">
        <v>1692</v>
      </c>
      <c r="AY346" s="413" t="s">
        <v>529</v>
      </c>
      <c r="AZ346" s="413"/>
      <c r="BA346" s="413"/>
      <c r="BB346" s="413"/>
      <c r="BC346" s="413"/>
      <c r="BD346" s="413"/>
      <c r="BE346" s="413"/>
      <c r="BF346" s="427"/>
      <c r="BG346" s="391">
        <f>SUM($AV$4:AV346)</f>
        <v>2401.2850000000308</v>
      </c>
      <c r="BH346" s="392">
        <f>SUM($AU$134:AU346)</f>
        <v>-22.00999999999874</v>
      </c>
      <c r="BI346" s="318">
        <f>SUMIFS($AU$134:AU347,$Q$134:Q347,"F")</f>
        <v>-2447.8000000000002</v>
      </c>
      <c r="BJ346" s="318">
        <f>SUMIFS($AU$134:AU347,$Q$134:Q347,"S")</f>
        <v>2124.5499999999988</v>
      </c>
      <c r="BK346" s="343">
        <f>SUMIFS($AU$134:AU347,$P$134:P347,"W")</f>
        <v>1606.6899999999928</v>
      </c>
      <c r="BL346" s="343">
        <f>SUMIFS($AU$134:AU347,$P$134:P347,"R")</f>
        <v>-1676.0999999999935</v>
      </c>
      <c r="BM346" s="343">
        <f>SUMIFS($AU$134:AU347,$AQ$134:AQ347,"M")</f>
        <v>-34.699999999995292</v>
      </c>
      <c r="BN346" s="343">
        <f>SUMIFS($AU$134:AU347,$AQ$134:AQ347,"H")</f>
        <v>829.60000000001492</v>
      </c>
      <c r="BO346" s="343">
        <f>SUMIFS($AU$134:AU347,$AQ$134:AQ347,"D")</f>
        <v>-632.05000000000052</v>
      </c>
      <c r="BP346" s="343">
        <f>SUMIFS($AU$134:AU349,$AQ$134:AQ349,"W")</f>
        <v>-1270.7</v>
      </c>
      <c r="BQ346" s="343">
        <f>SUMIFS($AU$134:AU347,$Q$134:Q347,"O")</f>
        <v>54.639999999999787</v>
      </c>
      <c r="BR346" s="343">
        <f>SUMIFS($AU$134:AU347,$AA$134:AA347,"*")</f>
        <v>2052.7500000000286</v>
      </c>
      <c r="BS346" s="343">
        <f>SUMIFS($AU$134:AU347,$AB$134:AB347,"*")</f>
        <v>46.839999999975959</v>
      </c>
      <c r="BT346" s="343">
        <f>SUMIFS($AU$134:AU347,$AC$134:AC347,"*")</f>
        <v>-1763.7500000000009</v>
      </c>
      <c r="BU346" s="343">
        <f>SUMIFS($AU$134:AU347,$AA$134:AA347,"*",$AB$134:AB347,"*")</f>
        <v>-236.49999999999511</v>
      </c>
      <c r="BV346" s="343">
        <f>SUMIFS($AU$134:AU347,$AA$134:AA347,"*",$AC$134:AC347,"*")</f>
        <v>618.349999999999</v>
      </c>
      <c r="BW346" s="343">
        <f>SUMIFS($AU$134:AU347,$AB$134:AB347,"*",$AC$134:AC347,"*")</f>
        <v>30.299999999999642</v>
      </c>
      <c r="BX346" s="343">
        <f>SUMIFS($AU347:AU$1388,$Q347:Q$1388,"F")</f>
        <v>16888.466666666671</v>
      </c>
      <c r="BY346" s="343">
        <f>SUMIFS($AU347:AU$1388,$Q347:Q$1388,"S")</f>
        <v>18547.092000000001</v>
      </c>
      <c r="BZ346" s="343">
        <f>SUMIFS($AU347:AU$1388,$Q347:Q$1388,"O")</f>
        <v>-1750.8979999998</v>
      </c>
    </row>
    <row r="347" spans="1:78" ht="15.75" customHeight="1">
      <c r="A347" s="221" t="s">
        <v>1523</v>
      </c>
      <c r="B347" s="200">
        <v>44998</v>
      </c>
      <c r="C347" s="201" t="s">
        <v>1693</v>
      </c>
      <c r="D347" s="201" t="s">
        <v>132</v>
      </c>
      <c r="E347" s="247"/>
      <c r="F347" s="203"/>
      <c r="G347" s="204" t="s">
        <v>1694</v>
      </c>
      <c r="H347" s="205"/>
      <c r="I347" s="205"/>
      <c r="J347" s="205"/>
      <c r="K347" s="206"/>
      <c r="L347" s="205">
        <v>1</v>
      </c>
      <c r="M347" s="205"/>
      <c r="N347" s="205"/>
      <c r="O347" s="206" t="s">
        <v>95</v>
      </c>
      <c r="P347" s="206" t="s">
        <v>137</v>
      </c>
      <c r="Q347" s="206" t="s">
        <v>684</v>
      </c>
      <c r="R347" s="206">
        <v>1</v>
      </c>
      <c r="S347" s="206">
        <v>1</v>
      </c>
      <c r="T347" s="206">
        <v>1</v>
      </c>
      <c r="U347" s="206" t="s">
        <v>22</v>
      </c>
      <c r="V347" s="206"/>
      <c r="W347" s="206"/>
      <c r="X347" s="206"/>
      <c r="Y347" s="184">
        <f t="shared" si="140"/>
        <v>0.01</v>
      </c>
      <c r="Z347" s="184">
        <f t="shared" si="141"/>
        <v>1580</v>
      </c>
      <c r="AA347" s="208" t="s">
        <v>1695</v>
      </c>
      <c r="AB347" s="208"/>
      <c r="AC347" s="208"/>
      <c r="AD347" s="650">
        <v>96.49</v>
      </c>
      <c r="AE347" s="205"/>
      <c r="AF347" s="333"/>
      <c r="AG347" s="205"/>
      <c r="AH347" s="205"/>
      <c r="AI347" s="205"/>
      <c r="AJ347" s="641"/>
      <c r="AK347" s="205"/>
      <c r="AL347" s="498"/>
      <c r="AM347" s="499"/>
      <c r="AN347" s="627"/>
      <c r="AO347" s="205"/>
      <c r="AP347" s="205" t="s">
        <v>797</v>
      </c>
      <c r="AQ347" s="333" t="str">
        <f>UPPER(RIGHT(Journal_Live[[#This Row],[DURATION ]]))</f>
        <v>S</v>
      </c>
      <c r="AR347" s="205" t="s">
        <v>1696</v>
      </c>
      <c r="AS347" s="211">
        <v>96.46</v>
      </c>
      <c r="AT347" s="189">
        <f>IF(ISBLANK(AS347),,IF(U347="S",AD347-AS347,AS347-AD347))</f>
        <v>-3.0000000000001137E-2</v>
      </c>
      <c r="AU347" s="187">
        <f>AV347*R347</f>
        <v>-47.400000000001796</v>
      </c>
      <c r="AV347" s="190">
        <f>IF(ISBLANK(AS347),,(AT347*Z347))</f>
        <v>-47.400000000001796</v>
      </c>
      <c r="AW347" s="213" t="s">
        <v>229</v>
      </c>
      <c r="AX347" s="413" t="s">
        <v>1697</v>
      </c>
      <c r="AY347" s="413"/>
      <c r="AZ347" s="413"/>
      <c r="BA347" s="413"/>
      <c r="BB347" s="413"/>
      <c r="BC347" s="413"/>
      <c r="BD347" s="413"/>
      <c r="BE347" s="413"/>
      <c r="BF347" s="427"/>
      <c r="BG347" s="391">
        <f>SUM($AV$4:AV347)</f>
        <v>2353.8850000000289</v>
      </c>
      <c r="BH347" s="392">
        <f>SUM($AU$134:AU347)</f>
        <v>-69.410000000000537</v>
      </c>
      <c r="BI347" s="318">
        <f>SUMIFS($AU$134:AU348,$Q$134:Q348,"F")</f>
        <v>-2690.8</v>
      </c>
      <c r="BJ347" s="318">
        <f>SUMIFS($AU$134:AU348,$Q$134:Q348,"S")</f>
        <v>2124.5499999999988</v>
      </c>
      <c r="BK347" s="343">
        <f>SUMIFS($AU$134:AU348,$P$134:P348,"W")</f>
        <v>1606.6899999999928</v>
      </c>
      <c r="BL347" s="343">
        <f>SUMIFS($AU$134:AU348,$P$134:P348,"R")</f>
        <v>-1919.0999999999935</v>
      </c>
      <c r="BM347" s="343">
        <f>SUMIFS($AU$134:AU348,$AQ$134:AQ348,"M")</f>
        <v>-34.699999999995292</v>
      </c>
      <c r="BN347" s="343">
        <f>SUMIFS($AU$134:AU348,$AQ$134:AQ348,"H")</f>
        <v>586.60000000001492</v>
      </c>
      <c r="BO347" s="343">
        <f>SUMIFS($AU$134:AU348,$AQ$134:AQ348,"D")</f>
        <v>-632.05000000000052</v>
      </c>
      <c r="BP347" s="343">
        <f>SUMIFS($AU$134:AU350,$AQ$134:AQ350,"W")</f>
        <v>-1270.7</v>
      </c>
      <c r="BQ347" s="343">
        <f>SUMIFS($AU$134:AU348,$Q$134:Q348,"O")</f>
        <v>54.639999999999787</v>
      </c>
      <c r="BR347" s="343">
        <f>SUMIFS($AU$134:AU348,$AA$134:AA348,"*")</f>
        <v>2052.7500000000286</v>
      </c>
      <c r="BS347" s="343">
        <f>SUMIFS($AU$134:AU348,$AB$134:AB348,"*")</f>
        <v>46.839999999975959</v>
      </c>
      <c r="BT347" s="343">
        <f>SUMIFS($AU$134:AU348,$AC$134:AC348,"*")</f>
        <v>-2006.7500000000009</v>
      </c>
      <c r="BU347" s="343">
        <f>SUMIFS($AU$134:AU348,$AA$134:AA348,"*",$AB$134:AB348,"*")</f>
        <v>-236.49999999999511</v>
      </c>
      <c r="BV347" s="343">
        <f>SUMIFS($AU$134:AU348,$AA$134:AA348,"*",$AC$134:AC348,"*")</f>
        <v>618.349999999999</v>
      </c>
      <c r="BW347" s="343">
        <f>SUMIFS($AU$134:AU348,$AB$134:AB348,"*",$AC$134:AC348,"*")</f>
        <v>30.299999999999642</v>
      </c>
      <c r="BX347" s="343">
        <f>SUMIFS($AU348:AU$1388,$Q348:Q$1388,"F")</f>
        <v>16888.466666666671</v>
      </c>
      <c r="BY347" s="343">
        <f>SUMIFS($AU348:AU$1388,$Q348:Q$1388,"S")</f>
        <v>18547.092000000001</v>
      </c>
      <c r="BZ347" s="343">
        <f>SUMIFS($AU348:AU$1388,$Q348:Q$1388,"O")</f>
        <v>-1703.4979999997986</v>
      </c>
    </row>
    <row r="348" spans="1:78" ht="15.75" customHeight="1">
      <c r="A348" s="221" t="s">
        <v>1523</v>
      </c>
      <c r="B348" s="200">
        <v>44998</v>
      </c>
      <c r="C348" s="201" t="s">
        <v>1698</v>
      </c>
      <c r="D348" s="201" t="s">
        <v>132</v>
      </c>
      <c r="E348" s="247"/>
      <c r="F348" s="203"/>
      <c r="G348" s="314" t="s">
        <v>1613</v>
      </c>
      <c r="H348" s="205"/>
      <c r="I348" s="205"/>
      <c r="J348" s="205"/>
      <c r="K348" s="206"/>
      <c r="L348" s="205">
        <v>3</v>
      </c>
      <c r="M348" s="205">
        <v>3</v>
      </c>
      <c r="N348" s="205"/>
      <c r="O348" s="206" t="s">
        <v>95</v>
      </c>
      <c r="P348" s="206" t="s">
        <v>137</v>
      </c>
      <c r="Q348" s="206" t="s">
        <v>256</v>
      </c>
      <c r="R348" s="206">
        <v>5</v>
      </c>
      <c r="S348" s="206">
        <v>5</v>
      </c>
      <c r="T348" s="206">
        <v>5</v>
      </c>
      <c r="U348" s="206" t="s">
        <v>97</v>
      </c>
      <c r="V348" s="206"/>
      <c r="W348" s="206"/>
      <c r="X348" s="206"/>
      <c r="Y348" s="184">
        <f t="shared" si="140"/>
        <v>0.01</v>
      </c>
      <c r="Z348" s="184">
        <f t="shared" ref="Z348:Z354" si="143">IF(ISBLANK(O348),"",IF(O348=UPPER("IB"),8.63*200,16.2*100))</f>
        <v>1620</v>
      </c>
      <c r="AA348" s="208"/>
      <c r="AB348" s="208"/>
      <c r="AC348" s="208" t="s">
        <v>1614</v>
      </c>
      <c r="AD348" s="650">
        <v>0.01</v>
      </c>
      <c r="AE348" s="205"/>
      <c r="AF348" s="333">
        <v>5</v>
      </c>
      <c r="AG348" s="205"/>
      <c r="AH348" s="205" t="s">
        <v>1615</v>
      </c>
      <c r="AI348" s="205" t="s">
        <v>1616</v>
      </c>
      <c r="AJ348" s="641" t="s">
        <v>1617</v>
      </c>
      <c r="AK348" s="205" t="s">
        <v>529</v>
      </c>
      <c r="AL348" s="496">
        <f>-0.04*Z348</f>
        <v>-64.8</v>
      </c>
      <c r="AM348" s="496">
        <f>AL348*R348</f>
        <v>-324</v>
      </c>
      <c r="AN348" s="627" t="s">
        <v>1618</v>
      </c>
      <c r="AO348" s="205" t="s">
        <v>1619</v>
      </c>
      <c r="AP348" s="205" t="s">
        <v>1639</v>
      </c>
      <c r="AQ348" s="333" t="str">
        <f>UPPER(RIGHT(Journal_Live[[#This Row],[DURATION ]]))</f>
        <v>H</v>
      </c>
      <c r="AR348" s="205" t="s">
        <v>290</v>
      </c>
      <c r="AS348" s="211">
        <v>0.04</v>
      </c>
      <c r="AT348" s="189">
        <f>IF(ISBLANK(AS348),,IF(U348="S",AD348-AS348,AS348-AD348))</f>
        <v>-0.03</v>
      </c>
      <c r="AU348" s="187">
        <f>AV348*R348</f>
        <v>-243</v>
      </c>
      <c r="AV348" s="190">
        <f>IF(ISBLANK(AS348),,(AT348*Z348))</f>
        <v>-48.6</v>
      </c>
      <c r="AW348" s="213" t="s">
        <v>229</v>
      </c>
      <c r="AX348" s="413" t="s">
        <v>1621</v>
      </c>
      <c r="AY348" s="413"/>
      <c r="AZ348" s="413"/>
      <c r="BA348" s="413"/>
      <c r="BB348" s="413" t="s">
        <v>529</v>
      </c>
      <c r="BC348" s="413"/>
      <c r="BD348" s="413" t="s">
        <v>1699</v>
      </c>
      <c r="BE348" s="413" t="s">
        <v>529</v>
      </c>
      <c r="BF348" s="427" t="s">
        <v>529</v>
      </c>
      <c r="BG348" s="391">
        <f>SUM($AV$4:AV348)</f>
        <v>2305.285000000029</v>
      </c>
      <c r="BH348" s="392">
        <f>SUM($AU$134:AU348)</f>
        <v>-312.41000000000054</v>
      </c>
      <c r="BI348" s="318">
        <f>SUMIFS($AU$134:AU349,$Q$134:Q349,"F")</f>
        <v>-3014.8</v>
      </c>
      <c r="BJ348" s="318">
        <f>SUMIFS($AU$134:AU349,$Q$134:Q349,"S")</f>
        <v>2124.5499999999988</v>
      </c>
      <c r="BK348" s="343">
        <f>SUMIFS($AU$134:AU349,$P$134:P349,"W")</f>
        <v>1606.6899999999928</v>
      </c>
      <c r="BL348" s="343">
        <f>SUMIFS($AU$134:AU349,$P$134:P349,"R")</f>
        <v>-2243.0999999999935</v>
      </c>
      <c r="BM348" s="343">
        <f>SUMIFS($AU$134:AU349,$AQ$134:AQ349,"M")</f>
        <v>-34.699999999995292</v>
      </c>
      <c r="BN348" s="343">
        <f>SUMIFS($AU$134:AU349,$AQ$134:AQ349,"H")</f>
        <v>262.60000000001492</v>
      </c>
      <c r="BO348" s="343">
        <f>SUMIFS($AU$134:AU349,$AQ$134:AQ349,"D")</f>
        <v>-632.05000000000052</v>
      </c>
      <c r="BP348" s="343">
        <f>SUMIFS($AU$134:AU351,$AQ$134:AQ351,"W")</f>
        <v>-1270.7</v>
      </c>
      <c r="BQ348" s="343">
        <f>SUMIFS($AU$134:AU349,$Q$134:Q349,"O")</f>
        <v>54.639999999999787</v>
      </c>
      <c r="BR348" s="343">
        <f>SUMIFS($AU$134:AU349,$AA$134:AA349,"*")</f>
        <v>2052.7500000000286</v>
      </c>
      <c r="BS348" s="343">
        <f>SUMIFS($AU$134:AU349,$AB$134:AB349,"*")</f>
        <v>46.839999999975959</v>
      </c>
      <c r="BT348" s="343">
        <f>SUMIFS($AU$134:AU349,$AC$134:AC349,"*")</f>
        <v>-2330.7500000000009</v>
      </c>
      <c r="BU348" s="343">
        <f>SUMIFS($AU$134:AU349,$AA$134:AA349,"*",$AB$134:AB349,"*")</f>
        <v>-236.49999999999511</v>
      </c>
      <c r="BV348" s="343">
        <f>SUMIFS($AU$134:AU349,$AA$134:AA349,"*",$AC$134:AC349,"*")</f>
        <v>618.349999999999</v>
      </c>
      <c r="BW348" s="343">
        <f>SUMIFS($AU$134:AU349,$AB$134:AB349,"*",$AC$134:AC349,"*")</f>
        <v>30.299999999999642</v>
      </c>
      <c r="BX348" s="343">
        <f>SUMIFS($AU349:AU$1388,$Q349:Q$1388,"F")</f>
        <v>17131.466666666671</v>
      </c>
      <c r="BY348" s="343">
        <f>SUMIFS($AU349:AU$1388,$Q349:Q$1388,"S")</f>
        <v>18547.092000000001</v>
      </c>
      <c r="BZ348" s="343">
        <f>SUMIFS($AU349:AU$1388,$Q349:Q$1388,"O")</f>
        <v>-1703.4979999997986</v>
      </c>
    </row>
    <row r="349" spans="1:78" ht="15.75" customHeight="1">
      <c r="A349" s="221" t="s">
        <v>1523</v>
      </c>
      <c r="B349" s="200">
        <v>44998</v>
      </c>
      <c r="C349" s="201" t="s">
        <v>568</v>
      </c>
      <c r="D349" s="201" t="s">
        <v>132</v>
      </c>
      <c r="E349" s="247"/>
      <c r="F349" s="203"/>
      <c r="G349" s="314" t="s">
        <v>1613</v>
      </c>
      <c r="H349" s="205"/>
      <c r="I349" s="205"/>
      <c r="J349" s="205"/>
      <c r="K349" s="206"/>
      <c r="L349" s="205">
        <v>3</v>
      </c>
      <c r="M349" s="205">
        <v>3</v>
      </c>
      <c r="N349" s="205"/>
      <c r="O349" s="206" t="s">
        <v>95</v>
      </c>
      <c r="P349" s="206" t="s">
        <v>137</v>
      </c>
      <c r="Q349" s="206" t="s">
        <v>256</v>
      </c>
      <c r="R349" s="206">
        <v>5</v>
      </c>
      <c r="S349" s="206">
        <v>5</v>
      </c>
      <c r="T349" s="206">
        <v>5</v>
      </c>
      <c r="U349" s="206" t="s">
        <v>97</v>
      </c>
      <c r="V349" s="206"/>
      <c r="W349" s="206"/>
      <c r="X349" s="206"/>
      <c r="Y349" s="184">
        <f t="shared" si="140"/>
        <v>0.01</v>
      </c>
      <c r="Z349" s="184">
        <f t="shared" si="143"/>
        <v>1620</v>
      </c>
      <c r="AA349" s="208"/>
      <c r="AB349" s="208"/>
      <c r="AC349" s="208" t="s">
        <v>1614</v>
      </c>
      <c r="AD349" s="650">
        <v>0.04</v>
      </c>
      <c r="AE349" s="205"/>
      <c r="AF349" s="333">
        <v>7</v>
      </c>
      <c r="AG349" s="205"/>
      <c r="AH349" s="205" t="s">
        <v>1615</v>
      </c>
      <c r="AI349" s="205" t="s">
        <v>1616</v>
      </c>
      <c r="AJ349" s="641" t="s">
        <v>1617</v>
      </c>
      <c r="AK349" s="205" t="s">
        <v>529</v>
      </c>
      <c r="AL349" s="496">
        <f>-0.03*Z349</f>
        <v>-48.6</v>
      </c>
      <c r="AM349" s="496">
        <f>AL349*R349</f>
        <v>-243</v>
      </c>
      <c r="AN349" s="627" t="s">
        <v>1618</v>
      </c>
      <c r="AO349" s="205" t="s">
        <v>1619</v>
      </c>
      <c r="AP349" s="205" t="s">
        <v>1700</v>
      </c>
      <c r="AQ349" s="333" t="str">
        <f>UPPER(RIGHT(Journal_Live[[#This Row],[DURATION ]]))</f>
        <v>H</v>
      </c>
      <c r="AR349" s="205" t="s">
        <v>1701</v>
      </c>
      <c r="AS349" s="211">
        <v>0.08</v>
      </c>
      <c r="AT349" s="189">
        <f>IF(ISBLANK(AS349),,IF(U349="S",AD349-AS349,AS349-AD349))</f>
        <v>-0.04</v>
      </c>
      <c r="AU349" s="187">
        <f>AV349*R349</f>
        <v>-324</v>
      </c>
      <c r="AV349" s="190">
        <f>IF(ISBLANK(AS349),,(AT349*Z349))</f>
        <v>-64.8</v>
      </c>
      <c r="AW349" s="213" t="s">
        <v>229</v>
      </c>
      <c r="AX349" s="413" t="s">
        <v>1621</v>
      </c>
      <c r="AY349" s="413"/>
      <c r="AZ349" s="413"/>
      <c r="BA349" s="413"/>
      <c r="BB349" s="413"/>
      <c r="BC349" s="413"/>
      <c r="BD349" s="413" t="s">
        <v>1702</v>
      </c>
      <c r="BE349" s="413" t="s">
        <v>1703</v>
      </c>
      <c r="BF349" s="427" t="s">
        <v>529</v>
      </c>
      <c r="BG349" s="391">
        <f>SUM($AV$4:AV349)</f>
        <v>2240.4850000000288</v>
      </c>
      <c r="BH349" s="392">
        <f>SUM($AU$134:AU349)</f>
        <v>-636.41000000000054</v>
      </c>
      <c r="BI349" s="318">
        <f>SUMIFS($AU$134:AU350,$Q$134:Q350,"F")</f>
        <v>-3014.8</v>
      </c>
      <c r="BJ349" s="318">
        <f>SUMIFS($AU$134:AU350,$Q$134:Q350,"S")</f>
        <v>2124.5499999999988</v>
      </c>
      <c r="BK349" s="343">
        <f>SUMIFS($AU$134:AU350,$P$134:P350,"W")</f>
        <v>1606.6899999999928</v>
      </c>
      <c r="BL349" s="343">
        <f>SUMIFS($AU$134:AU350,$P$134:P350,"R")</f>
        <v>-2243.0999999999935</v>
      </c>
      <c r="BM349" s="343">
        <f>SUMIFS($AU$134:AU350,$AQ$134:AQ350,"M")</f>
        <v>-34.699999999995292</v>
      </c>
      <c r="BN349" s="343">
        <f>SUMIFS($AU$134:AU350,$AQ$134:AQ350,"H")</f>
        <v>262.60000000001492</v>
      </c>
      <c r="BO349" s="343">
        <f>SUMIFS($AU$134:AU350,$AQ$134:AQ350,"D")</f>
        <v>-632.05000000000052</v>
      </c>
      <c r="BP349" s="343">
        <f>SUMIFS($AU$134:AU352,$AQ$134:AQ352,"W")</f>
        <v>-1270.7</v>
      </c>
      <c r="BQ349" s="343">
        <f>SUMIFS($AU$134:AU350,$Q$134:Q350,"O")</f>
        <v>54.639999999999787</v>
      </c>
      <c r="BR349" s="343">
        <f>SUMIFS($AU$134:AU350,$AA$134:AA350,"*")</f>
        <v>2052.7500000000286</v>
      </c>
      <c r="BS349" s="343">
        <f>SUMIFS($AU$134:AU350,$AB$134:AB350,"*")</f>
        <v>46.839999999975959</v>
      </c>
      <c r="BT349" s="343">
        <f>SUMIFS($AU$134:AU350,$AC$134:AC350,"*")</f>
        <v>-2330.7500000000009</v>
      </c>
      <c r="BU349" s="343">
        <f>SUMIFS($AU$134:AU350,$AA$134:AA350,"*",$AB$134:AB350,"*")</f>
        <v>-236.49999999999511</v>
      </c>
      <c r="BV349" s="343">
        <f>SUMIFS($AU$134:AU350,$AA$134:AA350,"*",$AC$134:AC350,"*")</f>
        <v>618.349999999999</v>
      </c>
      <c r="BW349" s="343">
        <f>SUMIFS($AU$134:AU350,$AB$134:AB350,"*",$AC$134:AC350,"*")</f>
        <v>30.299999999999642</v>
      </c>
      <c r="BX349" s="343">
        <f>SUMIFS($AU350:AU$1388,$Q350:Q$1388,"F")</f>
        <v>17455.466666666667</v>
      </c>
      <c r="BY349" s="343">
        <f>SUMIFS($AU350:AU$1388,$Q350:Q$1388,"S")</f>
        <v>18547.092000000001</v>
      </c>
      <c r="BZ349" s="343">
        <f>SUMIFS($AU350:AU$1388,$Q350:Q$1388,"O")</f>
        <v>-1703.4979999997986</v>
      </c>
    </row>
    <row r="350" spans="1:78" ht="15.75" customHeight="1">
      <c r="A350" s="221" t="s">
        <v>1523</v>
      </c>
      <c r="B350" s="200"/>
      <c r="C350" s="201"/>
      <c r="D350" s="201"/>
      <c r="E350" s="247"/>
      <c r="F350" s="203"/>
      <c r="G350" s="204"/>
      <c r="H350" s="205"/>
      <c r="I350" s="205"/>
      <c r="J350" s="205"/>
      <c r="K350" s="206"/>
      <c r="L350" s="205"/>
      <c r="M350" s="205"/>
      <c r="N350" s="205"/>
      <c r="O350" s="206"/>
      <c r="P350" s="206"/>
      <c r="Q350" s="206"/>
      <c r="R350" s="206"/>
      <c r="S350" s="206"/>
      <c r="T350" s="206"/>
      <c r="U350" s="206"/>
      <c r="V350" s="206"/>
      <c r="W350" s="206"/>
      <c r="X350" s="206"/>
      <c r="Y350" s="184" t="str">
        <f t="shared" si="140"/>
        <v/>
      </c>
      <c r="Z350" s="184" t="str">
        <f t="shared" si="143"/>
        <v/>
      </c>
      <c r="AA350" s="208"/>
      <c r="AB350" s="208"/>
      <c r="AC350" s="208"/>
      <c r="AD350" s="650"/>
      <c r="AE350" s="205"/>
      <c r="AF350" s="333"/>
      <c r="AG350" s="205"/>
      <c r="AH350" s="205"/>
      <c r="AI350" s="205"/>
      <c r="AJ350" s="641"/>
      <c r="AK350" s="205"/>
      <c r="AL350" s="496"/>
      <c r="AM350" s="496"/>
      <c r="AN350" s="627"/>
      <c r="AO350" s="205"/>
      <c r="AP350" s="205"/>
      <c r="AQ350" s="333" t="str">
        <f>UPPER(RIGHT(Journal_Live[[#This Row],[DURATION ]]))</f>
        <v/>
      </c>
      <c r="AR350" s="205"/>
      <c r="AS350" s="211"/>
      <c r="AT350" s="189"/>
      <c r="AU350" s="187"/>
      <c r="AV350" s="190"/>
      <c r="AW350" s="213"/>
      <c r="AX350" s="413" t="s">
        <v>1704</v>
      </c>
      <c r="AY350" s="413" t="s">
        <v>1705</v>
      </c>
      <c r="AZ350" s="413" t="s">
        <v>529</v>
      </c>
      <c r="BA350" s="413" t="s">
        <v>1706</v>
      </c>
      <c r="BB350" s="413" t="s">
        <v>1707</v>
      </c>
      <c r="BC350" s="413" t="s">
        <v>1708</v>
      </c>
      <c r="BD350" s="413" t="s">
        <v>1709</v>
      </c>
      <c r="BE350" s="432" t="s">
        <v>529</v>
      </c>
      <c r="BF350" s="427"/>
      <c r="BG350" s="391">
        <f>SUM($AV$4:AV350)</f>
        <v>2240.4850000000288</v>
      </c>
      <c r="BH350" s="392">
        <f>SUM($AU$134:AU350)</f>
        <v>-636.41000000000054</v>
      </c>
      <c r="BI350" s="318">
        <f>SUMIFS($AU$134:AU351,$Q$134:Q351,"F")</f>
        <v>-3014.8</v>
      </c>
      <c r="BJ350" s="318">
        <f>SUMIFS($AU$134:AU351,$Q$134:Q351,"S")</f>
        <v>2124.5499999999988</v>
      </c>
      <c r="BK350" s="343">
        <f>SUMIFS($AU$134:AU351,$P$134:P351,"W")</f>
        <v>1606.6899999999928</v>
      </c>
      <c r="BL350" s="343">
        <f>SUMIFS($AU$134:AU351,$P$134:P351,"R")</f>
        <v>-2243.0999999999935</v>
      </c>
      <c r="BM350" s="343">
        <f>SUMIFS($AU$134:AU351,$AQ$134:AQ351,"M")</f>
        <v>-34.699999999995292</v>
      </c>
      <c r="BN350" s="343">
        <f>SUMIFS($AU$134:AU351,$AQ$134:AQ351,"H")</f>
        <v>262.60000000001492</v>
      </c>
      <c r="BO350" s="343">
        <f>SUMIFS($AU$134:AU351,$AQ$134:AQ351,"D")</f>
        <v>-632.05000000000052</v>
      </c>
      <c r="BP350" s="343">
        <f>SUMIFS($AU$134:AU353,$AQ$134:AQ353,"W")</f>
        <v>-1270.7</v>
      </c>
      <c r="BQ350" s="343">
        <f>SUMIFS($AU$134:AU351,$Q$134:Q351,"O")</f>
        <v>54.639999999999787</v>
      </c>
      <c r="BR350" s="343">
        <f>SUMIFS($AU$134:AU351,$AA$134:AA351,"*")</f>
        <v>2052.7500000000286</v>
      </c>
      <c r="BS350" s="343">
        <f>SUMIFS($AU$134:AU351,$AB$134:AB351,"*")</f>
        <v>46.839999999975959</v>
      </c>
      <c r="BT350" s="343">
        <f>SUMIFS($AU$134:AU351,$AC$134:AC351,"*")</f>
        <v>-2330.7500000000009</v>
      </c>
      <c r="BU350" s="343">
        <f>SUMIFS($AU$134:AU351,$AA$134:AA351,"*",$AB$134:AB351,"*")</f>
        <v>-236.49999999999511</v>
      </c>
      <c r="BV350" s="343">
        <f>SUMIFS($AU$134:AU351,$AA$134:AA351,"*",$AC$134:AC351,"*")</f>
        <v>618.349999999999</v>
      </c>
      <c r="BW350" s="343">
        <f>SUMIFS($AU$134:AU351,$AB$134:AB351,"*",$AC$134:AC351,"*")</f>
        <v>30.299999999999642</v>
      </c>
      <c r="BX350" s="343">
        <f>SUMIFS($AU351:AU$1388,$Q351:Q$1388,"F")</f>
        <v>17455.466666666667</v>
      </c>
      <c r="BY350" s="343">
        <f>SUMIFS($AU351:AU$1388,$Q351:Q$1388,"S")</f>
        <v>18547.092000000001</v>
      </c>
      <c r="BZ350" s="343">
        <f>SUMIFS($AU351:AU$1388,$Q351:Q$1388,"O")</f>
        <v>-1703.4979999997986</v>
      </c>
    </row>
    <row r="351" spans="1:78" ht="15.75" customHeight="1">
      <c r="A351" s="221" t="s">
        <v>1523</v>
      </c>
      <c r="B351" s="200"/>
      <c r="C351" s="201"/>
      <c r="D351" s="201"/>
      <c r="E351" s="247"/>
      <c r="F351" s="203"/>
      <c r="G351" s="204"/>
      <c r="H351" s="205"/>
      <c r="I351" s="205"/>
      <c r="J351" s="205"/>
      <c r="K351" s="206"/>
      <c r="L351" s="205"/>
      <c r="M351" s="205"/>
      <c r="N351" s="205"/>
      <c r="O351" s="206"/>
      <c r="P351" s="206"/>
      <c r="Q351" s="206"/>
      <c r="R351" s="206"/>
      <c r="S351" s="206"/>
      <c r="T351" s="206"/>
      <c r="U351" s="206"/>
      <c r="V351" s="206"/>
      <c r="W351" s="206"/>
      <c r="X351" s="206"/>
      <c r="Y351" s="184" t="str">
        <f t="shared" si="140"/>
        <v/>
      </c>
      <c r="Z351" s="184" t="str">
        <f t="shared" si="143"/>
        <v/>
      </c>
      <c r="AA351" s="208"/>
      <c r="AB351" s="208"/>
      <c r="AC351" s="208"/>
      <c r="AD351" s="650"/>
      <c r="AE351" s="205"/>
      <c r="AF351" s="333"/>
      <c r="AG351" s="205"/>
      <c r="AH351" s="205"/>
      <c r="AI351" s="205"/>
      <c r="AJ351" s="641"/>
      <c r="AK351" s="205"/>
      <c r="AL351" s="496"/>
      <c r="AM351" s="496"/>
      <c r="AN351" s="627"/>
      <c r="AO351" s="205"/>
      <c r="AP351" s="205"/>
      <c r="AQ351" s="333" t="str">
        <f>UPPER(RIGHT(Journal_Live[[#This Row],[DURATION ]]))</f>
        <v/>
      </c>
      <c r="AR351" s="205"/>
      <c r="AS351" s="211"/>
      <c r="AT351" s="189"/>
      <c r="AU351" s="187"/>
      <c r="AV351" s="190"/>
      <c r="AW351" s="213"/>
      <c r="AX351" s="413"/>
      <c r="AY351" s="413"/>
      <c r="AZ351" s="413"/>
      <c r="BA351" s="413" t="s">
        <v>1710</v>
      </c>
      <c r="BB351" s="413" t="s">
        <v>1711</v>
      </c>
      <c r="BC351" s="413" t="s">
        <v>1712</v>
      </c>
      <c r="BD351" s="413" t="s">
        <v>1713</v>
      </c>
      <c r="BE351" s="413" t="s">
        <v>529</v>
      </c>
      <c r="BF351" s="427"/>
      <c r="BG351" s="391">
        <f>SUM($AV$4:AV351)</f>
        <v>2240.4850000000288</v>
      </c>
      <c r="BH351" s="392">
        <f>SUM($AU$134:AU351)</f>
        <v>-636.41000000000054</v>
      </c>
      <c r="BI351" s="318">
        <f>SUMIFS($AU$134:AU352,$Q$134:Q352,"F")</f>
        <v>-3014.8</v>
      </c>
      <c r="BJ351" s="318">
        <f>SUMIFS($AU$134:AU352,$Q$134:Q352,"S")</f>
        <v>2124.5499999999988</v>
      </c>
      <c r="BK351" s="343">
        <f>SUMIFS($AU$134:AU352,$P$134:P352,"W")</f>
        <v>1606.6899999999928</v>
      </c>
      <c r="BL351" s="343">
        <f>SUMIFS($AU$134:AU352,$P$134:P352,"R")</f>
        <v>-2243.0999999999935</v>
      </c>
      <c r="BM351" s="343">
        <f>SUMIFS($AU$134:AU352,$AQ$134:AQ352,"M")</f>
        <v>-34.699999999995292</v>
      </c>
      <c r="BN351" s="343">
        <f>SUMIFS($AU$134:AU352,$AQ$134:AQ352,"H")</f>
        <v>262.60000000001492</v>
      </c>
      <c r="BO351" s="343">
        <f>SUMIFS($AU$134:AU352,$AQ$134:AQ352,"D")</f>
        <v>-632.05000000000052</v>
      </c>
      <c r="BP351" s="343">
        <f>SUMIFS($AU$134:AU354,$AQ$134:AQ354,"W")</f>
        <v>-1270.7</v>
      </c>
      <c r="BQ351" s="343">
        <f>SUMIFS($AU$134:AU352,$Q$134:Q352,"O")</f>
        <v>54.639999999999787</v>
      </c>
      <c r="BR351" s="343">
        <f>SUMIFS($AU$134:AU352,$AA$134:AA352,"*")</f>
        <v>2052.7500000000286</v>
      </c>
      <c r="BS351" s="343">
        <f>SUMIFS($AU$134:AU352,$AB$134:AB352,"*")</f>
        <v>46.839999999975959</v>
      </c>
      <c r="BT351" s="343">
        <f>SUMIFS($AU$134:AU352,$AC$134:AC352,"*")</f>
        <v>-2330.7500000000009</v>
      </c>
      <c r="BU351" s="343">
        <f>SUMIFS($AU$134:AU352,$AA$134:AA352,"*",$AB$134:AB352,"*")</f>
        <v>-236.49999999999511</v>
      </c>
      <c r="BV351" s="343">
        <f>SUMIFS($AU$134:AU352,$AA$134:AA352,"*",$AC$134:AC352,"*")</f>
        <v>618.349999999999</v>
      </c>
      <c r="BW351" s="343">
        <f>SUMIFS($AU$134:AU352,$AB$134:AB352,"*",$AC$134:AC352,"*")</f>
        <v>30.299999999999642</v>
      </c>
      <c r="BX351" s="343">
        <f>SUMIFS($AU352:AU$1388,$Q352:Q$1388,"F")</f>
        <v>17455.466666666667</v>
      </c>
      <c r="BY351" s="343">
        <f>SUMIFS($AU352:AU$1388,$Q352:Q$1388,"S")</f>
        <v>18547.092000000001</v>
      </c>
      <c r="BZ351" s="343">
        <f>SUMIFS($AU352:AU$1388,$Q352:Q$1388,"O")</f>
        <v>-1703.4979999997986</v>
      </c>
    </row>
    <row r="352" spans="1:78" ht="15.75" customHeight="1">
      <c r="A352" s="221" t="s">
        <v>1523</v>
      </c>
      <c r="B352" s="200">
        <v>44999</v>
      </c>
      <c r="C352" s="201" t="s">
        <v>1714</v>
      </c>
      <c r="D352" s="201" t="s">
        <v>146</v>
      </c>
      <c r="E352" s="247" t="s">
        <v>1715</v>
      </c>
      <c r="F352" s="203" t="s">
        <v>1716</v>
      </c>
      <c r="G352" s="204"/>
      <c r="H352" s="205">
        <v>1</v>
      </c>
      <c r="I352" s="205"/>
      <c r="J352" s="205"/>
      <c r="K352" s="206" t="s">
        <v>372</v>
      </c>
      <c r="L352" s="205"/>
      <c r="M352" s="205"/>
      <c r="N352" s="205"/>
      <c r="O352" s="206"/>
      <c r="P352" s="206"/>
      <c r="Q352" s="206"/>
      <c r="R352" s="206"/>
      <c r="S352" s="206"/>
      <c r="T352" s="206"/>
      <c r="U352" s="206"/>
      <c r="V352" s="206"/>
      <c r="W352" s="206"/>
      <c r="X352" s="206"/>
      <c r="Y352" s="184" t="str">
        <f t="shared" si="140"/>
        <v/>
      </c>
      <c r="Z352" s="184" t="str">
        <f t="shared" si="143"/>
        <v/>
      </c>
      <c r="AA352" s="208"/>
      <c r="AB352" s="208"/>
      <c r="AC352" s="208"/>
      <c r="AD352" s="650"/>
      <c r="AE352" s="205"/>
      <c r="AF352" s="333"/>
      <c r="AG352" s="205"/>
      <c r="AH352" s="205"/>
      <c r="AI352" s="205"/>
      <c r="AJ352" s="641"/>
      <c r="AK352" s="205"/>
      <c r="AL352" s="496"/>
      <c r="AM352" s="496"/>
      <c r="AN352" s="627"/>
      <c r="AO352" s="205"/>
      <c r="AP352" s="205"/>
      <c r="AQ352" s="333" t="str">
        <f>UPPER(RIGHT(Journal_Live[[#This Row],[DURATION ]]))</f>
        <v/>
      </c>
      <c r="AR352" s="205"/>
      <c r="AS352" s="211"/>
      <c r="AT352" s="189"/>
      <c r="AU352" s="187"/>
      <c r="AV352" s="190"/>
      <c r="AW352" s="213"/>
      <c r="AX352" s="413"/>
      <c r="AY352" s="413"/>
      <c r="AZ352" s="413"/>
      <c r="BA352" s="413" t="s">
        <v>1717</v>
      </c>
      <c r="BB352" s="413" t="s">
        <v>529</v>
      </c>
      <c r="BC352" s="413"/>
      <c r="BD352" s="413"/>
      <c r="BE352" s="413"/>
      <c r="BF352" s="427"/>
      <c r="BG352" s="391">
        <f>SUM($AV$4:AV352)</f>
        <v>2240.4850000000288</v>
      </c>
      <c r="BH352" s="392">
        <f>SUM($AU$134:AU352)</f>
        <v>-636.41000000000054</v>
      </c>
      <c r="BI352" s="318">
        <f>SUMIFS($AU$134:AU353,$Q$134:Q353,"F")</f>
        <v>-3014.8</v>
      </c>
      <c r="BJ352" s="318">
        <f>SUMIFS($AU$134:AU353,$Q$134:Q353,"S")</f>
        <v>2124.5499999999988</v>
      </c>
      <c r="BK352" s="343">
        <f>SUMIFS($AU$134:AU353,$P$134:P353,"W")</f>
        <v>1606.6899999999928</v>
      </c>
      <c r="BL352" s="343">
        <f>SUMIFS($AU$134:AU353,$P$134:P353,"R")</f>
        <v>-2243.0999999999935</v>
      </c>
      <c r="BM352" s="343">
        <f>SUMIFS($AU$134:AU353,$AQ$134:AQ353,"M")</f>
        <v>-34.699999999995292</v>
      </c>
      <c r="BN352" s="343">
        <f>SUMIFS($AU$134:AU353,$AQ$134:AQ353,"H")</f>
        <v>262.60000000001492</v>
      </c>
      <c r="BO352" s="343">
        <f>SUMIFS($AU$134:AU353,$AQ$134:AQ353,"D")</f>
        <v>-632.05000000000052</v>
      </c>
      <c r="BP352" s="343">
        <f>SUMIFS($AU$134:AU355,$AQ$134:AQ355,"W")</f>
        <v>-1270.7</v>
      </c>
      <c r="BQ352" s="343">
        <f>SUMIFS($AU$134:AU353,$Q$134:Q353,"O")</f>
        <v>54.639999999999787</v>
      </c>
      <c r="BR352" s="343">
        <f>SUMIFS($AU$134:AU353,$AA$134:AA353,"*")</f>
        <v>2052.7500000000286</v>
      </c>
      <c r="BS352" s="343">
        <f>SUMIFS($AU$134:AU353,$AB$134:AB353,"*")</f>
        <v>46.839999999975959</v>
      </c>
      <c r="BT352" s="343">
        <f>SUMIFS($AU$134:AU353,$AC$134:AC353,"*")</f>
        <v>-2330.7500000000009</v>
      </c>
      <c r="BU352" s="343">
        <f>SUMIFS($AU$134:AU353,$AA$134:AA353,"*",$AB$134:AB353,"*")</f>
        <v>-236.49999999999511</v>
      </c>
      <c r="BV352" s="343">
        <f>SUMIFS($AU$134:AU353,$AA$134:AA353,"*",$AC$134:AC353,"*")</f>
        <v>618.349999999999</v>
      </c>
      <c r="BW352" s="343">
        <f>SUMIFS($AU$134:AU353,$AB$134:AB353,"*",$AC$134:AC353,"*")</f>
        <v>30.299999999999642</v>
      </c>
      <c r="BX352" s="343">
        <f>SUMIFS($AU353:AU$1388,$Q353:Q$1388,"F")</f>
        <v>17455.466666666667</v>
      </c>
      <c r="BY352" s="343">
        <f>SUMIFS($AU353:AU$1388,$Q353:Q$1388,"S")</f>
        <v>18547.092000000001</v>
      </c>
      <c r="BZ352" s="343">
        <f>SUMIFS($AU353:AU$1388,$Q353:Q$1388,"O")</f>
        <v>-1703.4979999997986</v>
      </c>
    </row>
    <row r="353" spans="1:78" ht="15.75" customHeight="1">
      <c r="A353" s="221" t="s">
        <v>1523</v>
      </c>
      <c r="B353" s="200"/>
      <c r="C353" s="201"/>
      <c r="D353" s="201"/>
      <c r="E353" s="247" t="s">
        <v>1718</v>
      </c>
      <c r="F353" s="203"/>
      <c r="G353" s="204"/>
      <c r="H353" s="205"/>
      <c r="I353" s="205">
        <v>1</v>
      </c>
      <c r="J353" s="205"/>
      <c r="K353" s="206"/>
      <c r="L353" s="205"/>
      <c r="M353" s="205"/>
      <c r="N353" s="205"/>
      <c r="O353" s="206"/>
      <c r="P353" s="206"/>
      <c r="Q353" s="206"/>
      <c r="R353" s="206"/>
      <c r="S353" s="206"/>
      <c r="T353" s="206"/>
      <c r="U353" s="206"/>
      <c r="V353" s="206"/>
      <c r="W353" s="206"/>
      <c r="X353" s="206"/>
      <c r="Y353" s="184" t="str">
        <f t="shared" si="140"/>
        <v/>
      </c>
      <c r="Z353" s="184" t="str">
        <f t="shared" si="143"/>
        <v/>
      </c>
      <c r="AA353" s="208"/>
      <c r="AB353" s="208"/>
      <c r="AC353" s="208"/>
      <c r="AD353" s="650"/>
      <c r="AE353" s="205"/>
      <c r="AF353" s="333"/>
      <c r="AG353" s="205"/>
      <c r="AH353" s="205"/>
      <c r="AI353" s="205"/>
      <c r="AJ353" s="641"/>
      <c r="AK353" s="205"/>
      <c r="AL353" s="496"/>
      <c r="AM353" s="496"/>
      <c r="AN353" s="627"/>
      <c r="AO353" s="205"/>
      <c r="AP353" s="205"/>
      <c r="AQ353" s="333" t="str">
        <f>UPPER(RIGHT(Journal_Live[[#This Row],[DURATION ]]))</f>
        <v/>
      </c>
      <c r="AR353" s="205"/>
      <c r="AS353" s="211"/>
      <c r="AT353" s="189"/>
      <c r="AU353" s="187"/>
      <c r="AV353" s="190"/>
      <c r="AW353" s="213"/>
      <c r="AX353" s="413"/>
      <c r="AY353" s="413"/>
      <c r="AZ353" s="413"/>
      <c r="BA353" s="413"/>
      <c r="BB353" s="413"/>
      <c r="BC353" s="413"/>
      <c r="BD353" s="413"/>
      <c r="BE353" s="413"/>
      <c r="BF353" s="427"/>
      <c r="BG353" s="391">
        <f>SUM($AV$4:AV353)</f>
        <v>2240.4850000000288</v>
      </c>
      <c r="BH353" s="392">
        <f>SUM($AU$134:AU353)</f>
        <v>-636.41000000000054</v>
      </c>
      <c r="BI353" s="318">
        <f>SUMIFS($AU$134:AU354,$Q$134:Q354,"F")</f>
        <v>-3014.8</v>
      </c>
      <c r="BJ353" s="318">
        <f>SUMIFS($AU$134:AU354,$Q$134:Q354,"S")</f>
        <v>2124.5499999999988</v>
      </c>
      <c r="BK353" s="343">
        <f>SUMIFS($AU$134:AU354,$P$134:P354,"W")</f>
        <v>1606.6899999999928</v>
      </c>
      <c r="BL353" s="343">
        <f>SUMIFS($AU$134:AU354,$P$134:P354,"R")</f>
        <v>-2243.0999999999935</v>
      </c>
      <c r="BM353" s="343">
        <f>SUMIFS($AU$134:AU354,$AQ$134:AQ354,"M")</f>
        <v>-34.699999999995292</v>
      </c>
      <c r="BN353" s="343">
        <f>SUMIFS($AU$134:AU354,$AQ$134:AQ354,"H")</f>
        <v>262.60000000001492</v>
      </c>
      <c r="BO353" s="343">
        <f>SUMIFS($AU$134:AU354,$AQ$134:AQ354,"D")</f>
        <v>-632.05000000000052</v>
      </c>
      <c r="BP353" s="343">
        <f>SUMIFS($AU$134:AU356,$AQ$134:AQ356,"W")</f>
        <v>-1270.7</v>
      </c>
      <c r="BQ353" s="343">
        <f>SUMIFS($AU$134:AU354,$Q$134:Q354,"O")</f>
        <v>54.639999999999787</v>
      </c>
      <c r="BR353" s="343">
        <f>SUMIFS($AU$134:AU354,$AA$134:AA354,"*")</f>
        <v>2052.7500000000286</v>
      </c>
      <c r="BS353" s="343">
        <f>SUMIFS($AU$134:AU354,$AB$134:AB354,"*")</f>
        <v>46.839999999975959</v>
      </c>
      <c r="BT353" s="343">
        <f>SUMIFS($AU$134:AU354,$AC$134:AC354,"*")</f>
        <v>-2330.7500000000009</v>
      </c>
      <c r="BU353" s="343">
        <f>SUMIFS($AU$134:AU354,$AA$134:AA354,"*",$AB$134:AB354,"*")</f>
        <v>-236.49999999999511</v>
      </c>
      <c r="BV353" s="343">
        <f>SUMIFS($AU$134:AU354,$AA$134:AA354,"*",$AC$134:AC354,"*")</f>
        <v>618.349999999999</v>
      </c>
      <c r="BW353" s="343">
        <f>SUMIFS($AU$134:AU354,$AB$134:AB354,"*",$AC$134:AC354,"*")</f>
        <v>30.299999999999642</v>
      </c>
      <c r="BX353" s="343">
        <f>SUMIFS($AU354:AU$1388,$Q354:Q$1388,"F")</f>
        <v>17455.466666666667</v>
      </c>
      <c r="BY353" s="343">
        <f>SUMIFS($AU354:AU$1388,$Q354:Q$1388,"S")</f>
        <v>18547.092000000001</v>
      </c>
      <c r="BZ353" s="343">
        <f>SUMIFS($AU354:AU$1388,$Q354:Q$1388,"O")</f>
        <v>-1703.4979999997986</v>
      </c>
    </row>
    <row r="354" spans="1:78" ht="15.75" customHeight="1">
      <c r="A354" s="221" t="s">
        <v>1523</v>
      </c>
      <c r="B354" s="200"/>
      <c r="C354" s="201"/>
      <c r="D354" s="201"/>
      <c r="E354" s="247" t="s">
        <v>1719</v>
      </c>
      <c r="F354" s="203"/>
      <c r="G354" s="204"/>
      <c r="H354" s="205"/>
      <c r="I354" s="205">
        <v>1</v>
      </c>
      <c r="J354" s="205"/>
      <c r="K354" s="206"/>
      <c r="L354" s="205"/>
      <c r="M354" s="205"/>
      <c r="N354" s="205"/>
      <c r="O354" s="206"/>
      <c r="P354" s="206"/>
      <c r="Q354" s="206"/>
      <c r="R354" s="206"/>
      <c r="S354" s="206"/>
      <c r="T354" s="206"/>
      <c r="U354" s="206"/>
      <c r="V354" s="206"/>
      <c r="W354" s="206"/>
      <c r="X354" s="206"/>
      <c r="Y354" s="184" t="str">
        <f t="shared" si="140"/>
        <v/>
      </c>
      <c r="Z354" s="184" t="str">
        <f t="shared" si="143"/>
        <v/>
      </c>
      <c r="AA354" s="208"/>
      <c r="AB354" s="208"/>
      <c r="AC354" s="208"/>
      <c r="AD354" s="650"/>
      <c r="AE354" s="205"/>
      <c r="AF354" s="333"/>
      <c r="AG354" s="205"/>
      <c r="AH354" s="205"/>
      <c r="AI354" s="205"/>
      <c r="AJ354" s="641"/>
      <c r="AK354" s="205"/>
      <c r="AL354" s="496"/>
      <c r="AM354" s="496"/>
      <c r="AN354" s="627"/>
      <c r="AO354" s="205"/>
      <c r="AP354" s="205"/>
      <c r="AQ354" s="333" t="str">
        <f>UPPER(RIGHT(Journal_Live[[#This Row],[DURATION ]]))</f>
        <v/>
      </c>
      <c r="AR354" s="205"/>
      <c r="AS354" s="211"/>
      <c r="AT354" s="189"/>
      <c r="AU354" s="187"/>
      <c r="AV354" s="190"/>
      <c r="AW354" s="213"/>
      <c r="AX354" s="413"/>
      <c r="AY354" s="413"/>
      <c r="AZ354" s="413"/>
      <c r="BA354" s="413"/>
      <c r="BB354" s="413"/>
      <c r="BC354" s="413"/>
      <c r="BD354" s="413"/>
      <c r="BE354" s="413"/>
      <c r="BF354" s="427"/>
      <c r="BG354" s="391">
        <f>SUM($AV$4:AV354)</f>
        <v>2240.4850000000288</v>
      </c>
      <c r="BH354" s="392">
        <f>SUM($AU$134:AU354)</f>
        <v>-636.41000000000054</v>
      </c>
      <c r="BI354" s="318">
        <f>SUMIFS($AU$134:AU355,$Q$134:Q355,"F")</f>
        <v>-3014.8</v>
      </c>
      <c r="BJ354" s="318">
        <f>SUMIFS($AU$134:AU355,$Q$134:Q355,"S")</f>
        <v>2140.5499999999988</v>
      </c>
      <c r="BK354" s="343">
        <f>SUMIFS($AU$134:AU355,$P$134:P355,"W")</f>
        <v>1622.6899999999928</v>
      </c>
      <c r="BL354" s="343">
        <f>SUMIFS($AU$134:AU355,$P$134:P355,"R")</f>
        <v>-2243.0999999999935</v>
      </c>
      <c r="BM354" s="343">
        <f>SUMIFS($AU$134:AU355,$AQ$134:AQ355,"M")</f>
        <v>-34.699999999995292</v>
      </c>
      <c r="BN354" s="343">
        <f>SUMIFS($AU$134:AU355,$AQ$134:AQ355,"H")</f>
        <v>278.60000000001492</v>
      </c>
      <c r="BO354" s="343">
        <f>SUMIFS($AU$134:AU355,$AQ$134:AQ355,"D")</f>
        <v>-632.05000000000052</v>
      </c>
      <c r="BP354" s="343">
        <f>SUMIFS($AU$134:AU357,$AQ$134:AQ357,"W")</f>
        <v>-1270.7</v>
      </c>
      <c r="BQ354" s="343">
        <f>SUMIFS($AU$134:AU355,$Q$134:Q355,"O")</f>
        <v>54.639999999999787</v>
      </c>
      <c r="BR354" s="343">
        <f>SUMIFS($AU$134:AU355,$AA$134:AA355,"*")</f>
        <v>2068.7500000000286</v>
      </c>
      <c r="BS354" s="343">
        <f>SUMIFS($AU$134:AU355,$AB$134:AB355,"*")</f>
        <v>46.839999999975959</v>
      </c>
      <c r="BT354" s="343">
        <f>SUMIFS($AU$134:AU355,$AC$134:AC355,"*")</f>
        <v>-2330.7500000000009</v>
      </c>
      <c r="BU354" s="343">
        <f>SUMIFS($AU$134:AU355,$AA$134:AA355,"*",$AB$134:AB355,"*")</f>
        <v>-236.49999999999511</v>
      </c>
      <c r="BV354" s="343">
        <f>SUMIFS($AU$134:AU355,$AA$134:AA355,"*",$AC$134:AC355,"*")</f>
        <v>618.349999999999</v>
      </c>
      <c r="BW354" s="343">
        <f>SUMIFS($AU$134:AU355,$AB$134:AB355,"*",$AC$134:AC355,"*")</f>
        <v>30.299999999999642</v>
      </c>
      <c r="BX354" s="343">
        <f>SUMIFS($AU355:AU$1388,$Q355:Q$1388,"F")</f>
        <v>17455.466666666667</v>
      </c>
      <c r="BY354" s="343">
        <f>SUMIFS($AU355:AU$1388,$Q355:Q$1388,"S")</f>
        <v>18547.092000000001</v>
      </c>
      <c r="BZ354" s="343">
        <f>SUMIFS($AU355:AU$1388,$Q355:Q$1388,"O")</f>
        <v>-1703.4979999997986</v>
      </c>
    </row>
    <row r="355" spans="1:78" ht="15.75" customHeight="1">
      <c r="A355" s="221" t="s">
        <v>1720</v>
      </c>
      <c r="B355" s="200">
        <v>45000</v>
      </c>
      <c r="C355" s="201" t="s">
        <v>383</v>
      </c>
      <c r="D355" s="201" t="s">
        <v>151</v>
      </c>
      <c r="E355" s="247"/>
      <c r="F355" s="203"/>
      <c r="G355" s="314" t="s">
        <v>271</v>
      </c>
      <c r="H355" s="205"/>
      <c r="I355" s="205"/>
      <c r="J355" s="205"/>
      <c r="K355" s="206"/>
      <c r="L355" s="205">
        <v>1</v>
      </c>
      <c r="M355" s="205"/>
      <c r="N355" s="205"/>
      <c r="O355" s="206" t="s">
        <v>95</v>
      </c>
      <c r="P355" s="206" t="s">
        <v>96</v>
      </c>
      <c r="Q355" s="206" t="s">
        <v>97</v>
      </c>
      <c r="R355" s="206">
        <v>1</v>
      </c>
      <c r="S355" s="206">
        <v>1</v>
      </c>
      <c r="T355" s="206">
        <v>1</v>
      </c>
      <c r="U355" s="206" t="s">
        <v>97</v>
      </c>
      <c r="V355" s="206"/>
      <c r="W355" s="206"/>
      <c r="X355" s="206"/>
      <c r="Y355" s="184">
        <f t="shared" si="140"/>
        <v>0.01</v>
      </c>
      <c r="Z355" s="184">
        <f t="shared" ref="Z355:Z379" si="144">IF(ISBLANK(O355),"",IF(O355=UPPER("IB"),8.63*200,16*100))</f>
        <v>1600</v>
      </c>
      <c r="AA355" s="208" t="s">
        <v>1721</v>
      </c>
      <c r="AB355" s="208"/>
      <c r="AC355" s="208"/>
      <c r="AD355" s="650">
        <v>0</v>
      </c>
      <c r="AE355" s="205"/>
      <c r="AF355" s="333"/>
      <c r="AG355" s="205"/>
      <c r="AH355" s="205"/>
      <c r="AI355" s="205"/>
      <c r="AJ355" s="641"/>
      <c r="AK355" s="205"/>
      <c r="AL355" s="496"/>
      <c r="AM355" s="496"/>
      <c r="AN355" s="627"/>
      <c r="AO355" s="205"/>
      <c r="AP355" s="205" t="s">
        <v>967</v>
      </c>
      <c r="AQ355" s="333" t="str">
        <f>UPPER(RIGHT(Journal_Live[[#This Row],[DURATION ]]))</f>
        <v>H</v>
      </c>
      <c r="AR355" s="205" t="s">
        <v>1722</v>
      </c>
      <c r="AS355" s="211">
        <v>-0.01</v>
      </c>
      <c r="AT355" s="189">
        <f>IF(ISBLANK(AS355),,IF(U355="S",AD355-AS355,AS355-AD355))</f>
        <v>0.01</v>
      </c>
      <c r="AU355" s="187">
        <f>AV355*R355</f>
        <v>16</v>
      </c>
      <c r="AV355" s="190">
        <f>IF(ISBLANK(AS355),,(AT355*Z355))</f>
        <v>16</v>
      </c>
      <c r="AW355" s="213" t="s">
        <v>96</v>
      </c>
      <c r="AX355" s="413" t="s">
        <v>1723</v>
      </c>
      <c r="AY355" s="413" t="s">
        <v>1724</v>
      </c>
      <c r="AZ355" s="413"/>
      <c r="BA355" s="413"/>
      <c r="BB355" s="413"/>
      <c r="BC355" s="413"/>
      <c r="BD355" s="413"/>
      <c r="BE355" s="413"/>
      <c r="BF355" s="427"/>
      <c r="BG355" s="391">
        <f>SUM($AV$4:AV355)</f>
        <v>2256.4850000000288</v>
      </c>
      <c r="BH355" s="392">
        <f>SUM($AU$134:AU355)</f>
        <v>-620.41000000000054</v>
      </c>
      <c r="BI355" s="318">
        <f>SUMIFS($AU$134:AU356,$Q$134:Q356,"F")</f>
        <v>-3014.8</v>
      </c>
      <c r="BJ355" s="318">
        <f>SUMIFS($AU$134:AU356,$Q$134:Q356,"S")</f>
        <v>2140.5499999999988</v>
      </c>
      <c r="BK355" s="343">
        <f>SUMIFS($AU$134:AU356,$P$134:P356,"W")</f>
        <v>1622.6899999999928</v>
      </c>
      <c r="BL355" s="343">
        <f>SUMIFS($AU$134:AU356,$P$134:P356,"R")</f>
        <v>-2243.0999999999935</v>
      </c>
      <c r="BM355" s="343">
        <f>SUMIFS($AU$134:AU356,$AQ$134:AQ356,"M")</f>
        <v>-34.699999999995292</v>
      </c>
      <c r="BN355" s="343">
        <f>SUMIFS($AU$134:AU356,$AQ$134:AQ356,"H")</f>
        <v>278.60000000001492</v>
      </c>
      <c r="BO355" s="343">
        <f>SUMIFS($AU$134:AU356,$AQ$134:AQ356,"D")</f>
        <v>-632.05000000000052</v>
      </c>
      <c r="BP355" s="343">
        <f>SUMIFS($AU$134:AU358,$AQ$134:AQ358,"W")</f>
        <v>-1270.7</v>
      </c>
      <c r="BQ355" s="343">
        <f>SUMIFS($AU$134:AU356,$Q$134:Q356,"O")</f>
        <v>54.639999999999787</v>
      </c>
      <c r="BR355" s="343">
        <f>SUMIFS($AU$134:AU356,$AA$134:AA356,"*")</f>
        <v>2068.7500000000286</v>
      </c>
      <c r="BS355" s="343">
        <f>SUMIFS($AU$134:AU356,$AB$134:AB356,"*")</f>
        <v>46.839999999975959</v>
      </c>
      <c r="BT355" s="343">
        <f>SUMIFS($AU$134:AU356,$AC$134:AC356,"*")</f>
        <v>-2330.7500000000009</v>
      </c>
      <c r="BU355" s="343">
        <f>SUMIFS($AU$134:AU356,$AA$134:AA356,"*",$AB$134:AB356,"*")</f>
        <v>-236.49999999999511</v>
      </c>
      <c r="BV355" s="343">
        <f>SUMIFS($AU$134:AU356,$AA$134:AA356,"*",$AC$134:AC356,"*")</f>
        <v>618.349999999999</v>
      </c>
      <c r="BW355" s="343">
        <f>SUMIFS($AU$134:AU356,$AB$134:AB356,"*",$AC$134:AC356,"*")</f>
        <v>30.299999999999642</v>
      </c>
      <c r="BX355" s="343">
        <f>SUMIFS($AU356:AU$1388,$Q356:Q$1388,"F")</f>
        <v>17455.466666666667</v>
      </c>
      <c r="BY355" s="343">
        <f>SUMIFS($AU356:AU$1388,$Q356:Q$1388,"S")</f>
        <v>18531.092000000001</v>
      </c>
      <c r="BZ355" s="343">
        <f>SUMIFS($AU356:AU$1388,$Q356:Q$1388,"O")</f>
        <v>-1703.4979999997986</v>
      </c>
    </row>
    <row r="356" spans="1:78" ht="15.75" customHeight="1">
      <c r="A356" s="221" t="s">
        <v>1720</v>
      </c>
      <c r="B356" s="200">
        <v>45000</v>
      </c>
      <c r="C356" s="201" t="s">
        <v>1725</v>
      </c>
      <c r="D356" s="201" t="s">
        <v>151</v>
      </c>
      <c r="E356" s="247"/>
      <c r="F356" s="203"/>
      <c r="G356" s="314" t="s">
        <v>280</v>
      </c>
      <c r="H356" s="205"/>
      <c r="I356" s="205"/>
      <c r="J356" s="205"/>
      <c r="K356" s="206"/>
      <c r="L356" s="205">
        <v>1</v>
      </c>
      <c r="M356" s="205"/>
      <c r="N356" s="205"/>
      <c r="O356" s="206" t="s">
        <v>95</v>
      </c>
      <c r="P356" s="206" t="s">
        <v>137</v>
      </c>
      <c r="Q356" s="206" t="s">
        <v>97</v>
      </c>
      <c r="R356" s="206">
        <v>1</v>
      </c>
      <c r="S356" s="206">
        <v>1</v>
      </c>
      <c r="T356" s="206">
        <v>1</v>
      </c>
      <c r="U356" s="206" t="s">
        <v>22</v>
      </c>
      <c r="V356" s="206"/>
      <c r="W356" s="206"/>
      <c r="X356" s="206"/>
      <c r="Y356" s="184">
        <f t="shared" si="140"/>
        <v>0.01</v>
      </c>
      <c r="Z356" s="184">
        <f t="shared" si="144"/>
        <v>1600</v>
      </c>
      <c r="AA356" s="208" t="s">
        <v>1721</v>
      </c>
      <c r="AB356" s="208"/>
      <c r="AC356" s="208"/>
      <c r="AD356" s="650">
        <v>-0.04</v>
      </c>
      <c r="AE356" s="205"/>
      <c r="AF356" s="333"/>
      <c r="AG356" s="205"/>
      <c r="AH356" s="205"/>
      <c r="AI356" s="205"/>
      <c r="AJ356" s="641"/>
      <c r="AK356" s="205"/>
      <c r="AL356" s="496"/>
      <c r="AM356" s="496"/>
      <c r="AN356" s="627"/>
      <c r="AO356" s="205"/>
      <c r="AP356" s="205" t="s">
        <v>1639</v>
      </c>
      <c r="AQ356" s="333" t="str">
        <f>UPPER(RIGHT(Journal_Live[[#This Row],[DURATION ]]))</f>
        <v>H</v>
      </c>
      <c r="AR356" s="205" t="s">
        <v>629</v>
      </c>
      <c r="AS356" s="211">
        <v>-0.04</v>
      </c>
      <c r="AT356" s="189">
        <f>IF(ISBLANK(AS356),,IF(U356="S",AD356-AS356,AS356-AD356))</f>
        <v>0</v>
      </c>
      <c r="AU356" s="187">
        <f>AV356*R356</f>
        <v>0</v>
      </c>
      <c r="AV356" s="190">
        <f>IF(ISBLANK(AS356),,(AT356*Z356))</f>
        <v>0</v>
      </c>
      <c r="AW356" s="213" t="s">
        <v>115</v>
      </c>
      <c r="AX356" s="413"/>
      <c r="AY356" s="413"/>
      <c r="AZ356" s="413"/>
      <c r="BA356" s="413"/>
      <c r="BB356" s="413"/>
      <c r="BC356" s="413"/>
      <c r="BD356" s="413"/>
      <c r="BE356" s="413"/>
      <c r="BF356" s="427"/>
      <c r="BG356" s="391">
        <f>SUM($AV$4:AV356)</f>
        <v>2256.4850000000288</v>
      </c>
      <c r="BH356" s="392">
        <f>SUM($AU$134:AU356)</f>
        <v>-620.41000000000054</v>
      </c>
      <c r="BI356" s="318">
        <f>SUMIFS($AU$134:AU357,$Q$134:Q357,"F")</f>
        <v>-3014.8</v>
      </c>
      <c r="BJ356" s="318">
        <f>SUMIFS($AU$134:AU357,$Q$134:Q357,"S")</f>
        <v>2156.5499999999988</v>
      </c>
      <c r="BK356" s="343">
        <f>SUMIFS($AU$134:AU357,$P$134:P357,"W")</f>
        <v>1638.6899999999928</v>
      </c>
      <c r="BL356" s="343">
        <f>SUMIFS($AU$134:AU357,$P$134:P357,"R")</f>
        <v>-2243.0999999999935</v>
      </c>
      <c r="BM356" s="343">
        <f>SUMIFS($AU$134:AU357,$AQ$134:AQ357,"M")</f>
        <v>-18.699999999995292</v>
      </c>
      <c r="BN356" s="343">
        <f>SUMIFS($AU$134:AU357,$AQ$134:AQ357,"H")</f>
        <v>278.60000000001492</v>
      </c>
      <c r="BO356" s="343">
        <f>SUMIFS($AU$134:AU357,$AQ$134:AQ357,"D")</f>
        <v>-632.05000000000052</v>
      </c>
      <c r="BP356" s="343">
        <f>SUMIFS($AU$134:AU359,$AQ$134:AQ359,"W")</f>
        <v>-1270.7</v>
      </c>
      <c r="BQ356" s="343">
        <f>SUMIFS($AU$134:AU357,$Q$134:Q357,"O")</f>
        <v>54.639999999999787</v>
      </c>
      <c r="BR356" s="343">
        <f>SUMIFS($AU$134:AU357,$AA$134:AA357,"*")</f>
        <v>2084.7500000000286</v>
      </c>
      <c r="BS356" s="343">
        <f>SUMIFS($AU$134:AU357,$AB$134:AB357,"*")</f>
        <v>46.839999999975959</v>
      </c>
      <c r="BT356" s="343">
        <f>SUMIFS($AU$134:AU357,$AC$134:AC357,"*")</f>
        <v>-2330.7500000000009</v>
      </c>
      <c r="BU356" s="343">
        <f>SUMIFS($AU$134:AU357,$AA$134:AA357,"*",$AB$134:AB357,"*")</f>
        <v>-236.49999999999511</v>
      </c>
      <c r="BV356" s="343">
        <f>SUMIFS($AU$134:AU357,$AA$134:AA357,"*",$AC$134:AC357,"*")</f>
        <v>618.349999999999</v>
      </c>
      <c r="BW356" s="343">
        <f>SUMIFS($AU$134:AU357,$AB$134:AB357,"*",$AC$134:AC357,"*")</f>
        <v>30.299999999999642</v>
      </c>
      <c r="BX356" s="343">
        <f>SUMIFS($AU357:AU$1388,$Q357:Q$1388,"F")</f>
        <v>17455.466666666667</v>
      </c>
      <c r="BY356" s="343">
        <f>SUMIFS($AU357:AU$1388,$Q357:Q$1388,"S")</f>
        <v>18531.092000000001</v>
      </c>
      <c r="BZ356" s="343">
        <f>SUMIFS($AU357:AU$1388,$Q357:Q$1388,"O")</f>
        <v>-1703.4979999997986</v>
      </c>
    </row>
    <row r="357" spans="1:78" ht="15.75" customHeight="1">
      <c r="A357" s="221" t="s">
        <v>1720</v>
      </c>
      <c r="B357" s="200">
        <v>45000</v>
      </c>
      <c r="C357" s="201" t="s">
        <v>1726</v>
      </c>
      <c r="D357" s="201" t="s">
        <v>151</v>
      </c>
      <c r="E357" s="247"/>
      <c r="F357" s="203"/>
      <c r="G357" s="314" t="s">
        <v>271</v>
      </c>
      <c r="H357" s="205"/>
      <c r="I357" s="205"/>
      <c r="J357" s="205"/>
      <c r="K357" s="206"/>
      <c r="L357" s="205">
        <v>1</v>
      </c>
      <c r="M357" s="205"/>
      <c r="N357" s="205"/>
      <c r="O357" s="206" t="s">
        <v>95</v>
      </c>
      <c r="P357" s="206" t="s">
        <v>96</v>
      </c>
      <c r="Q357" s="206" t="s">
        <v>97</v>
      </c>
      <c r="R357" s="206">
        <v>1</v>
      </c>
      <c r="S357" s="206">
        <v>1</v>
      </c>
      <c r="T357" s="206">
        <v>1</v>
      </c>
      <c r="U357" s="206" t="s">
        <v>97</v>
      </c>
      <c r="V357" s="206"/>
      <c r="W357" s="206"/>
      <c r="X357" s="206"/>
      <c r="Y357" s="184">
        <f t="shared" si="140"/>
        <v>0.01</v>
      </c>
      <c r="Z357" s="184">
        <f t="shared" si="144"/>
        <v>1600</v>
      </c>
      <c r="AA357" s="208" t="s">
        <v>1721</v>
      </c>
      <c r="AB357" s="208"/>
      <c r="AC357" s="208"/>
      <c r="AD357" s="650">
        <v>0</v>
      </c>
      <c r="AE357" s="205"/>
      <c r="AF357" s="333"/>
      <c r="AG357" s="205"/>
      <c r="AH357" s="205"/>
      <c r="AI357" s="205"/>
      <c r="AJ357" s="641"/>
      <c r="AK357" s="205"/>
      <c r="AL357" s="496"/>
      <c r="AM357" s="496"/>
      <c r="AN357" s="627"/>
      <c r="AO357" s="205"/>
      <c r="AP357" s="205" t="s">
        <v>1727</v>
      </c>
      <c r="AQ357" s="333" t="str">
        <f>UPPER(RIGHT(Journal_Live[[#This Row],[DURATION ]]))</f>
        <v>M</v>
      </c>
      <c r="AR357" s="205" t="s">
        <v>1728</v>
      </c>
      <c r="AS357" s="211">
        <v>-0.01</v>
      </c>
      <c r="AT357" s="189">
        <f>IF(ISBLANK(AS357),,IF(U357="S",AD357-AS357,AS357-AD357))</f>
        <v>0.01</v>
      </c>
      <c r="AU357" s="187">
        <f>AV357*R357</f>
        <v>16</v>
      </c>
      <c r="AV357" s="190">
        <f>IF(ISBLANK(AS357),,(AT357*Z357))</f>
        <v>16</v>
      </c>
      <c r="AW357" s="213" t="s">
        <v>96</v>
      </c>
      <c r="AX357" s="413" t="s">
        <v>1729</v>
      </c>
      <c r="AY357" s="413"/>
      <c r="AZ357" s="413"/>
      <c r="BA357" s="413"/>
      <c r="BB357" s="413"/>
      <c r="BC357" s="413"/>
      <c r="BD357" s="413"/>
      <c r="BE357" s="413"/>
      <c r="BF357" s="427"/>
      <c r="BG357" s="391">
        <f>SUM($AV$4:AV357)</f>
        <v>2272.4850000000288</v>
      </c>
      <c r="BH357" s="392">
        <f>SUM($AU$134:AU357)</f>
        <v>-604.41000000000054</v>
      </c>
      <c r="BI357" s="318">
        <f>SUMIFS($AU$134:AU358,$Q$134:Q358,"F")</f>
        <v>-3014.8</v>
      </c>
      <c r="BJ357" s="318">
        <f>SUMIFS($AU$134:AU358,$Q$134:Q358,"S")</f>
        <v>2156.5499999999988</v>
      </c>
      <c r="BK357" s="343">
        <f>SUMIFS($AU$134:AU358,$P$134:P358,"W")</f>
        <v>1638.6899999999928</v>
      </c>
      <c r="BL357" s="343">
        <f>SUMIFS($AU$134:AU358,$P$134:P358,"R")</f>
        <v>-2243.0999999999935</v>
      </c>
      <c r="BM357" s="343">
        <f>SUMIFS($AU$134:AU358,$AQ$134:AQ358,"M")</f>
        <v>-18.699999999995292</v>
      </c>
      <c r="BN357" s="343">
        <f>SUMIFS($AU$134:AU358,$AQ$134:AQ358,"H")</f>
        <v>278.60000000001492</v>
      </c>
      <c r="BO357" s="343">
        <f>SUMIFS($AU$134:AU358,$AQ$134:AQ358,"D")</f>
        <v>-632.05000000000052</v>
      </c>
      <c r="BP357" s="343">
        <f>SUMIFS($AU$134:AU360,$AQ$134:AQ360,"W")</f>
        <v>-1270.7</v>
      </c>
      <c r="BQ357" s="343">
        <f>SUMIFS($AU$134:AU358,$Q$134:Q358,"O")</f>
        <v>54.639999999999787</v>
      </c>
      <c r="BR357" s="343">
        <f>SUMIFS($AU$134:AU358,$AA$134:AA358,"*")</f>
        <v>2084.7500000000286</v>
      </c>
      <c r="BS357" s="343">
        <f>SUMIFS($AU$134:AU358,$AB$134:AB358,"*")</f>
        <v>46.839999999975959</v>
      </c>
      <c r="BT357" s="343">
        <f>SUMIFS($AU$134:AU358,$AC$134:AC358,"*")</f>
        <v>-2330.7500000000009</v>
      </c>
      <c r="BU357" s="343">
        <f>SUMIFS($AU$134:AU358,$AA$134:AA358,"*",$AB$134:AB358,"*")</f>
        <v>-236.49999999999511</v>
      </c>
      <c r="BV357" s="343">
        <f>SUMIFS($AU$134:AU358,$AA$134:AA358,"*",$AC$134:AC358,"*")</f>
        <v>618.349999999999</v>
      </c>
      <c r="BW357" s="343">
        <f>SUMIFS($AU$134:AU358,$AB$134:AB358,"*",$AC$134:AC358,"*")</f>
        <v>30.299999999999642</v>
      </c>
      <c r="BX357" s="343">
        <f>SUMIFS($AU358:AU$1388,$Q358:Q$1388,"F")</f>
        <v>17455.466666666667</v>
      </c>
      <c r="BY357" s="343">
        <f>SUMIFS($AU358:AU$1388,$Q358:Q$1388,"S")</f>
        <v>18515.092000000001</v>
      </c>
      <c r="BZ357" s="343">
        <f>SUMIFS($AU358:AU$1388,$Q358:Q$1388,"O")</f>
        <v>-1703.4979999997986</v>
      </c>
    </row>
    <row r="358" spans="1:78" ht="15.75" customHeight="1">
      <c r="A358" s="221" t="s">
        <v>1720</v>
      </c>
      <c r="B358" s="200">
        <v>45000</v>
      </c>
      <c r="C358" s="201" t="s">
        <v>1714</v>
      </c>
      <c r="D358" s="201" t="s">
        <v>151</v>
      </c>
      <c r="E358" s="247" t="s">
        <v>1730</v>
      </c>
      <c r="F358" s="203" t="s">
        <v>1731</v>
      </c>
      <c r="G358" s="204"/>
      <c r="H358" s="205"/>
      <c r="I358" s="205">
        <v>1</v>
      </c>
      <c r="J358" s="205"/>
      <c r="K358" s="206"/>
      <c r="L358" s="205"/>
      <c r="M358" s="205"/>
      <c r="N358" s="205"/>
      <c r="O358" s="206"/>
      <c r="P358" s="206"/>
      <c r="Q358" s="206"/>
      <c r="R358" s="206"/>
      <c r="S358" s="206"/>
      <c r="T358" s="206"/>
      <c r="U358" s="206"/>
      <c r="V358" s="206"/>
      <c r="W358" s="206"/>
      <c r="X358" s="206"/>
      <c r="Y358" s="184" t="str">
        <f t="shared" si="140"/>
        <v/>
      </c>
      <c r="Z358" s="184" t="str">
        <f t="shared" si="144"/>
        <v/>
      </c>
      <c r="AA358" s="208"/>
      <c r="AB358" s="208"/>
      <c r="AC358" s="208"/>
      <c r="AD358" s="650"/>
      <c r="AE358" s="205"/>
      <c r="AF358" s="333"/>
      <c r="AG358" s="205"/>
      <c r="AH358" s="205"/>
      <c r="AI358" s="205"/>
      <c r="AJ358" s="641"/>
      <c r="AK358" s="205"/>
      <c r="AL358" s="496"/>
      <c r="AM358" s="496"/>
      <c r="AN358" s="627"/>
      <c r="AO358" s="205"/>
      <c r="AP358" s="205"/>
      <c r="AQ358" s="333" t="str">
        <f>UPPER(RIGHT(Journal_Live[[#This Row],[DURATION ]]))</f>
        <v/>
      </c>
      <c r="AR358" s="205"/>
      <c r="AS358" s="211"/>
      <c r="AT358" s="189"/>
      <c r="AU358" s="187"/>
      <c r="AV358" s="190"/>
      <c r="AW358" s="213"/>
      <c r="AX358" s="413"/>
      <c r="AY358" s="413"/>
      <c r="AZ358" s="413"/>
      <c r="BA358" s="413"/>
      <c r="BB358" s="413"/>
      <c r="BC358" s="413"/>
      <c r="BD358" s="413"/>
      <c r="BE358" s="413"/>
      <c r="BF358" s="427"/>
      <c r="BG358" s="391">
        <f>SUM($AV$4:AV358)</f>
        <v>2272.4850000000288</v>
      </c>
      <c r="BH358" s="392">
        <f>SUM($AU$134:AU358)</f>
        <v>-604.41000000000054</v>
      </c>
      <c r="BI358" s="318">
        <f>SUMIFS($AU$134:AU359,$Q$134:Q359,"F")</f>
        <v>-3014.8</v>
      </c>
      <c r="BJ358" s="318">
        <f>SUMIFS($AU$134:AU359,$Q$134:Q359,"S")</f>
        <v>2156.5499999999988</v>
      </c>
      <c r="BK358" s="343">
        <f>SUMIFS($AU$134:AU359,$P$134:P359,"W")</f>
        <v>1638.6899999999928</v>
      </c>
      <c r="BL358" s="343">
        <f>SUMIFS($AU$134:AU359,$P$134:P359,"R")</f>
        <v>-2243.0999999999935</v>
      </c>
      <c r="BM358" s="343">
        <f>SUMIFS($AU$134:AU359,$AQ$134:AQ359,"M")</f>
        <v>-18.699999999995292</v>
      </c>
      <c r="BN358" s="343">
        <f>SUMIFS($AU$134:AU359,$AQ$134:AQ359,"H")</f>
        <v>278.60000000001492</v>
      </c>
      <c r="BO358" s="343">
        <f>SUMIFS($AU$134:AU359,$AQ$134:AQ359,"D")</f>
        <v>-632.05000000000052</v>
      </c>
      <c r="BP358" s="343">
        <f>SUMIFS($AU$134:AU361,$AQ$134:AQ361,"W")</f>
        <v>-1270.7</v>
      </c>
      <c r="BQ358" s="343">
        <f>SUMIFS($AU$134:AU359,$Q$134:Q359,"O")</f>
        <v>54.639999999999787</v>
      </c>
      <c r="BR358" s="343">
        <f>SUMIFS($AU$134:AU359,$AA$134:AA359,"*")</f>
        <v>2084.7500000000286</v>
      </c>
      <c r="BS358" s="343">
        <f>SUMIFS($AU$134:AU359,$AB$134:AB359,"*")</f>
        <v>46.839999999975959</v>
      </c>
      <c r="BT358" s="343">
        <f>SUMIFS($AU$134:AU359,$AC$134:AC359,"*")</f>
        <v>-2330.7500000000009</v>
      </c>
      <c r="BU358" s="343">
        <f>SUMIFS($AU$134:AU359,$AA$134:AA359,"*",$AB$134:AB359,"*")</f>
        <v>-236.49999999999511</v>
      </c>
      <c r="BV358" s="343">
        <f>SUMIFS($AU$134:AU359,$AA$134:AA359,"*",$AC$134:AC359,"*")</f>
        <v>618.349999999999</v>
      </c>
      <c r="BW358" s="343">
        <f>SUMIFS($AU$134:AU359,$AB$134:AB359,"*",$AC$134:AC359,"*")</f>
        <v>30.299999999999642</v>
      </c>
      <c r="BX358" s="343">
        <f>SUMIFS($AU359:AU$1388,$Q359:Q$1388,"F")</f>
        <v>17455.466666666667</v>
      </c>
      <c r="BY358" s="343">
        <f>SUMIFS($AU359:AU$1388,$Q359:Q$1388,"S")</f>
        <v>18515.092000000001</v>
      </c>
      <c r="BZ358" s="343">
        <f>SUMIFS($AU359:AU$1388,$Q359:Q$1388,"O")</f>
        <v>-1703.4979999997986</v>
      </c>
    </row>
    <row r="359" spans="1:78" ht="15.75" customHeight="1">
      <c r="A359" s="221" t="s">
        <v>1720</v>
      </c>
      <c r="B359" s="200"/>
      <c r="C359" s="201"/>
      <c r="D359" s="201"/>
      <c r="E359" s="247" t="s">
        <v>1732</v>
      </c>
      <c r="F359" s="203" t="s">
        <v>1733</v>
      </c>
      <c r="G359" s="204"/>
      <c r="H359" s="205"/>
      <c r="I359" s="205"/>
      <c r="J359" s="205">
        <v>1</v>
      </c>
      <c r="K359" s="206" t="s">
        <v>115</v>
      </c>
      <c r="L359" s="205"/>
      <c r="M359" s="205"/>
      <c r="N359" s="205"/>
      <c r="O359" s="206"/>
      <c r="P359" s="206"/>
      <c r="Q359" s="206"/>
      <c r="R359" s="206"/>
      <c r="S359" s="206"/>
      <c r="T359" s="206"/>
      <c r="U359" s="206"/>
      <c r="V359" s="206"/>
      <c r="W359" s="206"/>
      <c r="X359" s="206"/>
      <c r="Y359" s="184" t="str">
        <f t="shared" si="140"/>
        <v/>
      </c>
      <c r="Z359" s="184" t="str">
        <f t="shared" si="144"/>
        <v/>
      </c>
      <c r="AA359" s="208"/>
      <c r="AB359" s="208"/>
      <c r="AC359" s="208"/>
      <c r="AD359" s="650"/>
      <c r="AE359" s="205"/>
      <c r="AF359" s="333"/>
      <c r="AG359" s="205"/>
      <c r="AH359" s="205"/>
      <c r="AI359" s="205"/>
      <c r="AJ359" s="641"/>
      <c r="AK359" s="205"/>
      <c r="AL359" s="496"/>
      <c r="AM359" s="496"/>
      <c r="AN359" s="627"/>
      <c r="AO359" s="205"/>
      <c r="AP359" s="205"/>
      <c r="AQ359" s="333" t="str">
        <f>UPPER(RIGHT(Journal_Live[[#This Row],[DURATION ]]))</f>
        <v/>
      </c>
      <c r="AR359" s="205"/>
      <c r="AS359" s="211"/>
      <c r="AT359" s="189"/>
      <c r="AU359" s="187"/>
      <c r="AV359" s="190"/>
      <c r="AW359" s="213"/>
      <c r="AX359" s="413" t="s">
        <v>1734</v>
      </c>
      <c r="AY359" s="413" t="s">
        <v>1735</v>
      </c>
      <c r="AZ359" s="413" t="s">
        <v>529</v>
      </c>
      <c r="BA359" s="413"/>
      <c r="BB359" s="413"/>
      <c r="BC359" s="413"/>
      <c r="BD359" s="413"/>
      <c r="BE359" s="413"/>
      <c r="BF359" s="427"/>
      <c r="BG359" s="391">
        <f>SUM($AV$4:AV359)</f>
        <v>2272.4850000000288</v>
      </c>
      <c r="BH359" s="392">
        <f>SUM($AU$134:AU359)</f>
        <v>-604.41000000000054</v>
      </c>
      <c r="BI359" s="318">
        <f>SUMIFS($AU$134:AU360,$Q$134:Q360,"F")</f>
        <v>-3014.8</v>
      </c>
      <c r="BJ359" s="318">
        <f>SUMIFS($AU$134:AU360,$Q$134:Q360,"S")</f>
        <v>2156.5499999999988</v>
      </c>
      <c r="BK359" s="343">
        <f>SUMIFS($AU$134:AU360,$P$134:P360,"W")</f>
        <v>1638.6899999999928</v>
      </c>
      <c r="BL359" s="343">
        <f>SUMIFS($AU$134:AU360,$P$134:P360,"R")</f>
        <v>-2243.0999999999935</v>
      </c>
      <c r="BM359" s="343">
        <f>SUMIFS($AU$134:AU360,$AQ$134:AQ360,"M")</f>
        <v>-18.699999999995292</v>
      </c>
      <c r="BN359" s="343">
        <f>SUMIFS($AU$134:AU360,$AQ$134:AQ360,"H")</f>
        <v>278.60000000001492</v>
      </c>
      <c r="BO359" s="343">
        <f>SUMIFS($AU$134:AU360,$AQ$134:AQ360,"D")</f>
        <v>-632.05000000000052</v>
      </c>
      <c r="BP359" s="343">
        <f>SUMIFS($AU$134:AU362,$AQ$134:AQ362,"W")</f>
        <v>-1270.7</v>
      </c>
      <c r="BQ359" s="343">
        <f>SUMIFS($AU$134:AU360,$Q$134:Q360,"O")</f>
        <v>54.639999999999787</v>
      </c>
      <c r="BR359" s="343">
        <f>SUMIFS($AU$134:AU360,$AA$134:AA360,"*")</f>
        <v>2084.7500000000286</v>
      </c>
      <c r="BS359" s="343">
        <f>SUMIFS($AU$134:AU360,$AB$134:AB360,"*")</f>
        <v>46.839999999975959</v>
      </c>
      <c r="BT359" s="343">
        <f>SUMIFS($AU$134:AU360,$AC$134:AC360,"*")</f>
        <v>-2330.7500000000009</v>
      </c>
      <c r="BU359" s="343">
        <f>SUMIFS($AU$134:AU360,$AA$134:AA360,"*",$AB$134:AB360,"*")</f>
        <v>-236.49999999999511</v>
      </c>
      <c r="BV359" s="343">
        <f>SUMIFS($AU$134:AU360,$AA$134:AA360,"*",$AC$134:AC360,"*")</f>
        <v>618.349999999999</v>
      </c>
      <c r="BW359" s="343">
        <f>SUMIFS($AU$134:AU360,$AB$134:AB360,"*",$AC$134:AC360,"*")</f>
        <v>30.299999999999642</v>
      </c>
      <c r="BX359" s="343">
        <f>SUMIFS($AU360:AU$1388,$Q360:Q$1388,"F")</f>
        <v>17455.466666666667</v>
      </c>
      <c r="BY359" s="343">
        <f>SUMIFS($AU360:AU$1388,$Q360:Q$1388,"S")</f>
        <v>18515.092000000001</v>
      </c>
      <c r="BZ359" s="343">
        <f>SUMIFS($AU360:AU$1388,$Q360:Q$1388,"O")</f>
        <v>-1703.4979999997986</v>
      </c>
    </row>
    <row r="360" spans="1:78" ht="15.75" customHeight="1">
      <c r="A360" s="221" t="s">
        <v>1720</v>
      </c>
      <c r="B360" s="200"/>
      <c r="C360" s="201"/>
      <c r="D360" s="201"/>
      <c r="E360" s="247" t="s">
        <v>1736</v>
      </c>
      <c r="F360" s="203" t="s">
        <v>1737</v>
      </c>
      <c r="G360" s="204"/>
      <c r="H360" s="205"/>
      <c r="I360" s="205"/>
      <c r="J360" s="205">
        <v>1</v>
      </c>
      <c r="K360" s="206" t="s">
        <v>115</v>
      </c>
      <c r="L360" s="205"/>
      <c r="M360" s="205"/>
      <c r="N360" s="205"/>
      <c r="O360" s="206"/>
      <c r="P360" s="206"/>
      <c r="Q360" s="206"/>
      <c r="R360" s="206"/>
      <c r="S360" s="206"/>
      <c r="T360" s="206"/>
      <c r="U360" s="206"/>
      <c r="V360" s="206"/>
      <c r="W360" s="206"/>
      <c r="X360" s="206"/>
      <c r="Y360" s="184" t="str">
        <f t="shared" si="140"/>
        <v/>
      </c>
      <c r="Z360" s="184" t="str">
        <f t="shared" si="144"/>
        <v/>
      </c>
      <c r="AA360" s="208"/>
      <c r="AB360" s="208"/>
      <c r="AC360" s="208"/>
      <c r="AD360" s="650"/>
      <c r="AE360" s="205"/>
      <c r="AF360" s="333"/>
      <c r="AG360" s="205"/>
      <c r="AH360" s="205"/>
      <c r="AI360" s="205"/>
      <c r="AJ360" s="641"/>
      <c r="AK360" s="205"/>
      <c r="AL360" s="496"/>
      <c r="AM360" s="496"/>
      <c r="AN360" s="627"/>
      <c r="AO360" s="205"/>
      <c r="AP360" s="205"/>
      <c r="AQ360" s="333" t="str">
        <f>UPPER(RIGHT(Journal_Live[[#This Row],[DURATION ]]))</f>
        <v/>
      </c>
      <c r="AR360" s="205"/>
      <c r="AS360" s="211"/>
      <c r="AT360" s="189"/>
      <c r="AU360" s="187"/>
      <c r="AV360" s="190"/>
      <c r="AW360" s="213"/>
      <c r="AX360" s="413"/>
      <c r="AY360" s="413"/>
      <c r="AZ360" s="413"/>
      <c r="BA360" s="413"/>
      <c r="BB360" s="413"/>
      <c r="BC360" s="413"/>
      <c r="BD360" s="413"/>
      <c r="BE360" s="413"/>
      <c r="BF360" s="427"/>
      <c r="BG360" s="391">
        <f>SUM($AV$4:AV360)</f>
        <v>2272.4850000000288</v>
      </c>
      <c r="BH360" s="392">
        <f>SUM($AU$134:AU360)</f>
        <v>-604.41000000000054</v>
      </c>
      <c r="BI360" s="318">
        <f>SUMIFS($AU$134:AU361,$Q$134:Q361,"F")</f>
        <v>-3014.8</v>
      </c>
      <c r="BJ360" s="318">
        <f>SUMIFS($AU$134:AU361,$Q$134:Q361,"S")</f>
        <v>2156.5499999999988</v>
      </c>
      <c r="BK360" s="343">
        <f>SUMIFS($AU$134:AU361,$P$134:P361,"W")</f>
        <v>1638.6899999999928</v>
      </c>
      <c r="BL360" s="343">
        <f>SUMIFS($AU$134:AU361,$P$134:P361,"R")</f>
        <v>-2243.0999999999935</v>
      </c>
      <c r="BM360" s="343">
        <f>SUMIFS($AU$134:AU361,$AQ$134:AQ361,"M")</f>
        <v>-18.699999999995292</v>
      </c>
      <c r="BN360" s="343">
        <f>SUMIFS($AU$134:AU361,$AQ$134:AQ361,"H")</f>
        <v>278.60000000001492</v>
      </c>
      <c r="BO360" s="343">
        <f>SUMIFS($AU$134:AU361,$AQ$134:AQ361,"D")</f>
        <v>-632.05000000000052</v>
      </c>
      <c r="BP360" s="343">
        <f>SUMIFS($AU$134:AU363,$AQ$134:AQ363,"W")</f>
        <v>-1270.7</v>
      </c>
      <c r="BQ360" s="343">
        <f>SUMIFS($AU$134:AU361,$Q$134:Q361,"O")</f>
        <v>54.639999999999787</v>
      </c>
      <c r="BR360" s="343">
        <f>SUMIFS($AU$134:AU361,$AA$134:AA361,"*")</f>
        <v>2084.7500000000286</v>
      </c>
      <c r="BS360" s="343">
        <f>SUMIFS($AU$134:AU361,$AB$134:AB361,"*")</f>
        <v>46.839999999975959</v>
      </c>
      <c r="BT360" s="343">
        <f>SUMIFS($AU$134:AU361,$AC$134:AC361,"*")</f>
        <v>-2330.7500000000009</v>
      </c>
      <c r="BU360" s="343">
        <f>SUMIFS($AU$134:AU361,$AA$134:AA361,"*",$AB$134:AB361,"*")</f>
        <v>-236.49999999999511</v>
      </c>
      <c r="BV360" s="343">
        <f>SUMIFS($AU$134:AU361,$AA$134:AA361,"*",$AC$134:AC361,"*")</f>
        <v>618.349999999999</v>
      </c>
      <c r="BW360" s="343">
        <f>SUMIFS($AU$134:AU361,$AB$134:AB361,"*",$AC$134:AC361,"*")</f>
        <v>30.299999999999642</v>
      </c>
      <c r="BX360" s="343">
        <f>SUMIFS($AU361:AU$1388,$Q361:Q$1388,"F")</f>
        <v>17455.466666666667</v>
      </c>
      <c r="BY360" s="343">
        <f>SUMIFS($AU361:AU$1388,$Q361:Q$1388,"S")</f>
        <v>18515.092000000001</v>
      </c>
      <c r="BZ360" s="343">
        <f>SUMIFS($AU361:AU$1388,$Q361:Q$1388,"O")</f>
        <v>-1703.4979999997986</v>
      </c>
    </row>
    <row r="361" spans="1:78" ht="15.75" customHeight="1">
      <c r="A361" s="221" t="s">
        <v>1720</v>
      </c>
      <c r="B361" s="200">
        <v>45001</v>
      </c>
      <c r="C361" s="201" t="s">
        <v>1255</v>
      </c>
      <c r="D361" s="201" t="s">
        <v>93</v>
      </c>
      <c r="E361" s="247" t="s">
        <v>1738</v>
      </c>
      <c r="F361" s="203"/>
      <c r="G361" s="204"/>
      <c r="H361" s="205"/>
      <c r="I361" s="205"/>
      <c r="J361" s="205"/>
      <c r="K361" s="206"/>
      <c r="L361" s="205"/>
      <c r="M361" s="205"/>
      <c r="N361" s="205"/>
      <c r="O361" s="206"/>
      <c r="P361" s="206"/>
      <c r="Q361" s="206"/>
      <c r="R361" s="206"/>
      <c r="S361" s="206"/>
      <c r="T361" s="206"/>
      <c r="U361" s="206"/>
      <c r="V361" s="206"/>
      <c r="W361" s="206"/>
      <c r="X361" s="206"/>
      <c r="Y361" s="184" t="str">
        <f t="shared" si="140"/>
        <v/>
      </c>
      <c r="Z361" s="184" t="str">
        <f t="shared" si="144"/>
        <v/>
      </c>
      <c r="AA361" s="208"/>
      <c r="AB361" s="208"/>
      <c r="AC361" s="208"/>
      <c r="AD361" s="650"/>
      <c r="AE361" s="205"/>
      <c r="AF361" s="333"/>
      <c r="AG361" s="205"/>
      <c r="AH361" s="205"/>
      <c r="AI361" s="205"/>
      <c r="AJ361" s="641"/>
      <c r="AK361" s="205"/>
      <c r="AL361" s="496"/>
      <c r="AM361" s="496"/>
      <c r="AN361" s="627"/>
      <c r="AO361" s="205"/>
      <c r="AP361" s="205"/>
      <c r="AQ361" s="333" t="str">
        <f>UPPER(RIGHT(Journal_Live[[#This Row],[DURATION ]]))</f>
        <v/>
      </c>
      <c r="AR361" s="205"/>
      <c r="AS361" s="211"/>
      <c r="AT361" s="189"/>
      <c r="AU361" s="187"/>
      <c r="AV361" s="190"/>
      <c r="AW361" s="213"/>
      <c r="AX361" s="413"/>
      <c r="AY361" s="413"/>
      <c r="AZ361" s="413"/>
      <c r="BA361" s="413"/>
      <c r="BB361" s="413"/>
      <c r="BC361" s="413"/>
      <c r="BD361" s="413"/>
      <c r="BE361" s="413"/>
      <c r="BF361" s="427"/>
      <c r="BG361" s="391">
        <f>SUM($AV$4:AV361)</f>
        <v>2272.4850000000288</v>
      </c>
      <c r="BH361" s="392">
        <f>SUM($AU$134:AU361)</f>
        <v>-604.41000000000054</v>
      </c>
      <c r="BI361" s="318">
        <f>SUMIFS($AU$134:AU362,$Q$134:Q362,"F")</f>
        <v>-3014.8</v>
      </c>
      <c r="BJ361" s="318">
        <f>SUMIFS($AU$134:AU362,$Q$134:Q362,"S")</f>
        <v>2156.5499999999988</v>
      </c>
      <c r="BK361" s="343">
        <f>SUMIFS($AU$134:AU362,$P$134:P362,"W")</f>
        <v>1638.6899999999928</v>
      </c>
      <c r="BL361" s="343">
        <f>SUMIFS($AU$134:AU362,$P$134:P362,"R")</f>
        <v>-2243.0999999999935</v>
      </c>
      <c r="BM361" s="343">
        <f>SUMIFS($AU$134:AU362,$AQ$134:AQ362,"M")</f>
        <v>-18.699999999995292</v>
      </c>
      <c r="BN361" s="343">
        <f>SUMIFS($AU$134:AU362,$AQ$134:AQ362,"H")</f>
        <v>278.60000000001492</v>
      </c>
      <c r="BO361" s="343">
        <f>SUMIFS($AU$134:AU362,$AQ$134:AQ362,"D")</f>
        <v>-632.05000000000052</v>
      </c>
      <c r="BP361" s="343">
        <f>SUMIFS($AU$134:AU364,$AQ$134:AQ364,"W")</f>
        <v>-1270.7</v>
      </c>
      <c r="BQ361" s="343">
        <f>SUMIFS($AU$134:AU362,$Q$134:Q362,"O")</f>
        <v>54.639999999999787</v>
      </c>
      <c r="BR361" s="343">
        <f>SUMIFS($AU$134:AU362,$AA$134:AA362,"*")</f>
        <v>2084.7500000000286</v>
      </c>
      <c r="BS361" s="343">
        <f>SUMIFS($AU$134:AU362,$AB$134:AB362,"*")</f>
        <v>46.839999999975959</v>
      </c>
      <c r="BT361" s="343">
        <f>SUMIFS($AU$134:AU362,$AC$134:AC362,"*")</f>
        <v>-2330.7500000000009</v>
      </c>
      <c r="BU361" s="343">
        <f>SUMIFS($AU$134:AU362,$AA$134:AA362,"*",$AB$134:AB362,"*")</f>
        <v>-236.49999999999511</v>
      </c>
      <c r="BV361" s="343">
        <f>SUMIFS($AU$134:AU362,$AA$134:AA362,"*",$AC$134:AC362,"*")</f>
        <v>618.349999999999</v>
      </c>
      <c r="BW361" s="343">
        <f>SUMIFS($AU$134:AU362,$AB$134:AB362,"*",$AC$134:AC362,"*")</f>
        <v>30.299999999999642</v>
      </c>
      <c r="BX361" s="343">
        <f>SUMIFS($AU362:AU$1388,$Q362:Q$1388,"F")</f>
        <v>17455.466666666667</v>
      </c>
      <c r="BY361" s="343">
        <f>SUMIFS($AU362:AU$1388,$Q362:Q$1388,"S")</f>
        <v>18515.092000000001</v>
      </c>
      <c r="BZ361" s="343">
        <f>SUMIFS($AU362:AU$1388,$Q362:Q$1388,"O")</f>
        <v>-1703.4979999997986</v>
      </c>
    </row>
    <row r="362" spans="1:78" ht="15.75" customHeight="1">
      <c r="A362" s="221" t="s">
        <v>1720</v>
      </c>
      <c r="B362" s="200"/>
      <c r="C362" s="201"/>
      <c r="D362" s="201"/>
      <c r="E362" s="247" t="s">
        <v>1739</v>
      </c>
      <c r="F362" s="203"/>
      <c r="G362" s="204"/>
      <c r="H362" s="205"/>
      <c r="I362" s="205"/>
      <c r="J362" s="205"/>
      <c r="K362" s="206"/>
      <c r="L362" s="205"/>
      <c r="M362" s="205"/>
      <c r="N362" s="205"/>
      <c r="O362" s="206"/>
      <c r="P362" s="206"/>
      <c r="Q362" s="206"/>
      <c r="R362" s="206"/>
      <c r="S362" s="206"/>
      <c r="T362" s="206"/>
      <c r="U362" s="206"/>
      <c r="V362" s="206"/>
      <c r="W362" s="206"/>
      <c r="X362" s="206"/>
      <c r="Y362" s="184" t="str">
        <f t="shared" si="140"/>
        <v/>
      </c>
      <c r="Z362" s="184" t="str">
        <f t="shared" si="144"/>
        <v/>
      </c>
      <c r="AA362" s="208"/>
      <c r="AB362" s="208"/>
      <c r="AC362" s="208"/>
      <c r="AD362" s="650"/>
      <c r="AE362" s="205"/>
      <c r="AF362" s="333"/>
      <c r="AG362" s="205"/>
      <c r="AH362" s="205"/>
      <c r="AI362" s="205"/>
      <c r="AJ362" s="641"/>
      <c r="AK362" s="205"/>
      <c r="AL362" s="496"/>
      <c r="AM362" s="496"/>
      <c r="AN362" s="627"/>
      <c r="AO362" s="205"/>
      <c r="AP362" s="205"/>
      <c r="AQ362" s="333" t="str">
        <f>UPPER(RIGHT(Journal_Live[[#This Row],[DURATION ]]))</f>
        <v/>
      </c>
      <c r="AR362" s="205"/>
      <c r="AS362" s="211"/>
      <c r="AT362" s="189"/>
      <c r="AU362" s="187"/>
      <c r="AV362" s="190"/>
      <c r="AW362" s="213"/>
      <c r="AX362" s="413"/>
      <c r="AY362" s="413"/>
      <c r="AZ362" s="413"/>
      <c r="BA362" s="413"/>
      <c r="BB362" s="413"/>
      <c r="BC362" s="413"/>
      <c r="BD362" s="413"/>
      <c r="BE362" s="413"/>
      <c r="BF362" s="427"/>
      <c r="BG362" s="391">
        <f>SUM($AV$4:AV362)</f>
        <v>2272.4850000000288</v>
      </c>
      <c r="BH362" s="392">
        <f>SUM($AU$134:AU362)</f>
        <v>-604.41000000000054</v>
      </c>
      <c r="BI362" s="318">
        <f>SUMIFS($AU$134:AU363,$Q$134:Q363,"F")</f>
        <v>-3014.8</v>
      </c>
      <c r="BJ362" s="318">
        <f>SUMIFS($AU$134:AU363,$Q$134:Q363,"S")</f>
        <v>2156.5499999999988</v>
      </c>
      <c r="BK362" s="343">
        <f>SUMIFS($AU$134:AU363,$P$134:P363,"W")</f>
        <v>1478.6900000000019</v>
      </c>
      <c r="BL362" s="343">
        <f>SUMIFS($AU$134:AU363,$P$134:P363,"R")</f>
        <v>-2243.0999999999935</v>
      </c>
      <c r="BM362" s="343">
        <f>SUMIFS($AU$134:AU363,$AQ$134:AQ363,"M")</f>
        <v>-18.699999999995292</v>
      </c>
      <c r="BN362" s="343">
        <f>SUMIFS($AU$134:AU363,$AQ$134:AQ363,"H")</f>
        <v>278.60000000001492</v>
      </c>
      <c r="BO362" s="343">
        <f>SUMIFS($AU$134:AU363,$AQ$134:AQ363,"D")</f>
        <v>-632.05000000000052</v>
      </c>
      <c r="BP362" s="343">
        <f>SUMIFS($AU$134:AU365,$AQ$134:AQ365,"W")</f>
        <v>-1270.7</v>
      </c>
      <c r="BQ362" s="343">
        <f>SUMIFS($AU$134:AU363,$Q$134:Q363,"O")</f>
        <v>-105.35999999999112</v>
      </c>
      <c r="BR362" s="343">
        <f>SUMIFS($AU$134:AU363,$AA$134:AA363,"*")</f>
        <v>1924.7500000000377</v>
      </c>
      <c r="BS362" s="343">
        <f>SUMIFS($AU$134:AU363,$AB$134:AB363,"*")</f>
        <v>46.839999999975959</v>
      </c>
      <c r="BT362" s="343">
        <f>SUMIFS($AU$134:AU363,$AC$134:AC363,"*")</f>
        <v>-2330.7500000000009</v>
      </c>
      <c r="BU362" s="343">
        <f>SUMIFS($AU$134:AU363,$AA$134:AA363,"*",$AB$134:AB363,"*")</f>
        <v>-236.49999999999511</v>
      </c>
      <c r="BV362" s="343">
        <f>SUMIFS($AU$134:AU363,$AA$134:AA363,"*",$AC$134:AC363,"*")</f>
        <v>618.349999999999</v>
      </c>
      <c r="BW362" s="343">
        <f>SUMIFS($AU$134:AU363,$AB$134:AB363,"*",$AC$134:AC363,"*")</f>
        <v>30.299999999999642</v>
      </c>
      <c r="BX362" s="343">
        <f>SUMIFS($AU363:AU$1388,$Q363:Q$1388,"F")</f>
        <v>17455.466666666667</v>
      </c>
      <c r="BY362" s="343">
        <f>SUMIFS($AU363:AU$1388,$Q363:Q$1388,"S")</f>
        <v>18515.092000000001</v>
      </c>
      <c r="BZ362" s="343">
        <f>SUMIFS($AU363:AU$1388,$Q363:Q$1388,"O")</f>
        <v>-1703.4979999997986</v>
      </c>
    </row>
    <row r="363" spans="1:78" ht="15.75" customHeight="1">
      <c r="A363" s="221" t="s">
        <v>1720</v>
      </c>
      <c r="B363" s="200">
        <v>45001</v>
      </c>
      <c r="C363" s="201" t="s">
        <v>1255</v>
      </c>
      <c r="D363" s="201" t="s">
        <v>93</v>
      </c>
      <c r="E363" s="247"/>
      <c r="F363" s="203"/>
      <c r="G363" s="204" t="s">
        <v>983</v>
      </c>
      <c r="H363" s="205"/>
      <c r="I363" s="205"/>
      <c r="J363" s="205"/>
      <c r="K363" s="206"/>
      <c r="L363" s="205">
        <v>2</v>
      </c>
      <c r="M363" s="205"/>
      <c r="N363" s="205"/>
      <c r="O363" s="206" t="s">
        <v>95</v>
      </c>
      <c r="P363" s="206" t="s">
        <v>96</v>
      </c>
      <c r="Q363" s="206" t="s">
        <v>684</v>
      </c>
      <c r="R363" s="206">
        <v>2</v>
      </c>
      <c r="S363" s="206">
        <v>2</v>
      </c>
      <c r="T363" s="206">
        <v>2</v>
      </c>
      <c r="U363" s="206" t="s">
        <v>97</v>
      </c>
      <c r="V363" s="206"/>
      <c r="W363" s="206"/>
      <c r="X363" s="206"/>
      <c r="Y363" s="184">
        <f t="shared" si="140"/>
        <v>0.01</v>
      </c>
      <c r="Z363" s="184">
        <f t="shared" si="144"/>
        <v>1600</v>
      </c>
      <c r="AA363" s="208" t="s">
        <v>1096</v>
      </c>
      <c r="AB363" s="208"/>
      <c r="AC363" s="208"/>
      <c r="AD363" s="650">
        <v>96.59</v>
      </c>
      <c r="AE363" s="205"/>
      <c r="AF363" s="333"/>
      <c r="AG363" s="205"/>
      <c r="AH363" s="205"/>
      <c r="AI363" s="205"/>
      <c r="AJ363" s="641"/>
      <c r="AK363" s="205"/>
      <c r="AL363" s="496"/>
      <c r="AM363" s="496"/>
      <c r="AN363" s="627"/>
      <c r="AO363" s="205"/>
      <c r="AP363" s="205" t="s">
        <v>1740</v>
      </c>
      <c r="AQ363" s="333" t="str">
        <f>UPPER(RIGHT(Journal_Live[[#This Row],[DURATION ]]))</f>
        <v>S</v>
      </c>
      <c r="AR363" s="205" t="s">
        <v>1741</v>
      </c>
      <c r="AS363" s="211">
        <v>96.64</v>
      </c>
      <c r="AT363" s="189">
        <f t="shared" ref="AT363:AT368" si="145">IF(ISBLANK(AS363),,IF(U363="S",AD363-AS363,AS363-AD363))</f>
        <v>-4.9999999999997158E-2</v>
      </c>
      <c r="AU363" s="187">
        <f t="shared" ref="AU363:AU368" si="146">AV363*R363</f>
        <v>-159.99999999999091</v>
      </c>
      <c r="AV363" s="190">
        <f t="shared" ref="AV363:AV368" si="147">IF(ISBLANK(AS363),,(AT363*Z363))</f>
        <v>-79.999999999995453</v>
      </c>
      <c r="AW363" s="213" t="s">
        <v>229</v>
      </c>
      <c r="AX363" s="413" t="s">
        <v>1742</v>
      </c>
      <c r="AY363" s="413" t="s">
        <v>1743</v>
      </c>
      <c r="AZ363" s="413" t="s">
        <v>529</v>
      </c>
      <c r="BA363" s="413"/>
      <c r="BB363" s="413"/>
      <c r="BC363" s="413"/>
      <c r="BD363" s="413"/>
      <c r="BE363" s="413"/>
      <c r="BF363" s="427"/>
      <c r="BG363" s="391">
        <f>SUM($AV$4:AV363)</f>
        <v>2192.4850000000333</v>
      </c>
      <c r="BH363" s="392">
        <f>SUM($AU$134:AU363)</f>
        <v>-764.40999999999144</v>
      </c>
      <c r="BI363" s="318">
        <f>SUMIFS($AU$134:AU364,$Q$134:Q364,"F")</f>
        <v>-3014.8</v>
      </c>
      <c r="BJ363" s="318">
        <f>SUMIFS($AU$134:AU364,$Q$134:Q364,"S")</f>
        <v>2156.5499999999988</v>
      </c>
      <c r="BK363" s="343">
        <f>SUMIFS($AU$134:AU364,$P$134:P364,"W")</f>
        <v>1478.6900000000019</v>
      </c>
      <c r="BL363" s="343">
        <f>SUMIFS($AU$134:AU364,$P$134:P364,"R")</f>
        <v>-2243.0999999999935</v>
      </c>
      <c r="BM363" s="343">
        <f>SUMIFS($AU$134:AU364,$AQ$134:AQ364,"M")</f>
        <v>-18.699999999995292</v>
      </c>
      <c r="BN363" s="343">
        <f>SUMIFS($AU$134:AU364,$AQ$134:AQ364,"H")</f>
        <v>278.60000000001492</v>
      </c>
      <c r="BO363" s="343">
        <f>SUMIFS($AU$134:AU364,$AQ$134:AQ364,"D")</f>
        <v>-632.05000000000052</v>
      </c>
      <c r="BP363" s="343">
        <f>SUMIFS($AU$134:AU366,$AQ$134:AQ366,"W")</f>
        <v>-1270.7</v>
      </c>
      <c r="BQ363" s="343">
        <f>SUMIFS($AU$134:AU364,$Q$134:Q364,"O")</f>
        <v>-105.35999999999112</v>
      </c>
      <c r="BR363" s="343">
        <f>SUMIFS($AU$134:AU364,$AA$134:AA364,"*")</f>
        <v>1924.7500000000377</v>
      </c>
      <c r="BS363" s="343">
        <f>SUMIFS($AU$134:AU364,$AB$134:AB364,"*")</f>
        <v>46.839999999975959</v>
      </c>
      <c r="BT363" s="343">
        <f>SUMIFS($AU$134:AU364,$AC$134:AC364,"*")</f>
        <v>-2330.7500000000009</v>
      </c>
      <c r="BU363" s="343">
        <f>SUMIFS($AU$134:AU364,$AA$134:AA364,"*",$AB$134:AB364,"*")</f>
        <v>-236.49999999999511</v>
      </c>
      <c r="BV363" s="343">
        <f>SUMIFS($AU$134:AU364,$AA$134:AA364,"*",$AC$134:AC364,"*")</f>
        <v>618.349999999999</v>
      </c>
      <c r="BW363" s="343">
        <f>SUMIFS($AU$134:AU364,$AB$134:AB364,"*",$AC$134:AC364,"*")</f>
        <v>30.299999999999642</v>
      </c>
      <c r="BX363" s="343">
        <f>SUMIFS($AU364:AU$1388,$Q364:Q$1388,"F")</f>
        <v>17455.466666666667</v>
      </c>
      <c r="BY363" s="343">
        <f>SUMIFS($AU364:AU$1388,$Q364:Q$1388,"S")</f>
        <v>18515.092000000001</v>
      </c>
      <c r="BZ363" s="343">
        <f>SUMIFS($AU364:AU$1388,$Q364:Q$1388,"O")</f>
        <v>-1543.4979999998075</v>
      </c>
    </row>
    <row r="364" spans="1:78" ht="15.75" customHeight="1">
      <c r="A364" s="221" t="s">
        <v>1720</v>
      </c>
      <c r="B364" s="200">
        <v>45001</v>
      </c>
      <c r="C364" s="201" t="s">
        <v>1255</v>
      </c>
      <c r="D364" s="201" t="s">
        <v>93</v>
      </c>
      <c r="E364" s="247"/>
      <c r="F364" s="203"/>
      <c r="G364" s="204" t="s">
        <v>1744</v>
      </c>
      <c r="H364" s="205"/>
      <c r="I364" s="205"/>
      <c r="J364" s="205"/>
      <c r="K364" s="206"/>
      <c r="L364" s="205">
        <v>2</v>
      </c>
      <c r="M364" s="205"/>
      <c r="N364" s="205"/>
      <c r="O364" s="206" t="s">
        <v>95</v>
      </c>
      <c r="P364" s="206" t="s">
        <v>96</v>
      </c>
      <c r="Q364" s="206" t="s">
        <v>684</v>
      </c>
      <c r="R364" s="206">
        <v>2</v>
      </c>
      <c r="S364" s="206">
        <v>2</v>
      </c>
      <c r="T364" s="206">
        <v>2</v>
      </c>
      <c r="U364" s="206" t="s">
        <v>97</v>
      </c>
      <c r="V364" s="206"/>
      <c r="W364" s="206"/>
      <c r="X364" s="206"/>
      <c r="Y364" s="184">
        <f t="shared" si="140"/>
        <v>0.01</v>
      </c>
      <c r="Z364" s="184">
        <f t="shared" si="144"/>
        <v>1600</v>
      </c>
      <c r="AA364" s="208" t="s">
        <v>1096</v>
      </c>
      <c r="AB364" s="208"/>
      <c r="AC364" s="208"/>
      <c r="AD364" s="650">
        <v>96.59</v>
      </c>
      <c r="AE364" s="205"/>
      <c r="AF364" s="333"/>
      <c r="AG364" s="205"/>
      <c r="AH364" s="205"/>
      <c r="AI364" s="205"/>
      <c r="AJ364" s="641"/>
      <c r="AK364" s="205"/>
      <c r="AL364" s="496"/>
      <c r="AM364" s="496"/>
      <c r="AN364" s="627"/>
      <c r="AO364" s="205"/>
      <c r="AP364" s="205" t="s">
        <v>1745</v>
      </c>
      <c r="AQ364" s="333" t="str">
        <f>UPPER(RIGHT(Journal_Live[[#This Row],[DURATION ]]))</f>
        <v>N</v>
      </c>
      <c r="AR364" s="205" t="s">
        <v>1746</v>
      </c>
      <c r="AS364" s="211">
        <v>96.59</v>
      </c>
      <c r="AT364" s="189">
        <f t="shared" si="145"/>
        <v>0</v>
      </c>
      <c r="AU364" s="187">
        <f t="shared" si="146"/>
        <v>0</v>
      </c>
      <c r="AV364" s="190">
        <f t="shared" si="147"/>
        <v>0</v>
      </c>
      <c r="AW364" s="213" t="s">
        <v>115</v>
      </c>
      <c r="AX364" s="413"/>
      <c r="AY364" s="413"/>
      <c r="AZ364" s="413"/>
      <c r="BA364" s="413"/>
      <c r="BB364" s="413"/>
      <c r="BC364" s="413"/>
      <c r="BD364" s="413"/>
      <c r="BE364" s="413"/>
      <c r="BF364" s="427"/>
      <c r="BG364" s="391">
        <f>SUM($AV$4:AV364)</f>
        <v>2192.4850000000333</v>
      </c>
      <c r="BH364" s="392">
        <f>SUM($AU$134:AU364)</f>
        <v>-764.40999999999144</v>
      </c>
      <c r="BI364" s="318">
        <f>SUMIFS($AU$134:AU365,$Q$134:Q365,"F")</f>
        <v>-3014.8</v>
      </c>
      <c r="BJ364" s="318">
        <f>SUMIFS($AU$134:AU365,$Q$134:Q365,"S")</f>
        <v>2156.5499999999988</v>
      </c>
      <c r="BK364" s="343">
        <f>SUMIFS($AU$134:AU365,$P$134:P365,"W")</f>
        <v>1334.6899999999964</v>
      </c>
      <c r="BL364" s="343">
        <f>SUMIFS($AU$134:AU365,$P$134:P365,"R")</f>
        <v>-2243.0999999999935</v>
      </c>
      <c r="BM364" s="343">
        <f>SUMIFS($AU$134:AU365,$AQ$134:AQ365,"M")</f>
        <v>-18.699999999995292</v>
      </c>
      <c r="BN364" s="343">
        <f>SUMIFS($AU$134:AU365,$AQ$134:AQ365,"H")</f>
        <v>278.60000000001492</v>
      </c>
      <c r="BO364" s="343">
        <f>SUMIFS($AU$134:AU365,$AQ$134:AQ365,"D")</f>
        <v>-632.05000000000052</v>
      </c>
      <c r="BP364" s="343">
        <f>SUMIFS($AU$134:AU367,$AQ$134:AQ367,"W")</f>
        <v>-1270.7</v>
      </c>
      <c r="BQ364" s="343">
        <f>SUMIFS($AU$134:AU365,$Q$134:Q365,"O")</f>
        <v>-249.35999999999657</v>
      </c>
      <c r="BR364" s="343">
        <f>SUMIFS($AU$134:AU365,$AA$134:AA365,"*")</f>
        <v>1780.7500000000323</v>
      </c>
      <c r="BS364" s="343">
        <f>SUMIFS($AU$134:AU365,$AB$134:AB365,"*")</f>
        <v>46.839999999975959</v>
      </c>
      <c r="BT364" s="343">
        <f>SUMIFS($AU$134:AU365,$AC$134:AC365,"*")</f>
        <v>-2330.7500000000009</v>
      </c>
      <c r="BU364" s="343">
        <f>SUMIFS($AU$134:AU365,$AA$134:AA365,"*",$AB$134:AB365,"*")</f>
        <v>-236.49999999999511</v>
      </c>
      <c r="BV364" s="343">
        <f>SUMIFS($AU$134:AU365,$AA$134:AA365,"*",$AC$134:AC365,"*")</f>
        <v>618.349999999999</v>
      </c>
      <c r="BW364" s="343">
        <f>SUMIFS($AU$134:AU365,$AB$134:AB365,"*",$AC$134:AC365,"*")</f>
        <v>30.299999999999642</v>
      </c>
      <c r="BX364" s="343">
        <f>SUMIFS($AU365:AU$1388,$Q365:Q$1388,"F")</f>
        <v>17455.466666666667</v>
      </c>
      <c r="BY364" s="343">
        <f>SUMIFS($AU365:AU$1388,$Q365:Q$1388,"S")</f>
        <v>18515.092000000001</v>
      </c>
      <c r="BZ364" s="343">
        <f>SUMIFS($AU365:AU$1388,$Q365:Q$1388,"O")</f>
        <v>-1543.4979999998075</v>
      </c>
    </row>
    <row r="365" spans="1:78" ht="15.75" customHeight="1">
      <c r="A365" s="221" t="s">
        <v>1720</v>
      </c>
      <c r="B365" s="200">
        <v>45001</v>
      </c>
      <c r="C365" s="201" t="s">
        <v>1747</v>
      </c>
      <c r="D365" s="201" t="s">
        <v>93</v>
      </c>
      <c r="E365" s="247"/>
      <c r="F365" s="203"/>
      <c r="G365" s="204" t="s">
        <v>983</v>
      </c>
      <c r="H365" s="205"/>
      <c r="I365" s="205"/>
      <c r="J365" s="205"/>
      <c r="K365" s="206"/>
      <c r="L365" s="205">
        <v>2</v>
      </c>
      <c r="M365" s="205"/>
      <c r="N365" s="205"/>
      <c r="O365" s="206" t="s">
        <v>95</v>
      </c>
      <c r="P365" s="206" t="s">
        <v>96</v>
      </c>
      <c r="Q365" s="206" t="s">
        <v>684</v>
      </c>
      <c r="R365" s="206">
        <v>3</v>
      </c>
      <c r="S365" s="206">
        <v>3</v>
      </c>
      <c r="T365" s="206">
        <v>3</v>
      </c>
      <c r="U365" s="206" t="s">
        <v>97</v>
      </c>
      <c r="V365" s="206"/>
      <c r="W365" s="206"/>
      <c r="X365" s="206"/>
      <c r="Y365" s="184">
        <f t="shared" si="140"/>
        <v>0.01</v>
      </c>
      <c r="Z365" s="184">
        <f t="shared" si="144"/>
        <v>1600</v>
      </c>
      <c r="AA365" s="208" t="s">
        <v>1096</v>
      </c>
      <c r="AB365" s="208"/>
      <c r="AC365" s="208"/>
      <c r="AD365" s="650">
        <v>96.6</v>
      </c>
      <c r="AE365" s="205"/>
      <c r="AF365" s="333"/>
      <c r="AG365" s="205"/>
      <c r="AH365" s="205"/>
      <c r="AI365" s="205"/>
      <c r="AJ365" s="641"/>
      <c r="AK365" s="205"/>
      <c r="AL365" s="496"/>
      <c r="AM365" s="496"/>
      <c r="AN365" s="627"/>
      <c r="AO365" s="205"/>
      <c r="AP365" s="205" t="s">
        <v>1207</v>
      </c>
      <c r="AQ365" s="333" t="str">
        <f>UPPER(RIGHT(Journal_Live[[#This Row],[DURATION ]]))</f>
        <v>S</v>
      </c>
      <c r="AR365" s="205" t="s">
        <v>1748</v>
      </c>
      <c r="AS365" s="211">
        <v>96.63</v>
      </c>
      <c r="AT365" s="189">
        <f t="shared" si="145"/>
        <v>-3.0000000000001137E-2</v>
      </c>
      <c r="AU365" s="187">
        <f t="shared" si="146"/>
        <v>-144.00000000000546</v>
      </c>
      <c r="AV365" s="190">
        <f t="shared" si="147"/>
        <v>-48.000000000001819</v>
      </c>
      <c r="AW365" s="213" t="s">
        <v>229</v>
      </c>
      <c r="AX365" s="413"/>
      <c r="AY365" s="413"/>
      <c r="AZ365" s="413" t="s">
        <v>529</v>
      </c>
      <c r="BA365" s="413"/>
      <c r="BB365" s="413"/>
      <c r="BC365" s="413"/>
      <c r="BD365" s="413"/>
      <c r="BE365" s="413"/>
      <c r="BF365" s="427"/>
      <c r="BG365" s="391">
        <f>SUM($AV$4:AV365)</f>
        <v>2144.4850000000315</v>
      </c>
      <c r="BH365" s="392">
        <f>SUM($AU$134:AU365)</f>
        <v>-908.4099999999969</v>
      </c>
      <c r="BI365" s="318">
        <f>SUMIFS($AU$134:AU366,$Q$134:Q366,"F")</f>
        <v>-3014.8</v>
      </c>
      <c r="BJ365" s="318">
        <f>SUMIFS($AU$134:AU366,$Q$134:Q366,"S")</f>
        <v>2156.5499999999988</v>
      </c>
      <c r="BK365" s="343">
        <f>SUMIFS($AU$134:AU366,$P$134:P366,"W")</f>
        <v>1382.6899999999528</v>
      </c>
      <c r="BL365" s="343">
        <f>SUMIFS($AU$134:AU366,$P$134:P366,"R")</f>
        <v>-2243.0999999999935</v>
      </c>
      <c r="BM365" s="343">
        <f>SUMIFS($AU$134:AU366,$AQ$134:AQ366,"M")</f>
        <v>-18.699999999995292</v>
      </c>
      <c r="BN365" s="343">
        <f>SUMIFS($AU$134:AU366,$AQ$134:AQ366,"H")</f>
        <v>278.60000000001492</v>
      </c>
      <c r="BO365" s="343">
        <f>SUMIFS($AU$134:AU366,$AQ$134:AQ366,"D")</f>
        <v>-632.05000000000052</v>
      </c>
      <c r="BP365" s="343">
        <f>SUMIFS($AU$134:AU368,$AQ$134:AQ368,"W")</f>
        <v>-1270.7</v>
      </c>
      <c r="BQ365" s="343">
        <f>SUMIFS($AU$134:AU366,$Q$134:Q366,"O")</f>
        <v>-201.36000000004023</v>
      </c>
      <c r="BR365" s="343">
        <f>SUMIFS($AU$134:AU366,$AA$134:AA366,"*")</f>
        <v>1828.7499999999886</v>
      </c>
      <c r="BS365" s="343">
        <f>SUMIFS($AU$134:AU366,$AB$134:AB366,"*")</f>
        <v>46.839999999975959</v>
      </c>
      <c r="BT365" s="343">
        <f>SUMIFS($AU$134:AU366,$AC$134:AC366,"*")</f>
        <v>-2330.7500000000009</v>
      </c>
      <c r="BU365" s="343">
        <f>SUMIFS($AU$134:AU366,$AA$134:AA366,"*",$AB$134:AB366,"*")</f>
        <v>-236.49999999999511</v>
      </c>
      <c r="BV365" s="343">
        <f>SUMIFS($AU$134:AU366,$AA$134:AA366,"*",$AC$134:AC366,"*")</f>
        <v>618.349999999999</v>
      </c>
      <c r="BW365" s="343">
        <f>SUMIFS($AU$134:AU366,$AB$134:AB366,"*",$AC$134:AC366,"*")</f>
        <v>30.299999999999642</v>
      </c>
      <c r="BX365" s="343">
        <f>SUMIFS($AU366:AU$1388,$Q366:Q$1388,"F")</f>
        <v>17455.466666666667</v>
      </c>
      <c r="BY365" s="343">
        <f>SUMIFS($AU366:AU$1388,$Q366:Q$1388,"S")</f>
        <v>18515.092000000001</v>
      </c>
      <c r="BZ365" s="343">
        <f>SUMIFS($AU366:AU$1388,$Q366:Q$1388,"O")</f>
        <v>-1399.497999999802</v>
      </c>
    </row>
    <row r="366" spans="1:78" ht="15.75" customHeight="1">
      <c r="A366" s="221" t="s">
        <v>1720</v>
      </c>
      <c r="B366" s="200">
        <v>45001</v>
      </c>
      <c r="C366" s="201" t="s">
        <v>1749</v>
      </c>
      <c r="D366" s="201" t="s">
        <v>93</v>
      </c>
      <c r="E366" s="247"/>
      <c r="F366" s="203"/>
      <c r="G366" s="204" t="s">
        <v>831</v>
      </c>
      <c r="H366" s="205"/>
      <c r="I366" s="205"/>
      <c r="J366" s="205"/>
      <c r="K366" s="206"/>
      <c r="L366" s="205">
        <v>2</v>
      </c>
      <c r="M366" s="205"/>
      <c r="N366" s="205"/>
      <c r="O366" s="206" t="s">
        <v>95</v>
      </c>
      <c r="P366" s="206" t="s">
        <v>96</v>
      </c>
      <c r="Q366" s="206" t="s">
        <v>684</v>
      </c>
      <c r="R366" s="206">
        <v>3</v>
      </c>
      <c r="S366" s="206">
        <v>3</v>
      </c>
      <c r="T366" s="206">
        <v>3</v>
      </c>
      <c r="U366" s="206" t="s">
        <v>22</v>
      </c>
      <c r="V366" s="206"/>
      <c r="W366" s="206"/>
      <c r="X366" s="206"/>
      <c r="Y366" s="184">
        <f t="shared" si="140"/>
        <v>0.01</v>
      </c>
      <c r="Z366" s="184">
        <f t="shared" si="144"/>
        <v>1600</v>
      </c>
      <c r="AA366" s="208" t="s">
        <v>1096</v>
      </c>
      <c r="AB366" s="208"/>
      <c r="AC366" s="208"/>
      <c r="AD366" s="650">
        <v>96.62</v>
      </c>
      <c r="AE366" s="205"/>
      <c r="AF366" s="333"/>
      <c r="AG366" s="205"/>
      <c r="AH366" s="205"/>
      <c r="AI366" s="205"/>
      <c r="AJ366" s="641"/>
      <c r="AK366" s="205"/>
      <c r="AL366" s="496"/>
      <c r="AM366" s="496"/>
      <c r="AN366" s="627"/>
      <c r="AO366" s="205"/>
      <c r="AP366" s="205" t="s">
        <v>1750</v>
      </c>
      <c r="AQ366" s="333" t="str">
        <f>UPPER(RIGHT(Journal_Live[[#This Row],[DURATION ]]))</f>
        <v>S</v>
      </c>
      <c r="AR366" s="205" t="s">
        <v>1749</v>
      </c>
      <c r="AS366" s="211">
        <v>96.63</v>
      </c>
      <c r="AT366" s="189">
        <f t="shared" si="145"/>
        <v>9.9999999999909051E-3</v>
      </c>
      <c r="AU366" s="187">
        <f t="shared" si="146"/>
        <v>47.999999999956344</v>
      </c>
      <c r="AV366" s="190">
        <f t="shared" si="147"/>
        <v>15.999999999985448</v>
      </c>
      <c r="AW366" s="213" t="s">
        <v>96</v>
      </c>
      <c r="AX366" s="413"/>
      <c r="AY366" s="413"/>
      <c r="AZ366" s="413" t="s">
        <v>529</v>
      </c>
      <c r="BA366" s="413"/>
      <c r="BB366" s="413"/>
      <c r="BC366" s="413"/>
      <c r="BD366" s="413"/>
      <c r="BE366" s="413"/>
      <c r="BF366" s="427"/>
      <c r="BG366" s="391">
        <f>SUM($AV$4:AV366)</f>
        <v>2160.485000000017</v>
      </c>
      <c r="BH366" s="392">
        <f>SUM($AU$134:AU366)</f>
        <v>-860.41000000004055</v>
      </c>
      <c r="BI366" s="318">
        <f>SUMIFS($AU$134:AU367,$Q$134:Q367,"F")</f>
        <v>-3014.8</v>
      </c>
      <c r="BJ366" s="318">
        <f>SUMIFS($AU$134:AU367,$Q$134:Q367,"S")</f>
        <v>2156.5499999999988</v>
      </c>
      <c r="BK366" s="343">
        <f>SUMIFS($AU$134:AU367,$P$134:P367,"W")</f>
        <v>1382.6899999999528</v>
      </c>
      <c r="BL366" s="343">
        <f>SUMIFS($AU$134:AU367,$P$134:P367,"R")</f>
        <v>-2243.0999999999935</v>
      </c>
      <c r="BM366" s="343">
        <f>SUMIFS($AU$134:AU367,$AQ$134:AQ367,"M")</f>
        <v>-18.699999999995292</v>
      </c>
      <c r="BN366" s="343">
        <f>SUMIFS($AU$134:AU367,$AQ$134:AQ367,"H")</f>
        <v>278.60000000001492</v>
      </c>
      <c r="BO366" s="343">
        <f>SUMIFS($AU$134:AU367,$AQ$134:AQ367,"D")</f>
        <v>-632.05000000000052</v>
      </c>
      <c r="BP366" s="343">
        <f>SUMIFS($AU$134:AU369,$AQ$134:AQ369,"W")</f>
        <v>-1270.7</v>
      </c>
      <c r="BQ366" s="343">
        <f>SUMIFS($AU$134:AU367,$Q$134:Q367,"O")</f>
        <v>-201.36000000004023</v>
      </c>
      <c r="BR366" s="343">
        <f>SUMIFS($AU$134:AU367,$AA$134:AA367,"*")</f>
        <v>1828.7499999999886</v>
      </c>
      <c r="BS366" s="343">
        <f>SUMIFS($AU$134:AU367,$AB$134:AB367,"*")</f>
        <v>46.839999999975959</v>
      </c>
      <c r="BT366" s="343">
        <f>SUMIFS($AU$134:AU367,$AC$134:AC367,"*")</f>
        <v>-2330.7500000000009</v>
      </c>
      <c r="BU366" s="343">
        <f>SUMIFS($AU$134:AU367,$AA$134:AA367,"*",$AB$134:AB367,"*")</f>
        <v>-236.49999999999511</v>
      </c>
      <c r="BV366" s="343">
        <f>SUMIFS($AU$134:AU367,$AA$134:AA367,"*",$AC$134:AC367,"*")</f>
        <v>618.349999999999</v>
      </c>
      <c r="BW366" s="343">
        <f>SUMIFS($AU$134:AU367,$AB$134:AB367,"*",$AC$134:AC367,"*")</f>
        <v>30.299999999999642</v>
      </c>
      <c r="BX366" s="343">
        <f>SUMIFS($AU367:AU$1388,$Q367:Q$1388,"F")</f>
        <v>17455.466666666667</v>
      </c>
      <c r="BY366" s="343">
        <f>SUMIFS($AU367:AU$1388,$Q367:Q$1388,"S")</f>
        <v>18515.092000000001</v>
      </c>
      <c r="BZ366" s="343">
        <f>SUMIFS($AU367:AU$1388,$Q367:Q$1388,"O")</f>
        <v>-1447.4979999997583</v>
      </c>
    </row>
    <row r="367" spans="1:78" ht="15.75" customHeight="1">
      <c r="A367" s="221" t="s">
        <v>1720</v>
      </c>
      <c r="B367" s="200">
        <v>45001</v>
      </c>
      <c r="C367" s="201" t="s">
        <v>1751</v>
      </c>
      <c r="D367" s="201" t="s">
        <v>93</v>
      </c>
      <c r="E367" s="247"/>
      <c r="F367" s="203"/>
      <c r="G367" s="204" t="s">
        <v>1744</v>
      </c>
      <c r="H367" s="205"/>
      <c r="I367" s="205"/>
      <c r="J367" s="205"/>
      <c r="K367" s="206"/>
      <c r="L367" s="205">
        <v>2</v>
      </c>
      <c r="M367" s="205"/>
      <c r="N367" s="205"/>
      <c r="O367" s="206" t="s">
        <v>95</v>
      </c>
      <c r="P367" s="206" t="s">
        <v>96</v>
      </c>
      <c r="Q367" s="206" t="s">
        <v>684</v>
      </c>
      <c r="R367" s="206">
        <v>2</v>
      </c>
      <c r="S367" s="206">
        <v>2</v>
      </c>
      <c r="T367" s="206">
        <v>2</v>
      </c>
      <c r="U367" s="206" t="s">
        <v>22</v>
      </c>
      <c r="V367" s="206"/>
      <c r="W367" s="206"/>
      <c r="X367" s="206"/>
      <c r="Y367" s="184">
        <f t="shared" si="140"/>
        <v>0.01</v>
      </c>
      <c r="Z367" s="184">
        <f t="shared" si="144"/>
        <v>1600</v>
      </c>
      <c r="AA367" s="208" t="s">
        <v>1096</v>
      </c>
      <c r="AB367" s="208"/>
      <c r="AC367" s="208"/>
      <c r="AD367" s="650">
        <v>96.53</v>
      </c>
      <c r="AE367" s="205"/>
      <c r="AF367" s="333"/>
      <c r="AG367" s="205"/>
      <c r="AH367" s="205"/>
      <c r="AI367" s="205"/>
      <c r="AJ367" s="641"/>
      <c r="AK367" s="205"/>
      <c r="AL367" s="496"/>
      <c r="AM367" s="496"/>
      <c r="AN367" s="627"/>
      <c r="AO367" s="205"/>
      <c r="AP367" s="205" t="s">
        <v>1752</v>
      </c>
      <c r="AQ367" s="333" t="str">
        <f>UPPER(RIGHT(Journal_Live[[#This Row],[DURATION ]]))</f>
        <v>M</v>
      </c>
      <c r="AR367" s="205" t="s">
        <v>1753</v>
      </c>
      <c r="AS367" s="211">
        <v>96.53</v>
      </c>
      <c r="AT367" s="189">
        <f t="shared" si="145"/>
        <v>0</v>
      </c>
      <c r="AU367" s="187">
        <f t="shared" si="146"/>
        <v>0</v>
      </c>
      <c r="AV367" s="190">
        <f t="shared" si="147"/>
        <v>0</v>
      </c>
      <c r="AW367" s="213" t="s">
        <v>115</v>
      </c>
      <c r="AX367" s="413"/>
      <c r="AY367" s="413"/>
      <c r="AZ367" s="413"/>
      <c r="BA367" s="413" t="s">
        <v>1754</v>
      </c>
      <c r="BB367" s="413" t="s">
        <v>529</v>
      </c>
      <c r="BC367" s="413"/>
      <c r="BD367" s="413"/>
      <c r="BE367" s="413"/>
      <c r="BF367" s="427"/>
      <c r="BG367" s="391">
        <f>SUM($AV$4:AV367)</f>
        <v>2160.485000000017</v>
      </c>
      <c r="BH367" s="392">
        <f>SUM($AU$134:AU367)</f>
        <v>-860.41000000004055</v>
      </c>
      <c r="BI367" s="318">
        <f>SUMIFS($AU$134:AU368,$Q$134:Q368,"F")</f>
        <v>-3014.8</v>
      </c>
      <c r="BJ367" s="318">
        <f>SUMIFS($AU$134:AU368,$Q$134:Q368,"S")</f>
        <v>2156.5499999999988</v>
      </c>
      <c r="BK367" s="343">
        <f>SUMIFS($AU$134:AU368,$P$134:P368,"W")</f>
        <v>1382.6899999999528</v>
      </c>
      <c r="BL367" s="343">
        <f>SUMIFS($AU$134:AU368,$P$134:P368,"R")</f>
        <v>-2243.0999999999935</v>
      </c>
      <c r="BM367" s="343">
        <f>SUMIFS($AU$134:AU368,$AQ$134:AQ368,"M")</f>
        <v>-18.699999999995292</v>
      </c>
      <c r="BN367" s="343">
        <f>SUMIFS($AU$134:AU368,$AQ$134:AQ368,"H")</f>
        <v>278.60000000001492</v>
      </c>
      <c r="BO367" s="343">
        <f>SUMIFS($AU$134:AU368,$AQ$134:AQ368,"D")</f>
        <v>-632.05000000000052</v>
      </c>
      <c r="BP367" s="343">
        <f>SUMIFS($AU$134:AU370,$AQ$134:AQ370,"W")</f>
        <v>-1270.7</v>
      </c>
      <c r="BQ367" s="343">
        <f>SUMIFS($AU$134:AU368,$Q$134:Q368,"O")</f>
        <v>-201.36000000004023</v>
      </c>
      <c r="BR367" s="343">
        <f>SUMIFS($AU$134:AU368,$AA$134:AA368,"*")</f>
        <v>1828.7499999999886</v>
      </c>
      <c r="BS367" s="343">
        <f>SUMIFS($AU$134:AU368,$AB$134:AB368,"*")</f>
        <v>46.839999999975959</v>
      </c>
      <c r="BT367" s="343">
        <f>SUMIFS($AU$134:AU368,$AC$134:AC368,"*")</f>
        <v>-2330.7500000000009</v>
      </c>
      <c r="BU367" s="343">
        <f>SUMIFS($AU$134:AU368,$AA$134:AA368,"*",$AB$134:AB368,"*")</f>
        <v>-236.49999999999511</v>
      </c>
      <c r="BV367" s="343">
        <f>SUMIFS($AU$134:AU368,$AA$134:AA368,"*",$AC$134:AC368,"*")</f>
        <v>618.349999999999</v>
      </c>
      <c r="BW367" s="343">
        <f>SUMIFS($AU$134:AU368,$AB$134:AB368,"*",$AC$134:AC368,"*")</f>
        <v>30.299999999999642</v>
      </c>
      <c r="BX367" s="343">
        <f>SUMIFS($AU368:AU$1388,$Q368:Q$1388,"F")</f>
        <v>17455.466666666667</v>
      </c>
      <c r="BY367" s="343">
        <f>SUMIFS($AU368:AU$1388,$Q368:Q$1388,"S")</f>
        <v>18515.092000000001</v>
      </c>
      <c r="BZ367" s="343">
        <f>SUMIFS($AU368:AU$1388,$Q368:Q$1388,"O")</f>
        <v>-1447.4979999997583</v>
      </c>
    </row>
    <row r="368" spans="1:78" ht="15.75" customHeight="1">
      <c r="A368" s="221" t="s">
        <v>1720</v>
      </c>
      <c r="B368" s="200">
        <v>45001</v>
      </c>
      <c r="C368" s="201" t="s">
        <v>1755</v>
      </c>
      <c r="D368" s="201" t="s">
        <v>93</v>
      </c>
      <c r="E368" s="247"/>
      <c r="F368" s="203"/>
      <c r="G368" s="314" t="s">
        <v>271</v>
      </c>
      <c r="H368" s="205"/>
      <c r="I368" s="205"/>
      <c r="J368" s="205"/>
      <c r="K368" s="206"/>
      <c r="L368" s="205">
        <v>1</v>
      </c>
      <c r="M368" s="205"/>
      <c r="N368" s="205"/>
      <c r="O368" s="206" t="s">
        <v>95</v>
      </c>
      <c r="P368" s="206" t="s">
        <v>96</v>
      </c>
      <c r="Q368" s="206" t="s">
        <v>97</v>
      </c>
      <c r="R368" s="206">
        <v>10</v>
      </c>
      <c r="S368" s="206">
        <v>10</v>
      </c>
      <c r="T368" s="206">
        <v>10</v>
      </c>
      <c r="U368" s="206" t="s">
        <v>97</v>
      </c>
      <c r="V368" s="206"/>
      <c r="W368" s="206"/>
      <c r="X368" s="206"/>
      <c r="Y368" s="184">
        <f t="shared" si="140"/>
        <v>0.01</v>
      </c>
      <c r="Z368" s="184">
        <f t="shared" si="144"/>
        <v>1600</v>
      </c>
      <c r="AA368" s="208"/>
      <c r="AB368" s="208"/>
      <c r="AC368" s="208" t="s">
        <v>1756</v>
      </c>
      <c r="AD368" s="650">
        <v>0.02</v>
      </c>
      <c r="AE368" s="205"/>
      <c r="AF368" s="333"/>
      <c r="AG368" s="205"/>
      <c r="AH368" s="205"/>
      <c r="AI368" s="205"/>
      <c r="AJ368" s="641"/>
      <c r="AK368" s="205"/>
      <c r="AL368" s="496"/>
      <c r="AM368" s="496"/>
      <c r="AN368" s="627"/>
      <c r="AO368" s="205"/>
      <c r="AP368" s="205" t="s">
        <v>967</v>
      </c>
      <c r="AQ368" s="333" t="str">
        <f>UPPER(RIGHT(Journal_Live[[#This Row],[DURATION ]]))</f>
        <v>H</v>
      </c>
      <c r="AR368" s="205" t="s">
        <v>764</v>
      </c>
      <c r="AS368" s="211">
        <v>0.02</v>
      </c>
      <c r="AT368" s="189">
        <f t="shared" si="145"/>
        <v>0</v>
      </c>
      <c r="AU368" s="187">
        <f t="shared" si="146"/>
        <v>0</v>
      </c>
      <c r="AV368" s="190">
        <f t="shared" si="147"/>
        <v>0</v>
      </c>
      <c r="AW368" s="213" t="s">
        <v>115</v>
      </c>
      <c r="AX368" s="413" t="s">
        <v>1757</v>
      </c>
      <c r="AY368" s="413" t="s">
        <v>1758</v>
      </c>
      <c r="AZ368" s="413"/>
      <c r="BA368" s="413"/>
      <c r="BB368" s="413"/>
      <c r="BC368" s="413"/>
      <c r="BD368" s="413"/>
      <c r="BE368" s="413"/>
      <c r="BF368" s="427"/>
      <c r="BG368" s="391">
        <f>SUM($AV$4:AV368)</f>
        <v>2160.485000000017</v>
      </c>
      <c r="BH368" s="392">
        <f>SUM($AU$134:AU368)</f>
        <v>-860.41000000004055</v>
      </c>
      <c r="BI368" s="318">
        <f>SUMIFS($AU$134:AU369,$Q$134:Q369,"F")</f>
        <v>-3014.8</v>
      </c>
      <c r="BJ368" s="318">
        <f>SUMIFS($AU$134:AU369,$Q$134:Q369,"S")</f>
        <v>2156.5499999999988</v>
      </c>
      <c r="BK368" s="343">
        <f>SUMIFS($AU$134:AU369,$P$134:P369,"W")</f>
        <v>1382.6899999999528</v>
      </c>
      <c r="BL368" s="343">
        <f>SUMIFS($AU$134:AU369,$P$134:P369,"R")</f>
        <v>-2243.0999999999935</v>
      </c>
      <c r="BM368" s="343">
        <f>SUMIFS($AU$134:AU369,$AQ$134:AQ369,"M")</f>
        <v>-18.699999999995292</v>
      </c>
      <c r="BN368" s="343">
        <f>SUMIFS($AU$134:AU369,$AQ$134:AQ369,"H")</f>
        <v>278.60000000001492</v>
      </c>
      <c r="BO368" s="343">
        <f>SUMIFS($AU$134:AU369,$AQ$134:AQ369,"D")</f>
        <v>-632.05000000000052</v>
      </c>
      <c r="BP368" s="343">
        <f>SUMIFS($AU$134:AU371,$AQ$134:AQ371,"W")</f>
        <v>-1270.7</v>
      </c>
      <c r="BQ368" s="343">
        <f>SUMIFS($AU$134:AU369,$Q$134:Q369,"O")</f>
        <v>-201.36000000004023</v>
      </c>
      <c r="BR368" s="343">
        <f>SUMIFS($AU$134:AU369,$AA$134:AA369,"*")</f>
        <v>1828.7499999999886</v>
      </c>
      <c r="BS368" s="343">
        <f>SUMIFS($AU$134:AU369,$AB$134:AB369,"*")</f>
        <v>46.839999999975959</v>
      </c>
      <c r="BT368" s="343">
        <f>SUMIFS($AU$134:AU369,$AC$134:AC369,"*")</f>
        <v>-2330.7500000000009</v>
      </c>
      <c r="BU368" s="343">
        <f>SUMIFS($AU$134:AU369,$AA$134:AA369,"*",$AB$134:AB369,"*")</f>
        <v>-236.49999999999511</v>
      </c>
      <c r="BV368" s="343">
        <f>SUMIFS($AU$134:AU369,$AA$134:AA369,"*",$AC$134:AC369,"*")</f>
        <v>618.349999999999</v>
      </c>
      <c r="BW368" s="343">
        <f>SUMIFS($AU$134:AU369,$AB$134:AB369,"*",$AC$134:AC369,"*")</f>
        <v>30.299999999999642</v>
      </c>
      <c r="BX368" s="343">
        <f>SUMIFS($AU369:AU$1388,$Q369:Q$1388,"F")</f>
        <v>17455.466666666667</v>
      </c>
      <c r="BY368" s="343">
        <f>SUMIFS($AU369:AU$1388,$Q369:Q$1388,"S")</f>
        <v>18515.092000000001</v>
      </c>
      <c r="BZ368" s="343">
        <f>SUMIFS($AU369:AU$1388,$Q369:Q$1388,"O")</f>
        <v>-1447.4979999997583</v>
      </c>
    </row>
    <row r="369" spans="1:78" ht="15.75" customHeight="1">
      <c r="A369" s="221" t="s">
        <v>1720</v>
      </c>
      <c r="B369" s="200"/>
      <c r="C369" s="201"/>
      <c r="D369" s="201"/>
      <c r="E369" s="247"/>
      <c r="F369" s="203"/>
      <c r="G369" s="204"/>
      <c r="H369" s="205"/>
      <c r="I369" s="205"/>
      <c r="J369" s="205"/>
      <c r="K369" s="206"/>
      <c r="L369" s="205"/>
      <c r="M369" s="205"/>
      <c r="N369" s="205"/>
      <c r="O369" s="206"/>
      <c r="P369" s="206"/>
      <c r="Q369" s="206"/>
      <c r="R369" s="206"/>
      <c r="S369" s="206"/>
      <c r="T369" s="206"/>
      <c r="U369" s="206"/>
      <c r="V369" s="206"/>
      <c r="W369" s="206"/>
      <c r="X369" s="206"/>
      <c r="Y369" s="184" t="str">
        <f t="shared" si="140"/>
        <v/>
      </c>
      <c r="Z369" s="184" t="str">
        <f t="shared" si="144"/>
        <v/>
      </c>
      <c r="AA369" s="208"/>
      <c r="AB369" s="208"/>
      <c r="AC369" s="208"/>
      <c r="AD369" s="650"/>
      <c r="AE369" s="205"/>
      <c r="AF369" s="333"/>
      <c r="AG369" s="205"/>
      <c r="AH369" s="205"/>
      <c r="AI369" s="205"/>
      <c r="AJ369" s="641"/>
      <c r="AK369" s="205"/>
      <c r="AL369" s="496"/>
      <c r="AM369" s="496"/>
      <c r="AN369" s="627"/>
      <c r="AO369" s="205"/>
      <c r="AP369" s="205"/>
      <c r="AQ369" s="333" t="str">
        <f>UPPER(RIGHT(Journal_Live[[#This Row],[DURATION ]]))</f>
        <v/>
      </c>
      <c r="AR369" s="205"/>
      <c r="AS369" s="211"/>
      <c r="AT369" s="189"/>
      <c r="AU369" s="187"/>
      <c r="AV369" s="190"/>
      <c r="AW369" s="213"/>
      <c r="AX369" s="413" t="s">
        <v>1759</v>
      </c>
      <c r="AY369" s="413" t="s">
        <v>1760</v>
      </c>
      <c r="AZ369" s="413" t="s">
        <v>1761</v>
      </c>
      <c r="BA369" s="413" t="s">
        <v>1762</v>
      </c>
      <c r="BB369" s="413" t="s">
        <v>1763</v>
      </c>
      <c r="BC369" s="413" t="s">
        <v>1764</v>
      </c>
      <c r="BD369" s="413" t="s">
        <v>1765</v>
      </c>
      <c r="BE369" s="413" t="s">
        <v>1766</v>
      </c>
      <c r="BF369" s="427" t="s">
        <v>1767</v>
      </c>
      <c r="BG369" s="391">
        <f>SUM($AV$4:AV369)</f>
        <v>2160.485000000017</v>
      </c>
      <c r="BH369" s="392">
        <f>SUM($AU$134:AU369)</f>
        <v>-860.41000000004055</v>
      </c>
      <c r="BI369" s="318">
        <f>SUMIFS($AU$134:AU370,$Q$134:Q370,"F")</f>
        <v>-3014.8</v>
      </c>
      <c r="BJ369" s="318">
        <f>SUMIFS($AU$134:AU370,$Q$134:Q370,"S")</f>
        <v>2156.5499999999988</v>
      </c>
      <c r="BK369" s="343">
        <f>SUMIFS($AU$134:AU370,$P$134:P370,"W")</f>
        <v>1382.6899999999528</v>
      </c>
      <c r="BL369" s="343">
        <f>SUMIFS($AU$134:AU370,$P$134:P370,"R")</f>
        <v>-2243.0999999999935</v>
      </c>
      <c r="BM369" s="343">
        <f>SUMIFS($AU$134:AU370,$AQ$134:AQ370,"M")</f>
        <v>-18.699999999995292</v>
      </c>
      <c r="BN369" s="343">
        <f>SUMIFS($AU$134:AU370,$AQ$134:AQ370,"H")</f>
        <v>278.60000000001492</v>
      </c>
      <c r="BO369" s="343">
        <f>SUMIFS($AU$134:AU370,$AQ$134:AQ370,"D")</f>
        <v>-632.05000000000052</v>
      </c>
      <c r="BP369" s="343">
        <f>SUMIFS($AU$134:AU372,$AQ$134:AQ372,"W")</f>
        <v>-1270.7</v>
      </c>
      <c r="BQ369" s="343">
        <f>SUMIFS($AU$134:AU370,$Q$134:Q370,"O")</f>
        <v>-201.36000000004023</v>
      </c>
      <c r="BR369" s="343">
        <f>SUMIFS($AU$134:AU370,$AA$134:AA370,"*")</f>
        <v>1828.7499999999886</v>
      </c>
      <c r="BS369" s="343">
        <f>SUMIFS($AU$134:AU370,$AB$134:AB370,"*")</f>
        <v>46.839999999975959</v>
      </c>
      <c r="BT369" s="343">
        <f>SUMIFS($AU$134:AU370,$AC$134:AC370,"*")</f>
        <v>-2330.7500000000009</v>
      </c>
      <c r="BU369" s="343">
        <f>SUMIFS($AU$134:AU370,$AA$134:AA370,"*",$AB$134:AB370,"*")</f>
        <v>-236.49999999999511</v>
      </c>
      <c r="BV369" s="343">
        <f>SUMIFS($AU$134:AU370,$AA$134:AA370,"*",$AC$134:AC370,"*")</f>
        <v>618.349999999999</v>
      </c>
      <c r="BW369" s="343">
        <f>SUMIFS($AU$134:AU370,$AB$134:AB370,"*",$AC$134:AC370,"*")</f>
        <v>30.299999999999642</v>
      </c>
      <c r="BX369" s="343">
        <f>SUMIFS($AU370:AU$1388,$Q370:Q$1388,"F")</f>
        <v>17455.466666666667</v>
      </c>
      <c r="BY369" s="343">
        <f>SUMIFS($AU370:AU$1388,$Q370:Q$1388,"S")</f>
        <v>18515.092000000001</v>
      </c>
      <c r="BZ369" s="343">
        <f>SUMIFS($AU370:AU$1388,$Q370:Q$1388,"O")</f>
        <v>-1447.4979999997583</v>
      </c>
    </row>
    <row r="370" spans="1:78" ht="15.75" customHeight="1">
      <c r="A370" s="221" t="s">
        <v>1720</v>
      </c>
      <c r="B370" s="200"/>
      <c r="C370" s="201"/>
      <c r="D370" s="201"/>
      <c r="E370" s="247"/>
      <c r="F370" s="203"/>
      <c r="G370" s="204"/>
      <c r="H370" s="205"/>
      <c r="I370" s="205"/>
      <c r="J370" s="205"/>
      <c r="K370" s="206"/>
      <c r="L370" s="205"/>
      <c r="M370" s="205"/>
      <c r="N370" s="205"/>
      <c r="O370" s="206"/>
      <c r="P370" s="206"/>
      <c r="Q370" s="206"/>
      <c r="R370" s="206"/>
      <c r="S370" s="206"/>
      <c r="T370" s="206"/>
      <c r="U370" s="206"/>
      <c r="V370" s="206"/>
      <c r="W370" s="206"/>
      <c r="X370" s="206"/>
      <c r="Y370" s="184" t="str">
        <f t="shared" si="140"/>
        <v/>
      </c>
      <c r="Z370" s="184" t="str">
        <f t="shared" si="144"/>
        <v/>
      </c>
      <c r="AA370" s="208"/>
      <c r="AB370" s="208"/>
      <c r="AC370" s="208"/>
      <c r="AD370" s="650"/>
      <c r="AE370" s="205"/>
      <c r="AF370" s="333"/>
      <c r="AG370" s="205"/>
      <c r="AH370" s="205"/>
      <c r="AI370" s="205"/>
      <c r="AJ370" s="641"/>
      <c r="AK370" s="205"/>
      <c r="AL370" s="496"/>
      <c r="AM370" s="496"/>
      <c r="AN370" s="627"/>
      <c r="AO370" s="205"/>
      <c r="AP370" s="205"/>
      <c r="AQ370" s="333" t="str">
        <f>UPPER(RIGHT(Journal_Live[[#This Row],[DURATION ]]))</f>
        <v/>
      </c>
      <c r="AR370" s="205"/>
      <c r="AS370" s="211"/>
      <c r="AT370" s="189"/>
      <c r="AU370" s="187"/>
      <c r="AV370" s="190"/>
      <c r="AW370" s="213"/>
      <c r="AX370" s="433" t="s">
        <v>1768</v>
      </c>
      <c r="AY370" s="433" t="s">
        <v>1769</v>
      </c>
      <c r="AZ370" s="413" t="s">
        <v>1770</v>
      </c>
      <c r="BA370" s="413" t="s">
        <v>529</v>
      </c>
      <c r="BB370" s="413"/>
      <c r="BC370" s="413"/>
      <c r="BD370" s="413"/>
      <c r="BE370" s="413"/>
      <c r="BF370" s="427"/>
      <c r="BG370" s="391">
        <f>SUM($AV$4:AV370)</f>
        <v>2160.485000000017</v>
      </c>
      <c r="BH370" s="392">
        <f>SUM($AU$134:AU370)</f>
        <v>-860.41000000004055</v>
      </c>
      <c r="BI370" s="318">
        <f>SUMIFS($AU$134:AU371,$Q$134:Q371,"F")</f>
        <v>-3014.8</v>
      </c>
      <c r="BJ370" s="318">
        <f>SUMIFS($AU$134:AU371,$Q$134:Q371,"S")</f>
        <v>2172.5499999999988</v>
      </c>
      <c r="BK370" s="343">
        <f>SUMIFS($AU$134:AU371,$P$134:P371,"W")</f>
        <v>1398.6899999999528</v>
      </c>
      <c r="BL370" s="343">
        <f>SUMIFS($AU$134:AU371,$P$134:P371,"R")</f>
        <v>-2243.0999999999935</v>
      </c>
      <c r="BM370" s="343">
        <f>SUMIFS($AU$134:AU371,$AQ$134:AQ371,"M")</f>
        <v>-18.699999999995292</v>
      </c>
      <c r="BN370" s="343">
        <f>SUMIFS($AU$134:AU371,$AQ$134:AQ371,"H")</f>
        <v>278.60000000001492</v>
      </c>
      <c r="BO370" s="343">
        <f>SUMIFS($AU$134:AU371,$AQ$134:AQ371,"D")</f>
        <v>-632.05000000000052</v>
      </c>
      <c r="BP370" s="343">
        <f>SUMIFS($AU$134:AU373,$AQ$134:AQ373,"W")</f>
        <v>-1270.7</v>
      </c>
      <c r="BQ370" s="343">
        <f>SUMIFS($AU$134:AU371,$Q$134:Q371,"O")</f>
        <v>-201.36000000004023</v>
      </c>
      <c r="BR370" s="343">
        <f>SUMIFS($AU$134:AU371,$AA$134:AA371,"*")</f>
        <v>1844.7499999999886</v>
      </c>
      <c r="BS370" s="343">
        <f>SUMIFS($AU$134:AU371,$AB$134:AB371,"*")</f>
        <v>46.839999999975959</v>
      </c>
      <c r="BT370" s="343">
        <f>SUMIFS($AU$134:AU371,$AC$134:AC371,"*")</f>
        <v>-2330.7500000000009</v>
      </c>
      <c r="BU370" s="343">
        <f>SUMIFS($AU$134:AU371,$AA$134:AA371,"*",$AB$134:AB371,"*")</f>
        <v>-236.49999999999511</v>
      </c>
      <c r="BV370" s="343">
        <f>SUMIFS($AU$134:AU371,$AA$134:AA371,"*",$AC$134:AC371,"*")</f>
        <v>618.349999999999</v>
      </c>
      <c r="BW370" s="343">
        <f>SUMIFS($AU$134:AU371,$AB$134:AB371,"*",$AC$134:AC371,"*")</f>
        <v>30.299999999999642</v>
      </c>
      <c r="BX370" s="343">
        <f>SUMIFS($AU371:AU$1388,$Q371:Q$1388,"F")</f>
        <v>17455.466666666667</v>
      </c>
      <c r="BY370" s="343">
        <f>SUMIFS($AU371:AU$1388,$Q371:Q$1388,"S")</f>
        <v>18515.092000000001</v>
      </c>
      <c r="BZ370" s="343">
        <f>SUMIFS($AU371:AU$1388,$Q371:Q$1388,"O")</f>
        <v>-1447.4979999997583</v>
      </c>
    </row>
    <row r="371" spans="1:78" ht="15.75" customHeight="1">
      <c r="A371" s="221" t="s">
        <v>1720</v>
      </c>
      <c r="B371" s="200">
        <v>45001</v>
      </c>
      <c r="C371" s="201" t="s">
        <v>1771</v>
      </c>
      <c r="D371" s="201" t="s">
        <v>93</v>
      </c>
      <c r="E371" s="247"/>
      <c r="F371" s="203"/>
      <c r="G371" s="204" t="s">
        <v>133</v>
      </c>
      <c r="H371" s="205"/>
      <c r="I371" s="205"/>
      <c r="J371" s="205"/>
      <c r="K371" s="206"/>
      <c r="L371" s="205">
        <v>1</v>
      </c>
      <c r="M371" s="205"/>
      <c r="N371" s="205"/>
      <c r="O371" s="206" t="s">
        <v>95</v>
      </c>
      <c r="P371" s="206" t="s">
        <v>96</v>
      </c>
      <c r="Q371" s="206" t="s">
        <v>97</v>
      </c>
      <c r="R371" s="206">
        <v>1</v>
      </c>
      <c r="S371" s="206">
        <v>1</v>
      </c>
      <c r="T371" s="206">
        <v>1</v>
      </c>
      <c r="U371" s="206" t="s">
        <v>97</v>
      </c>
      <c r="V371" s="206"/>
      <c r="W371" s="206"/>
      <c r="X371" s="206"/>
      <c r="Y371" s="184">
        <f t="shared" si="140"/>
        <v>0.01</v>
      </c>
      <c r="Z371" s="184">
        <f t="shared" si="144"/>
        <v>1600</v>
      </c>
      <c r="AA371" s="208" t="s">
        <v>1721</v>
      </c>
      <c r="AB371" s="208"/>
      <c r="AC371" s="208"/>
      <c r="AD371" s="650">
        <v>0</v>
      </c>
      <c r="AE371" s="205"/>
      <c r="AF371" s="333"/>
      <c r="AG371" s="205"/>
      <c r="AH371" s="205"/>
      <c r="AI371" s="205"/>
      <c r="AJ371" s="641"/>
      <c r="AK371" s="205"/>
      <c r="AL371" s="496"/>
      <c r="AM371" s="496"/>
      <c r="AN371" s="627"/>
      <c r="AO371" s="205"/>
      <c r="AP371" s="205" t="s">
        <v>1772</v>
      </c>
      <c r="AQ371" s="333" t="str">
        <f>UPPER(RIGHT(Journal_Live[[#This Row],[DURATION ]]))</f>
        <v>S</v>
      </c>
      <c r="AR371" s="205" t="s">
        <v>1773</v>
      </c>
      <c r="AS371" s="211">
        <v>-0.01</v>
      </c>
      <c r="AT371" s="189">
        <f t="shared" ref="AT371:AT376" si="148">IF(ISBLANK(AS371),,IF(U371="S",AD371-AS371,AS371-AD371))</f>
        <v>0.01</v>
      </c>
      <c r="AU371" s="187">
        <f t="shared" ref="AU371:AU376" si="149">AV371*R371</f>
        <v>16</v>
      </c>
      <c r="AV371" s="190">
        <f t="shared" ref="AV371:AV376" si="150">IF(ISBLANK(AS371),,(AT371*Z371))</f>
        <v>16</v>
      </c>
      <c r="AW371" s="213" t="s">
        <v>96</v>
      </c>
      <c r="AX371" s="413" t="s">
        <v>1774</v>
      </c>
      <c r="AY371" s="413"/>
      <c r="AZ371" s="413"/>
      <c r="BA371" s="413"/>
      <c r="BB371" s="413"/>
      <c r="BC371" s="413"/>
      <c r="BD371" s="413"/>
      <c r="BE371" s="413"/>
      <c r="BF371" s="427"/>
      <c r="BG371" s="391">
        <f>SUM($AV$4:AV371)</f>
        <v>2176.485000000017</v>
      </c>
      <c r="BH371" s="392">
        <f>SUM($AU$134:AU371)</f>
        <v>-844.41000000004055</v>
      </c>
      <c r="BI371" s="318">
        <f>SUMIFS($AU$134:AU372,$Q$134:Q372,"F")</f>
        <v>-3014.8</v>
      </c>
      <c r="BJ371" s="318">
        <f>SUMIFS($AU$134:AU372,$Q$134:Q372,"S")</f>
        <v>2124.5499999999988</v>
      </c>
      <c r="BK371" s="343">
        <f>SUMIFS($AU$134:AU372,$P$134:P372,"W")</f>
        <v>1350.6899999999528</v>
      </c>
      <c r="BL371" s="343">
        <f>SUMIFS($AU$134:AU372,$P$134:P372,"R")</f>
        <v>-2243.0999999999935</v>
      </c>
      <c r="BM371" s="343">
        <f>SUMIFS($AU$134:AU372,$AQ$134:AQ372,"M")</f>
        <v>-18.699999999995292</v>
      </c>
      <c r="BN371" s="343">
        <f>SUMIFS($AU$134:AU372,$AQ$134:AQ372,"H")</f>
        <v>278.60000000001492</v>
      </c>
      <c r="BO371" s="343">
        <f>SUMIFS($AU$134:AU372,$AQ$134:AQ372,"D")</f>
        <v>-632.05000000000052</v>
      </c>
      <c r="BP371" s="343">
        <f>SUMIFS($AU$134:AU374,$AQ$134:AQ374,"W")</f>
        <v>-1270.7</v>
      </c>
      <c r="BQ371" s="343">
        <f>SUMIFS($AU$134:AU372,$Q$134:Q372,"O")</f>
        <v>-201.36000000004023</v>
      </c>
      <c r="BR371" s="343">
        <f>SUMIFS($AU$134:AU372,$AA$134:AA372,"*")</f>
        <v>1796.7499999999886</v>
      </c>
      <c r="BS371" s="343">
        <f>SUMIFS($AU$134:AU372,$AB$134:AB372,"*")</f>
        <v>46.839999999975959</v>
      </c>
      <c r="BT371" s="343">
        <f>SUMIFS($AU$134:AU372,$AC$134:AC372,"*")</f>
        <v>-2330.7500000000009</v>
      </c>
      <c r="BU371" s="343">
        <f>SUMIFS($AU$134:AU372,$AA$134:AA372,"*",$AB$134:AB372,"*")</f>
        <v>-236.49999999999511</v>
      </c>
      <c r="BV371" s="343">
        <f>SUMIFS($AU$134:AU372,$AA$134:AA372,"*",$AC$134:AC372,"*")</f>
        <v>618.349999999999</v>
      </c>
      <c r="BW371" s="343">
        <f>SUMIFS($AU$134:AU372,$AB$134:AB372,"*",$AC$134:AC372,"*")</f>
        <v>30.299999999999642</v>
      </c>
      <c r="BX371" s="343">
        <f>SUMIFS($AU372:AU$1388,$Q372:Q$1388,"F")</f>
        <v>17455.466666666667</v>
      </c>
      <c r="BY371" s="343">
        <f>SUMIFS($AU372:AU$1388,$Q372:Q$1388,"S")</f>
        <v>18499.092000000001</v>
      </c>
      <c r="BZ371" s="343">
        <f>SUMIFS($AU372:AU$1388,$Q372:Q$1388,"O")</f>
        <v>-1447.4979999997583</v>
      </c>
    </row>
    <row r="372" spans="1:78" ht="15.75" customHeight="1">
      <c r="A372" s="221" t="s">
        <v>1720</v>
      </c>
      <c r="B372" s="200">
        <v>45001</v>
      </c>
      <c r="C372" s="201" t="s">
        <v>1775</v>
      </c>
      <c r="D372" s="201" t="s">
        <v>93</v>
      </c>
      <c r="E372" s="247"/>
      <c r="F372" s="203"/>
      <c r="G372" s="204" t="s">
        <v>365</v>
      </c>
      <c r="H372" s="205"/>
      <c r="I372" s="205"/>
      <c r="J372" s="205"/>
      <c r="K372" s="206"/>
      <c r="L372" s="205">
        <v>1</v>
      </c>
      <c r="M372" s="205"/>
      <c r="N372" s="205"/>
      <c r="O372" s="206" t="s">
        <v>95</v>
      </c>
      <c r="P372" s="206" t="s">
        <v>96</v>
      </c>
      <c r="Q372" s="206" t="s">
        <v>97</v>
      </c>
      <c r="R372" s="206">
        <v>1</v>
      </c>
      <c r="S372" s="206">
        <v>1</v>
      </c>
      <c r="T372" s="206">
        <v>1</v>
      </c>
      <c r="U372" s="206" t="s">
        <v>97</v>
      </c>
      <c r="V372" s="206"/>
      <c r="W372" s="206"/>
      <c r="X372" s="206"/>
      <c r="Y372" s="184">
        <f t="shared" si="140"/>
        <v>0.01</v>
      </c>
      <c r="Z372" s="184">
        <f t="shared" si="144"/>
        <v>1600</v>
      </c>
      <c r="AA372" s="208" t="s">
        <v>1721</v>
      </c>
      <c r="AB372" s="208"/>
      <c r="AC372" s="208"/>
      <c r="AD372" s="650">
        <v>0</v>
      </c>
      <c r="AE372" s="205"/>
      <c r="AF372" s="333"/>
      <c r="AG372" s="205"/>
      <c r="AH372" s="205"/>
      <c r="AI372" s="205"/>
      <c r="AJ372" s="641"/>
      <c r="AK372" s="205"/>
      <c r="AL372" s="496"/>
      <c r="AM372" s="496"/>
      <c r="AN372" s="627"/>
      <c r="AO372" s="205"/>
      <c r="AP372" s="205" t="s">
        <v>1776</v>
      </c>
      <c r="AQ372" s="333" t="str">
        <f>UPPER(RIGHT(Journal_Live[[#This Row],[DURATION ]]))</f>
        <v>S</v>
      </c>
      <c r="AR372" s="205" t="s">
        <v>1777</v>
      </c>
      <c r="AS372" s="211">
        <v>0.03</v>
      </c>
      <c r="AT372" s="189">
        <f t="shared" si="148"/>
        <v>-0.03</v>
      </c>
      <c r="AU372" s="187">
        <f t="shared" si="149"/>
        <v>-48</v>
      </c>
      <c r="AV372" s="190">
        <f t="shared" si="150"/>
        <v>-48</v>
      </c>
      <c r="AW372" s="213" t="s">
        <v>229</v>
      </c>
      <c r="AX372" s="413" t="s">
        <v>1774</v>
      </c>
      <c r="AY372" s="413" t="s">
        <v>1778</v>
      </c>
      <c r="AZ372" s="413" t="s">
        <v>1779</v>
      </c>
      <c r="BA372" s="413"/>
      <c r="BB372" s="413"/>
      <c r="BC372" s="413"/>
      <c r="BD372" s="413"/>
      <c r="BE372" s="413"/>
      <c r="BF372" s="427"/>
      <c r="BG372" s="391">
        <f>SUM($AV$4:AV372)</f>
        <v>2128.485000000017</v>
      </c>
      <c r="BH372" s="392">
        <f>SUM($AU$134:AU372)</f>
        <v>-892.41000000004055</v>
      </c>
      <c r="BI372" s="318">
        <f>SUMIFS($AU$134:AU373,$Q$134:Q373,"F")</f>
        <v>-3014.8</v>
      </c>
      <c r="BJ372" s="318">
        <f>SUMIFS($AU$134:AU373,$Q$134:Q373,"S")</f>
        <v>2092.5499999999988</v>
      </c>
      <c r="BK372" s="343">
        <f>SUMIFS($AU$134:AU373,$P$134:P373,"W")</f>
        <v>1318.6899999999528</v>
      </c>
      <c r="BL372" s="343">
        <f>SUMIFS($AU$134:AU373,$P$134:P373,"R")</f>
        <v>-2243.0999999999935</v>
      </c>
      <c r="BM372" s="343">
        <f>SUMIFS($AU$134:AU373,$AQ$134:AQ373,"M")</f>
        <v>-18.699999999995292</v>
      </c>
      <c r="BN372" s="343">
        <f>SUMIFS($AU$134:AU373,$AQ$134:AQ373,"H")</f>
        <v>278.60000000001492</v>
      </c>
      <c r="BO372" s="343">
        <f>SUMIFS($AU$134:AU373,$AQ$134:AQ373,"D")</f>
        <v>-632.05000000000052</v>
      </c>
      <c r="BP372" s="343">
        <f>SUMIFS($AU$134:AU375,$AQ$134:AQ375,"W")</f>
        <v>-1270.7</v>
      </c>
      <c r="BQ372" s="343">
        <f>SUMIFS($AU$134:AU373,$Q$134:Q373,"O")</f>
        <v>-201.36000000004023</v>
      </c>
      <c r="BR372" s="343">
        <f>SUMIFS($AU$134:AU373,$AA$134:AA373,"*")</f>
        <v>1764.7499999999886</v>
      </c>
      <c r="BS372" s="343">
        <f>SUMIFS($AU$134:AU373,$AB$134:AB373,"*")</f>
        <v>46.839999999975959</v>
      </c>
      <c r="BT372" s="343">
        <f>SUMIFS($AU$134:AU373,$AC$134:AC373,"*")</f>
        <v>-2330.7500000000009</v>
      </c>
      <c r="BU372" s="343">
        <f>SUMIFS($AU$134:AU373,$AA$134:AA373,"*",$AB$134:AB373,"*")</f>
        <v>-236.49999999999511</v>
      </c>
      <c r="BV372" s="343">
        <f>SUMIFS($AU$134:AU373,$AA$134:AA373,"*",$AC$134:AC373,"*")</f>
        <v>618.349999999999</v>
      </c>
      <c r="BW372" s="343">
        <f>SUMIFS($AU$134:AU373,$AB$134:AB373,"*",$AC$134:AC373,"*")</f>
        <v>30.299999999999642</v>
      </c>
      <c r="BX372" s="343">
        <f>SUMIFS($AU373:AU$1388,$Q373:Q$1388,"F")</f>
        <v>17455.466666666667</v>
      </c>
      <c r="BY372" s="343">
        <f>SUMIFS($AU373:AU$1388,$Q373:Q$1388,"S")</f>
        <v>18547.092000000001</v>
      </c>
      <c r="BZ372" s="343">
        <f>SUMIFS($AU373:AU$1388,$Q373:Q$1388,"O")</f>
        <v>-1447.4979999997583</v>
      </c>
    </row>
    <row r="373" spans="1:78" ht="15.75" customHeight="1">
      <c r="A373" s="221" t="s">
        <v>1720</v>
      </c>
      <c r="B373" s="200">
        <v>45001</v>
      </c>
      <c r="C373" s="201" t="s">
        <v>1780</v>
      </c>
      <c r="D373" s="201" t="s">
        <v>93</v>
      </c>
      <c r="E373" s="247"/>
      <c r="F373" s="203"/>
      <c r="G373" s="204" t="s">
        <v>365</v>
      </c>
      <c r="H373" s="205"/>
      <c r="I373" s="205"/>
      <c r="J373" s="205"/>
      <c r="K373" s="206"/>
      <c r="L373" s="205">
        <v>1</v>
      </c>
      <c r="M373" s="205"/>
      <c r="N373" s="205"/>
      <c r="O373" s="206" t="s">
        <v>95</v>
      </c>
      <c r="P373" s="206" t="s">
        <v>96</v>
      </c>
      <c r="Q373" s="206" t="s">
        <v>97</v>
      </c>
      <c r="R373" s="206">
        <v>1</v>
      </c>
      <c r="S373" s="206">
        <v>1</v>
      </c>
      <c r="T373" s="206">
        <v>1</v>
      </c>
      <c r="U373" s="206" t="s">
        <v>97</v>
      </c>
      <c r="V373" s="206"/>
      <c r="W373" s="206"/>
      <c r="X373" s="206"/>
      <c r="Y373" s="184">
        <f t="shared" si="140"/>
        <v>0.01</v>
      </c>
      <c r="Z373" s="184">
        <f t="shared" si="144"/>
        <v>1600</v>
      </c>
      <c r="AA373" s="208" t="s">
        <v>1721</v>
      </c>
      <c r="AB373" s="208"/>
      <c r="AC373" s="208"/>
      <c r="AD373" s="650">
        <v>0.01</v>
      </c>
      <c r="AE373" s="205"/>
      <c r="AF373" s="333"/>
      <c r="AG373" s="205"/>
      <c r="AH373" s="205"/>
      <c r="AI373" s="205"/>
      <c r="AJ373" s="641"/>
      <c r="AK373" s="205"/>
      <c r="AL373" s="496"/>
      <c r="AM373" s="496"/>
      <c r="AN373" s="627"/>
      <c r="AO373" s="205"/>
      <c r="AP373" s="205" t="s">
        <v>1393</v>
      </c>
      <c r="AQ373" s="333" t="str">
        <f>UPPER(RIGHT(Journal_Live[[#This Row],[DURATION ]]))</f>
        <v>S</v>
      </c>
      <c r="AR373" s="205" t="s">
        <v>1781</v>
      </c>
      <c r="AS373" s="211">
        <v>0.03</v>
      </c>
      <c r="AT373" s="189">
        <f t="shared" si="148"/>
        <v>-1.9999999999999997E-2</v>
      </c>
      <c r="AU373" s="187">
        <f t="shared" si="149"/>
        <v>-31.999999999999996</v>
      </c>
      <c r="AV373" s="190">
        <f t="shared" si="150"/>
        <v>-31.999999999999996</v>
      </c>
      <c r="AW373" s="213" t="s">
        <v>229</v>
      </c>
      <c r="AX373" s="413"/>
      <c r="AY373" s="413"/>
      <c r="AZ373" s="413"/>
      <c r="BA373" s="413"/>
      <c r="BB373" s="413"/>
      <c r="BC373" s="413"/>
      <c r="BD373" s="413"/>
      <c r="BE373" s="413"/>
      <c r="BF373" s="427"/>
      <c r="BG373" s="391">
        <f>SUM($AV$4:AV373)</f>
        <v>2096.485000000017</v>
      </c>
      <c r="BH373" s="392">
        <f>SUM($AU$134:AU373)</f>
        <v>-924.41000000004055</v>
      </c>
      <c r="BI373" s="318">
        <f>SUMIFS($AU$134:AU374,$Q$134:Q374,"F")</f>
        <v>-3014.8</v>
      </c>
      <c r="BJ373" s="318">
        <f>SUMIFS($AU$134:AU374,$Q$134:Q374,"S")</f>
        <v>2108.5499999999988</v>
      </c>
      <c r="BK373" s="343">
        <f>SUMIFS($AU$134:AU374,$P$134:P374,"W")</f>
        <v>1334.6899999999528</v>
      </c>
      <c r="BL373" s="343">
        <f>SUMIFS($AU$134:AU374,$P$134:P374,"R")</f>
        <v>-2243.0999999999935</v>
      </c>
      <c r="BM373" s="343">
        <f>SUMIFS($AU$134:AU374,$AQ$134:AQ374,"M")</f>
        <v>-18.699999999995292</v>
      </c>
      <c r="BN373" s="343">
        <f>SUMIFS($AU$134:AU374,$AQ$134:AQ374,"H")</f>
        <v>294.60000000001492</v>
      </c>
      <c r="BO373" s="343">
        <f>SUMIFS($AU$134:AU374,$AQ$134:AQ374,"D")</f>
        <v>-632.05000000000052</v>
      </c>
      <c r="BP373" s="343">
        <f>SUMIFS($AU$134:AU376,$AQ$134:AQ376,"W")</f>
        <v>-1270.7</v>
      </c>
      <c r="BQ373" s="343">
        <f>SUMIFS($AU$134:AU374,$Q$134:Q374,"O")</f>
        <v>-201.36000000004023</v>
      </c>
      <c r="BR373" s="343">
        <f>SUMIFS($AU$134:AU374,$AA$134:AA374,"*")</f>
        <v>1780.7499999999886</v>
      </c>
      <c r="BS373" s="343">
        <f>SUMIFS($AU$134:AU374,$AB$134:AB374,"*")</f>
        <v>46.839999999975959</v>
      </c>
      <c r="BT373" s="343">
        <f>SUMIFS($AU$134:AU374,$AC$134:AC374,"*")</f>
        <v>-2330.7500000000009</v>
      </c>
      <c r="BU373" s="343">
        <f>SUMIFS($AU$134:AU374,$AA$134:AA374,"*",$AB$134:AB374,"*")</f>
        <v>-236.49999999999511</v>
      </c>
      <c r="BV373" s="343">
        <f>SUMIFS($AU$134:AU374,$AA$134:AA374,"*",$AC$134:AC374,"*")</f>
        <v>618.349999999999</v>
      </c>
      <c r="BW373" s="343">
        <f>SUMIFS($AU$134:AU374,$AB$134:AB374,"*",$AC$134:AC374,"*")</f>
        <v>30.299999999999642</v>
      </c>
      <c r="BX373" s="343">
        <f>SUMIFS($AU374:AU$1388,$Q374:Q$1388,"F")</f>
        <v>17455.466666666667</v>
      </c>
      <c r="BY373" s="343">
        <f>SUMIFS($AU374:AU$1388,$Q374:Q$1388,"S")</f>
        <v>18579.092000000001</v>
      </c>
      <c r="BZ373" s="343">
        <f>SUMIFS($AU374:AU$1388,$Q374:Q$1388,"O")</f>
        <v>-1447.4979999997583</v>
      </c>
    </row>
    <row r="374" spans="1:78" ht="15.75" customHeight="1">
      <c r="A374" s="221" t="s">
        <v>1720</v>
      </c>
      <c r="B374" s="200">
        <v>45001</v>
      </c>
      <c r="C374" s="201" t="s">
        <v>1780</v>
      </c>
      <c r="D374" s="201" t="s">
        <v>93</v>
      </c>
      <c r="E374" s="247"/>
      <c r="F374" s="203"/>
      <c r="G374" s="204" t="s">
        <v>271</v>
      </c>
      <c r="H374" s="205"/>
      <c r="I374" s="205"/>
      <c r="J374" s="205"/>
      <c r="K374" s="206"/>
      <c r="L374" s="205">
        <v>1</v>
      </c>
      <c r="M374" s="205"/>
      <c r="N374" s="205"/>
      <c r="O374" s="206" t="s">
        <v>95</v>
      </c>
      <c r="P374" s="206" t="s">
        <v>96</v>
      </c>
      <c r="Q374" s="206" t="s">
        <v>97</v>
      </c>
      <c r="R374" s="206">
        <v>1</v>
      </c>
      <c r="S374" s="206">
        <v>1</v>
      </c>
      <c r="T374" s="206">
        <v>1</v>
      </c>
      <c r="U374" s="206" t="s">
        <v>22</v>
      </c>
      <c r="V374" s="206"/>
      <c r="W374" s="206"/>
      <c r="X374" s="206"/>
      <c r="Y374" s="184">
        <f t="shared" ref="Y374:Y390" si="151">IF(ISBLANK(O374),"",(IF(O374=UPPER("IB"),0.005,0.01)))</f>
        <v>0.01</v>
      </c>
      <c r="Z374" s="184">
        <f t="shared" si="144"/>
        <v>1600</v>
      </c>
      <c r="AA374" s="208" t="s">
        <v>1721</v>
      </c>
      <c r="AB374" s="208"/>
      <c r="AC374" s="208"/>
      <c r="AD374" s="650">
        <v>0.02</v>
      </c>
      <c r="AE374" s="205"/>
      <c r="AF374" s="333"/>
      <c r="AG374" s="205"/>
      <c r="AH374" s="205"/>
      <c r="AI374" s="205"/>
      <c r="AJ374" s="641"/>
      <c r="AK374" s="205"/>
      <c r="AL374" s="496"/>
      <c r="AM374" s="496"/>
      <c r="AN374" s="627"/>
      <c r="AO374" s="205"/>
      <c r="AP374" s="205" t="s">
        <v>1782</v>
      </c>
      <c r="AQ374" s="333" t="str">
        <f>UPPER(RIGHT(Journal_Live[[#This Row],[DURATION ]]))</f>
        <v>H</v>
      </c>
      <c r="AR374" s="205" t="s">
        <v>1714</v>
      </c>
      <c r="AS374" s="211">
        <v>0.03</v>
      </c>
      <c r="AT374" s="189">
        <f t="shared" si="148"/>
        <v>9.9999999999999985E-3</v>
      </c>
      <c r="AU374" s="187">
        <f t="shared" si="149"/>
        <v>15.999999999999998</v>
      </c>
      <c r="AV374" s="190">
        <f t="shared" si="150"/>
        <v>15.999999999999998</v>
      </c>
      <c r="AW374" s="213" t="s">
        <v>96</v>
      </c>
      <c r="AX374" s="413"/>
      <c r="AY374" s="413"/>
      <c r="AZ374" s="413"/>
      <c r="BA374" s="413"/>
      <c r="BB374" s="413"/>
      <c r="BC374" s="413"/>
      <c r="BD374" s="413"/>
      <c r="BE374" s="413"/>
      <c r="BF374" s="427"/>
      <c r="BG374" s="391">
        <f>SUM($AV$4:AV374)</f>
        <v>2112.485000000017</v>
      </c>
      <c r="BH374" s="392">
        <f>SUM($AU$134:AU374)</f>
        <v>-908.41000000004055</v>
      </c>
      <c r="BI374" s="318">
        <f>SUMIFS($AU$134:AU375,$Q$134:Q375,"F")</f>
        <v>-3014.8</v>
      </c>
      <c r="BJ374" s="318">
        <f>SUMIFS($AU$134:AU375,$Q$134:Q375,"S")</f>
        <v>2124.5499999999988</v>
      </c>
      <c r="BK374" s="343">
        <f>SUMIFS($AU$134:AU375,$P$134:P375,"W")</f>
        <v>1350.6899999999528</v>
      </c>
      <c r="BL374" s="343">
        <f>SUMIFS($AU$134:AU375,$P$134:P375,"R")</f>
        <v>-2243.0999999999935</v>
      </c>
      <c r="BM374" s="343">
        <f>SUMIFS($AU$134:AU375,$AQ$134:AQ375,"M")</f>
        <v>-2.6999999999952919</v>
      </c>
      <c r="BN374" s="343">
        <f>SUMIFS($AU$134:AU375,$AQ$134:AQ375,"H")</f>
        <v>294.60000000001492</v>
      </c>
      <c r="BO374" s="343">
        <f>SUMIFS($AU$134:AU375,$AQ$134:AQ375,"D")</f>
        <v>-632.05000000000052</v>
      </c>
      <c r="BP374" s="343">
        <f>SUMIFS($AU$134:AU377,$AQ$134:AQ377,"W")</f>
        <v>-1270.7</v>
      </c>
      <c r="BQ374" s="343">
        <f>SUMIFS($AU$134:AU375,$Q$134:Q375,"O")</f>
        <v>-201.36000000004023</v>
      </c>
      <c r="BR374" s="343">
        <f>SUMIFS($AU$134:AU375,$AA$134:AA375,"*")</f>
        <v>1796.7499999999886</v>
      </c>
      <c r="BS374" s="343">
        <f>SUMIFS($AU$134:AU375,$AB$134:AB375,"*")</f>
        <v>46.839999999975959</v>
      </c>
      <c r="BT374" s="343">
        <f>SUMIFS($AU$134:AU375,$AC$134:AC375,"*")</f>
        <v>-2330.7500000000009</v>
      </c>
      <c r="BU374" s="343">
        <f>SUMIFS($AU$134:AU375,$AA$134:AA375,"*",$AB$134:AB375,"*")</f>
        <v>-236.49999999999511</v>
      </c>
      <c r="BV374" s="343">
        <f>SUMIFS($AU$134:AU375,$AA$134:AA375,"*",$AC$134:AC375,"*")</f>
        <v>618.349999999999</v>
      </c>
      <c r="BW374" s="343">
        <f>SUMIFS($AU$134:AU375,$AB$134:AB375,"*",$AC$134:AC375,"*")</f>
        <v>30.299999999999642</v>
      </c>
      <c r="BX374" s="343">
        <f>SUMIFS($AU375:AU$1388,$Q375:Q$1388,"F")</f>
        <v>17455.466666666667</v>
      </c>
      <c r="BY374" s="343">
        <f>SUMIFS($AU375:AU$1388,$Q375:Q$1388,"S")</f>
        <v>18563.092000000001</v>
      </c>
      <c r="BZ374" s="343">
        <f>SUMIFS($AU375:AU$1388,$Q375:Q$1388,"O")</f>
        <v>-1447.4979999997583</v>
      </c>
    </row>
    <row r="375" spans="1:78" ht="15.75" customHeight="1">
      <c r="A375" s="221" t="s">
        <v>1720</v>
      </c>
      <c r="B375" s="200">
        <v>45001</v>
      </c>
      <c r="C375" s="201" t="s">
        <v>1783</v>
      </c>
      <c r="D375" s="201" t="s">
        <v>93</v>
      </c>
      <c r="E375" s="247"/>
      <c r="F375" s="203"/>
      <c r="G375" s="204" t="s">
        <v>280</v>
      </c>
      <c r="H375" s="205"/>
      <c r="I375" s="205"/>
      <c r="J375" s="205"/>
      <c r="K375" s="206"/>
      <c r="L375" s="205">
        <v>1</v>
      </c>
      <c r="M375" s="205"/>
      <c r="N375" s="205"/>
      <c r="O375" s="206" t="s">
        <v>95</v>
      </c>
      <c r="P375" s="206" t="s">
        <v>96</v>
      </c>
      <c r="Q375" s="206" t="s">
        <v>97</v>
      </c>
      <c r="R375" s="206">
        <v>1</v>
      </c>
      <c r="S375" s="206">
        <v>1</v>
      </c>
      <c r="T375" s="206">
        <v>1</v>
      </c>
      <c r="U375" s="206" t="s">
        <v>22</v>
      </c>
      <c r="V375" s="206"/>
      <c r="W375" s="206"/>
      <c r="X375" s="206"/>
      <c r="Y375" s="184">
        <f t="shared" si="151"/>
        <v>0.01</v>
      </c>
      <c r="Z375" s="184">
        <f t="shared" si="144"/>
        <v>1600</v>
      </c>
      <c r="AA375" s="208" t="s">
        <v>1721</v>
      </c>
      <c r="AB375" s="208"/>
      <c r="AC375" s="208"/>
      <c r="AD375" s="650">
        <v>0</v>
      </c>
      <c r="AE375" s="205"/>
      <c r="AF375" s="333"/>
      <c r="AG375" s="205"/>
      <c r="AH375" s="205"/>
      <c r="AI375" s="205"/>
      <c r="AJ375" s="641"/>
      <c r="AK375" s="205"/>
      <c r="AL375" s="496"/>
      <c r="AM375" s="496"/>
      <c r="AN375" s="627"/>
      <c r="AO375" s="205"/>
      <c r="AP375" s="205" t="s">
        <v>1784</v>
      </c>
      <c r="AQ375" s="333" t="s">
        <v>1259</v>
      </c>
      <c r="AR375" s="205" t="s">
        <v>1785</v>
      </c>
      <c r="AS375" s="211">
        <v>0.01</v>
      </c>
      <c r="AT375" s="189">
        <f t="shared" si="148"/>
        <v>0.01</v>
      </c>
      <c r="AU375" s="187">
        <f t="shared" si="149"/>
        <v>16</v>
      </c>
      <c r="AV375" s="190">
        <f t="shared" si="150"/>
        <v>16</v>
      </c>
      <c r="AW375" s="213" t="s">
        <v>96</v>
      </c>
      <c r="AX375" s="413"/>
      <c r="AY375" s="413"/>
      <c r="AZ375" s="413"/>
      <c r="BA375" s="413"/>
      <c r="BB375" s="413"/>
      <c r="BC375" s="413"/>
      <c r="BD375" s="413"/>
      <c r="BE375" s="413"/>
      <c r="BF375" s="427"/>
      <c r="BG375" s="391">
        <f>SUM($AV$4:AV375)</f>
        <v>2128.485000000017</v>
      </c>
      <c r="BH375" s="392">
        <f>SUM($AU$134:AU375)</f>
        <v>-892.41000000004055</v>
      </c>
      <c r="BI375" s="318">
        <f>SUMIFS($AU$134:AU376,$Q$134:Q376,"F")</f>
        <v>-3014.8</v>
      </c>
      <c r="BJ375" s="318">
        <f>SUMIFS($AU$134:AU376,$Q$134:Q376,"S")</f>
        <v>2140.5499999999988</v>
      </c>
      <c r="BK375" s="343">
        <f>SUMIFS($AU$134:AU376,$P$134:P376,"W")</f>
        <v>1366.6899999999528</v>
      </c>
      <c r="BL375" s="343">
        <f>SUMIFS($AU$134:AU376,$P$134:P376,"R")</f>
        <v>-2243.0999999999935</v>
      </c>
      <c r="BM375" s="343">
        <f>SUMIFS($AU$134:AU376,$AQ$134:AQ376,"M")</f>
        <v>-2.6999999999952919</v>
      </c>
      <c r="BN375" s="343">
        <f>SUMIFS($AU$134:AU376,$AQ$134:AQ376,"H")</f>
        <v>294.60000000001492</v>
      </c>
      <c r="BO375" s="343">
        <f>SUMIFS($AU$134:AU376,$AQ$134:AQ376,"D")</f>
        <v>-632.05000000000052</v>
      </c>
      <c r="BP375" s="343">
        <f>SUMIFS($AU$134:AU378,$AQ$134:AQ378,"W")</f>
        <v>-1270.7</v>
      </c>
      <c r="BQ375" s="343">
        <f>SUMIFS($AU$134:AU376,$Q$134:Q376,"O")</f>
        <v>-201.36000000004023</v>
      </c>
      <c r="BR375" s="343">
        <f>SUMIFS($AU$134:AU376,$AA$134:AA376,"*")</f>
        <v>1812.7499999999886</v>
      </c>
      <c r="BS375" s="343">
        <f>SUMIFS($AU$134:AU376,$AB$134:AB376,"*")</f>
        <v>46.839999999975959</v>
      </c>
      <c r="BT375" s="343">
        <f>SUMIFS($AU$134:AU376,$AC$134:AC376,"*")</f>
        <v>-2330.7500000000009</v>
      </c>
      <c r="BU375" s="343">
        <f>SUMIFS($AU$134:AU376,$AA$134:AA376,"*",$AB$134:AB376,"*")</f>
        <v>-236.49999999999511</v>
      </c>
      <c r="BV375" s="343">
        <f>SUMIFS($AU$134:AU376,$AA$134:AA376,"*",$AC$134:AC376,"*")</f>
        <v>618.349999999999</v>
      </c>
      <c r="BW375" s="343">
        <f>SUMIFS($AU$134:AU376,$AB$134:AB376,"*",$AC$134:AC376,"*")</f>
        <v>30.299999999999642</v>
      </c>
      <c r="BX375" s="343">
        <f>SUMIFS($AU376:AU$1388,$Q376:Q$1388,"F")</f>
        <v>17455.466666666667</v>
      </c>
      <c r="BY375" s="343">
        <f>SUMIFS($AU376:AU$1388,$Q376:Q$1388,"S")</f>
        <v>18547.092000000001</v>
      </c>
      <c r="BZ375" s="343">
        <f>SUMIFS($AU376:AU$1388,$Q376:Q$1388,"O")</f>
        <v>-1447.4979999997583</v>
      </c>
    </row>
    <row r="376" spans="1:78" ht="15.75" customHeight="1">
      <c r="A376" s="221" t="s">
        <v>1720</v>
      </c>
      <c r="B376" s="200">
        <v>45001</v>
      </c>
      <c r="C376" s="201" t="s">
        <v>1786</v>
      </c>
      <c r="D376" s="201" t="s">
        <v>93</v>
      </c>
      <c r="E376" s="247"/>
      <c r="F376" s="203"/>
      <c r="G376" s="204" t="s">
        <v>133</v>
      </c>
      <c r="H376" s="205"/>
      <c r="I376" s="205"/>
      <c r="J376" s="205"/>
      <c r="K376" s="206"/>
      <c r="L376" s="205">
        <v>1</v>
      </c>
      <c r="M376" s="205"/>
      <c r="N376" s="205"/>
      <c r="O376" s="206" t="s">
        <v>95</v>
      </c>
      <c r="P376" s="206" t="s">
        <v>96</v>
      </c>
      <c r="Q376" s="206" t="s">
        <v>97</v>
      </c>
      <c r="R376" s="206">
        <v>1</v>
      </c>
      <c r="S376" s="206">
        <v>1</v>
      </c>
      <c r="T376" s="206">
        <v>1</v>
      </c>
      <c r="U376" s="206" t="s">
        <v>22</v>
      </c>
      <c r="V376" s="206"/>
      <c r="W376" s="206"/>
      <c r="X376" s="206"/>
      <c r="Y376" s="184">
        <f t="shared" si="151"/>
        <v>0.01</v>
      </c>
      <c r="Z376" s="184">
        <f t="shared" si="144"/>
        <v>1600</v>
      </c>
      <c r="AA376" s="208" t="s">
        <v>1721</v>
      </c>
      <c r="AB376" s="208"/>
      <c r="AC376" s="208"/>
      <c r="AD376" s="650">
        <v>-0.02</v>
      </c>
      <c r="AE376" s="205"/>
      <c r="AF376" s="333"/>
      <c r="AG376" s="205"/>
      <c r="AH376" s="205"/>
      <c r="AI376" s="205"/>
      <c r="AJ376" s="641"/>
      <c r="AK376" s="205"/>
      <c r="AL376" s="496"/>
      <c r="AM376" s="496"/>
      <c r="AN376" s="627"/>
      <c r="AO376" s="205"/>
      <c r="AP376" s="205" t="s">
        <v>1787</v>
      </c>
      <c r="AQ376" s="333" t="str">
        <f>UPPER(RIGHT(Journal_Live[[#This Row],[DURATION ]]))</f>
        <v>S</v>
      </c>
      <c r="AR376" s="205" t="s">
        <v>1788</v>
      </c>
      <c r="AS376" s="211">
        <v>-0.01</v>
      </c>
      <c r="AT376" s="189">
        <f t="shared" si="148"/>
        <v>0.01</v>
      </c>
      <c r="AU376" s="187">
        <f t="shared" si="149"/>
        <v>16</v>
      </c>
      <c r="AV376" s="190">
        <f t="shared" si="150"/>
        <v>16</v>
      </c>
      <c r="AW376" s="213" t="s">
        <v>96</v>
      </c>
      <c r="AX376" s="413" t="s">
        <v>1789</v>
      </c>
      <c r="AY376" s="413" t="s">
        <v>529</v>
      </c>
      <c r="AZ376" s="413"/>
      <c r="BA376" s="413"/>
      <c r="BB376" s="413"/>
      <c r="BC376" s="413"/>
      <c r="BD376" s="413" t="s">
        <v>1790</v>
      </c>
      <c r="BE376" s="413" t="s">
        <v>529</v>
      </c>
      <c r="BF376" s="427"/>
      <c r="BG376" s="391">
        <f>SUM($AV$4:AV376)</f>
        <v>2144.485000000017</v>
      </c>
      <c r="BH376" s="392">
        <f>SUM($AU$134:AU376)</f>
        <v>-876.41000000004055</v>
      </c>
      <c r="BI376" s="318">
        <f>SUMIFS($AU$134:AU377,$Q$134:Q377,"F")</f>
        <v>-3014.8</v>
      </c>
      <c r="BJ376" s="318">
        <f>SUMIFS($AU$134:AU377,$Q$134:Q377,"S")</f>
        <v>2140.5499999999988</v>
      </c>
      <c r="BK376" s="343">
        <f>SUMIFS($AU$134:AU377,$P$134:P377,"W")</f>
        <v>1366.6899999999528</v>
      </c>
      <c r="BL376" s="343">
        <f>SUMIFS($AU$134:AU377,$P$134:P377,"R")</f>
        <v>-2243.0999999999935</v>
      </c>
      <c r="BM376" s="343">
        <f>SUMIFS($AU$134:AU377,$AQ$134:AQ377,"M")</f>
        <v>-2.6999999999952919</v>
      </c>
      <c r="BN376" s="343">
        <f>SUMIFS($AU$134:AU377,$AQ$134:AQ377,"H")</f>
        <v>294.60000000001492</v>
      </c>
      <c r="BO376" s="343">
        <f>SUMIFS($AU$134:AU377,$AQ$134:AQ377,"D")</f>
        <v>-632.05000000000052</v>
      </c>
      <c r="BP376" s="343">
        <f>SUMIFS($AU$134:AU379,$AQ$134:AQ379,"W")</f>
        <v>-1270.7</v>
      </c>
      <c r="BQ376" s="343">
        <f>SUMIFS($AU$134:AU377,$Q$134:Q377,"O")</f>
        <v>-201.36000000004023</v>
      </c>
      <c r="BR376" s="343">
        <f>SUMIFS($AU$134:AU377,$AA$134:AA377,"*")</f>
        <v>1812.7499999999886</v>
      </c>
      <c r="BS376" s="343">
        <f>SUMIFS($AU$134:AU377,$AB$134:AB377,"*")</f>
        <v>46.839999999975959</v>
      </c>
      <c r="BT376" s="343">
        <f>SUMIFS($AU$134:AU377,$AC$134:AC377,"*")</f>
        <v>-2330.7500000000009</v>
      </c>
      <c r="BU376" s="343">
        <f>SUMIFS($AU$134:AU377,$AA$134:AA377,"*",$AB$134:AB377,"*")</f>
        <v>-236.49999999999511</v>
      </c>
      <c r="BV376" s="343">
        <f>SUMIFS($AU$134:AU377,$AA$134:AA377,"*",$AC$134:AC377,"*")</f>
        <v>618.349999999999</v>
      </c>
      <c r="BW376" s="343">
        <f>SUMIFS($AU$134:AU377,$AB$134:AB377,"*",$AC$134:AC377,"*")</f>
        <v>30.299999999999642</v>
      </c>
      <c r="BX376" s="343">
        <f>SUMIFS($AU377:AU$1388,$Q377:Q$1388,"F")</f>
        <v>17455.466666666667</v>
      </c>
      <c r="BY376" s="343">
        <f>SUMIFS($AU377:AU$1388,$Q377:Q$1388,"S")</f>
        <v>18531.092000000001</v>
      </c>
      <c r="BZ376" s="343">
        <f>SUMIFS($AU377:AU$1388,$Q377:Q$1388,"O")</f>
        <v>-1447.4979999997583</v>
      </c>
    </row>
    <row r="377" spans="1:78" ht="15.75" customHeight="1">
      <c r="A377" s="221" t="s">
        <v>1720</v>
      </c>
      <c r="B377" s="200">
        <v>45001</v>
      </c>
      <c r="C377" s="201" t="s">
        <v>1728</v>
      </c>
      <c r="D377" s="201" t="s">
        <v>93</v>
      </c>
      <c r="E377" s="247" t="s">
        <v>1791</v>
      </c>
      <c r="F377" s="203"/>
      <c r="G377" s="204"/>
      <c r="H377" s="205"/>
      <c r="I377" s="205">
        <v>1</v>
      </c>
      <c r="J377" s="205"/>
      <c r="K377" s="206" t="s">
        <v>372</v>
      </c>
      <c r="L377" s="205"/>
      <c r="M377" s="205"/>
      <c r="N377" s="205"/>
      <c r="O377" s="206"/>
      <c r="P377" s="206"/>
      <c r="Q377" s="206"/>
      <c r="R377" s="206"/>
      <c r="S377" s="206"/>
      <c r="T377" s="206"/>
      <c r="U377" s="206"/>
      <c r="V377" s="206"/>
      <c r="W377" s="206"/>
      <c r="X377" s="206"/>
      <c r="Y377" s="184" t="str">
        <f t="shared" si="151"/>
        <v/>
      </c>
      <c r="Z377" s="184" t="str">
        <f t="shared" si="144"/>
        <v/>
      </c>
      <c r="AA377" s="208"/>
      <c r="AB377" s="208"/>
      <c r="AC377" s="208"/>
      <c r="AD377" s="650"/>
      <c r="AE377" s="205"/>
      <c r="AF377" s="333"/>
      <c r="AG377" s="205"/>
      <c r="AH377" s="205"/>
      <c r="AI377" s="205"/>
      <c r="AJ377" s="641"/>
      <c r="AK377" s="205"/>
      <c r="AL377" s="496"/>
      <c r="AM377" s="496"/>
      <c r="AN377" s="627"/>
      <c r="AO377" s="205"/>
      <c r="AP377" s="205"/>
      <c r="AQ377" s="333" t="str">
        <f>UPPER(RIGHT(Journal_Live[[#This Row],[DURATION ]]))</f>
        <v/>
      </c>
      <c r="AR377" s="205"/>
      <c r="AS377" s="211"/>
      <c r="AT377" s="189"/>
      <c r="AU377" s="187"/>
      <c r="AV377" s="190"/>
      <c r="AW377" s="213"/>
      <c r="AX377" s="413"/>
      <c r="AY377" s="413"/>
      <c r="AZ377" s="413"/>
      <c r="BA377" s="413"/>
      <c r="BB377" s="413"/>
      <c r="BC377" s="413"/>
      <c r="BD377" s="413"/>
      <c r="BE377" s="413"/>
      <c r="BF377" s="427"/>
      <c r="BG377" s="391">
        <f>SUM($AV$4:AV377)</f>
        <v>2144.485000000017</v>
      </c>
      <c r="BH377" s="392">
        <f>SUM($AU$134:AU377)</f>
        <v>-876.41000000004055</v>
      </c>
      <c r="BI377" s="318">
        <f>SUMIFS($AU$134:AU378,$Q$134:Q378,"F")</f>
        <v>-3014.8</v>
      </c>
      <c r="BJ377" s="318">
        <f>SUMIFS($AU$134:AU378,$Q$134:Q378,"S")</f>
        <v>2140.5499999999988</v>
      </c>
      <c r="BK377" s="343">
        <f>SUMIFS($AU$134:AU378,$P$134:P378,"W")</f>
        <v>1366.6899999999528</v>
      </c>
      <c r="BL377" s="343">
        <f>SUMIFS($AU$134:AU378,$P$134:P378,"R")</f>
        <v>-2243.0999999999935</v>
      </c>
      <c r="BM377" s="343">
        <f>SUMIFS($AU$134:AU378,$AQ$134:AQ378,"M")</f>
        <v>-2.6999999999952919</v>
      </c>
      <c r="BN377" s="343">
        <f>SUMIFS($AU$134:AU378,$AQ$134:AQ378,"H")</f>
        <v>294.60000000001492</v>
      </c>
      <c r="BO377" s="343">
        <f>SUMIFS($AU$134:AU378,$AQ$134:AQ378,"D")</f>
        <v>-632.05000000000052</v>
      </c>
      <c r="BP377" s="343">
        <f>SUMIFS($AU$134:AU380,$AQ$134:AQ380,"W")</f>
        <v>-1270.7</v>
      </c>
      <c r="BQ377" s="343">
        <f>SUMIFS($AU$134:AU378,$Q$134:Q378,"O")</f>
        <v>-201.36000000004023</v>
      </c>
      <c r="BR377" s="343">
        <f>SUMIFS($AU$134:AU378,$AA$134:AA378,"*")</f>
        <v>1812.7499999999886</v>
      </c>
      <c r="BS377" s="343">
        <f>SUMIFS($AU$134:AU378,$AB$134:AB378,"*")</f>
        <v>46.839999999975959</v>
      </c>
      <c r="BT377" s="343">
        <f>SUMIFS($AU$134:AU378,$AC$134:AC378,"*")</f>
        <v>-2330.7500000000009</v>
      </c>
      <c r="BU377" s="343">
        <f>SUMIFS($AU$134:AU378,$AA$134:AA378,"*",$AB$134:AB378,"*")</f>
        <v>-236.49999999999511</v>
      </c>
      <c r="BV377" s="343">
        <f>SUMIFS($AU$134:AU378,$AA$134:AA378,"*",$AC$134:AC378,"*")</f>
        <v>618.349999999999</v>
      </c>
      <c r="BW377" s="343">
        <f>SUMIFS($AU$134:AU378,$AB$134:AB378,"*",$AC$134:AC378,"*")</f>
        <v>30.299999999999642</v>
      </c>
      <c r="BX377" s="343">
        <f>SUMIFS($AU378:AU$1388,$Q378:Q$1388,"F")</f>
        <v>17455.466666666667</v>
      </c>
      <c r="BY377" s="343">
        <f>SUMIFS($AU378:AU$1388,$Q378:Q$1388,"S")</f>
        <v>18531.092000000001</v>
      </c>
      <c r="BZ377" s="343">
        <f>SUMIFS($AU378:AU$1388,$Q378:Q$1388,"O")</f>
        <v>-1447.4979999997583</v>
      </c>
    </row>
    <row r="378" spans="1:78" ht="15.75" customHeight="1">
      <c r="A378" s="221" t="s">
        <v>1720</v>
      </c>
      <c r="B378" s="200">
        <v>45001</v>
      </c>
      <c r="C378" s="201" t="s">
        <v>1714</v>
      </c>
      <c r="D378" s="201" t="s">
        <v>93</v>
      </c>
      <c r="E378" s="247"/>
      <c r="F378" s="203"/>
      <c r="G378" s="204" t="s">
        <v>133</v>
      </c>
      <c r="H378" s="205"/>
      <c r="I378" s="205"/>
      <c r="J378" s="205"/>
      <c r="K378" s="206"/>
      <c r="L378" s="205">
        <v>2</v>
      </c>
      <c r="M378" s="205">
        <v>1</v>
      </c>
      <c r="N378" s="205"/>
      <c r="O378" s="206" t="s">
        <v>95</v>
      </c>
      <c r="P378" s="206" t="s">
        <v>96</v>
      </c>
      <c r="Q378" s="206" t="s">
        <v>97</v>
      </c>
      <c r="R378" s="206">
        <v>1</v>
      </c>
      <c r="S378" s="206">
        <v>1</v>
      </c>
      <c r="T378" s="206">
        <v>1</v>
      </c>
      <c r="U378" s="206" t="s">
        <v>97</v>
      </c>
      <c r="V378" s="206"/>
      <c r="W378" s="206"/>
      <c r="X378" s="206"/>
      <c r="Y378" s="184">
        <f t="shared" si="151"/>
        <v>0.01</v>
      </c>
      <c r="Z378" s="184">
        <f t="shared" si="144"/>
        <v>1600</v>
      </c>
      <c r="AA378" s="208" t="s">
        <v>1792</v>
      </c>
      <c r="AB378" s="208"/>
      <c r="AC378" s="208"/>
      <c r="AD378" s="650">
        <v>0.03</v>
      </c>
      <c r="AE378" s="205"/>
      <c r="AF378" s="333"/>
      <c r="AG378" s="205"/>
      <c r="AH378" s="205"/>
      <c r="AI378" s="205"/>
      <c r="AJ378" s="641"/>
      <c r="AK378" s="205"/>
      <c r="AL378" s="496"/>
      <c r="AM378" s="496"/>
      <c r="AN378" s="627"/>
      <c r="AO378" s="205"/>
      <c r="AP378" s="205" t="s">
        <v>1793</v>
      </c>
      <c r="AQ378" s="333" t="str">
        <f>UPPER(RIGHT(Journal_Live[[#This Row],[DURATION ]]))</f>
        <v>S</v>
      </c>
      <c r="AR378" s="205" t="s">
        <v>682</v>
      </c>
      <c r="AS378" s="211">
        <v>0.03</v>
      </c>
      <c r="AT378" s="189">
        <f>IF(ISBLANK(AS378),,IF(U378="S",AD378-AS378,AS378-AD378))</f>
        <v>0</v>
      </c>
      <c r="AU378" s="187">
        <f>AV378*R378</f>
        <v>0</v>
      </c>
      <c r="AV378" s="190">
        <f>IF(ISBLANK(AS378),,(AT378*Z378))</f>
        <v>0</v>
      </c>
      <c r="AW378" s="213" t="s">
        <v>115</v>
      </c>
      <c r="AX378" s="413"/>
      <c r="AY378" s="413"/>
      <c r="AZ378" s="413"/>
      <c r="BA378" s="413"/>
      <c r="BB378" s="413"/>
      <c r="BC378" s="413"/>
      <c r="BD378" s="413"/>
      <c r="BE378" s="413"/>
      <c r="BF378" s="427"/>
      <c r="BG378" s="391">
        <f>SUM($AV$4:AV378)</f>
        <v>2144.485000000017</v>
      </c>
      <c r="BH378" s="392">
        <f>SUM($AU$134:AU378)</f>
        <v>-876.41000000004055</v>
      </c>
      <c r="BI378" s="318">
        <f>SUMIFS($AU$134:AU379,$Q$134:Q379,"F")</f>
        <v>-3014.8</v>
      </c>
      <c r="BJ378" s="318">
        <f>SUMIFS($AU$134:AU379,$Q$134:Q379,"S")</f>
        <v>2140.5499999999988</v>
      </c>
      <c r="BK378" s="343">
        <f>SUMIFS($AU$134:AU379,$P$134:P379,"W")</f>
        <v>1366.6899999999528</v>
      </c>
      <c r="BL378" s="343">
        <f>SUMIFS($AU$134:AU379,$P$134:P379,"R")</f>
        <v>-2243.0999999999935</v>
      </c>
      <c r="BM378" s="343">
        <f>SUMIFS($AU$134:AU379,$AQ$134:AQ379,"M")</f>
        <v>-2.6999999999952919</v>
      </c>
      <c r="BN378" s="343">
        <f>SUMIFS($AU$134:AU379,$AQ$134:AQ379,"H")</f>
        <v>294.60000000001492</v>
      </c>
      <c r="BO378" s="343">
        <f>SUMIFS($AU$134:AU379,$AQ$134:AQ379,"D")</f>
        <v>-632.05000000000052</v>
      </c>
      <c r="BP378" s="343">
        <f>SUMIFS($AU$134:AU381,$AQ$134:AQ381,"W")</f>
        <v>-1270.7</v>
      </c>
      <c r="BQ378" s="343">
        <f>SUMIFS($AU$134:AU379,$Q$134:Q379,"O")</f>
        <v>-201.36000000004023</v>
      </c>
      <c r="BR378" s="343">
        <f>SUMIFS($AU$134:AU379,$AA$134:AA379,"*")</f>
        <v>1812.7499999999886</v>
      </c>
      <c r="BS378" s="343">
        <f>SUMIFS($AU$134:AU379,$AB$134:AB379,"*")</f>
        <v>46.839999999975959</v>
      </c>
      <c r="BT378" s="343">
        <f>SUMIFS($AU$134:AU379,$AC$134:AC379,"*")</f>
        <v>-2330.7500000000009</v>
      </c>
      <c r="BU378" s="343">
        <f>SUMIFS($AU$134:AU379,$AA$134:AA379,"*",$AB$134:AB379,"*")</f>
        <v>-236.49999999999511</v>
      </c>
      <c r="BV378" s="343">
        <f>SUMIFS($AU$134:AU379,$AA$134:AA379,"*",$AC$134:AC379,"*")</f>
        <v>618.349999999999</v>
      </c>
      <c r="BW378" s="343">
        <f>SUMIFS($AU$134:AU379,$AB$134:AB379,"*",$AC$134:AC379,"*")</f>
        <v>30.299999999999642</v>
      </c>
      <c r="BX378" s="343">
        <f>SUMIFS($AU379:AU$1388,$Q379:Q$1388,"F")</f>
        <v>17455.466666666667</v>
      </c>
      <c r="BY378" s="343">
        <f>SUMIFS($AU379:AU$1388,$Q379:Q$1388,"S")</f>
        <v>18531.092000000001</v>
      </c>
      <c r="BZ378" s="343">
        <f>SUMIFS($AU379:AU$1388,$Q379:Q$1388,"O")</f>
        <v>-1447.4979999997583</v>
      </c>
    </row>
    <row r="379" spans="1:78" ht="15.75" customHeight="1">
      <c r="A379" s="221" t="s">
        <v>1720</v>
      </c>
      <c r="B379" s="200">
        <v>45001</v>
      </c>
      <c r="C379" s="201" t="s">
        <v>1635</v>
      </c>
      <c r="D379" s="201" t="s">
        <v>93</v>
      </c>
      <c r="E379" s="247" t="s">
        <v>1794</v>
      </c>
      <c r="F379" s="203" t="s">
        <v>1795</v>
      </c>
      <c r="G379" s="204"/>
      <c r="H379" s="205"/>
      <c r="I379" s="205"/>
      <c r="J379" s="205"/>
      <c r="K379" s="206"/>
      <c r="L379" s="205"/>
      <c r="M379" s="205"/>
      <c r="N379" s="205"/>
      <c r="O379" s="206"/>
      <c r="P379" s="206"/>
      <c r="Q379" s="206"/>
      <c r="R379" s="206"/>
      <c r="S379" s="206"/>
      <c r="T379" s="206"/>
      <c r="U379" s="206"/>
      <c r="V379" s="206"/>
      <c r="W379" s="206"/>
      <c r="X379" s="206"/>
      <c r="Y379" s="184" t="str">
        <f t="shared" si="151"/>
        <v/>
      </c>
      <c r="Z379" s="184" t="str">
        <f t="shared" si="144"/>
        <v/>
      </c>
      <c r="AA379" s="208"/>
      <c r="AB379" s="208"/>
      <c r="AC379" s="208"/>
      <c r="AD379" s="650"/>
      <c r="AE379" s="205"/>
      <c r="AF379" s="333"/>
      <c r="AG379" s="205"/>
      <c r="AH379" s="205"/>
      <c r="AI379" s="205"/>
      <c r="AJ379" s="641"/>
      <c r="AK379" s="205"/>
      <c r="AL379" s="496"/>
      <c r="AM379" s="496"/>
      <c r="AN379" s="627"/>
      <c r="AO379" s="205"/>
      <c r="AP379" s="205"/>
      <c r="AQ379" s="333" t="str">
        <f>UPPER(RIGHT(Journal_Live[[#This Row],[DURATION ]]))</f>
        <v/>
      </c>
      <c r="AR379" s="205"/>
      <c r="AS379" s="211"/>
      <c r="AT379" s="189"/>
      <c r="AU379" s="187"/>
      <c r="AV379" s="190"/>
      <c r="AW379" s="213"/>
      <c r="AX379" s="413"/>
      <c r="AY379" s="413"/>
      <c r="AZ379" s="413"/>
      <c r="BA379" s="413"/>
      <c r="BB379" s="413"/>
      <c r="BC379" s="413"/>
      <c r="BD379" s="413"/>
      <c r="BE379" s="413"/>
      <c r="BF379" s="427"/>
      <c r="BG379" s="391">
        <f>SUM($AV$4:AV379)</f>
        <v>2144.485000000017</v>
      </c>
      <c r="BH379" s="392">
        <f>SUM($AU$134:AU379)</f>
        <v>-876.41000000004055</v>
      </c>
      <c r="BI379" s="318">
        <f>SUMIFS($AU$134:AU380,$Q$134:Q380,"F")</f>
        <v>-3014.8</v>
      </c>
      <c r="BJ379" s="318">
        <f>SUMIFS($AU$134:AU380,$Q$134:Q380,"S")</f>
        <v>2285.4499999999989</v>
      </c>
      <c r="BK379" s="343">
        <f>SUMIFS($AU$134:AU380,$P$134:P380,"W")</f>
        <v>1511.5899999999529</v>
      </c>
      <c r="BL379" s="343">
        <f>SUMIFS($AU$134:AU380,$P$134:P380,"R")</f>
        <v>-2243.0999999999935</v>
      </c>
      <c r="BM379" s="343">
        <f>SUMIFS($AU$134:AU380,$AQ$134:AQ380,"M")</f>
        <v>-2.6999999999952919</v>
      </c>
      <c r="BN379" s="343">
        <f>SUMIFS($AU$134:AU380,$AQ$134:AQ380,"H")</f>
        <v>294.60000000001492</v>
      </c>
      <c r="BO379" s="343">
        <f>SUMIFS($AU$134:AU380,$AQ$134:AQ380,"D")</f>
        <v>-487.15000000000055</v>
      </c>
      <c r="BP379" s="343">
        <f>SUMIFS($AU$134:AU382,$AQ$134:AQ382,"W")</f>
        <v>-1270.7</v>
      </c>
      <c r="BQ379" s="343">
        <f>SUMIFS($AU$134:AU380,$Q$134:Q380,"O")</f>
        <v>-201.36000000004023</v>
      </c>
      <c r="BR379" s="343">
        <f>SUMIFS($AU$134:AU380,$AA$134:AA380,"*")</f>
        <v>1957.6499999999887</v>
      </c>
      <c r="BS379" s="343">
        <f>SUMIFS($AU$134:AU380,$AB$134:AB380,"*")</f>
        <v>46.839999999975959</v>
      </c>
      <c r="BT379" s="343">
        <f>SUMIFS($AU$134:AU380,$AC$134:AC380,"*")</f>
        <v>-2330.7500000000009</v>
      </c>
      <c r="BU379" s="343">
        <f>SUMIFS($AU$134:AU380,$AA$134:AA380,"*",$AB$134:AB380,"*")</f>
        <v>-236.49999999999511</v>
      </c>
      <c r="BV379" s="343">
        <f>SUMIFS($AU$134:AU380,$AA$134:AA380,"*",$AC$134:AC380,"*")</f>
        <v>618.349999999999</v>
      </c>
      <c r="BW379" s="343">
        <f>SUMIFS($AU$134:AU380,$AB$134:AB380,"*",$AC$134:AC380,"*")</f>
        <v>30.299999999999642</v>
      </c>
      <c r="BX379" s="343">
        <f>SUMIFS($AU380:AU$1388,$Q380:Q$1388,"F")</f>
        <v>17455.466666666667</v>
      </c>
      <c r="BY379" s="343">
        <f>SUMIFS($AU380:AU$1388,$Q380:Q$1388,"S")</f>
        <v>18531.092000000001</v>
      </c>
      <c r="BZ379" s="343">
        <f>SUMIFS($AU380:AU$1388,$Q380:Q$1388,"O")</f>
        <v>-1447.4979999997583</v>
      </c>
    </row>
    <row r="380" spans="1:78" ht="15.75" customHeight="1">
      <c r="A380" s="221" t="s">
        <v>1720</v>
      </c>
      <c r="B380" s="200">
        <v>45001</v>
      </c>
      <c r="C380" s="201" t="s">
        <v>1635</v>
      </c>
      <c r="D380" s="201" t="s">
        <v>93</v>
      </c>
      <c r="E380" s="247"/>
      <c r="F380" s="203"/>
      <c r="G380" s="314" t="s">
        <v>133</v>
      </c>
      <c r="H380" s="205"/>
      <c r="I380" s="205"/>
      <c r="J380" s="205"/>
      <c r="K380" s="206"/>
      <c r="L380" s="205">
        <v>2</v>
      </c>
      <c r="M380" s="205">
        <v>2</v>
      </c>
      <c r="N380" s="205"/>
      <c r="O380" s="206" t="s">
        <v>95</v>
      </c>
      <c r="P380" s="206" t="s">
        <v>96</v>
      </c>
      <c r="Q380" s="206" t="s">
        <v>97</v>
      </c>
      <c r="R380" s="206">
        <v>1</v>
      </c>
      <c r="S380" s="206">
        <v>1</v>
      </c>
      <c r="T380" s="206">
        <v>1</v>
      </c>
      <c r="U380" s="206" t="s">
        <v>97</v>
      </c>
      <c r="V380" s="206"/>
      <c r="W380" s="206"/>
      <c r="X380" s="206"/>
      <c r="Y380" s="184">
        <f t="shared" si="151"/>
        <v>0.01</v>
      </c>
      <c r="Z380" s="184">
        <f>IF(ISBLANK(O380),"",IF(O380=UPPER("IB"),8.63*200,16.1*100))</f>
        <v>1610.0000000000002</v>
      </c>
      <c r="AA380" s="208" t="s">
        <v>1796</v>
      </c>
      <c r="AB380" s="208"/>
      <c r="AC380" s="208"/>
      <c r="AD380" s="650">
        <v>0.08</v>
      </c>
      <c r="AE380" s="205"/>
      <c r="AF380" s="333"/>
      <c r="AG380" s="205"/>
      <c r="AH380" s="205"/>
      <c r="AI380" s="205"/>
      <c r="AJ380" s="641"/>
      <c r="AK380" s="205"/>
      <c r="AL380" s="496"/>
      <c r="AM380" s="496"/>
      <c r="AN380" s="627"/>
      <c r="AO380" s="205"/>
      <c r="AP380" s="205" t="s">
        <v>770</v>
      </c>
      <c r="AQ380" s="333" t="str">
        <f>UPPER(RIGHT(Journal_Live[[#This Row],[DURATION ]]))</f>
        <v>D</v>
      </c>
      <c r="AR380" s="205" t="s">
        <v>1797</v>
      </c>
      <c r="AS380" s="211">
        <v>-0.01</v>
      </c>
      <c r="AT380" s="189">
        <f>IF(ISBLANK(AS380),,IF(U380="S",AD380-AS380,AS380-AD380))</f>
        <v>0.09</v>
      </c>
      <c r="AU380" s="187">
        <f>AV380*R380</f>
        <v>144.9</v>
      </c>
      <c r="AV380" s="190">
        <f>IF(ISBLANK(AS380),,(AT380*Z380))</f>
        <v>144.9</v>
      </c>
      <c r="AW380" s="213" t="s">
        <v>96</v>
      </c>
      <c r="AX380" s="413"/>
      <c r="AY380" s="413"/>
      <c r="AZ380" s="413"/>
      <c r="BA380" s="413"/>
      <c r="BB380" s="413"/>
      <c r="BC380" s="413"/>
      <c r="BD380" s="413" t="s">
        <v>1798</v>
      </c>
      <c r="BE380" s="413" t="s">
        <v>1799</v>
      </c>
      <c r="BF380" s="427"/>
      <c r="BG380" s="391">
        <f>SUM($AV$4:AV380)</f>
        <v>2289.385000000017</v>
      </c>
      <c r="BH380" s="392">
        <f>SUM($AU$134:AU380)</f>
        <v>-731.51000000004058</v>
      </c>
      <c r="BI380" s="318">
        <f>SUMIFS($AU$134:AU381,$Q$134:Q381,"F")</f>
        <v>-3014.8</v>
      </c>
      <c r="BJ380" s="318">
        <f>SUMIFS($AU$134:AU381,$Q$134:Q381,"S")</f>
        <v>2398.1499999999987</v>
      </c>
      <c r="BK380" s="343">
        <f>SUMIFS($AU$134:AU381,$P$134:P381,"W")</f>
        <v>1624.2899999999529</v>
      </c>
      <c r="BL380" s="343">
        <f>SUMIFS($AU$134:AU381,$P$134:P381,"R")</f>
        <v>-2243.0999999999935</v>
      </c>
      <c r="BM380" s="343">
        <f>SUMIFS($AU$134:AU381,$AQ$134:AQ381,"M")</f>
        <v>-2.6999999999952919</v>
      </c>
      <c r="BN380" s="343">
        <f>SUMIFS($AU$134:AU381,$AQ$134:AQ381,"H")</f>
        <v>407.30000000001496</v>
      </c>
      <c r="BO380" s="343">
        <f>SUMIFS($AU$134:AU381,$AQ$134:AQ381,"D")</f>
        <v>-487.15000000000055</v>
      </c>
      <c r="BP380" s="343">
        <f>SUMIFS($AU$134:AU383,$AQ$134:AQ383,"W")</f>
        <v>-1270.7</v>
      </c>
      <c r="BQ380" s="343">
        <f>SUMIFS($AU$134:AU381,$Q$134:Q381,"O")</f>
        <v>-201.36000000004023</v>
      </c>
      <c r="BR380" s="343">
        <f>SUMIFS($AU$134:AU381,$AA$134:AA381,"*")</f>
        <v>2070.3499999999885</v>
      </c>
      <c r="BS380" s="343">
        <f>SUMIFS($AU$134:AU381,$AB$134:AB381,"*")</f>
        <v>46.839999999975959</v>
      </c>
      <c r="BT380" s="343">
        <f>SUMIFS($AU$134:AU381,$AC$134:AC381,"*")</f>
        <v>-2330.7500000000009</v>
      </c>
      <c r="BU380" s="343">
        <f>SUMIFS($AU$134:AU381,$AA$134:AA381,"*",$AB$134:AB381,"*")</f>
        <v>-236.49999999999511</v>
      </c>
      <c r="BV380" s="343">
        <f>SUMIFS($AU$134:AU381,$AA$134:AA381,"*",$AC$134:AC381,"*")</f>
        <v>618.349999999999</v>
      </c>
      <c r="BW380" s="343">
        <f>SUMIFS($AU$134:AU381,$AB$134:AB381,"*",$AC$134:AC381,"*")</f>
        <v>30.299999999999642</v>
      </c>
      <c r="BX380" s="343">
        <f>SUMIFS($AU381:AU$1388,$Q381:Q$1388,"F")</f>
        <v>17455.466666666667</v>
      </c>
      <c r="BY380" s="343">
        <f>SUMIFS($AU381:AU$1388,$Q381:Q$1388,"S")</f>
        <v>18386.192000000003</v>
      </c>
      <c r="BZ380" s="343">
        <f>SUMIFS($AU381:AU$1388,$Q381:Q$1388,"O")</f>
        <v>-1447.4979999997583</v>
      </c>
    </row>
    <row r="381" spans="1:78" ht="15.75" customHeight="1">
      <c r="A381" s="221" t="s">
        <v>1720</v>
      </c>
      <c r="B381" s="200">
        <v>45001</v>
      </c>
      <c r="C381" s="201" t="s">
        <v>1635</v>
      </c>
      <c r="D381" s="201" t="s">
        <v>93</v>
      </c>
      <c r="E381" s="247"/>
      <c r="F381" s="203"/>
      <c r="G381" s="314" t="s">
        <v>133</v>
      </c>
      <c r="H381" s="205"/>
      <c r="I381" s="205"/>
      <c r="J381" s="205"/>
      <c r="K381" s="206"/>
      <c r="L381" s="205">
        <v>2</v>
      </c>
      <c r="M381" s="205">
        <v>2</v>
      </c>
      <c r="N381" s="205"/>
      <c r="O381" s="206" t="s">
        <v>95</v>
      </c>
      <c r="P381" s="206" t="s">
        <v>96</v>
      </c>
      <c r="Q381" s="206" t="s">
        <v>97</v>
      </c>
      <c r="R381" s="206">
        <v>1</v>
      </c>
      <c r="S381" s="206">
        <v>1</v>
      </c>
      <c r="T381" s="206">
        <v>1</v>
      </c>
      <c r="U381" s="206" t="s">
        <v>97</v>
      </c>
      <c r="V381" s="206"/>
      <c r="W381" s="206"/>
      <c r="X381" s="206"/>
      <c r="Y381" s="184">
        <f t="shared" si="151"/>
        <v>0.01</v>
      </c>
      <c r="Z381" s="184">
        <f>IF(ISBLANK(O381),"",IF(O381=UPPER("IB"),8.63*200,16.1*100))</f>
        <v>1610.0000000000002</v>
      </c>
      <c r="AA381" s="208" t="s">
        <v>1796</v>
      </c>
      <c r="AB381" s="208"/>
      <c r="AC381" s="208"/>
      <c r="AD381" s="650">
        <v>0.04</v>
      </c>
      <c r="AE381" s="205"/>
      <c r="AF381" s="333"/>
      <c r="AG381" s="205"/>
      <c r="AH381" s="205"/>
      <c r="AI381" s="205"/>
      <c r="AJ381" s="641"/>
      <c r="AK381" s="205"/>
      <c r="AL381" s="496"/>
      <c r="AM381" s="496"/>
      <c r="AN381" s="627"/>
      <c r="AO381" s="205"/>
      <c r="AP381" s="205" t="s">
        <v>1800</v>
      </c>
      <c r="AQ381" s="333" t="str">
        <f>UPPER(RIGHT(Journal_Live[[#This Row],[DURATION ]]))</f>
        <v>H</v>
      </c>
      <c r="AR381" s="205" t="s">
        <v>1801</v>
      </c>
      <c r="AS381" s="211">
        <v>-0.03</v>
      </c>
      <c r="AT381" s="189">
        <f>IF(ISBLANK(AS381),,IF(U381="S",AD381-AS381,AS381-AD381))</f>
        <v>7.0000000000000007E-2</v>
      </c>
      <c r="AU381" s="187">
        <f>AV381*R381</f>
        <v>112.70000000000003</v>
      </c>
      <c r="AV381" s="190">
        <f>IF(ISBLANK(AS381),,(AT381*Z381))</f>
        <v>112.70000000000003</v>
      </c>
      <c r="AW381" s="213" t="s">
        <v>96</v>
      </c>
      <c r="AX381" s="413"/>
      <c r="AY381" s="413"/>
      <c r="AZ381" s="413"/>
      <c r="BA381" s="413" t="s">
        <v>1802</v>
      </c>
      <c r="BB381" s="413" t="s">
        <v>529</v>
      </c>
      <c r="BC381" s="413"/>
      <c r="BD381" s="413" t="s">
        <v>1798</v>
      </c>
      <c r="BE381" s="413" t="s">
        <v>1799</v>
      </c>
      <c r="BF381" s="427"/>
      <c r="BG381" s="391">
        <f>SUM($AV$4:AV381)</f>
        <v>2402.0850000000169</v>
      </c>
      <c r="BH381" s="392">
        <f>SUM($AU$134:AU381)</f>
        <v>-618.81000000004053</v>
      </c>
      <c r="BI381" s="318">
        <f>SUMIFS($AU$134:AU382,$Q$134:Q382,"F")</f>
        <v>-3014.8</v>
      </c>
      <c r="BJ381" s="318">
        <f>SUMIFS($AU$134:AU382,$Q$134:Q382,"S")</f>
        <v>2398.1499999999987</v>
      </c>
      <c r="BK381" s="343">
        <f>SUMIFS($AU$134:AU382,$P$134:P382,"W")</f>
        <v>1624.2899999999529</v>
      </c>
      <c r="BL381" s="343">
        <f>SUMIFS($AU$134:AU382,$P$134:P382,"R")</f>
        <v>-2243.0999999999935</v>
      </c>
      <c r="BM381" s="343">
        <f>SUMIFS($AU$134:AU382,$AQ$134:AQ382,"M")</f>
        <v>-2.6999999999952919</v>
      </c>
      <c r="BN381" s="343">
        <f>SUMIFS($AU$134:AU382,$AQ$134:AQ382,"H")</f>
        <v>407.30000000001496</v>
      </c>
      <c r="BO381" s="343">
        <f>SUMIFS($AU$134:AU382,$AQ$134:AQ382,"D")</f>
        <v>-487.15000000000055</v>
      </c>
      <c r="BP381" s="343">
        <f>SUMIFS($AU$134:AU384,$AQ$134:AQ384,"W")</f>
        <v>-1270.7</v>
      </c>
      <c r="BQ381" s="343">
        <f>SUMIFS($AU$134:AU382,$Q$134:Q382,"O")</f>
        <v>-201.36000000004023</v>
      </c>
      <c r="BR381" s="343">
        <f>SUMIFS($AU$134:AU382,$AA$134:AA382,"*")</f>
        <v>2070.3499999999885</v>
      </c>
      <c r="BS381" s="343">
        <f>SUMIFS($AU$134:AU382,$AB$134:AB382,"*")</f>
        <v>46.839999999975959</v>
      </c>
      <c r="BT381" s="343">
        <f>SUMIFS($AU$134:AU382,$AC$134:AC382,"*")</f>
        <v>-2330.7500000000009</v>
      </c>
      <c r="BU381" s="343">
        <f>SUMIFS($AU$134:AU382,$AA$134:AA382,"*",$AB$134:AB382,"*")</f>
        <v>-236.49999999999511</v>
      </c>
      <c r="BV381" s="343">
        <f>SUMIFS($AU$134:AU382,$AA$134:AA382,"*",$AC$134:AC382,"*")</f>
        <v>618.349999999999</v>
      </c>
      <c r="BW381" s="343">
        <f>SUMIFS($AU$134:AU382,$AB$134:AB382,"*",$AC$134:AC382,"*")</f>
        <v>30.299999999999642</v>
      </c>
      <c r="BX381" s="343">
        <f>SUMIFS($AU382:AU$1388,$Q382:Q$1388,"F")</f>
        <v>17455.466666666667</v>
      </c>
      <c r="BY381" s="343">
        <f>SUMIFS($AU382:AU$1388,$Q382:Q$1388,"S")</f>
        <v>18273.492000000002</v>
      </c>
      <c r="BZ381" s="343">
        <f>SUMIFS($AU382:AU$1388,$Q382:Q$1388,"O")</f>
        <v>-1447.4979999997583</v>
      </c>
    </row>
    <row r="382" spans="1:78" ht="15.75" customHeight="1">
      <c r="A382" s="221" t="s">
        <v>1720</v>
      </c>
      <c r="B382" s="200">
        <v>45001</v>
      </c>
      <c r="C382" s="201" t="s">
        <v>1803</v>
      </c>
      <c r="D382" s="201" t="s">
        <v>93</v>
      </c>
      <c r="E382" s="247"/>
      <c r="F382" s="203"/>
      <c r="G382" s="204" t="s">
        <v>886</v>
      </c>
      <c r="H382" s="205"/>
      <c r="I382" s="205"/>
      <c r="J382" s="205"/>
      <c r="K382" s="206"/>
      <c r="L382" s="205">
        <v>1</v>
      </c>
      <c r="M382" s="205"/>
      <c r="N382" s="205"/>
      <c r="O382" s="206" t="s">
        <v>95</v>
      </c>
      <c r="P382" s="206" t="s">
        <v>137</v>
      </c>
      <c r="Q382" s="206" t="s">
        <v>97</v>
      </c>
      <c r="R382" s="206">
        <v>1</v>
      </c>
      <c r="S382" s="206">
        <v>1</v>
      </c>
      <c r="T382" s="206">
        <v>1</v>
      </c>
      <c r="U382" s="206" t="s">
        <v>97</v>
      </c>
      <c r="V382" s="206"/>
      <c r="W382" s="206"/>
      <c r="X382" s="206"/>
      <c r="Y382" s="184">
        <f t="shared" si="151"/>
        <v>0.01</v>
      </c>
      <c r="Z382" s="184">
        <f>IF(ISBLANK(O382),"",IF(O382=UPPER("IB"),8.63*200,16.1*100))</f>
        <v>1610.0000000000002</v>
      </c>
      <c r="AA382" s="208"/>
      <c r="AB382" s="208"/>
      <c r="AC382" s="208" t="s">
        <v>1804</v>
      </c>
      <c r="AD382" s="650">
        <v>-0.02</v>
      </c>
      <c r="AE382" s="205"/>
      <c r="AF382" s="333"/>
      <c r="AG382" s="205"/>
      <c r="AH382" s="205"/>
      <c r="AI382" s="205"/>
      <c r="AJ382" s="641"/>
      <c r="AK382" s="205"/>
      <c r="AL382" s="496"/>
      <c r="AM382" s="496"/>
      <c r="AN382" s="627"/>
      <c r="AO382" s="205"/>
      <c r="AP382" s="205" t="s">
        <v>1805</v>
      </c>
      <c r="AQ382" s="333" t="s">
        <v>1259</v>
      </c>
      <c r="AR382" s="205" t="s">
        <v>1219</v>
      </c>
      <c r="AS382" s="211">
        <v>-0.02</v>
      </c>
      <c r="AT382" s="189">
        <f>IF(ISBLANK(AS382),,IF(U382="S",AD382-AS382,AS382-AD382))</f>
        <v>0</v>
      </c>
      <c r="AU382" s="187">
        <f>AV382*R382</f>
        <v>0</v>
      </c>
      <c r="AV382" s="190">
        <f>IF(ISBLANK(AS382),,(AT382*Z382))</f>
        <v>0</v>
      </c>
      <c r="AW382" s="213" t="s">
        <v>115</v>
      </c>
      <c r="AX382" s="413"/>
      <c r="AY382" s="413"/>
      <c r="AZ382" s="413"/>
      <c r="BA382" s="413"/>
      <c r="BB382" s="413"/>
      <c r="BC382" s="413"/>
      <c r="BD382" s="413"/>
      <c r="BE382" s="413"/>
      <c r="BF382" s="427"/>
      <c r="BG382" s="391">
        <f>SUM($AV$4:AV382)</f>
        <v>2402.0850000000169</v>
      </c>
      <c r="BH382" s="392">
        <f>SUM($AU$134:AU382)</f>
        <v>-618.81000000004053</v>
      </c>
      <c r="BI382" s="318">
        <f>SUMIFS($AU$134:AU383,$Q$134:Q383,"F")</f>
        <v>-3014.8</v>
      </c>
      <c r="BJ382" s="318">
        <f>SUMIFS($AU$134:AU383,$Q$134:Q383,"S")</f>
        <v>2430.3499999999985</v>
      </c>
      <c r="BK382" s="343">
        <f>SUMIFS($AU$134:AU383,$P$134:P383,"W")</f>
        <v>1656.4899999999529</v>
      </c>
      <c r="BL382" s="343">
        <f>SUMIFS($AU$134:AU383,$P$134:P383,"R")</f>
        <v>-2243.0999999999935</v>
      </c>
      <c r="BM382" s="343">
        <f>SUMIFS($AU$134:AU383,$AQ$134:AQ383,"M")</f>
        <v>-2.6999999999952919</v>
      </c>
      <c r="BN382" s="343">
        <f>SUMIFS($AU$134:AU383,$AQ$134:AQ383,"H")</f>
        <v>439.50000000001495</v>
      </c>
      <c r="BO382" s="343">
        <f>SUMIFS($AU$134:AU383,$AQ$134:AQ383,"D")</f>
        <v>-487.15000000000055</v>
      </c>
      <c r="BP382" s="343">
        <f>SUMIFS($AU$134:AU385,$AQ$134:AQ385,"W")</f>
        <v>-1270.7</v>
      </c>
      <c r="BQ382" s="343">
        <f>SUMIFS($AU$134:AU383,$Q$134:Q383,"O")</f>
        <v>-201.36000000004023</v>
      </c>
      <c r="BR382" s="343">
        <f>SUMIFS($AU$134:AU383,$AA$134:AA383,"*")</f>
        <v>2102.5499999999884</v>
      </c>
      <c r="BS382" s="343">
        <f>SUMIFS($AU$134:AU383,$AB$134:AB383,"*")</f>
        <v>46.839999999975959</v>
      </c>
      <c r="BT382" s="343">
        <f>SUMIFS($AU$134:AU383,$AC$134:AC383,"*")</f>
        <v>-2330.7500000000009</v>
      </c>
      <c r="BU382" s="343">
        <f>SUMIFS($AU$134:AU383,$AA$134:AA383,"*",$AB$134:AB383,"*")</f>
        <v>-236.49999999999511</v>
      </c>
      <c r="BV382" s="343">
        <f>SUMIFS($AU$134:AU383,$AA$134:AA383,"*",$AC$134:AC383,"*")</f>
        <v>618.349999999999</v>
      </c>
      <c r="BW382" s="343">
        <f>SUMIFS($AU$134:AU383,$AB$134:AB383,"*",$AC$134:AC383,"*")</f>
        <v>30.299999999999642</v>
      </c>
      <c r="BX382" s="343">
        <f>SUMIFS($AU383:AU$1388,$Q383:Q$1388,"F")</f>
        <v>17455.466666666667</v>
      </c>
      <c r="BY382" s="343">
        <f>SUMIFS($AU383:AU$1388,$Q383:Q$1388,"S")</f>
        <v>18273.492000000002</v>
      </c>
      <c r="BZ382" s="343">
        <f>SUMIFS($AU383:AU$1388,$Q383:Q$1388,"O")</f>
        <v>-1447.4979999997583</v>
      </c>
    </row>
    <row r="383" spans="1:78" ht="15.75" customHeight="1">
      <c r="A383" s="221" t="s">
        <v>1720</v>
      </c>
      <c r="B383" s="200">
        <v>45001</v>
      </c>
      <c r="C383" s="201" t="s">
        <v>1806</v>
      </c>
      <c r="D383" s="201" t="s">
        <v>93</v>
      </c>
      <c r="E383" s="247"/>
      <c r="F383" s="203"/>
      <c r="G383" s="314" t="s">
        <v>133</v>
      </c>
      <c r="H383" s="205"/>
      <c r="I383" s="205"/>
      <c r="J383" s="205"/>
      <c r="K383" s="206"/>
      <c r="L383" s="205">
        <v>2</v>
      </c>
      <c r="M383" s="205">
        <v>2</v>
      </c>
      <c r="N383" s="205"/>
      <c r="O383" s="206" t="s">
        <v>95</v>
      </c>
      <c r="P383" s="206" t="s">
        <v>96</v>
      </c>
      <c r="Q383" s="206" t="s">
        <v>97</v>
      </c>
      <c r="R383" s="206">
        <v>1</v>
      </c>
      <c r="S383" s="206">
        <v>1</v>
      </c>
      <c r="T383" s="206">
        <v>1</v>
      </c>
      <c r="U383" s="206" t="s">
        <v>97</v>
      </c>
      <c r="V383" s="206"/>
      <c r="W383" s="206"/>
      <c r="X383" s="206"/>
      <c r="Y383" s="184">
        <f t="shared" si="151"/>
        <v>0.01</v>
      </c>
      <c r="Z383" s="184">
        <f t="shared" ref="Z383:Z390" si="152">IF(ISBLANK(O383),"",IF(O383="IB",8.63*200,IF(O383="IR",16.1*100,IF(O383="YT",20))))</f>
        <v>1610.0000000000002</v>
      </c>
      <c r="AA383" s="208" t="s">
        <v>1807</v>
      </c>
      <c r="AB383" s="208"/>
      <c r="AC383" s="208"/>
      <c r="AD383" s="650">
        <v>0</v>
      </c>
      <c r="AE383" s="205"/>
      <c r="AF383" s="333"/>
      <c r="AG383" s="205"/>
      <c r="AH383" s="205"/>
      <c r="AI383" s="205"/>
      <c r="AJ383" s="641"/>
      <c r="AK383" s="205"/>
      <c r="AL383" s="496"/>
      <c r="AM383" s="496"/>
      <c r="AN383" s="627"/>
      <c r="AO383" s="205"/>
      <c r="AP383" s="205" t="s">
        <v>942</v>
      </c>
      <c r="AQ383" s="333" t="str">
        <f>UPPER(RIGHT(Journal_Live[[#This Row],[DURATION ]]))</f>
        <v>H</v>
      </c>
      <c r="AR383" s="205" t="s">
        <v>1808</v>
      </c>
      <c r="AS383" s="211">
        <v>-0.02</v>
      </c>
      <c r="AT383" s="189">
        <f>IF(ISBLANK(AS383),,IF(U383="S",AD383-AS383,AS383-AD383))</f>
        <v>0.02</v>
      </c>
      <c r="AU383" s="187">
        <f>AV383*R383</f>
        <v>32.200000000000003</v>
      </c>
      <c r="AV383" s="190">
        <f>IF(ISBLANK(AS383),,(AT383*Z383))</f>
        <v>32.200000000000003</v>
      </c>
      <c r="AW383" s="213" t="s">
        <v>96</v>
      </c>
      <c r="AX383" s="413" t="s">
        <v>1809</v>
      </c>
      <c r="AY383" s="413"/>
      <c r="AZ383" s="413"/>
      <c r="BA383" s="413"/>
      <c r="BB383" s="413"/>
      <c r="BC383" s="413"/>
      <c r="BD383" s="413"/>
      <c r="BE383" s="413"/>
      <c r="BF383" s="427"/>
      <c r="BG383" s="391">
        <f>SUM($AV$4:AV383)</f>
        <v>2434.2850000000167</v>
      </c>
      <c r="BH383" s="392">
        <f>SUM($AU$134:AU383)</f>
        <v>-586.61000000004049</v>
      </c>
      <c r="BI383" s="318">
        <f>SUMIFS($AU$134:AU384,$Q$134:Q384,"F")</f>
        <v>-3014.8</v>
      </c>
      <c r="BJ383" s="318">
        <f>SUMIFS($AU$134:AU384,$Q$134:Q384,"S")</f>
        <v>2430.3499999999985</v>
      </c>
      <c r="BK383" s="343">
        <f>SUMIFS($AU$134:AU384,$P$134:P384,"W")</f>
        <v>1656.4899999999529</v>
      </c>
      <c r="BL383" s="343">
        <f>SUMIFS($AU$134:AU384,$P$134:P384,"R")</f>
        <v>-2243.0999999999935</v>
      </c>
      <c r="BM383" s="343">
        <f>SUMIFS($AU$134:AU384,$AQ$134:AQ384,"M")</f>
        <v>-2.6999999999952919</v>
      </c>
      <c r="BN383" s="343">
        <f>SUMIFS($AU$134:AU384,$AQ$134:AQ384,"H")</f>
        <v>439.50000000001495</v>
      </c>
      <c r="BO383" s="343">
        <f>SUMIFS($AU$134:AU384,$AQ$134:AQ384,"D")</f>
        <v>-487.15000000000055</v>
      </c>
      <c r="BP383" s="343">
        <f>SUMIFS($AU$134:AU386,$AQ$134:AQ386,"W")</f>
        <v>-1270.7</v>
      </c>
      <c r="BQ383" s="343">
        <f>SUMIFS($AU$134:AU384,$Q$134:Q384,"O")</f>
        <v>-201.36000000004023</v>
      </c>
      <c r="BR383" s="343">
        <f>SUMIFS($AU$134:AU384,$AA$134:AA384,"*")</f>
        <v>2102.5499999999884</v>
      </c>
      <c r="BS383" s="343">
        <f>SUMIFS($AU$134:AU384,$AB$134:AB384,"*")</f>
        <v>46.839999999975959</v>
      </c>
      <c r="BT383" s="343">
        <f>SUMIFS($AU$134:AU384,$AC$134:AC384,"*")</f>
        <v>-2330.7500000000009</v>
      </c>
      <c r="BU383" s="343">
        <f>SUMIFS($AU$134:AU384,$AA$134:AA384,"*",$AB$134:AB384,"*")</f>
        <v>-236.49999999999511</v>
      </c>
      <c r="BV383" s="343">
        <f>SUMIFS($AU$134:AU384,$AA$134:AA384,"*",$AC$134:AC384,"*")</f>
        <v>618.349999999999</v>
      </c>
      <c r="BW383" s="343">
        <f>SUMIFS($AU$134:AU384,$AB$134:AB384,"*",$AC$134:AC384,"*")</f>
        <v>30.299999999999642</v>
      </c>
      <c r="BX383" s="343">
        <f>SUMIFS($AU384:AU$1388,$Q384:Q$1388,"F")</f>
        <v>17455.466666666667</v>
      </c>
      <c r="BY383" s="343">
        <f>SUMIFS($AU384:AU$1388,$Q384:Q$1388,"S")</f>
        <v>18241.292000000001</v>
      </c>
      <c r="BZ383" s="343">
        <f>SUMIFS($AU384:AU$1388,$Q384:Q$1388,"O")</f>
        <v>-1447.4979999997583</v>
      </c>
    </row>
    <row r="384" spans="1:78" ht="15.75" customHeight="1">
      <c r="A384" s="221" t="s">
        <v>1720</v>
      </c>
      <c r="B384" s="200">
        <v>45005</v>
      </c>
      <c r="C384" s="201" t="s">
        <v>1810</v>
      </c>
      <c r="D384" s="201" t="s">
        <v>132</v>
      </c>
      <c r="E384" s="247" t="s">
        <v>1811</v>
      </c>
      <c r="F384" s="203" t="s">
        <v>1812</v>
      </c>
      <c r="G384" s="204"/>
      <c r="H384" s="205"/>
      <c r="I384" s="205"/>
      <c r="J384" s="205"/>
      <c r="K384" s="206"/>
      <c r="L384" s="205"/>
      <c r="M384" s="205"/>
      <c r="N384" s="205"/>
      <c r="O384" s="206"/>
      <c r="P384" s="206"/>
      <c r="Q384" s="206"/>
      <c r="R384" s="206"/>
      <c r="S384" s="206"/>
      <c r="T384" s="206"/>
      <c r="U384" s="206"/>
      <c r="V384" s="206"/>
      <c r="W384" s="206"/>
      <c r="X384" s="206"/>
      <c r="Y384" s="184" t="str">
        <f t="shared" si="151"/>
        <v/>
      </c>
      <c r="Z384" s="184" t="str">
        <f t="shared" si="152"/>
        <v/>
      </c>
      <c r="AA384" s="208"/>
      <c r="AB384" s="208"/>
      <c r="AC384" s="208"/>
      <c r="AD384" s="650"/>
      <c r="AE384" s="205"/>
      <c r="AF384" s="333"/>
      <c r="AG384" s="205"/>
      <c r="AH384" s="205"/>
      <c r="AI384" s="205"/>
      <c r="AJ384" s="641"/>
      <c r="AK384" s="205"/>
      <c r="AL384" s="496"/>
      <c r="AM384" s="496"/>
      <c r="AN384" s="627"/>
      <c r="AO384" s="205"/>
      <c r="AP384" s="205"/>
      <c r="AQ384" s="333" t="str">
        <f>UPPER(RIGHT(Journal_Live[[#This Row],[DURATION ]]))</f>
        <v/>
      </c>
      <c r="AR384" s="205"/>
      <c r="AS384" s="211"/>
      <c r="AT384" s="189"/>
      <c r="AU384" s="187"/>
      <c r="AV384" s="190"/>
      <c r="AW384" s="213"/>
      <c r="AX384" s="413" t="s">
        <v>1813</v>
      </c>
      <c r="AY384" s="413"/>
      <c r="AZ384" s="413"/>
      <c r="BA384" s="413"/>
      <c r="BB384" s="413"/>
      <c r="BC384" s="413"/>
      <c r="BD384" s="413"/>
      <c r="BE384" s="413"/>
      <c r="BF384" s="427"/>
      <c r="BG384" s="391">
        <f>SUM($AV$4:AV384)</f>
        <v>2434.2850000000167</v>
      </c>
      <c r="BH384" s="392">
        <f>SUM($AU$134:AU384)</f>
        <v>-586.61000000004049</v>
      </c>
      <c r="BI384" s="318">
        <f>SUMIFS($AU$134:AU385,$Q$134:Q385,"F")</f>
        <v>-3014.8</v>
      </c>
      <c r="BJ384" s="318">
        <f>SUMIFS($AU$134:AU385,$Q$134:Q385,"S")</f>
        <v>2446.4499999999985</v>
      </c>
      <c r="BK384" s="343">
        <f>SUMIFS($AU$134:AU385,$P$134:P385,"W")</f>
        <v>1672.5899999999529</v>
      </c>
      <c r="BL384" s="343">
        <f>SUMIFS($AU$134:AU385,$P$134:P385,"R")</f>
        <v>-2243.0999999999935</v>
      </c>
      <c r="BM384" s="343">
        <f>SUMIFS($AU$134:AU385,$AQ$134:AQ385,"M")</f>
        <v>-2.6999999999952919</v>
      </c>
      <c r="BN384" s="343">
        <f>SUMIFS($AU$134:AU385,$AQ$134:AQ385,"H")</f>
        <v>455.60000000001497</v>
      </c>
      <c r="BO384" s="343">
        <f>SUMIFS($AU$134:AU385,$AQ$134:AQ385,"D")</f>
        <v>-487.15000000000055</v>
      </c>
      <c r="BP384" s="343">
        <f>SUMIFS($AU$134:AU387,$AQ$134:AQ387,"W")</f>
        <v>-1270.7</v>
      </c>
      <c r="BQ384" s="343">
        <f>SUMIFS($AU$134:AU385,$Q$134:Q385,"O")</f>
        <v>-201.36000000004023</v>
      </c>
      <c r="BR384" s="343">
        <f>SUMIFS($AU$134:AU385,$AA$134:AA385,"*")</f>
        <v>2118.6499999999883</v>
      </c>
      <c r="BS384" s="343">
        <f>SUMIFS($AU$134:AU385,$AB$134:AB385,"*")</f>
        <v>62.93999999997596</v>
      </c>
      <c r="BT384" s="343">
        <f>SUMIFS($AU$134:AU385,$AC$134:AC385,"*")</f>
        <v>-2314.650000000001</v>
      </c>
      <c r="BU384" s="343">
        <f>SUMIFS($AU$134:AU385,$AA$134:AA385,"*",$AB$134:AB385,"*")</f>
        <v>-220.39999999999512</v>
      </c>
      <c r="BV384" s="343">
        <f>SUMIFS($AU$134:AU385,$AA$134:AA385,"*",$AC$134:AC385,"*")</f>
        <v>634.44999999999902</v>
      </c>
      <c r="BW384" s="343">
        <f>SUMIFS($AU$134:AU385,$AB$134:AB385,"*",$AC$134:AC385,"*")</f>
        <v>46.399999999999643</v>
      </c>
      <c r="BX384" s="343">
        <f>SUMIFS($AU385:AU$1388,$Q385:Q$1388,"F")</f>
        <v>17455.466666666667</v>
      </c>
      <c r="BY384" s="343">
        <f>SUMIFS($AU385:AU$1388,$Q385:Q$1388,"S")</f>
        <v>18241.292000000001</v>
      </c>
      <c r="BZ384" s="343">
        <f>SUMIFS($AU385:AU$1388,$Q385:Q$1388,"O")</f>
        <v>-1447.4979999997583</v>
      </c>
    </row>
    <row r="385" spans="1:78" ht="15.75" customHeight="1">
      <c r="A385" s="221" t="s">
        <v>1720</v>
      </c>
      <c r="B385" s="200">
        <v>36605</v>
      </c>
      <c r="C385" s="201" t="s">
        <v>1814</v>
      </c>
      <c r="D385" s="201" t="s">
        <v>132</v>
      </c>
      <c r="E385" s="247"/>
      <c r="F385" s="203"/>
      <c r="G385" s="316" t="s">
        <v>271</v>
      </c>
      <c r="H385" s="205"/>
      <c r="I385" s="205"/>
      <c r="J385" s="205"/>
      <c r="K385" s="206"/>
      <c r="L385" s="205">
        <v>1</v>
      </c>
      <c r="M385" s="205"/>
      <c r="N385" s="205"/>
      <c r="O385" s="206" t="s">
        <v>95</v>
      </c>
      <c r="P385" s="206" t="s">
        <v>96</v>
      </c>
      <c r="Q385" s="206" t="s">
        <v>97</v>
      </c>
      <c r="R385" s="206">
        <v>1</v>
      </c>
      <c r="S385" s="206">
        <v>1</v>
      </c>
      <c r="T385" s="206">
        <v>1</v>
      </c>
      <c r="U385" s="206" t="s">
        <v>97</v>
      </c>
      <c r="V385" s="206"/>
      <c r="W385" s="206"/>
      <c r="X385" s="206"/>
      <c r="Y385" s="184">
        <f t="shared" si="151"/>
        <v>0.01</v>
      </c>
      <c r="Z385" s="184">
        <f t="shared" si="152"/>
        <v>1610.0000000000002</v>
      </c>
      <c r="AA385" s="208" t="s">
        <v>1815</v>
      </c>
      <c r="AB385" s="208" t="s">
        <v>1816</v>
      </c>
      <c r="AC385" s="208" t="s">
        <v>529</v>
      </c>
      <c r="AD385" s="650">
        <v>0.01</v>
      </c>
      <c r="AE385" s="205"/>
      <c r="AF385" s="333">
        <v>5</v>
      </c>
      <c r="AG385" s="205" t="s">
        <v>1817</v>
      </c>
      <c r="AH385" s="205" t="s">
        <v>1818</v>
      </c>
      <c r="AI385" s="205" t="s">
        <v>1819</v>
      </c>
      <c r="AJ385" s="641" t="s">
        <v>529</v>
      </c>
      <c r="AK385" s="205"/>
      <c r="AL385" s="496">
        <f>-0.04*Z385</f>
        <v>-64.400000000000006</v>
      </c>
      <c r="AM385" s="496">
        <f>AL385*R385</f>
        <v>-64.400000000000006</v>
      </c>
      <c r="AN385" s="627"/>
      <c r="AO385" s="205"/>
      <c r="AP385" s="205" t="s">
        <v>1585</v>
      </c>
      <c r="AQ385" s="333" t="str">
        <f>UPPER(RIGHT(Journal_Live[[#This Row],[DURATION ]]))</f>
        <v>H</v>
      </c>
      <c r="AR385" s="205" t="s">
        <v>1820</v>
      </c>
      <c r="AS385" s="211">
        <v>0</v>
      </c>
      <c r="AT385" s="189">
        <f t="shared" ref="AT385:AT390" si="153">IF(ISBLANK(AS385),,IF(U385="S",AD385-AS385,AS385-AD385))</f>
        <v>0.01</v>
      </c>
      <c r="AU385" s="187">
        <f t="shared" ref="AU385:AU390" si="154">AV385*R385</f>
        <v>16.100000000000001</v>
      </c>
      <c r="AV385" s="190">
        <f t="shared" ref="AV385:AV390" si="155">IF(ISBLANK(AS385),,(AT385*Z385))</f>
        <v>16.100000000000001</v>
      </c>
      <c r="AW385" s="213" t="s">
        <v>96</v>
      </c>
      <c r="AX385" s="413"/>
      <c r="AY385" s="413"/>
      <c r="AZ385" s="413"/>
      <c r="BA385" s="413"/>
      <c r="BB385" s="413"/>
      <c r="BC385" s="413"/>
      <c r="BD385" s="413"/>
      <c r="BE385" s="413"/>
      <c r="BF385" s="427"/>
      <c r="BG385" s="391">
        <f>SUM($AV$4:AV385)</f>
        <v>2450.3850000000166</v>
      </c>
      <c r="BH385" s="392">
        <f>SUM($AU$134:AU385)</f>
        <v>-570.51000000004046</v>
      </c>
      <c r="BI385" s="318">
        <f>SUMIFS($AU$134:AU386,$Q$134:Q386,"F")</f>
        <v>-3014.8</v>
      </c>
      <c r="BJ385" s="318">
        <f>SUMIFS($AU$134:AU386,$Q$134:Q386,"S")</f>
        <v>2462.5499999999984</v>
      </c>
      <c r="BK385" s="343">
        <f>SUMIFS($AU$134:AU386,$P$134:P386,"W")</f>
        <v>1688.6899999999528</v>
      </c>
      <c r="BL385" s="343">
        <f>SUMIFS($AU$134:AU386,$P$134:P386,"R")</f>
        <v>-2243.0999999999935</v>
      </c>
      <c r="BM385" s="343">
        <f>SUMIFS($AU$134:AU386,$AQ$134:AQ386,"M")</f>
        <v>13.400000000004702</v>
      </c>
      <c r="BN385" s="343">
        <f>SUMIFS($AU$134:AU386,$AQ$134:AQ386,"H")</f>
        <v>455.60000000001497</v>
      </c>
      <c r="BO385" s="343">
        <f>SUMIFS($AU$134:AU386,$AQ$134:AQ386,"D")</f>
        <v>-487.15000000000055</v>
      </c>
      <c r="BP385" s="343">
        <f>SUMIFS($AU$134:AU388,$AQ$134:AQ388,"W")</f>
        <v>-1270.7</v>
      </c>
      <c r="BQ385" s="343">
        <f>SUMIFS($AU$134:AU386,$Q$134:Q386,"O")</f>
        <v>-201.36000000004023</v>
      </c>
      <c r="BR385" s="343">
        <f>SUMIFS($AU$134:AU386,$AA$134:AA386,"*")</f>
        <v>2134.7499999999882</v>
      </c>
      <c r="BS385" s="343">
        <f>SUMIFS($AU$134:AU386,$AB$134:AB386,"*")</f>
        <v>62.93999999997596</v>
      </c>
      <c r="BT385" s="343">
        <f>SUMIFS($AU$134:AU386,$AC$134:AC386,"*")</f>
        <v>-2314.650000000001</v>
      </c>
      <c r="BU385" s="343">
        <f>SUMIFS($AU$134:AU386,$AA$134:AA386,"*",$AB$134:AB386,"*")</f>
        <v>-220.39999999999512</v>
      </c>
      <c r="BV385" s="343">
        <f>SUMIFS($AU$134:AU386,$AA$134:AA386,"*",$AC$134:AC386,"*")</f>
        <v>634.44999999999902</v>
      </c>
      <c r="BW385" s="343">
        <f>SUMIFS($AU$134:AU386,$AB$134:AB386,"*",$AC$134:AC386,"*")</f>
        <v>46.399999999999643</v>
      </c>
      <c r="BX385" s="343">
        <f>SUMIFS($AU386:AU$1388,$Q386:Q$1388,"F")</f>
        <v>17455.466666666667</v>
      </c>
      <c r="BY385" s="343">
        <f>SUMIFS($AU386:AU$1388,$Q386:Q$1388,"S")</f>
        <v>18225.192000000003</v>
      </c>
      <c r="BZ385" s="343">
        <f>SUMIFS($AU386:AU$1388,$Q386:Q$1388,"O")</f>
        <v>-1447.4979999997583</v>
      </c>
    </row>
    <row r="386" spans="1:78" ht="15.75" customHeight="1">
      <c r="A386" s="221" t="s">
        <v>1720</v>
      </c>
      <c r="B386" s="200">
        <v>36605</v>
      </c>
      <c r="C386" s="201" t="s">
        <v>1821</v>
      </c>
      <c r="D386" s="201" t="s">
        <v>132</v>
      </c>
      <c r="E386" s="247"/>
      <c r="F386" s="203"/>
      <c r="G386" s="316" t="s">
        <v>757</v>
      </c>
      <c r="H386" s="205"/>
      <c r="I386" s="205"/>
      <c r="J386" s="205"/>
      <c r="K386" s="206"/>
      <c r="L386" s="205">
        <v>3</v>
      </c>
      <c r="M386" s="205"/>
      <c r="N386" s="205"/>
      <c r="O386" s="206" t="s">
        <v>95</v>
      </c>
      <c r="P386" s="206" t="s">
        <v>96</v>
      </c>
      <c r="Q386" s="206" t="s">
        <v>97</v>
      </c>
      <c r="R386" s="206">
        <v>1</v>
      </c>
      <c r="S386" s="206">
        <v>1</v>
      </c>
      <c r="T386" s="206">
        <v>1</v>
      </c>
      <c r="U386" s="206" t="s">
        <v>22</v>
      </c>
      <c r="V386" s="206"/>
      <c r="W386" s="206"/>
      <c r="X386" s="206"/>
      <c r="Y386" s="184">
        <f t="shared" si="151"/>
        <v>0.01</v>
      </c>
      <c r="Z386" s="184">
        <f t="shared" si="152"/>
        <v>1610.0000000000002</v>
      </c>
      <c r="AA386" s="208" t="s">
        <v>1822</v>
      </c>
      <c r="AB386" s="208"/>
      <c r="AC386" s="208"/>
      <c r="AD386" s="650">
        <v>-0.06</v>
      </c>
      <c r="AE386" s="205"/>
      <c r="AF386" s="333">
        <v>-10</v>
      </c>
      <c r="AG386" s="205" t="s">
        <v>1823</v>
      </c>
      <c r="AH386" s="205">
        <v>-5</v>
      </c>
      <c r="AI386" s="205" t="s">
        <v>1824</v>
      </c>
      <c r="AJ386" s="641"/>
      <c r="AK386" s="205"/>
      <c r="AL386" s="496">
        <f>-0.04*Z386</f>
        <v>-64.400000000000006</v>
      </c>
      <c r="AM386" s="496">
        <f>AL386*R386</f>
        <v>-64.400000000000006</v>
      </c>
      <c r="AN386" s="627"/>
      <c r="AO386" s="205"/>
      <c r="AP386" s="205" t="s">
        <v>1825</v>
      </c>
      <c r="AQ386" s="333" t="str">
        <f>UPPER(RIGHT(Journal_Live[[#This Row],[DURATION ]]))</f>
        <v>M</v>
      </c>
      <c r="AR386" s="205" t="s">
        <v>1826</v>
      </c>
      <c r="AS386" s="211">
        <v>-0.05</v>
      </c>
      <c r="AT386" s="189">
        <f t="shared" si="153"/>
        <v>9.999999999999995E-3</v>
      </c>
      <c r="AU386" s="187">
        <f t="shared" si="154"/>
        <v>16.099999999999994</v>
      </c>
      <c r="AV386" s="190">
        <f t="shared" si="155"/>
        <v>16.099999999999994</v>
      </c>
      <c r="AW386" s="213" t="s">
        <v>96</v>
      </c>
      <c r="AX386" s="413" t="s">
        <v>1827</v>
      </c>
      <c r="AY386" s="413" t="s">
        <v>1828</v>
      </c>
      <c r="AZ386" s="413" t="s">
        <v>1829</v>
      </c>
      <c r="BA386" s="413"/>
      <c r="BB386" s="413"/>
      <c r="BC386" s="413"/>
      <c r="BD386" s="413" t="s">
        <v>1830</v>
      </c>
      <c r="BE386" s="413" t="s">
        <v>529</v>
      </c>
      <c r="BF386" s="427"/>
      <c r="BG386" s="391">
        <f>SUM($AV$4:AV386)</f>
        <v>2466.4850000000165</v>
      </c>
      <c r="BH386" s="392">
        <f>SUM($AU$134:AU386)</f>
        <v>-554.41000000004044</v>
      </c>
      <c r="BI386" s="318">
        <f>SUMIFS($AU$134:AU387,$Q$134:Q387,"F")</f>
        <v>-3014.8</v>
      </c>
      <c r="BJ386" s="318">
        <f>SUMIFS($AU$134:AU387,$Q$134:Q387,"S")</f>
        <v>2478.6499999999983</v>
      </c>
      <c r="BK386" s="343">
        <f>SUMIFS($AU$134:AU387,$P$134:P387,"W")</f>
        <v>1704.7899999999527</v>
      </c>
      <c r="BL386" s="343">
        <f>SUMIFS($AU$134:AU387,$P$134:P387,"R")</f>
        <v>-2243.0999999999935</v>
      </c>
      <c r="BM386" s="343">
        <f>SUMIFS($AU$134:AU387,$AQ$134:AQ387,"M")</f>
        <v>29.500000000004704</v>
      </c>
      <c r="BN386" s="343">
        <f>SUMIFS($AU$134:AU387,$AQ$134:AQ387,"H")</f>
        <v>455.60000000001497</v>
      </c>
      <c r="BO386" s="343">
        <f>SUMIFS($AU$134:AU387,$AQ$134:AQ387,"D")</f>
        <v>-487.15000000000055</v>
      </c>
      <c r="BP386" s="343">
        <f>SUMIFS($AU$134:AU389,$AQ$134:AQ389,"W")</f>
        <v>-1270.7</v>
      </c>
      <c r="BQ386" s="343">
        <f>SUMIFS($AU$134:AU387,$Q$134:Q387,"O")</f>
        <v>-201.36000000004023</v>
      </c>
      <c r="BR386" s="343">
        <f>SUMIFS($AU$134:AU387,$AA$134:AA387,"*")</f>
        <v>2134.7499999999882</v>
      </c>
      <c r="BS386" s="343">
        <f>SUMIFS($AU$134:AU387,$AB$134:AB387,"*")</f>
        <v>79.039999999975961</v>
      </c>
      <c r="BT386" s="343">
        <f>SUMIFS($AU$134:AU387,$AC$134:AC387,"*")</f>
        <v>-2314.650000000001</v>
      </c>
      <c r="BU386" s="343">
        <f>SUMIFS($AU$134:AU387,$AA$134:AA387,"*",$AB$134:AB387,"*")</f>
        <v>-220.39999999999512</v>
      </c>
      <c r="BV386" s="343">
        <f>SUMIFS($AU$134:AU387,$AA$134:AA387,"*",$AC$134:AC387,"*")</f>
        <v>634.44999999999902</v>
      </c>
      <c r="BW386" s="343">
        <f>SUMIFS($AU$134:AU387,$AB$134:AB387,"*",$AC$134:AC387,"*")</f>
        <v>46.399999999999643</v>
      </c>
      <c r="BX386" s="343">
        <f>SUMIFS($AU387:AU$1388,$Q387:Q$1388,"F")</f>
        <v>17455.466666666667</v>
      </c>
      <c r="BY386" s="343">
        <f>SUMIFS($AU387:AU$1388,$Q387:Q$1388,"S")</f>
        <v>18209.092000000001</v>
      </c>
      <c r="BZ386" s="343">
        <f>SUMIFS($AU387:AU$1388,$Q387:Q$1388,"O")</f>
        <v>-1447.4979999997583</v>
      </c>
    </row>
    <row r="387" spans="1:78" ht="15.75" customHeight="1">
      <c r="A387" s="221" t="s">
        <v>1720</v>
      </c>
      <c r="B387" s="200">
        <v>36605</v>
      </c>
      <c r="C387" s="201" t="s">
        <v>1831</v>
      </c>
      <c r="D387" s="201" t="s">
        <v>132</v>
      </c>
      <c r="E387" s="247"/>
      <c r="F387" s="203"/>
      <c r="G387" s="204" t="s">
        <v>133</v>
      </c>
      <c r="H387" s="205"/>
      <c r="I387" s="205"/>
      <c r="J387" s="205"/>
      <c r="K387" s="206"/>
      <c r="L387" s="205">
        <v>3</v>
      </c>
      <c r="M387" s="205"/>
      <c r="N387" s="205"/>
      <c r="O387" s="206" t="s">
        <v>95</v>
      </c>
      <c r="P387" s="206" t="s">
        <v>96</v>
      </c>
      <c r="Q387" s="206" t="s">
        <v>97</v>
      </c>
      <c r="R387" s="206">
        <v>1</v>
      </c>
      <c r="S387" s="206">
        <v>1</v>
      </c>
      <c r="T387" s="206">
        <v>1</v>
      </c>
      <c r="U387" s="206" t="s">
        <v>97</v>
      </c>
      <c r="V387" s="206"/>
      <c r="W387" s="206"/>
      <c r="X387" s="206"/>
      <c r="Y387" s="184">
        <f t="shared" si="151"/>
        <v>0.01</v>
      </c>
      <c r="Z387" s="184">
        <f t="shared" si="152"/>
        <v>1610.0000000000002</v>
      </c>
      <c r="AA387" s="208"/>
      <c r="AB387" s="208" t="s">
        <v>1832</v>
      </c>
      <c r="AC387" s="208"/>
      <c r="AD387" s="650">
        <v>-0.01</v>
      </c>
      <c r="AE387" s="205"/>
      <c r="AF387" s="333"/>
      <c r="AG387" s="205"/>
      <c r="AH387" s="205"/>
      <c r="AI387" s="205"/>
      <c r="AJ387" s="641"/>
      <c r="AK387" s="205"/>
      <c r="AL387" s="498"/>
      <c r="AM387" s="499"/>
      <c r="AN387" s="627"/>
      <c r="AO387" s="205"/>
      <c r="AP387" s="205" t="s">
        <v>1825</v>
      </c>
      <c r="AQ387" s="333" t="str">
        <f>UPPER(RIGHT(Journal_Live[[#This Row],[DURATION ]]))</f>
        <v>M</v>
      </c>
      <c r="AR387" s="205" t="s">
        <v>1833</v>
      </c>
      <c r="AS387" s="211">
        <v>-0.02</v>
      </c>
      <c r="AT387" s="189">
        <f t="shared" si="153"/>
        <v>0.01</v>
      </c>
      <c r="AU387" s="187">
        <f t="shared" si="154"/>
        <v>16.100000000000001</v>
      </c>
      <c r="AV387" s="190">
        <f t="shared" si="155"/>
        <v>16.100000000000001</v>
      </c>
      <c r="AW387" s="213" t="s">
        <v>96</v>
      </c>
      <c r="AX387" s="413" t="s">
        <v>1834</v>
      </c>
      <c r="AY387" s="413"/>
      <c r="AZ387" s="413"/>
      <c r="BA387" s="413" t="s">
        <v>1436</v>
      </c>
      <c r="BB387" s="413"/>
      <c r="BC387" s="413"/>
      <c r="BD387" s="413" t="s">
        <v>1835</v>
      </c>
      <c r="BE387" s="413" t="s">
        <v>529</v>
      </c>
      <c r="BF387" s="427"/>
      <c r="BG387" s="391">
        <f>SUM($AV$4:AV387)</f>
        <v>2482.5850000000164</v>
      </c>
      <c r="BH387" s="392">
        <f>SUM($AU$134:AU387)</f>
        <v>-538.31000000004042</v>
      </c>
      <c r="BI387" s="318">
        <f>SUMIFS($AU$134:AU388,$Q$134:Q388,"F")</f>
        <v>-3014.8</v>
      </c>
      <c r="BJ387" s="318">
        <f>SUMIFS($AU$134:AU388,$Q$134:Q388,"S")</f>
        <v>2494.7499999999982</v>
      </c>
      <c r="BK387" s="343">
        <f>SUMIFS($AU$134:AU388,$P$134:P388,"W")</f>
        <v>1720.8899999999526</v>
      </c>
      <c r="BL387" s="343">
        <f>SUMIFS($AU$134:AU388,$P$134:P388,"R")</f>
        <v>-2243.0999999999935</v>
      </c>
      <c r="BM387" s="343">
        <f>SUMIFS($AU$134:AU388,$AQ$134:AQ388,"M")</f>
        <v>29.500000000004704</v>
      </c>
      <c r="BN387" s="343">
        <f>SUMIFS($AU$134:AU388,$AQ$134:AQ388,"H")</f>
        <v>471.700000000015</v>
      </c>
      <c r="BO387" s="343">
        <f>SUMIFS($AU$134:AU388,$AQ$134:AQ388,"D")</f>
        <v>-487.15000000000055</v>
      </c>
      <c r="BP387" s="343">
        <f>SUMIFS($AU$134:AU390,$AQ$134:AQ390,"W")</f>
        <v>-1270.7</v>
      </c>
      <c r="BQ387" s="343">
        <f>SUMIFS($AU$134:AU388,$Q$134:Q388,"O")</f>
        <v>-201.36000000004023</v>
      </c>
      <c r="BR387" s="343">
        <f>SUMIFS($AU$134:AU388,$AA$134:AA388,"*")</f>
        <v>2150.8499999999881</v>
      </c>
      <c r="BS387" s="343">
        <f>SUMIFS($AU$134:AU388,$AB$134:AB388,"*")</f>
        <v>95.13999999997597</v>
      </c>
      <c r="BT387" s="343">
        <f>SUMIFS($AU$134:AU388,$AC$134:AC388,"*")</f>
        <v>-2298.5500000000011</v>
      </c>
      <c r="BU387" s="343">
        <f>SUMIFS($AU$134:AU388,$AA$134:AA388,"*",$AB$134:AB388,"*")</f>
        <v>-204.29999999999512</v>
      </c>
      <c r="BV387" s="343">
        <f>SUMIFS($AU$134:AU388,$AA$134:AA388,"*",$AC$134:AC388,"*")</f>
        <v>650.54999999999905</v>
      </c>
      <c r="BW387" s="343">
        <f>SUMIFS($AU$134:AU388,$AB$134:AB388,"*",$AC$134:AC388,"*")</f>
        <v>62.499999999999645</v>
      </c>
      <c r="BX387" s="343">
        <f>SUMIFS($AU388:AU$1388,$Q388:Q$1388,"F")</f>
        <v>17455.466666666667</v>
      </c>
      <c r="BY387" s="343">
        <f>SUMIFS($AU388:AU$1388,$Q388:Q$1388,"S")</f>
        <v>18192.992000000002</v>
      </c>
      <c r="BZ387" s="343">
        <f>SUMIFS($AU388:AU$1388,$Q388:Q$1388,"O")</f>
        <v>-1447.4979999997583</v>
      </c>
    </row>
    <row r="388" spans="1:78" ht="15.75" customHeight="1">
      <c r="A388" s="221" t="s">
        <v>1720</v>
      </c>
      <c r="B388" s="200">
        <v>45006</v>
      </c>
      <c r="C388" s="201" t="s">
        <v>606</v>
      </c>
      <c r="D388" s="201" t="s">
        <v>146</v>
      </c>
      <c r="E388" s="247"/>
      <c r="F388" s="203"/>
      <c r="G388" s="316" t="s">
        <v>271</v>
      </c>
      <c r="H388" s="205"/>
      <c r="I388" s="205"/>
      <c r="J388" s="205"/>
      <c r="K388" s="206"/>
      <c r="L388" s="205">
        <v>1</v>
      </c>
      <c r="M388" s="205"/>
      <c r="N388" s="205"/>
      <c r="O388" s="206" t="s">
        <v>95</v>
      </c>
      <c r="P388" s="206" t="s">
        <v>96</v>
      </c>
      <c r="Q388" s="206" t="s">
        <v>97</v>
      </c>
      <c r="R388" s="206">
        <v>1</v>
      </c>
      <c r="S388" s="206">
        <v>1</v>
      </c>
      <c r="T388" s="206">
        <v>1</v>
      </c>
      <c r="U388" s="206" t="s">
        <v>97</v>
      </c>
      <c r="V388" s="206"/>
      <c r="W388" s="206"/>
      <c r="X388" s="206"/>
      <c r="Y388" s="184">
        <f t="shared" si="151"/>
        <v>0.01</v>
      </c>
      <c r="Z388" s="184">
        <f t="shared" si="152"/>
        <v>1610.0000000000002</v>
      </c>
      <c r="AA388" s="208" t="s">
        <v>1815</v>
      </c>
      <c r="AB388" s="208" t="s">
        <v>1816</v>
      </c>
      <c r="AC388" s="208" t="s">
        <v>529</v>
      </c>
      <c r="AD388" s="650">
        <v>0.02</v>
      </c>
      <c r="AE388" s="205"/>
      <c r="AF388" s="333">
        <v>5</v>
      </c>
      <c r="AG388" s="205" t="s">
        <v>1817</v>
      </c>
      <c r="AH388" s="205" t="s">
        <v>1818</v>
      </c>
      <c r="AI388" s="205" t="s">
        <v>1819</v>
      </c>
      <c r="AJ388" s="641" t="s">
        <v>529</v>
      </c>
      <c r="AK388" s="205"/>
      <c r="AL388" s="496">
        <f>-0.03*Z388</f>
        <v>-48.300000000000004</v>
      </c>
      <c r="AM388" s="496">
        <f>AL388*R388</f>
        <v>-48.300000000000004</v>
      </c>
      <c r="AN388" s="627"/>
      <c r="AO388" s="205"/>
      <c r="AP388" s="205" t="s">
        <v>1700</v>
      </c>
      <c r="AQ388" s="333" t="str">
        <f>UPPER(RIGHT(Journal_Live[[#This Row],[DURATION ]]))</f>
        <v>H</v>
      </c>
      <c r="AR388" s="205" t="s">
        <v>1836</v>
      </c>
      <c r="AS388" s="211">
        <v>0.01</v>
      </c>
      <c r="AT388" s="189">
        <f t="shared" si="153"/>
        <v>0.01</v>
      </c>
      <c r="AU388" s="187">
        <f t="shared" si="154"/>
        <v>16.100000000000001</v>
      </c>
      <c r="AV388" s="190">
        <f t="shared" si="155"/>
        <v>16.100000000000001</v>
      </c>
      <c r="AW388" s="213" t="s">
        <v>96</v>
      </c>
      <c r="AX388" s="413"/>
      <c r="AY388" s="413"/>
      <c r="AZ388" s="413"/>
      <c r="BA388" s="413"/>
      <c r="BB388" s="413"/>
      <c r="BC388" s="413"/>
      <c r="BD388" s="413"/>
      <c r="BE388" s="413"/>
      <c r="BF388" s="427"/>
      <c r="BG388" s="391">
        <f>SUM($AV$4:AV388)</f>
        <v>2498.6850000000163</v>
      </c>
      <c r="BH388" s="392">
        <f>SUM($AU$134:AU388)</f>
        <v>-522.2100000000404</v>
      </c>
      <c r="BI388" s="318">
        <f>SUMIFS($AU$134:AU389,$Q$134:Q389,"F")</f>
        <v>-3014.8</v>
      </c>
      <c r="BJ388" s="318">
        <f>SUMIFS($AU$134:AU389,$Q$134:Q389,"S")</f>
        <v>2510.8499999999981</v>
      </c>
      <c r="BK388" s="343">
        <f>SUMIFS($AU$134:AU389,$P$134:P389,"W")</f>
        <v>1736.9899999999525</v>
      </c>
      <c r="BL388" s="343">
        <f>SUMIFS($AU$134:AU389,$P$134:P389,"R")</f>
        <v>-2243.0999999999935</v>
      </c>
      <c r="BM388" s="343">
        <f>SUMIFS($AU$134:AU389,$AQ$134:AQ389,"M")</f>
        <v>45.600000000004712</v>
      </c>
      <c r="BN388" s="343">
        <f>SUMIFS($AU$134:AU389,$AQ$134:AQ389,"H")</f>
        <v>471.700000000015</v>
      </c>
      <c r="BO388" s="343">
        <f>SUMIFS($AU$134:AU389,$AQ$134:AQ389,"D")</f>
        <v>-487.15000000000055</v>
      </c>
      <c r="BP388" s="343">
        <f>SUMIFS($AU$134:AU391,$AQ$134:AQ391,"W")</f>
        <v>-1270.7</v>
      </c>
      <c r="BQ388" s="343">
        <f>SUMIFS($AU$134:AU389,$Q$134:Q389,"O")</f>
        <v>-201.36000000004023</v>
      </c>
      <c r="BR388" s="343">
        <f>SUMIFS($AU$134:AU389,$AA$134:AA389,"*")</f>
        <v>2166.949999999988</v>
      </c>
      <c r="BS388" s="343">
        <f>SUMIFS($AU$134:AU389,$AB$134:AB389,"*")</f>
        <v>95.13999999997597</v>
      </c>
      <c r="BT388" s="343">
        <f>SUMIFS($AU$134:AU389,$AC$134:AC389,"*")</f>
        <v>-2298.5500000000011</v>
      </c>
      <c r="BU388" s="343">
        <f>SUMIFS($AU$134:AU389,$AA$134:AA389,"*",$AB$134:AB389,"*")</f>
        <v>-204.29999999999512</v>
      </c>
      <c r="BV388" s="343">
        <f>SUMIFS($AU$134:AU389,$AA$134:AA389,"*",$AC$134:AC389,"*")</f>
        <v>650.54999999999905</v>
      </c>
      <c r="BW388" s="343">
        <f>SUMIFS($AU$134:AU389,$AB$134:AB389,"*",$AC$134:AC389,"*")</f>
        <v>62.499999999999645</v>
      </c>
      <c r="BX388" s="343">
        <f>SUMIFS($AU389:AU$1388,$Q389:Q$1388,"F")</f>
        <v>17455.466666666667</v>
      </c>
      <c r="BY388" s="343">
        <f>SUMIFS($AU389:AU$1388,$Q389:Q$1388,"S")</f>
        <v>18176.892000000003</v>
      </c>
      <c r="BZ388" s="343">
        <f>SUMIFS($AU389:AU$1388,$Q389:Q$1388,"O")</f>
        <v>-1447.4979999997583</v>
      </c>
    </row>
    <row r="389" spans="1:78" ht="15.75" customHeight="1">
      <c r="A389" s="221" t="s">
        <v>1720</v>
      </c>
      <c r="B389" s="200">
        <v>45006</v>
      </c>
      <c r="C389" s="201" t="s">
        <v>606</v>
      </c>
      <c r="D389" s="201" t="s">
        <v>146</v>
      </c>
      <c r="E389" s="247"/>
      <c r="F389" s="203"/>
      <c r="G389" s="316" t="s">
        <v>133</v>
      </c>
      <c r="H389" s="205"/>
      <c r="I389" s="205"/>
      <c r="J389" s="205"/>
      <c r="K389" s="206"/>
      <c r="L389" s="205">
        <v>3</v>
      </c>
      <c r="M389" s="205"/>
      <c r="N389" s="205"/>
      <c r="O389" s="206" t="s">
        <v>95</v>
      </c>
      <c r="P389" s="206" t="s">
        <v>96</v>
      </c>
      <c r="Q389" s="206" t="s">
        <v>97</v>
      </c>
      <c r="R389" s="206">
        <v>1</v>
      </c>
      <c r="S389" s="206">
        <v>1</v>
      </c>
      <c r="T389" s="206">
        <v>1</v>
      </c>
      <c r="U389" s="206" t="s">
        <v>22</v>
      </c>
      <c r="V389" s="206"/>
      <c r="W389" s="206"/>
      <c r="X389" s="206"/>
      <c r="Y389" s="184">
        <f t="shared" si="151"/>
        <v>0.01</v>
      </c>
      <c r="Z389" s="184">
        <f t="shared" si="152"/>
        <v>1610.0000000000002</v>
      </c>
      <c r="AA389" s="208" t="s">
        <v>1822</v>
      </c>
      <c r="AB389" s="208"/>
      <c r="AC389" s="208"/>
      <c r="AD389" s="650">
        <v>-0.04</v>
      </c>
      <c r="AE389" s="205"/>
      <c r="AF389" s="333"/>
      <c r="AG389" s="205"/>
      <c r="AH389" s="205"/>
      <c r="AI389" s="205"/>
      <c r="AJ389" s="641"/>
      <c r="AK389" s="205"/>
      <c r="AL389" s="496">
        <f t="shared" ref="AL389:AL390" si="156">-0.03*Z389</f>
        <v>-48.300000000000004</v>
      </c>
      <c r="AM389" s="496">
        <f>AL389*R389</f>
        <v>-48.300000000000004</v>
      </c>
      <c r="AN389" s="627"/>
      <c r="AO389" s="205"/>
      <c r="AP389" s="205" t="s">
        <v>1837</v>
      </c>
      <c r="AQ389" s="333" t="str">
        <f>UPPER(RIGHT(Journal_Live[[#This Row],[DURATION ]]))</f>
        <v>M</v>
      </c>
      <c r="AR389" s="205" t="s">
        <v>1838</v>
      </c>
      <c r="AS389" s="211">
        <v>-0.03</v>
      </c>
      <c r="AT389" s="189">
        <f t="shared" si="153"/>
        <v>1.0000000000000002E-2</v>
      </c>
      <c r="AU389" s="187">
        <f t="shared" si="154"/>
        <v>16.100000000000005</v>
      </c>
      <c r="AV389" s="190">
        <f t="shared" si="155"/>
        <v>16.100000000000005</v>
      </c>
      <c r="AW389" s="213" t="s">
        <v>96</v>
      </c>
      <c r="AX389" s="413" t="s">
        <v>1839</v>
      </c>
      <c r="AY389" s="413" t="s">
        <v>1840</v>
      </c>
      <c r="AZ389" s="413"/>
      <c r="BA389" s="413" t="s">
        <v>1834</v>
      </c>
      <c r="BB389" s="413" t="s">
        <v>529</v>
      </c>
      <c r="BC389" s="413"/>
      <c r="BD389" s="413" t="s">
        <v>1835</v>
      </c>
      <c r="BE389" s="413" t="s">
        <v>529</v>
      </c>
      <c r="BF389" s="427"/>
      <c r="BG389" s="391">
        <f>SUM($AV$4:AV389)</f>
        <v>2514.7850000000162</v>
      </c>
      <c r="BH389" s="392">
        <f>SUM($AU$134:AU389)</f>
        <v>-506.11000000004037</v>
      </c>
      <c r="BI389" s="318">
        <f>SUMIFS($AU$134:AU390,$Q$134:Q390,"F")</f>
        <v>-3014.8</v>
      </c>
      <c r="BJ389" s="318">
        <f>SUMIFS($AU$134:AU390,$Q$134:Q390,"S")</f>
        <v>2526.949999999998</v>
      </c>
      <c r="BK389" s="343">
        <f>SUMIFS($AU$134:AU390,$P$134:P390,"W")</f>
        <v>1753.0899999999524</v>
      </c>
      <c r="BL389" s="343">
        <f>SUMIFS($AU$134:AU390,$P$134:P390,"R")</f>
        <v>-2243.0999999999935</v>
      </c>
      <c r="BM389" s="343">
        <f>SUMIFS($AU$134:AU390,$AQ$134:AQ390,"M")</f>
        <v>61.700000000004685</v>
      </c>
      <c r="BN389" s="343">
        <f>SUMIFS($AU$134:AU390,$AQ$134:AQ390,"H")</f>
        <v>471.700000000015</v>
      </c>
      <c r="BO389" s="343">
        <f>SUMIFS($AU$134:AU390,$AQ$134:AQ390,"D")</f>
        <v>-487.15000000000055</v>
      </c>
      <c r="BP389" s="343">
        <f>SUMIFS($AU$134:AU392,$AQ$134:AQ392,"W")</f>
        <v>-1270.7</v>
      </c>
      <c r="BQ389" s="343">
        <f>SUMIFS($AU$134:AU390,$Q$134:Q390,"O")</f>
        <v>-201.36000000004023</v>
      </c>
      <c r="BR389" s="343">
        <f>SUMIFS($AU$134:AU390,$AA$134:AA390,"*")</f>
        <v>2183.0499999999879</v>
      </c>
      <c r="BS389" s="343">
        <f>SUMIFS($AU$134:AU390,$AB$134:AB390,"*")</f>
        <v>95.13999999997597</v>
      </c>
      <c r="BT389" s="343">
        <f>SUMIFS($AU$134:AU390,$AC$134:AC390,"*")</f>
        <v>-2298.5500000000011</v>
      </c>
      <c r="BU389" s="343">
        <f>SUMIFS($AU$134:AU390,$AA$134:AA390,"*",$AB$134:AB390,"*")</f>
        <v>-204.29999999999512</v>
      </c>
      <c r="BV389" s="343">
        <f>SUMIFS($AU$134:AU390,$AA$134:AA390,"*",$AC$134:AC390,"*")</f>
        <v>650.54999999999905</v>
      </c>
      <c r="BW389" s="343">
        <f>SUMIFS($AU$134:AU390,$AB$134:AB390,"*",$AC$134:AC390,"*")</f>
        <v>62.499999999999645</v>
      </c>
      <c r="BX389" s="343">
        <f>SUMIFS($AU390:AU$1388,$Q390:Q$1388,"F")</f>
        <v>17455.466666666667</v>
      </c>
      <c r="BY389" s="343">
        <f>SUMIFS($AU390:AU$1388,$Q390:Q$1388,"S")</f>
        <v>18160.792000000001</v>
      </c>
      <c r="BZ389" s="343">
        <f>SUMIFS($AU390:AU$1388,$Q390:Q$1388,"O")</f>
        <v>-1447.4979999997583</v>
      </c>
    </row>
    <row r="390" spans="1:78" ht="15.75" customHeight="1">
      <c r="A390" s="221" t="s">
        <v>1720</v>
      </c>
      <c r="B390" s="200">
        <v>45006</v>
      </c>
      <c r="C390" s="201" t="s">
        <v>1841</v>
      </c>
      <c r="D390" s="201" t="s">
        <v>146</v>
      </c>
      <c r="E390" s="247"/>
      <c r="F390" s="203"/>
      <c r="G390" s="316" t="s">
        <v>757</v>
      </c>
      <c r="H390" s="205"/>
      <c r="I390" s="205"/>
      <c r="J390" s="205"/>
      <c r="K390" s="206"/>
      <c r="L390" s="205">
        <v>3</v>
      </c>
      <c r="M390" s="205"/>
      <c r="N390" s="205"/>
      <c r="O390" s="206" t="s">
        <v>95</v>
      </c>
      <c r="P390" s="206" t="s">
        <v>96</v>
      </c>
      <c r="Q390" s="206" t="s">
        <v>97</v>
      </c>
      <c r="R390" s="206">
        <v>2</v>
      </c>
      <c r="S390" s="206">
        <v>2</v>
      </c>
      <c r="T390" s="206">
        <v>1</v>
      </c>
      <c r="U390" s="206" t="s">
        <v>22</v>
      </c>
      <c r="V390" s="206"/>
      <c r="W390" s="206"/>
      <c r="X390" s="206"/>
      <c r="Y390" s="184">
        <f t="shared" si="151"/>
        <v>0.01</v>
      </c>
      <c r="Z390" s="184">
        <f t="shared" si="152"/>
        <v>1610.0000000000002</v>
      </c>
      <c r="AA390" s="208" t="s">
        <v>1842</v>
      </c>
      <c r="AB390" s="208"/>
      <c r="AC390" s="208"/>
      <c r="AD390" s="650">
        <v>-7.4999999999999997E-2</v>
      </c>
      <c r="AE390" s="205"/>
      <c r="AF390" s="333"/>
      <c r="AG390" s="205"/>
      <c r="AH390" s="205"/>
      <c r="AI390" s="205"/>
      <c r="AJ390" s="641"/>
      <c r="AK390" s="205"/>
      <c r="AL390" s="496">
        <f t="shared" si="156"/>
        <v>-48.300000000000004</v>
      </c>
      <c r="AM390" s="496">
        <f>AL390*R390</f>
        <v>-96.600000000000009</v>
      </c>
      <c r="AN390" s="627"/>
      <c r="AO390" s="205"/>
      <c r="AP390" s="205" t="s">
        <v>1843</v>
      </c>
      <c r="AQ390" s="333" t="str">
        <f>UPPER(RIGHT(Journal_Live[[#This Row],[DURATION ]]))</f>
        <v>M</v>
      </c>
      <c r="AR390" s="205" t="s">
        <v>1844</v>
      </c>
      <c r="AS390" s="211">
        <v>-7.0000000000000007E-2</v>
      </c>
      <c r="AT390" s="189">
        <f t="shared" si="153"/>
        <v>4.9999999999999906E-3</v>
      </c>
      <c r="AU390" s="187">
        <f t="shared" si="154"/>
        <v>16.099999999999973</v>
      </c>
      <c r="AV390" s="190">
        <f t="shared" si="155"/>
        <v>8.0499999999999865</v>
      </c>
      <c r="AW390" s="213" t="s">
        <v>96</v>
      </c>
      <c r="AX390" s="413" t="s">
        <v>1845</v>
      </c>
      <c r="AY390" s="413" t="s">
        <v>1846</v>
      </c>
      <c r="AZ390" s="413" t="s">
        <v>1847</v>
      </c>
      <c r="BA390" s="413"/>
      <c r="BB390" s="413"/>
      <c r="BC390" s="413"/>
      <c r="BD390" s="413" t="s">
        <v>1848</v>
      </c>
      <c r="BE390" s="413" t="s">
        <v>529</v>
      </c>
      <c r="BF390" s="427"/>
      <c r="BG390" s="391">
        <f>SUM($AV$4:AV390)</f>
        <v>2522.8350000000164</v>
      </c>
      <c r="BH390" s="392">
        <f>SUM($AU$134:AU390)</f>
        <v>-490.01000000004041</v>
      </c>
      <c r="BI390" s="318">
        <f>SUMIFS($AU$134:AU391,$Q$134:Q391,"F")</f>
        <v>-3014.8</v>
      </c>
      <c r="BJ390" s="318">
        <f>SUMIFS($AU$134:AU391,$Q$134:Q391,"S")</f>
        <v>2526.949999999998</v>
      </c>
      <c r="BK390" s="343">
        <f>SUMIFS($AU$134:AU391,$P$134:P391,"W")</f>
        <v>1753.0899999999524</v>
      </c>
      <c r="BL390" s="343">
        <f>SUMIFS($AU$134:AU391,$P$134:P391,"R")</f>
        <v>-2243.0999999999935</v>
      </c>
      <c r="BM390" s="343">
        <f>SUMIFS($AU$134:AU391,$AQ$134:AQ391,"M")</f>
        <v>61.700000000004685</v>
      </c>
      <c r="BN390" s="343">
        <f>SUMIFS($AU$134:AU391,$AQ$134:AQ391,"H")</f>
        <v>471.700000000015</v>
      </c>
      <c r="BO390" s="343">
        <f>SUMIFS($AU$134:AU391,$AQ$134:AQ391,"D")</f>
        <v>-487.15000000000055</v>
      </c>
      <c r="BP390" s="343">
        <f>SUMIFS($AU$134:AU393,$AQ$134:AQ393,"W")</f>
        <v>-1270.7</v>
      </c>
      <c r="BQ390" s="343">
        <f>SUMIFS($AU$134:AU391,$Q$134:Q391,"O")</f>
        <v>-201.36000000004023</v>
      </c>
      <c r="BR390" s="343">
        <f>SUMIFS($AU$134:AU391,$AA$134:AA391,"*")</f>
        <v>2183.0499999999879</v>
      </c>
      <c r="BS390" s="343">
        <f>SUMIFS($AU$134:AU391,$AB$134:AB391,"*")</f>
        <v>95.13999999997597</v>
      </c>
      <c r="BT390" s="343">
        <f>SUMIFS($AU$134:AU391,$AC$134:AC391,"*")</f>
        <v>-2298.5500000000011</v>
      </c>
      <c r="BU390" s="343">
        <f>SUMIFS($AU$134:AU391,$AA$134:AA391,"*",$AB$134:AB391,"*")</f>
        <v>-204.29999999999512</v>
      </c>
      <c r="BV390" s="343">
        <f>SUMIFS($AU$134:AU391,$AA$134:AA391,"*",$AC$134:AC391,"*")</f>
        <v>650.54999999999905</v>
      </c>
      <c r="BW390" s="343">
        <f>SUMIFS($AU$134:AU391,$AB$134:AB391,"*",$AC$134:AC391,"*")</f>
        <v>62.499999999999645</v>
      </c>
      <c r="BX390" s="343">
        <f>SUMIFS($AU391:AU$1388,$Q391:Q$1388,"F")</f>
        <v>17455.466666666667</v>
      </c>
      <c r="BY390" s="343">
        <f>SUMIFS($AU391:AU$1388,$Q391:Q$1388,"S")</f>
        <v>18144.692000000003</v>
      </c>
      <c r="BZ390" s="343">
        <f>SUMIFS($AU391:AU$1388,$Q391:Q$1388,"O")</f>
        <v>-1447.4979999997583</v>
      </c>
    </row>
    <row r="391" spans="1:78" ht="15.75" customHeight="1">
      <c r="A391" s="221" t="s">
        <v>1720</v>
      </c>
      <c r="B391" s="200">
        <v>45006</v>
      </c>
      <c r="C391" s="201" t="s">
        <v>1437</v>
      </c>
      <c r="D391" s="201" t="s">
        <v>146</v>
      </c>
      <c r="E391" s="247" t="s">
        <v>1849</v>
      </c>
      <c r="F391" s="203" t="s">
        <v>1850</v>
      </c>
      <c r="G391" s="204"/>
      <c r="H391" s="205"/>
      <c r="I391" s="205"/>
      <c r="J391" s="205"/>
      <c r="K391" s="206"/>
      <c r="L391" s="205"/>
      <c r="M391" s="205"/>
      <c r="N391" s="205"/>
      <c r="O391" s="206"/>
      <c r="P391" s="206"/>
      <c r="Q391" s="206"/>
      <c r="R391" s="206"/>
      <c r="S391" s="206"/>
      <c r="T391" s="206"/>
      <c r="U391" s="206"/>
      <c r="V391" s="206"/>
      <c r="W391" s="206"/>
      <c r="X391" s="206"/>
      <c r="Y391" s="184"/>
      <c r="Z391" s="184"/>
      <c r="AA391" s="208"/>
      <c r="AB391" s="208"/>
      <c r="AC391" s="208"/>
      <c r="AD391" s="650"/>
      <c r="AE391" s="205"/>
      <c r="AF391" s="333"/>
      <c r="AG391" s="205"/>
      <c r="AH391" s="205"/>
      <c r="AI391" s="205"/>
      <c r="AJ391" s="641"/>
      <c r="AK391" s="205"/>
      <c r="AL391" s="496"/>
      <c r="AM391" s="496"/>
      <c r="AN391" s="627"/>
      <c r="AO391" s="205"/>
      <c r="AP391" s="205"/>
      <c r="AQ391" s="333" t="str">
        <f>UPPER(RIGHT(Journal_Live[[#This Row],[DURATION ]]))</f>
        <v/>
      </c>
      <c r="AR391" s="205"/>
      <c r="AS391" s="211"/>
      <c r="AT391" s="189"/>
      <c r="AU391" s="187"/>
      <c r="AV391" s="190"/>
      <c r="AW391" s="213"/>
      <c r="AX391" s="413" t="s">
        <v>1851</v>
      </c>
      <c r="AY391" s="413" t="s">
        <v>1852</v>
      </c>
      <c r="AZ391" s="413"/>
      <c r="BA391" s="413" t="s">
        <v>529</v>
      </c>
      <c r="BB391" s="413"/>
      <c r="BC391" s="413"/>
      <c r="BD391" s="413"/>
      <c r="BE391" s="413"/>
      <c r="BF391" s="427"/>
      <c r="BG391" s="391">
        <f>SUM($AV$4:AV391)</f>
        <v>2522.8350000000164</v>
      </c>
      <c r="BH391" s="392">
        <f>SUM($AU$134:AU391)</f>
        <v>-490.01000000004041</v>
      </c>
      <c r="BI391" s="318">
        <f>SUMIFS($AU$134:AU392,$Q$134:Q392,"F")</f>
        <v>-3014.8</v>
      </c>
      <c r="BJ391" s="318">
        <f>SUMIFS($AU$134:AU392,$Q$134:Q392,"S")</f>
        <v>2526.949999999998</v>
      </c>
      <c r="BK391" s="343">
        <f>SUMIFS($AU$134:AU392,$P$134:P392,"W")</f>
        <v>1753.0899999999524</v>
      </c>
      <c r="BL391" s="343">
        <f>SUMIFS($AU$134:AU392,$P$134:P392,"R")</f>
        <v>-2243.0999999999935</v>
      </c>
      <c r="BM391" s="343">
        <f>SUMIFS($AU$134:AU392,$AQ$134:AQ392,"M")</f>
        <v>61.700000000004685</v>
      </c>
      <c r="BN391" s="343">
        <f>SUMIFS($AU$134:AU392,$AQ$134:AQ392,"H")</f>
        <v>471.700000000015</v>
      </c>
      <c r="BO391" s="343">
        <f>SUMIFS($AU$134:AU392,$AQ$134:AQ392,"D")</f>
        <v>-487.15000000000055</v>
      </c>
      <c r="BP391" s="343">
        <f>SUMIFS($AU$134:AU394,$AQ$134:AQ394,"W")</f>
        <v>-1270.7</v>
      </c>
      <c r="BQ391" s="343">
        <f>SUMIFS($AU$134:AU392,$Q$134:Q392,"O")</f>
        <v>-201.36000000004023</v>
      </c>
      <c r="BR391" s="343">
        <f>SUMIFS($AU$134:AU392,$AA$134:AA392,"*")</f>
        <v>2183.0499999999879</v>
      </c>
      <c r="BS391" s="343">
        <f>SUMIFS($AU$134:AU392,$AB$134:AB392,"*")</f>
        <v>95.13999999997597</v>
      </c>
      <c r="BT391" s="343">
        <f>SUMIFS($AU$134:AU392,$AC$134:AC392,"*")</f>
        <v>-2298.5500000000011</v>
      </c>
      <c r="BU391" s="343">
        <f>SUMIFS($AU$134:AU392,$AA$134:AA392,"*",$AB$134:AB392,"*")</f>
        <v>-204.29999999999512</v>
      </c>
      <c r="BV391" s="343">
        <f>SUMIFS($AU$134:AU392,$AA$134:AA392,"*",$AC$134:AC392,"*")</f>
        <v>650.54999999999905</v>
      </c>
      <c r="BW391" s="343">
        <f>SUMIFS($AU$134:AU392,$AB$134:AB392,"*",$AC$134:AC392,"*")</f>
        <v>62.499999999999645</v>
      </c>
      <c r="BX391" s="343">
        <f>SUMIFS($AU392:AU$1388,$Q392:Q$1388,"F")</f>
        <v>17455.466666666667</v>
      </c>
      <c r="BY391" s="343">
        <f>SUMIFS($AU392:AU$1388,$Q392:Q$1388,"S")</f>
        <v>18144.692000000003</v>
      </c>
      <c r="BZ391" s="343">
        <f>SUMIFS($AU392:AU$1388,$Q392:Q$1388,"O")</f>
        <v>-1447.4979999997583</v>
      </c>
    </row>
    <row r="392" spans="1:78" ht="15.75" customHeight="1">
      <c r="A392" s="221" t="s">
        <v>1720</v>
      </c>
      <c r="B392" s="200">
        <v>45006</v>
      </c>
      <c r="C392" s="201" t="s">
        <v>1853</v>
      </c>
      <c r="D392" s="201" t="s">
        <v>146</v>
      </c>
      <c r="E392" s="247"/>
      <c r="F392" s="203"/>
      <c r="G392" s="204" t="s">
        <v>1854</v>
      </c>
      <c r="H392" s="205"/>
      <c r="I392" s="205"/>
      <c r="J392" s="205"/>
      <c r="K392" s="206"/>
      <c r="L392" s="205">
        <v>1</v>
      </c>
      <c r="M392" s="205">
        <v>2</v>
      </c>
      <c r="N392" s="205"/>
      <c r="O392" s="206" t="s">
        <v>1057</v>
      </c>
      <c r="P392" s="206" t="s">
        <v>96</v>
      </c>
      <c r="Q392" s="206" t="s">
        <v>684</v>
      </c>
      <c r="R392" s="206">
        <v>4</v>
      </c>
      <c r="S392" s="206">
        <v>4</v>
      </c>
      <c r="T392" s="206">
        <v>2</v>
      </c>
      <c r="U392" s="206" t="s">
        <v>97</v>
      </c>
      <c r="V392" s="206"/>
      <c r="W392" s="206"/>
      <c r="X392" s="206"/>
      <c r="Y392" s="184">
        <f>IF(ISBLANK(O392),"",(IF(O392=UPPER("IB"),0.005,0.01)))</f>
        <v>5.0000000000000001E-3</v>
      </c>
      <c r="Z392" s="184">
        <f>IF(ISBLANK(O392),"",IF(O392="IB",8.63*200,IF(O392="IR",16.1*100,IF(O392="YT",20))))</f>
        <v>1726.0000000000002</v>
      </c>
      <c r="AA392" s="208"/>
      <c r="AB392" s="208" t="s">
        <v>1855</v>
      </c>
      <c r="AC392" s="208" t="s">
        <v>529</v>
      </c>
      <c r="AD392" s="650">
        <v>96.444999999999993</v>
      </c>
      <c r="AE392" s="205" t="s">
        <v>1856</v>
      </c>
      <c r="AF392" s="333" t="s">
        <v>1857</v>
      </c>
      <c r="AG392" s="205" t="s">
        <v>529</v>
      </c>
      <c r="AH392" s="205" t="s">
        <v>1858</v>
      </c>
      <c r="AI392" s="205" t="s">
        <v>1859</v>
      </c>
      <c r="AJ392" s="641" t="s">
        <v>1860</v>
      </c>
      <c r="AK392" s="205"/>
      <c r="AL392" s="496"/>
      <c r="AM392" s="496"/>
      <c r="AN392" s="627"/>
      <c r="AO392" s="205"/>
      <c r="AP392" s="205" t="s">
        <v>1433</v>
      </c>
      <c r="AQ392" s="333" t="str">
        <f>UPPER(RIGHT(Journal_Live[[#This Row],[DURATION ]]))</f>
        <v>H</v>
      </c>
      <c r="AR392" s="205" t="s">
        <v>1861</v>
      </c>
      <c r="AS392" s="211">
        <f>(2*96.445+2*(96.445))/4</f>
        <v>96.444999999999993</v>
      </c>
      <c r="AT392" s="189">
        <f>IF(ISBLANK(AS392),,IF(U392="S",AD392-AS392,AS392-AD392))</f>
        <v>0</v>
      </c>
      <c r="AU392" s="187">
        <f>AV392*R392</f>
        <v>0</v>
      </c>
      <c r="AV392" s="190">
        <f>IF(ISBLANK(AS392),,(AT392*Z392))</f>
        <v>0</v>
      </c>
      <c r="AW392" s="213" t="s">
        <v>115</v>
      </c>
      <c r="AX392" s="413" t="s">
        <v>1862</v>
      </c>
      <c r="AY392" s="413" t="s">
        <v>1863</v>
      </c>
      <c r="AZ392" s="413" t="s">
        <v>1864</v>
      </c>
      <c r="BA392" s="413" t="s">
        <v>1865</v>
      </c>
      <c r="BB392" s="413"/>
      <c r="BC392" s="413"/>
      <c r="BD392" s="413"/>
      <c r="BE392" s="413"/>
      <c r="BF392" s="427"/>
      <c r="BG392" s="391">
        <f>SUM($AV$4:AV392)</f>
        <v>2522.8350000000164</v>
      </c>
      <c r="BH392" s="392">
        <f>SUM($AU$134:AU392)</f>
        <v>-490.01000000004041</v>
      </c>
      <c r="BI392" s="318">
        <f>SUMIFS($AU$134:AU393,$Q$134:Q393,"F")</f>
        <v>-3014.8</v>
      </c>
      <c r="BJ392" s="318">
        <f>SUMIFS($AU$134:AU393,$Q$134:Q393,"S")</f>
        <v>2543.0499999999979</v>
      </c>
      <c r="BK392" s="343">
        <f>SUMIFS($AU$134:AU393,$P$134:P393,"W")</f>
        <v>1769.1899999999523</v>
      </c>
      <c r="BL392" s="343">
        <f>SUMIFS($AU$134:AU393,$P$134:P393,"R")</f>
        <v>-2243.0999999999935</v>
      </c>
      <c r="BM392" s="343">
        <f>SUMIFS($AU$134:AU393,$AQ$134:AQ393,"M")</f>
        <v>77.800000000004687</v>
      </c>
      <c r="BN392" s="343">
        <f>SUMIFS($AU$134:AU393,$AQ$134:AQ393,"H")</f>
        <v>471.700000000015</v>
      </c>
      <c r="BO392" s="343">
        <f>SUMIFS($AU$134:AU393,$AQ$134:AQ393,"D")</f>
        <v>-487.15000000000055</v>
      </c>
      <c r="BP392" s="343">
        <f>SUMIFS($AU$134:AU395,$AQ$134:AQ395,"W")</f>
        <v>-1270.7</v>
      </c>
      <c r="BQ392" s="343">
        <f>SUMIFS($AU$134:AU393,$Q$134:Q393,"O")</f>
        <v>-201.36000000004023</v>
      </c>
      <c r="BR392" s="343">
        <f>SUMIFS($AU$134:AU393,$AA$134:AA393,"*")</f>
        <v>2199.1499999999878</v>
      </c>
      <c r="BS392" s="343">
        <f>SUMIFS($AU$134:AU393,$AB$134:AB393,"*")</f>
        <v>111.23999999997596</v>
      </c>
      <c r="BT392" s="343">
        <f>SUMIFS($AU$134:AU393,$AC$134:AC393,"*")</f>
        <v>-2282.4500000000012</v>
      </c>
      <c r="BU392" s="343">
        <f>SUMIFS($AU$134:AU393,$AA$134:AA393,"*",$AB$134:AB393,"*")</f>
        <v>-188.19999999999513</v>
      </c>
      <c r="BV392" s="343">
        <f>SUMIFS($AU$134:AU393,$AA$134:AA393,"*",$AC$134:AC393,"*")</f>
        <v>666.64999999999907</v>
      </c>
      <c r="BW392" s="343">
        <f>SUMIFS($AU$134:AU393,$AB$134:AB393,"*",$AC$134:AC393,"*")</f>
        <v>78.599999999999653</v>
      </c>
      <c r="BX392" s="343">
        <f>SUMIFS($AU393:AU$1388,$Q393:Q$1388,"F")</f>
        <v>17455.466666666667</v>
      </c>
      <c r="BY392" s="343">
        <f>SUMIFS($AU393:AU$1388,$Q393:Q$1388,"S")</f>
        <v>18144.692000000003</v>
      </c>
      <c r="BZ392" s="343">
        <f>SUMIFS($AU393:AU$1388,$Q393:Q$1388,"O")</f>
        <v>-1447.4979999997583</v>
      </c>
    </row>
    <row r="393" spans="1:78" ht="15.75" customHeight="1">
      <c r="A393" s="221" t="s">
        <v>1720</v>
      </c>
      <c r="B393" s="200">
        <v>36605</v>
      </c>
      <c r="C393" s="201" t="s">
        <v>1866</v>
      </c>
      <c r="D393" s="201" t="s">
        <v>132</v>
      </c>
      <c r="E393" s="247"/>
      <c r="F393" s="203"/>
      <c r="G393" s="316" t="s">
        <v>271</v>
      </c>
      <c r="H393" s="205"/>
      <c r="I393" s="205"/>
      <c r="J393" s="205"/>
      <c r="K393" s="206"/>
      <c r="L393" s="205">
        <v>1</v>
      </c>
      <c r="M393" s="205"/>
      <c r="N393" s="205"/>
      <c r="O393" s="206" t="s">
        <v>95</v>
      </c>
      <c r="P393" s="206" t="s">
        <v>96</v>
      </c>
      <c r="Q393" s="206" t="s">
        <v>97</v>
      </c>
      <c r="R393" s="206">
        <v>1</v>
      </c>
      <c r="S393" s="206">
        <v>1</v>
      </c>
      <c r="T393" s="206">
        <v>1</v>
      </c>
      <c r="U393" s="206" t="s">
        <v>22</v>
      </c>
      <c r="V393" s="206"/>
      <c r="W393" s="206"/>
      <c r="X393" s="206"/>
      <c r="Y393" s="184">
        <f>IF(ISBLANK(O393),"",(IF(O393=UPPER("IB"),0.005,0.01)))</f>
        <v>0.01</v>
      </c>
      <c r="Z393" s="184">
        <f>IF(ISBLANK(O393),"",IF(O393="IB",8.63*200,IF(O393="IR",16.1*100,IF(O393="YT",20))))</f>
        <v>1610.0000000000002</v>
      </c>
      <c r="AA393" s="208" t="s">
        <v>1815</v>
      </c>
      <c r="AB393" s="208" t="s">
        <v>1816</v>
      </c>
      <c r="AC393" s="208" t="s">
        <v>529</v>
      </c>
      <c r="AD393" s="650">
        <v>-0.01</v>
      </c>
      <c r="AE393" s="205"/>
      <c r="AF393" s="333"/>
      <c r="AG393" s="205"/>
      <c r="AH393" s="205"/>
      <c r="AI393" s="205"/>
      <c r="AJ393" s="641"/>
      <c r="AK393" s="205"/>
      <c r="AL393" s="496"/>
      <c r="AM393" s="496"/>
      <c r="AN393" s="627"/>
      <c r="AO393" s="205"/>
      <c r="AP393" s="205" t="s">
        <v>1752</v>
      </c>
      <c r="AQ393" s="333" t="str">
        <f>UPPER(RIGHT(Journal_Live[[#This Row],[DURATION ]]))</f>
        <v>M</v>
      </c>
      <c r="AR393" s="205" t="s">
        <v>1867</v>
      </c>
      <c r="AS393" s="211">
        <v>0</v>
      </c>
      <c r="AT393" s="189">
        <f>IF(ISBLANK(AS393),,IF(U393="S",AD393-AS393,AS393-AD393))</f>
        <v>0.01</v>
      </c>
      <c r="AU393" s="187">
        <f>AV393*R393</f>
        <v>16.100000000000001</v>
      </c>
      <c r="AV393" s="190">
        <f>IF(ISBLANK(AS393),,(AT393*Z393))</f>
        <v>16.100000000000001</v>
      </c>
      <c r="AW393" s="213" t="s">
        <v>96</v>
      </c>
      <c r="AX393" s="413"/>
      <c r="AY393" s="413"/>
      <c r="AZ393" s="413"/>
      <c r="BA393" s="413" t="s">
        <v>1436</v>
      </c>
      <c r="BB393" s="413"/>
      <c r="BC393" s="413"/>
      <c r="BD393" s="413"/>
      <c r="BE393" s="413"/>
      <c r="BF393" s="427"/>
      <c r="BG393" s="391">
        <f>SUM($AV$4:AV393)</f>
        <v>2538.9350000000163</v>
      </c>
      <c r="BH393" s="392">
        <f>SUM($AU$134:AU393)</f>
        <v>-473.91000000004038</v>
      </c>
      <c r="BI393" s="318">
        <f>SUMIFS($AU$134:AU394,$Q$134:Q394,"F")</f>
        <v>-3014.8</v>
      </c>
      <c r="BJ393" s="318">
        <f>SUMIFS($AU$134:AU394,$Q$134:Q394,"S")</f>
        <v>2543.0499999999979</v>
      </c>
      <c r="BK393" s="343">
        <f>SUMIFS($AU$134:AU394,$P$134:P394,"W")</f>
        <v>1769.1899999999523</v>
      </c>
      <c r="BL393" s="343">
        <f>SUMIFS($AU$134:AU394,$P$134:P394,"R")</f>
        <v>-2243.0999999999935</v>
      </c>
      <c r="BM393" s="343">
        <f>SUMIFS($AU$134:AU394,$AQ$134:AQ394,"M")</f>
        <v>77.800000000004687</v>
      </c>
      <c r="BN393" s="343">
        <f>SUMIFS($AU$134:AU394,$AQ$134:AQ394,"H")</f>
        <v>471.700000000015</v>
      </c>
      <c r="BO393" s="343">
        <f>SUMIFS($AU$134:AU394,$AQ$134:AQ394,"D")</f>
        <v>-487.15000000000055</v>
      </c>
      <c r="BP393" s="343">
        <f>SUMIFS($AU$134:AU396,$AQ$134:AQ396,"W")</f>
        <v>-1270.7</v>
      </c>
      <c r="BQ393" s="343">
        <f>SUMIFS($AU$134:AU394,$Q$134:Q394,"O")</f>
        <v>-201.36000000004023</v>
      </c>
      <c r="BR393" s="343">
        <f>SUMIFS($AU$134:AU394,$AA$134:AA394,"*")</f>
        <v>2199.1499999999878</v>
      </c>
      <c r="BS393" s="343">
        <f>SUMIFS($AU$134:AU394,$AB$134:AB394,"*")</f>
        <v>111.23999999997596</v>
      </c>
      <c r="BT393" s="343">
        <f>SUMIFS($AU$134:AU394,$AC$134:AC394,"*")</f>
        <v>-2282.4500000000012</v>
      </c>
      <c r="BU393" s="343">
        <f>SUMIFS($AU$134:AU394,$AA$134:AA394,"*",$AB$134:AB394,"*")</f>
        <v>-188.19999999999513</v>
      </c>
      <c r="BV393" s="343">
        <f>SUMIFS($AU$134:AU394,$AA$134:AA394,"*",$AC$134:AC394,"*")</f>
        <v>666.64999999999907</v>
      </c>
      <c r="BW393" s="343">
        <f>SUMIFS($AU$134:AU394,$AB$134:AB394,"*",$AC$134:AC394,"*")</f>
        <v>78.599999999999653</v>
      </c>
      <c r="BX393" s="343">
        <f>SUMIFS($AU394:AU$1388,$Q394:Q$1388,"F")</f>
        <v>17455.466666666667</v>
      </c>
      <c r="BY393" s="343">
        <f>SUMIFS($AU394:AU$1388,$Q394:Q$1388,"S")</f>
        <v>18128.592000000001</v>
      </c>
      <c r="BZ393" s="343">
        <f>SUMIFS($AU394:AU$1388,$Q394:Q$1388,"O")</f>
        <v>-1447.4979999997583</v>
      </c>
    </row>
    <row r="394" spans="1:78" ht="15.75" customHeight="1">
      <c r="A394" s="221" t="s">
        <v>1720</v>
      </c>
      <c r="B394" s="200">
        <v>45007</v>
      </c>
      <c r="C394" s="201" t="s">
        <v>1868</v>
      </c>
      <c r="D394" s="201" t="s">
        <v>151</v>
      </c>
      <c r="E394" s="247"/>
      <c r="F394" s="203"/>
      <c r="G394" s="314" t="s">
        <v>831</v>
      </c>
      <c r="H394" s="205"/>
      <c r="I394" s="205"/>
      <c r="J394" s="205"/>
      <c r="K394" s="206"/>
      <c r="L394" s="205">
        <v>1</v>
      </c>
      <c r="M394" s="205"/>
      <c r="N394" s="205"/>
      <c r="O394" s="206" t="s">
        <v>95</v>
      </c>
      <c r="P394" s="206" t="s">
        <v>96</v>
      </c>
      <c r="Q394" s="206" t="s">
        <v>684</v>
      </c>
      <c r="R394" s="206">
        <v>1</v>
      </c>
      <c r="S394" s="206">
        <v>1</v>
      </c>
      <c r="T394" s="206">
        <v>1</v>
      </c>
      <c r="U394" s="206" t="s">
        <v>22</v>
      </c>
      <c r="V394" s="206"/>
      <c r="W394" s="206"/>
      <c r="X394" s="206"/>
      <c r="Y394" s="184">
        <f>IF(ISBLANK(O394),"",(IF(O394=UPPER("IB"),0.005,0.01)))</f>
        <v>0.01</v>
      </c>
      <c r="Z394" s="184">
        <f>IF(ISBLANK(O394),"",IF(O394="IB",8.63*200,IF(O394="IR",16.1*100,IF(O394="YT",20))))</f>
        <v>1610.0000000000002</v>
      </c>
      <c r="AA394" s="208" t="s">
        <v>1869</v>
      </c>
      <c r="AB394" s="208" t="s">
        <v>529</v>
      </c>
      <c r="AC394" s="208"/>
      <c r="AD394" s="650">
        <v>96.53</v>
      </c>
      <c r="AE394" s="205"/>
      <c r="AF394" s="333">
        <v>96.51</v>
      </c>
      <c r="AG394" s="205" t="s">
        <v>1870</v>
      </c>
      <c r="AH394" s="205" t="s">
        <v>1871</v>
      </c>
      <c r="AI394" s="205" t="s">
        <v>1872</v>
      </c>
      <c r="AJ394" s="641" t="s">
        <v>529</v>
      </c>
      <c r="AK394" s="205"/>
      <c r="AL394" s="496"/>
      <c r="AM394" s="496"/>
      <c r="AN394" s="627"/>
      <c r="AO394" s="205"/>
      <c r="AP394" s="205" t="s">
        <v>797</v>
      </c>
      <c r="AQ394" s="333" t="str">
        <f>UPPER(RIGHT(Journal_Live[[#This Row],[DURATION ]]))</f>
        <v>S</v>
      </c>
      <c r="AR394" s="205" t="s">
        <v>1873</v>
      </c>
      <c r="AS394" s="211">
        <v>96.53</v>
      </c>
      <c r="AT394" s="189">
        <f>IF(ISBLANK(AS394),,IF(U394="S",AD394-AS394,AS394-AD394))</f>
        <v>0</v>
      </c>
      <c r="AU394" s="187">
        <f>AV394*R394</f>
        <v>0</v>
      </c>
      <c r="AV394" s="190">
        <f>IF(ISBLANK(AS394),,(AT394*Z394))</f>
        <v>0</v>
      </c>
      <c r="AW394" s="213" t="s">
        <v>115</v>
      </c>
      <c r="AX394" s="413" t="s">
        <v>1874</v>
      </c>
      <c r="AY394" s="413" t="s">
        <v>1875</v>
      </c>
      <c r="AZ394" s="413" t="s">
        <v>529</v>
      </c>
      <c r="BA394" s="413"/>
      <c r="BB394" s="413"/>
      <c r="BC394" s="413"/>
      <c r="BD394" s="413"/>
      <c r="BE394" s="413"/>
      <c r="BF394" s="427"/>
      <c r="BG394" s="391">
        <f>SUM($AV$4:AV394)</f>
        <v>2538.9350000000163</v>
      </c>
      <c r="BH394" s="392">
        <f>SUM($AU$134:AU394)</f>
        <v>-473.91000000004038</v>
      </c>
      <c r="BI394" s="318">
        <f>SUMIFS($AU$134:AU395,$Q$134:Q395,"F")</f>
        <v>-3014.8</v>
      </c>
      <c r="BJ394" s="318">
        <f>SUMIFS($AU$134:AU395,$Q$134:Q395,"S")</f>
        <v>2543.0499999999979</v>
      </c>
      <c r="BK394" s="343">
        <f>SUMIFS($AU$134:AU395,$P$134:P395,"W")</f>
        <v>1769.1899999999523</v>
      </c>
      <c r="BL394" s="343">
        <f>SUMIFS($AU$134:AU395,$P$134:P395,"R")</f>
        <v>-2243.0999999999935</v>
      </c>
      <c r="BM394" s="343">
        <f>SUMIFS($AU$134:AU395,$AQ$134:AQ395,"M")</f>
        <v>77.800000000004687</v>
      </c>
      <c r="BN394" s="343">
        <f>SUMIFS($AU$134:AU395,$AQ$134:AQ395,"H")</f>
        <v>471.700000000015</v>
      </c>
      <c r="BO394" s="343">
        <f>SUMIFS($AU$134:AU395,$AQ$134:AQ395,"D")</f>
        <v>-487.15000000000055</v>
      </c>
      <c r="BP394" s="343">
        <f>SUMIFS($AU$134:AU397,$AQ$134:AQ397,"W")</f>
        <v>-1270.7</v>
      </c>
      <c r="BQ394" s="343">
        <f>SUMIFS($AU$134:AU395,$Q$134:Q395,"O")</f>
        <v>-201.36000000004023</v>
      </c>
      <c r="BR394" s="343">
        <f>SUMIFS($AU$134:AU395,$AA$134:AA395,"*")</f>
        <v>2199.1499999999878</v>
      </c>
      <c r="BS394" s="343">
        <f>SUMIFS($AU$134:AU395,$AB$134:AB395,"*")</f>
        <v>111.23999999997596</v>
      </c>
      <c r="BT394" s="343">
        <f>SUMIFS($AU$134:AU395,$AC$134:AC395,"*")</f>
        <v>-2282.4500000000012</v>
      </c>
      <c r="BU394" s="343">
        <f>SUMIFS($AU$134:AU395,$AA$134:AA395,"*",$AB$134:AB395,"*")</f>
        <v>-188.19999999999513</v>
      </c>
      <c r="BV394" s="343">
        <f>SUMIFS($AU$134:AU395,$AA$134:AA395,"*",$AC$134:AC395,"*")</f>
        <v>666.64999999999907</v>
      </c>
      <c r="BW394" s="343">
        <f>SUMIFS($AU$134:AU395,$AB$134:AB395,"*",$AC$134:AC395,"*")</f>
        <v>78.599999999999653</v>
      </c>
      <c r="BX394" s="343">
        <f>SUMIFS($AU395:AU$1388,$Q395:Q$1388,"F")</f>
        <v>17455.466666666667</v>
      </c>
      <c r="BY394" s="343">
        <f>SUMIFS($AU395:AU$1388,$Q395:Q$1388,"S")</f>
        <v>18128.592000000001</v>
      </c>
      <c r="BZ394" s="343">
        <f>SUMIFS($AU395:AU$1388,$Q395:Q$1388,"O")</f>
        <v>-1447.4979999997583</v>
      </c>
    </row>
    <row r="395" spans="1:78" ht="15.75" customHeight="1">
      <c r="A395" s="221" t="s">
        <v>1720</v>
      </c>
      <c r="B395" s="200"/>
      <c r="C395" s="201"/>
      <c r="D395" s="201"/>
      <c r="E395" s="247"/>
      <c r="F395" s="203"/>
      <c r="G395" s="204"/>
      <c r="H395" s="205"/>
      <c r="I395" s="205"/>
      <c r="J395" s="205"/>
      <c r="K395" s="206"/>
      <c r="L395" s="205"/>
      <c r="M395" s="205"/>
      <c r="N395" s="205"/>
      <c r="O395" s="206"/>
      <c r="P395" s="206"/>
      <c r="Q395" s="206"/>
      <c r="R395" s="206"/>
      <c r="S395" s="206"/>
      <c r="T395" s="206"/>
      <c r="U395" s="206"/>
      <c r="V395" s="206"/>
      <c r="W395" s="206"/>
      <c r="X395" s="206"/>
      <c r="Y395" s="184"/>
      <c r="Z395" s="184"/>
      <c r="AA395" s="208"/>
      <c r="AB395" s="208"/>
      <c r="AC395" s="208"/>
      <c r="AD395" s="650"/>
      <c r="AE395" s="205"/>
      <c r="AF395" s="333"/>
      <c r="AG395" s="205"/>
      <c r="AH395" s="205"/>
      <c r="AI395" s="205"/>
      <c r="AJ395" s="641"/>
      <c r="AK395" s="205"/>
      <c r="AL395" s="496"/>
      <c r="AM395" s="496"/>
      <c r="AN395" s="627"/>
      <c r="AO395" s="205"/>
      <c r="AP395" s="205"/>
      <c r="AQ395" s="333" t="str">
        <f>UPPER(RIGHT(Journal_Live[[#This Row],[DURATION ]]))</f>
        <v/>
      </c>
      <c r="AR395" s="205"/>
      <c r="AS395" s="211"/>
      <c r="AT395" s="189"/>
      <c r="AU395" s="187"/>
      <c r="AV395" s="190"/>
      <c r="AW395" s="213"/>
      <c r="AX395" s="413" t="s">
        <v>1876</v>
      </c>
      <c r="AY395" s="413" t="s">
        <v>1877</v>
      </c>
      <c r="AZ395" s="413" t="s">
        <v>1878</v>
      </c>
      <c r="BA395" s="413" t="s">
        <v>1879</v>
      </c>
      <c r="BB395" s="413" t="s">
        <v>529</v>
      </c>
      <c r="BC395" s="413"/>
      <c r="BD395" s="413"/>
      <c r="BE395" s="413"/>
      <c r="BF395" s="427"/>
      <c r="BG395" s="391">
        <f>SUM($AV$4:AV395)</f>
        <v>2538.9350000000163</v>
      </c>
      <c r="BH395" s="392">
        <f>SUM($AU$134:AU395)</f>
        <v>-473.91000000004038</v>
      </c>
      <c r="BI395" s="318">
        <f>SUMIFS($AU$134:AU396,$Q$134:Q396,"F")</f>
        <v>-3014.8</v>
      </c>
      <c r="BJ395" s="318">
        <f>SUMIFS($AU$134:AU396,$Q$134:Q396,"S")</f>
        <v>2543.0499999999979</v>
      </c>
      <c r="BK395" s="343">
        <f>SUMIFS($AU$134:AU396,$P$134:P396,"W")</f>
        <v>1769.1899999999523</v>
      </c>
      <c r="BL395" s="343">
        <f>SUMIFS($AU$134:AU396,$P$134:P396,"R")</f>
        <v>-2243.0999999999935</v>
      </c>
      <c r="BM395" s="343">
        <f>SUMIFS($AU$134:AU396,$AQ$134:AQ396,"M")</f>
        <v>77.800000000004687</v>
      </c>
      <c r="BN395" s="343">
        <f>SUMIFS($AU$134:AU396,$AQ$134:AQ396,"H")</f>
        <v>471.700000000015</v>
      </c>
      <c r="BO395" s="343">
        <f>SUMIFS($AU$134:AU396,$AQ$134:AQ396,"D")</f>
        <v>-487.15000000000055</v>
      </c>
      <c r="BP395" s="343">
        <f>SUMIFS($AU$134:AU398,$AQ$134:AQ398,"W")</f>
        <v>-1270.7</v>
      </c>
      <c r="BQ395" s="343">
        <f>SUMIFS($AU$134:AU396,$Q$134:Q396,"O")</f>
        <v>-201.36000000004023</v>
      </c>
      <c r="BR395" s="343">
        <f>SUMIFS($AU$134:AU396,$AA$134:AA396,"*")</f>
        <v>2199.1499999999878</v>
      </c>
      <c r="BS395" s="343">
        <f>SUMIFS($AU$134:AU396,$AB$134:AB396,"*")</f>
        <v>111.23999999997596</v>
      </c>
      <c r="BT395" s="343">
        <f>SUMIFS($AU$134:AU396,$AC$134:AC396,"*")</f>
        <v>-2282.4500000000012</v>
      </c>
      <c r="BU395" s="343">
        <f>SUMIFS($AU$134:AU396,$AA$134:AA396,"*",$AB$134:AB396,"*")</f>
        <v>-188.19999999999513</v>
      </c>
      <c r="BV395" s="343">
        <f>SUMIFS($AU$134:AU396,$AA$134:AA396,"*",$AC$134:AC396,"*")</f>
        <v>666.64999999999907</v>
      </c>
      <c r="BW395" s="343">
        <f>SUMIFS($AU$134:AU396,$AB$134:AB396,"*",$AC$134:AC396,"*")</f>
        <v>78.599999999999653</v>
      </c>
      <c r="BX395" s="343">
        <f>SUMIFS($AU396:AU$1388,$Q396:Q$1388,"F")</f>
        <v>17455.466666666667</v>
      </c>
      <c r="BY395" s="343">
        <f>SUMIFS($AU396:AU$1388,$Q396:Q$1388,"S")</f>
        <v>18128.592000000001</v>
      </c>
      <c r="BZ395" s="343">
        <f>SUMIFS($AU396:AU$1388,$Q396:Q$1388,"O")</f>
        <v>-1447.4979999997583</v>
      </c>
    </row>
    <row r="396" spans="1:78" ht="15.75" customHeight="1">
      <c r="A396" s="221" t="s">
        <v>1720</v>
      </c>
      <c r="B396" s="200">
        <v>45007</v>
      </c>
      <c r="C396" s="201" t="s">
        <v>1880</v>
      </c>
      <c r="D396" s="201" t="s">
        <v>151</v>
      </c>
      <c r="E396" s="247"/>
      <c r="F396" s="203"/>
      <c r="G396" s="204" t="s">
        <v>280</v>
      </c>
      <c r="H396" s="205"/>
      <c r="I396" s="205"/>
      <c r="J396" s="205"/>
      <c r="K396" s="206"/>
      <c r="L396" s="205">
        <v>1</v>
      </c>
      <c r="M396" s="205"/>
      <c r="N396" s="205"/>
      <c r="O396" s="206" t="s">
        <v>95</v>
      </c>
      <c r="P396" s="206" t="s">
        <v>137</v>
      </c>
      <c r="Q396" s="206" t="s">
        <v>97</v>
      </c>
      <c r="R396" s="206">
        <v>2</v>
      </c>
      <c r="S396" s="206">
        <v>2</v>
      </c>
      <c r="T396" s="206">
        <v>2</v>
      </c>
      <c r="U396" s="206" t="s">
        <v>22</v>
      </c>
      <c r="V396" s="206"/>
      <c r="W396" s="206"/>
      <c r="X396" s="206"/>
      <c r="Y396" s="184">
        <f t="shared" ref="Y396:Y435" si="157">IF(ISBLANK(O396),"",(IF(O396=UPPER("IB"),0.005,0.01)))</f>
        <v>0.01</v>
      </c>
      <c r="Z396" s="184">
        <f>IF(ISBLANK(O396),"",IF(O396="IB",8.63*200,IF(O396="IR",16.1*100,IF(O396="YT",20))))</f>
        <v>1610.0000000000002</v>
      </c>
      <c r="AA396" s="208"/>
      <c r="AB396" s="208" t="s">
        <v>1881</v>
      </c>
      <c r="AC396" s="208"/>
      <c r="AD396" s="650">
        <v>-0.04</v>
      </c>
      <c r="AE396" s="205"/>
      <c r="AF396" s="333"/>
      <c r="AG396" s="205"/>
      <c r="AH396" s="205"/>
      <c r="AI396" s="205"/>
      <c r="AJ396" s="641"/>
      <c r="AK396" s="205"/>
      <c r="AL396" s="496"/>
      <c r="AM396" s="496"/>
      <c r="AN396" s="627"/>
      <c r="AO396" s="205"/>
      <c r="AP396" s="205" t="s">
        <v>770</v>
      </c>
      <c r="AQ396" s="333" t="str">
        <f>UPPER(RIGHT(Journal_Live[[#This Row],[DURATION ]]))</f>
        <v>D</v>
      </c>
      <c r="AR396" s="205" t="s">
        <v>1882</v>
      </c>
      <c r="AS396" s="211">
        <v>-0.04</v>
      </c>
      <c r="AT396" s="189">
        <f>IF(ISBLANK(AS396),,IF(U396="S",AD396-AS396,AS396-AD396))</f>
        <v>0</v>
      </c>
      <c r="AU396" s="187">
        <f>AV396*R396</f>
        <v>0</v>
      </c>
      <c r="AV396" s="190">
        <f>IF(ISBLANK(AS396),,(AT396*Z396))</f>
        <v>0</v>
      </c>
      <c r="AW396" s="213" t="s">
        <v>115</v>
      </c>
      <c r="AX396" s="413" t="s">
        <v>1883</v>
      </c>
      <c r="AY396" s="413" t="s">
        <v>1884</v>
      </c>
      <c r="AZ396" s="413"/>
      <c r="BA396" s="413"/>
      <c r="BB396" s="413"/>
      <c r="BC396" s="413"/>
      <c r="BD396" s="413"/>
      <c r="BE396" s="413"/>
      <c r="BF396" s="427"/>
      <c r="BG396" s="391">
        <f>SUM($AV$4:AV396)</f>
        <v>2538.9350000000163</v>
      </c>
      <c r="BH396" s="392">
        <f>SUM($AU$134:AU396)</f>
        <v>-473.91000000004038</v>
      </c>
      <c r="BI396" s="318">
        <f>SUMIFS($AU$134:AU397,$Q$134:Q397,"F")</f>
        <v>-3014.8</v>
      </c>
      <c r="BJ396" s="318">
        <f>SUMIFS($AU$134:AU397,$Q$134:Q397,"S")</f>
        <v>2543.0499999999979</v>
      </c>
      <c r="BK396" s="343">
        <f>SUMIFS($AU$134:AU397,$P$134:P397,"W")</f>
        <v>1769.1899999999523</v>
      </c>
      <c r="BL396" s="343">
        <f>SUMIFS($AU$134:AU397,$P$134:P397,"R")</f>
        <v>-2243.0999999999935</v>
      </c>
      <c r="BM396" s="343">
        <f>SUMIFS($AU$134:AU397,$AQ$134:AQ397,"M")</f>
        <v>77.800000000004687</v>
      </c>
      <c r="BN396" s="343">
        <f>SUMIFS($AU$134:AU397,$AQ$134:AQ397,"H")</f>
        <v>471.700000000015</v>
      </c>
      <c r="BO396" s="343">
        <f>SUMIFS($AU$134:AU397,$AQ$134:AQ397,"D")</f>
        <v>-487.15000000000055</v>
      </c>
      <c r="BP396" s="343">
        <f>SUMIFS($AU$134:AU399,$AQ$134:AQ399,"W")</f>
        <v>-1270.7</v>
      </c>
      <c r="BQ396" s="343">
        <f>SUMIFS($AU$134:AU397,$Q$134:Q397,"O")</f>
        <v>-201.36000000004023</v>
      </c>
      <c r="BR396" s="343">
        <f>SUMIFS($AU$134:AU397,$AA$134:AA397,"*")</f>
        <v>2199.1499999999878</v>
      </c>
      <c r="BS396" s="343">
        <f>SUMIFS($AU$134:AU397,$AB$134:AB397,"*")</f>
        <v>111.23999999997596</v>
      </c>
      <c r="BT396" s="343">
        <f>SUMIFS($AU$134:AU397,$AC$134:AC397,"*")</f>
        <v>-2282.4500000000012</v>
      </c>
      <c r="BU396" s="343">
        <f>SUMIFS($AU$134:AU397,$AA$134:AA397,"*",$AB$134:AB397,"*")</f>
        <v>-188.19999999999513</v>
      </c>
      <c r="BV396" s="343">
        <f>SUMIFS($AU$134:AU397,$AA$134:AA397,"*",$AC$134:AC397,"*")</f>
        <v>666.64999999999907</v>
      </c>
      <c r="BW396" s="343">
        <f>SUMIFS($AU$134:AU397,$AB$134:AB397,"*",$AC$134:AC397,"*")</f>
        <v>78.599999999999653</v>
      </c>
      <c r="BX396" s="343">
        <f>SUMIFS($AU397:AU$1388,$Q397:Q$1388,"F")</f>
        <v>17455.466666666667</v>
      </c>
      <c r="BY396" s="343">
        <f>SUMIFS($AU397:AU$1388,$Q397:Q$1388,"S")</f>
        <v>18128.592000000001</v>
      </c>
      <c r="BZ396" s="343">
        <f>SUMIFS($AU397:AU$1388,$Q397:Q$1388,"O")</f>
        <v>-1447.4979999997583</v>
      </c>
    </row>
    <row r="397" spans="1:78" ht="15.75" customHeight="1">
      <c r="A397" s="221" t="s">
        <v>1720</v>
      </c>
      <c r="B397" s="200">
        <v>45007</v>
      </c>
      <c r="C397" s="201" t="s">
        <v>1481</v>
      </c>
      <c r="D397" s="201" t="s">
        <v>151</v>
      </c>
      <c r="E397" s="247" t="s">
        <v>1885</v>
      </c>
      <c r="F397" s="203"/>
      <c r="G397" s="204"/>
      <c r="H397" s="205"/>
      <c r="I397" s="205">
        <v>1</v>
      </c>
      <c r="J397" s="205"/>
      <c r="K397" s="206"/>
      <c r="L397" s="205"/>
      <c r="M397" s="205"/>
      <c r="N397" s="205"/>
      <c r="O397" s="206"/>
      <c r="P397" s="206"/>
      <c r="Q397" s="206"/>
      <c r="R397" s="206"/>
      <c r="S397" s="206"/>
      <c r="T397" s="206"/>
      <c r="U397" s="206"/>
      <c r="V397" s="206"/>
      <c r="W397" s="206"/>
      <c r="X397" s="206"/>
      <c r="Y397" s="184" t="str">
        <f t="shared" si="157"/>
        <v/>
      </c>
      <c r="Z397" s="184" t="str">
        <f>IF(ISBLANK(O397),"",IF(O397="IB",8.63*200,IF(O397="IR",16.1*100,IF(O397="YT",20))))</f>
        <v/>
      </c>
      <c r="AA397" s="208"/>
      <c r="AB397" s="208"/>
      <c r="AC397" s="208"/>
      <c r="AD397" s="650"/>
      <c r="AE397" s="205"/>
      <c r="AF397" s="333"/>
      <c r="AG397" s="205"/>
      <c r="AH397" s="205"/>
      <c r="AI397" s="205"/>
      <c r="AJ397" s="641"/>
      <c r="AK397" s="205"/>
      <c r="AL397" s="496"/>
      <c r="AM397" s="496"/>
      <c r="AN397" s="627"/>
      <c r="AO397" s="205"/>
      <c r="AP397" s="205"/>
      <c r="AQ397" s="333" t="str">
        <f>UPPER(RIGHT(Journal_Live[[#This Row],[DURATION ]]))</f>
        <v/>
      </c>
      <c r="AR397" s="205"/>
      <c r="AS397" s="211"/>
      <c r="AT397" s="189"/>
      <c r="AU397" s="187"/>
      <c r="AV397" s="190"/>
      <c r="AW397" s="213"/>
      <c r="AX397" s="413" t="s">
        <v>1886</v>
      </c>
      <c r="AY397" s="413" t="s">
        <v>1887</v>
      </c>
      <c r="AZ397" s="413" t="s">
        <v>1888</v>
      </c>
      <c r="BA397" s="413" t="s">
        <v>1889</v>
      </c>
      <c r="BB397" s="413" t="s">
        <v>1890</v>
      </c>
      <c r="BC397" s="413" t="s">
        <v>1891</v>
      </c>
      <c r="BD397" s="413" t="s">
        <v>1892</v>
      </c>
      <c r="BE397" s="413" t="s">
        <v>1893</v>
      </c>
      <c r="BF397" s="427" t="s">
        <v>1894</v>
      </c>
      <c r="BG397" s="391">
        <f>SUM($AV$4:AV397)</f>
        <v>2538.9350000000163</v>
      </c>
      <c r="BH397" s="392">
        <f>SUM($AU$134:AU397)</f>
        <v>-473.91000000004038</v>
      </c>
      <c r="BI397" s="318">
        <f>SUMIFS($AU$134:AU398,$Q$134:Q398,"F")</f>
        <v>-3014.8</v>
      </c>
      <c r="BJ397" s="318">
        <f>SUMIFS($AU$134:AU398,$Q$134:Q398,"S")</f>
        <v>2559.0499999999979</v>
      </c>
      <c r="BK397" s="343">
        <f>SUMIFS($AU$134:AU398,$P$134:P398,"W")</f>
        <v>1785.1899999999523</v>
      </c>
      <c r="BL397" s="343">
        <f>SUMIFS($AU$134:AU398,$P$134:P398,"R")</f>
        <v>-2243.0999999999935</v>
      </c>
      <c r="BM397" s="343">
        <f>SUMIFS($AU$134:AU398,$AQ$134:AQ398,"M")</f>
        <v>77.800000000004687</v>
      </c>
      <c r="BN397" s="343">
        <f>SUMIFS($AU$134:AU398,$AQ$134:AQ398,"H")</f>
        <v>471.700000000015</v>
      </c>
      <c r="BO397" s="343">
        <f>SUMIFS($AU$134:AU398,$AQ$134:AQ398,"D")</f>
        <v>-487.15000000000055</v>
      </c>
      <c r="BP397" s="343">
        <f>SUMIFS($AU$134:AU400,$AQ$134:AQ400,"W")</f>
        <v>-1270.7</v>
      </c>
      <c r="BQ397" s="343">
        <f>SUMIFS($AU$134:AU398,$Q$134:Q398,"O")</f>
        <v>-201.36000000004023</v>
      </c>
      <c r="BR397" s="343">
        <f>SUMIFS($AU$134:AU398,$AA$134:AA398,"*")</f>
        <v>2215.1499999999878</v>
      </c>
      <c r="BS397" s="343">
        <f>SUMIFS($AU$134:AU398,$AB$134:AB398,"*")</f>
        <v>111.23999999997596</v>
      </c>
      <c r="BT397" s="343">
        <f>SUMIFS($AU$134:AU398,$AC$134:AC398,"*")</f>
        <v>-2282.4500000000012</v>
      </c>
      <c r="BU397" s="343">
        <f>SUMIFS($AU$134:AU398,$AA$134:AA398,"*",$AB$134:AB398,"*")</f>
        <v>-188.19999999999513</v>
      </c>
      <c r="BV397" s="343">
        <f>SUMIFS($AU$134:AU398,$AA$134:AA398,"*",$AC$134:AC398,"*")</f>
        <v>666.64999999999907</v>
      </c>
      <c r="BW397" s="343">
        <f>SUMIFS($AU$134:AU398,$AB$134:AB398,"*",$AC$134:AC398,"*")</f>
        <v>78.599999999999653</v>
      </c>
      <c r="BX397" s="343">
        <f>SUMIFS($AU398:AU$1388,$Q398:Q$1388,"F")</f>
        <v>17455.466666666667</v>
      </c>
      <c r="BY397" s="343">
        <f>SUMIFS($AU398:AU$1388,$Q398:Q$1388,"S")</f>
        <v>18128.592000000001</v>
      </c>
      <c r="BZ397" s="343">
        <f>SUMIFS($AU398:AU$1388,$Q398:Q$1388,"O")</f>
        <v>-1447.4979999997583</v>
      </c>
    </row>
    <row r="398" spans="1:78" ht="15.75" customHeight="1">
      <c r="A398" s="221" t="s">
        <v>1720</v>
      </c>
      <c r="B398" s="200">
        <v>45008</v>
      </c>
      <c r="C398" s="201" t="s">
        <v>1250</v>
      </c>
      <c r="D398" s="201" t="s">
        <v>93</v>
      </c>
      <c r="E398" s="247"/>
      <c r="F398" s="203"/>
      <c r="G398" s="204" t="s">
        <v>757</v>
      </c>
      <c r="H398" s="205"/>
      <c r="I398" s="205"/>
      <c r="J398" s="205"/>
      <c r="K398" s="206"/>
      <c r="L398" s="205">
        <v>1</v>
      </c>
      <c r="M398" s="205"/>
      <c r="N398" s="205"/>
      <c r="O398" s="206" t="s">
        <v>95</v>
      </c>
      <c r="P398" s="206" t="s">
        <v>96</v>
      </c>
      <c r="Q398" s="206" t="s">
        <v>97</v>
      </c>
      <c r="R398" s="206">
        <v>1</v>
      </c>
      <c r="S398" s="206">
        <v>1</v>
      </c>
      <c r="T398" s="206">
        <v>1</v>
      </c>
      <c r="U398" s="206" t="s">
        <v>22</v>
      </c>
      <c r="V398" s="206"/>
      <c r="W398" s="206"/>
      <c r="X398" s="206"/>
      <c r="Y398" s="184">
        <f t="shared" si="157"/>
        <v>0.01</v>
      </c>
      <c r="Z398" s="184">
        <f t="shared" ref="Z398:Z435" si="158">IF(ISBLANK(O398),"",IF(O398="IB",8.63*200,IF(O398="IR",16*100,IF(O398="YT",20))))</f>
        <v>1600</v>
      </c>
      <c r="AA398" s="208" t="s">
        <v>99</v>
      </c>
      <c r="AB398" s="208"/>
      <c r="AC398" s="208"/>
      <c r="AD398" s="650">
        <v>-0.1</v>
      </c>
      <c r="AE398" s="205"/>
      <c r="AF398" s="333"/>
      <c r="AG398" s="205"/>
      <c r="AH398" s="205"/>
      <c r="AI398" s="205"/>
      <c r="AJ398" s="641"/>
      <c r="AK398" s="205"/>
      <c r="AL398" s="496"/>
      <c r="AM398" s="496"/>
      <c r="AN398" s="627"/>
      <c r="AO398" s="205"/>
      <c r="AP398" s="205" t="s">
        <v>1895</v>
      </c>
      <c r="AQ398" s="333" t="str">
        <f>UPPER(RIGHT(Journal_Live[[#This Row],[DURATION ]]))</f>
        <v>S</v>
      </c>
      <c r="AR398" s="205" t="s">
        <v>1896</v>
      </c>
      <c r="AS398" s="211">
        <v>-0.09</v>
      </c>
      <c r="AT398" s="189">
        <f>IF(ISBLANK(AS398),,IF(U398="S",AD398-AS398,AS398-AD398))</f>
        <v>1.0000000000000009E-2</v>
      </c>
      <c r="AU398" s="187">
        <f>AV398*R398</f>
        <v>16.000000000000014</v>
      </c>
      <c r="AV398" s="190">
        <f>IF(ISBLANK(AS398),,(AT398*Z398))</f>
        <v>16.000000000000014</v>
      </c>
      <c r="AW398" s="213" t="s">
        <v>96</v>
      </c>
      <c r="AX398" s="413"/>
      <c r="AY398" s="413"/>
      <c r="AZ398" s="413"/>
      <c r="BA398" s="413"/>
      <c r="BB398" s="413"/>
      <c r="BC398" s="413"/>
      <c r="BD398" s="413"/>
      <c r="BE398" s="413"/>
      <c r="BF398" s="427"/>
      <c r="BG398" s="391">
        <f>SUM($AV$4:AV398)</f>
        <v>2554.9350000000163</v>
      </c>
      <c r="BH398" s="392">
        <f>SUM($AU$134:AU398)</f>
        <v>-457.91000000004038</v>
      </c>
      <c r="BI398" s="318">
        <f>SUMIFS($AU$134:AU399,$Q$134:Q399,"F")</f>
        <v>-3014.8</v>
      </c>
      <c r="BJ398" s="318">
        <f>SUMIFS($AU$134:AU399,$Q$134:Q399,"S")</f>
        <v>2575.0499999999979</v>
      </c>
      <c r="BK398" s="343">
        <f>SUMIFS($AU$134:AU399,$P$134:P399,"W")</f>
        <v>1801.1899999999523</v>
      </c>
      <c r="BL398" s="343">
        <f>SUMIFS($AU$134:AU399,$P$134:P399,"R")</f>
        <v>-2243.0999999999935</v>
      </c>
      <c r="BM398" s="343">
        <f>SUMIFS($AU$134:AU399,$AQ$134:AQ399,"M")</f>
        <v>77.800000000004687</v>
      </c>
      <c r="BN398" s="343">
        <f>SUMIFS($AU$134:AU399,$AQ$134:AQ399,"H")</f>
        <v>487.700000000015</v>
      </c>
      <c r="BO398" s="343">
        <f>SUMIFS($AU$134:AU399,$AQ$134:AQ399,"D")</f>
        <v>-487.15000000000055</v>
      </c>
      <c r="BP398" s="343">
        <f>SUMIFS($AU$134:AU401,$AQ$134:AQ401,"W")</f>
        <v>-1270.7</v>
      </c>
      <c r="BQ398" s="343">
        <f>SUMIFS($AU$134:AU399,$Q$134:Q399,"O")</f>
        <v>-201.36000000004023</v>
      </c>
      <c r="BR398" s="343">
        <f>SUMIFS($AU$134:AU399,$AA$134:AA399,"*")</f>
        <v>2231.1499999999878</v>
      </c>
      <c r="BS398" s="343">
        <f>SUMIFS($AU$134:AU399,$AB$134:AB399,"*")</f>
        <v>111.23999999997596</v>
      </c>
      <c r="BT398" s="343">
        <f>SUMIFS($AU$134:AU399,$AC$134:AC399,"*")</f>
        <v>-2282.4500000000012</v>
      </c>
      <c r="BU398" s="343">
        <f>SUMIFS($AU$134:AU399,$AA$134:AA399,"*",$AB$134:AB399,"*")</f>
        <v>-188.19999999999513</v>
      </c>
      <c r="BV398" s="343">
        <f>SUMIFS($AU$134:AU399,$AA$134:AA399,"*",$AC$134:AC399,"*")</f>
        <v>666.64999999999907</v>
      </c>
      <c r="BW398" s="343">
        <f>SUMIFS($AU$134:AU399,$AB$134:AB399,"*",$AC$134:AC399,"*")</f>
        <v>78.599999999999653</v>
      </c>
      <c r="BX398" s="343">
        <f>SUMIFS($AU399:AU$1388,$Q399:Q$1388,"F")</f>
        <v>17455.466666666667</v>
      </c>
      <c r="BY398" s="343">
        <f>SUMIFS($AU399:AU$1388,$Q399:Q$1388,"S")</f>
        <v>18112.592000000001</v>
      </c>
      <c r="BZ398" s="343">
        <f>SUMIFS($AU399:AU$1388,$Q399:Q$1388,"O")</f>
        <v>-1447.4979999997583</v>
      </c>
    </row>
    <row r="399" spans="1:78" ht="15.75" customHeight="1">
      <c r="A399" s="221" t="s">
        <v>1720</v>
      </c>
      <c r="B399" s="200">
        <v>45008</v>
      </c>
      <c r="C399" s="201" t="s">
        <v>1612</v>
      </c>
      <c r="D399" s="201" t="s">
        <v>93</v>
      </c>
      <c r="E399" s="247"/>
      <c r="F399" s="203"/>
      <c r="G399" s="204" t="s">
        <v>133</v>
      </c>
      <c r="H399" s="205"/>
      <c r="I399" s="205"/>
      <c r="J399" s="205"/>
      <c r="K399" s="206"/>
      <c r="L399" s="205">
        <v>1</v>
      </c>
      <c r="M399" s="205"/>
      <c r="N399" s="205"/>
      <c r="O399" s="206" t="s">
        <v>95</v>
      </c>
      <c r="P399" s="206" t="s">
        <v>96</v>
      </c>
      <c r="Q399" s="206" t="s">
        <v>97</v>
      </c>
      <c r="R399" s="206">
        <v>1</v>
      </c>
      <c r="S399" s="206">
        <v>1</v>
      </c>
      <c r="T399" s="206">
        <v>1</v>
      </c>
      <c r="U399" s="206" t="s">
        <v>22</v>
      </c>
      <c r="V399" s="206"/>
      <c r="W399" s="206"/>
      <c r="X399" s="206"/>
      <c r="Y399" s="184">
        <f t="shared" si="157"/>
        <v>0.01</v>
      </c>
      <c r="Z399" s="184">
        <f t="shared" si="158"/>
        <v>1600</v>
      </c>
      <c r="AA399" s="208" t="s">
        <v>99</v>
      </c>
      <c r="AB399" s="208"/>
      <c r="AC399" s="208"/>
      <c r="AD399" s="650">
        <v>-0.06</v>
      </c>
      <c r="AE399" s="205"/>
      <c r="AF399" s="333"/>
      <c r="AG399" s="205"/>
      <c r="AH399" s="205"/>
      <c r="AI399" s="205"/>
      <c r="AJ399" s="641"/>
      <c r="AK399" s="205"/>
      <c r="AL399" s="496"/>
      <c r="AM399" s="496"/>
      <c r="AN399" s="627"/>
      <c r="AO399" s="205"/>
      <c r="AP399" s="205" t="s">
        <v>1897</v>
      </c>
      <c r="AQ399" s="333" t="str">
        <f>UPPER(RIGHT(Journal_Live[[#This Row],[DURATION ]]))</f>
        <v>H</v>
      </c>
      <c r="AR399" s="205" t="s">
        <v>1224</v>
      </c>
      <c r="AS399" s="211">
        <v>-0.05</v>
      </c>
      <c r="AT399" s="189">
        <f>IF(ISBLANK(AS399),,IF(U399="S",AD399-AS399,AS399-AD399))</f>
        <v>9.999999999999995E-3</v>
      </c>
      <c r="AU399" s="187">
        <f>AV399*R399</f>
        <v>15.999999999999993</v>
      </c>
      <c r="AV399" s="190">
        <f>IF(ISBLANK(AS399),,(AT399*Z399))</f>
        <v>15.999999999999993</v>
      </c>
      <c r="AW399" s="213" t="s">
        <v>96</v>
      </c>
      <c r="AX399" s="413"/>
      <c r="AY399" s="413"/>
      <c r="AZ399" s="413"/>
      <c r="BA399" s="413"/>
      <c r="BB399" s="413"/>
      <c r="BC399" s="413"/>
      <c r="BD399" s="413"/>
      <c r="BE399" s="413"/>
      <c r="BF399" s="427"/>
      <c r="BG399" s="391">
        <f>SUM($AV$4:AV399)</f>
        <v>2570.9350000000163</v>
      </c>
      <c r="BH399" s="392">
        <f>SUM($AU$134:AU399)</f>
        <v>-441.91000000004038</v>
      </c>
      <c r="BI399" s="318">
        <f>SUMIFS($AU$134:AU400,$Q$134:Q400,"F")</f>
        <v>-3014.8</v>
      </c>
      <c r="BJ399" s="318">
        <f>SUMIFS($AU$134:AU400,$Q$134:Q400,"S")</f>
        <v>2575.0499999999979</v>
      </c>
      <c r="BK399" s="343">
        <f>SUMIFS($AU$134:AU400,$P$134:P400,"W")</f>
        <v>1801.1899999999523</v>
      </c>
      <c r="BL399" s="343">
        <f>SUMIFS($AU$134:AU400,$P$134:P400,"R")</f>
        <v>-2243.0999999999935</v>
      </c>
      <c r="BM399" s="343">
        <f>SUMIFS($AU$134:AU400,$AQ$134:AQ400,"M")</f>
        <v>77.800000000004687</v>
      </c>
      <c r="BN399" s="343">
        <f>SUMIFS($AU$134:AU400,$AQ$134:AQ400,"H")</f>
        <v>487.700000000015</v>
      </c>
      <c r="BO399" s="343">
        <f>SUMIFS($AU$134:AU400,$AQ$134:AQ400,"D")</f>
        <v>-487.15000000000055</v>
      </c>
      <c r="BP399" s="343">
        <f>SUMIFS($AU$134:AU402,$AQ$134:AQ402,"W")</f>
        <v>-1270.7</v>
      </c>
      <c r="BQ399" s="343">
        <f>SUMIFS($AU$134:AU400,$Q$134:Q400,"O")</f>
        <v>-201.36000000004023</v>
      </c>
      <c r="BR399" s="343">
        <f>SUMIFS($AU$134:AU400,$AA$134:AA400,"*")</f>
        <v>2231.1499999999878</v>
      </c>
      <c r="BS399" s="343">
        <f>SUMIFS($AU$134:AU400,$AB$134:AB400,"*")</f>
        <v>111.23999999997596</v>
      </c>
      <c r="BT399" s="343">
        <f>SUMIFS($AU$134:AU400,$AC$134:AC400,"*")</f>
        <v>-2282.4500000000012</v>
      </c>
      <c r="BU399" s="343">
        <f>SUMIFS($AU$134:AU400,$AA$134:AA400,"*",$AB$134:AB400,"*")</f>
        <v>-188.19999999999513</v>
      </c>
      <c r="BV399" s="343">
        <f>SUMIFS($AU$134:AU400,$AA$134:AA400,"*",$AC$134:AC400,"*")</f>
        <v>666.64999999999907</v>
      </c>
      <c r="BW399" s="343">
        <f>SUMIFS($AU$134:AU400,$AB$134:AB400,"*",$AC$134:AC400,"*")</f>
        <v>78.599999999999653</v>
      </c>
      <c r="BX399" s="343">
        <f>SUMIFS($AU400:AU$1388,$Q400:Q$1388,"F")</f>
        <v>17455.466666666667</v>
      </c>
      <c r="BY399" s="343">
        <f>SUMIFS($AU400:AU$1388,$Q400:Q$1388,"S")</f>
        <v>18096.592000000001</v>
      </c>
      <c r="BZ399" s="343">
        <f>SUMIFS($AU400:AU$1388,$Q400:Q$1388,"O")</f>
        <v>-1447.4979999997583</v>
      </c>
    </row>
    <row r="400" spans="1:78" ht="15.75" customHeight="1">
      <c r="A400" s="221" t="s">
        <v>1720</v>
      </c>
      <c r="B400" s="200"/>
      <c r="C400" s="201"/>
      <c r="D400" s="201"/>
      <c r="E400" s="247"/>
      <c r="F400" s="203"/>
      <c r="G400" s="204"/>
      <c r="H400" s="205"/>
      <c r="I400" s="205"/>
      <c r="J400" s="205"/>
      <c r="K400" s="206"/>
      <c r="L400" s="205"/>
      <c r="M400" s="205"/>
      <c r="N400" s="205"/>
      <c r="O400" s="206"/>
      <c r="P400" s="206"/>
      <c r="Q400" s="206"/>
      <c r="R400" s="206"/>
      <c r="S400" s="206"/>
      <c r="T400" s="206"/>
      <c r="U400" s="206"/>
      <c r="V400" s="206"/>
      <c r="W400" s="206"/>
      <c r="X400" s="206"/>
      <c r="Y400" s="184" t="str">
        <f t="shared" si="157"/>
        <v/>
      </c>
      <c r="Z400" s="184" t="str">
        <f t="shared" si="158"/>
        <v/>
      </c>
      <c r="AA400" s="208"/>
      <c r="AB400" s="208"/>
      <c r="AC400" s="208"/>
      <c r="AD400" s="650"/>
      <c r="AE400" s="205"/>
      <c r="AF400" s="333"/>
      <c r="AG400" s="205"/>
      <c r="AH400" s="205"/>
      <c r="AI400" s="205"/>
      <c r="AJ400" s="641"/>
      <c r="AK400" s="205"/>
      <c r="AL400" s="496"/>
      <c r="AM400" s="496"/>
      <c r="AN400" s="627"/>
      <c r="AO400" s="205"/>
      <c r="AP400" s="205"/>
      <c r="AQ400" s="333" t="str">
        <f>UPPER(RIGHT(Journal_Live[[#This Row],[DURATION ]]))</f>
        <v/>
      </c>
      <c r="AR400" s="205"/>
      <c r="AS400" s="211"/>
      <c r="AT400" s="189"/>
      <c r="AU400" s="187"/>
      <c r="AV400" s="190"/>
      <c r="AW400" s="213"/>
      <c r="AX400" s="413" t="s">
        <v>1898</v>
      </c>
      <c r="AY400" s="413" t="s">
        <v>1899</v>
      </c>
      <c r="AZ400" s="413" t="s">
        <v>1900</v>
      </c>
      <c r="BA400" s="413" t="s">
        <v>1901</v>
      </c>
      <c r="BB400" s="418" t="s">
        <v>1902</v>
      </c>
      <c r="BC400" s="418" t="s">
        <v>1903</v>
      </c>
      <c r="BD400" s="418" t="s">
        <v>1904</v>
      </c>
      <c r="BE400" s="418" t="s">
        <v>1905</v>
      </c>
      <c r="BF400" s="427" t="s">
        <v>1906</v>
      </c>
      <c r="BG400" s="391">
        <f>SUM($AV$4:AV400)</f>
        <v>2570.9350000000163</v>
      </c>
      <c r="BH400" s="392">
        <f>SUM($AU$134:AU400)</f>
        <v>-441.91000000004038</v>
      </c>
      <c r="BI400" s="318">
        <f>SUMIFS($AU$134:AU401,$Q$134:Q401,"F")</f>
        <v>-3014.8</v>
      </c>
      <c r="BJ400" s="318">
        <f>SUMIFS($AU$134:AU401,$Q$134:Q401,"S")</f>
        <v>2575.0499999999979</v>
      </c>
      <c r="BK400" s="343">
        <f>SUMIFS($AU$134:AU401,$P$134:P401,"W")</f>
        <v>1801.1899999999523</v>
      </c>
      <c r="BL400" s="343">
        <f>SUMIFS($AU$134:AU401,$P$134:P401,"R")</f>
        <v>-2243.0999999999935</v>
      </c>
      <c r="BM400" s="343">
        <f>SUMIFS($AU$134:AU401,$AQ$134:AQ401,"M")</f>
        <v>77.800000000004687</v>
      </c>
      <c r="BN400" s="343">
        <f>SUMIFS($AU$134:AU401,$AQ$134:AQ401,"H")</f>
        <v>487.700000000015</v>
      </c>
      <c r="BO400" s="343">
        <f>SUMIFS($AU$134:AU401,$AQ$134:AQ401,"D")</f>
        <v>-487.15000000000055</v>
      </c>
      <c r="BP400" s="343">
        <f>SUMIFS($AU$134:AU403,$AQ$134:AQ403,"W")</f>
        <v>-1270.7</v>
      </c>
      <c r="BQ400" s="343">
        <f>SUMIFS($AU$134:AU401,$Q$134:Q401,"O")</f>
        <v>-201.36000000004023</v>
      </c>
      <c r="BR400" s="343">
        <f>SUMIFS($AU$134:AU401,$AA$134:AA401,"*")</f>
        <v>2231.1499999999878</v>
      </c>
      <c r="BS400" s="343">
        <f>SUMIFS($AU$134:AU401,$AB$134:AB401,"*")</f>
        <v>111.23999999997596</v>
      </c>
      <c r="BT400" s="343">
        <f>SUMIFS($AU$134:AU401,$AC$134:AC401,"*")</f>
        <v>-2282.4500000000012</v>
      </c>
      <c r="BU400" s="343">
        <f>SUMIFS($AU$134:AU401,$AA$134:AA401,"*",$AB$134:AB401,"*")</f>
        <v>-188.19999999999513</v>
      </c>
      <c r="BV400" s="343">
        <f>SUMIFS($AU$134:AU401,$AA$134:AA401,"*",$AC$134:AC401,"*")</f>
        <v>666.64999999999907</v>
      </c>
      <c r="BW400" s="343">
        <f>SUMIFS($AU$134:AU401,$AB$134:AB401,"*",$AC$134:AC401,"*")</f>
        <v>78.599999999999653</v>
      </c>
      <c r="BX400" s="343">
        <f>SUMIFS($AU401:AU$1388,$Q401:Q$1388,"F")</f>
        <v>17455.466666666667</v>
      </c>
      <c r="BY400" s="343">
        <f>SUMIFS($AU401:AU$1388,$Q401:Q$1388,"S")</f>
        <v>18096.592000000001</v>
      </c>
      <c r="BZ400" s="343">
        <f>SUMIFS($AU401:AU$1388,$Q401:Q$1388,"O")</f>
        <v>-1447.4979999997583</v>
      </c>
    </row>
    <row r="401" spans="1:78" ht="15.75" customHeight="1">
      <c r="A401" s="221" t="s">
        <v>1720</v>
      </c>
      <c r="B401" s="200"/>
      <c r="C401" s="201"/>
      <c r="D401" s="201"/>
      <c r="E401" s="247"/>
      <c r="F401" s="203"/>
      <c r="G401" s="204"/>
      <c r="H401" s="205"/>
      <c r="I401" s="205"/>
      <c r="J401" s="205"/>
      <c r="K401" s="206"/>
      <c r="L401" s="205"/>
      <c r="M401" s="205"/>
      <c r="N401" s="205"/>
      <c r="O401" s="206"/>
      <c r="P401" s="206"/>
      <c r="Q401" s="206"/>
      <c r="R401" s="206"/>
      <c r="S401" s="206"/>
      <c r="T401" s="206"/>
      <c r="U401" s="206"/>
      <c r="V401" s="206"/>
      <c r="W401" s="206"/>
      <c r="X401" s="206"/>
      <c r="Y401" s="184" t="str">
        <f t="shared" si="157"/>
        <v/>
      </c>
      <c r="Z401" s="184" t="str">
        <f t="shared" si="158"/>
        <v/>
      </c>
      <c r="AA401" s="208"/>
      <c r="AB401" s="208"/>
      <c r="AC401" s="208"/>
      <c r="AD401" s="650"/>
      <c r="AE401" s="205"/>
      <c r="AF401" s="333"/>
      <c r="AG401" s="205"/>
      <c r="AH401" s="205"/>
      <c r="AI401" s="205"/>
      <c r="AJ401" s="641"/>
      <c r="AK401" s="205"/>
      <c r="AL401" s="496"/>
      <c r="AM401" s="496"/>
      <c r="AN401" s="627"/>
      <c r="AO401" s="205"/>
      <c r="AP401" s="205"/>
      <c r="AQ401" s="333" t="str">
        <f>UPPER(RIGHT(Journal_Live[[#This Row],[DURATION ]]))</f>
        <v/>
      </c>
      <c r="AR401" s="205"/>
      <c r="AS401" s="211"/>
      <c r="AT401" s="189"/>
      <c r="AU401" s="187"/>
      <c r="AV401" s="190"/>
      <c r="AW401" s="213"/>
      <c r="AX401" s="433" t="s">
        <v>1907</v>
      </c>
      <c r="AY401" s="413" t="s">
        <v>1908</v>
      </c>
      <c r="AZ401" s="413"/>
      <c r="BA401" s="413" t="s">
        <v>1909</v>
      </c>
      <c r="BB401" s="413" t="s">
        <v>1910</v>
      </c>
      <c r="BC401" s="413"/>
      <c r="BD401" s="413"/>
      <c r="BE401" s="413"/>
      <c r="BF401" s="427"/>
      <c r="BG401" s="391">
        <f>SUM($AV$4:AV401)</f>
        <v>2570.9350000000163</v>
      </c>
      <c r="BH401" s="392">
        <f>SUM($AU$134:AU401)</f>
        <v>-441.91000000004038</v>
      </c>
      <c r="BI401" s="318">
        <f>SUMIFS($AU$134:AU402,$Q$134:Q402,"F")</f>
        <v>-3014.8</v>
      </c>
      <c r="BJ401" s="318">
        <f>SUMIFS($AU$134:AU402,$Q$134:Q402,"S")</f>
        <v>2655.0499999999979</v>
      </c>
      <c r="BK401" s="343">
        <f>SUMIFS($AU$134:AU402,$P$134:P402,"W")</f>
        <v>1881.1899999999523</v>
      </c>
      <c r="BL401" s="343">
        <f>SUMIFS($AU$134:AU402,$P$134:P402,"R")</f>
        <v>-2243.0999999999935</v>
      </c>
      <c r="BM401" s="343">
        <f>SUMIFS($AU$134:AU402,$AQ$134:AQ402,"M")</f>
        <v>77.800000000004687</v>
      </c>
      <c r="BN401" s="343">
        <f>SUMIFS($AU$134:AU402,$AQ$134:AQ402,"H")</f>
        <v>567.70000000001505</v>
      </c>
      <c r="BO401" s="343">
        <f>SUMIFS($AU$134:AU402,$AQ$134:AQ402,"D")</f>
        <v>-487.15000000000055</v>
      </c>
      <c r="BP401" s="343">
        <f>SUMIFS($AU$134:AU404,$AQ$134:AQ404,"W")</f>
        <v>-1270.7</v>
      </c>
      <c r="BQ401" s="343">
        <f>SUMIFS($AU$134:AU402,$Q$134:Q402,"O")</f>
        <v>-201.36000000004023</v>
      </c>
      <c r="BR401" s="343">
        <f>SUMIFS($AU$134:AU402,$AA$134:AA402,"*")</f>
        <v>2311.1499999999878</v>
      </c>
      <c r="BS401" s="343">
        <f>SUMIFS($AU$134:AU402,$AB$134:AB402,"*")</f>
        <v>111.23999999997596</v>
      </c>
      <c r="BT401" s="343">
        <f>SUMIFS($AU$134:AU402,$AC$134:AC402,"*")</f>
        <v>-2282.4500000000012</v>
      </c>
      <c r="BU401" s="343">
        <f>SUMIFS($AU$134:AU402,$AA$134:AA402,"*",$AB$134:AB402,"*")</f>
        <v>-188.19999999999513</v>
      </c>
      <c r="BV401" s="343">
        <f>SUMIFS($AU$134:AU402,$AA$134:AA402,"*",$AC$134:AC402,"*")</f>
        <v>666.64999999999907</v>
      </c>
      <c r="BW401" s="343">
        <f>SUMIFS($AU$134:AU402,$AB$134:AB402,"*",$AC$134:AC402,"*")</f>
        <v>78.599999999999653</v>
      </c>
      <c r="BX401" s="343">
        <f>SUMIFS($AU402:AU$1388,$Q402:Q$1388,"F")</f>
        <v>17455.466666666667</v>
      </c>
      <c r="BY401" s="343">
        <f>SUMIFS($AU402:AU$1388,$Q402:Q$1388,"S")</f>
        <v>18096.592000000001</v>
      </c>
      <c r="BZ401" s="343">
        <f>SUMIFS($AU402:AU$1388,$Q402:Q$1388,"O")</f>
        <v>-1447.4979999997583</v>
      </c>
    </row>
    <row r="402" spans="1:78" ht="15.75" customHeight="1">
      <c r="A402" s="221" t="s">
        <v>1720</v>
      </c>
      <c r="B402" s="200">
        <v>45008</v>
      </c>
      <c r="C402" s="201" t="s">
        <v>1911</v>
      </c>
      <c r="D402" s="201" t="s">
        <v>93</v>
      </c>
      <c r="E402" s="247"/>
      <c r="F402" s="203"/>
      <c r="G402" s="314" t="s">
        <v>133</v>
      </c>
      <c r="H402" s="205"/>
      <c r="I402" s="205"/>
      <c r="J402" s="205"/>
      <c r="K402" s="206"/>
      <c r="L402" s="205">
        <v>1</v>
      </c>
      <c r="M402" s="205"/>
      <c r="N402" s="205"/>
      <c r="O402" s="206" t="s">
        <v>95</v>
      </c>
      <c r="P402" s="206" t="s">
        <v>96</v>
      </c>
      <c r="Q402" s="206" t="s">
        <v>97</v>
      </c>
      <c r="R402" s="206">
        <v>5</v>
      </c>
      <c r="S402" s="206">
        <v>5</v>
      </c>
      <c r="T402" s="206">
        <v>5</v>
      </c>
      <c r="U402" s="206" t="s">
        <v>97</v>
      </c>
      <c r="V402" s="206"/>
      <c r="W402" s="206"/>
      <c r="X402" s="206"/>
      <c r="Y402" s="184">
        <f t="shared" si="157"/>
        <v>0.01</v>
      </c>
      <c r="Z402" s="184">
        <f t="shared" si="158"/>
        <v>1600</v>
      </c>
      <c r="AA402" s="208" t="s">
        <v>99</v>
      </c>
      <c r="AB402" s="208"/>
      <c r="AC402" s="208"/>
      <c r="AD402" s="650">
        <v>-0.04</v>
      </c>
      <c r="AE402" s="205"/>
      <c r="AF402" s="333"/>
      <c r="AG402" s="205"/>
      <c r="AH402" s="205"/>
      <c r="AI402" s="205"/>
      <c r="AJ402" s="641"/>
      <c r="AK402" s="205"/>
      <c r="AL402" s="496">
        <f>-0.04*Z402</f>
        <v>-64</v>
      </c>
      <c r="AM402" s="496">
        <f t="shared" ref="AM402:AM408" si="159">AL402*R402</f>
        <v>-320</v>
      </c>
      <c r="AN402" s="627"/>
      <c r="AO402" s="205"/>
      <c r="AP402" s="205" t="s">
        <v>1433</v>
      </c>
      <c r="AQ402" s="333" t="str">
        <f>UPPER(RIGHT(Journal_Live[[#This Row],[DURATION ]]))</f>
        <v>H</v>
      </c>
      <c r="AR402" s="205" t="s">
        <v>1912</v>
      </c>
      <c r="AS402" s="211">
        <v>-0.05</v>
      </c>
      <c r="AT402" s="189">
        <f t="shared" ref="AT402:AT426" si="160">IF(ISBLANK(AS402),,IF(U402="S",AD402-AS402,AS402-AD402))</f>
        <v>1.0000000000000002E-2</v>
      </c>
      <c r="AU402" s="187">
        <f t="shared" ref="AU402:AU426" si="161">AV402*R402</f>
        <v>80.000000000000014</v>
      </c>
      <c r="AV402" s="190">
        <f t="shared" ref="AV402:AV426" si="162">IF(ISBLANK(AS402),,(AT402*Z402))</f>
        <v>16.000000000000004</v>
      </c>
      <c r="AW402" s="213" t="s">
        <v>96</v>
      </c>
      <c r="AX402" s="413" t="s">
        <v>1913</v>
      </c>
      <c r="AY402" s="413" t="s">
        <v>1914</v>
      </c>
      <c r="AZ402" s="413" t="s">
        <v>1915</v>
      </c>
      <c r="BA402" s="413"/>
      <c r="BB402" s="413"/>
      <c r="BC402" s="413"/>
      <c r="BD402" s="413" t="s">
        <v>1913</v>
      </c>
      <c r="BE402" s="413" t="s">
        <v>1914</v>
      </c>
      <c r="BF402" s="413" t="s">
        <v>1916</v>
      </c>
      <c r="BG402" s="391">
        <f>SUM($AV$4:AV402)</f>
        <v>2586.9350000000163</v>
      </c>
      <c r="BH402" s="392">
        <f>SUM($AU$134:AU402)</f>
        <v>-361.91000000004038</v>
      </c>
      <c r="BI402" s="318">
        <f>SUMIFS($AU$134:AU403,$Q$134:Q403,"F")</f>
        <v>-3014.8</v>
      </c>
      <c r="BJ402" s="318">
        <f>SUMIFS($AU$134:AU403,$Q$134:Q403,"S")</f>
        <v>2735.0499999999979</v>
      </c>
      <c r="BK402" s="343">
        <f>SUMIFS($AU$134:AU403,$P$134:P403,"W")</f>
        <v>1961.1899999999523</v>
      </c>
      <c r="BL402" s="343">
        <f>SUMIFS($AU$134:AU403,$P$134:P403,"R")</f>
        <v>-2243.0999999999935</v>
      </c>
      <c r="BM402" s="343">
        <f>SUMIFS($AU$134:AU403,$AQ$134:AQ403,"M")</f>
        <v>77.800000000004687</v>
      </c>
      <c r="BN402" s="343">
        <f>SUMIFS($AU$134:AU403,$AQ$134:AQ403,"H")</f>
        <v>647.70000000001505</v>
      </c>
      <c r="BO402" s="343">
        <f>SUMIFS($AU$134:AU403,$AQ$134:AQ403,"D")</f>
        <v>-487.15000000000055</v>
      </c>
      <c r="BP402" s="343">
        <f>SUMIFS($AU$134:AU405,$AQ$134:AQ405,"W")</f>
        <v>-1270.7</v>
      </c>
      <c r="BQ402" s="343">
        <f>SUMIFS($AU$134:AU403,$Q$134:Q403,"O")</f>
        <v>-201.36000000004023</v>
      </c>
      <c r="BR402" s="343">
        <f>SUMIFS($AU$134:AU403,$AA$134:AA403,"*")</f>
        <v>2391.1499999999878</v>
      </c>
      <c r="BS402" s="343">
        <f>SUMIFS($AU$134:AU403,$AB$134:AB403,"*")</f>
        <v>111.23999999997596</v>
      </c>
      <c r="BT402" s="343">
        <f>SUMIFS($AU$134:AU403,$AC$134:AC403,"*")</f>
        <v>-2282.4500000000012</v>
      </c>
      <c r="BU402" s="343">
        <f>SUMIFS($AU$134:AU403,$AA$134:AA403,"*",$AB$134:AB403,"*")</f>
        <v>-188.19999999999513</v>
      </c>
      <c r="BV402" s="343">
        <f>SUMIFS($AU$134:AU403,$AA$134:AA403,"*",$AC$134:AC403,"*")</f>
        <v>666.64999999999907</v>
      </c>
      <c r="BW402" s="343">
        <f>SUMIFS($AU$134:AU403,$AB$134:AB403,"*",$AC$134:AC403,"*")</f>
        <v>78.599999999999653</v>
      </c>
      <c r="BX402" s="343">
        <f>SUMIFS($AU403:AU$1388,$Q403:Q$1388,"F")</f>
        <v>17455.466666666667</v>
      </c>
      <c r="BY402" s="343">
        <f>SUMIFS($AU403:AU$1388,$Q403:Q$1388,"S")</f>
        <v>18016.592000000001</v>
      </c>
      <c r="BZ402" s="343">
        <f>SUMIFS($AU403:AU$1388,$Q403:Q$1388,"O")</f>
        <v>-1447.4979999997583</v>
      </c>
    </row>
    <row r="403" spans="1:78" ht="15.75" customHeight="1">
      <c r="A403" s="221" t="s">
        <v>1720</v>
      </c>
      <c r="B403" s="200">
        <v>45008</v>
      </c>
      <c r="C403" s="201" t="s">
        <v>1917</v>
      </c>
      <c r="D403" s="201" t="s">
        <v>93</v>
      </c>
      <c r="E403" s="247"/>
      <c r="F403" s="203"/>
      <c r="G403" s="314" t="s">
        <v>271</v>
      </c>
      <c r="H403" s="205"/>
      <c r="I403" s="205"/>
      <c r="J403" s="205"/>
      <c r="K403" s="206"/>
      <c r="L403" s="205">
        <v>1</v>
      </c>
      <c r="M403" s="205"/>
      <c r="N403" s="205"/>
      <c r="O403" s="206" t="s">
        <v>95</v>
      </c>
      <c r="P403" s="206" t="s">
        <v>96</v>
      </c>
      <c r="Q403" s="206" t="s">
        <v>97</v>
      </c>
      <c r="R403" s="206">
        <v>8</v>
      </c>
      <c r="S403" s="206">
        <v>8</v>
      </c>
      <c r="T403" s="206">
        <v>3</v>
      </c>
      <c r="U403" s="206" t="s">
        <v>22</v>
      </c>
      <c r="V403" s="206"/>
      <c r="W403" s="206"/>
      <c r="X403" s="206"/>
      <c r="Y403" s="184">
        <f t="shared" si="157"/>
        <v>0.01</v>
      </c>
      <c r="Z403" s="184">
        <f t="shared" si="158"/>
        <v>1600</v>
      </c>
      <c r="AA403" s="208" t="s">
        <v>99</v>
      </c>
      <c r="AB403" s="208"/>
      <c r="AC403" s="208"/>
      <c r="AD403" s="650">
        <f>((-0.04*3)+(-0.05*5))/8</f>
        <v>-4.6249999999999999E-2</v>
      </c>
      <c r="AE403" s="205"/>
      <c r="AF403" s="333"/>
      <c r="AG403" s="205"/>
      <c r="AH403" s="205"/>
      <c r="AI403" s="205"/>
      <c r="AJ403" s="641"/>
      <c r="AK403" s="205"/>
      <c r="AL403" s="496">
        <f t="shared" ref="AL403" si="163">-0.03*Z403</f>
        <v>-48</v>
      </c>
      <c r="AM403" s="496">
        <f t="shared" si="159"/>
        <v>-384</v>
      </c>
      <c r="AN403" s="627"/>
      <c r="AO403" s="205"/>
      <c r="AP403" s="205" t="s">
        <v>964</v>
      </c>
      <c r="AQ403" s="333" t="str">
        <f>UPPER(RIGHT(Journal_Live[[#This Row],[DURATION ]]))</f>
        <v>H</v>
      </c>
      <c r="AR403" s="205" t="s">
        <v>1918</v>
      </c>
      <c r="AS403" s="211">
        <f>((-0.04*2)+(6*-0.04))/8</f>
        <v>-0.04</v>
      </c>
      <c r="AT403" s="189">
        <f t="shared" si="160"/>
        <v>6.2499999999999986E-3</v>
      </c>
      <c r="AU403" s="187">
        <f t="shared" si="161"/>
        <v>79.999999999999986</v>
      </c>
      <c r="AV403" s="190">
        <f t="shared" si="162"/>
        <v>9.9999999999999982</v>
      </c>
      <c r="AW403" s="213" t="s">
        <v>96</v>
      </c>
      <c r="AX403" s="413" t="s">
        <v>1916</v>
      </c>
      <c r="AY403" s="413" t="s">
        <v>529</v>
      </c>
      <c r="AZ403" s="413"/>
      <c r="BA403" s="413"/>
      <c r="BB403" s="413"/>
      <c r="BC403" s="413"/>
      <c r="BD403" s="413"/>
      <c r="BE403" s="413"/>
      <c r="BF403" s="427"/>
      <c r="BG403" s="391">
        <f>SUM($AV$4:AV403)</f>
        <v>2596.9350000000163</v>
      </c>
      <c r="BH403" s="392">
        <f>SUM($AU$134:AU403)</f>
        <v>-281.91000000004038</v>
      </c>
      <c r="BI403" s="318">
        <f>SUMIFS($AU$134:AU404,$Q$134:Q404,"F")</f>
        <v>-3014.8</v>
      </c>
      <c r="BJ403" s="318">
        <f>SUMIFS($AU$134:AU404,$Q$134:Q404,"S")</f>
        <v>2815.0499999999979</v>
      </c>
      <c r="BK403" s="343">
        <f>SUMIFS($AU$134:AU404,$P$134:P404,"W")</f>
        <v>2041.1899999999523</v>
      </c>
      <c r="BL403" s="343">
        <f>SUMIFS($AU$134:AU404,$P$134:P404,"R")</f>
        <v>-2243.0999999999935</v>
      </c>
      <c r="BM403" s="343">
        <f>SUMIFS($AU$134:AU404,$AQ$134:AQ404,"M")</f>
        <v>77.800000000004687</v>
      </c>
      <c r="BN403" s="343">
        <f>SUMIFS($AU$134:AU404,$AQ$134:AQ404,"H")</f>
        <v>727.70000000001505</v>
      </c>
      <c r="BO403" s="343">
        <f>SUMIFS($AU$134:AU404,$AQ$134:AQ404,"D")</f>
        <v>-487.15000000000055</v>
      </c>
      <c r="BP403" s="343">
        <f>SUMIFS($AU$134:AU406,$AQ$134:AQ406,"W")</f>
        <v>-1270.7</v>
      </c>
      <c r="BQ403" s="343">
        <f>SUMIFS($AU$134:AU404,$Q$134:Q404,"O")</f>
        <v>-201.36000000004023</v>
      </c>
      <c r="BR403" s="343">
        <f>SUMIFS($AU$134:AU404,$AA$134:AA404,"*")</f>
        <v>2471.1499999999878</v>
      </c>
      <c r="BS403" s="343">
        <f>SUMIFS($AU$134:AU404,$AB$134:AB404,"*")</f>
        <v>111.23999999997596</v>
      </c>
      <c r="BT403" s="343">
        <f>SUMIFS($AU$134:AU404,$AC$134:AC404,"*")</f>
        <v>-2282.4500000000012</v>
      </c>
      <c r="BU403" s="343">
        <f>SUMIFS($AU$134:AU404,$AA$134:AA404,"*",$AB$134:AB404,"*")</f>
        <v>-188.19999999999513</v>
      </c>
      <c r="BV403" s="343">
        <f>SUMIFS($AU$134:AU404,$AA$134:AA404,"*",$AC$134:AC404,"*")</f>
        <v>666.64999999999907</v>
      </c>
      <c r="BW403" s="343">
        <f>SUMIFS($AU$134:AU404,$AB$134:AB404,"*",$AC$134:AC404,"*")</f>
        <v>78.599999999999653</v>
      </c>
      <c r="BX403" s="343">
        <f>SUMIFS($AU404:AU$1388,$Q404:Q$1388,"F")</f>
        <v>17455.466666666667</v>
      </c>
      <c r="BY403" s="343">
        <f>SUMIFS($AU404:AU$1388,$Q404:Q$1388,"S")</f>
        <v>17936.592000000004</v>
      </c>
      <c r="BZ403" s="343">
        <f>SUMIFS($AU404:AU$1388,$Q404:Q$1388,"O")</f>
        <v>-1447.4979999997583</v>
      </c>
    </row>
    <row r="404" spans="1:78" ht="15.75" customHeight="1">
      <c r="A404" s="221" t="s">
        <v>1720</v>
      </c>
      <c r="B404" s="200">
        <v>45008</v>
      </c>
      <c r="C404" s="201" t="s">
        <v>1919</v>
      </c>
      <c r="D404" s="201" t="s">
        <v>93</v>
      </c>
      <c r="E404" s="247"/>
      <c r="F404" s="203"/>
      <c r="G404" s="314" t="s">
        <v>271</v>
      </c>
      <c r="H404" s="205"/>
      <c r="I404" s="205"/>
      <c r="J404" s="205"/>
      <c r="K404" s="206"/>
      <c r="L404" s="205">
        <v>1</v>
      </c>
      <c r="M404" s="205"/>
      <c r="N404" s="205"/>
      <c r="O404" s="206" t="s">
        <v>95</v>
      </c>
      <c r="P404" s="206" t="s">
        <v>96</v>
      </c>
      <c r="Q404" s="206" t="s">
        <v>97</v>
      </c>
      <c r="R404" s="206">
        <v>5</v>
      </c>
      <c r="S404" s="206">
        <v>5</v>
      </c>
      <c r="T404" s="206">
        <v>3</v>
      </c>
      <c r="U404" s="206" t="s">
        <v>97</v>
      </c>
      <c r="V404" s="206"/>
      <c r="W404" s="206"/>
      <c r="X404" s="206"/>
      <c r="Y404" s="184">
        <f t="shared" si="157"/>
        <v>0.01</v>
      </c>
      <c r="Z404" s="184">
        <f t="shared" si="158"/>
        <v>1600</v>
      </c>
      <c r="AA404" s="208" t="s">
        <v>99</v>
      </c>
      <c r="AB404" s="208"/>
      <c r="AC404" s="208"/>
      <c r="AD404" s="650">
        <v>-0.03</v>
      </c>
      <c r="AE404" s="205"/>
      <c r="AF404" s="333"/>
      <c r="AG404" s="205"/>
      <c r="AH404" s="205"/>
      <c r="AI404" s="205"/>
      <c r="AJ404" s="641"/>
      <c r="AK404" s="205"/>
      <c r="AL404" s="496">
        <f t="shared" ref="AL404" si="164">-0.03*Z404</f>
        <v>-48</v>
      </c>
      <c r="AM404" s="496">
        <f t="shared" si="159"/>
        <v>-240</v>
      </c>
      <c r="AN404" s="627"/>
      <c r="AO404" s="205"/>
      <c r="AP404" s="205" t="s">
        <v>1554</v>
      </c>
      <c r="AQ404" s="333" t="str">
        <f>UPPER(RIGHT(Journal_Live[[#This Row],[DURATION ]]))</f>
        <v>H</v>
      </c>
      <c r="AR404" s="205" t="s">
        <v>1920</v>
      </c>
      <c r="AS404" s="211">
        <v>-0.04</v>
      </c>
      <c r="AT404" s="189">
        <f t="shared" si="160"/>
        <v>1.0000000000000002E-2</v>
      </c>
      <c r="AU404" s="187">
        <f t="shared" si="161"/>
        <v>80.000000000000014</v>
      </c>
      <c r="AV404" s="190">
        <f t="shared" si="162"/>
        <v>16.000000000000004</v>
      </c>
      <c r="AW404" s="213" t="s">
        <v>96</v>
      </c>
      <c r="AX404" s="413"/>
      <c r="AY404" s="413"/>
      <c r="AZ404" s="413"/>
      <c r="BA404" s="413"/>
      <c r="BB404" s="413"/>
      <c r="BC404" s="413"/>
      <c r="BD404" s="413"/>
      <c r="BE404" s="413"/>
      <c r="BF404" s="427"/>
      <c r="BG404" s="391">
        <f>SUM($AV$4:AV404)</f>
        <v>2612.9350000000163</v>
      </c>
      <c r="BH404" s="392">
        <f>SUM($AU$134:AU404)</f>
        <v>-201.91000000004038</v>
      </c>
      <c r="BI404" s="318">
        <f>SUMIFS($AU$134:AU405,$Q$134:Q405,"F")</f>
        <v>-3014.8</v>
      </c>
      <c r="BJ404" s="318">
        <f>SUMIFS($AU$134:AU405,$Q$134:Q405,"S")</f>
        <v>2815.0499999999979</v>
      </c>
      <c r="BK404" s="343">
        <f>SUMIFS($AU$134:AU405,$P$134:P405,"W")</f>
        <v>2041.1899999999523</v>
      </c>
      <c r="BL404" s="343">
        <f>SUMIFS($AU$134:AU405,$P$134:P405,"R")</f>
        <v>-2243.0999999999935</v>
      </c>
      <c r="BM404" s="343">
        <f>SUMIFS($AU$134:AU405,$AQ$134:AQ405,"M")</f>
        <v>77.800000000004687</v>
      </c>
      <c r="BN404" s="343">
        <f>SUMIFS($AU$134:AU405,$AQ$134:AQ405,"H")</f>
        <v>727.70000000001505</v>
      </c>
      <c r="BO404" s="343">
        <f>SUMIFS($AU$134:AU405,$AQ$134:AQ405,"D")</f>
        <v>-487.15000000000055</v>
      </c>
      <c r="BP404" s="343">
        <f>SUMIFS($AU$134:AU407,$AQ$134:AQ407,"W")</f>
        <v>-1270.7</v>
      </c>
      <c r="BQ404" s="343">
        <f>SUMIFS($AU$134:AU405,$Q$134:Q405,"O")</f>
        <v>-201.36000000004023</v>
      </c>
      <c r="BR404" s="343">
        <f>SUMIFS($AU$134:AU405,$AA$134:AA405,"*")</f>
        <v>2471.1499999999878</v>
      </c>
      <c r="BS404" s="343">
        <f>SUMIFS($AU$134:AU405,$AB$134:AB405,"*")</f>
        <v>111.23999999997596</v>
      </c>
      <c r="BT404" s="343">
        <f>SUMIFS($AU$134:AU405,$AC$134:AC405,"*")</f>
        <v>-2282.4500000000012</v>
      </c>
      <c r="BU404" s="343">
        <f>SUMIFS($AU$134:AU405,$AA$134:AA405,"*",$AB$134:AB405,"*")</f>
        <v>-188.19999999999513</v>
      </c>
      <c r="BV404" s="343">
        <f>SUMIFS($AU$134:AU405,$AA$134:AA405,"*",$AC$134:AC405,"*")</f>
        <v>666.64999999999907</v>
      </c>
      <c r="BW404" s="343">
        <f>SUMIFS($AU$134:AU405,$AB$134:AB405,"*",$AC$134:AC405,"*")</f>
        <v>78.599999999999653</v>
      </c>
      <c r="BX404" s="343">
        <f>SUMIFS($AU405:AU$1388,$Q405:Q$1388,"F")</f>
        <v>17455.466666666667</v>
      </c>
      <c r="BY404" s="343">
        <f>SUMIFS($AU405:AU$1388,$Q405:Q$1388,"S")</f>
        <v>17856.592000000001</v>
      </c>
      <c r="BZ404" s="343">
        <f>SUMIFS($AU405:AU$1388,$Q405:Q$1388,"O")</f>
        <v>-1447.4979999997583</v>
      </c>
    </row>
    <row r="405" spans="1:78" ht="15.75" customHeight="1">
      <c r="A405" s="221" t="s">
        <v>1720</v>
      </c>
      <c r="B405" s="200">
        <v>45009</v>
      </c>
      <c r="C405" s="201" t="s">
        <v>1921</v>
      </c>
      <c r="D405" s="201" t="s">
        <v>111</v>
      </c>
      <c r="E405" s="247" t="s">
        <v>1922</v>
      </c>
      <c r="F405" s="203"/>
      <c r="G405" s="314" t="s">
        <v>133</v>
      </c>
      <c r="H405" s="205"/>
      <c r="I405" s="205"/>
      <c r="J405" s="205"/>
      <c r="K405" s="206"/>
      <c r="L405" s="205">
        <v>1</v>
      </c>
      <c r="M405" s="205"/>
      <c r="N405" s="205"/>
      <c r="O405" s="206" t="s">
        <v>95</v>
      </c>
      <c r="P405" s="206" t="s">
        <v>96</v>
      </c>
      <c r="Q405" s="206" t="s">
        <v>97</v>
      </c>
      <c r="R405" s="206">
        <v>10</v>
      </c>
      <c r="S405" s="206">
        <v>10</v>
      </c>
      <c r="T405" s="206">
        <v>10</v>
      </c>
      <c r="U405" s="206" t="s">
        <v>22</v>
      </c>
      <c r="V405" s="206"/>
      <c r="W405" s="206"/>
      <c r="X405" s="206"/>
      <c r="Y405" s="184">
        <f t="shared" si="157"/>
        <v>0.01</v>
      </c>
      <c r="Z405" s="184">
        <f t="shared" si="158"/>
        <v>1600</v>
      </c>
      <c r="AA405" s="208" t="s">
        <v>1923</v>
      </c>
      <c r="AB405" s="208"/>
      <c r="AC405" s="208"/>
      <c r="AD405" s="650">
        <v>-0.06</v>
      </c>
      <c r="AE405" s="205"/>
      <c r="AF405" s="333"/>
      <c r="AG405" s="205"/>
      <c r="AH405" s="205"/>
      <c r="AI405" s="205"/>
      <c r="AJ405" s="641"/>
      <c r="AK405" s="205"/>
      <c r="AL405" s="496">
        <f t="shared" ref="AL405" si="165">-0.03*Z405</f>
        <v>-48</v>
      </c>
      <c r="AM405" s="496">
        <f t="shared" si="159"/>
        <v>-480</v>
      </c>
      <c r="AN405" s="627"/>
      <c r="AO405" s="205"/>
      <c r="AP405" s="205" t="s">
        <v>1554</v>
      </c>
      <c r="AQ405" s="333" t="str">
        <f>UPPER(RIGHT(Journal_Live[[#This Row],[DURATION ]]))</f>
        <v>H</v>
      </c>
      <c r="AR405" s="205" t="s">
        <v>1924</v>
      </c>
      <c r="AS405" s="211">
        <v>-0.06</v>
      </c>
      <c r="AT405" s="189">
        <f t="shared" si="160"/>
        <v>0</v>
      </c>
      <c r="AU405" s="187">
        <f t="shared" si="161"/>
        <v>0</v>
      </c>
      <c r="AV405" s="190">
        <f t="shared" si="162"/>
        <v>0</v>
      </c>
      <c r="AW405" s="213" t="s">
        <v>115</v>
      </c>
      <c r="AX405" s="413" t="s">
        <v>1925</v>
      </c>
      <c r="AY405" s="413" t="s">
        <v>1926</v>
      </c>
      <c r="AZ405" s="413" t="s">
        <v>1927</v>
      </c>
      <c r="BA405" s="413" t="s">
        <v>1928</v>
      </c>
      <c r="BB405" s="413" t="s">
        <v>529</v>
      </c>
      <c r="BC405" s="413"/>
      <c r="BD405" s="413"/>
      <c r="BE405" s="413"/>
      <c r="BF405" s="427"/>
      <c r="BG405" s="391">
        <f>SUM($AV$4:AV405)</f>
        <v>2612.9350000000163</v>
      </c>
      <c r="BH405" s="392">
        <f>SUM($AU$134:AU405)</f>
        <v>-201.91000000004038</v>
      </c>
      <c r="BI405" s="318">
        <f>SUMIFS($AU$134:AU406,$Q$134:Q406,"F")</f>
        <v>-3014.8</v>
      </c>
      <c r="BJ405" s="318">
        <f>SUMIFS($AU$134:AU406,$Q$134:Q406,"S")</f>
        <v>2975.0499999999979</v>
      </c>
      <c r="BK405" s="343">
        <f>SUMIFS($AU$134:AU406,$P$134:P406,"W")</f>
        <v>2201.1899999999523</v>
      </c>
      <c r="BL405" s="343">
        <f>SUMIFS($AU$134:AU406,$P$134:P406,"R")</f>
        <v>-2243.0999999999935</v>
      </c>
      <c r="BM405" s="343">
        <f>SUMIFS($AU$134:AU406,$AQ$134:AQ406,"M")</f>
        <v>77.800000000004687</v>
      </c>
      <c r="BN405" s="343">
        <f>SUMIFS($AU$134:AU406,$AQ$134:AQ406,"H")</f>
        <v>887.70000000001517</v>
      </c>
      <c r="BO405" s="343">
        <f>SUMIFS($AU$134:AU406,$AQ$134:AQ406,"D")</f>
        <v>-487.15000000000055</v>
      </c>
      <c r="BP405" s="343">
        <f>SUMIFS($AU$134:AU408,$AQ$134:AQ408,"W")</f>
        <v>-1270.7</v>
      </c>
      <c r="BQ405" s="343">
        <f>SUMIFS($AU$134:AU406,$Q$134:Q406,"O")</f>
        <v>-201.36000000004023</v>
      </c>
      <c r="BR405" s="343">
        <f>SUMIFS($AU$134:AU406,$AA$134:AA406,"*")</f>
        <v>2631.1499999999878</v>
      </c>
      <c r="BS405" s="343">
        <f>SUMIFS($AU$134:AU406,$AB$134:AB406,"*")</f>
        <v>111.23999999997596</v>
      </c>
      <c r="BT405" s="343">
        <f>SUMIFS($AU$134:AU406,$AC$134:AC406,"*")</f>
        <v>-2282.4500000000012</v>
      </c>
      <c r="BU405" s="343">
        <f>SUMIFS($AU$134:AU406,$AA$134:AA406,"*",$AB$134:AB406,"*")</f>
        <v>-188.19999999999513</v>
      </c>
      <c r="BV405" s="343">
        <f>SUMIFS($AU$134:AU406,$AA$134:AA406,"*",$AC$134:AC406,"*")</f>
        <v>666.64999999999907</v>
      </c>
      <c r="BW405" s="343">
        <f>SUMIFS($AU$134:AU406,$AB$134:AB406,"*",$AC$134:AC406,"*")</f>
        <v>78.599999999999653</v>
      </c>
      <c r="BX405" s="343">
        <f>SUMIFS($AU406:AU$1388,$Q406:Q$1388,"F")</f>
        <v>17455.466666666667</v>
      </c>
      <c r="BY405" s="343">
        <f>SUMIFS($AU406:AU$1388,$Q406:Q$1388,"S")</f>
        <v>17856.592000000001</v>
      </c>
      <c r="BZ405" s="343">
        <f>SUMIFS($AU406:AU$1388,$Q406:Q$1388,"O")</f>
        <v>-1447.4979999997583</v>
      </c>
    </row>
    <row r="406" spans="1:78" ht="15.75" customHeight="1">
      <c r="A406" s="221" t="s">
        <v>1720</v>
      </c>
      <c r="B406" s="200">
        <v>45009</v>
      </c>
      <c r="C406" s="201" t="s">
        <v>1929</v>
      </c>
      <c r="D406" s="201" t="s">
        <v>111</v>
      </c>
      <c r="E406" s="247"/>
      <c r="F406" s="203"/>
      <c r="G406" s="314" t="s">
        <v>133</v>
      </c>
      <c r="H406" s="205"/>
      <c r="I406" s="205"/>
      <c r="J406" s="205"/>
      <c r="K406" s="206"/>
      <c r="L406" s="205">
        <v>1</v>
      </c>
      <c r="M406" s="205"/>
      <c r="N406" s="205"/>
      <c r="O406" s="206" t="s">
        <v>95</v>
      </c>
      <c r="P406" s="206" t="s">
        <v>96</v>
      </c>
      <c r="Q406" s="206" t="s">
        <v>97</v>
      </c>
      <c r="R406" s="206">
        <v>10</v>
      </c>
      <c r="S406" s="206">
        <v>10</v>
      </c>
      <c r="T406" s="206">
        <v>10</v>
      </c>
      <c r="U406" s="206" t="s">
        <v>22</v>
      </c>
      <c r="V406" s="206"/>
      <c r="W406" s="206"/>
      <c r="X406" s="206"/>
      <c r="Y406" s="184">
        <f t="shared" si="157"/>
        <v>0.01</v>
      </c>
      <c r="Z406" s="184">
        <f t="shared" si="158"/>
        <v>1600</v>
      </c>
      <c r="AA406" s="208" t="s">
        <v>1923</v>
      </c>
      <c r="AB406" s="208"/>
      <c r="AC406" s="208"/>
      <c r="AD406" s="650">
        <v>-7.0000000000000007E-2</v>
      </c>
      <c r="AE406" s="205"/>
      <c r="AF406" s="333"/>
      <c r="AG406" s="205"/>
      <c r="AH406" s="205"/>
      <c r="AI406" s="205"/>
      <c r="AJ406" s="641"/>
      <c r="AK406" s="205"/>
      <c r="AL406" s="496">
        <f t="shared" ref="AL406" si="166">-0.03*Z406</f>
        <v>-48</v>
      </c>
      <c r="AM406" s="496">
        <f t="shared" si="159"/>
        <v>-480</v>
      </c>
      <c r="AN406" s="627"/>
      <c r="AO406" s="205"/>
      <c r="AP406" s="205" t="s">
        <v>1930</v>
      </c>
      <c r="AQ406" s="333" t="str">
        <f>UPPER(RIGHT(Journal_Live[[#This Row],[DURATION ]]))</f>
        <v>H</v>
      </c>
      <c r="AR406" s="205" t="s">
        <v>1931</v>
      </c>
      <c r="AS406" s="211">
        <f>((-0.06*5)+(-0.06*5))/10</f>
        <v>-0.06</v>
      </c>
      <c r="AT406" s="189">
        <f t="shared" si="160"/>
        <v>1.0000000000000009E-2</v>
      </c>
      <c r="AU406" s="187">
        <f t="shared" si="161"/>
        <v>160.00000000000014</v>
      </c>
      <c r="AV406" s="190">
        <f t="shared" si="162"/>
        <v>16.000000000000014</v>
      </c>
      <c r="AW406" s="213" t="s">
        <v>96</v>
      </c>
      <c r="AX406" s="413" t="s">
        <v>1932</v>
      </c>
      <c r="AY406" s="413" t="s">
        <v>1933</v>
      </c>
      <c r="AZ406" s="413" t="s">
        <v>1934</v>
      </c>
      <c r="BA406" s="413" t="s">
        <v>1935</v>
      </c>
      <c r="BB406" s="413" t="s">
        <v>1936</v>
      </c>
      <c r="BC406" s="413" t="s">
        <v>1937</v>
      </c>
      <c r="BD406" s="413" t="s">
        <v>529</v>
      </c>
      <c r="BE406" s="413"/>
      <c r="BF406" s="427"/>
      <c r="BG406" s="391">
        <f>SUM($AV$4:AV406)</f>
        <v>2628.9350000000163</v>
      </c>
      <c r="BH406" s="392">
        <f>SUM($AU$134:AU406)</f>
        <v>-41.910000000040242</v>
      </c>
      <c r="BI406" s="318">
        <f>SUMIFS($AU$134:AU407,$Q$134:Q407,"F")</f>
        <v>-3014.8</v>
      </c>
      <c r="BJ406" s="318">
        <f>SUMIFS($AU$134:AU407,$Q$134:Q407,"S")</f>
        <v>3055.0499999999979</v>
      </c>
      <c r="BK406" s="343">
        <f>SUMIFS($AU$134:AU407,$P$134:P407,"W")</f>
        <v>2281.1899999999523</v>
      </c>
      <c r="BL406" s="343">
        <f>SUMIFS($AU$134:AU407,$P$134:P407,"R")</f>
        <v>-2243.0999999999935</v>
      </c>
      <c r="BM406" s="343">
        <f>SUMIFS($AU$134:AU407,$AQ$134:AQ407,"M")</f>
        <v>157.8000000000047</v>
      </c>
      <c r="BN406" s="343">
        <f>SUMIFS($AU$134:AU407,$AQ$134:AQ407,"H")</f>
        <v>887.70000000001517</v>
      </c>
      <c r="BO406" s="343">
        <f>SUMIFS($AU$134:AU407,$AQ$134:AQ407,"D")</f>
        <v>-487.15000000000055</v>
      </c>
      <c r="BP406" s="343">
        <f>SUMIFS($AU$134:AU409,$AQ$134:AQ409,"W")</f>
        <v>-1270.7</v>
      </c>
      <c r="BQ406" s="343">
        <f>SUMIFS($AU$134:AU407,$Q$134:Q407,"O")</f>
        <v>-201.36000000004023</v>
      </c>
      <c r="BR406" s="343">
        <f>SUMIFS($AU$134:AU407,$AA$134:AA407,"*")</f>
        <v>2711.1499999999878</v>
      </c>
      <c r="BS406" s="343">
        <f>SUMIFS($AU$134:AU407,$AB$134:AB407,"*")</f>
        <v>111.23999999997596</v>
      </c>
      <c r="BT406" s="343">
        <f>SUMIFS($AU$134:AU407,$AC$134:AC407,"*")</f>
        <v>-2282.4500000000012</v>
      </c>
      <c r="BU406" s="343">
        <f>SUMIFS($AU$134:AU407,$AA$134:AA407,"*",$AB$134:AB407,"*")</f>
        <v>-188.19999999999513</v>
      </c>
      <c r="BV406" s="343">
        <f>SUMIFS($AU$134:AU407,$AA$134:AA407,"*",$AC$134:AC407,"*")</f>
        <v>666.64999999999907</v>
      </c>
      <c r="BW406" s="343">
        <f>SUMIFS($AU$134:AU407,$AB$134:AB407,"*",$AC$134:AC407,"*")</f>
        <v>78.599999999999653</v>
      </c>
      <c r="BX406" s="343">
        <f>SUMIFS($AU407:AU$1388,$Q407:Q$1388,"F")</f>
        <v>17455.466666666667</v>
      </c>
      <c r="BY406" s="343">
        <f>SUMIFS($AU407:AU$1388,$Q407:Q$1388,"S")</f>
        <v>17696.592000000001</v>
      </c>
      <c r="BZ406" s="343">
        <f>SUMIFS($AU407:AU$1388,$Q407:Q$1388,"O")</f>
        <v>-1447.4979999997583</v>
      </c>
    </row>
    <row r="407" spans="1:78" ht="15.75" customHeight="1">
      <c r="A407" s="221" t="s">
        <v>1720</v>
      </c>
      <c r="B407" s="200">
        <v>45009</v>
      </c>
      <c r="C407" s="201" t="s">
        <v>1335</v>
      </c>
      <c r="D407" s="201" t="s">
        <v>111</v>
      </c>
      <c r="E407" s="247"/>
      <c r="F407" s="203"/>
      <c r="G407" s="314" t="s">
        <v>271</v>
      </c>
      <c r="H407" s="205"/>
      <c r="I407" s="205"/>
      <c r="J407" s="205"/>
      <c r="K407" s="206"/>
      <c r="L407" s="205">
        <v>3</v>
      </c>
      <c r="M407" s="205"/>
      <c r="N407" s="205"/>
      <c r="O407" s="206" t="s">
        <v>95</v>
      </c>
      <c r="P407" s="206" t="s">
        <v>96</v>
      </c>
      <c r="Q407" s="206" t="s">
        <v>97</v>
      </c>
      <c r="R407" s="206">
        <v>5</v>
      </c>
      <c r="S407" s="206">
        <v>5</v>
      </c>
      <c r="T407" s="206">
        <v>5</v>
      </c>
      <c r="U407" s="206" t="s">
        <v>97</v>
      </c>
      <c r="V407" s="206"/>
      <c r="W407" s="206"/>
      <c r="X407" s="206"/>
      <c r="Y407" s="184">
        <f t="shared" si="157"/>
        <v>0.01</v>
      </c>
      <c r="Z407" s="184">
        <f t="shared" si="158"/>
        <v>1600</v>
      </c>
      <c r="AA407" s="208" t="s">
        <v>1923</v>
      </c>
      <c r="AB407" s="208"/>
      <c r="AC407" s="208"/>
      <c r="AD407" s="650">
        <v>-0.03</v>
      </c>
      <c r="AE407" s="205"/>
      <c r="AF407" s="333"/>
      <c r="AG407" s="205"/>
      <c r="AH407" s="205"/>
      <c r="AI407" s="205"/>
      <c r="AJ407" s="641"/>
      <c r="AK407" s="205"/>
      <c r="AL407" s="496">
        <f t="shared" ref="AL407" si="167">-0.03*Z407</f>
        <v>-48</v>
      </c>
      <c r="AM407" s="496">
        <f t="shared" si="159"/>
        <v>-240</v>
      </c>
      <c r="AN407" s="627"/>
      <c r="AO407" s="205"/>
      <c r="AP407" s="205" t="s">
        <v>1752</v>
      </c>
      <c r="AQ407" s="333" t="str">
        <f>UPPER(RIGHT(Journal_Live[[#This Row],[DURATION ]]))</f>
        <v>M</v>
      </c>
      <c r="AR407" s="205" t="s">
        <v>1938</v>
      </c>
      <c r="AS407" s="211">
        <v>-0.04</v>
      </c>
      <c r="AT407" s="189">
        <f t="shared" si="160"/>
        <v>1.0000000000000002E-2</v>
      </c>
      <c r="AU407" s="187">
        <f t="shared" si="161"/>
        <v>80.000000000000014</v>
      </c>
      <c r="AV407" s="190">
        <f t="shared" si="162"/>
        <v>16.000000000000004</v>
      </c>
      <c r="AW407" s="213" t="s">
        <v>96</v>
      </c>
      <c r="AX407" s="413" t="s">
        <v>1939</v>
      </c>
      <c r="AY407" s="413" t="s">
        <v>1940</v>
      </c>
      <c r="AZ407" s="413"/>
      <c r="BA407" s="413"/>
      <c r="BB407" s="413" t="s">
        <v>1941</v>
      </c>
      <c r="BC407" s="413" t="s">
        <v>1942</v>
      </c>
      <c r="BD407" s="413" t="s">
        <v>529</v>
      </c>
      <c r="BE407" s="413"/>
      <c r="BF407" s="427"/>
      <c r="BG407" s="391">
        <f>SUM($AV$4:AV407)</f>
        <v>2644.9350000000163</v>
      </c>
      <c r="BH407" s="392">
        <f>SUM($AU$134:AU407)</f>
        <v>38.089999999959772</v>
      </c>
      <c r="BI407" s="318">
        <f>SUMIFS($AU$134:AU408,$Q$134:Q408,"F")</f>
        <v>-3014.8</v>
      </c>
      <c r="BJ407" s="318">
        <f>SUMIFS($AU$134:AU408,$Q$134:Q408,"S")</f>
        <v>3135.0499999999979</v>
      </c>
      <c r="BK407" s="343">
        <f>SUMIFS($AU$134:AU408,$P$134:P408,"W")</f>
        <v>2361.1899999999523</v>
      </c>
      <c r="BL407" s="343">
        <f>SUMIFS($AU$134:AU408,$P$134:P408,"R")</f>
        <v>-2243.0999999999935</v>
      </c>
      <c r="BM407" s="343">
        <f>SUMIFS($AU$134:AU408,$AQ$134:AQ408,"M")</f>
        <v>237.80000000000467</v>
      </c>
      <c r="BN407" s="343">
        <f>SUMIFS($AU$134:AU408,$AQ$134:AQ408,"H")</f>
        <v>887.70000000001517</v>
      </c>
      <c r="BO407" s="343">
        <f>SUMIFS($AU$134:AU408,$AQ$134:AQ408,"D")</f>
        <v>-487.15000000000055</v>
      </c>
      <c r="BP407" s="343">
        <f>SUMIFS($AU$134:AU410,$AQ$134:AQ410,"W")</f>
        <v>-1270.7</v>
      </c>
      <c r="BQ407" s="343">
        <f>SUMIFS($AU$134:AU408,$Q$134:Q408,"O")</f>
        <v>-201.36000000004023</v>
      </c>
      <c r="BR407" s="343">
        <f>SUMIFS($AU$134:AU408,$AA$134:AA408,"*")</f>
        <v>2791.1499999999878</v>
      </c>
      <c r="BS407" s="343">
        <f>SUMIFS($AU$134:AU408,$AB$134:AB408,"*")</f>
        <v>111.23999999997596</v>
      </c>
      <c r="BT407" s="343">
        <f>SUMIFS($AU$134:AU408,$AC$134:AC408,"*")</f>
        <v>-2282.4500000000012</v>
      </c>
      <c r="BU407" s="343">
        <f>SUMIFS($AU$134:AU408,$AA$134:AA408,"*",$AB$134:AB408,"*")</f>
        <v>-188.19999999999513</v>
      </c>
      <c r="BV407" s="343">
        <f>SUMIFS($AU$134:AU408,$AA$134:AA408,"*",$AC$134:AC408,"*")</f>
        <v>666.64999999999907</v>
      </c>
      <c r="BW407" s="343">
        <f>SUMIFS($AU$134:AU408,$AB$134:AB408,"*",$AC$134:AC408,"*")</f>
        <v>78.599999999999653</v>
      </c>
      <c r="BX407" s="343">
        <f>SUMIFS($AU408:AU$1388,$Q408:Q$1388,"F")</f>
        <v>17455.466666666667</v>
      </c>
      <c r="BY407" s="343">
        <f>SUMIFS($AU408:AU$1388,$Q408:Q$1388,"S")</f>
        <v>17616.592000000001</v>
      </c>
      <c r="BZ407" s="343">
        <f>SUMIFS($AU408:AU$1388,$Q408:Q$1388,"O")</f>
        <v>-1447.4979999997583</v>
      </c>
    </row>
    <row r="408" spans="1:78" ht="15.75" customHeight="1">
      <c r="A408" s="221" t="s">
        <v>1720</v>
      </c>
      <c r="B408" s="200">
        <v>45009</v>
      </c>
      <c r="C408" s="201" t="s">
        <v>1943</v>
      </c>
      <c r="D408" s="201" t="s">
        <v>111</v>
      </c>
      <c r="E408" s="247"/>
      <c r="F408" s="203"/>
      <c r="G408" s="314" t="s">
        <v>133</v>
      </c>
      <c r="H408" s="205"/>
      <c r="I408" s="205"/>
      <c r="J408" s="205"/>
      <c r="K408" s="206"/>
      <c r="L408" s="205">
        <v>1</v>
      </c>
      <c r="M408" s="205"/>
      <c r="N408" s="205"/>
      <c r="O408" s="206" t="s">
        <v>95</v>
      </c>
      <c r="P408" s="206" t="s">
        <v>96</v>
      </c>
      <c r="Q408" s="206" t="s">
        <v>97</v>
      </c>
      <c r="R408" s="206">
        <v>5</v>
      </c>
      <c r="S408" s="206">
        <v>5</v>
      </c>
      <c r="T408" s="206">
        <v>5</v>
      </c>
      <c r="U408" s="206" t="s">
        <v>97</v>
      </c>
      <c r="V408" s="206"/>
      <c r="W408" s="206"/>
      <c r="X408" s="206"/>
      <c r="Y408" s="184">
        <f t="shared" si="157"/>
        <v>0.01</v>
      </c>
      <c r="Z408" s="184">
        <f t="shared" si="158"/>
        <v>1600</v>
      </c>
      <c r="AA408" s="208" t="s">
        <v>1923</v>
      </c>
      <c r="AB408" s="208"/>
      <c r="AC408" s="208"/>
      <c r="AD408" s="650">
        <v>-0.05</v>
      </c>
      <c r="AE408" s="205"/>
      <c r="AF408" s="333"/>
      <c r="AG408" s="205"/>
      <c r="AH408" s="205"/>
      <c r="AI408" s="205"/>
      <c r="AJ408" s="641"/>
      <c r="AK408" s="205"/>
      <c r="AL408" s="496">
        <f t="shared" ref="AL408" si="168">-0.03*Z408</f>
        <v>-48</v>
      </c>
      <c r="AM408" s="496">
        <f t="shared" si="159"/>
        <v>-240</v>
      </c>
      <c r="AN408" s="627"/>
      <c r="AO408" s="205"/>
      <c r="AP408" s="205" t="s">
        <v>1944</v>
      </c>
      <c r="AQ408" s="333" t="s">
        <v>1259</v>
      </c>
      <c r="AR408" s="205" t="s">
        <v>1945</v>
      </c>
      <c r="AS408" s="211">
        <v>-0.06</v>
      </c>
      <c r="AT408" s="189">
        <f t="shared" si="160"/>
        <v>9.999999999999995E-3</v>
      </c>
      <c r="AU408" s="187">
        <f t="shared" si="161"/>
        <v>79.999999999999972</v>
      </c>
      <c r="AV408" s="190">
        <f t="shared" si="162"/>
        <v>15.999999999999993</v>
      </c>
      <c r="AW408" s="213" t="s">
        <v>96</v>
      </c>
      <c r="AX408" s="413"/>
      <c r="AY408" s="413"/>
      <c r="AZ408" s="413"/>
      <c r="BA408" s="413"/>
      <c r="BB408" s="413"/>
      <c r="BC408" s="413"/>
      <c r="BD408" s="413"/>
      <c r="BE408" s="413"/>
      <c r="BF408" s="427"/>
      <c r="BG408" s="391">
        <f>SUM($AV$4:AV408)</f>
        <v>2660.9350000000163</v>
      </c>
      <c r="BH408" s="392">
        <f>SUM($AU$134:AU408)</f>
        <v>118.08999999995974</v>
      </c>
      <c r="BI408" s="318">
        <f>SUMIFS($AU$134:AU409,$Q$134:Q409,"F")</f>
        <v>-3014.8</v>
      </c>
      <c r="BJ408" s="318">
        <f>SUMIFS($AU$134:AU409,$Q$134:Q409,"S")</f>
        <v>3135.0499999999979</v>
      </c>
      <c r="BK408" s="343">
        <f>SUMIFS($AU$134:AU409,$P$134:P409,"W")</f>
        <v>2361.1899999999523</v>
      </c>
      <c r="BL408" s="343">
        <f>SUMIFS($AU$134:AU409,$P$134:P409,"R")</f>
        <v>-2243.0999999999935</v>
      </c>
      <c r="BM408" s="343">
        <f>SUMIFS($AU$134:AU409,$AQ$134:AQ409,"M")</f>
        <v>237.80000000000467</v>
      </c>
      <c r="BN408" s="343">
        <f>SUMIFS($AU$134:AU409,$AQ$134:AQ409,"H")</f>
        <v>887.70000000001517</v>
      </c>
      <c r="BO408" s="343">
        <f>SUMIFS($AU$134:AU409,$AQ$134:AQ409,"D")</f>
        <v>-487.15000000000055</v>
      </c>
      <c r="BP408" s="343">
        <f>SUMIFS($AU$134:AU411,$AQ$134:AQ411,"W")</f>
        <v>-1270.7</v>
      </c>
      <c r="BQ408" s="343">
        <f>SUMIFS($AU$134:AU409,$Q$134:Q409,"O")</f>
        <v>-201.36000000004023</v>
      </c>
      <c r="BR408" s="343">
        <f>SUMIFS($AU$134:AU409,$AA$134:AA409,"*")</f>
        <v>2791.1499999999878</v>
      </c>
      <c r="BS408" s="343">
        <f>SUMIFS($AU$134:AU409,$AB$134:AB409,"*")</f>
        <v>111.23999999997596</v>
      </c>
      <c r="BT408" s="343">
        <f>SUMIFS($AU$134:AU409,$AC$134:AC409,"*")</f>
        <v>-2282.4500000000012</v>
      </c>
      <c r="BU408" s="343">
        <f>SUMIFS($AU$134:AU409,$AA$134:AA409,"*",$AB$134:AB409,"*")</f>
        <v>-188.19999999999513</v>
      </c>
      <c r="BV408" s="343">
        <f>SUMIFS($AU$134:AU409,$AA$134:AA409,"*",$AC$134:AC409,"*")</f>
        <v>666.64999999999907</v>
      </c>
      <c r="BW408" s="343">
        <f>SUMIFS($AU$134:AU409,$AB$134:AB409,"*",$AC$134:AC409,"*")</f>
        <v>78.599999999999653</v>
      </c>
      <c r="BX408" s="343">
        <f>SUMIFS($AU409:AU$1388,$Q409:Q$1388,"F")</f>
        <v>17455.466666666667</v>
      </c>
      <c r="BY408" s="343">
        <f>SUMIFS($AU409:AU$1388,$Q409:Q$1388,"S")</f>
        <v>17536.592000000001</v>
      </c>
      <c r="BZ408" s="343">
        <f>SUMIFS($AU409:AU$1388,$Q409:Q$1388,"O")</f>
        <v>-1447.4979999997583</v>
      </c>
    </row>
    <row r="409" spans="1:78" ht="15.75" customHeight="1">
      <c r="A409" s="221" t="s">
        <v>1720</v>
      </c>
      <c r="B409" s="200">
        <v>45009</v>
      </c>
      <c r="C409" s="201" t="s">
        <v>1946</v>
      </c>
      <c r="D409" s="201" t="s">
        <v>111</v>
      </c>
      <c r="E409" s="247"/>
      <c r="F409" s="203"/>
      <c r="G409" s="314" t="s">
        <v>133</v>
      </c>
      <c r="H409" s="205"/>
      <c r="I409" s="205"/>
      <c r="J409" s="205"/>
      <c r="K409" s="206"/>
      <c r="L409" s="205">
        <v>1</v>
      </c>
      <c r="M409" s="205"/>
      <c r="N409" s="205"/>
      <c r="O409" s="206" t="s">
        <v>95</v>
      </c>
      <c r="P409" s="206" t="s">
        <v>96</v>
      </c>
      <c r="Q409" s="206" t="s">
        <v>97</v>
      </c>
      <c r="R409" s="206">
        <v>5</v>
      </c>
      <c r="S409" s="206">
        <v>5</v>
      </c>
      <c r="T409" s="206">
        <v>5</v>
      </c>
      <c r="U409" s="206" t="s">
        <v>22</v>
      </c>
      <c r="V409" s="206"/>
      <c r="W409" s="206"/>
      <c r="X409" s="206"/>
      <c r="Y409" s="184">
        <f t="shared" si="157"/>
        <v>0.01</v>
      </c>
      <c r="Z409" s="184">
        <f t="shared" si="158"/>
        <v>1600</v>
      </c>
      <c r="AA409" s="208" t="s">
        <v>1947</v>
      </c>
      <c r="AB409" s="208" t="s">
        <v>529</v>
      </c>
      <c r="AC409" s="208"/>
      <c r="AD409" s="650">
        <v>-7.0000000000000007E-2</v>
      </c>
      <c r="AE409" s="205"/>
      <c r="AF409" s="333"/>
      <c r="AG409" s="205"/>
      <c r="AH409" s="205"/>
      <c r="AI409" s="205"/>
      <c r="AJ409" s="641"/>
      <c r="AK409" s="205"/>
      <c r="AL409" s="496"/>
      <c r="AM409" s="496"/>
      <c r="AN409" s="627"/>
      <c r="AO409" s="205"/>
      <c r="AP409" s="205" t="s">
        <v>967</v>
      </c>
      <c r="AQ409" s="333" t="str">
        <f>UPPER(RIGHT(Journal_Live[[#This Row],[DURATION ]]))</f>
        <v>H</v>
      </c>
      <c r="AR409" s="205" t="s">
        <v>1948</v>
      </c>
      <c r="AS409" s="211">
        <v>-7.0000000000000007E-2</v>
      </c>
      <c r="AT409" s="189">
        <f t="shared" si="160"/>
        <v>0</v>
      </c>
      <c r="AU409" s="187">
        <f t="shared" si="161"/>
        <v>0</v>
      </c>
      <c r="AV409" s="190">
        <f t="shared" si="162"/>
        <v>0</v>
      </c>
      <c r="AW409" s="213" t="s">
        <v>115</v>
      </c>
      <c r="AX409" s="413" t="s">
        <v>1949</v>
      </c>
      <c r="AY409" s="413"/>
      <c r="AZ409" s="413"/>
      <c r="BA409" s="413" t="s">
        <v>1950</v>
      </c>
      <c r="BB409" s="413"/>
      <c r="BC409" s="413"/>
      <c r="BD409" s="413"/>
      <c r="BE409" s="413"/>
      <c r="BF409" s="427"/>
      <c r="BG409" s="391">
        <f>SUM($AV$4:AV409)</f>
        <v>2660.9350000000163</v>
      </c>
      <c r="BH409" s="392">
        <f>SUM($AU$134:AU409)</f>
        <v>118.08999999995974</v>
      </c>
      <c r="BI409" s="318">
        <f>SUMIFS($AU$134:AU410,$Q$134:Q410,"F")</f>
        <v>-3014.8</v>
      </c>
      <c r="BJ409" s="318">
        <f>SUMIFS($AU$134:AU410,$Q$134:Q410,"S")</f>
        <v>3135.0499999999979</v>
      </c>
      <c r="BK409" s="343">
        <f>SUMIFS($AU$134:AU410,$P$134:P410,"W")</f>
        <v>2361.1899999999523</v>
      </c>
      <c r="BL409" s="343">
        <f>SUMIFS($AU$134:AU410,$P$134:P410,"R")</f>
        <v>-2243.0999999999935</v>
      </c>
      <c r="BM409" s="343">
        <f>SUMIFS($AU$134:AU410,$AQ$134:AQ410,"M")</f>
        <v>237.80000000000467</v>
      </c>
      <c r="BN409" s="343">
        <f>SUMIFS($AU$134:AU410,$AQ$134:AQ410,"H")</f>
        <v>887.70000000001517</v>
      </c>
      <c r="BO409" s="343">
        <f>SUMIFS($AU$134:AU410,$AQ$134:AQ410,"D")</f>
        <v>-487.15000000000055</v>
      </c>
      <c r="BP409" s="343">
        <f>SUMIFS($AU$134:AU412,$AQ$134:AQ412,"W")</f>
        <v>-1270.7</v>
      </c>
      <c r="BQ409" s="343">
        <f>SUMIFS($AU$134:AU410,$Q$134:Q410,"O")</f>
        <v>-201.36000000004023</v>
      </c>
      <c r="BR409" s="343">
        <f>SUMIFS($AU$134:AU410,$AA$134:AA410,"*")</f>
        <v>2791.1499999999878</v>
      </c>
      <c r="BS409" s="343">
        <f>SUMIFS($AU$134:AU410,$AB$134:AB410,"*")</f>
        <v>111.23999999997596</v>
      </c>
      <c r="BT409" s="343">
        <f>SUMIFS($AU$134:AU410,$AC$134:AC410,"*")</f>
        <v>-2282.4500000000012</v>
      </c>
      <c r="BU409" s="343">
        <f>SUMIFS($AU$134:AU410,$AA$134:AA410,"*",$AB$134:AB410,"*")</f>
        <v>-188.19999999999513</v>
      </c>
      <c r="BV409" s="343">
        <f>SUMIFS($AU$134:AU410,$AA$134:AA410,"*",$AC$134:AC410,"*")</f>
        <v>666.64999999999907</v>
      </c>
      <c r="BW409" s="343">
        <f>SUMIFS($AU$134:AU410,$AB$134:AB410,"*",$AC$134:AC410,"*")</f>
        <v>78.599999999999653</v>
      </c>
      <c r="BX409" s="343">
        <f>SUMIFS($AU410:AU$1388,$Q410:Q$1388,"F")</f>
        <v>17455.466666666667</v>
      </c>
      <c r="BY409" s="343">
        <f>SUMIFS($AU410:AU$1388,$Q410:Q$1388,"S")</f>
        <v>17536.592000000001</v>
      </c>
      <c r="BZ409" s="343">
        <f>SUMIFS($AU410:AU$1388,$Q410:Q$1388,"O")</f>
        <v>-1447.4979999997583</v>
      </c>
    </row>
    <row r="410" spans="1:78" ht="15.75" customHeight="1">
      <c r="A410" s="221" t="s">
        <v>1720</v>
      </c>
      <c r="B410" s="200">
        <v>45009</v>
      </c>
      <c r="C410" s="201" t="s">
        <v>1951</v>
      </c>
      <c r="D410" s="201" t="s">
        <v>111</v>
      </c>
      <c r="E410" s="247"/>
      <c r="F410" s="203"/>
      <c r="G410" s="314" t="s">
        <v>553</v>
      </c>
      <c r="H410" s="205"/>
      <c r="I410" s="205"/>
      <c r="J410" s="205"/>
      <c r="K410" s="206"/>
      <c r="L410" s="205">
        <v>1</v>
      </c>
      <c r="M410" s="205"/>
      <c r="N410" s="205"/>
      <c r="O410" s="206" t="s">
        <v>95</v>
      </c>
      <c r="P410" s="206" t="s">
        <v>137</v>
      </c>
      <c r="Q410" s="206" t="s">
        <v>97</v>
      </c>
      <c r="R410" s="206">
        <v>1</v>
      </c>
      <c r="S410" s="206">
        <v>1</v>
      </c>
      <c r="T410" s="206">
        <v>1</v>
      </c>
      <c r="U410" s="206" t="s">
        <v>22</v>
      </c>
      <c r="V410" s="206"/>
      <c r="W410" s="206"/>
      <c r="X410" s="206"/>
      <c r="Y410" s="184">
        <f t="shared" si="157"/>
        <v>0.01</v>
      </c>
      <c r="Z410" s="184">
        <f t="shared" si="158"/>
        <v>1600</v>
      </c>
      <c r="AA410" s="208" t="s">
        <v>1947</v>
      </c>
      <c r="AB410" s="208" t="s">
        <v>529</v>
      </c>
      <c r="AC410" s="208"/>
      <c r="AD410" s="650">
        <v>-0.03</v>
      </c>
      <c r="AE410" s="205"/>
      <c r="AF410" s="333"/>
      <c r="AG410" s="205"/>
      <c r="AH410" s="205"/>
      <c r="AI410" s="205"/>
      <c r="AJ410" s="641"/>
      <c r="AK410" s="205"/>
      <c r="AL410" s="496"/>
      <c r="AM410" s="496"/>
      <c r="AN410" s="627"/>
      <c r="AO410" s="205"/>
      <c r="AP410" s="205" t="s">
        <v>1455</v>
      </c>
      <c r="AQ410" s="333" t="str">
        <f>UPPER(RIGHT(Journal_Live[[#This Row],[DURATION ]]))</f>
        <v>S</v>
      </c>
      <c r="AR410" s="205" t="s">
        <v>901</v>
      </c>
      <c r="AS410" s="211">
        <v>-0.03</v>
      </c>
      <c r="AT410" s="189">
        <f t="shared" si="160"/>
        <v>0</v>
      </c>
      <c r="AU410" s="187">
        <f t="shared" si="161"/>
        <v>0</v>
      </c>
      <c r="AV410" s="190">
        <f t="shared" si="162"/>
        <v>0</v>
      </c>
      <c r="AW410" s="213" t="s">
        <v>115</v>
      </c>
      <c r="AX410" s="413" t="s">
        <v>1949</v>
      </c>
      <c r="AY410" s="413"/>
      <c r="AZ410" s="413"/>
      <c r="BA410" s="413"/>
      <c r="BB410" s="413"/>
      <c r="BC410" s="413"/>
      <c r="BD410" s="413"/>
      <c r="BE410" s="413"/>
      <c r="BF410" s="427"/>
      <c r="BG410" s="391">
        <f>SUM($AV$4:AV410)</f>
        <v>2660.9350000000163</v>
      </c>
      <c r="BH410" s="392">
        <f>SUM($AU$134:AU410)</f>
        <v>118.08999999995974</v>
      </c>
      <c r="BI410" s="318">
        <f>SUMIFS($AU$134:AU411,$Q$134:Q411,"F")</f>
        <v>-3014.8</v>
      </c>
      <c r="BJ410" s="318">
        <f>SUMIFS($AU$134:AU411,$Q$134:Q411,"S")</f>
        <v>3215.0499999999979</v>
      </c>
      <c r="BK410" s="343">
        <f>SUMIFS($AU$134:AU411,$P$134:P411,"W")</f>
        <v>2441.1899999999523</v>
      </c>
      <c r="BL410" s="343">
        <f>SUMIFS($AU$134:AU411,$P$134:P411,"R")</f>
        <v>-2243.0999999999935</v>
      </c>
      <c r="BM410" s="343">
        <f>SUMIFS($AU$134:AU411,$AQ$134:AQ411,"M")</f>
        <v>317.80000000000473</v>
      </c>
      <c r="BN410" s="343">
        <f>SUMIFS($AU$134:AU411,$AQ$134:AQ411,"H")</f>
        <v>887.70000000001517</v>
      </c>
      <c r="BO410" s="343">
        <f>SUMIFS($AU$134:AU411,$AQ$134:AQ411,"D")</f>
        <v>-487.15000000000055</v>
      </c>
      <c r="BP410" s="343">
        <f>SUMIFS($AU$134:AU413,$AQ$134:AQ413,"W")</f>
        <v>-1270.7</v>
      </c>
      <c r="BQ410" s="343">
        <f>SUMIFS($AU$134:AU411,$Q$134:Q411,"O")</f>
        <v>-201.36000000004023</v>
      </c>
      <c r="BR410" s="343">
        <f>SUMIFS($AU$134:AU411,$AA$134:AA411,"*")</f>
        <v>2871.1499999999878</v>
      </c>
      <c r="BS410" s="343">
        <f>SUMIFS($AU$134:AU411,$AB$134:AB411,"*")</f>
        <v>111.23999999997596</v>
      </c>
      <c r="BT410" s="343">
        <f>SUMIFS($AU$134:AU411,$AC$134:AC411,"*")</f>
        <v>-2282.4500000000012</v>
      </c>
      <c r="BU410" s="343">
        <f>SUMIFS($AU$134:AU411,$AA$134:AA411,"*",$AB$134:AB411,"*")</f>
        <v>-188.19999999999513</v>
      </c>
      <c r="BV410" s="343">
        <f>SUMIFS($AU$134:AU411,$AA$134:AA411,"*",$AC$134:AC411,"*")</f>
        <v>666.64999999999907</v>
      </c>
      <c r="BW410" s="343">
        <f>SUMIFS($AU$134:AU411,$AB$134:AB411,"*",$AC$134:AC411,"*")</f>
        <v>78.599999999999653</v>
      </c>
      <c r="BX410" s="343">
        <f>SUMIFS($AU411:AU$1388,$Q411:Q$1388,"F")</f>
        <v>17455.466666666667</v>
      </c>
      <c r="BY410" s="343">
        <f>SUMIFS($AU411:AU$1388,$Q411:Q$1388,"S")</f>
        <v>17536.592000000001</v>
      </c>
      <c r="BZ410" s="343">
        <f>SUMIFS($AU411:AU$1388,$Q411:Q$1388,"O")</f>
        <v>-1447.4979999997583</v>
      </c>
    </row>
    <row r="411" spans="1:78" ht="15.75" customHeight="1">
      <c r="A411" s="221" t="s">
        <v>1720</v>
      </c>
      <c r="B411" s="200">
        <v>45012</v>
      </c>
      <c r="C411" s="201" t="s">
        <v>1952</v>
      </c>
      <c r="D411" s="201" t="s">
        <v>132</v>
      </c>
      <c r="E411" s="247"/>
      <c r="F411" s="203"/>
      <c r="G411" s="314" t="s">
        <v>133</v>
      </c>
      <c r="H411" s="205"/>
      <c r="I411" s="205"/>
      <c r="J411" s="205"/>
      <c r="K411" s="206"/>
      <c r="L411" s="205">
        <v>2</v>
      </c>
      <c r="M411" s="205">
        <v>1</v>
      </c>
      <c r="N411" s="205"/>
      <c r="O411" s="206" t="s">
        <v>95</v>
      </c>
      <c r="P411" s="206" t="s">
        <v>96</v>
      </c>
      <c r="Q411" s="206" t="s">
        <v>97</v>
      </c>
      <c r="R411" s="206">
        <v>5</v>
      </c>
      <c r="S411" s="206">
        <v>5</v>
      </c>
      <c r="T411" s="206">
        <v>5</v>
      </c>
      <c r="U411" s="206" t="s">
        <v>22</v>
      </c>
      <c r="V411" s="206"/>
      <c r="W411" s="206"/>
      <c r="X411" s="206"/>
      <c r="Y411" s="184">
        <f t="shared" si="157"/>
        <v>0.01</v>
      </c>
      <c r="Z411" s="184">
        <f t="shared" si="158"/>
        <v>1600</v>
      </c>
      <c r="AA411" s="208" t="s">
        <v>99</v>
      </c>
      <c r="AB411" s="208"/>
      <c r="AC411" s="208"/>
      <c r="AD411" s="650">
        <v>-7.0000000000000007E-2</v>
      </c>
      <c r="AE411" s="205"/>
      <c r="AF411" s="333"/>
      <c r="AG411" s="205"/>
      <c r="AH411" s="205"/>
      <c r="AI411" s="205"/>
      <c r="AJ411" s="641"/>
      <c r="AK411" s="205"/>
      <c r="AL411" s="496">
        <f t="shared" ref="AL411" si="169">-0.03*Z411</f>
        <v>-48</v>
      </c>
      <c r="AM411" s="496">
        <f t="shared" ref="AM411:AM423" si="170">AL411*R411</f>
        <v>-240</v>
      </c>
      <c r="AN411" s="627"/>
      <c r="AO411" s="205"/>
      <c r="AP411" s="205" t="s">
        <v>1953</v>
      </c>
      <c r="AQ411" s="333" t="str">
        <f>UPPER(RIGHT(Journal_Live[[#This Row],[DURATION ]]))</f>
        <v>M</v>
      </c>
      <c r="AR411" s="205" t="s">
        <v>1954</v>
      </c>
      <c r="AS411" s="211">
        <f>((-0.06*4)+(-0.06*1))/5</f>
        <v>-0.06</v>
      </c>
      <c r="AT411" s="189">
        <f t="shared" si="160"/>
        <v>1.0000000000000009E-2</v>
      </c>
      <c r="AU411" s="187">
        <f t="shared" si="161"/>
        <v>80.000000000000071</v>
      </c>
      <c r="AV411" s="190">
        <f t="shared" si="162"/>
        <v>16.000000000000014</v>
      </c>
      <c r="AW411" s="213" t="s">
        <v>96</v>
      </c>
      <c r="AX411" s="413"/>
      <c r="AY411" s="413"/>
      <c r="AZ411" s="413"/>
      <c r="BA411" s="413" t="s">
        <v>1955</v>
      </c>
      <c r="BB411" s="413" t="s">
        <v>529</v>
      </c>
      <c r="BC411" s="413"/>
      <c r="BD411" s="413"/>
      <c r="BE411" s="413"/>
      <c r="BF411" s="427"/>
      <c r="BG411" s="391">
        <f>SUM($AV$4:AV411)</f>
        <v>2676.9350000000163</v>
      </c>
      <c r="BH411" s="392">
        <f>SUM($AU$134:AU411)</f>
        <v>198.08999999995982</v>
      </c>
      <c r="BI411" s="318">
        <f>SUMIFS($AU$134:AU412,$Q$134:Q412,"F")</f>
        <v>-3014.8</v>
      </c>
      <c r="BJ411" s="318">
        <f>SUMIFS($AU$134:AU412,$Q$134:Q412,"S")</f>
        <v>3375.0499999999979</v>
      </c>
      <c r="BK411" s="343">
        <f>SUMIFS($AU$134:AU412,$P$134:P412,"W")</f>
        <v>2601.1899999999523</v>
      </c>
      <c r="BL411" s="343">
        <f>SUMIFS($AU$134:AU412,$P$134:P412,"R")</f>
        <v>-2243.0999999999935</v>
      </c>
      <c r="BM411" s="343">
        <f>SUMIFS($AU$134:AU412,$AQ$134:AQ412,"M")</f>
        <v>317.80000000000473</v>
      </c>
      <c r="BN411" s="343">
        <f>SUMIFS($AU$134:AU412,$AQ$134:AQ412,"H")</f>
        <v>1047.7000000000153</v>
      </c>
      <c r="BO411" s="343">
        <f>SUMIFS($AU$134:AU412,$AQ$134:AQ412,"D")</f>
        <v>-487.15000000000055</v>
      </c>
      <c r="BP411" s="343">
        <f>SUMIFS($AU$134:AU414,$AQ$134:AQ414,"W")</f>
        <v>-1270.7</v>
      </c>
      <c r="BQ411" s="343">
        <f>SUMIFS($AU$134:AU412,$Q$134:Q412,"O")</f>
        <v>-201.36000000004023</v>
      </c>
      <c r="BR411" s="343">
        <f>SUMIFS($AU$134:AU412,$AA$134:AA412,"*")</f>
        <v>3031.1499999999878</v>
      </c>
      <c r="BS411" s="343">
        <f>SUMIFS($AU$134:AU412,$AB$134:AB412,"*")</f>
        <v>111.23999999997596</v>
      </c>
      <c r="BT411" s="343">
        <f>SUMIFS($AU$134:AU412,$AC$134:AC412,"*")</f>
        <v>-2282.4500000000012</v>
      </c>
      <c r="BU411" s="343">
        <f>SUMIFS($AU$134:AU412,$AA$134:AA412,"*",$AB$134:AB412,"*")</f>
        <v>-188.19999999999513</v>
      </c>
      <c r="BV411" s="343">
        <f>SUMIFS($AU$134:AU412,$AA$134:AA412,"*",$AC$134:AC412,"*")</f>
        <v>666.64999999999907</v>
      </c>
      <c r="BW411" s="343">
        <f>SUMIFS($AU$134:AU412,$AB$134:AB412,"*",$AC$134:AC412,"*")</f>
        <v>78.599999999999653</v>
      </c>
      <c r="BX411" s="343">
        <f>SUMIFS($AU412:AU$1388,$Q412:Q$1388,"F")</f>
        <v>17455.466666666667</v>
      </c>
      <c r="BY411" s="343">
        <f>SUMIFS($AU412:AU$1388,$Q412:Q$1388,"S")</f>
        <v>17456.592000000001</v>
      </c>
      <c r="BZ411" s="343">
        <f>SUMIFS($AU412:AU$1388,$Q412:Q$1388,"O")</f>
        <v>-1447.4979999997583</v>
      </c>
    </row>
    <row r="412" spans="1:78" ht="15.75" customHeight="1">
      <c r="A412" s="221" t="s">
        <v>1720</v>
      </c>
      <c r="B412" s="200">
        <v>45012</v>
      </c>
      <c r="C412" s="201" t="s">
        <v>1956</v>
      </c>
      <c r="D412" s="201" t="s">
        <v>132</v>
      </c>
      <c r="E412" s="247"/>
      <c r="F412" s="203"/>
      <c r="G412" s="314" t="s">
        <v>133</v>
      </c>
      <c r="H412" s="205"/>
      <c r="I412" s="205"/>
      <c r="J412" s="205"/>
      <c r="K412" s="206"/>
      <c r="L412" s="205">
        <v>2</v>
      </c>
      <c r="M412" s="205">
        <v>1</v>
      </c>
      <c r="N412" s="205"/>
      <c r="O412" s="206" t="s">
        <v>95</v>
      </c>
      <c r="P412" s="206" t="s">
        <v>96</v>
      </c>
      <c r="Q412" s="206" t="s">
        <v>97</v>
      </c>
      <c r="R412" s="206">
        <v>10</v>
      </c>
      <c r="S412" s="206">
        <v>10</v>
      </c>
      <c r="T412" s="206">
        <v>10</v>
      </c>
      <c r="U412" s="206" t="s">
        <v>22</v>
      </c>
      <c r="V412" s="206"/>
      <c r="W412" s="206"/>
      <c r="X412" s="206"/>
      <c r="Y412" s="184">
        <f t="shared" si="157"/>
        <v>0.01</v>
      </c>
      <c r="Z412" s="184">
        <f t="shared" si="158"/>
        <v>1600</v>
      </c>
      <c r="AA412" s="208" t="s">
        <v>99</v>
      </c>
      <c r="AB412" s="208"/>
      <c r="AC412" s="208"/>
      <c r="AD412" s="650">
        <v>-7.0000000000000007E-2</v>
      </c>
      <c r="AE412" s="205"/>
      <c r="AF412" s="333"/>
      <c r="AG412" s="205"/>
      <c r="AH412" s="205"/>
      <c r="AI412" s="205"/>
      <c r="AJ412" s="641" t="s">
        <v>1957</v>
      </c>
      <c r="AK412" s="205" t="s">
        <v>529</v>
      </c>
      <c r="AL412" s="496">
        <f t="shared" ref="AL412" si="171">-0.03*Z412</f>
        <v>-48</v>
      </c>
      <c r="AM412" s="496">
        <f t="shared" si="170"/>
        <v>-480</v>
      </c>
      <c r="AN412" s="627"/>
      <c r="AO412" s="205"/>
      <c r="AP412" s="205" t="s">
        <v>1026</v>
      </c>
      <c r="AQ412" s="333" t="str">
        <f>UPPER(RIGHT(Journal_Live[[#This Row],[DURATION ]]))</f>
        <v>H</v>
      </c>
      <c r="AR412" s="205" t="s">
        <v>958</v>
      </c>
      <c r="AS412" s="211">
        <v>-0.06</v>
      </c>
      <c r="AT412" s="189">
        <f t="shared" si="160"/>
        <v>1.0000000000000009E-2</v>
      </c>
      <c r="AU412" s="187">
        <f t="shared" si="161"/>
        <v>160.00000000000014</v>
      </c>
      <c r="AV412" s="190">
        <f t="shared" si="162"/>
        <v>16.000000000000014</v>
      </c>
      <c r="AW412" s="213" t="s">
        <v>96</v>
      </c>
      <c r="AX412" s="413"/>
      <c r="AY412" s="413"/>
      <c r="AZ412" s="413"/>
      <c r="BA412" s="413"/>
      <c r="BB412" s="413"/>
      <c r="BC412" s="413"/>
      <c r="BD412" s="413"/>
      <c r="BE412" s="413"/>
      <c r="BF412" s="427"/>
      <c r="BG412" s="391">
        <f>SUM($AV$4:AV412)</f>
        <v>2692.9350000000163</v>
      </c>
      <c r="BH412" s="392">
        <f>SUM($AU$134:AU412)</f>
        <v>358.08999999995996</v>
      </c>
      <c r="BI412" s="318">
        <f>SUMIFS($AU$134:AU413,$Q$134:Q413,"F")</f>
        <v>-3014.8</v>
      </c>
      <c r="BJ412" s="318">
        <f>SUMIFS($AU$134:AU413,$Q$134:Q413,"S")</f>
        <v>3455.0499999999979</v>
      </c>
      <c r="BK412" s="343">
        <f>SUMIFS($AU$134:AU413,$P$134:P413,"W")</f>
        <v>2681.1899999999523</v>
      </c>
      <c r="BL412" s="343">
        <f>SUMIFS($AU$134:AU413,$P$134:P413,"R")</f>
        <v>-2243.0999999999935</v>
      </c>
      <c r="BM412" s="343">
        <f>SUMIFS($AU$134:AU413,$AQ$134:AQ413,"M")</f>
        <v>317.80000000000473</v>
      </c>
      <c r="BN412" s="343">
        <f>SUMIFS($AU$134:AU413,$AQ$134:AQ413,"H")</f>
        <v>1127.7000000000153</v>
      </c>
      <c r="BO412" s="343">
        <f>SUMIFS($AU$134:AU413,$AQ$134:AQ413,"D")</f>
        <v>-487.15000000000055</v>
      </c>
      <c r="BP412" s="343">
        <f>SUMIFS($AU$134:AU415,$AQ$134:AQ415,"W")</f>
        <v>-1270.7</v>
      </c>
      <c r="BQ412" s="343">
        <f>SUMIFS($AU$134:AU413,$Q$134:Q413,"O")</f>
        <v>-201.36000000004023</v>
      </c>
      <c r="BR412" s="343">
        <f>SUMIFS($AU$134:AU413,$AA$134:AA413,"*")</f>
        <v>3111.1499999999878</v>
      </c>
      <c r="BS412" s="343">
        <f>SUMIFS($AU$134:AU413,$AB$134:AB413,"*")</f>
        <v>111.23999999997596</v>
      </c>
      <c r="BT412" s="343">
        <f>SUMIFS($AU$134:AU413,$AC$134:AC413,"*")</f>
        <v>-2282.4500000000012</v>
      </c>
      <c r="BU412" s="343">
        <f>SUMIFS($AU$134:AU413,$AA$134:AA413,"*",$AB$134:AB413,"*")</f>
        <v>-188.19999999999513</v>
      </c>
      <c r="BV412" s="343">
        <f>SUMIFS($AU$134:AU413,$AA$134:AA413,"*",$AC$134:AC413,"*")</f>
        <v>666.64999999999907</v>
      </c>
      <c r="BW412" s="343">
        <f>SUMIFS($AU$134:AU413,$AB$134:AB413,"*",$AC$134:AC413,"*")</f>
        <v>78.599999999999653</v>
      </c>
      <c r="BX412" s="343">
        <f>SUMIFS($AU413:AU$1388,$Q413:Q$1388,"F")</f>
        <v>17455.466666666667</v>
      </c>
      <c r="BY412" s="343">
        <f>SUMIFS($AU413:AU$1388,$Q413:Q$1388,"S")</f>
        <v>17296.592000000001</v>
      </c>
      <c r="BZ412" s="343">
        <f>SUMIFS($AU413:AU$1388,$Q413:Q$1388,"O")</f>
        <v>-1447.4979999997583</v>
      </c>
    </row>
    <row r="413" spans="1:78" ht="15.75" customHeight="1">
      <c r="A413" s="221" t="s">
        <v>1720</v>
      </c>
      <c r="B413" s="200">
        <v>45012</v>
      </c>
      <c r="C413" s="201" t="s">
        <v>1958</v>
      </c>
      <c r="D413" s="201" t="s">
        <v>132</v>
      </c>
      <c r="E413" s="247"/>
      <c r="F413" s="203"/>
      <c r="G413" s="314" t="s">
        <v>271</v>
      </c>
      <c r="H413" s="205"/>
      <c r="I413" s="205"/>
      <c r="J413" s="205"/>
      <c r="K413" s="206"/>
      <c r="L413" s="205">
        <v>2</v>
      </c>
      <c r="M413" s="205">
        <v>1</v>
      </c>
      <c r="N413" s="205"/>
      <c r="O413" s="206" t="s">
        <v>95</v>
      </c>
      <c r="P413" s="206" t="s">
        <v>96</v>
      </c>
      <c r="Q413" s="206" t="s">
        <v>97</v>
      </c>
      <c r="R413" s="206">
        <v>5</v>
      </c>
      <c r="S413" s="206">
        <v>5</v>
      </c>
      <c r="T413" s="206">
        <v>5</v>
      </c>
      <c r="U413" s="206" t="s">
        <v>97</v>
      </c>
      <c r="V413" s="206"/>
      <c r="W413" s="206"/>
      <c r="X413" s="206"/>
      <c r="Y413" s="184">
        <f t="shared" si="157"/>
        <v>0.01</v>
      </c>
      <c r="Z413" s="184">
        <f t="shared" si="158"/>
        <v>1600</v>
      </c>
      <c r="AA413" s="208" t="s">
        <v>99</v>
      </c>
      <c r="AB413" s="208"/>
      <c r="AC413" s="208"/>
      <c r="AD413" s="650">
        <v>-0.04</v>
      </c>
      <c r="AE413" s="205"/>
      <c r="AF413" s="333"/>
      <c r="AG413" s="205"/>
      <c r="AH413" s="205"/>
      <c r="AI413" s="205"/>
      <c r="AJ413" s="641"/>
      <c r="AK413" s="205"/>
      <c r="AL413" s="496">
        <f t="shared" ref="AL413" si="172">-0.03*Z413</f>
        <v>-48</v>
      </c>
      <c r="AM413" s="496">
        <f t="shared" si="170"/>
        <v>-240</v>
      </c>
      <c r="AN413" s="627"/>
      <c r="AO413" s="205"/>
      <c r="AP413" s="205" t="s">
        <v>967</v>
      </c>
      <c r="AQ413" s="333" t="str">
        <f>UPPER(RIGHT(Journal_Live[[#This Row],[DURATION ]]))</f>
        <v>H</v>
      </c>
      <c r="AR413" s="205" t="s">
        <v>1959</v>
      </c>
      <c r="AS413" s="211">
        <v>-0.05</v>
      </c>
      <c r="AT413" s="189">
        <f t="shared" si="160"/>
        <v>1.0000000000000002E-2</v>
      </c>
      <c r="AU413" s="187">
        <f t="shared" si="161"/>
        <v>80.000000000000014</v>
      </c>
      <c r="AV413" s="190">
        <f t="shared" si="162"/>
        <v>16.000000000000004</v>
      </c>
      <c r="AW413" s="213" t="s">
        <v>96</v>
      </c>
      <c r="AX413" s="413"/>
      <c r="AY413" s="413"/>
      <c r="AZ413" s="413"/>
      <c r="BA413" s="413"/>
      <c r="BB413" s="413"/>
      <c r="BC413" s="413"/>
      <c r="BD413" s="413"/>
      <c r="BE413" s="413"/>
      <c r="BF413" s="427"/>
      <c r="BG413" s="391">
        <f>SUM($AV$4:AV413)</f>
        <v>2708.9350000000163</v>
      </c>
      <c r="BH413" s="392">
        <f>SUM($AU$134:AU413)</f>
        <v>438.08999999995996</v>
      </c>
      <c r="BI413" s="318">
        <f>SUMIFS($AU$134:AU414,$Q$134:Q414,"F")</f>
        <v>-3014.8</v>
      </c>
      <c r="BJ413" s="318">
        <f>SUMIFS($AU$134:AU414,$Q$134:Q414,"S")</f>
        <v>3615.0499999999979</v>
      </c>
      <c r="BK413" s="343">
        <f>SUMIFS($AU$134:AU414,$P$134:P414,"W")</f>
        <v>2841.1899999999523</v>
      </c>
      <c r="BL413" s="343">
        <f>SUMIFS($AU$134:AU414,$P$134:P414,"R")</f>
        <v>-2243.0999999999935</v>
      </c>
      <c r="BM413" s="343">
        <f>SUMIFS($AU$134:AU414,$AQ$134:AQ414,"M")</f>
        <v>477.80000000000484</v>
      </c>
      <c r="BN413" s="343">
        <f>SUMIFS($AU$134:AU414,$AQ$134:AQ414,"H")</f>
        <v>1127.7000000000153</v>
      </c>
      <c r="BO413" s="343">
        <f>SUMIFS($AU$134:AU414,$AQ$134:AQ414,"D")</f>
        <v>-487.15000000000055</v>
      </c>
      <c r="BP413" s="343">
        <f>SUMIFS($AU$134:AU416,$AQ$134:AQ416,"W")</f>
        <v>-1270.7</v>
      </c>
      <c r="BQ413" s="343">
        <f>SUMIFS($AU$134:AU414,$Q$134:Q414,"O")</f>
        <v>-201.36000000004023</v>
      </c>
      <c r="BR413" s="343">
        <f>SUMIFS($AU$134:AU414,$AA$134:AA414,"*")</f>
        <v>3271.1499999999878</v>
      </c>
      <c r="BS413" s="343">
        <f>SUMIFS($AU$134:AU414,$AB$134:AB414,"*")</f>
        <v>111.23999999997596</v>
      </c>
      <c r="BT413" s="343">
        <f>SUMIFS($AU$134:AU414,$AC$134:AC414,"*")</f>
        <v>-2282.4500000000012</v>
      </c>
      <c r="BU413" s="343">
        <f>SUMIFS($AU$134:AU414,$AA$134:AA414,"*",$AB$134:AB414,"*")</f>
        <v>-188.19999999999513</v>
      </c>
      <c r="BV413" s="343">
        <f>SUMIFS($AU$134:AU414,$AA$134:AA414,"*",$AC$134:AC414,"*")</f>
        <v>666.64999999999907</v>
      </c>
      <c r="BW413" s="343">
        <f>SUMIFS($AU$134:AU414,$AB$134:AB414,"*",$AC$134:AC414,"*")</f>
        <v>78.599999999999653</v>
      </c>
      <c r="BX413" s="343">
        <f>SUMIFS($AU414:AU$1388,$Q414:Q$1388,"F")</f>
        <v>17455.466666666667</v>
      </c>
      <c r="BY413" s="343">
        <f>SUMIFS($AU414:AU$1388,$Q414:Q$1388,"S")</f>
        <v>17216.592000000001</v>
      </c>
      <c r="BZ413" s="343">
        <f>SUMIFS($AU414:AU$1388,$Q414:Q$1388,"O")</f>
        <v>-1447.4979999997583</v>
      </c>
    </row>
    <row r="414" spans="1:78" ht="15.75" customHeight="1">
      <c r="A414" s="221" t="s">
        <v>1720</v>
      </c>
      <c r="B414" s="200">
        <v>45012</v>
      </c>
      <c r="C414" s="201" t="s">
        <v>575</v>
      </c>
      <c r="D414" s="201" t="s">
        <v>132</v>
      </c>
      <c r="E414" s="247"/>
      <c r="F414" s="203"/>
      <c r="G414" s="314" t="s">
        <v>133</v>
      </c>
      <c r="H414" s="205"/>
      <c r="I414" s="205"/>
      <c r="J414" s="205"/>
      <c r="K414" s="206"/>
      <c r="L414" s="205">
        <v>2</v>
      </c>
      <c r="M414" s="205"/>
      <c r="N414" s="205"/>
      <c r="O414" s="206" t="s">
        <v>95</v>
      </c>
      <c r="P414" s="206" t="s">
        <v>96</v>
      </c>
      <c r="Q414" s="206" t="s">
        <v>97</v>
      </c>
      <c r="R414" s="206">
        <v>10</v>
      </c>
      <c r="S414" s="206">
        <v>10</v>
      </c>
      <c r="T414" s="206">
        <v>10</v>
      </c>
      <c r="U414" s="206" t="s">
        <v>97</v>
      </c>
      <c r="V414" s="206"/>
      <c r="W414" s="206"/>
      <c r="X414" s="206"/>
      <c r="Y414" s="184">
        <f t="shared" si="157"/>
        <v>0.01</v>
      </c>
      <c r="Z414" s="184">
        <f t="shared" si="158"/>
        <v>1600</v>
      </c>
      <c r="AA414" s="208" t="s">
        <v>99</v>
      </c>
      <c r="AB414" s="208"/>
      <c r="AC414" s="208"/>
      <c r="AD414" s="650">
        <v>-0.06</v>
      </c>
      <c r="AE414" s="205"/>
      <c r="AF414" s="333"/>
      <c r="AG414" s="205"/>
      <c r="AH414" s="205"/>
      <c r="AI414" s="205"/>
      <c r="AJ414" s="641"/>
      <c r="AK414" s="205"/>
      <c r="AL414" s="496">
        <f t="shared" ref="AL414" si="173">-0.03*Z414</f>
        <v>-48</v>
      </c>
      <c r="AM414" s="496">
        <f t="shared" si="170"/>
        <v>-480</v>
      </c>
      <c r="AN414" s="627"/>
      <c r="AO414" s="205"/>
      <c r="AP414" s="205" t="s">
        <v>1960</v>
      </c>
      <c r="AQ414" s="333" t="str">
        <f>UPPER(RIGHT(Journal_Live[[#This Row],[DURATION ]]))</f>
        <v>M</v>
      </c>
      <c r="AR414" s="205" t="s">
        <v>1961</v>
      </c>
      <c r="AS414" s="211">
        <v>-7.0000000000000007E-2</v>
      </c>
      <c r="AT414" s="189">
        <f t="shared" si="160"/>
        <v>1.0000000000000009E-2</v>
      </c>
      <c r="AU414" s="187">
        <f t="shared" si="161"/>
        <v>160.00000000000014</v>
      </c>
      <c r="AV414" s="190">
        <f t="shared" si="162"/>
        <v>16.000000000000014</v>
      </c>
      <c r="AW414" s="213" t="s">
        <v>96</v>
      </c>
      <c r="AX414" s="413" t="s">
        <v>1962</v>
      </c>
      <c r="AY414" s="413"/>
      <c r="AZ414" s="413"/>
      <c r="BA414" s="413"/>
      <c r="BB414" s="413"/>
      <c r="BC414" s="413"/>
      <c r="BD414" s="413"/>
      <c r="BE414" s="413"/>
      <c r="BF414" s="427"/>
      <c r="BG414" s="391">
        <f>SUM($AV$4:AV414)</f>
        <v>2724.9350000000163</v>
      </c>
      <c r="BH414" s="392">
        <f>SUM($AU$134:AU414)</f>
        <v>598.08999999996013</v>
      </c>
      <c r="BI414" s="318">
        <f>SUMIFS($AU$134:AU415,$Q$134:Q415,"F")</f>
        <v>-3014.8</v>
      </c>
      <c r="BJ414" s="318">
        <f>SUMIFS($AU$134:AU415,$Q$134:Q415,"S")</f>
        <v>3695.0499999999979</v>
      </c>
      <c r="BK414" s="343">
        <f>SUMIFS($AU$134:AU415,$P$134:P415,"W")</f>
        <v>2921.1899999999523</v>
      </c>
      <c r="BL414" s="343">
        <f>SUMIFS($AU$134:AU415,$P$134:P415,"R")</f>
        <v>-2243.0999999999935</v>
      </c>
      <c r="BM414" s="343">
        <f>SUMIFS($AU$134:AU415,$AQ$134:AQ415,"M")</f>
        <v>557.80000000000496</v>
      </c>
      <c r="BN414" s="343">
        <f>SUMIFS($AU$134:AU415,$AQ$134:AQ415,"H")</f>
        <v>1127.7000000000153</v>
      </c>
      <c r="BO414" s="343">
        <f>SUMIFS($AU$134:AU415,$AQ$134:AQ415,"D")</f>
        <v>-487.15000000000055</v>
      </c>
      <c r="BP414" s="343">
        <f>SUMIFS($AU$134:AU417,$AQ$134:AQ417,"W")</f>
        <v>-1270.7</v>
      </c>
      <c r="BQ414" s="343">
        <f>SUMIFS($AU$134:AU415,$Q$134:Q415,"O")</f>
        <v>-201.36000000004023</v>
      </c>
      <c r="BR414" s="343">
        <f>SUMIFS($AU$134:AU415,$AA$134:AA415,"*")</f>
        <v>3351.1499999999878</v>
      </c>
      <c r="BS414" s="343">
        <f>SUMIFS($AU$134:AU415,$AB$134:AB415,"*")</f>
        <v>111.23999999997596</v>
      </c>
      <c r="BT414" s="343">
        <f>SUMIFS($AU$134:AU415,$AC$134:AC415,"*")</f>
        <v>-2282.4500000000012</v>
      </c>
      <c r="BU414" s="343">
        <f>SUMIFS($AU$134:AU415,$AA$134:AA415,"*",$AB$134:AB415,"*")</f>
        <v>-188.19999999999513</v>
      </c>
      <c r="BV414" s="343">
        <f>SUMIFS($AU$134:AU415,$AA$134:AA415,"*",$AC$134:AC415,"*")</f>
        <v>666.64999999999907</v>
      </c>
      <c r="BW414" s="343">
        <f>SUMIFS($AU$134:AU415,$AB$134:AB415,"*",$AC$134:AC415,"*")</f>
        <v>78.599999999999653</v>
      </c>
      <c r="BX414" s="343">
        <f>SUMIFS($AU415:AU$1388,$Q415:Q$1388,"F")</f>
        <v>17455.466666666667</v>
      </c>
      <c r="BY414" s="343">
        <f>SUMIFS($AU415:AU$1388,$Q415:Q$1388,"S")</f>
        <v>17056.592000000001</v>
      </c>
      <c r="BZ414" s="343">
        <f>SUMIFS($AU415:AU$1388,$Q415:Q$1388,"O")</f>
        <v>-1447.4979999997583</v>
      </c>
    </row>
    <row r="415" spans="1:78" ht="15.75" customHeight="1">
      <c r="A415" s="221" t="s">
        <v>1720</v>
      </c>
      <c r="B415" s="200">
        <v>45012</v>
      </c>
      <c r="C415" s="201" t="s">
        <v>575</v>
      </c>
      <c r="D415" s="201" t="s">
        <v>132</v>
      </c>
      <c r="E415" s="247"/>
      <c r="F415" s="203"/>
      <c r="G415" s="314" t="s">
        <v>133</v>
      </c>
      <c r="H415" s="205"/>
      <c r="I415" s="205"/>
      <c r="J415" s="205"/>
      <c r="K415" s="206"/>
      <c r="L415" s="205">
        <v>2</v>
      </c>
      <c r="M415" s="205"/>
      <c r="N415" s="205"/>
      <c r="O415" s="206" t="s">
        <v>95</v>
      </c>
      <c r="P415" s="206" t="s">
        <v>96</v>
      </c>
      <c r="Q415" s="206" t="s">
        <v>97</v>
      </c>
      <c r="R415" s="206">
        <v>5</v>
      </c>
      <c r="S415" s="206">
        <v>5</v>
      </c>
      <c r="T415" s="206">
        <v>5</v>
      </c>
      <c r="U415" s="206" t="s">
        <v>97</v>
      </c>
      <c r="V415" s="206"/>
      <c r="W415" s="206"/>
      <c r="X415" s="206"/>
      <c r="Y415" s="184">
        <f t="shared" si="157"/>
        <v>0.01</v>
      </c>
      <c r="Z415" s="184">
        <f t="shared" si="158"/>
        <v>1600</v>
      </c>
      <c r="AA415" s="208" t="s">
        <v>99</v>
      </c>
      <c r="AB415" s="208"/>
      <c r="AC415" s="208"/>
      <c r="AD415" s="650">
        <v>-0.06</v>
      </c>
      <c r="AE415" s="205"/>
      <c r="AF415" s="333"/>
      <c r="AG415" s="205"/>
      <c r="AH415" s="205"/>
      <c r="AI415" s="205"/>
      <c r="AJ415" s="641"/>
      <c r="AK415" s="205"/>
      <c r="AL415" s="496">
        <f t="shared" ref="AL415:AL417" si="174">-0.03*Z415</f>
        <v>-48</v>
      </c>
      <c r="AM415" s="496">
        <f t="shared" si="170"/>
        <v>-240</v>
      </c>
      <c r="AN415" s="627"/>
      <c r="AO415" s="205"/>
      <c r="AP415" s="205" t="s">
        <v>1963</v>
      </c>
      <c r="AQ415" s="333" t="str">
        <f>UPPER(RIGHT(Journal_Live[[#This Row],[DURATION ]]))</f>
        <v>M</v>
      </c>
      <c r="AR415" s="205" t="s">
        <v>1964</v>
      </c>
      <c r="AS415" s="211">
        <v>-7.0000000000000007E-2</v>
      </c>
      <c r="AT415" s="189">
        <f t="shared" si="160"/>
        <v>1.0000000000000009E-2</v>
      </c>
      <c r="AU415" s="187">
        <f t="shared" si="161"/>
        <v>80.000000000000071</v>
      </c>
      <c r="AV415" s="190">
        <f t="shared" si="162"/>
        <v>16.000000000000014</v>
      </c>
      <c r="AW415" s="213" t="s">
        <v>96</v>
      </c>
      <c r="AX415" s="413"/>
      <c r="AY415" s="413"/>
      <c r="AZ415" s="413"/>
      <c r="BA415" s="413" t="s">
        <v>1436</v>
      </c>
      <c r="BB415" s="413"/>
      <c r="BC415" s="413"/>
      <c r="BD415" s="413"/>
      <c r="BE415" s="413"/>
      <c r="BF415" s="427"/>
      <c r="BG415" s="391">
        <f>SUM($AV$4:AV415)</f>
        <v>2740.9350000000163</v>
      </c>
      <c r="BH415" s="392">
        <f>SUM($AU$134:AU415)</f>
        <v>678.08999999996024</v>
      </c>
      <c r="BI415" s="318">
        <f>SUMIFS($AU$134:AU416,$Q$134:Q416,"F")</f>
        <v>-3014.8</v>
      </c>
      <c r="BJ415" s="318">
        <f>SUMIFS($AU$134:AU416,$Q$134:Q416,"S")</f>
        <v>3775.0499999999979</v>
      </c>
      <c r="BK415" s="343">
        <f>SUMIFS($AU$134:AU416,$P$134:P416,"W")</f>
        <v>3001.1899999999523</v>
      </c>
      <c r="BL415" s="343">
        <f>SUMIFS($AU$134:AU416,$P$134:P416,"R")</f>
        <v>-2243.0999999999935</v>
      </c>
      <c r="BM415" s="343">
        <f>SUMIFS($AU$134:AU416,$AQ$134:AQ416,"M")</f>
        <v>637.80000000000496</v>
      </c>
      <c r="BN415" s="343">
        <f>SUMIFS($AU$134:AU416,$AQ$134:AQ416,"H")</f>
        <v>1127.7000000000153</v>
      </c>
      <c r="BO415" s="343">
        <f>SUMIFS($AU$134:AU416,$AQ$134:AQ416,"D")</f>
        <v>-487.15000000000055</v>
      </c>
      <c r="BP415" s="343">
        <f>SUMIFS($AU$134:AU418,$AQ$134:AQ418,"W")</f>
        <v>-1270.7</v>
      </c>
      <c r="BQ415" s="343">
        <f>SUMIFS($AU$134:AU416,$Q$134:Q416,"O")</f>
        <v>-201.36000000004023</v>
      </c>
      <c r="BR415" s="343">
        <f>SUMIFS($AU$134:AU416,$AA$134:AA416,"*")</f>
        <v>3431.1499999999878</v>
      </c>
      <c r="BS415" s="343">
        <f>SUMIFS($AU$134:AU416,$AB$134:AB416,"*")</f>
        <v>111.23999999997596</v>
      </c>
      <c r="BT415" s="343">
        <f>SUMIFS($AU$134:AU416,$AC$134:AC416,"*")</f>
        <v>-2282.4500000000012</v>
      </c>
      <c r="BU415" s="343">
        <f>SUMIFS($AU$134:AU416,$AA$134:AA416,"*",$AB$134:AB416,"*")</f>
        <v>-188.19999999999513</v>
      </c>
      <c r="BV415" s="343">
        <f>SUMIFS($AU$134:AU416,$AA$134:AA416,"*",$AC$134:AC416,"*")</f>
        <v>666.64999999999907</v>
      </c>
      <c r="BW415" s="343">
        <f>SUMIFS($AU$134:AU416,$AB$134:AB416,"*",$AC$134:AC416,"*")</f>
        <v>78.599999999999653</v>
      </c>
      <c r="BX415" s="343">
        <f>SUMIFS($AU416:AU$1388,$Q416:Q$1388,"F")</f>
        <v>17455.466666666667</v>
      </c>
      <c r="BY415" s="343">
        <f>SUMIFS($AU416:AU$1388,$Q416:Q$1388,"S")</f>
        <v>16976.592000000001</v>
      </c>
      <c r="BZ415" s="343">
        <f>SUMIFS($AU416:AU$1388,$Q416:Q$1388,"O")</f>
        <v>-1447.4979999997583</v>
      </c>
    </row>
    <row r="416" spans="1:78" ht="15.75" customHeight="1">
      <c r="A416" s="221" t="s">
        <v>1720</v>
      </c>
      <c r="B416" s="200">
        <v>45012</v>
      </c>
      <c r="C416" s="201" t="s">
        <v>1965</v>
      </c>
      <c r="D416" s="201" t="s">
        <v>132</v>
      </c>
      <c r="E416" s="247"/>
      <c r="F416" s="203"/>
      <c r="G416" s="314" t="s">
        <v>271</v>
      </c>
      <c r="H416" s="205"/>
      <c r="I416" s="205"/>
      <c r="J416" s="205"/>
      <c r="K416" s="206"/>
      <c r="L416" s="205">
        <v>2</v>
      </c>
      <c r="M416" s="205"/>
      <c r="N416" s="205"/>
      <c r="O416" s="206" t="s">
        <v>95</v>
      </c>
      <c r="P416" s="206" t="s">
        <v>96</v>
      </c>
      <c r="Q416" s="206" t="s">
        <v>97</v>
      </c>
      <c r="R416" s="206">
        <v>5</v>
      </c>
      <c r="S416" s="206">
        <v>5</v>
      </c>
      <c r="T416" s="206">
        <v>1</v>
      </c>
      <c r="U416" s="206" t="s">
        <v>97</v>
      </c>
      <c r="V416" s="206"/>
      <c r="W416" s="206"/>
      <c r="X416" s="206"/>
      <c r="Y416" s="184">
        <f t="shared" si="157"/>
        <v>0.01</v>
      </c>
      <c r="Z416" s="184">
        <f t="shared" si="158"/>
        <v>1600</v>
      </c>
      <c r="AA416" s="208" t="s">
        <v>99</v>
      </c>
      <c r="AB416" s="208"/>
      <c r="AC416" s="208"/>
      <c r="AD416" s="650">
        <v>-0.04</v>
      </c>
      <c r="AE416" s="205"/>
      <c r="AF416" s="333"/>
      <c r="AG416" s="205"/>
      <c r="AH416" s="205"/>
      <c r="AI416" s="205"/>
      <c r="AJ416" s="641"/>
      <c r="AK416" s="205"/>
      <c r="AL416" s="496">
        <f t="shared" si="174"/>
        <v>-48</v>
      </c>
      <c r="AM416" s="496">
        <f t="shared" si="170"/>
        <v>-240</v>
      </c>
      <c r="AN416" s="627"/>
      <c r="AO416" s="205"/>
      <c r="AP416" s="205" t="s">
        <v>1843</v>
      </c>
      <c r="AQ416" s="333" t="str">
        <f>UPPER(RIGHT(Journal_Live[[#This Row],[DURATION ]]))</f>
        <v>M</v>
      </c>
      <c r="AR416" s="205" t="s">
        <v>1966</v>
      </c>
      <c r="AS416" s="211">
        <v>-0.05</v>
      </c>
      <c r="AT416" s="189">
        <f t="shared" si="160"/>
        <v>1.0000000000000002E-2</v>
      </c>
      <c r="AU416" s="187">
        <f t="shared" si="161"/>
        <v>80.000000000000014</v>
      </c>
      <c r="AV416" s="190">
        <f t="shared" si="162"/>
        <v>16.000000000000004</v>
      </c>
      <c r="AW416" s="213" t="s">
        <v>96</v>
      </c>
      <c r="AX416" s="413"/>
      <c r="AY416" s="413"/>
      <c r="AZ416" s="413"/>
      <c r="BA416" s="413"/>
      <c r="BB416" s="413"/>
      <c r="BC416" s="413"/>
      <c r="BD416" s="413"/>
      <c r="BE416" s="413"/>
      <c r="BF416" s="427"/>
      <c r="BG416" s="391">
        <f>SUM($AV$4:AV416)</f>
        <v>2756.9350000000163</v>
      </c>
      <c r="BH416" s="392">
        <f>SUM($AU$134:AU416)</f>
        <v>758.08999999996024</v>
      </c>
      <c r="BI416" s="318">
        <f>SUMIFS($AU$134:AU417,$Q$134:Q417,"F")</f>
        <v>-3014.8</v>
      </c>
      <c r="BJ416" s="318">
        <f>SUMIFS($AU$134:AU417,$Q$134:Q417,"S")</f>
        <v>3935.0499999999979</v>
      </c>
      <c r="BK416" s="343">
        <f>SUMIFS($AU$134:AU417,$P$134:P417,"W")</f>
        <v>3161.1899999999523</v>
      </c>
      <c r="BL416" s="343">
        <f>SUMIFS($AU$134:AU417,$P$134:P417,"R")</f>
        <v>-2243.0999999999935</v>
      </c>
      <c r="BM416" s="343">
        <f>SUMIFS($AU$134:AU417,$AQ$134:AQ417,"M")</f>
        <v>797.80000000000496</v>
      </c>
      <c r="BN416" s="343">
        <f>SUMIFS($AU$134:AU417,$AQ$134:AQ417,"H")</f>
        <v>1127.7000000000153</v>
      </c>
      <c r="BO416" s="343">
        <f>SUMIFS($AU$134:AU417,$AQ$134:AQ417,"D")</f>
        <v>-487.15000000000055</v>
      </c>
      <c r="BP416" s="343">
        <f>SUMIFS($AU$134:AU419,$AQ$134:AQ419,"W")</f>
        <v>-1270.7</v>
      </c>
      <c r="BQ416" s="343">
        <f>SUMIFS($AU$134:AU417,$Q$134:Q417,"O")</f>
        <v>-201.36000000004023</v>
      </c>
      <c r="BR416" s="343">
        <f>SUMIFS($AU$134:AU417,$AA$134:AA417,"*")</f>
        <v>3591.1499999999878</v>
      </c>
      <c r="BS416" s="343">
        <f>SUMIFS($AU$134:AU417,$AB$134:AB417,"*")</f>
        <v>111.23999999997596</v>
      </c>
      <c r="BT416" s="343">
        <f>SUMIFS($AU$134:AU417,$AC$134:AC417,"*")</f>
        <v>-2282.4500000000012</v>
      </c>
      <c r="BU416" s="343">
        <f>SUMIFS($AU$134:AU417,$AA$134:AA417,"*",$AB$134:AB417,"*")</f>
        <v>-188.19999999999513</v>
      </c>
      <c r="BV416" s="343">
        <f>SUMIFS($AU$134:AU417,$AA$134:AA417,"*",$AC$134:AC417,"*")</f>
        <v>666.64999999999907</v>
      </c>
      <c r="BW416" s="343">
        <f>SUMIFS($AU$134:AU417,$AB$134:AB417,"*",$AC$134:AC417,"*")</f>
        <v>78.599999999999653</v>
      </c>
      <c r="BX416" s="343">
        <f>SUMIFS($AU417:AU$1388,$Q417:Q$1388,"F")</f>
        <v>17455.466666666667</v>
      </c>
      <c r="BY416" s="343">
        <f>SUMIFS($AU417:AU$1388,$Q417:Q$1388,"S")</f>
        <v>16896.592000000001</v>
      </c>
      <c r="BZ416" s="343">
        <f>SUMIFS($AU417:AU$1388,$Q417:Q$1388,"O")</f>
        <v>-1447.4979999997583</v>
      </c>
    </row>
    <row r="417" spans="1:78" ht="15.75" customHeight="1">
      <c r="A417" s="221" t="s">
        <v>1720</v>
      </c>
      <c r="B417" s="200">
        <v>45012</v>
      </c>
      <c r="C417" s="201" t="s">
        <v>1967</v>
      </c>
      <c r="D417" s="201" t="s">
        <v>132</v>
      </c>
      <c r="E417" s="247"/>
      <c r="F417" s="203"/>
      <c r="G417" s="314" t="s">
        <v>133</v>
      </c>
      <c r="H417" s="205"/>
      <c r="I417" s="205"/>
      <c r="J417" s="205"/>
      <c r="K417" s="206"/>
      <c r="L417" s="205">
        <v>2</v>
      </c>
      <c r="M417" s="205"/>
      <c r="N417" s="205"/>
      <c r="O417" s="206" t="s">
        <v>95</v>
      </c>
      <c r="P417" s="206" t="s">
        <v>96</v>
      </c>
      <c r="Q417" s="206" t="s">
        <v>97</v>
      </c>
      <c r="R417" s="206">
        <v>10</v>
      </c>
      <c r="S417" s="206">
        <v>10</v>
      </c>
      <c r="T417" s="206">
        <v>10</v>
      </c>
      <c r="U417" s="206" t="s">
        <v>97</v>
      </c>
      <c r="V417" s="206"/>
      <c r="W417" s="206"/>
      <c r="X417" s="206"/>
      <c r="Y417" s="184">
        <f t="shared" si="157"/>
        <v>0.01</v>
      </c>
      <c r="Z417" s="184">
        <f t="shared" si="158"/>
        <v>1600</v>
      </c>
      <c r="AA417" s="208" t="s">
        <v>99</v>
      </c>
      <c r="AB417" s="208"/>
      <c r="AC417" s="208"/>
      <c r="AD417" s="650">
        <v>-0.05</v>
      </c>
      <c r="AE417" s="205"/>
      <c r="AF417" s="333"/>
      <c r="AG417" s="205"/>
      <c r="AH417" s="205"/>
      <c r="AI417" s="205"/>
      <c r="AJ417" s="641"/>
      <c r="AK417" s="205"/>
      <c r="AL417" s="496">
        <f t="shared" si="174"/>
        <v>-48</v>
      </c>
      <c r="AM417" s="496">
        <f t="shared" si="170"/>
        <v>-480</v>
      </c>
      <c r="AN417" s="627"/>
      <c r="AO417" s="205"/>
      <c r="AP417" s="205" t="s">
        <v>1588</v>
      </c>
      <c r="AQ417" s="333" t="str">
        <f>UPPER(RIGHT(Journal_Live[[#This Row],[DURATION ]]))</f>
        <v>M</v>
      </c>
      <c r="AR417" s="205" t="s">
        <v>327</v>
      </c>
      <c r="AS417" s="211">
        <v>-0.06</v>
      </c>
      <c r="AT417" s="189">
        <f t="shared" si="160"/>
        <v>9.999999999999995E-3</v>
      </c>
      <c r="AU417" s="187">
        <f t="shared" si="161"/>
        <v>159.99999999999994</v>
      </c>
      <c r="AV417" s="190">
        <f t="shared" si="162"/>
        <v>15.999999999999993</v>
      </c>
      <c r="AW417" s="213" t="s">
        <v>96</v>
      </c>
      <c r="AX417" s="413"/>
      <c r="AY417" s="413"/>
      <c r="AZ417" s="413"/>
      <c r="BA417" s="413"/>
      <c r="BB417" s="413"/>
      <c r="BC417" s="413"/>
      <c r="BD417" s="413"/>
      <c r="BE417" s="413"/>
      <c r="BF417" s="427"/>
      <c r="BG417" s="391">
        <f>SUM($AV$4:AV417)</f>
        <v>2772.9350000000163</v>
      </c>
      <c r="BH417" s="392">
        <f>SUM($AU$134:AU417)</f>
        <v>918.08999999996013</v>
      </c>
      <c r="BI417" s="318">
        <f>SUMIFS($AU$134:AU418,$Q$134:Q418,"F")</f>
        <v>-3014.8</v>
      </c>
      <c r="BJ417" s="318">
        <f>SUMIFS($AU$134:AU418,$Q$134:Q418,"S")</f>
        <v>3935.0499999999979</v>
      </c>
      <c r="BK417" s="343">
        <f>SUMIFS($AU$134:AU418,$P$134:P418,"W")</f>
        <v>3161.1899999999523</v>
      </c>
      <c r="BL417" s="343">
        <f>SUMIFS($AU$134:AU418,$P$134:P418,"R")</f>
        <v>-2243.0999999999935</v>
      </c>
      <c r="BM417" s="343">
        <f>SUMIFS($AU$134:AU418,$AQ$134:AQ418,"M")</f>
        <v>797.80000000000496</v>
      </c>
      <c r="BN417" s="343">
        <f>SUMIFS($AU$134:AU418,$AQ$134:AQ418,"H")</f>
        <v>1127.7000000000153</v>
      </c>
      <c r="BO417" s="343">
        <f>SUMIFS($AU$134:AU418,$AQ$134:AQ418,"D")</f>
        <v>-487.15000000000055</v>
      </c>
      <c r="BP417" s="343">
        <f>SUMIFS($AU$134:AU420,$AQ$134:AQ420,"W")</f>
        <v>-1270.7</v>
      </c>
      <c r="BQ417" s="343">
        <f>SUMIFS($AU$134:AU418,$Q$134:Q418,"O")</f>
        <v>-201.36000000004023</v>
      </c>
      <c r="BR417" s="343">
        <f>SUMIFS($AU$134:AU418,$AA$134:AA418,"*")</f>
        <v>3591.1499999999878</v>
      </c>
      <c r="BS417" s="343">
        <f>SUMIFS($AU$134:AU418,$AB$134:AB418,"*")</f>
        <v>111.23999999997596</v>
      </c>
      <c r="BT417" s="343">
        <f>SUMIFS($AU$134:AU418,$AC$134:AC418,"*")</f>
        <v>-2282.4500000000012</v>
      </c>
      <c r="BU417" s="343">
        <f>SUMIFS($AU$134:AU418,$AA$134:AA418,"*",$AB$134:AB418,"*")</f>
        <v>-188.19999999999513</v>
      </c>
      <c r="BV417" s="343">
        <f>SUMIFS($AU$134:AU418,$AA$134:AA418,"*",$AC$134:AC418,"*")</f>
        <v>666.64999999999907</v>
      </c>
      <c r="BW417" s="343">
        <f>SUMIFS($AU$134:AU418,$AB$134:AB418,"*",$AC$134:AC418,"*")</f>
        <v>78.599999999999653</v>
      </c>
      <c r="BX417" s="343">
        <f>SUMIFS($AU418:AU$1388,$Q418:Q$1388,"F")</f>
        <v>17455.466666666667</v>
      </c>
      <c r="BY417" s="343">
        <f>SUMIFS($AU418:AU$1388,$Q418:Q$1388,"S")</f>
        <v>16736.592000000001</v>
      </c>
      <c r="BZ417" s="343">
        <f>SUMIFS($AU418:AU$1388,$Q418:Q$1388,"O")</f>
        <v>-1447.4979999997583</v>
      </c>
    </row>
    <row r="418" spans="1:78" ht="15.75" customHeight="1">
      <c r="A418" s="221" t="s">
        <v>1720</v>
      </c>
      <c r="B418" s="200">
        <v>45012</v>
      </c>
      <c r="C418" s="201" t="s">
        <v>500</v>
      </c>
      <c r="D418" s="201" t="s">
        <v>132</v>
      </c>
      <c r="E418" s="247"/>
      <c r="F418" s="203"/>
      <c r="G418" s="314" t="s">
        <v>133</v>
      </c>
      <c r="H418" s="205"/>
      <c r="I418" s="205"/>
      <c r="J418" s="205"/>
      <c r="K418" s="206"/>
      <c r="L418" s="205">
        <v>1</v>
      </c>
      <c r="M418" s="205"/>
      <c r="N418" s="205"/>
      <c r="O418" s="206" t="s">
        <v>95</v>
      </c>
      <c r="P418" s="206" t="s">
        <v>96</v>
      </c>
      <c r="Q418" s="206" t="s">
        <v>97</v>
      </c>
      <c r="R418" s="206">
        <v>5</v>
      </c>
      <c r="S418" s="206">
        <v>5</v>
      </c>
      <c r="T418" s="206">
        <v>5</v>
      </c>
      <c r="U418" s="206" t="s">
        <v>97</v>
      </c>
      <c r="V418" s="206"/>
      <c r="W418" s="206"/>
      <c r="X418" s="206"/>
      <c r="Y418" s="184">
        <f t="shared" si="157"/>
        <v>0.01</v>
      </c>
      <c r="Z418" s="184">
        <f t="shared" si="158"/>
        <v>1600</v>
      </c>
      <c r="AA418" s="208" t="s">
        <v>99</v>
      </c>
      <c r="AB418" s="208"/>
      <c r="AC418" s="208"/>
      <c r="AD418" s="650">
        <v>-0.06</v>
      </c>
      <c r="AE418" s="205"/>
      <c r="AF418" s="333"/>
      <c r="AG418" s="205"/>
      <c r="AH418" s="205"/>
      <c r="AI418" s="205"/>
      <c r="AJ418" s="641"/>
      <c r="AK418" s="205"/>
      <c r="AL418" s="496">
        <f t="shared" ref="AL418" si="175">-0.03*Z418</f>
        <v>-48</v>
      </c>
      <c r="AM418" s="496">
        <f t="shared" si="170"/>
        <v>-240</v>
      </c>
      <c r="AN418" s="627"/>
      <c r="AO418" s="205"/>
      <c r="AP418" s="205" t="s">
        <v>1026</v>
      </c>
      <c r="AQ418" s="333" t="str">
        <f>UPPER(RIGHT(Journal_Live[[#This Row],[DURATION ]]))</f>
        <v>H</v>
      </c>
      <c r="AR418" s="205" t="s">
        <v>1968</v>
      </c>
      <c r="AS418" s="211">
        <v>-0.06</v>
      </c>
      <c r="AT418" s="189">
        <f t="shared" si="160"/>
        <v>0</v>
      </c>
      <c r="AU418" s="187">
        <f t="shared" si="161"/>
        <v>0</v>
      </c>
      <c r="AV418" s="190">
        <f t="shared" si="162"/>
        <v>0</v>
      </c>
      <c r="AW418" s="213" t="s">
        <v>115</v>
      </c>
      <c r="AX418" s="413" t="s">
        <v>1969</v>
      </c>
      <c r="AY418" s="413" t="s">
        <v>1970</v>
      </c>
      <c r="AZ418" s="413" t="s">
        <v>1971</v>
      </c>
      <c r="BA418" s="413" t="s">
        <v>529</v>
      </c>
      <c r="BB418" s="413"/>
      <c r="BC418" s="413"/>
      <c r="BD418" s="413"/>
      <c r="BE418" s="413"/>
      <c r="BF418" s="427"/>
      <c r="BG418" s="391">
        <f>SUM($AV$4:AV418)</f>
        <v>2772.9350000000163</v>
      </c>
      <c r="BH418" s="392">
        <f>SUM($AU$134:AU418)</f>
        <v>918.08999999996013</v>
      </c>
      <c r="BI418" s="318">
        <f>SUMIFS($AU$134:AU419,$Q$134:Q419,"F")</f>
        <v>-3014.8</v>
      </c>
      <c r="BJ418" s="318">
        <f>SUMIFS($AU$134:AU419,$Q$134:Q419,"S")</f>
        <v>4015.0499999999979</v>
      </c>
      <c r="BK418" s="343">
        <f>SUMIFS($AU$134:AU419,$P$134:P419,"W")</f>
        <v>3241.1899999999523</v>
      </c>
      <c r="BL418" s="343">
        <f>SUMIFS($AU$134:AU419,$P$134:P419,"R")</f>
        <v>-2243.0999999999935</v>
      </c>
      <c r="BM418" s="343">
        <f>SUMIFS($AU$134:AU419,$AQ$134:AQ419,"M")</f>
        <v>797.80000000000496</v>
      </c>
      <c r="BN418" s="343">
        <f>SUMIFS($AU$134:AU419,$AQ$134:AQ419,"H")</f>
        <v>1207.7000000000153</v>
      </c>
      <c r="BO418" s="343">
        <f>SUMIFS($AU$134:AU419,$AQ$134:AQ419,"D")</f>
        <v>-487.15000000000055</v>
      </c>
      <c r="BP418" s="343">
        <f>SUMIFS($AU$134:AU421,$AQ$134:AQ421,"W")</f>
        <v>-1270.7</v>
      </c>
      <c r="BQ418" s="343">
        <f>SUMIFS($AU$134:AU419,$Q$134:Q419,"O")</f>
        <v>-201.36000000004023</v>
      </c>
      <c r="BR418" s="343">
        <f>SUMIFS($AU$134:AU419,$AA$134:AA419,"*")</f>
        <v>3671.1499999999878</v>
      </c>
      <c r="BS418" s="343">
        <f>SUMIFS($AU$134:AU419,$AB$134:AB419,"*")</f>
        <v>111.23999999997596</v>
      </c>
      <c r="BT418" s="343">
        <f>SUMIFS($AU$134:AU419,$AC$134:AC419,"*")</f>
        <v>-2282.4500000000012</v>
      </c>
      <c r="BU418" s="343">
        <f>SUMIFS($AU$134:AU419,$AA$134:AA419,"*",$AB$134:AB419,"*")</f>
        <v>-188.19999999999513</v>
      </c>
      <c r="BV418" s="343">
        <f>SUMIFS($AU$134:AU419,$AA$134:AA419,"*",$AC$134:AC419,"*")</f>
        <v>666.64999999999907</v>
      </c>
      <c r="BW418" s="343">
        <f>SUMIFS($AU$134:AU419,$AB$134:AB419,"*",$AC$134:AC419,"*")</f>
        <v>78.599999999999653</v>
      </c>
      <c r="BX418" s="343">
        <f>SUMIFS($AU419:AU$1388,$Q419:Q$1388,"F")</f>
        <v>17455.466666666667</v>
      </c>
      <c r="BY418" s="343">
        <f>SUMIFS($AU419:AU$1388,$Q419:Q$1388,"S")</f>
        <v>16736.592000000001</v>
      </c>
      <c r="BZ418" s="343">
        <f>SUMIFS($AU419:AU$1388,$Q419:Q$1388,"O")</f>
        <v>-1447.4979999997583</v>
      </c>
    </row>
    <row r="419" spans="1:78" ht="15.75" customHeight="1">
      <c r="A419" s="221" t="s">
        <v>1720</v>
      </c>
      <c r="B419" s="200">
        <v>45012</v>
      </c>
      <c r="C419" s="201" t="s">
        <v>1972</v>
      </c>
      <c r="D419" s="201" t="s">
        <v>132</v>
      </c>
      <c r="E419" s="247"/>
      <c r="F419" s="203"/>
      <c r="G419" s="314" t="s">
        <v>133</v>
      </c>
      <c r="H419" s="205"/>
      <c r="I419" s="205"/>
      <c r="J419" s="205"/>
      <c r="K419" s="206"/>
      <c r="L419" s="205">
        <v>1</v>
      </c>
      <c r="M419" s="205"/>
      <c r="N419" s="205"/>
      <c r="O419" s="206" t="s">
        <v>95</v>
      </c>
      <c r="P419" s="206" t="s">
        <v>96</v>
      </c>
      <c r="Q419" s="206" t="s">
        <v>97</v>
      </c>
      <c r="R419" s="206">
        <v>5</v>
      </c>
      <c r="S419" s="206">
        <v>5</v>
      </c>
      <c r="T419" s="206">
        <v>5</v>
      </c>
      <c r="U419" s="206" t="s">
        <v>97</v>
      </c>
      <c r="V419" s="206"/>
      <c r="W419" s="206"/>
      <c r="X419" s="206"/>
      <c r="Y419" s="184">
        <f t="shared" si="157"/>
        <v>0.01</v>
      </c>
      <c r="Z419" s="184">
        <f t="shared" si="158"/>
        <v>1600</v>
      </c>
      <c r="AA419" s="208" t="s">
        <v>99</v>
      </c>
      <c r="AB419" s="208"/>
      <c r="AC419" s="208"/>
      <c r="AD419" s="650">
        <v>-0.05</v>
      </c>
      <c r="AE419" s="205"/>
      <c r="AF419" s="333"/>
      <c r="AG419" s="205"/>
      <c r="AH419" s="205"/>
      <c r="AI419" s="205"/>
      <c r="AJ419" s="641"/>
      <c r="AK419" s="205"/>
      <c r="AL419" s="496">
        <f t="shared" ref="AL419" si="176">-0.03*Z419</f>
        <v>-48</v>
      </c>
      <c r="AM419" s="496">
        <f t="shared" si="170"/>
        <v>-240</v>
      </c>
      <c r="AN419" s="627"/>
      <c r="AO419" s="205"/>
      <c r="AP419" s="205" t="s">
        <v>1292</v>
      </c>
      <c r="AQ419" s="333" t="str">
        <f>UPPER(RIGHT(Journal_Live[[#This Row],[DURATION ]]))</f>
        <v>H</v>
      </c>
      <c r="AR419" s="205" t="s">
        <v>764</v>
      </c>
      <c r="AS419" s="211">
        <v>-0.06</v>
      </c>
      <c r="AT419" s="189">
        <f t="shared" si="160"/>
        <v>9.999999999999995E-3</v>
      </c>
      <c r="AU419" s="187">
        <f t="shared" si="161"/>
        <v>79.999999999999972</v>
      </c>
      <c r="AV419" s="190">
        <f t="shared" si="162"/>
        <v>15.999999999999993</v>
      </c>
      <c r="AW419" s="213" t="s">
        <v>96</v>
      </c>
      <c r="AX419" s="413" t="s">
        <v>1973</v>
      </c>
      <c r="AY419" s="413" t="s">
        <v>1974</v>
      </c>
      <c r="AZ419" s="413" t="s">
        <v>1975</v>
      </c>
      <c r="BA419" s="413" t="s">
        <v>529</v>
      </c>
      <c r="BB419" s="413"/>
      <c r="BC419" s="413"/>
      <c r="BD419" s="413"/>
      <c r="BE419" s="413"/>
      <c r="BF419" s="427"/>
      <c r="BG419" s="391">
        <f>SUM($AV$4:AV419)</f>
        <v>2788.9350000000163</v>
      </c>
      <c r="BH419" s="392">
        <f>SUM($AU$134:AU419)</f>
        <v>998.08999999996013</v>
      </c>
      <c r="BI419" s="318">
        <f>SUMIFS($AU$134:AU420,$Q$134:Q420,"F")</f>
        <v>-3014.8</v>
      </c>
      <c r="BJ419" s="318">
        <f>SUMIFS($AU$134:AU420,$Q$134:Q420,"S")</f>
        <v>4335.0499999999975</v>
      </c>
      <c r="BK419" s="343">
        <f>SUMIFS($AU$134:AU420,$P$134:P420,"W")</f>
        <v>3561.1899999999523</v>
      </c>
      <c r="BL419" s="343">
        <f>SUMIFS($AU$134:AU420,$P$134:P420,"R")</f>
        <v>-2243.0999999999935</v>
      </c>
      <c r="BM419" s="343">
        <f>SUMIFS($AU$134:AU420,$AQ$134:AQ420,"M")</f>
        <v>797.80000000000496</v>
      </c>
      <c r="BN419" s="343">
        <f>SUMIFS($AU$134:AU420,$AQ$134:AQ420,"H")</f>
        <v>1527.7000000000153</v>
      </c>
      <c r="BO419" s="343">
        <f>SUMIFS($AU$134:AU420,$AQ$134:AQ420,"D")</f>
        <v>-487.15000000000055</v>
      </c>
      <c r="BP419" s="343">
        <f>SUMIFS($AU$134:AU422,$AQ$134:AQ422,"W")</f>
        <v>-1270.7</v>
      </c>
      <c r="BQ419" s="343">
        <f>SUMIFS($AU$134:AU420,$Q$134:Q420,"O")</f>
        <v>-201.36000000004023</v>
      </c>
      <c r="BR419" s="343">
        <f>SUMIFS($AU$134:AU420,$AA$134:AA420,"*")</f>
        <v>3991.1499999999878</v>
      </c>
      <c r="BS419" s="343">
        <f>SUMIFS($AU$134:AU420,$AB$134:AB420,"*")</f>
        <v>111.23999999997596</v>
      </c>
      <c r="BT419" s="343">
        <f>SUMIFS($AU$134:AU420,$AC$134:AC420,"*")</f>
        <v>-2282.4500000000012</v>
      </c>
      <c r="BU419" s="343">
        <f>SUMIFS($AU$134:AU420,$AA$134:AA420,"*",$AB$134:AB420,"*")</f>
        <v>-188.19999999999513</v>
      </c>
      <c r="BV419" s="343">
        <f>SUMIFS($AU$134:AU420,$AA$134:AA420,"*",$AC$134:AC420,"*")</f>
        <v>666.64999999999907</v>
      </c>
      <c r="BW419" s="343">
        <f>SUMIFS($AU$134:AU420,$AB$134:AB420,"*",$AC$134:AC420,"*")</f>
        <v>78.599999999999653</v>
      </c>
      <c r="BX419" s="343">
        <f>SUMIFS($AU420:AU$1388,$Q420:Q$1388,"F")</f>
        <v>17455.466666666667</v>
      </c>
      <c r="BY419" s="343">
        <f>SUMIFS($AU420:AU$1388,$Q420:Q$1388,"S")</f>
        <v>16656.592000000001</v>
      </c>
      <c r="BZ419" s="343">
        <f>SUMIFS($AU420:AU$1388,$Q420:Q$1388,"O")</f>
        <v>-1447.4979999997583</v>
      </c>
    </row>
    <row r="420" spans="1:78" ht="15.75" customHeight="1">
      <c r="A420" s="221" t="s">
        <v>1720</v>
      </c>
      <c r="B420" s="200">
        <v>45012</v>
      </c>
      <c r="C420" s="201" t="s">
        <v>1972</v>
      </c>
      <c r="D420" s="201" t="s">
        <v>132</v>
      </c>
      <c r="E420" s="247"/>
      <c r="F420" s="203"/>
      <c r="G420" s="314" t="s">
        <v>133</v>
      </c>
      <c r="H420" s="205"/>
      <c r="I420" s="205"/>
      <c r="J420" s="205"/>
      <c r="K420" s="206"/>
      <c r="L420" s="205">
        <v>1</v>
      </c>
      <c r="M420" s="205"/>
      <c r="N420" s="205"/>
      <c r="O420" s="206" t="s">
        <v>95</v>
      </c>
      <c r="P420" s="206" t="s">
        <v>96</v>
      </c>
      <c r="Q420" s="206" t="s">
        <v>97</v>
      </c>
      <c r="R420" s="206">
        <v>10</v>
      </c>
      <c r="S420" s="206">
        <v>10</v>
      </c>
      <c r="T420" s="206">
        <v>10</v>
      </c>
      <c r="U420" s="206" t="s">
        <v>97</v>
      </c>
      <c r="V420" s="206"/>
      <c r="W420" s="206"/>
      <c r="X420" s="206"/>
      <c r="Y420" s="184">
        <f t="shared" si="157"/>
        <v>0.01</v>
      </c>
      <c r="Z420" s="184">
        <f t="shared" si="158"/>
        <v>1600</v>
      </c>
      <c r="AA420" s="208" t="s">
        <v>99</v>
      </c>
      <c r="AB420" s="208"/>
      <c r="AC420" s="208"/>
      <c r="AD420" s="650">
        <v>-0.04</v>
      </c>
      <c r="AE420" s="205"/>
      <c r="AF420" s="333"/>
      <c r="AG420" s="205"/>
      <c r="AH420" s="205"/>
      <c r="AI420" s="205"/>
      <c r="AJ420" s="641"/>
      <c r="AK420" s="205"/>
      <c r="AL420" s="496">
        <f t="shared" ref="AL420" si="177">-0.03*Z420</f>
        <v>-48</v>
      </c>
      <c r="AM420" s="496">
        <f t="shared" si="170"/>
        <v>-480</v>
      </c>
      <c r="AN420" s="627"/>
      <c r="AO420" s="205"/>
      <c r="AP420" s="205" t="s">
        <v>1292</v>
      </c>
      <c r="AQ420" s="333" t="str">
        <f>UPPER(RIGHT(Journal_Live[[#This Row],[DURATION ]]))</f>
        <v>H</v>
      </c>
      <c r="AR420" s="205" t="s">
        <v>764</v>
      </c>
      <c r="AS420" s="211">
        <v>-0.06</v>
      </c>
      <c r="AT420" s="189">
        <f t="shared" si="160"/>
        <v>1.9999999999999997E-2</v>
      </c>
      <c r="AU420" s="187">
        <f t="shared" si="161"/>
        <v>319.99999999999994</v>
      </c>
      <c r="AV420" s="190">
        <f t="shared" si="162"/>
        <v>31.999999999999996</v>
      </c>
      <c r="AW420" s="213" t="s">
        <v>96</v>
      </c>
      <c r="AX420" s="413" t="s">
        <v>1973</v>
      </c>
      <c r="AY420" s="413" t="s">
        <v>1976</v>
      </c>
      <c r="AZ420" s="413" t="s">
        <v>1977</v>
      </c>
      <c r="BA420" s="413" t="s">
        <v>529</v>
      </c>
      <c r="BB420" s="413"/>
      <c r="BC420" s="413"/>
      <c r="BD420" s="413"/>
      <c r="BE420" s="413"/>
      <c r="BF420" s="427"/>
      <c r="BG420" s="391">
        <f>SUM($AV$4:AV420)</f>
        <v>2820.9350000000163</v>
      </c>
      <c r="BH420" s="392">
        <f>SUM($AU$134:AU420)</f>
        <v>1318.0899999999601</v>
      </c>
      <c r="BI420" s="318">
        <f>SUMIFS($AU$134:AU421,$Q$134:Q421,"F")</f>
        <v>-3014.8</v>
      </c>
      <c r="BJ420" s="318">
        <f>SUMIFS($AU$134:AU421,$Q$134:Q421,"S")</f>
        <v>4351.0499999999975</v>
      </c>
      <c r="BK420" s="343">
        <f>SUMIFS($AU$134:AU421,$P$134:P421,"W")</f>
        <v>3561.1899999999523</v>
      </c>
      <c r="BL420" s="343">
        <f>SUMIFS($AU$134:AU421,$P$134:P421,"R")</f>
        <v>-2227.0999999999935</v>
      </c>
      <c r="BM420" s="343">
        <f>SUMIFS($AU$134:AU421,$AQ$134:AQ421,"M")</f>
        <v>797.80000000000496</v>
      </c>
      <c r="BN420" s="343">
        <f>SUMIFS($AU$134:AU421,$AQ$134:AQ421,"H")</f>
        <v>1543.7000000000153</v>
      </c>
      <c r="BO420" s="343">
        <f>SUMIFS($AU$134:AU421,$AQ$134:AQ421,"D")</f>
        <v>-487.15000000000055</v>
      </c>
      <c r="BP420" s="343">
        <f>SUMIFS($AU$134:AU423,$AQ$134:AQ423,"W")</f>
        <v>-1270.7</v>
      </c>
      <c r="BQ420" s="343">
        <f>SUMIFS($AU$134:AU421,$Q$134:Q421,"O")</f>
        <v>-201.36000000004023</v>
      </c>
      <c r="BR420" s="343">
        <f>SUMIFS($AU$134:AU421,$AA$134:AA421,"*")</f>
        <v>4007.1499999999878</v>
      </c>
      <c r="BS420" s="343">
        <f>SUMIFS($AU$134:AU421,$AB$134:AB421,"*")</f>
        <v>111.23999999997596</v>
      </c>
      <c r="BT420" s="343">
        <f>SUMIFS($AU$134:AU421,$AC$134:AC421,"*")</f>
        <v>-2282.4500000000012</v>
      </c>
      <c r="BU420" s="343">
        <f>SUMIFS($AU$134:AU421,$AA$134:AA421,"*",$AB$134:AB421,"*")</f>
        <v>-188.19999999999513</v>
      </c>
      <c r="BV420" s="343">
        <f>SUMIFS($AU$134:AU421,$AA$134:AA421,"*",$AC$134:AC421,"*")</f>
        <v>666.64999999999907</v>
      </c>
      <c r="BW420" s="343">
        <f>SUMIFS($AU$134:AU421,$AB$134:AB421,"*",$AC$134:AC421,"*")</f>
        <v>78.599999999999653</v>
      </c>
      <c r="BX420" s="343">
        <f>SUMIFS($AU421:AU$1388,$Q421:Q$1388,"F")</f>
        <v>17455.466666666667</v>
      </c>
      <c r="BY420" s="343">
        <f>SUMIFS($AU421:AU$1388,$Q421:Q$1388,"S")</f>
        <v>16336.592000000001</v>
      </c>
      <c r="BZ420" s="343">
        <f>SUMIFS($AU421:AU$1388,$Q421:Q$1388,"O")</f>
        <v>-1447.4979999997583</v>
      </c>
    </row>
    <row r="421" spans="1:78" ht="15.75" customHeight="1">
      <c r="A421" s="221" t="s">
        <v>1720</v>
      </c>
      <c r="B421" s="200">
        <v>45012</v>
      </c>
      <c r="C421" s="201" t="s">
        <v>379</v>
      </c>
      <c r="D421" s="201" t="s">
        <v>132</v>
      </c>
      <c r="E421" s="247"/>
      <c r="F421" s="203"/>
      <c r="G421" s="314" t="s">
        <v>553</v>
      </c>
      <c r="H421" s="205"/>
      <c r="I421" s="205"/>
      <c r="J421" s="205"/>
      <c r="K421" s="206"/>
      <c r="L421" s="205">
        <v>1</v>
      </c>
      <c r="M421" s="205"/>
      <c r="N421" s="205"/>
      <c r="O421" s="206" t="s">
        <v>95</v>
      </c>
      <c r="P421" s="206" t="s">
        <v>137</v>
      </c>
      <c r="Q421" s="206" t="s">
        <v>97</v>
      </c>
      <c r="R421" s="206">
        <v>5</v>
      </c>
      <c r="S421" s="206">
        <v>5</v>
      </c>
      <c r="T421" s="206">
        <v>5</v>
      </c>
      <c r="U421" s="206" t="s">
        <v>22</v>
      </c>
      <c r="V421" s="206"/>
      <c r="W421" s="206"/>
      <c r="X421" s="206"/>
      <c r="Y421" s="184">
        <f t="shared" si="157"/>
        <v>0.01</v>
      </c>
      <c r="Z421" s="184">
        <f t="shared" si="158"/>
        <v>1600</v>
      </c>
      <c r="AA421" s="208" t="s">
        <v>99</v>
      </c>
      <c r="AB421" s="208"/>
      <c r="AC421" s="208"/>
      <c r="AD421" s="650">
        <v>-0.03</v>
      </c>
      <c r="AE421" s="205"/>
      <c r="AF421" s="333"/>
      <c r="AG421" s="205"/>
      <c r="AH421" s="205"/>
      <c r="AI421" s="205"/>
      <c r="AJ421" s="641"/>
      <c r="AK421" s="205"/>
      <c r="AL421" s="496">
        <f t="shared" ref="AL421:AL422" si="178">-0.03*Z421</f>
        <v>-48</v>
      </c>
      <c r="AM421" s="496">
        <f t="shared" si="170"/>
        <v>-240</v>
      </c>
      <c r="AN421" s="627"/>
      <c r="AO421" s="205"/>
      <c r="AP421" s="205" t="s">
        <v>1084</v>
      </c>
      <c r="AQ421" s="333" t="str">
        <f>UPPER(RIGHT(Journal_Live[[#This Row],[DURATION ]]))</f>
        <v>H</v>
      </c>
      <c r="AR421" s="205" t="s">
        <v>1978</v>
      </c>
      <c r="AS421" s="211">
        <f>((-0.02*1)+(-0.03*4))/5</f>
        <v>-2.7999999999999997E-2</v>
      </c>
      <c r="AT421" s="189">
        <f t="shared" si="160"/>
        <v>2.0000000000000018E-3</v>
      </c>
      <c r="AU421" s="187">
        <f t="shared" si="161"/>
        <v>16.000000000000014</v>
      </c>
      <c r="AV421" s="190">
        <f t="shared" si="162"/>
        <v>3.2000000000000028</v>
      </c>
      <c r="AW421" s="213" t="s">
        <v>96</v>
      </c>
      <c r="AX421" s="413" t="s">
        <v>1979</v>
      </c>
      <c r="AY421" s="413" t="s">
        <v>1980</v>
      </c>
      <c r="AZ421" s="413" t="s">
        <v>1981</v>
      </c>
      <c r="BA421" s="413"/>
      <c r="BB421" s="413"/>
      <c r="BC421" s="413"/>
      <c r="BD421" s="413"/>
      <c r="BE421" s="413"/>
      <c r="BF421" s="427"/>
      <c r="BG421" s="391">
        <f>SUM($AV$4:AV421)</f>
        <v>2824.1350000000161</v>
      </c>
      <c r="BH421" s="392">
        <f>SUM($AU$134:AU421)</f>
        <v>1334.0899999999601</v>
      </c>
      <c r="BI421" s="318">
        <f>SUMIFS($AU$134:AU422,$Q$134:Q422,"F")</f>
        <v>-3014.8</v>
      </c>
      <c r="BJ421" s="318">
        <f>SUMIFS($AU$134:AU422,$Q$134:Q422,"S")</f>
        <v>4351.0499999999975</v>
      </c>
      <c r="BK421" s="343">
        <f>SUMIFS($AU$134:AU422,$P$134:P422,"W")</f>
        <v>3561.1899999999523</v>
      </c>
      <c r="BL421" s="343">
        <f>SUMIFS($AU$134:AU422,$P$134:P422,"R")</f>
        <v>-2227.0999999999935</v>
      </c>
      <c r="BM421" s="343">
        <f>SUMIFS($AU$134:AU422,$AQ$134:AQ422,"M")</f>
        <v>797.80000000000496</v>
      </c>
      <c r="BN421" s="343">
        <f>SUMIFS($AU$134:AU422,$AQ$134:AQ422,"H")</f>
        <v>1543.7000000000153</v>
      </c>
      <c r="BO421" s="343">
        <f>SUMIFS($AU$134:AU422,$AQ$134:AQ422,"D")</f>
        <v>-487.15000000000055</v>
      </c>
      <c r="BP421" s="343">
        <f>SUMIFS($AU$134:AU424,$AQ$134:AQ424,"W")</f>
        <v>-1270.7</v>
      </c>
      <c r="BQ421" s="343">
        <f>SUMIFS($AU$134:AU422,$Q$134:Q422,"O")</f>
        <v>-201.36000000004023</v>
      </c>
      <c r="BR421" s="343">
        <f>SUMIFS($AU$134:AU422,$AA$134:AA422,"*")</f>
        <v>4007.1499999999878</v>
      </c>
      <c r="BS421" s="343">
        <f>SUMIFS($AU$134:AU422,$AB$134:AB422,"*")</f>
        <v>111.23999999997596</v>
      </c>
      <c r="BT421" s="343">
        <f>SUMIFS($AU$134:AU422,$AC$134:AC422,"*")</f>
        <v>-2282.4500000000012</v>
      </c>
      <c r="BU421" s="343">
        <f>SUMIFS($AU$134:AU422,$AA$134:AA422,"*",$AB$134:AB422,"*")</f>
        <v>-188.19999999999513</v>
      </c>
      <c r="BV421" s="343">
        <f>SUMIFS($AU$134:AU422,$AA$134:AA422,"*",$AC$134:AC422,"*")</f>
        <v>666.64999999999907</v>
      </c>
      <c r="BW421" s="343">
        <f>SUMIFS($AU$134:AU422,$AB$134:AB422,"*",$AC$134:AC422,"*")</f>
        <v>78.599999999999653</v>
      </c>
      <c r="BX421" s="343">
        <f>SUMIFS($AU422:AU$1388,$Q422:Q$1388,"F")</f>
        <v>17455.466666666667</v>
      </c>
      <c r="BY421" s="343">
        <f>SUMIFS($AU422:AU$1388,$Q422:Q$1388,"S")</f>
        <v>16320.592000000001</v>
      </c>
      <c r="BZ421" s="343">
        <f>SUMIFS($AU422:AU$1388,$Q422:Q$1388,"O")</f>
        <v>-1447.4979999997583</v>
      </c>
    </row>
    <row r="422" spans="1:78" ht="15.75" customHeight="1">
      <c r="A422" s="221" t="s">
        <v>1720</v>
      </c>
      <c r="B422" s="200">
        <v>45012</v>
      </c>
      <c r="C422" s="201" t="s">
        <v>1982</v>
      </c>
      <c r="D422" s="201" t="s">
        <v>132</v>
      </c>
      <c r="E422" s="247"/>
      <c r="F422" s="203"/>
      <c r="G422" s="314" t="s">
        <v>271</v>
      </c>
      <c r="H422" s="205"/>
      <c r="I422" s="205"/>
      <c r="J422" s="205"/>
      <c r="K422" s="206"/>
      <c r="L422" s="205">
        <v>1</v>
      </c>
      <c r="M422" s="205"/>
      <c r="N422" s="205"/>
      <c r="O422" s="206" t="s">
        <v>95</v>
      </c>
      <c r="P422" s="206" t="s">
        <v>96</v>
      </c>
      <c r="Q422" s="206" t="s">
        <v>97</v>
      </c>
      <c r="R422" s="206">
        <v>5</v>
      </c>
      <c r="S422" s="206">
        <v>5</v>
      </c>
      <c r="T422" s="206">
        <v>5</v>
      </c>
      <c r="U422" s="206" t="s">
        <v>22</v>
      </c>
      <c r="V422" s="206"/>
      <c r="W422" s="206"/>
      <c r="X422" s="206"/>
      <c r="Y422" s="184">
        <f t="shared" si="157"/>
        <v>0.01</v>
      </c>
      <c r="Z422" s="184">
        <f t="shared" si="158"/>
        <v>1600</v>
      </c>
      <c r="AA422" s="208" t="s">
        <v>1983</v>
      </c>
      <c r="AB422" s="208"/>
      <c r="AC422" s="208"/>
      <c r="AD422" s="650">
        <v>-0.05</v>
      </c>
      <c r="AE422" s="205"/>
      <c r="AF422" s="333"/>
      <c r="AG422" s="205"/>
      <c r="AH422" s="205"/>
      <c r="AI422" s="205"/>
      <c r="AJ422" s="641"/>
      <c r="AK422" s="205"/>
      <c r="AL422" s="496">
        <f t="shared" si="178"/>
        <v>-48</v>
      </c>
      <c r="AM422" s="496">
        <f t="shared" si="170"/>
        <v>-240</v>
      </c>
      <c r="AN422" s="627"/>
      <c r="AO422" s="205"/>
      <c r="AP422" s="205" t="s">
        <v>1639</v>
      </c>
      <c r="AQ422" s="333" t="str">
        <f>UPPER(RIGHT(Journal_Live[[#This Row],[DURATION ]]))</f>
        <v>H</v>
      </c>
      <c r="AR422" s="205" t="s">
        <v>1984</v>
      </c>
      <c r="AS422" s="211">
        <f>((-0.05*2)+(-0.05*3))/5</f>
        <v>-0.05</v>
      </c>
      <c r="AT422" s="189">
        <f t="shared" si="160"/>
        <v>0</v>
      </c>
      <c r="AU422" s="187">
        <f t="shared" si="161"/>
        <v>0</v>
      </c>
      <c r="AV422" s="190">
        <f t="shared" si="162"/>
        <v>0</v>
      </c>
      <c r="AW422" s="213" t="s">
        <v>115</v>
      </c>
      <c r="AX422" s="413" t="s">
        <v>1985</v>
      </c>
      <c r="AY422" s="413" t="s">
        <v>529</v>
      </c>
      <c r="AZ422" s="413"/>
      <c r="BA422" s="413"/>
      <c r="BB422" s="413"/>
      <c r="BC422" s="413"/>
      <c r="BD422" s="413"/>
      <c r="BE422" s="413"/>
      <c r="BF422" s="427"/>
      <c r="BG422" s="391">
        <f>SUM($AV$4:AV422)</f>
        <v>2824.1350000000161</v>
      </c>
      <c r="BH422" s="392">
        <f>SUM($AU$134:AU422)</f>
        <v>1334.0899999999601</v>
      </c>
      <c r="BI422" s="318">
        <f>SUMIFS($AU$134:AU423,$Q$134:Q423,"F")</f>
        <v>-3014.8</v>
      </c>
      <c r="BJ422" s="318">
        <f>SUMIFS($AU$134:AU423,$Q$134:Q423,"S")</f>
        <v>4351.0499999999975</v>
      </c>
      <c r="BK422" s="343">
        <f>SUMIFS($AU$134:AU423,$P$134:P423,"W")</f>
        <v>3561.1899999999523</v>
      </c>
      <c r="BL422" s="343">
        <f>SUMIFS($AU$134:AU423,$P$134:P423,"R")</f>
        <v>-2227.0999999999935</v>
      </c>
      <c r="BM422" s="343">
        <f>SUMIFS($AU$134:AU423,$AQ$134:AQ423,"M")</f>
        <v>797.80000000000496</v>
      </c>
      <c r="BN422" s="343">
        <f>SUMIFS($AU$134:AU423,$AQ$134:AQ423,"H")</f>
        <v>1543.7000000000153</v>
      </c>
      <c r="BO422" s="343">
        <f>SUMIFS($AU$134:AU423,$AQ$134:AQ423,"D")</f>
        <v>-487.15000000000055</v>
      </c>
      <c r="BP422" s="343">
        <f>SUMIFS($AU$134:AU425,$AQ$134:AQ425,"W")</f>
        <v>-1270.7</v>
      </c>
      <c r="BQ422" s="343">
        <f>SUMIFS($AU$134:AU423,$Q$134:Q423,"O")</f>
        <v>-201.36000000004023</v>
      </c>
      <c r="BR422" s="343">
        <f>SUMIFS($AU$134:AU423,$AA$134:AA423,"*")</f>
        <v>4007.1499999999878</v>
      </c>
      <c r="BS422" s="343">
        <f>SUMIFS($AU$134:AU423,$AB$134:AB423,"*")</f>
        <v>111.23999999997596</v>
      </c>
      <c r="BT422" s="343">
        <f>SUMIFS($AU$134:AU423,$AC$134:AC423,"*")</f>
        <v>-2282.4500000000012</v>
      </c>
      <c r="BU422" s="343">
        <f>SUMIFS($AU$134:AU423,$AA$134:AA423,"*",$AB$134:AB423,"*")</f>
        <v>-188.19999999999513</v>
      </c>
      <c r="BV422" s="343">
        <f>SUMIFS($AU$134:AU423,$AA$134:AA423,"*",$AC$134:AC423,"*")</f>
        <v>666.64999999999907</v>
      </c>
      <c r="BW422" s="343">
        <f>SUMIFS($AU$134:AU423,$AB$134:AB423,"*",$AC$134:AC423,"*")</f>
        <v>78.599999999999653</v>
      </c>
      <c r="BX422" s="343">
        <f>SUMIFS($AU423:AU$1388,$Q423:Q$1388,"F")</f>
        <v>17455.466666666667</v>
      </c>
      <c r="BY422" s="343">
        <f>SUMIFS($AU423:AU$1388,$Q423:Q$1388,"S")</f>
        <v>16320.592000000001</v>
      </c>
      <c r="BZ422" s="343">
        <f>SUMIFS($AU423:AU$1388,$Q423:Q$1388,"O")</f>
        <v>-1447.4979999997583</v>
      </c>
    </row>
    <row r="423" spans="1:78" ht="15.75" customHeight="1">
      <c r="A423" s="221" t="s">
        <v>1720</v>
      </c>
      <c r="B423" s="200">
        <v>45012</v>
      </c>
      <c r="C423" s="201" t="s">
        <v>1986</v>
      </c>
      <c r="D423" s="201" t="s">
        <v>132</v>
      </c>
      <c r="E423" s="247"/>
      <c r="F423" s="203"/>
      <c r="G423" s="314" t="s">
        <v>271</v>
      </c>
      <c r="H423" s="205"/>
      <c r="I423" s="205"/>
      <c r="J423" s="205"/>
      <c r="K423" s="206"/>
      <c r="L423" s="205">
        <v>1</v>
      </c>
      <c r="M423" s="205"/>
      <c r="N423" s="205"/>
      <c r="O423" s="206" t="s">
        <v>95</v>
      </c>
      <c r="P423" s="206" t="s">
        <v>96</v>
      </c>
      <c r="Q423" s="206" t="s">
        <v>97</v>
      </c>
      <c r="R423" s="206">
        <v>5</v>
      </c>
      <c r="S423" s="206">
        <v>5</v>
      </c>
      <c r="T423" s="206">
        <v>5</v>
      </c>
      <c r="U423" s="206" t="s">
        <v>97</v>
      </c>
      <c r="V423" s="206"/>
      <c r="W423" s="206"/>
      <c r="X423" s="206"/>
      <c r="Y423" s="184">
        <f t="shared" si="157"/>
        <v>0.01</v>
      </c>
      <c r="Z423" s="184">
        <f t="shared" si="158"/>
        <v>1600</v>
      </c>
      <c r="AA423" s="208" t="s">
        <v>1983</v>
      </c>
      <c r="AB423" s="208"/>
      <c r="AC423" s="208"/>
      <c r="AD423" s="650">
        <v>-0.04</v>
      </c>
      <c r="AE423" s="205"/>
      <c r="AF423" s="333"/>
      <c r="AG423" s="205"/>
      <c r="AH423" s="205"/>
      <c r="AI423" s="205"/>
      <c r="AJ423" s="641"/>
      <c r="AK423" s="205"/>
      <c r="AL423" s="496">
        <f t="shared" ref="AL423" si="179">-0.03*Z423</f>
        <v>-48</v>
      </c>
      <c r="AM423" s="496">
        <f t="shared" si="170"/>
        <v>-240</v>
      </c>
      <c r="AN423" s="627"/>
      <c r="AO423" s="205"/>
      <c r="AP423" s="205" t="s">
        <v>1987</v>
      </c>
      <c r="AQ423" s="333" t="str">
        <f>UPPER(RIGHT(Journal_Live[[#This Row],[DURATION ]]))</f>
        <v>H</v>
      </c>
      <c r="AR423" s="205" t="s">
        <v>177</v>
      </c>
      <c r="AS423" s="211">
        <v>-0.04</v>
      </c>
      <c r="AT423" s="189">
        <f t="shared" si="160"/>
        <v>0</v>
      </c>
      <c r="AU423" s="187">
        <f t="shared" si="161"/>
        <v>0</v>
      </c>
      <c r="AV423" s="190">
        <f t="shared" si="162"/>
        <v>0</v>
      </c>
      <c r="AW423" s="213" t="s">
        <v>115</v>
      </c>
      <c r="AX423" s="413" t="s">
        <v>1979</v>
      </c>
      <c r="AY423" s="413" t="s">
        <v>1988</v>
      </c>
      <c r="AZ423" s="413"/>
      <c r="BA423" s="413"/>
      <c r="BB423" s="413"/>
      <c r="BC423" s="413"/>
      <c r="BD423" s="413"/>
      <c r="BE423" s="413"/>
      <c r="BF423" s="427"/>
      <c r="BG423" s="391">
        <f>SUM($AV$4:AV423)</f>
        <v>2824.1350000000161</v>
      </c>
      <c r="BH423" s="392">
        <f>SUM($AU$134:AU423)</f>
        <v>1334.0899999999601</v>
      </c>
      <c r="BI423" s="318">
        <f>SUMIFS($AU$134:AU424,$Q$134:Q424,"F")</f>
        <v>-3014.8</v>
      </c>
      <c r="BJ423" s="318">
        <f>SUMIFS($AU$134:AU424,$Q$134:Q424,"S")</f>
        <v>4351.0499999999975</v>
      </c>
      <c r="BK423" s="343">
        <f>SUMIFS($AU$134:AU424,$P$134:P424,"W")</f>
        <v>3561.1899999999523</v>
      </c>
      <c r="BL423" s="343">
        <f>SUMIFS($AU$134:AU424,$P$134:P424,"R")</f>
        <v>-2227.0999999999935</v>
      </c>
      <c r="BM423" s="343">
        <f>SUMIFS($AU$134:AU424,$AQ$134:AQ424,"M")</f>
        <v>797.80000000000496</v>
      </c>
      <c r="BN423" s="343">
        <f>SUMIFS($AU$134:AU424,$AQ$134:AQ424,"H")</f>
        <v>1543.7000000000153</v>
      </c>
      <c r="BO423" s="343">
        <f>SUMIFS($AU$134:AU424,$AQ$134:AQ424,"D")</f>
        <v>-487.15000000000055</v>
      </c>
      <c r="BP423" s="343">
        <f>SUMIFS($AU$134:AU426,$AQ$134:AQ426,"W")</f>
        <v>-1270.7</v>
      </c>
      <c r="BQ423" s="343">
        <f>SUMIFS($AU$134:AU424,$Q$134:Q424,"O")</f>
        <v>-201.36000000004023</v>
      </c>
      <c r="BR423" s="343">
        <f>SUMIFS($AU$134:AU424,$AA$134:AA424,"*")</f>
        <v>4007.1499999999878</v>
      </c>
      <c r="BS423" s="343">
        <f>SUMIFS($AU$134:AU424,$AB$134:AB424,"*")</f>
        <v>111.23999999997596</v>
      </c>
      <c r="BT423" s="343">
        <f>SUMIFS($AU$134:AU424,$AC$134:AC424,"*")</f>
        <v>-2282.4500000000012</v>
      </c>
      <c r="BU423" s="343">
        <f>SUMIFS($AU$134:AU424,$AA$134:AA424,"*",$AB$134:AB424,"*")</f>
        <v>-188.19999999999513</v>
      </c>
      <c r="BV423" s="343">
        <f>SUMIFS($AU$134:AU424,$AA$134:AA424,"*",$AC$134:AC424,"*")</f>
        <v>666.64999999999907</v>
      </c>
      <c r="BW423" s="343">
        <f>SUMIFS($AU$134:AU424,$AB$134:AB424,"*",$AC$134:AC424,"*")</f>
        <v>78.599999999999653</v>
      </c>
      <c r="BX423" s="343">
        <f>SUMIFS($AU424:AU$1388,$Q424:Q$1388,"F")</f>
        <v>17455.466666666667</v>
      </c>
      <c r="BY423" s="343">
        <f>SUMIFS($AU424:AU$1388,$Q424:Q$1388,"S")</f>
        <v>16320.592000000001</v>
      </c>
      <c r="BZ423" s="343">
        <f>SUMIFS($AU424:AU$1388,$Q424:Q$1388,"O")</f>
        <v>-1447.4979999997583</v>
      </c>
    </row>
    <row r="424" spans="1:78" ht="15.75" customHeight="1">
      <c r="A424" s="221" t="s">
        <v>1720</v>
      </c>
      <c r="B424" s="200">
        <v>45013</v>
      </c>
      <c r="C424" s="201" t="s">
        <v>1437</v>
      </c>
      <c r="D424" s="201" t="s">
        <v>146</v>
      </c>
      <c r="E424" s="227" t="s">
        <v>1989</v>
      </c>
      <c r="F424" s="180" t="s">
        <v>1990</v>
      </c>
      <c r="G424" s="181"/>
      <c r="H424" s="182">
        <v>1</v>
      </c>
      <c r="I424" s="182"/>
      <c r="J424" s="182"/>
      <c r="K424" s="183" t="s">
        <v>372</v>
      </c>
      <c r="L424" s="182"/>
      <c r="M424" s="182"/>
      <c r="N424" s="182"/>
      <c r="O424" s="183"/>
      <c r="P424" s="183"/>
      <c r="Q424" s="183"/>
      <c r="R424" s="183"/>
      <c r="S424" s="183"/>
      <c r="T424" s="183"/>
      <c r="U424" s="183"/>
      <c r="V424" s="183"/>
      <c r="W424" s="183"/>
      <c r="X424" s="183"/>
      <c r="Y424" s="184" t="str">
        <f t="shared" si="157"/>
        <v/>
      </c>
      <c r="Z424" s="184" t="str">
        <f t="shared" si="158"/>
        <v/>
      </c>
      <c r="AA424" s="185"/>
      <c r="AB424" s="185"/>
      <c r="AC424" s="185"/>
      <c r="AD424" s="649"/>
      <c r="AE424" s="182"/>
      <c r="AF424" s="332"/>
      <c r="AG424" s="182"/>
      <c r="AH424" s="182"/>
      <c r="AI424" s="182"/>
      <c r="AJ424" s="640"/>
      <c r="AK424" s="182"/>
      <c r="AL424" s="496"/>
      <c r="AM424" s="496"/>
      <c r="AN424" s="626"/>
      <c r="AO424" s="182"/>
      <c r="AP424" s="182"/>
      <c r="AQ424" s="332" t="str">
        <f>UPPER(RIGHT(Journal_Live[[#This Row],[DURATION ]]))</f>
        <v/>
      </c>
      <c r="AR424" s="182"/>
      <c r="AS424" s="189"/>
      <c r="AT424" s="189">
        <f t="shared" si="160"/>
        <v>0</v>
      </c>
      <c r="AU424" s="187">
        <f t="shared" si="161"/>
        <v>0</v>
      </c>
      <c r="AV424" s="190">
        <f t="shared" si="162"/>
        <v>0</v>
      </c>
      <c r="AW424" s="191"/>
      <c r="AX424" s="407"/>
      <c r="AY424" s="407"/>
      <c r="AZ424" s="407"/>
      <c r="BA424" s="407"/>
      <c r="BB424" s="407"/>
      <c r="BC424" s="407"/>
      <c r="BD424" s="407"/>
      <c r="BE424" s="407"/>
      <c r="BF424" s="422"/>
      <c r="BG424" s="391">
        <f>SUM($AV$4:AV424)</f>
        <v>2824.1350000000161</v>
      </c>
      <c r="BH424" s="392">
        <f>SUM($AU$134:AU424)</f>
        <v>1334.0899999999601</v>
      </c>
      <c r="BI424" s="318">
        <f>SUMIFS($AU$134:AU425,$Q$134:Q425,"F")</f>
        <v>-3014.8</v>
      </c>
      <c r="BJ424" s="318">
        <f>SUMIFS($AU$134:AU425,$Q$134:Q425,"S")</f>
        <v>4351.0499999999975</v>
      </c>
      <c r="BK424" s="343">
        <f>SUMIFS($AU$134:AU425,$P$134:P425,"W")</f>
        <v>3529.1899999999359</v>
      </c>
      <c r="BL424" s="343">
        <f>SUMIFS($AU$134:AU425,$P$134:P425,"R")</f>
        <v>-2227.0999999999935</v>
      </c>
      <c r="BM424" s="343">
        <f>SUMIFS($AU$134:AU425,$AQ$134:AQ425,"M")</f>
        <v>765.79999999998859</v>
      </c>
      <c r="BN424" s="343">
        <f>SUMIFS($AU$134:AU425,$AQ$134:AQ425,"H")</f>
        <v>1543.7000000000153</v>
      </c>
      <c r="BO424" s="343">
        <f>SUMIFS($AU$134:AU425,$AQ$134:AQ425,"D")</f>
        <v>-487.15000000000055</v>
      </c>
      <c r="BP424" s="343">
        <f>SUMIFS($AU$134:AU427,$AQ$134:AQ427,"W")</f>
        <v>-1270.7</v>
      </c>
      <c r="BQ424" s="343">
        <f>SUMIFS($AU$134:AU425,$Q$134:Q425,"O")</f>
        <v>-233.3600000000566</v>
      </c>
      <c r="BR424" s="343">
        <f>SUMIFS($AU$134:AU425,$AA$134:AA425,"*")</f>
        <v>3975.1499999999714</v>
      </c>
      <c r="BS424" s="343">
        <f>SUMIFS($AU$134:AU425,$AB$134:AB425,"*")</f>
        <v>111.23999999997596</v>
      </c>
      <c r="BT424" s="343">
        <f>SUMIFS($AU$134:AU425,$AC$134:AC425,"*")</f>
        <v>-2282.4500000000012</v>
      </c>
      <c r="BU424" s="343">
        <f>SUMIFS($AU$134:AU425,$AA$134:AA425,"*",$AB$134:AB425,"*")</f>
        <v>-188.19999999999513</v>
      </c>
      <c r="BV424" s="343">
        <f>SUMIFS($AU$134:AU425,$AA$134:AA425,"*",$AC$134:AC425,"*")</f>
        <v>666.64999999999907</v>
      </c>
      <c r="BW424" s="343">
        <f>SUMIFS($AU$134:AU425,$AB$134:AB425,"*",$AC$134:AC425,"*")</f>
        <v>78.599999999999653</v>
      </c>
      <c r="BX424" s="343">
        <f>SUMIFS($AU425:AU$1388,$Q425:Q$1388,"F")</f>
        <v>17455.466666666667</v>
      </c>
      <c r="BY424" s="343">
        <f>SUMIFS($AU425:AU$1388,$Q425:Q$1388,"S")</f>
        <v>16320.592000000001</v>
      </c>
      <c r="BZ424" s="343">
        <f>SUMIFS($AU425:AU$1388,$Q425:Q$1388,"O")</f>
        <v>-1447.4979999997583</v>
      </c>
    </row>
    <row r="425" spans="1:78" ht="15.75" customHeight="1">
      <c r="A425" s="221" t="s">
        <v>1720</v>
      </c>
      <c r="B425" s="200">
        <v>45013</v>
      </c>
      <c r="C425" s="201" t="s">
        <v>1437</v>
      </c>
      <c r="D425" s="201" t="s">
        <v>146</v>
      </c>
      <c r="E425" s="247"/>
      <c r="F425" s="203"/>
      <c r="G425" s="204" t="s">
        <v>983</v>
      </c>
      <c r="H425" s="205"/>
      <c r="I425" s="205"/>
      <c r="J425" s="205"/>
      <c r="K425" s="206"/>
      <c r="L425" s="205">
        <v>1</v>
      </c>
      <c r="M425" s="205"/>
      <c r="N425" s="205"/>
      <c r="O425" s="206" t="s">
        <v>95</v>
      </c>
      <c r="P425" s="206" t="s">
        <v>96</v>
      </c>
      <c r="Q425" s="206" t="s">
        <v>684</v>
      </c>
      <c r="R425" s="206">
        <v>2</v>
      </c>
      <c r="S425" s="206">
        <v>2</v>
      </c>
      <c r="T425" s="206">
        <v>2</v>
      </c>
      <c r="U425" s="206" t="s">
        <v>97</v>
      </c>
      <c r="V425" s="206"/>
      <c r="W425" s="206"/>
      <c r="X425" s="206"/>
      <c r="Y425" s="184">
        <f t="shared" si="157"/>
        <v>0.01</v>
      </c>
      <c r="Z425" s="184">
        <f t="shared" si="158"/>
        <v>1600</v>
      </c>
      <c r="AA425" s="208" t="s">
        <v>1096</v>
      </c>
      <c r="AB425" s="208"/>
      <c r="AC425" s="208"/>
      <c r="AD425" s="650">
        <v>96.53</v>
      </c>
      <c r="AE425" s="205"/>
      <c r="AF425" s="333"/>
      <c r="AG425" s="205"/>
      <c r="AH425" s="205"/>
      <c r="AI425" s="205"/>
      <c r="AJ425" s="641"/>
      <c r="AK425" s="205"/>
      <c r="AL425" s="496"/>
      <c r="AM425" s="496"/>
      <c r="AN425" s="627"/>
      <c r="AO425" s="205"/>
      <c r="AP425" s="205" t="s">
        <v>1991</v>
      </c>
      <c r="AQ425" s="333" t="str">
        <f>UPPER(RIGHT(Journal_Live[[#This Row],[DURATION ]]))</f>
        <v>M</v>
      </c>
      <c r="AR425" s="205" t="s">
        <v>1992</v>
      </c>
      <c r="AS425" s="211">
        <v>96.54</v>
      </c>
      <c r="AT425" s="189">
        <f t="shared" si="160"/>
        <v>-1.0000000000005116E-2</v>
      </c>
      <c r="AU425" s="187">
        <f t="shared" si="161"/>
        <v>-32.000000000016371</v>
      </c>
      <c r="AV425" s="190">
        <f t="shared" si="162"/>
        <v>-16.000000000008185</v>
      </c>
      <c r="AW425" s="213" t="s">
        <v>229</v>
      </c>
      <c r="AX425" s="413" t="s">
        <v>1993</v>
      </c>
      <c r="AY425" s="413" t="s">
        <v>1994</v>
      </c>
      <c r="AZ425" s="413" t="s">
        <v>529</v>
      </c>
      <c r="BA425" s="413"/>
      <c r="BB425" s="413"/>
      <c r="BC425" s="413"/>
      <c r="BD425" s="413"/>
      <c r="BE425" s="413"/>
      <c r="BF425" s="427"/>
      <c r="BG425" s="391">
        <f>SUM($AV$4:AV425)</f>
        <v>2808.1350000000079</v>
      </c>
      <c r="BH425" s="392">
        <f>SUM($AU$134:AU425)</f>
        <v>1302.0899999999438</v>
      </c>
      <c r="BI425" s="318">
        <f>SUMIFS($AU$134:AU426,$Q$134:Q426,"F")</f>
        <v>-3014.8</v>
      </c>
      <c r="BJ425" s="318">
        <f>SUMIFS($AU$134:AU426,$Q$134:Q426,"S")</f>
        <v>4431.0499999999975</v>
      </c>
      <c r="BK425" s="343">
        <f>SUMIFS($AU$134:AU426,$P$134:P426,"W")</f>
        <v>3609.1899999999359</v>
      </c>
      <c r="BL425" s="343">
        <f>SUMIFS($AU$134:AU426,$P$134:P426,"R")</f>
        <v>-2227.0999999999935</v>
      </c>
      <c r="BM425" s="343">
        <f>SUMIFS($AU$134:AU426,$AQ$134:AQ426,"M")</f>
        <v>765.79999999998859</v>
      </c>
      <c r="BN425" s="343">
        <f>SUMIFS($AU$134:AU426,$AQ$134:AQ426,"H")</f>
        <v>1543.7000000000153</v>
      </c>
      <c r="BO425" s="343">
        <f>SUMIFS($AU$134:AU426,$AQ$134:AQ426,"D")</f>
        <v>-407.15000000000055</v>
      </c>
      <c r="BP425" s="343">
        <f>SUMIFS($AU$134:AU428,$AQ$134:AQ428,"W")</f>
        <v>-1270.7</v>
      </c>
      <c r="BQ425" s="343">
        <f>SUMIFS($AU$134:AU426,$Q$134:Q426,"O")</f>
        <v>-233.3600000000566</v>
      </c>
      <c r="BR425" s="343">
        <f>SUMIFS($AU$134:AU426,$AA$134:AA426,"*")</f>
        <v>4055.1499999999714</v>
      </c>
      <c r="BS425" s="343">
        <f>SUMIFS($AU$134:AU426,$AB$134:AB426,"*")</f>
        <v>111.23999999997596</v>
      </c>
      <c r="BT425" s="343">
        <f>SUMIFS($AU$134:AU426,$AC$134:AC426,"*")</f>
        <v>-2282.4500000000012</v>
      </c>
      <c r="BU425" s="343">
        <f>SUMIFS($AU$134:AU426,$AA$134:AA426,"*",$AB$134:AB426,"*")</f>
        <v>-188.19999999999513</v>
      </c>
      <c r="BV425" s="343">
        <f>SUMIFS($AU$134:AU426,$AA$134:AA426,"*",$AC$134:AC426,"*")</f>
        <v>666.64999999999907</v>
      </c>
      <c r="BW425" s="343">
        <f>SUMIFS($AU$134:AU426,$AB$134:AB426,"*",$AC$134:AC426,"*")</f>
        <v>78.599999999999653</v>
      </c>
      <c r="BX425" s="343">
        <f>SUMIFS($AU426:AU$1388,$Q426:Q$1388,"F")</f>
        <v>17455.466666666667</v>
      </c>
      <c r="BY425" s="343">
        <f>SUMIFS($AU426:AU$1388,$Q426:Q$1388,"S")</f>
        <v>16320.592000000001</v>
      </c>
      <c r="BZ425" s="343">
        <f>SUMIFS($AU426:AU$1388,$Q426:Q$1388,"O")</f>
        <v>-1415.497999999742</v>
      </c>
    </row>
    <row r="426" spans="1:78" ht="15.75" customHeight="1">
      <c r="A426" s="221" t="s">
        <v>1720</v>
      </c>
      <c r="B426" s="200">
        <v>45013</v>
      </c>
      <c r="C426" s="201" t="s">
        <v>1995</v>
      </c>
      <c r="D426" s="201" t="s">
        <v>146</v>
      </c>
      <c r="E426" s="247"/>
      <c r="F426" s="203"/>
      <c r="G426" s="314" t="s">
        <v>271</v>
      </c>
      <c r="H426" s="205"/>
      <c r="I426" s="205"/>
      <c r="J426" s="205"/>
      <c r="K426" s="206"/>
      <c r="L426" s="205">
        <v>1</v>
      </c>
      <c r="M426" s="205"/>
      <c r="N426" s="205"/>
      <c r="O426" s="206" t="s">
        <v>95</v>
      </c>
      <c r="P426" s="206" t="s">
        <v>96</v>
      </c>
      <c r="Q426" s="206" t="s">
        <v>97</v>
      </c>
      <c r="R426" s="206">
        <v>10</v>
      </c>
      <c r="S426" s="206">
        <v>10</v>
      </c>
      <c r="T426" s="206">
        <v>5</v>
      </c>
      <c r="U426" s="206" t="s">
        <v>97</v>
      </c>
      <c r="V426" s="206"/>
      <c r="W426" s="206"/>
      <c r="X426" s="206"/>
      <c r="Y426" s="184">
        <f t="shared" si="157"/>
        <v>0.01</v>
      </c>
      <c r="Z426" s="184">
        <f t="shared" si="158"/>
        <v>1600</v>
      </c>
      <c r="AA426" s="208" t="s">
        <v>99</v>
      </c>
      <c r="AB426" s="208"/>
      <c r="AC426" s="208"/>
      <c r="AD426" s="650">
        <v>-0.04</v>
      </c>
      <c r="AE426" s="205"/>
      <c r="AF426" s="333"/>
      <c r="AG426" s="205"/>
      <c r="AH426" s="205"/>
      <c r="AI426" s="205"/>
      <c r="AJ426" s="641"/>
      <c r="AK426" s="205"/>
      <c r="AL426" s="496">
        <f>-0.02*Z426</f>
        <v>-32</v>
      </c>
      <c r="AM426" s="496">
        <f>AL426*R426</f>
        <v>-320</v>
      </c>
      <c r="AN426" s="627"/>
      <c r="AO426" s="205"/>
      <c r="AP426" s="205" t="s">
        <v>804</v>
      </c>
      <c r="AQ426" s="333" t="str">
        <f>UPPER(RIGHT(Journal_Live[[#This Row],[DURATION ]]))</f>
        <v>D</v>
      </c>
      <c r="AR426" s="205" t="s">
        <v>1996</v>
      </c>
      <c r="AS426" s="189">
        <f>((-0.04*5)+(-0.05*5))/10</f>
        <v>-4.4999999999999998E-2</v>
      </c>
      <c r="AT426" s="189">
        <f t="shared" si="160"/>
        <v>4.9999999999999975E-3</v>
      </c>
      <c r="AU426" s="187">
        <f t="shared" si="161"/>
        <v>79.999999999999972</v>
      </c>
      <c r="AV426" s="190">
        <f t="shared" si="162"/>
        <v>7.9999999999999964</v>
      </c>
      <c r="AW426" s="213" t="s">
        <v>96</v>
      </c>
      <c r="AX426" s="413" t="s">
        <v>1997</v>
      </c>
      <c r="AY426" s="413"/>
      <c r="AZ426" s="413" t="s">
        <v>1998</v>
      </c>
      <c r="BA426" s="413" t="s">
        <v>1999</v>
      </c>
      <c r="BB426" s="413" t="s">
        <v>529</v>
      </c>
      <c r="BC426" s="413"/>
      <c r="BD426" s="413"/>
      <c r="BE426" s="413"/>
      <c r="BF426" s="427"/>
      <c r="BG426" s="391">
        <f>SUM($AV$4:AV426)</f>
        <v>2816.1350000000079</v>
      </c>
      <c r="BH426" s="392">
        <f>SUM($AU$134:AU426)</f>
        <v>1382.0899999999438</v>
      </c>
      <c r="BI426" s="318">
        <f>SUMIFS($AU$134:AU427,$Q$134:Q427,"F")</f>
        <v>-3014.8</v>
      </c>
      <c r="BJ426" s="318">
        <f>SUMIFS($AU$134:AU427,$Q$134:Q427,"S")</f>
        <v>4431.0499999999975</v>
      </c>
      <c r="BK426" s="343">
        <f>SUMIFS($AU$134:AU427,$P$134:P427,"W")</f>
        <v>3609.1899999999359</v>
      </c>
      <c r="BL426" s="343">
        <f>SUMIFS($AU$134:AU427,$P$134:P427,"R")</f>
        <v>-2227.0999999999935</v>
      </c>
      <c r="BM426" s="343">
        <f>SUMIFS($AU$134:AU427,$AQ$134:AQ427,"M")</f>
        <v>765.79999999998859</v>
      </c>
      <c r="BN426" s="343">
        <f>SUMIFS($AU$134:AU427,$AQ$134:AQ427,"H")</f>
        <v>1543.7000000000153</v>
      </c>
      <c r="BO426" s="343">
        <f>SUMIFS($AU$134:AU427,$AQ$134:AQ427,"D")</f>
        <v>-407.15000000000055</v>
      </c>
      <c r="BP426" s="343">
        <f>SUMIFS($AU$134:AU429,$AQ$134:AQ429,"W")</f>
        <v>-1270.7</v>
      </c>
      <c r="BQ426" s="343">
        <f>SUMIFS($AU$134:AU427,$Q$134:Q427,"O")</f>
        <v>-233.3600000000566</v>
      </c>
      <c r="BR426" s="343">
        <f>SUMIFS($AU$134:AU427,$AA$134:AA427,"*")</f>
        <v>4055.1499999999714</v>
      </c>
      <c r="BS426" s="343">
        <f>SUMIFS($AU$134:AU427,$AB$134:AB427,"*")</f>
        <v>111.23999999997596</v>
      </c>
      <c r="BT426" s="343">
        <f>SUMIFS($AU$134:AU427,$AC$134:AC427,"*")</f>
        <v>-2282.4500000000012</v>
      </c>
      <c r="BU426" s="343">
        <f>SUMIFS($AU$134:AU427,$AA$134:AA427,"*",$AB$134:AB427,"*")</f>
        <v>-188.19999999999513</v>
      </c>
      <c r="BV426" s="343">
        <f>SUMIFS($AU$134:AU427,$AA$134:AA427,"*",$AC$134:AC427,"*")</f>
        <v>666.64999999999907</v>
      </c>
      <c r="BW426" s="343">
        <f>SUMIFS($AU$134:AU427,$AB$134:AB427,"*",$AC$134:AC427,"*")</f>
        <v>78.599999999999653</v>
      </c>
      <c r="BX426" s="343">
        <f>SUMIFS($AU427:AU$1388,$Q427:Q$1388,"F")</f>
        <v>17455.466666666667</v>
      </c>
      <c r="BY426" s="343">
        <f>SUMIFS($AU427:AU$1388,$Q427:Q$1388,"S")</f>
        <v>16240.592000000001</v>
      </c>
      <c r="BZ426" s="343">
        <f>SUMIFS($AU427:AU$1388,$Q427:Q$1388,"O")</f>
        <v>-1415.497999999742</v>
      </c>
    </row>
    <row r="427" spans="1:78" ht="15.75" customHeight="1">
      <c r="A427" s="221" t="s">
        <v>1720</v>
      </c>
      <c r="B427" s="200">
        <v>45014</v>
      </c>
      <c r="C427" s="201" t="s">
        <v>1437</v>
      </c>
      <c r="D427" s="201" t="s">
        <v>151</v>
      </c>
      <c r="E427" s="247" t="s">
        <v>2000</v>
      </c>
      <c r="F427" s="203" t="s">
        <v>2001</v>
      </c>
      <c r="G427" s="204"/>
      <c r="H427" s="205"/>
      <c r="I427" s="205"/>
      <c r="J427" s="205">
        <v>1</v>
      </c>
      <c r="K427" s="206" t="s">
        <v>115</v>
      </c>
      <c r="L427" s="205"/>
      <c r="M427" s="205"/>
      <c r="N427" s="205"/>
      <c r="O427" s="206"/>
      <c r="P427" s="206"/>
      <c r="Q427" s="206"/>
      <c r="R427" s="206"/>
      <c r="S427" s="206"/>
      <c r="T427" s="206"/>
      <c r="U427" s="206"/>
      <c r="V427" s="206"/>
      <c r="W427" s="206"/>
      <c r="X427" s="206"/>
      <c r="Y427" s="184" t="str">
        <f t="shared" si="157"/>
        <v/>
      </c>
      <c r="Z427" s="184" t="str">
        <f t="shared" si="158"/>
        <v/>
      </c>
      <c r="AA427" s="208"/>
      <c r="AB427" s="208"/>
      <c r="AC427" s="208"/>
      <c r="AD427" s="650"/>
      <c r="AE427" s="205"/>
      <c r="AF427" s="333"/>
      <c r="AG427" s="205"/>
      <c r="AH427" s="205"/>
      <c r="AI427" s="205"/>
      <c r="AJ427" s="641"/>
      <c r="AK427" s="205"/>
      <c r="AL427" s="496"/>
      <c r="AM427" s="496"/>
      <c r="AN427" s="627"/>
      <c r="AO427" s="205"/>
      <c r="AP427" s="205"/>
      <c r="AQ427" s="333" t="str">
        <f>UPPER(RIGHT(Journal_Live[[#This Row],[DURATION ]]))</f>
        <v/>
      </c>
      <c r="AR427" s="205"/>
      <c r="AS427" s="211"/>
      <c r="AT427" s="189"/>
      <c r="AU427" s="187"/>
      <c r="AV427" s="190"/>
      <c r="AW427" s="213"/>
      <c r="AX427" s="413" t="s">
        <v>2002</v>
      </c>
      <c r="AY427" s="413" t="s">
        <v>2003</v>
      </c>
      <c r="AZ427" s="413"/>
      <c r="BA427" s="413"/>
      <c r="BB427" s="413"/>
      <c r="BC427" s="413"/>
      <c r="BD427" s="413"/>
      <c r="BE427" s="413"/>
      <c r="BF427" s="427"/>
      <c r="BG427" s="391">
        <f>SUM($AV$4:AV427)</f>
        <v>2816.1350000000079</v>
      </c>
      <c r="BH427" s="392">
        <f>SUM($AU$134:AU427)</f>
        <v>1382.0899999999438</v>
      </c>
      <c r="BI427" s="318">
        <f>SUMIFS($AU$134:AU428,$Q$134:Q428,"F")</f>
        <v>-3014.8</v>
      </c>
      <c r="BJ427" s="318">
        <f>SUMIFS($AU$134:AU428,$Q$134:Q428,"S")</f>
        <v>4591.0499999999975</v>
      </c>
      <c r="BK427" s="343">
        <f>SUMIFS($AU$134:AU428,$P$134:P428,"W")</f>
        <v>3769.1899999999359</v>
      </c>
      <c r="BL427" s="343">
        <f>SUMIFS($AU$134:AU428,$P$134:P428,"R")</f>
        <v>-2227.0999999999935</v>
      </c>
      <c r="BM427" s="343">
        <f>SUMIFS($AU$134:AU428,$AQ$134:AQ428,"M")</f>
        <v>765.79999999998859</v>
      </c>
      <c r="BN427" s="343">
        <f>SUMIFS($AU$134:AU428,$AQ$134:AQ428,"H")</f>
        <v>1703.7000000000153</v>
      </c>
      <c r="BO427" s="343">
        <f>SUMIFS($AU$134:AU428,$AQ$134:AQ428,"D")</f>
        <v>-407.15000000000055</v>
      </c>
      <c r="BP427" s="343">
        <f>SUMIFS($AU$134:AU430,$AQ$134:AQ430,"W")</f>
        <v>-1270.7</v>
      </c>
      <c r="BQ427" s="343">
        <f>SUMIFS($AU$134:AU428,$Q$134:Q428,"O")</f>
        <v>-233.3600000000566</v>
      </c>
      <c r="BR427" s="343">
        <f>SUMIFS($AU$134:AU428,$AA$134:AA428,"*")</f>
        <v>4215.1499999999714</v>
      </c>
      <c r="BS427" s="343">
        <f>SUMIFS($AU$134:AU428,$AB$134:AB428,"*")</f>
        <v>111.23999999997596</v>
      </c>
      <c r="BT427" s="343">
        <f>SUMIFS($AU$134:AU428,$AC$134:AC428,"*")</f>
        <v>-2282.4500000000012</v>
      </c>
      <c r="BU427" s="343">
        <f>SUMIFS($AU$134:AU428,$AA$134:AA428,"*",$AB$134:AB428,"*")</f>
        <v>-188.19999999999513</v>
      </c>
      <c r="BV427" s="343">
        <f>SUMIFS($AU$134:AU428,$AA$134:AA428,"*",$AC$134:AC428,"*")</f>
        <v>666.64999999999907</v>
      </c>
      <c r="BW427" s="343">
        <f>SUMIFS($AU$134:AU428,$AB$134:AB428,"*",$AC$134:AC428,"*")</f>
        <v>78.599999999999653</v>
      </c>
      <c r="BX427" s="343">
        <f>SUMIFS($AU428:AU$1388,$Q428:Q$1388,"F")</f>
        <v>17455.466666666667</v>
      </c>
      <c r="BY427" s="343">
        <f>SUMIFS($AU428:AU$1388,$Q428:Q$1388,"S")</f>
        <v>16240.592000000001</v>
      </c>
      <c r="BZ427" s="343">
        <f>SUMIFS($AU428:AU$1388,$Q428:Q$1388,"O")</f>
        <v>-1415.497999999742</v>
      </c>
    </row>
    <row r="428" spans="1:78" ht="15.75" customHeight="1">
      <c r="A428" s="221" t="s">
        <v>1720</v>
      </c>
      <c r="B428" s="200">
        <v>45014</v>
      </c>
      <c r="C428" s="201" t="s">
        <v>1437</v>
      </c>
      <c r="D428" s="201" t="s">
        <v>151</v>
      </c>
      <c r="E428" s="247"/>
      <c r="F428" s="203"/>
      <c r="G428" s="314" t="s">
        <v>271</v>
      </c>
      <c r="H428" s="205"/>
      <c r="I428" s="205"/>
      <c r="J428" s="205"/>
      <c r="K428" s="206"/>
      <c r="L428" s="205">
        <v>1</v>
      </c>
      <c r="M428" s="205"/>
      <c r="N428" s="205"/>
      <c r="O428" s="206" t="s">
        <v>95</v>
      </c>
      <c r="P428" s="206" t="s">
        <v>96</v>
      </c>
      <c r="Q428" s="206" t="s">
        <v>97</v>
      </c>
      <c r="R428" s="206">
        <v>5</v>
      </c>
      <c r="S428" s="206">
        <v>5</v>
      </c>
      <c r="T428" s="206">
        <v>5</v>
      </c>
      <c r="U428" s="206" t="s">
        <v>97</v>
      </c>
      <c r="V428" s="206"/>
      <c r="W428" s="206"/>
      <c r="X428" s="206"/>
      <c r="Y428" s="184">
        <f t="shared" si="157"/>
        <v>0.01</v>
      </c>
      <c r="Z428" s="184">
        <f t="shared" si="158"/>
        <v>1600</v>
      </c>
      <c r="AA428" s="208" t="s">
        <v>99</v>
      </c>
      <c r="AB428" s="208"/>
      <c r="AC428" s="208"/>
      <c r="AD428" s="650">
        <v>-0.03</v>
      </c>
      <c r="AE428" s="205"/>
      <c r="AF428" s="333"/>
      <c r="AG428" s="205"/>
      <c r="AH428" s="205"/>
      <c r="AI428" s="205"/>
      <c r="AJ428" s="641"/>
      <c r="AK428" s="205"/>
      <c r="AL428" s="496">
        <f t="shared" ref="AL428:AL429" si="180">-0.02*Z428</f>
        <v>-32</v>
      </c>
      <c r="AM428" s="496">
        <f>AL428*R428</f>
        <v>-160</v>
      </c>
      <c r="AN428" s="627"/>
      <c r="AO428" s="205"/>
      <c r="AP428" s="205" t="s">
        <v>2004</v>
      </c>
      <c r="AQ428" s="333" t="str">
        <f>UPPER(RIGHT(Journal_Live[[#This Row],[DURATION ]]))</f>
        <v>H</v>
      </c>
      <c r="AR428" s="205" t="s">
        <v>415</v>
      </c>
      <c r="AS428" s="211">
        <v>-0.05</v>
      </c>
      <c r="AT428" s="189">
        <f t="shared" ref="AT428:AT438" si="181">IF(ISBLANK(AS428),,IF(U428="S",AD428-AS428,AS428-AD428))</f>
        <v>2.0000000000000004E-2</v>
      </c>
      <c r="AU428" s="187">
        <f t="shared" ref="AU428:AU438" si="182">AV428*R428</f>
        <v>160.00000000000003</v>
      </c>
      <c r="AV428" s="190">
        <f t="shared" ref="AV428:AV438" si="183">IF(ISBLANK(AS428),,(AT428*Z428))</f>
        <v>32.000000000000007</v>
      </c>
      <c r="AW428" s="213" t="s">
        <v>96</v>
      </c>
      <c r="AX428" s="413"/>
      <c r="AY428" s="413"/>
      <c r="AZ428" s="413"/>
      <c r="BA428" s="413"/>
      <c r="BB428" s="413"/>
      <c r="BC428" s="413"/>
      <c r="BD428" s="413"/>
      <c r="BE428" s="413"/>
      <c r="BF428" s="427"/>
      <c r="BG428" s="391">
        <f>SUM($AV$4:AV428)</f>
        <v>2848.1350000000079</v>
      </c>
      <c r="BH428" s="392">
        <f>SUM($AU$134:AU428)</f>
        <v>1542.0899999999438</v>
      </c>
      <c r="BI428" s="318">
        <f>SUMIFS($AU$134:AU429,$Q$134:Q429,"F")</f>
        <v>-3014.8</v>
      </c>
      <c r="BJ428" s="318">
        <f>SUMIFS($AU$134:AU429,$Q$134:Q429,"S")</f>
        <v>4671.0499999999975</v>
      </c>
      <c r="BK428" s="343">
        <f>SUMIFS($AU$134:AU429,$P$134:P429,"W")</f>
        <v>3769.1899999999359</v>
      </c>
      <c r="BL428" s="343">
        <f>SUMIFS($AU$134:AU429,$P$134:P429,"R")</f>
        <v>-2147.0999999999935</v>
      </c>
      <c r="BM428" s="343">
        <f>SUMIFS($AU$134:AU429,$AQ$134:AQ429,"M")</f>
        <v>765.79999999998859</v>
      </c>
      <c r="BN428" s="343">
        <f>SUMIFS($AU$134:AU429,$AQ$134:AQ429,"H")</f>
        <v>1703.7000000000153</v>
      </c>
      <c r="BO428" s="343">
        <f>SUMIFS($AU$134:AU429,$AQ$134:AQ429,"D")</f>
        <v>-327.15000000000055</v>
      </c>
      <c r="BP428" s="343">
        <f>SUMIFS($AU$134:AU431,$AQ$134:AQ431,"W")</f>
        <v>-1270.7</v>
      </c>
      <c r="BQ428" s="343">
        <f>SUMIFS($AU$134:AU429,$Q$134:Q429,"O")</f>
        <v>-233.3600000000566</v>
      </c>
      <c r="BR428" s="343">
        <f>SUMIFS($AU$134:AU429,$AA$134:AA429,"*")</f>
        <v>4295.1499999999714</v>
      </c>
      <c r="BS428" s="343">
        <f>SUMIFS($AU$134:AU429,$AB$134:AB429,"*")</f>
        <v>111.23999999997596</v>
      </c>
      <c r="BT428" s="343">
        <f>SUMIFS($AU$134:AU429,$AC$134:AC429,"*")</f>
        <v>-2282.4500000000012</v>
      </c>
      <c r="BU428" s="343">
        <f>SUMIFS($AU$134:AU429,$AA$134:AA429,"*",$AB$134:AB429,"*")</f>
        <v>-188.19999999999513</v>
      </c>
      <c r="BV428" s="343">
        <f>SUMIFS($AU$134:AU429,$AA$134:AA429,"*",$AC$134:AC429,"*")</f>
        <v>666.64999999999907</v>
      </c>
      <c r="BW428" s="343">
        <f>SUMIFS($AU$134:AU429,$AB$134:AB429,"*",$AC$134:AC429,"*")</f>
        <v>78.599999999999653</v>
      </c>
      <c r="BX428" s="343">
        <f>SUMIFS($AU429:AU$1388,$Q429:Q$1388,"F")</f>
        <v>17455.466666666667</v>
      </c>
      <c r="BY428" s="343">
        <f>SUMIFS($AU429:AU$1388,$Q429:Q$1388,"S")</f>
        <v>16080.592000000002</v>
      </c>
      <c r="BZ428" s="343">
        <f>SUMIFS($AU429:AU$1388,$Q429:Q$1388,"O")</f>
        <v>-1415.497999999742</v>
      </c>
    </row>
    <row r="429" spans="1:78" ht="15.75" customHeight="1">
      <c r="A429" s="221" t="s">
        <v>1720</v>
      </c>
      <c r="B429" s="200">
        <v>45014</v>
      </c>
      <c r="C429" s="201" t="s">
        <v>682</v>
      </c>
      <c r="D429" s="201" t="s">
        <v>151</v>
      </c>
      <c r="E429" s="247"/>
      <c r="F429" s="203"/>
      <c r="G429" s="314" t="s">
        <v>886</v>
      </c>
      <c r="H429" s="205"/>
      <c r="I429" s="205"/>
      <c r="J429" s="205"/>
      <c r="K429" s="206"/>
      <c r="L429" s="205">
        <v>1</v>
      </c>
      <c r="M429" s="205"/>
      <c r="N429" s="205"/>
      <c r="O429" s="206" t="s">
        <v>95</v>
      </c>
      <c r="P429" s="206" t="s">
        <v>137</v>
      </c>
      <c r="Q429" s="206" t="s">
        <v>97</v>
      </c>
      <c r="R429" s="206">
        <v>5</v>
      </c>
      <c r="S429" s="206">
        <v>5</v>
      </c>
      <c r="T429" s="206">
        <v>5</v>
      </c>
      <c r="U429" s="206" t="s">
        <v>22</v>
      </c>
      <c r="V429" s="206"/>
      <c r="W429" s="206"/>
      <c r="X429" s="206"/>
      <c r="Y429" s="184">
        <f t="shared" si="157"/>
        <v>0.01</v>
      </c>
      <c r="Z429" s="184">
        <f t="shared" si="158"/>
        <v>1600</v>
      </c>
      <c r="AA429" s="208" t="s">
        <v>99</v>
      </c>
      <c r="AB429" s="208"/>
      <c r="AC429" s="208"/>
      <c r="AD429" s="650">
        <v>-0.04</v>
      </c>
      <c r="AE429" s="205"/>
      <c r="AF429" s="333"/>
      <c r="AG429" s="205"/>
      <c r="AH429" s="205"/>
      <c r="AI429" s="205"/>
      <c r="AJ429" s="641"/>
      <c r="AK429" s="205"/>
      <c r="AL429" s="496">
        <f t="shared" si="180"/>
        <v>-32</v>
      </c>
      <c r="AM429" s="496">
        <f>AL429*R429</f>
        <v>-160</v>
      </c>
      <c r="AN429" s="627"/>
      <c r="AO429" s="205"/>
      <c r="AP429" s="205" t="s">
        <v>589</v>
      </c>
      <c r="AQ429" s="333" t="str">
        <f>UPPER(RIGHT(Journal_Live[[#This Row],[DURATION ]]))</f>
        <v>D</v>
      </c>
      <c r="AR429" s="205" t="s">
        <v>2005</v>
      </c>
      <c r="AS429" s="211">
        <v>-0.03</v>
      </c>
      <c r="AT429" s="189">
        <f t="shared" si="181"/>
        <v>1.0000000000000002E-2</v>
      </c>
      <c r="AU429" s="187">
        <f t="shared" si="182"/>
        <v>80.000000000000014</v>
      </c>
      <c r="AV429" s="190">
        <f t="shared" si="183"/>
        <v>16.000000000000004</v>
      </c>
      <c r="AW429" s="213" t="s">
        <v>96</v>
      </c>
      <c r="AX429" s="413"/>
      <c r="AY429" s="413"/>
      <c r="AZ429" s="413"/>
      <c r="BA429" s="413"/>
      <c r="BB429" s="413"/>
      <c r="BC429" s="413"/>
      <c r="BD429" s="413"/>
      <c r="BE429" s="413"/>
      <c r="BF429" s="427"/>
      <c r="BG429" s="391">
        <f>SUM($AV$4:AV429)</f>
        <v>2864.1350000000079</v>
      </c>
      <c r="BH429" s="392">
        <f>SUM($AU$134:AU429)</f>
        <v>1622.0899999999438</v>
      </c>
      <c r="BI429" s="318">
        <f>SUMIFS($AU$134:AU430,$Q$134:Q430,"F")</f>
        <v>-3014.8</v>
      </c>
      <c r="BJ429" s="318">
        <f>SUMIFS($AU$134:AU430,$Q$134:Q430,"S")</f>
        <v>4671.0499999999975</v>
      </c>
      <c r="BK429" s="343">
        <f>SUMIFS($AU$134:AU430,$P$134:P430,"W")</f>
        <v>3721.1899999999341</v>
      </c>
      <c r="BL429" s="343">
        <f>SUMIFS($AU$134:AU430,$P$134:P430,"R")</f>
        <v>-2147.0999999999935</v>
      </c>
      <c r="BM429" s="343">
        <f>SUMIFS($AU$134:AU430,$AQ$134:AQ430,"M")</f>
        <v>765.79999999998859</v>
      </c>
      <c r="BN429" s="343">
        <f>SUMIFS($AU$134:AU430,$AQ$134:AQ430,"H")</f>
        <v>1703.7000000000153</v>
      </c>
      <c r="BO429" s="343">
        <f>SUMIFS($AU$134:AU430,$AQ$134:AQ430,"D")</f>
        <v>-327.15000000000055</v>
      </c>
      <c r="BP429" s="343">
        <f>SUMIFS($AU$134:AU432,$AQ$134:AQ432,"W")</f>
        <v>-1270.7</v>
      </c>
      <c r="BQ429" s="343">
        <f>SUMIFS($AU$134:AU430,$Q$134:Q430,"O")</f>
        <v>-281.36000000005845</v>
      </c>
      <c r="BR429" s="343">
        <f>SUMIFS($AU$134:AU430,$AA$134:AA430,"*")</f>
        <v>4247.1499999999696</v>
      </c>
      <c r="BS429" s="343">
        <f>SUMIFS($AU$134:AU430,$AB$134:AB430,"*")</f>
        <v>111.23999999997596</v>
      </c>
      <c r="BT429" s="343">
        <f>SUMIFS($AU$134:AU430,$AC$134:AC430,"*")</f>
        <v>-2282.4500000000012</v>
      </c>
      <c r="BU429" s="343">
        <f>SUMIFS($AU$134:AU430,$AA$134:AA430,"*",$AB$134:AB430,"*")</f>
        <v>-188.19999999999513</v>
      </c>
      <c r="BV429" s="343">
        <f>SUMIFS($AU$134:AU430,$AA$134:AA430,"*",$AC$134:AC430,"*")</f>
        <v>666.64999999999907</v>
      </c>
      <c r="BW429" s="343">
        <f>SUMIFS($AU$134:AU430,$AB$134:AB430,"*",$AC$134:AC430,"*")</f>
        <v>78.599999999999653</v>
      </c>
      <c r="BX429" s="343">
        <f>SUMIFS($AU430:AU$1388,$Q430:Q$1388,"F")</f>
        <v>17455.466666666667</v>
      </c>
      <c r="BY429" s="343">
        <f>SUMIFS($AU430:AU$1388,$Q430:Q$1388,"S")</f>
        <v>16000.592000000002</v>
      </c>
      <c r="BZ429" s="343">
        <f>SUMIFS($AU430:AU$1388,$Q430:Q$1388,"O")</f>
        <v>-1415.497999999742</v>
      </c>
    </row>
    <row r="430" spans="1:78" ht="15.75" customHeight="1">
      <c r="A430" s="221" t="s">
        <v>1720</v>
      </c>
      <c r="B430" s="200">
        <v>45014</v>
      </c>
      <c r="C430" s="201" t="s">
        <v>682</v>
      </c>
      <c r="D430" s="201" t="s">
        <v>151</v>
      </c>
      <c r="E430" s="247"/>
      <c r="F430" s="203"/>
      <c r="G430" s="314" t="s">
        <v>983</v>
      </c>
      <c r="H430" s="205"/>
      <c r="I430" s="205"/>
      <c r="J430" s="205"/>
      <c r="K430" s="206"/>
      <c r="L430" s="205">
        <v>1</v>
      </c>
      <c r="M430" s="205"/>
      <c r="N430" s="205"/>
      <c r="O430" s="206" t="s">
        <v>95</v>
      </c>
      <c r="P430" s="206" t="s">
        <v>96</v>
      </c>
      <c r="Q430" s="206" t="s">
        <v>684</v>
      </c>
      <c r="R430" s="206">
        <v>1</v>
      </c>
      <c r="S430" s="206">
        <v>1</v>
      </c>
      <c r="T430" s="206">
        <v>1</v>
      </c>
      <c r="U430" s="206" t="s">
        <v>22</v>
      </c>
      <c r="V430" s="206"/>
      <c r="W430" s="206"/>
      <c r="X430" s="206"/>
      <c r="Y430" s="184">
        <f t="shared" si="157"/>
        <v>0.01</v>
      </c>
      <c r="Z430" s="184">
        <f t="shared" si="158"/>
        <v>1600</v>
      </c>
      <c r="AA430" s="208" t="s">
        <v>1096</v>
      </c>
      <c r="AB430" s="208"/>
      <c r="AC430" s="208"/>
      <c r="AD430" s="650">
        <v>96.58</v>
      </c>
      <c r="AE430" s="205"/>
      <c r="AF430" s="333"/>
      <c r="AG430" s="205"/>
      <c r="AH430" s="205"/>
      <c r="AI430" s="205"/>
      <c r="AJ430" s="641"/>
      <c r="AK430" s="205"/>
      <c r="AL430" s="496">
        <f t="shared" ref="AL430:AL432" si="184">-0.02*Z430</f>
        <v>-32</v>
      </c>
      <c r="AM430" s="496">
        <f>AL430*R430</f>
        <v>-32</v>
      </c>
      <c r="AN430" s="627"/>
      <c r="AO430" s="205"/>
      <c r="AP430" s="205" t="s">
        <v>2006</v>
      </c>
      <c r="AQ430" s="333" t="str">
        <f>UPPER(RIGHT(Journal_Live[[#This Row],[DURATION ]]))</f>
        <v>N</v>
      </c>
      <c r="AR430" s="205" t="s">
        <v>682</v>
      </c>
      <c r="AS430" s="205">
        <v>96.55</v>
      </c>
      <c r="AT430" s="189">
        <f t="shared" si="181"/>
        <v>-3.0000000000001137E-2</v>
      </c>
      <c r="AU430" s="187">
        <f t="shared" si="182"/>
        <v>-48.000000000001819</v>
      </c>
      <c r="AV430" s="190">
        <f t="shared" si="183"/>
        <v>-48.000000000001819</v>
      </c>
      <c r="AW430" s="213" t="s">
        <v>229</v>
      </c>
      <c r="AX430" s="413" t="s">
        <v>2007</v>
      </c>
      <c r="AY430" s="413" t="s">
        <v>2008</v>
      </c>
      <c r="AZ430" s="413"/>
      <c r="BA430" s="413"/>
      <c r="BB430" s="413"/>
      <c r="BC430" s="413"/>
      <c r="BD430" s="413"/>
      <c r="BE430" s="413"/>
      <c r="BF430" s="427"/>
      <c r="BG430" s="391">
        <f>SUM($AV$4:AV430)</f>
        <v>2816.1350000000061</v>
      </c>
      <c r="BH430" s="392">
        <f>SUM($AU$134:AU430)</f>
        <v>1574.0899999999419</v>
      </c>
      <c r="BI430" s="318">
        <f>SUMIFS($AU$134:AU431,$Q$134:Q431,"F")</f>
        <v>-3014.8</v>
      </c>
      <c r="BJ430" s="318">
        <f>SUMIFS($AU$134:AU431,$Q$134:Q431,"S")</f>
        <v>4671.0499999999975</v>
      </c>
      <c r="BK430" s="343">
        <f>SUMIFS($AU$134:AU431,$P$134:P431,"W")</f>
        <v>3721.1899999999341</v>
      </c>
      <c r="BL430" s="343">
        <f>SUMIFS($AU$134:AU431,$P$134:P431,"R")</f>
        <v>-2211.0999999999808</v>
      </c>
      <c r="BM430" s="343">
        <f>SUMIFS($AU$134:AU431,$AQ$134:AQ431,"M")</f>
        <v>765.79999999998859</v>
      </c>
      <c r="BN430" s="343">
        <f>SUMIFS($AU$134:AU431,$AQ$134:AQ431,"H")</f>
        <v>1703.7000000000153</v>
      </c>
      <c r="BO430" s="343">
        <f>SUMIFS($AU$134:AU431,$AQ$134:AQ431,"D")</f>
        <v>-327.15000000000055</v>
      </c>
      <c r="BP430" s="343">
        <f>SUMIFS($AU$134:AU433,$AQ$134:AQ433,"W")</f>
        <v>-1270.7</v>
      </c>
      <c r="BQ430" s="343">
        <f>SUMIFS($AU$134:AU431,$Q$134:Q431,"O")</f>
        <v>-345.36000000004572</v>
      </c>
      <c r="BR430" s="343">
        <f>SUMIFS($AU$134:AU431,$AA$134:AA431,"*")</f>
        <v>4183.1499999999824</v>
      </c>
      <c r="BS430" s="343">
        <f>SUMIFS($AU$134:AU431,$AB$134:AB431,"*")</f>
        <v>111.23999999997596</v>
      </c>
      <c r="BT430" s="343">
        <f>SUMIFS($AU$134:AU431,$AC$134:AC431,"*")</f>
        <v>-2282.4500000000012</v>
      </c>
      <c r="BU430" s="343">
        <f>SUMIFS($AU$134:AU431,$AA$134:AA431,"*",$AB$134:AB431,"*")</f>
        <v>-188.19999999999513</v>
      </c>
      <c r="BV430" s="343">
        <f>SUMIFS($AU$134:AU431,$AA$134:AA431,"*",$AC$134:AC431,"*")</f>
        <v>666.64999999999907</v>
      </c>
      <c r="BW430" s="343">
        <f>SUMIFS($AU$134:AU431,$AB$134:AB431,"*",$AC$134:AC431,"*")</f>
        <v>78.599999999999653</v>
      </c>
      <c r="BX430" s="343">
        <f>SUMIFS($AU431:AU$1388,$Q431:Q$1388,"F")</f>
        <v>17455.466666666667</v>
      </c>
      <c r="BY430" s="343">
        <f>SUMIFS($AU431:AU$1388,$Q431:Q$1388,"S")</f>
        <v>16000.592000000002</v>
      </c>
      <c r="BZ430" s="343">
        <f>SUMIFS($AU431:AU$1388,$Q431:Q$1388,"O")</f>
        <v>-1367.4979999997399</v>
      </c>
    </row>
    <row r="431" spans="1:78" ht="15.75" customHeight="1">
      <c r="A431" s="221" t="s">
        <v>1720</v>
      </c>
      <c r="B431" s="200">
        <v>45014</v>
      </c>
      <c r="C431" s="201" t="s">
        <v>682</v>
      </c>
      <c r="D431" s="201" t="s">
        <v>151</v>
      </c>
      <c r="E431" s="247"/>
      <c r="F431" s="203"/>
      <c r="G431" s="314" t="s">
        <v>1203</v>
      </c>
      <c r="H431" s="205"/>
      <c r="I431" s="205"/>
      <c r="J431" s="205"/>
      <c r="K431" s="206"/>
      <c r="L431" s="205">
        <v>1</v>
      </c>
      <c r="M431" s="205"/>
      <c r="N431" s="205"/>
      <c r="O431" s="206" t="s">
        <v>95</v>
      </c>
      <c r="P431" s="206" t="s">
        <v>137</v>
      </c>
      <c r="Q431" s="206" t="s">
        <v>684</v>
      </c>
      <c r="R431" s="206">
        <v>2</v>
      </c>
      <c r="S431" s="206">
        <v>2</v>
      </c>
      <c r="T431" s="206">
        <v>2</v>
      </c>
      <c r="U431" s="206" t="s">
        <v>22</v>
      </c>
      <c r="V431" s="206"/>
      <c r="W431" s="206"/>
      <c r="X431" s="206"/>
      <c r="Y431" s="184">
        <f t="shared" si="157"/>
        <v>0.01</v>
      </c>
      <c r="Z431" s="184">
        <f t="shared" si="158"/>
        <v>1600</v>
      </c>
      <c r="AA431" s="208" t="s">
        <v>1096</v>
      </c>
      <c r="AB431" s="208"/>
      <c r="AC431" s="208"/>
      <c r="AD431" s="650">
        <v>96.64</v>
      </c>
      <c r="AE431" s="205"/>
      <c r="AF431" s="333"/>
      <c r="AG431" s="205"/>
      <c r="AH431" s="205"/>
      <c r="AI431" s="205"/>
      <c r="AJ431" s="641"/>
      <c r="AK431" s="205"/>
      <c r="AL431" s="496">
        <f t="shared" si="184"/>
        <v>-32</v>
      </c>
      <c r="AM431" s="496">
        <f>AL431*R431</f>
        <v>-64</v>
      </c>
      <c r="AN431" s="627"/>
      <c r="AO431" s="205"/>
      <c r="AP431" s="205" t="s">
        <v>2006</v>
      </c>
      <c r="AQ431" s="333" t="str">
        <f>UPPER(RIGHT(Journal_Live[[#This Row],[DURATION ]]))</f>
        <v>N</v>
      </c>
      <c r="AR431" s="205" t="s">
        <v>682</v>
      </c>
      <c r="AS431" s="205">
        <v>96.62</v>
      </c>
      <c r="AT431" s="189">
        <f t="shared" si="181"/>
        <v>-1.9999999999996021E-2</v>
      </c>
      <c r="AU431" s="187">
        <f t="shared" si="182"/>
        <v>-63.999999999987267</v>
      </c>
      <c r="AV431" s="190">
        <f t="shared" si="183"/>
        <v>-31.999999999993634</v>
      </c>
      <c r="AW431" s="213" t="s">
        <v>229</v>
      </c>
      <c r="AX431" s="413"/>
      <c r="AY431" s="413"/>
      <c r="AZ431" s="413"/>
      <c r="BA431" s="413"/>
      <c r="BB431" s="413"/>
      <c r="BC431" s="413"/>
      <c r="BD431" s="413"/>
      <c r="BE431" s="413"/>
      <c r="BF431" s="427"/>
      <c r="BG431" s="391">
        <f>SUM($AV$4:AV431)</f>
        <v>2784.1350000000125</v>
      </c>
      <c r="BH431" s="392">
        <f>SUM($AU$134:AU431)</f>
        <v>1510.0899999999547</v>
      </c>
      <c r="BI431" s="318">
        <f>SUMIFS($AU$134:AU432,$Q$134:Q432,"F")</f>
        <v>-3014.8</v>
      </c>
      <c r="BJ431" s="318">
        <f>SUMIFS($AU$134:AU432,$Q$134:Q432,"S")</f>
        <v>4671.0499999999975</v>
      </c>
      <c r="BK431" s="343">
        <f>SUMIFS($AU$134:AU432,$P$134:P432,"W")</f>
        <v>3721.1899999999341</v>
      </c>
      <c r="BL431" s="343">
        <f>SUMIFS($AU$134:AU432,$P$134:P432,"R")</f>
        <v>-2211.0999999999808</v>
      </c>
      <c r="BM431" s="343">
        <f>SUMIFS($AU$134:AU432,$AQ$134:AQ432,"M")</f>
        <v>765.79999999998859</v>
      </c>
      <c r="BN431" s="343">
        <f>SUMIFS($AU$134:AU432,$AQ$134:AQ432,"H")</f>
        <v>1703.7000000000153</v>
      </c>
      <c r="BO431" s="343">
        <f>SUMIFS($AU$134:AU432,$AQ$134:AQ432,"D")</f>
        <v>-327.15000000000055</v>
      </c>
      <c r="BP431" s="343">
        <f>SUMIFS($AU$134:AU434,$AQ$134:AQ434,"W")</f>
        <v>-1270.7</v>
      </c>
      <c r="BQ431" s="343">
        <f>SUMIFS($AU$134:AU432,$Q$134:Q432,"O")</f>
        <v>-345.36000000004572</v>
      </c>
      <c r="BR431" s="343">
        <f>SUMIFS($AU$134:AU432,$AA$134:AA432,"*")</f>
        <v>4183.1499999999824</v>
      </c>
      <c r="BS431" s="343">
        <f>SUMIFS($AU$134:AU432,$AB$134:AB432,"*")</f>
        <v>111.23999999997596</v>
      </c>
      <c r="BT431" s="343">
        <f>SUMIFS($AU$134:AU432,$AC$134:AC432,"*")</f>
        <v>-2282.4500000000012</v>
      </c>
      <c r="BU431" s="343">
        <f>SUMIFS($AU$134:AU432,$AA$134:AA432,"*",$AB$134:AB432,"*")</f>
        <v>-188.19999999999513</v>
      </c>
      <c r="BV431" s="343">
        <f>SUMIFS($AU$134:AU432,$AA$134:AA432,"*",$AC$134:AC432,"*")</f>
        <v>666.64999999999907</v>
      </c>
      <c r="BW431" s="343">
        <f>SUMIFS($AU$134:AU432,$AB$134:AB432,"*",$AC$134:AC432,"*")</f>
        <v>78.599999999999653</v>
      </c>
      <c r="BX431" s="343">
        <f>SUMIFS($AU432:AU$1388,$Q432:Q$1388,"F")</f>
        <v>17455.466666666667</v>
      </c>
      <c r="BY431" s="343">
        <f>SUMIFS($AU432:AU$1388,$Q432:Q$1388,"S")</f>
        <v>16000.592000000002</v>
      </c>
      <c r="BZ431" s="343">
        <f>SUMIFS($AU432:AU$1388,$Q432:Q$1388,"O")</f>
        <v>-1303.4979999997527</v>
      </c>
    </row>
    <row r="432" spans="1:78" ht="15.75" customHeight="1">
      <c r="A432" s="221" t="s">
        <v>1720</v>
      </c>
      <c r="B432" s="200">
        <v>45014</v>
      </c>
      <c r="C432" s="201" t="s">
        <v>2009</v>
      </c>
      <c r="D432" s="201" t="s">
        <v>151</v>
      </c>
      <c r="E432" s="247"/>
      <c r="F432" s="203"/>
      <c r="G432" s="314" t="s">
        <v>133</v>
      </c>
      <c r="H432" s="205"/>
      <c r="I432" s="205"/>
      <c r="J432" s="205"/>
      <c r="K432" s="206"/>
      <c r="L432" s="205">
        <v>1</v>
      </c>
      <c r="M432" s="205"/>
      <c r="N432" s="205"/>
      <c r="O432" s="206" t="s">
        <v>95</v>
      </c>
      <c r="P432" s="206" t="s">
        <v>96</v>
      </c>
      <c r="Q432" s="206" t="s">
        <v>97</v>
      </c>
      <c r="R432" s="206">
        <v>5</v>
      </c>
      <c r="S432" s="206">
        <v>5</v>
      </c>
      <c r="T432" s="206">
        <v>5</v>
      </c>
      <c r="U432" s="206" t="s">
        <v>22</v>
      </c>
      <c r="V432" s="206"/>
      <c r="W432" s="206"/>
      <c r="X432" s="206"/>
      <c r="Y432" s="184">
        <f t="shared" si="157"/>
        <v>0.01</v>
      </c>
      <c r="Z432" s="184">
        <f t="shared" si="158"/>
        <v>1600</v>
      </c>
      <c r="AA432" s="208" t="s">
        <v>2010</v>
      </c>
      <c r="AB432" s="208"/>
      <c r="AC432" s="208"/>
      <c r="AD432" s="650">
        <v>-7.0000000000000007E-2</v>
      </c>
      <c r="AE432" s="205"/>
      <c r="AF432" s="333"/>
      <c r="AG432" s="205"/>
      <c r="AH432" s="205"/>
      <c r="AI432" s="205"/>
      <c r="AJ432" s="641"/>
      <c r="AK432" s="205"/>
      <c r="AL432" s="496">
        <f t="shared" si="184"/>
        <v>-32</v>
      </c>
      <c r="AM432" s="496">
        <f>AL432*R432</f>
        <v>-160</v>
      </c>
      <c r="AN432" s="627"/>
      <c r="AO432" s="205"/>
      <c r="AP432" s="205" t="s">
        <v>1026</v>
      </c>
      <c r="AQ432" s="333" t="str">
        <f>UPPER(RIGHT(Journal_Live[[#This Row],[DURATION ]]))</f>
        <v>H</v>
      </c>
      <c r="AR432" s="205" t="s">
        <v>2011</v>
      </c>
      <c r="AS432" s="211">
        <v>-7.0000000000000007E-2</v>
      </c>
      <c r="AT432" s="189">
        <f t="shared" si="181"/>
        <v>0</v>
      </c>
      <c r="AU432" s="187">
        <f t="shared" si="182"/>
        <v>0</v>
      </c>
      <c r="AV432" s="190">
        <f t="shared" si="183"/>
        <v>0</v>
      </c>
      <c r="AW432" s="213" t="s">
        <v>115</v>
      </c>
      <c r="AX432" s="413" t="s">
        <v>2012</v>
      </c>
      <c r="AY432" s="413" t="s">
        <v>2013</v>
      </c>
      <c r="AZ432" s="413" t="s">
        <v>529</v>
      </c>
      <c r="BA432" s="413" t="s">
        <v>2014</v>
      </c>
      <c r="BB432" s="413"/>
      <c r="BC432" s="413"/>
      <c r="BD432" s="413"/>
      <c r="BE432" s="413"/>
      <c r="BF432" s="427"/>
      <c r="BG432" s="391">
        <f>SUM($AV$4:AV432)</f>
        <v>2784.1350000000125</v>
      </c>
      <c r="BH432" s="392">
        <f>SUM($AU$134:AU432)</f>
        <v>1510.0899999999547</v>
      </c>
      <c r="BI432" s="318">
        <f>SUMIFS($AU$134:AU433,$Q$134:Q433,"F")</f>
        <v>-3014.8</v>
      </c>
      <c r="BJ432" s="318">
        <f>SUMIFS($AU$134:AU433,$Q$134:Q433,"S")</f>
        <v>4671.0499999999975</v>
      </c>
      <c r="BK432" s="343">
        <f>SUMIFS($AU$134:AU433,$P$134:P433,"W")</f>
        <v>3721.1899999999341</v>
      </c>
      <c r="BL432" s="343">
        <f>SUMIFS($AU$134:AU433,$P$134:P433,"R")</f>
        <v>-2211.0999999999808</v>
      </c>
      <c r="BM432" s="343">
        <f>SUMIFS($AU$134:AU433,$AQ$134:AQ433,"M")</f>
        <v>765.79999999998859</v>
      </c>
      <c r="BN432" s="343">
        <f>SUMIFS($AU$134:AU433,$AQ$134:AQ433,"H")</f>
        <v>1703.7000000000153</v>
      </c>
      <c r="BO432" s="343">
        <f>SUMIFS($AU$134:AU433,$AQ$134:AQ433,"D")</f>
        <v>-327.15000000000055</v>
      </c>
      <c r="BP432" s="343">
        <f>SUMIFS($AU$134:AU435,$AQ$134:AQ435,"W")</f>
        <v>-1270.7</v>
      </c>
      <c r="BQ432" s="343">
        <f>SUMIFS($AU$134:AU433,$Q$134:Q433,"O")</f>
        <v>-345.36000000004572</v>
      </c>
      <c r="BR432" s="343">
        <f>SUMIFS($AU$134:AU433,$AA$134:AA433,"*")</f>
        <v>4183.1499999999824</v>
      </c>
      <c r="BS432" s="343">
        <f>SUMIFS($AU$134:AU433,$AB$134:AB433,"*")</f>
        <v>111.23999999997596</v>
      </c>
      <c r="BT432" s="343">
        <f>SUMIFS($AU$134:AU433,$AC$134:AC433,"*")</f>
        <v>-2282.4500000000012</v>
      </c>
      <c r="BU432" s="343">
        <f>SUMIFS($AU$134:AU433,$AA$134:AA433,"*",$AB$134:AB433,"*")</f>
        <v>-188.19999999999513</v>
      </c>
      <c r="BV432" s="343">
        <f>SUMIFS($AU$134:AU433,$AA$134:AA433,"*",$AC$134:AC433,"*")</f>
        <v>666.64999999999907</v>
      </c>
      <c r="BW432" s="343">
        <f>SUMIFS($AU$134:AU433,$AB$134:AB433,"*",$AC$134:AC433,"*")</f>
        <v>78.599999999999653</v>
      </c>
      <c r="BX432" s="343">
        <f>SUMIFS($AU433:AU$1388,$Q433:Q$1388,"F")</f>
        <v>17455.466666666667</v>
      </c>
      <c r="BY432" s="343">
        <f>SUMIFS($AU433:AU$1388,$Q433:Q$1388,"S")</f>
        <v>16000.592000000002</v>
      </c>
      <c r="BZ432" s="343">
        <f>SUMIFS($AU433:AU$1388,$Q433:Q$1388,"O")</f>
        <v>-1303.4979999997527</v>
      </c>
    </row>
    <row r="433" spans="1:78" ht="15.75" customHeight="1">
      <c r="A433" s="221" t="s">
        <v>1720</v>
      </c>
      <c r="B433" s="200">
        <v>45014</v>
      </c>
      <c r="C433" s="201" t="s">
        <v>2015</v>
      </c>
      <c r="D433" s="201" t="s">
        <v>93</v>
      </c>
      <c r="E433" s="247"/>
      <c r="F433" s="203"/>
      <c r="G433" s="204" t="s">
        <v>2016</v>
      </c>
      <c r="H433" s="205"/>
      <c r="I433" s="205"/>
      <c r="J433" s="205"/>
      <c r="K433" s="206"/>
      <c r="L433" s="205">
        <v>1</v>
      </c>
      <c r="M433" s="205"/>
      <c r="N433" s="205"/>
      <c r="O433" s="206" t="s">
        <v>95</v>
      </c>
      <c r="P433" s="206" t="s">
        <v>137</v>
      </c>
      <c r="Q433" s="206" t="s">
        <v>97</v>
      </c>
      <c r="R433" s="206">
        <v>5</v>
      </c>
      <c r="S433" s="206">
        <v>5</v>
      </c>
      <c r="T433" s="206">
        <v>5</v>
      </c>
      <c r="U433" s="206" t="s">
        <v>22</v>
      </c>
      <c r="V433" s="206"/>
      <c r="W433" s="206"/>
      <c r="X433" s="206"/>
      <c r="Y433" s="184">
        <f t="shared" si="157"/>
        <v>0.01</v>
      </c>
      <c r="Z433" s="184">
        <f t="shared" si="158"/>
        <v>1600</v>
      </c>
      <c r="AA433" s="208" t="s">
        <v>99</v>
      </c>
      <c r="AB433" s="208"/>
      <c r="AC433" s="208"/>
      <c r="AD433" s="650">
        <v>-0.03</v>
      </c>
      <c r="AE433" s="205"/>
      <c r="AF433" s="333"/>
      <c r="AG433" s="205"/>
      <c r="AH433" s="205"/>
      <c r="AI433" s="205"/>
      <c r="AJ433" s="641"/>
      <c r="AK433" s="205"/>
      <c r="AL433" s="496"/>
      <c r="AM433" s="496"/>
      <c r="AN433" s="627"/>
      <c r="AO433" s="205"/>
      <c r="AP433" s="205" t="s">
        <v>770</v>
      </c>
      <c r="AQ433" s="333" t="str">
        <f>UPPER(RIGHT(Journal_Live[[#This Row],[DURATION ]]))</f>
        <v>D</v>
      </c>
      <c r="AR433" s="205" t="s">
        <v>2017</v>
      </c>
      <c r="AS433" s="211">
        <v>-0.03</v>
      </c>
      <c r="AT433" s="189">
        <f t="shared" si="181"/>
        <v>0</v>
      </c>
      <c r="AU433" s="187">
        <f t="shared" si="182"/>
        <v>0</v>
      </c>
      <c r="AV433" s="190">
        <f t="shared" si="183"/>
        <v>0</v>
      </c>
      <c r="AW433" s="213" t="s">
        <v>115</v>
      </c>
      <c r="AX433" s="413" t="s">
        <v>2018</v>
      </c>
      <c r="AY433" s="413" t="s">
        <v>2019</v>
      </c>
      <c r="AZ433" s="413"/>
      <c r="BA433" s="413"/>
      <c r="BB433" s="413"/>
      <c r="BC433" s="413"/>
      <c r="BD433" s="413"/>
      <c r="BE433" s="413"/>
      <c r="BF433" s="427"/>
      <c r="BG433" s="391">
        <f>SUM($AV$4:AV433)</f>
        <v>2784.1350000000125</v>
      </c>
      <c r="BH433" s="392">
        <f>SUM($AU$134:AU433)</f>
        <v>1510.0899999999547</v>
      </c>
      <c r="BI433" s="318">
        <f>SUMIFS($AU$134:AU434,$Q$134:Q434,"F")</f>
        <v>-3014.8</v>
      </c>
      <c r="BJ433" s="318">
        <f>SUMIFS($AU$134:AU434,$Q$134:Q434,"S")</f>
        <v>4559.0499999999975</v>
      </c>
      <c r="BK433" s="343">
        <f>SUMIFS($AU$134:AU434,$P$134:P434,"W")</f>
        <v>3609.1899999999341</v>
      </c>
      <c r="BL433" s="343">
        <f>SUMIFS($AU$134:AU434,$P$134:P434,"R")</f>
        <v>-2211.0999999999808</v>
      </c>
      <c r="BM433" s="343">
        <f>SUMIFS($AU$134:AU434,$AQ$134:AQ434,"M")</f>
        <v>765.79999999998859</v>
      </c>
      <c r="BN433" s="343">
        <f>SUMIFS($AU$134:AU434,$AQ$134:AQ434,"H")</f>
        <v>1703.7000000000153</v>
      </c>
      <c r="BO433" s="343">
        <f>SUMIFS($AU$134:AU434,$AQ$134:AQ434,"D")</f>
        <v>-439.15000000000055</v>
      </c>
      <c r="BP433" s="343">
        <f>SUMIFS($AU$134:AU436,$AQ$134:AQ436,"W")</f>
        <v>-1270.7</v>
      </c>
      <c r="BQ433" s="343">
        <f>SUMIFS($AU$134:AU434,$Q$134:Q434,"O")</f>
        <v>-345.36000000004572</v>
      </c>
      <c r="BR433" s="343">
        <f>SUMIFS($AU$134:AU434,$AA$134:AA434,"*")</f>
        <v>4071.1499999999824</v>
      </c>
      <c r="BS433" s="343">
        <f>SUMIFS($AU$134:AU434,$AB$134:AB434,"*")</f>
        <v>111.23999999997596</v>
      </c>
      <c r="BT433" s="343">
        <f>SUMIFS($AU$134:AU434,$AC$134:AC434,"*")</f>
        <v>-2282.4500000000012</v>
      </c>
      <c r="BU433" s="343">
        <f>SUMIFS($AU$134:AU434,$AA$134:AA434,"*",$AB$134:AB434,"*")</f>
        <v>-188.19999999999513</v>
      </c>
      <c r="BV433" s="343">
        <f>SUMIFS($AU$134:AU434,$AA$134:AA434,"*",$AC$134:AC434,"*")</f>
        <v>666.64999999999907</v>
      </c>
      <c r="BW433" s="343">
        <f>SUMIFS($AU$134:AU434,$AB$134:AB434,"*",$AC$134:AC434,"*")</f>
        <v>78.599999999999653</v>
      </c>
      <c r="BX433" s="343">
        <f>SUMIFS($AU434:AU$1388,$Q434:Q$1388,"F")</f>
        <v>17455.466666666667</v>
      </c>
      <c r="BY433" s="343">
        <f>SUMIFS($AU434:AU$1388,$Q434:Q$1388,"S")</f>
        <v>16000.592000000002</v>
      </c>
      <c r="BZ433" s="343">
        <f>SUMIFS($AU434:AU$1388,$Q434:Q$1388,"O")</f>
        <v>-1303.4979999997527</v>
      </c>
    </row>
    <row r="434" spans="1:78" ht="15.75" customHeight="1">
      <c r="A434" s="221" t="s">
        <v>1720</v>
      </c>
      <c r="B434" s="200">
        <v>45014</v>
      </c>
      <c r="C434" s="201" t="s">
        <v>2020</v>
      </c>
      <c r="D434" s="201" t="s">
        <v>93</v>
      </c>
      <c r="E434" s="247"/>
      <c r="F434" s="203"/>
      <c r="G434" s="314" t="s">
        <v>94</v>
      </c>
      <c r="H434" s="205"/>
      <c r="I434" s="205"/>
      <c r="J434" s="205"/>
      <c r="K434" s="206"/>
      <c r="L434" s="205">
        <v>1</v>
      </c>
      <c r="M434" s="205"/>
      <c r="N434" s="205"/>
      <c r="O434" s="206" t="s">
        <v>95</v>
      </c>
      <c r="P434" s="206" t="s">
        <v>96</v>
      </c>
      <c r="Q434" s="206" t="s">
        <v>97</v>
      </c>
      <c r="R434" s="206">
        <v>7</v>
      </c>
      <c r="S434" s="206">
        <v>7</v>
      </c>
      <c r="T434" s="206">
        <v>7</v>
      </c>
      <c r="U434" s="206" t="s">
        <v>97</v>
      </c>
      <c r="V434" s="206"/>
      <c r="W434" s="206"/>
      <c r="X434" s="206"/>
      <c r="Y434" s="184">
        <f t="shared" si="157"/>
        <v>0.01</v>
      </c>
      <c r="Z434" s="184">
        <f t="shared" si="158"/>
        <v>1600</v>
      </c>
      <c r="AA434" s="208" t="s">
        <v>99</v>
      </c>
      <c r="AB434" s="208"/>
      <c r="AC434" s="208"/>
      <c r="AD434" s="650">
        <v>-0.05</v>
      </c>
      <c r="AE434" s="205"/>
      <c r="AF434" s="333"/>
      <c r="AG434" s="205"/>
      <c r="AH434" s="205"/>
      <c r="AI434" s="205"/>
      <c r="AJ434" s="641"/>
      <c r="AK434" s="205"/>
      <c r="AL434" s="496">
        <f>-0.03*Z434</f>
        <v>-48</v>
      </c>
      <c r="AM434" s="496">
        <f>AL434*R434</f>
        <v>-336</v>
      </c>
      <c r="AN434" s="627"/>
      <c r="AO434" s="205"/>
      <c r="AP434" s="205" t="s">
        <v>589</v>
      </c>
      <c r="AQ434" s="333" t="str">
        <f>UPPER(RIGHT(Journal_Live[[#This Row],[DURATION ]]))</f>
        <v>D</v>
      </c>
      <c r="AR434" s="338" t="s">
        <v>2021</v>
      </c>
      <c r="AS434" s="211">
        <f>((-0.04)*3+(-0.04*4))/7</f>
        <v>-0.04</v>
      </c>
      <c r="AT434" s="189">
        <f t="shared" si="181"/>
        <v>-1.0000000000000002E-2</v>
      </c>
      <c r="AU434" s="187">
        <f t="shared" si="182"/>
        <v>-112.00000000000003</v>
      </c>
      <c r="AV434" s="190">
        <f t="shared" si="183"/>
        <v>-16.000000000000004</v>
      </c>
      <c r="AW434" s="213" t="s">
        <v>229</v>
      </c>
      <c r="AX434" s="413" t="s">
        <v>2022</v>
      </c>
      <c r="AY434" s="413"/>
      <c r="AZ434" s="413"/>
      <c r="BA434" s="413"/>
      <c r="BB434" s="413"/>
      <c r="BC434" s="413"/>
      <c r="BD434" s="413"/>
      <c r="BE434" s="413"/>
      <c r="BF434" s="427"/>
      <c r="BG434" s="391">
        <f>SUM($AV$4:AV434)</f>
        <v>2768.1350000000125</v>
      </c>
      <c r="BH434" s="392">
        <f>SUM($AU$134:AU434)</f>
        <v>1398.0899999999547</v>
      </c>
      <c r="BI434" s="318">
        <f>SUMIFS($AU$134:AU435,$Q$134:Q435,"F")</f>
        <v>-3014.8</v>
      </c>
      <c r="BJ434" s="318">
        <f>SUMIFS($AU$134:AU435,$Q$134:Q435,"S")</f>
        <v>4639.0499999999975</v>
      </c>
      <c r="BK434" s="343">
        <f>SUMIFS($AU$134:AU435,$P$134:P435,"W")</f>
        <v>3689.1899999999341</v>
      </c>
      <c r="BL434" s="343">
        <f>SUMIFS($AU$134:AU435,$P$134:P435,"R")</f>
        <v>-2211.0999999999808</v>
      </c>
      <c r="BM434" s="343">
        <f>SUMIFS($AU$134:AU435,$AQ$134:AQ435,"M")</f>
        <v>765.79999999998859</v>
      </c>
      <c r="BN434" s="343">
        <f>SUMIFS($AU$134:AU435,$AQ$134:AQ435,"H")</f>
        <v>1783.7000000000153</v>
      </c>
      <c r="BO434" s="343">
        <f>SUMIFS($AU$134:AU435,$AQ$134:AQ435,"D")</f>
        <v>-439.15000000000055</v>
      </c>
      <c r="BP434" s="343">
        <f>SUMIFS($AU$134:AU437,$AQ$134:AQ437,"W")</f>
        <v>-1270.7</v>
      </c>
      <c r="BQ434" s="343">
        <f>SUMIFS($AU$134:AU435,$Q$134:Q435,"O")</f>
        <v>-345.36000000004572</v>
      </c>
      <c r="BR434" s="343">
        <f>SUMIFS($AU$134:AU435,$AA$134:AA435,"*")</f>
        <v>4151.1499999999824</v>
      </c>
      <c r="BS434" s="343">
        <f>SUMIFS($AU$134:AU435,$AB$134:AB435,"*")</f>
        <v>111.23999999997596</v>
      </c>
      <c r="BT434" s="343">
        <f>SUMIFS($AU$134:AU435,$AC$134:AC435,"*")</f>
        <v>-2282.4500000000012</v>
      </c>
      <c r="BU434" s="343">
        <f>SUMIFS($AU$134:AU435,$AA$134:AA435,"*",$AB$134:AB435,"*")</f>
        <v>-188.19999999999513</v>
      </c>
      <c r="BV434" s="343">
        <f>SUMIFS($AU$134:AU435,$AA$134:AA435,"*",$AC$134:AC435,"*")</f>
        <v>666.64999999999907</v>
      </c>
      <c r="BW434" s="343">
        <f>SUMIFS($AU$134:AU435,$AB$134:AB435,"*",$AC$134:AC435,"*")</f>
        <v>78.599999999999653</v>
      </c>
      <c r="BX434" s="343">
        <f>SUMIFS($AU435:AU$1388,$Q435:Q$1388,"F")</f>
        <v>17455.466666666667</v>
      </c>
      <c r="BY434" s="343">
        <f>SUMIFS($AU435:AU$1388,$Q435:Q$1388,"S")</f>
        <v>16112.592000000002</v>
      </c>
      <c r="BZ434" s="343">
        <f>SUMIFS($AU435:AU$1388,$Q435:Q$1388,"O")</f>
        <v>-1303.4979999997527</v>
      </c>
    </row>
    <row r="435" spans="1:78" ht="15.75" customHeight="1">
      <c r="A435" s="221" t="s">
        <v>1720</v>
      </c>
      <c r="B435" s="200">
        <v>45015</v>
      </c>
      <c r="C435" s="201" t="s">
        <v>966</v>
      </c>
      <c r="D435" s="201" t="s">
        <v>93</v>
      </c>
      <c r="E435" s="247"/>
      <c r="F435" s="203"/>
      <c r="G435" s="314" t="s">
        <v>2023</v>
      </c>
      <c r="H435" s="205"/>
      <c r="I435" s="205"/>
      <c r="J435" s="205"/>
      <c r="K435" s="206"/>
      <c r="L435" s="205">
        <v>1</v>
      </c>
      <c r="M435" s="205"/>
      <c r="N435" s="205"/>
      <c r="O435" s="206" t="s">
        <v>95</v>
      </c>
      <c r="P435" s="206" t="s">
        <v>96</v>
      </c>
      <c r="Q435" s="206" t="s">
        <v>97</v>
      </c>
      <c r="R435" s="206">
        <v>5</v>
      </c>
      <c r="S435" s="206">
        <v>5</v>
      </c>
      <c r="T435" s="206">
        <v>5</v>
      </c>
      <c r="U435" s="206" t="s">
        <v>97</v>
      </c>
      <c r="V435" s="206"/>
      <c r="W435" s="206"/>
      <c r="X435" s="206"/>
      <c r="Y435" s="184">
        <f t="shared" si="157"/>
        <v>0.01</v>
      </c>
      <c r="Z435" s="184">
        <f t="shared" si="158"/>
        <v>1600</v>
      </c>
      <c r="AA435" s="208" t="s">
        <v>99</v>
      </c>
      <c r="AB435" s="208"/>
      <c r="AC435" s="208"/>
      <c r="AD435" s="650">
        <v>-0.04</v>
      </c>
      <c r="AE435" s="205"/>
      <c r="AF435" s="333"/>
      <c r="AG435" s="205"/>
      <c r="AH435" s="205"/>
      <c r="AI435" s="205"/>
      <c r="AJ435" s="641"/>
      <c r="AK435" s="205"/>
      <c r="AL435" s="498"/>
      <c r="AM435" s="499"/>
      <c r="AN435" s="627"/>
      <c r="AO435" s="205"/>
      <c r="AP435" s="205" t="s">
        <v>838</v>
      </c>
      <c r="AQ435" s="333" t="str">
        <f>UPPER(RIGHT(Journal_Live[[#This Row],[DURATION ]]))</f>
        <v>H</v>
      </c>
      <c r="AR435" s="205" t="s">
        <v>2024</v>
      </c>
      <c r="AS435" s="211">
        <v>-0.05</v>
      </c>
      <c r="AT435" s="189">
        <f t="shared" si="181"/>
        <v>1.0000000000000002E-2</v>
      </c>
      <c r="AU435" s="187">
        <f t="shared" si="182"/>
        <v>80.000000000000014</v>
      </c>
      <c r="AV435" s="190">
        <f t="shared" si="183"/>
        <v>16.000000000000004</v>
      </c>
      <c r="AW435" s="213" t="s">
        <v>96</v>
      </c>
      <c r="AX435" s="413" t="s">
        <v>2025</v>
      </c>
      <c r="AY435" s="413"/>
      <c r="AZ435" s="413"/>
      <c r="BA435" s="413"/>
      <c r="BB435" s="413"/>
      <c r="BC435" s="413"/>
      <c r="BD435" s="413"/>
      <c r="BE435" s="413"/>
      <c r="BF435" s="427"/>
      <c r="BG435" s="391">
        <f>SUM($AV$4:AV435)</f>
        <v>2784.1350000000125</v>
      </c>
      <c r="BH435" s="392">
        <f>SUM($AU$134:AU435)</f>
        <v>1478.0899999999547</v>
      </c>
      <c r="BI435" s="318">
        <f>SUMIFS($AU$134:AU436,$Q$134:Q436,"F")</f>
        <v>-3014.8</v>
      </c>
      <c r="BJ435" s="318">
        <f>SUMIFS($AU$134:AU436,$Q$134:Q436,"S")</f>
        <v>4639.0499999999975</v>
      </c>
      <c r="BK435" s="343">
        <f>SUMIFS($AU$134:AU436,$P$134:P436,"W")</f>
        <v>3689.1899999999341</v>
      </c>
      <c r="BL435" s="343">
        <f>SUMIFS($AU$134:AU436,$P$134:P436,"R")</f>
        <v>-2211.0999999999808</v>
      </c>
      <c r="BM435" s="343">
        <f>SUMIFS($AU$134:AU436,$AQ$134:AQ436,"M")</f>
        <v>765.79999999998859</v>
      </c>
      <c r="BN435" s="343">
        <f>SUMIFS($AU$134:AU436,$AQ$134:AQ436,"H")</f>
        <v>1783.7000000000153</v>
      </c>
      <c r="BO435" s="343">
        <f>SUMIFS($AU$134:AU436,$AQ$134:AQ436,"D")</f>
        <v>-439.15000000000055</v>
      </c>
      <c r="BP435" s="343">
        <f>SUMIFS($AU$134:AU438,$AQ$134:AQ438,"W")</f>
        <v>-1270.7</v>
      </c>
      <c r="BQ435" s="343">
        <f>SUMIFS($AU$134:AU436,$Q$134:Q436,"O")</f>
        <v>-345.36000000004572</v>
      </c>
      <c r="BR435" s="343">
        <f>SUMIFS($AU$134:AU436,$AA$134:AA436,"*")</f>
        <v>4151.1499999999824</v>
      </c>
      <c r="BS435" s="343">
        <f>SUMIFS($AU$134:AU436,$AB$134:AB436,"*")</f>
        <v>111.23999999997596</v>
      </c>
      <c r="BT435" s="343">
        <f>SUMIFS($AU$134:AU436,$AC$134:AC436,"*")</f>
        <v>-2282.4500000000012</v>
      </c>
      <c r="BU435" s="343">
        <f>SUMIFS($AU$134:AU436,$AA$134:AA436,"*",$AB$134:AB436,"*")</f>
        <v>-188.19999999999513</v>
      </c>
      <c r="BV435" s="343">
        <f>SUMIFS($AU$134:AU436,$AA$134:AA436,"*",$AC$134:AC436,"*")</f>
        <v>666.64999999999907</v>
      </c>
      <c r="BW435" s="343">
        <f>SUMIFS($AU$134:AU436,$AB$134:AB436,"*",$AC$134:AC436,"*")</f>
        <v>78.599999999999653</v>
      </c>
      <c r="BX435" s="343">
        <f>SUMIFS($AU436:AU$1388,$Q436:Q$1388,"F")</f>
        <v>17455.466666666667</v>
      </c>
      <c r="BY435" s="343">
        <f>SUMIFS($AU436:AU$1388,$Q436:Q$1388,"S")</f>
        <v>16032.592000000002</v>
      </c>
      <c r="BZ435" s="343">
        <f>SUMIFS($AU436:AU$1388,$Q436:Q$1388,"O")</f>
        <v>-1303.4979999997527</v>
      </c>
    </row>
    <row r="436" spans="1:78" ht="15.75" customHeight="1">
      <c r="A436" s="221" t="s">
        <v>1720</v>
      </c>
      <c r="B436" s="200">
        <v>45015</v>
      </c>
      <c r="C436" s="201" t="s">
        <v>1728</v>
      </c>
      <c r="D436" s="201" t="s">
        <v>93</v>
      </c>
      <c r="E436" s="247" t="s">
        <v>2026</v>
      </c>
      <c r="F436" s="203" t="s">
        <v>2027</v>
      </c>
      <c r="G436" s="204"/>
      <c r="H436" s="205">
        <v>1</v>
      </c>
      <c r="I436" s="205"/>
      <c r="J436" s="205"/>
      <c r="K436" s="206" t="s">
        <v>115</v>
      </c>
      <c r="L436" s="205"/>
      <c r="M436" s="205"/>
      <c r="N436" s="205"/>
      <c r="O436" s="206"/>
      <c r="P436" s="206"/>
      <c r="Q436" s="206"/>
      <c r="R436" s="206"/>
      <c r="S436" s="206"/>
      <c r="T436" s="206"/>
      <c r="U436" s="206"/>
      <c r="V436" s="206"/>
      <c r="W436" s="206"/>
      <c r="X436" s="206"/>
      <c r="Y436" s="206"/>
      <c r="Z436" s="206"/>
      <c r="AA436" s="208"/>
      <c r="AB436" s="208"/>
      <c r="AC436" s="208"/>
      <c r="AD436" s="650"/>
      <c r="AE436" s="205"/>
      <c r="AF436" s="333"/>
      <c r="AG436" s="205"/>
      <c r="AH436" s="205"/>
      <c r="AI436" s="205"/>
      <c r="AJ436" s="641"/>
      <c r="AK436" s="205"/>
      <c r="AL436" s="498"/>
      <c r="AM436" s="499"/>
      <c r="AN436" s="627"/>
      <c r="AO436" s="205"/>
      <c r="AP436" s="205"/>
      <c r="AQ436" s="333" t="str">
        <f>UPPER(RIGHT(Journal_Live[[#This Row],[DURATION ]]))</f>
        <v/>
      </c>
      <c r="AR436" s="205"/>
      <c r="AS436" s="211"/>
      <c r="AT436" s="189">
        <f t="shared" si="181"/>
        <v>0</v>
      </c>
      <c r="AU436" s="187">
        <f t="shared" si="182"/>
        <v>0</v>
      </c>
      <c r="AV436" s="190">
        <f t="shared" si="183"/>
        <v>0</v>
      </c>
      <c r="AW436" s="213"/>
      <c r="AX436" s="413"/>
      <c r="AY436" s="413"/>
      <c r="AZ436" s="413" t="s">
        <v>529</v>
      </c>
      <c r="BA436" s="413"/>
      <c r="BB436" s="413"/>
      <c r="BC436" s="413"/>
      <c r="BD436" s="413"/>
      <c r="BE436" s="413"/>
      <c r="BF436" s="427"/>
      <c r="BG436" s="391">
        <f>SUM($AV$4:AV436)</f>
        <v>2784.1350000000125</v>
      </c>
      <c r="BH436" s="392">
        <f>SUM($AU$134:AU436)</f>
        <v>1478.0899999999547</v>
      </c>
      <c r="BI436" s="318">
        <f>SUMIFS($AU$134:AU437,$Q$134:Q437,"F")</f>
        <v>-3014.8</v>
      </c>
      <c r="BJ436" s="318">
        <f>SUMIFS($AU$134:AU437,$Q$134:Q437,"S")</f>
        <v>4639.0499999999975</v>
      </c>
      <c r="BK436" s="343">
        <f>SUMIFS($AU$134:AU437,$P$134:P437,"W")</f>
        <v>3689.1899999999341</v>
      </c>
      <c r="BL436" s="343">
        <f>SUMIFS($AU$134:AU437,$P$134:P437,"R")</f>
        <v>-2211.0999999999808</v>
      </c>
      <c r="BM436" s="343">
        <f>SUMIFS($AU$134:AU437,$AQ$134:AQ437,"M")</f>
        <v>765.79999999998859</v>
      </c>
      <c r="BN436" s="343">
        <f>SUMIFS($AU$134:AU437,$AQ$134:AQ437,"H")</f>
        <v>1783.7000000000153</v>
      </c>
      <c r="BO436" s="343">
        <f>SUMIFS($AU$134:AU437,$AQ$134:AQ437,"D")</f>
        <v>-439.15000000000055</v>
      </c>
      <c r="BP436" s="343">
        <f>SUMIFS($AU$134:AU439,$AQ$134:AQ439,"W")</f>
        <v>-1270.7</v>
      </c>
      <c r="BQ436" s="343">
        <f>SUMIFS($AU$134:AU437,$Q$134:Q437,"O")</f>
        <v>-345.36000000004572</v>
      </c>
      <c r="BR436" s="343">
        <f>SUMIFS($AU$134:AU437,$AA$134:AA437,"*")</f>
        <v>4151.1499999999824</v>
      </c>
      <c r="BS436" s="343">
        <f>SUMIFS($AU$134:AU437,$AB$134:AB437,"*")</f>
        <v>111.23999999997596</v>
      </c>
      <c r="BT436" s="343">
        <f>SUMIFS($AU$134:AU437,$AC$134:AC437,"*")</f>
        <v>-2282.4500000000012</v>
      </c>
      <c r="BU436" s="343">
        <f>SUMIFS($AU$134:AU437,$AA$134:AA437,"*",$AB$134:AB437,"*")</f>
        <v>-188.19999999999513</v>
      </c>
      <c r="BV436" s="343">
        <f>SUMIFS($AU$134:AU437,$AA$134:AA437,"*",$AC$134:AC437,"*")</f>
        <v>666.64999999999907</v>
      </c>
      <c r="BW436" s="343">
        <f>SUMIFS($AU$134:AU437,$AB$134:AB437,"*",$AC$134:AC437,"*")</f>
        <v>78.599999999999653</v>
      </c>
      <c r="BX436" s="343">
        <f>SUMIFS($AU437:AU$1388,$Q437:Q$1388,"F")</f>
        <v>17455.466666666667</v>
      </c>
      <c r="BY436" s="343">
        <f>SUMIFS($AU437:AU$1388,$Q437:Q$1388,"S")</f>
        <v>16032.592000000002</v>
      </c>
      <c r="BZ436" s="343">
        <f>SUMIFS($AU437:AU$1388,$Q437:Q$1388,"O")</f>
        <v>-1303.4979999997527</v>
      </c>
    </row>
    <row r="437" spans="1:78" ht="15.75" customHeight="1">
      <c r="A437" s="221" t="s">
        <v>1720</v>
      </c>
      <c r="B437" s="200"/>
      <c r="C437" s="201"/>
      <c r="D437" s="201"/>
      <c r="E437" s="247" t="s">
        <v>2028</v>
      </c>
      <c r="F437" s="203"/>
      <c r="G437" s="204"/>
      <c r="H437" s="205"/>
      <c r="I437" s="205"/>
      <c r="J437" s="205">
        <v>1</v>
      </c>
      <c r="K437" s="206"/>
      <c r="L437" s="205"/>
      <c r="M437" s="205"/>
      <c r="N437" s="205"/>
      <c r="O437" s="206"/>
      <c r="P437" s="206"/>
      <c r="Q437" s="206"/>
      <c r="R437" s="206"/>
      <c r="S437" s="206"/>
      <c r="T437" s="206"/>
      <c r="U437" s="206"/>
      <c r="V437" s="206"/>
      <c r="W437" s="206"/>
      <c r="X437" s="206"/>
      <c r="Y437" s="206"/>
      <c r="Z437" s="206"/>
      <c r="AA437" s="208"/>
      <c r="AB437" s="208"/>
      <c r="AC437" s="208"/>
      <c r="AD437" s="650"/>
      <c r="AE437" s="205"/>
      <c r="AF437" s="333"/>
      <c r="AG437" s="205"/>
      <c r="AH437" s="205"/>
      <c r="AI437" s="205"/>
      <c r="AJ437" s="641"/>
      <c r="AK437" s="205"/>
      <c r="AL437" s="498"/>
      <c r="AM437" s="499"/>
      <c r="AN437" s="627"/>
      <c r="AO437" s="205"/>
      <c r="AP437" s="205"/>
      <c r="AQ437" s="333" t="str">
        <f>UPPER(RIGHT(Journal_Live[[#This Row],[DURATION ]]))</f>
        <v/>
      </c>
      <c r="AR437" s="205"/>
      <c r="AS437" s="211"/>
      <c r="AT437" s="189">
        <f t="shared" si="181"/>
        <v>0</v>
      </c>
      <c r="AU437" s="187">
        <f t="shared" si="182"/>
        <v>0</v>
      </c>
      <c r="AV437" s="190">
        <f t="shared" si="183"/>
        <v>0</v>
      </c>
      <c r="AW437" s="213"/>
      <c r="AX437" s="413"/>
      <c r="AY437" s="413"/>
      <c r="AZ437" s="413"/>
      <c r="BA437" s="413"/>
      <c r="BB437" s="413"/>
      <c r="BC437" s="413"/>
      <c r="BD437" s="413"/>
      <c r="BE437" s="413"/>
      <c r="BF437" s="427"/>
      <c r="BG437" s="391">
        <f>SUM($AV$4:AV437)</f>
        <v>2784.1350000000125</v>
      </c>
      <c r="BH437" s="392">
        <f>SUM($AU$134:AU437)</f>
        <v>1478.0899999999547</v>
      </c>
      <c r="BI437" s="318">
        <f>SUMIFS($AU$134:AU438,$Q$134:Q438,"F")</f>
        <v>-3014.8</v>
      </c>
      <c r="BJ437" s="318">
        <f>SUMIFS($AU$134:AU438,$Q$134:Q438,"S")</f>
        <v>4799.0499999999975</v>
      </c>
      <c r="BK437" s="343">
        <f>SUMIFS($AU$134:AU438,$P$134:P438,"W")</f>
        <v>3849.1899999999341</v>
      </c>
      <c r="BL437" s="343">
        <f>SUMIFS($AU$134:AU438,$P$134:P438,"R")</f>
        <v>-2211.0999999999808</v>
      </c>
      <c r="BM437" s="343">
        <f>SUMIFS($AU$134:AU438,$AQ$134:AQ438,"M")</f>
        <v>765.79999999998859</v>
      </c>
      <c r="BN437" s="343">
        <f>SUMIFS($AU$134:AU438,$AQ$134:AQ438,"H")</f>
        <v>1783.7000000000153</v>
      </c>
      <c r="BO437" s="343">
        <f>SUMIFS($AU$134:AU438,$AQ$134:AQ438,"D")</f>
        <v>-279.15000000000055</v>
      </c>
      <c r="BP437" s="343">
        <f>SUMIFS($AU$134:AU440,$AQ$134:AQ440,"W")</f>
        <v>-1270.7</v>
      </c>
      <c r="BQ437" s="343">
        <f>SUMIFS($AU$134:AU438,$Q$134:Q438,"O")</f>
        <v>-345.36000000004572</v>
      </c>
      <c r="BR437" s="343">
        <f>SUMIFS($AU$134:AU438,$AA$134:AA438,"*")</f>
        <v>4311.1499999999824</v>
      </c>
      <c r="BS437" s="343">
        <f>SUMIFS($AU$134:AU438,$AB$134:AB438,"*")</f>
        <v>111.23999999997596</v>
      </c>
      <c r="BT437" s="343">
        <f>SUMIFS($AU$134:AU438,$AC$134:AC438,"*")</f>
        <v>-2282.4500000000012</v>
      </c>
      <c r="BU437" s="343">
        <f>SUMIFS($AU$134:AU438,$AA$134:AA438,"*",$AB$134:AB438,"*")</f>
        <v>-188.19999999999513</v>
      </c>
      <c r="BV437" s="343">
        <f>SUMIFS($AU$134:AU438,$AA$134:AA438,"*",$AC$134:AC438,"*")</f>
        <v>666.64999999999907</v>
      </c>
      <c r="BW437" s="343">
        <f>SUMIFS($AU$134:AU438,$AB$134:AB438,"*",$AC$134:AC438,"*")</f>
        <v>78.599999999999653</v>
      </c>
      <c r="BX437" s="343">
        <f>SUMIFS($AU438:AU$1388,$Q438:Q$1388,"F")</f>
        <v>17455.466666666667</v>
      </c>
      <c r="BY437" s="343">
        <f>SUMIFS($AU438:AU$1388,$Q438:Q$1388,"S")</f>
        <v>16032.592000000002</v>
      </c>
      <c r="BZ437" s="343">
        <f>SUMIFS($AU438:AU$1388,$Q438:Q$1388,"O")</f>
        <v>-1303.4979999997527</v>
      </c>
    </row>
    <row r="438" spans="1:78" ht="15.75" customHeight="1">
      <c r="A438" s="221" t="s">
        <v>1720</v>
      </c>
      <c r="B438" s="200">
        <v>45015</v>
      </c>
      <c r="C438" s="201" t="s">
        <v>2029</v>
      </c>
      <c r="D438" s="201" t="s">
        <v>93</v>
      </c>
      <c r="E438" s="247"/>
      <c r="F438" s="203"/>
      <c r="G438" s="314" t="s">
        <v>94</v>
      </c>
      <c r="H438" s="205"/>
      <c r="I438" s="205"/>
      <c r="J438" s="205"/>
      <c r="K438" s="206"/>
      <c r="L438" s="205">
        <v>1</v>
      </c>
      <c r="M438" s="205"/>
      <c r="N438" s="205"/>
      <c r="O438" s="206" t="s">
        <v>95</v>
      </c>
      <c r="P438" s="206" t="s">
        <v>96</v>
      </c>
      <c r="Q438" s="206" t="s">
        <v>97</v>
      </c>
      <c r="R438" s="206">
        <v>10</v>
      </c>
      <c r="S438" s="206">
        <v>10</v>
      </c>
      <c r="T438" s="206">
        <v>7</v>
      </c>
      <c r="U438" s="206" t="s">
        <v>97</v>
      </c>
      <c r="V438" s="206"/>
      <c r="W438" s="206"/>
      <c r="X438" s="206"/>
      <c r="Y438" s="184">
        <f t="shared" ref="Y438:Y443" si="185">IF(ISBLANK(O438),"",(IF(O438=UPPER("IB"),0.005,0.01)))</f>
        <v>0.01</v>
      </c>
      <c r="Z438" s="184">
        <f t="shared" ref="Z438:Z443" si="186">IF(ISBLANK(O438),"",IF(O438="IB",8.63*200,IF(O438="IR",16*100,IF(O438="YT",20))))</f>
        <v>1600</v>
      </c>
      <c r="AA438" s="208" t="s">
        <v>2030</v>
      </c>
      <c r="AB438" s="208"/>
      <c r="AC438" s="208"/>
      <c r="AD438" s="650">
        <v>-0.03</v>
      </c>
      <c r="AE438" s="205"/>
      <c r="AF438" s="333"/>
      <c r="AG438" s="205"/>
      <c r="AH438" s="205"/>
      <c r="AI438" s="205"/>
      <c r="AJ438" s="641"/>
      <c r="AK438" s="205"/>
      <c r="AL438" s="496">
        <f>-0.02*Z438</f>
        <v>-32</v>
      </c>
      <c r="AM438" s="496">
        <f>AL438*R438</f>
        <v>-320</v>
      </c>
      <c r="AN438" s="627"/>
      <c r="AO438" s="205"/>
      <c r="AP438" s="205" t="s">
        <v>804</v>
      </c>
      <c r="AQ438" s="333" t="str">
        <f>UPPER(RIGHT(Journal_Live[[#This Row],[DURATION ]]))</f>
        <v>D</v>
      </c>
      <c r="AR438" s="205" t="s">
        <v>2031</v>
      </c>
      <c r="AS438" s="211">
        <f>((-0.04*6)+(-0.04*4))/10</f>
        <v>-0.04</v>
      </c>
      <c r="AT438" s="189">
        <f t="shared" si="181"/>
        <v>1.0000000000000002E-2</v>
      </c>
      <c r="AU438" s="187">
        <f t="shared" si="182"/>
        <v>160.00000000000003</v>
      </c>
      <c r="AV438" s="190">
        <f t="shared" si="183"/>
        <v>16.000000000000004</v>
      </c>
      <c r="AW438" s="213" t="s">
        <v>96</v>
      </c>
      <c r="AX438" s="413" t="s">
        <v>2032</v>
      </c>
      <c r="AY438" s="413" t="s">
        <v>2033</v>
      </c>
      <c r="AZ438" s="413" t="s">
        <v>2034</v>
      </c>
      <c r="BA438" s="413" t="s">
        <v>529</v>
      </c>
      <c r="BB438" s="413"/>
      <c r="BC438" s="413"/>
      <c r="BD438" s="413"/>
      <c r="BE438" s="413"/>
      <c r="BF438" s="427"/>
      <c r="BG438" s="391">
        <f>SUM($AV$4:AV438)</f>
        <v>2800.1350000000125</v>
      </c>
      <c r="BH438" s="392">
        <f>SUM($AU$134:AU438)</f>
        <v>1638.0899999999547</v>
      </c>
      <c r="BI438" s="318">
        <f>SUMIFS($AU$134:AU439,$Q$134:Q439,"F")</f>
        <v>-3014.8</v>
      </c>
      <c r="BJ438" s="318">
        <f>SUMIFS($AU$134:AU439,$Q$134:Q439,"S")</f>
        <v>4799.0499999999975</v>
      </c>
      <c r="BK438" s="343">
        <f>SUMIFS($AU$134:AU439,$P$134:P439,"W")</f>
        <v>3849.1899999999341</v>
      </c>
      <c r="BL438" s="343">
        <f>SUMIFS($AU$134:AU439,$P$134:P439,"R")</f>
        <v>-2211.0999999999808</v>
      </c>
      <c r="BM438" s="343">
        <f>SUMIFS($AU$134:AU439,$AQ$134:AQ439,"M")</f>
        <v>765.79999999998859</v>
      </c>
      <c r="BN438" s="343">
        <f>SUMIFS($AU$134:AU439,$AQ$134:AQ439,"H")</f>
        <v>1783.7000000000153</v>
      </c>
      <c r="BO438" s="343">
        <f>SUMIFS($AU$134:AU439,$AQ$134:AQ439,"D")</f>
        <v>-279.15000000000055</v>
      </c>
      <c r="BP438" s="343">
        <f>SUMIFS($AU$134:AU441,$AQ$134:AQ441,"W")</f>
        <v>-1270.7</v>
      </c>
      <c r="BQ438" s="343">
        <f>SUMIFS($AU$134:AU439,$Q$134:Q439,"O")</f>
        <v>-345.36000000004572</v>
      </c>
      <c r="BR438" s="343">
        <f>SUMIFS($AU$134:AU439,$AA$134:AA439,"*")</f>
        <v>4311.1499999999824</v>
      </c>
      <c r="BS438" s="343">
        <f>SUMIFS($AU$134:AU439,$AB$134:AB439,"*")</f>
        <v>111.23999999997596</v>
      </c>
      <c r="BT438" s="343">
        <f>SUMIFS($AU$134:AU439,$AC$134:AC439,"*")</f>
        <v>-2282.4500000000012</v>
      </c>
      <c r="BU438" s="343">
        <f>SUMIFS($AU$134:AU439,$AA$134:AA439,"*",$AB$134:AB439,"*")</f>
        <v>-188.19999999999513</v>
      </c>
      <c r="BV438" s="343">
        <f>SUMIFS($AU$134:AU439,$AA$134:AA439,"*",$AC$134:AC439,"*")</f>
        <v>666.64999999999907</v>
      </c>
      <c r="BW438" s="343">
        <f>SUMIFS($AU$134:AU439,$AB$134:AB439,"*",$AC$134:AC439,"*")</f>
        <v>78.599999999999653</v>
      </c>
      <c r="BX438" s="343">
        <f>SUMIFS($AU439:AU$1388,$Q439:Q$1388,"F")</f>
        <v>17455.466666666667</v>
      </c>
      <c r="BY438" s="343">
        <f>SUMIFS($AU439:AU$1388,$Q439:Q$1388,"S")</f>
        <v>15872.592000000001</v>
      </c>
      <c r="BZ438" s="343">
        <f>SUMIFS($AU439:AU$1388,$Q439:Q$1388,"O")</f>
        <v>-1303.4979999997527</v>
      </c>
    </row>
    <row r="439" spans="1:78" ht="15.75" customHeight="1">
      <c r="A439" s="221" t="s">
        <v>1720</v>
      </c>
      <c r="B439" s="200">
        <v>45016</v>
      </c>
      <c r="C439" s="201" t="s">
        <v>675</v>
      </c>
      <c r="D439" s="201" t="s">
        <v>111</v>
      </c>
      <c r="E439" s="247" t="s">
        <v>2035</v>
      </c>
      <c r="F439" s="203" t="s">
        <v>2036</v>
      </c>
      <c r="G439" s="204"/>
      <c r="H439" s="205"/>
      <c r="I439" s="205"/>
      <c r="J439" s="205">
        <v>1</v>
      </c>
      <c r="K439" s="206" t="s">
        <v>115</v>
      </c>
      <c r="L439" s="205"/>
      <c r="M439" s="205"/>
      <c r="N439" s="205"/>
      <c r="O439" s="206"/>
      <c r="P439" s="206"/>
      <c r="Q439" s="206"/>
      <c r="R439" s="206"/>
      <c r="S439" s="206"/>
      <c r="T439" s="206"/>
      <c r="U439" s="206"/>
      <c r="V439" s="206"/>
      <c r="W439" s="206"/>
      <c r="X439" s="206"/>
      <c r="Y439" s="184" t="str">
        <f t="shared" si="185"/>
        <v/>
      </c>
      <c r="Z439" s="184" t="str">
        <f t="shared" si="186"/>
        <v/>
      </c>
      <c r="AA439" s="208"/>
      <c r="AB439" s="208"/>
      <c r="AC439" s="208"/>
      <c r="AD439" s="650"/>
      <c r="AE439" s="205"/>
      <c r="AF439" s="333"/>
      <c r="AG439" s="205"/>
      <c r="AH439" s="205"/>
      <c r="AI439" s="205"/>
      <c r="AJ439" s="641"/>
      <c r="AK439" s="205"/>
      <c r="AL439" s="496"/>
      <c r="AM439" s="496"/>
      <c r="AN439" s="627"/>
      <c r="AO439" s="205"/>
      <c r="AP439" s="205"/>
      <c r="AQ439" s="333" t="str">
        <f>UPPER(RIGHT(Journal_Live[[#This Row],[DURATION ]]))</f>
        <v/>
      </c>
      <c r="AR439" s="205"/>
      <c r="AS439" s="211"/>
      <c r="AT439" s="189"/>
      <c r="AU439" s="187"/>
      <c r="AV439" s="190"/>
      <c r="AW439" s="213"/>
      <c r="AX439" s="413"/>
      <c r="AY439" s="413"/>
      <c r="AZ439" s="413"/>
      <c r="BA439" s="413" t="s">
        <v>2037</v>
      </c>
      <c r="BB439" s="434" t="s">
        <v>2038</v>
      </c>
      <c r="BC439" s="434" t="s">
        <v>2039</v>
      </c>
      <c r="BD439" s="413" t="s">
        <v>529</v>
      </c>
      <c r="BE439" s="413"/>
      <c r="BF439" s="427"/>
      <c r="BG439" s="391">
        <f>SUM($AV$4:AV439)</f>
        <v>2800.1350000000125</v>
      </c>
      <c r="BH439" s="392">
        <f>SUM($AU$134:AU439)</f>
        <v>1638.0899999999547</v>
      </c>
      <c r="BI439" s="318">
        <f>SUMIFS($AU$134:AU440,$Q$134:Q440,"F")</f>
        <v>-3014.8</v>
      </c>
      <c r="BJ439" s="318">
        <f>SUMIFS($AU$134:AU440,$Q$134:Q440,"S")</f>
        <v>4799.0499999999975</v>
      </c>
      <c r="BK439" s="343">
        <f>SUMIFS($AU$134:AU440,$P$134:P440,"W")</f>
        <v>3849.1899999999341</v>
      </c>
      <c r="BL439" s="343">
        <f>SUMIFS($AU$134:AU440,$P$134:P440,"R")</f>
        <v>-2211.0999999999808</v>
      </c>
      <c r="BM439" s="343">
        <f>SUMIFS($AU$134:AU440,$AQ$134:AQ440,"M")</f>
        <v>765.79999999998859</v>
      </c>
      <c r="BN439" s="343">
        <f>SUMIFS($AU$134:AU440,$AQ$134:AQ440,"H")</f>
        <v>1783.7000000000153</v>
      </c>
      <c r="BO439" s="343">
        <f>SUMIFS($AU$134:AU440,$AQ$134:AQ440,"D")</f>
        <v>-279.15000000000055</v>
      </c>
      <c r="BP439" s="343">
        <f>SUMIFS($AU$134:AU442,$AQ$134:AQ442,"W")</f>
        <v>-1270.7</v>
      </c>
      <c r="BQ439" s="343">
        <f>SUMIFS($AU$134:AU440,$Q$134:Q440,"O")</f>
        <v>-345.36000000004572</v>
      </c>
      <c r="BR439" s="343">
        <f>SUMIFS($AU$134:AU440,$AA$134:AA440,"*")</f>
        <v>4311.1499999999824</v>
      </c>
      <c r="BS439" s="343">
        <f>SUMIFS($AU$134:AU440,$AB$134:AB440,"*")</f>
        <v>111.23999999997596</v>
      </c>
      <c r="BT439" s="343">
        <f>SUMIFS($AU$134:AU440,$AC$134:AC440,"*")</f>
        <v>-2282.4500000000012</v>
      </c>
      <c r="BU439" s="343">
        <f>SUMIFS($AU$134:AU440,$AA$134:AA440,"*",$AB$134:AB440,"*")</f>
        <v>-188.19999999999513</v>
      </c>
      <c r="BV439" s="343">
        <f>SUMIFS($AU$134:AU440,$AA$134:AA440,"*",$AC$134:AC440,"*")</f>
        <v>666.64999999999907</v>
      </c>
      <c r="BW439" s="343">
        <f>SUMIFS($AU$134:AU440,$AB$134:AB440,"*",$AC$134:AC440,"*")</f>
        <v>78.599999999999653</v>
      </c>
      <c r="BX439" s="343">
        <f>SUMIFS($AU440:AU$1388,$Q440:Q$1388,"F")</f>
        <v>17455.466666666667</v>
      </c>
      <c r="BY439" s="343">
        <f>SUMIFS($AU440:AU$1388,$Q440:Q$1388,"S")</f>
        <v>15872.592000000001</v>
      </c>
      <c r="BZ439" s="343">
        <f>SUMIFS($AU440:AU$1388,$Q440:Q$1388,"O")</f>
        <v>-1303.4979999997527</v>
      </c>
    </row>
    <row r="440" spans="1:78" ht="15.75" customHeight="1">
      <c r="A440" s="221" t="s">
        <v>1720</v>
      </c>
      <c r="B440" s="200"/>
      <c r="C440" s="201"/>
      <c r="D440" s="201"/>
      <c r="E440" s="247"/>
      <c r="F440" s="203"/>
      <c r="G440" s="204"/>
      <c r="H440" s="205"/>
      <c r="I440" s="205"/>
      <c r="J440" s="205"/>
      <c r="K440" s="206"/>
      <c r="L440" s="205"/>
      <c r="M440" s="205"/>
      <c r="N440" s="205"/>
      <c r="O440" s="206"/>
      <c r="P440" s="206"/>
      <c r="Q440" s="206"/>
      <c r="R440" s="206"/>
      <c r="S440" s="206"/>
      <c r="T440" s="206"/>
      <c r="U440" s="206"/>
      <c r="V440" s="206"/>
      <c r="W440" s="206"/>
      <c r="X440" s="206"/>
      <c r="Y440" s="184" t="str">
        <f t="shared" si="185"/>
        <v/>
      </c>
      <c r="Z440" s="184" t="str">
        <f t="shared" si="186"/>
        <v/>
      </c>
      <c r="AA440" s="208"/>
      <c r="AB440" s="208"/>
      <c r="AC440" s="208"/>
      <c r="AD440" s="650"/>
      <c r="AE440" s="205"/>
      <c r="AF440" s="333"/>
      <c r="AG440" s="205"/>
      <c r="AH440" s="205"/>
      <c r="AI440" s="205"/>
      <c r="AJ440" s="641"/>
      <c r="AK440" s="205"/>
      <c r="AL440" s="496"/>
      <c r="AM440" s="496"/>
      <c r="AN440" s="627"/>
      <c r="AO440" s="205"/>
      <c r="AP440" s="205"/>
      <c r="AQ440" s="333" t="str">
        <f>UPPER(RIGHT(Journal_Live[[#This Row],[DURATION ]]))</f>
        <v/>
      </c>
      <c r="AR440" s="205"/>
      <c r="AS440" s="211"/>
      <c r="AT440" s="189"/>
      <c r="AU440" s="187"/>
      <c r="AV440" s="190"/>
      <c r="AW440" s="213"/>
      <c r="AX440" s="413"/>
      <c r="AY440" s="413"/>
      <c r="AZ440" s="413"/>
      <c r="BA440" s="413"/>
      <c r="BB440" s="413"/>
      <c r="BC440" s="413"/>
      <c r="BD440" s="413"/>
      <c r="BE440" s="413"/>
      <c r="BF440" s="427"/>
      <c r="BG440" s="391">
        <f>SUM($AV$4:AV440)</f>
        <v>2800.1350000000125</v>
      </c>
      <c r="BH440" s="392">
        <f>SUM($AU$134:AU440)</f>
        <v>1638.0899999999547</v>
      </c>
      <c r="BI440" s="318">
        <f>SUMIFS($AU$134:AU441,$Q$134:Q441,"F")</f>
        <v>-3014.8</v>
      </c>
      <c r="BJ440" s="318">
        <f>SUMIFS($AU$134:AU441,$Q$134:Q441,"S")</f>
        <v>4799.0499999999975</v>
      </c>
      <c r="BK440" s="343">
        <f>SUMIFS($AU$134:AU441,$P$134:P441,"W")</f>
        <v>3849.1899999999341</v>
      </c>
      <c r="BL440" s="343">
        <f>SUMIFS($AU$134:AU441,$P$134:P441,"R")</f>
        <v>-2211.0999999999808</v>
      </c>
      <c r="BM440" s="343">
        <f>SUMIFS($AU$134:AU441,$AQ$134:AQ441,"M")</f>
        <v>765.79999999998859</v>
      </c>
      <c r="BN440" s="343">
        <f>SUMIFS($AU$134:AU441,$AQ$134:AQ441,"H")</f>
        <v>1783.7000000000153</v>
      </c>
      <c r="BO440" s="343">
        <f>SUMIFS($AU$134:AU441,$AQ$134:AQ441,"D")</f>
        <v>-279.15000000000055</v>
      </c>
      <c r="BP440" s="343">
        <f>SUMIFS($AU$134:AU443,$AQ$134:AQ443,"W")</f>
        <v>-1270.7</v>
      </c>
      <c r="BQ440" s="343">
        <f>SUMIFS($AU$134:AU441,$Q$134:Q441,"O")</f>
        <v>-345.36000000004572</v>
      </c>
      <c r="BR440" s="343">
        <f>SUMIFS($AU$134:AU441,$AA$134:AA441,"*")</f>
        <v>4311.1499999999824</v>
      </c>
      <c r="BS440" s="343">
        <f>SUMIFS($AU$134:AU441,$AB$134:AB441,"*")</f>
        <v>111.23999999997596</v>
      </c>
      <c r="BT440" s="343">
        <f>SUMIFS($AU$134:AU441,$AC$134:AC441,"*")</f>
        <v>-2282.4500000000012</v>
      </c>
      <c r="BU440" s="343">
        <f>SUMIFS($AU$134:AU441,$AA$134:AA441,"*",$AB$134:AB441,"*")</f>
        <v>-188.19999999999513</v>
      </c>
      <c r="BV440" s="343">
        <f>SUMIFS($AU$134:AU441,$AA$134:AA441,"*",$AC$134:AC441,"*")</f>
        <v>666.64999999999907</v>
      </c>
      <c r="BW440" s="343">
        <f>SUMIFS($AU$134:AU441,$AB$134:AB441,"*",$AC$134:AC441,"*")</f>
        <v>78.599999999999653</v>
      </c>
      <c r="BX440" s="343">
        <f>SUMIFS($AU441:AU$1388,$Q441:Q$1388,"F")</f>
        <v>17455.466666666667</v>
      </c>
      <c r="BY440" s="343">
        <f>SUMIFS($AU441:AU$1388,$Q441:Q$1388,"S")</f>
        <v>15872.592000000001</v>
      </c>
      <c r="BZ440" s="343">
        <f>SUMIFS($AU441:AU$1388,$Q441:Q$1388,"O")</f>
        <v>-1303.4979999997527</v>
      </c>
    </row>
    <row r="441" spans="1:78" ht="15.75" customHeight="1">
      <c r="A441" s="221"/>
      <c r="B441" s="200"/>
      <c r="C441" s="201"/>
      <c r="D441" s="201"/>
      <c r="E441" s="247"/>
      <c r="F441" s="203"/>
      <c r="G441" s="204"/>
      <c r="H441" s="205"/>
      <c r="I441" s="205"/>
      <c r="J441" s="205"/>
      <c r="K441" s="206"/>
      <c r="L441" s="205"/>
      <c r="M441" s="205"/>
      <c r="N441" s="205"/>
      <c r="O441" s="206"/>
      <c r="P441" s="206"/>
      <c r="Q441" s="206"/>
      <c r="R441" s="206"/>
      <c r="S441" s="206"/>
      <c r="T441" s="206"/>
      <c r="U441" s="206"/>
      <c r="V441" s="206"/>
      <c r="W441" s="206"/>
      <c r="X441" s="206"/>
      <c r="Y441" s="184" t="str">
        <f t="shared" si="185"/>
        <v/>
      </c>
      <c r="Z441" s="184" t="str">
        <f t="shared" si="186"/>
        <v/>
      </c>
      <c r="AA441" s="208"/>
      <c r="AB441" s="208"/>
      <c r="AC441" s="208"/>
      <c r="AD441" s="650"/>
      <c r="AE441" s="205"/>
      <c r="AF441" s="333"/>
      <c r="AG441" s="205"/>
      <c r="AH441" s="205"/>
      <c r="AI441" s="205"/>
      <c r="AJ441" s="641"/>
      <c r="AK441" s="205"/>
      <c r="AL441" s="496"/>
      <c r="AM441" s="496"/>
      <c r="AN441" s="627"/>
      <c r="AO441" s="205"/>
      <c r="AP441" s="205"/>
      <c r="AQ441" s="333" t="str">
        <f>UPPER(RIGHT(Journal_Live[[#This Row],[DURATION ]]))</f>
        <v/>
      </c>
      <c r="AR441" s="205"/>
      <c r="AS441" s="211"/>
      <c r="AT441" s="189"/>
      <c r="AU441" s="187"/>
      <c r="AV441" s="190"/>
      <c r="AW441" s="213"/>
      <c r="AX441" s="417" t="s">
        <v>2040</v>
      </c>
      <c r="AY441" s="417" t="s">
        <v>2041</v>
      </c>
      <c r="AZ441" s="417" t="s">
        <v>2042</v>
      </c>
      <c r="BA441" s="417" t="s">
        <v>2043</v>
      </c>
      <c r="BB441" s="417" t="s">
        <v>1549</v>
      </c>
      <c r="BC441" s="417" t="s">
        <v>1550</v>
      </c>
      <c r="BD441" s="417" t="s">
        <v>1551</v>
      </c>
      <c r="BE441" s="417" t="s">
        <v>1610</v>
      </c>
      <c r="BF441" s="417" t="s">
        <v>1611</v>
      </c>
      <c r="BG441" s="391">
        <f>SUM($AV$4:AV441)</f>
        <v>2800.1350000000125</v>
      </c>
      <c r="BH441" s="392">
        <f>SUM($AU$134:AU441)</f>
        <v>1638.0899999999547</v>
      </c>
      <c r="BI441" s="318">
        <f>SUMIFS($AU$134:AU442,$Q$134:Q442,"F")</f>
        <v>-3014.8</v>
      </c>
      <c r="BJ441" s="318">
        <f>SUMIFS($AU$134:AU442,$Q$134:Q442,"S")</f>
        <v>4799.0499999999975</v>
      </c>
      <c r="BK441" s="343">
        <f>SUMIFS($AU$134:AU442,$P$134:P442,"W")</f>
        <v>3849.1899999999341</v>
      </c>
      <c r="BL441" s="343">
        <f>SUMIFS($AU$134:AU442,$P$134:P442,"R")</f>
        <v>-2211.0999999999808</v>
      </c>
      <c r="BM441" s="343">
        <f>SUMIFS($AU$134:AU442,$AQ$134:AQ442,"M")</f>
        <v>765.79999999998859</v>
      </c>
      <c r="BN441" s="343">
        <f>SUMIFS($AU$134:AU442,$AQ$134:AQ442,"H")</f>
        <v>1783.7000000000153</v>
      </c>
      <c r="BO441" s="343">
        <f>SUMIFS($AU$134:AU442,$AQ$134:AQ442,"D")</f>
        <v>-279.15000000000055</v>
      </c>
      <c r="BP441" s="343">
        <f>SUMIFS($AU$134:AU444,$AQ$134:AQ444,"W")</f>
        <v>-1270.7</v>
      </c>
      <c r="BQ441" s="343">
        <f>SUMIFS($AU$134:AU442,$Q$134:Q442,"O")</f>
        <v>-345.36000000004572</v>
      </c>
      <c r="BR441" s="343">
        <f>SUMIFS($AU$134:AU442,$AA$134:AA442,"*")</f>
        <v>4311.1499999999824</v>
      </c>
      <c r="BS441" s="343">
        <f>SUMIFS($AU$134:AU442,$AB$134:AB442,"*")</f>
        <v>111.23999999997596</v>
      </c>
      <c r="BT441" s="343">
        <f>SUMIFS($AU$134:AU442,$AC$134:AC442,"*")</f>
        <v>-2282.4500000000012</v>
      </c>
      <c r="BU441" s="343">
        <f>SUMIFS($AU$134:AU442,$AA$134:AA442,"*",$AB$134:AB442,"*")</f>
        <v>-188.19999999999513</v>
      </c>
      <c r="BV441" s="343">
        <f>SUMIFS($AU$134:AU442,$AA$134:AA442,"*",$AC$134:AC442,"*")</f>
        <v>666.64999999999907</v>
      </c>
      <c r="BW441" s="343">
        <f>SUMIFS($AU$134:AU442,$AB$134:AB442,"*",$AC$134:AC442,"*")</f>
        <v>78.599999999999653</v>
      </c>
      <c r="BX441" s="343">
        <f>SUMIFS($AU442:AU$1388,$Q442:Q$1388,"F")</f>
        <v>17455.466666666667</v>
      </c>
      <c r="BY441" s="343">
        <f>SUMIFS($AU442:AU$1388,$Q442:Q$1388,"S")</f>
        <v>15872.592000000001</v>
      </c>
      <c r="BZ441" s="343">
        <f>SUMIFS($AU442:AU$1388,$Q442:Q$1388,"O")</f>
        <v>-1303.4979999997527</v>
      </c>
    </row>
    <row r="442" spans="1:78" ht="15.75" customHeight="1">
      <c r="A442" s="177"/>
      <c r="B442" s="200"/>
      <c r="C442" s="178"/>
      <c r="D442" s="178"/>
      <c r="E442" s="227"/>
      <c r="F442" s="180"/>
      <c r="G442" s="181"/>
      <c r="H442" s="182"/>
      <c r="I442" s="182"/>
      <c r="J442" s="182"/>
      <c r="K442" s="183"/>
      <c r="L442" s="182"/>
      <c r="M442" s="182"/>
      <c r="N442" s="182"/>
      <c r="O442" s="183"/>
      <c r="P442" s="183"/>
      <c r="Q442" s="183"/>
      <c r="R442" s="183"/>
      <c r="S442" s="183"/>
      <c r="T442" s="183"/>
      <c r="U442" s="183"/>
      <c r="V442" s="183"/>
      <c r="W442" s="183"/>
      <c r="X442" s="183"/>
      <c r="Y442" s="184" t="str">
        <f t="shared" si="185"/>
        <v/>
      </c>
      <c r="Z442" s="184" t="str">
        <f t="shared" si="186"/>
        <v/>
      </c>
      <c r="AA442" s="185"/>
      <c r="AB442" s="185"/>
      <c r="AC442" s="185"/>
      <c r="AD442" s="649"/>
      <c r="AE442" s="182"/>
      <c r="AF442" s="332"/>
      <c r="AG442" s="182"/>
      <c r="AH442" s="182"/>
      <c r="AI442" s="182"/>
      <c r="AJ442" s="640"/>
      <c r="AK442" s="182"/>
      <c r="AL442" s="496"/>
      <c r="AM442" s="496"/>
      <c r="AN442" s="626"/>
      <c r="AO442" s="182"/>
      <c r="AP442" s="182"/>
      <c r="AQ442" s="332" t="str">
        <f>UPPER(RIGHT(Journal_Live[[#This Row],[DURATION ]]))</f>
        <v/>
      </c>
      <c r="AR442" s="182"/>
      <c r="AS442" s="189"/>
      <c r="AT442" s="189"/>
      <c r="AU442" s="187"/>
      <c r="AV442" s="190"/>
      <c r="AW442" s="191"/>
      <c r="AX442" s="417" t="s">
        <v>2044</v>
      </c>
      <c r="AY442" s="417" t="s">
        <v>2045</v>
      </c>
      <c r="AZ442" s="417" t="s">
        <v>2046</v>
      </c>
      <c r="BA442" s="417" t="s">
        <v>2047</v>
      </c>
      <c r="BB442" s="417" t="s">
        <v>2048</v>
      </c>
      <c r="BC442" s="435" t="s">
        <v>2049</v>
      </c>
      <c r="BD442" s="417" t="s">
        <v>1902</v>
      </c>
      <c r="BE442" s="417" t="s">
        <v>1903</v>
      </c>
      <c r="BF442" s="417"/>
      <c r="BG442" s="391">
        <f>SUM($AV$4:AV442)</f>
        <v>2800.1350000000125</v>
      </c>
      <c r="BH442" s="392">
        <f>SUM($AU$134:AU442)</f>
        <v>1638.0899999999547</v>
      </c>
      <c r="BI442" s="318">
        <f>SUMIFS($AU$134:AU443,$Q$134:Q443,"F")</f>
        <v>-3014.8</v>
      </c>
      <c r="BJ442" s="318">
        <f>SUMIFS($AU$134:AU443,$Q$134:Q443,"S")</f>
        <v>4799.0499999999975</v>
      </c>
      <c r="BK442" s="343">
        <f>SUMIFS($AU$134:AU443,$P$134:P443,"W")</f>
        <v>3849.1899999999341</v>
      </c>
      <c r="BL442" s="343">
        <f>SUMIFS($AU$134:AU443,$P$134:P443,"R")</f>
        <v>-2211.0999999999808</v>
      </c>
      <c r="BM442" s="343">
        <f>SUMIFS($AU$134:AU443,$AQ$134:AQ443,"M")</f>
        <v>765.79999999998859</v>
      </c>
      <c r="BN442" s="343">
        <f>SUMIFS($AU$134:AU443,$AQ$134:AQ443,"H")</f>
        <v>1783.7000000000153</v>
      </c>
      <c r="BO442" s="343">
        <f>SUMIFS($AU$134:AU443,$AQ$134:AQ443,"D")</f>
        <v>-279.15000000000055</v>
      </c>
      <c r="BP442" s="343">
        <f>SUMIFS($AU$134:AU445,$AQ$134:AQ445,"W")</f>
        <v>-1270.7</v>
      </c>
      <c r="BQ442" s="343">
        <f>SUMIFS($AU$134:AU443,$Q$134:Q443,"O")</f>
        <v>-345.36000000004572</v>
      </c>
      <c r="BR442" s="343">
        <f>SUMIFS($AU$134:AU443,$AA$134:AA443,"*")</f>
        <v>4311.1499999999824</v>
      </c>
      <c r="BS442" s="343">
        <f>SUMIFS($AU$134:AU443,$AB$134:AB443,"*")</f>
        <v>111.23999999997596</v>
      </c>
      <c r="BT442" s="343">
        <f>SUMIFS($AU$134:AU443,$AC$134:AC443,"*")</f>
        <v>-2282.4500000000012</v>
      </c>
      <c r="BU442" s="343">
        <f>SUMIFS($AU$134:AU443,$AA$134:AA443,"*",$AB$134:AB443,"*")</f>
        <v>-188.19999999999513</v>
      </c>
      <c r="BV442" s="343">
        <f>SUMIFS($AU$134:AU443,$AA$134:AA443,"*",$AC$134:AC443,"*")</f>
        <v>666.64999999999907</v>
      </c>
      <c r="BW442" s="343">
        <f>SUMIFS($AU$134:AU443,$AB$134:AB443,"*",$AC$134:AC443,"*")</f>
        <v>78.599999999999653</v>
      </c>
      <c r="BX442" s="343">
        <f>SUMIFS($AU443:AU$1388,$Q443:Q$1388,"F")</f>
        <v>17455.466666666667</v>
      </c>
      <c r="BY442" s="343">
        <f>SUMIFS($AU443:AU$1388,$Q443:Q$1388,"S")</f>
        <v>15872.592000000001</v>
      </c>
      <c r="BZ442" s="343">
        <f>SUMIFS($AU443:AU$1388,$Q443:Q$1388,"O")</f>
        <v>-1303.4979999997527</v>
      </c>
    </row>
    <row r="443" spans="1:78" ht="15.75" customHeight="1">
      <c r="A443" s="177"/>
      <c r="B443" s="200"/>
      <c r="C443" s="178"/>
      <c r="D443" s="178"/>
      <c r="E443" s="227"/>
      <c r="F443" s="180"/>
      <c r="G443" s="181"/>
      <c r="H443" s="182"/>
      <c r="I443" s="182"/>
      <c r="J443" s="182"/>
      <c r="K443" s="183"/>
      <c r="L443" s="182"/>
      <c r="M443" s="182"/>
      <c r="N443" s="182"/>
      <c r="O443" s="183"/>
      <c r="P443" s="183"/>
      <c r="Q443" s="183"/>
      <c r="R443" s="183"/>
      <c r="S443" s="183"/>
      <c r="T443" s="183"/>
      <c r="U443" s="183"/>
      <c r="V443" s="183"/>
      <c r="W443" s="183"/>
      <c r="X443" s="183"/>
      <c r="Y443" s="184" t="str">
        <f t="shared" si="185"/>
        <v/>
      </c>
      <c r="Z443" s="184" t="str">
        <f t="shared" si="186"/>
        <v/>
      </c>
      <c r="AA443" s="185"/>
      <c r="AB443" s="185"/>
      <c r="AC443" s="185"/>
      <c r="AD443" s="649"/>
      <c r="AE443" s="182"/>
      <c r="AF443" s="332"/>
      <c r="AG443" s="182"/>
      <c r="AH443" s="182"/>
      <c r="AI443" s="182"/>
      <c r="AJ443" s="640"/>
      <c r="AK443" s="182"/>
      <c r="AL443" s="496"/>
      <c r="AM443" s="496"/>
      <c r="AN443" s="626"/>
      <c r="AO443" s="182"/>
      <c r="AP443" s="182"/>
      <c r="AQ443" s="332" t="str">
        <f>UPPER(RIGHT(Journal_Live[[#This Row],[DURATION ]]))</f>
        <v/>
      </c>
      <c r="AR443" s="182"/>
      <c r="AS443" s="189"/>
      <c r="AT443" s="189"/>
      <c r="AU443" s="187"/>
      <c r="AV443" s="190"/>
      <c r="AW443" s="191"/>
      <c r="AX443" s="417" t="s">
        <v>1905</v>
      </c>
      <c r="AY443" s="417" t="s">
        <v>2050</v>
      </c>
      <c r="AZ443" s="417" t="s">
        <v>2051</v>
      </c>
      <c r="BA443" s="417" t="s">
        <v>2052</v>
      </c>
      <c r="BB443" s="417" t="s">
        <v>529</v>
      </c>
      <c r="BC443" s="435"/>
      <c r="BD443" s="417"/>
      <c r="BE443" s="417"/>
      <c r="BF443" s="417"/>
      <c r="BG443" s="391">
        <f>SUM($AV$4:AV443)</f>
        <v>2800.1350000000125</v>
      </c>
      <c r="BH443" s="392">
        <f>SUM($AU$134:AU443)</f>
        <v>1638.0899999999547</v>
      </c>
      <c r="BI443" s="318">
        <f>SUMIFS($AU$134:AU444,$Q$134:Q444,"F")</f>
        <v>-3014.8</v>
      </c>
      <c r="BJ443" s="318">
        <f>SUMIFS($AU$134:AU444,$Q$134:Q444,"S")</f>
        <v>4799.0499999999975</v>
      </c>
      <c r="BK443" s="343">
        <f>SUMIFS($AU$134:AU444,$P$134:P444,"W")</f>
        <v>3849.1899999999341</v>
      </c>
      <c r="BL443" s="343">
        <f>SUMIFS($AU$134:AU444,$P$134:P444,"R")</f>
        <v>-2211.0999999999808</v>
      </c>
      <c r="BM443" s="343">
        <f>SUMIFS($AU$134:AU444,$AQ$134:AQ444,"M")</f>
        <v>765.79999999998859</v>
      </c>
      <c r="BN443" s="343">
        <f>SUMIFS($AU$134:AU444,$AQ$134:AQ444,"H")</f>
        <v>1783.7000000000153</v>
      </c>
      <c r="BO443" s="343">
        <f>SUMIFS($AU$134:AU444,$AQ$134:AQ444,"D")</f>
        <v>-279.15000000000055</v>
      </c>
      <c r="BP443" s="343">
        <f>SUMIFS($AU$134:AU446,$AQ$134:AQ446,"W")</f>
        <v>-1270.7</v>
      </c>
      <c r="BQ443" s="343">
        <f>SUMIFS($AU$134:AU444,$Q$134:Q444,"O")</f>
        <v>-345.36000000004572</v>
      </c>
      <c r="BR443" s="343">
        <f>SUMIFS($AU$134:AU444,$AA$134:AA444,"*")</f>
        <v>4311.1499999999824</v>
      </c>
      <c r="BS443" s="343">
        <f>SUMIFS($AU$134:AU444,$AB$134:AB444,"*")</f>
        <v>111.23999999997596</v>
      </c>
      <c r="BT443" s="343">
        <f>SUMIFS($AU$134:AU444,$AC$134:AC444,"*")</f>
        <v>-2282.4500000000012</v>
      </c>
      <c r="BU443" s="343">
        <f>SUMIFS($AU$134:AU444,$AA$134:AA444,"*",$AB$134:AB444,"*")</f>
        <v>-188.19999999999513</v>
      </c>
      <c r="BV443" s="343">
        <f>SUMIFS($AU$134:AU444,$AA$134:AA444,"*",$AC$134:AC444,"*")</f>
        <v>666.64999999999907</v>
      </c>
      <c r="BW443" s="343">
        <f>SUMIFS($AU$134:AU444,$AB$134:AB444,"*",$AC$134:AC444,"*")</f>
        <v>78.599999999999653</v>
      </c>
      <c r="BX443" s="343">
        <f>SUMIFS($AU444:AU$1388,$Q444:Q$1388,"F")</f>
        <v>17455.466666666667</v>
      </c>
      <c r="BY443" s="343">
        <f>SUMIFS($AU444:AU$1388,$Q444:Q$1388,"S")</f>
        <v>15872.592000000001</v>
      </c>
      <c r="BZ443" s="343">
        <f>SUMIFS($AU444:AU$1388,$Q444:Q$1388,"O")</f>
        <v>-1303.4979999997527</v>
      </c>
    </row>
    <row r="444" spans="1:78" ht="15.75" customHeight="1">
      <c r="A444" s="273" t="s">
        <v>2053</v>
      </c>
      <c r="B444" s="273"/>
      <c r="C444" s="214"/>
      <c r="D444" s="214"/>
      <c r="E444" s="215"/>
      <c r="F444" s="216"/>
      <c r="G444" s="214"/>
      <c r="H444" s="214"/>
      <c r="I444" s="214"/>
      <c r="J444" s="214"/>
      <c r="K444" s="217"/>
      <c r="L444" s="214"/>
      <c r="M444" s="214"/>
      <c r="N444" s="214"/>
      <c r="O444" s="217"/>
      <c r="P444" s="217"/>
      <c r="Q444" s="217"/>
      <c r="R444" s="217"/>
      <c r="S444" s="217"/>
      <c r="T444" s="217"/>
      <c r="U444" s="217"/>
      <c r="V444" s="217"/>
      <c r="W444" s="217"/>
      <c r="X444" s="217"/>
      <c r="Y444" s="218"/>
      <c r="Z444" s="218"/>
      <c r="AA444" s="218"/>
      <c r="AB444" s="218"/>
      <c r="AC444" s="218"/>
      <c r="AD444" s="651"/>
      <c r="AE444" s="214"/>
      <c r="AF444" s="347"/>
      <c r="AG444" s="343"/>
      <c r="AH444" s="214"/>
      <c r="AI444" s="214"/>
      <c r="AJ444" s="642"/>
      <c r="AK444" s="214"/>
      <c r="AL444" s="502"/>
      <c r="AM444" s="502"/>
      <c r="AN444" s="628"/>
      <c r="AO444" s="214"/>
      <c r="AP444" s="214"/>
      <c r="AQ444" s="334" t="str">
        <f>UPPER(RIGHT(Journal_Live[[#This Row],[DURATION ]]))</f>
        <v/>
      </c>
      <c r="AR444" s="214"/>
      <c r="AS444" s="219"/>
      <c r="AT444" s="219"/>
      <c r="AU444" s="219"/>
      <c r="AV444" s="219"/>
      <c r="AW444" s="220"/>
      <c r="AX444" s="414"/>
      <c r="AY444" s="414"/>
      <c r="AZ444" s="414"/>
      <c r="BA444" s="414"/>
      <c r="BB444" s="414"/>
      <c r="BC444" s="414"/>
      <c r="BD444" s="414"/>
      <c r="BE444" s="414"/>
      <c r="BF444" s="414"/>
      <c r="BG444" s="391">
        <f>SUM($AV$4:AV444)</f>
        <v>2800.1350000000125</v>
      </c>
      <c r="BH444" s="392">
        <f>SUM($AU$134:AU444)</f>
        <v>1638.0899999999547</v>
      </c>
      <c r="BI444" s="318">
        <f>SUMIFS($AU$134:AU445,$Q$134:Q445,"F")</f>
        <v>-3014.8</v>
      </c>
      <c r="BJ444" s="318">
        <f>SUMIFS($AU$134:AU445,$Q$134:Q445,"S")</f>
        <v>4799.0499999999975</v>
      </c>
      <c r="BK444" s="343">
        <f>SUMIFS($AU$134:AU445,$P$134:P445,"W")</f>
        <v>3849.1899999999341</v>
      </c>
      <c r="BL444" s="343">
        <f>SUMIFS($AU$134:AU445,$P$134:P445,"R")</f>
        <v>-2211.0999999999808</v>
      </c>
      <c r="BM444" s="343">
        <f>SUMIFS($AU$134:AU445,$AQ$134:AQ445,"M")</f>
        <v>765.79999999998859</v>
      </c>
      <c r="BN444" s="343">
        <f>SUMIFS($AU$134:AU445,$AQ$134:AQ445,"H")</f>
        <v>1783.7000000000153</v>
      </c>
      <c r="BO444" s="343">
        <f>SUMIFS($AU$134:AU445,$AQ$134:AQ445,"D")</f>
        <v>-279.15000000000055</v>
      </c>
      <c r="BP444" s="343">
        <f>SUMIFS($AU$134:AU447,$AQ$134:AQ447,"W")</f>
        <v>-1270.7</v>
      </c>
      <c r="BQ444" s="343">
        <f>SUMIFS($AU$134:AU445,$Q$134:Q445,"O")</f>
        <v>-345.36000000004572</v>
      </c>
      <c r="BR444" s="343">
        <f>SUMIFS($AU$134:AU445,$AA$134:AA445,"*")</f>
        <v>4311.1499999999824</v>
      </c>
      <c r="BS444" s="343">
        <f>SUMIFS($AU$134:AU445,$AB$134:AB445,"*")</f>
        <v>111.23999999997596</v>
      </c>
      <c r="BT444" s="343">
        <f>SUMIFS($AU$134:AU445,$AC$134:AC445,"*")</f>
        <v>-2282.4500000000012</v>
      </c>
      <c r="BU444" s="343">
        <f>SUMIFS($AU$134:AU445,$AA$134:AA445,"*",$AB$134:AB445,"*")</f>
        <v>-188.19999999999513</v>
      </c>
      <c r="BV444" s="343">
        <f>SUMIFS($AU$134:AU445,$AA$134:AA445,"*",$AC$134:AC445,"*")</f>
        <v>666.64999999999907</v>
      </c>
      <c r="BW444" s="343">
        <f>SUMIFS($AU$134:AU445,$AB$134:AB445,"*",$AC$134:AC445,"*")</f>
        <v>78.599999999999653</v>
      </c>
      <c r="BX444" s="343">
        <f>SUMIFS($AU445:AU$1388,$Q445:Q$1388,"F")</f>
        <v>17455.466666666667</v>
      </c>
      <c r="BY444" s="343">
        <f>SUMIFS($AU445:AU$1388,$Q445:Q$1388,"S")</f>
        <v>15872.592000000001</v>
      </c>
      <c r="BZ444" s="343">
        <f>SUMIFS($AU445:AU$1388,$Q445:Q$1388,"O")</f>
        <v>-1303.4979999997527</v>
      </c>
    </row>
    <row r="445" spans="1:78" ht="15.75" customHeight="1">
      <c r="A445" s="221" t="s">
        <v>2054</v>
      </c>
      <c r="B445" s="200">
        <v>45019</v>
      </c>
      <c r="C445" s="178" t="s">
        <v>2020</v>
      </c>
      <c r="D445" s="178" t="s">
        <v>132</v>
      </c>
      <c r="E445" s="247" t="s">
        <v>2055</v>
      </c>
      <c r="F445" s="180"/>
      <c r="G445" s="181"/>
      <c r="H445" s="182"/>
      <c r="I445" s="182"/>
      <c r="J445" s="182"/>
      <c r="K445" s="183"/>
      <c r="L445" s="182"/>
      <c r="M445" s="182"/>
      <c r="N445" s="182"/>
      <c r="O445" s="183"/>
      <c r="P445" s="183"/>
      <c r="Q445" s="183"/>
      <c r="R445" s="183"/>
      <c r="S445" s="183"/>
      <c r="T445" s="183"/>
      <c r="U445" s="183"/>
      <c r="V445" s="183"/>
      <c r="W445" s="183"/>
      <c r="X445" s="183"/>
      <c r="Y445" s="184" t="str">
        <f t="shared" ref="Y445:Y464" si="187">IF(ISBLANK(O445),"",(IF(O445=UPPER("IB"),0.005,0.01)))</f>
        <v/>
      </c>
      <c r="Z445" s="184" t="str">
        <f>IF(ISBLANK(O445),"",IF(O445="IB",8.63*200,IF(O445="IR",16*100,IF(O445="YT",20))))</f>
        <v/>
      </c>
      <c r="AA445" s="185"/>
      <c r="AB445" s="185"/>
      <c r="AC445" s="185"/>
      <c r="AD445" s="649"/>
      <c r="AE445" s="182"/>
      <c r="AF445" s="332"/>
      <c r="AG445" s="182"/>
      <c r="AH445" s="182"/>
      <c r="AI445" s="182"/>
      <c r="AJ445" s="640"/>
      <c r="AK445" s="182"/>
      <c r="AL445" s="496"/>
      <c r="AM445" s="496"/>
      <c r="AN445" s="626"/>
      <c r="AO445" s="182"/>
      <c r="AP445" s="182"/>
      <c r="AQ445" s="332" t="str">
        <f>UPPER(RIGHT(Journal_Live[[#This Row],[DURATION ]]))</f>
        <v/>
      </c>
      <c r="AR445" s="182"/>
      <c r="AS445" s="189"/>
      <c r="AT445" s="189"/>
      <c r="AU445" s="187"/>
      <c r="AV445" s="190"/>
      <c r="AW445" s="191"/>
      <c r="AX445" s="407" t="s">
        <v>2056</v>
      </c>
      <c r="AY445" s="407" t="s">
        <v>2057</v>
      </c>
      <c r="AZ445" s="407" t="s">
        <v>2058</v>
      </c>
      <c r="BA445" s="407" t="s">
        <v>2059</v>
      </c>
      <c r="BB445" s="407" t="s">
        <v>529</v>
      </c>
      <c r="BC445" s="407"/>
      <c r="BD445" s="407"/>
      <c r="BE445" s="407"/>
      <c r="BF445" s="422"/>
      <c r="BG445" s="391">
        <f>SUM($AV$4:AV445)</f>
        <v>2800.1350000000125</v>
      </c>
      <c r="BH445" s="392">
        <f>SUM($AU$134:AU445)</f>
        <v>1638.0899999999547</v>
      </c>
      <c r="BI445" s="318">
        <f>SUMIFS($AU$134:AU446,$Q$134:Q446,"F")</f>
        <v>-3014.8</v>
      </c>
      <c r="BJ445" s="318">
        <f>SUMIFS($AU$134:AU446,$Q$134:Q446,"S")</f>
        <v>4799.0499999999975</v>
      </c>
      <c r="BK445" s="343">
        <f>SUMIFS($AU$134:AU446,$P$134:P446,"W")</f>
        <v>3849.1899999999341</v>
      </c>
      <c r="BL445" s="343">
        <f>SUMIFS($AU$134:AU446,$P$134:P446,"R")</f>
        <v>-2211.0999999999808</v>
      </c>
      <c r="BM445" s="343">
        <f>SUMIFS($AU$134:AU446,$AQ$134:AQ446,"M")</f>
        <v>765.79999999998859</v>
      </c>
      <c r="BN445" s="343">
        <f>SUMIFS($AU$134:AU446,$AQ$134:AQ446,"H")</f>
        <v>1783.7000000000153</v>
      </c>
      <c r="BO445" s="343">
        <f>SUMIFS($AU$134:AU446,$AQ$134:AQ446,"D")</f>
        <v>-279.15000000000055</v>
      </c>
      <c r="BP445" s="343">
        <f>SUMIFS($AU$134:AU448,$AQ$134:AQ448,"W")</f>
        <v>-1270.7</v>
      </c>
      <c r="BQ445" s="343">
        <f>SUMIFS($AU$134:AU446,$Q$134:Q446,"O")</f>
        <v>-345.36000000004572</v>
      </c>
      <c r="BR445" s="343">
        <f>SUMIFS($AU$134:AU446,$AA$134:AA446,"*")</f>
        <v>4311.1499999999824</v>
      </c>
      <c r="BS445" s="343">
        <f>SUMIFS($AU$134:AU446,$AB$134:AB446,"*")</f>
        <v>111.23999999997596</v>
      </c>
      <c r="BT445" s="343">
        <f>SUMIFS($AU$134:AU446,$AC$134:AC446,"*")</f>
        <v>-2282.4500000000012</v>
      </c>
      <c r="BU445" s="343">
        <f>SUMIFS($AU$134:AU446,$AA$134:AA446,"*",$AB$134:AB446,"*")</f>
        <v>-188.19999999999513</v>
      </c>
      <c r="BV445" s="343">
        <f>SUMIFS($AU$134:AU446,$AA$134:AA446,"*",$AC$134:AC446,"*")</f>
        <v>666.64999999999907</v>
      </c>
      <c r="BW445" s="343">
        <f>SUMIFS($AU$134:AU446,$AB$134:AB446,"*",$AC$134:AC446,"*")</f>
        <v>78.599999999999653</v>
      </c>
      <c r="BX445" s="343">
        <f>SUMIFS($AU446:AU$1388,$Q446:Q$1388,"F")</f>
        <v>17455.466666666667</v>
      </c>
      <c r="BY445" s="343">
        <f>SUMIFS($AU446:AU$1388,$Q446:Q$1388,"S")</f>
        <v>15872.592000000001</v>
      </c>
      <c r="BZ445" s="343">
        <f>SUMIFS($AU446:AU$1388,$Q446:Q$1388,"O")</f>
        <v>-1303.4979999997527</v>
      </c>
    </row>
    <row r="446" spans="1:78" ht="15.75" customHeight="1">
      <c r="A446" s="221" t="s">
        <v>2054</v>
      </c>
      <c r="B446" s="200">
        <v>45019</v>
      </c>
      <c r="C446" s="178" t="s">
        <v>2060</v>
      </c>
      <c r="D446" s="178" t="s">
        <v>132</v>
      </c>
      <c r="E446" s="247" t="s">
        <v>2061</v>
      </c>
      <c r="F446" s="180" t="s">
        <v>2062</v>
      </c>
      <c r="G446" s="181"/>
      <c r="H446" s="182"/>
      <c r="I446" s="182"/>
      <c r="J446" s="182">
        <v>1</v>
      </c>
      <c r="K446" s="183"/>
      <c r="L446" s="182"/>
      <c r="M446" s="182"/>
      <c r="N446" s="182"/>
      <c r="O446" s="183"/>
      <c r="P446" s="183"/>
      <c r="Q446" s="183"/>
      <c r="R446" s="183"/>
      <c r="S446" s="183"/>
      <c r="T446" s="183"/>
      <c r="U446" s="183"/>
      <c r="V446" s="183"/>
      <c r="W446" s="183"/>
      <c r="X446" s="183"/>
      <c r="Y446" s="184" t="str">
        <f t="shared" si="187"/>
        <v/>
      </c>
      <c r="Z446" s="184" t="str">
        <f>IF(ISBLANK(O446),"",IF(O446="IB",8.63*200,IF(O446="IR",16*100,IF(O446="YT",20))))</f>
        <v/>
      </c>
      <c r="AA446" s="185"/>
      <c r="AB446" s="185"/>
      <c r="AC446" s="185"/>
      <c r="AD446" s="649"/>
      <c r="AE446" s="182"/>
      <c r="AF446" s="332"/>
      <c r="AG446" s="182"/>
      <c r="AH446" s="182"/>
      <c r="AI446" s="182"/>
      <c r="AJ446" s="640"/>
      <c r="AK446" s="182"/>
      <c r="AL446" s="496"/>
      <c r="AM446" s="496"/>
      <c r="AN446" s="626"/>
      <c r="AO446" s="182"/>
      <c r="AP446" s="182"/>
      <c r="AQ446" s="332" t="str">
        <f>UPPER(RIGHT(Journal_Live[[#This Row],[DURATION ]]))</f>
        <v/>
      </c>
      <c r="AR446" s="182"/>
      <c r="AS446" s="189"/>
      <c r="AT446" s="189"/>
      <c r="AU446" s="187"/>
      <c r="AV446" s="190"/>
      <c r="AW446" s="191"/>
      <c r="AX446" s="407"/>
      <c r="AY446" s="407"/>
      <c r="AZ446" s="407"/>
      <c r="BA446" s="407"/>
      <c r="BB446" s="407"/>
      <c r="BC446" s="407"/>
      <c r="BD446" s="407"/>
      <c r="BE446" s="407"/>
      <c r="BF446" s="422"/>
      <c r="BG446" s="391">
        <f>SUM($AV$4:AV446)</f>
        <v>2800.1350000000125</v>
      </c>
      <c r="BH446" s="392">
        <f>SUM($AU$134:AU446)</f>
        <v>1638.0899999999547</v>
      </c>
      <c r="BI446" s="318">
        <f>SUMIFS($AU$134:AU447,$Q$134:Q447,"F")</f>
        <v>-3014.8</v>
      </c>
      <c r="BJ446" s="318">
        <f>SUMIFS($AU$134:AU447,$Q$134:Q447,"S")</f>
        <v>4766.6499999999978</v>
      </c>
      <c r="BK446" s="343">
        <f>SUMIFS($AU$134:AU447,$P$134:P447,"W")</f>
        <v>3849.1899999999341</v>
      </c>
      <c r="BL446" s="343">
        <f>SUMIFS($AU$134:AU447,$P$134:P447,"R")</f>
        <v>-2243.4999999999809</v>
      </c>
      <c r="BM446" s="343">
        <f>SUMIFS($AU$134:AU447,$AQ$134:AQ447,"M")</f>
        <v>765.79999999998859</v>
      </c>
      <c r="BN446" s="343">
        <f>SUMIFS($AU$134:AU447,$AQ$134:AQ447,"H")</f>
        <v>1783.7000000000153</v>
      </c>
      <c r="BO446" s="343">
        <f>SUMIFS($AU$134:AU447,$AQ$134:AQ447,"D")</f>
        <v>-311.55000000000058</v>
      </c>
      <c r="BP446" s="343">
        <f>SUMIFS($AU$134:AU449,$AQ$134:AQ449,"W")</f>
        <v>-1270.7</v>
      </c>
      <c r="BQ446" s="343">
        <f>SUMIFS($AU$134:AU447,$Q$134:Q447,"O")</f>
        <v>-345.36000000004572</v>
      </c>
      <c r="BR446" s="343">
        <f>SUMIFS($AU$134:AU447,$AA$134:AA447,"*")</f>
        <v>4278.7499999999827</v>
      </c>
      <c r="BS446" s="343">
        <f>SUMIFS($AU$134:AU447,$AB$134:AB447,"*")</f>
        <v>78.83999999997593</v>
      </c>
      <c r="BT446" s="343">
        <f>SUMIFS($AU$134:AU447,$AC$134:AC447,"*")</f>
        <v>-2282.4500000000012</v>
      </c>
      <c r="BU446" s="343">
        <f>SUMIFS($AU$134:AU447,$AA$134:AA447,"*",$AB$134:AB447,"*")</f>
        <v>-220.59999999999516</v>
      </c>
      <c r="BV446" s="343">
        <f>SUMIFS($AU$134:AU447,$AA$134:AA447,"*",$AC$134:AC447,"*")</f>
        <v>666.64999999999907</v>
      </c>
      <c r="BW446" s="343">
        <f>SUMIFS($AU$134:AU447,$AB$134:AB447,"*",$AC$134:AC447,"*")</f>
        <v>78.599999999999653</v>
      </c>
      <c r="BX446" s="343">
        <f>SUMIFS($AU447:AU$1388,$Q447:Q$1388,"F")</f>
        <v>17455.466666666667</v>
      </c>
      <c r="BY446" s="343">
        <f>SUMIFS($AU447:AU$1388,$Q447:Q$1388,"S")</f>
        <v>15872.592000000001</v>
      </c>
      <c r="BZ446" s="343">
        <f>SUMIFS($AU447:AU$1388,$Q447:Q$1388,"O")</f>
        <v>-1303.4979999997527</v>
      </c>
    </row>
    <row r="447" spans="1:78" ht="15.75" customHeight="1">
      <c r="A447" s="221" t="s">
        <v>2054</v>
      </c>
      <c r="B447" s="200">
        <v>45019</v>
      </c>
      <c r="C447" s="178" t="s">
        <v>2063</v>
      </c>
      <c r="D447" s="178" t="s">
        <v>132</v>
      </c>
      <c r="E447" s="247"/>
      <c r="F447" s="180"/>
      <c r="G447" s="288" t="s">
        <v>2064</v>
      </c>
      <c r="H447" s="182"/>
      <c r="I447" s="182"/>
      <c r="J447" s="182"/>
      <c r="K447" s="183"/>
      <c r="L447" s="182">
        <v>1</v>
      </c>
      <c r="M447" s="182"/>
      <c r="N447" s="182"/>
      <c r="O447" s="183" t="s">
        <v>95</v>
      </c>
      <c r="P447" s="183" t="s">
        <v>137</v>
      </c>
      <c r="Q447" s="183" t="s">
        <v>97</v>
      </c>
      <c r="R447" s="183">
        <v>5</v>
      </c>
      <c r="S447" s="183">
        <v>5</v>
      </c>
      <c r="T447" s="183">
        <v>5</v>
      </c>
      <c r="U447" s="183" t="s">
        <v>22</v>
      </c>
      <c r="V447" s="183"/>
      <c r="W447" s="183"/>
      <c r="X447" s="183"/>
      <c r="Y447" s="184">
        <f t="shared" si="187"/>
        <v>0.01</v>
      </c>
      <c r="Z447" s="184">
        <f t="shared" ref="Z447:Z464" si="188">IF(ISBLANK(O447),"",IF(O447="IB",8.63*200,IF(O447="IR",16.2*100,IF(O447="YT",20))))</f>
        <v>1620</v>
      </c>
      <c r="AA447" s="185" t="s">
        <v>998</v>
      </c>
      <c r="AB447" s="185" t="s">
        <v>2065</v>
      </c>
      <c r="AC447" s="185"/>
      <c r="AD447" s="649">
        <v>-0.06</v>
      </c>
      <c r="AE447" s="182"/>
      <c r="AF447" s="332">
        <v>-8</v>
      </c>
      <c r="AG447" s="182"/>
      <c r="AH447" s="182"/>
      <c r="AI447" s="182"/>
      <c r="AJ447" s="640"/>
      <c r="AK447" s="182"/>
      <c r="AL447" s="496">
        <f t="shared" ref="AL447" si="189">-0.02*Z447</f>
        <v>-32.4</v>
      </c>
      <c r="AM447" s="496">
        <f>AL447*R447</f>
        <v>-162</v>
      </c>
      <c r="AN447" s="626"/>
      <c r="AO447" s="182"/>
      <c r="AP447" s="182" t="s">
        <v>804</v>
      </c>
      <c r="AQ447" s="332" t="str">
        <f>UPPER(RIGHT(Journal_Live[[#This Row],[DURATION ]]))</f>
        <v>D</v>
      </c>
      <c r="AR447" s="182" t="s">
        <v>682</v>
      </c>
      <c r="AS447" s="189">
        <f>((-0.07*2)+(-0.06*3))/5</f>
        <v>-6.4000000000000001E-2</v>
      </c>
      <c r="AT447" s="189">
        <f t="shared" ref="AT447:AT452" si="190">IF(ISBLANK(AS447),,IF(U447="S",AD447-AS447,AS447-AD447))</f>
        <v>-4.0000000000000036E-3</v>
      </c>
      <c r="AU447" s="187">
        <f t="shared" ref="AU447:AU452" si="191">AV447*R447</f>
        <v>-32.400000000000027</v>
      </c>
      <c r="AV447" s="190">
        <f t="shared" ref="AV447:AV452" si="192">IF(ISBLANK(AS447),,(AT447*Z447))</f>
        <v>-6.4800000000000058</v>
      </c>
      <c r="AW447" s="191" t="s">
        <v>229</v>
      </c>
      <c r="AX447" s="407" t="s">
        <v>2066</v>
      </c>
      <c r="AY447" s="407" t="s">
        <v>2067</v>
      </c>
      <c r="AZ447" s="407" t="s">
        <v>2068</v>
      </c>
      <c r="BA447" s="407"/>
      <c r="BB447" s="407"/>
      <c r="BC447" s="407"/>
      <c r="BD447" s="407"/>
      <c r="BE447" s="407"/>
      <c r="BF447" s="422"/>
      <c r="BG447" s="391">
        <f>SUM($AV$4:AV447)</f>
        <v>2793.6550000000125</v>
      </c>
      <c r="BH447" s="392">
        <f>SUM($AU$134:AU447)</f>
        <v>1605.6899999999546</v>
      </c>
      <c r="BI447" s="318">
        <f>SUMIFS($AU$134:AU448,$Q$134:Q448,"F")</f>
        <v>-3014.8</v>
      </c>
      <c r="BJ447" s="318">
        <f>SUMIFS($AU$134:AU448,$Q$134:Q448,"S")</f>
        <v>4637.0499999999975</v>
      </c>
      <c r="BK447" s="343">
        <f>SUMIFS($AU$134:AU448,$P$134:P448,"W")</f>
        <v>3849.1899999999341</v>
      </c>
      <c r="BL447" s="343">
        <f>SUMIFS($AU$134:AU448,$P$134:P448,"R")</f>
        <v>-2373.0999999999808</v>
      </c>
      <c r="BM447" s="343">
        <f>SUMIFS($AU$134:AU448,$AQ$134:AQ448,"M")</f>
        <v>765.79999999998859</v>
      </c>
      <c r="BN447" s="343">
        <f>SUMIFS($AU$134:AU448,$AQ$134:AQ448,"H")</f>
        <v>1783.7000000000153</v>
      </c>
      <c r="BO447" s="343">
        <f>SUMIFS($AU$134:AU448,$AQ$134:AQ448,"D")</f>
        <v>-441.1500000000006</v>
      </c>
      <c r="BP447" s="343">
        <f>SUMIFS($AU$134:AU450,$AQ$134:AQ450,"W")</f>
        <v>-1270.7</v>
      </c>
      <c r="BQ447" s="343">
        <f>SUMIFS($AU$134:AU448,$Q$134:Q448,"O")</f>
        <v>-345.36000000004572</v>
      </c>
      <c r="BR447" s="343">
        <f>SUMIFS($AU$134:AU448,$AA$134:AA448,"*")</f>
        <v>4149.1499999999824</v>
      </c>
      <c r="BS447" s="343">
        <f>SUMIFS($AU$134:AU448,$AB$134:AB448,"*")</f>
        <v>-50.760000000024093</v>
      </c>
      <c r="BT447" s="343">
        <f>SUMIFS($AU$134:AU448,$AC$134:AC448,"*")</f>
        <v>-2282.4500000000012</v>
      </c>
      <c r="BU447" s="343">
        <f>SUMIFS($AU$134:AU448,$AA$134:AA448,"*",$AB$134:AB448,"*")</f>
        <v>-350.19999999999516</v>
      </c>
      <c r="BV447" s="343">
        <f>SUMIFS($AU$134:AU448,$AA$134:AA448,"*",$AC$134:AC448,"*")</f>
        <v>666.64999999999907</v>
      </c>
      <c r="BW447" s="343">
        <f>SUMIFS($AU$134:AU448,$AB$134:AB448,"*",$AC$134:AC448,"*")</f>
        <v>78.599999999999653</v>
      </c>
      <c r="BX447" s="343">
        <f>SUMIFS($AU448:AU$1388,$Q448:Q$1388,"F")</f>
        <v>17455.466666666667</v>
      </c>
      <c r="BY447" s="343">
        <f>SUMIFS($AU448:AU$1388,$Q448:Q$1388,"S")</f>
        <v>15904.992000000002</v>
      </c>
      <c r="BZ447" s="343">
        <f>SUMIFS($AU448:AU$1388,$Q448:Q$1388,"O")</f>
        <v>-1303.4979999997527</v>
      </c>
    </row>
    <row r="448" spans="1:78" ht="15.75" customHeight="1">
      <c r="A448" s="221" t="s">
        <v>2054</v>
      </c>
      <c r="B448" s="200">
        <v>45019</v>
      </c>
      <c r="C448" s="178" t="s">
        <v>2069</v>
      </c>
      <c r="D448" s="178" t="s">
        <v>132</v>
      </c>
      <c r="E448" s="227"/>
      <c r="F448" s="180"/>
      <c r="G448" s="288" t="s">
        <v>2070</v>
      </c>
      <c r="H448" s="182"/>
      <c r="I448" s="182"/>
      <c r="J448" s="182"/>
      <c r="K448" s="183"/>
      <c r="L448" s="182">
        <v>1</v>
      </c>
      <c r="M448" s="182"/>
      <c r="N448" s="182"/>
      <c r="O448" s="183" t="s">
        <v>95</v>
      </c>
      <c r="P448" s="183" t="s">
        <v>137</v>
      </c>
      <c r="Q448" s="183" t="s">
        <v>97</v>
      </c>
      <c r="R448" s="183">
        <v>10</v>
      </c>
      <c r="S448" s="183">
        <v>4</v>
      </c>
      <c r="T448" s="183">
        <v>10</v>
      </c>
      <c r="U448" s="183" t="s">
        <v>22</v>
      </c>
      <c r="V448" s="183"/>
      <c r="W448" s="183"/>
      <c r="X448" s="183"/>
      <c r="Y448" s="184">
        <f t="shared" si="187"/>
        <v>0.01</v>
      </c>
      <c r="Z448" s="184">
        <f t="shared" si="188"/>
        <v>1620</v>
      </c>
      <c r="AA448" s="185" t="s">
        <v>998</v>
      </c>
      <c r="AB448" s="185" t="s">
        <v>2065</v>
      </c>
      <c r="AC448" s="185"/>
      <c r="AD448" s="649">
        <v>-0.04</v>
      </c>
      <c r="AE448" s="182"/>
      <c r="AF448" s="332">
        <v>-6</v>
      </c>
      <c r="AG448" s="182"/>
      <c r="AH448" s="182"/>
      <c r="AI448" s="182"/>
      <c r="AJ448" s="640"/>
      <c r="AK448" s="182"/>
      <c r="AL448" s="496">
        <f>-0.01*Z448</f>
        <v>-16.2</v>
      </c>
      <c r="AM448" s="496">
        <f>AL448*(R448-S448)</f>
        <v>-97.199999999999989</v>
      </c>
      <c r="AN448" s="626" t="s">
        <v>2071</v>
      </c>
      <c r="AO448" s="182"/>
      <c r="AP448" s="182" t="s">
        <v>864</v>
      </c>
      <c r="AQ448" s="332" t="str">
        <f>UPPER(RIGHT(Journal_Live[[#This Row],[DURATION ]]))</f>
        <v>D</v>
      </c>
      <c r="AR448" s="182" t="s">
        <v>2072</v>
      </c>
      <c r="AS448" s="189">
        <f>((-0.04*4)+(-0.05*4)+(-0.06*2))/10</f>
        <v>-4.8000000000000001E-2</v>
      </c>
      <c r="AT448" s="189">
        <f t="shared" si="190"/>
        <v>-8.0000000000000002E-3</v>
      </c>
      <c r="AU448" s="187">
        <f t="shared" si="191"/>
        <v>-129.60000000000002</v>
      </c>
      <c r="AV448" s="190">
        <f t="shared" si="192"/>
        <v>-12.96</v>
      </c>
      <c r="AW448" s="191" t="s">
        <v>229</v>
      </c>
      <c r="AX448" s="407" t="s">
        <v>2073</v>
      </c>
      <c r="AY448" s="407" t="s">
        <v>2074</v>
      </c>
      <c r="AZ448" s="407" t="s">
        <v>2075</v>
      </c>
      <c r="BA448" s="407" t="s">
        <v>2076</v>
      </c>
      <c r="BB448" s="407"/>
      <c r="BC448" s="407"/>
      <c r="BD448" s="407"/>
      <c r="BE448" s="407"/>
      <c r="BF448" s="422"/>
      <c r="BG448" s="391">
        <f>SUM($AV$4:AV448)</f>
        <v>2780.6950000000124</v>
      </c>
      <c r="BH448" s="392">
        <f>SUM($AU$134:AU448)</f>
        <v>1476.0899999999547</v>
      </c>
      <c r="BI448" s="318">
        <f>SUMIFS($AU$134:AU449,$Q$134:Q449,"F")</f>
        <v>-3014.8</v>
      </c>
      <c r="BJ448" s="318">
        <f>SUMIFS($AU$134:AU449,$Q$134:Q449,"S")</f>
        <v>4653.2499999999973</v>
      </c>
      <c r="BK448" s="343">
        <f>SUMIFS($AU$134:AU449,$P$134:P449,"W")</f>
        <v>3849.1899999999341</v>
      </c>
      <c r="BL448" s="343">
        <f>SUMIFS($AU$134:AU449,$P$134:P449,"R")</f>
        <v>-2356.899999999981</v>
      </c>
      <c r="BM448" s="343">
        <f>SUMIFS($AU$134:AU449,$AQ$134:AQ449,"M")</f>
        <v>765.79999999998859</v>
      </c>
      <c r="BN448" s="343">
        <f>SUMIFS($AU$134:AU449,$AQ$134:AQ449,"H")</f>
        <v>1783.7000000000153</v>
      </c>
      <c r="BO448" s="343">
        <f>SUMIFS($AU$134:AU449,$AQ$134:AQ449,"D")</f>
        <v>-424.95000000000056</v>
      </c>
      <c r="BP448" s="343">
        <f>SUMIFS($AU$134:AU451,$AQ$134:AQ451,"W")</f>
        <v>-1270.7</v>
      </c>
      <c r="BQ448" s="343">
        <f>SUMIFS($AU$134:AU449,$Q$134:Q449,"O")</f>
        <v>-345.36000000004572</v>
      </c>
      <c r="BR448" s="343">
        <f>SUMIFS($AU$134:AU449,$AA$134:AA449,"*")</f>
        <v>4165.3499999999822</v>
      </c>
      <c r="BS448" s="343">
        <f>SUMIFS($AU$134:AU449,$AB$134:AB449,"*")</f>
        <v>-34.560000000024061</v>
      </c>
      <c r="BT448" s="343">
        <f>SUMIFS($AU$134:AU449,$AC$134:AC449,"*")</f>
        <v>-2282.4500000000012</v>
      </c>
      <c r="BU448" s="343">
        <f>SUMIFS($AU$134:AU449,$AA$134:AA449,"*",$AB$134:AB449,"*")</f>
        <v>-333.99999999999511</v>
      </c>
      <c r="BV448" s="343">
        <f>SUMIFS($AU$134:AU449,$AA$134:AA449,"*",$AC$134:AC449,"*")</f>
        <v>666.64999999999907</v>
      </c>
      <c r="BW448" s="343">
        <f>SUMIFS($AU$134:AU449,$AB$134:AB449,"*",$AC$134:AC449,"*")</f>
        <v>78.599999999999653</v>
      </c>
      <c r="BX448" s="343">
        <f>SUMIFS($AU449:AU$1388,$Q449:Q$1388,"F")</f>
        <v>17455.466666666667</v>
      </c>
      <c r="BY448" s="343">
        <f>SUMIFS($AU449:AU$1388,$Q449:Q$1388,"S")</f>
        <v>16034.592000000002</v>
      </c>
      <c r="BZ448" s="343">
        <f>SUMIFS($AU449:AU$1388,$Q449:Q$1388,"O")</f>
        <v>-1303.4979999997527</v>
      </c>
    </row>
    <row r="449" spans="1:78" ht="15.75" customHeight="1">
      <c r="A449" s="221" t="s">
        <v>2054</v>
      </c>
      <c r="B449" s="200">
        <v>45019</v>
      </c>
      <c r="C449" s="178" t="s">
        <v>2077</v>
      </c>
      <c r="D449" s="178" t="s">
        <v>132</v>
      </c>
      <c r="E449" s="227"/>
      <c r="F449" s="180"/>
      <c r="G449" s="287" t="s">
        <v>2064</v>
      </c>
      <c r="H449" s="182"/>
      <c r="I449" s="182"/>
      <c r="J449" s="182"/>
      <c r="K449" s="183"/>
      <c r="L449" s="182">
        <v>1</v>
      </c>
      <c r="M449" s="182"/>
      <c r="N449" s="182"/>
      <c r="O449" s="183" t="s">
        <v>95</v>
      </c>
      <c r="P449" s="183" t="s">
        <v>137</v>
      </c>
      <c r="Q449" s="183" t="s">
        <v>97</v>
      </c>
      <c r="R449" s="183">
        <v>7</v>
      </c>
      <c r="S449" s="183">
        <v>7</v>
      </c>
      <c r="T449" s="183">
        <v>7</v>
      </c>
      <c r="U449" s="183" t="s">
        <v>22</v>
      </c>
      <c r="V449" s="183"/>
      <c r="W449" s="183"/>
      <c r="X449" s="183"/>
      <c r="Y449" s="184">
        <f t="shared" si="187"/>
        <v>0.01</v>
      </c>
      <c r="Z449" s="184">
        <f t="shared" si="188"/>
        <v>1620</v>
      </c>
      <c r="AA449" s="185" t="s">
        <v>2078</v>
      </c>
      <c r="AB449" s="185" t="s">
        <v>529</v>
      </c>
      <c r="AC449" s="185"/>
      <c r="AD449" s="649">
        <v>-7.0000000000000007E-2</v>
      </c>
      <c r="AE449" s="182"/>
      <c r="AF449" s="332">
        <v>-10</v>
      </c>
      <c r="AG449" s="182"/>
      <c r="AH449" s="182"/>
      <c r="AI449" s="182"/>
      <c r="AJ449" s="640"/>
      <c r="AK449" s="182"/>
      <c r="AL449" s="496">
        <f>-0.03*Z449</f>
        <v>-48.6</v>
      </c>
      <c r="AM449" s="496">
        <f>AL449*(R449-S449)</f>
        <v>0</v>
      </c>
      <c r="AN449" s="626" t="s">
        <v>2071</v>
      </c>
      <c r="AO449" s="182"/>
      <c r="AP449" s="182" t="s">
        <v>589</v>
      </c>
      <c r="AQ449" s="332" t="str">
        <f>UPPER(RIGHT(Journal_Live[[#This Row],[DURATION ]]))</f>
        <v>D</v>
      </c>
      <c r="AR449" s="182" t="s">
        <v>2079</v>
      </c>
      <c r="AS449" s="189">
        <f>((-0.06*4)+(-0.08*3))/7</f>
        <v>-6.8571428571428575E-2</v>
      </c>
      <c r="AT449" s="189">
        <f t="shared" si="190"/>
        <v>1.4285714285714318E-3</v>
      </c>
      <c r="AU449" s="187">
        <f t="shared" si="191"/>
        <v>16.200000000000035</v>
      </c>
      <c r="AV449" s="190">
        <f t="shared" si="192"/>
        <v>2.3142857142857194</v>
      </c>
      <c r="AW449" s="191" t="s">
        <v>96</v>
      </c>
      <c r="AX449" s="407"/>
      <c r="AY449" s="407" t="s">
        <v>2080</v>
      </c>
      <c r="AZ449" s="407"/>
      <c r="BA449" s="407"/>
      <c r="BB449" s="407"/>
      <c r="BC449" s="407"/>
      <c r="BD449" s="407"/>
      <c r="BE449" s="407"/>
      <c r="BF449" s="422"/>
      <c r="BG449" s="391">
        <f>SUM($AV$4:AV449)</f>
        <v>2783.0092857142981</v>
      </c>
      <c r="BH449" s="392">
        <f>SUM($AU$134:AU449)</f>
        <v>1492.2899999999547</v>
      </c>
      <c r="BI449" s="318">
        <f>SUMIFS($AU$134:AU450,$Q$134:Q450,"F")</f>
        <v>-3014.8</v>
      </c>
      <c r="BJ449" s="318">
        <f>SUMIFS($AU$134:AU450,$Q$134:Q450,"S")</f>
        <v>4653.2499999999973</v>
      </c>
      <c r="BK449" s="343">
        <f>SUMIFS($AU$134:AU450,$P$134:P450,"W")</f>
        <v>3849.1899999999341</v>
      </c>
      <c r="BL449" s="343">
        <f>SUMIFS($AU$134:AU450,$P$134:P450,"R")</f>
        <v>-2356.899999999981</v>
      </c>
      <c r="BM449" s="343">
        <f>SUMIFS($AU$134:AU450,$AQ$134:AQ450,"M")</f>
        <v>765.79999999998859</v>
      </c>
      <c r="BN449" s="343">
        <f>SUMIFS($AU$134:AU450,$AQ$134:AQ450,"H")</f>
        <v>1783.7000000000153</v>
      </c>
      <c r="BO449" s="343">
        <f>SUMIFS($AU$134:AU450,$AQ$134:AQ450,"D")</f>
        <v>-424.95000000000056</v>
      </c>
      <c r="BP449" s="343">
        <f>SUMIFS($AU$134:AU452,$AQ$134:AQ452,"W")</f>
        <v>-1270.7</v>
      </c>
      <c r="BQ449" s="343">
        <f>SUMIFS($AU$134:AU450,$Q$134:Q450,"O")</f>
        <v>-345.36000000004572</v>
      </c>
      <c r="BR449" s="343">
        <f>SUMIFS($AU$134:AU450,$AA$134:AA450,"*")</f>
        <v>4165.3499999999822</v>
      </c>
      <c r="BS449" s="343">
        <f>SUMIFS($AU$134:AU450,$AB$134:AB450,"*")</f>
        <v>-34.560000000024061</v>
      </c>
      <c r="BT449" s="343">
        <f>SUMIFS($AU$134:AU450,$AC$134:AC450,"*")</f>
        <v>-2282.4500000000012</v>
      </c>
      <c r="BU449" s="343">
        <f>SUMIFS($AU$134:AU450,$AA$134:AA450,"*",$AB$134:AB450,"*")</f>
        <v>-333.99999999999511</v>
      </c>
      <c r="BV449" s="343">
        <f>SUMIFS($AU$134:AU450,$AA$134:AA450,"*",$AC$134:AC450,"*")</f>
        <v>666.64999999999907</v>
      </c>
      <c r="BW449" s="343">
        <f>SUMIFS($AU$134:AU450,$AB$134:AB450,"*",$AC$134:AC450,"*")</f>
        <v>78.599999999999653</v>
      </c>
      <c r="BX449" s="343">
        <f>SUMIFS($AU450:AU$1388,$Q450:Q$1388,"F")</f>
        <v>17455.466666666667</v>
      </c>
      <c r="BY449" s="343">
        <f>SUMIFS($AU450:AU$1388,$Q450:Q$1388,"S")</f>
        <v>16018.392000000002</v>
      </c>
      <c r="BZ449" s="343">
        <f>SUMIFS($AU450:AU$1388,$Q450:Q$1388,"O")</f>
        <v>-1303.4979999997527</v>
      </c>
    </row>
    <row r="450" spans="1:78" ht="15.75" customHeight="1">
      <c r="A450" s="221" t="s">
        <v>2054</v>
      </c>
      <c r="B450" s="200">
        <v>45020</v>
      </c>
      <c r="C450" s="178" t="s">
        <v>2081</v>
      </c>
      <c r="D450" s="178" t="s">
        <v>146</v>
      </c>
      <c r="E450" s="227"/>
      <c r="F450" s="180"/>
      <c r="G450" s="288" t="s">
        <v>94</v>
      </c>
      <c r="H450" s="182"/>
      <c r="I450" s="182"/>
      <c r="J450" s="182"/>
      <c r="K450" s="183"/>
      <c r="L450" s="182">
        <v>1</v>
      </c>
      <c r="M450" s="182"/>
      <c r="N450" s="182"/>
      <c r="O450" s="183" t="s">
        <v>95</v>
      </c>
      <c r="P450" s="183" t="s">
        <v>96</v>
      </c>
      <c r="Q450" s="183" t="s">
        <v>97</v>
      </c>
      <c r="R450" s="183">
        <v>3</v>
      </c>
      <c r="S450" s="183">
        <v>3</v>
      </c>
      <c r="T450" s="183">
        <v>3</v>
      </c>
      <c r="U450" s="183" t="s">
        <v>97</v>
      </c>
      <c r="V450" s="183"/>
      <c r="W450" s="183"/>
      <c r="X450" s="183"/>
      <c r="Y450" s="184">
        <f t="shared" si="187"/>
        <v>0.01</v>
      </c>
      <c r="Z450" s="184">
        <f t="shared" si="188"/>
        <v>1620</v>
      </c>
      <c r="AA450" s="185" t="s">
        <v>2082</v>
      </c>
      <c r="AB450" s="185"/>
      <c r="AC450" s="185"/>
      <c r="AD450" s="649">
        <v>-0.06</v>
      </c>
      <c r="AE450" s="182"/>
      <c r="AF450" s="332"/>
      <c r="AG450" s="182"/>
      <c r="AH450" s="182"/>
      <c r="AI450" s="182"/>
      <c r="AJ450" s="640"/>
      <c r="AK450" s="182"/>
      <c r="AL450" s="496">
        <f t="shared" ref="AL450:AL452" si="193">-0.03*Z450</f>
        <v>-48.6</v>
      </c>
      <c r="AM450" s="496">
        <f>AL450*R450</f>
        <v>-145.80000000000001</v>
      </c>
      <c r="AN450" s="626"/>
      <c r="AO450" s="182"/>
      <c r="AP450" s="182" t="s">
        <v>2083</v>
      </c>
      <c r="AQ450" s="332" t="str">
        <f>UPPER(RIGHT(Journal_Live[[#This Row],[DURATION ]]))</f>
        <v>M</v>
      </c>
      <c r="AR450" s="182" t="s">
        <v>2084</v>
      </c>
      <c r="AS450" s="189">
        <v>-0.06</v>
      </c>
      <c r="AT450" s="189">
        <f t="shared" si="190"/>
        <v>0</v>
      </c>
      <c r="AU450" s="187">
        <f t="shared" si="191"/>
        <v>0</v>
      </c>
      <c r="AV450" s="190">
        <f t="shared" si="192"/>
        <v>0</v>
      </c>
      <c r="AW450" s="191" t="s">
        <v>115</v>
      </c>
      <c r="AX450" s="407" t="s">
        <v>2085</v>
      </c>
      <c r="AY450" s="407" t="s">
        <v>2086</v>
      </c>
      <c r="AZ450" s="407" t="s">
        <v>2087</v>
      </c>
      <c r="BA450" s="407"/>
      <c r="BB450" s="407"/>
      <c r="BC450" s="407"/>
      <c r="BD450" s="407"/>
      <c r="BE450" s="407"/>
      <c r="BF450" s="422"/>
      <c r="BG450" s="391">
        <f>SUM($AV$4:AV450)</f>
        <v>2783.0092857142981</v>
      </c>
      <c r="BH450" s="392">
        <f>SUM($AU$134:AU450)</f>
        <v>1492.2899999999547</v>
      </c>
      <c r="BI450" s="318">
        <f>SUMIFS($AU$134:AU451,$Q$134:Q451,"F")</f>
        <v>-3014.8</v>
      </c>
      <c r="BJ450" s="318">
        <f>SUMIFS($AU$134:AU451,$Q$134:Q451,"S")</f>
        <v>4653.2499999999973</v>
      </c>
      <c r="BK450" s="343">
        <f>SUMIFS($AU$134:AU451,$P$134:P451,"W")</f>
        <v>3849.1899999999341</v>
      </c>
      <c r="BL450" s="343">
        <f>SUMIFS($AU$134:AU451,$P$134:P451,"R")</f>
        <v>-2356.899999999981</v>
      </c>
      <c r="BM450" s="343">
        <f>SUMIFS($AU$134:AU451,$AQ$134:AQ451,"M")</f>
        <v>765.79999999998859</v>
      </c>
      <c r="BN450" s="343">
        <f>SUMIFS($AU$134:AU451,$AQ$134:AQ451,"H")</f>
        <v>1783.7000000000153</v>
      </c>
      <c r="BO450" s="343">
        <f>SUMIFS($AU$134:AU451,$AQ$134:AQ451,"D")</f>
        <v>-424.95000000000056</v>
      </c>
      <c r="BP450" s="343">
        <f>SUMIFS($AU$134:AU453,$AQ$134:AQ453,"W")</f>
        <v>-1270.7</v>
      </c>
      <c r="BQ450" s="343">
        <f>SUMIFS($AU$134:AU451,$Q$134:Q451,"O")</f>
        <v>-345.36000000004572</v>
      </c>
      <c r="BR450" s="343">
        <f>SUMIFS($AU$134:AU451,$AA$134:AA451,"*")</f>
        <v>4165.3499999999822</v>
      </c>
      <c r="BS450" s="343">
        <f>SUMIFS($AU$134:AU451,$AB$134:AB451,"*")</f>
        <v>-34.560000000024061</v>
      </c>
      <c r="BT450" s="343">
        <f>SUMIFS($AU$134:AU451,$AC$134:AC451,"*")</f>
        <v>-2282.4500000000012</v>
      </c>
      <c r="BU450" s="343">
        <f>SUMIFS($AU$134:AU451,$AA$134:AA451,"*",$AB$134:AB451,"*")</f>
        <v>-333.99999999999511</v>
      </c>
      <c r="BV450" s="343">
        <f>SUMIFS($AU$134:AU451,$AA$134:AA451,"*",$AC$134:AC451,"*")</f>
        <v>666.64999999999907</v>
      </c>
      <c r="BW450" s="343">
        <f>SUMIFS($AU$134:AU451,$AB$134:AB451,"*",$AC$134:AC451,"*")</f>
        <v>78.599999999999653</v>
      </c>
      <c r="BX450" s="343">
        <f>SUMIFS($AU451:AU$1388,$Q451:Q$1388,"F")</f>
        <v>17455.466666666667</v>
      </c>
      <c r="BY450" s="343">
        <f>SUMIFS($AU451:AU$1388,$Q451:Q$1388,"S")</f>
        <v>16018.392000000002</v>
      </c>
      <c r="BZ450" s="343">
        <f>SUMIFS($AU451:AU$1388,$Q451:Q$1388,"O")</f>
        <v>-1303.4979999997527</v>
      </c>
    </row>
    <row r="451" spans="1:78" ht="15.75" customHeight="1">
      <c r="A451" s="221" t="s">
        <v>2054</v>
      </c>
      <c r="B451" s="200">
        <v>45020</v>
      </c>
      <c r="C451" s="178" t="s">
        <v>682</v>
      </c>
      <c r="D451" s="178" t="s">
        <v>146</v>
      </c>
      <c r="E451" s="227"/>
      <c r="F451" s="180"/>
      <c r="G451" s="284" t="s">
        <v>2070</v>
      </c>
      <c r="H451" s="182"/>
      <c r="I451" s="182"/>
      <c r="J451" s="182"/>
      <c r="K451" s="183"/>
      <c r="L451" s="182">
        <v>1</v>
      </c>
      <c r="M451" s="182">
        <v>2</v>
      </c>
      <c r="N451" s="182"/>
      <c r="O451" s="183" t="s">
        <v>95</v>
      </c>
      <c r="P451" s="183" t="s">
        <v>137</v>
      </c>
      <c r="Q451" s="183" t="s">
        <v>97</v>
      </c>
      <c r="R451" s="183">
        <v>4</v>
      </c>
      <c r="S451" s="183">
        <v>4</v>
      </c>
      <c r="T451" s="183">
        <v>4</v>
      </c>
      <c r="U451" s="183" t="s">
        <v>22</v>
      </c>
      <c r="V451" s="183"/>
      <c r="W451" s="183"/>
      <c r="X451" s="183"/>
      <c r="Y451" s="184">
        <f t="shared" si="187"/>
        <v>0.01</v>
      </c>
      <c r="Z451" s="184">
        <f t="shared" si="188"/>
        <v>1620</v>
      </c>
      <c r="AA451" s="185" t="s">
        <v>2088</v>
      </c>
      <c r="AB451" s="185" t="s">
        <v>2089</v>
      </c>
      <c r="AC451" s="185"/>
      <c r="AD451" s="649">
        <v>-0.05</v>
      </c>
      <c r="AE451" s="182"/>
      <c r="AF451" s="332"/>
      <c r="AG451" s="182"/>
      <c r="AH451" s="182"/>
      <c r="AI451" s="182"/>
      <c r="AJ451" s="640"/>
      <c r="AK451" s="182"/>
      <c r="AL451" s="496">
        <f>-0.01*Z451</f>
        <v>-16.2</v>
      </c>
      <c r="AM451" s="496">
        <f>AL451*R451</f>
        <v>-64.8</v>
      </c>
      <c r="AN451" s="626" t="s">
        <v>2090</v>
      </c>
      <c r="AO451" s="182"/>
      <c r="AP451" s="182" t="s">
        <v>589</v>
      </c>
      <c r="AQ451" s="332" t="str">
        <f>UPPER(RIGHT(Journal_Live[[#This Row],[DURATION ]]))</f>
        <v>D</v>
      </c>
      <c r="AR451" s="182" t="s">
        <v>2091</v>
      </c>
      <c r="AS451" s="189">
        <v>-0.05</v>
      </c>
      <c r="AT451" s="189">
        <f t="shared" si="190"/>
        <v>0</v>
      </c>
      <c r="AU451" s="187">
        <f t="shared" si="191"/>
        <v>0</v>
      </c>
      <c r="AV451" s="190">
        <f t="shared" si="192"/>
        <v>0</v>
      </c>
      <c r="AW451" s="191" t="s">
        <v>115</v>
      </c>
      <c r="AX451" s="407"/>
      <c r="AY451" s="407"/>
      <c r="AZ451" s="407"/>
      <c r="BA451" s="407"/>
      <c r="BB451" s="407"/>
      <c r="BC451" s="407"/>
      <c r="BD451" s="407"/>
      <c r="BE451" s="407"/>
      <c r="BF451" s="422"/>
      <c r="BG451" s="391">
        <f>SUM($AV$4:AV451)</f>
        <v>2783.0092857142981</v>
      </c>
      <c r="BH451" s="392">
        <f>SUM($AU$134:AU451)</f>
        <v>1492.2899999999547</v>
      </c>
      <c r="BI451" s="318">
        <f>SUMIFS($AU$134:AU452,$Q$134:Q452,"F")</f>
        <v>-3014.8</v>
      </c>
      <c r="BJ451" s="318">
        <f>SUMIFS($AU$134:AU452,$Q$134:Q452,"S")</f>
        <v>4653.2499999999973</v>
      </c>
      <c r="BK451" s="343">
        <f>SUMIFS($AU$134:AU452,$P$134:P452,"W")</f>
        <v>3849.1899999999341</v>
      </c>
      <c r="BL451" s="343">
        <f>SUMIFS($AU$134:AU452,$P$134:P452,"R")</f>
        <v>-2356.899999999981</v>
      </c>
      <c r="BM451" s="343">
        <f>SUMIFS($AU$134:AU452,$AQ$134:AQ452,"M")</f>
        <v>765.79999999998859</v>
      </c>
      <c r="BN451" s="343">
        <f>SUMIFS($AU$134:AU452,$AQ$134:AQ452,"H")</f>
        <v>1783.7000000000153</v>
      </c>
      <c r="BO451" s="343">
        <f>SUMIFS($AU$134:AU452,$AQ$134:AQ452,"D")</f>
        <v>-424.95000000000056</v>
      </c>
      <c r="BP451" s="343">
        <f>SUMIFS($AU$134:AU454,$AQ$134:AQ454,"W")</f>
        <v>-1270.7</v>
      </c>
      <c r="BQ451" s="343">
        <f>SUMIFS($AU$134:AU452,$Q$134:Q452,"O")</f>
        <v>-345.36000000004572</v>
      </c>
      <c r="BR451" s="343">
        <f>SUMIFS($AU$134:AU452,$AA$134:AA452,"*")</f>
        <v>4165.3499999999822</v>
      </c>
      <c r="BS451" s="343">
        <f>SUMIFS($AU$134:AU452,$AB$134:AB452,"*")</f>
        <v>-34.560000000024061</v>
      </c>
      <c r="BT451" s="343">
        <f>SUMIFS($AU$134:AU452,$AC$134:AC452,"*")</f>
        <v>-2282.4500000000012</v>
      </c>
      <c r="BU451" s="343">
        <f>SUMIFS($AU$134:AU452,$AA$134:AA452,"*",$AB$134:AB452,"*")</f>
        <v>-333.99999999999511</v>
      </c>
      <c r="BV451" s="343">
        <f>SUMIFS($AU$134:AU452,$AA$134:AA452,"*",$AC$134:AC452,"*")</f>
        <v>666.64999999999907</v>
      </c>
      <c r="BW451" s="343">
        <f>SUMIFS($AU$134:AU452,$AB$134:AB452,"*",$AC$134:AC452,"*")</f>
        <v>78.599999999999653</v>
      </c>
      <c r="BX451" s="343">
        <f>SUMIFS($AU452:AU$1388,$Q452:Q$1388,"F")</f>
        <v>17455.466666666667</v>
      </c>
      <c r="BY451" s="343">
        <f>SUMIFS($AU452:AU$1388,$Q452:Q$1388,"S")</f>
        <v>16018.392000000002</v>
      </c>
      <c r="BZ451" s="343">
        <f>SUMIFS($AU452:AU$1388,$Q452:Q$1388,"O")</f>
        <v>-1303.4979999997527</v>
      </c>
    </row>
    <row r="452" spans="1:78" ht="15.75" customHeight="1">
      <c r="A452" s="221" t="s">
        <v>2054</v>
      </c>
      <c r="B452" s="200">
        <v>45020</v>
      </c>
      <c r="C452" s="178" t="s">
        <v>682</v>
      </c>
      <c r="D452" s="178" t="s">
        <v>146</v>
      </c>
      <c r="E452" s="227"/>
      <c r="F452" s="180"/>
      <c r="G452" s="288" t="s">
        <v>2070</v>
      </c>
      <c r="H452" s="182"/>
      <c r="I452" s="182"/>
      <c r="J452" s="182"/>
      <c r="K452" s="183"/>
      <c r="L452" s="182">
        <v>1</v>
      </c>
      <c r="M452" s="182"/>
      <c r="N452" s="182"/>
      <c r="O452" s="183" t="s">
        <v>95</v>
      </c>
      <c r="P452" s="183" t="s">
        <v>137</v>
      </c>
      <c r="Q452" s="183" t="s">
        <v>97</v>
      </c>
      <c r="R452" s="183">
        <v>2</v>
      </c>
      <c r="S452" s="183">
        <v>2</v>
      </c>
      <c r="T452" s="183">
        <v>2</v>
      </c>
      <c r="U452" s="183" t="s">
        <v>22</v>
      </c>
      <c r="V452" s="183"/>
      <c r="W452" s="183"/>
      <c r="X452" s="183"/>
      <c r="Y452" s="184">
        <f t="shared" si="187"/>
        <v>0.01</v>
      </c>
      <c r="Z452" s="184">
        <f t="shared" si="188"/>
        <v>1620</v>
      </c>
      <c r="AA452" s="185" t="s">
        <v>998</v>
      </c>
      <c r="AB452" s="185"/>
      <c r="AC452" s="185"/>
      <c r="AD452" s="649">
        <v>-0.04</v>
      </c>
      <c r="AE452" s="182"/>
      <c r="AF452" s="332"/>
      <c r="AG452" s="182"/>
      <c r="AH452" s="182"/>
      <c r="AI452" s="182"/>
      <c r="AJ452" s="640"/>
      <c r="AK452" s="182"/>
      <c r="AL452" s="496">
        <f t="shared" si="193"/>
        <v>-48.6</v>
      </c>
      <c r="AM452" s="496">
        <f>AL452*R452</f>
        <v>-97.2</v>
      </c>
      <c r="AN452" s="626"/>
      <c r="AO452" s="182"/>
      <c r="AP452" s="182" t="s">
        <v>589</v>
      </c>
      <c r="AQ452" s="332" t="str">
        <f>UPPER(RIGHT(Journal_Live[[#This Row],[DURATION ]]))</f>
        <v>D</v>
      </c>
      <c r="AR452" s="182" t="s">
        <v>2092</v>
      </c>
      <c r="AS452" s="189">
        <v>-0.04</v>
      </c>
      <c r="AT452" s="189">
        <f t="shared" si="190"/>
        <v>0</v>
      </c>
      <c r="AU452" s="187">
        <f t="shared" si="191"/>
        <v>0</v>
      </c>
      <c r="AV452" s="190">
        <f t="shared" si="192"/>
        <v>0</v>
      </c>
      <c r="AW452" s="191" t="s">
        <v>115</v>
      </c>
      <c r="AX452" s="407"/>
      <c r="AY452" s="407"/>
      <c r="AZ452" s="407"/>
      <c r="BA452" s="407"/>
      <c r="BB452" s="407"/>
      <c r="BC452" s="407"/>
      <c r="BD452" s="407"/>
      <c r="BE452" s="407"/>
      <c r="BF452" s="422"/>
      <c r="BG452" s="391">
        <f>SUM($AV$4:AV452)</f>
        <v>2783.0092857142981</v>
      </c>
      <c r="BH452" s="392">
        <f>SUM($AU$134:AU452)</f>
        <v>1492.2899999999547</v>
      </c>
      <c r="BI452" s="318">
        <f>SUMIFS($AU$134:AU453,$Q$134:Q453,"F")</f>
        <v>-3014.8</v>
      </c>
      <c r="BJ452" s="318">
        <f>SUMIFS($AU$134:AU453,$Q$134:Q453,"S")</f>
        <v>4653.2499999999973</v>
      </c>
      <c r="BK452" s="343">
        <f>SUMIFS($AU$134:AU453,$P$134:P453,"W")</f>
        <v>3849.1899999999341</v>
      </c>
      <c r="BL452" s="343">
        <f>SUMIFS($AU$134:AU453,$P$134:P453,"R")</f>
        <v>-2356.899999999981</v>
      </c>
      <c r="BM452" s="343">
        <f>SUMIFS($AU$134:AU453,$AQ$134:AQ453,"M")</f>
        <v>765.79999999998859</v>
      </c>
      <c r="BN452" s="343">
        <f>SUMIFS($AU$134:AU453,$AQ$134:AQ453,"H")</f>
        <v>1783.7000000000153</v>
      </c>
      <c r="BO452" s="343">
        <f>SUMIFS($AU$134:AU453,$AQ$134:AQ453,"D")</f>
        <v>-424.95000000000056</v>
      </c>
      <c r="BP452" s="343">
        <f>SUMIFS($AU$134:AU455,$AQ$134:AQ455,"W")</f>
        <v>-1270.7</v>
      </c>
      <c r="BQ452" s="343">
        <f>SUMIFS($AU$134:AU453,$Q$134:Q453,"O")</f>
        <v>-345.36000000004572</v>
      </c>
      <c r="BR452" s="343">
        <f>SUMIFS($AU$134:AU453,$AA$134:AA453,"*")</f>
        <v>4165.3499999999822</v>
      </c>
      <c r="BS452" s="343">
        <f>SUMIFS($AU$134:AU453,$AB$134:AB453,"*")</f>
        <v>-34.560000000024061</v>
      </c>
      <c r="BT452" s="343">
        <f>SUMIFS($AU$134:AU453,$AC$134:AC453,"*")</f>
        <v>-2282.4500000000012</v>
      </c>
      <c r="BU452" s="343">
        <f>SUMIFS($AU$134:AU453,$AA$134:AA453,"*",$AB$134:AB453,"*")</f>
        <v>-333.99999999999511</v>
      </c>
      <c r="BV452" s="343">
        <f>SUMIFS($AU$134:AU453,$AA$134:AA453,"*",$AC$134:AC453,"*")</f>
        <v>666.64999999999907</v>
      </c>
      <c r="BW452" s="343">
        <f>SUMIFS($AU$134:AU453,$AB$134:AB453,"*",$AC$134:AC453,"*")</f>
        <v>78.599999999999653</v>
      </c>
      <c r="BX452" s="343">
        <f>SUMIFS($AU453:AU$1388,$Q453:Q$1388,"F")</f>
        <v>17455.466666666667</v>
      </c>
      <c r="BY452" s="343">
        <f>SUMIFS($AU453:AU$1388,$Q453:Q$1388,"S")</f>
        <v>16018.392000000002</v>
      </c>
      <c r="BZ452" s="343">
        <f>SUMIFS($AU453:AU$1388,$Q453:Q$1388,"O")</f>
        <v>-1303.4979999997527</v>
      </c>
    </row>
    <row r="453" spans="1:78" ht="15.75" customHeight="1">
      <c r="A453" s="221" t="s">
        <v>2054</v>
      </c>
      <c r="B453" s="200">
        <v>45020</v>
      </c>
      <c r="C453" s="178" t="s">
        <v>2093</v>
      </c>
      <c r="D453" s="178" t="s">
        <v>146</v>
      </c>
      <c r="E453" s="227" t="s">
        <v>2094</v>
      </c>
      <c r="F453" s="180" t="s">
        <v>2095</v>
      </c>
      <c r="G453" s="181"/>
      <c r="H453" s="182"/>
      <c r="I453" s="182"/>
      <c r="J453" s="182"/>
      <c r="K453" s="183"/>
      <c r="L453" s="182"/>
      <c r="M453" s="182"/>
      <c r="N453" s="182"/>
      <c r="O453" s="183"/>
      <c r="P453" s="183"/>
      <c r="Q453" s="183"/>
      <c r="R453" s="183"/>
      <c r="S453" s="183"/>
      <c r="T453" s="183"/>
      <c r="U453" s="183"/>
      <c r="V453" s="183"/>
      <c r="W453" s="183"/>
      <c r="X453" s="183"/>
      <c r="Y453" s="184" t="str">
        <f t="shared" si="187"/>
        <v/>
      </c>
      <c r="Z453" s="184" t="str">
        <f t="shared" si="188"/>
        <v/>
      </c>
      <c r="AA453" s="185"/>
      <c r="AB453" s="185"/>
      <c r="AC453" s="185"/>
      <c r="AD453" s="649"/>
      <c r="AE453" s="182"/>
      <c r="AF453" s="332"/>
      <c r="AG453" s="182"/>
      <c r="AH453" s="182"/>
      <c r="AI453" s="182"/>
      <c r="AJ453" s="640"/>
      <c r="AK453" s="182"/>
      <c r="AL453" s="496"/>
      <c r="AM453" s="496"/>
      <c r="AN453" s="626"/>
      <c r="AO453" s="182"/>
      <c r="AP453" s="182"/>
      <c r="AQ453" s="332" t="str">
        <f>UPPER(RIGHT(Journal_Live[[#This Row],[DURATION ]]))</f>
        <v/>
      </c>
      <c r="AR453" s="182"/>
      <c r="AS453" s="189"/>
      <c r="AT453" s="189"/>
      <c r="AU453" s="187"/>
      <c r="AV453" s="190"/>
      <c r="AW453" s="191"/>
      <c r="AX453" s="407" t="s">
        <v>2096</v>
      </c>
      <c r="AY453" s="407" t="s">
        <v>529</v>
      </c>
      <c r="AZ453" s="407"/>
      <c r="BA453" s="407"/>
      <c r="BB453" s="407"/>
      <c r="BC453" s="407"/>
      <c r="BD453" s="407"/>
      <c r="BE453" s="407"/>
      <c r="BF453" s="422"/>
      <c r="BG453" s="391">
        <f>SUM($AV$4:AV453)</f>
        <v>2783.0092857142981</v>
      </c>
      <c r="BH453" s="392">
        <f>SUM($AU$134:AU453)</f>
        <v>1492.2899999999547</v>
      </c>
      <c r="BI453" s="318">
        <f>SUMIFS($AU$134:AU454,$Q$134:Q454,"F")</f>
        <v>-3014.8</v>
      </c>
      <c r="BJ453" s="318">
        <f>SUMIFS($AU$134:AU454,$Q$134:Q454,"S")</f>
        <v>4766.6499999999969</v>
      </c>
      <c r="BK453" s="343">
        <f>SUMIFS($AU$134:AU454,$P$134:P454,"W")</f>
        <v>3962.5899999999342</v>
      </c>
      <c r="BL453" s="343">
        <f>SUMIFS($AU$134:AU454,$P$134:P454,"R")</f>
        <v>-2356.899999999981</v>
      </c>
      <c r="BM453" s="343">
        <f>SUMIFS($AU$134:AU454,$AQ$134:AQ454,"M")</f>
        <v>765.79999999998859</v>
      </c>
      <c r="BN453" s="343">
        <f>SUMIFS($AU$134:AU454,$AQ$134:AQ454,"H")</f>
        <v>1897.1000000000151</v>
      </c>
      <c r="BO453" s="343">
        <f>SUMIFS($AU$134:AU454,$AQ$134:AQ454,"D")</f>
        <v>-424.95000000000056</v>
      </c>
      <c r="BP453" s="343">
        <f>SUMIFS($AU$134:AU456,$AQ$134:AQ456,"W")</f>
        <v>-1270.7</v>
      </c>
      <c r="BQ453" s="343">
        <f>SUMIFS($AU$134:AU454,$Q$134:Q454,"O")</f>
        <v>-345.36000000004572</v>
      </c>
      <c r="BR453" s="343">
        <f>SUMIFS($AU$134:AU454,$AA$134:AA454,"*")</f>
        <v>4278.7499999999818</v>
      </c>
      <c r="BS453" s="343">
        <f>SUMIFS($AU$134:AU454,$AB$134:AB454,"*")</f>
        <v>-34.560000000024061</v>
      </c>
      <c r="BT453" s="343">
        <f>SUMIFS($AU$134:AU454,$AC$134:AC454,"*")</f>
        <v>-2282.4500000000012</v>
      </c>
      <c r="BU453" s="343">
        <f>SUMIFS($AU$134:AU454,$AA$134:AA454,"*",$AB$134:AB454,"*")</f>
        <v>-333.99999999999511</v>
      </c>
      <c r="BV453" s="343">
        <f>SUMIFS($AU$134:AU454,$AA$134:AA454,"*",$AC$134:AC454,"*")</f>
        <v>666.64999999999907</v>
      </c>
      <c r="BW453" s="343">
        <f>SUMIFS($AU$134:AU454,$AB$134:AB454,"*",$AC$134:AC454,"*")</f>
        <v>78.599999999999653</v>
      </c>
      <c r="BX453" s="343">
        <f>SUMIFS($AU454:AU$1388,$Q454:Q$1388,"F")</f>
        <v>17455.466666666667</v>
      </c>
      <c r="BY453" s="343">
        <f>SUMIFS($AU454:AU$1388,$Q454:Q$1388,"S")</f>
        <v>16018.392000000002</v>
      </c>
      <c r="BZ453" s="343">
        <f>SUMIFS($AU454:AU$1388,$Q454:Q$1388,"O")</f>
        <v>-1303.4979999997527</v>
      </c>
    </row>
    <row r="454" spans="1:78" ht="15.75" customHeight="1">
      <c r="A454" s="221" t="s">
        <v>2054</v>
      </c>
      <c r="B454" s="200">
        <v>45020</v>
      </c>
      <c r="C454" s="178" t="s">
        <v>2097</v>
      </c>
      <c r="D454" s="178" t="s">
        <v>146</v>
      </c>
      <c r="E454" s="227"/>
      <c r="F454" s="180"/>
      <c r="G454" s="288" t="s">
        <v>94</v>
      </c>
      <c r="H454" s="182"/>
      <c r="I454" s="182"/>
      <c r="J454" s="182"/>
      <c r="K454" s="183"/>
      <c r="L454" s="182">
        <v>1</v>
      </c>
      <c r="M454" s="182"/>
      <c r="N454" s="182"/>
      <c r="O454" s="183" t="s">
        <v>95</v>
      </c>
      <c r="P454" s="183" t="s">
        <v>96</v>
      </c>
      <c r="Q454" s="183" t="s">
        <v>97</v>
      </c>
      <c r="R454" s="183">
        <v>7</v>
      </c>
      <c r="S454" s="183">
        <v>7</v>
      </c>
      <c r="T454" s="183">
        <v>7</v>
      </c>
      <c r="U454" s="183" t="s">
        <v>97</v>
      </c>
      <c r="V454" s="183"/>
      <c r="W454" s="183"/>
      <c r="X454" s="183"/>
      <c r="Y454" s="184">
        <f t="shared" si="187"/>
        <v>0.01</v>
      </c>
      <c r="Z454" s="184">
        <f t="shared" si="188"/>
        <v>1620</v>
      </c>
      <c r="AA454" s="185" t="s">
        <v>2098</v>
      </c>
      <c r="AB454" s="185"/>
      <c r="AC454" s="185"/>
      <c r="AD454" s="649">
        <v>-0.05</v>
      </c>
      <c r="AE454" s="182"/>
      <c r="AF454" s="332"/>
      <c r="AG454" s="182"/>
      <c r="AH454" s="182"/>
      <c r="AI454" s="182"/>
      <c r="AJ454" s="640"/>
      <c r="AK454" s="182"/>
      <c r="AL454" s="496">
        <f>-0.02*Z454</f>
        <v>-32.4</v>
      </c>
      <c r="AM454" s="496">
        <f>AL454*R454</f>
        <v>-226.79999999999998</v>
      </c>
      <c r="AN454" s="626"/>
      <c r="AO454" s="182"/>
      <c r="AP454" s="182" t="s">
        <v>2099</v>
      </c>
      <c r="AQ454" s="332" t="str">
        <f>UPPER(RIGHT(Journal_Live[[#This Row],[DURATION ]]))</f>
        <v>H</v>
      </c>
      <c r="AR454" s="182" t="s">
        <v>2100</v>
      </c>
      <c r="AS454" s="189">
        <v>-0.06</v>
      </c>
      <c r="AT454" s="189">
        <f>IF(ISBLANK(AS454),,IF(U454="S",AD454-AS454,AS454-AD454))</f>
        <v>9.999999999999995E-3</v>
      </c>
      <c r="AU454" s="187">
        <f>AV454*R454</f>
        <v>113.39999999999995</v>
      </c>
      <c r="AV454" s="190">
        <f>IF(ISBLANK(AS454),,(AT454*Z454))</f>
        <v>16.199999999999992</v>
      </c>
      <c r="AW454" s="191" t="s">
        <v>96</v>
      </c>
      <c r="AX454" s="407"/>
      <c r="AY454" s="407"/>
      <c r="AZ454" s="407"/>
      <c r="BA454" s="407"/>
      <c r="BB454" s="407"/>
      <c r="BC454" s="407"/>
      <c r="BD454" s="407"/>
      <c r="BE454" s="407"/>
      <c r="BF454" s="422"/>
      <c r="BG454" s="391">
        <f>SUM($AV$4:AV454)</f>
        <v>2799.2092857142979</v>
      </c>
      <c r="BH454" s="392">
        <f>SUM($AU$134:AU454)</f>
        <v>1605.6899999999546</v>
      </c>
      <c r="BI454" s="318">
        <f>SUMIFS($AU$134:AU455,$Q$134:Q455,"F")</f>
        <v>-3014.8</v>
      </c>
      <c r="BJ454" s="318">
        <f>SUMIFS($AU$134:AU455,$Q$134:Q455,"S")</f>
        <v>4766.6499999999969</v>
      </c>
      <c r="BK454" s="343">
        <f>SUMIFS($AU$134:AU455,$P$134:P455,"W")</f>
        <v>3962.5899999999342</v>
      </c>
      <c r="BL454" s="343">
        <f>SUMIFS($AU$134:AU455,$P$134:P455,"R")</f>
        <v>-2356.899999999981</v>
      </c>
      <c r="BM454" s="343">
        <f>SUMIFS($AU$134:AU455,$AQ$134:AQ455,"M")</f>
        <v>765.79999999998859</v>
      </c>
      <c r="BN454" s="343">
        <f>SUMIFS($AU$134:AU455,$AQ$134:AQ455,"H")</f>
        <v>1897.1000000000151</v>
      </c>
      <c r="BO454" s="343">
        <f>SUMIFS($AU$134:AU455,$AQ$134:AQ455,"D")</f>
        <v>-424.95000000000056</v>
      </c>
      <c r="BP454" s="343">
        <f>SUMIFS($AU$134:AU457,$AQ$134:AQ457,"W")</f>
        <v>-1270.7</v>
      </c>
      <c r="BQ454" s="343">
        <f>SUMIFS($AU$134:AU455,$Q$134:Q455,"O")</f>
        <v>-345.36000000004572</v>
      </c>
      <c r="BR454" s="343">
        <f>SUMIFS($AU$134:AU455,$AA$134:AA455,"*")</f>
        <v>4278.7499999999818</v>
      </c>
      <c r="BS454" s="343">
        <f>SUMIFS($AU$134:AU455,$AB$134:AB455,"*")</f>
        <v>-34.560000000024061</v>
      </c>
      <c r="BT454" s="343">
        <f>SUMIFS($AU$134:AU455,$AC$134:AC455,"*")</f>
        <v>-2282.4500000000012</v>
      </c>
      <c r="BU454" s="343">
        <f>SUMIFS($AU$134:AU455,$AA$134:AA455,"*",$AB$134:AB455,"*")</f>
        <v>-333.99999999999511</v>
      </c>
      <c r="BV454" s="343">
        <f>SUMIFS($AU$134:AU455,$AA$134:AA455,"*",$AC$134:AC455,"*")</f>
        <v>666.64999999999907</v>
      </c>
      <c r="BW454" s="343">
        <f>SUMIFS($AU$134:AU455,$AB$134:AB455,"*",$AC$134:AC455,"*")</f>
        <v>78.599999999999653</v>
      </c>
      <c r="BX454" s="343">
        <f>SUMIFS($AU455:AU$1388,$Q455:Q$1388,"F")</f>
        <v>17455.466666666667</v>
      </c>
      <c r="BY454" s="343">
        <f>SUMIFS($AU455:AU$1388,$Q455:Q$1388,"S")</f>
        <v>15904.992000000002</v>
      </c>
      <c r="BZ454" s="343">
        <f>SUMIFS($AU455:AU$1388,$Q455:Q$1388,"O")</f>
        <v>-1303.4979999997527</v>
      </c>
    </row>
    <row r="455" spans="1:78" ht="15.75" customHeight="1">
      <c r="A455" s="221" t="s">
        <v>2054</v>
      </c>
      <c r="B455" s="200">
        <v>45020</v>
      </c>
      <c r="C455" s="178" t="s">
        <v>2060</v>
      </c>
      <c r="D455" s="178" t="s">
        <v>146</v>
      </c>
      <c r="E455" s="227" t="s">
        <v>2101</v>
      </c>
      <c r="F455" s="180" t="s">
        <v>2102</v>
      </c>
      <c r="G455" s="181"/>
      <c r="H455" s="182"/>
      <c r="I455" s="182"/>
      <c r="J455" s="182"/>
      <c r="K455" s="183"/>
      <c r="L455" s="182"/>
      <c r="M455" s="182"/>
      <c r="N455" s="182"/>
      <c r="O455" s="183"/>
      <c r="P455" s="183"/>
      <c r="Q455" s="183"/>
      <c r="R455" s="183"/>
      <c r="S455" s="183"/>
      <c r="T455" s="183"/>
      <c r="U455" s="183"/>
      <c r="V455" s="183"/>
      <c r="W455" s="183"/>
      <c r="X455" s="183"/>
      <c r="Y455" s="184" t="str">
        <f t="shared" si="187"/>
        <v/>
      </c>
      <c r="Z455" s="184" t="str">
        <f t="shared" si="188"/>
        <v/>
      </c>
      <c r="AA455" s="185"/>
      <c r="AB455" s="185"/>
      <c r="AC455" s="185"/>
      <c r="AD455" s="649"/>
      <c r="AE455" s="182"/>
      <c r="AF455" s="332"/>
      <c r="AG455" s="182"/>
      <c r="AH455" s="182"/>
      <c r="AI455" s="182"/>
      <c r="AJ455" s="640"/>
      <c r="AK455" s="182"/>
      <c r="AL455" s="496"/>
      <c r="AM455" s="496"/>
      <c r="AN455" s="626"/>
      <c r="AO455" s="182"/>
      <c r="AP455" s="182"/>
      <c r="AQ455" s="332" t="str">
        <f>UPPER(RIGHT(Journal_Live[[#This Row],[DURATION ]]))</f>
        <v/>
      </c>
      <c r="AR455" s="182"/>
      <c r="AS455" s="189"/>
      <c r="AT455" s="189"/>
      <c r="AU455" s="187"/>
      <c r="AV455" s="190"/>
      <c r="AW455" s="191"/>
      <c r="AX455" s="407"/>
      <c r="AY455" s="407"/>
      <c r="AZ455" s="407"/>
      <c r="BA455" s="407"/>
      <c r="BB455" s="407"/>
      <c r="BC455" s="407"/>
      <c r="BD455" s="407"/>
      <c r="BE455" s="407"/>
      <c r="BF455" s="422"/>
      <c r="BG455" s="391">
        <f>SUM($AV$4:AV455)</f>
        <v>2799.2092857142979</v>
      </c>
      <c r="BH455" s="392">
        <f>SUM($AU$134:AU455)</f>
        <v>1605.6899999999546</v>
      </c>
      <c r="BI455" s="318">
        <f>SUMIFS($AU$134:AU456,$Q$134:Q456,"F")</f>
        <v>-3014.8</v>
      </c>
      <c r="BJ455" s="318">
        <f>SUMIFS($AU$134:AU456,$Q$134:Q456,"S")</f>
        <v>4766.6499999999969</v>
      </c>
      <c r="BK455" s="343">
        <f>SUMIFS($AU$134:AU456,$P$134:P456,"W")</f>
        <v>3962.5899999999342</v>
      </c>
      <c r="BL455" s="343">
        <f>SUMIFS($AU$134:AU456,$P$134:P456,"R")</f>
        <v>-2356.899999999981</v>
      </c>
      <c r="BM455" s="343">
        <f>SUMIFS($AU$134:AU456,$AQ$134:AQ456,"M")</f>
        <v>765.79999999998859</v>
      </c>
      <c r="BN455" s="343">
        <f>SUMIFS($AU$134:AU456,$AQ$134:AQ456,"H")</f>
        <v>1897.1000000000151</v>
      </c>
      <c r="BO455" s="343">
        <f>SUMIFS($AU$134:AU456,$AQ$134:AQ456,"D")</f>
        <v>-424.95000000000056</v>
      </c>
      <c r="BP455" s="343">
        <f>SUMIFS($AU$134:AU458,$AQ$134:AQ458,"W")</f>
        <v>-1270.7</v>
      </c>
      <c r="BQ455" s="343">
        <f>SUMIFS($AU$134:AU456,$Q$134:Q456,"O")</f>
        <v>-345.36000000004572</v>
      </c>
      <c r="BR455" s="343">
        <f>SUMIFS($AU$134:AU456,$AA$134:AA456,"*")</f>
        <v>4278.7499999999818</v>
      </c>
      <c r="BS455" s="343">
        <f>SUMIFS($AU$134:AU456,$AB$134:AB456,"*")</f>
        <v>-34.560000000024061</v>
      </c>
      <c r="BT455" s="343">
        <f>SUMIFS($AU$134:AU456,$AC$134:AC456,"*")</f>
        <v>-2282.4500000000012</v>
      </c>
      <c r="BU455" s="343">
        <f>SUMIFS($AU$134:AU456,$AA$134:AA456,"*",$AB$134:AB456,"*")</f>
        <v>-333.99999999999511</v>
      </c>
      <c r="BV455" s="343">
        <f>SUMIFS($AU$134:AU456,$AA$134:AA456,"*",$AC$134:AC456,"*")</f>
        <v>666.64999999999907</v>
      </c>
      <c r="BW455" s="343">
        <f>SUMIFS($AU$134:AU456,$AB$134:AB456,"*",$AC$134:AC456,"*")</f>
        <v>78.599999999999653</v>
      </c>
      <c r="BX455" s="343">
        <f>SUMIFS($AU456:AU$1388,$Q456:Q$1388,"F")</f>
        <v>17455.466666666667</v>
      </c>
      <c r="BY455" s="343">
        <f>SUMIFS($AU456:AU$1388,$Q456:Q$1388,"S")</f>
        <v>15904.992000000002</v>
      </c>
      <c r="BZ455" s="343">
        <f>SUMIFS($AU456:AU$1388,$Q456:Q$1388,"O")</f>
        <v>-1303.4979999997527</v>
      </c>
    </row>
    <row r="456" spans="1:78" ht="15.75" customHeight="1">
      <c r="A456" s="221" t="s">
        <v>2054</v>
      </c>
      <c r="B456" s="200">
        <v>45021</v>
      </c>
      <c r="C456" s="178" t="s">
        <v>664</v>
      </c>
      <c r="D456" s="178" t="s">
        <v>151</v>
      </c>
      <c r="E456" s="227" t="s">
        <v>2103</v>
      </c>
      <c r="F456" s="180" t="s">
        <v>2104</v>
      </c>
      <c r="G456" s="181"/>
      <c r="H456" s="182"/>
      <c r="I456" s="182"/>
      <c r="J456" s="182"/>
      <c r="K456" s="183"/>
      <c r="L456" s="182"/>
      <c r="M456" s="182"/>
      <c r="N456" s="182"/>
      <c r="O456" s="183"/>
      <c r="P456" s="183"/>
      <c r="Q456" s="183"/>
      <c r="R456" s="183"/>
      <c r="S456" s="183"/>
      <c r="T456" s="183"/>
      <c r="U456" s="183"/>
      <c r="V456" s="183"/>
      <c r="W456" s="183"/>
      <c r="X456" s="183"/>
      <c r="Y456" s="184" t="str">
        <f t="shared" si="187"/>
        <v/>
      </c>
      <c r="Z456" s="184" t="str">
        <f t="shared" si="188"/>
        <v/>
      </c>
      <c r="AA456" s="185"/>
      <c r="AB456" s="185"/>
      <c r="AC456" s="185"/>
      <c r="AD456" s="649"/>
      <c r="AE456" s="182"/>
      <c r="AF456" s="332"/>
      <c r="AG456" s="182"/>
      <c r="AH456" s="182"/>
      <c r="AI456" s="182"/>
      <c r="AJ456" s="640"/>
      <c r="AK456" s="182"/>
      <c r="AL456" s="496"/>
      <c r="AM456" s="496"/>
      <c r="AN456" s="626"/>
      <c r="AO456" s="182"/>
      <c r="AP456" s="182"/>
      <c r="AQ456" s="332" t="str">
        <f>UPPER(RIGHT(Journal_Live[[#This Row],[DURATION ]]))</f>
        <v/>
      </c>
      <c r="AR456" s="182"/>
      <c r="AS456" s="189"/>
      <c r="AT456" s="189"/>
      <c r="AU456" s="187"/>
      <c r="AV456" s="190"/>
      <c r="AW456" s="191"/>
      <c r="AX456" s="407"/>
      <c r="AY456" s="407"/>
      <c r="AZ456" s="407"/>
      <c r="BA456" s="407"/>
      <c r="BB456" s="407"/>
      <c r="BC456" s="407"/>
      <c r="BD456" s="407"/>
      <c r="BE456" s="407"/>
      <c r="BF456" s="422"/>
      <c r="BG456" s="391">
        <f>SUM($AV$4:AV456)</f>
        <v>2799.2092857142979</v>
      </c>
      <c r="BH456" s="392">
        <f>SUM($AU$134:AU456)</f>
        <v>1605.6899999999546</v>
      </c>
      <c r="BI456" s="318">
        <f>SUMIFS($AU$134:AU457,$Q$134:Q457,"F")</f>
        <v>-3014.8</v>
      </c>
      <c r="BJ456" s="318">
        <f>SUMIFS($AU$134:AU457,$Q$134:Q457,"S")</f>
        <v>4928.6499999999969</v>
      </c>
      <c r="BK456" s="343">
        <f>SUMIFS($AU$134:AU457,$P$134:P457,"W")</f>
        <v>4124.5899999999347</v>
      </c>
      <c r="BL456" s="343">
        <f>SUMIFS($AU$134:AU457,$P$134:P457,"R")</f>
        <v>-2356.899999999981</v>
      </c>
      <c r="BM456" s="343">
        <f>SUMIFS($AU$134:AU457,$AQ$134:AQ457,"M")</f>
        <v>765.79999999998859</v>
      </c>
      <c r="BN456" s="343">
        <f>SUMIFS($AU$134:AU457,$AQ$134:AQ457,"H")</f>
        <v>2059.1000000000154</v>
      </c>
      <c r="BO456" s="343">
        <f>SUMIFS($AU$134:AU457,$AQ$134:AQ457,"D")</f>
        <v>-424.95000000000056</v>
      </c>
      <c r="BP456" s="343">
        <f>SUMIFS($AU$134:AU459,$AQ$134:AQ459,"W")</f>
        <v>-1270.7</v>
      </c>
      <c r="BQ456" s="343">
        <f>SUMIFS($AU$134:AU457,$Q$134:Q457,"O")</f>
        <v>-345.36000000004572</v>
      </c>
      <c r="BR456" s="343">
        <f>SUMIFS($AU$134:AU457,$AA$134:AA457,"*")</f>
        <v>4440.7499999999818</v>
      </c>
      <c r="BS456" s="343">
        <f>SUMIFS($AU$134:AU457,$AB$134:AB457,"*")</f>
        <v>-34.560000000024061</v>
      </c>
      <c r="BT456" s="343">
        <f>SUMIFS($AU$134:AU457,$AC$134:AC457,"*")</f>
        <v>-2120.4500000000012</v>
      </c>
      <c r="BU456" s="343">
        <f>SUMIFS($AU$134:AU457,$AA$134:AA457,"*",$AB$134:AB457,"*")</f>
        <v>-333.99999999999511</v>
      </c>
      <c r="BV456" s="343">
        <f>SUMIFS($AU$134:AU457,$AA$134:AA457,"*",$AC$134:AC457,"*")</f>
        <v>828.64999999999918</v>
      </c>
      <c r="BW456" s="343">
        <f>SUMIFS($AU$134:AU457,$AB$134:AB457,"*",$AC$134:AC457,"*")</f>
        <v>78.599999999999653</v>
      </c>
      <c r="BX456" s="343">
        <f>SUMIFS($AU457:AU$1388,$Q457:Q$1388,"F")</f>
        <v>17455.466666666667</v>
      </c>
      <c r="BY456" s="343">
        <f>SUMIFS($AU457:AU$1388,$Q457:Q$1388,"S")</f>
        <v>15904.992000000002</v>
      </c>
      <c r="BZ456" s="343">
        <f>SUMIFS($AU457:AU$1388,$Q457:Q$1388,"O")</f>
        <v>-1303.4979999997527</v>
      </c>
    </row>
    <row r="457" spans="1:78" ht="15.75" customHeight="1">
      <c r="A457" s="221" t="s">
        <v>2054</v>
      </c>
      <c r="B457" s="200">
        <v>45021</v>
      </c>
      <c r="C457" s="178" t="s">
        <v>682</v>
      </c>
      <c r="D457" s="178" t="s">
        <v>151</v>
      </c>
      <c r="E457" s="227"/>
      <c r="F457" s="180"/>
      <c r="G457" s="288" t="s">
        <v>181</v>
      </c>
      <c r="H457" s="182"/>
      <c r="I457" s="182"/>
      <c r="J457" s="182"/>
      <c r="K457" s="183"/>
      <c r="L457" s="182">
        <v>1</v>
      </c>
      <c r="M457" s="182">
        <v>1</v>
      </c>
      <c r="N457" s="182"/>
      <c r="O457" s="183" t="s">
        <v>95</v>
      </c>
      <c r="P457" s="183" t="s">
        <v>96</v>
      </c>
      <c r="Q457" s="183" t="s">
        <v>97</v>
      </c>
      <c r="R457" s="183">
        <v>10</v>
      </c>
      <c r="S457" s="183">
        <v>10</v>
      </c>
      <c r="T457" s="183">
        <v>10</v>
      </c>
      <c r="U457" s="183" t="s">
        <v>22</v>
      </c>
      <c r="V457" s="183"/>
      <c r="W457" s="183"/>
      <c r="X457" s="183"/>
      <c r="Y457" s="184">
        <f t="shared" si="187"/>
        <v>0.01</v>
      </c>
      <c r="Z457" s="184">
        <f t="shared" si="188"/>
        <v>1620</v>
      </c>
      <c r="AA457" s="185" t="s">
        <v>998</v>
      </c>
      <c r="AB457" s="185"/>
      <c r="AC457" s="185" t="s">
        <v>2105</v>
      </c>
      <c r="AD457" s="649">
        <v>-0.1</v>
      </c>
      <c r="AE457" s="182"/>
      <c r="AF457" s="332" t="s">
        <v>2106</v>
      </c>
      <c r="AG457" s="182"/>
      <c r="AH457" s="182"/>
      <c r="AI457" s="182"/>
      <c r="AJ457" s="640"/>
      <c r="AK457" s="182"/>
      <c r="AL457" s="496">
        <f t="shared" ref="AL457:AL460" si="194">-0.02*Z457</f>
        <v>-32.4</v>
      </c>
      <c r="AM457" s="496">
        <f>AL457*R457</f>
        <v>-324</v>
      </c>
      <c r="AN457" s="626" t="s">
        <v>2090</v>
      </c>
      <c r="AO457" s="182"/>
      <c r="AP457" s="182" t="s">
        <v>942</v>
      </c>
      <c r="AQ457" s="332" t="str">
        <f>UPPER(RIGHT(Journal_Live[[#This Row],[DURATION ]]))</f>
        <v>H</v>
      </c>
      <c r="AR457" s="182" t="s">
        <v>2107</v>
      </c>
      <c r="AS457" s="189">
        <v>-0.09</v>
      </c>
      <c r="AT457" s="189">
        <f>IF(ISBLANK(AS457),,IF(U457="S",AD457-AS457,AS457-AD457))</f>
        <v>1.0000000000000009E-2</v>
      </c>
      <c r="AU457" s="187">
        <f>AV457*R457</f>
        <v>162.00000000000014</v>
      </c>
      <c r="AV457" s="190">
        <f>IF(ISBLANK(AS457),,(AT457*Z457))</f>
        <v>16.200000000000014</v>
      </c>
      <c r="AW457" s="191" t="s">
        <v>96</v>
      </c>
      <c r="AX457" s="407"/>
      <c r="AY457" s="407"/>
      <c r="AZ457" s="407"/>
      <c r="BA457" s="407"/>
      <c r="BB457" s="407"/>
      <c r="BC457" s="407"/>
      <c r="BD457" s="407"/>
      <c r="BE457" s="407"/>
      <c r="BF457" s="422"/>
      <c r="BG457" s="391">
        <f>SUM($AV$4:AV457)</f>
        <v>2815.4092857142978</v>
      </c>
      <c r="BH457" s="392">
        <f>SUM($AU$134:AU457)</f>
        <v>1767.6899999999548</v>
      </c>
      <c r="BI457" s="318">
        <f>SUMIFS($AU$134:AU458,$Q$134:Q458,"F")</f>
        <v>-3014.8</v>
      </c>
      <c r="BJ457" s="318">
        <f>SUMIFS($AU$134:AU458,$Q$134:Q458,"S")</f>
        <v>5042.0499999999965</v>
      </c>
      <c r="BK457" s="343">
        <f>SUMIFS($AU$134:AU458,$P$134:P458,"W")</f>
        <v>4237.9899999999343</v>
      </c>
      <c r="BL457" s="343">
        <f>SUMIFS($AU$134:AU458,$P$134:P458,"R")</f>
        <v>-2356.899999999981</v>
      </c>
      <c r="BM457" s="343">
        <f>SUMIFS($AU$134:AU458,$AQ$134:AQ458,"M")</f>
        <v>765.79999999998859</v>
      </c>
      <c r="BN457" s="343">
        <f>SUMIFS($AU$134:AU458,$AQ$134:AQ458,"H")</f>
        <v>2172.5000000000155</v>
      </c>
      <c r="BO457" s="343">
        <f>SUMIFS($AU$134:AU458,$AQ$134:AQ458,"D")</f>
        <v>-424.95000000000056</v>
      </c>
      <c r="BP457" s="343">
        <f>SUMIFS($AU$134:AU460,$AQ$134:AQ460,"W")</f>
        <v>-1270.7</v>
      </c>
      <c r="BQ457" s="343">
        <f>SUMIFS($AU$134:AU458,$Q$134:Q458,"O")</f>
        <v>-345.36000000004572</v>
      </c>
      <c r="BR457" s="343">
        <f>SUMIFS($AU$134:AU458,$AA$134:AA458,"*")</f>
        <v>4554.1499999999814</v>
      </c>
      <c r="BS457" s="343">
        <f>SUMIFS($AU$134:AU458,$AB$134:AB458,"*")</f>
        <v>-34.560000000024061</v>
      </c>
      <c r="BT457" s="343">
        <f>SUMIFS($AU$134:AU458,$AC$134:AC458,"*")</f>
        <v>-2007.0500000000013</v>
      </c>
      <c r="BU457" s="343">
        <f>SUMIFS($AU$134:AU458,$AA$134:AA458,"*",$AB$134:AB458,"*")</f>
        <v>-333.99999999999511</v>
      </c>
      <c r="BV457" s="343">
        <f>SUMIFS($AU$134:AU458,$AA$134:AA458,"*",$AC$134:AC458,"*")</f>
        <v>942.04999999999916</v>
      </c>
      <c r="BW457" s="343">
        <f>SUMIFS($AU$134:AU458,$AB$134:AB458,"*",$AC$134:AC458,"*")</f>
        <v>78.599999999999653</v>
      </c>
      <c r="BX457" s="343">
        <f>SUMIFS($AU458:AU$1388,$Q458:Q$1388,"F")</f>
        <v>17455.466666666667</v>
      </c>
      <c r="BY457" s="343">
        <f>SUMIFS($AU458:AU$1388,$Q458:Q$1388,"S")</f>
        <v>15742.992000000002</v>
      </c>
      <c r="BZ457" s="343">
        <f>SUMIFS($AU458:AU$1388,$Q458:Q$1388,"O")</f>
        <v>-1303.4979999997527</v>
      </c>
    </row>
    <row r="458" spans="1:78" ht="15.75" customHeight="1">
      <c r="A458" s="221" t="s">
        <v>2054</v>
      </c>
      <c r="B458" s="200">
        <v>45021</v>
      </c>
      <c r="C458" s="178" t="s">
        <v>682</v>
      </c>
      <c r="D458" s="178" t="s">
        <v>151</v>
      </c>
      <c r="E458" s="227"/>
      <c r="F458" s="180"/>
      <c r="G458" s="284" t="s">
        <v>2108</v>
      </c>
      <c r="H458" s="182"/>
      <c r="I458" s="182"/>
      <c r="J458" s="182"/>
      <c r="K458" s="183"/>
      <c r="L458" s="182">
        <v>1</v>
      </c>
      <c r="M458" s="182">
        <v>1</v>
      </c>
      <c r="N458" s="182"/>
      <c r="O458" s="183" t="s">
        <v>95</v>
      </c>
      <c r="P458" s="183" t="s">
        <v>96</v>
      </c>
      <c r="Q458" s="183" t="s">
        <v>97</v>
      </c>
      <c r="R458" s="183">
        <v>7</v>
      </c>
      <c r="S458" s="183">
        <v>7</v>
      </c>
      <c r="T458" s="183">
        <v>7</v>
      </c>
      <c r="U458" s="183" t="s">
        <v>22</v>
      </c>
      <c r="V458" s="183"/>
      <c r="W458" s="183"/>
      <c r="X458" s="183"/>
      <c r="Y458" s="184">
        <f t="shared" si="187"/>
        <v>0.01</v>
      </c>
      <c r="Z458" s="184">
        <f t="shared" si="188"/>
        <v>1620</v>
      </c>
      <c r="AA458" s="185" t="s">
        <v>2109</v>
      </c>
      <c r="AB458" s="185"/>
      <c r="AC458" s="185" t="s">
        <v>2105</v>
      </c>
      <c r="AD458" s="649">
        <v>-0.11</v>
      </c>
      <c r="AE458" s="182"/>
      <c r="AF458" s="332"/>
      <c r="AG458" s="182"/>
      <c r="AH458" s="182"/>
      <c r="AI458" s="182"/>
      <c r="AJ458" s="640"/>
      <c r="AK458" s="182"/>
      <c r="AL458" s="496">
        <f>-0.03*Z458</f>
        <v>-48.6</v>
      </c>
      <c r="AM458" s="496">
        <f>AL458*R458</f>
        <v>-340.2</v>
      </c>
      <c r="AN458" s="626" t="s">
        <v>2090</v>
      </c>
      <c r="AO458" s="182"/>
      <c r="AP458" s="182" t="s">
        <v>1084</v>
      </c>
      <c r="AQ458" s="332" t="str">
        <f>UPPER(RIGHT(Journal_Live[[#This Row],[DURATION ]]))</f>
        <v>H</v>
      </c>
      <c r="AR458" s="182" t="s">
        <v>2060</v>
      </c>
      <c r="AS458" s="189">
        <v>-0.1</v>
      </c>
      <c r="AT458" s="189">
        <f>IF(ISBLANK(AS458),,IF(U458="S",AD458-AS458,AS458-AD458))</f>
        <v>9.999999999999995E-3</v>
      </c>
      <c r="AU458" s="187">
        <f>AV458*R458</f>
        <v>113.39999999999995</v>
      </c>
      <c r="AV458" s="190">
        <f>IF(ISBLANK(AS458),,(AT458*Z458))</f>
        <v>16.199999999999992</v>
      </c>
      <c r="AW458" s="191" t="s">
        <v>96</v>
      </c>
      <c r="AX458" s="407"/>
      <c r="AY458" s="407"/>
      <c r="AZ458" s="407"/>
      <c r="BA458" s="407"/>
      <c r="BB458" s="407"/>
      <c r="BC458" s="407"/>
      <c r="BD458" s="407"/>
      <c r="BE458" s="407"/>
      <c r="BF458" s="422"/>
      <c r="BG458" s="391">
        <f>SUM($AV$4:AV458)</f>
        <v>2831.6092857142976</v>
      </c>
      <c r="BH458" s="392">
        <f>SUM($AU$134:AU458)</f>
        <v>1881.0899999999547</v>
      </c>
      <c r="BI458" s="318">
        <f>SUMIFS($AU$134:AU459,$Q$134:Q459,"F")</f>
        <v>-3014.8</v>
      </c>
      <c r="BJ458" s="318">
        <f>SUMIFS($AU$134:AU459,$Q$134:Q459,"S")</f>
        <v>5042.0499999999965</v>
      </c>
      <c r="BK458" s="343">
        <f>SUMIFS($AU$134:AU459,$P$134:P459,"W")</f>
        <v>4237.9899999999343</v>
      </c>
      <c r="BL458" s="343">
        <f>SUMIFS($AU$134:AU459,$P$134:P459,"R")</f>
        <v>-2356.899999999981</v>
      </c>
      <c r="BM458" s="343">
        <f>SUMIFS($AU$134:AU459,$AQ$134:AQ459,"M")</f>
        <v>765.79999999998859</v>
      </c>
      <c r="BN458" s="343">
        <f>SUMIFS($AU$134:AU459,$AQ$134:AQ459,"H")</f>
        <v>2172.5000000000155</v>
      </c>
      <c r="BO458" s="343">
        <f>SUMIFS($AU$134:AU459,$AQ$134:AQ459,"D")</f>
        <v>-424.95000000000056</v>
      </c>
      <c r="BP458" s="343">
        <f>SUMIFS($AU$134:AU461,$AQ$134:AQ461,"W")</f>
        <v>-1270.7</v>
      </c>
      <c r="BQ458" s="343">
        <f>SUMIFS($AU$134:AU459,$Q$134:Q459,"O")</f>
        <v>-345.36000000004572</v>
      </c>
      <c r="BR458" s="343">
        <f>SUMIFS($AU$134:AU459,$AA$134:AA459,"*")</f>
        <v>4554.1499999999814</v>
      </c>
      <c r="BS458" s="343">
        <f>SUMIFS($AU$134:AU459,$AB$134:AB459,"*")</f>
        <v>-34.560000000024061</v>
      </c>
      <c r="BT458" s="343">
        <f>SUMIFS($AU$134:AU459,$AC$134:AC459,"*")</f>
        <v>-2007.0500000000013</v>
      </c>
      <c r="BU458" s="343">
        <f>SUMIFS($AU$134:AU459,$AA$134:AA459,"*",$AB$134:AB459,"*")</f>
        <v>-333.99999999999511</v>
      </c>
      <c r="BV458" s="343">
        <f>SUMIFS($AU$134:AU459,$AA$134:AA459,"*",$AC$134:AC459,"*")</f>
        <v>942.04999999999916</v>
      </c>
      <c r="BW458" s="343">
        <f>SUMIFS($AU$134:AU459,$AB$134:AB459,"*",$AC$134:AC459,"*")</f>
        <v>78.599999999999653</v>
      </c>
      <c r="BX458" s="343">
        <f>SUMIFS($AU459:AU$1388,$Q459:Q$1388,"F")</f>
        <v>17455.466666666667</v>
      </c>
      <c r="BY458" s="343">
        <f>SUMIFS($AU459:AU$1388,$Q459:Q$1388,"S")</f>
        <v>15629.592000000002</v>
      </c>
      <c r="BZ458" s="343">
        <f>SUMIFS($AU459:AU$1388,$Q459:Q$1388,"O")</f>
        <v>-1303.4979999997527</v>
      </c>
    </row>
    <row r="459" spans="1:78" ht="15.75" customHeight="1">
      <c r="A459" s="221" t="s">
        <v>2054</v>
      </c>
      <c r="B459" s="200">
        <v>45021</v>
      </c>
      <c r="C459" s="178" t="s">
        <v>682</v>
      </c>
      <c r="D459" s="178" t="s">
        <v>151</v>
      </c>
      <c r="E459" s="227"/>
      <c r="F459" s="180"/>
      <c r="G459" s="288" t="s">
        <v>2064</v>
      </c>
      <c r="H459" s="182"/>
      <c r="I459" s="182"/>
      <c r="J459" s="182"/>
      <c r="K459" s="183"/>
      <c r="L459" s="182">
        <v>1</v>
      </c>
      <c r="M459" s="182"/>
      <c r="N459" s="182"/>
      <c r="O459" s="183" t="s">
        <v>95</v>
      </c>
      <c r="P459" s="183" t="s">
        <v>137</v>
      </c>
      <c r="Q459" s="183" t="s">
        <v>97</v>
      </c>
      <c r="R459" s="183">
        <v>7</v>
      </c>
      <c r="S459" s="183">
        <v>7</v>
      </c>
      <c r="T459" s="183">
        <v>7</v>
      </c>
      <c r="U459" s="183" t="s">
        <v>22</v>
      </c>
      <c r="V459" s="183"/>
      <c r="W459" s="183"/>
      <c r="X459" s="183"/>
      <c r="Y459" s="184">
        <f t="shared" si="187"/>
        <v>0.01</v>
      </c>
      <c r="Z459" s="184">
        <f t="shared" si="188"/>
        <v>1620</v>
      </c>
      <c r="AA459" s="185" t="s">
        <v>2110</v>
      </c>
      <c r="AB459" s="185"/>
      <c r="AC459" s="185"/>
      <c r="AD459" s="649">
        <v>-0.08</v>
      </c>
      <c r="AE459" s="182"/>
      <c r="AF459" s="332"/>
      <c r="AG459" s="182"/>
      <c r="AH459" s="182"/>
      <c r="AI459" s="182"/>
      <c r="AJ459" s="640"/>
      <c r="AK459" s="182"/>
      <c r="AL459" s="496">
        <f t="shared" si="194"/>
        <v>-32.4</v>
      </c>
      <c r="AM459" s="496">
        <f>AL459*R459</f>
        <v>-226.79999999999998</v>
      </c>
      <c r="AN459" s="626" t="s">
        <v>2090</v>
      </c>
      <c r="AO459" s="182"/>
      <c r="AP459" s="182" t="s">
        <v>2111</v>
      </c>
      <c r="AQ459" s="332" t="str">
        <f>UPPER(RIGHT(Journal_Live[[#This Row],[DURATION ]]))</f>
        <v>H</v>
      </c>
      <c r="AR459" s="182" t="s">
        <v>2112</v>
      </c>
      <c r="AS459" s="189">
        <v>-0.08</v>
      </c>
      <c r="AT459" s="189">
        <f>IF(ISBLANK(AS459),,IF(U459="S",AD459-AS459,AS459-AD459))</f>
        <v>0</v>
      </c>
      <c r="AU459" s="187">
        <f>AV459*R459</f>
        <v>0</v>
      </c>
      <c r="AV459" s="190">
        <f>IF(ISBLANK(AS459),,(AT459*Z459))</f>
        <v>0</v>
      </c>
      <c r="AW459" s="191" t="s">
        <v>115</v>
      </c>
      <c r="AX459" s="407"/>
      <c r="AY459" s="407"/>
      <c r="AZ459" s="407"/>
      <c r="BA459" s="407"/>
      <c r="BB459" s="407"/>
      <c r="BC459" s="407"/>
      <c r="BD459" s="407"/>
      <c r="BE459" s="407"/>
      <c r="BF459" s="422"/>
      <c r="BG459" s="391">
        <f>SUM($AV$4:AV459)</f>
        <v>2831.6092857142976</v>
      </c>
      <c r="BH459" s="392">
        <f>SUM($AU$134:AU459)</f>
        <v>1881.0899999999547</v>
      </c>
      <c r="BI459" s="318">
        <f>SUMIFS($AU$134:AU460,$Q$134:Q460,"F")</f>
        <v>-3014.8</v>
      </c>
      <c r="BJ459" s="318">
        <f>SUMIFS($AU$134:AU460,$Q$134:Q460,"S")</f>
        <v>5204.0499999999965</v>
      </c>
      <c r="BK459" s="343">
        <f>SUMIFS($AU$134:AU460,$P$134:P460,"W")</f>
        <v>4237.9899999999343</v>
      </c>
      <c r="BL459" s="343">
        <f>SUMIFS($AU$134:AU460,$P$134:P460,"R")</f>
        <v>-2194.899999999981</v>
      </c>
      <c r="BM459" s="343">
        <f>SUMIFS($AU$134:AU460,$AQ$134:AQ460,"M")</f>
        <v>765.79999999998859</v>
      </c>
      <c r="BN459" s="343">
        <f>SUMIFS($AU$134:AU460,$AQ$134:AQ460,"H")</f>
        <v>2334.5000000000155</v>
      </c>
      <c r="BO459" s="343">
        <f>SUMIFS($AU$134:AU460,$AQ$134:AQ460,"D")</f>
        <v>-424.95000000000056</v>
      </c>
      <c r="BP459" s="343">
        <f>SUMIFS($AU$134:AU462,$AQ$134:AQ462,"W")</f>
        <v>-1270.7</v>
      </c>
      <c r="BQ459" s="343">
        <f>SUMIFS($AU$134:AU460,$Q$134:Q460,"O")</f>
        <v>-345.36000000004572</v>
      </c>
      <c r="BR459" s="343">
        <f>SUMIFS($AU$134:AU460,$AA$134:AA460,"*")</f>
        <v>4716.1499999999814</v>
      </c>
      <c r="BS459" s="343">
        <f>SUMIFS($AU$134:AU460,$AB$134:AB460,"*")</f>
        <v>-34.560000000024061</v>
      </c>
      <c r="BT459" s="343">
        <f>SUMIFS($AU$134:AU460,$AC$134:AC460,"*")</f>
        <v>-2007.0500000000013</v>
      </c>
      <c r="BU459" s="343">
        <f>SUMIFS($AU$134:AU460,$AA$134:AA460,"*",$AB$134:AB460,"*")</f>
        <v>-333.99999999999511</v>
      </c>
      <c r="BV459" s="343">
        <f>SUMIFS($AU$134:AU460,$AA$134:AA460,"*",$AC$134:AC460,"*")</f>
        <v>942.04999999999916</v>
      </c>
      <c r="BW459" s="343">
        <f>SUMIFS($AU$134:AU460,$AB$134:AB460,"*",$AC$134:AC460,"*")</f>
        <v>78.599999999999653</v>
      </c>
      <c r="BX459" s="343">
        <f>SUMIFS($AU460:AU$1388,$Q460:Q$1388,"F")</f>
        <v>17455.466666666667</v>
      </c>
      <c r="BY459" s="343">
        <f>SUMIFS($AU460:AU$1388,$Q460:Q$1388,"S")</f>
        <v>15629.592000000002</v>
      </c>
      <c r="BZ459" s="343">
        <f>SUMIFS($AU460:AU$1388,$Q460:Q$1388,"O")</f>
        <v>-1303.4979999997527</v>
      </c>
    </row>
    <row r="460" spans="1:78" ht="15.75" customHeight="1">
      <c r="A460" s="221" t="s">
        <v>2054</v>
      </c>
      <c r="B460" s="200">
        <v>45021</v>
      </c>
      <c r="C460" s="178" t="s">
        <v>2113</v>
      </c>
      <c r="D460" s="178" t="s">
        <v>151</v>
      </c>
      <c r="E460" s="227"/>
      <c r="F460" s="180"/>
      <c r="G460" s="284" t="s">
        <v>2064</v>
      </c>
      <c r="H460" s="182"/>
      <c r="I460" s="182"/>
      <c r="J460" s="182"/>
      <c r="K460" s="183"/>
      <c r="L460" s="182">
        <v>1</v>
      </c>
      <c r="M460" s="182"/>
      <c r="N460" s="182"/>
      <c r="O460" s="183" t="s">
        <v>95</v>
      </c>
      <c r="P460" s="183" t="s">
        <v>137</v>
      </c>
      <c r="Q460" s="183" t="s">
        <v>97</v>
      </c>
      <c r="R460" s="183">
        <v>10</v>
      </c>
      <c r="S460" s="183">
        <v>10</v>
      </c>
      <c r="T460" s="183">
        <v>10</v>
      </c>
      <c r="U460" s="183" t="s">
        <v>22</v>
      </c>
      <c r="V460" s="183"/>
      <c r="W460" s="183"/>
      <c r="X460" s="183"/>
      <c r="Y460" s="184">
        <f t="shared" si="187"/>
        <v>0.01</v>
      </c>
      <c r="Z460" s="184">
        <f t="shared" si="188"/>
        <v>1620</v>
      </c>
      <c r="AA460" s="185" t="s">
        <v>2114</v>
      </c>
      <c r="AB460" s="185"/>
      <c r="AC460" s="185"/>
      <c r="AD460" s="649">
        <v>-0.09</v>
      </c>
      <c r="AE460" s="182"/>
      <c r="AF460" s="332"/>
      <c r="AG460" s="182"/>
      <c r="AH460" s="182">
        <v>-7</v>
      </c>
      <c r="AI460" s="182"/>
      <c r="AJ460" s="640"/>
      <c r="AK460" s="182"/>
      <c r="AL460" s="496">
        <f t="shared" si="194"/>
        <v>-32.4</v>
      </c>
      <c r="AM460" s="496">
        <f>AL460*R460</f>
        <v>-324</v>
      </c>
      <c r="AN460" s="626" t="s">
        <v>2090</v>
      </c>
      <c r="AO460" s="182"/>
      <c r="AP460" s="182" t="s">
        <v>2115</v>
      </c>
      <c r="AQ460" s="332" t="str">
        <f>UPPER(RIGHT(Journal_Live[[#This Row],[DURATION ]]))</f>
        <v>H</v>
      </c>
      <c r="AR460" s="182" t="s">
        <v>2116</v>
      </c>
      <c r="AS460" s="189">
        <v>-0.08</v>
      </c>
      <c r="AT460" s="189">
        <f>IF(ISBLANK(AS460),,IF(U460="S",AD460-AS460,AS460-AD460))</f>
        <v>9.999999999999995E-3</v>
      </c>
      <c r="AU460" s="187">
        <f>AV460*R460</f>
        <v>161.99999999999991</v>
      </c>
      <c r="AV460" s="190">
        <f>IF(ISBLANK(AS460),,(AT460*Z460))</f>
        <v>16.199999999999992</v>
      </c>
      <c r="AW460" s="191" t="s">
        <v>96</v>
      </c>
      <c r="AX460" s="407" t="s">
        <v>2117</v>
      </c>
      <c r="AY460" s="407" t="s">
        <v>2118</v>
      </c>
      <c r="AZ460" s="407"/>
      <c r="BA460" s="407"/>
      <c r="BB460" s="407"/>
      <c r="BC460" s="407"/>
      <c r="BD460" s="407"/>
      <c r="BE460" s="407"/>
      <c r="BF460" s="422"/>
      <c r="BG460" s="391">
        <f>SUM($AV$4:AV460)</f>
        <v>2847.8092857142974</v>
      </c>
      <c r="BH460" s="392">
        <f>SUM($AU$134:AU460)</f>
        <v>2043.0899999999547</v>
      </c>
      <c r="BI460" s="318">
        <f>SUMIFS($AU$134:AU461,$Q$134:Q461,"F")</f>
        <v>-3014.8</v>
      </c>
      <c r="BJ460" s="318">
        <f>SUMIFS($AU$134:AU461,$Q$134:Q461,"S")</f>
        <v>5317.4499999999971</v>
      </c>
      <c r="BK460" s="343">
        <f>SUMIFS($AU$134:AU461,$P$134:P461,"W")</f>
        <v>4351.3899999999339</v>
      </c>
      <c r="BL460" s="343">
        <f>SUMIFS($AU$134:AU461,$P$134:P461,"R")</f>
        <v>-2194.899999999981</v>
      </c>
      <c r="BM460" s="343">
        <f>SUMIFS($AU$134:AU461,$AQ$134:AQ461,"M")</f>
        <v>765.79999999998859</v>
      </c>
      <c r="BN460" s="343">
        <f>SUMIFS($AU$134:AU461,$AQ$134:AQ461,"H")</f>
        <v>2447.9000000000156</v>
      </c>
      <c r="BO460" s="343">
        <f>SUMIFS($AU$134:AU461,$AQ$134:AQ461,"D")</f>
        <v>-424.95000000000056</v>
      </c>
      <c r="BP460" s="343">
        <f>SUMIFS($AU$134:AU463,$AQ$134:AQ463,"W")</f>
        <v>-1270.7</v>
      </c>
      <c r="BQ460" s="343">
        <f>SUMIFS($AU$134:AU461,$Q$134:Q461,"O")</f>
        <v>-345.36000000004572</v>
      </c>
      <c r="BR460" s="343">
        <f>SUMIFS($AU$134:AU461,$AA$134:AA461,"*")</f>
        <v>4829.5499999999811</v>
      </c>
      <c r="BS460" s="343">
        <f>SUMIFS($AU$134:AU461,$AB$134:AB461,"*")</f>
        <v>-34.560000000024061</v>
      </c>
      <c r="BT460" s="343">
        <f>SUMIFS($AU$134:AU461,$AC$134:AC461,"*")</f>
        <v>-1893.6500000000012</v>
      </c>
      <c r="BU460" s="343">
        <f>SUMIFS($AU$134:AU461,$AA$134:AA461,"*",$AB$134:AB461,"*")</f>
        <v>-333.99999999999511</v>
      </c>
      <c r="BV460" s="343">
        <f>SUMIFS($AU$134:AU461,$AA$134:AA461,"*",$AC$134:AC461,"*")</f>
        <v>1055.4499999999994</v>
      </c>
      <c r="BW460" s="343">
        <f>SUMIFS($AU$134:AU461,$AB$134:AB461,"*",$AC$134:AC461,"*")</f>
        <v>78.599999999999653</v>
      </c>
      <c r="BX460" s="343">
        <f>SUMIFS($AU461:AU$1388,$Q461:Q$1388,"F")</f>
        <v>17455.466666666667</v>
      </c>
      <c r="BY460" s="343">
        <f>SUMIFS($AU461:AU$1388,$Q461:Q$1388,"S")</f>
        <v>15467.592000000001</v>
      </c>
      <c r="BZ460" s="343">
        <f>SUMIFS($AU461:AU$1388,$Q461:Q$1388,"O")</f>
        <v>-1303.4979999997527</v>
      </c>
    </row>
    <row r="461" spans="1:78" ht="15.75" customHeight="1">
      <c r="A461" s="221" t="s">
        <v>2054</v>
      </c>
      <c r="B461" s="200">
        <v>45021</v>
      </c>
      <c r="C461" s="178" t="s">
        <v>2119</v>
      </c>
      <c r="D461" s="178" t="s">
        <v>151</v>
      </c>
      <c r="E461" s="227"/>
      <c r="F461" s="180"/>
      <c r="G461" s="288" t="s">
        <v>94</v>
      </c>
      <c r="H461" s="182"/>
      <c r="I461" s="182"/>
      <c r="J461" s="182"/>
      <c r="K461" s="183"/>
      <c r="L461" s="182">
        <v>1</v>
      </c>
      <c r="M461" s="182"/>
      <c r="N461" s="182"/>
      <c r="O461" s="183" t="s">
        <v>95</v>
      </c>
      <c r="P461" s="183" t="s">
        <v>96</v>
      </c>
      <c r="Q461" s="183" t="s">
        <v>97</v>
      </c>
      <c r="R461" s="183">
        <v>7</v>
      </c>
      <c r="S461" s="183">
        <v>7</v>
      </c>
      <c r="T461" s="183">
        <v>7</v>
      </c>
      <c r="U461" s="183" t="s">
        <v>22</v>
      </c>
      <c r="V461" s="183"/>
      <c r="W461" s="183"/>
      <c r="X461" s="183"/>
      <c r="Y461" s="184">
        <f t="shared" si="187"/>
        <v>0.01</v>
      </c>
      <c r="Z461" s="184">
        <f t="shared" si="188"/>
        <v>1620</v>
      </c>
      <c r="AA461" s="185" t="s">
        <v>2120</v>
      </c>
      <c r="AB461" s="185"/>
      <c r="AC461" s="185" t="s">
        <v>529</v>
      </c>
      <c r="AD461" s="649">
        <v>-7.0000000000000007E-2</v>
      </c>
      <c r="AE461" s="182"/>
      <c r="AF461" s="332"/>
      <c r="AG461" s="182"/>
      <c r="AH461" s="182"/>
      <c r="AI461" s="182"/>
      <c r="AJ461" s="640"/>
      <c r="AK461" s="182"/>
      <c r="AL461" s="496">
        <f t="shared" ref="AL461" si="195">-0.02*Z461</f>
        <v>-32.4</v>
      </c>
      <c r="AM461" s="496">
        <f>AL461*R461</f>
        <v>-226.79999999999998</v>
      </c>
      <c r="AN461" s="626" t="s">
        <v>2090</v>
      </c>
      <c r="AO461" s="182"/>
      <c r="AP461" s="182" t="s">
        <v>1433</v>
      </c>
      <c r="AQ461" s="332" t="str">
        <f>UPPER(RIGHT(Journal_Live[[#This Row],[DURATION ]]))</f>
        <v>H</v>
      </c>
      <c r="AR461" s="182" t="s">
        <v>2121</v>
      </c>
      <c r="AS461" s="189">
        <v>-0.06</v>
      </c>
      <c r="AT461" s="189">
        <f>IF(ISBLANK(AS461),,IF(U461="S",AD461-AS461,AS461-AD461))</f>
        <v>1.0000000000000009E-2</v>
      </c>
      <c r="AU461" s="187">
        <f>AV461*R461</f>
        <v>113.40000000000009</v>
      </c>
      <c r="AV461" s="190">
        <f>IF(ISBLANK(AS461),,(AT461*Z461))</f>
        <v>16.200000000000014</v>
      </c>
      <c r="AW461" s="191" t="s">
        <v>96</v>
      </c>
      <c r="AX461" s="407"/>
      <c r="AY461" s="407"/>
      <c r="AZ461" s="407"/>
      <c r="BA461" s="407"/>
      <c r="BB461" s="407"/>
      <c r="BC461" s="407"/>
      <c r="BD461" s="407"/>
      <c r="BE461" s="407"/>
      <c r="BF461" s="422"/>
      <c r="BG461" s="391">
        <f>SUM($AV$4:AV461)</f>
        <v>2864.0092857142972</v>
      </c>
      <c r="BH461" s="392">
        <f>SUM($AU$134:AU461)</f>
        <v>2156.4899999999548</v>
      </c>
      <c r="BI461" s="318">
        <f>SUMIFS($AU$134:AU462,$Q$134:Q462,"F")</f>
        <v>-3014.8</v>
      </c>
      <c r="BJ461" s="318">
        <f>SUMIFS($AU$134:AU462,$Q$134:Q462,"S")</f>
        <v>5317.4499999999971</v>
      </c>
      <c r="BK461" s="343">
        <f>SUMIFS($AU$134:AU462,$P$134:P462,"W")</f>
        <v>4351.3899999999339</v>
      </c>
      <c r="BL461" s="343">
        <f>SUMIFS($AU$134:AU462,$P$134:P462,"R")</f>
        <v>-2194.899999999981</v>
      </c>
      <c r="BM461" s="343">
        <f>SUMIFS($AU$134:AU462,$AQ$134:AQ462,"M")</f>
        <v>765.79999999998859</v>
      </c>
      <c r="BN461" s="343">
        <f>SUMIFS($AU$134:AU462,$AQ$134:AQ462,"H")</f>
        <v>2447.9000000000156</v>
      </c>
      <c r="BO461" s="343">
        <f>SUMIFS($AU$134:AU462,$AQ$134:AQ462,"D")</f>
        <v>-424.95000000000056</v>
      </c>
      <c r="BP461" s="343">
        <f>SUMIFS($AU$134:AU464,$AQ$134:AQ464,"W")</f>
        <v>-1270.7</v>
      </c>
      <c r="BQ461" s="343">
        <f>SUMIFS($AU$134:AU462,$Q$134:Q462,"O")</f>
        <v>-345.36000000004572</v>
      </c>
      <c r="BR461" s="343">
        <f>SUMIFS($AU$134:AU462,$AA$134:AA462,"*")</f>
        <v>4829.5499999999811</v>
      </c>
      <c r="BS461" s="343">
        <f>SUMIFS($AU$134:AU462,$AB$134:AB462,"*")</f>
        <v>-34.560000000024061</v>
      </c>
      <c r="BT461" s="343">
        <f>SUMIFS($AU$134:AU462,$AC$134:AC462,"*")</f>
        <v>-1893.6500000000012</v>
      </c>
      <c r="BU461" s="343">
        <f>SUMIFS($AU$134:AU462,$AA$134:AA462,"*",$AB$134:AB462,"*")</f>
        <v>-333.99999999999511</v>
      </c>
      <c r="BV461" s="343">
        <f>SUMIFS($AU$134:AU462,$AA$134:AA462,"*",$AC$134:AC462,"*")</f>
        <v>1055.4499999999994</v>
      </c>
      <c r="BW461" s="343">
        <f>SUMIFS($AU$134:AU462,$AB$134:AB462,"*",$AC$134:AC462,"*")</f>
        <v>78.599999999999653</v>
      </c>
      <c r="BX461" s="343">
        <f>SUMIFS($AU462:AU$1388,$Q462:Q$1388,"F")</f>
        <v>17455.466666666667</v>
      </c>
      <c r="BY461" s="343">
        <f>SUMIFS($AU462:AU$1388,$Q462:Q$1388,"S")</f>
        <v>15354.192000000001</v>
      </c>
      <c r="BZ461" s="343">
        <f>SUMIFS($AU462:AU$1388,$Q462:Q$1388,"O")</f>
        <v>-1303.4979999997527</v>
      </c>
    </row>
    <row r="462" spans="1:78" ht="15.75" customHeight="1">
      <c r="A462" s="221" t="s">
        <v>2054</v>
      </c>
      <c r="B462" s="200">
        <v>45021</v>
      </c>
      <c r="C462" s="178" t="s">
        <v>2122</v>
      </c>
      <c r="D462" s="178" t="s">
        <v>151</v>
      </c>
      <c r="E462" s="227" t="s">
        <v>2123</v>
      </c>
      <c r="F462" s="180" t="s">
        <v>2124</v>
      </c>
      <c r="G462" s="181"/>
      <c r="H462" s="182"/>
      <c r="I462" s="182"/>
      <c r="J462" s="182">
        <v>1</v>
      </c>
      <c r="K462" s="183" t="s">
        <v>115</v>
      </c>
      <c r="L462" s="182"/>
      <c r="M462" s="182"/>
      <c r="N462" s="182"/>
      <c r="O462" s="183"/>
      <c r="P462" s="183"/>
      <c r="Q462" s="183"/>
      <c r="R462" s="183"/>
      <c r="S462" s="183"/>
      <c r="T462" s="183"/>
      <c r="U462" s="183"/>
      <c r="V462" s="183"/>
      <c r="W462" s="183"/>
      <c r="X462" s="183"/>
      <c r="Y462" s="184" t="str">
        <f t="shared" si="187"/>
        <v/>
      </c>
      <c r="Z462" s="184" t="str">
        <f t="shared" si="188"/>
        <v/>
      </c>
      <c r="AA462" s="185"/>
      <c r="AB462" s="185"/>
      <c r="AC462" s="185"/>
      <c r="AD462" s="649"/>
      <c r="AE462" s="182"/>
      <c r="AF462" s="332"/>
      <c r="AG462" s="182"/>
      <c r="AH462" s="182"/>
      <c r="AI462" s="182"/>
      <c r="AJ462" s="640"/>
      <c r="AK462" s="182"/>
      <c r="AL462" s="496"/>
      <c r="AM462" s="496"/>
      <c r="AN462" s="626"/>
      <c r="AO462" s="182"/>
      <c r="AP462" s="182"/>
      <c r="AQ462" s="332" t="str">
        <f>UPPER(RIGHT(Journal_Live[[#This Row],[DURATION ]]))</f>
        <v/>
      </c>
      <c r="AR462" s="182"/>
      <c r="AS462" s="189"/>
      <c r="AT462" s="189"/>
      <c r="AU462" s="187"/>
      <c r="AV462" s="190"/>
      <c r="AW462" s="191"/>
      <c r="AX462" s="407"/>
      <c r="AY462" s="407"/>
      <c r="AZ462" s="407"/>
      <c r="BA462" s="407"/>
      <c r="BB462" s="407"/>
      <c r="BC462" s="407"/>
      <c r="BD462" s="407"/>
      <c r="BE462" s="407"/>
      <c r="BF462" s="422"/>
      <c r="BG462" s="391">
        <f>SUM($AV$4:AV462)</f>
        <v>2864.0092857142972</v>
      </c>
      <c r="BH462" s="392">
        <f>SUM($AU$134:AU462)</f>
        <v>2156.4899999999548</v>
      </c>
      <c r="BI462" s="318">
        <f>SUMIFS($AU$134:AU463,$Q$134:Q463,"F")</f>
        <v>-3014.8</v>
      </c>
      <c r="BJ462" s="318">
        <f>SUMIFS($AU$134:AU463,$Q$134:Q463,"S")</f>
        <v>5317.4499999999971</v>
      </c>
      <c r="BK462" s="343">
        <f>SUMIFS($AU$134:AU463,$P$134:P463,"W")</f>
        <v>4351.3899999999339</v>
      </c>
      <c r="BL462" s="343">
        <f>SUMIFS($AU$134:AU463,$P$134:P463,"R")</f>
        <v>-2194.899999999981</v>
      </c>
      <c r="BM462" s="343">
        <f>SUMIFS($AU$134:AU463,$AQ$134:AQ463,"M")</f>
        <v>765.79999999998859</v>
      </c>
      <c r="BN462" s="343">
        <f>SUMIFS($AU$134:AU463,$AQ$134:AQ463,"H")</f>
        <v>2447.9000000000156</v>
      </c>
      <c r="BO462" s="343">
        <f>SUMIFS($AU$134:AU463,$AQ$134:AQ463,"D")</f>
        <v>-424.95000000000056</v>
      </c>
      <c r="BP462" s="343">
        <f>SUMIFS($AU$134:AU465,$AQ$134:AQ465,"W")</f>
        <v>-1270.7</v>
      </c>
      <c r="BQ462" s="343">
        <f>SUMIFS($AU$134:AU463,$Q$134:Q463,"O")</f>
        <v>-345.36000000004572</v>
      </c>
      <c r="BR462" s="343">
        <f>SUMIFS($AU$134:AU463,$AA$134:AA463,"*")</f>
        <v>4829.5499999999811</v>
      </c>
      <c r="BS462" s="343">
        <f>SUMIFS($AU$134:AU463,$AB$134:AB463,"*")</f>
        <v>-34.560000000024061</v>
      </c>
      <c r="BT462" s="343">
        <f>SUMIFS($AU$134:AU463,$AC$134:AC463,"*")</f>
        <v>-1893.6500000000012</v>
      </c>
      <c r="BU462" s="343">
        <f>SUMIFS($AU$134:AU463,$AA$134:AA463,"*",$AB$134:AB463,"*")</f>
        <v>-333.99999999999511</v>
      </c>
      <c r="BV462" s="343">
        <f>SUMIFS($AU$134:AU463,$AA$134:AA463,"*",$AC$134:AC463,"*")</f>
        <v>1055.4499999999994</v>
      </c>
      <c r="BW462" s="343">
        <f>SUMIFS($AU$134:AU463,$AB$134:AB463,"*",$AC$134:AC463,"*")</f>
        <v>78.599999999999653</v>
      </c>
      <c r="BX462" s="343">
        <f>SUMIFS($AU463:AU$1388,$Q463:Q$1388,"F")</f>
        <v>17455.466666666667</v>
      </c>
      <c r="BY462" s="343">
        <f>SUMIFS($AU463:AU$1388,$Q463:Q$1388,"S")</f>
        <v>15354.192000000001</v>
      </c>
      <c r="BZ462" s="343">
        <f>SUMIFS($AU463:AU$1388,$Q463:Q$1388,"O")</f>
        <v>-1303.4979999997527</v>
      </c>
    </row>
    <row r="463" spans="1:78" ht="15.75" customHeight="1">
      <c r="A463" s="221" t="s">
        <v>2054</v>
      </c>
      <c r="B463" s="200">
        <v>45021</v>
      </c>
      <c r="C463" s="178" t="s">
        <v>1187</v>
      </c>
      <c r="D463" s="178" t="s">
        <v>151</v>
      </c>
      <c r="E463" s="227" t="s">
        <v>2125</v>
      </c>
      <c r="F463" s="180"/>
      <c r="G463" s="181"/>
      <c r="H463" s="182"/>
      <c r="I463" s="182"/>
      <c r="J463" s="182">
        <v>1</v>
      </c>
      <c r="K463" s="183" t="s">
        <v>115</v>
      </c>
      <c r="L463" s="182"/>
      <c r="M463" s="182"/>
      <c r="N463" s="182"/>
      <c r="O463" s="183"/>
      <c r="P463" s="183"/>
      <c r="Q463" s="183"/>
      <c r="R463" s="183"/>
      <c r="S463" s="183"/>
      <c r="T463" s="183"/>
      <c r="U463" s="183"/>
      <c r="V463" s="183"/>
      <c r="W463" s="183"/>
      <c r="X463" s="183"/>
      <c r="Y463" s="184" t="str">
        <f t="shared" si="187"/>
        <v/>
      </c>
      <c r="Z463" s="184" t="str">
        <f t="shared" si="188"/>
        <v/>
      </c>
      <c r="AA463" s="185"/>
      <c r="AB463" s="185"/>
      <c r="AC463" s="185"/>
      <c r="AD463" s="649"/>
      <c r="AE463" s="182"/>
      <c r="AF463" s="332"/>
      <c r="AG463" s="182"/>
      <c r="AH463" s="182"/>
      <c r="AI463" s="182"/>
      <c r="AJ463" s="640"/>
      <c r="AK463" s="182"/>
      <c r="AL463" s="496"/>
      <c r="AM463" s="496"/>
      <c r="AN463" s="626"/>
      <c r="AO463" s="182"/>
      <c r="AP463" s="182"/>
      <c r="AQ463" s="332" t="str">
        <f>UPPER(RIGHT(Journal_Live[[#This Row],[DURATION ]]))</f>
        <v/>
      </c>
      <c r="AR463" s="182"/>
      <c r="AS463" s="189"/>
      <c r="AT463" s="189"/>
      <c r="AU463" s="187"/>
      <c r="AV463" s="190"/>
      <c r="AW463" s="191"/>
      <c r="AX463" s="407"/>
      <c r="AY463" s="407"/>
      <c r="AZ463" s="407"/>
      <c r="BA463" s="407"/>
      <c r="BB463" s="407"/>
      <c r="BC463" s="407"/>
      <c r="BD463" s="407"/>
      <c r="BE463" s="407"/>
      <c r="BF463" s="422"/>
      <c r="BG463" s="391">
        <f>SUM($AV$4:AV463)</f>
        <v>2864.0092857142972</v>
      </c>
      <c r="BH463" s="392">
        <f>SUM($AU$134:AU463)</f>
        <v>2156.4899999999548</v>
      </c>
      <c r="BI463" s="318">
        <f>SUMIFS($AU$134:AU464,$Q$134:Q464,"F")</f>
        <v>-3014.8</v>
      </c>
      <c r="BJ463" s="318">
        <f>SUMIFS($AU$134:AU464,$Q$134:Q464,"S")</f>
        <v>5317.4499999999971</v>
      </c>
      <c r="BK463" s="343">
        <f>SUMIFS($AU$134:AU464,$P$134:P464,"W")</f>
        <v>4351.3899999999339</v>
      </c>
      <c r="BL463" s="343">
        <f>SUMIFS($AU$134:AU464,$P$134:P464,"R")</f>
        <v>-2227.2999999999975</v>
      </c>
      <c r="BM463" s="343">
        <f>SUMIFS($AU$134:AU464,$AQ$134:AQ464,"M")</f>
        <v>733.39999999997201</v>
      </c>
      <c r="BN463" s="343">
        <f>SUMIFS($AU$134:AU464,$AQ$134:AQ464,"H")</f>
        <v>2447.9000000000156</v>
      </c>
      <c r="BO463" s="343">
        <f>SUMIFS($AU$134:AU464,$AQ$134:AQ464,"D")</f>
        <v>-424.95000000000056</v>
      </c>
      <c r="BP463" s="343">
        <f>SUMIFS($AU$134:AU466,$AQ$134:AQ466,"W")</f>
        <v>-1270.7</v>
      </c>
      <c r="BQ463" s="343">
        <f>SUMIFS($AU$134:AU464,$Q$134:Q464,"O")</f>
        <v>-377.76000000006229</v>
      </c>
      <c r="BR463" s="343">
        <f>SUMIFS($AU$134:AU464,$AA$134:AA464,"*")</f>
        <v>4797.1499999999642</v>
      </c>
      <c r="BS463" s="343">
        <f>SUMIFS($AU$134:AU464,$AB$134:AB464,"*")</f>
        <v>-34.560000000024061</v>
      </c>
      <c r="BT463" s="343">
        <f>SUMIFS($AU$134:AU464,$AC$134:AC464,"*")</f>
        <v>-1893.6500000000012</v>
      </c>
      <c r="BU463" s="343">
        <f>SUMIFS($AU$134:AU464,$AA$134:AA464,"*",$AB$134:AB464,"*")</f>
        <v>-333.99999999999511</v>
      </c>
      <c r="BV463" s="343">
        <f>SUMIFS($AU$134:AU464,$AA$134:AA464,"*",$AC$134:AC464,"*")</f>
        <v>1055.4499999999994</v>
      </c>
      <c r="BW463" s="343">
        <f>SUMIFS($AU$134:AU464,$AB$134:AB464,"*",$AC$134:AC464,"*")</f>
        <v>78.599999999999653</v>
      </c>
      <c r="BX463" s="343">
        <f>SUMIFS($AU464:AU$1388,$Q464:Q$1388,"F")</f>
        <v>17455.466666666667</v>
      </c>
      <c r="BY463" s="343">
        <f>SUMIFS($AU464:AU$1388,$Q464:Q$1388,"S")</f>
        <v>15354.192000000001</v>
      </c>
      <c r="BZ463" s="343">
        <f>SUMIFS($AU464:AU$1388,$Q464:Q$1388,"O")</f>
        <v>-1303.4979999997527</v>
      </c>
    </row>
    <row r="464" spans="1:78" ht="15.75" customHeight="1">
      <c r="A464" s="221" t="s">
        <v>2054</v>
      </c>
      <c r="B464" s="200">
        <v>45022</v>
      </c>
      <c r="C464" s="178" t="s">
        <v>2126</v>
      </c>
      <c r="D464" s="178" t="s">
        <v>151</v>
      </c>
      <c r="E464" s="227"/>
      <c r="F464" s="180"/>
      <c r="G464" s="281" t="s">
        <v>2127</v>
      </c>
      <c r="H464" s="182"/>
      <c r="I464" s="182"/>
      <c r="J464" s="182"/>
      <c r="K464" s="183"/>
      <c r="L464" s="182">
        <v>1</v>
      </c>
      <c r="M464" s="182"/>
      <c r="N464" s="182"/>
      <c r="O464" s="183" t="s">
        <v>95</v>
      </c>
      <c r="P464" s="183" t="s">
        <v>137</v>
      </c>
      <c r="Q464" s="183" t="s">
        <v>684</v>
      </c>
      <c r="R464" s="183">
        <v>1</v>
      </c>
      <c r="S464" s="183">
        <v>1</v>
      </c>
      <c r="T464" s="183">
        <v>1</v>
      </c>
      <c r="U464" s="183" t="s">
        <v>97</v>
      </c>
      <c r="V464" s="183"/>
      <c r="W464" s="183"/>
      <c r="X464" s="183"/>
      <c r="Y464" s="184">
        <f t="shared" si="187"/>
        <v>0.01</v>
      </c>
      <c r="Z464" s="184">
        <f t="shared" si="188"/>
        <v>1620</v>
      </c>
      <c r="AA464" s="185" t="s">
        <v>2128</v>
      </c>
      <c r="AB464" s="185"/>
      <c r="AC464" s="185"/>
      <c r="AD464" s="649">
        <v>96.91</v>
      </c>
      <c r="AE464" s="182"/>
      <c r="AF464" s="332"/>
      <c r="AG464" s="182"/>
      <c r="AH464" s="182"/>
      <c r="AI464" s="182"/>
      <c r="AJ464" s="640"/>
      <c r="AK464" s="182"/>
      <c r="AL464" s="496">
        <f t="shared" ref="AL464" si="196">-0.02*Z464</f>
        <v>-32.4</v>
      </c>
      <c r="AM464" s="496">
        <f>AL464*R464</f>
        <v>-32.4</v>
      </c>
      <c r="AN464" s="626"/>
      <c r="AO464" s="182"/>
      <c r="AP464" s="182" t="s">
        <v>2129</v>
      </c>
      <c r="AQ464" s="332" t="s">
        <v>1259</v>
      </c>
      <c r="AR464" s="182" t="s">
        <v>2130</v>
      </c>
      <c r="AS464" s="189">
        <v>96.93</v>
      </c>
      <c r="AT464" s="189">
        <f>IF(ISBLANK(AS464),,IF(U464="S",AD464-AS464,AS464-AD464))</f>
        <v>-2.0000000000010232E-2</v>
      </c>
      <c r="AU464" s="187">
        <f>AV464*R464</f>
        <v>-32.400000000016576</v>
      </c>
      <c r="AV464" s="190">
        <f>IF(ISBLANK(AS464),,(AT464*Z464))</f>
        <v>-32.400000000016576</v>
      </c>
      <c r="AW464" s="191" t="s">
        <v>229</v>
      </c>
      <c r="AX464" s="407" t="s">
        <v>2131</v>
      </c>
      <c r="AY464" s="407" t="s">
        <v>2132</v>
      </c>
      <c r="AZ464" s="407" t="s">
        <v>2133</v>
      </c>
      <c r="BA464" s="407"/>
      <c r="BB464" s="407"/>
      <c r="BC464" s="407"/>
      <c r="BD464" s="407"/>
      <c r="BE464" s="407"/>
      <c r="BF464" s="422"/>
      <c r="BG464" s="391">
        <f>SUM($AV$4:AV464)</f>
        <v>2831.6092857142808</v>
      </c>
      <c r="BH464" s="392">
        <f>SUM($AU$134:AU464)</f>
        <v>2124.0899999999383</v>
      </c>
      <c r="BI464" s="318">
        <f>SUMIFS($AU$134:AU465,$Q$134:Q465,"F")</f>
        <v>-3014.8</v>
      </c>
      <c r="BJ464" s="318">
        <f>SUMIFS($AU$134:AU465,$Q$134:Q465,"S")</f>
        <v>5317.4499999999971</v>
      </c>
      <c r="BK464" s="343">
        <f>SUMIFS($AU$134:AU465,$P$134:P465,"W")</f>
        <v>4351.3899999999339</v>
      </c>
      <c r="BL464" s="343">
        <f>SUMIFS($AU$134:AU465,$P$134:P465,"R")</f>
        <v>-2227.2999999999975</v>
      </c>
      <c r="BM464" s="343">
        <f>SUMIFS($AU$134:AU465,$AQ$134:AQ465,"M")</f>
        <v>733.39999999997201</v>
      </c>
      <c r="BN464" s="343">
        <f>SUMIFS($AU$134:AU465,$AQ$134:AQ465,"H")</f>
        <v>2447.9000000000156</v>
      </c>
      <c r="BO464" s="343">
        <f>SUMIFS($AU$134:AU465,$AQ$134:AQ465,"D")</f>
        <v>-424.95000000000056</v>
      </c>
      <c r="BP464" s="343">
        <f>SUMIFS($AU$134:AU467,$AQ$134:AQ467,"W")</f>
        <v>-1270.7</v>
      </c>
      <c r="BQ464" s="343">
        <f>SUMIFS($AU$134:AU465,$Q$134:Q465,"O")</f>
        <v>-377.76000000006229</v>
      </c>
      <c r="BR464" s="343">
        <f>SUMIFS($AU$134:AU465,$AA$134:AA465,"*")</f>
        <v>4797.1499999999642</v>
      </c>
      <c r="BS464" s="343">
        <f>SUMIFS($AU$134:AU465,$AB$134:AB465,"*")</f>
        <v>-34.560000000024061</v>
      </c>
      <c r="BT464" s="343">
        <f>SUMIFS($AU$134:AU465,$AC$134:AC465,"*")</f>
        <v>-1893.6500000000012</v>
      </c>
      <c r="BU464" s="343">
        <f>SUMIFS($AU$134:AU465,$AA$134:AA465,"*",$AB$134:AB465,"*")</f>
        <v>-333.99999999999511</v>
      </c>
      <c r="BV464" s="343">
        <f>SUMIFS($AU$134:AU465,$AA$134:AA465,"*",$AC$134:AC465,"*")</f>
        <v>1055.4499999999994</v>
      </c>
      <c r="BW464" s="343">
        <f>SUMIFS($AU$134:AU465,$AB$134:AB465,"*",$AC$134:AC465,"*")</f>
        <v>78.599999999999653</v>
      </c>
      <c r="BX464" s="343">
        <f>SUMIFS($AU465:AU$1388,$Q465:Q$1388,"F")</f>
        <v>17455.466666666667</v>
      </c>
      <c r="BY464" s="343">
        <f>SUMIFS($AU465:AU$1388,$Q465:Q$1388,"S")</f>
        <v>15354.192000000001</v>
      </c>
      <c r="BZ464" s="343">
        <f>SUMIFS($AU465:AU$1388,$Q465:Q$1388,"O")</f>
        <v>-1271.097999999736</v>
      </c>
    </row>
    <row r="465" spans="1:78" ht="15.75" customHeight="1">
      <c r="A465" s="273" t="s">
        <v>783</v>
      </c>
      <c r="B465" s="273"/>
      <c r="C465" s="214"/>
      <c r="D465" s="214"/>
      <c r="E465" s="215"/>
      <c r="F465" s="216"/>
      <c r="G465" s="214"/>
      <c r="H465" s="214"/>
      <c r="I465" s="214"/>
      <c r="J465" s="214"/>
      <c r="K465" s="217"/>
      <c r="L465" s="214"/>
      <c r="M465" s="214"/>
      <c r="N465" s="214"/>
      <c r="O465" s="217"/>
      <c r="P465" s="217"/>
      <c r="Q465" s="217"/>
      <c r="R465" s="217"/>
      <c r="S465" s="217"/>
      <c r="T465" s="217"/>
      <c r="U465" s="217"/>
      <c r="V465" s="217"/>
      <c r="W465" s="217"/>
      <c r="X465" s="217"/>
      <c r="Y465" s="218"/>
      <c r="Z465" s="218"/>
      <c r="AA465" s="218"/>
      <c r="AB465" s="218"/>
      <c r="AC465" s="218"/>
      <c r="AD465" s="651"/>
      <c r="AE465" s="214"/>
      <c r="AF465" s="347"/>
      <c r="AG465" s="343"/>
      <c r="AH465" s="214"/>
      <c r="AI465" s="214"/>
      <c r="AJ465" s="642"/>
      <c r="AK465" s="214"/>
      <c r="AL465" s="502"/>
      <c r="AM465" s="502"/>
      <c r="AN465" s="628"/>
      <c r="AO465" s="214"/>
      <c r="AP465" s="214"/>
      <c r="AQ465" s="334" t="str">
        <f>UPPER(RIGHT(Journal_Live[[#This Row],[DURATION ]]))</f>
        <v/>
      </c>
      <c r="AR465" s="214"/>
      <c r="AS465" s="219"/>
      <c r="AT465" s="219"/>
      <c r="AU465" s="219"/>
      <c r="AV465" s="219"/>
      <c r="AW465" s="220"/>
      <c r="AX465" s="436" t="s">
        <v>2134</v>
      </c>
      <c r="AY465" s="414"/>
      <c r="AZ465" s="414"/>
      <c r="BA465" s="414"/>
      <c r="BB465" s="414"/>
      <c r="BC465" s="414"/>
      <c r="BD465" s="414"/>
      <c r="BE465" s="414"/>
      <c r="BF465" s="414"/>
      <c r="BG465" s="391">
        <f>SUM($AV$4:AV465)</f>
        <v>2831.6092857142808</v>
      </c>
      <c r="BH465" s="392">
        <f>SUM($AU$134:AU465)</f>
        <v>2124.0899999999383</v>
      </c>
      <c r="BI465" s="318">
        <f>SUMIFS($AU$134:AU466,$Q$134:Q466,"F")</f>
        <v>-3014.8</v>
      </c>
      <c r="BJ465" s="318">
        <f>SUMIFS($AU$134:AU466,$Q$134:Q466,"S")</f>
        <v>5317.4499999999971</v>
      </c>
      <c r="BK465" s="343">
        <f>SUMIFS($AU$134:AU466,$P$134:P466,"W")</f>
        <v>4351.3899999999339</v>
      </c>
      <c r="BL465" s="343">
        <f>SUMIFS($AU$134:AU466,$P$134:P466,"R")</f>
        <v>-2227.2999999999975</v>
      </c>
      <c r="BM465" s="343">
        <f>SUMIFS($AU$134:AU466,$AQ$134:AQ466,"M")</f>
        <v>733.39999999997201</v>
      </c>
      <c r="BN465" s="343">
        <f>SUMIFS($AU$134:AU466,$AQ$134:AQ466,"H")</f>
        <v>2447.9000000000156</v>
      </c>
      <c r="BO465" s="343">
        <f>SUMIFS($AU$134:AU466,$AQ$134:AQ466,"D")</f>
        <v>-424.95000000000056</v>
      </c>
      <c r="BP465" s="343">
        <f>SUMIFS($AU$134:AU468,$AQ$134:AQ468,"W")</f>
        <v>-1270.7</v>
      </c>
      <c r="BQ465" s="343">
        <f>SUMIFS($AU$134:AU466,$Q$134:Q466,"O")</f>
        <v>-377.76000000006229</v>
      </c>
      <c r="BR465" s="343">
        <f>SUMIFS($AU$134:AU466,$AA$134:AA466,"*")</f>
        <v>4797.1499999999642</v>
      </c>
      <c r="BS465" s="343">
        <f>SUMIFS($AU$134:AU466,$AB$134:AB466,"*")</f>
        <v>-34.560000000024061</v>
      </c>
      <c r="BT465" s="343">
        <f>SUMIFS($AU$134:AU466,$AC$134:AC466,"*")</f>
        <v>-1893.6500000000012</v>
      </c>
      <c r="BU465" s="343">
        <f>SUMIFS($AU$134:AU466,$AA$134:AA466,"*",$AB$134:AB466,"*")</f>
        <v>-333.99999999999511</v>
      </c>
      <c r="BV465" s="343">
        <f>SUMIFS($AU$134:AU466,$AA$134:AA466,"*",$AC$134:AC466,"*")</f>
        <v>1055.4499999999994</v>
      </c>
      <c r="BW465" s="343">
        <f>SUMIFS($AU$134:AU466,$AB$134:AB466,"*",$AC$134:AC466,"*")</f>
        <v>78.599999999999653</v>
      </c>
      <c r="BX465" s="343">
        <f>SUMIFS($AU466:AU$1388,$Q466:Q$1388,"F")</f>
        <v>17455.466666666667</v>
      </c>
      <c r="BY465" s="343">
        <f>SUMIFS($AU466:AU$1388,$Q466:Q$1388,"S")</f>
        <v>15354.192000000001</v>
      </c>
      <c r="BZ465" s="343">
        <f>SUMIFS($AU466:AU$1388,$Q466:Q$1388,"O")</f>
        <v>-1271.097999999736</v>
      </c>
    </row>
    <row r="466" spans="1:78" ht="15.75" customHeight="1">
      <c r="A466" s="221" t="s">
        <v>2054</v>
      </c>
      <c r="B466" s="200">
        <v>45027</v>
      </c>
      <c r="C466" s="178" t="s">
        <v>493</v>
      </c>
      <c r="D466" s="178" t="s">
        <v>146</v>
      </c>
      <c r="E466" s="227" t="s">
        <v>2135</v>
      </c>
      <c r="F466" s="180"/>
      <c r="G466" s="181"/>
      <c r="H466" s="182">
        <v>1</v>
      </c>
      <c r="I466" s="182"/>
      <c r="J466" s="182"/>
      <c r="K466" s="183" t="s">
        <v>372</v>
      </c>
      <c r="L466" s="182"/>
      <c r="M466" s="182"/>
      <c r="N466" s="182"/>
      <c r="O466" s="183"/>
      <c r="P466" s="183"/>
      <c r="Q466" s="183"/>
      <c r="R466" s="183"/>
      <c r="S466" s="183"/>
      <c r="T466" s="183"/>
      <c r="U466" s="183"/>
      <c r="V466" s="183"/>
      <c r="W466" s="183"/>
      <c r="X466" s="183"/>
      <c r="Y466" s="184" t="str">
        <f t="shared" ref="Y466:Y477" si="197">IF(ISBLANK(O466),"",(IF(O466=UPPER("IB"),0.005,0.01)))</f>
        <v/>
      </c>
      <c r="Z466" s="184" t="str">
        <f>IF(ISBLANK(O466),"",IF(O466="IB",8.63*200,IF(O466="IR",16.2*100,IF(O466="YT",20))))</f>
        <v/>
      </c>
      <c r="AA466" s="185"/>
      <c r="AB466" s="185"/>
      <c r="AC466" s="185"/>
      <c r="AD466" s="649"/>
      <c r="AE466" s="182"/>
      <c r="AF466" s="332"/>
      <c r="AG466" s="182"/>
      <c r="AH466" s="182"/>
      <c r="AI466" s="182"/>
      <c r="AJ466" s="640"/>
      <c r="AK466" s="182"/>
      <c r="AL466" s="496"/>
      <c r="AM466" s="496"/>
      <c r="AN466" s="626"/>
      <c r="AO466" s="182"/>
      <c r="AP466" s="182"/>
      <c r="AQ466" s="332" t="str">
        <f>UPPER(RIGHT(Journal_Live[[#This Row],[DURATION ]]))</f>
        <v/>
      </c>
      <c r="AR466" s="182"/>
      <c r="AS466" s="189"/>
      <c r="AT466" s="189"/>
      <c r="AU466" s="187"/>
      <c r="AV466" s="190"/>
      <c r="AW466" s="191"/>
      <c r="AX466" s="407" t="s">
        <v>2136</v>
      </c>
      <c r="AY466" s="407" t="s">
        <v>2137</v>
      </c>
      <c r="AZ466" s="407" t="s">
        <v>2138</v>
      </c>
      <c r="BA466" s="407" t="s">
        <v>2139</v>
      </c>
      <c r="BB466" s="407" t="s">
        <v>2140</v>
      </c>
      <c r="BC466" s="407" t="s">
        <v>2141</v>
      </c>
      <c r="BD466" s="407" t="s">
        <v>2142</v>
      </c>
      <c r="BE466" s="407" t="s">
        <v>2143</v>
      </c>
      <c r="BF466" s="422" t="s">
        <v>529</v>
      </c>
      <c r="BG466" s="391">
        <f>SUM($AV$4:AV466)</f>
        <v>2831.6092857142808</v>
      </c>
      <c r="BH466" s="392">
        <f>SUM($AU$134:AU466)</f>
        <v>2124.0899999999383</v>
      </c>
      <c r="BI466" s="318">
        <f>SUMIFS($AU$134:AU467,$Q$134:Q467,"F")</f>
        <v>-3014.8</v>
      </c>
      <c r="BJ466" s="318">
        <f>SUMIFS($AU$134:AU467,$Q$134:Q467,"S")</f>
        <v>5381.4499999999971</v>
      </c>
      <c r="BK466" s="343">
        <f>SUMIFS($AU$134:AU467,$P$134:P467,"W")</f>
        <v>4415.3899999999339</v>
      </c>
      <c r="BL466" s="343">
        <f>SUMIFS($AU$134:AU467,$P$134:P467,"R")</f>
        <v>-2227.2999999999975</v>
      </c>
      <c r="BM466" s="343">
        <f>SUMIFS($AU$134:AU467,$AQ$134:AQ467,"M")</f>
        <v>733.39999999997201</v>
      </c>
      <c r="BN466" s="343">
        <f>SUMIFS($AU$134:AU467,$AQ$134:AQ467,"H")</f>
        <v>2511.9000000000156</v>
      </c>
      <c r="BO466" s="343">
        <f>SUMIFS($AU$134:AU467,$AQ$134:AQ467,"D")</f>
        <v>-424.95000000000056</v>
      </c>
      <c r="BP466" s="343">
        <f>SUMIFS($AU$134:AU469,$AQ$134:AQ469,"W")</f>
        <v>-1270.7</v>
      </c>
      <c r="BQ466" s="343">
        <f>SUMIFS($AU$134:AU467,$Q$134:Q467,"O")</f>
        <v>-377.76000000006229</v>
      </c>
      <c r="BR466" s="343">
        <f>SUMIFS($AU$134:AU467,$AA$134:AA467,"*")</f>
        <v>4861.1499999999642</v>
      </c>
      <c r="BS466" s="343">
        <f>SUMIFS($AU$134:AU467,$AB$134:AB467,"*")</f>
        <v>-34.560000000024061</v>
      </c>
      <c r="BT466" s="343">
        <f>SUMIFS($AU$134:AU467,$AC$134:AC467,"*")</f>
        <v>-1893.6500000000012</v>
      </c>
      <c r="BU466" s="343">
        <f>SUMIFS($AU$134:AU467,$AA$134:AA467,"*",$AB$134:AB467,"*")</f>
        <v>-333.99999999999511</v>
      </c>
      <c r="BV466" s="343">
        <f>SUMIFS($AU$134:AU467,$AA$134:AA467,"*",$AC$134:AC467,"*")</f>
        <v>1055.4499999999994</v>
      </c>
      <c r="BW466" s="343">
        <f>SUMIFS($AU$134:AU467,$AB$134:AB467,"*",$AC$134:AC467,"*")</f>
        <v>78.599999999999653</v>
      </c>
      <c r="BX466" s="343">
        <f>SUMIFS($AU467:AU$1388,$Q467:Q$1388,"F")</f>
        <v>17455.466666666667</v>
      </c>
      <c r="BY466" s="343">
        <f>SUMIFS($AU467:AU$1388,$Q467:Q$1388,"S")</f>
        <v>15354.192000000001</v>
      </c>
      <c r="BZ466" s="343">
        <f>SUMIFS($AU467:AU$1388,$Q467:Q$1388,"O")</f>
        <v>-1271.097999999736</v>
      </c>
    </row>
    <row r="467" spans="1:78" ht="15.75" customHeight="1">
      <c r="A467" s="221" t="s">
        <v>2054</v>
      </c>
      <c r="B467" s="200">
        <v>45027</v>
      </c>
      <c r="C467" s="178" t="s">
        <v>2144</v>
      </c>
      <c r="D467" s="178" t="s">
        <v>146</v>
      </c>
      <c r="E467" s="227"/>
      <c r="F467" s="180"/>
      <c r="G467" s="288" t="s">
        <v>2145</v>
      </c>
      <c r="H467" s="182"/>
      <c r="I467" s="182"/>
      <c r="J467" s="182"/>
      <c r="K467" s="183"/>
      <c r="L467" s="182">
        <v>1</v>
      </c>
      <c r="M467" s="182"/>
      <c r="N467" s="182"/>
      <c r="O467" s="183" t="s">
        <v>95</v>
      </c>
      <c r="P467" s="183" t="s">
        <v>96</v>
      </c>
      <c r="Q467" s="183" t="s">
        <v>97</v>
      </c>
      <c r="R467" s="183">
        <v>4</v>
      </c>
      <c r="S467" s="183">
        <v>4</v>
      </c>
      <c r="T467" s="183">
        <v>4</v>
      </c>
      <c r="U467" s="183" t="s">
        <v>97</v>
      </c>
      <c r="V467" s="183"/>
      <c r="W467" s="183"/>
      <c r="X467" s="183"/>
      <c r="Y467" s="184">
        <f t="shared" si="197"/>
        <v>0.01</v>
      </c>
      <c r="Z467" s="184">
        <f>IF(ISBLANK(O467),"",IF(O467="IB",8.63*200,IF(O467="IR",16*100,IF(O467="YT",20))))</f>
        <v>1600</v>
      </c>
      <c r="AA467" s="185" t="s">
        <v>2146</v>
      </c>
      <c r="AB467" s="185"/>
      <c r="AC467" s="185"/>
      <c r="AD467" s="649">
        <v>-0.1</v>
      </c>
      <c r="AE467" s="182"/>
      <c r="AF467" s="332"/>
      <c r="AG467" s="182"/>
      <c r="AH467" s="182"/>
      <c r="AI467" s="182"/>
      <c r="AJ467" s="640"/>
      <c r="AK467" s="182"/>
      <c r="AL467" s="496">
        <f t="shared" ref="AL467:AL468" si="198">-0.02*Z467</f>
        <v>-32</v>
      </c>
      <c r="AM467" s="496">
        <f>AL467*R467</f>
        <v>-128</v>
      </c>
      <c r="AN467" s="626"/>
      <c r="AO467" s="182"/>
      <c r="AP467" s="182" t="s">
        <v>1700</v>
      </c>
      <c r="AQ467" s="332" t="str">
        <f>UPPER(RIGHT(Journal_Live[[#This Row],[DURATION ]]))</f>
        <v>H</v>
      </c>
      <c r="AR467" s="182" t="s">
        <v>2147</v>
      </c>
      <c r="AS467" s="189">
        <v>-0.11</v>
      </c>
      <c r="AT467" s="189">
        <f>IF(ISBLANK(AS467),,IF(U467="S",AD467-AS467,AS467-AD467))</f>
        <v>9.999999999999995E-3</v>
      </c>
      <c r="AU467" s="187">
        <f>AV467*R467</f>
        <v>63.999999999999972</v>
      </c>
      <c r="AV467" s="190">
        <f>IF(ISBLANK(AS467),,(AT467*Z467))</f>
        <v>15.999999999999993</v>
      </c>
      <c r="AW467" s="191" t="s">
        <v>96</v>
      </c>
      <c r="AX467" s="407" t="s">
        <v>2148</v>
      </c>
      <c r="AY467" s="407"/>
      <c r="AZ467" s="407"/>
      <c r="BA467" s="407"/>
      <c r="BB467" s="407"/>
      <c r="BC467" s="407"/>
      <c r="BD467" s="407"/>
      <c r="BE467" s="407"/>
      <c r="BF467" s="422"/>
      <c r="BG467" s="391">
        <f>SUM($AV$4:AV467)</f>
        <v>2847.6092857142808</v>
      </c>
      <c r="BH467" s="392">
        <f>SUM($AU$134:AU467)</f>
        <v>2188.0899999999383</v>
      </c>
      <c r="BI467" s="318">
        <f>SUMIFS($AU$134:AU468,$Q$134:Q468,"F")</f>
        <v>-3014.8</v>
      </c>
      <c r="BJ467" s="318">
        <f>SUMIFS($AU$134:AU468,$Q$134:Q468,"S")</f>
        <v>5429.4499999999971</v>
      </c>
      <c r="BK467" s="343">
        <f>SUMIFS($AU$134:AU468,$P$134:P468,"W")</f>
        <v>4463.3899999999339</v>
      </c>
      <c r="BL467" s="343">
        <f>SUMIFS($AU$134:AU468,$P$134:P468,"R")</f>
        <v>-2227.2999999999975</v>
      </c>
      <c r="BM467" s="343">
        <f>SUMIFS($AU$134:AU468,$AQ$134:AQ468,"M")</f>
        <v>733.39999999997201</v>
      </c>
      <c r="BN467" s="343">
        <f>SUMIFS($AU$134:AU468,$AQ$134:AQ468,"H")</f>
        <v>2559.9000000000156</v>
      </c>
      <c r="BO467" s="343">
        <f>SUMIFS($AU$134:AU468,$AQ$134:AQ468,"D")</f>
        <v>-424.95000000000056</v>
      </c>
      <c r="BP467" s="343">
        <f>SUMIFS($AU$134:AU470,$AQ$134:AQ470,"W")</f>
        <v>-1270.7</v>
      </c>
      <c r="BQ467" s="343">
        <f>SUMIFS($AU$134:AU468,$Q$134:Q468,"O")</f>
        <v>-377.76000000006229</v>
      </c>
      <c r="BR467" s="343">
        <f>SUMIFS($AU$134:AU468,$AA$134:AA468,"*")</f>
        <v>4909.1499999999642</v>
      </c>
      <c r="BS467" s="343">
        <f>SUMIFS($AU$134:AU468,$AB$134:AB468,"*")</f>
        <v>-34.560000000024061</v>
      </c>
      <c r="BT467" s="343">
        <f>SUMIFS($AU$134:AU468,$AC$134:AC468,"*")</f>
        <v>-1893.6500000000012</v>
      </c>
      <c r="BU467" s="343">
        <f>SUMIFS($AU$134:AU468,$AA$134:AA468,"*",$AB$134:AB468,"*")</f>
        <v>-333.99999999999511</v>
      </c>
      <c r="BV467" s="343">
        <f>SUMIFS($AU$134:AU468,$AA$134:AA468,"*",$AC$134:AC468,"*")</f>
        <v>1055.4499999999994</v>
      </c>
      <c r="BW467" s="343">
        <f>SUMIFS($AU$134:AU468,$AB$134:AB468,"*",$AC$134:AC468,"*")</f>
        <v>78.599999999999653</v>
      </c>
      <c r="BX467" s="343">
        <f>SUMIFS($AU468:AU$1388,$Q468:Q$1388,"F")</f>
        <v>17455.466666666667</v>
      </c>
      <c r="BY467" s="343">
        <f>SUMIFS($AU468:AU$1388,$Q468:Q$1388,"S")</f>
        <v>15290.192000000001</v>
      </c>
      <c r="BZ467" s="343">
        <f>SUMIFS($AU468:AU$1388,$Q468:Q$1388,"O")</f>
        <v>-1271.097999999736</v>
      </c>
    </row>
    <row r="468" spans="1:78" ht="15.75" customHeight="1">
      <c r="A468" s="221" t="s">
        <v>2054</v>
      </c>
      <c r="B468" s="200">
        <v>45027</v>
      </c>
      <c r="C468" s="178" t="s">
        <v>2149</v>
      </c>
      <c r="D468" s="178" t="s">
        <v>146</v>
      </c>
      <c r="E468" s="227"/>
      <c r="F468" s="180"/>
      <c r="G468" s="288" t="s">
        <v>2145</v>
      </c>
      <c r="H468" s="182"/>
      <c r="I468" s="182"/>
      <c r="J468" s="182"/>
      <c r="K468" s="183"/>
      <c r="L468" s="182">
        <v>1</v>
      </c>
      <c r="M468" s="182"/>
      <c r="N468" s="182"/>
      <c r="O468" s="183" t="s">
        <v>95</v>
      </c>
      <c r="P468" s="183" t="s">
        <v>96</v>
      </c>
      <c r="Q468" s="183" t="s">
        <v>97</v>
      </c>
      <c r="R468" s="183">
        <v>3</v>
      </c>
      <c r="S468" s="183">
        <v>3</v>
      </c>
      <c r="T468" s="183">
        <v>3</v>
      </c>
      <c r="U468" s="183" t="s">
        <v>22</v>
      </c>
      <c r="V468" s="183"/>
      <c r="W468" s="183"/>
      <c r="X468" s="183"/>
      <c r="Y468" s="184">
        <f t="shared" si="197"/>
        <v>0.01</v>
      </c>
      <c r="Z468" s="184">
        <f>IF(ISBLANK(O468),"",IF(O468="IB",8.63*200,IF(O468="IR",16*100,IF(O468="YT",20))))</f>
        <v>1600</v>
      </c>
      <c r="AA468" s="185" t="s">
        <v>99</v>
      </c>
      <c r="AB468" s="185"/>
      <c r="AC468" s="185"/>
      <c r="AD468" s="649">
        <v>-0.12</v>
      </c>
      <c r="AE468" s="182"/>
      <c r="AF468" s="332"/>
      <c r="AG468" s="182"/>
      <c r="AH468" s="182"/>
      <c r="AI468" s="182"/>
      <c r="AJ468" s="640"/>
      <c r="AK468" s="182"/>
      <c r="AL468" s="496">
        <f t="shared" si="198"/>
        <v>-32</v>
      </c>
      <c r="AM468" s="496">
        <f>AL468*R468</f>
        <v>-96</v>
      </c>
      <c r="AN468" s="626"/>
      <c r="AO468" s="182"/>
      <c r="AP468" s="182" t="s">
        <v>2150</v>
      </c>
      <c r="AQ468" s="332" t="str">
        <f>UPPER(RIGHT(Journal_Live[[#This Row],[DURATION ]]))</f>
        <v>H</v>
      </c>
      <c r="AR468" s="182" t="s">
        <v>2151</v>
      </c>
      <c r="AS468" s="189">
        <v>-0.11</v>
      </c>
      <c r="AT468" s="189">
        <f>IF(ISBLANK(AS468),,IF(U468="S",AD468-AS468,AS468-AD468))</f>
        <v>9.999999999999995E-3</v>
      </c>
      <c r="AU468" s="187">
        <f>AV468*R468</f>
        <v>47.999999999999979</v>
      </c>
      <c r="AV468" s="190">
        <f>IF(ISBLANK(AS468),,(AT468*Z468))</f>
        <v>15.999999999999993</v>
      </c>
      <c r="AW468" s="191" t="s">
        <v>96</v>
      </c>
      <c r="AX468" s="407"/>
      <c r="AY468" s="407"/>
      <c r="AZ468" s="407"/>
      <c r="BA468" s="407"/>
      <c r="BB468" s="407"/>
      <c r="BC468" s="407"/>
      <c r="BD468" s="407"/>
      <c r="BE468" s="407"/>
      <c r="BF468" s="422"/>
      <c r="BG468" s="391">
        <f>SUM($AV$4:AV468)</f>
        <v>2863.6092857142808</v>
      </c>
      <c r="BH468" s="392">
        <f>SUM($AU$134:AU468)</f>
        <v>2236.0899999999383</v>
      </c>
      <c r="BI468" s="318">
        <f>SUMIFS($AU$134:AU469,$Q$134:Q469,"F")</f>
        <v>-3014.8</v>
      </c>
      <c r="BJ468" s="318">
        <f>SUMIFS($AU$134:AU469,$Q$134:Q469,"S")</f>
        <v>5541.4499999999971</v>
      </c>
      <c r="BK468" s="343">
        <f>SUMIFS($AU$134:AU469,$P$134:P469,"W")</f>
        <v>4575.3899999999339</v>
      </c>
      <c r="BL468" s="343">
        <f>SUMIFS($AU$134:AU469,$P$134:P469,"R")</f>
        <v>-2227.2999999999975</v>
      </c>
      <c r="BM468" s="343">
        <f>SUMIFS($AU$134:AU469,$AQ$134:AQ469,"M")</f>
        <v>733.39999999997201</v>
      </c>
      <c r="BN468" s="343">
        <f>SUMIFS($AU$134:AU469,$AQ$134:AQ469,"H")</f>
        <v>2671.9000000000156</v>
      </c>
      <c r="BO468" s="343">
        <f>SUMIFS($AU$134:AU469,$AQ$134:AQ469,"D")</f>
        <v>-424.95000000000056</v>
      </c>
      <c r="BP468" s="343">
        <f>SUMIFS($AU$134:AU471,$AQ$134:AQ471,"W")</f>
        <v>-1270.7</v>
      </c>
      <c r="BQ468" s="343">
        <f>SUMIFS($AU$134:AU469,$Q$134:Q469,"O")</f>
        <v>-377.76000000006229</v>
      </c>
      <c r="BR468" s="343">
        <f>SUMIFS($AU$134:AU469,$AA$134:AA469,"*")</f>
        <v>5021.1499999999642</v>
      </c>
      <c r="BS468" s="343">
        <f>SUMIFS($AU$134:AU469,$AB$134:AB469,"*")</f>
        <v>-34.560000000024061</v>
      </c>
      <c r="BT468" s="343">
        <f>SUMIFS($AU$134:AU469,$AC$134:AC469,"*")</f>
        <v>-1893.6500000000012</v>
      </c>
      <c r="BU468" s="343">
        <f>SUMIFS($AU$134:AU469,$AA$134:AA469,"*",$AB$134:AB469,"*")</f>
        <v>-333.99999999999511</v>
      </c>
      <c r="BV468" s="343">
        <f>SUMIFS($AU$134:AU469,$AA$134:AA469,"*",$AC$134:AC469,"*")</f>
        <v>1055.4499999999994</v>
      </c>
      <c r="BW468" s="343">
        <f>SUMIFS($AU$134:AU469,$AB$134:AB469,"*",$AC$134:AC469,"*")</f>
        <v>78.599999999999653</v>
      </c>
      <c r="BX468" s="343">
        <f>SUMIFS($AU469:AU$1388,$Q469:Q$1388,"F")</f>
        <v>17455.466666666667</v>
      </c>
      <c r="BY468" s="343">
        <f>SUMIFS($AU469:AU$1388,$Q469:Q$1388,"S")</f>
        <v>15242.192000000001</v>
      </c>
      <c r="BZ468" s="343">
        <f>SUMIFS($AU469:AU$1388,$Q469:Q$1388,"O")</f>
        <v>-1271.097999999736</v>
      </c>
    </row>
    <row r="469" spans="1:78" ht="15.75" customHeight="1">
      <c r="A469" s="221" t="s">
        <v>2054</v>
      </c>
      <c r="B469" s="200">
        <v>45027</v>
      </c>
      <c r="C469" s="178" t="s">
        <v>2152</v>
      </c>
      <c r="D469" s="178" t="s">
        <v>146</v>
      </c>
      <c r="E469" s="227"/>
      <c r="F469" s="180"/>
      <c r="G469" s="281" t="s">
        <v>94</v>
      </c>
      <c r="H469" s="182"/>
      <c r="I469" s="182"/>
      <c r="J469" s="182"/>
      <c r="K469" s="183"/>
      <c r="L469" s="182">
        <v>1</v>
      </c>
      <c r="M469" s="182"/>
      <c r="N469" s="182"/>
      <c r="O469" s="183" t="s">
        <v>95</v>
      </c>
      <c r="P469" s="183" t="s">
        <v>96</v>
      </c>
      <c r="Q469" s="183" t="s">
        <v>97</v>
      </c>
      <c r="R469" s="183">
        <v>7</v>
      </c>
      <c r="S469" s="183">
        <v>7</v>
      </c>
      <c r="T469" s="183">
        <v>7</v>
      </c>
      <c r="U469" s="183" t="s">
        <v>97</v>
      </c>
      <c r="V469" s="183"/>
      <c r="W469" s="183"/>
      <c r="X469" s="183"/>
      <c r="Y469" s="184">
        <f t="shared" si="197"/>
        <v>0.01</v>
      </c>
      <c r="Z469" s="184">
        <f>IF(ISBLANK(O469),"",IF(O469="IB",8.63*200,IF(O469="IR",16*100,IF(O469="YT",20))))</f>
        <v>1600</v>
      </c>
      <c r="AA469" s="185" t="s">
        <v>99</v>
      </c>
      <c r="AB469" s="185"/>
      <c r="AC469" s="185"/>
      <c r="AD469" s="649">
        <v>-0.06</v>
      </c>
      <c r="AE469" s="182"/>
      <c r="AF469" s="332"/>
      <c r="AG469" s="182"/>
      <c r="AH469" s="182"/>
      <c r="AI469" s="182"/>
      <c r="AJ469" s="640"/>
      <c r="AK469" s="182"/>
      <c r="AL469" s="496">
        <f>-0.03*Z469</f>
        <v>-48</v>
      </c>
      <c r="AM469" s="496">
        <f>AL469*R469</f>
        <v>-336</v>
      </c>
      <c r="AN469" s="626"/>
      <c r="AO469" s="182"/>
      <c r="AP469" s="182" t="s">
        <v>1554</v>
      </c>
      <c r="AQ469" s="332" t="str">
        <f>UPPER(RIGHT(Journal_Live[[#This Row],[DURATION ]]))</f>
        <v>H</v>
      </c>
      <c r="AR469" s="182" t="s">
        <v>2153</v>
      </c>
      <c r="AS469" s="189">
        <v>-7.0000000000000007E-2</v>
      </c>
      <c r="AT469" s="189">
        <f>IF(ISBLANK(AS469),,IF(U469="S",AD469-AS469,AS469-AD469))</f>
        <v>1.0000000000000009E-2</v>
      </c>
      <c r="AU469" s="187">
        <f>AV469*R469</f>
        <v>112.0000000000001</v>
      </c>
      <c r="AV469" s="190">
        <f>IF(ISBLANK(AS469),,(AT469*Z469))</f>
        <v>16.000000000000014</v>
      </c>
      <c r="AW469" s="191" t="s">
        <v>96</v>
      </c>
      <c r="AX469" s="407"/>
      <c r="AY469" s="407"/>
      <c r="AZ469" s="407"/>
      <c r="BA469" s="407"/>
      <c r="BB469" s="407"/>
      <c r="BC469" s="407"/>
      <c r="BD469" s="407"/>
      <c r="BE469" s="407"/>
      <c r="BF469" s="422"/>
      <c r="BG469" s="391">
        <f>SUM($AV$4:AV469)</f>
        <v>2879.6092857142808</v>
      </c>
      <c r="BH469" s="392">
        <f>SUM($AU$134:AU469)</f>
        <v>2348.0899999999383</v>
      </c>
      <c r="BI469" s="318">
        <f>SUMIFS($AU$134:AU470,$Q$134:Q470,"F")</f>
        <v>-3014.8</v>
      </c>
      <c r="BJ469" s="318">
        <f>SUMIFS($AU$134:AU470,$Q$134:Q470,"S")</f>
        <v>5736.0899999999974</v>
      </c>
      <c r="BK469" s="343">
        <f>SUMIFS($AU$134:AU470,$P$134:P470,"W")</f>
        <v>4575.3899999999339</v>
      </c>
      <c r="BL469" s="343">
        <f>SUMIFS($AU$134:AU470,$P$134:P470,"R")</f>
        <v>-2032.6599999999974</v>
      </c>
      <c r="BM469" s="343">
        <f>SUMIFS($AU$134:AU470,$AQ$134:AQ470,"M")</f>
        <v>733.39999999997201</v>
      </c>
      <c r="BN469" s="343">
        <f>SUMIFS($AU$134:AU470,$AQ$134:AQ470,"H")</f>
        <v>2671.9000000000156</v>
      </c>
      <c r="BO469" s="343">
        <f>SUMIFS($AU$134:AU470,$AQ$134:AQ470,"D")</f>
        <v>-230.31000000000043</v>
      </c>
      <c r="BP469" s="343">
        <f>SUMIFS($AU$134:AU472,$AQ$134:AQ472,"W")</f>
        <v>-1270.7</v>
      </c>
      <c r="BQ469" s="343">
        <f>SUMIFS($AU$134:AU470,$Q$134:Q470,"O")</f>
        <v>-377.76000000006229</v>
      </c>
      <c r="BR469" s="343">
        <f>SUMIFS($AU$134:AU470,$AA$134:AA470,"*")</f>
        <v>5215.7899999999645</v>
      </c>
      <c r="BS469" s="343">
        <f>SUMIFS($AU$134:AU470,$AB$134:AB470,"*")</f>
        <v>-34.560000000024061</v>
      </c>
      <c r="BT469" s="343">
        <f>SUMIFS($AU$134:AU470,$AC$134:AC470,"*")</f>
        <v>-1893.6500000000012</v>
      </c>
      <c r="BU469" s="343">
        <f>SUMIFS($AU$134:AU470,$AA$134:AA470,"*",$AB$134:AB470,"*")</f>
        <v>-333.99999999999511</v>
      </c>
      <c r="BV469" s="343">
        <f>SUMIFS($AU$134:AU470,$AA$134:AA470,"*",$AC$134:AC470,"*")</f>
        <v>1055.4499999999994</v>
      </c>
      <c r="BW469" s="343">
        <f>SUMIFS($AU$134:AU470,$AB$134:AB470,"*",$AC$134:AC470,"*")</f>
        <v>78.599999999999653</v>
      </c>
      <c r="BX469" s="343">
        <f>SUMIFS($AU470:AU$1388,$Q470:Q$1388,"F")</f>
        <v>17455.466666666667</v>
      </c>
      <c r="BY469" s="343">
        <f>SUMIFS($AU470:AU$1388,$Q470:Q$1388,"S")</f>
        <v>15130.192000000001</v>
      </c>
      <c r="BZ469" s="343">
        <f>SUMIFS($AU470:AU$1388,$Q470:Q$1388,"O")</f>
        <v>-1271.097999999736</v>
      </c>
    </row>
    <row r="470" spans="1:78" ht="15.75" customHeight="1">
      <c r="A470" s="221" t="s">
        <v>2054</v>
      </c>
      <c r="B470" s="200">
        <v>45028</v>
      </c>
      <c r="C470" s="178" t="s">
        <v>209</v>
      </c>
      <c r="D470" s="178" t="s">
        <v>151</v>
      </c>
      <c r="E470" s="227"/>
      <c r="F470" s="180"/>
      <c r="G470" s="281" t="s">
        <v>2070</v>
      </c>
      <c r="H470" s="182"/>
      <c r="I470" s="182"/>
      <c r="J470" s="182"/>
      <c r="K470" s="183"/>
      <c r="L470" s="182">
        <v>1</v>
      </c>
      <c r="M470" s="182">
        <v>1</v>
      </c>
      <c r="N470" s="182"/>
      <c r="O470" s="183" t="s">
        <v>95</v>
      </c>
      <c r="P470" s="183" t="s">
        <v>137</v>
      </c>
      <c r="Q470" s="183" t="s">
        <v>97</v>
      </c>
      <c r="R470" s="183">
        <v>14</v>
      </c>
      <c r="S470" s="183">
        <v>2</v>
      </c>
      <c r="T470" s="183">
        <v>14</v>
      </c>
      <c r="U470" s="183" t="s">
        <v>22</v>
      </c>
      <c r="V470" s="183"/>
      <c r="W470" s="183"/>
      <c r="X470" s="183"/>
      <c r="Y470" s="184">
        <f t="shared" si="197"/>
        <v>0.01</v>
      </c>
      <c r="Z470" s="184">
        <f>IF(ISBLANK(O470),"",IF(O470="IB",8.63*200,IF(O470="IR",16.22*100,IF(O470="YT",20))))</f>
        <v>1622</v>
      </c>
      <c r="AA470" s="185" t="s">
        <v>2154</v>
      </c>
      <c r="AB470" s="185"/>
      <c r="AC470" s="185"/>
      <c r="AD470" s="649">
        <v>-7.0000000000000007E-2</v>
      </c>
      <c r="AE470" s="182"/>
      <c r="AF470" s="332"/>
      <c r="AG470" s="182"/>
      <c r="AH470" s="182"/>
      <c r="AI470" s="182"/>
      <c r="AJ470" s="640"/>
      <c r="AK470" s="182"/>
      <c r="AL470" s="496">
        <f>-0.02*Z470</f>
        <v>-32.44</v>
      </c>
      <c r="AM470" s="496">
        <f>AL470*(R470-S470)</f>
        <v>-389.28</v>
      </c>
      <c r="AN470" s="626"/>
      <c r="AO470" s="182"/>
      <c r="AP470" s="182" t="s">
        <v>770</v>
      </c>
      <c r="AQ470" s="332" t="str">
        <f>UPPER(RIGHT(Journal_Live[[#This Row],[DURATION ]]))</f>
        <v>D</v>
      </c>
      <c r="AR470" s="182" t="s">
        <v>2155</v>
      </c>
      <c r="AS470" s="189">
        <f>((-0.07*2)+(-0.06*12))/14</f>
        <v>-6.142857142857143E-2</v>
      </c>
      <c r="AT470" s="189">
        <f>IF(ISBLANK(AS470),,IF(U470="S",AD470-AS470,AS470-AD470))</f>
        <v>8.5714285714285771E-3</v>
      </c>
      <c r="AU470" s="187">
        <f>AV470*R470</f>
        <v>194.64000000000013</v>
      </c>
      <c r="AV470" s="190">
        <f>IF(ISBLANK(AS470),,(AT470*Z470))</f>
        <v>13.902857142857153</v>
      </c>
      <c r="AW470" s="191" t="s">
        <v>96</v>
      </c>
      <c r="AX470" s="407" t="s">
        <v>2156</v>
      </c>
      <c r="AY470" s="407" t="s">
        <v>2157</v>
      </c>
      <c r="AZ470" s="407" t="s">
        <v>2158</v>
      </c>
      <c r="BA470" s="407"/>
      <c r="BB470" s="407"/>
      <c r="BC470" s="407"/>
      <c r="BD470" s="407"/>
      <c r="BE470" s="407"/>
      <c r="BF470" s="422"/>
      <c r="BG470" s="391">
        <f>SUM($AV$4:AV470)</f>
        <v>2893.5121428571379</v>
      </c>
      <c r="BH470" s="392">
        <f>SUM($AU$134:AU470)</f>
        <v>2542.7299999999386</v>
      </c>
      <c r="BI470" s="318">
        <f>SUMIFS($AU$134:AU471,$Q$134:Q471,"F")</f>
        <v>-3014.8</v>
      </c>
      <c r="BJ470" s="318">
        <f>SUMIFS($AU$134:AU471,$Q$134:Q471,"S")</f>
        <v>5880.0899999999974</v>
      </c>
      <c r="BK470" s="343">
        <f>SUMIFS($AU$134:AU471,$P$134:P471,"W")</f>
        <v>4719.3899999999339</v>
      </c>
      <c r="BL470" s="343">
        <f>SUMIFS($AU$134:AU471,$P$134:P471,"R")</f>
        <v>-2032.6599999999974</v>
      </c>
      <c r="BM470" s="343">
        <f>SUMIFS($AU$134:AU471,$AQ$134:AQ471,"M")</f>
        <v>733.39999999997201</v>
      </c>
      <c r="BN470" s="343">
        <f>SUMIFS($AU$134:AU471,$AQ$134:AQ471,"H")</f>
        <v>2671.9000000000156</v>
      </c>
      <c r="BO470" s="343">
        <f>SUMIFS($AU$134:AU471,$AQ$134:AQ471,"D")</f>
        <v>-86.310000000000116</v>
      </c>
      <c r="BP470" s="343">
        <f>SUMIFS($AU$134:AU473,$AQ$134:AQ473,"W")</f>
        <v>-1270.7</v>
      </c>
      <c r="BQ470" s="343">
        <f>SUMIFS($AU$134:AU471,$Q$134:Q471,"O")</f>
        <v>-377.76000000006229</v>
      </c>
      <c r="BR470" s="343">
        <f>SUMIFS($AU$134:AU471,$AA$134:AA471,"*")</f>
        <v>5359.7899999999645</v>
      </c>
      <c r="BS470" s="343">
        <f>SUMIFS($AU$134:AU471,$AB$134:AB471,"*")</f>
        <v>109.43999999997625</v>
      </c>
      <c r="BT470" s="343">
        <f>SUMIFS($AU$134:AU471,$AC$134:AC471,"*")</f>
        <v>-1749.650000000001</v>
      </c>
      <c r="BU470" s="343">
        <f>SUMIFS($AU$134:AU471,$AA$134:AA471,"*",$AB$134:AB471,"*")</f>
        <v>-189.9999999999948</v>
      </c>
      <c r="BV470" s="343">
        <f>SUMIFS($AU$134:AU471,$AA$134:AA471,"*",$AC$134:AC471,"*")</f>
        <v>1199.4499999999996</v>
      </c>
      <c r="BW470" s="343">
        <f>SUMIFS($AU$134:AU471,$AB$134:AB471,"*",$AC$134:AC471,"*")</f>
        <v>222.59999999999997</v>
      </c>
      <c r="BX470" s="343">
        <f>SUMIFS($AU471:AU$1388,$Q471:Q$1388,"F")</f>
        <v>17455.466666666667</v>
      </c>
      <c r="BY470" s="343">
        <f>SUMIFS($AU471:AU$1388,$Q471:Q$1388,"S")</f>
        <v>14935.552000000001</v>
      </c>
      <c r="BZ470" s="343">
        <f>SUMIFS($AU471:AU$1388,$Q471:Q$1388,"O")</f>
        <v>-1271.097999999736</v>
      </c>
    </row>
    <row r="471" spans="1:78" ht="15.75" customHeight="1">
      <c r="A471" s="221" t="s">
        <v>2054</v>
      </c>
      <c r="B471" s="200">
        <v>45028</v>
      </c>
      <c r="C471" s="178" t="s">
        <v>2159</v>
      </c>
      <c r="D471" s="178"/>
      <c r="E471" s="227"/>
      <c r="F471" s="180"/>
      <c r="G471" s="281" t="s">
        <v>2108</v>
      </c>
      <c r="H471" s="182"/>
      <c r="I471" s="182"/>
      <c r="J471" s="182"/>
      <c r="K471" s="183"/>
      <c r="L471" s="182">
        <v>1</v>
      </c>
      <c r="M471" s="182"/>
      <c r="N471" s="182"/>
      <c r="O471" s="183" t="s">
        <v>95</v>
      </c>
      <c r="P471" s="183" t="s">
        <v>96</v>
      </c>
      <c r="Q471" s="183" t="s">
        <v>97</v>
      </c>
      <c r="R471" s="183">
        <v>9</v>
      </c>
      <c r="S471" s="183">
        <v>0</v>
      </c>
      <c r="T471" s="183">
        <v>9</v>
      </c>
      <c r="U471" s="183" t="s">
        <v>97</v>
      </c>
      <c r="V471" s="183"/>
      <c r="W471" s="183"/>
      <c r="X471" s="183"/>
      <c r="Y471" s="184">
        <f t="shared" si="197"/>
        <v>0.01</v>
      </c>
      <c r="Z471" s="184">
        <f t="shared" ref="Z471:Z477" si="199">IF(ISBLANK(O471),"",IF(O471="IB",8.63*200,IF(O471="IR",16*100,IF(O471="YT",20))))</f>
        <v>1600</v>
      </c>
      <c r="AA471" s="185" t="s">
        <v>99</v>
      </c>
      <c r="AB471" s="185" t="s">
        <v>2160</v>
      </c>
      <c r="AC471" s="185" t="s">
        <v>529</v>
      </c>
      <c r="AD471" s="649">
        <v>-0.09</v>
      </c>
      <c r="AE471" s="182"/>
      <c r="AF471" s="332"/>
      <c r="AG471" s="182"/>
      <c r="AH471" s="182"/>
      <c r="AI471" s="182"/>
      <c r="AJ471" s="640"/>
      <c r="AK471" s="182"/>
      <c r="AL471" s="496">
        <f>-0.03*Z471</f>
        <v>-48</v>
      </c>
      <c r="AM471" s="496">
        <f>AL471*(R471-S471)</f>
        <v>-432</v>
      </c>
      <c r="AN471" s="626"/>
      <c r="AO471" s="182"/>
      <c r="AP471" s="182" t="s">
        <v>804</v>
      </c>
      <c r="AQ471" s="332" t="str">
        <f>UPPER(RIGHT(Journal_Live[[#This Row],[DURATION ]]))</f>
        <v>D</v>
      </c>
      <c r="AR471" s="182" t="s">
        <v>2161</v>
      </c>
      <c r="AS471" s="189">
        <f>((-0.1*3)+(-0.1*6))/9</f>
        <v>-0.10000000000000002</v>
      </c>
      <c r="AT471" s="189">
        <f>IF(ISBLANK(AS471),,IF(U471="S",AD471-AS471,AS471-AD471))</f>
        <v>1.0000000000000023E-2</v>
      </c>
      <c r="AU471" s="187">
        <f>AV471*R471</f>
        <v>144.00000000000031</v>
      </c>
      <c r="AV471" s="190">
        <f>IF(ISBLANK(AS471),,(AT471*Z471))</f>
        <v>16.000000000000036</v>
      </c>
      <c r="AW471" s="191" t="s">
        <v>96</v>
      </c>
      <c r="AX471" s="407" t="s">
        <v>2162</v>
      </c>
      <c r="AY471" s="407" t="s">
        <v>2163</v>
      </c>
      <c r="AZ471" s="407"/>
      <c r="BA471" s="407"/>
      <c r="BB471" s="407"/>
      <c r="BC471" s="407"/>
      <c r="BD471" s="407"/>
      <c r="BE471" s="407"/>
      <c r="BF471" s="422"/>
      <c r="BG471" s="391">
        <f>SUM($AV$4:AV471)</f>
        <v>2909.5121428571379</v>
      </c>
      <c r="BH471" s="392">
        <f>SUM($AU$134:AU471)</f>
        <v>2686.7299999999391</v>
      </c>
      <c r="BI471" s="318">
        <f>SUMIFS($AU$134:AU472,$Q$134:Q472,"F")</f>
        <v>-3014.8</v>
      </c>
      <c r="BJ471" s="318">
        <f>SUMIFS($AU$134:AU472,$Q$134:Q472,"S")</f>
        <v>5880.0899999999974</v>
      </c>
      <c r="BK471" s="343">
        <f>SUMIFS($AU$134:AU472,$P$134:P472,"W")</f>
        <v>4719.3899999999339</v>
      </c>
      <c r="BL471" s="343">
        <f>SUMIFS($AU$134:AU472,$P$134:P472,"R")</f>
        <v>-2032.6599999999974</v>
      </c>
      <c r="BM471" s="343">
        <f>SUMIFS($AU$134:AU472,$AQ$134:AQ472,"M")</f>
        <v>733.39999999997201</v>
      </c>
      <c r="BN471" s="343">
        <f>SUMIFS($AU$134:AU472,$AQ$134:AQ472,"H")</f>
        <v>2671.9000000000156</v>
      </c>
      <c r="BO471" s="343">
        <f>SUMIFS($AU$134:AU472,$AQ$134:AQ472,"D")</f>
        <v>-86.310000000000116</v>
      </c>
      <c r="BP471" s="343">
        <f>SUMIFS($AU$134:AU474,$AQ$134:AQ474,"W")</f>
        <v>-1270.7</v>
      </c>
      <c r="BQ471" s="343">
        <f>SUMIFS($AU$134:AU472,$Q$134:Q472,"O")</f>
        <v>-377.76000000006229</v>
      </c>
      <c r="BR471" s="343">
        <f>SUMIFS($AU$134:AU472,$AA$134:AA472,"*")</f>
        <v>5359.7899999999645</v>
      </c>
      <c r="BS471" s="343">
        <f>SUMIFS($AU$134:AU472,$AB$134:AB472,"*")</f>
        <v>109.43999999997625</v>
      </c>
      <c r="BT471" s="343">
        <f>SUMIFS($AU$134:AU472,$AC$134:AC472,"*")</f>
        <v>-1749.650000000001</v>
      </c>
      <c r="BU471" s="343">
        <f>SUMIFS($AU$134:AU472,$AA$134:AA472,"*",$AB$134:AB472,"*")</f>
        <v>-189.9999999999948</v>
      </c>
      <c r="BV471" s="343">
        <f>SUMIFS($AU$134:AU472,$AA$134:AA472,"*",$AC$134:AC472,"*")</f>
        <v>1199.4499999999996</v>
      </c>
      <c r="BW471" s="343">
        <f>SUMIFS($AU$134:AU472,$AB$134:AB472,"*",$AC$134:AC472,"*")</f>
        <v>222.59999999999997</v>
      </c>
      <c r="BX471" s="343">
        <f>SUMIFS($AU472:AU$1388,$Q472:Q$1388,"F")</f>
        <v>17455.466666666667</v>
      </c>
      <c r="BY471" s="343">
        <f>SUMIFS($AU472:AU$1388,$Q472:Q$1388,"S")</f>
        <v>14791.552</v>
      </c>
      <c r="BZ471" s="343">
        <f>SUMIFS($AU472:AU$1388,$Q472:Q$1388,"O")</f>
        <v>-1271.097999999736</v>
      </c>
    </row>
    <row r="472" spans="1:78" ht="15.75" customHeight="1">
      <c r="A472" s="221" t="s">
        <v>2054</v>
      </c>
      <c r="B472" s="200">
        <v>45028</v>
      </c>
      <c r="C472" s="178" t="s">
        <v>1714</v>
      </c>
      <c r="D472" s="178" t="s">
        <v>151</v>
      </c>
      <c r="E472" s="227" t="s">
        <v>2164</v>
      </c>
      <c r="F472" s="180" t="s">
        <v>2165</v>
      </c>
      <c r="G472" s="181"/>
      <c r="H472" s="182"/>
      <c r="I472" s="182">
        <v>1</v>
      </c>
      <c r="J472" s="182"/>
      <c r="K472" s="183" t="s">
        <v>372</v>
      </c>
      <c r="L472" s="182"/>
      <c r="M472" s="182"/>
      <c r="N472" s="182"/>
      <c r="O472" s="183"/>
      <c r="P472" s="183"/>
      <c r="Q472" s="183"/>
      <c r="R472" s="183"/>
      <c r="S472" s="183"/>
      <c r="T472" s="183"/>
      <c r="U472" s="183"/>
      <c r="V472" s="183"/>
      <c r="W472" s="183"/>
      <c r="X472" s="183"/>
      <c r="Y472" s="184" t="str">
        <f t="shared" si="197"/>
        <v/>
      </c>
      <c r="Z472" s="184" t="str">
        <f t="shared" si="199"/>
        <v/>
      </c>
      <c r="AA472" s="185"/>
      <c r="AB472" s="185"/>
      <c r="AC472" s="185"/>
      <c r="AD472" s="649"/>
      <c r="AE472" s="182"/>
      <c r="AF472" s="332"/>
      <c r="AG472" s="182"/>
      <c r="AH472" s="182"/>
      <c r="AI472" s="182"/>
      <c r="AJ472" s="640"/>
      <c r="AK472" s="182"/>
      <c r="AL472" s="496"/>
      <c r="AM472" s="496"/>
      <c r="AN472" s="626"/>
      <c r="AO472" s="182"/>
      <c r="AP472" s="182"/>
      <c r="AQ472" s="332" t="str">
        <f>UPPER(RIGHT(Journal_Live[[#This Row],[DURATION ]]))</f>
        <v/>
      </c>
      <c r="AR472" s="182"/>
      <c r="AS472" s="189"/>
      <c r="AT472" s="189"/>
      <c r="AU472" s="187"/>
      <c r="AV472" s="190"/>
      <c r="AW472" s="191"/>
      <c r="AX472" s="407" t="s">
        <v>2166</v>
      </c>
      <c r="AY472" s="407" t="s">
        <v>2167</v>
      </c>
      <c r="AZ472" s="407"/>
      <c r="BA472" s="407" t="s">
        <v>2168</v>
      </c>
      <c r="BB472" s="407" t="s">
        <v>529</v>
      </c>
      <c r="BC472" s="407"/>
      <c r="BD472" s="407"/>
      <c r="BE472" s="407"/>
      <c r="BF472" s="422"/>
      <c r="BG472" s="391">
        <f>SUM($AV$4:AV472)</f>
        <v>2909.5121428571379</v>
      </c>
      <c r="BH472" s="392">
        <f>SUM($AU$134:AU472)</f>
        <v>2686.7299999999391</v>
      </c>
      <c r="BI472" s="318">
        <f>SUMIFS($AU$134:AU473,$Q$134:Q473,"F")</f>
        <v>-3014.8</v>
      </c>
      <c r="BJ472" s="318">
        <f>SUMIFS($AU$134:AU473,$Q$134:Q473,"S")</f>
        <v>5880.0899999999974</v>
      </c>
      <c r="BK472" s="343">
        <f>SUMIFS($AU$134:AU473,$P$134:P473,"W")</f>
        <v>4719.3899999999339</v>
      </c>
      <c r="BL472" s="343">
        <f>SUMIFS($AU$134:AU473,$P$134:P473,"R")</f>
        <v>-2032.6599999999974</v>
      </c>
      <c r="BM472" s="343">
        <f>SUMIFS($AU$134:AU473,$AQ$134:AQ473,"M")</f>
        <v>733.39999999997201</v>
      </c>
      <c r="BN472" s="343">
        <f>SUMIFS($AU$134:AU473,$AQ$134:AQ473,"H")</f>
        <v>2671.9000000000156</v>
      </c>
      <c r="BO472" s="343">
        <f>SUMIFS($AU$134:AU473,$AQ$134:AQ473,"D")</f>
        <v>-86.310000000000116</v>
      </c>
      <c r="BP472" s="343">
        <f>SUMIFS($AU$134:AU475,$AQ$134:AQ475,"W")</f>
        <v>-1270.7</v>
      </c>
      <c r="BQ472" s="343">
        <f>SUMIFS($AU$134:AU473,$Q$134:Q473,"O")</f>
        <v>-377.76000000006229</v>
      </c>
      <c r="BR472" s="343">
        <f>SUMIFS($AU$134:AU473,$AA$134:AA473,"*")</f>
        <v>5359.7899999999645</v>
      </c>
      <c r="BS472" s="343">
        <f>SUMIFS($AU$134:AU473,$AB$134:AB473,"*")</f>
        <v>109.43999999997625</v>
      </c>
      <c r="BT472" s="343">
        <f>SUMIFS($AU$134:AU473,$AC$134:AC473,"*")</f>
        <v>-1749.650000000001</v>
      </c>
      <c r="BU472" s="343">
        <f>SUMIFS($AU$134:AU473,$AA$134:AA473,"*",$AB$134:AB473,"*")</f>
        <v>-189.9999999999948</v>
      </c>
      <c r="BV472" s="343">
        <f>SUMIFS($AU$134:AU473,$AA$134:AA473,"*",$AC$134:AC473,"*")</f>
        <v>1199.4499999999996</v>
      </c>
      <c r="BW472" s="343">
        <f>SUMIFS($AU$134:AU473,$AB$134:AB473,"*",$AC$134:AC473,"*")</f>
        <v>222.59999999999997</v>
      </c>
      <c r="BX472" s="343">
        <f>SUMIFS($AU473:AU$1388,$Q473:Q$1388,"F")</f>
        <v>17455.466666666667</v>
      </c>
      <c r="BY472" s="343">
        <f>SUMIFS($AU473:AU$1388,$Q473:Q$1388,"S")</f>
        <v>14791.552</v>
      </c>
      <c r="BZ472" s="343">
        <f>SUMIFS($AU473:AU$1388,$Q473:Q$1388,"O")</f>
        <v>-1271.097999999736</v>
      </c>
    </row>
    <row r="473" spans="1:78" ht="15.75" customHeight="1">
      <c r="A473" s="221" t="s">
        <v>2054</v>
      </c>
      <c r="B473" s="200"/>
      <c r="C473" s="178"/>
      <c r="D473" s="178"/>
      <c r="E473" s="227" t="s">
        <v>2169</v>
      </c>
      <c r="F473" s="180" t="s">
        <v>2170</v>
      </c>
      <c r="G473" s="181"/>
      <c r="H473" s="182"/>
      <c r="I473" s="182"/>
      <c r="J473" s="182">
        <v>1</v>
      </c>
      <c r="K473" s="183" t="s">
        <v>115</v>
      </c>
      <c r="L473" s="182"/>
      <c r="M473" s="182"/>
      <c r="N473" s="182"/>
      <c r="O473" s="183"/>
      <c r="P473" s="183"/>
      <c r="Q473" s="183"/>
      <c r="R473" s="183"/>
      <c r="S473" s="183"/>
      <c r="T473" s="183"/>
      <c r="U473" s="183"/>
      <c r="V473" s="183"/>
      <c r="W473" s="183"/>
      <c r="X473" s="183"/>
      <c r="Y473" s="184" t="str">
        <f t="shared" si="197"/>
        <v/>
      </c>
      <c r="Z473" s="184" t="str">
        <f t="shared" si="199"/>
        <v/>
      </c>
      <c r="AA473" s="185"/>
      <c r="AB473" s="185"/>
      <c r="AC473" s="185"/>
      <c r="AD473" s="649"/>
      <c r="AE473" s="182"/>
      <c r="AF473" s="332"/>
      <c r="AG473" s="182"/>
      <c r="AH473" s="182"/>
      <c r="AI473" s="182"/>
      <c r="AJ473" s="640"/>
      <c r="AK473" s="182"/>
      <c r="AL473" s="496"/>
      <c r="AM473" s="496"/>
      <c r="AN473" s="626"/>
      <c r="AO473" s="182"/>
      <c r="AP473" s="182"/>
      <c r="AQ473" s="332" t="str">
        <f>UPPER(RIGHT(Journal_Live[[#This Row],[DURATION ]]))</f>
        <v/>
      </c>
      <c r="AR473" s="182"/>
      <c r="AS473" s="189"/>
      <c r="AT473" s="189"/>
      <c r="AU473" s="187"/>
      <c r="AV473" s="190"/>
      <c r="AW473" s="191"/>
      <c r="AX473" s="407"/>
      <c r="AY473" s="407"/>
      <c r="AZ473" s="407"/>
      <c r="BA473" s="407" t="s">
        <v>2171</v>
      </c>
      <c r="BB473" s="407" t="s">
        <v>2172</v>
      </c>
      <c r="BC473" s="407" t="s">
        <v>2173</v>
      </c>
      <c r="BD473" s="407"/>
      <c r="BE473" s="407"/>
      <c r="BF473" s="422"/>
      <c r="BG473" s="391">
        <f>SUM($AV$4:AV473)</f>
        <v>2909.5121428571379</v>
      </c>
      <c r="BH473" s="392">
        <f>SUM($AU$134:AU473)</f>
        <v>2686.7299999999391</v>
      </c>
      <c r="BI473" s="318">
        <f>SUMIFS($AU$134:AU474,$Q$134:Q474,"F")</f>
        <v>-3014.8</v>
      </c>
      <c r="BJ473" s="318">
        <f>SUMIFS($AU$134:AU474,$Q$134:Q474,"S")</f>
        <v>5880.0899999999974</v>
      </c>
      <c r="BK473" s="343">
        <f>SUMIFS($AU$134:AU474,$P$134:P474,"W")</f>
        <v>4719.3899999999339</v>
      </c>
      <c r="BL473" s="343">
        <f>SUMIFS($AU$134:AU474,$P$134:P474,"R")</f>
        <v>-2032.6599999999974</v>
      </c>
      <c r="BM473" s="343">
        <f>SUMIFS($AU$134:AU474,$AQ$134:AQ474,"M")</f>
        <v>733.39999999997201</v>
      </c>
      <c r="BN473" s="343">
        <f>SUMIFS($AU$134:AU474,$AQ$134:AQ474,"H")</f>
        <v>2671.9000000000156</v>
      </c>
      <c r="BO473" s="343">
        <f>SUMIFS($AU$134:AU474,$AQ$134:AQ474,"D")</f>
        <v>-86.310000000000116</v>
      </c>
      <c r="BP473" s="343">
        <f>SUMIFS($AU$134:AU476,$AQ$134:AQ476,"W")</f>
        <v>-1270.7</v>
      </c>
      <c r="BQ473" s="343">
        <f>SUMIFS($AU$134:AU474,$Q$134:Q474,"O")</f>
        <v>-377.76000000006229</v>
      </c>
      <c r="BR473" s="343">
        <f>SUMIFS($AU$134:AU474,$AA$134:AA474,"*")</f>
        <v>5359.7899999999645</v>
      </c>
      <c r="BS473" s="343">
        <f>SUMIFS($AU$134:AU474,$AB$134:AB474,"*")</f>
        <v>109.43999999997625</v>
      </c>
      <c r="BT473" s="343">
        <f>SUMIFS($AU$134:AU474,$AC$134:AC474,"*")</f>
        <v>-1749.650000000001</v>
      </c>
      <c r="BU473" s="343">
        <f>SUMIFS($AU$134:AU474,$AA$134:AA474,"*",$AB$134:AB474,"*")</f>
        <v>-189.9999999999948</v>
      </c>
      <c r="BV473" s="343">
        <f>SUMIFS($AU$134:AU474,$AA$134:AA474,"*",$AC$134:AC474,"*")</f>
        <v>1199.4499999999996</v>
      </c>
      <c r="BW473" s="343">
        <f>SUMIFS($AU$134:AU474,$AB$134:AB474,"*",$AC$134:AC474,"*")</f>
        <v>222.59999999999997</v>
      </c>
      <c r="BX473" s="343">
        <f>SUMIFS($AU474:AU$1388,$Q474:Q$1388,"F")</f>
        <v>17455.466666666667</v>
      </c>
      <c r="BY473" s="343">
        <f>SUMIFS($AU474:AU$1388,$Q474:Q$1388,"S")</f>
        <v>14791.552</v>
      </c>
      <c r="BZ473" s="343">
        <f>SUMIFS($AU474:AU$1388,$Q474:Q$1388,"O")</f>
        <v>-1271.097999999736</v>
      </c>
    </row>
    <row r="474" spans="1:78" ht="15.75" customHeight="1">
      <c r="A474" s="221" t="s">
        <v>2054</v>
      </c>
      <c r="B474" s="200"/>
      <c r="C474" s="178"/>
      <c r="D474" s="178"/>
      <c r="E474" s="227" t="s">
        <v>2174</v>
      </c>
      <c r="F474" s="180" t="s">
        <v>2175</v>
      </c>
      <c r="G474" s="181"/>
      <c r="H474" s="182"/>
      <c r="I474" s="182"/>
      <c r="J474" s="182">
        <v>1</v>
      </c>
      <c r="K474" s="183" t="s">
        <v>115</v>
      </c>
      <c r="L474" s="182"/>
      <c r="M474" s="182"/>
      <c r="N474" s="182"/>
      <c r="O474" s="183"/>
      <c r="P474" s="183"/>
      <c r="Q474" s="183"/>
      <c r="R474" s="183"/>
      <c r="S474" s="183"/>
      <c r="T474" s="183"/>
      <c r="U474" s="183"/>
      <c r="V474" s="183"/>
      <c r="W474" s="183"/>
      <c r="X474" s="183"/>
      <c r="Y474" s="184" t="str">
        <f t="shared" si="197"/>
        <v/>
      </c>
      <c r="Z474" s="184" t="str">
        <f t="shared" si="199"/>
        <v/>
      </c>
      <c r="AA474" s="185"/>
      <c r="AB474" s="185"/>
      <c r="AC474" s="185"/>
      <c r="AD474" s="649"/>
      <c r="AE474" s="182"/>
      <c r="AF474" s="332"/>
      <c r="AG474" s="182"/>
      <c r="AH474" s="182"/>
      <c r="AI474" s="182"/>
      <c r="AJ474" s="640"/>
      <c r="AK474" s="182"/>
      <c r="AL474" s="496"/>
      <c r="AM474" s="496"/>
      <c r="AN474" s="626"/>
      <c r="AO474" s="182"/>
      <c r="AP474" s="182"/>
      <c r="AQ474" s="332" t="str">
        <f>UPPER(RIGHT(Journal_Live[[#This Row],[DURATION ]]))</f>
        <v/>
      </c>
      <c r="AR474" s="182"/>
      <c r="AS474" s="189"/>
      <c r="AT474" s="189"/>
      <c r="AU474" s="187"/>
      <c r="AV474" s="190"/>
      <c r="AW474" s="191"/>
      <c r="AX474" s="407"/>
      <c r="AY474" s="407"/>
      <c r="AZ474" s="407"/>
      <c r="BA474" s="407" t="s">
        <v>2176</v>
      </c>
      <c r="BB474" s="407" t="s">
        <v>529</v>
      </c>
      <c r="BC474" s="407"/>
      <c r="BD474" s="407"/>
      <c r="BE474" s="407"/>
      <c r="BF474" s="422"/>
      <c r="BG474" s="391">
        <f>SUM($AV$4:AV474)</f>
        <v>2909.5121428571379</v>
      </c>
      <c r="BH474" s="392">
        <f>SUM($AU$134:AU474)</f>
        <v>2686.7299999999391</v>
      </c>
      <c r="BI474" s="318">
        <f>SUMIFS($AU$134:AU475,$Q$134:Q475,"F")</f>
        <v>-3014.8</v>
      </c>
      <c r="BJ474" s="318">
        <f>SUMIFS($AU$134:AU475,$Q$134:Q475,"S")</f>
        <v>6104.0899999999974</v>
      </c>
      <c r="BK474" s="343">
        <f>SUMIFS($AU$134:AU475,$P$134:P475,"W")</f>
        <v>4943.3899999999339</v>
      </c>
      <c r="BL474" s="343">
        <f>SUMIFS($AU$134:AU475,$P$134:P475,"R")</f>
        <v>-2032.6599999999974</v>
      </c>
      <c r="BM474" s="343">
        <f>SUMIFS($AU$134:AU475,$AQ$134:AQ475,"M")</f>
        <v>733.39999999997201</v>
      </c>
      <c r="BN474" s="343">
        <f>SUMIFS($AU$134:AU475,$AQ$134:AQ475,"H")</f>
        <v>2671.9000000000156</v>
      </c>
      <c r="BO474" s="343">
        <f>SUMIFS($AU$134:AU475,$AQ$134:AQ475,"D")</f>
        <v>137.68999999999994</v>
      </c>
      <c r="BP474" s="343">
        <f>SUMIFS($AU$134:AU477,$AQ$134:AQ477,"W")</f>
        <v>-1270.7</v>
      </c>
      <c r="BQ474" s="343">
        <f>SUMIFS($AU$134:AU475,$Q$134:Q475,"O")</f>
        <v>-377.76000000006229</v>
      </c>
      <c r="BR474" s="343">
        <f>SUMIFS($AU$134:AU475,$AA$134:AA475,"*")</f>
        <v>5583.7899999999645</v>
      </c>
      <c r="BS474" s="343">
        <f>SUMIFS($AU$134:AU475,$AB$134:AB475,"*")</f>
        <v>333.43999999997629</v>
      </c>
      <c r="BT474" s="343">
        <f>SUMIFS($AU$134:AU475,$AC$134:AC475,"*")</f>
        <v>-1525.650000000001</v>
      </c>
      <c r="BU474" s="343">
        <f>SUMIFS($AU$134:AU475,$AA$134:AA475,"*",$AB$134:AB475,"*")</f>
        <v>34.000000000005258</v>
      </c>
      <c r="BV474" s="343">
        <f>SUMIFS($AU$134:AU475,$AA$134:AA475,"*",$AC$134:AC475,"*")</f>
        <v>1423.4499999999996</v>
      </c>
      <c r="BW474" s="343">
        <f>SUMIFS($AU$134:AU475,$AB$134:AB475,"*",$AC$134:AC475,"*")</f>
        <v>446.6</v>
      </c>
      <c r="BX474" s="343">
        <f>SUMIFS($AU475:AU$1388,$Q475:Q$1388,"F")</f>
        <v>17455.466666666667</v>
      </c>
      <c r="BY474" s="343">
        <f>SUMIFS($AU475:AU$1388,$Q475:Q$1388,"S")</f>
        <v>14791.552</v>
      </c>
      <c r="BZ474" s="343">
        <f>SUMIFS($AU475:AU$1388,$Q475:Q$1388,"O")</f>
        <v>-1271.097999999736</v>
      </c>
    </row>
    <row r="475" spans="1:78" ht="15.75" customHeight="1">
      <c r="A475" s="221" t="s">
        <v>2054</v>
      </c>
      <c r="B475" s="200">
        <v>45028</v>
      </c>
      <c r="C475" s="178" t="s">
        <v>682</v>
      </c>
      <c r="D475" s="178" t="s">
        <v>151</v>
      </c>
      <c r="E475" s="227"/>
      <c r="F475" s="180"/>
      <c r="G475" s="281" t="s">
        <v>94</v>
      </c>
      <c r="H475" s="182"/>
      <c r="I475" s="182"/>
      <c r="J475" s="182"/>
      <c r="K475" s="183"/>
      <c r="L475" s="182"/>
      <c r="M475" s="182"/>
      <c r="N475" s="182"/>
      <c r="O475" s="183" t="s">
        <v>95</v>
      </c>
      <c r="P475" s="183" t="s">
        <v>96</v>
      </c>
      <c r="Q475" s="183" t="s">
        <v>97</v>
      </c>
      <c r="R475" s="183">
        <v>14</v>
      </c>
      <c r="S475" s="183">
        <v>0</v>
      </c>
      <c r="T475" s="183">
        <v>14</v>
      </c>
      <c r="U475" s="183" t="s">
        <v>97</v>
      </c>
      <c r="V475" s="183"/>
      <c r="W475" s="183"/>
      <c r="X475" s="183"/>
      <c r="Y475" s="184">
        <f t="shared" si="197"/>
        <v>0.01</v>
      </c>
      <c r="Z475" s="184">
        <f t="shared" si="199"/>
        <v>1600</v>
      </c>
      <c r="AA475" s="185" t="s">
        <v>2177</v>
      </c>
      <c r="AB475" s="185" t="s">
        <v>2178</v>
      </c>
      <c r="AC475" s="185" t="s">
        <v>529</v>
      </c>
      <c r="AD475" s="649">
        <v>-0.04</v>
      </c>
      <c r="AE475" s="182"/>
      <c r="AF475" s="332"/>
      <c r="AG475" s="182"/>
      <c r="AH475" s="182"/>
      <c r="AI475" s="182"/>
      <c r="AJ475" s="640"/>
      <c r="AK475" s="182"/>
      <c r="AL475" s="496">
        <f>-0.015*Z475</f>
        <v>-24</v>
      </c>
      <c r="AM475" s="496">
        <f>AL475*(R475-S475)</f>
        <v>-336</v>
      </c>
      <c r="AN475" s="626"/>
      <c r="AO475" s="182"/>
      <c r="AP475" s="182" t="s">
        <v>1261</v>
      </c>
      <c r="AQ475" s="332" t="str">
        <f>UPPER(RIGHT(Journal_Live[[#This Row],[DURATION ]]))</f>
        <v>D</v>
      </c>
      <c r="AR475" s="182" t="s">
        <v>2179</v>
      </c>
      <c r="AS475" s="189">
        <v>-0.05</v>
      </c>
      <c r="AT475" s="189">
        <f>IF(ISBLANK(AS475),,IF(U475="S",AD475-AS475,AS475-AD475))</f>
        <v>1.0000000000000002E-2</v>
      </c>
      <c r="AU475" s="187">
        <f>AV475*R475</f>
        <v>224.00000000000006</v>
      </c>
      <c r="AV475" s="190">
        <f>IF(ISBLANK(AS475),,(AT475*Z475))</f>
        <v>16.000000000000004</v>
      </c>
      <c r="AW475" s="191" t="s">
        <v>96</v>
      </c>
      <c r="AX475" s="407" t="s">
        <v>2180</v>
      </c>
      <c r="AY475" s="407" t="s">
        <v>2181</v>
      </c>
      <c r="AZ475" s="407" t="s">
        <v>2182</v>
      </c>
      <c r="BA475" s="407" t="s">
        <v>2180</v>
      </c>
      <c r="BB475" s="407" t="s">
        <v>2183</v>
      </c>
      <c r="BC475" s="407" t="s">
        <v>2184</v>
      </c>
      <c r="BD475" s="407"/>
      <c r="BE475" s="407"/>
      <c r="BF475" s="422"/>
      <c r="BG475" s="391">
        <f>SUM($AV$4:AV475)</f>
        <v>2925.5121428571379</v>
      </c>
      <c r="BH475" s="392">
        <f>SUM($AU$134:AU475)</f>
        <v>2910.7299999999391</v>
      </c>
      <c r="BI475" s="318">
        <f>SUMIFS($AU$134:AU476,$Q$134:Q476,"F")</f>
        <v>-3014.8</v>
      </c>
      <c r="BJ475" s="318">
        <f>SUMIFS($AU$134:AU476,$Q$134:Q476,"S")</f>
        <v>6168.0899999999974</v>
      </c>
      <c r="BK475" s="343">
        <f>SUMIFS($AU$134:AU476,$P$134:P476,"W")</f>
        <v>5007.3899999999339</v>
      </c>
      <c r="BL475" s="343">
        <f>SUMIFS($AU$134:AU476,$P$134:P476,"R")</f>
        <v>-2032.6599999999974</v>
      </c>
      <c r="BM475" s="343">
        <f>SUMIFS($AU$134:AU476,$AQ$134:AQ476,"M")</f>
        <v>733.39999999997201</v>
      </c>
      <c r="BN475" s="343">
        <f>SUMIFS($AU$134:AU476,$AQ$134:AQ476,"H")</f>
        <v>2735.9000000000156</v>
      </c>
      <c r="BO475" s="343">
        <f>SUMIFS($AU$134:AU476,$AQ$134:AQ476,"D")</f>
        <v>137.68999999999994</v>
      </c>
      <c r="BP475" s="343">
        <f>SUMIFS($AU$134:AU478,$AQ$134:AQ478,"W")</f>
        <v>-1270.7</v>
      </c>
      <c r="BQ475" s="343">
        <f>SUMIFS($AU$134:AU476,$Q$134:Q476,"O")</f>
        <v>-377.76000000006229</v>
      </c>
      <c r="BR475" s="343">
        <f>SUMIFS($AU$134:AU476,$AA$134:AA476,"*")</f>
        <v>5647.7899999999645</v>
      </c>
      <c r="BS475" s="343">
        <f>SUMIFS($AU$134:AU476,$AB$134:AB476,"*")</f>
        <v>333.43999999997629</v>
      </c>
      <c r="BT475" s="343">
        <f>SUMIFS($AU$134:AU476,$AC$134:AC476,"*")</f>
        <v>-1525.650000000001</v>
      </c>
      <c r="BU475" s="343">
        <f>SUMIFS($AU$134:AU476,$AA$134:AA476,"*",$AB$134:AB476,"*")</f>
        <v>34.000000000005258</v>
      </c>
      <c r="BV475" s="343">
        <f>SUMIFS($AU$134:AU476,$AA$134:AA476,"*",$AC$134:AC476,"*")</f>
        <v>1423.4499999999996</v>
      </c>
      <c r="BW475" s="343">
        <f>SUMIFS($AU$134:AU476,$AB$134:AB476,"*",$AC$134:AC476,"*")</f>
        <v>446.6</v>
      </c>
      <c r="BX475" s="343">
        <f>SUMIFS($AU476:AU$1388,$Q476:Q$1388,"F")</f>
        <v>17455.466666666667</v>
      </c>
      <c r="BY475" s="343">
        <f>SUMIFS($AU476:AU$1388,$Q476:Q$1388,"S")</f>
        <v>14567.552</v>
      </c>
      <c r="BZ475" s="343">
        <f>SUMIFS($AU476:AU$1388,$Q476:Q$1388,"O")</f>
        <v>-1271.097999999736</v>
      </c>
    </row>
    <row r="476" spans="1:78" ht="15.75" customHeight="1">
      <c r="A476" s="221" t="s">
        <v>2054</v>
      </c>
      <c r="B476" s="200">
        <v>45028</v>
      </c>
      <c r="C476" s="178" t="s">
        <v>1344</v>
      </c>
      <c r="D476" s="178" t="s">
        <v>151</v>
      </c>
      <c r="E476" s="227"/>
      <c r="F476" s="180"/>
      <c r="G476" s="281" t="s">
        <v>94</v>
      </c>
      <c r="H476" s="182"/>
      <c r="I476" s="182"/>
      <c r="J476" s="182"/>
      <c r="K476" s="183"/>
      <c r="L476" s="182"/>
      <c r="M476" s="182"/>
      <c r="N476" s="182"/>
      <c r="O476" s="183" t="s">
        <v>95</v>
      </c>
      <c r="P476" s="183" t="s">
        <v>96</v>
      </c>
      <c r="Q476" s="183" t="s">
        <v>97</v>
      </c>
      <c r="R476" s="183">
        <v>4</v>
      </c>
      <c r="S476" s="183">
        <v>0</v>
      </c>
      <c r="T476" s="183">
        <v>4</v>
      </c>
      <c r="U476" s="183" t="s">
        <v>97</v>
      </c>
      <c r="V476" s="183"/>
      <c r="W476" s="183"/>
      <c r="X476" s="183"/>
      <c r="Y476" s="184">
        <f t="shared" si="197"/>
        <v>0.01</v>
      </c>
      <c r="Z476" s="184">
        <f t="shared" si="199"/>
        <v>1600</v>
      </c>
      <c r="AA476" s="185" t="s">
        <v>1096</v>
      </c>
      <c r="AB476" s="185"/>
      <c r="AC476" s="185"/>
      <c r="AD476" s="649">
        <v>-0.06</v>
      </c>
      <c r="AE476" s="182"/>
      <c r="AF476" s="332"/>
      <c r="AG476" s="182"/>
      <c r="AH476" s="182"/>
      <c r="AI476" s="182"/>
      <c r="AJ476" s="640"/>
      <c r="AK476" s="182"/>
      <c r="AL476" s="496">
        <f>-0.02*Z476</f>
        <v>-32</v>
      </c>
      <c r="AM476" s="496">
        <f>AL476*(R476-S476)</f>
        <v>-128</v>
      </c>
      <c r="AN476" s="626"/>
      <c r="AO476" s="182"/>
      <c r="AP476" s="182" t="s">
        <v>1017</v>
      </c>
      <c r="AQ476" s="332" t="str">
        <f>UPPER(RIGHT(Journal_Live[[#This Row],[DURATION ]]))</f>
        <v>H</v>
      </c>
      <c r="AR476" s="182" t="s">
        <v>2185</v>
      </c>
      <c r="AS476" s="189">
        <v>-7.0000000000000007E-2</v>
      </c>
      <c r="AT476" s="189">
        <f>IF(ISBLANK(AS476),,IF(U476="S",AD476-AS476,AS476-AD476))</f>
        <v>1.0000000000000009E-2</v>
      </c>
      <c r="AU476" s="187">
        <f>AV476*R476</f>
        <v>64.000000000000057</v>
      </c>
      <c r="AV476" s="190">
        <f>IF(ISBLANK(AS476),,(AT476*Z476))</f>
        <v>16.000000000000014</v>
      </c>
      <c r="AW476" s="191" t="s">
        <v>96</v>
      </c>
      <c r="AX476" s="407"/>
      <c r="AY476" s="407"/>
      <c r="AZ476" s="407"/>
      <c r="BA476" s="407"/>
      <c r="BB476" s="407"/>
      <c r="BC476" s="407"/>
      <c r="BD476" s="407"/>
      <c r="BE476" s="407"/>
      <c r="BF476" s="422"/>
      <c r="BG476" s="391">
        <f>SUM($AV$4:AV476)</f>
        <v>2941.5121428571379</v>
      </c>
      <c r="BH476" s="392">
        <f>SUM($AU$134:AU476)</f>
        <v>2974.7299999999391</v>
      </c>
      <c r="BI476" s="318">
        <f>SUMIFS($AU$134:AU477,$Q$134:Q477,"F")</f>
        <v>-3014.8</v>
      </c>
      <c r="BJ476" s="318">
        <f>SUMIFS($AU$134:AU477,$Q$134:Q477,"S")</f>
        <v>6136.0899999999974</v>
      </c>
      <c r="BK476" s="343">
        <f>SUMIFS($AU$134:AU477,$P$134:P477,"W")</f>
        <v>4975.3899999999339</v>
      </c>
      <c r="BL476" s="343">
        <f>SUMIFS($AU$134:AU477,$P$134:P477,"R")</f>
        <v>-2032.6599999999974</v>
      </c>
      <c r="BM476" s="343">
        <f>SUMIFS($AU$134:AU477,$AQ$134:AQ477,"M")</f>
        <v>733.39999999997201</v>
      </c>
      <c r="BN476" s="343">
        <f>SUMIFS($AU$134:AU477,$AQ$134:AQ477,"H")</f>
        <v>2735.9000000000156</v>
      </c>
      <c r="BO476" s="343">
        <f>SUMIFS($AU$134:AU477,$AQ$134:AQ477,"D")</f>
        <v>105.68999999999994</v>
      </c>
      <c r="BP476" s="343">
        <f>SUMIFS($AU$134:AU479,$AQ$134:AQ479,"W")</f>
        <v>-1270.7</v>
      </c>
      <c r="BQ476" s="343">
        <f>SUMIFS($AU$134:AU477,$Q$134:Q477,"O")</f>
        <v>-377.76000000006229</v>
      </c>
      <c r="BR476" s="343">
        <f>SUMIFS($AU$134:AU477,$AA$134:AA477,"*")</f>
        <v>5615.7899999999645</v>
      </c>
      <c r="BS476" s="343">
        <f>SUMIFS($AU$134:AU477,$AB$134:AB477,"*")</f>
        <v>301.43999999997629</v>
      </c>
      <c r="BT476" s="343">
        <f>SUMIFS($AU$134:AU477,$AC$134:AC477,"*")</f>
        <v>-1525.650000000001</v>
      </c>
      <c r="BU476" s="343">
        <f>SUMIFS($AU$134:AU477,$AA$134:AA477,"*",$AB$134:AB477,"*")</f>
        <v>2.000000000005258</v>
      </c>
      <c r="BV476" s="343">
        <f>SUMIFS($AU$134:AU477,$AA$134:AA477,"*",$AC$134:AC477,"*")</f>
        <v>1423.4499999999996</v>
      </c>
      <c r="BW476" s="343">
        <f>SUMIFS($AU$134:AU477,$AB$134:AB477,"*",$AC$134:AC477,"*")</f>
        <v>446.6</v>
      </c>
      <c r="BX476" s="343">
        <f>SUMIFS($AU477:AU$1388,$Q477:Q$1388,"F")</f>
        <v>17455.466666666667</v>
      </c>
      <c r="BY476" s="343">
        <f>SUMIFS($AU477:AU$1388,$Q477:Q$1388,"S")</f>
        <v>14503.552</v>
      </c>
      <c r="BZ476" s="343">
        <f>SUMIFS($AU477:AU$1388,$Q477:Q$1388,"O")</f>
        <v>-1271.097999999736</v>
      </c>
    </row>
    <row r="477" spans="1:78" ht="15.75" customHeight="1">
      <c r="A477" s="221" t="s">
        <v>2054</v>
      </c>
      <c r="B477" s="200">
        <v>45028</v>
      </c>
      <c r="C477" s="178" t="s">
        <v>2186</v>
      </c>
      <c r="D477" s="178" t="s">
        <v>151</v>
      </c>
      <c r="E477" s="227"/>
      <c r="F477" s="180"/>
      <c r="G477" s="281" t="s">
        <v>576</v>
      </c>
      <c r="H477" s="182"/>
      <c r="I477" s="182"/>
      <c r="J477" s="182"/>
      <c r="K477" s="183"/>
      <c r="L477" s="182"/>
      <c r="M477" s="182"/>
      <c r="N477" s="182"/>
      <c r="O477" s="183" t="s">
        <v>95</v>
      </c>
      <c r="P477" s="183" t="s">
        <v>96</v>
      </c>
      <c r="Q477" s="183" t="s">
        <v>97</v>
      </c>
      <c r="R477" s="183">
        <v>3</v>
      </c>
      <c r="S477" s="183">
        <v>0</v>
      </c>
      <c r="T477" s="183">
        <v>3</v>
      </c>
      <c r="U477" s="183" t="s">
        <v>97</v>
      </c>
      <c r="V477" s="183"/>
      <c r="W477" s="183"/>
      <c r="X477" s="183"/>
      <c r="Y477" s="184">
        <f t="shared" si="197"/>
        <v>0.01</v>
      </c>
      <c r="Z477" s="184">
        <f t="shared" si="199"/>
        <v>1600</v>
      </c>
      <c r="AA477" s="185" t="s">
        <v>99</v>
      </c>
      <c r="AB477" s="185" t="s">
        <v>2187</v>
      </c>
      <c r="AC477" s="185"/>
      <c r="AD477" s="649">
        <v>0</v>
      </c>
      <c r="AE477" s="182"/>
      <c r="AF477" s="332"/>
      <c r="AG477" s="182"/>
      <c r="AH477" s="182"/>
      <c r="AI477" s="182"/>
      <c r="AJ477" s="640"/>
      <c r="AK477" s="182"/>
      <c r="AL477" s="496">
        <f>-0.04*Z477</f>
        <v>-64</v>
      </c>
      <c r="AM477" s="496">
        <f>AL477*(R477-S477)</f>
        <v>-192</v>
      </c>
      <c r="AN477" s="626"/>
      <c r="AO477" s="182"/>
      <c r="AP477" s="182" t="s">
        <v>1261</v>
      </c>
      <c r="AQ477" s="332" t="str">
        <f>UPPER(RIGHT(Journal_Live[[#This Row],[DURATION ]]))</f>
        <v>D</v>
      </c>
      <c r="AR477" s="182" t="s">
        <v>2188</v>
      </c>
      <c r="AS477" s="189">
        <f>((0.01*2))/3</f>
        <v>6.6666666666666671E-3</v>
      </c>
      <c r="AT477" s="189">
        <f>IF(ISBLANK(AS477),,IF(U477="S",AD477-AS477,AS477-AD477))</f>
        <v>-6.6666666666666671E-3</v>
      </c>
      <c r="AU477" s="187">
        <f>AV477*R477</f>
        <v>-32</v>
      </c>
      <c r="AV477" s="190">
        <f>IF(ISBLANK(AS477),,(AT477*Z477))</f>
        <v>-10.666666666666668</v>
      </c>
      <c r="AW477" s="191" t="s">
        <v>229</v>
      </c>
      <c r="AX477" s="407" t="s">
        <v>2189</v>
      </c>
      <c r="AY477" s="407"/>
      <c r="AZ477" s="407"/>
      <c r="BA477" s="407"/>
      <c r="BB477" s="407"/>
      <c r="BC477" s="407"/>
      <c r="BD477" s="407"/>
      <c r="BE477" s="407"/>
      <c r="BF477" s="422"/>
      <c r="BG477" s="391">
        <f>SUM($AV$4:AV477)</f>
        <v>2930.8454761904713</v>
      </c>
      <c r="BH477" s="392">
        <f>SUM($AU$134:AU477)</f>
        <v>2942.7299999999391</v>
      </c>
      <c r="BI477" s="318">
        <f>SUMIFS($AU$134:AU478,$Q$134:Q478,"F")</f>
        <v>-3014.8</v>
      </c>
      <c r="BJ477" s="318">
        <f>SUMIFS($AU$134:AU478,$Q$134:Q478,"S")</f>
        <v>6136.0899999999974</v>
      </c>
      <c r="BK477" s="343">
        <f>SUMIFS($AU$134:AU478,$P$134:P478,"W")</f>
        <v>4975.3899999999339</v>
      </c>
      <c r="BL477" s="343">
        <f>SUMIFS($AU$134:AU478,$P$134:P478,"R")</f>
        <v>-2032.6599999999974</v>
      </c>
      <c r="BM477" s="343">
        <f>SUMIFS($AU$134:AU478,$AQ$134:AQ478,"M")</f>
        <v>733.39999999997201</v>
      </c>
      <c r="BN477" s="343">
        <f>SUMIFS($AU$134:AU478,$AQ$134:AQ478,"H")</f>
        <v>2735.9000000000156</v>
      </c>
      <c r="BO477" s="343">
        <f>SUMIFS($AU$134:AU478,$AQ$134:AQ478,"D")</f>
        <v>105.68999999999994</v>
      </c>
      <c r="BP477" s="343">
        <f>SUMIFS($AU$134:AU480,$AQ$134:AQ480,"W")</f>
        <v>-1270.7</v>
      </c>
      <c r="BQ477" s="343">
        <f>SUMIFS($AU$134:AU478,$Q$134:Q478,"O")</f>
        <v>-377.76000000006229</v>
      </c>
      <c r="BR477" s="343">
        <f>SUMIFS($AU$134:AU478,$AA$134:AA478,"*")</f>
        <v>5615.7899999999645</v>
      </c>
      <c r="BS477" s="343">
        <f>SUMIFS($AU$134:AU478,$AB$134:AB478,"*")</f>
        <v>301.43999999997629</v>
      </c>
      <c r="BT477" s="343">
        <f>SUMIFS($AU$134:AU478,$AC$134:AC478,"*")</f>
        <v>-1525.650000000001</v>
      </c>
      <c r="BU477" s="343">
        <f>SUMIFS($AU$134:AU478,$AA$134:AA478,"*",$AB$134:AB478,"*")</f>
        <v>2.000000000005258</v>
      </c>
      <c r="BV477" s="343">
        <f>SUMIFS($AU$134:AU478,$AA$134:AA478,"*",$AC$134:AC478,"*")</f>
        <v>1423.4499999999996</v>
      </c>
      <c r="BW477" s="343">
        <f>SUMIFS($AU$134:AU478,$AB$134:AB478,"*",$AC$134:AC478,"*")</f>
        <v>446.6</v>
      </c>
      <c r="BX477" s="343">
        <f>SUMIFS($AU478:AU$1388,$Q478:Q$1388,"F")</f>
        <v>17455.466666666667</v>
      </c>
      <c r="BY477" s="343">
        <f>SUMIFS($AU478:AU$1388,$Q478:Q$1388,"S")</f>
        <v>14535.552</v>
      </c>
      <c r="BZ477" s="343">
        <f>SUMIFS($AU478:AU$1388,$Q478:Q$1388,"O")</f>
        <v>-1271.097999999736</v>
      </c>
    </row>
    <row r="478" spans="1:78" ht="15.75" customHeight="1">
      <c r="A478" s="221" t="s">
        <v>2054</v>
      </c>
      <c r="B478" s="200">
        <v>45029</v>
      </c>
      <c r="C478" s="178" t="s">
        <v>2081</v>
      </c>
      <c r="D478" s="178" t="s">
        <v>93</v>
      </c>
      <c r="E478" s="227" t="s">
        <v>2190</v>
      </c>
      <c r="F478" s="180" t="s">
        <v>2191</v>
      </c>
      <c r="G478" s="181"/>
      <c r="H478" s="182">
        <v>1</v>
      </c>
      <c r="I478" s="182"/>
      <c r="J478" s="182"/>
      <c r="K478" s="183" t="s">
        <v>372</v>
      </c>
      <c r="L478" s="182"/>
      <c r="M478" s="182"/>
      <c r="N478" s="182"/>
      <c r="O478" s="183"/>
      <c r="P478" s="183"/>
      <c r="Q478" s="183"/>
      <c r="R478" s="183"/>
      <c r="S478" s="183"/>
      <c r="T478" s="183"/>
      <c r="U478" s="183"/>
      <c r="V478" s="183"/>
      <c r="W478" s="183"/>
      <c r="X478" s="183"/>
      <c r="Y478" s="183"/>
      <c r="Z478" s="183"/>
      <c r="AA478" s="185"/>
      <c r="AB478" s="185"/>
      <c r="AC478" s="185"/>
      <c r="AD478" s="649"/>
      <c r="AE478" s="182"/>
      <c r="AF478" s="332"/>
      <c r="AG478" s="182"/>
      <c r="AH478" s="182"/>
      <c r="AI478" s="182"/>
      <c r="AJ478" s="640"/>
      <c r="AK478" s="182"/>
      <c r="AL478" s="496"/>
      <c r="AM478" s="497"/>
      <c r="AN478" s="626"/>
      <c r="AO478" s="182"/>
      <c r="AP478" s="182"/>
      <c r="AQ478" s="332" t="str">
        <f>UPPER(RIGHT(Journal_Live[[#This Row],[DURATION ]]))</f>
        <v/>
      </c>
      <c r="AR478" s="182"/>
      <c r="AS478" s="189"/>
      <c r="AT478" s="182"/>
      <c r="AU478" s="187"/>
      <c r="AV478" s="190"/>
      <c r="AW478" s="191"/>
      <c r="AX478" s="407"/>
      <c r="AY478" s="407"/>
      <c r="AZ478" s="407"/>
      <c r="BA478" s="407"/>
      <c r="BB478" s="407"/>
      <c r="BC478" s="407"/>
      <c r="BD478" s="407"/>
      <c r="BE478" s="407"/>
      <c r="BF478" s="422"/>
      <c r="BG478" s="391">
        <f>SUM($AV$4:AV478)</f>
        <v>2930.8454761904713</v>
      </c>
      <c r="BH478" s="392">
        <f>SUM($AU$134:AU478)</f>
        <v>2942.7299999999391</v>
      </c>
      <c r="BI478" s="318">
        <f>SUMIFS($AU$134:AU479,$Q$134:Q479,"F")</f>
        <v>-3014.8</v>
      </c>
      <c r="BJ478" s="318">
        <f>SUMIFS($AU$134:AU479,$Q$134:Q479,"S")</f>
        <v>6136.0899999999974</v>
      </c>
      <c r="BK478" s="343">
        <f>SUMIFS($AU$134:AU479,$P$134:P479,"W")</f>
        <v>4975.3899999999339</v>
      </c>
      <c r="BL478" s="343">
        <f>SUMIFS($AU$134:AU479,$P$134:P479,"R")</f>
        <v>-2032.6599999999974</v>
      </c>
      <c r="BM478" s="343">
        <f>SUMIFS($AU$134:AU479,$AQ$134:AQ479,"M")</f>
        <v>733.39999999997201</v>
      </c>
      <c r="BN478" s="343">
        <f>SUMIFS($AU$134:AU479,$AQ$134:AQ479,"H")</f>
        <v>2735.9000000000156</v>
      </c>
      <c r="BO478" s="343">
        <f>SUMIFS($AU$134:AU479,$AQ$134:AQ479,"D")</f>
        <v>105.68999999999994</v>
      </c>
      <c r="BP478" s="343">
        <f>SUMIFS($AU$134:AU481,$AQ$134:AQ481,"W")</f>
        <v>-1270.7</v>
      </c>
      <c r="BQ478" s="343">
        <f>SUMIFS($AU$134:AU479,$Q$134:Q479,"O")</f>
        <v>-377.76000000006229</v>
      </c>
      <c r="BR478" s="343">
        <f>SUMIFS($AU$134:AU479,$AA$134:AA479,"*")</f>
        <v>5615.7899999999645</v>
      </c>
      <c r="BS478" s="343">
        <f>SUMIFS($AU$134:AU479,$AB$134:AB479,"*")</f>
        <v>301.43999999997629</v>
      </c>
      <c r="BT478" s="343">
        <f>SUMIFS($AU$134:AU479,$AC$134:AC479,"*")</f>
        <v>-1525.650000000001</v>
      </c>
      <c r="BU478" s="343">
        <f>SUMIFS($AU$134:AU479,$AA$134:AA479,"*",$AB$134:AB479,"*")</f>
        <v>2.000000000005258</v>
      </c>
      <c r="BV478" s="343">
        <f>SUMIFS($AU$134:AU479,$AA$134:AA479,"*",$AC$134:AC479,"*")</f>
        <v>1423.4499999999996</v>
      </c>
      <c r="BW478" s="343">
        <f>SUMIFS($AU$134:AU479,$AB$134:AB479,"*",$AC$134:AC479,"*")</f>
        <v>446.6</v>
      </c>
      <c r="BX478" s="343">
        <f>SUMIFS($AU479:AU$1388,$Q479:Q$1388,"F")</f>
        <v>17455.466666666667</v>
      </c>
      <c r="BY478" s="343">
        <f>SUMIFS($AU479:AU$1388,$Q479:Q$1388,"S")</f>
        <v>14535.552</v>
      </c>
      <c r="BZ478" s="343">
        <f>SUMIFS($AU479:AU$1388,$Q479:Q$1388,"O")</f>
        <v>-1271.097999999736</v>
      </c>
    </row>
    <row r="479" spans="1:78" ht="15.75" customHeight="1">
      <c r="A479" s="221" t="s">
        <v>2054</v>
      </c>
      <c r="B479" s="200"/>
      <c r="C479" s="178"/>
      <c r="D479" s="178"/>
      <c r="E479" s="227" t="s">
        <v>2192</v>
      </c>
      <c r="F479" s="180"/>
      <c r="G479" s="181"/>
      <c r="H479" s="182"/>
      <c r="I479" s="182"/>
      <c r="J479" s="182">
        <v>1</v>
      </c>
      <c r="K479" s="183" t="s">
        <v>372</v>
      </c>
      <c r="L479" s="182"/>
      <c r="M479" s="182"/>
      <c r="N479" s="182"/>
      <c r="O479" s="183"/>
      <c r="P479" s="183"/>
      <c r="Q479" s="183"/>
      <c r="R479" s="183"/>
      <c r="S479" s="183"/>
      <c r="T479" s="183"/>
      <c r="U479" s="183"/>
      <c r="V479" s="183"/>
      <c r="W479" s="183"/>
      <c r="X479" s="183"/>
      <c r="Y479" s="183"/>
      <c r="Z479" s="183"/>
      <c r="AA479" s="185"/>
      <c r="AB479" s="185"/>
      <c r="AC479" s="185"/>
      <c r="AD479" s="649"/>
      <c r="AE479" s="182"/>
      <c r="AF479" s="332"/>
      <c r="AG479" s="182"/>
      <c r="AH479" s="182"/>
      <c r="AI479" s="182"/>
      <c r="AJ479" s="640"/>
      <c r="AK479" s="182"/>
      <c r="AL479" s="496"/>
      <c r="AM479" s="497"/>
      <c r="AN479" s="626"/>
      <c r="AO479" s="182"/>
      <c r="AP479" s="182"/>
      <c r="AQ479" s="332" t="str">
        <f>UPPER(RIGHT(Journal_Live[[#This Row],[DURATION ]]))</f>
        <v/>
      </c>
      <c r="AR479" s="182"/>
      <c r="AS479" s="189"/>
      <c r="AT479" s="182"/>
      <c r="AU479" s="187"/>
      <c r="AV479" s="190"/>
      <c r="AW479" s="191"/>
      <c r="AX479" s="407"/>
      <c r="AY479" s="407"/>
      <c r="AZ479" s="407"/>
      <c r="BA479" s="407"/>
      <c r="BB479" s="407"/>
      <c r="BC479" s="407"/>
      <c r="BD479" s="407"/>
      <c r="BE479" s="407"/>
      <c r="BF479" s="422"/>
      <c r="BG479" s="391">
        <f>SUM($AV$4:AV479)</f>
        <v>2930.8454761904713</v>
      </c>
      <c r="BH479" s="392">
        <f>SUM($AU$134:AU479)</f>
        <v>2942.7299999999391</v>
      </c>
      <c r="BI479" s="318">
        <f>SUMIFS($AU$134:AU480,$Q$134:Q480,"F")</f>
        <v>-3014.8</v>
      </c>
      <c r="BJ479" s="318">
        <f>SUMIFS($AU$134:AU480,$Q$134:Q480,"S")</f>
        <v>6136.0899999999974</v>
      </c>
      <c r="BK479" s="343">
        <f>SUMIFS($AU$134:AU480,$P$134:P480,"W")</f>
        <v>4975.3899999999339</v>
      </c>
      <c r="BL479" s="343">
        <f>SUMIFS($AU$134:AU480,$P$134:P480,"R")</f>
        <v>-2032.6599999999974</v>
      </c>
      <c r="BM479" s="343">
        <f>SUMIFS($AU$134:AU480,$AQ$134:AQ480,"M")</f>
        <v>733.39999999997201</v>
      </c>
      <c r="BN479" s="343">
        <f>SUMIFS($AU$134:AU480,$AQ$134:AQ480,"H")</f>
        <v>2735.9000000000156</v>
      </c>
      <c r="BO479" s="343">
        <f>SUMIFS($AU$134:AU480,$AQ$134:AQ480,"D")</f>
        <v>105.68999999999994</v>
      </c>
      <c r="BP479" s="343">
        <f>SUMIFS($AU$134:AU482,$AQ$134:AQ482,"W")</f>
        <v>-1270.7</v>
      </c>
      <c r="BQ479" s="343">
        <f>SUMIFS($AU$134:AU480,$Q$134:Q480,"O")</f>
        <v>-377.76000000006229</v>
      </c>
      <c r="BR479" s="343">
        <f>SUMIFS($AU$134:AU480,$AA$134:AA480,"*")</f>
        <v>5615.7899999999645</v>
      </c>
      <c r="BS479" s="343">
        <f>SUMIFS($AU$134:AU480,$AB$134:AB480,"*")</f>
        <v>301.43999999997629</v>
      </c>
      <c r="BT479" s="343">
        <f>SUMIFS($AU$134:AU480,$AC$134:AC480,"*")</f>
        <v>-1525.650000000001</v>
      </c>
      <c r="BU479" s="343">
        <f>SUMIFS($AU$134:AU480,$AA$134:AA480,"*",$AB$134:AB480,"*")</f>
        <v>2.000000000005258</v>
      </c>
      <c r="BV479" s="343">
        <f>SUMIFS($AU$134:AU480,$AA$134:AA480,"*",$AC$134:AC480,"*")</f>
        <v>1423.4499999999996</v>
      </c>
      <c r="BW479" s="343">
        <f>SUMIFS($AU$134:AU480,$AB$134:AB480,"*",$AC$134:AC480,"*")</f>
        <v>446.6</v>
      </c>
      <c r="BX479" s="343">
        <f>SUMIFS($AU480:AU$1388,$Q480:Q$1388,"F")</f>
        <v>17455.466666666667</v>
      </c>
      <c r="BY479" s="343">
        <f>SUMIFS($AU480:AU$1388,$Q480:Q$1388,"S")</f>
        <v>14535.552</v>
      </c>
      <c r="BZ479" s="343">
        <f>SUMIFS($AU480:AU$1388,$Q480:Q$1388,"O")</f>
        <v>-1271.097999999736</v>
      </c>
    </row>
    <row r="480" spans="1:78" ht="15.75" customHeight="1">
      <c r="A480" s="221" t="s">
        <v>2054</v>
      </c>
      <c r="B480" s="200">
        <v>45028</v>
      </c>
      <c r="C480" s="178" t="s">
        <v>1924</v>
      </c>
      <c r="D480" s="178" t="s">
        <v>151</v>
      </c>
      <c r="E480" s="227"/>
      <c r="F480" s="180"/>
      <c r="G480" s="281" t="s">
        <v>94</v>
      </c>
      <c r="H480" s="182"/>
      <c r="I480" s="182"/>
      <c r="J480" s="182"/>
      <c r="K480" s="183"/>
      <c r="L480" s="182"/>
      <c r="M480" s="182"/>
      <c r="N480" s="182"/>
      <c r="O480" s="183" t="s">
        <v>95</v>
      </c>
      <c r="P480" s="183" t="s">
        <v>96</v>
      </c>
      <c r="Q480" s="183" t="s">
        <v>97</v>
      </c>
      <c r="R480" s="183">
        <v>7</v>
      </c>
      <c r="S480" s="183">
        <v>0</v>
      </c>
      <c r="T480" s="183">
        <v>7</v>
      </c>
      <c r="U480" s="183" t="s">
        <v>97</v>
      </c>
      <c r="V480" s="183"/>
      <c r="W480" s="183"/>
      <c r="X480" s="183"/>
      <c r="Y480" s="184">
        <f t="shared" ref="Y480:Y490" si="200">IF(ISBLANK(O480),"",(IF(O480=UPPER("IB"),0.005,0.01)))</f>
        <v>0.01</v>
      </c>
      <c r="Z480" s="184">
        <f t="shared" ref="Z480:Z490" si="201">IF(ISBLANK(O480),"",IF(O480="IB",8.63*200,IF(O480="IR",16*100,IF(O480="YT",20))))</f>
        <v>1600</v>
      </c>
      <c r="AA480" s="185" t="s">
        <v>1096</v>
      </c>
      <c r="AB480" s="185"/>
      <c r="AC480" s="185"/>
      <c r="AD480" s="649">
        <v>-0.05</v>
      </c>
      <c r="AE480" s="182"/>
      <c r="AF480" s="332"/>
      <c r="AG480" s="182"/>
      <c r="AH480" s="182"/>
      <c r="AI480" s="182"/>
      <c r="AJ480" s="640"/>
      <c r="AK480" s="182"/>
      <c r="AL480" s="496">
        <f>-0.02*Z480</f>
        <v>-32</v>
      </c>
      <c r="AM480" s="496">
        <f>AL480*(R480-S480)</f>
        <v>-224</v>
      </c>
      <c r="AN480" s="626"/>
      <c r="AO480" s="182"/>
      <c r="AP480" s="182" t="s">
        <v>2193</v>
      </c>
      <c r="AQ480" s="332" t="str">
        <f>UPPER(RIGHT(Journal_Live[[#This Row],[DURATION ]]))</f>
        <v>M</v>
      </c>
      <c r="AR480" s="182" t="s">
        <v>664</v>
      </c>
      <c r="AS480" s="189">
        <v>-0.05</v>
      </c>
      <c r="AT480" s="189">
        <f>IF(ISBLANK(AS480),,IF(U480="S",AD480-AS480,AS480-AD480))</f>
        <v>0</v>
      </c>
      <c r="AU480" s="187">
        <f>AV480*R480</f>
        <v>0</v>
      </c>
      <c r="AV480" s="190">
        <f>IF(ISBLANK(AS480),,(AT480*Z480))</f>
        <v>0</v>
      </c>
      <c r="AW480" s="191" t="s">
        <v>115</v>
      </c>
      <c r="AX480" s="407"/>
      <c r="AY480" s="407"/>
      <c r="AZ480" s="407"/>
      <c r="BA480" s="407"/>
      <c r="BB480" s="407"/>
      <c r="BC480" s="407"/>
      <c r="BD480" s="407"/>
      <c r="BE480" s="407"/>
      <c r="BF480" s="422"/>
      <c r="BG480" s="391">
        <f>SUM($AV$4:AV480)</f>
        <v>2930.8454761904713</v>
      </c>
      <c r="BH480" s="392">
        <f>SUM($AU$134:AU480)</f>
        <v>2942.7299999999391</v>
      </c>
      <c r="BI480" s="318">
        <f>SUMIFS($AU$134:AU481,$Q$134:Q481,"F")</f>
        <v>-3014.8</v>
      </c>
      <c r="BJ480" s="318">
        <f>SUMIFS($AU$134:AU481,$Q$134:Q481,"S")</f>
        <v>6136.0899999999974</v>
      </c>
      <c r="BK480" s="343">
        <f>SUMIFS($AU$134:AU481,$P$134:P481,"W")</f>
        <v>4975.3899999999339</v>
      </c>
      <c r="BL480" s="343">
        <f>SUMIFS($AU$134:AU481,$P$134:P481,"R")</f>
        <v>-2032.6599999999974</v>
      </c>
      <c r="BM480" s="343">
        <f>SUMIFS($AU$134:AU481,$AQ$134:AQ481,"M")</f>
        <v>733.39999999997201</v>
      </c>
      <c r="BN480" s="343">
        <f>SUMIFS($AU$134:AU481,$AQ$134:AQ481,"H")</f>
        <v>2735.9000000000156</v>
      </c>
      <c r="BO480" s="343">
        <f>SUMIFS($AU$134:AU481,$AQ$134:AQ481,"D")</f>
        <v>105.68999999999994</v>
      </c>
      <c r="BP480" s="343">
        <f>SUMIFS($AU$134:AU483,$AQ$134:AQ483,"W")</f>
        <v>-1270.7</v>
      </c>
      <c r="BQ480" s="343">
        <f>SUMIFS($AU$134:AU481,$Q$134:Q481,"O")</f>
        <v>-377.76000000006229</v>
      </c>
      <c r="BR480" s="343">
        <f>SUMIFS($AU$134:AU481,$AA$134:AA481,"*")</f>
        <v>5615.7899999999645</v>
      </c>
      <c r="BS480" s="343">
        <f>SUMIFS($AU$134:AU481,$AB$134:AB481,"*")</f>
        <v>301.43999999997629</v>
      </c>
      <c r="BT480" s="343">
        <f>SUMIFS($AU$134:AU481,$AC$134:AC481,"*")</f>
        <v>-1525.650000000001</v>
      </c>
      <c r="BU480" s="343">
        <f>SUMIFS($AU$134:AU481,$AA$134:AA481,"*",$AB$134:AB481,"*")</f>
        <v>2.000000000005258</v>
      </c>
      <c r="BV480" s="343">
        <f>SUMIFS($AU$134:AU481,$AA$134:AA481,"*",$AC$134:AC481,"*")</f>
        <v>1423.4499999999996</v>
      </c>
      <c r="BW480" s="343">
        <f>SUMIFS($AU$134:AU481,$AB$134:AB481,"*",$AC$134:AC481,"*")</f>
        <v>446.6</v>
      </c>
      <c r="BX480" s="343">
        <f>SUMIFS($AU481:AU$1388,$Q481:Q$1388,"F")</f>
        <v>17455.466666666667</v>
      </c>
      <c r="BY480" s="343">
        <f>SUMIFS($AU481:AU$1388,$Q481:Q$1388,"S")</f>
        <v>14535.552</v>
      </c>
      <c r="BZ480" s="343">
        <f>SUMIFS($AU481:AU$1388,$Q481:Q$1388,"O")</f>
        <v>-1271.097999999736</v>
      </c>
    </row>
    <row r="481" spans="1:78" ht="15.75" customHeight="1">
      <c r="A481" s="221" t="s">
        <v>2054</v>
      </c>
      <c r="B481" s="200">
        <v>45028</v>
      </c>
      <c r="C481" s="178" t="s">
        <v>2194</v>
      </c>
      <c r="D481" s="178" t="s">
        <v>151</v>
      </c>
      <c r="E481" s="227"/>
      <c r="F481" s="180"/>
      <c r="G481" s="281" t="s">
        <v>94</v>
      </c>
      <c r="H481" s="182"/>
      <c r="I481" s="182"/>
      <c r="J481" s="182"/>
      <c r="K481" s="183"/>
      <c r="L481" s="182"/>
      <c r="M481" s="182"/>
      <c r="N481" s="182"/>
      <c r="O481" s="183" t="s">
        <v>95</v>
      </c>
      <c r="P481" s="183" t="s">
        <v>96</v>
      </c>
      <c r="Q481" s="183" t="s">
        <v>97</v>
      </c>
      <c r="R481" s="183">
        <v>7</v>
      </c>
      <c r="S481" s="183">
        <v>0</v>
      </c>
      <c r="T481" s="183">
        <v>7</v>
      </c>
      <c r="U481" s="183" t="s">
        <v>97</v>
      </c>
      <c r="V481" s="183"/>
      <c r="W481" s="183"/>
      <c r="X481" s="183"/>
      <c r="Y481" s="184">
        <f t="shared" si="200"/>
        <v>0.01</v>
      </c>
      <c r="Z481" s="184">
        <f t="shared" si="201"/>
        <v>1600</v>
      </c>
      <c r="AA481" s="185" t="s">
        <v>1096</v>
      </c>
      <c r="AB481" s="185"/>
      <c r="AC481" s="185"/>
      <c r="AD481" s="649">
        <v>-0.05</v>
      </c>
      <c r="AE481" s="182"/>
      <c r="AF481" s="332"/>
      <c r="AG481" s="182"/>
      <c r="AH481" s="182"/>
      <c r="AI481" s="182"/>
      <c r="AJ481" s="640"/>
      <c r="AK481" s="182"/>
      <c r="AL481" s="496">
        <f>-0.02*Z481</f>
        <v>-32</v>
      </c>
      <c r="AM481" s="496">
        <f>AL481*(R481-S481)</f>
        <v>-224</v>
      </c>
      <c r="AN481" s="626"/>
      <c r="AO481" s="182"/>
      <c r="AP481" s="182" t="s">
        <v>589</v>
      </c>
      <c r="AQ481" s="332" t="str">
        <f>UPPER(RIGHT(Journal_Live[[#This Row],[DURATION ]]))</f>
        <v>D</v>
      </c>
      <c r="AR481" s="182" t="s">
        <v>2179</v>
      </c>
      <c r="AS481" s="189">
        <v>-0.05</v>
      </c>
      <c r="AT481" s="189">
        <f>IF(ISBLANK(AS481),,IF(U481="S",AD481-AS481,AS481-AD481))</f>
        <v>0</v>
      </c>
      <c r="AU481" s="187">
        <f>AV481*R481</f>
        <v>0</v>
      </c>
      <c r="AV481" s="190">
        <f>IF(ISBLANK(AS481),,(AT481*Z481))</f>
        <v>0</v>
      </c>
      <c r="AW481" s="191" t="s">
        <v>115</v>
      </c>
      <c r="AX481" s="407" t="s">
        <v>2195</v>
      </c>
      <c r="AY481" s="407"/>
      <c r="AZ481" s="407" t="s">
        <v>2196</v>
      </c>
      <c r="BA481" s="407" t="s">
        <v>2197</v>
      </c>
      <c r="BB481" s="407" t="s">
        <v>529</v>
      </c>
      <c r="BC481" s="407"/>
      <c r="BD481" s="407"/>
      <c r="BE481" s="407"/>
      <c r="BF481" s="422"/>
      <c r="BG481" s="391">
        <f>SUM($AV$4:AV481)</f>
        <v>2930.8454761904713</v>
      </c>
      <c r="BH481" s="392">
        <f>SUM($AU$134:AU481)</f>
        <v>2942.7299999999391</v>
      </c>
      <c r="BI481" s="318">
        <f>SUMIFS($AU$134:AU482,$Q$134:Q482,"F")</f>
        <v>-3014.8</v>
      </c>
      <c r="BJ481" s="318">
        <f>SUMIFS($AU$134:AU482,$Q$134:Q482,"S")</f>
        <v>6136.0899999999974</v>
      </c>
      <c r="BK481" s="343">
        <f>SUMIFS($AU$134:AU482,$P$134:P482,"W")</f>
        <v>4975.3899999999339</v>
      </c>
      <c r="BL481" s="343">
        <f>SUMIFS($AU$134:AU482,$P$134:P482,"R")</f>
        <v>-2032.6599999999974</v>
      </c>
      <c r="BM481" s="343">
        <f>SUMIFS($AU$134:AU482,$AQ$134:AQ482,"M")</f>
        <v>733.39999999997201</v>
      </c>
      <c r="BN481" s="343">
        <f>SUMIFS($AU$134:AU482,$AQ$134:AQ482,"H")</f>
        <v>2735.9000000000156</v>
      </c>
      <c r="BO481" s="343">
        <f>SUMIFS($AU$134:AU482,$AQ$134:AQ482,"D")</f>
        <v>105.68999999999994</v>
      </c>
      <c r="BP481" s="343">
        <f>SUMIFS($AU$134:AU484,$AQ$134:AQ484,"W")</f>
        <v>-1270.7</v>
      </c>
      <c r="BQ481" s="343">
        <f>SUMIFS($AU$134:AU482,$Q$134:Q482,"O")</f>
        <v>-377.76000000006229</v>
      </c>
      <c r="BR481" s="343">
        <f>SUMIFS($AU$134:AU482,$AA$134:AA482,"*")</f>
        <v>5615.7899999999645</v>
      </c>
      <c r="BS481" s="343">
        <f>SUMIFS($AU$134:AU482,$AB$134:AB482,"*")</f>
        <v>301.43999999997629</v>
      </c>
      <c r="BT481" s="343">
        <f>SUMIFS($AU$134:AU482,$AC$134:AC482,"*")</f>
        <v>-1525.650000000001</v>
      </c>
      <c r="BU481" s="343">
        <f>SUMIFS($AU$134:AU482,$AA$134:AA482,"*",$AB$134:AB482,"*")</f>
        <v>2.000000000005258</v>
      </c>
      <c r="BV481" s="343">
        <f>SUMIFS($AU$134:AU482,$AA$134:AA482,"*",$AC$134:AC482,"*")</f>
        <v>1423.4499999999996</v>
      </c>
      <c r="BW481" s="343">
        <f>SUMIFS($AU$134:AU482,$AB$134:AB482,"*",$AC$134:AC482,"*")</f>
        <v>446.6</v>
      </c>
      <c r="BX481" s="343">
        <f>SUMIFS($AU482:AU$1388,$Q482:Q$1388,"F")</f>
        <v>17455.466666666667</v>
      </c>
      <c r="BY481" s="343">
        <f>SUMIFS($AU482:AU$1388,$Q482:Q$1388,"S")</f>
        <v>14535.552</v>
      </c>
      <c r="BZ481" s="343">
        <f>SUMIFS($AU482:AU$1388,$Q482:Q$1388,"O")</f>
        <v>-1271.097999999736</v>
      </c>
    </row>
    <row r="482" spans="1:78" ht="15.75" customHeight="1">
      <c r="A482" s="221" t="s">
        <v>2054</v>
      </c>
      <c r="B482" s="200">
        <v>45029</v>
      </c>
      <c r="C482" s="178" t="s">
        <v>1728</v>
      </c>
      <c r="D482" s="178" t="s">
        <v>93</v>
      </c>
      <c r="E482" s="227" t="s">
        <v>2198</v>
      </c>
      <c r="F482" s="180"/>
      <c r="G482" s="181"/>
      <c r="H482" s="182">
        <v>1</v>
      </c>
      <c r="I482" s="182"/>
      <c r="J482" s="182"/>
      <c r="K482" s="183" t="s">
        <v>115</v>
      </c>
      <c r="L482" s="182"/>
      <c r="M482" s="182"/>
      <c r="N482" s="182"/>
      <c r="O482" s="183"/>
      <c r="P482" s="183"/>
      <c r="Q482" s="183"/>
      <c r="R482" s="183"/>
      <c r="S482" s="183"/>
      <c r="T482" s="183"/>
      <c r="U482" s="183"/>
      <c r="V482" s="183"/>
      <c r="W482" s="183"/>
      <c r="X482" s="183"/>
      <c r="Y482" s="184" t="str">
        <f t="shared" si="200"/>
        <v/>
      </c>
      <c r="Z482" s="184" t="str">
        <f t="shared" si="201"/>
        <v/>
      </c>
      <c r="AA482" s="185"/>
      <c r="AB482" s="185"/>
      <c r="AC482" s="185"/>
      <c r="AD482" s="649"/>
      <c r="AE482" s="182"/>
      <c r="AF482" s="332"/>
      <c r="AG482" s="182"/>
      <c r="AH482" s="182"/>
      <c r="AI482" s="182"/>
      <c r="AJ482" s="640"/>
      <c r="AK482" s="182"/>
      <c r="AL482" s="496"/>
      <c r="AM482" s="496"/>
      <c r="AN482" s="626"/>
      <c r="AO482" s="182"/>
      <c r="AP482" s="182"/>
      <c r="AQ482" s="332" t="str">
        <f>UPPER(RIGHT(Journal_Live[[#This Row],[DURATION ]]))</f>
        <v/>
      </c>
      <c r="AR482" s="182"/>
      <c r="AS482" s="189"/>
      <c r="AT482" s="189"/>
      <c r="AU482" s="187"/>
      <c r="AV482" s="190"/>
      <c r="AW482" s="191"/>
      <c r="AX482" s="407" t="s">
        <v>2199</v>
      </c>
      <c r="AY482" s="407" t="s">
        <v>2200</v>
      </c>
      <c r="AZ482" s="407" t="s">
        <v>529</v>
      </c>
      <c r="BA482" s="407"/>
      <c r="BB482" s="407"/>
      <c r="BC482" s="407"/>
      <c r="BD482" s="407"/>
      <c r="BE482" s="407"/>
      <c r="BF482" s="422"/>
      <c r="BG482" s="391">
        <f>SUM($AV$4:AV482)</f>
        <v>2930.8454761904713</v>
      </c>
      <c r="BH482" s="392">
        <f>SUM($AU$134:AU482)</f>
        <v>2942.7299999999391</v>
      </c>
      <c r="BI482" s="318">
        <f>SUMIFS($AU$134:AU483,$Q$134:Q483,"F")</f>
        <v>-3014.8</v>
      </c>
      <c r="BJ482" s="318">
        <f>SUMIFS($AU$134:AU483,$Q$134:Q483,"S")</f>
        <v>6136.0899999999974</v>
      </c>
      <c r="BK482" s="343">
        <f>SUMIFS($AU$134:AU483,$P$134:P483,"W")</f>
        <v>4975.3899999999339</v>
      </c>
      <c r="BL482" s="343">
        <f>SUMIFS($AU$134:AU483,$P$134:P483,"R")</f>
        <v>-2032.6599999999974</v>
      </c>
      <c r="BM482" s="343">
        <f>SUMIFS($AU$134:AU483,$AQ$134:AQ483,"M")</f>
        <v>733.39999999997201</v>
      </c>
      <c r="BN482" s="343">
        <f>SUMIFS($AU$134:AU483,$AQ$134:AQ483,"H")</f>
        <v>2735.9000000000156</v>
      </c>
      <c r="BO482" s="343">
        <f>SUMIFS($AU$134:AU483,$AQ$134:AQ483,"D")</f>
        <v>105.68999999999994</v>
      </c>
      <c r="BP482" s="343">
        <f>SUMIFS($AU$134:AU485,$AQ$134:AQ485,"W")</f>
        <v>-1270.7</v>
      </c>
      <c r="BQ482" s="343">
        <f>SUMIFS($AU$134:AU483,$Q$134:Q483,"O")</f>
        <v>-377.76000000006229</v>
      </c>
      <c r="BR482" s="343">
        <f>SUMIFS($AU$134:AU483,$AA$134:AA483,"*")</f>
        <v>5615.7899999999645</v>
      </c>
      <c r="BS482" s="343">
        <f>SUMIFS($AU$134:AU483,$AB$134:AB483,"*")</f>
        <v>301.43999999997629</v>
      </c>
      <c r="BT482" s="343">
        <f>SUMIFS($AU$134:AU483,$AC$134:AC483,"*")</f>
        <v>-1525.650000000001</v>
      </c>
      <c r="BU482" s="343">
        <f>SUMIFS($AU$134:AU483,$AA$134:AA483,"*",$AB$134:AB483,"*")</f>
        <v>2.000000000005258</v>
      </c>
      <c r="BV482" s="343">
        <f>SUMIFS($AU$134:AU483,$AA$134:AA483,"*",$AC$134:AC483,"*")</f>
        <v>1423.4499999999996</v>
      </c>
      <c r="BW482" s="343">
        <f>SUMIFS($AU$134:AU483,$AB$134:AB483,"*",$AC$134:AC483,"*")</f>
        <v>446.6</v>
      </c>
      <c r="BX482" s="343">
        <f>SUMIFS($AU483:AU$1388,$Q483:Q$1388,"F")</f>
        <v>17455.466666666667</v>
      </c>
      <c r="BY482" s="343">
        <f>SUMIFS($AU483:AU$1388,$Q483:Q$1388,"S")</f>
        <v>14535.552</v>
      </c>
      <c r="BZ482" s="343">
        <f>SUMIFS($AU483:AU$1388,$Q483:Q$1388,"O")</f>
        <v>-1271.097999999736</v>
      </c>
    </row>
    <row r="483" spans="1:78" ht="15.75" customHeight="1">
      <c r="A483" s="221" t="s">
        <v>2054</v>
      </c>
      <c r="B483" s="200"/>
      <c r="C483" s="178"/>
      <c r="D483" s="178"/>
      <c r="E483" s="227" t="s">
        <v>2201</v>
      </c>
      <c r="F483" s="180"/>
      <c r="G483" s="181"/>
      <c r="H483" s="182"/>
      <c r="I483" s="182"/>
      <c r="J483" s="182">
        <v>1</v>
      </c>
      <c r="K483" s="183" t="s">
        <v>115</v>
      </c>
      <c r="L483" s="182"/>
      <c r="M483" s="182"/>
      <c r="N483" s="182"/>
      <c r="O483" s="183"/>
      <c r="P483" s="183"/>
      <c r="Q483" s="183"/>
      <c r="R483" s="183"/>
      <c r="S483" s="183"/>
      <c r="T483" s="183"/>
      <c r="U483" s="183"/>
      <c r="V483" s="183"/>
      <c r="W483" s="183"/>
      <c r="X483" s="183"/>
      <c r="Y483" s="184" t="str">
        <f t="shared" si="200"/>
        <v/>
      </c>
      <c r="Z483" s="184" t="str">
        <f t="shared" si="201"/>
        <v/>
      </c>
      <c r="AA483" s="185"/>
      <c r="AB483" s="185"/>
      <c r="AC483" s="185"/>
      <c r="AD483" s="649"/>
      <c r="AE483" s="182"/>
      <c r="AF483" s="332"/>
      <c r="AG483" s="182"/>
      <c r="AH483" s="182"/>
      <c r="AI483" s="182"/>
      <c r="AJ483" s="640"/>
      <c r="AK483" s="182"/>
      <c r="AL483" s="496"/>
      <c r="AM483" s="496"/>
      <c r="AN483" s="626"/>
      <c r="AO483" s="182"/>
      <c r="AP483" s="182"/>
      <c r="AQ483" s="332" t="str">
        <f>UPPER(RIGHT(Journal_Live[[#This Row],[DURATION ]]))</f>
        <v/>
      </c>
      <c r="AR483" s="182"/>
      <c r="AS483" s="189"/>
      <c r="AT483" s="189"/>
      <c r="AU483" s="187"/>
      <c r="AV483" s="190"/>
      <c r="AW483" s="191"/>
      <c r="AX483" s="407"/>
      <c r="AY483" s="407"/>
      <c r="AZ483" s="407"/>
      <c r="BA483" s="407"/>
      <c r="BB483" s="407"/>
      <c r="BC483" s="407"/>
      <c r="BD483" s="407"/>
      <c r="BE483" s="407"/>
      <c r="BF483" s="422"/>
      <c r="BG483" s="391">
        <f>SUM($AV$4:AV483)</f>
        <v>2930.8454761904713</v>
      </c>
      <c r="BH483" s="392">
        <f>SUM($AU$134:AU483)</f>
        <v>2942.7299999999391</v>
      </c>
      <c r="BI483" s="318">
        <f>SUMIFS($AU$134:AU484,$Q$134:Q484,"F")</f>
        <v>-3014.8</v>
      </c>
      <c r="BJ483" s="318">
        <f>SUMIFS($AU$134:AU484,$Q$134:Q484,"S")</f>
        <v>6136.0899999999974</v>
      </c>
      <c r="BK483" s="343">
        <f>SUMIFS($AU$134:AU484,$P$134:P484,"W")</f>
        <v>4975.3899999999339</v>
      </c>
      <c r="BL483" s="343">
        <f>SUMIFS($AU$134:AU484,$P$134:P484,"R")</f>
        <v>-2032.6599999999974</v>
      </c>
      <c r="BM483" s="343">
        <f>SUMIFS($AU$134:AU484,$AQ$134:AQ484,"M")</f>
        <v>733.39999999997201</v>
      </c>
      <c r="BN483" s="343">
        <f>SUMIFS($AU$134:AU484,$AQ$134:AQ484,"H")</f>
        <v>2735.9000000000156</v>
      </c>
      <c r="BO483" s="343">
        <f>SUMIFS($AU$134:AU484,$AQ$134:AQ484,"D")</f>
        <v>105.68999999999994</v>
      </c>
      <c r="BP483" s="343">
        <f>SUMIFS($AU$134:AU486,$AQ$134:AQ486,"W")</f>
        <v>-1270.7</v>
      </c>
      <c r="BQ483" s="343">
        <f>SUMIFS($AU$134:AU484,$Q$134:Q484,"O")</f>
        <v>-377.76000000006229</v>
      </c>
      <c r="BR483" s="343">
        <f>SUMIFS($AU$134:AU484,$AA$134:AA484,"*")</f>
        <v>5615.7899999999645</v>
      </c>
      <c r="BS483" s="343">
        <f>SUMIFS($AU$134:AU484,$AB$134:AB484,"*")</f>
        <v>301.43999999997629</v>
      </c>
      <c r="BT483" s="343">
        <f>SUMIFS($AU$134:AU484,$AC$134:AC484,"*")</f>
        <v>-1525.650000000001</v>
      </c>
      <c r="BU483" s="343">
        <f>SUMIFS($AU$134:AU484,$AA$134:AA484,"*",$AB$134:AB484,"*")</f>
        <v>2.000000000005258</v>
      </c>
      <c r="BV483" s="343">
        <f>SUMIFS($AU$134:AU484,$AA$134:AA484,"*",$AC$134:AC484,"*")</f>
        <v>1423.4499999999996</v>
      </c>
      <c r="BW483" s="343">
        <f>SUMIFS($AU$134:AU484,$AB$134:AB484,"*",$AC$134:AC484,"*")</f>
        <v>446.6</v>
      </c>
      <c r="BX483" s="343">
        <f>SUMIFS($AU484:AU$1388,$Q484:Q$1388,"F")</f>
        <v>17455.466666666667</v>
      </c>
      <c r="BY483" s="343">
        <f>SUMIFS($AU484:AU$1388,$Q484:Q$1388,"S")</f>
        <v>14535.552</v>
      </c>
      <c r="BZ483" s="343">
        <f>SUMIFS($AU484:AU$1388,$Q484:Q$1388,"O")</f>
        <v>-1271.097999999736</v>
      </c>
    </row>
    <row r="484" spans="1:78" ht="15.75" customHeight="1">
      <c r="A484" s="221" t="s">
        <v>2054</v>
      </c>
      <c r="B484" s="200">
        <v>45030</v>
      </c>
      <c r="C484" s="178" t="s">
        <v>1728</v>
      </c>
      <c r="D484" s="178" t="s">
        <v>111</v>
      </c>
      <c r="E484" s="227" t="s">
        <v>2202</v>
      </c>
      <c r="F484" s="180" t="s">
        <v>2203</v>
      </c>
      <c r="G484" s="181"/>
      <c r="H484" s="182"/>
      <c r="I484" s="182"/>
      <c r="J484" s="182">
        <v>1</v>
      </c>
      <c r="K484" s="183" t="s">
        <v>115</v>
      </c>
      <c r="L484" s="182"/>
      <c r="M484" s="182"/>
      <c r="N484" s="182"/>
      <c r="O484" s="183"/>
      <c r="P484" s="183"/>
      <c r="Q484" s="183"/>
      <c r="R484" s="183"/>
      <c r="S484" s="183"/>
      <c r="T484" s="183"/>
      <c r="U484" s="183"/>
      <c r="V484" s="183"/>
      <c r="W484" s="183"/>
      <c r="X484" s="183"/>
      <c r="Y484" s="184" t="str">
        <f t="shared" si="200"/>
        <v/>
      </c>
      <c r="Z484" s="184" t="str">
        <f t="shared" si="201"/>
        <v/>
      </c>
      <c r="AA484" s="185"/>
      <c r="AB484" s="185"/>
      <c r="AC484" s="185"/>
      <c r="AD484" s="649"/>
      <c r="AE484" s="182"/>
      <c r="AF484" s="332"/>
      <c r="AG484" s="182"/>
      <c r="AH484" s="182"/>
      <c r="AI484" s="182"/>
      <c r="AJ484" s="640"/>
      <c r="AK484" s="182"/>
      <c r="AL484" s="496"/>
      <c r="AM484" s="496"/>
      <c r="AN484" s="626"/>
      <c r="AO484" s="182"/>
      <c r="AP484" s="182"/>
      <c r="AQ484" s="332" t="str">
        <f>UPPER(RIGHT(Journal_Live[[#This Row],[DURATION ]]))</f>
        <v/>
      </c>
      <c r="AR484" s="182"/>
      <c r="AS484" s="189"/>
      <c r="AT484" s="189"/>
      <c r="AU484" s="187"/>
      <c r="AV484" s="190"/>
      <c r="AW484" s="191"/>
      <c r="AX484" s="407"/>
      <c r="AY484" s="407"/>
      <c r="AZ484" s="407"/>
      <c r="BA484" s="407"/>
      <c r="BB484" s="407"/>
      <c r="BC484" s="407"/>
      <c r="BD484" s="407"/>
      <c r="BE484" s="407"/>
      <c r="BF484" s="422"/>
      <c r="BG484" s="391">
        <f>SUM($AV$4:AV484)</f>
        <v>2930.8454761904713</v>
      </c>
      <c r="BH484" s="392">
        <f>SUM($AU$134:AU484)</f>
        <v>2942.7299999999391</v>
      </c>
      <c r="BI484" s="318">
        <f>SUMIFS($AU$134:AU485,$Q$134:Q485,"F")</f>
        <v>-3014.8</v>
      </c>
      <c r="BJ484" s="318">
        <f>SUMIFS($AU$134:AU485,$Q$134:Q485,"S")</f>
        <v>6136.0899999999974</v>
      </c>
      <c r="BK484" s="343">
        <f>SUMIFS($AU$134:AU485,$P$134:P485,"W")</f>
        <v>4975.3899999999339</v>
      </c>
      <c r="BL484" s="343">
        <f>SUMIFS($AU$134:AU485,$P$134:P485,"R")</f>
        <v>-2032.6599999999974</v>
      </c>
      <c r="BM484" s="343">
        <f>SUMIFS($AU$134:AU485,$AQ$134:AQ485,"M")</f>
        <v>733.39999999997201</v>
      </c>
      <c r="BN484" s="343">
        <f>SUMIFS($AU$134:AU485,$AQ$134:AQ485,"H")</f>
        <v>2735.9000000000156</v>
      </c>
      <c r="BO484" s="343">
        <f>SUMIFS($AU$134:AU485,$AQ$134:AQ485,"D")</f>
        <v>105.68999999999994</v>
      </c>
      <c r="BP484" s="343">
        <f>SUMIFS($AU$134:AU487,$AQ$134:AQ487,"W")</f>
        <v>-1270.7</v>
      </c>
      <c r="BQ484" s="343">
        <f>SUMIFS($AU$134:AU485,$Q$134:Q485,"O")</f>
        <v>-377.76000000006229</v>
      </c>
      <c r="BR484" s="343">
        <f>SUMIFS($AU$134:AU485,$AA$134:AA485,"*")</f>
        <v>5615.7899999999645</v>
      </c>
      <c r="BS484" s="343">
        <f>SUMIFS($AU$134:AU485,$AB$134:AB485,"*")</f>
        <v>301.43999999997629</v>
      </c>
      <c r="BT484" s="343">
        <f>SUMIFS($AU$134:AU485,$AC$134:AC485,"*")</f>
        <v>-1525.650000000001</v>
      </c>
      <c r="BU484" s="343">
        <f>SUMIFS($AU$134:AU485,$AA$134:AA485,"*",$AB$134:AB485,"*")</f>
        <v>2.000000000005258</v>
      </c>
      <c r="BV484" s="343">
        <f>SUMIFS($AU$134:AU485,$AA$134:AA485,"*",$AC$134:AC485,"*")</f>
        <v>1423.4499999999996</v>
      </c>
      <c r="BW484" s="343">
        <f>SUMIFS($AU$134:AU485,$AB$134:AB485,"*",$AC$134:AC485,"*")</f>
        <v>446.6</v>
      </c>
      <c r="BX484" s="343">
        <f>SUMIFS($AU485:AU$1388,$Q485:Q$1388,"F")</f>
        <v>17455.466666666667</v>
      </c>
      <c r="BY484" s="343">
        <f>SUMIFS($AU485:AU$1388,$Q485:Q$1388,"S")</f>
        <v>14535.552</v>
      </c>
      <c r="BZ484" s="343">
        <f>SUMIFS($AU485:AU$1388,$Q485:Q$1388,"O")</f>
        <v>-1271.097999999736</v>
      </c>
    </row>
    <row r="485" spans="1:78" ht="15.75" customHeight="1">
      <c r="A485" s="221" t="s">
        <v>2054</v>
      </c>
      <c r="B485" s="200"/>
      <c r="C485" s="178"/>
      <c r="D485" s="178"/>
      <c r="E485" s="227" t="s">
        <v>2204</v>
      </c>
      <c r="F485" s="180"/>
      <c r="G485" s="181"/>
      <c r="H485" s="182"/>
      <c r="I485" s="182"/>
      <c r="J485" s="182">
        <v>1</v>
      </c>
      <c r="K485" s="183" t="s">
        <v>115</v>
      </c>
      <c r="L485" s="182"/>
      <c r="M485" s="182"/>
      <c r="N485" s="182"/>
      <c r="O485" s="183"/>
      <c r="P485" s="183"/>
      <c r="Q485" s="183"/>
      <c r="R485" s="183"/>
      <c r="S485" s="183"/>
      <c r="T485" s="183"/>
      <c r="U485" s="183"/>
      <c r="V485" s="183"/>
      <c r="W485" s="183"/>
      <c r="X485" s="183"/>
      <c r="Y485" s="184" t="str">
        <f t="shared" si="200"/>
        <v/>
      </c>
      <c r="Z485" s="184" t="str">
        <f t="shared" si="201"/>
        <v/>
      </c>
      <c r="AA485" s="185"/>
      <c r="AB485" s="185"/>
      <c r="AC485" s="185"/>
      <c r="AD485" s="649"/>
      <c r="AE485" s="182"/>
      <c r="AF485" s="332"/>
      <c r="AG485" s="182"/>
      <c r="AH485" s="182"/>
      <c r="AI485" s="182"/>
      <c r="AJ485" s="640"/>
      <c r="AK485" s="182"/>
      <c r="AL485" s="496"/>
      <c r="AM485" s="496"/>
      <c r="AN485" s="626"/>
      <c r="AO485" s="182"/>
      <c r="AP485" s="182"/>
      <c r="AQ485" s="332" t="str">
        <f>UPPER(RIGHT(Journal_Live[[#This Row],[DURATION ]]))</f>
        <v/>
      </c>
      <c r="AR485" s="182"/>
      <c r="AS485" s="189"/>
      <c r="AT485" s="189"/>
      <c r="AU485" s="187"/>
      <c r="AV485" s="190"/>
      <c r="AW485" s="191"/>
      <c r="AX485" s="407"/>
      <c r="AY485" s="407"/>
      <c r="AZ485" s="407"/>
      <c r="BA485" s="407"/>
      <c r="BB485" s="407"/>
      <c r="BC485" s="407"/>
      <c r="BD485" s="407"/>
      <c r="BE485" s="407"/>
      <c r="BF485" s="422"/>
      <c r="BG485" s="391">
        <f>SUM($AV$4:AV485)</f>
        <v>2930.8454761904713</v>
      </c>
      <c r="BH485" s="392">
        <f>SUM($AU$134:AU485)</f>
        <v>2942.7299999999391</v>
      </c>
      <c r="BI485" s="318">
        <f>SUMIFS($AU$134:AU486,$Q$134:Q486,"F")</f>
        <v>-3014.8</v>
      </c>
      <c r="BJ485" s="318">
        <f>SUMIFS($AU$134:AU486,$Q$134:Q486,"S")</f>
        <v>6136.0899999999974</v>
      </c>
      <c r="BK485" s="343">
        <f>SUMIFS($AU$134:AU486,$P$134:P486,"W")</f>
        <v>4975.3899999999339</v>
      </c>
      <c r="BL485" s="343">
        <f>SUMIFS($AU$134:AU486,$P$134:P486,"R")</f>
        <v>-2032.6599999999974</v>
      </c>
      <c r="BM485" s="343">
        <f>SUMIFS($AU$134:AU486,$AQ$134:AQ486,"M")</f>
        <v>733.39999999997201</v>
      </c>
      <c r="BN485" s="343">
        <f>SUMIFS($AU$134:AU486,$AQ$134:AQ486,"H")</f>
        <v>2735.9000000000156</v>
      </c>
      <c r="BO485" s="343">
        <f>SUMIFS($AU$134:AU486,$AQ$134:AQ486,"D")</f>
        <v>105.68999999999994</v>
      </c>
      <c r="BP485" s="343">
        <f>SUMIFS($AU$134:AU488,$AQ$134:AQ488,"W")</f>
        <v>-1270.7</v>
      </c>
      <c r="BQ485" s="343">
        <f>SUMIFS($AU$134:AU486,$Q$134:Q486,"O")</f>
        <v>-377.76000000006229</v>
      </c>
      <c r="BR485" s="343">
        <f>SUMIFS($AU$134:AU486,$AA$134:AA486,"*")</f>
        <v>5615.7899999999645</v>
      </c>
      <c r="BS485" s="343">
        <f>SUMIFS($AU$134:AU486,$AB$134:AB486,"*")</f>
        <v>301.43999999997629</v>
      </c>
      <c r="BT485" s="343">
        <f>SUMIFS($AU$134:AU486,$AC$134:AC486,"*")</f>
        <v>-1525.650000000001</v>
      </c>
      <c r="BU485" s="343">
        <f>SUMIFS($AU$134:AU486,$AA$134:AA486,"*",$AB$134:AB486,"*")</f>
        <v>2.000000000005258</v>
      </c>
      <c r="BV485" s="343">
        <f>SUMIFS($AU$134:AU486,$AA$134:AA486,"*",$AC$134:AC486,"*")</f>
        <v>1423.4499999999996</v>
      </c>
      <c r="BW485" s="343">
        <f>SUMIFS($AU$134:AU486,$AB$134:AB486,"*",$AC$134:AC486,"*")</f>
        <v>446.6</v>
      </c>
      <c r="BX485" s="343">
        <f>SUMIFS($AU486:AU$1388,$Q486:Q$1388,"F")</f>
        <v>17455.466666666667</v>
      </c>
      <c r="BY485" s="343">
        <f>SUMIFS($AU486:AU$1388,$Q486:Q$1388,"S")</f>
        <v>14535.552</v>
      </c>
      <c r="BZ485" s="343">
        <f>SUMIFS($AU486:AU$1388,$Q486:Q$1388,"O")</f>
        <v>-1271.097999999736</v>
      </c>
    </row>
    <row r="486" spans="1:78" ht="15.75" customHeight="1">
      <c r="A486" s="221" t="s">
        <v>2054</v>
      </c>
      <c r="B486" s="200"/>
      <c r="C486" s="178"/>
      <c r="D486" s="178"/>
      <c r="E486" s="227" t="s">
        <v>2205</v>
      </c>
      <c r="F486" s="180"/>
      <c r="G486" s="181"/>
      <c r="H486" s="182"/>
      <c r="I486" s="182"/>
      <c r="J486" s="182"/>
      <c r="K486" s="183"/>
      <c r="L486" s="182"/>
      <c r="M486" s="182"/>
      <c r="N486" s="182"/>
      <c r="O486" s="183"/>
      <c r="P486" s="183"/>
      <c r="Q486" s="183"/>
      <c r="R486" s="183"/>
      <c r="S486" s="183"/>
      <c r="T486" s="183"/>
      <c r="U486" s="183"/>
      <c r="V486" s="183"/>
      <c r="W486" s="183"/>
      <c r="X486" s="183"/>
      <c r="Y486" s="184" t="str">
        <f t="shared" si="200"/>
        <v/>
      </c>
      <c r="Z486" s="184" t="str">
        <f t="shared" si="201"/>
        <v/>
      </c>
      <c r="AA486" s="185"/>
      <c r="AB486" s="185"/>
      <c r="AC486" s="185"/>
      <c r="AD486" s="649"/>
      <c r="AE486" s="182"/>
      <c r="AF486" s="332"/>
      <c r="AG486" s="182"/>
      <c r="AH486" s="182"/>
      <c r="AI486" s="182"/>
      <c r="AJ486" s="640"/>
      <c r="AK486" s="182"/>
      <c r="AL486" s="496"/>
      <c r="AM486" s="496"/>
      <c r="AN486" s="626"/>
      <c r="AO486" s="182"/>
      <c r="AP486" s="182"/>
      <c r="AQ486" s="332" t="str">
        <f>UPPER(RIGHT(Journal_Live[[#This Row],[DURATION ]]))</f>
        <v/>
      </c>
      <c r="AR486" s="182"/>
      <c r="AS486" s="189"/>
      <c r="AT486" s="189"/>
      <c r="AU486" s="187"/>
      <c r="AV486" s="190"/>
      <c r="AW486" s="191"/>
      <c r="AX486" s="407"/>
      <c r="AY486" s="407"/>
      <c r="AZ486" s="407"/>
      <c r="BA486" s="407"/>
      <c r="BB486" s="407"/>
      <c r="BC486" s="407"/>
      <c r="BD486" s="407"/>
      <c r="BE486" s="407"/>
      <c r="BF486" s="422"/>
      <c r="BG486" s="391">
        <f>SUM($AV$4:AV486)</f>
        <v>2930.8454761904713</v>
      </c>
      <c r="BH486" s="392">
        <f>SUM($AU$134:AU486)</f>
        <v>2942.7299999999391</v>
      </c>
      <c r="BI486" s="318">
        <f>SUMIFS($AU$134:AU487,$Q$134:Q487,"F")</f>
        <v>-3014.8</v>
      </c>
      <c r="BJ486" s="318">
        <f>SUMIFS($AU$134:AU487,$Q$134:Q487,"S")</f>
        <v>6136.0899999999974</v>
      </c>
      <c r="BK486" s="343">
        <f>SUMIFS($AU$134:AU487,$P$134:P487,"W")</f>
        <v>4975.3899999999339</v>
      </c>
      <c r="BL486" s="343">
        <f>SUMIFS($AU$134:AU487,$P$134:P487,"R")</f>
        <v>-2032.6599999999974</v>
      </c>
      <c r="BM486" s="343">
        <f>SUMIFS($AU$134:AU487,$AQ$134:AQ487,"M")</f>
        <v>733.39999999997201</v>
      </c>
      <c r="BN486" s="343">
        <f>SUMIFS($AU$134:AU487,$AQ$134:AQ487,"H")</f>
        <v>2735.9000000000156</v>
      </c>
      <c r="BO486" s="343">
        <f>SUMIFS($AU$134:AU487,$AQ$134:AQ487,"D")</f>
        <v>105.68999999999994</v>
      </c>
      <c r="BP486" s="343">
        <f>SUMIFS($AU$134:AU489,$AQ$134:AQ489,"W")</f>
        <v>-1270.7</v>
      </c>
      <c r="BQ486" s="343">
        <f>SUMIFS($AU$134:AU487,$Q$134:Q487,"O")</f>
        <v>-377.76000000006229</v>
      </c>
      <c r="BR486" s="343">
        <f>SUMIFS($AU$134:AU487,$AA$134:AA487,"*")</f>
        <v>5615.7899999999645</v>
      </c>
      <c r="BS486" s="343">
        <f>SUMIFS($AU$134:AU487,$AB$134:AB487,"*")</f>
        <v>301.43999999997629</v>
      </c>
      <c r="BT486" s="343">
        <f>SUMIFS($AU$134:AU487,$AC$134:AC487,"*")</f>
        <v>-1525.650000000001</v>
      </c>
      <c r="BU486" s="343">
        <f>SUMIFS($AU$134:AU487,$AA$134:AA487,"*",$AB$134:AB487,"*")</f>
        <v>2.000000000005258</v>
      </c>
      <c r="BV486" s="343">
        <f>SUMIFS($AU$134:AU487,$AA$134:AA487,"*",$AC$134:AC487,"*")</f>
        <v>1423.4499999999996</v>
      </c>
      <c r="BW486" s="343">
        <f>SUMIFS($AU$134:AU487,$AB$134:AB487,"*",$AC$134:AC487,"*")</f>
        <v>446.6</v>
      </c>
      <c r="BX486" s="343">
        <f>SUMIFS($AU487:AU$1388,$Q487:Q$1388,"F")</f>
        <v>17455.466666666667</v>
      </c>
      <c r="BY486" s="343">
        <f>SUMIFS($AU487:AU$1388,$Q487:Q$1388,"S")</f>
        <v>14535.552</v>
      </c>
      <c r="BZ486" s="343">
        <f>SUMIFS($AU487:AU$1388,$Q487:Q$1388,"O")</f>
        <v>-1271.097999999736</v>
      </c>
    </row>
    <row r="487" spans="1:78" ht="15.75" customHeight="1">
      <c r="A487" s="221" t="s">
        <v>2206</v>
      </c>
      <c r="B487" s="200"/>
      <c r="C487" s="178" t="s">
        <v>2060</v>
      </c>
      <c r="D487" s="178" t="s">
        <v>111</v>
      </c>
      <c r="E487" s="227" t="s">
        <v>2207</v>
      </c>
      <c r="F487" s="180" t="s">
        <v>2208</v>
      </c>
      <c r="G487" s="181"/>
      <c r="H487" s="182">
        <v>1</v>
      </c>
      <c r="I487" s="182"/>
      <c r="J487" s="182"/>
      <c r="K487" s="183" t="s">
        <v>372</v>
      </c>
      <c r="L487" s="182"/>
      <c r="M487" s="182"/>
      <c r="N487" s="182"/>
      <c r="O487" s="183"/>
      <c r="P487" s="183"/>
      <c r="Q487" s="183"/>
      <c r="R487" s="183"/>
      <c r="S487" s="183"/>
      <c r="T487" s="183"/>
      <c r="U487" s="183"/>
      <c r="V487" s="183"/>
      <c r="W487" s="183"/>
      <c r="X487" s="183"/>
      <c r="Y487" s="184" t="str">
        <f t="shared" si="200"/>
        <v/>
      </c>
      <c r="Z487" s="184" t="str">
        <f t="shared" si="201"/>
        <v/>
      </c>
      <c r="AA487" s="185"/>
      <c r="AB487" s="185"/>
      <c r="AC487" s="185"/>
      <c r="AD487" s="649"/>
      <c r="AE487" s="182"/>
      <c r="AF487" s="332"/>
      <c r="AG487" s="182"/>
      <c r="AH487" s="182"/>
      <c r="AI487" s="182"/>
      <c r="AJ487" s="640"/>
      <c r="AK487" s="182"/>
      <c r="AL487" s="496"/>
      <c r="AM487" s="496"/>
      <c r="AN487" s="626"/>
      <c r="AO487" s="182"/>
      <c r="AP487" s="182"/>
      <c r="AQ487" s="332" t="str">
        <f>UPPER(RIGHT(Journal_Live[[#This Row],[DURATION ]]))</f>
        <v/>
      </c>
      <c r="AR487" s="182"/>
      <c r="AS487" s="189"/>
      <c r="AT487" s="189"/>
      <c r="AU487" s="187"/>
      <c r="AV487" s="190"/>
      <c r="AW487" s="191"/>
      <c r="AX487" s="407" t="s">
        <v>2209</v>
      </c>
      <c r="AY487" s="407" t="s">
        <v>2210</v>
      </c>
      <c r="AZ487" s="407" t="s">
        <v>2211</v>
      </c>
      <c r="BA487" s="407" t="s">
        <v>2212</v>
      </c>
      <c r="BB487" s="407" t="s">
        <v>529</v>
      </c>
      <c r="BC487" s="407"/>
      <c r="BD487" s="407"/>
      <c r="BE487" s="407"/>
      <c r="BF487" s="422"/>
      <c r="BG487" s="391">
        <f>SUM($AV$4:AV487)</f>
        <v>2930.8454761904713</v>
      </c>
      <c r="BH487" s="392">
        <f>SUM($AU$134:AU487)</f>
        <v>2942.7299999999391</v>
      </c>
      <c r="BI487" s="318">
        <f>SUMIFS($AU$134:AU488,$Q$134:Q488,"F")</f>
        <v>-3014.8</v>
      </c>
      <c r="BJ487" s="318">
        <f>SUMIFS($AU$134:AU488,$Q$134:Q488,"S")</f>
        <v>6216.0899999999974</v>
      </c>
      <c r="BK487" s="343">
        <f>SUMIFS($AU$134:AU488,$P$134:P488,"W")</f>
        <v>4975.3899999999339</v>
      </c>
      <c r="BL487" s="343">
        <f>SUMIFS($AU$134:AU488,$P$134:P488,"R")</f>
        <v>-1952.6599999999974</v>
      </c>
      <c r="BM487" s="343">
        <f>SUMIFS($AU$134:AU488,$AQ$134:AQ488,"M")</f>
        <v>733.39999999997201</v>
      </c>
      <c r="BN487" s="343">
        <f>SUMIFS($AU$134:AU488,$AQ$134:AQ488,"H")</f>
        <v>2815.9000000000156</v>
      </c>
      <c r="BO487" s="343">
        <f>SUMIFS($AU$134:AU488,$AQ$134:AQ488,"D")</f>
        <v>105.68999999999994</v>
      </c>
      <c r="BP487" s="343">
        <f>SUMIFS($AU$134:AU490,$AQ$134:AQ490,"W")</f>
        <v>-1270.7</v>
      </c>
      <c r="BQ487" s="343">
        <f>SUMIFS($AU$134:AU488,$Q$134:Q488,"O")</f>
        <v>-377.76000000006229</v>
      </c>
      <c r="BR487" s="343">
        <f>SUMIFS($AU$134:AU488,$AA$134:AA488,"*")</f>
        <v>5695.7899999999645</v>
      </c>
      <c r="BS487" s="343">
        <f>SUMIFS($AU$134:AU488,$AB$134:AB488,"*")</f>
        <v>301.43999999997629</v>
      </c>
      <c r="BT487" s="343">
        <f>SUMIFS($AU$134:AU488,$AC$134:AC488,"*")</f>
        <v>-1525.650000000001</v>
      </c>
      <c r="BU487" s="343">
        <f>SUMIFS($AU$134:AU488,$AA$134:AA488,"*",$AB$134:AB488,"*")</f>
        <v>2.000000000005258</v>
      </c>
      <c r="BV487" s="343">
        <f>SUMIFS($AU$134:AU488,$AA$134:AA488,"*",$AC$134:AC488,"*")</f>
        <v>1423.4499999999996</v>
      </c>
      <c r="BW487" s="343">
        <f>SUMIFS($AU$134:AU488,$AB$134:AB488,"*",$AC$134:AC488,"*")</f>
        <v>446.6</v>
      </c>
      <c r="BX487" s="343">
        <f>SUMIFS($AU488:AU$1388,$Q488:Q$1388,"F")</f>
        <v>17455.466666666667</v>
      </c>
      <c r="BY487" s="343">
        <f>SUMIFS($AU488:AU$1388,$Q488:Q$1388,"S")</f>
        <v>14535.552</v>
      </c>
      <c r="BZ487" s="343">
        <f>SUMIFS($AU488:AU$1388,$Q488:Q$1388,"O")</f>
        <v>-1271.097999999736</v>
      </c>
    </row>
    <row r="488" spans="1:78" ht="15.75" customHeight="1">
      <c r="A488" s="221" t="s">
        <v>2054</v>
      </c>
      <c r="B488" s="200">
        <v>45033</v>
      </c>
      <c r="C488" s="178" t="s">
        <v>2213</v>
      </c>
      <c r="D488" s="178" t="s">
        <v>132</v>
      </c>
      <c r="E488" s="227"/>
      <c r="F488" s="180"/>
      <c r="G488" s="281" t="s">
        <v>2070</v>
      </c>
      <c r="H488" s="182"/>
      <c r="I488" s="182"/>
      <c r="J488" s="182"/>
      <c r="K488" s="183"/>
      <c r="L488" s="182"/>
      <c r="M488" s="182"/>
      <c r="N488" s="182"/>
      <c r="O488" s="183" t="s">
        <v>95</v>
      </c>
      <c r="P488" s="183" t="s">
        <v>137</v>
      </c>
      <c r="Q488" s="183" t="s">
        <v>97</v>
      </c>
      <c r="R488" s="183">
        <v>5</v>
      </c>
      <c r="S488" s="183">
        <v>5</v>
      </c>
      <c r="T488" s="183">
        <v>5</v>
      </c>
      <c r="U488" s="183" t="s">
        <v>22</v>
      </c>
      <c r="V488" s="183"/>
      <c r="W488" s="183"/>
      <c r="X488" s="183"/>
      <c r="Y488" s="184">
        <f t="shared" si="200"/>
        <v>0.01</v>
      </c>
      <c r="Z488" s="184">
        <f t="shared" si="201"/>
        <v>1600</v>
      </c>
      <c r="AA488" s="185" t="s">
        <v>99</v>
      </c>
      <c r="AB488" s="185"/>
      <c r="AC488" s="185"/>
      <c r="AD488" s="649">
        <v>-0.06</v>
      </c>
      <c r="AE488" s="182"/>
      <c r="AF488" s="332"/>
      <c r="AG488" s="182"/>
      <c r="AH488" s="182"/>
      <c r="AI488" s="182"/>
      <c r="AJ488" s="640"/>
      <c r="AK488" s="182"/>
      <c r="AL488" s="496">
        <f>-0.02*Z488</f>
        <v>-32</v>
      </c>
      <c r="AM488" s="496">
        <f>AL488*(R488-S488)</f>
        <v>0</v>
      </c>
      <c r="AN488" s="626"/>
      <c r="AO488" s="182"/>
      <c r="AP488" s="182" t="s">
        <v>2214</v>
      </c>
      <c r="AQ488" s="332" t="str">
        <f>UPPER(RIGHT(Journal_Live[[#This Row],[DURATION ]]))</f>
        <v>H</v>
      </c>
      <c r="AR488" s="182" t="s">
        <v>2121</v>
      </c>
      <c r="AS488" s="189">
        <v>-0.05</v>
      </c>
      <c r="AT488" s="189">
        <f>IF(ISBLANK(AS488),,IF(U488="S",AD488-AS488,AS488-AD488))</f>
        <v>9.999999999999995E-3</v>
      </c>
      <c r="AU488" s="187">
        <f>AV488*R488</f>
        <v>79.999999999999972</v>
      </c>
      <c r="AV488" s="190">
        <f>IF(ISBLANK(AS488),,(AT488*Z488))</f>
        <v>15.999999999999993</v>
      </c>
      <c r="AW488" s="191" t="s">
        <v>96</v>
      </c>
      <c r="AX488" s="407" t="s">
        <v>2215</v>
      </c>
      <c r="AY488" s="407"/>
      <c r="AZ488" s="407"/>
      <c r="BA488" s="407"/>
      <c r="BB488" s="407"/>
      <c r="BC488" s="407"/>
      <c r="BD488" s="407"/>
      <c r="BE488" s="407"/>
      <c r="BF488" s="422"/>
      <c r="BG488" s="391">
        <f>SUM($AV$4:AV488)</f>
        <v>2946.8454761904713</v>
      </c>
      <c r="BH488" s="392">
        <f>SUM($AU$134:AU488)</f>
        <v>3022.7299999999391</v>
      </c>
      <c r="BI488" s="318">
        <f>SUMIFS($AU$134:AU489,$Q$134:Q489,"F")</f>
        <v>-3014.8</v>
      </c>
      <c r="BJ488" s="318">
        <f>SUMIFS($AU$134:AU489,$Q$134:Q489,"S")</f>
        <v>6440.0899999999974</v>
      </c>
      <c r="BK488" s="343">
        <f>SUMIFS($AU$134:AU489,$P$134:P489,"W")</f>
        <v>4975.3899999999339</v>
      </c>
      <c r="BL488" s="343">
        <f>SUMIFS($AU$134:AU489,$P$134:P489,"R")</f>
        <v>-1728.6599999999976</v>
      </c>
      <c r="BM488" s="343">
        <f>SUMIFS($AU$134:AU489,$AQ$134:AQ489,"M")</f>
        <v>733.39999999997201</v>
      </c>
      <c r="BN488" s="343">
        <f>SUMIFS($AU$134:AU489,$AQ$134:AQ489,"H")</f>
        <v>2815.9000000000156</v>
      </c>
      <c r="BO488" s="343">
        <f>SUMIFS($AU$134:AU489,$AQ$134:AQ489,"D")</f>
        <v>329.68999999999983</v>
      </c>
      <c r="BP488" s="343">
        <f>SUMIFS($AU$134:AU491,$AQ$134:AQ491,"W")</f>
        <v>-1270.7</v>
      </c>
      <c r="BQ488" s="343">
        <f>SUMIFS($AU$134:AU489,$Q$134:Q489,"O")</f>
        <v>-377.76000000006229</v>
      </c>
      <c r="BR488" s="343">
        <f>SUMIFS($AU$134:AU489,$AA$134:AA489,"*")</f>
        <v>5919.7899999999645</v>
      </c>
      <c r="BS488" s="343">
        <f>SUMIFS($AU$134:AU489,$AB$134:AB489,"*")</f>
        <v>301.43999999997629</v>
      </c>
      <c r="BT488" s="343">
        <f>SUMIFS($AU$134:AU489,$AC$134:AC489,"*")</f>
        <v>-1301.650000000001</v>
      </c>
      <c r="BU488" s="343">
        <f>SUMIFS($AU$134:AU489,$AA$134:AA489,"*",$AB$134:AB489,"*")</f>
        <v>2.000000000005258</v>
      </c>
      <c r="BV488" s="343">
        <f>SUMIFS($AU$134:AU489,$AA$134:AA489,"*",$AC$134:AC489,"*")</f>
        <v>1647.4499999999994</v>
      </c>
      <c r="BW488" s="343">
        <f>SUMIFS($AU$134:AU489,$AB$134:AB489,"*",$AC$134:AC489,"*")</f>
        <v>446.6</v>
      </c>
      <c r="BX488" s="343">
        <f>SUMIFS($AU489:AU$1388,$Q489:Q$1388,"F")</f>
        <v>17455.466666666667</v>
      </c>
      <c r="BY488" s="343">
        <f>SUMIFS($AU489:AU$1388,$Q489:Q$1388,"S")</f>
        <v>14455.552</v>
      </c>
      <c r="BZ488" s="343">
        <f>SUMIFS($AU489:AU$1388,$Q489:Q$1388,"O")</f>
        <v>-1271.097999999736</v>
      </c>
    </row>
    <row r="489" spans="1:78" ht="15.75" customHeight="1">
      <c r="A489" s="221" t="s">
        <v>2054</v>
      </c>
      <c r="B489" s="200">
        <v>45033</v>
      </c>
      <c r="C489" s="178" t="s">
        <v>2216</v>
      </c>
      <c r="D489" s="178" t="s">
        <v>132</v>
      </c>
      <c r="E489" s="227"/>
      <c r="F489" s="180"/>
      <c r="G489" s="281" t="s">
        <v>2016</v>
      </c>
      <c r="H489" s="182"/>
      <c r="I489" s="182"/>
      <c r="J489" s="182"/>
      <c r="K489" s="183"/>
      <c r="L489" s="182"/>
      <c r="M489" s="182"/>
      <c r="N489" s="182"/>
      <c r="O489" s="183" t="s">
        <v>95</v>
      </c>
      <c r="P489" s="183" t="s">
        <v>137</v>
      </c>
      <c r="Q489" s="183" t="s">
        <v>97</v>
      </c>
      <c r="R489" s="183">
        <v>14</v>
      </c>
      <c r="S489" s="183">
        <v>0</v>
      </c>
      <c r="T489" s="183">
        <v>14</v>
      </c>
      <c r="U489" s="183" t="s">
        <v>97</v>
      </c>
      <c r="V489" s="183"/>
      <c r="W489" s="183"/>
      <c r="X489" s="183"/>
      <c r="Y489" s="184">
        <f t="shared" si="200"/>
        <v>0.01</v>
      </c>
      <c r="Z489" s="184">
        <f t="shared" si="201"/>
        <v>1600</v>
      </c>
      <c r="AA489" s="185" t="s">
        <v>99</v>
      </c>
      <c r="AB489" s="185"/>
      <c r="AC489" s="185" t="s">
        <v>2217</v>
      </c>
      <c r="AD489" s="649">
        <v>-7.0000000000000007E-2</v>
      </c>
      <c r="AE489" s="182"/>
      <c r="AF489" s="332"/>
      <c r="AG489" s="182"/>
      <c r="AH489" s="182"/>
      <c r="AI489" s="182"/>
      <c r="AJ489" s="640"/>
      <c r="AK489" s="182"/>
      <c r="AL489" s="496">
        <f>-0.02*Z489</f>
        <v>-32</v>
      </c>
      <c r="AM489" s="496">
        <f>AL489*(R489-S489)</f>
        <v>-448</v>
      </c>
      <c r="AN489" s="626"/>
      <c r="AO489" s="182"/>
      <c r="AP489" s="182" t="s">
        <v>804</v>
      </c>
      <c r="AQ489" s="332" t="str">
        <f>UPPER(RIGHT(Journal_Live[[#This Row],[DURATION ]]))</f>
        <v>D</v>
      </c>
      <c r="AR489" s="182" t="s">
        <v>2218</v>
      </c>
      <c r="AS489" s="189">
        <v>-0.08</v>
      </c>
      <c r="AT489" s="189">
        <f>IF(ISBLANK(AS489),,IF(U489="S",AD489-AS489,AS489-AD489))</f>
        <v>9.999999999999995E-3</v>
      </c>
      <c r="AU489" s="187">
        <f>AV489*R489</f>
        <v>223.99999999999989</v>
      </c>
      <c r="AV489" s="190">
        <f>IF(ISBLANK(AS489),,(AT489*Z489))</f>
        <v>15.999999999999993</v>
      </c>
      <c r="AW489" s="191" t="s">
        <v>96</v>
      </c>
      <c r="AX489" s="407" t="s">
        <v>2219</v>
      </c>
      <c r="AY489" s="407" t="s">
        <v>2220</v>
      </c>
      <c r="AZ489" s="407"/>
      <c r="BA489" s="407"/>
      <c r="BB489" s="407"/>
      <c r="BC489" s="407"/>
      <c r="BD489" s="407"/>
      <c r="BE489" s="407"/>
      <c r="BF489" s="422"/>
      <c r="BG489" s="391">
        <f>SUM($AV$4:AV489)</f>
        <v>2962.8454761904713</v>
      </c>
      <c r="BH489" s="392">
        <f>SUM($AU$134:AU489)</f>
        <v>3246.7299999999391</v>
      </c>
      <c r="BI489" s="318">
        <f>SUMIFS($AU$134:AU490,$Q$134:Q490,"F")</f>
        <v>-3014.8</v>
      </c>
      <c r="BJ489" s="318">
        <f>SUMIFS($AU$134:AU490,$Q$134:Q490,"S")</f>
        <v>6440.0899999999974</v>
      </c>
      <c r="BK489" s="343">
        <f>SUMIFS($AU$134:AU490,$P$134:P490,"W")</f>
        <v>4975.3899999999339</v>
      </c>
      <c r="BL489" s="343">
        <f>SUMIFS($AU$134:AU490,$P$134:P490,"R")</f>
        <v>-1728.6599999999976</v>
      </c>
      <c r="BM489" s="343">
        <f>SUMIFS($AU$134:AU490,$AQ$134:AQ490,"M")</f>
        <v>733.39999999997201</v>
      </c>
      <c r="BN489" s="343">
        <f>SUMIFS($AU$134:AU490,$AQ$134:AQ490,"H")</f>
        <v>2815.9000000000156</v>
      </c>
      <c r="BO489" s="343">
        <f>SUMIFS($AU$134:AU490,$AQ$134:AQ490,"D")</f>
        <v>329.68999999999983</v>
      </c>
      <c r="BP489" s="343">
        <f>SUMIFS($AU$134:AU492,$AQ$134:AQ492,"W")</f>
        <v>-1270.7</v>
      </c>
      <c r="BQ489" s="343">
        <f>SUMIFS($AU$134:AU490,$Q$134:Q490,"O")</f>
        <v>-377.76000000006229</v>
      </c>
      <c r="BR489" s="343">
        <f>SUMIFS($AU$134:AU490,$AA$134:AA490,"*")</f>
        <v>5919.7899999999645</v>
      </c>
      <c r="BS489" s="343">
        <f>SUMIFS($AU$134:AU490,$AB$134:AB490,"*")</f>
        <v>301.43999999997629</v>
      </c>
      <c r="BT489" s="343">
        <f>SUMIFS($AU$134:AU490,$AC$134:AC490,"*")</f>
        <v>-1301.650000000001</v>
      </c>
      <c r="BU489" s="343">
        <f>SUMIFS($AU$134:AU490,$AA$134:AA490,"*",$AB$134:AB490,"*")</f>
        <v>2.000000000005258</v>
      </c>
      <c r="BV489" s="343">
        <f>SUMIFS($AU$134:AU490,$AA$134:AA490,"*",$AC$134:AC490,"*")</f>
        <v>1647.4499999999994</v>
      </c>
      <c r="BW489" s="343">
        <f>SUMIFS($AU$134:AU490,$AB$134:AB490,"*",$AC$134:AC490,"*")</f>
        <v>446.6</v>
      </c>
      <c r="BX489" s="343">
        <f>SUMIFS($AU490:AU$1388,$Q490:Q$1388,"F")</f>
        <v>17455.466666666667</v>
      </c>
      <c r="BY489" s="343">
        <f>SUMIFS($AU490:AU$1388,$Q490:Q$1388,"S")</f>
        <v>14231.552000000001</v>
      </c>
      <c r="BZ489" s="343">
        <f>SUMIFS($AU490:AU$1388,$Q490:Q$1388,"O")</f>
        <v>-1271.097999999736</v>
      </c>
    </row>
    <row r="490" spans="1:78" ht="15.75" customHeight="1">
      <c r="A490" s="221" t="s">
        <v>2054</v>
      </c>
      <c r="B490" s="200">
        <v>45033</v>
      </c>
      <c r="C490" s="178" t="s">
        <v>2221</v>
      </c>
      <c r="D490" s="178" t="s">
        <v>132</v>
      </c>
      <c r="E490" s="227"/>
      <c r="F490" s="180"/>
      <c r="G490" s="281" t="s">
        <v>94</v>
      </c>
      <c r="H490" s="182"/>
      <c r="I490" s="182"/>
      <c r="J490" s="182"/>
      <c r="K490" s="183"/>
      <c r="L490" s="182"/>
      <c r="M490" s="182"/>
      <c r="N490" s="182"/>
      <c r="O490" s="183" t="s">
        <v>95</v>
      </c>
      <c r="P490" s="183" t="s">
        <v>96</v>
      </c>
      <c r="Q490" s="183" t="s">
        <v>97</v>
      </c>
      <c r="R490" s="183">
        <v>7</v>
      </c>
      <c r="S490" s="183">
        <v>0</v>
      </c>
      <c r="T490" s="183">
        <v>7</v>
      </c>
      <c r="U490" s="183" t="s">
        <v>97</v>
      </c>
      <c r="V490" s="183"/>
      <c r="W490" s="183"/>
      <c r="X490" s="183"/>
      <c r="Y490" s="184">
        <f t="shared" si="200"/>
        <v>0.01</v>
      </c>
      <c r="Z490" s="184">
        <f t="shared" si="201"/>
        <v>1600</v>
      </c>
      <c r="AA490" s="185" t="s">
        <v>2222</v>
      </c>
      <c r="AB490" s="185"/>
      <c r="AC490" s="185"/>
      <c r="AD490" s="649">
        <v>-0.02</v>
      </c>
      <c r="AE490" s="182"/>
      <c r="AF490" s="332"/>
      <c r="AG490" s="182"/>
      <c r="AH490" s="182"/>
      <c r="AI490" s="182"/>
      <c r="AJ490" s="640" t="s">
        <v>2223</v>
      </c>
      <c r="AK490" s="182"/>
      <c r="AL490" s="496">
        <f>-0.02*Z490</f>
        <v>-32</v>
      </c>
      <c r="AM490" s="496">
        <f>AL490*(R490-S490)</f>
        <v>-224</v>
      </c>
      <c r="AN490" s="626"/>
      <c r="AO490" s="182"/>
      <c r="AP490" s="182" t="s">
        <v>770</v>
      </c>
      <c r="AQ490" s="332" t="str">
        <f>UPPER(RIGHT(Journal_Live[[#This Row],[DURATION ]]))</f>
        <v>D</v>
      </c>
      <c r="AR490" s="182" t="s">
        <v>2224</v>
      </c>
      <c r="AS490" s="189">
        <f>((-0.02*5)+(-0.02*3))/8</f>
        <v>-0.02</v>
      </c>
      <c r="AT490" s="189">
        <f>IF(ISBLANK(AS490),,IF(U490="S",AD490-AS490,AS490-AD490))</f>
        <v>0</v>
      </c>
      <c r="AU490" s="187">
        <f>AV490*R490</f>
        <v>0</v>
      </c>
      <c r="AV490" s="190">
        <f>IF(ISBLANK(AS490),,(AT490*Z490))</f>
        <v>0</v>
      </c>
      <c r="AW490" s="191" t="s">
        <v>115</v>
      </c>
      <c r="AX490" s="407" t="s">
        <v>2225</v>
      </c>
      <c r="AY490" s="407" t="s">
        <v>2226</v>
      </c>
      <c r="AZ490" s="407" t="s">
        <v>2227</v>
      </c>
      <c r="BA490" s="407" t="s">
        <v>529</v>
      </c>
      <c r="BB490" s="407"/>
      <c r="BC490" s="407"/>
      <c r="BD490" s="407"/>
      <c r="BE490" s="407"/>
      <c r="BF490" s="422"/>
      <c r="BG490" s="391">
        <f>SUM($AV$4:AV490)</f>
        <v>2962.8454761904713</v>
      </c>
      <c r="BH490" s="392">
        <f>SUM($AU$134:AU490)</f>
        <v>3246.7299999999391</v>
      </c>
      <c r="BI490" s="318">
        <f>SUMIFS($AU$134:AU491,$Q$134:Q491,"F")</f>
        <v>-3014.8</v>
      </c>
      <c r="BJ490" s="318">
        <f>SUMIFS($AU$134:AU491,$Q$134:Q491,"S")</f>
        <v>6440.0899999999974</v>
      </c>
      <c r="BK490" s="343">
        <f>SUMIFS($AU$134:AU491,$P$134:P491,"W")</f>
        <v>4975.3899999999339</v>
      </c>
      <c r="BL490" s="343">
        <f>SUMIFS($AU$134:AU491,$P$134:P491,"R")</f>
        <v>-1728.6599999999976</v>
      </c>
      <c r="BM490" s="343">
        <f>SUMIFS($AU$134:AU491,$AQ$134:AQ491,"M")</f>
        <v>733.39999999997201</v>
      </c>
      <c r="BN490" s="343">
        <f>SUMIFS($AU$134:AU491,$AQ$134:AQ491,"H")</f>
        <v>2815.9000000000156</v>
      </c>
      <c r="BO490" s="343">
        <f>SUMIFS($AU$134:AU491,$AQ$134:AQ491,"D")</f>
        <v>329.68999999999983</v>
      </c>
      <c r="BP490" s="343">
        <f>SUMIFS($AU$134:AU493,$AQ$134:AQ493,"W")</f>
        <v>-1270.7</v>
      </c>
      <c r="BQ490" s="343">
        <f>SUMIFS($AU$134:AU491,$Q$134:Q491,"O")</f>
        <v>-377.76000000006229</v>
      </c>
      <c r="BR490" s="343">
        <f>SUMIFS($AU$134:AU491,$AA$134:AA491,"*")</f>
        <v>5919.7899999999645</v>
      </c>
      <c r="BS490" s="343">
        <f>SUMIFS($AU$134:AU491,$AB$134:AB491,"*")</f>
        <v>301.43999999997629</v>
      </c>
      <c r="BT490" s="343">
        <f>SUMIFS($AU$134:AU491,$AC$134:AC491,"*")</f>
        <v>-1301.650000000001</v>
      </c>
      <c r="BU490" s="343">
        <f>SUMIFS($AU$134:AU491,$AA$134:AA491,"*",$AB$134:AB491,"*")</f>
        <v>2.000000000005258</v>
      </c>
      <c r="BV490" s="343">
        <f>SUMIFS($AU$134:AU491,$AA$134:AA491,"*",$AC$134:AC491,"*")</f>
        <v>1647.4499999999994</v>
      </c>
      <c r="BW490" s="343">
        <f>SUMIFS($AU$134:AU491,$AB$134:AB491,"*",$AC$134:AC491,"*")</f>
        <v>446.6</v>
      </c>
      <c r="BX490" s="343">
        <f>SUMIFS($AU491:AU$1388,$Q491:Q$1388,"F")</f>
        <v>17455.466666666667</v>
      </c>
      <c r="BY490" s="343">
        <f>SUMIFS($AU491:AU$1388,$Q491:Q$1388,"S")</f>
        <v>14231.552000000001</v>
      </c>
      <c r="BZ490" s="343">
        <f>SUMIFS($AU491:AU$1388,$Q491:Q$1388,"O")</f>
        <v>-1271.097999999736</v>
      </c>
    </row>
    <row r="491" spans="1:78" ht="15.75" customHeight="1">
      <c r="A491" s="221" t="s">
        <v>2054</v>
      </c>
      <c r="B491" s="200">
        <v>45034</v>
      </c>
      <c r="C491" s="178" t="s">
        <v>2020</v>
      </c>
      <c r="D491" s="178" t="s">
        <v>146</v>
      </c>
      <c r="E491" s="227" t="s">
        <v>2228</v>
      </c>
      <c r="F491" s="180"/>
      <c r="G491" s="181"/>
      <c r="H491" s="182"/>
      <c r="I491" s="182"/>
      <c r="J491" s="182"/>
      <c r="K491" s="183"/>
      <c r="L491" s="182"/>
      <c r="M491" s="182"/>
      <c r="N491" s="182"/>
      <c r="O491" s="183"/>
      <c r="P491" s="183"/>
      <c r="Q491" s="183"/>
      <c r="R491" s="183"/>
      <c r="S491" s="183"/>
      <c r="T491" s="183"/>
      <c r="U491" s="183"/>
      <c r="V491" s="183"/>
      <c r="W491" s="183"/>
      <c r="X491" s="183"/>
      <c r="Y491" s="183"/>
      <c r="Z491" s="183"/>
      <c r="AA491" s="185"/>
      <c r="AB491" s="185"/>
      <c r="AC491" s="185"/>
      <c r="AD491" s="649"/>
      <c r="AE491" s="182"/>
      <c r="AF491" s="332"/>
      <c r="AG491" s="182"/>
      <c r="AH491" s="182"/>
      <c r="AI491" s="182"/>
      <c r="AJ491" s="640"/>
      <c r="AK491" s="182"/>
      <c r="AL491" s="496"/>
      <c r="AM491" s="496"/>
      <c r="AN491" s="626"/>
      <c r="AO491" s="182"/>
      <c r="AP491" s="182"/>
      <c r="AQ491" s="332" t="str">
        <f>UPPER(RIGHT(Journal_Live[[#This Row],[DURATION ]]))</f>
        <v/>
      </c>
      <c r="AR491" s="182"/>
      <c r="AS491" s="189"/>
      <c r="AT491" s="189"/>
      <c r="AU491" s="187"/>
      <c r="AV491" s="190"/>
      <c r="AW491" s="191"/>
      <c r="AX491" s="407" t="s">
        <v>2229</v>
      </c>
      <c r="AY491" s="407" t="s">
        <v>2230</v>
      </c>
      <c r="AZ491" s="407" t="s">
        <v>2231</v>
      </c>
      <c r="BA491" s="407" t="s">
        <v>2232</v>
      </c>
      <c r="BB491" s="407"/>
      <c r="BC491" s="407"/>
      <c r="BD491" s="407"/>
      <c r="BE491" s="407"/>
      <c r="BF491" s="422"/>
      <c r="BG491" s="391">
        <f>SUM($AV$4:AV491)</f>
        <v>2962.8454761904713</v>
      </c>
      <c r="BH491" s="392">
        <f>SUM($AU$134:AU491)</f>
        <v>3246.7299999999391</v>
      </c>
      <c r="BI491" s="318">
        <f>SUMIFS($AU$134:AU492,$Q$134:Q492,"F")</f>
        <v>-3014.8</v>
      </c>
      <c r="BJ491" s="318">
        <f>SUMIFS($AU$134:AU492,$Q$134:Q492,"S")</f>
        <v>6440.0899999999974</v>
      </c>
      <c r="BK491" s="343">
        <f>SUMIFS($AU$134:AU492,$P$134:P492,"W")</f>
        <v>4975.3899999999339</v>
      </c>
      <c r="BL491" s="343">
        <f>SUMIFS($AU$134:AU492,$P$134:P492,"R")</f>
        <v>-1728.6599999999976</v>
      </c>
      <c r="BM491" s="343">
        <f>SUMIFS($AU$134:AU492,$AQ$134:AQ492,"M")</f>
        <v>733.39999999997201</v>
      </c>
      <c r="BN491" s="343">
        <f>SUMIFS($AU$134:AU492,$AQ$134:AQ492,"H")</f>
        <v>2815.9000000000156</v>
      </c>
      <c r="BO491" s="343">
        <f>SUMIFS($AU$134:AU492,$AQ$134:AQ492,"D")</f>
        <v>329.68999999999983</v>
      </c>
      <c r="BP491" s="343">
        <f>SUMIFS($AU$134:AU494,$AQ$134:AQ494,"W")</f>
        <v>-1270.7</v>
      </c>
      <c r="BQ491" s="343">
        <f>SUMIFS($AU$134:AU492,$Q$134:Q492,"O")</f>
        <v>-377.76000000006229</v>
      </c>
      <c r="BR491" s="343">
        <f>SUMIFS($AU$134:AU492,$AA$134:AA492,"*")</f>
        <v>5919.7899999999645</v>
      </c>
      <c r="BS491" s="343">
        <f>SUMIFS($AU$134:AU492,$AB$134:AB492,"*")</f>
        <v>301.43999999997629</v>
      </c>
      <c r="BT491" s="343">
        <f>SUMIFS($AU$134:AU492,$AC$134:AC492,"*")</f>
        <v>-1301.650000000001</v>
      </c>
      <c r="BU491" s="343">
        <f>SUMIFS($AU$134:AU492,$AA$134:AA492,"*",$AB$134:AB492,"*")</f>
        <v>2.000000000005258</v>
      </c>
      <c r="BV491" s="343">
        <f>SUMIFS($AU$134:AU492,$AA$134:AA492,"*",$AC$134:AC492,"*")</f>
        <v>1647.4499999999994</v>
      </c>
      <c r="BW491" s="343">
        <f>SUMIFS($AU$134:AU492,$AB$134:AB492,"*",$AC$134:AC492,"*")</f>
        <v>446.6</v>
      </c>
      <c r="BX491" s="343">
        <f>SUMIFS($AU492:AU$1388,$Q492:Q$1388,"F")</f>
        <v>17455.466666666667</v>
      </c>
      <c r="BY491" s="343">
        <f>SUMIFS($AU492:AU$1388,$Q492:Q$1388,"S")</f>
        <v>14231.552000000001</v>
      </c>
      <c r="BZ491" s="343">
        <f>SUMIFS($AU492:AU$1388,$Q492:Q$1388,"O")</f>
        <v>-1271.097999999736</v>
      </c>
    </row>
    <row r="492" spans="1:78" ht="15.75" customHeight="1">
      <c r="A492" s="221" t="s">
        <v>2054</v>
      </c>
      <c r="B492" s="200">
        <v>45034</v>
      </c>
      <c r="C492" s="178" t="s">
        <v>682</v>
      </c>
      <c r="D492" s="178" t="s">
        <v>146</v>
      </c>
      <c r="E492" s="227"/>
      <c r="F492" s="180"/>
      <c r="G492" s="281" t="s">
        <v>576</v>
      </c>
      <c r="H492" s="182"/>
      <c r="I492" s="182"/>
      <c r="J492" s="182"/>
      <c r="K492" s="183"/>
      <c r="L492" s="182"/>
      <c r="M492" s="182"/>
      <c r="N492" s="182"/>
      <c r="O492" s="183" t="s">
        <v>95</v>
      </c>
      <c r="P492" s="183" t="s">
        <v>96</v>
      </c>
      <c r="Q492" s="183" t="s">
        <v>97</v>
      </c>
      <c r="R492" s="183">
        <v>3</v>
      </c>
      <c r="S492" s="183">
        <v>0</v>
      </c>
      <c r="T492" s="183">
        <v>3</v>
      </c>
      <c r="U492" s="183" t="s">
        <v>97</v>
      </c>
      <c r="V492" s="183"/>
      <c r="W492" s="183"/>
      <c r="X492" s="183"/>
      <c r="Y492" s="184">
        <f>IF(ISBLANK(O492),"",(IF(O492=UPPER("IB"),0.005,0.01)))</f>
        <v>0.01</v>
      </c>
      <c r="Z492" s="184">
        <f>IF(ISBLANK(O492),"",IF(O492="IB",8.63*200,IF(O492="IR",16*100,IF(O492="YT",20))))</f>
        <v>1600</v>
      </c>
      <c r="AA492" s="185" t="s">
        <v>980</v>
      </c>
      <c r="AB492" s="185" t="s">
        <v>2233</v>
      </c>
      <c r="AC492" s="185"/>
      <c r="AD492" s="649">
        <v>-0.04</v>
      </c>
      <c r="AE492" s="182"/>
      <c r="AF492" s="332"/>
      <c r="AG492" s="182"/>
      <c r="AH492" s="182"/>
      <c r="AI492" s="182"/>
      <c r="AJ492" s="640" t="s">
        <v>2234</v>
      </c>
      <c r="AK492" s="182"/>
      <c r="AL492" s="496">
        <f>-0.02*Z492</f>
        <v>-32</v>
      </c>
      <c r="AM492" s="496">
        <f>AL492*(R492-S492)</f>
        <v>-96</v>
      </c>
      <c r="AN492" s="626"/>
      <c r="AO492" s="182"/>
      <c r="AP492" s="182" t="s">
        <v>1700</v>
      </c>
      <c r="AQ492" s="332" t="str">
        <f>UPPER(RIGHT(Journal_Live[[#This Row],[DURATION ]]))</f>
        <v>H</v>
      </c>
      <c r="AR492" s="182" t="s">
        <v>2235</v>
      </c>
      <c r="AS492" s="189">
        <v>-0.04</v>
      </c>
      <c r="AT492" s="189">
        <f>IF(ISBLANK(AS492),,IF(U492="S",AD492-AS492,AS492-AD492))</f>
        <v>0</v>
      </c>
      <c r="AU492" s="187">
        <f>AV492*R492</f>
        <v>0</v>
      </c>
      <c r="AV492" s="190">
        <f>IF(ISBLANK(AS492),,(AT492*Z492))</f>
        <v>0</v>
      </c>
      <c r="AW492" s="191" t="s">
        <v>115</v>
      </c>
      <c r="AX492" s="407" t="s">
        <v>2236</v>
      </c>
      <c r="AY492" s="407" t="s">
        <v>2237</v>
      </c>
      <c r="AZ492" s="407"/>
      <c r="BA492" s="407"/>
      <c r="BB492" s="407"/>
      <c r="BC492" s="407"/>
      <c r="BD492" s="407"/>
      <c r="BE492" s="407"/>
      <c r="BF492" s="422"/>
      <c r="BG492" s="391">
        <f>SUM($AV$4:AV492)</f>
        <v>2962.8454761904713</v>
      </c>
      <c r="BH492" s="392">
        <f>SUM($AU$134:AU492)</f>
        <v>3246.7299999999391</v>
      </c>
      <c r="BI492" s="318">
        <f>SUMIFS($AU$134:AU493,$Q$134:Q493,"F")</f>
        <v>-3014.8</v>
      </c>
      <c r="BJ492" s="318">
        <f>SUMIFS($AU$134:AU493,$Q$134:Q493,"S")</f>
        <v>6568.0899999999974</v>
      </c>
      <c r="BK492" s="343">
        <f>SUMIFS($AU$134:AU493,$P$134:P493,"W")</f>
        <v>5103.3899999999339</v>
      </c>
      <c r="BL492" s="343">
        <f>SUMIFS($AU$134:AU493,$P$134:P493,"R")</f>
        <v>-1728.6599999999976</v>
      </c>
      <c r="BM492" s="343">
        <f>SUMIFS($AU$134:AU493,$AQ$134:AQ493,"M")</f>
        <v>733.39999999997201</v>
      </c>
      <c r="BN492" s="343">
        <f>SUMIFS($AU$134:AU493,$AQ$134:AQ493,"H")</f>
        <v>2943.9000000000156</v>
      </c>
      <c r="BO492" s="343">
        <f>SUMIFS($AU$134:AU493,$AQ$134:AQ493,"D")</f>
        <v>329.68999999999983</v>
      </c>
      <c r="BP492" s="343">
        <f>SUMIFS($AU$134:AU495,$AQ$134:AQ495,"W")</f>
        <v>-1270.7</v>
      </c>
      <c r="BQ492" s="343">
        <f>SUMIFS($AU$134:AU493,$Q$134:Q493,"O")</f>
        <v>-377.76000000006229</v>
      </c>
      <c r="BR492" s="343">
        <f>SUMIFS($AU$134:AU493,$AA$134:AA493,"*")</f>
        <v>6047.7899999999645</v>
      </c>
      <c r="BS492" s="343">
        <f>SUMIFS($AU$134:AU493,$AB$134:AB493,"*")</f>
        <v>301.43999999997629</v>
      </c>
      <c r="BT492" s="343">
        <f>SUMIFS($AU$134:AU493,$AC$134:AC493,"*")</f>
        <v>-1301.650000000001</v>
      </c>
      <c r="BU492" s="343">
        <f>SUMIFS($AU$134:AU493,$AA$134:AA493,"*",$AB$134:AB493,"*")</f>
        <v>2.000000000005258</v>
      </c>
      <c r="BV492" s="343">
        <f>SUMIFS($AU$134:AU493,$AA$134:AA493,"*",$AC$134:AC493,"*")</f>
        <v>1647.4499999999994</v>
      </c>
      <c r="BW492" s="343">
        <f>SUMIFS($AU$134:AU493,$AB$134:AB493,"*",$AC$134:AC493,"*")</f>
        <v>446.6</v>
      </c>
      <c r="BX492" s="343">
        <f>SUMIFS($AU493:AU$1388,$Q493:Q$1388,"F")</f>
        <v>17455.466666666667</v>
      </c>
      <c r="BY492" s="343">
        <f>SUMIFS($AU493:AU$1388,$Q493:Q$1388,"S")</f>
        <v>14231.552000000001</v>
      </c>
      <c r="BZ492" s="343">
        <f>SUMIFS($AU493:AU$1388,$Q493:Q$1388,"O")</f>
        <v>-1271.097999999736</v>
      </c>
    </row>
    <row r="493" spans="1:78" ht="15.75" customHeight="1">
      <c r="A493" s="221" t="s">
        <v>2054</v>
      </c>
      <c r="B493" s="200">
        <v>45034</v>
      </c>
      <c r="C493" s="178" t="s">
        <v>764</v>
      </c>
      <c r="D493" s="178" t="s">
        <v>146</v>
      </c>
      <c r="E493" s="227"/>
      <c r="F493" s="180"/>
      <c r="G493" s="281" t="s">
        <v>94</v>
      </c>
      <c r="H493" s="182"/>
      <c r="I493" s="182"/>
      <c r="J493" s="182"/>
      <c r="K493" s="183"/>
      <c r="L493" s="182"/>
      <c r="M493" s="182"/>
      <c r="N493" s="182"/>
      <c r="O493" s="183" t="s">
        <v>95</v>
      </c>
      <c r="P493" s="183" t="s">
        <v>96</v>
      </c>
      <c r="Q493" s="183" t="s">
        <v>97</v>
      </c>
      <c r="R493" s="183">
        <v>8</v>
      </c>
      <c r="S493" s="183">
        <v>0</v>
      </c>
      <c r="T493" s="183">
        <v>8</v>
      </c>
      <c r="U493" s="183" t="s">
        <v>97</v>
      </c>
      <c r="V493" s="183"/>
      <c r="W493" s="183"/>
      <c r="X493" s="183"/>
      <c r="Y493" s="184">
        <f>IF(ISBLANK(O493),"",(IF(O493=UPPER("IB"),0.005,0.01)))</f>
        <v>0.01</v>
      </c>
      <c r="Z493" s="184">
        <f>IF(ISBLANK(O493),"",IF(O493="IB",8.63*200,IF(O493="IR",16*100,IF(O493="YT",20))))</f>
        <v>1600</v>
      </c>
      <c r="AA493" s="185" t="s">
        <v>2222</v>
      </c>
      <c r="AB493" s="185"/>
      <c r="AC493" s="185"/>
      <c r="AD493" s="649">
        <v>-0.01</v>
      </c>
      <c r="AE493" s="182"/>
      <c r="AF493" s="332"/>
      <c r="AG493" s="182"/>
      <c r="AH493" s="182"/>
      <c r="AI493" s="182"/>
      <c r="AJ493" s="640"/>
      <c r="AK493" s="182"/>
      <c r="AL493" s="496">
        <f>-0.02*Z493</f>
        <v>-32</v>
      </c>
      <c r="AM493" s="496">
        <f>AL493*(R493-S493)</f>
        <v>-256</v>
      </c>
      <c r="AN493" s="626"/>
      <c r="AO493" s="182"/>
      <c r="AP493" s="182" t="s">
        <v>838</v>
      </c>
      <c r="AQ493" s="332" t="str">
        <f>UPPER(RIGHT(Journal_Live[[#This Row],[DURATION ]]))</f>
        <v>H</v>
      </c>
      <c r="AR493" s="182" t="s">
        <v>2238</v>
      </c>
      <c r="AS493" s="189">
        <f>((-0.02*5)+(-0.02*3))/8</f>
        <v>-0.02</v>
      </c>
      <c r="AT493" s="189">
        <f>IF(ISBLANK(AS493),,IF(U493="S",AD493-AS493,AS493-AD493))</f>
        <v>0.01</v>
      </c>
      <c r="AU493" s="187">
        <f>AV493*R493</f>
        <v>128</v>
      </c>
      <c r="AV493" s="190">
        <f>IF(ISBLANK(AS493),,(AT493*Z493))</f>
        <v>16</v>
      </c>
      <c r="AW493" s="191" t="s">
        <v>96</v>
      </c>
      <c r="AX493" s="407" t="s">
        <v>2239</v>
      </c>
      <c r="AY493" s="407"/>
      <c r="AZ493" s="407"/>
      <c r="BA493" s="407"/>
      <c r="BB493" s="407"/>
      <c r="BC493" s="407"/>
      <c r="BD493" s="407"/>
      <c r="BE493" s="407"/>
      <c r="BF493" s="422"/>
      <c r="BG493" s="391">
        <f>SUM($AV$4:AV493)</f>
        <v>2978.8454761904713</v>
      </c>
      <c r="BH493" s="392">
        <f>SUM($AU$134:AU493)</f>
        <v>3374.7299999999391</v>
      </c>
      <c r="BI493" s="318">
        <f>SUMIFS($AU$134:AU494,$Q$134:Q494,"F")</f>
        <v>-3014.8</v>
      </c>
      <c r="BJ493" s="318">
        <f>SUMIFS($AU$134:AU494,$Q$134:Q494,"S")</f>
        <v>6648.0899999999974</v>
      </c>
      <c r="BK493" s="343">
        <f>SUMIFS($AU$134:AU494,$P$134:P494,"W")</f>
        <v>5103.3899999999339</v>
      </c>
      <c r="BL493" s="343">
        <f>SUMIFS($AU$134:AU494,$P$134:P494,"R")</f>
        <v>-1648.6599999999976</v>
      </c>
      <c r="BM493" s="343">
        <f>SUMIFS($AU$134:AU494,$AQ$134:AQ494,"M")</f>
        <v>733.39999999997201</v>
      </c>
      <c r="BN493" s="343">
        <f>SUMIFS($AU$134:AU494,$AQ$134:AQ494,"H")</f>
        <v>2943.9000000000156</v>
      </c>
      <c r="BO493" s="343">
        <f>SUMIFS($AU$134:AU494,$AQ$134:AQ494,"D")</f>
        <v>409.68999999999983</v>
      </c>
      <c r="BP493" s="343">
        <f>SUMIFS($AU$134:AU496,$AQ$134:AQ496,"W")</f>
        <v>-1270.7</v>
      </c>
      <c r="BQ493" s="343">
        <f>SUMIFS($AU$134:AU494,$Q$134:Q494,"O")</f>
        <v>-377.76000000006229</v>
      </c>
      <c r="BR493" s="343">
        <f>SUMIFS($AU$134:AU494,$AA$134:AA494,"*")</f>
        <v>6047.7899999999645</v>
      </c>
      <c r="BS493" s="343">
        <f>SUMIFS($AU$134:AU494,$AB$134:AB494,"*")</f>
        <v>301.43999999997629</v>
      </c>
      <c r="BT493" s="343">
        <f>SUMIFS($AU$134:AU494,$AC$134:AC494,"*")</f>
        <v>-1221.650000000001</v>
      </c>
      <c r="BU493" s="343">
        <f>SUMIFS($AU$134:AU494,$AA$134:AA494,"*",$AB$134:AB494,"*")</f>
        <v>2.000000000005258</v>
      </c>
      <c r="BV493" s="343">
        <f>SUMIFS($AU$134:AU494,$AA$134:AA494,"*",$AC$134:AC494,"*")</f>
        <v>1647.4499999999994</v>
      </c>
      <c r="BW493" s="343">
        <f>SUMIFS($AU$134:AU494,$AB$134:AB494,"*",$AC$134:AC494,"*")</f>
        <v>446.6</v>
      </c>
      <c r="BX493" s="343">
        <f>SUMIFS($AU494:AU$1388,$Q494:Q$1388,"F")</f>
        <v>17455.466666666667</v>
      </c>
      <c r="BY493" s="343">
        <f>SUMIFS($AU494:AU$1388,$Q494:Q$1388,"S")</f>
        <v>14103.552</v>
      </c>
      <c r="BZ493" s="343">
        <f>SUMIFS($AU494:AU$1388,$Q494:Q$1388,"O")</f>
        <v>-1271.097999999736</v>
      </c>
    </row>
    <row r="494" spans="1:78" ht="15.75" customHeight="1">
      <c r="A494" s="221" t="s">
        <v>2054</v>
      </c>
      <c r="B494" s="200">
        <v>45034</v>
      </c>
      <c r="C494" s="178" t="s">
        <v>1508</v>
      </c>
      <c r="D494" s="178" t="s">
        <v>146</v>
      </c>
      <c r="E494" s="227"/>
      <c r="F494" s="180"/>
      <c r="G494" s="281" t="s">
        <v>2016</v>
      </c>
      <c r="H494" s="182"/>
      <c r="I494" s="182"/>
      <c r="J494" s="182"/>
      <c r="K494" s="183"/>
      <c r="L494" s="182"/>
      <c r="M494" s="182"/>
      <c r="N494" s="182"/>
      <c r="O494" s="183" t="s">
        <v>95</v>
      </c>
      <c r="P494" s="183" t="s">
        <v>137</v>
      </c>
      <c r="Q494" s="183" t="s">
        <v>97</v>
      </c>
      <c r="R494" s="183">
        <v>5</v>
      </c>
      <c r="S494" s="183">
        <v>0</v>
      </c>
      <c r="T494" s="183">
        <v>5</v>
      </c>
      <c r="U494" s="183" t="s">
        <v>97</v>
      </c>
      <c r="V494" s="183"/>
      <c r="W494" s="183"/>
      <c r="X494" s="183"/>
      <c r="Y494" s="184">
        <f>IF(ISBLANK(O494),"",(IF(O494=UPPER("IB"),0.005,0.01)))</f>
        <v>0.01</v>
      </c>
      <c r="Z494" s="184">
        <f>IF(ISBLANK(O494),"",IF(O494="IB",8.63*200,IF(O494="IR",16*100,IF(O494="YT",20))))</f>
        <v>1600</v>
      </c>
      <c r="AA494" s="185"/>
      <c r="AB494" s="185"/>
      <c r="AC494" s="185" t="s">
        <v>2217</v>
      </c>
      <c r="AD494" s="649">
        <v>-0.08</v>
      </c>
      <c r="AE494" s="182"/>
      <c r="AF494" s="332">
        <v>-7</v>
      </c>
      <c r="AG494" s="182" t="s">
        <v>2240</v>
      </c>
      <c r="AH494" s="182" t="s">
        <v>529</v>
      </c>
      <c r="AI494" s="182"/>
      <c r="AJ494" s="640"/>
      <c r="AK494" s="182"/>
      <c r="AL494" s="496">
        <f>-0.01*Z494</f>
        <v>-16</v>
      </c>
      <c r="AM494" s="496">
        <f>AL494*(R494-S494)</f>
        <v>-80</v>
      </c>
      <c r="AN494" s="626"/>
      <c r="AO494" s="182"/>
      <c r="AP494" s="182" t="s">
        <v>2241</v>
      </c>
      <c r="AQ494" s="332" t="str">
        <f>UPPER(RIGHT(Journal_Live[[#This Row],[DURATION ]]))</f>
        <v>D</v>
      </c>
      <c r="AR494" s="182" t="s">
        <v>2242</v>
      </c>
      <c r="AS494" s="189">
        <v>-0.09</v>
      </c>
      <c r="AT494" s="189">
        <f>IF(ISBLANK(AS494),,IF(U494="S",AD494-AS494,AS494-AD494))</f>
        <v>9.999999999999995E-3</v>
      </c>
      <c r="AU494" s="187">
        <f>AV494*R494</f>
        <v>79.999999999999972</v>
      </c>
      <c r="AV494" s="190">
        <f>IF(ISBLANK(AS494),,(AT494*Z494))</f>
        <v>15.999999999999993</v>
      </c>
      <c r="AW494" s="191" t="s">
        <v>96</v>
      </c>
      <c r="AX494" s="407"/>
      <c r="AY494" s="407"/>
      <c r="AZ494" s="407"/>
      <c r="BA494" s="407" t="s">
        <v>2243</v>
      </c>
      <c r="BB494" s="407" t="s">
        <v>2244</v>
      </c>
      <c r="BC494" s="407" t="s">
        <v>2245</v>
      </c>
      <c r="BD494" s="407"/>
      <c r="BE494" s="407"/>
      <c r="BF494" s="422"/>
      <c r="BG494" s="391">
        <f>SUM($AV$4:AV494)</f>
        <v>2994.8454761904713</v>
      </c>
      <c r="BH494" s="392">
        <f>SUM($AU$134:AU494)</f>
        <v>3454.7299999999391</v>
      </c>
      <c r="BI494" s="318">
        <f>SUMIFS($AU$134:AU495,$Q$134:Q495,"F")</f>
        <v>-3014.8</v>
      </c>
      <c r="BJ494" s="318">
        <f>SUMIFS($AU$134:AU495,$Q$134:Q495,"S")</f>
        <v>6648.0899999999974</v>
      </c>
      <c r="BK494" s="343">
        <f>SUMIFS($AU$134:AU495,$P$134:P495,"W")</f>
        <v>5103.3899999999339</v>
      </c>
      <c r="BL494" s="343">
        <f>SUMIFS($AU$134:AU495,$P$134:P495,"R")</f>
        <v>-1648.6599999999976</v>
      </c>
      <c r="BM494" s="343">
        <f>SUMIFS($AU$134:AU495,$AQ$134:AQ495,"M")</f>
        <v>733.39999999997201</v>
      </c>
      <c r="BN494" s="343">
        <f>SUMIFS($AU$134:AU495,$AQ$134:AQ495,"H")</f>
        <v>2943.9000000000156</v>
      </c>
      <c r="BO494" s="343">
        <f>SUMIFS($AU$134:AU495,$AQ$134:AQ495,"D")</f>
        <v>409.68999999999983</v>
      </c>
      <c r="BP494" s="343">
        <f>SUMIFS($AU$134:AU497,$AQ$134:AQ497,"W")</f>
        <v>-1270.7</v>
      </c>
      <c r="BQ494" s="343">
        <f>SUMIFS($AU$134:AU495,$Q$134:Q495,"O")</f>
        <v>-377.76000000006229</v>
      </c>
      <c r="BR494" s="343">
        <f>SUMIFS($AU$134:AU495,$AA$134:AA495,"*")</f>
        <v>6047.7899999999645</v>
      </c>
      <c r="BS494" s="343">
        <f>SUMIFS($AU$134:AU495,$AB$134:AB495,"*")</f>
        <v>301.43999999997629</v>
      </c>
      <c r="BT494" s="343">
        <f>SUMIFS($AU$134:AU495,$AC$134:AC495,"*")</f>
        <v>-1221.650000000001</v>
      </c>
      <c r="BU494" s="343">
        <f>SUMIFS($AU$134:AU495,$AA$134:AA495,"*",$AB$134:AB495,"*")</f>
        <v>2.000000000005258</v>
      </c>
      <c r="BV494" s="343">
        <f>SUMIFS($AU$134:AU495,$AA$134:AA495,"*",$AC$134:AC495,"*")</f>
        <v>1647.4499999999994</v>
      </c>
      <c r="BW494" s="343">
        <f>SUMIFS($AU$134:AU495,$AB$134:AB495,"*",$AC$134:AC495,"*")</f>
        <v>446.6</v>
      </c>
      <c r="BX494" s="343">
        <f>SUMIFS($AU495:AU$1388,$Q495:Q$1388,"F")</f>
        <v>17455.466666666667</v>
      </c>
      <c r="BY494" s="343">
        <f>SUMIFS($AU495:AU$1388,$Q495:Q$1388,"S")</f>
        <v>14023.552</v>
      </c>
      <c r="BZ494" s="343">
        <f>SUMIFS($AU495:AU$1388,$Q495:Q$1388,"O")</f>
        <v>-1271.097999999736</v>
      </c>
    </row>
    <row r="495" spans="1:78" ht="15.75" customHeight="1">
      <c r="A495" s="221" t="s">
        <v>2054</v>
      </c>
      <c r="B495" s="200">
        <v>45034</v>
      </c>
      <c r="C495" s="178" t="s">
        <v>2246</v>
      </c>
      <c r="D495" s="178" t="s">
        <v>146</v>
      </c>
      <c r="E495" s="227"/>
      <c r="F495" s="180"/>
      <c r="G495" s="281" t="s">
        <v>2145</v>
      </c>
      <c r="H495" s="182"/>
      <c r="I495" s="182"/>
      <c r="J495" s="182"/>
      <c r="K495" s="183"/>
      <c r="L495" s="182"/>
      <c r="M495" s="182"/>
      <c r="N495" s="182"/>
      <c r="O495" s="183" t="s">
        <v>95</v>
      </c>
      <c r="P495" s="183" t="s">
        <v>96</v>
      </c>
      <c r="Q495" s="183" t="s">
        <v>97</v>
      </c>
      <c r="R495" s="183">
        <v>7</v>
      </c>
      <c r="S495" s="183">
        <v>0</v>
      </c>
      <c r="T495" s="183">
        <v>7</v>
      </c>
      <c r="U495" s="183" t="s">
        <v>22</v>
      </c>
      <c r="V495" s="183"/>
      <c r="W495" s="183"/>
      <c r="X495" s="183"/>
      <c r="Y495" s="184">
        <f>IF(ISBLANK(O495),"",(IF(O495=UPPER("IB"),0.005,0.01)))</f>
        <v>0.01</v>
      </c>
      <c r="Z495" s="184">
        <f>IF(ISBLANK(O495),"",IF(O495="IB",8.63*200,IF(O495="IR",16*100,IF(O495="YT",20))))</f>
        <v>1600</v>
      </c>
      <c r="AA495" s="185"/>
      <c r="AB495" s="185" t="s">
        <v>2247</v>
      </c>
      <c r="AC495" s="185"/>
      <c r="AD495" s="649">
        <v>-0.06</v>
      </c>
      <c r="AE495" s="182"/>
      <c r="AF495" s="332"/>
      <c r="AG495" s="182"/>
      <c r="AH495" s="182"/>
      <c r="AI495" s="182"/>
      <c r="AJ495" s="640"/>
      <c r="AK495" s="182"/>
      <c r="AL495" s="496">
        <f>-0.015*Z495</f>
        <v>-24</v>
      </c>
      <c r="AM495" s="496">
        <f>AL495*(R495-S495)</f>
        <v>-168</v>
      </c>
      <c r="AN495" s="626"/>
      <c r="AO495" s="182"/>
      <c r="AP495" s="182" t="s">
        <v>804</v>
      </c>
      <c r="AQ495" s="332" t="str">
        <f>UPPER(RIGHT(Journal_Live[[#This Row],[DURATION ]]))</f>
        <v>D</v>
      </c>
      <c r="AR495" s="182" t="s">
        <v>2248</v>
      </c>
      <c r="AS495" s="189">
        <v>-0.06</v>
      </c>
      <c r="AT495" s="189">
        <f>IF(ISBLANK(AS495),,IF(U495="S",AD495-AS495,AS495-AD495))</f>
        <v>0</v>
      </c>
      <c r="AU495" s="187">
        <f>AV495*R495</f>
        <v>0</v>
      </c>
      <c r="AV495" s="190">
        <f>IF(ISBLANK(AS495),,(AT495*Z495))</f>
        <v>0</v>
      </c>
      <c r="AW495" s="191" t="s">
        <v>115</v>
      </c>
      <c r="AX495" s="407"/>
      <c r="AY495" s="407"/>
      <c r="AZ495" s="407"/>
      <c r="BA495" s="407" t="s">
        <v>2249</v>
      </c>
      <c r="BB495" s="407" t="s">
        <v>529</v>
      </c>
      <c r="BC495" s="407"/>
      <c r="BD495" s="407"/>
      <c r="BE495" s="407"/>
      <c r="BF495" s="422"/>
      <c r="BG495" s="391">
        <f>SUM($AV$4:AV495)</f>
        <v>2994.8454761904713</v>
      </c>
      <c r="BH495" s="392">
        <f>SUM($AU$134:AU495)</f>
        <v>3454.7299999999391</v>
      </c>
      <c r="BI495" s="318">
        <f>SUMIFS($AU$134:AU496,$Q$134:Q496,"F")</f>
        <v>-3014.8</v>
      </c>
      <c r="BJ495" s="318">
        <f>SUMIFS($AU$134:AU496,$Q$134:Q496,"S")</f>
        <v>6648.0899999999974</v>
      </c>
      <c r="BK495" s="343">
        <f>SUMIFS($AU$134:AU496,$P$134:P496,"W")</f>
        <v>5103.3899999999339</v>
      </c>
      <c r="BL495" s="343">
        <f>SUMIFS($AU$134:AU496,$P$134:P496,"R")</f>
        <v>-1648.6599999999976</v>
      </c>
      <c r="BM495" s="343">
        <f>SUMIFS($AU$134:AU496,$AQ$134:AQ496,"M")</f>
        <v>733.39999999997201</v>
      </c>
      <c r="BN495" s="343">
        <f>SUMIFS($AU$134:AU496,$AQ$134:AQ496,"H")</f>
        <v>2943.9000000000156</v>
      </c>
      <c r="BO495" s="343">
        <f>SUMIFS($AU$134:AU496,$AQ$134:AQ496,"D")</f>
        <v>409.68999999999983</v>
      </c>
      <c r="BP495" s="343">
        <f>SUMIFS($AU$134:AU498,$AQ$134:AQ498,"W")</f>
        <v>-1270.7</v>
      </c>
      <c r="BQ495" s="343">
        <f>SUMIFS($AU$134:AU496,$Q$134:Q496,"O")</f>
        <v>-377.76000000006229</v>
      </c>
      <c r="BR495" s="343">
        <f>SUMIFS($AU$134:AU496,$AA$134:AA496,"*")</f>
        <v>6047.7899999999645</v>
      </c>
      <c r="BS495" s="343">
        <f>SUMIFS($AU$134:AU496,$AB$134:AB496,"*")</f>
        <v>301.43999999997629</v>
      </c>
      <c r="BT495" s="343">
        <f>SUMIFS($AU$134:AU496,$AC$134:AC496,"*")</f>
        <v>-1221.650000000001</v>
      </c>
      <c r="BU495" s="343">
        <f>SUMIFS($AU$134:AU496,$AA$134:AA496,"*",$AB$134:AB496,"*")</f>
        <v>2.000000000005258</v>
      </c>
      <c r="BV495" s="343">
        <f>SUMIFS($AU$134:AU496,$AA$134:AA496,"*",$AC$134:AC496,"*")</f>
        <v>1647.4499999999994</v>
      </c>
      <c r="BW495" s="343">
        <f>SUMIFS($AU$134:AU496,$AB$134:AB496,"*",$AC$134:AC496,"*")</f>
        <v>446.6</v>
      </c>
      <c r="BX495" s="343">
        <f>SUMIFS($AU496:AU$1388,$Q496:Q$1388,"F")</f>
        <v>17455.466666666667</v>
      </c>
      <c r="BY495" s="343">
        <f>SUMIFS($AU496:AU$1388,$Q496:Q$1388,"S")</f>
        <v>14023.552</v>
      </c>
      <c r="BZ495" s="343">
        <f>SUMIFS($AU496:AU$1388,$Q496:Q$1388,"O")</f>
        <v>-1271.097999999736</v>
      </c>
    </row>
    <row r="496" spans="1:78" ht="15.75" customHeight="1">
      <c r="A496" s="177" t="s">
        <v>2054</v>
      </c>
      <c r="B496" s="200">
        <v>45035</v>
      </c>
      <c r="C496" s="178" t="s">
        <v>2250</v>
      </c>
      <c r="D496" s="178" t="s">
        <v>151</v>
      </c>
      <c r="E496" s="227" t="s">
        <v>2251</v>
      </c>
      <c r="F496" s="180" t="s">
        <v>2252</v>
      </c>
      <c r="G496" s="181"/>
      <c r="H496" s="182"/>
      <c r="I496" s="182"/>
      <c r="J496" s="182"/>
      <c r="K496" s="183"/>
      <c r="L496" s="182"/>
      <c r="M496" s="182"/>
      <c r="N496" s="182"/>
      <c r="O496" s="183"/>
      <c r="P496" s="183"/>
      <c r="Q496" s="183"/>
      <c r="R496" s="183"/>
      <c r="S496" s="183"/>
      <c r="T496" s="183"/>
      <c r="U496" s="183"/>
      <c r="V496" s="183"/>
      <c r="W496" s="183"/>
      <c r="X496" s="183"/>
      <c r="Y496" s="274"/>
      <c r="Z496" s="274"/>
      <c r="AA496" s="185"/>
      <c r="AB496" s="185"/>
      <c r="AC496" s="185"/>
      <c r="AD496" s="649"/>
      <c r="AE496" s="182"/>
      <c r="AF496" s="332"/>
      <c r="AG496" s="182"/>
      <c r="AH496" s="182"/>
      <c r="AI496" s="182"/>
      <c r="AJ496" s="640"/>
      <c r="AK496" s="182"/>
      <c r="AL496" s="496">
        <f t="shared" ref="AL496:AL500" si="202">-0.015*Z496</f>
        <v>0</v>
      </c>
      <c r="AM496" s="496">
        <f>AL496*(R496-S496)</f>
        <v>0</v>
      </c>
      <c r="AN496" s="626"/>
      <c r="AO496" s="182"/>
      <c r="AP496" s="182"/>
      <c r="AQ496" s="332" t="str">
        <f>UPPER(RIGHT(Journal_Live[[#This Row],[DURATION ]]))</f>
        <v/>
      </c>
      <c r="AR496" s="182"/>
      <c r="AS496" s="189"/>
      <c r="AT496" s="189"/>
      <c r="AU496" s="187"/>
      <c r="AV496" s="190"/>
      <c r="AW496" s="191"/>
      <c r="AX496" s="407"/>
      <c r="AY496" s="407"/>
      <c r="AZ496" s="407"/>
      <c r="BA496" s="407"/>
      <c r="BB496" s="407"/>
      <c r="BC496" s="407"/>
      <c r="BD496" s="407"/>
      <c r="BE496" s="407"/>
      <c r="BF496" s="422"/>
      <c r="BG496" s="391">
        <f>SUM($AV$4:AV496)</f>
        <v>2994.8454761904713</v>
      </c>
      <c r="BH496" s="392">
        <f>SUM($AU$134:AU496)</f>
        <v>3454.7299999999391</v>
      </c>
      <c r="BI496" s="318">
        <f>SUMIFS($AU$134:AU497,$Q$134:Q497,"F")</f>
        <v>-3014.8</v>
      </c>
      <c r="BJ496" s="318">
        <f>SUMIFS($AU$134:AU497,$Q$134:Q497,"S")</f>
        <v>6648.0899999999974</v>
      </c>
      <c r="BK496" s="343">
        <f>SUMIFS($AU$134:AU497,$P$134:P497,"W")</f>
        <v>5103.3899999999339</v>
      </c>
      <c r="BL496" s="343">
        <f>SUMIFS($AU$134:AU497,$P$134:P497,"R")</f>
        <v>-1648.6599999999976</v>
      </c>
      <c r="BM496" s="343">
        <f>SUMIFS($AU$134:AU497,$AQ$134:AQ497,"M")</f>
        <v>733.39999999997201</v>
      </c>
      <c r="BN496" s="343">
        <f>SUMIFS($AU$134:AU497,$AQ$134:AQ497,"H")</f>
        <v>2943.9000000000156</v>
      </c>
      <c r="BO496" s="343">
        <f>SUMIFS($AU$134:AU497,$AQ$134:AQ497,"D")</f>
        <v>409.68999999999983</v>
      </c>
      <c r="BP496" s="343">
        <f>SUMIFS($AU$134:AU499,$AQ$134:AQ499,"W")</f>
        <v>-1270.7</v>
      </c>
      <c r="BQ496" s="343">
        <f>SUMIFS($AU$134:AU497,$Q$134:Q497,"O")</f>
        <v>-377.76000000006229</v>
      </c>
      <c r="BR496" s="343">
        <f>SUMIFS($AU$134:AU497,$AA$134:AA497,"*")</f>
        <v>6047.7899999999645</v>
      </c>
      <c r="BS496" s="343">
        <f>SUMIFS($AU$134:AU497,$AB$134:AB497,"*")</f>
        <v>301.43999999997629</v>
      </c>
      <c r="BT496" s="343">
        <f>SUMIFS($AU$134:AU497,$AC$134:AC497,"*")</f>
        <v>-1221.650000000001</v>
      </c>
      <c r="BU496" s="343">
        <f>SUMIFS($AU$134:AU497,$AA$134:AA497,"*",$AB$134:AB497,"*")</f>
        <v>2.000000000005258</v>
      </c>
      <c r="BV496" s="343">
        <f>SUMIFS($AU$134:AU497,$AA$134:AA497,"*",$AC$134:AC497,"*")</f>
        <v>1647.4499999999994</v>
      </c>
      <c r="BW496" s="343">
        <f>SUMIFS($AU$134:AU497,$AB$134:AB497,"*",$AC$134:AC497,"*")</f>
        <v>446.6</v>
      </c>
      <c r="BX496" s="343">
        <f>SUMIFS($AU497:AU$1388,$Q497:Q$1388,"F")</f>
        <v>17455.466666666667</v>
      </c>
      <c r="BY496" s="343">
        <f>SUMIFS($AU497:AU$1388,$Q497:Q$1388,"S")</f>
        <v>14023.552</v>
      </c>
      <c r="BZ496" s="343">
        <f>SUMIFS($AU497:AU$1388,$Q497:Q$1388,"O")</f>
        <v>-1271.097999999736</v>
      </c>
    </row>
    <row r="497" spans="1:78" ht="15.75" customHeight="1">
      <c r="A497" s="177" t="s">
        <v>2054</v>
      </c>
      <c r="B497" s="200">
        <v>45035</v>
      </c>
      <c r="C497" s="178" t="s">
        <v>2253</v>
      </c>
      <c r="D497" s="178" t="s">
        <v>151</v>
      </c>
      <c r="E497" s="227" t="s">
        <v>2254</v>
      </c>
      <c r="F497" s="180" t="s">
        <v>2255</v>
      </c>
      <c r="G497" s="181"/>
      <c r="H497" s="182">
        <v>1</v>
      </c>
      <c r="I497" s="182"/>
      <c r="J497" s="182"/>
      <c r="K497" s="183" t="s">
        <v>372</v>
      </c>
      <c r="L497" s="182"/>
      <c r="M497" s="182"/>
      <c r="N497" s="182"/>
      <c r="O497" s="183"/>
      <c r="P497" s="183"/>
      <c r="Q497" s="183"/>
      <c r="R497" s="183"/>
      <c r="S497" s="183"/>
      <c r="T497" s="183"/>
      <c r="U497" s="183"/>
      <c r="V497" s="183"/>
      <c r="W497" s="183"/>
      <c r="X497" s="183"/>
      <c r="Y497" s="274"/>
      <c r="Z497" s="274"/>
      <c r="AA497" s="185"/>
      <c r="AB497" s="185"/>
      <c r="AC497" s="185"/>
      <c r="AD497" s="649"/>
      <c r="AE497" s="182"/>
      <c r="AF497" s="332"/>
      <c r="AG497" s="182"/>
      <c r="AH497" s="182"/>
      <c r="AI497" s="182"/>
      <c r="AJ497" s="640"/>
      <c r="AK497" s="182"/>
      <c r="AL497" s="496"/>
      <c r="AM497" s="496"/>
      <c r="AN497" s="626"/>
      <c r="AO497" s="182"/>
      <c r="AP497" s="182"/>
      <c r="AQ497" s="332" t="str">
        <f>UPPER(RIGHT(Journal_Live[[#This Row],[DURATION ]]))</f>
        <v/>
      </c>
      <c r="AR497" s="182"/>
      <c r="AS497" s="189"/>
      <c r="AT497" s="189"/>
      <c r="AU497" s="187"/>
      <c r="AV497" s="190"/>
      <c r="AW497" s="191"/>
      <c r="AX497" s="407"/>
      <c r="AY497" s="407"/>
      <c r="AZ497" s="407"/>
      <c r="BA497" s="407"/>
      <c r="BB497" s="407"/>
      <c r="BC497" s="407"/>
      <c r="BD497" s="407"/>
      <c r="BE497" s="407"/>
      <c r="BF497" s="422"/>
      <c r="BG497" s="391">
        <f>SUM($AV$4:AV497)</f>
        <v>2994.8454761904713</v>
      </c>
      <c r="BH497" s="392">
        <f>SUM($AU$134:AU497)</f>
        <v>3454.7299999999391</v>
      </c>
      <c r="BI497" s="318">
        <f>SUMIFS($AU$134:AU498,$Q$134:Q498,"F")</f>
        <v>-3014.8</v>
      </c>
      <c r="BJ497" s="318">
        <f>SUMIFS($AU$134:AU498,$Q$134:Q498,"S")</f>
        <v>6648.0899999999974</v>
      </c>
      <c r="BK497" s="343">
        <f>SUMIFS($AU$134:AU498,$P$134:P498,"W")</f>
        <v>5103.3899999999339</v>
      </c>
      <c r="BL497" s="343">
        <f>SUMIFS($AU$134:AU498,$P$134:P498,"R")</f>
        <v>-1648.6599999999976</v>
      </c>
      <c r="BM497" s="343">
        <f>SUMIFS($AU$134:AU498,$AQ$134:AQ498,"M")</f>
        <v>733.39999999997201</v>
      </c>
      <c r="BN497" s="343">
        <f>SUMIFS($AU$134:AU498,$AQ$134:AQ498,"H")</f>
        <v>2943.9000000000156</v>
      </c>
      <c r="BO497" s="343">
        <f>SUMIFS($AU$134:AU498,$AQ$134:AQ498,"D")</f>
        <v>409.68999999999983</v>
      </c>
      <c r="BP497" s="343">
        <f>SUMIFS($AU$134:AU500,$AQ$134:AQ500,"W")</f>
        <v>-1270.7</v>
      </c>
      <c r="BQ497" s="343">
        <f>SUMIFS($AU$134:AU498,$Q$134:Q498,"O")</f>
        <v>-377.76000000006229</v>
      </c>
      <c r="BR497" s="343">
        <f>SUMIFS($AU$134:AU498,$AA$134:AA498,"*")</f>
        <v>6047.7899999999645</v>
      </c>
      <c r="BS497" s="343">
        <f>SUMIFS($AU$134:AU498,$AB$134:AB498,"*")</f>
        <v>301.43999999997629</v>
      </c>
      <c r="BT497" s="343">
        <f>SUMIFS($AU$134:AU498,$AC$134:AC498,"*")</f>
        <v>-1221.650000000001</v>
      </c>
      <c r="BU497" s="343">
        <f>SUMIFS($AU$134:AU498,$AA$134:AA498,"*",$AB$134:AB498,"*")</f>
        <v>2.000000000005258</v>
      </c>
      <c r="BV497" s="343">
        <f>SUMIFS($AU$134:AU498,$AA$134:AA498,"*",$AC$134:AC498,"*")</f>
        <v>1647.4499999999994</v>
      </c>
      <c r="BW497" s="343">
        <f>SUMIFS($AU$134:AU498,$AB$134:AB498,"*",$AC$134:AC498,"*")</f>
        <v>446.6</v>
      </c>
      <c r="BX497" s="343">
        <f>SUMIFS($AU498:AU$1388,$Q498:Q$1388,"F")</f>
        <v>17455.466666666667</v>
      </c>
      <c r="BY497" s="343">
        <f>SUMIFS($AU498:AU$1388,$Q498:Q$1388,"S")</f>
        <v>14023.552</v>
      </c>
      <c r="BZ497" s="343">
        <f>SUMIFS($AU498:AU$1388,$Q498:Q$1388,"O")</f>
        <v>-1271.097999999736</v>
      </c>
    </row>
    <row r="498" spans="1:78" ht="15.75" customHeight="1">
      <c r="A498" s="177" t="s">
        <v>2054</v>
      </c>
      <c r="B498" s="200"/>
      <c r="C498" s="178"/>
      <c r="D498" s="178"/>
      <c r="E498" s="227" t="s">
        <v>2256</v>
      </c>
      <c r="F498" s="180" t="s">
        <v>2257</v>
      </c>
      <c r="G498" s="181"/>
      <c r="H498" s="182">
        <v>1</v>
      </c>
      <c r="I498" s="182"/>
      <c r="J498" s="182"/>
      <c r="K498" s="183" t="s">
        <v>372</v>
      </c>
      <c r="L498" s="182"/>
      <c r="M498" s="182"/>
      <c r="N498" s="182"/>
      <c r="O498" s="183"/>
      <c r="P498" s="183"/>
      <c r="Q498" s="183"/>
      <c r="R498" s="183"/>
      <c r="S498" s="183"/>
      <c r="T498" s="183"/>
      <c r="U498" s="183"/>
      <c r="V498" s="183"/>
      <c r="W498" s="183"/>
      <c r="X498" s="183"/>
      <c r="Y498" s="274"/>
      <c r="Z498" s="274"/>
      <c r="AA498" s="185"/>
      <c r="AB498" s="185"/>
      <c r="AC498" s="185"/>
      <c r="AD498" s="649"/>
      <c r="AE498" s="182"/>
      <c r="AF498" s="332"/>
      <c r="AG498" s="182"/>
      <c r="AH498" s="182"/>
      <c r="AI498" s="182"/>
      <c r="AJ498" s="640"/>
      <c r="AK498" s="182"/>
      <c r="AL498" s="496"/>
      <c r="AM498" s="496"/>
      <c r="AN498" s="626"/>
      <c r="AO498" s="182"/>
      <c r="AP498" s="182"/>
      <c r="AQ498" s="332" t="str">
        <f>UPPER(RIGHT(Journal_Live[[#This Row],[DURATION ]]))</f>
        <v/>
      </c>
      <c r="AR498" s="182"/>
      <c r="AS498" s="189"/>
      <c r="AT498" s="189"/>
      <c r="AU498" s="187"/>
      <c r="AV498" s="190"/>
      <c r="AW498" s="191"/>
      <c r="AX498" s="407"/>
      <c r="AY498" s="407"/>
      <c r="AZ498" s="407"/>
      <c r="BA498" s="407"/>
      <c r="BB498" s="407"/>
      <c r="BC498" s="407"/>
      <c r="BD498" s="407"/>
      <c r="BE498" s="407"/>
      <c r="BF498" s="422"/>
      <c r="BG498" s="391">
        <f>SUM($AV$4:AV498)</f>
        <v>2994.8454761904713</v>
      </c>
      <c r="BH498" s="392">
        <f>SUM($AU$134:AU498)</f>
        <v>3454.7299999999391</v>
      </c>
      <c r="BI498" s="318">
        <f>SUMIFS($AU$134:AU499,$Q$134:Q499,"F")</f>
        <v>-3014.8</v>
      </c>
      <c r="BJ498" s="318">
        <f>SUMIFS($AU$134:AU499,$Q$134:Q499,"S")</f>
        <v>6648.0899999999974</v>
      </c>
      <c r="BK498" s="343">
        <f>SUMIFS($AU$134:AU499,$P$134:P499,"W")</f>
        <v>5103.3899999999339</v>
      </c>
      <c r="BL498" s="343">
        <f>SUMIFS($AU$134:AU499,$P$134:P499,"R")</f>
        <v>-1648.6599999999976</v>
      </c>
      <c r="BM498" s="343">
        <f>SUMIFS($AU$134:AU499,$AQ$134:AQ499,"M")</f>
        <v>733.39999999997201</v>
      </c>
      <c r="BN498" s="343">
        <f>SUMIFS($AU$134:AU499,$AQ$134:AQ499,"H")</f>
        <v>2871.9000000000156</v>
      </c>
      <c r="BO498" s="343">
        <f>SUMIFS($AU$134:AU499,$AQ$134:AQ499,"D")</f>
        <v>409.68999999999983</v>
      </c>
      <c r="BP498" s="343">
        <f>SUMIFS($AU$134:AU501,$AQ$134:AQ501,"W")</f>
        <v>-1270.7</v>
      </c>
      <c r="BQ498" s="343">
        <f>SUMIFS($AU$134:AU499,$Q$134:Q499,"O")</f>
        <v>-377.76000000006229</v>
      </c>
      <c r="BR498" s="343">
        <f>SUMIFS($AU$134:AU499,$AA$134:AA499,"*")</f>
        <v>5975.7899999999645</v>
      </c>
      <c r="BS498" s="343">
        <f>SUMIFS($AU$134:AU499,$AB$134:AB499,"*")</f>
        <v>229.43999999997624</v>
      </c>
      <c r="BT498" s="343">
        <f>SUMIFS($AU$134:AU499,$AC$134:AC499,"*")</f>
        <v>-1221.650000000001</v>
      </c>
      <c r="BU498" s="343">
        <f>SUMIFS($AU$134:AU499,$AA$134:AA499,"*",$AB$134:AB499,"*")</f>
        <v>-69.999999999994799</v>
      </c>
      <c r="BV498" s="343">
        <f>SUMIFS($AU$134:AU499,$AA$134:AA499,"*",$AC$134:AC499,"*")</f>
        <v>1647.4499999999994</v>
      </c>
      <c r="BW498" s="343">
        <f>SUMIFS($AU$134:AU499,$AB$134:AB499,"*",$AC$134:AC499,"*")</f>
        <v>446.6</v>
      </c>
      <c r="BX498" s="343">
        <f>SUMIFS($AU499:AU$1388,$Q499:Q$1388,"F")</f>
        <v>17455.466666666667</v>
      </c>
      <c r="BY498" s="343">
        <f>SUMIFS($AU499:AU$1388,$Q499:Q$1388,"S")</f>
        <v>14023.552</v>
      </c>
      <c r="BZ498" s="343">
        <f>SUMIFS($AU499:AU$1388,$Q499:Q$1388,"O")</f>
        <v>-1271.097999999736</v>
      </c>
    </row>
    <row r="499" spans="1:78" ht="15.75" customHeight="1">
      <c r="A499" s="221" t="s">
        <v>2054</v>
      </c>
      <c r="B499" s="200">
        <v>45035</v>
      </c>
      <c r="C499" s="178" t="s">
        <v>2258</v>
      </c>
      <c r="D499" s="178" t="s">
        <v>151</v>
      </c>
      <c r="E499" s="227"/>
      <c r="F499" s="180"/>
      <c r="G499" s="281" t="s">
        <v>2259</v>
      </c>
      <c r="H499" s="182"/>
      <c r="I499" s="182"/>
      <c r="J499" s="182"/>
      <c r="K499" s="183"/>
      <c r="L499" s="182"/>
      <c r="M499" s="182"/>
      <c r="N499" s="182"/>
      <c r="O499" s="355" t="s">
        <v>2259</v>
      </c>
      <c r="P499" s="183" t="s">
        <v>2260</v>
      </c>
      <c r="Q499" s="183"/>
      <c r="R499" s="183">
        <v>1</v>
      </c>
      <c r="S499" s="183">
        <v>0</v>
      </c>
      <c r="T499" s="183">
        <v>1</v>
      </c>
      <c r="U499" s="183" t="s">
        <v>22</v>
      </c>
      <c r="V499" s="183"/>
      <c r="W499" s="183"/>
      <c r="X499" s="183"/>
      <c r="Y499" s="184">
        <f>IF(ISBLANK(O499),"",(IF(O499=UPPER("IB"),0.005,0.01)))</f>
        <v>0.01</v>
      </c>
      <c r="Z499" s="185">
        <f t="shared" ref="Z499:Z530" si="203">IF(ISBLANK(O499),"",IF(O499="IB",8.63*200,IF(O499="IR",16*100,IF(O499="YT",20*100,IF(O499="YT-XT",24*200,IF(O499="TED",80*100))))))</f>
        <v>4800</v>
      </c>
      <c r="AA499" s="185" t="s">
        <v>2261</v>
      </c>
      <c r="AB499" s="185" t="s">
        <v>529</v>
      </c>
      <c r="AC499" s="185"/>
      <c r="AD499" s="649">
        <v>0.375</v>
      </c>
      <c r="AE499" s="182"/>
      <c r="AF499" s="332"/>
      <c r="AG499" s="182"/>
      <c r="AH499" s="182"/>
      <c r="AI499" s="182"/>
      <c r="AJ499" s="640"/>
      <c r="AK499" s="182"/>
      <c r="AL499" s="496">
        <f t="shared" si="202"/>
        <v>-72</v>
      </c>
      <c r="AM499" s="496">
        <f>AL499*(R499-S499)</f>
        <v>-72</v>
      </c>
      <c r="AN499" s="626"/>
      <c r="AO499" s="182"/>
      <c r="AP499" s="182" t="s">
        <v>967</v>
      </c>
      <c r="AQ499" s="332" t="str">
        <f>UPPER(RIGHT(Journal_Live[[#This Row],[DURATION ]]))</f>
        <v>H</v>
      </c>
      <c r="AR499" s="182" t="s">
        <v>2262</v>
      </c>
      <c r="AS499" s="189">
        <v>0.36</v>
      </c>
      <c r="AT499" s="189">
        <f>IF(ISBLANK(AS499),,IF(U499="S",AD499-AS499,AS499-AD499))</f>
        <v>-1.5000000000000013E-2</v>
      </c>
      <c r="AU499" s="187">
        <f>AV499*R499</f>
        <v>-72.000000000000057</v>
      </c>
      <c r="AV499" s="190">
        <f>IF(ISBLANK(AS499),,(AT499*Z499))</f>
        <v>-72.000000000000057</v>
      </c>
      <c r="AW499" s="191" t="s">
        <v>229</v>
      </c>
      <c r="AX499" s="407" t="s">
        <v>2263</v>
      </c>
      <c r="AY499" s="407" t="s">
        <v>2264</v>
      </c>
      <c r="AZ499" s="407" t="s">
        <v>2265</v>
      </c>
      <c r="BA499" s="407" t="s">
        <v>2266</v>
      </c>
      <c r="BB499" s="407" t="s">
        <v>529</v>
      </c>
      <c r="BC499" s="407"/>
      <c r="BD499" s="407"/>
      <c r="BE499" s="407"/>
      <c r="BF499" s="422"/>
      <c r="BG499" s="391">
        <f>SUM($AV$4:AV499)</f>
        <v>2922.8454761904713</v>
      </c>
      <c r="BH499" s="392">
        <f>SUM($AU$134:AU499)</f>
        <v>3382.7299999999391</v>
      </c>
      <c r="BI499" s="318">
        <f>SUMIFS($AU$134:AU500,$Q$134:Q500,"F")</f>
        <v>-3014.8</v>
      </c>
      <c r="BJ499" s="318">
        <f>SUMIFS($AU$134:AU500,$Q$134:Q500,"S")</f>
        <v>6424.0899999999974</v>
      </c>
      <c r="BK499" s="343">
        <f>SUMIFS($AU$134:AU500,$P$134:P500,"W")</f>
        <v>4879.3899999999339</v>
      </c>
      <c r="BL499" s="343">
        <f>SUMIFS($AU$134:AU500,$P$134:P500,"R")</f>
        <v>-1648.6599999999976</v>
      </c>
      <c r="BM499" s="343">
        <f>SUMIFS($AU$134:AU500,$AQ$134:AQ500,"M")</f>
        <v>733.39999999997201</v>
      </c>
      <c r="BN499" s="343">
        <f>SUMIFS($AU$134:AU500,$AQ$134:AQ500,"H")</f>
        <v>2871.9000000000156</v>
      </c>
      <c r="BO499" s="343">
        <f>SUMIFS($AU$134:AU500,$AQ$134:AQ500,"D")</f>
        <v>185.68999999999977</v>
      </c>
      <c r="BP499" s="343">
        <f>SUMIFS($AU$134:AU502,$AQ$134:AQ502,"W")</f>
        <v>-1270.7</v>
      </c>
      <c r="BQ499" s="343">
        <f>SUMIFS($AU$134:AU500,$Q$134:Q500,"O")</f>
        <v>-377.76000000006229</v>
      </c>
      <c r="BR499" s="343">
        <f>SUMIFS($AU$134:AU500,$AA$134:AA500,"*")</f>
        <v>5751.7899999999645</v>
      </c>
      <c r="BS499" s="343">
        <f>SUMIFS($AU$134:AU500,$AB$134:AB500,"*")</f>
        <v>229.43999999997624</v>
      </c>
      <c r="BT499" s="343">
        <f>SUMIFS($AU$134:AU500,$AC$134:AC500,"*")</f>
        <v>-1445.650000000001</v>
      </c>
      <c r="BU499" s="343">
        <f>SUMIFS($AU$134:AU500,$AA$134:AA500,"*",$AB$134:AB500,"*")</f>
        <v>-69.999999999994799</v>
      </c>
      <c r="BV499" s="343">
        <f>SUMIFS($AU$134:AU500,$AA$134:AA500,"*",$AC$134:AC500,"*")</f>
        <v>1423.4499999999994</v>
      </c>
      <c r="BW499" s="343">
        <f>SUMIFS($AU$134:AU500,$AB$134:AB500,"*",$AC$134:AC500,"*")</f>
        <v>446.6</v>
      </c>
      <c r="BX499" s="343">
        <f>SUMIFS($AU500:AU$1388,$Q500:Q$1388,"F")</f>
        <v>17455.466666666667</v>
      </c>
      <c r="BY499" s="343">
        <f>SUMIFS($AU500:AU$1388,$Q500:Q$1388,"S")</f>
        <v>14023.552</v>
      </c>
      <c r="BZ499" s="343">
        <f>SUMIFS($AU500:AU$1388,$Q500:Q$1388,"O")</f>
        <v>-1271.097999999736</v>
      </c>
    </row>
    <row r="500" spans="1:78" ht="15.75" customHeight="1">
      <c r="A500" s="221" t="s">
        <v>2054</v>
      </c>
      <c r="B500" s="200">
        <v>45035</v>
      </c>
      <c r="C500" s="178" t="s">
        <v>2267</v>
      </c>
      <c r="D500" s="178" t="s">
        <v>151</v>
      </c>
      <c r="E500" s="227"/>
      <c r="F500" s="180"/>
      <c r="G500" s="281" t="s">
        <v>181</v>
      </c>
      <c r="H500" s="182"/>
      <c r="I500" s="182"/>
      <c r="J500" s="182"/>
      <c r="K500" s="183"/>
      <c r="L500" s="182"/>
      <c r="M500" s="182"/>
      <c r="N500" s="182"/>
      <c r="O500" s="183" t="s">
        <v>95</v>
      </c>
      <c r="P500" s="183" t="s">
        <v>96</v>
      </c>
      <c r="Q500" s="183" t="s">
        <v>97</v>
      </c>
      <c r="R500" s="183">
        <v>7</v>
      </c>
      <c r="S500" s="183">
        <v>0</v>
      </c>
      <c r="T500" s="183">
        <v>7</v>
      </c>
      <c r="U500" s="183" t="s">
        <v>22</v>
      </c>
      <c r="V500" s="183"/>
      <c r="W500" s="183"/>
      <c r="X500" s="183"/>
      <c r="Y500" s="184">
        <f>IF(ISBLANK(O500),"",(IF(O500=UPPER("IB"),0.005,0.01)))</f>
        <v>0.01</v>
      </c>
      <c r="Z500" s="185">
        <f t="shared" si="203"/>
        <v>1600</v>
      </c>
      <c r="AA500" s="185" t="s">
        <v>99</v>
      </c>
      <c r="AB500" s="185"/>
      <c r="AC500" s="185" t="s">
        <v>2268</v>
      </c>
      <c r="AD500" s="649">
        <v>-0.09</v>
      </c>
      <c r="AE500" s="182"/>
      <c r="AF500" s="332">
        <v>-10.5</v>
      </c>
      <c r="AG500" s="182" t="s">
        <v>2269</v>
      </c>
      <c r="AH500" s="182"/>
      <c r="AI500" s="182"/>
      <c r="AJ500" s="640"/>
      <c r="AK500" s="182"/>
      <c r="AL500" s="496">
        <f t="shared" si="202"/>
        <v>-24</v>
      </c>
      <c r="AM500" s="496">
        <f>AL500*(R500-S500)</f>
        <v>-168</v>
      </c>
      <c r="AN500" s="626"/>
      <c r="AO500" s="182"/>
      <c r="AP500" s="182" t="s">
        <v>1261</v>
      </c>
      <c r="AQ500" s="332" t="str">
        <f>UPPER(RIGHT(Journal_Live[[#This Row],[DURATION ]]))</f>
        <v>D</v>
      </c>
      <c r="AR500" s="182" t="s">
        <v>2270</v>
      </c>
      <c r="AS500" s="189">
        <v>-0.11</v>
      </c>
      <c r="AT500" s="189">
        <f>IF(ISBLANK(AS500),,IF(U500="S",AD500-AS500,AS500-AD500))</f>
        <v>-2.0000000000000004E-2</v>
      </c>
      <c r="AU500" s="187">
        <f>AV500*R500</f>
        <v>-224.00000000000006</v>
      </c>
      <c r="AV500" s="190">
        <f>IF(ISBLANK(AS500),,(AT500*Z500))</f>
        <v>-32.000000000000007</v>
      </c>
      <c r="AW500" s="191" t="s">
        <v>229</v>
      </c>
      <c r="AX500" s="407"/>
      <c r="AY500" s="407"/>
      <c r="AZ500" s="407"/>
      <c r="BA500" s="407"/>
      <c r="BB500" s="407" t="s">
        <v>529</v>
      </c>
      <c r="BC500" s="407"/>
      <c r="BD500" s="407"/>
      <c r="BE500" s="407"/>
      <c r="BF500" s="422"/>
      <c r="BG500" s="391">
        <f>SUM($AV$4:AV500)</f>
        <v>2890.8454761904713</v>
      </c>
      <c r="BH500" s="392">
        <f>SUM($AU$134:AU500)</f>
        <v>3158.7299999999391</v>
      </c>
      <c r="BI500" s="318">
        <f>SUMIFS($AU$134:AU501,$Q$134:Q501,"F")</f>
        <v>-3014.8</v>
      </c>
      <c r="BJ500" s="318">
        <f>SUMIFS($AU$134:AU501,$Q$134:Q501,"S")</f>
        <v>6424.0899999999974</v>
      </c>
      <c r="BK500" s="343">
        <f>SUMIFS($AU$134:AU501,$P$134:P501,"W")</f>
        <v>4879.3899999999339</v>
      </c>
      <c r="BL500" s="343">
        <f>SUMIFS($AU$134:AU501,$P$134:P501,"R")</f>
        <v>-1648.6599999999976</v>
      </c>
      <c r="BM500" s="343">
        <f>SUMIFS($AU$134:AU501,$AQ$134:AQ501,"M")</f>
        <v>733.39999999997201</v>
      </c>
      <c r="BN500" s="343">
        <f>SUMIFS($AU$134:AU501,$AQ$134:AQ501,"H")</f>
        <v>2871.9000000000156</v>
      </c>
      <c r="BO500" s="343">
        <f>SUMIFS($AU$134:AU501,$AQ$134:AQ501,"D")</f>
        <v>185.68999999999977</v>
      </c>
      <c r="BP500" s="343">
        <f>SUMIFS($AU$134:AU503,$AQ$134:AQ503,"W")</f>
        <v>-1270.7</v>
      </c>
      <c r="BQ500" s="343">
        <f>SUMIFS($AU$134:AU501,$Q$134:Q501,"O")</f>
        <v>-377.76000000006229</v>
      </c>
      <c r="BR500" s="343">
        <f>SUMIFS($AU$134:AU501,$AA$134:AA501,"*")</f>
        <v>5751.7899999999645</v>
      </c>
      <c r="BS500" s="343">
        <f>SUMIFS($AU$134:AU501,$AB$134:AB501,"*")</f>
        <v>229.43999999997624</v>
      </c>
      <c r="BT500" s="343">
        <f>SUMIFS($AU$134:AU501,$AC$134:AC501,"*")</f>
        <v>-1445.650000000001</v>
      </c>
      <c r="BU500" s="343">
        <f>SUMIFS($AU$134:AU501,$AA$134:AA501,"*",$AB$134:AB501,"*")</f>
        <v>-69.999999999994799</v>
      </c>
      <c r="BV500" s="343">
        <f>SUMIFS($AU$134:AU501,$AA$134:AA501,"*",$AC$134:AC501,"*")</f>
        <v>1423.4499999999994</v>
      </c>
      <c r="BW500" s="343">
        <f>SUMIFS($AU$134:AU501,$AB$134:AB501,"*",$AC$134:AC501,"*")</f>
        <v>446.6</v>
      </c>
      <c r="BX500" s="343">
        <f>SUMIFS($AU501:AU$1388,$Q501:Q$1388,"F")</f>
        <v>17455.466666666667</v>
      </c>
      <c r="BY500" s="343">
        <f>SUMIFS($AU501:AU$1388,$Q501:Q$1388,"S")</f>
        <v>14247.552000000001</v>
      </c>
      <c r="BZ500" s="343">
        <f>SUMIFS($AU501:AU$1388,$Q501:Q$1388,"O")</f>
        <v>-1271.097999999736</v>
      </c>
    </row>
    <row r="501" spans="1:78" ht="15.75" customHeight="1">
      <c r="A501" s="221" t="s">
        <v>2054</v>
      </c>
      <c r="B501" s="200">
        <v>45035</v>
      </c>
      <c r="C501" s="178" t="s">
        <v>2271</v>
      </c>
      <c r="D501" s="178" t="s">
        <v>151</v>
      </c>
      <c r="E501" s="227"/>
      <c r="F501" s="180"/>
      <c r="G501" s="356" t="s">
        <v>94</v>
      </c>
      <c r="H501" s="182"/>
      <c r="I501" s="182"/>
      <c r="J501" s="182"/>
      <c r="K501" s="183"/>
      <c r="L501" s="182"/>
      <c r="M501" s="182"/>
      <c r="N501" s="182"/>
      <c r="O501" s="183"/>
      <c r="P501" s="183"/>
      <c r="Q501" s="183"/>
      <c r="R501" s="183"/>
      <c r="S501" s="183"/>
      <c r="T501" s="183"/>
      <c r="U501" s="183"/>
      <c r="V501" s="183"/>
      <c r="W501" s="183"/>
      <c r="X501" s="183"/>
      <c r="Y501" s="184"/>
      <c r="Z501" s="185" t="str">
        <f t="shared" si="203"/>
        <v/>
      </c>
      <c r="AA501" s="185"/>
      <c r="AB501" s="185"/>
      <c r="AC501" s="185"/>
      <c r="AD501" s="649"/>
      <c r="AE501" s="182"/>
      <c r="AF501" s="332"/>
      <c r="AG501" s="182"/>
      <c r="AH501" s="182"/>
      <c r="AI501" s="182"/>
      <c r="AJ501" s="640"/>
      <c r="AK501" s="182"/>
      <c r="AL501" s="496"/>
      <c r="AM501" s="496"/>
      <c r="AN501" s="626"/>
      <c r="AO501" s="182"/>
      <c r="AP501" s="182"/>
      <c r="AQ501" s="332" t="str">
        <f>UPPER(RIGHT(Journal_Live[[#This Row],[DURATION ]]))</f>
        <v/>
      </c>
      <c r="AR501" s="182"/>
      <c r="AS501" s="189"/>
      <c r="AT501" s="189"/>
      <c r="AU501" s="187"/>
      <c r="AV501" s="190"/>
      <c r="AW501" s="191"/>
      <c r="AX501" s="407" t="s">
        <v>2272</v>
      </c>
      <c r="AY501" s="407" t="s">
        <v>2273</v>
      </c>
      <c r="AZ501" s="407" t="s">
        <v>529</v>
      </c>
      <c r="BA501" s="407"/>
      <c r="BB501" s="407"/>
      <c r="BC501" s="407"/>
      <c r="BD501" s="407"/>
      <c r="BE501" s="407"/>
      <c r="BF501" s="422"/>
      <c r="BG501" s="391">
        <f>SUM($AV$4:AV501)</f>
        <v>2890.8454761904713</v>
      </c>
      <c r="BH501" s="392">
        <f>SUM($AU$134:AU501)</f>
        <v>3158.7299999999391</v>
      </c>
      <c r="BI501" s="318">
        <f>SUMIFS($AU$134:AU502,$Q$134:Q502,"F")</f>
        <v>-3014.8</v>
      </c>
      <c r="BJ501" s="318">
        <f>SUMIFS($AU$134:AU502,$Q$134:Q502,"S")</f>
        <v>6424.0899999999974</v>
      </c>
      <c r="BK501" s="343">
        <f>SUMIFS($AU$134:AU502,$P$134:P502,"W")</f>
        <v>4879.3899999999339</v>
      </c>
      <c r="BL501" s="343">
        <f>SUMIFS($AU$134:AU502,$P$134:P502,"R")</f>
        <v>-1648.6599999999976</v>
      </c>
      <c r="BM501" s="343">
        <f>SUMIFS($AU$134:AU502,$AQ$134:AQ502,"M")</f>
        <v>733.39999999997201</v>
      </c>
      <c r="BN501" s="343">
        <f>SUMIFS($AU$134:AU502,$AQ$134:AQ502,"H")</f>
        <v>2871.9000000000156</v>
      </c>
      <c r="BO501" s="343">
        <f>SUMIFS($AU$134:AU502,$AQ$134:AQ502,"D")</f>
        <v>185.68999999999977</v>
      </c>
      <c r="BP501" s="343">
        <f>SUMIFS($AU$134:AU504,$AQ$134:AQ504,"W")</f>
        <v>-1270.7</v>
      </c>
      <c r="BQ501" s="343">
        <f>SUMIFS($AU$134:AU502,$Q$134:Q502,"O")</f>
        <v>-377.76000000006229</v>
      </c>
      <c r="BR501" s="343">
        <f>SUMIFS($AU$134:AU502,$AA$134:AA502,"*")</f>
        <v>5751.7899999999645</v>
      </c>
      <c r="BS501" s="343">
        <f>SUMIFS($AU$134:AU502,$AB$134:AB502,"*")</f>
        <v>229.43999999997624</v>
      </c>
      <c r="BT501" s="343">
        <f>SUMIFS($AU$134:AU502,$AC$134:AC502,"*")</f>
        <v>-1445.650000000001</v>
      </c>
      <c r="BU501" s="343">
        <f>SUMIFS($AU$134:AU502,$AA$134:AA502,"*",$AB$134:AB502,"*")</f>
        <v>-69.999999999994799</v>
      </c>
      <c r="BV501" s="343">
        <f>SUMIFS($AU$134:AU502,$AA$134:AA502,"*",$AC$134:AC502,"*")</f>
        <v>1423.4499999999994</v>
      </c>
      <c r="BW501" s="343">
        <f>SUMIFS($AU$134:AU502,$AB$134:AB502,"*",$AC$134:AC502,"*")</f>
        <v>446.6</v>
      </c>
      <c r="BX501" s="343">
        <f>SUMIFS($AU502:AU$1388,$Q502:Q$1388,"F")</f>
        <v>17455.466666666667</v>
      </c>
      <c r="BY501" s="343">
        <f>SUMIFS($AU502:AU$1388,$Q502:Q$1388,"S")</f>
        <v>14247.552000000001</v>
      </c>
      <c r="BZ501" s="343">
        <f>SUMIFS($AU502:AU$1388,$Q502:Q$1388,"O")</f>
        <v>-1271.097999999736</v>
      </c>
    </row>
    <row r="502" spans="1:78" ht="15.75" customHeight="1">
      <c r="A502" s="221" t="s">
        <v>2054</v>
      </c>
      <c r="B502" s="200">
        <v>45035</v>
      </c>
      <c r="C502" s="178" t="s">
        <v>1788</v>
      </c>
      <c r="D502" s="178" t="s">
        <v>151</v>
      </c>
      <c r="E502" s="227" t="s">
        <v>2274</v>
      </c>
      <c r="F502" s="180" t="s">
        <v>2275</v>
      </c>
      <c r="G502" s="181"/>
      <c r="H502" s="182"/>
      <c r="I502" s="182">
        <v>1</v>
      </c>
      <c r="J502" s="182"/>
      <c r="K502" s="183"/>
      <c r="L502" s="182"/>
      <c r="M502" s="182"/>
      <c r="N502" s="182"/>
      <c r="O502" s="183"/>
      <c r="P502" s="183"/>
      <c r="Q502" s="183"/>
      <c r="R502" s="183"/>
      <c r="S502" s="183"/>
      <c r="T502" s="183"/>
      <c r="U502" s="183"/>
      <c r="V502" s="183"/>
      <c r="W502" s="183"/>
      <c r="X502" s="183"/>
      <c r="Y502" s="183"/>
      <c r="Z502" s="185" t="str">
        <f t="shared" si="203"/>
        <v/>
      </c>
      <c r="AA502" s="185"/>
      <c r="AB502" s="185"/>
      <c r="AC502" s="185"/>
      <c r="AD502" s="649"/>
      <c r="AE502" s="182"/>
      <c r="AF502" s="332"/>
      <c r="AG502" s="182"/>
      <c r="AH502" s="182"/>
      <c r="AI502" s="182"/>
      <c r="AJ502" s="640"/>
      <c r="AK502" s="182"/>
      <c r="AL502" s="496"/>
      <c r="AM502" s="496"/>
      <c r="AN502" s="626"/>
      <c r="AO502" s="182"/>
      <c r="AP502" s="182"/>
      <c r="AQ502" s="332" t="str">
        <f>UPPER(RIGHT(Journal_Live[[#This Row],[DURATION ]]))</f>
        <v/>
      </c>
      <c r="AR502" s="182"/>
      <c r="AS502" s="189"/>
      <c r="AT502" s="189"/>
      <c r="AU502" s="187"/>
      <c r="AV502" s="190"/>
      <c r="AW502" s="191"/>
      <c r="AX502" s="407"/>
      <c r="AY502" s="407"/>
      <c r="AZ502" s="407"/>
      <c r="BA502" s="407"/>
      <c r="BB502" s="407"/>
      <c r="BC502" s="407"/>
      <c r="BD502" s="407"/>
      <c r="BE502" s="407"/>
      <c r="BF502" s="422"/>
      <c r="BG502" s="391">
        <f>SUM($AV$4:AV502)</f>
        <v>2890.8454761904713</v>
      </c>
      <c r="BH502" s="392">
        <f>SUM($AU$134:AU502)</f>
        <v>3158.7299999999391</v>
      </c>
      <c r="BI502" s="318">
        <f>SUMIFS($AU$134:AU503,$Q$134:Q503,"F")</f>
        <v>-3014.8</v>
      </c>
      <c r="BJ502" s="318">
        <f>SUMIFS($AU$134:AU503,$Q$134:Q503,"S")</f>
        <v>6424.0899999999974</v>
      </c>
      <c r="BK502" s="343">
        <f>SUMIFS($AU$134:AU503,$P$134:P503,"W")</f>
        <v>4879.3899999999339</v>
      </c>
      <c r="BL502" s="343">
        <f>SUMIFS($AU$134:AU503,$P$134:P503,"R")</f>
        <v>-1648.6599999999976</v>
      </c>
      <c r="BM502" s="343">
        <f>SUMIFS($AU$134:AU503,$AQ$134:AQ503,"M")</f>
        <v>733.39999999997201</v>
      </c>
      <c r="BN502" s="343">
        <f>SUMIFS($AU$134:AU503,$AQ$134:AQ503,"H")</f>
        <v>2871.9000000000156</v>
      </c>
      <c r="BO502" s="343">
        <f>SUMIFS($AU$134:AU503,$AQ$134:AQ503,"D")</f>
        <v>185.68999999999977</v>
      </c>
      <c r="BP502" s="343">
        <f>SUMIFS($AU$134:AU505,$AQ$134:AQ505,"W")</f>
        <v>-1270.7</v>
      </c>
      <c r="BQ502" s="343">
        <f>SUMIFS($AU$134:AU503,$Q$134:Q503,"O")</f>
        <v>-377.76000000006229</v>
      </c>
      <c r="BR502" s="343">
        <f>SUMIFS($AU$134:AU503,$AA$134:AA503,"*")</f>
        <v>5751.7899999999645</v>
      </c>
      <c r="BS502" s="343">
        <f>SUMIFS($AU$134:AU503,$AB$134:AB503,"*")</f>
        <v>229.43999999997624</v>
      </c>
      <c r="BT502" s="343">
        <f>SUMIFS($AU$134:AU503,$AC$134:AC503,"*")</f>
        <v>-1445.650000000001</v>
      </c>
      <c r="BU502" s="343">
        <f>SUMIFS($AU$134:AU503,$AA$134:AA503,"*",$AB$134:AB503,"*")</f>
        <v>-69.999999999994799</v>
      </c>
      <c r="BV502" s="343">
        <f>SUMIFS($AU$134:AU503,$AA$134:AA503,"*",$AC$134:AC503,"*")</f>
        <v>1423.4499999999994</v>
      </c>
      <c r="BW502" s="343">
        <f>SUMIFS($AU$134:AU503,$AB$134:AB503,"*",$AC$134:AC503,"*")</f>
        <v>446.6</v>
      </c>
      <c r="BX502" s="343">
        <f>SUMIFS($AU503:AU$1388,$Q503:Q$1388,"F")</f>
        <v>17455.466666666667</v>
      </c>
      <c r="BY502" s="343">
        <f>SUMIFS($AU503:AU$1388,$Q503:Q$1388,"S")</f>
        <v>14247.552000000001</v>
      </c>
      <c r="BZ502" s="343">
        <f>SUMIFS($AU503:AU$1388,$Q503:Q$1388,"O")</f>
        <v>-1271.097999999736</v>
      </c>
    </row>
    <row r="503" spans="1:78" ht="15.75" customHeight="1">
      <c r="A503" s="221" t="s">
        <v>2054</v>
      </c>
      <c r="B503" s="200"/>
      <c r="C503" s="178"/>
      <c r="D503" s="178"/>
      <c r="E503" s="227" t="s">
        <v>2276</v>
      </c>
      <c r="F503" s="180"/>
      <c r="G503" s="181"/>
      <c r="H503" s="182"/>
      <c r="I503" s="182">
        <v>1</v>
      </c>
      <c r="J503" s="182"/>
      <c r="K503" s="183"/>
      <c r="L503" s="182"/>
      <c r="M503" s="182"/>
      <c r="N503" s="182"/>
      <c r="O503" s="183"/>
      <c r="P503" s="183"/>
      <c r="Q503" s="183"/>
      <c r="R503" s="183"/>
      <c r="S503" s="183"/>
      <c r="T503" s="183"/>
      <c r="U503" s="183"/>
      <c r="V503" s="183"/>
      <c r="W503" s="183"/>
      <c r="X503" s="183"/>
      <c r="Y503" s="183"/>
      <c r="Z503" s="185" t="str">
        <f t="shared" si="203"/>
        <v/>
      </c>
      <c r="AA503" s="185"/>
      <c r="AB503" s="185"/>
      <c r="AC503" s="185"/>
      <c r="AD503" s="649"/>
      <c r="AE503" s="182"/>
      <c r="AF503" s="332"/>
      <c r="AG503" s="182"/>
      <c r="AH503" s="182"/>
      <c r="AI503" s="182"/>
      <c r="AJ503" s="640"/>
      <c r="AK503" s="182"/>
      <c r="AL503" s="496"/>
      <c r="AM503" s="496"/>
      <c r="AN503" s="626"/>
      <c r="AO503" s="182"/>
      <c r="AP503" s="182"/>
      <c r="AQ503" s="332" t="str">
        <f>UPPER(RIGHT(Journal_Live[[#This Row],[DURATION ]]))</f>
        <v/>
      </c>
      <c r="AR503" s="182"/>
      <c r="AS503" s="189"/>
      <c r="AT503" s="189"/>
      <c r="AU503" s="187"/>
      <c r="AV503" s="190"/>
      <c r="AW503" s="191"/>
      <c r="AX503" s="407"/>
      <c r="AY503" s="407"/>
      <c r="AZ503" s="407"/>
      <c r="BA503" s="407"/>
      <c r="BB503" s="407"/>
      <c r="BC503" s="407"/>
      <c r="BD503" s="407"/>
      <c r="BE503" s="407"/>
      <c r="BF503" s="422"/>
      <c r="BG503" s="391">
        <f>SUM($AV$4:AV503)</f>
        <v>2890.8454761904713</v>
      </c>
      <c r="BH503" s="392">
        <f>SUM($AU$134:AU503)</f>
        <v>3158.7299999999391</v>
      </c>
      <c r="BI503" s="318">
        <f>SUMIFS($AU$134:AU504,$Q$134:Q504,"F")</f>
        <v>-3014.8</v>
      </c>
      <c r="BJ503" s="318">
        <f>SUMIFS($AU$134:AU504,$Q$134:Q504,"S")</f>
        <v>6424.0899999999974</v>
      </c>
      <c r="BK503" s="343">
        <f>SUMIFS($AU$134:AU504,$P$134:P504,"W")</f>
        <v>4879.3899999999339</v>
      </c>
      <c r="BL503" s="343">
        <f>SUMIFS($AU$134:AU504,$P$134:P504,"R")</f>
        <v>-1648.6599999999976</v>
      </c>
      <c r="BM503" s="343">
        <f>SUMIFS($AU$134:AU504,$AQ$134:AQ504,"M")</f>
        <v>733.39999999997201</v>
      </c>
      <c r="BN503" s="343">
        <f>SUMIFS($AU$134:AU504,$AQ$134:AQ504,"H")</f>
        <v>2871.9000000000156</v>
      </c>
      <c r="BO503" s="343">
        <f>SUMIFS($AU$134:AU504,$AQ$134:AQ504,"D")</f>
        <v>185.68999999999977</v>
      </c>
      <c r="BP503" s="343">
        <f>SUMIFS($AU$134:AU506,$AQ$134:AQ506,"W")</f>
        <v>-1270.7</v>
      </c>
      <c r="BQ503" s="343">
        <f>SUMIFS($AU$134:AU504,$Q$134:Q504,"O")</f>
        <v>-377.76000000006229</v>
      </c>
      <c r="BR503" s="343">
        <f>SUMIFS($AU$134:AU504,$AA$134:AA504,"*")</f>
        <v>5751.7899999999645</v>
      </c>
      <c r="BS503" s="343">
        <f>SUMIFS($AU$134:AU504,$AB$134:AB504,"*")</f>
        <v>229.43999999997624</v>
      </c>
      <c r="BT503" s="343">
        <f>SUMIFS($AU$134:AU504,$AC$134:AC504,"*")</f>
        <v>-1445.650000000001</v>
      </c>
      <c r="BU503" s="343">
        <f>SUMIFS($AU$134:AU504,$AA$134:AA504,"*",$AB$134:AB504,"*")</f>
        <v>-69.999999999994799</v>
      </c>
      <c r="BV503" s="343">
        <f>SUMIFS($AU$134:AU504,$AA$134:AA504,"*",$AC$134:AC504,"*")</f>
        <v>1423.4499999999994</v>
      </c>
      <c r="BW503" s="343">
        <f>SUMIFS($AU$134:AU504,$AB$134:AB504,"*",$AC$134:AC504,"*")</f>
        <v>446.6</v>
      </c>
      <c r="BX503" s="343">
        <f>SUMIFS($AU504:AU$1388,$Q504:Q$1388,"F")</f>
        <v>17455.466666666667</v>
      </c>
      <c r="BY503" s="343">
        <f>SUMIFS($AU504:AU$1388,$Q504:Q$1388,"S")</f>
        <v>14247.552000000001</v>
      </c>
      <c r="BZ503" s="343">
        <f>SUMIFS($AU504:AU$1388,$Q504:Q$1388,"O")</f>
        <v>-1271.097999999736</v>
      </c>
    </row>
    <row r="504" spans="1:78" ht="15.75" customHeight="1">
      <c r="A504" s="221" t="s">
        <v>2054</v>
      </c>
      <c r="B504" s="200"/>
      <c r="C504" s="178"/>
      <c r="D504" s="178"/>
      <c r="E504" s="227" t="s">
        <v>2277</v>
      </c>
      <c r="F504" s="180"/>
      <c r="G504" s="181"/>
      <c r="H504" s="182"/>
      <c r="I504" s="182">
        <v>1</v>
      </c>
      <c r="J504" s="182"/>
      <c r="K504" s="183"/>
      <c r="L504" s="182"/>
      <c r="M504" s="182"/>
      <c r="N504" s="182"/>
      <c r="O504" s="183"/>
      <c r="P504" s="183"/>
      <c r="Q504" s="183"/>
      <c r="R504" s="183"/>
      <c r="S504" s="183"/>
      <c r="T504" s="183"/>
      <c r="U504" s="183"/>
      <c r="V504" s="183"/>
      <c r="W504" s="183"/>
      <c r="X504" s="183"/>
      <c r="Y504" s="183"/>
      <c r="Z504" s="185" t="str">
        <f t="shared" si="203"/>
        <v/>
      </c>
      <c r="AA504" s="185"/>
      <c r="AB504" s="185"/>
      <c r="AC504" s="185"/>
      <c r="AD504" s="649"/>
      <c r="AE504" s="182"/>
      <c r="AF504" s="332"/>
      <c r="AG504" s="182"/>
      <c r="AH504" s="182"/>
      <c r="AI504" s="182"/>
      <c r="AJ504" s="640"/>
      <c r="AK504" s="182"/>
      <c r="AL504" s="496"/>
      <c r="AM504" s="496"/>
      <c r="AN504" s="626"/>
      <c r="AO504" s="182"/>
      <c r="AP504" s="182"/>
      <c r="AQ504" s="332" t="str">
        <f>UPPER(RIGHT(Journal_Live[[#This Row],[DURATION ]]))</f>
        <v/>
      </c>
      <c r="AR504" s="182"/>
      <c r="AS504" s="189"/>
      <c r="AT504" s="189"/>
      <c r="AU504" s="187"/>
      <c r="AV504" s="190"/>
      <c r="AW504" s="191"/>
      <c r="AX504" s="407"/>
      <c r="AY504" s="407"/>
      <c r="AZ504" s="407"/>
      <c r="BA504" s="407"/>
      <c r="BB504" s="407"/>
      <c r="BC504" s="407"/>
      <c r="BD504" s="407"/>
      <c r="BE504" s="407"/>
      <c r="BF504" s="422"/>
      <c r="BG504" s="391">
        <f>SUM($AV$4:AV504)</f>
        <v>2890.8454761904713</v>
      </c>
      <c r="BH504" s="392">
        <f>SUM($AU$134:AU504)</f>
        <v>3158.7299999999391</v>
      </c>
      <c r="BI504" s="318">
        <f>SUMIFS($AU$134:AU505,$Q$134:Q505,"F")</f>
        <v>-3014.8</v>
      </c>
      <c r="BJ504" s="318">
        <f>SUMIFS($AU$134:AU505,$Q$134:Q505,"S")</f>
        <v>6712.0899999999974</v>
      </c>
      <c r="BK504" s="343">
        <f>SUMIFS($AU$134:AU505,$P$134:P505,"W")</f>
        <v>5167.3899999999339</v>
      </c>
      <c r="BL504" s="343">
        <f>SUMIFS($AU$134:AU505,$P$134:P505,"R")</f>
        <v>-1648.6599999999976</v>
      </c>
      <c r="BM504" s="343">
        <f>SUMIFS($AU$134:AU505,$AQ$134:AQ505,"M")</f>
        <v>733.39999999997201</v>
      </c>
      <c r="BN504" s="343">
        <f>SUMIFS($AU$134:AU505,$AQ$134:AQ505,"H")</f>
        <v>3159.9000000000156</v>
      </c>
      <c r="BO504" s="343">
        <f>SUMIFS($AU$134:AU505,$AQ$134:AQ505,"D")</f>
        <v>185.68999999999977</v>
      </c>
      <c r="BP504" s="343">
        <f>SUMIFS($AU$134:AU507,$AQ$134:AQ507,"W")</f>
        <v>-1270.7</v>
      </c>
      <c r="BQ504" s="343">
        <f>SUMIFS($AU$134:AU505,$Q$134:Q505,"O")</f>
        <v>-377.76000000006229</v>
      </c>
      <c r="BR504" s="343">
        <f>SUMIFS($AU$134:AU505,$AA$134:AA505,"*")</f>
        <v>5751.7899999999645</v>
      </c>
      <c r="BS504" s="343">
        <f>SUMIFS($AU$134:AU505,$AB$134:AB505,"*")</f>
        <v>517.43999999997618</v>
      </c>
      <c r="BT504" s="343">
        <f>SUMIFS($AU$134:AU505,$AC$134:AC505,"*")</f>
        <v>-1157.650000000001</v>
      </c>
      <c r="BU504" s="343">
        <f>SUMIFS($AU$134:AU505,$AA$134:AA505,"*",$AB$134:AB505,"*")</f>
        <v>-69.999999999994799</v>
      </c>
      <c r="BV504" s="343">
        <f>SUMIFS($AU$134:AU505,$AA$134:AA505,"*",$AC$134:AC505,"*")</f>
        <v>1423.4499999999994</v>
      </c>
      <c r="BW504" s="343">
        <f>SUMIFS($AU$134:AU505,$AB$134:AB505,"*",$AC$134:AC505,"*")</f>
        <v>734.6</v>
      </c>
      <c r="BX504" s="343">
        <f>SUMIFS($AU505:AU$1388,$Q505:Q$1388,"F")</f>
        <v>17455.466666666667</v>
      </c>
      <c r="BY504" s="343">
        <f>SUMIFS($AU505:AU$1388,$Q505:Q$1388,"S")</f>
        <v>14247.552000000001</v>
      </c>
      <c r="BZ504" s="343">
        <f>SUMIFS($AU505:AU$1388,$Q505:Q$1388,"O")</f>
        <v>-1271.097999999736</v>
      </c>
    </row>
    <row r="505" spans="1:78" ht="15.75" customHeight="1">
      <c r="A505" s="221" t="s">
        <v>2054</v>
      </c>
      <c r="B505" s="200">
        <v>45035</v>
      </c>
      <c r="C505" s="178" t="s">
        <v>2278</v>
      </c>
      <c r="D505" s="178" t="s">
        <v>151</v>
      </c>
      <c r="E505" s="227"/>
      <c r="F505" s="180"/>
      <c r="G505" s="281" t="s">
        <v>94</v>
      </c>
      <c r="H505" s="182"/>
      <c r="I505" s="182"/>
      <c r="J505" s="182"/>
      <c r="K505" s="183"/>
      <c r="L505" s="182"/>
      <c r="M505" s="182"/>
      <c r="N505" s="182"/>
      <c r="O505" s="183" t="s">
        <v>95</v>
      </c>
      <c r="P505" s="183" t="s">
        <v>96</v>
      </c>
      <c r="Q505" s="183" t="s">
        <v>97</v>
      </c>
      <c r="R505" s="183">
        <v>18</v>
      </c>
      <c r="S505" s="183">
        <v>0</v>
      </c>
      <c r="T505" s="183">
        <v>18</v>
      </c>
      <c r="U505" s="183" t="s">
        <v>97</v>
      </c>
      <c r="V505" s="183"/>
      <c r="W505" s="183"/>
      <c r="X505" s="183"/>
      <c r="Y505" s="184">
        <f>IF(ISBLANK(O505),"",(IF(O505=UPPER("IB"),0.005,0.01)))</f>
        <v>0.01</v>
      </c>
      <c r="Z505" s="185">
        <f t="shared" si="203"/>
        <v>1600</v>
      </c>
      <c r="AA505" s="185"/>
      <c r="AB505" s="185" t="s">
        <v>2233</v>
      </c>
      <c r="AC505" s="185" t="s">
        <v>1336</v>
      </c>
      <c r="AD505" s="649">
        <v>0.01</v>
      </c>
      <c r="AE505" s="182"/>
      <c r="AF505" s="332"/>
      <c r="AG505" s="182"/>
      <c r="AH505" s="182"/>
      <c r="AI505" s="182"/>
      <c r="AJ505" s="640"/>
      <c r="AK505" s="182"/>
      <c r="AL505" s="496">
        <f>-0.025*Z505</f>
        <v>-40</v>
      </c>
      <c r="AM505" s="496">
        <f>AL505*(R505-S505)</f>
        <v>-720</v>
      </c>
      <c r="AN505" s="626"/>
      <c r="AO505" s="182"/>
      <c r="AP505" s="182" t="s">
        <v>2004</v>
      </c>
      <c r="AQ505" s="332" t="str">
        <f>UPPER(RIGHT(Journal_Live[[#This Row],[DURATION ]]))</f>
        <v>H</v>
      </c>
      <c r="AR505" s="182" t="s">
        <v>2279</v>
      </c>
      <c r="AS505" s="189">
        <v>0</v>
      </c>
      <c r="AT505" s="189">
        <f>IF(ISBLANK(AS505),,IF(U505="S",AD505-AS505,AS505-AD505))</f>
        <v>0.01</v>
      </c>
      <c r="AU505" s="187">
        <f>AV505*R505</f>
        <v>288</v>
      </c>
      <c r="AV505" s="190">
        <f>IF(ISBLANK(AS505),,(AT505*Z505))</f>
        <v>16</v>
      </c>
      <c r="AW505" s="191" t="s">
        <v>96</v>
      </c>
      <c r="AX505" s="407"/>
      <c r="AY505" s="407"/>
      <c r="AZ505" s="407"/>
      <c r="BA505" s="407"/>
      <c r="BB505" s="407"/>
      <c r="BC505" s="407"/>
      <c r="BD505" s="407"/>
      <c r="BE505" s="407"/>
      <c r="BF505" s="422"/>
      <c r="BG505" s="391">
        <f>SUM($AV$4:AV505)</f>
        <v>2906.8454761904713</v>
      </c>
      <c r="BH505" s="392">
        <f>SUM($AU$134:AU505)</f>
        <v>3446.7299999999391</v>
      </c>
      <c r="BI505" s="318">
        <f>SUMIFS($AU$134:AU506,$Q$134:Q506,"F")</f>
        <v>-3014.8</v>
      </c>
      <c r="BJ505" s="318">
        <f>SUMIFS($AU$134:AU506,$Q$134:Q506,"S")</f>
        <v>6712.0899999999974</v>
      </c>
      <c r="BK505" s="343">
        <f>SUMIFS($AU$134:AU506,$P$134:P506,"W")</f>
        <v>5167.3899999999339</v>
      </c>
      <c r="BL505" s="343">
        <f>SUMIFS($AU$134:AU506,$P$134:P506,"R")</f>
        <v>-1648.6599999999976</v>
      </c>
      <c r="BM505" s="343">
        <f>SUMIFS($AU$134:AU506,$AQ$134:AQ506,"M")</f>
        <v>733.39999999997201</v>
      </c>
      <c r="BN505" s="343">
        <f>SUMIFS($AU$134:AU506,$AQ$134:AQ506,"H")</f>
        <v>3159.9000000000156</v>
      </c>
      <c r="BO505" s="343">
        <f>SUMIFS($AU$134:AU506,$AQ$134:AQ506,"D")</f>
        <v>185.68999999999977</v>
      </c>
      <c r="BP505" s="343">
        <f>SUMIFS($AU$134:AU508,$AQ$134:AQ508,"W")</f>
        <v>-1270.7</v>
      </c>
      <c r="BQ505" s="343">
        <f>SUMIFS($AU$134:AU506,$Q$134:Q506,"O")</f>
        <v>-377.76000000006229</v>
      </c>
      <c r="BR505" s="343">
        <f>SUMIFS($AU$134:AU506,$AA$134:AA506,"*")</f>
        <v>5751.7899999999645</v>
      </c>
      <c r="BS505" s="343">
        <f>SUMIFS($AU$134:AU506,$AB$134:AB506,"*")</f>
        <v>517.43999999997618</v>
      </c>
      <c r="BT505" s="343">
        <f>SUMIFS($AU$134:AU506,$AC$134:AC506,"*")</f>
        <v>-1157.650000000001</v>
      </c>
      <c r="BU505" s="343">
        <f>SUMIFS($AU$134:AU506,$AA$134:AA506,"*",$AB$134:AB506,"*")</f>
        <v>-69.999999999994799</v>
      </c>
      <c r="BV505" s="343">
        <f>SUMIFS($AU$134:AU506,$AA$134:AA506,"*",$AC$134:AC506,"*")</f>
        <v>1423.4499999999994</v>
      </c>
      <c r="BW505" s="343">
        <f>SUMIFS($AU$134:AU506,$AB$134:AB506,"*",$AC$134:AC506,"*")</f>
        <v>734.6</v>
      </c>
      <c r="BX505" s="343">
        <f>SUMIFS($AU506:AU$1388,$Q506:Q$1388,"F")</f>
        <v>17455.466666666667</v>
      </c>
      <c r="BY505" s="343">
        <f>SUMIFS($AU506:AU$1388,$Q506:Q$1388,"S")</f>
        <v>13959.552</v>
      </c>
      <c r="BZ505" s="343">
        <f>SUMIFS($AU506:AU$1388,$Q506:Q$1388,"O")</f>
        <v>-1271.097999999736</v>
      </c>
    </row>
    <row r="506" spans="1:78" ht="15.75" customHeight="1">
      <c r="A506" s="221" t="s">
        <v>2054</v>
      </c>
      <c r="B506" s="200">
        <v>45035</v>
      </c>
      <c r="C506" s="178" t="s">
        <v>2280</v>
      </c>
      <c r="D506" s="178" t="s">
        <v>151</v>
      </c>
      <c r="E506" s="227"/>
      <c r="F506" s="180"/>
      <c r="G506" s="356" t="s">
        <v>2145</v>
      </c>
      <c r="H506" s="182"/>
      <c r="I506" s="182"/>
      <c r="J506" s="182"/>
      <c r="K506" s="183"/>
      <c r="L506" s="182"/>
      <c r="M506" s="182"/>
      <c r="N506" s="182"/>
      <c r="O506" s="183"/>
      <c r="P506" s="183"/>
      <c r="Q506" s="183"/>
      <c r="R506" s="183"/>
      <c r="S506" s="183"/>
      <c r="T506" s="183"/>
      <c r="U506" s="183"/>
      <c r="V506" s="183"/>
      <c r="W506" s="183"/>
      <c r="X506" s="183"/>
      <c r="Y506" s="184" t="str">
        <f>IF(ISBLANK(O506),"",(IF(O506=UPPER("IB"),0.005,0.01)))</f>
        <v/>
      </c>
      <c r="Z506" s="185" t="str">
        <f t="shared" si="203"/>
        <v/>
      </c>
      <c r="AA506" s="185"/>
      <c r="AB506" s="185"/>
      <c r="AC506" s="185"/>
      <c r="AD506" s="649"/>
      <c r="AE506" s="182"/>
      <c r="AF506" s="332"/>
      <c r="AG506" s="182"/>
      <c r="AH506" s="182"/>
      <c r="AI506" s="182"/>
      <c r="AJ506" s="640"/>
      <c r="AK506" s="182"/>
      <c r="AL506" s="496"/>
      <c r="AM506" s="496"/>
      <c r="AN506" s="626"/>
      <c r="AO506" s="182"/>
      <c r="AP506" s="182"/>
      <c r="AQ506" s="332" t="str">
        <f>UPPER(RIGHT(Journal_Live[[#This Row],[DURATION ]]))</f>
        <v/>
      </c>
      <c r="AR506" s="182"/>
      <c r="AS506" s="189"/>
      <c r="AT506" s="189"/>
      <c r="AU506" s="187"/>
      <c r="AV506" s="190"/>
      <c r="AW506" s="191"/>
      <c r="AX506" s="407" t="s">
        <v>2281</v>
      </c>
      <c r="AY506" s="407"/>
      <c r="AZ506" s="407"/>
      <c r="BA506" s="407"/>
      <c r="BB506" s="407"/>
      <c r="BC506" s="407"/>
      <c r="BD506" s="407"/>
      <c r="BE506" s="407"/>
      <c r="BF506" s="422"/>
      <c r="BG506" s="391">
        <f>SUM($AV$4:AV506)</f>
        <v>2906.8454761904713</v>
      </c>
      <c r="BH506" s="392">
        <f>SUM($AU$134:AU506)</f>
        <v>3446.7299999999391</v>
      </c>
      <c r="BI506" s="318">
        <f>SUMIFS($AU$134:AU507,$Q$134:Q507,"F")</f>
        <v>-2758.8</v>
      </c>
      <c r="BJ506" s="318">
        <f>SUMIFS($AU$134:AU507,$Q$134:Q507,"S")</f>
        <v>6712.0899999999974</v>
      </c>
      <c r="BK506" s="343">
        <f>SUMIFS($AU$134:AU507,$P$134:P507,"W")</f>
        <v>5423.3899999999339</v>
      </c>
      <c r="BL506" s="343">
        <f>SUMIFS($AU$134:AU507,$P$134:P507,"R")</f>
        <v>-1648.6599999999976</v>
      </c>
      <c r="BM506" s="343">
        <f>SUMIFS($AU$134:AU507,$AQ$134:AQ507,"M")</f>
        <v>733.39999999997201</v>
      </c>
      <c r="BN506" s="343">
        <f>SUMIFS($AU$134:AU507,$AQ$134:AQ507,"H")</f>
        <v>3415.9000000000156</v>
      </c>
      <c r="BO506" s="343">
        <f>SUMIFS($AU$134:AU507,$AQ$134:AQ507,"D")</f>
        <v>185.68999999999977</v>
      </c>
      <c r="BP506" s="343">
        <f>SUMIFS($AU$134:AU509,$AQ$134:AQ509,"W")</f>
        <v>-1270.7</v>
      </c>
      <c r="BQ506" s="343">
        <f>SUMIFS($AU$134:AU507,$Q$134:Q507,"O")</f>
        <v>-377.76000000006229</v>
      </c>
      <c r="BR506" s="343">
        <f>SUMIFS($AU$134:AU507,$AA$134:AA507,"*")</f>
        <v>5751.7899999999645</v>
      </c>
      <c r="BS506" s="343">
        <f>SUMIFS($AU$134:AU507,$AB$134:AB507,"*")</f>
        <v>773.43999999997607</v>
      </c>
      <c r="BT506" s="343">
        <f>SUMIFS($AU$134:AU507,$AC$134:AC507,"*")</f>
        <v>-901.65000000000111</v>
      </c>
      <c r="BU506" s="343">
        <f>SUMIFS($AU$134:AU507,$AA$134:AA507,"*",$AB$134:AB507,"*")</f>
        <v>-69.999999999994799</v>
      </c>
      <c r="BV506" s="343">
        <f>SUMIFS($AU$134:AU507,$AA$134:AA507,"*",$AC$134:AC507,"*")</f>
        <v>1423.4499999999994</v>
      </c>
      <c r="BW506" s="343">
        <f>SUMIFS($AU$134:AU507,$AB$134:AB507,"*",$AC$134:AC507,"*")</f>
        <v>990.59999999999991</v>
      </c>
      <c r="BX506" s="343">
        <f>SUMIFS($AU507:AU$1388,$Q507:Q$1388,"F")</f>
        <v>17455.466666666667</v>
      </c>
      <c r="BY506" s="343">
        <f>SUMIFS($AU507:AU$1388,$Q507:Q$1388,"S")</f>
        <v>13959.552</v>
      </c>
      <c r="BZ506" s="343">
        <f>SUMIFS($AU507:AU$1388,$Q507:Q$1388,"O")</f>
        <v>-1271.097999999736</v>
      </c>
    </row>
    <row r="507" spans="1:78" ht="15.75" customHeight="1">
      <c r="A507" s="221" t="s">
        <v>2054</v>
      </c>
      <c r="B507" s="200">
        <v>45035</v>
      </c>
      <c r="C507" s="178" t="s">
        <v>2282</v>
      </c>
      <c r="D507" s="178" t="s">
        <v>151</v>
      </c>
      <c r="E507" s="227"/>
      <c r="F507" s="180"/>
      <c r="G507" s="281" t="s">
        <v>2283</v>
      </c>
      <c r="H507" s="182"/>
      <c r="I507" s="182"/>
      <c r="J507" s="182"/>
      <c r="K507" s="183"/>
      <c r="L507" s="182"/>
      <c r="M507" s="182"/>
      <c r="N507" s="182"/>
      <c r="O507" s="183" t="s">
        <v>95</v>
      </c>
      <c r="P507" s="183" t="s">
        <v>96</v>
      </c>
      <c r="Q507" s="183" t="s">
        <v>256</v>
      </c>
      <c r="R507" s="183">
        <v>16</v>
      </c>
      <c r="S507" s="183">
        <v>0</v>
      </c>
      <c r="T507" s="183">
        <v>16</v>
      </c>
      <c r="U507" s="183" t="s">
        <v>97</v>
      </c>
      <c r="V507" s="183"/>
      <c r="W507" s="183"/>
      <c r="X507" s="183"/>
      <c r="Y507" s="184">
        <f>IF(ISBLANK(O507),"",(IF(O507=UPPER("IB"),0.005,0.01)))</f>
        <v>0.01</v>
      </c>
      <c r="Z507" s="185">
        <f t="shared" si="203"/>
        <v>1600</v>
      </c>
      <c r="AA507" s="185"/>
      <c r="AB507" s="185" t="s">
        <v>2284</v>
      </c>
      <c r="AC507" s="185" t="s">
        <v>2285</v>
      </c>
      <c r="AD507" s="649">
        <v>0.06</v>
      </c>
      <c r="AE507" s="182"/>
      <c r="AF507" s="332">
        <v>8</v>
      </c>
      <c r="AG507" s="182" t="s">
        <v>2286</v>
      </c>
      <c r="AH507" s="182"/>
      <c r="AI507" s="182"/>
      <c r="AJ507" s="640"/>
      <c r="AK507" s="182"/>
      <c r="AL507" s="496">
        <f>-0.02*Z507</f>
        <v>-32</v>
      </c>
      <c r="AM507" s="496">
        <f>AL507*(R507-S507)</f>
        <v>-512</v>
      </c>
      <c r="AN507" s="626"/>
      <c r="AO507" s="182"/>
      <c r="AP507" s="182" t="s">
        <v>2287</v>
      </c>
      <c r="AQ507" s="332" t="str">
        <f>UPPER(RIGHT(Journal_Live[[#This Row],[DURATION ]]))</f>
        <v>H</v>
      </c>
      <c r="AR507" s="182" t="s">
        <v>2288</v>
      </c>
      <c r="AS507" s="189">
        <f>((0.05*8)+(0.05*4)+(0.05*4))/16</f>
        <v>0.05</v>
      </c>
      <c r="AT507" s="189">
        <f>IF(ISBLANK(AS507),,IF(U507="S",AD507-AS507,AS507-AD507))</f>
        <v>9.999999999999995E-3</v>
      </c>
      <c r="AU507" s="187">
        <f>AV507*R507</f>
        <v>255.99999999999989</v>
      </c>
      <c r="AV507" s="190">
        <f>IF(ISBLANK(AS507),,(AT507*Z507))</f>
        <v>15.999999999999993</v>
      </c>
      <c r="AW507" s="191" t="s">
        <v>96</v>
      </c>
      <c r="AX507" s="407" t="s">
        <v>2289</v>
      </c>
      <c r="AY507" s="407" t="s">
        <v>2290</v>
      </c>
      <c r="AZ507" s="407" t="s">
        <v>2291</v>
      </c>
      <c r="BA507" s="407"/>
      <c r="BB507" s="407"/>
      <c r="BC507" s="407"/>
      <c r="BD507" s="407"/>
      <c r="BE507" s="407"/>
      <c r="BF507" s="422"/>
      <c r="BG507" s="391">
        <f>SUM($AV$4:AV507)</f>
        <v>2922.8454761904713</v>
      </c>
      <c r="BH507" s="392">
        <f>SUM($AU$134:AU507)</f>
        <v>3702.7299999999391</v>
      </c>
      <c r="BI507" s="318">
        <f>SUMIFS($AU$134:AU508,$Q$134:Q508,"F")</f>
        <v>-2758.8</v>
      </c>
      <c r="BJ507" s="318">
        <f>SUMIFS($AU$134:AU508,$Q$134:Q508,"S")</f>
        <v>6648.0899999999974</v>
      </c>
      <c r="BK507" s="343">
        <f>SUMIFS($AU$134:AU508,$P$134:P508,"W")</f>
        <v>5359.3899999999339</v>
      </c>
      <c r="BL507" s="343">
        <f>SUMIFS($AU$134:AU508,$P$134:P508,"R")</f>
        <v>-1648.6599999999976</v>
      </c>
      <c r="BM507" s="343">
        <f>SUMIFS($AU$134:AU508,$AQ$134:AQ508,"M")</f>
        <v>733.39999999997201</v>
      </c>
      <c r="BN507" s="343">
        <f>SUMIFS($AU$134:AU508,$AQ$134:AQ508,"H")</f>
        <v>3415.9000000000156</v>
      </c>
      <c r="BO507" s="343">
        <f>SUMIFS($AU$134:AU508,$AQ$134:AQ508,"D")</f>
        <v>121.68999999999971</v>
      </c>
      <c r="BP507" s="343">
        <f>SUMIFS($AU$134:AU510,$AQ$134:AQ510,"W")</f>
        <v>-1270.7</v>
      </c>
      <c r="BQ507" s="343">
        <f>SUMIFS($AU$134:AU508,$Q$134:Q508,"O")</f>
        <v>-377.76000000006229</v>
      </c>
      <c r="BR507" s="343">
        <f>SUMIFS($AU$134:AU508,$AA$134:AA508,"*")</f>
        <v>5687.7899999999645</v>
      </c>
      <c r="BS507" s="343">
        <f>SUMIFS($AU$134:AU508,$AB$134:AB508,"*")</f>
        <v>709.43999999997595</v>
      </c>
      <c r="BT507" s="343">
        <f>SUMIFS($AU$134:AU508,$AC$134:AC508,"*")</f>
        <v>-965.65000000000123</v>
      </c>
      <c r="BU507" s="343">
        <f>SUMIFS($AU$134:AU508,$AA$134:AA508,"*",$AB$134:AB508,"*")</f>
        <v>-133.99999999999486</v>
      </c>
      <c r="BV507" s="343">
        <f>SUMIFS($AU$134:AU508,$AA$134:AA508,"*",$AC$134:AC508,"*")</f>
        <v>1359.4499999999994</v>
      </c>
      <c r="BW507" s="343">
        <f>SUMIFS($AU$134:AU508,$AB$134:AB508,"*",$AC$134:AC508,"*")</f>
        <v>926.59999999999991</v>
      </c>
      <c r="BX507" s="343">
        <f>SUMIFS($AU508:AU$1388,$Q508:Q$1388,"F")</f>
        <v>17199.466666666667</v>
      </c>
      <c r="BY507" s="343">
        <f>SUMIFS($AU508:AU$1388,$Q508:Q$1388,"S")</f>
        <v>13959.552</v>
      </c>
      <c r="BZ507" s="343">
        <f>SUMIFS($AU508:AU$1388,$Q508:Q$1388,"O")</f>
        <v>-1271.097999999736</v>
      </c>
    </row>
    <row r="508" spans="1:78" ht="15.75" customHeight="1">
      <c r="A508" s="221" t="s">
        <v>2054</v>
      </c>
      <c r="B508" s="200">
        <v>45035</v>
      </c>
      <c r="C508" s="178" t="s">
        <v>2292</v>
      </c>
      <c r="D508" s="178" t="s">
        <v>151</v>
      </c>
      <c r="E508" s="227"/>
      <c r="F508" s="180"/>
      <c r="G508" s="281" t="s">
        <v>181</v>
      </c>
      <c r="H508" s="182"/>
      <c r="I508" s="182"/>
      <c r="J508" s="182"/>
      <c r="K508" s="183"/>
      <c r="L508" s="182"/>
      <c r="M508" s="182"/>
      <c r="N508" s="182"/>
      <c r="O508" s="183" t="s">
        <v>95</v>
      </c>
      <c r="P508" s="183" t="s">
        <v>96</v>
      </c>
      <c r="Q508" s="183" t="s">
        <v>97</v>
      </c>
      <c r="R508" s="183">
        <v>10</v>
      </c>
      <c r="S508" s="183">
        <v>6</v>
      </c>
      <c r="T508" s="183">
        <v>10</v>
      </c>
      <c r="U508" s="183" t="s">
        <v>22</v>
      </c>
      <c r="V508" s="183"/>
      <c r="W508" s="183"/>
      <c r="X508" s="183"/>
      <c r="Y508" s="184">
        <f>IF(ISBLANK(O508),"",(IF(O508=UPPER("IB"),0.005,0.01)))</f>
        <v>0.01</v>
      </c>
      <c r="Z508" s="185">
        <f t="shared" si="203"/>
        <v>1600</v>
      </c>
      <c r="AA508" s="185" t="s">
        <v>99</v>
      </c>
      <c r="AB508" s="185" t="s">
        <v>2293</v>
      </c>
      <c r="AC508" s="185" t="s">
        <v>529</v>
      </c>
      <c r="AD508" s="649">
        <v>-0.1</v>
      </c>
      <c r="AE508" s="182"/>
      <c r="AF508" s="332">
        <v>-0.12</v>
      </c>
      <c r="AG508" s="182"/>
      <c r="AH508" s="182"/>
      <c r="AI508" s="182"/>
      <c r="AJ508" s="640"/>
      <c r="AK508" s="182"/>
      <c r="AL508" s="496">
        <f t="shared" ref="AL508" si="204">-0.025*Z508</f>
        <v>-40</v>
      </c>
      <c r="AM508" s="496">
        <f>AL508*(R508-S508)</f>
        <v>-160</v>
      </c>
      <c r="AN508" s="626"/>
      <c r="AO508" s="182"/>
      <c r="AP508" s="182" t="s">
        <v>864</v>
      </c>
      <c r="AQ508" s="332" t="str">
        <f>UPPER(RIGHT(Journal_Live[[#This Row],[DURATION ]]))</f>
        <v>D</v>
      </c>
      <c r="AR508" s="182" t="s">
        <v>2294</v>
      </c>
      <c r="AS508" s="189">
        <f>((-0.11*4)+(-0.1*6))/10</f>
        <v>-0.10400000000000001</v>
      </c>
      <c r="AT508" s="189">
        <f>IF(ISBLANK(AS508),,IF(U508="S",AD508-AS508,AS508-AD508))</f>
        <v>-4.0000000000000036E-3</v>
      </c>
      <c r="AU508" s="187">
        <f>AV508*R508</f>
        <v>-64.000000000000057</v>
      </c>
      <c r="AV508" s="190">
        <f>IF(ISBLANK(AS508),,(AT508*Z508))</f>
        <v>-6.4000000000000057</v>
      </c>
      <c r="AW508" s="191" t="s">
        <v>229</v>
      </c>
      <c r="AX508" s="407" t="s">
        <v>2295</v>
      </c>
      <c r="AY508" s="407" t="s">
        <v>2296</v>
      </c>
      <c r="AZ508" s="407"/>
      <c r="BA508" s="407"/>
      <c r="BB508" s="407"/>
      <c r="BC508" s="407"/>
      <c r="BD508" s="407"/>
      <c r="BE508" s="407"/>
      <c r="BF508" s="422"/>
      <c r="BG508" s="391">
        <f>SUM($AV$4:AV508)</f>
        <v>2916.4454761904713</v>
      </c>
      <c r="BH508" s="392">
        <f>SUM($AU$134:AU508)</f>
        <v>3638.7299999999391</v>
      </c>
      <c r="BI508" s="318">
        <f>SUMIFS($AU$134:AU509,$Q$134:Q509,"F")</f>
        <v>-2758.8</v>
      </c>
      <c r="BJ508" s="318">
        <f>SUMIFS($AU$134:AU509,$Q$134:Q509,"S")</f>
        <v>6648.0899999999974</v>
      </c>
      <c r="BK508" s="343">
        <f>SUMIFS($AU$134:AU509,$P$134:P509,"W")</f>
        <v>5359.3899999999339</v>
      </c>
      <c r="BL508" s="343">
        <f>SUMIFS($AU$134:AU509,$P$134:P509,"R")</f>
        <v>-1648.6599999999976</v>
      </c>
      <c r="BM508" s="343">
        <f>SUMIFS($AU$134:AU509,$AQ$134:AQ509,"M")</f>
        <v>733.39999999997201</v>
      </c>
      <c r="BN508" s="343">
        <f>SUMIFS($AU$134:AU509,$AQ$134:AQ509,"H")</f>
        <v>3415.9000000000156</v>
      </c>
      <c r="BO508" s="343">
        <f>SUMIFS($AU$134:AU509,$AQ$134:AQ509,"D")</f>
        <v>121.68999999999971</v>
      </c>
      <c r="BP508" s="343">
        <f>SUMIFS($AU$134:AU511,$AQ$134:AQ511,"W")</f>
        <v>-1270.7</v>
      </c>
      <c r="BQ508" s="343">
        <f>SUMIFS($AU$134:AU509,$Q$134:Q509,"O")</f>
        <v>-377.76000000006229</v>
      </c>
      <c r="BR508" s="343">
        <f>SUMIFS($AU$134:AU509,$AA$134:AA509,"*")</f>
        <v>5687.7899999999645</v>
      </c>
      <c r="BS508" s="343">
        <f>SUMIFS($AU$134:AU509,$AB$134:AB509,"*")</f>
        <v>709.43999999997595</v>
      </c>
      <c r="BT508" s="343">
        <f>SUMIFS($AU$134:AU509,$AC$134:AC509,"*")</f>
        <v>-965.65000000000123</v>
      </c>
      <c r="BU508" s="343">
        <f>SUMIFS($AU$134:AU509,$AA$134:AA509,"*",$AB$134:AB509,"*")</f>
        <v>-133.99999999999486</v>
      </c>
      <c r="BV508" s="343">
        <f>SUMIFS($AU$134:AU509,$AA$134:AA509,"*",$AC$134:AC509,"*")</f>
        <v>1359.4499999999994</v>
      </c>
      <c r="BW508" s="343">
        <f>SUMIFS($AU$134:AU509,$AB$134:AB509,"*",$AC$134:AC509,"*")</f>
        <v>926.59999999999991</v>
      </c>
      <c r="BX508" s="343">
        <f>SUMIFS($AU509:AU$1388,$Q509:Q$1388,"F")</f>
        <v>17199.466666666667</v>
      </c>
      <c r="BY508" s="343">
        <f>SUMIFS($AU509:AU$1388,$Q509:Q$1388,"S")</f>
        <v>14023.552</v>
      </c>
      <c r="BZ508" s="343">
        <f>SUMIFS($AU509:AU$1388,$Q509:Q$1388,"O")</f>
        <v>-1271.097999999736</v>
      </c>
    </row>
    <row r="509" spans="1:78" ht="15.75" customHeight="1">
      <c r="A509" s="221" t="s">
        <v>2054</v>
      </c>
      <c r="B509" s="200">
        <v>45036</v>
      </c>
      <c r="C509" s="178" t="s">
        <v>209</v>
      </c>
      <c r="D509" s="178" t="s">
        <v>2297</v>
      </c>
      <c r="E509" s="227" t="s">
        <v>2298</v>
      </c>
      <c r="F509" s="180"/>
      <c r="G509" s="181"/>
      <c r="H509" s="182"/>
      <c r="I509" s="182"/>
      <c r="J509" s="182">
        <v>1</v>
      </c>
      <c r="K509" s="183" t="s">
        <v>115</v>
      </c>
      <c r="L509" s="182"/>
      <c r="M509" s="182"/>
      <c r="N509" s="182"/>
      <c r="O509" s="183"/>
      <c r="P509" s="183"/>
      <c r="Q509" s="183"/>
      <c r="R509" s="183"/>
      <c r="S509" s="183"/>
      <c r="T509" s="183"/>
      <c r="U509" s="183"/>
      <c r="V509" s="183"/>
      <c r="W509" s="183"/>
      <c r="X509" s="183"/>
      <c r="Y509" s="183"/>
      <c r="Z509" s="185" t="str">
        <f t="shared" si="203"/>
        <v/>
      </c>
      <c r="AA509" s="185"/>
      <c r="AB509" s="185"/>
      <c r="AC509" s="185" t="s">
        <v>529</v>
      </c>
      <c r="AD509" s="649"/>
      <c r="AE509" s="182"/>
      <c r="AF509" s="332"/>
      <c r="AG509" s="182"/>
      <c r="AH509" s="182"/>
      <c r="AI509" s="182"/>
      <c r="AJ509" s="640"/>
      <c r="AK509" s="182"/>
      <c r="AL509" s="496"/>
      <c r="AM509" s="496"/>
      <c r="AN509" s="626"/>
      <c r="AO509" s="182"/>
      <c r="AP509" s="182"/>
      <c r="AQ509" s="332" t="str">
        <f>UPPER(RIGHT(Journal_Live[[#This Row],[DURATION ]]))</f>
        <v/>
      </c>
      <c r="AR509" s="182"/>
      <c r="AS509" s="189"/>
      <c r="AT509" s="189"/>
      <c r="AU509" s="187"/>
      <c r="AV509" s="190"/>
      <c r="AW509" s="191"/>
      <c r="AX509" s="407"/>
      <c r="AY509" s="407"/>
      <c r="AZ509" s="407"/>
      <c r="BA509" s="407"/>
      <c r="BB509" s="407"/>
      <c r="BC509" s="407"/>
      <c r="BD509" s="407"/>
      <c r="BE509" s="407"/>
      <c r="BF509" s="422"/>
      <c r="BG509" s="391">
        <f>SUM($AV$4:AV509)</f>
        <v>2916.4454761904713</v>
      </c>
      <c r="BH509" s="392">
        <f>SUM($AU$134:AU509)</f>
        <v>3638.7299999999391</v>
      </c>
      <c r="BI509" s="318">
        <f>SUMIFS($AU$134:AU510,$Q$134:Q510,"F")</f>
        <v>-2758.8</v>
      </c>
      <c r="BJ509" s="318">
        <f>SUMIFS($AU$134:AU510,$Q$134:Q510,"S")</f>
        <v>6648.0899999999974</v>
      </c>
      <c r="BK509" s="343">
        <f>SUMIFS($AU$134:AU510,$P$134:P510,"W")</f>
        <v>5359.3899999999339</v>
      </c>
      <c r="BL509" s="343">
        <f>SUMIFS($AU$134:AU510,$P$134:P510,"R")</f>
        <v>-1648.6599999999976</v>
      </c>
      <c r="BM509" s="343">
        <f>SUMIFS($AU$134:AU510,$AQ$134:AQ510,"M")</f>
        <v>733.39999999997201</v>
      </c>
      <c r="BN509" s="343">
        <f>SUMIFS($AU$134:AU510,$AQ$134:AQ510,"H")</f>
        <v>3415.9000000000156</v>
      </c>
      <c r="BO509" s="343">
        <f>SUMIFS($AU$134:AU510,$AQ$134:AQ510,"D")</f>
        <v>121.68999999999971</v>
      </c>
      <c r="BP509" s="343">
        <f>SUMIFS($AU$134:AU512,$AQ$134:AQ512,"W")</f>
        <v>-1270.7</v>
      </c>
      <c r="BQ509" s="343">
        <f>SUMIFS($AU$134:AU510,$Q$134:Q510,"O")</f>
        <v>-377.76000000006229</v>
      </c>
      <c r="BR509" s="343">
        <f>SUMIFS($AU$134:AU510,$AA$134:AA510,"*")</f>
        <v>5687.7899999999645</v>
      </c>
      <c r="BS509" s="343">
        <f>SUMIFS($AU$134:AU510,$AB$134:AB510,"*")</f>
        <v>709.43999999997595</v>
      </c>
      <c r="BT509" s="343">
        <f>SUMIFS($AU$134:AU510,$AC$134:AC510,"*")</f>
        <v>-965.65000000000123</v>
      </c>
      <c r="BU509" s="343">
        <f>SUMIFS($AU$134:AU510,$AA$134:AA510,"*",$AB$134:AB510,"*")</f>
        <v>-133.99999999999486</v>
      </c>
      <c r="BV509" s="343">
        <f>SUMIFS($AU$134:AU510,$AA$134:AA510,"*",$AC$134:AC510,"*")</f>
        <v>1359.4499999999994</v>
      </c>
      <c r="BW509" s="343">
        <f>SUMIFS($AU$134:AU510,$AB$134:AB510,"*",$AC$134:AC510,"*")</f>
        <v>926.59999999999991</v>
      </c>
      <c r="BX509" s="343">
        <f>SUMIFS($AU510:AU$1388,$Q510:Q$1388,"F")</f>
        <v>17199.466666666667</v>
      </c>
      <c r="BY509" s="343">
        <f>SUMIFS($AU510:AU$1388,$Q510:Q$1388,"S")</f>
        <v>14023.552</v>
      </c>
      <c r="BZ509" s="343">
        <f>SUMIFS($AU510:AU$1388,$Q510:Q$1388,"O")</f>
        <v>-1271.097999999736</v>
      </c>
    </row>
    <row r="510" spans="1:78" ht="15.75" customHeight="1">
      <c r="A510" s="221" t="s">
        <v>2054</v>
      </c>
      <c r="B510" s="200"/>
      <c r="C510" s="178"/>
      <c r="D510" s="178"/>
      <c r="E510" s="227" t="s">
        <v>2299</v>
      </c>
      <c r="F510" s="180" t="s">
        <v>2300</v>
      </c>
      <c r="G510" s="181"/>
      <c r="H510" s="182"/>
      <c r="I510" s="182"/>
      <c r="J510" s="182">
        <v>1</v>
      </c>
      <c r="K510" s="183" t="s">
        <v>115</v>
      </c>
      <c r="L510" s="182"/>
      <c r="M510" s="182"/>
      <c r="N510" s="182"/>
      <c r="O510" s="183"/>
      <c r="P510" s="183"/>
      <c r="Q510" s="183"/>
      <c r="R510" s="183"/>
      <c r="S510" s="183"/>
      <c r="T510" s="183"/>
      <c r="U510" s="183"/>
      <c r="V510" s="183"/>
      <c r="W510" s="183"/>
      <c r="X510" s="183"/>
      <c r="Y510" s="183"/>
      <c r="Z510" s="185" t="str">
        <f t="shared" si="203"/>
        <v/>
      </c>
      <c r="AA510" s="185"/>
      <c r="AB510" s="185"/>
      <c r="AC510" s="185"/>
      <c r="AD510" s="649"/>
      <c r="AE510" s="182"/>
      <c r="AF510" s="332"/>
      <c r="AG510" s="182"/>
      <c r="AH510" s="182"/>
      <c r="AI510" s="182"/>
      <c r="AJ510" s="640"/>
      <c r="AK510" s="182"/>
      <c r="AL510" s="496"/>
      <c r="AM510" s="496"/>
      <c r="AN510" s="626"/>
      <c r="AO510" s="182"/>
      <c r="AP510" s="182"/>
      <c r="AQ510" s="332" t="str">
        <f>UPPER(RIGHT(Journal_Live[[#This Row],[DURATION ]]))</f>
        <v/>
      </c>
      <c r="AR510" s="182"/>
      <c r="AS510" s="189"/>
      <c r="AT510" s="189"/>
      <c r="AU510" s="187"/>
      <c r="AV510" s="190"/>
      <c r="AW510" s="191"/>
      <c r="AX510" s="407"/>
      <c r="AY510" s="407"/>
      <c r="AZ510" s="407"/>
      <c r="BA510" s="407"/>
      <c r="BB510" s="407"/>
      <c r="BC510" s="407"/>
      <c r="BD510" s="407"/>
      <c r="BE510" s="407"/>
      <c r="BF510" s="422"/>
      <c r="BG510" s="391">
        <f>SUM($AV$4:AV510)</f>
        <v>2916.4454761904713</v>
      </c>
      <c r="BH510" s="392">
        <f>SUM($AU$134:AU510)</f>
        <v>3638.7299999999391</v>
      </c>
      <c r="BI510" s="318">
        <f>SUMIFS($AU$134:AU511,$Q$134:Q511,"F")</f>
        <v>-2758.8</v>
      </c>
      <c r="BJ510" s="318">
        <f>SUMIFS($AU$134:AU511,$Q$134:Q511,"S")</f>
        <v>6648.0899999999974</v>
      </c>
      <c r="BK510" s="343">
        <f>SUMIFS($AU$134:AU511,$P$134:P511,"W")</f>
        <v>5359.3899999999339</v>
      </c>
      <c r="BL510" s="343">
        <f>SUMIFS($AU$134:AU511,$P$134:P511,"R")</f>
        <v>-1648.6599999999976</v>
      </c>
      <c r="BM510" s="343">
        <f>SUMIFS($AU$134:AU511,$AQ$134:AQ511,"M")</f>
        <v>733.39999999997201</v>
      </c>
      <c r="BN510" s="343">
        <f>SUMIFS($AU$134:AU511,$AQ$134:AQ511,"H")</f>
        <v>3415.9000000000156</v>
      </c>
      <c r="BO510" s="343">
        <f>SUMIFS($AU$134:AU511,$AQ$134:AQ511,"D")</f>
        <v>121.68999999999971</v>
      </c>
      <c r="BP510" s="343">
        <f>SUMIFS($AU$134:AU513,$AQ$134:AQ513,"W")</f>
        <v>-1270.7</v>
      </c>
      <c r="BQ510" s="343">
        <f>SUMIFS($AU$134:AU511,$Q$134:Q511,"O")</f>
        <v>-377.76000000006229</v>
      </c>
      <c r="BR510" s="343">
        <f>SUMIFS($AU$134:AU511,$AA$134:AA511,"*")</f>
        <v>5687.7899999999645</v>
      </c>
      <c r="BS510" s="343">
        <f>SUMIFS($AU$134:AU511,$AB$134:AB511,"*")</f>
        <v>709.43999999997595</v>
      </c>
      <c r="BT510" s="343">
        <f>SUMIFS($AU$134:AU511,$AC$134:AC511,"*")</f>
        <v>-965.65000000000123</v>
      </c>
      <c r="BU510" s="343">
        <f>SUMIFS($AU$134:AU511,$AA$134:AA511,"*",$AB$134:AB511,"*")</f>
        <v>-133.99999999999486</v>
      </c>
      <c r="BV510" s="343">
        <f>SUMIFS($AU$134:AU511,$AA$134:AA511,"*",$AC$134:AC511,"*")</f>
        <v>1359.4499999999994</v>
      </c>
      <c r="BW510" s="343">
        <f>SUMIFS($AU$134:AU511,$AB$134:AB511,"*",$AC$134:AC511,"*")</f>
        <v>926.59999999999991</v>
      </c>
      <c r="BX510" s="343">
        <f>SUMIFS($AU511:AU$1388,$Q511:Q$1388,"F")</f>
        <v>17199.466666666667</v>
      </c>
      <c r="BY510" s="343">
        <f>SUMIFS($AU511:AU$1388,$Q511:Q$1388,"S")</f>
        <v>14023.552</v>
      </c>
      <c r="BZ510" s="343">
        <f>SUMIFS($AU511:AU$1388,$Q511:Q$1388,"O")</f>
        <v>-1271.097999999736</v>
      </c>
    </row>
    <row r="511" spans="1:78" ht="15.75" customHeight="1">
      <c r="A511" s="221" t="s">
        <v>2054</v>
      </c>
      <c r="B511" s="200">
        <v>45036</v>
      </c>
      <c r="C511" s="178" t="s">
        <v>611</v>
      </c>
      <c r="D511" s="178" t="s">
        <v>93</v>
      </c>
      <c r="E511" s="227" t="s">
        <v>2301</v>
      </c>
      <c r="F511" s="180"/>
      <c r="G511" s="181"/>
      <c r="H511" s="182"/>
      <c r="I511" s="182"/>
      <c r="J511" s="182"/>
      <c r="K511" s="183"/>
      <c r="L511" s="182"/>
      <c r="M511" s="182"/>
      <c r="N511" s="182"/>
      <c r="O511" s="183"/>
      <c r="P511" s="183"/>
      <c r="Q511" s="183"/>
      <c r="R511" s="183"/>
      <c r="S511" s="183"/>
      <c r="T511" s="183"/>
      <c r="U511" s="183"/>
      <c r="V511" s="183"/>
      <c r="W511" s="183"/>
      <c r="X511" s="183"/>
      <c r="Y511" s="183"/>
      <c r="Z511" s="185" t="str">
        <f t="shared" si="203"/>
        <v/>
      </c>
      <c r="AA511" s="185"/>
      <c r="AB511" s="185"/>
      <c r="AC511" s="185"/>
      <c r="AD511" s="649"/>
      <c r="AE511" s="182"/>
      <c r="AF511" s="332"/>
      <c r="AG511" s="182"/>
      <c r="AH511" s="182"/>
      <c r="AI511" s="182"/>
      <c r="AJ511" s="640"/>
      <c r="AK511" s="182"/>
      <c r="AL511" s="496"/>
      <c r="AM511" s="496"/>
      <c r="AN511" s="626"/>
      <c r="AO511" s="182"/>
      <c r="AP511" s="182"/>
      <c r="AQ511" s="332" t="str">
        <f>UPPER(RIGHT(Journal_Live[[#This Row],[DURATION ]]))</f>
        <v/>
      </c>
      <c r="AR511" s="182"/>
      <c r="AS511" s="189"/>
      <c r="AT511" s="189"/>
      <c r="AU511" s="187"/>
      <c r="AV511" s="190"/>
      <c r="AW511" s="191"/>
      <c r="AX511" s="407" t="s">
        <v>2302</v>
      </c>
      <c r="AY511" s="407" t="s">
        <v>529</v>
      </c>
      <c r="AZ511" s="407"/>
      <c r="BA511" s="407" t="s">
        <v>2303</v>
      </c>
      <c r="BB511" s="407" t="s">
        <v>2304</v>
      </c>
      <c r="BC511" s="407" t="s">
        <v>2305</v>
      </c>
      <c r="BD511" s="407" t="s">
        <v>529</v>
      </c>
      <c r="BE511" s="407"/>
      <c r="BF511" s="422"/>
      <c r="BG511" s="391">
        <f>SUM($AV$4:AV511)</f>
        <v>2916.4454761904713</v>
      </c>
      <c r="BH511" s="392">
        <f>SUM($AU$134:AU511)</f>
        <v>3638.7299999999391</v>
      </c>
      <c r="BI511" s="318">
        <f>SUMIFS($AU$134:AU512,$Q$134:Q512,"F")</f>
        <v>-2758.8</v>
      </c>
      <c r="BJ511" s="318">
        <f>SUMIFS($AU$134:AU512,$Q$134:Q512,"S")</f>
        <v>6536.0899999999974</v>
      </c>
      <c r="BK511" s="343">
        <f>SUMIFS($AU$134:AU512,$P$134:P512,"W")</f>
        <v>5247.3899999999339</v>
      </c>
      <c r="BL511" s="343">
        <f>SUMIFS($AU$134:AU512,$P$134:P512,"R")</f>
        <v>-1648.6599999999976</v>
      </c>
      <c r="BM511" s="343">
        <f>SUMIFS($AU$134:AU512,$AQ$134:AQ512,"M")</f>
        <v>733.39999999997201</v>
      </c>
      <c r="BN511" s="343">
        <f>SUMIFS($AU$134:AU512,$AQ$134:AQ512,"H")</f>
        <v>3415.9000000000156</v>
      </c>
      <c r="BO511" s="343">
        <f>SUMIFS($AU$134:AU512,$AQ$134:AQ512,"D")</f>
        <v>9.689999999999614</v>
      </c>
      <c r="BP511" s="343">
        <f>SUMIFS($AU$134:AU514,$AQ$134:AQ514,"W")</f>
        <v>-1270.7</v>
      </c>
      <c r="BQ511" s="343">
        <f>SUMIFS($AU$134:AU512,$Q$134:Q512,"O")</f>
        <v>-377.76000000006229</v>
      </c>
      <c r="BR511" s="343">
        <f>SUMIFS($AU$134:AU512,$AA$134:AA512,"*")</f>
        <v>5575.7899999999645</v>
      </c>
      <c r="BS511" s="343">
        <f>SUMIFS($AU$134:AU512,$AB$134:AB512,"*")</f>
        <v>597.43999999997584</v>
      </c>
      <c r="BT511" s="343">
        <f>SUMIFS($AU$134:AU512,$AC$134:AC512,"*")</f>
        <v>-965.65000000000123</v>
      </c>
      <c r="BU511" s="343">
        <f>SUMIFS($AU$134:AU512,$AA$134:AA512,"*",$AB$134:AB512,"*")</f>
        <v>-245.99999999999494</v>
      </c>
      <c r="BV511" s="343">
        <f>SUMIFS($AU$134:AU512,$AA$134:AA512,"*",$AC$134:AC512,"*")</f>
        <v>1359.4499999999994</v>
      </c>
      <c r="BW511" s="343">
        <f>SUMIFS($AU$134:AU512,$AB$134:AB512,"*",$AC$134:AC512,"*")</f>
        <v>926.59999999999991</v>
      </c>
      <c r="BX511" s="343">
        <f>SUMIFS($AU512:AU$1388,$Q512:Q$1388,"F")</f>
        <v>17199.466666666667</v>
      </c>
      <c r="BY511" s="343">
        <f>SUMIFS($AU512:AU$1388,$Q512:Q$1388,"S")</f>
        <v>14023.552</v>
      </c>
      <c r="BZ511" s="343">
        <f>SUMIFS($AU512:AU$1388,$Q512:Q$1388,"O")</f>
        <v>-1271.097999999736</v>
      </c>
    </row>
    <row r="512" spans="1:78" ht="15.75" customHeight="1">
      <c r="A512" s="221" t="s">
        <v>2054</v>
      </c>
      <c r="B512" s="200">
        <v>45036</v>
      </c>
      <c r="C512" s="178" t="s">
        <v>2306</v>
      </c>
      <c r="D512" s="178" t="s">
        <v>93</v>
      </c>
      <c r="E512" s="227"/>
      <c r="F512" s="180"/>
      <c r="G512" s="281" t="s">
        <v>2145</v>
      </c>
      <c r="H512" s="182"/>
      <c r="I512" s="182"/>
      <c r="J512" s="182"/>
      <c r="K512" s="183"/>
      <c r="L512" s="182"/>
      <c r="M512" s="182"/>
      <c r="N512" s="182"/>
      <c r="O512" s="183" t="s">
        <v>95</v>
      </c>
      <c r="P512" s="183" t="s">
        <v>96</v>
      </c>
      <c r="Q512" s="183" t="s">
        <v>97</v>
      </c>
      <c r="R512" s="183">
        <v>10</v>
      </c>
      <c r="S512" s="183">
        <v>7</v>
      </c>
      <c r="T512" s="183">
        <v>8</v>
      </c>
      <c r="U512" s="183" t="s">
        <v>22</v>
      </c>
      <c r="V512" s="183"/>
      <c r="W512" s="183"/>
      <c r="X512" s="183"/>
      <c r="Y512" s="184">
        <f>IF(ISBLANK(O512),"",(IF(O512=UPPER("IB"),0.005,0.01)))</f>
        <v>0.01</v>
      </c>
      <c r="Z512" s="185">
        <f t="shared" si="203"/>
        <v>1600</v>
      </c>
      <c r="AA512" s="185" t="s">
        <v>99</v>
      </c>
      <c r="AB512" s="185" t="s">
        <v>2247</v>
      </c>
      <c r="AC512" s="185"/>
      <c r="AD512" s="649">
        <v>-0.06</v>
      </c>
      <c r="AE512" s="182"/>
      <c r="AF512" s="332">
        <v>-9</v>
      </c>
      <c r="AG512" s="182"/>
      <c r="AH512" s="182"/>
      <c r="AI512" s="182"/>
      <c r="AJ512" s="640"/>
      <c r="AK512" s="182"/>
      <c r="AL512" s="496">
        <f t="shared" ref="AL512" si="205">-0.025*Z512</f>
        <v>-40</v>
      </c>
      <c r="AM512" s="496">
        <f>AL512*(R512-S512)</f>
        <v>-120</v>
      </c>
      <c r="AN512" s="626"/>
      <c r="AO512" s="182"/>
      <c r="AP512" s="182" t="s">
        <v>751</v>
      </c>
      <c r="AQ512" s="332" t="str">
        <f>UPPER(RIGHT(Journal_Live[[#This Row],[DURATION ]]))</f>
        <v>D</v>
      </c>
      <c r="AR512" s="182" t="s">
        <v>2307</v>
      </c>
      <c r="AS512" s="189">
        <f>((-0.05*5)+(-0.06*2)+(-0.1*3))/10</f>
        <v>-6.7000000000000004E-2</v>
      </c>
      <c r="AT512" s="189">
        <f>IF(ISBLANK(AS512),,IF(U512="S",AD512-AS512,AS512-AD512))</f>
        <v>-7.0000000000000062E-3</v>
      </c>
      <c r="AU512" s="187">
        <f>AV512*R512</f>
        <v>-112.0000000000001</v>
      </c>
      <c r="AV512" s="190">
        <f>IF(ISBLANK(AS512),,(AT512*Z512))</f>
        <v>-11.20000000000001</v>
      </c>
      <c r="AW512" s="191" t="s">
        <v>229</v>
      </c>
      <c r="AX512" s="407" t="s">
        <v>2308</v>
      </c>
      <c r="AY512" s="407"/>
      <c r="AZ512" s="407"/>
      <c r="BA512" s="407" t="s">
        <v>2309</v>
      </c>
      <c r="BB512" s="407" t="s">
        <v>2310</v>
      </c>
      <c r="BC512" s="407" t="s">
        <v>529</v>
      </c>
      <c r="BD512" s="407"/>
      <c r="BE512" s="407"/>
      <c r="BF512" s="422"/>
      <c r="BG512" s="391">
        <f>SUM($AV$4:AV512)</f>
        <v>2905.2454761904714</v>
      </c>
      <c r="BH512" s="392">
        <f>SUM($AU$134:AU512)</f>
        <v>3526.7299999999391</v>
      </c>
      <c r="BI512" s="318">
        <f>SUMIFS($AU$134:AU513,$Q$134:Q513,"F")</f>
        <v>-2758.8</v>
      </c>
      <c r="BJ512" s="318">
        <f>SUMIFS($AU$134:AU513,$Q$134:Q513,"S")</f>
        <v>6536.0899999999974</v>
      </c>
      <c r="BK512" s="343">
        <f>SUMIFS($AU$134:AU513,$P$134:P513,"W")</f>
        <v>5247.3899999999339</v>
      </c>
      <c r="BL512" s="343">
        <f>SUMIFS($AU$134:AU513,$P$134:P513,"R")</f>
        <v>-1648.6599999999976</v>
      </c>
      <c r="BM512" s="343">
        <f>SUMIFS($AU$134:AU513,$AQ$134:AQ513,"M")</f>
        <v>733.39999999997201</v>
      </c>
      <c r="BN512" s="343">
        <f>SUMIFS($AU$134:AU513,$AQ$134:AQ513,"H")</f>
        <v>3415.9000000000156</v>
      </c>
      <c r="BO512" s="343">
        <f>SUMIFS($AU$134:AU513,$AQ$134:AQ513,"D")</f>
        <v>9.689999999999614</v>
      </c>
      <c r="BP512" s="343">
        <f>SUMIFS($AU$134:AU515,$AQ$134:AQ515,"W")</f>
        <v>-1270.7</v>
      </c>
      <c r="BQ512" s="343">
        <f>SUMIFS($AU$134:AU513,$Q$134:Q513,"O")</f>
        <v>-377.76000000006229</v>
      </c>
      <c r="BR512" s="343">
        <f>SUMIFS($AU$134:AU513,$AA$134:AA513,"*")</f>
        <v>5575.7899999999645</v>
      </c>
      <c r="BS512" s="343">
        <f>SUMIFS($AU$134:AU513,$AB$134:AB513,"*")</f>
        <v>597.43999999997584</v>
      </c>
      <c r="BT512" s="343">
        <f>SUMIFS($AU$134:AU513,$AC$134:AC513,"*")</f>
        <v>-965.65000000000123</v>
      </c>
      <c r="BU512" s="343">
        <f>SUMIFS($AU$134:AU513,$AA$134:AA513,"*",$AB$134:AB513,"*")</f>
        <v>-245.99999999999494</v>
      </c>
      <c r="BV512" s="343">
        <f>SUMIFS($AU$134:AU513,$AA$134:AA513,"*",$AC$134:AC513,"*")</f>
        <v>1359.4499999999994</v>
      </c>
      <c r="BW512" s="343">
        <f>SUMIFS($AU$134:AU513,$AB$134:AB513,"*",$AC$134:AC513,"*")</f>
        <v>926.59999999999991</v>
      </c>
      <c r="BX512" s="343">
        <f>SUMIFS($AU513:AU$1388,$Q513:Q$1388,"F")</f>
        <v>17199.466666666667</v>
      </c>
      <c r="BY512" s="343">
        <f>SUMIFS($AU513:AU$1388,$Q513:Q$1388,"S")</f>
        <v>14135.552</v>
      </c>
      <c r="BZ512" s="343">
        <f>SUMIFS($AU513:AU$1388,$Q513:Q$1388,"O")</f>
        <v>-1271.097999999736</v>
      </c>
    </row>
    <row r="513" spans="1:78" ht="15.75" customHeight="1">
      <c r="A513" s="221" t="s">
        <v>2054</v>
      </c>
      <c r="B513" s="200">
        <v>45036</v>
      </c>
      <c r="C513" s="178" t="s">
        <v>2238</v>
      </c>
      <c r="D513" s="178" t="s">
        <v>93</v>
      </c>
      <c r="E513" s="227" t="s">
        <v>2311</v>
      </c>
      <c r="F513" s="180" t="s">
        <v>2312</v>
      </c>
      <c r="G513" s="181"/>
      <c r="H513" s="182"/>
      <c r="I513" s="182"/>
      <c r="J513" s="182"/>
      <c r="K513" s="183" t="s">
        <v>372</v>
      </c>
      <c r="L513" s="182"/>
      <c r="M513" s="182"/>
      <c r="N513" s="182"/>
      <c r="O513" s="183"/>
      <c r="P513" s="183"/>
      <c r="Q513" s="183"/>
      <c r="R513" s="183"/>
      <c r="S513" s="183"/>
      <c r="T513" s="183"/>
      <c r="U513" s="183"/>
      <c r="V513" s="183"/>
      <c r="W513" s="183"/>
      <c r="X513" s="183"/>
      <c r="Y513" s="183"/>
      <c r="Z513" s="185" t="str">
        <f t="shared" si="203"/>
        <v/>
      </c>
      <c r="AA513" s="185"/>
      <c r="AB513" s="185"/>
      <c r="AC513" s="185"/>
      <c r="AD513" s="649"/>
      <c r="AE513" s="182"/>
      <c r="AF513" s="332"/>
      <c r="AG513" s="182"/>
      <c r="AH513" s="182"/>
      <c r="AI513" s="182"/>
      <c r="AJ513" s="640"/>
      <c r="AK513" s="182"/>
      <c r="AL513" s="496"/>
      <c r="AM513" s="496"/>
      <c r="AN513" s="626"/>
      <c r="AO513" s="182"/>
      <c r="AP513" s="182"/>
      <c r="AQ513" s="332" t="str">
        <f>UPPER(RIGHT(Journal_Live[[#This Row],[DURATION ]]))</f>
        <v/>
      </c>
      <c r="AR513" s="182"/>
      <c r="AS513" s="189"/>
      <c r="AT513" s="189"/>
      <c r="AU513" s="187"/>
      <c r="AV513" s="190"/>
      <c r="AW513" s="191"/>
      <c r="AX513" s="407" t="s">
        <v>2313</v>
      </c>
      <c r="AY513" s="407"/>
      <c r="AZ513" s="407"/>
      <c r="BA513" s="407"/>
      <c r="BB513" s="407"/>
      <c r="BC513" s="407"/>
      <c r="BD513" s="407"/>
      <c r="BE513" s="407"/>
      <c r="BF513" s="422"/>
      <c r="BG513" s="391">
        <f>SUM($AV$4:AV513)</f>
        <v>2905.2454761904714</v>
      </c>
      <c r="BH513" s="392">
        <f>SUM($AU$134:AU513)</f>
        <v>3526.7299999999391</v>
      </c>
      <c r="BI513" s="318">
        <f>SUMIFS($AU$134:AU514,$Q$134:Q514,"F")</f>
        <v>-2758.8</v>
      </c>
      <c r="BJ513" s="318">
        <f>SUMIFS($AU$134:AU514,$Q$134:Q514,"S")</f>
        <v>6536.0899999999974</v>
      </c>
      <c r="BK513" s="343">
        <f>SUMIFS($AU$134:AU514,$P$134:P514,"W")</f>
        <v>5247.3899999999339</v>
      </c>
      <c r="BL513" s="343">
        <f>SUMIFS($AU$134:AU514,$P$134:P514,"R")</f>
        <v>-1648.6599999999976</v>
      </c>
      <c r="BM513" s="343">
        <f>SUMIFS($AU$134:AU514,$AQ$134:AQ514,"M")</f>
        <v>733.39999999997201</v>
      </c>
      <c r="BN513" s="343">
        <f>SUMIFS($AU$134:AU514,$AQ$134:AQ514,"H")</f>
        <v>3415.9000000000156</v>
      </c>
      <c r="BO513" s="343">
        <f>SUMIFS($AU$134:AU514,$AQ$134:AQ514,"D")</f>
        <v>9.689999999999614</v>
      </c>
      <c r="BP513" s="343">
        <f>SUMIFS($AU$134:AU516,$AQ$134:AQ516,"W")</f>
        <v>-1270.7</v>
      </c>
      <c r="BQ513" s="343">
        <f>SUMIFS($AU$134:AU514,$Q$134:Q514,"O")</f>
        <v>-377.76000000006229</v>
      </c>
      <c r="BR513" s="343">
        <f>SUMIFS($AU$134:AU514,$AA$134:AA514,"*")</f>
        <v>5575.7899999999645</v>
      </c>
      <c r="BS513" s="343">
        <f>SUMIFS($AU$134:AU514,$AB$134:AB514,"*")</f>
        <v>597.43999999997584</v>
      </c>
      <c r="BT513" s="343">
        <f>SUMIFS($AU$134:AU514,$AC$134:AC514,"*")</f>
        <v>-965.65000000000123</v>
      </c>
      <c r="BU513" s="343">
        <f>SUMIFS($AU$134:AU514,$AA$134:AA514,"*",$AB$134:AB514,"*")</f>
        <v>-245.99999999999494</v>
      </c>
      <c r="BV513" s="343">
        <f>SUMIFS($AU$134:AU514,$AA$134:AA514,"*",$AC$134:AC514,"*")</f>
        <v>1359.4499999999994</v>
      </c>
      <c r="BW513" s="343">
        <f>SUMIFS($AU$134:AU514,$AB$134:AB514,"*",$AC$134:AC514,"*")</f>
        <v>926.59999999999991</v>
      </c>
      <c r="BX513" s="343">
        <f>SUMIFS($AU514:AU$1388,$Q514:Q$1388,"F")</f>
        <v>17199.466666666667</v>
      </c>
      <c r="BY513" s="343">
        <f>SUMIFS($AU514:AU$1388,$Q514:Q$1388,"S")</f>
        <v>14135.552</v>
      </c>
      <c r="BZ513" s="343">
        <f>SUMIFS($AU514:AU$1388,$Q514:Q$1388,"O")</f>
        <v>-1271.097999999736</v>
      </c>
    </row>
    <row r="514" spans="1:78" ht="15.75" customHeight="1">
      <c r="A514" s="221" t="s">
        <v>2054</v>
      </c>
      <c r="B514" s="200">
        <v>45036</v>
      </c>
      <c r="C514" s="178" t="s">
        <v>1714</v>
      </c>
      <c r="D514" s="178" t="s">
        <v>93</v>
      </c>
      <c r="E514" s="227" t="s">
        <v>2314</v>
      </c>
      <c r="F514" s="180" t="s">
        <v>2315</v>
      </c>
      <c r="G514" s="181"/>
      <c r="H514" s="182">
        <v>1</v>
      </c>
      <c r="I514" s="182"/>
      <c r="J514" s="182"/>
      <c r="K514" s="183" t="s">
        <v>115</v>
      </c>
      <c r="L514" s="182"/>
      <c r="M514" s="182"/>
      <c r="N514" s="182"/>
      <c r="O514" s="183"/>
      <c r="P514" s="183"/>
      <c r="Q514" s="183"/>
      <c r="R514" s="183"/>
      <c r="S514" s="183"/>
      <c r="T514" s="183"/>
      <c r="U514" s="183"/>
      <c r="V514" s="183"/>
      <c r="W514" s="183"/>
      <c r="X514" s="183"/>
      <c r="Y514" s="183"/>
      <c r="Z514" s="185" t="str">
        <f t="shared" si="203"/>
        <v/>
      </c>
      <c r="AA514" s="185"/>
      <c r="AB514" s="185"/>
      <c r="AC514" s="185"/>
      <c r="AD514" s="649"/>
      <c r="AE514" s="182"/>
      <c r="AF514" s="332"/>
      <c r="AG514" s="182"/>
      <c r="AH514" s="182"/>
      <c r="AI514" s="182"/>
      <c r="AJ514" s="640"/>
      <c r="AK514" s="182"/>
      <c r="AL514" s="496"/>
      <c r="AM514" s="496"/>
      <c r="AN514" s="626"/>
      <c r="AO514" s="182"/>
      <c r="AP514" s="182"/>
      <c r="AQ514" s="332" t="str">
        <f>UPPER(RIGHT(Journal_Live[[#This Row],[DURATION ]]))</f>
        <v/>
      </c>
      <c r="AR514" s="182"/>
      <c r="AS514" s="189"/>
      <c r="AT514" s="189"/>
      <c r="AU514" s="187"/>
      <c r="AV514" s="190"/>
      <c r="AW514" s="191"/>
      <c r="AX514" s="407"/>
      <c r="AY514" s="407"/>
      <c r="AZ514" s="407"/>
      <c r="BA514" s="407"/>
      <c r="BB514" s="407"/>
      <c r="BC514" s="407"/>
      <c r="BD514" s="407"/>
      <c r="BE514" s="407"/>
      <c r="BF514" s="422" t="s">
        <v>529</v>
      </c>
      <c r="BG514" s="391">
        <f>SUM($AV$4:AV514)</f>
        <v>2905.2454761904714</v>
      </c>
      <c r="BH514" s="392">
        <f>SUM($AU$134:AU514)</f>
        <v>3526.7299999999391</v>
      </c>
      <c r="BI514" s="318">
        <f>SUMIFS($AU$134:AU515,$Q$134:Q515,"F")</f>
        <v>-2758.8</v>
      </c>
      <c r="BJ514" s="318">
        <f>SUMIFS($AU$134:AU515,$Q$134:Q515,"S")</f>
        <v>5832.0899999999974</v>
      </c>
      <c r="BK514" s="343">
        <f>SUMIFS($AU$134:AU515,$P$134:P515,"W")</f>
        <v>4543.3899999999339</v>
      </c>
      <c r="BL514" s="343">
        <f>SUMIFS($AU$134:AU515,$P$134:P515,"R")</f>
        <v>-1648.6599999999976</v>
      </c>
      <c r="BM514" s="343">
        <f>SUMIFS($AU$134:AU515,$AQ$134:AQ515,"M")</f>
        <v>733.39999999997201</v>
      </c>
      <c r="BN514" s="343">
        <f>SUMIFS($AU$134:AU515,$AQ$134:AQ515,"H")</f>
        <v>3415.9000000000156</v>
      </c>
      <c r="BO514" s="343">
        <f>SUMIFS($AU$134:AU515,$AQ$134:AQ515,"D")</f>
        <v>-694.31000000000051</v>
      </c>
      <c r="BP514" s="343">
        <f>SUMIFS($AU$134:AU517,$AQ$134:AQ517,"W")</f>
        <v>-1270.7</v>
      </c>
      <c r="BQ514" s="343">
        <f>SUMIFS($AU$134:AU515,$Q$134:Q515,"O")</f>
        <v>-377.76000000006229</v>
      </c>
      <c r="BR514" s="343">
        <f>SUMIFS($AU$134:AU515,$AA$134:AA515,"*")</f>
        <v>4871.7899999999645</v>
      </c>
      <c r="BS514" s="343">
        <f>SUMIFS($AU$134:AU515,$AB$134:AB515,"*")</f>
        <v>597.43999999997584</v>
      </c>
      <c r="BT514" s="343">
        <f>SUMIFS($AU$134:AU515,$AC$134:AC515,"*")</f>
        <v>-965.65000000000123</v>
      </c>
      <c r="BU514" s="343">
        <f>SUMIFS($AU$134:AU515,$AA$134:AA515,"*",$AB$134:AB515,"*")</f>
        <v>-245.99999999999494</v>
      </c>
      <c r="BV514" s="343">
        <f>SUMIFS($AU$134:AU515,$AA$134:AA515,"*",$AC$134:AC515,"*")</f>
        <v>1359.4499999999994</v>
      </c>
      <c r="BW514" s="343">
        <f>SUMIFS($AU$134:AU515,$AB$134:AB515,"*",$AC$134:AC515,"*")</f>
        <v>926.59999999999991</v>
      </c>
      <c r="BX514" s="343">
        <f>SUMIFS($AU515:AU$1388,$Q515:Q$1388,"F")</f>
        <v>17199.466666666667</v>
      </c>
      <c r="BY514" s="343">
        <f>SUMIFS($AU515:AU$1388,$Q515:Q$1388,"S")</f>
        <v>14135.552</v>
      </c>
      <c r="BZ514" s="343">
        <f>SUMIFS($AU515:AU$1388,$Q515:Q$1388,"O")</f>
        <v>-1271.097999999736</v>
      </c>
    </row>
    <row r="515" spans="1:78" ht="15.75" customHeight="1">
      <c r="A515" s="221" t="s">
        <v>2054</v>
      </c>
      <c r="B515" s="200" t="s">
        <v>2316</v>
      </c>
      <c r="C515" s="178" t="s">
        <v>2317</v>
      </c>
      <c r="D515" s="178" t="s">
        <v>93</v>
      </c>
      <c r="E515" s="227"/>
      <c r="F515" s="180"/>
      <c r="G515" s="281" t="s">
        <v>2145</v>
      </c>
      <c r="H515" s="182"/>
      <c r="I515" s="182"/>
      <c r="J515" s="182"/>
      <c r="K515" s="183"/>
      <c r="L515" s="182"/>
      <c r="M515" s="182"/>
      <c r="N515" s="182"/>
      <c r="O515" s="183" t="s">
        <v>95</v>
      </c>
      <c r="P515" s="183" t="s">
        <v>96</v>
      </c>
      <c r="Q515" s="183" t="s">
        <v>97</v>
      </c>
      <c r="R515" s="183">
        <v>11</v>
      </c>
      <c r="S515" s="183">
        <v>0</v>
      </c>
      <c r="T515" s="183">
        <v>9</v>
      </c>
      <c r="U515" s="183" t="s">
        <v>22</v>
      </c>
      <c r="V515" s="183"/>
      <c r="W515" s="183"/>
      <c r="X515" s="183"/>
      <c r="Y515" s="184">
        <f t="shared" ref="Y515:Y522" si="206">IF(ISBLANK(O515),"",(IF(O515=UPPER("IB"),0.005,0.01)))</f>
        <v>0.01</v>
      </c>
      <c r="Z515" s="185">
        <f t="shared" si="203"/>
        <v>1600</v>
      </c>
      <c r="AA515" s="185" t="s">
        <v>99</v>
      </c>
      <c r="AB515" s="185"/>
      <c r="AC515" s="185"/>
      <c r="AD515" s="649">
        <v>-0.06</v>
      </c>
      <c r="AE515" s="182"/>
      <c r="AF515" s="332">
        <v>-9</v>
      </c>
      <c r="AG515" s="182"/>
      <c r="AH515" s="182"/>
      <c r="AI515" s="182"/>
      <c r="AJ515" s="640"/>
      <c r="AK515" s="182"/>
      <c r="AL515" s="496">
        <f>-0.03*Z515</f>
        <v>-48</v>
      </c>
      <c r="AM515" s="496">
        <f>AL515*(R515-S515)</f>
        <v>-528</v>
      </c>
      <c r="AN515" s="626"/>
      <c r="AO515" s="182"/>
      <c r="AP515" s="182" t="s">
        <v>751</v>
      </c>
      <c r="AQ515" s="332" t="str">
        <f>UPPER(RIGHT(Journal_Live[[#This Row],[DURATION ]]))</f>
        <v>D</v>
      </c>
      <c r="AR515" s="182" t="s">
        <v>2318</v>
      </c>
      <c r="AS515" s="189">
        <v>-0.1</v>
      </c>
      <c r="AT515" s="189">
        <f>IF(ISBLANK(AS515),,IF(U515="S",AD515-AS515,AS515-AD515))</f>
        <v>-4.0000000000000008E-2</v>
      </c>
      <c r="AU515" s="187">
        <f>AV515*R515</f>
        <v>-704.00000000000011</v>
      </c>
      <c r="AV515" s="190">
        <f>IF(ISBLANK(AS515),,(AT515*Z515))</f>
        <v>-64.000000000000014</v>
      </c>
      <c r="AW515" s="191" t="s">
        <v>229</v>
      </c>
      <c r="AX515" s="407" t="s">
        <v>2319</v>
      </c>
      <c r="AY515" s="407" t="s">
        <v>2320</v>
      </c>
      <c r="AZ515" s="407" t="s">
        <v>2321</v>
      </c>
      <c r="BA515" s="407"/>
      <c r="BB515" s="407"/>
      <c r="BC515" s="407"/>
      <c r="BD515" s="407" t="s">
        <v>2322</v>
      </c>
      <c r="BE515" s="417" t="s">
        <v>2323</v>
      </c>
      <c r="BF515" s="422" t="s">
        <v>529</v>
      </c>
      <c r="BG515" s="391">
        <f>SUM($AV$4:AV515)</f>
        <v>2841.2454761904714</v>
      </c>
      <c r="BH515" s="392">
        <f>SUM($AU$134:AU515)</f>
        <v>2822.7299999999391</v>
      </c>
      <c r="BI515" s="318">
        <f>SUMIFS($AU$134:AU516,$Q$134:Q516,"F")</f>
        <v>-2758.8</v>
      </c>
      <c r="BJ515" s="318">
        <f>SUMIFS($AU$134:AU516,$Q$134:Q516,"S")</f>
        <v>6072.0899999999974</v>
      </c>
      <c r="BK515" s="343">
        <f>SUMIFS($AU$134:AU516,$P$134:P516,"W")</f>
        <v>4783.3899999999339</v>
      </c>
      <c r="BL515" s="343">
        <f>SUMIFS($AU$134:AU516,$P$134:P516,"R")</f>
        <v>-1648.6599999999976</v>
      </c>
      <c r="BM515" s="343">
        <f>SUMIFS($AU$134:AU516,$AQ$134:AQ516,"M")</f>
        <v>733.39999999997201</v>
      </c>
      <c r="BN515" s="343">
        <f>SUMIFS($AU$134:AU516,$AQ$134:AQ516,"H")</f>
        <v>3415.9000000000156</v>
      </c>
      <c r="BO515" s="343">
        <f>SUMIFS($AU$134:AU516,$AQ$134:AQ516,"D")</f>
        <v>-454.31000000000063</v>
      </c>
      <c r="BP515" s="343">
        <f>SUMIFS($AU$134:AU518,$AQ$134:AQ518,"W")</f>
        <v>-1270.7</v>
      </c>
      <c r="BQ515" s="343">
        <f>SUMIFS($AU$134:AU516,$Q$134:Q516,"O")</f>
        <v>-377.76000000006229</v>
      </c>
      <c r="BR515" s="343">
        <f>SUMIFS($AU$134:AU516,$AA$134:AA516,"*")</f>
        <v>5111.7899999999645</v>
      </c>
      <c r="BS515" s="343">
        <f>SUMIFS($AU$134:AU516,$AB$134:AB516,"*")</f>
        <v>597.43999999997584</v>
      </c>
      <c r="BT515" s="343">
        <f>SUMIFS($AU$134:AU516,$AC$134:AC516,"*")</f>
        <v>-965.65000000000123</v>
      </c>
      <c r="BU515" s="343">
        <f>SUMIFS($AU$134:AU516,$AA$134:AA516,"*",$AB$134:AB516,"*")</f>
        <v>-245.99999999999494</v>
      </c>
      <c r="BV515" s="343">
        <f>SUMIFS($AU$134:AU516,$AA$134:AA516,"*",$AC$134:AC516,"*")</f>
        <v>1359.4499999999994</v>
      </c>
      <c r="BW515" s="343">
        <f>SUMIFS($AU$134:AU516,$AB$134:AB516,"*",$AC$134:AC516,"*")</f>
        <v>926.59999999999991</v>
      </c>
      <c r="BX515" s="343">
        <f>SUMIFS($AU516:AU$1388,$Q516:Q$1388,"F")</f>
        <v>17199.466666666667</v>
      </c>
      <c r="BY515" s="343">
        <f>SUMIFS($AU516:AU$1388,$Q516:Q$1388,"S")</f>
        <v>14839.552</v>
      </c>
      <c r="BZ515" s="343">
        <f>SUMIFS($AU516:AU$1388,$Q516:Q$1388,"O")</f>
        <v>-1271.097999999736</v>
      </c>
    </row>
    <row r="516" spans="1:78" ht="15.75" customHeight="1">
      <c r="A516" s="221" t="s">
        <v>2054</v>
      </c>
      <c r="B516" s="200">
        <v>45036</v>
      </c>
      <c r="C516" s="178" t="s">
        <v>2324</v>
      </c>
      <c r="D516" s="178" t="s">
        <v>93</v>
      </c>
      <c r="E516" s="227"/>
      <c r="F516" s="180"/>
      <c r="G516" s="281" t="s">
        <v>181</v>
      </c>
      <c r="H516" s="182"/>
      <c r="I516" s="182"/>
      <c r="J516" s="182"/>
      <c r="K516" s="183"/>
      <c r="L516" s="182"/>
      <c r="M516" s="182"/>
      <c r="N516" s="182"/>
      <c r="O516" s="183" t="s">
        <v>95</v>
      </c>
      <c r="P516" s="183" t="s">
        <v>96</v>
      </c>
      <c r="Q516" s="183" t="s">
        <v>97</v>
      </c>
      <c r="R516" s="183">
        <v>15</v>
      </c>
      <c r="S516" s="183">
        <v>0</v>
      </c>
      <c r="T516" s="183">
        <v>14</v>
      </c>
      <c r="U516" s="183" t="s">
        <v>22</v>
      </c>
      <c r="V516" s="183"/>
      <c r="W516" s="183"/>
      <c r="X516" s="183"/>
      <c r="Y516" s="184">
        <f t="shared" si="206"/>
        <v>0.01</v>
      </c>
      <c r="Z516" s="185">
        <f t="shared" si="203"/>
        <v>1600</v>
      </c>
      <c r="AA516" s="185" t="s">
        <v>99</v>
      </c>
      <c r="AB516" s="185"/>
      <c r="AC516" s="185"/>
      <c r="AD516" s="649">
        <v>-0.11</v>
      </c>
      <c r="AE516" s="182"/>
      <c r="AF516" s="332"/>
      <c r="AG516" s="182"/>
      <c r="AH516" s="182"/>
      <c r="AI516" s="182"/>
      <c r="AJ516" s="640"/>
      <c r="AK516" s="182"/>
      <c r="AL516" s="496">
        <f>-0.02*Z516</f>
        <v>-32</v>
      </c>
      <c r="AM516" s="496">
        <f>AL516*(R516-S516)</f>
        <v>-480</v>
      </c>
      <c r="AN516" s="626"/>
      <c r="AO516" s="182"/>
      <c r="AP516" s="182" t="s">
        <v>589</v>
      </c>
      <c r="AQ516" s="332" t="str">
        <f>UPPER(RIGHT(Journal_Live[[#This Row],[DURATION ]]))</f>
        <v>D</v>
      </c>
      <c r="AR516" s="182" t="s">
        <v>2294</v>
      </c>
      <c r="AS516" s="189">
        <v>-0.1</v>
      </c>
      <c r="AT516" s="189">
        <f>IF(ISBLANK(AS516),,IF(U516="S",AD516-AS516,AS516-AD516))</f>
        <v>9.999999999999995E-3</v>
      </c>
      <c r="AU516" s="187">
        <f>AV516*R516</f>
        <v>239.99999999999989</v>
      </c>
      <c r="AV516" s="190">
        <f>IF(ISBLANK(AS516),,(AT516*Z516))</f>
        <v>15.999999999999993</v>
      </c>
      <c r="AW516" s="191" t="s">
        <v>96</v>
      </c>
      <c r="AX516" s="407" t="s">
        <v>2325</v>
      </c>
      <c r="AY516" s="407" t="s">
        <v>2326</v>
      </c>
      <c r="AZ516" s="407" t="s">
        <v>2327</v>
      </c>
      <c r="BA516" s="407" t="s">
        <v>2328</v>
      </c>
      <c r="BB516" s="407" t="s">
        <v>529</v>
      </c>
      <c r="BC516" s="407"/>
      <c r="BD516" s="407" t="s">
        <v>2329</v>
      </c>
      <c r="BE516" s="407" t="s">
        <v>2330</v>
      </c>
      <c r="BF516" s="422" t="s">
        <v>529</v>
      </c>
      <c r="BG516" s="391">
        <f>SUM($AV$4:AV516)</f>
        <v>2857.2454761904714</v>
      </c>
      <c r="BH516" s="392">
        <f>SUM($AU$134:AU516)</f>
        <v>3062.7299999999391</v>
      </c>
      <c r="BI516" s="318">
        <f>SUMIFS($AU$134:AU517,$Q$134:Q517,"F")</f>
        <v>-2758.8</v>
      </c>
      <c r="BJ516" s="318">
        <f>SUMIFS($AU$134:AU517,$Q$134:Q517,"S")</f>
        <v>5400.0899999999974</v>
      </c>
      <c r="BK516" s="343">
        <f>SUMIFS($AU$134:AU517,$P$134:P517,"W")</f>
        <v>4111.3899999999339</v>
      </c>
      <c r="BL516" s="343">
        <f>SUMIFS($AU$134:AU517,$P$134:P517,"R")</f>
        <v>-1648.6599999999976</v>
      </c>
      <c r="BM516" s="343">
        <f>SUMIFS($AU$134:AU517,$AQ$134:AQ517,"M")</f>
        <v>733.39999999997201</v>
      </c>
      <c r="BN516" s="343">
        <f>SUMIFS($AU$134:AU517,$AQ$134:AQ517,"H")</f>
        <v>3415.9000000000156</v>
      </c>
      <c r="BO516" s="343">
        <f>SUMIFS($AU$134:AU517,$AQ$134:AQ517,"D")</f>
        <v>-1126.3100000000009</v>
      </c>
      <c r="BP516" s="343">
        <f>SUMIFS($AU$134:AU519,$AQ$134:AQ519,"W")</f>
        <v>-1270.7</v>
      </c>
      <c r="BQ516" s="343">
        <f>SUMIFS($AU$134:AU517,$Q$134:Q517,"O")</f>
        <v>-377.76000000006229</v>
      </c>
      <c r="BR516" s="343">
        <f>SUMIFS($AU$134:AU517,$AA$134:AA517,"*")</f>
        <v>4439.7899999999645</v>
      </c>
      <c r="BS516" s="343">
        <f>SUMIFS($AU$134:AU517,$AB$134:AB517,"*")</f>
        <v>-74.560000000024274</v>
      </c>
      <c r="BT516" s="343">
        <f>SUMIFS($AU$134:AU517,$AC$134:AC517,"*")</f>
        <v>-1637.6500000000015</v>
      </c>
      <c r="BU516" s="343">
        <f>SUMIFS($AU$134:AU517,$AA$134:AA517,"*",$AB$134:AB517,"*")</f>
        <v>-917.999999999995</v>
      </c>
      <c r="BV516" s="343">
        <f>SUMIFS($AU$134:AU517,$AA$134:AA517,"*",$AC$134:AC517,"*")</f>
        <v>687.44999999999925</v>
      </c>
      <c r="BW516" s="343">
        <f>SUMIFS($AU$134:AU517,$AB$134:AB517,"*",$AC$134:AC517,"*")</f>
        <v>254.5999999999998</v>
      </c>
      <c r="BX516" s="343">
        <f>SUMIFS($AU517:AU$1388,$Q517:Q$1388,"F")</f>
        <v>17199.466666666667</v>
      </c>
      <c r="BY516" s="343">
        <f>SUMIFS($AU517:AU$1388,$Q517:Q$1388,"S")</f>
        <v>14599.552000000001</v>
      </c>
      <c r="BZ516" s="343">
        <f>SUMIFS($AU517:AU$1388,$Q517:Q$1388,"O")</f>
        <v>-1271.097999999736</v>
      </c>
    </row>
    <row r="517" spans="1:78" ht="15.75" customHeight="1">
      <c r="A517" s="221" t="s">
        <v>2054</v>
      </c>
      <c r="B517" s="200">
        <v>45037</v>
      </c>
      <c r="C517" s="178" t="s">
        <v>2331</v>
      </c>
      <c r="D517" s="178" t="s">
        <v>111</v>
      </c>
      <c r="E517" s="227"/>
      <c r="F517" s="180"/>
      <c r="G517" s="281" t="s">
        <v>94</v>
      </c>
      <c r="H517" s="182"/>
      <c r="I517" s="182"/>
      <c r="J517" s="182"/>
      <c r="K517" s="183"/>
      <c r="L517" s="182"/>
      <c r="M517" s="182"/>
      <c r="N517" s="182"/>
      <c r="O517" s="183" t="s">
        <v>95</v>
      </c>
      <c r="P517" s="183" t="s">
        <v>96</v>
      </c>
      <c r="Q517" s="183" t="s">
        <v>97</v>
      </c>
      <c r="R517" s="183">
        <v>28</v>
      </c>
      <c r="S517" s="183">
        <v>14</v>
      </c>
      <c r="T517" s="183">
        <v>14</v>
      </c>
      <c r="U517" s="183" t="s">
        <v>22</v>
      </c>
      <c r="V517" s="183"/>
      <c r="W517" s="183"/>
      <c r="X517" s="183"/>
      <c r="Y517" s="184">
        <f t="shared" si="206"/>
        <v>0.01</v>
      </c>
      <c r="Z517" s="185">
        <f t="shared" si="203"/>
        <v>1600</v>
      </c>
      <c r="AA517" s="185" t="s">
        <v>99</v>
      </c>
      <c r="AB517" s="185" t="s">
        <v>2332</v>
      </c>
      <c r="AC517" s="185" t="s">
        <v>529</v>
      </c>
      <c r="AD517" s="649">
        <v>-0.01</v>
      </c>
      <c r="AE517" s="182"/>
      <c r="AF517" s="332"/>
      <c r="AG517" s="182"/>
      <c r="AH517" s="182"/>
      <c r="AI517" s="182"/>
      <c r="AJ517" s="640"/>
      <c r="AK517" s="182"/>
      <c r="AL517" s="496">
        <f>-0.03*Z517</f>
        <v>-48</v>
      </c>
      <c r="AM517" s="496">
        <f>AL517*(R517-S517)</f>
        <v>-672</v>
      </c>
      <c r="AN517" s="626"/>
      <c r="AO517" s="182"/>
      <c r="AP517" s="182" t="s">
        <v>2333</v>
      </c>
      <c r="AQ517" s="332" t="str">
        <f>UPPER(RIGHT(Journal_Live[[#This Row],[DURATION ]]))</f>
        <v>D</v>
      </c>
      <c r="AR517" s="182" t="s">
        <v>2334</v>
      </c>
      <c r="AS517" s="189">
        <f>((-0.01*14)+(-0.04*14))/28</f>
        <v>-2.5000000000000001E-2</v>
      </c>
      <c r="AT517" s="189">
        <f>IF(ISBLANK(AS517),,IF(U517="S",AD517-AS517,AS517-AD517))</f>
        <v>-1.5000000000000001E-2</v>
      </c>
      <c r="AU517" s="187">
        <f>AV517*R517</f>
        <v>-672.00000000000011</v>
      </c>
      <c r="AV517" s="190">
        <f>IF(ISBLANK(AS517),,(AT517*Z517))</f>
        <v>-24.000000000000004</v>
      </c>
      <c r="AW517" s="191" t="s">
        <v>229</v>
      </c>
      <c r="AX517" s="407" t="s">
        <v>2335</v>
      </c>
      <c r="AY517" s="407" t="s">
        <v>2336</v>
      </c>
      <c r="AZ517" s="407" t="s">
        <v>2337</v>
      </c>
      <c r="BA517" s="407"/>
      <c r="BB517" s="407"/>
      <c r="BC517" s="407"/>
      <c r="BD517" s="407"/>
      <c r="BE517" s="407"/>
      <c r="BF517" s="422"/>
      <c r="BG517" s="391">
        <f>SUM($AV$4:AV517)</f>
        <v>2833.2454761904714</v>
      </c>
      <c r="BH517" s="392">
        <f>SUM($AU$134:AU517)</f>
        <v>2390.7299999999391</v>
      </c>
      <c r="BI517" s="318">
        <f>SUMIFS($AU$134:AU518,$Q$134:Q518,"F")</f>
        <v>-2758.8</v>
      </c>
      <c r="BJ517" s="318">
        <f>SUMIFS($AU$134:AU518,$Q$134:Q518,"S")</f>
        <v>4728.0899999999974</v>
      </c>
      <c r="BK517" s="343">
        <f>SUMIFS($AU$134:AU518,$P$134:P518,"W")</f>
        <v>3439.3899999999344</v>
      </c>
      <c r="BL517" s="343">
        <f>SUMIFS($AU$134:AU518,$P$134:P518,"R")</f>
        <v>-1648.6599999999976</v>
      </c>
      <c r="BM517" s="343">
        <f>SUMIFS($AU$134:AU518,$AQ$134:AQ518,"M")</f>
        <v>733.39999999997201</v>
      </c>
      <c r="BN517" s="343">
        <f>SUMIFS($AU$134:AU518,$AQ$134:AQ518,"H")</f>
        <v>3415.9000000000156</v>
      </c>
      <c r="BO517" s="343">
        <f>SUMIFS($AU$134:AU518,$AQ$134:AQ518,"D")</f>
        <v>-1798.3100000000004</v>
      </c>
      <c r="BP517" s="343">
        <f>SUMIFS($AU$134:AU520,$AQ$134:AQ520,"W")</f>
        <v>-1270.7</v>
      </c>
      <c r="BQ517" s="343">
        <f>SUMIFS($AU$134:AU518,$Q$134:Q518,"O")</f>
        <v>-377.76000000006229</v>
      </c>
      <c r="BR517" s="343">
        <f>SUMIFS($AU$134:AU518,$AA$134:AA518,"*")</f>
        <v>4439.7899999999645</v>
      </c>
      <c r="BS517" s="343">
        <f>SUMIFS($AU$134:AU518,$AB$134:AB518,"*")</f>
        <v>-746.56000000002393</v>
      </c>
      <c r="BT517" s="343">
        <f>SUMIFS($AU$134:AU518,$AC$134:AC518,"*")</f>
        <v>-1637.6500000000015</v>
      </c>
      <c r="BU517" s="343">
        <f>SUMIFS($AU$134:AU518,$AA$134:AA518,"*",$AB$134:AB518,"*")</f>
        <v>-917.999999999995</v>
      </c>
      <c r="BV517" s="343">
        <f>SUMIFS($AU$134:AU518,$AA$134:AA518,"*",$AC$134:AC518,"*")</f>
        <v>687.44999999999925</v>
      </c>
      <c r="BW517" s="343">
        <f>SUMIFS($AU$134:AU518,$AB$134:AB518,"*",$AC$134:AC518,"*")</f>
        <v>254.5999999999998</v>
      </c>
      <c r="BX517" s="343">
        <f>SUMIFS($AU518:AU$1388,$Q518:Q$1388,"F")</f>
        <v>17199.466666666667</v>
      </c>
      <c r="BY517" s="343">
        <f>SUMIFS($AU518:AU$1388,$Q518:Q$1388,"S")</f>
        <v>15271.552000000001</v>
      </c>
      <c r="BZ517" s="343">
        <f>SUMIFS($AU518:AU$1388,$Q518:Q$1388,"O")</f>
        <v>-1271.097999999736</v>
      </c>
    </row>
    <row r="518" spans="1:78" ht="15.75" customHeight="1">
      <c r="A518" s="221" t="s">
        <v>2054</v>
      </c>
      <c r="B518" s="200">
        <v>45037</v>
      </c>
      <c r="C518" s="178" t="s">
        <v>2253</v>
      </c>
      <c r="D518" s="178" t="s">
        <v>111</v>
      </c>
      <c r="E518" s="227"/>
      <c r="F518" s="180"/>
      <c r="G518" s="357" t="s">
        <v>2145</v>
      </c>
      <c r="H518" s="182"/>
      <c r="I518" s="182"/>
      <c r="J518" s="182"/>
      <c r="K518" s="183"/>
      <c r="L518" s="182"/>
      <c r="M518" s="182"/>
      <c r="N518" s="182"/>
      <c r="O518" s="183" t="s">
        <v>95</v>
      </c>
      <c r="P518" s="183" t="s">
        <v>96</v>
      </c>
      <c r="Q518" s="183" t="s">
        <v>97</v>
      </c>
      <c r="R518" s="183">
        <v>21</v>
      </c>
      <c r="S518" s="183">
        <v>0</v>
      </c>
      <c r="T518" s="183">
        <v>21</v>
      </c>
      <c r="U518" s="183" t="s">
        <v>22</v>
      </c>
      <c r="V518" s="183"/>
      <c r="W518" s="183"/>
      <c r="X518" s="183"/>
      <c r="Y518" s="184">
        <f t="shared" si="206"/>
        <v>0.01</v>
      </c>
      <c r="Z518" s="185">
        <f t="shared" si="203"/>
        <v>1600</v>
      </c>
      <c r="AA518" s="185"/>
      <c r="AB518" s="185" t="s">
        <v>2247</v>
      </c>
      <c r="AC518" s="185"/>
      <c r="AD518" s="649">
        <v>-7.0000000000000007E-2</v>
      </c>
      <c r="AE518" s="182"/>
      <c r="AF518" s="332"/>
      <c r="AG518" s="182"/>
      <c r="AH518" s="182"/>
      <c r="AI518" s="182"/>
      <c r="AJ518" s="640"/>
      <c r="AK518" s="182"/>
      <c r="AL518" s="496">
        <f>-0.025*Z518</f>
        <v>-40</v>
      </c>
      <c r="AM518" s="496">
        <f>AL518*(R518-S518)</f>
        <v>-840</v>
      </c>
      <c r="AN518" s="626"/>
      <c r="AO518" s="182"/>
      <c r="AP518" s="182" t="s">
        <v>751</v>
      </c>
      <c r="AQ518" s="332" t="str">
        <f>UPPER(RIGHT(Journal_Live[[#This Row],[DURATION ]]))</f>
        <v>D</v>
      </c>
      <c r="AR518" s="182" t="s">
        <v>2338</v>
      </c>
      <c r="AS518" s="189">
        <f>((-0.09*16)+(-0.09*5))/21</f>
        <v>-0.09</v>
      </c>
      <c r="AT518" s="189">
        <f>IF(ISBLANK(AS518),,IF(U518="S",AD518-AS518,AS518-AD518))</f>
        <v>-1.999999999999999E-2</v>
      </c>
      <c r="AU518" s="187">
        <f>AV518*R518</f>
        <v>-671.99999999999966</v>
      </c>
      <c r="AV518" s="190">
        <f>IF(ISBLANK(AS518),,(AT518*Z518))</f>
        <v>-31.999999999999986</v>
      </c>
      <c r="AW518" s="191" t="s">
        <v>229</v>
      </c>
      <c r="AX518" s="407"/>
      <c r="AY518" s="407"/>
      <c r="AZ518" s="407"/>
      <c r="BA518" s="407"/>
      <c r="BB518" s="407"/>
      <c r="BC518" s="407"/>
      <c r="BD518" s="407"/>
      <c r="BE518" s="407"/>
      <c r="BF518" s="422"/>
      <c r="BG518" s="391">
        <f>SUM($AV$4:AV518)</f>
        <v>2801.2454761904714</v>
      </c>
      <c r="BH518" s="392">
        <f>SUM($AU$134:AU518)</f>
        <v>1718.7299999999395</v>
      </c>
      <c r="BI518" s="318">
        <f>SUMIFS($AU$134:AU519,$Q$134:Q519,"F")</f>
        <v>-2758.8</v>
      </c>
      <c r="BJ518" s="318">
        <f>SUMIFS($AU$134:AU519,$Q$134:Q519,"S")</f>
        <v>4728.0899999999974</v>
      </c>
      <c r="BK518" s="343">
        <f>SUMIFS($AU$134:AU519,$P$134:P519,"W")</f>
        <v>3439.3899999999344</v>
      </c>
      <c r="BL518" s="343">
        <f>SUMIFS($AU$134:AU519,$P$134:P519,"R")</f>
        <v>-1648.6599999999976</v>
      </c>
      <c r="BM518" s="343">
        <f>SUMIFS($AU$134:AU519,$AQ$134:AQ519,"M")</f>
        <v>733.39999999997201</v>
      </c>
      <c r="BN518" s="343">
        <f>SUMIFS($AU$134:AU519,$AQ$134:AQ519,"H")</f>
        <v>3415.9000000000156</v>
      </c>
      <c r="BO518" s="343">
        <f>SUMIFS($AU$134:AU519,$AQ$134:AQ519,"D")</f>
        <v>-1798.3100000000004</v>
      </c>
      <c r="BP518" s="343">
        <f>SUMIFS($AU$134:AU521,$AQ$134:AQ521,"W")</f>
        <v>-1270.7</v>
      </c>
      <c r="BQ518" s="343">
        <f>SUMIFS($AU$134:AU519,$Q$134:Q519,"O")</f>
        <v>-377.76000000006229</v>
      </c>
      <c r="BR518" s="343">
        <f>SUMIFS($AU$134:AU519,$AA$134:AA519,"*")</f>
        <v>4439.7899999999645</v>
      </c>
      <c r="BS518" s="343">
        <f>SUMIFS($AU$134:AU519,$AB$134:AB519,"*")</f>
        <v>-746.56000000002393</v>
      </c>
      <c r="BT518" s="343">
        <f>SUMIFS($AU$134:AU519,$AC$134:AC519,"*")</f>
        <v>-1637.6500000000015</v>
      </c>
      <c r="BU518" s="343">
        <f>SUMIFS($AU$134:AU519,$AA$134:AA519,"*",$AB$134:AB519,"*")</f>
        <v>-917.999999999995</v>
      </c>
      <c r="BV518" s="343">
        <f>SUMIFS($AU$134:AU519,$AA$134:AA519,"*",$AC$134:AC519,"*")</f>
        <v>687.44999999999925</v>
      </c>
      <c r="BW518" s="343">
        <f>SUMIFS($AU$134:AU519,$AB$134:AB519,"*",$AC$134:AC519,"*")</f>
        <v>254.5999999999998</v>
      </c>
      <c r="BX518" s="343">
        <f>SUMIFS($AU519:AU$1388,$Q519:Q$1388,"F")</f>
        <v>17199.466666666667</v>
      </c>
      <c r="BY518" s="343">
        <f>SUMIFS($AU519:AU$1388,$Q519:Q$1388,"S")</f>
        <v>15943.552</v>
      </c>
      <c r="BZ518" s="343">
        <f>SUMIFS($AU519:AU$1388,$Q519:Q$1388,"O")</f>
        <v>-1271.097999999736</v>
      </c>
    </row>
    <row r="519" spans="1:78" ht="15.75" customHeight="1">
      <c r="A519" s="221" t="s">
        <v>2054</v>
      </c>
      <c r="B519" s="200">
        <v>45037</v>
      </c>
      <c r="C519" s="178" t="s">
        <v>2253</v>
      </c>
      <c r="D519" s="178" t="s">
        <v>111</v>
      </c>
      <c r="E519" s="227" t="s">
        <v>2339</v>
      </c>
      <c r="F519" s="180"/>
      <c r="G519" s="181"/>
      <c r="H519" s="182"/>
      <c r="I519" s="182"/>
      <c r="J519" s="182">
        <v>1</v>
      </c>
      <c r="K519" s="183" t="s">
        <v>115</v>
      </c>
      <c r="L519" s="182"/>
      <c r="M519" s="182"/>
      <c r="N519" s="182"/>
      <c r="O519" s="183"/>
      <c r="P519" s="183"/>
      <c r="Q519" s="183"/>
      <c r="R519" s="183"/>
      <c r="S519" s="183"/>
      <c r="T519" s="183"/>
      <c r="U519" s="183"/>
      <c r="V519" s="183"/>
      <c r="W519" s="183"/>
      <c r="X519" s="183"/>
      <c r="Y519" s="184" t="str">
        <f t="shared" si="206"/>
        <v/>
      </c>
      <c r="Z519" s="185" t="str">
        <f t="shared" si="203"/>
        <v/>
      </c>
      <c r="AA519" s="185"/>
      <c r="AB519" s="185"/>
      <c r="AC519" s="185"/>
      <c r="AD519" s="649"/>
      <c r="AE519" s="182"/>
      <c r="AF519" s="332"/>
      <c r="AG519" s="182"/>
      <c r="AH519" s="182"/>
      <c r="AI519" s="182"/>
      <c r="AJ519" s="640"/>
      <c r="AK519" s="182"/>
      <c r="AL519" s="496"/>
      <c r="AM519" s="496"/>
      <c r="AN519" s="626"/>
      <c r="AO519" s="182"/>
      <c r="AP519" s="182"/>
      <c r="AQ519" s="332" t="str">
        <f>UPPER(RIGHT(Journal_Live[[#This Row],[DURATION ]]))</f>
        <v/>
      </c>
      <c r="AR519" s="182"/>
      <c r="AS519" s="189"/>
      <c r="AT519" s="189"/>
      <c r="AU519" s="187"/>
      <c r="AV519" s="190"/>
      <c r="AW519" s="191"/>
      <c r="AX519" s="407"/>
      <c r="AY519" s="407"/>
      <c r="AZ519" s="407"/>
      <c r="BA519" s="407"/>
      <c r="BB519" s="407"/>
      <c r="BC519" s="407"/>
      <c r="BD519" s="407"/>
      <c r="BE519" s="407"/>
      <c r="BF519" s="422"/>
      <c r="BG519" s="391">
        <f>SUM($AV$4:AV519)</f>
        <v>2801.2454761904714</v>
      </c>
      <c r="BH519" s="392">
        <f>SUM($AU$134:AU519)</f>
        <v>1718.7299999999395</v>
      </c>
      <c r="BI519" s="318">
        <f>SUMIFS($AU$134:AU520,$Q$134:Q520,"F")</f>
        <v>-2758.8</v>
      </c>
      <c r="BJ519" s="318">
        <f>SUMIFS($AU$134:AU520,$Q$134:Q520,"S")</f>
        <v>4728.0899999999974</v>
      </c>
      <c r="BK519" s="343">
        <f>SUMIFS($AU$134:AU520,$P$134:P520,"W")</f>
        <v>3439.3899999999344</v>
      </c>
      <c r="BL519" s="343">
        <f>SUMIFS($AU$134:AU520,$P$134:P520,"R")</f>
        <v>-1648.6599999999976</v>
      </c>
      <c r="BM519" s="343">
        <f>SUMIFS($AU$134:AU520,$AQ$134:AQ520,"M")</f>
        <v>733.39999999997201</v>
      </c>
      <c r="BN519" s="343">
        <f>SUMIFS($AU$134:AU520,$AQ$134:AQ520,"H")</f>
        <v>3415.9000000000156</v>
      </c>
      <c r="BO519" s="343">
        <f>SUMIFS($AU$134:AU520,$AQ$134:AQ520,"D")</f>
        <v>-1798.3100000000004</v>
      </c>
      <c r="BP519" s="343">
        <f>SUMIFS($AU$134:AU522,$AQ$134:AQ522,"W")</f>
        <v>-1270.7</v>
      </c>
      <c r="BQ519" s="343">
        <f>SUMIFS($AU$134:AU520,$Q$134:Q520,"O")</f>
        <v>-377.76000000006229</v>
      </c>
      <c r="BR519" s="343">
        <f>SUMIFS($AU$134:AU520,$AA$134:AA520,"*")</f>
        <v>4439.7899999999645</v>
      </c>
      <c r="BS519" s="343">
        <f>SUMIFS($AU$134:AU520,$AB$134:AB520,"*")</f>
        <v>-746.56000000002393</v>
      </c>
      <c r="BT519" s="343">
        <f>SUMIFS($AU$134:AU520,$AC$134:AC520,"*")</f>
        <v>-1637.6500000000015</v>
      </c>
      <c r="BU519" s="343">
        <f>SUMIFS($AU$134:AU520,$AA$134:AA520,"*",$AB$134:AB520,"*")</f>
        <v>-917.999999999995</v>
      </c>
      <c r="BV519" s="343">
        <f>SUMIFS($AU$134:AU520,$AA$134:AA520,"*",$AC$134:AC520,"*")</f>
        <v>687.44999999999925</v>
      </c>
      <c r="BW519" s="343">
        <f>SUMIFS($AU$134:AU520,$AB$134:AB520,"*",$AC$134:AC520,"*")</f>
        <v>254.5999999999998</v>
      </c>
      <c r="BX519" s="343">
        <f>SUMIFS($AU520:AU$1388,$Q520:Q$1388,"F")</f>
        <v>17199.466666666667</v>
      </c>
      <c r="BY519" s="343">
        <f>SUMIFS($AU520:AU$1388,$Q520:Q$1388,"S")</f>
        <v>15943.552</v>
      </c>
      <c r="BZ519" s="343">
        <f>SUMIFS($AU520:AU$1388,$Q520:Q$1388,"O")</f>
        <v>-1271.097999999736</v>
      </c>
    </row>
    <row r="520" spans="1:78" ht="15.75" customHeight="1">
      <c r="A520" s="221" t="s">
        <v>2054</v>
      </c>
      <c r="B520" s="200">
        <v>45037</v>
      </c>
      <c r="C520" s="178" t="s">
        <v>1474</v>
      </c>
      <c r="D520" s="178" t="s">
        <v>111</v>
      </c>
      <c r="E520" s="227" t="s">
        <v>2340</v>
      </c>
      <c r="F520" s="180" t="s">
        <v>2341</v>
      </c>
      <c r="G520" s="181"/>
      <c r="H520" s="182">
        <v>1</v>
      </c>
      <c r="I520" s="182"/>
      <c r="J520" s="182"/>
      <c r="K520" s="183" t="s">
        <v>372</v>
      </c>
      <c r="L520" s="182"/>
      <c r="M520" s="182"/>
      <c r="N520" s="182"/>
      <c r="O520" s="183"/>
      <c r="P520" s="183"/>
      <c r="Q520" s="183"/>
      <c r="R520" s="183"/>
      <c r="S520" s="183"/>
      <c r="T520" s="183"/>
      <c r="U520" s="183"/>
      <c r="V520" s="183"/>
      <c r="W520" s="183"/>
      <c r="X520" s="183"/>
      <c r="Y520" s="184" t="str">
        <f t="shared" si="206"/>
        <v/>
      </c>
      <c r="Z520" s="185" t="str">
        <f t="shared" si="203"/>
        <v/>
      </c>
      <c r="AA520" s="185"/>
      <c r="AB520" s="185"/>
      <c r="AC520" s="185"/>
      <c r="AD520" s="649"/>
      <c r="AE520" s="182"/>
      <c r="AF520" s="332"/>
      <c r="AG520" s="182"/>
      <c r="AH520" s="182"/>
      <c r="AI520" s="182"/>
      <c r="AJ520" s="640"/>
      <c r="AK520" s="182"/>
      <c r="AL520" s="496"/>
      <c r="AM520" s="496"/>
      <c r="AN520" s="626"/>
      <c r="AO520" s="182"/>
      <c r="AP520" s="182"/>
      <c r="AQ520" s="332" t="str">
        <f>UPPER(RIGHT(Journal_Live[[#This Row],[DURATION ]]))</f>
        <v/>
      </c>
      <c r="AR520" s="182"/>
      <c r="AS520" s="189"/>
      <c r="AT520" s="189"/>
      <c r="AU520" s="187"/>
      <c r="AV520" s="190"/>
      <c r="AW520" s="191"/>
      <c r="AX520" s="433" t="s">
        <v>2342</v>
      </c>
      <c r="AY520" s="407" t="s">
        <v>2343</v>
      </c>
      <c r="AZ520" s="407" t="s">
        <v>2344</v>
      </c>
      <c r="BA520" s="407" t="s">
        <v>2345</v>
      </c>
      <c r="BB520" s="407" t="s">
        <v>2346</v>
      </c>
      <c r="BC520" s="407" t="s">
        <v>2347</v>
      </c>
      <c r="BD520" s="407" t="s">
        <v>2348</v>
      </c>
      <c r="BE520" s="407" t="s">
        <v>2349</v>
      </c>
      <c r="BF520" s="422"/>
      <c r="BG520" s="391">
        <f>SUM($AV$4:AV520)</f>
        <v>2801.2454761904714</v>
      </c>
      <c r="BH520" s="392">
        <f>SUM($AU$134:AU520)</f>
        <v>1718.7299999999395</v>
      </c>
      <c r="BI520" s="318">
        <f>SUMIFS($AU$134:AU521,$Q$134:Q521,"F")</f>
        <v>-2758.8</v>
      </c>
      <c r="BJ520" s="318">
        <f>SUMIFS($AU$134:AU521,$Q$134:Q521,"S")</f>
        <v>4728.0899999999974</v>
      </c>
      <c r="BK520" s="343">
        <f>SUMIFS($AU$134:AU521,$P$134:P521,"W")</f>
        <v>3439.3899999999344</v>
      </c>
      <c r="BL520" s="343">
        <f>SUMIFS($AU$134:AU521,$P$134:P521,"R")</f>
        <v>-1648.6599999999976</v>
      </c>
      <c r="BM520" s="343">
        <f>SUMIFS($AU$134:AU521,$AQ$134:AQ521,"M")</f>
        <v>733.39999999997201</v>
      </c>
      <c r="BN520" s="343">
        <f>SUMIFS($AU$134:AU521,$AQ$134:AQ521,"H")</f>
        <v>3415.9000000000156</v>
      </c>
      <c r="BO520" s="343">
        <f>SUMIFS($AU$134:AU521,$AQ$134:AQ521,"D")</f>
        <v>-1798.3100000000004</v>
      </c>
      <c r="BP520" s="343">
        <f>SUMIFS($AU$134:AU523,$AQ$134:AQ523,"W")</f>
        <v>-1270.7</v>
      </c>
      <c r="BQ520" s="343">
        <f>SUMIFS($AU$134:AU521,$Q$134:Q521,"O")</f>
        <v>-377.76000000006229</v>
      </c>
      <c r="BR520" s="343">
        <f>SUMIFS($AU$134:AU521,$AA$134:AA521,"*")</f>
        <v>4439.7899999999645</v>
      </c>
      <c r="BS520" s="343">
        <f>SUMIFS($AU$134:AU521,$AB$134:AB521,"*")</f>
        <v>-746.56000000002393</v>
      </c>
      <c r="BT520" s="343">
        <f>SUMIFS($AU$134:AU521,$AC$134:AC521,"*")</f>
        <v>-1637.6500000000015</v>
      </c>
      <c r="BU520" s="343">
        <f>SUMIFS($AU$134:AU521,$AA$134:AA521,"*",$AB$134:AB521,"*")</f>
        <v>-917.999999999995</v>
      </c>
      <c r="BV520" s="343">
        <f>SUMIFS($AU$134:AU521,$AA$134:AA521,"*",$AC$134:AC521,"*")</f>
        <v>687.44999999999925</v>
      </c>
      <c r="BW520" s="343">
        <f>SUMIFS($AU$134:AU521,$AB$134:AB521,"*",$AC$134:AC521,"*")</f>
        <v>254.5999999999998</v>
      </c>
      <c r="BX520" s="343">
        <f>SUMIFS($AU521:AU$1388,$Q521:Q$1388,"F")</f>
        <v>17199.466666666667</v>
      </c>
      <c r="BY520" s="343">
        <f>SUMIFS($AU521:AU$1388,$Q521:Q$1388,"S")</f>
        <v>15943.552</v>
      </c>
      <c r="BZ520" s="343">
        <f>SUMIFS($AU521:AU$1388,$Q521:Q$1388,"O")</f>
        <v>-1271.097999999736</v>
      </c>
    </row>
    <row r="521" spans="1:78" ht="15.75" customHeight="1">
      <c r="A521" s="221" t="s">
        <v>2054</v>
      </c>
      <c r="B521" s="200">
        <v>45041</v>
      </c>
      <c r="C521" s="178" t="s">
        <v>1187</v>
      </c>
      <c r="D521" s="178" t="s">
        <v>146</v>
      </c>
      <c r="E521" s="227" t="s">
        <v>2350</v>
      </c>
      <c r="F521" s="180"/>
      <c r="G521" s="181"/>
      <c r="H521" s="182"/>
      <c r="I521" s="182"/>
      <c r="J521" s="182">
        <v>1</v>
      </c>
      <c r="K521" s="183" t="s">
        <v>115</v>
      </c>
      <c r="L521" s="182"/>
      <c r="M521" s="182"/>
      <c r="N521" s="182"/>
      <c r="O521" s="183"/>
      <c r="P521" s="183"/>
      <c r="Q521" s="183"/>
      <c r="R521" s="183"/>
      <c r="S521" s="183"/>
      <c r="T521" s="183"/>
      <c r="U521" s="183"/>
      <c r="V521" s="183"/>
      <c r="W521" s="183"/>
      <c r="X521" s="183"/>
      <c r="Y521" s="184" t="str">
        <f t="shared" si="206"/>
        <v/>
      </c>
      <c r="Z521" s="185" t="str">
        <f t="shared" si="203"/>
        <v/>
      </c>
      <c r="AA521" s="185"/>
      <c r="AB521" s="185"/>
      <c r="AC521" s="185"/>
      <c r="AD521" s="649"/>
      <c r="AE521" s="182"/>
      <c r="AF521" s="332"/>
      <c r="AG521" s="182"/>
      <c r="AH521" s="182"/>
      <c r="AI521" s="182"/>
      <c r="AJ521" s="640"/>
      <c r="AK521" s="182"/>
      <c r="AL521" s="496"/>
      <c r="AM521" s="496"/>
      <c r="AN521" s="626"/>
      <c r="AO521" s="182"/>
      <c r="AP521" s="182"/>
      <c r="AQ521" s="332" t="str">
        <f>UPPER(RIGHT(Journal_Live[[#This Row],[DURATION ]]))</f>
        <v/>
      </c>
      <c r="AR521" s="182"/>
      <c r="AS521" s="189"/>
      <c r="AT521" s="189"/>
      <c r="AU521" s="187"/>
      <c r="AV521" s="190"/>
      <c r="AW521" s="191"/>
      <c r="AX521" s="407" t="s">
        <v>2351</v>
      </c>
      <c r="AY521" s="407" t="s">
        <v>529</v>
      </c>
      <c r="AZ521" s="407"/>
      <c r="BA521" s="407"/>
      <c r="BB521" s="407"/>
      <c r="BC521" s="407"/>
      <c r="BD521" s="407"/>
      <c r="BE521" s="407"/>
      <c r="BF521" s="422"/>
      <c r="BG521" s="391">
        <f>SUM($AV$4:AV521)</f>
        <v>2801.2454761904714</v>
      </c>
      <c r="BH521" s="392">
        <f>SUM($AU$134:AU521)</f>
        <v>1718.7299999999395</v>
      </c>
      <c r="BI521" s="318">
        <f>SUMIFS($AU$134:AU522,$Q$134:Q522,"F")</f>
        <v>-2758.8</v>
      </c>
      <c r="BJ521" s="318">
        <f>SUMIFS($AU$134:AU522,$Q$134:Q522,"S")</f>
        <v>4728.0899999999974</v>
      </c>
      <c r="BK521" s="343">
        <f>SUMIFS($AU$134:AU522,$P$134:P522,"W")</f>
        <v>3439.3899999999344</v>
      </c>
      <c r="BL521" s="343">
        <f>SUMIFS($AU$134:AU522,$P$134:P522,"R")</f>
        <v>-1648.6599999999976</v>
      </c>
      <c r="BM521" s="343">
        <f>SUMIFS($AU$134:AU522,$AQ$134:AQ522,"M")</f>
        <v>733.39999999997201</v>
      </c>
      <c r="BN521" s="343">
        <f>SUMIFS($AU$134:AU522,$AQ$134:AQ522,"H")</f>
        <v>3415.9000000000156</v>
      </c>
      <c r="BO521" s="343">
        <f>SUMIFS($AU$134:AU522,$AQ$134:AQ522,"D")</f>
        <v>-1798.3100000000004</v>
      </c>
      <c r="BP521" s="343">
        <f>SUMIFS($AU$134:AU524,$AQ$134:AQ524,"W")</f>
        <v>-1270.7</v>
      </c>
      <c r="BQ521" s="343">
        <f>SUMIFS($AU$134:AU522,$Q$134:Q522,"O")</f>
        <v>-377.76000000006229</v>
      </c>
      <c r="BR521" s="343">
        <f>SUMIFS($AU$134:AU522,$AA$134:AA522,"*")</f>
        <v>4439.7899999999645</v>
      </c>
      <c r="BS521" s="343">
        <f>SUMIFS($AU$134:AU522,$AB$134:AB522,"*")</f>
        <v>-746.56000000002393</v>
      </c>
      <c r="BT521" s="343">
        <f>SUMIFS($AU$134:AU522,$AC$134:AC522,"*")</f>
        <v>-1637.6500000000015</v>
      </c>
      <c r="BU521" s="343">
        <f>SUMIFS($AU$134:AU522,$AA$134:AA522,"*",$AB$134:AB522,"*")</f>
        <v>-917.999999999995</v>
      </c>
      <c r="BV521" s="343">
        <f>SUMIFS($AU$134:AU522,$AA$134:AA522,"*",$AC$134:AC522,"*")</f>
        <v>687.44999999999925</v>
      </c>
      <c r="BW521" s="343">
        <f>SUMIFS($AU$134:AU522,$AB$134:AB522,"*",$AC$134:AC522,"*")</f>
        <v>254.5999999999998</v>
      </c>
      <c r="BX521" s="343">
        <f>SUMIFS($AU522:AU$1388,$Q522:Q$1388,"F")</f>
        <v>17199.466666666667</v>
      </c>
      <c r="BY521" s="343">
        <f>SUMIFS($AU522:AU$1388,$Q522:Q$1388,"S")</f>
        <v>15943.552</v>
      </c>
      <c r="BZ521" s="343">
        <f>SUMIFS($AU522:AU$1388,$Q522:Q$1388,"O")</f>
        <v>-1271.097999999736</v>
      </c>
    </row>
    <row r="522" spans="1:78" ht="15.75" customHeight="1">
      <c r="A522" s="221" t="s">
        <v>2054</v>
      </c>
      <c r="B522" s="200"/>
      <c r="C522" s="178"/>
      <c r="D522" s="178"/>
      <c r="E522" s="227" t="s">
        <v>2352</v>
      </c>
      <c r="F522" s="180"/>
      <c r="G522" s="181"/>
      <c r="H522" s="182">
        <v>1</v>
      </c>
      <c r="I522" s="182"/>
      <c r="J522" s="182"/>
      <c r="K522" s="183" t="s">
        <v>372</v>
      </c>
      <c r="L522" s="182"/>
      <c r="M522" s="182"/>
      <c r="N522" s="182"/>
      <c r="O522" s="183"/>
      <c r="P522" s="183"/>
      <c r="Q522" s="183"/>
      <c r="R522" s="183"/>
      <c r="S522" s="183"/>
      <c r="T522" s="183"/>
      <c r="U522" s="183"/>
      <c r="V522" s="183"/>
      <c r="W522" s="183"/>
      <c r="X522" s="183"/>
      <c r="Y522" s="184" t="str">
        <f t="shared" si="206"/>
        <v/>
      </c>
      <c r="Z522" s="185" t="str">
        <f t="shared" si="203"/>
        <v/>
      </c>
      <c r="AA522" s="185"/>
      <c r="AB522" s="185"/>
      <c r="AC522" s="185"/>
      <c r="AD522" s="649"/>
      <c r="AE522" s="182"/>
      <c r="AF522" s="332"/>
      <c r="AG522" s="182"/>
      <c r="AH522" s="182"/>
      <c r="AI522" s="182"/>
      <c r="AJ522" s="640"/>
      <c r="AK522" s="182"/>
      <c r="AL522" s="496"/>
      <c r="AM522" s="496"/>
      <c r="AN522" s="626"/>
      <c r="AO522" s="182"/>
      <c r="AP522" s="182"/>
      <c r="AQ522" s="332" t="str">
        <f>UPPER(RIGHT(Journal_Live[[#This Row],[DURATION ]]))</f>
        <v/>
      </c>
      <c r="AR522" s="182"/>
      <c r="AS522" s="189"/>
      <c r="AT522" s="189"/>
      <c r="AU522" s="187"/>
      <c r="AV522" s="190"/>
      <c r="AW522" s="191"/>
      <c r="AX522" s="407" t="s">
        <v>2353</v>
      </c>
      <c r="AY522" s="407" t="s">
        <v>529</v>
      </c>
      <c r="AZ522" s="407"/>
      <c r="BA522" s="407"/>
      <c r="BB522" s="407"/>
      <c r="BC522" s="407"/>
      <c r="BD522" s="407"/>
      <c r="BE522" s="407"/>
      <c r="BF522" s="422"/>
      <c r="BG522" s="391">
        <f>SUM($AV$4:AV522)</f>
        <v>2801.2454761904714</v>
      </c>
      <c r="BH522" s="392">
        <f>SUM($AU$134:AU522)</f>
        <v>1718.7299999999395</v>
      </c>
      <c r="BI522" s="318">
        <f>SUMIFS($AU$134:AU523,$Q$134:Q523,"F")</f>
        <v>-2758.8</v>
      </c>
      <c r="BJ522" s="318">
        <f>SUMIFS($AU$134:AU523,$Q$134:Q523,"S")</f>
        <v>4728.0899999999974</v>
      </c>
      <c r="BK522" s="343">
        <f>SUMIFS($AU$134:AU523,$P$134:P523,"W")</f>
        <v>3439.3899999999344</v>
      </c>
      <c r="BL522" s="343">
        <f>SUMIFS($AU$134:AU523,$P$134:P523,"R")</f>
        <v>-1648.6599999999976</v>
      </c>
      <c r="BM522" s="343">
        <f>SUMIFS($AU$134:AU523,$AQ$134:AQ523,"M")</f>
        <v>733.39999999997201</v>
      </c>
      <c r="BN522" s="343">
        <f>SUMIFS($AU$134:AU523,$AQ$134:AQ523,"H")</f>
        <v>3415.9000000000156</v>
      </c>
      <c r="BO522" s="343">
        <f>SUMIFS($AU$134:AU523,$AQ$134:AQ523,"D")</f>
        <v>-1798.3100000000004</v>
      </c>
      <c r="BP522" s="343">
        <f>SUMIFS($AU$134:AU525,$AQ$134:AQ525,"W")</f>
        <v>-1270.7</v>
      </c>
      <c r="BQ522" s="343">
        <f>SUMIFS($AU$134:AU523,$Q$134:Q523,"O")</f>
        <v>-377.76000000006229</v>
      </c>
      <c r="BR522" s="343">
        <f>SUMIFS($AU$134:AU523,$AA$134:AA523,"*")</f>
        <v>4439.7899999999645</v>
      </c>
      <c r="BS522" s="343">
        <f>SUMIFS($AU$134:AU523,$AB$134:AB523,"*")</f>
        <v>-746.56000000002393</v>
      </c>
      <c r="BT522" s="343">
        <f>SUMIFS($AU$134:AU523,$AC$134:AC523,"*")</f>
        <v>-1637.6500000000015</v>
      </c>
      <c r="BU522" s="343">
        <f>SUMIFS($AU$134:AU523,$AA$134:AA523,"*",$AB$134:AB523,"*")</f>
        <v>-917.999999999995</v>
      </c>
      <c r="BV522" s="343">
        <f>SUMIFS($AU$134:AU523,$AA$134:AA523,"*",$AC$134:AC523,"*")</f>
        <v>687.44999999999925</v>
      </c>
      <c r="BW522" s="343">
        <f>SUMIFS($AU$134:AU523,$AB$134:AB523,"*",$AC$134:AC523,"*")</f>
        <v>254.5999999999998</v>
      </c>
      <c r="BX522" s="343">
        <f>SUMIFS($AU523:AU$1388,$Q523:Q$1388,"F")</f>
        <v>17199.466666666667</v>
      </c>
      <c r="BY522" s="343">
        <f>SUMIFS($AU523:AU$1388,$Q523:Q$1388,"S")</f>
        <v>15943.552</v>
      </c>
      <c r="BZ522" s="343">
        <f>SUMIFS($AU523:AU$1388,$Q523:Q$1388,"O")</f>
        <v>-1271.097999999736</v>
      </c>
    </row>
    <row r="523" spans="1:78" ht="15.75" customHeight="1">
      <c r="A523" s="221" t="s">
        <v>2054</v>
      </c>
      <c r="B523" s="200"/>
      <c r="C523" s="178"/>
      <c r="D523" s="178"/>
      <c r="E523" s="227" t="s">
        <v>2354</v>
      </c>
      <c r="F523" s="180"/>
      <c r="G523" s="181"/>
      <c r="H523" s="182"/>
      <c r="I523" s="182"/>
      <c r="J523" s="182"/>
      <c r="K523" s="183"/>
      <c r="L523" s="182"/>
      <c r="M523" s="182"/>
      <c r="N523" s="182"/>
      <c r="O523" s="183"/>
      <c r="P523" s="183"/>
      <c r="Q523" s="183"/>
      <c r="R523" s="183"/>
      <c r="S523" s="183"/>
      <c r="T523" s="183"/>
      <c r="U523" s="183"/>
      <c r="V523" s="183"/>
      <c r="W523" s="183"/>
      <c r="X523" s="183"/>
      <c r="Y523" s="274"/>
      <c r="Z523" s="185" t="str">
        <f t="shared" si="203"/>
        <v/>
      </c>
      <c r="AA523" s="185"/>
      <c r="AB523" s="185"/>
      <c r="AC523" s="185"/>
      <c r="AD523" s="649"/>
      <c r="AE523" s="182"/>
      <c r="AF523" s="332"/>
      <c r="AG523" s="182"/>
      <c r="AH523" s="182"/>
      <c r="AI523" s="182"/>
      <c r="AJ523" s="640"/>
      <c r="AK523" s="182"/>
      <c r="AL523" s="496"/>
      <c r="AM523" s="496"/>
      <c r="AN523" s="626"/>
      <c r="AO523" s="182"/>
      <c r="AP523" s="182"/>
      <c r="AQ523" s="332" t="str">
        <f>UPPER(RIGHT(Journal_Live[[#This Row],[DURATION ]]))</f>
        <v/>
      </c>
      <c r="AR523" s="182"/>
      <c r="AS523" s="189"/>
      <c r="AT523" s="189"/>
      <c r="AU523" s="187"/>
      <c r="AV523" s="190"/>
      <c r="AW523" s="191"/>
      <c r="AX523" s="407"/>
      <c r="AY523" s="407"/>
      <c r="AZ523" s="407"/>
      <c r="BA523" s="407"/>
      <c r="BB523" s="407"/>
      <c r="BC523" s="407"/>
      <c r="BD523" s="407"/>
      <c r="BE523" s="407"/>
      <c r="BF523" s="422"/>
      <c r="BG523" s="391">
        <f>SUM($AV$4:AV523)</f>
        <v>2801.2454761904714</v>
      </c>
      <c r="BH523" s="392">
        <f>SUM($AU$134:AU523)</f>
        <v>1718.7299999999395</v>
      </c>
      <c r="BI523" s="318">
        <f>SUMIFS($AU$134:AU524,$Q$134:Q524,"F")</f>
        <v>-2758.8</v>
      </c>
      <c r="BJ523" s="318">
        <f>SUMIFS($AU$134:AU524,$Q$134:Q524,"S")</f>
        <v>4680.0899999999974</v>
      </c>
      <c r="BK523" s="343">
        <f>SUMIFS($AU$134:AU524,$P$134:P524,"W")</f>
        <v>3391.3899999999344</v>
      </c>
      <c r="BL523" s="343">
        <f>SUMIFS($AU$134:AU524,$P$134:P524,"R")</f>
        <v>-1648.6599999999976</v>
      </c>
      <c r="BM523" s="343">
        <f>SUMIFS($AU$134:AU524,$AQ$134:AQ524,"M")</f>
        <v>733.39999999997201</v>
      </c>
      <c r="BN523" s="343">
        <f>SUMIFS($AU$134:AU524,$AQ$134:AQ524,"H")</f>
        <v>3367.9000000000156</v>
      </c>
      <c r="BO523" s="343">
        <f>SUMIFS($AU$134:AU524,$AQ$134:AQ524,"D")</f>
        <v>-1798.3100000000004</v>
      </c>
      <c r="BP523" s="343">
        <f>SUMIFS($AU$134:AU526,$AQ$134:AQ526,"W")</f>
        <v>-1270.7</v>
      </c>
      <c r="BQ523" s="343">
        <f>SUMIFS($AU$134:AU524,$Q$134:Q524,"O")</f>
        <v>-377.76000000006229</v>
      </c>
      <c r="BR523" s="343">
        <f>SUMIFS($AU$134:AU524,$AA$134:AA524,"*")</f>
        <v>4391.7899999999645</v>
      </c>
      <c r="BS523" s="343">
        <f>SUMIFS($AU$134:AU524,$AB$134:AB524,"*")</f>
        <v>-746.56000000002393</v>
      </c>
      <c r="BT523" s="343">
        <f>SUMIFS($AU$134:AU524,$AC$134:AC524,"*")</f>
        <v>-1637.6500000000015</v>
      </c>
      <c r="BU523" s="343">
        <f>SUMIFS($AU$134:AU524,$AA$134:AA524,"*",$AB$134:AB524,"*")</f>
        <v>-917.999999999995</v>
      </c>
      <c r="BV523" s="343">
        <f>SUMIFS($AU$134:AU524,$AA$134:AA524,"*",$AC$134:AC524,"*")</f>
        <v>687.44999999999925</v>
      </c>
      <c r="BW523" s="343">
        <f>SUMIFS($AU$134:AU524,$AB$134:AB524,"*",$AC$134:AC524,"*")</f>
        <v>254.5999999999998</v>
      </c>
      <c r="BX523" s="343">
        <f>SUMIFS($AU524:AU$1388,$Q524:Q$1388,"F")</f>
        <v>17199.466666666667</v>
      </c>
      <c r="BY523" s="343">
        <f>SUMIFS($AU524:AU$1388,$Q524:Q$1388,"S")</f>
        <v>15943.552</v>
      </c>
      <c r="BZ523" s="343">
        <f>SUMIFS($AU524:AU$1388,$Q524:Q$1388,"O")</f>
        <v>-1271.097999999736</v>
      </c>
    </row>
    <row r="524" spans="1:78" ht="15.75" customHeight="1">
      <c r="A524" s="221" t="s">
        <v>2054</v>
      </c>
      <c r="B524" s="200">
        <v>45041</v>
      </c>
      <c r="C524" s="178" t="s">
        <v>2355</v>
      </c>
      <c r="D524" s="178" t="s">
        <v>146</v>
      </c>
      <c r="E524" s="227"/>
      <c r="F524" s="180"/>
      <c r="G524" s="281" t="s">
        <v>94</v>
      </c>
      <c r="H524" s="182"/>
      <c r="I524" s="182"/>
      <c r="J524" s="182"/>
      <c r="K524" s="183"/>
      <c r="L524" s="182"/>
      <c r="M524" s="182"/>
      <c r="N524" s="182"/>
      <c r="O524" s="183" t="s">
        <v>95</v>
      </c>
      <c r="P524" s="183" t="s">
        <v>96</v>
      </c>
      <c r="Q524" s="183" t="s">
        <v>97</v>
      </c>
      <c r="R524" s="183">
        <v>24</v>
      </c>
      <c r="S524" s="183">
        <v>3</v>
      </c>
      <c r="T524" s="183">
        <v>24</v>
      </c>
      <c r="U524" s="183" t="s">
        <v>22</v>
      </c>
      <c r="V524" s="183"/>
      <c r="W524" s="183"/>
      <c r="X524" s="183"/>
      <c r="Y524" s="184">
        <f>IF(ISBLANK(O524),"",(IF(O524=UPPER("IB"),0.005,0.01)))</f>
        <v>0.01</v>
      </c>
      <c r="Z524" s="185">
        <f t="shared" si="203"/>
        <v>1600</v>
      </c>
      <c r="AA524" s="185" t="s">
        <v>2356</v>
      </c>
      <c r="AB524" s="185"/>
      <c r="AC524" s="185"/>
      <c r="AD524" s="649">
        <v>-0.03</v>
      </c>
      <c r="AE524" s="182"/>
      <c r="AF524" s="332"/>
      <c r="AG524" s="182"/>
      <c r="AH524" s="182"/>
      <c r="AI524" s="182"/>
      <c r="AJ524" s="640"/>
      <c r="AK524" s="182"/>
      <c r="AL524" s="496">
        <f t="shared" ref="AL524" si="207">-0.025*Z524</f>
        <v>-40</v>
      </c>
      <c r="AM524" s="496">
        <f>AL524*(R524-S524)</f>
        <v>-840</v>
      </c>
      <c r="AN524" s="626"/>
      <c r="AO524" s="182"/>
      <c r="AP524" s="182" t="s">
        <v>2357</v>
      </c>
      <c r="AQ524" s="332" t="str">
        <f>UPPER(RIGHT(Journal_Live[[#This Row],[DURATION ]]))</f>
        <v>H</v>
      </c>
      <c r="AR524" s="182" t="s">
        <v>2358</v>
      </c>
      <c r="AS524" s="189">
        <f>((-0.03*21)+(-0.04*3))/24</f>
        <v>-3.125E-2</v>
      </c>
      <c r="AT524" s="189">
        <f>IF(ISBLANK(AS524),,IF(U524="S",AD524-AS524,AS524-AD524))</f>
        <v>-1.2500000000000011E-3</v>
      </c>
      <c r="AU524" s="187">
        <f>AV524*R524</f>
        <v>-48.000000000000043</v>
      </c>
      <c r="AV524" s="190">
        <f>IF(ISBLANK(AS524),,(AT524*Z524))</f>
        <v>-2.0000000000000018</v>
      </c>
      <c r="AW524" s="191" t="s">
        <v>229</v>
      </c>
      <c r="AX524" s="407"/>
      <c r="AY524" s="407"/>
      <c r="AZ524" s="407"/>
      <c r="BA524" s="407"/>
      <c r="BB524" s="407"/>
      <c r="BC524" s="407"/>
      <c r="BD524" s="407"/>
      <c r="BE524" s="407"/>
      <c r="BF524" s="422"/>
      <c r="BG524" s="391">
        <f>SUM($AV$4:AV524)</f>
        <v>2799.2454761904714</v>
      </c>
      <c r="BH524" s="392">
        <f>SUM($AU$134:AU524)</f>
        <v>1670.7299999999395</v>
      </c>
      <c r="BI524" s="318">
        <f>SUMIFS($AU$134:AU525,$Q$134:Q525,"F")</f>
        <v>-2758.8</v>
      </c>
      <c r="BJ524" s="318">
        <f>SUMIFS($AU$134:AU525,$Q$134:Q525,"S")</f>
        <v>4680.0899999999974</v>
      </c>
      <c r="BK524" s="343">
        <f>SUMIFS($AU$134:AU525,$P$134:P525,"W")</f>
        <v>3391.3899999999344</v>
      </c>
      <c r="BL524" s="343">
        <f>SUMIFS($AU$134:AU525,$P$134:P525,"R")</f>
        <v>-1648.6599999999976</v>
      </c>
      <c r="BM524" s="343">
        <f>SUMIFS($AU$134:AU525,$AQ$134:AQ525,"M")</f>
        <v>733.39999999997201</v>
      </c>
      <c r="BN524" s="343">
        <f>SUMIFS($AU$134:AU525,$AQ$134:AQ525,"H")</f>
        <v>3367.9000000000156</v>
      </c>
      <c r="BO524" s="343">
        <f>SUMIFS($AU$134:AU525,$AQ$134:AQ525,"D")</f>
        <v>-1798.3100000000004</v>
      </c>
      <c r="BP524" s="343">
        <f>SUMIFS($AU$134:AU527,$AQ$134:AQ527,"W")</f>
        <v>-1270.7</v>
      </c>
      <c r="BQ524" s="343">
        <f>SUMIFS($AU$134:AU525,$Q$134:Q525,"O")</f>
        <v>-377.76000000006229</v>
      </c>
      <c r="BR524" s="343">
        <f>SUMIFS($AU$134:AU525,$AA$134:AA525,"*")</f>
        <v>4391.7899999999645</v>
      </c>
      <c r="BS524" s="343">
        <f>SUMIFS($AU$134:AU525,$AB$134:AB525,"*")</f>
        <v>-746.56000000002393</v>
      </c>
      <c r="BT524" s="343">
        <f>SUMIFS($AU$134:AU525,$AC$134:AC525,"*")</f>
        <v>-1637.6500000000015</v>
      </c>
      <c r="BU524" s="343">
        <f>SUMIFS($AU$134:AU525,$AA$134:AA525,"*",$AB$134:AB525,"*")</f>
        <v>-917.999999999995</v>
      </c>
      <c r="BV524" s="343">
        <f>SUMIFS($AU$134:AU525,$AA$134:AA525,"*",$AC$134:AC525,"*")</f>
        <v>687.44999999999925</v>
      </c>
      <c r="BW524" s="343">
        <f>SUMIFS($AU$134:AU525,$AB$134:AB525,"*",$AC$134:AC525,"*")</f>
        <v>254.5999999999998</v>
      </c>
      <c r="BX524" s="343">
        <f>SUMIFS($AU525:AU$1388,$Q525:Q$1388,"F")</f>
        <v>17199.466666666667</v>
      </c>
      <c r="BY524" s="343">
        <f>SUMIFS($AU525:AU$1388,$Q525:Q$1388,"S")</f>
        <v>15991.552000000001</v>
      </c>
      <c r="BZ524" s="343">
        <f>SUMIFS($AU525:AU$1388,$Q525:Q$1388,"O")</f>
        <v>-1271.097999999736</v>
      </c>
    </row>
    <row r="525" spans="1:78" ht="15.75" customHeight="1">
      <c r="A525" s="221" t="s">
        <v>2054</v>
      </c>
      <c r="B525" s="200"/>
      <c r="C525" s="178"/>
      <c r="D525" s="178"/>
      <c r="E525" s="227"/>
      <c r="F525" s="180"/>
      <c r="G525" s="181"/>
      <c r="H525" s="182"/>
      <c r="I525" s="182"/>
      <c r="J525" s="182"/>
      <c r="K525" s="183"/>
      <c r="L525" s="182"/>
      <c r="M525" s="182"/>
      <c r="N525" s="182"/>
      <c r="O525" s="183"/>
      <c r="P525" s="183"/>
      <c r="Q525" s="183"/>
      <c r="R525" s="183"/>
      <c r="S525" s="183"/>
      <c r="T525" s="183"/>
      <c r="U525" s="183"/>
      <c r="V525" s="183"/>
      <c r="W525" s="183"/>
      <c r="X525" s="183"/>
      <c r="Y525" s="183"/>
      <c r="Z525" s="185" t="str">
        <f t="shared" si="203"/>
        <v/>
      </c>
      <c r="AA525" s="185"/>
      <c r="AB525" s="185"/>
      <c r="AC525" s="185"/>
      <c r="AD525" s="649"/>
      <c r="AE525" s="182"/>
      <c r="AF525" s="332"/>
      <c r="AG525" s="182"/>
      <c r="AH525" s="182"/>
      <c r="AI525" s="182"/>
      <c r="AJ525" s="640"/>
      <c r="AK525" s="182"/>
      <c r="AL525" s="496"/>
      <c r="AM525" s="496"/>
      <c r="AN525" s="626"/>
      <c r="AO525" s="182"/>
      <c r="AP525" s="182"/>
      <c r="AQ525" s="332" t="str">
        <f>UPPER(RIGHT(Journal_Live[[#This Row],[DURATION ]]))</f>
        <v/>
      </c>
      <c r="AR525" s="182"/>
      <c r="AS525" s="189"/>
      <c r="AT525" s="189"/>
      <c r="AU525" s="187"/>
      <c r="AV525" s="190"/>
      <c r="AW525" s="191"/>
      <c r="AX525" s="407" t="s">
        <v>2353</v>
      </c>
      <c r="AY525" s="407" t="s">
        <v>2359</v>
      </c>
      <c r="AZ525" s="407" t="s">
        <v>2360</v>
      </c>
      <c r="BA525" s="407"/>
      <c r="BB525" s="407"/>
      <c r="BC525" s="407"/>
      <c r="BD525" s="407"/>
      <c r="BE525" s="407"/>
      <c r="BF525" s="422"/>
      <c r="BG525" s="391">
        <f>SUM($AV$4:AV525)</f>
        <v>2799.2454761904714</v>
      </c>
      <c r="BH525" s="392">
        <f>SUM($AU$134:AU525)</f>
        <v>1670.7299999999395</v>
      </c>
      <c r="BI525" s="318">
        <f>SUMIFS($AU$134:AU526,$Q$134:Q526,"F")</f>
        <v>-2758.8</v>
      </c>
      <c r="BJ525" s="318">
        <f>SUMIFS($AU$134:AU526,$Q$134:Q526,"S")</f>
        <v>4680.0899999999974</v>
      </c>
      <c r="BK525" s="343">
        <f>SUMIFS($AU$134:AU526,$P$134:P526,"W")</f>
        <v>3391.3899999999344</v>
      </c>
      <c r="BL525" s="343">
        <f>SUMIFS($AU$134:AU526,$P$134:P526,"R")</f>
        <v>-1648.6599999999976</v>
      </c>
      <c r="BM525" s="343">
        <f>SUMIFS($AU$134:AU526,$AQ$134:AQ526,"M")</f>
        <v>733.39999999997201</v>
      </c>
      <c r="BN525" s="343">
        <f>SUMIFS($AU$134:AU526,$AQ$134:AQ526,"H")</f>
        <v>3367.9000000000156</v>
      </c>
      <c r="BO525" s="343">
        <f>SUMIFS($AU$134:AU526,$AQ$134:AQ526,"D")</f>
        <v>-1798.3100000000004</v>
      </c>
      <c r="BP525" s="343">
        <f>SUMIFS($AU$134:AU528,$AQ$134:AQ528,"W")</f>
        <v>-1270.7</v>
      </c>
      <c r="BQ525" s="343">
        <f>SUMIFS($AU$134:AU526,$Q$134:Q526,"O")</f>
        <v>-377.76000000006229</v>
      </c>
      <c r="BR525" s="343">
        <f>SUMIFS($AU$134:AU526,$AA$134:AA526,"*")</f>
        <v>4391.7899999999645</v>
      </c>
      <c r="BS525" s="343">
        <f>SUMIFS($AU$134:AU526,$AB$134:AB526,"*")</f>
        <v>-746.56000000002393</v>
      </c>
      <c r="BT525" s="343">
        <f>SUMIFS($AU$134:AU526,$AC$134:AC526,"*")</f>
        <v>-1637.6500000000015</v>
      </c>
      <c r="BU525" s="343">
        <f>SUMIFS($AU$134:AU526,$AA$134:AA526,"*",$AB$134:AB526,"*")</f>
        <v>-917.999999999995</v>
      </c>
      <c r="BV525" s="343">
        <f>SUMIFS($AU$134:AU526,$AA$134:AA526,"*",$AC$134:AC526,"*")</f>
        <v>687.44999999999925</v>
      </c>
      <c r="BW525" s="343">
        <f>SUMIFS($AU$134:AU526,$AB$134:AB526,"*",$AC$134:AC526,"*")</f>
        <v>254.5999999999998</v>
      </c>
      <c r="BX525" s="343">
        <f>SUMIFS($AU526:AU$1388,$Q526:Q$1388,"F")</f>
        <v>17199.466666666667</v>
      </c>
      <c r="BY525" s="343">
        <f>SUMIFS($AU526:AU$1388,$Q526:Q$1388,"S")</f>
        <v>15991.552000000001</v>
      </c>
      <c r="BZ525" s="343">
        <f>SUMIFS($AU526:AU$1388,$Q526:Q$1388,"O")</f>
        <v>-1271.097999999736</v>
      </c>
    </row>
    <row r="526" spans="1:78" ht="15.75" customHeight="1">
      <c r="A526" s="221" t="s">
        <v>2054</v>
      </c>
      <c r="B526" s="200">
        <v>45042</v>
      </c>
      <c r="C526" s="178" t="s">
        <v>2081</v>
      </c>
      <c r="D526" s="178" t="s">
        <v>151</v>
      </c>
      <c r="E526" s="227" t="s">
        <v>2361</v>
      </c>
      <c r="F526" s="180" t="s">
        <v>2362</v>
      </c>
      <c r="G526" s="181"/>
      <c r="H526" s="182"/>
      <c r="I526" s="182"/>
      <c r="J526" s="182">
        <v>1</v>
      </c>
      <c r="K526" s="183" t="s">
        <v>115</v>
      </c>
      <c r="L526" s="182"/>
      <c r="M526" s="182"/>
      <c r="N526" s="182"/>
      <c r="O526" s="183"/>
      <c r="P526" s="183"/>
      <c r="Q526" s="183"/>
      <c r="R526" s="183"/>
      <c r="S526" s="183"/>
      <c r="T526" s="183"/>
      <c r="U526" s="183"/>
      <c r="V526" s="183"/>
      <c r="W526" s="183"/>
      <c r="X526" s="183"/>
      <c r="Y526" s="183"/>
      <c r="Z526" s="185" t="str">
        <f t="shared" si="203"/>
        <v/>
      </c>
      <c r="AA526" s="185"/>
      <c r="AB526" s="185"/>
      <c r="AC526" s="185"/>
      <c r="AD526" s="649"/>
      <c r="AE526" s="182"/>
      <c r="AF526" s="332"/>
      <c r="AG526" s="182"/>
      <c r="AH526" s="182"/>
      <c r="AI526" s="182"/>
      <c r="AJ526" s="640"/>
      <c r="AK526" s="182"/>
      <c r="AL526" s="496"/>
      <c r="AM526" s="496"/>
      <c r="AN526" s="626"/>
      <c r="AO526" s="182"/>
      <c r="AP526" s="182"/>
      <c r="AQ526" s="332" t="str">
        <f>UPPER(RIGHT(Journal_Live[[#This Row],[DURATION ]]))</f>
        <v/>
      </c>
      <c r="AR526" s="182"/>
      <c r="AS526" s="189"/>
      <c r="AT526" s="189"/>
      <c r="AU526" s="187"/>
      <c r="AV526" s="190"/>
      <c r="AW526" s="191"/>
      <c r="AX526" s="407"/>
      <c r="AY526" s="407"/>
      <c r="AZ526" s="407"/>
      <c r="BA526" s="407"/>
      <c r="BB526" s="407"/>
      <c r="BC526" s="407"/>
      <c r="BD526" s="407"/>
      <c r="BE526" s="407"/>
      <c r="BF526" s="422"/>
      <c r="BG526" s="391">
        <f>SUM($AV$4:AV526)</f>
        <v>2799.2454761904714</v>
      </c>
      <c r="BH526" s="392">
        <f>SUM($AU$134:AU526)</f>
        <v>1670.7299999999395</v>
      </c>
      <c r="BI526" s="318">
        <f>SUMIFS($AU$134:AU527,$Q$134:Q527,"F")</f>
        <v>-2758.8</v>
      </c>
      <c r="BJ526" s="318">
        <f>SUMIFS($AU$134:AU527,$Q$134:Q527,"S")</f>
        <v>4680.0899999999974</v>
      </c>
      <c r="BK526" s="343">
        <f>SUMIFS($AU$134:AU527,$P$134:P527,"W")</f>
        <v>3391.3899999999344</v>
      </c>
      <c r="BL526" s="343">
        <f>SUMIFS($AU$134:AU527,$P$134:P527,"R")</f>
        <v>-1648.6599999999976</v>
      </c>
      <c r="BM526" s="343">
        <f>SUMIFS($AU$134:AU527,$AQ$134:AQ527,"M")</f>
        <v>733.39999999997201</v>
      </c>
      <c r="BN526" s="343">
        <f>SUMIFS($AU$134:AU527,$AQ$134:AQ527,"H")</f>
        <v>3367.9000000000156</v>
      </c>
      <c r="BO526" s="343">
        <f>SUMIFS($AU$134:AU527,$AQ$134:AQ527,"D")</f>
        <v>-1798.3100000000004</v>
      </c>
      <c r="BP526" s="343">
        <f>SUMIFS($AU$134:AU529,$AQ$134:AQ529,"W")</f>
        <v>-1270.7</v>
      </c>
      <c r="BQ526" s="343">
        <f>SUMIFS($AU$134:AU527,$Q$134:Q527,"O")</f>
        <v>-377.76000000006229</v>
      </c>
      <c r="BR526" s="343">
        <f>SUMIFS($AU$134:AU527,$AA$134:AA527,"*")</f>
        <v>4391.7899999999645</v>
      </c>
      <c r="BS526" s="343">
        <f>SUMIFS($AU$134:AU527,$AB$134:AB527,"*")</f>
        <v>-746.56000000002393</v>
      </c>
      <c r="BT526" s="343">
        <f>SUMIFS($AU$134:AU527,$AC$134:AC527,"*")</f>
        <v>-1637.6500000000015</v>
      </c>
      <c r="BU526" s="343">
        <f>SUMIFS($AU$134:AU527,$AA$134:AA527,"*",$AB$134:AB527,"*")</f>
        <v>-917.999999999995</v>
      </c>
      <c r="BV526" s="343">
        <f>SUMIFS($AU$134:AU527,$AA$134:AA527,"*",$AC$134:AC527,"*")</f>
        <v>687.44999999999925</v>
      </c>
      <c r="BW526" s="343">
        <f>SUMIFS($AU$134:AU527,$AB$134:AB527,"*",$AC$134:AC527,"*")</f>
        <v>254.5999999999998</v>
      </c>
      <c r="BX526" s="343">
        <f>SUMIFS($AU527:AU$1388,$Q527:Q$1388,"F")</f>
        <v>17199.466666666667</v>
      </c>
      <c r="BY526" s="343">
        <f>SUMIFS($AU527:AU$1388,$Q527:Q$1388,"S")</f>
        <v>15991.552000000001</v>
      </c>
      <c r="BZ526" s="343">
        <f>SUMIFS($AU527:AU$1388,$Q527:Q$1388,"O")</f>
        <v>-1271.097999999736</v>
      </c>
    </row>
    <row r="527" spans="1:78" ht="15.75" customHeight="1">
      <c r="A527" s="221" t="s">
        <v>2054</v>
      </c>
      <c r="B527" s="200"/>
      <c r="C527" s="178"/>
      <c r="D527" s="178"/>
      <c r="E527" s="227" t="s">
        <v>2363</v>
      </c>
      <c r="F527" s="180"/>
      <c r="G527" s="181"/>
      <c r="H527" s="182">
        <v>1</v>
      </c>
      <c r="I527" s="182"/>
      <c r="J527" s="182"/>
      <c r="K527" s="183" t="s">
        <v>372</v>
      </c>
      <c r="L527" s="182"/>
      <c r="M527" s="182"/>
      <c r="N527" s="182"/>
      <c r="O527" s="183"/>
      <c r="P527" s="183"/>
      <c r="Q527" s="183"/>
      <c r="R527" s="183"/>
      <c r="S527" s="183"/>
      <c r="T527" s="183"/>
      <c r="U527" s="183"/>
      <c r="V527" s="183"/>
      <c r="W527" s="183"/>
      <c r="X527" s="183"/>
      <c r="Y527" s="183"/>
      <c r="Z527" s="185" t="str">
        <f t="shared" si="203"/>
        <v/>
      </c>
      <c r="AA527" s="185"/>
      <c r="AB527" s="185"/>
      <c r="AC527" s="185"/>
      <c r="AD527" s="649"/>
      <c r="AE527" s="182"/>
      <c r="AF527" s="332"/>
      <c r="AG527" s="182"/>
      <c r="AH527" s="182"/>
      <c r="AI527" s="182"/>
      <c r="AJ527" s="640"/>
      <c r="AK527" s="182"/>
      <c r="AL527" s="496"/>
      <c r="AM527" s="496"/>
      <c r="AN527" s="626"/>
      <c r="AO527" s="182"/>
      <c r="AP527" s="182"/>
      <c r="AQ527" s="332" t="str">
        <f>UPPER(RIGHT(Journal_Live[[#This Row],[DURATION ]]))</f>
        <v/>
      </c>
      <c r="AR527" s="182"/>
      <c r="AS527" s="189"/>
      <c r="AT527" s="189"/>
      <c r="AU527" s="187"/>
      <c r="AV527" s="190"/>
      <c r="AW527" s="191"/>
      <c r="AX527" s="407"/>
      <c r="AY527" s="407"/>
      <c r="AZ527" s="407"/>
      <c r="BA527" s="407"/>
      <c r="BB527" s="407"/>
      <c r="BC527" s="407"/>
      <c r="BD527" s="407"/>
      <c r="BE527" s="407"/>
      <c r="BF527" s="422"/>
      <c r="BG527" s="391">
        <f>SUM($AV$4:AV527)</f>
        <v>2799.2454761904714</v>
      </c>
      <c r="BH527" s="392">
        <f>SUM($AU$134:AU527)</f>
        <v>1670.7299999999395</v>
      </c>
      <c r="BI527" s="318">
        <f>SUMIFS($AU$134:AU528,$Q$134:Q528,"F")</f>
        <v>-2758.8</v>
      </c>
      <c r="BJ527" s="318">
        <f>SUMIFS($AU$134:AU528,$Q$134:Q528,"S")</f>
        <v>4680.0899999999974</v>
      </c>
      <c r="BK527" s="343">
        <f>SUMIFS($AU$134:AU528,$P$134:P528,"W")</f>
        <v>3391.3899999999344</v>
      </c>
      <c r="BL527" s="343">
        <f>SUMIFS($AU$134:AU528,$P$134:P528,"R")</f>
        <v>-1648.6599999999976</v>
      </c>
      <c r="BM527" s="343">
        <f>SUMIFS($AU$134:AU528,$AQ$134:AQ528,"M")</f>
        <v>733.39999999997201</v>
      </c>
      <c r="BN527" s="343">
        <f>SUMIFS($AU$134:AU528,$AQ$134:AQ528,"H")</f>
        <v>3367.9000000000156</v>
      </c>
      <c r="BO527" s="343">
        <f>SUMIFS($AU$134:AU528,$AQ$134:AQ528,"D")</f>
        <v>-1798.3100000000004</v>
      </c>
      <c r="BP527" s="343">
        <f>SUMIFS($AU$134:AU530,$AQ$134:AQ530,"W")</f>
        <v>-1270.7</v>
      </c>
      <c r="BQ527" s="343">
        <f>SUMIFS($AU$134:AU528,$Q$134:Q528,"O")</f>
        <v>-377.76000000006229</v>
      </c>
      <c r="BR527" s="343">
        <f>SUMIFS($AU$134:AU528,$AA$134:AA528,"*")</f>
        <v>4391.7899999999645</v>
      </c>
      <c r="BS527" s="343">
        <f>SUMIFS($AU$134:AU528,$AB$134:AB528,"*")</f>
        <v>-746.56000000002393</v>
      </c>
      <c r="BT527" s="343">
        <f>SUMIFS($AU$134:AU528,$AC$134:AC528,"*")</f>
        <v>-1637.6500000000015</v>
      </c>
      <c r="BU527" s="343">
        <f>SUMIFS($AU$134:AU528,$AA$134:AA528,"*",$AB$134:AB528,"*")</f>
        <v>-917.999999999995</v>
      </c>
      <c r="BV527" s="343">
        <f>SUMIFS($AU$134:AU528,$AA$134:AA528,"*",$AC$134:AC528,"*")</f>
        <v>687.44999999999925</v>
      </c>
      <c r="BW527" s="343">
        <f>SUMIFS($AU$134:AU528,$AB$134:AB528,"*",$AC$134:AC528,"*")</f>
        <v>254.5999999999998</v>
      </c>
      <c r="BX527" s="343">
        <f>SUMIFS($AU528:AU$1388,$Q528:Q$1388,"F")</f>
        <v>17199.466666666667</v>
      </c>
      <c r="BY527" s="343">
        <f>SUMIFS($AU528:AU$1388,$Q528:Q$1388,"S")</f>
        <v>15991.552000000001</v>
      </c>
      <c r="BZ527" s="343">
        <f>SUMIFS($AU528:AU$1388,$Q528:Q$1388,"O")</f>
        <v>-1271.097999999736</v>
      </c>
    </row>
    <row r="528" spans="1:78" ht="15.75" customHeight="1">
      <c r="A528" s="221" t="s">
        <v>2054</v>
      </c>
      <c r="B528" s="200"/>
      <c r="C528" s="178"/>
      <c r="D528" s="178"/>
      <c r="E528" s="227" t="s">
        <v>2364</v>
      </c>
      <c r="F528" s="180"/>
      <c r="G528" s="181"/>
      <c r="H528" s="182"/>
      <c r="I528" s="182"/>
      <c r="J528" s="182">
        <v>1</v>
      </c>
      <c r="K528" s="183" t="s">
        <v>115</v>
      </c>
      <c r="L528" s="182"/>
      <c r="M528" s="182"/>
      <c r="N528" s="182"/>
      <c r="O528" s="183"/>
      <c r="P528" s="183"/>
      <c r="Q528" s="183"/>
      <c r="R528" s="183"/>
      <c r="S528" s="183"/>
      <c r="T528" s="183"/>
      <c r="U528" s="183"/>
      <c r="V528" s="183"/>
      <c r="W528" s="183"/>
      <c r="X528" s="183"/>
      <c r="Y528" s="183"/>
      <c r="Z528" s="185" t="str">
        <f t="shared" si="203"/>
        <v/>
      </c>
      <c r="AA528" s="185"/>
      <c r="AB528" s="185"/>
      <c r="AC528" s="185"/>
      <c r="AD528" s="649"/>
      <c r="AE528" s="182"/>
      <c r="AF528" s="332"/>
      <c r="AG528" s="182"/>
      <c r="AH528" s="182"/>
      <c r="AI528" s="182"/>
      <c r="AJ528" s="640"/>
      <c r="AK528" s="182"/>
      <c r="AL528" s="496"/>
      <c r="AM528" s="496"/>
      <c r="AN528" s="626"/>
      <c r="AO528" s="182"/>
      <c r="AP528" s="182"/>
      <c r="AQ528" s="332" t="str">
        <f>UPPER(RIGHT(Journal_Live[[#This Row],[DURATION ]]))</f>
        <v/>
      </c>
      <c r="AR528" s="182"/>
      <c r="AS528" s="189"/>
      <c r="AT528" s="189"/>
      <c r="AU528" s="187"/>
      <c r="AV528" s="190"/>
      <c r="AW528" s="191"/>
      <c r="AX528" s="407"/>
      <c r="AY528" s="407"/>
      <c r="AZ528" s="407"/>
      <c r="BA528" s="407"/>
      <c r="BB528" s="407"/>
      <c r="BC528" s="407"/>
      <c r="BD528" s="407"/>
      <c r="BE528" s="407"/>
      <c r="BF528" s="422"/>
      <c r="BG528" s="391">
        <f>SUM($AV$4:AV528)</f>
        <v>2799.2454761904714</v>
      </c>
      <c r="BH528" s="392">
        <f>SUM($AU$134:AU528)</f>
        <v>1670.7299999999395</v>
      </c>
      <c r="BI528" s="318">
        <f>SUMIFS($AU$134:AU529,$Q$134:Q529,"F")</f>
        <v>-2758.8</v>
      </c>
      <c r="BJ528" s="318">
        <f>SUMIFS($AU$134:AU529,$Q$134:Q529,"S")</f>
        <v>5320.0899999999974</v>
      </c>
      <c r="BK528" s="343">
        <f>SUMIFS($AU$134:AU529,$P$134:P529,"W")</f>
        <v>4031.3899999999344</v>
      </c>
      <c r="BL528" s="343">
        <f>SUMIFS($AU$134:AU529,$P$134:P529,"R")</f>
        <v>-1648.6599999999976</v>
      </c>
      <c r="BM528" s="343">
        <f>SUMIFS($AU$134:AU529,$AQ$134:AQ529,"M")</f>
        <v>1373.3999999999721</v>
      </c>
      <c r="BN528" s="343">
        <f>SUMIFS($AU$134:AU529,$AQ$134:AQ529,"H")</f>
        <v>3367.9000000000156</v>
      </c>
      <c r="BO528" s="343">
        <f>SUMIFS($AU$134:AU529,$AQ$134:AQ529,"D")</f>
        <v>-1798.3100000000004</v>
      </c>
      <c r="BP528" s="343">
        <f>SUMIFS($AU$134:AU531,$AQ$134:AQ531,"W")</f>
        <v>-1270.7</v>
      </c>
      <c r="BQ528" s="343">
        <f>SUMIFS($AU$134:AU529,$Q$134:Q529,"O")</f>
        <v>-377.76000000006229</v>
      </c>
      <c r="BR528" s="343">
        <f>SUMIFS($AU$134:AU529,$AA$134:AA529,"*")</f>
        <v>5031.7899999999645</v>
      </c>
      <c r="BS528" s="343">
        <f>SUMIFS($AU$134:AU529,$AB$134:AB529,"*")</f>
        <v>-746.56000000002393</v>
      </c>
      <c r="BT528" s="343">
        <f>SUMIFS($AU$134:AU529,$AC$134:AC529,"*")</f>
        <v>-1637.6500000000015</v>
      </c>
      <c r="BU528" s="343">
        <f>SUMIFS($AU$134:AU529,$AA$134:AA529,"*",$AB$134:AB529,"*")</f>
        <v>-917.999999999995</v>
      </c>
      <c r="BV528" s="343">
        <f>SUMIFS($AU$134:AU529,$AA$134:AA529,"*",$AC$134:AC529,"*")</f>
        <v>687.44999999999925</v>
      </c>
      <c r="BW528" s="343">
        <f>SUMIFS($AU$134:AU529,$AB$134:AB529,"*",$AC$134:AC529,"*")</f>
        <v>254.5999999999998</v>
      </c>
      <c r="BX528" s="343">
        <f>SUMIFS($AU529:AU$1388,$Q529:Q$1388,"F")</f>
        <v>17199.466666666667</v>
      </c>
      <c r="BY528" s="343">
        <f>SUMIFS($AU529:AU$1388,$Q529:Q$1388,"S")</f>
        <v>15991.552000000001</v>
      </c>
      <c r="BZ528" s="343">
        <f>SUMIFS($AU529:AU$1388,$Q529:Q$1388,"O")</f>
        <v>-1271.097999999736</v>
      </c>
    </row>
    <row r="529" spans="1:78" ht="15.75" customHeight="1">
      <c r="A529" s="221" t="s">
        <v>2054</v>
      </c>
      <c r="B529" s="200">
        <v>45042</v>
      </c>
      <c r="C529" s="178" t="s">
        <v>682</v>
      </c>
      <c r="D529" s="178" t="s">
        <v>151</v>
      </c>
      <c r="E529" s="178"/>
      <c r="F529" s="180"/>
      <c r="G529" s="281" t="s">
        <v>181</v>
      </c>
      <c r="H529" s="182"/>
      <c r="I529" s="182"/>
      <c r="J529" s="182"/>
      <c r="K529" s="183"/>
      <c r="L529" s="182">
        <v>1</v>
      </c>
      <c r="M529" s="182">
        <v>1</v>
      </c>
      <c r="N529" s="182"/>
      <c r="O529" s="183" t="s">
        <v>95</v>
      </c>
      <c r="P529" s="183" t="s">
        <v>96</v>
      </c>
      <c r="Q529" s="183" t="s">
        <v>97</v>
      </c>
      <c r="R529" s="183">
        <v>20</v>
      </c>
      <c r="S529" s="183">
        <v>0</v>
      </c>
      <c r="T529" s="183">
        <v>20</v>
      </c>
      <c r="U529" s="183" t="s">
        <v>97</v>
      </c>
      <c r="V529" s="183"/>
      <c r="W529" s="183"/>
      <c r="X529" s="183"/>
      <c r="Y529" s="184">
        <f t="shared" ref="Y529:Y549" si="208">IF(ISBLANK(O529),"",(IF(O529=UPPER("IB"),0.005,0.01)))</f>
        <v>0.01</v>
      </c>
      <c r="Z529" s="185">
        <f t="shared" si="203"/>
        <v>1600</v>
      </c>
      <c r="AA529" s="185" t="s">
        <v>2365</v>
      </c>
      <c r="AB529" s="185"/>
      <c r="AC529" s="185"/>
      <c r="AD529" s="649">
        <v>-0.08</v>
      </c>
      <c r="AE529" s="182"/>
      <c r="AF529" s="332"/>
      <c r="AG529" s="182"/>
      <c r="AH529" s="182"/>
      <c r="AI529" s="182"/>
      <c r="AJ529" s="640"/>
      <c r="AK529" s="182"/>
      <c r="AL529" s="496">
        <f>-0.01*Z529</f>
        <v>-16</v>
      </c>
      <c r="AM529" s="496">
        <f>AL529*(R529-S529)</f>
        <v>-320</v>
      </c>
      <c r="AN529" s="626"/>
      <c r="AO529" s="182"/>
      <c r="AP529" s="182" t="s">
        <v>2366</v>
      </c>
      <c r="AQ529" s="332" t="str">
        <f>UPPER(RIGHT(Journal_Live[[#This Row],[DURATION ]]))</f>
        <v>M</v>
      </c>
      <c r="AR529" s="182" t="s">
        <v>2367</v>
      </c>
      <c r="AS529" s="189">
        <v>-0.1</v>
      </c>
      <c r="AT529" s="189">
        <f>IF(ISBLANK(AS529),,IF(U529="S",AD529-AS529,AS529-AD529))</f>
        <v>2.0000000000000004E-2</v>
      </c>
      <c r="AU529" s="187">
        <f>AV529*R529</f>
        <v>640.00000000000011</v>
      </c>
      <c r="AV529" s="190">
        <f>IF(ISBLANK(AS529),,(AT529*Z529))</f>
        <v>32.000000000000007</v>
      </c>
      <c r="AW529" s="191" t="s">
        <v>96</v>
      </c>
      <c r="AX529" s="407"/>
      <c r="AY529" s="407"/>
      <c r="AZ529" s="407"/>
      <c r="BA529" s="407"/>
      <c r="BB529" s="407"/>
      <c r="BC529" s="407"/>
      <c r="BD529" s="407"/>
      <c r="BE529" s="407"/>
      <c r="BF529" s="422"/>
      <c r="BG529" s="391">
        <f>SUM($AV$4:AV529)</f>
        <v>2831.2454761904714</v>
      </c>
      <c r="BH529" s="392">
        <f>SUM($AU$134:AU529)</f>
        <v>2310.7299999999395</v>
      </c>
      <c r="BI529" s="318">
        <f>SUMIFS($AU$134:AU530,$Q$134:Q530,"F")</f>
        <v>-2758.8</v>
      </c>
      <c r="BJ529" s="318">
        <f>SUMIFS($AU$134:AU530,$Q$134:Q530,"S")</f>
        <v>5736.0899999999974</v>
      </c>
      <c r="BK529" s="343">
        <f>SUMIFS($AU$134:AU530,$P$134:P530,"W")</f>
        <v>4447.3899999999348</v>
      </c>
      <c r="BL529" s="343">
        <f>SUMIFS($AU$134:AU530,$P$134:P530,"R")</f>
        <v>-1648.6599999999976</v>
      </c>
      <c r="BM529" s="343">
        <f>SUMIFS($AU$134:AU530,$AQ$134:AQ530,"M")</f>
        <v>1789.3999999999721</v>
      </c>
      <c r="BN529" s="343">
        <f>SUMIFS($AU$134:AU530,$AQ$134:AQ530,"H")</f>
        <v>3367.9000000000156</v>
      </c>
      <c r="BO529" s="343">
        <f>SUMIFS($AU$134:AU530,$AQ$134:AQ530,"D")</f>
        <v>-1798.3100000000004</v>
      </c>
      <c r="BP529" s="343">
        <f>SUMIFS($AU$134:AU532,$AQ$134:AQ532,"W")</f>
        <v>-1270.7</v>
      </c>
      <c r="BQ529" s="343">
        <f>SUMIFS($AU$134:AU530,$Q$134:Q530,"O")</f>
        <v>-377.76000000006229</v>
      </c>
      <c r="BR529" s="343">
        <f>SUMIFS($AU$134:AU530,$AA$134:AA530,"*")</f>
        <v>5447.7899999999645</v>
      </c>
      <c r="BS529" s="343">
        <f>SUMIFS($AU$134:AU530,$AB$134:AB530,"*")</f>
        <v>-330.56000000002388</v>
      </c>
      <c r="BT529" s="343">
        <f>SUMIFS($AU$134:AU530,$AC$134:AC530,"*")</f>
        <v>-1637.6500000000015</v>
      </c>
      <c r="BU529" s="343">
        <f>SUMIFS($AU$134:AU530,$AA$134:AA530,"*",$AB$134:AB530,"*")</f>
        <v>-501.99999999999494</v>
      </c>
      <c r="BV529" s="343">
        <f>SUMIFS($AU$134:AU530,$AA$134:AA530,"*",$AC$134:AC530,"*")</f>
        <v>687.44999999999925</v>
      </c>
      <c r="BW529" s="343">
        <f>SUMIFS($AU$134:AU530,$AB$134:AB530,"*",$AC$134:AC530,"*")</f>
        <v>254.5999999999998</v>
      </c>
      <c r="BX529" s="343">
        <f>SUMIFS($AU530:AU$1388,$Q530:Q$1388,"F")</f>
        <v>17199.466666666667</v>
      </c>
      <c r="BY529" s="343">
        <f>SUMIFS($AU530:AU$1388,$Q530:Q$1388,"S")</f>
        <v>15351.552000000001</v>
      </c>
      <c r="BZ529" s="343">
        <f>SUMIFS($AU530:AU$1388,$Q530:Q$1388,"O")</f>
        <v>-1271.097999999736</v>
      </c>
    </row>
    <row r="530" spans="1:78" ht="15.75" customHeight="1">
      <c r="A530" s="221" t="s">
        <v>2054</v>
      </c>
      <c r="B530" s="200">
        <v>45042</v>
      </c>
      <c r="C530" s="178" t="s">
        <v>682</v>
      </c>
      <c r="D530" s="178" t="s">
        <v>151</v>
      </c>
      <c r="E530" s="227"/>
      <c r="F530" s="180"/>
      <c r="G530" s="281" t="s">
        <v>576</v>
      </c>
      <c r="H530" s="182"/>
      <c r="I530" s="182"/>
      <c r="J530" s="182"/>
      <c r="K530" s="183"/>
      <c r="L530" s="182">
        <v>1</v>
      </c>
      <c r="M530" s="182">
        <v>1</v>
      </c>
      <c r="N530" s="182"/>
      <c r="O530" s="183" t="s">
        <v>95</v>
      </c>
      <c r="P530" s="183" t="s">
        <v>96</v>
      </c>
      <c r="Q530" s="183" t="s">
        <v>97</v>
      </c>
      <c r="R530" s="183">
        <v>6</v>
      </c>
      <c r="S530" s="183">
        <v>5</v>
      </c>
      <c r="T530" s="183">
        <v>6</v>
      </c>
      <c r="U530" s="183" t="s">
        <v>22</v>
      </c>
      <c r="V530" s="183"/>
      <c r="W530" s="183"/>
      <c r="X530" s="183"/>
      <c r="Y530" s="184">
        <f t="shared" si="208"/>
        <v>0.01</v>
      </c>
      <c r="Z530" s="185">
        <f t="shared" si="203"/>
        <v>1600</v>
      </c>
      <c r="AA530" s="185" t="s">
        <v>2368</v>
      </c>
      <c r="AB530" s="185" t="s">
        <v>529</v>
      </c>
      <c r="AC530" s="185"/>
      <c r="AD530" s="649">
        <v>-0.02</v>
      </c>
      <c r="AE530" s="182"/>
      <c r="AF530" s="332"/>
      <c r="AG530" s="182"/>
      <c r="AH530" s="182"/>
      <c r="AI530" s="182"/>
      <c r="AJ530" s="640"/>
      <c r="AK530" s="182"/>
      <c r="AL530" s="496">
        <f>-0.01*Z530</f>
        <v>-16</v>
      </c>
      <c r="AM530" s="496">
        <f>AL530*(R530-S530)</f>
        <v>-16</v>
      </c>
      <c r="AN530" s="626"/>
      <c r="AO530" s="182"/>
      <c r="AP530" s="182" t="s">
        <v>2369</v>
      </c>
      <c r="AQ530" s="332" t="str">
        <f>UPPER(RIGHT(Journal_Live[[#This Row],[DURATION ]]))</f>
        <v>M</v>
      </c>
      <c r="AR530" s="182" t="s">
        <v>2370</v>
      </c>
      <c r="AS530" s="189">
        <f>((0.02*3)+(0.03*2)+(0.02*1))/6</f>
        <v>2.3333333333333331E-2</v>
      </c>
      <c r="AT530" s="189">
        <f>IF(ISBLANK(AS530),,IF(U530="S",AD530-AS530,AS530-AD530))</f>
        <v>4.3333333333333335E-2</v>
      </c>
      <c r="AU530" s="187">
        <f>AV530*R530</f>
        <v>416.00000000000006</v>
      </c>
      <c r="AV530" s="190">
        <f>IF(ISBLANK(AS530),,(AT530*Z530))</f>
        <v>69.333333333333343</v>
      </c>
      <c r="AW530" s="191" t="s">
        <v>96</v>
      </c>
      <c r="AX530" s="407"/>
      <c r="AY530" s="407"/>
      <c r="AZ530" s="407"/>
      <c r="BA530" s="407"/>
      <c r="BB530" s="407"/>
      <c r="BC530" s="407"/>
      <c r="BD530" s="407"/>
      <c r="BE530" s="407"/>
      <c r="BF530" s="422"/>
      <c r="BG530" s="391">
        <f>SUM($AV$4:AV530)</f>
        <v>2900.5788095238049</v>
      </c>
      <c r="BH530" s="392">
        <f>SUM($AU$134:AU530)</f>
        <v>2726.7299999999395</v>
      </c>
      <c r="BI530" s="318">
        <f>SUMIFS($AU$134:AU531,$Q$134:Q531,"F")</f>
        <v>-2758.8</v>
      </c>
      <c r="BJ530" s="318">
        <f>SUMIFS($AU$134:AU531,$Q$134:Q531,"S")</f>
        <v>5736.0899999999974</v>
      </c>
      <c r="BK530" s="343">
        <f>SUMIFS($AU$134:AU531,$P$134:P531,"W")</f>
        <v>4447.3899999999348</v>
      </c>
      <c r="BL530" s="343">
        <f>SUMIFS($AU$134:AU531,$P$134:P531,"R")</f>
        <v>-1648.6599999999976</v>
      </c>
      <c r="BM530" s="343">
        <f>SUMIFS($AU$134:AU531,$AQ$134:AQ531,"M")</f>
        <v>1789.3999999999721</v>
      </c>
      <c r="BN530" s="343">
        <f>SUMIFS($AU$134:AU531,$AQ$134:AQ531,"H")</f>
        <v>3367.9000000000156</v>
      </c>
      <c r="BO530" s="343">
        <f>SUMIFS($AU$134:AU531,$AQ$134:AQ531,"D")</f>
        <v>-1798.3100000000004</v>
      </c>
      <c r="BP530" s="343">
        <f>SUMIFS($AU$134:AU533,$AQ$134:AQ533,"W")</f>
        <v>-1270.7</v>
      </c>
      <c r="BQ530" s="343">
        <f>SUMIFS($AU$134:AU531,$Q$134:Q531,"O")</f>
        <v>-377.76000000006229</v>
      </c>
      <c r="BR530" s="343">
        <f>SUMIFS($AU$134:AU531,$AA$134:AA531,"*")</f>
        <v>5447.7899999999645</v>
      </c>
      <c r="BS530" s="343">
        <f>SUMIFS($AU$134:AU531,$AB$134:AB531,"*")</f>
        <v>-330.56000000002388</v>
      </c>
      <c r="BT530" s="343">
        <f>SUMIFS($AU$134:AU531,$AC$134:AC531,"*")</f>
        <v>-1637.6500000000015</v>
      </c>
      <c r="BU530" s="343">
        <f>SUMIFS($AU$134:AU531,$AA$134:AA531,"*",$AB$134:AB531,"*")</f>
        <v>-501.99999999999494</v>
      </c>
      <c r="BV530" s="343">
        <f>SUMIFS($AU$134:AU531,$AA$134:AA531,"*",$AC$134:AC531,"*")</f>
        <v>687.44999999999925</v>
      </c>
      <c r="BW530" s="343">
        <f>SUMIFS($AU$134:AU531,$AB$134:AB531,"*",$AC$134:AC531,"*")</f>
        <v>254.5999999999998</v>
      </c>
      <c r="BX530" s="343">
        <f>SUMIFS($AU531:AU$1388,$Q531:Q$1388,"F")</f>
        <v>17199.466666666667</v>
      </c>
      <c r="BY530" s="343">
        <f>SUMIFS($AU531:AU$1388,$Q531:Q$1388,"S")</f>
        <v>14935.552000000001</v>
      </c>
      <c r="BZ530" s="343">
        <f>SUMIFS($AU531:AU$1388,$Q531:Q$1388,"O")</f>
        <v>-1271.097999999736</v>
      </c>
    </row>
    <row r="531" spans="1:78" ht="15.75" customHeight="1">
      <c r="A531" s="221" t="s">
        <v>2054</v>
      </c>
      <c r="B531" s="200"/>
      <c r="C531" s="178"/>
      <c r="D531" s="178"/>
      <c r="E531" s="227" t="s">
        <v>2371</v>
      </c>
      <c r="F531" s="180"/>
      <c r="G531" s="181"/>
      <c r="H531" s="182"/>
      <c r="I531" s="182"/>
      <c r="J531" s="182"/>
      <c r="K531" s="183"/>
      <c r="L531" s="182"/>
      <c r="M531" s="182"/>
      <c r="N531" s="182"/>
      <c r="O531" s="183"/>
      <c r="P531" s="183"/>
      <c r="Q531" s="183"/>
      <c r="R531" s="183"/>
      <c r="S531" s="183"/>
      <c r="T531" s="183"/>
      <c r="U531" s="183"/>
      <c r="V531" s="183"/>
      <c r="W531" s="183"/>
      <c r="X531" s="183"/>
      <c r="Y531" s="184" t="str">
        <f t="shared" si="208"/>
        <v/>
      </c>
      <c r="Z531" s="185" t="str">
        <f t="shared" ref="Z531:Z549" si="209">IF(ISBLANK(O531),"",IF(O531="IB",8.63*200,IF(O531="IR",16*100,IF(O531="YT",20*100,IF(O531="YT-XT",24*200,IF(O531="TED",80*100))))))</f>
        <v/>
      </c>
      <c r="AA531" s="185"/>
      <c r="AB531" s="185"/>
      <c r="AC531" s="185"/>
      <c r="AD531" s="649"/>
      <c r="AE531" s="182"/>
      <c r="AF531" s="332"/>
      <c r="AG531" s="182"/>
      <c r="AH531" s="182"/>
      <c r="AI531" s="182"/>
      <c r="AJ531" s="640"/>
      <c r="AK531" s="182"/>
      <c r="AL531" s="496"/>
      <c r="AM531" s="496"/>
      <c r="AN531" s="626"/>
      <c r="AO531" s="182"/>
      <c r="AP531" s="182"/>
      <c r="AQ531" s="332" t="str">
        <f>UPPER(RIGHT(Journal_Live[[#This Row],[DURATION ]]))</f>
        <v/>
      </c>
      <c r="AR531" s="182"/>
      <c r="AS531" s="189"/>
      <c r="AT531" s="189">
        <f>IF(ISBLANK(AS531),,IF(U531="S",AD531-AS531,AS531-AD531))</f>
        <v>0</v>
      </c>
      <c r="AU531" s="187">
        <f>AV531*R531</f>
        <v>0</v>
      </c>
      <c r="AV531" s="190">
        <f>IF(ISBLANK(AS531),,(AT531*Z531))</f>
        <v>0</v>
      </c>
      <c r="AW531" s="191"/>
      <c r="AX531" s="407" t="s">
        <v>2372</v>
      </c>
      <c r="AY531" s="407" t="s">
        <v>2373</v>
      </c>
      <c r="AZ531" s="407" t="s">
        <v>2374</v>
      </c>
      <c r="BA531" s="407" t="s">
        <v>529</v>
      </c>
      <c r="BB531" s="407"/>
      <c r="BC531" s="407"/>
      <c r="BD531" s="407"/>
      <c r="BE531" s="407"/>
      <c r="BF531" s="422"/>
      <c r="BG531" s="391">
        <f>SUM($AV$4:AV531)</f>
        <v>2900.5788095238049</v>
      </c>
      <c r="BH531" s="392">
        <f>SUM($AU$134:AU531)</f>
        <v>2726.7299999999395</v>
      </c>
      <c r="BI531" s="318">
        <f>SUMIFS($AU$134:AU532,$Q$134:Q532,"F")</f>
        <v>-2758.8</v>
      </c>
      <c r="BJ531" s="318">
        <f>SUMIFS($AU$134:AU532,$Q$134:Q532,"S")</f>
        <v>5736.0899999999974</v>
      </c>
      <c r="BK531" s="343">
        <f>SUMIFS($AU$134:AU532,$P$134:P532,"W")</f>
        <v>4447.3899999999348</v>
      </c>
      <c r="BL531" s="343">
        <f>SUMIFS($AU$134:AU532,$P$134:P532,"R")</f>
        <v>-1648.6599999999976</v>
      </c>
      <c r="BM531" s="343">
        <f>SUMIFS($AU$134:AU532,$AQ$134:AQ532,"M")</f>
        <v>1789.3999999999721</v>
      </c>
      <c r="BN531" s="343">
        <f>SUMIFS($AU$134:AU532,$AQ$134:AQ532,"H")</f>
        <v>3367.9000000000156</v>
      </c>
      <c r="BO531" s="343">
        <f>SUMIFS($AU$134:AU532,$AQ$134:AQ532,"D")</f>
        <v>-1798.3100000000004</v>
      </c>
      <c r="BP531" s="343">
        <f>SUMIFS($AU$134:AU534,$AQ$134:AQ534,"W")</f>
        <v>-1270.7</v>
      </c>
      <c r="BQ531" s="343">
        <f>SUMIFS($AU$134:AU532,$Q$134:Q532,"O")</f>
        <v>-377.76000000006229</v>
      </c>
      <c r="BR531" s="343">
        <f>SUMIFS($AU$134:AU532,$AA$134:AA532,"*")</f>
        <v>5447.7899999999645</v>
      </c>
      <c r="BS531" s="343">
        <f>SUMIFS($AU$134:AU532,$AB$134:AB532,"*")</f>
        <v>-330.56000000002388</v>
      </c>
      <c r="BT531" s="343">
        <f>SUMIFS($AU$134:AU532,$AC$134:AC532,"*")</f>
        <v>-1637.6500000000015</v>
      </c>
      <c r="BU531" s="343">
        <f>SUMIFS($AU$134:AU532,$AA$134:AA532,"*",$AB$134:AB532,"*")</f>
        <v>-501.99999999999494</v>
      </c>
      <c r="BV531" s="343">
        <f>SUMIFS($AU$134:AU532,$AA$134:AA532,"*",$AC$134:AC532,"*")</f>
        <v>687.44999999999925</v>
      </c>
      <c r="BW531" s="343">
        <f>SUMIFS($AU$134:AU532,$AB$134:AB532,"*",$AC$134:AC532,"*")</f>
        <v>254.5999999999998</v>
      </c>
      <c r="BX531" s="343">
        <f>SUMIFS($AU532:AU$1388,$Q532:Q$1388,"F")</f>
        <v>17199.466666666667</v>
      </c>
      <c r="BY531" s="343">
        <f>SUMIFS($AU532:AU$1388,$Q532:Q$1388,"S")</f>
        <v>14935.552000000001</v>
      </c>
      <c r="BZ531" s="343">
        <f>SUMIFS($AU532:AU$1388,$Q532:Q$1388,"O")</f>
        <v>-1271.097999999736</v>
      </c>
    </row>
    <row r="532" spans="1:78" ht="15.75" customHeight="1">
      <c r="A532" s="221" t="s">
        <v>2054</v>
      </c>
      <c r="B532" s="200"/>
      <c r="C532" s="178"/>
      <c r="D532" s="178"/>
      <c r="E532" s="227"/>
      <c r="F532" s="180"/>
      <c r="G532" s="181"/>
      <c r="H532" s="182"/>
      <c r="I532" s="182"/>
      <c r="J532" s="182"/>
      <c r="K532" s="183"/>
      <c r="L532" s="182"/>
      <c r="M532" s="182"/>
      <c r="N532" s="182"/>
      <c r="O532" s="183"/>
      <c r="P532" s="183"/>
      <c r="Q532" s="183"/>
      <c r="R532" s="183"/>
      <c r="S532" s="183"/>
      <c r="T532" s="183"/>
      <c r="U532" s="183"/>
      <c r="V532" s="183"/>
      <c r="W532" s="183"/>
      <c r="X532" s="183"/>
      <c r="Y532" s="184" t="str">
        <f t="shared" si="208"/>
        <v/>
      </c>
      <c r="Z532" s="185" t="str">
        <f t="shared" si="209"/>
        <v/>
      </c>
      <c r="AA532" s="185"/>
      <c r="AB532" s="185"/>
      <c r="AC532" s="185"/>
      <c r="AD532" s="649"/>
      <c r="AE532" s="182"/>
      <c r="AF532" s="332"/>
      <c r="AG532" s="182"/>
      <c r="AH532" s="182"/>
      <c r="AI532" s="182"/>
      <c r="AJ532" s="640"/>
      <c r="AK532" s="182"/>
      <c r="AL532" s="496"/>
      <c r="AM532" s="496"/>
      <c r="AN532" s="626"/>
      <c r="AO532" s="182"/>
      <c r="AP532" s="182"/>
      <c r="AQ532" s="332" t="str">
        <f>UPPER(RIGHT(Journal_Live[[#This Row],[DURATION ]]))</f>
        <v/>
      </c>
      <c r="AR532" s="182"/>
      <c r="AS532" s="189"/>
      <c r="AT532" s="189">
        <f>IF(ISBLANK(AS532),,IF(U532="S",AD532-AS532,AS532-AD532))</f>
        <v>0</v>
      </c>
      <c r="AU532" s="187">
        <f>AV532*R532</f>
        <v>0</v>
      </c>
      <c r="AV532" s="190">
        <f>IF(ISBLANK(AS532),,(AT532*Z532))</f>
        <v>0</v>
      </c>
      <c r="AW532" s="191"/>
      <c r="AX532" s="407"/>
      <c r="AY532" s="407"/>
      <c r="AZ532" s="407"/>
      <c r="BA532" s="407"/>
      <c r="BB532" s="407"/>
      <c r="BC532" s="407"/>
      <c r="BD532" s="407"/>
      <c r="BE532" s="407"/>
      <c r="BF532" s="422"/>
      <c r="BG532" s="391">
        <f>SUM($AV$4:AV532)</f>
        <v>2900.5788095238049</v>
      </c>
      <c r="BH532" s="392">
        <f>SUM($AU$134:AU532)</f>
        <v>2726.7299999999395</v>
      </c>
      <c r="BI532" s="318">
        <f>SUMIFS($AU$134:AU533,$Q$134:Q533,"F")</f>
        <v>-2758.8</v>
      </c>
      <c r="BJ532" s="318">
        <f>SUMIFS($AU$134:AU533,$Q$134:Q533,"S")</f>
        <v>5736.0899999999974</v>
      </c>
      <c r="BK532" s="343">
        <f>SUMIFS($AU$134:AU533,$P$134:P533,"W")</f>
        <v>4447.3899999999348</v>
      </c>
      <c r="BL532" s="343">
        <f>SUMIFS($AU$134:AU533,$P$134:P533,"R")</f>
        <v>-1648.6599999999976</v>
      </c>
      <c r="BM532" s="343">
        <f>SUMIFS($AU$134:AU533,$AQ$134:AQ533,"M")</f>
        <v>1789.3999999999721</v>
      </c>
      <c r="BN532" s="343">
        <f>SUMIFS($AU$134:AU533,$AQ$134:AQ533,"H")</f>
        <v>3367.9000000000156</v>
      </c>
      <c r="BO532" s="343">
        <f>SUMIFS($AU$134:AU533,$AQ$134:AQ533,"D")</f>
        <v>-1798.3100000000004</v>
      </c>
      <c r="BP532" s="343">
        <f>SUMIFS($AU$134:AU535,$AQ$134:AQ535,"W")</f>
        <v>-1270.7</v>
      </c>
      <c r="BQ532" s="343">
        <f>SUMIFS($AU$134:AU533,$Q$134:Q533,"O")</f>
        <v>-377.76000000006229</v>
      </c>
      <c r="BR532" s="343">
        <f>SUMIFS($AU$134:AU533,$AA$134:AA533,"*")</f>
        <v>5447.7899999999645</v>
      </c>
      <c r="BS532" s="343">
        <f>SUMIFS($AU$134:AU533,$AB$134:AB533,"*")</f>
        <v>-330.56000000002388</v>
      </c>
      <c r="BT532" s="343">
        <f>SUMIFS($AU$134:AU533,$AC$134:AC533,"*")</f>
        <v>-1637.6500000000015</v>
      </c>
      <c r="BU532" s="343">
        <f>SUMIFS($AU$134:AU533,$AA$134:AA533,"*",$AB$134:AB533,"*")</f>
        <v>-501.99999999999494</v>
      </c>
      <c r="BV532" s="343">
        <f>SUMIFS($AU$134:AU533,$AA$134:AA533,"*",$AC$134:AC533,"*")</f>
        <v>687.44999999999925</v>
      </c>
      <c r="BW532" s="343">
        <f>SUMIFS($AU$134:AU533,$AB$134:AB533,"*",$AC$134:AC533,"*")</f>
        <v>254.5999999999998</v>
      </c>
      <c r="BX532" s="343">
        <f>SUMIFS($AU533:AU$1388,$Q533:Q$1388,"F")</f>
        <v>17199.466666666667</v>
      </c>
      <c r="BY532" s="343">
        <f>SUMIFS($AU533:AU$1388,$Q533:Q$1388,"S")</f>
        <v>14935.552000000001</v>
      </c>
      <c r="BZ532" s="343">
        <f>SUMIFS($AU533:AU$1388,$Q533:Q$1388,"O")</f>
        <v>-1271.097999999736</v>
      </c>
    </row>
    <row r="533" spans="1:78" ht="15.75" customHeight="1">
      <c r="A533" s="221" t="s">
        <v>2054</v>
      </c>
      <c r="B533" s="200"/>
      <c r="C533" s="178"/>
      <c r="D533" s="178"/>
      <c r="E533" s="227"/>
      <c r="F533" s="180"/>
      <c r="G533" s="181"/>
      <c r="H533" s="182"/>
      <c r="I533" s="182"/>
      <c r="J533" s="182"/>
      <c r="K533" s="183"/>
      <c r="L533" s="182"/>
      <c r="M533" s="182"/>
      <c r="N533" s="182"/>
      <c r="O533" s="183"/>
      <c r="P533" s="183"/>
      <c r="Q533" s="183"/>
      <c r="R533" s="183"/>
      <c r="S533" s="183"/>
      <c r="T533" s="183"/>
      <c r="U533" s="183"/>
      <c r="V533" s="183"/>
      <c r="W533" s="183"/>
      <c r="X533" s="183"/>
      <c r="Y533" s="184" t="str">
        <f t="shared" si="208"/>
        <v/>
      </c>
      <c r="Z533" s="185" t="str">
        <f t="shared" si="209"/>
        <v/>
      </c>
      <c r="AA533" s="185"/>
      <c r="AB533" s="185"/>
      <c r="AC533" s="185"/>
      <c r="AD533" s="649"/>
      <c r="AE533" s="182"/>
      <c r="AF533" s="332"/>
      <c r="AG533" s="182"/>
      <c r="AH533" s="182"/>
      <c r="AI533" s="182"/>
      <c r="AJ533" s="640"/>
      <c r="AK533" s="182"/>
      <c r="AL533" s="496"/>
      <c r="AM533" s="496"/>
      <c r="AN533" s="626"/>
      <c r="AO533" s="182"/>
      <c r="AP533" s="182"/>
      <c r="AQ533" s="332" t="str">
        <f>UPPER(RIGHT(Journal_Live[[#This Row],[DURATION ]]))</f>
        <v/>
      </c>
      <c r="AR533" s="182"/>
      <c r="AS533" s="189"/>
      <c r="AT533" s="189">
        <f>IF(ISBLANK(AS533),,IF(U533="S",AD533-AS533,AS533-AD533))</f>
        <v>0</v>
      </c>
      <c r="AU533" s="187">
        <f>AV533*R533</f>
        <v>0</v>
      </c>
      <c r="AV533" s="190">
        <f>IF(ISBLANK(AS533),,(AT533*Z533))</f>
        <v>0</v>
      </c>
      <c r="AW533" s="191"/>
      <c r="AX533" s="417" t="s">
        <v>2375</v>
      </c>
      <c r="AY533" s="417" t="s">
        <v>2376</v>
      </c>
      <c r="AZ533" s="417" t="s">
        <v>2377</v>
      </c>
      <c r="BA533" s="417" t="s">
        <v>2378</v>
      </c>
      <c r="BB533" s="417" t="s">
        <v>2266</v>
      </c>
      <c r="BC533" s="417" t="s">
        <v>2323</v>
      </c>
      <c r="BD533" s="407" t="s">
        <v>529</v>
      </c>
      <c r="BE533" s="407"/>
      <c r="BF533" s="422"/>
      <c r="BG533" s="391">
        <f>SUM($AV$4:AV533)</f>
        <v>2900.5788095238049</v>
      </c>
      <c r="BH533" s="392">
        <f>SUM($AU$134:AU533)</f>
        <v>2726.7299999999395</v>
      </c>
      <c r="BI533" s="318">
        <f>SUMIFS($AU$134:AU534,$Q$134:Q534,"F")</f>
        <v>-2758.8</v>
      </c>
      <c r="BJ533" s="318">
        <f>SUMIFS($AU$134:AU534,$Q$134:Q534,"S")</f>
        <v>5736.0899999999974</v>
      </c>
      <c r="BK533" s="343">
        <f>SUMIFS($AU$134:AU534,$P$134:P534,"W")</f>
        <v>4447.3899999999348</v>
      </c>
      <c r="BL533" s="343">
        <f>SUMIFS($AU$134:AU534,$P$134:P534,"R")</f>
        <v>-1648.6599999999976</v>
      </c>
      <c r="BM533" s="343">
        <f>SUMIFS($AU$134:AU534,$AQ$134:AQ534,"M")</f>
        <v>1789.3999999999721</v>
      </c>
      <c r="BN533" s="343">
        <f>SUMIFS($AU$134:AU534,$AQ$134:AQ534,"H")</f>
        <v>3367.9000000000156</v>
      </c>
      <c r="BO533" s="343">
        <f>SUMIFS($AU$134:AU534,$AQ$134:AQ534,"D")</f>
        <v>-1798.3100000000004</v>
      </c>
      <c r="BP533" s="343">
        <f>SUMIFS($AU$134:AU536,$AQ$134:AQ536,"W")</f>
        <v>-1270.7</v>
      </c>
      <c r="BQ533" s="343">
        <f>SUMIFS($AU$134:AU534,$Q$134:Q534,"O")</f>
        <v>-377.76000000006229</v>
      </c>
      <c r="BR533" s="343">
        <f>SUMIFS($AU$134:AU534,$AA$134:AA534,"*")</f>
        <v>5447.7899999999645</v>
      </c>
      <c r="BS533" s="343">
        <f>SUMIFS($AU$134:AU534,$AB$134:AB534,"*")</f>
        <v>-330.56000000002388</v>
      </c>
      <c r="BT533" s="343">
        <f>SUMIFS($AU$134:AU534,$AC$134:AC534,"*")</f>
        <v>-1637.6500000000015</v>
      </c>
      <c r="BU533" s="343">
        <f>SUMIFS($AU$134:AU534,$AA$134:AA534,"*",$AB$134:AB534,"*")</f>
        <v>-501.99999999999494</v>
      </c>
      <c r="BV533" s="343">
        <f>SUMIFS($AU$134:AU534,$AA$134:AA534,"*",$AC$134:AC534,"*")</f>
        <v>687.44999999999925</v>
      </c>
      <c r="BW533" s="343">
        <f>SUMIFS($AU$134:AU534,$AB$134:AB534,"*",$AC$134:AC534,"*")</f>
        <v>254.5999999999998</v>
      </c>
      <c r="BX533" s="343">
        <f>SUMIFS($AU534:AU$1388,$Q534:Q$1388,"F")</f>
        <v>17199.466666666667</v>
      </c>
      <c r="BY533" s="343">
        <f>SUMIFS($AU534:AU$1388,$Q534:Q$1388,"S")</f>
        <v>14935.552000000001</v>
      </c>
      <c r="BZ533" s="343">
        <f>SUMIFS($AU534:AU$1388,$Q534:Q$1388,"O")</f>
        <v>-1271.097999999736</v>
      </c>
    </row>
    <row r="534" spans="1:78" ht="15.75" customHeight="1">
      <c r="A534" s="273" t="s">
        <v>2379</v>
      </c>
      <c r="B534" s="273"/>
      <c r="C534" s="214"/>
      <c r="D534" s="214"/>
      <c r="E534" s="215"/>
      <c r="F534" s="216"/>
      <c r="G534" s="214"/>
      <c r="H534" s="214"/>
      <c r="I534" s="214"/>
      <c r="J534" s="214"/>
      <c r="K534" s="217"/>
      <c r="L534" s="214"/>
      <c r="M534" s="214"/>
      <c r="N534" s="214"/>
      <c r="O534" s="217"/>
      <c r="P534" s="217"/>
      <c r="Q534" s="217"/>
      <c r="R534" s="217"/>
      <c r="S534" s="217"/>
      <c r="T534" s="217"/>
      <c r="U534" s="217"/>
      <c r="V534" s="217"/>
      <c r="W534" s="217"/>
      <c r="X534" s="217"/>
      <c r="Y534" s="218" t="str">
        <f t="shared" si="208"/>
        <v/>
      </c>
      <c r="Z534" s="218" t="str">
        <f t="shared" si="209"/>
        <v/>
      </c>
      <c r="AA534" s="218"/>
      <c r="AB534" s="218"/>
      <c r="AC534" s="218"/>
      <c r="AD534" s="651"/>
      <c r="AE534" s="214"/>
      <c r="AF534" s="347"/>
      <c r="AG534" s="343"/>
      <c r="AH534" s="214"/>
      <c r="AI534" s="214"/>
      <c r="AJ534" s="642"/>
      <c r="AK534" s="214"/>
      <c r="AL534" s="502"/>
      <c r="AM534" s="502"/>
      <c r="AN534" s="628"/>
      <c r="AO534" s="214"/>
      <c r="AP534" s="214"/>
      <c r="AQ534" s="334" t="str">
        <f>UPPER(RIGHT(Journal_Live[[#This Row],[DURATION ]]))</f>
        <v/>
      </c>
      <c r="AR534" s="214"/>
      <c r="AS534" s="219"/>
      <c r="AT534" s="214"/>
      <c r="AU534" s="214"/>
      <c r="AV534" s="214"/>
      <c r="AW534" s="220"/>
      <c r="AX534" s="414"/>
      <c r="AY534" s="414"/>
      <c r="AZ534" s="414"/>
      <c r="BA534" s="414"/>
      <c r="BB534" s="414"/>
      <c r="BC534" s="414"/>
      <c r="BD534" s="414"/>
      <c r="BE534" s="414"/>
      <c r="BF534" s="414"/>
      <c r="BG534" s="391">
        <f>SUM($AV$4:AV534)</f>
        <v>2900.5788095238049</v>
      </c>
      <c r="BH534" s="392">
        <f>SUM($AU$134:AU534)</f>
        <v>2726.7299999999395</v>
      </c>
      <c r="BI534" s="318">
        <f>SUMIFS($AU$134:AU535,$Q$134:Q535,"F")</f>
        <v>-2758.8</v>
      </c>
      <c r="BJ534" s="318">
        <f>SUMIFS($AU$134:AU535,$Q$134:Q535,"S")</f>
        <v>5736.0899999999974</v>
      </c>
      <c r="BK534" s="343">
        <f>SUMIFS($AU$134:AU535,$P$134:P535,"W")</f>
        <v>4447.3899999999348</v>
      </c>
      <c r="BL534" s="343">
        <f>SUMIFS($AU$134:AU535,$P$134:P535,"R")</f>
        <v>-1648.6599999999976</v>
      </c>
      <c r="BM534" s="343">
        <f>SUMIFS($AU$134:AU535,$AQ$134:AQ535,"M")</f>
        <v>1789.3999999999721</v>
      </c>
      <c r="BN534" s="343">
        <f>SUMIFS($AU$134:AU535,$AQ$134:AQ535,"H")</f>
        <v>3367.9000000000156</v>
      </c>
      <c r="BO534" s="343">
        <f>SUMIFS($AU$134:AU535,$AQ$134:AQ535,"D")</f>
        <v>-1798.3100000000004</v>
      </c>
      <c r="BP534" s="343">
        <f>SUMIFS($AU$134:AU537,$AQ$134:AQ537,"W")</f>
        <v>-1270.7</v>
      </c>
      <c r="BQ534" s="343">
        <f>SUMIFS($AU$134:AU535,$Q$134:Q535,"O")</f>
        <v>-377.76000000006229</v>
      </c>
      <c r="BR534" s="343">
        <f>SUMIFS($AU$134:AU535,$AA$134:AA535,"*")</f>
        <v>5447.7899999999645</v>
      </c>
      <c r="BS534" s="343">
        <f>SUMIFS($AU$134:AU535,$AB$134:AB535,"*")</f>
        <v>-330.56000000002388</v>
      </c>
      <c r="BT534" s="343">
        <f>SUMIFS($AU$134:AU535,$AC$134:AC535,"*")</f>
        <v>-1637.6500000000015</v>
      </c>
      <c r="BU534" s="343">
        <f>SUMIFS($AU$134:AU535,$AA$134:AA535,"*",$AB$134:AB535,"*")</f>
        <v>-501.99999999999494</v>
      </c>
      <c r="BV534" s="343">
        <f>SUMIFS($AU$134:AU535,$AA$134:AA535,"*",$AC$134:AC535,"*")</f>
        <v>687.44999999999925</v>
      </c>
      <c r="BW534" s="343">
        <f>SUMIFS($AU$134:AU535,$AB$134:AB535,"*",$AC$134:AC535,"*")</f>
        <v>254.5999999999998</v>
      </c>
      <c r="BX534" s="343">
        <f>SUMIFS($AU535:AU$1388,$Q535:Q$1388,"F")</f>
        <v>17199.466666666667</v>
      </c>
      <c r="BY534" s="343">
        <f>SUMIFS($AU535:AU$1388,$Q535:Q$1388,"S")</f>
        <v>14935.552000000001</v>
      </c>
      <c r="BZ534" s="343">
        <f>SUMIFS($AU535:AU$1388,$Q535:Q$1388,"O")</f>
        <v>-1271.097999999736</v>
      </c>
    </row>
    <row r="535" spans="1:78" ht="15.75" customHeight="1">
      <c r="A535" s="221" t="s">
        <v>2380</v>
      </c>
      <c r="B535" s="200"/>
      <c r="C535" s="178"/>
      <c r="D535" s="178"/>
      <c r="E535" s="227"/>
      <c r="F535" s="180"/>
      <c r="G535" s="181"/>
      <c r="H535" s="182"/>
      <c r="I535" s="182"/>
      <c r="J535" s="182"/>
      <c r="K535" s="183"/>
      <c r="L535" s="182"/>
      <c r="M535" s="182"/>
      <c r="N535" s="182"/>
      <c r="O535" s="183"/>
      <c r="P535" s="183"/>
      <c r="Q535" s="183"/>
      <c r="R535" s="183"/>
      <c r="S535" s="183"/>
      <c r="T535" s="183"/>
      <c r="U535" s="183"/>
      <c r="V535" s="183"/>
      <c r="W535" s="183"/>
      <c r="X535" s="183"/>
      <c r="Y535" s="184" t="str">
        <f t="shared" si="208"/>
        <v/>
      </c>
      <c r="Z535" s="185" t="str">
        <f t="shared" si="209"/>
        <v/>
      </c>
      <c r="AA535" s="185"/>
      <c r="AB535" s="185"/>
      <c r="AC535" s="185"/>
      <c r="AD535" s="649"/>
      <c r="AE535" s="182"/>
      <c r="AF535" s="332"/>
      <c r="AG535" s="182"/>
      <c r="AH535" s="182"/>
      <c r="AI535" s="182"/>
      <c r="AJ535" s="640"/>
      <c r="AK535" s="182"/>
      <c r="AL535" s="496"/>
      <c r="AM535" s="496"/>
      <c r="AN535" s="626"/>
      <c r="AO535" s="182"/>
      <c r="AP535" s="182"/>
      <c r="AQ535" s="332" t="str">
        <f>UPPER(RIGHT(Journal_Live[[#This Row],[DURATION ]]))</f>
        <v/>
      </c>
      <c r="AR535" s="182"/>
      <c r="AS535" s="189"/>
      <c r="AT535" s="189"/>
      <c r="AU535" s="187"/>
      <c r="AV535" s="190"/>
      <c r="AW535" s="191"/>
      <c r="AX535" s="407" t="s">
        <v>2381</v>
      </c>
      <c r="AY535" s="407" t="s">
        <v>2382</v>
      </c>
      <c r="AZ535" s="407" t="s">
        <v>2383</v>
      </c>
      <c r="BA535" s="407" t="s">
        <v>2384</v>
      </c>
      <c r="BB535" s="407" t="s">
        <v>529</v>
      </c>
      <c r="BC535" s="407"/>
      <c r="BD535" s="407" t="s">
        <v>2385</v>
      </c>
      <c r="BE535" s="407"/>
      <c r="BF535" s="422"/>
      <c r="BG535" s="391">
        <f>SUM($AV$4:AV535)</f>
        <v>2900.5788095238049</v>
      </c>
      <c r="BH535" s="392">
        <f>SUM($AU$134:AU535)</f>
        <v>2726.7299999999395</v>
      </c>
      <c r="BI535" s="318">
        <f>SUMIFS($AU$134:AU536,$Q$134:Q536,"F")</f>
        <v>-2758.8</v>
      </c>
      <c r="BJ535" s="318">
        <f>SUMIFS($AU$134:AU536,$Q$134:Q536,"S")</f>
        <v>5736.0899999999974</v>
      </c>
      <c r="BK535" s="343">
        <f>SUMIFS($AU$134:AU536,$P$134:P536,"W")</f>
        <v>4447.3899999999348</v>
      </c>
      <c r="BL535" s="343">
        <f>SUMIFS($AU$134:AU536,$P$134:P536,"R")</f>
        <v>-1648.6599999999976</v>
      </c>
      <c r="BM535" s="343">
        <f>SUMIFS($AU$134:AU536,$AQ$134:AQ536,"M")</f>
        <v>1789.3999999999721</v>
      </c>
      <c r="BN535" s="343">
        <f>SUMIFS($AU$134:AU536,$AQ$134:AQ536,"H")</f>
        <v>3367.9000000000156</v>
      </c>
      <c r="BO535" s="343">
        <f>SUMIFS($AU$134:AU536,$AQ$134:AQ536,"D")</f>
        <v>-1798.3100000000004</v>
      </c>
      <c r="BP535" s="343">
        <f>SUMIFS($AU$134:AU538,$AQ$134:AQ538,"W")</f>
        <v>-1270.7</v>
      </c>
      <c r="BQ535" s="343">
        <f>SUMIFS($AU$134:AU536,$Q$134:Q536,"O")</f>
        <v>-377.76000000006229</v>
      </c>
      <c r="BR535" s="343">
        <f>SUMIFS($AU$134:AU536,$AA$134:AA536,"*")</f>
        <v>5447.7899999999645</v>
      </c>
      <c r="BS535" s="343">
        <f>SUMIFS($AU$134:AU536,$AB$134:AB536,"*")</f>
        <v>-330.56000000002388</v>
      </c>
      <c r="BT535" s="343">
        <f>SUMIFS($AU$134:AU536,$AC$134:AC536,"*")</f>
        <v>-1637.6500000000015</v>
      </c>
      <c r="BU535" s="343">
        <f>SUMIFS($AU$134:AU536,$AA$134:AA536,"*",$AB$134:AB536,"*")</f>
        <v>-501.99999999999494</v>
      </c>
      <c r="BV535" s="343">
        <f>SUMIFS($AU$134:AU536,$AA$134:AA536,"*",$AC$134:AC536,"*")</f>
        <v>687.44999999999925</v>
      </c>
      <c r="BW535" s="343">
        <f>SUMIFS($AU$134:AU536,$AB$134:AB536,"*",$AC$134:AC536,"*")</f>
        <v>254.5999999999998</v>
      </c>
      <c r="BX535" s="343">
        <f>SUMIFS($AU536:AU$1388,$Q536:Q$1388,"F")</f>
        <v>17199.466666666667</v>
      </c>
      <c r="BY535" s="343">
        <f>SUMIFS($AU536:AU$1388,$Q536:Q$1388,"S")</f>
        <v>14935.552000000001</v>
      </c>
      <c r="BZ535" s="343">
        <f>SUMIFS($AU536:AU$1388,$Q536:Q$1388,"O")</f>
        <v>-1271.097999999736</v>
      </c>
    </row>
    <row r="536" spans="1:78" ht="15.75" customHeight="1">
      <c r="A536" s="221" t="s">
        <v>2380</v>
      </c>
      <c r="B536" s="200">
        <v>45048</v>
      </c>
      <c r="C536" s="178" t="s">
        <v>2386</v>
      </c>
      <c r="D536" s="178" t="s">
        <v>146</v>
      </c>
      <c r="E536" s="227"/>
      <c r="F536" s="180"/>
      <c r="G536" s="181" t="s">
        <v>2387</v>
      </c>
      <c r="H536" s="182"/>
      <c r="I536" s="182"/>
      <c r="J536" s="182"/>
      <c r="K536" s="183"/>
      <c r="L536" s="182"/>
      <c r="M536" s="182">
        <v>2</v>
      </c>
      <c r="N536" s="182"/>
      <c r="O536" s="183" t="s">
        <v>1057</v>
      </c>
      <c r="P536" s="183"/>
      <c r="Q536" s="183" t="s">
        <v>684</v>
      </c>
      <c r="R536" s="183">
        <v>2</v>
      </c>
      <c r="S536" s="183">
        <v>0</v>
      </c>
      <c r="T536" s="183">
        <v>2</v>
      </c>
      <c r="U536" s="183" t="s">
        <v>97</v>
      </c>
      <c r="V536" s="183"/>
      <c r="W536" s="183"/>
      <c r="X536" s="183"/>
      <c r="Y536" s="184">
        <f t="shared" si="208"/>
        <v>5.0000000000000001E-3</v>
      </c>
      <c r="Z536" s="185">
        <f t="shared" si="209"/>
        <v>1726.0000000000002</v>
      </c>
      <c r="AA536" s="185" t="s">
        <v>2388</v>
      </c>
      <c r="AB536" s="185" t="s">
        <v>2389</v>
      </c>
      <c r="AC536" s="185"/>
      <c r="AD536" s="649">
        <v>96.405000000000001</v>
      </c>
      <c r="AE536" s="182"/>
      <c r="AF536" s="332"/>
      <c r="AG536" s="182"/>
      <c r="AH536" s="182"/>
      <c r="AI536" s="182"/>
      <c r="AJ536" s="640"/>
      <c r="AK536" s="182"/>
      <c r="AL536" s="496"/>
      <c r="AM536" s="496"/>
      <c r="AN536" s="626"/>
      <c r="AO536" s="182"/>
      <c r="AP536" s="182" t="s">
        <v>937</v>
      </c>
      <c r="AQ536" s="332" t="str">
        <f>UPPER(RIGHT(Journal_Live[[#This Row],[DURATION ]]))</f>
        <v>H</v>
      </c>
      <c r="AR536" s="182" t="s">
        <v>2390</v>
      </c>
      <c r="AS536" s="189">
        <v>96.405000000000001</v>
      </c>
      <c r="AT536" s="189">
        <f>IF(ISBLANK(AS536),,IF(U536="S",AD536-AS536,AS536-AD536))</f>
        <v>0</v>
      </c>
      <c r="AU536" s="187">
        <f>AV536*R536</f>
        <v>0</v>
      </c>
      <c r="AV536" s="190">
        <f>IF(ISBLANK(AS536),,(AT536*Z536))</f>
        <v>0</v>
      </c>
      <c r="AW536" s="191" t="s">
        <v>115</v>
      </c>
      <c r="AX536" s="407" t="s">
        <v>2391</v>
      </c>
      <c r="AY536" s="407" t="s">
        <v>2392</v>
      </c>
      <c r="AZ536" s="407" t="s">
        <v>2393</v>
      </c>
      <c r="BA536" s="407" t="s">
        <v>2394</v>
      </c>
      <c r="BB536" s="407" t="s">
        <v>2395</v>
      </c>
      <c r="BC536" s="407" t="s">
        <v>2396</v>
      </c>
      <c r="BD536" s="407" t="s">
        <v>529</v>
      </c>
      <c r="BE536" s="407"/>
      <c r="BF536" s="422"/>
      <c r="BG536" s="391">
        <f>SUM($AV$4:AV536)</f>
        <v>2900.5788095238049</v>
      </c>
      <c r="BH536" s="392">
        <f>SUM($AU$134:AU536)</f>
        <v>2726.7299999999395</v>
      </c>
      <c r="BI536" s="318">
        <f>SUMIFS($AU$134:AU537,$Q$134:Q537,"F")</f>
        <v>-2758.8</v>
      </c>
      <c r="BJ536" s="318">
        <f>SUMIFS($AU$134:AU537,$Q$134:Q537,"S")</f>
        <v>5736.0899999999974</v>
      </c>
      <c r="BK536" s="343">
        <f>SUMIFS($AU$134:AU537,$P$134:P537,"W")</f>
        <v>4447.3899999999348</v>
      </c>
      <c r="BL536" s="343">
        <f>SUMIFS($AU$134:AU537,$P$134:P537,"R")</f>
        <v>-1648.6599999999976</v>
      </c>
      <c r="BM536" s="343">
        <f>SUMIFS($AU$134:AU537,$AQ$134:AQ537,"M")</f>
        <v>1789.3999999999721</v>
      </c>
      <c r="BN536" s="343">
        <f>SUMIFS($AU$134:AU537,$AQ$134:AQ537,"H")</f>
        <v>3367.9000000000156</v>
      </c>
      <c r="BO536" s="343">
        <f>SUMIFS($AU$134:AU537,$AQ$134:AQ537,"D")</f>
        <v>-1798.3100000000004</v>
      </c>
      <c r="BP536" s="343">
        <f>SUMIFS($AU$134:AU539,$AQ$134:AQ539,"W")</f>
        <v>-1270.7</v>
      </c>
      <c r="BQ536" s="343">
        <f>SUMIFS($AU$134:AU537,$Q$134:Q537,"O")</f>
        <v>-377.76000000006229</v>
      </c>
      <c r="BR536" s="343">
        <f>SUMIFS($AU$134:AU537,$AA$134:AA537,"*")</f>
        <v>5447.7899999999645</v>
      </c>
      <c r="BS536" s="343">
        <f>SUMIFS($AU$134:AU537,$AB$134:AB537,"*")</f>
        <v>-330.56000000002388</v>
      </c>
      <c r="BT536" s="343">
        <f>SUMIFS($AU$134:AU537,$AC$134:AC537,"*")</f>
        <v>-1637.6500000000015</v>
      </c>
      <c r="BU536" s="343">
        <f>SUMIFS($AU$134:AU537,$AA$134:AA537,"*",$AB$134:AB537,"*")</f>
        <v>-501.99999999999494</v>
      </c>
      <c r="BV536" s="343">
        <f>SUMIFS($AU$134:AU537,$AA$134:AA537,"*",$AC$134:AC537,"*")</f>
        <v>687.44999999999925</v>
      </c>
      <c r="BW536" s="343">
        <f>SUMIFS($AU$134:AU537,$AB$134:AB537,"*",$AC$134:AC537,"*")</f>
        <v>254.5999999999998</v>
      </c>
      <c r="BX536" s="343">
        <f>SUMIFS($AU537:AU$1388,$Q537:Q$1388,"F")</f>
        <v>17199.466666666667</v>
      </c>
      <c r="BY536" s="343">
        <f>SUMIFS($AU537:AU$1388,$Q537:Q$1388,"S")</f>
        <v>14935.552000000001</v>
      </c>
      <c r="BZ536" s="343">
        <f>SUMIFS($AU537:AU$1388,$Q537:Q$1388,"O")</f>
        <v>-1271.097999999736</v>
      </c>
    </row>
    <row r="537" spans="1:78" ht="15.75" customHeight="1">
      <c r="A537" s="221" t="s">
        <v>2380</v>
      </c>
      <c r="B537" s="200">
        <v>45048</v>
      </c>
      <c r="C537" s="194">
        <v>0.41666666666666669</v>
      </c>
      <c r="D537" s="178" t="s">
        <v>146</v>
      </c>
      <c r="E537" s="227" t="s">
        <v>2397</v>
      </c>
      <c r="F537" s="180" t="s">
        <v>2398</v>
      </c>
      <c r="G537" s="181"/>
      <c r="H537" s="182">
        <v>1</v>
      </c>
      <c r="I537" s="182"/>
      <c r="J537" s="182"/>
      <c r="K537" s="183" t="s">
        <v>372</v>
      </c>
      <c r="L537" s="182"/>
      <c r="M537" s="182"/>
      <c r="N537" s="182"/>
      <c r="O537" s="183"/>
      <c r="P537" s="183"/>
      <c r="Q537" s="183"/>
      <c r="R537" s="183"/>
      <c r="S537" s="183"/>
      <c r="T537" s="183"/>
      <c r="U537" s="183"/>
      <c r="V537" s="183"/>
      <c r="W537" s="183"/>
      <c r="X537" s="183"/>
      <c r="Y537" s="184" t="str">
        <f t="shared" si="208"/>
        <v/>
      </c>
      <c r="Z537" s="185" t="str">
        <f t="shared" si="209"/>
        <v/>
      </c>
      <c r="AA537" s="185"/>
      <c r="AB537" s="185"/>
      <c r="AC537" s="185"/>
      <c r="AD537" s="649"/>
      <c r="AE537" s="182"/>
      <c r="AF537" s="332"/>
      <c r="AG537" s="182"/>
      <c r="AH537" s="182"/>
      <c r="AI537" s="182"/>
      <c r="AJ537" s="640"/>
      <c r="AK537" s="182"/>
      <c r="AL537" s="496"/>
      <c r="AM537" s="496"/>
      <c r="AN537" s="626"/>
      <c r="AO537" s="182"/>
      <c r="AP537" s="182"/>
      <c r="AQ537" s="332" t="str">
        <f>UPPER(RIGHT(Journal_Live[[#This Row],[DURATION ]]))</f>
        <v/>
      </c>
      <c r="AR537" s="182"/>
      <c r="AS537" s="189"/>
      <c r="AT537" s="189"/>
      <c r="AU537" s="187"/>
      <c r="AV537" s="190"/>
      <c r="AW537" s="191"/>
      <c r="AX537" s="407" t="s">
        <v>2399</v>
      </c>
      <c r="AY537" s="407"/>
      <c r="AZ537" s="407"/>
      <c r="BA537" s="407"/>
      <c r="BB537" s="407"/>
      <c r="BC537" s="407"/>
      <c r="BD537" s="407"/>
      <c r="BE537" s="407"/>
      <c r="BF537" s="422"/>
      <c r="BG537" s="391">
        <f>SUM($AV$4:AV537)</f>
        <v>2900.5788095238049</v>
      </c>
      <c r="BH537" s="392">
        <f>SUM($AU$134:AU537)</f>
        <v>2726.7299999999395</v>
      </c>
      <c r="BI537" s="318">
        <f>SUMIFS($AU$134:AU538,$Q$134:Q538,"F")</f>
        <v>-2758.8</v>
      </c>
      <c r="BJ537" s="318">
        <f>SUMIFS($AU$134:AU538,$Q$134:Q538,"S")</f>
        <v>5736.0899999999974</v>
      </c>
      <c r="BK537" s="343">
        <f>SUMIFS($AU$134:AU538,$P$134:P538,"W")</f>
        <v>4447.3899999999348</v>
      </c>
      <c r="BL537" s="343">
        <f>SUMIFS($AU$134:AU538,$P$134:P538,"R")</f>
        <v>-1648.6599999999976</v>
      </c>
      <c r="BM537" s="343">
        <f>SUMIFS($AU$134:AU538,$AQ$134:AQ538,"M")</f>
        <v>1789.3999999999721</v>
      </c>
      <c r="BN537" s="343">
        <f>SUMIFS($AU$134:AU538,$AQ$134:AQ538,"H")</f>
        <v>3367.9000000000156</v>
      </c>
      <c r="BO537" s="343">
        <f>SUMIFS($AU$134:AU538,$AQ$134:AQ538,"D")</f>
        <v>-1798.3100000000004</v>
      </c>
      <c r="BP537" s="343">
        <f>SUMIFS($AU$134:AU540,$AQ$134:AQ540,"W")</f>
        <v>-1270.7</v>
      </c>
      <c r="BQ537" s="343">
        <f>SUMIFS($AU$134:AU538,$Q$134:Q538,"O")</f>
        <v>-377.76000000006229</v>
      </c>
      <c r="BR537" s="343">
        <f>SUMIFS($AU$134:AU538,$AA$134:AA538,"*")</f>
        <v>5447.7899999999645</v>
      </c>
      <c r="BS537" s="343">
        <f>SUMIFS($AU$134:AU538,$AB$134:AB538,"*")</f>
        <v>-330.56000000002388</v>
      </c>
      <c r="BT537" s="343">
        <f>SUMIFS($AU$134:AU538,$AC$134:AC538,"*")</f>
        <v>-1637.6500000000015</v>
      </c>
      <c r="BU537" s="343">
        <f>SUMIFS($AU$134:AU538,$AA$134:AA538,"*",$AB$134:AB538,"*")</f>
        <v>-501.99999999999494</v>
      </c>
      <c r="BV537" s="343">
        <f>SUMIFS($AU$134:AU538,$AA$134:AA538,"*",$AC$134:AC538,"*")</f>
        <v>687.44999999999925</v>
      </c>
      <c r="BW537" s="343">
        <f>SUMIFS($AU$134:AU538,$AB$134:AB538,"*",$AC$134:AC538,"*")</f>
        <v>254.5999999999998</v>
      </c>
      <c r="BX537" s="343">
        <f>SUMIFS($AU538:AU$1388,$Q538:Q$1388,"F")</f>
        <v>17199.466666666667</v>
      </c>
      <c r="BY537" s="343">
        <f>SUMIFS($AU538:AU$1388,$Q538:Q$1388,"S")</f>
        <v>14935.552000000001</v>
      </c>
      <c r="BZ537" s="343">
        <f>SUMIFS($AU538:AU$1388,$Q538:Q$1388,"O")</f>
        <v>-1271.097999999736</v>
      </c>
    </row>
    <row r="538" spans="1:78" ht="15.75" customHeight="1">
      <c r="A538" s="221" t="s">
        <v>2380</v>
      </c>
      <c r="B538" s="200">
        <v>45048</v>
      </c>
      <c r="C538" s="178" t="s">
        <v>682</v>
      </c>
      <c r="D538" s="178" t="s">
        <v>146</v>
      </c>
      <c r="E538" s="227"/>
      <c r="F538" s="180"/>
      <c r="G538" s="181" t="s">
        <v>181</v>
      </c>
      <c r="H538" s="182"/>
      <c r="I538" s="182"/>
      <c r="J538" s="182"/>
      <c r="K538" s="183"/>
      <c r="L538" s="182">
        <v>1</v>
      </c>
      <c r="M538" s="182">
        <v>1</v>
      </c>
      <c r="N538" s="182"/>
      <c r="O538" s="183" t="s">
        <v>95</v>
      </c>
      <c r="P538" s="183" t="s">
        <v>96</v>
      </c>
      <c r="Q538" s="183" t="s">
        <v>97</v>
      </c>
      <c r="R538" s="183">
        <v>7</v>
      </c>
      <c r="S538" s="183">
        <v>0</v>
      </c>
      <c r="T538" s="183">
        <v>7</v>
      </c>
      <c r="U538" s="183" t="s">
        <v>22</v>
      </c>
      <c r="V538" s="183"/>
      <c r="W538" s="183"/>
      <c r="X538" s="183"/>
      <c r="Y538" s="184">
        <f t="shared" si="208"/>
        <v>0.01</v>
      </c>
      <c r="Z538" s="185">
        <f t="shared" si="209"/>
        <v>1600</v>
      </c>
      <c r="AA538" s="185" t="s">
        <v>2400</v>
      </c>
      <c r="AB538" s="185"/>
      <c r="AC538" s="185"/>
      <c r="AD538" s="649">
        <v>-0.13</v>
      </c>
      <c r="AE538" s="182"/>
      <c r="AF538" s="332"/>
      <c r="AG538" s="182"/>
      <c r="AH538" s="182"/>
      <c r="AI538" s="182"/>
      <c r="AJ538" s="640"/>
      <c r="AK538" s="182"/>
      <c r="AL538" s="496"/>
      <c r="AM538" s="496"/>
      <c r="AN538" s="626"/>
      <c r="AO538" s="182"/>
      <c r="AP538" s="182" t="s">
        <v>2401</v>
      </c>
      <c r="AQ538" s="332" t="str">
        <f>UPPER(RIGHT(Journal_Live[[#This Row],[DURATION ]]))</f>
        <v>H</v>
      </c>
      <c r="AR538" s="182" t="s">
        <v>1142</v>
      </c>
      <c r="AS538" s="189">
        <v>-0.13</v>
      </c>
      <c r="AT538" s="189">
        <f t="shared" ref="AT538:AT543" si="210">IF(ISBLANK(AS538),,IF(U538="S",AD538-AS538,AS538-AD538))</f>
        <v>0</v>
      </c>
      <c r="AU538" s="187">
        <f t="shared" ref="AU538:AU543" si="211">AV538*R538</f>
        <v>0</v>
      </c>
      <c r="AV538" s="190">
        <f t="shared" ref="AV538:AV543" si="212">IF(ISBLANK(AS538),,(AT538*Z538))</f>
        <v>0</v>
      </c>
      <c r="AW538" s="191" t="s">
        <v>115</v>
      </c>
      <c r="AX538" s="407" t="s">
        <v>2402</v>
      </c>
      <c r="AY538" s="407" t="s">
        <v>529</v>
      </c>
      <c r="AZ538" s="407"/>
      <c r="BA538" s="407"/>
      <c r="BB538" s="407"/>
      <c r="BC538" s="407"/>
      <c r="BD538" s="407"/>
      <c r="BE538" s="407"/>
      <c r="BF538" s="422"/>
      <c r="BG538" s="391">
        <f>SUM($AV$4:AV538)</f>
        <v>2900.5788095238049</v>
      </c>
      <c r="BH538" s="392">
        <f>SUM($AU$134:AU538)</f>
        <v>2726.7299999999395</v>
      </c>
      <c r="BI538" s="318">
        <f>SUMIFS($AU$134:AU539,$Q$134:Q539,"F")</f>
        <v>-2758.8</v>
      </c>
      <c r="BJ538" s="318">
        <f>SUMIFS($AU$134:AU539,$Q$134:Q539,"S")</f>
        <v>5736.0899999999974</v>
      </c>
      <c r="BK538" s="343">
        <f>SUMIFS($AU$134:AU539,$P$134:P539,"W")</f>
        <v>4447.3899999999348</v>
      </c>
      <c r="BL538" s="343">
        <f>SUMIFS($AU$134:AU539,$P$134:P539,"R")</f>
        <v>-1648.6599999999976</v>
      </c>
      <c r="BM538" s="343">
        <f>SUMIFS($AU$134:AU539,$AQ$134:AQ539,"M")</f>
        <v>1789.3999999999721</v>
      </c>
      <c r="BN538" s="343">
        <f>SUMIFS($AU$134:AU539,$AQ$134:AQ539,"H")</f>
        <v>3367.9000000000156</v>
      </c>
      <c r="BO538" s="343">
        <f>SUMIFS($AU$134:AU539,$AQ$134:AQ539,"D")</f>
        <v>-1798.3100000000004</v>
      </c>
      <c r="BP538" s="343">
        <f>SUMIFS($AU$134:AU541,$AQ$134:AQ541,"W")</f>
        <v>-1270.7</v>
      </c>
      <c r="BQ538" s="343">
        <f>SUMIFS($AU$134:AU539,$Q$134:Q539,"O")</f>
        <v>-377.76000000006229</v>
      </c>
      <c r="BR538" s="343">
        <f>SUMIFS($AU$134:AU539,$AA$134:AA539,"*")</f>
        <v>5447.7899999999645</v>
      </c>
      <c r="BS538" s="343">
        <f>SUMIFS($AU$134:AU539,$AB$134:AB539,"*")</f>
        <v>-330.56000000002388</v>
      </c>
      <c r="BT538" s="343">
        <f>SUMIFS($AU$134:AU539,$AC$134:AC539,"*")</f>
        <v>-1637.6500000000015</v>
      </c>
      <c r="BU538" s="343">
        <f>SUMIFS($AU$134:AU539,$AA$134:AA539,"*",$AB$134:AB539,"*")</f>
        <v>-501.99999999999494</v>
      </c>
      <c r="BV538" s="343">
        <f>SUMIFS($AU$134:AU539,$AA$134:AA539,"*",$AC$134:AC539,"*")</f>
        <v>687.44999999999925</v>
      </c>
      <c r="BW538" s="343">
        <f>SUMIFS($AU$134:AU539,$AB$134:AB539,"*",$AC$134:AC539,"*")</f>
        <v>254.5999999999998</v>
      </c>
      <c r="BX538" s="343">
        <f>SUMIFS($AU539:AU$1388,$Q539:Q$1388,"F")</f>
        <v>17199.466666666667</v>
      </c>
      <c r="BY538" s="343">
        <f>SUMIFS($AU539:AU$1388,$Q539:Q$1388,"S")</f>
        <v>14935.552000000001</v>
      </c>
      <c r="BZ538" s="343">
        <f>SUMIFS($AU539:AU$1388,$Q539:Q$1388,"O")</f>
        <v>-1271.097999999736</v>
      </c>
    </row>
    <row r="539" spans="1:78" ht="15.75" customHeight="1">
      <c r="A539" s="221" t="s">
        <v>2380</v>
      </c>
      <c r="B539" s="200">
        <v>45048</v>
      </c>
      <c r="C539" s="178" t="s">
        <v>682</v>
      </c>
      <c r="D539" s="178" t="s">
        <v>146</v>
      </c>
      <c r="E539" s="227"/>
      <c r="F539" s="180"/>
      <c r="G539" s="181" t="s">
        <v>2064</v>
      </c>
      <c r="H539" s="182"/>
      <c r="I539" s="182"/>
      <c r="J539" s="182"/>
      <c r="K539" s="183"/>
      <c r="L539" s="182">
        <v>1</v>
      </c>
      <c r="M539" s="182">
        <v>1</v>
      </c>
      <c r="N539" s="182"/>
      <c r="O539" s="183" t="s">
        <v>95</v>
      </c>
      <c r="P539" s="183" t="s">
        <v>137</v>
      </c>
      <c r="Q539" s="183" t="s">
        <v>97</v>
      </c>
      <c r="R539" s="183">
        <v>9</v>
      </c>
      <c r="S539" s="183">
        <v>0</v>
      </c>
      <c r="T539" s="183">
        <v>9</v>
      </c>
      <c r="U539" s="183" t="s">
        <v>22</v>
      </c>
      <c r="V539" s="183"/>
      <c r="W539" s="183"/>
      <c r="X539" s="183"/>
      <c r="Y539" s="184">
        <f t="shared" si="208"/>
        <v>0.01</v>
      </c>
      <c r="Z539" s="185">
        <f t="shared" si="209"/>
        <v>1600</v>
      </c>
      <c r="AA539" s="185" t="s">
        <v>2400</v>
      </c>
      <c r="AB539" s="185"/>
      <c r="AC539" s="185"/>
      <c r="AD539" s="649">
        <v>-0.12</v>
      </c>
      <c r="AE539" s="182"/>
      <c r="AF539" s="332"/>
      <c r="AG539" s="182"/>
      <c r="AH539" s="182"/>
      <c r="AI539" s="182"/>
      <c r="AJ539" s="640"/>
      <c r="AK539" s="182"/>
      <c r="AL539" s="496"/>
      <c r="AM539" s="496"/>
      <c r="AN539" s="626"/>
      <c r="AO539" s="182"/>
      <c r="AP539" s="182" t="s">
        <v>2401</v>
      </c>
      <c r="AQ539" s="332" t="str">
        <f>UPPER(RIGHT(Journal_Live[[#This Row],[DURATION ]]))</f>
        <v>H</v>
      </c>
      <c r="AR539" s="182" t="s">
        <v>1142</v>
      </c>
      <c r="AS539" s="189">
        <v>-0.12</v>
      </c>
      <c r="AT539" s="189">
        <f t="shared" si="210"/>
        <v>0</v>
      </c>
      <c r="AU539" s="187">
        <f t="shared" si="211"/>
        <v>0</v>
      </c>
      <c r="AV539" s="190">
        <f t="shared" si="212"/>
        <v>0</v>
      </c>
      <c r="AW539" s="191" t="s">
        <v>115</v>
      </c>
      <c r="AX539" s="407" t="s">
        <v>2402</v>
      </c>
      <c r="AY539" s="407" t="s">
        <v>529</v>
      </c>
      <c r="AZ539" s="407"/>
      <c r="BA539" s="407"/>
      <c r="BB539" s="407"/>
      <c r="BC539" s="407"/>
      <c r="BD539" s="407"/>
      <c r="BE539" s="407"/>
      <c r="BF539" s="422"/>
      <c r="BG539" s="391">
        <f>SUM($AV$4:AV539)</f>
        <v>2900.5788095238049</v>
      </c>
      <c r="BH539" s="392">
        <f>SUM($AU$134:AU539)</f>
        <v>2726.7299999999395</v>
      </c>
      <c r="BI539" s="318">
        <f>SUMIFS($AU$134:AU540,$Q$134:Q540,"F")</f>
        <v>-2758.8</v>
      </c>
      <c r="BJ539" s="318">
        <f>SUMIFS($AU$134:AU540,$Q$134:Q540,"S")</f>
        <v>5864.0899999999974</v>
      </c>
      <c r="BK539" s="343">
        <f>SUMIFS($AU$134:AU540,$P$134:P540,"W")</f>
        <v>4575.3899999999348</v>
      </c>
      <c r="BL539" s="343">
        <f>SUMIFS($AU$134:AU540,$P$134:P540,"R")</f>
        <v>-1648.6599999999976</v>
      </c>
      <c r="BM539" s="343">
        <f>SUMIFS($AU$134:AU540,$AQ$134:AQ540,"M")</f>
        <v>1789.3999999999721</v>
      </c>
      <c r="BN539" s="343">
        <f>SUMIFS($AU$134:AU540,$AQ$134:AQ540,"H")</f>
        <v>3495.9000000000156</v>
      </c>
      <c r="BO539" s="343">
        <f>SUMIFS($AU$134:AU540,$AQ$134:AQ540,"D")</f>
        <v>-1798.3100000000004</v>
      </c>
      <c r="BP539" s="343">
        <f>SUMIFS($AU$134:AU542,$AQ$134:AQ542,"W")</f>
        <v>-1270.7</v>
      </c>
      <c r="BQ539" s="343">
        <f>SUMIFS($AU$134:AU540,$Q$134:Q540,"O")</f>
        <v>-377.76000000006229</v>
      </c>
      <c r="BR539" s="343">
        <f>SUMIFS($AU$134:AU540,$AA$134:AA540,"*")</f>
        <v>5575.7899999999645</v>
      </c>
      <c r="BS539" s="343">
        <f>SUMIFS($AU$134:AU540,$AB$134:AB540,"*")</f>
        <v>-330.56000000002388</v>
      </c>
      <c r="BT539" s="343">
        <f>SUMIFS($AU$134:AU540,$AC$134:AC540,"*")</f>
        <v>-1637.6500000000015</v>
      </c>
      <c r="BU539" s="343">
        <f>SUMIFS($AU$134:AU540,$AA$134:AA540,"*",$AB$134:AB540,"*")</f>
        <v>-501.99999999999494</v>
      </c>
      <c r="BV539" s="343">
        <f>SUMIFS($AU$134:AU540,$AA$134:AA540,"*",$AC$134:AC540,"*")</f>
        <v>687.44999999999925</v>
      </c>
      <c r="BW539" s="343">
        <f>SUMIFS($AU$134:AU540,$AB$134:AB540,"*",$AC$134:AC540,"*")</f>
        <v>254.5999999999998</v>
      </c>
      <c r="BX539" s="343">
        <f>SUMIFS($AU540:AU$1388,$Q540:Q$1388,"F")</f>
        <v>17199.466666666667</v>
      </c>
      <c r="BY539" s="343">
        <f>SUMIFS($AU540:AU$1388,$Q540:Q$1388,"S")</f>
        <v>14935.552000000001</v>
      </c>
      <c r="BZ539" s="343">
        <f>SUMIFS($AU540:AU$1388,$Q540:Q$1388,"O")</f>
        <v>-1271.097999999736</v>
      </c>
    </row>
    <row r="540" spans="1:78" ht="15.75" customHeight="1">
      <c r="A540" s="221" t="s">
        <v>2380</v>
      </c>
      <c r="B540" s="200">
        <v>45048</v>
      </c>
      <c r="C540" s="178" t="s">
        <v>682</v>
      </c>
      <c r="D540" s="178" t="s">
        <v>146</v>
      </c>
      <c r="E540" s="227"/>
      <c r="F540" s="180"/>
      <c r="G540" s="181" t="s">
        <v>576</v>
      </c>
      <c r="H540" s="182"/>
      <c r="I540" s="182"/>
      <c r="J540" s="182"/>
      <c r="K540" s="183"/>
      <c r="L540" s="182">
        <v>1</v>
      </c>
      <c r="M540" s="182"/>
      <c r="N540" s="182"/>
      <c r="O540" s="183" t="s">
        <v>95</v>
      </c>
      <c r="P540" s="183" t="s">
        <v>96</v>
      </c>
      <c r="Q540" s="183" t="s">
        <v>97</v>
      </c>
      <c r="R540" s="183">
        <v>8</v>
      </c>
      <c r="S540" s="183">
        <v>0</v>
      </c>
      <c r="T540" s="183">
        <v>8</v>
      </c>
      <c r="U540" s="183" t="s">
        <v>97</v>
      </c>
      <c r="V540" s="183"/>
      <c r="W540" s="183"/>
      <c r="X540" s="183"/>
      <c r="Y540" s="184">
        <f t="shared" si="208"/>
        <v>0.01</v>
      </c>
      <c r="Z540" s="185">
        <f t="shared" si="209"/>
        <v>1600</v>
      </c>
      <c r="AA540" s="185" t="s">
        <v>2403</v>
      </c>
      <c r="AB540" s="185"/>
      <c r="AC540" s="185"/>
      <c r="AD540" s="649">
        <v>0.12</v>
      </c>
      <c r="AE540" s="182"/>
      <c r="AF540" s="332"/>
      <c r="AG540" s="182"/>
      <c r="AH540" s="182"/>
      <c r="AI540" s="182"/>
      <c r="AJ540" s="640"/>
      <c r="AK540" s="182"/>
      <c r="AL540" s="496">
        <f t="shared" ref="AL540:AL547" si="213">-0.01*Z540</f>
        <v>-16</v>
      </c>
      <c r="AM540" s="496">
        <f>AL540*(R540-S540)</f>
        <v>-128</v>
      </c>
      <c r="AN540" s="626"/>
      <c r="AO540" s="182"/>
      <c r="AP540" s="182" t="s">
        <v>2404</v>
      </c>
      <c r="AQ540" s="332" t="str">
        <f>UPPER(RIGHT(Journal_Live[[#This Row],[DURATION ]]))</f>
        <v>H</v>
      </c>
      <c r="AR540" s="182" t="s">
        <v>1142</v>
      </c>
      <c r="AS540" s="189">
        <v>0.11</v>
      </c>
      <c r="AT540" s="189">
        <f t="shared" si="210"/>
        <v>9.999999999999995E-3</v>
      </c>
      <c r="AU540" s="187">
        <f t="shared" si="211"/>
        <v>127.99999999999994</v>
      </c>
      <c r="AV540" s="190">
        <f t="shared" si="212"/>
        <v>15.999999999999993</v>
      </c>
      <c r="AW540" s="191" t="s">
        <v>96</v>
      </c>
      <c r="AX540" s="407"/>
      <c r="AY540" s="407"/>
      <c r="AZ540" s="407"/>
      <c r="BA540" s="407"/>
      <c r="BB540" s="407"/>
      <c r="BC540" s="407"/>
      <c r="BD540" s="407"/>
      <c r="BE540" s="407"/>
      <c r="BF540" s="422"/>
      <c r="BG540" s="391">
        <f>SUM($AV$4:AV540)</f>
        <v>2916.5788095238049</v>
      </c>
      <c r="BH540" s="392">
        <f>SUM($AU$134:AU540)</f>
        <v>2854.7299999999395</v>
      </c>
      <c r="BI540" s="318">
        <f>SUMIFS($AU$134:AU541,$Q$134:Q541,"F")</f>
        <v>-2758.8</v>
      </c>
      <c r="BJ540" s="318">
        <f>SUMIFS($AU$134:AU541,$Q$134:Q541,"S")</f>
        <v>5557.8499999999967</v>
      </c>
      <c r="BK540" s="343">
        <f>SUMIFS($AU$134:AU541,$P$134:P541,"W")</f>
        <v>4269.1499999999342</v>
      </c>
      <c r="BL540" s="343">
        <f>SUMIFS($AU$134:AU541,$P$134:P541,"R")</f>
        <v>-1648.6599999999976</v>
      </c>
      <c r="BM540" s="343">
        <f>SUMIFS($AU$134:AU541,$AQ$134:AQ541,"M")</f>
        <v>1789.3999999999721</v>
      </c>
      <c r="BN540" s="343">
        <f>SUMIFS($AU$134:AU541,$AQ$134:AQ541,"H")</f>
        <v>3189.6600000000153</v>
      </c>
      <c r="BO540" s="343">
        <f>SUMIFS($AU$134:AU541,$AQ$134:AQ541,"D")</f>
        <v>-1798.3100000000004</v>
      </c>
      <c r="BP540" s="343">
        <f>SUMIFS($AU$134:AU543,$AQ$134:AQ543,"W")</f>
        <v>-1270.7</v>
      </c>
      <c r="BQ540" s="343">
        <f>SUMIFS($AU$134:AU541,$Q$134:Q541,"O")</f>
        <v>-377.76000000006229</v>
      </c>
      <c r="BR540" s="343">
        <f>SUMIFS($AU$134:AU541,$AA$134:AA541,"*")</f>
        <v>5269.5499999999638</v>
      </c>
      <c r="BS540" s="343">
        <f>SUMIFS($AU$134:AU541,$AB$134:AB541,"*")</f>
        <v>-330.56000000002388</v>
      </c>
      <c r="BT540" s="343">
        <f>SUMIFS($AU$134:AU541,$AC$134:AC541,"*")</f>
        <v>-1637.6500000000015</v>
      </c>
      <c r="BU540" s="343">
        <f>SUMIFS($AU$134:AU541,$AA$134:AA541,"*",$AB$134:AB541,"*")</f>
        <v>-501.99999999999494</v>
      </c>
      <c r="BV540" s="343">
        <f>SUMIFS($AU$134:AU541,$AA$134:AA541,"*",$AC$134:AC541,"*")</f>
        <v>687.44999999999925</v>
      </c>
      <c r="BW540" s="343">
        <f>SUMIFS($AU$134:AU541,$AB$134:AB541,"*",$AC$134:AC541,"*")</f>
        <v>254.5999999999998</v>
      </c>
      <c r="BX540" s="343">
        <f>SUMIFS($AU541:AU$1388,$Q541:Q$1388,"F")</f>
        <v>17199.466666666667</v>
      </c>
      <c r="BY540" s="343">
        <f>SUMIFS($AU541:AU$1388,$Q541:Q$1388,"S")</f>
        <v>14807.552</v>
      </c>
      <c r="BZ540" s="343">
        <f>SUMIFS($AU541:AU$1388,$Q541:Q$1388,"O")</f>
        <v>-1271.097999999736</v>
      </c>
    </row>
    <row r="541" spans="1:78" ht="15.75" customHeight="1">
      <c r="A541" s="221" t="s">
        <v>2380</v>
      </c>
      <c r="B541" s="200">
        <v>45048</v>
      </c>
      <c r="C541" s="178" t="s">
        <v>682</v>
      </c>
      <c r="D541" s="178" t="s">
        <v>146</v>
      </c>
      <c r="E541" s="227"/>
      <c r="F541" s="180"/>
      <c r="G541" s="181" t="s">
        <v>2145</v>
      </c>
      <c r="H541" s="182"/>
      <c r="I541" s="182"/>
      <c r="J541" s="182"/>
      <c r="K541" s="183"/>
      <c r="L541" s="182">
        <v>1</v>
      </c>
      <c r="M541" s="182"/>
      <c r="N541" s="182"/>
      <c r="O541" s="183" t="s">
        <v>95</v>
      </c>
      <c r="P541" s="183" t="s">
        <v>96</v>
      </c>
      <c r="Q541" s="183" t="s">
        <v>97</v>
      </c>
      <c r="R541" s="183">
        <v>29</v>
      </c>
      <c r="S541" s="183">
        <v>0</v>
      </c>
      <c r="T541" s="183">
        <v>29</v>
      </c>
      <c r="U541" s="183" t="s">
        <v>22</v>
      </c>
      <c r="V541" s="183"/>
      <c r="W541" s="183"/>
      <c r="X541" s="183"/>
      <c r="Y541" s="184">
        <f t="shared" si="208"/>
        <v>0.01</v>
      </c>
      <c r="Z541" s="185">
        <f t="shared" si="209"/>
        <v>1600</v>
      </c>
      <c r="AA541" s="185" t="s">
        <v>2405</v>
      </c>
      <c r="AB541" s="185"/>
      <c r="AC541" s="185"/>
      <c r="AD541" s="649">
        <v>-0.1196</v>
      </c>
      <c r="AE541" s="182"/>
      <c r="AF541" s="332"/>
      <c r="AG541" s="182"/>
      <c r="AH541" s="182"/>
      <c r="AI541" s="182"/>
      <c r="AJ541" s="640"/>
      <c r="AK541" s="182"/>
      <c r="AL541" s="496">
        <f t="shared" si="213"/>
        <v>-16</v>
      </c>
      <c r="AM541" s="496">
        <f>AL541*(R541-S541)</f>
        <v>-464</v>
      </c>
      <c r="AN541" s="626"/>
      <c r="AO541" s="182"/>
      <c r="AP541" s="182" t="s">
        <v>2401</v>
      </c>
      <c r="AQ541" s="332" t="str">
        <f>UPPER(RIGHT(Journal_Live[[#This Row],[DURATION ]]))</f>
        <v>H</v>
      </c>
      <c r="AR541" s="182" t="s">
        <v>1142</v>
      </c>
      <c r="AS541" s="189">
        <v>-0.12620000000000001</v>
      </c>
      <c r="AT541" s="189">
        <f t="shared" si="210"/>
        <v>-6.6000000000000086E-3</v>
      </c>
      <c r="AU541" s="187">
        <f t="shared" si="211"/>
        <v>-306.24000000000035</v>
      </c>
      <c r="AV541" s="190">
        <f t="shared" si="212"/>
        <v>-10.560000000000013</v>
      </c>
      <c r="AW541" s="191" t="s">
        <v>229</v>
      </c>
      <c r="AX541" s="407"/>
      <c r="AY541" s="407"/>
      <c r="AZ541" s="407"/>
      <c r="BA541" s="407"/>
      <c r="BB541" s="407"/>
      <c r="BC541" s="407"/>
      <c r="BD541" s="407"/>
      <c r="BE541" s="407"/>
      <c r="BF541" s="422"/>
      <c r="BG541" s="391">
        <f>SUM($AV$4:AV541)</f>
        <v>2906.018809523805</v>
      </c>
      <c r="BH541" s="392">
        <f>SUM($AU$134:AU541)</f>
        <v>2548.4899999999393</v>
      </c>
      <c r="BI541" s="318">
        <f>SUMIFS($AU$134:AU542,$Q$134:Q542,"F")</f>
        <v>-2758.8</v>
      </c>
      <c r="BJ541" s="318">
        <f>SUMIFS($AU$134:AU542,$Q$134:Q542,"S")</f>
        <v>5573.8499999999967</v>
      </c>
      <c r="BK541" s="343">
        <f>SUMIFS($AU$134:AU542,$P$134:P542,"W")</f>
        <v>4285.1499999999342</v>
      </c>
      <c r="BL541" s="343">
        <f>SUMIFS($AU$134:AU542,$P$134:P542,"R")</f>
        <v>-1648.6599999999976</v>
      </c>
      <c r="BM541" s="343">
        <f>SUMIFS($AU$134:AU542,$AQ$134:AQ542,"M")</f>
        <v>1789.3999999999721</v>
      </c>
      <c r="BN541" s="343">
        <f>SUMIFS($AU$134:AU542,$AQ$134:AQ542,"H")</f>
        <v>3205.6600000000153</v>
      </c>
      <c r="BO541" s="343">
        <f>SUMIFS($AU$134:AU542,$AQ$134:AQ542,"D")</f>
        <v>-1798.3100000000004</v>
      </c>
      <c r="BP541" s="343">
        <f>SUMIFS($AU$134:AU544,$AQ$134:AQ544,"W")</f>
        <v>-1270.7</v>
      </c>
      <c r="BQ541" s="343">
        <f>SUMIFS($AU$134:AU542,$Q$134:Q542,"O")</f>
        <v>-377.76000000006229</v>
      </c>
      <c r="BR541" s="343">
        <f>SUMIFS($AU$134:AU542,$AA$134:AA542,"*")</f>
        <v>5285.5499999999638</v>
      </c>
      <c r="BS541" s="343">
        <f>SUMIFS($AU$134:AU542,$AB$134:AB542,"*")</f>
        <v>-330.56000000002388</v>
      </c>
      <c r="BT541" s="343">
        <f>SUMIFS($AU$134:AU542,$AC$134:AC542,"*")</f>
        <v>-1637.6500000000015</v>
      </c>
      <c r="BU541" s="343">
        <f>SUMIFS($AU$134:AU542,$AA$134:AA542,"*",$AB$134:AB542,"*")</f>
        <v>-501.99999999999494</v>
      </c>
      <c r="BV541" s="343">
        <f>SUMIFS($AU$134:AU542,$AA$134:AA542,"*",$AC$134:AC542,"*")</f>
        <v>687.44999999999925</v>
      </c>
      <c r="BW541" s="343">
        <f>SUMIFS($AU$134:AU542,$AB$134:AB542,"*",$AC$134:AC542,"*")</f>
        <v>254.5999999999998</v>
      </c>
      <c r="BX541" s="343">
        <f>SUMIFS($AU542:AU$1388,$Q542:Q$1388,"F")</f>
        <v>17199.466666666667</v>
      </c>
      <c r="BY541" s="343">
        <f>SUMIFS($AU542:AU$1388,$Q542:Q$1388,"S")</f>
        <v>15113.792000000001</v>
      </c>
      <c r="BZ541" s="343">
        <f>SUMIFS($AU542:AU$1388,$Q542:Q$1388,"O")</f>
        <v>-1271.097999999736</v>
      </c>
    </row>
    <row r="542" spans="1:78" ht="15.75" customHeight="1">
      <c r="A542" s="221" t="s">
        <v>2380</v>
      </c>
      <c r="B542" s="200">
        <v>45048</v>
      </c>
      <c r="C542" s="178" t="s">
        <v>682</v>
      </c>
      <c r="D542" s="178" t="s">
        <v>146</v>
      </c>
      <c r="E542" s="227"/>
      <c r="F542" s="180"/>
      <c r="G542" s="181" t="s">
        <v>2145</v>
      </c>
      <c r="H542" s="182"/>
      <c r="I542" s="182"/>
      <c r="J542" s="182"/>
      <c r="K542" s="183"/>
      <c r="L542" s="182">
        <v>1</v>
      </c>
      <c r="M542" s="182"/>
      <c r="N542" s="182"/>
      <c r="O542" s="183" t="s">
        <v>95</v>
      </c>
      <c r="P542" s="183" t="s">
        <v>96</v>
      </c>
      <c r="Q542" s="183" t="s">
        <v>97</v>
      </c>
      <c r="R542" s="183">
        <v>1</v>
      </c>
      <c r="S542" s="183">
        <v>0</v>
      </c>
      <c r="T542" s="183">
        <v>1</v>
      </c>
      <c r="U542" s="183" t="s">
        <v>22</v>
      </c>
      <c r="V542" s="183"/>
      <c r="W542" s="183"/>
      <c r="X542" s="183"/>
      <c r="Y542" s="184">
        <f t="shared" si="208"/>
        <v>0.01</v>
      </c>
      <c r="Z542" s="185">
        <f t="shared" si="209"/>
        <v>1600</v>
      </c>
      <c r="AA542" s="185" t="s">
        <v>1552</v>
      </c>
      <c r="AB542" s="185"/>
      <c r="AC542" s="185"/>
      <c r="AD542" s="649">
        <v>-0.13</v>
      </c>
      <c r="AE542" s="182"/>
      <c r="AF542" s="332"/>
      <c r="AG542" s="182"/>
      <c r="AH542" s="182"/>
      <c r="AI542" s="182"/>
      <c r="AJ542" s="640"/>
      <c r="AK542" s="182"/>
      <c r="AL542" s="496">
        <f t="shared" si="213"/>
        <v>-16</v>
      </c>
      <c r="AM542" s="496">
        <f>AL542*(R542-S542)</f>
        <v>-16</v>
      </c>
      <c r="AN542" s="626"/>
      <c r="AO542" s="182"/>
      <c r="AP542" s="182" t="s">
        <v>2401</v>
      </c>
      <c r="AQ542" s="332" t="str">
        <f>UPPER(RIGHT(Journal_Live[[#This Row],[DURATION ]]))</f>
        <v>H</v>
      </c>
      <c r="AR542" s="182" t="s">
        <v>1142</v>
      </c>
      <c r="AS542" s="189">
        <v>-0.12</v>
      </c>
      <c r="AT542" s="189">
        <f t="shared" si="210"/>
        <v>1.0000000000000009E-2</v>
      </c>
      <c r="AU542" s="187">
        <f t="shared" si="211"/>
        <v>16.000000000000014</v>
      </c>
      <c r="AV542" s="190">
        <f t="shared" si="212"/>
        <v>16.000000000000014</v>
      </c>
      <c r="AW542" s="191" t="s">
        <v>96</v>
      </c>
      <c r="AX542" s="407"/>
      <c r="AY542" s="407"/>
      <c r="AZ542" s="407"/>
      <c r="BA542" s="407"/>
      <c r="BB542" s="407"/>
      <c r="BC542" s="407"/>
      <c r="BD542" s="407"/>
      <c r="BE542" s="407"/>
      <c r="BF542" s="422"/>
      <c r="BG542" s="391">
        <f>SUM($AV$4:AV542)</f>
        <v>2922.018809523805</v>
      </c>
      <c r="BH542" s="392">
        <f>SUM($AU$134:AU542)</f>
        <v>2564.4899999999393</v>
      </c>
      <c r="BI542" s="318">
        <f>SUMIFS($AU$134:AU543,$Q$134:Q543,"F")</f>
        <v>-2758.8</v>
      </c>
      <c r="BJ542" s="318">
        <f>SUMIFS($AU$134:AU543,$Q$134:Q543,"S")</f>
        <v>5813.8499999999967</v>
      </c>
      <c r="BK542" s="343">
        <f>SUMIFS($AU$134:AU543,$P$134:P543,"W")</f>
        <v>4285.1499999999342</v>
      </c>
      <c r="BL542" s="343">
        <f>SUMIFS($AU$134:AU543,$P$134:P543,"R")</f>
        <v>-1408.659999999998</v>
      </c>
      <c r="BM542" s="343">
        <f>SUMIFS($AU$134:AU543,$AQ$134:AQ543,"M")</f>
        <v>1789.3999999999721</v>
      </c>
      <c r="BN542" s="343">
        <f>SUMIFS($AU$134:AU543,$AQ$134:AQ543,"H")</f>
        <v>3445.6600000000149</v>
      </c>
      <c r="BO542" s="343">
        <f>SUMIFS($AU$134:AU543,$AQ$134:AQ543,"D")</f>
        <v>-1798.3100000000004</v>
      </c>
      <c r="BP542" s="343">
        <f>SUMIFS($AU$134:AU545,$AQ$134:AQ545,"W")</f>
        <v>-1270.7</v>
      </c>
      <c r="BQ542" s="343">
        <f>SUMIFS($AU$134:AU543,$Q$134:Q543,"O")</f>
        <v>-377.76000000006229</v>
      </c>
      <c r="BR542" s="343">
        <f>SUMIFS($AU$134:AU543,$AA$134:AA543,"*")</f>
        <v>5525.5499999999629</v>
      </c>
      <c r="BS542" s="343">
        <f>SUMIFS($AU$134:AU543,$AB$134:AB543,"*")</f>
        <v>-330.56000000002388</v>
      </c>
      <c r="BT542" s="343">
        <f>SUMIFS($AU$134:AU543,$AC$134:AC543,"*")</f>
        <v>-1637.6500000000015</v>
      </c>
      <c r="BU542" s="343">
        <f>SUMIFS($AU$134:AU543,$AA$134:AA543,"*",$AB$134:AB543,"*")</f>
        <v>-501.99999999999494</v>
      </c>
      <c r="BV542" s="343">
        <f>SUMIFS($AU$134:AU543,$AA$134:AA543,"*",$AC$134:AC543,"*")</f>
        <v>687.44999999999925</v>
      </c>
      <c r="BW542" s="343">
        <f>SUMIFS($AU$134:AU543,$AB$134:AB543,"*",$AC$134:AC543,"*")</f>
        <v>254.5999999999998</v>
      </c>
      <c r="BX542" s="343">
        <f>SUMIFS($AU543:AU$1388,$Q543:Q$1388,"F")</f>
        <v>17199.466666666667</v>
      </c>
      <c r="BY542" s="343">
        <f>SUMIFS($AU543:AU$1388,$Q543:Q$1388,"S")</f>
        <v>15097.792000000001</v>
      </c>
      <c r="BZ542" s="343">
        <f>SUMIFS($AU543:AU$1388,$Q543:Q$1388,"O")</f>
        <v>-1271.097999999736</v>
      </c>
    </row>
    <row r="543" spans="1:78" ht="15.75" customHeight="1">
      <c r="A543" s="221" t="s">
        <v>2380</v>
      </c>
      <c r="B543" s="200">
        <v>45048</v>
      </c>
      <c r="C543" s="178" t="s">
        <v>682</v>
      </c>
      <c r="D543" s="178" t="s">
        <v>146</v>
      </c>
      <c r="E543" s="227"/>
      <c r="F543" s="180"/>
      <c r="G543" s="181" t="s">
        <v>2070</v>
      </c>
      <c r="H543" s="182"/>
      <c r="I543" s="182"/>
      <c r="J543" s="182"/>
      <c r="K543" s="183"/>
      <c r="L543" s="182">
        <v>1</v>
      </c>
      <c r="M543" s="182"/>
      <c r="N543" s="182"/>
      <c r="O543" s="183" t="s">
        <v>95</v>
      </c>
      <c r="P543" s="183" t="s">
        <v>137</v>
      </c>
      <c r="Q543" s="183" t="s">
        <v>97</v>
      </c>
      <c r="R543" s="183">
        <v>15</v>
      </c>
      <c r="S543" s="183">
        <v>0</v>
      </c>
      <c r="T543" s="183">
        <v>15</v>
      </c>
      <c r="U543" s="183" t="s">
        <v>22</v>
      </c>
      <c r="V543" s="183"/>
      <c r="W543" s="183"/>
      <c r="X543" s="183"/>
      <c r="Y543" s="184">
        <f t="shared" si="208"/>
        <v>0.01</v>
      </c>
      <c r="Z543" s="185">
        <f t="shared" si="209"/>
        <v>1600</v>
      </c>
      <c r="AA543" s="185" t="s">
        <v>2406</v>
      </c>
      <c r="AB543" s="185"/>
      <c r="AC543" s="185"/>
      <c r="AD543" s="649">
        <v>-0.09</v>
      </c>
      <c r="AE543" s="182"/>
      <c r="AF543" s="332"/>
      <c r="AG543" s="182"/>
      <c r="AH543" s="182"/>
      <c r="AI543" s="182"/>
      <c r="AJ543" s="640"/>
      <c r="AK543" s="182"/>
      <c r="AL543" s="496">
        <f t="shared" si="213"/>
        <v>-16</v>
      </c>
      <c r="AM543" s="496">
        <f>AL543*(R543-S543)</f>
        <v>-240</v>
      </c>
      <c r="AN543" s="626"/>
      <c r="AO543" s="182"/>
      <c r="AP543" s="182" t="s">
        <v>2401</v>
      </c>
      <c r="AQ543" s="332" t="str">
        <f>UPPER(RIGHT(Journal_Live[[#This Row],[DURATION ]]))</f>
        <v>H</v>
      </c>
      <c r="AR543" s="182" t="s">
        <v>1142</v>
      </c>
      <c r="AS543" s="189">
        <f>((-0.08*10)+(-0.08*5))/15</f>
        <v>-8.0000000000000016E-2</v>
      </c>
      <c r="AT543" s="189">
        <f t="shared" si="210"/>
        <v>9.9999999999999811E-3</v>
      </c>
      <c r="AU543" s="187">
        <f t="shared" si="211"/>
        <v>239.99999999999955</v>
      </c>
      <c r="AV543" s="190">
        <f t="shared" si="212"/>
        <v>15.99999999999997</v>
      </c>
      <c r="AW543" s="191" t="s">
        <v>96</v>
      </c>
      <c r="AX543" s="407"/>
      <c r="AY543" s="407"/>
      <c r="AZ543" s="407"/>
      <c r="BA543" s="407"/>
      <c r="BB543" s="407"/>
      <c r="BC543" s="407"/>
      <c r="BD543" s="407"/>
      <c r="BE543" s="407"/>
      <c r="BF543" s="422"/>
      <c r="BG543" s="391">
        <f>SUM($AV$4:AV543)</f>
        <v>2938.018809523805</v>
      </c>
      <c r="BH543" s="392">
        <f>SUM($AU$134:AU543)</f>
        <v>2804.4899999999388</v>
      </c>
      <c r="BI543" s="318">
        <f>SUMIFS($AU$134:AU544,$Q$134:Q544,"F")</f>
        <v>-2758.8</v>
      </c>
      <c r="BJ543" s="318">
        <f>SUMIFS($AU$134:AU544,$Q$134:Q544,"S")</f>
        <v>5813.8499999999967</v>
      </c>
      <c r="BK543" s="343">
        <f>SUMIFS($AU$134:AU544,$P$134:P544,"W")</f>
        <v>4285.1499999999342</v>
      </c>
      <c r="BL543" s="343">
        <f>SUMIFS($AU$134:AU544,$P$134:P544,"R")</f>
        <v>-1408.659999999998</v>
      </c>
      <c r="BM543" s="343">
        <f>SUMIFS($AU$134:AU544,$AQ$134:AQ544,"M")</f>
        <v>1789.3999999999721</v>
      </c>
      <c r="BN543" s="343">
        <f>SUMIFS($AU$134:AU544,$AQ$134:AQ544,"H")</f>
        <v>3445.6600000000149</v>
      </c>
      <c r="BO543" s="343">
        <f>SUMIFS($AU$134:AU544,$AQ$134:AQ544,"D")</f>
        <v>-1798.3100000000004</v>
      </c>
      <c r="BP543" s="343">
        <f>SUMIFS($AU$134:AU546,$AQ$134:AQ546,"W")</f>
        <v>-1270.7</v>
      </c>
      <c r="BQ543" s="343">
        <f>SUMIFS($AU$134:AU544,$Q$134:Q544,"O")</f>
        <v>-377.76000000006229</v>
      </c>
      <c r="BR543" s="343">
        <f>SUMIFS($AU$134:AU544,$AA$134:AA544,"*")</f>
        <v>5525.5499999999629</v>
      </c>
      <c r="BS543" s="343">
        <f>SUMIFS($AU$134:AU544,$AB$134:AB544,"*")</f>
        <v>-330.56000000002388</v>
      </c>
      <c r="BT543" s="343">
        <f>SUMIFS($AU$134:AU544,$AC$134:AC544,"*")</f>
        <v>-1637.6500000000015</v>
      </c>
      <c r="BU543" s="343">
        <f>SUMIFS($AU$134:AU544,$AA$134:AA544,"*",$AB$134:AB544,"*")</f>
        <v>-501.99999999999494</v>
      </c>
      <c r="BV543" s="343">
        <f>SUMIFS($AU$134:AU544,$AA$134:AA544,"*",$AC$134:AC544,"*")</f>
        <v>687.44999999999925</v>
      </c>
      <c r="BW543" s="343">
        <f>SUMIFS($AU$134:AU544,$AB$134:AB544,"*",$AC$134:AC544,"*")</f>
        <v>254.5999999999998</v>
      </c>
      <c r="BX543" s="343">
        <f>SUMIFS($AU544:AU$1388,$Q544:Q$1388,"F")</f>
        <v>17199.466666666667</v>
      </c>
      <c r="BY543" s="343">
        <f>SUMIFS($AU544:AU$1388,$Q544:Q$1388,"S")</f>
        <v>14857.792000000001</v>
      </c>
      <c r="BZ543" s="343">
        <f>SUMIFS($AU544:AU$1388,$Q544:Q$1388,"O")</f>
        <v>-1271.097999999736</v>
      </c>
    </row>
    <row r="544" spans="1:78" ht="15.75" customHeight="1">
      <c r="A544" s="221" t="s">
        <v>2380</v>
      </c>
      <c r="B544" s="200">
        <v>45048</v>
      </c>
      <c r="C544" s="178" t="s">
        <v>2407</v>
      </c>
      <c r="D544" s="178" t="s">
        <v>146</v>
      </c>
      <c r="E544" s="227" t="s">
        <v>2408</v>
      </c>
      <c r="F544" s="180" t="s">
        <v>2409</v>
      </c>
      <c r="G544" s="181"/>
      <c r="H544" s="182"/>
      <c r="I544" s="182">
        <v>1</v>
      </c>
      <c r="J544" s="182"/>
      <c r="K544" s="183"/>
      <c r="L544" s="182"/>
      <c r="M544" s="182"/>
      <c r="N544" s="182"/>
      <c r="O544" s="183"/>
      <c r="P544" s="183"/>
      <c r="Q544" s="183"/>
      <c r="R544" s="183"/>
      <c r="S544" s="183"/>
      <c r="T544" s="183"/>
      <c r="U544" s="183"/>
      <c r="V544" s="183"/>
      <c r="W544" s="183"/>
      <c r="X544" s="183"/>
      <c r="Y544" s="184" t="str">
        <f t="shared" si="208"/>
        <v/>
      </c>
      <c r="Z544" s="185" t="str">
        <f t="shared" si="209"/>
        <v/>
      </c>
      <c r="AA544" s="185"/>
      <c r="AB544" s="185"/>
      <c r="AC544" s="185"/>
      <c r="AD544" s="649"/>
      <c r="AE544" s="182"/>
      <c r="AF544" s="332"/>
      <c r="AG544" s="182"/>
      <c r="AH544" s="182"/>
      <c r="AI544" s="182"/>
      <c r="AJ544" s="640"/>
      <c r="AK544" s="182"/>
      <c r="AL544" s="496"/>
      <c r="AM544" s="496"/>
      <c r="AN544" s="626"/>
      <c r="AO544" s="182"/>
      <c r="AP544" s="182"/>
      <c r="AQ544" s="332" t="str">
        <f>UPPER(RIGHT(Journal_Live[[#This Row],[DURATION ]]))</f>
        <v/>
      </c>
      <c r="AR544" s="182"/>
      <c r="AS544" s="189"/>
      <c r="AT544" s="189"/>
      <c r="AU544" s="187"/>
      <c r="AV544" s="190"/>
      <c r="AW544" s="191"/>
      <c r="AX544" s="407"/>
      <c r="AY544" s="407"/>
      <c r="AZ544" s="407"/>
      <c r="BA544" s="407"/>
      <c r="BB544" s="407"/>
      <c r="BC544" s="407"/>
      <c r="BD544" s="407"/>
      <c r="BE544" s="407"/>
      <c r="BF544" s="422"/>
      <c r="BG544" s="391">
        <f>SUM($AV$4:AV544)</f>
        <v>2938.018809523805</v>
      </c>
      <c r="BH544" s="392">
        <f>SUM($AU$134:AU544)</f>
        <v>2804.4899999999388</v>
      </c>
      <c r="BI544" s="318">
        <f>SUMIFS($AU$134:AU545,$Q$134:Q545,"F")</f>
        <v>-2758.8</v>
      </c>
      <c r="BJ544" s="318">
        <f>SUMIFS($AU$134:AU545,$Q$134:Q545,"S")</f>
        <v>5813.8499999999967</v>
      </c>
      <c r="BK544" s="343">
        <f>SUMIFS($AU$134:AU545,$P$134:P545,"W")</f>
        <v>4285.1499999999342</v>
      </c>
      <c r="BL544" s="343">
        <f>SUMIFS($AU$134:AU545,$P$134:P545,"R")</f>
        <v>-1408.659999999998</v>
      </c>
      <c r="BM544" s="343">
        <f>SUMIFS($AU$134:AU545,$AQ$134:AQ545,"M")</f>
        <v>1789.3999999999721</v>
      </c>
      <c r="BN544" s="343">
        <f>SUMIFS($AU$134:AU545,$AQ$134:AQ545,"H")</f>
        <v>3445.6600000000149</v>
      </c>
      <c r="BO544" s="343">
        <f>SUMIFS($AU$134:AU545,$AQ$134:AQ545,"D")</f>
        <v>-1798.3100000000004</v>
      </c>
      <c r="BP544" s="343">
        <f>SUMIFS($AU$134:AU547,$AQ$134:AQ547,"W")</f>
        <v>-1270.7</v>
      </c>
      <c r="BQ544" s="343">
        <f>SUMIFS($AU$134:AU545,$Q$134:Q545,"O")</f>
        <v>-377.76000000006229</v>
      </c>
      <c r="BR544" s="343">
        <f>SUMIFS($AU$134:AU545,$AA$134:AA545,"*")</f>
        <v>5525.5499999999629</v>
      </c>
      <c r="BS544" s="343">
        <f>SUMIFS($AU$134:AU545,$AB$134:AB545,"*")</f>
        <v>-330.56000000002388</v>
      </c>
      <c r="BT544" s="343">
        <f>SUMIFS($AU$134:AU545,$AC$134:AC545,"*")</f>
        <v>-1637.6500000000015</v>
      </c>
      <c r="BU544" s="343">
        <f>SUMIFS($AU$134:AU545,$AA$134:AA545,"*",$AB$134:AB545,"*")</f>
        <v>-501.99999999999494</v>
      </c>
      <c r="BV544" s="343">
        <f>SUMIFS($AU$134:AU545,$AA$134:AA545,"*",$AC$134:AC545,"*")</f>
        <v>687.44999999999925</v>
      </c>
      <c r="BW544" s="343">
        <f>SUMIFS($AU$134:AU545,$AB$134:AB545,"*",$AC$134:AC545,"*")</f>
        <v>254.5999999999998</v>
      </c>
      <c r="BX544" s="343">
        <f>SUMIFS($AU545:AU$1388,$Q545:Q$1388,"F")</f>
        <v>17199.466666666667</v>
      </c>
      <c r="BY544" s="343">
        <f>SUMIFS($AU545:AU$1388,$Q545:Q$1388,"S")</f>
        <v>14857.792000000001</v>
      </c>
      <c r="BZ544" s="343">
        <f>SUMIFS($AU545:AU$1388,$Q545:Q$1388,"O")</f>
        <v>-1271.097999999736</v>
      </c>
    </row>
    <row r="545" spans="1:78" ht="15.75" customHeight="1">
      <c r="A545" s="221" t="s">
        <v>2380</v>
      </c>
      <c r="B545" s="200"/>
      <c r="C545" s="178"/>
      <c r="D545" s="178"/>
      <c r="E545" s="227" t="s">
        <v>2410</v>
      </c>
      <c r="F545" s="180"/>
      <c r="G545" s="181"/>
      <c r="H545" s="182"/>
      <c r="I545" s="182"/>
      <c r="J545" s="182">
        <v>1</v>
      </c>
      <c r="K545" s="183" t="s">
        <v>115</v>
      </c>
      <c r="L545" s="182"/>
      <c r="M545" s="182"/>
      <c r="N545" s="182"/>
      <c r="O545" s="183"/>
      <c r="P545" s="183"/>
      <c r="Q545" s="183"/>
      <c r="R545" s="183"/>
      <c r="S545" s="183"/>
      <c r="T545" s="183"/>
      <c r="U545" s="183"/>
      <c r="V545" s="183"/>
      <c r="W545" s="183"/>
      <c r="X545" s="183"/>
      <c r="Y545" s="184" t="str">
        <f t="shared" si="208"/>
        <v/>
      </c>
      <c r="Z545" s="185" t="str">
        <f t="shared" si="209"/>
        <v/>
      </c>
      <c r="AA545" s="185"/>
      <c r="AB545" s="185"/>
      <c r="AC545" s="185"/>
      <c r="AD545" s="649"/>
      <c r="AE545" s="182"/>
      <c r="AF545" s="332"/>
      <c r="AG545" s="182"/>
      <c r="AH545" s="182"/>
      <c r="AI545" s="182"/>
      <c r="AJ545" s="640"/>
      <c r="AK545" s="182"/>
      <c r="AL545" s="496"/>
      <c r="AM545" s="496"/>
      <c r="AN545" s="626"/>
      <c r="AO545" s="182"/>
      <c r="AP545" s="182"/>
      <c r="AQ545" s="332" t="str">
        <f>UPPER(RIGHT(Journal_Live[[#This Row],[DURATION ]]))</f>
        <v/>
      </c>
      <c r="AR545" s="182"/>
      <c r="AS545" s="189"/>
      <c r="AT545" s="189"/>
      <c r="AU545" s="187"/>
      <c r="AV545" s="190"/>
      <c r="AW545" s="191"/>
      <c r="AX545" s="407"/>
      <c r="AY545" s="407"/>
      <c r="AZ545" s="407"/>
      <c r="BA545" s="407"/>
      <c r="BB545" s="407"/>
      <c r="BC545" s="407"/>
      <c r="BD545" s="407"/>
      <c r="BE545" s="407"/>
      <c r="BF545" s="422"/>
      <c r="BG545" s="391">
        <f>SUM($AV$4:AV545)</f>
        <v>2938.018809523805</v>
      </c>
      <c r="BH545" s="392">
        <f>SUM($AU$134:AU545)</f>
        <v>2804.4899999999388</v>
      </c>
      <c r="BI545" s="318">
        <f>SUMIFS($AU$134:AU546,$Q$134:Q546,"F")</f>
        <v>-2758.8</v>
      </c>
      <c r="BJ545" s="318">
        <f>SUMIFS($AU$134:AU546,$Q$134:Q546,"S")</f>
        <v>5813.8499999999967</v>
      </c>
      <c r="BK545" s="343">
        <f>SUMIFS($AU$134:AU546,$P$134:P546,"W")</f>
        <v>4285.1499999999342</v>
      </c>
      <c r="BL545" s="343">
        <f>SUMIFS($AU$134:AU546,$P$134:P546,"R")</f>
        <v>-1408.659999999998</v>
      </c>
      <c r="BM545" s="343">
        <f>SUMIFS($AU$134:AU546,$AQ$134:AQ546,"M")</f>
        <v>1789.3999999999721</v>
      </c>
      <c r="BN545" s="343">
        <f>SUMIFS($AU$134:AU546,$AQ$134:AQ546,"H")</f>
        <v>3445.6600000000149</v>
      </c>
      <c r="BO545" s="343">
        <f>SUMIFS($AU$134:AU546,$AQ$134:AQ546,"D")</f>
        <v>-1798.3100000000004</v>
      </c>
      <c r="BP545" s="343">
        <f>SUMIFS($AU$134:AU548,$AQ$134:AQ548,"W")</f>
        <v>-1270.7</v>
      </c>
      <c r="BQ545" s="343">
        <f>SUMIFS($AU$134:AU546,$Q$134:Q546,"O")</f>
        <v>-377.76000000006229</v>
      </c>
      <c r="BR545" s="343">
        <f>SUMIFS($AU$134:AU546,$AA$134:AA546,"*")</f>
        <v>5525.5499999999629</v>
      </c>
      <c r="BS545" s="343">
        <f>SUMIFS($AU$134:AU546,$AB$134:AB546,"*")</f>
        <v>-330.56000000002388</v>
      </c>
      <c r="BT545" s="343">
        <f>SUMIFS($AU$134:AU546,$AC$134:AC546,"*")</f>
        <v>-1637.6500000000015</v>
      </c>
      <c r="BU545" s="343">
        <f>SUMIFS($AU$134:AU546,$AA$134:AA546,"*",$AB$134:AB546,"*")</f>
        <v>-501.99999999999494</v>
      </c>
      <c r="BV545" s="343">
        <f>SUMIFS($AU$134:AU546,$AA$134:AA546,"*",$AC$134:AC546,"*")</f>
        <v>687.44999999999925</v>
      </c>
      <c r="BW545" s="343">
        <f>SUMIFS($AU$134:AU546,$AB$134:AB546,"*",$AC$134:AC546,"*")</f>
        <v>254.5999999999998</v>
      </c>
      <c r="BX545" s="343">
        <f>SUMIFS($AU546:AU$1388,$Q546:Q$1388,"F")</f>
        <v>17199.466666666667</v>
      </c>
      <c r="BY545" s="343">
        <f>SUMIFS($AU546:AU$1388,$Q546:Q$1388,"S")</f>
        <v>14857.792000000001</v>
      </c>
      <c r="BZ545" s="343">
        <f>SUMIFS($AU546:AU$1388,$Q546:Q$1388,"O")</f>
        <v>-1271.097999999736</v>
      </c>
    </row>
    <row r="546" spans="1:78" ht="15.75" customHeight="1">
      <c r="A546" s="221" t="s">
        <v>2380</v>
      </c>
      <c r="B546" s="200">
        <v>45048</v>
      </c>
      <c r="C546" s="178" t="s">
        <v>2411</v>
      </c>
      <c r="D546" s="178" t="s">
        <v>146</v>
      </c>
      <c r="E546" s="227" t="s">
        <v>2412</v>
      </c>
      <c r="F546" s="180"/>
      <c r="G546" s="181"/>
      <c r="H546" s="182"/>
      <c r="I546" s="182"/>
      <c r="J546" s="182"/>
      <c r="K546" s="183"/>
      <c r="L546" s="182"/>
      <c r="M546" s="182"/>
      <c r="N546" s="182"/>
      <c r="O546" s="183"/>
      <c r="P546" s="183"/>
      <c r="Q546" s="183"/>
      <c r="R546" s="183"/>
      <c r="S546" s="183"/>
      <c r="T546" s="183"/>
      <c r="U546" s="183"/>
      <c r="V546" s="183"/>
      <c r="W546" s="183"/>
      <c r="X546" s="183"/>
      <c r="Y546" s="184" t="str">
        <f t="shared" si="208"/>
        <v/>
      </c>
      <c r="Z546" s="185" t="str">
        <f t="shared" si="209"/>
        <v/>
      </c>
      <c r="AA546" s="185"/>
      <c r="AB546" s="185"/>
      <c r="AC546" s="185"/>
      <c r="AD546" s="649"/>
      <c r="AE546" s="182"/>
      <c r="AF546" s="332"/>
      <c r="AG546" s="182"/>
      <c r="AH546" s="182"/>
      <c r="AI546" s="182"/>
      <c r="AJ546" s="640"/>
      <c r="AK546" s="182"/>
      <c r="AL546" s="496"/>
      <c r="AM546" s="496"/>
      <c r="AN546" s="626"/>
      <c r="AO546" s="182"/>
      <c r="AP546" s="182"/>
      <c r="AQ546" s="332" t="str">
        <f>UPPER(RIGHT(Journal_Live[[#This Row],[DURATION ]]))</f>
        <v/>
      </c>
      <c r="AR546" s="182"/>
      <c r="AS546" s="189"/>
      <c r="AT546" s="189"/>
      <c r="AU546" s="187"/>
      <c r="AV546" s="190"/>
      <c r="AW546" s="191"/>
      <c r="AX546" s="407"/>
      <c r="AY546" s="407"/>
      <c r="AZ546" s="407"/>
      <c r="BA546" s="407"/>
      <c r="BB546" s="407"/>
      <c r="BC546" s="407"/>
      <c r="BD546" s="407"/>
      <c r="BE546" s="407"/>
      <c r="BF546" s="422"/>
      <c r="BG546" s="391">
        <f>SUM($AV$4:AV546)</f>
        <v>2938.018809523805</v>
      </c>
      <c r="BH546" s="392">
        <f>SUM($AU$134:AU546)</f>
        <v>2804.4899999999388</v>
      </c>
      <c r="BI546" s="318">
        <f>SUMIFS($AU$134:AU547,$Q$134:Q547,"F")</f>
        <v>-2758.8</v>
      </c>
      <c r="BJ546" s="318">
        <f>SUMIFS($AU$134:AU547,$Q$134:Q547,"S")</f>
        <v>5925.8499999999967</v>
      </c>
      <c r="BK546" s="343">
        <f>SUMIFS($AU$134:AU547,$P$134:P547,"W")</f>
        <v>4397.1499999999342</v>
      </c>
      <c r="BL546" s="343">
        <f>SUMIFS($AU$134:AU547,$P$134:P547,"R")</f>
        <v>-1408.659999999998</v>
      </c>
      <c r="BM546" s="343">
        <f>SUMIFS($AU$134:AU547,$AQ$134:AQ547,"M")</f>
        <v>1789.3999999999721</v>
      </c>
      <c r="BN546" s="343">
        <f>SUMIFS($AU$134:AU547,$AQ$134:AQ547,"H")</f>
        <v>3557.6600000000149</v>
      </c>
      <c r="BO546" s="343">
        <f>SUMIFS($AU$134:AU547,$AQ$134:AQ547,"D")</f>
        <v>-1798.3100000000004</v>
      </c>
      <c r="BP546" s="343">
        <f>SUMIFS($AU$134:AU549,$AQ$134:AQ549,"W")</f>
        <v>-1270.7</v>
      </c>
      <c r="BQ546" s="343">
        <f>SUMIFS($AU$134:AU547,$Q$134:Q547,"O")</f>
        <v>-377.76000000006229</v>
      </c>
      <c r="BR546" s="343">
        <f>SUMIFS($AU$134:AU547,$AA$134:AA547,"*")</f>
        <v>5637.5499999999629</v>
      </c>
      <c r="BS546" s="343">
        <f>SUMIFS($AU$134:AU547,$AB$134:AB547,"*")</f>
        <v>-330.56000000002388</v>
      </c>
      <c r="BT546" s="343">
        <f>SUMIFS($AU$134:AU547,$AC$134:AC547,"*")</f>
        <v>-1637.6500000000015</v>
      </c>
      <c r="BU546" s="343">
        <f>SUMIFS($AU$134:AU547,$AA$134:AA547,"*",$AB$134:AB547,"*")</f>
        <v>-501.99999999999494</v>
      </c>
      <c r="BV546" s="343">
        <f>SUMIFS($AU$134:AU547,$AA$134:AA547,"*",$AC$134:AC547,"*")</f>
        <v>687.44999999999925</v>
      </c>
      <c r="BW546" s="343">
        <f>SUMIFS($AU$134:AU547,$AB$134:AB547,"*",$AC$134:AC547,"*")</f>
        <v>254.5999999999998</v>
      </c>
      <c r="BX546" s="343">
        <f>SUMIFS($AU547:AU$1388,$Q547:Q$1388,"F")</f>
        <v>17199.466666666667</v>
      </c>
      <c r="BY546" s="343">
        <f>SUMIFS($AU547:AU$1388,$Q547:Q$1388,"S")</f>
        <v>14857.792000000001</v>
      </c>
      <c r="BZ546" s="343">
        <f>SUMIFS($AU547:AU$1388,$Q547:Q$1388,"O")</f>
        <v>-1271.097999999736</v>
      </c>
    </row>
    <row r="547" spans="1:78" ht="15.75" customHeight="1">
      <c r="A547" s="221" t="s">
        <v>2380</v>
      </c>
      <c r="B547" s="200">
        <v>45048</v>
      </c>
      <c r="C547" s="178" t="s">
        <v>2413</v>
      </c>
      <c r="D547" s="178" t="s">
        <v>146</v>
      </c>
      <c r="E547" s="227"/>
      <c r="F547" s="180"/>
      <c r="G547" s="281" t="s">
        <v>94</v>
      </c>
      <c r="H547" s="182"/>
      <c r="I547" s="182"/>
      <c r="J547" s="182"/>
      <c r="K547" s="183"/>
      <c r="L547" s="182">
        <v>1</v>
      </c>
      <c r="M547" s="182"/>
      <c r="N547" s="182"/>
      <c r="O547" s="183" t="s">
        <v>95</v>
      </c>
      <c r="P547" s="183" t="s">
        <v>96</v>
      </c>
      <c r="Q547" s="183" t="s">
        <v>97</v>
      </c>
      <c r="R547" s="183">
        <v>7</v>
      </c>
      <c r="S547" s="183">
        <v>0</v>
      </c>
      <c r="T547" s="183">
        <v>7</v>
      </c>
      <c r="U547" s="183" t="s">
        <v>97</v>
      </c>
      <c r="V547" s="183"/>
      <c r="W547" s="183"/>
      <c r="X547" s="183"/>
      <c r="Y547" s="184">
        <f t="shared" si="208"/>
        <v>0.01</v>
      </c>
      <c r="Z547" s="185">
        <f t="shared" si="209"/>
        <v>1600</v>
      </c>
      <c r="AA547" s="185" t="s">
        <v>99</v>
      </c>
      <c r="AB547" s="185"/>
      <c r="AC547" s="185"/>
      <c r="AD547" s="649">
        <v>-0.03</v>
      </c>
      <c r="AE547" s="182"/>
      <c r="AF547" s="332"/>
      <c r="AG547" s="182"/>
      <c r="AH547" s="182"/>
      <c r="AI547" s="182"/>
      <c r="AJ547" s="640"/>
      <c r="AK547" s="182"/>
      <c r="AL547" s="496">
        <f t="shared" si="213"/>
        <v>-16</v>
      </c>
      <c r="AM547" s="496">
        <f>AL547*(R547-S547)</f>
        <v>-112</v>
      </c>
      <c r="AN547" s="626"/>
      <c r="AO547" s="182"/>
      <c r="AP547" s="182" t="s">
        <v>1026</v>
      </c>
      <c r="AQ547" s="332" t="str">
        <f>UPPER(RIGHT(Journal_Live[[#This Row],[DURATION ]]))</f>
        <v>H</v>
      </c>
      <c r="AR547" s="182" t="s">
        <v>2112</v>
      </c>
      <c r="AS547" s="189">
        <v>-0.04</v>
      </c>
      <c r="AT547" s="189">
        <f>IF(ISBLANK(AS547),,IF(U547="S",AD547-AS547,AS547-AD547))</f>
        <v>1.0000000000000002E-2</v>
      </c>
      <c r="AU547" s="187">
        <f>AV547*R547</f>
        <v>112.00000000000003</v>
      </c>
      <c r="AV547" s="190">
        <f>IF(ISBLANK(AS547),,(AT547*Z547))</f>
        <v>16.000000000000004</v>
      </c>
      <c r="AW547" s="191" t="s">
        <v>96</v>
      </c>
      <c r="AX547" s="407" t="s">
        <v>2414</v>
      </c>
      <c r="AY547" s="407" t="s">
        <v>529</v>
      </c>
      <c r="AZ547" s="407"/>
      <c r="BA547" s="407"/>
      <c r="BB547" s="407"/>
      <c r="BC547" s="407"/>
      <c r="BD547" s="407"/>
      <c r="BE547" s="407"/>
      <c r="BF547" s="422"/>
      <c r="BG547" s="391">
        <f>SUM($AV$4:AV547)</f>
        <v>2954.018809523805</v>
      </c>
      <c r="BH547" s="392">
        <f>SUM($AU$134:AU547)</f>
        <v>2916.4899999999388</v>
      </c>
      <c r="BI547" s="318">
        <f>SUMIFS($AU$134:AU548,$Q$134:Q548,"F")</f>
        <v>-2758.8</v>
      </c>
      <c r="BJ547" s="318">
        <f>SUMIFS($AU$134:AU548,$Q$134:Q548,"S")</f>
        <v>6005.8499999999967</v>
      </c>
      <c r="BK547" s="343">
        <f>SUMIFS($AU$134:AU548,$P$134:P548,"W")</f>
        <v>4397.1499999999342</v>
      </c>
      <c r="BL547" s="343">
        <f>SUMIFS($AU$134:AU548,$P$134:P548,"R")</f>
        <v>-1328.659999999998</v>
      </c>
      <c r="BM547" s="343">
        <f>SUMIFS($AU$134:AU548,$AQ$134:AQ548,"M")</f>
        <v>1789.3999999999721</v>
      </c>
      <c r="BN547" s="343">
        <f>SUMIFS($AU$134:AU548,$AQ$134:AQ548,"H")</f>
        <v>3557.6600000000149</v>
      </c>
      <c r="BO547" s="343">
        <f>SUMIFS($AU$134:AU548,$AQ$134:AQ548,"D")</f>
        <v>-1718.3100000000004</v>
      </c>
      <c r="BP547" s="343">
        <f>SUMIFS($AU$134:AU550,$AQ$134:AQ550,"W")</f>
        <v>-1270.7</v>
      </c>
      <c r="BQ547" s="343">
        <f>SUMIFS($AU$134:AU548,$Q$134:Q548,"O")</f>
        <v>-377.76000000006229</v>
      </c>
      <c r="BR547" s="343">
        <f>SUMIFS($AU$134:AU548,$AA$134:AA548,"*")</f>
        <v>5717.5499999999629</v>
      </c>
      <c r="BS547" s="343">
        <f>SUMIFS($AU$134:AU548,$AB$134:AB548,"*")</f>
        <v>-330.56000000002388</v>
      </c>
      <c r="BT547" s="343">
        <f>SUMIFS($AU$134:AU548,$AC$134:AC548,"*")</f>
        <v>-1637.6500000000015</v>
      </c>
      <c r="BU547" s="343">
        <f>SUMIFS($AU$134:AU548,$AA$134:AA548,"*",$AB$134:AB548,"*")</f>
        <v>-501.99999999999494</v>
      </c>
      <c r="BV547" s="343">
        <f>SUMIFS($AU$134:AU548,$AA$134:AA548,"*",$AC$134:AC548,"*")</f>
        <v>687.44999999999925</v>
      </c>
      <c r="BW547" s="343">
        <f>SUMIFS($AU$134:AU548,$AB$134:AB548,"*",$AC$134:AC548,"*")</f>
        <v>254.5999999999998</v>
      </c>
      <c r="BX547" s="343">
        <f>SUMIFS($AU548:AU$1388,$Q548:Q$1388,"F")</f>
        <v>17199.466666666667</v>
      </c>
      <c r="BY547" s="343">
        <f>SUMIFS($AU548:AU$1388,$Q548:Q$1388,"S")</f>
        <v>14745.792000000001</v>
      </c>
      <c r="BZ547" s="343">
        <f>SUMIFS($AU548:AU$1388,$Q548:Q$1388,"O")</f>
        <v>-1271.097999999736</v>
      </c>
    </row>
    <row r="548" spans="1:78" ht="15.75" customHeight="1">
      <c r="A548" s="221" t="s">
        <v>2380</v>
      </c>
      <c r="B548" s="200">
        <v>45048</v>
      </c>
      <c r="C548" s="178" t="s">
        <v>2415</v>
      </c>
      <c r="D548" s="178" t="s">
        <v>146</v>
      </c>
      <c r="E548" s="227"/>
      <c r="F548" s="180"/>
      <c r="G548" s="281" t="s">
        <v>2070</v>
      </c>
      <c r="H548" s="182"/>
      <c r="I548" s="182"/>
      <c r="J548" s="182"/>
      <c r="K548" s="183"/>
      <c r="L548" s="182">
        <v>1</v>
      </c>
      <c r="M548" s="182"/>
      <c r="N548" s="182"/>
      <c r="O548" s="183" t="s">
        <v>95</v>
      </c>
      <c r="P548" s="183" t="s">
        <v>137</v>
      </c>
      <c r="Q548" s="183" t="s">
        <v>97</v>
      </c>
      <c r="R548" s="183">
        <v>5</v>
      </c>
      <c r="S548" s="183">
        <v>0</v>
      </c>
      <c r="T548" s="183">
        <v>5</v>
      </c>
      <c r="U548" s="183" t="s">
        <v>97</v>
      </c>
      <c r="V548" s="183"/>
      <c r="W548" s="183"/>
      <c r="X548" s="183"/>
      <c r="Y548" s="184">
        <f t="shared" si="208"/>
        <v>0.01</v>
      </c>
      <c r="Z548" s="185">
        <f t="shared" si="209"/>
        <v>1600</v>
      </c>
      <c r="AA548" s="185" t="s">
        <v>99</v>
      </c>
      <c r="AB548" s="185"/>
      <c r="AC548" s="185"/>
      <c r="AD548" s="649">
        <v>-7.0000000000000007E-2</v>
      </c>
      <c r="AE548" s="182"/>
      <c r="AF548" s="332"/>
      <c r="AG548" s="182"/>
      <c r="AH548" s="182"/>
      <c r="AI548" s="182"/>
      <c r="AJ548" s="640"/>
      <c r="AK548" s="182"/>
      <c r="AL548" s="496">
        <f>-0.02*Z548</f>
        <v>-32</v>
      </c>
      <c r="AM548" s="496">
        <f>AL548*(R548-S548)</f>
        <v>-160</v>
      </c>
      <c r="AN548" s="626"/>
      <c r="AO548" s="182"/>
      <c r="AP548" s="182" t="s">
        <v>804</v>
      </c>
      <c r="AQ548" s="332" t="str">
        <f>UPPER(RIGHT(Journal_Live[[#This Row],[DURATION ]]))</f>
        <v>D</v>
      </c>
      <c r="AR548" s="182" t="s">
        <v>2416</v>
      </c>
      <c r="AS548" s="189">
        <v>-0.08</v>
      </c>
      <c r="AT548" s="189">
        <f>IF(ISBLANK(AS548),,IF(U548="S",AD548-AS548,AS548-AD548))</f>
        <v>9.999999999999995E-3</v>
      </c>
      <c r="AU548" s="187">
        <f>AV548*R548</f>
        <v>79.999999999999972</v>
      </c>
      <c r="AV548" s="190">
        <f>IF(ISBLANK(AS548),,(AT548*Z548))</f>
        <v>15.999999999999993</v>
      </c>
      <c r="AW548" s="191" t="s">
        <v>96</v>
      </c>
      <c r="AX548" s="407"/>
      <c r="AY548" s="407"/>
      <c r="AZ548" s="407"/>
      <c r="BA548" s="407"/>
      <c r="BB548" s="407"/>
      <c r="BC548" s="407"/>
      <c r="BD548" s="407"/>
      <c r="BE548" s="407"/>
      <c r="BF548" s="422"/>
      <c r="BG548" s="391">
        <f>SUM($AV$4:AV548)</f>
        <v>2970.018809523805</v>
      </c>
      <c r="BH548" s="392">
        <f>SUM($AU$134:AU548)</f>
        <v>2996.4899999999388</v>
      </c>
      <c r="BI548" s="318">
        <f>SUMIFS($AU$134:AU549,$Q$134:Q549,"F")</f>
        <v>-2758.8</v>
      </c>
      <c r="BJ548" s="318">
        <f>SUMIFS($AU$134:AU549,$Q$134:Q549,"S")</f>
        <v>6005.8499999999967</v>
      </c>
      <c r="BK548" s="343">
        <f>SUMIFS($AU$134:AU549,$P$134:P549,"W")</f>
        <v>4397.1499999999342</v>
      </c>
      <c r="BL548" s="343">
        <f>SUMIFS($AU$134:AU549,$P$134:P549,"R")</f>
        <v>-1328.659999999998</v>
      </c>
      <c r="BM548" s="343">
        <f>SUMIFS($AU$134:AU549,$AQ$134:AQ549,"M")</f>
        <v>1789.3999999999721</v>
      </c>
      <c r="BN548" s="343">
        <f>SUMIFS($AU$134:AU549,$AQ$134:AQ549,"H")</f>
        <v>3557.6600000000149</v>
      </c>
      <c r="BO548" s="343">
        <f>SUMIFS($AU$134:AU549,$AQ$134:AQ549,"D")</f>
        <v>-1718.3100000000004</v>
      </c>
      <c r="BP548" s="343">
        <f>SUMIFS($AU$134:AU551,$AQ$134:AQ551,"W")</f>
        <v>-1270.7</v>
      </c>
      <c r="BQ548" s="343">
        <f>SUMIFS($AU$134:AU549,$Q$134:Q549,"O")</f>
        <v>-377.76000000006229</v>
      </c>
      <c r="BR548" s="343">
        <f>SUMIFS($AU$134:AU549,$AA$134:AA549,"*")</f>
        <v>5717.5499999999629</v>
      </c>
      <c r="BS548" s="343">
        <f>SUMIFS($AU$134:AU549,$AB$134:AB549,"*")</f>
        <v>-330.56000000002388</v>
      </c>
      <c r="BT548" s="343">
        <f>SUMIFS($AU$134:AU549,$AC$134:AC549,"*")</f>
        <v>-1637.6500000000015</v>
      </c>
      <c r="BU548" s="343">
        <f>SUMIFS($AU$134:AU549,$AA$134:AA549,"*",$AB$134:AB549,"*")</f>
        <v>-501.99999999999494</v>
      </c>
      <c r="BV548" s="343">
        <f>SUMIFS($AU$134:AU549,$AA$134:AA549,"*",$AC$134:AC549,"*")</f>
        <v>687.44999999999925</v>
      </c>
      <c r="BW548" s="343">
        <f>SUMIFS($AU$134:AU549,$AB$134:AB549,"*",$AC$134:AC549,"*")</f>
        <v>254.5999999999998</v>
      </c>
      <c r="BX548" s="343">
        <f>SUMIFS($AU549:AU$1388,$Q549:Q$1388,"F")</f>
        <v>17199.466666666667</v>
      </c>
      <c r="BY548" s="343">
        <f>SUMIFS($AU549:AU$1388,$Q549:Q$1388,"S")</f>
        <v>14665.792000000001</v>
      </c>
      <c r="BZ548" s="343">
        <f>SUMIFS($AU549:AU$1388,$Q549:Q$1388,"O")</f>
        <v>-1271.097999999736</v>
      </c>
    </row>
    <row r="549" spans="1:78" ht="15.75" customHeight="1">
      <c r="A549" s="221" t="s">
        <v>2380</v>
      </c>
      <c r="B549" s="200">
        <v>45049</v>
      </c>
      <c r="C549" s="178" t="s">
        <v>2020</v>
      </c>
      <c r="D549" s="178" t="s">
        <v>151</v>
      </c>
      <c r="E549" s="227" t="s">
        <v>2417</v>
      </c>
      <c r="F549" s="180"/>
      <c r="G549" s="181"/>
      <c r="H549" s="182">
        <v>1</v>
      </c>
      <c r="I549" s="182"/>
      <c r="J549" s="182"/>
      <c r="K549" s="183" t="s">
        <v>372</v>
      </c>
      <c r="L549" s="182"/>
      <c r="M549" s="182"/>
      <c r="N549" s="182"/>
      <c r="O549" s="183"/>
      <c r="P549" s="183"/>
      <c r="Q549" s="183"/>
      <c r="R549" s="183"/>
      <c r="S549" s="183"/>
      <c r="T549" s="183"/>
      <c r="U549" s="183"/>
      <c r="V549" s="183"/>
      <c r="W549" s="183"/>
      <c r="X549" s="183"/>
      <c r="Y549" s="184" t="str">
        <f t="shared" si="208"/>
        <v/>
      </c>
      <c r="Z549" s="185" t="str">
        <f t="shared" si="209"/>
        <v/>
      </c>
      <c r="AA549" s="185"/>
      <c r="AB549" s="185"/>
      <c r="AC549" s="185"/>
      <c r="AD549" s="649"/>
      <c r="AE549" s="182"/>
      <c r="AF549" s="332"/>
      <c r="AG549" s="182"/>
      <c r="AH549" s="182"/>
      <c r="AI549" s="182"/>
      <c r="AJ549" s="640"/>
      <c r="AK549" s="182"/>
      <c r="AL549" s="496"/>
      <c r="AM549" s="496"/>
      <c r="AN549" s="626"/>
      <c r="AO549" s="182"/>
      <c r="AP549" s="182"/>
      <c r="AQ549" s="332" t="str">
        <f>UPPER(RIGHT(Journal_Live[[#This Row],[DURATION ]]))</f>
        <v/>
      </c>
      <c r="AR549" s="182"/>
      <c r="AS549" s="189"/>
      <c r="AT549" s="189"/>
      <c r="AU549" s="187"/>
      <c r="AV549" s="190"/>
      <c r="AW549" s="191"/>
      <c r="AX549" s="407"/>
      <c r="AY549" s="407"/>
      <c r="AZ549" s="407"/>
      <c r="BA549" s="407"/>
      <c r="BB549" s="407"/>
      <c r="BC549" s="407"/>
      <c r="BD549" s="407"/>
      <c r="BE549" s="407"/>
      <c r="BF549" s="422"/>
      <c r="BG549" s="391">
        <f>SUM($AV$4:AV549)</f>
        <v>2970.018809523805</v>
      </c>
      <c r="BH549" s="392">
        <f>SUM($AU$134:AU549)</f>
        <v>2996.4899999999388</v>
      </c>
      <c r="BI549" s="318">
        <f>SUMIFS($AU$134:AU550,$Q$134:Q550,"F")</f>
        <v>-2758.8</v>
      </c>
      <c r="BJ549" s="318">
        <f>SUMIFS($AU$134:AU550,$Q$134:Q550,"S")</f>
        <v>6005.8499999999967</v>
      </c>
      <c r="BK549" s="343">
        <f>SUMIFS($AU$134:AU550,$P$134:P550,"W")</f>
        <v>4397.1499999999342</v>
      </c>
      <c r="BL549" s="343">
        <f>SUMIFS($AU$134:AU550,$P$134:P550,"R")</f>
        <v>-1328.659999999998</v>
      </c>
      <c r="BM549" s="343">
        <f>SUMIFS($AU$134:AU550,$AQ$134:AQ550,"M")</f>
        <v>1789.3999999999721</v>
      </c>
      <c r="BN549" s="343">
        <f>SUMIFS($AU$134:AU550,$AQ$134:AQ550,"H")</f>
        <v>3557.6600000000149</v>
      </c>
      <c r="BO549" s="343">
        <f>SUMIFS($AU$134:AU550,$AQ$134:AQ550,"D")</f>
        <v>-1718.3100000000004</v>
      </c>
      <c r="BP549" s="343">
        <f>SUMIFS($AU$134:AU552,$AQ$134:AQ552,"W")</f>
        <v>-1270.7</v>
      </c>
      <c r="BQ549" s="343">
        <f>SUMIFS($AU$134:AU550,$Q$134:Q550,"O")</f>
        <v>-377.76000000006229</v>
      </c>
      <c r="BR549" s="343">
        <f>SUMIFS($AU$134:AU550,$AA$134:AA550,"*")</f>
        <v>5717.5499999999629</v>
      </c>
      <c r="BS549" s="343">
        <f>SUMIFS($AU$134:AU550,$AB$134:AB550,"*")</f>
        <v>-330.56000000002388</v>
      </c>
      <c r="BT549" s="343">
        <f>SUMIFS($AU$134:AU550,$AC$134:AC550,"*")</f>
        <v>-1637.6500000000015</v>
      </c>
      <c r="BU549" s="343">
        <f>SUMIFS($AU$134:AU550,$AA$134:AA550,"*",$AB$134:AB550,"*")</f>
        <v>-501.99999999999494</v>
      </c>
      <c r="BV549" s="343">
        <f>SUMIFS($AU$134:AU550,$AA$134:AA550,"*",$AC$134:AC550,"*")</f>
        <v>687.44999999999925</v>
      </c>
      <c r="BW549" s="343">
        <f>SUMIFS($AU$134:AU550,$AB$134:AB550,"*",$AC$134:AC550,"*")</f>
        <v>254.5999999999998</v>
      </c>
      <c r="BX549" s="343">
        <f>SUMIFS($AU550:AU$1388,$Q550:Q$1388,"F")</f>
        <v>17199.466666666667</v>
      </c>
      <c r="BY549" s="343">
        <f>SUMIFS($AU550:AU$1388,$Q550:Q$1388,"S")</f>
        <v>14665.792000000001</v>
      </c>
      <c r="BZ549" s="343">
        <f>SUMIFS($AU550:AU$1388,$Q550:Q$1388,"O")</f>
        <v>-1271.097999999736</v>
      </c>
    </row>
    <row r="550" spans="1:78" ht="15.75" customHeight="1">
      <c r="A550" s="221" t="s">
        <v>2380</v>
      </c>
      <c r="B550" s="200">
        <v>45049</v>
      </c>
      <c r="C550" s="178" t="s">
        <v>1481</v>
      </c>
      <c r="D550" s="178" t="s">
        <v>151</v>
      </c>
      <c r="E550" s="227" t="s">
        <v>2418</v>
      </c>
      <c r="F550" s="180"/>
      <c r="G550" s="181"/>
      <c r="H550" s="182"/>
      <c r="I550" s="182"/>
      <c r="J550" s="182"/>
      <c r="K550" s="183"/>
      <c r="L550" s="182"/>
      <c r="M550" s="182"/>
      <c r="N550" s="182"/>
      <c r="O550" s="183"/>
      <c r="P550" s="183"/>
      <c r="Q550" s="183"/>
      <c r="R550" s="183"/>
      <c r="S550" s="183"/>
      <c r="T550" s="183"/>
      <c r="U550" s="183"/>
      <c r="V550" s="183"/>
      <c r="W550" s="183"/>
      <c r="X550" s="183"/>
      <c r="Y550" s="274"/>
      <c r="Z550" s="183"/>
      <c r="AA550" s="185"/>
      <c r="AB550" s="185"/>
      <c r="AC550" s="185"/>
      <c r="AD550" s="649"/>
      <c r="AE550" s="182"/>
      <c r="AF550" s="332"/>
      <c r="AG550" s="182"/>
      <c r="AH550" s="182"/>
      <c r="AI550" s="182"/>
      <c r="AJ550" s="640"/>
      <c r="AK550" s="182"/>
      <c r="AL550" s="496"/>
      <c r="AM550" s="496"/>
      <c r="AN550" s="626"/>
      <c r="AO550" s="182"/>
      <c r="AP550" s="182"/>
      <c r="AQ550" s="332" t="str">
        <f>UPPER(RIGHT(Journal_Live[[#This Row],[DURATION ]]))</f>
        <v/>
      </c>
      <c r="AR550" s="182"/>
      <c r="AS550" s="189"/>
      <c r="AT550" s="189"/>
      <c r="AU550" s="187"/>
      <c r="AV550" s="190"/>
      <c r="AW550" s="191"/>
      <c r="AX550" s="407"/>
      <c r="AY550" s="407"/>
      <c r="AZ550" s="407"/>
      <c r="BA550" s="407" t="s">
        <v>2419</v>
      </c>
      <c r="BB550" s="407" t="s">
        <v>2420</v>
      </c>
      <c r="BC550" s="407" t="s">
        <v>529</v>
      </c>
      <c r="BD550" s="407"/>
      <c r="BE550" s="407"/>
      <c r="BF550" s="422"/>
      <c r="BG550" s="391">
        <f>SUM($AV$4:AV550)</f>
        <v>2970.018809523805</v>
      </c>
      <c r="BH550" s="392">
        <f>SUM($AU$134:AU550)</f>
        <v>2996.4899999999388</v>
      </c>
      <c r="BI550" s="318">
        <f>SUMIFS($AU$134:AU551,$Q$134:Q551,"F")</f>
        <v>-2758.8</v>
      </c>
      <c r="BJ550" s="318">
        <f>SUMIFS($AU$134:AU551,$Q$134:Q551,"S")</f>
        <v>5525.8499999999967</v>
      </c>
      <c r="BK550" s="343">
        <f>SUMIFS($AU$134:AU551,$P$134:P551,"W")</f>
        <v>3917.1499999999342</v>
      </c>
      <c r="BL550" s="343">
        <f>SUMIFS($AU$134:AU551,$P$134:P551,"R")</f>
        <v>-1328.659999999998</v>
      </c>
      <c r="BM550" s="343">
        <f>SUMIFS($AU$134:AU551,$AQ$134:AQ551,"M")</f>
        <v>1789.3999999999721</v>
      </c>
      <c r="BN550" s="343">
        <f>SUMIFS($AU$134:AU551,$AQ$134:AQ551,"H")</f>
        <v>3077.6600000000149</v>
      </c>
      <c r="BO550" s="343">
        <f>SUMIFS($AU$134:AU551,$AQ$134:AQ551,"D")</f>
        <v>-1718.3100000000004</v>
      </c>
      <c r="BP550" s="343">
        <f>SUMIFS($AU$134:AU553,$AQ$134:AQ553,"W")</f>
        <v>-1270.7</v>
      </c>
      <c r="BQ550" s="343">
        <f>SUMIFS($AU$134:AU551,$Q$134:Q551,"O")</f>
        <v>-377.76000000006229</v>
      </c>
      <c r="BR550" s="343">
        <f>SUMIFS($AU$134:AU551,$AA$134:AA551,"*")</f>
        <v>5237.5499999999629</v>
      </c>
      <c r="BS550" s="343">
        <f>SUMIFS($AU$134:AU551,$AB$134:AB551,"*")</f>
        <v>-810.56000000002382</v>
      </c>
      <c r="BT550" s="343">
        <f>SUMIFS($AU$134:AU551,$AC$134:AC551,"*")</f>
        <v>-1637.6500000000015</v>
      </c>
      <c r="BU550" s="343">
        <f>SUMIFS($AU$134:AU551,$AA$134:AA551,"*",$AB$134:AB551,"*")</f>
        <v>-981.999999999995</v>
      </c>
      <c r="BV550" s="343">
        <f>SUMIFS($AU$134:AU551,$AA$134:AA551,"*",$AC$134:AC551,"*")</f>
        <v>687.44999999999925</v>
      </c>
      <c r="BW550" s="343">
        <f>SUMIFS($AU$134:AU551,$AB$134:AB551,"*",$AC$134:AC551,"*")</f>
        <v>254.5999999999998</v>
      </c>
      <c r="BX550" s="343">
        <f>SUMIFS($AU551:AU$1388,$Q551:Q$1388,"F")</f>
        <v>17199.466666666667</v>
      </c>
      <c r="BY550" s="343">
        <f>SUMIFS($AU551:AU$1388,$Q551:Q$1388,"S")</f>
        <v>14665.792000000001</v>
      </c>
      <c r="BZ550" s="343">
        <f>SUMIFS($AU551:AU$1388,$Q551:Q$1388,"O")</f>
        <v>-1271.097999999736</v>
      </c>
    </row>
    <row r="551" spans="1:78" ht="15.75" customHeight="1">
      <c r="A551" s="221" t="s">
        <v>2380</v>
      </c>
      <c r="B551" s="200">
        <v>45050</v>
      </c>
      <c r="C551" s="178" t="s">
        <v>2421</v>
      </c>
      <c r="D551" s="178" t="s">
        <v>93</v>
      </c>
      <c r="E551" s="227"/>
      <c r="F551" s="180"/>
      <c r="G551" s="281" t="s">
        <v>94</v>
      </c>
      <c r="H551" s="182"/>
      <c r="I551" s="182"/>
      <c r="J551" s="182"/>
      <c r="K551" s="183"/>
      <c r="L551" s="182">
        <v>1</v>
      </c>
      <c r="M551" s="182"/>
      <c r="N551" s="182"/>
      <c r="O551" s="183" t="s">
        <v>95</v>
      </c>
      <c r="P551" s="183" t="s">
        <v>96</v>
      </c>
      <c r="Q551" s="183" t="s">
        <v>97</v>
      </c>
      <c r="R551" s="183">
        <v>10</v>
      </c>
      <c r="S551" s="183">
        <v>0</v>
      </c>
      <c r="T551" s="183">
        <v>10</v>
      </c>
      <c r="U551" s="183" t="s">
        <v>22</v>
      </c>
      <c r="V551" s="183"/>
      <c r="W551" s="183"/>
      <c r="X551" s="183"/>
      <c r="Y551" s="184">
        <f>IF(ISBLANK(O551),"",(IF(O551=UPPER("IB"),0.005,0.01)))</f>
        <v>0.01</v>
      </c>
      <c r="Z551" s="185">
        <f>IF(ISBLANK(O551),"",IF(O551="IB",8.63*200,IF(O551="IR",16*100,IF(O551="YT",20*100,IF(O551="YT-XT",24*200,IF(O551="TED",80*100))))))</f>
        <v>1600</v>
      </c>
      <c r="AA551" s="185" t="s">
        <v>99</v>
      </c>
      <c r="AB551" s="185" t="s">
        <v>2422</v>
      </c>
      <c r="AC551" s="185"/>
      <c r="AD551" s="649">
        <v>-7.0000000000000007E-2</v>
      </c>
      <c r="AE551" s="182"/>
      <c r="AF551" s="332"/>
      <c r="AG551" s="182"/>
      <c r="AH551" s="182"/>
      <c r="AI551" s="182"/>
      <c r="AJ551" s="640"/>
      <c r="AK551" s="182"/>
      <c r="AL551" s="496">
        <f>-0.03*Z551</f>
        <v>-48</v>
      </c>
      <c r="AM551" s="496">
        <f>AL551*(R551-S551)</f>
        <v>-480</v>
      </c>
      <c r="AN551" s="626"/>
      <c r="AO551" s="182"/>
      <c r="AP551" s="182" t="s">
        <v>2423</v>
      </c>
      <c r="AQ551" s="332" t="str">
        <f>UPPER(RIGHT(Journal_Live[[#This Row],[DURATION ]]))</f>
        <v>H</v>
      </c>
      <c r="AR551" s="229">
        <v>0.33333333333333331</v>
      </c>
      <c r="AS551" s="189">
        <v>-0.1</v>
      </c>
      <c r="AT551" s="189">
        <f>IF(ISBLANK(AS551),,IF(U551="S",AD551-AS551,AS551-AD551))</f>
        <v>-0.03</v>
      </c>
      <c r="AU551" s="187">
        <f>AV551*R551</f>
        <v>-480</v>
      </c>
      <c r="AV551" s="190">
        <f>IF(ISBLANK(AS551),,(AT551*Z551))</f>
        <v>-48</v>
      </c>
      <c r="AW551" s="191" t="s">
        <v>229</v>
      </c>
      <c r="AX551" s="407" t="s">
        <v>2424</v>
      </c>
      <c r="AY551" s="407" t="s">
        <v>2425</v>
      </c>
      <c r="AZ551" s="407" t="s">
        <v>2426</v>
      </c>
      <c r="BA551" s="407" t="s">
        <v>2427</v>
      </c>
      <c r="BB551" s="407" t="s">
        <v>2428</v>
      </c>
      <c r="BC551" s="407"/>
      <c r="BD551" s="407"/>
      <c r="BE551" s="407"/>
      <c r="BF551" s="422"/>
      <c r="BG551" s="391">
        <f>SUM($AV$4:AV551)</f>
        <v>2922.018809523805</v>
      </c>
      <c r="BH551" s="392">
        <f>SUM($AU$134:AU551)</f>
        <v>2516.4899999999388</v>
      </c>
      <c r="BI551" s="318">
        <f>SUMIFS($AU$134:AU552,$Q$134:Q552,"F")</f>
        <v>-2758.8</v>
      </c>
      <c r="BJ551" s="318">
        <f>SUMIFS($AU$134:AU552,$Q$134:Q552,"S")</f>
        <v>4725.8499999999967</v>
      </c>
      <c r="BK551" s="343">
        <f>SUMIFS($AU$134:AU552,$P$134:P552,"W")</f>
        <v>3117.1499999999342</v>
      </c>
      <c r="BL551" s="343">
        <f>SUMIFS($AU$134:AU552,$P$134:P552,"R")</f>
        <v>-1328.659999999998</v>
      </c>
      <c r="BM551" s="343">
        <f>SUMIFS($AU$134:AU552,$AQ$134:AQ552,"M")</f>
        <v>1789.3999999999721</v>
      </c>
      <c r="BN551" s="343">
        <f>SUMIFS($AU$134:AU552,$AQ$134:AQ552,"H")</f>
        <v>2277.6600000000153</v>
      </c>
      <c r="BO551" s="343">
        <f>SUMIFS($AU$134:AU552,$AQ$134:AQ552,"D")</f>
        <v>-1718.3100000000004</v>
      </c>
      <c r="BP551" s="343">
        <f>SUMIFS($AU$134:AU554,$AQ$134:AQ554,"W")</f>
        <v>-1270.7</v>
      </c>
      <c r="BQ551" s="343">
        <f>SUMIFS($AU$134:AU552,$Q$134:Q552,"O")</f>
        <v>-377.76000000006229</v>
      </c>
      <c r="BR551" s="343">
        <f>SUMIFS($AU$134:AU552,$AA$134:AA552,"*")</f>
        <v>4437.5499999999629</v>
      </c>
      <c r="BS551" s="343">
        <f>SUMIFS($AU$134:AU552,$AB$134:AB552,"*")</f>
        <v>-810.56000000002382</v>
      </c>
      <c r="BT551" s="343">
        <f>SUMIFS($AU$134:AU552,$AC$134:AC552,"*")</f>
        <v>-1637.6500000000015</v>
      </c>
      <c r="BU551" s="343">
        <f>SUMIFS($AU$134:AU552,$AA$134:AA552,"*",$AB$134:AB552,"*")</f>
        <v>-981.999999999995</v>
      </c>
      <c r="BV551" s="343">
        <f>SUMIFS($AU$134:AU552,$AA$134:AA552,"*",$AC$134:AC552,"*")</f>
        <v>687.44999999999925</v>
      </c>
      <c r="BW551" s="343">
        <f>SUMIFS($AU$134:AU552,$AB$134:AB552,"*",$AC$134:AC552,"*")</f>
        <v>254.5999999999998</v>
      </c>
      <c r="BX551" s="343">
        <f>SUMIFS($AU552:AU$1388,$Q552:Q$1388,"F")</f>
        <v>17199.466666666667</v>
      </c>
      <c r="BY551" s="343">
        <f>SUMIFS($AU552:AU$1388,$Q552:Q$1388,"S")</f>
        <v>15145.792000000001</v>
      </c>
      <c r="BZ551" s="343">
        <f>SUMIFS($AU552:AU$1388,$Q552:Q$1388,"O")</f>
        <v>-1271.097999999736</v>
      </c>
    </row>
    <row r="552" spans="1:78" ht="15.75" customHeight="1">
      <c r="A552" s="221" t="s">
        <v>2380</v>
      </c>
      <c r="B552" s="200">
        <v>45050</v>
      </c>
      <c r="C552" s="178" t="s">
        <v>2429</v>
      </c>
      <c r="D552" s="178" t="s">
        <v>93</v>
      </c>
      <c r="E552" s="227"/>
      <c r="F552" s="180"/>
      <c r="G552" s="281" t="s">
        <v>94</v>
      </c>
      <c r="H552" s="182"/>
      <c r="I552" s="182"/>
      <c r="J552" s="182"/>
      <c r="K552" s="183"/>
      <c r="L552" s="182">
        <v>1</v>
      </c>
      <c r="M552" s="182"/>
      <c r="N552" s="182"/>
      <c r="O552" s="183" t="s">
        <v>95</v>
      </c>
      <c r="P552" s="183" t="s">
        <v>96</v>
      </c>
      <c r="Q552" s="183" t="s">
        <v>97</v>
      </c>
      <c r="R552" s="183">
        <v>15</v>
      </c>
      <c r="S552" s="183">
        <v>0</v>
      </c>
      <c r="T552" s="183">
        <v>15</v>
      </c>
      <c r="U552" s="183" t="s">
        <v>22</v>
      </c>
      <c r="V552" s="183"/>
      <c r="W552" s="183"/>
      <c r="X552" s="183"/>
      <c r="Y552" s="184">
        <f>IF(ISBLANK(O552),"",(IF(O552=UPPER("IB"),0.005,0.01)))</f>
        <v>0.01</v>
      </c>
      <c r="Z552" s="185">
        <f>IF(ISBLANK(O552),"",IF(O552="IB",8.63*200,IF(O552="IR",16*100,IF(O552="YT",20*100,IF(O552="YT-XT",24*200,IF(O552="TED",80*100))))))</f>
        <v>1600</v>
      </c>
      <c r="AA552" s="185" t="s">
        <v>2430</v>
      </c>
      <c r="AB552" s="185"/>
      <c r="AC552" s="185"/>
      <c r="AD552" s="649">
        <v>-0.08</v>
      </c>
      <c r="AE552" s="182"/>
      <c r="AF552" s="332"/>
      <c r="AG552" s="182"/>
      <c r="AH552" s="182"/>
      <c r="AI552" s="182"/>
      <c r="AJ552" s="640"/>
      <c r="AK552" s="182"/>
      <c r="AL552" s="496">
        <f>-0.03*Z552</f>
        <v>-48</v>
      </c>
      <c r="AM552" s="496">
        <f>AL552*(R552-S552)</f>
        <v>-720</v>
      </c>
      <c r="AN552" s="626"/>
      <c r="AO552" s="182"/>
      <c r="AP552" s="182" t="s">
        <v>2423</v>
      </c>
      <c r="AQ552" s="332" t="str">
        <f>UPPER(RIGHT(Journal_Live[[#This Row],[DURATION ]]))</f>
        <v>H</v>
      </c>
      <c r="AR552" s="182" t="s">
        <v>2093</v>
      </c>
      <c r="AS552" s="189">
        <f>((-0.1*5)+(-0.12*10))/15</f>
        <v>-0.11333333333333333</v>
      </c>
      <c r="AT552" s="189">
        <f>IF(ISBLANK(AS552),,IF(U552="S",AD552-AS552,AS552-AD552))</f>
        <v>-3.3333333333333326E-2</v>
      </c>
      <c r="AU552" s="187">
        <f>AV552*R552</f>
        <v>-799.99999999999977</v>
      </c>
      <c r="AV552" s="190">
        <f>IF(ISBLANK(AS552),,(AT552*Z552))</f>
        <v>-53.333333333333321</v>
      </c>
      <c r="AW552" s="191" t="s">
        <v>229</v>
      </c>
      <c r="AX552" s="407"/>
      <c r="AY552" s="407"/>
      <c r="AZ552" s="407"/>
      <c r="BA552" s="407"/>
      <c r="BB552" s="407"/>
      <c r="BC552" s="407"/>
      <c r="BD552" s="407"/>
      <c r="BE552" s="407"/>
      <c r="BF552" s="422"/>
      <c r="BG552" s="391">
        <f>SUM($AV$4:AV552)</f>
        <v>2868.6854761904715</v>
      </c>
      <c r="BH552" s="392">
        <f>SUM($AU$134:AU552)</f>
        <v>1716.4899999999391</v>
      </c>
      <c r="BI552" s="318">
        <f>SUMIFS($AU$134:AU553,$Q$134:Q553,"F")</f>
        <v>-2758.8</v>
      </c>
      <c r="BJ552" s="318">
        <f>SUMIFS($AU$134:AU553,$Q$134:Q553,"S")</f>
        <v>4997.8499999999967</v>
      </c>
      <c r="BK552" s="343">
        <f>SUMIFS($AU$134:AU553,$P$134:P553,"W")</f>
        <v>3389.1499999999342</v>
      </c>
      <c r="BL552" s="343">
        <f>SUMIFS($AU$134:AU553,$P$134:P553,"R")</f>
        <v>-1328.659999999998</v>
      </c>
      <c r="BM552" s="343">
        <f>SUMIFS($AU$134:AU553,$AQ$134:AQ553,"M")</f>
        <v>1789.3999999999721</v>
      </c>
      <c r="BN552" s="343">
        <f>SUMIFS($AU$134:AU553,$AQ$134:AQ553,"H")</f>
        <v>2549.6600000000153</v>
      </c>
      <c r="BO552" s="343">
        <f>SUMIFS($AU$134:AU553,$AQ$134:AQ553,"D")</f>
        <v>-1718.3100000000004</v>
      </c>
      <c r="BP552" s="343">
        <f>SUMIFS($AU$134:AU555,$AQ$134:AQ555,"W")</f>
        <v>-1270.7</v>
      </c>
      <c r="BQ552" s="343">
        <f>SUMIFS($AU$134:AU553,$Q$134:Q553,"O")</f>
        <v>-377.76000000006229</v>
      </c>
      <c r="BR552" s="343">
        <f>SUMIFS($AU$134:AU553,$AA$134:AA553,"*")</f>
        <v>4709.5499999999629</v>
      </c>
      <c r="BS552" s="343">
        <f>SUMIFS($AU$134:AU553,$AB$134:AB553,"*")</f>
        <v>-810.56000000002382</v>
      </c>
      <c r="BT552" s="343">
        <f>SUMIFS($AU$134:AU553,$AC$134:AC553,"*")</f>
        <v>-1637.6500000000015</v>
      </c>
      <c r="BU552" s="343">
        <f>SUMIFS($AU$134:AU553,$AA$134:AA553,"*",$AB$134:AB553,"*")</f>
        <v>-981.999999999995</v>
      </c>
      <c r="BV552" s="343">
        <f>SUMIFS($AU$134:AU553,$AA$134:AA553,"*",$AC$134:AC553,"*")</f>
        <v>687.44999999999925</v>
      </c>
      <c r="BW552" s="343">
        <f>SUMIFS($AU$134:AU553,$AB$134:AB553,"*",$AC$134:AC553,"*")</f>
        <v>254.5999999999998</v>
      </c>
      <c r="BX552" s="343">
        <f>SUMIFS($AU553:AU$1388,$Q553:Q$1388,"F")</f>
        <v>17199.466666666667</v>
      </c>
      <c r="BY552" s="343">
        <f>SUMIFS($AU553:AU$1388,$Q553:Q$1388,"S")</f>
        <v>15945.792000000001</v>
      </c>
      <c r="BZ552" s="343">
        <f>SUMIFS($AU553:AU$1388,$Q553:Q$1388,"O")</f>
        <v>-1271.097999999736</v>
      </c>
    </row>
    <row r="553" spans="1:78" ht="15.75" customHeight="1">
      <c r="A553" s="221" t="s">
        <v>2380</v>
      </c>
      <c r="B553" s="200">
        <v>45050</v>
      </c>
      <c r="C553" s="178" t="s">
        <v>2429</v>
      </c>
      <c r="D553" s="178" t="s">
        <v>93</v>
      </c>
      <c r="E553" s="227"/>
      <c r="F553" s="180"/>
      <c r="G553" s="281" t="s">
        <v>2145</v>
      </c>
      <c r="H553" s="182"/>
      <c r="I553" s="182"/>
      <c r="J553" s="182"/>
      <c r="K553" s="183"/>
      <c r="L553" s="182">
        <v>1</v>
      </c>
      <c r="M553" s="182"/>
      <c r="N553" s="182"/>
      <c r="O553" s="183" t="s">
        <v>95</v>
      </c>
      <c r="P553" s="183" t="s">
        <v>96</v>
      </c>
      <c r="Q553" s="183" t="s">
        <v>97</v>
      </c>
      <c r="R553" s="183">
        <v>17</v>
      </c>
      <c r="S553" s="183">
        <v>7</v>
      </c>
      <c r="T553" s="183">
        <v>17</v>
      </c>
      <c r="U553" s="183" t="s">
        <v>22</v>
      </c>
      <c r="V553" s="183"/>
      <c r="W553" s="183"/>
      <c r="X553" s="183"/>
      <c r="Y553" s="184">
        <f>IF(ISBLANK(O553),"",(IF(O553=UPPER("IB"),0.005,0.01)))</f>
        <v>0.01</v>
      </c>
      <c r="Z553" s="185">
        <f>IF(ISBLANK(O553),"",IF(O553="IB",8.63*200,IF(O553="IR",16*100,IF(O553="YT",20*100,IF(O553="YT-XT",24*200,IF(O553="TED",80*100))))))</f>
        <v>1600</v>
      </c>
      <c r="AA553" s="185" t="s">
        <v>99</v>
      </c>
      <c r="AB553" s="185"/>
      <c r="AC553" s="185"/>
      <c r="AD553" s="649">
        <v>-0.16</v>
      </c>
      <c r="AE553" s="182"/>
      <c r="AF553" s="332"/>
      <c r="AG553" s="182"/>
      <c r="AH553" s="182"/>
      <c r="AI553" s="182"/>
      <c r="AJ553" s="640"/>
      <c r="AK553" s="182"/>
      <c r="AL553" s="496">
        <f t="shared" ref="AL553" si="214">-0.02*Z553</f>
        <v>-32</v>
      </c>
      <c r="AM553" s="496">
        <f>AL553*(R553-S553)</f>
        <v>-320</v>
      </c>
      <c r="AN553" s="626"/>
      <c r="AO553" s="182"/>
      <c r="AP553" s="182" t="s">
        <v>942</v>
      </c>
      <c r="AQ553" s="332" t="str">
        <f>UPPER(RIGHT(Journal_Live[[#This Row],[DURATION ]]))</f>
        <v>H</v>
      </c>
      <c r="AR553" s="182" t="s">
        <v>1052</v>
      </c>
      <c r="AS553" s="189">
        <f>((-0.15*7)+(-0.15*10))/17</f>
        <v>-0.15</v>
      </c>
      <c r="AT553" s="189">
        <f>IF(ISBLANK(AS553),,IF(U553="S",AD553-AS553,AS553-AD553))</f>
        <v>1.0000000000000009E-2</v>
      </c>
      <c r="AU553" s="187">
        <f>AV553*R553</f>
        <v>272.00000000000023</v>
      </c>
      <c r="AV553" s="190">
        <f>IF(ISBLANK(AS553),,(AT553*Z553))</f>
        <v>16.000000000000014</v>
      </c>
      <c r="AW553" s="191" t="s">
        <v>96</v>
      </c>
      <c r="AX553" s="407"/>
      <c r="AY553" s="407"/>
      <c r="AZ553" s="407"/>
      <c r="BA553" s="407"/>
      <c r="BB553" s="407"/>
      <c r="BC553" s="407"/>
      <c r="BD553" s="407"/>
      <c r="BE553" s="407"/>
      <c r="BF553" s="422"/>
      <c r="BG553" s="391">
        <f>SUM($AV$4:AV553)</f>
        <v>2884.6854761904715</v>
      </c>
      <c r="BH553" s="392">
        <f>SUM($AU$134:AU553)</f>
        <v>1988.4899999999393</v>
      </c>
      <c r="BI553" s="318">
        <f>SUMIFS($AU$134:AU554,$Q$134:Q554,"F")</f>
        <v>-2758.8</v>
      </c>
      <c r="BJ553" s="318">
        <f>SUMIFS($AU$134:AU554,$Q$134:Q554,"S")</f>
        <v>4997.8499999999967</v>
      </c>
      <c r="BK553" s="343">
        <f>SUMIFS($AU$134:AU554,$P$134:P554,"W")</f>
        <v>3389.1499999999342</v>
      </c>
      <c r="BL553" s="343">
        <f>SUMIFS($AU$134:AU554,$P$134:P554,"R")</f>
        <v>-1328.659999999998</v>
      </c>
      <c r="BM553" s="343">
        <f>SUMIFS($AU$134:AU554,$AQ$134:AQ554,"M")</f>
        <v>1789.3999999999721</v>
      </c>
      <c r="BN553" s="343">
        <f>SUMIFS($AU$134:AU554,$AQ$134:AQ554,"H")</f>
        <v>2549.6600000000153</v>
      </c>
      <c r="BO553" s="343">
        <f>SUMIFS($AU$134:AU554,$AQ$134:AQ554,"D")</f>
        <v>-1718.3100000000004</v>
      </c>
      <c r="BP553" s="343">
        <f>SUMIFS($AU$134:AU556,$AQ$134:AQ556,"W")</f>
        <v>-1270.7</v>
      </c>
      <c r="BQ553" s="343">
        <f>SUMIFS($AU$134:AU554,$Q$134:Q554,"O")</f>
        <v>-377.76000000006229</v>
      </c>
      <c r="BR553" s="343">
        <f>SUMIFS($AU$134:AU554,$AA$134:AA554,"*")</f>
        <v>4709.5499999999629</v>
      </c>
      <c r="BS553" s="343">
        <f>SUMIFS($AU$134:AU554,$AB$134:AB554,"*")</f>
        <v>-810.56000000002382</v>
      </c>
      <c r="BT553" s="343">
        <f>SUMIFS($AU$134:AU554,$AC$134:AC554,"*")</f>
        <v>-1637.6500000000015</v>
      </c>
      <c r="BU553" s="343">
        <f>SUMIFS($AU$134:AU554,$AA$134:AA554,"*",$AB$134:AB554,"*")</f>
        <v>-981.999999999995</v>
      </c>
      <c r="BV553" s="343">
        <f>SUMIFS($AU$134:AU554,$AA$134:AA554,"*",$AC$134:AC554,"*")</f>
        <v>687.44999999999925</v>
      </c>
      <c r="BW553" s="343">
        <f>SUMIFS($AU$134:AU554,$AB$134:AB554,"*",$AC$134:AC554,"*")</f>
        <v>254.5999999999998</v>
      </c>
      <c r="BX553" s="343">
        <f>SUMIFS($AU554:AU$1388,$Q554:Q$1388,"F")</f>
        <v>17199.466666666667</v>
      </c>
      <c r="BY553" s="343">
        <f>SUMIFS($AU554:AU$1388,$Q554:Q$1388,"S")</f>
        <v>15673.792000000001</v>
      </c>
      <c r="BZ553" s="343">
        <f>SUMIFS($AU554:AU$1388,$Q554:Q$1388,"O")</f>
        <v>-1271.097999999736</v>
      </c>
    </row>
    <row r="554" spans="1:78" ht="15.75" customHeight="1">
      <c r="A554" s="221" t="s">
        <v>2380</v>
      </c>
      <c r="B554" s="200">
        <v>45050</v>
      </c>
      <c r="C554" s="178" t="s">
        <v>1698</v>
      </c>
      <c r="D554" s="178" t="s">
        <v>93</v>
      </c>
      <c r="E554" s="227"/>
      <c r="F554" s="180"/>
      <c r="G554" s="281" t="s">
        <v>2431</v>
      </c>
      <c r="H554" s="182"/>
      <c r="I554" s="182"/>
      <c r="J554" s="182"/>
      <c r="K554" s="183"/>
      <c r="L554" s="182">
        <v>1</v>
      </c>
      <c r="M554" s="182"/>
      <c r="N554" s="182"/>
      <c r="O554" s="183" t="s">
        <v>2432</v>
      </c>
      <c r="P554" s="183" t="s">
        <v>2260</v>
      </c>
      <c r="Q554" s="183" t="s">
        <v>684</v>
      </c>
      <c r="R554" s="183">
        <v>1</v>
      </c>
      <c r="S554" s="183">
        <v>0</v>
      </c>
      <c r="T554" s="183">
        <v>1</v>
      </c>
      <c r="U554" s="183" t="s">
        <v>97</v>
      </c>
      <c r="V554" s="183"/>
      <c r="W554" s="183"/>
      <c r="X554" s="183"/>
      <c r="Y554" s="184">
        <f>IF(ISBLANK(O554),"",(IF(O554=UPPER("IB"),0.005,0.01)))</f>
        <v>0.01</v>
      </c>
      <c r="Z554" s="185">
        <f>IF(ISBLANK(O554),"",IF(O554="IB",8.63*200,IF(O554="IR",16*100,IF(O554="YT",20*100,IF(O554="YT-XT",24*200,IF(O554="TED",80*100))))))</f>
        <v>2000</v>
      </c>
      <c r="AA554" s="185" t="s">
        <v>2433</v>
      </c>
      <c r="AB554" s="185" t="s">
        <v>529</v>
      </c>
      <c r="AC554" s="185"/>
      <c r="AD554" s="649">
        <v>97</v>
      </c>
      <c r="AE554" s="182"/>
      <c r="AF554" s="332">
        <v>97.03</v>
      </c>
      <c r="AG554" s="182" t="s">
        <v>2434</v>
      </c>
      <c r="AH554" s="182" t="s">
        <v>2435</v>
      </c>
      <c r="AI554" s="182"/>
      <c r="AJ554" s="640"/>
      <c r="AK554" s="298" t="s">
        <v>2436</v>
      </c>
      <c r="AL554" s="496">
        <f>-0.03*Z554</f>
        <v>-60</v>
      </c>
      <c r="AM554" s="496">
        <f>AL554*(R554-S554)</f>
        <v>-60</v>
      </c>
      <c r="AN554" s="626"/>
      <c r="AO554" s="182"/>
      <c r="AP554" s="182" t="s">
        <v>1292</v>
      </c>
      <c r="AQ554" s="332" t="str">
        <f>UPPER(RIGHT(Journal_Live[[#This Row],[DURATION ]]))</f>
        <v>H</v>
      </c>
      <c r="AR554" s="182" t="s">
        <v>2437</v>
      </c>
      <c r="AS554" s="189">
        <v>97</v>
      </c>
      <c r="AT554" s="189">
        <f>IF(ISBLANK(AS554),,IF(U554="S",AD554-AS554,AS554-AD554))</f>
        <v>0</v>
      </c>
      <c r="AU554" s="187">
        <f>AV554*R554</f>
        <v>0</v>
      </c>
      <c r="AV554" s="190">
        <f>IF(ISBLANK(AS554),,(AT554*Z554))</f>
        <v>0</v>
      </c>
      <c r="AW554" s="191" t="s">
        <v>115</v>
      </c>
      <c r="AX554" s="407" t="s">
        <v>2438</v>
      </c>
      <c r="AY554" s="407"/>
      <c r="AZ554" s="407"/>
      <c r="BA554" s="407"/>
      <c r="BB554" s="407"/>
      <c r="BC554" s="407"/>
      <c r="BD554" s="407"/>
      <c r="BE554" s="407"/>
      <c r="BF554" s="422"/>
      <c r="BG554" s="391">
        <f>SUM($AV$4:AV554)</f>
        <v>2884.6854761904715</v>
      </c>
      <c r="BH554" s="392">
        <f>SUM($AU$134:AU554)</f>
        <v>1988.4899999999393</v>
      </c>
      <c r="BI554" s="318">
        <f>SUMIFS($AU$134:AU555,$Q$134:Q555,"F")</f>
        <v>-2758.8</v>
      </c>
      <c r="BJ554" s="318">
        <f>SUMIFS($AU$134:AU555,$Q$134:Q555,"S")</f>
        <v>4997.8499999999967</v>
      </c>
      <c r="BK554" s="343">
        <f>SUMIFS($AU$134:AU555,$P$134:P555,"W")</f>
        <v>3389.1499999999342</v>
      </c>
      <c r="BL554" s="343">
        <f>SUMIFS($AU$134:AU555,$P$134:P555,"R")</f>
        <v>-1328.659999999998</v>
      </c>
      <c r="BM554" s="343">
        <f>SUMIFS($AU$134:AU555,$AQ$134:AQ555,"M")</f>
        <v>1789.3999999999721</v>
      </c>
      <c r="BN554" s="343">
        <f>SUMIFS($AU$134:AU555,$AQ$134:AQ555,"H")</f>
        <v>2549.6600000000153</v>
      </c>
      <c r="BO554" s="343">
        <f>SUMIFS($AU$134:AU555,$AQ$134:AQ555,"D")</f>
        <v>-1718.3100000000004</v>
      </c>
      <c r="BP554" s="343">
        <f>SUMIFS($AU$134:AU557,$AQ$134:AQ557,"W")</f>
        <v>-1270.7</v>
      </c>
      <c r="BQ554" s="343">
        <f>SUMIFS($AU$134:AU555,$Q$134:Q555,"O")</f>
        <v>-377.76000000006229</v>
      </c>
      <c r="BR554" s="343">
        <f>SUMIFS($AU$134:AU555,$AA$134:AA555,"*")</f>
        <v>4709.5499999999629</v>
      </c>
      <c r="BS554" s="343">
        <f>SUMIFS($AU$134:AU555,$AB$134:AB555,"*")</f>
        <v>-810.56000000002382</v>
      </c>
      <c r="BT554" s="343">
        <f>SUMIFS($AU$134:AU555,$AC$134:AC555,"*")</f>
        <v>-1637.6500000000015</v>
      </c>
      <c r="BU554" s="343">
        <f>SUMIFS($AU$134:AU555,$AA$134:AA555,"*",$AB$134:AB555,"*")</f>
        <v>-981.999999999995</v>
      </c>
      <c r="BV554" s="343">
        <f>SUMIFS($AU$134:AU555,$AA$134:AA555,"*",$AC$134:AC555,"*")</f>
        <v>687.44999999999925</v>
      </c>
      <c r="BW554" s="343">
        <f>SUMIFS($AU$134:AU555,$AB$134:AB555,"*",$AC$134:AC555,"*")</f>
        <v>254.5999999999998</v>
      </c>
      <c r="BX554" s="343">
        <f>SUMIFS($AU555:AU$1388,$Q555:Q$1388,"F")</f>
        <v>17199.466666666667</v>
      </c>
      <c r="BY554" s="343">
        <f>SUMIFS($AU555:AU$1388,$Q555:Q$1388,"S")</f>
        <v>15673.792000000001</v>
      </c>
      <c r="BZ554" s="343">
        <f>SUMIFS($AU555:AU$1388,$Q555:Q$1388,"O")</f>
        <v>-1271.097999999736</v>
      </c>
    </row>
    <row r="555" spans="1:78" ht="15.75" customHeight="1">
      <c r="A555" s="221" t="s">
        <v>2380</v>
      </c>
      <c r="B555" s="200">
        <v>45050</v>
      </c>
      <c r="C555" s="178" t="s">
        <v>2437</v>
      </c>
      <c r="D555" s="178" t="s">
        <v>93</v>
      </c>
      <c r="E555" s="227"/>
      <c r="F555" s="180"/>
      <c r="G555" s="181" t="s">
        <v>136</v>
      </c>
      <c r="H555" s="182"/>
      <c r="I555" s="182"/>
      <c r="J555" s="182"/>
      <c r="K555" s="183"/>
      <c r="L555" s="182"/>
      <c r="M555" s="182"/>
      <c r="N555" s="182"/>
      <c r="O555" s="183"/>
      <c r="P555" s="183"/>
      <c r="Q555" s="183"/>
      <c r="R555" s="183"/>
      <c r="S555" s="183"/>
      <c r="T555" s="183"/>
      <c r="U555" s="183"/>
      <c r="V555" s="183"/>
      <c r="W555" s="183"/>
      <c r="X555" s="183"/>
      <c r="Y555" s="184"/>
      <c r="Z555" s="185"/>
      <c r="AA555" s="185"/>
      <c r="AB555" s="185"/>
      <c r="AC555" s="185"/>
      <c r="AD555" s="649"/>
      <c r="AE555" s="182"/>
      <c r="AF555" s="332"/>
      <c r="AG555" s="182"/>
      <c r="AH555" s="182"/>
      <c r="AI555" s="182"/>
      <c r="AJ555" s="640"/>
      <c r="AK555" s="182"/>
      <c r="AL555" s="496"/>
      <c r="AM555" s="496"/>
      <c r="AN555" s="626"/>
      <c r="AO555" s="182"/>
      <c r="AP555" s="182"/>
      <c r="AQ555" s="332" t="str">
        <f>UPPER(RIGHT(Journal_Live[[#This Row],[DURATION ]]))</f>
        <v/>
      </c>
      <c r="AR555" s="182"/>
      <c r="AS555" s="189"/>
      <c r="AT555" s="189"/>
      <c r="AU555" s="187"/>
      <c r="AV555" s="190"/>
      <c r="AW555" s="191"/>
      <c r="AX555" s="407" t="s">
        <v>2439</v>
      </c>
      <c r="AY555" s="407"/>
      <c r="AZ555" s="407"/>
      <c r="BA555" s="407"/>
      <c r="BB555" s="407"/>
      <c r="BC555" s="407"/>
      <c r="BD555" s="407"/>
      <c r="BE555" s="407"/>
      <c r="BF555" s="422"/>
      <c r="BG555" s="391">
        <f>SUM($AV$4:AV555)</f>
        <v>2884.6854761904715</v>
      </c>
      <c r="BH555" s="392">
        <f>SUM($AU$134:AU555)</f>
        <v>1988.4899999999393</v>
      </c>
      <c r="BI555" s="318">
        <f>SUMIFS($AU$134:AU556,$Q$134:Q556,"F")</f>
        <v>-2758.8</v>
      </c>
      <c r="BJ555" s="318">
        <f>SUMIFS($AU$134:AU556,$Q$134:Q556,"S")</f>
        <v>4612.4419999999964</v>
      </c>
      <c r="BK555" s="343">
        <f>SUMIFS($AU$134:AU556,$P$134:P556,"W")</f>
        <v>3003.7419999999343</v>
      </c>
      <c r="BL555" s="343">
        <f>SUMIFS($AU$134:AU556,$P$134:P556,"R")</f>
        <v>-1328.659999999998</v>
      </c>
      <c r="BM555" s="343">
        <f>SUMIFS($AU$134:AU556,$AQ$134:AQ556,"M")</f>
        <v>1789.3999999999721</v>
      </c>
      <c r="BN555" s="343">
        <f>SUMIFS($AU$134:AU556,$AQ$134:AQ556,"H")</f>
        <v>2164.2520000000154</v>
      </c>
      <c r="BO555" s="343">
        <f>SUMIFS($AU$134:AU556,$AQ$134:AQ556,"D")</f>
        <v>-1718.3100000000004</v>
      </c>
      <c r="BP555" s="343">
        <f>SUMIFS($AU$134:AU558,$AQ$134:AQ558,"W")</f>
        <v>-1270.7</v>
      </c>
      <c r="BQ555" s="343">
        <f>SUMIFS($AU$134:AU556,$Q$134:Q556,"O")</f>
        <v>-377.76000000006229</v>
      </c>
      <c r="BR555" s="343">
        <f>SUMIFS($AU$134:AU556,$AA$134:AA556,"*")</f>
        <v>4324.1419999999625</v>
      </c>
      <c r="BS555" s="343">
        <f>SUMIFS($AU$134:AU556,$AB$134:AB556,"*")</f>
        <v>-810.56000000002382</v>
      </c>
      <c r="BT555" s="343">
        <f>SUMIFS($AU$134:AU556,$AC$134:AC556,"*")</f>
        <v>-1637.6500000000015</v>
      </c>
      <c r="BU555" s="343">
        <f>SUMIFS($AU$134:AU556,$AA$134:AA556,"*",$AB$134:AB556,"*")</f>
        <v>-981.999999999995</v>
      </c>
      <c r="BV555" s="343">
        <f>SUMIFS($AU$134:AU556,$AA$134:AA556,"*",$AC$134:AC556,"*")</f>
        <v>687.44999999999925</v>
      </c>
      <c r="BW555" s="343">
        <f>SUMIFS($AU$134:AU556,$AB$134:AB556,"*",$AC$134:AC556,"*")</f>
        <v>254.5999999999998</v>
      </c>
      <c r="BX555" s="343">
        <f>SUMIFS($AU556:AU$1388,$Q556:Q$1388,"F")</f>
        <v>17199.466666666667</v>
      </c>
      <c r="BY555" s="343">
        <f>SUMIFS($AU556:AU$1388,$Q556:Q$1388,"S")</f>
        <v>15673.792000000001</v>
      </c>
      <c r="BZ555" s="343">
        <f>SUMIFS($AU556:AU$1388,$Q556:Q$1388,"O")</f>
        <v>-1271.097999999736</v>
      </c>
    </row>
    <row r="556" spans="1:78" ht="15.75" customHeight="1">
      <c r="A556" s="221" t="s">
        <v>2380</v>
      </c>
      <c r="B556" s="200">
        <v>45050</v>
      </c>
      <c r="C556" s="178" t="s">
        <v>2437</v>
      </c>
      <c r="D556" s="178" t="s">
        <v>93</v>
      </c>
      <c r="E556" s="227"/>
      <c r="F556" s="180"/>
      <c r="G556" s="281" t="s">
        <v>94</v>
      </c>
      <c r="H556" s="182"/>
      <c r="I556" s="182"/>
      <c r="J556" s="182"/>
      <c r="K556" s="183"/>
      <c r="L556" s="182">
        <v>1</v>
      </c>
      <c r="M556" s="182"/>
      <c r="N556" s="182"/>
      <c r="O556" s="183" t="s">
        <v>95</v>
      </c>
      <c r="P556" s="183" t="s">
        <v>96</v>
      </c>
      <c r="Q556" s="183" t="s">
        <v>97</v>
      </c>
      <c r="R556" s="183">
        <v>16</v>
      </c>
      <c r="S556" s="183">
        <v>5</v>
      </c>
      <c r="T556" s="183">
        <v>16</v>
      </c>
      <c r="U556" s="183" t="s">
        <v>22</v>
      </c>
      <c r="V556" s="183"/>
      <c r="W556" s="183"/>
      <c r="X556" s="183"/>
      <c r="Y556" s="184">
        <f>IF(ISBLANK(O556),"",(IF(O556=UPPER("IB"),0.005,0.01)))</f>
        <v>0.01</v>
      </c>
      <c r="Z556" s="185">
        <f>IF(ISBLANK(O556),"",IF(O556="IB",8.63*200,IF(O556="IR",16*100,IF(O556="YT",20*100,IF(O556="YT-XT",24*200,IF(O556="TED",80*100))))))</f>
        <v>1600</v>
      </c>
      <c r="AA556" s="185" t="s">
        <v>2430</v>
      </c>
      <c r="AB556" s="185"/>
      <c r="AC556" s="185"/>
      <c r="AD556" s="649">
        <v>-9.8070000000000004E-2</v>
      </c>
      <c r="AE556" s="182"/>
      <c r="AF556" s="332"/>
      <c r="AG556" s="182"/>
      <c r="AH556" s="182"/>
      <c r="AI556" s="182"/>
      <c r="AJ556" s="640"/>
      <c r="AK556" s="182"/>
      <c r="AL556" s="496">
        <f>-0.02*Z556</f>
        <v>-32</v>
      </c>
      <c r="AM556" s="496">
        <f>AL556*(R556-S556)</f>
        <v>-352</v>
      </c>
      <c r="AN556" s="626"/>
      <c r="AO556" s="182"/>
      <c r="AP556" s="182" t="s">
        <v>1782</v>
      </c>
      <c r="AQ556" s="332" t="str">
        <f>UPPER(RIGHT(Journal_Live[[#This Row],[DURATION ]]))</f>
        <v>H</v>
      </c>
      <c r="AR556" s="182" t="s">
        <v>2440</v>
      </c>
      <c r="AS556" s="189">
        <f>((-0.12*5)+(-0.11*11))/16</f>
        <v>-0.113125</v>
      </c>
      <c r="AT556" s="189">
        <f>IF(ISBLANK(AS556),,IF(U556="S",AD556-AS556,AS556-AD556))</f>
        <v>-1.5054999999999999E-2</v>
      </c>
      <c r="AU556" s="187">
        <f>AV556*R556</f>
        <v>-385.40799999999996</v>
      </c>
      <c r="AV556" s="190">
        <f>IF(ISBLANK(AS556),,(AT556*Z556))</f>
        <v>-24.087999999999997</v>
      </c>
      <c r="AW556" s="191" t="s">
        <v>229</v>
      </c>
      <c r="AX556" s="407"/>
      <c r="AY556" s="407"/>
      <c r="AZ556" s="407"/>
      <c r="BA556" s="407"/>
      <c r="BB556" s="407"/>
      <c r="BC556" s="407"/>
      <c r="BD556" s="407"/>
      <c r="BE556" s="407"/>
      <c r="BF556" s="422"/>
      <c r="BG556" s="391">
        <f>SUM($AV$4:AV556)</f>
        <v>2860.5974761904713</v>
      </c>
      <c r="BH556" s="392">
        <f>SUM($AU$134:AU556)</f>
        <v>1603.0819999999394</v>
      </c>
      <c r="BI556" s="318">
        <f>SUMIFS($AU$134:AU557,$Q$134:Q557,"F")</f>
        <v>-2070.8000000000002</v>
      </c>
      <c r="BJ556" s="318">
        <f>SUMIFS($AU$134:AU557,$Q$134:Q557,"S")</f>
        <v>4612.4419999999964</v>
      </c>
      <c r="BK556" s="343">
        <f>SUMIFS($AU$134:AU557,$P$134:P557,"W")</f>
        <v>3691.7419999999343</v>
      </c>
      <c r="BL556" s="343">
        <f>SUMIFS($AU$134:AU557,$P$134:P557,"R")</f>
        <v>-1328.659999999998</v>
      </c>
      <c r="BM556" s="343">
        <f>SUMIFS($AU$134:AU557,$AQ$134:AQ557,"M")</f>
        <v>1789.3999999999721</v>
      </c>
      <c r="BN556" s="343">
        <f>SUMIFS($AU$134:AU557,$AQ$134:AQ557,"H")</f>
        <v>2164.2520000000154</v>
      </c>
      <c r="BO556" s="343">
        <f>SUMIFS($AU$134:AU557,$AQ$134:AQ557,"D")</f>
        <v>-1030.3100000000004</v>
      </c>
      <c r="BP556" s="343">
        <f>SUMIFS($AU$134:AU559,$AQ$134:AQ559,"W")</f>
        <v>-1270.7</v>
      </c>
      <c r="BQ556" s="343">
        <f>SUMIFS($AU$134:AU557,$Q$134:Q557,"O")</f>
        <v>-377.76000000006229</v>
      </c>
      <c r="BR556" s="343">
        <f>SUMIFS($AU$134:AU557,$AA$134:AA557,"*")</f>
        <v>4324.1419999999625</v>
      </c>
      <c r="BS556" s="343">
        <f>SUMIFS($AU$134:AU557,$AB$134:AB557,"*")</f>
        <v>-122.56000000002382</v>
      </c>
      <c r="BT556" s="343">
        <f>SUMIFS($AU$134:AU557,$AC$134:AC557,"*")</f>
        <v>-949.65000000000146</v>
      </c>
      <c r="BU556" s="343">
        <f>SUMIFS($AU$134:AU557,$AA$134:AA557,"*",$AB$134:AB557,"*")</f>
        <v>-981.999999999995</v>
      </c>
      <c r="BV556" s="343">
        <f>SUMIFS($AU$134:AU557,$AA$134:AA557,"*",$AC$134:AC557,"*")</f>
        <v>687.44999999999925</v>
      </c>
      <c r="BW556" s="343">
        <f>SUMIFS($AU$134:AU557,$AB$134:AB557,"*",$AC$134:AC557,"*")</f>
        <v>942.5999999999998</v>
      </c>
      <c r="BX556" s="343">
        <f>SUMIFS($AU557:AU$1388,$Q557:Q$1388,"F")</f>
        <v>17199.466666666667</v>
      </c>
      <c r="BY556" s="343">
        <f>SUMIFS($AU557:AU$1388,$Q557:Q$1388,"S")</f>
        <v>16059.2</v>
      </c>
      <c r="BZ556" s="343">
        <f>SUMIFS($AU557:AU$1388,$Q557:Q$1388,"O")</f>
        <v>-1271.097999999736</v>
      </c>
    </row>
    <row r="557" spans="1:78" ht="15.75" customHeight="1">
      <c r="A557" s="221" t="s">
        <v>2380</v>
      </c>
      <c r="B557" s="200">
        <v>45050</v>
      </c>
      <c r="C557" s="178" t="s">
        <v>2440</v>
      </c>
      <c r="D557" s="178" t="s">
        <v>93</v>
      </c>
      <c r="E557" s="227"/>
      <c r="F557" s="180"/>
      <c r="G557" s="281" t="s">
        <v>2441</v>
      </c>
      <c r="H557" s="182"/>
      <c r="I557" s="182"/>
      <c r="J557" s="182"/>
      <c r="K557" s="183"/>
      <c r="L557" s="182">
        <v>1</v>
      </c>
      <c r="M557" s="182">
        <v>1</v>
      </c>
      <c r="N557" s="182"/>
      <c r="O557" s="183" t="s">
        <v>95</v>
      </c>
      <c r="P557" s="183" t="s">
        <v>96</v>
      </c>
      <c r="Q557" s="183" t="s">
        <v>256</v>
      </c>
      <c r="R557" s="183">
        <v>10</v>
      </c>
      <c r="S557" s="183">
        <v>2</v>
      </c>
      <c r="T557" s="183">
        <v>10</v>
      </c>
      <c r="U557" s="183" t="s">
        <v>97</v>
      </c>
      <c r="V557" s="183"/>
      <c r="W557" s="183"/>
      <c r="X557" s="183"/>
      <c r="Y557" s="184">
        <f>IF(ISBLANK(O557),"",(IF(O557=UPPER("IB"),0.005,0.01)))</f>
        <v>0.01</v>
      </c>
      <c r="Z557" s="185">
        <f>IF(ISBLANK(O557),"",IF(O557="IB",8.63*200,IF(O557="IR",16*100,IF(O557="YT",20*100,IF(O557="YT-XT",24*200,IF(O557="TED",80*100))))))</f>
        <v>1600</v>
      </c>
      <c r="AA557" s="185"/>
      <c r="AB557" s="185" t="s">
        <v>2442</v>
      </c>
      <c r="AC557" s="185" t="s">
        <v>2443</v>
      </c>
      <c r="AD557" s="649">
        <v>0.1</v>
      </c>
      <c r="AE557" s="182"/>
      <c r="AF557" s="332" t="s">
        <v>2444</v>
      </c>
      <c r="AG557" s="182"/>
      <c r="AH557" s="182" t="s">
        <v>2445</v>
      </c>
      <c r="AI557" s="182"/>
      <c r="AJ557" s="640"/>
      <c r="AK557" s="182"/>
      <c r="AL557" s="496">
        <f>-0.04*Z557</f>
        <v>-64</v>
      </c>
      <c r="AM557" s="496">
        <f>AL557*(R557-S557)</f>
        <v>-512</v>
      </c>
      <c r="AN557" s="626" t="s">
        <v>2446</v>
      </c>
      <c r="AO557" s="182"/>
      <c r="AP557" s="182" t="s">
        <v>751</v>
      </c>
      <c r="AQ557" s="332" t="str">
        <f>UPPER(RIGHT(Journal_Live[[#This Row],[DURATION ]]))</f>
        <v>D</v>
      </c>
      <c r="AR557" s="182" t="s">
        <v>2447</v>
      </c>
      <c r="AS557" s="189">
        <f>((0.05*3)+(0.06*7))/10</f>
        <v>5.7000000000000009E-2</v>
      </c>
      <c r="AT557" s="189">
        <f>IF(ISBLANK(AS557),,IF(U557="S",AD557-AS557,AS557-AD557))</f>
        <v>4.2999999999999997E-2</v>
      </c>
      <c r="AU557" s="187">
        <f>AV557*R557</f>
        <v>688</v>
      </c>
      <c r="AV557" s="190">
        <f>IF(ISBLANK(AS557),,(AT557*Z557))</f>
        <v>68.8</v>
      </c>
      <c r="AW557" s="191" t="s">
        <v>96</v>
      </c>
      <c r="AX557" s="407" t="s">
        <v>2448</v>
      </c>
      <c r="AY557" s="407" t="s">
        <v>2449</v>
      </c>
      <c r="AZ557" s="407" t="s">
        <v>2450</v>
      </c>
      <c r="BA557" s="407" t="s">
        <v>2451</v>
      </c>
      <c r="BB557" s="407" t="s">
        <v>529</v>
      </c>
      <c r="BC557" s="407"/>
      <c r="BD557" s="407"/>
      <c r="BE557" s="407"/>
      <c r="BF557" s="422"/>
      <c r="BG557" s="391">
        <f>SUM($AV$4:AV557)</f>
        <v>2929.3974761904715</v>
      </c>
      <c r="BH557" s="392">
        <f>SUM($AU$134:AU557)</f>
        <v>2291.0819999999394</v>
      </c>
      <c r="BI557" s="318">
        <f>SUMIFS($AU$134:AU558,$Q$134:Q558,"F")</f>
        <v>-1910.8000000000002</v>
      </c>
      <c r="BJ557" s="318">
        <f>SUMIFS($AU$134:AU558,$Q$134:Q558,"S")</f>
        <v>4612.4419999999964</v>
      </c>
      <c r="BK557" s="343">
        <f>SUMIFS($AU$134:AU558,$P$134:P558,"W")</f>
        <v>3691.7419999999343</v>
      </c>
      <c r="BL557" s="343">
        <f>SUMIFS($AU$134:AU558,$P$134:P558,"R")</f>
        <v>-1168.659999999998</v>
      </c>
      <c r="BM557" s="343">
        <f>SUMIFS($AU$134:AU558,$AQ$134:AQ558,"M")</f>
        <v>1789.3999999999721</v>
      </c>
      <c r="BN557" s="343">
        <f>SUMIFS($AU$134:AU558,$AQ$134:AQ558,"H")</f>
        <v>2164.2520000000154</v>
      </c>
      <c r="BO557" s="343">
        <f>SUMIFS($AU$134:AU558,$AQ$134:AQ558,"D")</f>
        <v>-870.3100000000004</v>
      </c>
      <c r="BP557" s="343">
        <f>SUMIFS($AU$134:AU560,$AQ$134:AQ560,"W")</f>
        <v>-1270.7</v>
      </c>
      <c r="BQ557" s="343">
        <f>SUMIFS($AU$134:AU558,$Q$134:Q558,"O")</f>
        <v>-377.76000000006229</v>
      </c>
      <c r="BR557" s="343">
        <f>SUMIFS($AU$134:AU558,$AA$134:AA558,"*")</f>
        <v>4324.1419999999625</v>
      </c>
      <c r="BS557" s="343">
        <f>SUMIFS($AU$134:AU558,$AB$134:AB558,"*")</f>
        <v>-122.56000000002382</v>
      </c>
      <c r="BT557" s="343">
        <f>SUMIFS($AU$134:AU558,$AC$134:AC558,"*")</f>
        <v>-789.65000000000146</v>
      </c>
      <c r="BU557" s="343">
        <f>SUMIFS($AU$134:AU558,$AA$134:AA558,"*",$AB$134:AB558,"*")</f>
        <v>-981.999999999995</v>
      </c>
      <c r="BV557" s="343">
        <f>SUMIFS($AU$134:AU558,$AA$134:AA558,"*",$AC$134:AC558,"*")</f>
        <v>687.44999999999925</v>
      </c>
      <c r="BW557" s="343">
        <f>SUMIFS($AU$134:AU558,$AB$134:AB558,"*",$AC$134:AC558,"*")</f>
        <v>942.5999999999998</v>
      </c>
      <c r="BX557" s="343">
        <f>SUMIFS($AU558:AU$1388,$Q558:Q$1388,"F")</f>
        <v>16511.466666666671</v>
      </c>
      <c r="BY557" s="343">
        <f>SUMIFS($AU558:AU$1388,$Q558:Q$1388,"S")</f>
        <v>16059.2</v>
      </c>
      <c r="BZ557" s="343">
        <f>SUMIFS($AU558:AU$1388,$Q558:Q$1388,"O")</f>
        <v>-1271.097999999736</v>
      </c>
    </row>
    <row r="558" spans="1:78" ht="15.75" customHeight="1">
      <c r="A558" s="221" t="s">
        <v>2380</v>
      </c>
      <c r="B558" s="200">
        <v>45050</v>
      </c>
      <c r="C558" s="178" t="s">
        <v>2452</v>
      </c>
      <c r="D558" s="178" t="s">
        <v>93</v>
      </c>
      <c r="E558" s="227"/>
      <c r="F558" s="180"/>
      <c r="G558" s="281" t="s">
        <v>2453</v>
      </c>
      <c r="H558" s="182"/>
      <c r="I558" s="182"/>
      <c r="J558" s="182"/>
      <c r="K558" s="183"/>
      <c r="L558" s="182">
        <v>1</v>
      </c>
      <c r="M558" s="182">
        <v>2</v>
      </c>
      <c r="N558" s="182"/>
      <c r="O558" s="183" t="s">
        <v>95</v>
      </c>
      <c r="P558" s="183" t="s">
        <v>137</v>
      </c>
      <c r="Q558" s="183" t="s">
        <v>256</v>
      </c>
      <c r="R558" s="183">
        <v>10</v>
      </c>
      <c r="S558" s="183">
        <v>0</v>
      </c>
      <c r="T558" s="183">
        <v>10</v>
      </c>
      <c r="U558" s="183" t="s">
        <v>97</v>
      </c>
      <c r="V558" s="183"/>
      <c r="W558" s="183"/>
      <c r="X558" s="183"/>
      <c r="Y558" s="184">
        <f>IF(ISBLANK(O558),"",(IF(O558=UPPER("IB"),0.005,0.01)))</f>
        <v>0.01</v>
      </c>
      <c r="Z558" s="185">
        <f>IF(ISBLANK(O558),"",IF(O558="IB",8.63*200,IF(O558="IR",16*100,IF(O558="YT",20*100,IF(O558="YT-XT",24*200,IF(O558="TED",80*100))))))</f>
        <v>1600</v>
      </c>
      <c r="AA558" s="185"/>
      <c r="AB558" s="185"/>
      <c r="AC558" s="185" t="s">
        <v>2454</v>
      </c>
      <c r="AD558" s="649">
        <v>-0.02</v>
      </c>
      <c r="AE558" s="182"/>
      <c r="AF558" s="332" t="s">
        <v>2455</v>
      </c>
      <c r="AG558" s="182" t="s">
        <v>2456</v>
      </c>
      <c r="AH558" s="182">
        <v>-0.03</v>
      </c>
      <c r="AI558" s="182"/>
      <c r="AJ558" s="640"/>
      <c r="AK558" s="182"/>
      <c r="AL558" s="496">
        <f>-0.03*Z558</f>
        <v>-48</v>
      </c>
      <c r="AM558" s="496">
        <f>AL558*(R558-S558)</f>
        <v>-480</v>
      </c>
      <c r="AN558" s="626"/>
      <c r="AO558" s="182"/>
      <c r="AP558" s="182" t="s">
        <v>770</v>
      </c>
      <c r="AQ558" s="332" t="str">
        <f>UPPER(RIGHT(Journal_Live[[#This Row],[DURATION ]]))</f>
        <v>D</v>
      </c>
      <c r="AR558" s="182" t="s">
        <v>2457</v>
      </c>
      <c r="AS558" s="189">
        <f>((-0.03*5)+(-0.03*5))/10</f>
        <v>-0.03</v>
      </c>
      <c r="AT558" s="189">
        <f>IF(ISBLANK(AS558),,IF(U558="S",AD558-AS558,AS558-AD558))</f>
        <v>9.9999999999999985E-3</v>
      </c>
      <c r="AU558" s="187">
        <f>AV558*R558</f>
        <v>159.99999999999997</v>
      </c>
      <c r="AV558" s="190">
        <f>IF(ISBLANK(AS558),,(AT558*Z558))</f>
        <v>15.999999999999998</v>
      </c>
      <c r="AW558" s="191" t="s">
        <v>96</v>
      </c>
      <c r="AX558" s="407" t="s">
        <v>2458</v>
      </c>
      <c r="AY558" s="407" t="s">
        <v>2459</v>
      </c>
      <c r="AZ558" s="407" t="s">
        <v>529</v>
      </c>
      <c r="BA558" s="407" t="s">
        <v>529</v>
      </c>
      <c r="BB558" s="407"/>
      <c r="BC558" s="407"/>
      <c r="BD558" s="407"/>
      <c r="BE558" s="407"/>
      <c r="BF558" s="422"/>
      <c r="BG558" s="391">
        <f>SUM($AV$4:AV558)</f>
        <v>2945.3974761904715</v>
      </c>
      <c r="BH558" s="392">
        <f>SUM($AU$134:AU558)</f>
        <v>2451.0819999999394</v>
      </c>
      <c r="BI558" s="318">
        <f>SUMIFS($AU$134:AU559,$Q$134:Q559,"F")</f>
        <v>-1910.8000000000002</v>
      </c>
      <c r="BJ558" s="318">
        <f>SUMIFS($AU$134:AU559,$Q$134:Q559,"S")</f>
        <v>4612.4419999999964</v>
      </c>
      <c r="BK558" s="343">
        <f>SUMIFS($AU$134:AU559,$P$134:P559,"W")</f>
        <v>3691.7419999999343</v>
      </c>
      <c r="BL558" s="343">
        <f>SUMIFS($AU$134:AU559,$P$134:P559,"R")</f>
        <v>-1168.659999999998</v>
      </c>
      <c r="BM558" s="343">
        <f>SUMIFS($AU$134:AU559,$AQ$134:AQ559,"M")</f>
        <v>1789.3999999999721</v>
      </c>
      <c r="BN558" s="343">
        <f>SUMIFS($AU$134:AU559,$AQ$134:AQ559,"H")</f>
        <v>2164.2520000000154</v>
      </c>
      <c r="BO558" s="343">
        <f>SUMIFS($AU$134:AU559,$AQ$134:AQ559,"D")</f>
        <v>-870.3100000000004</v>
      </c>
      <c r="BP558" s="343">
        <f>SUMIFS($AU$134:AU561,$AQ$134:AQ561,"W")</f>
        <v>-1270.7</v>
      </c>
      <c r="BQ558" s="343">
        <f>SUMIFS($AU$134:AU559,$Q$134:Q559,"O")</f>
        <v>-377.76000000006229</v>
      </c>
      <c r="BR558" s="343">
        <f>SUMIFS($AU$134:AU559,$AA$134:AA559,"*")</f>
        <v>4324.1419999999625</v>
      </c>
      <c r="BS558" s="343">
        <f>SUMIFS($AU$134:AU559,$AB$134:AB559,"*")</f>
        <v>-122.56000000002382</v>
      </c>
      <c r="BT558" s="343">
        <f>SUMIFS($AU$134:AU559,$AC$134:AC559,"*")</f>
        <v>-789.65000000000146</v>
      </c>
      <c r="BU558" s="343">
        <f>SUMIFS($AU$134:AU559,$AA$134:AA559,"*",$AB$134:AB559,"*")</f>
        <v>-981.999999999995</v>
      </c>
      <c r="BV558" s="343">
        <f>SUMIFS($AU$134:AU559,$AA$134:AA559,"*",$AC$134:AC559,"*")</f>
        <v>687.44999999999925</v>
      </c>
      <c r="BW558" s="343">
        <f>SUMIFS($AU$134:AU559,$AB$134:AB559,"*",$AC$134:AC559,"*")</f>
        <v>942.5999999999998</v>
      </c>
      <c r="BX558" s="343">
        <f>SUMIFS($AU559:AU$1388,$Q559:Q$1388,"F")</f>
        <v>16351.466666666669</v>
      </c>
      <c r="BY558" s="343">
        <f>SUMIFS($AU559:AU$1388,$Q559:Q$1388,"S")</f>
        <v>16059.2</v>
      </c>
      <c r="BZ558" s="343">
        <f>SUMIFS($AU559:AU$1388,$Q559:Q$1388,"O")</f>
        <v>-1271.097999999736</v>
      </c>
    </row>
    <row r="559" spans="1:78" ht="15.75" customHeight="1">
      <c r="A559" s="221" t="s">
        <v>2380</v>
      </c>
      <c r="B559" s="200">
        <v>45050</v>
      </c>
      <c r="C559" s="178" t="s">
        <v>2122</v>
      </c>
      <c r="D559" s="178" t="s">
        <v>93</v>
      </c>
      <c r="E559" s="227" t="s">
        <v>2460</v>
      </c>
      <c r="F559" s="180" t="s">
        <v>2461</v>
      </c>
      <c r="G559" s="181"/>
      <c r="H559" s="182"/>
      <c r="I559" s="182"/>
      <c r="J559" s="182"/>
      <c r="K559" s="183"/>
      <c r="L559" s="182"/>
      <c r="M559" s="182"/>
      <c r="N559" s="182"/>
      <c r="O559" s="183"/>
      <c r="P559" s="183"/>
      <c r="Q559" s="183"/>
      <c r="R559" s="183"/>
      <c r="S559" s="183"/>
      <c r="T559" s="183"/>
      <c r="U559" s="183"/>
      <c r="V559" s="183"/>
      <c r="W559" s="183"/>
      <c r="X559" s="183"/>
      <c r="Y559" s="183"/>
      <c r="Z559" s="185" t="str">
        <f>IF(ISBLANK(O559),"",IF(O559="IB",8.63*200,IF(O559="IR",16*100,IF(O559="YT",20*100,IF(O559="YT-XT",24*200,IF(O559="TED",80*100))))))</f>
        <v/>
      </c>
      <c r="AA559" s="185"/>
      <c r="AB559" s="185"/>
      <c r="AC559" s="185"/>
      <c r="AD559" s="649"/>
      <c r="AE559" s="182"/>
      <c r="AF559" s="332"/>
      <c r="AG559" s="182"/>
      <c r="AH559" s="182"/>
      <c r="AI559" s="182"/>
      <c r="AJ559" s="640"/>
      <c r="AK559" s="182"/>
      <c r="AL559" s="496"/>
      <c r="AM559" s="496"/>
      <c r="AN559" s="626"/>
      <c r="AO559" s="182"/>
      <c r="AP559" s="182"/>
      <c r="AQ559" s="332" t="str">
        <f>UPPER(RIGHT(Journal_Live[[#This Row],[DURATION ]]))</f>
        <v/>
      </c>
      <c r="AR559" s="182"/>
      <c r="AS559" s="189"/>
      <c r="AT559" s="189"/>
      <c r="AU559" s="187"/>
      <c r="AV559" s="190"/>
      <c r="AW559" s="191"/>
      <c r="AX559" s="407" t="s">
        <v>2462</v>
      </c>
      <c r="AY559" s="407" t="s">
        <v>529</v>
      </c>
      <c r="AZ559" s="407"/>
      <c r="BA559" s="419"/>
      <c r="BB559" s="407"/>
      <c r="BC559" s="407"/>
      <c r="BD559" s="407"/>
      <c r="BE559" s="407"/>
      <c r="BF559" s="422"/>
      <c r="BG559" s="391">
        <f>SUM($AV$4:AV559)</f>
        <v>2945.3974761904715</v>
      </c>
      <c r="BH559" s="392">
        <f>SUM($AU$134:AU559)</f>
        <v>2451.0819999999394</v>
      </c>
      <c r="BI559" s="318">
        <f>SUMIFS($AU$134:AU560,$Q$134:Q560,"F")</f>
        <v>-1910.8000000000002</v>
      </c>
      <c r="BJ559" s="318">
        <f>SUMIFS($AU$134:AU560,$Q$134:Q560,"S")</f>
        <v>4612.4419999999964</v>
      </c>
      <c r="BK559" s="343">
        <f>SUMIFS($AU$134:AU560,$P$134:P560,"W")</f>
        <v>3691.7419999999343</v>
      </c>
      <c r="BL559" s="343">
        <f>SUMIFS($AU$134:AU560,$P$134:P560,"R")</f>
        <v>-1168.659999999998</v>
      </c>
      <c r="BM559" s="343">
        <f>SUMIFS($AU$134:AU560,$AQ$134:AQ560,"M")</f>
        <v>1789.3999999999721</v>
      </c>
      <c r="BN559" s="343">
        <f>SUMIFS($AU$134:AU560,$AQ$134:AQ560,"H")</f>
        <v>2164.2520000000154</v>
      </c>
      <c r="BO559" s="343">
        <f>SUMIFS($AU$134:AU560,$AQ$134:AQ560,"D")</f>
        <v>-870.3100000000004</v>
      </c>
      <c r="BP559" s="343">
        <f>SUMIFS($AU$134:AU562,$AQ$134:AQ562,"W")</f>
        <v>-1270.7</v>
      </c>
      <c r="BQ559" s="343">
        <f>SUMIFS($AU$134:AU560,$Q$134:Q560,"O")</f>
        <v>-377.76000000006229</v>
      </c>
      <c r="BR559" s="343">
        <f>SUMIFS($AU$134:AU560,$AA$134:AA560,"*")</f>
        <v>4324.1419999999625</v>
      </c>
      <c r="BS559" s="343">
        <f>SUMIFS($AU$134:AU560,$AB$134:AB560,"*")</f>
        <v>-122.56000000002382</v>
      </c>
      <c r="BT559" s="343">
        <f>SUMIFS($AU$134:AU560,$AC$134:AC560,"*")</f>
        <v>-789.65000000000146</v>
      </c>
      <c r="BU559" s="343">
        <f>SUMIFS($AU$134:AU560,$AA$134:AA560,"*",$AB$134:AB560,"*")</f>
        <v>-981.999999999995</v>
      </c>
      <c r="BV559" s="343">
        <f>SUMIFS($AU$134:AU560,$AA$134:AA560,"*",$AC$134:AC560,"*")</f>
        <v>687.44999999999925</v>
      </c>
      <c r="BW559" s="343">
        <f>SUMIFS($AU$134:AU560,$AB$134:AB560,"*",$AC$134:AC560,"*")</f>
        <v>942.5999999999998</v>
      </c>
      <c r="BX559" s="343">
        <f>SUMIFS($AU560:AU$1388,$Q560:Q$1388,"F")</f>
        <v>16351.466666666669</v>
      </c>
      <c r="BY559" s="343">
        <f>SUMIFS($AU560:AU$1388,$Q560:Q$1388,"S")</f>
        <v>16059.2</v>
      </c>
      <c r="BZ559" s="343">
        <f>SUMIFS($AU560:AU$1388,$Q560:Q$1388,"O")</f>
        <v>-1271.097999999736</v>
      </c>
    </row>
    <row r="560" spans="1:78" ht="15.75" customHeight="1">
      <c r="A560" s="221" t="s">
        <v>2380</v>
      </c>
      <c r="B560" s="200">
        <v>45051</v>
      </c>
      <c r="C560" s="178" t="s">
        <v>2463</v>
      </c>
      <c r="D560" s="178" t="s">
        <v>111</v>
      </c>
      <c r="E560" s="227"/>
      <c r="F560" s="180"/>
      <c r="G560" s="181" t="s">
        <v>2464</v>
      </c>
      <c r="H560" s="182"/>
      <c r="I560" s="182"/>
      <c r="J560" s="182"/>
      <c r="K560" s="183"/>
      <c r="L560" s="182"/>
      <c r="M560" s="182"/>
      <c r="N560" s="182"/>
      <c r="O560" s="183"/>
      <c r="P560" s="183"/>
      <c r="Q560" s="183"/>
      <c r="R560" s="183"/>
      <c r="S560" s="183"/>
      <c r="T560" s="183"/>
      <c r="U560" s="183"/>
      <c r="V560" s="183"/>
      <c r="W560" s="183"/>
      <c r="X560" s="183"/>
      <c r="Y560" s="184"/>
      <c r="Z560" s="185"/>
      <c r="AA560" s="185"/>
      <c r="AB560" s="185"/>
      <c r="AC560" s="185"/>
      <c r="AD560" s="649"/>
      <c r="AE560" s="182"/>
      <c r="AF560" s="332" t="s">
        <v>2465</v>
      </c>
      <c r="AG560" s="182"/>
      <c r="AH560" s="182">
        <v>-3</v>
      </c>
      <c r="AI560" s="182"/>
      <c r="AJ560" s="640"/>
      <c r="AK560" s="182"/>
      <c r="AL560" s="496"/>
      <c r="AM560" s="496"/>
      <c r="AN560" s="626"/>
      <c r="AO560" s="182"/>
      <c r="AP560" s="182"/>
      <c r="AQ560" s="332" t="str">
        <f>UPPER(RIGHT(Journal_Live[[#This Row],[DURATION ]]))</f>
        <v/>
      </c>
      <c r="AR560" s="182"/>
      <c r="AS560" s="189"/>
      <c r="AT560" s="189"/>
      <c r="AU560" s="187"/>
      <c r="AV560" s="190"/>
      <c r="AW560" s="191"/>
      <c r="AX560" s="407" t="s">
        <v>2466</v>
      </c>
      <c r="AY560" s="407"/>
      <c r="AZ560" s="407"/>
      <c r="BA560" s="419"/>
      <c r="BB560" s="407"/>
      <c r="BC560" s="407"/>
      <c r="BD560" s="407"/>
      <c r="BE560" s="407"/>
      <c r="BF560" s="422"/>
      <c r="BG560" s="391">
        <f>SUM($AV$4:AV560)</f>
        <v>2945.3974761904715</v>
      </c>
      <c r="BH560" s="392">
        <f>SUM($AU$134:AU560)</f>
        <v>2451.0819999999394</v>
      </c>
      <c r="BI560" s="318">
        <f>SUMIFS($AU$134:AU561,$Q$134:Q561,"F")</f>
        <v>-1910.8000000000002</v>
      </c>
      <c r="BJ560" s="318">
        <f>SUMIFS($AU$134:AU561,$Q$134:Q561,"S")</f>
        <v>4612.4419999999964</v>
      </c>
      <c r="BK560" s="343">
        <f>SUMIFS($AU$134:AU561,$P$134:P561,"W")</f>
        <v>3691.7419999999343</v>
      </c>
      <c r="BL560" s="343">
        <f>SUMIFS($AU$134:AU561,$P$134:P561,"R")</f>
        <v>-1168.659999999998</v>
      </c>
      <c r="BM560" s="343">
        <f>SUMIFS($AU$134:AU561,$AQ$134:AQ561,"M")</f>
        <v>1789.3999999999721</v>
      </c>
      <c r="BN560" s="343">
        <f>SUMIFS($AU$134:AU561,$AQ$134:AQ561,"H")</f>
        <v>2164.2520000000154</v>
      </c>
      <c r="BO560" s="343">
        <f>SUMIFS($AU$134:AU561,$AQ$134:AQ561,"D")</f>
        <v>-870.3100000000004</v>
      </c>
      <c r="BP560" s="343">
        <f>SUMIFS($AU$134:AU563,$AQ$134:AQ563,"W")</f>
        <v>-1270.7</v>
      </c>
      <c r="BQ560" s="343">
        <f>SUMIFS($AU$134:AU561,$Q$134:Q561,"O")</f>
        <v>-377.76000000006229</v>
      </c>
      <c r="BR560" s="343">
        <f>SUMIFS($AU$134:AU561,$AA$134:AA561,"*")</f>
        <v>4324.1419999999625</v>
      </c>
      <c r="BS560" s="343">
        <f>SUMIFS($AU$134:AU561,$AB$134:AB561,"*")</f>
        <v>-122.56000000002382</v>
      </c>
      <c r="BT560" s="343">
        <f>SUMIFS($AU$134:AU561,$AC$134:AC561,"*")</f>
        <v>-789.65000000000146</v>
      </c>
      <c r="BU560" s="343">
        <f>SUMIFS($AU$134:AU561,$AA$134:AA561,"*",$AB$134:AB561,"*")</f>
        <v>-981.999999999995</v>
      </c>
      <c r="BV560" s="343">
        <f>SUMIFS($AU$134:AU561,$AA$134:AA561,"*",$AC$134:AC561,"*")</f>
        <v>687.44999999999925</v>
      </c>
      <c r="BW560" s="343">
        <f>SUMIFS($AU$134:AU561,$AB$134:AB561,"*",$AC$134:AC561,"*")</f>
        <v>942.5999999999998</v>
      </c>
      <c r="BX560" s="343">
        <f>SUMIFS($AU561:AU$1388,$Q561:Q$1388,"F")</f>
        <v>16351.466666666669</v>
      </c>
      <c r="BY560" s="343">
        <f>SUMIFS($AU561:AU$1388,$Q561:Q$1388,"S")</f>
        <v>16059.2</v>
      </c>
      <c r="BZ560" s="343">
        <f>SUMIFS($AU561:AU$1388,$Q561:Q$1388,"O")</f>
        <v>-1271.097999999736</v>
      </c>
    </row>
    <row r="561" spans="1:78" ht="15.75" customHeight="1">
      <c r="A561" s="221" t="s">
        <v>2380</v>
      </c>
      <c r="B561" s="200">
        <v>45051</v>
      </c>
      <c r="C561" s="178" t="s">
        <v>1714</v>
      </c>
      <c r="D561" s="178" t="s">
        <v>111</v>
      </c>
      <c r="E561" s="227" t="s">
        <v>2467</v>
      </c>
      <c r="F561" s="180"/>
      <c r="G561" s="181"/>
      <c r="H561" s="182">
        <v>1</v>
      </c>
      <c r="I561" s="182"/>
      <c r="J561" s="182"/>
      <c r="K561" s="183" t="s">
        <v>372</v>
      </c>
      <c r="L561" s="182"/>
      <c r="M561" s="182"/>
      <c r="N561" s="182"/>
      <c r="O561" s="183"/>
      <c r="P561" s="183"/>
      <c r="Q561" s="183"/>
      <c r="R561" s="183"/>
      <c r="S561" s="183"/>
      <c r="T561" s="183"/>
      <c r="U561" s="183"/>
      <c r="V561" s="183"/>
      <c r="W561" s="183"/>
      <c r="X561" s="183"/>
      <c r="Y561" s="184" t="str">
        <f>IF(ISBLANK(O561),"",(IF(O561=UPPER("IB"),0.005,0.01)))</f>
        <v/>
      </c>
      <c r="Z561" s="185" t="str">
        <f t="shared" ref="Z561:Z583" si="215">IF(ISBLANK(O561),"",IF(O561="IB",8.63*200,IF(O561="IR",16*100,IF(O561="YT",20*100,IF(O561="YT-XT",24*200,IF(O561="TED",80*100))))))</f>
        <v/>
      </c>
      <c r="AA561" s="185"/>
      <c r="AB561" s="185"/>
      <c r="AC561" s="185"/>
      <c r="AD561" s="649"/>
      <c r="AE561" s="182"/>
      <c r="AF561" s="332"/>
      <c r="AG561" s="182"/>
      <c r="AH561" s="182"/>
      <c r="AI561" s="182"/>
      <c r="AJ561" s="640"/>
      <c r="AK561" s="182"/>
      <c r="AL561" s="496"/>
      <c r="AM561" s="496"/>
      <c r="AN561" s="626"/>
      <c r="AO561" s="182"/>
      <c r="AP561" s="182"/>
      <c r="AQ561" s="332" t="str">
        <f>UPPER(RIGHT(Journal_Live[[#This Row],[DURATION ]]))</f>
        <v/>
      </c>
      <c r="AR561" s="182"/>
      <c r="AS561" s="189"/>
      <c r="AT561" s="189"/>
      <c r="AU561" s="187"/>
      <c r="AV561" s="190"/>
      <c r="AW561" s="191"/>
      <c r="AX561" s="407"/>
      <c r="AY561" s="407"/>
      <c r="AZ561" s="407"/>
      <c r="BA561" s="419"/>
      <c r="BB561" s="407"/>
      <c r="BC561" s="407"/>
      <c r="BD561" s="407"/>
      <c r="BE561" s="407"/>
      <c r="BF561" s="422"/>
      <c r="BG561" s="391">
        <f>SUM($AV$4:AV561)</f>
        <v>2945.3974761904715</v>
      </c>
      <c r="BH561" s="392">
        <f>SUM($AU$134:AU561)</f>
        <v>2451.0819999999394</v>
      </c>
      <c r="BI561" s="318">
        <f>SUMIFS($AU$134:AU562,$Q$134:Q562,"F")</f>
        <v>-1910.8000000000002</v>
      </c>
      <c r="BJ561" s="318">
        <f>SUMIFS($AU$134:AU562,$Q$134:Q562,"S")</f>
        <v>5124.4419999999964</v>
      </c>
      <c r="BK561" s="343">
        <f>SUMIFS($AU$134:AU562,$P$134:P562,"W")</f>
        <v>4203.7419999999347</v>
      </c>
      <c r="BL561" s="343">
        <f>SUMIFS($AU$134:AU562,$P$134:P562,"R")</f>
        <v>-1168.659999999998</v>
      </c>
      <c r="BM561" s="343">
        <f>SUMIFS($AU$134:AU562,$AQ$134:AQ562,"M")</f>
        <v>1789.3999999999721</v>
      </c>
      <c r="BN561" s="343">
        <f>SUMIFS($AU$134:AU562,$AQ$134:AQ562,"H")</f>
        <v>2164.2520000000154</v>
      </c>
      <c r="BO561" s="343">
        <f>SUMIFS($AU$134:AU562,$AQ$134:AQ562,"D")</f>
        <v>-358.3100000000004</v>
      </c>
      <c r="BP561" s="343">
        <f>SUMIFS($AU$134:AU564,$AQ$134:AQ564,"W")</f>
        <v>-1270.7</v>
      </c>
      <c r="BQ561" s="343">
        <f>SUMIFS($AU$134:AU562,$Q$134:Q562,"O")</f>
        <v>-377.76000000006229</v>
      </c>
      <c r="BR561" s="343">
        <f>SUMIFS($AU$134:AU562,$AA$134:AA562,"*")</f>
        <v>4836.1419999999625</v>
      </c>
      <c r="BS561" s="343">
        <f>SUMIFS($AU$134:AU562,$AB$134:AB562,"*")</f>
        <v>389.43999999997618</v>
      </c>
      <c r="BT561" s="343">
        <f>SUMIFS($AU$134:AU562,$AC$134:AC562,"*")</f>
        <v>-277.65000000000146</v>
      </c>
      <c r="BU561" s="343">
        <f>SUMIFS($AU$134:AU562,$AA$134:AA562,"*",$AB$134:AB562,"*")</f>
        <v>-469.999999999995</v>
      </c>
      <c r="BV561" s="343">
        <f>SUMIFS($AU$134:AU562,$AA$134:AA562,"*",$AC$134:AC562,"*")</f>
        <v>1199.4499999999994</v>
      </c>
      <c r="BW561" s="343">
        <f>SUMIFS($AU$134:AU562,$AB$134:AB562,"*",$AC$134:AC562,"*")</f>
        <v>1454.6</v>
      </c>
      <c r="BX561" s="343">
        <f>SUMIFS($AU562:AU$1388,$Q562:Q$1388,"F")</f>
        <v>16351.466666666669</v>
      </c>
      <c r="BY561" s="343">
        <f>SUMIFS($AU562:AU$1388,$Q562:Q$1388,"S")</f>
        <v>16059.2</v>
      </c>
      <c r="BZ561" s="343">
        <f>SUMIFS($AU562:AU$1388,$Q562:Q$1388,"O")</f>
        <v>-1271.097999999736</v>
      </c>
    </row>
    <row r="562" spans="1:78" ht="15.75" customHeight="1">
      <c r="A562" s="221" t="s">
        <v>2380</v>
      </c>
      <c r="B562" s="200">
        <v>45051</v>
      </c>
      <c r="C562" s="178" t="s">
        <v>682</v>
      </c>
      <c r="D562" s="178" t="s">
        <v>2468</v>
      </c>
      <c r="E562" s="227"/>
      <c r="F562" s="180"/>
      <c r="G562" s="281" t="s">
        <v>576</v>
      </c>
      <c r="H562" s="182"/>
      <c r="I562" s="182"/>
      <c r="J562" s="182"/>
      <c r="K562" s="183"/>
      <c r="L562" s="182"/>
      <c r="M562" s="182">
        <v>1</v>
      </c>
      <c r="N562" s="182"/>
      <c r="O562" s="183" t="s">
        <v>95</v>
      </c>
      <c r="P562" s="183" t="s">
        <v>96</v>
      </c>
      <c r="Q562" s="183" t="s">
        <v>97</v>
      </c>
      <c r="R562" s="183">
        <v>10</v>
      </c>
      <c r="S562" s="183">
        <v>7</v>
      </c>
      <c r="T562" s="183">
        <v>10</v>
      </c>
      <c r="U562" s="183" t="s">
        <v>97</v>
      </c>
      <c r="V562" s="183"/>
      <c r="W562" s="183"/>
      <c r="X562" s="183"/>
      <c r="Y562" s="184">
        <f>IF(ISBLANK(O562),"",(IF(O562=UPPER("IB"),0.005,0.01)))</f>
        <v>0.01</v>
      </c>
      <c r="Z562" s="185">
        <f t="shared" si="215"/>
        <v>1600</v>
      </c>
      <c r="AA562" s="185" t="s">
        <v>2469</v>
      </c>
      <c r="AB562" s="185" t="s">
        <v>2470</v>
      </c>
      <c r="AC562" s="185" t="s">
        <v>529</v>
      </c>
      <c r="AD562" s="649">
        <v>0.01</v>
      </c>
      <c r="AE562" s="182">
        <v>0</v>
      </c>
      <c r="AF562" s="600" t="s">
        <v>2471</v>
      </c>
      <c r="AG562" s="182" t="s">
        <v>529</v>
      </c>
      <c r="AH562" s="182" t="s">
        <v>2472</v>
      </c>
      <c r="AI562" s="182"/>
      <c r="AJ562" s="640"/>
      <c r="AK562" s="182"/>
      <c r="AL562" s="496">
        <f>-0.01*Z562</f>
        <v>-16</v>
      </c>
      <c r="AM562" s="496">
        <f>AL562*(R562-S562)</f>
        <v>-48</v>
      </c>
      <c r="AN562" s="626"/>
      <c r="AO562" s="182"/>
      <c r="AP562" s="182" t="s">
        <v>2473</v>
      </c>
      <c r="AQ562" s="332" t="str">
        <f>UPPER(RIGHT(Journal_Live[[#This Row],[DURATION ]]))</f>
        <v>D</v>
      </c>
      <c r="AR562" s="182" t="s">
        <v>2474</v>
      </c>
      <c r="AS562" s="189">
        <f>((-0.01*3)+(-0.03*4)+(-0.01*1)+(-0.02*1)+(-0.04*1))/10</f>
        <v>-2.1999999999999999E-2</v>
      </c>
      <c r="AT562" s="189">
        <f>IF(ISBLANK(AS562),,IF(U562="S",AD562-AS562,AS562-AD562))</f>
        <v>3.2000000000000001E-2</v>
      </c>
      <c r="AU562" s="187">
        <f>AV562*R562</f>
        <v>512</v>
      </c>
      <c r="AV562" s="190">
        <f>IF(ISBLANK(AS562),,(AT562*Z562))</f>
        <v>51.2</v>
      </c>
      <c r="AW562" s="191" t="s">
        <v>96</v>
      </c>
      <c r="AX562" s="407" t="s">
        <v>2475</v>
      </c>
      <c r="AY562" s="407" t="s">
        <v>2476</v>
      </c>
      <c r="AZ562" s="407" t="s">
        <v>2477</v>
      </c>
      <c r="BA562" s="407" t="s">
        <v>529</v>
      </c>
      <c r="BB562" s="407"/>
      <c r="BC562" s="407"/>
      <c r="BD562" s="407"/>
      <c r="BE562" s="407"/>
      <c r="BF562" s="422"/>
      <c r="BG562" s="391">
        <f>SUM($AV$4:AV562)</f>
        <v>2996.5974761904713</v>
      </c>
      <c r="BH562" s="392">
        <f>SUM($AU$134:AU562)</f>
        <v>2963.0819999999394</v>
      </c>
      <c r="BI562" s="318">
        <f>SUMIFS($AU$134:AU563,$Q$134:Q563,"F")</f>
        <v>-1910.8000000000002</v>
      </c>
      <c r="BJ562" s="318">
        <f>SUMIFS($AU$134:AU563,$Q$134:Q563,"S")</f>
        <v>5444.4419999999964</v>
      </c>
      <c r="BK562" s="343">
        <f>SUMIFS($AU$134:AU563,$P$134:P563,"W")</f>
        <v>4523.7419999999347</v>
      </c>
      <c r="BL562" s="343">
        <f>SUMIFS($AU$134:AU563,$P$134:P563,"R")</f>
        <v>-1168.659999999998</v>
      </c>
      <c r="BM562" s="343">
        <f>SUMIFS($AU$134:AU563,$AQ$134:AQ563,"M")</f>
        <v>1789.3999999999721</v>
      </c>
      <c r="BN562" s="343">
        <f>SUMIFS($AU$134:AU563,$AQ$134:AQ563,"H")</f>
        <v>2164.2520000000154</v>
      </c>
      <c r="BO562" s="343">
        <f>SUMIFS($AU$134:AU563,$AQ$134:AQ563,"D")</f>
        <v>-358.3100000000004</v>
      </c>
      <c r="BP562" s="343">
        <f>SUMIFS($AU$134:AU565,$AQ$134:AQ565,"W")</f>
        <v>-1270.7</v>
      </c>
      <c r="BQ562" s="343">
        <f>SUMIFS($AU$134:AU563,$Q$134:Q563,"O")</f>
        <v>-377.76000000006229</v>
      </c>
      <c r="BR562" s="343">
        <f>SUMIFS($AU$134:AU563,$AA$134:AA563,"*")</f>
        <v>5156.1419999999625</v>
      </c>
      <c r="BS562" s="343">
        <f>SUMIFS($AU$134:AU563,$AB$134:AB563,"*")</f>
        <v>389.43999999997618</v>
      </c>
      <c r="BT562" s="343">
        <f>SUMIFS($AU$134:AU563,$AC$134:AC563,"*")</f>
        <v>42.349999999998829</v>
      </c>
      <c r="BU562" s="343">
        <f>SUMIFS($AU$134:AU563,$AA$134:AA563,"*",$AB$134:AB563,"*")</f>
        <v>-469.999999999995</v>
      </c>
      <c r="BV562" s="343">
        <f>SUMIFS($AU$134:AU563,$AA$134:AA563,"*",$AC$134:AC563,"*")</f>
        <v>1519.4499999999996</v>
      </c>
      <c r="BW562" s="343">
        <f>SUMIFS($AU$134:AU563,$AB$134:AB563,"*",$AC$134:AC563,"*")</f>
        <v>1454.6</v>
      </c>
      <c r="BX562" s="343">
        <f>SUMIFS($AU563:AU$1388,$Q563:Q$1388,"F")</f>
        <v>16351.466666666669</v>
      </c>
      <c r="BY562" s="343">
        <f>SUMIFS($AU563:AU$1388,$Q563:Q$1388,"S")</f>
        <v>15547.200000000003</v>
      </c>
      <c r="BZ562" s="343">
        <f>SUMIFS($AU563:AU$1388,$Q563:Q$1388,"O")</f>
        <v>-1271.097999999736</v>
      </c>
    </row>
    <row r="563" spans="1:78" ht="15.75" customHeight="1">
      <c r="A563" s="221" t="s">
        <v>2380</v>
      </c>
      <c r="B563" s="200">
        <v>45052</v>
      </c>
      <c r="C563" s="178" t="s">
        <v>2478</v>
      </c>
      <c r="D563" s="178" t="s">
        <v>111</v>
      </c>
      <c r="E563" s="227"/>
      <c r="F563" s="180"/>
      <c r="G563" s="281" t="s">
        <v>2479</v>
      </c>
      <c r="H563" s="182"/>
      <c r="I563" s="182"/>
      <c r="J563" s="182"/>
      <c r="K563" s="183"/>
      <c r="L563" s="182">
        <v>1</v>
      </c>
      <c r="M563" s="182">
        <v>1</v>
      </c>
      <c r="N563" s="182"/>
      <c r="O563" s="183" t="s">
        <v>95</v>
      </c>
      <c r="P563" s="183" t="s">
        <v>96</v>
      </c>
      <c r="Q563" s="183" t="s">
        <v>97</v>
      </c>
      <c r="R563" s="183">
        <v>10</v>
      </c>
      <c r="S563" s="183">
        <v>0</v>
      </c>
      <c r="T563" s="183">
        <v>10</v>
      </c>
      <c r="U563" s="183" t="s">
        <v>97</v>
      </c>
      <c r="V563" s="183"/>
      <c r="W563" s="183"/>
      <c r="X563" s="183"/>
      <c r="Y563" s="184">
        <f>IF(ISBLANK(O563),"",(IF(O563=UPPER("IB"),0.005,0.01)))</f>
        <v>0.01</v>
      </c>
      <c r="Z563" s="185">
        <f t="shared" si="215"/>
        <v>1600</v>
      </c>
      <c r="AA563" s="185" t="s">
        <v>2480</v>
      </c>
      <c r="AB563" s="185"/>
      <c r="AC563" s="185" t="s">
        <v>2481</v>
      </c>
      <c r="AD563" s="649">
        <v>-0.26</v>
      </c>
      <c r="AE563" s="182"/>
      <c r="AF563" s="332">
        <v>-11</v>
      </c>
      <c r="AG563" s="182"/>
      <c r="AH563" s="182">
        <v>-14</v>
      </c>
      <c r="AI563" s="182"/>
      <c r="AJ563" s="640"/>
      <c r="AK563" s="182"/>
      <c r="AL563" s="496">
        <f t="shared" ref="AL563" si="216">-0.02*Z563</f>
        <v>-32</v>
      </c>
      <c r="AM563" s="496">
        <f>AL563*(R563-S563)</f>
        <v>-320</v>
      </c>
      <c r="AN563" s="626"/>
      <c r="AO563" s="182"/>
      <c r="AP563" s="182" t="s">
        <v>1393</v>
      </c>
      <c r="AQ563" s="332" t="str">
        <f>UPPER(RIGHT(Journal_Live[[#This Row],[DURATION ]]))</f>
        <v>S</v>
      </c>
      <c r="AR563" s="182" t="s">
        <v>2482</v>
      </c>
      <c r="AS563" s="189">
        <v>-0.28000000000000003</v>
      </c>
      <c r="AT563" s="189">
        <f>IF(ISBLANK(AS563),,IF(U563="S",AD563-AS563,AS563-AD563))</f>
        <v>2.0000000000000018E-2</v>
      </c>
      <c r="AU563" s="187">
        <f>AV563*R563</f>
        <v>320.00000000000028</v>
      </c>
      <c r="AV563" s="190">
        <f>IF(ISBLANK(AS563),,(AT563*Z563))</f>
        <v>32.000000000000028</v>
      </c>
      <c r="AW563" s="191" t="s">
        <v>96</v>
      </c>
      <c r="AX563" s="407" t="s">
        <v>2483</v>
      </c>
      <c r="AY563" s="407" t="s">
        <v>2484</v>
      </c>
      <c r="AZ563" s="407" t="s">
        <v>2485</v>
      </c>
      <c r="BA563" s="407"/>
      <c r="BB563" s="407"/>
      <c r="BC563" s="407"/>
      <c r="BD563" s="407"/>
      <c r="BE563" s="407"/>
      <c r="BF563" s="422"/>
      <c r="BG563" s="391">
        <f>SUM($AV$4:AV563)</f>
        <v>3028.5974761904713</v>
      </c>
      <c r="BH563" s="392">
        <f>SUM($AU$134:AU563)</f>
        <v>3283.0819999999399</v>
      </c>
      <c r="BI563" s="318">
        <f>SUMIFS($AU$134:AU564,$Q$134:Q564,"F")</f>
        <v>-1910.8000000000002</v>
      </c>
      <c r="BJ563" s="318">
        <f>SUMIFS($AU$134:AU564,$Q$134:Q564,"S")</f>
        <v>5444.4419999999964</v>
      </c>
      <c r="BK563" s="343">
        <f>SUMIFS($AU$134:AU564,$P$134:P564,"W")</f>
        <v>4523.7419999999347</v>
      </c>
      <c r="BL563" s="343">
        <f>SUMIFS($AU$134:AU564,$P$134:P564,"R")</f>
        <v>-1168.659999999998</v>
      </c>
      <c r="BM563" s="343">
        <f>SUMIFS($AU$134:AU564,$AQ$134:AQ564,"M")</f>
        <v>1789.3999999999721</v>
      </c>
      <c r="BN563" s="343">
        <f>SUMIFS($AU$134:AU564,$AQ$134:AQ564,"H")</f>
        <v>2164.2520000000154</v>
      </c>
      <c r="BO563" s="343">
        <f>SUMIFS($AU$134:AU564,$AQ$134:AQ564,"D")</f>
        <v>-358.3100000000004</v>
      </c>
      <c r="BP563" s="343">
        <f>SUMIFS($AU$134:AU566,$AQ$134:AQ566,"W")</f>
        <v>-1270.7</v>
      </c>
      <c r="BQ563" s="343">
        <f>SUMIFS($AU$134:AU564,$Q$134:Q564,"O")</f>
        <v>-377.76000000006229</v>
      </c>
      <c r="BR563" s="343">
        <f>SUMIFS($AU$134:AU564,$AA$134:AA564,"*")</f>
        <v>5156.1419999999625</v>
      </c>
      <c r="BS563" s="343">
        <f>SUMIFS($AU$134:AU564,$AB$134:AB564,"*")</f>
        <v>389.43999999997618</v>
      </c>
      <c r="BT563" s="343">
        <f>SUMIFS($AU$134:AU564,$AC$134:AC564,"*")</f>
        <v>42.349999999998829</v>
      </c>
      <c r="BU563" s="343">
        <f>SUMIFS($AU$134:AU564,$AA$134:AA564,"*",$AB$134:AB564,"*")</f>
        <v>-469.999999999995</v>
      </c>
      <c r="BV563" s="343">
        <f>SUMIFS($AU$134:AU564,$AA$134:AA564,"*",$AC$134:AC564,"*")</f>
        <v>1519.4499999999996</v>
      </c>
      <c r="BW563" s="343">
        <f>SUMIFS($AU$134:AU564,$AB$134:AB564,"*",$AC$134:AC564,"*")</f>
        <v>1454.6</v>
      </c>
      <c r="BX563" s="343">
        <f>SUMIFS($AU564:AU$1388,$Q564:Q$1388,"F")</f>
        <v>16351.466666666669</v>
      </c>
      <c r="BY563" s="343">
        <f>SUMIFS($AU564:AU$1388,$Q564:Q$1388,"S")</f>
        <v>15227.2</v>
      </c>
      <c r="BZ563" s="343">
        <f>SUMIFS($AU564:AU$1388,$Q564:Q$1388,"O")</f>
        <v>-1271.097999999736</v>
      </c>
    </row>
    <row r="564" spans="1:78" ht="15.75" customHeight="1">
      <c r="A564" s="221" t="s">
        <v>2380</v>
      </c>
      <c r="B564" s="200"/>
      <c r="C564" s="178"/>
      <c r="D564" s="178"/>
      <c r="E564" s="227"/>
      <c r="F564" s="180"/>
      <c r="G564" s="181"/>
      <c r="H564" s="182"/>
      <c r="I564" s="182"/>
      <c r="J564" s="182"/>
      <c r="K564" s="183"/>
      <c r="L564" s="182"/>
      <c r="M564" s="182"/>
      <c r="N564" s="182"/>
      <c r="O564" s="183"/>
      <c r="P564" s="183"/>
      <c r="Q564" s="183"/>
      <c r="R564" s="183"/>
      <c r="S564" s="183"/>
      <c r="T564" s="183"/>
      <c r="U564" s="183"/>
      <c r="V564" s="183"/>
      <c r="W564" s="183"/>
      <c r="X564" s="183"/>
      <c r="Y564" s="183"/>
      <c r="Z564" s="185" t="str">
        <f t="shared" si="215"/>
        <v/>
      </c>
      <c r="AA564" s="185"/>
      <c r="AB564" s="185"/>
      <c r="AC564" s="185"/>
      <c r="AD564" s="649"/>
      <c r="AE564" s="182"/>
      <c r="AF564" s="332"/>
      <c r="AG564" s="182"/>
      <c r="AH564" s="182"/>
      <c r="AI564" s="182"/>
      <c r="AJ564" s="640"/>
      <c r="AK564" s="182"/>
      <c r="AL564" s="496"/>
      <c r="AM564" s="496"/>
      <c r="AN564" s="626"/>
      <c r="AO564" s="182"/>
      <c r="AP564" s="182"/>
      <c r="AQ564" s="332" t="str">
        <f>UPPER(RIGHT(Journal_Live[[#This Row],[DURATION ]]))</f>
        <v/>
      </c>
      <c r="AR564" s="182"/>
      <c r="AS564" s="189"/>
      <c r="AT564" s="189"/>
      <c r="AU564" s="187"/>
      <c r="AV564" s="190"/>
      <c r="AW564" s="191"/>
      <c r="AX564" s="407" t="s">
        <v>2486</v>
      </c>
      <c r="AY564" s="407" t="s">
        <v>2487</v>
      </c>
      <c r="AZ564" s="407" t="s">
        <v>2488</v>
      </c>
      <c r="BA564" s="407" t="s">
        <v>2489</v>
      </c>
      <c r="BB564" s="407" t="s">
        <v>529</v>
      </c>
      <c r="BC564" s="407"/>
      <c r="BD564" s="407"/>
      <c r="BE564" s="407"/>
      <c r="BF564" s="422"/>
      <c r="BG564" s="391">
        <f>SUM($AV$4:AV564)</f>
        <v>3028.5974761904713</v>
      </c>
      <c r="BH564" s="392">
        <f>SUM($AU$134:AU564)</f>
        <v>3283.0819999999399</v>
      </c>
      <c r="BI564" s="318">
        <f>SUMIFS($AU$134:AU565,$Q$134:Q565,"F")</f>
        <v>-1670.8000000000002</v>
      </c>
      <c r="BJ564" s="318">
        <f>SUMIFS($AU$134:AU565,$Q$134:Q565,"S")</f>
        <v>5444.4419999999964</v>
      </c>
      <c r="BK564" s="343">
        <f>SUMIFS($AU$134:AU565,$P$134:P565,"W")</f>
        <v>4763.7419999999347</v>
      </c>
      <c r="BL564" s="343">
        <f>SUMIFS($AU$134:AU565,$P$134:P565,"R")</f>
        <v>-1168.659999999998</v>
      </c>
      <c r="BM564" s="343">
        <f>SUMIFS($AU$134:AU565,$AQ$134:AQ565,"M")</f>
        <v>1789.3999999999721</v>
      </c>
      <c r="BN564" s="343">
        <f>SUMIFS($AU$134:AU565,$AQ$134:AQ565,"H")</f>
        <v>2164.2520000000154</v>
      </c>
      <c r="BO564" s="343">
        <f>SUMIFS($AU$134:AU565,$AQ$134:AQ565,"D")</f>
        <v>-118.31000000000037</v>
      </c>
      <c r="BP564" s="343">
        <f>SUMIFS($AU$134:AU567,$AQ$134:AQ567,"W")</f>
        <v>-1110.7</v>
      </c>
      <c r="BQ564" s="343">
        <f>SUMIFS($AU$134:AU565,$Q$134:Q565,"O")</f>
        <v>-377.76000000006229</v>
      </c>
      <c r="BR564" s="343">
        <f>SUMIFS($AU$134:AU565,$AA$134:AA565,"*")</f>
        <v>5396.1419999999625</v>
      </c>
      <c r="BS564" s="343">
        <f>SUMIFS($AU$134:AU565,$AB$134:AB565,"*")</f>
        <v>629.43999999997618</v>
      </c>
      <c r="BT564" s="343">
        <f>SUMIFS($AU$134:AU565,$AC$134:AC565,"*")</f>
        <v>282.34999999999889</v>
      </c>
      <c r="BU564" s="343">
        <f>SUMIFS($AU$134:AU565,$AA$134:AA565,"*",$AB$134:AB565,"*")</f>
        <v>-229.99999999999497</v>
      </c>
      <c r="BV564" s="343">
        <f>SUMIFS($AU$134:AU565,$AA$134:AA565,"*",$AC$134:AC565,"*")</f>
        <v>1759.4499999999996</v>
      </c>
      <c r="BW564" s="343">
        <f>SUMIFS($AU$134:AU565,$AB$134:AB565,"*",$AC$134:AC565,"*")</f>
        <v>1694.6</v>
      </c>
      <c r="BX564" s="343">
        <f>SUMIFS($AU565:AU$1388,$Q565:Q$1388,"F")</f>
        <v>16351.466666666669</v>
      </c>
      <c r="BY564" s="343">
        <f>SUMIFS($AU565:AU$1388,$Q565:Q$1388,"S")</f>
        <v>15227.2</v>
      </c>
      <c r="BZ564" s="343">
        <f>SUMIFS($AU565:AU$1388,$Q565:Q$1388,"O")</f>
        <v>-1271.097999999736</v>
      </c>
    </row>
    <row r="565" spans="1:78" ht="15.75" customHeight="1">
      <c r="A565" s="221" t="s">
        <v>2380</v>
      </c>
      <c r="B565" s="200">
        <v>45054</v>
      </c>
      <c r="C565" s="178" t="s">
        <v>1008</v>
      </c>
      <c r="D565" s="178" t="s">
        <v>132</v>
      </c>
      <c r="E565" s="227"/>
      <c r="F565" s="180"/>
      <c r="G565" s="281" t="s">
        <v>2490</v>
      </c>
      <c r="H565" s="182"/>
      <c r="I565" s="182"/>
      <c r="J565" s="182"/>
      <c r="K565" s="183"/>
      <c r="L565" s="182">
        <v>1</v>
      </c>
      <c r="M565" s="182">
        <v>1</v>
      </c>
      <c r="N565" s="182"/>
      <c r="O565" s="183" t="s">
        <v>95</v>
      </c>
      <c r="P565" s="183" t="s">
        <v>96</v>
      </c>
      <c r="Q565" s="183" t="s">
        <v>256</v>
      </c>
      <c r="R565" s="183">
        <v>10</v>
      </c>
      <c r="S565" s="183">
        <v>5</v>
      </c>
      <c r="T565" s="183">
        <v>10</v>
      </c>
      <c r="U565" s="183" t="s">
        <v>97</v>
      </c>
      <c r="V565" s="183"/>
      <c r="W565" s="183"/>
      <c r="X565" s="183"/>
      <c r="Y565" s="184">
        <f>IF(ISBLANK(O565),"",(IF(O565=UPPER("IB"),0.005,0.01)))</f>
        <v>0.01</v>
      </c>
      <c r="Z565" s="185">
        <f t="shared" si="215"/>
        <v>1600</v>
      </c>
      <c r="AA565" s="185" t="s">
        <v>2491</v>
      </c>
      <c r="AB565" s="185" t="s">
        <v>2492</v>
      </c>
      <c r="AC565" s="185" t="s">
        <v>2454</v>
      </c>
      <c r="AD565" s="649">
        <v>-0.01</v>
      </c>
      <c r="AE565" s="182"/>
      <c r="AF565" s="332">
        <v>1</v>
      </c>
      <c r="AG565" s="182"/>
      <c r="AH565" s="182">
        <v>-14</v>
      </c>
      <c r="AI565" s="182"/>
      <c r="AJ565" s="640" t="s">
        <v>2493</v>
      </c>
      <c r="AK565" s="182"/>
      <c r="AL565" s="496">
        <f>-0.03*Z565</f>
        <v>-48</v>
      </c>
      <c r="AM565" s="496">
        <f>AL565*(R565-S565)</f>
        <v>-240</v>
      </c>
      <c r="AN565" s="626"/>
      <c r="AO565" s="182"/>
      <c r="AP565" s="182" t="s">
        <v>2494</v>
      </c>
      <c r="AQ565" s="332" t="str">
        <f>UPPER(RIGHT(Journal_Live[[#This Row],[DURATION ]]))</f>
        <v>D</v>
      </c>
      <c r="AR565" s="182" t="s">
        <v>2495</v>
      </c>
      <c r="AS565" s="189">
        <f>((-0.02*5)+(-0.03*5))/10</f>
        <v>-2.5000000000000001E-2</v>
      </c>
      <c r="AT565" s="189">
        <f>IF(ISBLANK(AS565),,IF(U565="S",AD565-AS565,AS565-AD565))</f>
        <v>1.5000000000000001E-2</v>
      </c>
      <c r="AU565" s="187">
        <f>AV565*R565</f>
        <v>240.00000000000003</v>
      </c>
      <c r="AV565" s="190">
        <f>IF(ISBLANK(AS565),,(AT565*Z565))</f>
        <v>24.000000000000004</v>
      </c>
      <c r="AW565" s="191" t="s">
        <v>96</v>
      </c>
      <c r="AX565" s="407" t="s">
        <v>2496</v>
      </c>
      <c r="AY565" s="407" t="s">
        <v>2497</v>
      </c>
      <c r="AZ565" s="407"/>
      <c r="BA565" s="407"/>
      <c r="BB565" s="407"/>
      <c r="BC565" s="407"/>
      <c r="BD565" s="407"/>
      <c r="BE565" s="407"/>
      <c r="BF565" s="422"/>
      <c r="BG565" s="391">
        <f>SUM($AV$4:AV565)</f>
        <v>3052.5974761904713</v>
      </c>
      <c r="BH565" s="392">
        <f>SUM($AU$134:AU565)</f>
        <v>3523.0819999999399</v>
      </c>
      <c r="BI565" s="318">
        <f>SUMIFS($AU$134:AU566,$Q$134:Q566,"F")</f>
        <v>-1670.8000000000002</v>
      </c>
      <c r="BJ565" s="318">
        <f>SUMIFS($AU$134:AU566,$Q$134:Q566,"S")</f>
        <v>5556.4419999999964</v>
      </c>
      <c r="BK565" s="343">
        <f>SUMIFS($AU$134:AU566,$P$134:P566,"W")</f>
        <v>4875.7419999999347</v>
      </c>
      <c r="BL565" s="343">
        <f>SUMIFS($AU$134:AU566,$P$134:P566,"R")</f>
        <v>-1168.659999999998</v>
      </c>
      <c r="BM565" s="343">
        <f>SUMIFS($AU$134:AU566,$AQ$134:AQ566,"M")</f>
        <v>1789.3999999999721</v>
      </c>
      <c r="BN565" s="343">
        <f>SUMIFS($AU$134:AU566,$AQ$134:AQ566,"H")</f>
        <v>2164.2520000000154</v>
      </c>
      <c r="BO565" s="343">
        <f>SUMIFS($AU$134:AU566,$AQ$134:AQ566,"D")</f>
        <v>-6.3100000000002723</v>
      </c>
      <c r="BP565" s="343">
        <f>SUMIFS($AU$134:AU568,$AQ$134:AQ568,"W")</f>
        <v>-1110.7</v>
      </c>
      <c r="BQ565" s="343">
        <f>SUMIFS($AU$134:AU566,$Q$134:Q566,"O")</f>
        <v>-377.76000000006229</v>
      </c>
      <c r="BR565" s="343">
        <f>SUMIFS($AU$134:AU566,$AA$134:AA566,"*")</f>
        <v>5508.1419999999625</v>
      </c>
      <c r="BS565" s="343">
        <f>SUMIFS($AU$134:AU566,$AB$134:AB566,"*")</f>
        <v>741.43999999997629</v>
      </c>
      <c r="BT565" s="343">
        <f>SUMIFS($AU$134:AU566,$AC$134:AC566,"*")</f>
        <v>394.349999999999</v>
      </c>
      <c r="BU565" s="343">
        <f>SUMIFS($AU$134:AU566,$AA$134:AA566,"*",$AB$134:AB566,"*")</f>
        <v>-117.99999999999487</v>
      </c>
      <c r="BV565" s="343">
        <f>SUMIFS($AU$134:AU566,$AA$134:AA566,"*",$AC$134:AC566,"*")</f>
        <v>1871.4499999999996</v>
      </c>
      <c r="BW565" s="343">
        <f>SUMIFS($AU$134:AU566,$AB$134:AB566,"*",$AC$134:AC566,"*")</f>
        <v>1806.6</v>
      </c>
      <c r="BX565" s="343">
        <f>SUMIFS($AU566:AU$1388,$Q566:Q$1388,"F")</f>
        <v>16111.466666666667</v>
      </c>
      <c r="BY565" s="343">
        <f>SUMIFS($AU566:AU$1388,$Q566:Q$1388,"S")</f>
        <v>15227.2</v>
      </c>
      <c r="BZ565" s="343">
        <f>SUMIFS($AU566:AU$1388,$Q566:Q$1388,"O")</f>
        <v>-1271.097999999736</v>
      </c>
    </row>
    <row r="566" spans="1:78" ht="15.75" customHeight="1">
      <c r="A566" s="221" t="s">
        <v>2380</v>
      </c>
      <c r="B566" s="200" t="s">
        <v>2498</v>
      </c>
      <c r="C566" s="178" t="s">
        <v>2499</v>
      </c>
      <c r="D566" s="178" t="s">
        <v>132</v>
      </c>
      <c r="E566" s="227"/>
      <c r="F566" s="180"/>
      <c r="G566" s="281" t="s">
        <v>94</v>
      </c>
      <c r="H566" s="182"/>
      <c r="I566" s="182"/>
      <c r="J566" s="182"/>
      <c r="K566" s="183"/>
      <c r="L566" s="182">
        <v>1</v>
      </c>
      <c r="M566" s="182"/>
      <c r="N566" s="182"/>
      <c r="O566" s="183" t="s">
        <v>95</v>
      </c>
      <c r="P566" s="183" t="s">
        <v>96</v>
      </c>
      <c r="Q566" s="183" t="s">
        <v>97</v>
      </c>
      <c r="R566" s="183">
        <v>7</v>
      </c>
      <c r="S566" s="183">
        <v>7</v>
      </c>
      <c r="T566" s="183">
        <v>7</v>
      </c>
      <c r="U566" s="183" t="s">
        <v>97</v>
      </c>
      <c r="V566" s="183"/>
      <c r="W566" s="183"/>
      <c r="X566" s="183"/>
      <c r="Y566" s="184">
        <f>IF(ISBLANK(O566),"",(IF(O566=UPPER("IB"),0.005,0.01)))</f>
        <v>0.01</v>
      </c>
      <c r="Z566" s="185">
        <f t="shared" si="215"/>
        <v>1600</v>
      </c>
      <c r="AA566" s="185" t="s">
        <v>2500</v>
      </c>
      <c r="AB566" s="185" t="s">
        <v>2501</v>
      </c>
      <c r="AC566" s="185" t="s">
        <v>529</v>
      </c>
      <c r="AD566" s="649">
        <v>-0.06</v>
      </c>
      <c r="AE566" s="182"/>
      <c r="AF566" s="332"/>
      <c r="AG566" s="182"/>
      <c r="AH566" s="182"/>
      <c r="AI566" s="182"/>
      <c r="AJ566" s="640"/>
      <c r="AK566" s="182"/>
      <c r="AL566" s="496">
        <f t="shared" ref="AL566" si="217">-0.02*Z566</f>
        <v>-32</v>
      </c>
      <c r="AM566" s="496">
        <f>AL566*(R566-S566)</f>
        <v>0</v>
      </c>
      <c r="AN566" s="626"/>
      <c r="AO566" s="182"/>
      <c r="AP566" s="182" t="s">
        <v>804</v>
      </c>
      <c r="AQ566" s="332" t="str">
        <f>UPPER(RIGHT(Journal_Live[[#This Row],[DURATION ]]))</f>
        <v>D</v>
      </c>
      <c r="AR566" s="182" t="s">
        <v>2502</v>
      </c>
      <c r="AS566" s="189">
        <f>((-0.07*7))/7</f>
        <v>-7.0000000000000007E-2</v>
      </c>
      <c r="AT566" s="189">
        <f>IF(ISBLANK(AS566),,IF(U566="S",AD566-AS566,AS566-AD566))</f>
        <v>1.0000000000000009E-2</v>
      </c>
      <c r="AU566" s="187">
        <f>AV566*R566</f>
        <v>112.0000000000001</v>
      </c>
      <c r="AV566" s="190">
        <f>IF(ISBLANK(AS566),,(AT566*Z566))</f>
        <v>16.000000000000014</v>
      </c>
      <c r="AW566" s="191" t="s">
        <v>96</v>
      </c>
      <c r="AX566" s="407" t="s">
        <v>2503</v>
      </c>
      <c r="AY566" s="407" t="s">
        <v>2504</v>
      </c>
      <c r="AZ566" s="407" t="s">
        <v>2505</v>
      </c>
      <c r="BA566" s="407" t="s">
        <v>529</v>
      </c>
      <c r="BB566" s="407"/>
      <c r="BC566" s="407"/>
      <c r="BD566" s="407"/>
      <c r="BE566" s="407"/>
      <c r="BF566" s="422"/>
      <c r="BG566" s="391">
        <f>SUM($AV$4:AV566)</f>
        <v>3068.5974761904713</v>
      </c>
      <c r="BH566" s="392">
        <f>SUM($AU$134:AU566)</f>
        <v>3635.0819999999399</v>
      </c>
      <c r="BI566" s="318">
        <f>SUMIFS($AU$134:AU567,$Q$134:Q567,"F")</f>
        <v>-1510.8000000000002</v>
      </c>
      <c r="BJ566" s="318">
        <f>SUMIFS($AU$134:AU567,$Q$134:Q567,"S")</f>
        <v>5556.4419999999964</v>
      </c>
      <c r="BK566" s="343">
        <f>SUMIFS($AU$134:AU567,$P$134:P567,"W")</f>
        <v>4875.7419999999347</v>
      </c>
      <c r="BL566" s="343">
        <f>SUMIFS($AU$134:AU567,$P$134:P567,"R")</f>
        <v>-1008.659999999998</v>
      </c>
      <c r="BM566" s="343">
        <f>SUMIFS($AU$134:AU567,$AQ$134:AQ567,"M")</f>
        <v>1789.3999999999721</v>
      </c>
      <c r="BN566" s="343">
        <f>SUMIFS($AU$134:AU567,$AQ$134:AQ567,"H")</f>
        <v>2164.2520000000154</v>
      </c>
      <c r="BO566" s="343">
        <f>SUMIFS($AU$134:AU567,$AQ$134:AQ567,"D")</f>
        <v>-6.3100000000002723</v>
      </c>
      <c r="BP566" s="343">
        <f>SUMIFS($AU$134:AU569,$AQ$134:AQ569,"W")</f>
        <v>-1110.7</v>
      </c>
      <c r="BQ566" s="343">
        <f>SUMIFS($AU$134:AU567,$Q$134:Q567,"O")</f>
        <v>-377.76000000006229</v>
      </c>
      <c r="BR566" s="343">
        <f>SUMIFS($AU$134:AU567,$AA$134:AA567,"*")</f>
        <v>5668.1419999999625</v>
      </c>
      <c r="BS566" s="343">
        <f>SUMIFS($AU$134:AU567,$AB$134:AB567,"*")</f>
        <v>901.43999999997629</v>
      </c>
      <c r="BT566" s="343">
        <f>SUMIFS($AU$134:AU567,$AC$134:AC567,"*")</f>
        <v>554.349999999999</v>
      </c>
      <c r="BU566" s="343">
        <f>SUMIFS($AU$134:AU567,$AA$134:AA567,"*",$AB$134:AB567,"*")</f>
        <v>42.00000000000513</v>
      </c>
      <c r="BV566" s="343">
        <f>SUMIFS($AU$134:AU567,$AA$134:AA567,"*",$AC$134:AC567,"*")</f>
        <v>2031.4499999999996</v>
      </c>
      <c r="BW566" s="343">
        <f>SUMIFS($AU$134:AU567,$AB$134:AB567,"*",$AC$134:AC567,"*")</f>
        <v>1966.6</v>
      </c>
      <c r="BX566" s="343">
        <f>SUMIFS($AU567:AU$1388,$Q567:Q$1388,"F")</f>
        <v>16111.466666666667</v>
      </c>
      <c r="BY566" s="343">
        <f>SUMIFS($AU567:AU$1388,$Q567:Q$1388,"S")</f>
        <v>15115.2</v>
      </c>
      <c r="BZ566" s="343">
        <f>SUMIFS($AU567:AU$1388,$Q567:Q$1388,"O")</f>
        <v>-1271.097999999736</v>
      </c>
    </row>
    <row r="567" spans="1:78" ht="15.75" customHeight="1">
      <c r="A567" s="221" t="s">
        <v>2380</v>
      </c>
      <c r="B567" s="200">
        <v>45054</v>
      </c>
      <c r="C567" s="178" t="s">
        <v>1322</v>
      </c>
      <c r="D567" s="178" t="s">
        <v>132</v>
      </c>
      <c r="E567" s="227"/>
      <c r="F567" s="180"/>
      <c r="G567" s="284" t="s">
        <v>2506</v>
      </c>
      <c r="H567" s="182"/>
      <c r="I567" s="182"/>
      <c r="J567" s="182"/>
      <c r="K567" s="183"/>
      <c r="L567" s="182">
        <v>1</v>
      </c>
      <c r="M567" s="182">
        <v>2</v>
      </c>
      <c r="N567" s="182"/>
      <c r="O567" s="183" t="s">
        <v>95</v>
      </c>
      <c r="P567" s="183" t="s">
        <v>137</v>
      </c>
      <c r="Q567" s="183" t="s">
        <v>256</v>
      </c>
      <c r="R567" s="183">
        <v>10</v>
      </c>
      <c r="S567" s="183">
        <v>0</v>
      </c>
      <c r="T567" s="183">
        <v>10</v>
      </c>
      <c r="U567" s="183" t="s">
        <v>97</v>
      </c>
      <c r="V567" s="183"/>
      <c r="W567" s="183"/>
      <c r="X567" s="183"/>
      <c r="Y567" s="184">
        <f>IF(ISBLANK(O567),"",(IF(O567=UPPER("IB"),0.005,0.01)))</f>
        <v>0.01</v>
      </c>
      <c r="Z567" s="185">
        <f t="shared" si="215"/>
        <v>1600</v>
      </c>
      <c r="AA567" s="185" t="s">
        <v>2507</v>
      </c>
      <c r="AB567" s="185" t="s">
        <v>2508</v>
      </c>
      <c r="AC567" s="185" t="s">
        <v>2509</v>
      </c>
      <c r="AD567" s="649">
        <v>0.02</v>
      </c>
      <c r="AE567" s="182"/>
      <c r="AF567" s="332">
        <v>1</v>
      </c>
      <c r="AG567" s="182"/>
      <c r="AH567" s="182" t="s">
        <v>2455</v>
      </c>
      <c r="AI567" s="182"/>
      <c r="AJ567" s="640" t="s">
        <v>2510</v>
      </c>
      <c r="AK567" s="182"/>
      <c r="AL567" s="496">
        <f>-0.04*Z567</f>
        <v>-64</v>
      </c>
      <c r="AM567" s="496">
        <f>AL567*(R567-S567)</f>
        <v>-640</v>
      </c>
      <c r="AN567" s="626"/>
      <c r="AO567" s="182"/>
      <c r="AP567" s="182" t="s">
        <v>902</v>
      </c>
      <c r="AQ567" s="332" t="str">
        <f>UPPER(RIGHT(Journal_Live[[#This Row],[DURATION ]]))</f>
        <v>W</v>
      </c>
      <c r="AR567" s="182" t="s">
        <v>2511</v>
      </c>
      <c r="AS567" s="189">
        <f>((0.01*5)+(0.01*5))/10</f>
        <v>0.01</v>
      </c>
      <c r="AT567" s="189">
        <f>IF(ISBLANK(AS567),,IF(U567="S",AD567-AS567,AS567-AD567))</f>
        <v>0.01</v>
      </c>
      <c r="AU567" s="187">
        <f>AV567*R567</f>
        <v>160</v>
      </c>
      <c r="AV567" s="190">
        <f>IF(ISBLANK(AS567),,(AT567*Z567))</f>
        <v>16</v>
      </c>
      <c r="AW567" s="191" t="s">
        <v>96</v>
      </c>
      <c r="AX567" s="407" t="s">
        <v>2512</v>
      </c>
      <c r="AY567" s="407" t="s">
        <v>2513</v>
      </c>
      <c r="AZ567" s="407" t="s">
        <v>2514</v>
      </c>
      <c r="BA567" s="407"/>
      <c r="BB567" s="407"/>
      <c r="BC567" s="407"/>
      <c r="BD567" s="407"/>
      <c r="BE567" s="407"/>
      <c r="BF567" s="422"/>
      <c r="BG567" s="391">
        <f>SUM($AV$4:AV567)</f>
        <v>3084.5974761904713</v>
      </c>
      <c r="BH567" s="392">
        <f>SUM($AU$134:AU567)</f>
        <v>3795.0819999999399</v>
      </c>
      <c r="BI567" s="318">
        <f>SUMIFS($AU$134:AU568,$Q$134:Q568,"F")</f>
        <v>-1510.8000000000002</v>
      </c>
      <c r="BJ567" s="318">
        <f>SUMIFS($AU$134:AU568,$Q$134:Q568,"S")</f>
        <v>5556.4419999999964</v>
      </c>
      <c r="BK567" s="343">
        <f>SUMIFS($AU$134:AU568,$P$134:P568,"W")</f>
        <v>4875.7419999999347</v>
      </c>
      <c r="BL567" s="343">
        <f>SUMIFS($AU$134:AU568,$P$134:P568,"R")</f>
        <v>-1008.659999999998</v>
      </c>
      <c r="BM567" s="343">
        <f>SUMIFS($AU$134:AU568,$AQ$134:AQ568,"M")</f>
        <v>1789.3999999999721</v>
      </c>
      <c r="BN567" s="343">
        <f>SUMIFS($AU$134:AU568,$AQ$134:AQ568,"H")</f>
        <v>2164.2520000000154</v>
      </c>
      <c r="BO567" s="343">
        <f>SUMIFS($AU$134:AU568,$AQ$134:AQ568,"D")</f>
        <v>-6.3100000000002723</v>
      </c>
      <c r="BP567" s="343">
        <f>SUMIFS($AU$134:AU570,$AQ$134:AQ570,"W")</f>
        <v>-1110.7</v>
      </c>
      <c r="BQ567" s="343">
        <f>SUMIFS($AU$134:AU568,$Q$134:Q568,"O")</f>
        <v>-377.76000000006229</v>
      </c>
      <c r="BR567" s="343">
        <f>SUMIFS($AU$134:AU568,$AA$134:AA568,"*")</f>
        <v>5668.1419999999625</v>
      </c>
      <c r="BS567" s="343">
        <f>SUMIFS($AU$134:AU568,$AB$134:AB568,"*")</f>
        <v>901.43999999997629</v>
      </c>
      <c r="BT567" s="343">
        <f>SUMIFS($AU$134:AU568,$AC$134:AC568,"*")</f>
        <v>554.349999999999</v>
      </c>
      <c r="BU567" s="343">
        <f>SUMIFS($AU$134:AU568,$AA$134:AA568,"*",$AB$134:AB568,"*")</f>
        <v>42.00000000000513</v>
      </c>
      <c r="BV567" s="343">
        <f>SUMIFS($AU$134:AU568,$AA$134:AA568,"*",$AC$134:AC568,"*")</f>
        <v>2031.4499999999996</v>
      </c>
      <c r="BW567" s="343">
        <f>SUMIFS($AU$134:AU568,$AB$134:AB568,"*",$AC$134:AC568,"*")</f>
        <v>1966.6</v>
      </c>
      <c r="BX567" s="343">
        <f>SUMIFS($AU568:AU$1388,$Q568:Q$1388,"F")</f>
        <v>15951.466666666667</v>
      </c>
      <c r="BY567" s="343">
        <f>SUMIFS($AU568:AU$1388,$Q568:Q$1388,"S")</f>
        <v>15115.2</v>
      </c>
      <c r="BZ567" s="343">
        <f>SUMIFS($AU568:AU$1388,$Q568:Q$1388,"O")</f>
        <v>-1271.097999999736</v>
      </c>
    </row>
    <row r="568" spans="1:78" ht="15.75" customHeight="1">
      <c r="A568" s="221" t="s">
        <v>2380</v>
      </c>
      <c r="B568" s="200">
        <v>45055</v>
      </c>
      <c r="C568" s="178" t="s">
        <v>2020</v>
      </c>
      <c r="D568" s="178" t="s">
        <v>146</v>
      </c>
      <c r="E568" s="227" t="s">
        <v>2515</v>
      </c>
      <c r="F568" s="180" t="s">
        <v>2409</v>
      </c>
      <c r="G568" s="181"/>
      <c r="H568" s="182"/>
      <c r="I568" s="182">
        <v>1</v>
      </c>
      <c r="J568" s="182"/>
      <c r="K568" s="183"/>
      <c r="L568" s="182"/>
      <c r="M568" s="182"/>
      <c r="N568" s="182"/>
      <c r="O568" s="183"/>
      <c r="P568" s="183"/>
      <c r="Q568" s="183"/>
      <c r="R568" s="183"/>
      <c r="S568" s="183"/>
      <c r="T568" s="183"/>
      <c r="U568" s="183"/>
      <c r="V568" s="183"/>
      <c r="W568" s="183"/>
      <c r="X568" s="183"/>
      <c r="Y568" s="183"/>
      <c r="Z568" s="185" t="str">
        <f t="shared" si="215"/>
        <v/>
      </c>
      <c r="AA568" s="185"/>
      <c r="AB568" s="185"/>
      <c r="AC568" s="185"/>
      <c r="AD568" s="649"/>
      <c r="AE568" s="182"/>
      <c r="AF568" s="332"/>
      <c r="AG568" s="182"/>
      <c r="AH568" s="182"/>
      <c r="AI568" s="182"/>
      <c r="AJ568" s="640"/>
      <c r="AK568" s="182"/>
      <c r="AL568" s="496"/>
      <c r="AM568" s="496"/>
      <c r="AN568" s="626"/>
      <c r="AO568" s="182"/>
      <c r="AP568" s="182"/>
      <c r="AQ568" s="332" t="str">
        <f>UPPER(RIGHT(Journal_Live[[#This Row],[DURATION ]]))</f>
        <v/>
      </c>
      <c r="AR568" s="182"/>
      <c r="AS568" s="189"/>
      <c r="AT568" s="189"/>
      <c r="AU568" s="187"/>
      <c r="AV568" s="190"/>
      <c r="AW568" s="191"/>
      <c r="AX568" s="407"/>
      <c r="AY568" s="407"/>
      <c r="AZ568" s="407" t="s">
        <v>529</v>
      </c>
      <c r="BA568" s="419"/>
      <c r="BB568" s="407"/>
      <c r="BC568" s="407"/>
      <c r="BD568" s="407"/>
      <c r="BE568" s="407"/>
      <c r="BF568" s="422"/>
      <c r="BG568" s="391">
        <f>SUM($AV$4:AV568)</f>
        <v>3084.5974761904713</v>
      </c>
      <c r="BH568" s="392">
        <f>SUM($AU$134:AU568)</f>
        <v>3795.0819999999399</v>
      </c>
      <c r="BI568" s="318">
        <f>SUMIFS($AU$134:AU569,$Q$134:Q569,"F")</f>
        <v>-1510.8000000000002</v>
      </c>
      <c r="BJ568" s="318">
        <f>SUMIFS($AU$134:AU569,$Q$134:Q569,"S")</f>
        <v>5556.4419999999964</v>
      </c>
      <c r="BK568" s="343">
        <f>SUMIFS($AU$134:AU569,$P$134:P569,"W")</f>
        <v>4875.7419999999347</v>
      </c>
      <c r="BL568" s="343">
        <f>SUMIFS($AU$134:AU569,$P$134:P569,"R")</f>
        <v>-1008.659999999998</v>
      </c>
      <c r="BM568" s="343">
        <f>SUMIFS($AU$134:AU569,$AQ$134:AQ569,"M")</f>
        <v>1789.3999999999721</v>
      </c>
      <c r="BN568" s="343">
        <f>SUMIFS($AU$134:AU569,$AQ$134:AQ569,"H")</f>
        <v>2164.2520000000154</v>
      </c>
      <c r="BO568" s="343">
        <f>SUMIFS($AU$134:AU569,$AQ$134:AQ569,"D")</f>
        <v>-6.3100000000002723</v>
      </c>
      <c r="BP568" s="343">
        <f>SUMIFS($AU$134:AU571,$AQ$134:AQ571,"W")</f>
        <v>-1110.7</v>
      </c>
      <c r="BQ568" s="343">
        <f>SUMIFS($AU$134:AU569,$Q$134:Q569,"O")</f>
        <v>-377.76000000006229</v>
      </c>
      <c r="BR568" s="343">
        <f>SUMIFS($AU$134:AU569,$AA$134:AA569,"*")</f>
        <v>5668.1419999999625</v>
      </c>
      <c r="BS568" s="343">
        <f>SUMIFS($AU$134:AU569,$AB$134:AB569,"*")</f>
        <v>901.43999999997629</v>
      </c>
      <c r="BT568" s="343">
        <f>SUMIFS($AU$134:AU569,$AC$134:AC569,"*")</f>
        <v>554.349999999999</v>
      </c>
      <c r="BU568" s="343">
        <f>SUMIFS($AU$134:AU569,$AA$134:AA569,"*",$AB$134:AB569,"*")</f>
        <v>42.00000000000513</v>
      </c>
      <c r="BV568" s="343">
        <f>SUMIFS($AU$134:AU569,$AA$134:AA569,"*",$AC$134:AC569,"*")</f>
        <v>2031.4499999999996</v>
      </c>
      <c r="BW568" s="343">
        <f>SUMIFS($AU$134:AU569,$AB$134:AB569,"*",$AC$134:AC569,"*")</f>
        <v>1966.6</v>
      </c>
      <c r="BX568" s="343">
        <f>SUMIFS($AU569:AU$1388,$Q569:Q$1388,"F")</f>
        <v>15951.466666666667</v>
      </c>
      <c r="BY568" s="343">
        <f>SUMIFS($AU569:AU$1388,$Q569:Q$1388,"S")</f>
        <v>15115.2</v>
      </c>
      <c r="BZ568" s="343">
        <f>SUMIFS($AU569:AU$1388,$Q569:Q$1388,"O")</f>
        <v>-1271.097999999736</v>
      </c>
    </row>
    <row r="569" spans="1:78" ht="15.75" customHeight="1">
      <c r="A569" s="221" t="s">
        <v>2380</v>
      </c>
      <c r="B569" s="200">
        <v>45056</v>
      </c>
      <c r="C569" s="178" t="s">
        <v>1728</v>
      </c>
      <c r="D569" s="178" t="s">
        <v>151</v>
      </c>
      <c r="E569" s="227" t="s">
        <v>2516</v>
      </c>
      <c r="F569" s="180" t="s">
        <v>2517</v>
      </c>
      <c r="G569" s="181"/>
      <c r="H569" s="182"/>
      <c r="I569" s="182">
        <v>1</v>
      </c>
      <c r="J569" s="182"/>
      <c r="K569" s="183"/>
      <c r="L569" s="182"/>
      <c r="M569" s="182"/>
      <c r="N569" s="182"/>
      <c r="O569" s="183"/>
      <c r="P569" s="183"/>
      <c r="Q569" s="183"/>
      <c r="R569" s="183"/>
      <c r="S569" s="183"/>
      <c r="T569" s="183"/>
      <c r="U569" s="183"/>
      <c r="V569" s="183"/>
      <c r="W569" s="183"/>
      <c r="X569" s="183"/>
      <c r="Y569" s="183"/>
      <c r="Z569" s="185" t="str">
        <f t="shared" si="215"/>
        <v/>
      </c>
      <c r="AA569" s="185"/>
      <c r="AB569" s="185"/>
      <c r="AC569" s="185"/>
      <c r="AD569" s="649"/>
      <c r="AE569" s="182"/>
      <c r="AF569" s="332"/>
      <c r="AG569" s="182"/>
      <c r="AH569" s="182"/>
      <c r="AI569" s="182"/>
      <c r="AJ569" s="640"/>
      <c r="AK569" s="182"/>
      <c r="AL569" s="496"/>
      <c r="AM569" s="496"/>
      <c r="AN569" s="626"/>
      <c r="AO569" s="182"/>
      <c r="AP569" s="182"/>
      <c r="AQ569" s="332" t="str">
        <f>UPPER(RIGHT(Journal_Live[[#This Row],[DURATION ]]))</f>
        <v/>
      </c>
      <c r="AR569" s="182"/>
      <c r="AS569" s="189"/>
      <c r="AT569" s="189"/>
      <c r="AU569" s="187"/>
      <c r="AV569" s="190"/>
      <c r="AW569" s="191"/>
      <c r="AX569" s="407"/>
      <c r="AY569" s="407"/>
      <c r="AZ569" s="407"/>
      <c r="BA569" s="419"/>
      <c r="BB569" s="407"/>
      <c r="BC569" s="407"/>
      <c r="BD569" s="407"/>
      <c r="BE569" s="407"/>
      <c r="BF569" s="422"/>
      <c r="BG569" s="391">
        <f>SUM($AV$4:AV569)</f>
        <v>3084.5974761904713</v>
      </c>
      <c r="BH569" s="392">
        <f>SUM($AU$134:AU569)</f>
        <v>3795.0819999999399</v>
      </c>
      <c r="BI569" s="318">
        <f>SUMIFS($AU$134:AU570,$Q$134:Q570,"F")</f>
        <v>-1510.8000000000002</v>
      </c>
      <c r="BJ569" s="318">
        <f>SUMIFS($AU$134:AU570,$Q$134:Q570,"S")</f>
        <v>5556.4419999999964</v>
      </c>
      <c r="BK569" s="343">
        <f>SUMIFS($AU$134:AU570,$P$134:P570,"W")</f>
        <v>4875.7419999999347</v>
      </c>
      <c r="BL569" s="343">
        <f>SUMIFS($AU$134:AU570,$P$134:P570,"R")</f>
        <v>-1008.659999999998</v>
      </c>
      <c r="BM569" s="343">
        <f>SUMIFS($AU$134:AU570,$AQ$134:AQ570,"M")</f>
        <v>1789.3999999999721</v>
      </c>
      <c r="BN569" s="343">
        <f>SUMIFS($AU$134:AU570,$AQ$134:AQ570,"H")</f>
        <v>2164.2520000000154</v>
      </c>
      <c r="BO569" s="343">
        <f>SUMIFS($AU$134:AU570,$AQ$134:AQ570,"D")</f>
        <v>-6.3100000000002723</v>
      </c>
      <c r="BP569" s="343">
        <f>SUMIFS($AU$134:AU572,$AQ$134:AQ572,"W")</f>
        <v>-1110.7</v>
      </c>
      <c r="BQ569" s="343">
        <f>SUMIFS($AU$134:AU570,$Q$134:Q570,"O")</f>
        <v>-377.76000000006229</v>
      </c>
      <c r="BR569" s="343">
        <f>SUMIFS($AU$134:AU570,$AA$134:AA570,"*")</f>
        <v>5668.1419999999625</v>
      </c>
      <c r="BS569" s="343">
        <f>SUMIFS($AU$134:AU570,$AB$134:AB570,"*")</f>
        <v>901.43999999997629</v>
      </c>
      <c r="BT569" s="343">
        <f>SUMIFS($AU$134:AU570,$AC$134:AC570,"*")</f>
        <v>554.349999999999</v>
      </c>
      <c r="BU569" s="343">
        <f>SUMIFS($AU$134:AU570,$AA$134:AA570,"*",$AB$134:AB570,"*")</f>
        <v>42.00000000000513</v>
      </c>
      <c r="BV569" s="343">
        <f>SUMIFS($AU$134:AU570,$AA$134:AA570,"*",$AC$134:AC570,"*")</f>
        <v>2031.4499999999996</v>
      </c>
      <c r="BW569" s="343">
        <f>SUMIFS($AU$134:AU570,$AB$134:AB570,"*",$AC$134:AC570,"*")</f>
        <v>1966.6</v>
      </c>
      <c r="BX569" s="343">
        <f>SUMIFS($AU570:AU$1388,$Q570:Q$1388,"F")</f>
        <v>15951.466666666667</v>
      </c>
      <c r="BY569" s="343">
        <f>SUMIFS($AU570:AU$1388,$Q570:Q$1388,"S")</f>
        <v>15115.2</v>
      </c>
      <c r="BZ569" s="343">
        <f>SUMIFS($AU570:AU$1388,$Q570:Q$1388,"O")</f>
        <v>-1271.097999999736</v>
      </c>
    </row>
    <row r="570" spans="1:78" ht="15.75" customHeight="1">
      <c r="A570" s="221" t="s">
        <v>2380</v>
      </c>
      <c r="B570" s="200"/>
      <c r="C570" s="178"/>
      <c r="D570" s="178"/>
      <c r="E570" s="227" t="s">
        <v>2518</v>
      </c>
      <c r="F570" s="180" t="s">
        <v>2519</v>
      </c>
      <c r="G570" s="181"/>
      <c r="H570" s="182"/>
      <c r="I570" s="182">
        <v>1</v>
      </c>
      <c r="J570" s="182"/>
      <c r="K570" s="183"/>
      <c r="L570" s="182"/>
      <c r="M570" s="182"/>
      <c r="N570" s="182"/>
      <c r="O570" s="183"/>
      <c r="P570" s="183"/>
      <c r="Q570" s="183"/>
      <c r="R570" s="183"/>
      <c r="S570" s="183"/>
      <c r="T570" s="183"/>
      <c r="U570" s="183"/>
      <c r="V570" s="183"/>
      <c r="W570" s="183"/>
      <c r="X570" s="183"/>
      <c r="Y570" s="183"/>
      <c r="Z570" s="185" t="str">
        <f t="shared" si="215"/>
        <v/>
      </c>
      <c r="AA570" s="185"/>
      <c r="AB570" s="185"/>
      <c r="AC570" s="185"/>
      <c r="AD570" s="649"/>
      <c r="AE570" s="182"/>
      <c r="AF570" s="332"/>
      <c r="AG570" s="182"/>
      <c r="AH570" s="182"/>
      <c r="AI570" s="182"/>
      <c r="AJ570" s="640"/>
      <c r="AK570" s="182"/>
      <c r="AL570" s="496"/>
      <c r="AM570" s="496"/>
      <c r="AN570" s="626"/>
      <c r="AO570" s="182"/>
      <c r="AP570" s="182"/>
      <c r="AQ570" s="332" t="str">
        <f>UPPER(RIGHT(Journal_Live[[#This Row],[DURATION ]]))</f>
        <v/>
      </c>
      <c r="AR570" s="182"/>
      <c r="AS570" s="189"/>
      <c r="AT570" s="189"/>
      <c r="AU570" s="187"/>
      <c r="AV570" s="190"/>
      <c r="AW570" s="191"/>
      <c r="AX570" s="407"/>
      <c r="AY570" s="407"/>
      <c r="AZ570" s="407"/>
      <c r="BA570" s="419"/>
      <c r="BB570" s="407"/>
      <c r="BC570" s="407"/>
      <c r="BD570" s="407"/>
      <c r="BE570" s="407"/>
      <c r="BF570" s="422"/>
      <c r="BG570" s="391">
        <f>SUM($AV$4:AV570)</f>
        <v>3084.5974761904713</v>
      </c>
      <c r="BH570" s="392">
        <f>SUM($AU$134:AU570)</f>
        <v>3795.0819999999399</v>
      </c>
      <c r="BI570" s="318">
        <f>SUMIFS($AU$134:AU571,$Q$134:Q571,"F")</f>
        <v>-1510.8000000000002</v>
      </c>
      <c r="BJ570" s="318">
        <f>SUMIFS($AU$134:AU571,$Q$134:Q571,"S")</f>
        <v>5556.4419999999964</v>
      </c>
      <c r="BK570" s="343">
        <f>SUMIFS($AU$134:AU571,$P$134:P571,"W")</f>
        <v>4875.7419999999347</v>
      </c>
      <c r="BL570" s="343">
        <f>SUMIFS($AU$134:AU571,$P$134:P571,"R")</f>
        <v>-1008.659999999998</v>
      </c>
      <c r="BM570" s="343">
        <f>SUMIFS($AU$134:AU571,$AQ$134:AQ571,"M")</f>
        <v>1789.3999999999721</v>
      </c>
      <c r="BN570" s="343">
        <f>SUMIFS($AU$134:AU571,$AQ$134:AQ571,"H")</f>
        <v>2164.2520000000154</v>
      </c>
      <c r="BO570" s="343">
        <f>SUMIFS($AU$134:AU571,$AQ$134:AQ571,"D")</f>
        <v>-6.3100000000002723</v>
      </c>
      <c r="BP570" s="343">
        <f>SUMIFS($AU$134:AU573,$AQ$134:AQ573,"W")</f>
        <v>-1110.7</v>
      </c>
      <c r="BQ570" s="343">
        <f>SUMIFS($AU$134:AU571,$Q$134:Q571,"O")</f>
        <v>-377.76000000006229</v>
      </c>
      <c r="BR570" s="343">
        <f>SUMIFS($AU$134:AU571,$AA$134:AA571,"*")</f>
        <v>5668.1419999999625</v>
      </c>
      <c r="BS570" s="343">
        <f>SUMIFS($AU$134:AU571,$AB$134:AB571,"*")</f>
        <v>901.43999999997629</v>
      </c>
      <c r="BT570" s="343">
        <f>SUMIFS($AU$134:AU571,$AC$134:AC571,"*")</f>
        <v>554.349999999999</v>
      </c>
      <c r="BU570" s="343">
        <f>SUMIFS($AU$134:AU571,$AA$134:AA571,"*",$AB$134:AB571,"*")</f>
        <v>42.00000000000513</v>
      </c>
      <c r="BV570" s="343">
        <f>SUMIFS($AU$134:AU571,$AA$134:AA571,"*",$AC$134:AC571,"*")</f>
        <v>2031.4499999999996</v>
      </c>
      <c r="BW570" s="343">
        <f>SUMIFS($AU$134:AU571,$AB$134:AB571,"*",$AC$134:AC571,"*")</f>
        <v>1966.6</v>
      </c>
      <c r="BX570" s="343">
        <f>SUMIFS($AU571:AU$1388,$Q571:Q$1388,"F")</f>
        <v>15951.466666666667</v>
      </c>
      <c r="BY570" s="343">
        <f>SUMIFS($AU571:AU$1388,$Q571:Q$1388,"S")</f>
        <v>15115.2</v>
      </c>
      <c r="BZ570" s="343">
        <f>SUMIFS($AU571:AU$1388,$Q571:Q$1388,"O")</f>
        <v>-1271.097999999736</v>
      </c>
    </row>
    <row r="571" spans="1:78" ht="15.75" customHeight="1">
      <c r="A571" s="221" t="s">
        <v>2380</v>
      </c>
      <c r="B571" s="200"/>
      <c r="C571" s="178"/>
      <c r="D571" s="178"/>
      <c r="E571" s="227" t="s">
        <v>2520</v>
      </c>
      <c r="F571" s="180"/>
      <c r="G571" s="181"/>
      <c r="H571" s="182"/>
      <c r="I571" s="182"/>
      <c r="J571" s="182">
        <v>1</v>
      </c>
      <c r="K571" s="183" t="s">
        <v>115</v>
      </c>
      <c r="L571" s="182"/>
      <c r="M571" s="182"/>
      <c r="N571" s="182"/>
      <c r="O571" s="183"/>
      <c r="P571" s="183"/>
      <c r="Q571" s="183"/>
      <c r="R571" s="183"/>
      <c r="S571" s="183"/>
      <c r="T571" s="183"/>
      <c r="U571" s="183"/>
      <c r="V571" s="183"/>
      <c r="W571" s="183"/>
      <c r="X571" s="183"/>
      <c r="Y571" s="183"/>
      <c r="Z571" s="185" t="str">
        <f t="shared" si="215"/>
        <v/>
      </c>
      <c r="AA571" s="185"/>
      <c r="AB571" s="185"/>
      <c r="AC571" s="185"/>
      <c r="AD571" s="649"/>
      <c r="AE571" s="182"/>
      <c r="AF571" s="332"/>
      <c r="AG571" s="182"/>
      <c r="AH571" s="182"/>
      <c r="AI571" s="182"/>
      <c r="AJ571" s="640"/>
      <c r="AK571" s="182"/>
      <c r="AL571" s="496"/>
      <c r="AM571" s="496"/>
      <c r="AN571" s="626"/>
      <c r="AO571" s="182"/>
      <c r="AP571" s="182"/>
      <c r="AQ571" s="332" t="str">
        <f>UPPER(RIGHT(Journal_Live[[#This Row],[DURATION ]]))</f>
        <v/>
      </c>
      <c r="AR571" s="182"/>
      <c r="AS571" s="189"/>
      <c r="AT571" s="189"/>
      <c r="AU571" s="187"/>
      <c r="AV571" s="190"/>
      <c r="AW571" s="191"/>
      <c r="AX571" s="407"/>
      <c r="AY571" s="407"/>
      <c r="AZ571" s="407"/>
      <c r="BA571" s="419"/>
      <c r="BB571" s="407"/>
      <c r="BC571" s="407"/>
      <c r="BD571" s="407"/>
      <c r="BE571" s="407"/>
      <c r="BF571" s="422"/>
      <c r="BG571" s="391">
        <f>SUM($AV$4:AV571)</f>
        <v>3084.5974761904713</v>
      </c>
      <c r="BH571" s="392">
        <f>SUM($AU$134:AU571)</f>
        <v>3795.0819999999399</v>
      </c>
      <c r="BI571" s="318">
        <f>SUMIFS($AU$134:AU572,$Q$134:Q572,"F")</f>
        <v>-1510.8000000000002</v>
      </c>
      <c r="BJ571" s="318">
        <f>SUMIFS($AU$134:AU572,$Q$134:Q572,"S")</f>
        <v>5556.4419999999964</v>
      </c>
      <c r="BK571" s="343">
        <f>SUMIFS($AU$134:AU572,$P$134:P572,"W")</f>
        <v>4875.7419999999347</v>
      </c>
      <c r="BL571" s="343">
        <f>SUMIFS($AU$134:AU572,$P$134:P572,"R")</f>
        <v>-1008.659999999998</v>
      </c>
      <c r="BM571" s="343">
        <f>SUMIFS($AU$134:AU572,$AQ$134:AQ572,"M")</f>
        <v>1789.3999999999721</v>
      </c>
      <c r="BN571" s="343">
        <f>SUMIFS($AU$134:AU572,$AQ$134:AQ572,"H")</f>
        <v>2164.2520000000154</v>
      </c>
      <c r="BO571" s="343">
        <f>SUMIFS($AU$134:AU572,$AQ$134:AQ572,"D")</f>
        <v>-6.3100000000002723</v>
      </c>
      <c r="BP571" s="343">
        <f>SUMIFS($AU$134:AU574,$AQ$134:AQ574,"W")</f>
        <v>-1110.7</v>
      </c>
      <c r="BQ571" s="343">
        <f>SUMIFS($AU$134:AU572,$Q$134:Q572,"O")</f>
        <v>-377.76000000006229</v>
      </c>
      <c r="BR571" s="343">
        <f>SUMIFS($AU$134:AU572,$AA$134:AA572,"*")</f>
        <v>5668.1419999999625</v>
      </c>
      <c r="BS571" s="343">
        <f>SUMIFS($AU$134:AU572,$AB$134:AB572,"*")</f>
        <v>901.43999999997629</v>
      </c>
      <c r="BT571" s="343">
        <f>SUMIFS($AU$134:AU572,$AC$134:AC572,"*")</f>
        <v>554.349999999999</v>
      </c>
      <c r="BU571" s="343">
        <f>SUMIFS($AU$134:AU572,$AA$134:AA572,"*",$AB$134:AB572,"*")</f>
        <v>42.00000000000513</v>
      </c>
      <c r="BV571" s="343">
        <f>SUMIFS($AU$134:AU572,$AA$134:AA572,"*",$AC$134:AC572,"*")</f>
        <v>2031.4499999999996</v>
      </c>
      <c r="BW571" s="343">
        <f>SUMIFS($AU$134:AU572,$AB$134:AB572,"*",$AC$134:AC572,"*")</f>
        <v>1966.6</v>
      </c>
      <c r="BX571" s="343">
        <f>SUMIFS($AU572:AU$1388,$Q572:Q$1388,"F")</f>
        <v>15951.466666666667</v>
      </c>
      <c r="BY571" s="343">
        <f>SUMIFS($AU572:AU$1388,$Q572:Q$1388,"S")</f>
        <v>15115.2</v>
      </c>
      <c r="BZ571" s="343">
        <f>SUMIFS($AU572:AU$1388,$Q572:Q$1388,"O")</f>
        <v>-1271.097999999736</v>
      </c>
    </row>
    <row r="572" spans="1:78" ht="15.75" customHeight="1">
      <c r="A572" s="221" t="s">
        <v>2380</v>
      </c>
      <c r="B572" s="200"/>
      <c r="C572" s="178"/>
      <c r="D572" s="178"/>
      <c r="E572" s="227" t="s">
        <v>2521</v>
      </c>
      <c r="F572" s="180"/>
      <c r="G572" s="181"/>
      <c r="H572" s="182"/>
      <c r="I572" s="182">
        <v>1</v>
      </c>
      <c r="J572" s="182"/>
      <c r="K572" s="183"/>
      <c r="L572" s="182"/>
      <c r="M572" s="182"/>
      <c r="N572" s="182"/>
      <c r="O572" s="183"/>
      <c r="P572" s="183"/>
      <c r="Q572" s="183"/>
      <c r="R572" s="183"/>
      <c r="S572" s="183"/>
      <c r="T572" s="183"/>
      <c r="U572" s="183"/>
      <c r="V572" s="183"/>
      <c r="W572" s="183"/>
      <c r="X572" s="183"/>
      <c r="Y572" s="183"/>
      <c r="Z572" s="185" t="str">
        <f t="shared" si="215"/>
        <v/>
      </c>
      <c r="AA572" s="185"/>
      <c r="AB572" s="185"/>
      <c r="AC572" s="185"/>
      <c r="AD572" s="649"/>
      <c r="AE572" s="182"/>
      <c r="AF572" s="332"/>
      <c r="AG572" s="182"/>
      <c r="AH572" s="182"/>
      <c r="AI572" s="182"/>
      <c r="AJ572" s="640"/>
      <c r="AK572" s="182"/>
      <c r="AL572" s="496"/>
      <c r="AM572" s="496"/>
      <c r="AN572" s="626"/>
      <c r="AO572" s="182"/>
      <c r="AP572" s="182"/>
      <c r="AQ572" s="332" t="str">
        <f>UPPER(RIGHT(Journal_Live[[#This Row],[DURATION ]]))</f>
        <v/>
      </c>
      <c r="AR572" s="182"/>
      <c r="AS572" s="189"/>
      <c r="AT572" s="189"/>
      <c r="AU572" s="187"/>
      <c r="AV572" s="190"/>
      <c r="AW572" s="191"/>
      <c r="AX572" s="407"/>
      <c r="AY572" s="407"/>
      <c r="AZ572" s="407"/>
      <c r="BA572" s="419"/>
      <c r="BB572" s="407"/>
      <c r="BC572" s="407"/>
      <c r="BD572" s="407"/>
      <c r="BE572" s="407"/>
      <c r="BF572" s="422"/>
      <c r="BG572" s="391">
        <f>SUM($AV$4:AV572)</f>
        <v>3084.5974761904713</v>
      </c>
      <c r="BH572" s="392">
        <f>SUM($AU$134:AU572)</f>
        <v>3795.0819999999399</v>
      </c>
      <c r="BI572" s="318">
        <f>SUMIFS($AU$134:AU573,$Q$134:Q573,"F")</f>
        <v>-1510.8000000000002</v>
      </c>
      <c r="BJ572" s="318">
        <f>SUMIFS($AU$134:AU573,$Q$134:Q573,"S")</f>
        <v>5668.4419999999964</v>
      </c>
      <c r="BK572" s="343">
        <f>SUMIFS($AU$134:AU573,$P$134:P573,"W")</f>
        <v>4987.7419999999347</v>
      </c>
      <c r="BL572" s="343">
        <f>SUMIFS($AU$134:AU573,$P$134:P573,"R")</f>
        <v>-1008.659999999998</v>
      </c>
      <c r="BM572" s="343">
        <f>SUMIFS($AU$134:AU573,$AQ$134:AQ573,"M")</f>
        <v>1901.3999999999721</v>
      </c>
      <c r="BN572" s="343">
        <f>SUMIFS($AU$134:AU573,$AQ$134:AQ573,"H")</f>
        <v>2164.2520000000154</v>
      </c>
      <c r="BO572" s="343">
        <f>SUMIFS($AU$134:AU573,$AQ$134:AQ573,"D")</f>
        <v>-6.3100000000002723</v>
      </c>
      <c r="BP572" s="343">
        <f>SUMIFS($AU$134:AU575,$AQ$134:AQ575,"W")</f>
        <v>-1110.7</v>
      </c>
      <c r="BQ572" s="343">
        <f>SUMIFS($AU$134:AU573,$Q$134:Q573,"O")</f>
        <v>-377.76000000006229</v>
      </c>
      <c r="BR572" s="343">
        <f>SUMIFS($AU$134:AU573,$AA$134:AA573,"*")</f>
        <v>5780.1419999999625</v>
      </c>
      <c r="BS572" s="343">
        <f>SUMIFS($AU$134:AU573,$AB$134:AB573,"*")</f>
        <v>901.43999999997629</v>
      </c>
      <c r="BT572" s="343">
        <f>SUMIFS($AU$134:AU573,$AC$134:AC573,"*")</f>
        <v>554.349999999999</v>
      </c>
      <c r="BU572" s="343">
        <f>SUMIFS($AU$134:AU573,$AA$134:AA573,"*",$AB$134:AB573,"*")</f>
        <v>42.00000000000513</v>
      </c>
      <c r="BV572" s="343">
        <f>SUMIFS($AU$134:AU573,$AA$134:AA573,"*",$AC$134:AC573,"*")</f>
        <v>2031.4499999999996</v>
      </c>
      <c r="BW572" s="343">
        <f>SUMIFS($AU$134:AU573,$AB$134:AB573,"*",$AC$134:AC573,"*")</f>
        <v>1966.6</v>
      </c>
      <c r="BX572" s="343">
        <f>SUMIFS($AU573:AU$1388,$Q573:Q$1388,"F")</f>
        <v>15951.466666666667</v>
      </c>
      <c r="BY572" s="343">
        <f>SUMIFS($AU573:AU$1388,$Q573:Q$1388,"S")</f>
        <v>15115.2</v>
      </c>
      <c r="BZ572" s="343">
        <f>SUMIFS($AU573:AU$1388,$Q573:Q$1388,"O")</f>
        <v>-1271.097999999736</v>
      </c>
    </row>
    <row r="573" spans="1:78" ht="15.75" customHeight="1">
      <c r="A573" s="221" t="s">
        <v>2380</v>
      </c>
      <c r="B573" s="200">
        <v>45057</v>
      </c>
      <c r="C573" s="178" t="s">
        <v>2522</v>
      </c>
      <c r="D573" s="178" t="s">
        <v>93</v>
      </c>
      <c r="E573" s="227"/>
      <c r="F573" s="180"/>
      <c r="G573" s="181" t="s">
        <v>94</v>
      </c>
      <c r="H573" s="182"/>
      <c r="I573" s="182"/>
      <c r="J573" s="182"/>
      <c r="K573" s="183"/>
      <c r="L573" s="182">
        <v>1</v>
      </c>
      <c r="M573" s="182">
        <v>1</v>
      </c>
      <c r="N573" s="182"/>
      <c r="O573" s="183" t="s">
        <v>95</v>
      </c>
      <c r="P573" s="183" t="s">
        <v>96</v>
      </c>
      <c r="Q573" s="183" t="s">
        <v>97</v>
      </c>
      <c r="R573" s="183">
        <v>7</v>
      </c>
      <c r="S573" s="183">
        <v>0</v>
      </c>
      <c r="T573" s="183">
        <v>7</v>
      </c>
      <c r="U573" s="183" t="s">
        <v>22</v>
      </c>
      <c r="V573" s="183"/>
      <c r="W573" s="183"/>
      <c r="X573" s="183"/>
      <c r="Y573" s="184">
        <f t="shared" ref="Y573:Y583" si="218">IF(ISBLANK(O573),"",(IF(O573=UPPER("IB"),0.005,0.01)))</f>
        <v>0.01</v>
      </c>
      <c r="Z573" s="185">
        <f t="shared" si="215"/>
        <v>1600</v>
      </c>
      <c r="AA573" s="185" t="s">
        <v>99</v>
      </c>
      <c r="AB573" s="185"/>
      <c r="AC573" s="185"/>
      <c r="AD573" s="649">
        <v>-0.1</v>
      </c>
      <c r="AE573" s="182"/>
      <c r="AF573" s="332"/>
      <c r="AG573" s="182"/>
      <c r="AH573" s="182"/>
      <c r="AI573" s="182"/>
      <c r="AJ573" s="640"/>
      <c r="AK573" s="182"/>
      <c r="AL573" s="496"/>
      <c r="AM573" s="496"/>
      <c r="AN573" s="626"/>
      <c r="AO573" s="182"/>
      <c r="AP573" s="182" t="s">
        <v>2523</v>
      </c>
      <c r="AQ573" s="332" t="str">
        <f>UPPER(RIGHT(Journal_Live[[#This Row],[DURATION ]]))</f>
        <v>M</v>
      </c>
      <c r="AR573" s="182" t="s">
        <v>2524</v>
      </c>
      <c r="AS573" s="189">
        <v>-0.09</v>
      </c>
      <c r="AT573" s="189">
        <f>IF(ISBLANK(AS573),,IF(U573="S",AD573-AS573,AS573-AD573))</f>
        <v>1.0000000000000009E-2</v>
      </c>
      <c r="AU573" s="187">
        <f>AV573*R573</f>
        <v>112.0000000000001</v>
      </c>
      <c r="AV573" s="190">
        <f>IF(ISBLANK(AS573),,(AT573*Z573))</f>
        <v>16.000000000000014</v>
      </c>
      <c r="AW573" s="191" t="s">
        <v>96</v>
      </c>
      <c r="AX573" s="407" t="s">
        <v>2525</v>
      </c>
      <c r="AY573" s="407" t="s">
        <v>413</v>
      </c>
      <c r="AZ573" s="407"/>
      <c r="BA573" s="407" t="s">
        <v>1436</v>
      </c>
      <c r="BB573" s="407"/>
      <c r="BC573" s="407"/>
      <c r="BD573" s="407"/>
      <c r="BE573" s="407"/>
      <c r="BF573" s="422"/>
      <c r="BG573" s="391">
        <f>SUM($AV$4:AV573)</f>
        <v>3100.5974761904713</v>
      </c>
      <c r="BH573" s="392">
        <f>SUM($AU$134:AU573)</f>
        <v>3907.0819999999399</v>
      </c>
      <c r="BI573" s="318">
        <f>SUMIFS($AU$134:AU574,$Q$134:Q574,"F")</f>
        <v>-1510.8000000000002</v>
      </c>
      <c r="BJ573" s="318">
        <f>SUMIFS($AU$134:AU574,$Q$134:Q574,"S")</f>
        <v>5716.4419999999964</v>
      </c>
      <c r="BK573" s="343">
        <f>SUMIFS($AU$134:AU574,$P$134:P574,"W")</f>
        <v>5035.7419999999347</v>
      </c>
      <c r="BL573" s="343">
        <f>SUMIFS($AU$134:AU574,$P$134:P574,"R")</f>
        <v>-1008.659999999998</v>
      </c>
      <c r="BM573" s="343">
        <f>SUMIFS($AU$134:AU574,$AQ$134:AQ574,"M")</f>
        <v>1901.3999999999721</v>
      </c>
      <c r="BN573" s="343">
        <f>SUMIFS($AU$134:AU574,$AQ$134:AQ574,"H")</f>
        <v>2212.2520000000154</v>
      </c>
      <c r="BO573" s="343">
        <f>SUMIFS($AU$134:AU574,$AQ$134:AQ574,"D")</f>
        <v>-6.3100000000002723</v>
      </c>
      <c r="BP573" s="343">
        <f>SUMIFS($AU$134:AU576,$AQ$134:AQ576,"W")</f>
        <v>-1110.7</v>
      </c>
      <c r="BQ573" s="343">
        <f>SUMIFS($AU$134:AU574,$Q$134:Q574,"O")</f>
        <v>-377.76000000006229</v>
      </c>
      <c r="BR573" s="343">
        <f>SUMIFS($AU$134:AU574,$AA$134:AA574,"*")</f>
        <v>5828.1419999999625</v>
      </c>
      <c r="BS573" s="343">
        <f>SUMIFS($AU$134:AU574,$AB$134:AB574,"*")</f>
        <v>901.43999999997629</v>
      </c>
      <c r="BT573" s="343">
        <f>SUMIFS($AU$134:AU574,$AC$134:AC574,"*")</f>
        <v>554.349999999999</v>
      </c>
      <c r="BU573" s="343">
        <f>SUMIFS($AU$134:AU574,$AA$134:AA574,"*",$AB$134:AB574,"*")</f>
        <v>42.00000000000513</v>
      </c>
      <c r="BV573" s="343">
        <f>SUMIFS($AU$134:AU574,$AA$134:AA574,"*",$AC$134:AC574,"*")</f>
        <v>2031.4499999999996</v>
      </c>
      <c r="BW573" s="343">
        <f>SUMIFS($AU$134:AU574,$AB$134:AB574,"*",$AC$134:AC574,"*")</f>
        <v>1966.6</v>
      </c>
      <c r="BX573" s="343">
        <f>SUMIFS($AU574:AU$1388,$Q574:Q$1388,"F")</f>
        <v>15951.466666666667</v>
      </c>
      <c r="BY573" s="343">
        <f>SUMIFS($AU574:AU$1388,$Q574:Q$1388,"S")</f>
        <v>15003.2</v>
      </c>
      <c r="BZ573" s="343">
        <f>SUMIFS($AU574:AU$1388,$Q574:Q$1388,"O")</f>
        <v>-1271.097999999736</v>
      </c>
    </row>
    <row r="574" spans="1:78" ht="15.75" customHeight="1">
      <c r="A574" s="221" t="s">
        <v>2380</v>
      </c>
      <c r="B574" s="200">
        <v>45057</v>
      </c>
      <c r="C574" s="178" t="s">
        <v>2526</v>
      </c>
      <c r="D574" s="178" t="s">
        <v>93</v>
      </c>
      <c r="E574" s="227"/>
      <c r="F574" s="180"/>
      <c r="G574" s="281" t="s">
        <v>576</v>
      </c>
      <c r="H574" s="182"/>
      <c r="I574" s="182"/>
      <c r="J574" s="182"/>
      <c r="K574" s="183"/>
      <c r="L574" s="182">
        <v>1</v>
      </c>
      <c r="M574" s="182">
        <v>1</v>
      </c>
      <c r="N574" s="182"/>
      <c r="O574" s="183" t="s">
        <v>95</v>
      </c>
      <c r="P574" s="183" t="s">
        <v>96</v>
      </c>
      <c r="Q574" s="183" t="s">
        <v>97</v>
      </c>
      <c r="R574" s="183">
        <v>3</v>
      </c>
      <c r="S574" s="183">
        <v>3</v>
      </c>
      <c r="T574" s="183">
        <v>3</v>
      </c>
      <c r="U574" s="183" t="s">
        <v>97</v>
      </c>
      <c r="V574" s="183"/>
      <c r="W574" s="183"/>
      <c r="X574" s="183"/>
      <c r="Y574" s="184">
        <f t="shared" si="218"/>
        <v>0.01</v>
      </c>
      <c r="Z574" s="185">
        <f t="shared" si="215"/>
        <v>1600</v>
      </c>
      <c r="AA574" s="185" t="s">
        <v>99</v>
      </c>
      <c r="AB574" s="185"/>
      <c r="AC574" s="185"/>
      <c r="AD574" s="649">
        <v>-0.01</v>
      </c>
      <c r="AE574" s="182"/>
      <c r="AF574" s="332"/>
      <c r="AG574" s="182"/>
      <c r="AH574" s="182"/>
      <c r="AI574" s="182"/>
      <c r="AJ574" s="640"/>
      <c r="AK574" s="182"/>
      <c r="AL574" s="496"/>
      <c r="AM574" s="496"/>
      <c r="AN574" s="626"/>
      <c r="AO574" s="182"/>
      <c r="AP574" s="182" t="s">
        <v>2527</v>
      </c>
      <c r="AQ574" s="332" t="str">
        <f>UPPER(RIGHT(Journal_Live[[#This Row],[DURATION ]]))</f>
        <v>H</v>
      </c>
      <c r="AR574" s="182" t="s">
        <v>2528</v>
      </c>
      <c r="AS574" s="189">
        <v>-0.02</v>
      </c>
      <c r="AT574" s="189">
        <f>IF(ISBLANK(AS574),,IF(U574="S",AD574-AS574,AS574-AD574))</f>
        <v>0.01</v>
      </c>
      <c r="AU574" s="187">
        <f>AV574*R574</f>
        <v>48</v>
      </c>
      <c r="AV574" s="190">
        <f>IF(ISBLANK(AS574),,(AT574*Z574))</f>
        <v>16</v>
      </c>
      <c r="AW574" s="191" t="s">
        <v>96</v>
      </c>
      <c r="AX574" s="407"/>
      <c r="AY574" s="407"/>
      <c r="AZ574" s="407"/>
      <c r="BA574" s="407"/>
      <c r="BB574" s="407"/>
      <c r="BC574" s="407"/>
      <c r="BD574" s="407"/>
      <c r="BE574" s="407"/>
      <c r="BF574" s="422"/>
      <c r="BG574" s="391">
        <f>SUM($AV$4:AV574)</f>
        <v>3116.5974761904713</v>
      </c>
      <c r="BH574" s="392">
        <f>SUM($AU$134:AU574)</f>
        <v>3955.0819999999399</v>
      </c>
      <c r="BI574" s="318">
        <f>SUMIFS($AU$134:AU575,$Q$134:Q575,"F")</f>
        <v>-1510.8000000000002</v>
      </c>
      <c r="BJ574" s="318">
        <f>SUMIFS($AU$134:AU575,$Q$134:Q575,"S")</f>
        <v>5716.4419999999964</v>
      </c>
      <c r="BK574" s="343">
        <f>SUMIFS($AU$134:AU575,$P$134:P575,"W")</f>
        <v>5035.7419999999347</v>
      </c>
      <c r="BL574" s="343">
        <f>SUMIFS($AU$134:AU575,$P$134:P575,"R")</f>
        <v>-1008.659999999998</v>
      </c>
      <c r="BM574" s="343">
        <f>SUMIFS($AU$134:AU575,$AQ$134:AQ575,"M")</f>
        <v>1901.3999999999721</v>
      </c>
      <c r="BN574" s="343">
        <f>SUMIFS($AU$134:AU575,$AQ$134:AQ575,"H")</f>
        <v>2212.2520000000154</v>
      </c>
      <c r="BO574" s="343">
        <f>SUMIFS($AU$134:AU575,$AQ$134:AQ575,"D")</f>
        <v>-6.3100000000002723</v>
      </c>
      <c r="BP574" s="343">
        <f>SUMIFS($AU$134:AU577,$AQ$134:AQ577,"W")</f>
        <v>-1110.7</v>
      </c>
      <c r="BQ574" s="343">
        <f>SUMIFS($AU$134:AU575,$Q$134:Q575,"O")</f>
        <v>-377.76000000006229</v>
      </c>
      <c r="BR574" s="343">
        <f>SUMIFS($AU$134:AU575,$AA$134:AA575,"*")</f>
        <v>5828.1419999999625</v>
      </c>
      <c r="BS574" s="343">
        <f>SUMIFS($AU$134:AU575,$AB$134:AB575,"*")</f>
        <v>901.43999999997629</v>
      </c>
      <c r="BT574" s="343">
        <f>SUMIFS($AU$134:AU575,$AC$134:AC575,"*")</f>
        <v>554.349999999999</v>
      </c>
      <c r="BU574" s="343">
        <f>SUMIFS($AU$134:AU575,$AA$134:AA575,"*",$AB$134:AB575,"*")</f>
        <v>42.00000000000513</v>
      </c>
      <c r="BV574" s="343">
        <f>SUMIFS($AU$134:AU575,$AA$134:AA575,"*",$AC$134:AC575,"*")</f>
        <v>2031.4499999999996</v>
      </c>
      <c r="BW574" s="343">
        <f>SUMIFS($AU$134:AU575,$AB$134:AB575,"*",$AC$134:AC575,"*")</f>
        <v>1966.6</v>
      </c>
      <c r="BX574" s="343">
        <f>SUMIFS($AU575:AU$1388,$Q575:Q$1388,"F")</f>
        <v>15951.466666666667</v>
      </c>
      <c r="BY574" s="343">
        <f>SUMIFS($AU575:AU$1388,$Q575:Q$1388,"S")</f>
        <v>14955.2</v>
      </c>
      <c r="BZ574" s="343">
        <f>SUMIFS($AU575:AU$1388,$Q575:Q$1388,"O")</f>
        <v>-1271.097999999736</v>
      </c>
    </row>
    <row r="575" spans="1:78" ht="15.75" customHeight="1">
      <c r="A575" s="221" t="s">
        <v>2380</v>
      </c>
      <c r="B575" s="200">
        <v>45057</v>
      </c>
      <c r="C575" s="178" t="s">
        <v>2529</v>
      </c>
      <c r="D575" s="178" t="s">
        <v>93</v>
      </c>
      <c r="E575" s="227" t="s">
        <v>2530</v>
      </c>
      <c r="F575" s="180"/>
      <c r="G575" s="181"/>
      <c r="H575" s="182"/>
      <c r="I575" s="182"/>
      <c r="J575" s="182"/>
      <c r="K575" s="183"/>
      <c r="L575" s="182"/>
      <c r="M575" s="182"/>
      <c r="N575" s="182"/>
      <c r="O575" s="183"/>
      <c r="P575" s="183"/>
      <c r="Q575" s="183"/>
      <c r="R575" s="183"/>
      <c r="S575" s="183"/>
      <c r="T575" s="183"/>
      <c r="U575" s="183"/>
      <c r="V575" s="183"/>
      <c r="W575" s="183"/>
      <c r="X575" s="183"/>
      <c r="Y575" s="184" t="str">
        <f t="shared" si="218"/>
        <v/>
      </c>
      <c r="Z575" s="185" t="str">
        <f t="shared" si="215"/>
        <v/>
      </c>
      <c r="AA575" s="185"/>
      <c r="AB575" s="185"/>
      <c r="AC575" s="185"/>
      <c r="AD575" s="649"/>
      <c r="AE575" s="182"/>
      <c r="AF575" s="332"/>
      <c r="AG575" s="182"/>
      <c r="AH575" s="182"/>
      <c r="AI575" s="182"/>
      <c r="AJ575" s="640"/>
      <c r="AK575" s="182"/>
      <c r="AL575" s="496"/>
      <c r="AM575" s="496"/>
      <c r="AN575" s="626"/>
      <c r="AO575" s="182"/>
      <c r="AP575" s="182"/>
      <c r="AQ575" s="332" t="str">
        <f>UPPER(RIGHT(Journal_Live[[#This Row],[DURATION ]]))</f>
        <v/>
      </c>
      <c r="AR575" s="182"/>
      <c r="AS575" s="189"/>
      <c r="AT575" s="189"/>
      <c r="AU575" s="187"/>
      <c r="AV575" s="190"/>
      <c r="AW575" s="191"/>
      <c r="AX575" s="407" t="s">
        <v>2531</v>
      </c>
      <c r="AY575" s="407" t="s">
        <v>2532</v>
      </c>
      <c r="AZ575" s="407" t="s">
        <v>2533</v>
      </c>
      <c r="BA575" s="419" t="s">
        <v>2534</v>
      </c>
      <c r="BB575" s="407" t="s">
        <v>2535</v>
      </c>
      <c r="BC575" s="407"/>
      <c r="BD575" s="407" t="s">
        <v>529</v>
      </c>
      <c r="BE575" s="407"/>
      <c r="BF575" s="422"/>
      <c r="BG575" s="391">
        <f>SUM($AV$4:AV575)</f>
        <v>3116.5974761904713</v>
      </c>
      <c r="BH575" s="392">
        <f>SUM($AU$134:AU575)</f>
        <v>3955.0819999999399</v>
      </c>
      <c r="BI575" s="318">
        <f>SUMIFS($AU$134:AU576,$Q$134:Q576,"F")</f>
        <v>-1510.8000000000002</v>
      </c>
      <c r="BJ575" s="318">
        <f>SUMIFS($AU$134:AU576,$Q$134:Q576,"S")</f>
        <v>5716.4419999999964</v>
      </c>
      <c r="BK575" s="343">
        <f>SUMIFS($AU$134:AU576,$P$134:P576,"W")</f>
        <v>5035.7419999999347</v>
      </c>
      <c r="BL575" s="343">
        <f>SUMIFS($AU$134:AU576,$P$134:P576,"R")</f>
        <v>-1008.659999999998</v>
      </c>
      <c r="BM575" s="343">
        <f>SUMIFS($AU$134:AU576,$AQ$134:AQ576,"M")</f>
        <v>1901.3999999999721</v>
      </c>
      <c r="BN575" s="343">
        <f>SUMIFS($AU$134:AU576,$AQ$134:AQ576,"H")</f>
        <v>2212.2520000000154</v>
      </c>
      <c r="BO575" s="343">
        <f>SUMIFS($AU$134:AU576,$AQ$134:AQ576,"D")</f>
        <v>-6.3100000000002723</v>
      </c>
      <c r="BP575" s="343">
        <f>SUMIFS($AU$134:AU578,$AQ$134:AQ578,"W")</f>
        <v>-1110.7</v>
      </c>
      <c r="BQ575" s="343">
        <f>SUMIFS($AU$134:AU576,$Q$134:Q576,"O")</f>
        <v>-377.76000000006229</v>
      </c>
      <c r="BR575" s="343">
        <f>SUMIFS($AU$134:AU576,$AA$134:AA576,"*")</f>
        <v>5828.1419999999625</v>
      </c>
      <c r="BS575" s="343">
        <f>SUMIFS($AU$134:AU576,$AB$134:AB576,"*")</f>
        <v>901.43999999997629</v>
      </c>
      <c r="BT575" s="343">
        <f>SUMIFS($AU$134:AU576,$AC$134:AC576,"*")</f>
        <v>554.349999999999</v>
      </c>
      <c r="BU575" s="343">
        <f>SUMIFS($AU$134:AU576,$AA$134:AA576,"*",$AB$134:AB576,"*")</f>
        <v>42.00000000000513</v>
      </c>
      <c r="BV575" s="343">
        <f>SUMIFS($AU$134:AU576,$AA$134:AA576,"*",$AC$134:AC576,"*")</f>
        <v>2031.4499999999996</v>
      </c>
      <c r="BW575" s="343">
        <f>SUMIFS($AU$134:AU576,$AB$134:AB576,"*",$AC$134:AC576,"*")</f>
        <v>1966.6</v>
      </c>
      <c r="BX575" s="343">
        <f>SUMIFS($AU576:AU$1388,$Q576:Q$1388,"F")</f>
        <v>15951.466666666667</v>
      </c>
      <c r="BY575" s="343">
        <f>SUMIFS($AU576:AU$1388,$Q576:Q$1388,"S")</f>
        <v>14955.2</v>
      </c>
      <c r="BZ575" s="343">
        <f>SUMIFS($AU576:AU$1388,$Q576:Q$1388,"O")</f>
        <v>-1271.097999999736</v>
      </c>
    </row>
    <row r="576" spans="1:78" ht="15.75" customHeight="1">
      <c r="A576" s="221" t="s">
        <v>2380</v>
      </c>
      <c r="B576" s="200">
        <v>45057</v>
      </c>
      <c r="C576" s="178" t="s">
        <v>1714</v>
      </c>
      <c r="D576" s="178" t="s">
        <v>93</v>
      </c>
      <c r="E576" s="227" t="s">
        <v>2536</v>
      </c>
      <c r="F576" s="180" t="s">
        <v>2537</v>
      </c>
      <c r="G576" s="181"/>
      <c r="H576" s="182"/>
      <c r="I576" s="182"/>
      <c r="J576" s="182"/>
      <c r="K576" s="183"/>
      <c r="L576" s="182"/>
      <c r="M576" s="182"/>
      <c r="N576" s="182"/>
      <c r="O576" s="183"/>
      <c r="P576" s="183"/>
      <c r="Q576" s="183"/>
      <c r="R576" s="183"/>
      <c r="S576" s="183"/>
      <c r="T576" s="183"/>
      <c r="U576" s="183"/>
      <c r="V576" s="183"/>
      <c r="W576" s="183"/>
      <c r="X576" s="183"/>
      <c r="Y576" s="184" t="str">
        <f t="shared" si="218"/>
        <v/>
      </c>
      <c r="Z576" s="185" t="str">
        <f t="shared" si="215"/>
        <v/>
      </c>
      <c r="AA576" s="185"/>
      <c r="AB576" s="185"/>
      <c r="AC576" s="185"/>
      <c r="AD576" s="649"/>
      <c r="AE576" s="182"/>
      <c r="AF576" s="332"/>
      <c r="AG576" s="182"/>
      <c r="AH576" s="182"/>
      <c r="AI576" s="182"/>
      <c r="AJ576" s="640"/>
      <c r="AK576" s="182"/>
      <c r="AL576" s="496"/>
      <c r="AM576" s="496"/>
      <c r="AN576" s="626"/>
      <c r="AO576" s="182"/>
      <c r="AP576" s="182"/>
      <c r="AQ576" s="332" t="str">
        <f>UPPER(RIGHT(Journal_Live[[#This Row],[DURATION ]]))</f>
        <v/>
      </c>
      <c r="AR576" s="182"/>
      <c r="AS576" s="189"/>
      <c r="AT576" s="189"/>
      <c r="AU576" s="187"/>
      <c r="AV576" s="190"/>
      <c r="AW576" s="191"/>
      <c r="AX576" s="409" t="s">
        <v>2538</v>
      </c>
      <c r="AY576" s="409" t="s">
        <v>2539</v>
      </c>
      <c r="AZ576" s="409" t="s">
        <v>2540</v>
      </c>
      <c r="BA576" s="409" t="s">
        <v>2541</v>
      </c>
      <c r="BB576" s="407" t="s">
        <v>2542</v>
      </c>
      <c r="BC576" s="407"/>
      <c r="BD576" s="407"/>
      <c r="BE576" s="407"/>
      <c r="BF576" s="422"/>
      <c r="BG576" s="391">
        <f>SUM($AV$4:AV576)</f>
        <v>3116.5974761904713</v>
      </c>
      <c r="BH576" s="392">
        <f>SUM($AU$134:AU576)</f>
        <v>3955.0819999999399</v>
      </c>
      <c r="BI576" s="318">
        <f>SUMIFS($AU$134:AU577,$Q$134:Q577,"F")</f>
        <v>-1510.8000000000002</v>
      </c>
      <c r="BJ576" s="318">
        <f>SUMIFS($AU$134:AU577,$Q$134:Q577,"S")</f>
        <v>5716.4419999999964</v>
      </c>
      <c r="BK576" s="343">
        <f>SUMIFS($AU$134:AU577,$P$134:P577,"W")</f>
        <v>5035.7419999999347</v>
      </c>
      <c r="BL576" s="343">
        <f>SUMIFS($AU$134:AU577,$P$134:P577,"R")</f>
        <v>-1008.659999999998</v>
      </c>
      <c r="BM576" s="343">
        <f>SUMIFS($AU$134:AU577,$AQ$134:AQ577,"M")</f>
        <v>1901.3999999999721</v>
      </c>
      <c r="BN576" s="343">
        <f>SUMIFS($AU$134:AU577,$AQ$134:AQ577,"H")</f>
        <v>2212.2520000000154</v>
      </c>
      <c r="BO576" s="343">
        <f>SUMIFS($AU$134:AU577,$AQ$134:AQ577,"D")</f>
        <v>-6.3100000000002723</v>
      </c>
      <c r="BP576" s="343">
        <f>SUMIFS($AU$134:AU579,$AQ$134:AQ579,"W")</f>
        <v>-1110.7</v>
      </c>
      <c r="BQ576" s="343">
        <f>SUMIFS($AU$134:AU577,$Q$134:Q577,"O")</f>
        <v>-377.76000000006229</v>
      </c>
      <c r="BR576" s="343">
        <f>SUMIFS($AU$134:AU577,$AA$134:AA577,"*")</f>
        <v>5828.1419999999625</v>
      </c>
      <c r="BS576" s="343">
        <f>SUMIFS($AU$134:AU577,$AB$134:AB577,"*")</f>
        <v>901.43999999997629</v>
      </c>
      <c r="BT576" s="343">
        <f>SUMIFS($AU$134:AU577,$AC$134:AC577,"*")</f>
        <v>554.349999999999</v>
      </c>
      <c r="BU576" s="343">
        <f>SUMIFS($AU$134:AU577,$AA$134:AA577,"*",$AB$134:AB577,"*")</f>
        <v>42.00000000000513</v>
      </c>
      <c r="BV576" s="343">
        <f>SUMIFS($AU$134:AU577,$AA$134:AA577,"*",$AC$134:AC577,"*")</f>
        <v>2031.4499999999996</v>
      </c>
      <c r="BW576" s="343">
        <f>SUMIFS($AU$134:AU577,$AB$134:AB577,"*",$AC$134:AC577,"*")</f>
        <v>1966.6</v>
      </c>
      <c r="BX576" s="343">
        <f>SUMIFS($AU577:AU$1388,$Q577:Q$1388,"F")</f>
        <v>15951.466666666667</v>
      </c>
      <c r="BY576" s="343">
        <f>SUMIFS($AU577:AU$1388,$Q577:Q$1388,"S")</f>
        <v>14955.2</v>
      </c>
      <c r="BZ576" s="343">
        <f>SUMIFS($AU577:AU$1388,$Q577:Q$1388,"O")</f>
        <v>-1271.097999999736</v>
      </c>
    </row>
    <row r="577" spans="1:78" ht="15.75" customHeight="1">
      <c r="A577" s="221" t="s">
        <v>2380</v>
      </c>
      <c r="B577" s="200"/>
      <c r="C577" s="178"/>
      <c r="D577" s="178"/>
      <c r="E577" s="227"/>
      <c r="F577" s="180"/>
      <c r="G577" s="181"/>
      <c r="H577" s="182"/>
      <c r="I577" s="182"/>
      <c r="J577" s="182"/>
      <c r="K577" s="183"/>
      <c r="L577" s="182"/>
      <c r="M577" s="182"/>
      <c r="N577" s="182"/>
      <c r="O577" s="183"/>
      <c r="P577" s="183"/>
      <c r="Q577" s="183"/>
      <c r="R577" s="183"/>
      <c r="S577" s="183"/>
      <c r="T577" s="183"/>
      <c r="U577" s="183"/>
      <c r="V577" s="183"/>
      <c r="W577" s="183"/>
      <c r="X577" s="183"/>
      <c r="Y577" s="184" t="str">
        <f t="shared" si="218"/>
        <v/>
      </c>
      <c r="Z577" s="185" t="str">
        <f t="shared" si="215"/>
        <v/>
      </c>
      <c r="AA577" s="185"/>
      <c r="AB577" s="185"/>
      <c r="AC577" s="185"/>
      <c r="AD577" s="649"/>
      <c r="AE577" s="182"/>
      <c r="AF577" s="332"/>
      <c r="AG577" s="182"/>
      <c r="AH577" s="182"/>
      <c r="AI577" s="182"/>
      <c r="AJ577" s="640"/>
      <c r="AK577" s="182"/>
      <c r="AL577" s="496"/>
      <c r="AM577" s="496"/>
      <c r="AN577" s="626"/>
      <c r="AO577" s="182"/>
      <c r="AP577" s="182"/>
      <c r="AQ577" s="332" t="str">
        <f>UPPER(RIGHT(Journal_Live[[#This Row],[DURATION ]]))</f>
        <v/>
      </c>
      <c r="AR577" s="182"/>
      <c r="AS577" s="189"/>
      <c r="AT577" s="189"/>
      <c r="AU577" s="187"/>
      <c r="AV577" s="190"/>
      <c r="AW577" s="191"/>
      <c r="AX577" s="407" t="s">
        <v>2543</v>
      </c>
      <c r="AY577" s="407" t="s">
        <v>2544</v>
      </c>
      <c r="AZ577" s="407" t="s">
        <v>529</v>
      </c>
      <c r="BA577" s="419"/>
      <c r="BB577" s="407"/>
      <c r="BC577" s="407"/>
      <c r="BD577" s="407"/>
      <c r="BE577" s="407"/>
      <c r="BF577" s="422"/>
      <c r="BG577" s="391">
        <f>SUM($AV$4:AV577)</f>
        <v>3116.5974761904713</v>
      </c>
      <c r="BH577" s="392">
        <f>SUM($AU$134:AU577)</f>
        <v>3955.0819999999399</v>
      </c>
      <c r="BI577" s="318">
        <f>SUMIFS($AU$134:AU578,$Q$134:Q578,"F")</f>
        <v>-1510.8000000000002</v>
      </c>
      <c r="BJ577" s="318">
        <f>SUMIFS($AU$134:AU578,$Q$134:Q578,"S")</f>
        <v>5716.4419999999964</v>
      </c>
      <c r="BK577" s="343">
        <f>SUMIFS($AU$134:AU578,$P$134:P578,"W")</f>
        <v>5035.7419999999347</v>
      </c>
      <c r="BL577" s="343">
        <f>SUMIFS($AU$134:AU578,$P$134:P578,"R")</f>
        <v>-1008.659999999998</v>
      </c>
      <c r="BM577" s="343">
        <f>SUMIFS($AU$134:AU578,$AQ$134:AQ578,"M")</f>
        <v>1901.3999999999721</v>
      </c>
      <c r="BN577" s="343">
        <f>SUMIFS($AU$134:AU578,$AQ$134:AQ578,"H")</f>
        <v>2236.2520000000154</v>
      </c>
      <c r="BO577" s="343">
        <f>SUMIFS($AU$134:AU578,$AQ$134:AQ578,"D")</f>
        <v>-6.3100000000002723</v>
      </c>
      <c r="BP577" s="343">
        <f>SUMIFS($AU$134:AU580,$AQ$134:AQ580,"W")</f>
        <v>-1110.7</v>
      </c>
      <c r="BQ577" s="343">
        <f>SUMIFS($AU$134:AU578,$Q$134:Q578,"O")</f>
        <v>-377.76000000006229</v>
      </c>
      <c r="BR577" s="343">
        <f>SUMIFS($AU$134:AU578,$AA$134:AA578,"*")</f>
        <v>5852.1419999999625</v>
      </c>
      <c r="BS577" s="343">
        <f>SUMIFS($AU$134:AU578,$AB$134:AB578,"*")</f>
        <v>925.43999999997629</v>
      </c>
      <c r="BT577" s="343">
        <f>SUMIFS($AU$134:AU578,$AC$134:AC578,"*")</f>
        <v>554.349999999999</v>
      </c>
      <c r="BU577" s="343">
        <f>SUMIFS($AU$134:AU578,$AA$134:AA578,"*",$AB$134:AB578,"*")</f>
        <v>66.000000000005144</v>
      </c>
      <c r="BV577" s="343">
        <f>SUMIFS($AU$134:AU578,$AA$134:AA578,"*",$AC$134:AC578,"*")</f>
        <v>2031.4499999999996</v>
      </c>
      <c r="BW577" s="343">
        <f>SUMIFS($AU$134:AU578,$AB$134:AB578,"*",$AC$134:AC578,"*")</f>
        <v>1966.6</v>
      </c>
      <c r="BX577" s="343">
        <f>SUMIFS($AU578:AU$1388,$Q578:Q$1388,"F")</f>
        <v>15951.466666666667</v>
      </c>
      <c r="BY577" s="343">
        <f>SUMIFS($AU578:AU$1388,$Q578:Q$1388,"S")</f>
        <v>14955.2</v>
      </c>
      <c r="BZ577" s="343">
        <f>SUMIFS($AU578:AU$1388,$Q578:Q$1388,"O")</f>
        <v>-1271.097999999736</v>
      </c>
    </row>
    <row r="578" spans="1:78" ht="15.75" customHeight="1">
      <c r="A578" s="221" t="s">
        <v>2380</v>
      </c>
      <c r="B578" s="200">
        <v>45061</v>
      </c>
      <c r="C578" s="178" t="s">
        <v>1377</v>
      </c>
      <c r="D578" s="178" t="s">
        <v>132</v>
      </c>
      <c r="E578" s="227"/>
      <c r="F578" s="180"/>
      <c r="G578" s="281" t="s">
        <v>2545</v>
      </c>
      <c r="H578" s="182"/>
      <c r="I578" s="182"/>
      <c r="J578" s="182"/>
      <c r="K578" s="183"/>
      <c r="L578" s="182">
        <v>1</v>
      </c>
      <c r="M578" s="182">
        <v>1</v>
      </c>
      <c r="N578" s="182"/>
      <c r="O578" s="183" t="s">
        <v>2259</v>
      </c>
      <c r="P578" s="183" t="s">
        <v>2260</v>
      </c>
      <c r="Q578" s="183"/>
      <c r="R578" s="183">
        <v>1</v>
      </c>
      <c r="S578" s="183">
        <v>0</v>
      </c>
      <c r="T578" s="183">
        <v>1</v>
      </c>
      <c r="U578" s="183" t="s">
        <v>22</v>
      </c>
      <c r="V578" s="183"/>
      <c r="W578" s="183"/>
      <c r="X578" s="183"/>
      <c r="Y578" s="184">
        <f t="shared" si="218"/>
        <v>0.01</v>
      </c>
      <c r="Z578" s="185">
        <f t="shared" si="215"/>
        <v>4800</v>
      </c>
      <c r="AA578" s="185" t="s">
        <v>2546</v>
      </c>
      <c r="AB578" s="185" t="s">
        <v>2547</v>
      </c>
      <c r="AC578" s="185"/>
      <c r="AD578" s="649">
        <v>0.31</v>
      </c>
      <c r="AE578" s="182" t="s">
        <v>529</v>
      </c>
      <c r="AF578" s="600" t="s">
        <v>2548</v>
      </c>
      <c r="AG578" s="182" t="s">
        <v>529</v>
      </c>
      <c r="AH578" s="182"/>
      <c r="AI578" s="182"/>
      <c r="AJ578" s="640"/>
      <c r="AK578" s="182"/>
      <c r="AL578" s="496">
        <f>-0.05*Z578</f>
        <v>-240</v>
      </c>
      <c r="AM578" s="496">
        <f>AL578*(R578-S578)</f>
        <v>-240</v>
      </c>
      <c r="AN578" s="626"/>
      <c r="AO578" s="182"/>
      <c r="AP578" s="182" t="s">
        <v>1700</v>
      </c>
      <c r="AQ578" s="332" t="str">
        <f>UPPER(RIGHT(Journal_Live[[#This Row],[DURATION ]]))</f>
        <v>H</v>
      </c>
      <c r="AR578" s="182" t="s">
        <v>2549</v>
      </c>
      <c r="AS578" s="189">
        <v>0.315</v>
      </c>
      <c r="AT578" s="189">
        <f>IF(ISBLANK(AS578),,IF(U578="S",AD578-AS578,AS578-AD578))</f>
        <v>5.0000000000000044E-3</v>
      </c>
      <c r="AU578" s="187">
        <f>AV578*R578</f>
        <v>24.000000000000021</v>
      </c>
      <c r="AV578" s="190">
        <f>IF(ISBLANK(AS578),,(AT578*Z578))</f>
        <v>24.000000000000021</v>
      </c>
      <c r="AW578" s="191" t="s">
        <v>96</v>
      </c>
      <c r="AX578" s="407" t="s">
        <v>2550</v>
      </c>
      <c r="AY578" s="407" t="s">
        <v>2551</v>
      </c>
      <c r="AZ578" s="407" t="s">
        <v>529</v>
      </c>
      <c r="BA578" s="407" t="s">
        <v>1436</v>
      </c>
      <c r="BB578" s="407" t="s">
        <v>2182</v>
      </c>
      <c r="BC578" s="407"/>
      <c r="BD578" s="407"/>
      <c r="BE578" s="407"/>
      <c r="BF578" s="422"/>
      <c r="BG578" s="391">
        <f>SUM($AV$4:AV578)</f>
        <v>3140.5974761904713</v>
      </c>
      <c r="BH578" s="392">
        <f>SUM($AU$134:AU578)</f>
        <v>3979.0819999999399</v>
      </c>
      <c r="BI578" s="318">
        <f>SUMIFS($AU$134:AU579,$Q$134:Q579,"F")</f>
        <v>-1510.8000000000002</v>
      </c>
      <c r="BJ578" s="318">
        <f>SUMIFS($AU$134:AU579,$Q$134:Q579,"S")</f>
        <v>5716.4419999999964</v>
      </c>
      <c r="BK578" s="343">
        <f>SUMIFS($AU$134:AU579,$P$134:P579,"W")</f>
        <v>5035.7419999999347</v>
      </c>
      <c r="BL578" s="343">
        <f>SUMIFS($AU$134:AU579,$P$134:P579,"R")</f>
        <v>-1008.659999999998</v>
      </c>
      <c r="BM578" s="343">
        <f>SUMIFS($AU$134:AU579,$AQ$134:AQ579,"M")</f>
        <v>1901.3999999999721</v>
      </c>
      <c r="BN578" s="343">
        <f>SUMIFS($AU$134:AU579,$AQ$134:AQ579,"H")</f>
        <v>2236.2520000000154</v>
      </c>
      <c r="BO578" s="343">
        <f>SUMIFS($AU$134:AU579,$AQ$134:AQ579,"D")</f>
        <v>-6.3100000000002723</v>
      </c>
      <c r="BP578" s="343">
        <f>SUMIFS($AU$134:AU581,$AQ$134:AQ581,"W")</f>
        <v>-1110.7</v>
      </c>
      <c r="BQ578" s="343">
        <f>SUMIFS($AU$134:AU579,$Q$134:Q579,"O")</f>
        <v>-377.76000000006229</v>
      </c>
      <c r="BR578" s="343">
        <f>SUMIFS($AU$134:AU579,$AA$134:AA579,"*")</f>
        <v>5852.1419999999625</v>
      </c>
      <c r="BS578" s="343">
        <f>SUMIFS($AU$134:AU579,$AB$134:AB579,"*")</f>
        <v>925.43999999997629</v>
      </c>
      <c r="BT578" s="343">
        <f>SUMIFS($AU$134:AU579,$AC$134:AC579,"*")</f>
        <v>554.349999999999</v>
      </c>
      <c r="BU578" s="343">
        <f>SUMIFS($AU$134:AU579,$AA$134:AA579,"*",$AB$134:AB579,"*")</f>
        <v>66.000000000005144</v>
      </c>
      <c r="BV578" s="343">
        <f>SUMIFS($AU$134:AU579,$AA$134:AA579,"*",$AC$134:AC579,"*")</f>
        <v>2031.4499999999996</v>
      </c>
      <c r="BW578" s="343">
        <f>SUMIFS($AU$134:AU579,$AB$134:AB579,"*",$AC$134:AC579,"*")</f>
        <v>1966.6</v>
      </c>
      <c r="BX578" s="343">
        <f>SUMIFS($AU579:AU$1388,$Q579:Q$1388,"F")</f>
        <v>15951.466666666667</v>
      </c>
      <c r="BY578" s="343">
        <f>SUMIFS($AU579:AU$1388,$Q579:Q$1388,"S")</f>
        <v>14955.2</v>
      </c>
      <c r="BZ578" s="343">
        <f>SUMIFS($AU579:AU$1388,$Q579:Q$1388,"O")</f>
        <v>-1271.097999999736</v>
      </c>
    </row>
    <row r="579" spans="1:78" ht="15.75" customHeight="1">
      <c r="A579" s="221" t="s">
        <v>2380</v>
      </c>
      <c r="B579" s="200"/>
      <c r="C579" s="178"/>
      <c r="D579" s="178"/>
      <c r="E579" s="227"/>
      <c r="F579" s="180"/>
      <c r="G579" s="181"/>
      <c r="H579" s="182"/>
      <c r="I579" s="182"/>
      <c r="J579" s="182"/>
      <c r="K579" s="183"/>
      <c r="L579" s="182"/>
      <c r="M579" s="182"/>
      <c r="N579" s="182"/>
      <c r="O579" s="183"/>
      <c r="P579" s="183"/>
      <c r="Q579" s="183"/>
      <c r="R579" s="183"/>
      <c r="S579" s="183"/>
      <c r="T579" s="183"/>
      <c r="U579" s="183"/>
      <c r="V579" s="183"/>
      <c r="W579" s="183"/>
      <c r="X579" s="183"/>
      <c r="Y579" s="184" t="str">
        <f t="shared" si="218"/>
        <v/>
      </c>
      <c r="Z579" s="185" t="str">
        <f t="shared" si="215"/>
        <v/>
      </c>
      <c r="AA579" s="185"/>
      <c r="AB579" s="185"/>
      <c r="AC579" s="185"/>
      <c r="AD579" s="649"/>
      <c r="AE579" s="182"/>
      <c r="AF579" s="332"/>
      <c r="AG579" s="182"/>
      <c r="AH579" s="182"/>
      <c r="AI579" s="182"/>
      <c r="AJ579" s="640"/>
      <c r="AK579" s="182"/>
      <c r="AL579" s="496"/>
      <c r="AM579" s="496"/>
      <c r="AN579" s="626"/>
      <c r="AO579" s="182"/>
      <c r="AP579" s="182"/>
      <c r="AQ579" s="332" t="str">
        <f>UPPER(RIGHT(Journal_Live[[#This Row],[DURATION ]]))</f>
        <v/>
      </c>
      <c r="AR579" s="182"/>
      <c r="AS579" s="189"/>
      <c r="AT579" s="189"/>
      <c r="AU579" s="187"/>
      <c r="AV579" s="190"/>
      <c r="AW579" s="191"/>
      <c r="AX579" s="415" t="s">
        <v>670</v>
      </c>
      <c r="AY579" s="407" t="s">
        <v>2552</v>
      </c>
      <c r="AZ579" s="407" t="s">
        <v>2553</v>
      </c>
      <c r="BA579" s="419" t="s">
        <v>2554</v>
      </c>
      <c r="BB579" s="407"/>
      <c r="BC579" s="407"/>
      <c r="BD579" s="407" t="s">
        <v>2555</v>
      </c>
      <c r="BE579" s="407"/>
      <c r="BF579" s="422"/>
      <c r="BG579" s="391">
        <f>SUM($AV$4:AV579)</f>
        <v>3140.5974761904713</v>
      </c>
      <c r="BH579" s="392">
        <f>SUM($AU$134:AU579)</f>
        <v>3979.0819999999399</v>
      </c>
      <c r="BI579" s="318">
        <f>SUMIFS($AU$134:AU580,$Q$134:Q580,"F")</f>
        <v>-1510.8000000000002</v>
      </c>
      <c r="BJ579" s="318">
        <f>SUMIFS($AU$134:AU580,$Q$134:Q580,"S")</f>
        <v>5716.4419999999964</v>
      </c>
      <c r="BK579" s="343">
        <f>SUMIFS($AU$134:AU580,$P$134:P580,"W")</f>
        <v>5035.7419999999347</v>
      </c>
      <c r="BL579" s="343">
        <f>SUMIFS($AU$134:AU580,$P$134:P580,"R")</f>
        <v>-1008.659999999998</v>
      </c>
      <c r="BM579" s="343">
        <f>SUMIFS($AU$134:AU580,$AQ$134:AQ580,"M")</f>
        <v>1901.3999999999721</v>
      </c>
      <c r="BN579" s="343">
        <f>SUMIFS($AU$134:AU580,$AQ$134:AQ580,"H")</f>
        <v>2236.2520000000154</v>
      </c>
      <c r="BO579" s="343">
        <f>SUMIFS($AU$134:AU580,$AQ$134:AQ580,"D")</f>
        <v>-6.3100000000002723</v>
      </c>
      <c r="BP579" s="343">
        <f>SUMIFS($AU$134:AU582,$AQ$134:AQ582,"W")</f>
        <v>-1110.7</v>
      </c>
      <c r="BQ579" s="343">
        <f>SUMIFS($AU$134:AU580,$Q$134:Q580,"O")</f>
        <v>-377.76000000006229</v>
      </c>
      <c r="BR579" s="343">
        <f>SUMIFS($AU$134:AU580,$AA$134:AA580,"*")</f>
        <v>5852.1419999999625</v>
      </c>
      <c r="BS579" s="343">
        <f>SUMIFS($AU$134:AU580,$AB$134:AB580,"*")</f>
        <v>925.43999999997629</v>
      </c>
      <c r="BT579" s="343">
        <f>SUMIFS($AU$134:AU580,$AC$134:AC580,"*")</f>
        <v>554.349999999999</v>
      </c>
      <c r="BU579" s="343">
        <f>SUMIFS($AU$134:AU580,$AA$134:AA580,"*",$AB$134:AB580,"*")</f>
        <v>66.000000000005144</v>
      </c>
      <c r="BV579" s="343">
        <f>SUMIFS($AU$134:AU580,$AA$134:AA580,"*",$AC$134:AC580,"*")</f>
        <v>2031.4499999999996</v>
      </c>
      <c r="BW579" s="343">
        <f>SUMIFS($AU$134:AU580,$AB$134:AB580,"*",$AC$134:AC580,"*")</f>
        <v>1966.6</v>
      </c>
      <c r="BX579" s="343">
        <f>SUMIFS($AU580:AU$1388,$Q580:Q$1388,"F")</f>
        <v>15951.466666666667</v>
      </c>
      <c r="BY579" s="343">
        <f>SUMIFS($AU580:AU$1388,$Q580:Q$1388,"S")</f>
        <v>14955.2</v>
      </c>
      <c r="BZ579" s="343">
        <f>SUMIFS($AU580:AU$1388,$Q580:Q$1388,"O")</f>
        <v>-1271.097999999736</v>
      </c>
    </row>
    <row r="580" spans="1:78" ht="15.75" customHeight="1">
      <c r="A580" s="221" t="s">
        <v>2380</v>
      </c>
      <c r="B580" s="200">
        <v>45062</v>
      </c>
      <c r="C580" s="178" t="s">
        <v>1714</v>
      </c>
      <c r="D580" s="178" t="s">
        <v>146</v>
      </c>
      <c r="E580" s="227" t="s">
        <v>2556</v>
      </c>
      <c r="F580" s="180" t="s">
        <v>2557</v>
      </c>
      <c r="G580" s="181"/>
      <c r="H580" s="182"/>
      <c r="I580" s="182">
        <v>1</v>
      </c>
      <c r="J580" s="182"/>
      <c r="K580" s="183"/>
      <c r="L580" s="182"/>
      <c r="M580" s="182"/>
      <c r="N580" s="182"/>
      <c r="O580" s="183"/>
      <c r="P580" s="183"/>
      <c r="Q580" s="183"/>
      <c r="R580" s="183"/>
      <c r="S580" s="183"/>
      <c r="T580" s="183"/>
      <c r="U580" s="183"/>
      <c r="V580" s="183"/>
      <c r="W580" s="183"/>
      <c r="X580" s="183"/>
      <c r="Y580" s="184" t="str">
        <f t="shared" si="218"/>
        <v/>
      </c>
      <c r="Z580" s="185" t="str">
        <f t="shared" si="215"/>
        <v/>
      </c>
      <c r="AA580" s="185"/>
      <c r="AB580" s="185"/>
      <c r="AC580" s="185"/>
      <c r="AD580" s="649"/>
      <c r="AE580" s="182"/>
      <c r="AF580" s="332"/>
      <c r="AG580" s="182"/>
      <c r="AH580" s="182"/>
      <c r="AI580" s="182"/>
      <c r="AJ580" s="640"/>
      <c r="AK580" s="182"/>
      <c r="AL580" s="496"/>
      <c r="AM580" s="496"/>
      <c r="AN580" s="626"/>
      <c r="AO580" s="182"/>
      <c r="AP580" s="182"/>
      <c r="AQ580" s="332" t="str">
        <f>UPPER(RIGHT(Journal_Live[[#This Row],[DURATION ]]))</f>
        <v/>
      </c>
      <c r="AR580" s="182"/>
      <c r="AS580" s="189"/>
      <c r="AT580" s="189"/>
      <c r="AU580" s="187"/>
      <c r="AV580" s="190"/>
      <c r="AW580" s="191"/>
      <c r="AX580" s="407" t="s">
        <v>2558</v>
      </c>
      <c r="AY580" s="407" t="s">
        <v>2559</v>
      </c>
      <c r="AZ580" s="407" t="s">
        <v>2560</v>
      </c>
      <c r="BA580" s="419" t="s">
        <v>529</v>
      </c>
      <c r="BB580" s="407"/>
      <c r="BC580" s="407"/>
      <c r="BD580" s="407"/>
      <c r="BE580" s="407"/>
      <c r="BF580" s="422"/>
      <c r="BG580" s="391">
        <f>SUM($AV$4:AV580)</f>
        <v>3140.5974761904713</v>
      </c>
      <c r="BH580" s="392">
        <f>SUM($AU$134:AU580)</f>
        <v>3979.0819999999399</v>
      </c>
      <c r="BI580" s="318">
        <f>SUMIFS($AU$134:AU581,$Q$134:Q581,"F")</f>
        <v>-1510.8000000000002</v>
      </c>
      <c r="BJ580" s="318">
        <f>SUMIFS($AU$134:AU581,$Q$134:Q581,"S")</f>
        <v>5716.4419999999964</v>
      </c>
      <c r="BK580" s="343">
        <f>SUMIFS($AU$134:AU581,$P$134:P581,"W")</f>
        <v>5035.7419999999347</v>
      </c>
      <c r="BL580" s="343">
        <f>SUMIFS($AU$134:AU581,$P$134:P581,"R")</f>
        <v>-1008.659999999998</v>
      </c>
      <c r="BM580" s="343">
        <f>SUMIFS($AU$134:AU581,$AQ$134:AQ581,"M")</f>
        <v>1901.3999999999721</v>
      </c>
      <c r="BN580" s="343">
        <f>SUMIFS($AU$134:AU581,$AQ$134:AQ581,"H")</f>
        <v>2236.2520000000154</v>
      </c>
      <c r="BO580" s="343">
        <f>SUMIFS($AU$134:AU581,$AQ$134:AQ581,"D")</f>
        <v>-6.3100000000002723</v>
      </c>
      <c r="BP580" s="343">
        <f>SUMIFS($AU$134:AU583,$AQ$134:AQ583,"W")</f>
        <v>-1110.7</v>
      </c>
      <c r="BQ580" s="343">
        <f>SUMIFS($AU$134:AU581,$Q$134:Q581,"O")</f>
        <v>-377.76000000006229</v>
      </c>
      <c r="BR580" s="343">
        <f>SUMIFS($AU$134:AU581,$AA$134:AA581,"*")</f>
        <v>5852.1419999999625</v>
      </c>
      <c r="BS580" s="343">
        <f>SUMIFS($AU$134:AU581,$AB$134:AB581,"*")</f>
        <v>925.43999999997629</v>
      </c>
      <c r="BT580" s="343">
        <f>SUMIFS($AU$134:AU581,$AC$134:AC581,"*")</f>
        <v>554.349999999999</v>
      </c>
      <c r="BU580" s="343">
        <f>SUMIFS($AU$134:AU581,$AA$134:AA581,"*",$AB$134:AB581,"*")</f>
        <v>66.000000000005144</v>
      </c>
      <c r="BV580" s="343">
        <f>SUMIFS($AU$134:AU581,$AA$134:AA581,"*",$AC$134:AC581,"*")</f>
        <v>2031.4499999999996</v>
      </c>
      <c r="BW580" s="343">
        <f>SUMIFS($AU$134:AU581,$AB$134:AB581,"*",$AC$134:AC581,"*")</f>
        <v>1966.6</v>
      </c>
      <c r="BX580" s="343">
        <f>SUMIFS($AU581:AU$1388,$Q581:Q$1388,"F")</f>
        <v>15951.466666666667</v>
      </c>
      <c r="BY580" s="343">
        <f>SUMIFS($AU581:AU$1388,$Q581:Q$1388,"S")</f>
        <v>14955.2</v>
      </c>
      <c r="BZ580" s="343">
        <f>SUMIFS($AU581:AU$1388,$Q581:Q$1388,"O")</f>
        <v>-1271.097999999736</v>
      </c>
    </row>
    <row r="581" spans="1:78" ht="15.75" customHeight="1">
      <c r="A581" s="221" t="s">
        <v>2380</v>
      </c>
      <c r="B581" s="200"/>
      <c r="C581" s="178"/>
      <c r="D581" s="178"/>
      <c r="E581" s="227" t="s">
        <v>2561</v>
      </c>
      <c r="F581" s="180"/>
      <c r="G581" s="181"/>
      <c r="H581" s="182"/>
      <c r="I581" s="182"/>
      <c r="J581" s="182">
        <v>1</v>
      </c>
      <c r="K581" s="183" t="s">
        <v>115</v>
      </c>
      <c r="L581" s="182"/>
      <c r="M581" s="182"/>
      <c r="N581" s="182"/>
      <c r="O581" s="183"/>
      <c r="P581" s="183"/>
      <c r="Q581" s="183"/>
      <c r="R581" s="183"/>
      <c r="S581" s="183"/>
      <c r="T581" s="183"/>
      <c r="U581" s="183"/>
      <c r="V581" s="183"/>
      <c r="W581" s="183"/>
      <c r="X581" s="183"/>
      <c r="Y581" s="184" t="str">
        <f t="shared" si="218"/>
        <v/>
      </c>
      <c r="Z581" s="185" t="str">
        <f t="shared" si="215"/>
        <v/>
      </c>
      <c r="AA581" s="185"/>
      <c r="AB581" s="185"/>
      <c r="AC581" s="185"/>
      <c r="AD581" s="649"/>
      <c r="AE581" s="182"/>
      <c r="AF581" s="332"/>
      <c r="AG581" s="182"/>
      <c r="AH581" s="182"/>
      <c r="AI581" s="182"/>
      <c r="AJ581" s="640"/>
      <c r="AK581" s="182"/>
      <c r="AL581" s="496"/>
      <c r="AM581" s="496"/>
      <c r="AN581" s="626"/>
      <c r="AO581" s="182"/>
      <c r="AP581" s="182"/>
      <c r="AQ581" s="332" t="str">
        <f>UPPER(RIGHT(Journal_Live[[#This Row],[DURATION ]]))</f>
        <v/>
      </c>
      <c r="AR581" s="182"/>
      <c r="AS581" s="189"/>
      <c r="AT581" s="189"/>
      <c r="AU581" s="187"/>
      <c r="AV581" s="190"/>
      <c r="AW581" s="191"/>
      <c r="AX581" s="407"/>
      <c r="AY581" s="407"/>
      <c r="AZ581" s="407"/>
      <c r="BA581" s="419"/>
      <c r="BB581" s="407"/>
      <c r="BC581" s="407"/>
      <c r="BD581" s="407"/>
      <c r="BE581" s="407"/>
      <c r="BF581" s="422"/>
      <c r="BG581" s="391">
        <f>SUM($AV$4:AV581)</f>
        <v>3140.5974761904713</v>
      </c>
      <c r="BH581" s="392">
        <f>SUM($AU$134:AU581)</f>
        <v>3979.0819999999399</v>
      </c>
      <c r="BI581" s="318">
        <f>SUMIFS($AU$134:AU582,$Q$134:Q582,"F")</f>
        <v>-1510.8000000000002</v>
      </c>
      <c r="BJ581" s="318">
        <f>SUMIFS($AU$134:AU582,$Q$134:Q582,"S")</f>
        <v>5716.4419999999964</v>
      </c>
      <c r="BK581" s="343">
        <f>SUMIFS($AU$134:AU582,$P$134:P582,"W")</f>
        <v>5035.7419999999347</v>
      </c>
      <c r="BL581" s="343">
        <f>SUMIFS($AU$134:AU582,$P$134:P582,"R")</f>
        <v>-1008.659999999998</v>
      </c>
      <c r="BM581" s="343">
        <f>SUMIFS($AU$134:AU582,$AQ$134:AQ582,"M")</f>
        <v>1901.3999999999721</v>
      </c>
      <c r="BN581" s="343">
        <f>SUMIFS($AU$134:AU582,$AQ$134:AQ582,"H")</f>
        <v>2236.2520000000154</v>
      </c>
      <c r="BO581" s="343">
        <f>SUMIFS($AU$134:AU582,$AQ$134:AQ582,"D")</f>
        <v>-6.3100000000002723</v>
      </c>
      <c r="BP581" s="343">
        <f>SUMIFS($AU$134:AU584,$AQ$134:AQ584,"W")</f>
        <v>-1110.7</v>
      </c>
      <c r="BQ581" s="343">
        <f>SUMIFS($AU$134:AU582,$Q$134:Q582,"O")</f>
        <v>-377.76000000006229</v>
      </c>
      <c r="BR581" s="343">
        <f>SUMIFS($AU$134:AU582,$AA$134:AA582,"*")</f>
        <v>5852.1419999999625</v>
      </c>
      <c r="BS581" s="343">
        <f>SUMIFS($AU$134:AU582,$AB$134:AB582,"*")</f>
        <v>925.43999999997629</v>
      </c>
      <c r="BT581" s="343">
        <f>SUMIFS($AU$134:AU582,$AC$134:AC582,"*")</f>
        <v>554.349999999999</v>
      </c>
      <c r="BU581" s="343">
        <f>SUMIFS($AU$134:AU582,$AA$134:AA582,"*",$AB$134:AB582,"*")</f>
        <v>66.000000000005144</v>
      </c>
      <c r="BV581" s="343">
        <f>SUMIFS($AU$134:AU582,$AA$134:AA582,"*",$AC$134:AC582,"*")</f>
        <v>2031.4499999999996</v>
      </c>
      <c r="BW581" s="343">
        <f>SUMIFS($AU$134:AU582,$AB$134:AB582,"*",$AC$134:AC582,"*")</f>
        <v>1966.6</v>
      </c>
      <c r="BX581" s="343">
        <f>SUMIFS($AU582:AU$1388,$Q582:Q$1388,"F")</f>
        <v>15951.466666666667</v>
      </c>
      <c r="BY581" s="343">
        <f>SUMIFS($AU582:AU$1388,$Q582:Q$1388,"S")</f>
        <v>14955.2</v>
      </c>
      <c r="BZ581" s="343">
        <f>SUMIFS($AU582:AU$1388,$Q582:Q$1388,"O")</f>
        <v>-1271.097999999736</v>
      </c>
    </row>
    <row r="582" spans="1:78" ht="15.75" customHeight="1">
      <c r="A582" s="221" t="s">
        <v>2380</v>
      </c>
      <c r="B582" s="200">
        <v>45063</v>
      </c>
      <c r="C582" s="178" t="s">
        <v>2081</v>
      </c>
      <c r="D582" s="178" t="s">
        <v>151</v>
      </c>
      <c r="E582" s="227" t="s">
        <v>2562</v>
      </c>
      <c r="F582" s="180"/>
      <c r="G582" s="181"/>
      <c r="H582" s="182"/>
      <c r="I582" s="182"/>
      <c r="J582" s="182">
        <v>1</v>
      </c>
      <c r="K582" s="183" t="s">
        <v>115</v>
      </c>
      <c r="L582" s="182"/>
      <c r="M582" s="182"/>
      <c r="N582" s="182"/>
      <c r="O582" s="183"/>
      <c r="P582" s="183"/>
      <c r="Q582" s="183"/>
      <c r="R582" s="183"/>
      <c r="S582" s="183"/>
      <c r="T582" s="183"/>
      <c r="U582" s="183"/>
      <c r="V582" s="183"/>
      <c r="W582" s="183"/>
      <c r="X582" s="183"/>
      <c r="Y582" s="184" t="str">
        <f t="shared" si="218"/>
        <v/>
      </c>
      <c r="Z582" s="185" t="str">
        <f t="shared" si="215"/>
        <v/>
      </c>
      <c r="AA582" s="185"/>
      <c r="AB582" s="185"/>
      <c r="AC582" s="185"/>
      <c r="AD582" s="649"/>
      <c r="AE582" s="182"/>
      <c r="AF582" s="332"/>
      <c r="AG582" s="182"/>
      <c r="AH582" s="182"/>
      <c r="AI582" s="182"/>
      <c r="AJ582" s="640"/>
      <c r="AK582" s="182"/>
      <c r="AL582" s="496"/>
      <c r="AM582" s="496"/>
      <c r="AN582" s="626"/>
      <c r="AO582" s="182"/>
      <c r="AP582" s="182"/>
      <c r="AQ582" s="332" t="str">
        <f>UPPER(RIGHT(Journal_Live[[#This Row],[DURATION ]]))</f>
        <v/>
      </c>
      <c r="AR582" s="182"/>
      <c r="AS582" s="189"/>
      <c r="AT582" s="189"/>
      <c r="AU582" s="187"/>
      <c r="AV582" s="190"/>
      <c r="AW582" s="191"/>
      <c r="AX582" s="407"/>
      <c r="AY582" s="407"/>
      <c r="AZ582" s="407"/>
      <c r="BA582" s="419"/>
      <c r="BB582" s="407"/>
      <c r="BC582" s="407"/>
      <c r="BD582" s="407"/>
      <c r="BE582" s="407"/>
      <c r="BF582" s="422"/>
      <c r="BG582" s="391">
        <f>SUM($AV$4:AV582)</f>
        <v>3140.5974761904713</v>
      </c>
      <c r="BH582" s="392">
        <f>SUM($AU$134:AU582)</f>
        <v>3979.0819999999399</v>
      </c>
      <c r="BI582" s="318">
        <f>SUMIFS($AU$134:AU583,$Q$134:Q583,"F")</f>
        <v>-1510.8000000000002</v>
      </c>
      <c r="BJ582" s="318">
        <f>SUMIFS($AU$134:AU583,$Q$134:Q583,"S")</f>
        <v>5716.4419999999964</v>
      </c>
      <c r="BK582" s="343">
        <f>SUMIFS($AU$134:AU583,$P$134:P583,"W")</f>
        <v>5035.7419999999347</v>
      </c>
      <c r="BL582" s="343">
        <f>SUMIFS($AU$134:AU583,$P$134:P583,"R")</f>
        <v>-1008.659999999998</v>
      </c>
      <c r="BM582" s="343">
        <f>SUMIFS($AU$134:AU583,$AQ$134:AQ583,"M")</f>
        <v>1901.3999999999721</v>
      </c>
      <c r="BN582" s="343">
        <f>SUMIFS($AU$134:AU583,$AQ$134:AQ583,"H")</f>
        <v>2236.2520000000154</v>
      </c>
      <c r="BO582" s="343">
        <f>SUMIFS($AU$134:AU583,$AQ$134:AQ583,"D")</f>
        <v>-6.3100000000002723</v>
      </c>
      <c r="BP582" s="343">
        <f>SUMIFS($AU$134:AU585,$AQ$134:AQ585,"W")</f>
        <v>-1110.7</v>
      </c>
      <c r="BQ582" s="343">
        <f>SUMIFS($AU$134:AU583,$Q$134:Q583,"O")</f>
        <v>-377.76000000006229</v>
      </c>
      <c r="BR582" s="343">
        <f>SUMIFS($AU$134:AU583,$AA$134:AA583,"*")</f>
        <v>5852.1419999999625</v>
      </c>
      <c r="BS582" s="343">
        <f>SUMIFS($AU$134:AU583,$AB$134:AB583,"*")</f>
        <v>925.43999999997629</v>
      </c>
      <c r="BT582" s="343">
        <f>SUMIFS($AU$134:AU583,$AC$134:AC583,"*")</f>
        <v>554.349999999999</v>
      </c>
      <c r="BU582" s="343">
        <f>SUMIFS($AU$134:AU583,$AA$134:AA583,"*",$AB$134:AB583,"*")</f>
        <v>66.000000000005144</v>
      </c>
      <c r="BV582" s="343">
        <f>SUMIFS($AU$134:AU583,$AA$134:AA583,"*",$AC$134:AC583,"*")</f>
        <v>2031.4499999999996</v>
      </c>
      <c r="BW582" s="343">
        <f>SUMIFS($AU$134:AU583,$AB$134:AB583,"*",$AC$134:AC583,"*")</f>
        <v>1966.6</v>
      </c>
      <c r="BX582" s="343">
        <f>SUMIFS($AU583:AU$1388,$Q583:Q$1388,"F")</f>
        <v>15951.466666666667</v>
      </c>
      <c r="BY582" s="343">
        <f>SUMIFS($AU583:AU$1388,$Q583:Q$1388,"S")</f>
        <v>14955.2</v>
      </c>
      <c r="BZ582" s="343">
        <f>SUMIFS($AU583:AU$1388,$Q583:Q$1388,"O")</f>
        <v>-1271.097999999736</v>
      </c>
    </row>
    <row r="583" spans="1:78" ht="15.75" customHeight="1">
      <c r="A583" s="221" t="s">
        <v>2380</v>
      </c>
      <c r="B583" s="200">
        <v>45063</v>
      </c>
      <c r="C583" s="178" t="s">
        <v>682</v>
      </c>
      <c r="D583" s="178" t="s">
        <v>151</v>
      </c>
      <c r="E583" s="227"/>
      <c r="F583" s="180"/>
      <c r="G583" s="281" t="s">
        <v>94</v>
      </c>
      <c r="H583" s="182"/>
      <c r="I583" s="182"/>
      <c r="J583" s="182"/>
      <c r="K583" s="183"/>
      <c r="L583" s="182">
        <v>1</v>
      </c>
      <c r="M583" s="182"/>
      <c r="N583" s="182"/>
      <c r="O583" s="183" t="s">
        <v>95</v>
      </c>
      <c r="P583" s="183" t="s">
        <v>96</v>
      </c>
      <c r="Q583" s="183" t="s">
        <v>97</v>
      </c>
      <c r="R583" s="183">
        <v>6</v>
      </c>
      <c r="S583" s="183">
        <v>0</v>
      </c>
      <c r="T583" s="183">
        <v>6</v>
      </c>
      <c r="U583" s="183" t="s">
        <v>97</v>
      </c>
      <c r="V583" s="183"/>
      <c r="W583" s="183"/>
      <c r="X583" s="183"/>
      <c r="Y583" s="184">
        <f t="shared" si="218"/>
        <v>0.01</v>
      </c>
      <c r="Z583" s="185">
        <f t="shared" si="215"/>
        <v>1600</v>
      </c>
      <c r="AA583" s="185" t="s">
        <v>2563</v>
      </c>
      <c r="AB583" s="185"/>
      <c r="AC583" s="185"/>
      <c r="AD583" s="649">
        <v>-0.08</v>
      </c>
      <c r="AE583" s="182"/>
      <c r="AF583" s="332"/>
      <c r="AG583" s="182"/>
      <c r="AH583" s="182"/>
      <c r="AI583" s="182"/>
      <c r="AJ583" s="640"/>
      <c r="AK583" s="182"/>
      <c r="AL583" s="496">
        <f>-0.03*Z583</f>
        <v>-48</v>
      </c>
      <c r="AM583" s="496">
        <f>AL583*(R583-S583)</f>
        <v>-288</v>
      </c>
      <c r="AN583" s="626" t="s">
        <v>2564</v>
      </c>
      <c r="AO583" s="182"/>
      <c r="AP583" s="182" t="s">
        <v>2565</v>
      </c>
      <c r="AQ583" s="332" t="str">
        <f>UPPER(RIGHT(Journal_Live[[#This Row],[DURATION ]]))</f>
        <v>H</v>
      </c>
      <c r="AR583" s="182" t="s">
        <v>2566</v>
      </c>
      <c r="AS583" s="189">
        <f>((-0.08*2)+(-0.08*4))/6</f>
        <v>-0.08</v>
      </c>
      <c r="AT583" s="189">
        <f>IF(ISBLANK(AS583),,IF(U583="S",AD583-AS583,AS583-AD583))</f>
        <v>0</v>
      </c>
      <c r="AU583" s="187">
        <f>AV583*R583</f>
        <v>0</v>
      </c>
      <c r="AV583" s="190">
        <f>IF(ISBLANK(AS583),,(AT583*Z583))</f>
        <v>0</v>
      </c>
      <c r="AW583" s="191" t="s">
        <v>115</v>
      </c>
      <c r="AX583" s="407"/>
      <c r="AY583" s="407"/>
      <c r="AZ583" s="407"/>
      <c r="BA583" s="419"/>
      <c r="BB583" s="407"/>
      <c r="BC583" s="407"/>
      <c r="BD583" s="407"/>
      <c r="BE583" s="407"/>
      <c r="BF583" s="422"/>
      <c r="BG583" s="391">
        <f>SUM($AV$4:AV583)</f>
        <v>3140.5974761904713</v>
      </c>
      <c r="BH583" s="392">
        <f>SUM($AU$134:AU583)</f>
        <v>3979.0819999999399</v>
      </c>
      <c r="BI583" s="318">
        <f>SUMIFS($AU$134:AU584,$Q$134:Q584,"F")</f>
        <v>-1510.8000000000002</v>
      </c>
      <c r="BJ583" s="318">
        <f>SUMIFS($AU$134:AU584,$Q$134:Q584,"S")</f>
        <v>5716.4419999999964</v>
      </c>
      <c r="BK583" s="343">
        <f>SUMIFS($AU$134:AU584,$P$134:P584,"W")</f>
        <v>5035.7419999999347</v>
      </c>
      <c r="BL583" s="343">
        <f>SUMIFS($AU$134:AU584,$P$134:P584,"R")</f>
        <v>-1008.659999999998</v>
      </c>
      <c r="BM583" s="343">
        <f>SUMIFS($AU$134:AU584,$AQ$134:AQ584,"M")</f>
        <v>1901.3999999999721</v>
      </c>
      <c r="BN583" s="343">
        <f>SUMIFS($AU$134:AU584,$AQ$134:AQ584,"H")</f>
        <v>2236.2520000000154</v>
      </c>
      <c r="BO583" s="343">
        <f>SUMIFS($AU$134:AU584,$AQ$134:AQ584,"D")</f>
        <v>-6.3100000000002723</v>
      </c>
      <c r="BP583" s="343">
        <f>SUMIFS($AU$134:AU586,$AQ$134:AQ586,"W")</f>
        <v>-1110.7</v>
      </c>
      <c r="BQ583" s="343">
        <f>SUMIFS($AU$134:AU584,$Q$134:Q584,"O")</f>
        <v>-377.76000000006229</v>
      </c>
      <c r="BR583" s="343">
        <f>SUMIFS($AU$134:AU584,$AA$134:AA584,"*")</f>
        <v>5852.1419999999625</v>
      </c>
      <c r="BS583" s="343">
        <f>SUMIFS($AU$134:AU584,$AB$134:AB584,"*")</f>
        <v>925.43999999997629</v>
      </c>
      <c r="BT583" s="343">
        <f>SUMIFS($AU$134:AU584,$AC$134:AC584,"*")</f>
        <v>554.349999999999</v>
      </c>
      <c r="BU583" s="343">
        <f>SUMIFS($AU$134:AU584,$AA$134:AA584,"*",$AB$134:AB584,"*")</f>
        <v>66.000000000005144</v>
      </c>
      <c r="BV583" s="343">
        <f>SUMIFS($AU$134:AU584,$AA$134:AA584,"*",$AC$134:AC584,"*")</f>
        <v>2031.4499999999996</v>
      </c>
      <c r="BW583" s="343">
        <f>SUMIFS($AU$134:AU584,$AB$134:AB584,"*",$AC$134:AC584,"*")</f>
        <v>1966.6</v>
      </c>
      <c r="BX583" s="343">
        <f>SUMIFS($AU584:AU$1388,$Q584:Q$1388,"F")</f>
        <v>15951.466666666667</v>
      </c>
      <c r="BY583" s="343">
        <f>SUMIFS($AU584:AU$1388,$Q584:Q$1388,"S")</f>
        <v>14955.2</v>
      </c>
      <c r="BZ583" s="343">
        <f>SUMIFS($AU584:AU$1388,$Q584:Q$1388,"O")</f>
        <v>-1271.097999999736</v>
      </c>
    </row>
    <row r="584" spans="1:78" ht="15.75" customHeight="1">
      <c r="A584" s="221" t="s">
        <v>2380</v>
      </c>
      <c r="B584" s="200">
        <v>17</v>
      </c>
      <c r="C584" s="178" t="s">
        <v>2567</v>
      </c>
      <c r="D584" s="178" t="s">
        <v>151</v>
      </c>
      <c r="E584" s="227"/>
      <c r="F584" s="180"/>
      <c r="G584" s="181" t="s">
        <v>2568</v>
      </c>
      <c r="H584" s="182"/>
      <c r="I584" s="182"/>
      <c r="J584" s="182"/>
      <c r="K584" s="183"/>
      <c r="L584" s="182"/>
      <c r="M584" s="182"/>
      <c r="N584" s="182"/>
      <c r="O584" s="183"/>
      <c r="P584" s="183"/>
      <c r="Q584" s="183"/>
      <c r="R584" s="183"/>
      <c r="S584" s="183"/>
      <c r="T584" s="183"/>
      <c r="U584" s="183"/>
      <c r="V584" s="183"/>
      <c r="W584" s="183"/>
      <c r="X584" s="183"/>
      <c r="Y584" s="184"/>
      <c r="Z584" s="185"/>
      <c r="AA584" s="185"/>
      <c r="AB584" s="185"/>
      <c r="AC584" s="185"/>
      <c r="AD584" s="649"/>
      <c r="AE584" s="182"/>
      <c r="AF584" s="332"/>
      <c r="AG584" s="182"/>
      <c r="AH584" s="182"/>
      <c r="AI584" s="182"/>
      <c r="AJ584" s="640"/>
      <c r="AK584" s="182"/>
      <c r="AL584" s="496"/>
      <c r="AM584" s="496"/>
      <c r="AN584" s="626"/>
      <c r="AO584" s="182"/>
      <c r="AP584" s="182"/>
      <c r="AQ584" s="332" t="str">
        <f>UPPER(RIGHT(Journal_Live[[#This Row],[DURATION ]]))</f>
        <v/>
      </c>
      <c r="AR584" s="182"/>
      <c r="AS584" s="189"/>
      <c r="AT584" s="189"/>
      <c r="AU584" s="187"/>
      <c r="AV584" s="190"/>
      <c r="AW584" s="191"/>
      <c r="AX584" s="407"/>
      <c r="AY584" s="407"/>
      <c r="AZ584" s="407"/>
      <c r="BA584" s="419"/>
      <c r="BB584" s="407"/>
      <c r="BC584" s="407"/>
      <c r="BD584" s="407"/>
      <c r="BE584" s="407"/>
      <c r="BF584" s="422"/>
      <c r="BG584" s="391">
        <f>SUM($AV$4:AV584)</f>
        <v>3140.5974761904713</v>
      </c>
      <c r="BH584" s="392">
        <f>SUM($AU$134:AU584)</f>
        <v>3979.0819999999399</v>
      </c>
      <c r="BI584" s="318">
        <f>SUMIFS($AU$134:AU585,$Q$134:Q585,"F")</f>
        <v>-1510.8000000000002</v>
      </c>
      <c r="BJ584" s="318">
        <f>SUMIFS($AU$134:AU585,$Q$134:Q585,"S")</f>
        <v>5716.4419999999964</v>
      </c>
      <c r="BK584" s="343">
        <f>SUMIFS($AU$134:AU585,$P$134:P585,"W")</f>
        <v>5035.7419999999347</v>
      </c>
      <c r="BL584" s="343">
        <f>SUMIFS($AU$134:AU585,$P$134:P585,"R")</f>
        <v>-1008.659999999998</v>
      </c>
      <c r="BM584" s="343">
        <f>SUMIFS($AU$134:AU585,$AQ$134:AQ585,"M")</f>
        <v>1901.3999999999721</v>
      </c>
      <c r="BN584" s="343">
        <f>SUMIFS($AU$134:AU585,$AQ$134:AQ585,"H")</f>
        <v>2236.2520000000154</v>
      </c>
      <c r="BO584" s="343">
        <f>SUMIFS($AU$134:AU585,$AQ$134:AQ585,"D")</f>
        <v>-6.3100000000002723</v>
      </c>
      <c r="BP584" s="343">
        <f>SUMIFS($AU$134:AU587,$AQ$134:AQ587,"W")</f>
        <v>-1110.7</v>
      </c>
      <c r="BQ584" s="343">
        <f>SUMIFS($AU$134:AU585,$Q$134:Q585,"O")</f>
        <v>-377.76000000006229</v>
      </c>
      <c r="BR584" s="343">
        <f>SUMIFS($AU$134:AU585,$AA$134:AA585,"*")</f>
        <v>5852.1419999999625</v>
      </c>
      <c r="BS584" s="343">
        <f>SUMIFS($AU$134:AU585,$AB$134:AB585,"*")</f>
        <v>925.43999999997629</v>
      </c>
      <c r="BT584" s="343">
        <f>SUMIFS($AU$134:AU585,$AC$134:AC585,"*")</f>
        <v>554.349999999999</v>
      </c>
      <c r="BU584" s="343">
        <f>SUMIFS($AU$134:AU585,$AA$134:AA585,"*",$AB$134:AB585,"*")</f>
        <v>66.000000000005144</v>
      </c>
      <c r="BV584" s="343">
        <f>SUMIFS($AU$134:AU585,$AA$134:AA585,"*",$AC$134:AC585,"*")</f>
        <v>2031.4499999999996</v>
      </c>
      <c r="BW584" s="343">
        <f>SUMIFS($AU$134:AU585,$AB$134:AB585,"*",$AC$134:AC585,"*")</f>
        <v>1966.6</v>
      </c>
      <c r="BX584" s="343">
        <f>SUMIFS($AU585:AU$1388,$Q585:Q$1388,"F")</f>
        <v>15951.466666666667</v>
      </c>
      <c r="BY584" s="343">
        <f>SUMIFS($AU585:AU$1388,$Q585:Q$1388,"S")</f>
        <v>14955.2</v>
      </c>
      <c r="BZ584" s="343">
        <f>SUMIFS($AU585:AU$1388,$Q585:Q$1388,"O")</f>
        <v>-1271.097999999736</v>
      </c>
    </row>
    <row r="585" spans="1:78" ht="15.75" customHeight="1">
      <c r="A585" s="221" t="s">
        <v>2380</v>
      </c>
      <c r="B585" s="200">
        <v>45063</v>
      </c>
      <c r="C585" s="178" t="s">
        <v>2569</v>
      </c>
      <c r="D585" s="178" t="s">
        <v>151</v>
      </c>
      <c r="E585" s="227"/>
      <c r="F585" s="180"/>
      <c r="G585" s="281" t="s">
        <v>94</v>
      </c>
      <c r="H585" s="182"/>
      <c r="I585" s="182"/>
      <c r="J585" s="182"/>
      <c r="K585" s="183"/>
      <c r="L585" s="182">
        <v>1</v>
      </c>
      <c r="M585" s="182"/>
      <c r="N585" s="182"/>
      <c r="O585" s="183" t="s">
        <v>95</v>
      </c>
      <c r="P585" s="183" t="s">
        <v>96</v>
      </c>
      <c r="Q585" s="183" t="s">
        <v>97</v>
      </c>
      <c r="R585" s="183">
        <v>3</v>
      </c>
      <c r="S585" s="183">
        <v>0</v>
      </c>
      <c r="T585" s="183">
        <v>3</v>
      </c>
      <c r="U585" s="183" t="s">
        <v>97</v>
      </c>
      <c r="V585" s="183"/>
      <c r="W585" s="183"/>
      <c r="X585" s="183"/>
      <c r="Y585" s="184">
        <f>IF(ISBLANK(O585),"",(IF(O585=UPPER("IB"),0.005,0.01)))</f>
        <v>0.01</v>
      </c>
      <c r="Z585" s="185">
        <f t="shared" ref="Z585:Z590" si="219">IF(ISBLANK(O585),"",IF(O585="IB",8.63*200,IF(O585="IR",16*100,IF(O585="YT",20*100,IF(O585="YT-XT",24*200,IF(O585="TED",80*100))))))</f>
        <v>1600</v>
      </c>
      <c r="AA585" s="185" t="s">
        <v>2570</v>
      </c>
      <c r="AB585" s="185"/>
      <c r="AC585" s="185"/>
      <c r="AD585" s="649">
        <v>-0.06</v>
      </c>
      <c r="AE585" s="182"/>
      <c r="AF585" s="332">
        <v>3</v>
      </c>
      <c r="AG585" s="182" t="s">
        <v>2571</v>
      </c>
      <c r="AH585" s="182">
        <v>8</v>
      </c>
      <c r="AI585" s="182" t="s">
        <v>2572</v>
      </c>
      <c r="AJ585" s="640" t="s">
        <v>2573</v>
      </c>
      <c r="AK585" s="182"/>
      <c r="AL585" s="496">
        <f>-0.03*Z585</f>
        <v>-48</v>
      </c>
      <c r="AM585" s="496">
        <f>AL585*(R585-S585)</f>
        <v>-144</v>
      </c>
      <c r="AN585" s="626"/>
      <c r="AO585" s="182"/>
      <c r="AP585" s="182" t="s">
        <v>2115</v>
      </c>
      <c r="AQ585" s="332" t="str">
        <f>UPPER(RIGHT(Journal_Live[[#This Row],[DURATION ]]))</f>
        <v>H</v>
      </c>
      <c r="AR585" s="182" t="s">
        <v>2574</v>
      </c>
      <c r="AS585" s="189">
        <v>-0.06</v>
      </c>
      <c r="AT585" s="189">
        <f>IF(ISBLANK(AS585),,IF(U585="S",AD585-AS585,AS585-AD585))</f>
        <v>0</v>
      </c>
      <c r="AU585" s="187">
        <f>AV585*R585</f>
        <v>0</v>
      </c>
      <c r="AV585" s="190">
        <f>IF(ISBLANK(AS585),,(AT585*Z585))</f>
        <v>0</v>
      </c>
      <c r="AW585" s="191" t="s">
        <v>115</v>
      </c>
      <c r="AX585" s="407" t="s">
        <v>2575</v>
      </c>
      <c r="AY585" s="407"/>
      <c r="AZ585" s="407"/>
      <c r="BA585" s="419"/>
      <c r="BB585" s="407"/>
      <c r="BC585" s="407"/>
      <c r="BD585" s="407"/>
      <c r="BE585" s="407"/>
      <c r="BF585" s="422"/>
      <c r="BG585" s="391">
        <f>SUM($AV$4:AV585)</f>
        <v>3140.5974761904713</v>
      </c>
      <c r="BH585" s="392">
        <f>SUM($AU$134:AU585)</f>
        <v>3979.0819999999399</v>
      </c>
      <c r="BI585" s="318">
        <f>SUMIFS($AU$134:AU586,$Q$134:Q586,"F")</f>
        <v>-1510.8000000000002</v>
      </c>
      <c r="BJ585" s="318">
        <f>SUMIFS($AU$134:AU586,$Q$134:Q586,"S")</f>
        <v>5716.4419999999964</v>
      </c>
      <c r="BK585" s="343">
        <f>SUMIFS($AU$134:AU586,$P$134:P586,"W")</f>
        <v>5035.7419999999347</v>
      </c>
      <c r="BL585" s="343">
        <f>SUMIFS($AU$134:AU586,$P$134:P586,"R")</f>
        <v>-1008.659999999998</v>
      </c>
      <c r="BM585" s="343">
        <f>SUMIFS($AU$134:AU586,$AQ$134:AQ586,"M")</f>
        <v>1901.3999999999721</v>
      </c>
      <c r="BN585" s="343">
        <f>SUMIFS($AU$134:AU586,$AQ$134:AQ586,"H")</f>
        <v>2236.2520000000154</v>
      </c>
      <c r="BO585" s="343">
        <f>SUMIFS($AU$134:AU586,$AQ$134:AQ586,"D")</f>
        <v>-6.3100000000002723</v>
      </c>
      <c r="BP585" s="343">
        <f>SUMIFS($AU$134:AU588,$AQ$134:AQ588,"W")</f>
        <v>-1110.7</v>
      </c>
      <c r="BQ585" s="343">
        <f>SUMIFS($AU$134:AU586,$Q$134:Q586,"O")</f>
        <v>-377.76000000006229</v>
      </c>
      <c r="BR585" s="343">
        <f>SUMIFS($AU$134:AU586,$AA$134:AA586,"*")</f>
        <v>5852.1419999999625</v>
      </c>
      <c r="BS585" s="343">
        <f>SUMIFS($AU$134:AU586,$AB$134:AB586,"*")</f>
        <v>925.43999999997629</v>
      </c>
      <c r="BT585" s="343">
        <f>SUMIFS($AU$134:AU586,$AC$134:AC586,"*")</f>
        <v>554.349999999999</v>
      </c>
      <c r="BU585" s="343">
        <f>SUMIFS($AU$134:AU586,$AA$134:AA586,"*",$AB$134:AB586,"*")</f>
        <v>66.000000000005144</v>
      </c>
      <c r="BV585" s="343">
        <f>SUMIFS($AU$134:AU586,$AA$134:AA586,"*",$AC$134:AC586,"*")</f>
        <v>2031.4499999999996</v>
      </c>
      <c r="BW585" s="343">
        <f>SUMIFS($AU$134:AU586,$AB$134:AB586,"*",$AC$134:AC586,"*")</f>
        <v>1966.6</v>
      </c>
      <c r="BX585" s="343">
        <f>SUMIFS($AU586:AU$1388,$Q586:Q$1388,"F")</f>
        <v>15951.466666666667</v>
      </c>
      <c r="BY585" s="343">
        <f>SUMIFS($AU586:AU$1388,$Q586:Q$1388,"S")</f>
        <v>14955.2</v>
      </c>
      <c r="BZ585" s="343">
        <f>SUMIFS($AU586:AU$1388,$Q586:Q$1388,"O")</f>
        <v>-1271.097999999736</v>
      </c>
    </row>
    <row r="586" spans="1:78" ht="15.75" customHeight="1">
      <c r="A586" s="221" t="s">
        <v>2380</v>
      </c>
      <c r="B586" s="200">
        <v>45063</v>
      </c>
      <c r="C586" s="178" t="s">
        <v>2576</v>
      </c>
      <c r="D586" s="178" t="s">
        <v>151</v>
      </c>
      <c r="E586" s="227"/>
      <c r="F586" s="180"/>
      <c r="G586" s="281" t="s">
        <v>181</v>
      </c>
      <c r="H586" s="182"/>
      <c r="I586" s="182"/>
      <c r="J586" s="182"/>
      <c r="K586" s="183"/>
      <c r="L586" s="182"/>
      <c r="M586" s="182">
        <v>1</v>
      </c>
      <c r="N586" s="182"/>
      <c r="O586" s="183" t="s">
        <v>95</v>
      </c>
      <c r="P586" s="183" t="s">
        <v>96</v>
      </c>
      <c r="Q586" s="183" t="s">
        <v>97</v>
      </c>
      <c r="R586" s="183">
        <v>10</v>
      </c>
      <c r="S586" s="183">
        <v>0</v>
      </c>
      <c r="T586" s="183">
        <v>10</v>
      </c>
      <c r="U586" s="183" t="s">
        <v>97</v>
      </c>
      <c r="V586" s="183"/>
      <c r="W586" s="183"/>
      <c r="X586" s="183"/>
      <c r="Y586" s="184">
        <f>IF(ISBLANK(O586),"",(IF(O586=UPPER("IB"),0.005,0.01)))</f>
        <v>0.01</v>
      </c>
      <c r="Z586" s="185">
        <f t="shared" si="219"/>
        <v>1600</v>
      </c>
      <c r="AA586" s="185"/>
      <c r="AB586" s="185"/>
      <c r="AC586" s="185" t="s">
        <v>2577</v>
      </c>
      <c r="AD586" s="649">
        <v>-0.15</v>
      </c>
      <c r="AE586" s="182"/>
      <c r="AF586" s="332"/>
      <c r="AG586" s="182"/>
      <c r="AH586" s="182"/>
      <c r="AI586" s="182"/>
      <c r="AJ586" s="640"/>
      <c r="AK586" s="182" t="s">
        <v>529</v>
      </c>
      <c r="AL586" s="496">
        <f t="shared" ref="AL586:AL587" si="220">-0.03*Z586</f>
        <v>-48</v>
      </c>
      <c r="AM586" s="496">
        <f>AL586*(R586-S586)</f>
        <v>-480</v>
      </c>
      <c r="AN586" s="626"/>
      <c r="AO586" s="182"/>
      <c r="AP586" s="182" t="s">
        <v>770</v>
      </c>
      <c r="AQ586" s="332" t="str">
        <f>UPPER(RIGHT(Journal_Live[[#This Row],[DURATION ]]))</f>
        <v>D</v>
      </c>
      <c r="AR586" s="182" t="s">
        <v>2578</v>
      </c>
      <c r="AS586" s="189">
        <v>-0.15</v>
      </c>
      <c r="AT586" s="189">
        <f>IF(ISBLANK(AS586),,IF(U586="S",AD586-AS586,AS586-AD586))</f>
        <v>0</v>
      </c>
      <c r="AU586" s="187">
        <f>AV586*R586</f>
        <v>0</v>
      </c>
      <c r="AV586" s="190">
        <f>IF(ISBLANK(AS586),,(AT586*Z586))</f>
        <v>0</v>
      </c>
      <c r="AW586" s="191" t="s">
        <v>115</v>
      </c>
      <c r="AX586" s="407" t="s">
        <v>2579</v>
      </c>
      <c r="AY586" s="407"/>
      <c r="AZ586" s="407"/>
      <c r="BA586" s="419"/>
      <c r="BB586" s="407"/>
      <c r="BC586" s="407"/>
      <c r="BD586" s="407"/>
      <c r="BE586" s="407"/>
      <c r="BF586" s="422"/>
      <c r="BG586" s="391">
        <f>SUM($AV$4:AV586)</f>
        <v>3140.5974761904713</v>
      </c>
      <c r="BH586" s="392">
        <f>SUM($AU$134:AU586)</f>
        <v>3979.0819999999399</v>
      </c>
      <c r="BI586" s="318">
        <f>SUMIFS($AU$134:AU587,$Q$134:Q587,"F")</f>
        <v>-1622.8000000000002</v>
      </c>
      <c r="BJ586" s="318">
        <f>SUMIFS($AU$134:AU587,$Q$134:Q587,"S")</f>
        <v>5716.4419999999964</v>
      </c>
      <c r="BK586" s="343">
        <f>SUMIFS($AU$134:AU587,$P$134:P587,"W")</f>
        <v>4923.7419999999347</v>
      </c>
      <c r="BL586" s="343">
        <f>SUMIFS($AU$134:AU587,$P$134:P587,"R")</f>
        <v>-1008.659999999998</v>
      </c>
      <c r="BM586" s="343">
        <f>SUMIFS($AU$134:AU587,$AQ$134:AQ587,"M")</f>
        <v>1901.3999999999721</v>
      </c>
      <c r="BN586" s="343">
        <f>SUMIFS($AU$134:AU587,$AQ$134:AQ587,"H")</f>
        <v>2236.2520000000154</v>
      </c>
      <c r="BO586" s="343">
        <f>SUMIFS($AU$134:AU587,$AQ$134:AQ587,"D")</f>
        <v>-118.31000000000022</v>
      </c>
      <c r="BP586" s="343">
        <f>SUMIFS($AU$134:AU589,$AQ$134:AQ589,"W")</f>
        <v>-1110.7</v>
      </c>
      <c r="BQ586" s="343">
        <f>SUMIFS($AU$134:AU587,$Q$134:Q587,"O")</f>
        <v>-377.76000000006229</v>
      </c>
      <c r="BR586" s="343">
        <f>SUMIFS($AU$134:AU587,$AA$134:AA587,"*")</f>
        <v>5852.1419999999625</v>
      </c>
      <c r="BS586" s="343">
        <f>SUMIFS($AU$134:AU587,$AB$134:AB587,"*")</f>
        <v>925.43999999997629</v>
      </c>
      <c r="BT586" s="343">
        <f>SUMIFS($AU$134:AU587,$AC$134:AC587,"*")</f>
        <v>442.34999999999906</v>
      </c>
      <c r="BU586" s="343">
        <f>SUMIFS($AU$134:AU587,$AA$134:AA587,"*",$AB$134:AB587,"*")</f>
        <v>66.000000000005144</v>
      </c>
      <c r="BV586" s="343">
        <f>SUMIFS($AU$134:AU587,$AA$134:AA587,"*",$AC$134:AC587,"*")</f>
        <v>2031.4499999999996</v>
      </c>
      <c r="BW586" s="343">
        <f>SUMIFS($AU$134:AU587,$AB$134:AB587,"*",$AC$134:AC587,"*")</f>
        <v>1966.6</v>
      </c>
      <c r="BX586" s="343">
        <f>SUMIFS($AU587:AU$1388,$Q587:Q$1388,"F")</f>
        <v>15951.466666666667</v>
      </c>
      <c r="BY586" s="343">
        <f>SUMIFS($AU587:AU$1388,$Q587:Q$1388,"S")</f>
        <v>14955.2</v>
      </c>
      <c r="BZ586" s="343">
        <f>SUMIFS($AU587:AU$1388,$Q587:Q$1388,"O")</f>
        <v>-1271.097999999736</v>
      </c>
    </row>
    <row r="587" spans="1:78" ht="15.75" customHeight="1">
      <c r="A587" s="221" t="s">
        <v>2380</v>
      </c>
      <c r="B587" s="200">
        <v>45064</v>
      </c>
      <c r="C587" s="178" t="s">
        <v>2580</v>
      </c>
      <c r="D587" s="178" t="s">
        <v>93</v>
      </c>
      <c r="E587" s="227"/>
      <c r="F587" s="180"/>
      <c r="G587" s="281" t="s">
        <v>2283</v>
      </c>
      <c r="H587" s="182"/>
      <c r="I587" s="182"/>
      <c r="J587" s="182"/>
      <c r="K587" s="183"/>
      <c r="L587" s="182">
        <v>1</v>
      </c>
      <c r="M587" s="182">
        <v>1</v>
      </c>
      <c r="N587" s="182"/>
      <c r="O587" s="183" t="s">
        <v>95</v>
      </c>
      <c r="P587" s="183" t="s">
        <v>96</v>
      </c>
      <c r="Q587" s="183" t="s">
        <v>256</v>
      </c>
      <c r="R587" s="183">
        <v>7</v>
      </c>
      <c r="S587" s="183">
        <v>4</v>
      </c>
      <c r="T587" s="183">
        <v>7</v>
      </c>
      <c r="U587" s="183" t="s">
        <v>97</v>
      </c>
      <c r="V587" s="183"/>
      <c r="W587" s="183"/>
      <c r="X587" s="183"/>
      <c r="Y587" s="184">
        <f>IF(ISBLANK(O587),"",(IF(O587=UPPER("IB"),0.005,0.01)))</f>
        <v>0.01</v>
      </c>
      <c r="Z587" s="185">
        <f t="shared" si="219"/>
        <v>1600</v>
      </c>
      <c r="AA587" s="185"/>
      <c r="AB587" s="185"/>
      <c r="AC587" s="185" t="s">
        <v>2581</v>
      </c>
      <c r="AD587" s="649">
        <v>7.0000000000000007E-2</v>
      </c>
      <c r="AE587" s="182"/>
      <c r="AF587" s="600" t="s">
        <v>2582</v>
      </c>
      <c r="AG587" s="182" t="s">
        <v>529</v>
      </c>
      <c r="AH587" s="182" t="s">
        <v>2583</v>
      </c>
      <c r="AI587" s="182"/>
      <c r="AJ587" s="640" t="s">
        <v>2584</v>
      </c>
      <c r="AK587" s="182" t="s">
        <v>529</v>
      </c>
      <c r="AL587" s="496">
        <f t="shared" si="220"/>
        <v>-48</v>
      </c>
      <c r="AM587" s="496">
        <f>AL587*(R587-S587)</f>
        <v>-144</v>
      </c>
      <c r="AN587" s="626" t="s">
        <v>2585</v>
      </c>
      <c r="AO587" s="182"/>
      <c r="AP587" s="182" t="s">
        <v>864</v>
      </c>
      <c r="AQ587" s="332" t="str">
        <f>UPPER(RIGHT(Journal_Live[[#This Row],[DURATION ]]))</f>
        <v>D</v>
      </c>
      <c r="AR587" s="182" t="s">
        <v>2586</v>
      </c>
      <c r="AS587" s="189">
        <f>((0.08*2)+(0.08*3)+(0.08*2))/7</f>
        <v>0.08</v>
      </c>
      <c r="AT587" s="189">
        <f>IF(ISBLANK(AS587),,IF(U587="S",AD587-AS587,AS587-AD587))</f>
        <v>-9.999999999999995E-3</v>
      </c>
      <c r="AU587" s="187">
        <f>AV587*R587</f>
        <v>-111.99999999999994</v>
      </c>
      <c r="AV587" s="190">
        <f>IF(ISBLANK(AS587),,(AT587*Z587))</f>
        <v>-15.999999999999993</v>
      </c>
      <c r="AW587" s="191" t="s">
        <v>229</v>
      </c>
      <c r="AX587" s="407" t="s">
        <v>2587</v>
      </c>
      <c r="AY587" s="407" t="s">
        <v>2588</v>
      </c>
      <c r="AZ587" s="407" t="s">
        <v>2589</v>
      </c>
      <c r="BA587" s="407" t="s">
        <v>2590</v>
      </c>
      <c r="BB587" s="407"/>
      <c r="BC587" s="407"/>
      <c r="BD587" s="407"/>
      <c r="BE587" s="407"/>
      <c r="BF587" s="422"/>
      <c r="BG587" s="391">
        <f>SUM($AV$4:AV587)</f>
        <v>3124.5974761904713</v>
      </c>
      <c r="BH587" s="392">
        <f>SUM($AU$134:AU587)</f>
        <v>3867.0819999999399</v>
      </c>
      <c r="BI587" s="318">
        <f>SUMIFS($AU$134:AU588,$Q$134:Q588,"F")</f>
        <v>-1622.8000000000002</v>
      </c>
      <c r="BJ587" s="318">
        <f>SUMIFS($AU$134:AU588,$Q$134:Q588,"S")</f>
        <v>5716.4419999999964</v>
      </c>
      <c r="BK587" s="343">
        <f>SUMIFS($AU$134:AU588,$P$134:P588,"W")</f>
        <v>4923.7419999999347</v>
      </c>
      <c r="BL587" s="343">
        <f>SUMIFS($AU$134:AU588,$P$134:P588,"R")</f>
        <v>-1008.659999999998</v>
      </c>
      <c r="BM587" s="343">
        <f>SUMIFS($AU$134:AU588,$AQ$134:AQ588,"M")</f>
        <v>1901.3999999999721</v>
      </c>
      <c r="BN587" s="343">
        <f>SUMIFS($AU$134:AU588,$AQ$134:AQ588,"H")</f>
        <v>2236.2520000000154</v>
      </c>
      <c r="BO587" s="343">
        <f>SUMIFS($AU$134:AU588,$AQ$134:AQ588,"D")</f>
        <v>-118.31000000000022</v>
      </c>
      <c r="BP587" s="343">
        <f>SUMIFS($AU$134:AU590,$AQ$134:AQ590,"W")</f>
        <v>-1110.7</v>
      </c>
      <c r="BQ587" s="343">
        <f>SUMIFS($AU$134:AU588,$Q$134:Q588,"O")</f>
        <v>-377.76000000006229</v>
      </c>
      <c r="BR587" s="343">
        <f>SUMIFS($AU$134:AU588,$AA$134:AA588,"*")</f>
        <v>5852.1419999999625</v>
      </c>
      <c r="BS587" s="343">
        <f>SUMIFS($AU$134:AU588,$AB$134:AB588,"*")</f>
        <v>925.43999999997629</v>
      </c>
      <c r="BT587" s="343">
        <f>SUMIFS($AU$134:AU588,$AC$134:AC588,"*")</f>
        <v>442.34999999999906</v>
      </c>
      <c r="BU587" s="343">
        <f>SUMIFS($AU$134:AU588,$AA$134:AA588,"*",$AB$134:AB588,"*")</f>
        <v>66.000000000005144</v>
      </c>
      <c r="BV587" s="343">
        <f>SUMIFS($AU$134:AU588,$AA$134:AA588,"*",$AC$134:AC588,"*")</f>
        <v>2031.4499999999996</v>
      </c>
      <c r="BW587" s="343">
        <f>SUMIFS($AU$134:AU588,$AB$134:AB588,"*",$AC$134:AC588,"*")</f>
        <v>1966.6</v>
      </c>
      <c r="BX587" s="343">
        <f>SUMIFS($AU588:AU$1388,$Q588:Q$1388,"F")</f>
        <v>16063.466666666667</v>
      </c>
      <c r="BY587" s="343">
        <f>SUMIFS($AU588:AU$1388,$Q588:Q$1388,"S")</f>
        <v>14955.2</v>
      </c>
      <c r="BZ587" s="343">
        <f>SUMIFS($AU588:AU$1388,$Q588:Q$1388,"O")</f>
        <v>-1271.097999999736</v>
      </c>
    </row>
    <row r="588" spans="1:78" ht="15.75" customHeight="1">
      <c r="A588" s="221" t="s">
        <v>2380</v>
      </c>
      <c r="B588" s="200">
        <v>45064</v>
      </c>
      <c r="C588" s="178" t="s">
        <v>2020</v>
      </c>
      <c r="D588" s="178" t="s">
        <v>93</v>
      </c>
      <c r="E588" s="227" t="s">
        <v>2591</v>
      </c>
      <c r="F588" s="180" t="s">
        <v>2592</v>
      </c>
      <c r="G588" s="181"/>
      <c r="H588" s="182"/>
      <c r="I588" s="182"/>
      <c r="J588" s="182">
        <v>1</v>
      </c>
      <c r="K588" s="183" t="s">
        <v>115</v>
      </c>
      <c r="L588" s="182"/>
      <c r="M588" s="182"/>
      <c r="N588" s="182"/>
      <c r="O588" s="183"/>
      <c r="P588" s="183"/>
      <c r="Q588" s="183"/>
      <c r="R588" s="183"/>
      <c r="S588" s="183"/>
      <c r="T588" s="183"/>
      <c r="U588" s="183"/>
      <c r="V588" s="183"/>
      <c r="W588" s="183"/>
      <c r="X588" s="183"/>
      <c r="Y588" s="183"/>
      <c r="Z588" s="185" t="str">
        <f t="shared" si="219"/>
        <v/>
      </c>
      <c r="AA588" s="185"/>
      <c r="AB588" s="185"/>
      <c r="AC588" s="185"/>
      <c r="AD588" s="649"/>
      <c r="AE588" s="182"/>
      <c r="AF588" s="332"/>
      <c r="AG588" s="182"/>
      <c r="AH588" s="182"/>
      <c r="AI588" s="182"/>
      <c r="AJ588" s="640"/>
      <c r="AK588" s="182"/>
      <c r="AL588" s="496"/>
      <c r="AM588" s="497"/>
      <c r="AN588" s="626"/>
      <c r="AO588" s="182"/>
      <c r="AP588" s="182"/>
      <c r="AQ588" s="332" t="str">
        <f>UPPER(RIGHT(Journal_Live[[#This Row],[DURATION ]]))</f>
        <v/>
      </c>
      <c r="AR588" s="182"/>
      <c r="AS588" s="189"/>
      <c r="AT588" s="189"/>
      <c r="AU588" s="187"/>
      <c r="AV588" s="190"/>
      <c r="AW588" s="191"/>
      <c r="AX588" s="407"/>
      <c r="AY588" s="407" t="s">
        <v>529</v>
      </c>
      <c r="AZ588" s="407"/>
      <c r="BA588" s="419"/>
      <c r="BB588" s="407"/>
      <c r="BC588" s="407"/>
      <c r="BD588" s="407"/>
      <c r="BE588" s="407"/>
      <c r="BF588" s="422"/>
      <c r="BG588" s="391">
        <f>SUM($AV$4:AV588)</f>
        <v>3124.5974761904713</v>
      </c>
      <c r="BH588" s="392">
        <f>SUM($AU$134:AU588)</f>
        <v>3867.0819999999399</v>
      </c>
      <c r="BI588" s="318">
        <f>SUMIFS($AU$134:AU589,$Q$134:Q589,"F")</f>
        <v>-1622.8000000000002</v>
      </c>
      <c r="BJ588" s="318">
        <f>SUMIFS($AU$134:AU589,$Q$134:Q589,"S")</f>
        <v>5716.4419999999964</v>
      </c>
      <c r="BK588" s="343">
        <f>SUMIFS($AU$134:AU589,$P$134:P589,"W")</f>
        <v>4923.7419999999347</v>
      </c>
      <c r="BL588" s="343">
        <f>SUMIFS($AU$134:AU589,$P$134:P589,"R")</f>
        <v>-1008.659999999998</v>
      </c>
      <c r="BM588" s="343">
        <f>SUMIFS($AU$134:AU589,$AQ$134:AQ589,"M")</f>
        <v>1901.3999999999721</v>
      </c>
      <c r="BN588" s="343">
        <f>SUMIFS($AU$134:AU589,$AQ$134:AQ589,"H")</f>
        <v>2236.2520000000154</v>
      </c>
      <c r="BO588" s="343">
        <f>SUMIFS($AU$134:AU589,$AQ$134:AQ589,"D")</f>
        <v>-118.31000000000022</v>
      </c>
      <c r="BP588" s="343">
        <f>SUMIFS($AU$134:AU591,$AQ$134:AQ591,"W")</f>
        <v>-1110.7</v>
      </c>
      <c r="BQ588" s="343">
        <f>SUMIFS($AU$134:AU589,$Q$134:Q589,"O")</f>
        <v>-377.76000000006229</v>
      </c>
      <c r="BR588" s="343">
        <f>SUMIFS($AU$134:AU589,$AA$134:AA589,"*")</f>
        <v>5852.1419999999625</v>
      </c>
      <c r="BS588" s="343">
        <f>SUMIFS($AU$134:AU589,$AB$134:AB589,"*")</f>
        <v>925.43999999997629</v>
      </c>
      <c r="BT588" s="343">
        <f>SUMIFS($AU$134:AU589,$AC$134:AC589,"*")</f>
        <v>442.34999999999906</v>
      </c>
      <c r="BU588" s="343">
        <f>SUMIFS($AU$134:AU589,$AA$134:AA589,"*",$AB$134:AB589,"*")</f>
        <v>66.000000000005144</v>
      </c>
      <c r="BV588" s="343">
        <f>SUMIFS($AU$134:AU589,$AA$134:AA589,"*",$AC$134:AC589,"*")</f>
        <v>2031.4499999999996</v>
      </c>
      <c r="BW588" s="343">
        <f>SUMIFS($AU$134:AU589,$AB$134:AB589,"*",$AC$134:AC589,"*")</f>
        <v>1966.6</v>
      </c>
      <c r="BX588" s="343">
        <f>SUMIFS($AU589:AU$1388,$Q589:Q$1388,"F")</f>
        <v>16063.466666666667</v>
      </c>
      <c r="BY588" s="343">
        <f>SUMIFS($AU589:AU$1388,$Q589:Q$1388,"S")</f>
        <v>14955.2</v>
      </c>
      <c r="BZ588" s="343">
        <f>SUMIFS($AU589:AU$1388,$Q589:Q$1388,"O")</f>
        <v>-1271.097999999736</v>
      </c>
    </row>
    <row r="589" spans="1:78" ht="15.75" customHeight="1">
      <c r="A589" s="221" t="s">
        <v>2380</v>
      </c>
      <c r="B589" s="200"/>
      <c r="C589" s="178"/>
      <c r="D589" s="178"/>
      <c r="E589" s="227" t="s">
        <v>2593</v>
      </c>
      <c r="F589" s="180"/>
      <c r="G589" s="181"/>
      <c r="H589" s="182">
        <v>1</v>
      </c>
      <c r="I589" s="182"/>
      <c r="J589" s="182"/>
      <c r="K589" s="183" t="s">
        <v>115</v>
      </c>
      <c r="L589" s="182"/>
      <c r="M589" s="182"/>
      <c r="N589" s="182"/>
      <c r="O589" s="183"/>
      <c r="P589" s="183"/>
      <c r="Q589" s="183"/>
      <c r="R589" s="183"/>
      <c r="S589" s="183"/>
      <c r="T589" s="183"/>
      <c r="U589" s="183"/>
      <c r="V589" s="183"/>
      <c r="W589" s="183"/>
      <c r="X589" s="183"/>
      <c r="Y589" s="183"/>
      <c r="Z589" s="185" t="str">
        <f t="shared" si="219"/>
        <v/>
      </c>
      <c r="AA589" s="185"/>
      <c r="AB589" s="185"/>
      <c r="AC589" s="185"/>
      <c r="AD589" s="649"/>
      <c r="AE589" s="182"/>
      <c r="AF589" s="332"/>
      <c r="AG589" s="182"/>
      <c r="AH589" s="182"/>
      <c r="AI589" s="182"/>
      <c r="AJ589" s="640"/>
      <c r="AK589" s="182"/>
      <c r="AL589" s="496"/>
      <c r="AM589" s="497"/>
      <c r="AN589" s="626"/>
      <c r="AO589" s="182"/>
      <c r="AP589" s="182"/>
      <c r="AQ589" s="332" t="str">
        <f>UPPER(RIGHT(Journal_Live[[#This Row],[DURATION ]]))</f>
        <v/>
      </c>
      <c r="AR589" s="182"/>
      <c r="AS589" s="189"/>
      <c r="AT589" s="189"/>
      <c r="AU589" s="187"/>
      <c r="AV589" s="190"/>
      <c r="AW589" s="191"/>
      <c r="AX589" s="407"/>
      <c r="AY589" s="407"/>
      <c r="AZ589" s="407"/>
      <c r="BA589" s="419"/>
      <c r="BB589" s="407"/>
      <c r="BC589" s="407"/>
      <c r="BD589" s="407"/>
      <c r="BE589" s="407"/>
      <c r="BF589" s="422"/>
      <c r="BG589" s="391">
        <f>SUM($AV$4:AV589)</f>
        <v>3124.5974761904713</v>
      </c>
      <c r="BH589" s="392">
        <f>SUM($AU$134:AU589)</f>
        <v>3867.0819999999399</v>
      </c>
      <c r="BI589" s="318">
        <f>SUMIFS($AU$134:AU590,$Q$134:Q590,"F")</f>
        <v>-1622.8000000000002</v>
      </c>
      <c r="BJ589" s="318">
        <f>SUMIFS($AU$134:AU590,$Q$134:Q590,"S")</f>
        <v>5716.4419999999964</v>
      </c>
      <c r="BK589" s="343">
        <f>SUMIFS($AU$134:AU590,$P$134:P590,"W")</f>
        <v>4923.7419999999347</v>
      </c>
      <c r="BL589" s="343">
        <f>SUMIFS($AU$134:AU590,$P$134:P590,"R")</f>
        <v>-1008.659999999998</v>
      </c>
      <c r="BM589" s="343">
        <f>SUMIFS($AU$134:AU590,$AQ$134:AQ590,"M")</f>
        <v>1901.3999999999721</v>
      </c>
      <c r="BN589" s="343">
        <f>SUMIFS($AU$134:AU590,$AQ$134:AQ590,"H")</f>
        <v>2236.2520000000154</v>
      </c>
      <c r="BO589" s="343">
        <f>SUMIFS($AU$134:AU590,$AQ$134:AQ590,"D")</f>
        <v>-118.31000000000022</v>
      </c>
      <c r="BP589" s="343">
        <f>SUMIFS($AU$134:AU592,$AQ$134:AQ592,"W")</f>
        <v>-1110.7</v>
      </c>
      <c r="BQ589" s="343">
        <f>SUMIFS($AU$134:AU590,$Q$134:Q590,"O")</f>
        <v>-377.76000000006229</v>
      </c>
      <c r="BR589" s="343">
        <f>SUMIFS($AU$134:AU590,$AA$134:AA590,"*")</f>
        <v>5852.1419999999625</v>
      </c>
      <c r="BS589" s="343">
        <f>SUMIFS($AU$134:AU590,$AB$134:AB590,"*")</f>
        <v>925.43999999997629</v>
      </c>
      <c r="BT589" s="343">
        <f>SUMIFS($AU$134:AU590,$AC$134:AC590,"*")</f>
        <v>442.34999999999906</v>
      </c>
      <c r="BU589" s="343">
        <f>SUMIFS($AU$134:AU590,$AA$134:AA590,"*",$AB$134:AB590,"*")</f>
        <v>66.000000000005144</v>
      </c>
      <c r="BV589" s="343">
        <f>SUMIFS($AU$134:AU590,$AA$134:AA590,"*",$AC$134:AC590,"*")</f>
        <v>2031.4499999999996</v>
      </c>
      <c r="BW589" s="343">
        <f>SUMIFS($AU$134:AU590,$AB$134:AB590,"*",$AC$134:AC590,"*")</f>
        <v>1966.6</v>
      </c>
      <c r="BX589" s="343">
        <f>SUMIFS($AU590:AU$1388,$Q590:Q$1388,"F")</f>
        <v>16063.466666666667</v>
      </c>
      <c r="BY589" s="343">
        <f>SUMIFS($AU590:AU$1388,$Q590:Q$1388,"S")</f>
        <v>14955.2</v>
      </c>
      <c r="BZ589" s="343">
        <f>SUMIFS($AU590:AU$1388,$Q590:Q$1388,"O")</f>
        <v>-1271.097999999736</v>
      </c>
    </row>
    <row r="590" spans="1:78" ht="15.75" customHeight="1">
      <c r="A590" s="221" t="s">
        <v>2380</v>
      </c>
      <c r="B590" s="200">
        <v>45064</v>
      </c>
      <c r="C590" s="178" t="s">
        <v>682</v>
      </c>
      <c r="D590" s="178" t="s">
        <v>93</v>
      </c>
      <c r="E590" s="227"/>
      <c r="F590" s="180"/>
      <c r="G590" s="279" t="s">
        <v>2594</v>
      </c>
      <c r="H590" s="182"/>
      <c r="I590" s="182"/>
      <c r="J590" s="182"/>
      <c r="K590" s="183"/>
      <c r="L590" s="182">
        <v>1</v>
      </c>
      <c r="M590" s="182">
        <v>2</v>
      </c>
      <c r="N590" s="182"/>
      <c r="O590" s="183" t="s">
        <v>95</v>
      </c>
      <c r="P590" s="183" t="s">
        <v>96</v>
      </c>
      <c r="Q590" s="183" t="s">
        <v>256</v>
      </c>
      <c r="R590" s="183">
        <v>20</v>
      </c>
      <c r="S590" s="183">
        <v>20</v>
      </c>
      <c r="T590" s="183">
        <v>10</v>
      </c>
      <c r="U590" s="183" t="s">
        <v>97</v>
      </c>
      <c r="V590" s="183"/>
      <c r="W590" s="183"/>
      <c r="X590" s="183"/>
      <c r="Y590" s="184">
        <f>IF(ISBLANK(O590),"",(IF(O590=UPPER("IB"),0.005,0.01)))</f>
        <v>0.01</v>
      </c>
      <c r="Z590" s="185">
        <f t="shared" si="219"/>
        <v>1600</v>
      </c>
      <c r="AA590" s="185"/>
      <c r="AB590" s="185"/>
      <c r="AC590" s="185" t="s">
        <v>2595</v>
      </c>
      <c r="AD590" s="649">
        <v>0</v>
      </c>
      <c r="AE590" s="182"/>
      <c r="AF590" s="332" t="s">
        <v>2596</v>
      </c>
      <c r="AG590" s="182"/>
      <c r="AH590" s="182" t="s">
        <v>2597</v>
      </c>
      <c r="AI590" s="182" t="s">
        <v>529</v>
      </c>
      <c r="AJ590" s="640"/>
      <c r="AK590" s="182" t="s">
        <v>529</v>
      </c>
      <c r="AL590" s="496">
        <f>-0.01*Z590</f>
        <v>-16</v>
      </c>
      <c r="AM590" s="496">
        <f>AL590*(R590-S590)</f>
        <v>0</v>
      </c>
      <c r="AN590" s="626" t="s">
        <v>2598</v>
      </c>
      <c r="AO590" s="182"/>
      <c r="AP590" s="182" t="s">
        <v>902</v>
      </c>
      <c r="AQ590" s="332" t="str">
        <f>UPPER(RIGHT(Journal_Live[[#This Row],[DURATION ]]))</f>
        <v>W</v>
      </c>
      <c r="AR590" s="182" t="s">
        <v>2599</v>
      </c>
      <c r="AS590" s="189">
        <f>((0*5)+(0*10)+(0*5))/20</f>
        <v>0</v>
      </c>
      <c r="AT590" s="189">
        <f>IF(ISBLANK(AS590),,IF(U590="S",AD590-AS590,AS590-AD590))</f>
        <v>0</v>
      </c>
      <c r="AU590" s="187">
        <f>AV590*R590</f>
        <v>0</v>
      </c>
      <c r="AV590" s="190">
        <f>IF(ISBLANK(AS590),,(AT590*Z590))</f>
        <v>0</v>
      </c>
      <c r="AW590" s="191" t="s">
        <v>115</v>
      </c>
      <c r="AX590" s="407" t="s">
        <v>2600</v>
      </c>
      <c r="AY590" s="407" t="s">
        <v>2601</v>
      </c>
      <c r="AZ590" s="409" t="s">
        <v>2602</v>
      </c>
      <c r="BA590" s="409" t="s">
        <v>2603</v>
      </c>
      <c r="BB590" s="407"/>
      <c r="BC590" s="407"/>
      <c r="BD590" s="407"/>
      <c r="BE590" s="407"/>
      <c r="BF590" s="422"/>
      <c r="BG590" s="391">
        <f>SUM($AV$4:AV590)</f>
        <v>3124.5974761904713</v>
      </c>
      <c r="BH590" s="392">
        <f>SUM($AU$134:AU590)</f>
        <v>3867.0819999999399</v>
      </c>
      <c r="BI590" s="318">
        <f>SUMIFS($AU$134:AU591,$Q$134:Q591,"F")</f>
        <v>-1622.8000000000002</v>
      </c>
      <c r="BJ590" s="318">
        <f>SUMIFS($AU$134:AU591,$Q$134:Q591,"S")</f>
        <v>5716.4419999999964</v>
      </c>
      <c r="BK590" s="343">
        <f>SUMIFS($AU$134:AU591,$P$134:P591,"W")</f>
        <v>4923.7419999999347</v>
      </c>
      <c r="BL590" s="343">
        <f>SUMIFS($AU$134:AU591,$P$134:P591,"R")</f>
        <v>-1008.659999999998</v>
      </c>
      <c r="BM590" s="343">
        <f>SUMIFS($AU$134:AU591,$AQ$134:AQ591,"M")</f>
        <v>1901.3999999999721</v>
      </c>
      <c r="BN590" s="343">
        <f>SUMIFS($AU$134:AU591,$AQ$134:AQ591,"H")</f>
        <v>2236.2520000000154</v>
      </c>
      <c r="BO590" s="343">
        <f>SUMIFS($AU$134:AU591,$AQ$134:AQ591,"D")</f>
        <v>-118.31000000000022</v>
      </c>
      <c r="BP590" s="343">
        <f>SUMIFS($AU$134:AU593,$AQ$134:AQ593,"W")</f>
        <v>-1110.7</v>
      </c>
      <c r="BQ590" s="343">
        <f>SUMIFS($AU$134:AU591,$Q$134:Q591,"O")</f>
        <v>-377.76000000006229</v>
      </c>
      <c r="BR590" s="343">
        <f>SUMIFS($AU$134:AU591,$AA$134:AA591,"*")</f>
        <v>5852.1419999999625</v>
      </c>
      <c r="BS590" s="343">
        <f>SUMIFS($AU$134:AU591,$AB$134:AB591,"*")</f>
        <v>925.43999999997629</v>
      </c>
      <c r="BT590" s="343">
        <f>SUMIFS($AU$134:AU591,$AC$134:AC591,"*")</f>
        <v>442.34999999999906</v>
      </c>
      <c r="BU590" s="343">
        <f>SUMIFS($AU$134:AU591,$AA$134:AA591,"*",$AB$134:AB591,"*")</f>
        <v>66.000000000005144</v>
      </c>
      <c r="BV590" s="343">
        <f>SUMIFS($AU$134:AU591,$AA$134:AA591,"*",$AC$134:AC591,"*")</f>
        <v>2031.4499999999996</v>
      </c>
      <c r="BW590" s="343">
        <f>SUMIFS($AU$134:AU591,$AB$134:AB591,"*",$AC$134:AC591,"*")</f>
        <v>1966.6</v>
      </c>
      <c r="BX590" s="343">
        <f>SUMIFS($AU591:AU$1388,$Q591:Q$1388,"F")</f>
        <v>16063.466666666667</v>
      </c>
      <c r="BY590" s="343">
        <f>SUMIFS($AU591:AU$1388,$Q591:Q$1388,"S")</f>
        <v>14955.2</v>
      </c>
      <c r="BZ590" s="343">
        <f>SUMIFS($AU591:AU$1388,$Q591:Q$1388,"O")</f>
        <v>-1271.097999999736</v>
      </c>
    </row>
    <row r="591" spans="1:78" ht="15.75" customHeight="1">
      <c r="A591" s="221" t="s">
        <v>2380</v>
      </c>
      <c r="B591" s="200">
        <v>45064</v>
      </c>
      <c r="C591" s="178" t="s">
        <v>682</v>
      </c>
      <c r="D591" s="178" t="s">
        <v>93</v>
      </c>
      <c r="E591" s="227"/>
      <c r="F591" s="180"/>
      <c r="G591" s="181" t="s">
        <v>2070</v>
      </c>
      <c r="H591" s="182"/>
      <c r="I591" s="182"/>
      <c r="J591" s="182"/>
      <c r="K591" s="183"/>
      <c r="L591" s="182"/>
      <c r="M591" s="182"/>
      <c r="N591" s="182"/>
      <c r="O591" s="183"/>
      <c r="P591" s="183"/>
      <c r="Q591" s="183"/>
      <c r="R591" s="183"/>
      <c r="S591" s="183"/>
      <c r="T591" s="183"/>
      <c r="U591" s="183"/>
      <c r="V591" s="183"/>
      <c r="W591" s="183"/>
      <c r="X591" s="183"/>
      <c r="Y591" s="184"/>
      <c r="Z591" s="185"/>
      <c r="AA591" s="185"/>
      <c r="AB591" s="185"/>
      <c r="AC591" s="185"/>
      <c r="AD591" s="649"/>
      <c r="AE591" s="182"/>
      <c r="AF591" s="332"/>
      <c r="AG591" s="182"/>
      <c r="AH591" s="182"/>
      <c r="AI591" s="182"/>
      <c r="AJ591" s="640"/>
      <c r="AK591" s="182"/>
      <c r="AL591" s="496"/>
      <c r="AM591" s="496"/>
      <c r="AN591" s="626"/>
      <c r="AO591" s="182"/>
      <c r="AP591" s="182"/>
      <c r="AQ591" s="332" t="str">
        <f>UPPER(RIGHT(Journal_Live[[#This Row],[DURATION ]]))</f>
        <v/>
      </c>
      <c r="AR591" s="182"/>
      <c r="AS591" s="189"/>
      <c r="AT591" s="189"/>
      <c r="AU591" s="187"/>
      <c r="AV591" s="190"/>
      <c r="AW591" s="191"/>
      <c r="AX591" s="407" t="s">
        <v>2604</v>
      </c>
      <c r="AY591" s="407" t="s">
        <v>2605</v>
      </c>
      <c r="AZ591" s="407" t="s">
        <v>2606</v>
      </c>
      <c r="BA591" s="419" t="s">
        <v>529</v>
      </c>
      <c r="BB591" s="407"/>
      <c r="BC591" s="407"/>
      <c r="BD591" s="407"/>
      <c r="BE591" s="407"/>
      <c r="BF591" s="422"/>
      <c r="BG591" s="391">
        <f>SUM($AV$4:AV591)</f>
        <v>3124.5974761904713</v>
      </c>
      <c r="BH591" s="392">
        <f>SUM($AU$134:AU591)</f>
        <v>3867.0819999999399</v>
      </c>
      <c r="BI591" s="318">
        <f>SUMIFS($AU$134:AU592,$Q$134:Q592,"F")</f>
        <v>-1622.8000000000002</v>
      </c>
      <c r="BJ591" s="318">
        <f>SUMIFS($AU$134:AU592,$Q$134:Q592,"S")</f>
        <v>5876.4419999999964</v>
      </c>
      <c r="BK591" s="343">
        <f>SUMIFS($AU$134:AU592,$P$134:P592,"W")</f>
        <v>4923.7419999999347</v>
      </c>
      <c r="BL591" s="343">
        <f>SUMIFS($AU$134:AU592,$P$134:P592,"R")</f>
        <v>-848.65999999999838</v>
      </c>
      <c r="BM591" s="343">
        <f>SUMIFS($AU$134:AU592,$AQ$134:AQ592,"M")</f>
        <v>1901.3999999999721</v>
      </c>
      <c r="BN591" s="343">
        <f>SUMIFS($AU$134:AU592,$AQ$134:AQ592,"H")</f>
        <v>2396.252000000015</v>
      </c>
      <c r="BO591" s="343">
        <f>SUMIFS($AU$134:AU592,$AQ$134:AQ592,"D")</f>
        <v>-118.31000000000022</v>
      </c>
      <c r="BP591" s="343">
        <f>SUMIFS($AU$134:AU594,$AQ$134:AQ594,"W")</f>
        <v>-257.36666666666679</v>
      </c>
      <c r="BQ591" s="343">
        <f>SUMIFS($AU$134:AU592,$Q$134:Q592,"O")</f>
        <v>-377.76000000006229</v>
      </c>
      <c r="BR591" s="343">
        <f>SUMIFS($AU$134:AU592,$AA$134:AA592,"*")</f>
        <v>5852.1419999999625</v>
      </c>
      <c r="BS591" s="343">
        <f>SUMIFS($AU$134:AU592,$AB$134:AB592,"*")</f>
        <v>925.43999999997629</v>
      </c>
      <c r="BT591" s="343">
        <f>SUMIFS($AU$134:AU592,$AC$134:AC592,"*")</f>
        <v>602.34999999999877</v>
      </c>
      <c r="BU591" s="343">
        <f>SUMIFS($AU$134:AU592,$AA$134:AA592,"*",$AB$134:AB592,"*")</f>
        <v>66.000000000005144</v>
      </c>
      <c r="BV591" s="343">
        <f>SUMIFS($AU$134:AU592,$AA$134:AA592,"*",$AC$134:AC592,"*")</f>
        <v>2031.4499999999996</v>
      </c>
      <c r="BW591" s="343">
        <f>SUMIFS($AU$134:AU592,$AB$134:AB592,"*",$AC$134:AC592,"*")</f>
        <v>1966.6</v>
      </c>
      <c r="BX591" s="343">
        <f>SUMIFS($AU592:AU$1388,$Q592:Q$1388,"F")</f>
        <v>16063.466666666667</v>
      </c>
      <c r="BY591" s="343">
        <f>SUMIFS($AU592:AU$1388,$Q592:Q$1388,"S")</f>
        <v>14955.2</v>
      </c>
      <c r="BZ591" s="343">
        <f>SUMIFS($AU592:AU$1388,$Q592:Q$1388,"O")</f>
        <v>-1271.097999999736</v>
      </c>
    </row>
    <row r="592" spans="1:78" ht="15.75" customHeight="1">
      <c r="A592" s="221" t="s">
        <v>2380</v>
      </c>
      <c r="B592" s="200">
        <v>45064</v>
      </c>
      <c r="C592" s="178" t="s">
        <v>682</v>
      </c>
      <c r="D592" s="178" t="s">
        <v>93</v>
      </c>
      <c r="E592" s="227"/>
      <c r="F592" s="180"/>
      <c r="G592" s="281" t="s">
        <v>136</v>
      </c>
      <c r="H592" s="182"/>
      <c r="I592" s="182"/>
      <c r="J592" s="182"/>
      <c r="K592" s="183"/>
      <c r="L592" s="182">
        <v>1</v>
      </c>
      <c r="M592" s="182">
        <v>1</v>
      </c>
      <c r="N592" s="182"/>
      <c r="O592" s="183" t="s">
        <v>95</v>
      </c>
      <c r="P592" s="183" t="s">
        <v>137</v>
      </c>
      <c r="Q592" s="183" t="s">
        <v>97</v>
      </c>
      <c r="R592" s="183">
        <v>10</v>
      </c>
      <c r="S592" s="183">
        <v>5</v>
      </c>
      <c r="T592" s="183">
        <v>10</v>
      </c>
      <c r="U592" s="183" t="s">
        <v>22</v>
      </c>
      <c r="V592" s="183"/>
      <c r="W592" s="183"/>
      <c r="X592" s="183"/>
      <c r="Y592" s="184">
        <f>IF(ISBLANK(O592),"",(IF(O592=UPPER("IB"),0.005,0.01)))</f>
        <v>0.01</v>
      </c>
      <c r="Z592" s="185">
        <f t="shared" ref="Z592:Z613" si="221">IF(ISBLANK(O592),"",IF(O592="IB",8.63*200,IF(O592="IR",16*100,IF(O592="YT",20*100,IF(O592="YT-XT",24*200,IF(O592="TED",80*100))))))</f>
        <v>1600</v>
      </c>
      <c r="AA592" s="185"/>
      <c r="AB592" s="185"/>
      <c r="AC592" s="185" t="s">
        <v>2607</v>
      </c>
      <c r="AD592" s="649">
        <v>-0.15</v>
      </c>
      <c r="AE592" s="182"/>
      <c r="AF592" s="332"/>
      <c r="AG592" s="182"/>
      <c r="AH592" s="182"/>
      <c r="AI592" s="182"/>
      <c r="AJ592" s="640"/>
      <c r="AK592" s="182"/>
      <c r="AL592" s="496">
        <f>-0.02*Z592</f>
        <v>-32</v>
      </c>
      <c r="AM592" s="496">
        <f>AL592*(R592-S592)</f>
        <v>-160</v>
      </c>
      <c r="AN592" s="626"/>
      <c r="AO592" s="182"/>
      <c r="AP592" s="182" t="s">
        <v>1782</v>
      </c>
      <c r="AQ592" s="332" t="str">
        <f>UPPER(RIGHT(Journal_Live[[#This Row],[DURATION ]]))</f>
        <v>H</v>
      </c>
      <c r="AR592" s="182" t="s">
        <v>2608</v>
      </c>
      <c r="AS592" s="189">
        <v>-0.14000000000000001</v>
      </c>
      <c r="AT592" s="189">
        <f>IF(ISBLANK(AS592),,IF(U592="S",AD592-AS592,AS592-AD592))</f>
        <v>9.9999999999999811E-3</v>
      </c>
      <c r="AU592" s="187">
        <f>AV592*R592</f>
        <v>159.99999999999969</v>
      </c>
      <c r="AV592" s="190">
        <f>IF(ISBLANK(AS592),,(AT592*Z592))</f>
        <v>15.99999999999997</v>
      </c>
      <c r="AW592" s="191" t="s">
        <v>96</v>
      </c>
      <c r="AX592" s="407"/>
      <c r="AY592" s="407"/>
      <c r="AZ592" s="407" t="s">
        <v>2609</v>
      </c>
      <c r="BA592" s="407" t="s">
        <v>2610</v>
      </c>
      <c r="BB592" s="407" t="s">
        <v>529</v>
      </c>
      <c r="BC592" s="407" t="s">
        <v>529</v>
      </c>
      <c r="BD592" s="407"/>
      <c r="BE592" s="407"/>
      <c r="BF592" s="422"/>
      <c r="BG592" s="391">
        <f>SUM($AV$4:AV592)</f>
        <v>3140.5974761904713</v>
      </c>
      <c r="BH592" s="392">
        <f>SUM($AU$134:AU592)</f>
        <v>4027.0819999999394</v>
      </c>
      <c r="BI592" s="318">
        <f>SUMIFS($AU$134:AU593,$Q$134:Q593,"F")</f>
        <v>-1622.8000000000002</v>
      </c>
      <c r="BJ592" s="318">
        <f>SUMIFS($AU$134:AU593,$Q$134:Q593,"S")</f>
        <v>5876.4419999999964</v>
      </c>
      <c r="BK592" s="343">
        <f>SUMIFS($AU$134:AU593,$P$134:P593,"W")</f>
        <v>4923.7419999999347</v>
      </c>
      <c r="BL592" s="343">
        <f>SUMIFS($AU$134:AU593,$P$134:P593,"R")</f>
        <v>-848.65999999999838</v>
      </c>
      <c r="BM592" s="343">
        <f>SUMIFS($AU$134:AU593,$AQ$134:AQ593,"M")</f>
        <v>1901.3999999999721</v>
      </c>
      <c r="BN592" s="343">
        <f>SUMIFS($AU$134:AU593,$AQ$134:AQ593,"H")</f>
        <v>2396.252000000015</v>
      </c>
      <c r="BO592" s="343">
        <f>SUMIFS($AU$134:AU593,$AQ$134:AQ593,"D")</f>
        <v>-118.31000000000022</v>
      </c>
      <c r="BP592" s="343">
        <f>SUMIFS($AU$134:AU595,$AQ$134:AQ595,"W")</f>
        <v>-257.36666666666679</v>
      </c>
      <c r="BQ592" s="343">
        <f>SUMIFS($AU$134:AU593,$Q$134:Q593,"O")</f>
        <v>-377.76000000006229</v>
      </c>
      <c r="BR592" s="343">
        <f>SUMIFS($AU$134:AU593,$AA$134:AA593,"*")</f>
        <v>5948.1419999999625</v>
      </c>
      <c r="BS592" s="343">
        <f>SUMIFS($AU$134:AU593,$AB$134:AB593,"*")</f>
        <v>1021.4399999999761</v>
      </c>
      <c r="BT592" s="343">
        <f>SUMIFS($AU$134:AU593,$AC$134:AC593,"*")</f>
        <v>698.34999999999854</v>
      </c>
      <c r="BU592" s="343">
        <f>SUMIFS($AU$134:AU593,$AA$134:AA593,"*",$AB$134:AB593,"*")</f>
        <v>162.00000000000495</v>
      </c>
      <c r="BV592" s="343">
        <f>SUMIFS($AU$134:AU593,$AA$134:AA593,"*",$AC$134:AC593,"*")</f>
        <v>2127.4499999999994</v>
      </c>
      <c r="BW592" s="343">
        <f>SUMIFS($AU$134:AU593,$AB$134:AB593,"*",$AC$134:AC593,"*")</f>
        <v>2062.6</v>
      </c>
      <c r="BX592" s="343">
        <f>SUMIFS($AU593:AU$1388,$Q593:Q$1388,"F")</f>
        <v>16063.466666666667</v>
      </c>
      <c r="BY592" s="343">
        <f>SUMIFS($AU593:AU$1388,$Q593:Q$1388,"S")</f>
        <v>14795.2</v>
      </c>
      <c r="BZ592" s="343">
        <f>SUMIFS($AU593:AU$1388,$Q593:Q$1388,"O")</f>
        <v>-1271.097999999736</v>
      </c>
    </row>
    <row r="593" spans="1:78" ht="15.75" customHeight="1">
      <c r="A593" s="221" t="s">
        <v>2380</v>
      </c>
      <c r="B593" s="200">
        <v>45003</v>
      </c>
      <c r="C593" s="178" t="s">
        <v>2611</v>
      </c>
      <c r="D593" s="178" t="s">
        <v>93</v>
      </c>
      <c r="E593" s="227"/>
      <c r="F593" s="180"/>
      <c r="G593" s="281" t="s">
        <v>2545</v>
      </c>
      <c r="H593" s="182"/>
      <c r="I593" s="182"/>
      <c r="J593" s="182"/>
      <c r="K593" s="183"/>
      <c r="L593" s="182">
        <v>1</v>
      </c>
      <c r="M593" s="182">
        <v>1</v>
      </c>
      <c r="N593" s="182"/>
      <c r="O593" s="183" t="s">
        <v>2259</v>
      </c>
      <c r="P593" s="183" t="s">
        <v>2260</v>
      </c>
      <c r="Q593" s="183"/>
      <c r="R593" s="183">
        <v>1</v>
      </c>
      <c r="S593" s="183">
        <v>0</v>
      </c>
      <c r="T593" s="183">
        <v>1</v>
      </c>
      <c r="U593" s="183" t="s">
        <v>97</v>
      </c>
      <c r="V593" s="183"/>
      <c r="W593" s="183"/>
      <c r="X593" s="183"/>
      <c r="Y593" s="184">
        <f>IF(ISBLANK(O593),"",(IF(O593=UPPER("IB"),0.005,0.01)))</f>
        <v>0.01</v>
      </c>
      <c r="Z593" s="185">
        <f t="shared" si="221"/>
        <v>4800</v>
      </c>
      <c r="AA593" s="185" t="s">
        <v>2612</v>
      </c>
      <c r="AB593" s="185" t="s">
        <v>2613</v>
      </c>
      <c r="AC593" s="185" t="s">
        <v>529</v>
      </c>
      <c r="AD593" s="649">
        <v>0.3</v>
      </c>
      <c r="AE593" s="182"/>
      <c r="AF593" s="332"/>
      <c r="AG593" s="182"/>
      <c r="AH593" s="182"/>
      <c r="AI593" s="182"/>
      <c r="AJ593" s="640"/>
      <c r="AK593" s="182"/>
      <c r="AL593" s="496">
        <f>-0.02*Z593</f>
        <v>-96</v>
      </c>
      <c r="AM593" s="496">
        <f>AL593*(R593-S593)</f>
        <v>-96</v>
      </c>
      <c r="AN593" s="626"/>
      <c r="AO593" s="182"/>
      <c r="AP593" s="182" t="s">
        <v>1463</v>
      </c>
      <c r="AQ593" s="332" t="str">
        <f>UPPER(RIGHT(Journal_Live[[#This Row],[DURATION ]]))</f>
        <v>S</v>
      </c>
      <c r="AR593" s="182" t="s">
        <v>2614</v>
      </c>
      <c r="AS593" s="189">
        <v>0.28000000000000003</v>
      </c>
      <c r="AT593" s="189">
        <f>IF(ISBLANK(AS593),,IF(U593="S",AD593-AS593,AS593-AD593))</f>
        <v>1.9999999999999962E-2</v>
      </c>
      <c r="AU593" s="187">
        <f>AV593*R593</f>
        <v>95.999999999999815</v>
      </c>
      <c r="AV593" s="190">
        <f>IF(ISBLANK(AS593),,(AT593*Z593))</f>
        <v>95.999999999999815</v>
      </c>
      <c r="AW593" s="191" t="s">
        <v>96</v>
      </c>
      <c r="AX593" s="407" t="s">
        <v>2615</v>
      </c>
      <c r="AY593" s="407" t="s">
        <v>529</v>
      </c>
      <c r="AZ593" s="407"/>
      <c r="BA593" s="407"/>
      <c r="BB593" s="407"/>
      <c r="BC593" s="407"/>
      <c r="BD593" s="407"/>
      <c r="BE593" s="407"/>
      <c r="BF593" s="422"/>
      <c r="BG593" s="391">
        <f>SUM($AV$4:AV593)</f>
        <v>3236.5974761904713</v>
      </c>
      <c r="BH593" s="392">
        <f>SUM($AU$134:AU593)</f>
        <v>4123.0819999999394</v>
      </c>
      <c r="BI593" s="318">
        <f>SUMIFS($AU$134:AU594,$Q$134:Q594,"F")</f>
        <v>-769.46666666666692</v>
      </c>
      <c r="BJ593" s="318">
        <f>SUMIFS($AU$134:AU594,$Q$134:Q594,"S")</f>
        <v>5876.4419999999964</v>
      </c>
      <c r="BK593" s="343">
        <f>SUMIFS($AU$134:AU594,$P$134:P594,"W")</f>
        <v>4923.7419999999347</v>
      </c>
      <c r="BL593" s="343">
        <f>SUMIFS($AU$134:AU594,$P$134:P594,"R")</f>
        <v>4.673333333334881</v>
      </c>
      <c r="BM593" s="343">
        <f>SUMIFS($AU$134:AU594,$AQ$134:AQ594,"M")</f>
        <v>1901.3999999999721</v>
      </c>
      <c r="BN593" s="343">
        <f>SUMIFS($AU$134:AU594,$AQ$134:AQ594,"H")</f>
        <v>2396.252000000015</v>
      </c>
      <c r="BO593" s="343">
        <f>SUMIFS($AU$134:AU594,$AQ$134:AQ594,"D")</f>
        <v>-118.31000000000022</v>
      </c>
      <c r="BP593" s="343">
        <f>SUMIFS($AU$134:AU596,$AQ$134:AQ596,"W")</f>
        <v>-257.36666666666679</v>
      </c>
      <c r="BQ593" s="343">
        <f>SUMIFS($AU$134:AU594,$Q$134:Q594,"O")</f>
        <v>-377.76000000006229</v>
      </c>
      <c r="BR593" s="343">
        <f>SUMIFS($AU$134:AU594,$AA$134:AA594,"*")</f>
        <v>6801.4753333332956</v>
      </c>
      <c r="BS593" s="343">
        <f>SUMIFS($AU$134:AU594,$AB$134:AB594,"*")</f>
        <v>1021.4399999999761</v>
      </c>
      <c r="BT593" s="343">
        <f>SUMIFS($AU$134:AU594,$AC$134:AC594,"*")</f>
        <v>1551.6833333333318</v>
      </c>
      <c r="BU593" s="343">
        <f>SUMIFS($AU$134:AU594,$AA$134:AA594,"*",$AB$134:AB594,"*")</f>
        <v>162.00000000000495</v>
      </c>
      <c r="BV593" s="343">
        <f>SUMIFS($AU$134:AU594,$AA$134:AA594,"*",$AC$134:AC594,"*")</f>
        <v>2980.7833333333328</v>
      </c>
      <c r="BW593" s="343">
        <f>SUMIFS($AU$134:AU594,$AB$134:AB594,"*",$AC$134:AC594,"*")</f>
        <v>2062.6</v>
      </c>
      <c r="BX593" s="343">
        <f>SUMIFS($AU594:AU$1388,$Q594:Q$1388,"F")</f>
        <v>16063.466666666667</v>
      </c>
      <c r="BY593" s="343">
        <f>SUMIFS($AU594:AU$1388,$Q594:Q$1388,"S")</f>
        <v>14795.2</v>
      </c>
      <c r="BZ593" s="343">
        <f>SUMIFS($AU594:AU$1388,$Q594:Q$1388,"O")</f>
        <v>-1271.097999999736</v>
      </c>
    </row>
    <row r="594" spans="1:78" ht="15.75" customHeight="1">
      <c r="A594" s="221" t="s">
        <v>2380</v>
      </c>
      <c r="B594" s="200">
        <v>45003</v>
      </c>
      <c r="C594" s="178" t="s">
        <v>2616</v>
      </c>
      <c r="D594" s="178" t="s">
        <v>93</v>
      </c>
      <c r="E594" s="227"/>
      <c r="F594" s="180"/>
      <c r="G594" s="279" t="s">
        <v>2617</v>
      </c>
      <c r="H594" s="182"/>
      <c r="I594" s="182"/>
      <c r="J594" s="182"/>
      <c r="K594" s="183"/>
      <c r="L594" s="182">
        <v>1</v>
      </c>
      <c r="M594" s="182">
        <v>2</v>
      </c>
      <c r="N594" s="182"/>
      <c r="O594" s="183" t="s">
        <v>95</v>
      </c>
      <c r="P594" s="183" t="s">
        <v>137</v>
      </c>
      <c r="Q594" s="183" t="s">
        <v>256</v>
      </c>
      <c r="R594" s="183">
        <v>20</v>
      </c>
      <c r="S594" s="183">
        <v>20</v>
      </c>
      <c r="T594" s="183">
        <v>10</v>
      </c>
      <c r="U594" s="183" t="s">
        <v>22</v>
      </c>
      <c r="V594" s="183"/>
      <c r="W594" s="183"/>
      <c r="X594" s="183"/>
      <c r="Y594" s="184">
        <f>IF(ISBLANK(O594),"",(IF(O594=UPPER("IB"),0.005,0.01)))</f>
        <v>0.01</v>
      </c>
      <c r="Z594" s="185">
        <f t="shared" si="221"/>
        <v>1600</v>
      </c>
      <c r="AA594" s="185" t="s">
        <v>2618</v>
      </c>
      <c r="AB594" s="185"/>
      <c r="AC594" s="185" t="s">
        <v>2619</v>
      </c>
      <c r="AD594" s="649">
        <v>-0.04</v>
      </c>
      <c r="AE594" s="182"/>
      <c r="AF594" s="332"/>
      <c r="AG594" s="182"/>
      <c r="AH594" s="182" t="s">
        <v>2620</v>
      </c>
      <c r="AI594" s="182" t="s">
        <v>529</v>
      </c>
      <c r="AJ594" s="640"/>
      <c r="AK594" s="182"/>
      <c r="AL594" s="496">
        <f>-0.01*Z594</f>
        <v>-16</v>
      </c>
      <c r="AM594" s="496">
        <f>AL594*(R594-S594)</f>
        <v>0</v>
      </c>
      <c r="AN594" s="626" t="s">
        <v>2598</v>
      </c>
      <c r="AO594" s="182"/>
      <c r="AP594" s="182" t="s">
        <v>2621</v>
      </c>
      <c r="AQ594" s="332" t="s">
        <v>96</v>
      </c>
      <c r="AR594" s="298" t="s">
        <v>2622</v>
      </c>
      <c r="AS594" s="189">
        <f>((-0.02*5)+(0*5)+(-0.01*5)+(-0.01*5))/15</f>
        <v>-1.3333333333333334E-2</v>
      </c>
      <c r="AT594" s="189">
        <f>IF(ISBLANK(AS594),,IF(U594="S",AD594-AS594,AS594-AD594))</f>
        <v>2.6666666666666665E-2</v>
      </c>
      <c r="AU594" s="187">
        <f>AV594*R594</f>
        <v>853.33333333333326</v>
      </c>
      <c r="AV594" s="190">
        <f>IF(ISBLANK(AS594),,(AT594*Z594))</f>
        <v>42.666666666666664</v>
      </c>
      <c r="AW594" s="191" t="s">
        <v>96</v>
      </c>
      <c r="AX594" s="407" t="s">
        <v>2623</v>
      </c>
      <c r="AY594" s="407" t="s">
        <v>2624</v>
      </c>
      <c r="AZ594" s="409" t="s">
        <v>2625</v>
      </c>
      <c r="BA594" s="409" t="s">
        <v>2626</v>
      </c>
      <c r="BB594" s="407" t="s">
        <v>2627</v>
      </c>
      <c r="BC594" s="407" t="s">
        <v>2628</v>
      </c>
      <c r="BD594" s="407" t="s">
        <v>529</v>
      </c>
      <c r="BE594" s="407"/>
      <c r="BF594" s="422"/>
      <c r="BG594" s="391">
        <f>SUM($AV$4:AV594)</f>
        <v>3279.2641428571378</v>
      </c>
      <c r="BH594" s="392">
        <f>SUM($AU$134:AU594)</f>
        <v>4976.4153333332724</v>
      </c>
      <c r="BI594" s="318">
        <f>SUMIFS($AU$134:AU595,$Q$134:Q595,"F")</f>
        <v>-769.46666666666692</v>
      </c>
      <c r="BJ594" s="318">
        <f>SUMIFS($AU$134:AU595,$Q$134:Q595,"S")</f>
        <v>5876.4419999999964</v>
      </c>
      <c r="BK594" s="343">
        <f>SUMIFS($AU$134:AU595,$P$134:P595,"W")</f>
        <v>4923.7419999999347</v>
      </c>
      <c r="BL594" s="343">
        <f>SUMIFS($AU$134:AU595,$P$134:P595,"R")</f>
        <v>4.673333333334881</v>
      </c>
      <c r="BM594" s="343">
        <f>SUMIFS($AU$134:AU595,$AQ$134:AQ595,"M")</f>
        <v>1901.3999999999721</v>
      </c>
      <c r="BN594" s="343">
        <f>SUMIFS($AU$134:AU595,$AQ$134:AQ595,"H")</f>
        <v>2396.252000000015</v>
      </c>
      <c r="BO594" s="343">
        <f>SUMIFS($AU$134:AU595,$AQ$134:AQ595,"D")</f>
        <v>-118.31000000000022</v>
      </c>
      <c r="BP594" s="343">
        <f>SUMIFS($AU$134:AU597,$AQ$134:AQ597,"W")</f>
        <v>-257.36666666666679</v>
      </c>
      <c r="BQ594" s="343">
        <f>SUMIFS($AU$134:AU595,$Q$134:Q595,"O")</f>
        <v>-377.76000000006229</v>
      </c>
      <c r="BR594" s="343">
        <f>SUMIFS($AU$134:AU595,$AA$134:AA595,"*")</f>
        <v>6801.4753333332956</v>
      </c>
      <c r="BS594" s="343">
        <f>SUMIFS($AU$134:AU595,$AB$134:AB595,"*")</f>
        <v>1021.4399999999761</v>
      </c>
      <c r="BT594" s="343">
        <f>SUMIFS($AU$134:AU595,$AC$134:AC595,"*")</f>
        <v>1551.6833333333318</v>
      </c>
      <c r="BU594" s="343">
        <f>SUMIFS($AU$134:AU595,$AA$134:AA595,"*",$AB$134:AB595,"*")</f>
        <v>162.00000000000495</v>
      </c>
      <c r="BV594" s="343">
        <f>SUMIFS($AU$134:AU595,$AA$134:AA595,"*",$AC$134:AC595,"*")</f>
        <v>2980.7833333333328</v>
      </c>
      <c r="BW594" s="343">
        <f>SUMIFS($AU$134:AU595,$AB$134:AB595,"*",$AC$134:AC595,"*")</f>
        <v>2062.6</v>
      </c>
      <c r="BX594" s="343">
        <f>SUMIFS($AU595:AU$1388,$Q595:Q$1388,"F")</f>
        <v>15210.133333333335</v>
      </c>
      <c r="BY594" s="343">
        <f>SUMIFS($AU595:AU$1388,$Q595:Q$1388,"S")</f>
        <v>14795.2</v>
      </c>
      <c r="BZ594" s="343">
        <f>SUMIFS($AU595:AU$1388,$Q595:Q$1388,"O")</f>
        <v>-1271.097999999736</v>
      </c>
    </row>
    <row r="595" spans="1:78" ht="15.75" customHeight="1">
      <c r="A595" s="221" t="s">
        <v>2380</v>
      </c>
      <c r="B595" s="200"/>
      <c r="C595" s="178"/>
      <c r="D595" s="178"/>
      <c r="E595" s="227"/>
      <c r="F595" s="180"/>
      <c r="G595" s="181"/>
      <c r="H595" s="182"/>
      <c r="I595" s="182"/>
      <c r="J595" s="182"/>
      <c r="K595" s="183"/>
      <c r="L595" s="182"/>
      <c r="M595" s="182"/>
      <c r="N595" s="182"/>
      <c r="O595" s="183"/>
      <c r="P595" s="183"/>
      <c r="Q595" s="183"/>
      <c r="R595" s="183"/>
      <c r="S595" s="183"/>
      <c r="T595" s="183"/>
      <c r="U595" s="183"/>
      <c r="V595" s="183"/>
      <c r="W595" s="183"/>
      <c r="X595" s="183"/>
      <c r="Y595" s="183"/>
      <c r="Z595" s="185" t="str">
        <f t="shared" si="221"/>
        <v/>
      </c>
      <c r="AA595" s="185"/>
      <c r="AB595" s="185"/>
      <c r="AC595" s="185"/>
      <c r="AD595" s="649"/>
      <c r="AE595" s="182"/>
      <c r="AF595" s="332"/>
      <c r="AG595" s="182"/>
      <c r="AH595" s="182"/>
      <c r="AI595" s="182"/>
      <c r="AJ595" s="640"/>
      <c r="AK595" s="182"/>
      <c r="AL595" s="496"/>
      <c r="AM595" s="496"/>
      <c r="AN595" s="626"/>
      <c r="AO595" s="182"/>
      <c r="AP595" s="182"/>
      <c r="AQ595" s="332" t="str">
        <f>UPPER(RIGHT(Journal_Live[[#This Row],[DURATION ]]))</f>
        <v/>
      </c>
      <c r="AR595" s="182"/>
      <c r="AS595" s="189"/>
      <c r="AT595" s="189"/>
      <c r="AU595" s="187"/>
      <c r="AV595" s="190"/>
      <c r="AW595" s="191"/>
      <c r="AX595" s="409" t="s">
        <v>2629</v>
      </c>
      <c r="AY595" s="407" t="s">
        <v>2630</v>
      </c>
      <c r="AZ595" s="407" t="s">
        <v>2631</v>
      </c>
      <c r="BA595" s="407" t="s">
        <v>2632</v>
      </c>
      <c r="BB595" s="407" t="s">
        <v>2633</v>
      </c>
      <c r="BC595" s="409" t="s">
        <v>2634</v>
      </c>
      <c r="BD595" s="409" t="s">
        <v>2635</v>
      </c>
      <c r="BE595" s="407"/>
      <c r="BF595" s="422"/>
      <c r="BG595" s="391">
        <f>SUM($AV$4:AV595)</f>
        <v>3279.2641428571378</v>
      </c>
      <c r="BH595" s="392">
        <f>SUM($AU$134:AU595)</f>
        <v>4976.4153333332724</v>
      </c>
      <c r="BI595" s="318">
        <f>SUMIFS($AU$134:AU596,$Q$134:Q596,"F")</f>
        <v>-769.46666666666692</v>
      </c>
      <c r="BJ595" s="318">
        <f>SUMIFS($AU$134:AU596,$Q$134:Q596,"S")</f>
        <v>5876.4419999999964</v>
      </c>
      <c r="BK595" s="343">
        <f>SUMIFS($AU$134:AU596,$P$134:P596,"W")</f>
        <v>4923.7419999999347</v>
      </c>
      <c r="BL595" s="343">
        <f>SUMIFS($AU$134:AU596,$P$134:P596,"R")</f>
        <v>4.673333333334881</v>
      </c>
      <c r="BM595" s="343">
        <f>SUMIFS($AU$134:AU596,$AQ$134:AQ596,"M")</f>
        <v>1901.3999999999721</v>
      </c>
      <c r="BN595" s="343">
        <f>SUMIFS($AU$134:AU596,$AQ$134:AQ596,"H")</f>
        <v>2396.252000000015</v>
      </c>
      <c r="BO595" s="343">
        <f>SUMIFS($AU$134:AU596,$AQ$134:AQ596,"D")</f>
        <v>-118.31000000000022</v>
      </c>
      <c r="BP595" s="343">
        <f>SUMIFS($AU$134:AU598,$AQ$134:AQ598,"W")</f>
        <v>-257.36666666666679</v>
      </c>
      <c r="BQ595" s="343">
        <f>SUMIFS($AU$134:AU596,$Q$134:Q596,"O")</f>
        <v>-377.76000000006229</v>
      </c>
      <c r="BR595" s="343">
        <f>SUMIFS($AU$134:AU596,$AA$134:AA596,"*")</f>
        <v>6801.4753333332956</v>
      </c>
      <c r="BS595" s="343">
        <f>SUMIFS($AU$134:AU596,$AB$134:AB596,"*")</f>
        <v>1021.4399999999761</v>
      </c>
      <c r="BT595" s="343">
        <f>SUMIFS($AU$134:AU596,$AC$134:AC596,"*")</f>
        <v>1551.6833333333318</v>
      </c>
      <c r="BU595" s="343">
        <f>SUMIFS($AU$134:AU596,$AA$134:AA596,"*",$AB$134:AB596,"*")</f>
        <v>162.00000000000495</v>
      </c>
      <c r="BV595" s="343">
        <f>SUMIFS($AU$134:AU596,$AA$134:AA596,"*",$AC$134:AC596,"*")</f>
        <v>2980.7833333333328</v>
      </c>
      <c r="BW595" s="343">
        <f>SUMIFS($AU$134:AU596,$AB$134:AB596,"*",$AC$134:AC596,"*")</f>
        <v>2062.6</v>
      </c>
      <c r="BX595" s="343">
        <f>SUMIFS($AU596:AU$1388,$Q596:Q$1388,"F")</f>
        <v>15210.133333333335</v>
      </c>
      <c r="BY595" s="343">
        <f>SUMIFS($AU596:AU$1388,$Q596:Q$1388,"S")</f>
        <v>14795.2</v>
      </c>
      <c r="BZ595" s="343">
        <f>SUMIFS($AU596:AU$1388,$Q596:Q$1388,"O")</f>
        <v>-1271.097999999736</v>
      </c>
    </row>
    <row r="596" spans="1:78" ht="15.75" customHeight="1">
      <c r="A596" s="221" t="s">
        <v>2380</v>
      </c>
      <c r="B596" s="200">
        <v>45065</v>
      </c>
      <c r="C596" s="178" t="s">
        <v>2636</v>
      </c>
      <c r="D596" s="178" t="s">
        <v>111</v>
      </c>
      <c r="E596" s="227"/>
      <c r="F596" s="180"/>
      <c r="G596" s="281" t="s">
        <v>181</v>
      </c>
      <c r="H596" s="182"/>
      <c r="I596" s="182"/>
      <c r="J596" s="182"/>
      <c r="K596" s="183"/>
      <c r="L596" s="182"/>
      <c r="M596" s="182">
        <v>1</v>
      </c>
      <c r="N596" s="182"/>
      <c r="O596" s="183" t="s">
        <v>95</v>
      </c>
      <c r="P596" s="183" t="s">
        <v>96</v>
      </c>
      <c r="Q596" s="183" t="s">
        <v>97</v>
      </c>
      <c r="R596" s="183">
        <v>10</v>
      </c>
      <c r="S596" s="183">
        <v>0</v>
      </c>
      <c r="T596" s="183">
        <v>10</v>
      </c>
      <c r="U596" s="183" t="s">
        <v>22</v>
      </c>
      <c r="V596" s="183"/>
      <c r="W596" s="183"/>
      <c r="X596" s="183"/>
      <c r="Y596" s="184">
        <f>IF(ISBLANK(O596),"",(IF(O596=UPPER("IB"),0.005,0.01)))</f>
        <v>0.01</v>
      </c>
      <c r="Z596" s="185">
        <f t="shared" si="221"/>
        <v>1600</v>
      </c>
      <c r="AA596" s="185"/>
      <c r="AB596" s="185"/>
      <c r="AC596" s="185" t="s">
        <v>2637</v>
      </c>
      <c r="AD596" s="649">
        <v>-0.13</v>
      </c>
      <c r="AE596" s="182"/>
      <c r="AF596" s="332"/>
      <c r="AG596" s="182"/>
      <c r="AH596" s="182"/>
      <c r="AI596" s="182"/>
      <c r="AJ596" s="640"/>
      <c r="AK596" s="182"/>
      <c r="AL596" s="496"/>
      <c r="AM596" s="496"/>
      <c r="AN596" s="626"/>
      <c r="AO596" s="182"/>
      <c r="AP596" s="182" t="s">
        <v>804</v>
      </c>
      <c r="AQ596" s="332" t="str">
        <f>UPPER(RIGHT(Journal_Live[[#This Row],[DURATION ]]))</f>
        <v>D</v>
      </c>
      <c r="AR596" s="182" t="s">
        <v>2638</v>
      </c>
      <c r="AS596" s="189">
        <v>-0.13</v>
      </c>
      <c r="AT596" s="189">
        <f t="shared" ref="AT596:AT603" si="222">IF(ISBLANK(AS596),,IF(U596="S",AD596-AS596,AS596-AD596))</f>
        <v>0</v>
      </c>
      <c r="AU596" s="187">
        <f t="shared" ref="AU596:AU603" si="223">AV596*R596</f>
        <v>0</v>
      </c>
      <c r="AV596" s="190">
        <f t="shared" ref="AV596:AV603" si="224">IF(ISBLANK(AS596),,(AT596*Z596))</f>
        <v>0</v>
      </c>
      <c r="AW596" s="191" t="s">
        <v>115</v>
      </c>
      <c r="AX596" s="407" t="s">
        <v>2639</v>
      </c>
      <c r="AY596" s="407" t="s">
        <v>2640</v>
      </c>
      <c r="AZ596" s="407" t="s">
        <v>529</v>
      </c>
      <c r="BA596" s="419"/>
      <c r="BB596" s="407"/>
      <c r="BC596" s="407"/>
      <c r="BD596" s="407"/>
      <c r="BE596" s="407"/>
      <c r="BF596" s="422"/>
      <c r="BG596" s="391">
        <f>SUM($AV$4:AV596)</f>
        <v>3279.2641428571378</v>
      </c>
      <c r="BH596" s="392">
        <f>SUM($AU$134:AU596)</f>
        <v>4976.4153333332724</v>
      </c>
      <c r="BI596" s="318">
        <f>SUMIFS($AU$134:AU597,$Q$134:Q597,"F")</f>
        <v>-769.46666666666692</v>
      </c>
      <c r="BJ596" s="318">
        <f>SUMIFS($AU$134:AU597,$Q$134:Q597,"S")</f>
        <v>5876.4419999999964</v>
      </c>
      <c r="BK596" s="343">
        <f>SUMIFS($AU$134:AU597,$P$134:P597,"W")</f>
        <v>4923.7419999999347</v>
      </c>
      <c r="BL596" s="343">
        <f>SUMIFS($AU$134:AU597,$P$134:P597,"R")</f>
        <v>4.673333333334881</v>
      </c>
      <c r="BM596" s="343">
        <f>SUMIFS($AU$134:AU597,$AQ$134:AQ597,"M")</f>
        <v>1901.3999999999721</v>
      </c>
      <c r="BN596" s="343">
        <f>SUMIFS($AU$134:AU597,$AQ$134:AQ597,"H")</f>
        <v>2396.252000000015</v>
      </c>
      <c r="BO596" s="343">
        <f>SUMIFS($AU$134:AU597,$AQ$134:AQ597,"D")</f>
        <v>-118.31000000000022</v>
      </c>
      <c r="BP596" s="343">
        <f>SUMIFS($AU$134:AU599,$AQ$134:AQ599,"W")</f>
        <v>-257.36666666666679</v>
      </c>
      <c r="BQ596" s="343">
        <f>SUMIFS($AU$134:AU597,$Q$134:Q597,"O")</f>
        <v>-377.76000000006229</v>
      </c>
      <c r="BR596" s="343">
        <f>SUMIFS($AU$134:AU597,$AA$134:AA597,"*")</f>
        <v>6801.4753333332956</v>
      </c>
      <c r="BS596" s="343">
        <f>SUMIFS($AU$134:AU597,$AB$134:AB597,"*")</f>
        <v>1021.4399999999761</v>
      </c>
      <c r="BT596" s="343">
        <f>SUMIFS($AU$134:AU597,$AC$134:AC597,"*")</f>
        <v>1551.6833333333318</v>
      </c>
      <c r="BU596" s="343">
        <f>SUMIFS($AU$134:AU597,$AA$134:AA597,"*",$AB$134:AB597,"*")</f>
        <v>162.00000000000495</v>
      </c>
      <c r="BV596" s="343">
        <f>SUMIFS($AU$134:AU597,$AA$134:AA597,"*",$AC$134:AC597,"*")</f>
        <v>2980.7833333333328</v>
      </c>
      <c r="BW596" s="343">
        <f>SUMIFS($AU$134:AU597,$AB$134:AB597,"*",$AC$134:AC597,"*")</f>
        <v>2062.6</v>
      </c>
      <c r="BX596" s="343">
        <f>SUMIFS($AU597:AU$1388,$Q597:Q$1388,"F")</f>
        <v>15210.133333333335</v>
      </c>
      <c r="BY596" s="343">
        <f>SUMIFS($AU597:AU$1388,$Q597:Q$1388,"S")</f>
        <v>14795.2</v>
      </c>
      <c r="BZ596" s="343">
        <f>SUMIFS($AU597:AU$1388,$Q597:Q$1388,"O")</f>
        <v>-1271.097999999736</v>
      </c>
    </row>
    <row r="597" spans="1:78" ht="15.75" customHeight="1">
      <c r="A597" s="221" t="s">
        <v>2380</v>
      </c>
      <c r="B597" s="200"/>
      <c r="C597" s="178"/>
      <c r="D597" s="178"/>
      <c r="E597" s="227"/>
      <c r="F597" s="180"/>
      <c r="G597" s="181"/>
      <c r="H597" s="182"/>
      <c r="I597" s="182"/>
      <c r="J597" s="182"/>
      <c r="K597" s="183"/>
      <c r="L597" s="182"/>
      <c r="M597" s="182"/>
      <c r="N597" s="182"/>
      <c r="O597" s="183"/>
      <c r="P597" s="183"/>
      <c r="Q597" s="183"/>
      <c r="R597" s="183"/>
      <c r="S597" s="183"/>
      <c r="T597" s="183"/>
      <c r="U597" s="183"/>
      <c r="V597" s="183"/>
      <c r="W597" s="183"/>
      <c r="X597" s="183"/>
      <c r="Y597" s="183"/>
      <c r="Z597" s="185" t="str">
        <f t="shared" si="221"/>
        <v/>
      </c>
      <c r="AA597" s="185"/>
      <c r="AB597" s="185"/>
      <c r="AC597" s="185"/>
      <c r="AD597" s="649"/>
      <c r="AE597" s="182"/>
      <c r="AF597" s="332"/>
      <c r="AG597" s="182"/>
      <c r="AH597" s="182"/>
      <c r="AI597" s="182"/>
      <c r="AJ597" s="640"/>
      <c r="AK597" s="182"/>
      <c r="AL597" s="496"/>
      <c r="AM597" s="496"/>
      <c r="AN597" s="626"/>
      <c r="AO597" s="182"/>
      <c r="AP597" s="182"/>
      <c r="AQ597" s="332" t="str">
        <f>UPPER(RIGHT(Journal_Live[[#This Row],[DURATION ]]))</f>
        <v/>
      </c>
      <c r="AR597" s="182"/>
      <c r="AS597" s="189"/>
      <c r="AT597" s="189">
        <f t="shared" si="222"/>
        <v>0</v>
      </c>
      <c r="AU597" s="187">
        <f t="shared" si="223"/>
        <v>0</v>
      </c>
      <c r="AV597" s="190">
        <f t="shared" si="224"/>
        <v>0</v>
      </c>
      <c r="AW597" s="191"/>
      <c r="AX597" s="407" t="s">
        <v>2641</v>
      </c>
      <c r="AY597" s="407" t="s">
        <v>2642</v>
      </c>
      <c r="AZ597" s="407" t="s">
        <v>2643</v>
      </c>
      <c r="BA597" s="407" t="s">
        <v>2644</v>
      </c>
      <c r="BB597" s="407" t="s">
        <v>2645</v>
      </c>
      <c r="BC597" s="407"/>
      <c r="BD597" s="407"/>
      <c r="BE597" s="407"/>
      <c r="BF597" s="422"/>
      <c r="BG597" s="391">
        <f>SUM($AV$4:AV597)</f>
        <v>3279.2641428571378</v>
      </c>
      <c r="BH597" s="392">
        <f>SUM($AU$134:AU597)</f>
        <v>4976.4153333332724</v>
      </c>
      <c r="BI597" s="318">
        <f>SUMIFS($AU$134:AU598,$Q$134:Q598,"F")</f>
        <v>-769.46666666666692</v>
      </c>
      <c r="BJ597" s="318">
        <f>SUMIFS($AU$134:AU598,$Q$134:Q598,"S")</f>
        <v>5716.4419999999964</v>
      </c>
      <c r="BK597" s="343">
        <f>SUMIFS($AU$134:AU598,$P$134:P598,"W")</f>
        <v>4763.7419999999347</v>
      </c>
      <c r="BL597" s="343">
        <f>SUMIFS($AU$134:AU598,$P$134:P598,"R")</f>
        <v>4.673333333334881</v>
      </c>
      <c r="BM597" s="343">
        <f>SUMIFS($AU$134:AU598,$AQ$134:AQ598,"M")</f>
        <v>1901.3999999999721</v>
      </c>
      <c r="BN597" s="343">
        <f>SUMIFS($AU$134:AU598,$AQ$134:AQ598,"H")</f>
        <v>2396.252000000015</v>
      </c>
      <c r="BO597" s="343">
        <f>SUMIFS($AU$134:AU598,$AQ$134:AQ598,"D")</f>
        <v>-278.31000000000017</v>
      </c>
      <c r="BP597" s="343">
        <f>SUMIFS($AU$134:AU600,$AQ$134:AQ600,"W")</f>
        <v>-257.36666666666679</v>
      </c>
      <c r="BQ597" s="343">
        <f>SUMIFS($AU$134:AU598,$Q$134:Q598,"O")</f>
        <v>-377.76000000006229</v>
      </c>
      <c r="BR597" s="343">
        <f>SUMIFS($AU$134:AU598,$AA$134:AA598,"*")</f>
        <v>6641.4753333332956</v>
      </c>
      <c r="BS597" s="343">
        <f>SUMIFS($AU$134:AU598,$AB$134:AB598,"*")</f>
        <v>1021.4399999999761</v>
      </c>
      <c r="BT597" s="343">
        <f>SUMIFS($AU$134:AU598,$AC$134:AC598,"*")</f>
        <v>1551.6833333333318</v>
      </c>
      <c r="BU597" s="343">
        <f>SUMIFS($AU$134:AU598,$AA$134:AA598,"*",$AB$134:AB598,"*")</f>
        <v>162.00000000000495</v>
      </c>
      <c r="BV597" s="343">
        <f>SUMIFS($AU$134:AU598,$AA$134:AA598,"*",$AC$134:AC598,"*")</f>
        <v>2980.7833333333328</v>
      </c>
      <c r="BW597" s="343">
        <f>SUMIFS($AU$134:AU598,$AB$134:AB598,"*",$AC$134:AC598,"*")</f>
        <v>2062.6</v>
      </c>
      <c r="BX597" s="343">
        <f>SUMIFS($AU598:AU$1388,$Q598:Q$1388,"F")</f>
        <v>15210.133333333335</v>
      </c>
      <c r="BY597" s="343">
        <f>SUMIFS($AU598:AU$1388,$Q598:Q$1388,"S")</f>
        <v>14795.2</v>
      </c>
      <c r="BZ597" s="343">
        <f>SUMIFS($AU598:AU$1388,$Q598:Q$1388,"O")</f>
        <v>-1271.097999999736</v>
      </c>
    </row>
    <row r="598" spans="1:78" ht="15.75" customHeight="1">
      <c r="A598" s="221" t="s">
        <v>2380</v>
      </c>
      <c r="B598" s="200">
        <v>45068</v>
      </c>
      <c r="C598" s="178" t="s">
        <v>290</v>
      </c>
      <c r="D598" s="178" t="s">
        <v>132</v>
      </c>
      <c r="E598" s="227"/>
      <c r="F598" s="180"/>
      <c r="G598" s="281" t="s">
        <v>576</v>
      </c>
      <c r="H598" s="182"/>
      <c r="I598" s="182"/>
      <c r="J598" s="182"/>
      <c r="K598" s="183"/>
      <c r="L598" s="182">
        <v>1</v>
      </c>
      <c r="M598" s="182"/>
      <c r="N598" s="182"/>
      <c r="O598" s="183" t="s">
        <v>95</v>
      </c>
      <c r="P598" s="183" t="s">
        <v>96</v>
      </c>
      <c r="Q598" s="183" t="s">
        <v>97</v>
      </c>
      <c r="R598" s="183">
        <v>5</v>
      </c>
      <c r="S598" s="183">
        <v>0</v>
      </c>
      <c r="T598" s="183">
        <v>5</v>
      </c>
      <c r="U598" s="183" t="s">
        <v>97</v>
      </c>
      <c r="V598" s="183"/>
      <c r="W598" s="183"/>
      <c r="X598" s="183"/>
      <c r="Y598" s="184">
        <f t="shared" ref="Y598:Y605" si="225">IF(ISBLANK(O598),"",(IF(O598=UPPER("IB"),0.005,0.01)))</f>
        <v>0.01</v>
      </c>
      <c r="Z598" s="185">
        <f t="shared" si="221"/>
        <v>1600</v>
      </c>
      <c r="AA598" s="185" t="s">
        <v>2646</v>
      </c>
      <c r="AB598" s="185"/>
      <c r="AC598" s="185"/>
      <c r="AD598" s="649">
        <v>0.1</v>
      </c>
      <c r="AE598" s="182"/>
      <c r="AF598" s="332">
        <v>12</v>
      </c>
      <c r="AG598" s="182" t="s">
        <v>1870</v>
      </c>
      <c r="AH598" s="182">
        <v>0.09</v>
      </c>
      <c r="AI598" s="182"/>
      <c r="AJ598" s="640"/>
      <c r="AK598" s="182"/>
      <c r="AL598" s="496">
        <f t="shared" ref="AL598" si="226">-0.01*Z598</f>
        <v>-16</v>
      </c>
      <c r="AM598" s="496">
        <f t="shared" ref="AM598:AM603" si="227">AL598*(R598-S598)</f>
        <v>-80</v>
      </c>
      <c r="AN598" s="626"/>
      <c r="AO598" s="182"/>
      <c r="AP598" s="182" t="s">
        <v>804</v>
      </c>
      <c r="AQ598" s="332" t="str">
        <f>UPPER(RIGHT(Journal_Live[[#This Row],[DURATION ]]))</f>
        <v>D</v>
      </c>
      <c r="AR598" s="182" t="s">
        <v>2647</v>
      </c>
      <c r="AS598" s="189">
        <v>0.12</v>
      </c>
      <c r="AT598" s="189">
        <f t="shared" si="222"/>
        <v>-1.999999999999999E-2</v>
      </c>
      <c r="AU598" s="187">
        <f t="shared" si="223"/>
        <v>-159.99999999999994</v>
      </c>
      <c r="AV598" s="190">
        <f t="shared" si="224"/>
        <v>-31.999999999999986</v>
      </c>
      <c r="AW598" s="191" t="s">
        <v>229</v>
      </c>
      <c r="AX598" s="407" t="s">
        <v>2648</v>
      </c>
      <c r="AY598" s="407" t="s">
        <v>2649</v>
      </c>
      <c r="AZ598" s="407"/>
      <c r="BA598" s="407"/>
      <c r="BB598" s="407"/>
      <c r="BC598" s="407"/>
      <c r="BD598" s="407"/>
      <c r="BE598" s="407"/>
      <c r="BF598" s="422"/>
      <c r="BG598" s="391">
        <f>SUM($AV$4:AV598)</f>
        <v>3247.2641428571378</v>
      </c>
      <c r="BH598" s="392">
        <f>SUM($AU$134:AU598)</f>
        <v>4816.4153333332724</v>
      </c>
      <c r="BI598" s="318">
        <f>SUMIFS($AU$134:AU599,$Q$134:Q599,"F")</f>
        <v>-769.46666666666692</v>
      </c>
      <c r="BJ598" s="318">
        <f>SUMIFS($AU$134:AU599,$Q$134:Q599,"S")</f>
        <v>5716.4419999999964</v>
      </c>
      <c r="BK598" s="343">
        <f>SUMIFS($AU$134:AU599,$P$134:P599,"W")</f>
        <v>4763.7419999999347</v>
      </c>
      <c r="BL598" s="343">
        <f>SUMIFS($AU$134:AU599,$P$134:P599,"R")</f>
        <v>4.673333333334881</v>
      </c>
      <c r="BM598" s="343">
        <f>SUMIFS($AU$134:AU599,$AQ$134:AQ599,"M")</f>
        <v>1901.3999999999721</v>
      </c>
      <c r="BN598" s="343">
        <f>SUMIFS($AU$134:AU599,$AQ$134:AQ599,"H")</f>
        <v>2476.252000000015</v>
      </c>
      <c r="BO598" s="343">
        <f>SUMIFS($AU$134:AU599,$AQ$134:AQ599,"D")</f>
        <v>-278.31000000000017</v>
      </c>
      <c r="BP598" s="343">
        <f>SUMIFS($AU$134:AU601,$AQ$134:AQ601,"W")</f>
        <v>-97.366666666666788</v>
      </c>
      <c r="BQ598" s="343">
        <f>SUMIFS($AU$134:AU599,$Q$134:Q599,"O")</f>
        <v>-377.76000000006229</v>
      </c>
      <c r="BR598" s="343">
        <f>SUMIFS($AU$134:AU599,$AA$134:AA599,"*")</f>
        <v>6721.4753333332956</v>
      </c>
      <c r="BS598" s="343">
        <f>SUMIFS($AU$134:AU599,$AB$134:AB599,"*")</f>
        <v>1021.4399999999761</v>
      </c>
      <c r="BT598" s="343">
        <f>SUMIFS($AU$134:AU599,$AC$134:AC599,"*")</f>
        <v>1551.6833333333318</v>
      </c>
      <c r="BU598" s="343">
        <f>SUMIFS($AU$134:AU599,$AA$134:AA599,"*",$AB$134:AB599,"*")</f>
        <v>162.00000000000495</v>
      </c>
      <c r="BV598" s="343">
        <f>SUMIFS($AU$134:AU599,$AA$134:AA599,"*",$AC$134:AC599,"*")</f>
        <v>2980.7833333333328</v>
      </c>
      <c r="BW598" s="343">
        <f>SUMIFS($AU$134:AU599,$AB$134:AB599,"*",$AC$134:AC599,"*")</f>
        <v>2062.6</v>
      </c>
      <c r="BX598" s="343">
        <f>SUMIFS($AU599:AU$1388,$Q599:Q$1388,"F")</f>
        <v>15210.133333333335</v>
      </c>
      <c r="BY598" s="343">
        <f>SUMIFS($AU599:AU$1388,$Q599:Q$1388,"S")</f>
        <v>14955.2</v>
      </c>
      <c r="BZ598" s="343">
        <f>SUMIFS($AU599:AU$1388,$Q599:Q$1388,"O")</f>
        <v>-1271.097999999736</v>
      </c>
    </row>
    <row r="599" spans="1:78" ht="15.75" customHeight="1">
      <c r="A599" s="221" t="s">
        <v>2380</v>
      </c>
      <c r="B599" s="200">
        <v>45069</v>
      </c>
      <c r="C599" s="178" t="s">
        <v>2650</v>
      </c>
      <c r="D599" s="178" t="s">
        <v>146</v>
      </c>
      <c r="E599" s="227"/>
      <c r="F599" s="180"/>
      <c r="G599" s="281" t="s">
        <v>2651</v>
      </c>
      <c r="H599" s="182"/>
      <c r="I599" s="182"/>
      <c r="J599" s="182"/>
      <c r="K599" s="183"/>
      <c r="L599" s="182">
        <v>1</v>
      </c>
      <c r="M599" s="182"/>
      <c r="N599" s="182"/>
      <c r="O599" s="183" t="s">
        <v>2652</v>
      </c>
      <c r="P599" s="183"/>
      <c r="Q599" s="183"/>
      <c r="R599" s="183">
        <v>1</v>
      </c>
      <c r="S599" s="183">
        <v>0</v>
      </c>
      <c r="T599" s="183">
        <v>1</v>
      </c>
      <c r="U599" s="183" t="s">
        <v>97</v>
      </c>
      <c r="V599" s="183"/>
      <c r="W599" s="183"/>
      <c r="X599" s="183"/>
      <c r="Y599" s="184">
        <f t="shared" si="225"/>
        <v>0.01</v>
      </c>
      <c r="Z599" s="185">
        <f t="shared" si="221"/>
        <v>8000</v>
      </c>
      <c r="AA599" s="185" t="s">
        <v>2653</v>
      </c>
      <c r="AB599" s="185"/>
      <c r="AC599" s="185"/>
      <c r="AD599" s="649">
        <v>-0.49</v>
      </c>
      <c r="AE599" s="182"/>
      <c r="AF599" s="332"/>
      <c r="AG599" s="182"/>
      <c r="AH599" s="182"/>
      <c r="AI599" s="182"/>
      <c r="AJ599" s="640"/>
      <c r="AK599" s="182"/>
      <c r="AL599" s="496">
        <f>-0.03*Z599</f>
        <v>-240</v>
      </c>
      <c r="AM599" s="496">
        <f t="shared" si="227"/>
        <v>-240</v>
      </c>
      <c r="AN599" s="626"/>
      <c r="AO599" s="182"/>
      <c r="AP599" s="182" t="s">
        <v>1026</v>
      </c>
      <c r="AQ599" s="332" t="str">
        <f>UPPER(RIGHT(Journal_Live[[#This Row],[DURATION ]]))</f>
        <v>H</v>
      </c>
      <c r="AR599" s="182" t="s">
        <v>2654</v>
      </c>
      <c r="AS599" s="189">
        <v>-0.5</v>
      </c>
      <c r="AT599" s="189">
        <f t="shared" si="222"/>
        <v>1.0000000000000009E-2</v>
      </c>
      <c r="AU599" s="187">
        <f t="shared" si="223"/>
        <v>80.000000000000071</v>
      </c>
      <c r="AV599" s="190">
        <f t="shared" si="224"/>
        <v>80.000000000000071</v>
      </c>
      <c r="AW599" s="191" t="s">
        <v>96</v>
      </c>
      <c r="AX599" s="407" t="s">
        <v>2655</v>
      </c>
      <c r="AY599" s="407" t="s">
        <v>529</v>
      </c>
      <c r="AZ599" s="407"/>
      <c r="BA599" s="407"/>
      <c r="BB599" s="407"/>
      <c r="BC599" s="407"/>
      <c r="BD599" s="407"/>
      <c r="BE599" s="407"/>
      <c r="BF599" s="422"/>
      <c r="BG599" s="391">
        <f>SUM($AV$4:AV599)</f>
        <v>3327.2641428571378</v>
      </c>
      <c r="BH599" s="392">
        <f>SUM($AU$134:AU599)</f>
        <v>4896.4153333332724</v>
      </c>
      <c r="BI599" s="318">
        <f>SUMIFS($AU$134:AU600,$Q$134:Q600,"F")</f>
        <v>-769.46666666666692</v>
      </c>
      <c r="BJ599" s="318">
        <f>SUMIFS($AU$134:AU600,$Q$134:Q600,"S")</f>
        <v>5716.4419999999964</v>
      </c>
      <c r="BK599" s="343">
        <f>SUMIFS($AU$134:AU600,$P$134:P600,"W")</f>
        <v>4763.7419999999347</v>
      </c>
      <c r="BL599" s="343">
        <f>SUMIFS($AU$134:AU600,$P$134:P600,"R")</f>
        <v>4.673333333334881</v>
      </c>
      <c r="BM599" s="343">
        <f>SUMIFS($AU$134:AU600,$AQ$134:AQ600,"M")</f>
        <v>1925.3999999999719</v>
      </c>
      <c r="BN599" s="343">
        <f>SUMIFS($AU$134:AU600,$AQ$134:AQ600,"H")</f>
        <v>2476.252000000015</v>
      </c>
      <c r="BO599" s="343">
        <f>SUMIFS($AU$134:AU600,$AQ$134:AQ600,"D")</f>
        <v>-278.31000000000017</v>
      </c>
      <c r="BP599" s="343">
        <f>SUMIFS($AU$134:AU602,$AQ$134:AQ602,"W")</f>
        <v>-97.366666666666788</v>
      </c>
      <c r="BQ599" s="343">
        <f>SUMIFS($AU$134:AU600,$Q$134:Q600,"O")</f>
        <v>-377.76000000006229</v>
      </c>
      <c r="BR599" s="343">
        <f>SUMIFS($AU$134:AU600,$AA$134:AA600,"*")</f>
        <v>6745.4753333332956</v>
      </c>
      <c r="BS599" s="343">
        <f>SUMIFS($AU$134:AU600,$AB$134:AB600,"*")</f>
        <v>1021.4399999999761</v>
      </c>
      <c r="BT599" s="343">
        <f>SUMIFS($AU$134:AU600,$AC$134:AC600,"*")</f>
        <v>1551.6833333333318</v>
      </c>
      <c r="BU599" s="343">
        <f>SUMIFS($AU$134:AU600,$AA$134:AA600,"*",$AB$134:AB600,"*")</f>
        <v>162.00000000000495</v>
      </c>
      <c r="BV599" s="343">
        <f>SUMIFS($AU$134:AU600,$AA$134:AA600,"*",$AC$134:AC600,"*")</f>
        <v>2980.7833333333328</v>
      </c>
      <c r="BW599" s="343">
        <f>SUMIFS($AU$134:AU600,$AB$134:AB600,"*",$AC$134:AC600,"*")</f>
        <v>2062.6</v>
      </c>
      <c r="BX599" s="343">
        <f>SUMIFS($AU600:AU$1388,$Q600:Q$1388,"F")</f>
        <v>15210.133333333335</v>
      </c>
      <c r="BY599" s="343">
        <f>SUMIFS($AU600:AU$1388,$Q600:Q$1388,"S")</f>
        <v>14955.2</v>
      </c>
      <c r="BZ599" s="343">
        <f>SUMIFS($AU600:AU$1388,$Q600:Q$1388,"O")</f>
        <v>-1271.097999999736</v>
      </c>
    </row>
    <row r="600" spans="1:78" ht="15.75" customHeight="1">
      <c r="A600" s="221" t="s">
        <v>2380</v>
      </c>
      <c r="B600" s="200">
        <v>45069</v>
      </c>
      <c r="C600" s="178" t="s">
        <v>2656</v>
      </c>
      <c r="D600" s="178" t="s">
        <v>146</v>
      </c>
      <c r="E600" s="227"/>
      <c r="F600" s="180"/>
      <c r="G600" s="281" t="s">
        <v>2545</v>
      </c>
      <c r="H600" s="182"/>
      <c r="I600" s="182"/>
      <c r="J600" s="182"/>
      <c r="K600" s="183"/>
      <c r="L600" s="182">
        <v>1</v>
      </c>
      <c r="M600" s="182"/>
      <c r="N600" s="182"/>
      <c r="O600" s="183" t="s">
        <v>2259</v>
      </c>
      <c r="P600" s="183" t="s">
        <v>2260</v>
      </c>
      <c r="Q600" s="183"/>
      <c r="R600" s="183">
        <v>1</v>
      </c>
      <c r="S600" s="183">
        <v>0</v>
      </c>
      <c r="T600" s="183">
        <v>1</v>
      </c>
      <c r="U600" s="183" t="s">
        <v>22</v>
      </c>
      <c r="V600" s="183"/>
      <c r="W600" s="183"/>
      <c r="X600" s="183"/>
      <c r="Y600" s="184">
        <f t="shared" si="225"/>
        <v>0.01</v>
      </c>
      <c r="Z600" s="185">
        <f t="shared" si="221"/>
        <v>4800</v>
      </c>
      <c r="AA600" s="185" t="s">
        <v>2657</v>
      </c>
      <c r="AB600" s="185"/>
      <c r="AC600" s="185"/>
      <c r="AD600" s="649">
        <v>0.28000000000000003</v>
      </c>
      <c r="AE600" s="182"/>
      <c r="AF600" s="332">
        <v>27</v>
      </c>
      <c r="AG600" s="182" t="s">
        <v>2658</v>
      </c>
      <c r="AH600" s="182">
        <v>28.5</v>
      </c>
      <c r="AI600" s="182"/>
      <c r="AJ600" s="640"/>
      <c r="AK600" s="182"/>
      <c r="AL600" s="496">
        <f>-0.03*Z600</f>
        <v>-144</v>
      </c>
      <c r="AM600" s="496">
        <f t="shared" si="227"/>
        <v>-144</v>
      </c>
      <c r="AN600" s="626"/>
      <c r="AO600" s="182"/>
      <c r="AP600" s="182" t="s">
        <v>1960</v>
      </c>
      <c r="AQ600" s="332" t="str">
        <f>UPPER(RIGHT(Journal_Live[[#This Row],[DURATION ]]))</f>
        <v>M</v>
      </c>
      <c r="AR600" s="182" t="s">
        <v>2659</v>
      </c>
      <c r="AS600" s="189">
        <v>0.28499999999999998</v>
      </c>
      <c r="AT600" s="189">
        <f t="shared" si="222"/>
        <v>4.9999999999999489E-3</v>
      </c>
      <c r="AU600" s="187">
        <f t="shared" si="223"/>
        <v>23.999999999999755</v>
      </c>
      <c r="AV600" s="190">
        <f t="shared" si="224"/>
        <v>23.999999999999755</v>
      </c>
      <c r="AW600" s="191" t="s">
        <v>96</v>
      </c>
      <c r="AX600" s="407" t="s">
        <v>2660</v>
      </c>
      <c r="AY600" s="407"/>
      <c r="AZ600" s="407"/>
      <c r="BA600" s="407"/>
      <c r="BB600" s="407"/>
      <c r="BC600" s="407"/>
      <c r="BD600" s="407"/>
      <c r="BE600" s="407"/>
      <c r="BF600" s="422"/>
      <c r="BG600" s="391">
        <f>SUM($AV$4:AV600)</f>
        <v>3351.2641428571374</v>
      </c>
      <c r="BH600" s="392">
        <f>SUM($AU$134:AU600)</f>
        <v>4920.4153333332724</v>
      </c>
      <c r="BI600" s="318">
        <f>SUMIFS($AU$134:AU601,$Q$134:Q601,"F")</f>
        <v>-609.46666666666692</v>
      </c>
      <c r="BJ600" s="318">
        <f>SUMIFS($AU$134:AU601,$Q$134:Q601,"S")</f>
        <v>5716.4419999999964</v>
      </c>
      <c r="BK600" s="343">
        <f>SUMIFS($AU$134:AU601,$P$134:P601,"W")</f>
        <v>4923.7419999999347</v>
      </c>
      <c r="BL600" s="343">
        <f>SUMIFS($AU$134:AU601,$P$134:P601,"R")</f>
        <v>4.673333333334881</v>
      </c>
      <c r="BM600" s="343">
        <f>SUMIFS($AU$134:AU601,$AQ$134:AQ601,"M")</f>
        <v>1925.3999999999719</v>
      </c>
      <c r="BN600" s="343">
        <f>SUMIFS($AU$134:AU601,$AQ$134:AQ601,"H")</f>
        <v>2476.252000000015</v>
      </c>
      <c r="BO600" s="343">
        <f>SUMIFS($AU$134:AU601,$AQ$134:AQ601,"D")</f>
        <v>-278.31000000000017</v>
      </c>
      <c r="BP600" s="343">
        <f>SUMIFS($AU$134:AU603,$AQ$134:AQ603,"W")</f>
        <v>-97.366666666666788</v>
      </c>
      <c r="BQ600" s="343">
        <f>SUMIFS($AU$134:AU601,$Q$134:Q601,"O")</f>
        <v>-377.76000000006229</v>
      </c>
      <c r="BR600" s="343">
        <f>SUMIFS($AU$134:AU601,$AA$134:AA601,"*")</f>
        <v>6745.4753333332956</v>
      </c>
      <c r="BS600" s="343">
        <f>SUMIFS($AU$134:AU601,$AB$134:AB601,"*")</f>
        <v>1021.4399999999761</v>
      </c>
      <c r="BT600" s="343">
        <f>SUMIFS($AU$134:AU601,$AC$134:AC601,"*")</f>
        <v>1711.6833333333318</v>
      </c>
      <c r="BU600" s="343">
        <f>SUMIFS($AU$134:AU601,$AA$134:AA601,"*",$AB$134:AB601,"*")</f>
        <v>162.00000000000495</v>
      </c>
      <c r="BV600" s="343">
        <f>SUMIFS($AU$134:AU601,$AA$134:AA601,"*",$AC$134:AC601,"*")</f>
        <v>2980.7833333333328</v>
      </c>
      <c r="BW600" s="343">
        <f>SUMIFS($AU$134:AU601,$AB$134:AB601,"*",$AC$134:AC601,"*")</f>
        <v>2062.6</v>
      </c>
      <c r="BX600" s="343">
        <f>SUMIFS($AU601:AU$1388,$Q601:Q$1388,"F")</f>
        <v>15210.133333333335</v>
      </c>
      <c r="BY600" s="343">
        <f>SUMIFS($AU601:AU$1388,$Q601:Q$1388,"S")</f>
        <v>14955.2</v>
      </c>
      <c r="BZ600" s="343">
        <f>SUMIFS($AU601:AU$1388,$Q601:Q$1388,"O")</f>
        <v>-1271.097999999736</v>
      </c>
    </row>
    <row r="601" spans="1:78" ht="15.75" customHeight="1">
      <c r="A601" s="221" t="s">
        <v>2380</v>
      </c>
      <c r="B601" s="200">
        <v>45069</v>
      </c>
      <c r="C601" s="178" t="s">
        <v>2661</v>
      </c>
      <c r="D601" s="178" t="s">
        <v>146</v>
      </c>
      <c r="E601" s="227"/>
      <c r="F601" s="180"/>
      <c r="G601" s="420" t="s">
        <v>2662</v>
      </c>
      <c r="H601" s="182"/>
      <c r="I601" s="182"/>
      <c r="J601" s="182"/>
      <c r="K601" s="183"/>
      <c r="L601" s="182">
        <v>1</v>
      </c>
      <c r="M601" s="182">
        <v>2</v>
      </c>
      <c r="N601" s="182"/>
      <c r="O601" s="183" t="s">
        <v>95</v>
      </c>
      <c r="P601" s="183" t="s">
        <v>96</v>
      </c>
      <c r="Q601" s="183" t="s">
        <v>256</v>
      </c>
      <c r="R601" s="183">
        <v>10</v>
      </c>
      <c r="S601" s="183">
        <v>5</v>
      </c>
      <c r="T601" s="183">
        <v>10</v>
      </c>
      <c r="U601" s="183" t="s">
        <v>97</v>
      </c>
      <c r="V601" s="183"/>
      <c r="W601" s="183"/>
      <c r="X601" s="183"/>
      <c r="Y601" s="184">
        <f t="shared" si="225"/>
        <v>0.01</v>
      </c>
      <c r="Z601" s="185">
        <f t="shared" si="221"/>
        <v>1600</v>
      </c>
      <c r="AA601" s="185"/>
      <c r="AB601" s="185"/>
      <c r="AC601" s="185" t="s">
        <v>2595</v>
      </c>
      <c r="AD601" s="649">
        <v>0.01</v>
      </c>
      <c r="AE601" s="182"/>
      <c r="AF601" s="332"/>
      <c r="AG601" s="182"/>
      <c r="AH601" s="182"/>
      <c r="AI601" s="182"/>
      <c r="AJ601" s="640"/>
      <c r="AK601" s="182"/>
      <c r="AL601" s="496">
        <f>-0.02*Z601</f>
        <v>-32</v>
      </c>
      <c r="AM601" s="496">
        <f t="shared" si="227"/>
        <v>-160</v>
      </c>
      <c r="AN601" s="626"/>
      <c r="AO601" s="182"/>
      <c r="AP601" s="182" t="s">
        <v>902</v>
      </c>
      <c r="AQ601" s="332" t="str">
        <f>UPPER(RIGHT(Journal_Live[[#This Row],[DURATION ]]))</f>
        <v>W</v>
      </c>
      <c r="AR601" s="182" t="s">
        <v>2663</v>
      </c>
      <c r="AS601" s="189">
        <f>((0*5)+(0*5))/10</f>
        <v>0</v>
      </c>
      <c r="AT601" s="189">
        <f t="shared" si="222"/>
        <v>0.01</v>
      </c>
      <c r="AU601" s="187">
        <f t="shared" si="223"/>
        <v>160</v>
      </c>
      <c r="AV601" s="190">
        <f t="shared" si="224"/>
        <v>16</v>
      </c>
      <c r="AW601" s="191" t="s">
        <v>96</v>
      </c>
      <c r="AX601" s="407" t="s">
        <v>2664</v>
      </c>
      <c r="AY601" s="407" t="s">
        <v>529</v>
      </c>
      <c r="AZ601" s="407"/>
      <c r="BA601" s="407"/>
      <c r="BB601" s="407"/>
      <c r="BC601" s="407"/>
      <c r="BD601" s="407"/>
      <c r="BE601" s="407"/>
      <c r="BF601" s="422"/>
      <c r="BG601" s="391">
        <f>SUM($AV$4:AV601)</f>
        <v>3367.2641428571374</v>
      </c>
      <c r="BH601" s="392">
        <f>SUM($AU$134:AU601)</f>
        <v>5080.4153333332724</v>
      </c>
      <c r="BI601" s="318">
        <f>SUMIFS($AU$134:AU602,$Q$134:Q602,"F")</f>
        <v>-609.46666666666692</v>
      </c>
      <c r="BJ601" s="318">
        <f>SUMIFS($AU$134:AU602,$Q$134:Q602,"S")</f>
        <v>5716.4419999999964</v>
      </c>
      <c r="BK601" s="343">
        <f>SUMIFS($AU$134:AU602,$P$134:P602,"W")</f>
        <v>4923.7419999999347</v>
      </c>
      <c r="BL601" s="343">
        <f>SUMIFS($AU$134:AU602,$P$134:P602,"R")</f>
        <v>4.673333333334881</v>
      </c>
      <c r="BM601" s="343">
        <f>SUMIFS($AU$134:AU602,$AQ$134:AQ602,"M")</f>
        <v>1925.3999999999719</v>
      </c>
      <c r="BN601" s="343">
        <f>SUMIFS($AU$134:AU602,$AQ$134:AQ602,"H")</f>
        <v>2476.252000000015</v>
      </c>
      <c r="BO601" s="343">
        <f>SUMIFS($AU$134:AU602,$AQ$134:AQ602,"D")</f>
        <v>-278.31000000000017</v>
      </c>
      <c r="BP601" s="343">
        <f>SUMIFS($AU$134:AU604,$AQ$134:AQ604,"W")</f>
        <v>-97.366666666666788</v>
      </c>
      <c r="BQ601" s="343">
        <f>SUMIFS($AU$134:AU602,$Q$134:Q602,"O")</f>
        <v>-377.76000000006229</v>
      </c>
      <c r="BR601" s="343">
        <f>SUMIFS($AU$134:AU602,$AA$134:AA602,"*")</f>
        <v>6745.4753333332956</v>
      </c>
      <c r="BS601" s="343">
        <f>SUMIFS($AU$134:AU602,$AB$134:AB602,"*")</f>
        <v>1021.4399999999761</v>
      </c>
      <c r="BT601" s="343">
        <f>SUMIFS($AU$134:AU602,$AC$134:AC602,"*")</f>
        <v>1711.6833333333318</v>
      </c>
      <c r="BU601" s="343">
        <f>SUMIFS($AU$134:AU602,$AA$134:AA602,"*",$AB$134:AB602,"*")</f>
        <v>162.00000000000495</v>
      </c>
      <c r="BV601" s="343">
        <f>SUMIFS($AU$134:AU602,$AA$134:AA602,"*",$AC$134:AC602,"*")</f>
        <v>2980.7833333333328</v>
      </c>
      <c r="BW601" s="343">
        <f>SUMIFS($AU$134:AU602,$AB$134:AB602,"*",$AC$134:AC602,"*")</f>
        <v>2062.6</v>
      </c>
      <c r="BX601" s="343">
        <f>SUMIFS($AU602:AU$1388,$Q602:Q$1388,"F")</f>
        <v>15050.133333333335</v>
      </c>
      <c r="BY601" s="343">
        <f>SUMIFS($AU602:AU$1388,$Q602:Q$1388,"S")</f>
        <v>14955.2</v>
      </c>
      <c r="BZ601" s="343">
        <f>SUMIFS($AU602:AU$1388,$Q602:Q$1388,"O")</f>
        <v>-1271.097999999736</v>
      </c>
    </row>
    <row r="602" spans="1:78" ht="15.75" customHeight="1">
      <c r="A602" s="221" t="s">
        <v>2380</v>
      </c>
      <c r="B602" s="200">
        <v>45069</v>
      </c>
      <c r="C602" s="178" t="s">
        <v>2661</v>
      </c>
      <c r="D602" s="178" t="s">
        <v>146</v>
      </c>
      <c r="E602" s="227"/>
      <c r="F602" s="180"/>
      <c r="G602" s="281" t="s">
        <v>181</v>
      </c>
      <c r="H602" s="182"/>
      <c r="I602" s="182"/>
      <c r="J602" s="182"/>
      <c r="K602" s="183"/>
      <c r="L602" s="182">
        <v>1</v>
      </c>
      <c r="M602" s="182"/>
      <c r="N602" s="182"/>
      <c r="O602" s="183" t="s">
        <v>95</v>
      </c>
      <c r="P602" s="183" t="s">
        <v>96</v>
      </c>
      <c r="Q602" s="183" t="s">
        <v>97</v>
      </c>
      <c r="R602" s="183">
        <v>10</v>
      </c>
      <c r="S602" s="183">
        <v>0</v>
      </c>
      <c r="T602" s="183">
        <v>10</v>
      </c>
      <c r="U602" s="183" t="s">
        <v>22</v>
      </c>
      <c r="V602" s="183"/>
      <c r="W602" s="183"/>
      <c r="X602" s="183"/>
      <c r="Y602" s="184">
        <f t="shared" si="225"/>
        <v>0.01</v>
      </c>
      <c r="Z602" s="185">
        <f t="shared" si="221"/>
        <v>1600</v>
      </c>
      <c r="AA602" s="185" t="s">
        <v>99</v>
      </c>
      <c r="AB602" s="185"/>
      <c r="AC602" s="185"/>
      <c r="AD602" s="649">
        <v>-0.1</v>
      </c>
      <c r="AE602" s="182"/>
      <c r="AF602" s="332"/>
      <c r="AG602" s="182"/>
      <c r="AH602" s="182"/>
      <c r="AI602" s="182"/>
      <c r="AJ602" s="640"/>
      <c r="AK602" s="182"/>
      <c r="AL602" s="496">
        <f t="shared" ref="AL602:AL603" si="228">-0.02*Z602</f>
        <v>-32</v>
      </c>
      <c r="AM602" s="496">
        <f t="shared" si="227"/>
        <v>-320</v>
      </c>
      <c r="AN602" s="626"/>
      <c r="AO602" s="182"/>
      <c r="AP602" s="182"/>
      <c r="AQ602" s="332" t="str">
        <f>UPPER(RIGHT(Journal_Live[[#This Row],[DURATION ]]))</f>
        <v/>
      </c>
      <c r="AR602" s="182"/>
      <c r="AS602" s="189">
        <v>-0.1</v>
      </c>
      <c r="AT602" s="189">
        <f t="shared" si="222"/>
        <v>0</v>
      </c>
      <c r="AU602" s="187">
        <f t="shared" si="223"/>
        <v>0</v>
      </c>
      <c r="AV602" s="190">
        <f t="shared" si="224"/>
        <v>0</v>
      </c>
      <c r="AW602" s="191" t="s">
        <v>115</v>
      </c>
      <c r="AX602" s="407"/>
      <c r="AY602" s="407"/>
      <c r="AZ602" s="407"/>
      <c r="BA602" s="407"/>
      <c r="BB602" s="407"/>
      <c r="BC602" s="407"/>
      <c r="BD602" s="407"/>
      <c r="BE602" s="407"/>
      <c r="BF602" s="422"/>
      <c r="BG602" s="391">
        <f>SUM($AV$4:AV602)</f>
        <v>3367.2641428571374</v>
      </c>
      <c r="BH602" s="392">
        <f>SUM($AU$134:AU602)</f>
        <v>5080.4153333332724</v>
      </c>
      <c r="BI602" s="318">
        <f>SUMIFS($AU$134:AU603,$Q$134:Q603,"F")</f>
        <v>-609.46666666666692</v>
      </c>
      <c r="BJ602" s="318">
        <f>SUMIFS($AU$134:AU603,$Q$134:Q603,"S")</f>
        <v>5716.4419999999964</v>
      </c>
      <c r="BK602" s="343">
        <f>SUMIFS($AU$134:AU603,$P$134:P603,"W")</f>
        <v>4923.7419999999347</v>
      </c>
      <c r="BL602" s="343">
        <f>SUMIFS($AU$134:AU603,$P$134:P603,"R")</f>
        <v>4.673333333334881</v>
      </c>
      <c r="BM602" s="343">
        <f>SUMIFS($AU$134:AU603,$AQ$134:AQ603,"M")</f>
        <v>1925.3999999999719</v>
      </c>
      <c r="BN602" s="343">
        <f>SUMIFS($AU$134:AU603,$AQ$134:AQ603,"H")</f>
        <v>2476.252000000015</v>
      </c>
      <c r="BO602" s="343">
        <f>SUMIFS($AU$134:AU603,$AQ$134:AQ603,"D")</f>
        <v>-278.31000000000017</v>
      </c>
      <c r="BP602" s="343">
        <f>SUMIFS($AU$134:AU605,$AQ$134:AQ605,"W")</f>
        <v>-97.366666666666788</v>
      </c>
      <c r="BQ602" s="343">
        <f>SUMIFS($AU$134:AU603,$Q$134:Q603,"O")</f>
        <v>-377.76000000006229</v>
      </c>
      <c r="BR602" s="343">
        <f>SUMIFS($AU$134:AU603,$AA$134:AA603,"*")</f>
        <v>6745.4753333332956</v>
      </c>
      <c r="BS602" s="343">
        <f>SUMIFS($AU$134:AU603,$AB$134:AB603,"*")</f>
        <v>1021.4399999999761</v>
      </c>
      <c r="BT602" s="343">
        <f>SUMIFS($AU$134:AU603,$AC$134:AC603,"*")</f>
        <v>1711.6833333333318</v>
      </c>
      <c r="BU602" s="343">
        <f>SUMIFS($AU$134:AU603,$AA$134:AA603,"*",$AB$134:AB603,"*")</f>
        <v>162.00000000000495</v>
      </c>
      <c r="BV602" s="343">
        <f>SUMIFS($AU$134:AU603,$AA$134:AA603,"*",$AC$134:AC603,"*")</f>
        <v>2980.7833333333328</v>
      </c>
      <c r="BW602" s="343">
        <f>SUMIFS($AU$134:AU603,$AB$134:AB603,"*",$AC$134:AC603,"*")</f>
        <v>2062.6</v>
      </c>
      <c r="BX602" s="343">
        <f>SUMIFS($AU603:AU$1388,$Q603:Q$1388,"F")</f>
        <v>15050.133333333335</v>
      </c>
      <c r="BY602" s="343">
        <f>SUMIFS($AU603:AU$1388,$Q603:Q$1388,"S")</f>
        <v>14955.2</v>
      </c>
      <c r="BZ602" s="343">
        <f>SUMIFS($AU603:AU$1388,$Q603:Q$1388,"O")</f>
        <v>-1271.097999999736</v>
      </c>
    </row>
    <row r="603" spans="1:78" ht="15.75" customHeight="1">
      <c r="A603" s="221" t="s">
        <v>2380</v>
      </c>
      <c r="B603" s="200">
        <v>45069</v>
      </c>
      <c r="C603" s="178" t="s">
        <v>2661</v>
      </c>
      <c r="D603" s="178" t="s">
        <v>146</v>
      </c>
      <c r="E603" s="227"/>
      <c r="F603" s="180"/>
      <c r="G603" s="281" t="s">
        <v>136</v>
      </c>
      <c r="H603" s="182"/>
      <c r="I603" s="182"/>
      <c r="J603" s="182"/>
      <c r="K603" s="183"/>
      <c r="L603" s="182">
        <v>1</v>
      </c>
      <c r="M603" s="182"/>
      <c r="N603" s="182"/>
      <c r="O603" s="183" t="s">
        <v>95</v>
      </c>
      <c r="P603" s="183" t="s">
        <v>96</v>
      </c>
      <c r="Q603" s="183" t="s">
        <v>97</v>
      </c>
      <c r="R603" s="183">
        <v>10</v>
      </c>
      <c r="S603" s="183">
        <v>0</v>
      </c>
      <c r="T603" s="183">
        <v>10</v>
      </c>
      <c r="U603" s="183" t="s">
        <v>22</v>
      </c>
      <c r="V603" s="183"/>
      <c r="W603" s="183"/>
      <c r="X603" s="183"/>
      <c r="Y603" s="184">
        <f t="shared" si="225"/>
        <v>0.01</v>
      </c>
      <c r="Z603" s="185">
        <f t="shared" si="221"/>
        <v>1600</v>
      </c>
      <c r="AA603" s="185"/>
      <c r="AB603" s="185"/>
      <c r="AC603" s="185" t="s">
        <v>2665</v>
      </c>
      <c r="AD603" s="649">
        <v>-0.11</v>
      </c>
      <c r="AE603" s="182"/>
      <c r="AF603" s="332"/>
      <c r="AG603" s="182"/>
      <c r="AH603" s="182"/>
      <c r="AI603" s="182"/>
      <c r="AJ603" s="640"/>
      <c r="AK603" s="182"/>
      <c r="AL603" s="496">
        <f t="shared" si="228"/>
        <v>-32</v>
      </c>
      <c r="AM603" s="496">
        <f t="shared" si="227"/>
        <v>-320</v>
      </c>
      <c r="AN603" s="626"/>
      <c r="AO603" s="182"/>
      <c r="AP603" s="182" t="s">
        <v>2666</v>
      </c>
      <c r="AQ603" s="332" t="str">
        <f>UPPER(RIGHT(Journal_Live[[#This Row],[DURATION ]]))</f>
        <v>M</v>
      </c>
      <c r="AR603" s="182" t="s">
        <v>2667</v>
      </c>
      <c r="AS603" s="189">
        <v>-0.11</v>
      </c>
      <c r="AT603" s="189">
        <f t="shared" si="222"/>
        <v>0</v>
      </c>
      <c r="AU603" s="187">
        <f t="shared" si="223"/>
        <v>0</v>
      </c>
      <c r="AV603" s="190">
        <f t="shared" si="224"/>
        <v>0</v>
      </c>
      <c r="AW603" s="191" t="s">
        <v>115</v>
      </c>
      <c r="AX603" s="407"/>
      <c r="AY603" s="407"/>
      <c r="AZ603" s="407"/>
      <c r="BA603" s="407"/>
      <c r="BB603" s="407"/>
      <c r="BC603" s="407"/>
      <c r="BD603" s="407"/>
      <c r="BE603" s="407"/>
      <c r="BF603" s="422"/>
      <c r="BG603" s="391">
        <f>SUM($AV$4:AV603)</f>
        <v>3367.2641428571374</v>
      </c>
      <c r="BH603" s="392">
        <f>SUM($AU$134:AU603)</f>
        <v>5080.4153333332724</v>
      </c>
      <c r="BI603" s="318">
        <f>SUMIFS($AU$134:AU604,$Q$134:Q604,"F")</f>
        <v>-609.46666666666692</v>
      </c>
      <c r="BJ603" s="318">
        <f>SUMIFS($AU$134:AU604,$Q$134:Q604,"S")</f>
        <v>5716.4419999999964</v>
      </c>
      <c r="BK603" s="343">
        <f>SUMIFS($AU$134:AU604,$P$134:P604,"W")</f>
        <v>4923.7419999999347</v>
      </c>
      <c r="BL603" s="343">
        <f>SUMIFS($AU$134:AU604,$P$134:P604,"R")</f>
        <v>4.673333333334881</v>
      </c>
      <c r="BM603" s="343">
        <f>SUMIFS($AU$134:AU604,$AQ$134:AQ604,"M")</f>
        <v>1925.3999999999719</v>
      </c>
      <c r="BN603" s="343">
        <f>SUMIFS($AU$134:AU604,$AQ$134:AQ604,"H")</f>
        <v>2476.252000000015</v>
      </c>
      <c r="BO603" s="343">
        <f>SUMIFS($AU$134:AU604,$AQ$134:AQ604,"D")</f>
        <v>-278.31000000000017</v>
      </c>
      <c r="BP603" s="343">
        <f>SUMIFS($AU$134:AU606,$AQ$134:AQ606,"W")</f>
        <v>-97.366666666666788</v>
      </c>
      <c r="BQ603" s="343">
        <f>SUMIFS($AU$134:AU604,$Q$134:Q604,"O")</f>
        <v>-377.76000000006229</v>
      </c>
      <c r="BR603" s="343">
        <f>SUMIFS($AU$134:AU604,$AA$134:AA604,"*")</f>
        <v>6745.4753333332956</v>
      </c>
      <c r="BS603" s="343">
        <f>SUMIFS($AU$134:AU604,$AB$134:AB604,"*")</f>
        <v>1021.4399999999761</v>
      </c>
      <c r="BT603" s="343">
        <f>SUMIFS($AU$134:AU604,$AC$134:AC604,"*")</f>
        <v>1711.6833333333318</v>
      </c>
      <c r="BU603" s="343">
        <f>SUMIFS($AU$134:AU604,$AA$134:AA604,"*",$AB$134:AB604,"*")</f>
        <v>162.00000000000495</v>
      </c>
      <c r="BV603" s="343">
        <f>SUMIFS($AU$134:AU604,$AA$134:AA604,"*",$AC$134:AC604,"*")</f>
        <v>2980.7833333333328</v>
      </c>
      <c r="BW603" s="343">
        <f>SUMIFS($AU$134:AU604,$AB$134:AB604,"*",$AC$134:AC604,"*")</f>
        <v>2062.6</v>
      </c>
      <c r="BX603" s="343">
        <f>SUMIFS($AU604:AU$1388,$Q604:Q$1388,"F")</f>
        <v>15050.133333333335</v>
      </c>
      <c r="BY603" s="343">
        <f>SUMIFS($AU604:AU$1388,$Q604:Q$1388,"S")</f>
        <v>14955.2</v>
      </c>
      <c r="BZ603" s="343">
        <f>SUMIFS($AU604:AU$1388,$Q604:Q$1388,"O")</f>
        <v>-1271.097999999736</v>
      </c>
    </row>
    <row r="604" spans="1:78" ht="15.75" customHeight="1">
      <c r="A604" s="221" t="s">
        <v>2380</v>
      </c>
      <c r="B604" s="200">
        <v>45069</v>
      </c>
      <c r="C604" s="178" t="s">
        <v>1474</v>
      </c>
      <c r="D604" s="178" t="s">
        <v>146</v>
      </c>
      <c r="E604" s="227" t="s">
        <v>2668</v>
      </c>
      <c r="F604" s="180" t="s">
        <v>2409</v>
      </c>
      <c r="G604" s="181"/>
      <c r="H604" s="182">
        <v>1</v>
      </c>
      <c r="I604" s="182"/>
      <c r="J604" s="182"/>
      <c r="K604" s="183" t="s">
        <v>372</v>
      </c>
      <c r="L604" s="182"/>
      <c r="M604" s="182"/>
      <c r="N604" s="182"/>
      <c r="O604" s="183"/>
      <c r="P604" s="183"/>
      <c r="Q604" s="183"/>
      <c r="R604" s="183"/>
      <c r="S604" s="183"/>
      <c r="T604" s="183"/>
      <c r="U604" s="183"/>
      <c r="V604" s="183"/>
      <c r="W604" s="183"/>
      <c r="X604" s="183"/>
      <c r="Y604" s="184" t="str">
        <f t="shared" si="225"/>
        <v/>
      </c>
      <c r="Z604" s="185" t="str">
        <f t="shared" si="221"/>
        <v/>
      </c>
      <c r="AA604" s="185"/>
      <c r="AB604" s="185"/>
      <c r="AC604" s="185"/>
      <c r="AD604" s="649"/>
      <c r="AE604" s="182"/>
      <c r="AF604" s="332"/>
      <c r="AG604" s="182"/>
      <c r="AH604" s="182"/>
      <c r="AI604" s="182"/>
      <c r="AJ604" s="640"/>
      <c r="AK604" s="182"/>
      <c r="AL604" s="496"/>
      <c r="AM604" s="496"/>
      <c r="AN604" s="626"/>
      <c r="AO604" s="182"/>
      <c r="AP604" s="182"/>
      <c r="AQ604" s="332" t="str">
        <f>UPPER(RIGHT(Journal_Live[[#This Row],[DURATION ]]))</f>
        <v/>
      </c>
      <c r="AR604" s="182"/>
      <c r="AS604" s="189"/>
      <c r="AT604" s="189"/>
      <c r="AU604" s="187"/>
      <c r="AV604" s="190"/>
      <c r="AW604" s="191"/>
      <c r="AX604" s="407"/>
      <c r="AY604" s="407"/>
      <c r="AZ604" s="407"/>
      <c r="BA604" s="407"/>
      <c r="BB604" s="407"/>
      <c r="BC604" s="407"/>
      <c r="BD604" s="407"/>
      <c r="BE604" s="407"/>
      <c r="BF604" s="422"/>
      <c r="BG604" s="391">
        <f>SUM($AV$4:AV604)</f>
        <v>3367.2641428571374</v>
      </c>
      <c r="BH604" s="392">
        <f>SUM($AU$134:AU604)</f>
        <v>5080.4153333332724</v>
      </c>
      <c r="BI604" s="318">
        <f>SUMIFS($AU$134:AU605,$Q$134:Q605,"F")</f>
        <v>-609.46666666666692</v>
      </c>
      <c r="BJ604" s="318">
        <f>SUMIFS($AU$134:AU605,$Q$134:Q605,"S")</f>
        <v>5716.4419999999964</v>
      </c>
      <c r="BK604" s="343">
        <f>SUMIFS($AU$134:AU605,$P$134:P605,"W")</f>
        <v>4923.7419999999347</v>
      </c>
      <c r="BL604" s="343">
        <f>SUMIFS($AU$134:AU605,$P$134:P605,"R")</f>
        <v>4.673333333334881</v>
      </c>
      <c r="BM604" s="343">
        <f>SUMIFS($AU$134:AU605,$AQ$134:AQ605,"M")</f>
        <v>1925.3999999999719</v>
      </c>
      <c r="BN604" s="343">
        <f>SUMIFS($AU$134:AU605,$AQ$134:AQ605,"H")</f>
        <v>2476.252000000015</v>
      </c>
      <c r="BO604" s="343">
        <f>SUMIFS($AU$134:AU605,$AQ$134:AQ605,"D")</f>
        <v>-278.31000000000017</v>
      </c>
      <c r="BP604" s="343">
        <f>SUMIFS($AU$134:AU607,$AQ$134:AQ607,"W")</f>
        <v>222.63333333333321</v>
      </c>
      <c r="BQ604" s="343">
        <f>SUMIFS($AU$134:AU605,$Q$134:Q605,"O")</f>
        <v>-377.76000000006229</v>
      </c>
      <c r="BR604" s="343">
        <f>SUMIFS($AU$134:AU605,$AA$134:AA605,"*")</f>
        <v>6745.4753333332956</v>
      </c>
      <c r="BS604" s="343">
        <f>SUMIFS($AU$134:AU605,$AB$134:AB605,"*")</f>
        <v>1021.4399999999761</v>
      </c>
      <c r="BT604" s="343">
        <f>SUMIFS($AU$134:AU605,$AC$134:AC605,"*")</f>
        <v>1711.6833333333318</v>
      </c>
      <c r="BU604" s="343">
        <f>SUMIFS($AU$134:AU605,$AA$134:AA605,"*",$AB$134:AB605,"*")</f>
        <v>162.00000000000495</v>
      </c>
      <c r="BV604" s="343">
        <f>SUMIFS($AU$134:AU605,$AA$134:AA605,"*",$AC$134:AC605,"*")</f>
        <v>2980.7833333333328</v>
      </c>
      <c r="BW604" s="343">
        <f>SUMIFS($AU$134:AU605,$AB$134:AB605,"*",$AC$134:AC605,"*")</f>
        <v>2062.6</v>
      </c>
      <c r="BX604" s="343">
        <f>SUMIFS($AU605:AU$1388,$Q605:Q$1388,"F")</f>
        <v>15050.133333333335</v>
      </c>
      <c r="BY604" s="343">
        <f>SUMIFS($AU605:AU$1388,$Q605:Q$1388,"S")</f>
        <v>14955.2</v>
      </c>
      <c r="BZ604" s="343">
        <f>SUMIFS($AU605:AU$1388,$Q605:Q$1388,"O")</f>
        <v>-1271.097999999736</v>
      </c>
    </row>
    <row r="605" spans="1:78" ht="15.75" customHeight="1">
      <c r="A605" s="221" t="s">
        <v>2380</v>
      </c>
      <c r="B605" s="200">
        <v>45070</v>
      </c>
      <c r="C605" s="178" t="s">
        <v>1924</v>
      </c>
      <c r="D605" s="178" t="s">
        <v>151</v>
      </c>
      <c r="E605" s="227"/>
      <c r="F605" s="180"/>
      <c r="G605" s="181" t="s">
        <v>2431</v>
      </c>
      <c r="H605" s="182"/>
      <c r="I605" s="182"/>
      <c r="J605" s="182"/>
      <c r="K605" s="183"/>
      <c r="L605" s="182"/>
      <c r="M605" s="182"/>
      <c r="N605" s="182"/>
      <c r="O605" s="183" t="s">
        <v>2432</v>
      </c>
      <c r="P605" s="183" t="s">
        <v>2260</v>
      </c>
      <c r="Q605" s="183" t="s">
        <v>684</v>
      </c>
      <c r="R605" s="183">
        <v>1</v>
      </c>
      <c r="S605" s="183">
        <v>0</v>
      </c>
      <c r="T605" s="183">
        <v>1</v>
      </c>
      <c r="U605" s="183" t="s">
        <v>97</v>
      </c>
      <c r="V605" s="183"/>
      <c r="W605" s="183"/>
      <c r="X605" s="183"/>
      <c r="Y605" s="184">
        <f t="shared" si="225"/>
        <v>0.01</v>
      </c>
      <c r="Z605" s="185">
        <f t="shared" si="221"/>
        <v>2000</v>
      </c>
      <c r="AA605" s="185"/>
      <c r="AB605" s="185"/>
      <c r="AC605" s="185"/>
      <c r="AD605" s="649">
        <v>96.63</v>
      </c>
      <c r="AE605" s="182"/>
      <c r="AF605" s="332"/>
      <c r="AG605" s="182"/>
      <c r="AH605" s="182"/>
      <c r="AI605" s="182"/>
      <c r="AJ605" s="640"/>
      <c r="AK605" s="182"/>
      <c r="AL605" s="496"/>
      <c r="AM605" s="496"/>
      <c r="AN605" s="626"/>
      <c r="AO605" s="182"/>
      <c r="AP605" s="182"/>
      <c r="AQ605" s="332" t="str">
        <f>UPPER(RIGHT(Journal_Live[[#This Row],[DURATION ]]))</f>
        <v/>
      </c>
      <c r="AR605" s="182"/>
      <c r="AS605" s="189">
        <v>96.63</v>
      </c>
      <c r="AT605" s="189">
        <f>IF(ISBLANK(AS605),,IF(U605="S",AD605-AS605,AS605-AD605))</f>
        <v>0</v>
      </c>
      <c r="AU605" s="187">
        <f>AV605*R605</f>
        <v>0</v>
      </c>
      <c r="AV605" s="190">
        <f>IF(ISBLANK(AS605),,(AT605*Z605))</f>
        <v>0</v>
      </c>
      <c r="AW605" s="191" t="s">
        <v>115</v>
      </c>
      <c r="AX605" s="407"/>
      <c r="AY605" s="407"/>
      <c r="AZ605" s="407"/>
      <c r="BA605" s="407"/>
      <c r="BB605" s="407"/>
      <c r="BC605" s="407"/>
      <c r="BD605" s="407"/>
      <c r="BE605" s="407"/>
      <c r="BF605" s="422"/>
      <c r="BG605" s="391">
        <f>SUM($AV$4:AV605)</f>
        <v>3367.2641428571374</v>
      </c>
      <c r="BH605" s="392">
        <f>SUM($AU$134:AU605)</f>
        <v>5080.4153333332724</v>
      </c>
      <c r="BI605" s="318">
        <f>SUMIFS($AU$134:AU606,$Q$134:Q606,"F")</f>
        <v>-609.46666666666692</v>
      </c>
      <c r="BJ605" s="318">
        <f>SUMIFS($AU$134:AU606,$Q$134:Q606,"S")</f>
        <v>5716.4419999999964</v>
      </c>
      <c r="BK605" s="343">
        <f>SUMIFS($AU$134:AU606,$P$134:P606,"W")</f>
        <v>4923.7419999999347</v>
      </c>
      <c r="BL605" s="343">
        <f>SUMIFS($AU$134:AU606,$P$134:P606,"R")</f>
        <v>4.673333333334881</v>
      </c>
      <c r="BM605" s="343">
        <f>SUMIFS($AU$134:AU606,$AQ$134:AQ606,"M")</f>
        <v>1925.3999999999719</v>
      </c>
      <c r="BN605" s="343">
        <f>SUMIFS($AU$134:AU606,$AQ$134:AQ606,"H")</f>
        <v>2476.252000000015</v>
      </c>
      <c r="BO605" s="343">
        <f>SUMIFS($AU$134:AU606,$AQ$134:AQ606,"D")</f>
        <v>-278.31000000000017</v>
      </c>
      <c r="BP605" s="343">
        <f>SUMIFS($AU$134:AU608,$AQ$134:AQ608,"W")</f>
        <v>462.63333333333321</v>
      </c>
      <c r="BQ605" s="343">
        <f>SUMIFS($AU$134:AU606,$Q$134:Q606,"O")</f>
        <v>-377.76000000006229</v>
      </c>
      <c r="BR605" s="343">
        <f>SUMIFS($AU$134:AU606,$AA$134:AA606,"*")</f>
        <v>6745.4753333332956</v>
      </c>
      <c r="BS605" s="343">
        <f>SUMIFS($AU$134:AU606,$AB$134:AB606,"*")</f>
        <v>1021.4399999999761</v>
      </c>
      <c r="BT605" s="343">
        <f>SUMIFS($AU$134:AU606,$AC$134:AC606,"*")</f>
        <v>1711.6833333333318</v>
      </c>
      <c r="BU605" s="343">
        <f>SUMIFS($AU$134:AU606,$AA$134:AA606,"*",$AB$134:AB606,"*")</f>
        <v>162.00000000000495</v>
      </c>
      <c r="BV605" s="343">
        <f>SUMIFS($AU$134:AU606,$AA$134:AA606,"*",$AC$134:AC606,"*")</f>
        <v>2980.7833333333328</v>
      </c>
      <c r="BW605" s="343">
        <f>SUMIFS($AU$134:AU606,$AB$134:AB606,"*",$AC$134:AC606,"*")</f>
        <v>2062.6</v>
      </c>
      <c r="BX605" s="343">
        <f>SUMIFS($AU606:AU$1388,$Q606:Q$1388,"F")</f>
        <v>15050.133333333335</v>
      </c>
      <c r="BY605" s="343">
        <f>SUMIFS($AU606:AU$1388,$Q606:Q$1388,"S")</f>
        <v>14955.2</v>
      </c>
      <c r="BZ605" s="343">
        <f>SUMIFS($AU606:AU$1388,$Q606:Q$1388,"O")</f>
        <v>-1271.097999999736</v>
      </c>
    </row>
    <row r="606" spans="1:78" ht="15.75" customHeight="1">
      <c r="A606" s="221" t="s">
        <v>2380</v>
      </c>
      <c r="B606" s="200">
        <v>45070</v>
      </c>
      <c r="C606" s="178" t="s">
        <v>1187</v>
      </c>
      <c r="D606" s="178" t="s">
        <v>151</v>
      </c>
      <c r="E606" s="227" t="s">
        <v>2669</v>
      </c>
      <c r="F606" s="180"/>
      <c r="G606" s="181"/>
      <c r="H606" s="182"/>
      <c r="I606" s="182"/>
      <c r="J606" s="182">
        <v>1</v>
      </c>
      <c r="K606" s="183" t="s">
        <v>115</v>
      </c>
      <c r="L606" s="182"/>
      <c r="M606" s="182"/>
      <c r="N606" s="182"/>
      <c r="O606" s="183"/>
      <c r="P606" s="183"/>
      <c r="Q606" s="183"/>
      <c r="R606" s="183"/>
      <c r="S606" s="183"/>
      <c r="T606" s="183"/>
      <c r="U606" s="183"/>
      <c r="V606" s="183"/>
      <c r="W606" s="183"/>
      <c r="X606" s="183"/>
      <c r="Y606" s="183"/>
      <c r="Z606" s="185" t="str">
        <f t="shared" si="221"/>
        <v/>
      </c>
      <c r="AA606" s="185"/>
      <c r="AB606" s="185"/>
      <c r="AC606" s="185"/>
      <c r="AD606" s="649"/>
      <c r="AE606" s="182"/>
      <c r="AF606" s="332"/>
      <c r="AG606" s="182"/>
      <c r="AH606" s="182"/>
      <c r="AI606" s="182"/>
      <c r="AJ606" s="640"/>
      <c r="AK606" s="182"/>
      <c r="AL606" s="496"/>
      <c r="AM606" s="496"/>
      <c r="AN606" s="626"/>
      <c r="AO606" s="182"/>
      <c r="AP606" s="182"/>
      <c r="AQ606" s="332" t="str">
        <f>UPPER(RIGHT(Journal_Live[[#This Row],[DURATION ]]))</f>
        <v/>
      </c>
      <c r="AR606" s="182"/>
      <c r="AS606" s="189"/>
      <c r="AT606" s="189"/>
      <c r="AU606" s="187"/>
      <c r="AV606" s="190"/>
      <c r="AW606" s="191"/>
      <c r="AX606" s="407" t="s">
        <v>2670</v>
      </c>
      <c r="AY606" s="407"/>
      <c r="AZ606" s="407"/>
      <c r="BA606" s="407"/>
      <c r="BB606" s="407"/>
      <c r="BC606" s="407"/>
      <c r="BD606" s="407"/>
      <c r="BE606" s="407"/>
      <c r="BF606" s="422"/>
      <c r="BG606" s="391">
        <f>SUM($AV$4:AV606)</f>
        <v>3367.2641428571374</v>
      </c>
      <c r="BH606" s="392">
        <f>SUM($AU$134:AU606)</f>
        <v>5080.4153333332724</v>
      </c>
      <c r="BI606" s="318">
        <f>SUMIFS($AU$134:AU607,$Q$134:Q607,"F")</f>
        <v>-289.46666666666692</v>
      </c>
      <c r="BJ606" s="318">
        <f>SUMIFS($AU$134:AU607,$Q$134:Q607,"S")</f>
        <v>5716.4419999999964</v>
      </c>
      <c r="BK606" s="343">
        <f>SUMIFS($AU$134:AU607,$P$134:P607,"W")</f>
        <v>5243.7419999999347</v>
      </c>
      <c r="BL606" s="343">
        <f>SUMIFS($AU$134:AU607,$P$134:P607,"R")</f>
        <v>4.673333333334881</v>
      </c>
      <c r="BM606" s="343">
        <f>SUMIFS($AU$134:AU607,$AQ$134:AQ607,"M")</f>
        <v>1925.3999999999719</v>
      </c>
      <c r="BN606" s="343">
        <f>SUMIFS($AU$134:AU607,$AQ$134:AQ607,"H")</f>
        <v>2476.252000000015</v>
      </c>
      <c r="BO606" s="343">
        <f>SUMIFS($AU$134:AU607,$AQ$134:AQ607,"D")</f>
        <v>-278.31000000000017</v>
      </c>
      <c r="BP606" s="343">
        <f>SUMIFS($AU$134:AU609,$AQ$134:AQ609,"W")</f>
        <v>462.63333333333321</v>
      </c>
      <c r="BQ606" s="343">
        <f>SUMIFS($AU$134:AU607,$Q$134:Q607,"O")</f>
        <v>-377.76000000006229</v>
      </c>
      <c r="BR606" s="343">
        <f>SUMIFS($AU$134:AU607,$AA$134:AA607,"*")</f>
        <v>6745.4753333332956</v>
      </c>
      <c r="BS606" s="343">
        <f>SUMIFS($AU$134:AU607,$AB$134:AB607,"*")</f>
        <v>1021.4399999999761</v>
      </c>
      <c r="BT606" s="343">
        <f>SUMIFS($AU$134:AU607,$AC$134:AC607,"*")</f>
        <v>2031.6833333333318</v>
      </c>
      <c r="BU606" s="343">
        <f>SUMIFS($AU$134:AU607,$AA$134:AA607,"*",$AB$134:AB607,"*")</f>
        <v>162.00000000000495</v>
      </c>
      <c r="BV606" s="343">
        <f>SUMIFS($AU$134:AU607,$AA$134:AA607,"*",$AC$134:AC607,"*")</f>
        <v>2980.7833333333328</v>
      </c>
      <c r="BW606" s="343">
        <f>SUMIFS($AU$134:AU607,$AB$134:AB607,"*",$AC$134:AC607,"*")</f>
        <v>2062.6</v>
      </c>
      <c r="BX606" s="343">
        <f>SUMIFS($AU607:AU$1388,$Q607:Q$1388,"F")</f>
        <v>15050.133333333335</v>
      </c>
      <c r="BY606" s="343">
        <f>SUMIFS($AU607:AU$1388,$Q607:Q$1388,"S")</f>
        <v>14955.2</v>
      </c>
      <c r="BZ606" s="343">
        <f>SUMIFS($AU607:AU$1388,$Q607:Q$1388,"O")</f>
        <v>-1271.097999999736</v>
      </c>
    </row>
    <row r="607" spans="1:78" ht="15.75" customHeight="1">
      <c r="A607" s="221" t="s">
        <v>2380</v>
      </c>
      <c r="B607" s="200">
        <v>45070</v>
      </c>
      <c r="C607" s="178" t="s">
        <v>2671</v>
      </c>
      <c r="D607" s="178" t="s">
        <v>151</v>
      </c>
      <c r="E607" s="227"/>
      <c r="F607" s="180"/>
      <c r="G607" s="420" t="s">
        <v>2672</v>
      </c>
      <c r="H607" s="182"/>
      <c r="I607" s="182"/>
      <c r="J607" s="182"/>
      <c r="K607" s="183"/>
      <c r="L607" s="182"/>
      <c r="M607" s="182">
        <v>2</v>
      </c>
      <c r="N607" s="182"/>
      <c r="O607" s="183" t="s">
        <v>95</v>
      </c>
      <c r="P607" s="183" t="s">
        <v>96</v>
      </c>
      <c r="Q607" s="183" t="s">
        <v>256</v>
      </c>
      <c r="R607" s="183">
        <v>10</v>
      </c>
      <c r="S607" s="183">
        <v>5</v>
      </c>
      <c r="T607" s="183">
        <v>10</v>
      </c>
      <c r="U607" s="183" t="s">
        <v>22</v>
      </c>
      <c r="V607" s="183"/>
      <c r="W607" s="183"/>
      <c r="X607" s="183"/>
      <c r="Y607" s="184">
        <f>IF(ISBLANK(O607),"",(IF(O607=UPPER("IB"),0.005,0.01)))</f>
        <v>0.01</v>
      </c>
      <c r="Z607" s="185">
        <f t="shared" si="221"/>
        <v>1600</v>
      </c>
      <c r="AA607" s="185"/>
      <c r="AB607" s="185"/>
      <c r="AC607" s="185" t="s">
        <v>2673</v>
      </c>
      <c r="AD607" s="649">
        <v>-0.01</v>
      </c>
      <c r="AE607" s="182"/>
      <c r="AF607" s="332"/>
      <c r="AG607" s="182"/>
      <c r="AH607" s="182"/>
      <c r="AI607" s="182"/>
      <c r="AJ607" s="640"/>
      <c r="AK607" s="182"/>
      <c r="AL607" s="496">
        <f t="shared" ref="AL607:AL610" si="229">-0.02*Z607</f>
        <v>-32</v>
      </c>
      <c r="AM607" s="496">
        <f>AL607*(R607-S607)</f>
        <v>-160</v>
      </c>
      <c r="AN607" s="626" t="s">
        <v>2674</v>
      </c>
      <c r="AO607" s="182" t="s">
        <v>2675</v>
      </c>
      <c r="AP607" s="182" t="s">
        <v>902</v>
      </c>
      <c r="AQ607" s="332" t="str">
        <f>UPPER(RIGHT(Journal_Live[[#This Row],[DURATION ]]))</f>
        <v>W</v>
      </c>
      <c r="AR607" s="182" t="s">
        <v>2676</v>
      </c>
      <c r="AS607" s="189">
        <f>((0.01*5)+(0.01*5))/10</f>
        <v>0.01</v>
      </c>
      <c r="AT607" s="189">
        <f>IF(ISBLANK(AS607),,IF(U607="S",AD607-AS607,AS607-AD607))</f>
        <v>0.02</v>
      </c>
      <c r="AU607" s="187">
        <f>AV607*R607</f>
        <v>320</v>
      </c>
      <c r="AV607" s="190">
        <f>IF(ISBLANK(AS607),,(AT607*Z607))</f>
        <v>32</v>
      </c>
      <c r="AW607" s="191" t="s">
        <v>96</v>
      </c>
      <c r="AX607" s="407" t="s">
        <v>2677</v>
      </c>
      <c r="AY607" s="407" t="s">
        <v>529</v>
      </c>
      <c r="AZ607" s="407"/>
      <c r="BA607" s="407"/>
      <c r="BB607" s="407"/>
      <c r="BC607" s="407"/>
      <c r="BD607" s="407"/>
      <c r="BE607" s="407"/>
      <c r="BF607" s="422"/>
      <c r="BG607" s="391">
        <f>SUM($AV$4:AV607)</f>
        <v>3399.2641428571374</v>
      </c>
      <c r="BH607" s="392">
        <f>SUM($AU$134:AU607)</f>
        <v>5400.4153333332724</v>
      </c>
      <c r="BI607" s="318">
        <f>SUMIFS($AU$134:AU608,$Q$134:Q608,"F")</f>
        <v>-49.466666666666924</v>
      </c>
      <c r="BJ607" s="318">
        <f>SUMIFS($AU$134:AU608,$Q$134:Q608,"S")</f>
        <v>5716.4419999999964</v>
      </c>
      <c r="BK607" s="343">
        <f>SUMIFS($AU$134:AU608,$P$134:P608,"W")</f>
        <v>5483.7419999999347</v>
      </c>
      <c r="BL607" s="343">
        <f>SUMIFS($AU$134:AU608,$P$134:P608,"R")</f>
        <v>4.673333333334881</v>
      </c>
      <c r="BM607" s="343">
        <f>SUMIFS($AU$134:AU608,$AQ$134:AQ608,"M")</f>
        <v>1925.3999999999719</v>
      </c>
      <c r="BN607" s="343">
        <f>SUMIFS($AU$134:AU608,$AQ$134:AQ608,"H")</f>
        <v>2476.252000000015</v>
      </c>
      <c r="BO607" s="343">
        <f>SUMIFS($AU$134:AU608,$AQ$134:AQ608,"D")</f>
        <v>-278.31000000000017</v>
      </c>
      <c r="BP607" s="343">
        <f>SUMIFS($AU$134:AU610,$AQ$134:AQ610,"W")</f>
        <v>462.63333333333321</v>
      </c>
      <c r="BQ607" s="343">
        <f>SUMIFS($AU$134:AU608,$Q$134:Q608,"O")</f>
        <v>-377.76000000006229</v>
      </c>
      <c r="BR607" s="343">
        <f>SUMIFS($AU$134:AU608,$AA$134:AA608,"*")</f>
        <v>6985.4753333332956</v>
      </c>
      <c r="BS607" s="343">
        <f>SUMIFS($AU$134:AU608,$AB$134:AB608,"*")</f>
        <v>1261.439999999976</v>
      </c>
      <c r="BT607" s="343">
        <f>SUMIFS($AU$134:AU608,$AC$134:AC608,"*")</f>
        <v>2271.6833333333316</v>
      </c>
      <c r="BU607" s="343">
        <f>SUMIFS($AU$134:AU608,$AA$134:AA608,"*",$AB$134:AB608,"*")</f>
        <v>402.00000000000495</v>
      </c>
      <c r="BV607" s="343">
        <f>SUMIFS($AU$134:AU608,$AA$134:AA608,"*",$AC$134:AC608,"*")</f>
        <v>3220.7833333333328</v>
      </c>
      <c r="BW607" s="343">
        <f>SUMIFS($AU$134:AU608,$AB$134:AB608,"*",$AC$134:AC608,"*")</f>
        <v>2302.6</v>
      </c>
      <c r="BX607" s="343">
        <f>SUMIFS($AU608:AU$1388,$Q608:Q$1388,"F")</f>
        <v>14730.133333333335</v>
      </c>
      <c r="BY607" s="343">
        <f>SUMIFS($AU608:AU$1388,$Q608:Q$1388,"S")</f>
        <v>14955.2</v>
      </c>
      <c r="BZ607" s="343">
        <f>SUMIFS($AU608:AU$1388,$Q608:Q$1388,"O")</f>
        <v>-1271.097999999736</v>
      </c>
    </row>
    <row r="608" spans="1:78" ht="15.75" customHeight="1">
      <c r="A608" s="221" t="s">
        <v>2380</v>
      </c>
      <c r="B608" s="200">
        <v>45070</v>
      </c>
      <c r="C608" s="178" t="s">
        <v>2671</v>
      </c>
      <c r="D608" s="178" t="s">
        <v>151</v>
      </c>
      <c r="E608" s="227"/>
      <c r="F608" s="180"/>
      <c r="G608" s="281" t="s">
        <v>1664</v>
      </c>
      <c r="H608" s="182"/>
      <c r="I608" s="182"/>
      <c r="J608" s="182"/>
      <c r="K608" s="183"/>
      <c r="L608" s="182">
        <v>1</v>
      </c>
      <c r="M608" s="182"/>
      <c r="N608" s="182"/>
      <c r="O608" s="183" t="s">
        <v>95</v>
      </c>
      <c r="P608" s="183" t="s">
        <v>96</v>
      </c>
      <c r="Q608" s="183" t="s">
        <v>256</v>
      </c>
      <c r="R608" s="183">
        <v>5</v>
      </c>
      <c r="S608" s="183">
        <v>2</v>
      </c>
      <c r="T608" s="183">
        <v>5</v>
      </c>
      <c r="U608" s="183" t="s">
        <v>22</v>
      </c>
      <c r="V608" s="183"/>
      <c r="W608" s="183"/>
      <c r="X608" s="183"/>
      <c r="Y608" s="184">
        <f>IF(ISBLANK(O608),"",(IF(O608=UPPER("IB"),0.005,0.01)))</f>
        <v>0.01</v>
      </c>
      <c r="Z608" s="185">
        <f t="shared" si="221"/>
        <v>1600</v>
      </c>
      <c r="AA608" s="185" t="s">
        <v>2678</v>
      </c>
      <c r="AB608" s="409" t="s">
        <v>2679</v>
      </c>
      <c r="AC608" s="185" t="s">
        <v>529</v>
      </c>
      <c r="AD608" s="649">
        <v>-0.01</v>
      </c>
      <c r="AE608" s="182"/>
      <c r="AF608" s="332"/>
      <c r="AG608" s="182"/>
      <c r="AH608" s="182" t="s">
        <v>636</v>
      </c>
      <c r="AI608" s="182"/>
      <c r="AJ608" s="640"/>
      <c r="AK608" s="182"/>
      <c r="AL608" s="496">
        <f t="shared" si="229"/>
        <v>-32</v>
      </c>
      <c r="AM608" s="496">
        <f>AL608*(R608-S608)</f>
        <v>-96</v>
      </c>
      <c r="AN608" s="626" t="s">
        <v>2674</v>
      </c>
      <c r="AO608" s="182" t="s">
        <v>2675</v>
      </c>
      <c r="AP608" s="182" t="s">
        <v>2621</v>
      </c>
      <c r="AQ608" s="332" t="s">
        <v>96</v>
      </c>
      <c r="AR608" s="182" t="s">
        <v>2680</v>
      </c>
      <c r="AS608" s="189">
        <f>(0.02*1+0.02*4)/5</f>
        <v>0.02</v>
      </c>
      <c r="AT608" s="189">
        <f>IF(ISBLANK(AS608),,IF(U608="S",AD608-AS608,AS608-AD608))</f>
        <v>0.03</v>
      </c>
      <c r="AU608" s="187">
        <f>AV608*R608</f>
        <v>240</v>
      </c>
      <c r="AV608" s="190">
        <f>IF(ISBLANK(AS608),,(AT608*Z608))</f>
        <v>48</v>
      </c>
      <c r="AW608" s="191" t="s">
        <v>96</v>
      </c>
      <c r="AX608" s="407" t="s">
        <v>2681</v>
      </c>
      <c r="AY608" s="407" t="s">
        <v>529</v>
      </c>
      <c r="AZ608" s="407"/>
      <c r="BA608" s="407"/>
      <c r="BB608" s="407"/>
      <c r="BC608" s="407"/>
      <c r="BD608" s="407"/>
      <c r="BE608" s="407"/>
      <c r="BF608" s="422"/>
      <c r="BG608" s="391">
        <f>SUM($AV$4:AV608)</f>
        <v>3447.2641428571374</v>
      </c>
      <c r="BH608" s="392">
        <f>SUM($AU$134:AU608)</f>
        <v>5640.4153333332724</v>
      </c>
      <c r="BI608" s="318">
        <f>SUMIFS($AU$134:AU609,$Q$134:Q609,"F")</f>
        <v>-49.466666666666924</v>
      </c>
      <c r="BJ608" s="318">
        <f>SUMIFS($AU$134:AU609,$Q$134:Q609,"S")</f>
        <v>5716.4419999999964</v>
      </c>
      <c r="BK608" s="343">
        <f>SUMIFS($AU$134:AU609,$P$134:P609,"W")</f>
        <v>5483.7419999999347</v>
      </c>
      <c r="BL608" s="343">
        <f>SUMIFS($AU$134:AU609,$P$134:P609,"R")</f>
        <v>4.673333333334881</v>
      </c>
      <c r="BM608" s="343">
        <f>SUMIFS($AU$134:AU609,$AQ$134:AQ609,"M")</f>
        <v>1925.3999999999719</v>
      </c>
      <c r="BN608" s="343">
        <f>SUMIFS($AU$134:AU609,$AQ$134:AQ609,"H")</f>
        <v>2476.252000000015</v>
      </c>
      <c r="BO608" s="343">
        <f>SUMIFS($AU$134:AU609,$AQ$134:AQ609,"D")</f>
        <v>-278.31000000000017</v>
      </c>
      <c r="BP608" s="343">
        <f>SUMIFS($AU$134:AU611,$AQ$134:AQ611,"W")</f>
        <v>462.63333333333321</v>
      </c>
      <c r="BQ608" s="343">
        <f>SUMIFS($AU$134:AU609,$Q$134:Q609,"O")</f>
        <v>-377.76000000006229</v>
      </c>
      <c r="BR608" s="343">
        <f>SUMIFS($AU$134:AU609,$AA$134:AA609,"*")</f>
        <v>6985.4753333332956</v>
      </c>
      <c r="BS608" s="343">
        <f>SUMIFS($AU$134:AU609,$AB$134:AB609,"*")</f>
        <v>1261.439999999976</v>
      </c>
      <c r="BT608" s="343">
        <f>SUMIFS($AU$134:AU609,$AC$134:AC609,"*")</f>
        <v>2271.6833333333316</v>
      </c>
      <c r="BU608" s="343">
        <f>SUMIFS($AU$134:AU609,$AA$134:AA609,"*",$AB$134:AB609,"*")</f>
        <v>402.00000000000495</v>
      </c>
      <c r="BV608" s="343">
        <f>SUMIFS($AU$134:AU609,$AA$134:AA609,"*",$AC$134:AC609,"*")</f>
        <v>3220.7833333333328</v>
      </c>
      <c r="BW608" s="343">
        <f>SUMIFS($AU$134:AU609,$AB$134:AB609,"*",$AC$134:AC609,"*")</f>
        <v>2302.6</v>
      </c>
      <c r="BX608" s="343">
        <f>SUMIFS($AU609:AU$1388,$Q609:Q$1388,"F")</f>
        <v>14490.133333333335</v>
      </c>
      <c r="BY608" s="343">
        <f>SUMIFS($AU609:AU$1388,$Q609:Q$1388,"S")</f>
        <v>14955.2</v>
      </c>
      <c r="BZ608" s="343">
        <f>SUMIFS($AU609:AU$1388,$Q609:Q$1388,"O")</f>
        <v>-1271.097999999736</v>
      </c>
    </row>
    <row r="609" spans="1:78" ht="15.75" customHeight="1">
      <c r="A609" s="221" t="s">
        <v>2380</v>
      </c>
      <c r="B609" s="200">
        <v>45070</v>
      </c>
      <c r="C609" s="178" t="s">
        <v>1559</v>
      </c>
      <c r="D609" s="178" t="s">
        <v>151</v>
      </c>
      <c r="E609" s="227"/>
      <c r="F609" s="180"/>
      <c r="G609" s="281" t="s">
        <v>2545</v>
      </c>
      <c r="H609" s="182"/>
      <c r="I609" s="182"/>
      <c r="J609" s="182"/>
      <c r="K609" s="183"/>
      <c r="L609" s="182">
        <v>1</v>
      </c>
      <c r="M609" s="182"/>
      <c r="N609" s="182"/>
      <c r="O609" s="183" t="s">
        <v>2259</v>
      </c>
      <c r="P609" s="183" t="s">
        <v>2260</v>
      </c>
      <c r="Q609" s="183"/>
      <c r="R609" s="183">
        <v>1</v>
      </c>
      <c r="S609" s="183">
        <v>0</v>
      </c>
      <c r="T609" s="183">
        <v>1</v>
      </c>
      <c r="U609" s="183" t="s">
        <v>97</v>
      </c>
      <c r="V609" s="183"/>
      <c r="W609" s="183"/>
      <c r="X609" s="183"/>
      <c r="Y609" s="184">
        <f>IF(ISBLANK(O609),"",(IF(O609=UPPER("IB"),0.005,0.01)))</f>
        <v>0.01</v>
      </c>
      <c r="Z609" s="185">
        <f t="shared" si="221"/>
        <v>4800</v>
      </c>
      <c r="AA609" s="409" t="s">
        <v>2682</v>
      </c>
      <c r="AB609" s="409" t="s">
        <v>2683</v>
      </c>
      <c r="AC609" s="185" t="s">
        <v>529</v>
      </c>
      <c r="AD609" s="649">
        <v>0.315</v>
      </c>
      <c r="AE609" s="182"/>
      <c r="AF609" s="332"/>
      <c r="AG609" s="182"/>
      <c r="AH609" s="182"/>
      <c r="AI609" s="182"/>
      <c r="AJ609" s="640"/>
      <c r="AK609" s="182"/>
      <c r="AL609" s="496">
        <f t="shared" si="229"/>
        <v>-96</v>
      </c>
      <c r="AM609" s="496">
        <f>AL609*(R609-S609)</f>
        <v>-96</v>
      </c>
      <c r="AN609" s="626"/>
      <c r="AO609" s="182"/>
      <c r="AP609" s="182" t="s">
        <v>1026</v>
      </c>
      <c r="AQ609" s="332" t="str">
        <f>UPPER(RIGHT(Journal_Live[[#This Row],[DURATION ]]))</f>
        <v>H</v>
      </c>
      <c r="AR609" s="182" t="s">
        <v>2684</v>
      </c>
      <c r="AS609" s="189">
        <v>0.315</v>
      </c>
      <c r="AT609" s="189">
        <f>IF(ISBLANK(AS609),,IF(U609="S",AD609-AS609,AS609-AD609))</f>
        <v>0</v>
      </c>
      <c r="AU609" s="187">
        <f>AV609*R609</f>
        <v>0</v>
      </c>
      <c r="AV609" s="190">
        <f>IF(ISBLANK(AS609),,(AT609*Z609))</f>
        <v>0</v>
      </c>
      <c r="AW609" s="191" t="s">
        <v>115</v>
      </c>
      <c r="AX609" s="407" t="s">
        <v>2685</v>
      </c>
      <c r="AY609" s="407" t="s">
        <v>2686</v>
      </c>
      <c r="AZ609" s="407"/>
      <c r="BA609" s="407" t="s">
        <v>2687</v>
      </c>
      <c r="BB609" s="407" t="s">
        <v>529</v>
      </c>
      <c r="BC609" s="407"/>
      <c r="BD609" s="407"/>
      <c r="BE609" s="407"/>
      <c r="BF609" s="422"/>
      <c r="BG609" s="391">
        <f>SUM($AV$4:AV609)</f>
        <v>3447.2641428571374</v>
      </c>
      <c r="BH609" s="392">
        <f>SUM($AU$134:AU609)</f>
        <v>5640.4153333332724</v>
      </c>
      <c r="BI609" s="318">
        <f>SUMIFS($AU$134:AU610,$Q$134:Q610,"F")</f>
        <v>-49.466666666666924</v>
      </c>
      <c r="BJ609" s="318">
        <f>SUMIFS($AU$134:AU610,$Q$134:Q610,"S")</f>
        <v>5764.4419999999964</v>
      </c>
      <c r="BK609" s="343">
        <f>SUMIFS($AU$134:AU610,$P$134:P610,"W")</f>
        <v>5531.7419999999347</v>
      </c>
      <c r="BL609" s="343">
        <f>SUMIFS($AU$134:AU610,$P$134:P610,"R")</f>
        <v>4.673333333334881</v>
      </c>
      <c r="BM609" s="343">
        <f>SUMIFS($AU$134:AU610,$AQ$134:AQ610,"M")</f>
        <v>1973.3999999999719</v>
      </c>
      <c r="BN609" s="343">
        <f>SUMIFS($AU$134:AU610,$AQ$134:AQ610,"H")</f>
        <v>2476.252000000015</v>
      </c>
      <c r="BO609" s="343">
        <f>SUMIFS($AU$134:AU610,$AQ$134:AQ610,"D")</f>
        <v>-278.31000000000017</v>
      </c>
      <c r="BP609" s="343">
        <f>SUMIFS($AU$134:AU612,$AQ$134:AQ612,"W")</f>
        <v>462.63333333333321</v>
      </c>
      <c r="BQ609" s="343">
        <f>SUMIFS($AU$134:AU610,$Q$134:Q610,"O")</f>
        <v>-377.76000000006229</v>
      </c>
      <c r="BR609" s="343">
        <f>SUMIFS($AU$134:AU610,$AA$134:AA610,"*")</f>
        <v>7033.4753333332956</v>
      </c>
      <c r="BS609" s="343">
        <f>SUMIFS($AU$134:AU610,$AB$134:AB610,"*")</f>
        <v>1261.439999999976</v>
      </c>
      <c r="BT609" s="343">
        <f>SUMIFS($AU$134:AU610,$AC$134:AC610,"*")</f>
        <v>2271.6833333333316</v>
      </c>
      <c r="BU609" s="343">
        <f>SUMIFS($AU$134:AU610,$AA$134:AA610,"*",$AB$134:AB610,"*")</f>
        <v>402.00000000000495</v>
      </c>
      <c r="BV609" s="343">
        <f>SUMIFS($AU$134:AU610,$AA$134:AA610,"*",$AC$134:AC610,"*")</f>
        <v>3220.7833333333328</v>
      </c>
      <c r="BW609" s="343">
        <f>SUMIFS($AU$134:AU610,$AB$134:AB610,"*",$AC$134:AC610,"*")</f>
        <v>2302.6</v>
      </c>
      <c r="BX609" s="343">
        <f>SUMIFS($AU610:AU$1388,$Q610:Q$1388,"F")</f>
        <v>14490.133333333335</v>
      </c>
      <c r="BY609" s="343">
        <f>SUMIFS($AU610:AU$1388,$Q610:Q$1388,"S")</f>
        <v>14955.2</v>
      </c>
      <c r="BZ609" s="343">
        <f>SUMIFS($AU610:AU$1388,$Q610:Q$1388,"O")</f>
        <v>-1271.097999999736</v>
      </c>
    </row>
    <row r="610" spans="1:78" ht="15.75" customHeight="1">
      <c r="A610" s="221" t="s">
        <v>2380</v>
      </c>
      <c r="B610" s="200">
        <v>45070</v>
      </c>
      <c r="C610" s="178" t="s">
        <v>2688</v>
      </c>
      <c r="D610" s="178" t="s">
        <v>151</v>
      </c>
      <c r="E610" s="227"/>
      <c r="F610" s="180"/>
      <c r="G610" s="281" t="s">
        <v>576</v>
      </c>
      <c r="H610" s="182"/>
      <c r="I610" s="182"/>
      <c r="J610" s="182"/>
      <c r="K610" s="183"/>
      <c r="L610" s="182">
        <v>1</v>
      </c>
      <c r="M610" s="182"/>
      <c r="N610" s="182"/>
      <c r="O610" s="183" t="s">
        <v>95</v>
      </c>
      <c r="P610" s="183" t="s">
        <v>96</v>
      </c>
      <c r="Q610" s="183" t="s">
        <v>97</v>
      </c>
      <c r="R610" s="183">
        <v>3</v>
      </c>
      <c r="S610" s="183">
        <v>0</v>
      </c>
      <c r="T610" s="183">
        <v>3</v>
      </c>
      <c r="U610" s="183" t="s">
        <v>22</v>
      </c>
      <c r="V610" s="183"/>
      <c r="W610" s="183"/>
      <c r="X610" s="183"/>
      <c r="Y610" s="184">
        <f>IF(ISBLANK(O610),"",(IF(O610=UPPER("IB"),0.005,0.01)))</f>
        <v>0.01</v>
      </c>
      <c r="Z610" s="185">
        <f t="shared" si="221"/>
        <v>1600</v>
      </c>
      <c r="AA610" s="185" t="s">
        <v>2689</v>
      </c>
      <c r="AB610" s="185"/>
      <c r="AC610" s="185"/>
      <c r="AD610" s="649">
        <v>0.08</v>
      </c>
      <c r="AE610" s="182"/>
      <c r="AF610" s="332"/>
      <c r="AG610" s="182"/>
      <c r="AH610" s="182"/>
      <c r="AI610" s="182"/>
      <c r="AJ610" s="640"/>
      <c r="AK610" s="182"/>
      <c r="AL610" s="496">
        <f t="shared" si="229"/>
        <v>-32</v>
      </c>
      <c r="AM610" s="496">
        <f>AL610*(R610-S610)</f>
        <v>-96</v>
      </c>
      <c r="AN610" s="626"/>
      <c r="AO610" s="182"/>
      <c r="AP610" s="182" t="s">
        <v>1843</v>
      </c>
      <c r="AQ610" s="332" t="str">
        <f>UPPER(RIGHT(Journal_Live[[#This Row],[DURATION ]]))</f>
        <v>M</v>
      </c>
      <c r="AR610" s="182" t="s">
        <v>1050</v>
      </c>
      <c r="AS610" s="189">
        <v>0.09</v>
      </c>
      <c r="AT610" s="189">
        <f>IF(ISBLANK(AS610),,IF(U610="S",AD610-AS610,AS610-AD610))</f>
        <v>9.999999999999995E-3</v>
      </c>
      <c r="AU610" s="187">
        <f>AV610*R610</f>
        <v>47.999999999999979</v>
      </c>
      <c r="AV610" s="190">
        <f>IF(ISBLANK(AS610),,(AT610*Z610))</f>
        <v>15.999999999999993</v>
      </c>
      <c r="AW610" s="191" t="s">
        <v>96</v>
      </c>
      <c r="AX610" s="407"/>
      <c r="AY610" s="407"/>
      <c r="AZ610" s="407"/>
      <c r="BA610" s="407"/>
      <c r="BB610" s="407"/>
      <c r="BC610" s="407"/>
      <c r="BD610" s="407"/>
      <c r="BE610" s="407"/>
      <c r="BF610" s="422"/>
      <c r="BG610" s="391">
        <f>SUM($AV$4:AV610)</f>
        <v>3463.2641428571374</v>
      </c>
      <c r="BH610" s="392">
        <f>SUM($AU$134:AU610)</f>
        <v>5688.4153333332724</v>
      </c>
      <c r="BI610" s="318">
        <f>SUMIFS($AU$134:AU611,$Q$134:Q611,"F")</f>
        <v>-49.466666666666924</v>
      </c>
      <c r="BJ610" s="318">
        <f>SUMIFS($AU$134:AU611,$Q$134:Q611,"S")</f>
        <v>5764.4419999999964</v>
      </c>
      <c r="BK610" s="343">
        <f>SUMIFS($AU$134:AU611,$P$134:P611,"W")</f>
        <v>5531.7419999999347</v>
      </c>
      <c r="BL610" s="343">
        <f>SUMIFS($AU$134:AU611,$P$134:P611,"R")</f>
        <v>4.673333333334881</v>
      </c>
      <c r="BM610" s="343">
        <f>SUMIFS($AU$134:AU611,$AQ$134:AQ611,"M")</f>
        <v>1973.3999999999719</v>
      </c>
      <c r="BN610" s="343">
        <f>SUMIFS($AU$134:AU611,$AQ$134:AQ611,"H")</f>
        <v>2476.252000000015</v>
      </c>
      <c r="BO610" s="343">
        <f>SUMIFS($AU$134:AU611,$AQ$134:AQ611,"D")</f>
        <v>-278.31000000000017</v>
      </c>
      <c r="BP610" s="343">
        <f>SUMIFS($AU$134:AU613,$AQ$134:AQ613,"W")</f>
        <v>462.63333333333321</v>
      </c>
      <c r="BQ610" s="343">
        <f>SUMIFS($AU$134:AU611,$Q$134:Q611,"O")</f>
        <v>-377.76000000006229</v>
      </c>
      <c r="BR610" s="343">
        <f>SUMIFS($AU$134:AU611,$AA$134:AA611,"*")</f>
        <v>7033.4753333332956</v>
      </c>
      <c r="BS610" s="343">
        <f>SUMIFS($AU$134:AU611,$AB$134:AB611,"*")</f>
        <v>1261.439999999976</v>
      </c>
      <c r="BT610" s="343">
        <f>SUMIFS($AU$134:AU611,$AC$134:AC611,"*")</f>
        <v>2271.6833333333316</v>
      </c>
      <c r="BU610" s="343">
        <f>SUMIFS($AU$134:AU611,$AA$134:AA611,"*",$AB$134:AB611,"*")</f>
        <v>402.00000000000495</v>
      </c>
      <c r="BV610" s="343">
        <f>SUMIFS($AU$134:AU611,$AA$134:AA611,"*",$AC$134:AC611,"*")</f>
        <v>3220.7833333333328</v>
      </c>
      <c r="BW610" s="343">
        <f>SUMIFS($AU$134:AU611,$AB$134:AB611,"*",$AC$134:AC611,"*")</f>
        <v>2302.6</v>
      </c>
      <c r="BX610" s="343">
        <f>SUMIFS($AU611:AU$1388,$Q611:Q$1388,"F")</f>
        <v>14490.133333333335</v>
      </c>
      <c r="BY610" s="343">
        <f>SUMIFS($AU611:AU$1388,$Q611:Q$1388,"S")</f>
        <v>14907.2</v>
      </c>
      <c r="BZ610" s="343">
        <f>SUMIFS($AU611:AU$1388,$Q611:Q$1388,"O")</f>
        <v>-1271.097999999736</v>
      </c>
    </row>
    <row r="611" spans="1:78" ht="15.75" customHeight="1">
      <c r="A611" s="221" t="s">
        <v>2380</v>
      </c>
      <c r="B611" s="200">
        <v>45070</v>
      </c>
      <c r="C611" s="178" t="s">
        <v>2253</v>
      </c>
      <c r="D611" s="178" t="s">
        <v>151</v>
      </c>
      <c r="E611" s="227" t="s">
        <v>2690</v>
      </c>
      <c r="F611" s="180" t="s">
        <v>2691</v>
      </c>
      <c r="G611" s="181"/>
      <c r="H611" s="182">
        <v>1</v>
      </c>
      <c r="I611" s="182"/>
      <c r="J611" s="182"/>
      <c r="K611" s="183" t="s">
        <v>372</v>
      </c>
      <c r="L611" s="182"/>
      <c r="M611" s="182"/>
      <c r="N611" s="182"/>
      <c r="O611" s="183"/>
      <c r="P611" s="183"/>
      <c r="Q611" s="183"/>
      <c r="R611" s="183"/>
      <c r="S611" s="183"/>
      <c r="T611" s="183"/>
      <c r="U611" s="183"/>
      <c r="V611" s="183"/>
      <c r="W611" s="183"/>
      <c r="X611" s="183"/>
      <c r="Y611" s="183"/>
      <c r="Z611" s="185" t="str">
        <f t="shared" si="221"/>
        <v/>
      </c>
      <c r="AA611" s="185"/>
      <c r="AB611" s="185"/>
      <c r="AC611" s="185"/>
      <c r="AD611" s="649"/>
      <c r="AE611" s="182"/>
      <c r="AF611" s="332"/>
      <c r="AG611" s="182"/>
      <c r="AH611" s="182"/>
      <c r="AI611" s="182"/>
      <c r="AJ611" s="640"/>
      <c r="AK611" s="182"/>
      <c r="AL611" s="496"/>
      <c r="AM611" s="496"/>
      <c r="AN611" s="626"/>
      <c r="AO611" s="182"/>
      <c r="AP611" s="182"/>
      <c r="AQ611" s="332" t="str">
        <f>UPPER(RIGHT(Journal_Live[[#This Row],[DURATION ]]))</f>
        <v/>
      </c>
      <c r="AR611" s="182"/>
      <c r="AS611" s="189"/>
      <c r="AT611" s="189"/>
      <c r="AU611" s="187"/>
      <c r="AV611" s="190"/>
      <c r="AW611" s="191"/>
      <c r="AX611" s="407"/>
      <c r="AY611" s="407"/>
      <c r="AZ611" s="407"/>
      <c r="BA611" s="419"/>
      <c r="BB611" s="407"/>
      <c r="BC611" s="407"/>
      <c r="BD611" s="407"/>
      <c r="BE611" s="407"/>
      <c r="BF611" s="422"/>
      <c r="BG611" s="391">
        <f>SUM($AV$4:AV611)</f>
        <v>3463.2641428571374</v>
      </c>
      <c r="BH611" s="392">
        <f>SUM($AU$134:AU611)</f>
        <v>5688.4153333332724</v>
      </c>
      <c r="BI611" s="318">
        <f>SUMIFS($AU$134:AU612,$Q$134:Q612,"F")</f>
        <v>-49.466666666666924</v>
      </c>
      <c r="BJ611" s="318">
        <f>SUMIFS($AU$134:AU612,$Q$134:Q612,"S")</f>
        <v>5764.4419999999964</v>
      </c>
      <c r="BK611" s="343">
        <f>SUMIFS($AU$134:AU612,$P$134:P612,"W")</f>
        <v>5531.7419999999347</v>
      </c>
      <c r="BL611" s="343">
        <f>SUMIFS($AU$134:AU612,$P$134:P612,"R")</f>
        <v>4.673333333334881</v>
      </c>
      <c r="BM611" s="343">
        <f>SUMIFS($AU$134:AU612,$AQ$134:AQ612,"M")</f>
        <v>1973.3999999999719</v>
      </c>
      <c r="BN611" s="343">
        <f>SUMIFS($AU$134:AU612,$AQ$134:AQ612,"H")</f>
        <v>2476.252000000015</v>
      </c>
      <c r="BO611" s="343">
        <f>SUMIFS($AU$134:AU612,$AQ$134:AQ612,"D")</f>
        <v>-278.31000000000017</v>
      </c>
      <c r="BP611" s="343">
        <f>SUMIFS($AU$134:AU614,$AQ$134:AQ614,"W")</f>
        <v>462.63333333333321</v>
      </c>
      <c r="BQ611" s="343">
        <f>SUMIFS($AU$134:AU612,$Q$134:Q612,"O")</f>
        <v>-377.76000000006229</v>
      </c>
      <c r="BR611" s="343">
        <f>SUMIFS($AU$134:AU612,$AA$134:AA612,"*")</f>
        <v>7033.4753333332956</v>
      </c>
      <c r="BS611" s="343">
        <f>SUMIFS($AU$134:AU612,$AB$134:AB612,"*")</f>
        <v>1261.439999999976</v>
      </c>
      <c r="BT611" s="343">
        <f>SUMIFS($AU$134:AU612,$AC$134:AC612,"*")</f>
        <v>2271.6833333333316</v>
      </c>
      <c r="BU611" s="343">
        <f>SUMIFS($AU$134:AU612,$AA$134:AA612,"*",$AB$134:AB612,"*")</f>
        <v>402.00000000000495</v>
      </c>
      <c r="BV611" s="343">
        <f>SUMIFS($AU$134:AU612,$AA$134:AA612,"*",$AC$134:AC612,"*")</f>
        <v>3220.7833333333328</v>
      </c>
      <c r="BW611" s="343">
        <f>SUMIFS($AU$134:AU612,$AB$134:AB612,"*",$AC$134:AC612,"*")</f>
        <v>2302.6</v>
      </c>
      <c r="BX611" s="343">
        <f>SUMIFS($AU612:AU$1388,$Q612:Q$1388,"F")</f>
        <v>14490.133333333335</v>
      </c>
      <c r="BY611" s="343">
        <f>SUMIFS($AU612:AU$1388,$Q612:Q$1388,"S")</f>
        <v>14907.2</v>
      </c>
      <c r="BZ611" s="343">
        <f>SUMIFS($AU612:AU$1388,$Q612:Q$1388,"O")</f>
        <v>-1271.097999999736</v>
      </c>
    </row>
    <row r="612" spans="1:78" ht="15.75" customHeight="1">
      <c r="A612" s="221" t="s">
        <v>2380</v>
      </c>
      <c r="B612" s="200">
        <v>45070</v>
      </c>
      <c r="C612" s="178" t="s">
        <v>2692</v>
      </c>
      <c r="D612" s="178" t="s">
        <v>151</v>
      </c>
      <c r="E612" s="227"/>
      <c r="F612" s="180"/>
      <c r="G612" s="281" t="s">
        <v>2145</v>
      </c>
      <c r="H612" s="182"/>
      <c r="I612" s="182"/>
      <c r="J612" s="182"/>
      <c r="K612" s="183"/>
      <c r="L612" s="182">
        <v>1</v>
      </c>
      <c r="M612" s="182"/>
      <c r="N612" s="182"/>
      <c r="O612" s="183" t="s">
        <v>95</v>
      </c>
      <c r="P612" s="183" t="s">
        <v>96</v>
      </c>
      <c r="Q612" s="183" t="s">
        <v>97</v>
      </c>
      <c r="R612" s="183">
        <v>10</v>
      </c>
      <c r="S612" s="183">
        <v>0</v>
      </c>
      <c r="T612" s="183">
        <v>10</v>
      </c>
      <c r="U612" s="183" t="s">
        <v>22</v>
      </c>
      <c r="V612" s="183"/>
      <c r="W612" s="183"/>
      <c r="X612" s="183"/>
      <c r="Y612" s="184">
        <f>IF(ISBLANK(O612),"",(IF(O612=UPPER("IB"),0.005,0.01)))</f>
        <v>0.01</v>
      </c>
      <c r="Z612" s="185">
        <f t="shared" si="221"/>
        <v>1600</v>
      </c>
      <c r="AA612" s="185"/>
      <c r="AB612" s="185"/>
      <c r="AC612" s="185"/>
      <c r="AD612" s="649">
        <v>-0.1</v>
      </c>
      <c r="AE612" s="182"/>
      <c r="AF612" s="332"/>
      <c r="AG612" s="182"/>
      <c r="AH612" s="182"/>
      <c r="AI612" s="182"/>
      <c r="AJ612" s="640"/>
      <c r="AK612" s="182"/>
      <c r="AL612" s="496">
        <f t="shared" ref="AL612" si="230">-0.02*Z612</f>
        <v>-32</v>
      </c>
      <c r="AM612" s="496">
        <f>AL612*(R612-S612)</f>
        <v>-320</v>
      </c>
      <c r="AN612" s="626"/>
      <c r="AO612" s="182"/>
      <c r="AP612" s="182"/>
      <c r="AQ612" s="332" t="str">
        <f>UPPER(RIGHT(Journal_Live[[#This Row],[DURATION ]]))</f>
        <v/>
      </c>
      <c r="AR612" s="182"/>
      <c r="AS612" s="189">
        <v>-0.1</v>
      </c>
      <c r="AT612" s="189">
        <f>IF(ISBLANK(AS612),,IF(U612="S",AD612-AS612,AS612-AD612))</f>
        <v>0</v>
      </c>
      <c r="AU612" s="187">
        <f>AV612*R612</f>
        <v>0</v>
      </c>
      <c r="AV612" s="190">
        <f>IF(ISBLANK(AS612),,(AT612*Z612))</f>
        <v>0</v>
      </c>
      <c r="AW612" s="191" t="s">
        <v>115</v>
      </c>
      <c r="AX612" s="407"/>
      <c r="AY612" s="407"/>
      <c r="AZ612" s="407"/>
      <c r="BA612" s="419"/>
      <c r="BB612" s="407"/>
      <c r="BC612" s="407"/>
      <c r="BD612" s="407"/>
      <c r="BE612" s="407"/>
      <c r="BF612" s="422"/>
      <c r="BG612" s="391">
        <f>SUM($AV$4:AV612)</f>
        <v>3463.2641428571374</v>
      </c>
      <c r="BH612" s="392">
        <f>SUM($AU$134:AU612)</f>
        <v>5688.4153333332724</v>
      </c>
      <c r="BI612" s="318">
        <f>SUMIFS($AU$134:AU613,$Q$134:Q613,"F")</f>
        <v>-49.466666666666924</v>
      </c>
      <c r="BJ612" s="318">
        <f>SUMIFS($AU$134:AU613,$Q$134:Q613,"S")</f>
        <v>5812.4419999999964</v>
      </c>
      <c r="BK612" s="343">
        <f>SUMIFS($AU$134:AU613,$P$134:P613,"W")</f>
        <v>5579.7419999999347</v>
      </c>
      <c r="BL612" s="343">
        <f>SUMIFS($AU$134:AU613,$P$134:P613,"R")</f>
        <v>4.673333333334881</v>
      </c>
      <c r="BM612" s="343">
        <f>SUMIFS($AU$134:AU613,$AQ$134:AQ613,"M")</f>
        <v>1973.3999999999719</v>
      </c>
      <c r="BN612" s="343">
        <f>SUMIFS($AU$134:AU613,$AQ$134:AQ613,"H")</f>
        <v>2524.252000000015</v>
      </c>
      <c r="BO612" s="343">
        <f>SUMIFS($AU$134:AU613,$AQ$134:AQ613,"D")</f>
        <v>-278.31000000000017</v>
      </c>
      <c r="BP612" s="343">
        <f>SUMIFS($AU$134:AU615,$AQ$134:AQ615,"W")</f>
        <v>462.63333333333321</v>
      </c>
      <c r="BQ612" s="343">
        <f>SUMIFS($AU$134:AU613,$Q$134:Q613,"O")</f>
        <v>-377.76000000006229</v>
      </c>
      <c r="BR612" s="343">
        <f>SUMIFS($AU$134:AU613,$AA$134:AA613,"*")</f>
        <v>7081.4753333332956</v>
      </c>
      <c r="BS612" s="343">
        <f>SUMIFS($AU$134:AU613,$AB$134:AB613,"*")</f>
        <v>1261.439999999976</v>
      </c>
      <c r="BT612" s="343">
        <f>SUMIFS($AU$134:AU613,$AC$134:AC613,"*")</f>
        <v>2319.6833333333316</v>
      </c>
      <c r="BU612" s="343">
        <f>SUMIFS($AU$134:AU613,$AA$134:AA613,"*",$AB$134:AB613,"*")</f>
        <v>402.00000000000495</v>
      </c>
      <c r="BV612" s="343">
        <f>SUMIFS($AU$134:AU613,$AA$134:AA613,"*",$AC$134:AC613,"*")</f>
        <v>3268.7833333333328</v>
      </c>
      <c r="BW612" s="343">
        <f>SUMIFS($AU$134:AU613,$AB$134:AB613,"*",$AC$134:AC613,"*")</f>
        <v>2302.6</v>
      </c>
      <c r="BX612" s="343">
        <f>SUMIFS($AU613:AU$1388,$Q613:Q$1388,"F")</f>
        <v>14490.133333333335</v>
      </c>
      <c r="BY612" s="343">
        <f>SUMIFS($AU613:AU$1388,$Q613:Q$1388,"S")</f>
        <v>14907.2</v>
      </c>
      <c r="BZ612" s="343">
        <f>SUMIFS($AU613:AU$1388,$Q613:Q$1388,"O")</f>
        <v>-1271.097999999736</v>
      </c>
    </row>
    <row r="613" spans="1:78" ht="15.75" customHeight="1">
      <c r="A613" s="221" t="s">
        <v>2380</v>
      </c>
      <c r="B613" s="200">
        <v>45071</v>
      </c>
      <c r="C613" s="178" t="s">
        <v>1924</v>
      </c>
      <c r="D613" s="178" t="s">
        <v>93</v>
      </c>
      <c r="E613" s="227"/>
      <c r="F613" s="180"/>
      <c r="G613" s="281" t="s">
        <v>94</v>
      </c>
      <c r="H613" s="182"/>
      <c r="I613" s="182"/>
      <c r="J613" s="182"/>
      <c r="K613" s="183"/>
      <c r="L613" s="182">
        <v>1</v>
      </c>
      <c r="M613" s="182"/>
      <c r="N613" s="182"/>
      <c r="O613" s="183" t="s">
        <v>95</v>
      </c>
      <c r="P613" s="183" t="s">
        <v>96</v>
      </c>
      <c r="Q613" s="183" t="s">
        <v>97</v>
      </c>
      <c r="R613" s="183">
        <v>3</v>
      </c>
      <c r="S613" s="183">
        <v>0</v>
      </c>
      <c r="T613" s="183">
        <v>3</v>
      </c>
      <c r="U613" s="183" t="s">
        <v>97</v>
      </c>
      <c r="V613" s="183"/>
      <c r="W613" s="183"/>
      <c r="X613" s="183"/>
      <c r="Y613" s="184">
        <f>IF(ISBLANK(O613),"",(IF(O613=UPPER("IB"),0.005,0.01)))</f>
        <v>0.01</v>
      </c>
      <c r="Z613" s="185">
        <f t="shared" si="221"/>
        <v>1600</v>
      </c>
      <c r="AA613" s="185" t="s">
        <v>998</v>
      </c>
      <c r="AB613" s="185"/>
      <c r="AC613" s="185" t="s">
        <v>2693</v>
      </c>
      <c r="AD613" s="649">
        <v>0.02</v>
      </c>
      <c r="AE613" s="182"/>
      <c r="AF613" s="332"/>
      <c r="AG613" s="182"/>
      <c r="AH613" s="182"/>
      <c r="AI613" s="182"/>
      <c r="AJ613" s="640"/>
      <c r="AK613" s="182"/>
      <c r="AL613" s="496">
        <f t="shared" ref="AL613:AL621" si="231">-0.02*Z613</f>
        <v>-32</v>
      </c>
      <c r="AM613" s="496">
        <f>AL613*(R613-S613)</f>
        <v>-96</v>
      </c>
      <c r="AN613" s="626"/>
      <c r="AO613" s="182"/>
      <c r="AP613" s="182" t="s">
        <v>1639</v>
      </c>
      <c r="AQ613" s="332" t="str">
        <f>UPPER(RIGHT(Journal_Live[[#This Row],[DURATION ]]))</f>
        <v>H</v>
      </c>
      <c r="AR613" s="182" t="s">
        <v>2694</v>
      </c>
      <c r="AS613" s="189">
        <v>0.01</v>
      </c>
      <c r="AT613" s="189">
        <f>IF(ISBLANK(AS613),,IF(U613="S",AD613-AS613,AS613-AD613))</f>
        <v>0.01</v>
      </c>
      <c r="AU613" s="187">
        <f>AV613*R613</f>
        <v>48</v>
      </c>
      <c r="AV613" s="190">
        <f>IF(ISBLANK(AS613),,(AT613*Z613))</f>
        <v>16</v>
      </c>
      <c r="AW613" s="191" t="s">
        <v>96</v>
      </c>
      <c r="AX613" s="407" t="s">
        <v>2695</v>
      </c>
      <c r="AY613" s="407" t="s">
        <v>2696</v>
      </c>
      <c r="AZ613" s="407" t="s">
        <v>2697</v>
      </c>
      <c r="BA613" s="407" t="s">
        <v>2698</v>
      </c>
      <c r="BB613" s="407" t="s">
        <v>2699</v>
      </c>
      <c r="BC613" s="407" t="s">
        <v>2700</v>
      </c>
      <c r="BD613" s="407"/>
      <c r="BE613" s="407"/>
      <c r="BF613" s="422"/>
      <c r="BG613" s="391">
        <f>SUM($AV$4:AV613)</f>
        <v>3479.2641428571374</v>
      </c>
      <c r="BH613" s="392">
        <f>SUM($AU$134:AU613)</f>
        <v>5736.4153333332724</v>
      </c>
      <c r="BI613" s="318">
        <f>SUMIFS($AU$134:AU614,$Q$134:Q614,"F")</f>
        <v>-49.466666666666924</v>
      </c>
      <c r="BJ613" s="318">
        <f>SUMIFS($AU$134:AU614,$Q$134:Q614,"S")</f>
        <v>5812.4419999999964</v>
      </c>
      <c r="BK613" s="343">
        <f>SUMIFS($AU$134:AU614,$P$134:P614,"W")</f>
        <v>5579.7419999999347</v>
      </c>
      <c r="BL613" s="343">
        <f>SUMIFS($AU$134:AU614,$P$134:P614,"R")</f>
        <v>4.673333333334881</v>
      </c>
      <c r="BM613" s="343">
        <f>SUMIFS($AU$134:AU614,$AQ$134:AQ614,"M")</f>
        <v>1973.3999999999719</v>
      </c>
      <c r="BN613" s="343">
        <f>SUMIFS($AU$134:AU614,$AQ$134:AQ614,"H")</f>
        <v>2524.252000000015</v>
      </c>
      <c r="BO613" s="343">
        <f>SUMIFS($AU$134:AU614,$AQ$134:AQ614,"D")</f>
        <v>-278.31000000000017</v>
      </c>
      <c r="BP613" s="343">
        <f>SUMIFS($AU$134:AU616,$AQ$134:AQ616,"W")</f>
        <v>462.63333333333321</v>
      </c>
      <c r="BQ613" s="343">
        <f>SUMIFS($AU$134:AU614,$Q$134:Q614,"O")</f>
        <v>-377.76000000006229</v>
      </c>
      <c r="BR613" s="343">
        <f>SUMIFS($AU$134:AU614,$AA$134:AA614,"*")</f>
        <v>7081.4753333332956</v>
      </c>
      <c r="BS613" s="343">
        <f>SUMIFS($AU$134:AU614,$AB$134:AB614,"*")</f>
        <v>1261.439999999976</v>
      </c>
      <c r="BT613" s="343">
        <f>SUMIFS($AU$134:AU614,$AC$134:AC614,"*")</f>
        <v>2319.6833333333316</v>
      </c>
      <c r="BU613" s="343">
        <f>SUMIFS($AU$134:AU614,$AA$134:AA614,"*",$AB$134:AB614,"*")</f>
        <v>402.00000000000495</v>
      </c>
      <c r="BV613" s="343">
        <f>SUMIFS($AU$134:AU614,$AA$134:AA614,"*",$AC$134:AC614,"*")</f>
        <v>3268.7833333333328</v>
      </c>
      <c r="BW613" s="343">
        <f>SUMIFS($AU$134:AU614,$AB$134:AB614,"*",$AC$134:AC614,"*")</f>
        <v>2302.6</v>
      </c>
      <c r="BX613" s="343">
        <f>SUMIFS($AU614:AU$1388,$Q614:Q$1388,"F")</f>
        <v>14490.133333333335</v>
      </c>
      <c r="BY613" s="343">
        <f>SUMIFS($AU614:AU$1388,$Q614:Q$1388,"S")</f>
        <v>14859.2</v>
      </c>
      <c r="BZ613" s="343">
        <f>SUMIFS($AU614:AU$1388,$Q614:Q$1388,"O")</f>
        <v>-1271.097999999736</v>
      </c>
    </row>
    <row r="614" spans="1:78" ht="15.75" customHeight="1">
      <c r="A614" s="221" t="s">
        <v>2380</v>
      </c>
      <c r="B614" s="200">
        <v>45071</v>
      </c>
      <c r="C614" s="178" t="s">
        <v>1924</v>
      </c>
      <c r="D614" s="178" t="s">
        <v>93</v>
      </c>
      <c r="E614" s="227"/>
      <c r="F614" s="180"/>
      <c r="G614" s="181" t="s">
        <v>2070</v>
      </c>
      <c r="H614" s="182"/>
      <c r="I614" s="182"/>
      <c r="J614" s="182"/>
      <c r="K614" s="183"/>
      <c r="L614" s="182"/>
      <c r="M614" s="182"/>
      <c r="N614" s="182"/>
      <c r="O614" s="183"/>
      <c r="P614" s="183"/>
      <c r="Q614" s="183"/>
      <c r="R614" s="183"/>
      <c r="S614" s="183"/>
      <c r="T614" s="183"/>
      <c r="U614" s="183"/>
      <c r="V614" s="183"/>
      <c r="W614" s="183"/>
      <c r="X614" s="183"/>
      <c r="Y614" s="184"/>
      <c r="Z614" s="185"/>
      <c r="AA614" s="185"/>
      <c r="AB614" s="185"/>
      <c r="AC614" s="185"/>
      <c r="AD614" s="649"/>
      <c r="AE614" s="182"/>
      <c r="AF614" s="332"/>
      <c r="AG614" s="182"/>
      <c r="AH614" s="182"/>
      <c r="AI614" s="182"/>
      <c r="AJ614" s="640"/>
      <c r="AK614" s="182"/>
      <c r="AL614" s="496"/>
      <c r="AM614" s="496"/>
      <c r="AN614" s="626"/>
      <c r="AO614" s="182"/>
      <c r="AP614" s="182"/>
      <c r="AQ614" s="332" t="str">
        <f>UPPER(RIGHT(Journal_Live[[#This Row],[DURATION ]]))</f>
        <v/>
      </c>
      <c r="AR614" s="182"/>
      <c r="AS614" s="189"/>
      <c r="AT614" s="189"/>
      <c r="AU614" s="187"/>
      <c r="AV614" s="190"/>
      <c r="AW614" s="191"/>
      <c r="AX614" s="407"/>
      <c r="AY614" s="407"/>
      <c r="AZ614" s="407"/>
      <c r="BA614" s="407"/>
      <c r="BB614" s="407"/>
      <c r="BC614" s="407"/>
      <c r="BD614" s="407"/>
      <c r="BE614" s="407"/>
      <c r="BF614" s="422"/>
      <c r="BG614" s="391"/>
      <c r="BH614" s="392">
        <f>SUM($AU$134:AU614)</f>
        <v>5736.4153333332724</v>
      </c>
      <c r="BI614" s="318">
        <f>SUMIFS($AU$134:AU615,$Q$134:Q615,"F")</f>
        <v>-49.466666666666924</v>
      </c>
      <c r="BJ614" s="318">
        <f>SUMIFS($AU$134:AU615,$Q$134:Q615,"S")</f>
        <v>5812.4419999999964</v>
      </c>
      <c r="BK614" s="343">
        <f>SUMIFS($AU$134:AU615,$P$134:P615,"W")</f>
        <v>5579.7419999999347</v>
      </c>
      <c r="BL614" s="343">
        <f>SUMIFS($AU$134:AU615,$P$134:P615,"R")</f>
        <v>4.673333333334881</v>
      </c>
      <c r="BM614" s="343">
        <f>SUMIFS($AU$134:AU615,$AQ$134:AQ615,"M")</f>
        <v>1973.3999999999719</v>
      </c>
      <c r="BN614" s="343">
        <f>SUMIFS($AU$134:AU615,$AQ$134:AQ615,"H")</f>
        <v>2524.252000000015</v>
      </c>
      <c r="BO614" s="343">
        <f>SUMIFS($AU$134:AU615,$AQ$134:AQ615,"D")</f>
        <v>-278.31000000000017</v>
      </c>
      <c r="BP614" s="343">
        <f>SUMIFS($AU$134:AU617,$AQ$134:AQ617,"W")</f>
        <v>462.63333333333321</v>
      </c>
      <c r="BQ614" s="343">
        <f>SUMIFS($AU$134:AU615,$Q$134:Q615,"O")</f>
        <v>-377.76000000006229</v>
      </c>
      <c r="BR614" s="343">
        <f>SUMIFS($AU$134:AU615,$AA$134:AA615,"*")</f>
        <v>7081.4753333332956</v>
      </c>
      <c r="BS614" s="343">
        <f>SUMIFS($AU$134:AU615,$AB$134:AB615,"*")</f>
        <v>1261.439999999976</v>
      </c>
      <c r="BT614" s="343">
        <f>SUMIFS($AU$134:AU615,$AC$134:AC615,"*")</f>
        <v>2319.6833333333316</v>
      </c>
      <c r="BU614" s="343">
        <f>SUMIFS($AU$134:AU615,$AA$134:AA615,"*",$AB$134:AB615,"*")</f>
        <v>402.00000000000495</v>
      </c>
      <c r="BV614" s="343">
        <f>SUMIFS($AU$134:AU615,$AA$134:AA615,"*",$AC$134:AC615,"*")</f>
        <v>3268.7833333333328</v>
      </c>
      <c r="BW614" s="343">
        <f>SUMIFS($AU$134:AU615,$AB$134:AB615,"*",$AC$134:AC615,"*")</f>
        <v>2302.6</v>
      </c>
      <c r="BX614" s="343">
        <f>SUMIFS($AU615:AU$1388,$Q615:Q$1388,"F")</f>
        <v>14490.133333333335</v>
      </c>
      <c r="BY614" s="343">
        <f>SUMIFS($AU615:AU$1388,$Q615:Q$1388,"S")</f>
        <v>14859.2</v>
      </c>
      <c r="BZ614" s="343">
        <f>SUMIFS($AU615:AU$1388,$Q615:Q$1388,"O")</f>
        <v>-1271.097999999736</v>
      </c>
    </row>
    <row r="615" spans="1:78" ht="15.75" customHeight="1">
      <c r="A615" s="221" t="s">
        <v>2380</v>
      </c>
      <c r="B615" s="200">
        <v>45071</v>
      </c>
      <c r="C615" s="178" t="s">
        <v>1728</v>
      </c>
      <c r="D615" s="178" t="s">
        <v>93</v>
      </c>
      <c r="E615" s="227" t="s">
        <v>2701</v>
      </c>
      <c r="F615" s="180" t="s">
        <v>2702</v>
      </c>
      <c r="G615" s="181"/>
      <c r="H615" s="182">
        <v>1</v>
      </c>
      <c r="I615" s="182"/>
      <c r="J615" s="182"/>
      <c r="K615" s="183" t="s">
        <v>372</v>
      </c>
      <c r="L615" s="182"/>
      <c r="M615" s="182"/>
      <c r="N615" s="182"/>
      <c r="O615" s="183"/>
      <c r="P615" s="183"/>
      <c r="Q615" s="183"/>
      <c r="R615" s="183"/>
      <c r="S615" s="183"/>
      <c r="T615" s="183"/>
      <c r="U615" s="183"/>
      <c r="V615" s="183"/>
      <c r="W615" s="183"/>
      <c r="X615" s="183"/>
      <c r="Y615" s="183"/>
      <c r="Z615" s="185" t="str">
        <f>IF(ISBLANK(O615),"",IF(O615="IB",8.63*200,IF(O615="IR",16*100,IF(O615="YT",20*100,IF(O615="YT-XT",24*200,IF(O615="TED",80*100))))))</f>
        <v/>
      </c>
      <c r="AA615" s="185"/>
      <c r="AB615" s="185"/>
      <c r="AC615" s="185"/>
      <c r="AD615" s="649"/>
      <c r="AE615" s="182"/>
      <c r="AF615" s="332"/>
      <c r="AG615" s="182"/>
      <c r="AH615" s="182"/>
      <c r="AI615" s="182"/>
      <c r="AJ615" s="640"/>
      <c r="AK615" s="182"/>
      <c r="AL615" s="496"/>
      <c r="AM615" s="496"/>
      <c r="AN615" s="626"/>
      <c r="AO615" s="182"/>
      <c r="AP615" s="182"/>
      <c r="AQ615" s="332" t="str">
        <f>UPPER(RIGHT(Journal_Live[[#This Row],[DURATION ]]))</f>
        <v/>
      </c>
      <c r="AR615" s="182"/>
      <c r="AS615" s="189"/>
      <c r="AT615" s="189">
        <f t="shared" ref="AT615:AT621" si="232">IF(ISBLANK(AS615),,IF(U615="S",AD615-AS615,AS615-AD615))</f>
        <v>0</v>
      </c>
      <c r="AU615" s="187">
        <f t="shared" ref="AU615:AU621" si="233">AV615*R615</f>
        <v>0</v>
      </c>
      <c r="AV615" s="190">
        <f t="shared" ref="AV615:AV621" si="234">IF(ISBLANK(AS615),,(AT615*Z615))</f>
        <v>0</v>
      </c>
      <c r="AW615" s="191"/>
      <c r="AX615" s="407"/>
      <c r="AY615" s="407"/>
      <c r="AZ615" s="407"/>
      <c r="BA615" s="419"/>
      <c r="BB615" s="407"/>
      <c r="BC615" s="407"/>
      <c r="BD615" s="407"/>
      <c r="BE615" s="407"/>
      <c r="BF615" s="422"/>
      <c r="BG615" s="391">
        <f>SUM($AV$4:AV615)</f>
        <v>3479.2641428571374</v>
      </c>
      <c r="BH615" s="392">
        <f>SUM($AU$134:AU615)</f>
        <v>5736.4153333332724</v>
      </c>
      <c r="BI615" s="318">
        <f>SUMIFS($AU$134:AU616,$Q$134:Q616,"F")</f>
        <v>-49.466666666666924</v>
      </c>
      <c r="BJ615" s="318">
        <f>SUMIFS($AU$134:AU616,$Q$134:Q616,"S")</f>
        <v>5812.4419999999964</v>
      </c>
      <c r="BK615" s="343">
        <f>SUMIFS($AU$134:AU616,$P$134:P616,"W")</f>
        <v>5579.7419999999347</v>
      </c>
      <c r="BL615" s="343">
        <f>SUMIFS($AU$134:AU616,$P$134:P616,"R")</f>
        <v>4.673333333334881</v>
      </c>
      <c r="BM615" s="343">
        <f>SUMIFS($AU$134:AU616,$AQ$134:AQ616,"M")</f>
        <v>1973.3999999999719</v>
      </c>
      <c r="BN615" s="343">
        <f>SUMIFS($AU$134:AU616,$AQ$134:AQ616,"H")</f>
        <v>2524.252000000015</v>
      </c>
      <c r="BO615" s="343">
        <f>SUMIFS($AU$134:AU616,$AQ$134:AQ616,"D")</f>
        <v>-278.31000000000017</v>
      </c>
      <c r="BP615" s="343">
        <f>SUMIFS($AU$134:AU618,$AQ$134:AQ618,"W")</f>
        <v>462.63333333333321</v>
      </c>
      <c r="BQ615" s="343">
        <f>SUMIFS($AU$134:AU616,$Q$134:Q616,"O")</f>
        <v>-377.76000000006229</v>
      </c>
      <c r="BR615" s="343">
        <f>SUMIFS($AU$134:AU616,$AA$134:AA616,"*")</f>
        <v>7081.4753333332956</v>
      </c>
      <c r="BS615" s="343">
        <f>SUMIFS($AU$134:AU616,$AB$134:AB616,"*")</f>
        <v>1261.439999999976</v>
      </c>
      <c r="BT615" s="343">
        <f>SUMIFS($AU$134:AU616,$AC$134:AC616,"*")</f>
        <v>2319.6833333333316</v>
      </c>
      <c r="BU615" s="343">
        <f>SUMIFS($AU$134:AU616,$AA$134:AA616,"*",$AB$134:AB616,"*")</f>
        <v>402.00000000000495</v>
      </c>
      <c r="BV615" s="343">
        <f>SUMIFS($AU$134:AU616,$AA$134:AA616,"*",$AC$134:AC616,"*")</f>
        <v>3268.7833333333328</v>
      </c>
      <c r="BW615" s="343">
        <f>SUMIFS($AU$134:AU616,$AB$134:AB616,"*",$AC$134:AC616,"*")</f>
        <v>2302.6</v>
      </c>
      <c r="BX615" s="343">
        <f>SUMIFS($AU616:AU$1388,$Q616:Q$1388,"F")</f>
        <v>14490.133333333335</v>
      </c>
      <c r="BY615" s="343">
        <f>SUMIFS($AU616:AU$1388,$Q616:Q$1388,"S")</f>
        <v>14859.2</v>
      </c>
      <c r="BZ615" s="343">
        <f>SUMIFS($AU616:AU$1388,$Q616:Q$1388,"O")</f>
        <v>-1271.097999999736</v>
      </c>
    </row>
    <row r="616" spans="1:78" ht="15.75" customHeight="1">
      <c r="A616" s="221" t="s">
        <v>2380</v>
      </c>
      <c r="B616" s="200">
        <v>45071</v>
      </c>
      <c r="C616" s="178" t="s">
        <v>1728</v>
      </c>
      <c r="D616" s="178" t="s">
        <v>93</v>
      </c>
      <c r="E616" s="227" t="s">
        <v>2703</v>
      </c>
      <c r="F616" s="180"/>
      <c r="G616" s="181"/>
      <c r="H616" s="182"/>
      <c r="I616" s="182"/>
      <c r="J616" s="182"/>
      <c r="K616" s="183"/>
      <c r="L616" s="182"/>
      <c r="M616" s="182"/>
      <c r="N616" s="182"/>
      <c r="O616" s="183"/>
      <c r="P616" s="183"/>
      <c r="Q616" s="183"/>
      <c r="R616" s="183"/>
      <c r="S616" s="183"/>
      <c r="T616" s="183"/>
      <c r="U616" s="183"/>
      <c r="V616" s="183"/>
      <c r="W616" s="183"/>
      <c r="X616" s="183"/>
      <c r="Y616" s="183"/>
      <c r="Z616" s="185" t="str">
        <f>IF(ISBLANK(O616),"",IF(O616="IB",8.63*200,IF(O616="IR",16*100,IF(O616="YT",20*100,IF(O616="YT-XT",24*200,IF(O616="TED",80*100))))))</f>
        <v/>
      </c>
      <c r="AA616" s="185"/>
      <c r="AB616" s="185"/>
      <c r="AC616" s="185"/>
      <c r="AD616" s="649"/>
      <c r="AE616" s="182"/>
      <c r="AF616" s="332"/>
      <c r="AG616" s="182"/>
      <c r="AH616" s="182"/>
      <c r="AI616" s="182"/>
      <c r="AJ616" s="640"/>
      <c r="AK616" s="182"/>
      <c r="AL616" s="496"/>
      <c r="AM616" s="496"/>
      <c r="AN616" s="626"/>
      <c r="AO616" s="182"/>
      <c r="AP616" s="182"/>
      <c r="AQ616" s="332" t="str">
        <f>UPPER(RIGHT(Journal_Live[[#This Row],[DURATION ]]))</f>
        <v/>
      </c>
      <c r="AR616" s="182"/>
      <c r="AS616" s="189"/>
      <c r="AT616" s="189">
        <f t="shared" si="232"/>
        <v>0</v>
      </c>
      <c r="AU616" s="187">
        <f t="shared" si="233"/>
        <v>0</v>
      </c>
      <c r="AV616" s="190">
        <f t="shared" si="234"/>
        <v>0</v>
      </c>
      <c r="AW616" s="191"/>
      <c r="AX616" s="407"/>
      <c r="AY616" s="407"/>
      <c r="AZ616" s="407"/>
      <c r="BA616" s="419"/>
      <c r="BB616" s="407"/>
      <c r="BC616" s="407"/>
      <c r="BD616" s="407"/>
      <c r="BE616" s="407"/>
      <c r="BF616" s="422"/>
      <c r="BG616" s="391">
        <f>SUM($AV$4:AV616)</f>
        <v>3479.2641428571374</v>
      </c>
      <c r="BH616" s="392">
        <f>SUM($AU$134:AU616)</f>
        <v>5736.4153333332724</v>
      </c>
      <c r="BI616" s="318">
        <f>SUMIFS($AU$134:AU617,$Q$134:Q617,"F")</f>
        <v>-49.466666666666924</v>
      </c>
      <c r="BJ616" s="318">
        <f>SUMIFS($AU$134:AU617,$Q$134:Q617,"S")</f>
        <v>5892.4419999999964</v>
      </c>
      <c r="BK616" s="343">
        <f>SUMIFS($AU$134:AU617,$P$134:P617,"W")</f>
        <v>5659.7419999999347</v>
      </c>
      <c r="BL616" s="343">
        <f>SUMIFS($AU$134:AU617,$P$134:P617,"R")</f>
        <v>4.673333333334881</v>
      </c>
      <c r="BM616" s="343">
        <f>SUMIFS($AU$134:AU617,$AQ$134:AQ617,"M")</f>
        <v>2053.3999999999719</v>
      </c>
      <c r="BN616" s="343">
        <f>SUMIFS($AU$134:AU617,$AQ$134:AQ617,"H")</f>
        <v>2524.252000000015</v>
      </c>
      <c r="BO616" s="343">
        <f>SUMIFS($AU$134:AU617,$AQ$134:AQ617,"D")</f>
        <v>-278.31000000000017</v>
      </c>
      <c r="BP616" s="343">
        <f>SUMIFS($AU$134:AU619,$AQ$134:AQ619,"W")</f>
        <v>462.63333333333321</v>
      </c>
      <c r="BQ616" s="343">
        <f>SUMIFS($AU$134:AU617,$Q$134:Q617,"O")</f>
        <v>-377.76000000006229</v>
      </c>
      <c r="BR616" s="343">
        <f>SUMIFS($AU$134:AU617,$AA$134:AA617,"*")</f>
        <v>7161.4753333332956</v>
      </c>
      <c r="BS616" s="343">
        <f>SUMIFS($AU$134:AU617,$AB$134:AB617,"*")</f>
        <v>1261.439999999976</v>
      </c>
      <c r="BT616" s="343">
        <f>SUMIFS($AU$134:AU617,$AC$134:AC617,"*")</f>
        <v>2319.6833333333316</v>
      </c>
      <c r="BU616" s="343">
        <f>SUMIFS($AU$134:AU617,$AA$134:AA617,"*",$AB$134:AB617,"*")</f>
        <v>402.00000000000495</v>
      </c>
      <c r="BV616" s="343">
        <f>SUMIFS($AU$134:AU617,$AA$134:AA617,"*",$AC$134:AC617,"*")</f>
        <v>3268.7833333333328</v>
      </c>
      <c r="BW616" s="343">
        <f>SUMIFS($AU$134:AU617,$AB$134:AB617,"*",$AC$134:AC617,"*")</f>
        <v>2302.6</v>
      </c>
      <c r="BX616" s="343">
        <f>SUMIFS($AU617:AU$1388,$Q617:Q$1388,"F")</f>
        <v>14490.133333333335</v>
      </c>
      <c r="BY616" s="343">
        <f>SUMIFS($AU617:AU$1388,$Q617:Q$1388,"S")</f>
        <v>14859.2</v>
      </c>
      <c r="BZ616" s="343">
        <f>SUMIFS($AU617:AU$1388,$Q617:Q$1388,"O")</f>
        <v>-1271.097999999736</v>
      </c>
    </row>
    <row r="617" spans="1:78" ht="15.75" customHeight="1">
      <c r="A617" s="221" t="s">
        <v>2380</v>
      </c>
      <c r="B617" s="200">
        <v>45071</v>
      </c>
      <c r="C617" s="178" t="s">
        <v>1698</v>
      </c>
      <c r="D617" s="178" t="s">
        <v>93</v>
      </c>
      <c r="E617" s="227"/>
      <c r="F617" s="180"/>
      <c r="G617" s="281" t="s">
        <v>94</v>
      </c>
      <c r="H617" s="182"/>
      <c r="I617" s="182"/>
      <c r="J617" s="182"/>
      <c r="K617" s="183"/>
      <c r="L617" s="182">
        <v>1</v>
      </c>
      <c r="M617" s="182"/>
      <c r="N617" s="182"/>
      <c r="O617" s="183" t="s">
        <v>95</v>
      </c>
      <c r="P617" s="183" t="s">
        <v>96</v>
      </c>
      <c r="Q617" s="183" t="s">
        <v>97</v>
      </c>
      <c r="R617" s="183">
        <v>5</v>
      </c>
      <c r="S617" s="183">
        <v>0</v>
      </c>
      <c r="T617" s="183">
        <v>5</v>
      </c>
      <c r="U617" s="183" t="s">
        <v>97</v>
      </c>
      <c r="V617" s="183"/>
      <c r="W617" s="183"/>
      <c r="X617" s="183"/>
      <c r="Y617" s="184">
        <f>IF(ISBLANK(O617),"",(IF(O617=UPPER("IB"),0.005,0.01)))</f>
        <v>0.01</v>
      </c>
      <c r="Z617" s="185">
        <f>IF(ISBLANK(O617),"",IF(O617="IB",8.63*200,IF(O617="IR",16*100,IF(O617="YT",20*100,IF(O617="YT-XT",24*200,IF(O617="TED",80*100))))))</f>
        <v>1600</v>
      </c>
      <c r="AA617" s="185" t="s">
        <v>998</v>
      </c>
      <c r="AB617" s="185"/>
      <c r="AC617" s="185"/>
      <c r="AD617" s="649">
        <v>0.04</v>
      </c>
      <c r="AE617" s="182"/>
      <c r="AF617" s="332"/>
      <c r="AG617" s="182"/>
      <c r="AH617" s="182"/>
      <c r="AI617" s="182"/>
      <c r="AJ617" s="640"/>
      <c r="AK617" s="182"/>
      <c r="AL617" s="496"/>
      <c r="AM617" s="496"/>
      <c r="AN617" s="626"/>
      <c r="AO617" s="182"/>
      <c r="AP617" s="182" t="s">
        <v>2369</v>
      </c>
      <c r="AQ617" s="332" t="str">
        <f>UPPER(RIGHT(Journal_Live[[#This Row],[DURATION ]]))</f>
        <v>M</v>
      </c>
      <c r="AR617" s="182" t="s">
        <v>2704</v>
      </c>
      <c r="AS617" s="189">
        <v>0.03</v>
      </c>
      <c r="AT617" s="189">
        <f t="shared" si="232"/>
        <v>1.0000000000000002E-2</v>
      </c>
      <c r="AU617" s="187">
        <f t="shared" si="233"/>
        <v>80.000000000000014</v>
      </c>
      <c r="AV617" s="190">
        <f t="shared" si="234"/>
        <v>16.000000000000004</v>
      </c>
      <c r="AW617" s="191" t="s">
        <v>96</v>
      </c>
      <c r="AX617" s="407"/>
      <c r="AY617" s="407"/>
      <c r="AZ617" s="407"/>
      <c r="BA617" s="407"/>
      <c r="BB617" s="407"/>
      <c r="BC617" s="407"/>
      <c r="BD617" s="407"/>
      <c r="BE617" s="407"/>
      <c r="BF617" s="422"/>
      <c r="BG617" s="391">
        <f>SUM($AV$4:AV617)</f>
        <v>3495.2641428571374</v>
      </c>
      <c r="BH617" s="392">
        <f>SUM($AU$134:AU617)</f>
        <v>5816.4153333332724</v>
      </c>
      <c r="BI617" s="318">
        <f>SUMIFS($AU$134:AU618,$Q$134:Q618,"F")</f>
        <v>-49.466666666666924</v>
      </c>
      <c r="BJ617" s="318">
        <f>SUMIFS($AU$134:AU618,$Q$134:Q618,"S")</f>
        <v>5892.4419999999964</v>
      </c>
      <c r="BK617" s="343">
        <f>SUMIFS($AU$134:AU618,$P$134:P618,"W")</f>
        <v>5659.7419999999347</v>
      </c>
      <c r="BL617" s="343">
        <f>SUMIFS($AU$134:AU618,$P$134:P618,"R")</f>
        <v>4.673333333334881</v>
      </c>
      <c r="BM617" s="343">
        <f>SUMIFS($AU$134:AU618,$AQ$134:AQ618,"M")</f>
        <v>2053.3999999999719</v>
      </c>
      <c r="BN617" s="343">
        <f>SUMIFS($AU$134:AU618,$AQ$134:AQ618,"H")</f>
        <v>2524.252000000015</v>
      </c>
      <c r="BO617" s="343">
        <f>SUMIFS($AU$134:AU618,$AQ$134:AQ618,"D")</f>
        <v>-278.31000000000017</v>
      </c>
      <c r="BP617" s="343">
        <f>SUMIFS($AU$134:AU620,$AQ$134:AQ620,"W")</f>
        <v>462.63333333333321</v>
      </c>
      <c r="BQ617" s="343">
        <f>SUMIFS($AU$134:AU618,$Q$134:Q618,"O")</f>
        <v>-377.76000000006229</v>
      </c>
      <c r="BR617" s="343">
        <f>SUMIFS($AU$134:AU618,$AA$134:AA618,"*")</f>
        <v>7161.4753333332956</v>
      </c>
      <c r="BS617" s="343">
        <f>SUMIFS($AU$134:AU618,$AB$134:AB618,"*")</f>
        <v>1261.439999999976</v>
      </c>
      <c r="BT617" s="343">
        <f>SUMIFS($AU$134:AU618,$AC$134:AC618,"*")</f>
        <v>2319.6833333333316</v>
      </c>
      <c r="BU617" s="343">
        <f>SUMIFS($AU$134:AU618,$AA$134:AA618,"*",$AB$134:AB618,"*")</f>
        <v>402.00000000000495</v>
      </c>
      <c r="BV617" s="343">
        <f>SUMIFS($AU$134:AU618,$AA$134:AA618,"*",$AC$134:AC618,"*")</f>
        <v>3268.7833333333328</v>
      </c>
      <c r="BW617" s="343">
        <f>SUMIFS($AU$134:AU618,$AB$134:AB618,"*",$AC$134:AC618,"*")</f>
        <v>2302.6</v>
      </c>
      <c r="BX617" s="343">
        <f>SUMIFS($AU618:AU$1388,$Q618:Q$1388,"F")</f>
        <v>14490.133333333335</v>
      </c>
      <c r="BY617" s="343">
        <f>SUMIFS($AU618:AU$1388,$Q618:Q$1388,"S")</f>
        <v>14779.2</v>
      </c>
      <c r="BZ617" s="343">
        <f>SUMIFS($AU618:AU$1388,$Q618:Q$1388,"O")</f>
        <v>-1271.097999999736</v>
      </c>
    </row>
    <row r="618" spans="1:78" ht="15.75" customHeight="1">
      <c r="A618" s="221" t="s">
        <v>2380</v>
      </c>
      <c r="B618" s="200">
        <v>45071</v>
      </c>
      <c r="C618" s="178" t="s">
        <v>2705</v>
      </c>
      <c r="D618" s="178" t="s">
        <v>93</v>
      </c>
      <c r="E618" s="227"/>
      <c r="F618" s="180"/>
      <c r="G618" s="181" t="s">
        <v>181</v>
      </c>
      <c r="H618" s="182"/>
      <c r="I618" s="182"/>
      <c r="J618" s="182"/>
      <c r="K618" s="183"/>
      <c r="L618" s="182"/>
      <c r="M618" s="182"/>
      <c r="N618" s="182"/>
      <c r="O618" s="183"/>
      <c r="P618" s="183"/>
      <c r="Q618" s="183"/>
      <c r="R618" s="183"/>
      <c r="S618" s="183"/>
      <c r="T618" s="183"/>
      <c r="U618" s="183"/>
      <c r="V618" s="183"/>
      <c r="W618" s="183"/>
      <c r="X618" s="183"/>
      <c r="Y618" s="184"/>
      <c r="Z618" s="185"/>
      <c r="AA618" s="185"/>
      <c r="AB618" s="185"/>
      <c r="AC618" s="185"/>
      <c r="AD618" s="649"/>
      <c r="AE618" s="182"/>
      <c r="AF618" s="332"/>
      <c r="AG618" s="182"/>
      <c r="AH618" s="182"/>
      <c r="AI618" s="182"/>
      <c r="AJ618" s="640"/>
      <c r="AK618" s="182"/>
      <c r="AL618" s="496"/>
      <c r="AM618" s="496"/>
      <c r="AN618" s="626"/>
      <c r="AO618" s="182"/>
      <c r="AP618" s="182"/>
      <c r="AQ618" s="332" t="str">
        <f>UPPER(RIGHT(Journal_Live[[#This Row],[DURATION ]]))</f>
        <v/>
      </c>
      <c r="AR618" s="182"/>
      <c r="AS618" s="189"/>
      <c r="AT618" s="189">
        <f t="shared" si="232"/>
        <v>0</v>
      </c>
      <c r="AU618" s="187">
        <f t="shared" si="233"/>
        <v>0</v>
      </c>
      <c r="AV618" s="190">
        <f t="shared" si="234"/>
        <v>0</v>
      </c>
      <c r="AW618" s="191"/>
      <c r="AX618" s="407"/>
      <c r="AY618" s="407"/>
      <c r="AZ618" s="407"/>
      <c r="BA618" s="419"/>
      <c r="BB618" s="407"/>
      <c r="BC618" s="407"/>
      <c r="BD618" s="407"/>
      <c r="BE618" s="407"/>
      <c r="BF618" s="422"/>
      <c r="BG618" s="391">
        <f>SUM($AV$4:AV618)</f>
        <v>3495.2641428571374</v>
      </c>
      <c r="BH618" s="392">
        <f>SUM($AU$134:AU618)</f>
        <v>5816.4153333332724</v>
      </c>
      <c r="BI618" s="318">
        <f>SUMIFS($AU$134:AU619,$Q$134:Q619,"F")</f>
        <v>-49.466666666666924</v>
      </c>
      <c r="BJ618" s="318">
        <f>SUMIFS($AU$134:AU619,$Q$134:Q619,"S")</f>
        <v>5892.4419999999964</v>
      </c>
      <c r="BK618" s="343">
        <f>SUMIFS($AU$134:AU619,$P$134:P619,"W")</f>
        <v>5659.7419999999347</v>
      </c>
      <c r="BL618" s="343">
        <f>SUMIFS($AU$134:AU619,$P$134:P619,"R")</f>
        <v>4.673333333334881</v>
      </c>
      <c r="BM618" s="343">
        <f>SUMIFS($AU$134:AU619,$AQ$134:AQ619,"M")</f>
        <v>2053.3999999999719</v>
      </c>
      <c r="BN618" s="343">
        <f>SUMIFS($AU$134:AU619,$AQ$134:AQ619,"H")</f>
        <v>2524.252000000015</v>
      </c>
      <c r="BO618" s="343">
        <f>SUMIFS($AU$134:AU619,$AQ$134:AQ619,"D")</f>
        <v>-278.31000000000017</v>
      </c>
      <c r="BP618" s="343">
        <f>SUMIFS($AU$134:AU621,$AQ$134:AQ621,"W")</f>
        <v>462.63333333333321</v>
      </c>
      <c r="BQ618" s="343">
        <f>SUMIFS($AU$134:AU619,$Q$134:Q619,"O")</f>
        <v>-377.76000000006229</v>
      </c>
      <c r="BR618" s="343">
        <f>SUMIFS($AU$134:AU619,$AA$134:AA619,"*")</f>
        <v>7161.4753333332956</v>
      </c>
      <c r="BS618" s="343">
        <f>SUMIFS($AU$134:AU619,$AB$134:AB619,"*")</f>
        <v>1261.439999999976</v>
      </c>
      <c r="BT618" s="343">
        <f>SUMIFS($AU$134:AU619,$AC$134:AC619,"*")</f>
        <v>2319.6833333333316</v>
      </c>
      <c r="BU618" s="343">
        <f>SUMIFS($AU$134:AU619,$AA$134:AA619,"*",$AB$134:AB619,"*")</f>
        <v>402.00000000000495</v>
      </c>
      <c r="BV618" s="343">
        <f>SUMIFS($AU$134:AU619,$AA$134:AA619,"*",$AC$134:AC619,"*")</f>
        <v>3268.7833333333328</v>
      </c>
      <c r="BW618" s="343">
        <f>SUMIFS($AU$134:AU619,$AB$134:AB619,"*",$AC$134:AC619,"*")</f>
        <v>2302.6</v>
      </c>
      <c r="BX618" s="343">
        <f>SUMIFS($AU619:AU$1388,$Q619:Q$1388,"F")</f>
        <v>14490.133333333335</v>
      </c>
      <c r="BY618" s="343">
        <f>SUMIFS($AU619:AU$1388,$Q619:Q$1388,"S")</f>
        <v>14779.2</v>
      </c>
      <c r="BZ618" s="343">
        <f>SUMIFS($AU619:AU$1388,$Q619:Q$1388,"O")</f>
        <v>-1271.097999999736</v>
      </c>
    </row>
    <row r="619" spans="1:78" ht="15.75" customHeight="1">
      <c r="A619" s="221" t="s">
        <v>2380</v>
      </c>
      <c r="B619" s="200">
        <v>45072</v>
      </c>
      <c r="C619" s="178" t="s">
        <v>2706</v>
      </c>
      <c r="D619" s="178" t="s">
        <v>111</v>
      </c>
      <c r="E619" s="227"/>
      <c r="F619" s="180"/>
      <c r="G619" s="281" t="s">
        <v>94</v>
      </c>
      <c r="H619" s="182"/>
      <c r="I619" s="182"/>
      <c r="J619" s="182"/>
      <c r="K619" s="183"/>
      <c r="L619" s="182">
        <v>1</v>
      </c>
      <c r="M619" s="182"/>
      <c r="N619" s="182"/>
      <c r="O619" s="183" t="s">
        <v>95</v>
      </c>
      <c r="P619" s="183" t="s">
        <v>96</v>
      </c>
      <c r="Q619" s="183" t="s">
        <v>97</v>
      </c>
      <c r="R619" s="183">
        <v>5</v>
      </c>
      <c r="S619" s="183">
        <v>0</v>
      </c>
      <c r="T619" s="183">
        <v>5</v>
      </c>
      <c r="U619" s="183" t="s">
        <v>97</v>
      </c>
      <c r="V619" s="183"/>
      <c r="W619" s="183"/>
      <c r="X619" s="183"/>
      <c r="Y619" s="184">
        <f>IF(ISBLANK(O619),"",(IF(O619=UPPER("IB"),0.005,0.01)))</f>
        <v>0.01</v>
      </c>
      <c r="Z619" s="185">
        <f>IF(ISBLANK(O619),"",IF(O619="IB",8.63*200,IF(O619="IR",16*100,IF(O619="YT",20*100,IF(O619="YT-XT",24*200,IF(O619="TED",80*100))))))</f>
        <v>1600</v>
      </c>
      <c r="AA619" s="185" t="s">
        <v>998</v>
      </c>
      <c r="AB619" s="185"/>
      <c r="AC619" s="185"/>
      <c r="AD619" s="649">
        <v>0.04</v>
      </c>
      <c r="AE619" s="182"/>
      <c r="AF619" s="332"/>
      <c r="AG619" s="182"/>
      <c r="AH619" s="182"/>
      <c r="AI619" s="182"/>
      <c r="AJ619" s="640"/>
      <c r="AK619" s="182"/>
      <c r="AL619" s="496">
        <f t="shared" si="231"/>
        <v>-32</v>
      </c>
      <c r="AM619" s="496">
        <f>AL619*(R619-S619)</f>
        <v>-160</v>
      </c>
      <c r="AN619" s="626"/>
      <c r="AO619" s="182"/>
      <c r="AP619" s="182" t="s">
        <v>1700</v>
      </c>
      <c r="AQ619" s="332" t="str">
        <f>UPPER(RIGHT(Journal_Live[[#This Row],[DURATION ]]))</f>
        <v>H</v>
      </c>
      <c r="AR619" s="182" t="s">
        <v>1121</v>
      </c>
      <c r="AS619" s="189">
        <v>0.04</v>
      </c>
      <c r="AT619" s="189">
        <f t="shared" si="232"/>
        <v>0</v>
      </c>
      <c r="AU619" s="187">
        <f t="shared" si="233"/>
        <v>0</v>
      </c>
      <c r="AV619" s="190">
        <f t="shared" si="234"/>
        <v>0</v>
      </c>
      <c r="AW619" s="191" t="s">
        <v>115</v>
      </c>
      <c r="AX619" s="407"/>
      <c r="AY619" s="407"/>
      <c r="AZ619" s="407"/>
      <c r="BA619" s="419"/>
      <c r="BB619" s="407"/>
      <c r="BC619" s="407"/>
      <c r="BD619" s="407"/>
      <c r="BE619" s="407"/>
      <c r="BF619" s="422"/>
      <c r="BG619" s="391">
        <f>SUM($AV$4:AV619)</f>
        <v>3495.2641428571374</v>
      </c>
      <c r="BH619" s="392">
        <f>SUM($AU$134:AU619)</f>
        <v>5816.4153333332724</v>
      </c>
      <c r="BI619" s="318">
        <f>SUMIFS($AU$134:AU620,$Q$134:Q620,"F")</f>
        <v>-49.466666666666924</v>
      </c>
      <c r="BJ619" s="318">
        <f>SUMIFS($AU$134:AU620,$Q$134:Q620,"S")</f>
        <v>5892.4419999999964</v>
      </c>
      <c r="BK619" s="343">
        <f>SUMIFS($AU$134:AU620,$P$134:P620,"W")</f>
        <v>5659.7419999999347</v>
      </c>
      <c r="BL619" s="343">
        <f>SUMIFS($AU$134:AU620,$P$134:P620,"R")</f>
        <v>4.673333333334881</v>
      </c>
      <c r="BM619" s="343">
        <f>SUMIFS($AU$134:AU620,$AQ$134:AQ620,"M")</f>
        <v>2053.3999999999719</v>
      </c>
      <c r="BN619" s="343">
        <f>SUMIFS($AU$134:AU620,$AQ$134:AQ620,"H")</f>
        <v>2524.252000000015</v>
      </c>
      <c r="BO619" s="343">
        <f>SUMIFS($AU$134:AU620,$AQ$134:AQ620,"D")</f>
        <v>-278.31000000000017</v>
      </c>
      <c r="BP619" s="343">
        <f>SUMIFS($AU$134:AU622,$AQ$134:AQ622,"W")</f>
        <v>462.63333333333321</v>
      </c>
      <c r="BQ619" s="343">
        <f>SUMIFS($AU$134:AU620,$Q$134:Q620,"O")</f>
        <v>-377.76000000006229</v>
      </c>
      <c r="BR619" s="343">
        <f>SUMIFS($AU$134:AU620,$AA$134:AA620,"*")</f>
        <v>7161.4753333332956</v>
      </c>
      <c r="BS619" s="343">
        <f>SUMIFS($AU$134:AU620,$AB$134:AB620,"*")</f>
        <v>1261.439999999976</v>
      </c>
      <c r="BT619" s="343">
        <f>SUMIFS($AU$134:AU620,$AC$134:AC620,"*")</f>
        <v>2319.6833333333316</v>
      </c>
      <c r="BU619" s="343">
        <f>SUMIFS($AU$134:AU620,$AA$134:AA620,"*",$AB$134:AB620,"*")</f>
        <v>402.00000000000495</v>
      </c>
      <c r="BV619" s="343">
        <f>SUMIFS($AU$134:AU620,$AA$134:AA620,"*",$AC$134:AC620,"*")</f>
        <v>3268.7833333333328</v>
      </c>
      <c r="BW619" s="343">
        <f>SUMIFS($AU$134:AU620,$AB$134:AB620,"*",$AC$134:AC620,"*")</f>
        <v>2302.6</v>
      </c>
      <c r="BX619" s="343">
        <f>SUMIFS($AU620:AU$1388,$Q620:Q$1388,"F")</f>
        <v>14490.133333333335</v>
      </c>
      <c r="BY619" s="343">
        <f>SUMIFS($AU620:AU$1388,$Q620:Q$1388,"S")</f>
        <v>14779.2</v>
      </c>
      <c r="BZ619" s="343">
        <f>SUMIFS($AU620:AU$1388,$Q620:Q$1388,"O")</f>
        <v>-1271.097999999736</v>
      </c>
    </row>
    <row r="620" spans="1:78" ht="15.75" customHeight="1">
      <c r="A620" s="221" t="s">
        <v>2380</v>
      </c>
      <c r="B620" s="200">
        <v>45072</v>
      </c>
      <c r="C620" s="178" t="s">
        <v>2707</v>
      </c>
      <c r="D620" s="178" t="s">
        <v>111</v>
      </c>
      <c r="E620" s="227"/>
      <c r="F620" s="180"/>
      <c r="G620" s="181" t="s">
        <v>2016</v>
      </c>
      <c r="H620" s="182"/>
      <c r="I620" s="182"/>
      <c r="J620" s="182"/>
      <c r="K620" s="183"/>
      <c r="L620" s="182"/>
      <c r="M620" s="182"/>
      <c r="N620" s="182"/>
      <c r="O620" s="183"/>
      <c r="P620" s="183"/>
      <c r="Q620" s="183"/>
      <c r="R620" s="183"/>
      <c r="S620" s="183"/>
      <c r="T620" s="183"/>
      <c r="U620" s="183"/>
      <c r="V620" s="183"/>
      <c r="W620" s="183"/>
      <c r="X620" s="183"/>
      <c r="Y620" s="184"/>
      <c r="Z620" s="185"/>
      <c r="AA620" s="185"/>
      <c r="AB620" s="185"/>
      <c r="AC620" s="185"/>
      <c r="AD620" s="649"/>
      <c r="AE620" s="182"/>
      <c r="AF620" s="332"/>
      <c r="AG620" s="182"/>
      <c r="AH620" s="182"/>
      <c r="AI620" s="182"/>
      <c r="AJ620" s="640"/>
      <c r="AK620" s="182"/>
      <c r="AL620" s="496">
        <f t="shared" si="231"/>
        <v>0</v>
      </c>
      <c r="AM620" s="496">
        <f>AL620*(R620-S620)</f>
        <v>0</v>
      </c>
      <c r="AN620" s="626"/>
      <c r="AO620" s="182"/>
      <c r="AP620" s="182"/>
      <c r="AQ620" s="332" t="str">
        <f>UPPER(RIGHT(Journal_Live[[#This Row],[DURATION ]]))</f>
        <v/>
      </c>
      <c r="AR620" s="182"/>
      <c r="AS620" s="189"/>
      <c r="AT620" s="189">
        <f t="shared" si="232"/>
        <v>0</v>
      </c>
      <c r="AU620" s="187">
        <f t="shared" si="233"/>
        <v>0</v>
      </c>
      <c r="AV620" s="190">
        <f t="shared" si="234"/>
        <v>0</v>
      </c>
      <c r="AW620" s="191"/>
      <c r="AX620" s="407"/>
      <c r="AY620" s="407"/>
      <c r="AZ620" s="407"/>
      <c r="BA620" s="419"/>
      <c r="BB620" s="407"/>
      <c r="BC620" s="407"/>
      <c r="BD620" s="407"/>
      <c r="BE620" s="407"/>
      <c r="BF620" s="422"/>
      <c r="BG620" s="391">
        <f>SUM($AV$4:AV620)</f>
        <v>3495.2641428571374</v>
      </c>
      <c r="BH620" s="392">
        <f>SUM($AU$134:AU620)</f>
        <v>5816.4153333332724</v>
      </c>
      <c r="BI620" s="318">
        <f>SUMIFS($AU$134:AU621,$Q$134:Q621,"F")</f>
        <v>-49.466666666666924</v>
      </c>
      <c r="BJ620" s="318">
        <f>SUMIFS($AU$134:AU621,$Q$134:Q621,"S")</f>
        <v>5972.4419999999964</v>
      </c>
      <c r="BK620" s="343">
        <f>SUMIFS($AU$134:AU621,$P$134:P621,"W")</f>
        <v>5739.7419999999347</v>
      </c>
      <c r="BL620" s="343">
        <f>SUMIFS($AU$134:AU621,$P$134:P621,"R")</f>
        <v>4.673333333334881</v>
      </c>
      <c r="BM620" s="343">
        <f>SUMIFS($AU$134:AU621,$AQ$134:AQ621,"M")</f>
        <v>2053.3999999999719</v>
      </c>
      <c r="BN620" s="343">
        <f>SUMIFS($AU$134:AU621,$AQ$134:AQ621,"H")</f>
        <v>2604.252000000015</v>
      </c>
      <c r="BO620" s="343">
        <f>SUMIFS($AU$134:AU621,$AQ$134:AQ621,"D")</f>
        <v>-278.31000000000017</v>
      </c>
      <c r="BP620" s="343">
        <f>SUMIFS($AU$134:AU623,$AQ$134:AQ623,"W")</f>
        <v>462.63333333333321</v>
      </c>
      <c r="BQ620" s="343">
        <f>SUMIFS($AU$134:AU621,$Q$134:Q621,"O")</f>
        <v>-377.76000000006229</v>
      </c>
      <c r="BR620" s="343">
        <f>SUMIFS($AU$134:AU621,$AA$134:AA621,"*")</f>
        <v>7241.4753333332956</v>
      </c>
      <c r="BS620" s="343">
        <f>SUMIFS($AU$134:AU621,$AB$134:AB621,"*")</f>
        <v>1261.439999999976</v>
      </c>
      <c r="BT620" s="343">
        <f>SUMIFS($AU$134:AU621,$AC$134:AC621,"*")</f>
        <v>2399.6833333333316</v>
      </c>
      <c r="BU620" s="343">
        <f>SUMIFS($AU$134:AU621,$AA$134:AA621,"*",$AB$134:AB621,"*")</f>
        <v>402.00000000000495</v>
      </c>
      <c r="BV620" s="343">
        <f>SUMIFS($AU$134:AU621,$AA$134:AA621,"*",$AC$134:AC621,"*")</f>
        <v>3348.7833333333328</v>
      </c>
      <c r="BW620" s="343">
        <f>SUMIFS($AU$134:AU621,$AB$134:AB621,"*",$AC$134:AC621,"*")</f>
        <v>2302.6</v>
      </c>
      <c r="BX620" s="343">
        <f>SUMIFS($AU621:AU$1388,$Q621:Q$1388,"F")</f>
        <v>14490.133333333335</v>
      </c>
      <c r="BY620" s="343">
        <f>SUMIFS($AU621:AU$1388,$Q621:Q$1388,"S")</f>
        <v>14779.2</v>
      </c>
      <c r="BZ620" s="343">
        <f>SUMIFS($AU621:AU$1388,$Q621:Q$1388,"O")</f>
        <v>-1271.097999999736</v>
      </c>
    </row>
    <row r="621" spans="1:78" ht="15.75" customHeight="1">
      <c r="A621" s="221" t="s">
        <v>2380</v>
      </c>
      <c r="B621" s="200">
        <v>45072</v>
      </c>
      <c r="C621" s="178" t="s">
        <v>2707</v>
      </c>
      <c r="D621" s="178" t="s">
        <v>111</v>
      </c>
      <c r="E621" s="227"/>
      <c r="F621" s="180"/>
      <c r="G621" s="281" t="s">
        <v>2145</v>
      </c>
      <c r="H621" s="182"/>
      <c r="I621" s="182"/>
      <c r="J621" s="182"/>
      <c r="K621" s="183"/>
      <c r="L621" s="182">
        <v>1</v>
      </c>
      <c r="M621" s="182"/>
      <c r="N621" s="182"/>
      <c r="O621" s="183" t="s">
        <v>95</v>
      </c>
      <c r="P621" s="183" t="s">
        <v>96</v>
      </c>
      <c r="Q621" s="183" t="s">
        <v>97</v>
      </c>
      <c r="R621" s="183">
        <v>5</v>
      </c>
      <c r="S621" s="183">
        <v>0</v>
      </c>
      <c r="T621" s="183">
        <v>5</v>
      </c>
      <c r="U621" s="183" t="s">
        <v>97</v>
      </c>
      <c r="V621" s="183"/>
      <c r="W621" s="183"/>
      <c r="X621" s="183"/>
      <c r="Y621" s="184">
        <f>IF(ISBLANK(O621),"",(IF(O621=UPPER("IB"),0.005,0.01)))</f>
        <v>0.01</v>
      </c>
      <c r="Z621" s="185">
        <f>IF(ISBLANK(O621),"",IF(O621="IB",8.63*200,IF(O621="IR",16*100,IF(O621="YT",20*100,IF(O621="YT-XT",24*200,IF(O621="TED",80*100))))))</f>
        <v>1600</v>
      </c>
      <c r="AA621" s="185" t="s">
        <v>998</v>
      </c>
      <c r="AB621" s="185"/>
      <c r="AC621" s="185" t="s">
        <v>2708</v>
      </c>
      <c r="AD621" s="649">
        <v>-0.08</v>
      </c>
      <c r="AE621" s="182"/>
      <c r="AF621" s="332"/>
      <c r="AG621" s="182"/>
      <c r="AH621" s="182"/>
      <c r="AI621" s="182"/>
      <c r="AJ621" s="640"/>
      <c r="AK621" s="182"/>
      <c r="AL621" s="496">
        <f t="shared" si="231"/>
        <v>-32</v>
      </c>
      <c r="AM621" s="496">
        <f>AL621*(R621-S621)</f>
        <v>-160</v>
      </c>
      <c r="AN621" s="626"/>
      <c r="AO621" s="182"/>
      <c r="AP621" s="182" t="s">
        <v>2709</v>
      </c>
      <c r="AQ621" s="332" t="str">
        <f>UPPER(RIGHT(Journal_Live[[#This Row],[DURATION ]]))</f>
        <v>H</v>
      </c>
      <c r="AR621" s="182" t="s">
        <v>2710</v>
      </c>
      <c r="AS621" s="189">
        <v>-0.09</v>
      </c>
      <c r="AT621" s="189">
        <f t="shared" si="232"/>
        <v>9.999999999999995E-3</v>
      </c>
      <c r="AU621" s="187">
        <f t="shared" si="233"/>
        <v>79.999999999999972</v>
      </c>
      <c r="AV621" s="190">
        <f t="shared" si="234"/>
        <v>15.999999999999993</v>
      </c>
      <c r="AW621" s="191" t="s">
        <v>96</v>
      </c>
      <c r="AX621" s="407"/>
      <c r="AY621" s="407"/>
      <c r="AZ621" s="407"/>
      <c r="BA621" s="407"/>
      <c r="BB621" s="407"/>
      <c r="BC621" s="407"/>
      <c r="BD621" s="407"/>
      <c r="BE621" s="407"/>
      <c r="BF621" s="422"/>
      <c r="BG621" s="391">
        <f>SUM($AV$4:AV621)</f>
        <v>3511.2641428571374</v>
      </c>
      <c r="BH621" s="392">
        <f>SUM($AU$134:AU621)</f>
        <v>5896.4153333332724</v>
      </c>
      <c r="BI621" s="318">
        <f>SUMIFS($AU$134:AU622,$Q$134:Q622,"F")</f>
        <v>-49.466666666666924</v>
      </c>
      <c r="BJ621" s="318">
        <f>SUMIFS($AU$134:AU622,$Q$134:Q622,"S")</f>
        <v>5972.4419999999964</v>
      </c>
      <c r="BK621" s="343">
        <f>SUMIFS($AU$134:AU622,$P$134:P622,"W")</f>
        <v>5739.7419999999347</v>
      </c>
      <c r="BL621" s="343">
        <f>SUMIFS($AU$134:AU622,$P$134:P622,"R")</f>
        <v>4.673333333334881</v>
      </c>
      <c r="BM621" s="343">
        <f>SUMIFS($AU$134:AU622,$AQ$134:AQ622,"M")</f>
        <v>2053.3999999999719</v>
      </c>
      <c r="BN621" s="343">
        <f>SUMIFS($AU$134:AU622,$AQ$134:AQ622,"H")</f>
        <v>2604.252000000015</v>
      </c>
      <c r="BO621" s="343">
        <f>SUMIFS($AU$134:AU622,$AQ$134:AQ622,"D")</f>
        <v>-278.31000000000017</v>
      </c>
      <c r="BP621" s="343">
        <f>SUMIFS($AU$134:AU624,$AQ$134:AQ624,"W")</f>
        <v>462.63333333333321</v>
      </c>
      <c r="BQ621" s="343">
        <f>SUMIFS($AU$134:AU622,$Q$134:Q622,"O")</f>
        <v>-377.76000000006229</v>
      </c>
      <c r="BR621" s="343">
        <f>SUMIFS($AU$134:AU622,$AA$134:AA622,"*")</f>
        <v>7241.4753333332956</v>
      </c>
      <c r="BS621" s="343">
        <f>SUMIFS($AU$134:AU622,$AB$134:AB622,"*")</f>
        <v>1261.439999999976</v>
      </c>
      <c r="BT621" s="343">
        <f>SUMIFS($AU$134:AU622,$AC$134:AC622,"*")</f>
        <v>2399.6833333333316</v>
      </c>
      <c r="BU621" s="343">
        <f>SUMIFS($AU$134:AU622,$AA$134:AA622,"*",$AB$134:AB622,"*")</f>
        <v>402.00000000000495</v>
      </c>
      <c r="BV621" s="343">
        <f>SUMIFS($AU$134:AU622,$AA$134:AA622,"*",$AC$134:AC622,"*")</f>
        <v>3348.7833333333328</v>
      </c>
      <c r="BW621" s="343">
        <f>SUMIFS($AU$134:AU622,$AB$134:AB622,"*",$AC$134:AC622,"*")</f>
        <v>2302.6</v>
      </c>
      <c r="BX621" s="343">
        <f>SUMIFS($AU622:AU$1388,$Q622:Q$1388,"F")</f>
        <v>14490.133333333335</v>
      </c>
      <c r="BY621" s="343">
        <f>SUMIFS($AU622:AU$1388,$Q622:Q$1388,"S")</f>
        <v>14699.2</v>
      </c>
      <c r="BZ621" s="343">
        <f>SUMIFS($AU622:AU$1388,$Q622:Q$1388,"O")</f>
        <v>-1271.097999999736</v>
      </c>
    </row>
    <row r="622" spans="1:78" ht="15.75" customHeight="1">
      <c r="A622" s="177"/>
      <c r="B622" s="200">
        <v>45072</v>
      </c>
      <c r="C622" s="178" t="s">
        <v>2529</v>
      </c>
      <c r="D622" s="178" t="s">
        <v>111</v>
      </c>
      <c r="E622" s="227"/>
      <c r="F622" s="180"/>
      <c r="G622" s="181" t="s">
        <v>2070</v>
      </c>
      <c r="H622" s="182"/>
      <c r="I622" s="182"/>
      <c r="J622" s="182"/>
      <c r="K622" s="183"/>
      <c r="L622" s="182"/>
      <c r="M622" s="182"/>
      <c r="N622" s="182"/>
      <c r="O622" s="183"/>
      <c r="P622" s="183"/>
      <c r="Q622" s="183"/>
      <c r="R622" s="183"/>
      <c r="S622" s="183"/>
      <c r="T622" s="183"/>
      <c r="U622" s="183"/>
      <c r="V622" s="183"/>
      <c r="W622" s="183"/>
      <c r="X622" s="183"/>
      <c r="Y622" s="184"/>
      <c r="Z622" s="185"/>
      <c r="AA622" s="185"/>
      <c r="AB622" s="185"/>
      <c r="AC622" s="185"/>
      <c r="AD622" s="649"/>
      <c r="AE622" s="182"/>
      <c r="AF622" s="332"/>
      <c r="AG622" s="182"/>
      <c r="AH622" s="182"/>
      <c r="AI622" s="182"/>
      <c r="AJ622" s="640"/>
      <c r="AK622" s="182"/>
      <c r="AL622" s="496"/>
      <c r="AM622" s="496"/>
      <c r="AN622" s="626"/>
      <c r="AO622" s="182"/>
      <c r="AP622" s="182"/>
      <c r="AQ622" s="332" t="str">
        <f>UPPER(RIGHT(Journal_Live[[#This Row],[DURATION ]]))</f>
        <v/>
      </c>
      <c r="AR622" s="182"/>
      <c r="AS622" s="189"/>
      <c r="AT622" s="189"/>
      <c r="AU622" s="187"/>
      <c r="AV622" s="190"/>
      <c r="AW622" s="191"/>
      <c r="AX622" s="407"/>
      <c r="AY622" s="407"/>
      <c r="AZ622" s="407"/>
      <c r="BA622" s="407"/>
      <c r="BB622" s="407"/>
      <c r="BC622" s="407"/>
      <c r="BD622" s="407"/>
      <c r="BE622" s="407"/>
      <c r="BF622" s="422"/>
      <c r="BG622" s="391"/>
      <c r="BH622" s="392">
        <f>SUM($AU$134:AU622)</f>
        <v>5896.4153333332724</v>
      </c>
      <c r="BI622" s="318">
        <f>SUMIFS($AU$134:AU623,$Q$134:Q623,"F")</f>
        <v>-49.466666666666924</v>
      </c>
      <c r="BJ622" s="318">
        <f>SUMIFS($AU$134:AU623,$Q$134:Q623,"S")</f>
        <v>5972.4419999999964</v>
      </c>
      <c r="BK622" s="343">
        <f>SUMIFS($AU$134:AU623,$P$134:P623,"W")</f>
        <v>5739.7419999999347</v>
      </c>
      <c r="BL622" s="343">
        <f>SUMIFS($AU$134:AU623,$P$134:P623,"R")</f>
        <v>4.673333333334881</v>
      </c>
      <c r="BM622" s="343">
        <f>SUMIFS($AU$134:AU623,$AQ$134:AQ623,"M")</f>
        <v>2053.3999999999719</v>
      </c>
      <c r="BN622" s="343">
        <f>SUMIFS($AU$134:AU623,$AQ$134:AQ623,"H")</f>
        <v>2604.252000000015</v>
      </c>
      <c r="BO622" s="343">
        <f>SUMIFS($AU$134:AU623,$AQ$134:AQ623,"D")</f>
        <v>-278.31000000000017</v>
      </c>
      <c r="BP622" s="343">
        <f>SUMIFS($AU$134:AU625,$AQ$134:AQ625,"W")</f>
        <v>462.63333333333321</v>
      </c>
      <c r="BQ622" s="343">
        <f>SUMIFS($AU$134:AU623,$Q$134:Q623,"O")</f>
        <v>-377.76000000006229</v>
      </c>
      <c r="BR622" s="343">
        <f>SUMIFS($AU$134:AU623,$AA$134:AA623,"*")</f>
        <v>7241.4753333332956</v>
      </c>
      <c r="BS622" s="343">
        <f>SUMIFS($AU$134:AU623,$AB$134:AB623,"*")</f>
        <v>1261.439999999976</v>
      </c>
      <c r="BT622" s="343">
        <f>SUMIFS($AU$134:AU623,$AC$134:AC623,"*")</f>
        <v>2399.6833333333316</v>
      </c>
      <c r="BU622" s="343">
        <f>SUMIFS($AU$134:AU623,$AA$134:AA623,"*",$AB$134:AB623,"*")</f>
        <v>402.00000000000495</v>
      </c>
      <c r="BV622" s="343">
        <f>SUMIFS($AU$134:AU623,$AA$134:AA623,"*",$AC$134:AC623,"*")</f>
        <v>3348.7833333333328</v>
      </c>
      <c r="BW622" s="343">
        <f>SUMIFS($AU$134:AU623,$AB$134:AB623,"*",$AC$134:AC623,"*")</f>
        <v>2302.6</v>
      </c>
      <c r="BX622" s="343">
        <f>SUMIFS($AU623:AU$1388,$Q623:Q$1388,"F")</f>
        <v>14490.133333333335</v>
      </c>
      <c r="BY622" s="343">
        <f>SUMIFS($AU623:AU$1388,$Q623:Q$1388,"S")</f>
        <v>14699.2</v>
      </c>
      <c r="BZ622" s="343">
        <f>SUMIFS($AU623:AU$1388,$Q623:Q$1388,"O")</f>
        <v>-1271.097999999736</v>
      </c>
    </row>
    <row r="623" spans="1:78" ht="15.75" customHeight="1">
      <c r="A623" s="221" t="s">
        <v>2380</v>
      </c>
      <c r="B623" s="200">
        <v>45072</v>
      </c>
      <c r="C623" s="178" t="s">
        <v>2081</v>
      </c>
      <c r="D623" s="178" t="s">
        <v>111</v>
      </c>
      <c r="E623" s="227" t="s">
        <v>2711</v>
      </c>
      <c r="F623" s="180" t="s">
        <v>2712</v>
      </c>
      <c r="G623" s="181"/>
      <c r="H623" s="182"/>
      <c r="I623" s="182"/>
      <c r="J623" s="182">
        <v>1</v>
      </c>
      <c r="K623" s="183" t="s">
        <v>115</v>
      </c>
      <c r="L623" s="182"/>
      <c r="M623" s="182"/>
      <c r="N623" s="182"/>
      <c r="O623" s="183"/>
      <c r="P623" s="183"/>
      <c r="Q623" s="183"/>
      <c r="R623" s="183"/>
      <c r="S623" s="183"/>
      <c r="T623" s="183"/>
      <c r="U623" s="183"/>
      <c r="V623" s="183"/>
      <c r="W623" s="183"/>
      <c r="X623" s="183"/>
      <c r="Y623" s="183"/>
      <c r="Z623" s="185" t="str">
        <f>IF(ISBLANK(O623),"",IF(O623="IB",8.63*200,IF(O623="IR",16*100,IF(O623="YT",20*100,IF(O623="YT-XT",24*200,IF(O623="TED",80*100))))))</f>
        <v/>
      </c>
      <c r="AA623" s="185"/>
      <c r="AB623" s="185"/>
      <c r="AC623" s="185"/>
      <c r="AD623" s="649"/>
      <c r="AE623" s="182"/>
      <c r="AF623" s="332"/>
      <c r="AG623" s="182"/>
      <c r="AH623" s="182"/>
      <c r="AI623" s="182"/>
      <c r="AJ623" s="640"/>
      <c r="AK623" s="182"/>
      <c r="AL623" s="496"/>
      <c r="AM623" s="497"/>
      <c r="AN623" s="626"/>
      <c r="AO623" s="182"/>
      <c r="AP623" s="182"/>
      <c r="AQ623" s="332" t="str">
        <f>UPPER(RIGHT(Journal_Live[[#This Row],[DURATION ]]))</f>
        <v/>
      </c>
      <c r="AR623" s="182"/>
      <c r="AS623" s="189"/>
      <c r="AT623" s="189"/>
      <c r="AU623" s="187"/>
      <c r="AV623" s="190"/>
      <c r="AW623" s="191"/>
      <c r="AX623" s="407"/>
      <c r="AY623" s="407"/>
      <c r="AZ623" s="407"/>
      <c r="BA623" s="419"/>
      <c r="BB623" s="407"/>
      <c r="BC623" s="407"/>
      <c r="BD623" s="407"/>
      <c r="BE623" s="407"/>
      <c r="BF623" s="422"/>
      <c r="BG623" s="391">
        <f>SUM($AV$4:AV623)</f>
        <v>3511.2641428571374</v>
      </c>
      <c r="BH623" s="392">
        <f>SUM($AU$134:AU623)</f>
        <v>5896.4153333332724</v>
      </c>
      <c r="BI623" s="318">
        <f>SUMIFS($AU$134:AU624,$Q$134:Q624,"F")</f>
        <v>-49.466666666666924</v>
      </c>
      <c r="BJ623" s="318">
        <f>SUMIFS($AU$134:AU624,$Q$134:Q624,"S")</f>
        <v>5972.4419999999964</v>
      </c>
      <c r="BK623" s="343">
        <f>SUMIFS($AU$134:AU624,$P$134:P624,"W")</f>
        <v>5739.7419999999347</v>
      </c>
      <c r="BL623" s="343">
        <f>SUMIFS($AU$134:AU624,$P$134:P624,"R")</f>
        <v>4.673333333334881</v>
      </c>
      <c r="BM623" s="343">
        <f>SUMIFS($AU$134:AU624,$AQ$134:AQ624,"M")</f>
        <v>2053.3999999999719</v>
      </c>
      <c r="BN623" s="343">
        <f>SUMIFS($AU$134:AU624,$AQ$134:AQ624,"H")</f>
        <v>2604.252000000015</v>
      </c>
      <c r="BO623" s="343">
        <f>SUMIFS($AU$134:AU624,$AQ$134:AQ624,"D")</f>
        <v>-278.31000000000017</v>
      </c>
      <c r="BP623" s="343">
        <f>SUMIFS($AU$134:AU626,$AQ$134:AQ626,"W")</f>
        <v>462.63333333333321</v>
      </c>
      <c r="BQ623" s="343">
        <f>SUMIFS($AU$134:AU624,$Q$134:Q624,"O")</f>
        <v>-377.76000000006229</v>
      </c>
      <c r="BR623" s="343">
        <f>SUMIFS($AU$134:AU624,$AA$134:AA624,"*")</f>
        <v>7241.4753333332956</v>
      </c>
      <c r="BS623" s="343">
        <f>SUMIFS($AU$134:AU624,$AB$134:AB624,"*")</f>
        <v>1261.439999999976</v>
      </c>
      <c r="BT623" s="343">
        <f>SUMIFS($AU$134:AU624,$AC$134:AC624,"*")</f>
        <v>2399.6833333333316</v>
      </c>
      <c r="BU623" s="343">
        <f>SUMIFS($AU$134:AU624,$AA$134:AA624,"*",$AB$134:AB624,"*")</f>
        <v>402.00000000000495</v>
      </c>
      <c r="BV623" s="343">
        <f>SUMIFS($AU$134:AU624,$AA$134:AA624,"*",$AC$134:AC624,"*")</f>
        <v>3348.7833333333328</v>
      </c>
      <c r="BW623" s="343">
        <f>SUMIFS($AU$134:AU624,$AB$134:AB624,"*",$AC$134:AC624,"*")</f>
        <v>2302.6</v>
      </c>
      <c r="BX623" s="343">
        <f>SUMIFS($AU624:AU$1388,$Q624:Q$1388,"F")</f>
        <v>14490.133333333335</v>
      </c>
      <c r="BY623" s="343">
        <f>SUMIFS($AU624:AU$1388,$Q624:Q$1388,"S")</f>
        <v>14699.2</v>
      </c>
      <c r="BZ623" s="343">
        <f>SUMIFS($AU624:AU$1388,$Q624:Q$1388,"O")</f>
        <v>-1271.097999999736</v>
      </c>
    </row>
    <row r="624" spans="1:78" ht="15.75" customHeight="1">
      <c r="A624" s="221" t="s">
        <v>2380</v>
      </c>
      <c r="B624" s="200">
        <v>45072</v>
      </c>
      <c r="C624" s="178"/>
      <c r="D624" s="178" t="s">
        <v>111</v>
      </c>
      <c r="E624" s="227"/>
      <c r="F624" s="180"/>
      <c r="G624" s="437" t="s">
        <v>2064</v>
      </c>
      <c r="H624" s="182"/>
      <c r="I624" s="182"/>
      <c r="J624" s="182"/>
      <c r="K624" s="183"/>
      <c r="L624" s="182"/>
      <c r="M624" s="182"/>
      <c r="N624" s="182"/>
      <c r="O624" s="183"/>
      <c r="P624" s="183"/>
      <c r="Q624" s="183"/>
      <c r="R624" s="183"/>
      <c r="S624" s="183"/>
      <c r="T624" s="183"/>
      <c r="U624" s="183"/>
      <c r="V624" s="183"/>
      <c r="W624" s="183"/>
      <c r="X624" s="183"/>
      <c r="Y624" s="184"/>
      <c r="Z624" s="185"/>
      <c r="AA624" s="185"/>
      <c r="AB624" s="185"/>
      <c r="AC624" s="185"/>
      <c r="AD624" s="649"/>
      <c r="AE624" s="182"/>
      <c r="AF624" s="332"/>
      <c r="AG624" s="182"/>
      <c r="AH624" s="182"/>
      <c r="AI624" s="182"/>
      <c r="AJ624" s="640"/>
      <c r="AK624" s="182"/>
      <c r="AL624" s="496"/>
      <c r="AM624" s="497"/>
      <c r="AN624" s="626"/>
      <c r="AO624" s="182"/>
      <c r="AP624" s="182"/>
      <c r="AQ624" s="332" t="str">
        <f>UPPER(RIGHT(Journal_Live[[#This Row],[DURATION ]]))</f>
        <v/>
      </c>
      <c r="AR624" s="182"/>
      <c r="AS624" s="189"/>
      <c r="AT624" s="189"/>
      <c r="AU624" s="187"/>
      <c r="AV624" s="190"/>
      <c r="AW624" s="191"/>
      <c r="AX624" s="407"/>
      <c r="AY624" s="407"/>
      <c r="AZ624" s="407"/>
      <c r="BA624" s="419"/>
      <c r="BB624" s="407"/>
      <c r="BC624" s="407"/>
      <c r="BD624" s="407"/>
      <c r="BE624" s="407"/>
      <c r="BF624" s="422"/>
      <c r="BG624" s="391">
        <f>SUM($AV$4:AV624)</f>
        <v>3511.2641428571374</v>
      </c>
      <c r="BH624" s="392">
        <f>SUM($AU$134:AU624)</f>
        <v>5896.4153333332724</v>
      </c>
      <c r="BI624" s="318">
        <f>SUMIFS($AU$134:AU625,$Q$134:Q625,"F")</f>
        <v>-49.466666666666924</v>
      </c>
      <c r="BJ624" s="318">
        <f>SUMIFS($AU$134:AU625,$Q$134:Q625,"S")</f>
        <v>5892.4419999999964</v>
      </c>
      <c r="BK624" s="343">
        <f>SUMIFS($AU$134:AU625,$P$134:P625,"W")</f>
        <v>5739.7419999999347</v>
      </c>
      <c r="BL624" s="343">
        <f>SUMIFS($AU$134:AU625,$P$134:P625,"R")</f>
        <v>-75.32666666666519</v>
      </c>
      <c r="BM624" s="343">
        <f>SUMIFS($AU$134:AU625,$AQ$134:AQ625,"M")</f>
        <v>2053.3999999999719</v>
      </c>
      <c r="BN624" s="343">
        <f>SUMIFS($AU$134:AU625,$AQ$134:AQ625,"H")</f>
        <v>2604.252000000015</v>
      </c>
      <c r="BO624" s="343">
        <f>SUMIFS($AU$134:AU625,$AQ$134:AQ625,"D")</f>
        <v>-358.31000000000023</v>
      </c>
      <c r="BP624" s="343">
        <f>SUMIFS($AU$134:AU627,$AQ$134:AQ627,"W")</f>
        <v>462.63333333333321</v>
      </c>
      <c r="BQ624" s="343">
        <f>SUMIFS($AU$134:AU625,$Q$134:Q625,"O")</f>
        <v>-377.76000000006229</v>
      </c>
      <c r="BR624" s="343">
        <f>SUMIFS($AU$134:AU625,$AA$134:AA625,"*")</f>
        <v>7241.4753333332956</v>
      </c>
      <c r="BS624" s="343">
        <f>SUMIFS($AU$134:AU625,$AB$134:AB625,"*")</f>
        <v>1261.439999999976</v>
      </c>
      <c r="BT624" s="343">
        <f>SUMIFS($AU$134:AU625,$AC$134:AC625,"*")</f>
        <v>2319.6833333333316</v>
      </c>
      <c r="BU624" s="343">
        <f>SUMIFS($AU$134:AU625,$AA$134:AA625,"*",$AB$134:AB625,"*")</f>
        <v>402.00000000000495</v>
      </c>
      <c r="BV624" s="343">
        <f>SUMIFS($AU$134:AU625,$AA$134:AA625,"*",$AC$134:AC625,"*")</f>
        <v>3348.7833333333328</v>
      </c>
      <c r="BW624" s="343">
        <f>SUMIFS($AU$134:AU625,$AB$134:AB625,"*",$AC$134:AC625,"*")</f>
        <v>2302.6</v>
      </c>
      <c r="BX624" s="343">
        <f>SUMIFS($AU625:AU$1388,$Q625:Q$1388,"F")</f>
        <v>14490.133333333335</v>
      </c>
      <c r="BY624" s="343">
        <f>SUMIFS($AU625:AU$1388,$Q625:Q$1388,"S")</f>
        <v>14699.2</v>
      </c>
      <c r="BZ624" s="343">
        <f>SUMIFS($AU625:AU$1388,$Q625:Q$1388,"O")</f>
        <v>-1271.097999999736</v>
      </c>
    </row>
    <row r="625" spans="1:78" ht="15.75" customHeight="1">
      <c r="A625" s="221" t="s">
        <v>2380</v>
      </c>
      <c r="B625" s="200">
        <v>45072</v>
      </c>
      <c r="C625" s="178" t="s">
        <v>682</v>
      </c>
      <c r="D625" s="178" t="s">
        <v>111</v>
      </c>
      <c r="E625" s="227"/>
      <c r="F625" s="180"/>
      <c r="G625" s="281" t="s">
        <v>2016</v>
      </c>
      <c r="H625" s="182"/>
      <c r="I625" s="182"/>
      <c r="J625" s="182"/>
      <c r="K625" s="183"/>
      <c r="L625" s="182">
        <v>1</v>
      </c>
      <c r="M625" s="182"/>
      <c r="N625" s="182"/>
      <c r="O625" s="183" t="s">
        <v>95</v>
      </c>
      <c r="P625" s="183" t="s">
        <v>137</v>
      </c>
      <c r="Q625" s="183" t="s">
        <v>97</v>
      </c>
      <c r="R625" s="183">
        <v>5</v>
      </c>
      <c r="S625" s="183">
        <v>0</v>
      </c>
      <c r="T625" s="183">
        <v>5</v>
      </c>
      <c r="U625" s="183" t="s">
        <v>22</v>
      </c>
      <c r="V625" s="183"/>
      <c r="W625" s="183"/>
      <c r="X625" s="183"/>
      <c r="Y625" s="184">
        <f>IF(ISBLANK(O625),"",(IF(O625=UPPER("IB"),0.005,0.01)))</f>
        <v>0.01</v>
      </c>
      <c r="Z625" s="185">
        <f>IF(ISBLANK(O625),"",IF(O625="IB",8.63*200,IF(O625="IR",16*100,IF(O625="YT",20*100,IF(O625="YT-XT",24*200,IF(O625="TED",80*100))))))</f>
        <v>1600</v>
      </c>
      <c r="AA625" s="185"/>
      <c r="AB625" s="185"/>
      <c r="AC625" s="185" t="s">
        <v>2713</v>
      </c>
      <c r="AD625" s="649">
        <v>-0.09</v>
      </c>
      <c r="AE625" s="182"/>
      <c r="AF625" s="332"/>
      <c r="AG625" s="182"/>
      <c r="AH625" s="182"/>
      <c r="AI625" s="182"/>
      <c r="AJ625" s="640"/>
      <c r="AK625" s="182"/>
      <c r="AL625" s="496"/>
      <c r="AM625" s="497"/>
      <c r="AN625" s="626"/>
      <c r="AO625" s="182"/>
      <c r="AP625" s="182" t="s">
        <v>589</v>
      </c>
      <c r="AQ625" s="332" t="str">
        <f>UPPER(RIGHT(Journal_Live[[#This Row],[DURATION ]]))</f>
        <v>D</v>
      </c>
      <c r="AR625" s="182" t="s">
        <v>2714</v>
      </c>
      <c r="AS625" s="189">
        <v>-0.1</v>
      </c>
      <c r="AT625" s="189">
        <f>IF(ISBLANK(AS625),,IF(U625="S",AD625-AS625,AS625-AD625))</f>
        <v>-1.0000000000000009E-2</v>
      </c>
      <c r="AU625" s="187">
        <f>AV625*R625</f>
        <v>-80.000000000000071</v>
      </c>
      <c r="AV625" s="190">
        <f>IF(ISBLANK(AS625),,(AT625*Z625))</f>
        <v>-16.000000000000014</v>
      </c>
      <c r="AW625" s="191" t="s">
        <v>229</v>
      </c>
      <c r="AX625" s="409" t="s">
        <v>2715</v>
      </c>
      <c r="AY625" s="407" t="s">
        <v>2716</v>
      </c>
      <c r="AZ625" s="407" t="s">
        <v>2717</v>
      </c>
      <c r="BA625" s="407" t="s">
        <v>2718</v>
      </c>
      <c r="BB625" s="407" t="s">
        <v>2719</v>
      </c>
      <c r="BC625" s="407"/>
      <c r="BD625" s="407"/>
      <c r="BE625" s="407"/>
      <c r="BF625" s="422"/>
      <c r="BG625" s="391">
        <f>SUM($AV$4:AV625)</f>
        <v>3495.2641428571374</v>
      </c>
      <c r="BH625" s="392">
        <f>SUM($AU$134:AU625)</f>
        <v>5816.4153333332724</v>
      </c>
      <c r="BI625" s="318">
        <f>SUMIFS($AU$134:AU626,$Q$134:Q626,"F")</f>
        <v>-49.466666666666924</v>
      </c>
      <c r="BJ625" s="318">
        <f>SUMIFS($AU$134:AU626,$Q$134:Q626,"S")</f>
        <v>5972.4419999999964</v>
      </c>
      <c r="BK625" s="343">
        <f>SUMIFS($AU$134:AU626,$P$134:P626,"W")</f>
        <v>5739.7419999999347</v>
      </c>
      <c r="BL625" s="343">
        <f>SUMIFS($AU$134:AU626,$P$134:P626,"R")</f>
        <v>4.673333333334881</v>
      </c>
      <c r="BM625" s="343">
        <f>SUMIFS($AU$134:AU626,$AQ$134:AQ626,"M")</f>
        <v>2053.3999999999719</v>
      </c>
      <c r="BN625" s="343">
        <f>SUMIFS($AU$134:AU626,$AQ$134:AQ626,"H")</f>
        <v>2684.252000000015</v>
      </c>
      <c r="BO625" s="343">
        <f>SUMIFS($AU$134:AU626,$AQ$134:AQ626,"D")</f>
        <v>-358.31000000000023</v>
      </c>
      <c r="BP625" s="343">
        <f>SUMIFS($AU$134:AU628,$AQ$134:AQ628,"W")</f>
        <v>462.63333333333321</v>
      </c>
      <c r="BQ625" s="343">
        <f>SUMIFS($AU$134:AU626,$Q$134:Q626,"O")</f>
        <v>-377.76000000006229</v>
      </c>
      <c r="BR625" s="343">
        <f>SUMIFS($AU$134:AU626,$AA$134:AA626,"*")</f>
        <v>7241.4753333332956</v>
      </c>
      <c r="BS625" s="343">
        <f>SUMIFS($AU$134:AU626,$AB$134:AB626,"*")</f>
        <v>1341.439999999976</v>
      </c>
      <c r="BT625" s="343">
        <f>SUMIFS($AU$134:AU626,$AC$134:AC626,"*")</f>
        <v>2399.6833333333316</v>
      </c>
      <c r="BU625" s="343">
        <f>SUMIFS($AU$134:AU626,$AA$134:AA626,"*",$AB$134:AB626,"*")</f>
        <v>402.00000000000495</v>
      </c>
      <c r="BV625" s="343">
        <f>SUMIFS($AU$134:AU626,$AA$134:AA626,"*",$AC$134:AC626,"*")</f>
        <v>3348.7833333333328</v>
      </c>
      <c r="BW625" s="343">
        <f>SUMIFS($AU$134:AU626,$AB$134:AB626,"*",$AC$134:AC626,"*")</f>
        <v>2382.6</v>
      </c>
      <c r="BX625" s="343">
        <f>SUMIFS($AU626:AU$1388,$Q626:Q$1388,"F")</f>
        <v>14490.133333333335</v>
      </c>
      <c r="BY625" s="343">
        <f>SUMIFS($AU626:AU$1388,$Q626:Q$1388,"S")</f>
        <v>14779.2</v>
      </c>
      <c r="BZ625" s="343">
        <f>SUMIFS($AU626:AU$1388,$Q626:Q$1388,"O")</f>
        <v>-1271.097999999736</v>
      </c>
    </row>
    <row r="626" spans="1:78" ht="15.75" customHeight="1">
      <c r="A626" s="221" t="s">
        <v>2380</v>
      </c>
      <c r="B626" s="200">
        <v>45072</v>
      </c>
      <c r="C626" s="178" t="s">
        <v>2720</v>
      </c>
      <c r="D626" s="178" t="s">
        <v>111</v>
      </c>
      <c r="E626" s="227"/>
      <c r="F626" s="180"/>
      <c r="G626" s="281" t="s">
        <v>2145</v>
      </c>
      <c r="H626" s="182"/>
      <c r="I626" s="182"/>
      <c r="J626" s="182"/>
      <c r="K626" s="183"/>
      <c r="L626" s="182">
        <v>1</v>
      </c>
      <c r="M626" s="182"/>
      <c r="N626" s="182"/>
      <c r="O626" s="183" t="s">
        <v>95</v>
      </c>
      <c r="P626" s="183" t="s">
        <v>137</v>
      </c>
      <c r="Q626" s="183" t="s">
        <v>97</v>
      </c>
      <c r="R626" s="183">
        <v>5</v>
      </c>
      <c r="S626" s="183">
        <v>0</v>
      </c>
      <c r="T626" s="183">
        <v>5</v>
      </c>
      <c r="U626" s="183" t="s">
        <v>22</v>
      </c>
      <c r="V626" s="183"/>
      <c r="W626" s="183"/>
      <c r="X626" s="183"/>
      <c r="Y626" s="184">
        <f>IF(ISBLANK(O626),"",(IF(O626=UPPER("IB"),0.005,0.01)))</f>
        <v>0.01</v>
      </c>
      <c r="Z626" s="185">
        <f>IF(ISBLANK(O626),"",IF(O626="IB",8.63*200,IF(O626="IR",16*100,IF(O626="YT",20*100,IF(O626="YT-XT",24*200,IF(O626="TED",80*100))))))</f>
        <v>1600</v>
      </c>
      <c r="AA626" s="185"/>
      <c r="AB626" s="409" t="s">
        <v>2721</v>
      </c>
      <c r="AC626" s="185" t="s">
        <v>529</v>
      </c>
      <c r="AD626" s="649">
        <v>-0.1</v>
      </c>
      <c r="AE626" s="182"/>
      <c r="AF626" s="332"/>
      <c r="AG626" s="182"/>
      <c r="AH626" s="182"/>
      <c r="AI626" s="182"/>
      <c r="AJ626" s="640"/>
      <c r="AK626" s="182"/>
      <c r="AL626" s="496"/>
      <c r="AM626" s="497"/>
      <c r="AN626" s="626"/>
      <c r="AO626" s="182"/>
      <c r="AP626" s="182" t="s">
        <v>942</v>
      </c>
      <c r="AQ626" s="332" t="str">
        <f>UPPER(RIGHT(Journal_Live[[#This Row],[DURATION ]]))</f>
        <v>H</v>
      </c>
      <c r="AR626" s="182" t="s">
        <v>2722</v>
      </c>
      <c r="AS626" s="189">
        <v>-0.09</v>
      </c>
      <c r="AT626" s="189">
        <f>IF(ISBLANK(AS626),,IF(U626="S",AD626-AS626,AS626-AD626))</f>
        <v>1.0000000000000009E-2</v>
      </c>
      <c r="AU626" s="187">
        <f>AV626*R626</f>
        <v>80.000000000000071</v>
      </c>
      <c r="AV626" s="190">
        <f>IF(ISBLANK(AS626),,(AT626*Z626))</f>
        <v>16.000000000000014</v>
      </c>
      <c r="AW626" s="191" t="s">
        <v>96</v>
      </c>
      <c r="AX626" s="407" t="s">
        <v>2723</v>
      </c>
      <c r="AY626" s="407"/>
      <c r="AZ626" s="407"/>
      <c r="BA626" s="407"/>
      <c r="BB626" s="407"/>
      <c r="BC626" s="407"/>
      <c r="BD626" s="407"/>
      <c r="BE626" s="407"/>
      <c r="BF626" s="422"/>
      <c r="BG626" s="391">
        <f>SUM($AV$4:AV626)</f>
        <v>3511.2641428571374</v>
      </c>
      <c r="BH626" s="392">
        <f>SUM($AU$134:AU626)</f>
        <v>5896.4153333332724</v>
      </c>
      <c r="BI626" s="318">
        <f>SUMIFS($AU$134:AU627,$Q$134:Q627,"F")</f>
        <v>-49.466666666666924</v>
      </c>
      <c r="BJ626" s="318">
        <f>SUMIFS($AU$134:AU627,$Q$134:Q627,"S")</f>
        <v>5972.4419999999964</v>
      </c>
      <c r="BK626" s="343">
        <f>SUMIFS($AU$134:AU627,$P$134:P627,"W")</f>
        <v>5739.7419999999347</v>
      </c>
      <c r="BL626" s="343">
        <f>SUMIFS($AU$134:AU627,$P$134:P627,"R")</f>
        <v>4.673333333334881</v>
      </c>
      <c r="BM626" s="343">
        <f>SUMIFS($AU$134:AU627,$AQ$134:AQ627,"M")</f>
        <v>2053.3999999999719</v>
      </c>
      <c r="BN626" s="343">
        <f>SUMIFS($AU$134:AU627,$AQ$134:AQ627,"H")</f>
        <v>2684.252000000015</v>
      </c>
      <c r="BO626" s="343">
        <f>SUMIFS($AU$134:AU627,$AQ$134:AQ627,"D")</f>
        <v>-358.31000000000023</v>
      </c>
      <c r="BP626" s="343">
        <f>SUMIFS($AU$134:AU629,$AQ$134:AQ629,"W")</f>
        <v>462.63333333333321</v>
      </c>
      <c r="BQ626" s="343">
        <f>SUMIFS($AU$134:AU627,$Q$134:Q627,"O")</f>
        <v>-377.76000000006229</v>
      </c>
      <c r="BR626" s="343">
        <f>SUMIFS($AU$134:AU627,$AA$134:AA627,"*")</f>
        <v>7241.4753333332956</v>
      </c>
      <c r="BS626" s="343">
        <f>SUMIFS($AU$134:AU627,$AB$134:AB627,"*")</f>
        <v>1341.439999999976</v>
      </c>
      <c r="BT626" s="343">
        <f>SUMIFS($AU$134:AU627,$AC$134:AC627,"*")</f>
        <v>2399.6833333333316</v>
      </c>
      <c r="BU626" s="343">
        <f>SUMIFS($AU$134:AU627,$AA$134:AA627,"*",$AB$134:AB627,"*")</f>
        <v>402.00000000000495</v>
      </c>
      <c r="BV626" s="343">
        <f>SUMIFS($AU$134:AU627,$AA$134:AA627,"*",$AC$134:AC627,"*")</f>
        <v>3348.7833333333328</v>
      </c>
      <c r="BW626" s="343">
        <f>SUMIFS($AU$134:AU627,$AB$134:AB627,"*",$AC$134:AC627,"*")</f>
        <v>2382.6</v>
      </c>
      <c r="BX626" s="343">
        <f>SUMIFS($AU627:AU$1388,$Q627:Q$1388,"F")</f>
        <v>14490.133333333335</v>
      </c>
      <c r="BY626" s="343">
        <f>SUMIFS($AU627:AU$1388,$Q627:Q$1388,"S")</f>
        <v>14699.2</v>
      </c>
      <c r="BZ626" s="343">
        <f>SUMIFS($AU627:AU$1388,$Q627:Q$1388,"O")</f>
        <v>-1271.097999999736</v>
      </c>
    </row>
    <row r="627" spans="1:78" ht="15.75" customHeight="1">
      <c r="A627" s="221" t="s">
        <v>2380</v>
      </c>
      <c r="B627" s="200">
        <v>45072</v>
      </c>
      <c r="C627" s="178" t="s">
        <v>1714</v>
      </c>
      <c r="D627" s="178" t="s">
        <v>111</v>
      </c>
      <c r="E627" s="227" t="s">
        <v>2724</v>
      </c>
      <c r="F627" s="180" t="s">
        <v>2725</v>
      </c>
      <c r="G627" s="181"/>
      <c r="H627" s="182">
        <v>1</v>
      </c>
      <c r="I627" s="182"/>
      <c r="J627" s="182"/>
      <c r="K627" s="183" t="s">
        <v>372</v>
      </c>
      <c r="L627" s="182"/>
      <c r="M627" s="182"/>
      <c r="N627" s="182"/>
      <c r="O627" s="183"/>
      <c r="P627" s="183"/>
      <c r="Q627" s="183"/>
      <c r="R627" s="183"/>
      <c r="S627" s="183"/>
      <c r="T627" s="183"/>
      <c r="U627" s="183"/>
      <c r="V627" s="183"/>
      <c r="W627" s="183"/>
      <c r="X627" s="183"/>
      <c r="Y627" s="183"/>
      <c r="Z627" s="185" t="str">
        <f>IF(ISBLANK(O627),"",IF(O627="IB",8.63*200,IF(O627="IR",16*100,IF(O627="YT",20*100,IF(O627="YT-XT",24*200,IF(O627="TED",80*100))))))</f>
        <v/>
      </c>
      <c r="AA627" s="185"/>
      <c r="AB627" s="185"/>
      <c r="AC627" s="185"/>
      <c r="AD627" s="649"/>
      <c r="AE627" s="182"/>
      <c r="AF627" s="332"/>
      <c r="AG627" s="182"/>
      <c r="AH627" s="182"/>
      <c r="AI627" s="182"/>
      <c r="AJ627" s="640"/>
      <c r="AK627" s="182"/>
      <c r="AL627" s="496"/>
      <c r="AM627" s="497"/>
      <c r="AN627" s="626"/>
      <c r="AO627" s="182"/>
      <c r="AP627" s="182"/>
      <c r="AQ627" s="332" t="str">
        <f>UPPER(RIGHT(Journal_Live[[#This Row],[DURATION ]]))</f>
        <v/>
      </c>
      <c r="AR627" s="182"/>
      <c r="AS627" s="189"/>
      <c r="AT627" s="189">
        <f>IF(ISBLANK(AS627),,IF(U627="S",AD627-AS627,AS627-AD627))</f>
        <v>0</v>
      </c>
      <c r="AU627" s="187">
        <f>AV627*R627</f>
        <v>0</v>
      </c>
      <c r="AV627" s="190">
        <f>IF(ISBLANK(AS627),,(AT627*Z627))</f>
        <v>0</v>
      </c>
      <c r="AW627" s="191"/>
      <c r="AX627" s="407"/>
      <c r="AY627" s="407"/>
      <c r="AZ627" s="407"/>
      <c r="BA627" s="419"/>
      <c r="BB627" s="407"/>
      <c r="BC627" s="407"/>
      <c r="BD627" s="407"/>
      <c r="BE627" s="407"/>
      <c r="BF627" s="422"/>
      <c r="BG627" s="391">
        <f>SUM($AV$4:AV627)</f>
        <v>3511.2641428571374</v>
      </c>
      <c r="BH627" s="392">
        <f>SUM($AU$134:AU627)</f>
        <v>5896.4153333332724</v>
      </c>
      <c r="BI627" s="318">
        <f>SUMIFS($AU$134:AU628,$Q$134:Q628,"F")</f>
        <v>-49.466666666666924</v>
      </c>
      <c r="BJ627" s="318">
        <f>SUMIFS($AU$134:AU628,$Q$134:Q628,"S")</f>
        <v>5972.4419999999964</v>
      </c>
      <c r="BK627" s="343">
        <f>SUMIFS($AU$134:AU628,$P$134:P628,"W")</f>
        <v>5739.7419999999347</v>
      </c>
      <c r="BL627" s="343">
        <f>SUMIFS($AU$134:AU628,$P$134:P628,"R")</f>
        <v>4.673333333334881</v>
      </c>
      <c r="BM627" s="343">
        <f>SUMIFS($AU$134:AU628,$AQ$134:AQ628,"M")</f>
        <v>2053.3999999999719</v>
      </c>
      <c r="BN627" s="343">
        <f>SUMIFS($AU$134:AU628,$AQ$134:AQ628,"H")</f>
        <v>2684.252000000015</v>
      </c>
      <c r="BO627" s="343">
        <f>SUMIFS($AU$134:AU628,$AQ$134:AQ628,"D")</f>
        <v>-382.31000000000023</v>
      </c>
      <c r="BP627" s="343">
        <f>SUMIFS($AU$134:AU630,$AQ$134:AQ630,"W")</f>
        <v>462.63333333333321</v>
      </c>
      <c r="BQ627" s="343">
        <f>SUMIFS($AU$134:AU628,$Q$134:Q628,"O")</f>
        <v>-377.76000000006229</v>
      </c>
      <c r="BR627" s="343">
        <f>SUMIFS($AU$134:AU628,$AA$134:AA628,"*")</f>
        <v>7217.4753333332956</v>
      </c>
      <c r="BS627" s="343">
        <f>SUMIFS($AU$134:AU628,$AB$134:AB628,"*")</f>
        <v>1341.439999999976</v>
      </c>
      <c r="BT627" s="343">
        <f>SUMIFS($AU$134:AU628,$AC$134:AC628,"*")</f>
        <v>2399.6833333333316</v>
      </c>
      <c r="BU627" s="343">
        <f>SUMIFS($AU$134:AU628,$AA$134:AA628,"*",$AB$134:AB628,"*")</f>
        <v>402.00000000000495</v>
      </c>
      <c r="BV627" s="343">
        <f>SUMIFS($AU$134:AU628,$AA$134:AA628,"*",$AC$134:AC628,"*")</f>
        <v>3348.7833333333328</v>
      </c>
      <c r="BW627" s="343">
        <f>SUMIFS($AU$134:AU628,$AB$134:AB628,"*",$AC$134:AC628,"*")</f>
        <v>2382.6</v>
      </c>
      <c r="BX627" s="343">
        <f>SUMIFS($AU628:AU$1388,$Q628:Q$1388,"F")</f>
        <v>14490.133333333335</v>
      </c>
      <c r="BY627" s="343">
        <f>SUMIFS($AU628:AU$1388,$Q628:Q$1388,"S")</f>
        <v>14699.2</v>
      </c>
      <c r="BZ627" s="343">
        <f>SUMIFS($AU628:AU$1388,$Q628:Q$1388,"O")</f>
        <v>-1271.097999999736</v>
      </c>
    </row>
    <row r="628" spans="1:78" ht="15.75" customHeight="1">
      <c r="A628" s="221" t="s">
        <v>2380</v>
      </c>
      <c r="B628" s="200">
        <v>45075</v>
      </c>
      <c r="C628" s="178" t="s">
        <v>1571</v>
      </c>
      <c r="D628" s="178" t="s">
        <v>132</v>
      </c>
      <c r="E628" s="227"/>
      <c r="F628" s="180"/>
      <c r="G628" s="281" t="s">
        <v>2545</v>
      </c>
      <c r="H628" s="182"/>
      <c r="I628" s="182"/>
      <c r="J628" s="182"/>
      <c r="K628" s="183"/>
      <c r="L628" s="182">
        <v>1</v>
      </c>
      <c r="M628" s="182"/>
      <c r="N628" s="182"/>
      <c r="O628" s="183" t="s">
        <v>2259</v>
      </c>
      <c r="P628" s="183" t="s">
        <v>2260</v>
      </c>
      <c r="Q628" s="183"/>
      <c r="R628" s="183">
        <v>1</v>
      </c>
      <c r="S628" s="183">
        <v>0</v>
      </c>
      <c r="T628" s="183">
        <v>1</v>
      </c>
      <c r="U628" s="183" t="s">
        <v>22</v>
      </c>
      <c r="V628" s="183"/>
      <c r="W628" s="183"/>
      <c r="X628" s="183"/>
      <c r="Y628" s="184">
        <f>IF(ISBLANK(O628),"",(IF(O628=UPPER("IB"),0.005,0.01)))</f>
        <v>0.01</v>
      </c>
      <c r="Z628" s="185">
        <f>IF(ISBLANK(O628),"",IF(O628="IB",8.63*200,IF(O628="IR",16*100,IF(O628="YT",20*100,IF(O628="YT-XT",24*200,IF(O628="TED",80*100))))))</f>
        <v>4800</v>
      </c>
      <c r="AA628" s="185" t="s">
        <v>2726</v>
      </c>
      <c r="AB628" s="185"/>
      <c r="AC628" s="185"/>
      <c r="AD628" s="649">
        <v>0.27500000000000002</v>
      </c>
      <c r="AE628" s="182"/>
      <c r="AF628" s="332"/>
      <c r="AG628" s="182"/>
      <c r="AH628" s="182"/>
      <c r="AI628" s="182"/>
      <c r="AJ628" s="640"/>
      <c r="AK628" s="182"/>
      <c r="AL628" s="496"/>
      <c r="AM628" s="497"/>
      <c r="AN628" s="626"/>
      <c r="AO628" s="182"/>
      <c r="AP628" s="182" t="s">
        <v>804</v>
      </c>
      <c r="AQ628" s="332" t="str">
        <f>UPPER(RIGHT(Journal_Live[[#This Row],[DURATION ]]))</f>
        <v>D</v>
      </c>
      <c r="AR628" s="182" t="s">
        <v>2727</v>
      </c>
      <c r="AS628" s="189">
        <v>0.27</v>
      </c>
      <c r="AT628" s="189">
        <f>IF(ISBLANK(AS628),,IF(U628="S",AD628-AS628,AS628-AD628))</f>
        <v>-5.0000000000000044E-3</v>
      </c>
      <c r="AU628" s="187">
        <f>AV628*R628</f>
        <v>-24.000000000000021</v>
      </c>
      <c r="AV628" s="190">
        <f>IF(ISBLANK(AS628),,(AT628*Z628))</f>
        <v>-24.000000000000021</v>
      </c>
      <c r="AW628" s="191" t="s">
        <v>229</v>
      </c>
      <c r="AX628" s="407" t="s">
        <v>2728</v>
      </c>
      <c r="AY628" s="407"/>
      <c r="AZ628" s="407"/>
      <c r="BA628" s="407"/>
      <c r="BB628" s="407"/>
      <c r="BC628" s="407"/>
      <c r="BD628" s="407"/>
      <c r="BE628" s="407"/>
      <c r="BF628" s="422"/>
      <c r="BG628" s="391">
        <f>SUM($AV$4:AV628)</f>
        <v>3487.2641428571374</v>
      </c>
      <c r="BH628" s="392">
        <f>SUM($AU$134:AU628)</f>
        <v>5872.4153333332724</v>
      </c>
      <c r="BI628" s="318">
        <f>SUMIFS($AU$134:AU629,$Q$134:Q629,"F")</f>
        <v>-49.466666666666924</v>
      </c>
      <c r="BJ628" s="318">
        <f>SUMIFS($AU$134:AU629,$Q$134:Q629,"S")</f>
        <v>6052.4419999999964</v>
      </c>
      <c r="BK628" s="343">
        <f>SUMIFS($AU$134:AU629,$P$134:P629,"W")</f>
        <v>5819.7419999999347</v>
      </c>
      <c r="BL628" s="343">
        <f>SUMIFS($AU$134:AU629,$P$134:P629,"R")</f>
        <v>4.673333333334881</v>
      </c>
      <c r="BM628" s="343">
        <f>SUMIFS($AU$134:AU629,$AQ$134:AQ629,"M")</f>
        <v>2053.3999999999719</v>
      </c>
      <c r="BN628" s="343">
        <f>SUMIFS($AU$134:AU629,$AQ$134:AQ629,"H")</f>
        <v>2764.252000000015</v>
      </c>
      <c r="BO628" s="343">
        <f>SUMIFS($AU$134:AU629,$AQ$134:AQ629,"D")</f>
        <v>-382.31000000000023</v>
      </c>
      <c r="BP628" s="343">
        <f>SUMIFS($AU$134:AU631,$AQ$134:AQ631,"W")</f>
        <v>462.63333333333321</v>
      </c>
      <c r="BQ628" s="343">
        <f>SUMIFS($AU$134:AU629,$Q$134:Q629,"O")</f>
        <v>-377.76000000006229</v>
      </c>
      <c r="BR628" s="343">
        <f>SUMIFS($AU$134:AU629,$AA$134:AA629,"*")</f>
        <v>7297.4753333332956</v>
      </c>
      <c r="BS628" s="343">
        <f>SUMIFS($AU$134:AU629,$AB$134:AB629,"*")</f>
        <v>1341.439999999976</v>
      </c>
      <c r="BT628" s="343">
        <f>SUMIFS($AU$134:AU629,$AC$134:AC629,"*")</f>
        <v>2399.6833333333316</v>
      </c>
      <c r="BU628" s="343">
        <f>SUMIFS($AU$134:AU629,$AA$134:AA629,"*",$AB$134:AB629,"*")</f>
        <v>402.00000000000495</v>
      </c>
      <c r="BV628" s="343">
        <f>SUMIFS($AU$134:AU629,$AA$134:AA629,"*",$AC$134:AC629,"*")</f>
        <v>3348.7833333333328</v>
      </c>
      <c r="BW628" s="343">
        <f>SUMIFS($AU$134:AU629,$AB$134:AB629,"*",$AC$134:AC629,"*")</f>
        <v>2382.6</v>
      </c>
      <c r="BX628" s="343">
        <f>SUMIFS($AU629:AU$1388,$Q629:Q$1388,"F")</f>
        <v>14490.133333333335</v>
      </c>
      <c r="BY628" s="343">
        <f>SUMIFS($AU629:AU$1388,$Q629:Q$1388,"S")</f>
        <v>14699.2</v>
      </c>
      <c r="BZ628" s="343">
        <f>SUMIFS($AU629:AU$1388,$Q629:Q$1388,"O")</f>
        <v>-1271.097999999736</v>
      </c>
    </row>
    <row r="629" spans="1:78" ht="15.75" customHeight="1">
      <c r="A629" s="221" t="s">
        <v>2380</v>
      </c>
      <c r="B629" s="200">
        <v>45075</v>
      </c>
      <c r="C629" s="178" t="s">
        <v>2729</v>
      </c>
      <c r="D629" s="178" t="s">
        <v>132</v>
      </c>
      <c r="E629" s="227"/>
      <c r="F629" s="180"/>
      <c r="G629" s="281" t="s">
        <v>94</v>
      </c>
      <c r="H629" s="182"/>
      <c r="I629" s="182"/>
      <c r="J629" s="182"/>
      <c r="K629" s="183"/>
      <c r="L629" s="182">
        <v>1</v>
      </c>
      <c r="M629" s="182"/>
      <c r="N629" s="182"/>
      <c r="O629" s="183" t="s">
        <v>95</v>
      </c>
      <c r="P629" s="183" t="s">
        <v>96</v>
      </c>
      <c r="Q629" s="183" t="s">
        <v>97</v>
      </c>
      <c r="R629" s="183">
        <v>5</v>
      </c>
      <c r="S629" s="183">
        <v>0</v>
      </c>
      <c r="T629" s="183">
        <v>5</v>
      </c>
      <c r="U629" s="183" t="s">
        <v>22</v>
      </c>
      <c r="V629" s="183"/>
      <c r="W629" s="183"/>
      <c r="X629" s="183"/>
      <c r="Y629" s="184">
        <f>IF(ISBLANK(O629),"",(IF(O629=UPPER("IB"),0.005,0.01)))</f>
        <v>0.01</v>
      </c>
      <c r="Z629" s="185">
        <f>IF(ISBLANK(O629),"",IF(O629="IB",8.63*200,IF(O629="IR",16*100,IF(O629="YT",20*100,IF(O629="YT-XT",24*200,IF(O629="TED",80*100))))))</f>
        <v>1600</v>
      </c>
      <c r="AA629" s="185" t="s">
        <v>99</v>
      </c>
      <c r="AB629" s="185"/>
      <c r="AC629" s="185"/>
      <c r="AD629" s="649">
        <v>0</v>
      </c>
      <c r="AE629" s="182"/>
      <c r="AF629" s="332"/>
      <c r="AG629" s="182"/>
      <c r="AH629" s="182"/>
      <c r="AI629" s="182"/>
      <c r="AJ629" s="640"/>
      <c r="AK629" s="182"/>
      <c r="AL629" s="496">
        <f t="shared" ref="AL629" si="235">-0.02*Z629</f>
        <v>-32</v>
      </c>
      <c r="AM629" s="496">
        <f>AL629*(R629-S629)</f>
        <v>-160</v>
      </c>
      <c r="AN629" s="626"/>
      <c r="AO629" s="182"/>
      <c r="AP629" s="182" t="s">
        <v>2730</v>
      </c>
      <c r="AQ629" s="332" t="str">
        <f>UPPER(RIGHT(Journal_Live[[#This Row],[DURATION ]]))</f>
        <v>H</v>
      </c>
      <c r="AR629" s="298" t="s">
        <v>2731</v>
      </c>
      <c r="AS629" s="189">
        <v>0.01</v>
      </c>
      <c r="AT629" s="189">
        <f>IF(ISBLANK(AS629),,IF(U629="S",AD629-AS629,AS629-AD629))</f>
        <v>0.01</v>
      </c>
      <c r="AU629" s="187">
        <f>AV629*R629</f>
        <v>80</v>
      </c>
      <c r="AV629" s="190">
        <f>IF(ISBLANK(AS629),,(AT629*Z629))</f>
        <v>16</v>
      </c>
      <c r="AW629" s="191" t="s">
        <v>96</v>
      </c>
      <c r="AX629" s="407"/>
      <c r="AY629" s="407"/>
      <c r="AZ629" s="407"/>
      <c r="BA629" s="407"/>
      <c r="BB629" s="407"/>
      <c r="BC629" s="407"/>
      <c r="BD629" s="407"/>
      <c r="BE629" s="407"/>
      <c r="BF629" s="422"/>
      <c r="BG629" s="391">
        <f>SUM($AV$4:AV629)</f>
        <v>3503.2641428571374</v>
      </c>
      <c r="BH629" s="392">
        <f>SUM($AU$134:AU629)</f>
        <v>5952.4153333332724</v>
      </c>
      <c r="BI629" s="318">
        <f>SUMIFS($AU$134:AU630,$Q$134:Q630,"F")</f>
        <v>-49.466666666666924</v>
      </c>
      <c r="BJ629" s="318">
        <f>SUMIFS($AU$134:AU630,$Q$134:Q630,"S")</f>
        <v>6052.4419999999964</v>
      </c>
      <c r="BK629" s="343">
        <f>SUMIFS($AU$134:AU630,$P$134:P630,"W")</f>
        <v>5819.7419999999347</v>
      </c>
      <c r="BL629" s="343">
        <f>SUMIFS($AU$134:AU630,$P$134:P630,"R")</f>
        <v>4.673333333334881</v>
      </c>
      <c r="BM629" s="343">
        <f>SUMIFS($AU$134:AU630,$AQ$134:AQ630,"M")</f>
        <v>2053.3999999999719</v>
      </c>
      <c r="BN629" s="343">
        <f>SUMIFS($AU$134:AU630,$AQ$134:AQ630,"H")</f>
        <v>2764.252000000015</v>
      </c>
      <c r="BO629" s="343">
        <f>SUMIFS($AU$134:AU630,$AQ$134:AQ630,"D")</f>
        <v>-382.31000000000023</v>
      </c>
      <c r="BP629" s="343">
        <f>SUMIFS($AU$134:AU632,$AQ$134:AQ632,"W")</f>
        <v>462.63333333333321</v>
      </c>
      <c r="BQ629" s="343">
        <f>SUMIFS($AU$134:AU630,$Q$134:Q630,"O")</f>
        <v>-377.76000000006229</v>
      </c>
      <c r="BR629" s="343">
        <f>SUMIFS($AU$134:AU630,$AA$134:AA630,"*")</f>
        <v>7297.4753333332956</v>
      </c>
      <c r="BS629" s="343">
        <f>SUMIFS($AU$134:AU630,$AB$134:AB630,"*")</f>
        <v>1341.439999999976</v>
      </c>
      <c r="BT629" s="343">
        <f>SUMIFS($AU$134:AU630,$AC$134:AC630,"*")</f>
        <v>2399.6833333333316</v>
      </c>
      <c r="BU629" s="343">
        <f>SUMIFS($AU$134:AU630,$AA$134:AA630,"*",$AB$134:AB630,"*")</f>
        <v>402.00000000000495</v>
      </c>
      <c r="BV629" s="343">
        <f>SUMIFS($AU$134:AU630,$AA$134:AA630,"*",$AC$134:AC630,"*")</f>
        <v>3348.7833333333328</v>
      </c>
      <c r="BW629" s="343">
        <f>SUMIFS($AU$134:AU630,$AB$134:AB630,"*",$AC$134:AC630,"*")</f>
        <v>2382.6</v>
      </c>
      <c r="BX629" s="343">
        <f>SUMIFS($AU630:AU$1388,$Q630:Q$1388,"F")</f>
        <v>14490.133333333335</v>
      </c>
      <c r="BY629" s="343">
        <f>SUMIFS($AU630:AU$1388,$Q630:Q$1388,"S")</f>
        <v>14619.2</v>
      </c>
      <c r="BZ629" s="343">
        <f>SUMIFS($AU630:AU$1388,$Q630:Q$1388,"O")</f>
        <v>-1271.097999999736</v>
      </c>
    </row>
    <row r="630" spans="1:78" ht="15.75" customHeight="1">
      <c r="A630" s="221" t="s">
        <v>2380</v>
      </c>
      <c r="B630" s="200">
        <v>45076</v>
      </c>
      <c r="C630" s="178" t="s">
        <v>2732</v>
      </c>
      <c r="D630" s="178" t="s">
        <v>146</v>
      </c>
      <c r="E630" s="227"/>
      <c r="F630" s="180"/>
      <c r="G630" s="181" t="s">
        <v>181</v>
      </c>
      <c r="H630" s="182"/>
      <c r="I630" s="182"/>
      <c r="J630" s="182"/>
      <c r="K630" s="183"/>
      <c r="L630" s="182"/>
      <c r="M630" s="182"/>
      <c r="N630" s="182"/>
      <c r="O630" s="183"/>
      <c r="P630" s="183"/>
      <c r="Q630" s="183"/>
      <c r="R630" s="183"/>
      <c r="S630" s="183"/>
      <c r="T630" s="183"/>
      <c r="U630" s="183"/>
      <c r="V630" s="183"/>
      <c r="W630" s="183"/>
      <c r="X630" s="183"/>
      <c r="Y630" s="184"/>
      <c r="Z630" s="185"/>
      <c r="AA630" s="185"/>
      <c r="AB630" s="185"/>
      <c r="AC630" s="185"/>
      <c r="AD630" s="649"/>
      <c r="AE630" s="182"/>
      <c r="AF630" s="332"/>
      <c r="AG630" s="182"/>
      <c r="AH630" s="182"/>
      <c r="AI630" s="182"/>
      <c r="AJ630" s="640"/>
      <c r="AK630" s="182"/>
      <c r="AL630" s="496">
        <f t="shared" ref="AL630:AL633" si="236">-0.02*Z630</f>
        <v>0</v>
      </c>
      <c r="AM630" s="496">
        <f>AL630*(R630-S630)</f>
        <v>0</v>
      </c>
      <c r="AN630" s="626"/>
      <c r="AO630" s="182"/>
      <c r="AP630" s="182"/>
      <c r="AQ630" s="332" t="str">
        <f>UPPER(RIGHT(Journal_Live[[#This Row],[DURATION ]]))</f>
        <v/>
      </c>
      <c r="AR630" s="182"/>
      <c r="AS630" s="189"/>
      <c r="AT630" s="189"/>
      <c r="AU630" s="187"/>
      <c r="AV630" s="190"/>
      <c r="AW630" s="191"/>
      <c r="AX630" s="407"/>
      <c r="AY630" s="407"/>
      <c r="AZ630" s="407"/>
      <c r="BA630" s="407"/>
      <c r="BB630" s="407"/>
      <c r="BC630" s="407"/>
      <c r="BD630" s="407"/>
      <c r="BE630" s="407"/>
      <c r="BF630" s="422"/>
      <c r="BG630" s="391">
        <f>SUM($AV$4:AV630)</f>
        <v>3503.2641428571374</v>
      </c>
      <c r="BH630" s="392">
        <f>SUM($AU$134:AU630)</f>
        <v>5952.4153333332724</v>
      </c>
      <c r="BI630" s="318">
        <f>SUMIFS($AU$134:AU631,$Q$134:Q631,"F")</f>
        <v>-49.466666666666924</v>
      </c>
      <c r="BJ630" s="318">
        <f>SUMIFS($AU$134:AU631,$Q$134:Q631,"S")</f>
        <v>6052.4419999999964</v>
      </c>
      <c r="BK630" s="343">
        <f>SUMIFS($AU$134:AU631,$P$134:P631,"W")</f>
        <v>5819.7419999999347</v>
      </c>
      <c r="BL630" s="343">
        <f>SUMIFS($AU$134:AU631,$P$134:P631,"R")</f>
        <v>4.673333333334881</v>
      </c>
      <c r="BM630" s="343">
        <f>SUMIFS($AU$134:AU631,$AQ$134:AQ631,"M")</f>
        <v>2053.3999999999719</v>
      </c>
      <c r="BN630" s="343">
        <f>SUMIFS($AU$134:AU631,$AQ$134:AQ631,"H")</f>
        <v>2764.252000000015</v>
      </c>
      <c r="BO630" s="343">
        <f>SUMIFS($AU$134:AU631,$AQ$134:AQ631,"D")</f>
        <v>-382.31000000000023</v>
      </c>
      <c r="BP630" s="343">
        <f>SUMIFS($AU$134:AU633,$AQ$134:AQ633,"W")</f>
        <v>462.63333333333321</v>
      </c>
      <c r="BQ630" s="343">
        <f>SUMIFS($AU$134:AU631,$Q$134:Q631,"O")</f>
        <v>-377.76000000006229</v>
      </c>
      <c r="BR630" s="343">
        <f>SUMIFS($AU$134:AU631,$AA$134:AA631,"*")</f>
        <v>7297.4753333332956</v>
      </c>
      <c r="BS630" s="343">
        <f>SUMIFS($AU$134:AU631,$AB$134:AB631,"*")</f>
        <v>1341.439999999976</v>
      </c>
      <c r="BT630" s="343">
        <f>SUMIFS($AU$134:AU631,$AC$134:AC631,"*")</f>
        <v>2399.6833333333316</v>
      </c>
      <c r="BU630" s="343">
        <f>SUMIFS($AU$134:AU631,$AA$134:AA631,"*",$AB$134:AB631,"*")</f>
        <v>402.00000000000495</v>
      </c>
      <c r="BV630" s="343">
        <f>SUMIFS($AU$134:AU631,$AA$134:AA631,"*",$AC$134:AC631,"*")</f>
        <v>3348.7833333333328</v>
      </c>
      <c r="BW630" s="343">
        <f>SUMIFS($AU$134:AU631,$AB$134:AB631,"*",$AC$134:AC631,"*")</f>
        <v>2382.6</v>
      </c>
      <c r="BX630" s="343">
        <f>SUMIFS($AU631:AU$1388,$Q631:Q$1388,"F")</f>
        <v>14490.133333333335</v>
      </c>
      <c r="BY630" s="343">
        <f>SUMIFS($AU631:AU$1388,$Q631:Q$1388,"S")</f>
        <v>14619.2</v>
      </c>
      <c r="BZ630" s="343">
        <f>SUMIFS($AU631:AU$1388,$Q631:Q$1388,"O")</f>
        <v>-1271.097999999736</v>
      </c>
    </row>
    <row r="631" spans="1:78" ht="15.75" customHeight="1">
      <c r="A631" s="221" t="s">
        <v>2380</v>
      </c>
      <c r="B631" s="200">
        <v>45076</v>
      </c>
      <c r="C631" s="178"/>
      <c r="D631" s="178" t="s">
        <v>146</v>
      </c>
      <c r="E631" s="227"/>
      <c r="F631" s="180"/>
      <c r="G631" s="181" t="s">
        <v>2016</v>
      </c>
      <c r="H631" s="182"/>
      <c r="I631" s="182"/>
      <c r="J631" s="182"/>
      <c r="K631" s="183"/>
      <c r="L631" s="182"/>
      <c r="M631" s="182"/>
      <c r="N631" s="182"/>
      <c r="O631" s="183"/>
      <c r="P631" s="183"/>
      <c r="Q631" s="183"/>
      <c r="R631" s="183"/>
      <c r="S631" s="183"/>
      <c r="T631" s="183"/>
      <c r="U631" s="183"/>
      <c r="V631" s="183"/>
      <c r="W631" s="183"/>
      <c r="X631" s="183"/>
      <c r="Y631" s="184"/>
      <c r="Z631" s="185"/>
      <c r="AA631" s="185"/>
      <c r="AB631" s="185"/>
      <c r="AC631" s="185"/>
      <c r="AD631" s="649"/>
      <c r="AE631" s="182"/>
      <c r="AF631" s="332"/>
      <c r="AG631" s="182"/>
      <c r="AH631" s="182"/>
      <c r="AI631" s="182"/>
      <c r="AJ631" s="640"/>
      <c r="AK631" s="182"/>
      <c r="AL631" s="496">
        <f t="shared" si="236"/>
        <v>0</v>
      </c>
      <c r="AM631" s="496">
        <f>AL631*(R631-S631)</f>
        <v>0</v>
      </c>
      <c r="AN631" s="626"/>
      <c r="AO631" s="182"/>
      <c r="AP631" s="182"/>
      <c r="AQ631" s="332" t="str">
        <f>UPPER(RIGHT(Journal_Live[[#This Row],[DURATION ]]))</f>
        <v/>
      </c>
      <c r="AR631" s="182"/>
      <c r="AS631" s="189"/>
      <c r="AT631" s="189"/>
      <c r="AU631" s="187"/>
      <c r="AV631" s="190"/>
      <c r="AW631" s="191"/>
      <c r="AX631" s="407"/>
      <c r="AY631" s="407"/>
      <c r="AZ631" s="407"/>
      <c r="BA631" s="407"/>
      <c r="BB631" s="407"/>
      <c r="BC631" s="407"/>
      <c r="BD631" s="407"/>
      <c r="BE631" s="407"/>
      <c r="BF631" s="422"/>
      <c r="BG631" s="391">
        <f>SUM($AV$4:AV631)</f>
        <v>3503.2641428571374</v>
      </c>
      <c r="BH631" s="392">
        <f>SUM($AU$134:AU631)</f>
        <v>5952.4153333332724</v>
      </c>
      <c r="BI631" s="318">
        <f>SUMIFS($AU$134:AU632,$Q$134:Q632,"F")</f>
        <v>-49.466666666666924</v>
      </c>
      <c r="BJ631" s="318">
        <f>SUMIFS($AU$134:AU632,$Q$134:Q632,"S")</f>
        <v>6052.4419999999964</v>
      </c>
      <c r="BK631" s="343">
        <f>SUMIFS($AU$134:AU632,$P$134:P632,"W")</f>
        <v>5819.7419999999347</v>
      </c>
      <c r="BL631" s="343">
        <f>SUMIFS($AU$134:AU632,$P$134:P632,"R")</f>
        <v>4.673333333334881</v>
      </c>
      <c r="BM631" s="343">
        <f>SUMIFS($AU$134:AU632,$AQ$134:AQ632,"M")</f>
        <v>2053.3999999999719</v>
      </c>
      <c r="BN631" s="343">
        <f>SUMIFS($AU$134:AU632,$AQ$134:AQ632,"H")</f>
        <v>2764.252000000015</v>
      </c>
      <c r="BO631" s="343">
        <f>SUMIFS($AU$134:AU632,$AQ$134:AQ632,"D")</f>
        <v>-382.31000000000023</v>
      </c>
      <c r="BP631" s="343">
        <f>SUMIFS($AU$134:AU634,$AQ$134:AQ634,"W")</f>
        <v>462.63333333333321</v>
      </c>
      <c r="BQ631" s="343">
        <f>SUMIFS($AU$134:AU632,$Q$134:Q632,"O")</f>
        <v>-377.76000000006229</v>
      </c>
      <c r="BR631" s="343">
        <f>SUMIFS($AU$134:AU632,$AA$134:AA632,"*")</f>
        <v>7297.4753333332956</v>
      </c>
      <c r="BS631" s="343">
        <f>SUMIFS($AU$134:AU632,$AB$134:AB632,"*")</f>
        <v>1341.439999999976</v>
      </c>
      <c r="BT631" s="343">
        <f>SUMIFS($AU$134:AU632,$AC$134:AC632,"*")</f>
        <v>2399.6833333333316</v>
      </c>
      <c r="BU631" s="343">
        <f>SUMIFS($AU$134:AU632,$AA$134:AA632,"*",$AB$134:AB632,"*")</f>
        <v>402.00000000000495</v>
      </c>
      <c r="BV631" s="343">
        <f>SUMIFS($AU$134:AU632,$AA$134:AA632,"*",$AC$134:AC632,"*")</f>
        <v>3348.7833333333328</v>
      </c>
      <c r="BW631" s="343">
        <f>SUMIFS($AU$134:AU632,$AB$134:AB632,"*",$AC$134:AC632,"*")</f>
        <v>2382.6</v>
      </c>
      <c r="BX631" s="343">
        <f>SUMIFS($AU632:AU$1388,$Q632:Q$1388,"F")</f>
        <v>14490.133333333335</v>
      </c>
      <c r="BY631" s="343">
        <f>SUMIFS($AU632:AU$1388,$Q632:Q$1388,"S")</f>
        <v>14619.2</v>
      </c>
      <c r="BZ631" s="343">
        <f>SUMIFS($AU632:AU$1388,$Q632:Q$1388,"O")</f>
        <v>-1271.097999999736</v>
      </c>
    </row>
    <row r="632" spans="1:78" ht="15.75" customHeight="1">
      <c r="A632" s="221" t="s">
        <v>2733</v>
      </c>
      <c r="B632" s="200">
        <v>45076</v>
      </c>
      <c r="C632" s="178" t="s">
        <v>2020</v>
      </c>
      <c r="D632" s="178" t="s">
        <v>146</v>
      </c>
      <c r="E632" s="461" t="s">
        <v>2734</v>
      </c>
      <c r="F632" s="180" t="s">
        <v>2735</v>
      </c>
      <c r="G632" s="181"/>
      <c r="H632" s="182"/>
      <c r="I632" s="182"/>
      <c r="J632" s="182">
        <v>1</v>
      </c>
      <c r="K632" s="183" t="s">
        <v>115</v>
      </c>
      <c r="L632" s="182"/>
      <c r="M632" s="182"/>
      <c r="N632" s="182"/>
      <c r="O632" s="183"/>
      <c r="P632" s="183"/>
      <c r="Q632" s="183"/>
      <c r="R632" s="183"/>
      <c r="S632" s="183"/>
      <c r="T632" s="183"/>
      <c r="U632" s="183"/>
      <c r="V632" s="183"/>
      <c r="W632" s="183"/>
      <c r="X632" s="183"/>
      <c r="Y632" s="274"/>
      <c r="Z632" s="183"/>
      <c r="AA632" s="185"/>
      <c r="AB632" s="185"/>
      <c r="AC632" s="185"/>
      <c r="AD632" s="649"/>
      <c r="AE632" s="182"/>
      <c r="AF632" s="332"/>
      <c r="AG632" s="182"/>
      <c r="AH632" s="182"/>
      <c r="AI632" s="182"/>
      <c r="AJ632" s="640"/>
      <c r="AK632" s="182"/>
      <c r="AL632" s="496"/>
      <c r="AM632" s="496"/>
      <c r="AN632" s="626"/>
      <c r="AO632" s="182"/>
      <c r="AP632" s="182"/>
      <c r="AQ632" s="332" t="str">
        <f>UPPER(RIGHT(Journal_Live[[#This Row],[DURATION ]]))</f>
        <v/>
      </c>
      <c r="AR632" s="182"/>
      <c r="AS632" s="189"/>
      <c r="AT632" s="189">
        <f t="shared" ref="AT632:AT638" si="237">IF(ISBLANK(AS632),,IF(U632="S",AD632-AS632,AS632-AD632))</f>
        <v>0</v>
      </c>
      <c r="AU632" s="187">
        <f t="shared" ref="AU632:AU638" si="238">AV632*R632</f>
        <v>0</v>
      </c>
      <c r="AV632" s="190">
        <f t="shared" ref="AV632:AV638" si="239">IF(ISBLANK(AS632),,(AT632*Z632))</f>
        <v>0</v>
      </c>
      <c r="AW632" s="191"/>
      <c r="AX632" s="407"/>
      <c r="AY632" s="407"/>
      <c r="AZ632" s="407"/>
      <c r="BA632" s="407"/>
      <c r="BB632" s="407"/>
      <c r="BC632" s="407"/>
      <c r="BD632" s="407"/>
      <c r="BE632" s="407"/>
      <c r="BF632" s="422"/>
      <c r="BG632" s="391"/>
      <c r="BH632" s="392">
        <f>SUM($AU$134:AU632)</f>
        <v>5952.4153333332724</v>
      </c>
      <c r="BI632" s="318">
        <f>SUMIFS($AU$134:AU633,$Q$134:Q633,"F")</f>
        <v>-49.466666666666924</v>
      </c>
      <c r="BJ632" s="318">
        <f>SUMIFS($AU$134:AU633,$Q$134:Q633,"S")</f>
        <v>6212.4419999999964</v>
      </c>
      <c r="BK632" s="343">
        <f>SUMIFS($AU$134:AU633,$P$134:P633,"W")</f>
        <v>5819.7419999999347</v>
      </c>
      <c r="BL632" s="343">
        <f>SUMIFS($AU$134:AU633,$P$134:P633,"R")</f>
        <v>164.67333333333482</v>
      </c>
      <c r="BM632" s="343">
        <f>SUMIFS($AU$134:AU633,$AQ$134:AQ633,"M")</f>
        <v>2053.3999999999719</v>
      </c>
      <c r="BN632" s="343">
        <f>SUMIFS($AU$134:AU633,$AQ$134:AQ633,"H")</f>
        <v>2764.252000000015</v>
      </c>
      <c r="BO632" s="343">
        <f>SUMIFS($AU$134:AU633,$AQ$134:AQ633,"D")</f>
        <v>-222.31000000000029</v>
      </c>
      <c r="BP632" s="343">
        <f>SUMIFS($AU$134:AU635,$AQ$134:AQ635,"W")</f>
        <v>462.63333333333321</v>
      </c>
      <c r="BQ632" s="343">
        <f>SUMIFS($AU$134:AU633,$Q$134:Q633,"O")</f>
        <v>-377.76000000006229</v>
      </c>
      <c r="BR632" s="343">
        <f>SUMIFS($AU$134:AU633,$AA$134:AA633,"*")</f>
        <v>7457.4753333332956</v>
      </c>
      <c r="BS632" s="343">
        <f>SUMIFS($AU$134:AU633,$AB$134:AB633,"*")</f>
        <v>1341.439999999976</v>
      </c>
      <c r="BT632" s="343">
        <f>SUMIFS($AU$134:AU633,$AC$134:AC633,"*")</f>
        <v>2399.6833333333316</v>
      </c>
      <c r="BU632" s="343">
        <f>SUMIFS($AU$134:AU633,$AA$134:AA633,"*",$AB$134:AB633,"*")</f>
        <v>402.00000000000495</v>
      </c>
      <c r="BV632" s="343">
        <f>SUMIFS($AU$134:AU633,$AA$134:AA633,"*",$AC$134:AC633,"*")</f>
        <v>3348.7833333333328</v>
      </c>
      <c r="BW632" s="343">
        <f>SUMIFS($AU$134:AU633,$AB$134:AB633,"*",$AC$134:AC633,"*")</f>
        <v>2382.6</v>
      </c>
      <c r="BX632" s="343">
        <f>SUMIFS($AU633:AU$1388,$Q633:Q$1388,"F")</f>
        <v>14490.133333333335</v>
      </c>
      <c r="BY632" s="343">
        <f>SUMIFS($AU633:AU$1388,$Q633:Q$1388,"S")</f>
        <v>14619.2</v>
      </c>
      <c r="BZ632" s="343">
        <f>SUMIFS($AU633:AU$1388,$Q633:Q$1388,"O")</f>
        <v>-1271.097999999736</v>
      </c>
    </row>
    <row r="633" spans="1:78" ht="15.75" customHeight="1">
      <c r="A633" s="221" t="s">
        <v>2380</v>
      </c>
      <c r="B633" s="200">
        <v>45076</v>
      </c>
      <c r="C633" s="178" t="s">
        <v>2020</v>
      </c>
      <c r="D633" s="178" t="s">
        <v>146</v>
      </c>
      <c r="E633" s="227"/>
      <c r="F633" s="180"/>
      <c r="G633" s="281" t="s">
        <v>2070</v>
      </c>
      <c r="H633" s="182"/>
      <c r="I633" s="182"/>
      <c r="J633" s="182"/>
      <c r="K633" s="183"/>
      <c r="L633" s="182">
        <v>1</v>
      </c>
      <c r="M633" s="182"/>
      <c r="N633" s="182"/>
      <c r="O633" s="183" t="s">
        <v>95</v>
      </c>
      <c r="P633" s="183" t="s">
        <v>137</v>
      </c>
      <c r="Q633" s="183" t="s">
        <v>97</v>
      </c>
      <c r="R633" s="183">
        <v>10</v>
      </c>
      <c r="S633" s="183">
        <v>0</v>
      </c>
      <c r="T633" s="183">
        <v>10</v>
      </c>
      <c r="U633" s="183" t="s">
        <v>97</v>
      </c>
      <c r="V633" s="183"/>
      <c r="W633" s="183"/>
      <c r="X633" s="183"/>
      <c r="Y633" s="184">
        <f>IF(ISBLANK(O633),"",(IF(O633=UPPER("IB"),0.005,0.01)))</f>
        <v>0.01</v>
      </c>
      <c r="Z633" s="185">
        <f>IF(ISBLANK(O633),"",IF(O633="IB",8.63*200,IF(O633="IR",16*100,IF(O633="YT",20*100,IF(O633="YT-XT",24*200,IF(O633="TED",80*100))))))</f>
        <v>1600</v>
      </c>
      <c r="AA633" s="185" t="s">
        <v>99</v>
      </c>
      <c r="AB633" s="185"/>
      <c r="AC633" s="185"/>
      <c r="AD633" s="649">
        <v>-0.08</v>
      </c>
      <c r="AE633" s="182"/>
      <c r="AF633" s="332"/>
      <c r="AG633" s="182"/>
      <c r="AH633" s="182"/>
      <c r="AI633" s="182"/>
      <c r="AJ633" s="640"/>
      <c r="AK633" s="182"/>
      <c r="AL633" s="496">
        <f t="shared" si="236"/>
        <v>-32</v>
      </c>
      <c r="AM633" s="496">
        <f>AL633*(R633-S633)</f>
        <v>-320</v>
      </c>
      <c r="AN633" s="626"/>
      <c r="AO633" s="182"/>
      <c r="AP633" s="182" t="s">
        <v>770</v>
      </c>
      <c r="AQ633" s="332" t="str">
        <f>UPPER(RIGHT(Journal_Live[[#This Row],[DURATION ]]))</f>
        <v>D</v>
      </c>
      <c r="AR633" s="182" t="s">
        <v>2736</v>
      </c>
      <c r="AS633" s="189">
        <v>-0.09</v>
      </c>
      <c r="AT633" s="189">
        <f t="shared" si="237"/>
        <v>9.999999999999995E-3</v>
      </c>
      <c r="AU633" s="187">
        <f t="shared" si="238"/>
        <v>159.99999999999994</v>
      </c>
      <c r="AV633" s="190">
        <f t="shared" si="239"/>
        <v>15.999999999999993</v>
      </c>
      <c r="AW633" s="191" t="s">
        <v>96</v>
      </c>
      <c r="AX633" s="407"/>
      <c r="AY633" s="407"/>
      <c r="AZ633" s="407"/>
      <c r="BA633" s="407"/>
      <c r="BB633" s="407"/>
      <c r="BC633" s="407"/>
      <c r="BD633" s="407"/>
      <c r="BE633" s="407"/>
      <c r="BF633" s="422"/>
      <c r="BG633" s="391">
        <f>SUM($AV$4:AV633)</f>
        <v>3519.2641428571374</v>
      </c>
      <c r="BH633" s="392">
        <f>SUM($AU$134:AU633)</f>
        <v>6112.4153333332724</v>
      </c>
      <c r="BI633" s="318">
        <f>SUMIFS($AU$134:AU634,$Q$134:Q634,"F")</f>
        <v>-49.466666666666924</v>
      </c>
      <c r="BJ633" s="318">
        <f>SUMIFS($AU$134:AU634,$Q$134:Q634,"S")</f>
        <v>6212.4419999999964</v>
      </c>
      <c r="BK633" s="343">
        <f>SUMIFS($AU$134:AU634,$P$134:P634,"W")</f>
        <v>5819.7419999999347</v>
      </c>
      <c r="BL633" s="343">
        <f>SUMIFS($AU$134:AU634,$P$134:P634,"R")</f>
        <v>164.67333333333482</v>
      </c>
      <c r="BM633" s="343">
        <f>SUMIFS($AU$134:AU634,$AQ$134:AQ634,"M")</f>
        <v>2053.3999999999719</v>
      </c>
      <c r="BN633" s="343">
        <f>SUMIFS($AU$134:AU634,$AQ$134:AQ634,"H")</f>
        <v>2764.252000000015</v>
      </c>
      <c r="BO633" s="343">
        <f>SUMIFS($AU$134:AU634,$AQ$134:AQ634,"D")</f>
        <v>-222.31000000000029</v>
      </c>
      <c r="BP633" s="343">
        <f>SUMIFS($AU$134:AU636,$AQ$134:AQ636,"W")</f>
        <v>462.63333333333321</v>
      </c>
      <c r="BQ633" s="343">
        <f>SUMIFS($AU$134:AU634,$Q$134:Q634,"O")</f>
        <v>-377.76000000006229</v>
      </c>
      <c r="BR633" s="343">
        <f>SUMIFS($AU$134:AU634,$AA$134:AA634,"*")</f>
        <v>7457.4753333332956</v>
      </c>
      <c r="BS633" s="343">
        <f>SUMIFS($AU$134:AU634,$AB$134:AB634,"*")</f>
        <v>1341.439999999976</v>
      </c>
      <c r="BT633" s="343">
        <f>SUMIFS($AU$134:AU634,$AC$134:AC634,"*")</f>
        <v>2399.6833333333316</v>
      </c>
      <c r="BU633" s="343">
        <f>SUMIFS($AU$134:AU634,$AA$134:AA634,"*",$AB$134:AB634,"*")</f>
        <v>402.00000000000495</v>
      </c>
      <c r="BV633" s="343">
        <f>SUMIFS($AU$134:AU634,$AA$134:AA634,"*",$AC$134:AC634,"*")</f>
        <v>3348.7833333333328</v>
      </c>
      <c r="BW633" s="343">
        <f>SUMIFS($AU$134:AU634,$AB$134:AB634,"*",$AC$134:AC634,"*")</f>
        <v>2382.6</v>
      </c>
      <c r="BX633" s="343">
        <f>SUMIFS($AU634:AU$1388,$Q634:Q$1388,"F")</f>
        <v>14490.133333333335</v>
      </c>
      <c r="BY633" s="343">
        <f>SUMIFS($AU634:AU$1388,$Q634:Q$1388,"S")</f>
        <v>14459.2</v>
      </c>
      <c r="BZ633" s="343">
        <f>SUMIFS($AU634:AU$1388,$Q634:Q$1388,"O")</f>
        <v>-1271.097999999736</v>
      </c>
    </row>
    <row r="634" spans="1:78" ht="15.75" customHeight="1">
      <c r="A634" s="221" t="s">
        <v>2380</v>
      </c>
      <c r="B634" s="200">
        <v>45077</v>
      </c>
      <c r="C634" s="178" t="s">
        <v>2081</v>
      </c>
      <c r="D634" s="178" t="s">
        <v>151</v>
      </c>
      <c r="E634" s="227" t="s">
        <v>2737</v>
      </c>
      <c r="F634" s="180" t="s">
        <v>2738</v>
      </c>
      <c r="G634" s="181"/>
      <c r="H634" s="182">
        <v>1</v>
      </c>
      <c r="I634" s="182"/>
      <c r="J634" s="182"/>
      <c r="K634" s="183" t="s">
        <v>372</v>
      </c>
      <c r="L634" s="182"/>
      <c r="M634" s="182"/>
      <c r="N634" s="182"/>
      <c r="O634" s="183"/>
      <c r="P634" s="183"/>
      <c r="Q634" s="183"/>
      <c r="R634" s="183"/>
      <c r="S634" s="183"/>
      <c r="T634" s="183"/>
      <c r="U634" s="183"/>
      <c r="V634" s="183"/>
      <c r="W634" s="183"/>
      <c r="X634" s="183"/>
      <c r="Y634" s="183"/>
      <c r="Z634" s="185" t="str">
        <f>IF(ISBLANK(O634),"",IF(O634="IB",8.63*200,IF(O634="IR",16*100,IF(O634="YT",20*100,IF(O634="YT-XT",24*200,IF(O634="TED",80*100))))))</f>
        <v/>
      </c>
      <c r="AA634" s="185"/>
      <c r="AB634" s="185"/>
      <c r="AC634" s="185"/>
      <c r="AD634" s="649"/>
      <c r="AE634" s="182"/>
      <c r="AF634" s="332"/>
      <c r="AG634" s="182"/>
      <c r="AH634" s="182"/>
      <c r="AI634" s="182"/>
      <c r="AJ634" s="640"/>
      <c r="AK634" s="182"/>
      <c r="AL634" s="496"/>
      <c r="AM634" s="496"/>
      <c r="AN634" s="626"/>
      <c r="AO634" s="182"/>
      <c r="AP634" s="182"/>
      <c r="AQ634" s="332" t="str">
        <f>UPPER(RIGHT(Journal_Live[[#This Row],[DURATION ]]))</f>
        <v/>
      </c>
      <c r="AR634" s="182"/>
      <c r="AS634" s="189"/>
      <c r="AT634" s="189">
        <f t="shared" si="237"/>
        <v>0</v>
      </c>
      <c r="AU634" s="187">
        <f t="shared" si="238"/>
        <v>0</v>
      </c>
      <c r="AV634" s="190">
        <f t="shared" si="239"/>
        <v>0</v>
      </c>
      <c r="AW634" s="191"/>
      <c r="AX634" s="407" t="s">
        <v>2739</v>
      </c>
      <c r="AY634" s="407" t="s">
        <v>2740</v>
      </c>
      <c r="AZ634" s="407" t="s">
        <v>2741</v>
      </c>
      <c r="BA634" s="407" t="s">
        <v>2742</v>
      </c>
      <c r="BB634" s="407" t="s">
        <v>2743</v>
      </c>
      <c r="BC634" s="407" t="s">
        <v>2744</v>
      </c>
      <c r="BD634" s="407" t="s">
        <v>2745</v>
      </c>
      <c r="BE634" s="407" t="s">
        <v>2746</v>
      </c>
      <c r="BF634" s="422"/>
      <c r="BG634" s="391">
        <f>SUM($AV$4:AV634)</f>
        <v>3519.2641428571374</v>
      </c>
      <c r="BH634" s="392">
        <f>SUM($AU$134:AU634)</f>
        <v>6112.4153333332724</v>
      </c>
      <c r="BI634" s="318">
        <f>SUMIFS($AU$134:AU635,$Q$134:Q635,"F")</f>
        <v>-49.466666666666924</v>
      </c>
      <c r="BJ634" s="318">
        <f>SUMIFS($AU$134:AU635,$Q$134:Q635,"S")</f>
        <v>6212.4419999999964</v>
      </c>
      <c r="BK634" s="343">
        <f>SUMIFS($AU$134:AU635,$P$134:P635,"W")</f>
        <v>5819.7419999999347</v>
      </c>
      <c r="BL634" s="343">
        <f>SUMIFS($AU$134:AU635,$P$134:P635,"R")</f>
        <v>164.67333333333482</v>
      </c>
      <c r="BM634" s="343">
        <f>SUMIFS($AU$134:AU635,$AQ$134:AQ635,"M")</f>
        <v>2053.3999999999719</v>
      </c>
      <c r="BN634" s="343">
        <f>SUMIFS($AU$134:AU635,$AQ$134:AQ635,"H")</f>
        <v>2764.252000000015</v>
      </c>
      <c r="BO634" s="343">
        <f>SUMIFS($AU$134:AU635,$AQ$134:AQ635,"D")</f>
        <v>-222.31000000000029</v>
      </c>
      <c r="BP634" s="343">
        <f>SUMIFS($AU$134:AU637,$AQ$134:AQ637,"W")</f>
        <v>462.63333333333321</v>
      </c>
      <c r="BQ634" s="343">
        <f>SUMIFS($AU$134:AU635,$Q$134:Q635,"O")</f>
        <v>-457.76000000004638</v>
      </c>
      <c r="BR634" s="343">
        <f>SUMIFS($AU$134:AU635,$AA$134:AA635,"*")</f>
        <v>7377.4753333333119</v>
      </c>
      <c r="BS634" s="343">
        <f>SUMIFS($AU$134:AU635,$AB$134:AB635,"*")</f>
        <v>1341.439999999976</v>
      </c>
      <c r="BT634" s="343">
        <f>SUMIFS($AU$134:AU635,$AC$134:AC635,"*")</f>
        <v>2399.6833333333316</v>
      </c>
      <c r="BU634" s="343">
        <f>SUMIFS($AU$134:AU635,$AA$134:AA635,"*",$AB$134:AB635,"*")</f>
        <v>402.00000000000495</v>
      </c>
      <c r="BV634" s="343">
        <f>SUMIFS($AU$134:AU635,$AA$134:AA635,"*",$AC$134:AC635,"*")</f>
        <v>3348.7833333333328</v>
      </c>
      <c r="BW634" s="343">
        <f>SUMIFS($AU$134:AU635,$AB$134:AB635,"*",$AC$134:AC635,"*")</f>
        <v>2382.6</v>
      </c>
      <c r="BX634" s="343">
        <f>SUMIFS($AU635:AU$1388,$Q635:Q$1388,"F")</f>
        <v>14490.133333333335</v>
      </c>
      <c r="BY634" s="343">
        <f>SUMIFS($AU635:AU$1388,$Q635:Q$1388,"S")</f>
        <v>14459.2</v>
      </c>
      <c r="BZ634" s="343">
        <f>SUMIFS($AU635:AU$1388,$Q635:Q$1388,"O")</f>
        <v>-1271.097999999736</v>
      </c>
    </row>
    <row r="635" spans="1:78" ht="15.75" customHeight="1">
      <c r="A635" s="221" t="s">
        <v>2380</v>
      </c>
      <c r="B635" s="200">
        <v>45077</v>
      </c>
      <c r="C635" s="178" t="s">
        <v>2081</v>
      </c>
      <c r="D635" s="178" t="s">
        <v>151</v>
      </c>
      <c r="E635" s="227"/>
      <c r="F635" s="180"/>
      <c r="G635" s="181" t="s">
        <v>2431</v>
      </c>
      <c r="H635" s="182"/>
      <c r="I635" s="182"/>
      <c r="J635" s="182"/>
      <c r="K635" s="183"/>
      <c r="L635" s="182">
        <v>1</v>
      </c>
      <c r="M635" s="182"/>
      <c r="N635" s="182"/>
      <c r="O635" s="183" t="s">
        <v>2432</v>
      </c>
      <c r="P635" s="183" t="s">
        <v>2260</v>
      </c>
      <c r="Q635" s="183" t="s">
        <v>684</v>
      </c>
      <c r="R635" s="183">
        <v>1</v>
      </c>
      <c r="S635" s="183">
        <v>0</v>
      </c>
      <c r="T635" s="183">
        <v>1</v>
      </c>
      <c r="U635" s="183" t="s">
        <v>97</v>
      </c>
      <c r="V635" s="183"/>
      <c r="W635" s="183"/>
      <c r="X635" s="183"/>
      <c r="Y635" s="184">
        <f>IF(ISBLANK(O635),"",(IF(O635=UPPER("IB"),0.005,0.01)))</f>
        <v>0.01</v>
      </c>
      <c r="Z635" s="185">
        <f>IF(ISBLANK(O635),"",IF(O635="IB",8.63*200,IF(O635="IR",16*100,IF(O635="YT",20*100,IF(O635="YT-XT",24*200,IF(O635="TED",80*100))))))</f>
        <v>2000</v>
      </c>
      <c r="AA635" s="185" t="s">
        <v>1096</v>
      </c>
      <c r="AB635" s="185"/>
      <c r="AC635" s="185"/>
      <c r="AD635" s="649">
        <v>96.56</v>
      </c>
      <c r="AE635" s="182"/>
      <c r="AF635" s="332"/>
      <c r="AG635" s="182"/>
      <c r="AH635" s="182"/>
      <c r="AI635" s="182"/>
      <c r="AJ635" s="640"/>
      <c r="AK635" s="182"/>
      <c r="AL635" s="496"/>
      <c r="AM635" s="496"/>
      <c r="AN635" s="626"/>
      <c r="AO635" s="182"/>
      <c r="AP635" s="182" t="s">
        <v>1750</v>
      </c>
      <c r="AQ635" s="332" t="str">
        <f>UPPER(RIGHT(Journal_Live[[#This Row],[DURATION ]]))</f>
        <v>S</v>
      </c>
      <c r="AR635" s="182" t="s">
        <v>682</v>
      </c>
      <c r="AS635" s="189">
        <v>96.6</v>
      </c>
      <c r="AT635" s="189">
        <f t="shared" si="237"/>
        <v>-3.9999999999992042E-2</v>
      </c>
      <c r="AU635" s="187">
        <f t="shared" si="238"/>
        <v>-79.999999999984084</v>
      </c>
      <c r="AV635" s="190">
        <f t="shared" si="239"/>
        <v>-79.999999999984084</v>
      </c>
      <c r="AW635" s="191" t="s">
        <v>229</v>
      </c>
      <c r="AX635" s="407" t="s">
        <v>2747</v>
      </c>
      <c r="AY635" s="407"/>
      <c r="AZ635" s="407"/>
      <c r="BA635" s="407"/>
      <c r="BB635" s="407"/>
      <c r="BC635" s="407"/>
      <c r="BD635" s="407"/>
      <c r="BE635" s="407"/>
      <c r="BF635" s="422"/>
      <c r="BG635" s="391">
        <f>SUM($AV$4:AV635)</f>
        <v>3439.2641428571533</v>
      </c>
      <c r="BH635" s="392">
        <f>SUM($AU$134:AU635)</f>
        <v>6032.4153333332888</v>
      </c>
      <c r="BI635" s="318">
        <f>SUMIFS($AU$134:AU636,$Q$134:Q636,"F")</f>
        <v>-49.466666666666924</v>
      </c>
      <c r="BJ635" s="318">
        <f>SUMIFS($AU$134:AU636,$Q$134:Q636,"S")</f>
        <v>6212.4419999999964</v>
      </c>
      <c r="BK635" s="343">
        <f>SUMIFS($AU$134:AU636,$P$134:P636,"W")</f>
        <v>5819.7419999999347</v>
      </c>
      <c r="BL635" s="343">
        <f>SUMIFS($AU$134:AU636,$P$134:P636,"R")</f>
        <v>164.67333333333482</v>
      </c>
      <c r="BM635" s="343">
        <f>SUMIFS($AU$134:AU636,$AQ$134:AQ636,"M")</f>
        <v>2053.3999999999719</v>
      </c>
      <c r="BN635" s="343">
        <f>SUMIFS($AU$134:AU636,$AQ$134:AQ636,"H")</f>
        <v>2764.252000000015</v>
      </c>
      <c r="BO635" s="343">
        <f>SUMIFS($AU$134:AU636,$AQ$134:AQ636,"D")</f>
        <v>-222.31000000000029</v>
      </c>
      <c r="BP635" s="343">
        <f>SUMIFS($AU$134:AU638,$AQ$134:AQ638,"W")</f>
        <v>462.63333333333321</v>
      </c>
      <c r="BQ635" s="343">
        <f>SUMIFS($AU$134:AU636,$Q$134:Q636,"O")</f>
        <v>-457.76000000004638</v>
      </c>
      <c r="BR635" s="343">
        <f>SUMIFS($AU$134:AU636,$AA$134:AA636,"*")</f>
        <v>7377.4753333333119</v>
      </c>
      <c r="BS635" s="343">
        <f>SUMIFS($AU$134:AU636,$AB$134:AB636,"*")</f>
        <v>1341.439999999976</v>
      </c>
      <c r="BT635" s="343">
        <f>SUMIFS($AU$134:AU636,$AC$134:AC636,"*")</f>
        <v>2399.6833333333316</v>
      </c>
      <c r="BU635" s="343">
        <f>SUMIFS($AU$134:AU636,$AA$134:AA636,"*",$AB$134:AB636,"*")</f>
        <v>402.00000000000495</v>
      </c>
      <c r="BV635" s="343">
        <f>SUMIFS($AU$134:AU636,$AA$134:AA636,"*",$AC$134:AC636,"*")</f>
        <v>3348.7833333333328</v>
      </c>
      <c r="BW635" s="343">
        <f>SUMIFS($AU$134:AU636,$AB$134:AB636,"*",$AC$134:AC636,"*")</f>
        <v>2382.6</v>
      </c>
      <c r="BX635" s="343">
        <f>SUMIFS($AU636:AU$1388,$Q636:Q$1388,"F")</f>
        <v>14490.133333333335</v>
      </c>
      <c r="BY635" s="343">
        <f>SUMIFS($AU636:AU$1388,$Q636:Q$1388,"S")</f>
        <v>14459.2</v>
      </c>
      <c r="BZ635" s="343">
        <f>SUMIFS($AU636:AU$1388,$Q636:Q$1388,"O")</f>
        <v>-1191.0979999997521</v>
      </c>
    </row>
    <row r="636" spans="1:78" ht="15.75" customHeight="1">
      <c r="A636" s="221" t="s">
        <v>2380</v>
      </c>
      <c r="B636" s="200">
        <v>45077</v>
      </c>
      <c r="C636" s="178" t="s">
        <v>2748</v>
      </c>
      <c r="D636" s="178" t="s">
        <v>151</v>
      </c>
      <c r="E636" s="227"/>
      <c r="F636" s="180"/>
      <c r="G636" s="181" t="s">
        <v>2145</v>
      </c>
      <c r="H636" s="182"/>
      <c r="I636" s="182"/>
      <c r="J636" s="182"/>
      <c r="K636" s="183"/>
      <c r="L636" s="182"/>
      <c r="M636" s="182"/>
      <c r="N636" s="182"/>
      <c r="O636" s="183"/>
      <c r="P636" s="183"/>
      <c r="Q636" s="183"/>
      <c r="R636" s="183"/>
      <c r="S636" s="183"/>
      <c r="T636" s="183"/>
      <c r="U636" s="183"/>
      <c r="V636" s="183"/>
      <c r="W636" s="183"/>
      <c r="X636" s="183"/>
      <c r="Y636" s="184"/>
      <c r="Z636" s="185"/>
      <c r="AA636" s="185"/>
      <c r="AB636" s="185"/>
      <c r="AC636" s="185"/>
      <c r="AD636" s="649"/>
      <c r="AE636" s="182"/>
      <c r="AF636" s="332"/>
      <c r="AG636" s="182"/>
      <c r="AH636" s="182"/>
      <c r="AI636" s="182"/>
      <c r="AJ636" s="640"/>
      <c r="AK636" s="182"/>
      <c r="AL636" s="496"/>
      <c r="AM636" s="496"/>
      <c r="AN636" s="626"/>
      <c r="AO636" s="182"/>
      <c r="AP636" s="182"/>
      <c r="AQ636" s="332" t="str">
        <f>UPPER(RIGHT(Journal_Live[[#This Row],[DURATION ]]))</f>
        <v/>
      </c>
      <c r="AR636" s="182"/>
      <c r="AS636" s="189"/>
      <c r="AT636" s="189">
        <f t="shared" si="237"/>
        <v>0</v>
      </c>
      <c r="AU636" s="187">
        <f t="shared" si="238"/>
        <v>0</v>
      </c>
      <c r="AV636" s="190">
        <f t="shared" si="239"/>
        <v>0</v>
      </c>
      <c r="AW636" s="191"/>
      <c r="AX636" s="407"/>
      <c r="AY636" s="407"/>
      <c r="AZ636" s="407"/>
      <c r="BA636" s="419"/>
      <c r="BB636" s="407"/>
      <c r="BC636" s="407"/>
      <c r="BD636" s="407"/>
      <c r="BE636" s="407"/>
      <c r="BF636" s="422"/>
      <c r="BG636" s="391">
        <f>SUM($AV$4:AV636)</f>
        <v>3439.2641428571533</v>
      </c>
      <c r="BH636" s="392">
        <f>SUM($AU$134:AU636)</f>
        <v>6032.4153333332888</v>
      </c>
      <c r="BI636" s="318">
        <f>SUMIFS($AU$134:AU637,$Q$134:Q637,"F")</f>
        <v>-49.466666666666924</v>
      </c>
      <c r="BJ636" s="318">
        <f>SUMIFS($AU$134:AU637,$Q$134:Q637,"S")</f>
        <v>6372.4419999999964</v>
      </c>
      <c r="BK636" s="343">
        <f>SUMIFS($AU$134:AU637,$P$134:P637,"W")</f>
        <v>5979.7419999999347</v>
      </c>
      <c r="BL636" s="343">
        <f>SUMIFS($AU$134:AU637,$P$134:P637,"R")</f>
        <v>164.67333333333482</v>
      </c>
      <c r="BM636" s="343">
        <f>SUMIFS($AU$134:AU637,$AQ$134:AQ637,"M")</f>
        <v>2053.3999999999719</v>
      </c>
      <c r="BN636" s="343">
        <f>SUMIFS($AU$134:AU637,$AQ$134:AQ637,"H")</f>
        <v>2924.252000000015</v>
      </c>
      <c r="BO636" s="343">
        <f>SUMIFS($AU$134:AU637,$AQ$134:AQ637,"D")</f>
        <v>-222.31000000000029</v>
      </c>
      <c r="BP636" s="343">
        <f>SUMIFS($AU$134:AU639,$AQ$134:AQ639,"W")</f>
        <v>462.63333333333321</v>
      </c>
      <c r="BQ636" s="343">
        <f>SUMIFS($AU$134:AU637,$Q$134:Q637,"O")</f>
        <v>-457.76000000004638</v>
      </c>
      <c r="BR636" s="343">
        <f>SUMIFS($AU$134:AU637,$AA$134:AA637,"*")</f>
        <v>7537.4753333333119</v>
      </c>
      <c r="BS636" s="343">
        <f>SUMIFS($AU$134:AU637,$AB$134:AB637,"*")</f>
        <v>1341.439999999976</v>
      </c>
      <c r="BT636" s="343">
        <f>SUMIFS($AU$134:AU637,$AC$134:AC637,"*")</f>
        <v>2559.6833333333316</v>
      </c>
      <c r="BU636" s="343">
        <f>SUMIFS($AU$134:AU637,$AA$134:AA637,"*",$AB$134:AB637,"*")</f>
        <v>402.00000000000495</v>
      </c>
      <c r="BV636" s="343">
        <f>SUMIFS($AU$134:AU637,$AA$134:AA637,"*",$AC$134:AC637,"*")</f>
        <v>3508.7833333333328</v>
      </c>
      <c r="BW636" s="343">
        <f>SUMIFS($AU$134:AU637,$AB$134:AB637,"*",$AC$134:AC637,"*")</f>
        <v>2382.6</v>
      </c>
      <c r="BX636" s="343">
        <f>SUMIFS($AU637:AU$1388,$Q637:Q$1388,"F")</f>
        <v>14490.133333333335</v>
      </c>
      <c r="BY636" s="343">
        <f>SUMIFS($AU637:AU$1388,$Q637:Q$1388,"S")</f>
        <v>14459.2</v>
      </c>
      <c r="BZ636" s="343">
        <f>SUMIFS($AU637:AU$1388,$Q637:Q$1388,"O")</f>
        <v>-1191.0979999997521</v>
      </c>
    </row>
    <row r="637" spans="1:78" ht="15.75" customHeight="1">
      <c r="A637" s="221" t="s">
        <v>2380</v>
      </c>
      <c r="B637" s="200">
        <v>45077</v>
      </c>
      <c r="C637" s="178" t="s">
        <v>2437</v>
      </c>
      <c r="D637" s="178" t="s">
        <v>151</v>
      </c>
      <c r="E637" s="227"/>
      <c r="F637" s="180"/>
      <c r="G637" s="281" t="s">
        <v>2145</v>
      </c>
      <c r="H637" s="182"/>
      <c r="I637" s="182"/>
      <c r="J637" s="182"/>
      <c r="K637" s="183"/>
      <c r="L637" s="182">
        <v>1</v>
      </c>
      <c r="M637" s="182"/>
      <c r="N637" s="182"/>
      <c r="O637" s="183" t="s">
        <v>95</v>
      </c>
      <c r="P637" s="183" t="s">
        <v>96</v>
      </c>
      <c r="Q637" s="183" t="s">
        <v>97</v>
      </c>
      <c r="R637" s="183">
        <v>10</v>
      </c>
      <c r="S637" s="183">
        <v>0</v>
      </c>
      <c r="T637" s="183">
        <v>10</v>
      </c>
      <c r="U637" s="183" t="s">
        <v>22</v>
      </c>
      <c r="V637" s="183"/>
      <c r="W637" s="183"/>
      <c r="X637" s="183"/>
      <c r="Y637" s="184">
        <f>IF(ISBLANK(O637),"",(IF(O637=UPPER("IB"),0.005,0.01)))</f>
        <v>0.01</v>
      </c>
      <c r="Z637" s="185">
        <f>IF(ISBLANK(O637),"",IF(O637="IB",8.63*200,IF(O637="IR",16*100,IF(O637="YT",20*100,IF(O637="YT-XT",24*200,IF(O637="TED",80*100))))))</f>
        <v>1600</v>
      </c>
      <c r="AA637" s="185" t="s">
        <v>2749</v>
      </c>
      <c r="AB637" s="185"/>
      <c r="AC637" s="185" t="s">
        <v>2750</v>
      </c>
      <c r="AD637" s="649">
        <v>-0.13</v>
      </c>
      <c r="AE637" s="182"/>
      <c r="AF637" s="332"/>
      <c r="AG637" s="182"/>
      <c r="AH637" s="182"/>
      <c r="AI637" s="182"/>
      <c r="AJ637" s="640"/>
      <c r="AK637" s="182"/>
      <c r="AL637" s="496">
        <f t="shared" ref="AL637" si="240">-0.02*Z637</f>
        <v>-32</v>
      </c>
      <c r="AM637" s="496">
        <f>AL637*(R637-S637)</f>
        <v>-320</v>
      </c>
      <c r="AN637" s="626" t="s">
        <v>2751</v>
      </c>
      <c r="AO637" s="182"/>
      <c r="AP637" s="182" t="s">
        <v>2752</v>
      </c>
      <c r="AQ637" s="332" t="str">
        <f>UPPER(RIGHT(Journal_Live[[#This Row],[DURATION ]]))</f>
        <v>H</v>
      </c>
      <c r="AR637" s="182" t="s">
        <v>2753</v>
      </c>
      <c r="AS637" s="189">
        <v>-0.12</v>
      </c>
      <c r="AT637" s="189">
        <f t="shared" si="237"/>
        <v>1.0000000000000009E-2</v>
      </c>
      <c r="AU637" s="187">
        <f t="shared" si="238"/>
        <v>160.00000000000014</v>
      </c>
      <c r="AV637" s="190">
        <f t="shared" si="239"/>
        <v>16.000000000000014</v>
      </c>
      <c r="AW637" s="191" t="s">
        <v>96</v>
      </c>
      <c r="AX637" s="407"/>
      <c r="AY637" s="407"/>
      <c r="AZ637" s="407"/>
      <c r="BA637" s="407"/>
      <c r="BB637" s="407"/>
      <c r="BC637" s="407"/>
      <c r="BD637" s="407"/>
      <c r="BE637" s="407"/>
      <c r="BF637" s="422"/>
      <c r="BG637" s="391">
        <f>SUM($AV$4:AV637)</f>
        <v>3455.2641428571533</v>
      </c>
      <c r="BH637" s="392">
        <f>SUM($AU$134:AU637)</f>
        <v>6192.4153333332888</v>
      </c>
      <c r="BI637" s="318">
        <f>SUMIFS($AU$134:AU638,$Q$134:Q638,"F")</f>
        <v>94.533333333333104</v>
      </c>
      <c r="BJ637" s="318">
        <f>SUMIFS($AU$134:AU638,$Q$134:Q638,"S")</f>
        <v>6372.4419999999964</v>
      </c>
      <c r="BK637" s="343">
        <f>SUMIFS($AU$134:AU638,$P$134:P638,"W")</f>
        <v>6123.7419999999347</v>
      </c>
      <c r="BL637" s="343">
        <f>SUMIFS($AU$134:AU638,$P$134:P638,"R")</f>
        <v>164.67333333333482</v>
      </c>
      <c r="BM637" s="343">
        <f>SUMIFS($AU$134:AU638,$AQ$134:AQ638,"M")</f>
        <v>2053.3999999999719</v>
      </c>
      <c r="BN637" s="343">
        <f>SUMIFS($AU$134:AU638,$AQ$134:AQ638,"H")</f>
        <v>2924.252000000015</v>
      </c>
      <c r="BO637" s="343">
        <f>SUMIFS($AU$134:AU638,$AQ$134:AQ638,"D")</f>
        <v>-78.310000000000258</v>
      </c>
      <c r="BP637" s="343">
        <f>SUMIFS($AU$134:AU640,$AQ$134:AQ640,"W")</f>
        <v>462.63333333333321</v>
      </c>
      <c r="BQ637" s="343">
        <f>SUMIFS($AU$134:AU638,$Q$134:Q638,"O")</f>
        <v>-457.76000000004638</v>
      </c>
      <c r="BR637" s="343">
        <f>SUMIFS($AU$134:AU638,$AA$134:AA638,"*")</f>
        <v>7681.4753333333119</v>
      </c>
      <c r="BS637" s="343">
        <f>SUMIFS($AU$134:AU638,$AB$134:AB638,"*")</f>
        <v>1341.439999999976</v>
      </c>
      <c r="BT637" s="343">
        <f>SUMIFS($AU$134:AU638,$AC$134:AC638,"*")</f>
        <v>2703.6833333333316</v>
      </c>
      <c r="BU637" s="343">
        <f>SUMIFS($AU$134:AU638,$AA$134:AA638,"*",$AB$134:AB638,"*")</f>
        <v>402.00000000000495</v>
      </c>
      <c r="BV637" s="343">
        <f>SUMIFS($AU$134:AU638,$AA$134:AA638,"*",$AC$134:AC638,"*")</f>
        <v>3652.7833333333328</v>
      </c>
      <c r="BW637" s="343">
        <f>SUMIFS($AU$134:AU638,$AB$134:AB638,"*",$AC$134:AC638,"*")</f>
        <v>2382.6</v>
      </c>
      <c r="BX637" s="343">
        <f>SUMIFS($AU638:AU$1388,$Q638:Q$1388,"F")</f>
        <v>14490.133333333335</v>
      </c>
      <c r="BY637" s="343">
        <f>SUMIFS($AU638:AU$1388,$Q638:Q$1388,"S")</f>
        <v>14299.2</v>
      </c>
      <c r="BZ637" s="343">
        <f>SUMIFS($AU638:AU$1388,$Q638:Q$1388,"O")</f>
        <v>-1191.0979999997521</v>
      </c>
    </row>
    <row r="638" spans="1:78" ht="15.75" customHeight="1">
      <c r="A638" s="221" t="s">
        <v>2380</v>
      </c>
      <c r="B638" s="200">
        <v>45077</v>
      </c>
      <c r="C638" s="178" t="s">
        <v>2754</v>
      </c>
      <c r="D638" s="178" t="s">
        <v>151</v>
      </c>
      <c r="E638" s="227"/>
      <c r="F638" s="180"/>
      <c r="G638" s="284" t="s">
        <v>2755</v>
      </c>
      <c r="H638" s="182"/>
      <c r="I638" s="182"/>
      <c r="J638" s="182"/>
      <c r="K638" s="183"/>
      <c r="L638" s="182">
        <v>1</v>
      </c>
      <c r="M638" s="182">
        <v>1</v>
      </c>
      <c r="N638" s="182"/>
      <c r="O638" s="183" t="s">
        <v>95</v>
      </c>
      <c r="P638" s="183" t="s">
        <v>96</v>
      </c>
      <c r="Q638" s="183" t="s">
        <v>256</v>
      </c>
      <c r="R638" s="183">
        <v>4</v>
      </c>
      <c r="S638" s="183">
        <v>0</v>
      </c>
      <c r="T638" s="183">
        <v>4</v>
      </c>
      <c r="U638" s="183" t="s">
        <v>97</v>
      </c>
      <c r="V638" s="183"/>
      <c r="W638" s="183"/>
      <c r="X638" s="183"/>
      <c r="Y638" s="184">
        <f>IF(ISBLANK(O638),"",(IF(O638=UPPER("IB"),0.005,0.01)))</f>
        <v>0.01</v>
      </c>
      <c r="Z638" s="185">
        <f>IF(ISBLANK(O638),"",IF(O638="IB",8.63*200,IF(O638="IR",16*100,IF(O638="YT",20*100,IF(O638="YT-XT",24*200,IF(O638="TED",80*100))))))</f>
        <v>1600</v>
      </c>
      <c r="AA638" s="185" t="s">
        <v>2756</v>
      </c>
      <c r="AB638" s="185"/>
      <c r="AC638" s="185" t="s">
        <v>2757</v>
      </c>
      <c r="AD638" s="649">
        <f>(0.1*3+0.11*1)/4</f>
        <v>0.10250000000000001</v>
      </c>
      <c r="AE638" s="182"/>
      <c r="AF638" s="332"/>
      <c r="AG638" s="182"/>
      <c r="AH638" s="182"/>
      <c r="AI638" s="182"/>
      <c r="AJ638" s="640"/>
      <c r="AK638" s="182"/>
      <c r="AL638" s="496">
        <f>-0.1*Z638</f>
        <v>-160</v>
      </c>
      <c r="AM638" s="496">
        <f>AL638*(R638-S638)</f>
        <v>-640</v>
      </c>
      <c r="AN638" s="626" t="s">
        <v>2758</v>
      </c>
      <c r="AO638" s="182"/>
      <c r="AP638" s="182" t="s">
        <v>589</v>
      </c>
      <c r="AQ638" s="332" t="str">
        <f>UPPER(RIGHT(Journal_Live[[#This Row],[DURATION ]]))</f>
        <v>D</v>
      </c>
      <c r="AR638" s="182" t="s">
        <v>2759</v>
      </c>
      <c r="AS638" s="189">
        <f>(0.08*1+0.08*3)/4</f>
        <v>0.08</v>
      </c>
      <c r="AT638" s="189">
        <f t="shared" si="237"/>
        <v>2.2500000000000006E-2</v>
      </c>
      <c r="AU638" s="187">
        <f t="shared" si="238"/>
        <v>144.00000000000003</v>
      </c>
      <c r="AV638" s="190">
        <f t="shared" si="239"/>
        <v>36.000000000000007</v>
      </c>
      <c r="AW638" s="191" t="s">
        <v>96</v>
      </c>
      <c r="AX638" s="407" t="s">
        <v>2760</v>
      </c>
      <c r="AY638" s="407" t="s">
        <v>2761</v>
      </c>
      <c r="AZ638" s="407" t="s">
        <v>2762</v>
      </c>
      <c r="BA638" s="419"/>
      <c r="BB638" s="407"/>
      <c r="BC638" s="407"/>
      <c r="BD638" s="407"/>
      <c r="BE638" s="407"/>
      <c r="BF638" s="422"/>
      <c r="BG638" s="391">
        <f>SUM($AV$4:AV638)</f>
        <v>3491.2641428571533</v>
      </c>
      <c r="BH638" s="392">
        <f>SUM($AU$134:AU638)</f>
        <v>6336.4153333332888</v>
      </c>
      <c r="BI638" s="318">
        <f>SUMIFS($AU$134:AU639,$Q$134:Q639,"F")</f>
        <v>94.533333333333104</v>
      </c>
      <c r="BJ638" s="318">
        <f>SUMIFS($AU$134:AU639,$Q$134:Q639,"S")</f>
        <v>6372.4419999999964</v>
      </c>
      <c r="BK638" s="343">
        <f>SUMIFS($AU$134:AU639,$P$134:P639,"W")</f>
        <v>6123.7419999999347</v>
      </c>
      <c r="BL638" s="343">
        <f>SUMIFS($AU$134:AU639,$P$134:P639,"R")</f>
        <v>164.67333333333482</v>
      </c>
      <c r="BM638" s="343">
        <f>SUMIFS($AU$134:AU639,$AQ$134:AQ639,"M")</f>
        <v>2053.3999999999719</v>
      </c>
      <c r="BN638" s="343">
        <f>SUMIFS($AU$134:AU639,$AQ$134:AQ639,"H")</f>
        <v>2924.252000000015</v>
      </c>
      <c r="BO638" s="343">
        <f>SUMIFS($AU$134:AU639,$AQ$134:AQ639,"D")</f>
        <v>-78.310000000000258</v>
      </c>
      <c r="BP638" s="343">
        <f>SUMIFS($AU$134:AU641,$AQ$134:AQ641,"W")</f>
        <v>462.63333333333321</v>
      </c>
      <c r="BQ638" s="343">
        <f>SUMIFS($AU$134:AU639,$Q$134:Q639,"O")</f>
        <v>-457.76000000004638</v>
      </c>
      <c r="BR638" s="343">
        <f>SUMIFS($AU$134:AU639,$AA$134:AA639,"*")</f>
        <v>7681.4753333333119</v>
      </c>
      <c r="BS638" s="343">
        <f>SUMIFS($AU$134:AU639,$AB$134:AB639,"*")</f>
        <v>1341.439999999976</v>
      </c>
      <c r="BT638" s="343">
        <f>SUMIFS($AU$134:AU639,$AC$134:AC639,"*")</f>
        <v>2703.6833333333316</v>
      </c>
      <c r="BU638" s="343">
        <f>SUMIFS($AU$134:AU639,$AA$134:AA639,"*",$AB$134:AB639,"*")</f>
        <v>402.00000000000495</v>
      </c>
      <c r="BV638" s="343">
        <f>SUMIFS($AU$134:AU639,$AA$134:AA639,"*",$AC$134:AC639,"*")</f>
        <v>3652.7833333333328</v>
      </c>
      <c r="BW638" s="343">
        <f>SUMIFS($AU$134:AU639,$AB$134:AB639,"*",$AC$134:AC639,"*")</f>
        <v>2382.6</v>
      </c>
      <c r="BX638" s="343">
        <f>SUMIFS($AU639:AU$1388,$Q639:Q$1388,"F")</f>
        <v>14346.133333333335</v>
      </c>
      <c r="BY638" s="343">
        <f>SUMIFS($AU639:AU$1388,$Q639:Q$1388,"S")</f>
        <v>14299.2</v>
      </c>
      <c r="BZ638" s="343">
        <f>SUMIFS($AU639:AU$1388,$Q639:Q$1388,"O")</f>
        <v>-1191.0979999997521</v>
      </c>
    </row>
    <row r="639" spans="1:78" ht="15.75" customHeight="1">
      <c r="A639" s="221" t="s">
        <v>2380</v>
      </c>
      <c r="B639" s="200">
        <v>45077</v>
      </c>
      <c r="C639" s="178" t="s">
        <v>171</v>
      </c>
      <c r="D639" s="178" t="s">
        <v>151</v>
      </c>
      <c r="E639" s="227"/>
      <c r="F639" s="180"/>
      <c r="G639" s="181" t="s">
        <v>2016</v>
      </c>
      <c r="H639" s="182"/>
      <c r="I639" s="182"/>
      <c r="J639" s="182"/>
      <c r="K639" s="183"/>
      <c r="L639" s="182"/>
      <c r="M639" s="182"/>
      <c r="N639" s="182"/>
      <c r="O639" s="183"/>
      <c r="P639" s="183"/>
      <c r="Q639" s="183"/>
      <c r="R639" s="183"/>
      <c r="S639" s="183"/>
      <c r="T639" s="183"/>
      <c r="U639" s="183"/>
      <c r="V639" s="183"/>
      <c r="W639" s="183"/>
      <c r="X639" s="183"/>
      <c r="Y639" s="184"/>
      <c r="Z639" s="185"/>
      <c r="AA639" s="185"/>
      <c r="AB639" s="185"/>
      <c r="AC639" s="185"/>
      <c r="AD639" s="649"/>
      <c r="AE639" s="182"/>
      <c r="AF639" s="332"/>
      <c r="AG639" s="182"/>
      <c r="AH639" s="182"/>
      <c r="AI639" s="182"/>
      <c r="AJ639" s="640"/>
      <c r="AK639" s="182"/>
      <c r="AL639" s="496"/>
      <c r="AM639" s="496"/>
      <c r="AN639" s="626"/>
      <c r="AO639" s="182"/>
      <c r="AP639" s="182"/>
      <c r="AQ639" s="332" t="str">
        <f>UPPER(RIGHT(Journal_Live[[#This Row],[DURATION ]]))</f>
        <v/>
      </c>
      <c r="AR639" s="182"/>
      <c r="AS639" s="189"/>
      <c r="AT639" s="189"/>
      <c r="AU639" s="187"/>
      <c r="AV639" s="190"/>
      <c r="AW639" s="191"/>
      <c r="AX639" s="407"/>
      <c r="AY639" s="407"/>
      <c r="AZ639" s="407"/>
      <c r="BA639" s="407"/>
      <c r="BB639" s="407"/>
      <c r="BC639" s="407"/>
      <c r="BD639" s="407"/>
      <c r="BE639" s="407"/>
      <c r="BF639" s="422"/>
      <c r="BG639" s="391">
        <f>SUM($AV$4:AV639)</f>
        <v>3491.2641428571533</v>
      </c>
      <c r="BH639" s="392">
        <f>SUM($AU$134:AU639)</f>
        <v>6336.4153333332888</v>
      </c>
      <c r="BI639" s="318">
        <f>SUMIFS($AU$134:AU640,$Q$134:Q640,"F")</f>
        <v>94.533333333333104</v>
      </c>
      <c r="BJ639" s="318">
        <f>SUMIFS($AU$134:AU640,$Q$134:Q640,"S")</f>
        <v>6372.4419999999964</v>
      </c>
      <c r="BK639" s="343">
        <f>SUMIFS($AU$134:AU640,$P$134:P640,"W")</f>
        <v>6123.7419999999347</v>
      </c>
      <c r="BL639" s="343">
        <f>SUMIFS($AU$134:AU640,$P$134:P640,"R")</f>
        <v>164.67333333333482</v>
      </c>
      <c r="BM639" s="343">
        <f>SUMIFS($AU$134:AU640,$AQ$134:AQ640,"M")</f>
        <v>2053.3999999999719</v>
      </c>
      <c r="BN639" s="343">
        <f>SUMIFS($AU$134:AU640,$AQ$134:AQ640,"H")</f>
        <v>2924.252000000015</v>
      </c>
      <c r="BO639" s="343">
        <f>SUMIFS($AU$134:AU640,$AQ$134:AQ640,"D")</f>
        <v>-78.310000000000258</v>
      </c>
      <c r="BP639" s="343">
        <f>SUMIFS($AU$134:AU642,$AQ$134:AQ642,"W")</f>
        <v>462.63333333333321</v>
      </c>
      <c r="BQ639" s="343">
        <f>SUMIFS($AU$134:AU640,$Q$134:Q640,"O")</f>
        <v>-457.76000000004638</v>
      </c>
      <c r="BR639" s="343">
        <f>SUMIFS($AU$134:AU640,$AA$134:AA640,"*")</f>
        <v>7681.4753333333119</v>
      </c>
      <c r="BS639" s="343">
        <f>SUMIFS($AU$134:AU640,$AB$134:AB640,"*")</f>
        <v>1341.439999999976</v>
      </c>
      <c r="BT639" s="343">
        <f>SUMIFS($AU$134:AU640,$AC$134:AC640,"*")</f>
        <v>2703.6833333333316</v>
      </c>
      <c r="BU639" s="343">
        <f>SUMIFS($AU$134:AU640,$AA$134:AA640,"*",$AB$134:AB640,"*")</f>
        <v>402.00000000000495</v>
      </c>
      <c r="BV639" s="343">
        <f>SUMIFS($AU$134:AU640,$AA$134:AA640,"*",$AC$134:AC640,"*")</f>
        <v>3652.7833333333328</v>
      </c>
      <c r="BW639" s="343">
        <f>SUMIFS($AU$134:AU640,$AB$134:AB640,"*",$AC$134:AC640,"*")</f>
        <v>2382.6</v>
      </c>
      <c r="BX639" s="343">
        <f>SUMIFS($AU640:AU$1388,$Q640:Q$1388,"F")</f>
        <v>14346.133333333335</v>
      </c>
      <c r="BY639" s="343">
        <f>SUMIFS($AU640:AU$1388,$Q640:Q$1388,"S")</f>
        <v>14299.2</v>
      </c>
      <c r="BZ639" s="343">
        <f>SUMIFS($AU640:AU$1388,$Q640:Q$1388,"O")</f>
        <v>-1191.0979999997521</v>
      </c>
    </row>
    <row r="640" spans="1:78" ht="15.75" customHeight="1">
      <c r="A640" s="221" t="s">
        <v>2380</v>
      </c>
      <c r="B640" s="200">
        <v>45077</v>
      </c>
      <c r="C640" s="178" t="s">
        <v>1629</v>
      </c>
      <c r="D640" s="178" t="s">
        <v>151</v>
      </c>
      <c r="E640" s="227"/>
      <c r="F640" s="180"/>
      <c r="G640" s="181" t="s">
        <v>1664</v>
      </c>
      <c r="H640" s="182"/>
      <c r="I640" s="182"/>
      <c r="J640" s="182"/>
      <c r="K640" s="183"/>
      <c r="L640" s="182"/>
      <c r="M640" s="182"/>
      <c r="N640" s="182"/>
      <c r="O640" s="183"/>
      <c r="P640" s="183"/>
      <c r="Q640" s="183"/>
      <c r="R640" s="183"/>
      <c r="S640" s="183"/>
      <c r="T640" s="183"/>
      <c r="U640" s="183"/>
      <c r="V640" s="183"/>
      <c r="W640" s="183"/>
      <c r="X640" s="183"/>
      <c r="Y640" s="184"/>
      <c r="Z640" s="185"/>
      <c r="AA640" s="185"/>
      <c r="AB640" s="185"/>
      <c r="AC640" s="185"/>
      <c r="AD640" s="649"/>
      <c r="AE640" s="182"/>
      <c r="AF640" s="332"/>
      <c r="AG640" s="182"/>
      <c r="AH640" s="182"/>
      <c r="AI640" s="182"/>
      <c r="AJ640" s="640"/>
      <c r="AK640" s="182"/>
      <c r="AL640" s="496"/>
      <c r="AM640" s="496"/>
      <c r="AN640" s="626"/>
      <c r="AO640" s="182"/>
      <c r="AP640" s="182"/>
      <c r="AQ640" s="332" t="str">
        <f>UPPER(RIGHT(Journal_Live[[#This Row],[DURATION ]]))</f>
        <v/>
      </c>
      <c r="AR640" s="182"/>
      <c r="AS640" s="189"/>
      <c r="AT640" s="189"/>
      <c r="AU640" s="187"/>
      <c r="AV640" s="190"/>
      <c r="AW640" s="191"/>
      <c r="AX640" s="407" t="s">
        <v>2763</v>
      </c>
      <c r="AY640" s="407" t="s">
        <v>2764</v>
      </c>
      <c r="AZ640" s="407" t="s">
        <v>2765</v>
      </c>
      <c r="BA640" s="407"/>
      <c r="BB640" s="407"/>
      <c r="BC640" s="407"/>
      <c r="BD640" s="407"/>
      <c r="BE640" s="407"/>
      <c r="BF640" s="422"/>
      <c r="BG640" s="391">
        <f>SUM($AV$4:AV640)</f>
        <v>3491.2641428571533</v>
      </c>
      <c r="BH640" s="392">
        <f>SUM($AU$134:AU640)</f>
        <v>6336.4153333332888</v>
      </c>
      <c r="BI640" s="318">
        <f>SUMIFS($AU$134:AU641,$Q$134:Q641,"F")</f>
        <v>94.533333333333104</v>
      </c>
      <c r="BJ640" s="318">
        <f>SUMIFS($AU$134:AU641,$Q$134:Q641,"S")</f>
        <v>6372.4419999999964</v>
      </c>
      <c r="BK640" s="343">
        <f>SUMIFS($AU$134:AU641,$P$134:P641,"W")</f>
        <v>6123.7419999999347</v>
      </c>
      <c r="BL640" s="343">
        <f>SUMIFS($AU$134:AU641,$P$134:P641,"R")</f>
        <v>164.67333333333482</v>
      </c>
      <c r="BM640" s="343">
        <f>SUMIFS($AU$134:AU641,$AQ$134:AQ641,"M")</f>
        <v>2053.3999999999719</v>
      </c>
      <c r="BN640" s="343">
        <f>SUMIFS($AU$134:AU641,$AQ$134:AQ641,"H")</f>
        <v>2924.252000000015</v>
      </c>
      <c r="BO640" s="343">
        <f>SUMIFS($AU$134:AU641,$AQ$134:AQ641,"D")</f>
        <v>-78.310000000000258</v>
      </c>
      <c r="BP640" s="343">
        <f>SUMIFS($AU$134:AU643,$AQ$134:AQ643,"W")</f>
        <v>462.63333333333321</v>
      </c>
      <c r="BQ640" s="343">
        <f>SUMIFS($AU$134:AU641,$Q$134:Q641,"O")</f>
        <v>-457.76000000004638</v>
      </c>
      <c r="BR640" s="343">
        <f>SUMIFS($AU$134:AU641,$AA$134:AA641,"*")</f>
        <v>7681.4753333333119</v>
      </c>
      <c r="BS640" s="343">
        <f>SUMIFS($AU$134:AU641,$AB$134:AB641,"*")</f>
        <v>1341.439999999976</v>
      </c>
      <c r="BT640" s="343">
        <f>SUMIFS($AU$134:AU641,$AC$134:AC641,"*")</f>
        <v>2703.6833333333316</v>
      </c>
      <c r="BU640" s="343">
        <f>SUMIFS($AU$134:AU641,$AA$134:AA641,"*",$AB$134:AB641,"*")</f>
        <v>402.00000000000495</v>
      </c>
      <c r="BV640" s="343">
        <f>SUMIFS($AU$134:AU641,$AA$134:AA641,"*",$AC$134:AC641,"*")</f>
        <v>3652.7833333333328</v>
      </c>
      <c r="BW640" s="343">
        <f>SUMIFS($AU$134:AU641,$AB$134:AB641,"*",$AC$134:AC641,"*")</f>
        <v>2382.6</v>
      </c>
      <c r="BX640" s="343">
        <f>SUMIFS($AU641:AU$1388,$Q641:Q$1388,"F")</f>
        <v>14346.133333333335</v>
      </c>
      <c r="BY640" s="343">
        <f>SUMIFS($AU641:AU$1388,$Q641:Q$1388,"S")</f>
        <v>14299.2</v>
      </c>
      <c r="BZ640" s="343">
        <f>SUMIFS($AU641:AU$1388,$Q641:Q$1388,"O")</f>
        <v>-1191.0979999997521</v>
      </c>
    </row>
    <row r="641" spans="1:78" ht="15.75" customHeight="1">
      <c r="A641" s="221" t="s">
        <v>2380</v>
      </c>
      <c r="B641" s="200">
        <v>45077</v>
      </c>
      <c r="C641" s="178" t="s">
        <v>2766</v>
      </c>
      <c r="D641" s="178" t="s">
        <v>151</v>
      </c>
      <c r="E641" s="227"/>
      <c r="F641" s="180"/>
      <c r="G641" s="279" t="s">
        <v>2617</v>
      </c>
      <c r="H641" s="182"/>
      <c r="I641" s="182"/>
      <c r="J641" s="182"/>
      <c r="K641" s="183"/>
      <c r="L641" s="182">
        <v>1</v>
      </c>
      <c r="M641" s="182"/>
      <c r="N641" s="182"/>
      <c r="O641" s="183" t="s">
        <v>95</v>
      </c>
      <c r="P641" s="183" t="s">
        <v>137</v>
      </c>
      <c r="Q641" s="183" t="s">
        <v>256</v>
      </c>
      <c r="R641" s="183">
        <v>7</v>
      </c>
      <c r="S641" s="183">
        <v>0</v>
      </c>
      <c r="T641" s="183">
        <v>7</v>
      </c>
      <c r="U641" s="183" t="s">
        <v>22</v>
      </c>
      <c r="V641" s="183"/>
      <c r="W641" s="183"/>
      <c r="X641" s="183"/>
      <c r="Y641" s="184">
        <f>IF(ISBLANK(O641),"",(IF(O641=UPPER("IB"),0.005,0.01)))</f>
        <v>0.01</v>
      </c>
      <c r="Z641" s="185">
        <f>IF(ISBLANK(O641),"",IF(O641="IB",8.63*200,IF(O641="IR",16*100,IF(O641="YT",20*100,IF(O641="YT-XT",24*200,IF(O641="TED",80*100))))))</f>
        <v>1600</v>
      </c>
      <c r="AA641" s="185"/>
      <c r="AB641" s="185"/>
      <c r="AC641" s="185" t="s">
        <v>2767</v>
      </c>
      <c r="AD641" s="649">
        <v>-0.02</v>
      </c>
      <c r="AE641" s="182"/>
      <c r="AF641" s="332" t="s">
        <v>2768</v>
      </c>
      <c r="AG641" s="182" t="s">
        <v>2769</v>
      </c>
      <c r="AH641" s="182" t="s">
        <v>2770</v>
      </c>
      <c r="AI641" s="182"/>
      <c r="AJ641" s="640"/>
      <c r="AK641" s="182"/>
      <c r="AL641" s="496">
        <f t="shared" ref="AL641" si="241">-0.02*Z641</f>
        <v>-32</v>
      </c>
      <c r="AM641" s="496">
        <f>AL641*(R641-S641)</f>
        <v>-224</v>
      </c>
      <c r="AN641" s="626" t="s">
        <v>2758</v>
      </c>
      <c r="AO641" s="182"/>
      <c r="AP641" s="182" t="s">
        <v>770</v>
      </c>
      <c r="AQ641" s="332" t="str">
        <f>UPPER(RIGHT(Journal_Live[[#This Row],[DURATION ]]))</f>
        <v>D</v>
      </c>
      <c r="AR641" s="182" t="s">
        <v>2771</v>
      </c>
      <c r="AS641" s="189">
        <v>-0.02</v>
      </c>
      <c r="AT641" s="189">
        <f>IF(ISBLANK(AS641),,IF(U641="S",AD641-AS641,AS641-AD641))</f>
        <v>0</v>
      </c>
      <c r="AU641" s="187">
        <f>AV641*R641</f>
        <v>0</v>
      </c>
      <c r="AV641" s="190">
        <f>IF(ISBLANK(AS641),,(AT641*Z641))</f>
        <v>0</v>
      </c>
      <c r="AW641" s="191" t="s">
        <v>115</v>
      </c>
      <c r="AX641" s="407"/>
      <c r="AY641" s="407"/>
      <c r="AZ641" s="407"/>
      <c r="BA641" s="407"/>
      <c r="BB641" s="407"/>
      <c r="BC641" s="407"/>
      <c r="BD641" s="407"/>
      <c r="BE641" s="407"/>
      <c r="BF641" s="422"/>
      <c r="BG641" s="391">
        <f>SUM($AV$4:AV641)</f>
        <v>3491.2641428571533</v>
      </c>
      <c r="BH641" s="392">
        <f>SUM($AU$134:AU641)</f>
        <v>6336.4153333332888</v>
      </c>
      <c r="BI641" s="318">
        <f>SUMIFS($AU$134:AU642,$Q$134:Q642,"F")</f>
        <v>94.533333333333104</v>
      </c>
      <c r="BJ641" s="318">
        <f>SUMIFS($AU$134:AU642,$Q$134:Q642,"S")</f>
        <v>6372.4419999999964</v>
      </c>
      <c r="BK641" s="343">
        <f>SUMIFS($AU$134:AU642,$P$134:P642,"W")</f>
        <v>6123.7419999999347</v>
      </c>
      <c r="BL641" s="343">
        <f>SUMIFS($AU$134:AU642,$P$134:P642,"R")</f>
        <v>164.67333333333482</v>
      </c>
      <c r="BM641" s="343">
        <f>SUMIFS($AU$134:AU642,$AQ$134:AQ642,"M")</f>
        <v>2053.3999999999719</v>
      </c>
      <c r="BN641" s="343">
        <f>SUMIFS($AU$134:AU642,$AQ$134:AQ642,"H")</f>
        <v>2924.252000000015</v>
      </c>
      <c r="BO641" s="343">
        <f>SUMIFS($AU$134:AU642,$AQ$134:AQ642,"D")</f>
        <v>-78.310000000000258</v>
      </c>
      <c r="BP641" s="343">
        <f>SUMIFS($AU$134:AU644,$AQ$134:AQ644,"W")</f>
        <v>462.63333333333321</v>
      </c>
      <c r="BQ641" s="343">
        <f>SUMIFS($AU$134:AU642,$Q$134:Q642,"O")</f>
        <v>-457.76000000004638</v>
      </c>
      <c r="BR641" s="343">
        <f>SUMIFS($AU$134:AU642,$AA$134:AA642,"*")</f>
        <v>7681.4753333333119</v>
      </c>
      <c r="BS641" s="343">
        <f>SUMIFS($AU$134:AU642,$AB$134:AB642,"*")</f>
        <v>1341.439999999976</v>
      </c>
      <c r="BT641" s="343">
        <f>SUMIFS($AU$134:AU642,$AC$134:AC642,"*")</f>
        <v>2703.6833333333316</v>
      </c>
      <c r="BU641" s="343">
        <f>SUMIFS($AU$134:AU642,$AA$134:AA642,"*",$AB$134:AB642,"*")</f>
        <v>402.00000000000495</v>
      </c>
      <c r="BV641" s="343">
        <f>SUMIFS($AU$134:AU642,$AA$134:AA642,"*",$AC$134:AC642,"*")</f>
        <v>3652.7833333333328</v>
      </c>
      <c r="BW641" s="343">
        <f>SUMIFS($AU$134:AU642,$AB$134:AB642,"*",$AC$134:AC642,"*")</f>
        <v>2382.6</v>
      </c>
      <c r="BX641" s="343">
        <f>SUMIFS($AU642:AU$1388,$Q642:Q$1388,"F")</f>
        <v>14346.133333333335</v>
      </c>
      <c r="BY641" s="343">
        <f>SUMIFS($AU642:AU$1388,$Q642:Q$1388,"S")</f>
        <v>14299.2</v>
      </c>
      <c r="BZ641" s="343">
        <f>SUMIFS($AU642:AU$1388,$Q642:Q$1388,"O")</f>
        <v>-1191.0979999997521</v>
      </c>
    </row>
    <row r="642" spans="1:78" ht="15.75" customHeight="1">
      <c r="A642" s="221" t="s">
        <v>2380</v>
      </c>
      <c r="B642" s="200">
        <v>45077</v>
      </c>
      <c r="C642" s="178" t="s">
        <v>1187</v>
      </c>
      <c r="D642" s="178" t="s">
        <v>151</v>
      </c>
      <c r="E642" s="227" t="s">
        <v>2772</v>
      </c>
      <c r="F642" s="180" t="s">
        <v>2712</v>
      </c>
      <c r="G642" s="181"/>
      <c r="H642" s="182">
        <v>1</v>
      </c>
      <c r="I642" s="182"/>
      <c r="J642" s="182"/>
      <c r="K642" s="183" t="s">
        <v>372</v>
      </c>
      <c r="L642" s="182"/>
      <c r="M642" s="182"/>
      <c r="N642" s="182"/>
      <c r="O642" s="183"/>
      <c r="P642" s="183"/>
      <c r="Q642" s="183"/>
      <c r="R642" s="183"/>
      <c r="S642" s="183"/>
      <c r="T642" s="183"/>
      <c r="U642" s="183"/>
      <c r="V642" s="183"/>
      <c r="W642" s="183"/>
      <c r="X642" s="183"/>
      <c r="Y642" s="274"/>
      <c r="Z642" s="183"/>
      <c r="AA642" s="185"/>
      <c r="AB642" s="185"/>
      <c r="AC642" s="185"/>
      <c r="AD642" s="649"/>
      <c r="AE642" s="182"/>
      <c r="AF642" s="332"/>
      <c r="AG642" s="182"/>
      <c r="AH642" s="182"/>
      <c r="AI642" s="182"/>
      <c r="AJ642" s="640"/>
      <c r="AK642" s="182"/>
      <c r="AL642" s="496"/>
      <c r="AM642" s="496"/>
      <c r="AN642" s="626"/>
      <c r="AO642" s="182"/>
      <c r="AP642" s="182"/>
      <c r="AQ642" s="332" t="str">
        <f>UPPER(RIGHT(Journal_Live[[#This Row],[DURATION ]]))</f>
        <v/>
      </c>
      <c r="AR642" s="182"/>
      <c r="AS642" s="189"/>
      <c r="AT642" s="189"/>
      <c r="AU642" s="187"/>
      <c r="AV642" s="190"/>
      <c r="AW642" s="191"/>
      <c r="AX642" s="407"/>
      <c r="AY642" s="407"/>
      <c r="AZ642" s="407"/>
      <c r="BA642" s="407"/>
      <c r="BB642" s="407"/>
      <c r="BC642" s="407"/>
      <c r="BD642" s="407"/>
      <c r="BE642" s="407"/>
      <c r="BF642" s="422"/>
      <c r="BG642" s="391">
        <f>SUM($AV$4:AV642)</f>
        <v>3491.2641428571533</v>
      </c>
      <c r="BH642" s="392">
        <f>SUM($AU$134:AU642)</f>
        <v>6336.4153333332888</v>
      </c>
      <c r="BI642" s="318">
        <f>SUMIFS($AU$134:AU643,$Q$134:Q643,"F")</f>
        <v>158.5333333333331</v>
      </c>
      <c r="BJ642" s="318">
        <f>SUMIFS($AU$134:AU643,$Q$134:Q643,"S")</f>
        <v>6372.4419999999964</v>
      </c>
      <c r="BK642" s="343">
        <f>SUMIFS($AU$134:AU643,$P$134:P643,"W")</f>
        <v>6187.7419999999347</v>
      </c>
      <c r="BL642" s="343">
        <f>SUMIFS($AU$134:AU643,$P$134:P643,"R")</f>
        <v>164.67333333333482</v>
      </c>
      <c r="BM642" s="343">
        <f>SUMIFS($AU$134:AU643,$AQ$134:AQ643,"M")</f>
        <v>2053.3999999999719</v>
      </c>
      <c r="BN642" s="343">
        <f>SUMIFS($AU$134:AU643,$AQ$134:AQ643,"H")</f>
        <v>2988.252000000015</v>
      </c>
      <c r="BO642" s="343">
        <f>SUMIFS($AU$134:AU643,$AQ$134:AQ643,"D")</f>
        <v>-78.310000000000258</v>
      </c>
      <c r="BP642" s="343">
        <f>SUMIFS($AU$134:AU645,$AQ$134:AQ645,"W")</f>
        <v>462.63333333333321</v>
      </c>
      <c r="BQ642" s="343">
        <f>SUMIFS($AU$134:AU643,$Q$134:Q643,"O")</f>
        <v>-457.76000000004638</v>
      </c>
      <c r="BR642" s="343">
        <f>SUMIFS($AU$134:AU643,$AA$134:AA643,"*")</f>
        <v>7681.4753333333119</v>
      </c>
      <c r="BS642" s="343">
        <f>SUMIFS($AU$134:AU643,$AB$134:AB643,"*")</f>
        <v>1341.439999999976</v>
      </c>
      <c r="BT642" s="343">
        <f>SUMIFS($AU$134:AU643,$AC$134:AC643,"*")</f>
        <v>2767.6833333333316</v>
      </c>
      <c r="BU642" s="343">
        <f>SUMIFS($AU$134:AU643,$AA$134:AA643,"*",$AB$134:AB643,"*")</f>
        <v>402.00000000000495</v>
      </c>
      <c r="BV642" s="343">
        <f>SUMIFS($AU$134:AU643,$AA$134:AA643,"*",$AC$134:AC643,"*")</f>
        <v>3652.7833333333328</v>
      </c>
      <c r="BW642" s="343">
        <f>SUMIFS($AU$134:AU643,$AB$134:AB643,"*",$AC$134:AC643,"*")</f>
        <v>2382.6</v>
      </c>
      <c r="BX642" s="343">
        <f>SUMIFS($AU643:AU$1388,$Q643:Q$1388,"F")</f>
        <v>14346.133333333335</v>
      </c>
      <c r="BY642" s="343">
        <f>SUMIFS($AU643:AU$1388,$Q643:Q$1388,"S")</f>
        <v>14299.2</v>
      </c>
      <c r="BZ642" s="343">
        <f>SUMIFS($AU643:AU$1388,$Q643:Q$1388,"O")</f>
        <v>-1191.0979999997521</v>
      </c>
    </row>
    <row r="643" spans="1:78" ht="15.75" customHeight="1">
      <c r="A643" s="221" t="s">
        <v>2380</v>
      </c>
      <c r="B643" s="200">
        <v>45077</v>
      </c>
      <c r="C643" s="178" t="s">
        <v>1187</v>
      </c>
      <c r="D643" s="178" t="s">
        <v>151</v>
      </c>
      <c r="E643" s="227"/>
      <c r="F643" s="180"/>
      <c r="G643" s="279" t="s">
        <v>2773</v>
      </c>
      <c r="H643" s="182"/>
      <c r="I643" s="182"/>
      <c r="J643" s="182"/>
      <c r="K643" s="183"/>
      <c r="L643" s="182">
        <v>1</v>
      </c>
      <c r="M643" s="182">
        <v>1</v>
      </c>
      <c r="N643" s="182"/>
      <c r="O643" s="183" t="s">
        <v>95</v>
      </c>
      <c r="P643" s="183" t="s">
        <v>96</v>
      </c>
      <c r="Q643" s="183" t="s">
        <v>256</v>
      </c>
      <c r="R643" s="183">
        <v>4</v>
      </c>
      <c r="S643" s="183">
        <v>0</v>
      </c>
      <c r="T643" s="183">
        <v>4</v>
      </c>
      <c r="U643" s="183" t="s">
        <v>22</v>
      </c>
      <c r="V643" s="183"/>
      <c r="W643" s="183"/>
      <c r="X643" s="183"/>
      <c r="Y643" s="184">
        <f>IF(ISBLANK(O643),"",(IF(O643=UPPER("IB"),0.005,0.01)))</f>
        <v>0.01</v>
      </c>
      <c r="Z643" s="185">
        <f>IF(ISBLANK(O643),"",IF(O643="IB",8.63*200,IF(O643="IR",16*100,IF(O643="YT",20*100,IF(O643="YT-XT",24*200,IF(O643="TED",80*100))))))</f>
        <v>1600</v>
      </c>
      <c r="AA643" s="185"/>
      <c r="AB643" s="185"/>
      <c r="AC643" s="185" t="s">
        <v>2774</v>
      </c>
      <c r="AD643" s="649">
        <v>0.01</v>
      </c>
      <c r="AE643" s="182"/>
      <c r="AF643" s="332"/>
      <c r="AG643" s="182"/>
      <c r="AH643" s="182"/>
      <c r="AI643" s="182"/>
      <c r="AJ643" s="640"/>
      <c r="AK643" s="182"/>
      <c r="AL643" s="496">
        <f t="shared" ref="AL643" si="242">-0.02*Z643</f>
        <v>-32</v>
      </c>
      <c r="AM643" s="496">
        <f>AL643*(R643-S643)</f>
        <v>-128</v>
      </c>
      <c r="AN643" s="626" t="s">
        <v>2758</v>
      </c>
      <c r="AO643" s="182"/>
      <c r="AP643" s="182" t="s">
        <v>1585</v>
      </c>
      <c r="AQ643" s="332" t="str">
        <f>UPPER(RIGHT(Journal_Live[[#This Row],[DURATION ]]))</f>
        <v>H</v>
      </c>
      <c r="AR643" s="182" t="s">
        <v>2775</v>
      </c>
      <c r="AS643" s="189">
        <v>0.02</v>
      </c>
      <c r="AT643" s="189">
        <f>IF(ISBLANK(AS643),,IF(U643="S",AD643-AS643,AS643-AD643))</f>
        <v>0.01</v>
      </c>
      <c r="AU643" s="187">
        <f>AV643*R643</f>
        <v>64</v>
      </c>
      <c r="AV643" s="190">
        <f>IF(ISBLANK(AS643),,(AT643*Z643))</f>
        <v>16</v>
      </c>
      <c r="AW643" s="191" t="s">
        <v>96</v>
      </c>
      <c r="AX643" s="407" t="s">
        <v>2776</v>
      </c>
      <c r="AY643" s="407" t="s">
        <v>2777</v>
      </c>
      <c r="AZ643" s="407"/>
      <c r="BA643" s="407"/>
      <c r="BB643" s="407"/>
      <c r="BC643" s="407"/>
      <c r="BD643" s="407"/>
      <c r="BE643" s="407"/>
      <c r="BF643" s="422"/>
      <c r="BG643" s="391">
        <f>SUM($AV$4:AV643)</f>
        <v>3507.2641428571533</v>
      </c>
      <c r="BH643" s="392">
        <f>SUM($AU$134:AU643)</f>
        <v>6400.4153333332888</v>
      </c>
      <c r="BI643" s="318">
        <f>SUMIFS($AU$134:AU644,$Q$134:Q644,"F")</f>
        <v>158.5333333333331</v>
      </c>
      <c r="BJ643" s="318">
        <f>SUMIFS($AU$134:AU644,$Q$134:Q644,"S")</f>
        <v>6372.4419999999964</v>
      </c>
      <c r="BK643" s="343">
        <f>SUMIFS($AU$134:AU644,$P$134:P644,"W")</f>
        <v>6187.7419999999347</v>
      </c>
      <c r="BL643" s="343">
        <f>SUMIFS($AU$134:AU644,$P$134:P644,"R")</f>
        <v>164.67333333333482</v>
      </c>
      <c r="BM643" s="343">
        <f>SUMIFS($AU$134:AU644,$AQ$134:AQ644,"M")</f>
        <v>2053.3999999999719</v>
      </c>
      <c r="BN643" s="343">
        <f>SUMIFS($AU$134:AU644,$AQ$134:AQ644,"H")</f>
        <v>2988.252000000015</v>
      </c>
      <c r="BO643" s="343">
        <f>SUMIFS($AU$134:AU644,$AQ$134:AQ644,"D")</f>
        <v>-78.310000000000258</v>
      </c>
      <c r="BP643" s="343">
        <f>SUMIFS($AU$134:AU646,$AQ$134:AQ646,"W")</f>
        <v>462.63333333333321</v>
      </c>
      <c r="BQ643" s="343">
        <f>SUMIFS($AU$134:AU644,$Q$134:Q644,"O")</f>
        <v>-457.76000000004638</v>
      </c>
      <c r="BR643" s="343">
        <f>SUMIFS($AU$134:AU644,$AA$134:AA644,"*")</f>
        <v>7681.4753333333119</v>
      </c>
      <c r="BS643" s="343">
        <f>SUMIFS($AU$134:AU644,$AB$134:AB644,"*")</f>
        <v>1341.439999999976</v>
      </c>
      <c r="BT643" s="343">
        <f>SUMIFS($AU$134:AU644,$AC$134:AC644,"*")</f>
        <v>2767.6833333333316</v>
      </c>
      <c r="BU643" s="343">
        <f>SUMIFS($AU$134:AU644,$AA$134:AA644,"*",$AB$134:AB644,"*")</f>
        <v>402.00000000000495</v>
      </c>
      <c r="BV643" s="343">
        <f>SUMIFS($AU$134:AU644,$AA$134:AA644,"*",$AC$134:AC644,"*")</f>
        <v>3652.7833333333328</v>
      </c>
      <c r="BW643" s="343">
        <f>SUMIFS($AU$134:AU644,$AB$134:AB644,"*",$AC$134:AC644,"*")</f>
        <v>2382.6</v>
      </c>
      <c r="BX643" s="343">
        <f>SUMIFS($AU644:AU$1388,$Q644:Q$1388,"F")</f>
        <v>14282.133333333335</v>
      </c>
      <c r="BY643" s="343">
        <f>SUMIFS($AU644:AU$1388,$Q644:Q$1388,"S")</f>
        <v>14299.2</v>
      </c>
      <c r="BZ643" s="343">
        <f>SUMIFS($AU644:AU$1388,$Q644:Q$1388,"O")</f>
        <v>-1191.0979999997521</v>
      </c>
    </row>
    <row r="644" spans="1:78" ht="15.75" customHeight="1">
      <c r="A644" s="221"/>
      <c r="B644" s="200"/>
      <c r="C644" s="178"/>
      <c r="D644" s="178"/>
      <c r="E644" s="227"/>
      <c r="F644" s="180"/>
      <c r="G644" s="181"/>
      <c r="H644" s="182"/>
      <c r="I644" s="182"/>
      <c r="J644" s="182"/>
      <c r="K644" s="183"/>
      <c r="L644" s="182"/>
      <c r="M644" s="182"/>
      <c r="N644" s="182"/>
      <c r="O644" s="183"/>
      <c r="P644" s="183"/>
      <c r="Q644" s="183"/>
      <c r="R644" s="183"/>
      <c r="S644" s="183"/>
      <c r="T644" s="183"/>
      <c r="U644" s="183"/>
      <c r="V644" s="183"/>
      <c r="W644" s="183"/>
      <c r="X644" s="183"/>
      <c r="Y644" s="184"/>
      <c r="Z644" s="185"/>
      <c r="AA644" s="185"/>
      <c r="AB644" s="185"/>
      <c r="AC644" s="185"/>
      <c r="AD644" s="649"/>
      <c r="AE644" s="182"/>
      <c r="AF644" s="332"/>
      <c r="AG644" s="182"/>
      <c r="AH644" s="182"/>
      <c r="AI644" s="182"/>
      <c r="AJ644" s="640"/>
      <c r="AK644" s="182"/>
      <c r="AL644" s="496"/>
      <c r="AM644" s="496"/>
      <c r="AN644" s="626"/>
      <c r="AO644" s="182"/>
      <c r="AP644" s="182"/>
      <c r="AQ644" s="332" t="str">
        <f>UPPER(RIGHT(Journal_Live[[#This Row],[DURATION ]]))</f>
        <v/>
      </c>
      <c r="AR644" s="182"/>
      <c r="AS644" s="189"/>
      <c r="AT644" s="189"/>
      <c r="AU644" s="187"/>
      <c r="AV644" s="190"/>
      <c r="AW644" s="191"/>
      <c r="AX644" s="407"/>
      <c r="AY644" s="407"/>
      <c r="AZ644" s="407"/>
      <c r="BA644" s="407"/>
      <c r="BB644" s="407"/>
      <c r="BC644" s="407"/>
      <c r="BD644" s="407"/>
      <c r="BE644" s="407"/>
      <c r="BF644" s="422"/>
      <c r="BG644" s="391">
        <f>SUM($AV$4:AV644)</f>
        <v>3507.2641428571533</v>
      </c>
      <c r="BH644" s="392">
        <f>SUM($AU$134:AU644)</f>
        <v>6400.4153333332888</v>
      </c>
      <c r="BI644" s="318">
        <f>SUMIFS($AU$134:AU645,$Q$134:Q645,"F")</f>
        <v>158.5333333333331</v>
      </c>
      <c r="BJ644" s="318">
        <f>SUMIFS($AU$134:AU645,$Q$134:Q645,"S")</f>
        <v>6372.4419999999964</v>
      </c>
      <c r="BK644" s="343">
        <f>SUMIFS($AU$134:AU645,$P$134:P645,"W")</f>
        <v>6187.7419999999347</v>
      </c>
      <c r="BL644" s="343">
        <f>SUMIFS($AU$134:AU645,$P$134:P645,"R")</f>
        <v>164.67333333333482</v>
      </c>
      <c r="BM644" s="343">
        <f>SUMIFS($AU$134:AU645,$AQ$134:AQ645,"M")</f>
        <v>2053.3999999999719</v>
      </c>
      <c r="BN644" s="343">
        <f>SUMIFS($AU$134:AU645,$AQ$134:AQ645,"H")</f>
        <v>2988.252000000015</v>
      </c>
      <c r="BO644" s="343">
        <f>SUMIFS($AU$134:AU645,$AQ$134:AQ645,"D")</f>
        <v>-78.310000000000258</v>
      </c>
      <c r="BP644" s="343">
        <f>SUMIFS($AU$134:AU647,$AQ$134:AQ647,"W")</f>
        <v>462.63333333333321</v>
      </c>
      <c r="BQ644" s="343">
        <f>SUMIFS($AU$134:AU645,$Q$134:Q645,"O")</f>
        <v>-457.76000000004638</v>
      </c>
      <c r="BR644" s="343">
        <f>SUMIFS($AU$134:AU645,$AA$134:AA645,"*")</f>
        <v>7681.4753333333119</v>
      </c>
      <c r="BS644" s="343">
        <f>SUMIFS($AU$134:AU645,$AB$134:AB645,"*")</f>
        <v>1341.439999999976</v>
      </c>
      <c r="BT644" s="343">
        <f>SUMIFS($AU$134:AU645,$AC$134:AC645,"*")</f>
        <v>2767.6833333333316</v>
      </c>
      <c r="BU644" s="343">
        <f>SUMIFS($AU$134:AU645,$AA$134:AA645,"*",$AB$134:AB645,"*")</f>
        <v>402.00000000000495</v>
      </c>
      <c r="BV644" s="343">
        <f>SUMIFS($AU$134:AU645,$AA$134:AA645,"*",$AC$134:AC645,"*")</f>
        <v>3652.7833333333328</v>
      </c>
      <c r="BW644" s="343">
        <f>SUMIFS($AU$134:AU645,$AB$134:AB645,"*",$AC$134:AC645,"*")</f>
        <v>2382.6</v>
      </c>
      <c r="BX644" s="343">
        <f>SUMIFS($AU645:AU$1388,$Q645:Q$1388,"F")</f>
        <v>14282.133333333335</v>
      </c>
      <c r="BY644" s="343">
        <f>SUMIFS($AU645:AU$1388,$Q645:Q$1388,"S")</f>
        <v>14299.2</v>
      </c>
      <c r="BZ644" s="343">
        <f>SUMIFS($AU645:AU$1388,$Q645:Q$1388,"O")</f>
        <v>-1191.0979999997521</v>
      </c>
    </row>
    <row r="645" spans="1:78" ht="15.75" customHeight="1">
      <c r="A645" s="221"/>
      <c r="B645" s="200"/>
      <c r="C645" s="178"/>
      <c r="D645" s="178"/>
      <c r="E645" s="227"/>
      <c r="F645" s="180"/>
      <c r="G645" s="181"/>
      <c r="H645" s="182"/>
      <c r="I645" s="182"/>
      <c r="J645" s="182"/>
      <c r="K645" s="183"/>
      <c r="L645" s="182"/>
      <c r="M645" s="182"/>
      <c r="N645" s="182"/>
      <c r="O645" s="183"/>
      <c r="P645" s="183"/>
      <c r="Q645" s="183"/>
      <c r="R645" s="183"/>
      <c r="S645" s="183"/>
      <c r="T645" s="183"/>
      <c r="U645" s="183"/>
      <c r="V645" s="183"/>
      <c r="W645" s="183"/>
      <c r="X645" s="183"/>
      <c r="Y645" s="183"/>
      <c r="Z645" s="185" t="str">
        <f>IF(ISBLANK(O645),"",IF(O645="IB",8.63*200,IF(O645="IR",16*100,IF(O645="YT",20*100,IF(O645="YT-XT",24*200,IF(O645="TED",80*100))))))</f>
        <v/>
      </c>
      <c r="AA645" s="185"/>
      <c r="AB645" s="185"/>
      <c r="AC645" s="185"/>
      <c r="AD645" s="649"/>
      <c r="AE645" s="182"/>
      <c r="AF645" s="332"/>
      <c r="AG645" s="182"/>
      <c r="AH645" s="182"/>
      <c r="AI645" s="182"/>
      <c r="AJ645" s="640"/>
      <c r="AK645" s="182"/>
      <c r="AL645" s="496"/>
      <c r="AM645" s="497"/>
      <c r="AN645" s="626"/>
      <c r="AO645" s="182"/>
      <c r="AP645" s="182"/>
      <c r="AQ645" s="332" t="str">
        <f>UPPER(RIGHT(Journal_Live[[#This Row],[DURATION ]]))</f>
        <v/>
      </c>
      <c r="AR645" s="182"/>
      <c r="AS645" s="189"/>
      <c r="AT645" s="189"/>
      <c r="AU645" s="187"/>
      <c r="AV645" s="190"/>
      <c r="AW645" s="191"/>
      <c r="AX645" s="417" t="s">
        <v>2393</v>
      </c>
      <c r="AY645" s="417" t="s">
        <v>2778</v>
      </c>
      <c r="AZ645" s="417" t="s">
        <v>2779</v>
      </c>
      <c r="BA645" s="417" t="s">
        <v>2780</v>
      </c>
      <c r="BB645" s="417" t="s">
        <v>2781</v>
      </c>
      <c r="BC645" s="417" t="s">
        <v>2782</v>
      </c>
      <c r="BD645" s="417" t="s">
        <v>2783</v>
      </c>
      <c r="BE645" s="417" t="s">
        <v>2784</v>
      </c>
      <c r="BF645" s="417" t="s">
        <v>2785</v>
      </c>
      <c r="BG645" s="391">
        <f>SUM($AV$4:AV645)</f>
        <v>3507.2641428571533</v>
      </c>
      <c r="BH645" s="392">
        <f>SUM($AU$134:AU645)</f>
        <v>6400.4153333332888</v>
      </c>
      <c r="BI645" s="318">
        <f>SUMIFS($AU$134:AU646,$Q$134:Q646,"F")</f>
        <v>158.5333333333331</v>
      </c>
      <c r="BJ645" s="318">
        <f>SUMIFS($AU$134:AU646,$Q$134:Q646,"S")</f>
        <v>6372.4419999999964</v>
      </c>
      <c r="BK645" s="343">
        <f>SUMIFS($AU$134:AU646,$P$134:P646,"W")</f>
        <v>6187.7419999999347</v>
      </c>
      <c r="BL645" s="343">
        <f>SUMIFS($AU$134:AU646,$P$134:P646,"R")</f>
        <v>164.67333333333482</v>
      </c>
      <c r="BM645" s="343">
        <f>SUMIFS($AU$134:AU646,$AQ$134:AQ646,"M")</f>
        <v>2053.3999999999719</v>
      </c>
      <c r="BN645" s="343">
        <f>SUMIFS($AU$134:AU646,$AQ$134:AQ646,"H")</f>
        <v>2988.252000000015</v>
      </c>
      <c r="BO645" s="343">
        <f>SUMIFS($AU$134:AU646,$AQ$134:AQ646,"D")</f>
        <v>-78.310000000000258</v>
      </c>
      <c r="BP645" s="343">
        <f>SUMIFS($AU$134:AU648,$AQ$134:AQ648,"W")</f>
        <v>462.63333333333321</v>
      </c>
      <c r="BQ645" s="343">
        <f>SUMIFS($AU$134:AU646,$Q$134:Q646,"O")</f>
        <v>-457.76000000004638</v>
      </c>
      <c r="BR645" s="343">
        <f>SUMIFS($AU$134:AU646,$AA$134:AA646,"*")</f>
        <v>7681.4753333333119</v>
      </c>
      <c r="BS645" s="343">
        <f>SUMIFS($AU$134:AU646,$AB$134:AB646,"*")</f>
        <v>1341.439999999976</v>
      </c>
      <c r="BT645" s="343">
        <f>SUMIFS($AU$134:AU646,$AC$134:AC646,"*")</f>
        <v>2767.6833333333316</v>
      </c>
      <c r="BU645" s="343">
        <f>SUMIFS($AU$134:AU646,$AA$134:AA646,"*",$AB$134:AB646,"*")</f>
        <v>402.00000000000495</v>
      </c>
      <c r="BV645" s="343">
        <f>SUMIFS($AU$134:AU646,$AA$134:AA646,"*",$AC$134:AC646,"*")</f>
        <v>3652.7833333333328</v>
      </c>
      <c r="BW645" s="343">
        <f>SUMIFS($AU$134:AU646,$AB$134:AB646,"*",$AC$134:AC646,"*")</f>
        <v>2382.6</v>
      </c>
      <c r="BX645" s="343">
        <f>SUMIFS($AU646:AU$1388,$Q646:Q$1388,"F")</f>
        <v>14282.133333333335</v>
      </c>
      <c r="BY645" s="343">
        <f>SUMIFS($AU646:AU$1388,$Q646:Q$1388,"S")</f>
        <v>14299.2</v>
      </c>
      <c r="BZ645" s="343">
        <f>SUMIFS($AU646:AU$1388,$Q646:Q$1388,"O")</f>
        <v>-1191.0979999997521</v>
      </c>
    </row>
    <row r="646" spans="1:78" ht="15.75" customHeight="1">
      <c r="A646" s="177"/>
      <c r="B646" s="200"/>
      <c r="C646" s="178"/>
      <c r="D646" s="178"/>
      <c r="E646" s="227"/>
      <c r="F646" s="180"/>
      <c r="G646" s="181"/>
      <c r="H646" s="182"/>
      <c r="I646" s="182"/>
      <c r="J646" s="182"/>
      <c r="K646" s="183"/>
      <c r="L646" s="182"/>
      <c r="M646" s="182"/>
      <c r="N646" s="182"/>
      <c r="O646" s="183"/>
      <c r="P646" s="183"/>
      <c r="Q646" s="183"/>
      <c r="R646" s="183"/>
      <c r="S646" s="183"/>
      <c r="T646" s="183"/>
      <c r="U646" s="183"/>
      <c r="V646" s="183"/>
      <c r="W646" s="183"/>
      <c r="X646" s="183"/>
      <c r="Y646" s="183"/>
      <c r="Z646" s="183"/>
      <c r="AA646" s="185"/>
      <c r="AB646" s="185"/>
      <c r="AC646" s="185"/>
      <c r="AD646" s="649"/>
      <c r="AE646" s="182"/>
      <c r="AF646" s="332"/>
      <c r="AG646" s="182"/>
      <c r="AH646" s="182"/>
      <c r="AI646" s="182"/>
      <c r="AJ646" s="640"/>
      <c r="AK646" s="182"/>
      <c r="AL646" s="496"/>
      <c r="AM646" s="497"/>
      <c r="AN646" s="626"/>
      <c r="AO646" s="182"/>
      <c r="AP646" s="182"/>
      <c r="AQ646" s="332" t="str">
        <f>UPPER(RIGHT(Journal_Live[[#This Row],[DURATION ]]))</f>
        <v/>
      </c>
      <c r="AR646" s="182"/>
      <c r="AS646" s="189"/>
      <c r="AT646" s="189"/>
      <c r="AU646" s="187"/>
      <c r="AV646" s="190"/>
      <c r="AW646" s="191"/>
      <c r="AX646" s="417" t="s">
        <v>2786</v>
      </c>
      <c r="AY646" s="417" t="s">
        <v>2787</v>
      </c>
      <c r="AZ646" s="417" t="s">
        <v>2788</v>
      </c>
      <c r="BA646" s="417" t="s">
        <v>2789</v>
      </c>
      <c r="BB646" s="417" t="s">
        <v>2790</v>
      </c>
      <c r="BC646" s="417" t="s">
        <v>2791</v>
      </c>
      <c r="BD646" s="417" t="s">
        <v>2792</v>
      </c>
      <c r="BE646" s="417" t="s">
        <v>2793</v>
      </c>
      <c r="BF646" s="305" t="s">
        <v>2794</v>
      </c>
      <c r="BG646" s="391">
        <f>SUM($AV$4:AV646)</f>
        <v>3507.2641428571533</v>
      </c>
      <c r="BH646" s="392">
        <f>SUM($AU$134:AU646)</f>
        <v>6400.4153333332888</v>
      </c>
      <c r="BI646" s="318">
        <f>SUMIFS($AU$134:AU647,$Q$134:Q647,"F")</f>
        <v>158.5333333333331</v>
      </c>
      <c r="BJ646" s="318">
        <f>SUMIFS($AU$134:AU647,$Q$134:Q647,"S")</f>
        <v>6372.4419999999964</v>
      </c>
      <c r="BK646" s="343">
        <f>SUMIFS($AU$134:AU647,$P$134:P647,"W")</f>
        <v>6187.7419999999347</v>
      </c>
      <c r="BL646" s="343">
        <f>SUMIFS($AU$134:AU647,$P$134:P647,"R")</f>
        <v>164.67333333333482</v>
      </c>
      <c r="BM646" s="343">
        <f>SUMIFS($AU$134:AU647,$AQ$134:AQ647,"M")</f>
        <v>2053.3999999999719</v>
      </c>
      <c r="BN646" s="343">
        <f>SUMIFS($AU$134:AU647,$AQ$134:AQ647,"H")</f>
        <v>2988.252000000015</v>
      </c>
      <c r="BO646" s="343">
        <f>SUMIFS($AU$134:AU647,$AQ$134:AQ647,"D")</f>
        <v>-78.310000000000258</v>
      </c>
      <c r="BP646" s="343">
        <f>SUMIFS($AU$134:AU649,$AQ$134:AQ649,"W")</f>
        <v>462.63333333333321</v>
      </c>
      <c r="BQ646" s="343">
        <f>SUMIFS($AU$134:AU647,$Q$134:Q647,"O")</f>
        <v>-457.76000000004638</v>
      </c>
      <c r="BR646" s="343">
        <f>SUMIFS($AU$134:AU647,$AA$134:AA647,"*")</f>
        <v>7681.4753333333119</v>
      </c>
      <c r="BS646" s="343">
        <f>SUMIFS($AU$134:AU647,$AB$134:AB647,"*")</f>
        <v>1341.439999999976</v>
      </c>
      <c r="BT646" s="343">
        <f>SUMIFS($AU$134:AU647,$AC$134:AC647,"*")</f>
        <v>2767.6833333333316</v>
      </c>
      <c r="BU646" s="343">
        <f>SUMIFS($AU$134:AU647,$AA$134:AA647,"*",$AB$134:AB647,"*")</f>
        <v>402.00000000000495</v>
      </c>
      <c r="BV646" s="343">
        <f>SUMIFS($AU$134:AU647,$AA$134:AA647,"*",$AC$134:AC647,"*")</f>
        <v>3652.7833333333328</v>
      </c>
      <c r="BW646" s="343">
        <f>SUMIFS($AU$134:AU647,$AB$134:AB647,"*",$AC$134:AC647,"*")</f>
        <v>2382.6</v>
      </c>
      <c r="BX646" s="343">
        <f>SUMIFS($AU647:AU$1388,$Q647:Q$1388,"F")</f>
        <v>14282.133333333335</v>
      </c>
      <c r="BY646" s="343">
        <f>SUMIFS($AU647:AU$1388,$Q647:Q$1388,"S")</f>
        <v>14299.2</v>
      </c>
      <c r="BZ646" s="343">
        <f>SUMIFS($AU647:AU$1388,$Q647:Q$1388,"O")</f>
        <v>-1191.0979999997521</v>
      </c>
    </row>
    <row r="647" spans="1:78" ht="15.75" customHeight="1">
      <c r="A647" s="177"/>
      <c r="B647" s="200"/>
      <c r="C647" s="178"/>
      <c r="D647" s="178"/>
      <c r="E647" s="227"/>
      <c r="F647" s="180"/>
      <c r="G647" s="181"/>
      <c r="H647" s="182"/>
      <c r="I647" s="182"/>
      <c r="J647" s="182"/>
      <c r="K647" s="183"/>
      <c r="L647" s="182"/>
      <c r="M647" s="182"/>
      <c r="N647" s="182"/>
      <c r="O647" s="183"/>
      <c r="P647" s="183"/>
      <c r="Q647" s="183"/>
      <c r="R647" s="183"/>
      <c r="S647" s="183"/>
      <c r="T647" s="183"/>
      <c r="U647" s="183"/>
      <c r="V647" s="183"/>
      <c r="W647" s="183"/>
      <c r="X647" s="183"/>
      <c r="Y647" s="183"/>
      <c r="Z647" s="183"/>
      <c r="AA647" s="185"/>
      <c r="AB647" s="185"/>
      <c r="AC647" s="185"/>
      <c r="AD647" s="649"/>
      <c r="AE647" s="182"/>
      <c r="AF647" s="332"/>
      <c r="AG647" s="182"/>
      <c r="AH647" s="182"/>
      <c r="AI647" s="182"/>
      <c r="AJ647" s="640"/>
      <c r="AK647" s="182"/>
      <c r="AL647" s="496"/>
      <c r="AM647" s="497"/>
      <c r="AN647" s="626"/>
      <c r="AO647" s="182"/>
      <c r="AP647" s="182"/>
      <c r="AQ647" s="332" t="str">
        <f>UPPER(RIGHT(Journal_Live[[#This Row],[DURATION ]]))</f>
        <v/>
      </c>
      <c r="AR647" s="182"/>
      <c r="AS647" s="189"/>
      <c r="AT647" s="189"/>
      <c r="AU647" s="187"/>
      <c r="AV647" s="190"/>
      <c r="AW647" s="191"/>
      <c r="AX647" s="417" t="s">
        <v>2794</v>
      </c>
      <c r="AY647" s="417" t="s">
        <v>2795</v>
      </c>
      <c r="AZ647" s="417" t="s">
        <v>2697</v>
      </c>
      <c r="BA647" s="417" t="s">
        <v>2796</v>
      </c>
      <c r="BB647" s="417"/>
      <c r="BC647" s="417"/>
      <c r="BD647" s="417"/>
      <c r="BE647" s="435"/>
      <c r="BF647" s="422"/>
      <c r="BG647" s="391">
        <f>SUM($AV$4:AV647)</f>
        <v>3507.2641428571533</v>
      </c>
      <c r="BH647" s="392">
        <f>SUM($AU$134:AU647)</f>
        <v>6400.4153333332888</v>
      </c>
      <c r="BI647" s="318">
        <f>SUMIFS($AU$134:AU648,$Q$134:Q648,"F")</f>
        <v>158.5333333333331</v>
      </c>
      <c r="BJ647" s="318">
        <f>SUMIFS($AU$134:AU648,$Q$134:Q648,"S")</f>
        <v>6372.4419999999964</v>
      </c>
      <c r="BK647" s="343">
        <f>SUMIFS($AU$134:AU648,$P$134:P648,"W")</f>
        <v>6187.7419999999347</v>
      </c>
      <c r="BL647" s="343">
        <f>SUMIFS($AU$134:AU648,$P$134:P648,"R")</f>
        <v>164.67333333333482</v>
      </c>
      <c r="BM647" s="343">
        <f>SUMIFS($AU$134:AU648,$AQ$134:AQ648,"M")</f>
        <v>2053.3999999999719</v>
      </c>
      <c r="BN647" s="343">
        <f>SUMIFS($AU$134:AU648,$AQ$134:AQ648,"H")</f>
        <v>2988.252000000015</v>
      </c>
      <c r="BO647" s="343">
        <f>SUMIFS($AU$134:AU648,$AQ$134:AQ648,"D")</f>
        <v>-78.310000000000258</v>
      </c>
      <c r="BP647" s="343">
        <f>SUMIFS($AU$134:AU650,$AQ$134:AQ650,"W")</f>
        <v>462.63333333333321</v>
      </c>
      <c r="BQ647" s="343">
        <f>SUMIFS($AU$134:AU648,$Q$134:Q648,"O")</f>
        <v>-457.76000000004638</v>
      </c>
      <c r="BR647" s="343">
        <f>SUMIFS($AU$134:AU648,$AA$134:AA648,"*")</f>
        <v>7681.4753333333119</v>
      </c>
      <c r="BS647" s="343">
        <f>SUMIFS($AU$134:AU648,$AB$134:AB648,"*")</f>
        <v>1341.439999999976</v>
      </c>
      <c r="BT647" s="343">
        <f>SUMIFS($AU$134:AU648,$AC$134:AC648,"*")</f>
        <v>2767.6833333333316</v>
      </c>
      <c r="BU647" s="343">
        <f>SUMIFS($AU$134:AU648,$AA$134:AA648,"*",$AB$134:AB648,"*")</f>
        <v>402.00000000000495</v>
      </c>
      <c r="BV647" s="343">
        <f>SUMIFS($AU$134:AU648,$AA$134:AA648,"*",$AC$134:AC648,"*")</f>
        <v>3652.7833333333328</v>
      </c>
      <c r="BW647" s="343">
        <f>SUMIFS($AU$134:AU648,$AB$134:AB648,"*",$AC$134:AC648,"*")</f>
        <v>2382.6</v>
      </c>
      <c r="BX647" s="343">
        <f>SUMIFS($AU648:AU$1388,$Q648:Q$1388,"F")</f>
        <v>14282.133333333335</v>
      </c>
      <c r="BY647" s="343">
        <f>SUMIFS($AU648:AU$1388,$Q648:Q$1388,"S")</f>
        <v>14299.2</v>
      </c>
      <c r="BZ647" s="343">
        <f>SUMIFS($AU648:AU$1388,$Q648:Q$1388,"O")</f>
        <v>-1191.0979999997521</v>
      </c>
    </row>
    <row r="648" spans="1:78" ht="15.75" customHeight="1">
      <c r="A648" s="273" t="s">
        <v>2797</v>
      </c>
      <c r="B648" s="273"/>
      <c r="C648" s="214"/>
      <c r="D648" s="214"/>
      <c r="E648" s="215"/>
      <c r="F648" s="216"/>
      <c r="G648" s="214"/>
      <c r="H648" s="214"/>
      <c r="I648" s="214"/>
      <c r="J648" s="214"/>
      <c r="K648" s="217"/>
      <c r="L648" s="214"/>
      <c r="M648" s="214"/>
      <c r="N648" s="214"/>
      <c r="O648" s="217"/>
      <c r="P648" s="217"/>
      <c r="Q648" s="217"/>
      <c r="R648" s="217"/>
      <c r="S648" s="217"/>
      <c r="T648" s="217"/>
      <c r="U648" s="217"/>
      <c r="V648" s="217"/>
      <c r="W648" s="217"/>
      <c r="X648" s="217"/>
      <c r="Y648" s="218" t="str">
        <f>IF(ISBLANK(O648),"",(IF(O648=UPPER("IB"),0.005,0.01)))</f>
        <v/>
      </c>
      <c r="Z648" s="218" t="str">
        <f t="shared" ref="Z648:Z659" si="243">IF(ISBLANK(O648),"",IF(O648="IB",8.63*200,IF(O648="IR",16*100,IF(O648="YT",20*100,IF(O648="YT-XT",24*200,IF(O648="TED",80*100))))))</f>
        <v/>
      </c>
      <c r="AA648" s="218"/>
      <c r="AB648" s="218"/>
      <c r="AC648" s="218"/>
      <c r="AD648" s="651"/>
      <c r="AE648" s="214"/>
      <c r="AF648" s="347"/>
      <c r="AG648" s="343"/>
      <c r="AH648" s="214"/>
      <c r="AI648" s="214"/>
      <c r="AJ648" s="642"/>
      <c r="AK648" s="214"/>
      <c r="AL648" s="502"/>
      <c r="AM648" s="502"/>
      <c r="AN648" s="628"/>
      <c r="AO648" s="214"/>
      <c r="AP648" s="214"/>
      <c r="AQ648" s="334" t="str">
        <f>UPPER(RIGHT(Journal_Live[[#This Row],[DURATION ]]))</f>
        <v/>
      </c>
      <c r="AR648" s="214"/>
      <c r="AS648" s="214"/>
      <c r="AT648" s="214"/>
      <c r="AU648" s="214"/>
      <c r="AV648" s="214"/>
      <c r="AW648" s="220"/>
      <c r="AX648" s="414"/>
      <c r="AY648" s="414"/>
      <c r="AZ648" s="414"/>
      <c r="BA648" s="414"/>
      <c r="BB648" s="414"/>
      <c r="BC648" s="414"/>
      <c r="BD648" s="414"/>
      <c r="BE648" s="414"/>
      <c r="BF648" s="414"/>
      <c r="BG648" s="391">
        <f>SUM($AV$4:AV648)</f>
        <v>3507.2641428571533</v>
      </c>
      <c r="BH648" s="392">
        <f>SUM($AU$134:AU648)</f>
        <v>6400.4153333332888</v>
      </c>
      <c r="BI648" s="318">
        <f>SUMIFS($AU$134:AU649,$Q$134:Q649,"F")</f>
        <v>158.5333333333331</v>
      </c>
      <c r="BJ648" s="318">
        <f>SUMIFS($AU$134:AU649,$Q$134:Q649,"S")</f>
        <v>6372.4419999999964</v>
      </c>
      <c r="BK648" s="343">
        <f>SUMIFS($AU$134:AU649,$P$134:P649,"W")</f>
        <v>6187.7419999999347</v>
      </c>
      <c r="BL648" s="343">
        <f>SUMIFS($AU$134:AU649,$P$134:P649,"R")</f>
        <v>164.67333333333482</v>
      </c>
      <c r="BM648" s="343">
        <f>SUMIFS($AU$134:AU649,$AQ$134:AQ649,"M")</f>
        <v>2053.3999999999719</v>
      </c>
      <c r="BN648" s="343">
        <f>SUMIFS($AU$134:AU649,$AQ$134:AQ649,"H")</f>
        <v>2988.252000000015</v>
      </c>
      <c r="BO648" s="343">
        <f>SUMIFS($AU$134:AU649,$AQ$134:AQ649,"D")</f>
        <v>-78.310000000000258</v>
      </c>
      <c r="BP648" s="343">
        <f>SUMIFS($AU$134:AU651,$AQ$134:AQ651,"W")</f>
        <v>462.63333333333321</v>
      </c>
      <c r="BQ648" s="343">
        <f>SUMIFS($AU$134:AU649,$Q$134:Q649,"O")</f>
        <v>-457.76000000004638</v>
      </c>
      <c r="BR648" s="343">
        <f>SUMIFS($AU$134:AU649,$AA$134:AA649,"*")</f>
        <v>7681.4753333333119</v>
      </c>
      <c r="BS648" s="343">
        <f>SUMIFS($AU$134:AU649,$AB$134:AB649,"*")</f>
        <v>1341.439999999976</v>
      </c>
      <c r="BT648" s="343">
        <f>SUMIFS($AU$134:AU649,$AC$134:AC649,"*")</f>
        <v>2767.6833333333316</v>
      </c>
      <c r="BU648" s="343">
        <f>SUMIFS($AU$134:AU649,$AA$134:AA649,"*",$AB$134:AB649,"*")</f>
        <v>402.00000000000495</v>
      </c>
      <c r="BV648" s="343">
        <f>SUMIFS($AU$134:AU649,$AA$134:AA649,"*",$AC$134:AC649,"*")</f>
        <v>3652.7833333333328</v>
      </c>
      <c r="BW648" s="343">
        <f>SUMIFS($AU$134:AU649,$AB$134:AB649,"*",$AC$134:AC649,"*")</f>
        <v>2382.6</v>
      </c>
      <c r="BX648" s="343">
        <f>SUMIFS($AU649:AU$1388,$Q649:Q$1388,"F")</f>
        <v>14282.133333333335</v>
      </c>
      <c r="BY648" s="343">
        <f>SUMIFS($AU649:AU$1388,$Q649:Q$1388,"S")</f>
        <v>14299.2</v>
      </c>
      <c r="BZ648" s="343">
        <f>SUMIFS($AU649:AU$1388,$Q649:Q$1388,"O")</f>
        <v>-1191.0979999997521</v>
      </c>
    </row>
    <row r="649" spans="1:78" ht="15.75" customHeight="1">
      <c r="A649" s="221" t="s">
        <v>2798</v>
      </c>
      <c r="B649" s="200">
        <v>45078</v>
      </c>
      <c r="C649" s="178" t="s">
        <v>2799</v>
      </c>
      <c r="D649" s="178" t="s">
        <v>93</v>
      </c>
      <c r="E649" s="227"/>
      <c r="F649" s="180"/>
      <c r="G649" s="281" t="s">
        <v>1685</v>
      </c>
      <c r="H649" s="182"/>
      <c r="I649" s="182"/>
      <c r="J649" s="182"/>
      <c r="K649" s="183"/>
      <c r="L649" s="182"/>
      <c r="M649" s="182"/>
      <c r="N649" s="182"/>
      <c r="O649" s="183" t="s">
        <v>95</v>
      </c>
      <c r="P649" s="183" t="s">
        <v>96</v>
      </c>
      <c r="Q649" s="183" t="s">
        <v>256</v>
      </c>
      <c r="R649" s="183">
        <v>1</v>
      </c>
      <c r="S649" s="183">
        <v>0</v>
      </c>
      <c r="T649" s="183">
        <v>1</v>
      </c>
      <c r="U649" s="183" t="s">
        <v>97</v>
      </c>
      <c r="V649" s="183"/>
      <c r="W649" s="183"/>
      <c r="X649" s="183"/>
      <c r="Y649" s="184">
        <f>IF(ISBLANK(O649),"",(IF(O649=UPPER("IB"),0.005,0.01)))</f>
        <v>0.01</v>
      </c>
      <c r="Z649" s="185">
        <f t="shared" si="243"/>
        <v>1600</v>
      </c>
      <c r="AA649" s="185"/>
      <c r="AB649" s="185"/>
      <c r="AC649" s="185"/>
      <c r="AD649" s="649">
        <v>0.02</v>
      </c>
      <c r="AE649" s="182"/>
      <c r="AF649" s="332"/>
      <c r="AG649" s="182"/>
      <c r="AH649" s="182"/>
      <c r="AI649" s="182"/>
      <c r="AJ649" s="640"/>
      <c r="AK649" s="182"/>
      <c r="AL649" s="496">
        <f t="shared" ref="AL649" si="244">-0.02*Z649</f>
        <v>-32</v>
      </c>
      <c r="AM649" s="496">
        <f>AL649*(R649-S649)</f>
        <v>-32</v>
      </c>
      <c r="AN649" s="626" t="s">
        <v>2800</v>
      </c>
      <c r="AO649" s="182"/>
      <c r="AP649" s="182" t="s">
        <v>1026</v>
      </c>
      <c r="AQ649" s="332" t="str">
        <f>UPPER(RIGHT(Journal_Live[[#This Row],[DURATION ]]))</f>
        <v>H</v>
      </c>
      <c r="AR649" s="182" t="s">
        <v>2801</v>
      </c>
      <c r="AS649" s="189">
        <v>0.02</v>
      </c>
      <c r="AT649" s="189">
        <f>IF(ISBLANK(AS649),,IF(U649="S",AD649-AS649,AS649-AD649))</f>
        <v>0</v>
      </c>
      <c r="AU649" s="187">
        <f>AV649*R649</f>
        <v>0</v>
      </c>
      <c r="AV649" s="190">
        <f>IF(ISBLANK(AS649),,(AT649*Z649))</f>
        <v>0</v>
      </c>
      <c r="AW649" s="191" t="s">
        <v>115</v>
      </c>
      <c r="AX649" s="407"/>
      <c r="AY649" s="407"/>
      <c r="AZ649" s="407"/>
      <c r="BA649" s="407"/>
      <c r="BB649" s="407"/>
      <c r="BC649" s="407"/>
      <c r="BD649" s="407"/>
      <c r="BE649" s="407"/>
      <c r="BF649" s="422"/>
      <c r="BG649" s="391"/>
      <c r="BH649" s="392">
        <f>SUM($AU$134:AU649)</f>
        <v>6400.4153333332888</v>
      </c>
      <c r="BI649" s="318">
        <f>SUMIFS($AU$134:AU650,$Q$134:Q650,"F")</f>
        <v>158.5333333333331</v>
      </c>
      <c r="BJ649" s="318">
        <f>SUMIFS($AU$134:AU650,$Q$134:Q650,"S")</f>
        <v>6372.4419999999964</v>
      </c>
      <c r="BK649" s="343">
        <f>SUMIFS($AU$134:AU650,$P$134:P650,"W")</f>
        <v>6187.7419999999347</v>
      </c>
      <c r="BL649" s="343">
        <f>SUMIFS($AU$134:AU650,$P$134:P650,"R")</f>
        <v>164.67333333333482</v>
      </c>
      <c r="BM649" s="343">
        <f>SUMIFS($AU$134:AU650,$AQ$134:AQ650,"M")</f>
        <v>2053.3999999999719</v>
      </c>
      <c r="BN649" s="343">
        <f>SUMIFS($AU$134:AU650,$AQ$134:AQ650,"H")</f>
        <v>2988.252000000015</v>
      </c>
      <c r="BO649" s="343">
        <f>SUMIFS($AU$134:AU650,$AQ$134:AQ650,"D")</f>
        <v>-78.310000000000258</v>
      </c>
      <c r="BP649" s="343">
        <f>SUMIFS($AU$134:AU652,$AQ$134:AQ652,"W")</f>
        <v>462.63333333333321</v>
      </c>
      <c r="BQ649" s="343">
        <f>SUMIFS($AU$134:AU650,$Q$134:Q650,"O")</f>
        <v>-457.76000000004638</v>
      </c>
      <c r="BR649" s="343">
        <f>SUMIFS($AU$134:AU650,$AA$134:AA650,"*")</f>
        <v>7681.4753333333119</v>
      </c>
      <c r="BS649" s="343">
        <f>SUMIFS($AU$134:AU650,$AB$134:AB650,"*")</f>
        <v>1341.439999999976</v>
      </c>
      <c r="BT649" s="343">
        <f>SUMIFS($AU$134:AU650,$AC$134:AC650,"*")</f>
        <v>2767.6833333333316</v>
      </c>
      <c r="BU649" s="343">
        <f>SUMIFS($AU$134:AU650,$AA$134:AA650,"*",$AB$134:AB650,"*")</f>
        <v>402.00000000000495</v>
      </c>
      <c r="BV649" s="343">
        <f>SUMIFS($AU$134:AU650,$AA$134:AA650,"*",$AC$134:AC650,"*")</f>
        <v>3652.7833333333328</v>
      </c>
      <c r="BW649" s="343">
        <f>SUMIFS($AU$134:AU650,$AB$134:AB650,"*",$AC$134:AC650,"*")</f>
        <v>2382.6</v>
      </c>
      <c r="BX649" s="343">
        <f>SUMIFS($AU650:AU$1388,$Q650:Q$1388,"F")</f>
        <v>14282.133333333335</v>
      </c>
      <c r="BY649" s="343">
        <f>SUMIFS($AU650:AU$1388,$Q650:Q$1388,"S")</f>
        <v>14299.2</v>
      </c>
      <c r="BZ649" s="343">
        <f>SUMIFS($AU650:AU$1388,$Q650:Q$1388,"O")</f>
        <v>-1191.0979999997521</v>
      </c>
    </row>
    <row r="650" spans="1:78" ht="15.75" customHeight="1">
      <c r="A650" s="221" t="s">
        <v>2798</v>
      </c>
      <c r="B650" s="200">
        <v>45078</v>
      </c>
      <c r="C650" s="178" t="s">
        <v>2407</v>
      </c>
      <c r="D650" s="178" t="s">
        <v>93</v>
      </c>
      <c r="E650" s="227" t="s">
        <v>2802</v>
      </c>
      <c r="F650" s="180"/>
      <c r="G650" s="181"/>
      <c r="H650" s="182"/>
      <c r="I650" s="182"/>
      <c r="J650" s="182">
        <v>1</v>
      </c>
      <c r="K650" s="183" t="s">
        <v>115</v>
      </c>
      <c r="L650" s="182"/>
      <c r="M650" s="182"/>
      <c r="N650" s="182"/>
      <c r="O650" s="183"/>
      <c r="P650" s="183"/>
      <c r="Q650" s="183"/>
      <c r="R650" s="183"/>
      <c r="S650" s="183"/>
      <c r="T650" s="183"/>
      <c r="U650" s="183"/>
      <c r="V650" s="183"/>
      <c r="W650" s="183"/>
      <c r="X650" s="183"/>
      <c r="Y650" s="183"/>
      <c r="Z650" s="185" t="str">
        <f t="shared" si="243"/>
        <v/>
      </c>
      <c r="AA650" s="185"/>
      <c r="AB650" s="185"/>
      <c r="AC650" s="185"/>
      <c r="AD650" s="649"/>
      <c r="AE650" s="182"/>
      <c r="AF650" s="332"/>
      <c r="AG650" s="182"/>
      <c r="AH650" s="182"/>
      <c r="AI650" s="182"/>
      <c r="AJ650" s="640"/>
      <c r="AK650" s="182"/>
      <c r="AL650" s="496"/>
      <c r="AM650" s="496"/>
      <c r="AN650" s="626"/>
      <c r="AO650" s="182"/>
      <c r="AP650" s="182"/>
      <c r="AQ650" s="332" t="str">
        <f>UPPER(RIGHT(Journal_Live[[#This Row],[DURATION ]]))</f>
        <v/>
      </c>
      <c r="AR650" s="182"/>
      <c r="AS650" s="189"/>
      <c r="AT650" s="189"/>
      <c r="AU650" s="187"/>
      <c r="AV650" s="190"/>
      <c r="AW650" s="191"/>
      <c r="AX650" s="407" t="s">
        <v>2803</v>
      </c>
      <c r="AY650" s="407"/>
      <c r="AZ650" s="407"/>
      <c r="BA650" s="407"/>
      <c r="BB650" s="407"/>
      <c r="BC650" s="407"/>
      <c r="BD650" s="407"/>
      <c r="BE650" s="407"/>
      <c r="BF650" s="422"/>
      <c r="BG650" s="391">
        <f>SUM($AV$4:AV650)</f>
        <v>3507.2641428571533</v>
      </c>
      <c r="BH650" s="392">
        <f>SUM($AU$134:AU650)</f>
        <v>6400.4153333332888</v>
      </c>
      <c r="BI650" s="318">
        <f>SUMIFS($AU$134:AU651,$Q$134:Q651,"F")</f>
        <v>158.5333333333331</v>
      </c>
      <c r="BJ650" s="318">
        <f>SUMIFS($AU$134:AU651,$Q$134:Q651,"S")</f>
        <v>6372.4419999999964</v>
      </c>
      <c r="BK650" s="343">
        <f>SUMIFS($AU$134:AU651,$P$134:P651,"W")</f>
        <v>6187.7419999999347</v>
      </c>
      <c r="BL650" s="343">
        <f>SUMIFS($AU$134:AU651,$P$134:P651,"R")</f>
        <v>164.67333333333482</v>
      </c>
      <c r="BM650" s="343">
        <f>SUMIFS($AU$134:AU651,$AQ$134:AQ651,"M")</f>
        <v>2053.3999999999719</v>
      </c>
      <c r="BN650" s="343">
        <f>SUMIFS($AU$134:AU651,$AQ$134:AQ651,"H")</f>
        <v>2988.252000000015</v>
      </c>
      <c r="BO650" s="343">
        <f>SUMIFS($AU$134:AU651,$AQ$134:AQ651,"D")</f>
        <v>-78.310000000000258</v>
      </c>
      <c r="BP650" s="343">
        <f>SUMIFS($AU$134:AU653,$AQ$134:AQ653,"W")</f>
        <v>462.63333333333321</v>
      </c>
      <c r="BQ650" s="343">
        <f>SUMIFS($AU$134:AU651,$Q$134:Q651,"O")</f>
        <v>-457.76000000004638</v>
      </c>
      <c r="BR650" s="343">
        <f>SUMIFS($AU$134:AU651,$AA$134:AA651,"*")</f>
        <v>7681.4753333333119</v>
      </c>
      <c r="BS650" s="343">
        <f>SUMIFS($AU$134:AU651,$AB$134:AB651,"*")</f>
        <v>1341.439999999976</v>
      </c>
      <c r="BT650" s="343">
        <f>SUMIFS($AU$134:AU651,$AC$134:AC651,"*")</f>
        <v>2767.6833333333316</v>
      </c>
      <c r="BU650" s="343">
        <f>SUMIFS($AU$134:AU651,$AA$134:AA651,"*",$AB$134:AB651,"*")</f>
        <v>402.00000000000495</v>
      </c>
      <c r="BV650" s="343">
        <f>SUMIFS($AU$134:AU651,$AA$134:AA651,"*",$AC$134:AC651,"*")</f>
        <v>3652.7833333333328</v>
      </c>
      <c r="BW650" s="343">
        <f>SUMIFS($AU$134:AU651,$AB$134:AB651,"*",$AC$134:AC651,"*")</f>
        <v>2382.6</v>
      </c>
      <c r="BX650" s="343">
        <f>SUMIFS($AU651:AU$1388,$Q651:Q$1388,"F")</f>
        <v>14282.133333333335</v>
      </c>
      <c r="BY650" s="343">
        <f>SUMIFS($AU651:AU$1388,$Q651:Q$1388,"S")</f>
        <v>14299.2</v>
      </c>
      <c r="BZ650" s="343">
        <f>SUMIFS($AU651:AU$1388,$Q651:Q$1388,"O")</f>
        <v>-1191.0979999997521</v>
      </c>
    </row>
    <row r="651" spans="1:78" ht="15.75" customHeight="1">
      <c r="A651" s="221" t="s">
        <v>2798</v>
      </c>
      <c r="B651" s="200">
        <v>45078</v>
      </c>
      <c r="C651" s="178" t="s">
        <v>2122</v>
      </c>
      <c r="D651" s="178" t="s">
        <v>93</v>
      </c>
      <c r="E651" s="227" t="s">
        <v>2804</v>
      </c>
      <c r="F651" s="180"/>
      <c r="G651" s="181"/>
      <c r="H651" s="182">
        <v>1</v>
      </c>
      <c r="I651" s="182"/>
      <c r="J651" s="182"/>
      <c r="K651" s="183" t="s">
        <v>372</v>
      </c>
      <c r="L651" s="182"/>
      <c r="M651" s="182"/>
      <c r="N651" s="182"/>
      <c r="O651" s="183"/>
      <c r="P651" s="183"/>
      <c r="Q651" s="183"/>
      <c r="R651" s="183"/>
      <c r="S651" s="183"/>
      <c r="T651" s="183"/>
      <c r="U651" s="183"/>
      <c r="V651" s="183"/>
      <c r="W651" s="183"/>
      <c r="X651" s="183"/>
      <c r="Y651" s="183"/>
      <c r="Z651" s="185" t="str">
        <f t="shared" si="243"/>
        <v/>
      </c>
      <c r="AA651" s="185"/>
      <c r="AB651" s="185"/>
      <c r="AC651" s="185"/>
      <c r="AD651" s="649"/>
      <c r="AE651" s="182"/>
      <c r="AF651" s="332"/>
      <c r="AG651" s="182"/>
      <c r="AH651" s="182"/>
      <c r="AI651" s="182"/>
      <c r="AJ651" s="640"/>
      <c r="AK651" s="182"/>
      <c r="AL651" s="496"/>
      <c r="AM651" s="496"/>
      <c r="AN651" s="626"/>
      <c r="AO651" s="182"/>
      <c r="AP651" s="182"/>
      <c r="AQ651" s="332" t="str">
        <f>UPPER(RIGHT(Journal_Live[[#This Row],[DURATION ]]))</f>
        <v/>
      </c>
      <c r="AR651" s="182"/>
      <c r="AS651" s="189"/>
      <c r="AT651" s="189"/>
      <c r="AU651" s="187"/>
      <c r="AV651" s="190"/>
      <c r="AW651" s="191"/>
      <c r="AX651" s="407"/>
      <c r="AY651" s="407"/>
      <c r="AZ651" s="407"/>
      <c r="BA651" s="407"/>
      <c r="BB651" s="407"/>
      <c r="BC651" s="407"/>
      <c r="BD651" s="407"/>
      <c r="BE651" s="407"/>
      <c r="BF651" s="422"/>
      <c r="BG651" s="391">
        <f>SUM($AV$4:AV651)</f>
        <v>3507.2641428571533</v>
      </c>
      <c r="BH651" s="392">
        <f>SUM($AU$134:AU651)</f>
        <v>6400.4153333332888</v>
      </c>
      <c r="BI651" s="318">
        <f>SUMIFS($AU$134:AU652,$Q$134:Q652,"F")</f>
        <v>158.5333333333331</v>
      </c>
      <c r="BJ651" s="318">
        <f>SUMIFS($AU$134:AU652,$Q$134:Q652,"S")</f>
        <v>6372.4419999999964</v>
      </c>
      <c r="BK651" s="343">
        <f>SUMIFS($AU$134:AU652,$P$134:P652,"W")</f>
        <v>6187.7419999999347</v>
      </c>
      <c r="BL651" s="343">
        <f>SUMIFS($AU$134:AU652,$P$134:P652,"R")</f>
        <v>164.67333333333482</v>
      </c>
      <c r="BM651" s="343">
        <f>SUMIFS($AU$134:AU652,$AQ$134:AQ652,"M")</f>
        <v>2053.3999999999719</v>
      </c>
      <c r="BN651" s="343">
        <f>SUMIFS($AU$134:AU652,$AQ$134:AQ652,"H")</f>
        <v>2988.252000000015</v>
      </c>
      <c r="BO651" s="343">
        <f>SUMIFS($AU$134:AU652,$AQ$134:AQ652,"D")</f>
        <v>-78.310000000000258</v>
      </c>
      <c r="BP651" s="343">
        <f>SUMIFS($AU$134:AU654,$AQ$134:AQ654,"W")</f>
        <v>462.63333333333321</v>
      </c>
      <c r="BQ651" s="343">
        <f>SUMIFS($AU$134:AU652,$Q$134:Q652,"O")</f>
        <v>-457.76000000004638</v>
      </c>
      <c r="BR651" s="343">
        <f>SUMIFS($AU$134:AU652,$AA$134:AA652,"*")</f>
        <v>7681.4753333333119</v>
      </c>
      <c r="BS651" s="343">
        <f>SUMIFS($AU$134:AU652,$AB$134:AB652,"*")</f>
        <v>1341.439999999976</v>
      </c>
      <c r="BT651" s="343">
        <f>SUMIFS($AU$134:AU652,$AC$134:AC652,"*")</f>
        <v>2767.6833333333316</v>
      </c>
      <c r="BU651" s="343">
        <f>SUMIFS($AU$134:AU652,$AA$134:AA652,"*",$AB$134:AB652,"*")</f>
        <v>402.00000000000495</v>
      </c>
      <c r="BV651" s="343">
        <f>SUMIFS($AU$134:AU652,$AA$134:AA652,"*",$AC$134:AC652,"*")</f>
        <v>3652.7833333333328</v>
      </c>
      <c r="BW651" s="343">
        <f>SUMIFS($AU$134:AU652,$AB$134:AB652,"*",$AC$134:AC652,"*")</f>
        <v>2382.6</v>
      </c>
      <c r="BX651" s="343">
        <f>SUMIFS($AU652:AU$1388,$Q652:Q$1388,"F")</f>
        <v>14282.133333333335</v>
      </c>
      <c r="BY651" s="343">
        <f>SUMIFS($AU652:AU$1388,$Q652:Q$1388,"S")</f>
        <v>14299.2</v>
      </c>
      <c r="BZ651" s="343">
        <f>SUMIFS($AU652:AU$1388,$Q652:Q$1388,"O")</f>
        <v>-1191.0979999997521</v>
      </c>
    </row>
    <row r="652" spans="1:78" ht="15.75" customHeight="1">
      <c r="A652" s="221" t="s">
        <v>2798</v>
      </c>
      <c r="B652" s="200">
        <v>45078</v>
      </c>
      <c r="C652" s="178" t="s">
        <v>1728</v>
      </c>
      <c r="D652" s="178" t="s">
        <v>93</v>
      </c>
      <c r="E652" s="227" t="s">
        <v>2805</v>
      </c>
      <c r="F652" s="180"/>
      <c r="G652" s="181"/>
      <c r="H652" s="182">
        <v>1</v>
      </c>
      <c r="I652" s="182"/>
      <c r="J652" s="182"/>
      <c r="K652" s="183" t="s">
        <v>372</v>
      </c>
      <c r="L652" s="182"/>
      <c r="M652" s="182"/>
      <c r="N652" s="182"/>
      <c r="O652" s="183"/>
      <c r="P652" s="183"/>
      <c r="Q652" s="183"/>
      <c r="R652" s="183"/>
      <c r="S652" s="183"/>
      <c r="T652" s="183"/>
      <c r="U652" s="183"/>
      <c r="V652" s="183"/>
      <c r="W652" s="183"/>
      <c r="X652" s="183"/>
      <c r="Y652" s="183"/>
      <c r="Z652" s="185" t="str">
        <f t="shared" si="243"/>
        <v/>
      </c>
      <c r="AA652" s="185"/>
      <c r="AB652" s="185"/>
      <c r="AC652" s="185"/>
      <c r="AD652" s="649"/>
      <c r="AE652" s="182"/>
      <c r="AF652" s="332"/>
      <c r="AG652" s="182"/>
      <c r="AH652" s="182"/>
      <c r="AI652" s="182"/>
      <c r="AJ652" s="640"/>
      <c r="AK652" s="182"/>
      <c r="AL652" s="496"/>
      <c r="AM652" s="496"/>
      <c r="AN652" s="626"/>
      <c r="AO652" s="182"/>
      <c r="AP652" s="182"/>
      <c r="AQ652" s="332" t="str">
        <f>UPPER(RIGHT(Journal_Live[[#This Row],[DURATION ]]))</f>
        <v/>
      </c>
      <c r="AR652" s="182"/>
      <c r="AS652" s="189"/>
      <c r="AT652" s="189"/>
      <c r="AU652" s="187"/>
      <c r="AV652" s="190"/>
      <c r="AW652" s="191"/>
      <c r="AX652" s="407"/>
      <c r="AY652" s="407"/>
      <c r="AZ652" s="407"/>
      <c r="BA652" s="407"/>
      <c r="BB652" s="407"/>
      <c r="BC652" s="407"/>
      <c r="BD652" s="407"/>
      <c r="BE652" s="407"/>
      <c r="BF652" s="422"/>
      <c r="BG652" s="391">
        <f>SUM($AV$4:AV652)</f>
        <v>3507.2641428571533</v>
      </c>
      <c r="BH652" s="392">
        <f>SUM($AU$134:AU652)</f>
        <v>6400.4153333332888</v>
      </c>
      <c r="BI652" s="318">
        <f>SUMIFS($AU$134:AU653,$Q$134:Q653,"F")</f>
        <v>158.5333333333331</v>
      </c>
      <c r="BJ652" s="318">
        <f>SUMIFS($AU$134:AU653,$Q$134:Q653,"S")</f>
        <v>6372.4419999999964</v>
      </c>
      <c r="BK652" s="343">
        <f>SUMIFS($AU$134:AU653,$P$134:P653,"W")</f>
        <v>6187.7419999999347</v>
      </c>
      <c r="BL652" s="343">
        <f>SUMIFS($AU$134:AU653,$P$134:P653,"R")</f>
        <v>164.67333333333482</v>
      </c>
      <c r="BM652" s="343">
        <f>SUMIFS($AU$134:AU653,$AQ$134:AQ653,"M")</f>
        <v>2053.3999999999719</v>
      </c>
      <c r="BN652" s="343">
        <f>SUMIFS($AU$134:AU653,$AQ$134:AQ653,"H")</f>
        <v>2988.252000000015</v>
      </c>
      <c r="BO652" s="343">
        <f>SUMIFS($AU$134:AU653,$AQ$134:AQ653,"D")</f>
        <v>-78.310000000000258</v>
      </c>
      <c r="BP652" s="343">
        <f>SUMIFS($AU$134:AU655,$AQ$134:AQ655,"W")</f>
        <v>462.63333333333321</v>
      </c>
      <c r="BQ652" s="343">
        <f>SUMIFS($AU$134:AU653,$Q$134:Q653,"O")</f>
        <v>-457.76000000004638</v>
      </c>
      <c r="BR652" s="343">
        <f>SUMIFS($AU$134:AU653,$AA$134:AA653,"*")</f>
        <v>7681.4753333333119</v>
      </c>
      <c r="BS652" s="343">
        <f>SUMIFS($AU$134:AU653,$AB$134:AB653,"*")</f>
        <v>1341.439999999976</v>
      </c>
      <c r="BT652" s="343">
        <f>SUMIFS($AU$134:AU653,$AC$134:AC653,"*")</f>
        <v>2767.6833333333316</v>
      </c>
      <c r="BU652" s="343">
        <f>SUMIFS($AU$134:AU653,$AA$134:AA653,"*",$AB$134:AB653,"*")</f>
        <v>402.00000000000495</v>
      </c>
      <c r="BV652" s="343">
        <f>SUMIFS($AU$134:AU653,$AA$134:AA653,"*",$AC$134:AC653,"*")</f>
        <v>3652.7833333333328</v>
      </c>
      <c r="BW652" s="343">
        <f>SUMIFS($AU$134:AU653,$AB$134:AB653,"*",$AC$134:AC653,"*")</f>
        <v>2382.6</v>
      </c>
      <c r="BX652" s="343">
        <f>SUMIFS($AU653:AU$1388,$Q653:Q$1388,"F")</f>
        <v>14282.133333333335</v>
      </c>
      <c r="BY652" s="343">
        <f>SUMIFS($AU653:AU$1388,$Q653:Q$1388,"S")</f>
        <v>14299.2</v>
      </c>
      <c r="BZ652" s="343">
        <f>SUMIFS($AU653:AU$1388,$Q653:Q$1388,"O")</f>
        <v>-1191.0979999997521</v>
      </c>
    </row>
    <row r="653" spans="1:78" ht="15.75" customHeight="1">
      <c r="A653" s="221" t="s">
        <v>2798</v>
      </c>
      <c r="B653" s="200">
        <v>45078</v>
      </c>
      <c r="C653" s="178" t="s">
        <v>2806</v>
      </c>
      <c r="D653" s="178" t="s">
        <v>93</v>
      </c>
      <c r="E653" s="227"/>
      <c r="F653" s="180"/>
      <c r="G653" s="181" t="s">
        <v>2807</v>
      </c>
      <c r="H653" s="182"/>
      <c r="I653" s="182"/>
      <c r="J653" s="182"/>
      <c r="K653" s="183"/>
      <c r="L653" s="182">
        <v>1</v>
      </c>
      <c r="M653" s="182"/>
      <c r="N653" s="182"/>
      <c r="O653" s="183" t="s">
        <v>95</v>
      </c>
      <c r="P653" s="183" t="s">
        <v>137</v>
      </c>
      <c r="Q653" s="183" t="s">
        <v>256</v>
      </c>
      <c r="R653" s="183">
        <v>7</v>
      </c>
      <c r="S653" s="183">
        <v>0</v>
      </c>
      <c r="T653" s="183">
        <v>7</v>
      </c>
      <c r="U653" s="183" t="s">
        <v>97</v>
      </c>
      <c r="V653" s="183"/>
      <c r="W653" s="183"/>
      <c r="X653" s="183"/>
      <c r="Y653" s="184">
        <f t="shared" ref="Y653:Y659" si="245">IF(ISBLANK(O653),"",(IF(O653=UPPER("IB"),0.005,0.01)))</f>
        <v>0.01</v>
      </c>
      <c r="Z653" s="185">
        <f t="shared" si="243"/>
        <v>1600</v>
      </c>
      <c r="AA653" s="185"/>
      <c r="AB653" s="185"/>
      <c r="AC653" s="185" t="s">
        <v>2808</v>
      </c>
      <c r="AD653" s="649">
        <v>-0.02</v>
      </c>
      <c r="AE653" s="182"/>
      <c r="AF653" s="332"/>
      <c r="AG653" s="182"/>
      <c r="AH653" s="182"/>
      <c r="AI653" s="182"/>
      <c r="AJ653" s="640"/>
      <c r="AK653" s="182"/>
      <c r="AL653" s="496"/>
      <c r="AM653" s="496"/>
      <c r="AN653" s="626"/>
      <c r="AO653" s="182"/>
      <c r="AP653" s="182"/>
      <c r="AQ653" s="332" t="str">
        <f>UPPER(RIGHT(Journal_Live[[#This Row],[DURATION ]]))</f>
        <v/>
      </c>
      <c r="AR653" s="182" t="s">
        <v>1187</v>
      </c>
      <c r="AS653" s="189">
        <v>-0.02</v>
      </c>
      <c r="AT653" s="189">
        <f>IF(ISBLANK(AS653),,IF(U653="S",AD653-AS653,AS653-AD653))</f>
        <v>0</v>
      </c>
      <c r="AU653" s="187">
        <f>AV653*R653</f>
        <v>0</v>
      </c>
      <c r="AV653" s="190">
        <f>IF(ISBLANK(AS653),,(AT653*Z653))</f>
        <v>0</v>
      </c>
      <c r="AW653" s="191" t="s">
        <v>115</v>
      </c>
      <c r="AX653" s="407" t="s">
        <v>2809</v>
      </c>
      <c r="AY653" s="407"/>
      <c r="AZ653" s="407"/>
      <c r="BA653" s="407"/>
      <c r="BB653" s="407"/>
      <c r="BC653" s="407"/>
      <c r="BD653" s="407"/>
      <c r="BE653" s="407"/>
      <c r="BF653" s="422"/>
      <c r="BG653" s="391">
        <f>SUM($AV$4:AV653)</f>
        <v>3507.2641428571533</v>
      </c>
      <c r="BH653" s="392">
        <f>SUM($AU$134:AU653)</f>
        <v>6400.4153333332888</v>
      </c>
      <c r="BI653" s="318">
        <f>SUMIFS($AU$134:AU654,$Q$134:Q654,"F")</f>
        <v>158.5333333333331</v>
      </c>
      <c r="BJ653" s="318">
        <f>SUMIFS($AU$134:AU654,$Q$134:Q654,"S")</f>
        <v>6372.4419999999964</v>
      </c>
      <c r="BK653" s="343">
        <f>SUMIFS($AU$134:AU654,$P$134:P654,"W")</f>
        <v>6187.7419999999347</v>
      </c>
      <c r="BL653" s="343">
        <f>SUMIFS($AU$134:AU654,$P$134:P654,"R")</f>
        <v>164.67333333333482</v>
      </c>
      <c r="BM653" s="343">
        <f>SUMIFS($AU$134:AU654,$AQ$134:AQ654,"M")</f>
        <v>2053.3999999999719</v>
      </c>
      <c r="BN653" s="343">
        <f>SUMIFS($AU$134:AU654,$AQ$134:AQ654,"H")</f>
        <v>2988.252000000015</v>
      </c>
      <c r="BO653" s="343">
        <f>SUMIFS($AU$134:AU654,$AQ$134:AQ654,"D")</f>
        <v>-78.310000000000258</v>
      </c>
      <c r="BP653" s="343">
        <f>SUMIFS($AU$134:AU656,$AQ$134:AQ656,"W")</f>
        <v>462.63333333333321</v>
      </c>
      <c r="BQ653" s="343">
        <f>SUMIFS($AU$134:AU654,$Q$134:Q654,"O")</f>
        <v>-457.76000000004638</v>
      </c>
      <c r="BR653" s="343">
        <f>SUMIFS($AU$134:AU654,$AA$134:AA654,"*")</f>
        <v>7681.4753333333119</v>
      </c>
      <c r="BS653" s="343">
        <f>SUMIFS($AU$134:AU654,$AB$134:AB654,"*")</f>
        <v>1341.439999999976</v>
      </c>
      <c r="BT653" s="343">
        <f>SUMIFS($AU$134:AU654,$AC$134:AC654,"*")</f>
        <v>2767.6833333333316</v>
      </c>
      <c r="BU653" s="343">
        <f>SUMIFS($AU$134:AU654,$AA$134:AA654,"*",$AB$134:AB654,"*")</f>
        <v>402.00000000000495</v>
      </c>
      <c r="BV653" s="343">
        <f>SUMIFS($AU$134:AU654,$AA$134:AA654,"*",$AC$134:AC654,"*")</f>
        <v>3652.7833333333328</v>
      </c>
      <c r="BW653" s="343">
        <f>SUMIFS($AU$134:AU654,$AB$134:AB654,"*",$AC$134:AC654,"*")</f>
        <v>2382.6</v>
      </c>
      <c r="BX653" s="343">
        <f>SUMIFS($AU654:AU$1388,$Q654:Q$1388,"F")</f>
        <v>14282.133333333335</v>
      </c>
      <c r="BY653" s="343">
        <f>SUMIFS($AU654:AU$1388,$Q654:Q$1388,"S")</f>
        <v>14299.2</v>
      </c>
      <c r="BZ653" s="343">
        <f>SUMIFS($AU654:AU$1388,$Q654:Q$1388,"O")</f>
        <v>-1191.0979999997521</v>
      </c>
    </row>
    <row r="654" spans="1:78" ht="15.75" customHeight="1">
      <c r="A654" s="221" t="s">
        <v>2798</v>
      </c>
      <c r="B654" s="200">
        <v>45078</v>
      </c>
      <c r="C654" s="178" t="s">
        <v>2810</v>
      </c>
      <c r="D654" s="178" t="s">
        <v>93</v>
      </c>
      <c r="E654" s="227"/>
      <c r="F654" s="180"/>
      <c r="G654" s="181" t="s">
        <v>136</v>
      </c>
      <c r="H654" s="182"/>
      <c r="I654" s="182"/>
      <c r="J654" s="182"/>
      <c r="K654" s="183"/>
      <c r="L654" s="182">
        <v>1</v>
      </c>
      <c r="M654" s="182"/>
      <c r="N654" s="182"/>
      <c r="O654" s="183" t="s">
        <v>95</v>
      </c>
      <c r="P654" s="183" t="s">
        <v>96</v>
      </c>
      <c r="Q654" s="183" t="s">
        <v>97</v>
      </c>
      <c r="R654" s="183">
        <v>10</v>
      </c>
      <c r="S654" s="183">
        <v>0</v>
      </c>
      <c r="T654" s="183">
        <v>10</v>
      </c>
      <c r="U654" s="183" t="s">
        <v>22</v>
      </c>
      <c r="V654" s="183"/>
      <c r="W654" s="183"/>
      <c r="X654" s="183"/>
      <c r="Y654" s="184">
        <f t="shared" si="245"/>
        <v>0.01</v>
      </c>
      <c r="Z654" s="185">
        <f t="shared" si="243"/>
        <v>1600</v>
      </c>
      <c r="AA654" s="185"/>
      <c r="AB654" s="185"/>
      <c r="AC654" s="185" t="s">
        <v>2811</v>
      </c>
      <c r="AD654" s="649">
        <v>-0.14000000000000001</v>
      </c>
      <c r="AE654" s="182"/>
      <c r="AF654" s="332"/>
      <c r="AG654" s="182"/>
      <c r="AH654" s="182"/>
      <c r="AI654" s="182"/>
      <c r="AJ654" s="640"/>
      <c r="AK654" s="182"/>
      <c r="AL654" s="496"/>
      <c r="AM654" s="496"/>
      <c r="AN654" s="626"/>
      <c r="AO654" s="182"/>
      <c r="AP654" s="182"/>
      <c r="AQ654" s="332" t="str">
        <f>UPPER(RIGHT(Journal_Live[[#This Row],[DURATION ]]))</f>
        <v/>
      </c>
      <c r="AR654" s="182" t="s">
        <v>1187</v>
      </c>
      <c r="AS654" s="189">
        <v>-0.14000000000000001</v>
      </c>
      <c r="AT654" s="189">
        <f>IF(ISBLANK(AS654),,IF(U654="S",AD654-AS654,AS654-AD654))</f>
        <v>0</v>
      </c>
      <c r="AU654" s="187">
        <f>AV654*R654</f>
        <v>0</v>
      </c>
      <c r="AV654" s="190">
        <f>IF(ISBLANK(AS654),,(AT654*Z654))</f>
        <v>0</v>
      </c>
      <c r="AW654" s="191" t="s">
        <v>115</v>
      </c>
      <c r="AX654" s="407" t="s">
        <v>2812</v>
      </c>
      <c r="AY654" s="407"/>
      <c r="AZ654" s="407"/>
      <c r="BA654" s="407"/>
      <c r="BB654" s="407"/>
      <c r="BC654" s="407"/>
      <c r="BD654" s="407"/>
      <c r="BE654" s="407"/>
      <c r="BF654" s="422"/>
      <c r="BG654" s="391">
        <f>SUM($AV$4:AV654)</f>
        <v>3507.2641428571533</v>
      </c>
      <c r="BH654" s="392">
        <f>SUM($AU$134:AU654)</f>
        <v>6400.4153333332888</v>
      </c>
      <c r="BI654" s="318">
        <f>SUMIFS($AU$134:AU655,$Q$134:Q655,"F")</f>
        <v>158.5333333333331</v>
      </c>
      <c r="BJ654" s="318">
        <f>SUMIFS($AU$134:AU655,$Q$134:Q655,"S")</f>
        <v>6372.4419999999964</v>
      </c>
      <c r="BK654" s="343">
        <f>SUMIFS($AU$134:AU655,$P$134:P655,"W")</f>
        <v>6187.7419999999347</v>
      </c>
      <c r="BL654" s="343">
        <f>SUMIFS($AU$134:AU655,$P$134:P655,"R")</f>
        <v>164.67333333333482</v>
      </c>
      <c r="BM654" s="343">
        <f>SUMIFS($AU$134:AU655,$AQ$134:AQ655,"M")</f>
        <v>2053.3999999999719</v>
      </c>
      <c r="BN654" s="343">
        <f>SUMIFS($AU$134:AU655,$AQ$134:AQ655,"H")</f>
        <v>2988.252000000015</v>
      </c>
      <c r="BO654" s="343">
        <f>SUMIFS($AU$134:AU655,$AQ$134:AQ655,"D")</f>
        <v>-78.310000000000258</v>
      </c>
      <c r="BP654" s="343">
        <f>SUMIFS($AU$134:AU657,$AQ$134:AQ657,"W")</f>
        <v>462.63333333333321</v>
      </c>
      <c r="BQ654" s="343">
        <f>SUMIFS($AU$134:AU655,$Q$134:Q655,"O")</f>
        <v>-457.76000000004638</v>
      </c>
      <c r="BR654" s="343">
        <f>SUMIFS($AU$134:AU655,$AA$134:AA655,"*")</f>
        <v>7681.4753333333119</v>
      </c>
      <c r="BS654" s="343">
        <f>SUMIFS($AU$134:AU655,$AB$134:AB655,"*")</f>
        <v>1341.439999999976</v>
      </c>
      <c r="BT654" s="343">
        <f>SUMIFS($AU$134:AU655,$AC$134:AC655,"*")</f>
        <v>2767.6833333333316</v>
      </c>
      <c r="BU654" s="343">
        <f>SUMIFS($AU$134:AU655,$AA$134:AA655,"*",$AB$134:AB655,"*")</f>
        <v>402.00000000000495</v>
      </c>
      <c r="BV654" s="343">
        <f>SUMIFS($AU$134:AU655,$AA$134:AA655,"*",$AC$134:AC655,"*")</f>
        <v>3652.7833333333328</v>
      </c>
      <c r="BW654" s="343">
        <f>SUMIFS($AU$134:AU655,$AB$134:AB655,"*",$AC$134:AC655,"*")</f>
        <v>2382.6</v>
      </c>
      <c r="BX654" s="343">
        <f>SUMIFS($AU655:AU$1388,$Q655:Q$1388,"F")</f>
        <v>14282.133333333335</v>
      </c>
      <c r="BY654" s="343">
        <f>SUMIFS($AU655:AU$1388,$Q655:Q$1388,"S")</f>
        <v>14299.2</v>
      </c>
      <c r="BZ654" s="343">
        <f>SUMIFS($AU655:AU$1388,$Q655:Q$1388,"O")</f>
        <v>-1191.0979999997521</v>
      </c>
    </row>
    <row r="655" spans="1:78" ht="15.75" customHeight="1">
      <c r="A655" s="221" t="s">
        <v>2798</v>
      </c>
      <c r="B655" s="200">
        <v>45078</v>
      </c>
      <c r="C655" s="178" t="s">
        <v>1474</v>
      </c>
      <c r="D655" s="178" t="s">
        <v>93</v>
      </c>
      <c r="E655" s="227" t="s">
        <v>2813</v>
      </c>
      <c r="F655" s="180" t="s">
        <v>2814</v>
      </c>
      <c r="G655" s="181"/>
      <c r="H655" s="182"/>
      <c r="I655" s="182"/>
      <c r="J655" s="182"/>
      <c r="K655" s="183"/>
      <c r="L655" s="182"/>
      <c r="M655" s="182"/>
      <c r="N655" s="182"/>
      <c r="O655" s="183"/>
      <c r="P655" s="183"/>
      <c r="Q655" s="183"/>
      <c r="R655" s="183"/>
      <c r="S655" s="183"/>
      <c r="T655" s="183"/>
      <c r="U655" s="183"/>
      <c r="V655" s="183"/>
      <c r="W655" s="183"/>
      <c r="X655" s="183"/>
      <c r="Y655" s="184" t="str">
        <f t="shared" si="245"/>
        <v/>
      </c>
      <c r="Z655" s="185" t="str">
        <f t="shared" si="243"/>
        <v/>
      </c>
      <c r="AA655" s="185"/>
      <c r="AB655" s="185"/>
      <c r="AC655" s="185"/>
      <c r="AD655" s="649"/>
      <c r="AE655" s="182"/>
      <c r="AF655" s="332"/>
      <c r="AG655" s="182"/>
      <c r="AH655" s="182"/>
      <c r="AI655" s="182"/>
      <c r="AJ655" s="640"/>
      <c r="AK655" s="182"/>
      <c r="AL655" s="496"/>
      <c r="AM655" s="496"/>
      <c r="AN655" s="626"/>
      <c r="AO655" s="182"/>
      <c r="AP655" s="182"/>
      <c r="AQ655" s="332" t="str">
        <f>UPPER(RIGHT(Journal_Live[[#This Row],[DURATION ]]))</f>
        <v/>
      </c>
      <c r="AR655" s="182"/>
      <c r="AS655" s="189"/>
      <c r="AT655" s="189"/>
      <c r="AU655" s="187"/>
      <c r="AV655" s="190"/>
      <c r="AW655" s="191"/>
      <c r="AX655" s="407" t="s">
        <v>2815</v>
      </c>
      <c r="AY655" s="407" t="s">
        <v>2816</v>
      </c>
      <c r="AZ655" s="407"/>
      <c r="BA655" s="407"/>
      <c r="BB655" s="407"/>
      <c r="BC655" s="407"/>
      <c r="BD655" s="407"/>
      <c r="BE655" s="407"/>
      <c r="BF655" s="422"/>
      <c r="BG655" s="391">
        <f>SUM($AV$4:AV655)</f>
        <v>3507.2641428571533</v>
      </c>
      <c r="BH655" s="392">
        <f>SUM($AU$134:AU655)</f>
        <v>6400.4153333332888</v>
      </c>
      <c r="BI655" s="318">
        <f>SUMIFS($AU$134:AU656,$Q$134:Q656,"F")</f>
        <v>158.5333333333331</v>
      </c>
      <c r="BJ655" s="318">
        <f>SUMIFS($AU$134:AU656,$Q$134:Q656,"S")</f>
        <v>6372.4419999999964</v>
      </c>
      <c r="BK655" s="343">
        <f>SUMIFS($AU$134:AU656,$P$134:P656,"W")</f>
        <v>6187.7419999999347</v>
      </c>
      <c r="BL655" s="343">
        <f>SUMIFS($AU$134:AU656,$P$134:P656,"R")</f>
        <v>164.67333333333482</v>
      </c>
      <c r="BM655" s="343">
        <f>SUMIFS($AU$134:AU656,$AQ$134:AQ656,"M")</f>
        <v>2053.3999999999719</v>
      </c>
      <c r="BN655" s="343">
        <f>SUMIFS($AU$134:AU656,$AQ$134:AQ656,"H")</f>
        <v>2988.252000000015</v>
      </c>
      <c r="BO655" s="343">
        <f>SUMIFS($AU$134:AU656,$AQ$134:AQ656,"D")</f>
        <v>-78.310000000000258</v>
      </c>
      <c r="BP655" s="343">
        <f>SUMIFS($AU$134:AU658,$AQ$134:AQ658,"W")</f>
        <v>462.63333333333321</v>
      </c>
      <c r="BQ655" s="343">
        <f>SUMIFS($AU$134:AU656,$Q$134:Q656,"O")</f>
        <v>-457.76000000004638</v>
      </c>
      <c r="BR655" s="343">
        <f>SUMIFS($AU$134:AU656,$AA$134:AA656,"*")</f>
        <v>7681.4753333333119</v>
      </c>
      <c r="BS655" s="343">
        <f>SUMIFS($AU$134:AU656,$AB$134:AB656,"*")</f>
        <v>1341.439999999976</v>
      </c>
      <c r="BT655" s="343">
        <f>SUMIFS($AU$134:AU656,$AC$134:AC656,"*")</f>
        <v>2767.6833333333316</v>
      </c>
      <c r="BU655" s="343">
        <f>SUMIFS($AU$134:AU656,$AA$134:AA656,"*",$AB$134:AB656,"*")</f>
        <v>402.00000000000495</v>
      </c>
      <c r="BV655" s="343">
        <f>SUMIFS($AU$134:AU656,$AA$134:AA656,"*",$AC$134:AC656,"*")</f>
        <v>3652.7833333333328</v>
      </c>
      <c r="BW655" s="343">
        <f>SUMIFS($AU$134:AU656,$AB$134:AB656,"*",$AC$134:AC656,"*")</f>
        <v>2382.6</v>
      </c>
      <c r="BX655" s="343">
        <f>SUMIFS($AU656:AU$1388,$Q656:Q$1388,"F")</f>
        <v>14282.133333333335</v>
      </c>
      <c r="BY655" s="343">
        <f>SUMIFS($AU656:AU$1388,$Q656:Q$1388,"S")</f>
        <v>14299.2</v>
      </c>
      <c r="BZ655" s="343">
        <f>SUMIFS($AU656:AU$1388,$Q656:Q$1388,"O")</f>
        <v>-1191.0979999997521</v>
      </c>
    </row>
    <row r="656" spans="1:78" ht="15.75" customHeight="1">
      <c r="A656" s="221" t="s">
        <v>2798</v>
      </c>
      <c r="B656" s="200">
        <v>45078</v>
      </c>
      <c r="C656" s="178" t="s">
        <v>2817</v>
      </c>
      <c r="D656" s="178" t="s">
        <v>93</v>
      </c>
      <c r="E656" s="227"/>
      <c r="F656" s="180"/>
      <c r="G656" s="181" t="s">
        <v>136</v>
      </c>
      <c r="H656" s="182"/>
      <c r="I656" s="182"/>
      <c r="J656" s="182"/>
      <c r="K656" s="183"/>
      <c r="L656" s="182">
        <v>1</v>
      </c>
      <c r="M656" s="182"/>
      <c r="N656" s="182"/>
      <c r="O656" s="183"/>
      <c r="P656" s="183"/>
      <c r="Q656" s="183"/>
      <c r="R656" s="183"/>
      <c r="S656" s="183"/>
      <c r="T656" s="183"/>
      <c r="U656" s="183"/>
      <c r="V656" s="183"/>
      <c r="W656" s="183"/>
      <c r="X656" s="183"/>
      <c r="Y656" s="184" t="str">
        <f t="shared" si="245"/>
        <v/>
      </c>
      <c r="Z656" s="185" t="str">
        <f t="shared" si="243"/>
        <v/>
      </c>
      <c r="AA656" s="185"/>
      <c r="AB656" s="185"/>
      <c r="AC656" s="185"/>
      <c r="AD656" s="649"/>
      <c r="AE656" s="182"/>
      <c r="AF656" s="332"/>
      <c r="AG656" s="182"/>
      <c r="AH656" s="182"/>
      <c r="AI656" s="182"/>
      <c r="AJ656" s="640"/>
      <c r="AK656" s="182"/>
      <c r="AL656" s="496"/>
      <c r="AM656" s="496"/>
      <c r="AN656" s="626"/>
      <c r="AO656" s="182"/>
      <c r="AP656" s="182"/>
      <c r="AQ656" s="332" t="str">
        <f>UPPER(RIGHT(Journal_Live[[#This Row],[DURATION ]]))</f>
        <v/>
      </c>
      <c r="AR656" s="182"/>
      <c r="AS656" s="189"/>
      <c r="AT656" s="189"/>
      <c r="AU656" s="187"/>
      <c r="AV656" s="190"/>
      <c r="AW656" s="191"/>
      <c r="AX656" s="407" t="s">
        <v>2818</v>
      </c>
      <c r="AY656" s="407"/>
      <c r="AZ656" s="407"/>
      <c r="BA656" s="407"/>
      <c r="BB656" s="407"/>
      <c r="BC656" s="407"/>
      <c r="BD656" s="407"/>
      <c r="BE656" s="407"/>
      <c r="BF656" s="422"/>
      <c r="BG656" s="391">
        <f>SUM($AV$4:AV656)</f>
        <v>3507.2641428571533</v>
      </c>
      <c r="BH656" s="392">
        <f>SUM($AU$134:AU656)</f>
        <v>6400.4153333332888</v>
      </c>
      <c r="BI656" s="318">
        <f>SUMIFS($AU$134:AU657,$Q$134:Q657,"F")</f>
        <v>158.5333333333331</v>
      </c>
      <c r="BJ656" s="318">
        <f>SUMIFS($AU$134:AU657,$Q$134:Q657,"S")</f>
        <v>6372.4419999999964</v>
      </c>
      <c r="BK656" s="343">
        <f>SUMIFS($AU$134:AU657,$P$134:P657,"W")</f>
        <v>6187.7419999999347</v>
      </c>
      <c r="BL656" s="343">
        <f>SUMIFS($AU$134:AU657,$P$134:P657,"R")</f>
        <v>164.67333333333482</v>
      </c>
      <c r="BM656" s="343">
        <f>SUMIFS($AU$134:AU657,$AQ$134:AQ657,"M")</f>
        <v>2053.3999999999719</v>
      </c>
      <c r="BN656" s="343">
        <f>SUMIFS($AU$134:AU657,$AQ$134:AQ657,"H")</f>
        <v>2988.252000000015</v>
      </c>
      <c r="BO656" s="343">
        <f>SUMIFS($AU$134:AU657,$AQ$134:AQ657,"D")</f>
        <v>-78.310000000000258</v>
      </c>
      <c r="BP656" s="343">
        <f>SUMIFS($AU$134:AU659,$AQ$134:AQ659,"W")</f>
        <v>462.63333333333321</v>
      </c>
      <c r="BQ656" s="343">
        <f>SUMIFS($AU$134:AU657,$Q$134:Q657,"O")</f>
        <v>-457.76000000004638</v>
      </c>
      <c r="BR656" s="343">
        <f>SUMIFS($AU$134:AU657,$AA$134:AA657,"*")</f>
        <v>7681.4753333333119</v>
      </c>
      <c r="BS656" s="343">
        <f>SUMIFS($AU$134:AU657,$AB$134:AB657,"*")</f>
        <v>1341.439999999976</v>
      </c>
      <c r="BT656" s="343">
        <f>SUMIFS($AU$134:AU657,$AC$134:AC657,"*")</f>
        <v>2767.6833333333316</v>
      </c>
      <c r="BU656" s="343">
        <f>SUMIFS($AU$134:AU657,$AA$134:AA657,"*",$AB$134:AB657,"*")</f>
        <v>402.00000000000495</v>
      </c>
      <c r="BV656" s="343">
        <f>SUMIFS($AU$134:AU657,$AA$134:AA657,"*",$AC$134:AC657,"*")</f>
        <v>3652.7833333333328</v>
      </c>
      <c r="BW656" s="343">
        <f>SUMIFS($AU$134:AU657,$AB$134:AB657,"*",$AC$134:AC657,"*")</f>
        <v>2382.6</v>
      </c>
      <c r="BX656" s="343">
        <f>SUMIFS($AU657:AU$1388,$Q657:Q$1388,"F")</f>
        <v>14282.133333333335</v>
      </c>
      <c r="BY656" s="343">
        <f>SUMIFS($AU657:AU$1388,$Q657:Q$1388,"S")</f>
        <v>14299.2</v>
      </c>
      <c r="BZ656" s="343">
        <f>SUMIFS($AU657:AU$1388,$Q657:Q$1388,"O")</f>
        <v>-1191.0979999997521</v>
      </c>
    </row>
    <row r="657" spans="1:78" ht="15.75" customHeight="1">
      <c r="A657" s="221" t="s">
        <v>2798</v>
      </c>
      <c r="B657" s="200">
        <v>45079</v>
      </c>
      <c r="C657" s="178" t="s">
        <v>1372</v>
      </c>
      <c r="D657" s="178" t="s">
        <v>111</v>
      </c>
      <c r="E657" s="227"/>
      <c r="F657" s="180"/>
      <c r="G657" s="181" t="s">
        <v>94</v>
      </c>
      <c r="H657" s="182"/>
      <c r="I657" s="182"/>
      <c r="J657" s="182"/>
      <c r="K657" s="183"/>
      <c r="L657" s="182"/>
      <c r="M657" s="182"/>
      <c r="N657" s="182"/>
      <c r="O657" s="183"/>
      <c r="P657" s="183"/>
      <c r="Q657" s="183"/>
      <c r="R657" s="183"/>
      <c r="S657" s="183"/>
      <c r="T657" s="183"/>
      <c r="U657" s="183"/>
      <c r="V657" s="183"/>
      <c r="W657" s="183"/>
      <c r="X657" s="183"/>
      <c r="Y657" s="184" t="str">
        <f t="shared" si="245"/>
        <v/>
      </c>
      <c r="Z657" s="185" t="str">
        <f t="shared" si="243"/>
        <v/>
      </c>
      <c r="AA657" s="185"/>
      <c r="AB657" s="185"/>
      <c r="AC657" s="185"/>
      <c r="AD657" s="649"/>
      <c r="AE657" s="182"/>
      <c r="AF657" s="332"/>
      <c r="AG657" s="182"/>
      <c r="AH657" s="182"/>
      <c r="AI657" s="182"/>
      <c r="AJ657" s="640"/>
      <c r="AK657" s="182"/>
      <c r="AL657" s="496"/>
      <c r="AM657" s="496"/>
      <c r="AN657" s="626"/>
      <c r="AO657" s="182"/>
      <c r="AP657" s="182"/>
      <c r="AQ657" s="332" t="str">
        <f>UPPER(RIGHT(Journal_Live[[#This Row],[DURATION ]]))</f>
        <v/>
      </c>
      <c r="AR657" s="182"/>
      <c r="AS657" s="189"/>
      <c r="AT657" s="189"/>
      <c r="AU657" s="187"/>
      <c r="AV657" s="190"/>
      <c r="AW657" s="191"/>
      <c r="AX657" s="407"/>
      <c r="AY657" s="407"/>
      <c r="AZ657" s="407"/>
      <c r="BA657" s="407"/>
      <c r="BB657" s="407"/>
      <c r="BC657" s="407"/>
      <c r="BD657" s="407"/>
      <c r="BE657" s="407"/>
      <c r="BF657" s="422"/>
      <c r="BG657" s="391">
        <f>SUM($AV$4:AV657)</f>
        <v>3507.2641428571533</v>
      </c>
      <c r="BH657" s="392">
        <f>SUM($AU$134:AU657)</f>
        <v>6400.4153333332888</v>
      </c>
      <c r="BI657" s="318">
        <f>SUMIFS($AU$134:AU658,$Q$134:Q658,"F")</f>
        <v>158.5333333333331</v>
      </c>
      <c r="BJ657" s="318">
        <f>SUMIFS($AU$134:AU658,$Q$134:Q658,"S")</f>
        <v>6372.4419999999964</v>
      </c>
      <c r="BK657" s="343">
        <f>SUMIFS($AU$134:AU658,$P$134:P658,"W")</f>
        <v>6187.7419999999347</v>
      </c>
      <c r="BL657" s="343">
        <f>SUMIFS($AU$134:AU658,$P$134:P658,"R")</f>
        <v>164.67333333333482</v>
      </c>
      <c r="BM657" s="343">
        <f>SUMIFS($AU$134:AU658,$AQ$134:AQ658,"M")</f>
        <v>2053.3999999999719</v>
      </c>
      <c r="BN657" s="343">
        <f>SUMIFS($AU$134:AU658,$AQ$134:AQ658,"H")</f>
        <v>2988.252000000015</v>
      </c>
      <c r="BO657" s="343">
        <f>SUMIFS($AU$134:AU658,$AQ$134:AQ658,"D")</f>
        <v>-78.310000000000258</v>
      </c>
      <c r="BP657" s="343">
        <f>SUMIFS($AU$134:AU660,$AQ$134:AQ660,"W")</f>
        <v>462.63333333333321</v>
      </c>
      <c r="BQ657" s="343">
        <f>SUMIFS($AU$134:AU658,$Q$134:Q658,"O")</f>
        <v>-457.76000000004638</v>
      </c>
      <c r="BR657" s="343">
        <f>SUMIFS($AU$134:AU658,$AA$134:AA658,"*")</f>
        <v>7681.4753333333119</v>
      </c>
      <c r="BS657" s="343">
        <f>SUMIFS($AU$134:AU658,$AB$134:AB658,"*")</f>
        <v>1341.439999999976</v>
      </c>
      <c r="BT657" s="343">
        <f>SUMIFS($AU$134:AU658,$AC$134:AC658,"*")</f>
        <v>2767.6833333333316</v>
      </c>
      <c r="BU657" s="343">
        <f>SUMIFS($AU$134:AU658,$AA$134:AA658,"*",$AB$134:AB658,"*")</f>
        <v>402.00000000000495</v>
      </c>
      <c r="BV657" s="343">
        <f>SUMIFS($AU$134:AU658,$AA$134:AA658,"*",$AC$134:AC658,"*")</f>
        <v>3652.7833333333328</v>
      </c>
      <c r="BW657" s="343">
        <f>SUMIFS($AU$134:AU658,$AB$134:AB658,"*",$AC$134:AC658,"*")</f>
        <v>2382.6</v>
      </c>
      <c r="BX657" s="343">
        <f>SUMIFS($AU658:AU$1388,$Q658:Q$1388,"F")</f>
        <v>14282.133333333335</v>
      </c>
      <c r="BY657" s="343">
        <f>SUMIFS($AU658:AU$1388,$Q658:Q$1388,"S")</f>
        <v>14299.2</v>
      </c>
      <c r="BZ657" s="343">
        <f>SUMIFS($AU658:AU$1388,$Q658:Q$1388,"O")</f>
        <v>-1191.0979999997521</v>
      </c>
    </row>
    <row r="658" spans="1:78" ht="15.75" customHeight="1">
      <c r="A658" s="221" t="s">
        <v>2798</v>
      </c>
      <c r="B658" s="200">
        <v>45079</v>
      </c>
      <c r="C658" s="178" t="s">
        <v>2819</v>
      </c>
      <c r="D658" s="178" t="s">
        <v>111</v>
      </c>
      <c r="E658" s="227"/>
      <c r="F658" s="180"/>
      <c r="G658" s="181" t="s">
        <v>181</v>
      </c>
      <c r="H658" s="182"/>
      <c r="I658" s="182"/>
      <c r="J658" s="182"/>
      <c r="K658" s="183"/>
      <c r="L658" s="182"/>
      <c r="M658" s="182"/>
      <c r="N658" s="182"/>
      <c r="O658" s="183"/>
      <c r="P658" s="183"/>
      <c r="Q658" s="183"/>
      <c r="R658" s="183"/>
      <c r="S658" s="183"/>
      <c r="T658" s="183"/>
      <c r="U658" s="183"/>
      <c r="V658" s="183"/>
      <c r="W658" s="183"/>
      <c r="X658" s="183"/>
      <c r="Y658" s="184" t="str">
        <f t="shared" si="245"/>
        <v/>
      </c>
      <c r="Z658" s="185" t="str">
        <f t="shared" si="243"/>
        <v/>
      </c>
      <c r="AA658" s="185"/>
      <c r="AB658" s="185"/>
      <c r="AC658" s="185"/>
      <c r="AD658" s="649"/>
      <c r="AE658" s="182"/>
      <c r="AF658" s="332"/>
      <c r="AG658" s="182"/>
      <c r="AH658" s="182"/>
      <c r="AI658" s="182"/>
      <c r="AJ658" s="640"/>
      <c r="AK658" s="182"/>
      <c r="AL658" s="496"/>
      <c r="AM658" s="496"/>
      <c r="AN658" s="626"/>
      <c r="AO658" s="182"/>
      <c r="AP658" s="182"/>
      <c r="AQ658" s="332" t="str">
        <f>UPPER(RIGHT(Journal_Live[[#This Row],[DURATION ]]))</f>
        <v/>
      </c>
      <c r="AR658" s="182"/>
      <c r="AS658" s="189"/>
      <c r="AT658" s="189"/>
      <c r="AU658" s="187"/>
      <c r="AV658" s="190"/>
      <c r="AW658" s="191"/>
      <c r="AX658" s="407"/>
      <c r="AY658" s="407"/>
      <c r="AZ658" s="407"/>
      <c r="BA658" s="407"/>
      <c r="BB658" s="407"/>
      <c r="BC658" s="407"/>
      <c r="BD658" s="407"/>
      <c r="BE658" s="407"/>
      <c r="BF658" s="422"/>
      <c r="BG658" s="391">
        <f>SUM($AV$4:AV658)</f>
        <v>3507.2641428571533</v>
      </c>
      <c r="BH658" s="392">
        <f>SUM($AU$134:AU658)</f>
        <v>6400.4153333332888</v>
      </c>
      <c r="BI658" s="318">
        <f>SUMIFS($AU$134:AU659,$Q$134:Q659,"F")</f>
        <v>206.5333333333331</v>
      </c>
      <c r="BJ658" s="318">
        <f>SUMIFS($AU$134:AU659,$Q$134:Q659,"S")</f>
        <v>6372.4419999999964</v>
      </c>
      <c r="BK658" s="343">
        <f>SUMIFS($AU$134:AU659,$P$134:P659,"W")</f>
        <v>6187.7419999999347</v>
      </c>
      <c r="BL658" s="343">
        <f>SUMIFS($AU$134:AU659,$P$134:P659,"R")</f>
        <v>212.67333333333482</v>
      </c>
      <c r="BM658" s="343">
        <f>SUMIFS($AU$134:AU659,$AQ$134:AQ659,"M")</f>
        <v>2053.3999999999719</v>
      </c>
      <c r="BN658" s="343">
        <f>SUMIFS($AU$134:AU659,$AQ$134:AQ659,"H")</f>
        <v>2988.252000000015</v>
      </c>
      <c r="BO658" s="343">
        <f>SUMIFS($AU$134:AU659,$AQ$134:AQ659,"D")</f>
        <v>-30.310000000000265</v>
      </c>
      <c r="BP658" s="343">
        <f>SUMIFS($AU$134:AU661,$AQ$134:AQ661,"W")</f>
        <v>462.63333333333321</v>
      </c>
      <c r="BQ658" s="343">
        <f>SUMIFS($AU$134:AU659,$Q$134:Q659,"O")</f>
        <v>-457.76000000004638</v>
      </c>
      <c r="BR658" s="343">
        <f>SUMIFS($AU$134:AU659,$AA$134:AA659,"*")</f>
        <v>7729.4753333333119</v>
      </c>
      <c r="BS658" s="343">
        <f>SUMIFS($AU$134:AU659,$AB$134:AB659,"*")</f>
        <v>1341.439999999976</v>
      </c>
      <c r="BT658" s="343">
        <f>SUMIFS($AU$134:AU659,$AC$134:AC659,"*")</f>
        <v>2815.6833333333316</v>
      </c>
      <c r="BU658" s="343">
        <f>SUMIFS($AU$134:AU659,$AA$134:AA659,"*",$AB$134:AB659,"*")</f>
        <v>402.00000000000495</v>
      </c>
      <c r="BV658" s="343">
        <f>SUMIFS($AU$134:AU659,$AA$134:AA659,"*",$AC$134:AC659,"*")</f>
        <v>3700.7833333333328</v>
      </c>
      <c r="BW658" s="343">
        <f>SUMIFS($AU$134:AU659,$AB$134:AB659,"*",$AC$134:AC659,"*")</f>
        <v>2382.6</v>
      </c>
      <c r="BX658" s="343">
        <f>SUMIFS($AU659:AU$1388,$Q659:Q$1388,"F")</f>
        <v>14282.133333333335</v>
      </c>
      <c r="BY658" s="343">
        <f>SUMIFS($AU659:AU$1388,$Q659:Q$1388,"S")</f>
        <v>14299.2</v>
      </c>
      <c r="BZ658" s="343">
        <f>SUMIFS($AU659:AU$1388,$Q659:Q$1388,"O")</f>
        <v>-1191.0979999997521</v>
      </c>
    </row>
    <row r="659" spans="1:78" ht="15.75" customHeight="1">
      <c r="A659" s="221" t="s">
        <v>2798</v>
      </c>
      <c r="B659" s="200">
        <v>45079</v>
      </c>
      <c r="C659" s="178" t="s">
        <v>2820</v>
      </c>
      <c r="D659" s="178" t="s">
        <v>111</v>
      </c>
      <c r="E659" s="227"/>
      <c r="F659" s="180"/>
      <c r="G659" s="281" t="s">
        <v>2821</v>
      </c>
      <c r="H659" s="182"/>
      <c r="I659" s="182"/>
      <c r="J659" s="182"/>
      <c r="K659" s="183"/>
      <c r="L659" s="182">
        <v>1</v>
      </c>
      <c r="M659" s="182">
        <v>2</v>
      </c>
      <c r="N659" s="182"/>
      <c r="O659" s="183" t="s">
        <v>95</v>
      </c>
      <c r="P659" s="183" t="s">
        <v>137</v>
      </c>
      <c r="Q659" s="183" t="s">
        <v>256</v>
      </c>
      <c r="R659" s="183">
        <v>3</v>
      </c>
      <c r="S659" s="183">
        <v>3</v>
      </c>
      <c r="T659" s="183">
        <v>3</v>
      </c>
      <c r="U659" s="183" t="s">
        <v>22</v>
      </c>
      <c r="V659" s="183"/>
      <c r="W659" s="183"/>
      <c r="X659" s="183"/>
      <c r="Y659" s="184">
        <f t="shared" si="245"/>
        <v>0.01</v>
      </c>
      <c r="Z659" s="185">
        <f t="shared" si="243"/>
        <v>1600</v>
      </c>
      <c r="AA659" s="185" t="s">
        <v>2822</v>
      </c>
      <c r="AB659" s="185"/>
      <c r="AC659" s="185" t="s">
        <v>2823</v>
      </c>
      <c r="AD659" s="649">
        <v>-0.03</v>
      </c>
      <c r="AE659" s="182"/>
      <c r="AF659" s="332">
        <v>-6</v>
      </c>
      <c r="AG659" s="182"/>
      <c r="AH659" s="182" t="s">
        <v>2824</v>
      </c>
      <c r="AI659" s="182"/>
      <c r="AJ659" s="644" t="s">
        <v>2825</v>
      </c>
      <c r="AK659" s="182" t="s">
        <v>529</v>
      </c>
      <c r="AL659" s="496">
        <f t="shared" ref="AL659" si="246">-0.02*Z659</f>
        <v>-32</v>
      </c>
      <c r="AM659" s="496">
        <f>AL659*(R659-S659)</f>
        <v>0</v>
      </c>
      <c r="AN659" s="626"/>
      <c r="AO659" s="182"/>
      <c r="AP659" s="182" t="s">
        <v>2333</v>
      </c>
      <c r="AQ659" s="332" t="str">
        <f>UPPER(RIGHT(Journal_Live[[#This Row],[DURATION ]]))</f>
        <v>D</v>
      </c>
      <c r="AR659" s="182" t="s">
        <v>2826</v>
      </c>
      <c r="AS659" s="189">
        <v>-0.02</v>
      </c>
      <c r="AT659" s="189">
        <f>IF(ISBLANK(AS659),,IF(U659="S",AD659-AS659,AS659-AD659))</f>
        <v>9.9999999999999985E-3</v>
      </c>
      <c r="AU659" s="187">
        <f>AV659*R659</f>
        <v>47.999999999999993</v>
      </c>
      <c r="AV659" s="190">
        <f>IF(ISBLANK(AS659),,(AT659*Z659))</f>
        <v>15.999999999999998</v>
      </c>
      <c r="AW659" s="191" t="s">
        <v>96</v>
      </c>
      <c r="AX659" s="407" t="s">
        <v>2827</v>
      </c>
      <c r="AY659" s="407"/>
      <c r="AZ659" s="407"/>
      <c r="BA659" s="407"/>
      <c r="BB659" s="407"/>
      <c r="BC659" s="407"/>
      <c r="BD659" s="407"/>
      <c r="BE659" s="407"/>
      <c r="BF659" s="422"/>
      <c r="BG659" s="391">
        <f>SUM($AV$4:AV659)</f>
        <v>3523.2641428571533</v>
      </c>
      <c r="BH659" s="392">
        <f>SUM($AU$134:AU659)</f>
        <v>6448.4153333332888</v>
      </c>
      <c r="BI659" s="318">
        <f>SUMIFS($AU$134:AU660,$Q$134:Q660,"F")</f>
        <v>206.5333333333331</v>
      </c>
      <c r="BJ659" s="318">
        <f>SUMIFS($AU$134:AU660,$Q$134:Q660,"S")</f>
        <v>6372.4419999999964</v>
      </c>
      <c r="BK659" s="343">
        <f>SUMIFS($AU$134:AU660,$P$134:P660,"W")</f>
        <v>6187.7419999999347</v>
      </c>
      <c r="BL659" s="343">
        <f>SUMIFS($AU$134:AU660,$P$134:P660,"R")</f>
        <v>212.67333333333482</v>
      </c>
      <c r="BM659" s="343">
        <f>SUMIFS($AU$134:AU660,$AQ$134:AQ660,"M")</f>
        <v>2053.3999999999719</v>
      </c>
      <c r="BN659" s="343">
        <f>SUMIFS($AU$134:AU660,$AQ$134:AQ660,"H")</f>
        <v>2988.252000000015</v>
      </c>
      <c r="BO659" s="343">
        <f>SUMIFS($AU$134:AU660,$AQ$134:AQ660,"D")</f>
        <v>-30.310000000000265</v>
      </c>
      <c r="BP659" s="343">
        <f>SUMIFS($AU$134:AU662,$AQ$134:AQ662,"W")</f>
        <v>462.63333333333321</v>
      </c>
      <c r="BQ659" s="343">
        <f>SUMIFS($AU$134:AU660,$Q$134:Q660,"O")</f>
        <v>-457.76000000004638</v>
      </c>
      <c r="BR659" s="343">
        <f>SUMIFS($AU$134:AU660,$AA$134:AA660,"*")</f>
        <v>7729.4753333333119</v>
      </c>
      <c r="BS659" s="343">
        <f>SUMIFS($AU$134:AU660,$AB$134:AB660,"*")</f>
        <v>1341.439999999976</v>
      </c>
      <c r="BT659" s="343">
        <f>SUMIFS($AU$134:AU660,$AC$134:AC660,"*")</f>
        <v>2815.6833333333316</v>
      </c>
      <c r="BU659" s="343">
        <f>SUMIFS($AU$134:AU660,$AA$134:AA660,"*",$AB$134:AB660,"*")</f>
        <v>402.00000000000495</v>
      </c>
      <c r="BV659" s="343">
        <f>SUMIFS($AU$134:AU660,$AA$134:AA660,"*",$AC$134:AC660,"*")</f>
        <v>3700.7833333333328</v>
      </c>
      <c r="BW659" s="343">
        <f>SUMIFS($AU$134:AU660,$AB$134:AB660,"*",$AC$134:AC660,"*")</f>
        <v>2382.6</v>
      </c>
      <c r="BX659" s="343">
        <f>SUMIFS($AU660:AU$1388,$Q660:Q$1388,"F")</f>
        <v>14234.133333333335</v>
      </c>
      <c r="BY659" s="343">
        <f>SUMIFS($AU660:AU$1388,$Q660:Q$1388,"S")</f>
        <v>14299.2</v>
      </c>
      <c r="BZ659" s="343">
        <f>SUMIFS($AU660:AU$1388,$Q660:Q$1388,"O")</f>
        <v>-1191.0979999997521</v>
      </c>
    </row>
    <row r="660" spans="1:78" ht="15.75" customHeight="1">
      <c r="A660" s="221" t="s">
        <v>2798</v>
      </c>
      <c r="B660" s="200">
        <v>45079</v>
      </c>
      <c r="C660" s="178" t="s">
        <v>1728</v>
      </c>
      <c r="D660" s="178" t="s">
        <v>111</v>
      </c>
      <c r="E660" s="227" t="s">
        <v>2828</v>
      </c>
      <c r="F660" s="180" t="s">
        <v>2829</v>
      </c>
      <c r="G660" s="181"/>
      <c r="H660" s="182">
        <v>1</v>
      </c>
      <c r="I660" s="182"/>
      <c r="J660" s="182"/>
      <c r="K660" s="183" t="s">
        <v>372</v>
      </c>
      <c r="L660" s="182"/>
      <c r="M660" s="182"/>
      <c r="N660" s="182"/>
      <c r="O660" s="183"/>
      <c r="P660" s="183"/>
      <c r="Q660" s="183"/>
      <c r="R660" s="183"/>
      <c r="S660" s="183"/>
      <c r="T660" s="183"/>
      <c r="U660" s="183"/>
      <c r="V660" s="183"/>
      <c r="W660" s="183"/>
      <c r="X660" s="183"/>
      <c r="Y660" s="183"/>
      <c r="Z660" s="183"/>
      <c r="AA660" s="185"/>
      <c r="AB660" s="185"/>
      <c r="AC660" s="185"/>
      <c r="AD660" s="649"/>
      <c r="AE660" s="182"/>
      <c r="AF660" s="332"/>
      <c r="AG660" s="182"/>
      <c r="AH660" s="182"/>
      <c r="AI660" s="182"/>
      <c r="AJ660" s="640"/>
      <c r="AK660" s="182"/>
      <c r="AL660" s="496"/>
      <c r="AM660" s="496"/>
      <c r="AN660" s="626"/>
      <c r="AO660" s="182"/>
      <c r="AP660" s="182"/>
      <c r="AQ660" s="332" t="str">
        <f>UPPER(RIGHT(Journal_Live[[#This Row],[DURATION ]]))</f>
        <v/>
      </c>
      <c r="AR660" s="182"/>
      <c r="AS660" s="189"/>
      <c r="AT660" s="189"/>
      <c r="AU660" s="187"/>
      <c r="AV660" s="190"/>
      <c r="AW660" s="191"/>
      <c r="AX660" s="407"/>
      <c r="AY660" s="407"/>
      <c r="AZ660" s="407"/>
      <c r="BA660" s="407"/>
      <c r="BB660" s="407"/>
      <c r="BC660" s="407"/>
      <c r="BD660" s="407"/>
      <c r="BE660" s="407"/>
      <c r="BF660" s="422"/>
      <c r="BG660" s="391">
        <f>SUM($AV$4:AV660)</f>
        <v>3523.2641428571533</v>
      </c>
      <c r="BH660" s="392">
        <f>SUM($AU$134:AU660)</f>
        <v>6448.4153333332888</v>
      </c>
      <c r="BI660" s="318">
        <f>SUMIFS($AU$134:AU661,$Q$134:Q661,"F")</f>
        <v>206.5333333333331</v>
      </c>
      <c r="BJ660" s="318">
        <f>SUMIFS($AU$134:AU661,$Q$134:Q661,"S")</f>
        <v>6292.4419999999964</v>
      </c>
      <c r="BK660" s="343">
        <f>SUMIFS($AU$134:AU661,$P$134:P661,"W")</f>
        <v>6107.7419999999347</v>
      </c>
      <c r="BL660" s="343">
        <f>SUMIFS($AU$134:AU661,$P$134:P661,"R")</f>
        <v>212.67333333333482</v>
      </c>
      <c r="BM660" s="343">
        <f>SUMIFS($AU$134:AU661,$AQ$134:AQ661,"M")</f>
        <v>2053.3999999999719</v>
      </c>
      <c r="BN660" s="343">
        <f>SUMIFS($AU$134:AU661,$AQ$134:AQ661,"H")</f>
        <v>2988.252000000015</v>
      </c>
      <c r="BO660" s="343">
        <f>SUMIFS($AU$134:AU661,$AQ$134:AQ661,"D")</f>
        <v>-110.31000000000026</v>
      </c>
      <c r="BP660" s="343">
        <f>SUMIFS($AU$134:AU663,$AQ$134:AQ663,"W")</f>
        <v>462.63333333333321</v>
      </c>
      <c r="BQ660" s="343">
        <f>SUMIFS($AU$134:AU661,$Q$134:Q661,"O")</f>
        <v>-457.76000000004638</v>
      </c>
      <c r="BR660" s="343">
        <f>SUMIFS($AU$134:AU661,$AA$134:AA661,"*")</f>
        <v>7649.4753333333119</v>
      </c>
      <c r="BS660" s="343">
        <f>SUMIFS($AU$134:AU661,$AB$134:AB661,"*")</f>
        <v>1341.439999999976</v>
      </c>
      <c r="BT660" s="343">
        <f>SUMIFS($AU$134:AU661,$AC$134:AC661,"*")</f>
        <v>2815.6833333333316</v>
      </c>
      <c r="BU660" s="343">
        <f>SUMIFS($AU$134:AU661,$AA$134:AA661,"*",$AB$134:AB661,"*")</f>
        <v>402.00000000000495</v>
      </c>
      <c r="BV660" s="343">
        <f>SUMIFS($AU$134:AU661,$AA$134:AA661,"*",$AC$134:AC661,"*")</f>
        <v>3700.7833333333328</v>
      </c>
      <c r="BW660" s="343">
        <f>SUMIFS($AU$134:AU661,$AB$134:AB661,"*",$AC$134:AC661,"*")</f>
        <v>2382.6</v>
      </c>
      <c r="BX660" s="343">
        <f>SUMIFS($AU661:AU$1388,$Q661:Q$1388,"F")</f>
        <v>14234.133333333335</v>
      </c>
      <c r="BY660" s="343">
        <f>SUMIFS($AU661:AU$1388,$Q661:Q$1388,"S")</f>
        <v>14299.2</v>
      </c>
      <c r="BZ660" s="343">
        <f>SUMIFS($AU661:AU$1388,$Q661:Q$1388,"O")</f>
        <v>-1191.0979999997521</v>
      </c>
    </row>
    <row r="661" spans="1:78" ht="15.75" customHeight="1">
      <c r="A661" s="221" t="s">
        <v>2798</v>
      </c>
      <c r="B661" s="200">
        <v>45079</v>
      </c>
      <c r="C661" s="178" t="s">
        <v>2830</v>
      </c>
      <c r="D661" s="178" t="s">
        <v>111</v>
      </c>
      <c r="E661" s="227"/>
      <c r="F661" s="180"/>
      <c r="G661" s="472" t="s">
        <v>94</v>
      </c>
      <c r="H661" s="182"/>
      <c r="I661" s="182"/>
      <c r="J661" s="182"/>
      <c r="K661" s="183"/>
      <c r="L661" s="182">
        <v>1</v>
      </c>
      <c r="M661" s="182"/>
      <c r="N661" s="182"/>
      <c r="O661" s="183" t="s">
        <v>95</v>
      </c>
      <c r="P661" s="183" t="s">
        <v>96</v>
      </c>
      <c r="Q661" s="183" t="s">
        <v>97</v>
      </c>
      <c r="R661" s="183">
        <v>5</v>
      </c>
      <c r="S661" s="183">
        <v>0</v>
      </c>
      <c r="T661" s="183">
        <v>5</v>
      </c>
      <c r="U661" s="183" t="s">
        <v>97</v>
      </c>
      <c r="V661" s="183"/>
      <c r="W661" s="183"/>
      <c r="X661" s="183"/>
      <c r="Y661" s="184">
        <f>IF(ISBLANK(O661),"",(IF(O661=UPPER("IB"),0.005,0.01)))</f>
        <v>0.01</v>
      </c>
      <c r="Z661" s="185">
        <f>IF(ISBLANK(O661),"",IF(O661="IB",8.63*200,IF(O661="IR",16*100,IF(O661="YT",20*100,IF(O661="YT-XT",24*200,IF(O661="TED",80*100))))))</f>
        <v>1600</v>
      </c>
      <c r="AA661" s="185" t="s">
        <v>2831</v>
      </c>
      <c r="AB661" s="185"/>
      <c r="AC661" s="185"/>
      <c r="AD661" s="649">
        <v>0.01</v>
      </c>
      <c r="AE661" s="182"/>
      <c r="AF661" s="332"/>
      <c r="AG661" s="182"/>
      <c r="AH661" s="182"/>
      <c r="AI661" s="182"/>
      <c r="AJ661" s="640"/>
      <c r="AK661" s="182"/>
      <c r="AL661" s="496">
        <f t="shared" ref="AL661:AL665" si="247">-0.02*Z661</f>
        <v>-32</v>
      </c>
      <c r="AM661" s="496">
        <f>AL661*(R661-S661)</f>
        <v>-160</v>
      </c>
      <c r="AN661" s="626"/>
      <c r="AO661" s="182"/>
      <c r="AP661" s="182" t="s">
        <v>804</v>
      </c>
      <c r="AQ661" s="332" t="str">
        <f>UPPER(RIGHT(Journal_Live[[#This Row],[DURATION ]]))</f>
        <v>D</v>
      </c>
      <c r="AR661" s="182" t="s">
        <v>2832</v>
      </c>
      <c r="AS661" s="189">
        <v>0.02</v>
      </c>
      <c r="AT661" s="189">
        <f>IF(ISBLANK(AS661),,IF(U661="S",AD661-AS661,AS661-AD661))</f>
        <v>-0.01</v>
      </c>
      <c r="AU661" s="187">
        <f>AV661*R661</f>
        <v>-80</v>
      </c>
      <c r="AV661" s="190">
        <f>IF(ISBLANK(AS661),,(AT661*Z661))</f>
        <v>-16</v>
      </c>
      <c r="AW661" s="191" t="s">
        <v>229</v>
      </c>
      <c r="AX661" s="407"/>
      <c r="AY661" s="407"/>
      <c r="AZ661" s="407"/>
      <c r="BA661" s="407"/>
      <c r="BB661" s="407"/>
      <c r="BC661" s="407"/>
      <c r="BD661" s="407"/>
      <c r="BE661" s="407"/>
      <c r="BF661" s="422"/>
      <c r="BG661" s="391">
        <f>SUM($AV$4:AV661)</f>
        <v>3507.2641428571533</v>
      </c>
      <c r="BH661" s="392">
        <f>SUM($AU$134:AU661)</f>
        <v>6368.4153333332888</v>
      </c>
      <c r="BI661" s="318">
        <f>SUMIFS($AU$134:AU662,$Q$134:Q662,"F")</f>
        <v>206.5333333333331</v>
      </c>
      <c r="BJ661" s="318">
        <f>SUMIFS($AU$134:AU662,$Q$134:Q662,"S")</f>
        <v>6292.4419999999964</v>
      </c>
      <c r="BK661" s="343">
        <f>SUMIFS($AU$134:AU662,$P$134:P662,"W")</f>
        <v>6107.7419999999347</v>
      </c>
      <c r="BL661" s="343">
        <f>SUMIFS($AU$134:AU662,$P$134:P662,"R")</f>
        <v>212.67333333333482</v>
      </c>
      <c r="BM661" s="343">
        <f>SUMIFS($AU$134:AU662,$AQ$134:AQ662,"M")</f>
        <v>2053.3999999999719</v>
      </c>
      <c r="BN661" s="343">
        <f>SUMIFS($AU$134:AU662,$AQ$134:AQ662,"H")</f>
        <v>2988.252000000015</v>
      </c>
      <c r="BO661" s="343">
        <f>SUMIFS($AU$134:AU662,$AQ$134:AQ662,"D")</f>
        <v>-110.31000000000026</v>
      </c>
      <c r="BP661" s="343">
        <f>SUMIFS($AU$134:AU664,$AQ$134:AQ664,"W")</f>
        <v>462.63333333333321</v>
      </c>
      <c r="BQ661" s="343">
        <f>SUMIFS($AU$134:AU662,$Q$134:Q662,"O")</f>
        <v>-457.76000000004638</v>
      </c>
      <c r="BR661" s="343">
        <f>SUMIFS($AU$134:AU662,$AA$134:AA662,"*")</f>
        <v>7649.4753333333119</v>
      </c>
      <c r="BS661" s="343">
        <f>SUMIFS($AU$134:AU662,$AB$134:AB662,"*")</f>
        <v>1341.439999999976</v>
      </c>
      <c r="BT661" s="343">
        <f>SUMIFS($AU$134:AU662,$AC$134:AC662,"*")</f>
        <v>2815.6833333333316</v>
      </c>
      <c r="BU661" s="343">
        <f>SUMIFS($AU$134:AU662,$AA$134:AA662,"*",$AB$134:AB662,"*")</f>
        <v>402.00000000000495</v>
      </c>
      <c r="BV661" s="343">
        <f>SUMIFS($AU$134:AU662,$AA$134:AA662,"*",$AC$134:AC662,"*")</f>
        <v>3700.7833333333328</v>
      </c>
      <c r="BW661" s="343">
        <f>SUMIFS($AU$134:AU662,$AB$134:AB662,"*",$AC$134:AC662,"*")</f>
        <v>2382.6</v>
      </c>
      <c r="BX661" s="343">
        <f>SUMIFS($AU662:AU$1388,$Q662:Q$1388,"F")</f>
        <v>14234.133333333335</v>
      </c>
      <c r="BY661" s="343">
        <f>SUMIFS($AU662:AU$1388,$Q662:Q$1388,"S")</f>
        <v>14379.2</v>
      </c>
      <c r="BZ661" s="343">
        <f>SUMIFS($AU662:AU$1388,$Q662:Q$1388,"O")</f>
        <v>-1191.0979999997521</v>
      </c>
    </row>
    <row r="662" spans="1:78" ht="15.75" customHeight="1">
      <c r="A662" s="221" t="s">
        <v>2798</v>
      </c>
      <c r="B662" s="200"/>
      <c r="C662" s="178"/>
      <c r="D662" s="178"/>
      <c r="E662" s="227" t="s">
        <v>2833</v>
      </c>
      <c r="F662" s="180"/>
      <c r="G662" s="181"/>
      <c r="H662" s="182">
        <v>1</v>
      </c>
      <c r="I662" s="182"/>
      <c r="J662" s="182"/>
      <c r="K662" s="183" t="s">
        <v>115</v>
      </c>
      <c r="L662" s="182"/>
      <c r="M662" s="182"/>
      <c r="N662" s="182"/>
      <c r="O662" s="183"/>
      <c r="P662" s="183"/>
      <c r="Q662" s="183"/>
      <c r="R662" s="183"/>
      <c r="S662" s="183"/>
      <c r="T662" s="183"/>
      <c r="U662" s="183"/>
      <c r="V662" s="183"/>
      <c r="W662" s="183"/>
      <c r="X662" s="183"/>
      <c r="Y662" s="183"/>
      <c r="Z662" s="183"/>
      <c r="AA662" s="185"/>
      <c r="AB662" s="185"/>
      <c r="AC662" s="185"/>
      <c r="AD662" s="649"/>
      <c r="AE662" s="182"/>
      <c r="AF662" s="332"/>
      <c r="AG662" s="182"/>
      <c r="AH662" s="182"/>
      <c r="AI662" s="182"/>
      <c r="AJ662" s="640"/>
      <c r="AK662" s="182"/>
      <c r="AL662" s="496"/>
      <c r="AM662" s="496"/>
      <c r="AN662" s="626"/>
      <c r="AO662" s="182"/>
      <c r="AP662" s="182"/>
      <c r="AQ662" s="332" t="str">
        <f>UPPER(RIGHT(Journal_Live[[#This Row],[DURATION ]]))</f>
        <v/>
      </c>
      <c r="AR662" s="182"/>
      <c r="AS662" s="189"/>
      <c r="AT662" s="189"/>
      <c r="AU662" s="187"/>
      <c r="AV662" s="190"/>
      <c r="AW662" s="191"/>
      <c r="AX662" s="407"/>
      <c r="AY662" s="407"/>
      <c r="AZ662" s="407"/>
      <c r="BA662" s="407"/>
      <c r="BB662" s="407"/>
      <c r="BC662" s="407"/>
      <c r="BD662" s="407"/>
      <c r="BE662" s="407"/>
      <c r="BF662" s="422"/>
      <c r="BG662" s="391">
        <f>SUM($AV$4:AV662)</f>
        <v>3507.2641428571533</v>
      </c>
      <c r="BH662" s="392">
        <f>SUM($AU$134:AU662)</f>
        <v>6368.4153333332888</v>
      </c>
      <c r="BI662" s="318">
        <f>SUMIFS($AU$134:AU663,$Q$134:Q663,"F")</f>
        <v>206.5333333333331</v>
      </c>
      <c r="BJ662" s="318">
        <f>SUMIFS($AU$134:AU663,$Q$134:Q663,"S")</f>
        <v>6292.4419999999964</v>
      </c>
      <c r="BK662" s="343">
        <f>SUMIFS($AU$134:AU663,$P$134:P663,"W")</f>
        <v>6107.7419999999347</v>
      </c>
      <c r="BL662" s="343">
        <f>SUMIFS($AU$134:AU663,$P$134:P663,"R")</f>
        <v>212.67333333333482</v>
      </c>
      <c r="BM662" s="343">
        <f>SUMIFS($AU$134:AU663,$AQ$134:AQ663,"M")</f>
        <v>2053.3999999999719</v>
      </c>
      <c r="BN662" s="343">
        <f>SUMIFS($AU$134:AU663,$AQ$134:AQ663,"H")</f>
        <v>2988.252000000015</v>
      </c>
      <c r="BO662" s="343">
        <f>SUMIFS($AU$134:AU663,$AQ$134:AQ663,"D")</f>
        <v>-110.31000000000026</v>
      </c>
      <c r="BP662" s="343">
        <f>SUMIFS($AU$134:AU665,$AQ$134:AQ665,"W")</f>
        <v>462.63333333333321</v>
      </c>
      <c r="BQ662" s="343">
        <f>SUMIFS($AU$134:AU663,$Q$134:Q663,"O")</f>
        <v>-457.76000000004638</v>
      </c>
      <c r="BR662" s="343">
        <f>SUMIFS($AU$134:AU663,$AA$134:AA663,"*")</f>
        <v>7649.4753333333119</v>
      </c>
      <c r="BS662" s="343">
        <f>SUMIFS($AU$134:AU663,$AB$134:AB663,"*")</f>
        <v>1341.439999999976</v>
      </c>
      <c r="BT662" s="343">
        <f>SUMIFS($AU$134:AU663,$AC$134:AC663,"*")</f>
        <v>2815.6833333333316</v>
      </c>
      <c r="BU662" s="343">
        <f>SUMIFS($AU$134:AU663,$AA$134:AA663,"*",$AB$134:AB663,"*")</f>
        <v>402.00000000000495</v>
      </c>
      <c r="BV662" s="343">
        <f>SUMIFS($AU$134:AU663,$AA$134:AA663,"*",$AC$134:AC663,"*")</f>
        <v>3700.7833333333328</v>
      </c>
      <c r="BW662" s="343">
        <f>SUMIFS($AU$134:AU663,$AB$134:AB663,"*",$AC$134:AC663,"*")</f>
        <v>2382.6</v>
      </c>
      <c r="BX662" s="343">
        <f>SUMIFS($AU663:AU$1388,$Q663:Q$1388,"F")</f>
        <v>14234.133333333335</v>
      </c>
      <c r="BY662" s="343">
        <f>SUMIFS($AU663:AU$1388,$Q663:Q$1388,"S")</f>
        <v>14379.2</v>
      </c>
      <c r="BZ662" s="343">
        <f>SUMIFS($AU663:AU$1388,$Q663:Q$1388,"O")</f>
        <v>-1191.0979999997521</v>
      </c>
    </row>
    <row r="663" spans="1:78" ht="15.75" customHeight="1">
      <c r="A663" s="221" t="s">
        <v>2798</v>
      </c>
      <c r="B663" s="200">
        <v>45080</v>
      </c>
      <c r="C663" s="178" t="s">
        <v>2834</v>
      </c>
      <c r="D663" s="178" t="s">
        <v>1676</v>
      </c>
      <c r="E663" s="227"/>
      <c r="F663" s="180"/>
      <c r="G663" s="471" t="s">
        <v>2835</v>
      </c>
      <c r="H663" s="182"/>
      <c r="I663" s="182"/>
      <c r="J663" s="182"/>
      <c r="K663" s="183"/>
      <c r="L663" s="182">
        <v>1</v>
      </c>
      <c r="M663" s="182">
        <v>1</v>
      </c>
      <c r="N663" s="182"/>
      <c r="O663" s="183" t="s">
        <v>95</v>
      </c>
      <c r="P663" s="183" t="s">
        <v>96</v>
      </c>
      <c r="Q663" s="183" t="s">
        <v>256</v>
      </c>
      <c r="R663" s="183">
        <v>15</v>
      </c>
      <c r="S663" s="183">
        <v>0</v>
      </c>
      <c r="T663" s="183">
        <v>15</v>
      </c>
      <c r="U663" s="183" t="s">
        <v>97</v>
      </c>
      <c r="V663" s="183"/>
      <c r="W663" s="183"/>
      <c r="X663" s="183"/>
      <c r="Y663" s="184">
        <f>IF(ISBLANK(O663),"",(IF(O663=UPPER("IB"),0.005,0.01)))</f>
        <v>0.01</v>
      </c>
      <c r="Z663" s="185">
        <f>IF(ISBLANK(O663),"",IF(O663="IB",8.63*200,IF(O663="IR",16*100,IF(O663="YT",20*100,IF(O663="YT-XT",24*200,IF(O663="TED",80*100))))))</f>
        <v>1600</v>
      </c>
      <c r="AA663" s="185"/>
      <c r="AB663" s="185"/>
      <c r="AC663" s="185" t="s">
        <v>2836</v>
      </c>
      <c r="AD663" s="649">
        <v>0</v>
      </c>
      <c r="AE663" s="182"/>
      <c r="AF663" s="332"/>
      <c r="AG663" s="182"/>
      <c r="AH663" s="182"/>
      <c r="AI663" s="182"/>
      <c r="AJ663" s="640"/>
      <c r="AK663" s="182"/>
      <c r="AL663" s="496">
        <f t="shared" si="247"/>
        <v>-32</v>
      </c>
      <c r="AM663" s="496">
        <f>AL663*(R663-S663)</f>
        <v>-480</v>
      </c>
      <c r="AN663" s="626"/>
      <c r="AO663" s="182"/>
      <c r="AP663" s="182" t="s">
        <v>1261</v>
      </c>
      <c r="AQ663" s="332" t="str">
        <f>UPPER(RIGHT(Journal_Live[[#This Row],[DURATION ]]))</f>
        <v>D</v>
      </c>
      <c r="AR663" s="182" t="s">
        <v>2837</v>
      </c>
      <c r="AS663" s="189">
        <v>0</v>
      </c>
      <c r="AT663" s="189">
        <f>IF(ISBLANK(AS663),,IF(U663="S",AD663-AS663,AS663-AD663))</f>
        <v>0</v>
      </c>
      <c r="AU663" s="187">
        <f>AV663*R663</f>
        <v>0</v>
      </c>
      <c r="AV663" s="190">
        <f>IF(ISBLANK(AS663),,(AT663*Z663))</f>
        <v>0</v>
      </c>
      <c r="AW663" s="191" t="s">
        <v>115</v>
      </c>
      <c r="AX663" s="407"/>
      <c r="AY663" s="407"/>
      <c r="AZ663" s="407"/>
      <c r="BA663" s="407"/>
      <c r="BB663" s="407"/>
      <c r="BC663" s="407"/>
      <c r="BD663" s="407"/>
      <c r="BE663" s="407"/>
      <c r="BF663" s="422"/>
      <c r="BG663" s="391">
        <f>SUM($AV$4:AV663)</f>
        <v>3507.2641428571533</v>
      </c>
      <c r="BH663" s="392">
        <f>SUM($AU$134:AU663)</f>
        <v>6368.4153333332888</v>
      </c>
      <c r="BI663" s="318">
        <f>SUMIFS($AU$134:AU664,$Q$134:Q664,"F")</f>
        <v>206.5333333333331</v>
      </c>
      <c r="BJ663" s="318">
        <f>SUMIFS($AU$134:AU664,$Q$134:Q664,"S")</f>
        <v>6292.4419999999964</v>
      </c>
      <c r="BK663" s="343">
        <f>SUMIFS($AU$134:AU664,$P$134:P664,"W")</f>
        <v>6107.7419999999347</v>
      </c>
      <c r="BL663" s="343">
        <f>SUMIFS($AU$134:AU664,$P$134:P664,"R")</f>
        <v>212.67333333333482</v>
      </c>
      <c r="BM663" s="343">
        <f>SUMIFS($AU$134:AU664,$AQ$134:AQ664,"M")</f>
        <v>2053.3999999999719</v>
      </c>
      <c r="BN663" s="343">
        <f>SUMIFS($AU$134:AU664,$AQ$134:AQ664,"H")</f>
        <v>2988.252000000015</v>
      </c>
      <c r="BO663" s="343">
        <f>SUMIFS($AU$134:AU664,$AQ$134:AQ664,"D")</f>
        <v>-110.31000000000026</v>
      </c>
      <c r="BP663" s="343">
        <f>SUMIFS($AU$134:AU666,$AQ$134:AQ666,"W")</f>
        <v>462.63333333333321</v>
      </c>
      <c r="BQ663" s="343">
        <f>SUMIFS($AU$134:AU664,$Q$134:Q664,"O")</f>
        <v>-457.76000000004638</v>
      </c>
      <c r="BR663" s="343">
        <f>SUMIFS($AU$134:AU664,$AA$134:AA664,"*")</f>
        <v>7649.4753333333119</v>
      </c>
      <c r="BS663" s="343">
        <f>SUMIFS($AU$134:AU664,$AB$134:AB664,"*")</f>
        <v>1341.439999999976</v>
      </c>
      <c r="BT663" s="343">
        <f>SUMIFS($AU$134:AU664,$AC$134:AC664,"*")</f>
        <v>2815.6833333333316</v>
      </c>
      <c r="BU663" s="343">
        <f>SUMIFS($AU$134:AU664,$AA$134:AA664,"*",$AB$134:AB664,"*")</f>
        <v>402.00000000000495</v>
      </c>
      <c r="BV663" s="343">
        <f>SUMIFS($AU$134:AU664,$AA$134:AA664,"*",$AC$134:AC664,"*")</f>
        <v>3700.7833333333328</v>
      </c>
      <c r="BW663" s="343">
        <f>SUMIFS($AU$134:AU664,$AB$134:AB664,"*",$AC$134:AC664,"*")</f>
        <v>2382.6</v>
      </c>
      <c r="BX663" s="343">
        <f>SUMIFS($AU664:AU$1388,$Q664:Q$1388,"F")</f>
        <v>14234.133333333335</v>
      </c>
      <c r="BY663" s="343">
        <f>SUMIFS($AU664:AU$1388,$Q664:Q$1388,"S")</f>
        <v>14379.2</v>
      </c>
      <c r="BZ663" s="343">
        <f>SUMIFS($AU664:AU$1388,$Q664:Q$1388,"O")</f>
        <v>-1191.0979999997521</v>
      </c>
    </row>
    <row r="664" spans="1:78" ht="15.75" customHeight="1">
      <c r="A664" s="221" t="s">
        <v>2798</v>
      </c>
      <c r="B664" s="200">
        <v>45082</v>
      </c>
      <c r="C664" s="178" t="s">
        <v>2838</v>
      </c>
      <c r="D664" s="178" t="s">
        <v>1676</v>
      </c>
      <c r="E664" s="227"/>
      <c r="F664" s="180"/>
      <c r="G664" s="471" t="s">
        <v>2070</v>
      </c>
      <c r="H664" s="182"/>
      <c r="I664" s="182"/>
      <c r="J664" s="182"/>
      <c r="K664" s="183"/>
      <c r="L664" s="182">
        <v>1</v>
      </c>
      <c r="M664" s="182">
        <v>1</v>
      </c>
      <c r="N664" s="182"/>
      <c r="O664" s="183" t="s">
        <v>95</v>
      </c>
      <c r="P664" s="183" t="s">
        <v>137</v>
      </c>
      <c r="Q664" s="183" t="s">
        <v>97</v>
      </c>
      <c r="R664" s="183">
        <v>7</v>
      </c>
      <c r="S664" s="183">
        <v>0</v>
      </c>
      <c r="T664" s="183">
        <v>7</v>
      </c>
      <c r="U664" s="183" t="s">
        <v>22</v>
      </c>
      <c r="V664" s="183"/>
      <c r="W664" s="183"/>
      <c r="X664" s="183"/>
      <c r="Y664" s="184">
        <f>IF(ISBLANK(O664),"",(IF(O664=UPPER("IB"),0.005,0.01)))</f>
        <v>0.01</v>
      </c>
      <c r="Z664" s="185">
        <f>IF(ISBLANK(O664),"",IF(O664="IB",8.63*200,IF(O664="IR",16*100,IF(O664="YT",20*100,IF(O664="YT-XT",24*200,IF(O664="TED",80*100))))))</f>
        <v>1600</v>
      </c>
      <c r="AA664" s="185" t="s">
        <v>2839</v>
      </c>
      <c r="AB664" s="185"/>
      <c r="AC664" s="185" t="s">
        <v>2840</v>
      </c>
      <c r="AD664" s="649">
        <v>-0.1</v>
      </c>
      <c r="AE664" s="182"/>
      <c r="AF664" s="332"/>
      <c r="AG664" s="182"/>
      <c r="AH664" s="182"/>
      <c r="AI664" s="182"/>
      <c r="AJ664" s="640"/>
      <c r="AK664" s="182"/>
      <c r="AL664" s="496">
        <f t="shared" si="247"/>
        <v>-32</v>
      </c>
      <c r="AM664" s="496">
        <f>AL664*(R664-S664)</f>
        <v>-224</v>
      </c>
      <c r="AN664" s="626"/>
      <c r="AO664" s="182"/>
      <c r="AP664" s="182" t="s">
        <v>770</v>
      </c>
      <c r="AQ664" s="332" t="str">
        <f>UPPER(RIGHT(Journal_Live[[#This Row],[DURATION ]]))</f>
        <v>D</v>
      </c>
      <c r="AR664" s="182" t="s">
        <v>2841</v>
      </c>
      <c r="AS664" s="189">
        <v>-0.1</v>
      </c>
      <c r="AT664" s="189">
        <f>IF(ISBLANK(AS664),,IF(U664="S",AD664-AS664,AS664-AD664))</f>
        <v>0</v>
      </c>
      <c r="AU664" s="187">
        <f>AV664*R664</f>
        <v>0</v>
      </c>
      <c r="AV664" s="190">
        <f>IF(ISBLANK(AS664),,(AT664*Z664))</f>
        <v>0</v>
      </c>
      <c r="AW664" s="191" t="s">
        <v>115</v>
      </c>
      <c r="AX664" s="407" t="s">
        <v>2842</v>
      </c>
      <c r="AY664" s="407"/>
      <c r="AZ664" s="407"/>
      <c r="BA664" s="407"/>
      <c r="BB664" s="407"/>
      <c r="BC664" s="407"/>
      <c r="BD664" s="407"/>
      <c r="BE664" s="407"/>
      <c r="BF664" s="422"/>
      <c r="BG664" s="391">
        <f>SUM($AV$4:AV664)</f>
        <v>3507.2641428571533</v>
      </c>
      <c r="BH664" s="392">
        <f>SUM($AU$134:AU664)</f>
        <v>6368.4153333332888</v>
      </c>
      <c r="BI664" s="318">
        <f>SUMIFS($AU$134:AU665,$Q$134:Q665,"F")</f>
        <v>206.5333333333331</v>
      </c>
      <c r="BJ664" s="318">
        <f>SUMIFS($AU$134:AU665,$Q$134:Q665,"S")</f>
        <v>6212.4419999999964</v>
      </c>
      <c r="BK664" s="343">
        <f>SUMIFS($AU$134:AU665,$P$134:P665,"W")</f>
        <v>6027.7419999999347</v>
      </c>
      <c r="BL664" s="343">
        <f>SUMIFS($AU$134:AU665,$P$134:P665,"R")</f>
        <v>212.67333333333482</v>
      </c>
      <c r="BM664" s="343">
        <f>SUMIFS($AU$134:AU665,$AQ$134:AQ665,"M")</f>
        <v>2053.3999999999719</v>
      </c>
      <c r="BN664" s="343">
        <f>SUMIFS($AU$134:AU665,$AQ$134:AQ665,"H")</f>
        <v>2908.252000000015</v>
      </c>
      <c r="BO664" s="343">
        <f>SUMIFS($AU$134:AU665,$AQ$134:AQ665,"D")</f>
        <v>-110.31000000000026</v>
      </c>
      <c r="BP664" s="343">
        <f>SUMIFS($AU$134:AU667,$AQ$134:AQ667,"W")</f>
        <v>462.63333333333321</v>
      </c>
      <c r="BQ664" s="343">
        <f>SUMIFS($AU$134:AU665,$Q$134:Q665,"O")</f>
        <v>-457.76000000004638</v>
      </c>
      <c r="BR664" s="343">
        <f>SUMIFS($AU$134:AU665,$AA$134:AA665,"*")</f>
        <v>7649.4753333333119</v>
      </c>
      <c r="BS664" s="343">
        <f>SUMIFS($AU$134:AU665,$AB$134:AB665,"*")</f>
        <v>1341.439999999976</v>
      </c>
      <c r="BT664" s="343">
        <f>SUMIFS($AU$134:AU665,$AC$134:AC665,"*")</f>
        <v>2735.6833333333316</v>
      </c>
      <c r="BU664" s="343">
        <f>SUMIFS($AU$134:AU665,$AA$134:AA665,"*",$AB$134:AB665,"*")</f>
        <v>402.00000000000495</v>
      </c>
      <c r="BV664" s="343">
        <f>SUMIFS($AU$134:AU665,$AA$134:AA665,"*",$AC$134:AC665,"*")</f>
        <v>3700.7833333333328</v>
      </c>
      <c r="BW664" s="343">
        <f>SUMIFS($AU$134:AU665,$AB$134:AB665,"*",$AC$134:AC665,"*")</f>
        <v>2382.6</v>
      </c>
      <c r="BX664" s="343">
        <f>SUMIFS($AU665:AU$1388,$Q665:Q$1388,"F")</f>
        <v>14234.133333333335</v>
      </c>
      <c r="BY664" s="343">
        <f>SUMIFS($AU665:AU$1388,$Q665:Q$1388,"S")</f>
        <v>14379.2</v>
      </c>
      <c r="BZ664" s="343">
        <f>SUMIFS($AU665:AU$1388,$Q665:Q$1388,"O")</f>
        <v>-1191.0979999997521</v>
      </c>
    </row>
    <row r="665" spans="1:78" ht="15.75" customHeight="1">
      <c r="A665" s="221" t="s">
        <v>2798</v>
      </c>
      <c r="B665" s="200">
        <v>45082</v>
      </c>
      <c r="C665" s="178" t="s">
        <v>2843</v>
      </c>
      <c r="D665" s="178" t="s">
        <v>132</v>
      </c>
      <c r="E665" s="227"/>
      <c r="F665" s="180"/>
      <c r="G665" s="472" t="s">
        <v>181</v>
      </c>
      <c r="H665" s="182"/>
      <c r="I665" s="182"/>
      <c r="J665" s="182"/>
      <c r="K665" s="183"/>
      <c r="L665" s="182">
        <v>1</v>
      </c>
      <c r="M665" s="182"/>
      <c r="N665" s="182"/>
      <c r="O665" s="183" t="s">
        <v>95</v>
      </c>
      <c r="P665" s="183" t="s">
        <v>96</v>
      </c>
      <c r="Q665" s="183" t="s">
        <v>97</v>
      </c>
      <c r="R665" s="183">
        <v>10</v>
      </c>
      <c r="S665" s="183">
        <v>2</v>
      </c>
      <c r="T665" s="183">
        <v>5</v>
      </c>
      <c r="U665" s="183" t="s">
        <v>97</v>
      </c>
      <c r="V665" s="183"/>
      <c r="W665" s="183"/>
      <c r="X665" s="183"/>
      <c r="Y665" s="184">
        <f>IF(ISBLANK(O665),"",(IF(O665=UPPER("IB"),0.005,0.01)))</f>
        <v>0.01</v>
      </c>
      <c r="Z665" s="185">
        <f>IF(ISBLANK(O665),"",IF(O665="IB",8.63*200,IF(O665="IR",16*100,IF(O665="YT",20*100,IF(O665="YT-XT",24*200,IF(O665="TED",80*100))))))</f>
        <v>1600</v>
      </c>
      <c r="AA665" s="185"/>
      <c r="AB665" s="185"/>
      <c r="AC665" s="185" t="s">
        <v>2844</v>
      </c>
      <c r="AD665" s="649">
        <v>-0.13500000000000001</v>
      </c>
      <c r="AE665" s="182"/>
      <c r="AF665" s="332"/>
      <c r="AG665" s="182"/>
      <c r="AH665" s="182"/>
      <c r="AI665" s="182"/>
      <c r="AJ665" s="640"/>
      <c r="AK665" s="182"/>
      <c r="AL665" s="496">
        <f t="shared" si="247"/>
        <v>-32</v>
      </c>
      <c r="AM665" s="496">
        <f>AL665*(R665-S665)</f>
        <v>-256</v>
      </c>
      <c r="AN665" s="626"/>
      <c r="AO665" s="182"/>
      <c r="AP665" s="182" t="s">
        <v>2845</v>
      </c>
      <c r="AQ665" s="332" t="str">
        <f>UPPER(RIGHT(Journal_Live[[#This Row],[DURATION ]]))</f>
        <v>H</v>
      </c>
      <c r="AR665" s="182" t="s">
        <v>2846</v>
      </c>
      <c r="AS665" s="189">
        <v>-0.13</v>
      </c>
      <c r="AT665" s="189">
        <f>IF(ISBLANK(AS665),,IF(U665="S",AD665-AS665,AS665-AD665))</f>
        <v>-5.0000000000000044E-3</v>
      </c>
      <c r="AU665" s="187">
        <f>AV665*R665</f>
        <v>-80.000000000000071</v>
      </c>
      <c r="AV665" s="190">
        <f>IF(ISBLANK(AS665),,(AT665*Z665))</f>
        <v>-8.0000000000000071</v>
      </c>
      <c r="AW665" s="191" t="s">
        <v>229</v>
      </c>
      <c r="AX665" s="407" t="s">
        <v>2847</v>
      </c>
      <c r="AY665" s="407"/>
      <c r="AZ665" s="407"/>
      <c r="BA665" s="407"/>
      <c r="BB665" s="407"/>
      <c r="BC665" s="407"/>
      <c r="BD665" s="407"/>
      <c r="BE665" s="407"/>
      <c r="BF665" s="422"/>
      <c r="BG665" s="391">
        <f>SUM($AV$4:AV665)</f>
        <v>3499.2641428571533</v>
      </c>
      <c r="BH665" s="392">
        <f>SUM($AU$134:AU665)</f>
        <v>6288.4153333332888</v>
      </c>
      <c r="BI665" s="318">
        <f>SUMIFS($AU$134:AU666,$Q$134:Q666,"F")</f>
        <v>206.5333333333331</v>
      </c>
      <c r="BJ665" s="318">
        <f>SUMIFS($AU$134:AU666,$Q$134:Q666,"S")</f>
        <v>6212.4419999999964</v>
      </c>
      <c r="BK665" s="343">
        <f>SUMIFS($AU$134:AU666,$P$134:P666,"W")</f>
        <v>6027.7419999999347</v>
      </c>
      <c r="BL665" s="343">
        <f>SUMIFS($AU$134:AU666,$P$134:P666,"R")</f>
        <v>212.67333333333482</v>
      </c>
      <c r="BM665" s="343">
        <f>SUMIFS($AU$134:AU666,$AQ$134:AQ666,"M")</f>
        <v>2053.3999999999719</v>
      </c>
      <c r="BN665" s="343">
        <f>SUMIFS($AU$134:AU666,$AQ$134:AQ666,"H")</f>
        <v>2908.252000000015</v>
      </c>
      <c r="BO665" s="343">
        <f>SUMIFS($AU$134:AU666,$AQ$134:AQ666,"D")</f>
        <v>-110.31000000000026</v>
      </c>
      <c r="BP665" s="343">
        <f>SUMIFS($AU$134:AU668,$AQ$134:AQ668,"W")</f>
        <v>462.63333333333321</v>
      </c>
      <c r="BQ665" s="343">
        <f>SUMIFS($AU$134:AU666,$Q$134:Q666,"O")</f>
        <v>-457.76000000004638</v>
      </c>
      <c r="BR665" s="343">
        <f>SUMIFS($AU$134:AU666,$AA$134:AA666,"*")</f>
        <v>7649.4753333333119</v>
      </c>
      <c r="BS665" s="343">
        <f>SUMIFS($AU$134:AU666,$AB$134:AB666,"*")</f>
        <v>1341.439999999976</v>
      </c>
      <c r="BT665" s="343">
        <f>SUMIFS($AU$134:AU666,$AC$134:AC666,"*")</f>
        <v>2735.6833333333316</v>
      </c>
      <c r="BU665" s="343">
        <f>SUMIFS($AU$134:AU666,$AA$134:AA666,"*",$AB$134:AB666,"*")</f>
        <v>402.00000000000495</v>
      </c>
      <c r="BV665" s="343">
        <f>SUMIFS($AU$134:AU666,$AA$134:AA666,"*",$AC$134:AC666,"*")</f>
        <v>3700.7833333333328</v>
      </c>
      <c r="BW665" s="343">
        <f>SUMIFS($AU$134:AU666,$AB$134:AB666,"*",$AC$134:AC666,"*")</f>
        <v>2382.6</v>
      </c>
      <c r="BX665" s="343">
        <f>SUMIFS($AU666:AU$1388,$Q666:Q$1388,"F")</f>
        <v>14234.133333333335</v>
      </c>
      <c r="BY665" s="343">
        <f>SUMIFS($AU666:AU$1388,$Q666:Q$1388,"S")</f>
        <v>14459.2</v>
      </c>
      <c r="BZ665" s="343">
        <f>SUMIFS($AU666:AU$1388,$Q666:Q$1388,"O")</f>
        <v>-1191.0979999997521</v>
      </c>
    </row>
    <row r="666" spans="1:78" ht="15.75" customHeight="1">
      <c r="A666" s="221" t="s">
        <v>2798</v>
      </c>
      <c r="B666" s="200">
        <v>45082</v>
      </c>
      <c r="C666" s="178" t="s">
        <v>442</v>
      </c>
      <c r="D666" s="178" t="s">
        <v>132</v>
      </c>
      <c r="E666" s="227" t="s">
        <v>2848</v>
      </c>
      <c r="F666" s="180"/>
      <c r="G666" s="181"/>
      <c r="H666" s="182"/>
      <c r="I666" s="182"/>
      <c r="J666" s="182"/>
      <c r="K666" s="183"/>
      <c r="L666" s="182"/>
      <c r="M666" s="182"/>
      <c r="N666" s="182"/>
      <c r="O666" s="183"/>
      <c r="P666" s="183"/>
      <c r="Q666" s="183"/>
      <c r="R666" s="183"/>
      <c r="S666" s="183"/>
      <c r="T666" s="183"/>
      <c r="U666" s="183"/>
      <c r="V666" s="183"/>
      <c r="W666" s="183"/>
      <c r="X666" s="183"/>
      <c r="Y666" s="183"/>
      <c r="Z666" s="183"/>
      <c r="AA666" s="185"/>
      <c r="AB666" s="185"/>
      <c r="AC666" s="185"/>
      <c r="AD666" s="649"/>
      <c r="AE666" s="182"/>
      <c r="AF666" s="332"/>
      <c r="AG666" s="182"/>
      <c r="AH666" s="182"/>
      <c r="AI666" s="182"/>
      <c r="AJ666" s="640"/>
      <c r="AK666" s="182"/>
      <c r="AL666" s="496"/>
      <c r="AM666" s="496"/>
      <c r="AN666" s="626"/>
      <c r="AO666" s="182"/>
      <c r="AP666" s="182"/>
      <c r="AQ666" s="332" t="str">
        <f>UPPER(RIGHT(Journal_Live[[#This Row],[DURATION ]]))</f>
        <v/>
      </c>
      <c r="AR666" s="182"/>
      <c r="AS666" s="189"/>
      <c r="AT666" s="189"/>
      <c r="AU666" s="187"/>
      <c r="AV666" s="190"/>
      <c r="AW666" s="191"/>
      <c r="AX666" s="407" t="s">
        <v>2849</v>
      </c>
      <c r="AY666" s="407" t="s">
        <v>2850</v>
      </c>
      <c r="AZ666" s="407" t="s">
        <v>2851</v>
      </c>
      <c r="BA666" s="407" t="s">
        <v>2852</v>
      </c>
      <c r="BB666" s="407" t="s">
        <v>2853</v>
      </c>
      <c r="BC666" s="407" t="s">
        <v>2854</v>
      </c>
      <c r="BD666" s="407"/>
      <c r="BE666" s="407"/>
      <c r="BF666" s="422"/>
      <c r="BG666" s="391">
        <f>SUM($AV$4:AV666)</f>
        <v>3499.2641428571533</v>
      </c>
      <c r="BH666" s="392">
        <f>SUM($AU$134:AU666)</f>
        <v>6288.4153333332888</v>
      </c>
      <c r="BI666" s="318">
        <f>SUMIFS($AU$134:AU667,$Q$134:Q667,"F")</f>
        <v>206.5333333333331</v>
      </c>
      <c r="BJ666" s="318">
        <f>SUMIFS($AU$134:AU667,$Q$134:Q667,"S")</f>
        <v>6212.4419999999964</v>
      </c>
      <c r="BK666" s="343">
        <f>SUMIFS($AU$134:AU667,$P$134:P667,"W")</f>
        <v>6027.7419999999347</v>
      </c>
      <c r="BL666" s="343">
        <f>SUMIFS($AU$134:AU667,$P$134:P667,"R")</f>
        <v>212.67333333333482</v>
      </c>
      <c r="BM666" s="343">
        <f>SUMIFS($AU$134:AU667,$AQ$134:AQ667,"M")</f>
        <v>2053.3999999999719</v>
      </c>
      <c r="BN666" s="343">
        <f>SUMIFS($AU$134:AU667,$AQ$134:AQ667,"H")</f>
        <v>2908.252000000015</v>
      </c>
      <c r="BO666" s="343">
        <f>SUMIFS($AU$134:AU667,$AQ$134:AQ667,"D")</f>
        <v>-110.31000000000026</v>
      </c>
      <c r="BP666" s="343">
        <f>SUMIFS($AU$134:AU669,$AQ$134:AQ669,"W")</f>
        <v>462.63333333333321</v>
      </c>
      <c r="BQ666" s="343">
        <f>SUMIFS($AU$134:AU667,$Q$134:Q667,"O")</f>
        <v>-457.76000000004638</v>
      </c>
      <c r="BR666" s="343">
        <f>SUMIFS($AU$134:AU667,$AA$134:AA667,"*")</f>
        <v>7649.4753333333119</v>
      </c>
      <c r="BS666" s="343">
        <f>SUMIFS($AU$134:AU667,$AB$134:AB667,"*")</f>
        <v>1341.439999999976</v>
      </c>
      <c r="BT666" s="343">
        <f>SUMIFS($AU$134:AU667,$AC$134:AC667,"*")</f>
        <v>2735.6833333333316</v>
      </c>
      <c r="BU666" s="343">
        <f>SUMIFS($AU$134:AU667,$AA$134:AA667,"*",$AB$134:AB667,"*")</f>
        <v>402.00000000000495</v>
      </c>
      <c r="BV666" s="343">
        <f>SUMIFS($AU$134:AU667,$AA$134:AA667,"*",$AC$134:AC667,"*")</f>
        <v>3700.7833333333328</v>
      </c>
      <c r="BW666" s="343">
        <f>SUMIFS($AU$134:AU667,$AB$134:AB667,"*",$AC$134:AC667,"*")</f>
        <v>2382.6</v>
      </c>
      <c r="BX666" s="343">
        <f>SUMIFS($AU667:AU$1388,$Q667:Q$1388,"F")</f>
        <v>14234.133333333335</v>
      </c>
      <c r="BY666" s="343">
        <f>SUMIFS($AU667:AU$1388,$Q667:Q$1388,"S")</f>
        <v>14459.2</v>
      </c>
      <c r="BZ666" s="343">
        <f>SUMIFS($AU667:AU$1388,$Q667:Q$1388,"O")</f>
        <v>-1191.0979999997521</v>
      </c>
    </row>
    <row r="667" spans="1:78" ht="15.75" customHeight="1">
      <c r="A667" s="221" t="s">
        <v>2798</v>
      </c>
      <c r="B667" s="200"/>
      <c r="C667" s="178" t="s">
        <v>1187</v>
      </c>
      <c r="D667" s="178" t="s">
        <v>132</v>
      </c>
      <c r="E667" s="227" t="s">
        <v>2855</v>
      </c>
      <c r="F667" s="180"/>
      <c r="G667" s="181"/>
      <c r="H667" s="182"/>
      <c r="I667" s="182"/>
      <c r="J667" s="182">
        <v>1</v>
      </c>
      <c r="K667" s="183" t="s">
        <v>115</v>
      </c>
      <c r="L667" s="182"/>
      <c r="M667" s="182"/>
      <c r="N667" s="182"/>
      <c r="O667" s="183"/>
      <c r="P667" s="183"/>
      <c r="Q667" s="183"/>
      <c r="R667" s="183"/>
      <c r="S667" s="183"/>
      <c r="T667" s="183"/>
      <c r="U667" s="183"/>
      <c r="V667" s="183"/>
      <c r="W667" s="183"/>
      <c r="X667" s="183"/>
      <c r="Y667" s="183"/>
      <c r="Z667" s="183"/>
      <c r="AA667" s="185"/>
      <c r="AB667" s="185"/>
      <c r="AC667" s="185"/>
      <c r="AD667" s="649"/>
      <c r="AE667" s="182"/>
      <c r="AF667" s="332"/>
      <c r="AG667" s="182"/>
      <c r="AH667" s="182"/>
      <c r="AI667" s="182"/>
      <c r="AJ667" s="640"/>
      <c r="AK667" s="182"/>
      <c r="AL667" s="496"/>
      <c r="AM667" s="496"/>
      <c r="AN667" s="626"/>
      <c r="AO667" s="182"/>
      <c r="AP667" s="182"/>
      <c r="AQ667" s="332" t="str">
        <f>UPPER(RIGHT(Journal_Live[[#This Row],[DURATION ]]))</f>
        <v/>
      </c>
      <c r="AR667" s="182"/>
      <c r="AS667" s="189"/>
      <c r="AT667" s="189"/>
      <c r="AU667" s="187"/>
      <c r="AV667" s="190"/>
      <c r="AW667" s="191"/>
      <c r="AX667" s="407" t="s">
        <v>2856</v>
      </c>
      <c r="AY667" s="407" t="s">
        <v>2857</v>
      </c>
      <c r="AZ667" s="407" t="s">
        <v>2858</v>
      </c>
      <c r="BA667" s="407"/>
      <c r="BB667" s="407"/>
      <c r="BC667" s="407"/>
      <c r="BD667" s="407"/>
      <c r="BE667" s="407"/>
      <c r="BF667" s="422"/>
      <c r="BG667" s="391">
        <f>SUM($AV$4:AV667)</f>
        <v>3499.2641428571533</v>
      </c>
      <c r="BH667" s="392">
        <f>SUM($AU$134:AU667)</f>
        <v>6288.4153333332888</v>
      </c>
      <c r="BI667" s="318">
        <f>SUMIFS($AU$134:AU668,$Q$134:Q668,"F")</f>
        <v>206.5333333333331</v>
      </c>
      <c r="BJ667" s="318">
        <f>SUMIFS($AU$134:AU668,$Q$134:Q668,"S")</f>
        <v>6212.4419999999964</v>
      </c>
      <c r="BK667" s="343">
        <f>SUMIFS($AU$134:AU668,$P$134:P668,"W")</f>
        <v>6027.7419999999347</v>
      </c>
      <c r="BL667" s="343">
        <f>SUMIFS($AU$134:AU668,$P$134:P668,"R")</f>
        <v>212.67333333333482</v>
      </c>
      <c r="BM667" s="343">
        <f>SUMIFS($AU$134:AU668,$AQ$134:AQ668,"M")</f>
        <v>2053.3999999999719</v>
      </c>
      <c r="BN667" s="343">
        <f>SUMIFS($AU$134:AU668,$AQ$134:AQ668,"H")</f>
        <v>2908.252000000015</v>
      </c>
      <c r="BO667" s="343">
        <f>SUMIFS($AU$134:AU668,$AQ$134:AQ668,"D")</f>
        <v>-110.31000000000026</v>
      </c>
      <c r="BP667" s="343">
        <f>SUMIFS($AU$134:AU670,$AQ$134:AQ670,"W")</f>
        <v>462.63333333333321</v>
      </c>
      <c r="BQ667" s="343">
        <f>SUMIFS($AU$134:AU668,$Q$134:Q668,"O")</f>
        <v>-457.76000000004638</v>
      </c>
      <c r="BR667" s="343">
        <f>SUMIFS($AU$134:AU668,$AA$134:AA668,"*")</f>
        <v>7649.4753333333119</v>
      </c>
      <c r="BS667" s="343">
        <f>SUMIFS($AU$134:AU668,$AB$134:AB668,"*")</f>
        <v>1341.439999999976</v>
      </c>
      <c r="BT667" s="343">
        <f>SUMIFS($AU$134:AU668,$AC$134:AC668,"*")</f>
        <v>2735.6833333333316</v>
      </c>
      <c r="BU667" s="343">
        <f>SUMIFS($AU$134:AU668,$AA$134:AA668,"*",$AB$134:AB668,"*")</f>
        <v>402.00000000000495</v>
      </c>
      <c r="BV667" s="343">
        <f>SUMIFS($AU$134:AU668,$AA$134:AA668,"*",$AC$134:AC668,"*")</f>
        <v>3700.7833333333328</v>
      </c>
      <c r="BW667" s="343">
        <f>SUMIFS($AU$134:AU668,$AB$134:AB668,"*",$AC$134:AC668,"*")</f>
        <v>2382.6</v>
      </c>
      <c r="BX667" s="343">
        <f>SUMIFS($AU668:AU$1388,$Q668:Q$1388,"F")</f>
        <v>14234.133333333335</v>
      </c>
      <c r="BY667" s="343">
        <f>SUMIFS($AU668:AU$1388,$Q668:Q$1388,"S")</f>
        <v>14459.2</v>
      </c>
      <c r="BZ667" s="343">
        <f>SUMIFS($AU668:AU$1388,$Q668:Q$1388,"O")</f>
        <v>-1191.0979999997521</v>
      </c>
    </row>
    <row r="668" spans="1:78" ht="15.75" customHeight="1">
      <c r="A668" s="221" t="s">
        <v>2798</v>
      </c>
      <c r="B668" s="200">
        <v>45082</v>
      </c>
      <c r="C668" s="178"/>
      <c r="D668" s="178" t="s">
        <v>132</v>
      </c>
      <c r="E668" s="227"/>
      <c r="F668" s="180"/>
      <c r="G668" s="181" t="s">
        <v>2070</v>
      </c>
      <c r="H668" s="182"/>
      <c r="I668" s="182"/>
      <c r="J668" s="182"/>
      <c r="K668" s="183"/>
      <c r="L668" s="182"/>
      <c r="M668" s="182"/>
      <c r="N668" s="182"/>
      <c r="O668" s="183"/>
      <c r="P668" s="183"/>
      <c r="Q668" s="183"/>
      <c r="R668" s="183"/>
      <c r="S668" s="183"/>
      <c r="T668" s="183"/>
      <c r="U668" s="183"/>
      <c r="V668" s="183"/>
      <c r="W668" s="183"/>
      <c r="X668" s="183"/>
      <c r="Y668" s="184"/>
      <c r="Z668" s="185"/>
      <c r="AA668" s="185"/>
      <c r="AB668" s="409"/>
      <c r="AC668" s="185"/>
      <c r="AD668" s="649"/>
      <c r="AE668" s="182"/>
      <c r="AF668" s="332"/>
      <c r="AG668" s="182"/>
      <c r="AH668" s="182"/>
      <c r="AI668" s="182"/>
      <c r="AJ668" s="640"/>
      <c r="AK668" s="182"/>
      <c r="AL668" s="496"/>
      <c r="AM668" s="496"/>
      <c r="AN668" s="626"/>
      <c r="AO668" s="182"/>
      <c r="AP668" s="182"/>
      <c r="AQ668" s="332" t="str">
        <f>UPPER(RIGHT(Journal_Live[[#This Row],[DURATION ]]))</f>
        <v/>
      </c>
      <c r="AR668" s="182"/>
      <c r="AS668" s="189"/>
      <c r="AT668" s="189"/>
      <c r="AU668" s="187"/>
      <c r="AV668" s="190"/>
      <c r="AW668" s="191"/>
      <c r="AX668" s="407" t="s">
        <v>2859</v>
      </c>
      <c r="AY668" s="407"/>
      <c r="AZ668" s="407"/>
      <c r="BA668" s="407"/>
      <c r="BB668" s="407"/>
      <c r="BC668" s="407"/>
      <c r="BD668" s="407"/>
      <c r="BE668" s="407"/>
      <c r="BF668" s="422"/>
      <c r="BG668" s="391">
        <f>SUM($AV$4:AV668)</f>
        <v>3499.2641428571533</v>
      </c>
      <c r="BH668" s="392">
        <f>SUM($AU$134:AU668)</f>
        <v>6288.4153333332888</v>
      </c>
      <c r="BI668" s="318">
        <f>SUMIFS($AU$134:AU669,$Q$134:Q669,"F")</f>
        <v>206.5333333333331</v>
      </c>
      <c r="BJ668" s="318">
        <f>SUMIFS($AU$134:AU669,$Q$134:Q669,"S")</f>
        <v>6212.4419999999964</v>
      </c>
      <c r="BK668" s="343">
        <f>SUMIFS($AU$134:AU669,$P$134:P669,"W")</f>
        <v>6027.7419999999347</v>
      </c>
      <c r="BL668" s="343">
        <f>SUMIFS($AU$134:AU669,$P$134:P669,"R")</f>
        <v>212.67333333333482</v>
      </c>
      <c r="BM668" s="343">
        <f>SUMIFS($AU$134:AU669,$AQ$134:AQ669,"M")</f>
        <v>2053.3999999999719</v>
      </c>
      <c r="BN668" s="343">
        <f>SUMIFS($AU$134:AU669,$AQ$134:AQ669,"H")</f>
        <v>2908.252000000015</v>
      </c>
      <c r="BO668" s="343">
        <f>SUMIFS($AU$134:AU669,$AQ$134:AQ669,"D")</f>
        <v>-110.31000000000026</v>
      </c>
      <c r="BP668" s="343">
        <f>SUMIFS($AU$134:AU671,$AQ$134:AQ671,"W")</f>
        <v>462.63333333333321</v>
      </c>
      <c r="BQ668" s="343">
        <f>SUMIFS($AU$134:AU669,$Q$134:Q669,"O")</f>
        <v>-457.76000000004638</v>
      </c>
      <c r="BR668" s="343">
        <f>SUMIFS($AU$134:AU669,$AA$134:AA669,"*")</f>
        <v>7649.4753333333119</v>
      </c>
      <c r="BS668" s="343">
        <f>SUMIFS($AU$134:AU669,$AB$134:AB669,"*")</f>
        <v>1341.439999999976</v>
      </c>
      <c r="BT668" s="343">
        <f>SUMIFS($AU$134:AU669,$AC$134:AC669,"*")</f>
        <v>2735.6833333333316</v>
      </c>
      <c r="BU668" s="343">
        <f>SUMIFS($AU$134:AU669,$AA$134:AA669,"*",$AB$134:AB669,"*")</f>
        <v>402.00000000000495</v>
      </c>
      <c r="BV668" s="343">
        <f>SUMIFS($AU$134:AU669,$AA$134:AA669,"*",$AC$134:AC669,"*")</f>
        <v>3700.7833333333328</v>
      </c>
      <c r="BW668" s="343">
        <f>SUMIFS($AU$134:AU669,$AB$134:AB669,"*",$AC$134:AC669,"*")</f>
        <v>2382.6</v>
      </c>
      <c r="BX668" s="343">
        <f>SUMIFS($AU669:AU$1388,$Q669:Q$1388,"F")</f>
        <v>14234.133333333335</v>
      </c>
      <c r="BY668" s="343">
        <f>SUMIFS($AU669:AU$1388,$Q669:Q$1388,"S")</f>
        <v>14459.2</v>
      </c>
      <c r="BZ668" s="343">
        <f>SUMIFS($AU669:AU$1388,$Q669:Q$1388,"O")</f>
        <v>-1191.0979999997521</v>
      </c>
    </row>
    <row r="669" spans="1:78" ht="15.75" customHeight="1">
      <c r="A669" s="221" t="s">
        <v>2798</v>
      </c>
      <c r="B669" s="200">
        <v>45083</v>
      </c>
      <c r="C669" s="178" t="s">
        <v>2860</v>
      </c>
      <c r="D669" s="178" t="s">
        <v>146</v>
      </c>
      <c r="E669" s="227" t="s">
        <v>2861</v>
      </c>
      <c r="F669" s="180" t="s">
        <v>2862</v>
      </c>
      <c r="G669" s="181"/>
      <c r="H669" s="182"/>
      <c r="I669" s="182"/>
      <c r="J669" s="182"/>
      <c r="K669" s="183"/>
      <c r="L669" s="182"/>
      <c r="M669" s="182"/>
      <c r="N669" s="182"/>
      <c r="O669" s="183"/>
      <c r="P669" s="183"/>
      <c r="Q669" s="183"/>
      <c r="R669" s="183"/>
      <c r="S669" s="183"/>
      <c r="T669" s="183"/>
      <c r="U669" s="183"/>
      <c r="V669" s="183"/>
      <c r="W669" s="183"/>
      <c r="X669" s="183"/>
      <c r="Y669" s="183"/>
      <c r="Z669" s="183"/>
      <c r="AA669" s="185"/>
      <c r="AB669" s="185"/>
      <c r="AC669" s="185"/>
      <c r="AD669" s="649"/>
      <c r="AE669" s="182"/>
      <c r="AF669" s="332"/>
      <c r="AG669" s="182"/>
      <c r="AH669" s="182"/>
      <c r="AI669" s="182"/>
      <c r="AJ669" s="640"/>
      <c r="AK669" s="182"/>
      <c r="AL669" s="496"/>
      <c r="AM669" s="496"/>
      <c r="AN669" s="626"/>
      <c r="AO669" s="182"/>
      <c r="AP669" s="182"/>
      <c r="AQ669" s="332" t="str">
        <f>UPPER(RIGHT(Journal_Live[[#This Row],[DURATION ]]))</f>
        <v/>
      </c>
      <c r="AR669" s="182"/>
      <c r="AS669" s="189"/>
      <c r="AT669" s="189"/>
      <c r="AU669" s="187"/>
      <c r="AV669" s="190"/>
      <c r="AW669" s="191"/>
      <c r="AX669" s="407" t="s">
        <v>2863</v>
      </c>
      <c r="AY669" s="407" t="s">
        <v>2864</v>
      </c>
      <c r="AZ669" s="407" t="s">
        <v>2865</v>
      </c>
      <c r="BA669" s="407" t="s">
        <v>2866</v>
      </c>
      <c r="BB669" s="407" t="s">
        <v>2867</v>
      </c>
      <c r="BC669" s="407"/>
      <c r="BD669" s="407"/>
      <c r="BE669" s="407"/>
      <c r="BF669" s="422"/>
      <c r="BG669" s="391">
        <f>SUM($AV$4:AV669)</f>
        <v>3499.2641428571533</v>
      </c>
      <c r="BH669" s="392">
        <f>SUM($AU$134:AU669)</f>
        <v>6288.4153333332888</v>
      </c>
      <c r="BI669" s="318">
        <f>SUMIFS($AU$134:AU670,$Q$134:Q670,"F")</f>
        <v>206.5333333333331</v>
      </c>
      <c r="BJ669" s="318">
        <f>SUMIFS($AU$134:AU670,$Q$134:Q670,"S")</f>
        <v>6212.4419999999964</v>
      </c>
      <c r="BK669" s="343">
        <f>SUMIFS($AU$134:AU670,$P$134:P670,"W")</f>
        <v>6027.7419999999347</v>
      </c>
      <c r="BL669" s="343">
        <f>SUMIFS($AU$134:AU670,$P$134:P670,"R")</f>
        <v>212.67333333333482</v>
      </c>
      <c r="BM669" s="343">
        <f>SUMIFS($AU$134:AU670,$AQ$134:AQ670,"M")</f>
        <v>2053.3999999999719</v>
      </c>
      <c r="BN669" s="343">
        <f>SUMIFS($AU$134:AU670,$AQ$134:AQ670,"H")</f>
        <v>2908.252000000015</v>
      </c>
      <c r="BO669" s="343">
        <f>SUMIFS($AU$134:AU670,$AQ$134:AQ670,"D")</f>
        <v>-110.31000000000026</v>
      </c>
      <c r="BP669" s="343">
        <f>SUMIFS($AU$134:AU672,$AQ$134:AQ672,"W")</f>
        <v>462.63333333333321</v>
      </c>
      <c r="BQ669" s="343">
        <f>SUMIFS($AU$134:AU670,$Q$134:Q670,"O")</f>
        <v>-457.76000000004638</v>
      </c>
      <c r="BR669" s="343">
        <f>SUMIFS($AU$134:AU670,$AA$134:AA670,"*")</f>
        <v>7649.4753333333119</v>
      </c>
      <c r="BS669" s="343">
        <f>SUMIFS($AU$134:AU670,$AB$134:AB670,"*")</f>
        <v>1341.439999999976</v>
      </c>
      <c r="BT669" s="343">
        <f>SUMIFS($AU$134:AU670,$AC$134:AC670,"*")</f>
        <v>2735.6833333333316</v>
      </c>
      <c r="BU669" s="343">
        <f>SUMIFS($AU$134:AU670,$AA$134:AA670,"*",$AB$134:AB670,"*")</f>
        <v>402.00000000000495</v>
      </c>
      <c r="BV669" s="343">
        <f>SUMIFS($AU$134:AU670,$AA$134:AA670,"*",$AC$134:AC670,"*")</f>
        <v>3700.7833333333328</v>
      </c>
      <c r="BW669" s="343">
        <f>SUMIFS($AU$134:AU670,$AB$134:AB670,"*",$AC$134:AC670,"*")</f>
        <v>2382.6</v>
      </c>
      <c r="BX669" s="343">
        <f>SUMIFS($AU670:AU$1388,$Q670:Q$1388,"F")</f>
        <v>14234.133333333335</v>
      </c>
      <c r="BY669" s="343">
        <f>SUMIFS($AU670:AU$1388,$Q670:Q$1388,"S")</f>
        <v>14459.2</v>
      </c>
      <c r="BZ669" s="343">
        <f>SUMIFS($AU670:AU$1388,$Q670:Q$1388,"O")</f>
        <v>-1191.0979999997521</v>
      </c>
    </row>
    <row r="670" spans="1:78" ht="15.75" customHeight="1">
      <c r="A670" s="221" t="s">
        <v>2798</v>
      </c>
      <c r="B670" s="200">
        <v>45083</v>
      </c>
      <c r="C670" s="178" t="s">
        <v>682</v>
      </c>
      <c r="D670" s="178" t="s">
        <v>146</v>
      </c>
      <c r="E670" s="227"/>
      <c r="F670" s="180"/>
      <c r="G670" s="181" t="s">
        <v>2617</v>
      </c>
      <c r="H670" s="182"/>
      <c r="I670" s="182"/>
      <c r="J670" s="182"/>
      <c r="K670" s="183"/>
      <c r="L670" s="182">
        <v>2</v>
      </c>
      <c r="M670" s="182">
        <v>2</v>
      </c>
      <c r="N670" s="182"/>
      <c r="O670" s="183" t="s">
        <v>95</v>
      </c>
      <c r="P670" s="183" t="s">
        <v>137</v>
      </c>
      <c r="Q670" s="183" t="s">
        <v>97</v>
      </c>
      <c r="R670" s="183">
        <v>10</v>
      </c>
      <c r="S670" s="183">
        <v>0</v>
      </c>
      <c r="T670" s="183">
        <v>10</v>
      </c>
      <c r="U670" s="183" t="s">
        <v>22</v>
      </c>
      <c r="V670" s="183"/>
      <c r="W670" s="183"/>
      <c r="X670" s="183"/>
      <c r="Y670" s="184">
        <f t="shared" ref="Y670:Y677" si="248">IF(ISBLANK(O670),"",(IF(O670=UPPER("IB"),0.005,0.01)))</f>
        <v>0.01</v>
      </c>
      <c r="Z670" s="185">
        <f t="shared" ref="Z670:Z677" si="249">IF(ISBLANK(O670),"",IF(O670="IB",8.63*200,IF(O670="IR",16*100,IF(O670="YT",20*100,IF(O670="YT-XT",24*200,IF(O670="TED",80*100))))))</f>
        <v>1600</v>
      </c>
      <c r="AA670" s="185" t="s">
        <v>2868</v>
      </c>
      <c r="AB670" s="409" t="s">
        <v>2869</v>
      </c>
      <c r="AC670" s="185" t="s">
        <v>2870</v>
      </c>
      <c r="AD670" s="649">
        <v>-0.04</v>
      </c>
      <c r="AE670" s="182"/>
      <c r="AF670" s="332">
        <v>-6</v>
      </c>
      <c r="AG670" s="182" t="s">
        <v>2871</v>
      </c>
      <c r="AH670" s="182" t="s">
        <v>2872</v>
      </c>
      <c r="AI670" s="182"/>
      <c r="AJ670" s="640"/>
      <c r="AK670" s="182"/>
      <c r="AL670" s="496"/>
      <c r="AM670" s="496"/>
      <c r="AN670" s="626"/>
      <c r="AO670" s="182"/>
      <c r="AP670" s="182"/>
      <c r="AQ670" s="332" t="str">
        <f>UPPER(RIGHT(Journal_Live[[#This Row],[DURATION ]]))</f>
        <v/>
      </c>
      <c r="AR670" s="182"/>
      <c r="AS670" s="189"/>
      <c r="AT670" s="189"/>
      <c r="AU670" s="187"/>
      <c r="AV670" s="190"/>
      <c r="AW670" s="191"/>
      <c r="AX670" s="407"/>
      <c r="AY670" s="407"/>
      <c r="AZ670" s="407"/>
      <c r="BA670" s="407"/>
      <c r="BB670" s="407"/>
      <c r="BC670" s="407"/>
      <c r="BD670" s="407"/>
      <c r="BE670" s="407"/>
      <c r="BF670" s="422"/>
      <c r="BG670" s="391">
        <f>SUM($AV$4:AV670)</f>
        <v>3499.2641428571533</v>
      </c>
      <c r="BH670" s="392">
        <f>SUM($AU$134:AU670)</f>
        <v>6288.4153333332888</v>
      </c>
      <c r="BI670" s="318">
        <f>SUMIFS($AU$134:AU671,$Q$134:Q671,"F")</f>
        <v>206.5333333333331</v>
      </c>
      <c r="BJ670" s="318">
        <f>SUMIFS($AU$134:AU671,$Q$134:Q671,"S")</f>
        <v>6228.4419999999964</v>
      </c>
      <c r="BK670" s="343">
        <f>SUMIFS($AU$134:AU671,$P$134:P671,"W")</f>
        <v>6027.7419999999347</v>
      </c>
      <c r="BL670" s="343">
        <f>SUMIFS($AU$134:AU671,$P$134:P671,"R")</f>
        <v>228.67333333333482</v>
      </c>
      <c r="BM670" s="343">
        <f>SUMIFS($AU$134:AU671,$AQ$134:AQ671,"M")</f>
        <v>2053.3999999999719</v>
      </c>
      <c r="BN670" s="343">
        <f>SUMIFS($AU$134:AU671,$AQ$134:AQ671,"H")</f>
        <v>2908.252000000015</v>
      </c>
      <c r="BO670" s="343">
        <f>SUMIFS($AU$134:AU671,$AQ$134:AQ671,"D")</f>
        <v>-110.31000000000026</v>
      </c>
      <c r="BP670" s="343">
        <f>SUMIFS($AU$134:AU673,$AQ$134:AQ673,"W")</f>
        <v>462.63333333333321</v>
      </c>
      <c r="BQ670" s="343">
        <f>SUMIFS($AU$134:AU671,$Q$134:Q671,"O")</f>
        <v>-457.76000000004638</v>
      </c>
      <c r="BR670" s="343">
        <f>SUMIFS($AU$134:AU671,$AA$134:AA671,"*")</f>
        <v>7665.4753333333119</v>
      </c>
      <c r="BS670" s="343">
        <f>SUMIFS($AU$134:AU671,$AB$134:AB671,"*")</f>
        <v>1341.439999999976</v>
      </c>
      <c r="BT670" s="343">
        <f>SUMIFS($AU$134:AU671,$AC$134:AC671,"*")</f>
        <v>2735.6833333333316</v>
      </c>
      <c r="BU670" s="343">
        <f>SUMIFS($AU$134:AU671,$AA$134:AA671,"*",$AB$134:AB671,"*")</f>
        <v>402.00000000000495</v>
      </c>
      <c r="BV670" s="343">
        <f>SUMIFS($AU$134:AU671,$AA$134:AA671,"*",$AC$134:AC671,"*")</f>
        <v>3700.7833333333328</v>
      </c>
      <c r="BW670" s="343">
        <f>SUMIFS($AU$134:AU671,$AB$134:AB671,"*",$AC$134:AC671,"*")</f>
        <v>2382.6</v>
      </c>
      <c r="BX670" s="343">
        <f>SUMIFS($AU671:AU$1388,$Q671:Q$1388,"F")</f>
        <v>14234.133333333335</v>
      </c>
      <c r="BY670" s="343">
        <f>SUMIFS($AU671:AU$1388,$Q671:Q$1388,"S")</f>
        <v>14459.2</v>
      </c>
      <c r="BZ670" s="343">
        <f>SUMIFS($AU671:AU$1388,$Q671:Q$1388,"O")</f>
        <v>-1191.0979999997521</v>
      </c>
    </row>
    <row r="671" spans="1:78" ht="15.75" customHeight="1">
      <c r="A671" s="221" t="s">
        <v>2798</v>
      </c>
      <c r="B671" s="200">
        <v>45083</v>
      </c>
      <c r="C671" s="178" t="s">
        <v>682</v>
      </c>
      <c r="D671" s="178" t="s">
        <v>146</v>
      </c>
      <c r="E671" s="227"/>
      <c r="F671" s="180"/>
      <c r="G671" s="181" t="s">
        <v>2016</v>
      </c>
      <c r="H671" s="182"/>
      <c r="I671" s="182"/>
      <c r="J671" s="182"/>
      <c r="K671" s="183"/>
      <c r="L671" s="182">
        <v>1</v>
      </c>
      <c r="M671" s="182"/>
      <c r="N671" s="182"/>
      <c r="O671" s="183" t="s">
        <v>95</v>
      </c>
      <c r="P671" s="183" t="s">
        <v>137</v>
      </c>
      <c r="Q671" s="183" t="s">
        <v>97</v>
      </c>
      <c r="R671" s="183">
        <v>1</v>
      </c>
      <c r="S671" s="183">
        <v>0</v>
      </c>
      <c r="T671" s="183">
        <v>1</v>
      </c>
      <c r="U671" s="183" t="s">
        <v>22</v>
      </c>
      <c r="V671" s="183"/>
      <c r="W671" s="183"/>
      <c r="X671" s="183"/>
      <c r="Y671" s="184">
        <f t="shared" si="248"/>
        <v>0.01</v>
      </c>
      <c r="Z671" s="185">
        <f t="shared" si="249"/>
        <v>1600</v>
      </c>
      <c r="AA671" s="185" t="s">
        <v>99</v>
      </c>
      <c r="AB671" s="185"/>
      <c r="AC671" s="185"/>
      <c r="AD671" s="649">
        <v>-0.14000000000000001</v>
      </c>
      <c r="AE671" s="182"/>
      <c r="AF671" s="332"/>
      <c r="AG671" s="182"/>
      <c r="AH671" s="182"/>
      <c r="AI671" s="182"/>
      <c r="AJ671" s="640"/>
      <c r="AK671" s="182"/>
      <c r="AL671" s="496">
        <f t="shared" ref="AL671:AL672" si="250">-0.02*Z671</f>
        <v>-32</v>
      </c>
      <c r="AM671" s="496">
        <f t="shared" ref="AM671:AM677" si="251">AL671*(R671-S671)</f>
        <v>-32</v>
      </c>
      <c r="AN671" s="626"/>
      <c r="AO671" s="182"/>
      <c r="AP671" s="182"/>
      <c r="AQ671" s="332" t="str">
        <f>UPPER(RIGHT(Journal_Live[[#This Row],[DURATION ]]))</f>
        <v/>
      </c>
      <c r="AR671" s="182" t="s">
        <v>1142</v>
      </c>
      <c r="AS671" s="189">
        <v>-0.13</v>
      </c>
      <c r="AT671" s="189">
        <f t="shared" ref="AT671:AT677" si="252">IF(ISBLANK(AS671),,IF(U671="S",AD671-AS671,AS671-AD671))</f>
        <v>1.0000000000000009E-2</v>
      </c>
      <c r="AU671" s="187">
        <f t="shared" ref="AU671:AU677" si="253">AV671*R671</f>
        <v>16.000000000000014</v>
      </c>
      <c r="AV671" s="190">
        <f t="shared" ref="AV671:AV677" si="254">IF(ISBLANK(AS671),,(AT671*Z671))</f>
        <v>16.000000000000014</v>
      </c>
      <c r="AW671" s="191" t="s">
        <v>96</v>
      </c>
      <c r="AX671" s="407"/>
      <c r="AY671" s="407"/>
      <c r="AZ671" s="407"/>
      <c r="BA671" s="407"/>
      <c r="BB671" s="407"/>
      <c r="BC671" s="407"/>
      <c r="BD671" s="407"/>
      <c r="BE671" s="407"/>
      <c r="BF671" s="422"/>
      <c r="BG671" s="391">
        <f>SUM($AV$4:AV671)</f>
        <v>3515.2641428571533</v>
      </c>
      <c r="BH671" s="392">
        <f>SUM($AU$134:AU671)</f>
        <v>6304.4153333332888</v>
      </c>
      <c r="BI671" s="318">
        <f>SUMIFS($AU$134:AU672,$Q$134:Q672,"F")</f>
        <v>206.5333333333331</v>
      </c>
      <c r="BJ671" s="318">
        <f>SUMIFS($AU$134:AU672,$Q$134:Q672,"S")</f>
        <v>6228.4419999999964</v>
      </c>
      <c r="BK671" s="343">
        <f>SUMIFS($AU$134:AU672,$P$134:P672,"W")</f>
        <v>6027.7419999999347</v>
      </c>
      <c r="BL671" s="343">
        <f>SUMIFS($AU$134:AU672,$P$134:P672,"R")</f>
        <v>228.67333333333482</v>
      </c>
      <c r="BM671" s="343">
        <f>SUMIFS($AU$134:AU672,$AQ$134:AQ672,"M")</f>
        <v>2053.3999999999719</v>
      </c>
      <c r="BN671" s="343">
        <f>SUMIFS($AU$134:AU672,$AQ$134:AQ672,"H")</f>
        <v>2908.252000000015</v>
      </c>
      <c r="BO671" s="343">
        <f>SUMIFS($AU$134:AU672,$AQ$134:AQ672,"D")</f>
        <v>-110.31000000000026</v>
      </c>
      <c r="BP671" s="343">
        <f>SUMIFS($AU$134:AU674,$AQ$134:AQ674,"W")</f>
        <v>505.78333333334302</v>
      </c>
      <c r="BQ671" s="343">
        <f>SUMIFS($AU$134:AU672,$Q$134:Q672,"O")</f>
        <v>-457.76000000004638</v>
      </c>
      <c r="BR671" s="343">
        <f>SUMIFS($AU$134:AU672,$AA$134:AA672,"*")</f>
        <v>7665.4753333333119</v>
      </c>
      <c r="BS671" s="343">
        <f>SUMIFS($AU$134:AU672,$AB$134:AB672,"*")</f>
        <v>1341.439999999976</v>
      </c>
      <c r="BT671" s="343">
        <f>SUMIFS($AU$134:AU672,$AC$134:AC672,"*")</f>
        <v>2735.6833333333316</v>
      </c>
      <c r="BU671" s="343">
        <f>SUMIFS($AU$134:AU672,$AA$134:AA672,"*",$AB$134:AB672,"*")</f>
        <v>402.00000000000495</v>
      </c>
      <c r="BV671" s="343">
        <f>SUMIFS($AU$134:AU672,$AA$134:AA672,"*",$AC$134:AC672,"*")</f>
        <v>3700.7833333333328</v>
      </c>
      <c r="BW671" s="343">
        <f>SUMIFS($AU$134:AU672,$AB$134:AB672,"*",$AC$134:AC672,"*")</f>
        <v>2382.6</v>
      </c>
      <c r="BX671" s="343">
        <f>SUMIFS($AU672:AU$1388,$Q672:Q$1388,"F")</f>
        <v>14234.133333333335</v>
      </c>
      <c r="BY671" s="343">
        <f>SUMIFS($AU672:AU$1388,$Q672:Q$1388,"S")</f>
        <v>14443.2</v>
      </c>
      <c r="BZ671" s="343">
        <f>SUMIFS($AU672:AU$1388,$Q672:Q$1388,"O")</f>
        <v>-1191.0979999997521</v>
      </c>
    </row>
    <row r="672" spans="1:78" ht="15.75" customHeight="1">
      <c r="A672" s="221" t="s">
        <v>2798</v>
      </c>
      <c r="B672" s="200">
        <v>45083</v>
      </c>
      <c r="C672" s="178" t="s">
        <v>682</v>
      </c>
      <c r="D672" s="178" t="s">
        <v>146</v>
      </c>
      <c r="E672" s="227"/>
      <c r="F672" s="180"/>
      <c r="G672" s="281" t="s">
        <v>2145</v>
      </c>
      <c r="H672" s="182"/>
      <c r="I672" s="182"/>
      <c r="J672" s="182"/>
      <c r="K672" s="183"/>
      <c r="L672" s="182">
        <v>1</v>
      </c>
      <c r="M672" s="182"/>
      <c r="N672" s="182"/>
      <c r="O672" s="183" t="s">
        <v>95</v>
      </c>
      <c r="P672" s="183" t="s">
        <v>96</v>
      </c>
      <c r="Q672" s="183" t="s">
        <v>97</v>
      </c>
      <c r="R672" s="183">
        <v>10</v>
      </c>
      <c r="S672" s="183">
        <v>0</v>
      </c>
      <c r="T672" s="183">
        <v>10</v>
      </c>
      <c r="U672" s="183" t="s">
        <v>22</v>
      </c>
      <c r="V672" s="183"/>
      <c r="W672" s="183"/>
      <c r="X672" s="183"/>
      <c r="Y672" s="184">
        <f t="shared" si="248"/>
        <v>0.01</v>
      </c>
      <c r="Z672" s="185">
        <f t="shared" si="249"/>
        <v>1600</v>
      </c>
      <c r="AA672" s="185"/>
      <c r="AB672" s="185" t="s">
        <v>2873</v>
      </c>
      <c r="AC672" s="185"/>
      <c r="AD672" s="649">
        <v>-0.1</v>
      </c>
      <c r="AE672" s="182"/>
      <c r="AF672" s="332"/>
      <c r="AG672" s="182"/>
      <c r="AH672" s="182"/>
      <c r="AI672" s="182"/>
      <c r="AJ672" s="640"/>
      <c r="AK672" s="182"/>
      <c r="AL672" s="496">
        <f t="shared" si="250"/>
        <v>-32</v>
      </c>
      <c r="AM672" s="496">
        <f t="shared" si="251"/>
        <v>-320</v>
      </c>
      <c r="AN672" s="626"/>
      <c r="AO672" s="182"/>
      <c r="AP672" s="182" t="s">
        <v>2874</v>
      </c>
      <c r="AQ672" s="332" t="str">
        <f>UPPER(RIGHT(Journal_Live[[#This Row],[DURATION ]]))</f>
        <v xml:space="preserve"> </v>
      </c>
      <c r="AR672" s="182" t="s">
        <v>2875</v>
      </c>
      <c r="AS672" s="189">
        <v>-0.1</v>
      </c>
      <c r="AT672" s="189">
        <f t="shared" si="252"/>
        <v>0</v>
      </c>
      <c r="AU672" s="187">
        <f t="shared" si="253"/>
        <v>0</v>
      </c>
      <c r="AV672" s="190">
        <f t="shared" si="254"/>
        <v>0</v>
      </c>
      <c r="AW672" s="191" t="s">
        <v>115</v>
      </c>
      <c r="AX672" s="407"/>
      <c r="AY672" s="407"/>
      <c r="AZ672" s="407"/>
      <c r="BA672" s="407"/>
      <c r="BB672" s="407"/>
      <c r="BC672" s="407"/>
      <c r="BD672" s="407"/>
      <c r="BE672" s="407"/>
      <c r="BF672" s="422"/>
      <c r="BG672" s="391">
        <f>SUM($AV$4:AV672)</f>
        <v>3515.2641428571533</v>
      </c>
      <c r="BH672" s="392">
        <f>SUM($AU$134:AU672)</f>
        <v>6304.4153333332888</v>
      </c>
      <c r="BI672" s="318">
        <f>SUMIFS($AU$134:AU673,$Q$134:Q673,"F")</f>
        <v>206.5333333333331</v>
      </c>
      <c r="BJ672" s="318">
        <f>SUMIFS($AU$134:AU673,$Q$134:Q673,"S")</f>
        <v>6388.4419999999964</v>
      </c>
      <c r="BK672" s="343">
        <f>SUMIFS($AU$134:AU673,$P$134:P673,"W")</f>
        <v>6187.7419999999347</v>
      </c>
      <c r="BL672" s="343">
        <f>SUMIFS($AU$134:AU673,$P$134:P673,"R")</f>
        <v>228.67333333333482</v>
      </c>
      <c r="BM672" s="343">
        <f>SUMIFS($AU$134:AU673,$AQ$134:AQ673,"M")</f>
        <v>2053.3999999999719</v>
      </c>
      <c r="BN672" s="343">
        <f>SUMIFS($AU$134:AU673,$AQ$134:AQ673,"H")</f>
        <v>2908.252000000015</v>
      </c>
      <c r="BO672" s="343">
        <f>SUMIFS($AU$134:AU673,$AQ$134:AQ673,"D")</f>
        <v>49.689999999999884</v>
      </c>
      <c r="BP672" s="343">
        <f>SUMIFS($AU$134:AU675,$AQ$134:AQ675,"W")</f>
        <v>505.78333333334302</v>
      </c>
      <c r="BQ672" s="343">
        <f>SUMIFS($AU$134:AU673,$Q$134:Q673,"O")</f>
        <v>-457.76000000004638</v>
      </c>
      <c r="BR672" s="343">
        <f>SUMIFS($AU$134:AU673,$AA$134:AA673,"*")</f>
        <v>7825.4753333333119</v>
      </c>
      <c r="BS672" s="343">
        <f>SUMIFS($AU$134:AU673,$AB$134:AB673,"*")</f>
        <v>1501.4399999999762</v>
      </c>
      <c r="BT672" s="343">
        <f>SUMIFS($AU$134:AU673,$AC$134:AC673,"*")</f>
        <v>2735.6833333333316</v>
      </c>
      <c r="BU672" s="343">
        <f>SUMIFS($AU$134:AU673,$AA$134:AA673,"*",$AB$134:AB673,"*")</f>
        <v>562.00000000000512</v>
      </c>
      <c r="BV672" s="343">
        <f>SUMIFS($AU$134:AU673,$AA$134:AA673,"*",$AC$134:AC673,"*")</f>
        <v>3700.7833333333328</v>
      </c>
      <c r="BW672" s="343">
        <f>SUMIFS($AU$134:AU673,$AB$134:AB673,"*",$AC$134:AC673,"*")</f>
        <v>2382.6</v>
      </c>
      <c r="BX672" s="343">
        <f>SUMIFS($AU673:AU$1388,$Q673:Q$1388,"F")</f>
        <v>14234.133333333335</v>
      </c>
      <c r="BY672" s="343">
        <f>SUMIFS($AU673:AU$1388,$Q673:Q$1388,"S")</f>
        <v>14443.2</v>
      </c>
      <c r="BZ672" s="343">
        <f>SUMIFS($AU673:AU$1388,$Q673:Q$1388,"O")</f>
        <v>-1191.0979999997521</v>
      </c>
    </row>
    <row r="673" spans="1:78" ht="15.75" customHeight="1">
      <c r="A673" s="221" t="s">
        <v>2798</v>
      </c>
      <c r="B673" s="200">
        <v>45083</v>
      </c>
      <c r="C673" s="178" t="s">
        <v>682</v>
      </c>
      <c r="D673" s="178" t="s">
        <v>146</v>
      </c>
      <c r="E673" s="227"/>
      <c r="F673" s="180"/>
      <c r="G673" s="281" t="s">
        <v>2145</v>
      </c>
      <c r="H673" s="182"/>
      <c r="I673" s="182"/>
      <c r="J673" s="182"/>
      <c r="K673" s="183"/>
      <c r="L673" s="182">
        <v>1</v>
      </c>
      <c r="M673" s="182">
        <v>1</v>
      </c>
      <c r="N673" s="182"/>
      <c r="O673" s="183" t="s">
        <v>95</v>
      </c>
      <c r="P673" s="183" t="s">
        <v>96</v>
      </c>
      <c r="Q673" s="183" t="s">
        <v>97</v>
      </c>
      <c r="R673" s="183">
        <v>10</v>
      </c>
      <c r="S673" s="183">
        <v>7</v>
      </c>
      <c r="T673" s="183">
        <v>10</v>
      </c>
      <c r="U673" s="183" t="s">
        <v>97</v>
      </c>
      <c r="V673" s="183"/>
      <c r="W673" s="183"/>
      <c r="X673" s="183"/>
      <c r="Y673" s="184">
        <f t="shared" si="248"/>
        <v>0.01</v>
      </c>
      <c r="Z673" s="185">
        <f t="shared" si="249"/>
        <v>1600</v>
      </c>
      <c r="AA673" s="185" t="s">
        <v>99</v>
      </c>
      <c r="AB673" s="185" t="s">
        <v>2876</v>
      </c>
      <c r="AC673" s="185"/>
      <c r="AD673" s="649">
        <v>-0.1</v>
      </c>
      <c r="AE673" s="182"/>
      <c r="AF673" s="332"/>
      <c r="AG673" s="182">
        <v>-8</v>
      </c>
      <c r="AH673" s="182">
        <v>-12</v>
      </c>
      <c r="AI673" s="182"/>
      <c r="AJ673" s="640"/>
      <c r="AK673" s="182"/>
      <c r="AL673" s="496">
        <f>-0.03*Z673</f>
        <v>-48</v>
      </c>
      <c r="AM673" s="496">
        <f t="shared" si="251"/>
        <v>-144</v>
      </c>
      <c r="AN673" s="626"/>
      <c r="AO673" s="182"/>
      <c r="AP673" s="182" t="s">
        <v>804</v>
      </c>
      <c r="AQ673" s="332" t="str">
        <f>UPPER(RIGHT(Journal_Live[[#This Row],[DURATION ]]))</f>
        <v>D</v>
      </c>
      <c r="AR673" s="182" t="s">
        <v>2877</v>
      </c>
      <c r="AS673" s="189">
        <f>((-0.11*7)+(-0.11*3))/10</f>
        <v>-0.11000000000000001</v>
      </c>
      <c r="AT673" s="189">
        <f t="shared" si="252"/>
        <v>1.0000000000000009E-2</v>
      </c>
      <c r="AU673" s="187">
        <f t="shared" si="253"/>
        <v>160.00000000000014</v>
      </c>
      <c r="AV673" s="190">
        <f t="shared" si="254"/>
        <v>16.000000000000014</v>
      </c>
      <c r="AW673" s="191" t="s">
        <v>96</v>
      </c>
      <c r="AX673" s="407"/>
      <c r="AY673" s="407"/>
      <c r="AZ673" s="407"/>
      <c r="BA673" s="407"/>
      <c r="BB673" s="407"/>
      <c r="BC673" s="407"/>
      <c r="BD673" s="407"/>
      <c r="BE673" s="407"/>
      <c r="BF673" s="422"/>
      <c r="BG673" s="391">
        <f>SUM($AV$4:AV673)</f>
        <v>3531.2641428571533</v>
      </c>
      <c r="BH673" s="392">
        <f>SUM($AU$134:AU673)</f>
        <v>6464.4153333332888</v>
      </c>
      <c r="BI673" s="318">
        <f>SUMIFS($AU$134:AU674,$Q$134:Q674,"F")</f>
        <v>206.5333333333331</v>
      </c>
      <c r="BJ673" s="318">
        <f>SUMIFS($AU$134:AU674,$Q$134:Q674,"S")</f>
        <v>6388.4419999999964</v>
      </c>
      <c r="BK673" s="343">
        <f>SUMIFS($AU$134:AU674,$P$134:P674,"W")</f>
        <v>6187.7419999999347</v>
      </c>
      <c r="BL673" s="343">
        <f>SUMIFS($AU$134:AU674,$P$134:P674,"R")</f>
        <v>228.67333333333482</v>
      </c>
      <c r="BM673" s="343">
        <f>SUMIFS($AU$134:AU674,$AQ$134:AQ674,"M")</f>
        <v>2053.3999999999719</v>
      </c>
      <c r="BN673" s="343">
        <f>SUMIFS($AU$134:AU674,$AQ$134:AQ674,"H")</f>
        <v>2908.252000000015</v>
      </c>
      <c r="BO673" s="343">
        <f>SUMIFS($AU$134:AU674,$AQ$134:AQ674,"D")</f>
        <v>49.689999999999884</v>
      </c>
      <c r="BP673" s="343">
        <f>SUMIFS($AU$134:AU676,$AQ$134:AQ676,"W")</f>
        <v>505.78333333334302</v>
      </c>
      <c r="BQ673" s="343">
        <f>SUMIFS($AU$134:AU674,$Q$134:Q674,"O")</f>
        <v>-414.61000000003656</v>
      </c>
      <c r="BR673" s="343">
        <f>SUMIFS($AU$134:AU674,$AA$134:AA674,"*")</f>
        <v>7825.4753333333119</v>
      </c>
      <c r="BS673" s="343">
        <f>SUMIFS($AU$134:AU674,$AB$134:AB674,"*")</f>
        <v>1544.589999999986</v>
      </c>
      <c r="BT673" s="343">
        <f>SUMIFS($AU$134:AU674,$AC$134:AC674,"*")</f>
        <v>2735.6833333333316</v>
      </c>
      <c r="BU673" s="343">
        <f>SUMIFS($AU$134:AU674,$AA$134:AA674,"*",$AB$134:AB674,"*")</f>
        <v>562.00000000000512</v>
      </c>
      <c r="BV673" s="343">
        <f>SUMIFS($AU$134:AU674,$AA$134:AA674,"*",$AC$134:AC674,"*")</f>
        <v>3700.7833333333328</v>
      </c>
      <c r="BW673" s="343">
        <f>SUMIFS($AU$134:AU674,$AB$134:AB674,"*",$AC$134:AC674,"*")</f>
        <v>2382.6</v>
      </c>
      <c r="BX673" s="343">
        <f>SUMIFS($AU674:AU$1388,$Q674:Q$1388,"F")</f>
        <v>14234.133333333335</v>
      </c>
      <c r="BY673" s="343">
        <f>SUMIFS($AU674:AU$1388,$Q674:Q$1388,"S")</f>
        <v>14283.2</v>
      </c>
      <c r="BZ673" s="343">
        <f>SUMIFS($AU674:AU$1388,$Q674:Q$1388,"O")</f>
        <v>-1191.0979999997521</v>
      </c>
    </row>
    <row r="674" spans="1:78" ht="15.75" customHeight="1">
      <c r="A674" s="221" t="s">
        <v>2798</v>
      </c>
      <c r="B674" s="200">
        <v>45083</v>
      </c>
      <c r="C674" s="178" t="s">
        <v>682</v>
      </c>
      <c r="D674" s="178" t="s">
        <v>146</v>
      </c>
      <c r="E674" s="227"/>
      <c r="F674" s="180"/>
      <c r="G674" s="281" t="s">
        <v>2878</v>
      </c>
      <c r="H674" s="182"/>
      <c r="I674" s="182"/>
      <c r="J674" s="182"/>
      <c r="K674" s="183"/>
      <c r="L674" s="182">
        <v>1</v>
      </c>
      <c r="M674" s="182"/>
      <c r="N674" s="182"/>
      <c r="O674" s="183" t="s">
        <v>1057</v>
      </c>
      <c r="P674" s="183"/>
      <c r="Q674" s="183" t="s">
        <v>684</v>
      </c>
      <c r="R674" s="183">
        <v>1</v>
      </c>
      <c r="S674" s="183">
        <v>0</v>
      </c>
      <c r="T674" s="183">
        <v>1</v>
      </c>
      <c r="U674" s="183" t="s">
        <v>97</v>
      </c>
      <c r="V674" s="183"/>
      <c r="W674" s="183"/>
      <c r="X674" s="183"/>
      <c r="Y674" s="184">
        <f t="shared" si="248"/>
        <v>5.0000000000000001E-3</v>
      </c>
      <c r="Z674" s="185">
        <f t="shared" si="249"/>
        <v>1726.0000000000002</v>
      </c>
      <c r="AA674" s="185"/>
      <c r="AB674" s="409" t="s">
        <v>2879</v>
      </c>
      <c r="AC674" s="185"/>
      <c r="AD674" s="649">
        <v>95.875</v>
      </c>
      <c r="AE674" s="182"/>
      <c r="AF674" s="332"/>
      <c r="AG674" s="182" t="s">
        <v>2880</v>
      </c>
      <c r="AH674" s="182">
        <v>95.5</v>
      </c>
      <c r="AI674" s="182"/>
      <c r="AJ674" s="640"/>
      <c r="AK674" s="182"/>
      <c r="AL674" s="496">
        <f>0*Z674</f>
        <v>0</v>
      </c>
      <c r="AM674" s="496">
        <f t="shared" si="251"/>
        <v>0</v>
      </c>
      <c r="AN674" s="626"/>
      <c r="AO674" s="182"/>
      <c r="AP674" s="182" t="s">
        <v>902</v>
      </c>
      <c r="AQ674" s="332" t="str">
        <f>UPPER(RIGHT(Journal_Live[[#This Row],[DURATION ]]))</f>
        <v>W</v>
      </c>
      <c r="AR674" s="182" t="s">
        <v>2881</v>
      </c>
      <c r="AS674" s="189">
        <v>95.85</v>
      </c>
      <c r="AT674" s="189">
        <f t="shared" si="252"/>
        <v>2.5000000000005684E-2</v>
      </c>
      <c r="AU674" s="187">
        <f t="shared" si="253"/>
        <v>43.150000000009818</v>
      </c>
      <c r="AV674" s="190">
        <f t="shared" si="254"/>
        <v>43.150000000009818</v>
      </c>
      <c r="AW674" s="191" t="s">
        <v>96</v>
      </c>
      <c r="AX674" s="407" t="s">
        <v>2882</v>
      </c>
      <c r="AY674" s="407"/>
      <c r="AZ674" s="407"/>
      <c r="BA674" s="407"/>
      <c r="BB674" s="407"/>
      <c r="BC674" s="407"/>
      <c r="BD674" s="407"/>
      <c r="BE674" s="407"/>
      <c r="BF674" s="422"/>
      <c r="BG674" s="391">
        <f>SUM($AV$4:AV674)</f>
        <v>3574.4141428571629</v>
      </c>
      <c r="BH674" s="392">
        <f>SUM($AU$134:AU674)</f>
        <v>6507.5653333332984</v>
      </c>
      <c r="BI674" s="318">
        <f>SUMIFS($AU$134:AU675,$Q$134:Q675,"F")</f>
        <v>206.5333333333331</v>
      </c>
      <c r="BJ674" s="318">
        <f>SUMIFS($AU$134:AU675,$Q$134:Q675,"S")</f>
        <v>6468.4419999999964</v>
      </c>
      <c r="BK674" s="343">
        <f>SUMIFS($AU$134:AU675,$P$134:P675,"W")</f>
        <v>6187.7419999999347</v>
      </c>
      <c r="BL674" s="343">
        <f>SUMIFS($AU$134:AU675,$P$134:P675,"R")</f>
        <v>308.67333333333488</v>
      </c>
      <c r="BM674" s="343">
        <f>SUMIFS($AU$134:AU675,$AQ$134:AQ675,"M")</f>
        <v>2053.3999999999719</v>
      </c>
      <c r="BN674" s="343">
        <f>SUMIFS($AU$134:AU675,$AQ$134:AQ675,"H")</f>
        <v>2908.252000000015</v>
      </c>
      <c r="BO674" s="343">
        <f>SUMIFS($AU$134:AU675,$AQ$134:AQ675,"D")</f>
        <v>49.689999999999884</v>
      </c>
      <c r="BP674" s="343">
        <f>SUMIFS($AU$134:AU677,$AQ$134:AQ677,"W")</f>
        <v>505.78333333334302</v>
      </c>
      <c r="BQ674" s="343">
        <f>SUMIFS($AU$134:AU675,$Q$134:Q675,"O")</f>
        <v>-414.61000000003656</v>
      </c>
      <c r="BR674" s="343">
        <f>SUMIFS($AU$134:AU675,$AA$134:AA675,"*")</f>
        <v>7905.4753333333119</v>
      </c>
      <c r="BS674" s="343">
        <f>SUMIFS($AU$134:AU675,$AB$134:AB675,"*")</f>
        <v>1544.589999999986</v>
      </c>
      <c r="BT674" s="343">
        <f>SUMIFS($AU$134:AU675,$AC$134:AC675,"*")</f>
        <v>2735.6833333333316</v>
      </c>
      <c r="BU674" s="343">
        <f>SUMIFS($AU$134:AU675,$AA$134:AA675,"*",$AB$134:AB675,"*")</f>
        <v>562.00000000000512</v>
      </c>
      <c r="BV674" s="343">
        <f>SUMIFS($AU$134:AU675,$AA$134:AA675,"*",$AC$134:AC675,"*")</f>
        <v>3700.7833333333328</v>
      </c>
      <c r="BW674" s="343">
        <f>SUMIFS($AU$134:AU675,$AB$134:AB675,"*",$AC$134:AC675,"*")</f>
        <v>2382.6</v>
      </c>
      <c r="BX674" s="343">
        <f>SUMIFS($AU675:AU$1388,$Q675:Q$1388,"F")</f>
        <v>14234.133333333335</v>
      </c>
      <c r="BY674" s="343">
        <f>SUMIFS($AU675:AU$1388,$Q675:Q$1388,"S")</f>
        <v>14283.2</v>
      </c>
      <c r="BZ674" s="343">
        <f>SUMIFS($AU675:AU$1388,$Q675:Q$1388,"O")</f>
        <v>-1234.2479999997618</v>
      </c>
    </row>
    <row r="675" spans="1:78" ht="15.75" customHeight="1">
      <c r="A675" s="221" t="s">
        <v>2798</v>
      </c>
      <c r="B675" s="200">
        <v>45083</v>
      </c>
      <c r="C675" s="178" t="s">
        <v>682</v>
      </c>
      <c r="D675" s="178" t="s">
        <v>146</v>
      </c>
      <c r="E675" s="227"/>
      <c r="F675" s="180"/>
      <c r="G675" s="281" t="s">
        <v>136</v>
      </c>
      <c r="H675" s="182"/>
      <c r="I675" s="182"/>
      <c r="J675" s="182"/>
      <c r="K675" s="183"/>
      <c r="L675" s="182">
        <v>2</v>
      </c>
      <c r="M675" s="182"/>
      <c r="N675" s="182"/>
      <c r="O675" s="183" t="s">
        <v>95</v>
      </c>
      <c r="P675" s="183" t="s">
        <v>137</v>
      </c>
      <c r="Q675" s="183" t="s">
        <v>97</v>
      </c>
      <c r="R675" s="183">
        <v>5</v>
      </c>
      <c r="S675" s="183">
        <v>5</v>
      </c>
      <c r="T675" s="183">
        <v>5</v>
      </c>
      <c r="U675" s="183" t="s">
        <v>22</v>
      </c>
      <c r="V675" s="183"/>
      <c r="W675" s="183"/>
      <c r="X675" s="183"/>
      <c r="Y675" s="184">
        <f t="shared" si="248"/>
        <v>0.01</v>
      </c>
      <c r="Z675" s="185">
        <f t="shared" si="249"/>
        <v>1600</v>
      </c>
      <c r="AA675" s="185" t="s">
        <v>2883</v>
      </c>
      <c r="AB675" s="185"/>
      <c r="AC675" s="185"/>
      <c r="AD675" s="649">
        <v>-0.16</v>
      </c>
      <c r="AE675" s="182"/>
      <c r="AF675" s="332"/>
      <c r="AG675" s="182"/>
      <c r="AH675" s="182">
        <v>-14</v>
      </c>
      <c r="AI675" s="182" t="s">
        <v>2884</v>
      </c>
      <c r="AJ675" s="640" t="s">
        <v>2885</v>
      </c>
      <c r="AK675" s="182"/>
      <c r="AL675" s="496">
        <f t="shared" ref="AL675" si="255">-0.02*Z675</f>
        <v>-32</v>
      </c>
      <c r="AM675" s="496">
        <f t="shared" si="251"/>
        <v>0</v>
      </c>
      <c r="AN675" s="626"/>
      <c r="AO675" s="182"/>
      <c r="AP675" s="182"/>
      <c r="AQ675" s="332" t="str">
        <f>UPPER(RIGHT(Journal_Live[[#This Row],[DURATION ]]))</f>
        <v/>
      </c>
      <c r="AR675" s="182" t="s">
        <v>2886</v>
      </c>
      <c r="AS675" s="189">
        <v>-0.15</v>
      </c>
      <c r="AT675" s="189">
        <f t="shared" si="252"/>
        <v>1.0000000000000009E-2</v>
      </c>
      <c r="AU675" s="187">
        <f t="shared" si="253"/>
        <v>80.000000000000071</v>
      </c>
      <c r="AV675" s="190">
        <f t="shared" si="254"/>
        <v>16.000000000000014</v>
      </c>
      <c r="AW675" s="191" t="s">
        <v>96</v>
      </c>
      <c r="AX675" s="407" t="s">
        <v>2887</v>
      </c>
      <c r="AY675" s="407"/>
      <c r="AZ675" s="407"/>
      <c r="BA675" s="407"/>
      <c r="BB675" s="407"/>
      <c r="BC675" s="407"/>
      <c r="BD675" s="407"/>
      <c r="BE675" s="407"/>
      <c r="BF675" s="422"/>
      <c r="BG675" s="391">
        <f>SUM($AV$4:AV675)</f>
        <v>3590.4141428571629</v>
      </c>
      <c r="BH675" s="392">
        <f>SUM($AU$134:AU675)</f>
        <v>6587.5653333332984</v>
      </c>
      <c r="BI675" s="318">
        <f>SUMIFS($AU$134:AU676,$Q$134:Q676,"F")</f>
        <v>206.5333333333331</v>
      </c>
      <c r="BJ675" s="318">
        <f>SUMIFS($AU$134:AU676,$Q$134:Q676,"S")</f>
        <v>6468.4419999999964</v>
      </c>
      <c r="BK675" s="343">
        <f>SUMIFS($AU$134:AU676,$P$134:P676,"W")</f>
        <v>6187.7419999999347</v>
      </c>
      <c r="BL675" s="343">
        <f>SUMIFS($AU$134:AU676,$P$134:P676,"R")</f>
        <v>308.67333333333488</v>
      </c>
      <c r="BM675" s="343">
        <f>SUMIFS($AU$134:AU676,$AQ$134:AQ676,"M")</f>
        <v>2053.3999999999719</v>
      </c>
      <c r="BN675" s="343">
        <f>SUMIFS($AU$134:AU676,$AQ$134:AQ676,"H")</f>
        <v>2908.252000000015</v>
      </c>
      <c r="BO675" s="343">
        <f>SUMIFS($AU$134:AU676,$AQ$134:AQ676,"D")</f>
        <v>49.689999999999884</v>
      </c>
      <c r="BP675" s="343">
        <f>SUMIFS($AU$134:AU678,$AQ$134:AQ678,"W")</f>
        <v>505.78333333334302</v>
      </c>
      <c r="BQ675" s="343">
        <f>SUMIFS($AU$134:AU676,$Q$134:Q676,"O")</f>
        <v>-414.61000000003656</v>
      </c>
      <c r="BR675" s="343">
        <f>SUMIFS($AU$134:AU676,$AA$134:AA676,"*")</f>
        <v>7833.4753333333119</v>
      </c>
      <c r="BS675" s="343">
        <f>SUMIFS($AU$134:AU676,$AB$134:AB676,"*")</f>
        <v>1544.589999999986</v>
      </c>
      <c r="BT675" s="343">
        <f>SUMIFS($AU$134:AU676,$AC$134:AC676,"*")</f>
        <v>2735.6833333333316</v>
      </c>
      <c r="BU675" s="343">
        <f>SUMIFS($AU$134:AU676,$AA$134:AA676,"*",$AB$134:AB676,"*")</f>
        <v>562.00000000000512</v>
      </c>
      <c r="BV675" s="343">
        <f>SUMIFS($AU$134:AU676,$AA$134:AA676,"*",$AC$134:AC676,"*")</f>
        <v>3700.7833333333328</v>
      </c>
      <c r="BW675" s="343">
        <f>SUMIFS($AU$134:AU676,$AB$134:AB676,"*",$AC$134:AC676,"*")</f>
        <v>2382.6</v>
      </c>
      <c r="BX675" s="343">
        <f>SUMIFS($AU676:AU$1388,$Q676:Q$1388,"F")</f>
        <v>14234.133333333335</v>
      </c>
      <c r="BY675" s="343">
        <f>SUMIFS($AU676:AU$1388,$Q676:Q$1388,"S")</f>
        <v>14203.2</v>
      </c>
      <c r="BZ675" s="343">
        <f>SUMIFS($AU676:AU$1388,$Q676:Q$1388,"O")</f>
        <v>-1234.2479999997618</v>
      </c>
    </row>
    <row r="676" spans="1:78" ht="15.75" customHeight="1">
      <c r="A676" s="221" t="s">
        <v>2798</v>
      </c>
      <c r="B676" s="200">
        <v>45083</v>
      </c>
      <c r="C676" s="178" t="s">
        <v>2888</v>
      </c>
      <c r="D676" s="178" t="s">
        <v>146</v>
      </c>
      <c r="E676" s="227"/>
      <c r="F676" s="180"/>
      <c r="G676" s="281" t="s">
        <v>2889</v>
      </c>
      <c r="H676" s="182"/>
      <c r="I676" s="182"/>
      <c r="J676" s="182"/>
      <c r="K676" s="183"/>
      <c r="L676" s="182">
        <v>1</v>
      </c>
      <c r="M676" s="182"/>
      <c r="N676" s="182"/>
      <c r="O676" s="183" t="s">
        <v>2259</v>
      </c>
      <c r="P676" s="183" t="s">
        <v>2260</v>
      </c>
      <c r="Q676" s="183"/>
      <c r="R676" s="183">
        <v>1</v>
      </c>
      <c r="S676" s="183">
        <v>0</v>
      </c>
      <c r="T676" s="183">
        <v>1</v>
      </c>
      <c r="U676" s="183" t="s">
        <v>22</v>
      </c>
      <c r="V676" s="183"/>
      <c r="W676" s="183"/>
      <c r="X676" s="183"/>
      <c r="Y676" s="184">
        <f t="shared" si="248"/>
        <v>0.01</v>
      </c>
      <c r="Z676" s="185">
        <f t="shared" si="249"/>
        <v>4800</v>
      </c>
      <c r="AA676" s="185" t="s">
        <v>2890</v>
      </c>
      <c r="AB676" s="185"/>
      <c r="AC676" s="185"/>
      <c r="AD676" s="649">
        <v>0.15</v>
      </c>
      <c r="AE676" s="182"/>
      <c r="AF676" s="332"/>
      <c r="AG676" s="182"/>
      <c r="AH676" s="182"/>
      <c r="AI676" s="182"/>
      <c r="AJ676" s="640"/>
      <c r="AK676" s="182"/>
      <c r="AL676" s="496">
        <f>-0.05*Z676</f>
        <v>-240</v>
      </c>
      <c r="AM676" s="496">
        <f t="shared" si="251"/>
        <v>-240</v>
      </c>
      <c r="AN676" s="626"/>
      <c r="AO676" s="182"/>
      <c r="AP676" s="182"/>
      <c r="AQ676" s="332" t="str">
        <f>UPPER(RIGHT(Journal_Live[[#This Row],[DURATION ]]))</f>
        <v/>
      </c>
      <c r="AR676" s="182" t="s">
        <v>2891</v>
      </c>
      <c r="AS676" s="189">
        <v>0.13500000000000001</v>
      </c>
      <c r="AT676" s="189">
        <f t="shared" si="252"/>
        <v>-1.4999999999999986E-2</v>
      </c>
      <c r="AU676" s="187">
        <f t="shared" si="253"/>
        <v>-71.999999999999929</v>
      </c>
      <c r="AV676" s="190">
        <f t="shared" si="254"/>
        <v>-71.999999999999929</v>
      </c>
      <c r="AW676" s="191" t="s">
        <v>229</v>
      </c>
      <c r="AX676" s="407" t="s">
        <v>2892</v>
      </c>
      <c r="AY676" s="407"/>
      <c r="AZ676" s="407"/>
      <c r="BA676" s="407"/>
      <c r="BB676" s="407"/>
      <c r="BC676" s="407"/>
      <c r="BD676" s="407"/>
      <c r="BE676" s="407"/>
      <c r="BF676" s="422"/>
      <c r="BG676" s="391">
        <f>SUM($AV$4:AV676)</f>
        <v>3518.4141428571629</v>
      </c>
      <c r="BH676" s="392">
        <f>SUM($AU$134:AU676)</f>
        <v>6515.5653333332984</v>
      </c>
      <c r="BI676" s="318">
        <f>SUMIFS($AU$134:AU677,$Q$134:Q677,"F")</f>
        <v>206.5333333333331</v>
      </c>
      <c r="BJ676" s="318">
        <f>SUMIFS($AU$134:AU677,$Q$134:Q677,"S")</f>
        <v>6468.4419999999964</v>
      </c>
      <c r="BK676" s="343">
        <f>SUMIFS($AU$134:AU677,$P$134:P677,"W")</f>
        <v>6187.7419999999347</v>
      </c>
      <c r="BL676" s="343">
        <f>SUMIFS($AU$134:AU677,$P$134:P677,"R")</f>
        <v>308.67333333333488</v>
      </c>
      <c r="BM676" s="343">
        <f>SUMIFS($AU$134:AU677,$AQ$134:AQ677,"M")</f>
        <v>2053.3999999999719</v>
      </c>
      <c r="BN676" s="343">
        <f>SUMIFS($AU$134:AU677,$AQ$134:AQ677,"H")</f>
        <v>2934.1420000000157</v>
      </c>
      <c r="BO676" s="343">
        <f>SUMIFS($AU$134:AU677,$AQ$134:AQ677,"D")</f>
        <v>49.689999999999884</v>
      </c>
      <c r="BP676" s="343">
        <f>SUMIFS($AU$134:AU679,$AQ$134:AQ679,"W")</f>
        <v>505.78333333334302</v>
      </c>
      <c r="BQ676" s="343">
        <f>SUMIFS($AU$134:AU677,$Q$134:Q677,"O")</f>
        <v>-388.72000000003555</v>
      </c>
      <c r="BR676" s="343">
        <f>SUMIFS($AU$134:AU677,$AA$134:AA677,"*")</f>
        <v>7833.4753333333119</v>
      </c>
      <c r="BS676" s="343">
        <f>SUMIFS($AU$134:AU677,$AB$134:AB677,"*")</f>
        <v>1570.4799999999871</v>
      </c>
      <c r="BT676" s="343">
        <f>SUMIFS($AU$134:AU677,$AC$134:AC677,"*")</f>
        <v>2735.6833333333316</v>
      </c>
      <c r="BU676" s="343">
        <f>SUMIFS($AU$134:AU677,$AA$134:AA677,"*",$AB$134:AB677,"*")</f>
        <v>562.00000000000512</v>
      </c>
      <c r="BV676" s="343">
        <f>SUMIFS($AU$134:AU677,$AA$134:AA677,"*",$AC$134:AC677,"*")</f>
        <v>3700.7833333333328</v>
      </c>
      <c r="BW676" s="343">
        <f>SUMIFS($AU$134:AU677,$AB$134:AB677,"*",$AC$134:AC677,"*")</f>
        <v>2382.6</v>
      </c>
      <c r="BX676" s="343">
        <f>SUMIFS($AU677:AU$1388,$Q677:Q$1388,"F")</f>
        <v>14234.133333333335</v>
      </c>
      <c r="BY676" s="343">
        <f>SUMIFS($AU677:AU$1388,$Q677:Q$1388,"S")</f>
        <v>14203.2</v>
      </c>
      <c r="BZ676" s="343">
        <f>SUMIFS($AU677:AU$1388,$Q677:Q$1388,"O")</f>
        <v>-1234.2479999997618</v>
      </c>
    </row>
    <row r="677" spans="1:78" ht="15.75" customHeight="1">
      <c r="A677" s="221" t="s">
        <v>2798</v>
      </c>
      <c r="B677" s="200">
        <v>45084</v>
      </c>
      <c r="C677" s="178" t="s">
        <v>1967</v>
      </c>
      <c r="D677" s="178" t="s">
        <v>151</v>
      </c>
      <c r="E677" s="227"/>
      <c r="F677" s="180"/>
      <c r="G677" s="281" t="s">
        <v>2878</v>
      </c>
      <c r="H677" s="182"/>
      <c r="I677" s="182"/>
      <c r="J677" s="182"/>
      <c r="K677" s="183"/>
      <c r="L677" s="182">
        <v>1</v>
      </c>
      <c r="M677" s="182"/>
      <c r="N677" s="182"/>
      <c r="O677" s="183" t="s">
        <v>1057</v>
      </c>
      <c r="P677" s="183"/>
      <c r="Q677" s="183" t="s">
        <v>684</v>
      </c>
      <c r="R677" s="183">
        <v>1</v>
      </c>
      <c r="S677" s="183">
        <v>0</v>
      </c>
      <c r="T677" s="183">
        <v>1</v>
      </c>
      <c r="U677" s="183" t="s">
        <v>97</v>
      </c>
      <c r="V677" s="183"/>
      <c r="W677" s="183"/>
      <c r="X677" s="183"/>
      <c r="Y677" s="184">
        <f t="shared" si="248"/>
        <v>5.0000000000000001E-3</v>
      </c>
      <c r="Z677" s="185">
        <f t="shared" si="249"/>
        <v>1726.0000000000002</v>
      </c>
      <c r="AA677" s="185"/>
      <c r="AB677" s="409" t="s">
        <v>2879</v>
      </c>
      <c r="AC677" s="185"/>
      <c r="AD677" s="649">
        <v>95.864999999999995</v>
      </c>
      <c r="AE677" s="182"/>
      <c r="AF677" s="332"/>
      <c r="AG677" s="182" t="s">
        <v>2880</v>
      </c>
      <c r="AH677" s="182">
        <v>95.5</v>
      </c>
      <c r="AI677" s="182"/>
      <c r="AJ677" s="640"/>
      <c r="AK677" s="182"/>
      <c r="AL677" s="496">
        <f t="shared" ref="AL677" si="256">-0.02*Z677</f>
        <v>-34.520000000000003</v>
      </c>
      <c r="AM677" s="496">
        <f t="shared" si="251"/>
        <v>-34.520000000000003</v>
      </c>
      <c r="AN677" s="626"/>
      <c r="AO677" s="182"/>
      <c r="AP677" s="182" t="s">
        <v>1433</v>
      </c>
      <c r="AQ677" s="332" t="str">
        <f>UPPER(RIGHT(Journal_Live[[#This Row],[DURATION ]]))</f>
        <v>H</v>
      </c>
      <c r="AR677" s="182" t="s">
        <v>2159</v>
      </c>
      <c r="AS677" s="189">
        <v>95.85</v>
      </c>
      <c r="AT677" s="189">
        <f t="shared" si="252"/>
        <v>1.5000000000000568E-2</v>
      </c>
      <c r="AU677" s="187">
        <f t="shared" si="253"/>
        <v>25.890000000000985</v>
      </c>
      <c r="AV677" s="190">
        <f t="shared" si="254"/>
        <v>25.890000000000985</v>
      </c>
      <c r="AW677" s="191" t="s">
        <v>96</v>
      </c>
      <c r="AX677" s="407" t="s">
        <v>2893</v>
      </c>
      <c r="AY677" s="407" t="s">
        <v>2894</v>
      </c>
      <c r="AZ677" s="407"/>
      <c r="BA677" s="407"/>
      <c r="BB677" s="407"/>
      <c r="BC677" s="407"/>
      <c r="BD677" s="407"/>
      <c r="BE677" s="407"/>
      <c r="BF677" s="422"/>
      <c r="BG677" s="391">
        <f>SUM($AV$4:AV677)</f>
        <v>3544.3041428571637</v>
      </c>
      <c r="BH677" s="392">
        <f>SUM($AU$134:AU677)</f>
        <v>6541.4553333332997</v>
      </c>
      <c r="BI677" s="318">
        <f>SUMIFS($AU$134:AU678,$Q$134:Q678,"F")</f>
        <v>206.5333333333331</v>
      </c>
      <c r="BJ677" s="318">
        <f>SUMIFS($AU$134:AU678,$Q$134:Q678,"S")</f>
        <v>6468.4419999999964</v>
      </c>
      <c r="BK677" s="343">
        <f>SUMIFS($AU$134:AU678,$P$134:P678,"W")</f>
        <v>6187.7419999999347</v>
      </c>
      <c r="BL677" s="343">
        <f>SUMIFS($AU$134:AU678,$P$134:P678,"R")</f>
        <v>308.67333333333488</v>
      </c>
      <c r="BM677" s="343">
        <f>SUMIFS($AU$134:AU678,$AQ$134:AQ678,"M")</f>
        <v>2053.3999999999719</v>
      </c>
      <c r="BN677" s="343">
        <f>SUMIFS($AU$134:AU678,$AQ$134:AQ678,"H")</f>
        <v>2934.1420000000157</v>
      </c>
      <c r="BO677" s="343">
        <f>SUMIFS($AU$134:AU678,$AQ$134:AQ678,"D")</f>
        <v>49.689999999999884</v>
      </c>
      <c r="BP677" s="343">
        <f>SUMIFS($AU$134:AU680,$AQ$134:AQ680,"W")</f>
        <v>505.78333333334302</v>
      </c>
      <c r="BQ677" s="343">
        <f>SUMIFS($AU$134:AU678,$Q$134:Q678,"O")</f>
        <v>-388.72000000003555</v>
      </c>
      <c r="BR677" s="343">
        <f>SUMIFS($AU$134:AU678,$AA$134:AA678,"*")</f>
        <v>7833.4753333333119</v>
      </c>
      <c r="BS677" s="343">
        <f>SUMIFS($AU$134:AU678,$AB$134:AB678,"*")</f>
        <v>1570.4799999999871</v>
      </c>
      <c r="BT677" s="343">
        <f>SUMIFS($AU$134:AU678,$AC$134:AC678,"*")</f>
        <v>2735.6833333333316</v>
      </c>
      <c r="BU677" s="343">
        <f>SUMIFS($AU$134:AU678,$AA$134:AA678,"*",$AB$134:AB678,"*")</f>
        <v>562.00000000000512</v>
      </c>
      <c r="BV677" s="343">
        <f>SUMIFS($AU$134:AU678,$AA$134:AA678,"*",$AC$134:AC678,"*")</f>
        <v>3700.7833333333328</v>
      </c>
      <c r="BW677" s="343">
        <f>SUMIFS($AU$134:AU678,$AB$134:AB678,"*",$AC$134:AC678,"*")</f>
        <v>2382.6</v>
      </c>
      <c r="BX677" s="343">
        <f>SUMIFS($AU678:AU$1388,$Q678:Q$1388,"F")</f>
        <v>14234.133333333335</v>
      </c>
      <c r="BY677" s="343">
        <f>SUMIFS($AU678:AU$1388,$Q678:Q$1388,"S")</f>
        <v>14203.2</v>
      </c>
      <c r="BZ677" s="343">
        <f>SUMIFS($AU678:AU$1388,$Q678:Q$1388,"O")</f>
        <v>-1260.1379999997628</v>
      </c>
    </row>
    <row r="678" spans="1:78" ht="15.75" customHeight="1">
      <c r="A678" s="221" t="s">
        <v>2798</v>
      </c>
      <c r="B678" s="200">
        <v>45084</v>
      </c>
      <c r="C678" s="178" t="s">
        <v>2895</v>
      </c>
      <c r="D678" s="178" t="s">
        <v>151</v>
      </c>
      <c r="E678" s="227" t="s">
        <v>2896</v>
      </c>
      <c r="F678" s="180"/>
      <c r="G678" s="181"/>
      <c r="H678" s="182"/>
      <c r="I678" s="182"/>
      <c r="J678" s="182">
        <v>1</v>
      </c>
      <c r="K678" s="183" t="s">
        <v>115</v>
      </c>
      <c r="L678" s="182"/>
      <c r="M678" s="182"/>
      <c r="N678" s="182"/>
      <c r="O678" s="183"/>
      <c r="P678" s="183"/>
      <c r="Q678" s="183"/>
      <c r="R678" s="183"/>
      <c r="S678" s="183"/>
      <c r="T678" s="183"/>
      <c r="U678" s="183"/>
      <c r="V678" s="183"/>
      <c r="W678" s="183"/>
      <c r="X678" s="183"/>
      <c r="Y678" s="183"/>
      <c r="Z678" s="183"/>
      <c r="AA678" s="185"/>
      <c r="AB678" s="185"/>
      <c r="AC678" s="185"/>
      <c r="AD678" s="649"/>
      <c r="AE678" s="182"/>
      <c r="AF678" s="332"/>
      <c r="AG678" s="182"/>
      <c r="AH678" s="182"/>
      <c r="AI678" s="182"/>
      <c r="AJ678" s="640"/>
      <c r="AK678" s="182"/>
      <c r="AL678" s="496"/>
      <c r="AM678" s="496"/>
      <c r="AN678" s="626"/>
      <c r="AO678" s="182"/>
      <c r="AP678" s="182"/>
      <c r="AQ678" s="332" t="str">
        <f>UPPER(RIGHT(Journal_Live[[#This Row],[DURATION ]]))</f>
        <v/>
      </c>
      <c r="AR678" s="182"/>
      <c r="AS678" s="189"/>
      <c r="AT678" s="189"/>
      <c r="AU678" s="187"/>
      <c r="AV678" s="190"/>
      <c r="AW678" s="191"/>
      <c r="AX678" s="407"/>
      <c r="AY678" s="407"/>
      <c r="AZ678" s="407"/>
      <c r="BA678" s="407"/>
      <c r="BB678" s="407"/>
      <c r="BC678" s="407"/>
      <c r="BD678" s="407"/>
      <c r="BE678" s="407"/>
      <c r="BF678" s="422"/>
      <c r="BG678" s="391">
        <f>SUM($AV$4:AV678)</f>
        <v>3544.3041428571637</v>
      </c>
      <c r="BH678" s="392">
        <f>SUM($AU$134:AU678)</f>
        <v>6541.4553333332997</v>
      </c>
      <c r="BI678" s="318">
        <f>SUMIFS($AU$134:AU679,$Q$134:Q679,"F")</f>
        <v>206.5333333333331</v>
      </c>
      <c r="BJ678" s="318">
        <f>SUMIFS($AU$134:AU679,$Q$134:Q679,"S")</f>
        <v>6468.4419999999964</v>
      </c>
      <c r="BK678" s="343">
        <f>SUMIFS($AU$134:AU679,$P$134:P679,"W")</f>
        <v>6187.7419999999347</v>
      </c>
      <c r="BL678" s="343">
        <f>SUMIFS($AU$134:AU679,$P$134:P679,"R")</f>
        <v>308.67333333333488</v>
      </c>
      <c r="BM678" s="343">
        <f>SUMIFS($AU$134:AU679,$AQ$134:AQ679,"M")</f>
        <v>2053.3999999999719</v>
      </c>
      <c r="BN678" s="343">
        <f>SUMIFS($AU$134:AU679,$AQ$134:AQ679,"H")</f>
        <v>2934.1420000000157</v>
      </c>
      <c r="BO678" s="343">
        <f>SUMIFS($AU$134:AU679,$AQ$134:AQ679,"D")</f>
        <v>49.689999999999884</v>
      </c>
      <c r="BP678" s="343">
        <f>SUMIFS($AU$134:AU681,$AQ$134:AQ681,"W")</f>
        <v>505.78333333334302</v>
      </c>
      <c r="BQ678" s="343">
        <f>SUMIFS($AU$134:AU679,$Q$134:Q679,"O")</f>
        <v>-388.72000000003555</v>
      </c>
      <c r="BR678" s="343">
        <f>SUMIFS($AU$134:AU679,$AA$134:AA679,"*")</f>
        <v>7833.4753333333119</v>
      </c>
      <c r="BS678" s="343">
        <f>SUMIFS($AU$134:AU679,$AB$134:AB679,"*")</f>
        <v>1570.4799999999871</v>
      </c>
      <c r="BT678" s="343">
        <f>SUMIFS($AU$134:AU679,$AC$134:AC679,"*")</f>
        <v>2735.6833333333316</v>
      </c>
      <c r="BU678" s="343">
        <f>SUMIFS($AU$134:AU679,$AA$134:AA679,"*",$AB$134:AB679,"*")</f>
        <v>562.00000000000512</v>
      </c>
      <c r="BV678" s="343">
        <f>SUMIFS($AU$134:AU679,$AA$134:AA679,"*",$AC$134:AC679,"*")</f>
        <v>3700.7833333333328</v>
      </c>
      <c r="BW678" s="343">
        <f>SUMIFS($AU$134:AU679,$AB$134:AB679,"*",$AC$134:AC679,"*")</f>
        <v>2382.6</v>
      </c>
      <c r="BX678" s="343">
        <f>SUMIFS($AU679:AU$1388,$Q679:Q$1388,"F")</f>
        <v>14234.133333333335</v>
      </c>
      <c r="BY678" s="343">
        <f>SUMIFS($AU679:AU$1388,$Q679:Q$1388,"S")</f>
        <v>14203.2</v>
      </c>
      <c r="BZ678" s="343">
        <f>SUMIFS($AU679:AU$1388,$Q679:Q$1388,"O")</f>
        <v>-1260.1379999997628</v>
      </c>
    </row>
    <row r="679" spans="1:78" ht="15.75" customHeight="1">
      <c r="A679" s="221" t="s">
        <v>2798</v>
      </c>
      <c r="B679" s="200">
        <v>45084</v>
      </c>
      <c r="C679" s="178" t="s">
        <v>276</v>
      </c>
      <c r="D679" s="178" t="s">
        <v>151</v>
      </c>
      <c r="E679" s="227"/>
      <c r="F679" s="180"/>
      <c r="G679" s="181" t="s">
        <v>136</v>
      </c>
      <c r="H679" s="182"/>
      <c r="I679" s="182"/>
      <c r="J679" s="182"/>
      <c r="K679" s="183"/>
      <c r="L679" s="182"/>
      <c r="M679" s="182"/>
      <c r="N679" s="182"/>
      <c r="O679" s="183"/>
      <c r="P679" s="183"/>
      <c r="Q679" s="183"/>
      <c r="R679" s="183"/>
      <c r="S679" s="183"/>
      <c r="T679" s="183"/>
      <c r="U679" s="183"/>
      <c r="V679" s="183"/>
      <c r="W679" s="183"/>
      <c r="X679" s="183"/>
      <c r="Y679" s="184"/>
      <c r="Z679" s="185"/>
      <c r="AA679" s="185"/>
      <c r="AB679" s="185"/>
      <c r="AC679" s="185"/>
      <c r="AD679" s="649"/>
      <c r="AE679" s="182"/>
      <c r="AF679" s="332"/>
      <c r="AG679" s="182"/>
      <c r="AH679" s="182"/>
      <c r="AI679" s="182"/>
      <c r="AJ679" s="640"/>
      <c r="AK679" s="182"/>
      <c r="AL679" s="496"/>
      <c r="AM679" s="496"/>
      <c r="AN679" s="626"/>
      <c r="AO679" s="182"/>
      <c r="AP679" s="182"/>
      <c r="AQ679" s="332" t="str">
        <f>UPPER(RIGHT(Journal_Live[[#This Row],[DURATION ]]))</f>
        <v/>
      </c>
      <c r="AR679" s="182"/>
      <c r="AS679" s="189"/>
      <c r="AT679" s="189"/>
      <c r="AU679" s="187"/>
      <c r="AV679" s="190"/>
      <c r="AW679" s="191"/>
      <c r="AX679" s="407" t="s">
        <v>2897</v>
      </c>
      <c r="AY679" s="407" t="s">
        <v>2898</v>
      </c>
      <c r="AZ679" s="407"/>
      <c r="BA679" s="407"/>
      <c r="BB679" s="407"/>
      <c r="BC679" s="407"/>
      <c r="BD679" s="407"/>
      <c r="BE679" s="407"/>
      <c r="BF679" s="422"/>
      <c r="BG679" s="391">
        <f>SUM($AV$4:AV679)</f>
        <v>3544.3041428571637</v>
      </c>
      <c r="BH679" s="392">
        <f>SUM($AU$134:AU679)</f>
        <v>6541.4553333332997</v>
      </c>
      <c r="BI679" s="318">
        <f>SUMIFS($AU$134:AU680,$Q$134:Q680,"F")</f>
        <v>206.5333333333331</v>
      </c>
      <c r="BJ679" s="318">
        <f>SUMIFS($AU$134:AU680,$Q$134:Q680,"S")</f>
        <v>6468.4419999999964</v>
      </c>
      <c r="BK679" s="343">
        <f>SUMIFS($AU$134:AU680,$P$134:P680,"W")</f>
        <v>6187.7419999999347</v>
      </c>
      <c r="BL679" s="343">
        <f>SUMIFS($AU$134:AU680,$P$134:P680,"R")</f>
        <v>308.67333333333488</v>
      </c>
      <c r="BM679" s="343">
        <f>SUMIFS($AU$134:AU680,$AQ$134:AQ680,"M")</f>
        <v>2053.3999999999719</v>
      </c>
      <c r="BN679" s="343">
        <f>SUMIFS($AU$134:AU680,$AQ$134:AQ680,"H")</f>
        <v>2934.1420000000157</v>
      </c>
      <c r="BO679" s="343">
        <f>SUMIFS($AU$134:AU680,$AQ$134:AQ680,"D")</f>
        <v>49.689999999999884</v>
      </c>
      <c r="BP679" s="343">
        <f>SUMIFS($AU$134:AU682,$AQ$134:AQ682,"W")</f>
        <v>505.78333333334302</v>
      </c>
      <c r="BQ679" s="343">
        <f>SUMIFS($AU$134:AU680,$Q$134:Q680,"O")</f>
        <v>-388.72000000003555</v>
      </c>
      <c r="BR679" s="343">
        <f>SUMIFS($AU$134:AU680,$AA$134:AA680,"*")</f>
        <v>7833.4753333333119</v>
      </c>
      <c r="BS679" s="343">
        <f>SUMIFS($AU$134:AU680,$AB$134:AB680,"*")</f>
        <v>1570.4799999999871</v>
      </c>
      <c r="BT679" s="343">
        <f>SUMIFS($AU$134:AU680,$AC$134:AC680,"*")</f>
        <v>2735.6833333333316</v>
      </c>
      <c r="BU679" s="343">
        <f>SUMIFS($AU$134:AU680,$AA$134:AA680,"*",$AB$134:AB680,"*")</f>
        <v>562.00000000000512</v>
      </c>
      <c r="BV679" s="343">
        <f>SUMIFS($AU$134:AU680,$AA$134:AA680,"*",$AC$134:AC680,"*")</f>
        <v>3700.7833333333328</v>
      </c>
      <c r="BW679" s="343">
        <f>SUMIFS($AU$134:AU680,$AB$134:AB680,"*",$AC$134:AC680,"*")</f>
        <v>2382.6</v>
      </c>
      <c r="BX679" s="343">
        <f>SUMIFS($AU680:AU$1388,$Q680:Q$1388,"F")</f>
        <v>14234.133333333335</v>
      </c>
      <c r="BY679" s="343">
        <f>SUMIFS($AU680:AU$1388,$Q680:Q$1388,"S")</f>
        <v>14203.2</v>
      </c>
      <c r="BZ679" s="343">
        <f>SUMIFS($AU680:AU$1388,$Q680:Q$1388,"O")</f>
        <v>-1260.1379999997628</v>
      </c>
    </row>
    <row r="680" spans="1:78" ht="15.75" customHeight="1">
      <c r="A680" s="221" t="s">
        <v>2798</v>
      </c>
      <c r="B680" s="200">
        <v>45084</v>
      </c>
      <c r="C680" s="178"/>
      <c r="D680" s="178" t="s">
        <v>151</v>
      </c>
      <c r="E680" s="227"/>
      <c r="F680" s="180"/>
      <c r="G680" s="181" t="s">
        <v>2016</v>
      </c>
      <c r="H680" s="182"/>
      <c r="I680" s="182"/>
      <c r="J680" s="182"/>
      <c r="K680" s="183"/>
      <c r="L680" s="182"/>
      <c r="M680" s="182"/>
      <c r="N680" s="182"/>
      <c r="O680" s="183"/>
      <c r="P680" s="183"/>
      <c r="Q680" s="183"/>
      <c r="R680" s="183"/>
      <c r="S680" s="183"/>
      <c r="T680" s="183"/>
      <c r="U680" s="183"/>
      <c r="V680" s="183"/>
      <c r="W680" s="183"/>
      <c r="X680" s="183"/>
      <c r="Y680" s="184"/>
      <c r="Z680" s="185"/>
      <c r="AA680" s="185"/>
      <c r="AB680" s="185"/>
      <c r="AC680" s="185"/>
      <c r="AD680" s="649"/>
      <c r="AE680" s="182"/>
      <c r="AF680" s="332"/>
      <c r="AG680" s="182"/>
      <c r="AH680" s="182"/>
      <c r="AI680" s="182"/>
      <c r="AJ680" s="640"/>
      <c r="AK680" s="182"/>
      <c r="AL680" s="496"/>
      <c r="AM680" s="496"/>
      <c r="AN680" s="626"/>
      <c r="AO680" s="182"/>
      <c r="AP680" s="182"/>
      <c r="AQ680" s="332" t="str">
        <f>UPPER(RIGHT(Journal_Live[[#This Row],[DURATION ]]))</f>
        <v/>
      </c>
      <c r="AR680" s="182"/>
      <c r="AS680" s="189"/>
      <c r="AT680" s="189"/>
      <c r="AU680" s="187"/>
      <c r="AV680" s="190"/>
      <c r="AW680" s="191"/>
      <c r="AX680" s="407" t="s">
        <v>2899</v>
      </c>
      <c r="AY680" s="407"/>
      <c r="AZ680" s="407"/>
      <c r="BA680" s="407"/>
      <c r="BB680" s="407"/>
      <c r="BC680" s="407"/>
      <c r="BD680" s="407"/>
      <c r="BE680" s="407"/>
      <c r="BF680" s="422"/>
      <c r="BG680" s="391">
        <f>SUM($AV$4:AV680)</f>
        <v>3544.3041428571637</v>
      </c>
      <c r="BH680" s="392">
        <f>SUM($AU$134:AU680)</f>
        <v>6541.4553333332997</v>
      </c>
      <c r="BI680" s="318">
        <f>SUMIFS($AU$134:AU681,$Q$134:Q681,"F")</f>
        <v>206.5333333333331</v>
      </c>
      <c r="BJ680" s="318">
        <f>SUMIFS($AU$134:AU681,$Q$134:Q681,"S")</f>
        <v>6468.4419999999964</v>
      </c>
      <c r="BK680" s="343">
        <f>SUMIFS($AU$134:AU681,$P$134:P681,"W")</f>
        <v>6187.7419999999347</v>
      </c>
      <c r="BL680" s="343">
        <f>SUMIFS($AU$134:AU681,$P$134:P681,"R")</f>
        <v>308.67333333333488</v>
      </c>
      <c r="BM680" s="343">
        <f>SUMIFS($AU$134:AU681,$AQ$134:AQ681,"M")</f>
        <v>2053.3999999999719</v>
      </c>
      <c r="BN680" s="343">
        <f>SUMIFS($AU$134:AU681,$AQ$134:AQ681,"H")</f>
        <v>2934.1420000000157</v>
      </c>
      <c r="BO680" s="343">
        <f>SUMIFS($AU$134:AU681,$AQ$134:AQ681,"D")</f>
        <v>49.689999999999884</v>
      </c>
      <c r="BP680" s="343">
        <f>SUMIFS($AU$134:AU683,$AQ$134:AQ683,"W")</f>
        <v>505.78333333334302</v>
      </c>
      <c r="BQ680" s="343">
        <f>SUMIFS($AU$134:AU681,$Q$134:Q681,"O")</f>
        <v>-388.72000000003555</v>
      </c>
      <c r="BR680" s="343">
        <f>SUMIFS($AU$134:AU681,$AA$134:AA681,"*")</f>
        <v>7833.4753333333119</v>
      </c>
      <c r="BS680" s="343">
        <f>SUMIFS($AU$134:AU681,$AB$134:AB681,"*")</f>
        <v>1570.4799999999871</v>
      </c>
      <c r="BT680" s="343">
        <f>SUMIFS($AU$134:AU681,$AC$134:AC681,"*")</f>
        <v>2735.6833333333316</v>
      </c>
      <c r="BU680" s="343">
        <f>SUMIFS($AU$134:AU681,$AA$134:AA681,"*",$AB$134:AB681,"*")</f>
        <v>562.00000000000512</v>
      </c>
      <c r="BV680" s="343">
        <f>SUMIFS($AU$134:AU681,$AA$134:AA681,"*",$AC$134:AC681,"*")</f>
        <v>3700.7833333333328</v>
      </c>
      <c r="BW680" s="343">
        <f>SUMIFS($AU$134:AU681,$AB$134:AB681,"*",$AC$134:AC681,"*")</f>
        <v>2382.6</v>
      </c>
      <c r="BX680" s="343">
        <f>SUMIFS($AU681:AU$1388,$Q681:Q$1388,"F")</f>
        <v>14234.133333333335</v>
      </c>
      <c r="BY680" s="343">
        <f>SUMIFS($AU681:AU$1388,$Q681:Q$1388,"S")</f>
        <v>14203.2</v>
      </c>
      <c r="BZ680" s="343">
        <f>SUMIFS($AU681:AU$1388,$Q681:Q$1388,"O")</f>
        <v>-1260.1379999997628</v>
      </c>
    </row>
    <row r="681" spans="1:78" ht="15.75" customHeight="1">
      <c r="A681" s="221" t="s">
        <v>2798</v>
      </c>
      <c r="B681" s="200">
        <v>45084</v>
      </c>
      <c r="C681" s="178" t="s">
        <v>2900</v>
      </c>
      <c r="D681" s="178" t="s">
        <v>151</v>
      </c>
      <c r="E681" s="227"/>
      <c r="F681" s="180"/>
      <c r="G681" s="181" t="s">
        <v>2145</v>
      </c>
      <c r="H681" s="182"/>
      <c r="I681" s="182"/>
      <c r="J681" s="182"/>
      <c r="K681" s="183"/>
      <c r="L681" s="182"/>
      <c r="M681" s="182"/>
      <c r="N681" s="182"/>
      <c r="O681" s="183"/>
      <c r="P681" s="183"/>
      <c r="Q681" s="183"/>
      <c r="R681" s="183"/>
      <c r="S681" s="183"/>
      <c r="T681" s="183"/>
      <c r="U681" s="183"/>
      <c r="V681" s="183"/>
      <c r="W681" s="183"/>
      <c r="X681" s="183"/>
      <c r="Y681" s="184"/>
      <c r="Z681" s="185"/>
      <c r="AA681" s="185"/>
      <c r="AB681" s="185"/>
      <c r="AC681" s="185"/>
      <c r="AD681" s="649"/>
      <c r="AE681" s="182"/>
      <c r="AF681" s="332"/>
      <c r="AG681" s="182"/>
      <c r="AH681" s="182"/>
      <c r="AI681" s="182"/>
      <c r="AJ681" s="640"/>
      <c r="AK681" s="182"/>
      <c r="AL681" s="496"/>
      <c r="AM681" s="496"/>
      <c r="AN681" s="626"/>
      <c r="AO681" s="182"/>
      <c r="AP681" s="182"/>
      <c r="AQ681" s="332" t="str">
        <f>UPPER(RIGHT(Journal_Live[[#This Row],[DURATION ]]))</f>
        <v/>
      </c>
      <c r="AR681" s="182"/>
      <c r="AS681" s="189"/>
      <c r="AT681" s="189"/>
      <c r="AU681" s="187"/>
      <c r="AV681" s="190"/>
      <c r="AW681" s="191"/>
      <c r="AX681" s="407"/>
      <c r="AY681" s="407"/>
      <c r="AZ681" s="407"/>
      <c r="BA681" s="407"/>
      <c r="BB681" s="407"/>
      <c r="BC681" s="407"/>
      <c r="BD681" s="407"/>
      <c r="BE681" s="407"/>
      <c r="BF681" s="422"/>
      <c r="BG681" s="391">
        <f>SUM($AV$4:AV681)</f>
        <v>3544.3041428571637</v>
      </c>
      <c r="BH681" s="392">
        <f>SUM($AU$134:AU681)</f>
        <v>6541.4553333332997</v>
      </c>
      <c r="BI681" s="318">
        <f>SUMIFS($AU$134:AU682,$Q$134:Q682,"F")</f>
        <v>206.5333333333331</v>
      </c>
      <c r="BJ681" s="318">
        <f>SUMIFS($AU$134:AU682,$Q$134:Q682,"S")</f>
        <v>6468.4419999999964</v>
      </c>
      <c r="BK681" s="343">
        <f>SUMIFS($AU$134:AU682,$P$134:P682,"W")</f>
        <v>6187.7419999999347</v>
      </c>
      <c r="BL681" s="343">
        <f>SUMIFS($AU$134:AU682,$P$134:P682,"R")</f>
        <v>308.67333333333488</v>
      </c>
      <c r="BM681" s="343">
        <f>SUMIFS($AU$134:AU682,$AQ$134:AQ682,"M")</f>
        <v>2053.3999999999719</v>
      </c>
      <c r="BN681" s="343">
        <f>SUMIFS($AU$134:AU682,$AQ$134:AQ682,"H")</f>
        <v>2934.1420000000157</v>
      </c>
      <c r="BO681" s="343">
        <f>SUMIFS($AU$134:AU682,$AQ$134:AQ682,"D")</f>
        <v>49.689999999999884</v>
      </c>
      <c r="BP681" s="343">
        <f>SUMIFS($AU$134:AU684,$AQ$134:AQ684,"W")</f>
        <v>505.78333333334302</v>
      </c>
      <c r="BQ681" s="343">
        <f>SUMIFS($AU$134:AU682,$Q$134:Q682,"O")</f>
        <v>-388.72000000003555</v>
      </c>
      <c r="BR681" s="343">
        <f>SUMIFS($AU$134:AU682,$AA$134:AA682,"*")</f>
        <v>7833.4753333333119</v>
      </c>
      <c r="BS681" s="343">
        <f>SUMIFS($AU$134:AU682,$AB$134:AB682,"*")</f>
        <v>1570.4799999999871</v>
      </c>
      <c r="BT681" s="343">
        <f>SUMIFS($AU$134:AU682,$AC$134:AC682,"*")</f>
        <v>2735.6833333333316</v>
      </c>
      <c r="BU681" s="343">
        <f>SUMIFS($AU$134:AU682,$AA$134:AA682,"*",$AB$134:AB682,"*")</f>
        <v>562.00000000000512</v>
      </c>
      <c r="BV681" s="343">
        <f>SUMIFS($AU$134:AU682,$AA$134:AA682,"*",$AC$134:AC682,"*")</f>
        <v>3700.7833333333328</v>
      </c>
      <c r="BW681" s="343">
        <f>SUMIFS($AU$134:AU682,$AB$134:AB682,"*",$AC$134:AC682,"*")</f>
        <v>2382.6</v>
      </c>
      <c r="BX681" s="343">
        <f>SUMIFS($AU682:AU$1388,$Q682:Q$1388,"F")</f>
        <v>14234.133333333335</v>
      </c>
      <c r="BY681" s="343">
        <f>SUMIFS($AU682:AU$1388,$Q682:Q$1388,"S")</f>
        <v>14203.2</v>
      </c>
      <c r="BZ681" s="343">
        <f>SUMIFS($AU682:AU$1388,$Q682:Q$1388,"O")</f>
        <v>-1260.1379999997628</v>
      </c>
    </row>
    <row r="682" spans="1:78" ht="15.75" customHeight="1">
      <c r="A682" s="221" t="s">
        <v>2798</v>
      </c>
      <c r="B682" s="200">
        <v>45084</v>
      </c>
      <c r="C682" s="178" t="s">
        <v>1187</v>
      </c>
      <c r="D682" s="178" t="s">
        <v>151</v>
      </c>
      <c r="E682" s="227" t="s">
        <v>2901</v>
      </c>
      <c r="F682" s="180" t="s">
        <v>2902</v>
      </c>
      <c r="G682" s="181"/>
      <c r="H682" s="182">
        <v>1</v>
      </c>
      <c r="I682" s="182"/>
      <c r="J682" s="182"/>
      <c r="K682" s="183" t="s">
        <v>372</v>
      </c>
      <c r="L682" s="182"/>
      <c r="M682" s="182"/>
      <c r="N682" s="182"/>
      <c r="O682" s="183"/>
      <c r="P682" s="183"/>
      <c r="Q682" s="183"/>
      <c r="R682" s="183"/>
      <c r="S682" s="183"/>
      <c r="T682" s="183"/>
      <c r="U682" s="183"/>
      <c r="V682" s="183"/>
      <c r="W682" s="183"/>
      <c r="X682" s="183"/>
      <c r="Y682" s="183"/>
      <c r="Z682" s="183"/>
      <c r="AA682" s="185"/>
      <c r="AB682" s="185"/>
      <c r="AC682" s="185"/>
      <c r="AD682" s="649"/>
      <c r="AE682" s="182"/>
      <c r="AF682" s="332"/>
      <c r="AG682" s="182"/>
      <c r="AH682" s="182"/>
      <c r="AI682" s="182"/>
      <c r="AJ682" s="640"/>
      <c r="AK682" s="182"/>
      <c r="AL682" s="496"/>
      <c r="AM682" s="496"/>
      <c r="AN682" s="626"/>
      <c r="AO682" s="182"/>
      <c r="AP682" s="182"/>
      <c r="AQ682" s="332" t="str">
        <f>UPPER(RIGHT(Journal_Live[[#This Row],[DURATION ]]))</f>
        <v/>
      </c>
      <c r="AR682" s="182"/>
      <c r="AS682" s="189"/>
      <c r="AT682" s="189"/>
      <c r="AU682" s="187"/>
      <c r="AV682" s="190"/>
      <c r="AW682" s="191"/>
      <c r="AX682" s="407" t="s">
        <v>2903</v>
      </c>
      <c r="AY682" s="407"/>
      <c r="AZ682" s="407"/>
      <c r="BA682" s="407"/>
      <c r="BB682" s="407"/>
      <c r="BC682" s="407"/>
      <c r="BD682" s="407"/>
      <c r="BE682" s="407"/>
      <c r="BF682" s="422"/>
      <c r="BG682" s="391">
        <f>SUM($AV$4:AV682)</f>
        <v>3544.3041428571637</v>
      </c>
      <c r="BH682" s="392">
        <f>SUM($AU$134:AU682)</f>
        <v>6541.4553333332997</v>
      </c>
      <c r="BI682" s="318">
        <f>SUMIFS($AU$134:AU683,$Q$134:Q683,"F")</f>
        <v>206.5333333333331</v>
      </c>
      <c r="BJ682" s="318">
        <f>SUMIFS($AU$134:AU683,$Q$134:Q683,"S")</f>
        <v>6468.4419999999964</v>
      </c>
      <c r="BK682" s="343">
        <f>SUMIFS($AU$134:AU683,$P$134:P683,"W")</f>
        <v>6187.7419999999347</v>
      </c>
      <c r="BL682" s="343">
        <f>SUMIFS($AU$134:AU683,$P$134:P683,"R")</f>
        <v>308.67333333333488</v>
      </c>
      <c r="BM682" s="343">
        <f>SUMIFS($AU$134:AU683,$AQ$134:AQ683,"M")</f>
        <v>2053.3999999999719</v>
      </c>
      <c r="BN682" s="343">
        <f>SUMIFS($AU$134:AU683,$AQ$134:AQ683,"H")</f>
        <v>2934.1420000000157</v>
      </c>
      <c r="BO682" s="343">
        <f>SUMIFS($AU$134:AU683,$AQ$134:AQ683,"D")</f>
        <v>49.689999999999884</v>
      </c>
      <c r="BP682" s="343">
        <f>SUMIFS($AU$134:AU685,$AQ$134:AQ685,"W")</f>
        <v>505.78333333334302</v>
      </c>
      <c r="BQ682" s="343">
        <f>SUMIFS($AU$134:AU683,$Q$134:Q683,"O")</f>
        <v>-388.72000000003555</v>
      </c>
      <c r="BR682" s="343">
        <f>SUMIFS($AU$134:AU683,$AA$134:AA683,"*")</f>
        <v>7833.4753333333119</v>
      </c>
      <c r="BS682" s="343">
        <f>SUMIFS($AU$134:AU683,$AB$134:AB683,"*")</f>
        <v>1570.4799999999871</v>
      </c>
      <c r="BT682" s="343">
        <f>SUMIFS($AU$134:AU683,$AC$134:AC683,"*")</f>
        <v>2735.6833333333316</v>
      </c>
      <c r="BU682" s="343">
        <f>SUMIFS($AU$134:AU683,$AA$134:AA683,"*",$AB$134:AB683,"*")</f>
        <v>562.00000000000512</v>
      </c>
      <c r="BV682" s="343">
        <f>SUMIFS($AU$134:AU683,$AA$134:AA683,"*",$AC$134:AC683,"*")</f>
        <v>3700.7833333333328</v>
      </c>
      <c r="BW682" s="343">
        <f>SUMIFS($AU$134:AU683,$AB$134:AB683,"*",$AC$134:AC683,"*")</f>
        <v>2382.6</v>
      </c>
      <c r="BX682" s="343">
        <f>SUMIFS($AU683:AU$1388,$Q683:Q$1388,"F")</f>
        <v>14234.133333333335</v>
      </c>
      <c r="BY682" s="343">
        <f>SUMIFS($AU683:AU$1388,$Q683:Q$1388,"S")</f>
        <v>14203.2</v>
      </c>
      <c r="BZ682" s="343">
        <f>SUMIFS($AU683:AU$1388,$Q683:Q$1388,"O")</f>
        <v>-1260.1379999997628</v>
      </c>
    </row>
    <row r="683" spans="1:78" ht="15.75" customHeight="1">
      <c r="A683" s="221" t="s">
        <v>2798</v>
      </c>
      <c r="B683" s="200">
        <v>45084</v>
      </c>
      <c r="C683" s="178" t="s">
        <v>682</v>
      </c>
      <c r="D683" s="178" t="s">
        <v>151</v>
      </c>
      <c r="E683" s="227"/>
      <c r="F683" s="180"/>
      <c r="G683" s="181" t="s">
        <v>94</v>
      </c>
      <c r="H683" s="182"/>
      <c r="I683" s="182"/>
      <c r="J683" s="182"/>
      <c r="K683" s="183"/>
      <c r="L683" s="182"/>
      <c r="M683" s="182"/>
      <c r="N683" s="182"/>
      <c r="O683" s="183"/>
      <c r="P683" s="183"/>
      <c r="Q683" s="183"/>
      <c r="R683" s="183"/>
      <c r="S683" s="183"/>
      <c r="T683" s="183"/>
      <c r="U683" s="183"/>
      <c r="V683" s="183"/>
      <c r="W683" s="183"/>
      <c r="X683" s="183"/>
      <c r="Y683" s="184"/>
      <c r="Z683" s="185"/>
      <c r="AA683" s="409"/>
      <c r="AB683" s="185"/>
      <c r="AC683" s="185"/>
      <c r="AD683" s="649"/>
      <c r="AE683" s="182"/>
      <c r="AF683" s="332"/>
      <c r="AG683" s="182"/>
      <c r="AH683" s="182"/>
      <c r="AI683" s="182"/>
      <c r="AJ683" s="640"/>
      <c r="AK683" s="182"/>
      <c r="AL683" s="496"/>
      <c r="AM683" s="496"/>
      <c r="AN683" s="626"/>
      <c r="AO683" s="182"/>
      <c r="AP683" s="182"/>
      <c r="AQ683" s="332" t="str">
        <f>UPPER(RIGHT(Journal_Live[[#This Row],[DURATION ]]))</f>
        <v/>
      </c>
      <c r="AR683" s="182"/>
      <c r="AS683" s="189"/>
      <c r="AT683" s="189"/>
      <c r="AU683" s="187"/>
      <c r="AV683" s="190"/>
      <c r="AW683" s="191"/>
      <c r="AX683" s="407" t="s">
        <v>2904</v>
      </c>
      <c r="AY683" s="407"/>
      <c r="AZ683" s="407"/>
      <c r="BA683" s="407"/>
      <c r="BB683" s="407"/>
      <c r="BC683" s="407"/>
      <c r="BD683" s="407"/>
      <c r="BE683" s="407"/>
      <c r="BF683" s="422"/>
      <c r="BG683" s="391">
        <f>SUM($AV$4:AV683)</f>
        <v>3544.3041428571637</v>
      </c>
      <c r="BH683" s="392">
        <f>SUM($AU$134:AU683)</f>
        <v>6541.4553333332997</v>
      </c>
      <c r="BI683" s="318">
        <f>SUMIFS($AU$134:AU684,$Q$134:Q684,"F")</f>
        <v>206.5333333333331</v>
      </c>
      <c r="BJ683" s="318">
        <f>SUMIFS($AU$134:AU684,$Q$134:Q684,"S")</f>
        <v>6468.4419999999964</v>
      </c>
      <c r="BK683" s="343">
        <f>SUMIFS($AU$134:AU684,$P$134:P684,"W")</f>
        <v>6187.7419999999347</v>
      </c>
      <c r="BL683" s="343">
        <f>SUMIFS($AU$134:AU684,$P$134:P684,"R")</f>
        <v>308.67333333333488</v>
      </c>
      <c r="BM683" s="343">
        <f>SUMIFS($AU$134:AU684,$AQ$134:AQ684,"M")</f>
        <v>2013.3999999999799</v>
      </c>
      <c r="BN683" s="343">
        <f>SUMIFS($AU$134:AU684,$AQ$134:AQ684,"H")</f>
        <v>2934.1420000000157</v>
      </c>
      <c r="BO683" s="343">
        <f>SUMIFS($AU$134:AU684,$AQ$134:AQ684,"D")</f>
        <v>49.689999999999884</v>
      </c>
      <c r="BP683" s="343">
        <f>SUMIFS($AU$134:AU686,$AQ$134:AQ686,"W")</f>
        <v>505.78333333334302</v>
      </c>
      <c r="BQ683" s="343">
        <f>SUMIFS($AU$134:AU684,$Q$134:Q684,"O")</f>
        <v>-428.7200000000276</v>
      </c>
      <c r="BR683" s="343">
        <f>SUMIFS($AU$134:AU684,$AA$134:AA684,"*")</f>
        <v>7793.4753333333201</v>
      </c>
      <c r="BS683" s="343">
        <f>SUMIFS($AU$134:AU684,$AB$134:AB684,"*")</f>
        <v>1570.4799999999871</v>
      </c>
      <c r="BT683" s="343">
        <f>SUMIFS($AU$134:AU684,$AC$134:AC684,"*")</f>
        <v>2735.6833333333316</v>
      </c>
      <c r="BU683" s="343">
        <f>SUMIFS($AU$134:AU684,$AA$134:AA684,"*",$AB$134:AB684,"*")</f>
        <v>562.00000000000512</v>
      </c>
      <c r="BV683" s="343">
        <f>SUMIFS($AU$134:AU684,$AA$134:AA684,"*",$AC$134:AC684,"*")</f>
        <v>3700.7833333333328</v>
      </c>
      <c r="BW683" s="343">
        <f>SUMIFS($AU$134:AU684,$AB$134:AB684,"*",$AC$134:AC684,"*")</f>
        <v>2382.6</v>
      </c>
      <c r="BX683" s="343">
        <f>SUMIFS($AU684:AU$1388,$Q684:Q$1388,"F")</f>
        <v>14234.133333333335</v>
      </c>
      <c r="BY683" s="343">
        <f>SUMIFS($AU684:AU$1388,$Q684:Q$1388,"S")</f>
        <v>14203.2</v>
      </c>
      <c r="BZ683" s="343">
        <f>SUMIFS($AU684:AU$1388,$Q684:Q$1388,"O")</f>
        <v>-1260.1379999997628</v>
      </c>
    </row>
    <row r="684" spans="1:78" ht="15.75" customHeight="1">
      <c r="A684" s="221" t="s">
        <v>2798</v>
      </c>
      <c r="B684" s="200">
        <v>45084</v>
      </c>
      <c r="C684" s="178" t="s">
        <v>682</v>
      </c>
      <c r="D684" s="178" t="s">
        <v>151</v>
      </c>
      <c r="E684" s="227"/>
      <c r="F684" s="180"/>
      <c r="G684" s="281" t="s">
        <v>2431</v>
      </c>
      <c r="H684" s="182"/>
      <c r="I684" s="182"/>
      <c r="J684" s="182"/>
      <c r="K684" s="183"/>
      <c r="L684" s="182">
        <v>2</v>
      </c>
      <c r="M684" s="182"/>
      <c r="N684" s="182"/>
      <c r="O684" s="183" t="s">
        <v>2432</v>
      </c>
      <c r="P684" s="183" t="s">
        <v>2260</v>
      </c>
      <c r="Q684" s="183" t="s">
        <v>684</v>
      </c>
      <c r="R684" s="183">
        <v>1</v>
      </c>
      <c r="S684" s="183">
        <v>0</v>
      </c>
      <c r="T684" s="183">
        <v>1</v>
      </c>
      <c r="U684" s="183" t="s">
        <v>97</v>
      </c>
      <c r="V684" s="183"/>
      <c r="W684" s="183"/>
      <c r="X684" s="183"/>
      <c r="Y684" s="184">
        <f>IF(ISBLANK(O684),"",(IF(O684=UPPER("IB"),0.005,0.01)))</f>
        <v>0.01</v>
      </c>
      <c r="Z684" s="185">
        <f>IF(ISBLANK(O684),"",IF(O684="IB",8.63*200,IF(O684="IR",16*100,IF(O684="YT",20*100,IF(O684="YT-XT",24*200,IF(O684="TED",80*100))))))</f>
        <v>2000</v>
      </c>
      <c r="AA684" s="185" t="s">
        <v>1096</v>
      </c>
      <c r="AB684" s="185"/>
      <c r="AC684" s="185"/>
      <c r="AD684" s="649">
        <v>96.2</v>
      </c>
      <c r="AE684" s="182"/>
      <c r="AF684" s="332"/>
      <c r="AG684" s="182"/>
      <c r="AH684" s="182"/>
      <c r="AI684" s="182"/>
      <c r="AJ684" s="640"/>
      <c r="AK684" s="182"/>
      <c r="AL684" s="496">
        <f t="shared" ref="AL684" si="257">-0.02*Z684</f>
        <v>-40</v>
      </c>
      <c r="AM684" s="496">
        <f>AL684*(R684-S684)</f>
        <v>-40</v>
      </c>
      <c r="AN684" s="626"/>
      <c r="AO684" s="182"/>
      <c r="AP684" s="182" t="s">
        <v>2905</v>
      </c>
      <c r="AQ684" s="332" t="str">
        <f>UPPER(RIGHT(Journal_Live[[#This Row],[DURATION ]]))</f>
        <v>M</v>
      </c>
      <c r="AR684" s="182" t="s">
        <v>682</v>
      </c>
      <c r="AS684" s="189">
        <v>96.22</v>
      </c>
      <c r="AT684" s="189">
        <f>IF(ISBLANK(AS684),,IF(U684="S",AD684-AS684,AS684-AD684))</f>
        <v>-1.9999999999996021E-2</v>
      </c>
      <c r="AU684" s="187">
        <f>AV684*R684</f>
        <v>-39.999999999992042</v>
      </c>
      <c r="AV684" s="190">
        <f>IF(ISBLANK(AS684),,(AT684*Z684))</f>
        <v>-39.999999999992042</v>
      </c>
      <c r="AW684" s="191" t="s">
        <v>229</v>
      </c>
      <c r="AX684" s="407" t="s">
        <v>2906</v>
      </c>
      <c r="AY684" s="407" t="s">
        <v>2907</v>
      </c>
      <c r="AZ684" s="407"/>
      <c r="BA684" s="407"/>
      <c r="BB684" s="407"/>
      <c r="BC684" s="407"/>
      <c r="BD684" s="407"/>
      <c r="BE684" s="407"/>
      <c r="BF684" s="422"/>
      <c r="BG684" s="391">
        <f>SUM($AV$4:AV684)</f>
        <v>3504.3041428571714</v>
      </c>
      <c r="BH684" s="392">
        <f>SUM($AU$134:AU684)</f>
        <v>6501.4553333333079</v>
      </c>
      <c r="BI684" s="318">
        <f>SUMIFS($AU$134:AU685,$Q$134:Q685,"F")</f>
        <v>206.5333333333331</v>
      </c>
      <c r="BJ684" s="318">
        <f>SUMIFS($AU$134:AU685,$Q$134:Q685,"S")</f>
        <v>6116.4419999999964</v>
      </c>
      <c r="BK684" s="343">
        <f>SUMIFS($AU$134:AU685,$P$134:P685,"W")</f>
        <v>5835.7419999999347</v>
      </c>
      <c r="BL684" s="343">
        <f>SUMIFS($AU$134:AU685,$P$134:P685,"R")</f>
        <v>308.67333333333488</v>
      </c>
      <c r="BM684" s="343">
        <f>SUMIFS($AU$134:AU685,$AQ$134:AQ685,"M")</f>
        <v>2013.3999999999799</v>
      </c>
      <c r="BN684" s="343">
        <f>SUMIFS($AU$134:AU685,$AQ$134:AQ685,"H")</f>
        <v>2582.1420000000157</v>
      </c>
      <c r="BO684" s="343">
        <f>SUMIFS($AU$134:AU685,$AQ$134:AQ685,"D")</f>
        <v>49.689999999999884</v>
      </c>
      <c r="BP684" s="343">
        <f>SUMIFS($AU$134:AU687,$AQ$134:AQ687,"W")</f>
        <v>505.78333333334302</v>
      </c>
      <c r="BQ684" s="343">
        <f>SUMIFS($AU$134:AU685,$Q$134:Q685,"O")</f>
        <v>-428.7200000000276</v>
      </c>
      <c r="BR684" s="343">
        <f>SUMIFS($AU$134:AU685,$AA$134:AA685,"*")</f>
        <v>7441.4753333333201</v>
      </c>
      <c r="BS684" s="343">
        <f>SUMIFS($AU$134:AU685,$AB$134:AB685,"*")</f>
        <v>1570.4799999999871</v>
      </c>
      <c r="BT684" s="343">
        <f>SUMIFS($AU$134:AU685,$AC$134:AC685,"*")</f>
        <v>2735.6833333333316</v>
      </c>
      <c r="BU684" s="343">
        <f>SUMIFS($AU$134:AU685,$AA$134:AA685,"*",$AB$134:AB685,"*")</f>
        <v>562.00000000000512</v>
      </c>
      <c r="BV684" s="343">
        <f>SUMIFS($AU$134:AU685,$AA$134:AA685,"*",$AC$134:AC685,"*")</f>
        <v>3700.7833333333328</v>
      </c>
      <c r="BW684" s="343">
        <f>SUMIFS($AU$134:AU685,$AB$134:AB685,"*",$AC$134:AC685,"*")</f>
        <v>2382.6</v>
      </c>
      <c r="BX684" s="343">
        <f>SUMIFS($AU685:AU$1388,$Q685:Q$1388,"F")</f>
        <v>14234.133333333335</v>
      </c>
      <c r="BY684" s="343">
        <f>SUMIFS($AU685:AU$1388,$Q685:Q$1388,"S")</f>
        <v>14203.2</v>
      </c>
      <c r="BZ684" s="343">
        <f>SUMIFS($AU685:AU$1388,$Q685:Q$1388,"O")</f>
        <v>-1220.1379999997707</v>
      </c>
    </row>
    <row r="685" spans="1:78" ht="15.75" customHeight="1">
      <c r="A685" s="221" t="s">
        <v>2798</v>
      </c>
      <c r="B685" s="200">
        <v>45084</v>
      </c>
      <c r="C685" s="178" t="s">
        <v>2112</v>
      </c>
      <c r="D685" s="178" t="s">
        <v>151</v>
      </c>
      <c r="E685" s="227"/>
      <c r="F685" s="180"/>
      <c r="G685" s="281" t="s">
        <v>94</v>
      </c>
      <c r="H685" s="182"/>
      <c r="I685" s="182"/>
      <c r="J685" s="182"/>
      <c r="K685" s="183"/>
      <c r="L685" s="182">
        <v>1</v>
      </c>
      <c r="M685" s="182">
        <v>1</v>
      </c>
      <c r="N685" s="182"/>
      <c r="O685" s="183" t="s">
        <v>95</v>
      </c>
      <c r="P685" s="183" t="s">
        <v>96</v>
      </c>
      <c r="Q685" s="183" t="s">
        <v>97</v>
      </c>
      <c r="R685" s="183">
        <v>8</v>
      </c>
      <c r="S685" s="183">
        <v>3</v>
      </c>
      <c r="T685" s="183">
        <v>8</v>
      </c>
      <c r="U685" s="183" t="s">
        <v>97</v>
      </c>
      <c r="V685" s="183"/>
      <c r="W685" s="183"/>
      <c r="X685" s="183"/>
      <c r="Y685" s="184">
        <f>IF(ISBLANK(O685),"",(IF(O685=UPPER("IB"),0.005,0.01)))</f>
        <v>0.01</v>
      </c>
      <c r="Z685" s="185">
        <f>IF(ISBLANK(O685),"",IF(O685="IB",8.63*200,IF(O685="IR",16*100,IF(O685="YT",20*100,IF(O685="YT-XT",24*200,IF(O685="TED",80*100))))))</f>
        <v>1600</v>
      </c>
      <c r="AA685" s="409" t="s">
        <v>2908</v>
      </c>
      <c r="AB685" s="185"/>
      <c r="AC685" s="185"/>
      <c r="AD685" s="649">
        <f>(0.04*3+0.06*5)/8</f>
        <v>5.2499999999999998E-2</v>
      </c>
      <c r="AE685" s="182"/>
      <c r="AF685" s="332"/>
      <c r="AG685" s="182"/>
      <c r="AH685" s="182"/>
      <c r="AI685" s="182"/>
      <c r="AJ685" s="640"/>
      <c r="AK685" s="182"/>
      <c r="AL685" s="496">
        <f>-0.03*Z685</f>
        <v>-48</v>
      </c>
      <c r="AM685" s="496">
        <f>AL685*(R685-S685)</f>
        <v>-240</v>
      </c>
      <c r="AN685" s="626"/>
      <c r="AO685" s="182"/>
      <c r="AP685" s="182" t="s">
        <v>1084</v>
      </c>
      <c r="AQ685" s="332" t="str">
        <f>UPPER(RIGHT(Journal_Live[[#This Row],[DURATION ]]))</f>
        <v>H</v>
      </c>
      <c r="AR685" s="182" t="s">
        <v>2909</v>
      </c>
      <c r="AS685" s="189">
        <f>((0.08*3+0.08*5))/8</f>
        <v>0.08</v>
      </c>
      <c r="AT685" s="189">
        <f>IF(ISBLANK(AS685),,IF(U685="S",AD685-AS685,AS685-AD685))</f>
        <v>-2.7500000000000004E-2</v>
      </c>
      <c r="AU685" s="187">
        <f>AV685*R685</f>
        <v>-352.00000000000006</v>
      </c>
      <c r="AV685" s="190">
        <f>IF(ISBLANK(AS685),,(AT685*Z685))</f>
        <v>-44.000000000000007</v>
      </c>
      <c r="AW685" s="191" t="s">
        <v>229</v>
      </c>
      <c r="AX685" s="407"/>
      <c r="AY685" s="407"/>
      <c r="AZ685" s="407"/>
      <c r="BA685" s="407"/>
      <c r="BB685" s="407"/>
      <c r="BC685" s="407"/>
      <c r="BD685" s="407"/>
      <c r="BE685" s="407"/>
      <c r="BF685" s="422"/>
      <c r="BG685" s="391">
        <f>SUM($AV$4:AV685)</f>
        <v>3460.3041428571714</v>
      </c>
      <c r="BH685" s="392">
        <f>SUM($AU$134:AU685)</f>
        <v>6149.4553333333079</v>
      </c>
      <c r="BI685" s="318">
        <f>SUMIFS($AU$134:AU686,$Q$134:Q686,"F")</f>
        <v>206.5333333333331</v>
      </c>
      <c r="BJ685" s="318">
        <f>SUMIFS($AU$134:AU686,$Q$134:Q686,"S")</f>
        <v>6084.4419999999964</v>
      </c>
      <c r="BK685" s="343">
        <f>SUMIFS($AU$134:AU686,$P$134:P686,"W")</f>
        <v>5803.7419999999347</v>
      </c>
      <c r="BL685" s="343">
        <f>SUMIFS($AU$134:AU686,$P$134:P686,"R")</f>
        <v>308.67333333333488</v>
      </c>
      <c r="BM685" s="343">
        <f>SUMIFS($AU$134:AU686,$AQ$134:AQ686,"M")</f>
        <v>2013.3999999999799</v>
      </c>
      <c r="BN685" s="343">
        <f>SUMIFS($AU$134:AU686,$AQ$134:AQ686,"H")</f>
        <v>2550.1420000000157</v>
      </c>
      <c r="BO685" s="343">
        <f>SUMIFS($AU$134:AU686,$AQ$134:AQ686,"D")</f>
        <v>49.689999999999884</v>
      </c>
      <c r="BP685" s="343">
        <f>SUMIFS($AU$134:AU688,$AQ$134:AQ688,"W")</f>
        <v>505.78333333334302</v>
      </c>
      <c r="BQ685" s="343">
        <f>SUMIFS($AU$134:AU686,$Q$134:Q686,"O")</f>
        <v>-428.7200000000276</v>
      </c>
      <c r="BR685" s="343">
        <f>SUMIFS($AU$134:AU686,$AA$134:AA686,"*")</f>
        <v>7409.4753333333201</v>
      </c>
      <c r="BS685" s="343">
        <f>SUMIFS($AU$134:AU686,$AB$134:AB686,"*")</f>
        <v>1538.4799999999868</v>
      </c>
      <c r="BT685" s="343">
        <f>SUMIFS($AU$134:AU686,$AC$134:AC686,"*")</f>
        <v>2735.6833333333316</v>
      </c>
      <c r="BU685" s="343">
        <f>SUMIFS($AU$134:AU686,$AA$134:AA686,"*",$AB$134:AB686,"*")</f>
        <v>530.00000000000489</v>
      </c>
      <c r="BV685" s="343">
        <f>SUMIFS($AU$134:AU686,$AA$134:AA686,"*",$AC$134:AC686,"*")</f>
        <v>3700.7833333333328</v>
      </c>
      <c r="BW685" s="343">
        <f>SUMIFS($AU$134:AU686,$AB$134:AB686,"*",$AC$134:AC686,"*")</f>
        <v>2382.6</v>
      </c>
      <c r="BX685" s="343">
        <f>SUMIFS($AU686:AU$1388,$Q686:Q$1388,"F")</f>
        <v>14234.133333333335</v>
      </c>
      <c r="BY685" s="343">
        <f>SUMIFS($AU686:AU$1388,$Q686:Q$1388,"S")</f>
        <v>14555.2</v>
      </c>
      <c r="BZ685" s="343">
        <f>SUMIFS($AU686:AU$1388,$Q686:Q$1388,"O")</f>
        <v>-1220.1379999997707</v>
      </c>
    </row>
    <row r="686" spans="1:78" ht="15.75" customHeight="1">
      <c r="A686" s="221" t="s">
        <v>2798</v>
      </c>
      <c r="B686" s="200">
        <v>45084</v>
      </c>
      <c r="C686" s="178" t="s">
        <v>1663</v>
      </c>
      <c r="D686" s="178" t="s">
        <v>151</v>
      </c>
      <c r="E686" s="227"/>
      <c r="F686" s="180"/>
      <c r="G686" s="281" t="s">
        <v>2145</v>
      </c>
      <c r="H686" s="182"/>
      <c r="I686" s="182"/>
      <c r="J686" s="182"/>
      <c r="K686" s="183"/>
      <c r="L686" s="182">
        <v>1</v>
      </c>
      <c r="M686" s="182"/>
      <c r="N686" s="182"/>
      <c r="O686" s="183" t="s">
        <v>95</v>
      </c>
      <c r="P686" s="183" t="s">
        <v>96</v>
      </c>
      <c r="Q686" s="183" t="s">
        <v>97</v>
      </c>
      <c r="R686" s="183">
        <v>22</v>
      </c>
      <c r="S686" s="183">
        <v>10</v>
      </c>
      <c r="T686" s="183">
        <v>22</v>
      </c>
      <c r="U686" s="183" t="s">
        <v>97</v>
      </c>
      <c r="V686" s="183"/>
      <c r="W686" s="183"/>
      <c r="X686" s="183"/>
      <c r="Y686" s="184">
        <f>IF(ISBLANK(O686),"",(IF(O686=UPPER("IB"),0.005,0.01)))</f>
        <v>0.01</v>
      </c>
      <c r="Z686" s="185">
        <f>IF(ISBLANK(O686),"",IF(O686="IB",8.63*200,IF(O686="IR",16*100,IF(O686="YT",20*100,IF(O686="YT-XT",24*200,IF(O686="TED",80*100))))))</f>
        <v>1600</v>
      </c>
      <c r="AA686" s="185" t="s">
        <v>99</v>
      </c>
      <c r="AB686" s="185" t="s">
        <v>2876</v>
      </c>
      <c r="AC686" s="185"/>
      <c r="AD686" s="649">
        <f>((-0.08*10)+(-0.1*12))/22</f>
        <v>-9.0909090909090912E-2</v>
      </c>
      <c r="AE686" s="182"/>
      <c r="AF686" s="332"/>
      <c r="AG686" s="182"/>
      <c r="AH686" s="182"/>
      <c r="AI686" s="182"/>
      <c r="AJ686" s="640"/>
      <c r="AK686" s="182"/>
      <c r="AL686" s="496">
        <f>-0.03*Z686</f>
        <v>-48</v>
      </c>
      <c r="AM686" s="496">
        <f>AL686*(R686-S686)</f>
        <v>-576</v>
      </c>
      <c r="AN686" s="626"/>
      <c r="AO686" s="182"/>
      <c r="AP686" s="182" t="s">
        <v>1084</v>
      </c>
      <c r="AQ686" s="332" t="str">
        <f>UPPER(RIGHT(Journal_Live[[#This Row],[DURATION ]]))</f>
        <v>H</v>
      </c>
      <c r="AR686" s="182" t="s">
        <v>2910</v>
      </c>
      <c r="AS686" s="189">
        <f>((-0.09*10)+(-0.09*12))/22</f>
        <v>-0.09</v>
      </c>
      <c r="AT686" s="189">
        <f>IF(ISBLANK(AS686),,IF(U686="S",AD686-AS686,AS686-AD686))</f>
        <v>-9.0909090909091494E-4</v>
      </c>
      <c r="AU686" s="187">
        <f>AV686*R686</f>
        <v>-32.000000000000206</v>
      </c>
      <c r="AV686" s="190">
        <f>IF(ISBLANK(AS686),,(AT686*Z686))</f>
        <v>-1.4545454545454639</v>
      </c>
      <c r="AW686" s="191" t="s">
        <v>229</v>
      </c>
      <c r="AX686" s="407"/>
      <c r="AY686" s="407"/>
      <c r="AZ686" s="407"/>
      <c r="BA686" s="407"/>
      <c r="BB686" s="407"/>
      <c r="BC686" s="407"/>
      <c r="BD686" s="407"/>
      <c r="BE686" s="407"/>
      <c r="BF686" s="422"/>
      <c r="BG686" s="391">
        <f>SUM($AV$4:AV686)</f>
        <v>3458.8495974026259</v>
      </c>
      <c r="BH686" s="392">
        <f>SUM($AU$134:AU686)</f>
        <v>6117.4553333333079</v>
      </c>
      <c r="BI686" s="318">
        <f>SUMIFS($AU$134:AU687,$Q$134:Q687,"F")</f>
        <v>206.5333333333331</v>
      </c>
      <c r="BJ686" s="318">
        <f>SUMIFS($AU$134:AU687,$Q$134:Q687,"S")</f>
        <v>6084.4419999999964</v>
      </c>
      <c r="BK686" s="343">
        <f>SUMIFS($AU$134:AU687,$P$134:P687,"W")</f>
        <v>5803.7419999999347</v>
      </c>
      <c r="BL686" s="343">
        <f>SUMIFS($AU$134:AU687,$P$134:P687,"R")</f>
        <v>308.67333333333488</v>
      </c>
      <c r="BM686" s="343">
        <f>SUMIFS($AU$134:AU687,$AQ$134:AQ687,"M")</f>
        <v>2013.3999999999799</v>
      </c>
      <c r="BN686" s="343">
        <f>SUMIFS($AU$134:AU687,$AQ$134:AQ687,"H")</f>
        <v>2550.1420000000157</v>
      </c>
      <c r="BO686" s="343">
        <f>SUMIFS($AU$134:AU687,$AQ$134:AQ687,"D")</f>
        <v>49.689999999999884</v>
      </c>
      <c r="BP686" s="343">
        <f>SUMIFS($AU$134:AU689,$AQ$134:AQ689,"W")</f>
        <v>505.78333333334302</v>
      </c>
      <c r="BQ686" s="343">
        <f>SUMIFS($AU$134:AU687,$Q$134:Q687,"O")</f>
        <v>-428.7200000000276</v>
      </c>
      <c r="BR686" s="343">
        <f>SUMIFS($AU$134:AU687,$AA$134:AA687,"*")</f>
        <v>7409.4753333333201</v>
      </c>
      <c r="BS686" s="343">
        <f>SUMIFS($AU$134:AU687,$AB$134:AB687,"*")</f>
        <v>1538.4799999999868</v>
      </c>
      <c r="BT686" s="343">
        <f>SUMIFS($AU$134:AU687,$AC$134:AC687,"*")</f>
        <v>2735.6833333333316</v>
      </c>
      <c r="BU686" s="343">
        <f>SUMIFS($AU$134:AU687,$AA$134:AA687,"*",$AB$134:AB687,"*")</f>
        <v>530.00000000000489</v>
      </c>
      <c r="BV686" s="343">
        <f>SUMIFS($AU$134:AU687,$AA$134:AA687,"*",$AC$134:AC687,"*")</f>
        <v>3700.7833333333328</v>
      </c>
      <c r="BW686" s="343">
        <f>SUMIFS($AU$134:AU687,$AB$134:AB687,"*",$AC$134:AC687,"*")</f>
        <v>2382.6</v>
      </c>
      <c r="BX686" s="343">
        <f>SUMIFS($AU687:AU$1388,$Q687:Q$1388,"F")</f>
        <v>14234.133333333335</v>
      </c>
      <c r="BY686" s="343">
        <f>SUMIFS($AU687:AU$1388,$Q687:Q$1388,"S")</f>
        <v>14587.2</v>
      </c>
      <c r="BZ686" s="343">
        <f>SUMIFS($AU687:AU$1388,$Q687:Q$1388,"O")</f>
        <v>-1220.1379999997707</v>
      </c>
    </row>
    <row r="687" spans="1:78" ht="15.75" customHeight="1">
      <c r="A687" s="221" t="s">
        <v>2798</v>
      </c>
      <c r="B687" s="200">
        <v>45085</v>
      </c>
      <c r="C687" s="178" t="s">
        <v>1972</v>
      </c>
      <c r="D687" s="178" t="s">
        <v>93</v>
      </c>
      <c r="E687" s="227"/>
      <c r="F687" s="180"/>
      <c r="G687" s="281" t="s">
        <v>2145</v>
      </c>
      <c r="H687" s="182"/>
      <c r="I687" s="182"/>
      <c r="J687" s="182"/>
      <c r="K687" s="183"/>
      <c r="L687" s="182">
        <v>1</v>
      </c>
      <c r="M687" s="182"/>
      <c r="N687" s="182"/>
      <c r="O687" s="183" t="s">
        <v>95</v>
      </c>
      <c r="P687" s="183" t="s">
        <v>96</v>
      </c>
      <c r="Q687" s="183" t="s">
        <v>97</v>
      </c>
      <c r="R687" s="183">
        <v>5</v>
      </c>
      <c r="S687" s="183">
        <v>0</v>
      </c>
      <c r="T687" s="183">
        <v>5</v>
      </c>
      <c r="U687" s="183" t="s">
        <v>97</v>
      </c>
      <c r="V687" s="183"/>
      <c r="W687" s="183"/>
      <c r="X687" s="183"/>
      <c r="Y687" s="184">
        <f>IF(ISBLANK(O687),"",(IF(O687=UPPER("IB"),0.005,0.01)))</f>
        <v>0.01</v>
      </c>
      <c r="Z687" s="185">
        <f>IF(ISBLANK(O687),"",IF(O687="IB",8.63*200,IF(O687="IR",16*100,IF(O687="YT",20*100,IF(O687="YT-XT",24*200,IF(O687="TED",80*100))))))</f>
        <v>1600</v>
      </c>
      <c r="AA687" s="185" t="s">
        <v>99</v>
      </c>
      <c r="AB687" s="185"/>
      <c r="AC687" s="185"/>
      <c r="AD687" s="649">
        <v>-0.08</v>
      </c>
      <c r="AE687" s="182"/>
      <c r="AF687" s="332"/>
      <c r="AG687" s="182"/>
      <c r="AH687" s="182"/>
      <c r="AI687" s="182"/>
      <c r="AJ687" s="640"/>
      <c r="AK687" s="182"/>
      <c r="AL687" s="496">
        <f t="shared" ref="AL687" si="258">-0.03*Z687</f>
        <v>-48</v>
      </c>
      <c r="AM687" s="496">
        <f>AL687*(R687-S687)</f>
        <v>-240</v>
      </c>
      <c r="AN687" s="626"/>
      <c r="AO687" s="182"/>
      <c r="AP687" s="182" t="s">
        <v>2911</v>
      </c>
      <c r="AQ687" s="332" t="str">
        <f>UPPER(RIGHT(Journal_Live[[#This Row],[DURATION ]]))</f>
        <v>M</v>
      </c>
      <c r="AR687" s="182" t="s">
        <v>2020</v>
      </c>
      <c r="AS687" s="189">
        <v>-0.08</v>
      </c>
      <c r="AT687" s="189">
        <f>IF(ISBLANK(AS687),,IF(U687="S",AD687-AS687,AS687-AD687))</f>
        <v>0</v>
      </c>
      <c r="AU687" s="187">
        <f>AV687*R687</f>
        <v>0</v>
      </c>
      <c r="AV687" s="190">
        <f>IF(ISBLANK(AS687),,(AT687*Z687))</f>
        <v>0</v>
      </c>
      <c r="AW687" s="191" t="s">
        <v>115</v>
      </c>
      <c r="AX687" s="407"/>
      <c r="AY687" s="407"/>
      <c r="AZ687" s="407"/>
      <c r="BA687" s="407"/>
      <c r="BB687" s="407"/>
      <c r="BC687" s="407"/>
      <c r="BD687" s="407"/>
      <c r="BE687" s="407"/>
      <c r="BF687" s="422"/>
      <c r="BG687" s="391">
        <f>SUM($AV$4:AV687)</f>
        <v>3458.8495974026259</v>
      </c>
      <c r="BH687" s="392">
        <f>SUM($AU$134:AU687)</f>
        <v>6117.4553333333079</v>
      </c>
      <c r="BI687" s="318">
        <f>SUMIFS($AU$134:AU688,$Q$134:Q688,"F")</f>
        <v>254.53333333333308</v>
      </c>
      <c r="BJ687" s="318">
        <f>SUMIFS($AU$134:AU688,$Q$134:Q688,"S")</f>
        <v>6084.4419999999964</v>
      </c>
      <c r="BK687" s="343">
        <f>SUMIFS($AU$134:AU688,$P$134:P688,"W")</f>
        <v>5803.7419999999347</v>
      </c>
      <c r="BL687" s="343">
        <f>SUMIFS($AU$134:AU688,$P$134:P688,"R")</f>
        <v>356.67333333333488</v>
      </c>
      <c r="BM687" s="343">
        <f>SUMIFS($AU$134:AU688,$AQ$134:AQ688,"M")</f>
        <v>2013.3999999999799</v>
      </c>
      <c r="BN687" s="343">
        <f>SUMIFS($AU$134:AU688,$AQ$134:AQ688,"H")</f>
        <v>2550.1420000000157</v>
      </c>
      <c r="BO687" s="343">
        <f>SUMIFS($AU$134:AU688,$AQ$134:AQ688,"D")</f>
        <v>97.68999999999987</v>
      </c>
      <c r="BP687" s="343">
        <f>SUMIFS($AU$134:AU690,$AQ$134:AQ690,"W")</f>
        <v>505.78333333334302</v>
      </c>
      <c r="BQ687" s="343">
        <f>SUMIFS($AU$134:AU688,$Q$134:Q688,"O")</f>
        <v>-428.7200000000276</v>
      </c>
      <c r="BR687" s="343">
        <f>SUMIFS($AU$134:AU688,$AA$134:AA688,"*")</f>
        <v>7409.4753333333201</v>
      </c>
      <c r="BS687" s="343">
        <f>SUMIFS($AU$134:AU688,$AB$134:AB688,"*")</f>
        <v>1538.4799999999868</v>
      </c>
      <c r="BT687" s="343">
        <f>SUMIFS($AU$134:AU688,$AC$134:AC688,"*")</f>
        <v>2783.6833333333316</v>
      </c>
      <c r="BU687" s="343">
        <f>SUMIFS($AU$134:AU688,$AA$134:AA688,"*",$AB$134:AB688,"*")</f>
        <v>530.00000000000489</v>
      </c>
      <c r="BV687" s="343">
        <f>SUMIFS($AU$134:AU688,$AA$134:AA688,"*",$AC$134:AC688,"*")</f>
        <v>3700.7833333333328</v>
      </c>
      <c r="BW687" s="343">
        <f>SUMIFS($AU$134:AU688,$AB$134:AB688,"*",$AC$134:AC688,"*")</f>
        <v>2382.6</v>
      </c>
      <c r="BX687" s="343">
        <f>SUMIFS($AU688:AU$1388,$Q688:Q$1388,"F")</f>
        <v>14234.133333333335</v>
      </c>
      <c r="BY687" s="343">
        <f>SUMIFS($AU688:AU$1388,$Q688:Q$1388,"S")</f>
        <v>14587.2</v>
      </c>
      <c r="BZ687" s="343">
        <f>SUMIFS($AU688:AU$1388,$Q688:Q$1388,"O")</f>
        <v>-1220.1379999997707</v>
      </c>
    </row>
    <row r="688" spans="1:78" ht="15.75" customHeight="1">
      <c r="A688" s="221" t="s">
        <v>2798</v>
      </c>
      <c r="B688" s="200">
        <v>45085</v>
      </c>
      <c r="C688" s="178" t="s">
        <v>2912</v>
      </c>
      <c r="D688" s="178" t="s">
        <v>93</v>
      </c>
      <c r="E688" s="227"/>
      <c r="F688" s="180"/>
      <c r="G688" s="476" t="s">
        <v>2913</v>
      </c>
      <c r="H688" s="182"/>
      <c r="I688" s="182"/>
      <c r="J688" s="182"/>
      <c r="K688" s="183"/>
      <c r="L688" s="182">
        <v>1</v>
      </c>
      <c r="M688" s="182"/>
      <c r="N688" s="182"/>
      <c r="O688" s="183" t="s">
        <v>95</v>
      </c>
      <c r="P688" s="183" t="s">
        <v>137</v>
      </c>
      <c r="Q688" s="183" t="s">
        <v>256</v>
      </c>
      <c r="R688" s="183">
        <v>10</v>
      </c>
      <c r="S688" s="183">
        <v>10</v>
      </c>
      <c r="T688" s="183">
        <v>10</v>
      </c>
      <c r="U688" s="183" t="s">
        <v>22</v>
      </c>
      <c r="V688" s="183"/>
      <c r="W688" s="183"/>
      <c r="X688" s="183"/>
      <c r="Y688" s="184">
        <f>IF(ISBLANK(O688),"",(IF(O688=UPPER("IB"),0.005,0.01)))</f>
        <v>0.01</v>
      </c>
      <c r="Z688" s="185">
        <f>IF(ISBLANK(O688),"",IF(O688="IB",8.63*200,IF(O688="IR",16*100,IF(O688="YT",20*100,IF(O688="YT-XT",24*200,IF(O688="TED",80*100))))))</f>
        <v>1600</v>
      </c>
      <c r="AA688" s="185"/>
      <c r="AB688" s="185"/>
      <c r="AC688" s="185" t="s">
        <v>2914</v>
      </c>
      <c r="AD688" s="649">
        <v>-0.02</v>
      </c>
      <c r="AE688" s="182"/>
      <c r="AF688" s="332"/>
      <c r="AG688" s="182"/>
      <c r="AH688" s="182"/>
      <c r="AI688" s="182"/>
      <c r="AJ688" s="640"/>
      <c r="AK688" s="182"/>
      <c r="AL688" s="496">
        <f>-0.02*Z688</f>
        <v>-32</v>
      </c>
      <c r="AM688" s="496">
        <f>AL688*(R688-S688)</f>
        <v>0</v>
      </c>
      <c r="AN688" s="626"/>
      <c r="AO688" s="182"/>
      <c r="AP688" s="182" t="s">
        <v>804</v>
      </c>
      <c r="AQ688" s="332" t="str">
        <f>UPPER(RIGHT(Journal_Live[[#This Row],[DURATION ]]))</f>
        <v>D</v>
      </c>
      <c r="AR688" s="182" t="s">
        <v>2915</v>
      </c>
      <c r="AS688" s="189">
        <f>((-0.01*3)+(-0.02*7))/10</f>
        <v>-1.7000000000000001E-2</v>
      </c>
      <c r="AT688" s="189">
        <f>IF(ISBLANK(AS688),,IF(U688="S",AD688-AS688,AS688-AD688))</f>
        <v>2.9999999999999992E-3</v>
      </c>
      <c r="AU688" s="187">
        <f>AV688*R688</f>
        <v>47.999999999999986</v>
      </c>
      <c r="AV688" s="190">
        <f>IF(ISBLANK(AS688),,(AT688*Z688))</f>
        <v>4.7999999999999989</v>
      </c>
      <c r="AW688" s="191" t="s">
        <v>96</v>
      </c>
      <c r="AX688" s="407" t="s">
        <v>2916</v>
      </c>
      <c r="AY688" s="407"/>
      <c r="AZ688" s="407"/>
      <c r="BA688" s="407"/>
      <c r="BB688" s="407"/>
      <c r="BC688" s="407"/>
      <c r="BD688" s="407"/>
      <c r="BE688" s="407"/>
      <c r="BF688" s="422"/>
      <c r="BG688" s="391">
        <f>SUM($AV$4:AV688)</f>
        <v>3463.6495974026261</v>
      </c>
      <c r="BH688" s="392">
        <f>SUM($AU$134:AU688)</f>
        <v>6165.4553333333079</v>
      </c>
      <c r="BI688" s="318">
        <f>SUMIFS($AU$134:AU689,$Q$134:Q689,"F")</f>
        <v>254.53333333333308</v>
      </c>
      <c r="BJ688" s="318">
        <f>SUMIFS($AU$134:AU689,$Q$134:Q689,"S")</f>
        <v>6084.4419999999964</v>
      </c>
      <c r="BK688" s="343">
        <f>SUMIFS($AU$134:AU689,$P$134:P689,"W")</f>
        <v>5803.7419999999347</v>
      </c>
      <c r="BL688" s="343">
        <f>SUMIFS($AU$134:AU689,$P$134:P689,"R")</f>
        <v>356.67333333333488</v>
      </c>
      <c r="BM688" s="343">
        <f>SUMIFS($AU$134:AU689,$AQ$134:AQ689,"M")</f>
        <v>2013.3999999999799</v>
      </c>
      <c r="BN688" s="343">
        <f>SUMIFS($AU$134:AU689,$AQ$134:AQ689,"H")</f>
        <v>2550.1420000000157</v>
      </c>
      <c r="BO688" s="343">
        <f>SUMIFS($AU$134:AU689,$AQ$134:AQ689,"D")</f>
        <v>97.68999999999987</v>
      </c>
      <c r="BP688" s="343">
        <f>SUMIFS($AU$134:AU691,$AQ$134:AQ691,"W")</f>
        <v>505.78333333334302</v>
      </c>
      <c r="BQ688" s="343">
        <f>SUMIFS($AU$134:AU689,$Q$134:Q689,"O")</f>
        <v>-428.7200000000276</v>
      </c>
      <c r="BR688" s="343">
        <f>SUMIFS($AU$134:AU689,$AA$134:AA689,"*")</f>
        <v>7409.4753333333201</v>
      </c>
      <c r="BS688" s="343">
        <f>SUMIFS($AU$134:AU689,$AB$134:AB689,"*")</f>
        <v>1538.4799999999868</v>
      </c>
      <c r="BT688" s="343">
        <f>SUMIFS($AU$134:AU689,$AC$134:AC689,"*")</f>
        <v>2783.6833333333316</v>
      </c>
      <c r="BU688" s="343">
        <f>SUMIFS($AU$134:AU689,$AA$134:AA689,"*",$AB$134:AB689,"*")</f>
        <v>530.00000000000489</v>
      </c>
      <c r="BV688" s="343">
        <f>SUMIFS($AU$134:AU689,$AA$134:AA689,"*",$AC$134:AC689,"*")</f>
        <v>3700.7833333333328</v>
      </c>
      <c r="BW688" s="343">
        <f>SUMIFS($AU$134:AU689,$AB$134:AB689,"*",$AC$134:AC689,"*")</f>
        <v>2382.6</v>
      </c>
      <c r="BX688" s="343">
        <f>SUMIFS($AU689:AU$1388,$Q689:Q$1388,"F")</f>
        <v>14186.133333333335</v>
      </c>
      <c r="BY688" s="343">
        <f>SUMIFS($AU689:AU$1388,$Q689:Q$1388,"S")</f>
        <v>14587.2</v>
      </c>
      <c r="BZ688" s="343">
        <f>SUMIFS($AU689:AU$1388,$Q689:Q$1388,"O")</f>
        <v>-1220.1379999997707</v>
      </c>
    </row>
    <row r="689" spans="1:78" ht="15.75" customHeight="1">
      <c r="A689" s="221" t="s">
        <v>2798</v>
      </c>
      <c r="B689" s="200">
        <v>45085</v>
      </c>
      <c r="C689" s="178" t="s">
        <v>2917</v>
      </c>
      <c r="D689" s="178" t="s">
        <v>93</v>
      </c>
      <c r="E689" s="227"/>
      <c r="F689" s="180"/>
      <c r="G689" s="181" t="s">
        <v>2913</v>
      </c>
      <c r="H689" s="182"/>
      <c r="I689" s="182"/>
      <c r="J689" s="182"/>
      <c r="K689" s="183"/>
      <c r="L689" s="182"/>
      <c r="M689" s="182"/>
      <c r="N689" s="182"/>
      <c r="O689" s="183"/>
      <c r="P689" s="183"/>
      <c r="Q689" s="183"/>
      <c r="R689" s="183"/>
      <c r="S689" s="183"/>
      <c r="T689" s="183"/>
      <c r="U689" s="183"/>
      <c r="V689" s="183"/>
      <c r="W689" s="183"/>
      <c r="X689" s="183"/>
      <c r="Y689" s="184"/>
      <c r="Z689" s="185"/>
      <c r="AA689" s="185"/>
      <c r="AB689" s="185"/>
      <c r="AC689" s="185"/>
      <c r="AD689" s="649"/>
      <c r="AE689" s="182"/>
      <c r="AF689" s="332"/>
      <c r="AG689" s="182"/>
      <c r="AH689" s="182"/>
      <c r="AI689" s="182"/>
      <c r="AJ689" s="644"/>
      <c r="AK689" s="182"/>
      <c r="AL689" s="496"/>
      <c r="AM689" s="496"/>
      <c r="AN689" s="626"/>
      <c r="AO689" s="182"/>
      <c r="AP689" s="182"/>
      <c r="AQ689" s="332" t="str">
        <f>UPPER(RIGHT(Journal_Live[[#This Row],[DURATION ]]))</f>
        <v/>
      </c>
      <c r="AR689" s="182"/>
      <c r="AS689" s="189"/>
      <c r="AT689" s="189"/>
      <c r="AU689" s="187"/>
      <c r="AV689" s="190"/>
      <c r="AW689" s="191"/>
      <c r="AX689" s="407" t="s">
        <v>2827</v>
      </c>
      <c r="AY689" s="407"/>
      <c r="AZ689" s="407"/>
      <c r="BA689" s="407"/>
      <c r="BB689" s="407"/>
      <c r="BC689" s="407"/>
      <c r="BD689" s="407"/>
      <c r="BE689" s="407"/>
      <c r="BF689" s="422"/>
      <c r="BG689" s="391">
        <f>SUM($AV$4:AV689)</f>
        <v>3463.6495974026261</v>
      </c>
      <c r="BH689" s="392">
        <f>SUM($AU$134:AU689)</f>
        <v>6165.4553333333079</v>
      </c>
      <c r="BI689" s="318">
        <f>SUMIFS($AU$134:AU690,$Q$134:Q690,"F")</f>
        <v>254.53333333333308</v>
      </c>
      <c r="BJ689" s="318">
        <f>SUMIFS($AU$134:AU690,$Q$134:Q690,"S")</f>
        <v>6084.4419999999964</v>
      </c>
      <c r="BK689" s="343">
        <f>SUMIFS($AU$134:AU690,$P$134:P690,"W")</f>
        <v>5803.7419999999347</v>
      </c>
      <c r="BL689" s="343">
        <f>SUMIFS($AU$134:AU690,$P$134:P690,"R")</f>
        <v>356.67333333333488</v>
      </c>
      <c r="BM689" s="343">
        <f>SUMIFS($AU$134:AU690,$AQ$134:AQ690,"M")</f>
        <v>2013.3999999999799</v>
      </c>
      <c r="BN689" s="343">
        <f>SUMIFS($AU$134:AU690,$AQ$134:AQ690,"H")</f>
        <v>2550.1420000000157</v>
      </c>
      <c r="BO689" s="343">
        <f>SUMIFS($AU$134:AU690,$AQ$134:AQ690,"D")</f>
        <v>97.68999999999987</v>
      </c>
      <c r="BP689" s="343">
        <f>SUMIFS($AU$134:AU692,$AQ$134:AQ692,"W")</f>
        <v>505.78333333334302</v>
      </c>
      <c r="BQ689" s="343">
        <f>SUMIFS($AU$134:AU690,$Q$134:Q690,"O")</f>
        <v>-428.7200000000276</v>
      </c>
      <c r="BR689" s="343">
        <f>SUMIFS($AU$134:AU690,$AA$134:AA690,"*")</f>
        <v>7409.4753333333201</v>
      </c>
      <c r="BS689" s="343">
        <f>SUMIFS($AU$134:AU690,$AB$134:AB690,"*")</f>
        <v>1538.4799999999868</v>
      </c>
      <c r="BT689" s="343">
        <f>SUMIFS($AU$134:AU690,$AC$134:AC690,"*")</f>
        <v>2783.6833333333316</v>
      </c>
      <c r="BU689" s="343">
        <f>SUMIFS($AU$134:AU690,$AA$134:AA690,"*",$AB$134:AB690,"*")</f>
        <v>530.00000000000489</v>
      </c>
      <c r="BV689" s="343">
        <f>SUMIFS($AU$134:AU690,$AA$134:AA690,"*",$AC$134:AC690,"*")</f>
        <v>3700.7833333333328</v>
      </c>
      <c r="BW689" s="343">
        <f>SUMIFS($AU$134:AU690,$AB$134:AB690,"*",$AC$134:AC690,"*")</f>
        <v>2382.6</v>
      </c>
      <c r="BX689" s="343">
        <f>SUMIFS($AU690:AU$1388,$Q690:Q$1388,"F")</f>
        <v>14186.133333333335</v>
      </c>
      <c r="BY689" s="343">
        <f>SUMIFS($AU690:AU$1388,$Q690:Q$1388,"S")</f>
        <v>14587.2</v>
      </c>
      <c r="BZ689" s="343">
        <f>SUMIFS($AU690:AU$1388,$Q690:Q$1388,"O")</f>
        <v>-1220.1379999997707</v>
      </c>
    </row>
    <row r="690" spans="1:78" ht="15.75" customHeight="1">
      <c r="A690" s="221" t="s">
        <v>2798</v>
      </c>
      <c r="B690" s="200">
        <v>45085</v>
      </c>
      <c r="C690" s="178" t="s">
        <v>2918</v>
      </c>
      <c r="D690" s="178" t="s">
        <v>93</v>
      </c>
      <c r="E690" s="227"/>
      <c r="F690" s="180"/>
      <c r="G690" s="181" t="s">
        <v>2145</v>
      </c>
      <c r="H690" s="182"/>
      <c r="I690" s="182"/>
      <c r="J690" s="182"/>
      <c r="K690" s="183"/>
      <c r="L690" s="182"/>
      <c r="M690" s="182"/>
      <c r="N690" s="182"/>
      <c r="O690" s="183"/>
      <c r="P690" s="183"/>
      <c r="Q690" s="183"/>
      <c r="R690" s="183"/>
      <c r="S690" s="183"/>
      <c r="T690" s="183"/>
      <c r="U690" s="183"/>
      <c r="V690" s="183"/>
      <c r="W690" s="183"/>
      <c r="X690" s="183"/>
      <c r="Y690" s="184"/>
      <c r="Z690" s="185"/>
      <c r="AA690" s="185"/>
      <c r="AB690" s="473"/>
      <c r="AC690" s="185"/>
      <c r="AD690" s="649"/>
      <c r="AE690" s="182"/>
      <c r="AF690" s="332"/>
      <c r="AG690" s="182"/>
      <c r="AH690" s="182"/>
      <c r="AI690" s="182"/>
      <c r="AJ690" s="644" t="s">
        <v>2919</v>
      </c>
      <c r="AK690" s="182" t="s">
        <v>529</v>
      </c>
      <c r="AL690" s="496">
        <f>-0.02*Z690</f>
        <v>0</v>
      </c>
      <c r="AM690" s="496">
        <f>AL690*(R690-S690)</f>
        <v>0</v>
      </c>
      <c r="AN690" s="626"/>
      <c r="AO690" s="182"/>
      <c r="AP690" s="182" t="s">
        <v>1554</v>
      </c>
      <c r="AQ690" s="332" t="str">
        <f>UPPER(RIGHT(Journal_Live[[#This Row],[DURATION ]]))</f>
        <v>H</v>
      </c>
      <c r="AR690" s="182" t="s">
        <v>2920</v>
      </c>
      <c r="AS690" s="189">
        <f>((-0.09*3)+(-0.09*3)+(-0.09*7))/13</f>
        <v>-0.09</v>
      </c>
      <c r="AT690" s="189">
        <f>IF(ISBLANK(AS690),,IF(U690="S",AD690-AS690,AS690-AD690))</f>
        <v>-0.09</v>
      </c>
      <c r="AU690" s="187">
        <f>AV690*R690</f>
        <v>0</v>
      </c>
      <c r="AV690" s="190">
        <f>IF(ISBLANK(AS690),,(AT690*Z690))</f>
        <v>0</v>
      </c>
      <c r="AW690" s="191"/>
      <c r="AX690" s="407" t="s">
        <v>829</v>
      </c>
      <c r="AY690" s="407"/>
      <c r="AZ690" s="407"/>
      <c r="BA690" s="407"/>
      <c r="BB690" s="407"/>
      <c r="BC690" s="407"/>
      <c r="BD690" s="407"/>
      <c r="BE690" s="407"/>
      <c r="BF690" s="422"/>
      <c r="BG690" s="391">
        <f>SUM($AV$4:AV690)</f>
        <v>3463.6495974026261</v>
      </c>
      <c r="BH690" s="392">
        <f>SUM($AU$134:AU690)</f>
        <v>6165.4553333333079</v>
      </c>
      <c r="BI690" s="318">
        <f>SUMIFS($AU$134:AU691,$Q$134:Q691,"F")</f>
        <v>254.53333333333308</v>
      </c>
      <c r="BJ690" s="318">
        <f>SUMIFS($AU$134:AU691,$Q$134:Q691,"S")</f>
        <v>6084.4419999999964</v>
      </c>
      <c r="BK690" s="343">
        <f>SUMIFS($AU$134:AU691,$P$134:P691,"W")</f>
        <v>5803.7419999999347</v>
      </c>
      <c r="BL690" s="343">
        <f>SUMIFS($AU$134:AU691,$P$134:P691,"R")</f>
        <v>356.67333333333488</v>
      </c>
      <c r="BM690" s="343">
        <f>SUMIFS($AU$134:AU691,$AQ$134:AQ691,"M")</f>
        <v>2013.3999999999799</v>
      </c>
      <c r="BN690" s="343">
        <f>SUMIFS($AU$134:AU691,$AQ$134:AQ691,"H")</f>
        <v>2550.1420000000157</v>
      </c>
      <c r="BO690" s="343">
        <f>SUMIFS($AU$134:AU691,$AQ$134:AQ691,"D")</f>
        <v>97.68999999999987</v>
      </c>
      <c r="BP690" s="343">
        <f>SUMIFS($AU$134:AU693,$AQ$134:AQ693,"W")</f>
        <v>505.78333333334302</v>
      </c>
      <c r="BQ690" s="343">
        <f>SUMIFS($AU$134:AU691,$Q$134:Q691,"O")</f>
        <v>-428.7200000000276</v>
      </c>
      <c r="BR690" s="343">
        <f>SUMIFS($AU$134:AU691,$AA$134:AA691,"*")</f>
        <v>7409.4753333333201</v>
      </c>
      <c r="BS690" s="343">
        <f>SUMIFS($AU$134:AU691,$AB$134:AB691,"*")</f>
        <v>1538.4799999999868</v>
      </c>
      <c r="BT690" s="343">
        <f>SUMIFS($AU$134:AU691,$AC$134:AC691,"*")</f>
        <v>2783.6833333333316</v>
      </c>
      <c r="BU690" s="343">
        <f>SUMIFS($AU$134:AU691,$AA$134:AA691,"*",$AB$134:AB691,"*")</f>
        <v>530.00000000000489</v>
      </c>
      <c r="BV690" s="343">
        <f>SUMIFS($AU$134:AU691,$AA$134:AA691,"*",$AC$134:AC691,"*")</f>
        <v>3700.7833333333328</v>
      </c>
      <c r="BW690" s="343">
        <f>SUMIFS($AU$134:AU691,$AB$134:AB691,"*",$AC$134:AC691,"*")</f>
        <v>2382.6</v>
      </c>
      <c r="BX690" s="343">
        <f>SUMIFS($AU691:AU$1388,$Q691:Q$1388,"F")</f>
        <v>14186.133333333335</v>
      </c>
      <c r="BY690" s="343">
        <f>SUMIFS($AU691:AU$1388,$Q691:Q$1388,"S")</f>
        <v>14587.2</v>
      </c>
      <c r="BZ690" s="343">
        <f>SUMIFS($AU691:AU$1388,$Q691:Q$1388,"O")</f>
        <v>-1220.1379999997707</v>
      </c>
    </row>
    <row r="691" spans="1:78" ht="15.75" customHeight="1">
      <c r="A691" s="221" t="s">
        <v>2798</v>
      </c>
      <c r="B691" s="200"/>
      <c r="C691" s="178"/>
      <c r="D691" s="178"/>
      <c r="E691" s="227"/>
      <c r="F691" s="180"/>
      <c r="G691" s="181"/>
      <c r="H691" s="182"/>
      <c r="I691" s="182"/>
      <c r="J691" s="182"/>
      <c r="K691" s="183"/>
      <c r="L691" s="182"/>
      <c r="M691" s="182"/>
      <c r="N691" s="182"/>
      <c r="O691" s="183"/>
      <c r="P691" s="183"/>
      <c r="Q691" s="183"/>
      <c r="R691" s="183"/>
      <c r="S691" s="183"/>
      <c r="T691" s="183"/>
      <c r="U691" s="183"/>
      <c r="V691" s="183"/>
      <c r="W691" s="183"/>
      <c r="X691" s="183"/>
      <c r="Y691" s="274"/>
      <c r="Z691" s="183"/>
      <c r="AA691" s="185"/>
      <c r="AB691" s="473"/>
      <c r="AC691" s="185"/>
      <c r="AD691" s="649"/>
      <c r="AE691" s="182"/>
      <c r="AF691" s="332"/>
      <c r="AG691" s="182"/>
      <c r="AH691" s="182"/>
      <c r="AI691" s="182"/>
      <c r="AJ691" s="644"/>
      <c r="AK691" s="182"/>
      <c r="AL691" s="496"/>
      <c r="AM691" s="496"/>
      <c r="AN691" s="626"/>
      <c r="AO691" s="182"/>
      <c r="AP691" s="182"/>
      <c r="AQ691" s="332" t="str">
        <f>UPPER(RIGHT(Journal_Live[[#This Row],[DURATION ]]))</f>
        <v/>
      </c>
      <c r="AR691" s="182"/>
      <c r="AS691" s="189"/>
      <c r="AT691" s="189"/>
      <c r="AU691" s="187"/>
      <c r="AV691" s="190"/>
      <c r="AW691" s="191"/>
      <c r="AX691" s="407" t="s">
        <v>2921</v>
      </c>
      <c r="AY691" s="407" t="s">
        <v>2922</v>
      </c>
      <c r="AZ691" s="407" t="s">
        <v>2923</v>
      </c>
      <c r="BA691" s="407" t="s">
        <v>2924</v>
      </c>
      <c r="BB691" s="407" t="s">
        <v>2925</v>
      </c>
      <c r="BC691" s="407" t="s">
        <v>2926</v>
      </c>
      <c r="BD691" s="407"/>
      <c r="BE691" s="407"/>
      <c r="BF691" s="422"/>
      <c r="BG691" s="391"/>
      <c r="BH691" s="392">
        <f>SUM($AU$134:AU691)</f>
        <v>6165.4553333333079</v>
      </c>
      <c r="BI691" s="318">
        <f>SUMIFS($AU$134:AU692,$Q$134:Q692,"F")</f>
        <v>254.53333333333308</v>
      </c>
      <c r="BJ691" s="318">
        <f>SUMIFS($AU$134:AU692,$Q$134:Q692,"S")</f>
        <v>6084.4419999999964</v>
      </c>
      <c r="BK691" s="343">
        <f>SUMIFS($AU$134:AU692,$P$134:P692,"W")</f>
        <v>5803.7419999999347</v>
      </c>
      <c r="BL691" s="343">
        <f>SUMIFS($AU$134:AU692,$P$134:P692,"R")</f>
        <v>356.67333333333488</v>
      </c>
      <c r="BM691" s="343">
        <f>SUMIFS($AU$134:AU692,$AQ$134:AQ692,"M")</f>
        <v>2013.3999999999799</v>
      </c>
      <c r="BN691" s="343">
        <f>SUMIFS($AU$134:AU692,$AQ$134:AQ692,"H")</f>
        <v>2550.1420000000157</v>
      </c>
      <c r="BO691" s="343">
        <f>SUMIFS($AU$134:AU692,$AQ$134:AQ692,"D")</f>
        <v>97.68999999999987</v>
      </c>
      <c r="BP691" s="343">
        <f>SUMIFS($AU$134:AU694,$AQ$134:AQ694,"W")</f>
        <v>505.78333333334302</v>
      </c>
      <c r="BQ691" s="343">
        <f>SUMIFS($AU$134:AU692,$Q$134:Q692,"O")</f>
        <v>-428.7200000000276</v>
      </c>
      <c r="BR691" s="343">
        <f>SUMIFS($AU$134:AU692,$AA$134:AA692,"*")</f>
        <v>7409.4753333333201</v>
      </c>
      <c r="BS691" s="343">
        <f>SUMIFS($AU$134:AU692,$AB$134:AB692,"*")</f>
        <v>1538.4799999999868</v>
      </c>
      <c r="BT691" s="343">
        <f>SUMIFS($AU$134:AU692,$AC$134:AC692,"*")</f>
        <v>2783.6833333333316</v>
      </c>
      <c r="BU691" s="343">
        <f>SUMIFS($AU$134:AU692,$AA$134:AA692,"*",$AB$134:AB692,"*")</f>
        <v>530.00000000000489</v>
      </c>
      <c r="BV691" s="343">
        <f>SUMIFS($AU$134:AU692,$AA$134:AA692,"*",$AC$134:AC692,"*")</f>
        <v>3700.7833333333328</v>
      </c>
      <c r="BW691" s="343">
        <f>SUMIFS($AU$134:AU692,$AB$134:AB692,"*",$AC$134:AC692,"*")</f>
        <v>2382.6</v>
      </c>
      <c r="BX691" s="343">
        <f>SUMIFS($AU692:AU$1388,$Q692:Q$1388,"F")</f>
        <v>14186.133333333335</v>
      </c>
      <c r="BY691" s="343">
        <f>SUMIFS($AU692:AU$1388,$Q692:Q$1388,"S")</f>
        <v>14587.2</v>
      </c>
      <c r="BZ691" s="343">
        <f>SUMIFS($AU692:AU$1388,$Q692:Q$1388,"O")</f>
        <v>-1220.1379999997707</v>
      </c>
    </row>
    <row r="692" spans="1:78" ht="15.75" customHeight="1">
      <c r="A692" s="221" t="s">
        <v>2798</v>
      </c>
      <c r="B692" s="200">
        <v>45085</v>
      </c>
      <c r="C692" s="178" t="s">
        <v>2927</v>
      </c>
      <c r="D692" s="178" t="s">
        <v>93</v>
      </c>
      <c r="E692" s="227"/>
      <c r="F692" s="180"/>
      <c r="G692" s="181" t="s">
        <v>136</v>
      </c>
      <c r="H692" s="182"/>
      <c r="I692" s="182"/>
      <c r="J692" s="182"/>
      <c r="K692" s="183"/>
      <c r="L692" s="182">
        <v>3</v>
      </c>
      <c r="M692" s="182"/>
      <c r="N692" s="182"/>
      <c r="O692" s="183" t="s">
        <v>95</v>
      </c>
      <c r="P692" s="183" t="s">
        <v>96</v>
      </c>
      <c r="Q692" s="183" t="s">
        <v>97</v>
      </c>
      <c r="R692" s="183">
        <v>5</v>
      </c>
      <c r="S692" s="183">
        <v>0</v>
      </c>
      <c r="T692" s="183">
        <v>5</v>
      </c>
      <c r="U692" s="183" t="s">
        <v>97</v>
      </c>
      <c r="V692" s="183"/>
      <c r="W692" s="183"/>
      <c r="X692" s="183"/>
      <c r="Y692" s="184">
        <f>IF(ISBLANK(O692),"",(IF(O692=UPPER("IB"),0.005,0.01)))</f>
        <v>0.01</v>
      </c>
      <c r="Z692" s="185">
        <f>IF(ISBLANK(O692),"",IF(O692="IB",8.63*200,IF(O692="IR",16*100,IF(O692="YT",20*100,IF(O692="YT-XT",24*200,IF(O692="TED",80*100))))))</f>
        <v>1600</v>
      </c>
      <c r="AA692" s="185"/>
      <c r="AB692" s="185"/>
      <c r="AC692" s="185" t="s">
        <v>2928</v>
      </c>
      <c r="AD692" s="649">
        <v>-0.16</v>
      </c>
      <c r="AE692" s="182"/>
      <c r="AF692" s="332"/>
      <c r="AG692" s="182"/>
      <c r="AH692" s="182"/>
      <c r="AI692" s="182"/>
      <c r="AJ692" s="640"/>
      <c r="AK692" s="182"/>
      <c r="AL692" s="496">
        <f t="shared" ref="AL692:AL697" si="259">-0.03*Z692</f>
        <v>-48</v>
      </c>
      <c r="AM692" s="496">
        <f>AL692*(R692-S692)</f>
        <v>-240</v>
      </c>
      <c r="AN692" s="626"/>
      <c r="AO692" s="182"/>
      <c r="AP692" s="182" t="s">
        <v>1700</v>
      </c>
      <c r="AQ692" s="332" t="str">
        <f>UPPER(RIGHT(Journal_Live[[#This Row],[DURATION ]]))</f>
        <v>H</v>
      </c>
      <c r="AR692" s="182" t="s">
        <v>2929</v>
      </c>
      <c r="AS692" s="189">
        <v>-0.16</v>
      </c>
      <c r="AT692" s="189">
        <f>IF(ISBLANK(AS692),,IF(U692="S",AD692-AS692,AS692-AD692))</f>
        <v>0</v>
      </c>
      <c r="AU692" s="187">
        <f>AV692*R692</f>
        <v>0</v>
      </c>
      <c r="AV692" s="190">
        <f>IF(ISBLANK(AS692),,(AT692*Z692))</f>
        <v>0</v>
      </c>
      <c r="AW692" s="191" t="s">
        <v>115</v>
      </c>
      <c r="AX692" s="407"/>
      <c r="AY692" s="407"/>
      <c r="AZ692" s="407"/>
      <c r="BA692" s="407"/>
      <c r="BB692" s="407"/>
      <c r="BC692" s="407"/>
      <c r="BD692" s="407"/>
      <c r="BE692" s="407"/>
      <c r="BF692" s="422"/>
      <c r="BG692" s="391">
        <f>SUM($AV$4:AV692)</f>
        <v>3463.6495974026261</v>
      </c>
      <c r="BH692" s="392">
        <f>SUM($AU$134:AU692)</f>
        <v>6165.4553333333079</v>
      </c>
      <c r="BI692" s="318">
        <f>SUMIFS($AU$134:AU693,$Q$134:Q693,"F")</f>
        <v>254.53333333333308</v>
      </c>
      <c r="BJ692" s="318">
        <f>SUMIFS($AU$134:AU693,$Q$134:Q693,"S")</f>
        <v>6084.4419999999964</v>
      </c>
      <c r="BK692" s="343">
        <f>SUMIFS($AU$134:AU693,$P$134:P693,"W")</f>
        <v>5803.7419999999347</v>
      </c>
      <c r="BL692" s="343">
        <f>SUMIFS($AU$134:AU693,$P$134:P693,"R")</f>
        <v>356.67333333333488</v>
      </c>
      <c r="BM692" s="343">
        <f>SUMIFS($AU$134:AU693,$AQ$134:AQ693,"M")</f>
        <v>2013.3999999999799</v>
      </c>
      <c r="BN692" s="343">
        <f>SUMIFS($AU$134:AU693,$AQ$134:AQ693,"H")</f>
        <v>2550.1420000000157</v>
      </c>
      <c r="BO692" s="343">
        <f>SUMIFS($AU$134:AU693,$AQ$134:AQ693,"D")</f>
        <v>97.68999999999987</v>
      </c>
      <c r="BP692" s="343">
        <f>SUMIFS($AU$134:AU695,$AQ$134:AQ695,"W")</f>
        <v>505.78333333334302</v>
      </c>
      <c r="BQ692" s="343">
        <f>SUMIFS($AU$134:AU693,$Q$134:Q693,"O")</f>
        <v>-428.7200000000276</v>
      </c>
      <c r="BR692" s="343">
        <f>SUMIFS($AU$134:AU693,$AA$134:AA693,"*")</f>
        <v>7409.4753333333201</v>
      </c>
      <c r="BS692" s="343">
        <f>SUMIFS($AU$134:AU693,$AB$134:AB693,"*")</f>
        <v>1538.4799999999868</v>
      </c>
      <c r="BT692" s="343">
        <f>SUMIFS($AU$134:AU693,$AC$134:AC693,"*")</f>
        <v>2783.6833333333316</v>
      </c>
      <c r="BU692" s="343">
        <f>SUMIFS($AU$134:AU693,$AA$134:AA693,"*",$AB$134:AB693,"*")</f>
        <v>530.00000000000489</v>
      </c>
      <c r="BV692" s="343">
        <f>SUMIFS($AU$134:AU693,$AA$134:AA693,"*",$AC$134:AC693,"*")</f>
        <v>3700.7833333333328</v>
      </c>
      <c r="BW692" s="343">
        <f>SUMIFS($AU$134:AU693,$AB$134:AB693,"*",$AC$134:AC693,"*")</f>
        <v>2382.6</v>
      </c>
      <c r="BX692" s="343">
        <f>SUMIFS($AU693:AU$1388,$Q693:Q$1388,"F")</f>
        <v>14186.133333333335</v>
      </c>
      <c r="BY692" s="343">
        <f>SUMIFS($AU693:AU$1388,$Q693:Q$1388,"S")</f>
        <v>14587.2</v>
      </c>
      <c r="BZ692" s="343">
        <f>SUMIFS($AU693:AU$1388,$Q693:Q$1388,"O")</f>
        <v>-1220.1379999997707</v>
      </c>
    </row>
    <row r="693" spans="1:78" ht="15.75" customHeight="1">
      <c r="A693" s="221" t="s">
        <v>2798</v>
      </c>
      <c r="B693" s="200">
        <v>45085</v>
      </c>
      <c r="C693" s="178" t="s">
        <v>2009</v>
      </c>
      <c r="D693" s="178" t="s">
        <v>93</v>
      </c>
      <c r="E693" s="227"/>
      <c r="F693" s="180"/>
      <c r="G693" s="181" t="s">
        <v>136</v>
      </c>
      <c r="H693" s="182"/>
      <c r="I693" s="182"/>
      <c r="J693" s="182"/>
      <c r="K693" s="183"/>
      <c r="L693" s="182">
        <v>2</v>
      </c>
      <c r="M693" s="182"/>
      <c r="N693" s="182"/>
      <c r="O693" s="183" t="s">
        <v>95</v>
      </c>
      <c r="P693" s="183" t="s">
        <v>96</v>
      </c>
      <c r="Q693" s="183" t="s">
        <v>97</v>
      </c>
      <c r="R693" s="183">
        <v>3</v>
      </c>
      <c r="S693" s="183">
        <v>0</v>
      </c>
      <c r="T693" s="183">
        <v>3</v>
      </c>
      <c r="U693" s="183" t="s">
        <v>97</v>
      </c>
      <c r="V693" s="183"/>
      <c r="W693" s="183"/>
      <c r="X693" s="183"/>
      <c r="Y693" s="184">
        <f>IF(ISBLANK(O693),"",(IF(O693=UPPER("IB"),0.005,0.01)))</f>
        <v>0.01</v>
      </c>
      <c r="Z693" s="185">
        <f>IF(ISBLANK(O693),"",IF(O693="IB",8.63*200,IF(O693="IR",16*100,IF(O693="YT",20*100,IF(O693="YT-XT",24*200,IF(O693="TED",80*100))))))</f>
        <v>1600</v>
      </c>
      <c r="AA693" s="185"/>
      <c r="AB693" s="185"/>
      <c r="AC693" s="185" t="s">
        <v>2930</v>
      </c>
      <c r="AD693" s="649">
        <v>-0.15</v>
      </c>
      <c r="AE693" s="182"/>
      <c r="AF693" s="332"/>
      <c r="AG693" s="182"/>
      <c r="AH693" s="182"/>
      <c r="AI693" s="182"/>
      <c r="AJ693" s="640"/>
      <c r="AK693" s="182"/>
      <c r="AL693" s="496"/>
      <c r="AM693" s="496"/>
      <c r="AN693" s="626"/>
      <c r="AO693" s="182"/>
      <c r="AP693" s="182"/>
      <c r="AQ693" s="332" t="str">
        <f>UPPER(RIGHT(Journal_Live[[#This Row],[DURATION ]]))</f>
        <v/>
      </c>
      <c r="AR693" s="182"/>
      <c r="AS693" s="189"/>
      <c r="AT693" s="189"/>
      <c r="AU693" s="187"/>
      <c r="AV693" s="190"/>
      <c r="AW693" s="191"/>
      <c r="AX693" s="407"/>
      <c r="AY693" s="407"/>
      <c r="AZ693" s="407"/>
      <c r="BA693" s="407"/>
      <c r="BB693" s="407"/>
      <c r="BC693" s="407"/>
      <c r="BD693" s="407"/>
      <c r="BE693" s="407"/>
      <c r="BF693" s="422"/>
      <c r="BG693" s="391">
        <f>SUM($AV$4:AV693)</f>
        <v>3463.6495974026261</v>
      </c>
      <c r="BH693" s="392">
        <f>SUM($AU$134:AU693)</f>
        <v>6165.4553333333079</v>
      </c>
      <c r="BI693" s="318">
        <f>SUMIFS($AU$134:AU694,$Q$134:Q694,"F")</f>
        <v>254.53333333333308</v>
      </c>
      <c r="BJ693" s="318">
        <f>SUMIFS($AU$134:AU694,$Q$134:Q694,"S")</f>
        <v>6084.4419999999964</v>
      </c>
      <c r="BK693" s="343">
        <f>SUMIFS($AU$134:AU694,$P$134:P694,"W")</f>
        <v>5803.7419999999347</v>
      </c>
      <c r="BL693" s="343">
        <f>SUMIFS($AU$134:AU694,$P$134:P694,"R")</f>
        <v>356.67333333333488</v>
      </c>
      <c r="BM693" s="343">
        <f>SUMIFS($AU$134:AU694,$AQ$134:AQ694,"M")</f>
        <v>2013.3999999999799</v>
      </c>
      <c r="BN693" s="343">
        <f>SUMIFS($AU$134:AU694,$AQ$134:AQ694,"H")</f>
        <v>2550.1420000000157</v>
      </c>
      <c r="BO693" s="343">
        <f>SUMIFS($AU$134:AU694,$AQ$134:AQ694,"D")</f>
        <v>97.68999999999987</v>
      </c>
      <c r="BP693" s="343">
        <f>SUMIFS($AU$134:AU696,$AQ$134:AQ696,"W")</f>
        <v>825.78333333334297</v>
      </c>
      <c r="BQ693" s="343">
        <f>SUMIFS($AU$134:AU694,$Q$134:Q694,"O")</f>
        <v>-428.7200000000276</v>
      </c>
      <c r="BR693" s="343">
        <f>SUMIFS($AU$134:AU694,$AA$134:AA694,"*")</f>
        <v>7409.4753333333201</v>
      </c>
      <c r="BS693" s="343">
        <f>SUMIFS($AU$134:AU694,$AB$134:AB694,"*")</f>
        <v>1538.4799999999868</v>
      </c>
      <c r="BT693" s="343">
        <f>SUMIFS($AU$134:AU694,$AC$134:AC694,"*")</f>
        <v>2783.6833333333316</v>
      </c>
      <c r="BU693" s="343">
        <f>SUMIFS($AU$134:AU694,$AA$134:AA694,"*",$AB$134:AB694,"*")</f>
        <v>530.00000000000489</v>
      </c>
      <c r="BV693" s="343">
        <f>SUMIFS($AU$134:AU694,$AA$134:AA694,"*",$AC$134:AC694,"*")</f>
        <v>3700.7833333333328</v>
      </c>
      <c r="BW693" s="343">
        <f>SUMIFS($AU$134:AU694,$AB$134:AB694,"*",$AC$134:AC694,"*")</f>
        <v>2382.6</v>
      </c>
      <c r="BX693" s="343">
        <f>SUMIFS($AU694:AU$1388,$Q694:Q$1388,"F")</f>
        <v>14186.133333333335</v>
      </c>
      <c r="BY693" s="343">
        <f>SUMIFS($AU694:AU$1388,$Q694:Q$1388,"S")</f>
        <v>14587.2</v>
      </c>
      <c r="BZ693" s="343">
        <f>SUMIFS($AU694:AU$1388,$Q694:Q$1388,"O")</f>
        <v>-1220.1379999997707</v>
      </c>
    </row>
    <row r="694" spans="1:78" ht="15.75" customHeight="1">
      <c r="A694" s="221" t="s">
        <v>2798</v>
      </c>
      <c r="B694" s="200">
        <v>45085</v>
      </c>
      <c r="C694" s="178" t="s">
        <v>2931</v>
      </c>
      <c r="D694" s="178" t="s">
        <v>93</v>
      </c>
      <c r="E694" s="227"/>
      <c r="F694" s="180"/>
      <c r="G694" s="181" t="s">
        <v>2070</v>
      </c>
      <c r="H694" s="182"/>
      <c r="I694" s="182"/>
      <c r="J694" s="182"/>
      <c r="K694" s="183"/>
      <c r="L694" s="182"/>
      <c r="M694" s="182"/>
      <c r="N694" s="182"/>
      <c r="O694" s="183"/>
      <c r="P694" s="183"/>
      <c r="Q694" s="183"/>
      <c r="R694" s="183"/>
      <c r="S694" s="183"/>
      <c r="T694" s="183"/>
      <c r="U694" s="183"/>
      <c r="V694" s="183"/>
      <c r="W694" s="183"/>
      <c r="X694" s="183"/>
      <c r="Y694" s="184"/>
      <c r="Z694" s="185"/>
      <c r="AA694" s="185"/>
      <c r="AB694" s="185"/>
      <c r="AC694" s="185"/>
      <c r="AD694" s="649"/>
      <c r="AE694" s="182"/>
      <c r="AF694" s="332"/>
      <c r="AG694" s="182"/>
      <c r="AH694" s="182"/>
      <c r="AI694" s="182"/>
      <c r="AJ694" s="640"/>
      <c r="AK694" s="182"/>
      <c r="AL694" s="496"/>
      <c r="AM694" s="496"/>
      <c r="AN694" s="626"/>
      <c r="AO694" s="182"/>
      <c r="AP694" s="182"/>
      <c r="AQ694" s="332" t="str">
        <f>UPPER(RIGHT(Journal_Live[[#This Row],[DURATION ]]))</f>
        <v/>
      </c>
      <c r="AR694" s="182"/>
      <c r="AS694" s="189"/>
      <c r="AT694" s="189"/>
      <c r="AU694" s="187"/>
      <c r="AV694" s="190"/>
      <c r="AW694" s="191"/>
      <c r="AX694" s="407" t="s">
        <v>2932</v>
      </c>
      <c r="AY694" s="407"/>
      <c r="AZ694" s="407"/>
      <c r="BA694" s="407"/>
      <c r="BB694" s="407"/>
      <c r="BC694" s="407"/>
      <c r="BD694" s="407"/>
      <c r="BE694" s="407"/>
      <c r="BF694" s="422"/>
      <c r="BG694" s="391">
        <f>SUM($AV$4:AV694)</f>
        <v>3463.6495974026261</v>
      </c>
      <c r="BH694" s="392">
        <f>SUM($AU$134:AU694)</f>
        <v>6165.4553333333079</v>
      </c>
      <c r="BI694" s="318">
        <f>SUMIFS($AU$134:AU695,$Q$134:Q695,"F")</f>
        <v>254.53333333333308</v>
      </c>
      <c r="BJ694" s="318">
        <f>SUMIFS($AU$134:AU695,$Q$134:Q695,"S")</f>
        <v>6084.4419999999964</v>
      </c>
      <c r="BK694" s="343">
        <f>SUMIFS($AU$134:AU695,$P$134:P695,"W")</f>
        <v>5803.7419999999347</v>
      </c>
      <c r="BL694" s="343">
        <f>SUMIFS($AU$134:AU695,$P$134:P695,"R")</f>
        <v>356.67333333333488</v>
      </c>
      <c r="BM694" s="343">
        <f>SUMIFS($AU$134:AU695,$AQ$134:AQ695,"M")</f>
        <v>2013.3999999999799</v>
      </c>
      <c r="BN694" s="343">
        <f>SUMIFS($AU$134:AU695,$AQ$134:AQ695,"H")</f>
        <v>2550.1420000000157</v>
      </c>
      <c r="BO694" s="343">
        <f>SUMIFS($AU$134:AU695,$AQ$134:AQ695,"D")</f>
        <v>97.68999999999987</v>
      </c>
      <c r="BP694" s="343">
        <f>SUMIFS($AU$134:AU697,$AQ$134:AQ697,"W")</f>
        <v>825.78333333334297</v>
      </c>
      <c r="BQ694" s="343">
        <f>SUMIFS($AU$134:AU695,$Q$134:Q695,"O")</f>
        <v>-428.7200000000276</v>
      </c>
      <c r="BR694" s="343">
        <f>SUMIFS($AU$134:AU695,$AA$134:AA695,"*")</f>
        <v>7409.4753333333201</v>
      </c>
      <c r="BS694" s="343">
        <f>SUMIFS($AU$134:AU695,$AB$134:AB695,"*")</f>
        <v>1538.4799999999868</v>
      </c>
      <c r="BT694" s="343">
        <f>SUMIFS($AU$134:AU695,$AC$134:AC695,"*")</f>
        <v>2783.6833333333316</v>
      </c>
      <c r="BU694" s="343">
        <f>SUMIFS($AU$134:AU695,$AA$134:AA695,"*",$AB$134:AB695,"*")</f>
        <v>530.00000000000489</v>
      </c>
      <c r="BV694" s="343">
        <f>SUMIFS($AU$134:AU695,$AA$134:AA695,"*",$AC$134:AC695,"*")</f>
        <v>3700.7833333333328</v>
      </c>
      <c r="BW694" s="343">
        <f>SUMIFS($AU$134:AU695,$AB$134:AB695,"*",$AC$134:AC695,"*")</f>
        <v>2382.6</v>
      </c>
      <c r="BX694" s="343">
        <f>SUMIFS($AU695:AU$1388,$Q695:Q$1388,"F")</f>
        <v>14186.133333333335</v>
      </c>
      <c r="BY694" s="343">
        <f>SUMIFS($AU695:AU$1388,$Q695:Q$1388,"S")</f>
        <v>14587.2</v>
      </c>
      <c r="BZ694" s="343">
        <f>SUMIFS($AU695:AU$1388,$Q695:Q$1388,"O")</f>
        <v>-1220.1379999997707</v>
      </c>
    </row>
    <row r="695" spans="1:78" ht="15.75" customHeight="1">
      <c r="A695" s="221" t="s">
        <v>2798</v>
      </c>
      <c r="B695" s="200">
        <v>45085</v>
      </c>
      <c r="C695" s="178" t="s">
        <v>1728</v>
      </c>
      <c r="D695" s="178" t="s">
        <v>93</v>
      </c>
      <c r="E695" s="227" t="s">
        <v>2933</v>
      </c>
      <c r="F695" s="180"/>
      <c r="G695" s="181"/>
      <c r="H695" s="182">
        <v>1</v>
      </c>
      <c r="I695" s="182"/>
      <c r="J695" s="182"/>
      <c r="K695" s="183" t="s">
        <v>115</v>
      </c>
      <c r="L695" s="182"/>
      <c r="M695" s="182"/>
      <c r="N695" s="182"/>
      <c r="O695" s="183"/>
      <c r="P695" s="183"/>
      <c r="Q695" s="183"/>
      <c r="R695" s="183"/>
      <c r="S695" s="183"/>
      <c r="T695" s="183"/>
      <c r="U695" s="183"/>
      <c r="V695" s="183"/>
      <c r="W695" s="183"/>
      <c r="X695" s="183"/>
      <c r="Y695" s="183"/>
      <c r="Z695" s="183"/>
      <c r="AA695" s="185"/>
      <c r="AB695" s="185"/>
      <c r="AC695" s="185"/>
      <c r="AD695" s="649"/>
      <c r="AE695" s="182"/>
      <c r="AF695" s="332"/>
      <c r="AG695" s="182"/>
      <c r="AH695" s="182"/>
      <c r="AI695" s="182"/>
      <c r="AJ695" s="640"/>
      <c r="AK695" s="182"/>
      <c r="AL695" s="496"/>
      <c r="AM695" s="496"/>
      <c r="AN695" s="626"/>
      <c r="AO695" s="182"/>
      <c r="AP695" s="182"/>
      <c r="AQ695" s="332" t="str">
        <f>UPPER(RIGHT(Journal_Live[[#This Row],[DURATION ]]))</f>
        <v/>
      </c>
      <c r="AR695" s="182"/>
      <c r="AS695" s="189"/>
      <c r="AT695" s="189"/>
      <c r="AU695" s="187"/>
      <c r="AV695" s="190"/>
      <c r="AW695" s="191"/>
      <c r="AX695" s="407"/>
      <c r="AY695" s="407"/>
      <c r="AZ695" s="407"/>
      <c r="BA695" s="407"/>
      <c r="BB695" s="407"/>
      <c r="BC695" s="407"/>
      <c r="BD695" s="407"/>
      <c r="BE695" s="407"/>
      <c r="BF695" s="422"/>
      <c r="BG695" s="391">
        <f>SUM($AV$4:AV695)</f>
        <v>3463.6495974026261</v>
      </c>
      <c r="BH695" s="392">
        <f>SUM($AU$134:AU695)</f>
        <v>6165.4553333333079</v>
      </c>
      <c r="BI695" s="318">
        <f>SUMIFS($AU$134:AU696,$Q$134:Q696,"F")</f>
        <v>254.53333333333308</v>
      </c>
      <c r="BJ695" s="318">
        <f>SUMIFS($AU$134:AU696,$Q$134:Q696,"S")</f>
        <v>6404.4419999999964</v>
      </c>
      <c r="BK695" s="343">
        <f>SUMIFS($AU$134:AU696,$P$134:P696,"W")</f>
        <v>5803.7419999999347</v>
      </c>
      <c r="BL695" s="343">
        <f>SUMIFS($AU$134:AU696,$P$134:P696,"R")</f>
        <v>676.67333333333477</v>
      </c>
      <c r="BM695" s="343">
        <f>SUMIFS($AU$134:AU696,$AQ$134:AQ696,"M")</f>
        <v>2013.3999999999799</v>
      </c>
      <c r="BN695" s="343">
        <f>SUMIFS($AU$134:AU696,$AQ$134:AQ696,"H")</f>
        <v>2550.1420000000157</v>
      </c>
      <c r="BO695" s="343">
        <f>SUMIFS($AU$134:AU696,$AQ$134:AQ696,"D")</f>
        <v>97.68999999999987</v>
      </c>
      <c r="BP695" s="343">
        <f>SUMIFS($AU$134:AU698,$AQ$134:AQ698,"W")</f>
        <v>825.78333333334297</v>
      </c>
      <c r="BQ695" s="343">
        <f>SUMIFS($AU$134:AU696,$Q$134:Q696,"O")</f>
        <v>-428.7200000000276</v>
      </c>
      <c r="BR695" s="343">
        <f>SUMIFS($AU$134:AU696,$AA$134:AA696,"*")</f>
        <v>7729.4753333333201</v>
      </c>
      <c r="BS695" s="343">
        <f>SUMIFS($AU$134:AU696,$AB$134:AB696,"*")</f>
        <v>1858.4799999999868</v>
      </c>
      <c r="BT695" s="343">
        <f>SUMIFS($AU$134:AU696,$AC$134:AC696,"*")</f>
        <v>3103.6833333333316</v>
      </c>
      <c r="BU695" s="343">
        <f>SUMIFS($AU$134:AU696,$AA$134:AA696,"*",$AB$134:AB696,"*")</f>
        <v>850.00000000000477</v>
      </c>
      <c r="BV695" s="343">
        <f>SUMIFS($AU$134:AU696,$AA$134:AA696,"*",$AC$134:AC696,"*")</f>
        <v>4020.7833333333328</v>
      </c>
      <c r="BW695" s="343">
        <f>SUMIFS($AU$134:AU696,$AB$134:AB696,"*",$AC$134:AC696,"*")</f>
        <v>2702.6</v>
      </c>
      <c r="BX695" s="343">
        <f>SUMIFS($AU696:AU$1388,$Q696:Q$1388,"F")</f>
        <v>14186.133333333335</v>
      </c>
      <c r="BY695" s="343">
        <f>SUMIFS($AU696:AU$1388,$Q696:Q$1388,"S")</f>
        <v>14587.2</v>
      </c>
      <c r="BZ695" s="343">
        <f>SUMIFS($AU696:AU$1388,$Q696:Q$1388,"O")</f>
        <v>-1220.1379999997707</v>
      </c>
    </row>
    <row r="696" spans="1:78" ht="15.75" customHeight="1">
      <c r="A696" s="221" t="s">
        <v>2798</v>
      </c>
      <c r="B696" s="200">
        <v>45085</v>
      </c>
      <c r="C696" s="178" t="s">
        <v>2934</v>
      </c>
      <c r="D696" s="178" t="s">
        <v>93</v>
      </c>
      <c r="E696" s="227"/>
      <c r="F696" s="180"/>
      <c r="G696" s="476" t="s">
        <v>2935</v>
      </c>
      <c r="H696" s="182"/>
      <c r="I696" s="182"/>
      <c r="J696" s="182"/>
      <c r="K696" s="183"/>
      <c r="L696" s="182">
        <v>2</v>
      </c>
      <c r="M696" s="182">
        <v>2</v>
      </c>
      <c r="N696" s="182"/>
      <c r="O696" s="183" t="s">
        <v>95</v>
      </c>
      <c r="P696" s="183" t="s">
        <v>137</v>
      </c>
      <c r="Q696" s="183" t="s">
        <v>97</v>
      </c>
      <c r="R696" s="183">
        <v>10</v>
      </c>
      <c r="S696" s="183">
        <v>0</v>
      </c>
      <c r="T696" s="183">
        <v>10</v>
      </c>
      <c r="U696" s="183" t="s">
        <v>22</v>
      </c>
      <c r="V696" s="183"/>
      <c r="W696" s="183"/>
      <c r="X696" s="183"/>
      <c r="Y696" s="184">
        <f t="shared" ref="Y696:Y701" si="260">IF(ISBLANK(O696),"",(IF(O696=UPPER("IB"),0.005,0.01)))</f>
        <v>0.01</v>
      </c>
      <c r="Z696" s="185">
        <f t="shared" ref="Z696:Z701" si="261">IF(ISBLANK(O696),"",IF(O696="IB",8.63*200,IF(O696="IR",16*100,IF(O696="YT",20*100,IF(O696="YT-XT",24*200,IF(O696="TED",80*100))))))</f>
        <v>1600</v>
      </c>
      <c r="AA696" s="185" t="s">
        <v>2868</v>
      </c>
      <c r="AB696" s="409" t="s">
        <v>2869</v>
      </c>
      <c r="AC696" s="185" t="s">
        <v>2870</v>
      </c>
      <c r="AD696" s="649">
        <v>-0.03</v>
      </c>
      <c r="AE696" s="182"/>
      <c r="AF696" s="332"/>
      <c r="AG696" s="182"/>
      <c r="AH696" s="182"/>
      <c r="AI696" s="182"/>
      <c r="AJ696" s="640"/>
      <c r="AK696" s="182"/>
      <c r="AL696" s="496">
        <f t="shared" si="259"/>
        <v>-48</v>
      </c>
      <c r="AM696" s="496">
        <f>AL696*(R696-S696)</f>
        <v>-480</v>
      </c>
      <c r="AN696" s="626"/>
      <c r="AO696" s="182"/>
      <c r="AP696" s="182" t="s">
        <v>925</v>
      </c>
      <c r="AQ696" s="332" t="str">
        <f>UPPER(RIGHT(Journal_Live[[#This Row],[DURATION ]]))</f>
        <v>W</v>
      </c>
      <c r="AR696" s="182" t="s">
        <v>2936</v>
      </c>
      <c r="AS696" s="189">
        <v>-0.01</v>
      </c>
      <c r="AT696" s="189">
        <f t="shared" ref="AT696:AT701" si="262">IF(ISBLANK(AS696),,IF(U696="S",AD696-AS696,AS696-AD696))</f>
        <v>1.9999999999999997E-2</v>
      </c>
      <c r="AU696" s="187">
        <f t="shared" ref="AU696:AU701" si="263">AV696*R696</f>
        <v>319.99999999999994</v>
      </c>
      <c r="AV696" s="190">
        <f t="shared" ref="AV696:AV701" si="264">IF(ISBLANK(AS696),,(AT696*Z696))</f>
        <v>31.999999999999996</v>
      </c>
      <c r="AW696" s="191" t="s">
        <v>96</v>
      </c>
      <c r="AX696" s="407"/>
      <c r="AY696" s="407"/>
      <c r="AZ696" s="407"/>
      <c r="BA696" s="407" t="s">
        <v>1137</v>
      </c>
      <c r="BB696" s="407"/>
      <c r="BC696" s="407"/>
      <c r="BD696" s="407"/>
      <c r="BE696" s="407"/>
      <c r="BF696" s="422"/>
      <c r="BG696" s="391">
        <f>SUM($AV$4:AV696)</f>
        <v>3495.6495974026261</v>
      </c>
      <c r="BH696" s="392">
        <f>SUM($AU$134:AU696)</f>
        <v>6485.4553333333079</v>
      </c>
      <c r="BI696" s="318">
        <f>SUMIFS($AU$134:AU697,$Q$134:Q697,"F")</f>
        <v>254.53333333333308</v>
      </c>
      <c r="BJ696" s="318">
        <f>SUMIFS($AU$134:AU697,$Q$134:Q697,"S")</f>
        <v>6404.4419999999964</v>
      </c>
      <c r="BK696" s="343">
        <f>SUMIFS($AU$134:AU697,$P$134:P697,"W")</f>
        <v>5803.7419999999347</v>
      </c>
      <c r="BL696" s="343">
        <f>SUMIFS($AU$134:AU697,$P$134:P697,"R")</f>
        <v>676.67333333333477</v>
      </c>
      <c r="BM696" s="343">
        <f>SUMIFS($AU$134:AU697,$AQ$134:AQ697,"M")</f>
        <v>2013.3999999999799</v>
      </c>
      <c r="BN696" s="343">
        <f>SUMIFS($AU$134:AU697,$AQ$134:AQ697,"H")</f>
        <v>2550.1420000000157</v>
      </c>
      <c r="BO696" s="343">
        <f>SUMIFS($AU$134:AU697,$AQ$134:AQ697,"D")</f>
        <v>97.68999999999987</v>
      </c>
      <c r="BP696" s="343">
        <f>SUMIFS($AU$134:AU699,$AQ$134:AQ699,"W")</f>
        <v>2169.7833333333429</v>
      </c>
      <c r="BQ696" s="343">
        <f>SUMIFS($AU$134:AU697,$Q$134:Q697,"O")</f>
        <v>-428.7200000000276</v>
      </c>
      <c r="BR696" s="343">
        <f>SUMIFS($AU$134:AU697,$AA$134:AA697,"*")</f>
        <v>7729.4753333333201</v>
      </c>
      <c r="BS696" s="343">
        <f>SUMIFS($AU$134:AU697,$AB$134:AB697,"*")</f>
        <v>1858.4799999999868</v>
      </c>
      <c r="BT696" s="343">
        <f>SUMIFS($AU$134:AU697,$AC$134:AC697,"*")</f>
        <v>3103.6833333333316</v>
      </c>
      <c r="BU696" s="343">
        <f>SUMIFS($AU$134:AU697,$AA$134:AA697,"*",$AB$134:AB697,"*")</f>
        <v>850.00000000000477</v>
      </c>
      <c r="BV696" s="343">
        <f>SUMIFS($AU$134:AU697,$AA$134:AA697,"*",$AC$134:AC697,"*")</f>
        <v>4020.7833333333328</v>
      </c>
      <c r="BW696" s="343">
        <f>SUMIFS($AU$134:AU697,$AB$134:AB697,"*",$AC$134:AC697,"*")</f>
        <v>2702.6</v>
      </c>
      <c r="BX696" s="343">
        <f>SUMIFS($AU697:AU$1388,$Q697:Q$1388,"F")</f>
        <v>14186.133333333335</v>
      </c>
      <c r="BY696" s="343">
        <f>SUMIFS($AU697:AU$1388,$Q697:Q$1388,"S")</f>
        <v>14267.2</v>
      </c>
      <c r="BZ696" s="343">
        <f>SUMIFS($AU697:AU$1388,$Q697:Q$1388,"O")</f>
        <v>-1220.1379999997707</v>
      </c>
    </row>
    <row r="697" spans="1:78" ht="15.75" customHeight="1">
      <c r="A697" s="221" t="s">
        <v>2798</v>
      </c>
      <c r="B697" s="200">
        <v>45086</v>
      </c>
      <c r="C697" s="178" t="s">
        <v>2937</v>
      </c>
      <c r="D697" s="178" t="s">
        <v>111</v>
      </c>
      <c r="E697" s="227"/>
      <c r="F697" s="180"/>
      <c r="G697" s="280" t="s">
        <v>181</v>
      </c>
      <c r="H697" s="182"/>
      <c r="I697" s="182"/>
      <c r="J697" s="182"/>
      <c r="K697" s="183"/>
      <c r="L697" s="182">
        <v>1</v>
      </c>
      <c r="M697" s="182"/>
      <c r="N697" s="182"/>
      <c r="O697" s="183" t="s">
        <v>95</v>
      </c>
      <c r="P697" s="183" t="s">
        <v>96</v>
      </c>
      <c r="Q697" s="183" t="s">
        <v>97</v>
      </c>
      <c r="R697" s="183">
        <v>7</v>
      </c>
      <c r="S697" s="183">
        <v>0</v>
      </c>
      <c r="T697" s="183">
        <v>7</v>
      </c>
      <c r="U697" s="183" t="s">
        <v>22</v>
      </c>
      <c r="V697" s="183"/>
      <c r="W697" s="183"/>
      <c r="X697" s="183"/>
      <c r="Y697" s="184">
        <f t="shared" si="260"/>
        <v>0.01</v>
      </c>
      <c r="Z697" s="185">
        <f t="shared" si="261"/>
        <v>1600</v>
      </c>
      <c r="AA697" s="185" t="s">
        <v>99</v>
      </c>
      <c r="AB697" s="185"/>
      <c r="AC697" s="185"/>
      <c r="AD697" s="649">
        <v>-0.14000000000000001</v>
      </c>
      <c r="AE697" s="182"/>
      <c r="AF697" s="332"/>
      <c r="AG697" s="182"/>
      <c r="AH697" s="182"/>
      <c r="AI697" s="182"/>
      <c r="AJ697" s="640"/>
      <c r="AK697" s="182"/>
      <c r="AL697" s="496">
        <f t="shared" si="259"/>
        <v>-48</v>
      </c>
      <c r="AM697" s="496">
        <f>AL697*(R697-S697)</f>
        <v>-336</v>
      </c>
      <c r="AN697" s="626"/>
      <c r="AO697" s="182"/>
      <c r="AP697" s="182" t="s">
        <v>1554</v>
      </c>
      <c r="AQ697" s="332" t="str">
        <f>UPPER(RIGHT(Journal_Live[[#This Row],[DURATION ]]))</f>
        <v>H</v>
      </c>
      <c r="AR697" s="182" t="s">
        <v>2938</v>
      </c>
      <c r="AS697" s="189">
        <v>-0.14000000000000001</v>
      </c>
      <c r="AT697" s="189">
        <f t="shared" si="262"/>
        <v>0</v>
      </c>
      <c r="AU697" s="187">
        <f t="shared" si="263"/>
        <v>0</v>
      </c>
      <c r="AV697" s="190">
        <f t="shared" si="264"/>
        <v>0</v>
      </c>
      <c r="AW697" s="191" t="s">
        <v>115</v>
      </c>
      <c r="AX697" s="407" t="s">
        <v>2939</v>
      </c>
      <c r="AY697" s="407" t="s">
        <v>2940</v>
      </c>
      <c r="AZ697" s="407"/>
      <c r="BA697" s="407"/>
      <c r="BB697" s="407"/>
      <c r="BC697" s="407"/>
      <c r="BD697" s="407"/>
      <c r="BE697" s="407"/>
      <c r="BF697" s="422"/>
      <c r="BG697" s="391">
        <f>SUM($AV$4:AV697)</f>
        <v>3495.6495974026261</v>
      </c>
      <c r="BH697" s="392">
        <f>SUM($AU$134:AU697)</f>
        <v>6485.4553333333079</v>
      </c>
      <c r="BI697" s="318">
        <f>SUMIFS($AU$134:AU698,$Q$134:Q698,"F")</f>
        <v>254.53333333333308</v>
      </c>
      <c r="BJ697" s="318">
        <f>SUMIFS($AU$134:AU698,$Q$134:Q698,"S")</f>
        <v>6724.4419999999964</v>
      </c>
      <c r="BK697" s="343">
        <f>SUMIFS($AU$134:AU698,$P$134:P698,"W")</f>
        <v>5803.7419999999347</v>
      </c>
      <c r="BL697" s="343">
        <f>SUMIFS($AU$134:AU698,$P$134:P698,"R")</f>
        <v>996.67333333333477</v>
      </c>
      <c r="BM697" s="343">
        <f>SUMIFS($AU$134:AU698,$AQ$134:AQ698,"M")</f>
        <v>2013.3999999999799</v>
      </c>
      <c r="BN697" s="343">
        <f>SUMIFS($AU$134:AU698,$AQ$134:AQ698,"H")</f>
        <v>2870.1420000000157</v>
      </c>
      <c r="BO697" s="343">
        <f>SUMIFS($AU$134:AU698,$AQ$134:AQ698,"D")</f>
        <v>97.68999999999987</v>
      </c>
      <c r="BP697" s="343">
        <f>SUMIFS($AU$134:AU700,$AQ$134:AQ700,"W")</f>
        <v>2169.7833333333429</v>
      </c>
      <c r="BQ697" s="343">
        <f>SUMIFS($AU$134:AU698,$Q$134:Q698,"O")</f>
        <v>-428.7200000000276</v>
      </c>
      <c r="BR697" s="343">
        <f>SUMIFS($AU$134:AU698,$AA$134:AA698,"*")</f>
        <v>8049.4753333333201</v>
      </c>
      <c r="BS697" s="343">
        <f>SUMIFS($AU$134:AU698,$AB$134:AB698,"*")</f>
        <v>1858.4799999999868</v>
      </c>
      <c r="BT697" s="343">
        <f>SUMIFS($AU$134:AU698,$AC$134:AC698,"*")</f>
        <v>3103.6833333333316</v>
      </c>
      <c r="BU697" s="343">
        <f>SUMIFS($AU$134:AU698,$AA$134:AA698,"*",$AB$134:AB698,"*")</f>
        <v>850.00000000000477</v>
      </c>
      <c r="BV697" s="343">
        <f>SUMIFS($AU$134:AU698,$AA$134:AA698,"*",$AC$134:AC698,"*")</f>
        <v>4020.7833333333328</v>
      </c>
      <c r="BW697" s="343">
        <f>SUMIFS($AU$134:AU698,$AB$134:AB698,"*",$AC$134:AC698,"*")</f>
        <v>2702.6</v>
      </c>
      <c r="BX697" s="343">
        <f>SUMIFS($AU698:AU$1388,$Q698:Q$1388,"F")</f>
        <v>14186.133333333335</v>
      </c>
      <c r="BY697" s="343">
        <f>SUMIFS($AU698:AU$1388,$Q698:Q$1388,"S")</f>
        <v>14267.2</v>
      </c>
      <c r="BZ697" s="343">
        <f>SUMIFS($AU698:AU$1388,$Q698:Q$1388,"O")</f>
        <v>-1220.1379999997707</v>
      </c>
    </row>
    <row r="698" spans="1:78" ht="15.75" customHeight="1">
      <c r="A698" s="221" t="s">
        <v>2798</v>
      </c>
      <c r="B698" s="200">
        <v>45086</v>
      </c>
      <c r="C698" s="178" t="s">
        <v>2941</v>
      </c>
      <c r="D698" s="178" t="s">
        <v>111</v>
      </c>
      <c r="E698" s="227"/>
      <c r="F698" s="180"/>
      <c r="G698" s="281" t="s">
        <v>2942</v>
      </c>
      <c r="H698" s="182"/>
      <c r="I698" s="182"/>
      <c r="J698" s="182"/>
      <c r="K698" s="183"/>
      <c r="L698" s="182">
        <v>1</v>
      </c>
      <c r="M698" s="182"/>
      <c r="N698" s="182"/>
      <c r="O698" s="183" t="s">
        <v>95</v>
      </c>
      <c r="P698" s="183" t="s">
        <v>137</v>
      </c>
      <c r="Q698" s="183" t="s">
        <v>97</v>
      </c>
      <c r="R698" s="183">
        <v>10</v>
      </c>
      <c r="S698" s="183">
        <v>0</v>
      </c>
      <c r="T698" s="183">
        <v>10</v>
      </c>
      <c r="U698" s="183" t="s">
        <v>22</v>
      </c>
      <c r="V698" s="183"/>
      <c r="W698" s="183"/>
      <c r="X698" s="183"/>
      <c r="Y698" s="184">
        <f t="shared" si="260"/>
        <v>0.01</v>
      </c>
      <c r="Z698" s="185">
        <f t="shared" si="261"/>
        <v>1600</v>
      </c>
      <c r="AA698" s="185" t="s">
        <v>2943</v>
      </c>
      <c r="AB698" s="185"/>
      <c r="AC698" s="185"/>
      <c r="AD698" s="649">
        <v>-0.1</v>
      </c>
      <c r="AE698" s="182"/>
      <c r="AF698" s="332"/>
      <c r="AG698" s="182"/>
      <c r="AH698" s="182"/>
      <c r="AI698" s="182"/>
      <c r="AJ698" s="640"/>
      <c r="AK698" s="182"/>
      <c r="AL698" s="496"/>
      <c r="AM698" s="497"/>
      <c r="AN698" s="626"/>
      <c r="AO698" s="182"/>
      <c r="AP698" s="182" t="s">
        <v>1017</v>
      </c>
      <c r="AQ698" s="332" t="str">
        <f>UPPER(RIGHT(Journal_Live[[#This Row],[DURATION ]]))</f>
        <v>H</v>
      </c>
      <c r="AR698" s="182" t="s">
        <v>2944</v>
      </c>
      <c r="AS698" s="189">
        <v>-0.08</v>
      </c>
      <c r="AT698" s="189">
        <f t="shared" si="262"/>
        <v>2.0000000000000004E-2</v>
      </c>
      <c r="AU698" s="187">
        <f t="shared" si="263"/>
        <v>320.00000000000006</v>
      </c>
      <c r="AV698" s="190">
        <f t="shared" si="264"/>
        <v>32.000000000000007</v>
      </c>
      <c r="AW698" s="191" t="s">
        <v>96</v>
      </c>
      <c r="AX698" s="407" t="s">
        <v>2945</v>
      </c>
      <c r="AY698" s="407"/>
      <c r="AZ698" s="407"/>
      <c r="BA698" s="407"/>
      <c r="BB698" s="407"/>
      <c r="BC698" s="407"/>
      <c r="BD698" s="407"/>
      <c r="BE698" s="407"/>
      <c r="BF698" s="422"/>
      <c r="BG698" s="391">
        <f>SUM($AV$4:AV698)</f>
        <v>3527.6495974026261</v>
      </c>
      <c r="BH698" s="392">
        <f>SUM($AU$134:AU698)</f>
        <v>6805.4553333333079</v>
      </c>
      <c r="BI698" s="318">
        <f>SUMIFS($AU$134:AU699,$Q$134:Q699,"F")</f>
        <v>254.53333333333308</v>
      </c>
      <c r="BJ698" s="318">
        <f>SUMIFS($AU$134:AU699,$Q$134:Q699,"S")</f>
        <v>8068.4419999999964</v>
      </c>
      <c r="BK698" s="343">
        <f>SUMIFS($AU$134:AU699,$P$134:P699,"W")</f>
        <v>5803.7419999999347</v>
      </c>
      <c r="BL698" s="343">
        <f>SUMIFS($AU$134:AU699,$P$134:P699,"R")</f>
        <v>2340.673333333335</v>
      </c>
      <c r="BM698" s="343">
        <f>SUMIFS($AU$134:AU699,$AQ$134:AQ699,"M")</f>
        <v>2013.3999999999799</v>
      </c>
      <c r="BN698" s="343">
        <f>SUMIFS($AU$134:AU699,$AQ$134:AQ699,"H")</f>
        <v>2870.1420000000157</v>
      </c>
      <c r="BO698" s="343">
        <f>SUMIFS($AU$134:AU699,$AQ$134:AQ699,"D")</f>
        <v>97.68999999999987</v>
      </c>
      <c r="BP698" s="343">
        <f>SUMIFS($AU$134:AU701,$AQ$134:AQ701,"W")</f>
        <v>2169.7833333333429</v>
      </c>
      <c r="BQ698" s="343">
        <f>SUMIFS($AU$134:AU699,$Q$134:Q699,"O")</f>
        <v>-428.7200000000276</v>
      </c>
      <c r="BR698" s="343">
        <f>SUMIFS($AU$134:AU699,$AA$134:AA699,"*")</f>
        <v>9393.475333333321</v>
      </c>
      <c r="BS698" s="343">
        <f>SUMIFS($AU$134:AU699,$AB$134:AB699,"*")</f>
        <v>3202.4799999999868</v>
      </c>
      <c r="BT698" s="343">
        <f>SUMIFS($AU$134:AU699,$AC$134:AC699,"*")</f>
        <v>4447.6833333333316</v>
      </c>
      <c r="BU698" s="343">
        <f>SUMIFS($AU$134:AU699,$AA$134:AA699,"*",$AB$134:AB699,"*")</f>
        <v>2194.0000000000045</v>
      </c>
      <c r="BV698" s="343">
        <f>SUMIFS($AU$134:AU699,$AA$134:AA699,"*",$AC$134:AC699,"*")</f>
        <v>5364.7833333333328</v>
      </c>
      <c r="BW698" s="343">
        <f>SUMIFS($AU$134:AU699,$AB$134:AB699,"*",$AC$134:AC699,"*")</f>
        <v>4046.6</v>
      </c>
      <c r="BX698" s="343">
        <f>SUMIFS($AU699:AU$1388,$Q699:Q$1388,"F")</f>
        <v>14186.133333333335</v>
      </c>
      <c r="BY698" s="343">
        <f>SUMIFS($AU699:AU$1388,$Q699:Q$1388,"S")</f>
        <v>13947.2</v>
      </c>
      <c r="BZ698" s="343">
        <f>SUMIFS($AU699:AU$1388,$Q699:Q$1388,"O")</f>
        <v>-1220.1379999997707</v>
      </c>
    </row>
    <row r="699" spans="1:78" ht="15.75" customHeight="1">
      <c r="A699" s="221" t="s">
        <v>2798</v>
      </c>
      <c r="B699" s="200">
        <v>45086</v>
      </c>
      <c r="C699" s="178" t="s">
        <v>2020</v>
      </c>
      <c r="D699" s="178" t="s">
        <v>111</v>
      </c>
      <c r="E699" s="227"/>
      <c r="F699" s="180"/>
      <c r="G699" s="476" t="s">
        <v>2946</v>
      </c>
      <c r="H699" s="182"/>
      <c r="I699" s="182"/>
      <c r="J699" s="182"/>
      <c r="K699" s="183"/>
      <c r="L699" s="182">
        <v>2</v>
      </c>
      <c r="M699" s="182">
        <v>2</v>
      </c>
      <c r="N699" s="182"/>
      <c r="O699" s="183" t="s">
        <v>95</v>
      </c>
      <c r="P699" s="183" t="s">
        <v>137</v>
      </c>
      <c r="Q699" s="183" t="s">
        <v>97</v>
      </c>
      <c r="R699" s="183">
        <v>22</v>
      </c>
      <c r="S699" s="183">
        <v>2</v>
      </c>
      <c r="T699" s="183">
        <v>22</v>
      </c>
      <c r="U699" s="183" t="s">
        <v>22</v>
      </c>
      <c r="V699" s="183"/>
      <c r="W699" s="183"/>
      <c r="X699" s="183"/>
      <c r="Y699" s="184">
        <f t="shared" si="260"/>
        <v>0.01</v>
      </c>
      <c r="Z699" s="185">
        <f t="shared" si="261"/>
        <v>1600</v>
      </c>
      <c r="AA699" s="185" t="s">
        <v>2868</v>
      </c>
      <c r="AB699" s="409" t="s">
        <v>2869</v>
      </c>
      <c r="AC699" s="185" t="s">
        <v>2870</v>
      </c>
      <c r="AD699" s="649">
        <v>-0.04</v>
      </c>
      <c r="AE699" s="182"/>
      <c r="AF699" s="332">
        <v>-6</v>
      </c>
      <c r="AG699" s="182" t="s">
        <v>2871</v>
      </c>
      <c r="AH699" s="182" t="s">
        <v>2872</v>
      </c>
      <c r="AI699" s="182"/>
      <c r="AJ699" s="640"/>
      <c r="AK699" s="182"/>
      <c r="AL699" s="496">
        <f>-0.01*Z699</f>
        <v>-16</v>
      </c>
      <c r="AM699" s="496">
        <f>AL699*(R699-S699)</f>
        <v>-320</v>
      </c>
      <c r="AN699" s="626"/>
      <c r="AO699" s="182"/>
      <c r="AP699" s="182" t="s">
        <v>897</v>
      </c>
      <c r="AQ699" s="332" t="str">
        <f>UPPER(RIGHT(Journal_Live[[#This Row],[DURATION ]]))</f>
        <v>W</v>
      </c>
      <c r="AR699" s="182" t="s">
        <v>2947</v>
      </c>
      <c r="AS699" s="189">
        <f>((-0.02*2)+(0*17)+(0*3))/22</f>
        <v>-1.8181818181818182E-3</v>
      </c>
      <c r="AT699" s="189">
        <f t="shared" si="262"/>
        <v>3.8181818181818185E-2</v>
      </c>
      <c r="AU699" s="187">
        <f t="shared" si="263"/>
        <v>1344</v>
      </c>
      <c r="AV699" s="190">
        <f t="shared" si="264"/>
        <v>61.090909090909093</v>
      </c>
      <c r="AW699" s="191" t="s">
        <v>96</v>
      </c>
      <c r="AX699" s="407"/>
      <c r="AY699" s="407"/>
      <c r="AZ699" s="407"/>
      <c r="BA699" s="407" t="s">
        <v>2948</v>
      </c>
      <c r="BB699" s="407"/>
      <c r="BC699" s="407"/>
      <c r="BD699" s="407"/>
      <c r="BE699" s="407"/>
      <c r="BF699" s="422"/>
      <c r="BG699" s="391">
        <f>SUM($AV$4:AV699)</f>
        <v>3588.7405064935351</v>
      </c>
      <c r="BH699" s="392">
        <f>SUM($AU$134:AU699)</f>
        <v>8149.4553333333079</v>
      </c>
      <c r="BI699" s="318">
        <f>SUMIFS($AU$134:AU700,$Q$134:Q700,"F")</f>
        <v>926.53333333333308</v>
      </c>
      <c r="BJ699" s="318">
        <f>SUMIFS($AU$134:AU700,$Q$134:Q700,"S")</f>
        <v>8068.4419999999964</v>
      </c>
      <c r="BK699" s="343">
        <f>SUMIFS($AU$134:AU700,$P$134:P700,"W")</f>
        <v>5803.7419999999347</v>
      </c>
      <c r="BL699" s="343">
        <f>SUMIFS($AU$134:AU700,$P$134:P700,"R")</f>
        <v>3012.673333333335</v>
      </c>
      <c r="BM699" s="343">
        <f>SUMIFS($AU$134:AU700,$AQ$134:AQ700,"M")</f>
        <v>2013.3999999999799</v>
      </c>
      <c r="BN699" s="343">
        <f>SUMIFS($AU$134:AU700,$AQ$134:AQ700,"H")</f>
        <v>2870.1420000000157</v>
      </c>
      <c r="BO699" s="343">
        <f>SUMIFS($AU$134:AU700,$AQ$134:AQ700,"D")</f>
        <v>769.68999999999983</v>
      </c>
      <c r="BP699" s="343">
        <f>SUMIFS($AU$134:AU702,$AQ$134:AQ702,"W")</f>
        <v>2169.7833333333429</v>
      </c>
      <c r="BQ699" s="343">
        <f>SUMIFS($AU$134:AU700,$Q$134:Q700,"O")</f>
        <v>-428.7200000000276</v>
      </c>
      <c r="BR699" s="343">
        <f>SUMIFS($AU$134:AU700,$AA$134:AA700,"*")</f>
        <v>10065.475333333321</v>
      </c>
      <c r="BS699" s="343">
        <f>SUMIFS($AU$134:AU700,$AB$134:AB700,"*")</f>
        <v>3202.4799999999868</v>
      </c>
      <c r="BT699" s="343">
        <f>SUMIFS($AU$134:AU700,$AC$134:AC700,"*")</f>
        <v>5119.6833333333316</v>
      </c>
      <c r="BU699" s="343">
        <f>SUMIFS($AU$134:AU700,$AA$134:AA700,"*",$AB$134:AB700,"*")</f>
        <v>2194.0000000000045</v>
      </c>
      <c r="BV699" s="343">
        <f>SUMIFS($AU$134:AU700,$AA$134:AA700,"*",$AC$134:AC700,"*")</f>
        <v>6036.7833333333328</v>
      </c>
      <c r="BW699" s="343">
        <f>SUMIFS($AU$134:AU700,$AB$134:AB700,"*",$AC$134:AC700,"*")</f>
        <v>4046.6</v>
      </c>
      <c r="BX699" s="343">
        <f>SUMIFS($AU700:AU$1388,$Q700:Q$1388,"F")</f>
        <v>14186.133333333335</v>
      </c>
      <c r="BY699" s="343">
        <f>SUMIFS($AU700:AU$1388,$Q700:Q$1388,"S")</f>
        <v>12603.199999999999</v>
      </c>
      <c r="BZ699" s="343">
        <f>SUMIFS($AU700:AU$1388,$Q700:Q$1388,"O")</f>
        <v>-1220.1379999997707</v>
      </c>
    </row>
    <row r="700" spans="1:78" ht="15.75" customHeight="1">
      <c r="A700" s="221" t="s">
        <v>2798</v>
      </c>
      <c r="B700" s="200">
        <v>45086</v>
      </c>
      <c r="C700" s="178" t="s">
        <v>2949</v>
      </c>
      <c r="D700" s="178" t="s">
        <v>111</v>
      </c>
      <c r="E700" s="227"/>
      <c r="F700" s="180"/>
      <c r="G700" s="476" t="s">
        <v>2913</v>
      </c>
      <c r="H700" s="182"/>
      <c r="I700" s="182"/>
      <c r="J700" s="182"/>
      <c r="K700" s="183"/>
      <c r="L700" s="182">
        <v>1</v>
      </c>
      <c r="M700" s="182">
        <v>2</v>
      </c>
      <c r="N700" s="182"/>
      <c r="O700" s="183" t="s">
        <v>95</v>
      </c>
      <c r="P700" s="183" t="s">
        <v>137</v>
      </c>
      <c r="Q700" s="183" t="s">
        <v>256</v>
      </c>
      <c r="R700" s="183">
        <v>25</v>
      </c>
      <c r="S700" s="183">
        <v>17</v>
      </c>
      <c r="T700" s="183">
        <v>25</v>
      </c>
      <c r="U700" s="183" t="s">
        <v>22</v>
      </c>
      <c r="V700" s="183"/>
      <c r="W700" s="183"/>
      <c r="X700" s="183"/>
      <c r="Y700" s="184">
        <f t="shared" si="260"/>
        <v>0.01</v>
      </c>
      <c r="Z700" s="185">
        <f t="shared" si="261"/>
        <v>1600</v>
      </c>
      <c r="AA700" s="185" t="s">
        <v>2822</v>
      </c>
      <c r="AB700" s="185"/>
      <c r="AC700" s="185" t="s">
        <v>2823</v>
      </c>
      <c r="AD700" s="649">
        <v>-0.03</v>
      </c>
      <c r="AE700" s="182"/>
      <c r="AF700" s="332">
        <v>-6</v>
      </c>
      <c r="AG700" s="182"/>
      <c r="AH700" s="182" t="s">
        <v>2824</v>
      </c>
      <c r="AI700" s="182"/>
      <c r="AJ700" s="644" t="s">
        <v>2825</v>
      </c>
      <c r="AK700" s="182" t="s">
        <v>529</v>
      </c>
      <c r="AL700" s="496">
        <f t="shared" ref="AL700" si="265">-0.02*Z700</f>
        <v>-32</v>
      </c>
      <c r="AM700" s="496">
        <f>AL700*(R700-S700)</f>
        <v>-256</v>
      </c>
      <c r="AN700" s="626"/>
      <c r="AO700" s="182"/>
      <c r="AP700" s="182" t="s">
        <v>999</v>
      </c>
      <c r="AQ700" s="332" t="str">
        <f>UPPER(RIGHT(Journal_Live[[#This Row],[DURATION ]]))</f>
        <v>D</v>
      </c>
      <c r="AR700" s="182" t="s">
        <v>2950</v>
      </c>
      <c r="AS700" s="189">
        <f>((-0.02*8)+(-0.01*5)+(-0.01*12))/25</f>
        <v>-1.32E-2</v>
      </c>
      <c r="AT700" s="189">
        <f t="shared" si="262"/>
        <v>1.6799999999999999E-2</v>
      </c>
      <c r="AU700" s="187">
        <f t="shared" si="263"/>
        <v>672</v>
      </c>
      <c r="AV700" s="190">
        <f t="shared" si="264"/>
        <v>26.88</v>
      </c>
      <c r="AW700" s="191" t="s">
        <v>96</v>
      </c>
      <c r="AX700" s="407" t="s">
        <v>2951</v>
      </c>
      <c r="AY700" s="407"/>
      <c r="AZ700" s="407"/>
      <c r="BA700" s="407" t="s">
        <v>1137</v>
      </c>
      <c r="BB700" s="407"/>
      <c r="BC700" s="407"/>
      <c r="BD700" s="407"/>
      <c r="BE700" s="407"/>
      <c r="BF700" s="422"/>
      <c r="BG700" s="391">
        <f>SUM($AV$4:AV700)</f>
        <v>3615.6205064935352</v>
      </c>
      <c r="BH700" s="392">
        <f>SUM($AU$134:AU700)</f>
        <v>8821.4553333333079</v>
      </c>
      <c r="BI700" s="318">
        <f>SUMIFS($AU$134:AU701,$Q$134:Q701,"F")</f>
        <v>926.53333333333308</v>
      </c>
      <c r="BJ700" s="318">
        <f>SUMIFS($AU$134:AU701,$Q$134:Q701,"S")</f>
        <v>8500.4419999999973</v>
      </c>
      <c r="BK700" s="343">
        <f>SUMIFS($AU$134:AU701,$P$134:P701,"W")</f>
        <v>6235.7419999999347</v>
      </c>
      <c r="BL700" s="343">
        <f>SUMIFS($AU$134:AU701,$P$134:P701,"R")</f>
        <v>3012.673333333335</v>
      </c>
      <c r="BM700" s="343">
        <f>SUMIFS($AU$134:AU701,$AQ$134:AQ701,"M")</f>
        <v>2013.3999999999799</v>
      </c>
      <c r="BN700" s="343">
        <f>SUMIFS($AU$134:AU701,$AQ$134:AQ701,"H")</f>
        <v>2870.1420000000157</v>
      </c>
      <c r="BO700" s="343">
        <f>SUMIFS($AU$134:AU701,$AQ$134:AQ701,"D")</f>
        <v>1201.6899999999998</v>
      </c>
      <c r="BP700" s="343">
        <f>SUMIFS($AU$134:AU703,$AQ$134:AQ703,"W")</f>
        <v>2169.7833333333429</v>
      </c>
      <c r="BQ700" s="343">
        <f>SUMIFS($AU$134:AU701,$Q$134:Q701,"O")</f>
        <v>-428.7200000000276</v>
      </c>
      <c r="BR700" s="343">
        <f>SUMIFS($AU$134:AU701,$AA$134:AA701,"*")</f>
        <v>10065.475333333321</v>
      </c>
      <c r="BS700" s="343">
        <f>SUMIFS($AU$134:AU701,$AB$134:AB701,"*")</f>
        <v>3634.4799999999868</v>
      </c>
      <c r="BT700" s="343">
        <f>SUMIFS($AU$134:AU701,$AC$134:AC701,"*")</f>
        <v>5119.6833333333316</v>
      </c>
      <c r="BU700" s="343">
        <f>SUMIFS($AU$134:AU701,$AA$134:AA701,"*",$AB$134:AB701,"*")</f>
        <v>2194.0000000000045</v>
      </c>
      <c r="BV700" s="343">
        <f>SUMIFS($AU$134:AU701,$AA$134:AA701,"*",$AC$134:AC701,"*")</f>
        <v>6036.7833333333328</v>
      </c>
      <c r="BW700" s="343">
        <f>SUMIFS($AU$134:AU701,$AB$134:AB701,"*",$AC$134:AC701,"*")</f>
        <v>4046.6</v>
      </c>
      <c r="BX700" s="343">
        <f>SUMIFS($AU701:AU$1388,$Q701:Q$1388,"F")</f>
        <v>13514.133333333335</v>
      </c>
      <c r="BY700" s="343">
        <f>SUMIFS($AU701:AU$1388,$Q701:Q$1388,"S")</f>
        <v>12603.199999999999</v>
      </c>
      <c r="BZ700" s="343">
        <f>SUMIFS($AU701:AU$1388,$Q701:Q$1388,"O")</f>
        <v>-1220.1379999997707</v>
      </c>
    </row>
    <row r="701" spans="1:78" ht="15.75" customHeight="1">
      <c r="A701" s="221" t="s">
        <v>2798</v>
      </c>
      <c r="B701" s="200">
        <v>45086</v>
      </c>
      <c r="C701" s="178" t="s">
        <v>2952</v>
      </c>
      <c r="D701" s="178" t="s">
        <v>111</v>
      </c>
      <c r="E701" s="227"/>
      <c r="F701" s="180"/>
      <c r="G701" s="293" t="s">
        <v>2145</v>
      </c>
      <c r="H701" s="182"/>
      <c r="I701" s="182"/>
      <c r="J701" s="182"/>
      <c r="K701" s="183"/>
      <c r="L701" s="182">
        <v>1</v>
      </c>
      <c r="M701" s="182">
        <v>1</v>
      </c>
      <c r="N701" s="182"/>
      <c r="O701" s="183" t="s">
        <v>95</v>
      </c>
      <c r="P701" s="183" t="s">
        <v>96</v>
      </c>
      <c r="Q701" s="183" t="s">
        <v>97</v>
      </c>
      <c r="R701" s="183">
        <v>15</v>
      </c>
      <c r="S701" s="183">
        <v>8</v>
      </c>
      <c r="T701" s="183">
        <v>15</v>
      </c>
      <c r="U701" s="183" t="s">
        <v>22</v>
      </c>
      <c r="V701" s="183"/>
      <c r="W701" s="183"/>
      <c r="X701" s="183"/>
      <c r="Y701" s="184">
        <f t="shared" si="260"/>
        <v>0.01</v>
      </c>
      <c r="Z701" s="185">
        <f t="shared" si="261"/>
        <v>1600</v>
      </c>
      <c r="AA701" s="185"/>
      <c r="AB701" s="473" t="s">
        <v>2953</v>
      </c>
      <c r="AC701" s="185"/>
      <c r="AD701" s="649">
        <f>(-0.09*5+(-0.1*10))/15</f>
        <v>-9.6666666666666665E-2</v>
      </c>
      <c r="AE701" s="182"/>
      <c r="AF701" s="332"/>
      <c r="AG701" s="182"/>
      <c r="AH701" s="182"/>
      <c r="AI701" s="182"/>
      <c r="AJ701" s="644" t="s">
        <v>2919</v>
      </c>
      <c r="AK701" s="182" t="s">
        <v>529</v>
      </c>
      <c r="AL701" s="496">
        <f>-0.02*Z701</f>
        <v>-32</v>
      </c>
      <c r="AM701" s="496">
        <f>AL701*(R701-S701)</f>
        <v>-224</v>
      </c>
      <c r="AN701" s="626"/>
      <c r="AO701" s="182"/>
      <c r="AP701" s="182" t="s">
        <v>2954</v>
      </c>
      <c r="AQ701" s="332" t="str">
        <f>UPPER(RIGHT(Journal_Live[[#This Row],[DURATION ]]))</f>
        <v>D</v>
      </c>
      <c r="AR701" s="182" t="s">
        <v>2955</v>
      </c>
      <c r="AS701" s="189">
        <f>((-0.09*8)+(-0.08*1)+(-0.07*2)+(-0.06*3)+(-0.06))/15</f>
        <v>-7.8666666666666663E-2</v>
      </c>
      <c r="AT701" s="189">
        <f t="shared" si="262"/>
        <v>1.8000000000000002E-2</v>
      </c>
      <c r="AU701" s="187">
        <f t="shared" si="263"/>
        <v>432.00000000000006</v>
      </c>
      <c r="AV701" s="190">
        <f t="shared" si="264"/>
        <v>28.800000000000004</v>
      </c>
      <c r="AW701" s="191" t="s">
        <v>96</v>
      </c>
      <c r="AX701" s="407" t="s">
        <v>2956</v>
      </c>
      <c r="AY701" s="407"/>
      <c r="AZ701" s="407"/>
      <c r="BA701" s="407"/>
      <c r="BB701" s="407"/>
      <c r="BC701" s="407"/>
      <c r="BD701" s="407"/>
      <c r="BE701" s="407"/>
      <c r="BF701" s="422"/>
      <c r="BG701" s="391">
        <f>SUM($AV$4:AV701)</f>
        <v>3644.4205064935354</v>
      </c>
      <c r="BH701" s="392">
        <f>SUM($AU$134:AU701)</f>
        <v>9253.4553333333079</v>
      </c>
      <c r="BI701" s="318">
        <f>SUMIFS($AU$134:AU702,$Q$134:Q702,"F")</f>
        <v>926.53333333333308</v>
      </c>
      <c r="BJ701" s="318">
        <f>SUMIFS($AU$134:AU702,$Q$134:Q702,"S")</f>
        <v>8500.4419999999973</v>
      </c>
      <c r="BK701" s="343">
        <f>SUMIFS($AU$134:AU702,$P$134:P702,"W")</f>
        <v>6235.7419999999347</v>
      </c>
      <c r="BL701" s="343">
        <f>SUMIFS($AU$134:AU702,$P$134:P702,"R")</f>
        <v>3012.673333333335</v>
      </c>
      <c r="BM701" s="343">
        <f>SUMIFS($AU$134:AU702,$AQ$134:AQ702,"M")</f>
        <v>2013.3999999999799</v>
      </c>
      <c r="BN701" s="343">
        <f>SUMIFS($AU$134:AU702,$AQ$134:AQ702,"H")</f>
        <v>2870.1420000000157</v>
      </c>
      <c r="BO701" s="343">
        <f>SUMIFS($AU$134:AU702,$AQ$134:AQ702,"D")</f>
        <v>1201.6899999999998</v>
      </c>
      <c r="BP701" s="343">
        <f>SUMIFS($AU$134:AU704,$AQ$134:AQ704,"W")</f>
        <v>2169.7833333333429</v>
      </c>
      <c r="BQ701" s="343">
        <f>SUMIFS($AU$134:AU702,$Q$134:Q702,"O")</f>
        <v>-428.7200000000276</v>
      </c>
      <c r="BR701" s="343">
        <f>SUMIFS($AU$134:AU702,$AA$134:AA702,"*")</f>
        <v>10065.475333333321</v>
      </c>
      <c r="BS701" s="343">
        <f>SUMIFS($AU$134:AU702,$AB$134:AB702,"*")</f>
        <v>3634.4799999999868</v>
      </c>
      <c r="BT701" s="343">
        <f>SUMIFS($AU$134:AU702,$AC$134:AC702,"*")</f>
        <v>5119.6833333333316</v>
      </c>
      <c r="BU701" s="343">
        <f>SUMIFS($AU$134:AU702,$AA$134:AA702,"*",$AB$134:AB702,"*")</f>
        <v>2194.0000000000045</v>
      </c>
      <c r="BV701" s="343">
        <f>SUMIFS($AU$134:AU702,$AA$134:AA702,"*",$AC$134:AC702,"*")</f>
        <v>6036.7833333333328</v>
      </c>
      <c r="BW701" s="343">
        <f>SUMIFS($AU$134:AU702,$AB$134:AB702,"*",$AC$134:AC702,"*")</f>
        <v>4046.6</v>
      </c>
      <c r="BX701" s="343">
        <f>SUMIFS($AU702:AU$1388,$Q702:Q$1388,"F")</f>
        <v>13514.133333333335</v>
      </c>
      <c r="BY701" s="343">
        <f>SUMIFS($AU702:AU$1388,$Q702:Q$1388,"S")</f>
        <v>12171.2</v>
      </c>
      <c r="BZ701" s="343">
        <f>SUMIFS($AU702:AU$1388,$Q702:Q$1388,"O")</f>
        <v>-1220.1379999997707</v>
      </c>
    </row>
    <row r="702" spans="1:78" ht="15.75" customHeight="1">
      <c r="A702" s="221" t="s">
        <v>2798</v>
      </c>
      <c r="B702" s="200">
        <v>45090</v>
      </c>
      <c r="C702" s="178" t="s">
        <v>1714</v>
      </c>
      <c r="D702" s="178" t="s">
        <v>146</v>
      </c>
      <c r="E702" s="227" t="s">
        <v>2957</v>
      </c>
      <c r="F702" s="180" t="s">
        <v>343</v>
      </c>
      <c r="G702" s="181"/>
      <c r="H702" s="182"/>
      <c r="I702" s="182">
        <v>1</v>
      </c>
      <c r="J702" s="182"/>
      <c r="K702" s="183"/>
      <c r="L702" s="182"/>
      <c r="M702" s="182"/>
      <c r="N702" s="182"/>
      <c r="O702" s="183"/>
      <c r="P702" s="183"/>
      <c r="Q702" s="183"/>
      <c r="R702" s="183"/>
      <c r="S702" s="183"/>
      <c r="T702" s="183"/>
      <c r="U702" s="183"/>
      <c r="V702" s="183"/>
      <c r="W702" s="183"/>
      <c r="X702" s="183"/>
      <c r="Y702" s="183"/>
      <c r="Z702" s="183"/>
      <c r="AA702" s="185"/>
      <c r="AB702" s="185"/>
      <c r="AC702" s="185"/>
      <c r="AD702" s="649"/>
      <c r="AE702" s="182"/>
      <c r="AF702" s="332"/>
      <c r="AG702" s="182"/>
      <c r="AH702" s="182"/>
      <c r="AI702" s="182"/>
      <c r="AJ702" s="640"/>
      <c r="AK702" s="182"/>
      <c r="AL702" s="496"/>
      <c r="AM702" s="496"/>
      <c r="AN702" s="626"/>
      <c r="AO702" s="182"/>
      <c r="AP702" s="182"/>
      <c r="AQ702" s="332" t="str">
        <f>UPPER(RIGHT(Journal_Live[[#This Row],[DURATION ]]))</f>
        <v/>
      </c>
      <c r="AR702" s="182"/>
      <c r="AS702" s="189"/>
      <c r="AT702" s="189"/>
      <c r="AU702" s="187"/>
      <c r="AV702" s="190"/>
      <c r="AW702" s="191"/>
      <c r="AX702" s="407"/>
      <c r="AY702" s="407"/>
      <c r="AZ702" s="407"/>
      <c r="BA702" s="407"/>
      <c r="BB702" s="407"/>
      <c r="BC702" s="407"/>
      <c r="BD702" s="407"/>
      <c r="BE702" s="407"/>
      <c r="BF702" s="422"/>
      <c r="BG702" s="391">
        <f>SUM($AV$4:AV702)</f>
        <v>3644.4205064935354</v>
      </c>
      <c r="BH702" s="392">
        <f>SUM($AU$134:AU702)</f>
        <v>9253.4553333333079</v>
      </c>
      <c r="BI702" s="318">
        <f>SUMIFS($AU$134:AU703,$Q$134:Q703,"F")</f>
        <v>926.53333333333308</v>
      </c>
      <c r="BJ702" s="318">
        <f>SUMIFS($AU$134:AU703,$Q$134:Q703,"S")</f>
        <v>8500.4419999999973</v>
      </c>
      <c r="BK702" s="343">
        <f>SUMIFS($AU$134:AU703,$P$134:P703,"W")</f>
        <v>6235.7419999999347</v>
      </c>
      <c r="BL702" s="343">
        <f>SUMIFS($AU$134:AU703,$P$134:P703,"R")</f>
        <v>3012.673333333335</v>
      </c>
      <c r="BM702" s="343">
        <f>SUMIFS($AU$134:AU703,$AQ$134:AQ703,"M")</f>
        <v>2013.3999999999799</v>
      </c>
      <c r="BN702" s="343">
        <f>SUMIFS($AU$134:AU703,$AQ$134:AQ703,"H")</f>
        <v>2870.1420000000157</v>
      </c>
      <c r="BO702" s="343">
        <f>SUMIFS($AU$134:AU703,$AQ$134:AQ703,"D")</f>
        <v>1201.6899999999998</v>
      </c>
      <c r="BP702" s="343">
        <f>SUMIFS($AU$134:AU705,$AQ$134:AQ705,"W")</f>
        <v>2169.7833333333429</v>
      </c>
      <c r="BQ702" s="343">
        <f>SUMIFS($AU$134:AU703,$Q$134:Q703,"O")</f>
        <v>-428.7200000000276</v>
      </c>
      <c r="BR702" s="343">
        <f>SUMIFS($AU$134:AU703,$AA$134:AA703,"*")</f>
        <v>10065.475333333321</v>
      </c>
      <c r="BS702" s="343">
        <f>SUMIFS($AU$134:AU703,$AB$134:AB703,"*")</f>
        <v>3634.4799999999868</v>
      </c>
      <c r="BT702" s="343">
        <f>SUMIFS($AU$134:AU703,$AC$134:AC703,"*")</f>
        <v>5119.6833333333316</v>
      </c>
      <c r="BU702" s="343">
        <f>SUMIFS($AU$134:AU703,$AA$134:AA703,"*",$AB$134:AB703,"*")</f>
        <v>2194.0000000000045</v>
      </c>
      <c r="BV702" s="343">
        <f>SUMIFS($AU$134:AU703,$AA$134:AA703,"*",$AC$134:AC703,"*")</f>
        <v>6036.7833333333328</v>
      </c>
      <c r="BW702" s="343">
        <f>SUMIFS($AU$134:AU703,$AB$134:AB703,"*",$AC$134:AC703,"*")</f>
        <v>4046.6</v>
      </c>
      <c r="BX702" s="343">
        <f>SUMIFS($AU703:AU$1388,$Q703:Q$1388,"F")</f>
        <v>13514.133333333335</v>
      </c>
      <c r="BY702" s="343">
        <f>SUMIFS($AU703:AU$1388,$Q703:Q$1388,"S")</f>
        <v>12171.2</v>
      </c>
      <c r="BZ702" s="343">
        <f>SUMIFS($AU703:AU$1388,$Q703:Q$1388,"O")</f>
        <v>-1220.1379999997707</v>
      </c>
    </row>
    <row r="703" spans="1:78" ht="15.75" customHeight="1">
      <c r="A703" s="221" t="s">
        <v>2798</v>
      </c>
      <c r="B703" s="200"/>
      <c r="C703" s="178"/>
      <c r="D703" s="178"/>
      <c r="E703" s="227" t="s">
        <v>2958</v>
      </c>
      <c r="F703" s="180"/>
      <c r="G703" s="181"/>
      <c r="H703" s="182"/>
      <c r="I703" s="182"/>
      <c r="J703" s="182">
        <v>1</v>
      </c>
      <c r="K703" s="183" t="s">
        <v>115</v>
      </c>
      <c r="L703" s="182"/>
      <c r="M703" s="182"/>
      <c r="N703" s="182"/>
      <c r="O703" s="183"/>
      <c r="P703" s="183"/>
      <c r="Q703" s="183"/>
      <c r="R703" s="183"/>
      <c r="S703" s="183"/>
      <c r="T703" s="183"/>
      <c r="U703" s="183"/>
      <c r="V703" s="183"/>
      <c r="W703" s="183"/>
      <c r="X703" s="183"/>
      <c r="Y703" s="183"/>
      <c r="Z703" s="183"/>
      <c r="AA703" s="185"/>
      <c r="AB703" s="185"/>
      <c r="AC703" s="185"/>
      <c r="AD703" s="649"/>
      <c r="AE703" s="182"/>
      <c r="AF703" s="332"/>
      <c r="AG703" s="182"/>
      <c r="AH703" s="182"/>
      <c r="AI703" s="182"/>
      <c r="AJ703" s="640"/>
      <c r="AK703" s="182"/>
      <c r="AL703" s="496"/>
      <c r="AM703" s="496"/>
      <c r="AN703" s="626"/>
      <c r="AO703" s="182"/>
      <c r="AP703" s="182"/>
      <c r="AQ703" s="332" t="str">
        <f>UPPER(RIGHT(Journal_Live[[#This Row],[DURATION ]]))</f>
        <v/>
      </c>
      <c r="AR703" s="182"/>
      <c r="AS703" s="189"/>
      <c r="AT703" s="189"/>
      <c r="AU703" s="187"/>
      <c r="AV703" s="190"/>
      <c r="AW703" s="191"/>
      <c r="AX703" s="407"/>
      <c r="AY703" s="407"/>
      <c r="AZ703" s="407"/>
      <c r="BA703" s="407"/>
      <c r="BB703" s="407"/>
      <c r="BC703" s="407"/>
      <c r="BD703" s="407"/>
      <c r="BE703" s="407"/>
      <c r="BF703" s="422"/>
      <c r="BG703" s="391">
        <f>SUM($AV$4:AV703)</f>
        <v>3644.4205064935354</v>
      </c>
      <c r="BH703" s="392">
        <f>SUM($AU$134:AU703)</f>
        <v>9253.4553333333079</v>
      </c>
      <c r="BI703" s="318">
        <f>SUMIFS($AU$134:AU704,$Q$134:Q704,"F")</f>
        <v>926.53333333333308</v>
      </c>
      <c r="BJ703" s="318">
        <f>SUMIFS($AU$134:AU704,$Q$134:Q704,"S")</f>
        <v>8500.4419999999973</v>
      </c>
      <c r="BK703" s="343">
        <f>SUMIFS($AU$134:AU704,$P$134:P704,"W")</f>
        <v>6235.7419999999347</v>
      </c>
      <c r="BL703" s="343">
        <f>SUMIFS($AU$134:AU704,$P$134:P704,"R")</f>
        <v>3012.673333333335</v>
      </c>
      <c r="BM703" s="343">
        <f>SUMIFS($AU$134:AU704,$AQ$134:AQ704,"M")</f>
        <v>2013.3999999999799</v>
      </c>
      <c r="BN703" s="343">
        <f>SUMIFS($AU$134:AU704,$AQ$134:AQ704,"H")</f>
        <v>2870.1420000000157</v>
      </c>
      <c r="BO703" s="343">
        <f>SUMIFS($AU$134:AU704,$AQ$134:AQ704,"D")</f>
        <v>1201.6899999999998</v>
      </c>
      <c r="BP703" s="343">
        <f>SUMIFS($AU$134:AU706,$AQ$134:AQ706,"W")</f>
        <v>2169.7833333333429</v>
      </c>
      <c r="BQ703" s="343">
        <f>SUMIFS($AU$134:AU704,$Q$134:Q704,"O")</f>
        <v>-428.7200000000276</v>
      </c>
      <c r="BR703" s="343">
        <f>SUMIFS($AU$134:AU704,$AA$134:AA704,"*")</f>
        <v>10065.475333333321</v>
      </c>
      <c r="BS703" s="343">
        <f>SUMIFS($AU$134:AU704,$AB$134:AB704,"*")</f>
        <v>3634.4799999999868</v>
      </c>
      <c r="BT703" s="343">
        <f>SUMIFS($AU$134:AU704,$AC$134:AC704,"*")</f>
        <v>5119.6833333333316</v>
      </c>
      <c r="BU703" s="343">
        <f>SUMIFS($AU$134:AU704,$AA$134:AA704,"*",$AB$134:AB704,"*")</f>
        <v>2194.0000000000045</v>
      </c>
      <c r="BV703" s="343">
        <f>SUMIFS($AU$134:AU704,$AA$134:AA704,"*",$AC$134:AC704,"*")</f>
        <v>6036.7833333333328</v>
      </c>
      <c r="BW703" s="343">
        <f>SUMIFS($AU$134:AU704,$AB$134:AB704,"*",$AC$134:AC704,"*")</f>
        <v>4046.6</v>
      </c>
      <c r="BX703" s="343">
        <f>SUMIFS($AU704:AU$1388,$Q704:Q$1388,"F")</f>
        <v>13514.133333333335</v>
      </c>
      <c r="BY703" s="343">
        <f>SUMIFS($AU704:AU$1388,$Q704:Q$1388,"S")</f>
        <v>12171.2</v>
      </c>
      <c r="BZ703" s="343">
        <f>SUMIFS($AU704:AU$1388,$Q704:Q$1388,"O")</f>
        <v>-1220.1379999997707</v>
      </c>
    </row>
    <row r="704" spans="1:78" ht="15.75" customHeight="1">
      <c r="A704" s="221" t="s">
        <v>2798</v>
      </c>
      <c r="B704" s="200"/>
      <c r="C704" s="178"/>
      <c r="D704" s="178"/>
      <c r="E704" s="227" t="s">
        <v>2959</v>
      </c>
      <c r="F704" s="180"/>
      <c r="G704" s="181"/>
      <c r="H704" s="182"/>
      <c r="I704" s="182"/>
      <c r="J704" s="182">
        <v>1</v>
      </c>
      <c r="K704" s="183" t="s">
        <v>115</v>
      </c>
      <c r="L704" s="182"/>
      <c r="M704" s="182"/>
      <c r="N704" s="182"/>
      <c r="O704" s="183"/>
      <c r="P704" s="183"/>
      <c r="Q704" s="183"/>
      <c r="R704" s="183"/>
      <c r="S704" s="183"/>
      <c r="T704" s="183"/>
      <c r="U704" s="183"/>
      <c r="V704" s="183"/>
      <c r="W704" s="183"/>
      <c r="X704" s="183"/>
      <c r="Y704" s="183"/>
      <c r="Z704" s="183"/>
      <c r="AA704" s="185"/>
      <c r="AB704" s="185"/>
      <c r="AC704" s="185"/>
      <c r="AD704" s="649"/>
      <c r="AE704" s="182"/>
      <c r="AF704" s="332"/>
      <c r="AG704" s="182"/>
      <c r="AH704" s="182"/>
      <c r="AI704" s="182"/>
      <c r="AJ704" s="640"/>
      <c r="AK704" s="182"/>
      <c r="AL704" s="496"/>
      <c r="AM704" s="496"/>
      <c r="AN704" s="626"/>
      <c r="AO704" s="182"/>
      <c r="AP704" s="182"/>
      <c r="AQ704" s="332" t="str">
        <f>UPPER(RIGHT(Journal_Live[[#This Row],[DURATION ]]))</f>
        <v/>
      </c>
      <c r="AR704" s="182"/>
      <c r="AS704" s="189"/>
      <c r="AT704" s="189"/>
      <c r="AU704" s="187"/>
      <c r="AV704" s="190"/>
      <c r="AW704" s="191"/>
      <c r="AX704" s="407"/>
      <c r="AY704" s="407"/>
      <c r="AZ704" s="407"/>
      <c r="BA704" s="407"/>
      <c r="BB704" s="407"/>
      <c r="BC704" s="407"/>
      <c r="BD704" s="407"/>
      <c r="BE704" s="407"/>
      <c r="BF704" s="422"/>
      <c r="BG704" s="391">
        <f>SUM($AV$4:AV704)</f>
        <v>3644.4205064935354</v>
      </c>
      <c r="BH704" s="392">
        <f>SUM($AU$134:AU704)</f>
        <v>9253.4553333333079</v>
      </c>
      <c r="BI704" s="318">
        <f>SUMIFS($AU$134:AU705,$Q$134:Q705,"F")</f>
        <v>926.53333333333308</v>
      </c>
      <c r="BJ704" s="318">
        <f>SUMIFS($AU$134:AU705,$Q$134:Q705,"S")</f>
        <v>8500.4419999999973</v>
      </c>
      <c r="BK704" s="343">
        <f>SUMIFS($AU$134:AU705,$P$134:P705,"W")</f>
        <v>6235.7419999999347</v>
      </c>
      <c r="BL704" s="343">
        <f>SUMIFS($AU$134:AU705,$P$134:P705,"R")</f>
        <v>3012.673333333335</v>
      </c>
      <c r="BM704" s="343">
        <f>SUMIFS($AU$134:AU705,$AQ$134:AQ705,"M")</f>
        <v>2013.3999999999799</v>
      </c>
      <c r="BN704" s="343">
        <f>SUMIFS($AU$134:AU705,$AQ$134:AQ705,"H")</f>
        <v>2870.1420000000157</v>
      </c>
      <c r="BO704" s="343">
        <f>SUMIFS($AU$134:AU705,$AQ$134:AQ705,"D")</f>
        <v>1201.6899999999998</v>
      </c>
      <c r="BP704" s="343">
        <f>SUMIFS($AU$134:AU707,$AQ$134:AQ707,"W")</f>
        <v>2169.7833333333429</v>
      </c>
      <c r="BQ704" s="343">
        <f>SUMIFS($AU$134:AU705,$Q$134:Q705,"O")</f>
        <v>-428.7200000000276</v>
      </c>
      <c r="BR704" s="343">
        <f>SUMIFS($AU$134:AU705,$AA$134:AA705,"*")</f>
        <v>10065.475333333321</v>
      </c>
      <c r="BS704" s="343">
        <f>SUMIFS($AU$134:AU705,$AB$134:AB705,"*")</f>
        <v>3634.4799999999868</v>
      </c>
      <c r="BT704" s="343">
        <f>SUMIFS($AU$134:AU705,$AC$134:AC705,"*")</f>
        <v>5119.6833333333316</v>
      </c>
      <c r="BU704" s="343">
        <f>SUMIFS($AU$134:AU705,$AA$134:AA705,"*",$AB$134:AB705,"*")</f>
        <v>2194.0000000000045</v>
      </c>
      <c r="BV704" s="343">
        <f>SUMIFS($AU$134:AU705,$AA$134:AA705,"*",$AC$134:AC705,"*")</f>
        <v>6036.7833333333328</v>
      </c>
      <c r="BW704" s="343">
        <f>SUMIFS($AU$134:AU705,$AB$134:AB705,"*",$AC$134:AC705,"*")</f>
        <v>4046.6</v>
      </c>
      <c r="BX704" s="343">
        <f>SUMIFS($AU705:AU$1388,$Q705:Q$1388,"F")</f>
        <v>13514.133333333335</v>
      </c>
      <c r="BY704" s="343">
        <f>SUMIFS($AU705:AU$1388,$Q705:Q$1388,"S")</f>
        <v>12171.2</v>
      </c>
      <c r="BZ704" s="343">
        <f>SUMIFS($AU705:AU$1388,$Q705:Q$1388,"O")</f>
        <v>-1220.1379999997707</v>
      </c>
    </row>
    <row r="705" spans="1:78" ht="15.75" customHeight="1">
      <c r="A705" s="221" t="s">
        <v>2798</v>
      </c>
      <c r="B705" s="200">
        <v>45090</v>
      </c>
      <c r="C705" s="178" t="s">
        <v>682</v>
      </c>
      <c r="D705" s="178" t="s">
        <v>146</v>
      </c>
      <c r="E705" s="227"/>
      <c r="F705" s="180"/>
      <c r="G705" s="181" t="s">
        <v>136</v>
      </c>
      <c r="H705" s="182"/>
      <c r="I705" s="182"/>
      <c r="J705" s="182"/>
      <c r="K705" s="183"/>
      <c r="L705" s="182"/>
      <c r="M705" s="182"/>
      <c r="N705" s="182"/>
      <c r="O705" s="183"/>
      <c r="P705" s="183"/>
      <c r="Q705" s="183"/>
      <c r="R705" s="183"/>
      <c r="S705" s="183"/>
      <c r="T705" s="183"/>
      <c r="U705" s="183"/>
      <c r="V705" s="183"/>
      <c r="W705" s="183"/>
      <c r="X705" s="183"/>
      <c r="Y705" s="184"/>
      <c r="Z705" s="185"/>
      <c r="AA705" s="185"/>
      <c r="AB705" s="185"/>
      <c r="AC705" s="185"/>
      <c r="AD705" s="649"/>
      <c r="AE705" s="182"/>
      <c r="AF705" s="332"/>
      <c r="AG705" s="182"/>
      <c r="AH705" s="182"/>
      <c r="AI705" s="182"/>
      <c r="AJ705" s="640"/>
      <c r="AK705" s="182"/>
      <c r="AL705" s="496"/>
      <c r="AM705" s="496"/>
      <c r="AN705" s="626"/>
      <c r="AO705" s="182"/>
      <c r="AP705" s="182"/>
      <c r="AQ705" s="332" t="str">
        <f>UPPER(RIGHT(Journal_Live[[#This Row],[DURATION ]]))</f>
        <v/>
      </c>
      <c r="AR705" s="182"/>
      <c r="AS705" s="189"/>
      <c r="AT705" s="189"/>
      <c r="AU705" s="187"/>
      <c r="AV705" s="190"/>
      <c r="AW705" s="191"/>
      <c r="AX705" s="407"/>
      <c r="AY705" s="407"/>
      <c r="AZ705" s="407"/>
      <c r="BA705" s="407"/>
      <c r="BB705" s="407"/>
      <c r="BC705" s="407"/>
      <c r="BD705" s="407"/>
      <c r="BE705" s="407"/>
      <c r="BF705" s="422"/>
      <c r="BG705" s="391">
        <f>SUM($AV$4:AV705)</f>
        <v>3644.4205064935354</v>
      </c>
      <c r="BH705" s="392">
        <f>SUM($AU$134:AU705)</f>
        <v>9253.4553333333079</v>
      </c>
      <c r="BI705" s="318">
        <f>SUMIFS($AU$134:AU706,$Q$134:Q706,"F")</f>
        <v>926.53333333333308</v>
      </c>
      <c r="BJ705" s="318">
        <f>SUMIFS($AU$134:AU706,$Q$134:Q706,"S")</f>
        <v>8500.4419999999973</v>
      </c>
      <c r="BK705" s="343">
        <f>SUMIFS($AU$134:AU706,$P$134:P706,"W")</f>
        <v>6235.7419999999347</v>
      </c>
      <c r="BL705" s="343">
        <f>SUMIFS($AU$134:AU706,$P$134:P706,"R")</f>
        <v>3012.673333333335</v>
      </c>
      <c r="BM705" s="343">
        <f>SUMIFS($AU$134:AU706,$AQ$134:AQ706,"M")</f>
        <v>2013.3999999999799</v>
      </c>
      <c r="BN705" s="343">
        <f>SUMIFS($AU$134:AU706,$AQ$134:AQ706,"H")</f>
        <v>2870.1420000000157</v>
      </c>
      <c r="BO705" s="343">
        <f>SUMIFS($AU$134:AU706,$AQ$134:AQ706,"D")</f>
        <v>1201.6899999999998</v>
      </c>
      <c r="BP705" s="343">
        <f>SUMIFS($AU$134:AU708,$AQ$134:AQ708,"W")</f>
        <v>2169.7833333333429</v>
      </c>
      <c r="BQ705" s="343">
        <f>SUMIFS($AU$134:AU706,$Q$134:Q706,"O")</f>
        <v>-428.7200000000276</v>
      </c>
      <c r="BR705" s="343">
        <f>SUMIFS($AU$134:AU706,$AA$134:AA706,"*")</f>
        <v>10065.475333333321</v>
      </c>
      <c r="BS705" s="343">
        <f>SUMIFS($AU$134:AU706,$AB$134:AB706,"*")</f>
        <v>3634.4799999999868</v>
      </c>
      <c r="BT705" s="343">
        <f>SUMIFS($AU$134:AU706,$AC$134:AC706,"*")</f>
        <v>5119.6833333333316</v>
      </c>
      <c r="BU705" s="343">
        <f>SUMIFS($AU$134:AU706,$AA$134:AA706,"*",$AB$134:AB706,"*")</f>
        <v>2194.0000000000045</v>
      </c>
      <c r="BV705" s="343">
        <f>SUMIFS($AU$134:AU706,$AA$134:AA706,"*",$AC$134:AC706,"*")</f>
        <v>6036.7833333333328</v>
      </c>
      <c r="BW705" s="343">
        <f>SUMIFS($AU$134:AU706,$AB$134:AB706,"*",$AC$134:AC706,"*")</f>
        <v>4046.6</v>
      </c>
      <c r="BX705" s="343">
        <f>SUMIFS($AU706:AU$1388,$Q706:Q$1388,"F")</f>
        <v>13514.133333333335</v>
      </c>
      <c r="BY705" s="343">
        <f>SUMIFS($AU706:AU$1388,$Q706:Q$1388,"S")</f>
        <v>12171.2</v>
      </c>
      <c r="BZ705" s="343">
        <f>SUMIFS($AU706:AU$1388,$Q706:Q$1388,"O")</f>
        <v>-1220.1379999997707</v>
      </c>
    </row>
    <row r="706" spans="1:78" ht="15.75" customHeight="1">
      <c r="A706" s="221" t="s">
        <v>2798</v>
      </c>
      <c r="B706" s="200">
        <v>45091</v>
      </c>
      <c r="C706" s="178" t="s">
        <v>2960</v>
      </c>
      <c r="D706" s="178" t="s">
        <v>151</v>
      </c>
      <c r="E706" s="227" t="s">
        <v>2961</v>
      </c>
      <c r="F706" s="180" t="s">
        <v>2962</v>
      </c>
      <c r="G706" s="181"/>
      <c r="H706" s="182"/>
      <c r="I706" s="182"/>
      <c r="J706" s="182"/>
      <c r="K706" s="183"/>
      <c r="L706" s="182"/>
      <c r="M706" s="182"/>
      <c r="N706" s="182"/>
      <c r="O706" s="183"/>
      <c r="P706" s="183"/>
      <c r="Q706" s="183"/>
      <c r="R706" s="183"/>
      <c r="S706" s="183"/>
      <c r="T706" s="183"/>
      <c r="U706" s="183"/>
      <c r="V706" s="183"/>
      <c r="W706" s="183"/>
      <c r="X706" s="183"/>
      <c r="Y706" s="183"/>
      <c r="Z706" s="183"/>
      <c r="AA706" s="185"/>
      <c r="AB706" s="185"/>
      <c r="AC706" s="185"/>
      <c r="AD706" s="649"/>
      <c r="AE706" s="182"/>
      <c r="AF706" s="332"/>
      <c r="AG706" s="182"/>
      <c r="AH706" s="182"/>
      <c r="AI706" s="182"/>
      <c r="AJ706" s="640"/>
      <c r="AK706" s="182"/>
      <c r="AL706" s="496"/>
      <c r="AM706" s="496"/>
      <c r="AN706" s="626"/>
      <c r="AO706" s="182"/>
      <c r="AP706" s="182"/>
      <c r="AQ706" s="332" t="str">
        <f>UPPER(RIGHT(Journal_Live[[#This Row],[DURATION ]]))</f>
        <v/>
      </c>
      <c r="AR706" s="182"/>
      <c r="AS706" s="189"/>
      <c r="AT706" s="189"/>
      <c r="AU706" s="187"/>
      <c r="AV706" s="190"/>
      <c r="AW706" s="191"/>
      <c r="AX706" s="407"/>
      <c r="AY706" s="407"/>
      <c r="AZ706" s="407"/>
      <c r="BA706" s="407"/>
      <c r="BB706" s="407"/>
      <c r="BC706" s="407"/>
      <c r="BD706" s="407"/>
      <c r="BE706" s="407"/>
      <c r="BF706" s="422"/>
      <c r="BG706" s="391">
        <f>SUM($AV$4:AV706)</f>
        <v>3644.4205064935354</v>
      </c>
      <c r="BH706" s="392">
        <f>SUM($AU$134:AU706)</f>
        <v>9253.4553333333079</v>
      </c>
      <c r="BI706" s="318">
        <f>SUMIFS($AU$134:AU707,$Q$134:Q707,"F")</f>
        <v>926.53333333333308</v>
      </c>
      <c r="BJ706" s="318">
        <f>SUMIFS($AU$134:AU707,$Q$134:Q707,"S")</f>
        <v>8500.4419999999973</v>
      </c>
      <c r="BK706" s="343">
        <f>SUMIFS($AU$134:AU707,$P$134:P707,"W")</f>
        <v>6235.7419999999347</v>
      </c>
      <c r="BL706" s="343">
        <f>SUMIFS($AU$134:AU707,$P$134:P707,"R")</f>
        <v>3012.673333333335</v>
      </c>
      <c r="BM706" s="343">
        <f>SUMIFS($AU$134:AU707,$AQ$134:AQ707,"M")</f>
        <v>2013.3999999999799</v>
      </c>
      <c r="BN706" s="343">
        <f>SUMIFS($AU$134:AU707,$AQ$134:AQ707,"H")</f>
        <v>2870.1420000000157</v>
      </c>
      <c r="BO706" s="343">
        <f>SUMIFS($AU$134:AU707,$AQ$134:AQ707,"D")</f>
        <v>1201.6899999999998</v>
      </c>
      <c r="BP706" s="343">
        <f>SUMIFS($AU$134:AU709,$AQ$134:AQ709,"W")</f>
        <v>2169.7833333333429</v>
      </c>
      <c r="BQ706" s="343">
        <f>SUMIFS($AU$134:AU707,$Q$134:Q707,"O")</f>
        <v>-428.7200000000276</v>
      </c>
      <c r="BR706" s="343">
        <f>SUMIFS($AU$134:AU707,$AA$134:AA707,"*")</f>
        <v>10065.475333333321</v>
      </c>
      <c r="BS706" s="343">
        <f>SUMIFS($AU$134:AU707,$AB$134:AB707,"*")</f>
        <v>3634.4799999999868</v>
      </c>
      <c r="BT706" s="343">
        <f>SUMIFS($AU$134:AU707,$AC$134:AC707,"*")</f>
        <v>5119.6833333333316</v>
      </c>
      <c r="BU706" s="343">
        <f>SUMIFS($AU$134:AU707,$AA$134:AA707,"*",$AB$134:AB707,"*")</f>
        <v>2194.0000000000045</v>
      </c>
      <c r="BV706" s="343">
        <f>SUMIFS($AU$134:AU707,$AA$134:AA707,"*",$AC$134:AC707,"*")</f>
        <v>6036.7833333333328</v>
      </c>
      <c r="BW706" s="343">
        <f>SUMIFS($AU$134:AU707,$AB$134:AB707,"*",$AC$134:AC707,"*")</f>
        <v>4046.6</v>
      </c>
      <c r="BX706" s="343">
        <f>SUMIFS($AU707:AU$1388,$Q707:Q$1388,"F")</f>
        <v>13514.133333333335</v>
      </c>
      <c r="BY706" s="343">
        <f>SUMIFS($AU707:AU$1388,$Q707:Q$1388,"S")</f>
        <v>12171.2</v>
      </c>
      <c r="BZ706" s="343">
        <f>SUMIFS($AU707:AU$1388,$Q707:Q$1388,"O")</f>
        <v>-1220.1379999997707</v>
      </c>
    </row>
    <row r="707" spans="1:78" ht="15.75" customHeight="1">
      <c r="A707" s="221" t="s">
        <v>2798</v>
      </c>
      <c r="B707" s="200"/>
      <c r="C707" s="178"/>
      <c r="D707" s="178"/>
      <c r="E707" s="227" t="s">
        <v>2963</v>
      </c>
      <c r="F707" s="180"/>
      <c r="G707" s="181"/>
      <c r="H707" s="182"/>
      <c r="I707" s="182"/>
      <c r="J707" s="182"/>
      <c r="K707" s="183" t="s">
        <v>372</v>
      </c>
      <c r="L707" s="182"/>
      <c r="M707" s="182"/>
      <c r="N707" s="182"/>
      <c r="O707" s="183"/>
      <c r="P707" s="183"/>
      <c r="Q707" s="183"/>
      <c r="R707" s="183"/>
      <c r="S707" s="183"/>
      <c r="T707" s="183"/>
      <c r="U707" s="183"/>
      <c r="V707" s="183"/>
      <c r="W707" s="183"/>
      <c r="X707" s="183"/>
      <c r="Y707" s="183"/>
      <c r="Z707" s="183"/>
      <c r="AA707" s="185"/>
      <c r="AB707" s="185"/>
      <c r="AC707" s="185"/>
      <c r="AD707" s="649"/>
      <c r="AE707" s="182"/>
      <c r="AF707" s="332"/>
      <c r="AG707" s="182"/>
      <c r="AH707" s="182"/>
      <c r="AI707" s="182"/>
      <c r="AJ707" s="640"/>
      <c r="AK707" s="182"/>
      <c r="AL707" s="496"/>
      <c r="AM707" s="496"/>
      <c r="AN707" s="626"/>
      <c r="AO707" s="182"/>
      <c r="AP707" s="182"/>
      <c r="AQ707" s="332" t="str">
        <f>UPPER(RIGHT(Journal_Live[[#This Row],[DURATION ]]))</f>
        <v/>
      </c>
      <c r="AR707" s="182"/>
      <c r="AS707" s="189"/>
      <c r="AT707" s="189"/>
      <c r="AU707" s="187"/>
      <c r="AV707" s="190"/>
      <c r="AW707" s="191"/>
      <c r="AX707" s="407"/>
      <c r="AY707" s="407"/>
      <c r="AZ707" s="407"/>
      <c r="BA707" s="407"/>
      <c r="BB707" s="407"/>
      <c r="BC707" s="407"/>
      <c r="BD707" s="407"/>
      <c r="BE707" s="407"/>
      <c r="BF707" s="422"/>
      <c r="BG707" s="391">
        <f>SUM($AV$4:AV707)</f>
        <v>3644.4205064935354</v>
      </c>
      <c r="BH707" s="392">
        <f>SUM($AU$134:AU707)</f>
        <v>9253.4553333333079</v>
      </c>
      <c r="BI707" s="318">
        <f>SUMIFS($AU$134:AU708,$Q$134:Q708,"F")</f>
        <v>926.53333333333308</v>
      </c>
      <c r="BJ707" s="318">
        <f>SUMIFS($AU$134:AU708,$Q$134:Q708,"S")</f>
        <v>8532.4419999999973</v>
      </c>
      <c r="BK707" s="343">
        <f>SUMIFS($AU$134:AU708,$P$134:P708,"W")</f>
        <v>6267.7419999999347</v>
      </c>
      <c r="BL707" s="343">
        <f>SUMIFS($AU$134:AU708,$P$134:P708,"R")</f>
        <v>3012.673333333335</v>
      </c>
      <c r="BM707" s="343">
        <f>SUMIFS($AU$134:AU708,$AQ$134:AQ708,"M")</f>
        <v>2013.3999999999799</v>
      </c>
      <c r="BN707" s="343">
        <f>SUMIFS($AU$134:AU708,$AQ$134:AQ708,"H")</f>
        <v>2902.1420000000157</v>
      </c>
      <c r="BO707" s="343">
        <f>SUMIFS($AU$134:AU708,$AQ$134:AQ708,"D")</f>
        <v>1201.6899999999998</v>
      </c>
      <c r="BP707" s="343">
        <f>SUMIFS($AU$134:AU710,$AQ$134:AQ710,"W")</f>
        <v>2169.7833333333429</v>
      </c>
      <c r="BQ707" s="343">
        <f>SUMIFS($AU$134:AU708,$Q$134:Q708,"O")</f>
        <v>-428.7200000000276</v>
      </c>
      <c r="BR707" s="343">
        <f>SUMIFS($AU$134:AU708,$AA$134:AA708,"*")</f>
        <v>10097.475333333321</v>
      </c>
      <c r="BS707" s="343">
        <f>SUMIFS($AU$134:AU708,$AB$134:AB708,"*")</f>
        <v>3666.4799999999868</v>
      </c>
      <c r="BT707" s="343">
        <f>SUMIFS($AU$134:AU708,$AC$134:AC708,"*")</f>
        <v>5119.6833333333316</v>
      </c>
      <c r="BU707" s="343">
        <f>SUMIFS($AU$134:AU708,$AA$134:AA708,"*",$AB$134:AB708,"*")</f>
        <v>2226.0000000000045</v>
      </c>
      <c r="BV707" s="343">
        <f>SUMIFS($AU$134:AU708,$AA$134:AA708,"*",$AC$134:AC708,"*")</f>
        <v>6036.7833333333328</v>
      </c>
      <c r="BW707" s="343">
        <f>SUMIFS($AU$134:AU708,$AB$134:AB708,"*",$AC$134:AC708,"*")</f>
        <v>4046.6</v>
      </c>
      <c r="BX707" s="343">
        <f>SUMIFS($AU708:AU$1388,$Q708:Q$1388,"F")</f>
        <v>13514.133333333335</v>
      </c>
      <c r="BY707" s="343">
        <f>SUMIFS($AU708:AU$1388,$Q708:Q$1388,"S")</f>
        <v>12171.2</v>
      </c>
      <c r="BZ707" s="343">
        <f>SUMIFS($AU708:AU$1388,$Q708:Q$1388,"O")</f>
        <v>-1220.1379999997707</v>
      </c>
    </row>
    <row r="708" spans="1:78" ht="15.75" customHeight="1">
      <c r="A708" s="221" t="s">
        <v>2798</v>
      </c>
      <c r="B708" s="200">
        <v>45091</v>
      </c>
      <c r="C708" s="178" t="s">
        <v>682</v>
      </c>
      <c r="D708" s="178" t="s">
        <v>151</v>
      </c>
      <c r="E708" s="227"/>
      <c r="F708" s="180"/>
      <c r="G708" s="281" t="s">
        <v>181</v>
      </c>
      <c r="H708" s="182"/>
      <c r="I708" s="182"/>
      <c r="J708" s="182"/>
      <c r="K708" s="183"/>
      <c r="L708" s="182">
        <v>1</v>
      </c>
      <c r="M708" s="182"/>
      <c r="N708" s="182"/>
      <c r="O708" s="183" t="s">
        <v>95</v>
      </c>
      <c r="P708" s="183" t="s">
        <v>96</v>
      </c>
      <c r="Q708" s="183" t="s">
        <v>97</v>
      </c>
      <c r="R708" s="183">
        <v>9</v>
      </c>
      <c r="S708" s="183">
        <v>0</v>
      </c>
      <c r="T708" s="183">
        <v>9</v>
      </c>
      <c r="U708" s="183" t="s">
        <v>22</v>
      </c>
      <c r="V708" s="183"/>
      <c r="W708" s="183"/>
      <c r="X708" s="183"/>
      <c r="Y708" s="184">
        <f t="shared" ref="Y708:Y716" si="266">IF(ISBLANK(O708),"",(IF(O708=UPPER("IB"),0.005,0.01)))</f>
        <v>0.01</v>
      </c>
      <c r="Z708" s="185">
        <f t="shared" ref="Z708:Z716" si="267">IF(ISBLANK(O708),"",IF(O708="IB",8.63*200,IF(O708="IR",16*100,IF(O708="YT",20*100,IF(O708="YT-XT",24*200,IF(O708="TED",80*100))))))</f>
        <v>1600</v>
      </c>
      <c r="AA708" s="185" t="s">
        <v>99</v>
      </c>
      <c r="AB708" s="185" t="s">
        <v>2964</v>
      </c>
      <c r="AC708" s="185"/>
      <c r="AD708" s="649">
        <v>-0.14000000000000001</v>
      </c>
      <c r="AE708" s="182"/>
      <c r="AF708" s="332"/>
      <c r="AG708" s="182"/>
      <c r="AH708" s="182"/>
      <c r="AI708" s="182"/>
      <c r="AJ708" s="640"/>
      <c r="AK708" s="182"/>
      <c r="AL708" s="496"/>
      <c r="AM708" s="496"/>
      <c r="AN708" s="626"/>
      <c r="AO708" s="182"/>
      <c r="AP708" s="182" t="s">
        <v>2965</v>
      </c>
      <c r="AQ708" s="332" t="str">
        <f>UPPER(RIGHT(Journal_Live[[#This Row],[DURATION ]]))</f>
        <v>H</v>
      </c>
      <c r="AR708" s="182" t="s">
        <v>2966</v>
      </c>
      <c r="AS708" s="189">
        <f>((-0.13*2)+(-0.14*7))/9</f>
        <v>-0.1377777777777778</v>
      </c>
      <c r="AT708" s="189">
        <f>IF(ISBLANK(AS708),,IF(U708="S",AD708-AS708,AS708-AD708))</f>
        <v>2.2222222222222088E-3</v>
      </c>
      <c r="AU708" s="187">
        <f>AV708*R708</f>
        <v>31.999999999999808</v>
      </c>
      <c r="AV708" s="190">
        <f>IF(ISBLANK(AS708),,(AT708*Z708))</f>
        <v>3.555555555555534</v>
      </c>
      <c r="AW708" s="191" t="s">
        <v>96</v>
      </c>
      <c r="AX708" s="407" t="s">
        <v>2967</v>
      </c>
      <c r="AY708" s="407"/>
      <c r="AZ708" s="407"/>
      <c r="BA708" s="407" t="s">
        <v>1436</v>
      </c>
      <c r="BB708" s="407"/>
      <c r="BC708" s="407"/>
      <c r="BD708" s="407"/>
      <c r="BE708" s="407"/>
      <c r="BF708" s="422"/>
      <c r="BG708" s="391">
        <f>SUM($AV$4:AV708)</f>
        <v>3647.9760620490911</v>
      </c>
      <c r="BH708" s="392">
        <f>SUM($AU$134:AU708)</f>
        <v>9285.4553333333079</v>
      </c>
      <c r="BI708" s="318">
        <f>SUMIFS($AU$134:AU709,$Q$134:Q709,"F")</f>
        <v>926.53333333333308</v>
      </c>
      <c r="BJ708" s="318">
        <f>SUMIFS($AU$134:AU709,$Q$134:Q709,"S")</f>
        <v>8532.4419999999973</v>
      </c>
      <c r="BK708" s="343">
        <f>SUMIFS($AU$134:AU709,$P$134:P709,"W")</f>
        <v>6267.7419999999347</v>
      </c>
      <c r="BL708" s="343">
        <f>SUMIFS($AU$134:AU709,$P$134:P709,"R")</f>
        <v>3012.673333333335</v>
      </c>
      <c r="BM708" s="343">
        <f>SUMIFS($AU$134:AU709,$AQ$134:AQ709,"M")</f>
        <v>2013.3999999999799</v>
      </c>
      <c r="BN708" s="343">
        <f>SUMIFS($AU$134:AU709,$AQ$134:AQ709,"H")</f>
        <v>2902.1420000000157</v>
      </c>
      <c r="BO708" s="343">
        <f>SUMIFS($AU$134:AU709,$AQ$134:AQ709,"D")</f>
        <v>1201.6899999999998</v>
      </c>
      <c r="BP708" s="343">
        <f>SUMIFS($AU$134:AU711,$AQ$134:AQ711,"W")</f>
        <v>2169.7833333333429</v>
      </c>
      <c r="BQ708" s="343">
        <f>SUMIFS($AU$134:AU709,$Q$134:Q709,"O")</f>
        <v>-428.7200000000276</v>
      </c>
      <c r="BR708" s="343">
        <f>SUMIFS($AU$134:AU709,$AA$134:AA709,"*")</f>
        <v>10097.475333333321</v>
      </c>
      <c r="BS708" s="343">
        <f>SUMIFS($AU$134:AU709,$AB$134:AB709,"*")</f>
        <v>3666.4799999999868</v>
      </c>
      <c r="BT708" s="343">
        <f>SUMIFS($AU$134:AU709,$AC$134:AC709,"*")</f>
        <v>5119.6833333333316</v>
      </c>
      <c r="BU708" s="343">
        <f>SUMIFS($AU$134:AU709,$AA$134:AA709,"*",$AB$134:AB709,"*")</f>
        <v>2226.0000000000045</v>
      </c>
      <c r="BV708" s="343">
        <f>SUMIFS($AU$134:AU709,$AA$134:AA709,"*",$AC$134:AC709,"*")</f>
        <v>6036.7833333333328</v>
      </c>
      <c r="BW708" s="343">
        <f>SUMIFS($AU$134:AU709,$AB$134:AB709,"*",$AC$134:AC709,"*")</f>
        <v>4046.6</v>
      </c>
      <c r="BX708" s="343">
        <f>SUMIFS($AU709:AU$1388,$Q709:Q$1388,"F")</f>
        <v>13514.133333333335</v>
      </c>
      <c r="BY708" s="343">
        <f>SUMIFS($AU709:AU$1388,$Q709:Q$1388,"S")</f>
        <v>12139.2</v>
      </c>
      <c r="BZ708" s="343">
        <f>SUMIFS($AU709:AU$1388,$Q709:Q$1388,"O")</f>
        <v>-1220.1379999997707</v>
      </c>
    </row>
    <row r="709" spans="1:78" ht="15.75" customHeight="1">
      <c r="A709" s="221" t="s">
        <v>2798</v>
      </c>
      <c r="B709" s="200">
        <v>45092</v>
      </c>
      <c r="C709" s="178" t="s">
        <v>2081</v>
      </c>
      <c r="D709" s="178" t="s">
        <v>93</v>
      </c>
      <c r="E709" s="227" t="s">
        <v>2968</v>
      </c>
      <c r="F709" s="180" t="s">
        <v>2969</v>
      </c>
      <c r="G709" s="181"/>
      <c r="H709" s="182"/>
      <c r="I709" s="182"/>
      <c r="J709" s="182">
        <v>1</v>
      </c>
      <c r="K709" s="183" t="s">
        <v>372</v>
      </c>
      <c r="L709" s="182"/>
      <c r="M709" s="182"/>
      <c r="N709" s="182"/>
      <c r="O709" s="183"/>
      <c r="P709" s="183"/>
      <c r="Q709" s="183"/>
      <c r="R709" s="183"/>
      <c r="S709" s="183"/>
      <c r="T709" s="183"/>
      <c r="U709" s="183"/>
      <c r="V709" s="183"/>
      <c r="W709" s="183"/>
      <c r="X709" s="183"/>
      <c r="Y709" s="184" t="str">
        <f t="shared" si="266"/>
        <v/>
      </c>
      <c r="Z709" s="185" t="str">
        <f t="shared" si="267"/>
        <v/>
      </c>
      <c r="AA709" s="185"/>
      <c r="AB709" s="185"/>
      <c r="AC709" s="185"/>
      <c r="AD709" s="649"/>
      <c r="AE709" s="182"/>
      <c r="AF709" s="332"/>
      <c r="AG709" s="182"/>
      <c r="AH709" s="182"/>
      <c r="AI709" s="182"/>
      <c r="AJ709" s="640"/>
      <c r="AK709" s="182"/>
      <c r="AL709" s="496"/>
      <c r="AM709" s="496"/>
      <c r="AN709" s="626"/>
      <c r="AO709" s="182"/>
      <c r="AP709" s="182"/>
      <c r="AQ709" s="332" t="str">
        <f>UPPER(RIGHT(Journal_Live[[#This Row],[DURATION ]]))</f>
        <v/>
      </c>
      <c r="AR709" s="182"/>
      <c r="AS709" s="189"/>
      <c r="AT709" s="189"/>
      <c r="AU709" s="187"/>
      <c r="AV709" s="190"/>
      <c r="AW709" s="191"/>
      <c r="AX709" s="407" t="s">
        <v>2970</v>
      </c>
      <c r="AY709" s="407" t="s">
        <v>2971</v>
      </c>
      <c r="AZ709" s="407" t="s">
        <v>2972</v>
      </c>
      <c r="BA709" s="407" t="s">
        <v>2973</v>
      </c>
      <c r="BB709" s="407"/>
      <c r="BC709" s="407"/>
      <c r="BD709" s="407"/>
      <c r="BE709" s="407"/>
      <c r="BF709" s="422"/>
      <c r="BG709" s="391">
        <f>SUM($AV$4:AV709)</f>
        <v>3647.9760620490911</v>
      </c>
      <c r="BH709" s="392">
        <f>SUM($AU$134:AU709)</f>
        <v>9285.4553333333079</v>
      </c>
      <c r="BI709" s="318">
        <f>SUMIFS($AU$134:AU710,$Q$134:Q710,"F")</f>
        <v>926.53333333333308</v>
      </c>
      <c r="BJ709" s="318">
        <f>SUMIFS($AU$134:AU710,$Q$134:Q710,"S")</f>
        <v>8532.4419999999973</v>
      </c>
      <c r="BK709" s="343">
        <f>SUMIFS($AU$134:AU710,$P$134:P710,"W")</f>
        <v>6267.7419999999347</v>
      </c>
      <c r="BL709" s="343">
        <f>SUMIFS($AU$134:AU710,$P$134:P710,"R")</f>
        <v>3012.673333333335</v>
      </c>
      <c r="BM709" s="343">
        <f>SUMIFS($AU$134:AU710,$AQ$134:AQ710,"M")</f>
        <v>2013.3999999999799</v>
      </c>
      <c r="BN709" s="343">
        <f>SUMIFS($AU$134:AU710,$AQ$134:AQ710,"H")</f>
        <v>2902.1420000000157</v>
      </c>
      <c r="BO709" s="343">
        <f>SUMIFS($AU$134:AU710,$AQ$134:AQ710,"D")</f>
        <v>1201.6899999999998</v>
      </c>
      <c r="BP709" s="343">
        <f>SUMIFS($AU$134:AU712,$AQ$134:AQ712,"W")</f>
        <v>2169.7833333333429</v>
      </c>
      <c r="BQ709" s="343">
        <f>SUMIFS($AU$134:AU710,$Q$134:Q710,"O")</f>
        <v>-428.7200000000276</v>
      </c>
      <c r="BR709" s="343">
        <f>SUMIFS($AU$134:AU710,$AA$134:AA710,"*")</f>
        <v>10097.475333333321</v>
      </c>
      <c r="BS709" s="343">
        <f>SUMIFS($AU$134:AU710,$AB$134:AB710,"*")</f>
        <v>3666.4799999999868</v>
      </c>
      <c r="BT709" s="343">
        <f>SUMIFS($AU$134:AU710,$AC$134:AC710,"*")</f>
        <v>5119.6833333333316</v>
      </c>
      <c r="BU709" s="343">
        <f>SUMIFS($AU$134:AU710,$AA$134:AA710,"*",$AB$134:AB710,"*")</f>
        <v>2226.0000000000045</v>
      </c>
      <c r="BV709" s="343">
        <f>SUMIFS($AU$134:AU710,$AA$134:AA710,"*",$AC$134:AC710,"*")</f>
        <v>6036.7833333333328</v>
      </c>
      <c r="BW709" s="343">
        <f>SUMIFS($AU$134:AU710,$AB$134:AB710,"*",$AC$134:AC710,"*")</f>
        <v>4046.6</v>
      </c>
      <c r="BX709" s="343">
        <f>SUMIFS($AU710:AU$1388,$Q710:Q$1388,"F")</f>
        <v>13514.133333333335</v>
      </c>
      <c r="BY709" s="343">
        <f>SUMIFS($AU710:AU$1388,$Q710:Q$1388,"S")</f>
        <v>12139.2</v>
      </c>
      <c r="BZ709" s="343">
        <f>SUMIFS($AU710:AU$1388,$Q710:Q$1388,"O")</f>
        <v>-1220.1379999997707</v>
      </c>
    </row>
    <row r="710" spans="1:78" ht="15.75" customHeight="1">
      <c r="A710" s="221" t="s">
        <v>2798</v>
      </c>
      <c r="B710" s="200"/>
      <c r="C710" s="178"/>
      <c r="D710" s="178"/>
      <c r="E710" s="227" t="s">
        <v>2974</v>
      </c>
      <c r="F710" s="180"/>
      <c r="G710" s="181"/>
      <c r="H710" s="182">
        <v>1</v>
      </c>
      <c r="I710" s="182"/>
      <c r="J710" s="182"/>
      <c r="K710" s="183" t="s">
        <v>372</v>
      </c>
      <c r="L710" s="182"/>
      <c r="M710" s="182"/>
      <c r="N710" s="182"/>
      <c r="O710" s="183"/>
      <c r="P710" s="183"/>
      <c r="Q710" s="183"/>
      <c r="R710" s="183"/>
      <c r="S710" s="183"/>
      <c r="T710" s="183"/>
      <c r="U710" s="183"/>
      <c r="V710" s="183"/>
      <c r="W710" s="183"/>
      <c r="X710" s="183"/>
      <c r="Y710" s="184" t="str">
        <f t="shared" si="266"/>
        <v/>
      </c>
      <c r="Z710" s="185" t="str">
        <f t="shared" si="267"/>
        <v/>
      </c>
      <c r="AA710" s="185"/>
      <c r="AB710" s="185"/>
      <c r="AC710" s="185"/>
      <c r="AD710" s="649"/>
      <c r="AE710" s="182"/>
      <c r="AF710" s="332"/>
      <c r="AG710" s="182"/>
      <c r="AH710" s="182"/>
      <c r="AI710" s="182"/>
      <c r="AJ710" s="640"/>
      <c r="AK710" s="182"/>
      <c r="AL710" s="496"/>
      <c r="AM710" s="496"/>
      <c r="AN710" s="626"/>
      <c r="AO710" s="182"/>
      <c r="AP710" s="182"/>
      <c r="AQ710" s="332" t="str">
        <f>UPPER(RIGHT(Journal_Live[[#This Row],[DURATION ]]))</f>
        <v/>
      </c>
      <c r="AR710" s="182"/>
      <c r="AS710" s="189"/>
      <c r="AT710" s="189"/>
      <c r="AU710" s="187"/>
      <c r="AV710" s="190"/>
      <c r="AW710" s="191"/>
      <c r="AX710" s="407"/>
      <c r="AY710" s="407"/>
      <c r="AZ710" s="407"/>
      <c r="BA710" s="407"/>
      <c r="BB710" s="407"/>
      <c r="BC710" s="407"/>
      <c r="BD710" s="407"/>
      <c r="BE710" s="407"/>
      <c r="BF710" s="422"/>
      <c r="BG710" s="391">
        <f>SUM($AV$4:AV710)</f>
        <v>3647.9760620490911</v>
      </c>
      <c r="BH710" s="392">
        <f>SUM($AU$134:AU710)</f>
        <v>9285.4553333333079</v>
      </c>
      <c r="BI710" s="318">
        <f>SUMIFS($AU$134:AU711,$Q$134:Q711,"F")</f>
        <v>926.53333333333308</v>
      </c>
      <c r="BJ710" s="318">
        <f>SUMIFS($AU$134:AU711,$Q$134:Q711,"S")</f>
        <v>8532.4419999999973</v>
      </c>
      <c r="BK710" s="343">
        <f>SUMIFS($AU$134:AU711,$P$134:P711,"W")</f>
        <v>6267.7419999999347</v>
      </c>
      <c r="BL710" s="343">
        <f>SUMIFS($AU$134:AU711,$P$134:P711,"R")</f>
        <v>3012.673333333335</v>
      </c>
      <c r="BM710" s="343">
        <f>SUMIFS($AU$134:AU711,$AQ$134:AQ711,"M")</f>
        <v>2013.3999999999799</v>
      </c>
      <c r="BN710" s="343">
        <f>SUMIFS($AU$134:AU711,$AQ$134:AQ711,"H")</f>
        <v>2902.1420000000157</v>
      </c>
      <c r="BO710" s="343">
        <f>SUMIFS($AU$134:AU711,$AQ$134:AQ711,"D")</f>
        <v>1201.6899999999998</v>
      </c>
      <c r="BP710" s="343">
        <f>SUMIFS($AU$134:AU713,$AQ$134:AQ713,"W")</f>
        <v>2169.7833333333429</v>
      </c>
      <c r="BQ710" s="343">
        <f>SUMIFS($AU$134:AU711,$Q$134:Q711,"O")</f>
        <v>-428.7200000000276</v>
      </c>
      <c r="BR710" s="343">
        <f>SUMIFS($AU$134:AU711,$AA$134:AA711,"*")</f>
        <v>10097.475333333321</v>
      </c>
      <c r="BS710" s="343">
        <f>SUMIFS($AU$134:AU711,$AB$134:AB711,"*")</f>
        <v>3666.4799999999868</v>
      </c>
      <c r="BT710" s="343">
        <f>SUMIFS($AU$134:AU711,$AC$134:AC711,"*")</f>
        <v>5119.6833333333316</v>
      </c>
      <c r="BU710" s="343">
        <f>SUMIFS($AU$134:AU711,$AA$134:AA711,"*",$AB$134:AB711,"*")</f>
        <v>2226.0000000000045</v>
      </c>
      <c r="BV710" s="343">
        <f>SUMIFS($AU$134:AU711,$AA$134:AA711,"*",$AC$134:AC711,"*")</f>
        <v>6036.7833333333328</v>
      </c>
      <c r="BW710" s="343">
        <f>SUMIFS($AU$134:AU711,$AB$134:AB711,"*",$AC$134:AC711,"*")</f>
        <v>4046.6</v>
      </c>
      <c r="BX710" s="343">
        <f>SUMIFS($AU711:AU$1388,$Q711:Q$1388,"F")</f>
        <v>13514.133333333335</v>
      </c>
      <c r="BY710" s="343">
        <f>SUMIFS($AU711:AU$1388,$Q711:Q$1388,"S")</f>
        <v>12139.2</v>
      </c>
      <c r="BZ710" s="343">
        <f>SUMIFS($AU711:AU$1388,$Q711:Q$1388,"O")</f>
        <v>-1220.1379999997707</v>
      </c>
    </row>
    <row r="711" spans="1:78" ht="15.75" customHeight="1">
      <c r="A711" s="221" t="s">
        <v>2798</v>
      </c>
      <c r="B711" s="200">
        <v>45092</v>
      </c>
      <c r="C711" s="178" t="s">
        <v>2122</v>
      </c>
      <c r="D711" s="178" t="s">
        <v>93</v>
      </c>
      <c r="E711" s="227" t="s">
        <v>2975</v>
      </c>
      <c r="F711" s="180" t="s">
        <v>1628</v>
      </c>
      <c r="G711" s="181"/>
      <c r="H711" s="182"/>
      <c r="I711" s="182">
        <v>1</v>
      </c>
      <c r="J711" s="182"/>
      <c r="K711" s="183"/>
      <c r="L711" s="182"/>
      <c r="M711" s="182"/>
      <c r="N711" s="182"/>
      <c r="O711" s="183"/>
      <c r="P711" s="183"/>
      <c r="Q711" s="183"/>
      <c r="R711" s="183"/>
      <c r="S711" s="183"/>
      <c r="T711" s="183"/>
      <c r="U711" s="183"/>
      <c r="V711" s="183"/>
      <c r="W711" s="183"/>
      <c r="X711" s="183"/>
      <c r="Y711" s="184" t="str">
        <f t="shared" si="266"/>
        <v/>
      </c>
      <c r="Z711" s="185" t="str">
        <f t="shared" si="267"/>
        <v/>
      </c>
      <c r="AA711" s="185"/>
      <c r="AB711" s="185"/>
      <c r="AC711" s="185"/>
      <c r="AD711" s="649"/>
      <c r="AE711" s="182"/>
      <c r="AF711" s="332"/>
      <c r="AG711" s="182"/>
      <c r="AH711" s="182"/>
      <c r="AI711" s="182"/>
      <c r="AJ711" s="640"/>
      <c r="AK711" s="182"/>
      <c r="AL711" s="496"/>
      <c r="AM711" s="496"/>
      <c r="AN711" s="626"/>
      <c r="AO711" s="182"/>
      <c r="AP711" s="182"/>
      <c r="AQ711" s="332" t="str">
        <f>UPPER(RIGHT(Journal_Live[[#This Row],[DURATION ]]))</f>
        <v/>
      </c>
      <c r="AR711" s="182"/>
      <c r="AS711" s="189"/>
      <c r="AT711" s="189"/>
      <c r="AU711" s="187"/>
      <c r="AV711" s="190"/>
      <c r="AW711" s="191"/>
      <c r="AX711" s="407"/>
      <c r="AY711" s="407"/>
      <c r="AZ711" s="407"/>
      <c r="BA711" s="407"/>
      <c r="BB711" s="407"/>
      <c r="BC711" s="407"/>
      <c r="BD711" s="407"/>
      <c r="BE711" s="407"/>
      <c r="BF711" s="422"/>
      <c r="BG711" s="391">
        <f>SUM($AV$4:AV711)</f>
        <v>3647.9760620490911</v>
      </c>
      <c r="BH711" s="392">
        <f>SUM($AU$134:AU711)</f>
        <v>9285.4553333333079</v>
      </c>
      <c r="BI711" s="318">
        <f>SUMIFS($AU$134:AU712,$Q$134:Q712,"F")</f>
        <v>926.53333333333308</v>
      </c>
      <c r="BJ711" s="318">
        <f>SUMIFS($AU$134:AU712,$Q$134:Q712,"S")</f>
        <v>8532.4419999999973</v>
      </c>
      <c r="BK711" s="343">
        <f>SUMIFS($AU$134:AU712,$P$134:P712,"W")</f>
        <v>6267.7419999999347</v>
      </c>
      <c r="BL711" s="343">
        <f>SUMIFS($AU$134:AU712,$P$134:P712,"R")</f>
        <v>3012.673333333335</v>
      </c>
      <c r="BM711" s="343">
        <f>SUMIFS($AU$134:AU712,$AQ$134:AQ712,"M")</f>
        <v>2013.3999999999799</v>
      </c>
      <c r="BN711" s="343">
        <f>SUMIFS($AU$134:AU712,$AQ$134:AQ712,"H")</f>
        <v>2902.1420000000157</v>
      </c>
      <c r="BO711" s="343">
        <f>SUMIFS($AU$134:AU712,$AQ$134:AQ712,"D")</f>
        <v>1201.6899999999998</v>
      </c>
      <c r="BP711" s="343">
        <f>SUMIFS($AU$134:AU714,$AQ$134:AQ714,"W")</f>
        <v>2169.7833333333429</v>
      </c>
      <c r="BQ711" s="343">
        <f>SUMIFS($AU$134:AU712,$Q$134:Q712,"O")</f>
        <v>-428.7200000000276</v>
      </c>
      <c r="BR711" s="343">
        <f>SUMIFS($AU$134:AU712,$AA$134:AA712,"*")</f>
        <v>10097.475333333321</v>
      </c>
      <c r="BS711" s="343">
        <f>SUMIFS($AU$134:AU712,$AB$134:AB712,"*")</f>
        <v>3666.4799999999868</v>
      </c>
      <c r="BT711" s="343">
        <f>SUMIFS($AU$134:AU712,$AC$134:AC712,"*")</f>
        <v>5119.6833333333316</v>
      </c>
      <c r="BU711" s="343">
        <f>SUMIFS($AU$134:AU712,$AA$134:AA712,"*",$AB$134:AB712,"*")</f>
        <v>2226.0000000000045</v>
      </c>
      <c r="BV711" s="343">
        <f>SUMIFS($AU$134:AU712,$AA$134:AA712,"*",$AC$134:AC712,"*")</f>
        <v>6036.7833333333328</v>
      </c>
      <c r="BW711" s="343">
        <f>SUMIFS($AU$134:AU712,$AB$134:AB712,"*",$AC$134:AC712,"*")</f>
        <v>4046.6</v>
      </c>
      <c r="BX711" s="343">
        <f>SUMIFS($AU712:AU$1388,$Q712:Q$1388,"F")</f>
        <v>13514.133333333335</v>
      </c>
      <c r="BY711" s="343">
        <f>SUMIFS($AU712:AU$1388,$Q712:Q$1388,"S")</f>
        <v>12139.2</v>
      </c>
      <c r="BZ711" s="343">
        <f>SUMIFS($AU712:AU$1388,$Q712:Q$1388,"O")</f>
        <v>-1220.1379999997707</v>
      </c>
    </row>
    <row r="712" spans="1:78" ht="15.75" customHeight="1">
      <c r="A712" s="221" t="s">
        <v>2798</v>
      </c>
      <c r="B712" s="200">
        <v>45092</v>
      </c>
      <c r="C712" s="178" t="s">
        <v>1728</v>
      </c>
      <c r="D712" s="178" t="s">
        <v>93</v>
      </c>
      <c r="E712" s="227" t="s">
        <v>2976</v>
      </c>
      <c r="F712" s="180" t="s">
        <v>1628</v>
      </c>
      <c r="G712" s="181"/>
      <c r="H712" s="182"/>
      <c r="I712" s="182">
        <v>1</v>
      </c>
      <c r="J712" s="182"/>
      <c r="K712" s="183"/>
      <c r="L712" s="182"/>
      <c r="M712" s="182"/>
      <c r="N712" s="182"/>
      <c r="O712" s="183"/>
      <c r="P712" s="183"/>
      <c r="Q712" s="183"/>
      <c r="R712" s="183"/>
      <c r="S712" s="183"/>
      <c r="T712" s="183"/>
      <c r="U712" s="183"/>
      <c r="V712" s="183"/>
      <c r="W712" s="183"/>
      <c r="X712" s="183"/>
      <c r="Y712" s="184" t="str">
        <f t="shared" si="266"/>
        <v/>
      </c>
      <c r="Z712" s="185" t="str">
        <f t="shared" si="267"/>
        <v/>
      </c>
      <c r="AA712" s="185"/>
      <c r="AB712" s="185"/>
      <c r="AC712" s="185"/>
      <c r="AD712" s="649"/>
      <c r="AE712" s="182"/>
      <c r="AF712" s="332"/>
      <c r="AG712" s="182"/>
      <c r="AH712" s="182"/>
      <c r="AI712" s="182"/>
      <c r="AJ712" s="640"/>
      <c r="AK712" s="182"/>
      <c r="AL712" s="496"/>
      <c r="AM712" s="496"/>
      <c r="AN712" s="626"/>
      <c r="AO712" s="182"/>
      <c r="AP712" s="182"/>
      <c r="AQ712" s="332" t="str">
        <f>UPPER(RIGHT(Journal_Live[[#This Row],[DURATION ]]))</f>
        <v/>
      </c>
      <c r="AR712" s="182"/>
      <c r="AS712" s="189"/>
      <c r="AT712" s="189"/>
      <c r="AU712" s="187"/>
      <c r="AV712" s="190"/>
      <c r="AW712" s="191"/>
      <c r="AX712" s="407"/>
      <c r="AY712" s="407"/>
      <c r="AZ712" s="407"/>
      <c r="BA712" s="407"/>
      <c r="BB712" s="407"/>
      <c r="BC712" s="407"/>
      <c r="BD712" s="407"/>
      <c r="BE712" s="407"/>
      <c r="BF712" s="422"/>
      <c r="BG712" s="391">
        <f>SUM($AV$4:AV712)</f>
        <v>3647.9760620490911</v>
      </c>
      <c r="BH712" s="392">
        <f>SUM($AU$134:AU712)</f>
        <v>9285.4553333333079</v>
      </c>
      <c r="BI712" s="318">
        <f>SUMIFS($AU$134:AU713,$Q$134:Q713,"F")</f>
        <v>926.53333333333308</v>
      </c>
      <c r="BJ712" s="318">
        <f>SUMIFS($AU$134:AU713,$Q$134:Q713,"S")</f>
        <v>8532.4419999999973</v>
      </c>
      <c r="BK712" s="343">
        <f>SUMIFS($AU$134:AU713,$P$134:P713,"W")</f>
        <v>6267.7419999999347</v>
      </c>
      <c r="BL712" s="343">
        <f>SUMIFS($AU$134:AU713,$P$134:P713,"R")</f>
        <v>3012.673333333335</v>
      </c>
      <c r="BM712" s="343">
        <f>SUMIFS($AU$134:AU713,$AQ$134:AQ713,"M")</f>
        <v>2013.3999999999799</v>
      </c>
      <c r="BN712" s="343">
        <f>SUMIFS($AU$134:AU713,$AQ$134:AQ713,"H")</f>
        <v>2902.1420000000157</v>
      </c>
      <c r="BO712" s="343">
        <f>SUMIFS($AU$134:AU713,$AQ$134:AQ713,"D")</f>
        <v>1201.6899999999998</v>
      </c>
      <c r="BP712" s="343">
        <f>SUMIFS($AU$134:AU715,$AQ$134:AQ715,"W")</f>
        <v>2169.7833333333429</v>
      </c>
      <c r="BQ712" s="343">
        <f>SUMIFS($AU$134:AU713,$Q$134:Q713,"O")</f>
        <v>-428.7200000000276</v>
      </c>
      <c r="BR712" s="343">
        <f>SUMIFS($AU$134:AU713,$AA$134:AA713,"*")</f>
        <v>10097.475333333321</v>
      </c>
      <c r="BS712" s="343">
        <f>SUMIFS($AU$134:AU713,$AB$134:AB713,"*")</f>
        <v>3666.4799999999868</v>
      </c>
      <c r="BT712" s="343">
        <f>SUMIFS($AU$134:AU713,$AC$134:AC713,"*")</f>
        <v>5119.6833333333316</v>
      </c>
      <c r="BU712" s="343">
        <f>SUMIFS($AU$134:AU713,$AA$134:AA713,"*",$AB$134:AB713,"*")</f>
        <v>2226.0000000000045</v>
      </c>
      <c r="BV712" s="343">
        <f>SUMIFS($AU$134:AU713,$AA$134:AA713,"*",$AC$134:AC713,"*")</f>
        <v>6036.7833333333328</v>
      </c>
      <c r="BW712" s="343">
        <f>SUMIFS($AU$134:AU713,$AB$134:AB713,"*",$AC$134:AC713,"*")</f>
        <v>4046.6</v>
      </c>
      <c r="BX712" s="343">
        <f>SUMIFS($AU713:AU$1388,$Q713:Q$1388,"F")</f>
        <v>13514.133333333335</v>
      </c>
      <c r="BY712" s="343">
        <f>SUMIFS($AU713:AU$1388,$Q713:Q$1388,"S")</f>
        <v>12139.2</v>
      </c>
      <c r="BZ712" s="343">
        <f>SUMIFS($AU713:AU$1388,$Q713:Q$1388,"O")</f>
        <v>-1220.1379999997707</v>
      </c>
    </row>
    <row r="713" spans="1:78" ht="15.75" customHeight="1">
      <c r="A713" s="221" t="s">
        <v>2798</v>
      </c>
      <c r="B713" s="200"/>
      <c r="C713" s="178"/>
      <c r="D713" s="178"/>
      <c r="E713" s="227" t="s">
        <v>2977</v>
      </c>
      <c r="F713" s="180"/>
      <c r="G713" s="181"/>
      <c r="H713" s="182">
        <v>1</v>
      </c>
      <c r="I713" s="182"/>
      <c r="J713" s="182"/>
      <c r="K713" s="183"/>
      <c r="L713" s="182"/>
      <c r="M713" s="182"/>
      <c r="N713" s="182"/>
      <c r="O713" s="183"/>
      <c r="P713" s="183"/>
      <c r="Q713" s="183"/>
      <c r="R713" s="183"/>
      <c r="S713" s="183"/>
      <c r="T713" s="183"/>
      <c r="U713" s="183"/>
      <c r="V713" s="183"/>
      <c r="W713" s="183"/>
      <c r="X713" s="183"/>
      <c r="Y713" s="184" t="str">
        <f t="shared" si="266"/>
        <v/>
      </c>
      <c r="Z713" s="185" t="str">
        <f t="shared" si="267"/>
        <v/>
      </c>
      <c r="AA713" s="185"/>
      <c r="AB713" s="185"/>
      <c r="AC713" s="185"/>
      <c r="AD713" s="649"/>
      <c r="AE713" s="182"/>
      <c r="AF713" s="332"/>
      <c r="AG713" s="182"/>
      <c r="AH713" s="182"/>
      <c r="AI713" s="182"/>
      <c r="AJ713" s="640"/>
      <c r="AK713" s="182"/>
      <c r="AL713" s="496"/>
      <c r="AM713" s="496"/>
      <c r="AN713" s="626"/>
      <c r="AO713" s="182"/>
      <c r="AP713" s="182"/>
      <c r="AQ713" s="332" t="str">
        <f>UPPER(RIGHT(Journal_Live[[#This Row],[DURATION ]]))</f>
        <v/>
      </c>
      <c r="AR713" s="182"/>
      <c r="AS713" s="189"/>
      <c r="AT713" s="189"/>
      <c r="AU713" s="187"/>
      <c r="AV713" s="190"/>
      <c r="AW713" s="191"/>
      <c r="AX713" s="407"/>
      <c r="AY713" s="407"/>
      <c r="AZ713" s="407"/>
      <c r="BA713" s="407"/>
      <c r="BB713" s="407"/>
      <c r="BC713" s="407"/>
      <c r="BD713" s="407"/>
      <c r="BE713" s="407"/>
      <c r="BF713" s="422"/>
      <c r="BG713" s="391">
        <f>SUM($AV$4:AV713)</f>
        <v>3647.9760620490911</v>
      </c>
      <c r="BH713" s="392">
        <f>SUM($AU$134:AU713)</f>
        <v>9285.4553333333079</v>
      </c>
      <c r="BI713" s="318">
        <f>SUMIFS($AU$134:AU714,$Q$134:Q714,"F")</f>
        <v>926.53333333333308</v>
      </c>
      <c r="BJ713" s="318">
        <f>SUMIFS($AU$134:AU714,$Q$134:Q714,"S")</f>
        <v>8532.4419999999973</v>
      </c>
      <c r="BK713" s="343">
        <f>SUMIFS($AU$134:AU714,$P$134:P714,"W")</f>
        <v>6267.7419999999347</v>
      </c>
      <c r="BL713" s="343">
        <f>SUMIFS($AU$134:AU714,$P$134:P714,"R")</f>
        <v>3012.673333333335</v>
      </c>
      <c r="BM713" s="343">
        <f>SUMIFS($AU$134:AU714,$AQ$134:AQ714,"M")</f>
        <v>2013.3999999999799</v>
      </c>
      <c r="BN713" s="343">
        <f>SUMIFS($AU$134:AU714,$AQ$134:AQ714,"H")</f>
        <v>2902.1420000000157</v>
      </c>
      <c r="BO713" s="343">
        <f>SUMIFS($AU$134:AU714,$AQ$134:AQ714,"D")</f>
        <v>1201.6899999999998</v>
      </c>
      <c r="BP713" s="343">
        <f>SUMIFS($AU$134:AU716,$AQ$134:AQ716,"W")</f>
        <v>2169.7833333333429</v>
      </c>
      <c r="BQ713" s="343">
        <f>SUMIFS($AU$134:AU714,$Q$134:Q714,"O")</f>
        <v>-428.7200000000276</v>
      </c>
      <c r="BR713" s="343">
        <f>SUMIFS($AU$134:AU714,$AA$134:AA714,"*")</f>
        <v>10097.475333333321</v>
      </c>
      <c r="BS713" s="343">
        <f>SUMIFS($AU$134:AU714,$AB$134:AB714,"*")</f>
        <v>3666.4799999999868</v>
      </c>
      <c r="BT713" s="343">
        <f>SUMIFS($AU$134:AU714,$AC$134:AC714,"*")</f>
        <v>5119.6833333333316</v>
      </c>
      <c r="BU713" s="343">
        <f>SUMIFS($AU$134:AU714,$AA$134:AA714,"*",$AB$134:AB714,"*")</f>
        <v>2226.0000000000045</v>
      </c>
      <c r="BV713" s="343">
        <f>SUMIFS($AU$134:AU714,$AA$134:AA714,"*",$AC$134:AC714,"*")</f>
        <v>6036.7833333333328</v>
      </c>
      <c r="BW713" s="343">
        <f>SUMIFS($AU$134:AU714,$AB$134:AB714,"*",$AC$134:AC714,"*")</f>
        <v>4046.6</v>
      </c>
      <c r="BX713" s="343">
        <f>SUMIFS($AU714:AU$1388,$Q714:Q$1388,"F")</f>
        <v>13514.133333333335</v>
      </c>
      <c r="BY713" s="343">
        <f>SUMIFS($AU714:AU$1388,$Q714:Q$1388,"S")</f>
        <v>12139.2</v>
      </c>
      <c r="BZ713" s="343">
        <f>SUMIFS($AU714:AU$1388,$Q714:Q$1388,"O")</f>
        <v>-1220.1379999997707</v>
      </c>
    </row>
    <row r="714" spans="1:78" ht="15.75" customHeight="1">
      <c r="A714" s="221" t="s">
        <v>2798</v>
      </c>
      <c r="B714" s="200"/>
      <c r="C714" s="178"/>
      <c r="D714" s="178"/>
      <c r="E714" s="227" t="s">
        <v>2978</v>
      </c>
      <c r="F714" s="180"/>
      <c r="G714" s="181"/>
      <c r="H714" s="182"/>
      <c r="I714" s="182">
        <v>1</v>
      </c>
      <c r="J714" s="182"/>
      <c r="K714" s="183"/>
      <c r="L714" s="182"/>
      <c r="M714" s="182"/>
      <c r="N714" s="182"/>
      <c r="O714" s="183"/>
      <c r="P714" s="183"/>
      <c r="Q714" s="183"/>
      <c r="R714" s="183"/>
      <c r="S714" s="183"/>
      <c r="T714" s="183"/>
      <c r="U714" s="183"/>
      <c r="V714" s="183"/>
      <c r="W714" s="183"/>
      <c r="X714" s="183"/>
      <c r="Y714" s="184" t="str">
        <f t="shared" si="266"/>
        <v/>
      </c>
      <c r="Z714" s="185" t="str">
        <f t="shared" si="267"/>
        <v/>
      </c>
      <c r="AA714" s="185"/>
      <c r="AB714" s="185"/>
      <c r="AC714" s="185"/>
      <c r="AD714" s="649"/>
      <c r="AE714" s="182"/>
      <c r="AF714" s="332"/>
      <c r="AG714" s="182"/>
      <c r="AH714" s="182"/>
      <c r="AI714" s="182"/>
      <c r="AJ714" s="640"/>
      <c r="AK714" s="182"/>
      <c r="AL714" s="496"/>
      <c r="AM714" s="496"/>
      <c r="AN714" s="626"/>
      <c r="AO714" s="182"/>
      <c r="AP714" s="182"/>
      <c r="AQ714" s="332" t="str">
        <f>UPPER(RIGHT(Journal_Live[[#This Row],[DURATION ]]))</f>
        <v/>
      </c>
      <c r="AR714" s="182"/>
      <c r="AS714" s="189"/>
      <c r="AT714" s="189"/>
      <c r="AU714" s="187"/>
      <c r="AV714" s="190"/>
      <c r="AW714" s="191"/>
      <c r="AX714" s="407"/>
      <c r="AY714" s="407"/>
      <c r="AZ714" s="407"/>
      <c r="BA714" s="407"/>
      <c r="BB714" s="407"/>
      <c r="BC714" s="407"/>
      <c r="BD714" s="407"/>
      <c r="BE714" s="407"/>
      <c r="BF714" s="422"/>
      <c r="BG714" s="391">
        <f>SUM($AV$4:AV714)</f>
        <v>3647.9760620490911</v>
      </c>
      <c r="BH714" s="392">
        <f>SUM($AU$134:AU714)</f>
        <v>9285.4553333333079</v>
      </c>
      <c r="BI714" s="318">
        <f>SUMIFS($AU$134:AU715,$Q$134:Q715,"F")</f>
        <v>926.53333333333308</v>
      </c>
      <c r="BJ714" s="318">
        <f>SUMIFS($AU$134:AU715,$Q$134:Q715,"S")</f>
        <v>8532.4419999999973</v>
      </c>
      <c r="BK714" s="343">
        <f>SUMIFS($AU$134:AU715,$P$134:P715,"W")</f>
        <v>6267.7419999999347</v>
      </c>
      <c r="BL714" s="343">
        <f>SUMIFS($AU$134:AU715,$P$134:P715,"R")</f>
        <v>3012.673333333335</v>
      </c>
      <c r="BM714" s="343">
        <f>SUMIFS($AU$134:AU715,$AQ$134:AQ715,"M")</f>
        <v>2013.3999999999799</v>
      </c>
      <c r="BN714" s="343">
        <f>SUMIFS($AU$134:AU715,$AQ$134:AQ715,"H")</f>
        <v>2902.1420000000157</v>
      </c>
      <c r="BO714" s="343">
        <f>SUMIFS($AU$134:AU715,$AQ$134:AQ715,"D")</f>
        <v>1201.6899999999998</v>
      </c>
      <c r="BP714" s="343">
        <f>SUMIFS($AU$134:AU717,$AQ$134:AQ717,"W")</f>
        <v>2169.7833333333429</v>
      </c>
      <c r="BQ714" s="343">
        <f>SUMIFS($AU$134:AU715,$Q$134:Q715,"O")</f>
        <v>-428.7200000000276</v>
      </c>
      <c r="BR714" s="343">
        <f>SUMIFS($AU$134:AU715,$AA$134:AA715,"*")</f>
        <v>10097.475333333321</v>
      </c>
      <c r="BS714" s="343">
        <f>SUMIFS($AU$134:AU715,$AB$134:AB715,"*")</f>
        <v>3666.4799999999868</v>
      </c>
      <c r="BT714" s="343">
        <f>SUMIFS($AU$134:AU715,$AC$134:AC715,"*")</f>
        <v>5119.6833333333316</v>
      </c>
      <c r="BU714" s="343">
        <f>SUMIFS($AU$134:AU715,$AA$134:AA715,"*",$AB$134:AB715,"*")</f>
        <v>2226.0000000000045</v>
      </c>
      <c r="BV714" s="343">
        <f>SUMIFS($AU$134:AU715,$AA$134:AA715,"*",$AC$134:AC715,"*")</f>
        <v>6036.7833333333328</v>
      </c>
      <c r="BW714" s="343">
        <f>SUMIFS($AU$134:AU715,$AB$134:AB715,"*",$AC$134:AC715,"*")</f>
        <v>4046.6</v>
      </c>
      <c r="BX714" s="343">
        <f>SUMIFS($AU715:AU$1388,$Q715:Q$1388,"F")</f>
        <v>13514.133333333335</v>
      </c>
      <c r="BY714" s="343">
        <f>SUMIFS($AU715:AU$1388,$Q715:Q$1388,"S")</f>
        <v>12139.2</v>
      </c>
      <c r="BZ714" s="343">
        <f>SUMIFS($AU715:AU$1388,$Q715:Q$1388,"O")</f>
        <v>-1220.1379999997707</v>
      </c>
    </row>
    <row r="715" spans="1:78" ht="15.75" customHeight="1">
      <c r="A715" s="221" t="s">
        <v>2798</v>
      </c>
      <c r="B715" s="200"/>
      <c r="C715" s="178"/>
      <c r="D715" s="178"/>
      <c r="E715" s="227" t="s">
        <v>2979</v>
      </c>
      <c r="F715" s="180"/>
      <c r="G715" s="181"/>
      <c r="H715" s="182">
        <v>1</v>
      </c>
      <c r="I715" s="182"/>
      <c r="J715" s="182"/>
      <c r="K715" s="183"/>
      <c r="L715" s="182"/>
      <c r="M715" s="182"/>
      <c r="N715" s="182"/>
      <c r="O715" s="183"/>
      <c r="P715" s="183"/>
      <c r="Q715" s="183"/>
      <c r="R715" s="183"/>
      <c r="S715" s="183"/>
      <c r="T715" s="183"/>
      <c r="U715" s="183"/>
      <c r="V715" s="183"/>
      <c r="W715" s="183"/>
      <c r="X715" s="183"/>
      <c r="Y715" s="184" t="str">
        <f t="shared" si="266"/>
        <v/>
      </c>
      <c r="Z715" s="185" t="str">
        <f t="shared" si="267"/>
        <v/>
      </c>
      <c r="AA715" s="185"/>
      <c r="AB715" s="185"/>
      <c r="AC715" s="185"/>
      <c r="AD715" s="649"/>
      <c r="AE715" s="182"/>
      <c r="AF715" s="332"/>
      <c r="AG715" s="182"/>
      <c r="AH715" s="182"/>
      <c r="AI715" s="182"/>
      <c r="AJ715" s="640"/>
      <c r="AK715" s="182"/>
      <c r="AL715" s="496"/>
      <c r="AM715" s="496"/>
      <c r="AN715" s="626"/>
      <c r="AO715" s="182"/>
      <c r="AP715" s="182"/>
      <c r="AQ715" s="332" t="str">
        <f>UPPER(RIGHT(Journal_Live[[#This Row],[DURATION ]]))</f>
        <v/>
      </c>
      <c r="AR715" s="182"/>
      <c r="AS715" s="189"/>
      <c r="AT715" s="189"/>
      <c r="AU715" s="187"/>
      <c r="AV715" s="190"/>
      <c r="AW715" s="191"/>
      <c r="AX715" s="407" t="s">
        <v>2980</v>
      </c>
      <c r="AY715" s="407" t="s">
        <v>2981</v>
      </c>
      <c r="AZ715" s="407" t="s">
        <v>2982</v>
      </c>
      <c r="BA715" s="407"/>
      <c r="BB715" s="407"/>
      <c r="BC715" s="407"/>
      <c r="BD715" s="407"/>
      <c r="BE715" s="407"/>
      <c r="BF715" s="422"/>
      <c r="BG715" s="391">
        <f>SUM($AV$4:AV715)</f>
        <v>3647.9760620490911</v>
      </c>
      <c r="BH715" s="392">
        <f>SUM($AU$134:AU715)</f>
        <v>9285.4553333333079</v>
      </c>
      <c r="BI715" s="318">
        <f>SUMIFS($AU$134:AU716,$Q$134:Q716,"F")</f>
        <v>926.53333333333308</v>
      </c>
      <c r="BJ715" s="318">
        <f>SUMIFS($AU$134:AU716,$Q$134:Q716,"S")</f>
        <v>8724.4419999999973</v>
      </c>
      <c r="BK715" s="343">
        <f>SUMIFS($AU$134:AU716,$P$134:P716,"W")</f>
        <v>6267.7419999999347</v>
      </c>
      <c r="BL715" s="343">
        <f>SUMIFS($AU$134:AU716,$P$134:P716,"R")</f>
        <v>3204.6733333333345</v>
      </c>
      <c r="BM715" s="343">
        <f>SUMIFS($AU$134:AU716,$AQ$134:AQ716,"M")</f>
        <v>2013.3999999999799</v>
      </c>
      <c r="BN715" s="343">
        <f>SUMIFS($AU$134:AU716,$AQ$134:AQ716,"H")</f>
        <v>3094.1420000000153</v>
      </c>
      <c r="BO715" s="343">
        <f>SUMIFS($AU$134:AU716,$AQ$134:AQ716,"D")</f>
        <v>1201.6899999999998</v>
      </c>
      <c r="BP715" s="343">
        <f>SUMIFS($AU$134:AU718,$AQ$134:AQ718,"W")</f>
        <v>2169.7833333333429</v>
      </c>
      <c r="BQ715" s="343">
        <f>SUMIFS($AU$134:AU716,$Q$134:Q716,"O")</f>
        <v>-428.7200000000276</v>
      </c>
      <c r="BR715" s="343">
        <f>SUMIFS($AU$134:AU716,$AA$134:AA716,"*")</f>
        <v>10289.475333333321</v>
      </c>
      <c r="BS715" s="343">
        <f>SUMIFS($AU$134:AU716,$AB$134:AB716,"*")</f>
        <v>3666.4799999999868</v>
      </c>
      <c r="BT715" s="343">
        <f>SUMIFS($AU$134:AU716,$AC$134:AC716,"*")</f>
        <v>5119.6833333333316</v>
      </c>
      <c r="BU715" s="343">
        <f>SUMIFS($AU$134:AU716,$AA$134:AA716,"*",$AB$134:AB716,"*")</f>
        <v>2226.0000000000045</v>
      </c>
      <c r="BV715" s="343">
        <f>SUMIFS($AU$134:AU716,$AA$134:AA716,"*",$AC$134:AC716,"*")</f>
        <v>6036.7833333333328</v>
      </c>
      <c r="BW715" s="343">
        <f>SUMIFS($AU$134:AU716,$AB$134:AB716,"*",$AC$134:AC716,"*")</f>
        <v>4046.6</v>
      </c>
      <c r="BX715" s="343">
        <f>SUMIFS($AU716:AU$1388,$Q716:Q$1388,"F")</f>
        <v>13514.133333333335</v>
      </c>
      <c r="BY715" s="343">
        <f>SUMIFS($AU716:AU$1388,$Q716:Q$1388,"S")</f>
        <v>12139.2</v>
      </c>
      <c r="BZ715" s="343">
        <f>SUMIFS($AU716:AU$1388,$Q716:Q$1388,"O")</f>
        <v>-1220.1379999997707</v>
      </c>
    </row>
    <row r="716" spans="1:78" ht="15.75" customHeight="1">
      <c r="A716" s="221" t="s">
        <v>2798</v>
      </c>
      <c r="B716" s="200">
        <v>45092</v>
      </c>
      <c r="C716" s="178" t="s">
        <v>2983</v>
      </c>
      <c r="D716" s="178" t="s">
        <v>93</v>
      </c>
      <c r="E716" s="227" t="s">
        <v>529</v>
      </c>
      <c r="F716" s="180"/>
      <c r="G716" s="281" t="s">
        <v>2942</v>
      </c>
      <c r="H716" s="182"/>
      <c r="I716" s="182"/>
      <c r="J716" s="182"/>
      <c r="K716" s="183"/>
      <c r="L716" s="182">
        <v>1</v>
      </c>
      <c r="M716" s="182"/>
      <c r="N716" s="182"/>
      <c r="O716" s="183" t="s">
        <v>95</v>
      </c>
      <c r="P716" s="183" t="s">
        <v>137</v>
      </c>
      <c r="Q716" s="183" t="s">
        <v>97</v>
      </c>
      <c r="R716" s="183">
        <v>15</v>
      </c>
      <c r="S716" s="183">
        <v>3</v>
      </c>
      <c r="T716" s="183">
        <v>15</v>
      </c>
      <c r="U716" s="183" t="s">
        <v>22</v>
      </c>
      <c r="V716" s="183"/>
      <c r="W716" s="183"/>
      <c r="X716" s="183"/>
      <c r="Y716" s="184">
        <f t="shared" si="266"/>
        <v>0.01</v>
      </c>
      <c r="Z716" s="185">
        <f t="shared" si="267"/>
        <v>1600</v>
      </c>
      <c r="AA716" s="185" t="s">
        <v>2984</v>
      </c>
      <c r="AB716" s="185"/>
      <c r="AC716" s="185"/>
      <c r="AD716" s="649">
        <v>-0.11</v>
      </c>
      <c r="AE716" s="182"/>
      <c r="AF716" s="332">
        <v>-0.13</v>
      </c>
      <c r="AG716" s="182"/>
      <c r="AH716" s="182"/>
      <c r="AI716" s="182"/>
      <c r="AJ716" s="640"/>
      <c r="AK716" s="182"/>
      <c r="AL716" s="496">
        <f>-0.02*Z716</f>
        <v>-32</v>
      </c>
      <c r="AM716" s="496">
        <f>AL716*(R716-S716)</f>
        <v>-384</v>
      </c>
      <c r="AN716" s="626"/>
      <c r="AO716" s="182"/>
      <c r="AP716" s="182" t="s">
        <v>2985</v>
      </c>
      <c r="AQ716" s="332" t="str">
        <f>UPPER(RIGHT(Journal_Live[[#This Row],[DURATION ]]))</f>
        <v>H</v>
      </c>
      <c r="AR716" s="182" t="s">
        <v>2986</v>
      </c>
      <c r="AS716" s="189">
        <f>((-0.11*3)+(-0.1*12))/15</f>
        <v>-0.10200000000000002</v>
      </c>
      <c r="AT716" s="189">
        <f>IF(ISBLANK(AS716),,IF(U716="S",AD716-AS716,AS716-AD716))</f>
        <v>7.9999999999999793E-3</v>
      </c>
      <c r="AU716" s="187">
        <f>AV716*R716</f>
        <v>191.99999999999952</v>
      </c>
      <c r="AV716" s="190">
        <f>IF(ISBLANK(AS716),,(AT716*Z716))</f>
        <v>12.799999999999967</v>
      </c>
      <c r="AW716" s="191" t="s">
        <v>96</v>
      </c>
      <c r="AX716" s="407"/>
      <c r="AY716" s="407"/>
      <c r="AZ716" s="407"/>
      <c r="BA716" s="407"/>
      <c r="BB716" s="407"/>
      <c r="BC716" s="407"/>
      <c r="BD716" s="407"/>
      <c r="BE716" s="407"/>
      <c r="BF716" s="422"/>
      <c r="BG716" s="391">
        <f>SUM($AV$4:AV716)</f>
        <v>3660.7760620490913</v>
      </c>
      <c r="BH716" s="392">
        <f>SUM($AU$134:AU716)</f>
        <v>9477.4553333333079</v>
      </c>
      <c r="BI716" s="318">
        <f>SUMIFS($AU$134:AU717,$Q$134:Q717,"F")</f>
        <v>926.53333333333308</v>
      </c>
      <c r="BJ716" s="318">
        <f>SUMIFS($AU$134:AU717,$Q$134:Q717,"S")</f>
        <v>8724.4419999999973</v>
      </c>
      <c r="BK716" s="343">
        <f>SUMIFS($AU$134:AU717,$P$134:P717,"W")</f>
        <v>6267.7419999999347</v>
      </c>
      <c r="BL716" s="343">
        <f>SUMIFS($AU$134:AU717,$P$134:P717,"R")</f>
        <v>3204.6733333333345</v>
      </c>
      <c r="BM716" s="343">
        <f>SUMIFS($AU$134:AU717,$AQ$134:AQ717,"M")</f>
        <v>2013.3999999999799</v>
      </c>
      <c r="BN716" s="343">
        <f>SUMIFS($AU$134:AU717,$AQ$134:AQ717,"H")</f>
        <v>3094.1420000000153</v>
      </c>
      <c r="BO716" s="343">
        <f>SUMIFS($AU$134:AU717,$AQ$134:AQ717,"D")</f>
        <v>1201.6899999999998</v>
      </c>
      <c r="BP716" s="343">
        <f>SUMIFS($AU$134:AU719,$AQ$134:AQ719,"W")</f>
        <v>2169.7833333333429</v>
      </c>
      <c r="BQ716" s="343">
        <f>SUMIFS($AU$134:AU717,$Q$134:Q717,"O")</f>
        <v>-428.7200000000276</v>
      </c>
      <c r="BR716" s="343">
        <f>SUMIFS($AU$134:AU717,$AA$134:AA717,"*")</f>
        <v>10289.475333333321</v>
      </c>
      <c r="BS716" s="343">
        <f>SUMIFS($AU$134:AU717,$AB$134:AB717,"*")</f>
        <v>3666.4799999999868</v>
      </c>
      <c r="BT716" s="343">
        <f>SUMIFS($AU$134:AU717,$AC$134:AC717,"*")</f>
        <v>5119.6833333333316</v>
      </c>
      <c r="BU716" s="343">
        <f>SUMIFS($AU$134:AU717,$AA$134:AA717,"*",$AB$134:AB717,"*")</f>
        <v>2226.0000000000045</v>
      </c>
      <c r="BV716" s="343">
        <f>SUMIFS($AU$134:AU717,$AA$134:AA717,"*",$AC$134:AC717,"*")</f>
        <v>6036.7833333333328</v>
      </c>
      <c r="BW716" s="343">
        <f>SUMIFS($AU$134:AU717,$AB$134:AB717,"*",$AC$134:AC717,"*")</f>
        <v>4046.6</v>
      </c>
      <c r="BX716" s="343">
        <f>SUMIFS($AU717:AU$1388,$Q717:Q$1388,"F")</f>
        <v>13514.133333333335</v>
      </c>
      <c r="BY716" s="343">
        <f>SUMIFS($AU717:AU$1388,$Q717:Q$1388,"S")</f>
        <v>11947.199999999999</v>
      </c>
      <c r="BZ716" s="343">
        <f>SUMIFS($AU717:AU$1388,$Q717:Q$1388,"O")</f>
        <v>-1220.1379999997707</v>
      </c>
    </row>
    <row r="717" spans="1:78" ht="15.75" customHeight="1">
      <c r="A717" s="221" t="s">
        <v>2798</v>
      </c>
      <c r="B717" s="200">
        <v>45092</v>
      </c>
      <c r="C717" s="178" t="s">
        <v>2987</v>
      </c>
      <c r="D717" s="178" t="s">
        <v>93</v>
      </c>
      <c r="E717" s="227"/>
      <c r="F717" s="180"/>
      <c r="G717" s="181" t="s">
        <v>2016</v>
      </c>
      <c r="H717" s="182"/>
      <c r="I717" s="182"/>
      <c r="J717" s="182"/>
      <c r="K717" s="183"/>
      <c r="L717" s="182"/>
      <c r="M717" s="182"/>
      <c r="N717" s="182"/>
      <c r="O717" s="183"/>
      <c r="P717" s="183"/>
      <c r="Q717" s="183"/>
      <c r="R717" s="183"/>
      <c r="S717" s="183"/>
      <c r="T717" s="183"/>
      <c r="U717" s="183"/>
      <c r="V717" s="183"/>
      <c r="W717" s="183"/>
      <c r="X717" s="183"/>
      <c r="Y717" s="184"/>
      <c r="Z717" s="185"/>
      <c r="AA717" s="185"/>
      <c r="AB717" s="185"/>
      <c r="AC717" s="185"/>
      <c r="AD717" s="649"/>
      <c r="AE717" s="182"/>
      <c r="AF717" s="332"/>
      <c r="AG717" s="182"/>
      <c r="AH717" s="182"/>
      <c r="AI717" s="182"/>
      <c r="AJ717" s="640"/>
      <c r="AK717" s="182"/>
      <c r="AL717" s="496"/>
      <c r="AM717" s="496"/>
      <c r="AN717" s="626"/>
      <c r="AO717" s="182"/>
      <c r="AP717" s="182"/>
      <c r="AQ717" s="332" t="str">
        <f>UPPER(RIGHT(Journal_Live[[#This Row],[DURATION ]]))</f>
        <v/>
      </c>
      <c r="AR717" s="182"/>
      <c r="AS717" s="189"/>
      <c r="AT717" s="189"/>
      <c r="AU717" s="187"/>
      <c r="AV717" s="190"/>
      <c r="AW717" s="191"/>
      <c r="AX717" s="407" t="s">
        <v>2988</v>
      </c>
      <c r="AY717" s="407" t="s">
        <v>2989</v>
      </c>
      <c r="AZ717" s="407"/>
      <c r="BA717" s="407"/>
      <c r="BB717" s="407"/>
      <c r="BC717" s="407"/>
      <c r="BD717" s="407"/>
      <c r="BE717" s="407"/>
      <c r="BF717" s="422"/>
      <c r="BG717" s="391">
        <f>SUM($AV$4:AV717)</f>
        <v>3660.7760620490913</v>
      </c>
      <c r="BH717" s="392">
        <f>SUM($AU$134:AU717)</f>
        <v>9477.4553333333079</v>
      </c>
      <c r="BI717" s="318">
        <f>SUMIFS($AU$134:AU718,$Q$134:Q718,"F")</f>
        <v>926.53333333333308</v>
      </c>
      <c r="BJ717" s="318">
        <f>SUMIFS($AU$134:AU718,$Q$134:Q718,"S")</f>
        <v>8724.4419999999973</v>
      </c>
      <c r="BK717" s="343">
        <f>SUMIFS($AU$134:AU718,$P$134:P718,"W")</f>
        <v>6267.7419999999347</v>
      </c>
      <c r="BL717" s="343">
        <f>SUMIFS($AU$134:AU718,$P$134:P718,"R")</f>
        <v>3204.6733333333345</v>
      </c>
      <c r="BM717" s="343">
        <f>SUMIFS($AU$134:AU718,$AQ$134:AQ718,"M")</f>
        <v>2013.3999999999799</v>
      </c>
      <c r="BN717" s="343">
        <f>SUMIFS($AU$134:AU718,$AQ$134:AQ718,"H")</f>
        <v>3094.1420000000153</v>
      </c>
      <c r="BO717" s="343">
        <f>SUMIFS($AU$134:AU718,$AQ$134:AQ718,"D")</f>
        <v>1201.6899999999998</v>
      </c>
      <c r="BP717" s="343">
        <f>SUMIFS($AU$134:AU720,$AQ$134:AQ720,"W")</f>
        <v>2169.7833333333429</v>
      </c>
      <c r="BQ717" s="343">
        <f>SUMIFS($AU$134:AU718,$Q$134:Q718,"O")</f>
        <v>-428.7200000000276</v>
      </c>
      <c r="BR717" s="343">
        <f>SUMIFS($AU$134:AU718,$AA$134:AA718,"*")</f>
        <v>10289.475333333321</v>
      </c>
      <c r="BS717" s="343">
        <f>SUMIFS($AU$134:AU718,$AB$134:AB718,"*")</f>
        <v>3666.4799999999868</v>
      </c>
      <c r="BT717" s="343">
        <f>SUMIFS($AU$134:AU718,$AC$134:AC718,"*")</f>
        <v>5119.6833333333316</v>
      </c>
      <c r="BU717" s="343">
        <f>SUMIFS($AU$134:AU718,$AA$134:AA718,"*",$AB$134:AB718,"*")</f>
        <v>2226.0000000000045</v>
      </c>
      <c r="BV717" s="343">
        <f>SUMIFS($AU$134:AU718,$AA$134:AA718,"*",$AC$134:AC718,"*")</f>
        <v>6036.7833333333328</v>
      </c>
      <c r="BW717" s="343">
        <f>SUMIFS($AU$134:AU718,$AB$134:AB718,"*",$AC$134:AC718,"*")</f>
        <v>4046.6</v>
      </c>
      <c r="BX717" s="343">
        <f>SUMIFS($AU718:AU$1388,$Q718:Q$1388,"F")</f>
        <v>13514.133333333335</v>
      </c>
      <c r="BY717" s="343">
        <f>SUMIFS($AU718:AU$1388,$Q718:Q$1388,"S")</f>
        <v>11947.199999999999</v>
      </c>
      <c r="BZ717" s="343">
        <f>SUMIFS($AU718:AU$1388,$Q718:Q$1388,"O")</f>
        <v>-1220.1379999997707</v>
      </c>
    </row>
    <row r="718" spans="1:78" ht="15.75" customHeight="1">
      <c r="A718" s="221" t="s">
        <v>2798</v>
      </c>
      <c r="B718" s="200">
        <v>45092</v>
      </c>
      <c r="C718" s="178" t="s">
        <v>2990</v>
      </c>
      <c r="D718" s="178" t="s">
        <v>93</v>
      </c>
      <c r="E718" s="227" t="s">
        <v>529</v>
      </c>
      <c r="F718" s="180"/>
      <c r="G718" s="181" t="s">
        <v>2070</v>
      </c>
      <c r="H718" s="182"/>
      <c r="I718" s="182"/>
      <c r="J718" s="182"/>
      <c r="K718" s="183"/>
      <c r="L718" s="182"/>
      <c r="M718" s="182"/>
      <c r="N718" s="182"/>
      <c r="O718" s="183"/>
      <c r="P718" s="183"/>
      <c r="Q718" s="183"/>
      <c r="R718" s="183"/>
      <c r="S718" s="183"/>
      <c r="T718" s="183"/>
      <c r="U718" s="183"/>
      <c r="V718" s="183"/>
      <c r="W718" s="183"/>
      <c r="X718" s="183"/>
      <c r="Y718" s="184"/>
      <c r="Z718" s="185"/>
      <c r="AA718" s="185"/>
      <c r="AB718" s="185"/>
      <c r="AC718" s="185"/>
      <c r="AD718" s="649"/>
      <c r="AE718" s="182"/>
      <c r="AF718" s="332"/>
      <c r="AG718" s="182"/>
      <c r="AH718" s="182"/>
      <c r="AI718" s="182"/>
      <c r="AJ718" s="640"/>
      <c r="AK718" s="182"/>
      <c r="AL718" s="496"/>
      <c r="AM718" s="496"/>
      <c r="AN718" s="626"/>
      <c r="AO718" s="182"/>
      <c r="AP718" s="182"/>
      <c r="AQ718" s="332" t="str">
        <f>UPPER(RIGHT(Journal_Live[[#This Row],[DURATION ]]))</f>
        <v/>
      </c>
      <c r="AR718" s="182"/>
      <c r="AS718" s="189"/>
      <c r="AT718" s="189"/>
      <c r="AU718" s="187"/>
      <c r="AV718" s="190"/>
      <c r="AW718" s="191"/>
      <c r="AX718" s="407" t="s">
        <v>2988</v>
      </c>
      <c r="AY718" s="407" t="s">
        <v>2989</v>
      </c>
      <c r="AZ718" s="407"/>
      <c r="BA718" s="407"/>
      <c r="BB718" s="407"/>
      <c r="BC718" s="407"/>
      <c r="BD718" s="407"/>
      <c r="BE718" s="407"/>
      <c r="BF718" s="422"/>
      <c r="BG718" s="391">
        <f>SUM($AV$4:AV718)</f>
        <v>3660.7760620490913</v>
      </c>
      <c r="BH718" s="392">
        <f>SUM($AU$134:AU718)</f>
        <v>9477.4553333333079</v>
      </c>
      <c r="BI718" s="318">
        <f>SUMIFS($AU$134:AU719,$Q$134:Q719,"F")</f>
        <v>926.53333333333308</v>
      </c>
      <c r="BJ718" s="318">
        <f>SUMIFS($AU$134:AU719,$Q$134:Q719,"S")</f>
        <v>9044.4419999999973</v>
      </c>
      <c r="BK718" s="343">
        <f>SUMIFS($AU$134:AU719,$P$134:P719,"W")</f>
        <v>6267.7419999999347</v>
      </c>
      <c r="BL718" s="343">
        <f>SUMIFS($AU$134:AU719,$P$134:P719,"R")</f>
        <v>3524.6733333333341</v>
      </c>
      <c r="BM718" s="343">
        <f>SUMIFS($AU$134:AU719,$AQ$134:AQ719,"M")</f>
        <v>2013.3999999999799</v>
      </c>
      <c r="BN718" s="343">
        <f>SUMIFS($AU$134:AU719,$AQ$134:AQ719,"H")</f>
        <v>3414.1420000000148</v>
      </c>
      <c r="BO718" s="343">
        <f>SUMIFS($AU$134:AU719,$AQ$134:AQ719,"D")</f>
        <v>1201.6899999999998</v>
      </c>
      <c r="BP718" s="343">
        <f>SUMIFS($AU$134:AU721,$AQ$134:AQ721,"W")</f>
        <v>2169.7833333333429</v>
      </c>
      <c r="BQ718" s="343">
        <f>SUMIFS($AU$134:AU719,$Q$134:Q719,"O")</f>
        <v>-428.7200000000276</v>
      </c>
      <c r="BR718" s="343">
        <f>SUMIFS($AU$134:AU719,$AA$134:AA719,"*")</f>
        <v>10609.475333333321</v>
      </c>
      <c r="BS718" s="343">
        <f>SUMIFS($AU$134:AU719,$AB$134:AB719,"*")</f>
        <v>3666.4799999999868</v>
      </c>
      <c r="BT718" s="343">
        <f>SUMIFS($AU$134:AU719,$AC$134:AC719,"*")</f>
        <v>5119.6833333333316</v>
      </c>
      <c r="BU718" s="343">
        <f>SUMIFS($AU$134:AU719,$AA$134:AA719,"*",$AB$134:AB719,"*")</f>
        <v>2226.0000000000045</v>
      </c>
      <c r="BV718" s="343">
        <f>SUMIFS($AU$134:AU719,$AA$134:AA719,"*",$AC$134:AC719,"*")</f>
        <v>6036.7833333333328</v>
      </c>
      <c r="BW718" s="343">
        <f>SUMIFS($AU$134:AU719,$AB$134:AB719,"*",$AC$134:AC719,"*")</f>
        <v>4046.6</v>
      </c>
      <c r="BX718" s="343">
        <f>SUMIFS($AU719:AU$1388,$Q719:Q$1388,"F")</f>
        <v>13514.133333333335</v>
      </c>
      <c r="BY718" s="343">
        <f>SUMIFS($AU719:AU$1388,$Q719:Q$1388,"S")</f>
        <v>11947.199999999999</v>
      </c>
      <c r="BZ718" s="343">
        <f>SUMIFS($AU719:AU$1388,$Q719:Q$1388,"O")</f>
        <v>-1220.1379999997707</v>
      </c>
    </row>
    <row r="719" spans="1:78" ht="15.75" customHeight="1">
      <c r="A719" s="221" t="s">
        <v>2798</v>
      </c>
      <c r="B719" s="200">
        <v>45092</v>
      </c>
      <c r="C719" s="178" t="s">
        <v>2990</v>
      </c>
      <c r="D719" s="178" t="s">
        <v>93</v>
      </c>
      <c r="E719" s="227"/>
      <c r="F719" s="180"/>
      <c r="G719" s="281" t="s">
        <v>2991</v>
      </c>
      <c r="H719" s="182"/>
      <c r="I719" s="182"/>
      <c r="J719" s="182"/>
      <c r="K719" s="183"/>
      <c r="L719" s="182">
        <v>1</v>
      </c>
      <c r="M719" s="182"/>
      <c r="N719" s="182"/>
      <c r="O719" s="183" t="s">
        <v>95</v>
      </c>
      <c r="P719" s="183" t="s">
        <v>137</v>
      </c>
      <c r="Q719" s="183" t="s">
        <v>97</v>
      </c>
      <c r="R719" s="183">
        <v>30</v>
      </c>
      <c r="S719" s="183">
        <v>10</v>
      </c>
      <c r="T719" s="183">
        <v>15</v>
      </c>
      <c r="U719" s="183" t="s">
        <v>22</v>
      </c>
      <c r="V719" s="183"/>
      <c r="W719" s="183"/>
      <c r="X719" s="183"/>
      <c r="Y719" s="184">
        <f>IF(ISBLANK(O719),"",(IF(O719=UPPER("IB"),0.005,0.01)))</f>
        <v>0.01</v>
      </c>
      <c r="Z719" s="185">
        <f>IF(ISBLANK(O719),"",IF(O719="IB",8.63*200,IF(O719="IR",16*100,IF(O719="YT",20*100,IF(O719="YT-XT",24*200,IF(O719="TED",80*100))))))</f>
        <v>1600</v>
      </c>
      <c r="AA719" s="477" t="s">
        <v>2992</v>
      </c>
      <c r="AB719" s="185"/>
      <c r="AC719" s="185"/>
      <c r="AD719" s="649">
        <v>-0.28999999999999998</v>
      </c>
      <c r="AE719" s="182"/>
      <c r="AF719" s="332">
        <v>-0.16</v>
      </c>
      <c r="AG719" s="182" t="s">
        <v>2993</v>
      </c>
      <c r="AH719" s="182">
        <v>-0.12</v>
      </c>
      <c r="AI719" s="182"/>
      <c r="AJ719" s="640"/>
      <c r="AK719" s="182"/>
      <c r="AL719" s="496">
        <f>-0.03*Z719</f>
        <v>-48</v>
      </c>
      <c r="AM719" s="496">
        <f>AL719*(R719-S719)</f>
        <v>-960</v>
      </c>
      <c r="AN719" s="626"/>
      <c r="AO719" s="182"/>
      <c r="AP719" s="182" t="s">
        <v>1017</v>
      </c>
      <c r="AQ719" s="332" t="str">
        <f>UPPER(RIGHT(Journal_Live[[#This Row],[DURATION ]]))</f>
        <v>H</v>
      </c>
      <c r="AR719" s="182" t="s">
        <v>2994</v>
      </c>
      <c r="AS719" s="189">
        <f>((-0.29*10)+(-0.28*20))/30</f>
        <v>-0.28333333333333333</v>
      </c>
      <c r="AT719" s="189">
        <f>IF(ISBLANK(AS719),,IF(U719="S",AD719-AS719,AS719-AD719))</f>
        <v>6.6666666666666541E-3</v>
      </c>
      <c r="AU719" s="187">
        <f>AV719*R719</f>
        <v>319.99999999999937</v>
      </c>
      <c r="AV719" s="190">
        <f>IF(ISBLANK(AS719),,(AT719*Z719))</f>
        <v>10.666666666666647</v>
      </c>
      <c r="AW719" s="191" t="s">
        <v>96</v>
      </c>
      <c r="AX719" s="407"/>
      <c r="AY719" s="407"/>
      <c r="AZ719" s="407"/>
      <c r="BA719" s="407"/>
      <c r="BB719" s="407"/>
      <c r="BC719" s="407"/>
      <c r="BD719" s="407"/>
      <c r="BE719" s="407"/>
      <c r="BF719" s="422"/>
      <c r="BG719" s="391">
        <f>SUM($AV$4:AV719)</f>
        <v>3671.4427287157578</v>
      </c>
      <c r="BH719" s="392">
        <f>SUM($AU$134:AU719)</f>
        <v>9797.4553333333079</v>
      </c>
      <c r="BI719" s="318">
        <f>SUMIFS($AU$134:AU720,$Q$134:Q720,"F")</f>
        <v>926.53333333333308</v>
      </c>
      <c r="BJ719" s="318">
        <f>SUMIFS($AU$134:AU720,$Q$134:Q720,"S")</f>
        <v>9044.4419999999973</v>
      </c>
      <c r="BK719" s="343">
        <f>SUMIFS($AU$134:AU720,$P$134:P720,"W")</f>
        <v>6267.7419999999347</v>
      </c>
      <c r="BL719" s="343">
        <f>SUMIFS($AU$134:AU720,$P$134:P720,"R")</f>
        <v>3524.6733333333341</v>
      </c>
      <c r="BM719" s="343">
        <f>SUMIFS($AU$134:AU720,$AQ$134:AQ720,"M")</f>
        <v>2013.3999999999799</v>
      </c>
      <c r="BN719" s="343">
        <f>SUMIFS($AU$134:AU720,$AQ$134:AQ720,"H")</f>
        <v>3414.1420000000148</v>
      </c>
      <c r="BO719" s="343">
        <f>SUMIFS($AU$134:AU720,$AQ$134:AQ720,"D")</f>
        <v>1201.6899999999998</v>
      </c>
      <c r="BP719" s="343">
        <f>SUMIFS($AU$134:AU722,$AQ$134:AQ722,"W")</f>
        <v>2169.7833333333429</v>
      </c>
      <c r="BQ719" s="343">
        <f>SUMIFS($AU$134:AU720,$Q$134:Q720,"O")</f>
        <v>-428.7200000000276</v>
      </c>
      <c r="BR719" s="343">
        <f>SUMIFS($AU$134:AU720,$AA$134:AA720,"*")</f>
        <v>10609.475333333321</v>
      </c>
      <c r="BS719" s="343">
        <f>SUMIFS($AU$134:AU720,$AB$134:AB720,"*")</f>
        <v>3666.4799999999868</v>
      </c>
      <c r="BT719" s="343">
        <f>SUMIFS($AU$134:AU720,$AC$134:AC720,"*")</f>
        <v>5119.6833333333316</v>
      </c>
      <c r="BU719" s="343">
        <f>SUMIFS($AU$134:AU720,$AA$134:AA720,"*",$AB$134:AB720,"*")</f>
        <v>2226.0000000000045</v>
      </c>
      <c r="BV719" s="343">
        <f>SUMIFS($AU$134:AU720,$AA$134:AA720,"*",$AC$134:AC720,"*")</f>
        <v>6036.7833333333328</v>
      </c>
      <c r="BW719" s="343">
        <f>SUMIFS($AU$134:AU720,$AB$134:AB720,"*",$AC$134:AC720,"*")</f>
        <v>4046.6</v>
      </c>
      <c r="BX719" s="343">
        <f>SUMIFS($AU720:AU$1388,$Q720:Q$1388,"F")</f>
        <v>13514.133333333335</v>
      </c>
      <c r="BY719" s="343">
        <f>SUMIFS($AU720:AU$1388,$Q720:Q$1388,"S")</f>
        <v>11627.2</v>
      </c>
      <c r="BZ719" s="343">
        <f>SUMIFS($AU720:AU$1388,$Q720:Q$1388,"O")</f>
        <v>-1220.1379999997707</v>
      </c>
    </row>
    <row r="720" spans="1:78" ht="15.75" customHeight="1">
      <c r="A720" s="221" t="s">
        <v>2798</v>
      </c>
      <c r="B720" s="200"/>
      <c r="C720" s="178"/>
      <c r="D720" s="178"/>
      <c r="E720" s="227" t="s">
        <v>529</v>
      </c>
      <c r="F720" s="180"/>
      <c r="G720" s="181"/>
      <c r="H720" s="182"/>
      <c r="I720" s="182"/>
      <c r="J720" s="182"/>
      <c r="K720" s="183"/>
      <c r="L720" s="182"/>
      <c r="M720" s="182"/>
      <c r="N720" s="182"/>
      <c r="O720" s="183"/>
      <c r="P720" s="183"/>
      <c r="Q720" s="183"/>
      <c r="R720" s="183"/>
      <c r="S720" s="183"/>
      <c r="T720" s="183"/>
      <c r="U720" s="183"/>
      <c r="V720" s="183"/>
      <c r="W720" s="183"/>
      <c r="X720" s="183"/>
      <c r="Y720" s="183"/>
      <c r="Z720" s="183"/>
      <c r="AA720" s="185"/>
      <c r="AB720" s="185"/>
      <c r="AC720" s="185"/>
      <c r="AD720" s="649"/>
      <c r="AE720" s="182"/>
      <c r="AF720" s="332"/>
      <c r="AG720" s="182"/>
      <c r="AH720" s="182"/>
      <c r="AI720" s="182"/>
      <c r="AJ720" s="640"/>
      <c r="AK720" s="182"/>
      <c r="AL720" s="496"/>
      <c r="AM720" s="496"/>
      <c r="AN720" s="626"/>
      <c r="AO720" s="182"/>
      <c r="AP720" s="182"/>
      <c r="AQ720" s="332" t="str">
        <f>UPPER(RIGHT(Journal_Live[[#This Row],[DURATION ]]))</f>
        <v/>
      </c>
      <c r="AR720" s="182"/>
      <c r="AS720" s="189"/>
      <c r="AT720" s="189"/>
      <c r="AU720" s="187"/>
      <c r="AV720" s="190"/>
      <c r="AW720" s="191"/>
      <c r="AX720" s="407" t="s">
        <v>2995</v>
      </c>
      <c r="AY720" s="407" t="s">
        <v>2996</v>
      </c>
      <c r="AZ720" s="407" t="s">
        <v>2997</v>
      </c>
      <c r="BA720" s="407" t="s">
        <v>2998</v>
      </c>
      <c r="BB720" s="407"/>
      <c r="BC720" s="407"/>
      <c r="BD720" s="407"/>
      <c r="BE720" s="407"/>
      <c r="BF720" s="422"/>
      <c r="BG720" s="391">
        <f>SUM($AV$4:AV720)</f>
        <v>3671.4427287157578</v>
      </c>
      <c r="BH720" s="392">
        <f>SUM($AU$134:AU720)</f>
        <v>9797.4553333333079</v>
      </c>
      <c r="BI720" s="318">
        <f>SUMIFS($AU$134:AU721,$Q$134:Q721,"F")</f>
        <v>926.53333333333308</v>
      </c>
      <c r="BJ720" s="318">
        <f>SUMIFS($AU$134:AU721,$Q$134:Q721,"S")</f>
        <v>9044.4419999999973</v>
      </c>
      <c r="BK720" s="343">
        <f>SUMIFS($AU$134:AU721,$P$134:P721,"W")</f>
        <v>6267.7419999999347</v>
      </c>
      <c r="BL720" s="343">
        <f>SUMIFS($AU$134:AU721,$P$134:P721,"R")</f>
        <v>3524.6733333333341</v>
      </c>
      <c r="BM720" s="343">
        <f>SUMIFS($AU$134:AU721,$AQ$134:AQ721,"M")</f>
        <v>2013.3999999999799</v>
      </c>
      <c r="BN720" s="343">
        <f>SUMIFS($AU$134:AU721,$AQ$134:AQ721,"H")</f>
        <v>3414.1420000000148</v>
      </c>
      <c r="BO720" s="343">
        <f>SUMIFS($AU$134:AU721,$AQ$134:AQ721,"D")</f>
        <v>1201.6899999999998</v>
      </c>
      <c r="BP720" s="343">
        <f>SUMIFS($AU$134:AU723,$AQ$134:AQ723,"W")</f>
        <v>2169.7833333333429</v>
      </c>
      <c r="BQ720" s="343">
        <f>SUMIFS($AU$134:AU721,$Q$134:Q721,"O")</f>
        <v>-428.7200000000276</v>
      </c>
      <c r="BR720" s="343">
        <f>SUMIFS($AU$134:AU721,$AA$134:AA721,"*")</f>
        <v>10609.475333333321</v>
      </c>
      <c r="BS720" s="343">
        <f>SUMIFS($AU$134:AU721,$AB$134:AB721,"*")</f>
        <v>3666.4799999999868</v>
      </c>
      <c r="BT720" s="343">
        <f>SUMIFS($AU$134:AU721,$AC$134:AC721,"*")</f>
        <v>5119.6833333333316</v>
      </c>
      <c r="BU720" s="343">
        <f>SUMIFS($AU$134:AU721,$AA$134:AA721,"*",$AB$134:AB721,"*")</f>
        <v>2226.0000000000045</v>
      </c>
      <c r="BV720" s="343">
        <f>SUMIFS($AU$134:AU721,$AA$134:AA721,"*",$AC$134:AC721,"*")</f>
        <v>6036.7833333333328</v>
      </c>
      <c r="BW720" s="343">
        <f>SUMIFS($AU$134:AU721,$AB$134:AB721,"*",$AC$134:AC721,"*")</f>
        <v>4046.6</v>
      </c>
      <c r="BX720" s="343">
        <f>SUMIFS($AU721:AU$1388,$Q721:Q$1388,"F")</f>
        <v>13514.133333333335</v>
      </c>
      <c r="BY720" s="343">
        <f>SUMIFS($AU721:AU$1388,$Q721:Q$1388,"S")</f>
        <v>11627.2</v>
      </c>
      <c r="BZ720" s="343">
        <f>SUMIFS($AU721:AU$1388,$Q721:Q$1388,"O")</f>
        <v>-1220.1379999997707</v>
      </c>
    </row>
    <row r="721" spans="1:78" ht="15.75" customHeight="1">
      <c r="A721" s="221" t="s">
        <v>2798</v>
      </c>
      <c r="B721" s="200">
        <v>45097</v>
      </c>
      <c r="C721" s="178" t="s">
        <v>2081</v>
      </c>
      <c r="D721" s="178" t="s">
        <v>146</v>
      </c>
      <c r="E721" s="227" t="s">
        <v>1849</v>
      </c>
      <c r="F721" s="227" t="s">
        <v>2999</v>
      </c>
      <c r="G721" s="181"/>
      <c r="H721" s="182"/>
      <c r="I721" s="182"/>
      <c r="J721" s="182"/>
      <c r="K721" s="183"/>
      <c r="L721" s="182"/>
      <c r="M721" s="182"/>
      <c r="N721" s="182"/>
      <c r="O721" s="183"/>
      <c r="P721" s="183"/>
      <c r="Q721" s="183"/>
      <c r="R721" s="183"/>
      <c r="S721" s="183"/>
      <c r="T721" s="183"/>
      <c r="U721" s="183"/>
      <c r="V721" s="183"/>
      <c r="W721" s="183"/>
      <c r="X721" s="183"/>
      <c r="Y721" s="183"/>
      <c r="Z721" s="183"/>
      <c r="AA721" s="185"/>
      <c r="AB721" s="185"/>
      <c r="AC721" s="185"/>
      <c r="AD721" s="649"/>
      <c r="AE721" s="182"/>
      <c r="AF721" s="332"/>
      <c r="AG721" s="182"/>
      <c r="AH721" s="182"/>
      <c r="AI721" s="182"/>
      <c r="AJ721" s="640"/>
      <c r="AK721" s="182"/>
      <c r="AL721" s="496"/>
      <c r="AM721" s="496"/>
      <c r="AN721" s="626"/>
      <c r="AO721" s="182"/>
      <c r="AP721" s="182"/>
      <c r="AQ721" s="332" t="str">
        <f>UPPER(RIGHT(Journal_Live[[#This Row],[DURATION ]]))</f>
        <v/>
      </c>
      <c r="AR721" s="182"/>
      <c r="AS721" s="189"/>
      <c r="AT721" s="189"/>
      <c r="AU721" s="187"/>
      <c r="AV721" s="190"/>
      <c r="AW721" s="191"/>
      <c r="AX721" s="407"/>
      <c r="AY721" s="407"/>
      <c r="AZ721" s="407"/>
      <c r="BA721" s="407"/>
      <c r="BB721" s="407"/>
      <c r="BC721" s="407"/>
      <c r="BD721" s="407"/>
      <c r="BE721" s="407"/>
      <c r="BF721" s="422"/>
      <c r="BG721" s="391">
        <f>SUM($AV$4:AV721)</f>
        <v>3671.4427287157578</v>
      </c>
      <c r="BH721" s="392">
        <f>SUM($AU$134:AU721)</f>
        <v>9797.4553333333079</v>
      </c>
      <c r="BI721" s="318">
        <f>SUMIFS($AU$134:AU722,$Q$134:Q722,"F")</f>
        <v>926.53333333333308</v>
      </c>
      <c r="BJ721" s="318">
        <f>SUMIFS($AU$134:AU722,$Q$134:Q722,"S")</f>
        <v>9044.4419999999973</v>
      </c>
      <c r="BK721" s="343">
        <f>SUMIFS($AU$134:AU722,$P$134:P722,"W")</f>
        <v>6267.7419999999347</v>
      </c>
      <c r="BL721" s="343">
        <f>SUMIFS($AU$134:AU722,$P$134:P722,"R")</f>
        <v>3524.6733333333341</v>
      </c>
      <c r="BM721" s="343">
        <f>SUMIFS($AU$134:AU722,$AQ$134:AQ722,"M")</f>
        <v>2013.3999999999799</v>
      </c>
      <c r="BN721" s="343">
        <f>SUMIFS($AU$134:AU722,$AQ$134:AQ722,"H")</f>
        <v>3414.1420000000148</v>
      </c>
      <c r="BO721" s="343">
        <f>SUMIFS($AU$134:AU722,$AQ$134:AQ722,"D")</f>
        <v>1201.6899999999998</v>
      </c>
      <c r="BP721" s="343">
        <f>SUMIFS($AU$134:AU724,$AQ$134:AQ724,"W")</f>
        <v>2169.7833333333429</v>
      </c>
      <c r="BQ721" s="343">
        <f>SUMIFS($AU$134:AU722,$Q$134:Q722,"O")</f>
        <v>-428.7200000000276</v>
      </c>
      <c r="BR721" s="343">
        <f>SUMIFS($AU$134:AU722,$AA$134:AA722,"*")</f>
        <v>10609.475333333321</v>
      </c>
      <c r="BS721" s="343">
        <f>SUMIFS($AU$134:AU722,$AB$134:AB722,"*")</f>
        <v>3666.4799999999868</v>
      </c>
      <c r="BT721" s="343">
        <f>SUMIFS($AU$134:AU722,$AC$134:AC722,"*")</f>
        <v>5119.6833333333316</v>
      </c>
      <c r="BU721" s="343">
        <f>SUMIFS($AU$134:AU722,$AA$134:AA722,"*",$AB$134:AB722,"*")</f>
        <v>2226.0000000000045</v>
      </c>
      <c r="BV721" s="343">
        <f>SUMIFS($AU$134:AU722,$AA$134:AA722,"*",$AC$134:AC722,"*")</f>
        <v>6036.7833333333328</v>
      </c>
      <c r="BW721" s="343">
        <f>SUMIFS($AU$134:AU722,$AB$134:AB722,"*",$AC$134:AC722,"*")</f>
        <v>4046.6</v>
      </c>
      <c r="BX721" s="343">
        <f>SUMIFS($AU722:AU$1388,$Q722:Q$1388,"F")</f>
        <v>13514.133333333335</v>
      </c>
      <c r="BY721" s="343">
        <f>SUMIFS($AU722:AU$1388,$Q722:Q$1388,"S")</f>
        <v>11627.2</v>
      </c>
      <c r="BZ721" s="343">
        <f>SUMIFS($AU722:AU$1388,$Q722:Q$1388,"O")</f>
        <v>-1220.1379999997707</v>
      </c>
    </row>
    <row r="722" spans="1:78" ht="15.75" customHeight="1">
      <c r="A722" s="221" t="s">
        <v>2798</v>
      </c>
      <c r="B722" s="200">
        <v>45097</v>
      </c>
      <c r="C722" s="178" t="s">
        <v>2370</v>
      </c>
      <c r="D722" s="178" t="s">
        <v>146</v>
      </c>
      <c r="E722" s="227" t="s">
        <v>529</v>
      </c>
      <c r="F722" s="180"/>
      <c r="G722" s="181" t="s">
        <v>2016</v>
      </c>
      <c r="H722" s="182"/>
      <c r="I722" s="182"/>
      <c r="J722" s="182"/>
      <c r="K722" s="183"/>
      <c r="L722" s="182"/>
      <c r="M722" s="182"/>
      <c r="N722" s="182"/>
      <c r="O722" s="183"/>
      <c r="P722" s="183"/>
      <c r="Q722" s="183"/>
      <c r="R722" s="183"/>
      <c r="S722" s="183"/>
      <c r="T722" s="183"/>
      <c r="U722" s="183"/>
      <c r="V722" s="183"/>
      <c r="W722" s="183"/>
      <c r="X722" s="183"/>
      <c r="Y722" s="184"/>
      <c r="Z722" s="185"/>
      <c r="AA722" s="185"/>
      <c r="AB722" s="185"/>
      <c r="AC722" s="185"/>
      <c r="AD722" s="649"/>
      <c r="AE722" s="182"/>
      <c r="AF722" s="332"/>
      <c r="AG722" s="478"/>
      <c r="AH722" s="182"/>
      <c r="AI722" s="182"/>
      <c r="AJ722" s="640"/>
      <c r="AK722" s="182"/>
      <c r="AL722" s="496"/>
      <c r="AM722" s="496"/>
      <c r="AN722" s="626"/>
      <c r="AO722" s="182"/>
      <c r="AP722" s="182"/>
      <c r="AQ722" s="332" t="str">
        <f>UPPER(RIGHT(Journal_Live[[#This Row],[DURATION ]]))</f>
        <v/>
      </c>
      <c r="AR722" s="182"/>
      <c r="AS722" s="189"/>
      <c r="AT722" s="189"/>
      <c r="AU722" s="187"/>
      <c r="AV722" s="190"/>
      <c r="AW722" s="191"/>
      <c r="AX722" s="407" t="s">
        <v>3000</v>
      </c>
      <c r="AY722" s="407"/>
      <c r="AZ722" s="407"/>
      <c r="BA722" s="407"/>
      <c r="BB722" s="407"/>
      <c r="BC722" s="407"/>
      <c r="BD722" s="407"/>
      <c r="BE722" s="407"/>
      <c r="BF722" s="422"/>
      <c r="BG722" s="391">
        <f>SUM($AV$4:AV722)</f>
        <v>3671.4427287157578</v>
      </c>
      <c r="BH722" s="392">
        <f>SUM($AU$134:AU722)</f>
        <v>9797.4553333333079</v>
      </c>
      <c r="BI722" s="318">
        <f>SUMIFS($AU$134:AU723,$Q$134:Q723,"F")</f>
        <v>926.53333333333308</v>
      </c>
      <c r="BJ722" s="318">
        <f>SUMIFS($AU$134:AU723,$Q$134:Q723,"S")</f>
        <v>9044.4419999999973</v>
      </c>
      <c r="BK722" s="343">
        <f>SUMIFS($AU$134:AU723,$P$134:P723,"W")</f>
        <v>6267.7419999999347</v>
      </c>
      <c r="BL722" s="343">
        <f>SUMIFS($AU$134:AU723,$P$134:P723,"R")</f>
        <v>3524.6733333333341</v>
      </c>
      <c r="BM722" s="343">
        <f>SUMIFS($AU$134:AU723,$AQ$134:AQ723,"M")</f>
        <v>2013.3999999999799</v>
      </c>
      <c r="BN722" s="343">
        <f>SUMIFS($AU$134:AU723,$AQ$134:AQ723,"H")</f>
        <v>3414.1420000000148</v>
      </c>
      <c r="BO722" s="343">
        <f>SUMIFS($AU$134:AU723,$AQ$134:AQ723,"D")</f>
        <v>1201.6899999999998</v>
      </c>
      <c r="BP722" s="343">
        <f>SUMIFS($AU$134:AU725,$AQ$134:AQ725,"W")</f>
        <v>2169.7833333333429</v>
      </c>
      <c r="BQ722" s="343">
        <f>SUMIFS($AU$134:AU723,$Q$134:Q723,"O")</f>
        <v>-428.7200000000276</v>
      </c>
      <c r="BR722" s="343">
        <f>SUMIFS($AU$134:AU723,$AA$134:AA723,"*")</f>
        <v>10609.475333333321</v>
      </c>
      <c r="BS722" s="343">
        <f>SUMIFS($AU$134:AU723,$AB$134:AB723,"*")</f>
        <v>3666.4799999999868</v>
      </c>
      <c r="BT722" s="343">
        <f>SUMIFS($AU$134:AU723,$AC$134:AC723,"*")</f>
        <v>5119.6833333333316</v>
      </c>
      <c r="BU722" s="343">
        <f>SUMIFS($AU$134:AU723,$AA$134:AA723,"*",$AB$134:AB723,"*")</f>
        <v>2226.0000000000045</v>
      </c>
      <c r="BV722" s="343">
        <f>SUMIFS($AU$134:AU723,$AA$134:AA723,"*",$AC$134:AC723,"*")</f>
        <v>6036.7833333333328</v>
      </c>
      <c r="BW722" s="343">
        <f>SUMIFS($AU$134:AU723,$AB$134:AB723,"*",$AC$134:AC723,"*")</f>
        <v>4046.6</v>
      </c>
      <c r="BX722" s="343">
        <f>SUMIFS($AU723:AU$1388,$Q723:Q$1388,"F")</f>
        <v>13514.133333333335</v>
      </c>
      <c r="BY722" s="343">
        <f>SUMIFS($AU723:AU$1388,$Q723:Q$1388,"S")</f>
        <v>11627.2</v>
      </c>
      <c r="BZ722" s="343">
        <f>SUMIFS($AU723:AU$1388,$Q723:Q$1388,"O")</f>
        <v>-1220.1379999997707</v>
      </c>
    </row>
    <row r="723" spans="1:78" ht="15.75" customHeight="1">
      <c r="A723" s="221" t="s">
        <v>2798</v>
      </c>
      <c r="B723" s="200">
        <v>45097</v>
      </c>
      <c r="C723" s="178" t="s">
        <v>3001</v>
      </c>
      <c r="D723" s="178" t="s">
        <v>146</v>
      </c>
      <c r="E723" s="227" t="s">
        <v>529</v>
      </c>
      <c r="F723" s="180"/>
      <c r="G723" s="181" t="s">
        <v>2016</v>
      </c>
      <c r="H723" s="182"/>
      <c r="I723" s="182"/>
      <c r="J723" s="182"/>
      <c r="K723" s="183"/>
      <c r="L723" s="182"/>
      <c r="M723" s="182"/>
      <c r="N723" s="182"/>
      <c r="O723" s="183"/>
      <c r="P723" s="183"/>
      <c r="Q723" s="183"/>
      <c r="R723" s="183"/>
      <c r="S723" s="183"/>
      <c r="T723" s="183"/>
      <c r="U723" s="183"/>
      <c r="V723" s="183"/>
      <c r="W723" s="183"/>
      <c r="X723" s="183"/>
      <c r="Y723" s="184"/>
      <c r="Z723" s="185"/>
      <c r="AA723" s="185"/>
      <c r="AB723" s="185"/>
      <c r="AC723" s="185"/>
      <c r="AD723" s="649"/>
      <c r="AE723" s="182"/>
      <c r="AF723" s="332"/>
      <c r="AG723" s="182"/>
      <c r="AH723" s="182"/>
      <c r="AI723" s="182"/>
      <c r="AJ723" s="640"/>
      <c r="AK723" s="182"/>
      <c r="AL723" s="496"/>
      <c r="AM723" s="496"/>
      <c r="AN723" s="626"/>
      <c r="AO723" s="182"/>
      <c r="AP723" s="182"/>
      <c r="AQ723" s="332" t="str">
        <f>UPPER(RIGHT(Journal_Live[[#This Row],[DURATION ]]))</f>
        <v/>
      </c>
      <c r="AR723" s="182"/>
      <c r="AS723" s="189"/>
      <c r="AT723" s="189"/>
      <c r="AU723" s="187"/>
      <c r="AV723" s="190"/>
      <c r="AW723" s="191"/>
      <c r="AX723" s="407"/>
      <c r="AY723" s="407"/>
      <c r="AZ723" s="407"/>
      <c r="BA723" s="407"/>
      <c r="BB723" s="407"/>
      <c r="BC723" s="407"/>
      <c r="BD723" s="407"/>
      <c r="BE723" s="407"/>
      <c r="BF723" s="422"/>
      <c r="BG723" s="391">
        <f>SUM($AV$4:AV723)</f>
        <v>3671.4427287157578</v>
      </c>
      <c r="BH723" s="392">
        <f>SUM($AU$134:AU723)</f>
        <v>9797.4553333333079</v>
      </c>
      <c r="BI723" s="318">
        <f>SUMIFS($AU$134:AU724,$Q$134:Q724,"F")</f>
        <v>926.53333333333308</v>
      </c>
      <c r="BJ723" s="318">
        <f>SUMIFS($AU$134:AU724,$Q$134:Q724,"S")</f>
        <v>9204.4419999999973</v>
      </c>
      <c r="BK723" s="343">
        <f>SUMIFS($AU$134:AU724,$P$134:P724,"W")</f>
        <v>6427.7419999999347</v>
      </c>
      <c r="BL723" s="343">
        <f>SUMIFS($AU$134:AU724,$P$134:P724,"R")</f>
        <v>3524.6733333333341</v>
      </c>
      <c r="BM723" s="343">
        <f>SUMIFS($AU$134:AU724,$AQ$134:AQ724,"M")</f>
        <v>2013.3999999999799</v>
      </c>
      <c r="BN723" s="343">
        <f>SUMIFS($AU$134:AU724,$AQ$134:AQ724,"H")</f>
        <v>3574.1420000000148</v>
      </c>
      <c r="BO723" s="343">
        <f>SUMIFS($AU$134:AU724,$AQ$134:AQ724,"D")</f>
        <v>1201.6899999999998</v>
      </c>
      <c r="BP723" s="343">
        <f>SUMIFS($AU$134:AU726,$AQ$134:AQ726,"W")</f>
        <v>2169.7833333333429</v>
      </c>
      <c r="BQ723" s="343">
        <f>SUMIFS($AU$134:AU724,$Q$134:Q724,"O")</f>
        <v>-428.7200000000276</v>
      </c>
      <c r="BR723" s="343">
        <f>SUMIFS($AU$134:AU724,$AA$134:AA724,"*")</f>
        <v>10769.475333333321</v>
      </c>
      <c r="BS723" s="343">
        <f>SUMIFS($AU$134:AU724,$AB$134:AB724,"*")</f>
        <v>3826.4799999999868</v>
      </c>
      <c r="BT723" s="343">
        <f>SUMIFS($AU$134:AU724,$AC$134:AC724,"*")</f>
        <v>5119.6833333333316</v>
      </c>
      <c r="BU723" s="343">
        <f>SUMIFS($AU$134:AU724,$AA$134:AA724,"*",$AB$134:AB724,"*")</f>
        <v>2386.0000000000045</v>
      </c>
      <c r="BV723" s="343">
        <f>SUMIFS($AU$134:AU724,$AA$134:AA724,"*",$AC$134:AC724,"*")</f>
        <v>6036.7833333333328</v>
      </c>
      <c r="BW723" s="343">
        <f>SUMIFS($AU$134:AU724,$AB$134:AB724,"*",$AC$134:AC724,"*")</f>
        <v>4046.6</v>
      </c>
      <c r="BX723" s="343">
        <f>SUMIFS($AU724:AU$1388,$Q724:Q$1388,"F")</f>
        <v>13514.133333333335</v>
      </c>
      <c r="BY723" s="343">
        <f>SUMIFS($AU724:AU$1388,$Q724:Q$1388,"S")</f>
        <v>11627.2</v>
      </c>
      <c r="BZ723" s="343">
        <f>SUMIFS($AU724:AU$1388,$Q724:Q$1388,"O")</f>
        <v>-1220.1379999997707</v>
      </c>
    </row>
    <row r="724" spans="1:78" ht="15.75" customHeight="1">
      <c r="A724" s="221" t="s">
        <v>2798</v>
      </c>
      <c r="B724" s="200">
        <v>45097</v>
      </c>
      <c r="C724" s="178" t="s">
        <v>3001</v>
      </c>
      <c r="D724" s="178" t="s">
        <v>146</v>
      </c>
      <c r="E724" s="227" t="s">
        <v>529</v>
      </c>
      <c r="F724" s="180"/>
      <c r="G724" s="181" t="s">
        <v>136</v>
      </c>
      <c r="H724" s="182"/>
      <c r="I724" s="182"/>
      <c r="J724" s="182"/>
      <c r="K724" s="183"/>
      <c r="L724" s="182">
        <v>1</v>
      </c>
      <c r="M724" s="182"/>
      <c r="N724" s="182"/>
      <c r="O724" s="183" t="s">
        <v>95</v>
      </c>
      <c r="P724" s="183" t="s">
        <v>96</v>
      </c>
      <c r="Q724" s="183" t="s">
        <v>97</v>
      </c>
      <c r="R724" s="183">
        <v>10</v>
      </c>
      <c r="S724" s="183">
        <v>0</v>
      </c>
      <c r="T724" s="183">
        <v>10</v>
      </c>
      <c r="U724" s="183" t="s">
        <v>97</v>
      </c>
      <c r="V724" s="183"/>
      <c r="W724" s="183"/>
      <c r="X724" s="183"/>
      <c r="Y724" s="184">
        <f>IF(ISBLANK(O724),"",(IF(O724=UPPER("IB"),0.005,0.01)))</f>
        <v>0.01</v>
      </c>
      <c r="Z724" s="185">
        <f>IF(ISBLANK(O724),"",IF(O724="IB",8.63*200,IF(O724="IR",16*100,IF(O724="YT",20*100,IF(O724="YT-XT",24*200,IF(O724="TED",80*100))))))</f>
        <v>1600</v>
      </c>
      <c r="AA724" s="185" t="s">
        <v>99</v>
      </c>
      <c r="AB724" s="185" t="s">
        <v>3002</v>
      </c>
      <c r="AC724" s="185"/>
      <c r="AD724" s="649">
        <v>-0.12</v>
      </c>
      <c r="AE724" s="182"/>
      <c r="AF724" s="332">
        <v>-0.09</v>
      </c>
      <c r="AG724" s="182"/>
      <c r="AH724" s="182"/>
      <c r="AI724" s="182"/>
      <c r="AJ724" s="640"/>
      <c r="AK724" s="182"/>
      <c r="AL724" s="496">
        <f t="shared" ref="AL724" si="268">-0.03*Z724</f>
        <v>-48</v>
      </c>
      <c r="AM724" s="496">
        <f>AL724*(R724-S724)</f>
        <v>-480</v>
      </c>
      <c r="AN724" s="626"/>
      <c r="AO724" s="182"/>
      <c r="AP724" s="182" t="s">
        <v>1026</v>
      </c>
      <c r="AQ724" s="332" t="str">
        <f>UPPER(RIGHT(Journal_Live[[#This Row],[DURATION ]]))</f>
        <v>H</v>
      </c>
      <c r="AR724" s="182" t="s">
        <v>3003</v>
      </c>
      <c r="AS724" s="189">
        <v>-0.13</v>
      </c>
      <c r="AT724" s="189">
        <f>IF(ISBLANK(AS724),,IF(U724="S",AD724-AS724,AS724-AD724))</f>
        <v>1.0000000000000009E-2</v>
      </c>
      <c r="AU724" s="187">
        <f>AV724*R724</f>
        <v>160.00000000000014</v>
      </c>
      <c r="AV724" s="190">
        <f>IF(ISBLANK(AS724),,(AT724*Z724))</f>
        <v>16.000000000000014</v>
      </c>
      <c r="AW724" s="191" t="s">
        <v>96</v>
      </c>
      <c r="AX724" s="407"/>
      <c r="AY724" s="407"/>
      <c r="AZ724" s="407"/>
      <c r="BA724" s="407"/>
      <c r="BB724" s="407"/>
      <c r="BC724" s="407"/>
      <c r="BD724" s="407"/>
      <c r="BE724" s="407"/>
      <c r="BF724" s="422"/>
      <c r="BG724" s="391">
        <f>SUM($AV$4:AV724)</f>
        <v>3687.4427287157578</v>
      </c>
      <c r="BH724" s="392">
        <f>SUM($AU$134:AU724)</f>
        <v>9957.4553333333079</v>
      </c>
      <c r="BI724" s="318">
        <f>SUMIFS($AU$134:AU725,$Q$134:Q725,"F")</f>
        <v>926.53333333333308</v>
      </c>
      <c r="BJ724" s="318">
        <f>SUMIFS($AU$134:AU725,$Q$134:Q725,"S")</f>
        <v>9204.4419999999973</v>
      </c>
      <c r="BK724" s="343">
        <f>SUMIFS($AU$134:AU725,$P$134:P725,"W")</f>
        <v>6427.7419999999347</v>
      </c>
      <c r="BL724" s="343">
        <f>SUMIFS($AU$134:AU725,$P$134:P725,"R")</f>
        <v>3524.6733333333341</v>
      </c>
      <c r="BM724" s="343">
        <f>SUMIFS($AU$134:AU725,$AQ$134:AQ725,"M")</f>
        <v>2013.3999999999799</v>
      </c>
      <c r="BN724" s="343">
        <f>SUMIFS($AU$134:AU725,$AQ$134:AQ725,"H")</f>
        <v>3574.1420000000148</v>
      </c>
      <c r="BO724" s="343">
        <f>SUMIFS($AU$134:AU725,$AQ$134:AQ725,"D")</f>
        <v>1201.6899999999998</v>
      </c>
      <c r="BP724" s="343">
        <f>SUMIFS($AU$134:AU727,$AQ$134:AQ727,"W")</f>
        <v>2169.7833333333429</v>
      </c>
      <c r="BQ724" s="343">
        <f>SUMIFS($AU$134:AU725,$Q$134:Q725,"O")</f>
        <v>-428.7200000000276</v>
      </c>
      <c r="BR724" s="343">
        <f>SUMIFS($AU$134:AU725,$AA$134:AA725,"*")</f>
        <v>10769.475333333321</v>
      </c>
      <c r="BS724" s="343">
        <f>SUMIFS($AU$134:AU725,$AB$134:AB725,"*")</f>
        <v>3826.4799999999868</v>
      </c>
      <c r="BT724" s="343">
        <f>SUMIFS($AU$134:AU725,$AC$134:AC725,"*")</f>
        <v>5119.6833333333316</v>
      </c>
      <c r="BU724" s="343">
        <f>SUMIFS($AU$134:AU725,$AA$134:AA725,"*",$AB$134:AB725,"*")</f>
        <v>2386.0000000000045</v>
      </c>
      <c r="BV724" s="343">
        <f>SUMIFS($AU$134:AU725,$AA$134:AA725,"*",$AC$134:AC725,"*")</f>
        <v>6036.7833333333328</v>
      </c>
      <c r="BW724" s="343">
        <f>SUMIFS($AU$134:AU725,$AB$134:AB725,"*",$AC$134:AC725,"*")</f>
        <v>4046.6</v>
      </c>
      <c r="BX724" s="343">
        <f>SUMIFS($AU725:AU$1388,$Q725:Q$1388,"F")</f>
        <v>13514.133333333335</v>
      </c>
      <c r="BY724" s="343">
        <f>SUMIFS($AU725:AU$1388,$Q725:Q$1388,"S")</f>
        <v>11467.2</v>
      </c>
      <c r="BZ724" s="343">
        <f>SUMIFS($AU725:AU$1388,$Q725:Q$1388,"O")</f>
        <v>-1220.1379999997707</v>
      </c>
    </row>
    <row r="725" spans="1:78" ht="15.75" customHeight="1">
      <c r="A725" s="221" t="s">
        <v>2798</v>
      </c>
      <c r="B725" s="200">
        <v>45097</v>
      </c>
      <c r="C725" s="178" t="s">
        <v>3004</v>
      </c>
      <c r="D725" s="178" t="s">
        <v>146</v>
      </c>
      <c r="E725" s="227" t="s">
        <v>3005</v>
      </c>
      <c r="F725" s="180"/>
      <c r="G725" s="181"/>
      <c r="H725" s="182"/>
      <c r="I725" s="182"/>
      <c r="J725" s="182"/>
      <c r="K725" s="183"/>
      <c r="L725" s="182"/>
      <c r="M725" s="182"/>
      <c r="N725" s="182"/>
      <c r="O725" s="183"/>
      <c r="P725" s="183"/>
      <c r="Q725" s="183"/>
      <c r="R725" s="183"/>
      <c r="S725" s="183"/>
      <c r="T725" s="183"/>
      <c r="U725" s="183"/>
      <c r="V725" s="183"/>
      <c r="W725" s="183"/>
      <c r="X725" s="183"/>
      <c r="Y725" s="184" t="str">
        <f>IF(ISBLANK(O725),"",(IF(O725=UPPER("IB"),0.005,0.01)))</f>
        <v/>
      </c>
      <c r="Z725" s="185" t="str">
        <f>IF(ISBLANK(O725),"",IF(O725="IB",8.63*200,IF(O725="IR",16*100,IF(O725="YT",20*100,IF(O725="YT-XT",24*200,IF(O725="TED",80*100))))))</f>
        <v/>
      </c>
      <c r="AA725" s="185"/>
      <c r="AB725" s="185"/>
      <c r="AC725" s="185"/>
      <c r="AD725" s="649"/>
      <c r="AE725" s="182"/>
      <c r="AF725" s="332"/>
      <c r="AG725" s="182"/>
      <c r="AH725" s="182"/>
      <c r="AI725" s="182"/>
      <c r="AJ725" s="640"/>
      <c r="AK725" s="182"/>
      <c r="AL725" s="496"/>
      <c r="AM725" s="496"/>
      <c r="AN725" s="626"/>
      <c r="AO725" s="182"/>
      <c r="AP725" s="182"/>
      <c r="AQ725" s="332" t="str">
        <f>UPPER(RIGHT(Journal_Live[[#This Row],[DURATION ]]))</f>
        <v/>
      </c>
      <c r="AR725" s="182"/>
      <c r="AS725" s="189"/>
      <c r="AT725" s="189"/>
      <c r="AU725" s="187"/>
      <c r="AV725" s="190"/>
      <c r="AW725" s="191"/>
      <c r="AX725" s="407" t="s">
        <v>3006</v>
      </c>
      <c r="AY725" s="407" t="s">
        <v>3007</v>
      </c>
      <c r="AZ725" s="407"/>
      <c r="BA725" s="407"/>
      <c r="BB725" s="407"/>
      <c r="BC725" s="407"/>
      <c r="BD725" s="407"/>
      <c r="BE725" s="407"/>
      <c r="BF725" s="422"/>
      <c r="BG725" s="391">
        <f>SUM($AV$4:AV725)</f>
        <v>3687.4427287157578</v>
      </c>
      <c r="BH725" s="392">
        <f>SUM($AU$134:AU725)</f>
        <v>9957.4553333333079</v>
      </c>
      <c r="BI725" s="318">
        <f>SUMIFS($AU$134:AU726,$Q$134:Q726,"F")</f>
        <v>926.53333333333308</v>
      </c>
      <c r="BJ725" s="318">
        <f>SUMIFS($AU$134:AU726,$Q$134:Q726,"S")</f>
        <v>9204.4419999999973</v>
      </c>
      <c r="BK725" s="343">
        <f>SUMIFS($AU$134:AU726,$P$134:P726,"W")</f>
        <v>6427.7419999999347</v>
      </c>
      <c r="BL725" s="343">
        <f>SUMIFS($AU$134:AU726,$P$134:P726,"R")</f>
        <v>3524.6733333333341</v>
      </c>
      <c r="BM725" s="343">
        <f>SUMIFS($AU$134:AU726,$AQ$134:AQ726,"M")</f>
        <v>2013.3999999999799</v>
      </c>
      <c r="BN725" s="343">
        <f>SUMIFS($AU$134:AU726,$AQ$134:AQ726,"H")</f>
        <v>3574.1420000000148</v>
      </c>
      <c r="BO725" s="343">
        <f>SUMIFS($AU$134:AU726,$AQ$134:AQ726,"D")</f>
        <v>1201.6899999999998</v>
      </c>
      <c r="BP725" s="343">
        <f>SUMIFS($AU$134:AU728,$AQ$134:AQ728,"W")</f>
        <v>2169.7833333333429</v>
      </c>
      <c r="BQ725" s="343">
        <f>SUMIFS($AU$134:AU726,$Q$134:Q726,"O")</f>
        <v>-428.7200000000276</v>
      </c>
      <c r="BR725" s="343">
        <f>SUMIFS($AU$134:AU726,$AA$134:AA726,"*")</f>
        <v>10769.475333333321</v>
      </c>
      <c r="BS725" s="343">
        <f>SUMIFS($AU$134:AU726,$AB$134:AB726,"*")</f>
        <v>3826.4799999999868</v>
      </c>
      <c r="BT725" s="343">
        <f>SUMIFS($AU$134:AU726,$AC$134:AC726,"*")</f>
        <v>5119.6833333333316</v>
      </c>
      <c r="BU725" s="343">
        <f>SUMIFS($AU$134:AU726,$AA$134:AA726,"*",$AB$134:AB726,"*")</f>
        <v>2386.0000000000045</v>
      </c>
      <c r="BV725" s="343">
        <f>SUMIFS($AU$134:AU726,$AA$134:AA726,"*",$AC$134:AC726,"*")</f>
        <v>6036.7833333333328</v>
      </c>
      <c r="BW725" s="343">
        <f>SUMIFS($AU$134:AU726,$AB$134:AB726,"*",$AC$134:AC726,"*")</f>
        <v>4046.6</v>
      </c>
      <c r="BX725" s="343">
        <f>SUMIFS($AU726:AU$1388,$Q726:Q$1388,"F")</f>
        <v>13514.133333333335</v>
      </c>
      <c r="BY725" s="343">
        <f>SUMIFS($AU726:AU$1388,$Q726:Q$1388,"S")</f>
        <v>11467.2</v>
      </c>
      <c r="BZ725" s="343">
        <f>SUMIFS($AU726:AU$1388,$Q726:Q$1388,"O")</f>
        <v>-1220.1379999997707</v>
      </c>
    </row>
    <row r="726" spans="1:78" ht="15.75" customHeight="1">
      <c r="A726" s="221" t="s">
        <v>2798</v>
      </c>
      <c r="B726" s="200">
        <v>45097</v>
      </c>
      <c r="C726" s="178" t="s">
        <v>3008</v>
      </c>
      <c r="D726" s="178" t="s">
        <v>146</v>
      </c>
      <c r="E726" s="227" t="s">
        <v>529</v>
      </c>
      <c r="F726" s="180"/>
      <c r="G726" s="181" t="s">
        <v>3009</v>
      </c>
      <c r="H726" s="182"/>
      <c r="I726" s="182"/>
      <c r="J726" s="182"/>
      <c r="K726" s="183"/>
      <c r="L726" s="182"/>
      <c r="M726" s="182"/>
      <c r="N726" s="182"/>
      <c r="O726" s="183"/>
      <c r="P726" s="183"/>
      <c r="Q726" s="183"/>
      <c r="R726" s="183"/>
      <c r="S726" s="183"/>
      <c r="T726" s="183"/>
      <c r="U726" s="183"/>
      <c r="V726" s="183"/>
      <c r="W726" s="183"/>
      <c r="X726" s="183"/>
      <c r="Y726" s="184"/>
      <c r="Z726" s="185"/>
      <c r="AA726" s="185"/>
      <c r="AB726" s="185"/>
      <c r="AC726" s="185"/>
      <c r="AD726" s="649"/>
      <c r="AE726" s="182"/>
      <c r="AF726" s="332"/>
      <c r="AG726" s="182"/>
      <c r="AH726" s="182"/>
      <c r="AI726" s="182"/>
      <c r="AJ726" s="640"/>
      <c r="AK726" s="182"/>
      <c r="AL726" s="496"/>
      <c r="AM726" s="496"/>
      <c r="AN726" s="626"/>
      <c r="AO726" s="182"/>
      <c r="AP726" s="182"/>
      <c r="AQ726" s="332" t="str">
        <f>UPPER(RIGHT(Journal_Live[[#This Row],[DURATION ]]))</f>
        <v/>
      </c>
      <c r="AR726" s="182"/>
      <c r="AS726" s="189"/>
      <c r="AT726" s="189"/>
      <c r="AU726" s="187"/>
      <c r="AV726" s="190"/>
      <c r="AW726" s="191"/>
      <c r="AX726" s="407" t="s">
        <v>3010</v>
      </c>
      <c r="AY726" s="407" t="s">
        <v>3011</v>
      </c>
      <c r="AZ726" s="407"/>
      <c r="BA726" s="407"/>
      <c r="BB726" s="407"/>
      <c r="BC726" s="407"/>
      <c r="BD726" s="407"/>
      <c r="BE726" s="407"/>
      <c r="BF726" s="422"/>
      <c r="BG726" s="391">
        <f>SUM($AV$4:AV726)</f>
        <v>3687.4427287157578</v>
      </c>
      <c r="BH726" s="392">
        <f>SUM($AU$134:AU726)</f>
        <v>9957.4553333333079</v>
      </c>
      <c r="BI726" s="318">
        <f>SUMIFS($AU$134:AU727,$Q$134:Q727,"F")</f>
        <v>926.53333333333308</v>
      </c>
      <c r="BJ726" s="318">
        <f>SUMIFS($AU$134:AU727,$Q$134:Q727,"S")</f>
        <v>9284.4419999999973</v>
      </c>
      <c r="BK726" s="343">
        <f>SUMIFS($AU$134:AU727,$P$134:P727,"W")</f>
        <v>6507.7419999999347</v>
      </c>
      <c r="BL726" s="343">
        <f>SUMIFS($AU$134:AU727,$P$134:P727,"R")</f>
        <v>3524.6733333333341</v>
      </c>
      <c r="BM726" s="343">
        <f>SUMIFS($AU$134:AU727,$AQ$134:AQ727,"M")</f>
        <v>2013.3999999999799</v>
      </c>
      <c r="BN726" s="343">
        <f>SUMIFS($AU$134:AU727,$AQ$134:AQ727,"H")</f>
        <v>3574.1420000000148</v>
      </c>
      <c r="BO726" s="343">
        <f>SUMIFS($AU$134:AU727,$AQ$134:AQ727,"D")</f>
        <v>1281.6899999999998</v>
      </c>
      <c r="BP726" s="343">
        <f>SUMIFS($AU$134:AU729,$AQ$134:AQ729,"W")</f>
        <v>2169.7833333333429</v>
      </c>
      <c r="BQ726" s="343">
        <f>SUMIFS($AU$134:AU727,$Q$134:Q727,"O")</f>
        <v>-428.7200000000276</v>
      </c>
      <c r="BR726" s="343">
        <f>SUMIFS($AU$134:AU727,$AA$134:AA727,"*")</f>
        <v>10849.475333333321</v>
      </c>
      <c r="BS726" s="343">
        <f>SUMIFS($AU$134:AU727,$AB$134:AB727,"*")</f>
        <v>3826.4799999999868</v>
      </c>
      <c r="BT726" s="343">
        <f>SUMIFS($AU$134:AU727,$AC$134:AC727,"*")</f>
        <v>5119.6833333333316</v>
      </c>
      <c r="BU726" s="343">
        <f>SUMIFS($AU$134:AU727,$AA$134:AA727,"*",$AB$134:AB727,"*")</f>
        <v>2386.0000000000045</v>
      </c>
      <c r="BV726" s="343">
        <f>SUMIFS($AU$134:AU727,$AA$134:AA727,"*",$AC$134:AC727,"*")</f>
        <v>6036.7833333333328</v>
      </c>
      <c r="BW726" s="343">
        <f>SUMIFS($AU$134:AU727,$AB$134:AB727,"*",$AC$134:AC727,"*")</f>
        <v>4046.6</v>
      </c>
      <c r="BX726" s="343">
        <f>SUMIFS($AU727:AU$1388,$Q727:Q$1388,"F")</f>
        <v>13514.133333333335</v>
      </c>
      <c r="BY726" s="343">
        <f>SUMIFS($AU727:AU$1388,$Q727:Q$1388,"S")</f>
        <v>11467.2</v>
      </c>
      <c r="BZ726" s="343">
        <f>SUMIFS($AU727:AU$1388,$Q727:Q$1388,"O")</f>
        <v>-1220.1379999997707</v>
      </c>
    </row>
    <row r="727" spans="1:78" ht="15.75" customHeight="1">
      <c r="A727" s="221" t="s">
        <v>2798</v>
      </c>
      <c r="B727" s="200">
        <v>45097</v>
      </c>
      <c r="C727" s="178" t="s">
        <v>3012</v>
      </c>
      <c r="D727" s="178" t="s">
        <v>146</v>
      </c>
      <c r="E727" s="227" t="s">
        <v>529</v>
      </c>
      <c r="F727" s="180"/>
      <c r="G727" s="281" t="s">
        <v>181</v>
      </c>
      <c r="H727" s="182"/>
      <c r="I727" s="182"/>
      <c r="J727" s="182"/>
      <c r="K727" s="183"/>
      <c r="L727" s="182">
        <v>1</v>
      </c>
      <c r="M727" s="182"/>
      <c r="N727" s="182"/>
      <c r="O727" s="183" t="s">
        <v>95</v>
      </c>
      <c r="P727" s="183" t="s">
        <v>96</v>
      </c>
      <c r="Q727" s="183" t="s">
        <v>97</v>
      </c>
      <c r="R727" s="183">
        <v>10</v>
      </c>
      <c r="S727" s="183">
        <v>5</v>
      </c>
      <c r="T727" s="183">
        <v>10</v>
      </c>
      <c r="U727" s="183" t="s">
        <v>22</v>
      </c>
      <c r="V727" s="183"/>
      <c r="W727" s="183"/>
      <c r="X727" s="183"/>
      <c r="Y727" s="184">
        <f>IF(ISBLANK(O727),"",(IF(O727=UPPER("IB"),0.005,0.01)))</f>
        <v>0.01</v>
      </c>
      <c r="Z727" s="185">
        <f>IF(ISBLANK(O727),"",IF(O727="IB",8.63*200,IF(O727="IR",16*100,IF(O727="YT",20*100,IF(O727="YT-XT",24*200,IF(O727="TED",80*100))))))</f>
        <v>1600</v>
      </c>
      <c r="AA727" s="185" t="s">
        <v>99</v>
      </c>
      <c r="AB727" s="185"/>
      <c r="AC727" s="185"/>
      <c r="AD727" s="649">
        <v>-0.12</v>
      </c>
      <c r="AE727" s="182"/>
      <c r="AF727" s="332"/>
      <c r="AG727" s="182"/>
      <c r="AH727" s="182"/>
      <c r="AI727" s="182"/>
      <c r="AJ727" s="640"/>
      <c r="AK727" s="182"/>
      <c r="AL727" s="496">
        <f>-0.025*Z727</f>
        <v>-40</v>
      </c>
      <c r="AM727" s="496">
        <f>AL727*(R727-S727)</f>
        <v>-200</v>
      </c>
      <c r="AN727" s="626"/>
      <c r="AO727" s="182"/>
      <c r="AP727" s="182" t="s">
        <v>770</v>
      </c>
      <c r="AQ727" s="332" t="str">
        <f>UPPER(RIGHT(Journal_Live[[#This Row],[DURATION ]]))</f>
        <v>D</v>
      </c>
      <c r="AR727" s="182" t="s">
        <v>2253</v>
      </c>
      <c r="AS727" s="189">
        <f>((-0.12*5)+(-0.11*5))/10</f>
        <v>-0.11499999999999999</v>
      </c>
      <c r="AT727" s="189">
        <f>IF(ISBLANK(AS727),,IF(U727="S",AD727-AS727,AS727-AD727))</f>
        <v>5.0000000000000044E-3</v>
      </c>
      <c r="AU727" s="187">
        <f>AV727*R727</f>
        <v>80.000000000000071</v>
      </c>
      <c r="AV727" s="190">
        <f>IF(ISBLANK(AS727),,(AT727*Z727))</f>
        <v>8.0000000000000071</v>
      </c>
      <c r="AW727" s="191" t="s">
        <v>96</v>
      </c>
      <c r="AX727" s="407" t="s">
        <v>3013</v>
      </c>
      <c r="AY727" s="407"/>
      <c r="AZ727" s="407"/>
      <c r="BA727" s="407"/>
      <c r="BB727" s="407"/>
      <c r="BC727" s="407"/>
      <c r="BD727" s="407"/>
      <c r="BE727" s="407"/>
      <c r="BF727" s="422"/>
      <c r="BG727" s="391">
        <f>SUM($AV$4:AV727)</f>
        <v>3695.4427287157578</v>
      </c>
      <c r="BH727" s="392">
        <f>SUM($AU$134:AU727)</f>
        <v>10037.455333333308</v>
      </c>
      <c r="BI727" s="318">
        <f>SUMIFS($AU$134:AU728,$Q$134:Q728,"F")</f>
        <v>926.53333333333308</v>
      </c>
      <c r="BJ727" s="318">
        <f>SUMIFS($AU$134:AU728,$Q$134:Q728,"S")</f>
        <v>9284.4419999999973</v>
      </c>
      <c r="BK727" s="343">
        <f>SUMIFS($AU$134:AU728,$P$134:P728,"W")</f>
        <v>6507.7419999999347</v>
      </c>
      <c r="BL727" s="343">
        <f>SUMIFS($AU$134:AU728,$P$134:P728,"R")</f>
        <v>3524.6733333333341</v>
      </c>
      <c r="BM727" s="343">
        <f>SUMIFS($AU$134:AU728,$AQ$134:AQ728,"M")</f>
        <v>2013.3999999999799</v>
      </c>
      <c r="BN727" s="343">
        <f>SUMIFS($AU$134:AU728,$AQ$134:AQ728,"H")</f>
        <v>3574.1420000000148</v>
      </c>
      <c r="BO727" s="343">
        <f>SUMIFS($AU$134:AU728,$AQ$134:AQ728,"D")</f>
        <v>1281.6899999999998</v>
      </c>
      <c r="BP727" s="343">
        <f>SUMIFS($AU$134:AU730,$AQ$134:AQ730,"W")</f>
        <v>2169.7833333333429</v>
      </c>
      <c r="BQ727" s="343">
        <f>SUMIFS($AU$134:AU728,$Q$134:Q728,"O")</f>
        <v>-428.7200000000276</v>
      </c>
      <c r="BR727" s="343">
        <f>SUMIFS($AU$134:AU728,$AA$134:AA728,"*")</f>
        <v>10849.475333333321</v>
      </c>
      <c r="BS727" s="343">
        <f>SUMIFS($AU$134:AU728,$AB$134:AB728,"*")</f>
        <v>3826.4799999999868</v>
      </c>
      <c r="BT727" s="343">
        <f>SUMIFS($AU$134:AU728,$AC$134:AC728,"*")</f>
        <v>5119.6833333333316</v>
      </c>
      <c r="BU727" s="343">
        <f>SUMIFS($AU$134:AU728,$AA$134:AA728,"*",$AB$134:AB728,"*")</f>
        <v>2386.0000000000045</v>
      </c>
      <c r="BV727" s="343">
        <f>SUMIFS($AU$134:AU728,$AA$134:AA728,"*",$AC$134:AC728,"*")</f>
        <v>6036.7833333333328</v>
      </c>
      <c r="BW727" s="343">
        <f>SUMIFS($AU$134:AU728,$AB$134:AB728,"*",$AC$134:AC728,"*")</f>
        <v>4046.6</v>
      </c>
      <c r="BX727" s="343">
        <f>SUMIFS($AU728:AU$1388,$Q728:Q$1388,"F")</f>
        <v>13514.133333333335</v>
      </c>
      <c r="BY727" s="343">
        <f>SUMIFS($AU728:AU$1388,$Q728:Q$1388,"S")</f>
        <v>11387.199999999999</v>
      </c>
      <c r="BZ727" s="343">
        <f>SUMIFS($AU728:AU$1388,$Q728:Q$1388,"O")</f>
        <v>-1220.1379999997707</v>
      </c>
    </row>
    <row r="728" spans="1:78" ht="15.75" customHeight="1">
      <c r="A728" s="221" t="s">
        <v>2798</v>
      </c>
      <c r="B728" s="200">
        <v>45098</v>
      </c>
      <c r="C728" s="178" t="s">
        <v>1123</v>
      </c>
      <c r="D728" s="178" t="s">
        <v>151</v>
      </c>
      <c r="E728" s="227" t="s">
        <v>529</v>
      </c>
      <c r="F728" s="180"/>
      <c r="G728" s="181" t="s">
        <v>3009</v>
      </c>
      <c r="H728" s="182"/>
      <c r="I728" s="182"/>
      <c r="J728" s="182"/>
      <c r="K728" s="183"/>
      <c r="L728" s="182"/>
      <c r="M728" s="182"/>
      <c r="N728" s="182"/>
      <c r="O728" s="183"/>
      <c r="P728" s="183"/>
      <c r="Q728" s="183"/>
      <c r="R728" s="183"/>
      <c r="S728" s="183"/>
      <c r="T728" s="183"/>
      <c r="U728" s="183"/>
      <c r="V728" s="183"/>
      <c r="W728" s="183"/>
      <c r="X728" s="183"/>
      <c r="Y728" s="184"/>
      <c r="Z728" s="185"/>
      <c r="AA728" s="185"/>
      <c r="AB728" s="185"/>
      <c r="AC728" s="185"/>
      <c r="AD728" s="649"/>
      <c r="AE728" s="182"/>
      <c r="AF728" s="332"/>
      <c r="AG728" s="182"/>
      <c r="AH728" s="182"/>
      <c r="AI728" s="182"/>
      <c r="AJ728" s="640"/>
      <c r="AK728" s="182"/>
      <c r="AL728" s="496"/>
      <c r="AM728" s="496"/>
      <c r="AN728" s="626"/>
      <c r="AO728" s="182"/>
      <c r="AP728" s="182"/>
      <c r="AQ728" s="332" t="str">
        <f>UPPER(RIGHT(Journal_Live[[#This Row],[DURATION ]]))</f>
        <v/>
      </c>
      <c r="AR728" s="182"/>
      <c r="AS728" s="189"/>
      <c r="AT728" s="189"/>
      <c r="AU728" s="187"/>
      <c r="AV728" s="190"/>
      <c r="AW728" s="191"/>
      <c r="AX728" s="407" t="s">
        <v>3011</v>
      </c>
      <c r="AY728" s="407"/>
      <c r="AZ728" s="407"/>
      <c r="BA728" s="407"/>
      <c r="BB728" s="407"/>
      <c r="BC728" s="407"/>
      <c r="BD728" s="407"/>
      <c r="BE728" s="407"/>
      <c r="BF728" s="422"/>
      <c r="BG728" s="391">
        <f>SUM($AV$4:AV728)</f>
        <v>3695.4427287157578</v>
      </c>
      <c r="BH728" s="392">
        <f>SUM($AU$134:AU728)</f>
        <v>10037.455333333308</v>
      </c>
      <c r="BI728" s="318">
        <f>SUMIFS($AU$134:AU729,$Q$134:Q729,"F")</f>
        <v>1246.5333333333331</v>
      </c>
      <c r="BJ728" s="318">
        <f>SUMIFS($AU$134:AU729,$Q$134:Q729,"S")</f>
        <v>9284.4419999999973</v>
      </c>
      <c r="BK728" s="343">
        <f>SUMIFS($AU$134:AU729,$P$134:P729,"W")</f>
        <v>6827.7419999999347</v>
      </c>
      <c r="BL728" s="343">
        <f>SUMIFS($AU$134:AU729,$P$134:P729,"R")</f>
        <v>3524.6733333333341</v>
      </c>
      <c r="BM728" s="343">
        <f>SUMIFS($AU$134:AU729,$AQ$134:AQ729,"M")</f>
        <v>2013.3999999999799</v>
      </c>
      <c r="BN728" s="343">
        <f>SUMIFS($AU$134:AU729,$AQ$134:AQ729,"H")</f>
        <v>3574.1420000000148</v>
      </c>
      <c r="BO728" s="343">
        <f>SUMIFS($AU$134:AU729,$AQ$134:AQ729,"D")</f>
        <v>1601.6899999999998</v>
      </c>
      <c r="BP728" s="343">
        <f>SUMIFS($AU$134:AU731,$AQ$134:AQ731,"W")</f>
        <v>2169.7833333333429</v>
      </c>
      <c r="BQ728" s="343">
        <f>SUMIFS($AU$134:AU729,$Q$134:Q729,"O")</f>
        <v>-428.7200000000276</v>
      </c>
      <c r="BR728" s="343">
        <f>SUMIFS($AU$134:AU729,$AA$134:AA729,"*")</f>
        <v>10849.475333333321</v>
      </c>
      <c r="BS728" s="343">
        <f>SUMIFS($AU$134:AU729,$AB$134:AB729,"*")</f>
        <v>3826.4799999999868</v>
      </c>
      <c r="BT728" s="343">
        <f>SUMIFS($AU$134:AU729,$AC$134:AC729,"*")</f>
        <v>5439.6833333333316</v>
      </c>
      <c r="BU728" s="343">
        <f>SUMIFS($AU$134:AU729,$AA$134:AA729,"*",$AB$134:AB729,"*")</f>
        <v>2386.0000000000045</v>
      </c>
      <c r="BV728" s="343">
        <f>SUMIFS($AU$134:AU729,$AA$134:AA729,"*",$AC$134:AC729,"*")</f>
        <v>6036.7833333333328</v>
      </c>
      <c r="BW728" s="343">
        <f>SUMIFS($AU$134:AU729,$AB$134:AB729,"*",$AC$134:AC729,"*")</f>
        <v>4046.6</v>
      </c>
      <c r="BX728" s="343">
        <f>SUMIFS($AU729:AU$1388,$Q729:Q$1388,"F")</f>
        <v>13514.133333333335</v>
      </c>
      <c r="BY728" s="343">
        <f>SUMIFS($AU729:AU$1388,$Q729:Q$1388,"S")</f>
        <v>11387.199999999999</v>
      </c>
      <c r="BZ728" s="343">
        <f>SUMIFS($AU729:AU$1388,$Q729:Q$1388,"O")</f>
        <v>-1220.1379999997707</v>
      </c>
    </row>
    <row r="729" spans="1:78" ht="15.75" customHeight="1">
      <c r="A729" s="221" t="s">
        <v>2798</v>
      </c>
      <c r="B729" s="200">
        <v>45098</v>
      </c>
      <c r="C729" s="178" t="s">
        <v>171</v>
      </c>
      <c r="D729" s="178" t="s">
        <v>151</v>
      </c>
      <c r="E729" s="227" t="s">
        <v>529</v>
      </c>
      <c r="F729" s="180"/>
      <c r="G729" s="281" t="s">
        <v>2835</v>
      </c>
      <c r="H729" s="182"/>
      <c r="I729" s="182"/>
      <c r="J729" s="182"/>
      <c r="K729" s="183"/>
      <c r="L729" s="182">
        <v>1</v>
      </c>
      <c r="M729" s="182">
        <v>1</v>
      </c>
      <c r="N729" s="182"/>
      <c r="O729" s="183" t="s">
        <v>95</v>
      </c>
      <c r="P729" s="183" t="s">
        <v>96</v>
      </c>
      <c r="Q729" s="183" t="s">
        <v>256</v>
      </c>
      <c r="R729" s="183">
        <v>5</v>
      </c>
      <c r="S729" s="183">
        <v>0</v>
      </c>
      <c r="T729" s="183">
        <v>5</v>
      </c>
      <c r="U729" s="183" t="s">
        <v>22</v>
      </c>
      <c r="V729" s="183"/>
      <c r="W729" s="183"/>
      <c r="X729" s="183"/>
      <c r="Y729" s="184">
        <f>IF(ISBLANK(O729),"",(IF(O729=UPPER("IB"),0.005,0.01)))</f>
        <v>0.01</v>
      </c>
      <c r="Z729" s="185">
        <f>IF(ISBLANK(O729),"",IF(O729="IB",8.63*200,IF(O729="IR",16*100,IF(O729="YT",20*100,IF(O729="YT-XT",24*200,IF(O729="TED",80*100))))))</f>
        <v>1600</v>
      </c>
      <c r="AA729" s="185"/>
      <c r="AB729" s="185"/>
      <c r="AC729" s="185" t="s">
        <v>3014</v>
      </c>
      <c r="AD729" s="649">
        <v>0.01</v>
      </c>
      <c r="AE729" s="182"/>
      <c r="AF729" s="332"/>
      <c r="AG729" s="182"/>
      <c r="AH729" s="182"/>
      <c r="AI729" s="182"/>
      <c r="AJ729" s="640"/>
      <c r="AK729" s="182"/>
      <c r="AL729" s="496">
        <f>-0.02*Z729</f>
        <v>-32</v>
      </c>
      <c r="AM729" s="496">
        <f>AL729*(R729-S729)</f>
        <v>-160</v>
      </c>
      <c r="AN729" s="626"/>
      <c r="AO729" s="182"/>
      <c r="AP729" s="182" t="s">
        <v>827</v>
      </c>
      <c r="AQ729" s="332" t="str">
        <f>UPPER(RIGHT(Journal_Live[[#This Row],[DURATION ]]))</f>
        <v>D</v>
      </c>
      <c r="AR729" s="189" t="s">
        <v>3015</v>
      </c>
      <c r="AS729" s="189">
        <v>0.05</v>
      </c>
      <c r="AT729" s="189">
        <f>IF(ISBLANK(AS729),,IF(U729="S",AD729-AS729,AS729-AD729))</f>
        <v>0.04</v>
      </c>
      <c r="AU729" s="187">
        <f>AV729*R729</f>
        <v>320</v>
      </c>
      <c r="AV729" s="190">
        <f>IF(ISBLANK(AS729),,(AT729*Z729))</f>
        <v>64</v>
      </c>
      <c r="AW729" s="191" t="s">
        <v>96</v>
      </c>
      <c r="AX729" s="407" t="s">
        <v>3016</v>
      </c>
      <c r="AY729" s="407"/>
      <c r="AZ729" s="407"/>
      <c r="BA729" s="407" t="s">
        <v>3017</v>
      </c>
      <c r="BB729" s="407"/>
      <c r="BC729" s="407"/>
      <c r="BD729" s="407"/>
      <c r="BE729" s="407"/>
      <c r="BF729" s="422"/>
      <c r="BG729" s="391">
        <f>SUM($AV$4:AV729)</f>
        <v>3759.4427287157578</v>
      </c>
      <c r="BH729" s="392">
        <f>SUM($AU$134:AU729)</f>
        <v>10357.455333333308</v>
      </c>
      <c r="BI729" s="318">
        <f>SUMIFS($AU$134:AU730,$Q$134:Q730,"F")</f>
        <v>1326.5333333333331</v>
      </c>
      <c r="BJ729" s="318">
        <f>SUMIFS($AU$134:AU730,$Q$134:Q730,"S")</f>
        <v>9284.4419999999973</v>
      </c>
      <c r="BK729" s="343">
        <f>SUMIFS($AU$134:AU730,$P$134:P730,"W")</f>
        <v>6827.7419999999347</v>
      </c>
      <c r="BL729" s="343">
        <f>SUMIFS($AU$134:AU730,$P$134:P730,"R")</f>
        <v>3604.6733333333341</v>
      </c>
      <c r="BM729" s="343">
        <f>SUMIFS($AU$134:AU730,$AQ$134:AQ730,"M")</f>
        <v>2013.3999999999799</v>
      </c>
      <c r="BN729" s="343">
        <f>SUMIFS($AU$134:AU730,$AQ$134:AQ730,"H")</f>
        <v>3574.1420000000148</v>
      </c>
      <c r="BO729" s="343">
        <f>SUMIFS($AU$134:AU730,$AQ$134:AQ730,"D")</f>
        <v>1681.6899999999998</v>
      </c>
      <c r="BP729" s="343">
        <f>SUMIFS($AU$134:AU732,$AQ$134:AQ732,"W")</f>
        <v>2169.7833333333429</v>
      </c>
      <c r="BQ729" s="343">
        <f>SUMIFS($AU$134:AU730,$Q$134:Q730,"O")</f>
        <v>-428.7200000000276</v>
      </c>
      <c r="BR729" s="343">
        <f>SUMIFS($AU$134:AU730,$AA$134:AA730,"*")</f>
        <v>10929.475333333321</v>
      </c>
      <c r="BS729" s="343">
        <f>SUMIFS($AU$134:AU730,$AB$134:AB730,"*")</f>
        <v>3826.4799999999868</v>
      </c>
      <c r="BT729" s="343">
        <f>SUMIFS($AU$134:AU730,$AC$134:AC730,"*")</f>
        <v>5519.6833333333316</v>
      </c>
      <c r="BU729" s="343">
        <f>SUMIFS($AU$134:AU730,$AA$134:AA730,"*",$AB$134:AB730,"*")</f>
        <v>2386.0000000000045</v>
      </c>
      <c r="BV729" s="343">
        <f>SUMIFS($AU$134:AU730,$AA$134:AA730,"*",$AC$134:AC730,"*")</f>
        <v>6116.7833333333328</v>
      </c>
      <c r="BW729" s="343">
        <f>SUMIFS($AU$134:AU730,$AB$134:AB730,"*",$AC$134:AC730,"*")</f>
        <v>4046.6</v>
      </c>
      <c r="BX729" s="343">
        <f>SUMIFS($AU730:AU$1388,$Q730:Q$1388,"F")</f>
        <v>13194.133333333335</v>
      </c>
      <c r="BY729" s="343">
        <f>SUMIFS($AU730:AU$1388,$Q730:Q$1388,"S")</f>
        <v>11387.199999999999</v>
      </c>
      <c r="BZ729" s="343">
        <f>SUMIFS($AU730:AU$1388,$Q730:Q$1388,"O")</f>
        <v>-1220.1379999997707</v>
      </c>
    </row>
    <row r="730" spans="1:78" ht="15.75" customHeight="1">
      <c r="A730" s="221" t="s">
        <v>2798</v>
      </c>
      <c r="B730" s="200">
        <v>45098</v>
      </c>
      <c r="C730" s="178" t="s">
        <v>3018</v>
      </c>
      <c r="D730" s="178" t="s">
        <v>151</v>
      </c>
      <c r="E730" s="227" t="s">
        <v>529</v>
      </c>
      <c r="F730" s="180"/>
      <c r="G730" s="281" t="s">
        <v>3019</v>
      </c>
      <c r="H730" s="182"/>
      <c r="I730" s="182"/>
      <c r="J730" s="182"/>
      <c r="K730" s="183"/>
      <c r="L730" s="182">
        <v>1</v>
      </c>
      <c r="M730" s="182">
        <v>2</v>
      </c>
      <c r="N730" s="182"/>
      <c r="O730" s="183" t="s">
        <v>95</v>
      </c>
      <c r="P730" s="183" t="s">
        <v>137</v>
      </c>
      <c r="Q730" s="183" t="s">
        <v>256</v>
      </c>
      <c r="R730" s="183">
        <v>10</v>
      </c>
      <c r="S730" s="183">
        <v>0</v>
      </c>
      <c r="T730" s="183">
        <v>10</v>
      </c>
      <c r="U730" s="183" t="s">
        <v>97</v>
      </c>
      <c r="V730" s="183"/>
      <c r="W730" s="183"/>
      <c r="X730" s="183"/>
      <c r="Y730" s="184">
        <f>IF(ISBLANK(O730),"",(IF(O730=UPPER("IB"),0.005,0.01)))</f>
        <v>0.01</v>
      </c>
      <c r="Z730" s="185">
        <f>IF(ISBLANK(O730),"",IF(O730="IB",8.63*200,IF(O730="IR",16*100,IF(O730="YT",20*100,IF(O730="YT-XT",24*200,IF(O730="TED",80*100))))))</f>
        <v>1600</v>
      </c>
      <c r="AA730" s="185" t="s">
        <v>3020</v>
      </c>
      <c r="AB730" s="185"/>
      <c r="AC730" s="185" t="s">
        <v>3014</v>
      </c>
      <c r="AD730" s="649">
        <f>(0*5+(-0.01*5))/10</f>
        <v>-5.0000000000000001E-3</v>
      </c>
      <c r="AE730" s="182"/>
      <c r="AF730" s="332"/>
      <c r="AG730" s="182"/>
      <c r="AH730" s="182"/>
      <c r="AI730" s="182"/>
      <c r="AJ730" s="640"/>
      <c r="AK730" s="182"/>
      <c r="AL730" s="496">
        <f t="shared" ref="AL730" si="269">-0.025*Z730</f>
        <v>-40</v>
      </c>
      <c r="AM730" s="496">
        <f>AL730*(R730-S730)</f>
        <v>-400</v>
      </c>
      <c r="AN730" s="626"/>
      <c r="AO730" s="182"/>
      <c r="AP730" s="182" t="s">
        <v>2494</v>
      </c>
      <c r="AQ730" s="332" t="str">
        <f>UPPER(RIGHT(Journal_Live[[#This Row],[DURATION ]]))</f>
        <v>D</v>
      </c>
      <c r="AR730" s="182" t="s">
        <v>3021</v>
      </c>
      <c r="AS730" s="189">
        <v>-0.01</v>
      </c>
      <c r="AT730" s="189">
        <f>IF(ISBLANK(AS730),,IF(U730="S",AD730-AS730,AS730-AD730))</f>
        <v>5.0000000000000001E-3</v>
      </c>
      <c r="AU730" s="187">
        <f>AV730*R730</f>
        <v>80</v>
      </c>
      <c r="AV730" s="190">
        <f>IF(ISBLANK(AS730),,(AT730*Z730))</f>
        <v>8</v>
      </c>
      <c r="AW730" s="191" t="s">
        <v>96</v>
      </c>
      <c r="AX730" s="407" t="s">
        <v>3022</v>
      </c>
      <c r="AY730" s="407"/>
      <c r="AZ730" s="407"/>
      <c r="BA730" s="407"/>
      <c r="BB730" s="407"/>
      <c r="BC730" s="407"/>
      <c r="BD730" s="407"/>
      <c r="BE730" s="407"/>
      <c r="BF730" s="422"/>
      <c r="BG730" s="391">
        <f>SUM($AV$4:AV730)</f>
        <v>3767.4427287157578</v>
      </c>
      <c r="BH730" s="392">
        <f>SUM($AU$134:AU730)</f>
        <v>10437.455333333308</v>
      </c>
      <c r="BI730" s="318">
        <f>SUMIFS($AU$134:AU731,$Q$134:Q731,"F")</f>
        <v>1326.5333333333331</v>
      </c>
      <c r="BJ730" s="318">
        <f>SUMIFS($AU$134:AU731,$Q$134:Q731,"S")</f>
        <v>9284.4419999999973</v>
      </c>
      <c r="BK730" s="343">
        <f>SUMIFS($AU$134:AU731,$P$134:P731,"W")</f>
        <v>6827.7419999999347</v>
      </c>
      <c r="BL730" s="343">
        <f>SUMIFS($AU$134:AU731,$P$134:P731,"R")</f>
        <v>3604.6733333333341</v>
      </c>
      <c r="BM730" s="343">
        <f>SUMIFS($AU$134:AU731,$AQ$134:AQ731,"M")</f>
        <v>2013.3999999999799</v>
      </c>
      <c r="BN730" s="343">
        <f>SUMIFS($AU$134:AU731,$AQ$134:AQ731,"H")</f>
        <v>3574.1420000000148</v>
      </c>
      <c r="BO730" s="343">
        <f>SUMIFS($AU$134:AU731,$AQ$134:AQ731,"D")</f>
        <v>1681.6899999999998</v>
      </c>
      <c r="BP730" s="343">
        <f>SUMIFS($AU$134:AU733,$AQ$134:AQ733,"W")</f>
        <v>2169.7833333333429</v>
      </c>
      <c r="BQ730" s="343">
        <f>SUMIFS($AU$134:AU731,$Q$134:Q731,"O")</f>
        <v>-428.7200000000276</v>
      </c>
      <c r="BR730" s="343">
        <f>SUMIFS($AU$134:AU731,$AA$134:AA731,"*")</f>
        <v>10929.475333333321</v>
      </c>
      <c r="BS730" s="343">
        <f>SUMIFS($AU$134:AU731,$AB$134:AB731,"*")</f>
        <v>3826.4799999999868</v>
      </c>
      <c r="BT730" s="343">
        <f>SUMIFS($AU$134:AU731,$AC$134:AC731,"*")</f>
        <v>5519.6833333333316</v>
      </c>
      <c r="BU730" s="343">
        <f>SUMIFS($AU$134:AU731,$AA$134:AA731,"*",$AB$134:AB731,"*")</f>
        <v>2386.0000000000045</v>
      </c>
      <c r="BV730" s="343">
        <f>SUMIFS($AU$134:AU731,$AA$134:AA731,"*",$AC$134:AC731,"*")</f>
        <v>6116.7833333333328</v>
      </c>
      <c r="BW730" s="343">
        <f>SUMIFS($AU$134:AU731,$AB$134:AB731,"*",$AC$134:AC731,"*")</f>
        <v>4046.6</v>
      </c>
      <c r="BX730" s="343">
        <f>SUMIFS($AU731:AU$1388,$Q731:Q$1388,"F")</f>
        <v>13114.133333333335</v>
      </c>
      <c r="BY730" s="343">
        <f>SUMIFS($AU731:AU$1388,$Q731:Q$1388,"S")</f>
        <v>11387.199999999999</v>
      </c>
      <c r="BZ730" s="343">
        <f>SUMIFS($AU731:AU$1388,$Q731:Q$1388,"O")</f>
        <v>-1220.1379999997707</v>
      </c>
    </row>
    <row r="731" spans="1:78" ht="15.75" customHeight="1">
      <c r="A731" s="221" t="s">
        <v>2798</v>
      </c>
      <c r="B731" s="200">
        <v>45098</v>
      </c>
      <c r="C731" s="178" t="s">
        <v>2253</v>
      </c>
      <c r="D731" s="178" t="s">
        <v>151</v>
      </c>
      <c r="E731" s="227" t="s">
        <v>3023</v>
      </c>
      <c r="F731" s="180" t="s">
        <v>3024</v>
      </c>
      <c r="G731" s="181"/>
      <c r="H731" s="182"/>
      <c r="I731" s="182"/>
      <c r="J731" s="182"/>
      <c r="K731" s="183"/>
      <c r="L731" s="182"/>
      <c r="M731" s="182"/>
      <c r="N731" s="182"/>
      <c r="O731" s="183"/>
      <c r="P731" s="183"/>
      <c r="Q731" s="183"/>
      <c r="R731" s="183"/>
      <c r="S731" s="183"/>
      <c r="T731" s="183"/>
      <c r="U731" s="183"/>
      <c r="V731" s="183"/>
      <c r="W731" s="183"/>
      <c r="X731" s="183"/>
      <c r="Y731" s="183"/>
      <c r="Z731" s="183"/>
      <c r="AA731" s="185"/>
      <c r="AB731" s="185"/>
      <c r="AC731" s="185"/>
      <c r="AD731" s="649"/>
      <c r="AE731" s="182"/>
      <c r="AF731" s="332"/>
      <c r="AG731" s="182"/>
      <c r="AH731" s="182"/>
      <c r="AI731" s="182"/>
      <c r="AJ731" s="640"/>
      <c r="AK731" s="182"/>
      <c r="AL731" s="496"/>
      <c r="AM731" s="497"/>
      <c r="AN731" s="626"/>
      <c r="AO731" s="182"/>
      <c r="AP731" s="182"/>
      <c r="AQ731" s="332" t="str">
        <f>UPPER(RIGHT(Journal_Live[[#This Row],[DURATION ]]))</f>
        <v/>
      </c>
      <c r="AR731" s="182"/>
      <c r="AS731" s="189"/>
      <c r="AT731" s="182"/>
      <c r="AU731" s="187"/>
      <c r="AV731" s="190"/>
      <c r="AW731" s="191"/>
      <c r="AX731" s="407"/>
      <c r="AY731" s="407"/>
      <c r="AZ731" s="407"/>
      <c r="BA731" s="407"/>
      <c r="BB731" s="407"/>
      <c r="BC731" s="407"/>
      <c r="BD731" s="407"/>
      <c r="BE731" s="407"/>
      <c r="BF731" s="422"/>
      <c r="BG731" s="391">
        <f>SUM($AV$4:AV731)</f>
        <v>3767.4427287157578</v>
      </c>
      <c r="BH731" s="392">
        <f>SUM($AU$134:AU731)</f>
        <v>10437.455333333308</v>
      </c>
      <c r="BI731" s="318">
        <f>SUMIFS($AU$134:AU732,$Q$134:Q732,"F")</f>
        <v>1326.5333333333331</v>
      </c>
      <c r="BJ731" s="318">
        <f>SUMIFS($AU$134:AU732,$Q$134:Q732,"S")</f>
        <v>9284.4419999999973</v>
      </c>
      <c r="BK731" s="343">
        <f>SUMIFS($AU$134:AU732,$P$134:P732,"W")</f>
        <v>6827.7419999999347</v>
      </c>
      <c r="BL731" s="343">
        <f>SUMIFS($AU$134:AU732,$P$134:P732,"R")</f>
        <v>3604.6733333333341</v>
      </c>
      <c r="BM731" s="343">
        <f>SUMIFS($AU$134:AU732,$AQ$134:AQ732,"M")</f>
        <v>2013.3999999999799</v>
      </c>
      <c r="BN731" s="343">
        <f>SUMIFS($AU$134:AU732,$AQ$134:AQ732,"H")</f>
        <v>3574.1420000000148</v>
      </c>
      <c r="BO731" s="343">
        <f>SUMIFS($AU$134:AU732,$AQ$134:AQ732,"D")</f>
        <v>1707.5800000000745</v>
      </c>
      <c r="BP731" s="343">
        <f>SUMIFS($AU$134:AU734,$AQ$134:AQ734,"W")</f>
        <v>2169.7833333333429</v>
      </c>
      <c r="BQ731" s="343">
        <f>SUMIFS($AU$134:AU732,$Q$134:Q732,"O")</f>
        <v>-402.82999999995303</v>
      </c>
      <c r="BR731" s="343">
        <f>SUMIFS($AU$134:AU732,$AA$134:AA732,"*")</f>
        <v>10929.475333333321</v>
      </c>
      <c r="BS731" s="343">
        <f>SUMIFS($AU$134:AU732,$AB$134:AB732,"*")</f>
        <v>3852.3700000000613</v>
      </c>
      <c r="BT731" s="343">
        <f>SUMIFS($AU$134:AU732,$AC$134:AC732,"*")</f>
        <v>5519.6833333333316</v>
      </c>
      <c r="BU731" s="343">
        <f>SUMIFS($AU$134:AU732,$AA$134:AA732,"*",$AB$134:AB732,"*")</f>
        <v>2386.0000000000045</v>
      </c>
      <c r="BV731" s="343">
        <f>SUMIFS($AU$134:AU732,$AA$134:AA732,"*",$AC$134:AC732,"*")</f>
        <v>6116.7833333333328</v>
      </c>
      <c r="BW731" s="343">
        <f>SUMIFS($AU$134:AU732,$AB$134:AB732,"*",$AC$134:AC732,"*")</f>
        <v>4046.6</v>
      </c>
      <c r="BX731" s="343">
        <f>SUMIFS($AU732:AU$1388,$Q732:Q$1388,"F")</f>
        <v>13114.133333333335</v>
      </c>
      <c r="BY731" s="343">
        <f>SUMIFS($AU732:AU$1388,$Q732:Q$1388,"S")</f>
        <v>11387.199999999999</v>
      </c>
      <c r="BZ731" s="343">
        <f>SUMIFS($AU732:AU$1388,$Q732:Q$1388,"O")</f>
        <v>-1220.1379999997707</v>
      </c>
    </row>
    <row r="732" spans="1:78" ht="15.75" customHeight="1">
      <c r="A732" s="221" t="s">
        <v>2798</v>
      </c>
      <c r="B732" s="200">
        <v>45098</v>
      </c>
      <c r="C732" s="178" t="s">
        <v>2253</v>
      </c>
      <c r="D732" s="178" t="s">
        <v>151</v>
      </c>
      <c r="E732" s="227" t="s">
        <v>529</v>
      </c>
      <c r="F732" s="180"/>
      <c r="G732" s="281" t="s">
        <v>3009</v>
      </c>
      <c r="H732" s="182"/>
      <c r="I732" s="182"/>
      <c r="J732" s="182"/>
      <c r="K732" s="183"/>
      <c r="L732" s="182">
        <v>1</v>
      </c>
      <c r="M732" s="182">
        <v>1</v>
      </c>
      <c r="N732" s="182"/>
      <c r="O732" s="183" t="s">
        <v>1057</v>
      </c>
      <c r="P732" s="183"/>
      <c r="Q732" s="183" t="s">
        <v>684</v>
      </c>
      <c r="R732" s="183">
        <v>2</v>
      </c>
      <c r="S732" s="183">
        <v>2</v>
      </c>
      <c r="T732" s="183">
        <v>2</v>
      </c>
      <c r="U732" s="183" t="s">
        <v>97</v>
      </c>
      <c r="V732" s="183"/>
      <c r="W732" s="183"/>
      <c r="X732" s="183"/>
      <c r="Y732" s="184">
        <f>IF(ISBLANK(O732),"",(IF(O732=UPPER("IB"),0.005,0.01)))</f>
        <v>5.0000000000000001E-3</v>
      </c>
      <c r="Z732" s="185">
        <f>IF(ISBLANK(O732),"",IF(O732="IB",8.63*200,IF(O732="IR",16*100,IF(O732="YT",20*100,IF(O732="YT-XT",24*200,IF(O732="TED",80*100))))))</f>
        <v>1726.0000000000002</v>
      </c>
      <c r="AA732" s="185"/>
      <c r="AB732" s="185" t="s">
        <v>3025</v>
      </c>
      <c r="AC732" s="185"/>
      <c r="AD732" s="649">
        <f>(95.84+95.83)/2</f>
        <v>95.835000000000008</v>
      </c>
      <c r="AE732" s="182" t="s">
        <v>3026</v>
      </c>
      <c r="AF732" s="332"/>
      <c r="AG732" s="182"/>
      <c r="AH732" s="182"/>
      <c r="AI732" s="182"/>
      <c r="AJ732" s="640"/>
      <c r="AK732" s="182"/>
      <c r="AL732" s="496">
        <f>-0.025*Z732</f>
        <v>-43.150000000000006</v>
      </c>
      <c r="AM732" s="496">
        <f>AL732*(R732-S732)</f>
        <v>0</v>
      </c>
      <c r="AN732" s="626"/>
      <c r="AO732" s="182"/>
      <c r="AP732" s="182" t="s">
        <v>770</v>
      </c>
      <c r="AQ732" s="332" t="str">
        <f>UPPER(RIGHT(Journal_Live[[#This Row],[DURATION ]]))</f>
        <v>D</v>
      </c>
      <c r="AR732" s="182" t="s">
        <v>3027</v>
      </c>
      <c r="AS732" s="189">
        <f>(95.82*2+95.835*2)/4</f>
        <v>95.827499999999986</v>
      </c>
      <c r="AT732" s="189">
        <f t="shared" ref="AT732:AT739" si="270">IF(ISBLANK(AS732),,IF(U732="S",AD732-AS732,AS732-AD732))</f>
        <v>7.5000000000216005E-3</v>
      </c>
      <c r="AU732" s="187">
        <f t="shared" ref="AU732:AU739" si="271">AV732*R732</f>
        <v>25.890000000074568</v>
      </c>
      <c r="AV732" s="190">
        <f t="shared" ref="AV732:AV739" si="272">IF(ISBLANK(AS732),,(AT732*Z732))</f>
        <v>12.945000000037284</v>
      </c>
      <c r="AW732" s="191" t="s">
        <v>96</v>
      </c>
      <c r="AX732" s="407" t="s">
        <v>2894</v>
      </c>
      <c r="AY732" s="407" t="s">
        <v>3028</v>
      </c>
      <c r="AZ732" s="407" t="s">
        <v>3029</v>
      </c>
      <c r="BA732" s="407" t="s">
        <v>907</v>
      </c>
      <c r="BB732" s="407"/>
      <c r="BC732" s="407"/>
      <c r="BD732" s="407"/>
      <c r="BE732" s="407"/>
      <c r="BF732" s="422"/>
      <c r="BG732" s="391">
        <f>SUM($AV$4:AV732)</f>
        <v>3780.3877287157952</v>
      </c>
      <c r="BH732" s="392">
        <f>SUM($AU$134:AU732)</f>
        <v>10463.345333333382</v>
      </c>
      <c r="BI732" s="318">
        <f>SUMIFS($AU$134:AU733,$Q$134:Q733,"F")</f>
        <v>1326.5333333333331</v>
      </c>
      <c r="BJ732" s="318">
        <f>SUMIFS($AU$134:AU733,$Q$134:Q733,"S")</f>
        <v>9284.4419999999973</v>
      </c>
      <c r="BK732" s="343">
        <f>SUMIFS($AU$134:AU733,$P$134:P733,"W")</f>
        <v>6827.7419999999347</v>
      </c>
      <c r="BL732" s="343">
        <f>SUMIFS($AU$134:AU733,$P$134:P733,"R")</f>
        <v>3604.6733333333341</v>
      </c>
      <c r="BM732" s="343">
        <f>SUMIFS($AU$134:AU733,$AQ$134:AQ733,"M")</f>
        <v>2013.3999999999799</v>
      </c>
      <c r="BN732" s="343">
        <f>SUMIFS($AU$134:AU733,$AQ$134:AQ733,"H")</f>
        <v>3574.1420000000148</v>
      </c>
      <c r="BO732" s="343">
        <f>SUMIFS($AU$134:AU733,$AQ$134:AQ733,"D")</f>
        <v>1707.5800000000745</v>
      </c>
      <c r="BP732" s="343">
        <f>SUMIFS($AU$134:AU735,$AQ$134:AQ735,"W")</f>
        <v>3049.7833333333429</v>
      </c>
      <c r="BQ732" s="343">
        <f>SUMIFS($AU$134:AU733,$Q$134:Q733,"O")</f>
        <v>-402.82999999995303</v>
      </c>
      <c r="BR732" s="343">
        <f>SUMIFS($AU$134:AU733,$AA$134:AA733,"*")</f>
        <v>10929.475333333321</v>
      </c>
      <c r="BS732" s="343">
        <f>SUMIFS($AU$134:AU733,$AB$134:AB733,"*")</f>
        <v>3852.3700000000613</v>
      </c>
      <c r="BT732" s="343">
        <f>SUMIFS($AU$134:AU733,$AC$134:AC733,"*")</f>
        <v>5519.6833333333316</v>
      </c>
      <c r="BU732" s="343">
        <f>SUMIFS($AU$134:AU733,$AA$134:AA733,"*",$AB$134:AB733,"*")</f>
        <v>2386.0000000000045</v>
      </c>
      <c r="BV732" s="343">
        <f>SUMIFS($AU$134:AU733,$AA$134:AA733,"*",$AC$134:AC733,"*")</f>
        <v>6116.7833333333328</v>
      </c>
      <c r="BW732" s="343">
        <f>SUMIFS($AU$134:AU733,$AB$134:AB733,"*",$AC$134:AC733,"*")</f>
        <v>4046.6</v>
      </c>
      <c r="BX732" s="343">
        <f>SUMIFS($AU733:AU$1388,$Q733:Q$1388,"F")</f>
        <v>13114.133333333335</v>
      </c>
      <c r="BY732" s="343">
        <f>SUMIFS($AU733:AU$1388,$Q733:Q$1388,"S")</f>
        <v>11387.199999999999</v>
      </c>
      <c r="BZ732" s="343">
        <f>SUMIFS($AU733:AU$1388,$Q733:Q$1388,"O")</f>
        <v>-1246.0279999998454</v>
      </c>
    </row>
    <row r="733" spans="1:78" ht="15.75" customHeight="1">
      <c r="A733" s="221" t="s">
        <v>2798</v>
      </c>
      <c r="B733" s="200">
        <v>45099</v>
      </c>
      <c r="C733" s="178" t="s">
        <v>3030</v>
      </c>
      <c r="D733" s="178" t="s">
        <v>93</v>
      </c>
      <c r="E733" s="227" t="s">
        <v>3031</v>
      </c>
      <c r="F733" s="180" t="s">
        <v>3032</v>
      </c>
      <c r="G733" s="181"/>
      <c r="H733" s="182"/>
      <c r="I733" s="182"/>
      <c r="J733" s="182"/>
      <c r="K733" s="183"/>
      <c r="L733" s="182"/>
      <c r="M733" s="182"/>
      <c r="N733" s="182"/>
      <c r="O733" s="183"/>
      <c r="P733" s="183"/>
      <c r="Q733" s="183"/>
      <c r="R733" s="183"/>
      <c r="S733" s="183"/>
      <c r="T733" s="183"/>
      <c r="U733" s="183"/>
      <c r="V733" s="183"/>
      <c r="W733" s="183"/>
      <c r="X733" s="183"/>
      <c r="Y733" s="184" t="str">
        <f>IF(ISBLANK(O733),"",(IF(O733=UPPER("IB"),0.005,0.01)))</f>
        <v/>
      </c>
      <c r="Z733" s="185" t="str">
        <f>IF(ISBLANK(O733),"",IF(O733="IB",8.63*200,IF(O733="IR",16*100,IF(O733="YT",20*100,IF(O733="YT-XT",24*200,IF(O733="TED",80*100))))))</f>
        <v/>
      </c>
      <c r="AA733" s="185"/>
      <c r="AB733" s="185"/>
      <c r="AC733" s="185"/>
      <c r="AD733" s="649"/>
      <c r="AE733" s="182"/>
      <c r="AF733" s="332"/>
      <c r="AG733" s="182"/>
      <c r="AH733" s="182"/>
      <c r="AI733" s="182"/>
      <c r="AJ733" s="640"/>
      <c r="AK733" s="182"/>
      <c r="AL733" s="496"/>
      <c r="AM733" s="496"/>
      <c r="AN733" s="626"/>
      <c r="AO733" s="182"/>
      <c r="AP733" s="182"/>
      <c r="AQ733" s="332" t="str">
        <f>UPPER(RIGHT(Journal_Live[[#This Row],[DURATION ]]))</f>
        <v/>
      </c>
      <c r="AR733" s="182"/>
      <c r="AS733" s="189"/>
      <c r="AT733" s="189">
        <f t="shared" si="270"/>
        <v>0</v>
      </c>
      <c r="AU733" s="187">
        <f t="shared" si="271"/>
        <v>0</v>
      </c>
      <c r="AV733" s="190">
        <f t="shared" si="272"/>
        <v>0</v>
      </c>
      <c r="AW733" s="191"/>
      <c r="AX733" s="407"/>
      <c r="AY733" s="407"/>
      <c r="AZ733" s="407"/>
      <c r="BA733" s="407" t="s">
        <v>3033</v>
      </c>
      <c r="BB733" s="407"/>
      <c r="BC733" s="407"/>
      <c r="BD733" s="407"/>
      <c r="BE733" s="407"/>
      <c r="BF733" s="422"/>
      <c r="BG733" s="391">
        <f>SUM($AV$4:AV733)</f>
        <v>3780.3877287157952</v>
      </c>
      <c r="BH733" s="392">
        <f>SUM($AU$134:AU733)</f>
        <v>10463.345333333382</v>
      </c>
      <c r="BI733" s="318">
        <f>SUMIFS($AU$134:AU734,$Q$134:Q734,"F")</f>
        <v>1326.5333333333331</v>
      </c>
      <c r="BJ733" s="318">
        <f>SUMIFS($AU$134:AU734,$Q$134:Q734,"S")</f>
        <v>9284.4419999999973</v>
      </c>
      <c r="BK733" s="343">
        <f>SUMIFS($AU$134:AU734,$P$134:P734,"W")</f>
        <v>6827.7419999999347</v>
      </c>
      <c r="BL733" s="343">
        <f>SUMIFS($AU$134:AU734,$P$134:P734,"R")</f>
        <v>3604.6733333333341</v>
      </c>
      <c r="BM733" s="343">
        <f>SUMIFS($AU$134:AU734,$AQ$134:AQ734,"M")</f>
        <v>2013.3999999999799</v>
      </c>
      <c r="BN733" s="343">
        <f>SUMIFS($AU$134:AU734,$AQ$134:AQ734,"H")</f>
        <v>3574.1420000000148</v>
      </c>
      <c r="BO733" s="343">
        <f>SUMIFS($AU$134:AU734,$AQ$134:AQ734,"D")</f>
        <v>1707.5800000000745</v>
      </c>
      <c r="BP733" s="343">
        <f>SUMIFS($AU$134:AU736,$AQ$134:AQ736,"W")</f>
        <v>3049.7833333333429</v>
      </c>
      <c r="BQ733" s="343">
        <f>SUMIFS($AU$134:AU734,$Q$134:Q734,"O")</f>
        <v>-402.82999999995303</v>
      </c>
      <c r="BR733" s="343">
        <f>SUMIFS($AU$134:AU734,$AA$134:AA734,"*")</f>
        <v>10929.475333333321</v>
      </c>
      <c r="BS733" s="343">
        <f>SUMIFS($AU$134:AU734,$AB$134:AB734,"*")</f>
        <v>3852.3700000000613</v>
      </c>
      <c r="BT733" s="343">
        <f>SUMIFS($AU$134:AU734,$AC$134:AC734,"*")</f>
        <v>5519.6833333333316</v>
      </c>
      <c r="BU733" s="343">
        <f>SUMIFS($AU$134:AU734,$AA$134:AA734,"*",$AB$134:AB734,"*")</f>
        <v>2386.0000000000045</v>
      </c>
      <c r="BV733" s="343">
        <f>SUMIFS($AU$134:AU734,$AA$134:AA734,"*",$AC$134:AC734,"*")</f>
        <v>6116.7833333333328</v>
      </c>
      <c r="BW733" s="343">
        <f>SUMIFS($AU$134:AU734,$AB$134:AB734,"*",$AC$134:AC734,"*")</f>
        <v>4046.6</v>
      </c>
      <c r="BX733" s="343">
        <f>SUMIFS($AU734:AU$1388,$Q734:Q$1388,"F")</f>
        <v>13114.133333333335</v>
      </c>
      <c r="BY733" s="343">
        <f>SUMIFS($AU734:AU$1388,$Q734:Q$1388,"S")</f>
        <v>11387.199999999999</v>
      </c>
      <c r="BZ733" s="343">
        <f>SUMIFS($AU734:AU$1388,$Q734:Q$1388,"O")</f>
        <v>-1246.0279999998454</v>
      </c>
    </row>
    <row r="734" spans="1:78" ht="15.75" customHeight="1">
      <c r="A734" s="221" t="s">
        <v>2798</v>
      </c>
      <c r="B734" s="200">
        <v>45099</v>
      </c>
      <c r="C734" s="178" t="s">
        <v>3034</v>
      </c>
      <c r="D734" s="178" t="s">
        <v>93</v>
      </c>
      <c r="E734" s="227"/>
      <c r="F734" s="180"/>
      <c r="G734" s="181" t="s">
        <v>181</v>
      </c>
      <c r="H734" s="182"/>
      <c r="I734" s="182"/>
      <c r="J734" s="182"/>
      <c r="K734" s="183"/>
      <c r="L734" s="182"/>
      <c r="M734" s="182"/>
      <c r="N734" s="182"/>
      <c r="O734" s="183"/>
      <c r="P734" s="183"/>
      <c r="Q734" s="183"/>
      <c r="R734" s="183"/>
      <c r="S734" s="183"/>
      <c r="T734" s="183"/>
      <c r="U734" s="183"/>
      <c r="V734" s="183"/>
      <c r="W734" s="183"/>
      <c r="X734" s="183"/>
      <c r="Y734" s="184"/>
      <c r="Z734" s="185"/>
      <c r="AA734" s="185"/>
      <c r="AB734" s="185"/>
      <c r="AC734" s="185"/>
      <c r="AD734" s="649"/>
      <c r="AE734" s="182"/>
      <c r="AF734" s="332"/>
      <c r="AG734" s="182"/>
      <c r="AH734" s="182"/>
      <c r="AI734" s="182"/>
      <c r="AJ734" s="640"/>
      <c r="AK734" s="182"/>
      <c r="AL734" s="496"/>
      <c r="AM734" s="496"/>
      <c r="AN734" s="626"/>
      <c r="AO734" s="182"/>
      <c r="AP734" s="182"/>
      <c r="AQ734" s="332" t="str">
        <f>UPPER(RIGHT(Journal_Live[[#This Row],[DURATION ]]))</f>
        <v/>
      </c>
      <c r="AR734" s="182"/>
      <c r="AS734" s="189"/>
      <c r="AT734" s="189">
        <f t="shared" si="270"/>
        <v>0</v>
      </c>
      <c r="AU734" s="187">
        <f t="shared" si="271"/>
        <v>0</v>
      </c>
      <c r="AV734" s="190">
        <f t="shared" si="272"/>
        <v>0</v>
      </c>
      <c r="AW734" s="191"/>
      <c r="AX734" s="407"/>
      <c r="AY734" s="407"/>
      <c r="AZ734" s="407"/>
      <c r="BA734" s="407"/>
      <c r="BB734" s="407"/>
      <c r="BC734" s="407"/>
      <c r="BD734" s="407"/>
      <c r="BE734" s="407"/>
      <c r="BF734" s="422"/>
      <c r="BG734" s="391"/>
      <c r="BH734" s="392">
        <f>SUM($AU$134:AU734)</f>
        <v>10463.345333333382</v>
      </c>
      <c r="BI734" s="318">
        <f>SUMIFS($AU$134:AU735,$Q$134:Q735,"F")</f>
        <v>2206.5333333333328</v>
      </c>
      <c r="BJ734" s="318">
        <f>SUMIFS($AU$134:AU735,$Q$134:Q735,"S")</f>
        <v>9284.4419999999973</v>
      </c>
      <c r="BK734" s="343">
        <f>SUMIFS($AU$134:AU735,$P$134:P735,"W")</f>
        <v>6827.7419999999347</v>
      </c>
      <c r="BL734" s="343">
        <f>SUMIFS($AU$134:AU735,$P$134:P735,"R")</f>
        <v>4484.6733333333341</v>
      </c>
      <c r="BM734" s="343">
        <f>SUMIFS($AU$134:AU735,$AQ$134:AQ735,"M")</f>
        <v>2013.3999999999799</v>
      </c>
      <c r="BN734" s="343">
        <f>SUMIFS($AU$134:AU735,$AQ$134:AQ735,"H")</f>
        <v>3574.1420000000148</v>
      </c>
      <c r="BO734" s="343">
        <f>SUMIFS($AU$134:AU735,$AQ$134:AQ735,"D")</f>
        <v>1707.5800000000745</v>
      </c>
      <c r="BP734" s="343">
        <f>SUMIFS($AU$134:AU737,$AQ$134:AQ737,"W")</f>
        <v>3049.7833333333429</v>
      </c>
      <c r="BQ734" s="343">
        <f>SUMIFS($AU$134:AU735,$Q$134:Q735,"O")</f>
        <v>-402.82999999995303</v>
      </c>
      <c r="BR734" s="343">
        <f>SUMIFS($AU$134:AU735,$AA$134:AA735,"*")</f>
        <v>11809.475333333321</v>
      </c>
      <c r="BS734" s="343">
        <f>SUMIFS($AU$134:AU735,$AB$134:AB735,"*")</f>
        <v>4732.3700000000608</v>
      </c>
      <c r="BT734" s="343">
        <f>SUMIFS($AU$134:AU735,$AC$134:AC735,"*")</f>
        <v>6399.6833333333316</v>
      </c>
      <c r="BU734" s="343">
        <f>SUMIFS($AU$134:AU735,$AA$134:AA735,"*",$AB$134:AB735,"*")</f>
        <v>3266.0000000000045</v>
      </c>
      <c r="BV734" s="343">
        <f>SUMIFS($AU$134:AU735,$AA$134:AA735,"*",$AC$134:AC735,"*")</f>
        <v>6996.7833333333328</v>
      </c>
      <c r="BW734" s="343">
        <f>SUMIFS($AU$134:AU735,$AB$134:AB735,"*",$AC$134:AC735,"*")</f>
        <v>4926.6000000000004</v>
      </c>
      <c r="BX734" s="343">
        <f>SUMIFS($AU735:AU$1388,$Q735:Q$1388,"F")</f>
        <v>13114.133333333335</v>
      </c>
      <c r="BY734" s="343">
        <f>SUMIFS($AU735:AU$1388,$Q735:Q$1388,"S")</f>
        <v>11387.199999999999</v>
      </c>
      <c r="BZ734" s="343">
        <f>SUMIFS($AU735:AU$1388,$Q735:Q$1388,"O")</f>
        <v>-1246.0279999998454</v>
      </c>
    </row>
    <row r="735" spans="1:78" ht="15.75" customHeight="1">
      <c r="A735" s="221" t="s">
        <v>2798</v>
      </c>
      <c r="B735" s="200">
        <v>45099</v>
      </c>
      <c r="C735" s="178" t="s">
        <v>1714</v>
      </c>
      <c r="D735" s="178" t="s">
        <v>93</v>
      </c>
      <c r="E735" s="227"/>
      <c r="F735" s="180"/>
      <c r="G735" s="279" t="s">
        <v>1613</v>
      </c>
      <c r="H735" s="182"/>
      <c r="I735" s="182"/>
      <c r="J735" s="182"/>
      <c r="K735" s="183"/>
      <c r="L735" s="182">
        <v>2</v>
      </c>
      <c r="M735" s="182">
        <v>2</v>
      </c>
      <c r="N735" s="182"/>
      <c r="O735" s="183" t="s">
        <v>95</v>
      </c>
      <c r="P735" s="183" t="s">
        <v>137</v>
      </c>
      <c r="Q735" s="183" t="s">
        <v>256</v>
      </c>
      <c r="R735" s="183">
        <v>15</v>
      </c>
      <c r="S735" s="183">
        <v>5</v>
      </c>
      <c r="T735" s="183">
        <v>15</v>
      </c>
      <c r="U735" s="183" t="s">
        <v>97</v>
      </c>
      <c r="V735" s="183"/>
      <c r="W735" s="183"/>
      <c r="X735" s="183"/>
      <c r="Y735" s="184">
        <f>IF(ISBLANK(O735),"",(IF(O735=UPPER("IB"),0.005,0.01)))</f>
        <v>0.01</v>
      </c>
      <c r="Z735" s="185">
        <f>IF(ISBLANK(O735),"",IF(O735="IB",8.63*200,IF(O735="IR",16*100,IF(O735="YT",20*100,IF(O735="YT-XT",24*200,IF(O735="TED",80*100))))))</f>
        <v>1600</v>
      </c>
      <c r="AA735" s="185" t="s">
        <v>3035</v>
      </c>
      <c r="AB735" s="185" t="s">
        <v>3036</v>
      </c>
      <c r="AC735" s="185" t="s">
        <v>3037</v>
      </c>
      <c r="AD735" s="649">
        <v>0.01</v>
      </c>
      <c r="AE735" s="182"/>
      <c r="AF735" s="332"/>
      <c r="AG735" s="182"/>
      <c r="AH735" s="478" t="s">
        <v>3038</v>
      </c>
      <c r="AI735" s="182" t="s">
        <v>529</v>
      </c>
      <c r="AJ735" s="640"/>
      <c r="AK735" s="182"/>
      <c r="AL735" s="496">
        <f>-0.015*Z735</f>
        <v>-24</v>
      </c>
      <c r="AM735" s="496">
        <f>AL735*(R735-S735)</f>
        <v>-240</v>
      </c>
      <c r="AN735" s="626"/>
      <c r="AO735" s="182"/>
      <c r="AP735" s="182" t="s">
        <v>925</v>
      </c>
      <c r="AQ735" s="332" t="str">
        <f>UPPER(RIGHT(Journal_Live[[#This Row],[DURATION ]]))</f>
        <v>W</v>
      </c>
      <c r="AR735" s="182" t="s">
        <v>3039</v>
      </c>
      <c r="AS735" s="189">
        <f>((-0.02*5)+(-0.03*10))/15</f>
        <v>-2.6666666666666668E-2</v>
      </c>
      <c r="AT735" s="189">
        <f t="shared" si="270"/>
        <v>3.6666666666666667E-2</v>
      </c>
      <c r="AU735" s="187">
        <f t="shared" si="271"/>
        <v>880</v>
      </c>
      <c r="AV735" s="190">
        <f t="shared" si="272"/>
        <v>58.666666666666664</v>
      </c>
      <c r="AW735" s="191" t="s">
        <v>96</v>
      </c>
      <c r="AX735" s="407" t="s">
        <v>3040</v>
      </c>
      <c r="AY735" s="407" t="s">
        <v>3041</v>
      </c>
      <c r="AZ735" s="407"/>
      <c r="BA735" s="407"/>
      <c r="BB735" s="407"/>
      <c r="BC735" s="407"/>
      <c r="BD735" s="407"/>
      <c r="BE735" s="407"/>
      <c r="BF735" s="422"/>
      <c r="BG735" s="391">
        <f>SUM($AV$4:AV735)</f>
        <v>3839.0543953824617</v>
      </c>
      <c r="BH735" s="392">
        <f>SUM($AU$134:AU735)</f>
        <v>11343.345333333382</v>
      </c>
      <c r="BI735" s="318">
        <f>SUMIFS($AU$134:AU736,$Q$134:Q736,"F")</f>
        <v>2302.5333333333328</v>
      </c>
      <c r="BJ735" s="318">
        <f>SUMIFS($AU$134:AU736,$Q$134:Q736,"S")</f>
        <v>9284.4419999999973</v>
      </c>
      <c r="BK735" s="343">
        <f>SUMIFS($AU$134:AU736,$P$134:P736,"W")</f>
        <v>6923.7419999999347</v>
      </c>
      <c r="BL735" s="343">
        <f>SUMIFS($AU$134:AU736,$P$134:P736,"R")</f>
        <v>4484.6733333333341</v>
      </c>
      <c r="BM735" s="343">
        <f>SUMIFS($AU$134:AU736,$AQ$134:AQ736,"M")</f>
        <v>2013.3999999999799</v>
      </c>
      <c r="BN735" s="343">
        <f>SUMIFS($AU$134:AU736,$AQ$134:AQ736,"H")</f>
        <v>3574.1420000000148</v>
      </c>
      <c r="BO735" s="343">
        <f>SUMIFS($AU$134:AU736,$AQ$134:AQ736,"D")</f>
        <v>1803.5800000000745</v>
      </c>
      <c r="BP735" s="343">
        <f>SUMIFS($AU$134:AU738,$AQ$134:AQ738,"W")</f>
        <v>3049.7833333333429</v>
      </c>
      <c r="BQ735" s="343">
        <f>SUMIFS($AU$134:AU736,$Q$134:Q736,"O")</f>
        <v>-402.82999999995303</v>
      </c>
      <c r="BR735" s="343">
        <f>SUMIFS($AU$134:AU736,$AA$134:AA736,"*")</f>
        <v>11905.475333333321</v>
      </c>
      <c r="BS735" s="343">
        <f>SUMIFS($AU$134:AU736,$AB$134:AB736,"*")</f>
        <v>4828.3700000000608</v>
      </c>
      <c r="BT735" s="343">
        <f>SUMIFS($AU$134:AU736,$AC$134:AC736,"*")</f>
        <v>6495.6833333333316</v>
      </c>
      <c r="BU735" s="343">
        <f>SUMIFS($AU$134:AU736,$AA$134:AA736,"*",$AB$134:AB736,"*")</f>
        <v>3362.0000000000045</v>
      </c>
      <c r="BV735" s="343">
        <f>SUMIFS($AU$134:AU736,$AA$134:AA736,"*",$AC$134:AC736,"*")</f>
        <v>7092.7833333333328</v>
      </c>
      <c r="BW735" s="343">
        <f>SUMIFS($AU$134:AU736,$AB$134:AB736,"*",$AC$134:AC736,"*")</f>
        <v>5022.6000000000004</v>
      </c>
      <c r="BX735" s="343">
        <f>SUMIFS($AU736:AU$1388,$Q736:Q$1388,"F")</f>
        <v>12234.133333333333</v>
      </c>
      <c r="BY735" s="343">
        <f>SUMIFS($AU736:AU$1388,$Q736:Q$1388,"S")</f>
        <v>11387.199999999999</v>
      </c>
      <c r="BZ735" s="343">
        <f>SUMIFS($AU736:AU$1388,$Q736:Q$1388,"O")</f>
        <v>-1246.0279999998454</v>
      </c>
    </row>
    <row r="736" spans="1:78" ht="15.75" customHeight="1">
      <c r="A736" s="221" t="s">
        <v>2798</v>
      </c>
      <c r="B736" s="200">
        <v>45099</v>
      </c>
      <c r="C736" s="178" t="s">
        <v>3042</v>
      </c>
      <c r="D736" s="178" t="s">
        <v>93</v>
      </c>
      <c r="E736" s="227"/>
      <c r="F736" s="180"/>
      <c r="G736" s="281" t="s">
        <v>3043</v>
      </c>
      <c r="H736" s="182"/>
      <c r="I736" s="182"/>
      <c r="J736" s="182"/>
      <c r="K736" s="183"/>
      <c r="L736" s="182">
        <v>2</v>
      </c>
      <c r="M736" s="182">
        <v>2</v>
      </c>
      <c r="N736" s="182"/>
      <c r="O736" s="183" t="s">
        <v>95</v>
      </c>
      <c r="P736" s="183" t="s">
        <v>96</v>
      </c>
      <c r="Q736" s="183" t="s">
        <v>256</v>
      </c>
      <c r="R736" s="183">
        <v>6</v>
      </c>
      <c r="S736" s="183">
        <v>2</v>
      </c>
      <c r="T736" s="183">
        <v>6</v>
      </c>
      <c r="U736" s="183" t="s">
        <v>97</v>
      </c>
      <c r="V736" s="183"/>
      <c r="W736" s="183"/>
      <c r="X736" s="183"/>
      <c r="Y736" s="184">
        <f>IF(ISBLANK(O736),"",(IF(O736=UPPER("IB"),0.005,0.01)))</f>
        <v>0.01</v>
      </c>
      <c r="Z736" s="185">
        <f>IF(ISBLANK(O736),"",IF(O736="IB",8.63*200,IF(O736="IR",16*100,IF(O736="YT",20*100,IF(O736="YT-XT",24*200,IF(O736="TED",80*100))))))</f>
        <v>1600</v>
      </c>
      <c r="AA736" s="185" t="s">
        <v>3044</v>
      </c>
      <c r="AB736" s="185" t="s">
        <v>3045</v>
      </c>
      <c r="AC736" s="185" t="s">
        <v>3046</v>
      </c>
      <c r="AD736" s="649">
        <v>0.23</v>
      </c>
      <c r="AE736" s="182"/>
      <c r="AF736" s="332"/>
      <c r="AG736" s="182"/>
      <c r="AH736" s="182"/>
      <c r="AI736" s="182"/>
      <c r="AJ736" s="640"/>
      <c r="AK736" s="182"/>
      <c r="AL736" s="496">
        <f>-0.03*Z736</f>
        <v>-48</v>
      </c>
      <c r="AM736" s="496">
        <f>AL736*(R736-S736)</f>
        <v>-192</v>
      </c>
      <c r="AN736" s="626"/>
      <c r="AO736" s="182"/>
      <c r="AP736" s="182" t="s">
        <v>589</v>
      </c>
      <c r="AQ736" s="332" t="str">
        <f>UPPER(RIGHT(Journal_Live[[#This Row],[DURATION ]]))</f>
        <v>D</v>
      </c>
      <c r="AR736" s="298" t="s">
        <v>3047</v>
      </c>
      <c r="AS736" s="189">
        <f>(0.22*2+0.22*4)/6</f>
        <v>0.22</v>
      </c>
      <c r="AT736" s="189">
        <f t="shared" si="270"/>
        <v>1.0000000000000009E-2</v>
      </c>
      <c r="AU736" s="187">
        <f t="shared" si="271"/>
        <v>96.000000000000085</v>
      </c>
      <c r="AV736" s="190">
        <f t="shared" si="272"/>
        <v>16.000000000000014</v>
      </c>
      <c r="AW736" s="191" t="s">
        <v>96</v>
      </c>
      <c r="AX736" s="407" t="s">
        <v>3048</v>
      </c>
      <c r="AY736" s="407"/>
      <c r="AZ736" s="407"/>
      <c r="BA736" s="407"/>
      <c r="BB736" s="407"/>
      <c r="BC736" s="407"/>
      <c r="BD736" s="407"/>
      <c r="BE736" s="407"/>
      <c r="BF736" s="422"/>
      <c r="BG736" s="391">
        <f>SUM($AV$4:AV736)</f>
        <v>3855.0543953824617</v>
      </c>
      <c r="BH736" s="392">
        <f>SUM($AU$134:AU736)</f>
        <v>11439.345333333382</v>
      </c>
      <c r="BI736" s="318">
        <f>SUMIFS($AU$134:AU737,$Q$134:Q737,"F")</f>
        <v>2398.5333333333328</v>
      </c>
      <c r="BJ736" s="318">
        <f>SUMIFS($AU$134:AU737,$Q$134:Q737,"S")</f>
        <v>9284.4419999999973</v>
      </c>
      <c r="BK736" s="343">
        <f>SUMIFS($AU$134:AU737,$P$134:P737,"W")</f>
        <v>7019.7419999999347</v>
      </c>
      <c r="BL736" s="343">
        <f>SUMIFS($AU$134:AU737,$P$134:P737,"R")</f>
        <v>4484.6733333333341</v>
      </c>
      <c r="BM736" s="343">
        <f>SUMIFS($AU$134:AU737,$AQ$134:AQ737,"M")</f>
        <v>2013.3999999999799</v>
      </c>
      <c r="BN736" s="343">
        <f>SUMIFS($AU$134:AU737,$AQ$134:AQ737,"H")</f>
        <v>3574.1420000000148</v>
      </c>
      <c r="BO736" s="343">
        <f>SUMIFS($AU$134:AU737,$AQ$134:AQ737,"D")</f>
        <v>1899.5800000000745</v>
      </c>
      <c r="BP736" s="343">
        <f>SUMIFS($AU$134:AU739,$AQ$134:AQ739,"W")</f>
        <v>3049.7833333333429</v>
      </c>
      <c r="BQ736" s="343">
        <f>SUMIFS($AU$134:AU737,$Q$134:Q737,"O")</f>
        <v>-402.82999999995303</v>
      </c>
      <c r="BR736" s="343">
        <f>SUMIFS($AU$134:AU737,$AA$134:AA737,"*")</f>
        <v>12001.475333333321</v>
      </c>
      <c r="BS736" s="343">
        <f>SUMIFS($AU$134:AU737,$AB$134:AB737,"*")</f>
        <v>4828.3700000000608</v>
      </c>
      <c r="BT736" s="343">
        <f>SUMIFS($AU$134:AU737,$AC$134:AC737,"*")</f>
        <v>6591.6833333333316</v>
      </c>
      <c r="BU736" s="343">
        <f>SUMIFS($AU$134:AU737,$AA$134:AA737,"*",$AB$134:AB737,"*")</f>
        <v>3362.0000000000045</v>
      </c>
      <c r="BV736" s="343">
        <f>SUMIFS($AU$134:AU737,$AA$134:AA737,"*",$AC$134:AC737,"*")</f>
        <v>7188.7833333333328</v>
      </c>
      <c r="BW736" s="343">
        <f>SUMIFS($AU$134:AU737,$AB$134:AB737,"*",$AC$134:AC737,"*")</f>
        <v>5022.6000000000004</v>
      </c>
      <c r="BX736" s="343">
        <f>SUMIFS($AU737:AU$1388,$Q737:Q$1388,"F")</f>
        <v>12138.133333333333</v>
      </c>
      <c r="BY736" s="343">
        <f>SUMIFS($AU737:AU$1388,$Q737:Q$1388,"S")</f>
        <v>11387.199999999999</v>
      </c>
      <c r="BZ736" s="343">
        <f>SUMIFS($AU737:AU$1388,$Q737:Q$1388,"O")</f>
        <v>-1246.0279999998454</v>
      </c>
    </row>
    <row r="737" spans="1:78" ht="15.75" customHeight="1">
      <c r="A737" s="221" t="s">
        <v>2798</v>
      </c>
      <c r="B737" s="200">
        <v>45099</v>
      </c>
      <c r="C737" s="178" t="s">
        <v>3049</v>
      </c>
      <c r="D737" s="178" t="s">
        <v>93</v>
      </c>
      <c r="E737" s="227"/>
      <c r="F737" s="180"/>
      <c r="G737" s="281" t="s">
        <v>1664</v>
      </c>
      <c r="H737" s="182"/>
      <c r="I737" s="182"/>
      <c r="J737" s="182"/>
      <c r="K737" s="183"/>
      <c r="L737" s="182">
        <v>2</v>
      </c>
      <c r="M737" s="182">
        <v>1</v>
      </c>
      <c r="N737" s="182"/>
      <c r="O737" s="183" t="s">
        <v>95</v>
      </c>
      <c r="P737" s="183" t="s">
        <v>96</v>
      </c>
      <c r="Q737" s="183" t="s">
        <v>256</v>
      </c>
      <c r="R737" s="183">
        <v>6</v>
      </c>
      <c r="S737" s="183">
        <v>0</v>
      </c>
      <c r="T737" s="183">
        <v>6</v>
      </c>
      <c r="U737" s="183" t="s">
        <v>97</v>
      </c>
      <c r="V737" s="183"/>
      <c r="W737" s="183"/>
      <c r="X737" s="183"/>
      <c r="Y737" s="184">
        <f>IF(ISBLANK(O737),"",(IF(O737=UPPER("IB"),0.005,0.01)))</f>
        <v>0.01</v>
      </c>
      <c r="Z737" s="185">
        <f>IF(ISBLANK(O737),"",IF(O737="IB",8.63*200,IF(O737="IR",16*100,IF(O737="YT",20*100,IF(O737="YT-XT",24*200,IF(O737="TED",80*100))))))</f>
        <v>1600</v>
      </c>
      <c r="AA737" s="185" t="s">
        <v>3050</v>
      </c>
      <c r="AB737" s="185"/>
      <c r="AC737" s="185" t="s">
        <v>3051</v>
      </c>
      <c r="AD737" s="649">
        <v>0.08</v>
      </c>
      <c r="AE737" s="182"/>
      <c r="AF737" s="332"/>
      <c r="AG737" s="182"/>
      <c r="AH737" s="182"/>
      <c r="AI737" s="182" t="s">
        <v>529</v>
      </c>
      <c r="AJ737" s="640"/>
      <c r="AK737" s="182"/>
      <c r="AL737" s="496">
        <f t="shared" ref="AL737" si="273">-0.02*Z737</f>
        <v>-32</v>
      </c>
      <c r="AM737" s="496">
        <f>AL737*(R737-S737)</f>
        <v>-192</v>
      </c>
      <c r="AN737" s="626"/>
      <c r="AO737" s="182"/>
      <c r="AP737" s="182" t="s">
        <v>827</v>
      </c>
      <c r="AQ737" s="332" t="str">
        <f>UPPER(RIGHT(Journal_Live[[#This Row],[DURATION ]]))</f>
        <v>D</v>
      </c>
      <c r="AR737" s="182" t="s">
        <v>3052</v>
      </c>
      <c r="AS737" s="189">
        <v>7.0000000000000007E-2</v>
      </c>
      <c r="AT737" s="189">
        <f t="shared" si="270"/>
        <v>9.999999999999995E-3</v>
      </c>
      <c r="AU737" s="187">
        <f t="shared" si="271"/>
        <v>95.999999999999957</v>
      </c>
      <c r="AV737" s="190">
        <f t="shared" si="272"/>
        <v>15.999999999999993</v>
      </c>
      <c r="AW737" s="191" t="s">
        <v>96</v>
      </c>
      <c r="AX737" s="407" t="s">
        <v>3053</v>
      </c>
      <c r="AY737" s="407"/>
      <c r="AZ737" s="407"/>
      <c r="BA737" s="407"/>
      <c r="BB737" s="407"/>
      <c r="BC737" s="407"/>
      <c r="BD737" s="407"/>
      <c r="BE737" s="407"/>
      <c r="BF737" s="422"/>
      <c r="BG737" s="391">
        <f>SUM($AV$4:AV737)</f>
        <v>3871.0543953824617</v>
      </c>
      <c r="BH737" s="392">
        <f>SUM($AU$134:AU737)</f>
        <v>11535.345333333382</v>
      </c>
      <c r="BI737" s="318">
        <f>SUMIFS($AU$134:AU738,$Q$134:Q738,"F")</f>
        <v>2398.5333333333328</v>
      </c>
      <c r="BJ737" s="318">
        <f>SUMIFS($AU$134:AU738,$Q$134:Q738,"S")</f>
        <v>9332.4419999999973</v>
      </c>
      <c r="BK737" s="343">
        <f>SUMIFS($AU$134:AU738,$P$134:P738,"W")</f>
        <v>7067.7419999999347</v>
      </c>
      <c r="BL737" s="343">
        <f>SUMIFS($AU$134:AU738,$P$134:P738,"R")</f>
        <v>4484.6733333333341</v>
      </c>
      <c r="BM737" s="343">
        <f>SUMIFS($AU$134:AU738,$AQ$134:AQ738,"M")</f>
        <v>2013.3999999999799</v>
      </c>
      <c r="BN737" s="343">
        <f>SUMIFS($AU$134:AU738,$AQ$134:AQ738,"H")</f>
        <v>3622.1420000000148</v>
      </c>
      <c r="BO737" s="343">
        <f>SUMIFS($AU$134:AU738,$AQ$134:AQ738,"D")</f>
        <v>1899.5800000000745</v>
      </c>
      <c r="BP737" s="343">
        <f>SUMIFS($AU$134:AU740,$AQ$134:AQ740,"W")</f>
        <v>3049.7833333333429</v>
      </c>
      <c r="BQ737" s="343">
        <f>SUMIFS($AU$134:AU738,$Q$134:Q738,"O")</f>
        <v>-402.82999999995303</v>
      </c>
      <c r="BR737" s="343">
        <f>SUMIFS($AU$134:AU738,$AA$134:AA738,"*")</f>
        <v>12001.475333333321</v>
      </c>
      <c r="BS737" s="343">
        <f>SUMIFS($AU$134:AU738,$AB$134:AB738,"*")</f>
        <v>4876.3700000000608</v>
      </c>
      <c r="BT737" s="343">
        <f>SUMIFS($AU$134:AU738,$AC$134:AC738,"*")</f>
        <v>6591.6833333333316</v>
      </c>
      <c r="BU737" s="343">
        <f>SUMIFS($AU$134:AU738,$AA$134:AA738,"*",$AB$134:AB738,"*")</f>
        <v>3362.0000000000045</v>
      </c>
      <c r="BV737" s="343">
        <f>SUMIFS($AU$134:AU738,$AA$134:AA738,"*",$AC$134:AC738,"*")</f>
        <v>7188.7833333333328</v>
      </c>
      <c r="BW737" s="343">
        <f>SUMIFS($AU$134:AU738,$AB$134:AB738,"*",$AC$134:AC738,"*")</f>
        <v>5022.6000000000004</v>
      </c>
      <c r="BX737" s="343">
        <f>SUMIFS($AU738:AU$1388,$Q738:Q$1388,"F")</f>
        <v>12042.133333333333</v>
      </c>
      <c r="BY737" s="343">
        <f>SUMIFS($AU738:AU$1388,$Q738:Q$1388,"S")</f>
        <v>11387.199999999999</v>
      </c>
      <c r="BZ737" s="343">
        <f>SUMIFS($AU738:AU$1388,$Q738:Q$1388,"O")</f>
        <v>-1246.0279999998454</v>
      </c>
    </row>
    <row r="738" spans="1:78" ht="15.75" customHeight="1">
      <c r="A738" s="221" t="s">
        <v>2798</v>
      </c>
      <c r="B738" s="200">
        <v>45099</v>
      </c>
      <c r="C738" s="178" t="s">
        <v>3054</v>
      </c>
      <c r="D738" s="178" t="s">
        <v>93</v>
      </c>
      <c r="E738" s="227"/>
      <c r="F738" s="180"/>
      <c r="G738" s="281" t="s">
        <v>94</v>
      </c>
      <c r="H738" s="182"/>
      <c r="I738" s="182"/>
      <c r="J738" s="182"/>
      <c r="K738" s="183"/>
      <c r="L738" s="182">
        <v>1</v>
      </c>
      <c r="M738" s="182"/>
      <c r="N738" s="182"/>
      <c r="O738" s="183" t="s">
        <v>95</v>
      </c>
      <c r="P738" s="183" t="s">
        <v>96</v>
      </c>
      <c r="Q738" s="183" t="s">
        <v>97</v>
      </c>
      <c r="R738" s="183">
        <v>7</v>
      </c>
      <c r="S738" s="183">
        <v>0</v>
      </c>
      <c r="T738" s="183">
        <v>7</v>
      </c>
      <c r="U738" s="183" t="s">
        <v>97</v>
      </c>
      <c r="V738" s="183"/>
      <c r="W738" s="183"/>
      <c r="X738" s="183"/>
      <c r="Y738" s="184">
        <f>IF(ISBLANK(O738),"",(IF(O738=UPPER("IB"),0.005,0.01)))</f>
        <v>0.01</v>
      </c>
      <c r="Z738" s="185">
        <f>IF(ISBLANK(O738),"",IF(O738="IB",8.63*200,IF(O738="IR",16*100,IF(O738="YT",20*100,IF(O738="YT-XT",24*200,IF(O738="TED",80*100))))))</f>
        <v>1600</v>
      </c>
      <c r="AA738" s="185"/>
      <c r="AB738" s="185" t="s">
        <v>3055</v>
      </c>
      <c r="AC738" s="185"/>
      <c r="AD738" s="649">
        <v>0.12</v>
      </c>
      <c r="AE738" s="182"/>
      <c r="AF738" s="332"/>
      <c r="AG738" s="182"/>
      <c r="AH738" s="182"/>
      <c r="AI738" s="182"/>
      <c r="AJ738" s="640"/>
      <c r="AK738" s="182"/>
      <c r="AL738" s="496">
        <f>-0.03*Z738</f>
        <v>-48</v>
      </c>
      <c r="AM738" s="496">
        <f>AL738*(R738-S738)</f>
        <v>-336</v>
      </c>
      <c r="AN738" s="626"/>
      <c r="AO738" s="182"/>
      <c r="AP738" s="182" t="s">
        <v>1084</v>
      </c>
      <c r="AQ738" s="332" t="str">
        <f>UPPER(RIGHT(Journal_Live[[#This Row],[DURATION ]]))</f>
        <v>H</v>
      </c>
      <c r="AR738" s="182" t="s">
        <v>3056</v>
      </c>
      <c r="AS738" s="189">
        <f>(0.12*4+0.11*3)/7</f>
        <v>0.11571428571428573</v>
      </c>
      <c r="AT738" s="189">
        <f t="shared" si="270"/>
        <v>4.2857142857142677E-3</v>
      </c>
      <c r="AU738" s="187">
        <f t="shared" si="271"/>
        <v>47.999999999999801</v>
      </c>
      <c r="AV738" s="190">
        <f t="shared" si="272"/>
        <v>6.8571428571428283</v>
      </c>
      <c r="AW738" s="191" t="s">
        <v>96</v>
      </c>
      <c r="AX738" s="407" t="s">
        <v>3057</v>
      </c>
      <c r="AY738" s="407"/>
      <c r="AZ738" s="407"/>
      <c r="BA738" s="407"/>
      <c r="BB738" s="407"/>
      <c r="BC738" s="407"/>
      <c r="BD738" s="407"/>
      <c r="BE738" s="407"/>
      <c r="BF738" s="422"/>
      <c r="BG738" s="391">
        <f>SUM($AV$4:AV738)</f>
        <v>3877.9115382396044</v>
      </c>
      <c r="BH738" s="392">
        <f>SUM($AU$134:AU738)</f>
        <v>11583.345333333382</v>
      </c>
      <c r="BI738" s="318">
        <f>SUMIFS($AU$134:AU739,$Q$134:Q739,"F")</f>
        <v>2398.5333333333328</v>
      </c>
      <c r="BJ738" s="318">
        <f>SUMIFS($AU$134:AU739,$Q$134:Q739,"S")</f>
        <v>9604.4419999999973</v>
      </c>
      <c r="BK738" s="343">
        <f>SUMIFS($AU$134:AU739,$P$134:P739,"W")</f>
        <v>7339.7419999999347</v>
      </c>
      <c r="BL738" s="343">
        <f>SUMIFS($AU$134:AU739,$P$134:P739,"R")</f>
        <v>4484.6733333333341</v>
      </c>
      <c r="BM738" s="343">
        <f>SUMIFS($AU$134:AU739,$AQ$134:AQ739,"M")</f>
        <v>2013.3999999999799</v>
      </c>
      <c r="BN738" s="343">
        <f>SUMIFS($AU$134:AU739,$AQ$134:AQ739,"H")</f>
        <v>3622.1420000000148</v>
      </c>
      <c r="BO738" s="343">
        <f>SUMIFS($AU$134:AU739,$AQ$134:AQ739,"D")</f>
        <v>2171.5800000000745</v>
      </c>
      <c r="BP738" s="343">
        <f>SUMIFS($AU$134:AU741,$AQ$134:AQ741,"W")</f>
        <v>3049.7833333333429</v>
      </c>
      <c r="BQ738" s="343">
        <f>SUMIFS($AU$134:AU739,$Q$134:Q739,"O")</f>
        <v>-402.82999999995303</v>
      </c>
      <c r="BR738" s="343">
        <f>SUMIFS($AU$134:AU739,$AA$134:AA739,"*")</f>
        <v>12001.475333333321</v>
      </c>
      <c r="BS738" s="343">
        <f>SUMIFS($AU$134:AU739,$AB$134:AB739,"*")</f>
        <v>5148.3700000000608</v>
      </c>
      <c r="BT738" s="343">
        <f>SUMIFS($AU$134:AU739,$AC$134:AC739,"*")</f>
        <v>6591.6833333333316</v>
      </c>
      <c r="BU738" s="343">
        <f>SUMIFS($AU$134:AU739,$AA$134:AA739,"*",$AB$134:AB739,"*")</f>
        <v>3362.0000000000045</v>
      </c>
      <c r="BV738" s="343">
        <f>SUMIFS($AU$134:AU739,$AA$134:AA739,"*",$AC$134:AC739,"*")</f>
        <v>7188.7833333333328</v>
      </c>
      <c r="BW738" s="343">
        <f>SUMIFS($AU$134:AU739,$AB$134:AB739,"*",$AC$134:AC739,"*")</f>
        <v>5022.6000000000004</v>
      </c>
      <c r="BX738" s="343">
        <f>SUMIFS($AU739:AU$1388,$Q739:Q$1388,"F")</f>
        <v>12042.133333333333</v>
      </c>
      <c r="BY738" s="343">
        <f>SUMIFS($AU739:AU$1388,$Q739:Q$1388,"S")</f>
        <v>11339.2</v>
      </c>
      <c r="BZ738" s="343">
        <f>SUMIFS($AU739:AU$1388,$Q739:Q$1388,"O")</f>
        <v>-1246.0279999998454</v>
      </c>
    </row>
    <row r="739" spans="1:78" ht="15.75" customHeight="1">
      <c r="A739" s="221" t="s">
        <v>2798</v>
      </c>
      <c r="B739" s="200">
        <v>45100</v>
      </c>
      <c r="C739" s="178" t="s">
        <v>3058</v>
      </c>
      <c r="D739" s="178" t="s">
        <v>111</v>
      </c>
      <c r="E739" s="227"/>
      <c r="F739" s="180"/>
      <c r="G739" s="281" t="s">
        <v>181</v>
      </c>
      <c r="H739" s="182"/>
      <c r="I739" s="182"/>
      <c r="J739" s="182"/>
      <c r="K739" s="183"/>
      <c r="L739" s="182">
        <v>1</v>
      </c>
      <c r="M739" s="182"/>
      <c r="N739" s="182"/>
      <c r="O739" s="183" t="s">
        <v>95</v>
      </c>
      <c r="P739" s="183" t="s">
        <v>96</v>
      </c>
      <c r="Q739" s="183" t="s">
        <v>97</v>
      </c>
      <c r="R739" s="183">
        <v>12</v>
      </c>
      <c r="S739" s="183">
        <v>2</v>
      </c>
      <c r="T739" s="183">
        <v>12</v>
      </c>
      <c r="U739" s="183" t="s">
        <v>22</v>
      </c>
      <c r="V739" s="183"/>
      <c r="W739" s="183"/>
      <c r="X739" s="183"/>
      <c r="Y739" s="184">
        <f>IF(ISBLANK(O739),"",(IF(O739=UPPER("IB"),0.005,0.01)))</f>
        <v>0.01</v>
      </c>
      <c r="Z739" s="185">
        <f>IF(ISBLANK(O739),"",IF(O739="IB",8.63*200,IF(O739="IR",16*100,IF(O739="YT",20*100,IF(O739="YT-XT",24*200,IF(O739="TED",80*100))))))</f>
        <v>1600</v>
      </c>
      <c r="AA739" s="185"/>
      <c r="AB739" s="185" t="s">
        <v>3059</v>
      </c>
      <c r="AC739" s="185"/>
      <c r="AD739" s="649">
        <v>-0.12</v>
      </c>
      <c r="AE739" s="182"/>
      <c r="AF739" s="332"/>
      <c r="AG739" s="182"/>
      <c r="AH739" s="182"/>
      <c r="AI739" s="182"/>
      <c r="AJ739" s="640"/>
      <c r="AK739" s="182"/>
      <c r="AL739" s="496">
        <f t="shared" ref="AL739" si="274">-0.03*Z739</f>
        <v>-48</v>
      </c>
      <c r="AM739" s="496">
        <f>AL739*(R739-S739)</f>
        <v>-480</v>
      </c>
      <c r="AN739" s="626"/>
      <c r="AO739" s="182"/>
      <c r="AP739" s="182" t="s">
        <v>2333</v>
      </c>
      <c r="AQ739" s="332" t="str">
        <f>UPPER(RIGHT(Journal_Live[[#This Row],[DURATION ]]))</f>
        <v>D</v>
      </c>
      <c r="AR739" s="182" t="s">
        <v>3060</v>
      </c>
      <c r="AS739" s="189">
        <f>((-0.11*2)+(-0.11*5)+(-0.1*3)+(-0.1*2))/12</f>
        <v>-0.10583333333333333</v>
      </c>
      <c r="AT739" s="189">
        <f t="shared" si="270"/>
        <v>1.4166666666666661E-2</v>
      </c>
      <c r="AU739" s="187">
        <f t="shared" si="271"/>
        <v>271.99999999999989</v>
      </c>
      <c r="AV739" s="190">
        <f t="shared" si="272"/>
        <v>22.666666666666657</v>
      </c>
      <c r="AW739" s="191" t="s">
        <v>96</v>
      </c>
      <c r="AX739" s="407"/>
      <c r="AY739" s="407"/>
      <c r="AZ739" s="407"/>
      <c r="BA739" s="407"/>
      <c r="BB739" s="407"/>
      <c r="BC739" s="407"/>
      <c r="BD739" s="407"/>
      <c r="BE739" s="407"/>
      <c r="BF739" s="422"/>
      <c r="BG739" s="391">
        <f>SUM($AV$4:AV739)</f>
        <v>3900.5782049062709</v>
      </c>
      <c r="BH739" s="392">
        <f>SUM($AU$134:AU739)</f>
        <v>11855.345333333382</v>
      </c>
      <c r="BI739" s="318">
        <f>SUMIFS($AU$134:AU740,$Q$134:Q740,"F")</f>
        <v>2398.5333333333328</v>
      </c>
      <c r="BJ739" s="318">
        <f>SUMIFS($AU$134:AU740,$Q$134:Q740,"S")</f>
        <v>9604.4419999999973</v>
      </c>
      <c r="BK739" s="343">
        <f>SUMIFS($AU$134:AU740,$P$134:P740,"W")</f>
        <v>7339.7419999999347</v>
      </c>
      <c r="BL739" s="343">
        <f>SUMIFS($AU$134:AU740,$P$134:P740,"R")</f>
        <v>4484.6733333333341</v>
      </c>
      <c r="BM739" s="343">
        <f>SUMIFS($AU$134:AU740,$AQ$134:AQ740,"M")</f>
        <v>2013.3999999999799</v>
      </c>
      <c r="BN739" s="343">
        <f>SUMIFS($AU$134:AU740,$AQ$134:AQ740,"H")</f>
        <v>3622.1420000000148</v>
      </c>
      <c r="BO739" s="343">
        <f>SUMIFS($AU$134:AU740,$AQ$134:AQ740,"D")</f>
        <v>2171.5800000000745</v>
      </c>
      <c r="BP739" s="343">
        <f>SUMIFS($AU$134:AU742,$AQ$134:AQ742,"W")</f>
        <v>3049.7833333333429</v>
      </c>
      <c r="BQ739" s="343">
        <f>SUMIFS($AU$134:AU740,$Q$134:Q740,"O")</f>
        <v>-402.82999999995303</v>
      </c>
      <c r="BR739" s="343">
        <f>SUMIFS($AU$134:AU740,$AA$134:AA740,"*")</f>
        <v>12001.475333333321</v>
      </c>
      <c r="BS739" s="343">
        <f>SUMIFS($AU$134:AU740,$AB$134:AB740,"*")</f>
        <v>5148.3700000000608</v>
      </c>
      <c r="BT739" s="343">
        <f>SUMIFS($AU$134:AU740,$AC$134:AC740,"*")</f>
        <v>6591.6833333333316</v>
      </c>
      <c r="BU739" s="343">
        <f>SUMIFS($AU$134:AU740,$AA$134:AA740,"*",$AB$134:AB740,"*")</f>
        <v>3362.0000000000045</v>
      </c>
      <c r="BV739" s="343">
        <f>SUMIFS($AU$134:AU740,$AA$134:AA740,"*",$AC$134:AC740,"*")</f>
        <v>7188.7833333333328</v>
      </c>
      <c r="BW739" s="343">
        <f>SUMIFS($AU$134:AU740,$AB$134:AB740,"*",$AC$134:AC740,"*")</f>
        <v>5022.6000000000004</v>
      </c>
      <c r="BX739" s="343">
        <f>SUMIFS($AU740:AU$1388,$Q740:Q$1388,"F")</f>
        <v>12042.133333333333</v>
      </c>
      <c r="BY739" s="343">
        <f>SUMIFS($AU740:AU$1388,$Q740:Q$1388,"S")</f>
        <v>11067.2</v>
      </c>
      <c r="BZ739" s="343">
        <f>SUMIFS($AU740:AU$1388,$Q740:Q$1388,"O")</f>
        <v>-1246.0279999998454</v>
      </c>
    </row>
    <row r="740" spans="1:78" ht="15.75" customHeight="1">
      <c r="A740" s="221" t="s">
        <v>2798</v>
      </c>
      <c r="B740" s="200">
        <v>45103</v>
      </c>
      <c r="C740" s="178" t="s">
        <v>2107</v>
      </c>
      <c r="D740" s="178" t="s">
        <v>132</v>
      </c>
      <c r="E740" s="227"/>
      <c r="F740" s="180"/>
      <c r="G740" s="181" t="s">
        <v>2016</v>
      </c>
      <c r="H740" s="182"/>
      <c r="I740" s="182"/>
      <c r="J740" s="182"/>
      <c r="K740" s="183"/>
      <c r="L740" s="182"/>
      <c r="M740" s="182"/>
      <c r="N740" s="182"/>
      <c r="O740" s="183"/>
      <c r="P740" s="183"/>
      <c r="Q740" s="183"/>
      <c r="R740" s="183"/>
      <c r="S740" s="183"/>
      <c r="T740" s="183"/>
      <c r="U740" s="183"/>
      <c r="V740" s="183"/>
      <c r="W740" s="183"/>
      <c r="X740" s="183"/>
      <c r="Y740" s="184"/>
      <c r="Z740" s="185"/>
      <c r="AA740" s="185"/>
      <c r="AB740" s="185"/>
      <c r="AC740" s="185"/>
      <c r="AD740" s="649"/>
      <c r="AE740" s="182"/>
      <c r="AF740" s="332"/>
      <c r="AG740" s="182"/>
      <c r="AH740" s="182"/>
      <c r="AI740" s="182"/>
      <c r="AJ740" s="640"/>
      <c r="AK740" s="182"/>
      <c r="AL740" s="496"/>
      <c r="AM740" s="496"/>
      <c r="AN740" s="626"/>
      <c r="AO740" s="182"/>
      <c r="AP740" s="182"/>
      <c r="AQ740" s="332" t="str">
        <f>UPPER(RIGHT(Journal_Live[[#This Row],[DURATION ]]))</f>
        <v/>
      </c>
      <c r="AR740" s="182"/>
      <c r="AS740" s="189"/>
      <c r="AT740" s="189"/>
      <c r="AU740" s="187"/>
      <c r="AV740" s="190"/>
      <c r="AW740" s="191"/>
      <c r="AX740" s="407" t="s">
        <v>3061</v>
      </c>
      <c r="AY740" s="407"/>
      <c r="AZ740" s="407"/>
      <c r="BA740" s="407"/>
      <c r="BB740" s="407"/>
      <c r="BC740" s="407"/>
      <c r="BD740" s="407"/>
      <c r="BE740" s="407"/>
      <c r="BF740" s="422"/>
      <c r="BG740" s="391">
        <f>SUM($AV$4:AV740)</f>
        <v>3900.5782049062709</v>
      </c>
      <c r="BH740" s="392">
        <f>SUM($AU$134:AU740)</f>
        <v>11855.345333333382</v>
      </c>
      <c r="BI740" s="318">
        <f>SUMIFS($AU$134:AU741,$Q$134:Q741,"F")</f>
        <v>2398.5333333333328</v>
      </c>
      <c r="BJ740" s="318">
        <f>SUMIFS($AU$134:AU741,$Q$134:Q741,"S")</f>
        <v>9604.4419999999973</v>
      </c>
      <c r="BK740" s="343">
        <f>SUMIFS($AU$134:AU741,$P$134:P741,"W")</f>
        <v>7339.7419999999347</v>
      </c>
      <c r="BL740" s="343">
        <f>SUMIFS($AU$134:AU741,$P$134:P741,"R")</f>
        <v>4484.6733333333341</v>
      </c>
      <c r="BM740" s="343">
        <f>SUMIFS($AU$134:AU741,$AQ$134:AQ741,"M")</f>
        <v>2013.3999999999799</v>
      </c>
      <c r="BN740" s="343">
        <f>SUMIFS($AU$134:AU741,$AQ$134:AQ741,"H")</f>
        <v>3622.1420000000148</v>
      </c>
      <c r="BO740" s="343">
        <f>SUMIFS($AU$134:AU741,$AQ$134:AQ741,"D")</f>
        <v>2171.5800000000745</v>
      </c>
      <c r="BP740" s="343">
        <f>SUMIFS($AU$134:AU743,$AQ$134:AQ743,"W")</f>
        <v>3049.7833333333429</v>
      </c>
      <c r="BQ740" s="343">
        <f>SUMIFS($AU$134:AU741,$Q$134:Q741,"O")</f>
        <v>-402.82999999995303</v>
      </c>
      <c r="BR740" s="343">
        <f>SUMIFS($AU$134:AU741,$AA$134:AA741,"*")</f>
        <v>12001.475333333321</v>
      </c>
      <c r="BS740" s="343">
        <f>SUMIFS($AU$134:AU741,$AB$134:AB741,"*")</f>
        <v>5148.3700000000608</v>
      </c>
      <c r="BT740" s="343">
        <f>SUMIFS($AU$134:AU741,$AC$134:AC741,"*")</f>
        <v>6591.6833333333316</v>
      </c>
      <c r="BU740" s="343">
        <f>SUMIFS($AU$134:AU741,$AA$134:AA741,"*",$AB$134:AB741,"*")</f>
        <v>3362.0000000000045</v>
      </c>
      <c r="BV740" s="343">
        <f>SUMIFS($AU$134:AU741,$AA$134:AA741,"*",$AC$134:AC741,"*")</f>
        <v>7188.7833333333328</v>
      </c>
      <c r="BW740" s="343">
        <f>SUMIFS($AU$134:AU741,$AB$134:AB741,"*",$AC$134:AC741,"*")</f>
        <v>5022.6000000000004</v>
      </c>
      <c r="BX740" s="343">
        <f>SUMIFS($AU741:AU$1388,$Q741:Q$1388,"F")</f>
        <v>12042.133333333333</v>
      </c>
      <c r="BY740" s="343">
        <f>SUMIFS($AU741:AU$1388,$Q741:Q$1388,"S")</f>
        <v>11067.2</v>
      </c>
      <c r="BZ740" s="343">
        <f>SUMIFS($AU741:AU$1388,$Q741:Q$1388,"O")</f>
        <v>-1246.0279999998454</v>
      </c>
    </row>
    <row r="741" spans="1:78" ht="15.75" customHeight="1">
      <c r="A741" s="221" t="s">
        <v>2798</v>
      </c>
      <c r="B741" s="200">
        <v>45103</v>
      </c>
      <c r="C741" s="178" t="s">
        <v>3062</v>
      </c>
      <c r="D741" s="178" t="s">
        <v>132</v>
      </c>
      <c r="E741" s="227"/>
      <c r="F741" s="180"/>
      <c r="G741" s="181" t="s">
        <v>3009</v>
      </c>
      <c r="H741" s="182"/>
      <c r="I741" s="182"/>
      <c r="J741" s="182"/>
      <c r="K741" s="183"/>
      <c r="L741" s="182"/>
      <c r="M741" s="182"/>
      <c r="N741" s="182"/>
      <c r="O741" s="183"/>
      <c r="P741" s="183"/>
      <c r="Q741" s="183"/>
      <c r="R741" s="183"/>
      <c r="S741" s="183"/>
      <c r="T741" s="183"/>
      <c r="U741" s="183"/>
      <c r="V741" s="183"/>
      <c r="W741" s="183"/>
      <c r="X741" s="183"/>
      <c r="Y741" s="184"/>
      <c r="Z741" s="185"/>
      <c r="AA741" s="185"/>
      <c r="AB741" s="185"/>
      <c r="AC741" s="185"/>
      <c r="AD741" s="649"/>
      <c r="AE741" s="182"/>
      <c r="AF741" s="332"/>
      <c r="AG741" s="182"/>
      <c r="AH741" s="182"/>
      <c r="AI741" s="182"/>
      <c r="AJ741" s="640"/>
      <c r="AK741" s="182"/>
      <c r="AL741" s="496"/>
      <c r="AM741" s="496"/>
      <c r="AN741" s="626"/>
      <c r="AO741" s="182"/>
      <c r="AP741" s="182"/>
      <c r="AQ741" s="332" t="str">
        <f>UPPER(RIGHT(Journal_Live[[#This Row],[DURATION ]]))</f>
        <v/>
      </c>
      <c r="AR741" s="182"/>
      <c r="AS741" s="189"/>
      <c r="AT741" s="189"/>
      <c r="AU741" s="187"/>
      <c r="AV741" s="190"/>
      <c r="AW741" s="191"/>
      <c r="AX741" s="407"/>
      <c r="AY741" s="407"/>
      <c r="AZ741" s="407"/>
      <c r="BA741" s="407"/>
      <c r="BB741" s="407"/>
      <c r="BC741" s="407"/>
      <c r="BD741" s="407"/>
      <c r="BE741" s="407"/>
      <c r="BF741" s="422"/>
      <c r="BG741" s="391">
        <f>SUM($AV$4:AV741)</f>
        <v>3900.5782049062709</v>
      </c>
      <c r="BH741" s="392">
        <f>SUM($AU$134:AU741)</f>
        <v>11855.345333333382</v>
      </c>
      <c r="BI741" s="318">
        <f>SUMIFS($AU$134:AU742,$Q$134:Q742,"F")</f>
        <v>2398.5333333333328</v>
      </c>
      <c r="BJ741" s="318">
        <f>SUMIFS($AU$134:AU742,$Q$134:Q742,"S")</f>
        <v>9604.4419999999973</v>
      </c>
      <c r="BK741" s="343">
        <f>SUMIFS($AU$134:AU742,$P$134:P742,"W")</f>
        <v>7339.7419999999347</v>
      </c>
      <c r="BL741" s="343">
        <f>SUMIFS($AU$134:AU742,$P$134:P742,"R")</f>
        <v>4484.6733333333341</v>
      </c>
      <c r="BM741" s="343">
        <f>SUMIFS($AU$134:AU742,$AQ$134:AQ742,"M")</f>
        <v>2013.3999999999799</v>
      </c>
      <c r="BN741" s="343">
        <f>SUMIFS($AU$134:AU742,$AQ$134:AQ742,"H")</f>
        <v>3622.1420000000148</v>
      </c>
      <c r="BO741" s="343">
        <f>SUMIFS($AU$134:AU742,$AQ$134:AQ742,"D")</f>
        <v>2171.5800000000745</v>
      </c>
      <c r="BP741" s="343">
        <f>SUMIFS($AU$134:AU744,$AQ$134:AQ744,"W")</f>
        <v>3049.7833333333429</v>
      </c>
      <c r="BQ741" s="343">
        <f>SUMIFS($AU$134:AU742,$Q$134:Q742,"O")</f>
        <v>-402.82999999995303</v>
      </c>
      <c r="BR741" s="343">
        <f>SUMIFS($AU$134:AU742,$AA$134:AA742,"*")</f>
        <v>12001.475333333321</v>
      </c>
      <c r="BS741" s="343">
        <f>SUMIFS($AU$134:AU742,$AB$134:AB742,"*")</f>
        <v>5148.3700000000608</v>
      </c>
      <c r="BT741" s="343">
        <f>SUMIFS($AU$134:AU742,$AC$134:AC742,"*")</f>
        <v>6591.6833333333316</v>
      </c>
      <c r="BU741" s="343">
        <f>SUMIFS($AU$134:AU742,$AA$134:AA742,"*",$AB$134:AB742,"*")</f>
        <v>3362.0000000000045</v>
      </c>
      <c r="BV741" s="343">
        <f>SUMIFS($AU$134:AU742,$AA$134:AA742,"*",$AC$134:AC742,"*")</f>
        <v>7188.7833333333328</v>
      </c>
      <c r="BW741" s="343">
        <f>SUMIFS($AU$134:AU742,$AB$134:AB742,"*",$AC$134:AC742,"*")</f>
        <v>5022.6000000000004</v>
      </c>
      <c r="BX741" s="343">
        <f>SUMIFS($AU742:AU$1388,$Q742:Q$1388,"F")</f>
        <v>12042.133333333333</v>
      </c>
      <c r="BY741" s="343">
        <f>SUMIFS($AU742:AU$1388,$Q742:Q$1388,"S")</f>
        <v>11067.2</v>
      </c>
      <c r="BZ741" s="343">
        <f>SUMIFS($AU742:AU$1388,$Q742:Q$1388,"O")</f>
        <v>-1246.0279999998454</v>
      </c>
    </row>
    <row r="742" spans="1:78" ht="15.75" customHeight="1">
      <c r="A742" s="221" t="s">
        <v>2798</v>
      </c>
      <c r="B742" s="200">
        <v>45103</v>
      </c>
      <c r="C742" s="178" t="s">
        <v>3063</v>
      </c>
      <c r="D742" s="178" t="s">
        <v>132</v>
      </c>
      <c r="E742" s="227"/>
      <c r="F742" s="180"/>
      <c r="G742" s="181" t="s">
        <v>2016</v>
      </c>
      <c r="H742" s="182"/>
      <c r="I742" s="182"/>
      <c r="J742" s="182"/>
      <c r="K742" s="183"/>
      <c r="L742" s="182"/>
      <c r="M742" s="182"/>
      <c r="N742" s="182"/>
      <c r="O742" s="183"/>
      <c r="P742" s="183"/>
      <c r="Q742" s="183"/>
      <c r="R742" s="183"/>
      <c r="S742" s="183"/>
      <c r="T742" s="183"/>
      <c r="U742" s="183"/>
      <c r="V742" s="183"/>
      <c r="W742" s="183"/>
      <c r="X742" s="183"/>
      <c r="Y742" s="184"/>
      <c r="Z742" s="185"/>
      <c r="AA742" s="185"/>
      <c r="AB742" s="185"/>
      <c r="AC742" s="185"/>
      <c r="AD742" s="649"/>
      <c r="AE742" s="182"/>
      <c r="AF742" s="332"/>
      <c r="AG742" s="182"/>
      <c r="AH742" s="182"/>
      <c r="AI742" s="182"/>
      <c r="AJ742" s="640"/>
      <c r="AK742" s="182"/>
      <c r="AL742" s="496"/>
      <c r="AM742" s="496"/>
      <c r="AN742" s="626"/>
      <c r="AO742" s="182"/>
      <c r="AP742" s="182"/>
      <c r="AQ742" s="332" t="str">
        <f>UPPER(RIGHT(Journal_Live[[#This Row],[DURATION ]]))</f>
        <v/>
      </c>
      <c r="AR742" s="182"/>
      <c r="AS742" s="189"/>
      <c r="AT742" s="189"/>
      <c r="AU742" s="187"/>
      <c r="AV742" s="190"/>
      <c r="AW742" s="191"/>
      <c r="AX742" s="407" t="s">
        <v>3064</v>
      </c>
      <c r="AY742" s="407"/>
      <c r="AZ742" s="407"/>
      <c r="BA742" s="407"/>
      <c r="BB742" s="407"/>
      <c r="BC742" s="407"/>
      <c r="BD742" s="407"/>
      <c r="BE742" s="407"/>
      <c r="BF742" s="422"/>
      <c r="BG742" s="391">
        <f>SUM($AV$4:AV742)</f>
        <v>3900.5782049062709</v>
      </c>
      <c r="BH742" s="392">
        <f>SUM($AU$134:AU742)</f>
        <v>11855.345333333382</v>
      </c>
      <c r="BI742" s="318">
        <f>SUMIFS($AU$134:AU743,$Q$134:Q743,"F")</f>
        <v>2398.5333333333328</v>
      </c>
      <c r="BJ742" s="318">
        <f>SUMIFS($AU$134:AU743,$Q$134:Q743,"S")</f>
        <v>9604.4419999999973</v>
      </c>
      <c r="BK742" s="343">
        <f>SUMIFS($AU$134:AU743,$P$134:P743,"W")</f>
        <v>7339.7419999999347</v>
      </c>
      <c r="BL742" s="343">
        <f>SUMIFS($AU$134:AU743,$P$134:P743,"R")</f>
        <v>4484.6733333333341</v>
      </c>
      <c r="BM742" s="343">
        <f>SUMIFS($AU$134:AU743,$AQ$134:AQ743,"M")</f>
        <v>2013.3999999999799</v>
      </c>
      <c r="BN742" s="343">
        <f>SUMIFS($AU$134:AU743,$AQ$134:AQ743,"H")</f>
        <v>3622.1420000000148</v>
      </c>
      <c r="BO742" s="343">
        <f>SUMIFS($AU$134:AU743,$AQ$134:AQ743,"D")</f>
        <v>2171.5800000000745</v>
      </c>
      <c r="BP742" s="343">
        <f>SUMIFS($AU$134:AU745,$AQ$134:AQ745,"W")</f>
        <v>3049.7833333333429</v>
      </c>
      <c r="BQ742" s="343">
        <f>SUMIFS($AU$134:AU743,$Q$134:Q743,"O")</f>
        <v>-402.82999999995303</v>
      </c>
      <c r="BR742" s="343">
        <f>SUMIFS($AU$134:AU743,$AA$134:AA743,"*")</f>
        <v>12001.475333333321</v>
      </c>
      <c r="BS742" s="343">
        <f>SUMIFS($AU$134:AU743,$AB$134:AB743,"*")</f>
        <v>5148.3700000000608</v>
      </c>
      <c r="BT742" s="343">
        <f>SUMIFS($AU$134:AU743,$AC$134:AC743,"*")</f>
        <v>6591.6833333333316</v>
      </c>
      <c r="BU742" s="343">
        <f>SUMIFS($AU$134:AU743,$AA$134:AA743,"*",$AB$134:AB743,"*")</f>
        <v>3362.0000000000045</v>
      </c>
      <c r="BV742" s="343">
        <f>SUMIFS($AU$134:AU743,$AA$134:AA743,"*",$AC$134:AC743,"*")</f>
        <v>7188.7833333333328</v>
      </c>
      <c r="BW742" s="343">
        <f>SUMIFS($AU$134:AU743,$AB$134:AB743,"*",$AC$134:AC743,"*")</f>
        <v>5022.6000000000004</v>
      </c>
      <c r="BX742" s="343">
        <f>SUMIFS($AU743:AU$1388,$Q743:Q$1388,"F")</f>
        <v>12042.133333333333</v>
      </c>
      <c r="BY742" s="343">
        <f>SUMIFS($AU743:AU$1388,$Q743:Q$1388,"S")</f>
        <v>11067.2</v>
      </c>
      <c r="BZ742" s="343">
        <f>SUMIFS($AU743:AU$1388,$Q743:Q$1388,"O")</f>
        <v>-1246.0279999998454</v>
      </c>
    </row>
    <row r="743" spans="1:78" ht="15.75" customHeight="1">
      <c r="A743" s="221" t="s">
        <v>2798</v>
      </c>
      <c r="B743" s="200"/>
      <c r="C743" s="178"/>
      <c r="D743" s="178"/>
      <c r="E743" s="227"/>
      <c r="F743" s="180"/>
      <c r="G743" s="181"/>
      <c r="H743" s="182"/>
      <c r="I743" s="182"/>
      <c r="J743" s="182"/>
      <c r="K743" s="183"/>
      <c r="L743" s="182"/>
      <c r="M743" s="182"/>
      <c r="N743" s="182"/>
      <c r="O743" s="183"/>
      <c r="P743" s="183"/>
      <c r="Q743" s="183"/>
      <c r="R743" s="183"/>
      <c r="S743" s="183"/>
      <c r="T743" s="183"/>
      <c r="U743" s="183"/>
      <c r="V743" s="183"/>
      <c r="W743" s="183"/>
      <c r="X743" s="183"/>
      <c r="Y743" s="183"/>
      <c r="Z743" s="183"/>
      <c r="AA743" s="185"/>
      <c r="AB743" s="185"/>
      <c r="AC743" s="185"/>
      <c r="AD743" s="649"/>
      <c r="AE743" s="182"/>
      <c r="AF743" s="332"/>
      <c r="AG743" s="182"/>
      <c r="AH743" s="182"/>
      <c r="AI743" s="182"/>
      <c r="AJ743" s="640"/>
      <c r="AK743" s="182"/>
      <c r="AL743" s="496"/>
      <c r="AM743" s="497"/>
      <c r="AN743" s="626"/>
      <c r="AO743" s="182"/>
      <c r="AP743" s="182"/>
      <c r="AQ743" s="332" t="str">
        <f>UPPER(RIGHT(Journal_Live[[#This Row],[DURATION ]]))</f>
        <v/>
      </c>
      <c r="AR743" s="182"/>
      <c r="AS743" s="189"/>
      <c r="AT743" s="189"/>
      <c r="AU743" s="187"/>
      <c r="AV743" s="190"/>
      <c r="AW743" s="191"/>
      <c r="AX743" s="407" t="s">
        <v>3065</v>
      </c>
      <c r="AY743" s="407" t="s">
        <v>3066</v>
      </c>
      <c r="AZ743" s="407" t="s">
        <v>3067</v>
      </c>
      <c r="BA743" s="407" t="s">
        <v>3068</v>
      </c>
      <c r="BB743" s="407"/>
      <c r="BC743" s="407"/>
      <c r="BD743" s="407"/>
      <c r="BE743" s="407"/>
      <c r="BF743" s="422"/>
      <c r="BG743" s="391">
        <f>SUM($AV$4:AV743)</f>
        <v>3900.5782049062709</v>
      </c>
      <c r="BH743" s="392">
        <f>SUM($AU$134:AU743)</f>
        <v>11855.345333333382</v>
      </c>
      <c r="BI743" s="318">
        <f>SUMIFS($AU$134:AU744,$Q$134:Q744,"F")</f>
        <v>2398.5333333333328</v>
      </c>
      <c r="BJ743" s="318">
        <f>SUMIFS($AU$134:AU744,$Q$134:Q744,"S")</f>
        <v>9604.4419999999973</v>
      </c>
      <c r="BK743" s="343">
        <f>SUMIFS($AU$134:AU744,$P$134:P744,"W")</f>
        <v>7339.7419999999347</v>
      </c>
      <c r="BL743" s="343">
        <f>SUMIFS($AU$134:AU744,$P$134:P744,"R")</f>
        <v>4484.6733333333341</v>
      </c>
      <c r="BM743" s="343">
        <f>SUMIFS($AU$134:AU744,$AQ$134:AQ744,"M")</f>
        <v>2013.3999999999799</v>
      </c>
      <c r="BN743" s="343">
        <f>SUMIFS($AU$134:AU744,$AQ$134:AQ744,"H")</f>
        <v>3622.1420000000148</v>
      </c>
      <c r="BO743" s="343">
        <f>SUMIFS($AU$134:AU744,$AQ$134:AQ744,"D")</f>
        <v>2200.346666666715</v>
      </c>
      <c r="BP743" s="343">
        <f>SUMIFS($AU$134:AU746,$AQ$134:AQ746,"W")</f>
        <v>3049.7833333333429</v>
      </c>
      <c r="BQ743" s="343">
        <f>SUMIFS($AU$134:AU744,$Q$134:Q744,"O")</f>
        <v>-374.06333333331253</v>
      </c>
      <c r="BR743" s="343">
        <f>SUMIFS($AU$134:AU744,$AA$134:AA744,"*")</f>
        <v>12001.475333333321</v>
      </c>
      <c r="BS743" s="343">
        <f>SUMIFS($AU$134:AU744,$AB$134:AB744,"*")</f>
        <v>5177.1366666667018</v>
      </c>
      <c r="BT743" s="343">
        <f>SUMIFS($AU$134:AU744,$AC$134:AC744,"*")</f>
        <v>6591.6833333333316</v>
      </c>
      <c r="BU743" s="343">
        <f>SUMIFS($AU$134:AU744,$AA$134:AA744,"*",$AB$134:AB744,"*")</f>
        <v>3362.0000000000045</v>
      </c>
      <c r="BV743" s="343">
        <f>SUMIFS($AU$134:AU744,$AA$134:AA744,"*",$AC$134:AC744,"*")</f>
        <v>7188.7833333333328</v>
      </c>
      <c r="BW743" s="343">
        <f>SUMIFS($AU$134:AU744,$AB$134:AB744,"*",$AC$134:AC744,"*")</f>
        <v>5022.6000000000004</v>
      </c>
      <c r="BX743" s="343">
        <f>SUMIFS($AU744:AU$1388,$Q744:Q$1388,"F")</f>
        <v>12042.133333333333</v>
      </c>
      <c r="BY743" s="343">
        <f>SUMIFS($AU744:AU$1388,$Q744:Q$1388,"S")</f>
        <v>11067.2</v>
      </c>
      <c r="BZ743" s="343">
        <f>SUMIFS($AU744:AU$1388,$Q744:Q$1388,"O")</f>
        <v>-1246.0279999998454</v>
      </c>
    </row>
    <row r="744" spans="1:78" ht="15.75" customHeight="1">
      <c r="A744" s="221" t="s">
        <v>2798</v>
      </c>
      <c r="B744" s="200">
        <v>45104</v>
      </c>
      <c r="C744" s="178" t="s">
        <v>3069</v>
      </c>
      <c r="D744" s="178" t="s">
        <v>146</v>
      </c>
      <c r="E744" s="227"/>
      <c r="F744" s="180"/>
      <c r="G744" s="281" t="s">
        <v>3009</v>
      </c>
      <c r="H744" s="182"/>
      <c r="I744" s="182"/>
      <c r="J744" s="182"/>
      <c r="K744" s="183"/>
      <c r="L744" s="182">
        <v>1</v>
      </c>
      <c r="M744" s="182"/>
      <c r="N744" s="182"/>
      <c r="O744" s="183" t="s">
        <v>1057</v>
      </c>
      <c r="P744" s="183"/>
      <c r="Q744" s="183" t="s">
        <v>684</v>
      </c>
      <c r="R744" s="183">
        <v>4</v>
      </c>
      <c r="S744" s="183">
        <v>1</v>
      </c>
      <c r="T744" s="183">
        <v>4</v>
      </c>
      <c r="U744" s="183" t="s">
        <v>97</v>
      </c>
      <c r="V744" s="183"/>
      <c r="W744" s="183"/>
      <c r="X744" s="183"/>
      <c r="Y744" s="184">
        <f t="shared" ref="Y744:Y749" si="275">IF(ISBLANK(O744),"",(IF(O744=UPPER("IB"),0.005,0.01)))</f>
        <v>5.0000000000000001E-3</v>
      </c>
      <c r="Z744" s="185">
        <f t="shared" ref="Z744:Z749" si="276">IF(ISBLANK(O744),"",IF(O744="IB",8.63*200,IF(O744="IR",16*100,IF(O744="YT",20*100,IF(O744="YT-XT",24*200,IF(O744="TED",80*100))))))</f>
        <v>1726.0000000000002</v>
      </c>
      <c r="AA744" s="185"/>
      <c r="AB744" s="185" t="s">
        <v>3070</v>
      </c>
      <c r="AC744" s="185"/>
      <c r="AD744" s="649">
        <f>(95.86+95.85+95.84*2+95.875*2)/6</f>
        <v>95.856666666666669</v>
      </c>
      <c r="AE744" s="182"/>
      <c r="AF744" s="332"/>
      <c r="AG744" s="182"/>
      <c r="AH744" s="182"/>
      <c r="AI744" s="182"/>
      <c r="AJ744" s="640"/>
      <c r="AK744" s="182"/>
      <c r="AL744" s="496">
        <f>-0.05*Z744</f>
        <v>-86.300000000000011</v>
      </c>
      <c r="AM744" s="496">
        <f>AL744*(R744-S744)</f>
        <v>-258.90000000000003</v>
      </c>
      <c r="AN744" s="626"/>
      <c r="AO744" s="182"/>
      <c r="AP744" s="182" t="s">
        <v>804</v>
      </c>
      <c r="AQ744" s="332" t="str">
        <f>UPPER(RIGHT(Journal_Live[[#This Row],[DURATION ]]))</f>
        <v>D</v>
      </c>
      <c r="AR744" s="182" t="s">
        <v>3071</v>
      </c>
      <c r="AS744" s="189">
        <f>(95.84+95.855*5)/6</f>
        <v>95.852500000000006</v>
      </c>
      <c r="AT744" s="189">
        <f>IF(ISBLANK(AS744),,IF(U744="S",AD744-AS744,AS744-AD744))</f>
        <v>4.1666666666628771E-3</v>
      </c>
      <c r="AU744" s="187">
        <f>AV744*R744</f>
        <v>28.766666666640507</v>
      </c>
      <c r="AV744" s="190">
        <f>IF(ISBLANK(AS744),,(AT744*Z744))</f>
        <v>7.1916666666601268</v>
      </c>
      <c r="AW744" s="191" t="s">
        <v>96</v>
      </c>
      <c r="AX744" s="407" t="s">
        <v>3072</v>
      </c>
      <c r="AY744" s="407" t="s">
        <v>3073</v>
      </c>
      <c r="AZ744" s="407" t="s">
        <v>3074</v>
      </c>
      <c r="BA744" s="407"/>
      <c r="BB744" s="407"/>
      <c r="BC744" s="407"/>
      <c r="BD744" s="407"/>
      <c r="BE744" s="407"/>
      <c r="BF744" s="422"/>
      <c r="BG744" s="391">
        <f>SUM($AV$4:AV744)</f>
        <v>3907.7698715729312</v>
      </c>
      <c r="BH744" s="392">
        <f>SUM($AU$134:AU744)</f>
        <v>11884.112000000023</v>
      </c>
      <c r="BI744" s="318">
        <f>SUMIFS($AU$134:AU745,$Q$134:Q745,"F")</f>
        <v>2398.5333333333328</v>
      </c>
      <c r="BJ744" s="318">
        <f>SUMIFS($AU$134:AU745,$Q$134:Q745,"S")</f>
        <v>9604.4419999999973</v>
      </c>
      <c r="BK744" s="343">
        <f>SUMIFS($AU$134:AU745,$P$134:P745,"W")</f>
        <v>7339.7419999999347</v>
      </c>
      <c r="BL744" s="343">
        <f>SUMIFS($AU$134:AU745,$P$134:P745,"R")</f>
        <v>4484.6733333333341</v>
      </c>
      <c r="BM744" s="343">
        <f>SUMIFS($AU$134:AU745,$AQ$134:AQ745,"M")</f>
        <v>2013.3999999999799</v>
      </c>
      <c r="BN744" s="343">
        <f>SUMIFS($AU$134:AU745,$AQ$134:AQ745,"H")</f>
        <v>3622.1420000000148</v>
      </c>
      <c r="BO744" s="343">
        <f>SUMIFS($AU$134:AU745,$AQ$134:AQ745,"D")</f>
        <v>2200.346666666715</v>
      </c>
      <c r="BP744" s="343">
        <f>SUMIFS($AU$134:AU747,$AQ$134:AQ747,"W")</f>
        <v>3049.7833333333429</v>
      </c>
      <c r="BQ744" s="343">
        <f>SUMIFS($AU$134:AU745,$Q$134:Q745,"O")</f>
        <v>-374.06333333331253</v>
      </c>
      <c r="BR744" s="343">
        <f>SUMIFS($AU$134:AU745,$AA$134:AA745,"*")</f>
        <v>12001.475333333321</v>
      </c>
      <c r="BS744" s="343">
        <f>SUMIFS($AU$134:AU745,$AB$134:AB745,"*")</f>
        <v>5177.1366666667018</v>
      </c>
      <c r="BT744" s="343">
        <f>SUMIFS($AU$134:AU745,$AC$134:AC745,"*")</f>
        <v>6591.6833333333316</v>
      </c>
      <c r="BU744" s="343">
        <f>SUMIFS($AU$134:AU745,$AA$134:AA745,"*",$AB$134:AB745,"*")</f>
        <v>3362.0000000000045</v>
      </c>
      <c r="BV744" s="343">
        <f>SUMIFS($AU$134:AU745,$AA$134:AA745,"*",$AC$134:AC745,"*")</f>
        <v>7188.7833333333328</v>
      </c>
      <c r="BW744" s="343">
        <f>SUMIFS($AU$134:AU745,$AB$134:AB745,"*",$AC$134:AC745,"*")</f>
        <v>5022.6000000000004</v>
      </c>
      <c r="BX744" s="343">
        <f>SUMIFS($AU745:AU$1388,$Q745:Q$1388,"F")</f>
        <v>12042.133333333333</v>
      </c>
      <c r="BY744" s="343">
        <f>SUMIFS($AU745:AU$1388,$Q745:Q$1388,"S")</f>
        <v>11067.2</v>
      </c>
      <c r="BZ744" s="343">
        <f>SUMIFS($AU745:AU$1388,$Q745:Q$1388,"O")</f>
        <v>-1274.7946666664859</v>
      </c>
    </row>
    <row r="745" spans="1:78" ht="15.75" customHeight="1">
      <c r="A745" s="221" t="s">
        <v>2798</v>
      </c>
      <c r="B745" s="200">
        <v>45105</v>
      </c>
      <c r="C745" s="178" t="s">
        <v>2081</v>
      </c>
      <c r="D745" s="178" t="s">
        <v>151</v>
      </c>
      <c r="E745" s="227" t="s">
        <v>3075</v>
      </c>
      <c r="F745" s="180" t="s">
        <v>3076</v>
      </c>
      <c r="G745" s="181"/>
      <c r="H745" s="182"/>
      <c r="I745" s="182"/>
      <c r="J745" s="182">
        <v>1</v>
      </c>
      <c r="K745" s="183" t="s">
        <v>115</v>
      </c>
      <c r="L745" s="182"/>
      <c r="M745" s="182"/>
      <c r="N745" s="182"/>
      <c r="O745" s="183"/>
      <c r="P745" s="183"/>
      <c r="Q745" s="183"/>
      <c r="R745" s="183"/>
      <c r="S745" s="183"/>
      <c r="T745" s="183"/>
      <c r="U745" s="183"/>
      <c r="V745" s="183"/>
      <c r="W745" s="183"/>
      <c r="X745" s="183"/>
      <c r="Y745" s="184" t="str">
        <f t="shared" si="275"/>
        <v/>
      </c>
      <c r="Z745" s="185" t="str">
        <f t="shared" si="276"/>
        <v/>
      </c>
      <c r="AA745" s="185"/>
      <c r="AB745" s="185"/>
      <c r="AC745" s="185"/>
      <c r="AD745" s="649"/>
      <c r="AE745" s="182"/>
      <c r="AF745" s="332"/>
      <c r="AG745" s="182"/>
      <c r="AH745" s="182"/>
      <c r="AI745" s="182"/>
      <c r="AJ745" s="640"/>
      <c r="AK745" s="182"/>
      <c r="AL745" s="496"/>
      <c r="AM745" s="496"/>
      <c r="AN745" s="626"/>
      <c r="AO745" s="182"/>
      <c r="AP745" s="182"/>
      <c r="AQ745" s="332" t="str">
        <f>UPPER(RIGHT(Journal_Live[[#This Row],[DURATION ]]))</f>
        <v/>
      </c>
      <c r="AR745" s="182"/>
      <c r="AS745" s="189"/>
      <c r="AT745" s="189"/>
      <c r="AU745" s="187"/>
      <c r="AV745" s="190"/>
      <c r="AW745" s="191"/>
      <c r="AX745" s="407" t="s">
        <v>3077</v>
      </c>
      <c r="AY745" s="407" t="s">
        <v>3078</v>
      </c>
      <c r="AZ745" s="407" t="s">
        <v>3079</v>
      </c>
      <c r="BA745" s="407"/>
      <c r="BB745" s="407"/>
      <c r="BC745" s="407"/>
      <c r="BD745" s="407"/>
      <c r="BE745" s="407"/>
      <c r="BF745" s="422"/>
      <c r="BG745" s="391">
        <f>SUM($AV$4:AV745)</f>
        <v>3907.7698715729312</v>
      </c>
      <c r="BH745" s="392">
        <f>SUM($AU$134:AU745)</f>
        <v>11884.112000000023</v>
      </c>
      <c r="BI745" s="318">
        <f>SUMIFS($AU$134:AU746,$Q$134:Q746,"F")</f>
        <v>2398.5333333333328</v>
      </c>
      <c r="BJ745" s="318">
        <f>SUMIFS($AU$134:AU746,$Q$134:Q746,"S")</f>
        <v>9796.4419999999973</v>
      </c>
      <c r="BK745" s="343">
        <f>SUMIFS($AU$134:AU746,$P$134:P746,"W")</f>
        <v>7339.7419999999347</v>
      </c>
      <c r="BL745" s="343">
        <f>SUMIFS($AU$134:AU746,$P$134:P746,"R")</f>
        <v>4676.6733333333341</v>
      </c>
      <c r="BM745" s="343">
        <f>SUMIFS($AU$134:AU746,$AQ$134:AQ746,"M")</f>
        <v>2013.3999999999799</v>
      </c>
      <c r="BN745" s="343">
        <f>SUMIFS($AU$134:AU746,$AQ$134:AQ746,"H")</f>
        <v>3814.1420000000148</v>
      </c>
      <c r="BO745" s="343">
        <f>SUMIFS($AU$134:AU746,$AQ$134:AQ746,"D")</f>
        <v>2200.346666666715</v>
      </c>
      <c r="BP745" s="343">
        <f>SUMIFS($AU$134:AU748,$AQ$134:AQ748,"W")</f>
        <v>3049.7833333333429</v>
      </c>
      <c r="BQ745" s="343">
        <f>SUMIFS($AU$134:AU746,$Q$134:Q746,"O")</f>
        <v>-374.06333333331253</v>
      </c>
      <c r="BR745" s="343">
        <f>SUMIFS($AU$134:AU746,$AA$134:AA746,"*")</f>
        <v>12193.475333333321</v>
      </c>
      <c r="BS745" s="343">
        <f>SUMIFS($AU$134:AU746,$AB$134:AB746,"*")</f>
        <v>5177.1366666667018</v>
      </c>
      <c r="BT745" s="343">
        <f>SUMIFS($AU$134:AU746,$AC$134:AC746,"*")</f>
        <v>6591.6833333333316</v>
      </c>
      <c r="BU745" s="343">
        <f>SUMIFS($AU$134:AU746,$AA$134:AA746,"*",$AB$134:AB746,"*")</f>
        <v>3362.0000000000045</v>
      </c>
      <c r="BV745" s="343">
        <f>SUMIFS($AU$134:AU746,$AA$134:AA746,"*",$AC$134:AC746,"*")</f>
        <v>7188.7833333333328</v>
      </c>
      <c r="BW745" s="343">
        <f>SUMIFS($AU$134:AU746,$AB$134:AB746,"*",$AC$134:AC746,"*")</f>
        <v>5022.6000000000004</v>
      </c>
      <c r="BX745" s="343">
        <f>SUMIFS($AU746:AU$1388,$Q746:Q$1388,"F")</f>
        <v>12042.133333333333</v>
      </c>
      <c r="BY745" s="343">
        <f>SUMIFS($AU746:AU$1388,$Q746:Q$1388,"S")</f>
        <v>11067.2</v>
      </c>
      <c r="BZ745" s="343">
        <f>SUMIFS($AU746:AU$1388,$Q746:Q$1388,"O")</f>
        <v>-1274.7946666664859</v>
      </c>
    </row>
    <row r="746" spans="1:78" ht="15.75" customHeight="1">
      <c r="A746" s="221" t="s">
        <v>2798</v>
      </c>
      <c r="B746" s="200">
        <v>45105</v>
      </c>
      <c r="C746" s="178" t="s">
        <v>682</v>
      </c>
      <c r="D746" s="178" t="s">
        <v>151</v>
      </c>
      <c r="E746" s="227"/>
      <c r="F746" s="180"/>
      <c r="G746" s="281" t="s">
        <v>2942</v>
      </c>
      <c r="H746" s="182"/>
      <c r="I746" s="182"/>
      <c r="J746" s="182"/>
      <c r="K746" s="183"/>
      <c r="L746" s="182">
        <v>1</v>
      </c>
      <c r="M746" s="182"/>
      <c r="N746" s="182"/>
      <c r="O746" s="183" t="s">
        <v>95</v>
      </c>
      <c r="P746" s="183" t="s">
        <v>137</v>
      </c>
      <c r="Q746" s="183" t="s">
        <v>97</v>
      </c>
      <c r="R746" s="183">
        <v>12</v>
      </c>
      <c r="S746" s="183">
        <v>0</v>
      </c>
      <c r="T746" s="183">
        <v>10</v>
      </c>
      <c r="U746" s="183" t="s">
        <v>97</v>
      </c>
      <c r="V746" s="183"/>
      <c r="W746" s="183"/>
      <c r="X746" s="183"/>
      <c r="Y746" s="184">
        <f t="shared" si="275"/>
        <v>0.01</v>
      </c>
      <c r="Z746" s="185">
        <f t="shared" si="276"/>
        <v>1600</v>
      </c>
      <c r="AA746" s="185" t="s">
        <v>3080</v>
      </c>
      <c r="AB746" s="185"/>
      <c r="AC746" s="185"/>
      <c r="AD746" s="649">
        <v>-0.12</v>
      </c>
      <c r="AE746" s="182"/>
      <c r="AF746" s="332"/>
      <c r="AG746" s="182"/>
      <c r="AH746" s="182"/>
      <c r="AI746" s="182"/>
      <c r="AJ746" s="640"/>
      <c r="AK746" s="182"/>
      <c r="AL746" s="496">
        <f>-0.02*Z746</f>
        <v>-32</v>
      </c>
      <c r="AM746" s="496">
        <f>AL746*(R746-S746)</f>
        <v>-384</v>
      </c>
      <c r="AN746" s="626"/>
      <c r="AO746" s="182"/>
      <c r="AP746" s="182"/>
      <c r="AQ746" s="332" t="s">
        <v>372</v>
      </c>
      <c r="AR746" s="182" t="s">
        <v>3081</v>
      </c>
      <c r="AS746" s="189">
        <v>-0.13</v>
      </c>
      <c r="AT746" s="189">
        <f>IF(ISBLANK(AS746),,IF(U746="S",AD746-AS746,AS746-AD746))</f>
        <v>1.0000000000000009E-2</v>
      </c>
      <c r="AU746" s="187">
        <f>AV746*R746</f>
        <v>192.00000000000017</v>
      </c>
      <c r="AV746" s="190">
        <f>IF(ISBLANK(AS746),,(AT746*Z746))</f>
        <v>16.000000000000014</v>
      </c>
      <c r="AW746" s="191" t="s">
        <v>96</v>
      </c>
      <c r="AX746" s="407" t="s">
        <v>3082</v>
      </c>
      <c r="AY746" s="407"/>
      <c r="AZ746" s="407"/>
      <c r="BA746" s="407" t="s">
        <v>195</v>
      </c>
      <c r="BB746" s="407"/>
      <c r="BC746" s="407"/>
      <c r="BD746" s="407"/>
      <c r="BE746" s="407"/>
      <c r="BF746" s="422"/>
      <c r="BG746" s="391">
        <f>SUM($AV$4:AV746)</f>
        <v>3923.7698715729312</v>
      </c>
      <c r="BH746" s="392">
        <f>SUM($AU$134:AU746)</f>
        <v>12076.112000000023</v>
      </c>
      <c r="BI746" s="318">
        <f>SUMIFS($AU$134:AU747,$Q$134:Q747,"F")</f>
        <v>2398.5333333333328</v>
      </c>
      <c r="BJ746" s="318">
        <f>SUMIFS($AU$134:AU747,$Q$134:Q747,"S")</f>
        <v>9796.4419999999973</v>
      </c>
      <c r="BK746" s="343">
        <f>SUMIFS($AU$134:AU747,$P$134:P747,"W")</f>
        <v>7339.7419999999347</v>
      </c>
      <c r="BL746" s="343">
        <f>SUMIFS($AU$134:AU747,$P$134:P747,"R")</f>
        <v>4676.6733333333341</v>
      </c>
      <c r="BM746" s="343">
        <f>SUMIFS($AU$134:AU747,$AQ$134:AQ747,"M")</f>
        <v>2013.3999999999799</v>
      </c>
      <c r="BN746" s="343">
        <f>SUMIFS($AU$134:AU747,$AQ$134:AQ747,"H")</f>
        <v>3814.1420000000148</v>
      </c>
      <c r="BO746" s="343">
        <f>SUMIFS($AU$134:AU747,$AQ$134:AQ747,"D")</f>
        <v>2200.346666666715</v>
      </c>
      <c r="BP746" s="343">
        <f>SUMIFS($AU$134:AU749,$AQ$134:AQ749,"W")</f>
        <v>3049.7833333333429</v>
      </c>
      <c r="BQ746" s="343">
        <f>SUMIFS($AU$134:AU747,$Q$134:Q747,"O")</f>
        <v>-314.06333333331025</v>
      </c>
      <c r="BR746" s="343">
        <f>SUMIFS($AU$134:AU747,$AA$134:AA747,"*")</f>
        <v>12253.475333333323</v>
      </c>
      <c r="BS746" s="343">
        <f>SUMIFS($AU$134:AU747,$AB$134:AB747,"*")</f>
        <v>5177.1366666667018</v>
      </c>
      <c r="BT746" s="343">
        <f>SUMIFS($AU$134:AU747,$AC$134:AC747,"*")</f>
        <v>6591.6833333333316</v>
      </c>
      <c r="BU746" s="343">
        <f>SUMIFS($AU$134:AU747,$AA$134:AA747,"*",$AB$134:AB747,"*")</f>
        <v>3362.0000000000045</v>
      </c>
      <c r="BV746" s="343">
        <f>SUMIFS($AU$134:AU747,$AA$134:AA747,"*",$AC$134:AC747,"*")</f>
        <v>7188.7833333333328</v>
      </c>
      <c r="BW746" s="343">
        <f>SUMIFS($AU$134:AU747,$AB$134:AB747,"*",$AC$134:AC747,"*")</f>
        <v>5022.6000000000004</v>
      </c>
      <c r="BX746" s="343">
        <f>SUMIFS($AU747:AU$1388,$Q747:Q$1388,"F")</f>
        <v>12042.133333333333</v>
      </c>
      <c r="BY746" s="343">
        <f>SUMIFS($AU747:AU$1388,$Q747:Q$1388,"S")</f>
        <v>10875.2</v>
      </c>
      <c r="BZ746" s="343">
        <f>SUMIFS($AU747:AU$1388,$Q747:Q$1388,"O")</f>
        <v>-1274.7946666664859</v>
      </c>
    </row>
    <row r="747" spans="1:78" ht="15.75" customHeight="1">
      <c r="A747" s="221" t="s">
        <v>2798</v>
      </c>
      <c r="B747" s="200">
        <v>45105</v>
      </c>
      <c r="C747" s="178" t="s">
        <v>682</v>
      </c>
      <c r="D747" s="178" t="s">
        <v>151</v>
      </c>
      <c r="E747" s="227"/>
      <c r="F747" s="180"/>
      <c r="G747" s="181" t="s">
        <v>3083</v>
      </c>
      <c r="H747" s="182"/>
      <c r="I747" s="182"/>
      <c r="J747" s="182"/>
      <c r="K747" s="183"/>
      <c r="L747" s="182">
        <v>1</v>
      </c>
      <c r="M747" s="182">
        <v>1</v>
      </c>
      <c r="N747" s="182"/>
      <c r="O747" s="183" t="s">
        <v>2432</v>
      </c>
      <c r="P747" s="183" t="s">
        <v>2260</v>
      </c>
      <c r="Q747" s="183" t="s">
        <v>684</v>
      </c>
      <c r="R747" s="183">
        <v>1</v>
      </c>
      <c r="S747" s="183">
        <v>0</v>
      </c>
      <c r="T747" s="183">
        <v>1</v>
      </c>
      <c r="U747" s="183" t="s">
        <v>97</v>
      </c>
      <c r="V747" s="183"/>
      <c r="W747" s="183"/>
      <c r="X747" s="183"/>
      <c r="Y747" s="184">
        <f t="shared" si="275"/>
        <v>0.01</v>
      </c>
      <c r="Z747" s="185">
        <f t="shared" si="276"/>
        <v>2000</v>
      </c>
      <c r="AA747" s="185" t="s">
        <v>3084</v>
      </c>
      <c r="AB747" s="185"/>
      <c r="AC747" s="185"/>
      <c r="AD747" s="649">
        <v>96.24</v>
      </c>
      <c r="AE747" s="182" t="s">
        <v>3085</v>
      </c>
      <c r="AF747" s="332"/>
      <c r="AG747" s="182"/>
      <c r="AH747" s="182"/>
      <c r="AI747" s="182"/>
      <c r="AJ747" s="640"/>
      <c r="AK747" s="182"/>
      <c r="AL747" s="496"/>
      <c r="AM747" s="496"/>
      <c r="AN747" s="626"/>
      <c r="AO747" s="182"/>
      <c r="AP747" s="182" t="s">
        <v>1740</v>
      </c>
      <c r="AQ747" s="332" t="str">
        <f>UPPER(RIGHT(Journal_Live[[#This Row],[DURATION ]]))</f>
        <v>S</v>
      </c>
      <c r="AR747" s="182" t="s">
        <v>682</v>
      </c>
      <c r="AS747" s="189">
        <v>96.21</v>
      </c>
      <c r="AT747" s="189">
        <f>IF(ISBLANK(AS747),,IF(U747="S",AD747-AS747,AS747-AD747))</f>
        <v>3.0000000000001137E-2</v>
      </c>
      <c r="AU747" s="187">
        <f>AV747*R747</f>
        <v>60.000000000002274</v>
      </c>
      <c r="AV747" s="190">
        <f>IF(ISBLANK(AS747),,(AT747*Z747))</f>
        <v>60.000000000002274</v>
      </c>
      <c r="AW747" s="191" t="s">
        <v>96</v>
      </c>
      <c r="AX747" s="407" t="s">
        <v>3086</v>
      </c>
      <c r="AY747" s="407" t="s">
        <v>3087</v>
      </c>
      <c r="AZ747" s="407"/>
      <c r="BA747" s="407"/>
      <c r="BB747" s="407"/>
      <c r="BC747" s="407"/>
      <c r="BD747" s="407"/>
      <c r="BE747" s="407"/>
      <c r="BF747" s="422"/>
      <c r="BG747" s="391">
        <f>SUM($AV$4:AV747)</f>
        <v>3983.7698715729334</v>
      </c>
      <c r="BH747" s="392">
        <f>SUM($AU$134:AU747)</f>
        <v>12136.112000000025</v>
      </c>
      <c r="BI747" s="318">
        <f>SUMIFS($AU$134:AU748,$Q$134:Q748,"F")</f>
        <v>2398.5333333333328</v>
      </c>
      <c r="BJ747" s="318">
        <f>SUMIFS($AU$134:AU748,$Q$134:Q748,"S")</f>
        <v>9988.4419999999973</v>
      </c>
      <c r="BK747" s="343">
        <f>SUMIFS($AU$134:AU748,$P$134:P748,"W")</f>
        <v>7531.7419999999347</v>
      </c>
      <c r="BL747" s="343">
        <f>SUMIFS($AU$134:AU748,$P$134:P748,"R")</f>
        <v>4676.6733333333341</v>
      </c>
      <c r="BM747" s="343">
        <f>SUMIFS($AU$134:AU748,$AQ$134:AQ748,"M")</f>
        <v>2205.3999999999796</v>
      </c>
      <c r="BN747" s="343">
        <f>SUMIFS($AU$134:AU748,$AQ$134:AQ748,"H")</f>
        <v>3814.1420000000148</v>
      </c>
      <c r="BO747" s="343">
        <f>SUMIFS($AU$134:AU748,$AQ$134:AQ748,"D")</f>
        <v>2200.346666666715</v>
      </c>
      <c r="BP747" s="343">
        <f>SUMIFS($AU$134:AU750,$AQ$134:AQ750,"W")</f>
        <v>3049.7833333333429</v>
      </c>
      <c r="BQ747" s="343">
        <f>SUMIFS($AU$134:AU748,$Q$134:Q748,"O")</f>
        <v>-314.06333333331025</v>
      </c>
      <c r="BR747" s="343">
        <f>SUMIFS($AU$134:AU748,$AA$134:AA748,"*")</f>
        <v>12445.475333333323</v>
      </c>
      <c r="BS747" s="343">
        <f>SUMIFS($AU$134:AU748,$AB$134:AB748,"*")</f>
        <v>5177.1366666667018</v>
      </c>
      <c r="BT747" s="343">
        <f>SUMIFS($AU$134:AU748,$AC$134:AC748,"*")</f>
        <v>6591.6833333333316</v>
      </c>
      <c r="BU747" s="343">
        <f>SUMIFS($AU$134:AU748,$AA$134:AA748,"*",$AB$134:AB748,"*")</f>
        <v>3362.0000000000045</v>
      </c>
      <c r="BV747" s="343">
        <f>SUMIFS($AU$134:AU748,$AA$134:AA748,"*",$AC$134:AC748,"*")</f>
        <v>7188.7833333333328</v>
      </c>
      <c r="BW747" s="343">
        <f>SUMIFS($AU$134:AU748,$AB$134:AB748,"*",$AC$134:AC748,"*")</f>
        <v>5022.6000000000004</v>
      </c>
      <c r="BX747" s="343">
        <f>SUMIFS($AU748:AU$1388,$Q748:Q$1388,"F")</f>
        <v>12042.133333333333</v>
      </c>
      <c r="BY747" s="343">
        <f>SUMIFS($AU748:AU$1388,$Q748:Q$1388,"S")</f>
        <v>10875.2</v>
      </c>
      <c r="BZ747" s="343">
        <f>SUMIFS($AU748:AU$1388,$Q748:Q$1388,"O")</f>
        <v>-1334.7946666664882</v>
      </c>
    </row>
    <row r="748" spans="1:78" ht="15.75" customHeight="1">
      <c r="A748" s="221" t="s">
        <v>2798</v>
      </c>
      <c r="B748" s="200">
        <v>45105</v>
      </c>
      <c r="C748" s="178" t="s">
        <v>682</v>
      </c>
      <c r="D748" s="178" t="s">
        <v>151</v>
      </c>
      <c r="E748" s="227"/>
      <c r="F748" s="180"/>
      <c r="G748" s="281" t="s">
        <v>136</v>
      </c>
      <c r="H748" s="182"/>
      <c r="I748" s="182"/>
      <c r="J748" s="182"/>
      <c r="K748" s="183"/>
      <c r="L748" s="182">
        <v>1</v>
      </c>
      <c r="M748" s="182"/>
      <c r="N748" s="182"/>
      <c r="O748" s="183" t="s">
        <v>95</v>
      </c>
      <c r="P748" s="183" t="s">
        <v>96</v>
      </c>
      <c r="Q748" s="183" t="s">
        <v>97</v>
      </c>
      <c r="R748" s="183">
        <v>12</v>
      </c>
      <c r="S748" s="183">
        <v>0</v>
      </c>
      <c r="T748" s="183">
        <v>12</v>
      </c>
      <c r="U748" s="183" t="s">
        <v>97</v>
      </c>
      <c r="V748" s="183"/>
      <c r="W748" s="183"/>
      <c r="X748" s="183"/>
      <c r="Y748" s="184">
        <f t="shared" si="275"/>
        <v>0.01</v>
      </c>
      <c r="Z748" s="185">
        <f t="shared" si="276"/>
        <v>1600</v>
      </c>
      <c r="AA748" s="185" t="s">
        <v>998</v>
      </c>
      <c r="AB748" s="185"/>
      <c r="AC748" s="185"/>
      <c r="AD748" s="649">
        <v>-0.14000000000000001</v>
      </c>
      <c r="AE748" s="182" t="s">
        <v>3088</v>
      </c>
      <c r="AF748" s="332"/>
      <c r="AG748" s="182"/>
      <c r="AH748" s="182"/>
      <c r="AI748" s="182"/>
      <c r="AJ748" s="640"/>
      <c r="AK748" s="182"/>
      <c r="AL748" s="496"/>
      <c r="AM748" s="496"/>
      <c r="AN748" s="626"/>
      <c r="AO748" s="182"/>
      <c r="AP748" s="182" t="s">
        <v>3089</v>
      </c>
      <c r="AQ748" s="332" t="str">
        <f>UPPER(RIGHT(Journal_Live[[#This Row],[DURATION ]]))</f>
        <v>M</v>
      </c>
      <c r="AR748" s="182" t="s">
        <v>3090</v>
      </c>
      <c r="AS748" s="189">
        <v>-0.15</v>
      </c>
      <c r="AT748" s="189">
        <f>IF(ISBLANK(AS748),,IF(U748="S",AD748-AS748,AS748-AD748))</f>
        <v>9.9999999999999811E-3</v>
      </c>
      <c r="AU748" s="187">
        <f>AV748*R748</f>
        <v>191.99999999999963</v>
      </c>
      <c r="AV748" s="190">
        <f>IF(ISBLANK(AS748),,(AT748*Z748))</f>
        <v>15.99999999999997</v>
      </c>
      <c r="AW748" s="191" t="s">
        <v>96</v>
      </c>
      <c r="AX748" s="407" t="s">
        <v>3091</v>
      </c>
      <c r="AY748" s="407"/>
      <c r="AZ748" s="407"/>
      <c r="BA748" s="407"/>
      <c r="BB748" s="407"/>
      <c r="BC748" s="407"/>
      <c r="BD748" s="407"/>
      <c r="BE748" s="407"/>
      <c r="BF748" s="422"/>
      <c r="BG748" s="391">
        <f>SUM($AV$4:AV748)</f>
        <v>3999.7698715729334</v>
      </c>
      <c r="BH748" s="392">
        <f>SUM($AU$134:AU748)</f>
        <v>12328.112000000025</v>
      </c>
      <c r="BI748" s="318">
        <f>SUMIFS($AU$134:AU749,$Q$134:Q749,"F")</f>
        <v>2398.5333333333328</v>
      </c>
      <c r="BJ748" s="318">
        <f>SUMIFS($AU$134:AU749,$Q$134:Q749,"S")</f>
        <v>10068.441999999997</v>
      </c>
      <c r="BK748" s="343">
        <f>SUMIFS($AU$134:AU749,$P$134:P749,"W")</f>
        <v>7611.7419999999347</v>
      </c>
      <c r="BL748" s="343">
        <f>SUMIFS($AU$134:AU749,$P$134:P749,"R")</f>
        <v>4676.6733333333341</v>
      </c>
      <c r="BM748" s="343">
        <f>SUMIFS($AU$134:AU749,$AQ$134:AQ749,"M")</f>
        <v>2205.3999999999796</v>
      </c>
      <c r="BN748" s="343">
        <f>SUMIFS($AU$134:AU749,$AQ$134:AQ749,"H")</f>
        <v>3894.1420000000148</v>
      </c>
      <c r="BO748" s="343">
        <f>SUMIFS($AU$134:AU749,$AQ$134:AQ749,"D")</f>
        <v>2200.346666666715</v>
      </c>
      <c r="BP748" s="343">
        <f>SUMIFS($AU$134:AU751,$AQ$134:AQ751,"W")</f>
        <v>3049.7833333333429</v>
      </c>
      <c r="BQ748" s="343">
        <f>SUMIFS($AU$134:AU749,$Q$134:Q749,"O")</f>
        <v>-314.06333333331025</v>
      </c>
      <c r="BR748" s="343">
        <f>SUMIFS($AU$134:AU749,$AA$134:AA749,"*")</f>
        <v>12525.475333333323</v>
      </c>
      <c r="BS748" s="343">
        <f>SUMIFS($AU$134:AU749,$AB$134:AB749,"*")</f>
        <v>5177.1366666667018</v>
      </c>
      <c r="BT748" s="343">
        <f>SUMIFS($AU$134:AU749,$AC$134:AC749,"*")</f>
        <v>6591.6833333333316</v>
      </c>
      <c r="BU748" s="343">
        <f>SUMIFS($AU$134:AU749,$AA$134:AA749,"*",$AB$134:AB749,"*")</f>
        <v>3362.0000000000045</v>
      </c>
      <c r="BV748" s="343">
        <f>SUMIFS($AU$134:AU749,$AA$134:AA749,"*",$AC$134:AC749,"*")</f>
        <v>7188.7833333333328</v>
      </c>
      <c r="BW748" s="343">
        <f>SUMIFS($AU$134:AU749,$AB$134:AB749,"*",$AC$134:AC749,"*")</f>
        <v>5022.6000000000004</v>
      </c>
      <c r="BX748" s="343">
        <f>SUMIFS($AU749:AU$1388,$Q749:Q$1388,"F")</f>
        <v>12042.133333333333</v>
      </c>
      <c r="BY748" s="343">
        <f>SUMIFS($AU749:AU$1388,$Q749:Q$1388,"S")</f>
        <v>10683.2</v>
      </c>
      <c r="BZ748" s="343">
        <f>SUMIFS($AU749:AU$1388,$Q749:Q$1388,"O")</f>
        <v>-1334.7946666664882</v>
      </c>
    </row>
    <row r="749" spans="1:78" ht="15.75" customHeight="1">
      <c r="A749" s="221" t="s">
        <v>2798</v>
      </c>
      <c r="B749" s="200">
        <v>45105</v>
      </c>
      <c r="C749" s="178" t="s">
        <v>3092</v>
      </c>
      <c r="D749" s="178" t="s">
        <v>151</v>
      </c>
      <c r="E749" s="227"/>
      <c r="F749" s="180"/>
      <c r="G749" s="281" t="s">
        <v>2145</v>
      </c>
      <c r="H749" s="182"/>
      <c r="I749" s="182"/>
      <c r="J749" s="182"/>
      <c r="K749" s="183"/>
      <c r="L749" s="182">
        <v>1</v>
      </c>
      <c r="M749" s="182"/>
      <c r="N749" s="182"/>
      <c r="O749" s="183" t="s">
        <v>95</v>
      </c>
      <c r="P749" s="183" t="s">
        <v>96</v>
      </c>
      <c r="Q749" s="183" t="s">
        <v>97</v>
      </c>
      <c r="R749" s="183">
        <v>5</v>
      </c>
      <c r="S749" s="183">
        <v>0</v>
      </c>
      <c r="T749" s="183">
        <v>5</v>
      </c>
      <c r="U749" s="183" t="s">
        <v>22</v>
      </c>
      <c r="V749" s="183"/>
      <c r="W749" s="183"/>
      <c r="X749" s="183"/>
      <c r="Y749" s="184">
        <f t="shared" si="275"/>
        <v>0.01</v>
      </c>
      <c r="Z749" s="185">
        <f t="shared" si="276"/>
        <v>1600</v>
      </c>
      <c r="AA749" s="185" t="s">
        <v>998</v>
      </c>
      <c r="AB749" s="185"/>
      <c r="AC749" s="185"/>
      <c r="AD749" s="649">
        <v>-0.04</v>
      </c>
      <c r="AE749" s="182" t="s">
        <v>3088</v>
      </c>
      <c r="AF749" s="332"/>
      <c r="AG749" s="182"/>
      <c r="AH749" s="182"/>
      <c r="AI749" s="182"/>
      <c r="AJ749" s="640"/>
      <c r="AK749" s="182"/>
      <c r="AL749" s="496">
        <f t="shared" ref="AL749" si="277">-0.02*Z749</f>
        <v>-32</v>
      </c>
      <c r="AM749" s="496">
        <f>AL749*(R749-S749)</f>
        <v>-160</v>
      </c>
      <c r="AN749" s="626"/>
      <c r="AO749" s="182"/>
      <c r="AP749" s="182" t="s">
        <v>2004</v>
      </c>
      <c r="AQ749" s="332" t="str">
        <f>UPPER(RIGHT(Journal_Live[[#This Row],[DURATION ]]))</f>
        <v>H</v>
      </c>
      <c r="AR749" s="182" t="s">
        <v>3093</v>
      </c>
      <c r="AS749" s="189">
        <v>-0.03</v>
      </c>
      <c r="AT749" s="189">
        <f>IF(ISBLANK(AS749),,IF(U749="S",AD749-AS749,AS749-AD749))</f>
        <v>1.0000000000000002E-2</v>
      </c>
      <c r="AU749" s="187">
        <f>AV749*R749</f>
        <v>80.000000000000014</v>
      </c>
      <c r="AV749" s="190">
        <f>IF(ISBLANK(AS749),,(AT749*Z749))</f>
        <v>16.000000000000004</v>
      </c>
      <c r="AW749" s="191" t="s">
        <v>96</v>
      </c>
      <c r="AX749" s="407"/>
      <c r="AY749" s="407"/>
      <c r="AZ749" s="407"/>
      <c r="BA749" s="407"/>
      <c r="BB749" s="407"/>
      <c r="BC749" s="407"/>
      <c r="BD749" s="407"/>
      <c r="BE749" s="407"/>
      <c r="BF749" s="422"/>
      <c r="BG749" s="391">
        <f>SUM($AV$4:AV749)</f>
        <v>4015.7698715729334</v>
      </c>
      <c r="BH749" s="392">
        <f>SUM($AU$134:AU749)</f>
        <v>12408.112000000025</v>
      </c>
      <c r="BI749" s="318">
        <f>SUMIFS($AU$134:AU750,$Q$134:Q750,"F")</f>
        <v>2398.5333333333328</v>
      </c>
      <c r="BJ749" s="318">
        <f>SUMIFS($AU$134:AU750,$Q$134:Q750,"S")</f>
        <v>10068.441999999997</v>
      </c>
      <c r="BK749" s="343">
        <f>SUMIFS($AU$134:AU750,$P$134:P750,"W")</f>
        <v>7611.7419999999347</v>
      </c>
      <c r="BL749" s="343">
        <f>SUMIFS($AU$134:AU750,$P$134:P750,"R")</f>
        <v>4676.6733333333341</v>
      </c>
      <c r="BM749" s="343">
        <f>SUMIFS($AU$134:AU750,$AQ$134:AQ750,"M")</f>
        <v>2205.3999999999796</v>
      </c>
      <c r="BN749" s="343">
        <f>SUMIFS($AU$134:AU750,$AQ$134:AQ750,"H")</f>
        <v>3894.1420000000148</v>
      </c>
      <c r="BO749" s="343">
        <f>SUMIFS($AU$134:AU750,$AQ$134:AQ750,"D")</f>
        <v>2200.346666666715</v>
      </c>
      <c r="BP749" s="343">
        <f>SUMIFS($AU$134:AU752,$AQ$134:AQ752,"W")</f>
        <v>3049.7833333333429</v>
      </c>
      <c r="BQ749" s="343">
        <f>SUMIFS($AU$134:AU750,$Q$134:Q750,"O")</f>
        <v>-314.06333333331025</v>
      </c>
      <c r="BR749" s="343">
        <f>SUMIFS($AU$134:AU750,$AA$134:AA750,"*")</f>
        <v>12525.475333333323</v>
      </c>
      <c r="BS749" s="343">
        <f>SUMIFS($AU$134:AU750,$AB$134:AB750,"*")</f>
        <v>5177.1366666667018</v>
      </c>
      <c r="BT749" s="343">
        <f>SUMIFS($AU$134:AU750,$AC$134:AC750,"*")</f>
        <v>6591.6833333333316</v>
      </c>
      <c r="BU749" s="343">
        <f>SUMIFS($AU$134:AU750,$AA$134:AA750,"*",$AB$134:AB750,"*")</f>
        <v>3362.0000000000045</v>
      </c>
      <c r="BV749" s="343">
        <f>SUMIFS($AU$134:AU750,$AA$134:AA750,"*",$AC$134:AC750,"*")</f>
        <v>7188.7833333333328</v>
      </c>
      <c r="BW749" s="343">
        <f>SUMIFS($AU$134:AU750,$AB$134:AB750,"*",$AC$134:AC750,"*")</f>
        <v>5022.6000000000004</v>
      </c>
      <c r="BX749" s="343">
        <f>SUMIFS($AU750:AU$1388,$Q750:Q$1388,"F")</f>
        <v>12042.133333333333</v>
      </c>
      <c r="BY749" s="343">
        <f>SUMIFS($AU750:AU$1388,$Q750:Q$1388,"S")</f>
        <v>10603.2</v>
      </c>
      <c r="BZ749" s="343">
        <f>SUMIFS($AU750:AU$1388,$Q750:Q$1388,"O")</f>
        <v>-1334.7946666664882</v>
      </c>
    </row>
    <row r="750" spans="1:78" ht="15.75" customHeight="1">
      <c r="A750" s="221" t="s">
        <v>2798</v>
      </c>
      <c r="B750" s="200">
        <v>45106</v>
      </c>
      <c r="C750" s="178" t="s">
        <v>2020</v>
      </c>
      <c r="D750" s="178" t="s">
        <v>93</v>
      </c>
      <c r="E750" s="227" t="s">
        <v>3094</v>
      </c>
      <c r="F750" s="180" t="s">
        <v>3095</v>
      </c>
      <c r="G750" s="181"/>
      <c r="H750" s="182">
        <v>1</v>
      </c>
      <c r="I750" s="182"/>
      <c r="J750" s="182"/>
      <c r="K750" s="183" t="s">
        <v>372</v>
      </c>
      <c r="L750" s="182"/>
      <c r="M750" s="182"/>
      <c r="N750" s="182"/>
      <c r="O750" s="183"/>
      <c r="P750" s="183"/>
      <c r="Q750" s="183"/>
      <c r="R750" s="183"/>
      <c r="S750" s="183"/>
      <c r="T750" s="183"/>
      <c r="U750" s="183"/>
      <c r="V750" s="183"/>
      <c r="W750" s="183"/>
      <c r="X750" s="183"/>
      <c r="Y750" s="183"/>
      <c r="Z750" s="183"/>
      <c r="AA750" s="185"/>
      <c r="AB750" s="185"/>
      <c r="AC750" s="185"/>
      <c r="AD750" s="649"/>
      <c r="AE750" s="182"/>
      <c r="AF750" s="332"/>
      <c r="AG750" s="182"/>
      <c r="AH750" s="182"/>
      <c r="AI750" s="182"/>
      <c r="AJ750" s="640"/>
      <c r="AK750" s="182"/>
      <c r="AL750" s="496"/>
      <c r="AM750" s="496"/>
      <c r="AN750" s="626"/>
      <c r="AO750" s="182"/>
      <c r="AP750" s="182"/>
      <c r="AQ750" s="332" t="str">
        <f>UPPER(RIGHT(Journal_Live[[#This Row],[DURATION ]]))</f>
        <v/>
      </c>
      <c r="AR750" s="182"/>
      <c r="AS750" s="189"/>
      <c r="AT750" s="189"/>
      <c r="AU750" s="187"/>
      <c r="AV750" s="190"/>
      <c r="AW750" s="191"/>
      <c r="AX750" s="407"/>
      <c r="AY750" s="407"/>
      <c r="AZ750" s="407"/>
      <c r="BA750" s="407"/>
      <c r="BB750" s="407"/>
      <c r="BC750" s="407"/>
      <c r="BD750" s="407"/>
      <c r="BE750" s="407"/>
      <c r="BF750" s="422"/>
      <c r="BG750" s="391">
        <f>SUM($AV$4:AV750)</f>
        <v>4015.7698715729334</v>
      </c>
      <c r="BH750" s="392">
        <f>SUM($AU$134:AU750)</f>
        <v>12408.112000000025</v>
      </c>
      <c r="BI750" s="318">
        <f>SUMIFS($AU$134:AU751,$Q$134:Q751,"F")</f>
        <v>2398.5333333333328</v>
      </c>
      <c r="BJ750" s="318">
        <f>SUMIFS($AU$134:AU751,$Q$134:Q751,"S")</f>
        <v>10068.441999999997</v>
      </c>
      <c r="BK750" s="343">
        <f>SUMIFS($AU$134:AU751,$P$134:P751,"W")</f>
        <v>7611.7419999999347</v>
      </c>
      <c r="BL750" s="343">
        <f>SUMIFS($AU$134:AU751,$P$134:P751,"R")</f>
        <v>4676.6733333333341</v>
      </c>
      <c r="BM750" s="343">
        <f>SUMIFS($AU$134:AU751,$AQ$134:AQ751,"M")</f>
        <v>2205.3999999999796</v>
      </c>
      <c r="BN750" s="343">
        <f>SUMIFS($AU$134:AU751,$AQ$134:AQ751,"H")</f>
        <v>3894.1420000000148</v>
      </c>
      <c r="BO750" s="343">
        <f>SUMIFS($AU$134:AU751,$AQ$134:AQ751,"D")</f>
        <v>2200.346666666715</v>
      </c>
      <c r="BP750" s="343">
        <f>SUMIFS($AU$134:AU753,$AQ$134:AQ753,"W")</f>
        <v>3049.7833333333429</v>
      </c>
      <c r="BQ750" s="343">
        <f>SUMIFS($AU$134:AU751,$Q$134:Q751,"O")</f>
        <v>-314.06333333331025</v>
      </c>
      <c r="BR750" s="343">
        <f>SUMIFS($AU$134:AU751,$AA$134:AA751,"*")</f>
        <v>12525.475333333323</v>
      </c>
      <c r="BS750" s="343">
        <f>SUMIFS($AU$134:AU751,$AB$134:AB751,"*")</f>
        <v>5177.1366666667018</v>
      </c>
      <c r="BT750" s="343">
        <f>SUMIFS($AU$134:AU751,$AC$134:AC751,"*")</f>
        <v>6591.6833333333316</v>
      </c>
      <c r="BU750" s="343">
        <f>SUMIFS($AU$134:AU751,$AA$134:AA751,"*",$AB$134:AB751,"*")</f>
        <v>3362.0000000000045</v>
      </c>
      <c r="BV750" s="343">
        <f>SUMIFS($AU$134:AU751,$AA$134:AA751,"*",$AC$134:AC751,"*")</f>
        <v>7188.7833333333328</v>
      </c>
      <c r="BW750" s="343">
        <f>SUMIFS($AU$134:AU751,$AB$134:AB751,"*",$AC$134:AC751,"*")</f>
        <v>5022.6000000000004</v>
      </c>
      <c r="BX750" s="343">
        <f>SUMIFS($AU751:AU$1388,$Q751:Q$1388,"F")</f>
        <v>12042.133333333333</v>
      </c>
      <c r="BY750" s="343">
        <f>SUMIFS($AU751:AU$1388,$Q751:Q$1388,"S")</f>
        <v>10603.2</v>
      </c>
      <c r="BZ750" s="343">
        <f>SUMIFS($AU751:AU$1388,$Q751:Q$1388,"O")</f>
        <v>-1334.7946666664882</v>
      </c>
    </row>
    <row r="751" spans="1:78" ht="15.75" customHeight="1">
      <c r="A751" s="221" t="s">
        <v>2798</v>
      </c>
      <c r="B751" s="200">
        <v>45106</v>
      </c>
      <c r="C751" s="178" t="s">
        <v>1728</v>
      </c>
      <c r="D751" s="178" t="s">
        <v>93</v>
      </c>
      <c r="E751" s="227" t="s">
        <v>3096</v>
      </c>
      <c r="F751" s="180" t="s">
        <v>3097</v>
      </c>
      <c r="G751" s="181"/>
      <c r="H751" s="182">
        <v>1</v>
      </c>
      <c r="I751" s="182"/>
      <c r="J751" s="182"/>
      <c r="K751" s="183" t="s">
        <v>372</v>
      </c>
      <c r="L751" s="182"/>
      <c r="M751" s="182"/>
      <c r="N751" s="182"/>
      <c r="O751" s="183"/>
      <c r="P751" s="183"/>
      <c r="Q751" s="183"/>
      <c r="R751" s="183"/>
      <c r="S751" s="183"/>
      <c r="T751" s="183"/>
      <c r="U751" s="183"/>
      <c r="V751" s="183"/>
      <c r="W751" s="183"/>
      <c r="X751" s="183"/>
      <c r="Y751" s="183"/>
      <c r="Z751" s="183"/>
      <c r="AA751" s="185"/>
      <c r="AB751" s="185"/>
      <c r="AC751" s="185"/>
      <c r="AD751" s="649"/>
      <c r="AE751" s="182"/>
      <c r="AF751" s="332"/>
      <c r="AG751" s="182"/>
      <c r="AH751" s="182"/>
      <c r="AI751" s="182"/>
      <c r="AJ751" s="640"/>
      <c r="AK751" s="182"/>
      <c r="AL751" s="496"/>
      <c r="AM751" s="496"/>
      <c r="AN751" s="626"/>
      <c r="AO751" s="182"/>
      <c r="AP751" s="182"/>
      <c r="AQ751" s="332" t="str">
        <f>UPPER(RIGHT(Journal_Live[[#This Row],[DURATION ]]))</f>
        <v/>
      </c>
      <c r="AR751" s="182"/>
      <c r="AS751" s="189"/>
      <c r="AT751" s="189"/>
      <c r="AU751" s="187"/>
      <c r="AV751" s="190"/>
      <c r="AW751" s="191"/>
      <c r="AX751" s="407" t="s">
        <v>3098</v>
      </c>
      <c r="AY751" s="407" t="s">
        <v>3099</v>
      </c>
      <c r="AZ751" s="407"/>
      <c r="BA751" s="407"/>
      <c r="BB751" s="407"/>
      <c r="BC751" s="407"/>
      <c r="BD751" s="407"/>
      <c r="BE751" s="407"/>
      <c r="BF751" s="422"/>
      <c r="BG751" s="391">
        <f>SUM($AV$4:AV751)</f>
        <v>4015.7698715729334</v>
      </c>
      <c r="BH751" s="392">
        <f>SUM($AU$134:AU751)</f>
        <v>12408.112000000025</v>
      </c>
      <c r="BI751" s="318">
        <f>SUMIFS($AU$134:AU752,$Q$134:Q752,"F")</f>
        <v>2350.5333333333328</v>
      </c>
      <c r="BJ751" s="318">
        <f>SUMIFS($AU$134:AU752,$Q$134:Q752,"S")</f>
        <v>10068.441999999997</v>
      </c>
      <c r="BK751" s="343">
        <f>SUMIFS($AU$134:AU752,$P$134:P752,"W")</f>
        <v>7563.7419999999347</v>
      </c>
      <c r="BL751" s="343">
        <f>SUMIFS($AU$134:AU752,$P$134:P752,"R")</f>
        <v>4676.6733333333341</v>
      </c>
      <c r="BM751" s="343">
        <f>SUMIFS($AU$134:AU752,$AQ$134:AQ752,"M")</f>
        <v>2205.3999999999796</v>
      </c>
      <c r="BN751" s="343">
        <f>SUMIFS($AU$134:AU752,$AQ$134:AQ752,"H")</f>
        <v>3894.1420000000148</v>
      </c>
      <c r="BO751" s="343">
        <f>SUMIFS($AU$134:AU752,$AQ$134:AQ752,"D")</f>
        <v>2152.346666666715</v>
      </c>
      <c r="BP751" s="343">
        <f>SUMIFS($AU$134:AU754,$AQ$134:AQ754,"W")</f>
        <v>3049.7833333333429</v>
      </c>
      <c r="BQ751" s="343">
        <f>SUMIFS($AU$134:AU752,$Q$134:Q752,"O")</f>
        <v>-314.06333333331025</v>
      </c>
      <c r="BR751" s="343">
        <f>SUMIFS($AU$134:AU752,$AA$134:AA752,"*")</f>
        <v>12477.475333333323</v>
      </c>
      <c r="BS751" s="343">
        <f>SUMIFS($AU$134:AU752,$AB$134:AB752,"*")</f>
        <v>5177.1366666667018</v>
      </c>
      <c r="BT751" s="343">
        <f>SUMIFS($AU$134:AU752,$AC$134:AC752,"*")</f>
        <v>6543.6833333333316</v>
      </c>
      <c r="BU751" s="343">
        <f>SUMIFS($AU$134:AU752,$AA$134:AA752,"*",$AB$134:AB752,"*")</f>
        <v>3362.0000000000045</v>
      </c>
      <c r="BV751" s="343">
        <f>SUMIFS($AU$134:AU752,$AA$134:AA752,"*",$AC$134:AC752,"*")</f>
        <v>7140.7833333333328</v>
      </c>
      <c r="BW751" s="343">
        <f>SUMIFS($AU$134:AU752,$AB$134:AB752,"*",$AC$134:AC752,"*")</f>
        <v>5022.6000000000004</v>
      </c>
      <c r="BX751" s="343">
        <f>SUMIFS($AU752:AU$1388,$Q752:Q$1388,"F")</f>
        <v>12042.133333333333</v>
      </c>
      <c r="BY751" s="343">
        <f>SUMIFS($AU752:AU$1388,$Q752:Q$1388,"S")</f>
        <v>10603.2</v>
      </c>
      <c r="BZ751" s="343">
        <f>SUMIFS($AU752:AU$1388,$Q752:Q$1388,"O")</f>
        <v>-1334.7946666664882</v>
      </c>
    </row>
    <row r="752" spans="1:78" ht="15.75" customHeight="1">
      <c r="A752" s="221" t="s">
        <v>2798</v>
      </c>
      <c r="B752" s="200">
        <v>45107</v>
      </c>
      <c r="C752" s="178" t="s">
        <v>3100</v>
      </c>
      <c r="D752" s="178" t="s">
        <v>111</v>
      </c>
      <c r="E752" s="227"/>
      <c r="F752" s="180"/>
      <c r="G752" s="281" t="s">
        <v>3101</v>
      </c>
      <c r="H752" s="182"/>
      <c r="I752" s="182"/>
      <c r="J752" s="182"/>
      <c r="K752" s="183"/>
      <c r="L752" s="182">
        <v>1</v>
      </c>
      <c r="M752" s="182">
        <v>1</v>
      </c>
      <c r="N752" s="182"/>
      <c r="O752" s="183" t="s">
        <v>95</v>
      </c>
      <c r="P752" s="183" t="s">
        <v>96</v>
      </c>
      <c r="Q752" s="183" t="s">
        <v>256</v>
      </c>
      <c r="R752" s="183">
        <v>3</v>
      </c>
      <c r="S752" s="183">
        <v>0</v>
      </c>
      <c r="T752" s="183">
        <v>3</v>
      </c>
      <c r="U752" s="183" t="s">
        <v>97</v>
      </c>
      <c r="V752" s="183"/>
      <c r="W752" s="183"/>
      <c r="X752" s="183"/>
      <c r="Y752" s="184">
        <f>IF(ISBLANK(O752),"",(IF(O752=UPPER("IB"),0.005,0.01)))</f>
        <v>0.01</v>
      </c>
      <c r="Z752" s="185">
        <f>IF(ISBLANK(O752),"",IF(O752="IB",8.63*200,IF(O752="IR",16*100,IF(O752="YT",20*100,IF(O752="YT-XT",24*200,IF(O752="TED",80*100))))))</f>
        <v>1600</v>
      </c>
      <c r="AA752" s="185" t="s">
        <v>3102</v>
      </c>
      <c r="AB752" s="185"/>
      <c r="AC752" s="185" t="s">
        <v>3103</v>
      </c>
      <c r="AD752" s="649">
        <v>0.06</v>
      </c>
      <c r="AE752" s="182"/>
      <c r="AF752" s="332">
        <v>10</v>
      </c>
      <c r="AG752" s="407" t="s">
        <v>3104</v>
      </c>
      <c r="AH752" s="182" t="s">
        <v>3105</v>
      </c>
      <c r="AI752" s="182"/>
      <c r="AJ752" s="640" t="s">
        <v>3106</v>
      </c>
      <c r="AK752" s="182"/>
      <c r="AL752" s="496">
        <f>-0.04*Z752</f>
        <v>-64</v>
      </c>
      <c r="AM752" s="496">
        <f>AL752*(R752-S752)</f>
        <v>-192</v>
      </c>
      <c r="AN752" s="626"/>
      <c r="AO752" s="182"/>
      <c r="AP752" s="182" t="s">
        <v>827</v>
      </c>
      <c r="AQ752" s="332" t="str">
        <f>UPPER(RIGHT(Journal_Live[[#This Row],[DURATION ]]))</f>
        <v>D</v>
      </c>
      <c r="AR752" s="182" t="s">
        <v>3107</v>
      </c>
      <c r="AS752" s="189">
        <v>7.0000000000000007E-2</v>
      </c>
      <c r="AT752" s="189">
        <f>IF(ISBLANK(AS752),,IF(U752="S",AD752-AS752,AS752-AD752))</f>
        <v>-1.0000000000000009E-2</v>
      </c>
      <c r="AU752" s="187">
        <f>AV752*R752</f>
        <v>-48.000000000000043</v>
      </c>
      <c r="AV752" s="190">
        <f>IF(ISBLANK(AS752),,(AT752*Z752))</f>
        <v>-16.000000000000014</v>
      </c>
      <c r="AW752" s="191" t="s">
        <v>229</v>
      </c>
      <c r="AX752" s="407" t="s">
        <v>3108</v>
      </c>
      <c r="AY752" s="407" t="s">
        <v>3109</v>
      </c>
      <c r="AZ752" s="407" t="s">
        <v>3110</v>
      </c>
      <c r="BA752" s="407" t="s">
        <v>3111</v>
      </c>
      <c r="BB752" s="407"/>
      <c r="BC752" s="407"/>
      <c r="BD752" s="407"/>
      <c r="BE752" s="407"/>
      <c r="BF752" s="422"/>
      <c r="BG752" s="391">
        <f>SUM($AV$4:AV752)</f>
        <v>3999.7698715729334</v>
      </c>
      <c r="BH752" s="392">
        <f>SUM($AU$134:AU752)</f>
        <v>12360.112000000025</v>
      </c>
      <c r="BI752" s="318">
        <f>SUMIFS($AU$134:AU753,$Q$134:Q753,"F")</f>
        <v>2350.5333333333328</v>
      </c>
      <c r="BJ752" s="318">
        <f>SUMIFS($AU$134:AU753,$Q$134:Q753,"S")</f>
        <v>10068.441999999997</v>
      </c>
      <c r="BK752" s="343">
        <f>SUMIFS($AU$134:AU753,$P$134:P753,"W")</f>
        <v>7563.7419999999347</v>
      </c>
      <c r="BL752" s="343">
        <f>SUMIFS($AU$134:AU753,$P$134:P753,"R")</f>
        <v>4676.6733333333341</v>
      </c>
      <c r="BM752" s="343">
        <f>SUMIFS($AU$134:AU753,$AQ$134:AQ753,"M")</f>
        <v>2205.3999999999796</v>
      </c>
      <c r="BN752" s="343">
        <f>SUMIFS($AU$134:AU753,$AQ$134:AQ753,"H")</f>
        <v>3894.1420000000148</v>
      </c>
      <c r="BO752" s="343">
        <f>SUMIFS($AU$134:AU753,$AQ$134:AQ753,"D")</f>
        <v>2152.346666666715</v>
      </c>
      <c r="BP752" s="343">
        <f>SUMIFS($AU$134:AU755,$AQ$134:AQ755,"W")</f>
        <v>3049.7833333333429</v>
      </c>
      <c r="BQ752" s="343">
        <f>SUMIFS($AU$134:AU753,$Q$134:Q753,"O")</f>
        <v>-314.06333333331025</v>
      </c>
      <c r="BR752" s="343">
        <f>SUMIFS($AU$134:AU753,$AA$134:AA753,"*")</f>
        <v>12477.475333333323</v>
      </c>
      <c r="BS752" s="343">
        <f>SUMIFS($AU$134:AU753,$AB$134:AB753,"*")</f>
        <v>5177.1366666667018</v>
      </c>
      <c r="BT752" s="343">
        <f>SUMIFS($AU$134:AU753,$AC$134:AC753,"*")</f>
        <v>6543.6833333333316</v>
      </c>
      <c r="BU752" s="343">
        <f>SUMIFS($AU$134:AU753,$AA$134:AA753,"*",$AB$134:AB753,"*")</f>
        <v>3362.0000000000045</v>
      </c>
      <c r="BV752" s="343">
        <f>SUMIFS($AU$134:AU753,$AA$134:AA753,"*",$AC$134:AC753,"*")</f>
        <v>7140.7833333333328</v>
      </c>
      <c r="BW752" s="343">
        <f>SUMIFS($AU$134:AU753,$AB$134:AB753,"*",$AC$134:AC753,"*")</f>
        <v>5022.6000000000004</v>
      </c>
      <c r="BX752" s="343">
        <f>SUMIFS($AU753:AU$1388,$Q753:Q$1388,"F")</f>
        <v>12090.133333333333</v>
      </c>
      <c r="BY752" s="343">
        <f>SUMIFS($AU753:AU$1388,$Q753:Q$1388,"S")</f>
        <v>10603.2</v>
      </c>
      <c r="BZ752" s="343">
        <f>SUMIFS($AU753:AU$1388,$Q753:Q$1388,"O")</f>
        <v>-1334.7946666664882</v>
      </c>
    </row>
    <row r="753" spans="1:78" ht="15.75" customHeight="1">
      <c r="A753" s="221" t="s">
        <v>2798</v>
      </c>
      <c r="B753" s="200">
        <v>45107</v>
      </c>
      <c r="C753" s="178" t="s">
        <v>1788</v>
      </c>
      <c r="D753" s="178" t="s">
        <v>111</v>
      </c>
      <c r="E753" s="480" t="s">
        <v>3112</v>
      </c>
      <c r="F753" s="180" t="s">
        <v>3113</v>
      </c>
      <c r="G753" s="181"/>
      <c r="H753" s="182"/>
      <c r="I753" s="182"/>
      <c r="J753" s="182">
        <v>1</v>
      </c>
      <c r="K753" s="183" t="s">
        <v>115</v>
      </c>
      <c r="L753" s="182"/>
      <c r="M753" s="182"/>
      <c r="N753" s="182"/>
      <c r="O753" s="183"/>
      <c r="P753" s="183"/>
      <c r="Q753" s="183"/>
      <c r="R753" s="183"/>
      <c r="S753" s="183"/>
      <c r="T753" s="183"/>
      <c r="U753" s="183"/>
      <c r="V753" s="183"/>
      <c r="W753" s="183"/>
      <c r="X753" s="183"/>
      <c r="Y753" s="183"/>
      <c r="Z753" s="183"/>
      <c r="AA753" s="185"/>
      <c r="AB753" s="185"/>
      <c r="AC753" s="185"/>
      <c r="AD753" s="649"/>
      <c r="AE753" s="182"/>
      <c r="AF753" s="332"/>
      <c r="AG753" s="182"/>
      <c r="AH753" s="182"/>
      <c r="AI753" s="182"/>
      <c r="AJ753" s="640"/>
      <c r="AK753" s="182"/>
      <c r="AL753" s="496"/>
      <c r="AM753" s="496"/>
      <c r="AN753" s="626"/>
      <c r="AO753" s="182"/>
      <c r="AP753" s="182"/>
      <c r="AQ753" s="332" t="str">
        <f>UPPER(RIGHT(Journal_Live[[#This Row],[DURATION ]]))</f>
        <v/>
      </c>
      <c r="AR753" s="182"/>
      <c r="AS753" s="189"/>
      <c r="AT753" s="189"/>
      <c r="AU753" s="187"/>
      <c r="AV753" s="190"/>
      <c r="AW753" s="191"/>
      <c r="AX753" s="407"/>
      <c r="AY753" s="407"/>
      <c r="AZ753" s="407"/>
      <c r="BA753" s="407"/>
      <c r="BB753" s="407"/>
      <c r="BC753" s="407"/>
      <c r="BD753" s="407"/>
      <c r="BE753" s="407"/>
      <c r="BF753" s="422"/>
      <c r="BG753" s="391">
        <f>SUM($AV$4:AV753)</f>
        <v>3999.7698715729334</v>
      </c>
      <c r="BH753" s="392">
        <f>SUM($AU$134:AU753)</f>
        <v>12360.112000000025</v>
      </c>
      <c r="BI753" s="318">
        <f>SUMIFS($AU$134:AU754,$Q$134:Q754,"F")</f>
        <v>2350.5333333333328</v>
      </c>
      <c r="BJ753" s="318">
        <f>SUMIFS($AU$134:AU754,$Q$134:Q754,"S")</f>
        <v>10068.441999999997</v>
      </c>
      <c r="BK753" s="343">
        <f>SUMIFS($AU$134:AU754,$P$134:P754,"W")</f>
        <v>7563.7419999999347</v>
      </c>
      <c r="BL753" s="343">
        <f>SUMIFS($AU$134:AU754,$P$134:P754,"R")</f>
        <v>4676.6733333333341</v>
      </c>
      <c r="BM753" s="343">
        <f>SUMIFS($AU$134:AU754,$AQ$134:AQ754,"M")</f>
        <v>2205.3999999999796</v>
      </c>
      <c r="BN753" s="343">
        <f>SUMIFS($AU$134:AU754,$AQ$134:AQ754,"H")</f>
        <v>3894.1420000000148</v>
      </c>
      <c r="BO753" s="343">
        <f>SUMIFS($AU$134:AU754,$AQ$134:AQ754,"D")</f>
        <v>2152.346666666715</v>
      </c>
      <c r="BP753" s="343">
        <f>SUMIFS($AU$134:AU756,$AQ$134:AQ756,"W")</f>
        <v>3049.7833333333429</v>
      </c>
      <c r="BQ753" s="343">
        <f>SUMIFS($AU$134:AU754,$Q$134:Q754,"O")</f>
        <v>-314.06333333331025</v>
      </c>
      <c r="BR753" s="343">
        <f>SUMIFS($AU$134:AU754,$AA$134:AA754,"*")</f>
        <v>12477.475333333323</v>
      </c>
      <c r="BS753" s="343">
        <f>SUMIFS($AU$134:AU754,$AB$134:AB754,"*")</f>
        <v>5177.1366666667018</v>
      </c>
      <c r="BT753" s="343">
        <f>SUMIFS($AU$134:AU754,$AC$134:AC754,"*")</f>
        <v>6543.6833333333316</v>
      </c>
      <c r="BU753" s="343">
        <f>SUMIFS($AU$134:AU754,$AA$134:AA754,"*",$AB$134:AB754,"*")</f>
        <v>3362.0000000000045</v>
      </c>
      <c r="BV753" s="343">
        <f>SUMIFS($AU$134:AU754,$AA$134:AA754,"*",$AC$134:AC754,"*")</f>
        <v>7140.7833333333328</v>
      </c>
      <c r="BW753" s="343">
        <f>SUMIFS($AU$134:AU754,$AB$134:AB754,"*",$AC$134:AC754,"*")</f>
        <v>5022.6000000000004</v>
      </c>
      <c r="BX753" s="343">
        <f>SUMIFS($AU754:AU$1388,$Q754:Q$1388,"F")</f>
        <v>12090.133333333333</v>
      </c>
      <c r="BY753" s="343">
        <f>SUMIFS($AU754:AU$1388,$Q754:Q$1388,"S")</f>
        <v>10603.2</v>
      </c>
      <c r="BZ753" s="343">
        <f>SUMIFS($AU754:AU$1388,$Q754:Q$1388,"O")</f>
        <v>-1334.7946666664882</v>
      </c>
    </row>
    <row r="754" spans="1:78" ht="15.75" customHeight="1">
      <c r="A754" s="221" t="s">
        <v>2798</v>
      </c>
      <c r="B754" s="200"/>
      <c r="C754" s="178"/>
      <c r="D754" s="178"/>
      <c r="E754" s="227" t="s">
        <v>3114</v>
      </c>
      <c r="F754" s="180"/>
      <c r="G754" s="181"/>
      <c r="H754" s="182"/>
      <c r="I754" s="182"/>
      <c r="J754" s="182">
        <v>1</v>
      </c>
      <c r="K754" s="183" t="s">
        <v>115</v>
      </c>
      <c r="L754" s="182"/>
      <c r="M754" s="182"/>
      <c r="N754" s="182"/>
      <c r="O754" s="183"/>
      <c r="P754" s="183"/>
      <c r="Q754" s="183"/>
      <c r="R754" s="183"/>
      <c r="S754" s="183"/>
      <c r="T754" s="183"/>
      <c r="U754" s="183"/>
      <c r="V754" s="183"/>
      <c r="W754" s="183"/>
      <c r="X754" s="183"/>
      <c r="Y754" s="183"/>
      <c r="Z754" s="183"/>
      <c r="AA754" s="185"/>
      <c r="AB754" s="185"/>
      <c r="AC754" s="185"/>
      <c r="AD754" s="649"/>
      <c r="AE754" s="182"/>
      <c r="AF754" s="332"/>
      <c r="AG754" s="182"/>
      <c r="AH754" s="182"/>
      <c r="AI754" s="182"/>
      <c r="AJ754" s="640"/>
      <c r="AK754" s="182"/>
      <c r="AL754" s="496"/>
      <c r="AM754" s="496"/>
      <c r="AN754" s="626"/>
      <c r="AO754" s="182"/>
      <c r="AP754" s="182"/>
      <c r="AQ754" s="332" t="str">
        <f>UPPER(RIGHT(Journal_Live[[#This Row],[DURATION ]]))</f>
        <v/>
      </c>
      <c r="AR754" s="182"/>
      <c r="AS754" s="189"/>
      <c r="AT754" s="189"/>
      <c r="AU754" s="187"/>
      <c r="AV754" s="190"/>
      <c r="AW754" s="191"/>
      <c r="AX754" s="407"/>
      <c r="AY754" s="407"/>
      <c r="AZ754" s="407"/>
      <c r="BA754" s="407"/>
      <c r="BB754" s="407"/>
      <c r="BC754" s="407"/>
      <c r="BD754" s="407"/>
      <c r="BE754" s="407"/>
      <c r="BF754" s="422"/>
      <c r="BG754" s="391">
        <f>SUM($AV$4:AV754)</f>
        <v>3999.7698715729334</v>
      </c>
      <c r="BH754" s="392">
        <f>SUM($AU$134:AU754)</f>
        <v>12360.112000000025</v>
      </c>
      <c r="BI754" s="318">
        <f>SUMIFS($AU$134:AU755,$Q$134:Q755,"F")</f>
        <v>2350.5333333333328</v>
      </c>
      <c r="BJ754" s="318">
        <f>SUMIFS($AU$134:AU755,$Q$134:Q755,"S")</f>
        <v>10068.441999999997</v>
      </c>
      <c r="BK754" s="343">
        <f>SUMIFS($AU$134:AU755,$P$134:P755,"W")</f>
        <v>7563.7419999999347</v>
      </c>
      <c r="BL754" s="343">
        <f>SUMIFS($AU$134:AU755,$P$134:P755,"R")</f>
        <v>4676.6733333333341</v>
      </c>
      <c r="BM754" s="343">
        <f>SUMIFS($AU$134:AU755,$AQ$134:AQ755,"M")</f>
        <v>2205.3999999999796</v>
      </c>
      <c r="BN754" s="343">
        <f>SUMIFS($AU$134:AU755,$AQ$134:AQ755,"H")</f>
        <v>3894.1420000000148</v>
      </c>
      <c r="BO754" s="343">
        <f>SUMIFS($AU$134:AU755,$AQ$134:AQ755,"D")</f>
        <v>2152.346666666715</v>
      </c>
      <c r="BP754" s="343">
        <f>SUMIFS($AU$134:AU757,$AQ$134:AQ757,"W")</f>
        <v>3049.7833333333429</v>
      </c>
      <c r="BQ754" s="343">
        <f>SUMIFS($AU$134:AU755,$Q$134:Q755,"O")</f>
        <v>-314.06333333331025</v>
      </c>
      <c r="BR754" s="343">
        <f>SUMIFS($AU$134:AU755,$AA$134:AA755,"*")</f>
        <v>12477.475333333323</v>
      </c>
      <c r="BS754" s="343">
        <f>SUMIFS($AU$134:AU755,$AB$134:AB755,"*")</f>
        <v>5177.1366666667018</v>
      </c>
      <c r="BT754" s="343">
        <f>SUMIFS($AU$134:AU755,$AC$134:AC755,"*")</f>
        <v>6543.6833333333316</v>
      </c>
      <c r="BU754" s="343">
        <f>SUMIFS($AU$134:AU755,$AA$134:AA755,"*",$AB$134:AB755,"*")</f>
        <v>3362.0000000000045</v>
      </c>
      <c r="BV754" s="343">
        <f>SUMIFS($AU$134:AU755,$AA$134:AA755,"*",$AC$134:AC755,"*")</f>
        <v>7140.7833333333328</v>
      </c>
      <c r="BW754" s="343">
        <f>SUMIFS($AU$134:AU755,$AB$134:AB755,"*",$AC$134:AC755,"*")</f>
        <v>5022.6000000000004</v>
      </c>
      <c r="BX754" s="343">
        <f>SUMIFS($AU755:AU$1388,$Q755:Q$1388,"F")</f>
        <v>12090.133333333333</v>
      </c>
      <c r="BY754" s="343">
        <f>SUMIFS($AU755:AU$1388,$Q755:Q$1388,"S")</f>
        <v>10603.2</v>
      </c>
      <c r="BZ754" s="343">
        <f>SUMIFS($AU755:AU$1388,$Q755:Q$1388,"O")</f>
        <v>-1334.7946666664882</v>
      </c>
    </row>
    <row r="755" spans="1:78" ht="15.75" customHeight="1">
      <c r="A755" s="221" t="s">
        <v>2798</v>
      </c>
      <c r="B755" s="200"/>
      <c r="C755" s="178"/>
      <c r="D755" s="178"/>
      <c r="E755" s="227" t="s">
        <v>3115</v>
      </c>
      <c r="F755" s="180"/>
      <c r="G755" s="181"/>
      <c r="H755" s="182"/>
      <c r="I755" s="182">
        <v>1</v>
      </c>
      <c r="J755" s="182"/>
      <c r="K755" s="183"/>
      <c r="L755" s="182"/>
      <c r="M755" s="182"/>
      <c r="N755" s="182"/>
      <c r="O755" s="183"/>
      <c r="P755" s="183"/>
      <c r="Q755" s="183"/>
      <c r="R755" s="183"/>
      <c r="S755" s="183"/>
      <c r="T755" s="183"/>
      <c r="U755" s="183"/>
      <c r="V755" s="183"/>
      <c r="W755" s="183"/>
      <c r="X755" s="183"/>
      <c r="Y755" s="183"/>
      <c r="Z755" s="183"/>
      <c r="AA755" s="185"/>
      <c r="AB755" s="185"/>
      <c r="AC755" s="185"/>
      <c r="AD755" s="649"/>
      <c r="AE755" s="182"/>
      <c r="AF755" s="332"/>
      <c r="AG755" s="182"/>
      <c r="AH755" s="182"/>
      <c r="AI755" s="182"/>
      <c r="AJ755" s="640"/>
      <c r="AK755" s="182"/>
      <c r="AL755" s="496"/>
      <c r="AM755" s="496"/>
      <c r="AN755" s="626"/>
      <c r="AO755" s="182"/>
      <c r="AP755" s="182"/>
      <c r="AQ755" s="332" t="str">
        <f>UPPER(RIGHT(Journal_Live[[#This Row],[DURATION ]]))</f>
        <v/>
      </c>
      <c r="AR755" s="182"/>
      <c r="AS755" s="189"/>
      <c r="AT755" s="189"/>
      <c r="AU755" s="187"/>
      <c r="AV755" s="190"/>
      <c r="AW755" s="191"/>
      <c r="AX755" s="407"/>
      <c r="AY755" s="407"/>
      <c r="AZ755" s="407"/>
      <c r="BA755" s="407"/>
      <c r="BB755" s="407"/>
      <c r="BC755" s="407"/>
      <c r="BD755" s="407"/>
      <c r="BE755" s="407"/>
      <c r="BF755" s="422"/>
      <c r="BG755" s="391">
        <f>SUM($AV$4:AV755)</f>
        <v>3999.7698715729334</v>
      </c>
      <c r="BH755" s="392">
        <f>SUM($AU$134:AU755)</f>
        <v>12360.112000000025</v>
      </c>
      <c r="BI755" s="318">
        <f>SUMIFS($AU$134:AU756,$Q$134:Q756,"F")</f>
        <v>2350.5333333333328</v>
      </c>
      <c r="BJ755" s="318">
        <f>SUMIFS($AU$134:AU756,$Q$134:Q756,"S")</f>
        <v>10068.441999999997</v>
      </c>
      <c r="BK755" s="343">
        <f>SUMIFS($AU$134:AU756,$P$134:P756,"W")</f>
        <v>7563.7419999999347</v>
      </c>
      <c r="BL755" s="343">
        <f>SUMIFS($AU$134:AU756,$P$134:P756,"R")</f>
        <v>4676.6733333333341</v>
      </c>
      <c r="BM755" s="343">
        <f>SUMIFS($AU$134:AU756,$AQ$134:AQ756,"M")</f>
        <v>2205.3999999999796</v>
      </c>
      <c r="BN755" s="343">
        <f>SUMIFS($AU$134:AU756,$AQ$134:AQ756,"H")</f>
        <v>3894.1420000000148</v>
      </c>
      <c r="BO755" s="343">
        <f>SUMIFS($AU$134:AU756,$AQ$134:AQ756,"D")</f>
        <v>2152.346666666715</v>
      </c>
      <c r="BP755" s="343">
        <f>SUMIFS($AU$134:AU758,$AQ$134:AQ758,"W")</f>
        <v>3049.7833333333429</v>
      </c>
      <c r="BQ755" s="343">
        <f>SUMIFS($AU$134:AU756,$Q$134:Q756,"O")</f>
        <v>-314.06333333331025</v>
      </c>
      <c r="BR755" s="343">
        <f>SUMIFS($AU$134:AU756,$AA$134:AA756,"*")</f>
        <v>12477.475333333323</v>
      </c>
      <c r="BS755" s="343">
        <f>SUMIFS($AU$134:AU756,$AB$134:AB756,"*")</f>
        <v>5177.1366666667018</v>
      </c>
      <c r="BT755" s="343">
        <f>SUMIFS($AU$134:AU756,$AC$134:AC756,"*")</f>
        <v>6543.6833333333316</v>
      </c>
      <c r="BU755" s="343">
        <f>SUMIFS($AU$134:AU756,$AA$134:AA756,"*",$AB$134:AB756,"*")</f>
        <v>3362.0000000000045</v>
      </c>
      <c r="BV755" s="343">
        <f>SUMIFS($AU$134:AU756,$AA$134:AA756,"*",$AC$134:AC756,"*")</f>
        <v>7140.7833333333328</v>
      </c>
      <c r="BW755" s="343">
        <f>SUMIFS($AU$134:AU756,$AB$134:AB756,"*",$AC$134:AC756,"*")</f>
        <v>5022.6000000000004</v>
      </c>
      <c r="BX755" s="343">
        <f>SUMIFS($AU756:AU$1388,$Q756:Q$1388,"F")</f>
        <v>12090.133333333333</v>
      </c>
      <c r="BY755" s="343">
        <f>SUMIFS($AU756:AU$1388,$Q756:Q$1388,"S")</f>
        <v>10603.2</v>
      </c>
      <c r="BZ755" s="343">
        <f>SUMIFS($AU756:AU$1388,$Q756:Q$1388,"O")</f>
        <v>-1334.7946666664882</v>
      </c>
    </row>
    <row r="756" spans="1:78" ht="15.75" customHeight="1">
      <c r="A756" s="221" t="s">
        <v>2798</v>
      </c>
      <c r="B756" s="200">
        <v>45107</v>
      </c>
      <c r="C756" s="178" t="s">
        <v>1714</v>
      </c>
      <c r="D756" s="178" t="s">
        <v>111</v>
      </c>
      <c r="E756" s="227" t="s">
        <v>3116</v>
      </c>
      <c r="F756" s="180"/>
      <c r="G756" s="181"/>
      <c r="H756" s="182"/>
      <c r="I756" s="182">
        <v>1</v>
      </c>
      <c r="J756" s="182"/>
      <c r="K756" s="183"/>
      <c r="L756" s="182"/>
      <c r="M756" s="182"/>
      <c r="N756" s="182"/>
      <c r="O756" s="183"/>
      <c r="P756" s="183"/>
      <c r="Q756" s="183"/>
      <c r="R756" s="183"/>
      <c r="S756" s="183"/>
      <c r="T756" s="183"/>
      <c r="U756" s="183"/>
      <c r="V756" s="183"/>
      <c r="W756" s="183"/>
      <c r="X756" s="183"/>
      <c r="Y756" s="183"/>
      <c r="Z756" s="183"/>
      <c r="AA756" s="185"/>
      <c r="AB756" s="185"/>
      <c r="AC756" s="185"/>
      <c r="AD756" s="649"/>
      <c r="AE756" s="182"/>
      <c r="AF756" s="332"/>
      <c r="AG756" s="182"/>
      <c r="AH756" s="182"/>
      <c r="AI756" s="182"/>
      <c r="AJ756" s="640"/>
      <c r="AK756" s="182"/>
      <c r="AL756" s="496"/>
      <c r="AM756" s="496"/>
      <c r="AN756" s="626"/>
      <c r="AO756" s="182"/>
      <c r="AP756" s="182"/>
      <c r="AQ756" s="332" t="str">
        <f>UPPER(RIGHT(Journal_Live[[#This Row],[DURATION ]]))</f>
        <v/>
      </c>
      <c r="AR756" s="182"/>
      <c r="AS756" s="189"/>
      <c r="AT756" s="189"/>
      <c r="AU756" s="187"/>
      <c r="AV756" s="190"/>
      <c r="AW756" s="191"/>
      <c r="AX756" s="407"/>
      <c r="AY756" s="407"/>
      <c r="AZ756" s="407"/>
      <c r="BA756" s="407"/>
      <c r="BB756" s="407"/>
      <c r="BC756" s="407"/>
      <c r="BD756" s="407"/>
      <c r="BE756" s="407"/>
      <c r="BF756" s="422"/>
      <c r="BG756" s="391">
        <f>SUM($AV$4:AV756)</f>
        <v>3999.7698715729334</v>
      </c>
      <c r="BH756" s="392">
        <f>SUM($AU$134:AU756)</f>
        <v>12360.112000000025</v>
      </c>
      <c r="BI756" s="318">
        <f>SUMIFS($AU$134:AU757,$Q$134:Q757,"F")</f>
        <v>2350.5333333333328</v>
      </c>
      <c r="BJ756" s="318">
        <f>SUMIFS($AU$134:AU757,$Q$134:Q757,"S")</f>
        <v>10068.441999999997</v>
      </c>
      <c r="BK756" s="343">
        <f>SUMIFS($AU$134:AU757,$P$134:P757,"W")</f>
        <v>7563.7419999999347</v>
      </c>
      <c r="BL756" s="343">
        <f>SUMIFS($AU$134:AU757,$P$134:P757,"R")</f>
        <v>4676.6733333333341</v>
      </c>
      <c r="BM756" s="343">
        <f>SUMIFS($AU$134:AU757,$AQ$134:AQ757,"M")</f>
        <v>2205.3999999999796</v>
      </c>
      <c r="BN756" s="343">
        <f>SUMIFS($AU$134:AU757,$AQ$134:AQ757,"H")</f>
        <v>3894.1420000000148</v>
      </c>
      <c r="BO756" s="343">
        <f>SUMIFS($AU$134:AU757,$AQ$134:AQ757,"D")</f>
        <v>2152.346666666715</v>
      </c>
      <c r="BP756" s="343">
        <f>SUMIFS($AU$134:AU759,$AQ$134:AQ759,"W")</f>
        <v>3049.7833333333429</v>
      </c>
      <c r="BQ756" s="343">
        <f>SUMIFS($AU$134:AU757,$Q$134:Q757,"O")</f>
        <v>-314.06333333331025</v>
      </c>
      <c r="BR756" s="343">
        <f>SUMIFS($AU$134:AU757,$AA$134:AA757,"*")</f>
        <v>12477.475333333323</v>
      </c>
      <c r="BS756" s="343">
        <f>SUMIFS($AU$134:AU757,$AB$134:AB757,"*")</f>
        <v>5177.1366666667018</v>
      </c>
      <c r="BT756" s="343">
        <f>SUMIFS($AU$134:AU757,$AC$134:AC757,"*")</f>
        <v>6543.6833333333316</v>
      </c>
      <c r="BU756" s="343">
        <f>SUMIFS($AU$134:AU757,$AA$134:AA757,"*",$AB$134:AB757,"*")</f>
        <v>3362.0000000000045</v>
      </c>
      <c r="BV756" s="343">
        <f>SUMIFS($AU$134:AU757,$AA$134:AA757,"*",$AC$134:AC757,"*")</f>
        <v>7140.7833333333328</v>
      </c>
      <c r="BW756" s="343">
        <f>SUMIFS($AU$134:AU757,$AB$134:AB757,"*",$AC$134:AC757,"*")</f>
        <v>5022.6000000000004</v>
      </c>
      <c r="BX756" s="343">
        <f>SUMIFS($AU757:AU$1388,$Q757:Q$1388,"F")</f>
        <v>12090.133333333333</v>
      </c>
      <c r="BY756" s="343">
        <f>SUMIFS($AU757:AU$1388,$Q757:Q$1388,"S")</f>
        <v>10603.2</v>
      </c>
      <c r="BZ756" s="343">
        <f>SUMIFS($AU757:AU$1388,$Q757:Q$1388,"O")</f>
        <v>-1334.7946666664882</v>
      </c>
    </row>
    <row r="757" spans="1:78" ht="15.75" customHeight="1">
      <c r="A757" s="221" t="s">
        <v>2798</v>
      </c>
      <c r="B757" s="200"/>
      <c r="C757" s="178"/>
      <c r="D757" s="178"/>
      <c r="E757" s="227" t="s">
        <v>3117</v>
      </c>
      <c r="F757" s="180"/>
      <c r="G757" s="181"/>
      <c r="H757" s="182"/>
      <c r="I757" s="182"/>
      <c r="J757" s="182">
        <v>1</v>
      </c>
      <c r="K757" s="183" t="s">
        <v>115</v>
      </c>
      <c r="L757" s="182"/>
      <c r="M757" s="182"/>
      <c r="N757" s="182"/>
      <c r="O757" s="183"/>
      <c r="P757" s="183"/>
      <c r="Q757" s="183"/>
      <c r="R757" s="183"/>
      <c r="S757" s="183"/>
      <c r="T757" s="183"/>
      <c r="U757" s="183"/>
      <c r="V757" s="183"/>
      <c r="W757" s="183"/>
      <c r="X757" s="183"/>
      <c r="Y757" s="183"/>
      <c r="Z757" s="183"/>
      <c r="AA757" s="185"/>
      <c r="AB757" s="185"/>
      <c r="AC757" s="185"/>
      <c r="AD757" s="649"/>
      <c r="AE757" s="182"/>
      <c r="AF757" s="332"/>
      <c r="AG757" s="182"/>
      <c r="AH757" s="182"/>
      <c r="AI757" s="182"/>
      <c r="AJ757" s="640"/>
      <c r="AK757" s="182"/>
      <c r="AL757" s="496"/>
      <c r="AM757" s="496"/>
      <c r="AN757" s="626"/>
      <c r="AO757" s="182"/>
      <c r="AP757" s="182"/>
      <c r="AQ757" s="332" t="str">
        <f>UPPER(RIGHT(Journal_Live[[#This Row],[DURATION ]]))</f>
        <v/>
      </c>
      <c r="AR757" s="182"/>
      <c r="AS757" s="189"/>
      <c r="AT757" s="189"/>
      <c r="AU757" s="187"/>
      <c r="AV757" s="190"/>
      <c r="AW757" s="191"/>
      <c r="AX757" s="407"/>
      <c r="AY757" s="407"/>
      <c r="AZ757" s="407"/>
      <c r="BA757" s="407"/>
      <c r="BB757" s="407"/>
      <c r="BC757" s="407"/>
      <c r="BD757" s="407"/>
      <c r="BE757" s="407"/>
      <c r="BF757" s="422"/>
      <c r="BG757" s="391">
        <f>SUM($AV$4:AV757)</f>
        <v>3999.7698715729334</v>
      </c>
      <c r="BH757" s="392">
        <f>SUM($AU$134:AU757)</f>
        <v>12360.112000000025</v>
      </c>
      <c r="BI757" s="318">
        <f>SUMIFS($AU$134:AU758,$Q$134:Q758,"F")</f>
        <v>2350.5333333333328</v>
      </c>
      <c r="BJ757" s="318">
        <f>SUMIFS($AU$134:AU758,$Q$134:Q758,"S")</f>
        <v>10068.441999999997</v>
      </c>
      <c r="BK757" s="343">
        <f>SUMIFS($AU$134:AU758,$P$134:P758,"W")</f>
        <v>7563.7419999999347</v>
      </c>
      <c r="BL757" s="343">
        <f>SUMIFS($AU$134:AU758,$P$134:P758,"R")</f>
        <v>4676.6733333333341</v>
      </c>
      <c r="BM757" s="343">
        <f>SUMIFS($AU$134:AU758,$AQ$134:AQ758,"M")</f>
        <v>2205.3999999999796</v>
      </c>
      <c r="BN757" s="343">
        <f>SUMIFS($AU$134:AU758,$AQ$134:AQ758,"H")</f>
        <v>3894.1420000000148</v>
      </c>
      <c r="BO757" s="343">
        <f>SUMIFS($AU$134:AU758,$AQ$134:AQ758,"D")</f>
        <v>2152.346666666715</v>
      </c>
      <c r="BP757" s="343">
        <f>SUMIFS($AU$134:AU760,$AQ$134:AQ760,"W")</f>
        <v>3049.7833333333429</v>
      </c>
      <c r="BQ757" s="343">
        <f>SUMIFS($AU$134:AU758,$Q$134:Q758,"O")</f>
        <v>-314.06333333331025</v>
      </c>
      <c r="BR757" s="343">
        <f>SUMIFS($AU$134:AU758,$AA$134:AA758,"*")</f>
        <v>12477.475333333323</v>
      </c>
      <c r="BS757" s="343">
        <f>SUMIFS($AU$134:AU758,$AB$134:AB758,"*")</f>
        <v>5177.1366666667018</v>
      </c>
      <c r="BT757" s="343">
        <f>SUMIFS($AU$134:AU758,$AC$134:AC758,"*")</f>
        <v>6543.6833333333316</v>
      </c>
      <c r="BU757" s="343">
        <f>SUMIFS($AU$134:AU758,$AA$134:AA758,"*",$AB$134:AB758,"*")</f>
        <v>3362.0000000000045</v>
      </c>
      <c r="BV757" s="343">
        <f>SUMIFS($AU$134:AU758,$AA$134:AA758,"*",$AC$134:AC758,"*")</f>
        <v>7140.7833333333328</v>
      </c>
      <c r="BW757" s="343">
        <f>SUMIFS($AU$134:AU758,$AB$134:AB758,"*",$AC$134:AC758,"*")</f>
        <v>5022.6000000000004</v>
      </c>
      <c r="BX757" s="343">
        <f>SUMIFS($AU758:AU$1388,$Q758:Q$1388,"F")</f>
        <v>12090.133333333333</v>
      </c>
      <c r="BY757" s="343">
        <f>SUMIFS($AU758:AU$1388,$Q758:Q$1388,"S")</f>
        <v>10603.2</v>
      </c>
      <c r="BZ757" s="343">
        <f>SUMIFS($AU758:AU$1388,$Q758:Q$1388,"O")</f>
        <v>-1334.7946666664882</v>
      </c>
    </row>
    <row r="758" spans="1:78" ht="15.75" customHeight="1">
      <c r="A758" s="221" t="s">
        <v>2798</v>
      </c>
      <c r="B758" s="200"/>
      <c r="C758" s="178"/>
      <c r="D758" s="178"/>
      <c r="E758" s="227" t="s">
        <v>3118</v>
      </c>
      <c r="F758" s="180"/>
      <c r="G758" s="181"/>
      <c r="H758" s="182"/>
      <c r="I758" s="182"/>
      <c r="J758" s="182">
        <v>1</v>
      </c>
      <c r="K758" s="183" t="s">
        <v>115</v>
      </c>
      <c r="L758" s="182"/>
      <c r="M758" s="182"/>
      <c r="N758" s="182"/>
      <c r="O758" s="183"/>
      <c r="P758" s="183"/>
      <c r="Q758" s="183"/>
      <c r="R758" s="183"/>
      <c r="S758" s="183"/>
      <c r="T758" s="183"/>
      <c r="U758" s="183"/>
      <c r="V758" s="183"/>
      <c r="W758" s="183"/>
      <c r="X758" s="183"/>
      <c r="Y758" s="183"/>
      <c r="Z758" s="183"/>
      <c r="AA758" s="185"/>
      <c r="AB758" s="185"/>
      <c r="AC758" s="185"/>
      <c r="AD758" s="649"/>
      <c r="AE758" s="182"/>
      <c r="AF758" s="332"/>
      <c r="AG758" s="182"/>
      <c r="AH758" s="182"/>
      <c r="AI758" s="182"/>
      <c r="AJ758" s="640"/>
      <c r="AK758" s="182"/>
      <c r="AL758" s="496"/>
      <c r="AM758" s="496"/>
      <c r="AN758" s="626"/>
      <c r="AO758" s="182"/>
      <c r="AP758" s="182"/>
      <c r="AQ758" s="332" t="str">
        <f>UPPER(RIGHT(Journal_Live[[#This Row],[DURATION ]]))</f>
        <v/>
      </c>
      <c r="AR758" s="182"/>
      <c r="AS758" s="189"/>
      <c r="AT758" s="189"/>
      <c r="AU758" s="187"/>
      <c r="AV758" s="190"/>
      <c r="AW758" s="191"/>
      <c r="AX758" s="407"/>
      <c r="AY758" s="407"/>
      <c r="AZ758" s="407"/>
      <c r="BA758" s="407"/>
      <c r="BB758" s="407"/>
      <c r="BC758" s="407"/>
      <c r="BD758" s="407"/>
      <c r="BE758" s="407"/>
      <c r="BF758" s="422"/>
      <c r="BG758" s="391">
        <f>SUM($AV$4:AV758)</f>
        <v>3999.7698715729334</v>
      </c>
      <c r="BH758" s="392">
        <f>SUM($AU$134:AU758)</f>
        <v>12360.112000000025</v>
      </c>
      <c r="BI758" s="318">
        <f>SUMIFS($AU$134:AU759,$Q$134:Q759,"F")</f>
        <v>2350.5333333333328</v>
      </c>
      <c r="BJ758" s="318">
        <f>SUMIFS($AU$134:AU759,$Q$134:Q759,"S")</f>
        <v>10068.441999999997</v>
      </c>
      <c r="BK758" s="343">
        <f>SUMIFS($AU$134:AU759,$P$134:P759,"W")</f>
        <v>7563.7419999999347</v>
      </c>
      <c r="BL758" s="343">
        <f>SUMIFS($AU$134:AU759,$P$134:P759,"R")</f>
        <v>4676.6733333333341</v>
      </c>
      <c r="BM758" s="343">
        <f>SUMIFS($AU$134:AU759,$AQ$134:AQ759,"M")</f>
        <v>2205.3999999999796</v>
      </c>
      <c r="BN758" s="343">
        <f>SUMIFS($AU$134:AU759,$AQ$134:AQ759,"H")</f>
        <v>3894.1420000000148</v>
      </c>
      <c r="BO758" s="343">
        <f>SUMIFS($AU$134:AU759,$AQ$134:AQ759,"D")</f>
        <v>2152.346666666715</v>
      </c>
      <c r="BP758" s="343">
        <f>SUMIFS($AU$134:AU761,$AQ$134:AQ761,"W")</f>
        <v>3049.7833333333429</v>
      </c>
      <c r="BQ758" s="343">
        <f>SUMIFS($AU$134:AU759,$Q$134:Q759,"O")</f>
        <v>-314.06333333331025</v>
      </c>
      <c r="BR758" s="343">
        <f>SUMIFS($AU$134:AU759,$AA$134:AA759,"*")</f>
        <v>12477.475333333323</v>
      </c>
      <c r="BS758" s="343">
        <f>SUMIFS($AU$134:AU759,$AB$134:AB759,"*")</f>
        <v>5177.1366666667018</v>
      </c>
      <c r="BT758" s="343">
        <f>SUMIFS($AU$134:AU759,$AC$134:AC759,"*")</f>
        <v>6543.6833333333316</v>
      </c>
      <c r="BU758" s="343">
        <f>SUMIFS($AU$134:AU759,$AA$134:AA759,"*",$AB$134:AB759,"*")</f>
        <v>3362.0000000000045</v>
      </c>
      <c r="BV758" s="343">
        <f>SUMIFS($AU$134:AU759,$AA$134:AA759,"*",$AC$134:AC759,"*")</f>
        <v>7140.7833333333328</v>
      </c>
      <c r="BW758" s="343">
        <f>SUMIFS($AU$134:AU759,$AB$134:AB759,"*",$AC$134:AC759,"*")</f>
        <v>5022.6000000000004</v>
      </c>
      <c r="BX758" s="343">
        <f>SUMIFS($AU759:AU$1388,$Q759:Q$1388,"F")</f>
        <v>12090.133333333333</v>
      </c>
      <c r="BY758" s="343">
        <f>SUMIFS($AU759:AU$1388,$Q759:Q$1388,"S")</f>
        <v>10603.2</v>
      </c>
      <c r="BZ758" s="343">
        <f>SUMIFS($AU759:AU$1388,$Q759:Q$1388,"O")</f>
        <v>-1334.7946666664882</v>
      </c>
    </row>
    <row r="759" spans="1:78" ht="15.75" customHeight="1">
      <c r="A759" s="221" t="s">
        <v>2798</v>
      </c>
      <c r="B759" s="200"/>
      <c r="C759" s="178"/>
      <c r="D759" s="178"/>
      <c r="E759" s="227" t="s">
        <v>3119</v>
      </c>
      <c r="F759" s="180"/>
      <c r="G759" s="181"/>
      <c r="H759" s="182">
        <v>1</v>
      </c>
      <c r="I759" s="182"/>
      <c r="J759" s="182"/>
      <c r="K759" s="183" t="s">
        <v>372</v>
      </c>
      <c r="L759" s="182"/>
      <c r="M759" s="182"/>
      <c r="N759" s="182"/>
      <c r="O759" s="183"/>
      <c r="P759" s="183"/>
      <c r="Q759" s="183"/>
      <c r="R759" s="183"/>
      <c r="S759" s="183"/>
      <c r="T759" s="183"/>
      <c r="U759" s="183"/>
      <c r="V759" s="183"/>
      <c r="W759" s="183"/>
      <c r="X759" s="183"/>
      <c r="Y759" s="183"/>
      <c r="Z759" s="183"/>
      <c r="AA759" s="185"/>
      <c r="AB759" s="185"/>
      <c r="AC759" s="185"/>
      <c r="AD759" s="649"/>
      <c r="AE759" s="182"/>
      <c r="AF759" s="332"/>
      <c r="AG759" s="182"/>
      <c r="AH759" s="182"/>
      <c r="AI759" s="182"/>
      <c r="AJ759" s="640"/>
      <c r="AK759" s="182"/>
      <c r="AL759" s="496"/>
      <c r="AM759" s="496"/>
      <c r="AN759" s="626"/>
      <c r="AO759" s="182"/>
      <c r="AP759" s="182"/>
      <c r="AQ759" s="332" t="str">
        <f>UPPER(RIGHT(Journal_Live[[#This Row],[DURATION ]]))</f>
        <v/>
      </c>
      <c r="AR759" s="182"/>
      <c r="AS759" s="189"/>
      <c r="AT759" s="189"/>
      <c r="AU759" s="187"/>
      <c r="AV759" s="190"/>
      <c r="AW759" s="191"/>
      <c r="AX759" s="407"/>
      <c r="AY759" s="407"/>
      <c r="AZ759" s="407"/>
      <c r="BA759" s="407"/>
      <c r="BB759" s="407"/>
      <c r="BC759" s="407"/>
      <c r="BD759" s="407"/>
      <c r="BE759" s="407"/>
      <c r="BF759" s="422"/>
      <c r="BG759" s="391">
        <f>SUM($AV$4:AV759)</f>
        <v>3999.7698715729334</v>
      </c>
      <c r="BH759" s="392">
        <f>SUM($AU$134:AU759)</f>
        <v>12360.112000000025</v>
      </c>
      <c r="BI759" s="318">
        <f>SUMIFS($AU$134:AU760,$Q$134:Q760,"F")</f>
        <v>2350.5333333333328</v>
      </c>
      <c r="BJ759" s="318">
        <f>SUMIFS($AU$134:AU760,$Q$134:Q760,"S")</f>
        <v>10068.441999999997</v>
      </c>
      <c r="BK759" s="343">
        <f>SUMIFS($AU$134:AU760,$P$134:P760,"W")</f>
        <v>7563.7419999999347</v>
      </c>
      <c r="BL759" s="343">
        <f>SUMIFS($AU$134:AU760,$P$134:P760,"R")</f>
        <v>4676.6733333333341</v>
      </c>
      <c r="BM759" s="343">
        <f>SUMIFS($AU$134:AU760,$AQ$134:AQ760,"M")</f>
        <v>2205.3999999999796</v>
      </c>
      <c r="BN759" s="343">
        <f>SUMIFS($AU$134:AU760,$AQ$134:AQ760,"H")</f>
        <v>3894.1420000000148</v>
      </c>
      <c r="BO759" s="343">
        <f>SUMIFS($AU$134:AU760,$AQ$134:AQ760,"D")</f>
        <v>2152.346666666715</v>
      </c>
      <c r="BP759" s="343">
        <f>SUMIFS($AU$134:AU762,$AQ$134:AQ762,"W")</f>
        <v>3049.7833333333429</v>
      </c>
      <c r="BQ759" s="343">
        <f>SUMIFS($AU$134:AU760,$Q$134:Q760,"O")</f>
        <v>-314.06333333331025</v>
      </c>
      <c r="BR759" s="343">
        <f>SUMIFS($AU$134:AU760,$AA$134:AA760,"*")</f>
        <v>12477.475333333323</v>
      </c>
      <c r="BS759" s="343">
        <f>SUMIFS($AU$134:AU760,$AB$134:AB760,"*")</f>
        <v>5177.1366666667018</v>
      </c>
      <c r="BT759" s="343">
        <f>SUMIFS($AU$134:AU760,$AC$134:AC760,"*")</f>
        <v>6543.6833333333316</v>
      </c>
      <c r="BU759" s="343">
        <f>SUMIFS($AU$134:AU760,$AA$134:AA760,"*",$AB$134:AB760,"*")</f>
        <v>3362.0000000000045</v>
      </c>
      <c r="BV759" s="343">
        <f>SUMIFS($AU$134:AU760,$AA$134:AA760,"*",$AC$134:AC760,"*")</f>
        <v>7140.7833333333328</v>
      </c>
      <c r="BW759" s="343">
        <f>SUMIFS($AU$134:AU760,$AB$134:AB760,"*",$AC$134:AC760,"*")</f>
        <v>5022.6000000000004</v>
      </c>
      <c r="BX759" s="343">
        <f>SUMIFS($AU760:AU$1388,$Q760:Q$1388,"F")</f>
        <v>12090.133333333333</v>
      </c>
      <c r="BY759" s="343">
        <f>SUMIFS($AU760:AU$1388,$Q760:Q$1388,"S")</f>
        <v>10603.2</v>
      </c>
      <c r="BZ759" s="343">
        <f>SUMIFS($AU760:AU$1388,$Q760:Q$1388,"O")</f>
        <v>-1334.7946666664882</v>
      </c>
    </row>
    <row r="760" spans="1:78" ht="15.75" customHeight="1">
      <c r="A760" s="221" t="s">
        <v>2798</v>
      </c>
      <c r="B760" s="200"/>
      <c r="C760" s="178"/>
      <c r="D760" s="178"/>
      <c r="E760" s="227"/>
      <c r="F760" s="180"/>
      <c r="G760" s="181"/>
      <c r="H760" s="182"/>
      <c r="I760" s="182"/>
      <c r="J760" s="182"/>
      <c r="K760" s="183"/>
      <c r="L760" s="182"/>
      <c r="M760" s="182"/>
      <c r="N760" s="182"/>
      <c r="O760" s="183"/>
      <c r="P760" s="183"/>
      <c r="Q760" s="183"/>
      <c r="R760" s="183"/>
      <c r="S760" s="183"/>
      <c r="T760" s="183"/>
      <c r="U760" s="183"/>
      <c r="V760" s="183"/>
      <c r="W760" s="183"/>
      <c r="X760" s="183"/>
      <c r="Y760" s="183"/>
      <c r="Z760" s="183"/>
      <c r="AA760" s="185"/>
      <c r="AB760" s="185"/>
      <c r="AC760" s="185"/>
      <c r="AD760" s="649"/>
      <c r="AE760" s="182"/>
      <c r="AF760" s="332"/>
      <c r="AG760" s="182"/>
      <c r="AH760" s="182"/>
      <c r="AI760" s="182"/>
      <c r="AJ760" s="640"/>
      <c r="AK760" s="182"/>
      <c r="AL760" s="496"/>
      <c r="AM760" s="496"/>
      <c r="AN760" s="626"/>
      <c r="AO760" s="182"/>
      <c r="AP760" s="182"/>
      <c r="AQ760" s="332" t="str">
        <f>UPPER(RIGHT(Journal_Live[[#This Row],[DURATION ]]))</f>
        <v/>
      </c>
      <c r="AR760" s="182"/>
      <c r="AS760" s="189"/>
      <c r="AT760" s="189"/>
      <c r="AU760" s="187"/>
      <c r="AV760" s="190"/>
      <c r="AW760" s="191"/>
      <c r="AX760" s="407"/>
      <c r="AY760" s="407"/>
      <c r="AZ760" s="407"/>
      <c r="BA760" s="407"/>
      <c r="BB760" s="407"/>
      <c r="BC760" s="407"/>
      <c r="BD760" s="407"/>
      <c r="BE760" s="407"/>
      <c r="BF760" s="422"/>
      <c r="BG760" s="391">
        <f>SUM($AV$4:AV760)</f>
        <v>3999.7698715729334</v>
      </c>
      <c r="BH760" s="392">
        <f>SUM($AU$134:AU760)</f>
        <v>12360.112000000025</v>
      </c>
      <c r="BI760" s="318">
        <f>SUMIFS($AU$134:AU761,$Q$134:Q761,"F")</f>
        <v>2350.5333333333328</v>
      </c>
      <c r="BJ760" s="318">
        <f>SUMIFS($AU$134:AU761,$Q$134:Q761,"S")</f>
        <v>10068.441999999997</v>
      </c>
      <c r="BK760" s="343">
        <f>SUMIFS($AU$134:AU761,$P$134:P761,"W")</f>
        <v>7563.7419999999347</v>
      </c>
      <c r="BL760" s="343">
        <f>SUMIFS($AU$134:AU761,$P$134:P761,"R")</f>
        <v>4676.6733333333341</v>
      </c>
      <c r="BM760" s="343">
        <f>SUMIFS($AU$134:AU761,$AQ$134:AQ761,"M")</f>
        <v>2205.3999999999796</v>
      </c>
      <c r="BN760" s="343">
        <f>SUMIFS($AU$134:AU761,$AQ$134:AQ761,"H")</f>
        <v>3894.1420000000148</v>
      </c>
      <c r="BO760" s="343">
        <f>SUMIFS($AU$134:AU761,$AQ$134:AQ761,"D")</f>
        <v>2152.346666666715</v>
      </c>
      <c r="BP760" s="343">
        <f>SUMIFS($AU$134:AU763,$AQ$134:AQ763,"W")</f>
        <v>3049.7833333333429</v>
      </c>
      <c r="BQ760" s="343">
        <f>SUMIFS($AU$134:AU761,$Q$134:Q761,"O")</f>
        <v>-314.06333333331025</v>
      </c>
      <c r="BR760" s="343">
        <f>SUMIFS($AU$134:AU761,$AA$134:AA761,"*")</f>
        <v>12477.475333333323</v>
      </c>
      <c r="BS760" s="343">
        <f>SUMIFS($AU$134:AU761,$AB$134:AB761,"*")</f>
        <v>5177.1366666667018</v>
      </c>
      <c r="BT760" s="343">
        <f>SUMIFS($AU$134:AU761,$AC$134:AC761,"*")</f>
        <v>6543.6833333333316</v>
      </c>
      <c r="BU760" s="343">
        <f>SUMIFS($AU$134:AU761,$AA$134:AA761,"*",$AB$134:AB761,"*")</f>
        <v>3362.0000000000045</v>
      </c>
      <c r="BV760" s="343">
        <f>SUMIFS($AU$134:AU761,$AA$134:AA761,"*",$AC$134:AC761,"*")</f>
        <v>7140.7833333333328</v>
      </c>
      <c r="BW760" s="343">
        <f>SUMIFS($AU$134:AU761,$AB$134:AB761,"*",$AC$134:AC761,"*")</f>
        <v>5022.6000000000004</v>
      </c>
      <c r="BX760" s="343">
        <f>SUMIFS($AU761:AU$1388,$Q761:Q$1388,"F")</f>
        <v>12090.133333333333</v>
      </c>
      <c r="BY760" s="343">
        <f>SUMIFS($AU761:AU$1388,$Q761:Q$1388,"S")</f>
        <v>10603.2</v>
      </c>
      <c r="BZ760" s="343">
        <f>SUMIFS($AU761:AU$1388,$Q761:Q$1388,"O")</f>
        <v>-1334.7946666664882</v>
      </c>
    </row>
    <row r="761" spans="1:78" ht="15.75" customHeight="1">
      <c r="A761" s="221" t="s">
        <v>2798</v>
      </c>
      <c r="B761" s="200"/>
      <c r="C761" s="178"/>
      <c r="D761" s="178"/>
      <c r="E761" s="227"/>
      <c r="F761" s="180"/>
      <c r="G761" s="181"/>
      <c r="H761" s="182"/>
      <c r="I761" s="182"/>
      <c r="J761" s="182"/>
      <c r="K761" s="183"/>
      <c r="L761" s="182"/>
      <c r="M761" s="182"/>
      <c r="N761" s="182"/>
      <c r="O761" s="183"/>
      <c r="P761" s="183"/>
      <c r="Q761" s="183"/>
      <c r="R761" s="183"/>
      <c r="S761" s="183"/>
      <c r="T761" s="183"/>
      <c r="U761" s="183"/>
      <c r="V761" s="183"/>
      <c r="W761" s="183"/>
      <c r="X761" s="183"/>
      <c r="Y761" s="183"/>
      <c r="Z761" s="183"/>
      <c r="AA761" s="185"/>
      <c r="AB761" s="185"/>
      <c r="AC761" s="185"/>
      <c r="AD761" s="649"/>
      <c r="AE761" s="182"/>
      <c r="AF761" s="332"/>
      <c r="AG761" s="182"/>
      <c r="AH761" s="182"/>
      <c r="AI761" s="182"/>
      <c r="AJ761" s="640"/>
      <c r="AK761" s="182"/>
      <c r="AL761" s="496"/>
      <c r="AM761" s="496"/>
      <c r="AN761" s="626"/>
      <c r="AO761" s="182"/>
      <c r="AP761" s="182"/>
      <c r="AQ761" s="332" t="str">
        <f>UPPER(RIGHT(Journal_Live[[#This Row],[DURATION ]]))</f>
        <v/>
      </c>
      <c r="AR761" s="182"/>
      <c r="AS761" s="189"/>
      <c r="AT761" s="189"/>
      <c r="AU761" s="187"/>
      <c r="AV761" s="190"/>
      <c r="AW761" s="191"/>
      <c r="AX761" s="417" t="s">
        <v>3120</v>
      </c>
      <c r="AY761" s="417" t="s">
        <v>3121</v>
      </c>
      <c r="AZ761" s="407"/>
      <c r="BA761" s="407"/>
      <c r="BB761" s="407"/>
      <c r="BC761" s="407"/>
      <c r="BD761" s="407"/>
      <c r="BE761" s="407"/>
      <c r="BF761" s="422"/>
      <c r="BG761" s="391">
        <f>SUM($AV$4:AV761)</f>
        <v>3999.7698715729334</v>
      </c>
      <c r="BH761" s="392">
        <f>SUM($AU$134:AU761)</f>
        <v>12360.112000000025</v>
      </c>
      <c r="BI761" s="318">
        <f>SUMIFS($AU$134:AU762,$Q$134:Q762,"F")</f>
        <v>2350.5333333333328</v>
      </c>
      <c r="BJ761" s="318">
        <f>SUMIFS($AU$134:AU762,$Q$134:Q762,"S")</f>
        <v>10068.441999999997</v>
      </c>
      <c r="BK761" s="343">
        <f>SUMIFS($AU$134:AU762,$P$134:P762,"W")</f>
        <v>7563.7419999999347</v>
      </c>
      <c r="BL761" s="343">
        <f>SUMIFS($AU$134:AU762,$P$134:P762,"R")</f>
        <v>4676.6733333333341</v>
      </c>
      <c r="BM761" s="343">
        <f>SUMIFS($AU$134:AU762,$AQ$134:AQ762,"M")</f>
        <v>2205.3999999999796</v>
      </c>
      <c r="BN761" s="343">
        <f>SUMIFS($AU$134:AU762,$AQ$134:AQ762,"H")</f>
        <v>3894.1420000000148</v>
      </c>
      <c r="BO761" s="343">
        <f>SUMIFS($AU$134:AU762,$AQ$134:AQ762,"D")</f>
        <v>2152.346666666715</v>
      </c>
      <c r="BP761" s="343">
        <f>SUMIFS($AU$134:AU764,$AQ$134:AQ764,"W")</f>
        <v>3049.7833333333429</v>
      </c>
      <c r="BQ761" s="343">
        <f>SUMIFS($AU$134:AU762,$Q$134:Q762,"O")</f>
        <v>-314.06333333331025</v>
      </c>
      <c r="BR761" s="343">
        <f>SUMIFS($AU$134:AU762,$AA$134:AA762,"*")</f>
        <v>12477.475333333323</v>
      </c>
      <c r="BS761" s="343">
        <f>SUMIFS($AU$134:AU762,$AB$134:AB762,"*")</f>
        <v>5177.1366666667018</v>
      </c>
      <c r="BT761" s="343">
        <f>SUMIFS($AU$134:AU762,$AC$134:AC762,"*")</f>
        <v>6543.6833333333316</v>
      </c>
      <c r="BU761" s="343">
        <f>SUMIFS($AU$134:AU762,$AA$134:AA762,"*",$AB$134:AB762,"*")</f>
        <v>3362.0000000000045</v>
      </c>
      <c r="BV761" s="343">
        <f>SUMIFS($AU$134:AU762,$AA$134:AA762,"*",$AC$134:AC762,"*")</f>
        <v>7140.7833333333328</v>
      </c>
      <c r="BW761" s="343">
        <f>SUMIFS($AU$134:AU762,$AB$134:AB762,"*",$AC$134:AC762,"*")</f>
        <v>5022.6000000000004</v>
      </c>
      <c r="BX761" s="343">
        <f>SUMIFS($AU762:AU$1388,$Q762:Q$1388,"F")</f>
        <v>12090.133333333333</v>
      </c>
      <c r="BY761" s="343">
        <f>SUMIFS($AU762:AU$1388,$Q762:Q$1388,"S")</f>
        <v>10603.2</v>
      </c>
      <c r="BZ761" s="343">
        <f>SUMIFS($AU762:AU$1388,$Q762:Q$1388,"O")</f>
        <v>-1334.7946666664882</v>
      </c>
    </row>
    <row r="762" spans="1:78" ht="15.75" customHeight="1">
      <c r="A762" s="273" t="s">
        <v>3122</v>
      </c>
      <c r="B762" s="273"/>
      <c r="C762" s="214"/>
      <c r="D762" s="214"/>
      <c r="E762" s="215"/>
      <c r="F762" s="216"/>
      <c r="G762" s="214"/>
      <c r="H762" s="214"/>
      <c r="I762" s="214"/>
      <c r="J762" s="214"/>
      <c r="K762" s="217"/>
      <c r="L762" s="214"/>
      <c r="M762" s="214"/>
      <c r="N762" s="214"/>
      <c r="O762" s="217"/>
      <c r="P762" s="217"/>
      <c r="Q762" s="217"/>
      <c r="R762" s="217"/>
      <c r="S762" s="217"/>
      <c r="T762" s="217"/>
      <c r="U762" s="217"/>
      <c r="V762" s="217"/>
      <c r="W762" s="217"/>
      <c r="X762" s="217"/>
      <c r="Y762" s="218" t="str">
        <f>IF(ISBLANK(O762),"",(IF(O762=UPPER("IB"),0.005,0.01)))</f>
        <v/>
      </c>
      <c r="Z762" s="218" t="str">
        <f>IF(ISBLANK(O762),"",IF(O762="IB",8.63*200,IF(O762="IR",16*100,IF(O762="YT",20*100,IF(O762="YT-XT",24*200,IF(O762="TED",80*100))))))</f>
        <v/>
      </c>
      <c r="AA762" s="218"/>
      <c r="AB762" s="218"/>
      <c r="AC762" s="218"/>
      <c r="AD762" s="651"/>
      <c r="AE762" s="214"/>
      <c r="AF762" s="347"/>
      <c r="AG762" s="343"/>
      <c r="AH762" s="214"/>
      <c r="AI762" s="214"/>
      <c r="AJ762" s="642"/>
      <c r="AK762" s="214"/>
      <c r="AL762" s="502"/>
      <c r="AM762" s="502"/>
      <c r="AN762" s="628"/>
      <c r="AO762" s="214"/>
      <c r="AP762" s="214"/>
      <c r="AQ762" s="334" t="str">
        <f>UPPER(RIGHT(Journal_Live[[#This Row],[DURATION ]]))</f>
        <v/>
      </c>
      <c r="AR762" s="214"/>
      <c r="AS762" s="214"/>
      <c r="AT762" s="214"/>
      <c r="AU762" s="214"/>
      <c r="AV762" s="214"/>
      <c r="AW762" s="220"/>
      <c r="AX762" s="417"/>
      <c r="AY762" s="414"/>
      <c r="AZ762" s="414"/>
      <c r="BA762" s="414"/>
      <c r="BB762" s="414"/>
      <c r="BC762" s="414"/>
      <c r="BD762" s="414"/>
      <c r="BE762" s="414"/>
      <c r="BF762" s="414"/>
      <c r="BG762" s="391">
        <f>SUM($AV$4:AV762)</f>
        <v>3999.7698715729334</v>
      </c>
      <c r="BH762" s="392">
        <f>SUM($AU$134:AU762)</f>
        <v>12360.112000000025</v>
      </c>
      <c r="BI762" s="318">
        <f>SUMIFS($AU$134:AU763,$Q$134:Q763,"F")</f>
        <v>2350.5333333333328</v>
      </c>
      <c r="BJ762" s="318">
        <f>SUMIFS($AU$134:AU763,$Q$134:Q763,"S")</f>
        <v>10068.441999999997</v>
      </c>
      <c r="BK762" s="343">
        <f>SUMIFS($AU$134:AU763,$P$134:P763,"W")</f>
        <v>7563.7419999999347</v>
      </c>
      <c r="BL762" s="343">
        <f>SUMIFS($AU$134:AU763,$P$134:P763,"R")</f>
        <v>4676.6733333333341</v>
      </c>
      <c r="BM762" s="343">
        <f>SUMIFS($AU$134:AU763,$AQ$134:AQ763,"M")</f>
        <v>2205.3999999999796</v>
      </c>
      <c r="BN762" s="343">
        <f>SUMIFS($AU$134:AU763,$AQ$134:AQ763,"H")</f>
        <v>3894.1420000000148</v>
      </c>
      <c r="BO762" s="343">
        <f>SUMIFS($AU$134:AU763,$AQ$134:AQ763,"D")</f>
        <v>2152.346666666715</v>
      </c>
      <c r="BP762" s="343">
        <f>SUMIFS($AU$134:AU765,$AQ$134:AQ765,"W")</f>
        <v>3049.7833333333429</v>
      </c>
      <c r="BQ762" s="343">
        <f>SUMIFS($AU$134:AU763,$Q$134:Q763,"O")</f>
        <v>-314.06333333331025</v>
      </c>
      <c r="BR762" s="343">
        <f>SUMIFS($AU$134:AU763,$AA$134:AA763,"*")</f>
        <v>12477.475333333323</v>
      </c>
      <c r="BS762" s="343">
        <f>SUMIFS($AU$134:AU763,$AB$134:AB763,"*")</f>
        <v>5177.1366666667018</v>
      </c>
      <c r="BT762" s="343">
        <f>SUMIFS($AU$134:AU763,$AC$134:AC763,"*")</f>
        <v>6543.6833333333316</v>
      </c>
      <c r="BU762" s="343">
        <f>SUMIFS($AU$134:AU763,$AA$134:AA763,"*",$AB$134:AB763,"*")</f>
        <v>3362.0000000000045</v>
      </c>
      <c r="BV762" s="343">
        <f>SUMIFS($AU$134:AU763,$AA$134:AA763,"*",$AC$134:AC763,"*")</f>
        <v>7140.7833333333328</v>
      </c>
      <c r="BW762" s="343">
        <f>SUMIFS($AU$134:AU763,$AB$134:AB763,"*",$AC$134:AC763,"*")</f>
        <v>5022.6000000000004</v>
      </c>
      <c r="BX762" s="343">
        <f>SUMIFS($AU763:AU$1388,$Q763:Q$1388,"F")</f>
        <v>12090.133333333333</v>
      </c>
      <c r="BY762" s="343">
        <f>SUMIFS($AU763:AU$1388,$Q763:Q$1388,"S")</f>
        <v>10603.2</v>
      </c>
      <c r="BZ762" s="343">
        <f>SUMIFS($AU763:AU$1388,$Q763:Q$1388,"O")</f>
        <v>-1334.7946666664882</v>
      </c>
    </row>
    <row r="763" spans="1:78" ht="15.75" customHeight="1">
      <c r="A763" s="221" t="s">
        <v>3123</v>
      </c>
      <c r="B763" s="177">
        <v>45108</v>
      </c>
      <c r="C763" s="178" t="s">
        <v>3124</v>
      </c>
      <c r="D763" s="178" t="s">
        <v>1676</v>
      </c>
      <c r="E763" s="227"/>
      <c r="F763" s="180"/>
      <c r="G763" s="181" t="s">
        <v>3125</v>
      </c>
      <c r="H763" s="182"/>
      <c r="I763" s="182"/>
      <c r="J763" s="182"/>
      <c r="K763" s="183"/>
      <c r="L763" s="182"/>
      <c r="M763" s="182"/>
      <c r="N763" s="182"/>
      <c r="O763" s="183"/>
      <c r="P763" s="183"/>
      <c r="Q763" s="183"/>
      <c r="R763" s="183"/>
      <c r="S763" s="183"/>
      <c r="T763" s="183"/>
      <c r="U763" s="183"/>
      <c r="V763" s="183"/>
      <c r="W763" s="183"/>
      <c r="X763" s="183"/>
      <c r="Y763" s="184"/>
      <c r="Z763" s="185"/>
      <c r="AA763" s="185"/>
      <c r="AB763" s="185"/>
      <c r="AC763" s="185"/>
      <c r="AD763" s="649"/>
      <c r="AE763" s="182"/>
      <c r="AF763" s="332"/>
      <c r="AG763" s="182"/>
      <c r="AH763" s="182"/>
      <c r="AI763" s="182"/>
      <c r="AJ763" s="640"/>
      <c r="AK763" s="182"/>
      <c r="AL763" s="496"/>
      <c r="AM763" s="496"/>
      <c r="AN763" s="626"/>
      <c r="AO763" s="182"/>
      <c r="AP763" s="182"/>
      <c r="AQ763" s="332" t="str">
        <f>UPPER(RIGHT(Journal_Live[[#This Row],[DURATION ]]))</f>
        <v/>
      </c>
      <c r="AR763" s="182"/>
      <c r="AS763" s="189"/>
      <c r="AT763" s="189"/>
      <c r="AU763" s="187"/>
      <c r="AV763" s="190"/>
      <c r="AW763" s="191"/>
      <c r="AX763" s="407" t="s">
        <v>3126</v>
      </c>
      <c r="AY763" s="407" t="s">
        <v>3127</v>
      </c>
      <c r="AZ763" s="407"/>
      <c r="BA763" s="407"/>
      <c r="BB763" s="407"/>
      <c r="BC763" s="407"/>
      <c r="BD763" s="407"/>
      <c r="BE763" s="407"/>
      <c r="BF763" s="422"/>
      <c r="BG763" s="391">
        <f>SUM($AV$4:AV763)</f>
        <v>3999.7698715729334</v>
      </c>
      <c r="BH763" s="392">
        <f>SUM($AU$134:AU763)</f>
        <v>12360.112000000025</v>
      </c>
      <c r="BI763" s="318">
        <f>SUMIFS($AU$134:AU764,$Q$134:Q764,"F")</f>
        <v>2350.5333333333328</v>
      </c>
      <c r="BJ763" s="318">
        <f>SUMIFS($AU$134:AU764,$Q$134:Q764,"S")</f>
        <v>10052.441999999997</v>
      </c>
      <c r="BK763" s="343">
        <f>SUMIFS($AU$134:AU764,$P$134:P764,"W")</f>
        <v>7547.7419999999347</v>
      </c>
      <c r="BL763" s="343">
        <f>SUMIFS($AU$134:AU764,$P$134:P764,"R")</f>
        <v>4676.6733333333341</v>
      </c>
      <c r="BM763" s="343">
        <f>SUMIFS($AU$134:AU764,$AQ$134:AQ764,"M")</f>
        <v>2205.3999999999796</v>
      </c>
      <c r="BN763" s="343">
        <f>SUMIFS($AU$134:AU764,$AQ$134:AQ764,"H")</f>
        <v>3894.1420000000148</v>
      </c>
      <c r="BO763" s="343">
        <f>SUMIFS($AU$134:AU764,$AQ$134:AQ764,"D")</f>
        <v>2136.346666666715</v>
      </c>
      <c r="BP763" s="343">
        <f>SUMIFS($AU$134:AU766,$AQ$134:AQ766,"W")</f>
        <v>3049.7833333333429</v>
      </c>
      <c r="BQ763" s="343">
        <f>SUMIFS($AU$134:AU764,$Q$134:Q764,"O")</f>
        <v>-314.06333333331025</v>
      </c>
      <c r="BR763" s="343">
        <f>SUMIFS($AU$134:AU764,$AA$134:AA764,"*")</f>
        <v>12461.475333333323</v>
      </c>
      <c r="BS763" s="343">
        <f>SUMIFS($AU$134:AU764,$AB$134:AB764,"*")</f>
        <v>5177.1366666667018</v>
      </c>
      <c r="BT763" s="343">
        <f>SUMIFS($AU$134:AU764,$AC$134:AC764,"*")</f>
        <v>6527.6833333333316</v>
      </c>
      <c r="BU763" s="343">
        <f>SUMIFS($AU$134:AU764,$AA$134:AA764,"*",$AB$134:AB764,"*")</f>
        <v>3362.0000000000045</v>
      </c>
      <c r="BV763" s="343">
        <f>SUMIFS($AU$134:AU764,$AA$134:AA764,"*",$AC$134:AC764,"*")</f>
        <v>7124.7833333333328</v>
      </c>
      <c r="BW763" s="343">
        <f>SUMIFS($AU$134:AU764,$AB$134:AB764,"*",$AC$134:AC764,"*")</f>
        <v>5022.6000000000004</v>
      </c>
      <c r="BX763" s="343">
        <f>SUMIFS($AU764:AU$1388,$Q764:Q$1388,"F")</f>
        <v>12090.133333333333</v>
      </c>
      <c r="BY763" s="343">
        <f>SUMIFS($AU764:AU$1388,$Q764:Q$1388,"S")</f>
        <v>10603.2</v>
      </c>
      <c r="BZ763" s="343">
        <f>SUMIFS($AU764:AU$1388,$Q764:Q$1388,"O")</f>
        <v>-1334.7946666664882</v>
      </c>
    </row>
    <row r="764" spans="1:78" ht="15.75" customHeight="1">
      <c r="A764" s="221" t="s">
        <v>3123</v>
      </c>
      <c r="B764" s="177">
        <v>45108</v>
      </c>
      <c r="C764" s="178" t="s">
        <v>3124</v>
      </c>
      <c r="D764" s="178" t="s">
        <v>1676</v>
      </c>
      <c r="E764" s="227"/>
      <c r="F764" s="180"/>
      <c r="G764" s="281" t="s">
        <v>181</v>
      </c>
      <c r="H764" s="182"/>
      <c r="I764" s="182"/>
      <c r="J764" s="182"/>
      <c r="K764" s="183"/>
      <c r="L764" s="182">
        <v>1</v>
      </c>
      <c r="M764" s="182"/>
      <c r="N764" s="182"/>
      <c r="O764" s="183" t="s">
        <v>95</v>
      </c>
      <c r="P764" s="183" t="s">
        <v>96</v>
      </c>
      <c r="Q764" s="183" t="s">
        <v>97</v>
      </c>
      <c r="R764" s="183">
        <v>1</v>
      </c>
      <c r="S764" s="183">
        <v>0</v>
      </c>
      <c r="T764" s="183">
        <v>1</v>
      </c>
      <c r="U764" s="183" t="s">
        <v>97</v>
      </c>
      <c r="V764" s="183"/>
      <c r="W764" s="183"/>
      <c r="X764" s="183"/>
      <c r="Y764" s="184">
        <f>IF(ISBLANK(O764),"",(IF(O764=UPPER("IB"),0.005,0.01)))</f>
        <v>0.01</v>
      </c>
      <c r="Z764" s="185">
        <f>IF(ISBLANK(O764),"",IF(O764="IB",8.63*200,IF(O764="IR",16*100,IF(O764="YT",20*100,IF(O764="YT-XT",24*200,IF(O764="TED",80*100))))))</f>
        <v>1600</v>
      </c>
      <c r="AA764" s="185" t="s">
        <v>99</v>
      </c>
      <c r="AB764" s="185"/>
      <c r="AC764" s="185" t="s">
        <v>3128</v>
      </c>
      <c r="AD764" s="649">
        <v>-0.06</v>
      </c>
      <c r="AE764" s="182"/>
      <c r="AF764" s="332" t="s">
        <v>3129</v>
      </c>
      <c r="AG764" s="182"/>
      <c r="AH764" s="182">
        <v>-7</v>
      </c>
      <c r="AI764" s="182"/>
      <c r="AJ764" s="640"/>
      <c r="AK764" s="182"/>
      <c r="AL764" s="496">
        <f>-0.04*Z764</f>
        <v>-64</v>
      </c>
      <c r="AM764" s="496">
        <f>AL764*(R764-S764)</f>
        <v>-64</v>
      </c>
      <c r="AN764" s="626" t="s">
        <v>132</v>
      </c>
      <c r="AO764" s="182"/>
      <c r="AP764" s="182" t="s">
        <v>589</v>
      </c>
      <c r="AQ764" s="332" t="str">
        <f>UPPER(RIGHT(Journal_Live[[#This Row],[DURATION ]]))</f>
        <v>D</v>
      </c>
      <c r="AR764" s="182" t="s">
        <v>3130</v>
      </c>
      <c r="AS764" s="189">
        <v>-0.05</v>
      </c>
      <c r="AT764" s="189">
        <f>IF(ISBLANK(AS764),,IF(U764="S",AD764-AS764,AS764-AD764))</f>
        <v>-9.999999999999995E-3</v>
      </c>
      <c r="AU764" s="187">
        <f>AV764*R764</f>
        <v>-15.999999999999993</v>
      </c>
      <c r="AV764" s="190">
        <f>IF(ISBLANK(AS764),,(AT764*Z764))</f>
        <v>-15.999999999999993</v>
      </c>
      <c r="AW764" s="191" t="s">
        <v>229</v>
      </c>
      <c r="AX764" s="407" t="s">
        <v>3131</v>
      </c>
      <c r="AY764" s="407" t="s">
        <v>3132</v>
      </c>
      <c r="AZ764" s="407"/>
      <c r="BA764" s="407"/>
      <c r="BB764" s="407"/>
      <c r="BC764" s="407"/>
      <c r="BD764" s="407"/>
      <c r="BE764" s="407"/>
      <c r="BF764" s="422"/>
      <c r="BG764" s="391">
        <f>SUM($AV$4:AV764)</f>
        <v>3983.7698715729334</v>
      </c>
      <c r="BH764" s="392">
        <f>SUM($AU$134:AU764)</f>
        <v>12344.112000000025</v>
      </c>
      <c r="BI764" s="318">
        <f>SUMIFS($AU$134:AU765,$Q$134:Q765,"F")</f>
        <v>2350.5333333333328</v>
      </c>
      <c r="BJ764" s="318">
        <f>SUMIFS($AU$134:AU765,$Q$134:Q765,"S")</f>
        <v>10052.441999999997</v>
      </c>
      <c r="BK764" s="343">
        <f>SUMIFS($AU$134:AU765,$P$134:P765,"W")</f>
        <v>7547.7419999999347</v>
      </c>
      <c r="BL764" s="343">
        <f>SUMIFS($AU$134:AU765,$P$134:P765,"R")</f>
        <v>4676.6733333333341</v>
      </c>
      <c r="BM764" s="343">
        <f>SUMIFS($AU$134:AU765,$AQ$134:AQ765,"M")</f>
        <v>2205.3999999999796</v>
      </c>
      <c r="BN764" s="343">
        <f>SUMIFS($AU$134:AU765,$AQ$134:AQ765,"H")</f>
        <v>3894.1420000000148</v>
      </c>
      <c r="BO764" s="343">
        <f>SUMIFS($AU$134:AU765,$AQ$134:AQ765,"D")</f>
        <v>2136.346666666715</v>
      </c>
      <c r="BP764" s="343">
        <f>SUMIFS($AU$134:AU767,$AQ$134:AQ767,"W")</f>
        <v>3049.7833333333429</v>
      </c>
      <c r="BQ764" s="343">
        <f>SUMIFS($AU$134:AU765,$Q$134:Q765,"O")</f>
        <v>-314.06333333331025</v>
      </c>
      <c r="BR764" s="343">
        <f>SUMIFS($AU$134:AU765,$AA$134:AA765,"*")</f>
        <v>12461.475333333323</v>
      </c>
      <c r="BS764" s="343">
        <f>SUMIFS($AU$134:AU765,$AB$134:AB765,"*")</f>
        <v>5177.1366666667018</v>
      </c>
      <c r="BT764" s="343">
        <f>SUMIFS($AU$134:AU765,$AC$134:AC765,"*")</f>
        <v>6527.6833333333316</v>
      </c>
      <c r="BU764" s="343">
        <f>SUMIFS($AU$134:AU765,$AA$134:AA765,"*",$AB$134:AB765,"*")</f>
        <v>3362.0000000000045</v>
      </c>
      <c r="BV764" s="343">
        <f>SUMIFS($AU$134:AU765,$AA$134:AA765,"*",$AC$134:AC765,"*")</f>
        <v>7124.7833333333328</v>
      </c>
      <c r="BW764" s="343">
        <f>SUMIFS($AU$134:AU765,$AB$134:AB765,"*",$AC$134:AC765,"*")</f>
        <v>5022.6000000000004</v>
      </c>
      <c r="BX764" s="343">
        <f>SUMIFS($AU765:AU$1388,$Q765:Q$1388,"F")</f>
        <v>12090.133333333333</v>
      </c>
      <c r="BY764" s="343">
        <f>SUMIFS($AU765:AU$1388,$Q765:Q$1388,"S")</f>
        <v>10619.2</v>
      </c>
      <c r="BZ764" s="343">
        <f>SUMIFS($AU765:AU$1388,$Q765:Q$1388,"O")</f>
        <v>-1334.7946666664882</v>
      </c>
    </row>
    <row r="765" spans="1:78" ht="15.75" customHeight="1">
      <c r="A765" s="221" t="s">
        <v>3123</v>
      </c>
      <c r="B765" s="177">
        <v>45110</v>
      </c>
      <c r="C765" s="178" t="s">
        <v>2020</v>
      </c>
      <c r="D765" s="178" t="s">
        <v>132</v>
      </c>
      <c r="E765" s="479" t="s">
        <v>3133</v>
      </c>
      <c r="F765" s="180" t="s">
        <v>3134</v>
      </c>
      <c r="G765" s="181"/>
      <c r="H765" s="182">
        <v>1</v>
      </c>
      <c r="I765" s="182"/>
      <c r="J765" s="182"/>
      <c r="K765" s="183" t="s">
        <v>372</v>
      </c>
      <c r="L765" s="182"/>
      <c r="M765" s="182"/>
      <c r="N765" s="182"/>
      <c r="O765" s="183"/>
      <c r="P765" s="183"/>
      <c r="Q765" s="183"/>
      <c r="R765" s="183"/>
      <c r="S765" s="183"/>
      <c r="T765" s="183"/>
      <c r="U765" s="183"/>
      <c r="V765" s="183"/>
      <c r="W765" s="183"/>
      <c r="X765" s="183"/>
      <c r="Y765" s="184" t="str">
        <f>IF(ISBLANK(O765),"",(IF(O765=UPPER("IB"),0.005,0.01)))</f>
        <v/>
      </c>
      <c r="Z765" s="185" t="str">
        <f>IF(ISBLANK(O765),"",IF(O765="IB",8.63*200,IF(O765="IR",16*100,IF(O765="YT",20*100,IF(O765="YT-XT",24*200,IF(O765="TED",80*100))))))</f>
        <v/>
      </c>
      <c r="AA765" s="185"/>
      <c r="AB765" s="185"/>
      <c r="AC765" s="185"/>
      <c r="AD765" s="649"/>
      <c r="AE765" s="182"/>
      <c r="AF765" s="332"/>
      <c r="AG765" s="182"/>
      <c r="AH765" s="182"/>
      <c r="AI765" s="182"/>
      <c r="AJ765" s="640"/>
      <c r="AK765" s="182"/>
      <c r="AL765" s="496"/>
      <c r="AM765" s="496"/>
      <c r="AN765" s="626"/>
      <c r="AO765" s="182"/>
      <c r="AP765" s="182"/>
      <c r="AQ765" s="332" t="str">
        <f>UPPER(RIGHT(Journal_Live[[#This Row],[DURATION ]]))</f>
        <v/>
      </c>
      <c r="AR765" s="182"/>
      <c r="AS765" s="189"/>
      <c r="AT765" s="189"/>
      <c r="AU765" s="187"/>
      <c r="AV765" s="190"/>
      <c r="AW765" s="191"/>
      <c r="AX765" s="407"/>
      <c r="AY765" s="407"/>
      <c r="AZ765" s="407"/>
      <c r="BA765" s="407"/>
      <c r="BB765" s="407"/>
      <c r="BC765" s="407"/>
      <c r="BD765" s="407"/>
      <c r="BE765" s="407"/>
      <c r="BF765" s="422"/>
      <c r="BG765" s="391">
        <f>SUM($AV$4:AV765)</f>
        <v>3983.7698715729334</v>
      </c>
      <c r="BH765" s="392">
        <f>SUM($AU$134:AU765)</f>
        <v>12344.112000000025</v>
      </c>
      <c r="BI765" s="318">
        <f>SUMIFS($AU$134:AU766,$Q$134:Q766,"F")</f>
        <v>2350.5333333333328</v>
      </c>
      <c r="BJ765" s="318">
        <f>SUMIFS($AU$134:AU766,$Q$134:Q766,"S")</f>
        <v>10052.441999999997</v>
      </c>
      <c r="BK765" s="343">
        <f>SUMIFS($AU$134:AU766,$P$134:P766,"W")</f>
        <v>7547.7419999999347</v>
      </c>
      <c r="BL765" s="343">
        <f>SUMIFS($AU$134:AU766,$P$134:P766,"R")</f>
        <v>4676.6733333333341</v>
      </c>
      <c r="BM765" s="343">
        <f>SUMIFS($AU$134:AU766,$AQ$134:AQ766,"M")</f>
        <v>2205.3999999999796</v>
      </c>
      <c r="BN765" s="343">
        <f>SUMIFS($AU$134:AU766,$AQ$134:AQ766,"H")</f>
        <v>3894.1420000000148</v>
      </c>
      <c r="BO765" s="343">
        <f>SUMIFS($AU$134:AU766,$AQ$134:AQ766,"D")</f>
        <v>2136.346666666715</v>
      </c>
      <c r="BP765" s="343">
        <f>SUMIFS($AU$134:AU768,$AQ$134:AQ768,"W")</f>
        <v>3049.7833333333429</v>
      </c>
      <c r="BQ765" s="343">
        <f>SUMIFS($AU$134:AU766,$Q$134:Q766,"O")</f>
        <v>-314.06333333331025</v>
      </c>
      <c r="BR765" s="343">
        <f>SUMIFS($AU$134:AU766,$AA$134:AA766,"*")</f>
        <v>12461.475333333323</v>
      </c>
      <c r="BS765" s="343">
        <f>SUMIFS($AU$134:AU766,$AB$134:AB766,"*")</f>
        <v>5177.1366666667018</v>
      </c>
      <c r="BT765" s="343">
        <f>SUMIFS($AU$134:AU766,$AC$134:AC766,"*")</f>
        <v>6527.6833333333316</v>
      </c>
      <c r="BU765" s="343">
        <f>SUMIFS($AU$134:AU766,$AA$134:AA766,"*",$AB$134:AB766,"*")</f>
        <v>3362.0000000000045</v>
      </c>
      <c r="BV765" s="343">
        <f>SUMIFS($AU$134:AU766,$AA$134:AA766,"*",$AC$134:AC766,"*")</f>
        <v>7124.7833333333328</v>
      </c>
      <c r="BW765" s="343">
        <f>SUMIFS($AU$134:AU766,$AB$134:AB766,"*",$AC$134:AC766,"*")</f>
        <v>5022.6000000000004</v>
      </c>
      <c r="BX765" s="343">
        <f>SUMIFS($AU766:AU$1388,$Q766:Q$1388,"F")</f>
        <v>12090.133333333333</v>
      </c>
      <c r="BY765" s="343">
        <f>SUMIFS($AU766:AU$1388,$Q766:Q$1388,"S")</f>
        <v>10619.2</v>
      </c>
      <c r="BZ765" s="343">
        <f>SUMIFS($AU766:AU$1388,$Q766:Q$1388,"O")</f>
        <v>-1334.7946666664882</v>
      </c>
    </row>
    <row r="766" spans="1:78" ht="15.75" customHeight="1">
      <c r="A766" s="221" t="s">
        <v>3123</v>
      </c>
      <c r="B766" s="177"/>
      <c r="C766" s="178"/>
      <c r="D766" s="178"/>
      <c r="E766" s="227"/>
      <c r="F766" s="180"/>
      <c r="G766" s="181"/>
      <c r="H766" s="182"/>
      <c r="I766" s="182"/>
      <c r="J766" s="182"/>
      <c r="K766" s="183"/>
      <c r="L766" s="182"/>
      <c r="M766" s="182"/>
      <c r="N766" s="182"/>
      <c r="O766" s="183"/>
      <c r="P766" s="183"/>
      <c r="Q766" s="183"/>
      <c r="R766" s="183"/>
      <c r="S766" s="183"/>
      <c r="T766" s="183"/>
      <c r="U766" s="183"/>
      <c r="V766" s="183"/>
      <c r="W766" s="183"/>
      <c r="X766" s="183"/>
      <c r="Y766" s="184"/>
      <c r="Z766" s="185"/>
      <c r="AA766" s="185"/>
      <c r="AB766" s="185"/>
      <c r="AC766" s="185"/>
      <c r="AD766" s="649"/>
      <c r="AE766" s="182"/>
      <c r="AF766" s="332"/>
      <c r="AG766" s="182"/>
      <c r="AH766" s="182"/>
      <c r="AI766" s="182"/>
      <c r="AJ766" s="640"/>
      <c r="AK766" s="182"/>
      <c r="AL766" s="496"/>
      <c r="AM766" s="496"/>
      <c r="AN766" s="626"/>
      <c r="AO766" s="182"/>
      <c r="AP766" s="182"/>
      <c r="AQ766" s="332" t="str">
        <f>UPPER(RIGHT(Journal_Live[[#This Row],[DURATION ]]))</f>
        <v/>
      </c>
      <c r="AR766" s="182"/>
      <c r="AS766" s="189"/>
      <c r="AT766" s="189"/>
      <c r="AU766" s="187"/>
      <c r="AV766" s="190"/>
      <c r="AW766" s="191"/>
      <c r="AX766" s="407" t="s">
        <v>3135</v>
      </c>
      <c r="AY766" s="407" t="s">
        <v>3136</v>
      </c>
      <c r="AZ766" s="407"/>
      <c r="BA766" s="407"/>
      <c r="BB766" s="407"/>
      <c r="BC766" s="407"/>
      <c r="BD766" s="407"/>
      <c r="BE766" s="407"/>
      <c r="BF766" s="422"/>
      <c r="BG766" s="391">
        <f>SUM($AV$4:AV766)</f>
        <v>3983.7698715729334</v>
      </c>
      <c r="BH766" s="392">
        <f>SUM($AU$134:AU766)</f>
        <v>12344.112000000025</v>
      </c>
      <c r="BI766" s="318">
        <f>SUMIFS($AU$134:AU767,$Q$134:Q767,"F")</f>
        <v>2350.5333333333328</v>
      </c>
      <c r="BJ766" s="318">
        <f>SUMIFS($AU$134:AU767,$Q$134:Q767,"S")</f>
        <v>10052.441999999997</v>
      </c>
      <c r="BK766" s="343">
        <f>SUMIFS($AU$134:AU767,$P$134:P767,"W")</f>
        <v>7547.7419999999347</v>
      </c>
      <c r="BL766" s="343">
        <f>SUMIFS($AU$134:AU767,$P$134:P767,"R")</f>
        <v>4676.6733333333341</v>
      </c>
      <c r="BM766" s="343">
        <f>SUMIFS($AU$134:AU767,$AQ$134:AQ767,"M")</f>
        <v>2205.3999999999796</v>
      </c>
      <c r="BN766" s="343">
        <f>SUMIFS($AU$134:AU767,$AQ$134:AQ767,"H")</f>
        <v>3894.1420000000148</v>
      </c>
      <c r="BO766" s="343">
        <f>SUMIFS($AU$134:AU767,$AQ$134:AQ767,"D")</f>
        <v>2136.346666666715</v>
      </c>
      <c r="BP766" s="343">
        <f>SUMIFS($AU$134:AU769,$AQ$134:AQ769,"W")</f>
        <v>3049.7833333333429</v>
      </c>
      <c r="BQ766" s="343">
        <f>SUMIFS($AU$134:AU767,$Q$134:Q767,"O")</f>
        <v>-314.06333333331025</v>
      </c>
      <c r="BR766" s="343">
        <f>SUMIFS($AU$134:AU767,$AA$134:AA767,"*")</f>
        <v>12461.475333333323</v>
      </c>
      <c r="BS766" s="343">
        <f>SUMIFS($AU$134:AU767,$AB$134:AB767,"*")</f>
        <v>5177.1366666667018</v>
      </c>
      <c r="BT766" s="343">
        <f>SUMIFS($AU$134:AU767,$AC$134:AC767,"*")</f>
        <v>6527.6833333333316</v>
      </c>
      <c r="BU766" s="343">
        <f>SUMIFS($AU$134:AU767,$AA$134:AA767,"*",$AB$134:AB767,"*")</f>
        <v>3362.0000000000045</v>
      </c>
      <c r="BV766" s="343">
        <f>SUMIFS($AU$134:AU767,$AA$134:AA767,"*",$AC$134:AC767,"*")</f>
        <v>7124.7833333333328</v>
      </c>
      <c r="BW766" s="343">
        <f>SUMIFS($AU$134:AU767,$AB$134:AB767,"*",$AC$134:AC767,"*")</f>
        <v>5022.6000000000004</v>
      </c>
      <c r="BX766" s="343">
        <f>SUMIFS($AU767:AU$1388,$Q767:Q$1388,"F")</f>
        <v>12090.133333333333</v>
      </c>
      <c r="BY766" s="343">
        <f>SUMIFS($AU767:AU$1388,$Q767:Q$1388,"S")</f>
        <v>10619.2</v>
      </c>
      <c r="BZ766" s="343">
        <f>SUMIFS($AU767:AU$1388,$Q767:Q$1388,"O")</f>
        <v>-1334.7946666664882</v>
      </c>
    </row>
    <row r="767" spans="1:78" ht="15.75" customHeight="1">
      <c r="A767" s="221" t="s">
        <v>3123</v>
      </c>
      <c r="B767" s="177">
        <v>45110</v>
      </c>
      <c r="C767" s="178" t="s">
        <v>3137</v>
      </c>
      <c r="D767" s="178" t="s">
        <v>132</v>
      </c>
      <c r="E767" s="227"/>
      <c r="F767" s="180"/>
      <c r="G767" s="281" t="s">
        <v>2070</v>
      </c>
      <c r="H767" s="182"/>
      <c r="I767" s="182">
        <v>1</v>
      </c>
      <c r="J767" s="182"/>
      <c r="K767" s="183"/>
      <c r="L767" s="182">
        <v>1</v>
      </c>
      <c r="M767" s="182"/>
      <c r="N767" s="182"/>
      <c r="O767" s="183" t="s">
        <v>95</v>
      </c>
      <c r="P767" s="183" t="s">
        <v>137</v>
      </c>
      <c r="Q767" s="183" t="s">
        <v>97</v>
      </c>
      <c r="R767" s="183">
        <v>5</v>
      </c>
      <c r="S767" s="183"/>
      <c r="T767" s="183">
        <v>5</v>
      </c>
      <c r="U767" s="183" t="s">
        <v>97</v>
      </c>
      <c r="V767" s="183"/>
      <c r="W767" s="183"/>
      <c r="X767" s="183"/>
      <c r="Y767" s="184">
        <f>IF(ISBLANK(O767),"",(IF(O767=UPPER("IB"),0.005,0.01)))</f>
        <v>0.01</v>
      </c>
      <c r="Z767" s="185">
        <f>IF(ISBLANK(O767),"",IF(O767="IB",8.63*200,IF(O767="IR",16*100,IF(O767="YT",20*100,IF(O767="YT-XT",24*200,IF(O767="TED",80*100))))))</f>
        <v>1600</v>
      </c>
      <c r="AA767" s="185"/>
      <c r="AB767" s="185"/>
      <c r="AC767" s="185" t="s">
        <v>3138</v>
      </c>
      <c r="AD767" s="649">
        <v>-0.15</v>
      </c>
      <c r="AE767" s="182"/>
      <c r="AF767" s="332"/>
      <c r="AG767" s="182"/>
      <c r="AH767" s="182"/>
      <c r="AI767" s="182"/>
      <c r="AJ767" s="640"/>
      <c r="AK767" s="182"/>
      <c r="AL767" s="496"/>
      <c r="AM767" s="496"/>
      <c r="AN767" s="626"/>
      <c r="AO767" s="182"/>
      <c r="AP767" s="182" t="s">
        <v>3139</v>
      </c>
      <c r="AQ767" s="332" t="str">
        <f>UPPER(RIGHT(Journal_Live[[#This Row],[DURATION ]]))</f>
        <v>H</v>
      </c>
      <c r="AR767" s="182" t="s">
        <v>733</v>
      </c>
      <c r="AS767" s="189">
        <v>-0.15</v>
      </c>
      <c r="AT767" s="189">
        <f>IF(ISBLANK(AS767),,IF(U767="S",AD767-AS767,AS767-AD767))</f>
        <v>0</v>
      </c>
      <c r="AU767" s="187">
        <f>AV767*R767</f>
        <v>0</v>
      </c>
      <c r="AV767" s="190">
        <f>IF(ISBLANK(AS767),,(AT767*Z767))</f>
        <v>0</v>
      </c>
      <c r="AW767" s="191" t="s">
        <v>115</v>
      </c>
      <c r="AX767" s="407" t="s">
        <v>3140</v>
      </c>
      <c r="AY767" s="407"/>
      <c r="AZ767" s="407"/>
      <c r="BA767" s="407"/>
      <c r="BB767" s="407"/>
      <c r="BC767" s="407"/>
      <c r="BD767" s="407"/>
      <c r="BE767" s="407"/>
      <c r="BF767" s="422"/>
      <c r="BG767" s="391">
        <f>SUM($AV$4:AV767)</f>
        <v>3983.7698715729334</v>
      </c>
      <c r="BH767" s="392">
        <f>SUM($AU$134:AU767)</f>
        <v>12344.112000000025</v>
      </c>
      <c r="BI767" s="318">
        <f>SUMIFS($AU$134:AU768,$Q$134:Q768,"F")</f>
        <v>2350.5333333333328</v>
      </c>
      <c r="BJ767" s="318">
        <f>SUMIFS($AU$134:AU768,$Q$134:Q768,"S")</f>
        <v>10052.441999999997</v>
      </c>
      <c r="BK767" s="343">
        <f>SUMIFS($AU$134:AU768,$P$134:P768,"W")</f>
        <v>7547.7419999999347</v>
      </c>
      <c r="BL767" s="343">
        <f>SUMIFS($AU$134:AU768,$P$134:P768,"R")</f>
        <v>4676.6733333333341</v>
      </c>
      <c r="BM767" s="343">
        <f>SUMIFS($AU$134:AU768,$AQ$134:AQ768,"M")</f>
        <v>2205.3999999999796</v>
      </c>
      <c r="BN767" s="343">
        <f>SUMIFS($AU$134:AU768,$AQ$134:AQ768,"H")</f>
        <v>3894.1420000000148</v>
      </c>
      <c r="BO767" s="343">
        <f>SUMIFS($AU$134:AU768,$AQ$134:AQ768,"D")</f>
        <v>2136.346666666715</v>
      </c>
      <c r="BP767" s="343">
        <f>SUMIFS($AU$134:AU770,$AQ$134:AQ770,"W")</f>
        <v>3049.7833333333429</v>
      </c>
      <c r="BQ767" s="343">
        <f>SUMIFS($AU$134:AU768,$Q$134:Q768,"O")</f>
        <v>-314.06333333331025</v>
      </c>
      <c r="BR767" s="343">
        <f>SUMIFS($AU$134:AU768,$AA$134:AA768,"*")</f>
        <v>12461.475333333323</v>
      </c>
      <c r="BS767" s="343">
        <f>SUMIFS($AU$134:AU768,$AB$134:AB768,"*")</f>
        <v>5177.1366666667018</v>
      </c>
      <c r="BT767" s="343">
        <f>SUMIFS($AU$134:AU768,$AC$134:AC768,"*")</f>
        <v>6527.6833333333316</v>
      </c>
      <c r="BU767" s="343">
        <f>SUMIFS($AU$134:AU768,$AA$134:AA768,"*",$AB$134:AB768,"*")</f>
        <v>3362.0000000000045</v>
      </c>
      <c r="BV767" s="343">
        <f>SUMIFS($AU$134:AU768,$AA$134:AA768,"*",$AC$134:AC768,"*")</f>
        <v>7124.7833333333328</v>
      </c>
      <c r="BW767" s="343">
        <f>SUMIFS($AU$134:AU768,$AB$134:AB768,"*",$AC$134:AC768,"*")</f>
        <v>5022.6000000000004</v>
      </c>
      <c r="BX767" s="343">
        <f>SUMIFS($AU768:AU$1388,$Q768:Q$1388,"F")</f>
        <v>12090.133333333333</v>
      </c>
      <c r="BY767" s="343">
        <f>SUMIFS($AU768:AU$1388,$Q768:Q$1388,"S")</f>
        <v>10619.2</v>
      </c>
      <c r="BZ767" s="343">
        <f>SUMIFS($AU768:AU$1388,$Q768:Q$1388,"O")</f>
        <v>-1334.7946666664882</v>
      </c>
    </row>
    <row r="768" spans="1:78" ht="15.75" customHeight="1">
      <c r="A768" s="221" t="s">
        <v>3123</v>
      </c>
      <c r="B768" s="177">
        <v>45111</v>
      </c>
      <c r="C768" s="178" t="s">
        <v>2860</v>
      </c>
      <c r="D768" s="178" t="s">
        <v>3141</v>
      </c>
      <c r="E768" s="227" t="s">
        <v>3142</v>
      </c>
      <c r="F768" s="180"/>
      <c r="G768" s="181"/>
      <c r="H768" s="182"/>
      <c r="I768" s="182"/>
      <c r="J768" s="182"/>
      <c r="K768" s="183"/>
      <c r="L768" s="182"/>
      <c r="M768" s="182"/>
      <c r="N768" s="182"/>
      <c r="O768" s="183"/>
      <c r="P768" s="183"/>
      <c r="Q768" s="183"/>
      <c r="R768" s="183"/>
      <c r="S768" s="183"/>
      <c r="T768" s="183"/>
      <c r="U768" s="183"/>
      <c r="V768" s="183"/>
      <c r="W768" s="183"/>
      <c r="X768" s="183"/>
      <c r="Y768" s="184" t="str">
        <f>IF(ISBLANK(O768),"",(IF(O768=UPPER("IB"),0.005,0.01)))</f>
        <v/>
      </c>
      <c r="Z768" s="185" t="str">
        <f>IF(ISBLANK(O768),"",IF(O768="IB",8.63*200,IF(O768="IR",16*100,IF(O768="YT",20*100,IF(O768="YT-XT",24*200,IF(O768="TED",80*100))))))</f>
        <v/>
      </c>
      <c r="AA768" s="185"/>
      <c r="AB768" s="185"/>
      <c r="AC768" s="185"/>
      <c r="AD768" s="649"/>
      <c r="AE768" s="182"/>
      <c r="AF768" s="332"/>
      <c r="AG768" s="182"/>
      <c r="AH768" s="182"/>
      <c r="AI768" s="182"/>
      <c r="AJ768" s="640"/>
      <c r="AK768" s="182"/>
      <c r="AL768" s="496"/>
      <c r="AM768" s="496"/>
      <c r="AN768" s="626"/>
      <c r="AO768" s="182"/>
      <c r="AP768" s="182"/>
      <c r="AQ768" s="332" t="str">
        <f>UPPER(RIGHT(Journal_Live[[#This Row],[DURATION ]]))</f>
        <v/>
      </c>
      <c r="AR768" s="182"/>
      <c r="AS768" s="189"/>
      <c r="AT768" s="189"/>
      <c r="AU768" s="187"/>
      <c r="AV768" s="190"/>
      <c r="AW768" s="191"/>
      <c r="AX768" s="407"/>
      <c r="AY768" s="407"/>
      <c r="AZ768" s="407"/>
      <c r="BA768" s="407"/>
      <c r="BB768" s="407"/>
      <c r="BC768" s="407"/>
      <c r="BD768" s="407"/>
      <c r="BE768" s="407"/>
      <c r="BF768" s="422"/>
      <c r="BG768" s="391">
        <f>SUM($AV$4:AV768)</f>
        <v>3983.7698715729334</v>
      </c>
      <c r="BH768" s="392">
        <f>SUM($AU$134:AU768)</f>
        <v>12344.112000000025</v>
      </c>
      <c r="BI768" s="318">
        <f>SUMIFS($AU$134:AU769,$Q$134:Q769,"F")</f>
        <v>2350.5333333333328</v>
      </c>
      <c r="BJ768" s="318">
        <f>SUMIFS($AU$134:AU769,$Q$134:Q769,"S")</f>
        <v>10052.441999999997</v>
      </c>
      <c r="BK768" s="343">
        <f>SUMIFS($AU$134:AU769,$P$134:P769,"W")</f>
        <v>7595.7419999999365</v>
      </c>
      <c r="BL768" s="343">
        <f>SUMIFS($AU$134:AU769,$P$134:P769,"R")</f>
        <v>4676.6733333333341</v>
      </c>
      <c r="BM768" s="343">
        <f>SUMIFS($AU$134:AU769,$AQ$134:AQ769,"M")</f>
        <v>2253.3999999999814</v>
      </c>
      <c r="BN768" s="343">
        <f>SUMIFS($AU$134:AU769,$AQ$134:AQ769,"H")</f>
        <v>3894.1420000000148</v>
      </c>
      <c r="BO768" s="343">
        <f>SUMIFS($AU$134:AU769,$AQ$134:AQ769,"D")</f>
        <v>2136.346666666715</v>
      </c>
      <c r="BP768" s="343">
        <f>SUMIFS($AU$134:AU771,$AQ$134:AQ771,"W")</f>
        <v>3049.7833333333429</v>
      </c>
      <c r="BQ768" s="343">
        <f>SUMIFS($AU$134:AU769,$Q$134:Q769,"O")</f>
        <v>-266.06333333330844</v>
      </c>
      <c r="BR768" s="343">
        <f>SUMIFS($AU$134:AU769,$AA$134:AA769,"*")</f>
        <v>12509.475333333325</v>
      </c>
      <c r="BS768" s="343">
        <f>SUMIFS($AU$134:AU769,$AB$134:AB769,"*")</f>
        <v>5177.1366666667018</v>
      </c>
      <c r="BT768" s="343">
        <f>SUMIFS($AU$134:AU769,$AC$134:AC769,"*")</f>
        <v>6527.6833333333316</v>
      </c>
      <c r="BU768" s="343">
        <f>SUMIFS($AU$134:AU769,$AA$134:AA769,"*",$AB$134:AB769,"*")</f>
        <v>3362.0000000000045</v>
      </c>
      <c r="BV768" s="343">
        <f>SUMIFS($AU$134:AU769,$AA$134:AA769,"*",$AC$134:AC769,"*")</f>
        <v>7124.7833333333328</v>
      </c>
      <c r="BW768" s="343">
        <f>SUMIFS($AU$134:AU769,$AB$134:AB769,"*",$AC$134:AC769,"*")</f>
        <v>5022.6000000000004</v>
      </c>
      <c r="BX768" s="343">
        <f>SUMIFS($AU769:AU$1388,$Q769:Q$1388,"F")</f>
        <v>12090.133333333333</v>
      </c>
      <c r="BY768" s="343">
        <f>SUMIFS($AU769:AU$1388,$Q769:Q$1388,"S")</f>
        <v>10619.2</v>
      </c>
      <c r="BZ768" s="343">
        <f>SUMIFS($AU769:AU$1388,$Q769:Q$1388,"O")</f>
        <v>-1334.7946666664882</v>
      </c>
    </row>
    <row r="769" spans="1:78" ht="15.75" customHeight="1">
      <c r="A769" s="221" t="s">
        <v>3123</v>
      </c>
      <c r="B769" s="177">
        <v>45111</v>
      </c>
      <c r="C769" s="178" t="s">
        <v>682</v>
      </c>
      <c r="D769" s="178" t="s">
        <v>146</v>
      </c>
      <c r="E769" s="227"/>
      <c r="F769" s="180"/>
      <c r="G769" s="281" t="s">
        <v>983</v>
      </c>
      <c r="H769" s="182"/>
      <c r="I769" s="182"/>
      <c r="J769" s="182"/>
      <c r="K769" s="183"/>
      <c r="L769" s="182">
        <v>2</v>
      </c>
      <c r="M769" s="182"/>
      <c r="N769" s="182"/>
      <c r="O769" s="183" t="s">
        <v>95</v>
      </c>
      <c r="P769" s="183" t="s">
        <v>96</v>
      </c>
      <c r="Q769" s="183" t="s">
        <v>684</v>
      </c>
      <c r="R769" s="183">
        <v>1</v>
      </c>
      <c r="S769" s="183">
        <v>0</v>
      </c>
      <c r="T769" s="183">
        <v>1</v>
      </c>
      <c r="U769" s="183" t="s">
        <v>97</v>
      </c>
      <c r="V769" s="183"/>
      <c r="W769" s="183"/>
      <c r="X769" s="183"/>
      <c r="Y769" s="184">
        <f>IF(ISBLANK(O769),"",(IF(O769=UPPER("IB"),0.005,0.01)))</f>
        <v>0.01</v>
      </c>
      <c r="Z769" s="185">
        <f>IF(ISBLANK(O769),"",IF(O769="IB",8.63*200,IF(O769="IR",16*100,IF(O769="YT",20*100,IF(O769="YT-XT",24*200,IF(O769="TED",80*100))))))</f>
        <v>1600</v>
      </c>
      <c r="AA769" s="185" t="s">
        <v>1552</v>
      </c>
      <c r="AB769" s="185"/>
      <c r="AC769" s="185"/>
      <c r="AD769" s="649">
        <v>95.42</v>
      </c>
      <c r="AE769" s="182"/>
      <c r="AF769" s="332"/>
      <c r="AG769" s="182"/>
      <c r="AH769" s="182"/>
      <c r="AI769" s="182"/>
      <c r="AJ769" s="640"/>
      <c r="AK769" s="182"/>
      <c r="AL769" s="496"/>
      <c r="AM769" s="496"/>
      <c r="AN769" s="626"/>
      <c r="AO769" s="182"/>
      <c r="AP769" s="182" t="s">
        <v>3143</v>
      </c>
      <c r="AQ769" s="332" t="str">
        <f>UPPER(RIGHT(Journal_Live[[#This Row],[DURATION ]]))</f>
        <v>M</v>
      </c>
      <c r="AR769" s="182" t="s">
        <v>3144</v>
      </c>
      <c r="AS769" s="189">
        <v>95.39</v>
      </c>
      <c r="AT769" s="189">
        <f>IF(ISBLANK(AS769),,IF(U769="S",AD769-AS769,AS769-AD769))</f>
        <v>3.0000000000001137E-2</v>
      </c>
      <c r="AU769" s="187">
        <f>AV769*R769</f>
        <v>48.000000000001819</v>
      </c>
      <c r="AV769" s="190">
        <f>IF(ISBLANK(AS769),,(AT769*Z769))</f>
        <v>48.000000000001819</v>
      </c>
      <c r="AW769" s="191" t="s">
        <v>96</v>
      </c>
      <c r="AX769" s="407" t="s">
        <v>3145</v>
      </c>
      <c r="AY769" s="407" t="s">
        <v>3146</v>
      </c>
      <c r="AZ769" s="407" t="s">
        <v>3147</v>
      </c>
      <c r="BA769" s="407"/>
      <c r="BB769" s="407"/>
      <c r="BC769" s="407"/>
      <c r="BD769" s="407"/>
      <c r="BE769" s="407"/>
      <c r="BF769" s="422"/>
      <c r="BG769" s="391">
        <f>SUM($AV$4:AV769)</f>
        <v>4031.7698715729352</v>
      </c>
      <c r="BH769" s="392">
        <f>SUM($AU$134:AU769)</f>
        <v>12392.112000000026</v>
      </c>
      <c r="BI769" s="318">
        <f>SUMIFS($AU$134:AU770,$Q$134:Q770,"F")</f>
        <v>2350.5333333333328</v>
      </c>
      <c r="BJ769" s="318">
        <f>SUMIFS($AU$134:AU770,$Q$134:Q770,"S")</f>
        <v>10052.441999999997</v>
      </c>
      <c r="BK769" s="343">
        <f>SUMIFS($AU$134:AU770,$P$134:P770,"W")</f>
        <v>7595.7419999999365</v>
      </c>
      <c r="BL769" s="343">
        <f>SUMIFS($AU$134:AU770,$P$134:P770,"R")</f>
        <v>4676.6733333333341</v>
      </c>
      <c r="BM769" s="343">
        <f>SUMIFS($AU$134:AU770,$AQ$134:AQ770,"M")</f>
        <v>2253.3999999999814</v>
      </c>
      <c r="BN769" s="343">
        <f>SUMIFS($AU$134:AU770,$AQ$134:AQ770,"H")</f>
        <v>3894.1420000000148</v>
      </c>
      <c r="BO769" s="343">
        <f>SUMIFS($AU$134:AU770,$AQ$134:AQ770,"D")</f>
        <v>2136.346666666715</v>
      </c>
      <c r="BP769" s="343">
        <f>SUMIFS($AU$134:AU772,$AQ$134:AQ772,"W")</f>
        <v>3049.7833333333429</v>
      </c>
      <c r="BQ769" s="343">
        <f>SUMIFS($AU$134:AU770,$Q$134:Q770,"O")</f>
        <v>-266.06333333330844</v>
      </c>
      <c r="BR769" s="343">
        <f>SUMIFS($AU$134:AU770,$AA$134:AA770,"*")</f>
        <v>12509.475333333325</v>
      </c>
      <c r="BS769" s="343">
        <f>SUMIFS($AU$134:AU770,$AB$134:AB770,"*")</f>
        <v>5177.1366666667018</v>
      </c>
      <c r="BT769" s="343">
        <f>SUMIFS($AU$134:AU770,$AC$134:AC770,"*")</f>
        <v>6527.6833333333316</v>
      </c>
      <c r="BU769" s="343">
        <f>SUMIFS($AU$134:AU770,$AA$134:AA770,"*",$AB$134:AB770,"*")</f>
        <v>3362.0000000000045</v>
      </c>
      <c r="BV769" s="343">
        <f>SUMIFS($AU$134:AU770,$AA$134:AA770,"*",$AC$134:AC770,"*")</f>
        <v>7124.7833333333328</v>
      </c>
      <c r="BW769" s="343">
        <f>SUMIFS($AU$134:AU770,$AB$134:AB770,"*",$AC$134:AC770,"*")</f>
        <v>5022.6000000000004</v>
      </c>
      <c r="BX769" s="343">
        <f>SUMIFS($AU770:AU$1388,$Q770:Q$1388,"F")</f>
        <v>12090.133333333333</v>
      </c>
      <c r="BY769" s="343">
        <f>SUMIFS($AU770:AU$1388,$Q770:Q$1388,"S")</f>
        <v>10619.2</v>
      </c>
      <c r="BZ769" s="343">
        <f>SUMIFS($AU770:AU$1388,$Q770:Q$1388,"O")</f>
        <v>-1382.79466666649</v>
      </c>
    </row>
    <row r="770" spans="1:78" ht="15.75" customHeight="1">
      <c r="A770" s="221" t="s">
        <v>3123</v>
      </c>
      <c r="B770" s="177">
        <v>45111</v>
      </c>
      <c r="C770" s="178" t="s">
        <v>3148</v>
      </c>
      <c r="D770" s="178" t="s">
        <v>146</v>
      </c>
      <c r="E770" s="227"/>
      <c r="F770" s="180"/>
      <c r="G770" s="181" t="s">
        <v>181</v>
      </c>
      <c r="H770" s="182"/>
      <c r="I770" s="182"/>
      <c r="J770" s="182"/>
      <c r="K770" s="183"/>
      <c r="L770" s="182"/>
      <c r="M770" s="182"/>
      <c r="N770" s="182"/>
      <c r="O770" s="183"/>
      <c r="P770" s="183"/>
      <c r="Q770" s="183"/>
      <c r="R770" s="183"/>
      <c r="S770" s="183"/>
      <c r="T770" s="183"/>
      <c r="U770" s="183"/>
      <c r="V770" s="183"/>
      <c r="W770" s="183"/>
      <c r="X770" s="183"/>
      <c r="Y770" s="184"/>
      <c r="Z770" s="185"/>
      <c r="AA770" s="185"/>
      <c r="AB770" s="185"/>
      <c r="AC770" s="185"/>
      <c r="AD770" s="649"/>
      <c r="AE770" s="182"/>
      <c r="AF770" s="332"/>
      <c r="AG770" s="182"/>
      <c r="AH770" s="182"/>
      <c r="AI770" s="182"/>
      <c r="AJ770" s="640"/>
      <c r="AK770" s="182"/>
      <c r="AL770" s="496"/>
      <c r="AM770" s="496"/>
      <c r="AN770" s="626"/>
      <c r="AO770" s="182"/>
      <c r="AP770" s="182"/>
      <c r="AQ770" s="332" t="str">
        <f>UPPER(RIGHT(Journal_Live[[#This Row],[DURATION ]]))</f>
        <v/>
      </c>
      <c r="AR770" s="182"/>
      <c r="AS770" s="189"/>
      <c r="AT770" s="189"/>
      <c r="AU770" s="187"/>
      <c r="AV770" s="190"/>
      <c r="AW770" s="191"/>
      <c r="AX770" s="407" t="s">
        <v>3149</v>
      </c>
      <c r="AY770" s="407"/>
      <c r="AZ770" s="407"/>
      <c r="BA770" s="407"/>
      <c r="BB770" s="407"/>
      <c r="BC770" s="407"/>
      <c r="BD770" s="407"/>
      <c r="BE770" s="407"/>
      <c r="BF770" s="422"/>
      <c r="BG770" s="391">
        <f>SUM($AV$4:AV770)</f>
        <v>4031.7698715729352</v>
      </c>
      <c r="BH770" s="392">
        <f>SUM($AU$134:AU770)</f>
        <v>12392.112000000026</v>
      </c>
      <c r="BI770" s="318">
        <f>SUMIFS($AU$134:AU771,$Q$134:Q771,"F")</f>
        <v>2350.5333333333328</v>
      </c>
      <c r="BJ770" s="318">
        <f>SUMIFS($AU$134:AU771,$Q$134:Q771,"S")</f>
        <v>10052.441999999997</v>
      </c>
      <c r="BK770" s="343">
        <f>SUMIFS($AU$134:AU771,$P$134:P771,"W")</f>
        <v>7595.7419999999365</v>
      </c>
      <c r="BL770" s="343">
        <f>SUMIFS($AU$134:AU771,$P$134:P771,"R")</f>
        <v>4676.6733333333341</v>
      </c>
      <c r="BM770" s="343">
        <f>SUMIFS($AU$134:AU771,$AQ$134:AQ771,"M")</f>
        <v>2253.3999999999814</v>
      </c>
      <c r="BN770" s="343">
        <f>SUMIFS($AU$134:AU771,$AQ$134:AQ771,"H")</f>
        <v>3894.1420000000148</v>
      </c>
      <c r="BO770" s="343">
        <f>SUMIFS($AU$134:AU771,$AQ$134:AQ771,"D")</f>
        <v>2136.346666666715</v>
      </c>
      <c r="BP770" s="343">
        <f>SUMIFS($AU$134:AU773,$AQ$134:AQ773,"W")</f>
        <v>3049.7833333333429</v>
      </c>
      <c r="BQ770" s="343">
        <f>SUMIFS($AU$134:AU771,$Q$134:Q771,"O")</f>
        <v>-266.06333333330844</v>
      </c>
      <c r="BR770" s="343">
        <f>SUMIFS($AU$134:AU771,$AA$134:AA771,"*")</f>
        <v>12509.475333333325</v>
      </c>
      <c r="BS770" s="343">
        <f>SUMIFS($AU$134:AU771,$AB$134:AB771,"*")</f>
        <v>5177.1366666667018</v>
      </c>
      <c r="BT770" s="343">
        <f>SUMIFS($AU$134:AU771,$AC$134:AC771,"*")</f>
        <v>6527.6833333333316</v>
      </c>
      <c r="BU770" s="343">
        <f>SUMIFS($AU$134:AU771,$AA$134:AA771,"*",$AB$134:AB771,"*")</f>
        <v>3362.0000000000045</v>
      </c>
      <c r="BV770" s="343">
        <f>SUMIFS($AU$134:AU771,$AA$134:AA771,"*",$AC$134:AC771,"*")</f>
        <v>7124.7833333333328</v>
      </c>
      <c r="BW770" s="343">
        <f>SUMIFS($AU$134:AU771,$AB$134:AB771,"*",$AC$134:AC771,"*")</f>
        <v>5022.6000000000004</v>
      </c>
      <c r="BX770" s="343">
        <f>SUMIFS($AU771:AU$1388,$Q771:Q$1388,"F")</f>
        <v>12090.133333333333</v>
      </c>
      <c r="BY770" s="343">
        <f>SUMIFS($AU771:AU$1388,$Q771:Q$1388,"S")</f>
        <v>10619.2</v>
      </c>
      <c r="BZ770" s="343">
        <f>SUMIFS($AU771:AU$1388,$Q771:Q$1388,"O")</f>
        <v>-1382.79466666649</v>
      </c>
    </row>
    <row r="771" spans="1:78" ht="15.75" customHeight="1">
      <c r="A771" s="221" t="s">
        <v>3123</v>
      </c>
      <c r="B771" s="177">
        <v>45111</v>
      </c>
      <c r="C771" s="178" t="s">
        <v>1831</v>
      </c>
      <c r="D771" s="178" t="s">
        <v>146</v>
      </c>
      <c r="E771" s="227"/>
      <c r="F771" s="180"/>
      <c r="G771" s="181" t="s">
        <v>3150</v>
      </c>
      <c r="H771" s="182"/>
      <c r="I771" s="182"/>
      <c r="J771" s="182"/>
      <c r="K771" s="183"/>
      <c r="L771" s="182"/>
      <c r="M771" s="182"/>
      <c r="N771" s="182"/>
      <c r="O771" s="183"/>
      <c r="P771" s="183"/>
      <c r="Q771" s="183"/>
      <c r="R771" s="183"/>
      <c r="S771" s="183"/>
      <c r="T771" s="183"/>
      <c r="U771" s="183"/>
      <c r="V771" s="183"/>
      <c r="W771" s="183"/>
      <c r="X771" s="183"/>
      <c r="Y771" s="184"/>
      <c r="Z771" s="185"/>
      <c r="AA771" s="185"/>
      <c r="AB771" s="185"/>
      <c r="AC771" s="185"/>
      <c r="AD771" s="649"/>
      <c r="AE771" s="182"/>
      <c r="AF771" s="332"/>
      <c r="AG771" s="182"/>
      <c r="AH771" s="182"/>
      <c r="AI771" s="182"/>
      <c r="AJ771" s="640"/>
      <c r="AK771" s="182"/>
      <c r="AL771" s="496"/>
      <c r="AM771" s="496"/>
      <c r="AN771" s="626"/>
      <c r="AO771" s="182"/>
      <c r="AP771" s="182"/>
      <c r="AQ771" s="332" t="str">
        <f>UPPER(RIGHT(Journal_Live[[#This Row],[DURATION ]]))</f>
        <v/>
      </c>
      <c r="AR771" s="182"/>
      <c r="AS771" s="189"/>
      <c r="AT771" s="189"/>
      <c r="AU771" s="187"/>
      <c r="AV771" s="190"/>
      <c r="AW771" s="191"/>
      <c r="AX771" s="407" t="s">
        <v>3151</v>
      </c>
      <c r="AY771" s="407"/>
      <c r="AZ771" s="407"/>
      <c r="BA771" s="407"/>
      <c r="BB771" s="407"/>
      <c r="BC771" s="407"/>
      <c r="BD771" s="407"/>
      <c r="BE771" s="407"/>
      <c r="BF771" s="422"/>
      <c r="BG771" s="391">
        <f>SUM($AV$4:AV771)</f>
        <v>4031.7698715729352</v>
      </c>
      <c r="BH771" s="392">
        <f>SUM($AU$134:AU771)</f>
        <v>12392.112000000026</v>
      </c>
      <c r="BI771" s="318">
        <f>SUMIFS($AU$134:AU772,$Q$134:Q772,"F")</f>
        <v>2350.5333333333328</v>
      </c>
      <c r="BJ771" s="318">
        <f>SUMIFS($AU$134:AU772,$Q$134:Q772,"S")</f>
        <v>10052.441999999997</v>
      </c>
      <c r="BK771" s="343">
        <f>SUMIFS($AU$134:AU772,$P$134:P772,"W")</f>
        <v>7595.7419999999365</v>
      </c>
      <c r="BL771" s="343">
        <f>SUMIFS($AU$134:AU772,$P$134:P772,"R")</f>
        <v>4676.6733333333341</v>
      </c>
      <c r="BM771" s="343">
        <f>SUMIFS($AU$134:AU772,$AQ$134:AQ772,"M")</f>
        <v>2253.3999999999814</v>
      </c>
      <c r="BN771" s="343">
        <f>SUMIFS($AU$134:AU772,$AQ$134:AQ772,"H")</f>
        <v>3894.1420000000148</v>
      </c>
      <c r="BO771" s="343">
        <f>SUMIFS($AU$134:AU772,$AQ$134:AQ772,"D")</f>
        <v>2136.346666666715</v>
      </c>
      <c r="BP771" s="343">
        <f>SUMIFS($AU$134:AU774,$AQ$134:AQ774,"W")</f>
        <v>3049.7833333333429</v>
      </c>
      <c r="BQ771" s="343">
        <f>SUMIFS($AU$134:AU772,$Q$134:Q772,"O")</f>
        <v>-266.06333333330844</v>
      </c>
      <c r="BR771" s="343">
        <f>SUMIFS($AU$134:AU772,$AA$134:AA772,"*")</f>
        <v>12509.475333333325</v>
      </c>
      <c r="BS771" s="343">
        <f>SUMIFS($AU$134:AU772,$AB$134:AB772,"*")</f>
        <v>5177.1366666667018</v>
      </c>
      <c r="BT771" s="343">
        <f>SUMIFS($AU$134:AU772,$AC$134:AC772,"*")</f>
        <v>6527.6833333333316</v>
      </c>
      <c r="BU771" s="343">
        <f>SUMIFS($AU$134:AU772,$AA$134:AA772,"*",$AB$134:AB772,"*")</f>
        <v>3362.0000000000045</v>
      </c>
      <c r="BV771" s="343">
        <f>SUMIFS($AU$134:AU772,$AA$134:AA772,"*",$AC$134:AC772,"*")</f>
        <v>7124.7833333333328</v>
      </c>
      <c r="BW771" s="343">
        <f>SUMIFS($AU$134:AU772,$AB$134:AB772,"*",$AC$134:AC772,"*")</f>
        <v>5022.6000000000004</v>
      </c>
      <c r="BX771" s="343">
        <f>SUMIFS($AU772:AU$1388,$Q772:Q$1388,"F")</f>
        <v>12090.133333333333</v>
      </c>
      <c r="BY771" s="343">
        <f>SUMIFS($AU772:AU$1388,$Q772:Q$1388,"S")</f>
        <v>10619.2</v>
      </c>
      <c r="BZ771" s="343">
        <f>SUMIFS($AU772:AU$1388,$Q772:Q$1388,"O")</f>
        <v>-1382.79466666649</v>
      </c>
    </row>
    <row r="772" spans="1:78" ht="15.75" customHeight="1">
      <c r="A772" s="221" t="s">
        <v>3123</v>
      </c>
      <c r="B772" s="177">
        <v>45112</v>
      </c>
      <c r="C772" s="178" t="s">
        <v>3152</v>
      </c>
      <c r="D772" s="178" t="s">
        <v>151</v>
      </c>
      <c r="E772" s="227"/>
      <c r="F772" s="180"/>
      <c r="G772" s="281" t="s">
        <v>3153</v>
      </c>
      <c r="H772" s="182"/>
      <c r="I772" s="182"/>
      <c r="J772" s="182"/>
      <c r="K772" s="183"/>
      <c r="L772" s="182">
        <v>1</v>
      </c>
      <c r="M772" s="182">
        <v>1</v>
      </c>
      <c r="N772" s="182"/>
      <c r="O772" s="183" t="s">
        <v>95</v>
      </c>
      <c r="P772" s="183" t="s">
        <v>137</v>
      </c>
      <c r="Q772" s="183" t="s">
        <v>256</v>
      </c>
      <c r="R772" s="183">
        <v>15</v>
      </c>
      <c r="S772" s="183">
        <v>5</v>
      </c>
      <c r="T772" s="183">
        <v>15</v>
      </c>
      <c r="U772" s="183" t="s">
        <v>22</v>
      </c>
      <c r="V772" s="183"/>
      <c r="W772" s="183"/>
      <c r="X772" s="183"/>
      <c r="Y772" s="184">
        <f>IF(ISBLANK(O772),"",(IF(O772=UPPER("IB"),0.005,0.01)))</f>
        <v>0.01</v>
      </c>
      <c r="Z772" s="185">
        <f>IF(ISBLANK(O772),"",IF(O772="IB",8.63*200,IF(O772="IR",16*100,IF(O772="YT",20*100,IF(O772="YT-XT",24*200,IF(O772="TED",80*100))))))</f>
        <v>1600</v>
      </c>
      <c r="AA772" s="185" t="s">
        <v>3154</v>
      </c>
      <c r="AB772" s="185"/>
      <c r="AC772" s="185" t="s">
        <v>3155</v>
      </c>
      <c r="AD772" s="649">
        <v>-0.06</v>
      </c>
      <c r="AE772" s="182"/>
      <c r="AF772" s="332"/>
      <c r="AG772" s="182"/>
      <c r="AH772" s="182"/>
      <c r="AI772" s="182"/>
      <c r="AJ772" s="640"/>
      <c r="AK772" s="182"/>
      <c r="AL772" s="496">
        <f>-0.025*Z772</f>
        <v>-40</v>
      </c>
      <c r="AM772" s="496">
        <f>AL772*(R772-S772)</f>
        <v>-400</v>
      </c>
      <c r="AN772" s="626"/>
      <c r="AO772" s="182"/>
      <c r="AP772" s="182" t="s">
        <v>897</v>
      </c>
      <c r="AQ772" s="332" t="str">
        <f>UPPER(RIGHT(Journal_Live[[#This Row],[DURATION ]]))</f>
        <v>W</v>
      </c>
      <c r="AR772" s="298">
        <v>45126</v>
      </c>
      <c r="AS772" s="189">
        <f>((-0.06*5)+(-0.06*10))/15</f>
        <v>-5.9999999999999991E-2</v>
      </c>
      <c r="AT772" s="189">
        <f>IF(ISBLANK(AS772),,IF(U772="S",AD772-AS772,AS772-AD772))</f>
        <v>6.9388939039072284E-18</v>
      </c>
      <c r="AU772" s="187">
        <f>AV772*R772</f>
        <v>1.6653345369377348E-13</v>
      </c>
      <c r="AV772" s="190">
        <f>IF(ISBLANK(AS772),,(AT772*Z772))</f>
        <v>1.1102230246251565E-14</v>
      </c>
      <c r="AW772" s="191" t="s">
        <v>115</v>
      </c>
      <c r="AX772" s="407" t="s">
        <v>3156</v>
      </c>
      <c r="AY772" s="407" t="s">
        <v>3157</v>
      </c>
      <c r="AZ772" s="407" t="s">
        <v>3158</v>
      </c>
      <c r="BA772" s="407"/>
      <c r="BB772" s="407"/>
      <c r="BC772" s="407"/>
      <c r="BD772" s="407"/>
      <c r="BE772" s="407"/>
      <c r="BF772" s="422"/>
      <c r="BG772" s="391">
        <f>SUM($AV$4:AV772)</f>
        <v>4031.7698715729352</v>
      </c>
      <c r="BH772" s="392">
        <f>SUM($AU$134:AU772)</f>
        <v>12392.112000000026</v>
      </c>
      <c r="BI772" s="318">
        <f>SUMIFS($AU$134:AU773,$Q$134:Q773,"F")</f>
        <v>2350.5333333333328</v>
      </c>
      <c r="BJ772" s="318">
        <f>SUMIFS($AU$134:AU773,$Q$134:Q773,"S")</f>
        <v>10052.441999999997</v>
      </c>
      <c r="BK772" s="343">
        <f>SUMIFS($AU$134:AU773,$P$134:P773,"W")</f>
        <v>7595.7419999999365</v>
      </c>
      <c r="BL772" s="343">
        <f>SUMIFS($AU$134:AU773,$P$134:P773,"R")</f>
        <v>4676.6733333333341</v>
      </c>
      <c r="BM772" s="343">
        <f>SUMIFS($AU$134:AU773,$AQ$134:AQ773,"M")</f>
        <v>2253.3999999999814</v>
      </c>
      <c r="BN772" s="343">
        <f>SUMIFS($AU$134:AU773,$AQ$134:AQ773,"H")</f>
        <v>3894.1420000000148</v>
      </c>
      <c r="BO772" s="343">
        <f>SUMIFS($AU$134:AU773,$AQ$134:AQ773,"D")</f>
        <v>2136.346666666715</v>
      </c>
      <c r="BP772" s="343">
        <f>SUMIFS($AU$134:AU775,$AQ$134:AQ775,"W")</f>
        <v>3049.7833333333429</v>
      </c>
      <c r="BQ772" s="343">
        <f>SUMIFS($AU$134:AU773,$Q$134:Q773,"O")</f>
        <v>-266.06333333330844</v>
      </c>
      <c r="BR772" s="343">
        <f>SUMIFS($AU$134:AU773,$AA$134:AA773,"*")</f>
        <v>12509.475333333325</v>
      </c>
      <c r="BS772" s="343">
        <f>SUMIFS($AU$134:AU773,$AB$134:AB773,"*")</f>
        <v>5177.1366666667018</v>
      </c>
      <c r="BT772" s="343">
        <f>SUMIFS($AU$134:AU773,$AC$134:AC773,"*")</f>
        <v>6527.6833333333316</v>
      </c>
      <c r="BU772" s="343">
        <f>SUMIFS($AU$134:AU773,$AA$134:AA773,"*",$AB$134:AB773,"*")</f>
        <v>3362.0000000000045</v>
      </c>
      <c r="BV772" s="343">
        <f>SUMIFS($AU$134:AU773,$AA$134:AA773,"*",$AC$134:AC773,"*")</f>
        <v>7124.7833333333328</v>
      </c>
      <c r="BW772" s="343">
        <f>SUMIFS($AU$134:AU773,$AB$134:AB773,"*",$AC$134:AC773,"*")</f>
        <v>5022.6000000000004</v>
      </c>
      <c r="BX772" s="343">
        <f>SUMIFS($AU773:AU$1388,$Q773:Q$1388,"F")</f>
        <v>12090.133333333333</v>
      </c>
      <c r="BY772" s="343">
        <f>SUMIFS($AU773:AU$1388,$Q773:Q$1388,"S")</f>
        <v>10619.2</v>
      </c>
      <c r="BZ772" s="343">
        <f>SUMIFS($AU773:AU$1388,$Q773:Q$1388,"O")</f>
        <v>-1382.79466666649</v>
      </c>
    </row>
    <row r="773" spans="1:78" ht="15.75" customHeight="1">
      <c r="A773" s="221" t="s">
        <v>3123</v>
      </c>
      <c r="B773" s="177">
        <v>45112</v>
      </c>
      <c r="C773" s="178" t="s">
        <v>1810</v>
      </c>
      <c r="D773" s="178" t="s">
        <v>151</v>
      </c>
      <c r="E773" s="227"/>
      <c r="F773" s="180"/>
      <c r="G773" s="181" t="s">
        <v>181</v>
      </c>
      <c r="H773" s="182"/>
      <c r="I773" s="182"/>
      <c r="J773" s="182"/>
      <c r="K773" s="183"/>
      <c r="L773" s="182"/>
      <c r="M773" s="182"/>
      <c r="N773" s="182"/>
      <c r="O773" s="183"/>
      <c r="P773" s="183"/>
      <c r="Q773" s="183"/>
      <c r="R773" s="183"/>
      <c r="S773" s="183"/>
      <c r="T773" s="183"/>
      <c r="U773" s="183"/>
      <c r="V773" s="183"/>
      <c r="W773" s="183"/>
      <c r="X773" s="183"/>
      <c r="Y773" s="184"/>
      <c r="Z773" s="185"/>
      <c r="AA773" s="185"/>
      <c r="AB773" s="185"/>
      <c r="AC773" s="185"/>
      <c r="AD773" s="649"/>
      <c r="AE773" s="182"/>
      <c r="AF773" s="332"/>
      <c r="AG773" s="182"/>
      <c r="AH773" s="182"/>
      <c r="AI773" s="182"/>
      <c r="AJ773" s="640"/>
      <c r="AK773" s="182"/>
      <c r="AL773" s="496"/>
      <c r="AM773" s="496"/>
      <c r="AN773" s="626"/>
      <c r="AO773" s="182"/>
      <c r="AP773" s="182"/>
      <c r="AQ773" s="332" t="str">
        <f>UPPER(RIGHT(Journal_Live[[#This Row],[DURATION ]]))</f>
        <v/>
      </c>
      <c r="AR773" s="182"/>
      <c r="AS773" s="189"/>
      <c r="AT773" s="189"/>
      <c r="AU773" s="187"/>
      <c r="AV773" s="190"/>
      <c r="AW773" s="191"/>
      <c r="AX773" s="407"/>
      <c r="AY773" s="407"/>
      <c r="AZ773" s="407"/>
      <c r="BA773" s="407"/>
      <c r="BB773" s="407"/>
      <c r="BC773" s="407"/>
      <c r="BD773" s="407"/>
      <c r="BE773" s="407"/>
      <c r="BF773" s="422"/>
      <c r="BG773" s="391">
        <f>SUM($AV$4:AV773)</f>
        <v>4031.7698715729352</v>
      </c>
      <c r="BH773" s="392">
        <f>SUM($AU$134:AU773)</f>
        <v>12392.112000000026</v>
      </c>
      <c r="BI773" s="318">
        <f>SUMIFS($AU$134:AU774,$Q$134:Q774,"F")</f>
        <v>2350.5333333333328</v>
      </c>
      <c r="BJ773" s="318">
        <f>SUMIFS($AU$134:AU774,$Q$134:Q774,"S")</f>
        <v>10052.441999999997</v>
      </c>
      <c r="BK773" s="343">
        <f>SUMIFS($AU$134:AU774,$P$134:P774,"W")</f>
        <v>7595.7419999999365</v>
      </c>
      <c r="BL773" s="343">
        <f>SUMIFS($AU$134:AU774,$P$134:P774,"R")</f>
        <v>4676.6733333333341</v>
      </c>
      <c r="BM773" s="343">
        <f>SUMIFS($AU$134:AU774,$AQ$134:AQ774,"M")</f>
        <v>2253.3999999999814</v>
      </c>
      <c r="BN773" s="343">
        <f>SUMIFS($AU$134:AU774,$AQ$134:AQ774,"H")</f>
        <v>3894.1420000000148</v>
      </c>
      <c r="BO773" s="343">
        <f>SUMIFS($AU$134:AU774,$AQ$134:AQ774,"D")</f>
        <v>2136.346666666715</v>
      </c>
      <c r="BP773" s="343">
        <f>SUMIFS($AU$134:AU776,$AQ$134:AQ776,"W")</f>
        <v>3049.7833333333429</v>
      </c>
      <c r="BQ773" s="343">
        <f>SUMIFS($AU$134:AU774,$Q$134:Q774,"O")</f>
        <v>-266.06333333330844</v>
      </c>
      <c r="BR773" s="343">
        <f>SUMIFS($AU$134:AU774,$AA$134:AA774,"*")</f>
        <v>12509.475333333325</v>
      </c>
      <c r="BS773" s="343">
        <f>SUMIFS($AU$134:AU774,$AB$134:AB774,"*")</f>
        <v>5177.1366666667018</v>
      </c>
      <c r="BT773" s="343">
        <f>SUMIFS($AU$134:AU774,$AC$134:AC774,"*")</f>
        <v>6527.6833333333316</v>
      </c>
      <c r="BU773" s="343">
        <f>SUMIFS($AU$134:AU774,$AA$134:AA774,"*",$AB$134:AB774,"*")</f>
        <v>3362.0000000000045</v>
      </c>
      <c r="BV773" s="343">
        <f>SUMIFS($AU$134:AU774,$AA$134:AA774,"*",$AC$134:AC774,"*")</f>
        <v>7124.7833333333328</v>
      </c>
      <c r="BW773" s="343">
        <f>SUMIFS($AU$134:AU774,$AB$134:AB774,"*",$AC$134:AC774,"*")</f>
        <v>5022.6000000000004</v>
      </c>
      <c r="BX773" s="343">
        <f>SUMIFS($AU774:AU$1388,$Q774:Q$1388,"F")</f>
        <v>12090.133333333333</v>
      </c>
      <c r="BY773" s="343">
        <f>SUMIFS($AU774:AU$1388,$Q774:Q$1388,"S")</f>
        <v>10619.2</v>
      </c>
      <c r="BZ773" s="343">
        <f>SUMIFS($AU774:AU$1388,$Q774:Q$1388,"O")</f>
        <v>-1382.79466666649</v>
      </c>
    </row>
    <row r="774" spans="1:78" ht="15.75" customHeight="1">
      <c r="A774" s="221" t="s">
        <v>3123</v>
      </c>
      <c r="B774" s="177">
        <v>45112</v>
      </c>
      <c r="C774" s="178" t="s">
        <v>3159</v>
      </c>
      <c r="D774" s="178" t="s">
        <v>151</v>
      </c>
      <c r="E774" s="227"/>
      <c r="F774" s="180"/>
      <c r="G774" s="181" t="s">
        <v>2016</v>
      </c>
      <c r="H774" s="182"/>
      <c r="I774" s="182"/>
      <c r="J774" s="182"/>
      <c r="K774" s="183"/>
      <c r="L774" s="182"/>
      <c r="M774" s="182"/>
      <c r="N774" s="182"/>
      <c r="O774" s="183"/>
      <c r="P774" s="183"/>
      <c r="Q774" s="183"/>
      <c r="R774" s="183"/>
      <c r="S774" s="183"/>
      <c r="T774" s="183"/>
      <c r="U774" s="183"/>
      <c r="V774" s="183"/>
      <c r="W774" s="183"/>
      <c r="X774" s="183"/>
      <c r="Y774" s="184"/>
      <c r="Z774" s="185"/>
      <c r="AA774" s="185"/>
      <c r="AB774" s="185"/>
      <c r="AC774" s="185"/>
      <c r="AD774" s="649"/>
      <c r="AE774" s="182"/>
      <c r="AF774" s="332"/>
      <c r="AG774" s="182"/>
      <c r="AH774" s="182"/>
      <c r="AI774" s="182"/>
      <c r="AJ774" s="640"/>
      <c r="AK774" s="182"/>
      <c r="AL774" s="496"/>
      <c r="AM774" s="496"/>
      <c r="AN774" s="626"/>
      <c r="AO774" s="182"/>
      <c r="AP774" s="182"/>
      <c r="AQ774" s="332" t="str">
        <f>UPPER(RIGHT(Journal_Live[[#This Row],[DURATION ]]))</f>
        <v/>
      </c>
      <c r="AR774" s="182"/>
      <c r="AS774" s="189"/>
      <c r="AT774" s="189"/>
      <c r="AU774" s="187"/>
      <c r="AV774" s="190"/>
      <c r="AW774" s="191"/>
      <c r="AX774" s="407"/>
      <c r="AY774" s="407"/>
      <c r="AZ774" s="407"/>
      <c r="BA774" s="407"/>
      <c r="BB774" s="407"/>
      <c r="BC774" s="407"/>
      <c r="BD774" s="407"/>
      <c r="BE774" s="407"/>
      <c r="BF774" s="422"/>
      <c r="BG774" s="391">
        <f>SUM($AV$4:AV774)</f>
        <v>4031.7698715729352</v>
      </c>
      <c r="BH774" s="392">
        <f>SUM($AU$134:AU774)</f>
        <v>12392.112000000026</v>
      </c>
      <c r="BI774" s="318">
        <f>SUMIFS($AU$134:AU775,$Q$134:Q775,"F")</f>
        <v>2350.5333333333328</v>
      </c>
      <c r="BJ774" s="318">
        <f>SUMIFS($AU$134:AU775,$Q$134:Q775,"S")</f>
        <v>10052.441999999997</v>
      </c>
      <c r="BK774" s="343">
        <f>SUMIFS($AU$134:AU775,$P$134:P775,"W")</f>
        <v>7595.7419999999365</v>
      </c>
      <c r="BL774" s="343">
        <f>SUMIFS($AU$134:AU775,$P$134:P775,"R")</f>
        <v>4676.6733333333341</v>
      </c>
      <c r="BM774" s="343">
        <f>SUMIFS($AU$134:AU775,$AQ$134:AQ775,"M")</f>
        <v>2253.3999999999814</v>
      </c>
      <c r="BN774" s="343">
        <f>SUMIFS($AU$134:AU775,$AQ$134:AQ775,"H")</f>
        <v>3894.1420000000148</v>
      </c>
      <c r="BO774" s="343">
        <f>SUMIFS($AU$134:AU775,$AQ$134:AQ775,"D")</f>
        <v>2136.346666666715</v>
      </c>
      <c r="BP774" s="343">
        <f>SUMIFS($AU$134:AU777,$AQ$134:AQ777,"W")</f>
        <v>3049.7833333333429</v>
      </c>
      <c r="BQ774" s="343">
        <f>SUMIFS($AU$134:AU775,$Q$134:Q775,"O")</f>
        <v>-266.06333333330844</v>
      </c>
      <c r="BR774" s="343">
        <f>SUMIFS($AU$134:AU775,$AA$134:AA775,"*")</f>
        <v>12509.475333333325</v>
      </c>
      <c r="BS774" s="343">
        <f>SUMIFS($AU$134:AU775,$AB$134:AB775,"*")</f>
        <v>5177.1366666667018</v>
      </c>
      <c r="BT774" s="343">
        <f>SUMIFS($AU$134:AU775,$AC$134:AC775,"*")</f>
        <v>6527.6833333333316</v>
      </c>
      <c r="BU774" s="343">
        <f>SUMIFS($AU$134:AU775,$AA$134:AA775,"*",$AB$134:AB775,"*")</f>
        <v>3362.0000000000045</v>
      </c>
      <c r="BV774" s="343">
        <f>SUMIFS($AU$134:AU775,$AA$134:AA775,"*",$AC$134:AC775,"*")</f>
        <v>7124.7833333333328</v>
      </c>
      <c r="BW774" s="343">
        <f>SUMIFS($AU$134:AU775,$AB$134:AB775,"*",$AC$134:AC775,"*")</f>
        <v>5022.6000000000004</v>
      </c>
      <c r="BX774" s="343">
        <f>SUMIFS($AU775:AU$1388,$Q775:Q$1388,"F")</f>
        <v>12090.133333333333</v>
      </c>
      <c r="BY774" s="343">
        <f>SUMIFS($AU775:AU$1388,$Q775:Q$1388,"S")</f>
        <v>10619.2</v>
      </c>
      <c r="BZ774" s="343">
        <f>SUMIFS($AU775:AU$1388,$Q775:Q$1388,"O")</f>
        <v>-1382.79466666649</v>
      </c>
    </row>
    <row r="775" spans="1:78" ht="15.75" customHeight="1">
      <c r="A775" s="221" t="s">
        <v>3123</v>
      </c>
      <c r="B775" s="177">
        <v>45113</v>
      </c>
      <c r="C775" s="178" t="s">
        <v>2122</v>
      </c>
      <c r="D775" s="178" t="s">
        <v>93</v>
      </c>
      <c r="E775" s="227" t="s">
        <v>3160</v>
      </c>
      <c r="F775" s="180" t="s">
        <v>3161</v>
      </c>
      <c r="G775" s="181"/>
      <c r="H775" s="182">
        <v>1</v>
      </c>
      <c r="I775" s="182"/>
      <c r="J775" s="182"/>
      <c r="K775" s="183" t="s">
        <v>372</v>
      </c>
      <c r="L775" s="182"/>
      <c r="M775" s="182"/>
      <c r="N775" s="182"/>
      <c r="O775" s="183"/>
      <c r="P775" s="183"/>
      <c r="Q775" s="183"/>
      <c r="R775" s="183"/>
      <c r="S775" s="183"/>
      <c r="T775" s="183"/>
      <c r="U775" s="183"/>
      <c r="V775" s="183"/>
      <c r="W775" s="183"/>
      <c r="X775" s="183"/>
      <c r="Y775" s="183"/>
      <c r="Z775" s="185" t="str">
        <f>IF(ISBLANK(O775),"",IF(O775="IB",8.63*200,IF(O775="IR",16*100,IF(O775="YT",20*100,IF(O775="YT-XT",24*200,IF(O775="TED",80*100))))))</f>
        <v/>
      </c>
      <c r="AA775" s="185"/>
      <c r="AB775" s="185"/>
      <c r="AC775" s="185"/>
      <c r="AD775" s="649"/>
      <c r="AE775" s="182"/>
      <c r="AF775" s="332"/>
      <c r="AG775" s="182"/>
      <c r="AH775" s="182"/>
      <c r="AI775" s="182"/>
      <c r="AJ775" s="640"/>
      <c r="AK775" s="182"/>
      <c r="AL775" s="496"/>
      <c r="AM775" s="496"/>
      <c r="AN775" s="626"/>
      <c r="AO775" s="182"/>
      <c r="AP775" s="182"/>
      <c r="AQ775" s="332" t="str">
        <f>UPPER(RIGHT(Journal_Live[[#This Row],[DURATION ]]))</f>
        <v/>
      </c>
      <c r="AR775" s="182"/>
      <c r="AS775" s="189"/>
      <c r="AT775" s="189"/>
      <c r="AU775" s="187"/>
      <c r="AV775" s="190"/>
      <c r="AW775" s="191"/>
      <c r="AX775" s="407" t="s">
        <v>3162</v>
      </c>
      <c r="AY775" s="407" t="s">
        <v>3163</v>
      </c>
      <c r="AZ775" s="407" t="s">
        <v>3164</v>
      </c>
      <c r="BA775" s="407" t="s">
        <v>3165</v>
      </c>
      <c r="BB775" s="407"/>
      <c r="BC775" s="407"/>
      <c r="BD775" s="407"/>
      <c r="BE775" s="407"/>
      <c r="BF775" s="422"/>
      <c r="BG775" s="391">
        <f>SUM($AV$4:AV775)</f>
        <v>4031.7698715729352</v>
      </c>
      <c r="BH775" s="392">
        <f>SUM($AU$134:AU775)</f>
        <v>12392.112000000026</v>
      </c>
      <c r="BI775" s="318">
        <f>SUMIFS($AU$134:AU776,$Q$134:Q776,"F")</f>
        <v>2350.5333333333328</v>
      </c>
      <c r="BJ775" s="318">
        <f>SUMIFS($AU$134:AU776,$Q$134:Q776,"S")</f>
        <v>10052.441999999997</v>
      </c>
      <c r="BK775" s="343">
        <f>SUMIFS($AU$134:AU776,$P$134:P776,"W")</f>
        <v>7595.7419999999365</v>
      </c>
      <c r="BL775" s="343">
        <f>SUMIFS($AU$134:AU776,$P$134:P776,"R")</f>
        <v>4676.6733333333341</v>
      </c>
      <c r="BM775" s="343">
        <f>SUMIFS($AU$134:AU776,$AQ$134:AQ776,"M")</f>
        <v>2253.3999999999814</v>
      </c>
      <c r="BN775" s="343">
        <f>SUMIFS($AU$134:AU776,$AQ$134:AQ776,"H")</f>
        <v>3894.1420000000148</v>
      </c>
      <c r="BO775" s="343">
        <f>SUMIFS($AU$134:AU776,$AQ$134:AQ776,"D")</f>
        <v>2136.346666666715</v>
      </c>
      <c r="BP775" s="343">
        <f>SUMIFS($AU$134:AU778,$AQ$134:AQ778,"W")</f>
        <v>3049.7833333333429</v>
      </c>
      <c r="BQ775" s="343">
        <f>SUMIFS($AU$134:AU776,$Q$134:Q776,"O")</f>
        <v>-266.06333333330844</v>
      </c>
      <c r="BR775" s="343">
        <f>SUMIFS($AU$134:AU776,$AA$134:AA776,"*")</f>
        <v>12509.475333333325</v>
      </c>
      <c r="BS775" s="343">
        <f>SUMIFS($AU$134:AU776,$AB$134:AB776,"*")</f>
        <v>5177.1366666667018</v>
      </c>
      <c r="BT775" s="343">
        <f>SUMIFS($AU$134:AU776,$AC$134:AC776,"*")</f>
        <v>6527.6833333333316</v>
      </c>
      <c r="BU775" s="343">
        <f>SUMIFS($AU$134:AU776,$AA$134:AA776,"*",$AB$134:AB776,"*")</f>
        <v>3362.0000000000045</v>
      </c>
      <c r="BV775" s="343">
        <f>SUMIFS($AU$134:AU776,$AA$134:AA776,"*",$AC$134:AC776,"*")</f>
        <v>7124.7833333333328</v>
      </c>
      <c r="BW775" s="343">
        <f>SUMIFS($AU$134:AU776,$AB$134:AB776,"*",$AC$134:AC776,"*")</f>
        <v>5022.6000000000004</v>
      </c>
      <c r="BX775" s="343">
        <f>SUMIFS($AU776:AU$1388,$Q776:Q$1388,"F")</f>
        <v>12090.133333333333</v>
      </c>
      <c r="BY775" s="343">
        <f>SUMIFS($AU776:AU$1388,$Q776:Q$1388,"S")</f>
        <v>10619.2</v>
      </c>
      <c r="BZ775" s="343">
        <f>SUMIFS($AU776:AU$1388,$Q776:Q$1388,"O")</f>
        <v>-1382.79466666649</v>
      </c>
    </row>
    <row r="776" spans="1:78" ht="15.75" customHeight="1">
      <c r="A776" s="221" t="s">
        <v>3123</v>
      </c>
      <c r="B776" s="177">
        <v>45113</v>
      </c>
      <c r="C776" s="178" t="s">
        <v>682</v>
      </c>
      <c r="D776" s="178" t="s">
        <v>93</v>
      </c>
      <c r="E776" s="227"/>
      <c r="F776" s="180"/>
      <c r="G776" s="181" t="s">
        <v>94</v>
      </c>
      <c r="H776" s="182"/>
      <c r="I776" s="182"/>
      <c r="J776" s="182"/>
      <c r="K776" s="183"/>
      <c r="L776" s="182"/>
      <c r="M776" s="182"/>
      <c r="N776" s="182"/>
      <c r="O776" s="183"/>
      <c r="P776" s="183"/>
      <c r="Q776" s="183"/>
      <c r="R776" s="183"/>
      <c r="S776" s="183"/>
      <c r="T776" s="183"/>
      <c r="U776" s="183"/>
      <c r="V776" s="183"/>
      <c r="W776" s="183"/>
      <c r="X776" s="183"/>
      <c r="Y776" s="184"/>
      <c r="Z776" s="185"/>
      <c r="AA776" s="185"/>
      <c r="AB776" s="185"/>
      <c r="AC776" s="185"/>
      <c r="AD776" s="649"/>
      <c r="AE776" s="182"/>
      <c r="AF776" s="332"/>
      <c r="AG776" s="182"/>
      <c r="AH776" s="182"/>
      <c r="AI776" s="182"/>
      <c r="AJ776" s="640"/>
      <c r="AK776" s="182"/>
      <c r="AL776" s="496"/>
      <c r="AM776" s="496"/>
      <c r="AN776" s="626"/>
      <c r="AO776" s="182"/>
      <c r="AP776" s="182"/>
      <c r="AQ776" s="332" t="str">
        <f>UPPER(RIGHT(Journal_Live[[#This Row],[DURATION ]]))</f>
        <v/>
      </c>
      <c r="AR776" s="182"/>
      <c r="AS776" s="189"/>
      <c r="AT776" s="189"/>
      <c r="AU776" s="187"/>
      <c r="AV776" s="190"/>
      <c r="AW776" s="191"/>
      <c r="AX776" s="407"/>
      <c r="AY776" s="407"/>
      <c r="AZ776" s="407"/>
      <c r="BA776" s="407"/>
      <c r="BB776" s="407"/>
      <c r="BC776" s="407"/>
      <c r="BD776" s="407"/>
      <c r="BE776" s="407"/>
      <c r="BF776" s="422"/>
      <c r="BG776" s="391">
        <f>SUM($AV$4:AV776)</f>
        <v>4031.7698715729352</v>
      </c>
      <c r="BH776" s="392">
        <f>SUM($AU$134:AU776)</f>
        <v>12392.112000000026</v>
      </c>
      <c r="BI776" s="318">
        <f>SUMIFS($AU$134:AU777,$Q$134:Q777,"F")</f>
        <v>2350.5333333333328</v>
      </c>
      <c r="BJ776" s="318">
        <f>SUMIFS($AU$134:AU777,$Q$134:Q777,"S")</f>
        <v>10052.441999999997</v>
      </c>
      <c r="BK776" s="343">
        <f>SUMIFS($AU$134:AU777,$P$134:P777,"W")</f>
        <v>7595.7419999999365</v>
      </c>
      <c r="BL776" s="343">
        <f>SUMIFS($AU$134:AU777,$P$134:P777,"R")</f>
        <v>4676.6733333333341</v>
      </c>
      <c r="BM776" s="343">
        <f>SUMIFS($AU$134:AU777,$AQ$134:AQ777,"M")</f>
        <v>2253.3999999999814</v>
      </c>
      <c r="BN776" s="343">
        <f>SUMIFS($AU$134:AU777,$AQ$134:AQ777,"H")</f>
        <v>3894.1420000000148</v>
      </c>
      <c r="BO776" s="343">
        <f>SUMIFS($AU$134:AU777,$AQ$134:AQ777,"D")</f>
        <v>2136.346666666715</v>
      </c>
      <c r="BP776" s="343">
        <f>SUMIFS($AU$134:AU779,$AQ$134:AQ779,"W")</f>
        <v>3049.7833333333429</v>
      </c>
      <c r="BQ776" s="343">
        <f>SUMIFS($AU$134:AU777,$Q$134:Q777,"O")</f>
        <v>-266.06333333330844</v>
      </c>
      <c r="BR776" s="343">
        <f>SUMIFS($AU$134:AU777,$AA$134:AA777,"*")</f>
        <v>12509.475333333325</v>
      </c>
      <c r="BS776" s="343">
        <f>SUMIFS($AU$134:AU777,$AB$134:AB777,"*")</f>
        <v>5177.1366666667018</v>
      </c>
      <c r="BT776" s="343">
        <f>SUMIFS($AU$134:AU777,$AC$134:AC777,"*")</f>
        <v>6527.6833333333316</v>
      </c>
      <c r="BU776" s="343">
        <f>SUMIFS($AU$134:AU777,$AA$134:AA777,"*",$AB$134:AB777,"*")</f>
        <v>3362.0000000000045</v>
      </c>
      <c r="BV776" s="343">
        <f>SUMIFS($AU$134:AU777,$AA$134:AA777,"*",$AC$134:AC777,"*")</f>
        <v>7124.7833333333328</v>
      </c>
      <c r="BW776" s="343">
        <f>SUMIFS($AU$134:AU777,$AB$134:AB777,"*",$AC$134:AC777,"*")</f>
        <v>5022.6000000000004</v>
      </c>
      <c r="BX776" s="343">
        <f>SUMIFS($AU777:AU$1388,$Q777:Q$1388,"F")</f>
        <v>12090.133333333333</v>
      </c>
      <c r="BY776" s="343">
        <f>SUMIFS($AU777:AU$1388,$Q777:Q$1388,"S")</f>
        <v>10619.2</v>
      </c>
      <c r="BZ776" s="343">
        <f>SUMIFS($AU777:AU$1388,$Q777:Q$1388,"O")</f>
        <v>-1382.79466666649</v>
      </c>
    </row>
    <row r="777" spans="1:78" ht="15.75" customHeight="1">
      <c r="A777" s="221" t="s">
        <v>3123</v>
      </c>
      <c r="B777" s="177">
        <v>45113</v>
      </c>
      <c r="C777" s="178" t="s">
        <v>1714</v>
      </c>
      <c r="D777" s="178" t="s">
        <v>93</v>
      </c>
      <c r="E777" s="227" t="s">
        <v>3166</v>
      </c>
      <c r="F777" s="180"/>
      <c r="G777" s="181"/>
      <c r="H777" s="182"/>
      <c r="I777" s="182"/>
      <c r="J777" s="182">
        <v>1</v>
      </c>
      <c r="K777" s="183" t="s">
        <v>372</v>
      </c>
      <c r="L777" s="182"/>
      <c r="M777" s="182"/>
      <c r="N777" s="182"/>
      <c r="O777" s="183"/>
      <c r="P777" s="183"/>
      <c r="Q777" s="183"/>
      <c r="R777" s="183"/>
      <c r="S777" s="183"/>
      <c r="T777" s="183"/>
      <c r="U777" s="183"/>
      <c r="V777" s="183"/>
      <c r="W777" s="183"/>
      <c r="X777" s="183"/>
      <c r="Y777" s="183"/>
      <c r="Z777" s="185" t="str">
        <f t="shared" ref="Z777:Z783" si="278">IF(ISBLANK(O777),"",IF(O777="IB",8.63*200,IF(O777="IR",16*100,IF(O777="YT",20*100,IF(O777="YT-XT",24*200,IF(O777="TED",80*100))))))</f>
        <v/>
      </c>
      <c r="AA777" s="185"/>
      <c r="AB777" s="185"/>
      <c r="AC777" s="185"/>
      <c r="AD777" s="649"/>
      <c r="AE777" s="182"/>
      <c r="AF777" s="332"/>
      <c r="AG777" s="182"/>
      <c r="AH777" s="182"/>
      <c r="AI777" s="182"/>
      <c r="AJ777" s="640"/>
      <c r="AK777" s="182"/>
      <c r="AL777" s="496"/>
      <c r="AM777" s="496"/>
      <c r="AN777" s="626"/>
      <c r="AO777" s="182"/>
      <c r="AP777" s="182"/>
      <c r="AQ777" s="332" t="str">
        <f>UPPER(RIGHT(Journal_Live[[#This Row],[DURATION ]]))</f>
        <v/>
      </c>
      <c r="AR777" s="182"/>
      <c r="AS777" s="189"/>
      <c r="AT777" s="189"/>
      <c r="AU777" s="187"/>
      <c r="AV777" s="190"/>
      <c r="AW777" s="191"/>
      <c r="AX777" s="407"/>
      <c r="AY777" s="407"/>
      <c r="AZ777" s="407"/>
      <c r="BA777" s="407"/>
      <c r="BB777" s="407"/>
      <c r="BC777" s="407"/>
      <c r="BD777" s="407"/>
      <c r="BE777" s="407"/>
      <c r="BF777" s="422"/>
      <c r="BG777" s="391">
        <f>SUM($AV$4:AV777)</f>
        <v>4031.7698715729352</v>
      </c>
      <c r="BH777" s="392">
        <f>SUM($AU$134:AU777)</f>
        <v>12392.112000000026</v>
      </c>
      <c r="BI777" s="318">
        <f>SUMIFS($AU$134:AU778,$Q$134:Q778,"F")</f>
        <v>2350.5333333333328</v>
      </c>
      <c r="BJ777" s="318">
        <f>SUMIFS($AU$134:AU778,$Q$134:Q778,"S")</f>
        <v>10052.441999999997</v>
      </c>
      <c r="BK777" s="343">
        <f>SUMIFS($AU$134:AU778,$P$134:P778,"W")</f>
        <v>7595.7419999999365</v>
      </c>
      <c r="BL777" s="343">
        <f>SUMIFS($AU$134:AU778,$P$134:P778,"R")</f>
        <v>4676.6733333333341</v>
      </c>
      <c r="BM777" s="343">
        <f>SUMIFS($AU$134:AU778,$AQ$134:AQ778,"M")</f>
        <v>2253.3999999999814</v>
      </c>
      <c r="BN777" s="343">
        <f>SUMIFS($AU$134:AU778,$AQ$134:AQ778,"H")</f>
        <v>3894.1420000000148</v>
      </c>
      <c r="BO777" s="343">
        <f>SUMIFS($AU$134:AU778,$AQ$134:AQ778,"D")</f>
        <v>2136.346666666715</v>
      </c>
      <c r="BP777" s="343">
        <f>SUMIFS($AU$134:AU780,$AQ$134:AQ780,"W")</f>
        <v>3049.7833333333429</v>
      </c>
      <c r="BQ777" s="343">
        <f>SUMIFS($AU$134:AU778,$Q$134:Q778,"O")</f>
        <v>-266.06333333330844</v>
      </c>
      <c r="BR777" s="343">
        <f>SUMIFS($AU$134:AU778,$AA$134:AA778,"*")</f>
        <v>12509.475333333325</v>
      </c>
      <c r="BS777" s="343">
        <f>SUMIFS($AU$134:AU778,$AB$134:AB778,"*")</f>
        <v>5177.1366666667018</v>
      </c>
      <c r="BT777" s="343">
        <f>SUMIFS($AU$134:AU778,$AC$134:AC778,"*")</f>
        <v>6527.6833333333316</v>
      </c>
      <c r="BU777" s="343">
        <f>SUMIFS($AU$134:AU778,$AA$134:AA778,"*",$AB$134:AB778,"*")</f>
        <v>3362.0000000000045</v>
      </c>
      <c r="BV777" s="343">
        <f>SUMIFS($AU$134:AU778,$AA$134:AA778,"*",$AC$134:AC778,"*")</f>
        <v>7124.7833333333328</v>
      </c>
      <c r="BW777" s="343">
        <f>SUMIFS($AU$134:AU778,$AB$134:AB778,"*",$AC$134:AC778,"*")</f>
        <v>5022.6000000000004</v>
      </c>
      <c r="BX777" s="343">
        <f>SUMIFS($AU778:AU$1388,$Q778:Q$1388,"F")</f>
        <v>12090.133333333333</v>
      </c>
      <c r="BY777" s="343">
        <f>SUMIFS($AU778:AU$1388,$Q778:Q$1388,"S")</f>
        <v>10619.2</v>
      </c>
      <c r="BZ777" s="343">
        <f>SUMIFS($AU778:AU$1388,$Q778:Q$1388,"O")</f>
        <v>-1382.79466666649</v>
      </c>
    </row>
    <row r="778" spans="1:78" ht="15.75" customHeight="1">
      <c r="A778" s="221" t="s">
        <v>3123</v>
      </c>
      <c r="B778" s="177">
        <v>45113</v>
      </c>
      <c r="C778" s="178" t="s">
        <v>3167</v>
      </c>
      <c r="D778" s="178" t="s">
        <v>93</v>
      </c>
      <c r="E778" s="227" t="s">
        <v>3168</v>
      </c>
      <c r="F778" s="180"/>
      <c r="G778" s="181"/>
      <c r="H778" s="182">
        <v>1</v>
      </c>
      <c r="I778" s="182"/>
      <c r="J778" s="182"/>
      <c r="K778" s="183" t="s">
        <v>372</v>
      </c>
      <c r="L778" s="182"/>
      <c r="M778" s="182"/>
      <c r="N778" s="182"/>
      <c r="O778" s="183"/>
      <c r="P778" s="183"/>
      <c r="Q778" s="183"/>
      <c r="R778" s="183"/>
      <c r="S778" s="183"/>
      <c r="T778" s="183"/>
      <c r="U778" s="183"/>
      <c r="V778" s="183"/>
      <c r="W778" s="183"/>
      <c r="X778" s="183"/>
      <c r="Y778" s="183"/>
      <c r="Z778" s="185" t="str">
        <f t="shared" si="278"/>
        <v/>
      </c>
      <c r="AA778" s="185"/>
      <c r="AB778" s="185"/>
      <c r="AC778" s="185"/>
      <c r="AD778" s="649"/>
      <c r="AE778" s="182"/>
      <c r="AF778" s="332"/>
      <c r="AG778" s="182"/>
      <c r="AH778" s="182"/>
      <c r="AI778" s="182"/>
      <c r="AJ778" s="640"/>
      <c r="AK778" s="182"/>
      <c r="AL778" s="496"/>
      <c r="AM778" s="496"/>
      <c r="AN778" s="626"/>
      <c r="AO778" s="182"/>
      <c r="AP778" s="182"/>
      <c r="AQ778" s="332" t="str">
        <f>UPPER(RIGHT(Journal_Live[[#This Row],[DURATION ]]))</f>
        <v/>
      </c>
      <c r="AR778" s="182"/>
      <c r="AS778" s="189"/>
      <c r="AT778" s="189"/>
      <c r="AU778" s="187"/>
      <c r="AV778" s="190"/>
      <c r="AW778" s="191"/>
      <c r="AX778" s="407"/>
      <c r="AY778" s="407"/>
      <c r="AZ778" s="407"/>
      <c r="BA778" s="407"/>
      <c r="BB778" s="407"/>
      <c r="BC778" s="407"/>
      <c r="BD778" s="407"/>
      <c r="BE778" s="407"/>
      <c r="BF778" s="422"/>
      <c r="BG778" s="391">
        <f>SUM($AV$4:AV778)</f>
        <v>4031.7698715729352</v>
      </c>
      <c r="BH778" s="392">
        <f>SUM($AU$134:AU778)</f>
        <v>12392.112000000026</v>
      </c>
      <c r="BI778" s="318">
        <f>SUMIFS($AU$134:AU779,$Q$134:Q779,"F")</f>
        <v>2350.5333333333328</v>
      </c>
      <c r="BJ778" s="318">
        <f>SUMIFS($AU$134:AU779,$Q$134:Q779,"S")</f>
        <v>10052.441999999997</v>
      </c>
      <c r="BK778" s="343">
        <f>SUMIFS($AU$134:AU779,$P$134:P779,"W")</f>
        <v>7595.7419999999365</v>
      </c>
      <c r="BL778" s="343">
        <f>SUMIFS($AU$134:AU779,$P$134:P779,"R")</f>
        <v>4676.6733333333341</v>
      </c>
      <c r="BM778" s="343">
        <f>SUMIFS($AU$134:AU779,$AQ$134:AQ779,"M")</f>
        <v>2253.3999999999814</v>
      </c>
      <c r="BN778" s="343">
        <f>SUMIFS($AU$134:AU779,$AQ$134:AQ779,"H")</f>
        <v>3894.1420000000148</v>
      </c>
      <c r="BO778" s="343">
        <f>SUMIFS($AU$134:AU779,$AQ$134:AQ779,"D")</f>
        <v>2136.346666666715</v>
      </c>
      <c r="BP778" s="343">
        <f>SUMIFS($AU$134:AU781,$AQ$134:AQ781,"W")</f>
        <v>3049.7833333333429</v>
      </c>
      <c r="BQ778" s="343">
        <f>SUMIFS($AU$134:AU779,$Q$134:Q779,"O")</f>
        <v>-266.06333333330844</v>
      </c>
      <c r="BR778" s="343">
        <f>SUMIFS($AU$134:AU779,$AA$134:AA779,"*")</f>
        <v>12509.475333333325</v>
      </c>
      <c r="BS778" s="343">
        <f>SUMIFS($AU$134:AU779,$AB$134:AB779,"*")</f>
        <v>5177.1366666667018</v>
      </c>
      <c r="BT778" s="343">
        <f>SUMIFS($AU$134:AU779,$AC$134:AC779,"*")</f>
        <v>6527.6833333333316</v>
      </c>
      <c r="BU778" s="343">
        <f>SUMIFS($AU$134:AU779,$AA$134:AA779,"*",$AB$134:AB779,"*")</f>
        <v>3362.0000000000045</v>
      </c>
      <c r="BV778" s="343">
        <f>SUMIFS($AU$134:AU779,$AA$134:AA779,"*",$AC$134:AC779,"*")</f>
        <v>7124.7833333333328</v>
      </c>
      <c r="BW778" s="343">
        <f>SUMIFS($AU$134:AU779,$AB$134:AB779,"*",$AC$134:AC779,"*")</f>
        <v>5022.6000000000004</v>
      </c>
      <c r="BX778" s="343">
        <f>SUMIFS($AU779:AU$1388,$Q779:Q$1388,"F")</f>
        <v>12090.133333333333</v>
      </c>
      <c r="BY778" s="343">
        <f>SUMIFS($AU779:AU$1388,$Q779:Q$1388,"S")</f>
        <v>10619.2</v>
      </c>
      <c r="BZ778" s="343">
        <f>SUMIFS($AU779:AU$1388,$Q779:Q$1388,"O")</f>
        <v>-1382.79466666649</v>
      </c>
    </row>
    <row r="779" spans="1:78" ht="15.75" customHeight="1">
      <c r="A779" s="221" t="s">
        <v>3123</v>
      </c>
      <c r="B779" s="177">
        <v>45113</v>
      </c>
      <c r="C779" s="178" t="s">
        <v>1187</v>
      </c>
      <c r="D779" s="178" t="s">
        <v>93</v>
      </c>
      <c r="E779" s="227" t="s">
        <v>3169</v>
      </c>
      <c r="F779" s="180" t="s">
        <v>3170</v>
      </c>
      <c r="G779" s="181"/>
      <c r="H779" s="182">
        <v>1</v>
      </c>
      <c r="I779" s="182"/>
      <c r="J779" s="182"/>
      <c r="K779" s="183" t="s">
        <v>372</v>
      </c>
      <c r="L779" s="182"/>
      <c r="M779" s="182"/>
      <c r="N779" s="182"/>
      <c r="O779" s="183"/>
      <c r="P779" s="183"/>
      <c r="Q779" s="183"/>
      <c r="R779" s="183"/>
      <c r="S779" s="183"/>
      <c r="T779" s="183"/>
      <c r="U779" s="183"/>
      <c r="V779" s="183"/>
      <c r="W779" s="183"/>
      <c r="X779" s="183"/>
      <c r="Y779" s="183"/>
      <c r="Z779" s="185" t="str">
        <f t="shared" si="278"/>
        <v/>
      </c>
      <c r="AA779" s="185"/>
      <c r="AB779" s="185"/>
      <c r="AC779" s="185"/>
      <c r="AD779" s="649"/>
      <c r="AE779" s="182"/>
      <c r="AF779" s="332"/>
      <c r="AG779" s="182"/>
      <c r="AH779" s="182"/>
      <c r="AI779" s="182"/>
      <c r="AJ779" s="640"/>
      <c r="AK779" s="182"/>
      <c r="AL779" s="496"/>
      <c r="AM779" s="496"/>
      <c r="AN779" s="626"/>
      <c r="AO779" s="182"/>
      <c r="AP779" s="182"/>
      <c r="AQ779" s="332" t="str">
        <f>UPPER(RIGHT(Journal_Live[[#This Row],[DURATION ]]))</f>
        <v/>
      </c>
      <c r="AR779" s="182"/>
      <c r="AS779" s="189"/>
      <c r="AT779" s="189"/>
      <c r="AU779" s="187"/>
      <c r="AV779" s="190"/>
      <c r="AW779" s="191"/>
      <c r="AX779" s="407"/>
      <c r="AY779" s="407"/>
      <c r="AZ779" s="407"/>
      <c r="BA779" s="407"/>
      <c r="BB779" s="407"/>
      <c r="BC779" s="407"/>
      <c r="BD779" s="407"/>
      <c r="BE779" s="407"/>
      <c r="BF779" s="422"/>
      <c r="BG779" s="391">
        <f>SUM($AV$4:AV779)</f>
        <v>4031.7698715729352</v>
      </c>
      <c r="BH779" s="392">
        <f>SUM($AU$134:AU779)</f>
        <v>12392.112000000026</v>
      </c>
      <c r="BI779" s="318">
        <f>SUMIFS($AU$134:AU780,$Q$134:Q780,"F")</f>
        <v>2350.5333333333328</v>
      </c>
      <c r="BJ779" s="318">
        <f>SUMIFS($AU$134:AU780,$Q$134:Q780,"S")</f>
        <v>10052.441999999997</v>
      </c>
      <c r="BK779" s="343">
        <f>SUMIFS($AU$134:AU780,$P$134:P780,"W")</f>
        <v>7595.7419999999365</v>
      </c>
      <c r="BL779" s="343">
        <f>SUMIFS($AU$134:AU780,$P$134:P780,"R")</f>
        <v>4676.6733333333341</v>
      </c>
      <c r="BM779" s="343">
        <f>SUMIFS($AU$134:AU780,$AQ$134:AQ780,"M")</f>
        <v>2253.3999999999814</v>
      </c>
      <c r="BN779" s="343">
        <f>SUMIFS($AU$134:AU780,$AQ$134:AQ780,"H")</f>
        <v>3894.1420000000148</v>
      </c>
      <c r="BO779" s="343">
        <f>SUMIFS($AU$134:AU780,$AQ$134:AQ780,"D")</f>
        <v>2136.346666666715</v>
      </c>
      <c r="BP779" s="343">
        <f>SUMIFS($AU$134:AU782,$AQ$134:AQ782,"W")</f>
        <v>3049.7833333333429</v>
      </c>
      <c r="BQ779" s="343">
        <f>SUMIFS($AU$134:AU780,$Q$134:Q780,"O")</f>
        <v>-266.06333333330844</v>
      </c>
      <c r="BR779" s="343">
        <f>SUMIFS($AU$134:AU780,$AA$134:AA780,"*")</f>
        <v>12509.475333333325</v>
      </c>
      <c r="BS779" s="343">
        <f>SUMIFS($AU$134:AU780,$AB$134:AB780,"*")</f>
        <v>5177.1366666667018</v>
      </c>
      <c r="BT779" s="343">
        <f>SUMIFS($AU$134:AU780,$AC$134:AC780,"*")</f>
        <v>6527.6833333333316</v>
      </c>
      <c r="BU779" s="343">
        <f>SUMIFS($AU$134:AU780,$AA$134:AA780,"*",$AB$134:AB780,"*")</f>
        <v>3362.0000000000045</v>
      </c>
      <c r="BV779" s="343">
        <f>SUMIFS($AU$134:AU780,$AA$134:AA780,"*",$AC$134:AC780,"*")</f>
        <v>7124.7833333333328</v>
      </c>
      <c r="BW779" s="343">
        <f>SUMIFS($AU$134:AU780,$AB$134:AB780,"*",$AC$134:AC780,"*")</f>
        <v>5022.6000000000004</v>
      </c>
      <c r="BX779" s="343">
        <f>SUMIFS($AU780:AU$1388,$Q780:Q$1388,"F")</f>
        <v>12090.133333333333</v>
      </c>
      <c r="BY779" s="343">
        <f>SUMIFS($AU780:AU$1388,$Q780:Q$1388,"S")</f>
        <v>10619.2</v>
      </c>
      <c r="BZ779" s="343">
        <f>SUMIFS($AU780:AU$1388,$Q780:Q$1388,"O")</f>
        <v>-1382.79466666649</v>
      </c>
    </row>
    <row r="780" spans="1:78" ht="15.75" customHeight="1">
      <c r="A780" s="221" t="s">
        <v>3123</v>
      </c>
      <c r="B780" s="177">
        <v>45113</v>
      </c>
      <c r="C780" s="178" t="s">
        <v>1187</v>
      </c>
      <c r="D780" s="178" t="s">
        <v>93</v>
      </c>
      <c r="E780" s="227" t="s">
        <v>3171</v>
      </c>
      <c r="F780" s="180"/>
      <c r="G780" s="181"/>
      <c r="H780" s="182"/>
      <c r="I780" s="182"/>
      <c r="J780" s="182">
        <v>1</v>
      </c>
      <c r="K780" s="183" t="s">
        <v>115</v>
      </c>
      <c r="L780" s="182"/>
      <c r="M780" s="182"/>
      <c r="N780" s="182"/>
      <c r="O780" s="183"/>
      <c r="P780" s="183"/>
      <c r="Q780" s="183"/>
      <c r="R780" s="183"/>
      <c r="S780" s="183"/>
      <c r="T780" s="183"/>
      <c r="U780" s="183"/>
      <c r="V780" s="183"/>
      <c r="W780" s="183"/>
      <c r="X780" s="183"/>
      <c r="Y780" s="183"/>
      <c r="Z780" s="185" t="str">
        <f t="shared" si="278"/>
        <v/>
      </c>
      <c r="AA780" s="185"/>
      <c r="AB780" s="185"/>
      <c r="AC780" s="185"/>
      <c r="AD780" s="649"/>
      <c r="AE780" s="182"/>
      <c r="AF780" s="332"/>
      <c r="AG780" s="182"/>
      <c r="AH780" s="182"/>
      <c r="AI780" s="182"/>
      <c r="AJ780" s="640"/>
      <c r="AK780" s="182"/>
      <c r="AL780" s="496"/>
      <c r="AM780" s="496"/>
      <c r="AN780" s="626"/>
      <c r="AO780" s="182"/>
      <c r="AP780" s="182"/>
      <c r="AQ780" s="332" t="str">
        <f>UPPER(RIGHT(Journal_Live[[#This Row],[DURATION ]]))</f>
        <v/>
      </c>
      <c r="AR780" s="182"/>
      <c r="AS780" s="189"/>
      <c r="AT780" s="189"/>
      <c r="AU780" s="187"/>
      <c r="AV780" s="190"/>
      <c r="AW780" s="191"/>
      <c r="AX780" s="407"/>
      <c r="AY780" s="407" t="s">
        <v>3172</v>
      </c>
      <c r="AZ780" s="407"/>
      <c r="BA780" s="407"/>
      <c r="BB780" s="407"/>
      <c r="BC780" s="407"/>
      <c r="BD780" s="407"/>
      <c r="BE780" s="407"/>
      <c r="BF780" s="422"/>
      <c r="BG780" s="391">
        <f>SUM($AV$4:AV780)</f>
        <v>4031.7698715729352</v>
      </c>
      <c r="BH780" s="392">
        <f>SUM($AU$134:AU780)</f>
        <v>12392.112000000026</v>
      </c>
      <c r="BI780" s="318">
        <f>SUMIFS($AU$134:AU781,$Q$134:Q781,"F")</f>
        <v>2350.5333333333328</v>
      </c>
      <c r="BJ780" s="318">
        <f>SUMIFS($AU$134:AU781,$Q$134:Q781,"S")</f>
        <v>10100.441999999999</v>
      </c>
      <c r="BK780" s="343">
        <f>SUMIFS($AU$134:AU781,$P$134:P781,"W")</f>
        <v>7595.7419999999365</v>
      </c>
      <c r="BL780" s="343">
        <f>SUMIFS($AU$134:AU781,$P$134:P781,"R")</f>
        <v>4724.673333333335</v>
      </c>
      <c r="BM780" s="343">
        <f>SUMIFS($AU$134:AU781,$AQ$134:AQ781,"M")</f>
        <v>2253.3999999999814</v>
      </c>
      <c r="BN780" s="343">
        <f>SUMIFS($AU$134:AU781,$AQ$134:AQ781,"H")</f>
        <v>3942.1420000000157</v>
      </c>
      <c r="BO780" s="343">
        <f>SUMIFS($AU$134:AU781,$AQ$134:AQ781,"D")</f>
        <v>2136.346666666715</v>
      </c>
      <c r="BP780" s="343">
        <f>SUMIFS($AU$134:AU783,$AQ$134:AQ783,"W")</f>
        <v>3049.7833333333429</v>
      </c>
      <c r="BQ780" s="343">
        <f>SUMIFS($AU$134:AU781,$Q$134:Q781,"O")</f>
        <v>-266.06333333330844</v>
      </c>
      <c r="BR780" s="343">
        <f>SUMIFS($AU$134:AU781,$AA$134:AA781,"*")</f>
        <v>12557.475333333326</v>
      </c>
      <c r="BS780" s="343">
        <f>SUMIFS($AU$134:AU781,$AB$134:AB781,"*")</f>
        <v>5177.1366666667018</v>
      </c>
      <c r="BT780" s="343">
        <f>SUMIFS($AU$134:AU781,$AC$134:AC781,"*")</f>
        <v>6527.6833333333316</v>
      </c>
      <c r="BU780" s="343">
        <f>SUMIFS($AU$134:AU781,$AA$134:AA781,"*",$AB$134:AB781,"*")</f>
        <v>3362.0000000000045</v>
      </c>
      <c r="BV780" s="343">
        <f>SUMIFS($AU$134:AU781,$AA$134:AA781,"*",$AC$134:AC781,"*")</f>
        <v>7124.7833333333328</v>
      </c>
      <c r="BW780" s="343">
        <f>SUMIFS($AU$134:AU781,$AB$134:AB781,"*",$AC$134:AC781,"*")</f>
        <v>5022.6000000000004</v>
      </c>
      <c r="BX780" s="343">
        <f>SUMIFS($AU781:AU$1388,$Q781:Q$1388,"F")</f>
        <v>12090.133333333333</v>
      </c>
      <c r="BY780" s="343">
        <f>SUMIFS($AU781:AU$1388,$Q781:Q$1388,"S")</f>
        <v>10619.2</v>
      </c>
      <c r="BZ780" s="343">
        <f>SUMIFS($AU781:AU$1388,$Q781:Q$1388,"O")</f>
        <v>-1382.79466666649</v>
      </c>
    </row>
    <row r="781" spans="1:78" ht="15.75" customHeight="1">
      <c r="A781" s="221" t="s">
        <v>3123</v>
      </c>
      <c r="B781" s="177">
        <v>45113</v>
      </c>
      <c r="C781" s="178" t="s">
        <v>682</v>
      </c>
      <c r="D781" s="178" t="s">
        <v>93</v>
      </c>
      <c r="E781" s="227"/>
      <c r="F781" s="180"/>
      <c r="G781" s="281" t="s">
        <v>94</v>
      </c>
      <c r="H781" s="182"/>
      <c r="I781" s="182"/>
      <c r="J781" s="182"/>
      <c r="K781" s="183"/>
      <c r="L781" s="182">
        <v>1</v>
      </c>
      <c r="M781" s="182"/>
      <c r="N781" s="182"/>
      <c r="O781" s="183" t="s">
        <v>95</v>
      </c>
      <c r="P781" s="183" t="s">
        <v>137</v>
      </c>
      <c r="Q781" s="183" t="s">
        <v>97</v>
      </c>
      <c r="R781" s="183">
        <v>12</v>
      </c>
      <c r="S781" s="183">
        <v>7</v>
      </c>
      <c r="T781" s="183">
        <v>7</v>
      </c>
      <c r="U781" s="183" t="s">
        <v>97</v>
      </c>
      <c r="V781" s="183"/>
      <c r="W781" s="183"/>
      <c r="X781" s="183"/>
      <c r="Y781" s="184">
        <f>IF(ISBLANK(O781),"",(IF(O781=UPPER("IB"),0.005,0.01)))</f>
        <v>0.01</v>
      </c>
      <c r="Z781" s="185">
        <f t="shared" si="278"/>
        <v>1600</v>
      </c>
      <c r="AA781" s="185" t="s">
        <v>99</v>
      </c>
      <c r="AB781" s="185"/>
      <c r="AC781" s="185"/>
      <c r="AD781" s="649">
        <f>(0.27*5+0.3*7)/12</f>
        <v>0.28750000000000003</v>
      </c>
      <c r="AE781" s="182"/>
      <c r="AF781" s="332"/>
      <c r="AG781" s="182"/>
      <c r="AH781" s="182"/>
      <c r="AI781" s="182"/>
      <c r="AJ781" s="640"/>
      <c r="AK781" s="182"/>
      <c r="AL781" s="496">
        <f>-0.04*Z781</f>
        <v>-64</v>
      </c>
      <c r="AM781" s="496">
        <f>AL781*(R781-S781)</f>
        <v>-320</v>
      </c>
      <c r="AN781" s="626"/>
      <c r="AO781" s="182"/>
      <c r="AP781" s="182" t="s">
        <v>3173</v>
      </c>
      <c r="AQ781" s="332" t="str">
        <f>UPPER(RIGHT(Journal_Live[[#This Row],[DURATION ]]))</f>
        <v>H</v>
      </c>
      <c r="AR781" s="182" t="s">
        <v>3174</v>
      </c>
      <c r="AS781" s="189">
        <f>(0.29*6+0.28*1+0.28*5)/12</f>
        <v>0.28499999999999998</v>
      </c>
      <c r="AT781" s="189">
        <f>IF(ISBLANK(AS781),,IF(U781="S",AD781-AS781,AS781-AD781))</f>
        <v>2.5000000000000577E-3</v>
      </c>
      <c r="AU781" s="187">
        <f>AV781*R781</f>
        <v>48.000000000001108</v>
      </c>
      <c r="AV781" s="190">
        <f>IF(ISBLANK(AS781),,(AT781*Z781))</f>
        <v>4.0000000000000924</v>
      </c>
      <c r="AW781" s="191" t="s">
        <v>96</v>
      </c>
      <c r="AX781" s="407" t="s">
        <v>3011</v>
      </c>
      <c r="AY781" s="407" t="s">
        <v>3175</v>
      </c>
      <c r="AZ781" s="407" t="s">
        <v>3176</v>
      </c>
      <c r="BA781" s="407" t="s">
        <v>3177</v>
      </c>
      <c r="BB781" s="407" t="s">
        <v>3178</v>
      </c>
      <c r="BC781" s="407" t="s">
        <v>3179</v>
      </c>
      <c r="BD781" s="407"/>
      <c r="BE781" s="407"/>
      <c r="BF781" s="422"/>
      <c r="BG781" s="391">
        <f>SUM($AV$4:AV781)</f>
        <v>4035.7698715729352</v>
      </c>
      <c r="BH781" s="392">
        <f>SUM($AU$134:AU781)</f>
        <v>12440.112000000028</v>
      </c>
      <c r="BI781" s="318">
        <f>SUMIFS($AU$134:AU782,$Q$134:Q782,"F")</f>
        <v>2350.5333333333328</v>
      </c>
      <c r="BJ781" s="318">
        <f>SUMIFS($AU$134:AU782,$Q$134:Q782,"S")</f>
        <v>10100.441999999999</v>
      </c>
      <c r="BK781" s="343">
        <f>SUMIFS($AU$134:AU782,$P$134:P782,"W")</f>
        <v>7595.7419999999365</v>
      </c>
      <c r="BL781" s="343">
        <f>SUMIFS($AU$134:AU782,$P$134:P782,"R")</f>
        <v>4724.673333333335</v>
      </c>
      <c r="BM781" s="343">
        <f>SUMIFS($AU$134:AU782,$AQ$134:AQ782,"M")</f>
        <v>2253.3999999999814</v>
      </c>
      <c r="BN781" s="343">
        <f>SUMIFS($AU$134:AU782,$AQ$134:AQ782,"H")</f>
        <v>3942.1420000000157</v>
      </c>
      <c r="BO781" s="343">
        <f>SUMIFS($AU$134:AU782,$AQ$134:AQ782,"D")</f>
        <v>2136.346666666715</v>
      </c>
      <c r="BP781" s="343">
        <f>SUMIFS($AU$134:AU784,$AQ$134:AQ784,"W")</f>
        <v>3049.7833333333429</v>
      </c>
      <c r="BQ781" s="343">
        <f>SUMIFS($AU$134:AU782,$Q$134:Q782,"O")</f>
        <v>-266.06333333330844</v>
      </c>
      <c r="BR781" s="343">
        <f>SUMIFS($AU$134:AU782,$AA$134:AA782,"*")</f>
        <v>12557.475333333326</v>
      </c>
      <c r="BS781" s="343">
        <f>SUMIFS($AU$134:AU782,$AB$134:AB782,"*")</f>
        <v>5177.1366666667018</v>
      </c>
      <c r="BT781" s="343">
        <f>SUMIFS($AU$134:AU782,$AC$134:AC782,"*")</f>
        <v>6527.6833333333316</v>
      </c>
      <c r="BU781" s="343">
        <f>SUMIFS($AU$134:AU782,$AA$134:AA782,"*",$AB$134:AB782,"*")</f>
        <v>3362.0000000000045</v>
      </c>
      <c r="BV781" s="343">
        <f>SUMIFS($AU$134:AU782,$AA$134:AA782,"*",$AC$134:AC782,"*")</f>
        <v>7124.7833333333328</v>
      </c>
      <c r="BW781" s="343">
        <f>SUMIFS($AU$134:AU782,$AB$134:AB782,"*",$AC$134:AC782,"*")</f>
        <v>5022.6000000000004</v>
      </c>
      <c r="BX781" s="343">
        <f>SUMIFS($AU782:AU$1388,$Q782:Q$1388,"F")</f>
        <v>12090.133333333333</v>
      </c>
      <c r="BY781" s="343">
        <f>SUMIFS($AU782:AU$1388,$Q782:Q$1388,"S")</f>
        <v>10571.2</v>
      </c>
      <c r="BZ781" s="343">
        <f>SUMIFS($AU782:AU$1388,$Q782:Q$1388,"O")</f>
        <v>-1382.79466666649</v>
      </c>
    </row>
    <row r="782" spans="1:78" ht="15.75" customHeight="1">
      <c r="A782" s="221" t="s">
        <v>3123</v>
      </c>
      <c r="B782" s="177">
        <v>45113</v>
      </c>
      <c r="C782" s="178" t="s">
        <v>3180</v>
      </c>
      <c r="D782" s="178" t="s">
        <v>93</v>
      </c>
      <c r="E782" s="227"/>
      <c r="F782" s="180"/>
      <c r="G782" s="181" t="s">
        <v>136</v>
      </c>
      <c r="H782" s="182"/>
      <c r="I782" s="182"/>
      <c r="J782" s="182"/>
      <c r="K782" s="183"/>
      <c r="L782" s="182"/>
      <c r="M782" s="182"/>
      <c r="N782" s="182"/>
      <c r="O782" s="183"/>
      <c r="P782" s="183"/>
      <c r="Q782" s="183"/>
      <c r="R782" s="183"/>
      <c r="S782" s="183"/>
      <c r="T782" s="183"/>
      <c r="U782" s="183"/>
      <c r="V782" s="183"/>
      <c r="W782" s="183"/>
      <c r="X782" s="183"/>
      <c r="Y782" s="184" t="str">
        <f>IF(ISBLANK(O782),"",(IF(O782=UPPER("IB"),0.005,0.01)))</f>
        <v/>
      </c>
      <c r="Z782" s="185" t="str">
        <f t="shared" si="278"/>
        <v/>
      </c>
      <c r="AA782" s="185"/>
      <c r="AB782" s="185"/>
      <c r="AC782" s="185"/>
      <c r="AD782" s="649"/>
      <c r="AE782" s="182"/>
      <c r="AF782" s="332"/>
      <c r="AG782" s="182"/>
      <c r="AH782" s="182"/>
      <c r="AI782" s="182"/>
      <c r="AJ782" s="640"/>
      <c r="AK782" s="182"/>
      <c r="AL782" s="496"/>
      <c r="AM782" s="496"/>
      <c r="AN782" s="626"/>
      <c r="AO782" s="182"/>
      <c r="AP782" s="182"/>
      <c r="AQ782" s="332" t="str">
        <f>UPPER(RIGHT(Journal_Live[[#This Row],[DURATION ]]))</f>
        <v/>
      </c>
      <c r="AR782" s="182"/>
      <c r="AS782" s="189"/>
      <c r="AT782" s="189">
        <f>IF(ISBLANK(AS782),,IF(U782="S",AD782-AS782,AS782-AD782))</f>
        <v>0</v>
      </c>
      <c r="AU782" s="187">
        <f>AV782*R782</f>
        <v>0</v>
      </c>
      <c r="AV782" s="190">
        <f>IF(ISBLANK(AS782),,(AT782*Z782))</f>
        <v>0</v>
      </c>
      <c r="AW782" s="191"/>
      <c r="AX782" s="407"/>
      <c r="AY782" s="407"/>
      <c r="AZ782" s="407"/>
      <c r="BA782" s="407"/>
      <c r="BB782" s="407"/>
      <c r="BC782" s="407"/>
      <c r="BD782" s="407"/>
      <c r="BE782" s="407"/>
      <c r="BF782" s="422"/>
      <c r="BG782" s="391">
        <f>SUM($AV$4:AV782)</f>
        <v>4035.7698715729352</v>
      </c>
      <c r="BH782" s="392">
        <f>SUM($AU$134:AU782)</f>
        <v>12440.112000000028</v>
      </c>
      <c r="BI782" s="318">
        <f>SUMIFS($AU$134:AU783,$Q$134:Q783,"F")</f>
        <v>2350.5333333333328</v>
      </c>
      <c r="BJ782" s="318">
        <f>SUMIFS($AU$134:AU783,$Q$134:Q783,"S")</f>
        <v>10132.441999999999</v>
      </c>
      <c r="BK782" s="343">
        <f>SUMIFS($AU$134:AU783,$P$134:P783,"W")</f>
        <v>7595.7419999999365</v>
      </c>
      <c r="BL782" s="343">
        <f>SUMIFS($AU$134:AU783,$P$134:P783,"R")</f>
        <v>4756.673333333335</v>
      </c>
      <c r="BM782" s="343">
        <f>SUMIFS($AU$134:AU783,$AQ$134:AQ783,"M")</f>
        <v>2253.3999999999814</v>
      </c>
      <c r="BN782" s="343">
        <f>SUMIFS($AU$134:AU783,$AQ$134:AQ783,"H")</f>
        <v>3974.1420000000157</v>
      </c>
      <c r="BO782" s="343">
        <f>SUMIFS($AU$134:AU783,$AQ$134:AQ783,"D")</f>
        <v>2136.346666666715</v>
      </c>
      <c r="BP782" s="343">
        <f>SUMIFS($AU$134:AU785,$AQ$134:AQ785,"W")</f>
        <v>3049.7833333333429</v>
      </c>
      <c r="BQ782" s="343">
        <f>SUMIFS($AU$134:AU783,$Q$134:Q783,"O")</f>
        <v>-266.06333333330844</v>
      </c>
      <c r="BR782" s="343">
        <f>SUMIFS($AU$134:AU783,$AA$134:AA783,"*")</f>
        <v>12589.475333333326</v>
      </c>
      <c r="BS782" s="343">
        <f>SUMIFS($AU$134:AU783,$AB$134:AB783,"*")</f>
        <v>5177.1366666667018</v>
      </c>
      <c r="BT782" s="343">
        <f>SUMIFS($AU$134:AU783,$AC$134:AC783,"*")</f>
        <v>6559.6833333333316</v>
      </c>
      <c r="BU782" s="343">
        <f>SUMIFS($AU$134:AU783,$AA$134:AA783,"*",$AB$134:AB783,"*")</f>
        <v>3362.0000000000045</v>
      </c>
      <c r="BV782" s="343">
        <f>SUMIFS($AU$134:AU783,$AA$134:AA783,"*",$AC$134:AC783,"*")</f>
        <v>7156.7833333333328</v>
      </c>
      <c r="BW782" s="343">
        <f>SUMIFS($AU$134:AU783,$AB$134:AB783,"*",$AC$134:AC783,"*")</f>
        <v>5022.6000000000004</v>
      </c>
      <c r="BX782" s="343">
        <f>SUMIFS($AU783:AU$1388,$Q783:Q$1388,"F")</f>
        <v>12090.133333333333</v>
      </c>
      <c r="BY782" s="343">
        <f>SUMIFS($AU783:AU$1388,$Q783:Q$1388,"S")</f>
        <v>10571.2</v>
      </c>
      <c r="BZ782" s="343">
        <f>SUMIFS($AU783:AU$1388,$Q783:Q$1388,"O")</f>
        <v>-1382.79466666649</v>
      </c>
    </row>
    <row r="783" spans="1:78" ht="15.75" customHeight="1">
      <c r="A783" s="221" t="s">
        <v>3123</v>
      </c>
      <c r="B783" s="177">
        <v>45113</v>
      </c>
      <c r="C783" s="178" t="s">
        <v>2324</v>
      </c>
      <c r="D783" s="178" t="s">
        <v>93</v>
      </c>
      <c r="E783" s="227"/>
      <c r="F783" s="180"/>
      <c r="G783" s="181" t="s">
        <v>2070</v>
      </c>
      <c r="H783" s="182"/>
      <c r="I783" s="182"/>
      <c r="J783" s="182"/>
      <c r="K783" s="183"/>
      <c r="L783" s="182">
        <v>1</v>
      </c>
      <c r="M783" s="182"/>
      <c r="N783" s="182"/>
      <c r="O783" s="183" t="s">
        <v>95</v>
      </c>
      <c r="P783" s="183" t="s">
        <v>137</v>
      </c>
      <c r="Q783" s="183" t="s">
        <v>97</v>
      </c>
      <c r="R783" s="183">
        <v>1</v>
      </c>
      <c r="S783" s="183"/>
      <c r="T783" s="183">
        <v>1</v>
      </c>
      <c r="U783" s="183" t="s">
        <v>97</v>
      </c>
      <c r="V783" s="183"/>
      <c r="W783" s="183"/>
      <c r="X783" s="183"/>
      <c r="Y783" s="184">
        <f>IF(ISBLANK(O783),"",(IF(O783=UPPER("IB"),0.005,0.01)))</f>
        <v>0.01</v>
      </c>
      <c r="Z783" s="185">
        <f t="shared" si="278"/>
        <v>1600</v>
      </c>
      <c r="AA783" s="185" t="s">
        <v>99</v>
      </c>
      <c r="AB783" s="185"/>
      <c r="AC783" s="185" t="s">
        <v>3181</v>
      </c>
      <c r="AD783" s="649">
        <v>-0.14000000000000001</v>
      </c>
      <c r="AE783" s="182"/>
      <c r="AF783" s="332"/>
      <c r="AG783" s="182"/>
      <c r="AH783" s="182"/>
      <c r="AI783" s="182"/>
      <c r="AJ783" s="640"/>
      <c r="AK783" s="182"/>
      <c r="AL783" s="496"/>
      <c r="AM783" s="496"/>
      <c r="AN783" s="626"/>
      <c r="AO783" s="182"/>
      <c r="AP783" s="182" t="s">
        <v>1017</v>
      </c>
      <c r="AQ783" s="332" t="str">
        <f>UPPER(RIGHT(Journal_Live[[#This Row],[DURATION ]]))</f>
        <v>H</v>
      </c>
      <c r="AR783" s="182" t="s">
        <v>3182</v>
      </c>
      <c r="AS783" s="189">
        <v>-0.16</v>
      </c>
      <c r="AT783" s="189">
        <f>IF(ISBLANK(AS783),,IF(U783="S",AD783-AS783,AS783-AD783))</f>
        <v>1.999999999999999E-2</v>
      </c>
      <c r="AU783" s="187">
        <f>AV783*R783</f>
        <v>31.999999999999986</v>
      </c>
      <c r="AV783" s="190">
        <f>IF(ISBLANK(AS783),,(AT783*Z783))</f>
        <v>31.999999999999986</v>
      </c>
      <c r="AW783" s="191" t="s">
        <v>96</v>
      </c>
      <c r="AX783" s="407"/>
      <c r="AY783" s="407"/>
      <c r="AZ783" s="407"/>
      <c r="BA783" s="407"/>
      <c r="BB783" s="407"/>
      <c r="BC783" s="407"/>
      <c r="BD783" s="407"/>
      <c r="BE783" s="407"/>
      <c r="BF783" s="422"/>
      <c r="BG783" s="391">
        <f>SUM($AV$4:AV783)</f>
        <v>4067.7698715729352</v>
      </c>
      <c r="BH783" s="392">
        <f>SUM($AU$134:AU783)</f>
        <v>12472.112000000028</v>
      </c>
      <c r="BI783" s="318">
        <f>SUMIFS($AU$134:AU784,$Q$134:Q784,"F")</f>
        <v>2350.5333333333328</v>
      </c>
      <c r="BJ783" s="318">
        <f>SUMIFS($AU$134:AU784,$Q$134:Q784,"S")</f>
        <v>10132.441999999999</v>
      </c>
      <c r="BK783" s="343">
        <f>SUMIFS($AU$134:AU784,$P$134:P784,"W")</f>
        <v>7595.7419999999365</v>
      </c>
      <c r="BL783" s="343">
        <f>SUMIFS($AU$134:AU784,$P$134:P784,"R")</f>
        <v>4756.673333333335</v>
      </c>
      <c r="BM783" s="343">
        <f>SUMIFS($AU$134:AU784,$AQ$134:AQ784,"M")</f>
        <v>2253.3999999999814</v>
      </c>
      <c r="BN783" s="343">
        <f>SUMIFS($AU$134:AU784,$AQ$134:AQ784,"H")</f>
        <v>3974.1420000000157</v>
      </c>
      <c r="BO783" s="343">
        <f>SUMIFS($AU$134:AU784,$AQ$134:AQ784,"D")</f>
        <v>2136.346666666715</v>
      </c>
      <c r="BP783" s="343">
        <f>SUMIFS($AU$134:AU786,$AQ$134:AQ786,"W")</f>
        <v>3049.7833333333429</v>
      </c>
      <c r="BQ783" s="343">
        <f>SUMIFS($AU$134:AU784,$Q$134:Q784,"O")</f>
        <v>-266.06333333330844</v>
      </c>
      <c r="BR783" s="343">
        <f>SUMIFS($AU$134:AU784,$AA$134:AA784,"*")</f>
        <v>12589.475333333326</v>
      </c>
      <c r="BS783" s="343">
        <f>SUMIFS($AU$134:AU784,$AB$134:AB784,"*")</f>
        <v>5177.1366666667018</v>
      </c>
      <c r="BT783" s="343">
        <f>SUMIFS($AU$134:AU784,$AC$134:AC784,"*")</f>
        <v>6559.6833333333316</v>
      </c>
      <c r="BU783" s="343">
        <f>SUMIFS($AU$134:AU784,$AA$134:AA784,"*",$AB$134:AB784,"*")</f>
        <v>3362.0000000000045</v>
      </c>
      <c r="BV783" s="343">
        <f>SUMIFS($AU$134:AU784,$AA$134:AA784,"*",$AC$134:AC784,"*")</f>
        <v>7156.7833333333328</v>
      </c>
      <c r="BW783" s="343">
        <f>SUMIFS($AU$134:AU784,$AB$134:AB784,"*",$AC$134:AC784,"*")</f>
        <v>5022.6000000000004</v>
      </c>
      <c r="BX783" s="343">
        <f>SUMIFS($AU784:AU$1388,$Q784:Q$1388,"F")</f>
        <v>12090.133333333333</v>
      </c>
      <c r="BY783" s="343">
        <f>SUMIFS($AU784:AU$1388,$Q784:Q$1388,"S")</f>
        <v>10539.2</v>
      </c>
      <c r="BZ783" s="343">
        <f>SUMIFS($AU784:AU$1388,$Q784:Q$1388,"O")</f>
        <v>-1382.79466666649</v>
      </c>
    </row>
    <row r="784" spans="1:78" ht="15.75" customHeight="1">
      <c r="A784" s="221" t="s">
        <v>3123</v>
      </c>
      <c r="B784" s="177">
        <v>45114</v>
      </c>
      <c r="C784" s="178" t="s">
        <v>3183</v>
      </c>
      <c r="D784" s="178" t="s">
        <v>111</v>
      </c>
      <c r="E784" s="227"/>
      <c r="F784" s="180"/>
      <c r="G784" s="181" t="s">
        <v>3184</v>
      </c>
      <c r="H784" s="182"/>
      <c r="I784" s="182"/>
      <c r="J784" s="182"/>
      <c r="K784" s="183"/>
      <c r="L784" s="182"/>
      <c r="M784" s="182"/>
      <c r="N784" s="182"/>
      <c r="O784" s="183"/>
      <c r="P784" s="183"/>
      <c r="Q784" s="183"/>
      <c r="R784" s="183"/>
      <c r="S784" s="183"/>
      <c r="T784" s="183"/>
      <c r="U784" s="183"/>
      <c r="V784" s="183"/>
      <c r="W784" s="183"/>
      <c r="X784" s="183"/>
      <c r="Y784" s="184"/>
      <c r="Z784" s="185"/>
      <c r="AA784" s="185"/>
      <c r="AB784" s="185"/>
      <c r="AC784" s="185"/>
      <c r="AD784" s="649"/>
      <c r="AE784" s="182"/>
      <c r="AF784" s="332"/>
      <c r="AG784" s="182"/>
      <c r="AH784" s="182"/>
      <c r="AI784" s="182"/>
      <c r="AJ784" s="640"/>
      <c r="AK784" s="182"/>
      <c r="AL784" s="496"/>
      <c r="AM784" s="496"/>
      <c r="AN784" s="626"/>
      <c r="AO784" s="182"/>
      <c r="AP784" s="182"/>
      <c r="AQ784" s="332" t="str">
        <f>UPPER(RIGHT(Journal_Live[[#This Row],[DURATION ]]))</f>
        <v/>
      </c>
      <c r="AR784" s="182"/>
      <c r="AS784" s="189"/>
      <c r="AT784" s="189"/>
      <c r="AU784" s="187"/>
      <c r="AV784" s="190"/>
      <c r="AW784" s="191"/>
      <c r="AX784" s="407" t="s">
        <v>372</v>
      </c>
      <c r="AY784" s="407" t="s">
        <v>3185</v>
      </c>
      <c r="AZ784" s="407"/>
      <c r="BA784" s="407"/>
      <c r="BB784" s="407"/>
      <c r="BC784" s="407"/>
      <c r="BD784" s="407"/>
      <c r="BE784" s="407"/>
      <c r="BF784" s="422"/>
      <c r="BG784" s="391">
        <f>SUM($AV$4:AV784)</f>
        <v>4067.7698715729352</v>
      </c>
      <c r="BH784" s="392">
        <f>SUM($AU$134:AU784)</f>
        <v>12472.112000000028</v>
      </c>
      <c r="BI784" s="318">
        <f>SUMIFS($AU$134:AU785,$Q$134:Q785,"F")</f>
        <v>2350.5333333333328</v>
      </c>
      <c r="BJ784" s="318">
        <f>SUMIFS($AU$134:AU785,$Q$134:Q785,"S")</f>
        <v>10132.441999999999</v>
      </c>
      <c r="BK784" s="343">
        <f>SUMIFS($AU$134:AU785,$P$134:P785,"W")</f>
        <v>7595.7419999999365</v>
      </c>
      <c r="BL784" s="343">
        <f>SUMIFS($AU$134:AU785,$P$134:P785,"R")</f>
        <v>4756.673333333335</v>
      </c>
      <c r="BM784" s="343">
        <f>SUMIFS($AU$134:AU785,$AQ$134:AQ785,"M")</f>
        <v>2253.3999999999814</v>
      </c>
      <c r="BN784" s="343">
        <f>SUMIFS($AU$134:AU785,$AQ$134:AQ785,"H")</f>
        <v>3974.1420000000157</v>
      </c>
      <c r="BO784" s="343">
        <f>SUMIFS($AU$134:AU785,$AQ$134:AQ785,"D")</f>
        <v>2136.346666666715</v>
      </c>
      <c r="BP784" s="343">
        <f>SUMIFS($AU$134:AU787,$AQ$134:AQ787,"W")</f>
        <v>3049.7833333333429</v>
      </c>
      <c r="BQ784" s="343">
        <f>SUMIFS($AU$134:AU785,$Q$134:Q785,"O")</f>
        <v>-266.06333333330844</v>
      </c>
      <c r="BR784" s="343">
        <f>SUMIFS($AU$134:AU785,$AA$134:AA785,"*")</f>
        <v>12589.475333333326</v>
      </c>
      <c r="BS784" s="343">
        <f>SUMIFS($AU$134:AU785,$AB$134:AB785,"*")</f>
        <v>5177.1366666667018</v>
      </c>
      <c r="BT784" s="343">
        <f>SUMIFS($AU$134:AU785,$AC$134:AC785,"*")</f>
        <v>6559.6833333333316</v>
      </c>
      <c r="BU784" s="343">
        <f>SUMIFS($AU$134:AU785,$AA$134:AA785,"*",$AB$134:AB785,"*")</f>
        <v>3362.0000000000045</v>
      </c>
      <c r="BV784" s="343">
        <f>SUMIFS($AU$134:AU785,$AA$134:AA785,"*",$AC$134:AC785,"*")</f>
        <v>7156.7833333333328</v>
      </c>
      <c r="BW784" s="343">
        <f>SUMIFS($AU$134:AU785,$AB$134:AB785,"*",$AC$134:AC785,"*")</f>
        <v>5022.6000000000004</v>
      </c>
      <c r="BX784" s="343">
        <f>SUMIFS($AU785:AU$1388,$Q785:Q$1388,"F")</f>
        <v>12090.133333333333</v>
      </c>
      <c r="BY784" s="343">
        <f>SUMIFS($AU785:AU$1388,$Q785:Q$1388,"S")</f>
        <v>10539.2</v>
      </c>
      <c r="BZ784" s="343">
        <f>SUMIFS($AU785:AU$1388,$Q785:Q$1388,"O")</f>
        <v>-1382.79466666649</v>
      </c>
    </row>
    <row r="785" spans="1:78" ht="15.75" customHeight="1">
      <c r="A785" s="221" t="s">
        <v>3123</v>
      </c>
      <c r="B785" s="177">
        <v>45114</v>
      </c>
      <c r="C785" s="178" t="s">
        <v>3186</v>
      </c>
      <c r="D785" s="178" t="s">
        <v>111</v>
      </c>
      <c r="E785" s="227"/>
      <c r="F785" s="180"/>
      <c r="G785" s="181" t="s">
        <v>3150</v>
      </c>
      <c r="H785" s="182"/>
      <c r="I785" s="182"/>
      <c r="J785" s="182"/>
      <c r="K785" s="183"/>
      <c r="L785" s="182"/>
      <c r="M785" s="182"/>
      <c r="N785" s="182"/>
      <c r="O785" s="183"/>
      <c r="P785" s="183"/>
      <c r="Q785" s="183"/>
      <c r="R785" s="183"/>
      <c r="S785" s="183"/>
      <c r="T785" s="183"/>
      <c r="U785" s="183"/>
      <c r="V785" s="183"/>
      <c r="W785" s="183"/>
      <c r="X785" s="183"/>
      <c r="Y785" s="184"/>
      <c r="Z785" s="185"/>
      <c r="AA785" s="185"/>
      <c r="AB785" s="185"/>
      <c r="AC785" s="185"/>
      <c r="AD785" s="649"/>
      <c r="AE785" s="182"/>
      <c r="AF785" s="332"/>
      <c r="AG785" s="182"/>
      <c r="AH785" s="182"/>
      <c r="AI785" s="182"/>
      <c r="AJ785" s="640"/>
      <c r="AK785" s="182"/>
      <c r="AL785" s="496"/>
      <c r="AM785" s="496"/>
      <c r="AN785" s="626"/>
      <c r="AO785" s="182"/>
      <c r="AP785" s="182"/>
      <c r="AQ785" s="332" t="str">
        <f>UPPER(RIGHT(Journal_Live[[#This Row],[DURATION ]]))</f>
        <v/>
      </c>
      <c r="AR785" s="182"/>
      <c r="AS785" s="189"/>
      <c r="AT785" s="189"/>
      <c r="AU785" s="187"/>
      <c r="AV785" s="190"/>
      <c r="AW785" s="191"/>
      <c r="AX785" s="407" t="s">
        <v>372</v>
      </c>
      <c r="AY785" s="407" t="s">
        <v>3187</v>
      </c>
      <c r="AZ785" s="407"/>
      <c r="BA785" s="407"/>
      <c r="BB785" s="407"/>
      <c r="BC785" s="407"/>
      <c r="BD785" s="407"/>
      <c r="BE785" s="407"/>
      <c r="BF785" s="422"/>
      <c r="BG785" s="391">
        <f>SUM($AV$4:AV785)</f>
        <v>4067.7698715729352</v>
      </c>
      <c r="BH785" s="392">
        <f>SUM($AU$134:AU785)</f>
        <v>12472.112000000028</v>
      </c>
      <c r="BI785" s="318">
        <f>SUMIFS($AU$134:AU786,$Q$134:Q786,"F")</f>
        <v>2350.5333333333328</v>
      </c>
      <c r="BJ785" s="318">
        <f>SUMIFS($AU$134:AU786,$Q$134:Q786,"S")</f>
        <v>10132.441999999999</v>
      </c>
      <c r="BK785" s="343">
        <f>SUMIFS($AU$134:AU786,$P$134:P786,"W")</f>
        <v>7595.7419999999365</v>
      </c>
      <c r="BL785" s="343">
        <f>SUMIFS($AU$134:AU786,$P$134:P786,"R")</f>
        <v>4756.673333333335</v>
      </c>
      <c r="BM785" s="343">
        <f>SUMIFS($AU$134:AU786,$AQ$134:AQ786,"M")</f>
        <v>2253.3999999999814</v>
      </c>
      <c r="BN785" s="343">
        <f>SUMIFS($AU$134:AU786,$AQ$134:AQ786,"H")</f>
        <v>3974.1420000000157</v>
      </c>
      <c r="BO785" s="343">
        <f>SUMIFS($AU$134:AU786,$AQ$134:AQ786,"D")</f>
        <v>2136.346666666715</v>
      </c>
      <c r="BP785" s="343">
        <f>SUMIFS($AU$134:AU788,$AQ$134:AQ788,"W")</f>
        <v>3049.7833333333429</v>
      </c>
      <c r="BQ785" s="343">
        <f>SUMIFS($AU$134:AU786,$Q$134:Q786,"O")</f>
        <v>-266.06333333330844</v>
      </c>
      <c r="BR785" s="343">
        <f>SUMIFS($AU$134:AU786,$AA$134:AA786,"*")</f>
        <v>12589.475333333326</v>
      </c>
      <c r="BS785" s="343">
        <f>SUMIFS($AU$134:AU786,$AB$134:AB786,"*")</f>
        <v>5177.1366666667018</v>
      </c>
      <c r="BT785" s="343">
        <f>SUMIFS($AU$134:AU786,$AC$134:AC786,"*")</f>
        <v>6559.6833333333316</v>
      </c>
      <c r="BU785" s="343">
        <f>SUMIFS($AU$134:AU786,$AA$134:AA786,"*",$AB$134:AB786,"*")</f>
        <v>3362.0000000000045</v>
      </c>
      <c r="BV785" s="343">
        <f>SUMIFS($AU$134:AU786,$AA$134:AA786,"*",$AC$134:AC786,"*")</f>
        <v>7156.7833333333328</v>
      </c>
      <c r="BW785" s="343">
        <f>SUMIFS($AU$134:AU786,$AB$134:AB786,"*",$AC$134:AC786,"*")</f>
        <v>5022.6000000000004</v>
      </c>
      <c r="BX785" s="343">
        <f>SUMIFS($AU786:AU$1388,$Q786:Q$1388,"F")</f>
        <v>12090.133333333333</v>
      </c>
      <c r="BY785" s="343">
        <f>SUMIFS($AU786:AU$1388,$Q786:Q$1388,"S")</f>
        <v>10539.2</v>
      </c>
      <c r="BZ785" s="343">
        <f>SUMIFS($AU786:AU$1388,$Q786:Q$1388,"O")</f>
        <v>-1382.79466666649</v>
      </c>
    </row>
    <row r="786" spans="1:78" ht="15.75" customHeight="1">
      <c r="A786" s="221" t="s">
        <v>3123</v>
      </c>
      <c r="B786" s="177">
        <v>45114</v>
      </c>
      <c r="C786" s="178" t="s">
        <v>1714</v>
      </c>
      <c r="D786" s="178" t="s">
        <v>111</v>
      </c>
      <c r="E786" s="227" t="s">
        <v>3188</v>
      </c>
      <c r="F786" s="180"/>
      <c r="G786" s="181"/>
      <c r="H786" s="182">
        <v>1</v>
      </c>
      <c r="I786" s="182"/>
      <c r="J786" s="182"/>
      <c r="K786" s="183" t="s">
        <v>372</v>
      </c>
      <c r="L786" s="182"/>
      <c r="M786" s="182"/>
      <c r="N786" s="182"/>
      <c r="O786" s="183"/>
      <c r="P786" s="183"/>
      <c r="Q786" s="183"/>
      <c r="R786" s="183"/>
      <c r="S786" s="183"/>
      <c r="T786" s="183"/>
      <c r="U786" s="183"/>
      <c r="V786" s="183"/>
      <c r="W786" s="183"/>
      <c r="X786" s="183"/>
      <c r="Y786" s="183"/>
      <c r="Z786" s="185" t="str">
        <f>IF(ISBLANK(O786),"",IF(O786="IB",8.63*200,IF(O786="IR",16*100,IF(O786="YT",20*100,IF(O786="YT-XT",24*200,IF(O786="TED",80*100))))))</f>
        <v/>
      </c>
      <c r="AA786" s="185"/>
      <c r="AB786" s="185"/>
      <c r="AC786" s="185"/>
      <c r="AD786" s="649"/>
      <c r="AE786" s="182"/>
      <c r="AF786" s="332"/>
      <c r="AG786" s="182"/>
      <c r="AH786" s="182"/>
      <c r="AI786" s="182"/>
      <c r="AJ786" s="640"/>
      <c r="AK786" s="182"/>
      <c r="AL786" s="496"/>
      <c r="AM786" s="496"/>
      <c r="AN786" s="626"/>
      <c r="AO786" s="182"/>
      <c r="AP786" s="182"/>
      <c r="AQ786" s="332" t="str">
        <f>UPPER(RIGHT(Journal_Live[[#This Row],[DURATION ]]))</f>
        <v/>
      </c>
      <c r="AR786" s="182"/>
      <c r="AS786" s="189"/>
      <c r="AT786" s="189"/>
      <c r="AU786" s="187"/>
      <c r="AV786" s="190"/>
      <c r="AW786" s="191"/>
      <c r="AX786" s="407" t="s">
        <v>3189</v>
      </c>
      <c r="AY786" s="407" t="s">
        <v>3190</v>
      </c>
      <c r="AZ786" s="407"/>
      <c r="BA786" s="407"/>
      <c r="BB786" s="407"/>
      <c r="BC786" s="407"/>
      <c r="BD786" s="407"/>
      <c r="BE786" s="407"/>
      <c r="BF786" s="422"/>
      <c r="BG786" s="391">
        <f>SUM($AV$4:AV786)</f>
        <v>4067.7698715729352</v>
      </c>
      <c r="BH786" s="392">
        <f>SUM($AU$134:AU786)</f>
        <v>12472.112000000028</v>
      </c>
      <c r="BI786" s="318">
        <f>SUMIFS($AU$134:AU787,$Q$134:Q787,"F")</f>
        <v>2350.5333333333328</v>
      </c>
      <c r="BJ786" s="318">
        <f>SUMIFS($AU$134:AU787,$Q$134:Q787,"S")</f>
        <v>10132.441999999999</v>
      </c>
      <c r="BK786" s="343">
        <f>SUMIFS($AU$134:AU787,$P$134:P787,"W")</f>
        <v>7595.7419999999365</v>
      </c>
      <c r="BL786" s="343">
        <f>SUMIFS($AU$134:AU787,$P$134:P787,"R")</f>
        <v>4756.673333333335</v>
      </c>
      <c r="BM786" s="343">
        <f>SUMIFS($AU$134:AU787,$AQ$134:AQ787,"M")</f>
        <v>2253.3999999999814</v>
      </c>
      <c r="BN786" s="343">
        <f>SUMIFS($AU$134:AU787,$AQ$134:AQ787,"H")</f>
        <v>3974.1420000000157</v>
      </c>
      <c r="BO786" s="343">
        <f>SUMIFS($AU$134:AU787,$AQ$134:AQ787,"D")</f>
        <v>2136.346666666715</v>
      </c>
      <c r="BP786" s="343">
        <f>SUMIFS($AU$134:AU789,$AQ$134:AQ789,"W")</f>
        <v>3049.7833333333429</v>
      </c>
      <c r="BQ786" s="343">
        <f>SUMIFS($AU$134:AU787,$Q$134:Q787,"O")</f>
        <v>-266.06333333330844</v>
      </c>
      <c r="BR786" s="343">
        <f>SUMIFS($AU$134:AU787,$AA$134:AA787,"*")</f>
        <v>12589.475333333326</v>
      </c>
      <c r="BS786" s="343">
        <f>SUMIFS($AU$134:AU787,$AB$134:AB787,"*")</f>
        <v>5177.1366666667018</v>
      </c>
      <c r="BT786" s="343">
        <f>SUMIFS($AU$134:AU787,$AC$134:AC787,"*")</f>
        <v>6559.6833333333316</v>
      </c>
      <c r="BU786" s="343">
        <f>SUMIFS($AU$134:AU787,$AA$134:AA787,"*",$AB$134:AB787,"*")</f>
        <v>3362.0000000000045</v>
      </c>
      <c r="BV786" s="343">
        <f>SUMIFS($AU$134:AU787,$AA$134:AA787,"*",$AC$134:AC787,"*")</f>
        <v>7156.7833333333328</v>
      </c>
      <c r="BW786" s="343">
        <f>SUMIFS($AU$134:AU787,$AB$134:AB787,"*",$AC$134:AC787,"*")</f>
        <v>5022.6000000000004</v>
      </c>
      <c r="BX786" s="343">
        <f>SUMIFS($AU787:AU$1388,$Q787:Q$1388,"F")</f>
        <v>12090.133333333333</v>
      </c>
      <c r="BY786" s="343">
        <f>SUMIFS($AU787:AU$1388,$Q787:Q$1388,"S")</f>
        <v>10539.2</v>
      </c>
      <c r="BZ786" s="343">
        <f>SUMIFS($AU787:AU$1388,$Q787:Q$1388,"O")</f>
        <v>-1382.79466666649</v>
      </c>
    </row>
    <row r="787" spans="1:78" ht="15.75" customHeight="1">
      <c r="A787" s="221" t="s">
        <v>3123</v>
      </c>
      <c r="B787" s="177"/>
      <c r="C787" s="178"/>
      <c r="D787" s="178"/>
      <c r="E787" s="227" t="s">
        <v>3191</v>
      </c>
      <c r="F787" s="180"/>
      <c r="G787" s="181"/>
      <c r="H787" s="182"/>
      <c r="I787" s="182"/>
      <c r="J787" s="182">
        <v>1</v>
      </c>
      <c r="K787" s="183" t="s">
        <v>115</v>
      </c>
      <c r="L787" s="182"/>
      <c r="M787" s="182"/>
      <c r="N787" s="182"/>
      <c r="O787" s="183"/>
      <c r="P787" s="183"/>
      <c r="Q787" s="183"/>
      <c r="R787" s="183"/>
      <c r="S787" s="183"/>
      <c r="T787" s="183"/>
      <c r="U787" s="183"/>
      <c r="V787" s="183"/>
      <c r="W787" s="183"/>
      <c r="X787" s="183"/>
      <c r="Y787" s="183"/>
      <c r="Z787" s="185" t="str">
        <f>IF(ISBLANK(O787),"",IF(O787="IB",8.63*200,IF(O787="IR",16*100,IF(O787="YT",20*100,IF(O787="YT-XT",24*200,IF(O787="TED",80*100))))))</f>
        <v/>
      </c>
      <c r="AA787" s="185"/>
      <c r="AB787" s="185"/>
      <c r="AC787" s="185"/>
      <c r="AD787" s="649"/>
      <c r="AE787" s="182"/>
      <c r="AF787" s="332"/>
      <c r="AG787" s="182"/>
      <c r="AH787" s="182"/>
      <c r="AI787" s="182"/>
      <c r="AJ787" s="640"/>
      <c r="AK787" s="182"/>
      <c r="AL787" s="496"/>
      <c r="AM787" s="496"/>
      <c r="AN787" s="626"/>
      <c r="AO787" s="182"/>
      <c r="AP787" s="182"/>
      <c r="AQ787" s="332" t="str">
        <f>UPPER(RIGHT(Journal_Live[[#This Row],[DURATION ]]))</f>
        <v/>
      </c>
      <c r="AR787" s="182"/>
      <c r="AS787" s="189"/>
      <c r="AT787" s="189"/>
      <c r="AU787" s="187"/>
      <c r="AV787" s="190"/>
      <c r="AW787" s="191"/>
      <c r="AX787" s="407"/>
      <c r="AY787" s="407"/>
      <c r="AZ787" s="407"/>
      <c r="BA787" s="407"/>
      <c r="BB787" s="407"/>
      <c r="BC787" s="407"/>
      <c r="BD787" s="407"/>
      <c r="BE787" s="407"/>
      <c r="BF787" s="422"/>
      <c r="BG787" s="391">
        <f>SUM($AV$4:AV787)</f>
        <v>4067.7698715729352</v>
      </c>
      <c r="BH787" s="392">
        <f>SUM($AU$134:AU787)</f>
        <v>12472.112000000028</v>
      </c>
      <c r="BI787" s="318">
        <f>SUMIFS($AU$134:AU788,$Q$134:Q788,"F")</f>
        <v>2350.5333333333328</v>
      </c>
      <c r="BJ787" s="318">
        <f>SUMIFS($AU$134:AU788,$Q$134:Q788,"S")</f>
        <v>10132.441999999999</v>
      </c>
      <c r="BK787" s="343">
        <f>SUMIFS($AU$134:AU788,$P$134:P788,"W")</f>
        <v>7595.7419999999365</v>
      </c>
      <c r="BL787" s="343">
        <f>SUMIFS($AU$134:AU788,$P$134:P788,"R")</f>
        <v>4756.673333333335</v>
      </c>
      <c r="BM787" s="343">
        <f>SUMIFS($AU$134:AU788,$AQ$134:AQ788,"M")</f>
        <v>2253.3999999999814</v>
      </c>
      <c r="BN787" s="343">
        <f>SUMIFS($AU$134:AU788,$AQ$134:AQ788,"H")</f>
        <v>3974.1420000000157</v>
      </c>
      <c r="BO787" s="343">
        <f>SUMIFS($AU$134:AU788,$AQ$134:AQ788,"D")</f>
        <v>2136.346666666715</v>
      </c>
      <c r="BP787" s="343">
        <f>SUMIFS($AU$134:AU790,$AQ$134:AQ790,"W")</f>
        <v>3049.7833333333429</v>
      </c>
      <c r="BQ787" s="343">
        <f>SUMIFS($AU$134:AU788,$Q$134:Q788,"O")</f>
        <v>-266.06333333330844</v>
      </c>
      <c r="BR787" s="343">
        <f>SUMIFS($AU$134:AU788,$AA$134:AA788,"*")</f>
        <v>12589.475333333326</v>
      </c>
      <c r="BS787" s="343">
        <f>SUMIFS($AU$134:AU788,$AB$134:AB788,"*")</f>
        <v>5177.1366666667018</v>
      </c>
      <c r="BT787" s="343">
        <f>SUMIFS($AU$134:AU788,$AC$134:AC788,"*")</f>
        <v>6559.6833333333316</v>
      </c>
      <c r="BU787" s="343">
        <f>SUMIFS($AU$134:AU788,$AA$134:AA788,"*",$AB$134:AB788,"*")</f>
        <v>3362.0000000000045</v>
      </c>
      <c r="BV787" s="343">
        <f>SUMIFS($AU$134:AU788,$AA$134:AA788,"*",$AC$134:AC788,"*")</f>
        <v>7156.7833333333328</v>
      </c>
      <c r="BW787" s="343">
        <f>SUMIFS($AU$134:AU788,$AB$134:AB788,"*",$AC$134:AC788,"*")</f>
        <v>5022.6000000000004</v>
      </c>
      <c r="BX787" s="343">
        <f>SUMIFS($AU788:AU$1388,$Q788:Q$1388,"F")</f>
        <v>12090.133333333333</v>
      </c>
      <c r="BY787" s="343">
        <f>SUMIFS($AU788:AU$1388,$Q788:Q$1388,"S")</f>
        <v>10539.2</v>
      </c>
      <c r="BZ787" s="343">
        <f>SUMIFS($AU788:AU$1388,$Q788:Q$1388,"O")</f>
        <v>-1382.79466666649</v>
      </c>
    </row>
    <row r="788" spans="1:78" ht="15.75" customHeight="1">
      <c r="A788" s="221" t="s">
        <v>3123</v>
      </c>
      <c r="B788" s="177"/>
      <c r="C788" s="178"/>
      <c r="D788" s="178"/>
      <c r="E788" s="227" t="s">
        <v>3192</v>
      </c>
      <c r="F788" s="180"/>
      <c r="G788" s="181"/>
      <c r="H788" s="182"/>
      <c r="I788" s="182">
        <v>1</v>
      </c>
      <c r="J788" s="182"/>
      <c r="K788" s="183"/>
      <c r="L788" s="182"/>
      <c r="M788" s="182"/>
      <c r="N788" s="182"/>
      <c r="O788" s="183"/>
      <c r="P788" s="183"/>
      <c r="Q788" s="183"/>
      <c r="R788" s="183"/>
      <c r="S788" s="183"/>
      <c r="T788" s="183"/>
      <c r="U788" s="183"/>
      <c r="V788" s="183"/>
      <c r="W788" s="183"/>
      <c r="X788" s="183"/>
      <c r="Y788" s="183"/>
      <c r="Z788" s="185" t="str">
        <f>IF(ISBLANK(O788),"",IF(O788="IB",8.63*200,IF(O788="IR",16*100,IF(O788="YT",20*100,IF(O788="YT-XT",24*200,IF(O788="TED",80*100))))))</f>
        <v/>
      </c>
      <c r="AA788" s="185"/>
      <c r="AB788" s="185"/>
      <c r="AC788" s="185"/>
      <c r="AD788" s="649"/>
      <c r="AE788" s="182"/>
      <c r="AF788" s="332"/>
      <c r="AG788" s="182"/>
      <c r="AH788" s="182"/>
      <c r="AI788" s="182"/>
      <c r="AJ788" s="640"/>
      <c r="AK788" s="182"/>
      <c r="AL788" s="496"/>
      <c r="AM788" s="496"/>
      <c r="AN788" s="626"/>
      <c r="AO788" s="182"/>
      <c r="AP788" s="182"/>
      <c r="AQ788" s="332" t="str">
        <f>UPPER(RIGHT(Journal_Live[[#This Row],[DURATION ]]))</f>
        <v/>
      </c>
      <c r="AR788" s="182"/>
      <c r="AS788" s="189"/>
      <c r="AT788" s="189"/>
      <c r="AU788" s="187"/>
      <c r="AV788" s="190"/>
      <c r="AW788" s="191"/>
      <c r="AX788" s="407"/>
      <c r="AY788" s="407"/>
      <c r="AZ788" s="407"/>
      <c r="BA788" s="407"/>
      <c r="BB788" s="407"/>
      <c r="BC788" s="407"/>
      <c r="BD788" s="407"/>
      <c r="BE788" s="407"/>
      <c r="BF788" s="422"/>
      <c r="BG788" s="391">
        <f>SUM($AV$4:AV788)</f>
        <v>4067.7698715729352</v>
      </c>
      <c r="BH788" s="392">
        <f>SUM($AU$134:AU788)</f>
        <v>12472.112000000028</v>
      </c>
      <c r="BI788" s="318">
        <f>SUMIFS($AU$134:AU789,$Q$134:Q789,"F")</f>
        <v>2350.5333333333328</v>
      </c>
      <c r="BJ788" s="318">
        <f>SUMIFS($AU$134:AU789,$Q$134:Q789,"S")</f>
        <v>10420.441999999999</v>
      </c>
      <c r="BK788" s="343">
        <f>SUMIFS($AU$134:AU789,$P$134:P789,"W")</f>
        <v>7595.7419999999365</v>
      </c>
      <c r="BL788" s="343">
        <f>SUMIFS($AU$134:AU789,$P$134:P789,"R")</f>
        <v>5044.673333333335</v>
      </c>
      <c r="BM788" s="343">
        <f>SUMIFS($AU$134:AU789,$AQ$134:AQ789,"M")</f>
        <v>2253.3999999999814</v>
      </c>
      <c r="BN788" s="343">
        <f>SUMIFS($AU$134:AU789,$AQ$134:AQ789,"H")</f>
        <v>4262.1420000000153</v>
      </c>
      <c r="BO788" s="343">
        <f>SUMIFS($AU$134:AU789,$AQ$134:AQ789,"D")</f>
        <v>2136.346666666715</v>
      </c>
      <c r="BP788" s="343">
        <f>SUMIFS($AU$134:AU791,$AQ$134:AQ791,"W")</f>
        <v>3049.7833333333429</v>
      </c>
      <c r="BQ788" s="343">
        <f>SUMIFS($AU$134:AU789,$Q$134:Q789,"O")</f>
        <v>-266.06333333330844</v>
      </c>
      <c r="BR788" s="343">
        <f>SUMIFS($AU$134:AU789,$AA$134:AA789,"*")</f>
        <v>12877.475333333326</v>
      </c>
      <c r="BS788" s="343">
        <f>SUMIFS($AU$134:AU789,$AB$134:AB789,"*")</f>
        <v>5177.1366666667018</v>
      </c>
      <c r="BT788" s="343">
        <f>SUMIFS($AU$134:AU789,$AC$134:AC789,"*")</f>
        <v>6559.6833333333316</v>
      </c>
      <c r="BU788" s="343">
        <f>SUMIFS($AU$134:AU789,$AA$134:AA789,"*",$AB$134:AB789,"*")</f>
        <v>3362.0000000000045</v>
      </c>
      <c r="BV788" s="343">
        <f>SUMIFS($AU$134:AU789,$AA$134:AA789,"*",$AC$134:AC789,"*")</f>
        <v>7156.7833333333328</v>
      </c>
      <c r="BW788" s="343">
        <f>SUMIFS($AU$134:AU789,$AB$134:AB789,"*",$AC$134:AC789,"*")</f>
        <v>5022.6000000000004</v>
      </c>
      <c r="BX788" s="343">
        <f>SUMIFS($AU789:AU$1388,$Q789:Q$1388,"F")</f>
        <v>12090.133333333333</v>
      </c>
      <c r="BY788" s="343">
        <f>SUMIFS($AU789:AU$1388,$Q789:Q$1388,"S")</f>
        <v>10539.2</v>
      </c>
      <c r="BZ788" s="343">
        <f>SUMIFS($AU789:AU$1388,$Q789:Q$1388,"O")</f>
        <v>-1382.79466666649</v>
      </c>
    </row>
    <row r="789" spans="1:78" ht="15.75" customHeight="1">
      <c r="A789" s="221" t="s">
        <v>3123</v>
      </c>
      <c r="B789" s="177">
        <v>45114</v>
      </c>
      <c r="C789" s="178" t="s">
        <v>3193</v>
      </c>
      <c r="D789" s="178" t="s">
        <v>111</v>
      </c>
      <c r="E789" s="227"/>
      <c r="F789" s="180"/>
      <c r="G789" s="281" t="s">
        <v>2942</v>
      </c>
      <c r="H789" s="182"/>
      <c r="I789" s="182"/>
      <c r="J789" s="182"/>
      <c r="K789" s="183"/>
      <c r="L789" s="182">
        <v>1</v>
      </c>
      <c r="M789" s="182">
        <v>1</v>
      </c>
      <c r="N789" s="182"/>
      <c r="O789" s="183" t="s">
        <v>95</v>
      </c>
      <c r="P789" s="183" t="s">
        <v>137</v>
      </c>
      <c r="Q789" s="183" t="s">
        <v>97</v>
      </c>
      <c r="R789" s="183">
        <v>18</v>
      </c>
      <c r="S789" s="183">
        <v>0</v>
      </c>
      <c r="T789" s="183">
        <v>18</v>
      </c>
      <c r="U789" s="183" t="s">
        <v>97</v>
      </c>
      <c r="V789" s="183"/>
      <c r="W789" s="183"/>
      <c r="X789" s="183"/>
      <c r="Y789" s="184">
        <f>IF(ISBLANK(O789),"",(IF(O789=UPPER("IB"),0.005,0.01)))</f>
        <v>0.01</v>
      </c>
      <c r="Z789" s="185">
        <f>IF(ISBLANK(O789),"",IF(O789="IB",8.63*200,IF(O789="IR",16*100,IF(O789="YT",20*100,IF(O789="YT-XT",24*200,IF(O789="TED",80*100))))))</f>
        <v>1600</v>
      </c>
      <c r="AA789" s="185" t="s">
        <v>3194</v>
      </c>
      <c r="AB789" s="185"/>
      <c r="AC789" s="185"/>
      <c r="AD789" s="649">
        <v>-0.11</v>
      </c>
      <c r="AE789" s="182"/>
      <c r="AF789" s="332"/>
      <c r="AG789" s="182"/>
      <c r="AH789" s="182"/>
      <c r="AI789" s="182"/>
      <c r="AJ789" s="640"/>
      <c r="AK789" s="182"/>
      <c r="AL789" s="496">
        <f t="shared" ref="AL789:AL790" si="279">-0.03*Z789</f>
        <v>-48</v>
      </c>
      <c r="AM789" s="496">
        <f>AL789*(R789-S789)</f>
        <v>-864</v>
      </c>
      <c r="AN789" s="626"/>
      <c r="AO789" s="182"/>
      <c r="AP789" s="182" t="s">
        <v>1554</v>
      </c>
      <c r="AQ789" s="332" t="str">
        <f>UPPER(RIGHT(Journal_Live[[#This Row],[DURATION ]]))</f>
        <v>H</v>
      </c>
      <c r="AR789" s="182" t="s">
        <v>3195</v>
      </c>
      <c r="AS789" s="189">
        <v>-0.12</v>
      </c>
      <c r="AT789" s="189">
        <f>IF(ISBLANK(AS789),,IF(U789="S",AD789-AS789,AS789-AD789))</f>
        <v>9.999999999999995E-3</v>
      </c>
      <c r="AU789" s="187">
        <f>AV789*R789</f>
        <v>287.99999999999989</v>
      </c>
      <c r="AV789" s="190">
        <f>IF(ISBLANK(AS789),,(AT789*Z789))</f>
        <v>15.999999999999993</v>
      </c>
      <c r="AW789" s="191" t="s">
        <v>96</v>
      </c>
      <c r="AX789" s="407" t="s">
        <v>3196</v>
      </c>
      <c r="AY789" s="407"/>
      <c r="AZ789" s="407"/>
      <c r="BA789" s="407"/>
      <c r="BB789" s="407"/>
      <c r="BC789" s="407"/>
      <c r="BD789" s="407"/>
      <c r="BE789" s="407"/>
      <c r="BF789" s="422"/>
      <c r="BG789" s="391">
        <f>SUM($AV$4:AV789)</f>
        <v>4083.7698715729352</v>
      </c>
      <c r="BH789" s="392">
        <f>SUM($AU$134:AU789)</f>
        <v>12760.112000000028</v>
      </c>
      <c r="BI789" s="318">
        <f>SUMIFS($AU$134:AU790,$Q$134:Q790,"F")</f>
        <v>2350.5333333333328</v>
      </c>
      <c r="BJ789" s="318">
        <f>SUMIFS($AU$134:AU790,$Q$134:Q790,"S")</f>
        <v>10372.441999999999</v>
      </c>
      <c r="BK789" s="343">
        <f>SUMIFS($AU$134:AU790,$P$134:P790,"W")</f>
        <v>7595.7419999999365</v>
      </c>
      <c r="BL789" s="343">
        <f>SUMIFS($AU$134:AU790,$P$134:P790,"R")</f>
        <v>4996.673333333335</v>
      </c>
      <c r="BM789" s="343">
        <f>SUMIFS($AU$134:AU790,$AQ$134:AQ790,"M")</f>
        <v>2253.3999999999814</v>
      </c>
      <c r="BN789" s="343">
        <f>SUMIFS($AU$134:AU790,$AQ$134:AQ790,"H")</f>
        <v>4262.1420000000153</v>
      </c>
      <c r="BO789" s="343">
        <f>SUMIFS($AU$134:AU790,$AQ$134:AQ790,"D")</f>
        <v>2088.346666666715</v>
      </c>
      <c r="BP789" s="343">
        <f>SUMIFS($AU$134:AU792,$AQ$134:AQ792,"W")</f>
        <v>3049.7833333333429</v>
      </c>
      <c r="BQ789" s="343">
        <f>SUMIFS($AU$134:AU790,$Q$134:Q790,"O")</f>
        <v>-266.06333333330844</v>
      </c>
      <c r="BR789" s="343">
        <f>SUMIFS($AU$134:AU790,$AA$134:AA790,"*")</f>
        <v>12829.475333333326</v>
      </c>
      <c r="BS789" s="343">
        <f>SUMIFS($AU$134:AU790,$AB$134:AB790,"*")</f>
        <v>5177.1366666667018</v>
      </c>
      <c r="BT789" s="343">
        <f>SUMIFS($AU$134:AU790,$AC$134:AC790,"*")</f>
        <v>6511.6833333333316</v>
      </c>
      <c r="BU789" s="343">
        <f>SUMIFS($AU$134:AU790,$AA$134:AA790,"*",$AB$134:AB790,"*")</f>
        <v>3362.0000000000045</v>
      </c>
      <c r="BV789" s="343">
        <f>SUMIFS($AU$134:AU790,$AA$134:AA790,"*",$AC$134:AC790,"*")</f>
        <v>7108.7833333333328</v>
      </c>
      <c r="BW789" s="343">
        <f>SUMIFS($AU$134:AU790,$AB$134:AB790,"*",$AC$134:AC790,"*")</f>
        <v>5022.6000000000004</v>
      </c>
      <c r="BX789" s="343">
        <f>SUMIFS($AU790:AU$1388,$Q790:Q$1388,"F")</f>
        <v>12090.133333333333</v>
      </c>
      <c r="BY789" s="343">
        <f>SUMIFS($AU790:AU$1388,$Q790:Q$1388,"S")</f>
        <v>10251.200000000001</v>
      </c>
      <c r="BZ789" s="343">
        <f>SUMIFS($AU790:AU$1388,$Q790:Q$1388,"O")</f>
        <v>-1382.79466666649</v>
      </c>
    </row>
    <row r="790" spans="1:78" ht="15.75" customHeight="1">
      <c r="A790" s="221" t="s">
        <v>3123</v>
      </c>
      <c r="B790" s="177">
        <v>45117</v>
      </c>
      <c r="C790" s="178" t="s">
        <v>2093</v>
      </c>
      <c r="D790" s="178" t="s">
        <v>132</v>
      </c>
      <c r="E790" s="227"/>
      <c r="F790" s="180"/>
      <c r="G790" s="281" t="s">
        <v>2070</v>
      </c>
      <c r="H790" s="182"/>
      <c r="I790" s="182"/>
      <c r="J790" s="182"/>
      <c r="K790" s="183"/>
      <c r="L790" s="182">
        <v>1</v>
      </c>
      <c r="M790" s="182"/>
      <c r="N790" s="182"/>
      <c r="O790" s="183" t="s">
        <v>95</v>
      </c>
      <c r="P790" s="183" t="s">
        <v>137</v>
      </c>
      <c r="Q790" s="183" t="s">
        <v>97</v>
      </c>
      <c r="R790" s="183">
        <v>3</v>
      </c>
      <c r="S790" s="183">
        <v>0</v>
      </c>
      <c r="T790" s="183">
        <v>3</v>
      </c>
      <c r="U790" s="183" t="s">
        <v>97</v>
      </c>
      <c r="V790" s="183"/>
      <c r="W790" s="183"/>
      <c r="X790" s="183"/>
      <c r="Y790" s="184">
        <f>IF(ISBLANK(O790),"",(IF(O790=UPPER("IB"),0.005,0.01)))</f>
        <v>0.01</v>
      </c>
      <c r="Z790" s="185">
        <f>IF(ISBLANK(O790),"",IF(O790="IB",8.63*200,IF(O790="IR",16*100,IF(O790="YT",20*100,IF(O790="YT-XT",24*200,IF(O790="TED",80*100))))))</f>
        <v>1600</v>
      </c>
      <c r="AA790" s="185" t="s">
        <v>99</v>
      </c>
      <c r="AB790" s="185"/>
      <c r="AC790" s="185" t="s">
        <v>3197</v>
      </c>
      <c r="AD790" s="649">
        <v>-0.14000000000000001</v>
      </c>
      <c r="AE790" s="182"/>
      <c r="AF790" s="332"/>
      <c r="AG790" s="182"/>
      <c r="AH790" s="182"/>
      <c r="AI790" s="182"/>
      <c r="AJ790" s="640"/>
      <c r="AK790" s="182"/>
      <c r="AL790" s="496">
        <f t="shared" si="279"/>
        <v>-48</v>
      </c>
      <c r="AM790" s="496">
        <f>AL790*(R790-S790)</f>
        <v>-144</v>
      </c>
      <c r="AN790" s="626"/>
      <c r="AO790" s="182"/>
      <c r="AP790" s="182" t="s">
        <v>589</v>
      </c>
      <c r="AQ790" s="332" t="str">
        <f>UPPER(RIGHT(Journal_Live[[#This Row],[DURATION ]]))</f>
        <v>D</v>
      </c>
      <c r="AR790" s="182" t="s">
        <v>3198</v>
      </c>
      <c r="AS790" s="189">
        <v>-0.13</v>
      </c>
      <c r="AT790" s="189">
        <f>IF(ISBLANK(AS790),,IF(U790="S",AD790-AS790,AS790-AD790))</f>
        <v>-1.0000000000000009E-2</v>
      </c>
      <c r="AU790" s="187">
        <f>AV790*R790</f>
        <v>-48.000000000000043</v>
      </c>
      <c r="AV790" s="190">
        <f>IF(ISBLANK(AS790),,(AT790*Z790))</f>
        <v>-16.000000000000014</v>
      </c>
      <c r="AW790" s="191" t="s">
        <v>229</v>
      </c>
      <c r="AX790" s="407" t="s">
        <v>3199</v>
      </c>
      <c r="AY790" s="407"/>
      <c r="AZ790" s="407"/>
      <c r="BA790" s="407"/>
      <c r="BB790" s="407"/>
      <c r="BC790" s="407"/>
      <c r="BD790" s="407"/>
      <c r="BE790" s="407"/>
      <c r="BF790" s="422"/>
      <c r="BG790" s="391">
        <f>SUM($AV$4:AV790)</f>
        <v>4067.7698715729352</v>
      </c>
      <c r="BH790" s="392">
        <f>SUM($AU$134:AU790)</f>
        <v>12712.112000000028</v>
      </c>
      <c r="BI790" s="318">
        <f>SUMIFS($AU$134:AU791,$Q$134:Q791,"F")</f>
        <v>2350.5333333333328</v>
      </c>
      <c r="BJ790" s="318">
        <f>SUMIFS($AU$134:AU791,$Q$134:Q791,"S")</f>
        <v>10372.441999999999</v>
      </c>
      <c r="BK790" s="343">
        <f>SUMIFS($AU$134:AU791,$P$134:P791,"W")</f>
        <v>7595.7419999999365</v>
      </c>
      <c r="BL790" s="343">
        <f>SUMIFS($AU$134:AU791,$P$134:P791,"R")</f>
        <v>4996.673333333335</v>
      </c>
      <c r="BM790" s="343">
        <f>SUMIFS($AU$134:AU791,$AQ$134:AQ791,"M")</f>
        <v>2253.3999999999814</v>
      </c>
      <c r="BN790" s="343">
        <f>SUMIFS($AU$134:AU791,$AQ$134:AQ791,"H")</f>
        <v>4262.1420000000153</v>
      </c>
      <c r="BO790" s="343">
        <f>SUMIFS($AU$134:AU791,$AQ$134:AQ791,"D")</f>
        <v>2088.346666666715</v>
      </c>
      <c r="BP790" s="343">
        <f>SUMIFS($AU$134:AU793,$AQ$134:AQ793,"W")</f>
        <v>3049.7833333333429</v>
      </c>
      <c r="BQ790" s="343">
        <f>SUMIFS($AU$134:AU791,$Q$134:Q791,"O")</f>
        <v>-266.06333333330844</v>
      </c>
      <c r="BR790" s="343">
        <f>SUMIFS($AU$134:AU791,$AA$134:AA791,"*")</f>
        <v>12829.475333333326</v>
      </c>
      <c r="BS790" s="343">
        <f>SUMIFS($AU$134:AU791,$AB$134:AB791,"*")</f>
        <v>5177.1366666667018</v>
      </c>
      <c r="BT790" s="343">
        <f>SUMIFS($AU$134:AU791,$AC$134:AC791,"*")</f>
        <v>6511.6833333333316</v>
      </c>
      <c r="BU790" s="343">
        <f>SUMIFS($AU$134:AU791,$AA$134:AA791,"*",$AB$134:AB791,"*")</f>
        <v>3362.0000000000045</v>
      </c>
      <c r="BV790" s="343">
        <f>SUMIFS($AU$134:AU791,$AA$134:AA791,"*",$AC$134:AC791,"*")</f>
        <v>7108.7833333333328</v>
      </c>
      <c r="BW790" s="343">
        <f>SUMIFS($AU$134:AU791,$AB$134:AB791,"*",$AC$134:AC791,"*")</f>
        <v>5022.6000000000004</v>
      </c>
      <c r="BX790" s="343">
        <f>SUMIFS($AU791:AU$1388,$Q791:Q$1388,"F")</f>
        <v>12090.133333333333</v>
      </c>
      <c r="BY790" s="343">
        <f>SUMIFS($AU791:AU$1388,$Q791:Q$1388,"S")</f>
        <v>10299.200000000001</v>
      </c>
      <c r="BZ790" s="343">
        <f>SUMIFS($AU791:AU$1388,$Q791:Q$1388,"O")</f>
        <v>-1382.79466666649</v>
      </c>
    </row>
    <row r="791" spans="1:78" ht="15.75" customHeight="1">
      <c r="A791" s="221" t="s">
        <v>3123</v>
      </c>
      <c r="B791" s="177">
        <v>45118</v>
      </c>
      <c r="C791" s="178" t="s">
        <v>3200</v>
      </c>
      <c r="D791" s="178" t="s">
        <v>146</v>
      </c>
      <c r="E791" s="227"/>
      <c r="F791" s="180"/>
      <c r="G791" s="181" t="s">
        <v>1664</v>
      </c>
      <c r="H791" s="182"/>
      <c r="I791" s="182"/>
      <c r="J791" s="182"/>
      <c r="K791" s="183"/>
      <c r="L791" s="182"/>
      <c r="M791" s="182"/>
      <c r="N791" s="182"/>
      <c r="O791" s="183"/>
      <c r="P791" s="183"/>
      <c r="Q791" s="183"/>
      <c r="R791" s="183"/>
      <c r="S791" s="183"/>
      <c r="T791" s="183"/>
      <c r="U791" s="183"/>
      <c r="V791" s="183"/>
      <c r="W791" s="183"/>
      <c r="X791" s="183"/>
      <c r="Y791" s="184"/>
      <c r="Z791" s="185"/>
      <c r="AA791" s="185"/>
      <c r="AB791" s="185"/>
      <c r="AC791" s="185"/>
      <c r="AD791" s="649"/>
      <c r="AE791" s="182"/>
      <c r="AF791" s="332"/>
      <c r="AG791" s="182"/>
      <c r="AH791" s="182"/>
      <c r="AI791" s="182"/>
      <c r="AJ791" s="640"/>
      <c r="AK791" s="182"/>
      <c r="AL791" s="496"/>
      <c r="AM791" s="496"/>
      <c r="AN791" s="626"/>
      <c r="AO791" s="182"/>
      <c r="AP791" s="182"/>
      <c r="AQ791" s="332" t="str">
        <f>UPPER(RIGHT(Journal_Live[[#This Row],[DURATION ]]))</f>
        <v/>
      </c>
      <c r="AR791" s="182"/>
      <c r="AS791" s="189"/>
      <c r="AT791" s="189"/>
      <c r="AU791" s="187"/>
      <c r="AV791" s="190"/>
      <c r="AW791" s="191"/>
      <c r="AX791" s="407"/>
      <c r="AY791" s="407"/>
      <c r="AZ791" s="407"/>
      <c r="BA791" s="407"/>
      <c r="BB791" s="407"/>
      <c r="BC791" s="407"/>
      <c r="BD791" s="407"/>
      <c r="BE791" s="407"/>
      <c r="BF791" s="422"/>
      <c r="BG791" s="391">
        <f>SUM($AV$4:AV791)</f>
        <v>4067.7698715729352</v>
      </c>
      <c r="BH791" s="392">
        <f>SUM($AU$134:AU791)</f>
        <v>12712.112000000028</v>
      </c>
      <c r="BI791" s="318">
        <f>SUMIFS($AU$134:AU792,$Q$134:Q792,"F")</f>
        <v>2350.5333333333328</v>
      </c>
      <c r="BJ791" s="318">
        <f>SUMIFS($AU$134:AU792,$Q$134:Q792,"S")</f>
        <v>10372.441999999999</v>
      </c>
      <c r="BK791" s="343">
        <f>SUMIFS($AU$134:AU792,$P$134:P792,"W")</f>
        <v>7595.7419999999365</v>
      </c>
      <c r="BL791" s="343">
        <f>SUMIFS($AU$134:AU792,$P$134:P792,"R")</f>
        <v>4996.673333333335</v>
      </c>
      <c r="BM791" s="343">
        <f>SUMIFS($AU$134:AU792,$AQ$134:AQ792,"M")</f>
        <v>2253.3999999999814</v>
      </c>
      <c r="BN791" s="343">
        <f>SUMIFS($AU$134:AU792,$AQ$134:AQ792,"H")</f>
        <v>4262.1420000000153</v>
      </c>
      <c r="BO791" s="343">
        <f>SUMIFS($AU$134:AU792,$AQ$134:AQ792,"D")</f>
        <v>2088.346666666715</v>
      </c>
      <c r="BP791" s="343">
        <f>SUMIFS($AU$134:AU794,$AQ$134:AQ794,"W")</f>
        <v>3049.7833333333429</v>
      </c>
      <c r="BQ791" s="343">
        <f>SUMIFS($AU$134:AU792,$Q$134:Q792,"O")</f>
        <v>-266.06333333330844</v>
      </c>
      <c r="BR791" s="343">
        <f>SUMIFS($AU$134:AU792,$AA$134:AA792,"*")</f>
        <v>12829.475333333326</v>
      </c>
      <c r="BS791" s="343">
        <f>SUMIFS($AU$134:AU792,$AB$134:AB792,"*")</f>
        <v>5177.1366666667018</v>
      </c>
      <c r="BT791" s="343">
        <f>SUMIFS($AU$134:AU792,$AC$134:AC792,"*")</f>
        <v>6511.6833333333316</v>
      </c>
      <c r="BU791" s="343">
        <f>SUMIFS($AU$134:AU792,$AA$134:AA792,"*",$AB$134:AB792,"*")</f>
        <v>3362.0000000000045</v>
      </c>
      <c r="BV791" s="343">
        <f>SUMIFS($AU$134:AU792,$AA$134:AA792,"*",$AC$134:AC792,"*")</f>
        <v>7108.7833333333328</v>
      </c>
      <c r="BW791" s="343">
        <f>SUMIFS($AU$134:AU792,$AB$134:AB792,"*",$AC$134:AC792,"*")</f>
        <v>5022.6000000000004</v>
      </c>
      <c r="BX791" s="343">
        <f>SUMIFS($AU792:AU$1388,$Q792:Q$1388,"F")</f>
        <v>12090.133333333333</v>
      </c>
      <c r="BY791" s="343">
        <f>SUMIFS($AU792:AU$1388,$Q792:Q$1388,"S")</f>
        <v>10299.200000000001</v>
      </c>
      <c r="BZ791" s="343">
        <f>SUMIFS($AU792:AU$1388,$Q792:Q$1388,"O")</f>
        <v>-1382.79466666649</v>
      </c>
    </row>
    <row r="792" spans="1:78" ht="15.75" customHeight="1">
      <c r="A792" s="221" t="s">
        <v>3123</v>
      </c>
      <c r="B792" s="177"/>
      <c r="C792" s="178"/>
      <c r="D792" s="178"/>
      <c r="E792" s="227"/>
      <c r="F792" s="180"/>
      <c r="G792" s="181"/>
      <c r="H792" s="182"/>
      <c r="I792" s="182"/>
      <c r="J792" s="182"/>
      <c r="K792" s="183"/>
      <c r="L792" s="182"/>
      <c r="M792" s="182"/>
      <c r="N792" s="182"/>
      <c r="O792" s="183"/>
      <c r="P792" s="183"/>
      <c r="Q792" s="183"/>
      <c r="R792" s="183"/>
      <c r="S792" s="183"/>
      <c r="T792" s="183"/>
      <c r="U792" s="183"/>
      <c r="V792" s="183"/>
      <c r="W792" s="183"/>
      <c r="X792" s="183"/>
      <c r="Y792" s="183"/>
      <c r="Z792" s="185" t="str">
        <f>IF(ISBLANK(O792),"",IF(O792="IB",8.63*200,IF(O792="IR",16*100,IF(O792="YT",20*100,IF(O792="YT-XT",24*200,IF(O792="TED",80*100))))))</f>
        <v/>
      </c>
      <c r="AA792" s="185"/>
      <c r="AB792" s="185"/>
      <c r="AC792" s="185"/>
      <c r="AD792" s="649"/>
      <c r="AE792" s="182"/>
      <c r="AF792" s="332"/>
      <c r="AG792" s="182"/>
      <c r="AH792" s="182"/>
      <c r="AI792" s="182"/>
      <c r="AJ792" s="640"/>
      <c r="AK792" s="182"/>
      <c r="AL792" s="496"/>
      <c r="AM792" s="496"/>
      <c r="AN792" s="626"/>
      <c r="AO792" s="182"/>
      <c r="AP792" s="182"/>
      <c r="AQ792" s="332" t="str">
        <f>UPPER(RIGHT(Journal_Live[[#This Row],[DURATION ]]))</f>
        <v/>
      </c>
      <c r="AR792" s="182"/>
      <c r="AS792" s="189"/>
      <c r="AT792" s="189"/>
      <c r="AU792" s="187"/>
      <c r="AV792" s="190"/>
      <c r="AW792" s="191"/>
      <c r="AX792" s="407" t="s">
        <v>3201</v>
      </c>
      <c r="AY792" s="407" t="s">
        <v>3202</v>
      </c>
      <c r="AZ792" s="407" t="s">
        <v>3203</v>
      </c>
      <c r="BA792" s="407"/>
      <c r="BB792" s="407"/>
      <c r="BC792" s="407"/>
      <c r="BD792" s="407"/>
      <c r="BE792" s="407"/>
      <c r="BF792" s="422"/>
      <c r="BG792" s="391">
        <f>SUM($AV$4:AV792)</f>
        <v>4067.7698715729352</v>
      </c>
      <c r="BH792" s="392">
        <f>SUM($AU$134:AU792)</f>
        <v>12712.112000000028</v>
      </c>
      <c r="BI792" s="318">
        <f>SUMIFS($AU$134:AU793,$Q$134:Q793,"F")</f>
        <v>2350.5333333333328</v>
      </c>
      <c r="BJ792" s="318">
        <f>SUMIFS($AU$134:AU793,$Q$134:Q793,"S")</f>
        <v>10372.441999999999</v>
      </c>
      <c r="BK792" s="343">
        <f>SUMIFS($AU$134:AU793,$P$134:P793,"W")</f>
        <v>7595.7419999999365</v>
      </c>
      <c r="BL792" s="343">
        <f>SUMIFS($AU$134:AU793,$P$134:P793,"R")</f>
        <v>4996.673333333335</v>
      </c>
      <c r="BM792" s="343">
        <f>SUMIFS($AU$134:AU793,$AQ$134:AQ793,"M")</f>
        <v>2253.3999999999814</v>
      </c>
      <c r="BN792" s="343">
        <f>SUMIFS($AU$134:AU793,$AQ$134:AQ793,"H")</f>
        <v>4262.1420000000153</v>
      </c>
      <c r="BO792" s="343">
        <f>SUMIFS($AU$134:AU793,$AQ$134:AQ793,"D")</f>
        <v>2088.346666666715</v>
      </c>
      <c r="BP792" s="343">
        <f>SUMIFS($AU$134:AU795,$AQ$134:AQ795,"W")</f>
        <v>3049.7833333333429</v>
      </c>
      <c r="BQ792" s="343">
        <f>SUMIFS($AU$134:AU793,$Q$134:Q793,"O")</f>
        <v>-266.06333333330844</v>
      </c>
      <c r="BR792" s="343">
        <f>SUMIFS($AU$134:AU793,$AA$134:AA793,"*")</f>
        <v>12829.475333333326</v>
      </c>
      <c r="BS792" s="343">
        <f>SUMIFS($AU$134:AU793,$AB$134:AB793,"*")</f>
        <v>5177.1366666667018</v>
      </c>
      <c r="BT792" s="343">
        <f>SUMIFS($AU$134:AU793,$AC$134:AC793,"*")</f>
        <v>6511.6833333333316</v>
      </c>
      <c r="BU792" s="343">
        <f>SUMIFS($AU$134:AU793,$AA$134:AA793,"*",$AB$134:AB793,"*")</f>
        <v>3362.0000000000045</v>
      </c>
      <c r="BV792" s="343">
        <f>SUMIFS($AU$134:AU793,$AA$134:AA793,"*",$AC$134:AC793,"*")</f>
        <v>7108.7833333333328</v>
      </c>
      <c r="BW792" s="343">
        <f>SUMIFS($AU$134:AU793,$AB$134:AB793,"*",$AC$134:AC793,"*")</f>
        <v>5022.6000000000004</v>
      </c>
      <c r="BX792" s="343">
        <f>SUMIFS($AU793:AU$1388,$Q793:Q$1388,"F")</f>
        <v>12090.133333333333</v>
      </c>
      <c r="BY792" s="343">
        <f>SUMIFS($AU793:AU$1388,$Q793:Q$1388,"S")</f>
        <v>10299.200000000001</v>
      </c>
      <c r="BZ792" s="343">
        <f>SUMIFS($AU793:AU$1388,$Q793:Q$1388,"O")</f>
        <v>-1382.79466666649</v>
      </c>
    </row>
    <row r="793" spans="1:78" ht="15.75" customHeight="1">
      <c r="A793" s="221" t="s">
        <v>3123</v>
      </c>
      <c r="B793" s="177">
        <v>45118</v>
      </c>
      <c r="C793" s="178" t="s">
        <v>2661</v>
      </c>
      <c r="D793" s="178" t="s">
        <v>146</v>
      </c>
      <c r="E793" s="227" t="s">
        <v>3204</v>
      </c>
      <c r="F793" s="180"/>
      <c r="G793" s="181"/>
      <c r="H793" s="182">
        <v>1</v>
      </c>
      <c r="I793" s="182"/>
      <c r="J793" s="182"/>
      <c r="K793" s="183" t="s">
        <v>115</v>
      </c>
      <c r="L793" s="182"/>
      <c r="M793" s="182"/>
      <c r="N793" s="182"/>
      <c r="O793" s="183"/>
      <c r="P793" s="183"/>
      <c r="Q793" s="183"/>
      <c r="R793" s="183"/>
      <c r="S793" s="183"/>
      <c r="T793" s="183"/>
      <c r="U793" s="183"/>
      <c r="V793" s="183"/>
      <c r="W793" s="183"/>
      <c r="X793" s="183"/>
      <c r="Y793" s="183"/>
      <c r="Z793" s="185" t="str">
        <f>IF(ISBLANK(O793),"",IF(O793="IB",8.63*200,IF(O793="IR",16*100,IF(O793="YT",20*100,IF(O793="YT-XT",24*200,IF(O793="TED",80*100))))))</f>
        <v/>
      </c>
      <c r="AA793" s="185"/>
      <c r="AB793" s="185"/>
      <c r="AC793" s="185"/>
      <c r="AD793" s="649"/>
      <c r="AE793" s="182"/>
      <c r="AF793" s="332"/>
      <c r="AG793" s="182"/>
      <c r="AH793" s="182"/>
      <c r="AI793" s="182"/>
      <c r="AJ793" s="640"/>
      <c r="AK793" s="182"/>
      <c r="AL793" s="496"/>
      <c r="AM793" s="496"/>
      <c r="AN793" s="626"/>
      <c r="AO793" s="182"/>
      <c r="AP793" s="182"/>
      <c r="AQ793" s="332" t="str">
        <f>UPPER(RIGHT(Journal_Live[[#This Row],[DURATION ]]))</f>
        <v/>
      </c>
      <c r="AR793" s="182"/>
      <c r="AS793" s="189"/>
      <c r="AT793" s="189"/>
      <c r="AU793" s="187"/>
      <c r="AV793" s="190"/>
      <c r="AW793" s="191"/>
      <c r="AX793" s="407"/>
      <c r="AY793" s="407"/>
      <c r="AZ793" s="407"/>
      <c r="BA793" s="407"/>
      <c r="BB793" s="407"/>
      <c r="BC793" s="407"/>
      <c r="BD793" s="407"/>
      <c r="BE793" s="407"/>
      <c r="BF793" s="422"/>
      <c r="BG793" s="391">
        <f>SUM($AV$4:AV793)</f>
        <v>4067.7698715729352</v>
      </c>
      <c r="BH793" s="392">
        <f>SUM($AU$134:AU793)</f>
        <v>12712.112000000028</v>
      </c>
      <c r="BI793" s="318">
        <f>SUMIFS($AU$134:AU794,$Q$134:Q794,"F")</f>
        <v>2350.5333333333328</v>
      </c>
      <c r="BJ793" s="318">
        <f>SUMIFS($AU$134:AU794,$Q$134:Q794,"S")</f>
        <v>10372.441999999999</v>
      </c>
      <c r="BK793" s="343">
        <f>SUMIFS($AU$134:AU794,$P$134:P794,"W")</f>
        <v>7595.7419999999365</v>
      </c>
      <c r="BL793" s="343">
        <f>SUMIFS($AU$134:AU794,$P$134:P794,"R")</f>
        <v>4996.673333333335</v>
      </c>
      <c r="BM793" s="343">
        <f>SUMIFS($AU$134:AU794,$AQ$134:AQ794,"M")</f>
        <v>2253.3999999999814</v>
      </c>
      <c r="BN793" s="343">
        <f>SUMIFS($AU$134:AU794,$AQ$134:AQ794,"H")</f>
        <v>4262.1420000000153</v>
      </c>
      <c r="BO793" s="343">
        <f>SUMIFS($AU$134:AU794,$AQ$134:AQ794,"D")</f>
        <v>2088.346666666715</v>
      </c>
      <c r="BP793" s="343">
        <f>SUMIFS($AU$134:AU796,$AQ$134:AQ796,"W")</f>
        <v>3049.7833333333429</v>
      </c>
      <c r="BQ793" s="343">
        <f>SUMIFS($AU$134:AU794,$Q$134:Q794,"O")</f>
        <v>-266.06333333330844</v>
      </c>
      <c r="BR793" s="343">
        <f>SUMIFS($AU$134:AU794,$AA$134:AA794,"*")</f>
        <v>12829.475333333326</v>
      </c>
      <c r="BS793" s="343">
        <f>SUMIFS($AU$134:AU794,$AB$134:AB794,"*")</f>
        <v>5177.1366666667018</v>
      </c>
      <c r="BT793" s="343">
        <f>SUMIFS($AU$134:AU794,$AC$134:AC794,"*")</f>
        <v>6511.6833333333316</v>
      </c>
      <c r="BU793" s="343">
        <f>SUMIFS($AU$134:AU794,$AA$134:AA794,"*",$AB$134:AB794,"*")</f>
        <v>3362.0000000000045</v>
      </c>
      <c r="BV793" s="343">
        <f>SUMIFS($AU$134:AU794,$AA$134:AA794,"*",$AC$134:AC794,"*")</f>
        <v>7108.7833333333328</v>
      </c>
      <c r="BW793" s="343">
        <f>SUMIFS($AU$134:AU794,$AB$134:AB794,"*",$AC$134:AC794,"*")</f>
        <v>5022.6000000000004</v>
      </c>
      <c r="BX793" s="343">
        <f>SUMIFS($AU794:AU$1388,$Q794:Q$1388,"F")</f>
        <v>12090.133333333333</v>
      </c>
      <c r="BY793" s="343">
        <f>SUMIFS($AU794:AU$1388,$Q794:Q$1388,"S")</f>
        <v>10299.200000000001</v>
      </c>
      <c r="BZ793" s="343">
        <f>SUMIFS($AU794:AU$1388,$Q794:Q$1388,"O")</f>
        <v>-1382.79466666649</v>
      </c>
    </row>
    <row r="794" spans="1:78" ht="15.75" customHeight="1">
      <c r="A794" s="221" t="s">
        <v>3123</v>
      </c>
      <c r="B794" s="177">
        <v>45118</v>
      </c>
      <c r="C794" s="178" t="s">
        <v>1242</v>
      </c>
      <c r="D794" s="178" t="s">
        <v>146</v>
      </c>
      <c r="E794" s="227"/>
      <c r="F794" s="180"/>
      <c r="G794" s="181" t="s">
        <v>181</v>
      </c>
      <c r="H794" s="182"/>
      <c r="I794" s="182"/>
      <c r="J794" s="182"/>
      <c r="K794" s="183"/>
      <c r="L794" s="182"/>
      <c r="M794" s="182"/>
      <c r="N794" s="182"/>
      <c r="O794" s="183"/>
      <c r="P794" s="183"/>
      <c r="Q794" s="183"/>
      <c r="R794" s="183"/>
      <c r="S794" s="183"/>
      <c r="T794" s="183"/>
      <c r="U794" s="183"/>
      <c r="V794" s="183"/>
      <c r="W794" s="183"/>
      <c r="X794" s="183"/>
      <c r="Y794" s="184"/>
      <c r="Z794" s="185"/>
      <c r="AA794" s="185"/>
      <c r="AB794" s="185"/>
      <c r="AC794" s="185"/>
      <c r="AD794" s="649"/>
      <c r="AE794" s="182"/>
      <c r="AF794" s="332"/>
      <c r="AG794" s="182"/>
      <c r="AH794" s="182"/>
      <c r="AI794" s="182"/>
      <c r="AJ794" s="640"/>
      <c r="AK794" s="182"/>
      <c r="AL794" s="496"/>
      <c r="AM794" s="496"/>
      <c r="AN794" s="626"/>
      <c r="AO794" s="182"/>
      <c r="AP794" s="182"/>
      <c r="AQ794" s="332" t="str">
        <f>UPPER(RIGHT(Journal_Live[[#This Row],[DURATION ]]))</f>
        <v/>
      </c>
      <c r="AR794" s="182"/>
      <c r="AS794" s="189"/>
      <c r="AT794" s="189"/>
      <c r="AU794" s="187"/>
      <c r="AV794" s="190"/>
      <c r="AW794" s="191"/>
      <c r="AX794" s="407"/>
      <c r="AY794" s="407"/>
      <c r="AZ794" s="407"/>
      <c r="BA794" s="407"/>
      <c r="BB794" s="407"/>
      <c r="BC794" s="407"/>
      <c r="BD794" s="407"/>
      <c r="BE794" s="407"/>
      <c r="BF794" s="422"/>
      <c r="BG794" s="391">
        <f>SUM($AV$4:AV794)</f>
        <v>4067.7698715729352</v>
      </c>
      <c r="BH794" s="392">
        <f>SUM($AU$134:AU794)</f>
        <v>12712.112000000028</v>
      </c>
      <c r="BI794" s="318">
        <f>SUMIFS($AU$134:AU795,$Q$134:Q795,"F")</f>
        <v>2350.5333333333328</v>
      </c>
      <c r="BJ794" s="318">
        <f>SUMIFS($AU$134:AU795,$Q$134:Q795,"S")</f>
        <v>10372.441999999999</v>
      </c>
      <c r="BK794" s="343">
        <f>SUMIFS($AU$134:AU795,$P$134:P795,"W")</f>
        <v>7595.7419999999365</v>
      </c>
      <c r="BL794" s="343">
        <f>SUMIFS($AU$134:AU795,$P$134:P795,"R")</f>
        <v>4996.673333333335</v>
      </c>
      <c r="BM794" s="343">
        <f>SUMIFS($AU$134:AU795,$AQ$134:AQ795,"M")</f>
        <v>2253.3999999999814</v>
      </c>
      <c r="BN794" s="343">
        <f>SUMIFS($AU$134:AU795,$AQ$134:AQ795,"H")</f>
        <v>4262.1420000000153</v>
      </c>
      <c r="BO794" s="343">
        <f>SUMIFS($AU$134:AU795,$AQ$134:AQ795,"D")</f>
        <v>2088.346666666715</v>
      </c>
      <c r="BP794" s="343">
        <f>SUMIFS($AU$134:AU797,$AQ$134:AQ797,"W")</f>
        <v>3049.7833333333429</v>
      </c>
      <c r="BQ794" s="343">
        <f>SUMIFS($AU$134:AU795,$Q$134:Q795,"O")</f>
        <v>-266.06333333330844</v>
      </c>
      <c r="BR794" s="343">
        <f>SUMIFS($AU$134:AU795,$AA$134:AA795,"*")</f>
        <v>12829.475333333326</v>
      </c>
      <c r="BS794" s="343">
        <f>SUMIFS($AU$134:AU795,$AB$134:AB795,"*")</f>
        <v>5177.1366666667018</v>
      </c>
      <c r="BT794" s="343">
        <f>SUMIFS($AU$134:AU795,$AC$134:AC795,"*")</f>
        <v>6511.6833333333316</v>
      </c>
      <c r="BU794" s="343">
        <f>SUMIFS($AU$134:AU795,$AA$134:AA795,"*",$AB$134:AB795,"*")</f>
        <v>3362.0000000000045</v>
      </c>
      <c r="BV794" s="343">
        <f>SUMIFS($AU$134:AU795,$AA$134:AA795,"*",$AC$134:AC795,"*")</f>
        <v>7108.7833333333328</v>
      </c>
      <c r="BW794" s="343">
        <f>SUMIFS($AU$134:AU795,$AB$134:AB795,"*",$AC$134:AC795,"*")</f>
        <v>5022.6000000000004</v>
      </c>
      <c r="BX794" s="343">
        <f>SUMIFS($AU795:AU$1388,$Q795:Q$1388,"F")</f>
        <v>12090.133333333333</v>
      </c>
      <c r="BY794" s="343">
        <f>SUMIFS($AU795:AU$1388,$Q795:Q$1388,"S")</f>
        <v>10299.200000000001</v>
      </c>
      <c r="BZ794" s="343">
        <f>SUMIFS($AU795:AU$1388,$Q795:Q$1388,"O")</f>
        <v>-1382.79466666649</v>
      </c>
    </row>
    <row r="795" spans="1:78" ht="15.75" customHeight="1">
      <c r="A795" s="221" t="s">
        <v>3123</v>
      </c>
      <c r="B795" s="177">
        <v>45118</v>
      </c>
      <c r="C795" s="178" t="s">
        <v>3205</v>
      </c>
      <c r="D795" s="178" t="s">
        <v>146</v>
      </c>
      <c r="E795" s="227"/>
      <c r="F795" s="180"/>
      <c r="G795" s="281" t="s">
        <v>94</v>
      </c>
      <c r="H795" s="182"/>
      <c r="I795" s="182"/>
      <c r="J795" s="182"/>
      <c r="K795" s="183"/>
      <c r="L795" s="182">
        <v>1</v>
      </c>
      <c r="M795" s="182"/>
      <c r="N795" s="182"/>
      <c r="O795" s="183" t="s">
        <v>95</v>
      </c>
      <c r="P795" s="183" t="s">
        <v>96</v>
      </c>
      <c r="Q795" s="183" t="s">
        <v>97</v>
      </c>
      <c r="R795" s="183">
        <v>5</v>
      </c>
      <c r="S795" s="183">
        <v>0</v>
      </c>
      <c r="T795" s="183">
        <v>5</v>
      </c>
      <c r="U795" s="183" t="s">
        <v>22</v>
      </c>
      <c r="V795" s="183"/>
      <c r="W795" s="183"/>
      <c r="X795" s="183"/>
      <c r="Y795" s="184">
        <f>IF(ISBLANK(O795),"",(IF(O795=UPPER("IB"),0.005,0.01)))</f>
        <v>0.01</v>
      </c>
      <c r="Z795" s="185">
        <f>IF(ISBLANK(O795),"",IF(O795="IB",8.63*200,IF(O795="IR",16*100,IF(O795="YT",20*100,IF(O795="YT-XT",24*200,IF(O795="TED",80*100))))))</f>
        <v>1600</v>
      </c>
      <c r="AA795" s="185" t="s">
        <v>3206</v>
      </c>
      <c r="AB795" s="185" t="s">
        <v>3207</v>
      </c>
      <c r="AC795" s="185"/>
      <c r="AD795" s="649">
        <v>0.21</v>
      </c>
      <c r="AE795" s="182"/>
      <c r="AF795" s="332"/>
      <c r="AG795" s="182"/>
      <c r="AH795" s="182"/>
      <c r="AI795" s="182"/>
      <c r="AJ795" s="644"/>
      <c r="AK795" s="182"/>
      <c r="AL795" s="496">
        <f t="shared" ref="AL795" si="280">-0.03*Z795</f>
        <v>-48</v>
      </c>
      <c r="AM795" s="496">
        <f>AL795*(R795-S795)</f>
        <v>-240</v>
      </c>
      <c r="AN795" s="626"/>
      <c r="AO795" s="182"/>
      <c r="AP795" s="182" t="s">
        <v>967</v>
      </c>
      <c r="AQ795" s="332" t="str">
        <f>UPPER(RIGHT(Journal_Live[[#This Row],[DURATION ]]))</f>
        <v>H</v>
      </c>
      <c r="AR795" s="182" t="s">
        <v>1508</v>
      </c>
      <c r="AS795" s="189">
        <v>0.21</v>
      </c>
      <c r="AT795" s="189">
        <f>IF(ISBLANK(AS795),,IF(U795="S",AD795-AS795,AS795-AD795))</f>
        <v>0</v>
      </c>
      <c r="AU795" s="187">
        <f>AV795*R795</f>
        <v>0</v>
      </c>
      <c r="AV795" s="190">
        <f>IF(ISBLANK(AS795),,(AT795*Z795))</f>
        <v>0</v>
      </c>
      <c r="AW795" s="191" t="s">
        <v>115</v>
      </c>
      <c r="AX795" s="407"/>
      <c r="AY795" s="407"/>
      <c r="AZ795" s="407"/>
      <c r="BA795" s="407"/>
      <c r="BB795" s="407"/>
      <c r="BC795" s="407"/>
      <c r="BD795" s="407"/>
      <c r="BE795" s="407"/>
      <c r="BF795" s="422"/>
      <c r="BG795" s="391">
        <f>SUM($AV$4:AV795)</f>
        <v>4067.7698715729352</v>
      </c>
      <c r="BH795" s="392">
        <f>SUM($AU$134:AU795)</f>
        <v>12712.112000000028</v>
      </c>
      <c r="BI795" s="318">
        <f>SUMIFS($AU$134:AU796,$Q$134:Q796,"F")</f>
        <v>2350.5333333333328</v>
      </c>
      <c r="BJ795" s="318">
        <f>SUMIFS($AU$134:AU796,$Q$134:Q796,"S")</f>
        <v>10372.441999999999</v>
      </c>
      <c r="BK795" s="343">
        <f>SUMIFS($AU$134:AU796,$P$134:P796,"W")</f>
        <v>7595.7419999999365</v>
      </c>
      <c r="BL795" s="343">
        <f>SUMIFS($AU$134:AU796,$P$134:P796,"R")</f>
        <v>4996.673333333335</v>
      </c>
      <c r="BM795" s="343">
        <f>SUMIFS($AU$134:AU796,$AQ$134:AQ796,"M")</f>
        <v>2253.3999999999814</v>
      </c>
      <c r="BN795" s="343">
        <f>SUMIFS($AU$134:AU796,$AQ$134:AQ796,"H")</f>
        <v>4262.1420000000153</v>
      </c>
      <c r="BO795" s="343">
        <f>SUMIFS($AU$134:AU796,$AQ$134:AQ796,"D")</f>
        <v>2088.346666666715</v>
      </c>
      <c r="BP795" s="343">
        <f>SUMIFS($AU$134:AU798,$AQ$134:AQ798,"W")</f>
        <v>3049.7833333333429</v>
      </c>
      <c r="BQ795" s="343">
        <f>SUMIFS($AU$134:AU796,$Q$134:Q796,"O")</f>
        <v>-266.06333333330844</v>
      </c>
      <c r="BR795" s="343">
        <f>SUMIFS($AU$134:AU796,$AA$134:AA796,"*")</f>
        <v>12829.475333333326</v>
      </c>
      <c r="BS795" s="343">
        <f>SUMIFS($AU$134:AU796,$AB$134:AB796,"*")</f>
        <v>5177.1366666667018</v>
      </c>
      <c r="BT795" s="343">
        <f>SUMIFS($AU$134:AU796,$AC$134:AC796,"*")</f>
        <v>6511.6833333333316</v>
      </c>
      <c r="BU795" s="343">
        <f>SUMIFS($AU$134:AU796,$AA$134:AA796,"*",$AB$134:AB796,"*")</f>
        <v>3362.0000000000045</v>
      </c>
      <c r="BV795" s="343">
        <f>SUMIFS($AU$134:AU796,$AA$134:AA796,"*",$AC$134:AC796,"*")</f>
        <v>7108.7833333333328</v>
      </c>
      <c r="BW795" s="343">
        <f>SUMIFS($AU$134:AU796,$AB$134:AB796,"*",$AC$134:AC796,"*")</f>
        <v>5022.6000000000004</v>
      </c>
      <c r="BX795" s="343">
        <f>SUMIFS($AU796:AU$1388,$Q796:Q$1388,"F")</f>
        <v>12090.133333333333</v>
      </c>
      <c r="BY795" s="343">
        <f>SUMIFS($AU796:AU$1388,$Q796:Q$1388,"S")</f>
        <v>10299.200000000001</v>
      </c>
      <c r="BZ795" s="343">
        <f>SUMIFS($AU796:AU$1388,$Q796:Q$1388,"O")</f>
        <v>-1382.79466666649</v>
      </c>
    </row>
    <row r="796" spans="1:78" ht="15.75" customHeight="1">
      <c r="A796" s="221" t="s">
        <v>3123</v>
      </c>
      <c r="B796" s="177">
        <v>45118</v>
      </c>
      <c r="C796" s="178" t="s">
        <v>3208</v>
      </c>
      <c r="D796" s="178" t="s">
        <v>146</v>
      </c>
      <c r="E796" s="227"/>
      <c r="F796" s="180"/>
      <c r="G796" s="181" t="s">
        <v>3125</v>
      </c>
      <c r="H796" s="182"/>
      <c r="I796" s="182"/>
      <c r="J796" s="182"/>
      <c r="K796" s="183"/>
      <c r="L796" s="182"/>
      <c r="M796" s="182"/>
      <c r="N796" s="182"/>
      <c r="O796" s="183"/>
      <c r="P796" s="183"/>
      <c r="Q796" s="183"/>
      <c r="R796" s="183"/>
      <c r="S796" s="183"/>
      <c r="T796" s="183"/>
      <c r="U796" s="183"/>
      <c r="V796" s="183"/>
      <c r="W796" s="183"/>
      <c r="X796" s="183"/>
      <c r="Y796" s="184"/>
      <c r="Z796" s="185"/>
      <c r="AA796" s="185"/>
      <c r="AB796" s="185"/>
      <c r="AC796" s="185"/>
      <c r="AD796" s="649"/>
      <c r="AE796" s="182"/>
      <c r="AF796" s="332"/>
      <c r="AG796" s="182"/>
      <c r="AH796" s="182"/>
      <c r="AI796" s="182"/>
      <c r="AJ796" s="640"/>
      <c r="AK796" s="182"/>
      <c r="AL796" s="496"/>
      <c r="AM796" s="496"/>
      <c r="AN796" s="626"/>
      <c r="AO796" s="182"/>
      <c r="AP796" s="182"/>
      <c r="AQ796" s="332" t="str">
        <f>UPPER(RIGHT(Journal_Live[[#This Row],[DURATION ]]))</f>
        <v/>
      </c>
      <c r="AR796" s="182"/>
      <c r="AS796" s="189"/>
      <c r="AT796" s="189"/>
      <c r="AU796" s="187"/>
      <c r="AV796" s="190"/>
      <c r="AW796" s="191"/>
      <c r="AX796" s="407" t="s">
        <v>829</v>
      </c>
      <c r="AY796" s="407" t="s">
        <v>3209</v>
      </c>
      <c r="AZ796" s="407"/>
      <c r="BA796" s="407"/>
      <c r="BB796" s="407"/>
      <c r="BC796" s="407"/>
      <c r="BD796" s="407"/>
      <c r="BE796" s="407"/>
      <c r="BF796" s="422"/>
      <c r="BG796" s="391">
        <f>SUM($AV$4:AV796)</f>
        <v>4067.7698715729352</v>
      </c>
      <c r="BH796" s="392">
        <f>SUM($AU$134:AU796)</f>
        <v>12712.112000000028</v>
      </c>
      <c r="BI796" s="318">
        <f>SUMIFS($AU$134:AU797,$Q$134:Q797,"F")</f>
        <v>2350.5333333333328</v>
      </c>
      <c r="BJ796" s="318">
        <f>SUMIFS($AU$134:AU797,$Q$134:Q797,"S")</f>
        <v>10372.441999999999</v>
      </c>
      <c r="BK796" s="343">
        <f>SUMIFS($AU$134:AU797,$P$134:P797,"W")</f>
        <v>7595.7419999999365</v>
      </c>
      <c r="BL796" s="343">
        <f>SUMIFS($AU$134:AU797,$P$134:P797,"R")</f>
        <v>4996.673333333335</v>
      </c>
      <c r="BM796" s="343">
        <f>SUMIFS($AU$134:AU797,$AQ$134:AQ797,"M")</f>
        <v>2253.3999999999814</v>
      </c>
      <c r="BN796" s="343">
        <f>SUMIFS($AU$134:AU797,$AQ$134:AQ797,"H")</f>
        <v>4262.1420000000153</v>
      </c>
      <c r="BO796" s="343">
        <f>SUMIFS($AU$134:AU797,$AQ$134:AQ797,"D")</f>
        <v>2088.346666666715</v>
      </c>
      <c r="BP796" s="343">
        <f>SUMIFS($AU$134:AU799,$AQ$134:AQ799,"W")</f>
        <v>3049.7833333333429</v>
      </c>
      <c r="BQ796" s="343">
        <f>SUMIFS($AU$134:AU797,$Q$134:Q797,"O")</f>
        <v>-266.06333333330844</v>
      </c>
      <c r="BR796" s="343">
        <f>SUMIFS($AU$134:AU797,$AA$134:AA797,"*")</f>
        <v>12829.475333333326</v>
      </c>
      <c r="BS796" s="343">
        <f>SUMIFS($AU$134:AU797,$AB$134:AB797,"*")</f>
        <v>5177.1366666667018</v>
      </c>
      <c r="BT796" s="343">
        <f>SUMIFS($AU$134:AU797,$AC$134:AC797,"*")</f>
        <v>6511.6833333333316</v>
      </c>
      <c r="BU796" s="343">
        <f>SUMIFS($AU$134:AU797,$AA$134:AA797,"*",$AB$134:AB797,"*")</f>
        <v>3362.0000000000045</v>
      </c>
      <c r="BV796" s="343">
        <f>SUMIFS($AU$134:AU797,$AA$134:AA797,"*",$AC$134:AC797,"*")</f>
        <v>7108.7833333333328</v>
      </c>
      <c r="BW796" s="343">
        <f>SUMIFS($AU$134:AU797,$AB$134:AB797,"*",$AC$134:AC797,"*")</f>
        <v>5022.6000000000004</v>
      </c>
      <c r="BX796" s="343">
        <f>SUMIFS($AU797:AU$1388,$Q797:Q$1388,"F")</f>
        <v>12090.133333333333</v>
      </c>
      <c r="BY796" s="343">
        <f>SUMIFS($AU797:AU$1388,$Q797:Q$1388,"S")</f>
        <v>10299.200000000001</v>
      </c>
      <c r="BZ796" s="343">
        <f>SUMIFS($AU797:AU$1388,$Q797:Q$1388,"O")</f>
        <v>-1382.79466666649</v>
      </c>
    </row>
    <row r="797" spans="1:78" ht="15.75" customHeight="1">
      <c r="A797" s="221" t="s">
        <v>3123</v>
      </c>
      <c r="B797" s="177"/>
      <c r="C797" s="178"/>
      <c r="D797" s="178"/>
      <c r="E797" s="227"/>
      <c r="F797" s="180"/>
      <c r="G797" s="181"/>
      <c r="H797" s="182"/>
      <c r="I797" s="182"/>
      <c r="J797" s="182"/>
      <c r="K797" s="183"/>
      <c r="L797" s="182"/>
      <c r="M797" s="182"/>
      <c r="N797" s="182"/>
      <c r="O797" s="183"/>
      <c r="P797" s="183"/>
      <c r="Q797" s="183"/>
      <c r="R797" s="183"/>
      <c r="S797" s="183"/>
      <c r="T797" s="183"/>
      <c r="U797" s="183"/>
      <c r="V797" s="183"/>
      <c r="W797" s="183"/>
      <c r="X797" s="183"/>
      <c r="Y797" s="184" t="str">
        <f>IF(ISBLANK(O797),"",(IF(O797=UPPER("IB"),0.005,0.01)))</f>
        <v/>
      </c>
      <c r="Z797" s="185" t="str">
        <f>IF(ISBLANK(O797),"",IF(O797="IB",8.63*200,IF(O797="IR",16*100,IF(O797="YT",20*100,IF(O797="YT-XT",24*200,IF(O797="TED",80*100))))))</f>
        <v/>
      </c>
      <c r="AA797" s="185"/>
      <c r="AB797" s="185"/>
      <c r="AC797" s="185"/>
      <c r="AD797" s="649"/>
      <c r="AE797" s="182"/>
      <c r="AF797" s="332"/>
      <c r="AG797" s="182"/>
      <c r="AH797" s="182"/>
      <c r="AI797" s="182"/>
      <c r="AJ797" s="640"/>
      <c r="AK797" s="182"/>
      <c r="AL797" s="496"/>
      <c r="AM797" s="496"/>
      <c r="AN797" s="626"/>
      <c r="AO797" s="182"/>
      <c r="AP797" s="182"/>
      <c r="AQ797" s="332" t="str">
        <f>UPPER(RIGHT(Journal_Live[[#This Row],[DURATION ]]))</f>
        <v/>
      </c>
      <c r="AR797" s="182"/>
      <c r="AS797" s="189"/>
      <c r="AT797" s="189"/>
      <c r="AU797" s="187"/>
      <c r="AV797" s="190"/>
      <c r="AW797" s="191"/>
      <c r="AX797" s="407" t="s">
        <v>3210</v>
      </c>
      <c r="AY797" s="407" t="s">
        <v>3211</v>
      </c>
      <c r="AZ797" s="407" t="s">
        <v>3212</v>
      </c>
      <c r="BA797" s="407"/>
      <c r="BB797" s="407"/>
      <c r="BC797" s="407"/>
      <c r="BD797" s="407"/>
      <c r="BE797" s="407"/>
      <c r="BF797" s="422"/>
      <c r="BG797" s="391">
        <f>SUM($AV$4:AV797)</f>
        <v>4067.7698715729352</v>
      </c>
      <c r="BH797" s="392">
        <f>SUM($AU$134:AU797)</f>
        <v>12712.112000000028</v>
      </c>
      <c r="BI797" s="318">
        <f>SUMIFS($AU$134:AU798,$Q$134:Q798,"F")</f>
        <v>2350.5333333333328</v>
      </c>
      <c r="BJ797" s="318">
        <f>SUMIFS($AU$134:AU798,$Q$134:Q798,"S")</f>
        <v>10372.441999999999</v>
      </c>
      <c r="BK797" s="343">
        <f>SUMIFS($AU$134:AU798,$P$134:P798,"W")</f>
        <v>7595.7419999999365</v>
      </c>
      <c r="BL797" s="343">
        <f>SUMIFS($AU$134:AU798,$P$134:P798,"R")</f>
        <v>4996.673333333335</v>
      </c>
      <c r="BM797" s="343">
        <f>SUMIFS($AU$134:AU798,$AQ$134:AQ798,"M")</f>
        <v>2253.3999999999814</v>
      </c>
      <c r="BN797" s="343">
        <f>SUMIFS($AU$134:AU798,$AQ$134:AQ798,"H")</f>
        <v>4262.1420000000153</v>
      </c>
      <c r="BO797" s="343">
        <f>SUMIFS($AU$134:AU798,$AQ$134:AQ798,"D")</f>
        <v>2088.346666666715</v>
      </c>
      <c r="BP797" s="343">
        <f>SUMIFS($AU$134:AU800,$AQ$134:AQ800,"W")</f>
        <v>3049.7833333333429</v>
      </c>
      <c r="BQ797" s="343">
        <f>SUMIFS($AU$134:AU798,$Q$134:Q798,"O")</f>
        <v>-266.06333333330844</v>
      </c>
      <c r="BR797" s="343">
        <f>SUMIFS($AU$134:AU798,$AA$134:AA798,"*")</f>
        <v>12829.475333333326</v>
      </c>
      <c r="BS797" s="343">
        <f>SUMIFS($AU$134:AU798,$AB$134:AB798,"*")</f>
        <v>5177.1366666667018</v>
      </c>
      <c r="BT797" s="343">
        <f>SUMIFS($AU$134:AU798,$AC$134:AC798,"*")</f>
        <v>6511.6833333333316</v>
      </c>
      <c r="BU797" s="343">
        <f>SUMIFS($AU$134:AU798,$AA$134:AA798,"*",$AB$134:AB798,"*")</f>
        <v>3362.0000000000045</v>
      </c>
      <c r="BV797" s="343">
        <f>SUMIFS($AU$134:AU798,$AA$134:AA798,"*",$AC$134:AC798,"*")</f>
        <v>7108.7833333333328</v>
      </c>
      <c r="BW797" s="343">
        <f>SUMIFS($AU$134:AU798,$AB$134:AB798,"*",$AC$134:AC798,"*")</f>
        <v>5022.6000000000004</v>
      </c>
      <c r="BX797" s="343">
        <f>SUMIFS($AU798:AU$1388,$Q798:Q$1388,"F")</f>
        <v>12090.133333333333</v>
      </c>
      <c r="BY797" s="343">
        <f>SUMIFS($AU798:AU$1388,$Q798:Q$1388,"S")</f>
        <v>10299.200000000001</v>
      </c>
      <c r="BZ797" s="343">
        <f>SUMIFS($AU798:AU$1388,$Q798:Q$1388,"O")</f>
        <v>-1382.79466666649</v>
      </c>
    </row>
    <row r="798" spans="1:78" ht="15.75" customHeight="1">
      <c r="A798" s="221" t="s">
        <v>3123</v>
      </c>
      <c r="B798" s="177">
        <v>45119</v>
      </c>
      <c r="C798" s="178" t="s">
        <v>664</v>
      </c>
      <c r="D798" s="178" t="s">
        <v>151</v>
      </c>
      <c r="E798" s="227" t="s">
        <v>3213</v>
      </c>
      <c r="F798" s="180"/>
      <c r="G798" s="181"/>
      <c r="H798" s="182"/>
      <c r="I798" s="182"/>
      <c r="J798" s="182"/>
      <c r="K798" s="183"/>
      <c r="L798" s="182"/>
      <c r="M798" s="182"/>
      <c r="N798" s="182"/>
      <c r="O798" s="183"/>
      <c r="P798" s="183"/>
      <c r="Q798" s="183"/>
      <c r="R798" s="183"/>
      <c r="S798" s="183"/>
      <c r="T798" s="183"/>
      <c r="U798" s="183"/>
      <c r="V798" s="183"/>
      <c r="W798" s="183"/>
      <c r="X798" s="183"/>
      <c r="Y798" s="184" t="str">
        <f>IF(ISBLANK(O798),"",(IF(O798=UPPER("IB"),0.005,0.01)))</f>
        <v/>
      </c>
      <c r="Z798" s="185" t="str">
        <f>IF(ISBLANK(O798),"",IF(O798="IB",8.63*200,IF(O798="IR",16*100,IF(O798="YT",20*100,IF(O798="YT-XT",24*200,IF(O798="TED",80*100))))))</f>
        <v/>
      </c>
      <c r="AA798" s="185"/>
      <c r="AB798" s="185"/>
      <c r="AC798" s="185"/>
      <c r="AD798" s="649"/>
      <c r="AE798" s="182"/>
      <c r="AF798" s="332"/>
      <c r="AG798" s="182"/>
      <c r="AH798" s="182"/>
      <c r="AI798" s="182"/>
      <c r="AJ798" s="640"/>
      <c r="AK798" s="182"/>
      <c r="AL798" s="496"/>
      <c r="AM798" s="496"/>
      <c r="AN798" s="626"/>
      <c r="AO798" s="182"/>
      <c r="AP798" s="182"/>
      <c r="AQ798" s="332" t="str">
        <f>UPPER(RIGHT(Journal_Live[[#This Row],[DURATION ]]))</f>
        <v/>
      </c>
      <c r="AR798" s="182"/>
      <c r="AS798" s="189"/>
      <c r="AT798" s="189"/>
      <c r="AU798" s="187"/>
      <c r="AV798" s="190"/>
      <c r="AW798" s="191"/>
      <c r="AX798" s="407"/>
      <c r="AY798" s="407"/>
      <c r="AZ798" s="407"/>
      <c r="BA798" s="407"/>
      <c r="BB798" s="407"/>
      <c r="BC798" s="407"/>
      <c r="BD798" s="407"/>
      <c r="BE798" s="407"/>
      <c r="BF798" s="422"/>
      <c r="BG798" s="391">
        <f>SUM($AV$4:AV798)</f>
        <v>4067.7698715729352</v>
      </c>
      <c r="BH798" s="392">
        <f>SUM($AU$134:AU798)</f>
        <v>12712.112000000028</v>
      </c>
      <c r="BI798" s="318">
        <f>SUMIFS($AU$134:AU799,$Q$134:Q799,"F")</f>
        <v>2350.5333333333328</v>
      </c>
      <c r="BJ798" s="318">
        <f>SUMIFS($AU$134:AU799,$Q$134:Q799,"S")</f>
        <v>10372.441999999999</v>
      </c>
      <c r="BK798" s="343">
        <f>SUMIFS($AU$134:AU799,$P$134:P799,"W")</f>
        <v>7595.7419999999365</v>
      </c>
      <c r="BL798" s="343">
        <f>SUMIFS($AU$134:AU799,$P$134:P799,"R")</f>
        <v>4996.673333333335</v>
      </c>
      <c r="BM798" s="343">
        <f>SUMIFS($AU$134:AU799,$AQ$134:AQ799,"M")</f>
        <v>2253.3999999999814</v>
      </c>
      <c r="BN798" s="343">
        <f>SUMIFS($AU$134:AU799,$AQ$134:AQ799,"H")</f>
        <v>4262.1420000000153</v>
      </c>
      <c r="BO798" s="343">
        <f>SUMIFS($AU$134:AU799,$AQ$134:AQ799,"D")</f>
        <v>2088.346666666715</v>
      </c>
      <c r="BP798" s="343">
        <f>SUMIFS($AU$134:AU801,$AQ$134:AQ801,"W")</f>
        <v>3049.7833333333429</v>
      </c>
      <c r="BQ798" s="343">
        <f>SUMIFS($AU$134:AU799,$Q$134:Q799,"O")</f>
        <v>-266.06333333330844</v>
      </c>
      <c r="BR798" s="343">
        <f>SUMIFS($AU$134:AU799,$AA$134:AA799,"*")</f>
        <v>12829.475333333326</v>
      </c>
      <c r="BS798" s="343">
        <f>SUMIFS($AU$134:AU799,$AB$134:AB799,"*")</f>
        <v>5177.1366666667018</v>
      </c>
      <c r="BT798" s="343">
        <f>SUMIFS($AU$134:AU799,$AC$134:AC799,"*")</f>
        <v>6511.6833333333316</v>
      </c>
      <c r="BU798" s="343">
        <f>SUMIFS($AU$134:AU799,$AA$134:AA799,"*",$AB$134:AB799,"*")</f>
        <v>3362.0000000000045</v>
      </c>
      <c r="BV798" s="343">
        <f>SUMIFS($AU$134:AU799,$AA$134:AA799,"*",$AC$134:AC799,"*")</f>
        <v>7108.7833333333328</v>
      </c>
      <c r="BW798" s="343">
        <f>SUMIFS($AU$134:AU799,$AB$134:AB799,"*",$AC$134:AC799,"*")</f>
        <v>5022.6000000000004</v>
      </c>
      <c r="BX798" s="343">
        <f>SUMIFS($AU799:AU$1388,$Q799:Q$1388,"F")</f>
        <v>12090.133333333333</v>
      </c>
      <c r="BY798" s="343">
        <f>SUMIFS($AU799:AU$1388,$Q799:Q$1388,"S")</f>
        <v>10299.200000000001</v>
      </c>
      <c r="BZ798" s="343">
        <f>SUMIFS($AU799:AU$1388,$Q799:Q$1388,"O")</f>
        <v>-1382.79466666649</v>
      </c>
    </row>
    <row r="799" spans="1:78" ht="15.75" customHeight="1">
      <c r="A799" s="221" t="s">
        <v>3123</v>
      </c>
      <c r="B799" s="177">
        <v>45119</v>
      </c>
      <c r="C799" s="178" t="s">
        <v>3214</v>
      </c>
      <c r="D799" s="178" t="s">
        <v>151</v>
      </c>
      <c r="E799" s="227" t="s">
        <v>3215</v>
      </c>
      <c r="F799" s="180"/>
      <c r="G799" s="181"/>
      <c r="H799" s="182"/>
      <c r="I799" s="182"/>
      <c r="J799" s="182"/>
      <c r="K799" s="183"/>
      <c r="L799" s="182"/>
      <c r="M799" s="182"/>
      <c r="N799" s="182"/>
      <c r="O799" s="183"/>
      <c r="P799" s="183"/>
      <c r="Q799" s="183"/>
      <c r="R799" s="183"/>
      <c r="S799" s="183"/>
      <c r="T799" s="183"/>
      <c r="U799" s="183"/>
      <c r="V799" s="183"/>
      <c r="W799" s="183"/>
      <c r="X799" s="183"/>
      <c r="Y799" s="184" t="str">
        <f>IF(ISBLANK(O799),"",(IF(O799=UPPER("IB"),0.005,0.01)))</f>
        <v/>
      </c>
      <c r="Z799" s="185" t="str">
        <f>IF(ISBLANK(O799),"",IF(O799="IB",8.63*200,IF(O799="IR",16*100,IF(O799="YT",20*100,IF(O799="YT-XT",24*200,IF(O799="TED",80*100))))))</f>
        <v/>
      </c>
      <c r="AA799" s="185"/>
      <c r="AB799" s="185"/>
      <c r="AC799" s="185"/>
      <c r="AD799" s="649"/>
      <c r="AE799" s="182"/>
      <c r="AF799" s="332"/>
      <c r="AG799" s="182"/>
      <c r="AH799" s="182"/>
      <c r="AI799" s="182"/>
      <c r="AJ799" s="640"/>
      <c r="AK799" s="182"/>
      <c r="AL799" s="496"/>
      <c r="AM799" s="496"/>
      <c r="AN799" s="626"/>
      <c r="AO799" s="182"/>
      <c r="AP799" s="182"/>
      <c r="AQ799" s="332" t="str">
        <f>UPPER(RIGHT(Journal_Live[[#This Row],[DURATION ]]))</f>
        <v/>
      </c>
      <c r="AR799" s="182"/>
      <c r="AS799" s="189"/>
      <c r="AT799" s="189"/>
      <c r="AU799" s="187"/>
      <c r="AV799" s="190"/>
      <c r="AW799" s="191"/>
      <c r="AX799" s="407"/>
      <c r="AY799" s="407"/>
      <c r="AZ799" s="407"/>
      <c r="BA799" s="407"/>
      <c r="BB799" s="407"/>
      <c r="BC799" s="407"/>
      <c r="BD799" s="407"/>
      <c r="BE799" s="407"/>
      <c r="BF799" s="422"/>
      <c r="BG799" s="391">
        <f>SUM($AV$4:AV799)</f>
        <v>4067.7698715729352</v>
      </c>
      <c r="BH799" s="392">
        <f>SUM($AU$134:AU799)</f>
        <v>12712.112000000028</v>
      </c>
      <c r="BI799" s="318">
        <f>SUMIFS($AU$134:AU800,$Q$134:Q800,"F")</f>
        <v>2350.5333333333328</v>
      </c>
      <c r="BJ799" s="318">
        <f>SUMIFS($AU$134:AU800,$Q$134:Q800,"S")</f>
        <v>10452.441999999999</v>
      </c>
      <c r="BK799" s="343">
        <f>SUMIFS($AU$134:AU800,$P$134:P800,"W")</f>
        <v>7675.7419999999365</v>
      </c>
      <c r="BL799" s="343">
        <f>SUMIFS($AU$134:AU800,$P$134:P800,"R")</f>
        <v>4996.673333333335</v>
      </c>
      <c r="BM799" s="343">
        <f>SUMIFS($AU$134:AU800,$AQ$134:AQ800,"M")</f>
        <v>2333.3999999999814</v>
      </c>
      <c r="BN799" s="343">
        <f>SUMIFS($AU$134:AU800,$AQ$134:AQ800,"H")</f>
        <v>4262.1420000000153</v>
      </c>
      <c r="BO799" s="343">
        <f>SUMIFS($AU$134:AU800,$AQ$134:AQ800,"D")</f>
        <v>2088.346666666715</v>
      </c>
      <c r="BP799" s="343">
        <f>SUMIFS($AU$134:AU802,$AQ$134:AQ802,"W")</f>
        <v>3049.7833333333429</v>
      </c>
      <c r="BQ799" s="343">
        <f>SUMIFS($AU$134:AU800,$Q$134:Q800,"O")</f>
        <v>-266.06333333330844</v>
      </c>
      <c r="BR799" s="343">
        <f>SUMIFS($AU$134:AU800,$AA$134:AA800,"*")</f>
        <v>12909.475333333326</v>
      </c>
      <c r="BS799" s="343">
        <f>SUMIFS($AU$134:AU800,$AB$134:AB800,"*")</f>
        <v>5177.1366666667018</v>
      </c>
      <c r="BT799" s="343">
        <f>SUMIFS($AU$134:AU800,$AC$134:AC800,"*")</f>
        <v>6511.6833333333316</v>
      </c>
      <c r="BU799" s="343">
        <f>SUMIFS($AU$134:AU800,$AA$134:AA800,"*",$AB$134:AB800,"*")</f>
        <v>3362.0000000000045</v>
      </c>
      <c r="BV799" s="343">
        <f>SUMIFS($AU$134:AU800,$AA$134:AA800,"*",$AC$134:AC800,"*")</f>
        <v>7108.7833333333328</v>
      </c>
      <c r="BW799" s="343">
        <f>SUMIFS($AU$134:AU800,$AB$134:AB800,"*",$AC$134:AC800,"*")</f>
        <v>5022.6000000000004</v>
      </c>
      <c r="BX799" s="343">
        <f>SUMIFS($AU800:AU$1388,$Q800:Q$1388,"F")</f>
        <v>12090.133333333333</v>
      </c>
      <c r="BY799" s="343">
        <f>SUMIFS($AU800:AU$1388,$Q800:Q$1388,"S")</f>
        <v>10299.200000000001</v>
      </c>
      <c r="BZ799" s="343">
        <f>SUMIFS($AU800:AU$1388,$Q800:Q$1388,"O")</f>
        <v>-1382.79466666649</v>
      </c>
    </row>
    <row r="800" spans="1:78" ht="15.75" customHeight="1">
      <c r="A800" s="221" t="s">
        <v>3123</v>
      </c>
      <c r="B800" s="177">
        <v>45119</v>
      </c>
      <c r="C800" s="178" t="s">
        <v>2710</v>
      </c>
      <c r="D800" s="178" t="s">
        <v>151</v>
      </c>
      <c r="E800" s="227"/>
      <c r="F800" s="180"/>
      <c r="G800" s="281" t="s">
        <v>94</v>
      </c>
      <c r="H800" s="182"/>
      <c r="I800" s="182"/>
      <c r="J800" s="182"/>
      <c r="K800" s="183"/>
      <c r="L800" s="182">
        <v>1</v>
      </c>
      <c r="M800" s="182">
        <v>1</v>
      </c>
      <c r="N800" s="182"/>
      <c r="O800" s="183" t="s">
        <v>95</v>
      </c>
      <c r="P800" s="183" t="s">
        <v>96</v>
      </c>
      <c r="Q800" s="183" t="s">
        <v>97</v>
      </c>
      <c r="R800" s="183">
        <v>5</v>
      </c>
      <c r="S800" s="183">
        <v>0</v>
      </c>
      <c r="T800" s="183">
        <v>5</v>
      </c>
      <c r="U800" s="183" t="s">
        <v>22</v>
      </c>
      <c r="V800" s="183"/>
      <c r="W800" s="183"/>
      <c r="X800" s="183"/>
      <c r="Y800" s="184">
        <f>IF(ISBLANK(O800),"",(IF(O800=UPPER("IB"),0.005,0.01)))</f>
        <v>0.01</v>
      </c>
      <c r="Z800" s="185">
        <f>IF(ISBLANK(O800),"",IF(O800="IB",8.63*200,IF(O800="IR",16*100,IF(O800="YT",20*100,IF(O800="YT-XT",24*200,IF(O800="TED",80*100))))))</f>
        <v>1600</v>
      </c>
      <c r="AA800" s="185" t="s">
        <v>3216</v>
      </c>
      <c r="AB800" s="185"/>
      <c r="AC800" s="185"/>
      <c r="AD800" s="649">
        <v>0.15</v>
      </c>
      <c r="AE800" s="182"/>
      <c r="AF800" s="332"/>
      <c r="AG800" s="182"/>
      <c r="AH800" s="182"/>
      <c r="AI800" s="182"/>
      <c r="AJ800" s="640"/>
      <c r="AK800" s="182"/>
      <c r="AL800" s="496">
        <f t="shared" ref="AL800" si="281">-0.03*Z800</f>
        <v>-48</v>
      </c>
      <c r="AM800" s="496">
        <f>AL800*(R800-S800)</f>
        <v>-240</v>
      </c>
      <c r="AN800" s="626"/>
      <c r="AO800" s="182"/>
      <c r="AP800" s="182" t="s">
        <v>2911</v>
      </c>
      <c r="AQ800" s="332" t="str">
        <f>UPPER(RIGHT(Journal_Live[[#This Row],[DURATION ]]))</f>
        <v>M</v>
      </c>
      <c r="AR800" s="182" t="s">
        <v>982</v>
      </c>
      <c r="AS800" s="189">
        <v>0.16</v>
      </c>
      <c r="AT800" s="189">
        <f>IF(ISBLANK(AS800),,IF(U800="S",AD800-AS800,AS800-AD800))</f>
        <v>1.0000000000000009E-2</v>
      </c>
      <c r="AU800" s="187">
        <f>AV800*R800</f>
        <v>80.000000000000071</v>
      </c>
      <c r="AV800" s="190">
        <f>IF(ISBLANK(AS800),,(AT800*Z800))</f>
        <v>16.000000000000014</v>
      </c>
      <c r="AW800" s="191" t="s">
        <v>96</v>
      </c>
      <c r="AX800" s="407"/>
      <c r="AY800" s="407"/>
      <c r="AZ800" s="407"/>
      <c r="BA800" s="407"/>
      <c r="BB800" s="407"/>
      <c r="BC800" s="407"/>
      <c r="BD800" s="407"/>
      <c r="BE800" s="407"/>
      <c r="BF800" s="422"/>
      <c r="BG800" s="391">
        <f>SUM($AV$4:AV800)</f>
        <v>4083.7698715729352</v>
      </c>
      <c r="BH800" s="392">
        <f>SUM($AU$134:AU800)</f>
        <v>12792.112000000028</v>
      </c>
      <c r="BI800" s="318">
        <f>SUMIFS($AU$134:AU801,$Q$134:Q801,"F")</f>
        <v>2350.5333333333328</v>
      </c>
      <c r="BJ800" s="318">
        <f>SUMIFS($AU$134:AU801,$Q$134:Q801,"S")</f>
        <v>10452.441999999999</v>
      </c>
      <c r="BK800" s="343">
        <f>SUMIFS($AU$134:AU801,$P$134:P801,"W")</f>
        <v>7675.7419999999365</v>
      </c>
      <c r="BL800" s="343">
        <f>SUMIFS($AU$134:AU801,$P$134:P801,"R")</f>
        <v>4996.673333333335</v>
      </c>
      <c r="BM800" s="343">
        <f>SUMIFS($AU$134:AU801,$AQ$134:AQ801,"M")</f>
        <v>2333.3999999999814</v>
      </c>
      <c r="BN800" s="343">
        <f>SUMIFS($AU$134:AU801,$AQ$134:AQ801,"H")</f>
        <v>4262.1420000000153</v>
      </c>
      <c r="BO800" s="343">
        <f>SUMIFS($AU$134:AU801,$AQ$134:AQ801,"D")</f>
        <v>2088.346666666715</v>
      </c>
      <c r="BP800" s="343">
        <f>SUMIFS($AU$134:AU803,$AQ$134:AQ803,"W")</f>
        <v>3049.7833333333429</v>
      </c>
      <c r="BQ800" s="343">
        <f>SUMIFS($AU$134:AU801,$Q$134:Q801,"O")</f>
        <v>-266.06333333330844</v>
      </c>
      <c r="BR800" s="343">
        <f>SUMIFS($AU$134:AU801,$AA$134:AA801,"*")</f>
        <v>12909.475333333326</v>
      </c>
      <c r="BS800" s="343">
        <f>SUMIFS($AU$134:AU801,$AB$134:AB801,"*")</f>
        <v>5177.1366666667018</v>
      </c>
      <c r="BT800" s="343">
        <f>SUMIFS($AU$134:AU801,$AC$134:AC801,"*")</f>
        <v>6511.6833333333316</v>
      </c>
      <c r="BU800" s="343">
        <f>SUMIFS($AU$134:AU801,$AA$134:AA801,"*",$AB$134:AB801,"*")</f>
        <v>3362.0000000000045</v>
      </c>
      <c r="BV800" s="343">
        <f>SUMIFS($AU$134:AU801,$AA$134:AA801,"*",$AC$134:AC801,"*")</f>
        <v>7108.7833333333328</v>
      </c>
      <c r="BW800" s="343">
        <f>SUMIFS($AU$134:AU801,$AB$134:AB801,"*",$AC$134:AC801,"*")</f>
        <v>5022.6000000000004</v>
      </c>
      <c r="BX800" s="343">
        <f>SUMIFS($AU801:AU$1388,$Q801:Q$1388,"F")</f>
        <v>12090.133333333333</v>
      </c>
      <c r="BY800" s="343">
        <f>SUMIFS($AU801:AU$1388,$Q801:Q$1388,"S")</f>
        <v>10219.200000000001</v>
      </c>
      <c r="BZ800" s="343">
        <f>SUMIFS($AU801:AU$1388,$Q801:Q$1388,"O")</f>
        <v>-1382.79466666649</v>
      </c>
    </row>
    <row r="801" spans="1:78" ht="15.75" customHeight="1">
      <c r="A801" s="221" t="s">
        <v>3123</v>
      </c>
      <c r="B801" s="177">
        <v>45119</v>
      </c>
      <c r="C801" s="178" t="s">
        <v>3217</v>
      </c>
      <c r="D801" s="178" t="s">
        <v>151</v>
      </c>
      <c r="E801" s="227"/>
      <c r="F801" s="180"/>
      <c r="G801" s="181" t="s">
        <v>3218</v>
      </c>
      <c r="H801" s="182"/>
      <c r="I801" s="182"/>
      <c r="J801" s="182"/>
      <c r="K801" s="183"/>
      <c r="L801" s="182"/>
      <c r="M801" s="182"/>
      <c r="N801" s="182"/>
      <c r="O801" s="183"/>
      <c r="P801" s="183"/>
      <c r="Q801" s="183"/>
      <c r="R801" s="183"/>
      <c r="S801" s="183"/>
      <c r="T801" s="183"/>
      <c r="U801" s="183"/>
      <c r="V801" s="183"/>
      <c r="W801" s="183"/>
      <c r="X801" s="183"/>
      <c r="Y801" s="184"/>
      <c r="Z801" s="185"/>
      <c r="AA801" s="185"/>
      <c r="AB801" s="185"/>
      <c r="AC801" s="185"/>
      <c r="AD801" s="649"/>
      <c r="AE801" s="182"/>
      <c r="AF801" s="332"/>
      <c r="AG801" s="182"/>
      <c r="AH801" s="182"/>
      <c r="AI801" s="182"/>
      <c r="AJ801" s="640"/>
      <c r="AK801" s="182"/>
      <c r="AL801" s="496"/>
      <c r="AM801" s="496"/>
      <c r="AN801" s="626"/>
      <c r="AO801" s="182"/>
      <c r="AP801" s="182"/>
      <c r="AQ801" s="332" t="str">
        <f>UPPER(RIGHT(Journal_Live[[#This Row],[DURATION ]]))</f>
        <v/>
      </c>
      <c r="AR801" s="182"/>
      <c r="AS801" s="189"/>
      <c r="AT801" s="189"/>
      <c r="AU801" s="187"/>
      <c r="AV801" s="190"/>
      <c r="AW801" s="191"/>
      <c r="AX801" s="407"/>
      <c r="AY801" s="407"/>
      <c r="AZ801" s="407"/>
      <c r="BA801" s="407"/>
      <c r="BB801" s="407"/>
      <c r="BC801" s="407"/>
      <c r="BD801" s="407"/>
      <c r="BE801" s="407"/>
      <c r="BF801" s="422"/>
      <c r="BG801" s="391">
        <f>SUM($AV$4:AV801)</f>
        <v>4083.7698715729352</v>
      </c>
      <c r="BH801" s="392">
        <f>SUM($AU$134:AU801)</f>
        <v>12792.112000000028</v>
      </c>
      <c r="BI801" s="318">
        <f>SUMIFS($AU$134:AU802,$Q$134:Q802,"F")</f>
        <v>2350.5333333333328</v>
      </c>
      <c r="BJ801" s="318">
        <f>SUMIFS($AU$134:AU802,$Q$134:Q802,"S")</f>
        <v>10452.441999999999</v>
      </c>
      <c r="BK801" s="343">
        <f>SUMIFS($AU$134:AU802,$P$134:P802,"W")</f>
        <v>7675.7419999999365</v>
      </c>
      <c r="BL801" s="343">
        <f>SUMIFS($AU$134:AU802,$P$134:P802,"R")</f>
        <v>4996.673333333335</v>
      </c>
      <c r="BM801" s="343">
        <f>SUMIFS($AU$134:AU802,$AQ$134:AQ802,"M")</f>
        <v>2333.3999999999814</v>
      </c>
      <c r="BN801" s="343">
        <f>SUMIFS($AU$134:AU802,$AQ$134:AQ802,"H")</f>
        <v>4262.1420000000153</v>
      </c>
      <c r="BO801" s="343">
        <f>SUMIFS($AU$134:AU802,$AQ$134:AQ802,"D")</f>
        <v>2088.346666666715</v>
      </c>
      <c r="BP801" s="343">
        <f>SUMIFS($AU$134:AU804,$AQ$134:AQ804,"W")</f>
        <v>3049.7833333333429</v>
      </c>
      <c r="BQ801" s="343">
        <f>SUMIFS($AU$134:AU802,$Q$134:Q802,"O")</f>
        <v>-266.06333333330844</v>
      </c>
      <c r="BR801" s="343">
        <f>SUMIFS($AU$134:AU802,$AA$134:AA802,"*")</f>
        <v>12909.475333333326</v>
      </c>
      <c r="BS801" s="343">
        <f>SUMIFS($AU$134:AU802,$AB$134:AB802,"*")</f>
        <v>5177.1366666667018</v>
      </c>
      <c r="BT801" s="343">
        <f>SUMIFS($AU$134:AU802,$AC$134:AC802,"*")</f>
        <v>6511.6833333333316</v>
      </c>
      <c r="BU801" s="343">
        <f>SUMIFS($AU$134:AU802,$AA$134:AA802,"*",$AB$134:AB802,"*")</f>
        <v>3362.0000000000045</v>
      </c>
      <c r="BV801" s="343">
        <f>SUMIFS($AU$134:AU802,$AA$134:AA802,"*",$AC$134:AC802,"*")</f>
        <v>7108.7833333333328</v>
      </c>
      <c r="BW801" s="343">
        <f>SUMIFS($AU$134:AU802,$AB$134:AB802,"*",$AC$134:AC802,"*")</f>
        <v>5022.6000000000004</v>
      </c>
      <c r="BX801" s="343">
        <f>SUMIFS($AU802:AU$1388,$Q802:Q$1388,"F")</f>
        <v>12090.133333333333</v>
      </c>
      <c r="BY801" s="343">
        <f>SUMIFS($AU802:AU$1388,$Q802:Q$1388,"S")</f>
        <v>10219.200000000001</v>
      </c>
      <c r="BZ801" s="343">
        <f>SUMIFS($AU802:AU$1388,$Q802:Q$1388,"O")</f>
        <v>-1382.79466666649</v>
      </c>
    </row>
    <row r="802" spans="1:78" ht="15.75" customHeight="1">
      <c r="A802" s="221" t="s">
        <v>3123</v>
      </c>
      <c r="B802" s="177">
        <v>45119</v>
      </c>
      <c r="C802" s="178" t="s">
        <v>682</v>
      </c>
      <c r="D802" s="178" t="s">
        <v>151</v>
      </c>
      <c r="E802" s="227"/>
      <c r="F802" s="180"/>
      <c r="G802" s="181" t="s">
        <v>2807</v>
      </c>
      <c r="H802" s="182"/>
      <c r="I802" s="182"/>
      <c r="J802" s="182"/>
      <c r="K802" s="183"/>
      <c r="L802" s="182">
        <v>1</v>
      </c>
      <c r="M802" s="182"/>
      <c r="N802" s="182"/>
      <c r="O802" s="183"/>
      <c r="P802" s="183"/>
      <c r="Q802" s="183"/>
      <c r="R802" s="183"/>
      <c r="S802" s="183"/>
      <c r="T802" s="183"/>
      <c r="U802" s="183"/>
      <c r="V802" s="183"/>
      <c r="W802" s="183"/>
      <c r="X802" s="183"/>
      <c r="Y802" s="184"/>
      <c r="Z802" s="185"/>
      <c r="AA802" s="185"/>
      <c r="AB802" s="185"/>
      <c r="AC802" s="185"/>
      <c r="AD802" s="649"/>
      <c r="AE802" s="182"/>
      <c r="AF802" s="332"/>
      <c r="AG802" s="182"/>
      <c r="AH802" s="182"/>
      <c r="AI802" s="182"/>
      <c r="AJ802" s="640"/>
      <c r="AK802" s="182"/>
      <c r="AL802" s="496"/>
      <c r="AM802" s="496"/>
      <c r="AN802" s="626"/>
      <c r="AO802" s="182"/>
      <c r="AP802" s="182"/>
      <c r="AQ802" s="332" t="str">
        <f>UPPER(RIGHT(Journal_Live[[#This Row],[DURATION ]]))</f>
        <v/>
      </c>
      <c r="AR802" s="182"/>
      <c r="AS802" s="189"/>
      <c r="AT802" s="189"/>
      <c r="AU802" s="187"/>
      <c r="AV802" s="190"/>
      <c r="AW802" s="191"/>
      <c r="AX802" s="407"/>
      <c r="AY802" s="407"/>
      <c r="AZ802" s="407"/>
      <c r="BA802" s="407"/>
      <c r="BB802" s="407"/>
      <c r="BC802" s="407"/>
      <c r="BD802" s="407"/>
      <c r="BE802" s="407"/>
      <c r="BF802" s="422"/>
      <c r="BG802" s="391">
        <f>SUM($AV$4:AV802)</f>
        <v>4083.7698715729352</v>
      </c>
      <c r="BH802" s="392">
        <f>SUM($AU$134:AU802)</f>
        <v>12792.112000000028</v>
      </c>
      <c r="BI802" s="318">
        <f>SUMIFS($AU$134:AU803,$Q$134:Q803,"F")</f>
        <v>2350.5333333333328</v>
      </c>
      <c r="BJ802" s="318">
        <f>SUMIFS($AU$134:AU803,$Q$134:Q803,"S")</f>
        <v>10452.441999999999</v>
      </c>
      <c r="BK802" s="343">
        <f>SUMIFS($AU$134:AU803,$P$134:P803,"W")</f>
        <v>7675.7419999999365</v>
      </c>
      <c r="BL802" s="343">
        <f>SUMIFS($AU$134:AU803,$P$134:P803,"R")</f>
        <v>4996.673333333335</v>
      </c>
      <c r="BM802" s="343">
        <f>SUMIFS($AU$134:AU803,$AQ$134:AQ803,"M")</f>
        <v>2333.3999999999814</v>
      </c>
      <c r="BN802" s="343">
        <f>SUMIFS($AU$134:AU803,$AQ$134:AQ803,"H")</f>
        <v>4262.1420000000153</v>
      </c>
      <c r="BO802" s="343">
        <f>SUMIFS($AU$134:AU803,$AQ$134:AQ803,"D")</f>
        <v>2088.346666666715</v>
      </c>
      <c r="BP802" s="343">
        <f>SUMIFS($AU$134:AU805,$AQ$134:AQ805,"W")</f>
        <v>3049.7833333333429</v>
      </c>
      <c r="BQ802" s="343">
        <f>SUMIFS($AU$134:AU803,$Q$134:Q803,"O")</f>
        <v>-266.06333333330844</v>
      </c>
      <c r="BR802" s="343">
        <f>SUMIFS($AU$134:AU803,$AA$134:AA803,"*")</f>
        <v>12909.475333333326</v>
      </c>
      <c r="BS802" s="343">
        <f>SUMIFS($AU$134:AU803,$AB$134:AB803,"*")</f>
        <v>5177.1366666667018</v>
      </c>
      <c r="BT802" s="343">
        <f>SUMIFS($AU$134:AU803,$AC$134:AC803,"*")</f>
        <v>6511.6833333333316</v>
      </c>
      <c r="BU802" s="343">
        <f>SUMIFS($AU$134:AU803,$AA$134:AA803,"*",$AB$134:AB803,"*")</f>
        <v>3362.0000000000045</v>
      </c>
      <c r="BV802" s="343">
        <f>SUMIFS($AU$134:AU803,$AA$134:AA803,"*",$AC$134:AC803,"*")</f>
        <v>7108.7833333333328</v>
      </c>
      <c r="BW802" s="343">
        <f>SUMIFS($AU$134:AU803,$AB$134:AB803,"*",$AC$134:AC803,"*")</f>
        <v>5022.6000000000004</v>
      </c>
      <c r="BX802" s="343">
        <f>SUMIFS($AU803:AU$1388,$Q803:Q$1388,"F")</f>
        <v>12090.133333333333</v>
      </c>
      <c r="BY802" s="343">
        <f>SUMIFS($AU803:AU$1388,$Q803:Q$1388,"S")</f>
        <v>10219.200000000001</v>
      </c>
      <c r="BZ802" s="343">
        <f>SUMIFS($AU803:AU$1388,$Q803:Q$1388,"O")</f>
        <v>-1382.79466666649</v>
      </c>
    </row>
    <row r="803" spans="1:78" ht="15.75" customHeight="1">
      <c r="A803" s="221" t="s">
        <v>3123</v>
      </c>
      <c r="B803" s="177">
        <v>45119</v>
      </c>
      <c r="C803" s="178" t="s">
        <v>682</v>
      </c>
      <c r="D803" s="178" t="s">
        <v>151</v>
      </c>
      <c r="E803" s="227"/>
      <c r="F803" s="180"/>
      <c r="G803" s="181" t="s">
        <v>2070</v>
      </c>
      <c r="H803" s="182"/>
      <c r="I803" s="182"/>
      <c r="J803" s="182"/>
      <c r="K803" s="183"/>
      <c r="L803" s="182">
        <v>1</v>
      </c>
      <c r="M803" s="182"/>
      <c r="N803" s="182"/>
      <c r="O803" s="183"/>
      <c r="P803" s="183"/>
      <c r="Q803" s="183"/>
      <c r="R803" s="183"/>
      <c r="S803" s="183"/>
      <c r="T803" s="183"/>
      <c r="U803" s="183"/>
      <c r="V803" s="183"/>
      <c r="W803" s="183"/>
      <c r="X803" s="183"/>
      <c r="Y803" s="184"/>
      <c r="Z803" s="185"/>
      <c r="AA803" s="185"/>
      <c r="AB803" s="185"/>
      <c r="AC803" s="185"/>
      <c r="AD803" s="649"/>
      <c r="AE803" s="182"/>
      <c r="AF803" s="332"/>
      <c r="AG803" s="182"/>
      <c r="AH803" s="182"/>
      <c r="AI803" s="182"/>
      <c r="AJ803" s="640"/>
      <c r="AK803" s="182"/>
      <c r="AL803" s="496"/>
      <c r="AM803" s="496"/>
      <c r="AN803" s="626"/>
      <c r="AO803" s="182"/>
      <c r="AP803" s="182"/>
      <c r="AQ803" s="332" t="str">
        <f>UPPER(RIGHT(Journal_Live[[#This Row],[DURATION ]]))</f>
        <v/>
      </c>
      <c r="AR803" s="182"/>
      <c r="AS803" s="189"/>
      <c r="AT803" s="189"/>
      <c r="AU803" s="187"/>
      <c r="AV803" s="190"/>
      <c r="AW803" s="191"/>
      <c r="AX803" s="407"/>
      <c r="AY803" s="407"/>
      <c r="AZ803" s="407"/>
      <c r="BA803" s="407"/>
      <c r="BB803" s="407"/>
      <c r="BC803" s="407"/>
      <c r="BD803" s="407"/>
      <c r="BE803" s="407"/>
      <c r="BF803" s="422"/>
      <c r="BG803" s="391">
        <f>SUM($AV$4:AV803)</f>
        <v>4083.7698715729352</v>
      </c>
      <c r="BH803" s="392">
        <f>SUM($AU$134:AU803)</f>
        <v>12792.112000000028</v>
      </c>
      <c r="BI803" s="318">
        <f>SUMIFS($AU$134:AU804,$Q$134:Q804,"F")</f>
        <v>2350.5333333333328</v>
      </c>
      <c r="BJ803" s="318">
        <f>SUMIFS($AU$134:AU804,$Q$134:Q804,"S")</f>
        <v>10452.441999999999</v>
      </c>
      <c r="BK803" s="343">
        <f>SUMIFS($AU$134:AU804,$P$134:P804,"W")</f>
        <v>7675.7419999999365</v>
      </c>
      <c r="BL803" s="343">
        <f>SUMIFS($AU$134:AU804,$P$134:P804,"R")</f>
        <v>4996.673333333335</v>
      </c>
      <c r="BM803" s="343">
        <f>SUMIFS($AU$134:AU804,$AQ$134:AQ804,"M")</f>
        <v>2333.3999999999814</v>
      </c>
      <c r="BN803" s="343">
        <f>SUMIFS($AU$134:AU804,$AQ$134:AQ804,"H")</f>
        <v>4262.1420000000153</v>
      </c>
      <c r="BO803" s="343">
        <f>SUMIFS($AU$134:AU804,$AQ$134:AQ804,"D")</f>
        <v>2088.346666666715</v>
      </c>
      <c r="BP803" s="343">
        <f>SUMIFS($AU$134:AU806,$AQ$134:AQ806,"W")</f>
        <v>3049.7833333333429</v>
      </c>
      <c r="BQ803" s="343">
        <f>SUMIFS($AU$134:AU804,$Q$134:Q804,"O")</f>
        <v>-266.06333333330844</v>
      </c>
      <c r="BR803" s="343">
        <f>SUMIFS($AU$134:AU804,$AA$134:AA804,"*")</f>
        <v>12909.475333333326</v>
      </c>
      <c r="BS803" s="343">
        <f>SUMIFS($AU$134:AU804,$AB$134:AB804,"*")</f>
        <v>5177.1366666667018</v>
      </c>
      <c r="BT803" s="343">
        <f>SUMIFS($AU$134:AU804,$AC$134:AC804,"*")</f>
        <v>6511.6833333333316</v>
      </c>
      <c r="BU803" s="343">
        <f>SUMIFS($AU$134:AU804,$AA$134:AA804,"*",$AB$134:AB804,"*")</f>
        <v>3362.0000000000045</v>
      </c>
      <c r="BV803" s="343">
        <f>SUMIFS($AU$134:AU804,$AA$134:AA804,"*",$AC$134:AC804,"*")</f>
        <v>7108.7833333333328</v>
      </c>
      <c r="BW803" s="343">
        <f>SUMIFS($AU$134:AU804,$AB$134:AB804,"*",$AC$134:AC804,"*")</f>
        <v>5022.6000000000004</v>
      </c>
      <c r="BX803" s="343">
        <f>SUMIFS($AU804:AU$1388,$Q804:Q$1388,"F")</f>
        <v>12090.133333333333</v>
      </c>
      <c r="BY803" s="343">
        <f>SUMIFS($AU804:AU$1388,$Q804:Q$1388,"S")</f>
        <v>10219.200000000001</v>
      </c>
      <c r="BZ803" s="343">
        <f>SUMIFS($AU804:AU$1388,$Q804:Q$1388,"O")</f>
        <v>-1382.79466666649</v>
      </c>
    </row>
    <row r="804" spans="1:78" ht="15.75" customHeight="1">
      <c r="A804" s="221" t="s">
        <v>3123</v>
      </c>
      <c r="B804" s="177">
        <v>45119</v>
      </c>
      <c r="C804" s="178" t="s">
        <v>1714</v>
      </c>
      <c r="D804" s="178" t="s">
        <v>151</v>
      </c>
      <c r="E804" s="227" t="s">
        <v>3219</v>
      </c>
      <c r="F804" s="180"/>
      <c r="G804" s="181"/>
      <c r="H804" s="182"/>
      <c r="I804" s="182"/>
      <c r="J804" s="182">
        <v>1</v>
      </c>
      <c r="K804" s="183" t="s">
        <v>115</v>
      </c>
      <c r="L804" s="182"/>
      <c r="M804" s="182"/>
      <c r="N804" s="182"/>
      <c r="O804" s="183"/>
      <c r="P804" s="183"/>
      <c r="Q804" s="183"/>
      <c r="R804" s="183"/>
      <c r="S804" s="183"/>
      <c r="T804" s="183"/>
      <c r="U804" s="183"/>
      <c r="V804" s="183"/>
      <c r="W804" s="183"/>
      <c r="X804" s="183"/>
      <c r="Y804" s="183"/>
      <c r="Z804" s="185" t="str">
        <f t="shared" ref="Z804:Z813" si="282">IF(ISBLANK(O804),"",IF(O804="IB",8.63*200,IF(O804="IR",16*100,IF(O804="YT",20*100,IF(O804="YT-XT",24*200,IF(O804="TED",80*100))))))</f>
        <v/>
      </c>
      <c r="AA804" s="185"/>
      <c r="AB804" s="185"/>
      <c r="AC804" s="185"/>
      <c r="AD804" s="649"/>
      <c r="AE804" s="182"/>
      <c r="AF804" s="332"/>
      <c r="AG804" s="182"/>
      <c r="AH804" s="182"/>
      <c r="AI804" s="182"/>
      <c r="AJ804" s="640"/>
      <c r="AK804" s="182"/>
      <c r="AL804" s="496"/>
      <c r="AM804" s="496"/>
      <c r="AN804" s="626"/>
      <c r="AO804" s="182"/>
      <c r="AP804" s="182"/>
      <c r="AQ804" s="332" t="str">
        <f>UPPER(RIGHT(Journal_Live[[#This Row],[DURATION ]]))</f>
        <v/>
      </c>
      <c r="AR804" s="182"/>
      <c r="AS804" s="189"/>
      <c r="AT804" s="189"/>
      <c r="AU804" s="187"/>
      <c r="AV804" s="190"/>
      <c r="AW804" s="191"/>
      <c r="AX804" s="407"/>
      <c r="AY804" s="407"/>
      <c r="AZ804" s="407"/>
      <c r="BA804" s="417" t="s">
        <v>3220</v>
      </c>
      <c r="BB804" s="407" t="s">
        <v>3221</v>
      </c>
      <c r="BC804" s="407"/>
      <c r="BD804" s="407"/>
      <c r="BE804" s="407"/>
      <c r="BF804" s="422"/>
      <c r="BG804" s="391">
        <f>SUM($AV$4:AV804)</f>
        <v>4083.7698715729352</v>
      </c>
      <c r="BH804" s="392">
        <f>SUM($AU$134:AU804)</f>
        <v>12792.112000000028</v>
      </c>
      <c r="BI804" s="318">
        <f>SUMIFS($AU$134:AU805,$Q$134:Q805,"F")</f>
        <v>2350.5333333333328</v>
      </c>
      <c r="BJ804" s="318">
        <f>SUMIFS($AU$134:AU805,$Q$134:Q805,"S")</f>
        <v>10452.441999999999</v>
      </c>
      <c r="BK804" s="343">
        <f>SUMIFS($AU$134:AU805,$P$134:P805,"W")</f>
        <v>7675.7419999999365</v>
      </c>
      <c r="BL804" s="343">
        <f>SUMIFS($AU$134:AU805,$P$134:P805,"R")</f>
        <v>4996.673333333335</v>
      </c>
      <c r="BM804" s="343">
        <f>SUMIFS($AU$134:AU805,$AQ$134:AQ805,"M")</f>
        <v>2333.3999999999814</v>
      </c>
      <c r="BN804" s="343">
        <f>SUMIFS($AU$134:AU805,$AQ$134:AQ805,"H")</f>
        <v>4262.1420000000153</v>
      </c>
      <c r="BO804" s="343">
        <f>SUMIFS($AU$134:AU805,$AQ$134:AQ805,"D")</f>
        <v>2088.346666666715</v>
      </c>
      <c r="BP804" s="343">
        <f>SUMIFS($AU$134:AU807,$AQ$134:AQ807,"W")</f>
        <v>3049.7833333333429</v>
      </c>
      <c r="BQ804" s="343">
        <f>SUMIFS($AU$134:AU805,$Q$134:Q805,"O")</f>
        <v>-266.06333333330844</v>
      </c>
      <c r="BR804" s="343">
        <f>SUMIFS($AU$134:AU805,$AA$134:AA805,"*")</f>
        <v>12909.475333333326</v>
      </c>
      <c r="BS804" s="343">
        <f>SUMIFS($AU$134:AU805,$AB$134:AB805,"*")</f>
        <v>5177.1366666667018</v>
      </c>
      <c r="BT804" s="343">
        <f>SUMIFS($AU$134:AU805,$AC$134:AC805,"*")</f>
        <v>6511.6833333333316</v>
      </c>
      <c r="BU804" s="343">
        <f>SUMIFS($AU$134:AU805,$AA$134:AA805,"*",$AB$134:AB805,"*")</f>
        <v>3362.0000000000045</v>
      </c>
      <c r="BV804" s="343">
        <f>SUMIFS($AU$134:AU805,$AA$134:AA805,"*",$AC$134:AC805,"*")</f>
        <v>7108.7833333333328</v>
      </c>
      <c r="BW804" s="343">
        <f>SUMIFS($AU$134:AU805,$AB$134:AB805,"*",$AC$134:AC805,"*")</f>
        <v>5022.6000000000004</v>
      </c>
      <c r="BX804" s="343">
        <f>SUMIFS($AU805:AU$1388,$Q805:Q$1388,"F")</f>
        <v>12090.133333333333</v>
      </c>
      <c r="BY804" s="343">
        <f>SUMIFS($AU805:AU$1388,$Q805:Q$1388,"S")</f>
        <v>10219.200000000001</v>
      </c>
      <c r="BZ804" s="343">
        <f>SUMIFS($AU805:AU$1388,$Q805:Q$1388,"O")</f>
        <v>-1382.79466666649</v>
      </c>
    </row>
    <row r="805" spans="1:78" ht="15.75" customHeight="1">
      <c r="A805" s="221" t="s">
        <v>3123</v>
      </c>
      <c r="B805" s="177"/>
      <c r="C805" s="178"/>
      <c r="D805" s="178"/>
      <c r="E805" s="227" t="s">
        <v>3222</v>
      </c>
      <c r="F805" s="180"/>
      <c r="G805" s="181"/>
      <c r="H805" s="182"/>
      <c r="I805" s="182"/>
      <c r="J805" s="182">
        <v>1</v>
      </c>
      <c r="K805" s="183" t="s">
        <v>115</v>
      </c>
      <c r="L805" s="182"/>
      <c r="M805" s="182"/>
      <c r="N805" s="182"/>
      <c r="O805" s="183"/>
      <c r="P805" s="183"/>
      <c r="Q805" s="183"/>
      <c r="R805" s="183"/>
      <c r="S805" s="183"/>
      <c r="T805" s="183"/>
      <c r="U805" s="183"/>
      <c r="V805" s="183"/>
      <c r="W805" s="183"/>
      <c r="X805" s="183"/>
      <c r="Y805" s="183"/>
      <c r="Z805" s="185" t="str">
        <f t="shared" si="282"/>
        <v/>
      </c>
      <c r="AA805" s="185"/>
      <c r="AB805" s="185"/>
      <c r="AC805" s="185"/>
      <c r="AD805" s="649"/>
      <c r="AE805" s="182"/>
      <c r="AF805" s="332"/>
      <c r="AG805" s="182"/>
      <c r="AH805" s="182"/>
      <c r="AI805" s="182"/>
      <c r="AJ805" s="640"/>
      <c r="AK805" s="182"/>
      <c r="AL805" s="496"/>
      <c r="AM805" s="496"/>
      <c r="AN805" s="626"/>
      <c r="AO805" s="182"/>
      <c r="AP805" s="182"/>
      <c r="AQ805" s="332" t="str">
        <f>UPPER(RIGHT(Journal_Live[[#This Row],[DURATION ]]))</f>
        <v/>
      </c>
      <c r="AR805" s="182"/>
      <c r="AS805" s="189"/>
      <c r="AT805" s="189"/>
      <c r="AU805" s="187"/>
      <c r="AV805" s="190"/>
      <c r="AW805" s="191"/>
      <c r="AX805" s="407"/>
      <c r="AY805" s="407"/>
      <c r="AZ805" s="407"/>
      <c r="BA805" s="407"/>
      <c r="BB805" s="407"/>
      <c r="BC805" s="407"/>
      <c r="BD805" s="407"/>
      <c r="BE805" s="407"/>
      <c r="BF805" s="422"/>
      <c r="BG805" s="391">
        <f>SUM($AV$4:AV805)</f>
        <v>4083.7698715729352</v>
      </c>
      <c r="BH805" s="392">
        <f>SUM($AU$134:AU805)</f>
        <v>12792.112000000028</v>
      </c>
      <c r="BI805" s="318">
        <f>SUMIFS($AU$134:AU806,$Q$134:Q806,"F")</f>
        <v>2350.5333333333328</v>
      </c>
      <c r="BJ805" s="318">
        <f>SUMIFS($AU$134:AU806,$Q$134:Q806,"S")</f>
        <v>10452.441999999999</v>
      </c>
      <c r="BK805" s="343">
        <f>SUMIFS($AU$134:AU806,$P$134:P806,"W")</f>
        <v>7675.7419999999365</v>
      </c>
      <c r="BL805" s="343">
        <f>SUMIFS($AU$134:AU806,$P$134:P806,"R")</f>
        <v>4996.673333333335</v>
      </c>
      <c r="BM805" s="343">
        <f>SUMIFS($AU$134:AU806,$AQ$134:AQ806,"M")</f>
        <v>2333.3999999999814</v>
      </c>
      <c r="BN805" s="343">
        <f>SUMIFS($AU$134:AU806,$AQ$134:AQ806,"H")</f>
        <v>4262.1420000000153</v>
      </c>
      <c r="BO805" s="343">
        <f>SUMIFS($AU$134:AU806,$AQ$134:AQ806,"D")</f>
        <v>2088.346666666715</v>
      </c>
      <c r="BP805" s="343">
        <f>SUMIFS($AU$134:AU808,$AQ$134:AQ808,"W")</f>
        <v>3049.7833333333429</v>
      </c>
      <c r="BQ805" s="343">
        <f>SUMIFS($AU$134:AU806,$Q$134:Q806,"O")</f>
        <v>-266.06333333330844</v>
      </c>
      <c r="BR805" s="343">
        <f>SUMIFS($AU$134:AU806,$AA$134:AA806,"*")</f>
        <v>12909.475333333326</v>
      </c>
      <c r="BS805" s="343">
        <f>SUMIFS($AU$134:AU806,$AB$134:AB806,"*")</f>
        <v>5177.1366666667018</v>
      </c>
      <c r="BT805" s="343">
        <f>SUMIFS($AU$134:AU806,$AC$134:AC806,"*")</f>
        <v>6511.6833333333316</v>
      </c>
      <c r="BU805" s="343">
        <f>SUMIFS($AU$134:AU806,$AA$134:AA806,"*",$AB$134:AB806,"*")</f>
        <v>3362.0000000000045</v>
      </c>
      <c r="BV805" s="343">
        <f>SUMIFS($AU$134:AU806,$AA$134:AA806,"*",$AC$134:AC806,"*")</f>
        <v>7108.7833333333328</v>
      </c>
      <c r="BW805" s="343">
        <f>SUMIFS($AU$134:AU806,$AB$134:AB806,"*",$AC$134:AC806,"*")</f>
        <v>5022.6000000000004</v>
      </c>
      <c r="BX805" s="343">
        <f>SUMIFS($AU806:AU$1388,$Q806:Q$1388,"F")</f>
        <v>12090.133333333333</v>
      </c>
      <c r="BY805" s="343">
        <f>SUMIFS($AU806:AU$1388,$Q806:Q$1388,"S")</f>
        <v>10219.200000000001</v>
      </c>
      <c r="BZ805" s="343">
        <f>SUMIFS($AU806:AU$1388,$Q806:Q$1388,"O")</f>
        <v>-1382.79466666649</v>
      </c>
    </row>
    <row r="806" spans="1:78" ht="15.75" customHeight="1">
      <c r="A806" s="221" t="s">
        <v>3123</v>
      </c>
      <c r="B806" s="177"/>
      <c r="C806" s="178"/>
      <c r="D806" s="178"/>
      <c r="E806" s="227" t="s">
        <v>3223</v>
      </c>
      <c r="F806" s="180"/>
      <c r="G806" s="181"/>
      <c r="H806" s="182"/>
      <c r="I806" s="182"/>
      <c r="J806" s="182">
        <v>1</v>
      </c>
      <c r="K806" s="183" t="s">
        <v>115</v>
      </c>
      <c r="L806" s="182"/>
      <c r="M806" s="182"/>
      <c r="N806" s="182"/>
      <c r="O806" s="183"/>
      <c r="P806" s="183"/>
      <c r="Q806" s="183"/>
      <c r="R806" s="183"/>
      <c r="S806" s="183"/>
      <c r="T806" s="183"/>
      <c r="U806" s="183"/>
      <c r="V806" s="183"/>
      <c r="W806" s="183"/>
      <c r="X806" s="183"/>
      <c r="Y806" s="183"/>
      <c r="Z806" s="185" t="str">
        <f t="shared" si="282"/>
        <v/>
      </c>
      <c r="AA806" s="185"/>
      <c r="AB806" s="185"/>
      <c r="AC806" s="185"/>
      <c r="AD806" s="649"/>
      <c r="AE806" s="182"/>
      <c r="AF806" s="332"/>
      <c r="AG806" s="182"/>
      <c r="AH806" s="182"/>
      <c r="AI806" s="182"/>
      <c r="AJ806" s="640"/>
      <c r="AK806" s="182"/>
      <c r="AL806" s="496"/>
      <c r="AM806" s="496"/>
      <c r="AN806" s="626"/>
      <c r="AO806" s="182"/>
      <c r="AP806" s="182"/>
      <c r="AQ806" s="332" t="str">
        <f>UPPER(RIGHT(Journal_Live[[#This Row],[DURATION ]]))</f>
        <v/>
      </c>
      <c r="AR806" s="182"/>
      <c r="AS806" s="189"/>
      <c r="AT806" s="189"/>
      <c r="AU806" s="187"/>
      <c r="AV806" s="190"/>
      <c r="AW806" s="191"/>
      <c r="AX806" s="407"/>
      <c r="AY806" s="407"/>
      <c r="AZ806" s="407"/>
      <c r="BA806" s="407"/>
      <c r="BB806" s="407"/>
      <c r="BC806" s="407"/>
      <c r="BD806" s="407"/>
      <c r="BE806" s="407"/>
      <c r="BF806" s="422"/>
      <c r="BG806" s="391">
        <f>SUM($AV$4:AV806)</f>
        <v>4083.7698715729352</v>
      </c>
      <c r="BH806" s="392">
        <f>SUM($AU$134:AU806)</f>
        <v>12792.112000000028</v>
      </c>
      <c r="BI806" s="318">
        <f>SUMIFS($AU$134:AU807,$Q$134:Q807,"F")</f>
        <v>3198.5333333333328</v>
      </c>
      <c r="BJ806" s="318">
        <f>SUMIFS($AU$134:AU807,$Q$134:Q807,"S")</f>
        <v>10452.441999999999</v>
      </c>
      <c r="BK806" s="343">
        <f>SUMIFS($AU$134:AU807,$P$134:P807,"W")</f>
        <v>8523.7419999999365</v>
      </c>
      <c r="BL806" s="343">
        <f>SUMIFS($AU$134:AU807,$P$134:P807,"R")</f>
        <v>4996.673333333335</v>
      </c>
      <c r="BM806" s="343">
        <f>SUMIFS($AU$134:AU807,$AQ$134:AQ807,"M")</f>
        <v>2333.3999999999814</v>
      </c>
      <c r="BN806" s="343">
        <f>SUMIFS($AU$134:AU807,$AQ$134:AQ807,"H")</f>
        <v>4262.1420000000153</v>
      </c>
      <c r="BO806" s="343">
        <f>SUMIFS($AU$134:AU807,$AQ$134:AQ807,"D")</f>
        <v>2936.3466666667146</v>
      </c>
      <c r="BP806" s="343">
        <f>SUMIFS($AU$134:AU809,$AQ$134:AQ809,"W")</f>
        <v>3049.7833333333429</v>
      </c>
      <c r="BQ806" s="343">
        <f>SUMIFS($AU$134:AU807,$Q$134:Q807,"O")</f>
        <v>-266.06333333330844</v>
      </c>
      <c r="BR806" s="343">
        <f>SUMIFS($AU$134:AU807,$AA$134:AA807,"*")</f>
        <v>13757.475333333326</v>
      </c>
      <c r="BS806" s="343">
        <f>SUMIFS($AU$134:AU807,$AB$134:AB807,"*")</f>
        <v>5177.1366666667018</v>
      </c>
      <c r="BT806" s="343">
        <f>SUMIFS($AU$134:AU807,$AC$134:AC807,"*")</f>
        <v>7359.6833333333316</v>
      </c>
      <c r="BU806" s="343">
        <f>SUMIFS($AU$134:AU807,$AA$134:AA807,"*",$AB$134:AB807,"*")</f>
        <v>3362.0000000000045</v>
      </c>
      <c r="BV806" s="343">
        <f>SUMIFS($AU$134:AU807,$AA$134:AA807,"*",$AC$134:AC807,"*")</f>
        <v>7956.7833333333328</v>
      </c>
      <c r="BW806" s="343">
        <f>SUMIFS($AU$134:AU807,$AB$134:AB807,"*",$AC$134:AC807,"*")</f>
        <v>5022.6000000000004</v>
      </c>
      <c r="BX806" s="343">
        <f>SUMIFS($AU807:AU$1388,$Q807:Q$1388,"F")</f>
        <v>12090.133333333333</v>
      </c>
      <c r="BY806" s="343">
        <f>SUMIFS($AU807:AU$1388,$Q807:Q$1388,"S")</f>
        <v>10219.200000000001</v>
      </c>
      <c r="BZ806" s="343">
        <f>SUMIFS($AU807:AU$1388,$Q807:Q$1388,"O")</f>
        <v>-1382.79466666649</v>
      </c>
    </row>
    <row r="807" spans="1:78" ht="15.75" customHeight="1">
      <c r="A807" s="221" t="s">
        <v>3123</v>
      </c>
      <c r="B807" s="177">
        <v>45119</v>
      </c>
      <c r="C807" s="178" t="s">
        <v>682</v>
      </c>
      <c r="D807" s="178" t="s">
        <v>151</v>
      </c>
      <c r="E807" s="227"/>
      <c r="F807" s="180"/>
      <c r="G807" s="482" t="s">
        <v>3150</v>
      </c>
      <c r="H807" s="182"/>
      <c r="I807" s="182"/>
      <c r="J807" s="182"/>
      <c r="K807" s="183"/>
      <c r="L807" s="182">
        <v>2</v>
      </c>
      <c r="M807" s="182">
        <v>2</v>
      </c>
      <c r="N807" s="182"/>
      <c r="O807" s="183" t="s">
        <v>95</v>
      </c>
      <c r="P807" s="183" t="s">
        <v>96</v>
      </c>
      <c r="Q807" s="183" t="s">
        <v>256</v>
      </c>
      <c r="R807" s="183">
        <v>20</v>
      </c>
      <c r="S807" s="183">
        <v>20</v>
      </c>
      <c r="T807" s="183">
        <v>7</v>
      </c>
      <c r="U807" s="183" t="s">
        <v>22</v>
      </c>
      <c r="V807" s="183"/>
      <c r="W807" s="183"/>
      <c r="X807" s="183"/>
      <c r="Y807" s="184">
        <f t="shared" ref="Y807:Y813" si="283">IF(ISBLANK(O807),"",(IF(O807=UPPER("IB"),0.005,0.01)))</f>
        <v>0.01</v>
      </c>
      <c r="Z807" s="185">
        <f t="shared" si="282"/>
        <v>1600</v>
      </c>
      <c r="AA807" s="185" t="s">
        <v>3224</v>
      </c>
      <c r="AB807" s="185"/>
      <c r="AC807" s="185" t="s">
        <v>3225</v>
      </c>
      <c r="AD807" s="649">
        <f>((0*7)+(-0.02*1)+(-0.03*7)+(-0.04*5))/20</f>
        <v>-2.1499999999999998E-2</v>
      </c>
      <c r="AE807" s="182"/>
      <c r="AF807" s="332"/>
      <c r="AG807" s="182"/>
      <c r="AH807" s="182" t="s">
        <v>2596</v>
      </c>
      <c r="AI807" s="182"/>
      <c r="AJ807" s="640"/>
      <c r="AK807" s="182"/>
      <c r="AL807" s="496">
        <f>-0.02*Z807</f>
        <v>-32</v>
      </c>
      <c r="AM807" s="496">
        <f>AL807*(R807-S807)</f>
        <v>0</v>
      </c>
      <c r="AN807" s="626"/>
      <c r="AO807" s="182"/>
      <c r="AP807" s="182" t="s">
        <v>751</v>
      </c>
      <c r="AQ807" s="332" t="str">
        <f>UPPER(RIGHT(Journal_Live[[#This Row],[DURATION ]]))</f>
        <v>D</v>
      </c>
      <c r="AR807" s="182" t="s">
        <v>3226</v>
      </c>
      <c r="AS807" s="189">
        <f>((-0.01*5)+(0*5)+(0*5)+(0.03*5))/20</f>
        <v>4.9999999999999992E-3</v>
      </c>
      <c r="AT807" s="189">
        <f>IF(ISBLANK(AS807),,IF(U807="S",AD807-AS807,AS807-AD807))</f>
        <v>2.6499999999999996E-2</v>
      </c>
      <c r="AU807" s="187">
        <f>AV807*R807</f>
        <v>847.99999999999977</v>
      </c>
      <c r="AV807" s="190">
        <f>IF(ISBLANK(AS807),,(AT807*Z807))</f>
        <v>42.399999999999991</v>
      </c>
      <c r="AW807" s="191" t="s">
        <v>96</v>
      </c>
      <c r="AX807" s="407" t="s">
        <v>3227</v>
      </c>
      <c r="AY807" s="407"/>
      <c r="AZ807" s="407"/>
      <c r="BA807" s="407" t="s">
        <v>782</v>
      </c>
      <c r="BB807" s="407"/>
      <c r="BC807" s="407"/>
      <c r="BD807" s="407"/>
      <c r="BE807" s="407"/>
      <c r="BF807" s="422"/>
      <c r="BG807" s="391">
        <f>SUM($AV$4:AV807)</f>
        <v>4126.1698715729353</v>
      </c>
      <c r="BH807" s="392">
        <f>SUM($AU$134:AU807)</f>
        <v>13640.112000000028</v>
      </c>
      <c r="BI807" s="318">
        <f>SUMIFS($AU$134:AU808,$Q$134:Q808,"F")</f>
        <v>4254.5333333333328</v>
      </c>
      <c r="BJ807" s="318">
        <f>SUMIFS($AU$134:AU808,$Q$134:Q808,"S")</f>
        <v>10452.441999999999</v>
      </c>
      <c r="BK807" s="343">
        <f>SUMIFS($AU$134:AU808,$P$134:P808,"W")</f>
        <v>9579.7419999999365</v>
      </c>
      <c r="BL807" s="343">
        <f>SUMIFS($AU$134:AU808,$P$134:P808,"R")</f>
        <v>4996.673333333335</v>
      </c>
      <c r="BM807" s="343">
        <f>SUMIFS($AU$134:AU808,$AQ$134:AQ808,"M")</f>
        <v>2333.3999999999814</v>
      </c>
      <c r="BN807" s="343">
        <f>SUMIFS($AU$134:AU808,$AQ$134:AQ808,"H")</f>
        <v>4262.1420000000153</v>
      </c>
      <c r="BO807" s="343">
        <f>SUMIFS($AU$134:AU808,$AQ$134:AQ808,"D")</f>
        <v>3992.3466666667146</v>
      </c>
      <c r="BP807" s="343">
        <f>SUMIFS($AU$134:AU810,$AQ$134:AQ810,"W")</f>
        <v>3049.7833333333429</v>
      </c>
      <c r="BQ807" s="343">
        <f>SUMIFS($AU$134:AU808,$Q$134:Q808,"O")</f>
        <v>-266.06333333330844</v>
      </c>
      <c r="BR807" s="343">
        <f>SUMIFS($AU$134:AU808,$AA$134:AA808,"*")</f>
        <v>13757.475333333326</v>
      </c>
      <c r="BS807" s="343">
        <f>SUMIFS($AU$134:AU808,$AB$134:AB808,"*")</f>
        <v>5177.1366666667018</v>
      </c>
      <c r="BT807" s="343">
        <f>SUMIFS($AU$134:AU808,$AC$134:AC808,"*")</f>
        <v>8415.6833333333325</v>
      </c>
      <c r="BU807" s="343">
        <f>SUMIFS($AU$134:AU808,$AA$134:AA808,"*",$AB$134:AB808,"*")</f>
        <v>3362.0000000000045</v>
      </c>
      <c r="BV807" s="343">
        <f>SUMIFS($AU$134:AU808,$AA$134:AA808,"*",$AC$134:AC808,"*")</f>
        <v>7956.7833333333328</v>
      </c>
      <c r="BW807" s="343">
        <f>SUMIFS($AU$134:AU808,$AB$134:AB808,"*",$AC$134:AC808,"*")</f>
        <v>5022.6000000000004</v>
      </c>
      <c r="BX807" s="343">
        <f>SUMIFS($AU808:AU$1388,$Q808:Q$1388,"F")</f>
        <v>11242.133333333331</v>
      </c>
      <c r="BY807" s="343">
        <f>SUMIFS($AU808:AU$1388,$Q808:Q$1388,"S")</f>
        <v>10219.200000000001</v>
      </c>
      <c r="BZ807" s="343">
        <f>SUMIFS($AU808:AU$1388,$Q808:Q$1388,"O")</f>
        <v>-1382.79466666649</v>
      </c>
    </row>
    <row r="808" spans="1:78" ht="15.75" customHeight="1">
      <c r="A808" s="221" t="s">
        <v>3123</v>
      </c>
      <c r="B808" s="177">
        <v>45119</v>
      </c>
      <c r="C808" s="178" t="s">
        <v>682</v>
      </c>
      <c r="D808" s="178" t="s">
        <v>151</v>
      </c>
      <c r="E808" s="227"/>
      <c r="F808" s="180"/>
      <c r="G808" s="482" t="s">
        <v>3184</v>
      </c>
      <c r="H808" s="182"/>
      <c r="I808" s="182"/>
      <c r="J808" s="182"/>
      <c r="K808" s="183"/>
      <c r="L808" s="182">
        <v>2</v>
      </c>
      <c r="M808" s="182">
        <v>2</v>
      </c>
      <c r="N808" s="182"/>
      <c r="O808" s="183" t="s">
        <v>95</v>
      </c>
      <c r="P808" s="183" t="s">
        <v>96</v>
      </c>
      <c r="Q808" s="183" t="s">
        <v>256</v>
      </c>
      <c r="R808" s="183">
        <v>15</v>
      </c>
      <c r="S808" s="183">
        <v>5</v>
      </c>
      <c r="T808" s="183">
        <v>9</v>
      </c>
      <c r="U808" s="183" t="s">
        <v>97</v>
      </c>
      <c r="V808" s="183"/>
      <c r="W808" s="183"/>
      <c r="X808" s="183"/>
      <c r="Y808" s="184">
        <f t="shared" si="283"/>
        <v>0.01</v>
      </c>
      <c r="Z808" s="185">
        <f t="shared" si="282"/>
        <v>1600</v>
      </c>
      <c r="AA808" s="185"/>
      <c r="AB808" s="185"/>
      <c r="AC808" s="185" t="s">
        <v>3228</v>
      </c>
      <c r="AD808" s="649">
        <f>((0.09*9)+(0.1*6))/15</f>
        <v>9.4000000000000014E-2</v>
      </c>
      <c r="AE808" s="182"/>
      <c r="AF808" s="332"/>
      <c r="AG808" s="182"/>
      <c r="AH808" s="182" t="s">
        <v>1289</v>
      </c>
      <c r="AI808" s="182"/>
      <c r="AJ808" s="640"/>
      <c r="AK808" s="182"/>
      <c r="AL808" s="496">
        <f>-0.025*Z808</f>
        <v>-40</v>
      </c>
      <c r="AM808" s="496">
        <f>AL808*(R808-S808)</f>
        <v>-400</v>
      </c>
      <c r="AN808" s="626"/>
      <c r="AO808" s="182"/>
      <c r="AP808" s="182" t="s">
        <v>3229</v>
      </c>
      <c r="AQ808" s="332" t="str">
        <f>UPPER(RIGHT(Journal_Live[[#This Row],[DURATION ]]))</f>
        <v>D</v>
      </c>
      <c r="AR808" s="182" t="s">
        <v>3230</v>
      </c>
      <c r="AS808" s="189">
        <f>(0.05*5+0.05*5+0.05*5)/15</f>
        <v>0.05</v>
      </c>
      <c r="AT808" s="189">
        <f>IF(ISBLANK(AS808),,IF(U808="S",AD808-AS808,AS808-AD808))</f>
        <v>4.4000000000000011E-2</v>
      </c>
      <c r="AU808" s="187">
        <f>AV808*R808</f>
        <v>1056.0000000000002</v>
      </c>
      <c r="AV808" s="190">
        <f>IF(ISBLANK(AS808),,(AT808*Z808))</f>
        <v>70.40000000000002</v>
      </c>
      <c r="AW808" s="191" t="s">
        <v>96</v>
      </c>
      <c r="AX808" s="407" t="s">
        <v>3231</v>
      </c>
      <c r="AY808" s="407" t="s">
        <v>3232</v>
      </c>
      <c r="AZ808" s="407" t="s">
        <v>3233</v>
      </c>
      <c r="BA808" s="407"/>
      <c r="BB808" s="407"/>
      <c r="BC808" s="407"/>
      <c r="BD808" s="407"/>
      <c r="BE808" s="407"/>
      <c r="BF808" s="422"/>
      <c r="BG808" s="391">
        <f>SUM($AV$4:AV808)</f>
        <v>4196.569871572935</v>
      </c>
      <c r="BH808" s="392">
        <f>SUM($AU$134:AU808)</f>
        <v>14696.112000000028</v>
      </c>
      <c r="BI808" s="318">
        <f>SUMIFS($AU$134:AU809,$Q$134:Q809,"F")</f>
        <v>4254.5333333333328</v>
      </c>
      <c r="BJ808" s="318">
        <f>SUMIFS($AU$134:AU809,$Q$134:Q809,"S")</f>
        <v>10452.441999999999</v>
      </c>
      <c r="BK808" s="343">
        <f>SUMIFS($AU$134:AU809,$P$134:P809,"W")</f>
        <v>9579.7419999999365</v>
      </c>
      <c r="BL808" s="343">
        <f>SUMIFS($AU$134:AU809,$P$134:P809,"R")</f>
        <v>4996.673333333335</v>
      </c>
      <c r="BM808" s="343">
        <f>SUMIFS($AU$134:AU809,$AQ$134:AQ809,"M")</f>
        <v>2333.3999999999814</v>
      </c>
      <c r="BN808" s="343">
        <f>SUMIFS($AU$134:AU809,$AQ$134:AQ809,"H")</f>
        <v>4214.1420000000153</v>
      </c>
      <c r="BO808" s="343">
        <f>SUMIFS($AU$134:AU809,$AQ$134:AQ809,"D")</f>
        <v>3992.3466666667146</v>
      </c>
      <c r="BP808" s="343">
        <f>SUMIFS($AU$134:AU811,$AQ$134:AQ811,"W")</f>
        <v>3049.7833333333429</v>
      </c>
      <c r="BQ808" s="343">
        <f>SUMIFS($AU$134:AU809,$Q$134:Q809,"O")</f>
        <v>-266.06333333330844</v>
      </c>
      <c r="BR808" s="343">
        <f>SUMIFS($AU$134:AU809,$AA$134:AA809,"*")</f>
        <v>13709.475333333326</v>
      </c>
      <c r="BS808" s="343">
        <f>SUMIFS($AU$134:AU809,$AB$134:AB809,"*")</f>
        <v>5129.1366666667018</v>
      </c>
      <c r="BT808" s="343">
        <f>SUMIFS($AU$134:AU809,$AC$134:AC809,"*")</f>
        <v>8415.6833333333325</v>
      </c>
      <c r="BU808" s="343">
        <f>SUMIFS($AU$134:AU809,$AA$134:AA809,"*",$AB$134:AB809,"*")</f>
        <v>3314.0000000000045</v>
      </c>
      <c r="BV808" s="343">
        <f>SUMIFS($AU$134:AU809,$AA$134:AA809,"*",$AC$134:AC809,"*")</f>
        <v>7956.7833333333328</v>
      </c>
      <c r="BW808" s="343">
        <f>SUMIFS($AU$134:AU809,$AB$134:AB809,"*",$AC$134:AC809,"*")</f>
        <v>5022.6000000000004</v>
      </c>
      <c r="BX808" s="343">
        <f>SUMIFS($AU809:AU$1388,$Q809:Q$1388,"F")</f>
        <v>10186.133333333333</v>
      </c>
      <c r="BY808" s="343">
        <f>SUMIFS($AU809:AU$1388,$Q809:Q$1388,"S")</f>
        <v>10219.200000000001</v>
      </c>
      <c r="BZ808" s="343">
        <f>SUMIFS($AU809:AU$1388,$Q809:Q$1388,"O")</f>
        <v>-1382.79466666649</v>
      </c>
    </row>
    <row r="809" spans="1:78" ht="15.75" customHeight="1">
      <c r="A809" s="221" t="s">
        <v>3123</v>
      </c>
      <c r="B809" s="177">
        <v>45119</v>
      </c>
      <c r="C809" s="178" t="s">
        <v>3234</v>
      </c>
      <c r="D809" s="178" t="s">
        <v>151</v>
      </c>
      <c r="E809" s="227"/>
      <c r="F809" s="180"/>
      <c r="G809" s="281" t="s">
        <v>2545</v>
      </c>
      <c r="H809" s="182"/>
      <c r="I809" s="182"/>
      <c r="J809" s="182"/>
      <c r="K809" s="183"/>
      <c r="L809" s="182">
        <v>1</v>
      </c>
      <c r="M809" s="182"/>
      <c r="N809" s="182"/>
      <c r="O809" s="183" t="s">
        <v>2259</v>
      </c>
      <c r="P809" s="183" t="s">
        <v>2260</v>
      </c>
      <c r="Q809" s="183"/>
      <c r="R809" s="183">
        <v>2</v>
      </c>
      <c r="S809" s="183">
        <v>0</v>
      </c>
      <c r="T809" s="183">
        <v>2</v>
      </c>
      <c r="U809" s="183" t="s">
        <v>97</v>
      </c>
      <c r="V809" s="183"/>
      <c r="W809" s="183"/>
      <c r="X809" s="183"/>
      <c r="Y809" s="184">
        <f t="shared" si="283"/>
        <v>0.01</v>
      </c>
      <c r="Z809" s="185">
        <f t="shared" si="282"/>
        <v>4800</v>
      </c>
      <c r="AA809" s="185" t="s">
        <v>3235</v>
      </c>
      <c r="AB809" s="409" t="s">
        <v>3236</v>
      </c>
      <c r="AC809" s="185"/>
      <c r="AD809" s="649">
        <v>0.1</v>
      </c>
      <c r="AE809" s="182"/>
      <c r="AF809" s="332"/>
      <c r="AG809" s="182"/>
      <c r="AH809" s="182" t="s">
        <v>3237</v>
      </c>
      <c r="AI809" s="182"/>
      <c r="AJ809" s="640" t="s">
        <v>3238</v>
      </c>
      <c r="AK809" s="182"/>
      <c r="AL809" s="496">
        <f>-0.03*Z809</f>
        <v>-144</v>
      </c>
      <c r="AM809" s="496">
        <f>AL809*(R809-S809)</f>
        <v>-288</v>
      </c>
      <c r="AN809" s="626"/>
      <c r="AO809" s="182"/>
      <c r="AP809" s="182" t="s">
        <v>3239</v>
      </c>
      <c r="AQ809" s="332" t="str">
        <f>UPPER(RIGHT(Journal_Live[[#This Row],[DURATION ]]))</f>
        <v>H</v>
      </c>
      <c r="AR809" s="182" t="s">
        <v>3240</v>
      </c>
      <c r="AS809" s="189">
        <f>(0.11+0.1)/2</f>
        <v>0.10500000000000001</v>
      </c>
      <c r="AT809" s="189">
        <f>IF(ISBLANK(AS809),,IF(U809="S",AD809-AS809,AS809-AD809))</f>
        <v>-5.0000000000000044E-3</v>
      </c>
      <c r="AU809" s="187">
        <f>AV809*R809</f>
        <v>-48.000000000000043</v>
      </c>
      <c r="AV809" s="190">
        <f>IF(ISBLANK(AS809),,(AT809*Z809))</f>
        <v>-24.000000000000021</v>
      </c>
      <c r="AW809" s="191" t="s">
        <v>229</v>
      </c>
      <c r="AX809" s="407"/>
      <c r="AY809" s="407"/>
      <c r="AZ809" s="407"/>
      <c r="BA809" s="407"/>
      <c r="BB809" s="407"/>
      <c r="BC809" s="407"/>
      <c r="BD809" s="407"/>
      <c r="BE809" s="407"/>
      <c r="BF809" s="422"/>
      <c r="BG809" s="391">
        <f>SUM($AV$4:AV809)</f>
        <v>4172.569871572935</v>
      </c>
      <c r="BH809" s="392">
        <f>SUM($AU$134:AU809)</f>
        <v>14648.112000000028</v>
      </c>
      <c r="BI809" s="318">
        <f>SUMIFS($AU$134:AU810,$Q$134:Q810,"F")</f>
        <v>4254.5333333333328</v>
      </c>
      <c r="BJ809" s="318">
        <f>SUMIFS($AU$134:AU810,$Q$134:Q810,"S")</f>
        <v>10452.441999999999</v>
      </c>
      <c r="BK809" s="343">
        <f>SUMIFS($AU$134:AU810,$P$134:P810,"W")</f>
        <v>9579.7419999999365</v>
      </c>
      <c r="BL809" s="343">
        <f>SUMIFS($AU$134:AU810,$P$134:P810,"R")</f>
        <v>4996.673333333335</v>
      </c>
      <c r="BM809" s="343">
        <f>SUMIFS($AU$134:AU810,$AQ$134:AQ810,"M")</f>
        <v>2333.3999999999814</v>
      </c>
      <c r="BN809" s="343">
        <f>SUMIFS($AU$134:AU810,$AQ$134:AQ810,"H")</f>
        <v>4214.1420000000153</v>
      </c>
      <c r="BO809" s="343">
        <f>SUMIFS($AU$134:AU810,$AQ$134:AQ810,"D")</f>
        <v>3992.3466666667146</v>
      </c>
      <c r="BP809" s="343">
        <f>SUMIFS($AU$134:AU812,$AQ$134:AQ812,"W")</f>
        <v>3049.7833333333429</v>
      </c>
      <c r="BQ809" s="343">
        <f>SUMIFS($AU$134:AU810,$Q$134:Q810,"O")</f>
        <v>-266.06333333330844</v>
      </c>
      <c r="BR809" s="343">
        <f>SUMIFS($AU$134:AU810,$AA$134:AA810,"*")</f>
        <v>13709.475333333326</v>
      </c>
      <c r="BS809" s="343">
        <f>SUMIFS($AU$134:AU810,$AB$134:AB810,"*")</f>
        <v>5129.1366666667018</v>
      </c>
      <c r="BT809" s="343">
        <f>SUMIFS($AU$134:AU810,$AC$134:AC810,"*")</f>
        <v>8415.6833333333325</v>
      </c>
      <c r="BU809" s="343">
        <f>SUMIFS($AU$134:AU810,$AA$134:AA810,"*",$AB$134:AB810,"*")</f>
        <v>3314.0000000000045</v>
      </c>
      <c r="BV809" s="343">
        <f>SUMIFS($AU$134:AU810,$AA$134:AA810,"*",$AC$134:AC810,"*")</f>
        <v>7956.7833333333328</v>
      </c>
      <c r="BW809" s="343">
        <f>SUMIFS($AU$134:AU810,$AB$134:AB810,"*",$AC$134:AC810,"*")</f>
        <v>5022.6000000000004</v>
      </c>
      <c r="BX809" s="343">
        <f>SUMIFS($AU810:AU$1388,$Q810:Q$1388,"F")</f>
        <v>10186.133333333333</v>
      </c>
      <c r="BY809" s="343">
        <f>SUMIFS($AU810:AU$1388,$Q810:Q$1388,"S")</f>
        <v>10219.200000000001</v>
      </c>
      <c r="BZ809" s="343">
        <f>SUMIFS($AU810:AU$1388,$Q810:Q$1388,"O")</f>
        <v>-1382.79466666649</v>
      </c>
    </row>
    <row r="810" spans="1:78" ht="15.75" customHeight="1">
      <c r="A810" s="221" t="s">
        <v>3123</v>
      </c>
      <c r="B810" s="177">
        <v>45119</v>
      </c>
      <c r="C810" s="178" t="s">
        <v>1187</v>
      </c>
      <c r="D810" s="178" t="s">
        <v>151</v>
      </c>
      <c r="E810" s="227" t="s">
        <v>3241</v>
      </c>
      <c r="F810" s="180"/>
      <c r="G810" s="181"/>
      <c r="H810" s="182"/>
      <c r="I810" s="182"/>
      <c r="J810" s="182"/>
      <c r="K810" s="183"/>
      <c r="L810" s="182"/>
      <c r="M810" s="182"/>
      <c r="N810" s="182"/>
      <c r="O810" s="183"/>
      <c r="P810" s="183"/>
      <c r="Q810" s="183"/>
      <c r="R810" s="183"/>
      <c r="S810" s="183"/>
      <c r="T810" s="183"/>
      <c r="U810" s="183"/>
      <c r="V810" s="183"/>
      <c r="W810" s="183"/>
      <c r="X810" s="183"/>
      <c r="Y810" s="184" t="str">
        <f t="shared" si="283"/>
        <v/>
      </c>
      <c r="Z810" s="185" t="str">
        <f t="shared" si="282"/>
        <v/>
      </c>
      <c r="AA810" s="185"/>
      <c r="AB810" s="185"/>
      <c r="AC810" s="185"/>
      <c r="AD810" s="649"/>
      <c r="AE810" s="182"/>
      <c r="AF810" s="332"/>
      <c r="AG810" s="182"/>
      <c r="AH810" s="182"/>
      <c r="AI810" s="182"/>
      <c r="AJ810" s="640"/>
      <c r="AK810" s="182"/>
      <c r="AL810" s="496"/>
      <c r="AM810" s="496"/>
      <c r="AN810" s="626"/>
      <c r="AO810" s="182"/>
      <c r="AP810" s="182"/>
      <c r="AQ810" s="332" t="str">
        <f>UPPER(RIGHT(Journal_Live[[#This Row],[DURATION ]]))</f>
        <v/>
      </c>
      <c r="AR810" s="182"/>
      <c r="AS810" s="189"/>
      <c r="AT810" s="189"/>
      <c r="AU810" s="187"/>
      <c r="AV810" s="190"/>
      <c r="AW810" s="191"/>
      <c r="AX810" s="407"/>
      <c r="AY810" s="407"/>
      <c r="AZ810" s="407"/>
      <c r="BA810" s="407"/>
      <c r="BB810" s="407"/>
      <c r="BC810" s="407"/>
      <c r="BD810" s="407"/>
      <c r="BE810" s="407"/>
      <c r="BF810" s="422"/>
      <c r="BG810" s="391">
        <f>SUM($AV$4:AV810)</f>
        <v>4172.569871572935</v>
      </c>
      <c r="BH810" s="392">
        <f>SUM($AU$134:AU810)</f>
        <v>14648.112000000028</v>
      </c>
      <c r="BI810" s="318">
        <f>SUMIFS($AU$134:AU811,$Q$134:Q811,"F")</f>
        <v>4254.5333333333328</v>
      </c>
      <c r="BJ810" s="318">
        <f>SUMIFS($AU$134:AU811,$Q$134:Q811,"S")</f>
        <v>10292.441999999999</v>
      </c>
      <c r="BK810" s="343">
        <f>SUMIFS($AU$134:AU811,$P$134:P811,"W")</f>
        <v>9419.7419999999365</v>
      </c>
      <c r="BL810" s="343">
        <f>SUMIFS($AU$134:AU811,$P$134:P811,"R")</f>
        <v>4996.673333333335</v>
      </c>
      <c r="BM810" s="343">
        <f>SUMIFS($AU$134:AU811,$AQ$134:AQ811,"M")</f>
        <v>2333.3999999999814</v>
      </c>
      <c r="BN810" s="343">
        <f>SUMIFS($AU$134:AU811,$AQ$134:AQ811,"H")</f>
        <v>4054.1420000000153</v>
      </c>
      <c r="BO810" s="343">
        <f>SUMIFS($AU$134:AU811,$AQ$134:AQ811,"D")</f>
        <v>3992.3466666667146</v>
      </c>
      <c r="BP810" s="343">
        <f>SUMIFS($AU$134:AU813,$AQ$134:AQ813,"W")</f>
        <v>3049.7833333333429</v>
      </c>
      <c r="BQ810" s="343">
        <f>SUMIFS($AU$134:AU811,$Q$134:Q811,"O")</f>
        <v>-266.06333333330844</v>
      </c>
      <c r="BR810" s="343">
        <f>SUMIFS($AU$134:AU811,$AA$134:AA811,"*")</f>
        <v>13549.475333333326</v>
      </c>
      <c r="BS810" s="343">
        <f>SUMIFS($AU$134:AU811,$AB$134:AB811,"*")</f>
        <v>5129.1366666667018</v>
      </c>
      <c r="BT810" s="343">
        <f>SUMIFS($AU$134:AU811,$AC$134:AC811,"*")</f>
        <v>8415.6833333333325</v>
      </c>
      <c r="BU810" s="343">
        <f>SUMIFS($AU$134:AU811,$AA$134:AA811,"*",$AB$134:AB811,"*")</f>
        <v>3314.0000000000045</v>
      </c>
      <c r="BV810" s="343">
        <f>SUMIFS($AU$134:AU811,$AA$134:AA811,"*",$AC$134:AC811,"*")</f>
        <v>7956.7833333333328</v>
      </c>
      <c r="BW810" s="343">
        <f>SUMIFS($AU$134:AU811,$AB$134:AB811,"*",$AC$134:AC811,"*")</f>
        <v>5022.6000000000004</v>
      </c>
      <c r="BX810" s="343">
        <f>SUMIFS($AU811:AU$1388,$Q811:Q$1388,"F")</f>
        <v>10186.133333333333</v>
      </c>
      <c r="BY810" s="343">
        <f>SUMIFS($AU811:AU$1388,$Q811:Q$1388,"S")</f>
        <v>10219.200000000001</v>
      </c>
      <c r="BZ810" s="343">
        <f>SUMIFS($AU811:AU$1388,$Q811:Q$1388,"O")</f>
        <v>-1382.79466666649</v>
      </c>
    </row>
    <row r="811" spans="1:78" ht="15.75" customHeight="1">
      <c r="A811" s="221" t="s">
        <v>3123</v>
      </c>
      <c r="B811" s="177">
        <v>45119</v>
      </c>
      <c r="C811" s="178" t="s">
        <v>3242</v>
      </c>
      <c r="D811" s="178" t="s">
        <v>151</v>
      </c>
      <c r="E811" s="227"/>
      <c r="F811" s="180"/>
      <c r="G811" s="281" t="s">
        <v>136</v>
      </c>
      <c r="H811" s="182"/>
      <c r="I811" s="182"/>
      <c r="J811" s="182"/>
      <c r="K811" s="183"/>
      <c r="L811" s="182">
        <v>1</v>
      </c>
      <c r="M811" s="182"/>
      <c r="N811" s="182"/>
      <c r="O811" s="183" t="s">
        <v>95</v>
      </c>
      <c r="P811" s="183" t="s">
        <v>96</v>
      </c>
      <c r="Q811" s="183" t="s">
        <v>97</v>
      </c>
      <c r="R811" s="183">
        <v>5</v>
      </c>
      <c r="S811" s="183">
        <v>0</v>
      </c>
      <c r="T811" s="183">
        <v>5</v>
      </c>
      <c r="U811" s="183" t="s">
        <v>22</v>
      </c>
      <c r="V811" s="183"/>
      <c r="W811" s="183"/>
      <c r="X811" s="183"/>
      <c r="Y811" s="184">
        <f t="shared" si="283"/>
        <v>0.01</v>
      </c>
      <c r="Z811" s="185">
        <f t="shared" si="282"/>
        <v>1600</v>
      </c>
      <c r="AA811" s="185" t="s">
        <v>99</v>
      </c>
      <c r="AB811" s="185"/>
      <c r="AC811" s="185"/>
      <c r="AD811" s="649">
        <f>-0.11</f>
        <v>-0.11</v>
      </c>
      <c r="AE811" s="182"/>
      <c r="AF811" s="332"/>
      <c r="AG811" s="182"/>
      <c r="AH811" s="182"/>
      <c r="AI811" s="182"/>
      <c r="AJ811" s="640"/>
      <c r="AK811" s="182"/>
      <c r="AL811" s="496">
        <f>-0.025*Z811</f>
        <v>-40</v>
      </c>
      <c r="AM811" s="496">
        <f>AL811*(R811-S811)</f>
        <v>-200</v>
      </c>
      <c r="AN811" s="626"/>
      <c r="AO811" s="182"/>
      <c r="AP811" s="182" t="s">
        <v>1017</v>
      </c>
      <c r="AQ811" s="332" t="str">
        <f>UPPER(RIGHT(Journal_Live[[#This Row],[DURATION ]]))</f>
        <v>H</v>
      </c>
      <c r="AR811" s="298" t="s">
        <v>3243</v>
      </c>
      <c r="AS811" s="189">
        <v>-0.13</v>
      </c>
      <c r="AT811" s="189">
        <f>IF(ISBLANK(AS811),,IF(U811="S",AD811-AS811,AS811-AD811))</f>
        <v>-2.0000000000000004E-2</v>
      </c>
      <c r="AU811" s="187">
        <f>AV811*R811</f>
        <v>-160.00000000000003</v>
      </c>
      <c r="AV811" s="190">
        <f>IF(ISBLANK(AS811),,(AT811*Z811))</f>
        <v>-32.000000000000007</v>
      </c>
      <c r="AW811" s="191" t="s">
        <v>229</v>
      </c>
      <c r="AX811" s="407" t="s">
        <v>3244</v>
      </c>
      <c r="AY811" s="407"/>
      <c r="AZ811" s="407"/>
      <c r="BA811" s="407"/>
      <c r="BB811" s="407"/>
      <c r="BC811" s="407"/>
      <c r="BD811" s="407"/>
      <c r="BE811" s="407"/>
      <c r="BF811" s="422"/>
      <c r="BG811" s="391">
        <f>SUM($AV$4:AV811)</f>
        <v>4140.569871572935</v>
      </c>
      <c r="BH811" s="392">
        <f>SUM($AU$134:AU811)</f>
        <v>14488.112000000028</v>
      </c>
      <c r="BI811" s="318">
        <f>SUMIFS($AU$134:AU812,$Q$134:Q812,"F")</f>
        <v>4254.5333333333328</v>
      </c>
      <c r="BJ811" s="318">
        <f>SUMIFS($AU$134:AU812,$Q$134:Q812,"S")</f>
        <v>10372.441999999999</v>
      </c>
      <c r="BK811" s="343">
        <f>SUMIFS($AU$134:AU812,$P$134:P812,"W")</f>
        <v>9499.7419999999365</v>
      </c>
      <c r="BL811" s="343">
        <f>SUMIFS($AU$134:AU812,$P$134:P812,"R")</f>
        <v>4996.673333333335</v>
      </c>
      <c r="BM811" s="343">
        <f>SUMIFS($AU$134:AU812,$AQ$134:AQ812,"M")</f>
        <v>2333.3999999999814</v>
      </c>
      <c r="BN811" s="343">
        <f>SUMIFS($AU$134:AU812,$AQ$134:AQ812,"H")</f>
        <v>4134.1420000000153</v>
      </c>
      <c r="BO811" s="343">
        <f>SUMIFS($AU$134:AU812,$AQ$134:AQ812,"D")</f>
        <v>3992.3466666667146</v>
      </c>
      <c r="BP811" s="343">
        <f>SUMIFS($AU$134:AU814,$AQ$134:AQ814,"W")</f>
        <v>3049.7833333333429</v>
      </c>
      <c r="BQ811" s="343">
        <f>SUMIFS($AU$134:AU812,$Q$134:Q812,"O")</f>
        <v>-266.06333333330844</v>
      </c>
      <c r="BR811" s="343">
        <f>SUMIFS($AU$134:AU812,$AA$134:AA812,"*")</f>
        <v>13629.475333333326</v>
      </c>
      <c r="BS811" s="343">
        <f>SUMIFS($AU$134:AU812,$AB$134:AB812,"*")</f>
        <v>5129.1366666667018</v>
      </c>
      <c r="BT811" s="343">
        <f>SUMIFS($AU$134:AU812,$AC$134:AC812,"*")</f>
        <v>8415.6833333333325</v>
      </c>
      <c r="BU811" s="343">
        <f>SUMIFS($AU$134:AU812,$AA$134:AA812,"*",$AB$134:AB812,"*")</f>
        <v>3314.0000000000045</v>
      </c>
      <c r="BV811" s="343">
        <f>SUMIFS($AU$134:AU812,$AA$134:AA812,"*",$AC$134:AC812,"*")</f>
        <v>7956.7833333333328</v>
      </c>
      <c r="BW811" s="343">
        <f>SUMIFS($AU$134:AU812,$AB$134:AB812,"*",$AC$134:AC812,"*")</f>
        <v>5022.6000000000004</v>
      </c>
      <c r="BX811" s="343">
        <f>SUMIFS($AU812:AU$1388,$Q812:Q$1388,"F")</f>
        <v>10186.133333333333</v>
      </c>
      <c r="BY811" s="343">
        <f>SUMIFS($AU812:AU$1388,$Q812:Q$1388,"S")</f>
        <v>10379.200000000001</v>
      </c>
      <c r="BZ811" s="343">
        <f>SUMIFS($AU812:AU$1388,$Q812:Q$1388,"O")</f>
        <v>-1382.79466666649</v>
      </c>
    </row>
    <row r="812" spans="1:78" ht="15.75" customHeight="1">
      <c r="A812" s="221" t="s">
        <v>3123</v>
      </c>
      <c r="B812" s="177">
        <v>45119</v>
      </c>
      <c r="C812" s="178" t="s">
        <v>1322</v>
      </c>
      <c r="D812" s="178" t="s">
        <v>151</v>
      </c>
      <c r="E812" s="227"/>
      <c r="F812" s="180"/>
      <c r="G812" s="281" t="s">
        <v>2145</v>
      </c>
      <c r="H812" s="182"/>
      <c r="I812" s="182"/>
      <c r="J812" s="182"/>
      <c r="K812" s="183"/>
      <c r="L812" s="182">
        <v>1</v>
      </c>
      <c r="M812" s="182"/>
      <c r="N812" s="182"/>
      <c r="O812" s="183" t="s">
        <v>95</v>
      </c>
      <c r="P812" s="183" t="s">
        <v>96</v>
      </c>
      <c r="Q812" s="183" t="s">
        <v>97</v>
      </c>
      <c r="R812" s="183">
        <v>5</v>
      </c>
      <c r="S812" s="183">
        <v>0</v>
      </c>
      <c r="T812" s="183">
        <v>5</v>
      </c>
      <c r="U812" s="183" t="s">
        <v>22</v>
      </c>
      <c r="V812" s="183"/>
      <c r="W812" s="183"/>
      <c r="X812" s="183"/>
      <c r="Y812" s="184">
        <f t="shared" si="283"/>
        <v>0.01</v>
      </c>
      <c r="Z812" s="185">
        <f t="shared" si="282"/>
        <v>1600</v>
      </c>
      <c r="AA812" s="185" t="s">
        <v>3245</v>
      </c>
      <c r="AB812" s="185"/>
      <c r="AC812" s="185"/>
      <c r="AD812" s="649">
        <v>0.01</v>
      </c>
      <c r="AE812" s="182"/>
      <c r="AF812" s="332"/>
      <c r="AG812" s="182"/>
      <c r="AH812" s="182"/>
      <c r="AI812" s="182"/>
      <c r="AJ812" s="640"/>
      <c r="AK812" s="182"/>
      <c r="AL812" s="496"/>
      <c r="AM812" s="496"/>
      <c r="AN812" s="626"/>
      <c r="AO812" s="182"/>
      <c r="AP812" s="182" t="s">
        <v>967</v>
      </c>
      <c r="AQ812" s="332" t="str">
        <f>UPPER(RIGHT(Journal_Live[[#This Row],[DURATION ]]))</f>
        <v>H</v>
      </c>
      <c r="AR812" s="182" t="s">
        <v>3246</v>
      </c>
      <c r="AS812" s="189">
        <v>0.02</v>
      </c>
      <c r="AT812" s="189">
        <f>IF(ISBLANK(AS812),,IF(U812="S",AD812-AS812,AS812-AD812))</f>
        <v>0.01</v>
      </c>
      <c r="AU812" s="187">
        <f>AV812*R812</f>
        <v>80</v>
      </c>
      <c r="AV812" s="190">
        <f>IF(ISBLANK(AS812),,(AT812*Z812))</f>
        <v>16</v>
      </c>
      <c r="AW812" s="191" t="s">
        <v>96</v>
      </c>
      <c r="AX812" s="407"/>
      <c r="AY812" s="407"/>
      <c r="AZ812" s="407"/>
      <c r="BA812" s="407"/>
      <c r="BB812" s="407"/>
      <c r="BC812" s="407"/>
      <c r="BD812" s="407"/>
      <c r="BE812" s="407"/>
      <c r="BF812" s="422"/>
      <c r="BG812" s="391">
        <f>SUM($AV$4:AV812)</f>
        <v>4156.569871572935</v>
      </c>
      <c r="BH812" s="392">
        <f>SUM($AU$134:AU812)</f>
        <v>14568.112000000028</v>
      </c>
      <c r="BI812" s="318">
        <f>SUMIFS($AU$134:AU813,$Q$134:Q813,"F")</f>
        <v>4526.5333333333328</v>
      </c>
      <c r="BJ812" s="318">
        <f>SUMIFS($AU$134:AU813,$Q$134:Q813,"S")</f>
        <v>10372.441999999999</v>
      </c>
      <c r="BK812" s="343">
        <f>SUMIFS($AU$134:AU813,$P$134:P813,"W")</f>
        <v>9771.7419999999365</v>
      </c>
      <c r="BL812" s="343">
        <f>SUMIFS($AU$134:AU813,$P$134:P813,"R")</f>
        <v>4996.673333333335</v>
      </c>
      <c r="BM812" s="343">
        <f>SUMIFS($AU$134:AU813,$AQ$134:AQ813,"M")</f>
        <v>2333.3999999999814</v>
      </c>
      <c r="BN812" s="343">
        <f>SUMIFS($AU$134:AU813,$AQ$134:AQ813,"H")</f>
        <v>4134.1420000000153</v>
      </c>
      <c r="BO812" s="343">
        <f>SUMIFS($AU$134:AU813,$AQ$134:AQ813,"D")</f>
        <v>4264.3466666667146</v>
      </c>
      <c r="BP812" s="343">
        <f>SUMIFS($AU$134:AU815,$AQ$134:AQ815,"W")</f>
        <v>3049.7833333333429</v>
      </c>
      <c r="BQ812" s="343">
        <f>SUMIFS($AU$134:AU813,$Q$134:Q813,"O")</f>
        <v>-266.06333333330844</v>
      </c>
      <c r="BR812" s="343">
        <f>SUMIFS($AU$134:AU813,$AA$134:AA813,"*")</f>
        <v>13901.475333333326</v>
      </c>
      <c r="BS812" s="343">
        <f>SUMIFS($AU$134:AU813,$AB$134:AB813,"*")</f>
        <v>5401.1366666667018</v>
      </c>
      <c r="BT812" s="343">
        <f>SUMIFS($AU$134:AU813,$AC$134:AC813,"*")</f>
        <v>8687.6833333333325</v>
      </c>
      <c r="BU812" s="343">
        <f>SUMIFS($AU$134:AU813,$AA$134:AA813,"*",$AB$134:AB813,"*")</f>
        <v>3586.0000000000045</v>
      </c>
      <c r="BV812" s="343">
        <f>SUMIFS($AU$134:AU813,$AA$134:AA813,"*",$AC$134:AC813,"*")</f>
        <v>8228.7833333333328</v>
      </c>
      <c r="BW812" s="343">
        <f>SUMIFS($AU$134:AU813,$AB$134:AB813,"*",$AC$134:AC813,"*")</f>
        <v>5294.6</v>
      </c>
      <c r="BX812" s="343">
        <f>SUMIFS($AU813:AU$1388,$Q813:Q$1388,"F")</f>
        <v>10186.133333333333</v>
      </c>
      <c r="BY812" s="343">
        <f>SUMIFS($AU813:AU$1388,$Q813:Q$1388,"S")</f>
        <v>10299.200000000001</v>
      </c>
      <c r="BZ812" s="343">
        <f>SUMIFS($AU813:AU$1388,$Q813:Q$1388,"O")</f>
        <v>-1382.79466666649</v>
      </c>
    </row>
    <row r="813" spans="1:78" ht="15.75" customHeight="1">
      <c r="A813" s="221" t="s">
        <v>3123</v>
      </c>
      <c r="B813" s="177">
        <v>45120</v>
      </c>
      <c r="C813" s="178" t="s">
        <v>3001</v>
      </c>
      <c r="D813" s="178" t="s">
        <v>151</v>
      </c>
      <c r="E813" s="227"/>
      <c r="F813" s="180"/>
      <c r="G813" s="482" t="s">
        <v>3247</v>
      </c>
      <c r="H813" s="182"/>
      <c r="I813" s="182"/>
      <c r="J813" s="182"/>
      <c r="K813" s="183"/>
      <c r="L813" s="182">
        <v>1</v>
      </c>
      <c r="M813" s="182"/>
      <c r="N813" s="182"/>
      <c r="O813" s="183" t="s">
        <v>95</v>
      </c>
      <c r="P813" s="183" t="s">
        <v>96</v>
      </c>
      <c r="Q813" s="183" t="s">
        <v>256</v>
      </c>
      <c r="R813" s="183">
        <v>12</v>
      </c>
      <c r="S813" s="183">
        <v>12</v>
      </c>
      <c r="T813" s="183">
        <v>5</v>
      </c>
      <c r="U813" s="183" t="s">
        <v>97</v>
      </c>
      <c r="V813" s="183"/>
      <c r="W813" s="183"/>
      <c r="X813" s="183"/>
      <c r="Y813" s="184">
        <f t="shared" si="283"/>
        <v>0.01</v>
      </c>
      <c r="Z813" s="185">
        <f t="shared" si="282"/>
        <v>1600</v>
      </c>
      <c r="AA813" s="185" t="s">
        <v>3248</v>
      </c>
      <c r="AB813" s="185" t="s">
        <v>3249</v>
      </c>
      <c r="AC813" s="185" t="s">
        <v>3250</v>
      </c>
      <c r="AD813" s="649">
        <f>(0.09*5+0.08*7)/12</f>
        <v>8.4166666666666667E-2</v>
      </c>
      <c r="AE813" s="182"/>
      <c r="AF813" s="332"/>
      <c r="AG813" s="182"/>
      <c r="AH813" s="182" t="s">
        <v>3251</v>
      </c>
      <c r="AI813" s="182"/>
      <c r="AJ813" s="640" t="s">
        <v>3252</v>
      </c>
      <c r="AK813" s="182"/>
      <c r="AL813" s="496">
        <f t="shared" ref="AL813" si="284">-0.025*Z813</f>
        <v>-40</v>
      </c>
      <c r="AM813" s="496">
        <f>AL813*(R813-S813)</f>
        <v>0</v>
      </c>
      <c r="AN813" s="626"/>
      <c r="AO813" s="182"/>
      <c r="AP813" s="182" t="s">
        <v>3253</v>
      </c>
      <c r="AQ813" s="332" t="str">
        <f>UPPER(RIGHT(Journal_Live[[#This Row],[DURATION ]]))</f>
        <v>D</v>
      </c>
      <c r="AR813" s="182" t="s">
        <v>3254</v>
      </c>
      <c r="AS813" s="189">
        <f>(0.07*3+0.07*9)/12</f>
        <v>7.0000000000000007E-2</v>
      </c>
      <c r="AT813" s="189">
        <f>IF(ISBLANK(AS813),,IF(U813="S",AD813-AS813,AS813-AD813))</f>
        <v>1.4166666666666661E-2</v>
      </c>
      <c r="AU813" s="187">
        <f>AV813*R813</f>
        <v>271.99999999999989</v>
      </c>
      <c r="AV813" s="190">
        <f>IF(ISBLANK(AS813),,(AT813*Z813))</f>
        <v>22.666666666666657</v>
      </c>
      <c r="AW813" s="191" t="s">
        <v>96</v>
      </c>
      <c r="AX813" s="407" t="s">
        <v>3255</v>
      </c>
      <c r="AY813" s="407" t="s">
        <v>3256</v>
      </c>
      <c r="AZ813" s="407"/>
      <c r="BA813" s="407"/>
      <c r="BB813" s="407"/>
      <c r="BC813" s="407"/>
      <c r="BD813" s="407"/>
      <c r="BE813" s="407"/>
      <c r="BF813" s="422"/>
      <c r="BG813" s="391">
        <f>SUM($AV$4:AV813)</f>
        <v>4179.2365382396019</v>
      </c>
      <c r="BH813" s="392">
        <f>SUM($AU$134:AU813)</f>
        <v>14840.112000000028</v>
      </c>
      <c r="BI813" s="318">
        <f>SUMIFS($AU$134:AU814,$Q$134:Q814,"F")</f>
        <v>4526.5333333333328</v>
      </c>
      <c r="BJ813" s="318">
        <f>SUMIFS($AU$134:AU814,$Q$134:Q814,"S")</f>
        <v>10372.441999999999</v>
      </c>
      <c r="BK813" s="343">
        <f>SUMIFS($AU$134:AU814,$P$134:P814,"W")</f>
        <v>9771.7419999999365</v>
      </c>
      <c r="BL813" s="343">
        <f>SUMIFS($AU$134:AU814,$P$134:P814,"R")</f>
        <v>4996.673333333335</v>
      </c>
      <c r="BM813" s="343">
        <f>SUMIFS($AU$134:AU814,$AQ$134:AQ814,"M")</f>
        <v>2333.3999999999814</v>
      </c>
      <c r="BN813" s="343">
        <f>SUMIFS($AU$134:AU814,$AQ$134:AQ814,"H")</f>
        <v>4134.1420000000153</v>
      </c>
      <c r="BO813" s="343">
        <f>SUMIFS($AU$134:AU814,$AQ$134:AQ814,"D")</f>
        <v>4264.3466666667146</v>
      </c>
      <c r="BP813" s="343">
        <f>SUMIFS($AU$134:AU816,$AQ$134:AQ816,"W")</f>
        <v>3049.7833333333429</v>
      </c>
      <c r="BQ813" s="343">
        <f>SUMIFS($AU$134:AU814,$Q$134:Q814,"O")</f>
        <v>-266.06333333330844</v>
      </c>
      <c r="BR813" s="343">
        <f>SUMIFS($AU$134:AU814,$AA$134:AA814,"*")</f>
        <v>13901.475333333326</v>
      </c>
      <c r="BS813" s="343">
        <f>SUMIFS($AU$134:AU814,$AB$134:AB814,"*")</f>
        <v>5401.1366666667018</v>
      </c>
      <c r="BT813" s="343">
        <f>SUMIFS($AU$134:AU814,$AC$134:AC814,"*")</f>
        <v>8687.6833333333325</v>
      </c>
      <c r="BU813" s="343">
        <f>SUMIFS($AU$134:AU814,$AA$134:AA814,"*",$AB$134:AB814,"*")</f>
        <v>3586.0000000000045</v>
      </c>
      <c r="BV813" s="343">
        <f>SUMIFS($AU$134:AU814,$AA$134:AA814,"*",$AC$134:AC814,"*")</f>
        <v>8228.7833333333328</v>
      </c>
      <c r="BW813" s="343">
        <f>SUMIFS($AU$134:AU814,$AB$134:AB814,"*",$AC$134:AC814,"*")</f>
        <v>5294.6</v>
      </c>
      <c r="BX813" s="343">
        <f>SUMIFS($AU814:AU$1388,$Q814:Q$1388,"F")</f>
        <v>9914.1333333333332</v>
      </c>
      <c r="BY813" s="343">
        <f>SUMIFS($AU814:AU$1388,$Q814:Q$1388,"S")</f>
        <v>10299.200000000001</v>
      </c>
      <c r="BZ813" s="343">
        <f>SUMIFS($AU814:AU$1388,$Q814:Q$1388,"O")</f>
        <v>-1382.79466666649</v>
      </c>
    </row>
    <row r="814" spans="1:78" ht="15.75" customHeight="1">
      <c r="A814" s="221" t="s">
        <v>3123</v>
      </c>
      <c r="B814" s="177">
        <v>45120</v>
      </c>
      <c r="C814" s="178" t="s">
        <v>3257</v>
      </c>
      <c r="D814" s="178" t="s">
        <v>151</v>
      </c>
      <c r="E814" s="227"/>
      <c r="F814" s="180"/>
      <c r="G814" s="181" t="s">
        <v>3218</v>
      </c>
      <c r="H814" s="182"/>
      <c r="I814" s="182"/>
      <c r="J814" s="182"/>
      <c r="K814" s="183"/>
      <c r="L814" s="182"/>
      <c r="M814" s="182"/>
      <c r="N814" s="182"/>
      <c r="O814" s="183"/>
      <c r="P814" s="183"/>
      <c r="Q814" s="183"/>
      <c r="R814" s="183"/>
      <c r="S814" s="183"/>
      <c r="T814" s="183"/>
      <c r="U814" s="183"/>
      <c r="V814" s="183"/>
      <c r="W814" s="183"/>
      <c r="X814" s="183"/>
      <c r="Y814" s="184"/>
      <c r="Z814" s="185"/>
      <c r="AA814" s="185"/>
      <c r="AB814" s="185"/>
      <c r="AC814" s="185"/>
      <c r="AD814" s="649"/>
      <c r="AE814" s="182"/>
      <c r="AF814" s="332"/>
      <c r="AG814" s="182"/>
      <c r="AH814" s="182"/>
      <c r="AI814" s="182"/>
      <c r="AJ814" s="640"/>
      <c r="AK814" s="182"/>
      <c r="AL814" s="496"/>
      <c r="AM814" s="496"/>
      <c r="AN814" s="626"/>
      <c r="AO814" s="182"/>
      <c r="AP814" s="182"/>
      <c r="AQ814" s="332" t="str">
        <f>UPPER(RIGHT(Journal_Live[[#This Row],[DURATION ]]))</f>
        <v/>
      </c>
      <c r="AR814" s="182"/>
      <c r="AS814" s="189"/>
      <c r="AT814" s="189"/>
      <c r="AU814" s="187"/>
      <c r="AV814" s="190"/>
      <c r="AW814" s="191"/>
      <c r="AX814" s="407"/>
      <c r="AY814" s="407" t="s">
        <v>3258</v>
      </c>
      <c r="AZ814" s="407" t="s">
        <v>3259</v>
      </c>
      <c r="BA814" s="407"/>
      <c r="BB814" s="407"/>
      <c r="BC814" s="407"/>
      <c r="BD814" s="407" t="s">
        <v>3260</v>
      </c>
      <c r="BE814" s="407" t="s">
        <v>3261</v>
      </c>
      <c r="BF814" s="422"/>
      <c r="BG814" s="391">
        <f>SUM($AV$4:AV814)</f>
        <v>4179.2365382396019</v>
      </c>
      <c r="BH814" s="392">
        <f>SUM($AU$134:AU814)</f>
        <v>14840.112000000028</v>
      </c>
      <c r="BI814" s="318">
        <f>SUMIFS($AU$134:AU815,$Q$134:Q815,"F")</f>
        <v>4526.5333333333328</v>
      </c>
      <c r="BJ814" s="318">
        <f>SUMIFS($AU$134:AU815,$Q$134:Q815,"S")</f>
        <v>10372.441999999999</v>
      </c>
      <c r="BK814" s="343">
        <f>SUMIFS($AU$134:AU815,$P$134:P815,"W")</f>
        <v>9771.7419999999365</v>
      </c>
      <c r="BL814" s="343">
        <f>SUMIFS($AU$134:AU815,$P$134:P815,"R")</f>
        <v>4996.673333333335</v>
      </c>
      <c r="BM814" s="343">
        <f>SUMIFS($AU$134:AU815,$AQ$134:AQ815,"M")</f>
        <v>2333.3999999999814</v>
      </c>
      <c r="BN814" s="343">
        <f>SUMIFS($AU$134:AU815,$AQ$134:AQ815,"H")</f>
        <v>4134.1420000000153</v>
      </c>
      <c r="BO814" s="343">
        <f>SUMIFS($AU$134:AU815,$AQ$134:AQ815,"D")</f>
        <v>4264.3466666667146</v>
      </c>
      <c r="BP814" s="343">
        <f>SUMIFS($AU$134:AU817,$AQ$134:AQ817,"W")</f>
        <v>3049.7833333333429</v>
      </c>
      <c r="BQ814" s="343">
        <f>SUMIFS($AU$134:AU815,$Q$134:Q815,"O")</f>
        <v>-266.06333333330844</v>
      </c>
      <c r="BR814" s="343">
        <f>SUMIFS($AU$134:AU815,$AA$134:AA815,"*")</f>
        <v>13901.475333333326</v>
      </c>
      <c r="BS814" s="343">
        <f>SUMIFS($AU$134:AU815,$AB$134:AB815,"*")</f>
        <v>5401.1366666667018</v>
      </c>
      <c r="BT814" s="343">
        <f>SUMIFS($AU$134:AU815,$AC$134:AC815,"*")</f>
        <v>8687.6833333333325</v>
      </c>
      <c r="BU814" s="343">
        <f>SUMIFS($AU$134:AU815,$AA$134:AA815,"*",$AB$134:AB815,"*")</f>
        <v>3586.0000000000045</v>
      </c>
      <c r="BV814" s="343">
        <f>SUMIFS($AU$134:AU815,$AA$134:AA815,"*",$AC$134:AC815,"*")</f>
        <v>8228.7833333333328</v>
      </c>
      <c r="BW814" s="343">
        <f>SUMIFS($AU$134:AU815,$AB$134:AB815,"*",$AC$134:AC815,"*")</f>
        <v>5294.6</v>
      </c>
      <c r="BX814" s="343">
        <f>SUMIFS($AU815:AU$1388,$Q815:Q$1388,"F")</f>
        <v>9914.1333333333332</v>
      </c>
      <c r="BY814" s="343">
        <f>SUMIFS($AU815:AU$1388,$Q815:Q$1388,"S")</f>
        <v>10299.200000000001</v>
      </c>
      <c r="BZ814" s="343">
        <f>SUMIFS($AU815:AU$1388,$Q815:Q$1388,"O")</f>
        <v>-1382.79466666649</v>
      </c>
    </row>
    <row r="815" spans="1:78" ht="15.75" customHeight="1">
      <c r="A815" s="221" t="s">
        <v>3123</v>
      </c>
      <c r="B815" s="177">
        <v>45120</v>
      </c>
      <c r="C815" s="178" t="s">
        <v>2253</v>
      </c>
      <c r="D815" s="178" t="s">
        <v>93</v>
      </c>
      <c r="E815" s="227" t="s">
        <v>3262</v>
      </c>
      <c r="F815" s="180" t="s">
        <v>3263</v>
      </c>
      <c r="G815" s="181"/>
      <c r="H815" s="182">
        <v>1</v>
      </c>
      <c r="I815" s="182"/>
      <c r="J815" s="182"/>
      <c r="K815" s="183" t="s">
        <v>372</v>
      </c>
      <c r="L815" s="182"/>
      <c r="M815" s="182"/>
      <c r="N815" s="182"/>
      <c r="O815" s="183"/>
      <c r="P815" s="183"/>
      <c r="Q815" s="183"/>
      <c r="R815" s="183"/>
      <c r="S815" s="183"/>
      <c r="T815" s="183"/>
      <c r="U815" s="183"/>
      <c r="V815" s="183"/>
      <c r="W815" s="183"/>
      <c r="X815" s="183"/>
      <c r="Y815" s="183"/>
      <c r="Z815" s="185" t="str">
        <f>IF(ISBLANK(O815),"",IF(O815="IB",8.63*200,IF(O815="IR",16*100,IF(O815="YT",20*100,IF(O815="YT-XT",24*200,IF(O815="TED",80*100))))))</f>
        <v/>
      </c>
      <c r="AA815" s="185"/>
      <c r="AB815" s="185"/>
      <c r="AC815" s="185"/>
      <c r="AD815" s="649"/>
      <c r="AE815" s="182"/>
      <c r="AF815" s="332"/>
      <c r="AG815" s="182"/>
      <c r="AH815" s="182"/>
      <c r="AI815" s="182"/>
      <c r="AJ815" s="640"/>
      <c r="AK815" s="182"/>
      <c r="AL815" s="496"/>
      <c r="AM815" s="496"/>
      <c r="AN815" s="626"/>
      <c r="AO815" s="182"/>
      <c r="AP815" s="182"/>
      <c r="AQ815" s="332" t="str">
        <f>UPPER(RIGHT(Journal_Live[[#This Row],[DURATION ]]))</f>
        <v/>
      </c>
      <c r="AR815" s="182"/>
      <c r="AS815" s="189"/>
      <c r="AT815" s="189">
        <f>IF(ISBLANK(AS815),,IF(U815="S",AD815-AS815,AS815-AD815))</f>
        <v>0</v>
      </c>
      <c r="AU815" s="187">
        <f>AV815*R815</f>
        <v>0</v>
      </c>
      <c r="AV815" s="190">
        <f>IF(ISBLANK(AS815),,(AT815*Z815))</f>
        <v>0</v>
      </c>
      <c r="AW815" s="191"/>
      <c r="AX815" s="407"/>
      <c r="AY815" s="407"/>
      <c r="AZ815" s="407"/>
      <c r="BA815" s="407"/>
      <c r="BB815" s="407"/>
      <c r="BC815" s="407"/>
      <c r="BD815" s="407"/>
      <c r="BE815" s="407"/>
      <c r="BF815" s="422"/>
      <c r="BG815" s="391">
        <f>SUM($AV$4:AV815)</f>
        <v>4179.2365382396019</v>
      </c>
      <c r="BH815" s="392">
        <f>SUM($AU$134:AU815)</f>
        <v>14840.112000000028</v>
      </c>
      <c r="BI815" s="318">
        <f>SUMIFS($AU$134:AU816,$Q$134:Q816,"F")</f>
        <v>5454.5333333333328</v>
      </c>
      <c r="BJ815" s="318">
        <f>SUMIFS($AU$134:AU816,$Q$134:Q816,"S")</f>
        <v>10372.441999999999</v>
      </c>
      <c r="BK815" s="343">
        <f>SUMIFS($AU$134:AU816,$P$134:P816,"W")</f>
        <v>9771.7419999999365</v>
      </c>
      <c r="BL815" s="343">
        <f>SUMIFS($AU$134:AU816,$P$134:P816,"R")</f>
        <v>5924.673333333335</v>
      </c>
      <c r="BM815" s="343">
        <f>SUMIFS($AU$134:AU816,$AQ$134:AQ816,"M")</f>
        <v>2333.3999999999814</v>
      </c>
      <c r="BN815" s="343">
        <f>SUMIFS($AU$134:AU816,$AQ$134:AQ816,"H")</f>
        <v>4134.1420000000153</v>
      </c>
      <c r="BO815" s="343">
        <f>SUMIFS($AU$134:AU816,$AQ$134:AQ816,"D")</f>
        <v>5192.3466666667146</v>
      </c>
      <c r="BP815" s="343">
        <f>SUMIFS($AU$134:AU818,$AQ$134:AQ818,"W")</f>
        <v>3049.7833333333429</v>
      </c>
      <c r="BQ815" s="343">
        <f>SUMIFS($AU$134:AU816,$Q$134:Q816,"O")</f>
        <v>-266.06333333330844</v>
      </c>
      <c r="BR815" s="343">
        <f>SUMIFS($AU$134:AU816,$AA$134:AA816,"*")</f>
        <v>14829.475333333326</v>
      </c>
      <c r="BS815" s="343">
        <f>SUMIFS($AU$134:AU816,$AB$134:AB816,"*")</f>
        <v>5401.1366666667018</v>
      </c>
      <c r="BT815" s="343">
        <f>SUMIFS($AU$134:AU816,$AC$134:AC816,"*")</f>
        <v>8687.6833333333325</v>
      </c>
      <c r="BU815" s="343">
        <f>SUMIFS($AU$134:AU816,$AA$134:AA816,"*",$AB$134:AB816,"*")</f>
        <v>3586.0000000000045</v>
      </c>
      <c r="BV815" s="343">
        <f>SUMIFS($AU$134:AU816,$AA$134:AA816,"*",$AC$134:AC816,"*")</f>
        <v>8228.7833333333328</v>
      </c>
      <c r="BW815" s="343">
        <f>SUMIFS($AU$134:AU816,$AB$134:AB816,"*",$AC$134:AC816,"*")</f>
        <v>5294.6</v>
      </c>
      <c r="BX815" s="343">
        <f>SUMIFS($AU816:AU$1388,$Q816:Q$1388,"F")</f>
        <v>9914.1333333333332</v>
      </c>
      <c r="BY815" s="343">
        <f>SUMIFS($AU816:AU$1388,$Q816:Q$1388,"S")</f>
        <v>10299.200000000001</v>
      </c>
      <c r="BZ815" s="343">
        <f>SUMIFS($AU816:AU$1388,$Q816:Q$1388,"O")</f>
        <v>-1382.79466666649</v>
      </c>
    </row>
    <row r="816" spans="1:78" ht="15.75" customHeight="1">
      <c r="A816" s="221" t="s">
        <v>3123</v>
      </c>
      <c r="B816" s="177">
        <v>45120</v>
      </c>
      <c r="C816" s="178" t="s">
        <v>1693</v>
      </c>
      <c r="D816" s="178" t="s">
        <v>93</v>
      </c>
      <c r="E816" s="227"/>
      <c r="F816" s="180"/>
      <c r="G816" s="482" t="s">
        <v>3264</v>
      </c>
      <c r="H816" s="182"/>
      <c r="I816" s="182"/>
      <c r="J816" s="182"/>
      <c r="K816" s="183"/>
      <c r="L816" s="182">
        <v>2</v>
      </c>
      <c r="M816" s="182">
        <v>1</v>
      </c>
      <c r="N816" s="182"/>
      <c r="O816" s="183" t="s">
        <v>95</v>
      </c>
      <c r="P816" s="183" t="s">
        <v>137</v>
      </c>
      <c r="Q816" s="183" t="s">
        <v>256</v>
      </c>
      <c r="R816" s="183">
        <v>24</v>
      </c>
      <c r="S816" s="183">
        <v>10</v>
      </c>
      <c r="T816" s="183">
        <v>10</v>
      </c>
      <c r="U816" s="183" t="s">
        <v>22</v>
      </c>
      <c r="V816" s="183"/>
      <c r="W816" s="183"/>
      <c r="X816" s="183"/>
      <c r="Y816" s="184">
        <f>IF(ISBLANK(O816),"",(IF(O816=UPPER("IB"),0.005,0.01)))</f>
        <v>0.01</v>
      </c>
      <c r="Z816" s="185">
        <f>IF(ISBLANK(O816),"",IF(O816="IB",8.63*200,IF(O816="IR",16*100,IF(O816="YT",20*100,IF(O816="YT-XT",24*200,IF(O816="TED",80*100))))))</f>
        <v>1600</v>
      </c>
      <c r="AA816" s="185" t="s">
        <v>3265</v>
      </c>
      <c r="AB816" s="185"/>
      <c r="AC816" s="185"/>
      <c r="AD816" s="649">
        <f>((-0.04*14)+(-0.05*10))/24</f>
        <v>-4.4166666666666667E-2</v>
      </c>
      <c r="AE816" s="182"/>
      <c r="AF816" s="332"/>
      <c r="AG816" s="182"/>
      <c r="AH816" s="182">
        <v>-1</v>
      </c>
      <c r="AI816" s="182"/>
      <c r="AJ816" s="640"/>
      <c r="AK816" s="182"/>
      <c r="AL816" s="496">
        <f>-0.03*Z816</f>
        <v>-48</v>
      </c>
      <c r="AM816" s="496">
        <f>AL816*(R816-S816)</f>
        <v>-672</v>
      </c>
      <c r="AN816" s="626"/>
      <c r="AO816" s="182"/>
      <c r="AP816" s="182" t="s">
        <v>3266</v>
      </c>
      <c r="AQ816" s="332" t="str">
        <f>UPPER(RIGHT(Journal_Live[[#This Row],[DURATION ]]))</f>
        <v>D</v>
      </c>
      <c r="AR816" s="182" t="s">
        <v>3267</v>
      </c>
      <c r="AS816" s="189">
        <f>((-0.02*10)+(-0.02*4)+(-0.02*10))/24</f>
        <v>-0.02</v>
      </c>
      <c r="AT816" s="189">
        <f>IF(ISBLANK(AS816),,IF(U816="S",AD816-AS816,AS816-AD816))</f>
        <v>2.4166666666666666E-2</v>
      </c>
      <c r="AU816" s="187">
        <f>AV816*R816</f>
        <v>928</v>
      </c>
      <c r="AV816" s="190">
        <f>IF(ISBLANK(AS816),,(AT816*Z816))</f>
        <v>38.666666666666664</v>
      </c>
      <c r="AW816" s="191" t="s">
        <v>96</v>
      </c>
      <c r="AX816" s="407"/>
      <c r="AY816" s="407"/>
      <c r="AZ816" s="407"/>
      <c r="BA816" s="407"/>
      <c r="BB816" s="407"/>
      <c r="BC816" s="407"/>
      <c r="BD816" s="407"/>
      <c r="BE816" s="407"/>
      <c r="BF816" s="422"/>
      <c r="BG816" s="391">
        <f>SUM($AV$4:AV816)</f>
        <v>4217.9032049062689</v>
      </c>
      <c r="BH816" s="392">
        <f>SUM($AU$134:AU816)</f>
        <v>15768.112000000028</v>
      </c>
      <c r="BI816" s="318">
        <f>SUMIFS($AU$134:AU817,$Q$134:Q817,"F")</f>
        <v>5454.5333333333328</v>
      </c>
      <c r="BJ816" s="318">
        <f>SUMIFS($AU$134:AU817,$Q$134:Q817,"S")</f>
        <v>10372.441999999999</v>
      </c>
      <c r="BK816" s="343">
        <f>SUMIFS($AU$134:AU817,$P$134:P817,"W")</f>
        <v>9771.7419999999365</v>
      </c>
      <c r="BL816" s="343">
        <f>SUMIFS($AU$134:AU817,$P$134:P817,"R")</f>
        <v>5924.673333333335</v>
      </c>
      <c r="BM816" s="343">
        <f>SUMIFS($AU$134:AU817,$AQ$134:AQ817,"M")</f>
        <v>2333.3999999999814</v>
      </c>
      <c r="BN816" s="343">
        <f>SUMIFS($AU$134:AU817,$AQ$134:AQ817,"H")</f>
        <v>4134.1420000000153</v>
      </c>
      <c r="BO816" s="343">
        <f>SUMIFS($AU$134:AU817,$AQ$134:AQ817,"D")</f>
        <v>5192.3466666667146</v>
      </c>
      <c r="BP816" s="343">
        <f>SUMIFS($AU$134:AU819,$AQ$134:AQ819,"W")</f>
        <v>3049.7833333333429</v>
      </c>
      <c r="BQ816" s="343">
        <f>SUMIFS($AU$134:AU817,$Q$134:Q817,"O")</f>
        <v>-266.06333333330844</v>
      </c>
      <c r="BR816" s="343">
        <f>SUMIFS($AU$134:AU817,$AA$134:AA817,"*")</f>
        <v>14829.475333333326</v>
      </c>
      <c r="BS816" s="343">
        <f>SUMIFS($AU$134:AU817,$AB$134:AB817,"*")</f>
        <v>5401.1366666667018</v>
      </c>
      <c r="BT816" s="343">
        <f>SUMIFS($AU$134:AU817,$AC$134:AC817,"*")</f>
        <v>8687.6833333333325</v>
      </c>
      <c r="BU816" s="343">
        <f>SUMIFS($AU$134:AU817,$AA$134:AA817,"*",$AB$134:AB817,"*")</f>
        <v>3586.0000000000045</v>
      </c>
      <c r="BV816" s="343">
        <f>SUMIFS($AU$134:AU817,$AA$134:AA817,"*",$AC$134:AC817,"*")</f>
        <v>8228.7833333333328</v>
      </c>
      <c r="BW816" s="343">
        <f>SUMIFS($AU$134:AU817,$AB$134:AB817,"*",$AC$134:AC817,"*")</f>
        <v>5294.6</v>
      </c>
      <c r="BX816" s="343">
        <f>SUMIFS($AU817:AU$1388,$Q817:Q$1388,"F")</f>
        <v>8986.133333333335</v>
      </c>
      <c r="BY816" s="343">
        <f>SUMIFS($AU817:AU$1388,$Q817:Q$1388,"S")</f>
        <v>10299.200000000001</v>
      </c>
      <c r="BZ816" s="343">
        <f>SUMIFS($AU817:AU$1388,$Q817:Q$1388,"O")</f>
        <v>-1382.79466666649</v>
      </c>
    </row>
    <row r="817" spans="1:78" ht="15.75" customHeight="1">
      <c r="A817" s="221" t="s">
        <v>3123</v>
      </c>
      <c r="B817" s="177">
        <v>45120</v>
      </c>
      <c r="C817" s="178" t="s">
        <v>1714</v>
      </c>
      <c r="D817" s="178" t="s">
        <v>93</v>
      </c>
      <c r="E817" s="227" t="s">
        <v>3268</v>
      </c>
      <c r="F817" s="180"/>
      <c r="G817" s="181"/>
      <c r="H817" s="182"/>
      <c r="I817" s="182"/>
      <c r="J817" s="182">
        <v>1</v>
      </c>
      <c r="K817" s="183" t="s">
        <v>372</v>
      </c>
      <c r="L817" s="182"/>
      <c r="M817" s="182"/>
      <c r="N817" s="182"/>
      <c r="O817" s="183"/>
      <c r="P817" s="183"/>
      <c r="Q817" s="183"/>
      <c r="R817" s="183"/>
      <c r="S817" s="183"/>
      <c r="T817" s="183"/>
      <c r="U817" s="183"/>
      <c r="V817" s="183"/>
      <c r="W817" s="183"/>
      <c r="X817" s="183"/>
      <c r="Y817" s="184" t="str">
        <f>IF(ISBLANK(O817),"",(IF(O817=UPPER("IB"),0.005,0.01)))</f>
        <v/>
      </c>
      <c r="Z817" s="185" t="str">
        <f>IF(ISBLANK(O817),"",IF(O817="IB",8.63*200,IF(O817="IR",16*100,IF(O817="YT",20*100,IF(O817="YT-XT",24*200,IF(O817="TED",80*100))))))</f>
        <v/>
      </c>
      <c r="AA817" s="185"/>
      <c r="AB817" s="185"/>
      <c r="AC817" s="185"/>
      <c r="AD817" s="649"/>
      <c r="AE817" s="182"/>
      <c r="AF817" s="332"/>
      <c r="AG817" s="182"/>
      <c r="AH817" s="182"/>
      <c r="AI817" s="182"/>
      <c r="AJ817" s="640"/>
      <c r="AK817" s="182"/>
      <c r="AL817" s="496"/>
      <c r="AM817" s="496"/>
      <c r="AN817" s="626"/>
      <c r="AO817" s="182"/>
      <c r="AP817" s="182"/>
      <c r="AQ817" s="332" t="str">
        <f>UPPER(RIGHT(Journal_Live[[#This Row],[DURATION ]]))</f>
        <v/>
      </c>
      <c r="AR817" s="182"/>
      <c r="AS817" s="189"/>
      <c r="AT817" s="189"/>
      <c r="AU817" s="187"/>
      <c r="AV817" s="190"/>
      <c r="AW817" s="191"/>
      <c r="AX817" s="407"/>
      <c r="AY817" s="407"/>
      <c r="AZ817" s="407"/>
      <c r="BA817" s="407"/>
      <c r="BB817" s="407"/>
      <c r="BC817" s="407"/>
      <c r="BD817" s="407"/>
      <c r="BE817" s="407"/>
      <c r="BF817" s="422"/>
      <c r="BG817" s="391">
        <f>SUM($AV$4:AV817)</f>
        <v>4217.9032049062689</v>
      </c>
      <c r="BH817" s="392">
        <f>SUM($AU$134:AU817)</f>
        <v>15768.112000000028</v>
      </c>
      <c r="BI817" s="318">
        <f>SUMIFS($AU$134:AU818,$Q$134:Q818,"F")</f>
        <v>5454.5333333333328</v>
      </c>
      <c r="BJ817" s="318">
        <f>SUMIFS($AU$134:AU818,$Q$134:Q818,"S")</f>
        <v>10372.441999999999</v>
      </c>
      <c r="BK817" s="343">
        <f>SUMIFS($AU$134:AU818,$P$134:P818,"W")</f>
        <v>9771.7419999999365</v>
      </c>
      <c r="BL817" s="343">
        <f>SUMIFS($AU$134:AU818,$P$134:P818,"R")</f>
        <v>5924.673333333335</v>
      </c>
      <c r="BM817" s="343">
        <f>SUMIFS($AU$134:AU818,$AQ$134:AQ818,"M")</f>
        <v>2333.3999999999814</v>
      </c>
      <c r="BN817" s="343">
        <f>SUMIFS($AU$134:AU818,$AQ$134:AQ818,"H")</f>
        <v>4134.1420000000153</v>
      </c>
      <c r="BO817" s="343">
        <f>SUMIFS($AU$134:AU818,$AQ$134:AQ818,"D")</f>
        <v>5192.3466666667146</v>
      </c>
      <c r="BP817" s="343">
        <f>SUMIFS($AU$134:AU820,$AQ$134:AQ820,"W")</f>
        <v>3049.7833333333429</v>
      </c>
      <c r="BQ817" s="343">
        <f>SUMIFS($AU$134:AU818,$Q$134:Q818,"O")</f>
        <v>-266.06333333330844</v>
      </c>
      <c r="BR817" s="343">
        <f>SUMIFS($AU$134:AU818,$AA$134:AA818,"*")</f>
        <v>14829.475333333326</v>
      </c>
      <c r="BS817" s="343">
        <f>SUMIFS($AU$134:AU818,$AB$134:AB818,"*")</f>
        <v>5401.1366666667018</v>
      </c>
      <c r="BT817" s="343">
        <f>SUMIFS($AU$134:AU818,$AC$134:AC818,"*")</f>
        <v>8687.6833333333325</v>
      </c>
      <c r="BU817" s="343">
        <f>SUMIFS($AU$134:AU818,$AA$134:AA818,"*",$AB$134:AB818,"*")</f>
        <v>3586.0000000000045</v>
      </c>
      <c r="BV817" s="343">
        <f>SUMIFS($AU$134:AU818,$AA$134:AA818,"*",$AC$134:AC818,"*")</f>
        <v>8228.7833333333328</v>
      </c>
      <c r="BW817" s="343">
        <f>SUMIFS($AU$134:AU818,$AB$134:AB818,"*",$AC$134:AC818,"*")</f>
        <v>5294.6</v>
      </c>
      <c r="BX817" s="343">
        <f>SUMIFS($AU818:AU$1388,$Q818:Q$1388,"F")</f>
        <v>8986.133333333335</v>
      </c>
      <c r="BY817" s="343">
        <f>SUMIFS($AU818:AU$1388,$Q818:Q$1388,"S")</f>
        <v>10299.200000000001</v>
      </c>
      <c r="BZ817" s="343">
        <f>SUMIFS($AU818:AU$1388,$Q818:Q$1388,"O")</f>
        <v>-1382.79466666649</v>
      </c>
    </row>
    <row r="818" spans="1:78" ht="15.75" customHeight="1">
      <c r="A818" s="221" t="s">
        <v>3123</v>
      </c>
      <c r="B818" s="177"/>
      <c r="C818" s="178"/>
      <c r="D818" s="178"/>
      <c r="E818" s="227" t="s">
        <v>3269</v>
      </c>
      <c r="F818" s="180"/>
      <c r="G818" s="181"/>
      <c r="H818" s="182"/>
      <c r="I818" s="182"/>
      <c r="J818" s="182">
        <v>1</v>
      </c>
      <c r="K818" s="183" t="s">
        <v>115</v>
      </c>
      <c r="L818" s="182"/>
      <c r="M818" s="182"/>
      <c r="N818" s="182"/>
      <c r="O818" s="183"/>
      <c r="P818" s="183"/>
      <c r="Q818" s="183"/>
      <c r="R818" s="183"/>
      <c r="S818" s="183"/>
      <c r="T818" s="183"/>
      <c r="U818" s="183"/>
      <c r="V818" s="183"/>
      <c r="W818" s="183"/>
      <c r="X818" s="183"/>
      <c r="Y818" s="184" t="str">
        <f>IF(ISBLANK(O818),"",(IF(O818=UPPER("IB"),0.005,0.01)))</f>
        <v/>
      </c>
      <c r="Z818" s="185" t="str">
        <f>IF(ISBLANK(O818),"",IF(O818="IB",8.63*200,IF(O818="IR",16*100,IF(O818="YT",20*100,IF(O818="YT-XT",24*200,IF(O818="TED",80*100))))))</f>
        <v/>
      </c>
      <c r="AA818" s="185"/>
      <c r="AB818" s="185"/>
      <c r="AC818" s="185"/>
      <c r="AD818" s="649"/>
      <c r="AE818" s="182"/>
      <c r="AF818" s="332"/>
      <c r="AG818" s="182"/>
      <c r="AH818" s="182"/>
      <c r="AI818" s="182"/>
      <c r="AJ818" s="640"/>
      <c r="AK818" s="182"/>
      <c r="AL818" s="496"/>
      <c r="AM818" s="497"/>
      <c r="AN818" s="626"/>
      <c r="AO818" s="182"/>
      <c r="AP818" s="182"/>
      <c r="AQ818" s="332" t="str">
        <f>UPPER(RIGHT(Journal_Live[[#This Row],[DURATION ]]))</f>
        <v/>
      </c>
      <c r="AR818" s="182"/>
      <c r="AS818" s="189"/>
      <c r="AT818" s="189"/>
      <c r="AU818" s="187"/>
      <c r="AV818" s="190"/>
      <c r="AW818" s="191"/>
      <c r="AX818" s="407"/>
      <c r="AY818" s="407"/>
      <c r="AZ818" s="407"/>
      <c r="BA818" s="407"/>
      <c r="BB818" s="407"/>
      <c r="BC818" s="407"/>
      <c r="BD818" s="407"/>
      <c r="BE818" s="407"/>
      <c r="BF818" s="422"/>
      <c r="BG818" s="391">
        <f>SUM($AV$4:AV818)</f>
        <v>4217.9032049062689</v>
      </c>
      <c r="BH818" s="392">
        <f>SUM($AU$134:AU818)</f>
        <v>15768.112000000028</v>
      </c>
      <c r="BI818" s="318">
        <f>SUMIFS($AU$134:AU819,$Q$134:Q819,"F")</f>
        <v>5454.5333333333328</v>
      </c>
      <c r="BJ818" s="318">
        <f>SUMIFS($AU$134:AU819,$Q$134:Q819,"S")</f>
        <v>10372.441999999999</v>
      </c>
      <c r="BK818" s="343">
        <f>SUMIFS($AU$134:AU819,$P$134:P819,"W")</f>
        <v>9771.7419999999365</v>
      </c>
      <c r="BL818" s="343">
        <f>SUMIFS($AU$134:AU819,$P$134:P819,"R")</f>
        <v>5924.673333333335</v>
      </c>
      <c r="BM818" s="343">
        <f>SUMIFS($AU$134:AU819,$AQ$134:AQ819,"M")</f>
        <v>2333.3999999999814</v>
      </c>
      <c r="BN818" s="343">
        <f>SUMIFS($AU$134:AU819,$AQ$134:AQ819,"H")</f>
        <v>4134.1420000000153</v>
      </c>
      <c r="BO818" s="343">
        <f>SUMIFS($AU$134:AU819,$AQ$134:AQ819,"D")</f>
        <v>5192.3466666667146</v>
      </c>
      <c r="BP818" s="343">
        <f>SUMIFS($AU$134:AU821,$AQ$134:AQ821,"W")</f>
        <v>3049.7833333333429</v>
      </c>
      <c r="BQ818" s="343">
        <f>SUMIFS($AU$134:AU819,$Q$134:Q819,"O")</f>
        <v>-266.06333333330844</v>
      </c>
      <c r="BR818" s="343">
        <f>SUMIFS($AU$134:AU819,$AA$134:AA819,"*")</f>
        <v>14829.475333333326</v>
      </c>
      <c r="BS818" s="343">
        <f>SUMIFS($AU$134:AU819,$AB$134:AB819,"*")</f>
        <v>5401.1366666667018</v>
      </c>
      <c r="BT818" s="343">
        <f>SUMIFS($AU$134:AU819,$AC$134:AC819,"*")</f>
        <v>8687.6833333333325</v>
      </c>
      <c r="BU818" s="343">
        <f>SUMIFS($AU$134:AU819,$AA$134:AA819,"*",$AB$134:AB819,"*")</f>
        <v>3586.0000000000045</v>
      </c>
      <c r="BV818" s="343">
        <f>SUMIFS($AU$134:AU819,$AA$134:AA819,"*",$AC$134:AC819,"*")</f>
        <v>8228.7833333333328</v>
      </c>
      <c r="BW818" s="343">
        <f>SUMIFS($AU$134:AU819,$AB$134:AB819,"*",$AC$134:AC819,"*")</f>
        <v>5294.6</v>
      </c>
      <c r="BX818" s="343">
        <f>SUMIFS($AU819:AU$1388,$Q819:Q$1388,"F")</f>
        <v>8986.133333333335</v>
      </c>
      <c r="BY818" s="343">
        <f>SUMIFS($AU819:AU$1388,$Q819:Q$1388,"S")</f>
        <v>10299.200000000001</v>
      </c>
      <c r="BZ818" s="343">
        <f>SUMIFS($AU819:AU$1388,$Q819:Q$1388,"O")</f>
        <v>-1382.79466666649</v>
      </c>
    </row>
    <row r="819" spans="1:78" ht="15.75" customHeight="1">
      <c r="A819" s="221" t="s">
        <v>3123</v>
      </c>
      <c r="B819" s="177">
        <v>45121</v>
      </c>
      <c r="C819" s="178" t="s">
        <v>3270</v>
      </c>
      <c r="D819" s="178" t="s">
        <v>111</v>
      </c>
      <c r="E819" s="227"/>
      <c r="F819" s="180"/>
      <c r="G819" s="181" t="s">
        <v>2145</v>
      </c>
      <c r="H819" s="182"/>
      <c r="I819" s="182"/>
      <c r="J819" s="182"/>
      <c r="K819" s="183"/>
      <c r="L819" s="182"/>
      <c r="M819" s="182"/>
      <c r="N819" s="182"/>
      <c r="O819" s="183"/>
      <c r="P819" s="183"/>
      <c r="Q819" s="183"/>
      <c r="R819" s="183"/>
      <c r="S819" s="183"/>
      <c r="T819" s="183"/>
      <c r="U819" s="183"/>
      <c r="V819" s="183"/>
      <c r="W819" s="183"/>
      <c r="X819" s="183"/>
      <c r="Y819" s="184"/>
      <c r="Z819" s="185"/>
      <c r="AA819" s="185"/>
      <c r="AB819" s="185"/>
      <c r="AC819" s="185"/>
      <c r="AD819" s="649"/>
      <c r="AE819" s="182"/>
      <c r="AF819" s="332"/>
      <c r="AG819" s="182"/>
      <c r="AH819" s="182"/>
      <c r="AI819" s="182"/>
      <c r="AJ819" s="640"/>
      <c r="AK819" s="182"/>
      <c r="AL819" s="496"/>
      <c r="AM819" s="497"/>
      <c r="AN819" s="626"/>
      <c r="AO819" s="182"/>
      <c r="AP819" s="182"/>
      <c r="AQ819" s="332" t="str">
        <f>UPPER(RIGHT(Journal_Live[[#This Row],[DURATION ]]))</f>
        <v/>
      </c>
      <c r="AR819" s="182"/>
      <c r="AS819" s="189"/>
      <c r="AT819" s="189"/>
      <c r="AU819" s="187"/>
      <c r="AV819" s="190"/>
      <c r="AW819" s="191"/>
      <c r="AX819" s="407" t="s">
        <v>3271</v>
      </c>
      <c r="AY819" s="407" t="s">
        <v>3272</v>
      </c>
      <c r="AZ819" s="185" t="s">
        <v>3273</v>
      </c>
      <c r="BA819" s="185" t="s">
        <v>3274</v>
      </c>
      <c r="BB819" s="407"/>
      <c r="BC819" s="407"/>
      <c r="BD819" s="407"/>
      <c r="BE819" s="407"/>
      <c r="BF819" s="422"/>
      <c r="BG819" s="391">
        <f>SUM($AV$4:AV819)</f>
        <v>4217.9032049062689</v>
      </c>
      <c r="BH819" s="392">
        <f>SUM($AU$134:AU819)</f>
        <v>15768.112000000028</v>
      </c>
      <c r="BI819" s="318">
        <f>SUMIFS($AU$134:AU820,$Q$134:Q820,"F")</f>
        <v>5454.5333333333328</v>
      </c>
      <c r="BJ819" s="318">
        <f>SUMIFS($AU$134:AU820,$Q$134:Q820,"S")</f>
        <v>10372.441999999999</v>
      </c>
      <c r="BK819" s="343">
        <f>SUMIFS($AU$134:AU820,$P$134:P820,"W")</f>
        <v>9771.7419999999365</v>
      </c>
      <c r="BL819" s="343">
        <f>SUMIFS($AU$134:AU820,$P$134:P820,"R")</f>
        <v>5924.673333333335</v>
      </c>
      <c r="BM819" s="343">
        <f>SUMIFS($AU$134:AU820,$AQ$134:AQ820,"M")</f>
        <v>2333.3999999999814</v>
      </c>
      <c r="BN819" s="343">
        <f>SUMIFS($AU$134:AU820,$AQ$134:AQ820,"H")</f>
        <v>4134.1420000000153</v>
      </c>
      <c r="BO819" s="343">
        <f>SUMIFS($AU$134:AU820,$AQ$134:AQ820,"D")</f>
        <v>5192.3466666667146</v>
      </c>
      <c r="BP819" s="343">
        <f>SUMIFS($AU$134:AU822,$AQ$134:AQ822,"W")</f>
        <v>3049.7833333333429</v>
      </c>
      <c r="BQ819" s="343">
        <f>SUMIFS($AU$134:AU820,$Q$134:Q820,"O")</f>
        <v>-266.06333333330844</v>
      </c>
      <c r="BR819" s="343">
        <f>SUMIFS($AU$134:AU820,$AA$134:AA820,"*")</f>
        <v>14829.475333333326</v>
      </c>
      <c r="BS819" s="343">
        <f>SUMIFS($AU$134:AU820,$AB$134:AB820,"*")</f>
        <v>5401.1366666667018</v>
      </c>
      <c r="BT819" s="343">
        <f>SUMIFS($AU$134:AU820,$AC$134:AC820,"*")</f>
        <v>8687.6833333333325</v>
      </c>
      <c r="BU819" s="343">
        <f>SUMIFS($AU$134:AU820,$AA$134:AA820,"*",$AB$134:AB820,"*")</f>
        <v>3586.0000000000045</v>
      </c>
      <c r="BV819" s="343">
        <f>SUMIFS($AU$134:AU820,$AA$134:AA820,"*",$AC$134:AC820,"*")</f>
        <v>8228.7833333333328</v>
      </c>
      <c r="BW819" s="343">
        <f>SUMIFS($AU$134:AU820,$AB$134:AB820,"*",$AC$134:AC820,"*")</f>
        <v>5294.6</v>
      </c>
      <c r="BX819" s="343">
        <f>SUMIFS($AU820:AU$1388,$Q820:Q$1388,"F")</f>
        <v>8986.133333333335</v>
      </c>
      <c r="BY819" s="343">
        <f>SUMIFS($AU820:AU$1388,$Q820:Q$1388,"S")</f>
        <v>10299.200000000001</v>
      </c>
      <c r="BZ819" s="343">
        <f>SUMIFS($AU820:AU$1388,$Q820:Q$1388,"O")</f>
        <v>-1382.79466666649</v>
      </c>
    </row>
    <row r="820" spans="1:78" ht="15.75" customHeight="1">
      <c r="A820" s="221" t="s">
        <v>3123</v>
      </c>
      <c r="B820" s="177"/>
      <c r="C820" s="178"/>
      <c r="D820" s="178"/>
      <c r="E820" s="227"/>
      <c r="F820" s="180"/>
      <c r="G820" s="181" t="s">
        <v>136</v>
      </c>
      <c r="H820" s="182"/>
      <c r="I820" s="182"/>
      <c r="J820" s="182"/>
      <c r="K820" s="183"/>
      <c r="L820" s="182"/>
      <c r="M820" s="182"/>
      <c r="N820" s="182"/>
      <c r="O820" s="183"/>
      <c r="P820" s="183"/>
      <c r="Q820" s="183"/>
      <c r="R820" s="183"/>
      <c r="S820" s="183"/>
      <c r="T820" s="183"/>
      <c r="U820" s="183"/>
      <c r="V820" s="183"/>
      <c r="W820" s="183"/>
      <c r="X820" s="183"/>
      <c r="Y820" s="184"/>
      <c r="Z820" s="185"/>
      <c r="AA820" s="185"/>
      <c r="AB820" s="185"/>
      <c r="AC820" s="185"/>
      <c r="AD820" s="649"/>
      <c r="AE820" s="182"/>
      <c r="AF820" s="332"/>
      <c r="AG820" s="182"/>
      <c r="AH820" s="182"/>
      <c r="AI820" s="182"/>
      <c r="AJ820" s="640"/>
      <c r="AK820" s="182"/>
      <c r="AL820" s="496"/>
      <c r="AM820" s="497"/>
      <c r="AN820" s="626"/>
      <c r="AO820" s="182"/>
      <c r="AP820" s="182"/>
      <c r="AQ820" s="332" t="str">
        <f>UPPER(RIGHT(Journal_Live[[#This Row],[DURATION ]]))</f>
        <v/>
      </c>
      <c r="AR820" s="182"/>
      <c r="AS820" s="189"/>
      <c r="AT820" s="189"/>
      <c r="AU820" s="187"/>
      <c r="AV820" s="190"/>
      <c r="AW820" s="191"/>
      <c r="AX820" s="407"/>
      <c r="AY820" s="407"/>
      <c r="AZ820" s="407"/>
      <c r="BA820" s="407"/>
      <c r="BB820" s="407"/>
      <c r="BC820" s="407"/>
      <c r="BD820" s="407"/>
      <c r="BE820" s="407"/>
      <c r="BF820" s="422"/>
      <c r="BG820" s="391">
        <f>SUM($AV$4:AV820)</f>
        <v>4217.9032049062689</v>
      </c>
      <c r="BH820" s="392">
        <f>SUM($AU$134:AU820)</f>
        <v>15768.112000000028</v>
      </c>
      <c r="BI820" s="318">
        <f>SUMIFS($AU$134:AU821,$Q$134:Q821,"F")</f>
        <v>5454.5333333333328</v>
      </c>
      <c r="BJ820" s="318">
        <f>SUMIFS($AU$134:AU821,$Q$134:Q821,"S")</f>
        <v>10372.441999999999</v>
      </c>
      <c r="BK820" s="343">
        <f>SUMIFS($AU$134:AU821,$P$134:P821,"W")</f>
        <v>9771.7419999999365</v>
      </c>
      <c r="BL820" s="343">
        <f>SUMIFS($AU$134:AU821,$P$134:P821,"R")</f>
        <v>5924.673333333335</v>
      </c>
      <c r="BM820" s="343">
        <f>SUMIFS($AU$134:AU821,$AQ$134:AQ821,"M")</f>
        <v>2333.3999999999814</v>
      </c>
      <c r="BN820" s="343">
        <f>SUMIFS($AU$134:AU821,$AQ$134:AQ821,"H")</f>
        <v>4134.1420000000153</v>
      </c>
      <c r="BO820" s="343">
        <f>SUMIFS($AU$134:AU821,$AQ$134:AQ821,"D")</f>
        <v>5192.3466666667146</v>
      </c>
      <c r="BP820" s="343">
        <f>SUMIFS($AU$134:AU823,$AQ$134:AQ823,"W")</f>
        <v>3049.7833333333429</v>
      </c>
      <c r="BQ820" s="343">
        <f>SUMIFS($AU$134:AU821,$Q$134:Q821,"O")</f>
        <v>-266.06333333330844</v>
      </c>
      <c r="BR820" s="343">
        <f>SUMIFS($AU$134:AU821,$AA$134:AA821,"*")</f>
        <v>14829.475333333326</v>
      </c>
      <c r="BS820" s="343">
        <f>SUMIFS($AU$134:AU821,$AB$134:AB821,"*")</f>
        <v>5401.1366666667018</v>
      </c>
      <c r="BT820" s="343">
        <f>SUMIFS($AU$134:AU821,$AC$134:AC821,"*")</f>
        <v>8687.6833333333325</v>
      </c>
      <c r="BU820" s="343">
        <f>SUMIFS($AU$134:AU821,$AA$134:AA821,"*",$AB$134:AB821,"*")</f>
        <v>3586.0000000000045</v>
      </c>
      <c r="BV820" s="343">
        <f>SUMIFS($AU$134:AU821,$AA$134:AA821,"*",$AC$134:AC821,"*")</f>
        <v>8228.7833333333328</v>
      </c>
      <c r="BW820" s="343">
        <f>SUMIFS($AU$134:AU821,$AB$134:AB821,"*",$AC$134:AC821,"*")</f>
        <v>5294.6</v>
      </c>
      <c r="BX820" s="343">
        <f>SUMIFS($AU821:AU$1388,$Q821:Q$1388,"F")</f>
        <v>8986.133333333335</v>
      </c>
      <c r="BY820" s="343">
        <f>SUMIFS($AU821:AU$1388,$Q821:Q$1388,"S")</f>
        <v>10299.200000000001</v>
      </c>
      <c r="BZ820" s="343">
        <f>SUMIFS($AU821:AU$1388,$Q821:Q$1388,"O")</f>
        <v>-1382.79466666649</v>
      </c>
    </row>
    <row r="821" spans="1:78" ht="15.75" customHeight="1">
      <c r="A821" s="221" t="s">
        <v>3123</v>
      </c>
      <c r="B821" s="177">
        <v>45122</v>
      </c>
      <c r="C821" s="178" t="s">
        <v>3275</v>
      </c>
      <c r="D821" s="178" t="s">
        <v>1676</v>
      </c>
      <c r="E821" s="227"/>
      <c r="F821" s="180"/>
      <c r="G821" s="181" t="s">
        <v>136</v>
      </c>
      <c r="H821" s="182"/>
      <c r="I821" s="182"/>
      <c r="J821" s="182"/>
      <c r="K821" s="183"/>
      <c r="L821" s="182"/>
      <c r="M821" s="182"/>
      <c r="N821" s="182"/>
      <c r="O821" s="183"/>
      <c r="P821" s="183"/>
      <c r="Q821" s="183"/>
      <c r="R821" s="183"/>
      <c r="S821" s="183"/>
      <c r="T821" s="183"/>
      <c r="U821" s="183"/>
      <c r="V821" s="183"/>
      <c r="W821" s="183"/>
      <c r="X821" s="183"/>
      <c r="Y821" s="184"/>
      <c r="Z821" s="185"/>
      <c r="AA821" s="185"/>
      <c r="AB821" s="185"/>
      <c r="AC821" s="185"/>
      <c r="AD821" s="649"/>
      <c r="AE821" s="182"/>
      <c r="AF821" s="332"/>
      <c r="AG821" s="182"/>
      <c r="AH821" s="182"/>
      <c r="AI821" s="182"/>
      <c r="AJ821" s="640"/>
      <c r="AK821" s="182"/>
      <c r="AL821" s="496"/>
      <c r="AM821" s="497"/>
      <c r="AN821" s="626"/>
      <c r="AO821" s="182"/>
      <c r="AP821" s="182"/>
      <c r="AQ821" s="332" t="str">
        <f>UPPER(RIGHT(Journal_Live[[#This Row],[DURATION ]]))</f>
        <v/>
      </c>
      <c r="AR821" s="182"/>
      <c r="AS821" s="189"/>
      <c r="AT821" s="189"/>
      <c r="AU821" s="187"/>
      <c r="AV821" s="190"/>
      <c r="AW821" s="191"/>
      <c r="AX821" s="407"/>
      <c r="AY821" s="407"/>
      <c r="AZ821" s="407"/>
      <c r="BA821" s="407"/>
      <c r="BB821" s="407"/>
      <c r="BC821" s="407"/>
      <c r="BD821" s="407"/>
      <c r="BE821" s="407"/>
      <c r="BF821" s="422"/>
      <c r="BG821" s="391">
        <f>SUM($AV$4:AV821)</f>
        <v>4217.9032049062689</v>
      </c>
      <c r="BH821" s="392">
        <f>SUM($AU$134:AU821)</f>
        <v>15768.112000000028</v>
      </c>
      <c r="BI821" s="318">
        <f>SUMIFS($AU$134:AU822,$Q$134:Q822,"F")</f>
        <v>5454.5333333333328</v>
      </c>
      <c r="BJ821" s="318">
        <f>SUMIFS($AU$134:AU822,$Q$134:Q822,"S")</f>
        <v>10372.441999999999</v>
      </c>
      <c r="BK821" s="343">
        <f>SUMIFS($AU$134:AU822,$P$134:P822,"W")</f>
        <v>9771.7419999999365</v>
      </c>
      <c r="BL821" s="343">
        <f>SUMIFS($AU$134:AU822,$P$134:P822,"R")</f>
        <v>5924.673333333335</v>
      </c>
      <c r="BM821" s="343">
        <f>SUMIFS($AU$134:AU822,$AQ$134:AQ822,"M")</f>
        <v>2333.3999999999814</v>
      </c>
      <c r="BN821" s="343">
        <f>SUMIFS($AU$134:AU822,$AQ$134:AQ822,"H")</f>
        <v>4134.1420000000153</v>
      </c>
      <c r="BO821" s="343">
        <f>SUMIFS($AU$134:AU822,$AQ$134:AQ822,"D")</f>
        <v>5192.3466666667146</v>
      </c>
      <c r="BP821" s="343">
        <f>SUMIFS($AU$134:AU824,$AQ$134:AQ824,"W")</f>
        <v>3049.7833333333429</v>
      </c>
      <c r="BQ821" s="343">
        <f>SUMIFS($AU$134:AU822,$Q$134:Q822,"O")</f>
        <v>-266.06333333330844</v>
      </c>
      <c r="BR821" s="343">
        <f>SUMIFS($AU$134:AU822,$AA$134:AA822,"*")</f>
        <v>14829.475333333326</v>
      </c>
      <c r="BS821" s="343">
        <f>SUMIFS($AU$134:AU822,$AB$134:AB822,"*")</f>
        <v>5401.1366666667018</v>
      </c>
      <c r="BT821" s="343">
        <f>SUMIFS($AU$134:AU822,$AC$134:AC822,"*")</f>
        <v>8687.6833333333325</v>
      </c>
      <c r="BU821" s="343">
        <f>SUMIFS($AU$134:AU822,$AA$134:AA822,"*",$AB$134:AB822,"*")</f>
        <v>3586.0000000000045</v>
      </c>
      <c r="BV821" s="343">
        <f>SUMIFS($AU$134:AU822,$AA$134:AA822,"*",$AC$134:AC822,"*")</f>
        <v>8228.7833333333328</v>
      </c>
      <c r="BW821" s="343">
        <f>SUMIFS($AU$134:AU822,$AB$134:AB822,"*",$AC$134:AC822,"*")</f>
        <v>5294.6</v>
      </c>
      <c r="BX821" s="343">
        <f>SUMIFS($AU822:AU$1388,$Q822:Q$1388,"F")</f>
        <v>8986.133333333335</v>
      </c>
      <c r="BY821" s="343">
        <f>SUMIFS($AU822:AU$1388,$Q822:Q$1388,"S")</f>
        <v>10299.200000000001</v>
      </c>
      <c r="BZ821" s="343">
        <f>SUMIFS($AU822:AU$1388,$Q822:Q$1388,"O")</f>
        <v>-1382.79466666649</v>
      </c>
    </row>
    <row r="822" spans="1:78" ht="15.75" customHeight="1">
      <c r="A822" s="221" t="s">
        <v>3123</v>
      </c>
      <c r="B822" s="177">
        <v>45124</v>
      </c>
      <c r="C822" s="178" t="s">
        <v>3276</v>
      </c>
      <c r="D822" s="178" t="s">
        <v>132</v>
      </c>
      <c r="E822" s="227"/>
      <c r="F822" s="180"/>
      <c r="G822" s="181" t="s">
        <v>2016</v>
      </c>
      <c r="H822" s="182"/>
      <c r="I822" s="182"/>
      <c r="J822" s="182"/>
      <c r="K822" s="183"/>
      <c r="L822" s="182"/>
      <c r="M822" s="182"/>
      <c r="N822" s="182"/>
      <c r="O822" s="183"/>
      <c r="P822" s="183"/>
      <c r="Q822" s="183"/>
      <c r="R822" s="183"/>
      <c r="S822" s="183"/>
      <c r="T822" s="183"/>
      <c r="U822" s="183"/>
      <c r="V822" s="183"/>
      <c r="W822" s="183"/>
      <c r="X822" s="183"/>
      <c r="Y822" s="184"/>
      <c r="Z822" s="185"/>
      <c r="AA822" s="185"/>
      <c r="AB822" s="185"/>
      <c r="AC822" s="185"/>
      <c r="AD822" s="649"/>
      <c r="AE822" s="182"/>
      <c r="AF822" s="332"/>
      <c r="AG822" s="182"/>
      <c r="AH822" s="182"/>
      <c r="AI822" s="182"/>
      <c r="AJ822" s="640"/>
      <c r="AK822" s="182"/>
      <c r="AL822" s="496"/>
      <c r="AM822" s="497"/>
      <c r="AN822" s="626"/>
      <c r="AO822" s="182"/>
      <c r="AP822" s="182"/>
      <c r="AQ822" s="332" t="str">
        <f>UPPER(RIGHT(Journal_Live[[#This Row],[DURATION ]]))</f>
        <v/>
      </c>
      <c r="AR822" s="182"/>
      <c r="AS822" s="189"/>
      <c r="AT822" s="189"/>
      <c r="AU822" s="187"/>
      <c r="AV822" s="190"/>
      <c r="AW822" s="191"/>
      <c r="AX822" s="407"/>
      <c r="AY822" s="407"/>
      <c r="AZ822" s="407"/>
      <c r="BA822" s="407"/>
      <c r="BB822" s="407"/>
      <c r="BC822" s="407"/>
      <c r="BD822" s="407"/>
      <c r="BE822" s="407"/>
      <c r="BF822" s="422"/>
      <c r="BG822" s="391">
        <f>SUM($AV$4:AV822)</f>
        <v>4217.9032049062689</v>
      </c>
      <c r="BH822" s="392">
        <f>SUM($AU$134:AU822)</f>
        <v>15768.112000000028</v>
      </c>
      <c r="BI822" s="318">
        <f>SUMIFS($AU$134:AU823,$Q$134:Q823,"F")</f>
        <v>5454.5333333333328</v>
      </c>
      <c r="BJ822" s="318">
        <f>SUMIFS($AU$134:AU823,$Q$134:Q823,"S")</f>
        <v>10372.441999999999</v>
      </c>
      <c r="BK822" s="343">
        <f>SUMIFS($AU$134:AU823,$P$134:P823,"W")</f>
        <v>9771.7419999999365</v>
      </c>
      <c r="BL822" s="343">
        <f>SUMIFS($AU$134:AU823,$P$134:P823,"R")</f>
        <v>5924.673333333335</v>
      </c>
      <c r="BM822" s="343">
        <f>SUMIFS($AU$134:AU823,$AQ$134:AQ823,"M")</f>
        <v>2333.3999999999814</v>
      </c>
      <c r="BN822" s="343">
        <f>SUMIFS($AU$134:AU823,$AQ$134:AQ823,"H")</f>
        <v>4134.1420000000153</v>
      </c>
      <c r="BO822" s="343">
        <f>SUMIFS($AU$134:AU823,$AQ$134:AQ823,"D")</f>
        <v>5192.3466666667146</v>
      </c>
      <c r="BP822" s="343">
        <f>SUMIFS($AU$134:AU825,$AQ$134:AQ825,"W")</f>
        <v>3049.7833333333429</v>
      </c>
      <c r="BQ822" s="343">
        <f>SUMIFS($AU$134:AU823,$Q$134:Q823,"O")</f>
        <v>-266.06333333330844</v>
      </c>
      <c r="BR822" s="343">
        <f>SUMIFS($AU$134:AU823,$AA$134:AA823,"*")</f>
        <v>14829.475333333326</v>
      </c>
      <c r="BS822" s="343">
        <f>SUMIFS($AU$134:AU823,$AB$134:AB823,"*")</f>
        <v>5401.1366666667018</v>
      </c>
      <c r="BT822" s="343">
        <f>SUMIFS($AU$134:AU823,$AC$134:AC823,"*")</f>
        <v>8687.6833333333325</v>
      </c>
      <c r="BU822" s="343">
        <f>SUMIFS($AU$134:AU823,$AA$134:AA823,"*",$AB$134:AB823,"*")</f>
        <v>3586.0000000000045</v>
      </c>
      <c r="BV822" s="343">
        <f>SUMIFS($AU$134:AU823,$AA$134:AA823,"*",$AC$134:AC823,"*")</f>
        <v>8228.7833333333328</v>
      </c>
      <c r="BW822" s="343">
        <f>SUMIFS($AU$134:AU823,$AB$134:AB823,"*",$AC$134:AC823,"*")</f>
        <v>5294.6</v>
      </c>
      <c r="BX822" s="343">
        <f>SUMIFS($AU823:AU$1388,$Q823:Q$1388,"F")</f>
        <v>8986.133333333335</v>
      </c>
      <c r="BY822" s="343">
        <f>SUMIFS($AU823:AU$1388,$Q823:Q$1388,"S")</f>
        <v>10299.200000000001</v>
      </c>
      <c r="BZ822" s="343">
        <f>SUMIFS($AU823:AU$1388,$Q823:Q$1388,"O")</f>
        <v>-1382.79466666649</v>
      </c>
    </row>
    <row r="823" spans="1:78" ht="15.75" customHeight="1">
      <c r="A823" s="221" t="s">
        <v>3123</v>
      </c>
      <c r="B823" s="177">
        <v>45124</v>
      </c>
      <c r="C823" s="178" t="s">
        <v>664</v>
      </c>
      <c r="D823" s="178" t="s">
        <v>132</v>
      </c>
      <c r="E823" s="227" t="s">
        <v>3277</v>
      </c>
      <c r="F823" s="180"/>
      <c r="G823" s="181"/>
      <c r="H823" s="182"/>
      <c r="I823" s="182"/>
      <c r="J823" s="182">
        <v>1</v>
      </c>
      <c r="K823" s="183" t="s">
        <v>115</v>
      </c>
      <c r="L823" s="182"/>
      <c r="M823" s="182"/>
      <c r="N823" s="182"/>
      <c r="O823" s="183"/>
      <c r="P823" s="183"/>
      <c r="Q823" s="183"/>
      <c r="R823" s="183"/>
      <c r="S823" s="183"/>
      <c r="T823" s="183"/>
      <c r="U823" s="183"/>
      <c r="V823" s="183"/>
      <c r="W823" s="183"/>
      <c r="X823" s="183"/>
      <c r="Y823" s="184" t="str">
        <f>IF(ISBLANK(O823),"",(IF(O823=UPPER("IB"),0.005,0.01)))</f>
        <v/>
      </c>
      <c r="Z823" s="185" t="str">
        <f>IF(ISBLANK(O823),"",IF(O823="IB",8.63*200,IF(O823="IR",16*100,IF(O823="YT",20*100,IF(O823="YT-XT",24*200,IF(O823="TED",80*100))))))</f>
        <v/>
      </c>
      <c r="AA823" s="185"/>
      <c r="AB823" s="185"/>
      <c r="AC823" s="185"/>
      <c r="AD823" s="649"/>
      <c r="AE823" s="182"/>
      <c r="AF823" s="332"/>
      <c r="AG823" s="182"/>
      <c r="AH823" s="182"/>
      <c r="AI823" s="182"/>
      <c r="AJ823" s="640"/>
      <c r="AK823" s="182"/>
      <c r="AL823" s="496"/>
      <c r="AM823" s="497"/>
      <c r="AN823" s="626"/>
      <c r="AO823" s="182"/>
      <c r="AP823" s="182"/>
      <c r="AQ823" s="332" t="str">
        <f>UPPER(RIGHT(Journal_Live[[#This Row],[DURATION ]]))</f>
        <v/>
      </c>
      <c r="AR823" s="182"/>
      <c r="AS823" s="189"/>
      <c r="AT823" s="189"/>
      <c r="AU823" s="187"/>
      <c r="AV823" s="190"/>
      <c r="AW823" s="191"/>
      <c r="AX823" s="407"/>
      <c r="AY823" s="407"/>
      <c r="AZ823" s="407"/>
      <c r="BA823" s="407"/>
      <c r="BB823" s="407"/>
      <c r="BC823" s="407"/>
      <c r="BD823" s="407"/>
      <c r="BE823" s="407"/>
      <c r="BF823" s="422"/>
      <c r="BG823" s="391">
        <f>SUM($AV$4:AV823)</f>
        <v>4217.9032049062689</v>
      </c>
      <c r="BH823" s="392">
        <f>SUM($AU$134:AU823)</f>
        <v>15768.112000000028</v>
      </c>
      <c r="BI823" s="318">
        <f>SUMIFS($AU$134:AU824,$Q$134:Q824,"F")</f>
        <v>5454.5333333333328</v>
      </c>
      <c r="BJ823" s="318">
        <f>SUMIFS($AU$134:AU824,$Q$134:Q824,"S")</f>
        <v>10372.441999999999</v>
      </c>
      <c r="BK823" s="343">
        <f>SUMIFS($AU$134:AU824,$P$134:P824,"W")</f>
        <v>9771.7419999999365</v>
      </c>
      <c r="BL823" s="343">
        <f>SUMIFS($AU$134:AU824,$P$134:P824,"R")</f>
        <v>5924.673333333335</v>
      </c>
      <c r="BM823" s="343">
        <f>SUMIFS($AU$134:AU824,$AQ$134:AQ824,"M")</f>
        <v>2333.3999999999814</v>
      </c>
      <c r="BN823" s="343">
        <f>SUMIFS($AU$134:AU824,$AQ$134:AQ824,"H")</f>
        <v>4134.1420000000153</v>
      </c>
      <c r="BO823" s="343">
        <f>SUMIFS($AU$134:AU824,$AQ$134:AQ824,"D")</f>
        <v>5192.3466666667146</v>
      </c>
      <c r="BP823" s="343">
        <f>SUMIFS($AU$134:AU826,$AQ$134:AQ826,"W")</f>
        <v>3049.7833333333429</v>
      </c>
      <c r="BQ823" s="343">
        <f>SUMIFS($AU$134:AU824,$Q$134:Q824,"O")</f>
        <v>-266.06333333330844</v>
      </c>
      <c r="BR823" s="343">
        <f>SUMIFS($AU$134:AU824,$AA$134:AA824,"*")</f>
        <v>14829.475333333326</v>
      </c>
      <c r="BS823" s="343">
        <f>SUMIFS($AU$134:AU824,$AB$134:AB824,"*")</f>
        <v>5401.1366666667018</v>
      </c>
      <c r="BT823" s="343">
        <f>SUMIFS($AU$134:AU824,$AC$134:AC824,"*")</f>
        <v>8687.6833333333325</v>
      </c>
      <c r="BU823" s="343">
        <f>SUMIFS($AU$134:AU824,$AA$134:AA824,"*",$AB$134:AB824,"*")</f>
        <v>3586.0000000000045</v>
      </c>
      <c r="BV823" s="343">
        <f>SUMIFS($AU$134:AU824,$AA$134:AA824,"*",$AC$134:AC824,"*")</f>
        <v>8228.7833333333328</v>
      </c>
      <c r="BW823" s="343">
        <f>SUMIFS($AU$134:AU824,$AB$134:AB824,"*",$AC$134:AC824,"*")</f>
        <v>5294.6</v>
      </c>
      <c r="BX823" s="343">
        <f>SUMIFS($AU824:AU$1388,$Q824:Q$1388,"F")</f>
        <v>8986.133333333335</v>
      </c>
      <c r="BY823" s="343">
        <f>SUMIFS($AU824:AU$1388,$Q824:Q$1388,"S")</f>
        <v>10299.200000000001</v>
      </c>
      <c r="BZ823" s="343">
        <f>SUMIFS($AU824:AU$1388,$Q824:Q$1388,"O")</f>
        <v>-1382.79466666649</v>
      </c>
    </row>
    <row r="824" spans="1:78" ht="15.75" customHeight="1">
      <c r="A824" s="221" t="s">
        <v>3123</v>
      </c>
      <c r="B824" s="177">
        <v>45124</v>
      </c>
      <c r="C824" s="178" t="s">
        <v>3278</v>
      </c>
      <c r="D824" s="178" t="s">
        <v>132</v>
      </c>
      <c r="E824" s="227"/>
      <c r="F824" s="180"/>
      <c r="G824" s="181" t="s">
        <v>136</v>
      </c>
      <c r="H824" s="182"/>
      <c r="I824" s="182"/>
      <c r="J824" s="182"/>
      <c r="K824" s="183"/>
      <c r="L824" s="182"/>
      <c r="M824" s="182"/>
      <c r="N824" s="182"/>
      <c r="O824" s="183"/>
      <c r="P824" s="183"/>
      <c r="Q824" s="183"/>
      <c r="R824" s="183"/>
      <c r="S824" s="183"/>
      <c r="T824" s="183"/>
      <c r="U824" s="183"/>
      <c r="V824" s="183"/>
      <c r="W824" s="183"/>
      <c r="X824" s="183"/>
      <c r="Y824" s="184"/>
      <c r="Z824" s="185"/>
      <c r="AA824" s="185"/>
      <c r="AB824" s="185"/>
      <c r="AC824" s="185"/>
      <c r="AD824" s="649"/>
      <c r="AE824" s="182"/>
      <c r="AF824" s="332"/>
      <c r="AG824" s="182"/>
      <c r="AH824" s="182"/>
      <c r="AI824" s="182"/>
      <c r="AJ824" s="640"/>
      <c r="AK824" s="182"/>
      <c r="AL824" s="496"/>
      <c r="AM824" s="497"/>
      <c r="AN824" s="626"/>
      <c r="AO824" s="182"/>
      <c r="AP824" s="182"/>
      <c r="AQ824" s="332" t="str">
        <f>UPPER(RIGHT(Journal_Live[[#This Row],[DURATION ]]))</f>
        <v/>
      </c>
      <c r="AR824" s="182"/>
      <c r="AS824" s="189"/>
      <c r="AT824" s="189"/>
      <c r="AU824" s="187"/>
      <c r="AV824" s="190"/>
      <c r="AW824" s="191"/>
      <c r="AX824" s="185" t="s">
        <v>99</v>
      </c>
      <c r="AY824" s="185" t="s">
        <v>3279</v>
      </c>
      <c r="AZ824" s="185"/>
      <c r="BA824" s="407"/>
      <c r="BB824" s="407"/>
      <c r="BC824" s="407"/>
      <c r="BD824" s="407"/>
      <c r="BE824" s="407"/>
      <c r="BF824" s="422"/>
      <c r="BG824" s="391">
        <f>SUM($AV$4:AV824)</f>
        <v>4217.9032049062689</v>
      </c>
      <c r="BH824" s="392">
        <f>SUM($AU$134:AU824)</f>
        <v>15768.112000000028</v>
      </c>
      <c r="BI824" s="318">
        <f>SUMIFS($AU$134:AU825,$Q$134:Q825,"F")</f>
        <v>5454.5333333333328</v>
      </c>
      <c r="BJ824" s="318">
        <f>SUMIFS($AU$134:AU825,$Q$134:Q825,"S")</f>
        <v>10372.441999999999</v>
      </c>
      <c r="BK824" s="343">
        <f>SUMIFS($AU$134:AU825,$P$134:P825,"W")</f>
        <v>9771.7419999999365</v>
      </c>
      <c r="BL824" s="343">
        <f>SUMIFS($AU$134:AU825,$P$134:P825,"R")</f>
        <v>5924.673333333335</v>
      </c>
      <c r="BM824" s="343">
        <f>SUMIFS($AU$134:AU825,$AQ$134:AQ825,"M")</f>
        <v>2333.3999999999814</v>
      </c>
      <c r="BN824" s="343">
        <f>SUMIFS($AU$134:AU825,$AQ$134:AQ825,"H")</f>
        <v>4134.1420000000153</v>
      </c>
      <c r="BO824" s="343">
        <f>SUMIFS($AU$134:AU825,$AQ$134:AQ825,"D")</f>
        <v>5192.3466666667146</v>
      </c>
      <c r="BP824" s="343">
        <f>SUMIFS($AU$134:AU827,$AQ$134:AQ827,"W")</f>
        <v>3049.7833333333429</v>
      </c>
      <c r="BQ824" s="343">
        <f>SUMIFS($AU$134:AU825,$Q$134:Q825,"O")</f>
        <v>-266.06333333330844</v>
      </c>
      <c r="BR824" s="343">
        <f>SUMIFS($AU$134:AU825,$AA$134:AA825,"*")</f>
        <v>14829.475333333326</v>
      </c>
      <c r="BS824" s="343">
        <f>SUMIFS($AU$134:AU825,$AB$134:AB825,"*")</f>
        <v>5401.1366666667018</v>
      </c>
      <c r="BT824" s="343">
        <f>SUMIFS($AU$134:AU825,$AC$134:AC825,"*")</f>
        <v>8687.6833333333325</v>
      </c>
      <c r="BU824" s="343">
        <f>SUMIFS($AU$134:AU825,$AA$134:AA825,"*",$AB$134:AB825,"*")</f>
        <v>3586.0000000000045</v>
      </c>
      <c r="BV824" s="343">
        <f>SUMIFS($AU$134:AU825,$AA$134:AA825,"*",$AC$134:AC825,"*")</f>
        <v>8228.7833333333328</v>
      </c>
      <c r="BW824" s="343">
        <f>SUMIFS($AU$134:AU825,$AB$134:AB825,"*",$AC$134:AC825,"*")</f>
        <v>5294.6</v>
      </c>
      <c r="BX824" s="343">
        <f>SUMIFS($AU825:AU$1388,$Q825:Q$1388,"F")</f>
        <v>8986.133333333335</v>
      </c>
      <c r="BY824" s="343">
        <f>SUMIFS($AU825:AU$1388,$Q825:Q$1388,"S")</f>
        <v>10299.200000000001</v>
      </c>
      <c r="BZ824" s="343">
        <f>SUMIFS($AU825:AU$1388,$Q825:Q$1388,"O")</f>
        <v>-1382.79466666649</v>
      </c>
    </row>
    <row r="825" spans="1:78" ht="15.75" customHeight="1">
      <c r="A825" s="177"/>
      <c r="B825" s="200"/>
      <c r="C825" s="178"/>
      <c r="D825" s="178"/>
      <c r="E825" s="227"/>
      <c r="F825" s="180"/>
      <c r="G825" s="181"/>
      <c r="H825" s="182"/>
      <c r="I825" s="182"/>
      <c r="J825" s="182"/>
      <c r="K825" s="183"/>
      <c r="L825" s="182"/>
      <c r="M825" s="182"/>
      <c r="N825" s="182"/>
      <c r="O825" s="183"/>
      <c r="P825" s="183"/>
      <c r="Q825" s="183"/>
      <c r="R825" s="183"/>
      <c r="S825" s="183"/>
      <c r="T825" s="183"/>
      <c r="U825" s="183"/>
      <c r="V825" s="183"/>
      <c r="W825" s="183"/>
      <c r="X825" s="183"/>
      <c r="Y825" s="274"/>
      <c r="Z825" s="183"/>
      <c r="AA825" s="185"/>
      <c r="AB825" s="185"/>
      <c r="AC825" s="185"/>
      <c r="AD825" s="649"/>
      <c r="AE825" s="182"/>
      <c r="AF825" s="332"/>
      <c r="AG825" s="182"/>
      <c r="AH825" s="182"/>
      <c r="AI825" s="182"/>
      <c r="AJ825" s="640"/>
      <c r="AK825" s="182"/>
      <c r="AL825" s="496"/>
      <c r="AM825" s="497"/>
      <c r="AN825" s="626"/>
      <c r="AO825" s="182"/>
      <c r="AP825" s="182"/>
      <c r="AQ825" s="332" t="str">
        <f>UPPER(RIGHT(Journal_Live[[#This Row],[DURATION ]]))</f>
        <v/>
      </c>
      <c r="AR825" s="182"/>
      <c r="AS825" s="189"/>
      <c r="AT825" s="189"/>
      <c r="AU825" s="187"/>
      <c r="AV825" s="190"/>
      <c r="AW825" s="191"/>
      <c r="AX825" s="407" t="s">
        <v>3280</v>
      </c>
      <c r="AY825" s="407" t="s">
        <v>3281</v>
      </c>
      <c r="AZ825" s="407" t="s">
        <v>3282</v>
      </c>
      <c r="BA825" s="407" t="s">
        <v>3283</v>
      </c>
      <c r="BB825" s="407" t="s">
        <v>3284</v>
      </c>
      <c r="BC825" s="407" t="s">
        <v>3285</v>
      </c>
      <c r="BD825" s="407"/>
      <c r="BE825" s="407"/>
      <c r="BF825" s="422"/>
      <c r="BG825" s="391"/>
      <c r="BH825" s="392">
        <f>SUM($AU$134:AU825)</f>
        <v>15768.112000000028</v>
      </c>
      <c r="BI825" s="318">
        <f>SUMIFS($AU$134:AU826,$Q$134:Q826,"F")</f>
        <v>5454.5333333333328</v>
      </c>
      <c r="BJ825" s="318">
        <f>SUMIFS($AU$134:AU826,$Q$134:Q826,"S")</f>
        <v>10452.441999999999</v>
      </c>
      <c r="BK825" s="343">
        <f>SUMIFS($AU$134:AU826,$P$134:P826,"W")</f>
        <v>9851.7419999999365</v>
      </c>
      <c r="BL825" s="343">
        <f>SUMIFS($AU$134:AU826,$P$134:P826,"R")</f>
        <v>5924.673333333335</v>
      </c>
      <c r="BM825" s="343">
        <f>SUMIFS($AU$134:AU826,$AQ$134:AQ826,"M")</f>
        <v>2413.3999999999814</v>
      </c>
      <c r="BN825" s="343">
        <f>SUMIFS($AU$134:AU826,$AQ$134:AQ826,"H")</f>
        <v>4134.1420000000153</v>
      </c>
      <c r="BO825" s="343">
        <f>SUMIFS($AU$134:AU826,$AQ$134:AQ826,"D")</f>
        <v>5192.3466666667146</v>
      </c>
      <c r="BP825" s="343">
        <f>SUMIFS($AU$134:AU828,$AQ$134:AQ828,"W")</f>
        <v>3049.7833333333429</v>
      </c>
      <c r="BQ825" s="343">
        <f>SUMIFS($AU$134:AU826,$Q$134:Q826,"O")</f>
        <v>-266.06333333330844</v>
      </c>
      <c r="BR825" s="343">
        <f>SUMIFS($AU$134:AU826,$AA$134:AA826,"*")</f>
        <v>14829.475333333326</v>
      </c>
      <c r="BS825" s="343">
        <f>SUMIFS($AU$134:AU826,$AB$134:AB826,"*")</f>
        <v>5481.1366666667018</v>
      </c>
      <c r="BT825" s="343">
        <f>SUMIFS($AU$134:AU826,$AC$134:AC826,"*")</f>
        <v>8767.6833333333325</v>
      </c>
      <c r="BU825" s="343">
        <f>SUMIFS($AU$134:AU826,$AA$134:AA826,"*",$AB$134:AB826,"*")</f>
        <v>3586.0000000000045</v>
      </c>
      <c r="BV825" s="343">
        <f>SUMIFS($AU$134:AU826,$AA$134:AA826,"*",$AC$134:AC826,"*")</f>
        <v>8228.7833333333328</v>
      </c>
      <c r="BW825" s="343">
        <f>SUMIFS($AU$134:AU826,$AB$134:AB826,"*",$AC$134:AC826,"*")</f>
        <v>5374.6</v>
      </c>
      <c r="BX825" s="343">
        <f>SUMIFS($AU826:AU$1388,$Q826:Q$1388,"F")</f>
        <v>8986.133333333335</v>
      </c>
      <c r="BY825" s="343">
        <f>SUMIFS($AU826:AU$1388,$Q826:Q$1388,"S")</f>
        <v>10299.200000000001</v>
      </c>
      <c r="BZ825" s="343">
        <f>SUMIFS($AU826:AU$1388,$Q826:Q$1388,"O")</f>
        <v>-1382.79466666649</v>
      </c>
    </row>
    <row r="826" spans="1:78" ht="15.75" customHeight="1">
      <c r="A826" s="221" t="s">
        <v>3123</v>
      </c>
      <c r="B826" s="177">
        <v>45125</v>
      </c>
      <c r="C826" s="178" t="s">
        <v>2834</v>
      </c>
      <c r="D826" s="178" t="s">
        <v>146</v>
      </c>
      <c r="E826" s="227"/>
      <c r="F826" s="180"/>
      <c r="G826" s="481" t="s">
        <v>2145</v>
      </c>
      <c r="H826" s="182"/>
      <c r="I826" s="182"/>
      <c r="J826" s="182"/>
      <c r="K826" s="183"/>
      <c r="L826" s="182">
        <v>1</v>
      </c>
      <c r="M826" s="182">
        <v>1</v>
      </c>
      <c r="N826" s="182"/>
      <c r="O826" s="183" t="s">
        <v>95</v>
      </c>
      <c r="P826" s="183" t="s">
        <v>96</v>
      </c>
      <c r="Q826" s="183" t="s">
        <v>97</v>
      </c>
      <c r="R826" s="183">
        <v>5</v>
      </c>
      <c r="S826" s="183">
        <v>0</v>
      </c>
      <c r="T826" s="183">
        <v>5</v>
      </c>
      <c r="U826" s="183" t="s">
        <v>97</v>
      </c>
      <c r="V826" s="183"/>
      <c r="W826" s="183"/>
      <c r="X826" s="183"/>
      <c r="Y826" s="184">
        <f>IF(ISBLANK(O826),"",(IF(O826=UPPER("IB"),0.005,0.01)))</f>
        <v>0.01</v>
      </c>
      <c r="Z826" s="185">
        <f>IF(ISBLANK(O826),"",IF(O826="IB",8.63*200,IF(O826="IR",16*100,IF(O826="YT",20*100,IF(O826="YT-XT",24*200,IF(O826="TED",80*100))))))</f>
        <v>1600</v>
      </c>
      <c r="AA826" s="185"/>
      <c r="AB826" s="185" t="s">
        <v>3273</v>
      </c>
      <c r="AC826" s="185" t="s">
        <v>3274</v>
      </c>
      <c r="AD826" s="649">
        <v>0.04</v>
      </c>
      <c r="AE826" s="182"/>
      <c r="AF826" s="332"/>
      <c r="AG826" s="182"/>
      <c r="AH826" s="182"/>
      <c r="AI826" s="182"/>
      <c r="AJ826" s="640"/>
      <c r="AK826" s="182"/>
      <c r="AL826" s="496"/>
      <c r="AM826" s="497"/>
      <c r="AN826" s="626"/>
      <c r="AO826" s="182"/>
      <c r="AP826" s="182" t="s">
        <v>3286</v>
      </c>
      <c r="AQ826" s="332" t="str">
        <f>UPPER(RIGHT(Journal_Live[[#This Row],[DURATION ]]))</f>
        <v>M</v>
      </c>
      <c r="AR826" s="182" t="s">
        <v>3287</v>
      </c>
      <c r="AS826" s="189">
        <v>0.03</v>
      </c>
      <c r="AT826" s="189">
        <f>IF(ISBLANK(AS826),,IF(U826="S",AD826-AS826,AS826-AD826))</f>
        <v>1.0000000000000002E-2</v>
      </c>
      <c r="AU826" s="187">
        <f>AV826*R826</f>
        <v>80.000000000000014</v>
      </c>
      <c r="AV826" s="190">
        <f>IF(ISBLANK(AS826),,(AT826*Z826))</f>
        <v>16.000000000000004</v>
      </c>
      <c r="AW826" s="191" t="s">
        <v>96</v>
      </c>
      <c r="AX826" s="407"/>
      <c r="AY826" s="407"/>
      <c r="AZ826" s="407"/>
      <c r="BA826" s="407"/>
      <c r="BB826" s="407"/>
      <c r="BC826" s="407"/>
      <c r="BD826" s="407"/>
      <c r="BE826" s="407"/>
      <c r="BF826" s="422"/>
      <c r="BG826" s="391">
        <f>SUM($AV$4:AV826)</f>
        <v>4233.9032049062689</v>
      </c>
      <c r="BH826" s="392">
        <f>SUM($AU$134:AU826)</f>
        <v>15848.112000000028</v>
      </c>
      <c r="BI826" s="318">
        <f>SUMIFS($AU$134:AU827,$Q$134:Q827,"F")</f>
        <v>5454.5333333333328</v>
      </c>
      <c r="BJ826" s="318">
        <f>SUMIFS($AU$134:AU827,$Q$134:Q827,"S")</f>
        <v>10580.441999999999</v>
      </c>
      <c r="BK826" s="343">
        <f>SUMIFS($AU$134:AU827,$P$134:P827,"W")</f>
        <v>9979.7419999999365</v>
      </c>
      <c r="BL826" s="343">
        <f>SUMIFS($AU$134:AU827,$P$134:P827,"R")</f>
        <v>5924.673333333335</v>
      </c>
      <c r="BM826" s="343">
        <f>SUMIFS($AU$134:AU827,$AQ$134:AQ827,"M")</f>
        <v>2413.3999999999814</v>
      </c>
      <c r="BN826" s="343">
        <f>SUMIFS($AU$134:AU827,$AQ$134:AQ827,"H")</f>
        <v>4134.1420000000153</v>
      </c>
      <c r="BO826" s="343">
        <f>SUMIFS($AU$134:AU827,$AQ$134:AQ827,"D")</f>
        <v>5320.3466666667146</v>
      </c>
      <c r="BP826" s="343">
        <f>SUMIFS($AU$134:AU829,$AQ$134:AQ829,"W")</f>
        <v>3049.7833333333429</v>
      </c>
      <c r="BQ826" s="343">
        <f>SUMIFS($AU$134:AU827,$Q$134:Q827,"O")</f>
        <v>-266.06333333330844</v>
      </c>
      <c r="BR826" s="343">
        <f>SUMIFS($AU$134:AU827,$AA$134:AA827,"*")</f>
        <v>14957.475333333326</v>
      </c>
      <c r="BS826" s="343">
        <f>SUMIFS($AU$134:AU827,$AB$134:AB827,"*")</f>
        <v>5481.1366666667018</v>
      </c>
      <c r="BT826" s="343">
        <f>SUMIFS($AU$134:AU827,$AC$134:AC827,"*")</f>
        <v>8895.6833333333325</v>
      </c>
      <c r="BU826" s="343">
        <f>SUMIFS($AU$134:AU827,$AA$134:AA827,"*",$AB$134:AB827,"*")</f>
        <v>3586.0000000000045</v>
      </c>
      <c r="BV826" s="343">
        <f>SUMIFS($AU$134:AU827,$AA$134:AA827,"*",$AC$134:AC827,"*")</f>
        <v>8356.7833333333328</v>
      </c>
      <c r="BW826" s="343">
        <f>SUMIFS($AU$134:AU827,$AB$134:AB827,"*",$AC$134:AC827,"*")</f>
        <v>5374.6</v>
      </c>
      <c r="BX826" s="343">
        <f>SUMIFS($AU827:AU$1388,$Q827:Q$1388,"F")</f>
        <v>8986.133333333335</v>
      </c>
      <c r="BY826" s="343">
        <f>SUMIFS($AU827:AU$1388,$Q827:Q$1388,"S")</f>
        <v>10219.200000000001</v>
      </c>
      <c r="BZ826" s="343">
        <f>SUMIFS($AU827:AU$1388,$Q827:Q$1388,"O")</f>
        <v>-1382.79466666649</v>
      </c>
    </row>
    <row r="827" spans="1:78" ht="15.75" customHeight="1">
      <c r="A827" s="221" t="s">
        <v>3123</v>
      </c>
      <c r="B827" s="177">
        <v>45125</v>
      </c>
      <c r="C827" s="178" t="s">
        <v>3288</v>
      </c>
      <c r="D827" s="178" t="s">
        <v>146</v>
      </c>
      <c r="E827" s="227"/>
      <c r="F827" s="180"/>
      <c r="G827" s="481" t="s">
        <v>136</v>
      </c>
      <c r="H827" s="182"/>
      <c r="I827" s="182"/>
      <c r="J827" s="182"/>
      <c r="K827" s="183"/>
      <c r="L827" s="182">
        <v>1</v>
      </c>
      <c r="M827" s="182">
        <v>1</v>
      </c>
      <c r="N827" s="182"/>
      <c r="O827" s="183" t="s">
        <v>95</v>
      </c>
      <c r="P827" s="183" t="s">
        <v>96</v>
      </c>
      <c r="Q827" s="183" t="s">
        <v>97</v>
      </c>
      <c r="R827" s="183">
        <v>8</v>
      </c>
      <c r="S827" s="183">
        <v>0</v>
      </c>
      <c r="T827" s="183">
        <v>10</v>
      </c>
      <c r="U827" s="183" t="s">
        <v>97</v>
      </c>
      <c r="V827" s="183"/>
      <c r="W827" s="183"/>
      <c r="X827" s="183"/>
      <c r="Y827" s="184">
        <f>IF(ISBLANK(O827),"",(IF(O827=UPPER("IB"),0.005,0.01)))</f>
        <v>0.01</v>
      </c>
      <c r="Z827" s="185">
        <f>IF(ISBLANK(O827),"",IF(O827="IB",8.63*200,IF(O827="IR",16*100,IF(O827="YT",20*100,IF(O827="YT-XT",24*200,IF(O827="TED",80*100))))))</f>
        <v>1600</v>
      </c>
      <c r="AA827" s="185" t="s">
        <v>99</v>
      </c>
      <c r="AB827" s="185"/>
      <c r="AC827" s="185" t="s">
        <v>3289</v>
      </c>
      <c r="AD827" s="649">
        <v>-0.12</v>
      </c>
      <c r="AE827" s="182"/>
      <c r="AF827" s="332"/>
      <c r="AG827" s="182"/>
      <c r="AH827" s="182"/>
      <c r="AI827" s="182"/>
      <c r="AJ827" s="640"/>
      <c r="AK827" s="182"/>
      <c r="AL827" s="496">
        <f>-0.04*Z827</f>
        <v>-64</v>
      </c>
      <c r="AM827" s="496">
        <f>AL827*(R827-S827)</f>
        <v>-512</v>
      </c>
      <c r="AN827" s="626"/>
      <c r="AO827" s="182"/>
      <c r="AP827" s="182" t="s">
        <v>770</v>
      </c>
      <c r="AQ827" s="332" t="str">
        <f>UPPER(RIGHT(Journal_Live[[#This Row],[DURATION ]]))</f>
        <v>D</v>
      </c>
      <c r="AR827" s="182" t="s">
        <v>3290</v>
      </c>
      <c r="AS827" s="189">
        <v>-0.13</v>
      </c>
      <c r="AT827" s="189">
        <f>IF(ISBLANK(AS827),,IF(U827="S",AD827-AS827,AS827-AD827))</f>
        <v>1.0000000000000009E-2</v>
      </c>
      <c r="AU827" s="187">
        <f>AV827*R827</f>
        <v>128.00000000000011</v>
      </c>
      <c r="AV827" s="190">
        <f>IF(ISBLANK(AS827),,(AT827*Z827))</f>
        <v>16.000000000000014</v>
      </c>
      <c r="AW827" s="191" t="s">
        <v>96</v>
      </c>
      <c r="AX827" s="407"/>
      <c r="AY827" s="407"/>
      <c r="AZ827" s="407"/>
      <c r="BA827" s="407"/>
      <c r="BB827" s="407"/>
      <c r="BC827" s="407"/>
      <c r="BD827" s="407"/>
      <c r="BE827" s="407"/>
      <c r="BF827" s="422"/>
      <c r="BG827" s="391">
        <f>SUM($AV$4:AV827)</f>
        <v>4249.9032049062689</v>
      </c>
      <c r="BH827" s="392">
        <f>SUM($AU$134:AU827)</f>
        <v>15976.112000000028</v>
      </c>
      <c r="BI827" s="318">
        <f>SUMIFS($AU$134:AU828,$Q$134:Q828,"F")</f>
        <v>5454.5333333333328</v>
      </c>
      <c r="BJ827" s="318">
        <f>SUMIFS($AU$134:AU828,$Q$134:Q828,"S")</f>
        <v>10580.441999999999</v>
      </c>
      <c r="BK827" s="343">
        <f>SUMIFS($AU$134:AU828,$P$134:P828,"W")</f>
        <v>9979.7419999999365</v>
      </c>
      <c r="BL827" s="343">
        <f>SUMIFS($AU$134:AU828,$P$134:P828,"R")</f>
        <v>5924.673333333335</v>
      </c>
      <c r="BM827" s="343">
        <f>SUMIFS($AU$134:AU828,$AQ$134:AQ828,"M")</f>
        <v>2413.3999999999814</v>
      </c>
      <c r="BN827" s="343">
        <f>SUMIFS($AU$134:AU828,$AQ$134:AQ828,"H")</f>
        <v>4134.1420000000153</v>
      </c>
      <c r="BO827" s="343">
        <f>SUMIFS($AU$134:AU828,$AQ$134:AQ828,"D")</f>
        <v>5320.3466666667146</v>
      </c>
      <c r="BP827" s="343">
        <f>SUMIFS($AU$134:AU830,$AQ$134:AQ830,"W")</f>
        <v>3049.7833333333429</v>
      </c>
      <c r="BQ827" s="343">
        <f>SUMIFS($AU$134:AU828,$Q$134:Q828,"O")</f>
        <v>-266.06333333330844</v>
      </c>
      <c r="BR827" s="343">
        <f>SUMIFS($AU$134:AU828,$AA$134:AA828,"*")</f>
        <v>14957.475333333326</v>
      </c>
      <c r="BS827" s="343">
        <f>SUMIFS($AU$134:AU828,$AB$134:AB828,"*")</f>
        <v>5481.1366666667018</v>
      </c>
      <c r="BT827" s="343">
        <f>SUMIFS($AU$134:AU828,$AC$134:AC828,"*")</f>
        <v>8895.6833333333325</v>
      </c>
      <c r="BU827" s="343">
        <f>SUMIFS($AU$134:AU828,$AA$134:AA828,"*",$AB$134:AB828,"*")</f>
        <v>3586.0000000000045</v>
      </c>
      <c r="BV827" s="343">
        <f>SUMIFS($AU$134:AU828,$AA$134:AA828,"*",$AC$134:AC828,"*")</f>
        <v>8356.7833333333328</v>
      </c>
      <c r="BW827" s="343">
        <f>SUMIFS($AU$134:AU828,$AB$134:AB828,"*",$AC$134:AC828,"*")</f>
        <v>5374.6</v>
      </c>
      <c r="BX827" s="343">
        <f>SUMIFS($AU828:AU$1388,$Q828:Q$1388,"F")</f>
        <v>8986.133333333335</v>
      </c>
      <c r="BY827" s="343">
        <f>SUMIFS($AU828:AU$1388,$Q828:Q$1388,"S")</f>
        <v>10091.200000000001</v>
      </c>
      <c r="BZ827" s="343">
        <f>SUMIFS($AU828:AU$1388,$Q828:Q$1388,"O")</f>
        <v>-1382.79466666649</v>
      </c>
    </row>
    <row r="828" spans="1:78" ht="15.75" customHeight="1">
      <c r="A828" s="221" t="s">
        <v>3123</v>
      </c>
      <c r="B828" s="177">
        <v>45125</v>
      </c>
      <c r="C828" s="178" t="s">
        <v>1290</v>
      </c>
      <c r="D828" s="178" t="s">
        <v>146</v>
      </c>
      <c r="E828" s="227"/>
      <c r="F828" s="180"/>
      <c r="G828" s="181" t="s">
        <v>136</v>
      </c>
      <c r="H828" s="182"/>
      <c r="I828" s="182"/>
      <c r="J828" s="182"/>
      <c r="K828" s="183"/>
      <c r="L828" s="182"/>
      <c r="M828" s="182"/>
      <c r="N828" s="182"/>
      <c r="O828" s="183"/>
      <c r="P828" s="183"/>
      <c r="Q828" s="183"/>
      <c r="R828" s="183"/>
      <c r="S828" s="183"/>
      <c r="T828" s="183"/>
      <c r="U828" s="183"/>
      <c r="V828" s="183"/>
      <c r="W828" s="183"/>
      <c r="X828" s="183"/>
      <c r="Y828" s="184"/>
      <c r="Z828" s="185"/>
      <c r="AA828" s="185"/>
      <c r="AB828" s="185"/>
      <c r="AC828" s="185"/>
      <c r="AD828" s="649"/>
      <c r="AE828" s="182"/>
      <c r="AF828" s="332"/>
      <c r="AG828" s="182"/>
      <c r="AH828" s="182"/>
      <c r="AI828" s="182"/>
      <c r="AJ828" s="640"/>
      <c r="AK828" s="182"/>
      <c r="AL828" s="496"/>
      <c r="AM828" s="496"/>
      <c r="AN828" s="626"/>
      <c r="AO828" s="182"/>
      <c r="AP828" s="182"/>
      <c r="AQ828" s="332" t="str">
        <f>UPPER(RIGHT(Journal_Live[[#This Row],[DURATION ]]))</f>
        <v/>
      </c>
      <c r="AR828" s="182"/>
      <c r="AS828" s="189"/>
      <c r="AT828" s="182"/>
      <c r="AU828" s="187"/>
      <c r="AV828" s="320"/>
      <c r="AW828" s="191"/>
      <c r="AX828" s="407"/>
      <c r="AY828" s="407"/>
      <c r="AZ828" s="407"/>
      <c r="BA828" s="407"/>
      <c r="BB828" s="407"/>
      <c r="BC828" s="407"/>
      <c r="BD828" s="407"/>
      <c r="BE828" s="407"/>
      <c r="BF828" s="422"/>
      <c r="BG828" s="391">
        <f>SUM($AV$4:AV828)</f>
        <v>4249.9032049062689</v>
      </c>
      <c r="BH828" s="392">
        <f>SUM($AU$134:AU828)</f>
        <v>15976.112000000028</v>
      </c>
      <c r="BI828" s="318">
        <f>SUMIFS($AU$134:AU829,$Q$134:Q829,"F")</f>
        <v>5454.5333333333328</v>
      </c>
      <c r="BJ828" s="318">
        <f>SUMIFS($AU$134:AU829,$Q$134:Q829,"S")</f>
        <v>10580.441999999999</v>
      </c>
      <c r="BK828" s="343">
        <f>SUMIFS($AU$134:AU829,$P$134:P829,"W")</f>
        <v>9979.7419999999365</v>
      </c>
      <c r="BL828" s="343">
        <f>SUMIFS($AU$134:AU829,$P$134:P829,"R")</f>
        <v>5924.673333333335</v>
      </c>
      <c r="BM828" s="343">
        <f>SUMIFS($AU$134:AU829,$AQ$134:AQ829,"M")</f>
        <v>2413.3999999999814</v>
      </c>
      <c r="BN828" s="343">
        <f>SUMIFS($AU$134:AU829,$AQ$134:AQ829,"H")</f>
        <v>4134.1420000000153</v>
      </c>
      <c r="BO828" s="343">
        <f>SUMIFS($AU$134:AU829,$AQ$134:AQ829,"D")</f>
        <v>5320.3466666667146</v>
      </c>
      <c r="BP828" s="343">
        <f>SUMIFS($AU$134:AU831,$AQ$134:AQ831,"W")</f>
        <v>3049.7833333333429</v>
      </c>
      <c r="BQ828" s="343">
        <f>SUMIFS($AU$134:AU829,$Q$134:Q829,"O")</f>
        <v>-266.06333333330844</v>
      </c>
      <c r="BR828" s="343">
        <f>SUMIFS($AU$134:AU829,$AA$134:AA829,"*")</f>
        <v>14957.475333333326</v>
      </c>
      <c r="BS828" s="343">
        <f>SUMIFS($AU$134:AU829,$AB$134:AB829,"*")</f>
        <v>5481.1366666667018</v>
      </c>
      <c r="BT828" s="343">
        <f>SUMIFS($AU$134:AU829,$AC$134:AC829,"*")</f>
        <v>8895.6833333333325</v>
      </c>
      <c r="BU828" s="343">
        <f>SUMIFS($AU$134:AU829,$AA$134:AA829,"*",$AB$134:AB829,"*")</f>
        <v>3586.0000000000045</v>
      </c>
      <c r="BV828" s="343">
        <f>SUMIFS($AU$134:AU829,$AA$134:AA829,"*",$AC$134:AC829,"*")</f>
        <v>8356.7833333333328</v>
      </c>
      <c r="BW828" s="343">
        <f>SUMIFS($AU$134:AU829,$AB$134:AB829,"*",$AC$134:AC829,"*")</f>
        <v>5374.6</v>
      </c>
      <c r="BX828" s="343">
        <f>SUMIFS($AU829:AU$1388,$Q829:Q$1388,"F")</f>
        <v>8986.133333333335</v>
      </c>
      <c r="BY828" s="343">
        <f>SUMIFS($AU829:AU$1388,$Q829:Q$1388,"S")</f>
        <v>10091.200000000001</v>
      </c>
      <c r="BZ828" s="343">
        <f>SUMIFS($AU829:AU$1388,$Q829:Q$1388,"O")</f>
        <v>-1382.79466666649</v>
      </c>
    </row>
    <row r="829" spans="1:78" ht="15.75" customHeight="1">
      <c r="A829" s="221" t="s">
        <v>3123</v>
      </c>
      <c r="B829" s="177">
        <v>45125</v>
      </c>
      <c r="C829" s="178" t="s">
        <v>1050</v>
      </c>
      <c r="D829" s="178" t="s">
        <v>146</v>
      </c>
      <c r="E829" s="227"/>
      <c r="F829" s="180"/>
      <c r="G829" s="181" t="s">
        <v>2070</v>
      </c>
      <c r="H829" s="182"/>
      <c r="I829" s="182"/>
      <c r="J829" s="182"/>
      <c r="K829" s="183"/>
      <c r="L829" s="182"/>
      <c r="M829" s="182"/>
      <c r="N829" s="182"/>
      <c r="O829" s="183"/>
      <c r="P829" s="183"/>
      <c r="Q829" s="183"/>
      <c r="R829" s="183"/>
      <c r="S829" s="183"/>
      <c r="T829" s="183"/>
      <c r="U829" s="183"/>
      <c r="V829" s="183"/>
      <c r="W829" s="183"/>
      <c r="X829" s="183"/>
      <c r="Y829" s="184"/>
      <c r="Z829" s="185"/>
      <c r="AA829" s="185"/>
      <c r="AB829" s="185"/>
      <c r="AC829" s="185"/>
      <c r="AD829" s="649"/>
      <c r="AE829" s="182"/>
      <c r="AF829" s="332"/>
      <c r="AG829" s="182"/>
      <c r="AH829" s="182"/>
      <c r="AI829" s="182"/>
      <c r="AJ829" s="640"/>
      <c r="AK829" s="182"/>
      <c r="AL829" s="496"/>
      <c r="AM829" s="496"/>
      <c r="AN829" s="626"/>
      <c r="AO829" s="182"/>
      <c r="AP829" s="182"/>
      <c r="AQ829" s="332" t="str">
        <f>UPPER(RIGHT(Journal_Live[[#This Row],[DURATION ]]))</f>
        <v/>
      </c>
      <c r="AR829" s="182"/>
      <c r="AS829" s="189"/>
      <c r="AT829" s="182"/>
      <c r="AU829" s="187"/>
      <c r="AV829" s="320"/>
      <c r="AW829" s="191"/>
      <c r="AX829" s="407"/>
      <c r="AY829" s="407"/>
      <c r="AZ829" s="407"/>
      <c r="BA829" s="407"/>
      <c r="BB829" s="407"/>
      <c r="BC829" s="407"/>
      <c r="BD829" s="407" t="s">
        <v>3291</v>
      </c>
      <c r="BE829" s="407" t="s">
        <v>3292</v>
      </c>
      <c r="BF829" s="422"/>
      <c r="BG829" s="391">
        <f>SUM($AV$4:AV829)</f>
        <v>4249.9032049062689</v>
      </c>
      <c r="BH829" s="392">
        <f>SUM($AU$134:AU829)</f>
        <v>15976.112000000028</v>
      </c>
      <c r="BI829" s="318">
        <f>SUMIFS($AU$134:AU830,$Q$134:Q830,"F")</f>
        <v>5454.5333333333328</v>
      </c>
      <c r="BJ829" s="318">
        <f>SUMIFS($AU$134:AU830,$Q$134:Q830,"S")</f>
        <v>10580.441999999999</v>
      </c>
      <c r="BK829" s="343">
        <f>SUMIFS($AU$134:AU830,$P$134:P830,"W")</f>
        <v>9979.7419999999365</v>
      </c>
      <c r="BL829" s="343">
        <f>SUMIFS($AU$134:AU830,$P$134:P830,"R")</f>
        <v>5924.673333333335</v>
      </c>
      <c r="BM829" s="343">
        <f>SUMIFS($AU$134:AU830,$AQ$134:AQ830,"M")</f>
        <v>2413.3999999999814</v>
      </c>
      <c r="BN829" s="343">
        <f>SUMIFS($AU$134:AU830,$AQ$134:AQ830,"H")</f>
        <v>4134.1420000000153</v>
      </c>
      <c r="BO829" s="343">
        <f>SUMIFS($AU$134:AU830,$AQ$134:AQ830,"D")</f>
        <v>5320.3466666667146</v>
      </c>
      <c r="BP829" s="343">
        <f>SUMIFS($AU$134:AU832,$AQ$134:AQ832,"W")</f>
        <v>3049.7833333333429</v>
      </c>
      <c r="BQ829" s="343">
        <f>SUMIFS($AU$134:AU830,$Q$134:Q830,"O")</f>
        <v>-153.87333333301802</v>
      </c>
      <c r="BR829" s="343">
        <f>SUMIFS($AU$134:AU830,$AA$134:AA830,"*")</f>
        <v>14957.475333333326</v>
      </c>
      <c r="BS829" s="343">
        <f>SUMIFS($AU$134:AU830,$AB$134:AB830,"*")</f>
        <v>5593.3266666669924</v>
      </c>
      <c r="BT829" s="343">
        <f>SUMIFS($AU$134:AU830,$AC$134:AC830,"*")</f>
        <v>8895.6833333333325</v>
      </c>
      <c r="BU829" s="343">
        <f>SUMIFS($AU$134:AU830,$AA$134:AA830,"*",$AB$134:AB830,"*")</f>
        <v>3586.0000000000045</v>
      </c>
      <c r="BV829" s="343">
        <f>SUMIFS($AU$134:AU830,$AA$134:AA830,"*",$AC$134:AC830,"*")</f>
        <v>8356.7833333333328</v>
      </c>
      <c r="BW829" s="343">
        <f>SUMIFS($AU$134:AU830,$AB$134:AB830,"*",$AC$134:AC830,"*")</f>
        <v>5374.6</v>
      </c>
      <c r="BX829" s="343">
        <f>SUMIFS($AU830:AU$1388,$Q830:Q$1388,"F")</f>
        <v>8986.133333333335</v>
      </c>
      <c r="BY829" s="343">
        <f>SUMIFS($AU830:AU$1388,$Q830:Q$1388,"S")</f>
        <v>10091.200000000001</v>
      </c>
      <c r="BZ829" s="343">
        <f>SUMIFS($AU830:AU$1388,$Q830:Q$1388,"O")</f>
        <v>-1382.79466666649</v>
      </c>
    </row>
    <row r="830" spans="1:78" ht="15.75" customHeight="1">
      <c r="A830" s="221" t="s">
        <v>3123</v>
      </c>
      <c r="B830" s="177">
        <v>45125</v>
      </c>
      <c r="C830" s="178" t="s">
        <v>3293</v>
      </c>
      <c r="D830" s="178" t="s">
        <v>146</v>
      </c>
      <c r="E830" s="227"/>
      <c r="F830" s="180"/>
      <c r="G830" s="483" t="s">
        <v>3218</v>
      </c>
      <c r="H830" s="182"/>
      <c r="I830" s="182"/>
      <c r="J830" s="182"/>
      <c r="K830" s="183"/>
      <c r="L830" s="182">
        <v>2</v>
      </c>
      <c r="M830" s="182"/>
      <c r="N830" s="182"/>
      <c r="O830" s="183" t="s">
        <v>1057</v>
      </c>
      <c r="P830" s="183"/>
      <c r="Q830" s="183" t="s">
        <v>684</v>
      </c>
      <c r="R830" s="183">
        <v>8</v>
      </c>
      <c r="S830" s="183">
        <v>3</v>
      </c>
      <c r="T830" s="183">
        <v>2</v>
      </c>
      <c r="U830" s="183" t="s">
        <v>97</v>
      </c>
      <c r="V830" s="183"/>
      <c r="W830" s="183"/>
      <c r="X830" s="183"/>
      <c r="Y830" s="184">
        <f t="shared" ref="Y830:Y837" si="285">IF(ISBLANK(O830),"",(IF(O830=UPPER("IB"),0.005,0.01)))</f>
        <v>5.0000000000000001E-3</v>
      </c>
      <c r="Z830" s="185">
        <f t="shared" ref="Z830:Z837" si="286">IF(ISBLANK(O830),"",IF(O830="IB",8.63*200,IF(O830="IR",16*100,IF(O830="YT",20*100,IF(O830="YT-XT",24*200,IF(O830="TED",80*100))))))</f>
        <v>1726.0000000000002</v>
      </c>
      <c r="AA830" s="185"/>
      <c r="AB830" s="185" t="s">
        <v>3207</v>
      </c>
      <c r="AC830" s="185"/>
      <c r="AD830" s="649">
        <f>(95.81*2+95.825*4+95.85*2)/8</f>
        <v>95.827500000000015</v>
      </c>
      <c r="AE830" s="182"/>
      <c r="AF830" s="332"/>
      <c r="AG830" s="182"/>
      <c r="AH830" s="182">
        <v>95.79</v>
      </c>
      <c r="AI830" s="182" t="s">
        <v>3294</v>
      </c>
      <c r="AJ830" s="640" t="s">
        <v>3295</v>
      </c>
      <c r="AK830" s="182"/>
      <c r="AL830" s="496">
        <f>-0.05*Z830</f>
        <v>-86.300000000000011</v>
      </c>
      <c r="AM830" s="496">
        <f>AL830*(R830-S830)</f>
        <v>-431.50000000000006</v>
      </c>
      <c r="AN830" s="626"/>
      <c r="AO830" s="182"/>
      <c r="AP830" s="182"/>
      <c r="AQ830" s="332" t="str">
        <f>UPPER(RIGHT(Journal_Live[[#This Row],[DURATION ]]))</f>
        <v/>
      </c>
      <c r="AR830" s="182" t="s">
        <v>3296</v>
      </c>
      <c r="AS830" s="189">
        <f>(95.83*1+95.84*2+95.83*2+95.795*3)/8</f>
        <v>95.819374999999994</v>
      </c>
      <c r="AT830" s="189">
        <f>IF(ISBLANK(AS830),,IF(U830="S",AD830-AS830,AS830-AD830))</f>
        <v>8.1250000000210321E-3</v>
      </c>
      <c r="AU830" s="187">
        <f>AV830*R830</f>
        <v>112.19000000029042</v>
      </c>
      <c r="AV830" s="190">
        <f>IF(ISBLANK(AS830),,(AT830*Z830))</f>
        <v>14.023750000036303</v>
      </c>
      <c r="AW830" s="191" t="s">
        <v>96</v>
      </c>
      <c r="AX830" s="407" t="s">
        <v>3297</v>
      </c>
      <c r="AY830" s="407" t="s">
        <v>3298</v>
      </c>
      <c r="AZ830" s="407" t="s">
        <v>3299</v>
      </c>
      <c r="BA830" s="407"/>
      <c r="BB830" s="407"/>
      <c r="BC830" s="407"/>
      <c r="BD830" s="407" t="s">
        <v>3260</v>
      </c>
      <c r="BE830" s="407" t="s">
        <v>3261</v>
      </c>
      <c r="BF830" s="422"/>
      <c r="BG830" s="391">
        <f>SUM($AV$4:AV830)</f>
        <v>4263.9269549063056</v>
      </c>
      <c r="BH830" s="392">
        <f>SUM($AU$134:AU830)</f>
        <v>16088.302000000318</v>
      </c>
      <c r="BI830" s="318">
        <f>SUMIFS($AU$134:AU831,$Q$134:Q831,"F")</f>
        <v>5454.5333333333328</v>
      </c>
      <c r="BJ830" s="318">
        <f>SUMIFS($AU$134:AU831,$Q$134:Q831,"S")</f>
        <v>10580.441999999999</v>
      </c>
      <c r="BK830" s="343">
        <f>SUMIFS($AU$134:AU831,$P$134:P831,"W")</f>
        <v>9979.7419999999365</v>
      </c>
      <c r="BL830" s="343">
        <f>SUMIFS($AU$134:AU831,$P$134:P831,"R")</f>
        <v>5924.673333333335</v>
      </c>
      <c r="BM830" s="343">
        <f>SUMIFS($AU$134:AU831,$AQ$134:AQ831,"M")</f>
        <v>2413.3999999999814</v>
      </c>
      <c r="BN830" s="343">
        <f>SUMIFS($AU$134:AU831,$AQ$134:AQ831,"H")</f>
        <v>4134.1420000000153</v>
      </c>
      <c r="BO830" s="343">
        <f>SUMIFS($AU$134:AU831,$AQ$134:AQ831,"D")</f>
        <v>5320.3466666667146</v>
      </c>
      <c r="BP830" s="343">
        <f>SUMIFS($AU$134:AU833,$AQ$134:AQ833,"W")</f>
        <v>3049.7833333333429</v>
      </c>
      <c r="BQ830" s="343">
        <f>SUMIFS($AU$134:AU831,$Q$134:Q831,"O")</f>
        <v>-153.87333333301802</v>
      </c>
      <c r="BR830" s="343">
        <f>SUMIFS($AU$134:AU831,$AA$134:AA831,"*")</f>
        <v>14957.475333333326</v>
      </c>
      <c r="BS830" s="343">
        <f>SUMIFS($AU$134:AU831,$AB$134:AB831,"*")</f>
        <v>5593.3266666669924</v>
      </c>
      <c r="BT830" s="343">
        <f>SUMIFS($AU$134:AU831,$AC$134:AC831,"*")</f>
        <v>8895.6833333333325</v>
      </c>
      <c r="BU830" s="343">
        <f>SUMIFS($AU$134:AU831,$AA$134:AA831,"*",$AB$134:AB831,"*")</f>
        <v>3586.0000000000045</v>
      </c>
      <c r="BV830" s="343">
        <f>SUMIFS($AU$134:AU831,$AA$134:AA831,"*",$AC$134:AC831,"*")</f>
        <v>8356.7833333333328</v>
      </c>
      <c r="BW830" s="343">
        <f>SUMIFS($AU$134:AU831,$AB$134:AB831,"*",$AC$134:AC831,"*")</f>
        <v>5374.6</v>
      </c>
      <c r="BX830" s="343">
        <f>SUMIFS($AU831:AU$1388,$Q831:Q$1388,"F")</f>
        <v>8986.133333333335</v>
      </c>
      <c r="BY830" s="343">
        <f>SUMIFS($AU831:AU$1388,$Q831:Q$1388,"S")</f>
        <v>10091.200000000001</v>
      </c>
      <c r="BZ830" s="343">
        <f>SUMIFS($AU831:AU$1388,$Q831:Q$1388,"O")</f>
        <v>-1494.9846666667804</v>
      </c>
    </row>
    <row r="831" spans="1:78" ht="15.75" customHeight="1">
      <c r="A831" s="221" t="s">
        <v>3123</v>
      </c>
      <c r="B831" s="177">
        <v>45125</v>
      </c>
      <c r="C831" s="178" t="s">
        <v>1714</v>
      </c>
      <c r="D831" s="178" t="s">
        <v>146</v>
      </c>
      <c r="E831" s="227" t="s">
        <v>3300</v>
      </c>
      <c r="F831" s="180"/>
      <c r="G831" s="181"/>
      <c r="H831" s="182"/>
      <c r="I831" s="182"/>
      <c r="J831" s="182">
        <v>1</v>
      </c>
      <c r="K831" s="183" t="s">
        <v>115</v>
      </c>
      <c r="L831" s="182"/>
      <c r="M831" s="182"/>
      <c r="N831" s="182"/>
      <c r="O831" s="183"/>
      <c r="P831" s="183"/>
      <c r="Q831" s="183"/>
      <c r="R831" s="183"/>
      <c r="S831" s="183"/>
      <c r="T831" s="183"/>
      <c r="U831" s="183"/>
      <c r="V831" s="183"/>
      <c r="W831" s="183"/>
      <c r="X831" s="183"/>
      <c r="Y831" s="184" t="str">
        <f t="shared" si="285"/>
        <v/>
      </c>
      <c r="Z831" s="185" t="str">
        <f t="shared" si="286"/>
        <v/>
      </c>
      <c r="AA831" s="185"/>
      <c r="AB831" s="185"/>
      <c r="AC831" s="185"/>
      <c r="AD831" s="649"/>
      <c r="AE831" s="182"/>
      <c r="AF831" s="332"/>
      <c r="AG831" s="182"/>
      <c r="AH831" s="182"/>
      <c r="AI831" s="182"/>
      <c r="AJ831" s="640"/>
      <c r="AK831" s="182"/>
      <c r="AL831" s="496"/>
      <c r="AM831" s="496"/>
      <c r="AN831" s="626"/>
      <c r="AO831" s="182"/>
      <c r="AP831" s="182"/>
      <c r="AQ831" s="332" t="str">
        <f>UPPER(RIGHT(Journal_Live[[#This Row],[DURATION ]]))</f>
        <v/>
      </c>
      <c r="AR831" s="182"/>
      <c r="AS831" s="189"/>
      <c r="AT831" s="189"/>
      <c r="AU831" s="187"/>
      <c r="AV831" s="190"/>
      <c r="AW831" s="191"/>
      <c r="AX831" s="407"/>
      <c r="AY831" s="407"/>
      <c r="AZ831" s="407"/>
      <c r="BA831" s="407"/>
      <c r="BB831" s="407"/>
      <c r="BC831" s="407"/>
      <c r="BD831" s="407"/>
      <c r="BE831" s="407"/>
      <c r="BF831" s="422"/>
      <c r="BG831" s="391">
        <f>SUM($AV$4:AV831)</f>
        <v>4263.9269549063056</v>
      </c>
      <c r="BH831" s="392">
        <f>SUM($AU$134:AU831)</f>
        <v>16088.302000000318</v>
      </c>
      <c r="BI831" s="318">
        <f>SUMIFS($AU$134:AU832,$Q$134:Q832,"F")</f>
        <v>5454.5333333333328</v>
      </c>
      <c r="BJ831" s="318">
        <f>SUMIFS($AU$134:AU832,$Q$134:Q832,"S")</f>
        <v>10580.441999999999</v>
      </c>
      <c r="BK831" s="343">
        <f>SUMIFS($AU$134:AU832,$P$134:P832,"W")</f>
        <v>9979.7419999999365</v>
      </c>
      <c r="BL831" s="343">
        <f>SUMIFS($AU$134:AU832,$P$134:P832,"R")</f>
        <v>5924.673333333335</v>
      </c>
      <c r="BM831" s="343">
        <f>SUMIFS($AU$134:AU832,$AQ$134:AQ832,"M")</f>
        <v>2413.3999999999814</v>
      </c>
      <c r="BN831" s="343">
        <f>SUMIFS($AU$134:AU832,$AQ$134:AQ832,"H")</f>
        <v>4134.1420000000153</v>
      </c>
      <c r="BO831" s="343">
        <f>SUMIFS($AU$134:AU832,$AQ$134:AQ832,"D")</f>
        <v>5320.3466666667146</v>
      </c>
      <c r="BP831" s="343">
        <f>SUMIFS($AU$134:AU834,$AQ$134:AQ834,"W")</f>
        <v>3049.7833333333429</v>
      </c>
      <c r="BQ831" s="343">
        <f>SUMIFS($AU$134:AU832,$Q$134:Q832,"O")</f>
        <v>-153.87333333301802</v>
      </c>
      <c r="BR831" s="343">
        <f>SUMIFS($AU$134:AU832,$AA$134:AA832,"*")</f>
        <v>14957.475333333326</v>
      </c>
      <c r="BS831" s="343">
        <f>SUMIFS($AU$134:AU832,$AB$134:AB832,"*")</f>
        <v>5593.3266666669924</v>
      </c>
      <c r="BT831" s="343">
        <f>SUMIFS($AU$134:AU832,$AC$134:AC832,"*")</f>
        <v>8895.6833333333325</v>
      </c>
      <c r="BU831" s="343">
        <f>SUMIFS($AU$134:AU832,$AA$134:AA832,"*",$AB$134:AB832,"*")</f>
        <v>3586.0000000000045</v>
      </c>
      <c r="BV831" s="343">
        <f>SUMIFS($AU$134:AU832,$AA$134:AA832,"*",$AC$134:AC832,"*")</f>
        <v>8356.7833333333328</v>
      </c>
      <c r="BW831" s="343">
        <f>SUMIFS($AU$134:AU832,$AB$134:AB832,"*",$AC$134:AC832,"*")</f>
        <v>5374.6</v>
      </c>
      <c r="BX831" s="343">
        <f>SUMIFS($AU832:AU$1388,$Q832:Q$1388,"F")</f>
        <v>8986.133333333335</v>
      </c>
      <c r="BY831" s="343">
        <f>SUMIFS($AU832:AU$1388,$Q832:Q$1388,"S")</f>
        <v>10091.200000000001</v>
      </c>
      <c r="BZ831" s="343">
        <f>SUMIFS($AU832:AU$1388,$Q832:Q$1388,"O")</f>
        <v>-1494.9846666667804</v>
      </c>
    </row>
    <row r="832" spans="1:78" ht="15.75" customHeight="1">
      <c r="A832" s="221" t="s">
        <v>3123</v>
      </c>
      <c r="B832" s="177"/>
      <c r="C832" s="178"/>
      <c r="D832" s="178"/>
      <c r="E832" s="227" t="s">
        <v>3301</v>
      </c>
      <c r="F832" s="180"/>
      <c r="G832" s="181"/>
      <c r="H832" s="182"/>
      <c r="I832" s="182"/>
      <c r="J832" s="182">
        <v>1</v>
      </c>
      <c r="K832" s="183" t="s">
        <v>115</v>
      </c>
      <c r="L832" s="182"/>
      <c r="M832" s="182"/>
      <c r="N832" s="182"/>
      <c r="O832" s="183"/>
      <c r="P832" s="183"/>
      <c r="Q832" s="183"/>
      <c r="R832" s="183"/>
      <c r="S832" s="183"/>
      <c r="T832" s="183"/>
      <c r="U832" s="183"/>
      <c r="V832" s="183"/>
      <c r="W832" s="183"/>
      <c r="X832" s="183"/>
      <c r="Y832" s="184" t="str">
        <f t="shared" si="285"/>
        <v/>
      </c>
      <c r="Z832" s="185" t="str">
        <f t="shared" si="286"/>
        <v/>
      </c>
      <c r="AA832" s="185"/>
      <c r="AB832" s="185"/>
      <c r="AC832" s="185"/>
      <c r="AD832" s="649"/>
      <c r="AE832" s="182"/>
      <c r="AF832" s="332"/>
      <c r="AG832" s="182"/>
      <c r="AH832" s="182"/>
      <c r="AI832" s="182"/>
      <c r="AJ832" s="640"/>
      <c r="AK832" s="182"/>
      <c r="AL832" s="496"/>
      <c r="AM832" s="496"/>
      <c r="AN832" s="626"/>
      <c r="AO832" s="182"/>
      <c r="AP832" s="182"/>
      <c r="AQ832" s="332" t="str">
        <f>UPPER(RIGHT(Journal_Live[[#This Row],[DURATION ]]))</f>
        <v/>
      </c>
      <c r="AR832" s="182"/>
      <c r="AS832" s="189"/>
      <c r="AT832" s="189"/>
      <c r="AU832" s="187"/>
      <c r="AV832" s="190"/>
      <c r="AW832" s="191"/>
      <c r="AX832" s="407"/>
      <c r="AY832" s="407"/>
      <c r="AZ832" s="407"/>
      <c r="BA832" s="407"/>
      <c r="BB832" s="407"/>
      <c r="BC832" s="407"/>
      <c r="BD832" s="407"/>
      <c r="BE832" s="407"/>
      <c r="BF832" s="422"/>
      <c r="BG832" s="391">
        <f>SUM($AV$4:AV832)</f>
        <v>4263.9269549063056</v>
      </c>
      <c r="BH832" s="392">
        <f>SUM($AU$134:AU832)</f>
        <v>16088.302000000318</v>
      </c>
      <c r="BI832" s="318">
        <f>SUMIFS($AU$134:AU833,$Q$134:Q833,"F")</f>
        <v>5454.5333333333328</v>
      </c>
      <c r="BJ832" s="318">
        <f>SUMIFS($AU$134:AU833,$Q$134:Q833,"S")</f>
        <v>10580.441999999999</v>
      </c>
      <c r="BK832" s="343">
        <f>SUMIFS($AU$134:AU833,$P$134:P833,"W")</f>
        <v>9979.7419999999365</v>
      </c>
      <c r="BL832" s="343">
        <f>SUMIFS($AU$134:AU833,$P$134:P833,"R")</f>
        <v>5924.673333333335</v>
      </c>
      <c r="BM832" s="343">
        <f>SUMIFS($AU$134:AU833,$AQ$134:AQ833,"M")</f>
        <v>2413.3999999999814</v>
      </c>
      <c r="BN832" s="343">
        <f>SUMIFS($AU$134:AU833,$AQ$134:AQ833,"H")</f>
        <v>4134.1420000000153</v>
      </c>
      <c r="BO832" s="343">
        <f>SUMIFS($AU$134:AU833,$AQ$134:AQ833,"D")</f>
        <v>5320.3466666667146</v>
      </c>
      <c r="BP832" s="343">
        <f>SUMIFS($AU$134:AU835,$AQ$134:AQ835,"W")</f>
        <v>3049.7833333333429</v>
      </c>
      <c r="BQ832" s="343">
        <f>SUMIFS($AU$134:AU833,$Q$134:Q833,"O")</f>
        <v>-153.87333333301802</v>
      </c>
      <c r="BR832" s="343">
        <f>SUMIFS($AU$134:AU833,$AA$134:AA833,"*")</f>
        <v>14957.475333333326</v>
      </c>
      <c r="BS832" s="343">
        <f>SUMIFS($AU$134:AU833,$AB$134:AB833,"*")</f>
        <v>5593.3266666669924</v>
      </c>
      <c r="BT832" s="343">
        <f>SUMIFS($AU$134:AU833,$AC$134:AC833,"*")</f>
        <v>8895.6833333333325</v>
      </c>
      <c r="BU832" s="343">
        <f>SUMIFS($AU$134:AU833,$AA$134:AA833,"*",$AB$134:AB833,"*")</f>
        <v>3586.0000000000045</v>
      </c>
      <c r="BV832" s="343">
        <f>SUMIFS($AU$134:AU833,$AA$134:AA833,"*",$AC$134:AC833,"*")</f>
        <v>8356.7833333333328</v>
      </c>
      <c r="BW832" s="343">
        <f>SUMIFS($AU$134:AU833,$AB$134:AB833,"*",$AC$134:AC833,"*")</f>
        <v>5374.6</v>
      </c>
      <c r="BX832" s="343">
        <f>SUMIFS($AU833:AU$1388,$Q833:Q$1388,"F")</f>
        <v>8986.133333333335</v>
      </c>
      <c r="BY832" s="343">
        <f>SUMIFS($AU833:AU$1388,$Q833:Q$1388,"S")</f>
        <v>10091.200000000001</v>
      </c>
      <c r="BZ832" s="343">
        <f>SUMIFS($AU833:AU$1388,$Q833:Q$1388,"O")</f>
        <v>-1494.9846666667804</v>
      </c>
    </row>
    <row r="833" spans="1:78" ht="15.75" customHeight="1">
      <c r="A833" s="221" t="s">
        <v>3123</v>
      </c>
      <c r="B833" s="177"/>
      <c r="C833" s="178"/>
      <c r="D833" s="178"/>
      <c r="E833" s="227" t="s">
        <v>3302</v>
      </c>
      <c r="F833" s="180"/>
      <c r="G833" s="181"/>
      <c r="H833" s="182"/>
      <c r="I833" s="182"/>
      <c r="J833" s="182">
        <v>1</v>
      </c>
      <c r="K833" s="183" t="s">
        <v>115</v>
      </c>
      <c r="L833" s="182"/>
      <c r="M833" s="182"/>
      <c r="N833" s="182"/>
      <c r="O833" s="183"/>
      <c r="P833" s="183"/>
      <c r="Q833" s="183"/>
      <c r="R833" s="183"/>
      <c r="S833" s="183"/>
      <c r="T833" s="183"/>
      <c r="U833" s="183"/>
      <c r="V833" s="183"/>
      <c r="W833" s="183"/>
      <c r="X833" s="183"/>
      <c r="Y833" s="184" t="str">
        <f t="shared" si="285"/>
        <v/>
      </c>
      <c r="Z833" s="185" t="str">
        <f t="shared" si="286"/>
        <v/>
      </c>
      <c r="AA833" s="185"/>
      <c r="AB833" s="185"/>
      <c r="AC833" s="185"/>
      <c r="AD833" s="649"/>
      <c r="AE833" s="182"/>
      <c r="AF833" s="332"/>
      <c r="AG833" s="182"/>
      <c r="AH833" s="182"/>
      <c r="AI833" s="182"/>
      <c r="AJ833" s="640"/>
      <c r="AK833" s="182"/>
      <c r="AL833" s="496"/>
      <c r="AM833" s="496"/>
      <c r="AN833" s="626"/>
      <c r="AO833" s="182"/>
      <c r="AP833" s="182"/>
      <c r="AQ833" s="332" t="str">
        <f>UPPER(RIGHT(Journal_Live[[#This Row],[DURATION ]]))</f>
        <v/>
      </c>
      <c r="AR833" s="182"/>
      <c r="AS833" s="189"/>
      <c r="AT833" s="189"/>
      <c r="AU833" s="187"/>
      <c r="AV833" s="190"/>
      <c r="AW833" s="191"/>
      <c r="AX833" s="407"/>
      <c r="AY833" s="407"/>
      <c r="AZ833" s="407"/>
      <c r="BA833" s="407"/>
      <c r="BB833" s="407"/>
      <c r="BC833" s="407"/>
      <c r="BD833" s="407"/>
      <c r="BE833" s="407"/>
      <c r="BF833" s="422"/>
      <c r="BG833" s="391">
        <f>SUM($AV$4:AV833)</f>
        <v>4263.9269549063056</v>
      </c>
      <c r="BH833" s="392">
        <f>SUM($AU$134:AU833)</f>
        <v>16088.302000000318</v>
      </c>
      <c r="BI833" s="318">
        <f>SUMIFS($AU$134:AU834,$Q$134:Q834,"F")</f>
        <v>5454.5333333333328</v>
      </c>
      <c r="BJ833" s="318">
        <f>SUMIFS($AU$134:AU834,$Q$134:Q834,"S")</f>
        <v>10580.441999999999</v>
      </c>
      <c r="BK833" s="343">
        <f>SUMIFS($AU$134:AU834,$P$134:P834,"W")</f>
        <v>9979.7419999999365</v>
      </c>
      <c r="BL833" s="343">
        <f>SUMIFS($AU$134:AU834,$P$134:P834,"R")</f>
        <v>5924.673333333335</v>
      </c>
      <c r="BM833" s="343">
        <f>SUMIFS($AU$134:AU834,$AQ$134:AQ834,"M")</f>
        <v>2413.3999999999814</v>
      </c>
      <c r="BN833" s="343">
        <f>SUMIFS($AU$134:AU834,$AQ$134:AQ834,"H")</f>
        <v>4134.1420000000153</v>
      </c>
      <c r="BO833" s="343">
        <f>SUMIFS($AU$134:AU834,$AQ$134:AQ834,"D")</f>
        <v>5320.3466666667146</v>
      </c>
      <c r="BP833" s="343">
        <f>SUMIFS($AU$134:AU836,$AQ$134:AQ836,"W")</f>
        <v>3049.7833333333429</v>
      </c>
      <c r="BQ833" s="343">
        <f>SUMIFS($AU$134:AU834,$Q$134:Q834,"O")</f>
        <v>-153.87333333301802</v>
      </c>
      <c r="BR833" s="343">
        <f>SUMIFS($AU$134:AU834,$AA$134:AA834,"*")</f>
        <v>14957.475333333326</v>
      </c>
      <c r="BS833" s="343">
        <f>SUMIFS($AU$134:AU834,$AB$134:AB834,"*")</f>
        <v>5593.3266666669924</v>
      </c>
      <c r="BT833" s="343">
        <f>SUMIFS($AU$134:AU834,$AC$134:AC834,"*")</f>
        <v>8895.6833333333325</v>
      </c>
      <c r="BU833" s="343">
        <f>SUMIFS($AU$134:AU834,$AA$134:AA834,"*",$AB$134:AB834,"*")</f>
        <v>3586.0000000000045</v>
      </c>
      <c r="BV833" s="343">
        <f>SUMIFS($AU$134:AU834,$AA$134:AA834,"*",$AC$134:AC834,"*")</f>
        <v>8356.7833333333328</v>
      </c>
      <c r="BW833" s="343">
        <f>SUMIFS($AU$134:AU834,$AB$134:AB834,"*",$AC$134:AC834,"*")</f>
        <v>5374.6</v>
      </c>
      <c r="BX833" s="343">
        <f>SUMIFS($AU834:AU$1388,$Q834:Q$1388,"F")</f>
        <v>8986.133333333335</v>
      </c>
      <c r="BY833" s="343">
        <f>SUMIFS($AU834:AU$1388,$Q834:Q$1388,"S")</f>
        <v>10091.200000000001</v>
      </c>
      <c r="BZ833" s="343">
        <f>SUMIFS($AU834:AU$1388,$Q834:Q$1388,"O")</f>
        <v>-1494.9846666667804</v>
      </c>
    </row>
    <row r="834" spans="1:78" ht="15.75" customHeight="1">
      <c r="A834" s="221" t="s">
        <v>3123</v>
      </c>
      <c r="B834" s="177"/>
      <c r="C834" s="178"/>
      <c r="D834" s="178"/>
      <c r="E834" s="227" t="s">
        <v>3303</v>
      </c>
      <c r="F834" s="180"/>
      <c r="G834" s="181"/>
      <c r="H834" s="182"/>
      <c r="I834" s="182"/>
      <c r="J834" s="182">
        <v>1</v>
      </c>
      <c r="K834" s="183" t="s">
        <v>115</v>
      </c>
      <c r="L834" s="182"/>
      <c r="M834" s="182"/>
      <c r="N834" s="182"/>
      <c r="O834" s="183"/>
      <c r="P834" s="183"/>
      <c r="Q834" s="183"/>
      <c r="R834" s="183"/>
      <c r="S834" s="183"/>
      <c r="T834" s="183"/>
      <c r="U834" s="183"/>
      <c r="V834" s="183"/>
      <c r="W834" s="183"/>
      <c r="X834" s="183"/>
      <c r="Y834" s="184" t="str">
        <f t="shared" si="285"/>
        <v/>
      </c>
      <c r="Z834" s="185" t="str">
        <f t="shared" si="286"/>
        <v/>
      </c>
      <c r="AA834" s="185"/>
      <c r="AB834" s="185"/>
      <c r="AC834" s="185"/>
      <c r="AD834" s="649"/>
      <c r="AE834" s="182"/>
      <c r="AF834" s="332"/>
      <c r="AG834" s="182"/>
      <c r="AH834" s="182"/>
      <c r="AI834" s="182"/>
      <c r="AJ834" s="640"/>
      <c r="AK834" s="182"/>
      <c r="AL834" s="496"/>
      <c r="AM834" s="496"/>
      <c r="AN834" s="626"/>
      <c r="AO834" s="182"/>
      <c r="AP834" s="182"/>
      <c r="AQ834" s="332" t="str">
        <f>UPPER(RIGHT(Journal_Live[[#This Row],[DURATION ]]))</f>
        <v/>
      </c>
      <c r="AR834" s="182"/>
      <c r="AS834" s="189"/>
      <c r="AT834" s="189"/>
      <c r="AU834" s="187"/>
      <c r="AV834" s="190"/>
      <c r="AW834" s="191"/>
      <c r="AX834" s="407"/>
      <c r="AY834" s="407"/>
      <c r="AZ834" s="407"/>
      <c r="BA834" s="407"/>
      <c r="BB834" s="407"/>
      <c r="BC834" s="407"/>
      <c r="BD834" s="407"/>
      <c r="BE834" s="407"/>
      <c r="BF834" s="422"/>
      <c r="BG834" s="391">
        <f>SUM($AV$4:AV834)</f>
        <v>4263.9269549063056</v>
      </c>
      <c r="BH834" s="392">
        <f>SUM($AU$134:AU834)</f>
        <v>16088.302000000318</v>
      </c>
      <c r="BI834" s="318">
        <f>SUMIFS($AU$134:AU835,$Q$134:Q835,"F")</f>
        <v>5454.5333333333328</v>
      </c>
      <c r="BJ834" s="318">
        <f>SUMIFS($AU$134:AU835,$Q$134:Q835,"S")</f>
        <v>10580.441999999999</v>
      </c>
      <c r="BK834" s="343">
        <f>SUMIFS($AU$134:AU835,$P$134:P835,"W")</f>
        <v>9979.7419999999365</v>
      </c>
      <c r="BL834" s="343">
        <f>SUMIFS($AU$134:AU835,$P$134:P835,"R")</f>
        <v>5924.673333333335</v>
      </c>
      <c r="BM834" s="343">
        <f>SUMIFS($AU$134:AU835,$AQ$134:AQ835,"M")</f>
        <v>2413.3999999999814</v>
      </c>
      <c r="BN834" s="343">
        <f>SUMIFS($AU$134:AU835,$AQ$134:AQ835,"H")</f>
        <v>4134.1420000000153</v>
      </c>
      <c r="BO834" s="343">
        <f>SUMIFS($AU$134:AU835,$AQ$134:AQ835,"D")</f>
        <v>5320.3466666667146</v>
      </c>
      <c r="BP834" s="343">
        <f>SUMIFS($AU$134:AU837,$AQ$134:AQ837,"W")</f>
        <v>3049.7833333333429</v>
      </c>
      <c r="BQ834" s="343">
        <f>SUMIFS($AU$134:AU835,$Q$134:Q835,"O")</f>
        <v>-153.87333333301802</v>
      </c>
      <c r="BR834" s="343">
        <f>SUMIFS($AU$134:AU835,$AA$134:AA835,"*")</f>
        <v>14957.475333333326</v>
      </c>
      <c r="BS834" s="343">
        <f>SUMIFS($AU$134:AU835,$AB$134:AB835,"*")</f>
        <v>5593.3266666669924</v>
      </c>
      <c r="BT834" s="343">
        <f>SUMIFS($AU$134:AU835,$AC$134:AC835,"*")</f>
        <v>8895.6833333333325</v>
      </c>
      <c r="BU834" s="343">
        <f>SUMIFS($AU$134:AU835,$AA$134:AA835,"*",$AB$134:AB835,"*")</f>
        <v>3586.0000000000045</v>
      </c>
      <c r="BV834" s="343">
        <f>SUMIFS($AU$134:AU835,$AA$134:AA835,"*",$AC$134:AC835,"*")</f>
        <v>8356.7833333333328</v>
      </c>
      <c r="BW834" s="343">
        <f>SUMIFS($AU$134:AU835,$AB$134:AB835,"*",$AC$134:AC835,"*")</f>
        <v>5374.6</v>
      </c>
      <c r="BX834" s="343">
        <f>SUMIFS($AU835:AU$1388,$Q835:Q$1388,"F")</f>
        <v>8986.133333333335</v>
      </c>
      <c r="BY834" s="343">
        <f>SUMIFS($AU835:AU$1388,$Q835:Q$1388,"S")</f>
        <v>10091.200000000001</v>
      </c>
      <c r="BZ834" s="343">
        <f>SUMIFS($AU835:AU$1388,$Q835:Q$1388,"O")</f>
        <v>-1494.9846666667804</v>
      </c>
    </row>
    <row r="835" spans="1:78" ht="15.75" customHeight="1">
      <c r="A835" s="221" t="s">
        <v>3123</v>
      </c>
      <c r="B835" s="177"/>
      <c r="C835" s="178"/>
      <c r="D835" s="178"/>
      <c r="E835" s="227" t="s">
        <v>3304</v>
      </c>
      <c r="F835" s="180" t="s">
        <v>3305</v>
      </c>
      <c r="G835" s="181"/>
      <c r="H835" s="182"/>
      <c r="I835" s="182"/>
      <c r="J835" s="182">
        <v>1</v>
      </c>
      <c r="K835" s="183" t="s">
        <v>115</v>
      </c>
      <c r="L835" s="182"/>
      <c r="M835" s="182"/>
      <c r="N835" s="182"/>
      <c r="O835" s="183"/>
      <c r="P835" s="183"/>
      <c r="Q835" s="183"/>
      <c r="R835" s="183"/>
      <c r="S835" s="183"/>
      <c r="T835" s="183"/>
      <c r="U835" s="183"/>
      <c r="V835" s="183"/>
      <c r="W835" s="183"/>
      <c r="X835" s="183"/>
      <c r="Y835" s="184" t="str">
        <f t="shared" si="285"/>
        <v/>
      </c>
      <c r="Z835" s="185" t="str">
        <f t="shared" si="286"/>
        <v/>
      </c>
      <c r="AA835" s="185"/>
      <c r="AB835" s="185"/>
      <c r="AC835" s="185"/>
      <c r="AD835" s="649"/>
      <c r="AE835" s="182"/>
      <c r="AF835" s="332"/>
      <c r="AG835" s="182"/>
      <c r="AH835" s="182"/>
      <c r="AI835" s="182"/>
      <c r="AJ835" s="640"/>
      <c r="AK835" s="182"/>
      <c r="AL835" s="496"/>
      <c r="AM835" s="496"/>
      <c r="AN835" s="626"/>
      <c r="AO835" s="182"/>
      <c r="AP835" s="182"/>
      <c r="AQ835" s="332" t="str">
        <f>UPPER(RIGHT(Journal_Live[[#This Row],[DURATION ]]))</f>
        <v/>
      </c>
      <c r="AR835" s="182"/>
      <c r="AS835" s="189"/>
      <c r="AT835" s="189"/>
      <c r="AU835" s="187"/>
      <c r="AV835" s="190"/>
      <c r="AW835" s="191"/>
      <c r="AX835" s="407"/>
      <c r="AY835" s="407"/>
      <c r="AZ835" s="407"/>
      <c r="BA835" s="407"/>
      <c r="BB835" s="407"/>
      <c r="BC835" s="407"/>
      <c r="BD835" s="407"/>
      <c r="BE835" s="407"/>
      <c r="BF835" s="422"/>
      <c r="BG835" s="391">
        <f>SUM($AV$4:AV835)</f>
        <v>4263.9269549063056</v>
      </c>
      <c r="BH835" s="392">
        <f>SUM($AU$134:AU835)</f>
        <v>16088.302000000318</v>
      </c>
      <c r="BI835" s="318">
        <f>SUMIFS($AU$134:AU836,$Q$134:Q836,"F")</f>
        <v>5454.5333333333328</v>
      </c>
      <c r="BJ835" s="318">
        <f>SUMIFS($AU$134:AU836,$Q$134:Q836,"S")</f>
        <v>10580.441999999999</v>
      </c>
      <c r="BK835" s="343">
        <f>SUMIFS($AU$134:AU836,$P$134:P836,"W")</f>
        <v>9979.7419999999365</v>
      </c>
      <c r="BL835" s="343">
        <f>SUMIFS($AU$134:AU836,$P$134:P836,"R")</f>
        <v>5924.673333333335</v>
      </c>
      <c r="BM835" s="343">
        <f>SUMIFS($AU$134:AU836,$AQ$134:AQ836,"M")</f>
        <v>2413.3999999999814</v>
      </c>
      <c r="BN835" s="343">
        <f>SUMIFS($AU$134:AU836,$AQ$134:AQ836,"H")</f>
        <v>4134.1420000000153</v>
      </c>
      <c r="BO835" s="343">
        <f>SUMIFS($AU$134:AU836,$AQ$134:AQ836,"D")</f>
        <v>5320.3466666667146</v>
      </c>
      <c r="BP835" s="343">
        <f>SUMIFS($AU$134:AU838,$AQ$134:AQ838,"W")</f>
        <v>3049.7833333333429</v>
      </c>
      <c r="BQ835" s="343">
        <f>SUMIFS($AU$134:AU836,$Q$134:Q836,"O")</f>
        <v>-153.87333333301802</v>
      </c>
      <c r="BR835" s="343">
        <f>SUMIFS($AU$134:AU836,$AA$134:AA836,"*")</f>
        <v>14957.475333333326</v>
      </c>
      <c r="BS835" s="343">
        <f>SUMIFS($AU$134:AU836,$AB$134:AB836,"*")</f>
        <v>5593.3266666669924</v>
      </c>
      <c r="BT835" s="343">
        <f>SUMIFS($AU$134:AU836,$AC$134:AC836,"*")</f>
        <v>8895.6833333333325</v>
      </c>
      <c r="BU835" s="343">
        <f>SUMIFS($AU$134:AU836,$AA$134:AA836,"*",$AB$134:AB836,"*")</f>
        <v>3586.0000000000045</v>
      </c>
      <c r="BV835" s="343">
        <f>SUMIFS($AU$134:AU836,$AA$134:AA836,"*",$AC$134:AC836,"*")</f>
        <v>8356.7833333333328</v>
      </c>
      <c r="BW835" s="343">
        <f>SUMIFS($AU$134:AU836,$AB$134:AB836,"*",$AC$134:AC836,"*")</f>
        <v>5374.6</v>
      </c>
      <c r="BX835" s="343">
        <f>SUMIFS($AU836:AU$1388,$Q836:Q$1388,"F")</f>
        <v>8986.133333333335</v>
      </c>
      <c r="BY835" s="343">
        <f>SUMIFS($AU836:AU$1388,$Q836:Q$1388,"S")</f>
        <v>10091.200000000001</v>
      </c>
      <c r="BZ835" s="343">
        <f>SUMIFS($AU836:AU$1388,$Q836:Q$1388,"O")</f>
        <v>-1494.9846666667804</v>
      </c>
    </row>
    <row r="836" spans="1:78" ht="15.75" customHeight="1">
      <c r="A836" s="221" t="s">
        <v>3123</v>
      </c>
      <c r="B836" s="177">
        <v>45125</v>
      </c>
      <c r="C836" s="178" t="s">
        <v>3306</v>
      </c>
      <c r="D836" s="178" t="s">
        <v>146</v>
      </c>
      <c r="E836" s="227"/>
      <c r="F836" s="180"/>
      <c r="G836" s="481" t="s">
        <v>2145</v>
      </c>
      <c r="H836" s="182"/>
      <c r="I836" s="182"/>
      <c r="J836" s="182"/>
      <c r="K836" s="183"/>
      <c r="L836" s="182">
        <v>1</v>
      </c>
      <c r="M836" s="182">
        <v>1</v>
      </c>
      <c r="N836" s="182"/>
      <c r="O836" s="183" t="s">
        <v>95</v>
      </c>
      <c r="P836" s="183" t="s">
        <v>96</v>
      </c>
      <c r="Q836" s="183" t="s">
        <v>97</v>
      </c>
      <c r="R836" s="183">
        <v>5</v>
      </c>
      <c r="S836" s="183">
        <v>0</v>
      </c>
      <c r="T836" s="183">
        <v>5</v>
      </c>
      <c r="U836" s="183" t="s">
        <v>97</v>
      </c>
      <c r="V836" s="183"/>
      <c r="W836" s="183"/>
      <c r="X836" s="183"/>
      <c r="Y836" s="184">
        <f t="shared" si="285"/>
        <v>0.01</v>
      </c>
      <c r="Z836" s="185">
        <f t="shared" si="286"/>
        <v>1600</v>
      </c>
      <c r="AA836" s="185" t="s">
        <v>99</v>
      </c>
      <c r="AB836" s="185"/>
      <c r="AC836" s="185" t="s">
        <v>3307</v>
      </c>
      <c r="AD836" s="649">
        <v>-0.03</v>
      </c>
      <c r="AE836" s="182"/>
      <c r="AF836" s="332"/>
      <c r="AG836" s="182"/>
      <c r="AH836" s="182"/>
      <c r="AI836" s="182"/>
      <c r="AJ836" s="640"/>
      <c r="AK836" s="182"/>
      <c r="AL836" s="496">
        <f>-0.03*Z836</f>
        <v>-48</v>
      </c>
      <c r="AM836" s="496">
        <f>AL836*(R836-S836)</f>
        <v>-240</v>
      </c>
      <c r="AN836" s="626"/>
      <c r="AO836" s="182"/>
      <c r="AP836" s="182" t="s">
        <v>770</v>
      </c>
      <c r="AQ836" s="332" t="str">
        <f>UPPER(RIGHT(Journal_Live[[#This Row],[DURATION ]]))</f>
        <v>D</v>
      </c>
      <c r="AR836" s="182" t="s">
        <v>3308</v>
      </c>
      <c r="AS836" s="189">
        <v>-0.03</v>
      </c>
      <c r="AT836" s="189">
        <f>IF(ISBLANK(AS836),,IF(U836="S",AD836-AS836,AS836-AD836))</f>
        <v>0</v>
      </c>
      <c r="AU836" s="187">
        <f>AV836*R836</f>
        <v>0</v>
      </c>
      <c r="AV836" s="190">
        <f>IF(ISBLANK(AS836),,(AT836*Z836))</f>
        <v>0</v>
      </c>
      <c r="AW836" s="191" t="s">
        <v>115</v>
      </c>
      <c r="AX836" s="407"/>
      <c r="AY836" s="407"/>
      <c r="AZ836" s="407"/>
      <c r="BA836" s="407"/>
      <c r="BB836" s="407"/>
      <c r="BC836" s="407"/>
      <c r="BD836" s="407"/>
      <c r="BE836" s="407"/>
      <c r="BF836" s="422"/>
      <c r="BG836" s="391">
        <f>SUM($AV$4:AV836)</f>
        <v>4263.9269549063056</v>
      </c>
      <c r="BH836" s="392">
        <f>SUM($AU$134:AU836)</f>
        <v>16088.302000000318</v>
      </c>
      <c r="BI836" s="318">
        <f>SUMIFS($AU$134:AU837,$Q$134:Q837,"F")</f>
        <v>5454.5333333333328</v>
      </c>
      <c r="BJ836" s="318">
        <f>SUMIFS($AU$134:AU837,$Q$134:Q837,"S")</f>
        <v>10772.441999999999</v>
      </c>
      <c r="BK836" s="343">
        <f>SUMIFS($AU$134:AU837,$P$134:P837,"W")</f>
        <v>10171.741999999937</v>
      </c>
      <c r="BL836" s="343">
        <f>SUMIFS($AU$134:AU837,$P$134:P837,"R")</f>
        <v>5924.673333333335</v>
      </c>
      <c r="BM836" s="343">
        <f>SUMIFS($AU$134:AU837,$AQ$134:AQ837,"M")</f>
        <v>2413.3999999999814</v>
      </c>
      <c r="BN836" s="343">
        <f>SUMIFS($AU$134:AU837,$AQ$134:AQ837,"H")</f>
        <v>4326.1420000000153</v>
      </c>
      <c r="BO836" s="343">
        <f>SUMIFS($AU$134:AU837,$AQ$134:AQ837,"D")</f>
        <v>5320.3466666667146</v>
      </c>
      <c r="BP836" s="343">
        <f>SUMIFS($AU$134:AU839,$AQ$134:AQ839,"W")</f>
        <v>3049.7833333333429</v>
      </c>
      <c r="BQ836" s="343">
        <f>SUMIFS($AU$134:AU837,$Q$134:Q837,"O")</f>
        <v>-153.87333333301802</v>
      </c>
      <c r="BR836" s="343">
        <f>SUMIFS($AU$134:AU837,$AA$134:AA837,"*")</f>
        <v>15149.475333333326</v>
      </c>
      <c r="BS836" s="343">
        <f>SUMIFS($AU$134:AU837,$AB$134:AB837,"*")</f>
        <v>5593.3266666669924</v>
      </c>
      <c r="BT836" s="343">
        <f>SUMIFS($AU$134:AU837,$AC$134:AC837,"*")</f>
        <v>8895.6833333333325</v>
      </c>
      <c r="BU836" s="343">
        <f>SUMIFS($AU$134:AU837,$AA$134:AA837,"*",$AB$134:AB837,"*")</f>
        <v>3586.0000000000045</v>
      </c>
      <c r="BV836" s="343">
        <f>SUMIFS($AU$134:AU837,$AA$134:AA837,"*",$AC$134:AC837,"*")</f>
        <v>8356.7833333333328</v>
      </c>
      <c r="BW836" s="343">
        <f>SUMIFS($AU$134:AU837,$AB$134:AB837,"*",$AC$134:AC837,"*")</f>
        <v>5374.6</v>
      </c>
      <c r="BX836" s="343">
        <f>SUMIFS($AU837:AU$1388,$Q837:Q$1388,"F")</f>
        <v>8986.133333333335</v>
      </c>
      <c r="BY836" s="343">
        <f>SUMIFS($AU837:AU$1388,$Q837:Q$1388,"S")</f>
        <v>10091.200000000001</v>
      </c>
      <c r="BZ836" s="343">
        <f>SUMIFS($AU837:AU$1388,$Q837:Q$1388,"O")</f>
        <v>-1494.9846666667804</v>
      </c>
    </row>
    <row r="837" spans="1:78" ht="15.75" customHeight="1">
      <c r="A837" s="221" t="s">
        <v>3123</v>
      </c>
      <c r="B837" s="177">
        <v>45126</v>
      </c>
      <c r="C837" s="178" t="s">
        <v>3309</v>
      </c>
      <c r="D837" s="178" t="s">
        <v>151</v>
      </c>
      <c r="E837" s="227"/>
      <c r="F837" s="180"/>
      <c r="G837" s="481" t="s">
        <v>94</v>
      </c>
      <c r="H837" s="182"/>
      <c r="I837" s="182"/>
      <c r="J837" s="182"/>
      <c r="K837" s="183"/>
      <c r="L837" s="182">
        <v>1</v>
      </c>
      <c r="M837" s="182"/>
      <c r="N837" s="182"/>
      <c r="O837" s="183" t="s">
        <v>95</v>
      </c>
      <c r="P837" s="183" t="s">
        <v>96</v>
      </c>
      <c r="Q837" s="183" t="s">
        <v>97</v>
      </c>
      <c r="R837" s="183">
        <v>7</v>
      </c>
      <c r="S837" s="183">
        <v>2</v>
      </c>
      <c r="T837" s="183">
        <v>7</v>
      </c>
      <c r="U837" s="183" t="s">
        <v>97</v>
      </c>
      <c r="V837" s="183"/>
      <c r="W837" s="183"/>
      <c r="X837" s="183"/>
      <c r="Y837" s="184">
        <f t="shared" si="285"/>
        <v>0.01</v>
      </c>
      <c r="Z837" s="185">
        <f t="shared" si="286"/>
        <v>1600</v>
      </c>
      <c r="AA837" s="185" t="s">
        <v>3310</v>
      </c>
      <c r="AB837" s="185"/>
      <c r="AC837" s="185"/>
      <c r="AD837" s="649">
        <v>0.18</v>
      </c>
      <c r="AE837" s="182"/>
      <c r="AF837" s="332"/>
      <c r="AG837" s="182"/>
      <c r="AH837" s="182"/>
      <c r="AI837" s="182"/>
      <c r="AJ837" s="640"/>
      <c r="AK837" s="182"/>
      <c r="AL837" s="496">
        <f>-0.04*Z837</f>
        <v>-64</v>
      </c>
      <c r="AM837" s="496">
        <f>AL837*(R837-S837)</f>
        <v>-320</v>
      </c>
      <c r="AN837" s="626"/>
      <c r="AO837" s="182"/>
      <c r="AP837" s="182" t="s">
        <v>1700</v>
      </c>
      <c r="AQ837" s="332" t="str">
        <f>UPPER(RIGHT(Journal_Live[[#This Row],[DURATION ]]))</f>
        <v>H</v>
      </c>
      <c r="AR837" s="182" t="s">
        <v>3311</v>
      </c>
      <c r="AS837" s="189">
        <f>(0.17*2+0.16*5)/7</f>
        <v>0.16285714285714287</v>
      </c>
      <c r="AT837" s="189">
        <f>IF(ISBLANK(AS837),,IF(U837="S",AD837-AS837,AS837-AD837))</f>
        <v>1.7142857142857126E-2</v>
      </c>
      <c r="AU837" s="187">
        <f>AV837*R837</f>
        <v>191.99999999999983</v>
      </c>
      <c r="AV837" s="190">
        <f>IF(ISBLANK(AS837),,(AT837*Z837))</f>
        <v>27.428571428571402</v>
      </c>
      <c r="AW837" s="191" t="s">
        <v>96</v>
      </c>
      <c r="AX837" s="407"/>
      <c r="AY837" s="407"/>
      <c r="AZ837" s="407"/>
      <c r="BA837" s="407"/>
      <c r="BB837" s="407"/>
      <c r="BC837" s="407"/>
      <c r="BD837" s="407"/>
      <c r="BE837" s="407"/>
      <c r="BF837" s="422"/>
      <c r="BG837" s="391">
        <f>SUM($AV$4:AV837)</f>
        <v>4291.3555263348771</v>
      </c>
      <c r="BH837" s="392">
        <f>SUM($AU$134:AU837)</f>
        <v>16280.302000000318</v>
      </c>
      <c r="BI837" s="318">
        <f>SUMIFS($AU$134:AU838,$Q$134:Q838,"F")</f>
        <v>5454.5333333333328</v>
      </c>
      <c r="BJ837" s="318">
        <f>SUMIFS($AU$134:AU838,$Q$134:Q838,"S")</f>
        <v>10772.441999999999</v>
      </c>
      <c r="BK837" s="343">
        <f>SUMIFS($AU$134:AU838,$P$134:P838,"W")</f>
        <v>10171.741999999937</v>
      </c>
      <c r="BL837" s="343">
        <f>SUMIFS($AU$134:AU838,$P$134:P838,"R")</f>
        <v>5924.673333333335</v>
      </c>
      <c r="BM837" s="343">
        <f>SUMIFS($AU$134:AU838,$AQ$134:AQ838,"M")</f>
        <v>2413.3999999999814</v>
      </c>
      <c r="BN837" s="343">
        <f>SUMIFS($AU$134:AU838,$AQ$134:AQ838,"H")</f>
        <v>4326.1420000000153</v>
      </c>
      <c r="BO837" s="343">
        <f>SUMIFS($AU$134:AU838,$AQ$134:AQ838,"D")</f>
        <v>5320.3466666667146</v>
      </c>
      <c r="BP837" s="343">
        <f>SUMIFS($AU$134:AU840,$AQ$134:AQ840,"W")</f>
        <v>3049.7833333333429</v>
      </c>
      <c r="BQ837" s="343">
        <f>SUMIFS($AU$134:AU838,$Q$134:Q838,"O")</f>
        <v>-153.87333333301802</v>
      </c>
      <c r="BR837" s="343">
        <f>SUMIFS($AU$134:AU838,$AA$134:AA838,"*")</f>
        <v>15149.475333333326</v>
      </c>
      <c r="BS837" s="343">
        <f>SUMIFS($AU$134:AU838,$AB$134:AB838,"*")</f>
        <v>5593.3266666669924</v>
      </c>
      <c r="BT837" s="343">
        <f>SUMIFS($AU$134:AU838,$AC$134:AC838,"*")</f>
        <v>8895.6833333333325</v>
      </c>
      <c r="BU837" s="343">
        <f>SUMIFS($AU$134:AU838,$AA$134:AA838,"*",$AB$134:AB838,"*")</f>
        <v>3586.0000000000045</v>
      </c>
      <c r="BV837" s="343">
        <f>SUMIFS($AU$134:AU838,$AA$134:AA838,"*",$AC$134:AC838,"*")</f>
        <v>8356.7833333333328</v>
      </c>
      <c r="BW837" s="343">
        <f>SUMIFS($AU$134:AU838,$AB$134:AB838,"*",$AC$134:AC838,"*")</f>
        <v>5374.6</v>
      </c>
      <c r="BX837" s="343">
        <f>SUMIFS($AU838:AU$1388,$Q838:Q$1388,"F")</f>
        <v>8986.133333333335</v>
      </c>
      <c r="BY837" s="343">
        <f>SUMIFS($AU838:AU$1388,$Q838:Q$1388,"S")</f>
        <v>9899.2000000000007</v>
      </c>
      <c r="BZ837" s="343">
        <f>SUMIFS($AU838:AU$1388,$Q838:Q$1388,"O")</f>
        <v>-1494.9846666667804</v>
      </c>
    </row>
    <row r="838" spans="1:78" ht="15.75" customHeight="1">
      <c r="A838" s="221" t="s">
        <v>3123</v>
      </c>
      <c r="B838" s="177">
        <v>45126</v>
      </c>
      <c r="C838" s="178" t="s">
        <v>3312</v>
      </c>
      <c r="D838" s="178" t="s">
        <v>151</v>
      </c>
      <c r="E838" s="227"/>
      <c r="F838" s="180"/>
      <c r="G838" s="181" t="s">
        <v>2145</v>
      </c>
      <c r="H838" s="182"/>
      <c r="I838" s="182"/>
      <c r="J838" s="182"/>
      <c r="K838" s="183"/>
      <c r="L838" s="182"/>
      <c r="M838" s="182"/>
      <c r="N838" s="182"/>
      <c r="O838" s="183"/>
      <c r="P838" s="183"/>
      <c r="Q838" s="183"/>
      <c r="R838" s="183"/>
      <c r="S838" s="183"/>
      <c r="T838" s="183"/>
      <c r="U838" s="183"/>
      <c r="V838" s="183"/>
      <c r="W838" s="183"/>
      <c r="X838" s="183"/>
      <c r="Y838" s="184"/>
      <c r="Z838" s="185"/>
      <c r="AA838" s="185"/>
      <c r="AB838" s="185"/>
      <c r="AC838" s="185"/>
      <c r="AD838" s="649"/>
      <c r="AE838" s="182"/>
      <c r="AF838" s="332"/>
      <c r="AG838" s="182"/>
      <c r="AH838" s="182"/>
      <c r="AI838" s="182"/>
      <c r="AJ838" s="640"/>
      <c r="AK838" s="182"/>
      <c r="AL838" s="496"/>
      <c r="AM838" s="496"/>
      <c r="AN838" s="626"/>
      <c r="AO838" s="182"/>
      <c r="AP838" s="182"/>
      <c r="AQ838" s="332" t="str">
        <f>UPPER(RIGHT(Journal_Live[[#This Row],[DURATION ]]))</f>
        <v/>
      </c>
      <c r="AR838" s="182"/>
      <c r="AS838" s="189"/>
      <c r="AT838" s="189"/>
      <c r="AU838" s="187"/>
      <c r="AV838" s="190"/>
      <c r="AW838" s="191"/>
      <c r="AX838" s="407" t="s">
        <v>3313</v>
      </c>
      <c r="AY838" s="407" t="s">
        <v>3314</v>
      </c>
      <c r="AZ838" s="407" t="s">
        <v>3315</v>
      </c>
      <c r="BA838" s="407"/>
      <c r="BB838" s="407"/>
      <c r="BC838" s="407"/>
      <c r="BD838" s="407"/>
      <c r="BE838" s="407"/>
      <c r="BF838" s="422"/>
      <c r="BG838" s="391">
        <f>SUM($AV$4:AV838)</f>
        <v>4291.3555263348771</v>
      </c>
      <c r="BH838" s="392">
        <f>SUM($AU$134:AU838)</f>
        <v>16280.302000000318</v>
      </c>
      <c r="BI838" s="318">
        <f>SUMIFS($AU$134:AU839,$Q$134:Q839,"F")</f>
        <v>5454.5333333333328</v>
      </c>
      <c r="BJ838" s="318">
        <f>SUMIFS($AU$134:AU839,$Q$134:Q839,"S")</f>
        <v>10772.441999999999</v>
      </c>
      <c r="BK838" s="343">
        <f>SUMIFS($AU$134:AU839,$P$134:P839,"W")</f>
        <v>10171.741999999937</v>
      </c>
      <c r="BL838" s="343">
        <f>SUMIFS($AU$134:AU839,$P$134:P839,"R")</f>
        <v>5924.673333333335</v>
      </c>
      <c r="BM838" s="343">
        <f>SUMIFS($AU$134:AU839,$AQ$134:AQ839,"M")</f>
        <v>2413.3999999999814</v>
      </c>
      <c r="BN838" s="343">
        <f>SUMIFS($AU$134:AU839,$AQ$134:AQ839,"H")</f>
        <v>4326.1420000000153</v>
      </c>
      <c r="BO838" s="343">
        <f>SUMIFS($AU$134:AU839,$AQ$134:AQ839,"D")</f>
        <v>5320.3466666667146</v>
      </c>
      <c r="BP838" s="343">
        <f>SUMIFS($AU$134:AU841,$AQ$134:AQ841,"W")</f>
        <v>3049.7833333333429</v>
      </c>
      <c r="BQ838" s="343">
        <f>SUMIFS($AU$134:AU839,$Q$134:Q839,"O")</f>
        <v>-153.87333333301802</v>
      </c>
      <c r="BR838" s="343">
        <f>SUMIFS($AU$134:AU839,$AA$134:AA839,"*")</f>
        <v>15149.475333333326</v>
      </c>
      <c r="BS838" s="343">
        <f>SUMIFS($AU$134:AU839,$AB$134:AB839,"*")</f>
        <v>5593.3266666669924</v>
      </c>
      <c r="BT838" s="343">
        <f>SUMIFS($AU$134:AU839,$AC$134:AC839,"*")</f>
        <v>8895.6833333333325</v>
      </c>
      <c r="BU838" s="343">
        <f>SUMIFS($AU$134:AU839,$AA$134:AA839,"*",$AB$134:AB839,"*")</f>
        <v>3586.0000000000045</v>
      </c>
      <c r="BV838" s="343">
        <f>SUMIFS($AU$134:AU839,$AA$134:AA839,"*",$AC$134:AC839,"*")</f>
        <v>8356.7833333333328</v>
      </c>
      <c r="BW838" s="343">
        <f>SUMIFS($AU$134:AU839,$AB$134:AB839,"*",$AC$134:AC839,"*")</f>
        <v>5374.6</v>
      </c>
      <c r="BX838" s="343">
        <f>SUMIFS($AU839:AU$1388,$Q839:Q$1388,"F")</f>
        <v>8986.133333333335</v>
      </c>
      <c r="BY838" s="343">
        <f>SUMIFS($AU839:AU$1388,$Q839:Q$1388,"S")</f>
        <v>9899.2000000000007</v>
      </c>
      <c r="BZ838" s="343">
        <f>SUMIFS($AU839:AU$1388,$Q839:Q$1388,"O")</f>
        <v>-1494.9846666667804</v>
      </c>
    </row>
    <row r="839" spans="1:78" ht="15.75" customHeight="1">
      <c r="A839" s="221" t="s">
        <v>3123</v>
      </c>
      <c r="B839" s="177">
        <v>45126</v>
      </c>
      <c r="C839" s="178" t="s">
        <v>2661</v>
      </c>
      <c r="D839" s="178" t="s">
        <v>151</v>
      </c>
      <c r="E839" s="227" t="s">
        <v>3316</v>
      </c>
      <c r="F839" s="180" t="s">
        <v>3317</v>
      </c>
      <c r="G839" s="181"/>
      <c r="H839" s="182"/>
      <c r="I839" s="182"/>
      <c r="J839" s="182">
        <v>1</v>
      </c>
      <c r="K839" s="183" t="s">
        <v>115</v>
      </c>
      <c r="L839" s="182"/>
      <c r="M839" s="182"/>
      <c r="N839" s="182"/>
      <c r="O839" s="183"/>
      <c r="P839" s="183"/>
      <c r="Q839" s="183"/>
      <c r="R839" s="183"/>
      <c r="S839" s="183"/>
      <c r="T839" s="183"/>
      <c r="U839" s="183"/>
      <c r="V839" s="183"/>
      <c r="W839" s="183"/>
      <c r="X839" s="183"/>
      <c r="Y839" s="184" t="str">
        <f t="shared" ref="Y839:Y850" si="287">IF(ISBLANK(O839),"",(IF(O839=UPPER("IB"),0.005,0.01)))</f>
        <v/>
      </c>
      <c r="Z839" s="185" t="str">
        <f t="shared" ref="Z839:Z850" si="288">IF(ISBLANK(O839),"",IF(O839="IB",8.63*200,IF(O839="IR",16*100,IF(O839="YT",20*100,IF(O839="YT-XT",24*200,IF(O839="TED",80*100))))))</f>
        <v/>
      </c>
      <c r="AA839" s="185"/>
      <c r="AB839" s="185"/>
      <c r="AC839" s="185"/>
      <c r="AD839" s="649"/>
      <c r="AE839" s="182"/>
      <c r="AF839" s="332"/>
      <c r="AG839" s="182"/>
      <c r="AH839" s="182"/>
      <c r="AI839" s="182"/>
      <c r="AJ839" s="640"/>
      <c r="AK839" s="182"/>
      <c r="AL839" s="496"/>
      <c r="AM839" s="496"/>
      <c r="AN839" s="626"/>
      <c r="AO839" s="182"/>
      <c r="AP839" s="182"/>
      <c r="AQ839" s="332" t="str">
        <f>UPPER(RIGHT(Journal_Live[[#This Row],[DURATION ]]))</f>
        <v/>
      </c>
      <c r="AR839" s="182"/>
      <c r="AS839" s="189"/>
      <c r="AT839" s="189"/>
      <c r="AU839" s="187"/>
      <c r="AV839" s="190"/>
      <c r="AW839" s="191"/>
      <c r="AX839" s="407" t="s">
        <v>3318</v>
      </c>
      <c r="AY839" s="407" t="s">
        <v>3319</v>
      </c>
      <c r="AZ839" s="407" t="s">
        <v>3320</v>
      </c>
      <c r="BA839" s="407"/>
      <c r="BB839" s="407"/>
      <c r="BC839" s="407"/>
      <c r="BD839" s="407"/>
      <c r="BE839" s="407"/>
      <c r="BF839" s="422"/>
      <c r="BG839" s="391">
        <f>SUM($AV$4:AV839)</f>
        <v>4291.3555263348771</v>
      </c>
      <c r="BH839" s="392">
        <f>SUM($AU$134:AU839)</f>
        <v>16280.302000000318</v>
      </c>
      <c r="BI839" s="318">
        <f>SUMIFS($AU$134:AU840,$Q$134:Q840,"F")</f>
        <v>5454.5333333333328</v>
      </c>
      <c r="BJ839" s="318">
        <f>SUMIFS($AU$134:AU840,$Q$134:Q840,"S")</f>
        <v>10772.441999999999</v>
      </c>
      <c r="BK839" s="343">
        <f>SUMIFS($AU$134:AU840,$P$134:P840,"W")</f>
        <v>10171.741999999937</v>
      </c>
      <c r="BL839" s="343">
        <f>SUMIFS($AU$134:AU840,$P$134:P840,"R")</f>
        <v>5924.673333333335</v>
      </c>
      <c r="BM839" s="343">
        <f>SUMIFS($AU$134:AU840,$AQ$134:AQ840,"M")</f>
        <v>2413.3999999999814</v>
      </c>
      <c r="BN839" s="343">
        <f>SUMIFS($AU$134:AU840,$AQ$134:AQ840,"H")</f>
        <v>4326.1420000000153</v>
      </c>
      <c r="BO839" s="343">
        <f>SUMIFS($AU$134:AU840,$AQ$134:AQ840,"D")</f>
        <v>5320.3466666667146</v>
      </c>
      <c r="BP839" s="343">
        <f>SUMIFS($AU$134:AU842,$AQ$134:AQ842,"W")</f>
        <v>3049.7833333333429</v>
      </c>
      <c r="BQ839" s="343">
        <f>SUMIFS($AU$134:AU840,$Q$134:Q840,"O")</f>
        <v>-153.87333333301802</v>
      </c>
      <c r="BR839" s="343">
        <f>SUMIFS($AU$134:AU840,$AA$134:AA840,"*")</f>
        <v>15149.475333333326</v>
      </c>
      <c r="BS839" s="343">
        <f>SUMIFS($AU$134:AU840,$AB$134:AB840,"*")</f>
        <v>5593.3266666669924</v>
      </c>
      <c r="BT839" s="343">
        <f>SUMIFS($AU$134:AU840,$AC$134:AC840,"*")</f>
        <v>8895.6833333333325</v>
      </c>
      <c r="BU839" s="343">
        <f>SUMIFS($AU$134:AU840,$AA$134:AA840,"*",$AB$134:AB840,"*")</f>
        <v>3586.0000000000045</v>
      </c>
      <c r="BV839" s="343">
        <f>SUMIFS($AU$134:AU840,$AA$134:AA840,"*",$AC$134:AC840,"*")</f>
        <v>8356.7833333333328</v>
      </c>
      <c r="BW839" s="343">
        <f>SUMIFS($AU$134:AU840,$AB$134:AB840,"*",$AC$134:AC840,"*")</f>
        <v>5374.6</v>
      </c>
      <c r="BX839" s="343">
        <f>SUMIFS($AU840:AU$1388,$Q840:Q$1388,"F")</f>
        <v>8986.133333333335</v>
      </c>
      <c r="BY839" s="343">
        <f>SUMIFS($AU840:AU$1388,$Q840:Q$1388,"S")</f>
        <v>9899.2000000000007</v>
      </c>
      <c r="BZ839" s="343">
        <f>SUMIFS($AU840:AU$1388,$Q840:Q$1388,"O")</f>
        <v>-1494.9846666667804</v>
      </c>
    </row>
    <row r="840" spans="1:78" ht="15.75" customHeight="1">
      <c r="A840" s="221" t="s">
        <v>3123</v>
      </c>
      <c r="B840" s="177"/>
      <c r="C840" s="178"/>
      <c r="D840" s="178"/>
      <c r="E840" s="227" t="s">
        <v>3321</v>
      </c>
      <c r="F840" s="180"/>
      <c r="G840" s="181"/>
      <c r="H840" s="182"/>
      <c r="I840" s="182"/>
      <c r="J840" s="182">
        <v>1</v>
      </c>
      <c r="K840" s="183" t="s">
        <v>115</v>
      </c>
      <c r="L840" s="182"/>
      <c r="M840" s="182"/>
      <c r="N840" s="182"/>
      <c r="O840" s="183"/>
      <c r="P840" s="183"/>
      <c r="Q840" s="183"/>
      <c r="R840" s="183"/>
      <c r="S840" s="183"/>
      <c r="T840" s="183"/>
      <c r="U840" s="183"/>
      <c r="V840" s="183"/>
      <c r="W840" s="183"/>
      <c r="X840" s="183"/>
      <c r="Y840" s="184" t="str">
        <f t="shared" si="287"/>
        <v/>
      </c>
      <c r="Z840" s="185" t="str">
        <f t="shared" si="288"/>
        <v/>
      </c>
      <c r="AA840" s="185"/>
      <c r="AB840" s="185"/>
      <c r="AC840" s="185"/>
      <c r="AD840" s="649"/>
      <c r="AE840" s="182"/>
      <c r="AF840" s="332"/>
      <c r="AG840" s="182"/>
      <c r="AH840" s="182"/>
      <c r="AI840" s="182"/>
      <c r="AJ840" s="640"/>
      <c r="AK840" s="182"/>
      <c r="AL840" s="496"/>
      <c r="AM840" s="496"/>
      <c r="AN840" s="626"/>
      <c r="AO840" s="182"/>
      <c r="AP840" s="182"/>
      <c r="AQ840" s="332" t="str">
        <f>UPPER(RIGHT(Journal_Live[[#This Row],[DURATION ]]))</f>
        <v/>
      </c>
      <c r="AR840" s="182"/>
      <c r="AS840" s="189"/>
      <c r="AT840" s="189"/>
      <c r="AU840" s="187"/>
      <c r="AV840" s="190"/>
      <c r="AW840" s="191"/>
      <c r="AX840" s="407"/>
      <c r="AY840" s="407"/>
      <c r="AZ840" s="407"/>
      <c r="BA840" s="407"/>
      <c r="BB840" s="407"/>
      <c r="BC840" s="407"/>
      <c r="BD840" s="407"/>
      <c r="BE840" s="407"/>
      <c r="BF840" s="422"/>
      <c r="BG840" s="391">
        <f>SUM($AV$4:AV840)</f>
        <v>4291.3555263348771</v>
      </c>
      <c r="BH840" s="392">
        <f>SUM($AU$134:AU840)</f>
        <v>16280.302000000318</v>
      </c>
      <c r="BI840" s="318">
        <f>SUMIFS($AU$134:AU841,$Q$134:Q841,"F")</f>
        <v>5454.5333333333328</v>
      </c>
      <c r="BJ840" s="318">
        <f>SUMIFS($AU$134:AU841,$Q$134:Q841,"S")</f>
        <v>10772.441999999999</v>
      </c>
      <c r="BK840" s="343">
        <f>SUMIFS($AU$134:AU841,$P$134:P841,"W")</f>
        <v>10171.741999999937</v>
      </c>
      <c r="BL840" s="343">
        <f>SUMIFS($AU$134:AU841,$P$134:P841,"R")</f>
        <v>5924.673333333335</v>
      </c>
      <c r="BM840" s="343">
        <f>SUMIFS($AU$134:AU841,$AQ$134:AQ841,"M")</f>
        <v>2413.3999999999814</v>
      </c>
      <c r="BN840" s="343">
        <f>SUMIFS($AU$134:AU841,$AQ$134:AQ841,"H")</f>
        <v>4326.1420000000153</v>
      </c>
      <c r="BO840" s="343">
        <f>SUMIFS($AU$134:AU841,$AQ$134:AQ841,"D")</f>
        <v>5320.3466666667146</v>
      </c>
      <c r="BP840" s="343">
        <f>SUMIFS($AU$134:AU843,$AQ$134:AQ843,"W")</f>
        <v>3049.7833333333429</v>
      </c>
      <c r="BQ840" s="343">
        <f>SUMIFS($AU$134:AU841,$Q$134:Q841,"O")</f>
        <v>-153.87333333301802</v>
      </c>
      <c r="BR840" s="343">
        <f>SUMIFS($AU$134:AU841,$AA$134:AA841,"*")</f>
        <v>15149.475333333326</v>
      </c>
      <c r="BS840" s="343">
        <f>SUMIFS($AU$134:AU841,$AB$134:AB841,"*")</f>
        <v>5593.3266666669924</v>
      </c>
      <c r="BT840" s="343">
        <f>SUMIFS($AU$134:AU841,$AC$134:AC841,"*")</f>
        <v>8895.6833333333325</v>
      </c>
      <c r="BU840" s="343">
        <f>SUMIFS($AU$134:AU841,$AA$134:AA841,"*",$AB$134:AB841,"*")</f>
        <v>3586.0000000000045</v>
      </c>
      <c r="BV840" s="343">
        <f>SUMIFS($AU$134:AU841,$AA$134:AA841,"*",$AC$134:AC841,"*")</f>
        <v>8356.7833333333328</v>
      </c>
      <c r="BW840" s="343">
        <f>SUMIFS($AU$134:AU841,$AB$134:AB841,"*",$AC$134:AC841,"*")</f>
        <v>5374.6</v>
      </c>
      <c r="BX840" s="343">
        <f>SUMIFS($AU841:AU$1388,$Q841:Q$1388,"F")</f>
        <v>8986.133333333335</v>
      </c>
      <c r="BY840" s="343">
        <f>SUMIFS($AU841:AU$1388,$Q841:Q$1388,"S")</f>
        <v>9899.2000000000007</v>
      </c>
      <c r="BZ840" s="343">
        <f>SUMIFS($AU841:AU$1388,$Q841:Q$1388,"O")</f>
        <v>-1494.9846666667804</v>
      </c>
    </row>
    <row r="841" spans="1:78" ht="15.75" customHeight="1">
      <c r="A841" s="221" t="s">
        <v>3123</v>
      </c>
      <c r="B841" s="177">
        <v>45126</v>
      </c>
      <c r="C841" s="178" t="s">
        <v>2407</v>
      </c>
      <c r="D841" s="178" t="s">
        <v>151</v>
      </c>
      <c r="E841" s="227" t="s">
        <v>3322</v>
      </c>
      <c r="F841" s="180" t="s">
        <v>3323</v>
      </c>
      <c r="G841" s="181"/>
      <c r="H841" s="182">
        <v>1</v>
      </c>
      <c r="I841" s="182"/>
      <c r="J841" s="182"/>
      <c r="K841" s="183" t="s">
        <v>372</v>
      </c>
      <c r="L841" s="182"/>
      <c r="M841" s="182"/>
      <c r="N841" s="182"/>
      <c r="O841" s="183"/>
      <c r="P841" s="183"/>
      <c r="Q841" s="183"/>
      <c r="R841" s="183"/>
      <c r="S841" s="183"/>
      <c r="T841" s="183"/>
      <c r="U841" s="183"/>
      <c r="V841" s="183"/>
      <c r="W841" s="183"/>
      <c r="X841" s="183"/>
      <c r="Y841" s="184" t="str">
        <f t="shared" si="287"/>
        <v/>
      </c>
      <c r="Z841" s="185" t="str">
        <f t="shared" si="288"/>
        <v/>
      </c>
      <c r="AA841" s="185"/>
      <c r="AB841" s="185"/>
      <c r="AC841" s="185"/>
      <c r="AD841" s="649"/>
      <c r="AE841" s="182"/>
      <c r="AF841" s="332"/>
      <c r="AG841" s="182"/>
      <c r="AH841" s="182"/>
      <c r="AI841" s="182"/>
      <c r="AJ841" s="640"/>
      <c r="AK841" s="182"/>
      <c r="AL841" s="496"/>
      <c r="AM841" s="496"/>
      <c r="AN841" s="626"/>
      <c r="AO841" s="182"/>
      <c r="AP841" s="182"/>
      <c r="AQ841" s="332" t="str">
        <f>UPPER(RIGHT(Journal_Live[[#This Row],[DURATION ]]))</f>
        <v/>
      </c>
      <c r="AR841" s="182"/>
      <c r="AS841" s="189"/>
      <c r="AT841" s="189"/>
      <c r="AU841" s="187"/>
      <c r="AV841" s="190"/>
      <c r="AW841" s="191"/>
      <c r="AX841" s="407"/>
      <c r="AY841" s="407"/>
      <c r="AZ841" s="407"/>
      <c r="BA841" s="407"/>
      <c r="BB841" s="407"/>
      <c r="BC841" s="407"/>
      <c r="BD841" s="407"/>
      <c r="BE841" s="407"/>
      <c r="BF841" s="422"/>
      <c r="BG841" s="391">
        <f>SUM($AV$4:AV841)</f>
        <v>4291.3555263348771</v>
      </c>
      <c r="BH841" s="392">
        <f>SUM($AU$134:AU841)</f>
        <v>16280.302000000318</v>
      </c>
      <c r="BI841" s="318">
        <f>SUMIFS($AU$134:AU842,$Q$134:Q842,"F")</f>
        <v>5454.5333333333328</v>
      </c>
      <c r="BJ841" s="318">
        <f>SUMIFS($AU$134:AU842,$Q$134:Q842,"S")</f>
        <v>10772.441999999999</v>
      </c>
      <c r="BK841" s="343">
        <f>SUMIFS($AU$134:AU842,$P$134:P842,"W")</f>
        <v>10171.741999999937</v>
      </c>
      <c r="BL841" s="343">
        <f>SUMIFS($AU$134:AU842,$P$134:P842,"R")</f>
        <v>5924.673333333335</v>
      </c>
      <c r="BM841" s="343">
        <f>SUMIFS($AU$134:AU842,$AQ$134:AQ842,"M")</f>
        <v>2413.3999999999814</v>
      </c>
      <c r="BN841" s="343">
        <f>SUMIFS($AU$134:AU842,$AQ$134:AQ842,"H")</f>
        <v>4326.1420000000153</v>
      </c>
      <c r="BO841" s="343">
        <f>SUMIFS($AU$134:AU842,$AQ$134:AQ842,"D")</f>
        <v>5320.3466666667146</v>
      </c>
      <c r="BP841" s="343">
        <f>SUMIFS($AU$134:AU844,$AQ$134:AQ844,"W")</f>
        <v>3049.7833333333429</v>
      </c>
      <c r="BQ841" s="343">
        <f>SUMIFS($AU$134:AU842,$Q$134:Q842,"O")</f>
        <v>-153.87333333301802</v>
      </c>
      <c r="BR841" s="343">
        <f>SUMIFS($AU$134:AU842,$AA$134:AA842,"*")</f>
        <v>15149.475333333326</v>
      </c>
      <c r="BS841" s="343">
        <f>SUMIFS($AU$134:AU842,$AB$134:AB842,"*")</f>
        <v>5593.3266666669924</v>
      </c>
      <c r="BT841" s="343">
        <f>SUMIFS($AU$134:AU842,$AC$134:AC842,"*")</f>
        <v>8895.6833333333325</v>
      </c>
      <c r="BU841" s="343">
        <f>SUMIFS($AU$134:AU842,$AA$134:AA842,"*",$AB$134:AB842,"*")</f>
        <v>3586.0000000000045</v>
      </c>
      <c r="BV841" s="343">
        <f>SUMIFS($AU$134:AU842,$AA$134:AA842,"*",$AC$134:AC842,"*")</f>
        <v>8356.7833333333328</v>
      </c>
      <c r="BW841" s="343">
        <f>SUMIFS($AU$134:AU842,$AB$134:AB842,"*",$AC$134:AC842,"*")</f>
        <v>5374.6</v>
      </c>
      <c r="BX841" s="343">
        <f>SUMIFS($AU842:AU$1388,$Q842:Q$1388,"F")</f>
        <v>8986.133333333335</v>
      </c>
      <c r="BY841" s="343">
        <f>SUMIFS($AU842:AU$1388,$Q842:Q$1388,"S")</f>
        <v>9899.2000000000007</v>
      </c>
      <c r="BZ841" s="343">
        <f>SUMIFS($AU842:AU$1388,$Q842:Q$1388,"O")</f>
        <v>-1494.9846666667804</v>
      </c>
    </row>
    <row r="842" spans="1:78" ht="15.75" customHeight="1">
      <c r="A842" s="221" t="s">
        <v>3123</v>
      </c>
      <c r="B842" s="177"/>
      <c r="C842" s="178"/>
      <c r="D842" s="178"/>
      <c r="E842" s="227" t="s">
        <v>3324</v>
      </c>
      <c r="F842" s="180"/>
      <c r="G842" s="181"/>
      <c r="H842" s="182">
        <v>1</v>
      </c>
      <c r="I842" s="182"/>
      <c r="J842" s="182"/>
      <c r="K842" s="183" t="s">
        <v>372</v>
      </c>
      <c r="L842" s="182"/>
      <c r="M842" s="182"/>
      <c r="N842" s="182"/>
      <c r="O842" s="183"/>
      <c r="P842" s="183"/>
      <c r="Q842" s="183"/>
      <c r="R842" s="183"/>
      <c r="S842" s="183"/>
      <c r="T842" s="183"/>
      <c r="U842" s="183"/>
      <c r="V842" s="183"/>
      <c r="W842" s="183"/>
      <c r="X842" s="183"/>
      <c r="Y842" s="184" t="str">
        <f t="shared" si="287"/>
        <v/>
      </c>
      <c r="Z842" s="185" t="str">
        <f t="shared" si="288"/>
        <v/>
      </c>
      <c r="AA842" s="185"/>
      <c r="AB842" s="185"/>
      <c r="AC842" s="185"/>
      <c r="AD842" s="649"/>
      <c r="AE842" s="182"/>
      <c r="AF842" s="332"/>
      <c r="AG842" s="182"/>
      <c r="AH842" s="182"/>
      <c r="AI842" s="182"/>
      <c r="AJ842" s="640"/>
      <c r="AK842" s="182"/>
      <c r="AL842" s="496"/>
      <c r="AM842" s="496"/>
      <c r="AN842" s="626"/>
      <c r="AO842" s="182"/>
      <c r="AP842" s="182"/>
      <c r="AQ842" s="332" t="str">
        <f>UPPER(RIGHT(Journal_Live[[#This Row],[DURATION ]]))</f>
        <v/>
      </c>
      <c r="AR842" s="182"/>
      <c r="AS842" s="189"/>
      <c r="AT842" s="189"/>
      <c r="AU842" s="187"/>
      <c r="AV842" s="190"/>
      <c r="AW842" s="191"/>
      <c r="AX842" s="407"/>
      <c r="AY842" s="407"/>
      <c r="AZ842" s="407"/>
      <c r="BA842" s="407"/>
      <c r="BB842" s="407"/>
      <c r="BC842" s="407"/>
      <c r="BD842" s="407"/>
      <c r="BE842" s="407"/>
      <c r="BF842" s="422"/>
      <c r="BG842" s="391">
        <f>SUM($AV$4:AV842)</f>
        <v>4291.3555263348771</v>
      </c>
      <c r="BH842" s="392">
        <f>SUM($AU$134:AU842)</f>
        <v>16280.302000000318</v>
      </c>
      <c r="BI842" s="318">
        <f>SUMIFS($AU$134:AU843,$Q$134:Q843,"F")</f>
        <v>5454.5333333333328</v>
      </c>
      <c r="BJ842" s="318">
        <f>SUMIFS($AU$134:AU843,$Q$134:Q843,"S")</f>
        <v>10772.441999999999</v>
      </c>
      <c r="BK842" s="343">
        <f>SUMIFS($AU$134:AU843,$P$134:P843,"W")</f>
        <v>10171.741999999937</v>
      </c>
      <c r="BL842" s="343">
        <f>SUMIFS($AU$134:AU843,$P$134:P843,"R")</f>
        <v>5924.673333333335</v>
      </c>
      <c r="BM842" s="343">
        <f>SUMIFS($AU$134:AU843,$AQ$134:AQ843,"M")</f>
        <v>2413.3999999999814</v>
      </c>
      <c r="BN842" s="343">
        <f>SUMIFS($AU$134:AU843,$AQ$134:AQ843,"H")</f>
        <v>4326.1420000000153</v>
      </c>
      <c r="BO842" s="343">
        <f>SUMIFS($AU$134:AU843,$AQ$134:AQ843,"D")</f>
        <v>5320.3466666667146</v>
      </c>
      <c r="BP842" s="343">
        <f>SUMIFS($AU$134:AU845,$AQ$134:AQ845,"W")</f>
        <v>3049.7833333333429</v>
      </c>
      <c r="BQ842" s="343">
        <f>SUMIFS($AU$134:AU843,$Q$134:Q843,"O")</f>
        <v>-153.87333333301802</v>
      </c>
      <c r="BR842" s="343">
        <f>SUMIFS($AU$134:AU843,$AA$134:AA843,"*")</f>
        <v>15149.475333333326</v>
      </c>
      <c r="BS842" s="343">
        <f>SUMIFS($AU$134:AU843,$AB$134:AB843,"*")</f>
        <v>5593.3266666669924</v>
      </c>
      <c r="BT842" s="343">
        <f>SUMIFS($AU$134:AU843,$AC$134:AC843,"*")</f>
        <v>8895.6833333333325</v>
      </c>
      <c r="BU842" s="343">
        <f>SUMIFS($AU$134:AU843,$AA$134:AA843,"*",$AB$134:AB843,"*")</f>
        <v>3586.0000000000045</v>
      </c>
      <c r="BV842" s="343">
        <f>SUMIFS($AU$134:AU843,$AA$134:AA843,"*",$AC$134:AC843,"*")</f>
        <v>8356.7833333333328</v>
      </c>
      <c r="BW842" s="343">
        <f>SUMIFS($AU$134:AU843,$AB$134:AB843,"*",$AC$134:AC843,"*")</f>
        <v>5374.6</v>
      </c>
      <c r="BX842" s="343">
        <f>SUMIFS($AU843:AU$1388,$Q843:Q$1388,"F")</f>
        <v>8986.133333333335</v>
      </c>
      <c r="BY842" s="343">
        <f>SUMIFS($AU843:AU$1388,$Q843:Q$1388,"S")</f>
        <v>9899.2000000000007</v>
      </c>
      <c r="BZ842" s="343">
        <f>SUMIFS($AU843:AU$1388,$Q843:Q$1388,"O")</f>
        <v>-1494.9846666667804</v>
      </c>
    </row>
    <row r="843" spans="1:78" ht="15.75" customHeight="1">
      <c r="A843" s="221" t="s">
        <v>3123</v>
      </c>
      <c r="B843" s="177"/>
      <c r="C843" s="178"/>
      <c r="D843" s="178"/>
      <c r="E843" s="227" t="s">
        <v>3325</v>
      </c>
      <c r="F843" s="180"/>
      <c r="G843" s="181"/>
      <c r="H843" s="182"/>
      <c r="I843" s="182">
        <v>1</v>
      </c>
      <c r="J843" s="182"/>
      <c r="K843" s="183"/>
      <c r="L843" s="182"/>
      <c r="M843" s="182"/>
      <c r="N843" s="182"/>
      <c r="O843" s="183"/>
      <c r="P843" s="183"/>
      <c r="Q843" s="183"/>
      <c r="R843" s="183"/>
      <c r="S843" s="183"/>
      <c r="T843" s="183"/>
      <c r="U843" s="183"/>
      <c r="V843" s="183"/>
      <c r="W843" s="183"/>
      <c r="X843" s="183"/>
      <c r="Y843" s="184" t="str">
        <f t="shared" si="287"/>
        <v/>
      </c>
      <c r="Z843" s="185" t="str">
        <f t="shared" si="288"/>
        <v/>
      </c>
      <c r="AA843" s="185"/>
      <c r="AB843" s="185"/>
      <c r="AC843" s="185"/>
      <c r="AD843" s="649"/>
      <c r="AE843" s="182"/>
      <c r="AF843" s="332"/>
      <c r="AG843" s="182"/>
      <c r="AH843" s="182"/>
      <c r="AI843" s="182"/>
      <c r="AJ843" s="640"/>
      <c r="AK843" s="182"/>
      <c r="AL843" s="496"/>
      <c r="AM843" s="496"/>
      <c r="AN843" s="626"/>
      <c r="AO843" s="182"/>
      <c r="AP843" s="182"/>
      <c r="AQ843" s="332" t="str">
        <f>UPPER(RIGHT(Journal_Live[[#This Row],[DURATION ]]))</f>
        <v/>
      </c>
      <c r="AR843" s="182"/>
      <c r="AS843" s="189"/>
      <c r="AT843" s="189"/>
      <c r="AU843" s="187"/>
      <c r="AV843" s="190"/>
      <c r="AW843" s="191"/>
      <c r="AX843" s="407"/>
      <c r="AY843" s="407"/>
      <c r="AZ843" s="407"/>
      <c r="BA843" s="407"/>
      <c r="BB843" s="407"/>
      <c r="BC843" s="407"/>
      <c r="BD843" s="407"/>
      <c r="BE843" s="407"/>
      <c r="BF843" s="422"/>
      <c r="BG843" s="391">
        <f>SUM($AV$4:AV843)</f>
        <v>4291.3555263348771</v>
      </c>
      <c r="BH843" s="392">
        <f>SUM($AU$134:AU843)</f>
        <v>16280.302000000318</v>
      </c>
      <c r="BI843" s="318">
        <f>SUMIFS($AU$134:AU844,$Q$134:Q844,"F")</f>
        <v>5454.5333333333328</v>
      </c>
      <c r="BJ843" s="318">
        <f>SUMIFS($AU$134:AU844,$Q$134:Q844,"S")</f>
        <v>10852.441999999999</v>
      </c>
      <c r="BK843" s="343">
        <f>SUMIFS($AU$134:AU844,$P$134:P844,"W")</f>
        <v>10251.741999999937</v>
      </c>
      <c r="BL843" s="343">
        <f>SUMIFS($AU$134:AU844,$P$134:P844,"R")</f>
        <v>5924.673333333335</v>
      </c>
      <c r="BM843" s="343">
        <f>SUMIFS($AU$134:AU844,$AQ$134:AQ844,"M")</f>
        <v>2413.3999999999814</v>
      </c>
      <c r="BN843" s="343">
        <f>SUMIFS($AU$134:AU844,$AQ$134:AQ844,"H")</f>
        <v>4406.1420000000153</v>
      </c>
      <c r="BO843" s="343">
        <f>SUMIFS($AU$134:AU844,$AQ$134:AQ844,"D")</f>
        <v>5320.3466666667146</v>
      </c>
      <c r="BP843" s="343">
        <f>SUMIFS($AU$134:AU846,$AQ$134:AQ846,"W")</f>
        <v>3049.7833333333429</v>
      </c>
      <c r="BQ843" s="343">
        <f>SUMIFS($AU$134:AU844,$Q$134:Q844,"O")</f>
        <v>-153.87333333301802</v>
      </c>
      <c r="BR843" s="343">
        <f>SUMIFS($AU$134:AU844,$AA$134:AA844,"*")</f>
        <v>15229.475333333326</v>
      </c>
      <c r="BS843" s="343">
        <f>SUMIFS($AU$134:AU844,$AB$134:AB844,"*")</f>
        <v>5593.3266666669924</v>
      </c>
      <c r="BT843" s="343">
        <f>SUMIFS($AU$134:AU844,$AC$134:AC844,"*")</f>
        <v>8895.6833333333325</v>
      </c>
      <c r="BU843" s="343">
        <f>SUMIFS($AU$134:AU844,$AA$134:AA844,"*",$AB$134:AB844,"*")</f>
        <v>3586.0000000000045</v>
      </c>
      <c r="BV843" s="343">
        <f>SUMIFS($AU$134:AU844,$AA$134:AA844,"*",$AC$134:AC844,"*")</f>
        <v>8356.7833333333328</v>
      </c>
      <c r="BW843" s="343">
        <f>SUMIFS($AU$134:AU844,$AB$134:AB844,"*",$AC$134:AC844,"*")</f>
        <v>5374.6</v>
      </c>
      <c r="BX843" s="343">
        <f>SUMIFS($AU844:AU$1388,$Q844:Q$1388,"F")</f>
        <v>8986.133333333335</v>
      </c>
      <c r="BY843" s="343">
        <f>SUMIFS($AU844:AU$1388,$Q844:Q$1388,"S")</f>
        <v>9899.2000000000007</v>
      </c>
      <c r="BZ843" s="343">
        <f>SUMIFS($AU844:AU$1388,$Q844:Q$1388,"O")</f>
        <v>-1494.9846666667804</v>
      </c>
    </row>
    <row r="844" spans="1:78" ht="15.75" customHeight="1">
      <c r="A844" s="221" t="s">
        <v>3123</v>
      </c>
      <c r="B844" s="177">
        <v>45126</v>
      </c>
      <c r="C844" s="178" t="s">
        <v>3326</v>
      </c>
      <c r="D844" s="178" t="s">
        <v>151</v>
      </c>
      <c r="E844" s="227"/>
      <c r="F844" s="180"/>
      <c r="G844" s="181" t="s">
        <v>2145</v>
      </c>
      <c r="H844" s="182"/>
      <c r="I844" s="182"/>
      <c r="J844" s="182"/>
      <c r="K844" s="183"/>
      <c r="L844" s="182">
        <v>1</v>
      </c>
      <c r="M844" s="182"/>
      <c r="N844" s="182"/>
      <c r="O844" s="183" t="s">
        <v>95</v>
      </c>
      <c r="P844" s="183" t="s">
        <v>96</v>
      </c>
      <c r="Q844" s="183" t="s">
        <v>97</v>
      </c>
      <c r="R844" s="183">
        <v>5</v>
      </c>
      <c r="S844" s="183">
        <v>0</v>
      </c>
      <c r="T844" s="183">
        <v>5</v>
      </c>
      <c r="U844" s="183" t="s">
        <v>97</v>
      </c>
      <c r="V844" s="183"/>
      <c r="W844" s="183"/>
      <c r="X844" s="183"/>
      <c r="Y844" s="184">
        <f t="shared" si="287"/>
        <v>0.01</v>
      </c>
      <c r="Z844" s="185">
        <f t="shared" si="288"/>
        <v>1600</v>
      </c>
      <c r="AA844" s="185" t="s">
        <v>99</v>
      </c>
      <c r="AB844" s="185"/>
      <c r="AC844" s="185"/>
      <c r="AD844" s="649">
        <v>0.03</v>
      </c>
      <c r="AE844" s="182"/>
      <c r="AF844" s="332"/>
      <c r="AG844" s="182"/>
      <c r="AH844" s="182"/>
      <c r="AI844" s="182"/>
      <c r="AJ844" s="640"/>
      <c r="AK844" s="182"/>
      <c r="AL844" s="496">
        <f t="shared" ref="AL844" si="289">-0.04*Z844</f>
        <v>-64</v>
      </c>
      <c r="AM844" s="496">
        <f>AL844*(R844-S844)</f>
        <v>-320</v>
      </c>
      <c r="AN844" s="626"/>
      <c r="AO844" s="182"/>
      <c r="AP844" s="182" t="s">
        <v>682</v>
      </c>
      <c r="AQ844" s="332" t="s">
        <v>372</v>
      </c>
      <c r="AR844" s="182" t="s">
        <v>3327</v>
      </c>
      <c r="AS844" s="189">
        <v>0.02</v>
      </c>
      <c r="AT844" s="189">
        <f>IF(ISBLANK(AS844),,IF(U844="S",AD844-AS844,AS844-AD844))</f>
        <v>9.9999999999999985E-3</v>
      </c>
      <c r="AU844" s="187">
        <f>AV844*R844</f>
        <v>79.999999999999986</v>
      </c>
      <c r="AV844" s="190">
        <f>IF(ISBLANK(AS844),,(AT844*Z844))</f>
        <v>15.999999999999998</v>
      </c>
      <c r="AW844" s="191" t="s">
        <v>96</v>
      </c>
      <c r="AX844" s="407"/>
      <c r="AY844" s="407"/>
      <c r="AZ844" s="407"/>
      <c r="BA844" s="407"/>
      <c r="BB844" s="407"/>
      <c r="BC844" s="407"/>
      <c r="BD844" s="407"/>
      <c r="BE844" s="407"/>
      <c r="BF844" s="422"/>
      <c r="BG844" s="391">
        <f>SUM($AV$4:AV844)</f>
        <v>4307.3555263348771</v>
      </c>
      <c r="BH844" s="392">
        <f>SUM($AU$134:AU844)</f>
        <v>16360.302000000318</v>
      </c>
      <c r="BI844" s="318">
        <f>SUMIFS($AU$134:AU845,$Q$134:Q845,"F")</f>
        <v>5454.5333333333328</v>
      </c>
      <c r="BJ844" s="318">
        <f>SUMIFS($AU$134:AU845,$Q$134:Q845,"S")</f>
        <v>10852.441999999999</v>
      </c>
      <c r="BK844" s="343">
        <f>SUMIFS($AU$134:AU845,$P$134:P845,"W")</f>
        <v>10251.741999999937</v>
      </c>
      <c r="BL844" s="343">
        <f>SUMIFS($AU$134:AU845,$P$134:P845,"R")</f>
        <v>5924.673333333335</v>
      </c>
      <c r="BM844" s="343">
        <f>SUMIFS($AU$134:AU845,$AQ$134:AQ845,"M")</f>
        <v>2413.3999999999814</v>
      </c>
      <c r="BN844" s="343">
        <f>SUMIFS($AU$134:AU845,$AQ$134:AQ845,"H")</f>
        <v>4406.1420000000153</v>
      </c>
      <c r="BO844" s="343">
        <f>SUMIFS($AU$134:AU845,$AQ$134:AQ845,"D")</f>
        <v>5320.3466666667146</v>
      </c>
      <c r="BP844" s="343">
        <f>SUMIFS($AU$134:AU847,$AQ$134:AQ847,"W")</f>
        <v>3049.7833333333429</v>
      </c>
      <c r="BQ844" s="343">
        <f>SUMIFS($AU$134:AU845,$Q$134:Q845,"O")</f>
        <v>-153.87333333301802</v>
      </c>
      <c r="BR844" s="343">
        <f>SUMIFS($AU$134:AU845,$AA$134:AA845,"*")</f>
        <v>15229.475333333326</v>
      </c>
      <c r="BS844" s="343">
        <f>SUMIFS($AU$134:AU845,$AB$134:AB845,"*")</f>
        <v>5593.3266666669924</v>
      </c>
      <c r="BT844" s="343">
        <f>SUMIFS($AU$134:AU845,$AC$134:AC845,"*")</f>
        <v>8895.6833333333325</v>
      </c>
      <c r="BU844" s="343">
        <f>SUMIFS($AU$134:AU845,$AA$134:AA845,"*",$AB$134:AB845,"*")</f>
        <v>3586.0000000000045</v>
      </c>
      <c r="BV844" s="343">
        <f>SUMIFS($AU$134:AU845,$AA$134:AA845,"*",$AC$134:AC845,"*")</f>
        <v>8356.7833333333328</v>
      </c>
      <c r="BW844" s="343">
        <f>SUMIFS($AU$134:AU845,$AB$134:AB845,"*",$AC$134:AC845,"*")</f>
        <v>5374.6</v>
      </c>
      <c r="BX844" s="343">
        <f>SUMIFS($AU845:AU$1388,$Q845:Q$1388,"F")</f>
        <v>8986.133333333335</v>
      </c>
      <c r="BY844" s="343">
        <f>SUMIFS($AU845:AU$1388,$Q845:Q$1388,"S")</f>
        <v>9819.1999999999989</v>
      </c>
      <c r="BZ844" s="343">
        <f>SUMIFS($AU845:AU$1388,$Q845:Q$1388,"O")</f>
        <v>-1494.9846666667804</v>
      </c>
    </row>
    <row r="845" spans="1:78" ht="15.75" customHeight="1">
      <c r="A845" s="221" t="s">
        <v>3123</v>
      </c>
      <c r="B845" s="177">
        <v>45127</v>
      </c>
      <c r="C845" s="178" t="s">
        <v>2081</v>
      </c>
      <c r="D845" s="178" t="s">
        <v>93</v>
      </c>
      <c r="E845" s="227" t="s">
        <v>3328</v>
      </c>
      <c r="F845" s="180"/>
      <c r="G845" s="181"/>
      <c r="H845" s="182">
        <v>1</v>
      </c>
      <c r="I845" s="182"/>
      <c r="J845" s="182"/>
      <c r="K845" s="183" t="s">
        <v>372</v>
      </c>
      <c r="L845" s="182"/>
      <c r="M845" s="182"/>
      <c r="N845" s="182"/>
      <c r="O845" s="183"/>
      <c r="P845" s="183"/>
      <c r="Q845" s="183"/>
      <c r="R845" s="183"/>
      <c r="S845" s="183"/>
      <c r="T845" s="183"/>
      <c r="U845" s="183"/>
      <c r="V845" s="183"/>
      <c r="W845" s="183"/>
      <c r="X845" s="183"/>
      <c r="Y845" s="184" t="str">
        <f t="shared" si="287"/>
        <v/>
      </c>
      <c r="Z845" s="185" t="str">
        <f t="shared" si="288"/>
        <v/>
      </c>
      <c r="AA845" s="185"/>
      <c r="AB845" s="185"/>
      <c r="AC845" s="185"/>
      <c r="AD845" s="649"/>
      <c r="AE845" s="182"/>
      <c r="AF845" s="332"/>
      <c r="AG845" s="182"/>
      <c r="AH845" s="182"/>
      <c r="AI845" s="182"/>
      <c r="AJ845" s="640"/>
      <c r="AK845" s="182"/>
      <c r="AL845" s="496"/>
      <c r="AM845" s="496"/>
      <c r="AN845" s="626"/>
      <c r="AO845" s="182"/>
      <c r="AP845" s="182"/>
      <c r="AQ845" s="332" t="str">
        <f>UPPER(RIGHT(Journal_Live[[#This Row],[DURATION ]]))</f>
        <v/>
      </c>
      <c r="AR845" s="182"/>
      <c r="AS845" s="189"/>
      <c r="AT845" s="189"/>
      <c r="AU845" s="187"/>
      <c r="AV845" s="190"/>
      <c r="AW845" s="191"/>
      <c r="AX845" s="407" t="s">
        <v>3329</v>
      </c>
      <c r="AY845" s="407" t="s">
        <v>3330</v>
      </c>
      <c r="AZ845" s="407" t="s">
        <v>3331</v>
      </c>
      <c r="BA845" s="407" t="s">
        <v>3332</v>
      </c>
      <c r="BB845" s="407"/>
      <c r="BC845" s="407"/>
      <c r="BD845" s="407"/>
      <c r="BE845" s="407"/>
      <c r="BF845" s="422"/>
      <c r="BG845" s="391">
        <f>SUM($AV$4:AV845)</f>
        <v>4307.3555263348771</v>
      </c>
      <c r="BH845" s="392">
        <f>SUM($AU$134:AU845)</f>
        <v>16360.302000000318</v>
      </c>
      <c r="BI845" s="318">
        <f>SUMIFS($AU$134:AU846,$Q$134:Q846,"F")</f>
        <v>5454.5333333333328</v>
      </c>
      <c r="BJ845" s="318">
        <f>SUMIFS($AU$134:AU846,$Q$134:Q846,"S")</f>
        <v>10852.441999999999</v>
      </c>
      <c r="BK845" s="343">
        <f>SUMIFS($AU$134:AU846,$P$134:P846,"W")</f>
        <v>10251.741999999937</v>
      </c>
      <c r="BL845" s="343">
        <f>SUMIFS($AU$134:AU846,$P$134:P846,"R")</f>
        <v>5924.673333333335</v>
      </c>
      <c r="BM845" s="343">
        <f>SUMIFS($AU$134:AU846,$AQ$134:AQ846,"M")</f>
        <v>2413.3999999999814</v>
      </c>
      <c r="BN845" s="343">
        <f>SUMIFS($AU$134:AU846,$AQ$134:AQ846,"H")</f>
        <v>4406.1420000000153</v>
      </c>
      <c r="BO845" s="343">
        <f>SUMIFS($AU$134:AU846,$AQ$134:AQ846,"D")</f>
        <v>5320.3466666667146</v>
      </c>
      <c r="BP845" s="343">
        <f>SUMIFS($AU$134:AU848,$AQ$134:AQ848,"W")</f>
        <v>3049.7833333333429</v>
      </c>
      <c r="BQ845" s="343">
        <f>SUMIFS($AU$134:AU846,$Q$134:Q846,"O")</f>
        <v>-153.87333333301802</v>
      </c>
      <c r="BR845" s="343">
        <f>SUMIFS($AU$134:AU846,$AA$134:AA846,"*")</f>
        <v>15229.475333333326</v>
      </c>
      <c r="BS845" s="343">
        <f>SUMIFS($AU$134:AU846,$AB$134:AB846,"*")</f>
        <v>5593.3266666669924</v>
      </c>
      <c r="BT845" s="343">
        <f>SUMIFS($AU$134:AU846,$AC$134:AC846,"*")</f>
        <v>8895.6833333333325</v>
      </c>
      <c r="BU845" s="343">
        <f>SUMIFS($AU$134:AU846,$AA$134:AA846,"*",$AB$134:AB846,"*")</f>
        <v>3586.0000000000045</v>
      </c>
      <c r="BV845" s="343">
        <f>SUMIFS($AU$134:AU846,$AA$134:AA846,"*",$AC$134:AC846,"*")</f>
        <v>8356.7833333333328</v>
      </c>
      <c r="BW845" s="343">
        <f>SUMIFS($AU$134:AU846,$AB$134:AB846,"*",$AC$134:AC846,"*")</f>
        <v>5374.6</v>
      </c>
      <c r="BX845" s="343">
        <f>SUMIFS($AU846:AU$1388,$Q846:Q$1388,"F")</f>
        <v>8986.133333333335</v>
      </c>
      <c r="BY845" s="343">
        <f>SUMIFS($AU846:AU$1388,$Q846:Q$1388,"S")</f>
        <v>9819.1999999999989</v>
      </c>
      <c r="BZ845" s="343">
        <f>SUMIFS($AU846:AU$1388,$Q846:Q$1388,"O")</f>
        <v>-1494.9846666667804</v>
      </c>
    </row>
    <row r="846" spans="1:78" ht="15.75" customHeight="1">
      <c r="A846" s="221" t="s">
        <v>3123</v>
      </c>
      <c r="B846" s="177"/>
      <c r="C846" s="178"/>
      <c r="D846" s="178"/>
      <c r="E846" s="227" t="s">
        <v>3333</v>
      </c>
      <c r="F846" s="180"/>
      <c r="G846" s="181"/>
      <c r="H846" s="182"/>
      <c r="I846" s="182">
        <v>1</v>
      </c>
      <c r="J846" s="182"/>
      <c r="K846" s="183"/>
      <c r="L846" s="182"/>
      <c r="M846" s="182"/>
      <c r="N846" s="182"/>
      <c r="O846" s="183"/>
      <c r="P846" s="183"/>
      <c r="Q846" s="183"/>
      <c r="R846" s="183"/>
      <c r="S846" s="183"/>
      <c r="T846" s="183"/>
      <c r="U846" s="183"/>
      <c r="V846" s="183"/>
      <c r="W846" s="183"/>
      <c r="X846" s="183"/>
      <c r="Y846" s="184" t="str">
        <f t="shared" si="287"/>
        <v/>
      </c>
      <c r="Z846" s="185" t="str">
        <f t="shared" si="288"/>
        <v/>
      </c>
      <c r="AA846" s="185"/>
      <c r="AB846" s="185"/>
      <c r="AC846" s="185"/>
      <c r="AD846" s="649"/>
      <c r="AE846" s="182"/>
      <c r="AF846" s="332"/>
      <c r="AG846" s="182"/>
      <c r="AH846" s="182"/>
      <c r="AI846" s="182"/>
      <c r="AJ846" s="640"/>
      <c r="AK846" s="182"/>
      <c r="AL846" s="496"/>
      <c r="AM846" s="496"/>
      <c r="AN846" s="626"/>
      <c r="AO846" s="182"/>
      <c r="AP846" s="182"/>
      <c r="AQ846" s="332" t="str">
        <f>UPPER(RIGHT(Journal_Live[[#This Row],[DURATION ]]))</f>
        <v/>
      </c>
      <c r="AR846" s="182"/>
      <c r="AS846" s="189"/>
      <c r="AT846" s="189"/>
      <c r="AU846" s="187"/>
      <c r="AV846" s="190"/>
      <c r="AW846" s="191"/>
      <c r="AX846" s="407"/>
      <c r="AY846" s="407"/>
      <c r="AZ846" s="407"/>
      <c r="BA846" s="407"/>
      <c r="BB846" s="407"/>
      <c r="BC846" s="407"/>
      <c r="BD846" s="407"/>
      <c r="BE846" s="407"/>
      <c r="BF846" s="422"/>
      <c r="BG846" s="391">
        <f>SUM($AV$4:AV846)</f>
        <v>4307.3555263348771</v>
      </c>
      <c r="BH846" s="392">
        <f>SUM($AU$134:AU846)</f>
        <v>16360.302000000318</v>
      </c>
      <c r="BI846" s="318">
        <f>SUMIFS($AU$134:AU847,$Q$134:Q847,"F")</f>
        <v>5454.5333333333328</v>
      </c>
      <c r="BJ846" s="318">
        <f>SUMIFS($AU$134:AU847,$Q$134:Q847,"S")</f>
        <v>10884.441999999999</v>
      </c>
      <c r="BK846" s="343">
        <f>SUMIFS($AU$134:AU847,$P$134:P847,"W")</f>
        <v>10251.741999999937</v>
      </c>
      <c r="BL846" s="343">
        <f>SUMIFS($AU$134:AU847,$P$134:P847,"R")</f>
        <v>5956.673333333335</v>
      </c>
      <c r="BM846" s="343">
        <f>SUMIFS($AU$134:AU847,$AQ$134:AQ847,"M")</f>
        <v>2413.3999999999814</v>
      </c>
      <c r="BN846" s="343">
        <f>SUMIFS($AU$134:AU847,$AQ$134:AQ847,"H")</f>
        <v>4406.1420000000153</v>
      </c>
      <c r="BO846" s="343">
        <f>SUMIFS($AU$134:AU847,$AQ$134:AQ847,"D")</f>
        <v>5320.3466666667146</v>
      </c>
      <c r="BP846" s="343">
        <f>SUMIFS($AU$134:AU849,$AQ$134:AQ849,"W")</f>
        <v>3049.7833333333429</v>
      </c>
      <c r="BQ846" s="343">
        <f>SUMIFS($AU$134:AU847,$Q$134:Q847,"O")</f>
        <v>-153.87333333301802</v>
      </c>
      <c r="BR846" s="343">
        <f>SUMIFS($AU$134:AU847,$AA$134:AA847,"*")</f>
        <v>15261.475333333326</v>
      </c>
      <c r="BS846" s="343">
        <f>SUMIFS($AU$134:AU847,$AB$134:AB847,"*")</f>
        <v>5593.3266666669924</v>
      </c>
      <c r="BT846" s="343">
        <f>SUMIFS($AU$134:AU847,$AC$134:AC847,"*")</f>
        <v>8895.6833333333325</v>
      </c>
      <c r="BU846" s="343">
        <f>SUMIFS($AU$134:AU847,$AA$134:AA847,"*",$AB$134:AB847,"*")</f>
        <v>3586.0000000000045</v>
      </c>
      <c r="BV846" s="343">
        <f>SUMIFS($AU$134:AU847,$AA$134:AA847,"*",$AC$134:AC847,"*")</f>
        <v>8356.7833333333328</v>
      </c>
      <c r="BW846" s="343">
        <f>SUMIFS($AU$134:AU847,$AB$134:AB847,"*",$AC$134:AC847,"*")</f>
        <v>5374.6</v>
      </c>
      <c r="BX846" s="343">
        <f>SUMIFS($AU847:AU$1388,$Q847:Q$1388,"F")</f>
        <v>8986.133333333335</v>
      </c>
      <c r="BY846" s="343">
        <f>SUMIFS($AU847:AU$1388,$Q847:Q$1388,"S")</f>
        <v>9819.1999999999989</v>
      </c>
      <c r="BZ846" s="343">
        <f>SUMIFS($AU847:AU$1388,$Q847:Q$1388,"O")</f>
        <v>-1494.9846666667804</v>
      </c>
    </row>
    <row r="847" spans="1:78" ht="15.75" customHeight="1">
      <c r="A847" s="221" t="s">
        <v>3123</v>
      </c>
      <c r="B847" s="177">
        <v>45127</v>
      </c>
      <c r="C847" s="178" t="s">
        <v>682</v>
      </c>
      <c r="D847" s="178" t="s">
        <v>93</v>
      </c>
      <c r="E847" s="227"/>
      <c r="F847" s="180"/>
      <c r="G847" s="481" t="s">
        <v>3334</v>
      </c>
      <c r="H847" s="182"/>
      <c r="I847" s="182"/>
      <c r="J847" s="182"/>
      <c r="K847" s="183"/>
      <c r="L847" s="182">
        <v>1</v>
      </c>
      <c r="M847" s="182"/>
      <c r="N847" s="182"/>
      <c r="O847" s="183" t="s">
        <v>95</v>
      </c>
      <c r="P847" s="183" t="s">
        <v>137</v>
      </c>
      <c r="Q847" s="183" t="s">
        <v>97</v>
      </c>
      <c r="R847" s="183">
        <v>2</v>
      </c>
      <c r="S847" s="183">
        <v>0</v>
      </c>
      <c r="T847" s="183">
        <v>2</v>
      </c>
      <c r="U847" s="183" t="s">
        <v>22</v>
      </c>
      <c r="V847" s="183"/>
      <c r="W847" s="183"/>
      <c r="X847" s="183"/>
      <c r="Y847" s="184">
        <f t="shared" si="287"/>
        <v>0.01</v>
      </c>
      <c r="Z847" s="185">
        <f t="shared" si="288"/>
        <v>1600</v>
      </c>
      <c r="AA847" s="185" t="s">
        <v>3335</v>
      </c>
      <c r="AB847" s="185"/>
      <c r="AC847" s="185"/>
      <c r="AD847" s="649">
        <v>-0.1</v>
      </c>
      <c r="AE847" s="182"/>
      <c r="AF847" s="332"/>
      <c r="AG847" s="182"/>
      <c r="AH847" s="182"/>
      <c r="AI847" s="182"/>
      <c r="AJ847" s="640"/>
      <c r="AK847" s="182"/>
      <c r="AL847" s="496"/>
      <c r="AM847" s="496"/>
      <c r="AN847" s="626"/>
      <c r="AO847" s="182"/>
      <c r="AP847" s="182"/>
      <c r="AQ847" s="332" t="str">
        <f>UPPER(RIGHT(Journal_Live[[#This Row],[DURATION ]]))</f>
        <v/>
      </c>
      <c r="AR847" s="182" t="s">
        <v>2370</v>
      </c>
      <c r="AS847" s="189">
        <v>-0.09</v>
      </c>
      <c r="AT847" s="189">
        <f>IF(ISBLANK(AS847),,IF(U847="S",AD847-AS847,AS847-AD847))</f>
        <v>1.0000000000000009E-2</v>
      </c>
      <c r="AU847" s="187">
        <f>AV847*R847</f>
        <v>32.000000000000028</v>
      </c>
      <c r="AV847" s="190">
        <f>IF(ISBLANK(AS847),,(AT847*Z847))</f>
        <v>16.000000000000014</v>
      </c>
      <c r="AW847" s="191" t="s">
        <v>96</v>
      </c>
      <c r="AX847" s="407"/>
      <c r="AY847" s="407"/>
      <c r="AZ847" s="407"/>
      <c r="BA847" s="407"/>
      <c r="BB847" s="407"/>
      <c r="BC847" s="407"/>
      <c r="BD847" s="407"/>
      <c r="BE847" s="407"/>
      <c r="BF847" s="422"/>
      <c r="BG847" s="391">
        <f>SUM($AV$4:AV847)</f>
        <v>4323.3555263348771</v>
      </c>
      <c r="BH847" s="392">
        <f>SUM($AU$134:AU847)</f>
        <v>16392.30200000032</v>
      </c>
      <c r="BI847" s="318">
        <f>SUMIFS($AU$134:AU848,$Q$134:Q848,"F")</f>
        <v>5454.5333333333328</v>
      </c>
      <c r="BJ847" s="318">
        <f>SUMIFS($AU$134:AU848,$Q$134:Q848,"S")</f>
        <v>10884.441999999999</v>
      </c>
      <c r="BK847" s="343">
        <f>SUMIFS($AU$134:AU848,$P$134:P848,"W")</f>
        <v>10219.741999999944</v>
      </c>
      <c r="BL847" s="343">
        <f>SUMIFS($AU$134:AU848,$P$134:P848,"R")</f>
        <v>5956.673333333335</v>
      </c>
      <c r="BM847" s="343">
        <f>SUMIFS($AU$134:AU848,$AQ$134:AQ848,"M")</f>
        <v>2381.3999999999878</v>
      </c>
      <c r="BN847" s="343">
        <f>SUMIFS($AU$134:AU848,$AQ$134:AQ848,"H")</f>
        <v>4406.1420000000153</v>
      </c>
      <c r="BO847" s="343">
        <f>SUMIFS($AU$134:AU848,$AQ$134:AQ848,"D")</f>
        <v>5320.3466666667146</v>
      </c>
      <c r="BP847" s="343">
        <f>SUMIFS($AU$134:AU850,$AQ$134:AQ850,"W")</f>
        <v>3049.7833333333429</v>
      </c>
      <c r="BQ847" s="343">
        <f>SUMIFS($AU$134:AU848,$Q$134:Q848,"O")</f>
        <v>-185.87333333301166</v>
      </c>
      <c r="BR847" s="343">
        <f>SUMIFS($AU$134:AU848,$AA$134:AA848,"*")</f>
        <v>15229.475333333332</v>
      </c>
      <c r="BS847" s="343">
        <f>SUMIFS($AU$134:AU848,$AB$134:AB848,"*")</f>
        <v>5593.3266666669924</v>
      </c>
      <c r="BT847" s="343">
        <f>SUMIFS($AU$134:AU848,$AC$134:AC848,"*")</f>
        <v>8895.6833333333325</v>
      </c>
      <c r="BU847" s="343">
        <f>SUMIFS($AU$134:AU848,$AA$134:AA848,"*",$AB$134:AB848,"*")</f>
        <v>3586.0000000000045</v>
      </c>
      <c r="BV847" s="343">
        <f>SUMIFS($AU$134:AU848,$AA$134:AA848,"*",$AC$134:AC848,"*")</f>
        <v>8356.7833333333328</v>
      </c>
      <c r="BW847" s="343">
        <f>SUMIFS($AU$134:AU848,$AB$134:AB848,"*",$AC$134:AC848,"*")</f>
        <v>5374.6</v>
      </c>
      <c r="BX847" s="343">
        <f>SUMIFS($AU848:AU$1388,$Q848:Q$1388,"F")</f>
        <v>8986.133333333335</v>
      </c>
      <c r="BY847" s="343">
        <f>SUMIFS($AU848:AU$1388,$Q848:Q$1388,"S")</f>
        <v>9787.1999999999989</v>
      </c>
      <c r="BZ847" s="343">
        <f>SUMIFS($AU848:AU$1388,$Q848:Q$1388,"O")</f>
        <v>-1494.9846666667804</v>
      </c>
    </row>
    <row r="848" spans="1:78" ht="15.75" customHeight="1">
      <c r="A848" s="221" t="s">
        <v>3123</v>
      </c>
      <c r="B848" s="177">
        <v>45127</v>
      </c>
      <c r="C848" s="178" t="s">
        <v>3336</v>
      </c>
      <c r="D848" s="178" t="s">
        <v>93</v>
      </c>
      <c r="E848" s="227"/>
      <c r="F848" s="180"/>
      <c r="G848" s="481" t="s">
        <v>3337</v>
      </c>
      <c r="H848" s="182"/>
      <c r="I848" s="182"/>
      <c r="J848" s="182"/>
      <c r="K848" s="183"/>
      <c r="L848" s="182">
        <v>1</v>
      </c>
      <c r="M848" s="182">
        <v>1</v>
      </c>
      <c r="N848" s="182"/>
      <c r="O848" s="183" t="s">
        <v>95</v>
      </c>
      <c r="P848" s="183" t="s">
        <v>96</v>
      </c>
      <c r="Q848" s="183" t="s">
        <v>684</v>
      </c>
      <c r="R848" s="183">
        <v>1</v>
      </c>
      <c r="S848" s="183">
        <v>0</v>
      </c>
      <c r="T848" s="183">
        <v>1</v>
      </c>
      <c r="U848" s="183" t="s">
        <v>22</v>
      </c>
      <c r="V848" s="183"/>
      <c r="W848" s="183"/>
      <c r="X848" s="183"/>
      <c r="Y848" s="184">
        <f t="shared" si="287"/>
        <v>0.01</v>
      </c>
      <c r="Z848" s="185">
        <f t="shared" si="288"/>
        <v>1600</v>
      </c>
      <c r="AA848" s="185" t="s">
        <v>3338</v>
      </c>
      <c r="AB848" s="185"/>
      <c r="AC848" s="185"/>
      <c r="AD848" s="649">
        <v>95.55</v>
      </c>
      <c r="AE848" s="182"/>
      <c r="AF848" s="332"/>
      <c r="AG848" s="182"/>
      <c r="AH848" s="182"/>
      <c r="AI848" s="182"/>
      <c r="AJ848" s="640"/>
      <c r="AK848" s="182"/>
      <c r="AL848" s="496"/>
      <c r="AM848" s="496"/>
      <c r="AN848" s="626"/>
      <c r="AO848" s="182"/>
      <c r="AP848" s="182" t="s">
        <v>3339</v>
      </c>
      <c r="AQ848" s="332" t="str">
        <f>UPPER(RIGHT(Journal_Live[[#This Row],[DURATION ]]))</f>
        <v>M</v>
      </c>
      <c r="AR848" s="182" t="s">
        <v>552</v>
      </c>
      <c r="AS848" s="189">
        <v>95.53</v>
      </c>
      <c r="AT848" s="189">
        <f>IF(ISBLANK(AS848),,IF(U848="S",AD848-AS848,AS848-AD848))</f>
        <v>-1.9999999999996021E-2</v>
      </c>
      <c r="AU848" s="187">
        <f>AV848*R848</f>
        <v>-31.999999999993634</v>
      </c>
      <c r="AV848" s="190">
        <f>IF(ISBLANK(AS848),,(AT848*Z848))</f>
        <v>-31.999999999993634</v>
      </c>
      <c r="AW848" s="191" t="s">
        <v>229</v>
      </c>
      <c r="AX848" s="407" t="s">
        <v>3340</v>
      </c>
      <c r="AY848" s="407"/>
      <c r="AZ848" s="407"/>
      <c r="BA848" s="407"/>
      <c r="BB848" s="407"/>
      <c r="BC848" s="407"/>
      <c r="BD848" s="407"/>
      <c r="BE848" s="407"/>
      <c r="BF848" s="422"/>
      <c r="BG848" s="391">
        <f>SUM($AV$4:AV848)</f>
        <v>4291.3555263348835</v>
      </c>
      <c r="BH848" s="392">
        <f>SUM($AU$134:AU848)</f>
        <v>16360.302000000327</v>
      </c>
      <c r="BI848" s="318">
        <f>SUMIFS($AU$134:AU849,$Q$134:Q849,"F")</f>
        <v>5454.5333333333328</v>
      </c>
      <c r="BJ848" s="318">
        <f>SUMIFS($AU$134:AU849,$Q$134:Q849,"S")</f>
        <v>10884.441999999999</v>
      </c>
      <c r="BK848" s="343">
        <f>SUMIFS($AU$134:AU849,$P$134:P849,"W")</f>
        <v>10219.741999999944</v>
      </c>
      <c r="BL848" s="343">
        <f>SUMIFS($AU$134:AU849,$P$134:P849,"R")</f>
        <v>5956.673333333335</v>
      </c>
      <c r="BM848" s="343">
        <f>SUMIFS($AU$134:AU849,$AQ$134:AQ849,"M")</f>
        <v>2381.3999999999878</v>
      </c>
      <c r="BN848" s="343">
        <f>SUMIFS($AU$134:AU849,$AQ$134:AQ849,"H")</f>
        <v>4430.1420000000153</v>
      </c>
      <c r="BO848" s="343">
        <f>SUMIFS($AU$134:AU849,$AQ$134:AQ849,"D")</f>
        <v>5320.3466666667146</v>
      </c>
      <c r="BP848" s="343">
        <f>SUMIFS($AU$134:AU851,$AQ$134:AQ851,"W")</f>
        <v>3049.7833333333429</v>
      </c>
      <c r="BQ848" s="343">
        <f>SUMIFS($AU$134:AU849,$Q$134:Q849,"O")</f>
        <v>-185.87333333301166</v>
      </c>
      <c r="BR848" s="343">
        <f>SUMIFS($AU$134:AU849,$AA$134:AA849,"*")</f>
        <v>15253.475333333332</v>
      </c>
      <c r="BS848" s="343">
        <f>SUMIFS($AU$134:AU849,$AB$134:AB849,"*")</f>
        <v>5593.3266666669924</v>
      </c>
      <c r="BT848" s="343">
        <f>SUMIFS($AU$134:AU849,$AC$134:AC849,"*")</f>
        <v>8895.6833333333325</v>
      </c>
      <c r="BU848" s="343">
        <f>SUMIFS($AU$134:AU849,$AA$134:AA849,"*",$AB$134:AB849,"*")</f>
        <v>3586.0000000000045</v>
      </c>
      <c r="BV848" s="343">
        <f>SUMIFS($AU$134:AU849,$AA$134:AA849,"*",$AC$134:AC849,"*")</f>
        <v>8356.7833333333328</v>
      </c>
      <c r="BW848" s="343">
        <f>SUMIFS($AU$134:AU849,$AB$134:AB849,"*",$AC$134:AC849,"*")</f>
        <v>5374.6</v>
      </c>
      <c r="BX848" s="343">
        <f>SUMIFS($AU849:AU$1388,$Q849:Q$1388,"F")</f>
        <v>8986.133333333335</v>
      </c>
      <c r="BY848" s="343">
        <f>SUMIFS($AU849:AU$1388,$Q849:Q$1388,"S")</f>
        <v>9787.1999999999989</v>
      </c>
      <c r="BZ848" s="343">
        <f>SUMIFS($AU849:AU$1388,$Q849:Q$1388,"O")</f>
        <v>-1462.9846666667868</v>
      </c>
    </row>
    <row r="849" spans="1:78" ht="15.75" customHeight="1">
      <c r="A849" s="221" t="s">
        <v>3123</v>
      </c>
      <c r="B849" s="177">
        <v>45127</v>
      </c>
      <c r="C849" s="178" t="s">
        <v>3341</v>
      </c>
      <c r="D849" s="178" t="s">
        <v>93</v>
      </c>
      <c r="E849" s="227"/>
      <c r="F849" s="180"/>
      <c r="G849" s="481" t="s">
        <v>2545</v>
      </c>
      <c r="H849" s="182"/>
      <c r="I849" s="182"/>
      <c r="J849" s="182"/>
      <c r="K849" s="183"/>
      <c r="L849" s="182">
        <v>1</v>
      </c>
      <c r="M849" s="182"/>
      <c r="N849" s="182"/>
      <c r="O849" s="183" t="s">
        <v>2259</v>
      </c>
      <c r="P849" s="183" t="s">
        <v>2260</v>
      </c>
      <c r="Q849" s="183"/>
      <c r="R849" s="183">
        <v>1</v>
      </c>
      <c r="S849" s="183">
        <v>0</v>
      </c>
      <c r="T849" s="183">
        <v>1</v>
      </c>
      <c r="U849" s="183" t="s">
        <v>22</v>
      </c>
      <c r="V849" s="183"/>
      <c r="W849" s="183"/>
      <c r="X849" s="183"/>
      <c r="Y849" s="184">
        <f t="shared" si="287"/>
        <v>0.01</v>
      </c>
      <c r="Z849" s="185">
        <f t="shared" si="288"/>
        <v>4800</v>
      </c>
      <c r="AA849" s="185" t="s">
        <v>99</v>
      </c>
      <c r="AB849" s="409"/>
      <c r="AC849" s="185"/>
      <c r="AD849" s="649">
        <v>4.4999999999999998E-2</v>
      </c>
      <c r="AE849" s="182"/>
      <c r="AF849" s="332"/>
      <c r="AG849" s="182"/>
      <c r="AH849" s="182"/>
      <c r="AI849" s="182"/>
      <c r="AJ849" s="640"/>
      <c r="AK849" s="182"/>
      <c r="AL849" s="496"/>
      <c r="AM849" s="496"/>
      <c r="AN849" s="626"/>
      <c r="AO849" s="182"/>
      <c r="AP849" s="182" t="s">
        <v>977</v>
      </c>
      <c r="AQ849" s="332" t="str">
        <f>UPPER(RIGHT(Journal_Live[[#This Row],[DURATION ]]))</f>
        <v>H</v>
      </c>
      <c r="AR849" s="182" t="s">
        <v>3342</v>
      </c>
      <c r="AS849" s="189">
        <v>0.05</v>
      </c>
      <c r="AT849" s="189">
        <f>IF(ISBLANK(AS849),,IF(U849="S",AD849-AS849,AS849-AD849))</f>
        <v>5.0000000000000044E-3</v>
      </c>
      <c r="AU849" s="187">
        <f>AV849*R849</f>
        <v>24.000000000000021</v>
      </c>
      <c r="AV849" s="190">
        <f>IF(ISBLANK(AS849),,(AT849*Z849))</f>
        <v>24.000000000000021</v>
      </c>
      <c r="AW849" s="191" t="s">
        <v>96</v>
      </c>
      <c r="AX849" s="407"/>
      <c r="AY849" s="407"/>
      <c r="AZ849" s="407"/>
      <c r="BA849" s="407"/>
      <c r="BB849" s="407"/>
      <c r="BC849" s="407"/>
      <c r="BD849" s="407"/>
      <c r="BE849" s="407"/>
      <c r="BF849" s="422"/>
      <c r="BG849" s="391">
        <f>SUM($AV$4:AV849)</f>
        <v>4315.3555263348835</v>
      </c>
      <c r="BH849" s="392">
        <f>SUM($AU$134:AU849)</f>
        <v>16384.302000000327</v>
      </c>
      <c r="BI849" s="318">
        <f>SUMIFS($AU$134:AU850,$Q$134:Q850,"F")</f>
        <v>5454.5333333333328</v>
      </c>
      <c r="BJ849" s="318">
        <f>SUMIFS($AU$134:AU850,$Q$134:Q850,"S")</f>
        <v>10884.441999999999</v>
      </c>
      <c r="BK849" s="343">
        <f>SUMIFS($AU$134:AU850,$P$134:P850,"W")</f>
        <v>10219.741999999944</v>
      </c>
      <c r="BL849" s="343">
        <f>SUMIFS($AU$134:AU850,$P$134:P850,"R")</f>
        <v>5956.673333333335</v>
      </c>
      <c r="BM849" s="343">
        <f>SUMIFS($AU$134:AU850,$AQ$134:AQ850,"M")</f>
        <v>2381.3999999999878</v>
      </c>
      <c r="BN849" s="343">
        <f>SUMIFS($AU$134:AU850,$AQ$134:AQ850,"H")</f>
        <v>4430.1420000000153</v>
      </c>
      <c r="BO849" s="343">
        <f>SUMIFS($AU$134:AU850,$AQ$134:AQ850,"D")</f>
        <v>5320.3466666667146</v>
      </c>
      <c r="BP849" s="343">
        <f>SUMIFS($AU$134:AU852,$AQ$134:AQ852,"W")</f>
        <v>3049.7833333333429</v>
      </c>
      <c r="BQ849" s="343">
        <f>SUMIFS($AU$134:AU850,$Q$134:Q850,"O")</f>
        <v>-185.87333333301166</v>
      </c>
      <c r="BR849" s="343">
        <f>SUMIFS($AU$134:AU850,$AA$134:AA850,"*")</f>
        <v>15253.475333333332</v>
      </c>
      <c r="BS849" s="343">
        <f>SUMIFS($AU$134:AU850,$AB$134:AB850,"*")</f>
        <v>5593.3266666669924</v>
      </c>
      <c r="BT849" s="343">
        <f>SUMIFS($AU$134:AU850,$AC$134:AC850,"*")</f>
        <v>8895.6833333333325</v>
      </c>
      <c r="BU849" s="343">
        <f>SUMIFS($AU$134:AU850,$AA$134:AA850,"*",$AB$134:AB850,"*")</f>
        <v>3586.0000000000045</v>
      </c>
      <c r="BV849" s="343">
        <f>SUMIFS($AU$134:AU850,$AA$134:AA850,"*",$AC$134:AC850,"*")</f>
        <v>8356.7833333333328</v>
      </c>
      <c r="BW849" s="343">
        <f>SUMIFS($AU$134:AU850,$AB$134:AB850,"*",$AC$134:AC850,"*")</f>
        <v>5374.6</v>
      </c>
      <c r="BX849" s="343">
        <f>SUMIFS($AU850:AU$1388,$Q850:Q$1388,"F")</f>
        <v>8986.133333333335</v>
      </c>
      <c r="BY849" s="343">
        <f>SUMIFS($AU850:AU$1388,$Q850:Q$1388,"S")</f>
        <v>9787.1999999999989</v>
      </c>
      <c r="BZ849" s="343">
        <f>SUMIFS($AU850:AU$1388,$Q850:Q$1388,"O")</f>
        <v>-1462.9846666667868</v>
      </c>
    </row>
    <row r="850" spans="1:78" ht="15.75" customHeight="1">
      <c r="A850" s="221" t="s">
        <v>3123</v>
      </c>
      <c r="B850" s="177">
        <v>45127</v>
      </c>
      <c r="C850" s="178" t="s">
        <v>1728</v>
      </c>
      <c r="D850" s="178" t="s">
        <v>93</v>
      </c>
      <c r="E850" s="227" t="s">
        <v>3343</v>
      </c>
      <c r="F850" s="180"/>
      <c r="G850" s="181"/>
      <c r="H850" s="182"/>
      <c r="I850" s="182"/>
      <c r="J850" s="182">
        <v>1</v>
      </c>
      <c r="K850" s="183" t="s">
        <v>372</v>
      </c>
      <c r="L850" s="182"/>
      <c r="M850" s="182"/>
      <c r="N850" s="182"/>
      <c r="O850" s="183"/>
      <c r="P850" s="183"/>
      <c r="Q850" s="183"/>
      <c r="R850" s="183"/>
      <c r="S850" s="183"/>
      <c r="T850" s="183"/>
      <c r="U850" s="183"/>
      <c r="V850" s="183"/>
      <c r="W850" s="183"/>
      <c r="X850" s="183"/>
      <c r="Y850" s="184" t="str">
        <f t="shared" si="287"/>
        <v/>
      </c>
      <c r="Z850" s="185" t="str">
        <f t="shared" si="288"/>
        <v/>
      </c>
      <c r="AA850" s="185"/>
      <c r="AB850" s="185"/>
      <c r="AC850" s="185"/>
      <c r="AD850" s="649"/>
      <c r="AE850" s="182"/>
      <c r="AF850" s="332"/>
      <c r="AG850" s="182"/>
      <c r="AH850" s="182"/>
      <c r="AI850" s="182"/>
      <c r="AJ850" s="640"/>
      <c r="AK850" s="182"/>
      <c r="AL850" s="496"/>
      <c r="AM850" s="496"/>
      <c r="AN850" s="626"/>
      <c r="AO850" s="182"/>
      <c r="AP850" s="182"/>
      <c r="AQ850" s="332" t="str">
        <f>UPPER(RIGHT(Journal_Live[[#This Row],[DURATION ]]))</f>
        <v/>
      </c>
      <c r="AR850" s="182"/>
      <c r="AS850" s="189"/>
      <c r="AT850" s="189"/>
      <c r="AU850" s="187"/>
      <c r="AV850" s="190"/>
      <c r="AW850" s="191"/>
      <c r="AX850" s="407"/>
      <c r="AY850" s="407"/>
      <c r="AZ850" s="407"/>
      <c r="BA850" s="407"/>
      <c r="BB850" s="407"/>
      <c r="BC850" s="407"/>
      <c r="BD850" s="407"/>
      <c r="BE850" s="407"/>
      <c r="BF850" s="422"/>
      <c r="BG850" s="391">
        <f>SUM($AV$4:AV850)</f>
        <v>4315.3555263348835</v>
      </c>
      <c r="BH850" s="392">
        <f>SUM($AU$134:AU850)</f>
        <v>16384.302000000327</v>
      </c>
      <c r="BI850" s="318">
        <f>SUMIFS($AU$134:AU851,$Q$134:Q851,"F")</f>
        <v>5454.5333333333328</v>
      </c>
      <c r="BJ850" s="318">
        <f>SUMIFS($AU$134:AU851,$Q$134:Q851,"S")</f>
        <v>10884.441999999999</v>
      </c>
      <c r="BK850" s="343">
        <f>SUMIFS($AU$134:AU851,$P$134:P851,"W")</f>
        <v>10219.741999999944</v>
      </c>
      <c r="BL850" s="343">
        <f>SUMIFS($AU$134:AU851,$P$134:P851,"R")</f>
        <v>5956.673333333335</v>
      </c>
      <c r="BM850" s="343">
        <f>SUMIFS($AU$134:AU851,$AQ$134:AQ851,"M")</f>
        <v>2381.3999999999878</v>
      </c>
      <c r="BN850" s="343">
        <f>SUMIFS($AU$134:AU851,$AQ$134:AQ851,"H")</f>
        <v>4430.1420000000153</v>
      </c>
      <c r="BO850" s="343">
        <f>SUMIFS($AU$134:AU851,$AQ$134:AQ851,"D")</f>
        <v>5320.3466666667146</v>
      </c>
      <c r="BP850" s="343">
        <f>SUMIFS($AU$134:AU853,$AQ$134:AQ853,"W")</f>
        <v>3049.7833333333429</v>
      </c>
      <c r="BQ850" s="343">
        <f>SUMIFS($AU$134:AU851,$Q$134:Q851,"O")</f>
        <v>-185.87333333301166</v>
      </c>
      <c r="BR850" s="343">
        <f>SUMIFS($AU$134:AU851,$AA$134:AA851,"*")</f>
        <v>15253.475333333332</v>
      </c>
      <c r="BS850" s="343">
        <f>SUMIFS($AU$134:AU851,$AB$134:AB851,"*")</f>
        <v>5593.3266666669924</v>
      </c>
      <c r="BT850" s="343">
        <f>SUMIFS($AU$134:AU851,$AC$134:AC851,"*")</f>
        <v>8895.6833333333325</v>
      </c>
      <c r="BU850" s="343">
        <f>SUMIFS($AU$134:AU851,$AA$134:AA851,"*",$AB$134:AB851,"*")</f>
        <v>3586.0000000000045</v>
      </c>
      <c r="BV850" s="343">
        <f>SUMIFS($AU$134:AU851,$AA$134:AA851,"*",$AC$134:AC851,"*")</f>
        <v>8356.7833333333328</v>
      </c>
      <c r="BW850" s="343">
        <f>SUMIFS($AU$134:AU851,$AB$134:AB851,"*",$AC$134:AC851,"*")</f>
        <v>5374.6</v>
      </c>
      <c r="BX850" s="343">
        <f>SUMIFS($AU851:AU$1388,$Q851:Q$1388,"F")</f>
        <v>8986.133333333335</v>
      </c>
      <c r="BY850" s="343">
        <f>SUMIFS($AU851:AU$1388,$Q851:Q$1388,"S")</f>
        <v>9787.1999999999989</v>
      </c>
      <c r="BZ850" s="343">
        <f>SUMIFS($AU851:AU$1388,$Q851:Q$1388,"O")</f>
        <v>-1462.9846666667868</v>
      </c>
    </row>
    <row r="851" spans="1:78" ht="15.75" customHeight="1">
      <c r="A851" s="221" t="s">
        <v>3123</v>
      </c>
      <c r="B851" s="177">
        <v>45128</v>
      </c>
      <c r="C851" s="178" t="s">
        <v>2429</v>
      </c>
      <c r="D851" s="178" t="s">
        <v>111</v>
      </c>
      <c r="E851" s="227"/>
      <c r="F851" s="180"/>
      <c r="G851" s="181" t="s">
        <v>2016</v>
      </c>
      <c r="H851" s="182"/>
      <c r="I851" s="182"/>
      <c r="J851" s="182"/>
      <c r="K851" s="183"/>
      <c r="L851" s="182"/>
      <c r="M851" s="182"/>
      <c r="N851" s="182"/>
      <c r="O851" s="183"/>
      <c r="P851" s="183"/>
      <c r="Q851" s="183"/>
      <c r="R851" s="183"/>
      <c r="S851" s="183"/>
      <c r="T851" s="183"/>
      <c r="U851" s="183"/>
      <c r="V851" s="183"/>
      <c r="W851" s="183"/>
      <c r="X851" s="183"/>
      <c r="Y851" s="184"/>
      <c r="Z851" s="185"/>
      <c r="AA851" s="185"/>
      <c r="AB851" s="185"/>
      <c r="AC851" s="185"/>
      <c r="AD851" s="649"/>
      <c r="AE851" s="182"/>
      <c r="AF851" s="332"/>
      <c r="AG851" s="182"/>
      <c r="AH851" s="182"/>
      <c r="AI851" s="182"/>
      <c r="AJ851" s="640"/>
      <c r="AK851" s="182"/>
      <c r="AL851" s="496"/>
      <c r="AM851" s="496"/>
      <c r="AN851" s="626"/>
      <c r="AO851" s="182"/>
      <c r="AP851" s="182"/>
      <c r="AQ851" s="332" t="str">
        <f>UPPER(RIGHT(Journal_Live[[#This Row],[DURATION ]]))</f>
        <v/>
      </c>
      <c r="AR851" s="182"/>
      <c r="AS851" s="189"/>
      <c r="AT851" s="189"/>
      <c r="AU851" s="187"/>
      <c r="AV851" s="190"/>
      <c r="AW851" s="191"/>
      <c r="AX851" s="407"/>
      <c r="AY851" s="407"/>
      <c r="AZ851" s="407"/>
      <c r="BA851" s="407"/>
      <c r="BB851" s="407"/>
      <c r="BC851" s="407"/>
      <c r="BD851" s="407"/>
      <c r="BE851" s="407"/>
      <c r="BF851" s="422"/>
      <c r="BG851" s="391">
        <f>SUM($AV$4:AV851)</f>
        <v>4315.3555263348835</v>
      </c>
      <c r="BH851" s="392">
        <f>SUM($AU$134:AU851)</f>
        <v>16384.302000000327</v>
      </c>
      <c r="BI851" s="318">
        <f>SUMIFS($AU$134:AU852,$Q$134:Q852,"F")</f>
        <v>5454.5333333333328</v>
      </c>
      <c r="BJ851" s="318">
        <f>SUMIFS($AU$134:AU852,$Q$134:Q852,"S")</f>
        <v>10884.441999999999</v>
      </c>
      <c r="BK851" s="343">
        <f>SUMIFS($AU$134:AU852,$P$134:P852,"W")</f>
        <v>10219.741999999944</v>
      </c>
      <c r="BL851" s="343">
        <f>SUMIFS($AU$134:AU852,$P$134:P852,"R")</f>
        <v>5956.673333333335</v>
      </c>
      <c r="BM851" s="343">
        <f>SUMIFS($AU$134:AU852,$AQ$134:AQ852,"M")</f>
        <v>2381.3999999999878</v>
      </c>
      <c r="BN851" s="343">
        <f>SUMIFS($AU$134:AU852,$AQ$134:AQ852,"H")</f>
        <v>4430.1420000000153</v>
      </c>
      <c r="BO851" s="343">
        <f>SUMIFS($AU$134:AU852,$AQ$134:AQ852,"D")</f>
        <v>5320.3466666667146</v>
      </c>
      <c r="BP851" s="343">
        <f>SUMIFS($AU$134:AU854,$AQ$134:AQ854,"W")</f>
        <v>3049.7833333333429</v>
      </c>
      <c r="BQ851" s="343">
        <f>SUMIFS($AU$134:AU852,$Q$134:Q852,"O")</f>
        <v>-185.87333333301166</v>
      </c>
      <c r="BR851" s="343">
        <f>SUMIFS($AU$134:AU852,$AA$134:AA852,"*")</f>
        <v>15253.475333333332</v>
      </c>
      <c r="BS851" s="343">
        <f>SUMIFS($AU$134:AU852,$AB$134:AB852,"*")</f>
        <v>5593.3266666669924</v>
      </c>
      <c r="BT851" s="343">
        <f>SUMIFS($AU$134:AU852,$AC$134:AC852,"*")</f>
        <v>8895.6833333333325</v>
      </c>
      <c r="BU851" s="343">
        <f>SUMIFS($AU$134:AU852,$AA$134:AA852,"*",$AB$134:AB852,"*")</f>
        <v>3586.0000000000045</v>
      </c>
      <c r="BV851" s="343">
        <f>SUMIFS($AU$134:AU852,$AA$134:AA852,"*",$AC$134:AC852,"*")</f>
        <v>8356.7833333333328</v>
      </c>
      <c r="BW851" s="343">
        <f>SUMIFS($AU$134:AU852,$AB$134:AB852,"*",$AC$134:AC852,"*")</f>
        <v>5374.6</v>
      </c>
      <c r="BX851" s="343">
        <f>SUMIFS($AU852:AU$1388,$Q852:Q$1388,"F")</f>
        <v>8986.133333333335</v>
      </c>
      <c r="BY851" s="343">
        <f>SUMIFS($AU852:AU$1388,$Q852:Q$1388,"S")</f>
        <v>9787.1999999999989</v>
      </c>
      <c r="BZ851" s="343">
        <f>SUMIFS($AU852:AU$1388,$Q852:Q$1388,"O")</f>
        <v>-1462.9846666667868</v>
      </c>
    </row>
    <row r="852" spans="1:78" ht="15.75" customHeight="1">
      <c r="A852" s="221" t="s">
        <v>3123</v>
      </c>
      <c r="B852" s="177">
        <v>45128</v>
      </c>
      <c r="C852" s="178" t="s">
        <v>3344</v>
      </c>
      <c r="D852" s="178" t="s">
        <v>111</v>
      </c>
      <c r="E852" s="227"/>
      <c r="F852" s="180"/>
      <c r="G852" s="181" t="s">
        <v>136</v>
      </c>
      <c r="H852" s="182"/>
      <c r="I852" s="182"/>
      <c r="J852" s="182"/>
      <c r="K852" s="183"/>
      <c r="L852" s="182"/>
      <c r="M852" s="182"/>
      <c r="N852" s="182"/>
      <c r="O852" s="183"/>
      <c r="P852" s="183"/>
      <c r="Q852" s="183"/>
      <c r="R852" s="183"/>
      <c r="S852" s="183"/>
      <c r="T852" s="183"/>
      <c r="U852" s="183"/>
      <c r="V852" s="183"/>
      <c r="W852" s="183"/>
      <c r="X852" s="183"/>
      <c r="Y852" s="184"/>
      <c r="Z852" s="185"/>
      <c r="AA852" s="185"/>
      <c r="AB852" s="185"/>
      <c r="AC852" s="185"/>
      <c r="AD852" s="649"/>
      <c r="AE852" s="182"/>
      <c r="AF852" s="332"/>
      <c r="AG852" s="182"/>
      <c r="AH852" s="182"/>
      <c r="AI852" s="182"/>
      <c r="AJ852" s="640"/>
      <c r="AK852" s="182"/>
      <c r="AL852" s="496"/>
      <c r="AM852" s="496"/>
      <c r="AN852" s="626"/>
      <c r="AO852" s="182"/>
      <c r="AP852" s="182"/>
      <c r="AQ852" s="332" t="str">
        <f>UPPER(RIGHT(Journal_Live[[#This Row],[DURATION ]]))</f>
        <v/>
      </c>
      <c r="AR852" s="182"/>
      <c r="AS852" s="189"/>
      <c r="AT852" s="189"/>
      <c r="AU852" s="187"/>
      <c r="AV852" s="190"/>
      <c r="AW852" s="191"/>
      <c r="AX852" s="407"/>
      <c r="AY852" s="407"/>
      <c r="AZ852" s="407"/>
      <c r="BA852" s="407"/>
      <c r="BB852" s="407"/>
      <c r="BC852" s="407"/>
      <c r="BD852" s="407"/>
      <c r="BE852" s="407"/>
      <c r="BF852" s="422"/>
      <c r="BG852" s="391">
        <f>SUM($AV$4:AV852)</f>
        <v>4315.3555263348835</v>
      </c>
      <c r="BH852" s="392">
        <f>SUM($AU$134:AU852)</f>
        <v>16384.302000000327</v>
      </c>
      <c r="BI852" s="318">
        <f>SUMIFS($AU$134:AU853,$Q$134:Q853,"F")</f>
        <v>5454.5333333333328</v>
      </c>
      <c r="BJ852" s="318">
        <f>SUMIFS($AU$134:AU853,$Q$134:Q853,"S")</f>
        <v>10884.441999999999</v>
      </c>
      <c r="BK852" s="343">
        <f>SUMIFS($AU$134:AU853,$P$134:P853,"W")</f>
        <v>10219.741999999944</v>
      </c>
      <c r="BL852" s="343">
        <f>SUMIFS($AU$134:AU853,$P$134:P853,"R")</f>
        <v>5956.673333333335</v>
      </c>
      <c r="BM852" s="343">
        <f>SUMIFS($AU$134:AU853,$AQ$134:AQ853,"M")</f>
        <v>2381.3999999999878</v>
      </c>
      <c r="BN852" s="343">
        <f>SUMIFS($AU$134:AU853,$AQ$134:AQ853,"H")</f>
        <v>4430.1420000000153</v>
      </c>
      <c r="BO852" s="343">
        <f>SUMIFS($AU$134:AU853,$AQ$134:AQ853,"D")</f>
        <v>5320.3466666667146</v>
      </c>
      <c r="BP852" s="343">
        <f>SUMIFS($AU$134:AU855,$AQ$134:AQ855,"W")</f>
        <v>3049.7833333333429</v>
      </c>
      <c r="BQ852" s="343">
        <f>SUMIFS($AU$134:AU853,$Q$134:Q853,"O")</f>
        <v>-185.87333333301166</v>
      </c>
      <c r="BR852" s="343">
        <f>SUMIFS($AU$134:AU853,$AA$134:AA853,"*")</f>
        <v>15253.475333333332</v>
      </c>
      <c r="BS852" s="343">
        <f>SUMIFS($AU$134:AU853,$AB$134:AB853,"*")</f>
        <v>5593.3266666669924</v>
      </c>
      <c r="BT852" s="343">
        <f>SUMIFS($AU$134:AU853,$AC$134:AC853,"*")</f>
        <v>8895.6833333333325</v>
      </c>
      <c r="BU852" s="343">
        <f>SUMIFS($AU$134:AU853,$AA$134:AA853,"*",$AB$134:AB853,"*")</f>
        <v>3586.0000000000045</v>
      </c>
      <c r="BV852" s="343">
        <f>SUMIFS($AU$134:AU853,$AA$134:AA853,"*",$AC$134:AC853,"*")</f>
        <v>8356.7833333333328</v>
      </c>
      <c r="BW852" s="343">
        <f>SUMIFS($AU$134:AU853,$AB$134:AB853,"*",$AC$134:AC853,"*")</f>
        <v>5374.6</v>
      </c>
      <c r="BX852" s="343">
        <f>SUMIFS($AU853:AU$1388,$Q853:Q$1388,"F")</f>
        <v>8986.133333333335</v>
      </c>
      <c r="BY852" s="343">
        <f>SUMIFS($AU853:AU$1388,$Q853:Q$1388,"S")</f>
        <v>9787.1999999999989</v>
      </c>
      <c r="BZ852" s="343">
        <f>SUMIFS($AU853:AU$1388,$Q853:Q$1388,"O")</f>
        <v>-1462.9846666667868</v>
      </c>
    </row>
    <row r="853" spans="1:78" ht="15.75" customHeight="1">
      <c r="A853" s="221" t="s">
        <v>3123</v>
      </c>
      <c r="B853" s="177">
        <v>45128</v>
      </c>
      <c r="C853" s="178" t="s">
        <v>3345</v>
      </c>
      <c r="D853" s="178" t="s">
        <v>111</v>
      </c>
      <c r="E853" s="227" t="s">
        <v>3346</v>
      </c>
      <c r="F853" s="180"/>
      <c r="G853" s="181"/>
      <c r="H853" s="182"/>
      <c r="I853" s="182">
        <v>1</v>
      </c>
      <c r="J853" s="182"/>
      <c r="K853" s="183"/>
      <c r="L853" s="182"/>
      <c r="M853" s="182"/>
      <c r="N853" s="182"/>
      <c r="O853" s="183"/>
      <c r="P853" s="183"/>
      <c r="Q853" s="183"/>
      <c r="R853" s="183"/>
      <c r="S853" s="183"/>
      <c r="T853" s="183"/>
      <c r="U853" s="183"/>
      <c r="V853" s="183"/>
      <c r="W853" s="183"/>
      <c r="X853" s="183"/>
      <c r="Y853" s="274"/>
      <c r="Z853" s="183"/>
      <c r="AA853" s="185"/>
      <c r="AB853" s="185"/>
      <c r="AC853" s="185"/>
      <c r="AD853" s="649"/>
      <c r="AE853" s="182"/>
      <c r="AF853" s="332"/>
      <c r="AG853" s="182"/>
      <c r="AH853" s="182"/>
      <c r="AI853" s="182"/>
      <c r="AJ853" s="640"/>
      <c r="AK853" s="182"/>
      <c r="AL853" s="496"/>
      <c r="AM853" s="496"/>
      <c r="AN853" s="626"/>
      <c r="AO853" s="182"/>
      <c r="AP853" s="182"/>
      <c r="AQ853" s="332" t="str">
        <f>UPPER(RIGHT(Journal_Live[[#This Row],[DURATION ]]))</f>
        <v/>
      </c>
      <c r="AR853" s="182"/>
      <c r="AS853" s="189"/>
      <c r="AT853" s="189"/>
      <c r="AU853" s="187"/>
      <c r="AV853" s="190"/>
      <c r="AW853" s="191"/>
      <c r="AX853" s="407" t="s">
        <v>3347</v>
      </c>
      <c r="AY853" s="407" t="s">
        <v>3348</v>
      </c>
      <c r="AZ853" s="407"/>
      <c r="BA853" s="407"/>
      <c r="BB853" s="407"/>
      <c r="BC853" s="407"/>
      <c r="BD853" s="407"/>
      <c r="BE853" s="407"/>
      <c r="BF853" s="422"/>
      <c r="BG853" s="391"/>
      <c r="BH853" s="392">
        <f>SUM($AU$134:AU853)</f>
        <v>16384.302000000327</v>
      </c>
      <c r="BI853" s="318">
        <f>SUMIFS($AU$134:AU854,$Q$134:Q854,"F")</f>
        <v>5454.5333333333328</v>
      </c>
      <c r="BJ853" s="318">
        <f>SUMIFS($AU$134:AU854,$Q$134:Q854,"S")</f>
        <v>10884.441999999999</v>
      </c>
      <c r="BK853" s="343">
        <f>SUMIFS($AU$134:AU854,$P$134:P854,"W")</f>
        <v>10219.741999999944</v>
      </c>
      <c r="BL853" s="343">
        <f>SUMIFS($AU$134:AU854,$P$134:P854,"R")</f>
        <v>5956.673333333335</v>
      </c>
      <c r="BM853" s="343">
        <f>SUMIFS($AU$134:AU854,$AQ$134:AQ854,"M")</f>
        <v>2381.3999999999878</v>
      </c>
      <c r="BN853" s="343">
        <f>SUMIFS($AU$134:AU854,$AQ$134:AQ854,"H")</f>
        <v>4430.1420000000153</v>
      </c>
      <c r="BO853" s="343">
        <f>SUMIFS($AU$134:AU854,$AQ$134:AQ854,"D")</f>
        <v>5320.3466666667146</v>
      </c>
      <c r="BP853" s="343">
        <f>SUMIFS($AU$134:AU856,$AQ$134:AQ856,"W")</f>
        <v>3049.7833333333429</v>
      </c>
      <c r="BQ853" s="343">
        <f>SUMIFS($AU$134:AU854,$Q$134:Q854,"O")</f>
        <v>-185.87333333301166</v>
      </c>
      <c r="BR853" s="343">
        <f>SUMIFS($AU$134:AU854,$AA$134:AA854,"*")</f>
        <v>15253.475333333332</v>
      </c>
      <c r="BS853" s="343">
        <f>SUMIFS($AU$134:AU854,$AB$134:AB854,"*")</f>
        <v>5593.3266666669924</v>
      </c>
      <c r="BT853" s="343">
        <f>SUMIFS($AU$134:AU854,$AC$134:AC854,"*")</f>
        <v>8895.6833333333325</v>
      </c>
      <c r="BU853" s="343">
        <f>SUMIFS($AU$134:AU854,$AA$134:AA854,"*",$AB$134:AB854,"*")</f>
        <v>3586.0000000000045</v>
      </c>
      <c r="BV853" s="343">
        <f>SUMIFS($AU$134:AU854,$AA$134:AA854,"*",$AC$134:AC854,"*")</f>
        <v>8356.7833333333328</v>
      </c>
      <c r="BW853" s="343">
        <f>SUMIFS($AU$134:AU854,$AB$134:AB854,"*",$AC$134:AC854,"*")</f>
        <v>5374.6</v>
      </c>
      <c r="BX853" s="343">
        <f>SUMIFS($AU854:AU$1388,$Q854:Q$1388,"F")</f>
        <v>8986.133333333335</v>
      </c>
      <c r="BY853" s="343">
        <f>SUMIFS($AU854:AU$1388,$Q854:Q$1388,"S")</f>
        <v>9787.1999999999989</v>
      </c>
      <c r="BZ853" s="343">
        <f>SUMIFS($AU854:AU$1388,$Q854:Q$1388,"O")</f>
        <v>-1462.9846666667868</v>
      </c>
    </row>
    <row r="854" spans="1:78" ht="15.75" customHeight="1">
      <c r="A854" s="221" t="s">
        <v>3123</v>
      </c>
      <c r="B854" s="177">
        <v>45128</v>
      </c>
      <c r="C854" s="178" t="s">
        <v>3349</v>
      </c>
      <c r="D854" s="178" t="s">
        <v>111</v>
      </c>
      <c r="E854" s="227"/>
      <c r="F854" s="180"/>
      <c r="G854" s="181" t="s">
        <v>2016</v>
      </c>
      <c r="H854" s="182"/>
      <c r="I854" s="182"/>
      <c r="J854" s="182"/>
      <c r="K854" s="183"/>
      <c r="L854" s="182"/>
      <c r="M854" s="182"/>
      <c r="N854" s="182"/>
      <c r="O854" s="183"/>
      <c r="P854" s="183"/>
      <c r="Q854" s="183"/>
      <c r="R854" s="183"/>
      <c r="S854" s="183"/>
      <c r="T854" s="183"/>
      <c r="U854" s="183"/>
      <c r="V854" s="183"/>
      <c r="W854" s="183"/>
      <c r="X854" s="183"/>
      <c r="Y854" s="184"/>
      <c r="Z854" s="185"/>
      <c r="AA854" s="185"/>
      <c r="AB854" s="185"/>
      <c r="AC854" s="185"/>
      <c r="AD854" s="649"/>
      <c r="AE854" s="182"/>
      <c r="AF854" s="332"/>
      <c r="AG854" s="182"/>
      <c r="AH854" s="182"/>
      <c r="AI854" s="182"/>
      <c r="AJ854" s="640"/>
      <c r="AK854" s="182"/>
      <c r="AL854" s="496"/>
      <c r="AM854" s="496"/>
      <c r="AN854" s="626"/>
      <c r="AO854" s="182"/>
      <c r="AP854" s="182"/>
      <c r="AQ854" s="332" t="str">
        <f>UPPER(RIGHT(Journal_Live[[#This Row],[DURATION ]]))</f>
        <v/>
      </c>
      <c r="AR854" s="182"/>
      <c r="AS854" s="189"/>
      <c r="AT854" s="189"/>
      <c r="AU854" s="187"/>
      <c r="AV854" s="190"/>
      <c r="AW854" s="191"/>
      <c r="AX854" s="407"/>
      <c r="AY854" s="407"/>
      <c r="AZ854" s="407"/>
      <c r="BA854" s="407"/>
      <c r="BB854" s="407"/>
      <c r="BC854" s="407"/>
      <c r="BD854" s="407"/>
      <c r="BE854" s="407"/>
      <c r="BF854" s="422"/>
      <c r="BG854" s="391">
        <f>SUM($AV$4:AV854)</f>
        <v>4315.3555263348835</v>
      </c>
      <c r="BH854" s="392">
        <f>SUM($AU$134:AU854)</f>
        <v>16384.302000000327</v>
      </c>
      <c r="BI854" s="318">
        <f>SUMIFS($AU$134:AU855,$Q$134:Q855,"F")</f>
        <v>5454.5333333333328</v>
      </c>
      <c r="BJ854" s="318">
        <f>SUMIFS($AU$134:AU855,$Q$134:Q855,"S")</f>
        <v>10884.441999999999</v>
      </c>
      <c r="BK854" s="343">
        <f>SUMIFS($AU$134:AU855,$P$134:P855,"W")</f>
        <v>10219.741999999944</v>
      </c>
      <c r="BL854" s="343">
        <f>SUMIFS($AU$134:AU855,$P$134:P855,"R")</f>
        <v>5956.673333333335</v>
      </c>
      <c r="BM854" s="343">
        <f>SUMIFS($AU$134:AU855,$AQ$134:AQ855,"M")</f>
        <v>2381.3999999999878</v>
      </c>
      <c r="BN854" s="343">
        <f>SUMIFS($AU$134:AU855,$AQ$134:AQ855,"H")</f>
        <v>4430.1420000000153</v>
      </c>
      <c r="BO854" s="343">
        <f>SUMIFS($AU$134:AU855,$AQ$134:AQ855,"D")</f>
        <v>5320.3466666667146</v>
      </c>
      <c r="BP854" s="343">
        <f>SUMIFS($AU$134:AU857,$AQ$134:AQ857,"W")</f>
        <v>3049.7833333333429</v>
      </c>
      <c r="BQ854" s="343">
        <f>SUMIFS($AU$134:AU855,$Q$134:Q855,"O")</f>
        <v>-185.87333333301166</v>
      </c>
      <c r="BR854" s="343">
        <f>SUMIFS($AU$134:AU855,$AA$134:AA855,"*")</f>
        <v>15253.475333333332</v>
      </c>
      <c r="BS854" s="343">
        <f>SUMIFS($AU$134:AU855,$AB$134:AB855,"*")</f>
        <v>5593.3266666669924</v>
      </c>
      <c r="BT854" s="343">
        <f>SUMIFS($AU$134:AU855,$AC$134:AC855,"*")</f>
        <v>8895.6833333333325</v>
      </c>
      <c r="BU854" s="343">
        <f>SUMIFS($AU$134:AU855,$AA$134:AA855,"*",$AB$134:AB855,"*")</f>
        <v>3586.0000000000045</v>
      </c>
      <c r="BV854" s="343">
        <f>SUMIFS($AU$134:AU855,$AA$134:AA855,"*",$AC$134:AC855,"*")</f>
        <v>8356.7833333333328</v>
      </c>
      <c r="BW854" s="343">
        <f>SUMIFS($AU$134:AU855,$AB$134:AB855,"*",$AC$134:AC855,"*")</f>
        <v>5374.6</v>
      </c>
      <c r="BX854" s="343">
        <f>SUMIFS($AU855:AU$1388,$Q855:Q$1388,"F")</f>
        <v>8986.133333333335</v>
      </c>
      <c r="BY854" s="343">
        <f>SUMIFS($AU855:AU$1388,$Q855:Q$1388,"S")</f>
        <v>9787.1999999999989</v>
      </c>
      <c r="BZ854" s="343">
        <f>SUMIFS($AU855:AU$1388,$Q855:Q$1388,"O")</f>
        <v>-1462.9846666667868</v>
      </c>
    </row>
    <row r="855" spans="1:78" ht="15.75" customHeight="1">
      <c r="A855" s="221" t="s">
        <v>3123</v>
      </c>
      <c r="B855" s="177">
        <v>45128</v>
      </c>
      <c r="C855" s="178" t="s">
        <v>3349</v>
      </c>
      <c r="D855" s="178" t="s">
        <v>111</v>
      </c>
      <c r="E855" s="227"/>
      <c r="F855" s="180"/>
      <c r="G855" s="181" t="s">
        <v>2016</v>
      </c>
      <c r="H855" s="182"/>
      <c r="I855" s="182"/>
      <c r="J855" s="182"/>
      <c r="K855" s="183"/>
      <c r="L855" s="182"/>
      <c r="M855" s="182"/>
      <c r="N855" s="182"/>
      <c r="O855" s="183"/>
      <c r="P855" s="183"/>
      <c r="Q855" s="183"/>
      <c r="R855" s="183"/>
      <c r="S855" s="183"/>
      <c r="T855" s="183"/>
      <c r="U855" s="183"/>
      <c r="V855" s="183"/>
      <c r="W855" s="183"/>
      <c r="X855" s="183"/>
      <c r="Y855" s="184"/>
      <c r="Z855" s="185"/>
      <c r="AA855" s="185"/>
      <c r="AB855" s="185"/>
      <c r="AC855" s="185"/>
      <c r="AD855" s="649"/>
      <c r="AE855" s="182"/>
      <c r="AF855" s="332"/>
      <c r="AG855" s="182"/>
      <c r="AH855" s="182"/>
      <c r="AI855" s="182"/>
      <c r="AJ855" s="640"/>
      <c r="AK855" s="182"/>
      <c r="AL855" s="496"/>
      <c r="AM855" s="496"/>
      <c r="AN855" s="626"/>
      <c r="AO855" s="182"/>
      <c r="AP855" s="182"/>
      <c r="AQ855" s="332" t="str">
        <f>UPPER(RIGHT(Journal_Live[[#This Row],[DURATION ]]))</f>
        <v/>
      </c>
      <c r="AR855" s="182"/>
      <c r="AS855" s="189"/>
      <c r="AT855" s="189"/>
      <c r="AU855" s="187"/>
      <c r="AV855" s="190"/>
      <c r="AW855" s="191"/>
      <c r="AX855" s="407"/>
      <c r="AY855" s="407"/>
      <c r="AZ855" s="407"/>
      <c r="BA855" s="407"/>
      <c r="BB855" s="407"/>
      <c r="BC855" s="407"/>
      <c r="BD855" s="407"/>
      <c r="BE855" s="407"/>
      <c r="BF855" s="422"/>
      <c r="BG855" s="391">
        <f>SUM($AV$4:AV855)</f>
        <v>4315.3555263348835</v>
      </c>
      <c r="BH855" s="392">
        <f>SUM($AU$134:AU855)</f>
        <v>16384.302000000327</v>
      </c>
      <c r="BI855" s="318">
        <f>SUMIFS($AU$134:AU856,$Q$134:Q856,"F")</f>
        <v>5454.5333333333328</v>
      </c>
      <c r="BJ855" s="318">
        <f>SUMIFS($AU$134:AU856,$Q$134:Q856,"S")</f>
        <v>10884.441999999999</v>
      </c>
      <c r="BK855" s="343">
        <f>SUMIFS($AU$134:AU856,$P$134:P856,"W")</f>
        <v>10219.741999999944</v>
      </c>
      <c r="BL855" s="343">
        <f>SUMIFS($AU$134:AU856,$P$134:P856,"R")</f>
        <v>5956.673333333335</v>
      </c>
      <c r="BM855" s="343">
        <f>SUMIFS($AU$134:AU856,$AQ$134:AQ856,"M")</f>
        <v>2381.3999999999878</v>
      </c>
      <c r="BN855" s="343">
        <f>SUMIFS($AU$134:AU856,$AQ$134:AQ856,"H")</f>
        <v>4430.1420000000153</v>
      </c>
      <c r="BO855" s="343">
        <f>SUMIFS($AU$134:AU856,$AQ$134:AQ856,"D")</f>
        <v>5320.3466666667146</v>
      </c>
      <c r="BP855" s="343">
        <f>SUMIFS($AU$134:AU858,$AQ$134:AQ858,"W")</f>
        <v>3049.7833333333429</v>
      </c>
      <c r="BQ855" s="343">
        <f>SUMIFS($AU$134:AU856,$Q$134:Q856,"O")</f>
        <v>-185.87333333301166</v>
      </c>
      <c r="BR855" s="343">
        <f>SUMIFS($AU$134:AU856,$AA$134:AA856,"*")</f>
        <v>15253.475333333332</v>
      </c>
      <c r="BS855" s="343">
        <f>SUMIFS($AU$134:AU856,$AB$134:AB856,"*")</f>
        <v>5593.3266666669924</v>
      </c>
      <c r="BT855" s="343">
        <f>SUMIFS($AU$134:AU856,$AC$134:AC856,"*")</f>
        <v>8895.6833333333325</v>
      </c>
      <c r="BU855" s="343">
        <f>SUMIFS($AU$134:AU856,$AA$134:AA856,"*",$AB$134:AB856,"*")</f>
        <v>3586.0000000000045</v>
      </c>
      <c r="BV855" s="343">
        <f>SUMIFS($AU$134:AU856,$AA$134:AA856,"*",$AC$134:AC856,"*")</f>
        <v>8356.7833333333328</v>
      </c>
      <c r="BW855" s="343">
        <f>SUMIFS($AU$134:AU856,$AB$134:AB856,"*",$AC$134:AC856,"*")</f>
        <v>5374.6</v>
      </c>
      <c r="BX855" s="343">
        <f>SUMIFS($AU856:AU$1388,$Q856:Q$1388,"F")</f>
        <v>8986.133333333335</v>
      </c>
      <c r="BY855" s="343">
        <f>SUMIFS($AU856:AU$1388,$Q856:Q$1388,"S")</f>
        <v>9787.1999999999989</v>
      </c>
      <c r="BZ855" s="343">
        <f>SUMIFS($AU856:AU$1388,$Q856:Q$1388,"O")</f>
        <v>-1462.9846666667868</v>
      </c>
    </row>
    <row r="856" spans="1:78" ht="15.75" customHeight="1">
      <c r="A856" s="221" t="s">
        <v>3123</v>
      </c>
      <c r="B856" s="177">
        <v>45128</v>
      </c>
      <c r="C856" s="178" t="s">
        <v>1559</v>
      </c>
      <c r="D856" s="178" t="s">
        <v>111</v>
      </c>
      <c r="E856" s="227"/>
      <c r="F856" s="180"/>
      <c r="G856" s="181" t="s">
        <v>136</v>
      </c>
      <c r="H856" s="182"/>
      <c r="I856" s="182"/>
      <c r="J856" s="182"/>
      <c r="K856" s="183"/>
      <c r="L856" s="182"/>
      <c r="M856" s="182"/>
      <c r="N856" s="182"/>
      <c r="O856" s="183"/>
      <c r="P856" s="183"/>
      <c r="Q856" s="183"/>
      <c r="R856" s="183"/>
      <c r="S856" s="183"/>
      <c r="T856" s="183"/>
      <c r="U856" s="183"/>
      <c r="V856" s="183"/>
      <c r="W856" s="183"/>
      <c r="X856" s="183"/>
      <c r="Y856" s="184"/>
      <c r="Z856" s="185"/>
      <c r="AA856" s="185"/>
      <c r="AB856" s="185"/>
      <c r="AC856" s="185"/>
      <c r="AD856" s="649"/>
      <c r="AE856" s="182"/>
      <c r="AF856" s="332"/>
      <c r="AG856" s="182"/>
      <c r="AH856" s="182"/>
      <c r="AI856" s="182"/>
      <c r="AJ856" s="640"/>
      <c r="AK856" s="182"/>
      <c r="AL856" s="496"/>
      <c r="AM856" s="496"/>
      <c r="AN856" s="626"/>
      <c r="AO856" s="182"/>
      <c r="AP856" s="182"/>
      <c r="AQ856" s="332" t="str">
        <f>UPPER(RIGHT(Journal_Live[[#This Row],[DURATION ]]))</f>
        <v/>
      </c>
      <c r="AR856" s="182"/>
      <c r="AS856" s="189"/>
      <c r="AT856" s="189"/>
      <c r="AU856" s="187"/>
      <c r="AV856" s="190"/>
      <c r="AW856" s="191"/>
      <c r="AX856" s="407"/>
      <c r="AY856" s="407"/>
      <c r="AZ856" s="407"/>
      <c r="BA856" s="407"/>
      <c r="BB856" s="407"/>
      <c r="BC856" s="407"/>
      <c r="BD856" s="407"/>
      <c r="BE856" s="407"/>
      <c r="BF856" s="422"/>
      <c r="BG856" s="391">
        <f>SUM($AV$4:AV856)</f>
        <v>4315.3555263348835</v>
      </c>
      <c r="BH856" s="392">
        <f>SUM($AU$134:AU856)</f>
        <v>16384.302000000327</v>
      </c>
      <c r="BI856" s="318">
        <f>SUMIFS($AU$134:AU857,$Q$134:Q857,"F")</f>
        <v>5454.5333333333328</v>
      </c>
      <c r="BJ856" s="318">
        <f>SUMIFS($AU$134:AU857,$Q$134:Q857,"S")</f>
        <v>10884.441999999999</v>
      </c>
      <c r="BK856" s="343">
        <f>SUMIFS($AU$134:AU857,$P$134:P857,"W")</f>
        <v>10219.741999999944</v>
      </c>
      <c r="BL856" s="343">
        <f>SUMIFS($AU$134:AU857,$P$134:P857,"R")</f>
        <v>5956.673333333335</v>
      </c>
      <c r="BM856" s="343">
        <f>SUMIFS($AU$134:AU857,$AQ$134:AQ857,"M")</f>
        <v>2381.3999999999878</v>
      </c>
      <c r="BN856" s="343">
        <f>SUMIFS($AU$134:AU857,$AQ$134:AQ857,"H")</f>
        <v>4430.1420000000153</v>
      </c>
      <c r="BO856" s="343">
        <f>SUMIFS($AU$134:AU857,$AQ$134:AQ857,"D")</f>
        <v>5320.3466666667146</v>
      </c>
      <c r="BP856" s="343">
        <f>SUMIFS($AU$134:AU859,$AQ$134:AQ859,"W")</f>
        <v>3049.7833333333429</v>
      </c>
      <c r="BQ856" s="343">
        <f>SUMIFS($AU$134:AU857,$Q$134:Q857,"O")</f>
        <v>-185.87333333301166</v>
      </c>
      <c r="BR856" s="343">
        <f>SUMIFS($AU$134:AU857,$AA$134:AA857,"*")</f>
        <v>15253.475333333332</v>
      </c>
      <c r="BS856" s="343">
        <f>SUMIFS($AU$134:AU857,$AB$134:AB857,"*")</f>
        <v>5593.3266666669924</v>
      </c>
      <c r="BT856" s="343">
        <f>SUMIFS($AU$134:AU857,$AC$134:AC857,"*")</f>
        <v>8895.6833333333325</v>
      </c>
      <c r="BU856" s="343">
        <f>SUMIFS($AU$134:AU857,$AA$134:AA857,"*",$AB$134:AB857,"*")</f>
        <v>3586.0000000000045</v>
      </c>
      <c r="BV856" s="343">
        <f>SUMIFS($AU$134:AU857,$AA$134:AA857,"*",$AC$134:AC857,"*")</f>
        <v>8356.7833333333328</v>
      </c>
      <c r="BW856" s="343">
        <f>SUMIFS($AU$134:AU857,$AB$134:AB857,"*",$AC$134:AC857,"*")</f>
        <v>5374.6</v>
      </c>
      <c r="BX856" s="343">
        <f>SUMIFS($AU857:AU$1388,$Q857:Q$1388,"F")</f>
        <v>8986.133333333335</v>
      </c>
      <c r="BY856" s="343">
        <f>SUMIFS($AU857:AU$1388,$Q857:Q$1388,"S")</f>
        <v>9787.1999999999989</v>
      </c>
      <c r="BZ856" s="343">
        <f>SUMIFS($AU857:AU$1388,$Q857:Q$1388,"O")</f>
        <v>-1462.9846666667868</v>
      </c>
    </row>
    <row r="857" spans="1:78" ht="15.75" customHeight="1">
      <c r="A857" s="221" t="s">
        <v>3123</v>
      </c>
      <c r="B857" s="177">
        <v>45131</v>
      </c>
      <c r="C857" s="178" t="s">
        <v>3350</v>
      </c>
      <c r="D857" s="178" t="s">
        <v>132</v>
      </c>
      <c r="E857" s="227"/>
      <c r="F857" s="180"/>
      <c r="G857" s="181" t="s">
        <v>136</v>
      </c>
      <c r="H857" s="182"/>
      <c r="I857" s="182"/>
      <c r="J857" s="182"/>
      <c r="K857" s="183"/>
      <c r="L857" s="182"/>
      <c r="M857" s="182"/>
      <c r="N857" s="182"/>
      <c r="O857" s="183"/>
      <c r="P857" s="183"/>
      <c r="Q857" s="183"/>
      <c r="R857" s="183"/>
      <c r="S857" s="183"/>
      <c r="T857" s="183"/>
      <c r="U857" s="183"/>
      <c r="V857" s="183"/>
      <c r="W857" s="183"/>
      <c r="X857" s="183"/>
      <c r="Y857" s="184"/>
      <c r="Z857" s="185"/>
      <c r="AA857" s="185"/>
      <c r="AB857" s="185"/>
      <c r="AC857" s="185"/>
      <c r="AD857" s="649"/>
      <c r="AE857" s="182"/>
      <c r="AF857" s="332"/>
      <c r="AG857" s="182"/>
      <c r="AH857" s="182"/>
      <c r="AI857" s="182"/>
      <c r="AJ857" s="640"/>
      <c r="AK857" s="182"/>
      <c r="AL857" s="496"/>
      <c r="AM857" s="496"/>
      <c r="AN857" s="626"/>
      <c r="AO857" s="182"/>
      <c r="AP857" s="182"/>
      <c r="AQ857" s="332" t="str">
        <f>UPPER(RIGHT(Journal_Live[[#This Row],[DURATION ]]))</f>
        <v/>
      </c>
      <c r="AR857" s="182"/>
      <c r="AS857" s="189"/>
      <c r="AT857" s="189"/>
      <c r="AU857" s="187"/>
      <c r="AV857" s="190"/>
      <c r="AW857" s="191"/>
      <c r="AX857" s="407"/>
      <c r="AY857" s="407"/>
      <c r="AZ857" s="407"/>
      <c r="BA857" s="407"/>
      <c r="BB857" s="407"/>
      <c r="BC857" s="407"/>
      <c r="BD857" s="407"/>
      <c r="BE857" s="407"/>
      <c r="BF857" s="422"/>
      <c r="BG857" s="391">
        <f>SUM($AV$4:AV857)</f>
        <v>4315.3555263348835</v>
      </c>
      <c r="BH857" s="392">
        <f>SUM($AU$134:AU857)</f>
        <v>16384.302000000327</v>
      </c>
      <c r="BI857" s="318">
        <f>SUMIFS($AU$134:AU858,$Q$134:Q858,"F")</f>
        <v>5454.5333333333328</v>
      </c>
      <c r="BJ857" s="318">
        <f>SUMIFS($AU$134:AU858,$Q$134:Q858,"S")</f>
        <v>10884.441999999999</v>
      </c>
      <c r="BK857" s="343">
        <f>SUMIFS($AU$134:AU858,$P$134:P858,"W")</f>
        <v>10219.741999999944</v>
      </c>
      <c r="BL857" s="343">
        <f>SUMIFS($AU$134:AU858,$P$134:P858,"R")</f>
        <v>5956.673333333335</v>
      </c>
      <c r="BM857" s="343">
        <f>SUMIFS($AU$134:AU858,$AQ$134:AQ858,"M")</f>
        <v>2381.3999999999878</v>
      </c>
      <c r="BN857" s="343">
        <f>SUMIFS($AU$134:AU858,$AQ$134:AQ858,"H")</f>
        <v>4430.1420000000153</v>
      </c>
      <c r="BO857" s="343">
        <f>SUMIFS($AU$134:AU858,$AQ$134:AQ858,"D")</f>
        <v>5320.3466666667146</v>
      </c>
      <c r="BP857" s="343">
        <f>SUMIFS($AU$134:AU860,$AQ$134:AQ860,"W")</f>
        <v>3049.7833333333429</v>
      </c>
      <c r="BQ857" s="343">
        <f>SUMIFS($AU$134:AU858,$Q$134:Q858,"O")</f>
        <v>-185.87333333301166</v>
      </c>
      <c r="BR857" s="343">
        <f>SUMIFS($AU$134:AU858,$AA$134:AA858,"*")</f>
        <v>15253.475333333332</v>
      </c>
      <c r="BS857" s="343">
        <f>SUMIFS($AU$134:AU858,$AB$134:AB858,"*")</f>
        <v>5593.3266666669924</v>
      </c>
      <c r="BT857" s="343">
        <f>SUMIFS($AU$134:AU858,$AC$134:AC858,"*")</f>
        <v>8895.6833333333325</v>
      </c>
      <c r="BU857" s="343">
        <f>SUMIFS($AU$134:AU858,$AA$134:AA858,"*",$AB$134:AB858,"*")</f>
        <v>3586.0000000000045</v>
      </c>
      <c r="BV857" s="343">
        <f>SUMIFS($AU$134:AU858,$AA$134:AA858,"*",$AC$134:AC858,"*")</f>
        <v>8356.7833333333328</v>
      </c>
      <c r="BW857" s="343">
        <f>SUMIFS($AU$134:AU858,$AB$134:AB858,"*",$AC$134:AC858,"*")</f>
        <v>5374.6</v>
      </c>
      <c r="BX857" s="343">
        <f>SUMIFS($AU858:AU$1388,$Q858:Q$1388,"F")</f>
        <v>8986.133333333335</v>
      </c>
      <c r="BY857" s="343">
        <f>SUMIFS($AU858:AU$1388,$Q858:Q$1388,"S")</f>
        <v>9787.1999999999989</v>
      </c>
      <c r="BZ857" s="343">
        <f>SUMIFS($AU858:AU$1388,$Q858:Q$1388,"O")</f>
        <v>-1462.9846666667868</v>
      </c>
    </row>
    <row r="858" spans="1:78" ht="15.75" customHeight="1">
      <c r="A858" s="221" t="s">
        <v>3123</v>
      </c>
      <c r="B858" s="177"/>
      <c r="C858" s="178"/>
      <c r="D858" s="178"/>
      <c r="E858" s="227"/>
      <c r="F858" s="180"/>
      <c r="G858" s="181"/>
      <c r="H858" s="182"/>
      <c r="I858" s="182"/>
      <c r="J858" s="182"/>
      <c r="K858" s="183"/>
      <c r="L858" s="182"/>
      <c r="M858" s="182"/>
      <c r="N858" s="182"/>
      <c r="O858" s="183"/>
      <c r="P858" s="183"/>
      <c r="Q858" s="183"/>
      <c r="R858" s="183"/>
      <c r="S858" s="183"/>
      <c r="T858" s="183"/>
      <c r="U858" s="183"/>
      <c r="V858" s="183"/>
      <c r="W858" s="183"/>
      <c r="X858" s="183"/>
      <c r="Y858" s="184" t="str">
        <f t="shared" ref="Y858:Y872" si="290">IF(ISBLANK(O858),"",(IF(O858=UPPER("IB"),0.005,0.01)))</f>
        <v/>
      </c>
      <c r="Z858" s="185" t="str">
        <f t="shared" ref="Z858:Z875" si="291">IF(ISBLANK(O858),"",IF(O858="IB",8.63*200,IF(O858="IR",16*100,IF(O858="YT",20*100,IF(O858="YT-XT",24*200,IF(O858="TED",80*100))))))</f>
        <v/>
      </c>
      <c r="AA858" s="185"/>
      <c r="AB858" s="185"/>
      <c r="AC858" s="185"/>
      <c r="AD858" s="649"/>
      <c r="AE858" s="182"/>
      <c r="AF858" s="332"/>
      <c r="AG858" s="182"/>
      <c r="AH858" s="182"/>
      <c r="AI858" s="182"/>
      <c r="AJ858" s="640"/>
      <c r="AK858" s="182"/>
      <c r="AL858" s="496"/>
      <c r="AM858" s="496"/>
      <c r="AN858" s="626"/>
      <c r="AO858" s="182"/>
      <c r="AP858" s="182"/>
      <c r="AQ858" s="332" t="str">
        <f>UPPER(RIGHT(Journal_Live[[#This Row],[DURATION ]]))</f>
        <v/>
      </c>
      <c r="AR858" s="182"/>
      <c r="AS858" s="189"/>
      <c r="AT858" s="189"/>
      <c r="AU858" s="187"/>
      <c r="AV858" s="190"/>
      <c r="AW858" s="191"/>
      <c r="AX858" s="407" t="s">
        <v>3351</v>
      </c>
      <c r="AY858" s="407" t="s">
        <v>3352</v>
      </c>
      <c r="AZ858" s="407" t="s">
        <v>3353</v>
      </c>
      <c r="BA858" s="407" t="s">
        <v>3354</v>
      </c>
      <c r="BB858" s="407"/>
      <c r="BC858" s="407"/>
      <c r="BD858" s="407"/>
      <c r="BE858" s="407"/>
      <c r="BF858" s="422"/>
      <c r="BG858" s="391">
        <f>SUM($AV$4:AV858)</f>
        <v>4315.3555263348835</v>
      </c>
      <c r="BH858" s="392">
        <f>SUM($AU$134:AU858)</f>
        <v>16384.302000000327</v>
      </c>
      <c r="BI858" s="318">
        <f>SUMIFS($AU$134:AU859,$Q$134:Q859,"F")</f>
        <v>5454.5333333333328</v>
      </c>
      <c r="BJ858" s="318">
        <f>SUMIFS($AU$134:AU859,$Q$134:Q859,"S")</f>
        <v>10884.441999999999</v>
      </c>
      <c r="BK858" s="343">
        <f>SUMIFS($AU$134:AU859,$P$134:P859,"W")</f>
        <v>10219.741999999944</v>
      </c>
      <c r="BL858" s="343">
        <f>SUMIFS($AU$134:AU859,$P$134:P859,"R")</f>
        <v>5956.673333333335</v>
      </c>
      <c r="BM858" s="343">
        <f>SUMIFS($AU$134:AU859,$AQ$134:AQ859,"M")</f>
        <v>2381.3999999999878</v>
      </c>
      <c r="BN858" s="343">
        <f>SUMIFS($AU$134:AU859,$AQ$134:AQ859,"H")</f>
        <v>4430.1420000000153</v>
      </c>
      <c r="BO858" s="343">
        <f>SUMIFS($AU$134:AU859,$AQ$134:AQ859,"D")</f>
        <v>5320.3466666667146</v>
      </c>
      <c r="BP858" s="343">
        <f>SUMIFS($AU$134:AU861,$AQ$134:AQ861,"W")</f>
        <v>3049.7833333333429</v>
      </c>
      <c r="BQ858" s="343">
        <f>SUMIFS($AU$134:AU859,$Q$134:Q859,"O")</f>
        <v>-185.87333333301166</v>
      </c>
      <c r="BR858" s="343">
        <f>SUMIFS($AU$134:AU859,$AA$134:AA859,"*")</f>
        <v>15253.475333333332</v>
      </c>
      <c r="BS858" s="343">
        <f>SUMIFS($AU$134:AU859,$AB$134:AB859,"*")</f>
        <v>5593.3266666669924</v>
      </c>
      <c r="BT858" s="343">
        <f>SUMIFS($AU$134:AU859,$AC$134:AC859,"*")</f>
        <v>8895.6833333333325</v>
      </c>
      <c r="BU858" s="343">
        <f>SUMIFS($AU$134:AU859,$AA$134:AA859,"*",$AB$134:AB859,"*")</f>
        <v>3586.0000000000045</v>
      </c>
      <c r="BV858" s="343">
        <f>SUMIFS($AU$134:AU859,$AA$134:AA859,"*",$AC$134:AC859,"*")</f>
        <v>8356.7833333333328</v>
      </c>
      <c r="BW858" s="343">
        <f>SUMIFS($AU$134:AU859,$AB$134:AB859,"*",$AC$134:AC859,"*")</f>
        <v>5374.6</v>
      </c>
      <c r="BX858" s="343">
        <f>SUMIFS($AU859:AU$1388,$Q859:Q$1388,"F")</f>
        <v>8986.133333333335</v>
      </c>
      <c r="BY858" s="343">
        <f>SUMIFS($AU859:AU$1388,$Q859:Q$1388,"S")</f>
        <v>9787.1999999999989</v>
      </c>
      <c r="BZ858" s="343">
        <f>SUMIFS($AU859:AU$1388,$Q859:Q$1388,"O")</f>
        <v>-1462.9846666667868</v>
      </c>
    </row>
    <row r="859" spans="1:78" ht="15.75" customHeight="1">
      <c r="A859" s="221" t="s">
        <v>3123</v>
      </c>
      <c r="B859" s="177">
        <v>45133</v>
      </c>
      <c r="C859" s="178" t="s">
        <v>2020</v>
      </c>
      <c r="D859" s="178" t="s">
        <v>151</v>
      </c>
      <c r="E859" s="227" t="s">
        <v>3355</v>
      </c>
      <c r="F859" s="180" t="s">
        <v>3356</v>
      </c>
      <c r="G859" s="181"/>
      <c r="H859" s="182"/>
      <c r="I859" s="182"/>
      <c r="J859" s="182">
        <v>1</v>
      </c>
      <c r="K859" s="183" t="s">
        <v>115</v>
      </c>
      <c r="L859" s="182"/>
      <c r="M859" s="182"/>
      <c r="N859" s="182"/>
      <c r="O859" s="183"/>
      <c r="P859" s="183"/>
      <c r="Q859" s="183"/>
      <c r="R859" s="183"/>
      <c r="S859" s="183"/>
      <c r="T859" s="183"/>
      <c r="U859" s="183"/>
      <c r="V859" s="183"/>
      <c r="W859" s="183"/>
      <c r="X859" s="183"/>
      <c r="Y859" s="184" t="str">
        <f t="shared" si="290"/>
        <v/>
      </c>
      <c r="Z859" s="185" t="str">
        <f t="shared" si="291"/>
        <v/>
      </c>
      <c r="AA859" s="185"/>
      <c r="AB859" s="185"/>
      <c r="AC859" s="185"/>
      <c r="AD859" s="649"/>
      <c r="AE859" s="182"/>
      <c r="AF859" s="332"/>
      <c r="AG859" s="182"/>
      <c r="AH859" s="182"/>
      <c r="AI859" s="182"/>
      <c r="AJ859" s="640"/>
      <c r="AK859" s="182"/>
      <c r="AL859" s="496"/>
      <c r="AM859" s="496"/>
      <c r="AN859" s="626"/>
      <c r="AO859" s="182"/>
      <c r="AP859" s="182"/>
      <c r="AQ859" s="332" t="str">
        <f>UPPER(RIGHT(Journal_Live[[#This Row],[DURATION ]]))</f>
        <v/>
      </c>
      <c r="AR859" s="182"/>
      <c r="AS859" s="189"/>
      <c r="AT859" s="189"/>
      <c r="AU859" s="187"/>
      <c r="AV859" s="190"/>
      <c r="AW859" s="191"/>
      <c r="AX859" s="407"/>
      <c r="AY859" s="407"/>
      <c r="AZ859" s="407"/>
      <c r="BA859" s="407"/>
      <c r="BB859" s="407"/>
      <c r="BC859" s="407"/>
      <c r="BD859" s="407"/>
      <c r="BE859" s="407"/>
      <c r="BF859" s="422"/>
      <c r="BG859" s="391">
        <f>SUM($AV$4:AV859)</f>
        <v>4315.3555263348835</v>
      </c>
      <c r="BH859" s="392">
        <f>SUM($AU$134:AU859)</f>
        <v>16384.302000000327</v>
      </c>
      <c r="BI859" s="318">
        <f>SUMIFS($AU$134:AU860,$Q$134:Q860,"F")</f>
        <v>5454.5333333333328</v>
      </c>
      <c r="BJ859" s="318">
        <f>SUMIFS($AU$134:AU860,$Q$134:Q860,"S")</f>
        <v>10884.441999999999</v>
      </c>
      <c r="BK859" s="343">
        <f>SUMIFS($AU$134:AU860,$P$134:P860,"W")</f>
        <v>10219.741999999944</v>
      </c>
      <c r="BL859" s="343">
        <f>SUMIFS($AU$134:AU860,$P$134:P860,"R")</f>
        <v>5956.673333333335</v>
      </c>
      <c r="BM859" s="343">
        <f>SUMIFS($AU$134:AU860,$AQ$134:AQ860,"M")</f>
        <v>2381.3999999999878</v>
      </c>
      <c r="BN859" s="343">
        <f>SUMIFS($AU$134:AU860,$AQ$134:AQ860,"H")</f>
        <v>4430.1420000000153</v>
      </c>
      <c r="BO859" s="343">
        <f>SUMIFS($AU$134:AU860,$AQ$134:AQ860,"D")</f>
        <v>5320.3466666667146</v>
      </c>
      <c r="BP859" s="343">
        <f>SUMIFS($AU$134:AU862,$AQ$134:AQ862,"W")</f>
        <v>3049.7833333333429</v>
      </c>
      <c r="BQ859" s="343">
        <f>SUMIFS($AU$134:AU860,$Q$134:Q860,"O")</f>
        <v>-185.87333333301166</v>
      </c>
      <c r="BR859" s="343">
        <f>SUMIFS($AU$134:AU860,$AA$134:AA860,"*")</f>
        <v>15253.475333333332</v>
      </c>
      <c r="BS859" s="343">
        <f>SUMIFS($AU$134:AU860,$AB$134:AB860,"*")</f>
        <v>5593.3266666669924</v>
      </c>
      <c r="BT859" s="343">
        <f>SUMIFS($AU$134:AU860,$AC$134:AC860,"*")</f>
        <v>8895.6833333333325</v>
      </c>
      <c r="BU859" s="343">
        <f>SUMIFS($AU$134:AU860,$AA$134:AA860,"*",$AB$134:AB860,"*")</f>
        <v>3586.0000000000045</v>
      </c>
      <c r="BV859" s="343">
        <f>SUMIFS($AU$134:AU860,$AA$134:AA860,"*",$AC$134:AC860,"*")</f>
        <v>8356.7833333333328</v>
      </c>
      <c r="BW859" s="343">
        <f>SUMIFS($AU$134:AU860,$AB$134:AB860,"*",$AC$134:AC860,"*")</f>
        <v>5374.6</v>
      </c>
      <c r="BX859" s="343">
        <f>SUMIFS($AU860:AU$1388,$Q860:Q$1388,"F")</f>
        <v>8986.133333333335</v>
      </c>
      <c r="BY859" s="343">
        <f>SUMIFS($AU860:AU$1388,$Q860:Q$1388,"S")</f>
        <v>9787.1999999999989</v>
      </c>
      <c r="BZ859" s="343">
        <f>SUMIFS($AU860:AU$1388,$Q860:Q$1388,"O")</f>
        <v>-1462.9846666667868</v>
      </c>
    </row>
    <row r="860" spans="1:78" ht="15.75" customHeight="1">
      <c r="A860" s="221" t="s">
        <v>3123</v>
      </c>
      <c r="B860" s="177"/>
      <c r="C860" s="178"/>
      <c r="D860" s="178"/>
      <c r="E860" s="227" t="s">
        <v>3357</v>
      </c>
      <c r="F860" s="180"/>
      <c r="G860" s="181"/>
      <c r="H860" s="182"/>
      <c r="I860" s="182"/>
      <c r="J860" s="182">
        <v>1</v>
      </c>
      <c r="K860" s="183" t="s">
        <v>115</v>
      </c>
      <c r="L860" s="182"/>
      <c r="M860" s="182"/>
      <c r="N860" s="182"/>
      <c r="O860" s="183"/>
      <c r="P860" s="183"/>
      <c r="Q860" s="183"/>
      <c r="R860" s="183"/>
      <c r="S860" s="183"/>
      <c r="T860" s="183"/>
      <c r="U860" s="183"/>
      <c r="V860" s="183"/>
      <c r="W860" s="183"/>
      <c r="X860" s="183"/>
      <c r="Y860" s="184" t="str">
        <f t="shared" si="290"/>
        <v/>
      </c>
      <c r="Z860" s="185" t="str">
        <f t="shared" si="291"/>
        <v/>
      </c>
      <c r="AA860" s="185"/>
      <c r="AB860" s="185"/>
      <c r="AC860" s="185"/>
      <c r="AD860" s="649"/>
      <c r="AE860" s="182"/>
      <c r="AF860" s="332"/>
      <c r="AG860" s="182"/>
      <c r="AH860" s="182"/>
      <c r="AI860" s="182"/>
      <c r="AJ860" s="640"/>
      <c r="AK860" s="182"/>
      <c r="AL860" s="496"/>
      <c r="AM860" s="496"/>
      <c r="AN860" s="626"/>
      <c r="AO860" s="182"/>
      <c r="AP860" s="182"/>
      <c r="AQ860" s="332" t="str">
        <f>UPPER(RIGHT(Journal_Live[[#This Row],[DURATION ]]))</f>
        <v/>
      </c>
      <c r="AR860" s="182"/>
      <c r="AS860" s="189"/>
      <c r="AT860" s="189"/>
      <c r="AU860" s="187"/>
      <c r="AV860" s="190"/>
      <c r="AW860" s="191"/>
      <c r="AX860" s="407"/>
      <c r="AY860" s="407"/>
      <c r="AZ860" s="407"/>
      <c r="BA860" s="407"/>
      <c r="BB860" s="407"/>
      <c r="BC860" s="407"/>
      <c r="BD860" s="407"/>
      <c r="BE860" s="407"/>
      <c r="BF860" s="422"/>
      <c r="BG860" s="391">
        <f>SUM($AV$4:AV860)</f>
        <v>4315.3555263348835</v>
      </c>
      <c r="BH860" s="392">
        <f>SUM($AU$134:AU860)</f>
        <v>16384.302000000327</v>
      </c>
      <c r="BI860" s="318">
        <f>SUMIFS($AU$134:AU861,$Q$134:Q861,"F")</f>
        <v>5454.5333333333328</v>
      </c>
      <c r="BJ860" s="318">
        <f>SUMIFS($AU$134:AU861,$Q$134:Q861,"S")</f>
        <v>10884.441999999999</v>
      </c>
      <c r="BK860" s="343">
        <f>SUMIFS($AU$134:AU861,$P$134:P861,"W")</f>
        <v>10219.741999999944</v>
      </c>
      <c r="BL860" s="343">
        <f>SUMIFS($AU$134:AU861,$P$134:P861,"R")</f>
        <v>5956.673333333335</v>
      </c>
      <c r="BM860" s="343">
        <f>SUMIFS($AU$134:AU861,$AQ$134:AQ861,"M")</f>
        <v>2381.3999999999878</v>
      </c>
      <c r="BN860" s="343">
        <f>SUMIFS($AU$134:AU861,$AQ$134:AQ861,"H")</f>
        <v>4430.1420000000153</v>
      </c>
      <c r="BO860" s="343">
        <f>SUMIFS($AU$134:AU861,$AQ$134:AQ861,"D")</f>
        <v>5320.3466666667146</v>
      </c>
      <c r="BP860" s="343">
        <f>SUMIFS($AU$134:AU863,$AQ$134:AQ863,"W")</f>
        <v>3049.7833333333429</v>
      </c>
      <c r="BQ860" s="343">
        <f>SUMIFS($AU$134:AU861,$Q$134:Q861,"O")</f>
        <v>-185.87333333301166</v>
      </c>
      <c r="BR860" s="343">
        <f>SUMIFS($AU$134:AU861,$AA$134:AA861,"*")</f>
        <v>15253.475333333332</v>
      </c>
      <c r="BS860" s="343">
        <f>SUMIFS($AU$134:AU861,$AB$134:AB861,"*")</f>
        <v>5593.3266666669924</v>
      </c>
      <c r="BT860" s="343">
        <f>SUMIFS($AU$134:AU861,$AC$134:AC861,"*")</f>
        <v>8895.6833333333325</v>
      </c>
      <c r="BU860" s="343">
        <f>SUMIFS($AU$134:AU861,$AA$134:AA861,"*",$AB$134:AB861,"*")</f>
        <v>3586.0000000000045</v>
      </c>
      <c r="BV860" s="343">
        <f>SUMIFS($AU$134:AU861,$AA$134:AA861,"*",$AC$134:AC861,"*")</f>
        <v>8356.7833333333328</v>
      </c>
      <c r="BW860" s="343">
        <f>SUMIFS($AU$134:AU861,$AB$134:AB861,"*",$AC$134:AC861,"*")</f>
        <v>5374.6</v>
      </c>
      <c r="BX860" s="343">
        <f>SUMIFS($AU861:AU$1388,$Q861:Q$1388,"F")</f>
        <v>8986.133333333335</v>
      </c>
      <c r="BY860" s="343">
        <f>SUMIFS($AU861:AU$1388,$Q861:Q$1388,"S")</f>
        <v>9787.1999999999989</v>
      </c>
      <c r="BZ860" s="343">
        <f>SUMIFS($AU861:AU$1388,$Q861:Q$1388,"O")</f>
        <v>-1462.9846666667868</v>
      </c>
    </row>
    <row r="861" spans="1:78" ht="15.75" customHeight="1">
      <c r="A861" s="221" t="s">
        <v>3123</v>
      </c>
      <c r="B861" s="177">
        <v>45133</v>
      </c>
      <c r="C861" s="178" t="s">
        <v>2960</v>
      </c>
      <c r="D861" s="178" t="s">
        <v>151</v>
      </c>
      <c r="E861" s="227" t="s">
        <v>3358</v>
      </c>
      <c r="F861" s="180" t="s">
        <v>3113</v>
      </c>
      <c r="G861" s="181"/>
      <c r="H861" s="182"/>
      <c r="I861" s="182"/>
      <c r="J861" s="182"/>
      <c r="K861" s="183"/>
      <c r="L861" s="182"/>
      <c r="M861" s="182"/>
      <c r="N861" s="182"/>
      <c r="O861" s="183"/>
      <c r="P861" s="183"/>
      <c r="Q861" s="183"/>
      <c r="R861" s="183"/>
      <c r="S861" s="183"/>
      <c r="T861" s="183"/>
      <c r="U861" s="183"/>
      <c r="V861" s="183"/>
      <c r="W861" s="183"/>
      <c r="X861" s="183"/>
      <c r="Y861" s="184" t="str">
        <f t="shared" si="290"/>
        <v/>
      </c>
      <c r="Z861" s="185" t="str">
        <f t="shared" si="291"/>
        <v/>
      </c>
      <c r="AA861" s="185"/>
      <c r="AB861" s="185"/>
      <c r="AC861" s="185"/>
      <c r="AD861" s="649"/>
      <c r="AE861" s="182"/>
      <c r="AF861" s="332"/>
      <c r="AG861" s="182"/>
      <c r="AH861" s="182"/>
      <c r="AI861" s="182"/>
      <c r="AJ861" s="640"/>
      <c r="AK861" s="182"/>
      <c r="AL861" s="496"/>
      <c r="AM861" s="496"/>
      <c r="AN861" s="626"/>
      <c r="AO861" s="182"/>
      <c r="AP861" s="182"/>
      <c r="AQ861" s="332" t="str">
        <f>UPPER(RIGHT(Journal_Live[[#This Row],[DURATION ]]))</f>
        <v/>
      </c>
      <c r="AR861" s="182"/>
      <c r="AS861" s="189"/>
      <c r="AT861" s="189"/>
      <c r="AU861" s="187"/>
      <c r="AV861" s="190"/>
      <c r="AW861" s="191"/>
      <c r="AX861" s="407"/>
      <c r="AY861" s="407"/>
      <c r="AZ861" s="407"/>
      <c r="BA861" s="407"/>
      <c r="BB861" s="407"/>
      <c r="BC861" s="407"/>
      <c r="BD861" s="407"/>
      <c r="BE861" s="407"/>
      <c r="BF861" s="422"/>
      <c r="BG861" s="391">
        <f>SUM($AV$4:AV861)</f>
        <v>4315.3555263348835</v>
      </c>
      <c r="BH861" s="392">
        <f>SUM($AU$134:AU861)</f>
        <v>16384.302000000327</v>
      </c>
      <c r="BI861" s="318">
        <f>SUMIFS($AU$134:AU862,$Q$134:Q862,"F")</f>
        <v>5454.5333333333328</v>
      </c>
      <c r="BJ861" s="318">
        <f>SUMIFS($AU$134:AU862,$Q$134:Q862,"S")</f>
        <v>10884.441999999999</v>
      </c>
      <c r="BK861" s="343">
        <f>SUMIFS($AU$134:AU862,$P$134:P862,"W")</f>
        <v>10219.741999999944</v>
      </c>
      <c r="BL861" s="343">
        <f>SUMIFS($AU$134:AU862,$P$134:P862,"R")</f>
        <v>5956.673333333335</v>
      </c>
      <c r="BM861" s="343">
        <f>SUMIFS($AU$134:AU862,$AQ$134:AQ862,"M")</f>
        <v>2381.3999999999878</v>
      </c>
      <c r="BN861" s="343">
        <f>SUMIFS($AU$134:AU862,$AQ$134:AQ862,"H")</f>
        <v>4430.1420000000153</v>
      </c>
      <c r="BO861" s="343">
        <f>SUMIFS($AU$134:AU862,$AQ$134:AQ862,"D")</f>
        <v>5320.3466666667146</v>
      </c>
      <c r="BP861" s="343">
        <f>SUMIFS($AU$134:AU864,$AQ$134:AQ864,"W")</f>
        <v>3049.7833333333429</v>
      </c>
      <c r="BQ861" s="343">
        <f>SUMIFS($AU$134:AU862,$Q$134:Q862,"O")</f>
        <v>-185.87333333301166</v>
      </c>
      <c r="BR861" s="343">
        <f>SUMIFS($AU$134:AU862,$AA$134:AA862,"*")</f>
        <v>15253.475333333332</v>
      </c>
      <c r="BS861" s="343">
        <f>SUMIFS($AU$134:AU862,$AB$134:AB862,"*")</f>
        <v>5593.3266666669924</v>
      </c>
      <c r="BT861" s="343">
        <f>SUMIFS($AU$134:AU862,$AC$134:AC862,"*")</f>
        <v>8895.6833333333325</v>
      </c>
      <c r="BU861" s="343">
        <f>SUMIFS($AU$134:AU862,$AA$134:AA862,"*",$AB$134:AB862,"*")</f>
        <v>3586.0000000000045</v>
      </c>
      <c r="BV861" s="343">
        <f>SUMIFS($AU$134:AU862,$AA$134:AA862,"*",$AC$134:AC862,"*")</f>
        <v>8356.7833333333328</v>
      </c>
      <c r="BW861" s="343">
        <f>SUMIFS($AU$134:AU862,$AB$134:AB862,"*",$AC$134:AC862,"*")</f>
        <v>5374.6</v>
      </c>
      <c r="BX861" s="343">
        <f>SUMIFS($AU862:AU$1388,$Q862:Q$1388,"F")</f>
        <v>8986.133333333335</v>
      </c>
      <c r="BY861" s="343">
        <f>SUMIFS($AU862:AU$1388,$Q862:Q$1388,"S")</f>
        <v>9787.1999999999989</v>
      </c>
      <c r="BZ861" s="343">
        <f>SUMIFS($AU862:AU$1388,$Q862:Q$1388,"O")</f>
        <v>-1462.9846666667868</v>
      </c>
    </row>
    <row r="862" spans="1:78" ht="15.75" customHeight="1">
      <c r="A862" s="221" t="s">
        <v>3123</v>
      </c>
      <c r="B862" s="177">
        <v>45134</v>
      </c>
      <c r="C862" s="178" t="s">
        <v>311</v>
      </c>
      <c r="D862" s="178" t="s">
        <v>93</v>
      </c>
      <c r="E862" s="227" t="s">
        <v>3359</v>
      </c>
      <c r="F862" s="180" t="s">
        <v>3113</v>
      </c>
      <c r="G862" s="181"/>
      <c r="H862" s="182"/>
      <c r="I862" s="182"/>
      <c r="J862" s="182"/>
      <c r="K862" s="183"/>
      <c r="L862" s="182"/>
      <c r="M862" s="182"/>
      <c r="N862" s="182"/>
      <c r="O862" s="183"/>
      <c r="P862" s="183"/>
      <c r="Q862" s="183"/>
      <c r="R862" s="183"/>
      <c r="S862" s="183"/>
      <c r="T862" s="183"/>
      <c r="U862" s="183"/>
      <c r="V862" s="183"/>
      <c r="W862" s="183"/>
      <c r="X862" s="183"/>
      <c r="Y862" s="184" t="str">
        <f t="shared" si="290"/>
        <v/>
      </c>
      <c r="Z862" s="185" t="str">
        <f t="shared" si="291"/>
        <v/>
      </c>
      <c r="AA862" s="185"/>
      <c r="AB862" s="185"/>
      <c r="AC862" s="185"/>
      <c r="AD862" s="649"/>
      <c r="AE862" s="182"/>
      <c r="AF862" s="332"/>
      <c r="AG862" s="182"/>
      <c r="AH862" s="182"/>
      <c r="AI862" s="182"/>
      <c r="AJ862" s="640"/>
      <c r="AK862" s="182"/>
      <c r="AL862" s="496"/>
      <c r="AM862" s="496"/>
      <c r="AN862" s="626"/>
      <c r="AO862" s="182"/>
      <c r="AP862" s="182"/>
      <c r="AQ862" s="332" t="str">
        <f>UPPER(RIGHT(Journal_Live[[#This Row],[DURATION ]]))</f>
        <v/>
      </c>
      <c r="AR862" s="182"/>
      <c r="AS862" s="189"/>
      <c r="AT862" s="189"/>
      <c r="AU862" s="187"/>
      <c r="AV862" s="190"/>
      <c r="AW862" s="191"/>
      <c r="AX862" s="407"/>
      <c r="AY862" s="407"/>
      <c r="AZ862" s="407"/>
      <c r="BA862" s="407"/>
      <c r="BB862" s="407"/>
      <c r="BC862" s="407"/>
      <c r="BD862" s="407"/>
      <c r="BE862" s="407"/>
      <c r="BF862" s="422"/>
      <c r="BG862" s="391">
        <f>SUM($AV$4:AV862)</f>
        <v>4315.3555263348835</v>
      </c>
      <c r="BH862" s="392">
        <f>SUM($AU$134:AU862)</f>
        <v>16384.302000000327</v>
      </c>
      <c r="BI862" s="318">
        <f>SUMIFS($AU$134:AU863,$Q$134:Q863,"F")</f>
        <v>5454.5333333333328</v>
      </c>
      <c r="BJ862" s="318">
        <f>SUMIFS($AU$134:AU863,$Q$134:Q863,"S")</f>
        <v>10884.441999999999</v>
      </c>
      <c r="BK862" s="343">
        <f>SUMIFS($AU$134:AU863,$P$134:P863,"W")</f>
        <v>10219.741999999944</v>
      </c>
      <c r="BL862" s="343">
        <f>SUMIFS($AU$134:AU863,$P$134:P863,"R")</f>
        <v>5956.673333333335</v>
      </c>
      <c r="BM862" s="343">
        <f>SUMIFS($AU$134:AU863,$AQ$134:AQ863,"M")</f>
        <v>2381.3999999999878</v>
      </c>
      <c r="BN862" s="343">
        <f>SUMIFS($AU$134:AU863,$AQ$134:AQ863,"H")</f>
        <v>4430.1420000000153</v>
      </c>
      <c r="BO862" s="343">
        <f>SUMIFS($AU$134:AU863,$AQ$134:AQ863,"D")</f>
        <v>5320.3466666667146</v>
      </c>
      <c r="BP862" s="343">
        <f>SUMIFS($AU$134:AU865,$AQ$134:AQ865,"W")</f>
        <v>3049.7833333333429</v>
      </c>
      <c r="BQ862" s="343">
        <f>SUMIFS($AU$134:AU863,$Q$134:Q863,"O")</f>
        <v>-185.87333333301166</v>
      </c>
      <c r="BR862" s="343">
        <f>SUMIFS($AU$134:AU863,$AA$134:AA863,"*")</f>
        <v>15253.475333333332</v>
      </c>
      <c r="BS862" s="343">
        <f>SUMIFS($AU$134:AU863,$AB$134:AB863,"*")</f>
        <v>5593.3266666669924</v>
      </c>
      <c r="BT862" s="343">
        <f>SUMIFS($AU$134:AU863,$AC$134:AC863,"*")</f>
        <v>8895.6833333333325</v>
      </c>
      <c r="BU862" s="343">
        <f>SUMIFS($AU$134:AU863,$AA$134:AA863,"*",$AB$134:AB863,"*")</f>
        <v>3586.0000000000045</v>
      </c>
      <c r="BV862" s="343">
        <f>SUMIFS($AU$134:AU863,$AA$134:AA863,"*",$AC$134:AC863,"*")</f>
        <v>8356.7833333333328</v>
      </c>
      <c r="BW862" s="343">
        <f>SUMIFS($AU$134:AU863,$AB$134:AB863,"*",$AC$134:AC863,"*")</f>
        <v>5374.6</v>
      </c>
      <c r="BX862" s="343">
        <f>SUMIFS($AU863:AU$1388,$Q863:Q$1388,"F")</f>
        <v>8986.133333333335</v>
      </c>
      <c r="BY862" s="343">
        <f>SUMIFS($AU863:AU$1388,$Q863:Q$1388,"S")</f>
        <v>9787.1999999999989</v>
      </c>
      <c r="BZ862" s="343">
        <f>SUMIFS($AU863:AU$1388,$Q863:Q$1388,"O")</f>
        <v>-1462.9846666667868</v>
      </c>
    </row>
    <row r="863" spans="1:78" ht="15.75" customHeight="1">
      <c r="A863" s="221" t="s">
        <v>3123</v>
      </c>
      <c r="B863" s="177"/>
      <c r="C863" s="178"/>
      <c r="D863" s="178"/>
      <c r="E863" s="227" t="s">
        <v>3360</v>
      </c>
      <c r="F863" s="180"/>
      <c r="G863" s="181"/>
      <c r="H863" s="182">
        <v>1</v>
      </c>
      <c r="I863" s="182"/>
      <c r="J863" s="182"/>
      <c r="K863" s="183" t="s">
        <v>372</v>
      </c>
      <c r="L863" s="182"/>
      <c r="M863" s="182"/>
      <c r="N863" s="182"/>
      <c r="O863" s="183"/>
      <c r="P863" s="183"/>
      <c r="Q863" s="183"/>
      <c r="R863" s="183"/>
      <c r="S863" s="183"/>
      <c r="T863" s="183"/>
      <c r="U863" s="183"/>
      <c r="V863" s="183"/>
      <c r="W863" s="183"/>
      <c r="X863" s="183"/>
      <c r="Y863" s="184" t="str">
        <f t="shared" si="290"/>
        <v/>
      </c>
      <c r="Z863" s="185" t="str">
        <f t="shared" si="291"/>
        <v/>
      </c>
      <c r="AA863" s="185"/>
      <c r="AB863" s="185"/>
      <c r="AC863" s="185"/>
      <c r="AD863" s="649"/>
      <c r="AE863" s="182"/>
      <c r="AF863" s="332"/>
      <c r="AG863" s="182"/>
      <c r="AH863" s="182"/>
      <c r="AI863" s="182"/>
      <c r="AJ863" s="640"/>
      <c r="AK863" s="182"/>
      <c r="AL863" s="496"/>
      <c r="AM863" s="496"/>
      <c r="AN863" s="626"/>
      <c r="AO863" s="182"/>
      <c r="AP863" s="182"/>
      <c r="AQ863" s="332" t="str">
        <f>UPPER(RIGHT(Journal_Live[[#This Row],[DURATION ]]))</f>
        <v/>
      </c>
      <c r="AR863" s="182"/>
      <c r="AS863" s="189"/>
      <c r="AT863" s="189"/>
      <c r="AU863" s="187"/>
      <c r="AV863" s="190"/>
      <c r="AW863" s="191"/>
      <c r="AX863" s="407" t="s">
        <v>3361</v>
      </c>
      <c r="AY863" s="407" t="s">
        <v>3362</v>
      </c>
      <c r="AZ863" s="407" t="s">
        <v>3363</v>
      </c>
      <c r="BA863" s="407" t="s">
        <v>3364</v>
      </c>
      <c r="BB863" s="407"/>
      <c r="BC863" s="407"/>
      <c r="BD863" s="407"/>
      <c r="BE863" s="407"/>
      <c r="BF863" s="422"/>
      <c r="BG863" s="391">
        <f>SUM($AV$4:AV863)</f>
        <v>4315.3555263348835</v>
      </c>
      <c r="BH863" s="392">
        <f>SUM($AU$134:AU863)</f>
        <v>16384.302000000327</v>
      </c>
      <c r="BI863" s="318">
        <f>SUMIFS($AU$134:AU864,$Q$134:Q864,"F")</f>
        <v>5454.5333333333328</v>
      </c>
      <c r="BJ863" s="318">
        <f>SUMIFS($AU$134:AU864,$Q$134:Q864,"S")</f>
        <v>10884.441999999999</v>
      </c>
      <c r="BK863" s="343">
        <f>SUMIFS($AU$134:AU864,$P$134:P864,"W")</f>
        <v>10219.741999999944</v>
      </c>
      <c r="BL863" s="343">
        <f>SUMIFS($AU$134:AU864,$P$134:P864,"R")</f>
        <v>5956.673333333335</v>
      </c>
      <c r="BM863" s="343">
        <f>SUMIFS($AU$134:AU864,$AQ$134:AQ864,"M")</f>
        <v>2381.3999999999878</v>
      </c>
      <c r="BN863" s="343">
        <f>SUMIFS($AU$134:AU864,$AQ$134:AQ864,"H")</f>
        <v>4430.1420000000153</v>
      </c>
      <c r="BO863" s="343">
        <f>SUMIFS($AU$134:AU864,$AQ$134:AQ864,"D")</f>
        <v>5320.3466666667146</v>
      </c>
      <c r="BP863" s="343">
        <f>SUMIFS($AU$134:AU866,$AQ$134:AQ866,"W")</f>
        <v>3049.7833333333429</v>
      </c>
      <c r="BQ863" s="343">
        <f>SUMIFS($AU$134:AU864,$Q$134:Q864,"O")</f>
        <v>-185.87333333301166</v>
      </c>
      <c r="BR863" s="343">
        <f>SUMIFS($AU$134:AU864,$AA$134:AA864,"*")</f>
        <v>15253.475333333332</v>
      </c>
      <c r="BS863" s="343">
        <f>SUMIFS($AU$134:AU864,$AB$134:AB864,"*")</f>
        <v>5593.3266666669924</v>
      </c>
      <c r="BT863" s="343">
        <f>SUMIFS($AU$134:AU864,$AC$134:AC864,"*")</f>
        <v>8895.6833333333325</v>
      </c>
      <c r="BU863" s="343">
        <f>SUMIFS($AU$134:AU864,$AA$134:AA864,"*",$AB$134:AB864,"*")</f>
        <v>3586.0000000000045</v>
      </c>
      <c r="BV863" s="343">
        <f>SUMIFS($AU$134:AU864,$AA$134:AA864,"*",$AC$134:AC864,"*")</f>
        <v>8356.7833333333328</v>
      </c>
      <c r="BW863" s="343">
        <f>SUMIFS($AU$134:AU864,$AB$134:AB864,"*",$AC$134:AC864,"*")</f>
        <v>5374.6</v>
      </c>
      <c r="BX863" s="343">
        <f>SUMIFS($AU864:AU$1388,$Q864:Q$1388,"F")</f>
        <v>8986.133333333335</v>
      </c>
      <c r="BY863" s="343">
        <f>SUMIFS($AU864:AU$1388,$Q864:Q$1388,"S")</f>
        <v>9787.1999999999989</v>
      </c>
      <c r="BZ863" s="343">
        <f>SUMIFS($AU864:AU$1388,$Q864:Q$1388,"O")</f>
        <v>-1462.9846666667868</v>
      </c>
    </row>
    <row r="864" spans="1:78" ht="15.75" customHeight="1">
      <c r="A864" s="221" t="s">
        <v>3123</v>
      </c>
      <c r="B864" s="177">
        <v>45135</v>
      </c>
      <c r="C864" s="178" t="s">
        <v>2020</v>
      </c>
      <c r="D864" s="178" t="s">
        <v>111</v>
      </c>
      <c r="E864" s="227" t="s">
        <v>3365</v>
      </c>
      <c r="F864" s="180"/>
      <c r="G864" s="181"/>
      <c r="H864" s="182"/>
      <c r="I864" s="182">
        <v>1</v>
      </c>
      <c r="J864" s="182"/>
      <c r="K864" s="183"/>
      <c r="L864" s="182"/>
      <c r="M864" s="182"/>
      <c r="N864" s="182"/>
      <c r="O864" s="183"/>
      <c r="P864" s="183"/>
      <c r="Q864" s="183"/>
      <c r="R864" s="183"/>
      <c r="S864" s="183"/>
      <c r="T864" s="183"/>
      <c r="U864" s="183"/>
      <c r="V864" s="183"/>
      <c r="W864" s="183"/>
      <c r="X864" s="183"/>
      <c r="Y864" s="184" t="str">
        <f t="shared" si="290"/>
        <v/>
      </c>
      <c r="Z864" s="185" t="str">
        <f t="shared" si="291"/>
        <v/>
      </c>
      <c r="AA864" s="185"/>
      <c r="AB864" s="185"/>
      <c r="AC864" s="185"/>
      <c r="AD864" s="649"/>
      <c r="AE864" s="182"/>
      <c r="AF864" s="332"/>
      <c r="AG864" s="182"/>
      <c r="AH864" s="182"/>
      <c r="AI864" s="182"/>
      <c r="AJ864" s="640"/>
      <c r="AK864" s="182"/>
      <c r="AL864" s="496"/>
      <c r="AM864" s="496"/>
      <c r="AN864" s="626"/>
      <c r="AO864" s="182"/>
      <c r="AP864" s="182"/>
      <c r="AQ864" s="332" t="str">
        <f>UPPER(RIGHT(Journal_Live[[#This Row],[DURATION ]]))</f>
        <v/>
      </c>
      <c r="AR864" s="182"/>
      <c r="AS864" s="189"/>
      <c r="AT864" s="189"/>
      <c r="AU864" s="187"/>
      <c r="AV864" s="190"/>
      <c r="AW864" s="191"/>
      <c r="AX864" s="407"/>
      <c r="AY864" s="407"/>
      <c r="AZ864" s="407"/>
      <c r="BA864" s="407"/>
      <c r="BB864" s="407"/>
      <c r="BC864" s="407"/>
      <c r="BD864" s="407"/>
      <c r="BE864" s="407"/>
      <c r="BF864" s="422"/>
      <c r="BG864" s="391">
        <f>SUM($AV$4:AV864)</f>
        <v>4315.3555263348835</v>
      </c>
      <c r="BH864" s="392">
        <f>SUM($AU$134:AU864)</f>
        <v>16384.302000000327</v>
      </c>
      <c r="BI864" s="318">
        <f>SUMIFS($AU$134:AU865,$Q$134:Q865,"F")</f>
        <v>5454.5333333333328</v>
      </c>
      <c r="BJ864" s="318">
        <f>SUMIFS($AU$134:AU865,$Q$134:Q865,"S")</f>
        <v>10884.441999999999</v>
      </c>
      <c r="BK864" s="343">
        <f>SUMIFS($AU$134:AU865,$P$134:P865,"W")</f>
        <v>10219.741999999944</v>
      </c>
      <c r="BL864" s="343">
        <f>SUMIFS($AU$134:AU865,$P$134:P865,"R")</f>
        <v>5956.673333333335</v>
      </c>
      <c r="BM864" s="343">
        <f>SUMIFS($AU$134:AU865,$AQ$134:AQ865,"M")</f>
        <v>2381.3999999999878</v>
      </c>
      <c r="BN864" s="343">
        <f>SUMIFS($AU$134:AU865,$AQ$134:AQ865,"H")</f>
        <v>4430.1420000000153</v>
      </c>
      <c r="BO864" s="343">
        <f>SUMIFS($AU$134:AU865,$AQ$134:AQ865,"D")</f>
        <v>5320.3466666667146</v>
      </c>
      <c r="BP864" s="343">
        <f>SUMIFS($AU$134:AU867,$AQ$134:AQ867,"W")</f>
        <v>3049.7833333333429</v>
      </c>
      <c r="BQ864" s="343">
        <f>SUMIFS($AU$134:AU865,$Q$134:Q865,"O")</f>
        <v>-185.87333333301166</v>
      </c>
      <c r="BR864" s="343">
        <f>SUMIFS($AU$134:AU865,$AA$134:AA865,"*")</f>
        <v>15253.475333333332</v>
      </c>
      <c r="BS864" s="343">
        <f>SUMIFS($AU$134:AU865,$AB$134:AB865,"*")</f>
        <v>5593.3266666669924</v>
      </c>
      <c r="BT864" s="343">
        <f>SUMIFS($AU$134:AU865,$AC$134:AC865,"*")</f>
        <v>8895.6833333333325</v>
      </c>
      <c r="BU864" s="343">
        <f>SUMIFS($AU$134:AU865,$AA$134:AA865,"*",$AB$134:AB865,"*")</f>
        <v>3586.0000000000045</v>
      </c>
      <c r="BV864" s="343">
        <f>SUMIFS($AU$134:AU865,$AA$134:AA865,"*",$AC$134:AC865,"*")</f>
        <v>8356.7833333333328</v>
      </c>
      <c r="BW864" s="343">
        <f>SUMIFS($AU$134:AU865,$AB$134:AB865,"*",$AC$134:AC865,"*")</f>
        <v>5374.6</v>
      </c>
      <c r="BX864" s="343">
        <f>SUMIFS($AU865:AU$1388,$Q865:Q$1388,"F")</f>
        <v>8986.133333333335</v>
      </c>
      <c r="BY864" s="343">
        <f>SUMIFS($AU865:AU$1388,$Q865:Q$1388,"S")</f>
        <v>9787.1999999999989</v>
      </c>
      <c r="BZ864" s="343">
        <f>SUMIFS($AU865:AU$1388,$Q865:Q$1388,"O")</f>
        <v>-1462.9846666667868</v>
      </c>
    </row>
    <row r="865" spans="1:78" ht="15.75" customHeight="1">
      <c r="A865" s="221" t="s">
        <v>3123</v>
      </c>
      <c r="B865" s="177"/>
      <c r="C865" s="178"/>
      <c r="D865" s="178"/>
      <c r="E865" s="227" t="s">
        <v>3366</v>
      </c>
      <c r="F865" s="180"/>
      <c r="G865" s="181"/>
      <c r="H865" s="182"/>
      <c r="I865" s="182"/>
      <c r="J865" s="182">
        <v>1</v>
      </c>
      <c r="K865" s="183" t="s">
        <v>115</v>
      </c>
      <c r="L865" s="182"/>
      <c r="M865" s="182"/>
      <c r="N865" s="182"/>
      <c r="O865" s="183"/>
      <c r="P865" s="183"/>
      <c r="Q865" s="183"/>
      <c r="R865" s="183"/>
      <c r="S865" s="183"/>
      <c r="T865" s="183"/>
      <c r="U865" s="183"/>
      <c r="V865" s="183"/>
      <c r="W865" s="183"/>
      <c r="X865" s="183"/>
      <c r="Y865" s="184" t="str">
        <f t="shared" si="290"/>
        <v/>
      </c>
      <c r="Z865" s="185" t="str">
        <f t="shared" si="291"/>
        <v/>
      </c>
      <c r="AA865" s="185"/>
      <c r="AB865" s="185"/>
      <c r="AC865" s="185"/>
      <c r="AD865" s="649"/>
      <c r="AE865" s="182"/>
      <c r="AF865" s="332"/>
      <c r="AG865" s="182"/>
      <c r="AH865" s="182"/>
      <c r="AI865" s="182"/>
      <c r="AJ865" s="640"/>
      <c r="AK865" s="182"/>
      <c r="AL865" s="496"/>
      <c r="AM865" s="496"/>
      <c r="AN865" s="626"/>
      <c r="AO865" s="182"/>
      <c r="AP865" s="182"/>
      <c r="AQ865" s="332" t="str">
        <f>UPPER(RIGHT(Journal_Live[[#This Row],[DURATION ]]))</f>
        <v/>
      </c>
      <c r="AR865" s="182"/>
      <c r="AS865" s="189"/>
      <c r="AT865" s="189"/>
      <c r="AU865" s="187"/>
      <c r="AV865" s="190"/>
      <c r="AW865" s="191"/>
      <c r="AX865" s="407"/>
      <c r="AY865" s="407"/>
      <c r="AZ865" s="407"/>
      <c r="BA865" s="407"/>
      <c r="BB865" s="407"/>
      <c r="BC865" s="407"/>
      <c r="BD865" s="407"/>
      <c r="BE865" s="407"/>
      <c r="BF865" s="422"/>
      <c r="BG865" s="391">
        <f>SUM($AV$4:AV865)</f>
        <v>4315.3555263348835</v>
      </c>
      <c r="BH865" s="392">
        <f>SUM($AU$134:AU865)</f>
        <v>16384.302000000327</v>
      </c>
      <c r="BI865" s="318">
        <f>SUMIFS($AU$134:AU866,$Q$134:Q866,"F")</f>
        <v>5454.5333333333328</v>
      </c>
      <c r="BJ865" s="318">
        <f>SUMIFS($AU$134:AU866,$Q$134:Q866,"S")</f>
        <v>10884.441999999999</v>
      </c>
      <c r="BK865" s="343">
        <f>SUMIFS($AU$134:AU866,$P$134:P866,"W")</f>
        <v>10219.741999999944</v>
      </c>
      <c r="BL865" s="343">
        <f>SUMIFS($AU$134:AU866,$P$134:P866,"R")</f>
        <v>5956.673333333335</v>
      </c>
      <c r="BM865" s="343">
        <f>SUMIFS($AU$134:AU866,$AQ$134:AQ866,"M")</f>
        <v>2381.3999999999878</v>
      </c>
      <c r="BN865" s="343">
        <f>SUMIFS($AU$134:AU866,$AQ$134:AQ866,"H")</f>
        <v>4430.1420000000153</v>
      </c>
      <c r="BO865" s="343">
        <f>SUMIFS($AU$134:AU866,$AQ$134:AQ866,"D")</f>
        <v>5320.3466666667146</v>
      </c>
      <c r="BP865" s="343">
        <f>SUMIFS($AU$134:AU868,$AQ$134:AQ868,"W")</f>
        <v>3049.7833333333429</v>
      </c>
      <c r="BQ865" s="343">
        <f>SUMIFS($AU$134:AU866,$Q$134:Q866,"O")</f>
        <v>-185.87333333301166</v>
      </c>
      <c r="BR865" s="343">
        <f>SUMIFS($AU$134:AU866,$AA$134:AA866,"*")</f>
        <v>15253.475333333332</v>
      </c>
      <c r="BS865" s="343">
        <f>SUMIFS($AU$134:AU866,$AB$134:AB866,"*")</f>
        <v>5593.3266666669924</v>
      </c>
      <c r="BT865" s="343">
        <f>SUMIFS($AU$134:AU866,$AC$134:AC866,"*")</f>
        <v>8895.6833333333325</v>
      </c>
      <c r="BU865" s="343">
        <f>SUMIFS($AU$134:AU866,$AA$134:AA866,"*",$AB$134:AB866,"*")</f>
        <v>3586.0000000000045</v>
      </c>
      <c r="BV865" s="343">
        <f>SUMIFS($AU$134:AU866,$AA$134:AA866,"*",$AC$134:AC866,"*")</f>
        <v>8356.7833333333328</v>
      </c>
      <c r="BW865" s="343">
        <f>SUMIFS($AU$134:AU866,$AB$134:AB866,"*",$AC$134:AC866,"*")</f>
        <v>5374.6</v>
      </c>
      <c r="BX865" s="343">
        <f>SUMIFS($AU866:AU$1388,$Q866:Q$1388,"F")</f>
        <v>8986.133333333335</v>
      </c>
      <c r="BY865" s="343">
        <f>SUMIFS($AU866:AU$1388,$Q866:Q$1388,"S")</f>
        <v>9787.1999999999989</v>
      </c>
      <c r="BZ865" s="343">
        <f>SUMIFS($AU866:AU$1388,$Q866:Q$1388,"O")</f>
        <v>-1462.9846666667868</v>
      </c>
    </row>
    <row r="866" spans="1:78" ht="15.75" customHeight="1">
      <c r="A866" s="221" t="s">
        <v>3123</v>
      </c>
      <c r="B866" s="177"/>
      <c r="C866" s="178"/>
      <c r="D866" s="178"/>
      <c r="E866" s="227" t="s">
        <v>3367</v>
      </c>
      <c r="F866" s="180"/>
      <c r="G866" s="181"/>
      <c r="H866" s="182"/>
      <c r="I866" s="182"/>
      <c r="J866" s="182"/>
      <c r="K866" s="183"/>
      <c r="L866" s="182"/>
      <c r="M866" s="182"/>
      <c r="N866" s="182"/>
      <c r="O866" s="183"/>
      <c r="P866" s="183"/>
      <c r="Q866" s="183"/>
      <c r="R866" s="183"/>
      <c r="S866" s="183"/>
      <c r="T866" s="183"/>
      <c r="U866" s="183"/>
      <c r="V866" s="183"/>
      <c r="W866" s="183"/>
      <c r="X866" s="183"/>
      <c r="Y866" s="184" t="str">
        <f t="shared" si="290"/>
        <v/>
      </c>
      <c r="Z866" s="185" t="str">
        <f t="shared" si="291"/>
        <v/>
      </c>
      <c r="AA866" s="185"/>
      <c r="AB866" s="185"/>
      <c r="AC866" s="185"/>
      <c r="AD866" s="649"/>
      <c r="AE866" s="182"/>
      <c r="AF866" s="332"/>
      <c r="AG866" s="182"/>
      <c r="AH866" s="182"/>
      <c r="AI866" s="182"/>
      <c r="AJ866" s="640"/>
      <c r="AK866" s="182"/>
      <c r="AL866" s="496"/>
      <c r="AM866" s="496"/>
      <c r="AN866" s="626"/>
      <c r="AO866" s="182"/>
      <c r="AP866" s="182"/>
      <c r="AQ866" s="332" t="str">
        <f>UPPER(RIGHT(Journal_Live[[#This Row],[DURATION ]]))</f>
        <v/>
      </c>
      <c r="AR866" s="182"/>
      <c r="AS866" s="189"/>
      <c r="AT866" s="189"/>
      <c r="AU866" s="187"/>
      <c r="AV866" s="190"/>
      <c r="AW866" s="191"/>
      <c r="AX866" s="407"/>
      <c r="AY866" s="407"/>
      <c r="AZ866" s="407"/>
      <c r="BA866" s="407"/>
      <c r="BB866" s="407"/>
      <c r="BC866" s="407"/>
      <c r="BD866" s="407"/>
      <c r="BE866" s="407"/>
      <c r="BF866" s="422"/>
      <c r="BG866" s="391">
        <f>SUM($AV$4:AV866)</f>
        <v>4315.3555263348835</v>
      </c>
      <c r="BH866" s="392">
        <f>SUM($AU$134:AU866)</f>
        <v>16384.302000000327</v>
      </c>
      <c r="BI866" s="318">
        <f>SUMIFS($AU$134:AU867,$Q$134:Q867,"F")</f>
        <v>5454.5333333333328</v>
      </c>
      <c r="BJ866" s="318">
        <f>SUMIFS($AU$134:AU867,$Q$134:Q867,"S")</f>
        <v>10884.441999999999</v>
      </c>
      <c r="BK866" s="343">
        <f>SUMIFS($AU$134:AU867,$P$134:P867,"W")</f>
        <v>10123.74199999994</v>
      </c>
      <c r="BL866" s="343">
        <f>SUMIFS($AU$134:AU867,$P$134:P867,"R")</f>
        <v>5956.673333333335</v>
      </c>
      <c r="BM866" s="343">
        <f>SUMIFS($AU$134:AU867,$AQ$134:AQ867,"M")</f>
        <v>2381.3999999999878</v>
      </c>
      <c r="BN866" s="343">
        <f>SUMIFS($AU$134:AU867,$AQ$134:AQ867,"H")</f>
        <v>4430.1420000000153</v>
      </c>
      <c r="BO866" s="343">
        <f>SUMIFS($AU$134:AU867,$AQ$134:AQ867,"D")</f>
        <v>5320.3466666667146</v>
      </c>
      <c r="BP866" s="343">
        <f>SUMIFS($AU$134:AU869,$AQ$134:AQ869,"W")</f>
        <v>3049.7833333333429</v>
      </c>
      <c r="BQ866" s="343">
        <f>SUMIFS($AU$134:AU867,$Q$134:Q867,"O")</f>
        <v>-281.8733333330153</v>
      </c>
      <c r="BR866" s="343">
        <f>SUMIFS($AU$134:AU867,$AA$134:AA867,"*")</f>
        <v>15157.475333333328</v>
      </c>
      <c r="BS866" s="343">
        <f>SUMIFS($AU$134:AU867,$AB$134:AB867,"*")</f>
        <v>5593.3266666669924</v>
      </c>
      <c r="BT866" s="343">
        <f>SUMIFS($AU$134:AU867,$AC$134:AC867,"*")</f>
        <v>8895.6833333333325</v>
      </c>
      <c r="BU866" s="343">
        <f>SUMIFS($AU$134:AU867,$AA$134:AA867,"*",$AB$134:AB867,"*")</f>
        <v>3586.0000000000045</v>
      </c>
      <c r="BV866" s="343">
        <f>SUMIFS($AU$134:AU867,$AA$134:AA867,"*",$AC$134:AC867,"*")</f>
        <v>8356.7833333333328</v>
      </c>
      <c r="BW866" s="343">
        <f>SUMIFS($AU$134:AU867,$AB$134:AB867,"*",$AC$134:AC867,"*")</f>
        <v>5374.6</v>
      </c>
      <c r="BX866" s="343">
        <f>SUMIFS($AU867:AU$1388,$Q867:Q$1388,"F")</f>
        <v>8986.133333333335</v>
      </c>
      <c r="BY866" s="343">
        <f>SUMIFS($AU867:AU$1388,$Q867:Q$1388,"S")</f>
        <v>9787.1999999999989</v>
      </c>
      <c r="BZ866" s="343">
        <f>SUMIFS($AU867:AU$1388,$Q867:Q$1388,"O")</f>
        <v>-1462.9846666667868</v>
      </c>
    </row>
    <row r="867" spans="1:78" ht="15.75" customHeight="1">
      <c r="A867" s="221" t="s">
        <v>3123</v>
      </c>
      <c r="B867" s="177">
        <v>45135</v>
      </c>
      <c r="C867" s="178" t="s">
        <v>3368</v>
      </c>
      <c r="D867" s="178" t="s">
        <v>111</v>
      </c>
      <c r="E867" s="227" t="s">
        <v>3369</v>
      </c>
      <c r="F867" s="180"/>
      <c r="G867" s="181" t="s">
        <v>831</v>
      </c>
      <c r="H867" s="182"/>
      <c r="I867" s="182"/>
      <c r="J867" s="182"/>
      <c r="K867" s="183"/>
      <c r="L867" s="182">
        <v>2</v>
      </c>
      <c r="M867" s="182"/>
      <c r="N867" s="182"/>
      <c r="O867" s="183" t="s">
        <v>95</v>
      </c>
      <c r="P867" s="183" t="s">
        <v>96</v>
      </c>
      <c r="Q867" s="183" t="s">
        <v>684</v>
      </c>
      <c r="R867" s="183">
        <v>2</v>
      </c>
      <c r="S867" s="183">
        <v>0</v>
      </c>
      <c r="T867" s="183">
        <v>2</v>
      </c>
      <c r="U867" s="183" t="s">
        <v>22</v>
      </c>
      <c r="V867" s="183"/>
      <c r="W867" s="183"/>
      <c r="X867" s="183"/>
      <c r="Y867" s="184">
        <f t="shared" si="290"/>
        <v>0.01</v>
      </c>
      <c r="Z867" s="185">
        <f t="shared" si="291"/>
        <v>1600</v>
      </c>
      <c r="AA867" s="185" t="s">
        <v>3370</v>
      </c>
      <c r="AB867" s="185"/>
      <c r="AC867" s="185"/>
      <c r="AD867" s="649">
        <v>95.51</v>
      </c>
      <c r="AE867" s="182"/>
      <c r="AF867" s="332"/>
      <c r="AG867" s="182"/>
      <c r="AH867" s="182"/>
      <c r="AI867" s="182"/>
      <c r="AJ867" s="640"/>
      <c r="AK867" s="182"/>
      <c r="AL867" s="496"/>
      <c r="AM867" s="496"/>
      <c r="AN867" s="626"/>
      <c r="AO867" s="182"/>
      <c r="AP867" s="182" t="s">
        <v>1750</v>
      </c>
      <c r="AQ867" s="332" t="str">
        <f>UPPER(RIGHT(Journal_Live[[#This Row],[DURATION ]]))</f>
        <v>S</v>
      </c>
      <c r="AR867" s="182" t="s">
        <v>682</v>
      </c>
      <c r="AS867" s="189">
        <v>95.48</v>
      </c>
      <c r="AT867" s="189">
        <f>IF(ISBLANK(AS867),,IF(U867="S",AD867-AS867,AS867-AD867))</f>
        <v>-3.0000000000001137E-2</v>
      </c>
      <c r="AU867" s="187">
        <f>AV867*R867</f>
        <v>-96.000000000003638</v>
      </c>
      <c r="AV867" s="190">
        <f>IF(ISBLANK(AS867),,(AT867*Z867))</f>
        <v>-48.000000000001819</v>
      </c>
      <c r="AW867" s="191" t="s">
        <v>229</v>
      </c>
      <c r="AX867" s="407" t="s">
        <v>3371</v>
      </c>
      <c r="AY867" s="407" t="s">
        <v>3372</v>
      </c>
      <c r="AZ867" s="407" t="s">
        <v>3373</v>
      </c>
      <c r="BA867" s="407"/>
      <c r="BB867" s="407"/>
      <c r="BC867" s="407"/>
      <c r="BD867" s="407"/>
      <c r="BE867" s="407"/>
      <c r="BF867" s="422"/>
      <c r="BG867" s="391">
        <f>SUM($AV$4:AV867)</f>
        <v>4267.3555263348817</v>
      </c>
      <c r="BH867" s="392">
        <f>SUM($AU$134:AU867)</f>
        <v>16288.302000000323</v>
      </c>
      <c r="BI867" s="318">
        <f>SUMIFS($AU$134:AU868,$Q$134:Q868,"F")</f>
        <v>5454.5333333333328</v>
      </c>
      <c r="BJ867" s="318">
        <f>SUMIFS($AU$134:AU868,$Q$134:Q868,"S")</f>
        <v>10884.441999999999</v>
      </c>
      <c r="BK867" s="343">
        <f>SUMIFS($AU$134:AU868,$P$134:P868,"W")</f>
        <v>10123.74199999994</v>
      </c>
      <c r="BL867" s="343">
        <f>SUMIFS($AU$134:AU868,$P$134:P868,"R")</f>
        <v>5956.673333333335</v>
      </c>
      <c r="BM867" s="343">
        <f>SUMIFS($AU$134:AU868,$AQ$134:AQ868,"M")</f>
        <v>2381.3999999999878</v>
      </c>
      <c r="BN867" s="343">
        <f>SUMIFS($AU$134:AU868,$AQ$134:AQ868,"H")</f>
        <v>4430.1420000000153</v>
      </c>
      <c r="BO867" s="343">
        <f>SUMIFS($AU$134:AU868,$AQ$134:AQ868,"D")</f>
        <v>5320.3466666667146</v>
      </c>
      <c r="BP867" s="343">
        <f>SUMIFS($AU$134:AU870,$AQ$134:AQ870,"W")</f>
        <v>3049.7833333333429</v>
      </c>
      <c r="BQ867" s="343">
        <f>SUMIFS($AU$134:AU868,$Q$134:Q868,"O")</f>
        <v>-281.8733333330153</v>
      </c>
      <c r="BR867" s="343">
        <f>SUMIFS($AU$134:AU868,$AA$134:AA868,"*")</f>
        <v>15157.475333333328</v>
      </c>
      <c r="BS867" s="343">
        <f>SUMIFS($AU$134:AU868,$AB$134:AB868,"*")</f>
        <v>5593.3266666669924</v>
      </c>
      <c r="BT867" s="343">
        <f>SUMIFS($AU$134:AU868,$AC$134:AC868,"*")</f>
        <v>8895.6833333333325</v>
      </c>
      <c r="BU867" s="343">
        <f>SUMIFS($AU$134:AU868,$AA$134:AA868,"*",$AB$134:AB868,"*")</f>
        <v>3586.0000000000045</v>
      </c>
      <c r="BV867" s="343">
        <f>SUMIFS($AU$134:AU868,$AA$134:AA868,"*",$AC$134:AC868,"*")</f>
        <v>8356.7833333333328</v>
      </c>
      <c r="BW867" s="343">
        <f>SUMIFS($AU$134:AU868,$AB$134:AB868,"*",$AC$134:AC868,"*")</f>
        <v>5374.6</v>
      </c>
      <c r="BX867" s="343">
        <f>SUMIFS($AU868:AU$1388,$Q868:Q$1388,"F")</f>
        <v>8986.133333333335</v>
      </c>
      <c r="BY867" s="343">
        <f>SUMIFS($AU868:AU$1388,$Q868:Q$1388,"S")</f>
        <v>9787.1999999999989</v>
      </c>
      <c r="BZ867" s="343">
        <f>SUMIFS($AU868:AU$1388,$Q868:Q$1388,"O")</f>
        <v>-1366.9846666667831</v>
      </c>
    </row>
    <row r="868" spans="1:78" ht="15.75" customHeight="1">
      <c r="A868" s="221" t="s">
        <v>3123</v>
      </c>
      <c r="B868" s="177">
        <v>45138</v>
      </c>
      <c r="C868" s="178" t="s">
        <v>3374</v>
      </c>
      <c r="D868" s="178" t="s">
        <v>132</v>
      </c>
      <c r="E868" s="227"/>
      <c r="F868" s="180"/>
      <c r="G868" s="181" t="s">
        <v>136</v>
      </c>
      <c r="H868" s="182"/>
      <c r="I868" s="182"/>
      <c r="J868" s="182"/>
      <c r="K868" s="183"/>
      <c r="L868" s="182">
        <v>1</v>
      </c>
      <c r="M868" s="182"/>
      <c r="N868" s="182"/>
      <c r="O868" s="183" t="s">
        <v>95</v>
      </c>
      <c r="P868" s="183" t="s">
        <v>96</v>
      </c>
      <c r="Q868" s="183" t="s">
        <v>97</v>
      </c>
      <c r="R868" s="183">
        <v>7</v>
      </c>
      <c r="S868" s="183">
        <v>0</v>
      </c>
      <c r="T868" s="183">
        <v>7</v>
      </c>
      <c r="U868" s="183" t="s">
        <v>22</v>
      </c>
      <c r="V868" s="183"/>
      <c r="W868" s="183"/>
      <c r="X868" s="183"/>
      <c r="Y868" s="184">
        <f t="shared" si="290"/>
        <v>0.01</v>
      </c>
      <c r="Z868" s="185">
        <f t="shared" si="291"/>
        <v>1600</v>
      </c>
      <c r="AA868" s="185" t="s">
        <v>99</v>
      </c>
      <c r="AB868" s="185"/>
      <c r="AC868" s="185"/>
      <c r="AD868" s="649">
        <v>-0.12</v>
      </c>
      <c r="AE868" s="182"/>
      <c r="AF868" s="332"/>
      <c r="AG868" s="182"/>
      <c r="AH868" s="182"/>
      <c r="AI868" s="182"/>
      <c r="AJ868" s="640"/>
      <c r="AK868" s="182"/>
      <c r="AL868" s="496">
        <f>-0.03*Z868</f>
        <v>-48</v>
      </c>
      <c r="AM868" s="496">
        <f>AL868*(R868-S868)</f>
        <v>-336</v>
      </c>
      <c r="AN868" s="626"/>
      <c r="AO868" s="182"/>
      <c r="AP868" s="182" t="s">
        <v>804</v>
      </c>
      <c r="AQ868" s="332" t="str">
        <f>UPPER(RIGHT(Journal_Live[[#This Row],[DURATION ]]))</f>
        <v>D</v>
      </c>
      <c r="AR868" s="182" t="s">
        <v>3375</v>
      </c>
      <c r="AS868" s="189">
        <v>-0.12</v>
      </c>
      <c r="AT868" s="189">
        <f>IF(ISBLANK(AS868),,IF(U868="S",AD868-AS868,AS868-AD868))</f>
        <v>0</v>
      </c>
      <c r="AU868" s="187">
        <f>AV868*R868</f>
        <v>0</v>
      </c>
      <c r="AV868" s="190">
        <f>IF(ISBLANK(AS868),,(AT868*Z868))</f>
        <v>0</v>
      </c>
      <c r="AW868" s="191" t="s">
        <v>115</v>
      </c>
      <c r="AX868" s="407" t="s">
        <v>3376</v>
      </c>
      <c r="AY868" s="407" t="s">
        <v>3377</v>
      </c>
      <c r="AZ868" s="407" t="s">
        <v>3378</v>
      </c>
      <c r="BA868" s="407"/>
      <c r="BB868" s="407"/>
      <c r="BC868" s="407"/>
      <c r="BD868" s="407"/>
      <c r="BE868" s="407"/>
      <c r="BF868" s="422"/>
      <c r="BG868" s="391">
        <f>SUM($AV$4:AV868)</f>
        <v>4267.3555263348817</v>
      </c>
      <c r="BH868" s="392">
        <f>SUM($AU$134:AU868)</f>
        <v>16288.302000000323</v>
      </c>
      <c r="BI868" s="318">
        <f>SUMIFS($AU$134:AU869,$Q$134:Q869,"F")</f>
        <v>5454.5333333333328</v>
      </c>
      <c r="BJ868" s="318">
        <f>SUMIFS($AU$134:AU869,$Q$134:Q869,"S")</f>
        <v>10932.441999999999</v>
      </c>
      <c r="BK868" s="343">
        <f>SUMIFS($AU$134:AU869,$P$134:P869,"W")</f>
        <v>10171.74199999994</v>
      </c>
      <c r="BL868" s="343">
        <f>SUMIFS($AU$134:AU869,$P$134:P869,"R")</f>
        <v>5956.673333333335</v>
      </c>
      <c r="BM868" s="343">
        <f>SUMIFS($AU$134:AU869,$AQ$134:AQ869,"M")</f>
        <v>2381.3999999999878</v>
      </c>
      <c r="BN868" s="343">
        <f>SUMIFS($AU$134:AU869,$AQ$134:AQ869,"H")</f>
        <v>4478.1420000000153</v>
      </c>
      <c r="BO868" s="343">
        <f>SUMIFS($AU$134:AU869,$AQ$134:AQ869,"D")</f>
        <v>5320.3466666667146</v>
      </c>
      <c r="BP868" s="343">
        <f>SUMIFS($AU$134:AU871,$AQ$134:AQ871,"W")</f>
        <v>3049.7833333333429</v>
      </c>
      <c r="BQ868" s="343">
        <f>SUMIFS($AU$134:AU869,$Q$134:Q869,"O")</f>
        <v>-281.8733333330153</v>
      </c>
      <c r="BR868" s="343">
        <f>SUMIFS($AU$134:AU869,$AA$134:AA869,"*")</f>
        <v>15205.475333333328</v>
      </c>
      <c r="BS868" s="343">
        <f>SUMIFS($AU$134:AU869,$AB$134:AB869,"*")</f>
        <v>5593.3266666669924</v>
      </c>
      <c r="BT868" s="343">
        <f>SUMIFS($AU$134:AU869,$AC$134:AC869,"*")</f>
        <v>8895.6833333333325</v>
      </c>
      <c r="BU868" s="343">
        <f>SUMIFS($AU$134:AU869,$AA$134:AA869,"*",$AB$134:AB869,"*")</f>
        <v>3586.0000000000045</v>
      </c>
      <c r="BV868" s="343">
        <f>SUMIFS($AU$134:AU869,$AA$134:AA869,"*",$AC$134:AC869,"*")</f>
        <v>8356.7833333333328</v>
      </c>
      <c r="BW868" s="343">
        <f>SUMIFS($AU$134:AU869,$AB$134:AB869,"*",$AC$134:AC869,"*")</f>
        <v>5374.6</v>
      </c>
      <c r="BX868" s="343">
        <f>SUMIFS($AU869:AU$1388,$Q869:Q$1388,"F")</f>
        <v>8986.133333333335</v>
      </c>
      <c r="BY868" s="343">
        <f>SUMIFS($AU869:AU$1388,$Q869:Q$1388,"S")</f>
        <v>9787.1999999999989</v>
      </c>
      <c r="BZ868" s="343">
        <f>SUMIFS($AU869:AU$1388,$Q869:Q$1388,"O")</f>
        <v>-1366.9846666667831</v>
      </c>
    </row>
    <row r="869" spans="1:78" ht="15.75" customHeight="1">
      <c r="A869" s="221" t="s">
        <v>3123</v>
      </c>
      <c r="B869" s="177">
        <v>45138</v>
      </c>
      <c r="C869" s="178" t="s">
        <v>3379</v>
      </c>
      <c r="D869" s="178" t="s">
        <v>132</v>
      </c>
      <c r="E869" s="227"/>
      <c r="F869" s="180"/>
      <c r="G869" s="181" t="s">
        <v>94</v>
      </c>
      <c r="H869" s="182"/>
      <c r="I869" s="182"/>
      <c r="J869" s="182"/>
      <c r="K869" s="183"/>
      <c r="L869" s="182">
        <v>1</v>
      </c>
      <c r="M869" s="182"/>
      <c r="N869" s="182"/>
      <c r="O869" s="183" t="s">
        <v>95</v>
      </c>
      <c r="P869" s="183" t="s">
        <v>96</v>
      </c>
      <c r="Q869" s="183" t="s">
        <v>97</v>
      </c>
      <c r="R869" s="183">
        <v>3</v>
      </c>
      <c r="S869" s="183">
        <v>0</v>
      </c>
      <c r="T869" s="183">
        <v>3</v>
      </c>
      <c r="U869" s="183" t="s">
        <v>97</v>
      </c>
      <c r="V869" s="183"/>
      <c r="W869" s="183"/>
      <c r="X869" s="183"/>
      <c r="Y869" s="184">
        <f t="shared" si="290"/>
        <v>0.01</v>
      </c>
      <c r="Z869" s="185">
        <f t="shared" si="291"/>
        <v>1600</v>
      </c>
      <c r="AA869" s="185" t="s">
        <v>99</v>
      </c>
      <c r="AB869" s="185"/>
      <c r="AC869" s="185"/>
      <c r="AD869" s="649">
        <v>0.14000000000000001</v>
      </c>
      <c r="AE869" s="182"/>
      <c r="AF869" s="332"/>
      <c r="AG869" s="182"/>
      <c r="AH869" s="182"/>
      <c r="AI869" s="182"/>
      <c r="AJ869" s="640"/>
      <c r="AK869" s="182"/>
      <c r="AL869" s="496">
        <f t="shared" ref="AL869" si="292">-0.04*Z869</f>
        <v>-64</v>
      </c>
      <c r="AM869" s="496">
        <f>AL869*(R869-S869)</f>
        <v>-192</v>
      </c>
      <c r="AN869" s="626"/>
      <c r="AO869" s="182"/>
      <c r="AP869" s="182" t="s">
        <v>967</v>
      </c>
      <c r="AQ869" s="332" t="str">
        <f>UPPER(RIGHT(Journal_Live[[#This Row],[DURATION ]]))</f>
        <v>H</v>
      </c>
      <c r="AR869" s="182" t="s">
        <v>3380</v>
      </c>
      <c r="AS869" s="189">
        <v>0.13</v>
      </c>
      <c r="AT869" s="189">
        <f>IF(ISBLANK(AS869),,IF(U869="S",AD869-AS869,AS869-AD869))</f>
        <v>1.0000000000000009E-2</v>
      </c>
      <c r="AU869" s="187">
        <f>AV869*R869</f>
        <v>48.000000000000043</v>
      </c>
      <c r="AV869" s="190">
        <f>IF(ISBLANK(AS869),,(AT869*Z869))</f>
        <v>16.000000000000014</v>
      </c>
      <c r="AW869" s="191" t="s">
        <v>96</v>
      </c>
      <c r="AX869" s="407" t="s">
        <v>3381</v>
      </c>
      <c r="AY869" s="407"/>
      <c r="AZ869" s="407"/>
      <c r="BA869" s="407"/>
      <c r="BB869" s="407"/>
      <c r="BC869" s="407"/>
      <c r="BD869" s="407"/>
      <c r="BE869" s="407"/>
      <c r="BF869" s="422"/>
      <c r="BG869" s="391">
        <f>SUM($AV$4:AV869)</f>
        <v>4283.3555263348817</v>
      </c>
      <c r="BH869" s="392">
        <f>SUM($AU$134:AU869)</f>
        <v>16336.302000000323</v>
      </c>
      <c r="BI869" s="318">
        <f>SUMIFS($AU$134:AU870,$Q$134:Q870,"F")</f>
        <v>5454.5333333333328</v>
      </c>
      <c r="BJ869" s="318">
        <f>SUMIFS($AU$134:AU870,$Q$134:Q870,"S")</f>
        <v>10932.441999999999</v>
      </c>
      <c r="BK869" s="343">
        <f>SUMIFS($AU$134:AU870,$P$134:P870,"W")</f>
        <v>10171.74199999994</v>
      </c>
      <c r="BL869" s="343">
        <f>SUMIFS($AU$134:AU870,$P$134:P870,"R")</f>
        <v>5956.673333333335</v>
      </c>
      <c r="BM869" s="343">
        <f>SUMIFS($AU$134:AU870,$AQ$134:AQ870,"M")</f>
        <v>2381.3999999999878</v>
      </c>
      <c r="BN869" s="343">
        <f>SUMIFS($AU$134:AU870,$AQ$134:AQ870,"H")</f>
        <v>4478.1420000000153</v>
      </c>
      <c r="BO869" s="343">
        <f>SUMIFS($AU$134:AU870,$AQ$134:AQ870,"D")</f>
        <v>5320.3466666667146</v>
      </c>
      <c r="BP869" s="343">
        <f>SUMIFS($AU$134:AU872,$AQ$134:AQ872,"W")</f>
        <v>3049.7833333333429</v>
      </c>
      <c r="BQ869" s="343">
        <f>SUMIFS($AU$134:AU870,$Q$134:Q870,"O")</f>
        <v>-281.8733333330153</v>
      </c>
      <c r="BR869" s="343">
        <f>SUMIFS($AU$134:AU870,$AA$134:AA870,"*")</f>
        <v>15205.475333333328</v>
      </c>
      <c r="BS869" s="343">
        <f>SUMIFS($AU$134:AU870,$AB$134:AB870,"*")</f>
        <v>5593.3266666669924</v>
      </c>
      <c r="BT869" s="343">
        <f>SUMIFS($AU$134:AU870,$AC$134:AC870,"*")</f>
        <v>8895.6833333333325</v>
      </c>
      <c r="BU869" s="343">
        <f>SUMIFS($AU$134:AU870,$AA$134:AA870,"*",$AB$134:AB870,"*")</f>
        <v>3586.0000000000045</v>
      </c>
      <c r="BV869" s="343">
        <f>SUMIFS($AU$134:AU870,$AA$134:AA870,"*",$AC$134:AC870,"*")</f>
        <v>8356.7833333333328</v>
      </c>
      <c r="BW869" s="343">
        <f>SUMIFS($AU$134:AU870,$AB$134:AB870,"*",$AC$134:AC870,"*")</f>
        <v>5374.6</v>
      </c>
      <c r="BX869" s="343">
        <f>SUMIFS($AU870:AU$1388,$Q870:Q$1388,"F")</f>
        <v>8986.133333333335</v>
      </c>
      <c r="BY869" s="343">
        <f>SUMIFS($AU870:AU$1388,$Q870:Q$1388,"S")</f>
        <v>9739.2000000000007</v>
      </c>
      <c r="BZ869" s="343">
        <f>SUMIFS($AU870:AU$1388,$Q870:Q$1388,"O")</f>
        <v>-1366.9846666667831</v>
      </c>
    </row>
    <row r="870" spans="1:78" ht="15.75" customHeight="1">
      <c r="A870" s="221" t="s">
        <v>3123</v>
      </c>
      <c r="B870" s="177"/>
      <c r="C870" s="178"/>
      <c r="D870" s="178"/>
      <c r="E870" s="227"/>
      <c r="F870" s="180"/>
      <c r="G870" s="181"/>
      <c r="H870" s="182"/>
      <c r="I870" s="182"/>
      <c r="J870" s="182"/>
      <c r="K870" s="183"/>
      <c r="L870" s="182"/>
      <c r="M870" s="182"/>
      <c r="N870" s="182"/>
      <c r="O870" s="183"/>
      <c r="P870" s="183"/>
      <c r="Q870" s="183"/>
      <c r="R870" s="183"/>
      <c r="S870" s="183"/>
      <c r="T870" s="183"/>
      <c r="U870" s="183"/>
      <c r="V870" s="183"/>
      <c r="W870" s="183"/>
      <c r="X870" s="183"/>
      <c r="Y870" s="184" t="str">
        <f t="shared" si="290"/>
        <v/>
      </c>
      <c r="Z870" s="185" t="str">
        <f t="shared" si="291"/>
        <v/>
      </c>
      <c r="AA870" s="185"/>
      <c r="AB870" s="185"/>
      <c r="AC870" s="185"/>
      <c r="AD870" s="649"/>
      <c r="AE870" s="182"/>
      <c r="AF870" s="332"/>
      <c r="AG870" s="182"/>
      <c r="AH870" s="182"/>
      <c r="AI870" s="182"/>
      <c r="AJ870" s="640"/>
      <c r="AK870" s="182"/>
      <c r="AL870" s="496"/>
      <c r="AM870" s="496"/>
      <c r="AN870" s="626"/>
      <c r="AO870" s="182"/>
      <c r="AP870" s="182"/>
      <c r="AQ870" s="332" t="str">
        <f>UPPER(RIGHT(Journal_Live[[#This Row],[DURATION ]]))</f>
        <v/>
      </c>
      <c r="AR870" s="182"/>
      <c r="AS870" s="189"/>
      <c r="AT870" s="189"/>
      <c r="AU870" s="187"/>
      <c r="AV870" s="190"/>
      <c r="AW870" s="191"/>
      <c r="AX870" s="407" t="s">
        <v>3382</v>
      </c>
      <c r="AY870" s="407" t="s">
        <v>3383</v>
      </c>
      <c r="AZ870" s="407" t="s">
        <v>3384</v>
      </c>
      <c r="BA870" s="407" t="s">
        <v>3385</v>
      </c>
      <c r="BB870" s="407" t="s">
        <v>3386</v>
      </c>
      <c r="BC870" s="407" t="s">
        <v>3387</v>
      </c>
      <c r="BD870" s="407"/>
      <c r="BE870" s="407"/>
      <c r="BF870" s="422"/>
      <c r="BG870" s="391">
        <f>SUM($AV$4:AV870)</f>
        <v>4283.3555263348817</v>
      </c>
      <c r="BH870" s="392">
        <f>SUM($AU$134:AU870)</f>
        <v>16336.302000000323</v>
      </c>
      <c r="BI870" s="318">
        <f>SUMIFS($AU$134:AU871,$Q$134:Q871,"F")</f>
        <v>5454.5333333333328</v>
      </c>
      <c r="BJ870" s="318">
        <f>SUMIFS($AU$134:AU871,$Q$134:Q871,"S")</f>
        <v>10932.441999999999</v>
      </c>
      <c r="BK870" s="343">
        <f>SUMIFS($AU$134:AU871,$P$134:P871,"W")</f>
        <v>10171.74199999994</v>
      </c>
      <c r="BL870" s="343">
        <f>SUMIFS($AU$134:AU871,$P$134:P871,"R")</f>
        <v>5956.673333333335</v>
      </c>
      <c r="BM870" s="343">
        <f>SUMIFS($AU$134:AU871,$AQ$134:AQ871,"M")</f>
        <v>2381.3999999999878</v>
      </c>
      <c r="BN870" s="343">
        <f>SUMIFS($AU$134:AU871,$AQ$134:AQ871,"H")</f>
        <v>4478.1420000000153</v>
      </c>
      <c r="BO870" s="343">
        <f>SUMIFS($AU$134:AU871,$AQ$134:AQ871,"D")</f>
        <v>5320.3466666667146</v>
      </c>
      <c r="BP870" s="343">
        <f>SUMIFS($AU$134:AU873,$AQ$134:AQ873,"W")</f>
        <v>3049.7833333333429</v>
      </c>
      <c r="BQ870" s="343">
        <f>SUMIFS($AU$134:AU871,$Q$134:Q871,"O")</f>
        <v>-281.8733333330153</v>
      </c>
      <c r="BR870" s="343">
        <f>SUMIFS($AU$134:AU871,$AA$134:AA871,"*")</f>
        <v>15205.475333333328</v>
      </c>
      <c r="BS870" s="343">
        <f>SUMIFS($AU$134:AU871,$AB$134:AB871,"*")</f>
        <v>5593.3266666669924</v>
      </c>
      <c r="BT870" s="343">
        <f>SUMIFS($AU$134:AU871,$AC$134:AC871,"*")</f>
        <v>8895.6833333333325</v>
      </c>
      <c r="BU870" s="343">
        <f>SUMIFS($AU$134:AU871,$AA$134:AA871,"*",$AB$134:AB871,"*")</f>
        <v>3586.0000000000045</v>
      </c>
      <c r="BV870" s="343">
        <f>SUMIFS($AU$134:AU871,$AA$134:AA871,"*",$AC$134:AC871,"*")</f>
        <v>8356.7833333333328</v>
      </c>
      <c r="BW870" s="343">
        <f>SUMIFS($AU$134:AU871,$AB$134:AB871,"*",$AC$134:AC871,"*")</f>
        <v>5374.6</v>
      </c>
      <c r="BX870" s="343">
        <f>SUMIFS($AU871:AU$1388,$Q871:Q$1388,"F")</f>
        <v>8986.133333333335</v>
      </c>
      <c r="BY870" s="343">
        <f>SUMIFS($AU871:AU$1388,$Q871:Q$1388,"S")</f>
        <v>9739.2000000000007</v>
      </c>
      <c r="BZ870" s="343">
        <f>SUMIFS($AU871:AU$1388,$Q871:Q$1388,"O")</f>
        <v>-1366.9846666667831</v>
      </c>
    </row>
    <row r="871" spans="1:78" ht="15.75" customHeight="1">
      <c r="A871" s="221" t="s">
        <v>3123</v>
      </c>
      <c r="B871" s="177">
        <v>45138</v>
      </c>
      <c r="C871" s="178" t="s">
        <v>3388</v>
      </c>
      <c r="D871" s="178" t="s">
        <v>132</v>
      </c>
      <c r="E871" s="227"/>
      <c r="F871" s="180"/>
      <c r="G871" s="281" t="s">
        <v>2545</v>
      </c>
      <c r="H871" s="182"/>
      <c r="I871" s="182"/>
      <c r="J871" s="182"/>
      <c r="K871" s="183"/>
      <c r="L871" s="182">
        <v>1</v>
      </c>
      <c r="M871" s="182"/>
      <c r="N871" s="182"/>
      <c r="O871" s="183" t="s">
        <v>2259</v>
      </c>
      <c r="P871" s="183" t="s">
        <v>2260</v>
      </c>
      <c r="Q871" s="183"/>
      <c r="R871" s="183">
        <v>1</v>
      </c>
      <c r="S871" s="183">
        <v>0</v>
      </c>
      <c r="T871" s="183">
        <v>1</v>
      </c>
      <c r="U871" s="183" t="s">
        <v>97</v>
      </c>
      <c r="V871" s="183"/>
      <c r="W871" s="183"/>
      <c r="X871" s="183"/>
      <c r="Y871" s="184">
        <f t="shared" si="290"/>
        <v>0.01</v>
      </c>
      <c r="Z871" s="185">
        <f t="shared" si="291"/>
        <v>4800</v>
      </c>
      <c r="AA871" s="185" t="s">
        <v>3389</v>
      </c>
      <c r="AB871" s="185"/>
      <c r="AC871" s="185"/>
      <c r="AD871" s="649">
        <v>0.19</v>
      </c>
      <c r="AE871" s="182"/>
      <c r="AF871" s="332"/>
      <c r="AG871" s="182"/>
      <c r="AH871" s="182" t="s">
        <v>3390</v>
      </c>
      <c r="AI871" s="182"/>
      <c r="AJ871" s="640"/>
      <c r="AK871" s="182"/>
      <c r="AL871" s="496"/>
      <c r="AM871" s="496"/>
      <c r="AN871" s="626"/>
      <c r="AO871" s="182"/>
      <c r="AP871" s="182" t="s">
        <v>1455</v>
      </c>
      <c r="AQ871" s="332" t="str">
        <f>UPPER(RIGHT(Journal_Live[[#This Row],[DURATION ]]))</f>
        <v>S</v>
      </c>
      <c r="AR871" s="182" t="s">
        <v>3391</v>
      </c>
      <c r="AS871" s="189">
        <v>0.19</v>
      </c>
      <c r="AT871" s="189">
        <f>IF(ISBLANK(AS871),,IF(U871="S",AD871-AS871,AS871-AD871))</f>
        <v>0</v>
      </c>
      <c r="AU871" s="187">
        <f>AV871*R871</f>
        <v>0</v>
      </c>
      <c r="AV871" s="190">
        <f>IF(ISBLANK(AS871),,(AT871*Z871))</f>
        <v>0</v>
      </c>
      <c r="AW871" s="191" t="s">
        <v>115</v>
      </c>
      <c r="AX871" s="407" t="s">
        <v>3392</v>
      </c>
      <c r="AY871" s="407"/>
      <c r="AZ871" s="407"/>
      <c r="BA871" s="407"/>
      <c r="BB871" s="407"/>
      <c r="BC871" s="407"/>
      <c r="BD871" s="407"/>
      <c r="BE871" s="407"/>
      <c r="BF871" s="422"/>
      <c r="BG871" s="391">
        <f>SUM($AV$4:AV871)</f>
        <v>4283.3555263348817</v>
      </c>
      <c r="BH871" s="392">
        <f>SUM($AU$134:AU871)</f>
        <v>16336.302000000323</v>
      </c>
      <c r="BI871" s="318">
        <f>SUMIFS($AU$134:AU872,$Q$134:Q872,"F")</f>
        <v>5454.5333333333328</v>
      </c>
      <c r="BJ871" s="318">
        <f>SUMIFS($AU$134:AU872,$Q$134:Q872,"S")</f>
        <v>10932.441999999999</v>
      </c>
      <c r="BK871" s="343">
        <f>SUMIFS($AU$134:AU872,$P$134:P872,"W")</f>
        <v>10171.74199999994</v>
      </c>
      <c r="BL871" s="343">
        <f>SUMIFS($AU$134:AU872,$P$134:P872,"R")</f>
        <v>5956.673333333335</v>
      </c>
      <c r="BM871" s="343">
        <f>SUMIFS($AU$134:AU872,$AQ$134:AQ872,"M")</f>
        <v>2381.3999999999878</v>
      </c>
      <c r="BN871" s="343">
        <f>SUMIFS($AU$134:AU872,$AQ$134:AQ872,"H")</f>
        <v>4478.1420000000153</v>
      </c>
      <c r="BO871" s="343">
        <f>SUMIFS($AU$134:AU872,$AQ$134:AQ872,"D")</f>
        <v>5320.3466666667146</v>
      </c>
      <c r="BP871" s="343">
        <f>SUMIFS($AU$134:AU874,$AQ$134:AQ874,"W")</f>
        <v>3049.7833333333429</v>
      </c>
      <c r="BQ871" s="343">
        <f>SUMIFS($AU$134:AU872,$Q$134:Q872,"O")</f>
        <v>-281.8733333330153</v>
      </c>
      <c r="BR871" s="343">
        <f>SUMIFS($AU$134:AU872,$AA$134:AA872,"*")</f>
        <v>15205.475333333328</v>
      </c>
      <c r="BS871" s="343">
        <f>SUMIFS($AU$134:AU872,$AB$134:AB872,"*")</f>
        <v>5593.3266666669924</v>
      </c>
      <c r="BT871" s="343">
        <f>SUMIFS($AU$134:AU872,$AC$134:AC872,"*")</f>
        <v>8895.6833333333325</v>
      </c>
      <c r="BU871" s="343">
        <f>SUMIFS($AU$134:AU872,$AA$134:AA872,"*",$AB$134:AB872,"*")</f>
        <v>3586.0000000000045</v>
      </c>
      <c r="BV871" s="343">
        <f>SUMIFS($AU$134:AU872,$AA$134:AA872,"*",$AC$134:AC872,"*")</f>
        <v>8356.7833333333328</v>
      </c>
      <c r="BW871" s="343">
        <f>SUMIFS($AU$134:AU872,$AB$134:AB872,"*",$AC$134:AC872,"*")</f>
        <v>5374.6</v>
      </c>
      <c r="BX871" s="343">
        <f>SUMIFS($AU872:AU$1388,$Q872:Q$1388,"F")</f>
        <v>8986.133333333335</v>
      </c>
      <c r="BY871" s="343">
        <f>SUMIFS($AU872:AU$1388,$Q872:Q$1388,"S")</f>
        <v>9739.2000000000007</v>
      </c>
      <c r="BZ871" s="343">
        <f>SUMIFS($AU872:AU$1388,$Q872:Q$1388,"O")</f>
        <v>-1366.9846666667831</v>
      </c>
    </row>
    <row r="872" spans="1:78" ht="15.75" customHeight="1">
      <c r="A872" s="221" t="s">
        <v>3123</v>
      </c>
      <c r="B872" s="177"/>
      <c r="C872" s="178"/>
      <c r="D872" s="178"/>
      <c r="E872" s="227"/>
      <c r="F872" s="180"/>
      <c r="G872" s="181"/>
      <c r="H872" s="182"/>
      <c r="I872" s="182"/>
      <c r="J872" s="182"/>
      <c r="K872" s="183"/>
      <c r="L872" s="182"/>
      <c r="M872" s="182"/>
      <c r="N872" s="182"/>
      <c r="O872" s="183"/>
      <c r="P872" s="183"/>
      <c r="Q872" s="183"/>
      <c r="R872" s="183"/>
      <c r="S872" s="183"/>
      <c r="T872" s="183"/>
      <c r="U872" s="183"/>
      <c r="V872" s="183"/>
      <c r="W872" s="183"/>
      <c r="X872" s="183"/>
      <c r="Y872" s="184" t="str">
        <f t="shared" si="290"/>
        <v/>
      </c>
      <c r="Z872" s="185" t="str">
        <f t="shared" si="291"/>
        <v/>
      </c>
      <c r="AA872" s="185"/>
      <c r="AB872" s="185"/>
      <c r="AC872" s="185"/>
      <c r="AD872" s="649"/>
      <c r="AE872" s="182"/>
      <c r="AF872" s="332"/>
      <c r="AG872" s="182"/>
      <c r="AH872" s="182"/>
      <c r="AI872" s="182"/>
      <c r="AJ872" s="640"/>
      <c r="AK872" s="182"/>
      <c r="AL872" s="496"/>
      <c r="AM872" s="496"/>
      <c r="AN872" s="626"/>
      <c r="AO872" s="182"/>
      <c r="AP872" s="182"/>
      <c r="AQ872" s="332" t="str">
        <f>UPPER(RIGHT(Journal_Live[[#This Row],[DURATION ]]))</f>
        <v/>
      </c>
      <c r="AR872" s="182"/>
      <c r="AS872" s="189"/>
      <c r="AT872" s="189"/>
      <c r="AU872" s="187"/>
      <c r="AV872" s="190"/>
      <c r="AW872" s="191"/>
      <c r="AX872" s="417" t="s">
        <v>3393</v>
      </c>
      <c r="AY872" s="417" t="s">
        <v>3394</v>
      </c>
      <c r="AZ872" s="417" t="s">
        <v>3220</v>
      </c>
      <c r="BA872" s="417" t="s">
        <v>3395</v>
      </c>
      <c r="BB872" s="417" t="s">
        <v>3396</v>
      </c>
      <c r="BC872" s="417" t="s">
        <v>3397</v>
      </c>
      <c r="BD872" s="417" t="s">
        <v>3398</v>
      </c>
      <c r="BE872" s="417" t="s">
        <v>3399</v>
      </c>
      <c r="BF872" s="422"/>
      <c r="BG872" s="391">
        <f>SUM($AV$4:AV872)</f>
        <v>4283.3555263348817</v>
      </c>
      <c r="BH872" s="392">
        <f>SUM($AU$134:AU872)</f>
        <v>16336.302000000323</v>
      </c>
      <c r="BI872" s="318">
        <f>SUMIFS($AU$134:AU873,$Q$134:Q873,"F")</f>
        <v>5454.5333333333328</v>
      </c>
      <c r="BJ872" s="318">
        <f>SUMIFS($AU$134:AU873,$Q$134:Q873,"S")</f>
        <v>10932.441999999999</v>
      </c>
      <c r="BK872" s="343">
        <f>SUMIFS($AU$134:AU873,$P$134:P873,"W")</f>
        <v>10171.74199999994</v>
      </c>
      <c r="BL872" s="343">
        <f>SUMIFS($AU$134:AU873,$P$134:P873,"R")</f>
        <v>5956.673333333335</v>
      </c>
      <c r="BM872" s="343">
        <f>SUMIFS($AU$134:AU873,$AQ$134:AQ873,"M")</f>
        <v>2381.3999999999878</v>
      </c>
      <c r="BN872" s="343">
        <f>SUMIFS($AU$134:AU873,$AQ$134:AQ873,"H")</f>
        <v>4478.1420000000153</v>
      </c>
      <c r="BO872" s="343">
        <f>SUMIFS($AU$134:AU873,$AQ$134:AQ873,"D")</f>
        <v>5320.3466666667146</v>
      </c>
      <c r="BP872" s="343">
        <f>SUMIFS($AU$134:AU875,$AQ$134:AQ875,"W")</f>
        <v>3049.7833333333429</v>
      </c>
      <c r="BQ872" s="343">
        <f>SUMIFS($AU$134:AU873,$Q$134:Q873,"O")</f>
        <v>-281.8733333330153</v>
      </c>
      <c r="BR872" s="343">
        <f>SUMIFS($AU$134:AU873,$AA$134:AA873,"*")</f>
        <v>15205.475333333328</v>
      </c>
      <c r="BS872" s="343">
        <f>SUMIFS($AU$134:AU873,$AB$134:AB873,"*")</f>
        <v>5593.3266666669924</v>
      </c>
      <c r="BT872" s="343">
        <f>SUMIFS($AU$134:AU873,$AC$134:AC873,"*")</f>
        <v>8895.6833333333325</v>
      </c>
      <c r="BU872" s="343">
        <f>SUMIFS($AU$134:AU873,$AA$134:AA873,"*",$AB$134:AB873,"*")</f>
        <v>3586.0000000000045</v>
      </c>
      <c r="BV872" s="343">
        <f>SUMIFS($AU$134:AU873,$AA$134:AA873,"*",$AC$134:AC873,"*")</f>
        <v>8356.7833333333328</v>
      </c>
      <c r="BW872" s="343">
        <f>SUMIFS($AU$134:AU873,$AB$134:AB873,"*",$AC$134:AC873,"*")</f>
        <v>5374.6</v>
      </c>
      <c r="BX872" s="343">
        <f>SUMIFS($AU873:AU$1388,$Q873:Q$1388,"F")</f>
        <v>8986.133333333335</v>
      </c>
      <c r="BY872" s="343">
        <f>SUMIFS($AU873:AU$1388,$Q873:Q$1388,"S")</f>
        <v>9739.2000000000007</v>
      </c>
      <c r="BZ872" s="343">
        <f>SUMIFS($AU873:AU$1388,$Q873:Q$1388,"O")</f>
        <v>-1366.9846666667831</v>
      </c>
    </row>
    <row r="873" spans="1:78" ht="15.75" customHeight="1">
      <c r="A873" s="273" t="s">
        <v>3400</v>
      </c>
      <c r="B873" s="273"/>
      <c r="C873" s="214"/>
      <c r="D873" s="214"/>
      <c r="E873" s="215"/>
      <c r="F873" s="216"/>
      <c r="G873" s="214"/>
      <c r="H873" s="214"/>
      <c r="I873" s="214"/>
      <c r="J873" s="214"/>
      <c r="K873" s="217"/>
      <c r="L873" s="214"/>
      <c r="M873" s="214"/>
      <c r="N873" s="214"/>
      <c r="O873" s="217"/>
      <c r="P873" s="217"/>
      <c r="Q873" s="217"/>
      <c r="R873" s="217"/>
      <c r="S873" s="217"/>
      <c r="T873" s="217"/>
      <c r="U873" s="217"/>
      <c r="V873" s="217"/>
      <c r="W873" s="217"/>
      <c r="X873" s="217"/>
      <c r="Y873" s="217"/>
      <c r="Z873" s="218" t="str">
        <f t="shared" si="291"/>
        <v/>
      </c>
      <c r="AA873" s="218"/>
      <c r="AB873" s="218"/>
      <c r="AC873" s="218"/>
      <c r="AD873" s="651"/>
      <c r="AE873" s="214"/>
      <c r="AF873" s="347"/>
      <c r="AG873" s="343"/>
      <c r="AH873" s="214"/>
      <c r="AI873" s="214"/>
      <c r="AJ873" s="642"/>
      <c r="AK873" s="214"/>
      <c r="AL873" s="502"/>
      <c r="AM873" s="502"/>
      <c r="AN873" s="628"/>
      <c r="AO873" s="214"/>
      <c r="AP873" s="214"/>
      <c r="AQ873" s="334" t="str">
        <f>UPPER(RIGHT(Journal_Live[[#This Row],[DURATION ]]))</f>
        <v/>
      </c>
      <c r="AR873" s="214"/>
      <c r="AS873" s="214"/>
      <c r="AT873" s="214"/>
      <c r="AU873" s="214"/>
      <c r="AV873" s="214"/>
      <c r="AW873" s="220"/>
      <c r="AX873" s="417"/>
      <c r="AY873" s="414"/>
      <c r="AZ873" s="414"/>
      <c r="BA873" s="414"/>
      <c r="BB873" s="414"/>
      <c r="BC873" s="414"/>
      <c r="BD873" s="414"/>
      <c r="BE873" s="414"/>
      <c r="BF873" s="414"/>
      <c r="BG873" s="391">
        <f>SUM($AV$4:AV873)</f>
        <v>4283.3555263348817</v>
      </c>
      <c r="BH873" s="392">
        <f>SUM($AU$134:AU873)</f>
        <v>16336.302000000323</v>
      </c>
      <c r="BI873" s="318">
        <f>SUMIFS($AU$134:AU874,$Q$134:Q874,"F")</f>
        <v>5678.5333333333328</v>
      </c>
      <c r="BJ873" s="318">
        <f>SUMIFS($AU$134:AU874,$Q$134:Q874,"S")</f>
        <v>10932.441999999999</v>
      </c>
      <c r="BK873" s="343">
        <f>SUMIFS($AU$134:AU874,$P$134:P874,"W")</f>
        <v>10171.74199999994</v>
      </c>
      <c r="BL873" s="343">
        <f>SUMIFS($AU$134:AU874,$P$134:P874,"R")</f>
        <v>6180.673333333335</v>
      </c>
      <c r="BM873" s="343">
        <f>SUMIFS($AU$134:AU874,$AQ$134:AQ874,"M")</f>
        <v>2381.3999999999878</v>
      </c>
      <c r="BN873" s="343">
        <f>SUMIFS($AU$134:AU874,$AQ$134:AQ874,"H")</f>
        <v>4478.1420000000153</v>
      </c>
      <c r="BO873" s="343">
        <f>SUMIFS($AU$134:AU874,$AQ$134:AQ874,"D")</f>
        <v>5544.3466666667146</v>
      </c>
      <c r="BP873" s="343">
        <f>SUMIFS($AU$134:AU876,$AQ$134:AQ876,"W")</f>
        <v>3049.7833333333429</v>
      </c>
      <c r="BQ873" s="343">
        <f>SUMIFS($AU$134:AU874,$Q$134:Q874,"O")</f>
        <v>-281.8733333330153</v>
      </c>
      <c r="BR873" s="343">
        <f>SUMIFS($AU$134:AU874,$AA$134:AA874,"*")</f>
        <v>15429.475333333328</v>
      </c>
      <c r="BS873" s="343">
        <f>SUMIFS($AU$134:AU874,$AB$134:AB874,"*")</f>
        <v>5593.3266666669924</v>
      </c>
      <c r="BT873" s="343">
        <f>SUMIFS($AU$134:AU874,$AC$134:AC874,"*")</f>
        <v>9119.6833333333325</v>
      </c>
      <c r="BU873" s="343">
        <f>SUMIFS($AU$134:AU874,$AA$134:AA874,"*",$AB$134:AB874,"*")</f>
        <v>3586.0000000000045</v>
      </c>
      <c r="BV873" s="343">
        <f>SUMIFS($AU$134:AU874,$AA$134:AA874,"*",$AC$134:AC874,"*")</f>
        <v>8580.7833333333328</v>
      </c>
      <c r="BW873" s="343">
        <f>SUMIFS($AU$134:AU874,$AB$134:AB874,"*",$AC$134:AC874,"*")</f>
        <v>5374.6</v>
      </c>
      <c r="BX873" s="343">
        <f>SUMIFS($AU874:AU$1388,$Q874:Q$1388,"F")</f>
        <v>8986.133333333335</v>
      </c>
      <c r="BY873" s="343">
        <f>SUMIFS($AU874:AU$1388,$Q874:Q$1388,"S")</f>
        <v>9739.2000000000007</v>
      </c>
      <c r="BZ873" s="343">
        <f>SUMIFS($AU874:AU$1388,$Q874:Q$1388,"O")</f>
        <v>-1366.9846666667831</v>
      </c>
    </row>
    <row r="874" spans="1:78" ht="15.75" customHeight="1">
      <c r="A874" s="221" t="s">
        <v>3401</v>
      </c>
      <c r="B874" s="177">
        <v>45139</v>
      </c>
      <c r="C874" s="178" t="s">
        <v>3402</v>
      </c>
      <c r="D874" s="178" t="s">
        <v>146</v>
      </c>
      <c r="E874" s="227"/>
      <c r="F874" s="180"/>
      <c r="G874" s="481" t="s">
        <v>2807</v>
      </c>
      <c r="H874" s="182"/>
      <c r="I874" s="182"/>
      <c r="J874" s="182"/>
      <c r="K874" s="183"/>
      <c r="L874" s="182">
        <v>1</v>
      </c>
      <c r="M874" s="182">
        <v>1</v>
      </c>
      <c r="N874" s="182"/>
      <c r="O874" s="183" t="s">
        <v>95</v>
      </c>
      <c r="P874" s="183" t="s">
        <v>137</v>
      </c>
      <c r="Q874" s="183" t="s">
        <v>256</v>
      </c>
      <c r="R874" s="183">
        <v>14</v>
      </c>
      <c r="S874" s="183">
        <v>0</v>
      </c>
      <c r="T874" s="183">
        <v>11</v>
      </c>
      <c r="U874" s="183" t="s">
        <v>22</v>
      </c>
      <c r="V874" s="183"/>
      <c r="W874" s="183"/>
      <c r="X874" s="183"/>
      <c r="Y874" s="184">
        <f>IF(ISBLANK(O874),"",(IF(O874=UPPER("IB"),0.005,0.01)))</f>
        <v>0.01</v>
      </c>
      <c r="Z874" s="185">
        <f t="shared" si="291"/>
        <v>1600</v>
      </c>
      <c r="AA874" s="185" t="s">
        <v>99</v>
      </c>
      <c r="AB874" s="185"/>
      <c r="AC874" s="185" t="s">
        <v>3403</v>
      </c>
      <c r="AD874" s="649">
        <v>-0.04</v>
      </c>
      <c r="AE874" s="182"/>
      <c r="AF874" s="332"/>
      <c r="AG874" s="182"/>
      <c r="AH874" s="182"/>
      <c r="AI874" s="182"/>
      <c r="AJ874" s="644" t="s">
        <v>3404</v>
      </c>
      <c r="AK874" s="182" t="s">
        <v>529</v>
      </c>
      <c r="AL874" s="496">
        <f>-0.03*Z874</f>
        <v>-48</v>
      </c>
      <c r="AM874" s="496">
        <f>AL874*(R874-S874)</f>
        <v>-672</v>
      </c>
      <c r="AN874" s="626"/>
      <c r="AO874" s="182"/>
      <c r="AP874" s="182" t="s">
        <v>864</v>
      </c>
      <c r="AQ874" s="332" t="str">
        <f>UPPER(RIGHT(Journal_Live[[#This Row],[DURATION ]]))</f>
        <v>D</v>
      </c>
      <c r="AR874" s="182" t="s">
        <v>3405</v>
      </c>
      <c r="AS874" s="189">
        <f>((-0.03*4)+(-0.03*10))/14</f>
        <v>-0.03</v>
      </c>
      <c r="AT874" s="189">
        <f>IF(ISBLANK(AS874),,IF(U874="S",AD874-AS874,AS874-AD874))</f>
        <v>1.0000000000000002E-2</v>
      </c>
      <c r="AU874" s="187">
        <f>AV874*R874</f>
        <v>224.00000000000006</v>
      </c>
      <c r="AV874" s="190">
        <f>IF(ISBLANK(AS874),,(AT874*Z874))</f>
        <v>16.000000000000004</v>
      </c>
      <c r="AW874" s="191" t="s">
        <v>96</v>
      </c>
      <c r="AX874" s="407" t="s">
        <v>3406</v>
      </c>
      <c r="AY874" s="407" t="s">
        <v>3407</v>
      </c>
      <c r="AZ874" s="407" t="s">
        <v>3408</v>
      </c>
      <c r="BA874" s="407" t="s">
        <v>3409</v>
      </c>
      <c r="BB874" s="407"/>
      <c r="BC874" s="407"/>
      <c r="BD874" s="407"/>
      <c r="BE874" s="407"/>
      <c r="BF874" s="422"/>
      <c r="BG874" s="391">
        <f>SUM($AV$4:AV874)</f>
        <v>4299.3555263348817</v>
      </c>
      <c r="BH874" s="392">
        <f>SUM($AU$134:AU874)</f>
        <v>16560.302000000323</v>
      </c>
      <c r="BI874" s="318">
        <f>SUMIFS($AU$134:AU875,$Q$134:Q875,"F")</f>
        <v>5678.5333333333328</v>
      </c>
      <c r="BJ874" s="318">
        <f>SUMIFS($AU$134:AU875,$Q$134:Q875,"S")</f>
        <v>10932.441999999999</v>
      </c>
      <c r="BK874" s="343">
        <f>SUMIFS($AU$134:AU875,$P$134:P875,"W")</f>
        <v>10171.74199999994</v>
      </c>
      <c r="BL874" s="343">
        <f>SUMIFS($AU$134:AU875,$P$134:P875,"R")</f>
        <v>6180.673333333335</v>
      </c>
      <c r="BM874" s="343">
        <f>SUMIFS($AU$134:AU875,$AQ$134:AQ875,"M")</f>
        <v>2381.3999999999878</v>
      </c>
      <c r="BN874" s="343">
        <f>SUMIFS($AU$134:AU875,$AQ$134:AQ875,"H")</f>
        <v>4478.1420000000153</v>
      </c>
      <c r="BO874" s="343">
        <f>SUMIFS($AU$134:AU875,$AQ$134:AQ875,"D")</f>
        <v>5544.3466666667146</v>
      </c>
      <c r="BP874" s="343">
        <f>SUMIFS($AU$134:AU877,$AQ$134:AQ877,"W")</f>
        <v>3049.7833333333429</v>
      </c>
      <c r="BQ874" s="343">
        <f>SUMIFS($AU$134:AU875,$Q$134:Q875,"O")</f>
        <v>-281.8733333330153</v>
      </c>
      <c r="BR874" s="343">
        <f>SUMIFS($AU$134:AU875,$AA$134:AA875,"*")</f>
        <v>15429.475333333328</v>
      </c>
      <c r="BS874" s="343">
        <f>SUMIFS($AU$134:AU875,$AB$134:AB875,"*")</f>
        <v>5593.3266666669924</v>
      </c>
      <c r="BT874" s="343">
        <f>SUMIFS($AU$134:AU875,$AC$134:AC875,"*")</f>
        <v>9119.6833333333325</v>
      </c>
      <c r="BU874" s="343">
        <f>SUMIFS($AU$134:AU875,$AA$134:AA875,"*",$AB$134:AB875,"*")</f>
        <v>3586.0000000000045</v>
      </c>
      <c r="BV874" s="343">
        <f>SUMIFS($AU$134:AU875,$AA$134:AA875,"*",$AC$134:AC875,"*")</f>
        <v>8580.7833333333328</v>
      </c>
      <c r="BW874" s="343">
        <f>SUMIFS($AU$134:AU875,$AB$134:AB875,"*",$AC$134:AC875,"*")</f>
        <v>5374.6</v>
      </c>
      <c r="BX874" s="343">
        <f>SUMIFS($AU875:AU$1388,$Q875:Q$1388,"F")</f>
        <v>8762.133333333335</v>
      </c>
      <c r="BY874" s="343">
        <f>SUMIFS($AU875:AU$1388,$Q875:Q$1388,"S")</f>
        <v>9739.2000000000007</v>
      </c>
      <c r="BZ874" s="343">
        <f>SUMIFS($AU875:AU$1388,$Q875:Q$1388,"O")</f>
        <v>-1366.9846666667831</v>
      </c>
    </row>
    <row r="875" spans="1:78" ht="15.75" customHeight="1">
      <c r="A875" s="221" t="s">
        <v>3401</v>
      </c>
      <c r="B875" s="177">
        <v>45139</v>
      </c>
      <c r="C875" s="178" t="s">
        <v>2860</v>
      </c>
      <c r="D875" s="178" t="s">
        <v>146</v>
      </c>
      <c r="E875" s="227" t="s">
        <v>3410</v>
      </c>
      <c r="F875" s="180"/>
      <c r="G875" s="181"/>
      <c r="H875" s="182"/>
      <c r="I875" s="182"/>
      <c r="J875" s="182"/>
      <c r="K875" s="183"/>
      <c r="L875" s="182"/>
      <c r="M875" s="182"/>
      <c r="N875" s="182"/>
      <c r="O875" s="183"/>
      <c r="P875" s="183"/>
      <c r="Q875" s="183"/>
      <c r="R875" s="183"/>
      <c r="S875" s="183"/>
      <c r="T875" s="183"/>
      <c r="U875" s="183"/>
      <c r="V875" s="183"/>
      <c r="W875" s="183"/>
      <c r="X875" s="183"/>
      <c r="Y875" s="184" t="str">
        <f>IF(ISBLANK(O875),"",(IF(O875=UPPER("IB"),0.005,0.01)))</f>
        <v/>
      </c>
      <c r="Z875" s="185" t="str">
        <f t="shared" si="291"/>
        <v/>
      </c>
      <c r="AA875" s="185"/>
      <c r="AB875" s="185"/>
      <c r="AC875" s="185"/>
      <c r="AD875" s="649"/>
      <c r="AE875" s="182"/>
      <c r="AF875" s="332"/>
      <c r="AG875" s="182"/>
      <c r="AH875" s="182"/>
      <c r="AI875" s="182"/>
      <c r="AJ875" s="640"/>
      <c r="AK875" s="182"/>
      <c r="AL875" s="496"/>
      <c r="AM875" s="496"/>
      <c r="AN875" s="626"/>
      <c r="AO875" s="182"/>
      <c r="AP875" s="182"/>
      <c r="AQ875" s="332" t="str">
        <f>UPPER(RIGHT(Journal_Live[[#This Row],[DURATION ]]))</f>
        <v/>
      </c>
      <c r="AR875" s="182"/>
      <c r="AS875" s="189"/>
      <c r="AT875" s="189"/>
      <c r="AU875" s="187"/>
      <c r="AV875" s="190"/>
      <c r="AW875" s="191"/>
      <c r="AX875" s="407" t="s">
        <v>3411</v>
      </c>
      <c r="AY875" s="407" t="s">
        <v>3412</v>
      </c>
      <c r="AZ875" s="407" t="s">
        <v>3413</v>
      </c>
      <c r="BA875" s="407"/>
      <c r="BB875" s="407"/>
      <c r="BC875" s="407"/>
      <c r="BD875" s="407"/>
      <c r="BE875" s="407"/>
      <c r="BF875" s="422"/>
      <c r="BG875" s="391">
        <f>SUM($AV$4:AV875)</f>
        <v>4299.3555263348817</v>
      </c>
      <c r="BH875" s="392">
        <f>SUM($AU$134:AU875)</f>
        <v>16560.302000000323</v>
      </c>
      <c r="BI875" s="318">
        <f>SUMIFS($AU$134:AU876,$Q$134:Q876,"F")</f>
        <v>5678.5333333333328</v>
      </c>
      <c r="BJ875" s="318">
        <f>SUMIFS($AU$134:AU876,$Q$134:Q876,"S")</f>
        <v>10932.441999999999</v>
      </c>
      <c r="BK875" s="343">
        <f>SUMIFS($AU$134:AU876,$P$134:P876,"W")</f>
        <v>10171.74199999994</v>
      </c>
      <c r="BL875" s="343">
        <f>SUMIFS($AU$134:AU876,$P$134:P876,"R")</f>
        <v>6180.673333333335</v>
      </c>
      <c r="BM875" s="343">
        <f>SUMIFS($AU$134:AU876,$AQ$134:AQ876,"M")</f>
        <v>2381.3999999999878</v>
      </c>
      <c r="BN875" s="343">
        <f>SUMIFS($AU$134:AU876,$AQ$134:AQ876,"H")</f>
        <v>4478.1420000000153</v>
      </c>
      <c r="BO875" s="343">
        <f>SUMIFS($AU$134:AU876,$AQ$134:AQ876,"D")</f>
        <v>5544.3466666667146</v>
      </c>
      <c r="BP875" s="343">
        <f>SUMIFS($AU$134:AU878,$AQ$134:AQ878,"W")</f>
        <v>3049.7833333333429</v>
      </c>
      <c r="BQ875" s="343">
        <f>SUMIFS($AU$134:AU876,$Q$134:Q876,"O")</f>
        <v>-281.8733333330153</v>
      </c>
      <c r="BR875" s="343">
        <f>SUMIFS($AU$134:AU876,$AA$134:AA876,"*")</f>
        <v>15429.475333333328</v>
      </c>
      <c r="BS875" s="343">
        <f>SUMIFS($AU$134:AU876,$AB$134:AB876,"*")</f>
        <v>5593.3266666669924</v>
      </c>
      <c r="BT875" s="343">
        <f>SUMIFS($AU$134:AU876,$AC$134:AC876,"*")</f>
        <v>9119.6833333333325</v>
      </c>
      <c r="BU875" s="343">
        <f>SUMIFS($AU$134:AU876,$AA$134:AA876,"*",$AB$134:AB876,"*")</f>
        <v>3586.0000000000045</v>
      </c>
      <c r="BV875" s="343">
        <f>SUMIFS($AU$134:AU876,$AA$134:AA876,"*",$AC$134:AC876,"*")</f>
        <v>8580.7833333333328</v>
      </c>
      <c r="BW875" s="343">
        <f>SUMIFS($AU$134:AU876,$AB$134:AB876,"*",$AC$134:AC876,"*")</f>
        <v>5374.6</v>
      </c>
      <c r="BX875" s="343">
        <f>SUMIFS($AU876:AU$1388,$Q876:Q$1388,"F")</f>
        <v>8762.133333333335</v>
      </c>
      <c r="BY875" s="343">
        <f>SUMIFS($AU876:AU$1388,$Q876:Q$1388,"S")</f>
        <v>9739.2000000000007</v>
      </c>
      <c r="BZ875" s="343">
        <f>SUMIFS($AU876:AU$1388,$Q876:Q$1388,"O")</f>
        <v>-1366.9846666667831</v>
      </c>
    </row>
    <row r="876" spans="1:78" ht="15.75" customHeight="1">
      <c r="A876" s="221" t="s">
        <v>3401</v>
      </c>
      <c r="B876" s="177">
        <v>45139</v>
      </c>
      <c r="C876" s="178" t="s">
        <v>3414</v>
      </c>
      <c r="D876" s="178" t="s">
        <v>146</v>
      </c>
      <c r="E876" s="227"/>
      <c r="F876" s="180"/>
      <c r="G876" s="181" t="s">
        <v>3415</v>
      </c>
      <c r="H876" s="182"/>
      <c r="I876" s="182"/>
      <c r="J876" s="182"/>
      <c r="K876" s="183"/>
      <c r="L876" s="182"/>
      <c r="M876" s="182"/>
      <c r="N876" s="182"/>
      <c r="O876" s="183"/>
      <c r="P876" s="183"/>
      <c r="Q876" s="183"/>
      <c r="R876" s="183"/>
      <c r="S876" s="183"/>
      <c r="T876" s="183"/>
      <c r="U876" s="183"/>
      <c r="V876" s="183"/>
      <c r="W876" s="183"/>
      <c r="X876" s="183"/>
      <c r="Y876" s="184"/>
      <c r="Z876" s="185"/>
      <c r="AA876" s="185"/>
      <c r="AB876" s="473"/>
      <c r="AC876" s="185"/>
      <c r="AD876" s="649"/>
      <c r="AE876" s="182"/>
      <c r="AF876" s="332"/>
      <c r="AG876" s="182"/>
      <c r="AH876" s="182"/>
      <c r="AI876" s="182"/>
      <c r="AJ876" s="640"/>
      <c r="AK876" s="182"/>
      <c r="AL876" s="496"/>
      <c r="AM876" s="496"/>
      <c r="AN876" s="626"/>
      <c r="AO876" s="182"/>
      <c r="AP876" s="182"/>
      <c r="AQ876" s="332" t="str">
        <f>UPPER(RIGHT(Journal_Live[[#This Row],[DURATION ]]))</f>
        <v/>
      </c>
      <c r="AR876" s="182"/>
      <c r="AS876" s="189"/>
      <c r="AT876" s="189"/>
      <c r="AU876" s="187"/>
      <c r="AV876" s="190"/>
      <c r="AW876" s="191"/>
      <c r="AX876" s="407" t="s">
        <v>3416</v>
      </c>
      <c r="AY876" s="407" t="s">
        <v>3417</v>
      </c>
      <c r="AZ876" s="407"/>
      <c r="BA876" s="407"/>
      <c r="BB876" s="407"/>
      <c r="BC876" s="407"/>
      <c r="BD876" s="407"/>
      <c r="BE876" s="407"/>
      <c r="BF876" s="422"/>
      <c r="BG876" s="391">
        <f>SUM($AV$4:AV876)</f>
        <v>4299.3555263348817</v>
      </c>
      <c r="BH876" s="392">
        <f>SUM($AU$134:AU876)</f>
        <v>16560.302000000323</v>
      </c>
      <c r="BI876" s="318">
        <f>SUMIFS($AU$134:AU877,$Q$134:Q877,"F")</f>
        <v>5678.5333333333328</v>
      </c>
      <c r="BJ876" s="318">
        <f>SUMIFS($AU$134:AU877,$Q$134:Q877,"S")</f>
        <v>11012.441999999999</v>
      </c>
      <c r="BK876" s="343">
        <f>SUMIFS($AU$134:AU877,$P$134:P877,"W")</f>
        <v>10251.74199999994</v>
      </c>
      <c r="BL876" s="343">
        <f>SUMIFS($AU$134:AU877,$P$134:P877,"R")</f>
        <v>6180.673333333335</v>
      </c>
      <c r="BM876" s="343">
        <f>SUMIFS($AU$134:AU877,$AQ$134:AQ877,"M")</f>
        <v>2381.3999999999878</v>
      </c>
      <c r="BN876" s="343">
        <f>SUMIFS($AU$134:AU877,$AQ$134:AQ877,"H")</f>
        <v>4558.1420000000153</v>
      </c>
      <c r="BO876" s="343">
        <f>SUMIFS($AU$134:AU877,$AQ$134:AQ877,"D")</f>
        <v>5544.3466666667146</v>
      </c>
      <c r="BP876" s="343">
        <f>SUMIFS($AU$134:AU879,$AQ$134:AQ879,"W")</f>
        <v>3049.7833333333429</v>
      </c>
      <c r="BQ876" s="343">
        <f>SUMIFS($AU$134:AU877,$Q$134:Q877,"O")</f>
        <v>-281.8733333330153</v>
      </c>
      <c r="BR876" s="343">
        <f>SUMIFS($AU$134:AU877,$AA$134:AA877,"*")</f>
        <v>15509.475333333328</v>
      </c>
      <c r="BS876" s="343">
        <f>SUMIFS($AU$134:AU877,$AB$134:AB877,"*")</f>
        <v>5593.3266666669924</v>
      </c>
      <c r="BT876" s="343">
        <f>SUMIFS($AU$134:AU877,$AC$134:AC877,"*")</f>
        <v>9119.6833333333325</v>
      </c>
      <c r="BU876" s="343">
        <f>SUMIFS($AU$134:AU877,$AA$134:AA877,"*",$AB$134:AB877,"*")</f>
        <v>3586.0000000000045</v>
      </c>
      <c r="BV876" s="343">
        <f>SUMIFS($AU$134:AU877,$AA$134:AA877,"*",$AC$134:AC877,"*")</f>
        <v>8580.7833333333328</v>
      </c>
      <c r="BW876" s="343">
        <f>SUMIFS($AU$134:AU877,$AB$134:AB877,"*",$AC$134:AC877,"*")</f>
        <v>5374.6</v>
      </c>
      <c r="BX876" s="343">
        <f>SUMIFS($AU877:AU$1388,$Q877:Q$1388,"F")</f>
        <v>8762.133333333335</v>
      </c>
      <c r="BY876" s="343">
        <f>SUMIFS($AU877:AU$1388,$Q877:Q$1388,"S")</f>
        <v>9739.2000000000007</v>
      </c>
      <c r="BZ876" s="343">
        <f>SUMIFS($AU877:AU$1388,$Q877:Q$1388,"O")</f>
        <v>-1366.9846666667831</v>
      </c>
    </row>
    <row r="877" spans="1:78" ht="15.75" customHeight="1">
      <c r="A877" s="221" t="s">
        <v>3401</v>
      </c>
      <c r="B877" s="177">
        <v>45139</v>
      </c>
      <c r="C877" s="178" t="s">
        <v>3418</v>
      </c>
      <c r="D877" s="178" t="s">
        <v>146</v>
      </c>
      <c r="E877" s="227"/>
      <c r="F877" s="180"/>
      <c r="G877" s="481" t="s">
        <v>136</v>
      </c>
      <c r="H877" s="182"/>
      <c r="I877" s="182"/>
      <c r="J877" s="182"/>
      <c r="K877" s="183"/>
      <c r="L877" s="182">
        <v>1</v>
      </c>
      <c r="M877" s="182"/>
      <c r="N877" s="182"/>
      <c r="O877" s="183" t="s">
        <v>95</v>
      </c>
      <c r="P877" s="183" t="s">
        <v>96</v>
      </c>
      <c r="Q877" s="183" t="s">
        <v>97</v>
      </c>
      <c r="R877" s="183">
        <v>5</v>
      </c>
      <c r="S877" s="183">
        <v>0</v>
      </c>
      <c r="T877" s="183">
        <v>5</v>
      </c>
      <c r="U877" s="183" t="s">
        <v>97</v>
      </c>
      <c r="V877" s="183"/>
      <c r="W877" s="183"/>
      <c r="X877" s="183"/>
      <c r="Y877" s="184">
        <f>IF(ISBLANK(O877),"",(IF(O877=UPPER("IB"),0.005,0.01)))</f>
        <v>0.01</v>
      </c>
      <c r="Z877" s="185">
        <f>IF(ISBLANK(O877),"",IF(O877="IB",8.63*200,IF(O877="IR",16*100,IF(O877="YT",20*100,IF(O877="YT-XT",24*200,IF(O877="TED",80*100))))))</f>
        <v>1600</v>
      </c>
      <c r="AA877" s="185" t="s">
        <v>99</v>
      </c>
      <c r="AB877" s="185"/>
      <c r="AC877" s="185"/>
      <c r="AD877" s="649">
        <v>-0.11</v>
      </c>
      <c r="AE877" s="182"/>
      <c r="AF877" s="332"/>
      <c r="AG877" s="182"/>
      <c r="AH877" s="182"/>
      <c r="AI877" s="182"/>
      <c r="AJ877" s="640"/>
      <c r="AK877" s="182"/>
      <c r="AL877" s="496"/>
      <c r="AM877" s="496"/>
      <c r="AN877" s="626"/>
      <c r="AO877" s="182"/>
      <c r="AP877" s="182" t="s">
        <v>1897</v>
      </c>
      <c r="AQ877" s="332" t="str">
        <f>UPPER(RIGHT(Journal_Live[[#This Row],[DURATION ]]))</f>
        <v>H</v>
      </c>
      <c r="AR877" s="182" t="s">
        <v>3419</v>
      </c>
      <c r="AS877" s="189">
        <v>-0.12</v>
      </c>
      <c r="AT877" s="189">
        <f>IF(ISBLANK(AS877),,IF(U877="S",AD877-AS877,AS877-AD877))</f>
        <v>9.999999999999995E-3</v>
      </c>
      <c r="AU877" s="187">
        <f>AV877*R877</f>
        <v>79.999999999999972</v>
      </c>
      <c r="AV877" s="190">
        <f>IF(ISBLANK(AS877),,(AT877*Z877))</f>
        <v>15.999999999999993</v>
      </c>
      <c r="AW877" s="191" t="s">
        <v>96</v>
      </c>
      <c r="AX877" s="407" t="s">
        <v>2182</v>
      </c>
      <c r="AY877" s="407"/>
      <c r="AZ877" s="407"/>
      <c r="BA877" s="407"/>
      <c r="BB877" s="407"/>
      <c r="BC877" s="407"/>
      <c r="BD877" s="407"/>
      <c r="BE877" s="407"/>
      <c r="BF877" s="422"/>
      <c r="BG877" s="391">
        <f>SUM($AV$4:AV877)</f>
        <v>4315.3555263348817</v>
      </c>
      <c r="BH877" s="392">
        <f>SUM($AU$134:AU877)</f>
        <v>16640.302000000323</v>
      </c>
      <c r="BI877" s="318">
        <f>SUMIFS($AU$134:AU878,$Q$134:Q878,"F")</f>
        <v>5678.5333333333328</v>
      </c>
      <c r="BJ877" s="318">
        <f>SUMIFS($AU$134:AU878,$Q$134:Q878,"S")</f>
        <v>11012.441999999999</v>
      </c>
      <c r="BK877" s="343">
        <f>SUMIFS($AU$134:AU878,$P$134:P878,"W")</f>
        <v>10251.74199999994</v>
      </c>
      <c r="BL877" s="343">
        <f>SUMIFS($AU$134:AU878,$P$134:P878,"R")</f>
        <v>6180.673333333335</v>
      </c>
      <c r="BM877" s="343">
        <f>SUMIFS($AU$134:AU878,$AQ$134:AQ878,"M")</f>
        <v>2381.3999999999878</v>
      </c>
      <c r="BN877" s="343">
        <f>SUMIFS($AU$134:AU878,$AQ$134:AQ878,"H")</f>
        <v>4558.1420000000153</v>
      </c>
      <c r="BO877" s="343">
        <f>SUMIFS($AU$134:AU878,$AQ$134:AQ878,"D")</f>
        <v>5544.3466666667146</v>
      </c>
      <c r="BP877" s="343">
        <f>SUMIFS($AU$134:AU880,$AQ$134:AQ880,"W")</f>
        <v>3049.7833333333429</v>
      </c>
      <c r="BQ877" s="343">
        <f>SUMIFS($AU$134:AU878,$Q$134:Q878,"O")</f>
        <v>-281.8733333330153</v>
      </c>
      <c r="BR877" s="343">
        <f>SUMIFS($AU$134:AU878,$AA$134:AA878,"*")</f>
        <v>15509.475333333328</v>
      </c>
      <c r="BS877" s="343">
        <f>SUMIFS($AU$134:AU878,$AB$134:AB878,"*")</f>
        <v>5593.3266666669924</v>
      </c>
      <c r="BT877" s="343">
        <f>SUMIFS($AU$134:AU878,$AC$134:AC878,"*")</f>
        <v>9119.6833333333325</v>
      </c>
      <c r="BU877" s="343">
        <f>SUMIFS($AU$134:AU878,$AA$134:AA878,"*",$AB$134:AB878,"*")</f>
        <v>3586.0000000000045</v>
      </c>
      <c r="BV877" s="343">
        <f>SUMIFS($AU$134:AU878,$AA$134:AA878,"*",$AC$134:AC878,"*")</f>
        <v>8580.7833333333328</v>
      </c>
      <c r="BW877" s="343">
        <f>SUMIFS($AU$134:AU878,$AB$134:AB878,"*",$AC$134:AC878,"*")</f>
        <v>5374.6</v>
      </c>
      <c r="BX877" s="343">
        <f>SUMIFS($AU878:AU$1388,$Q878:Q$1388,"F")</f>
        <v>8762.133333333335</v>
      </c>
      <c r="BY877" s="343">
        <f>SUMIFS($AU878:AU$1388,$Q878:Q$1388,"S")</f>
        <v>9659.2000000000007</v>
      </c>
      <c r="BZ877" s="343">
        <f>SUMIFS($AU878:AU$1388,$Q878:Q$1388,"O")</f>
        <v>-1366.9846666667831</v>
      </c>
    </row>
    <row r="878" spans="1:78" ht="15.75" customHeight="1">
      <c r="A878" s="221" t="s">
        <v>3401</v>
      </c>
      <c r="B878" s="177">
        <v>45139</v>
      </c>
      <c r="C878" s="178" t="s">
        <v>682</v>
      </c>
      <c r="D878" s="178" t="s">
        <v>146</v>
      </c>
      <c r="E878" s="227"/>
      <c r="F878" s="180"/>
      <c r="G878" s="481" t="s">
        <v>2070</v>
      </c>
      <c r="H878" s="182"/>
      <c r="I878" s="182"/>
      <c r="J878" s="182"/>
      <c r="K878" s="183"/>
      <c r="L878" s="182">
        <v>1</v>
      </c>
      <c r="M878" s="182"/>
      <c r="N878" s="182"/>
      <c r="O878" s="183" t="s">
        <v>95</v>
      </c>
      <c r="P878" s="183" t="s">
        <v>137</v>
      </c>
      <c r="Q878" s="183" t="s">
        <v>97</v>
      </c>
      <c r="R878" s="183">
        <v>8</v>
      </c>
      <c r="S878" s="183">
        <v>0</v>
      </c>
      <c r="T878" s="183">
        <v>8</v>
      </c>
      <c r="U878" s="183" t="s">
        <v>22</v>
      </c>
      <c r="V878" s="183"/>
      <c r="W878" s="183"/>
      <c r="X878" s="183"/>
      <c r="Y878" s="184">
        <f>IF(ISBLANK(O878),"",(IF(O878=UPPER("IB"),0.005,0.01)))</f>
        <v>0.01</v>
      </c>
      <c r="Z878" s="185">
        <f>IF(ISBLANK(O878),"",IF(O878="IB",8.63*200,IF(O878="IR",16*100,IF(O878="YT",20*100,IF(O878="YT-XT",24*200,IF(O878="TED",80*100))))))</f>
        <v>1600</v>
      </c>
      <c r="AA878" s="185" t="s">
        <v>99</v>
      </c>
      <c r="AB878" s="185"/>
      <c r="AC878" s="185"/>
      <c r="AD878" s="649">
        <v>-0.11</v>
      </c>
      <c r="AE878" s="182"/>
      <c r="AF878" s="332"/>
      <c r="AG878" s="182"/>
      <c r="AH878" s="182"/>
      <c r="AI878" s="182"/>
      <c r="AJ878" s="640"/>
      <c r="AK878" s="182"/>
      <c r="AL878" s="496"/>
      <c r="AM878" s="496"/>
      <c r="AN878" s="626"/>
      <c r="AO878" s="182"/>
      <c r="AP878" s="182" t="s">
        <v>2150</v>
      </c>
      <c r="AQ878" s="332" t="str">
        <f>UPPER(RIGHT(Journal_Live[[#This Row],[DURATION ]]))</f>
        <v>H</v>
      </c>
      <c r="AR878" s="182" t="s">
        <v>2024</v>
      </c>
      <c r="AS878" s="189">
        <v>-0.11</v>
      </c>
      <c r="AT878" s="189">
        <f>IF(ISBLANK(AS878),,IF(U878="S",AD878-AS878,AS878-AD878))</f>
        <v>0</v>
      </c>
      <c r="AU878" s="187">
        <f>AV878*R878</f>
        <v>0</v>
      </c>
      <c r="AV878" s="190">
        <f>IF(ISBLANK(AS878),,(AT878*Z878))</f>
        <v>0</v>
      </c>
      <c r="AW878" s="191" t="s">
        <v>115</v>
      </c>
      <c r="AX878" s="407"/>
      <c r="AY878" s="407"/>
      <c r="AZ878" s="407"/>
      <c r="BA878" s="407"/>
      <c r="BB878" s="407"/>
      <c r="BC878" s="407"/>
      <c r="BD878" s="407"/>
      <c r="BE878" s="407"/>
      <c r="BF878" s="422"/>
      <c r="BG878" s="391">
        <f>SUM($AV$4:AV878)</f>
        <v>4315.3555263348817</v>
      </c>
      <c r="BH878" s="392">
        <f>SUM($AU$134:AU878)</f>
        <v>16640.302000000323</v>
      </c>
      <c r="BI878" s="318">
        <f>SUMIFS($AU$134:AU879,$Q$134:Q879,"F")</f>
        <v>5678.5333333333328</v>
      </c>
      <c r="BJ878" s="318">
        <f>SUMIFS($AU$134:AU879,$Q$134:Q879,"S")</f>
        <v>11092.441999999999</v>
      </c>
      <c r="BK878" s="343">
        <f>SUMIFS($AU$134:AU879,$P$134:P879,"W")</f>
        <v>10331.74199999994</v>
      </c>
      <c r="BL878" s="343">
        <f>SUMIFS($AU$134:AU879,$P$134:P879,"R")</f>
        <v>6180.673333333335</v>
      </c>
      <c r="BM878" s="343">
        <f>SUMIFS($AU$134:AU879,$AQ$134:AQ879,"M")</f>
        <v>2381.3999999999878</v>
      </c>
      <c r="BN878" s="343">
        <f>SUMIFS($AU$134:AU879,$AQ$134:AQ879,"H")</f>
        <v>4638.1420000000153</v>
      </c>
      <c r="BO878" s="343">
        <f>SUMIFS($AU$134:AU879,$AQ$134:AQ879,"D")</f>
        <v>5544.3466666667146</v>
      </c>
      <c r="BP878" s="343">
        <f>SUMIFS($AU$134:AU881,$AQ$134:AQ881,"W")</f>
        <v>3049.7833333333429</v>
      </c>
      <c r="BQ878" s="343">
        <f>SUMIFS($AU$134:AU879,$Q$134:Q879,"O")</f>
        <v>-281.8733333330153</v>
      </c>
      <c r="BR878" s="343">
        <f>SUMIFS($AU$134:AU879,$AA$134:AA879,"*")</f>
        <v>15589.475333333328</v>
      </c>
      <c r="BS878" s="343">
        <f>SUMIFS($AU$134:AU879,$AB$134:AB879,"*")</f>
        <v>5593.3266666669924</v>
      </c>
      <c r="BT878" s="343">
        <f>SUMIFS($AU$134:AU879,$AC$134:AC879,"*")</f>
        <v>9119.6833333333325</v>
      </c>
      <c r="BU878" s="343">
        <f>SUMIFS($AU$134:AU879,$AA$134:AA879,"*",$AB$134:AB879,"*")</f>
        <v>3586.0000000000045</v>
      </c>
      <c r="BV878" s="343">
        <f>SUMIFS($AU$134:AU879,$AA$134:AA879,"*",$AC$134:AC879,"*")</f>
        <v>8580.7833333333328</v>
      </c>
      <c r="BW878" s="343">
        <f>SUMIFS($AU$134:AU879,$AB$134:AB879,"*",$AC$134:AC879,"*")</f>
        <v>5374.6</v>
      </c>
      <c r="BX878" s="343">
        <f>SUMIFS($AU879:AU$1388,$Q879:Q$1388,"F")</f>
        <v>8762.133333333335</v>
      </c>
      <c r="BY878" s="343">
        <f>SUMIFS($AU879:AU$1388,$Q879:Q$1388,"S")</f>
        <v>9659.2000000000007</v>
      </c>
      <c r="BZ878" s="343">
        <f>SUMIFS($AU879:AU$1388,$Q879:Q$1388,"O")</f>
        <v>-1366.9846666667831</v>
      </c>
    </row>
    <row r="879" spans="1:78" ht="15.75" customHeight="1">
      <c r="A879" s="221" t="s">
        <v>3401</v>
      </c>
      <c r="B879" s="177">
        <v>45139</v>
      </c>
      <c r="C879" s="178" t="s">
        <v>872</v>
      </c>
      <c r="D879" s="178" t="s">
        <v>146</v>
      </c>
      <c r="E879" s="227"/>
      <c r="F879" s="180"/>
      <c r="G879" s="481" t="s">
        <v>94</v>
      </c>
      <c r="H879" s="182"/>
      <c r="I879" s="182"/>
      <c r="J879" s="182"/>
      <c r="K879" s="183"/>
      <c r="L879" s="182">
        <v>1</v>
      </c>
      <c r="M879" s="182"/>
      <c r="N879" s="182"/>
      <c r="O879" s="183" t="s">
        <v>95</v>
      </c>
      <c r="P879" s="183" t="s">
        <v>96</v>
      </c>
      <c r="Q879" s="183" t="s">
        <v>97</v>
      </c>
      <c r="R879" s="183">
        <v>5</v>
      </c>
      <c r="S879" s="183">
        <v>0</v>
      </c>
      <c r="T879" s="183">
        <v>5</v>
      </c>
      <c r="U879" s="183" t="s">
        <v>97</v>
      </c>
      <c r="V879" s="183"/>
      <c r="W879" s="183"/>
      <c r="X879" s="183"/>
      <c r="Y879" s="184">
        <f>IF(ISBLANK(O879),"",(IF(O879=UPPER("IB"),0.005,0.01)))</f>
        <v>0.01</v>
      </c>
      <c r="Z879" s="185">
        <f>IF(ISBLANK(O879),"",IF(O879="IB",8.63*200,IF(O879="IR",16*100,IF(O879="YT",20*100,IF(O879="YT-XT",24*200,IF(O879="TED",80*100))))))</f>
        <v>1600</v>
      </c>
      <c r="AA879" s="185" t="s">
        <v>99</v>
      </c>
      <c r="AB879" s="185"/>
      <c r="AC879" s="185"/>
      <c r="AD879" s="649">
        <v>0.14000000000000001</v>
      </c>
      <c r="AE879" s="182"/>
      <c r="AF879" s="332"/>
      <c r="AG879" s="182"/>
      <c r="AH879" s="182"/>
      <c r="AI879" s="182"/>
      <c r="AJ879" s="640"/>
      <c r="AK879" s="182"/>
      <c r="AL879" s="496"/>
      <c r="AM879" s="496"/>
      <c r="AN879" s="626"/>
      <c r="AO879" s="182"/>
      <c r="AP879" s="182" t="s">
        <v>1554</v>
      </c>
      <c r="AQ879" s="332" t="str">
        <f>UPPER(RIGHT(Journal_Live[[#This Row],[DURATION ]]))</f>
        <v>H</v>
      </c>
      <c r="AR879" s="182" t="s">
        <v>3420</v>
      </c>
      <c r="AS879" s="189">
        <v>0.13</v>
      </c>
      <c r="AT879" s="189">
        <f>IF(ISBLANK(AS879),,IF(U879="S",AD879-AS879,AS879-AD879))</f>
        <v>1.0000000000000009E-2</v>
      </c>
      <c r="AU879" s="187">
        <f>AV879*R879</f>
        <v>80.000000000000071</v>
      </c>
      <c r="AV879" s="190">
        <f>IF(ISBLANK(AS879),,(AT879*Z879))</f>
        <v>16.000000000000014</v>
      </c>
      <c r="AW879" s="191" t="s">
        <v>96</v>
      </c>
      <c r="AX879" s="407"/>
      <c r="AY879" s="407"/>
      <c r="AZ879" s="407"/>
      <c r="BA879" s="407"/>
      <c r="BB879" s="407"/>
      <c r="BC879" s="407"/>
      <c r="BD879" s="407"/>
      <c r="BE879" s="407"/>
      <c r="BF879" s="422"/>
      <c r="BG879" s="391">
        <f>SUM($AV$4:AV879)</f>
        <v>4331.3555263348817</v>
      </c>
      <c r="BH879" s="392">
        <f>SUM($AU$134:AU879)</f>
        <v>16720.302000000323</v>
      </c>
      <c r="BI879" s="318">
        <f>SUMIFS($AU$134:AU880,$Q$134:Q880,"F")</f>
        <v>5678.5333333333328</v>
      </c>
      <c r="BJ879" s="318">
        <f>SUMIFS($AU$134:AU880,$Q$134:Q880,"S")</f>
        <v>11092.441999999999</v>
      </c>
      <c r="BK879" s="343">
        <f>SUMIFS($AU$134:AU880,$P$134:P880,"W")</f>
        <v>10331.74199999994</v>
      </c>
      <c r="BL879" s="343">
        <f>SUMIFS($AU$134:AU880,$P$134:P880,"R")</f>
        <v>6180.673333333335</v>
      </c>
      <c r="BM879" s="343">
        <f>SUMIFS($AU$134:AU880,$AQ$134:AQ880,"M")</f>
        <v>2381.3999999999878</v>
      </c>
      <c r="BN879" s="343">
        <f>SUMIFS($AU$134:AU880,$AQ$134:AQ880,"H")</f>
        <v>4638.1420000000153</v>
      </c>
      <c r="BO879" s="343">
        <f>SUMIFS($AU$134:AU880,$AQ$134:AQ880,"D")</f>
        <v>5544.3466666667146</v>
      </c>
      <c r="BP879" s="343">
        <f>SUMIFS($AU$134:AU882,$AQ$134:AQ882,"W")</f>
        <v>3049.7833333333429</v>
      </c>
      <c r="BQ879" s="343">
        <f>SUMIFS($AU$134:AU880,$Q$134:Q880,"O")</f>
        <v>-281.8733333330153</v>
      </c>
      <c r="BR879" s="343">
        <f>SUMIFS($AU$134:AU880,$AA$134:AA880,"*")</f>
        <v>15589.475333333328</v>
      </c>
      <c r="BS879" s="343">
        <f>SUMIFS($AU$134:AU880,$AB$134:AB880,"*")</f>
        <v>5593.3266666669924</v>
      </c>
      <c r="BT879" s="343">
        <f>SUMIFS($AU$134:AU880,$AC$134:AC880,"*")</f>
        <v>9119.6833333333325</v>
      </c>
      <c r="BU879" s="343">
        <f>SUMIFS($AU$134:AU880,$AA$134:AA880,"*",$AB$134:AB880,"*")</f>
        <v>3586.0000000000045</v>
      </c>
      <c r="BV879" s="343">
        <f>SUMIFS($AU$134:AU880,$AA$134:AA880,"*",$AC$134:AC880,"*")</f>
        <v>8580.7833333333328</v>
      </c>
      <c r="BW879" s="343">
        <f>SUMIFS($AU$134:AU880,$AB$134:AB880,"*",$AC$134:AC880,"*")</f>
        <v>5374.6</v>
      </c>
      <c r="BX879" s="343">
        <f>SUMIFS($AU880:AU$1388,$Q880:Q$1388,"F")</f>
        <v>8762.133333333335</v>
      </c>
      <c r="BY879" s="343">
        <f>SUMIFS($AU880:AU$1388,$Q880:Q$1388,"S")</f>
        <v>9579.1999999999989</v>
      </c>
      <c r="BZ879" s="343">
        <f>SUMIFS($AU880:AU$1388,$Q880:Q$1388,"O")</f>
        <v>-1366.9846666667831</v>
      </c>
    </row>
    <row r="880" spans="1:78" ht="15.75" customHeight="1">
      <c r="A880" s="221" t="s">
        <v>3401</v>
      </c>
      <c r="B880" s="177">
        <v>45139</v>
      </c>
      <c r="C880" s="178" t="s">
        <v>1187</v>
      </c>
      <c r="D880" s="178" t="s">
        <v>146</v>
      </c>
      <c r="E880" s="227" t="s">
        <v>3421</v>
      </c>
      <c r="F880" s="180"/>
      <c r="G880" s="181"/>
      <c r="H880" s="182"/>
      <c r="I880" s="182"/>
      <c r="J880" s="182">
        <v>1</v>
      </c>
      <c r="K880" s="183" t="s">
        <v>115</v>
      </c>
      <c r="L880" s="182"/>
      <c r="M880" s="182"/>
      <c r="N880" s="182"/>
      <c r="O880" s="183"/>
      <c r="P880" s="183"/>
      <c r="Q880" s="183"/>
      <c r="R880" s="183"/>
      <c r="S880" s="183"/>
      <c r="T880" s="183"/>
      <c r="U880" s="183"/>
      <c r="V880" s="183"/>
      <c r="W880" s="183"/>
      <c r="X880" s="183"/>
      <c r="Y880" s="183"/>
      <c r="Z880" s="185" t="str">
        <f>IF(ISBLANK(O880),"",IF(O880="IB",8.63*200,IF(O880="IR",16*100,IF(O880="YT",20*100,IF(O880="YT-XT",24*200,IF(O880="TED",80*100))))))</f>
        <v/>
      </c>
      <c r="AA880" s="185"/>
      <c r="AB880" s="185"/>
      <c r="AC880" s="185"/>
      <c r="AD880" s="649"/>
      <c r="AE880" s="182"/>
      <c r="AF880" s="332"/>
      <c r="AG880" s="182"/>
      <c r="AH880" s="182"/>
      <c r="AI880" s="182"/>
      <c r="AJ880" s="640"/>
      <c r="AK880" s="182"/>
      <c r="AL880" s="496"/>
      <c r="AM880" s="496"/>
      <c r="AN880" s="626"/>
      <c r="AO880" s="182"/>
      <c r="AP880" s="182"/>
      <c r="AQ880" s="332" t="str">
        <f>UPPER(RIGHT(Journal_Live[[#This Row],[DURATION ]]))</f>
        <v/>
      </c>
      <c r="AR880" s="182"/>
      <c r="AS880" s="189"/>
      <c r="AT880" s="189"/>
      <c r="AU880" s="187"/>
      <c r="AV880" s="190"/>
      <c r="AW880" s="191"/>
      <c r="AX880" s="407"/>
      <c r="AY880" s="407"/>
      <c r="AZ880" s="407"/>
      <c r="BA880" s="407"/>
      <c r="BB880" s="407"/>
      <c r="BC880" s="407"/>
      <c r="BD880" s="407"/>
      <c r="BE880" s="407"/>
      <c r="BF880" s="422"/>
      <c r="BG880" s="391">
        <f>SUM($AV$4:AV880)</f>
        <v>4331.3555263348817</v>
      </c>
      <c r="BH880" s="392">
        <f>SUM($AU$134:AU880)</f>
        <v>16720.302000000323</v>
      </c>
      <c r="BI880" s="318">
        <f>SUMIFS($AU$134:AU881,$Q$134:Q881,"F")</f>
        <v>5678.5333333333328</v>
      </c>
      <c r="BJ880" s="318">
        <f>SUMIFS($AU$134:AU881,$Q$134:Q881,"S")</f>
        <v>11092.441999999999</v>
      </c>
      <c r="BK880" s="343">
        <f>SUMIFS($AU$134:AU881,$P$134:P881,"W")</f>
        <v>10331.74199999994</v>
      </c>
      <c r="BL880" s="343">
        <f>SUMIFS($AU$134:AU881,$P$134:P881,"R")</f>
        <v>6180.673333333335</v>
      </c>
      <c r="BM880" s="343">
        <f>SUMIFS($AU$134:AU881,$AQ$134:AQ881,"M")</f>
        <v>2381.3999999999878</v>
      </c>
      <c r="BN880" s="343">
        <f>SUMIFS($AU$134:AU881,$AQ$134:AQ881,"H")</f>
        <v>4638.1420000000153</v>
      </c>
      <c r="BO880" s="343">
        <f>SUMIFS($AU$134:AU881,$AQ$134:AQ881,"D")</f>
        <v>5544.3466666667146</v>
      </c>
      <c r="BP880" s="343">
        <f>SUMIFS($AU$134:AU883,$AQ$134:AQ883,"W")</f>
        <v>3049.7833333333429</v>
      </c>
      <c r="BQ880" s="343">
        <f>SUMIFS($AU$134:AU881,$Q$134:Q881,"O")</f>
        <v>-281.8733333330153</v>
      </c>
      <c r="BR880" s="343">
        <f>SUMIFS($AU$134:AU881,$AA$134:AA881,"*")</f>
        <v>15589.475333333328</v>
      </c>
      <c r="BS880" s="343">
        <f>SUMIFS($AU$134:AU881,$AB$134:AB881,"*")</f>
        <v>5593.3266666669924</v>
      </c>
      <c r="BT880" s="343">
        <f>SUMIFS($AU$134:AU881,$AC$134:AC881,"*")</f>
        <v>9119.6833333333325</v>
      </c>
      <c r="BU880" s="343">
        <f>SUMIFS($AU$134:AU881,$AA$134:AA881,"*",$AB$134:AB881,"*")</f>
        <v>3586.0000000000045</v>
      </c>
      <c r="BV880" s="343">
        <f>SUMIFS($AU$134:AU881,$AA$134:AA881,"*",$AC$134:AC881,"*")</f>
        <v>8580.7833333333328</v>
      </c>
      <c r="BW880" s="343">
        <f>SUMIFS($AU$134:AU881,$AB$134:AB881,"*",$AC$134:AC881,"*")</f>
        <v>5374.6</v>
      </c>
      <c r="BX880" s="343">
        <f>SUMIFS($AU881:AU$1388,$Q881:Q$1388,"F")</f>
        <v>8762.133333333335</v>
      </c>
      <c r="BY880" s="343">
        <f>SUMIFS($AU881:AU$1388,$Q881:Q$1388,"S")</f>
        <v>9579.1999999999989</v>
      </c>
      <c r="BZ880" s="343">
        <f>SUMIFS($AU881:AU$1388,$Q881:Q$1388,"O")</f>
        <v>-1366.9846666667831</v>
      </c>
    </row>
    <row r="881" spans="1:78" ht="15.75" customHeight="1">
      <c r="A881" s="221" t="s">
        <v>3401</v>
      </c>
      <c r="B881" s="177"/>
      <c r="C881" s="178"/>
      <c r="D881" s="178"/>
      <c r="E881" s="227" t="s">
        <v>3422</v>
      </c>
      <c r="F881" s="180"/>
      <c r="G881" s="181"/>
      <c r="H881" s="182"/>
      <c r="I881" s="182"/>
      <c r="J881" s="182">
        <v>1</v>
      </c>
      <c r="K881" s="183"/>
      <c r="L881" s="182"/>
      <c r="M881" s="182"/>
      <c r="N881" s="182"/>
      <c r="O881" s="183"/>
      <c r="P881" s="183"/>
      <c r="Q881" s="183"/>
      <c r="R881" s="183"/>
      <c r="S881" s="183"/>
      <c r="T881" s="183"/>
      <c r="U881" s="183"/>
      <c r="V881" s="183"/>
      <c r="W881" s="183"/>
      <c r="X881" s="183"/>
      <c r="Y881" s="183"/>
      <c r="Z881" s="185" t="str">
        <f>IF(ISBLANK(O881),"",IF(O881="IB",8.63*200,IF(O881="IR",16*100,IF(O881="YT",20*100,IF(O881="YT-XT",24*200,IF(O881="TED",80*100))))))</f>
        <v/>
      </c>
      <c r="AA881" s="185"/>
      <c r="AB881" s="185"/>
      <c r="AC881" s="185"/>
      <c r="AD881" s="649"/>
      <c r="AE881" s="182"/>
      <c r="AF881" s="332"/>
      <c r="AG881" s="182"/>
      <c r="AH881" s="182"/>
      <c r="AI881" s="182"/>
      <c r="AJ881" s="640"/>
      <c r="AK881" s="182"/>
      <c r="AL881" s="496"/>
      <c r="AM881" s="496"/>
      <c r="AN881" s="626"/>
      <c r="AO881" s="182"/>
      <c r="AP881" s="182"/>
      <c r="AQ881" s="332" t="str">
        <f>UPPER(RIGHT(Journal_Live[[#This Row],[DURATION ]]))</f>
        <v/>
      </c>
      <c r="AR881" s="182"/>
      <c r="AS881" s="189"/>
      <c r="AT881" s="189"/>
      <c r="AU881" s="187"/>
      <c r="AV881" s="190"/>
      <c r="AW881" s="191"/>
      <c r="AX881" s="407"/>
      <c r="AY881" s="407"/>
      <c r="AZ881" s="407"/>
      <c r="BA881" s="407"/>
      <c r="BB881" s="407"/>
      <c r="BC881" s="407"/>
      <c r="BD881" s="407"/>
      <c r="BE881" s="407"/>
      <c r="BF881" s="422"/>
      <c r="BG881" s="391">
        <f>SUM($AV$4:AV881)</f>
        <v>4331.3555263348817</v>
      </c>
      <c r="BH881" s="392">
        <f>SUM($AU$134:AU881)</f>
        <v>16720.302000000323</v>
      </c>
      <c r="BI881" s="318">
        <f>SUMIFS($AU$134:AU882,$Q$134:Q882,"F")</f>
        <v>5678.5333333333328</v>
      </c>
      <c r="BJ881" s="318">
        <f>SUMIFS($AU$134:AU882,$Q$134:Q882,"S")</f>
        <v>11092.441999999999</v>
      </c>
      <c r="BK881" s="343">
        <f>SUMIFS($AU$134:AU882,$P$134:P882,"W")</f>
        <v>10331.74199999994</v>
      </c>
      <c r="BL881" s="343">
        <f>SUMIFS($AU$134:AU882,$P$134:P882,"R")</f>
        <v>6180.673333333335</v>
      </c>
      <c r="BM881" s="343">
        <f>SUMIFS($AU$134:AU882,$AQ$134:AQ882,"M")</f>
        <v>2381.3999999999878</v>
      </c>
      <c r="BN881" s="343">
        <f>SUMIFS($AU$134:AU882,$AQ$134:AQ882,"H")</f>
        <v>4638.1420000000153</v>
      </c>
      <c r="BO881" s="343">
        <f>SUMIFS($AU$134:AU882,$AQ$134:AQ882,"D")</f>
        <v>5544.3466666667146</v>
      </c>
      <c r="BP881" s="343">
        <f>SUMIFS($AU$134:AU884,$AQ$134:AQ884,"W")</f>
        <v>3049.7833333333429</v>
      </c>
      <c r="BQ881" s="343">
        <f>SUMIFS($AU$134:AU882,$Q$134:Q882,"O")</f>
        <v>-281.8733333330153</v>
      </c>
      <c r="BR881" s="343">
        <f>SUMIFS($AU$134:AU882,$AA$134:AA882,"*")</f>
        <v>15589.475333333328</v>
      </c>
      <c r="BS881" s="343">
        <f>SUMIFS($AU$134:AU882,$AB$134:AB882,"*")</f>
        <v>5593.3266666669924</v>
      </c>
      <c r="BT881" s="343">
        <f>SUMIFS($AU$134:AU882,$AC$134:AC882,"*")</f>
        <v>9119.6833333333325</v>
      </c>
      <c r="BU881" s="343">
        <f>SUMIFS($AU$134:AU882,$AA$134:AA882,"*",$AB$134:AB882,"*")</f>
        <v>3586.0000000000045</v>
      </c>
      <c r="BV881" s="343">
        <f>SUMIFS($AU$134:AU882,$AA$134:AA882,"*",$AC$134:AC882,"*")</f>
        <v>8580.7833333333328</v>
      </c>
      <c r="BW881" s="343">
        <f>SUMIFS($AU$134:AU882,$AB$134:AB882,"*",$AC$134:AC882,"*")</f>
        <v>5374.6</v>
      </c>
      <c r="BX881" s="343">
        <f>SUMIFS($AU882:AU$1388,$Q882:Q$1388,"F")</f>
        <v>8762.133333333335</v>
      </c>
      <c r="BY881" s="343">
        <f>SUMIFS($AU882:AU$1388,$Q882:Q$1388,"S")</f>
        <v>9579.1999999999989</v>
      </c>
      <c r="BZ881" s="343">
        <f>SUMIFS($AU882:AU$1388,$Q882:Q$1388,"O")</f>
        <v>-1366.9846666667831</v>
      </c>
    </row>
    <row r="882" spans="1:78" ht="15.75" customHeight="1">
      <c r="A882" s="221" t="s">
        <v>3401</v>
      </c>
      <c r="B882" s="177">
        <v>45140</v>
      </c>
      <c r="C882" s="178" t="s">
        <v>1015</v>
      </c>
      <c r="D882" s="178" t="s">
        <v>146</v>
      </c>
      <c r="E882" s="227"/>
      <c r="F882" s="180"/>
      <c r="G882" s="181" t="s">
        <v>2942</v>
      </c>
      <c r="H882" s="182"/>
      <c r="I882" s="182"/>
      <c r="J882" s="182"/>
      <c r="K882" s="183"/>
      <c r="L882" s="182"/>
      <c r="M882" s="182"/>
      <c r="N882" s="182"/>
      <c r="O882" s="183"/>
      <c r="P882" s="183"/>
      <c r="Q882" s="183"/>
      <c r="R882" s="183"/>
      <c r="S882" s="183"/>
      <c r="T882" s="183"/>
      <c r="U882" s="183"/>
      <c r="V882" s="183"/>
      <c r="W882" s="183"/>
      <c r="X882" s="183"/>
      <c r="Y882" s="184"/>
      <c r="Z882" s="185"/>
      <c r="AA882" s="185"/>
      <c r="AB882" s="185"/>
      <c r="AC882" s="185"/>
      <c r="AD882" s="649"/>
      <c r="AE882" s="182"/>
      <c r="AF882" s="332"/>
      <c r="AG882" s="182"/>
      <c r="AH882" s="182"/>
      <c r="AI882" s="182"/>
      <c r="AJ882" s="640"/>
      <c r="AK882" s="182"/>
      <c r="AL882" s="496"/>
      <c r="AM882" s="496"/>
      <c r="AN882" s="626"/>
      <c r="AO882" s="182"/>
      <c r="AP882" s="182"/>
      <c r="AQ882" s="332" t="str">
        <f>UPPER(RIGHT(Journal_Live[[#This Row],[DURATION ]]))</f>
        <v/>
      </c>
      <c r="AR882" s="182"/>
      <c r="AS882" s="189"/>
      <c r="AT882" s="189"/>
      <c r="AU882" s="187"/>
      <c r="AV882" s="190"/>
      <c r="AW882" s="191"/>
      <c r="AX882" s="407" t="s">
        <v>3423</v>
      </c>
      <c r="AY882" s="407"/>
      <c r="AZ882" s="407"/>
      <c r="BA882" s="407"/>
      <c r="BB882" s="407"/>
      <c r="BC882" s="407"/>
      <c r="BD882" s="407"/>
      <c r="BE882" s="407"/>
      <c r="BF882" s="422"/>
      <c r="BG882" s="391">
        <f>SUM($AV$4:AV882)</f>
        <v>4331.3555263348817</v>
      </c>
      <c r="BH882" s="392">
        <f>SUM($AU$134:AU882)</f>
        <v>16720.302000000323</v>
      </c>
      <c r="BI882" s="318">
        <f>SUMIFS($AU$134:AU883,$Q$134:Q883,"F")</f>
        <v>5678.5333333333328</v>
      </c>
      <c r="BJ882" s="318">
        <f>SUMIFS($AU$134:AU883,$Q$134:Q883,"S")</f>
        <v>11092.441999999999</v>
      </c>
      <c r="BK882" s="343">
        <f>SUMIFS($AU$134:AU883,$P$134:P883,"W")</f>
        <v>10331.74199999994</v>
      </c>
      <c r="BL882" s="343">
        <f>SUMIFS($AU$134:AU883,$P$134:P883,"R")</f>
        <v>6180.673333333335</v>
      </c>
      <c r="BM882" s="343">
        <f>SUMIFS($AU$134:AU883,$AQ$134:AQ883,"M")</f>
        <v>2381.3999999999878</v>
      </c>
      <c r="BN882" s="343">
        <f>SUMIFS($AU$134:AU883,$AQ$134:AQ883,"H")</f>
        <v>4638.1420000000153</v>
      </c>
      <c r="BO882" s="343">
        <f>SUMIFS($AU$134:AU883,$AQ$134:AQ883,"D")</f>
        <v>5544.3466666667146</v>
      </c>
      <c r="BP882" s="343">
        <f>SUMIFS($AU$134:AU885,$AQ$134:AQ885,"W")</f>
        <v>3049.7833333333429</v>
      </c>
      <c r="BQ882" s="343">
        <f>SUMIFS($AU$134:AU883,$Q$134:Q883,"O")</f>
        <v>-281.8733333330153</v>
      </c>
      <c r="BR882" s="343">
        <f>SUMIFS($AU$134:AU883,$AA$134:AA883,"*")</f>
        <v>15637.475333333328</v>
      </c>
      <c r="BS882" s="343">
        <f>SUMIFS($AU$134:AU883,$AB$134:AB883,"*")</f>
        <v>5641.3266666669924</v>
      </c>
      <c r="BT882" s="343">
        <f>SUMIFS($AU$134:AU883,$AC$134:AC883,"*")</f>
        <v>9119.6833333333325</v>
      </c>
      <c r="BU882" s="343">
        <f>SUMIFS($AU$134:AU883,$AA$134:AA883,"*",$AB$134:AB883,"*")</f>
        <v>3634.0000000000045</v>
      </c>
      <c r="BV882" s="343">
        <f>SUMIFS($AU$134:AU883,$AA$134:AA883,"*",$AC$134:AC883,"*")</f>
        <v>8580.7833333333328</v>
      </c>
      <c r="BW882" s="343">
        <f>SUMIFS($AU$134:AU883,$AB$134:AB883,"*",$AC$134:AC883,"*")</f>
        <v>5374.6</v>
      </c>
      <c r="BX882" s="343">
        <f>SUMIFS($AU883:AU$1388,$Q883:Q$1388,"F")</f>
        <v>8762.133333333335</v>
      </c>
      <c r="BY882" s="343">
        <f>SUMIFS($AU883:AU$1388,$Q883:Q$1388,"S")</f>
        <v>9579.1999999999989</v>
      </c>
      <c r="BZ882" s="343">
        <f>SUMIFS($AU883:AU$1388,$Q883:Q$1388,"O")</f>
        <v>-1366.9846666667831</v>
      </c>
    </row>
    <row r="883" spans="1:78" ht="15.75" customHeight="1">
      <c r="A883" s="221" t="s">
        <v>3401</v>
      </c>
      <c r="B883" s="177">
        <v>45140</v>
      </c>
      <c r="C883" s="178" t="s">
        <v>3424</v>
      </c>
      <c r="D883" s="178" t="s">
        <v>146</v>
      </c>
      <c r="E883" s="227"/>
      <c r="F883" s="180"/>
      <c r="G883" s="281" t="s">
        <v>2545</v>
      </c>
      <c r="H883" s="182"/>
      <c r="I883" s="182"/>
      <c r="J883" s="182"/>
      <c r="K883" s="183"/>
      <c r="L883" s="182">
        <v>1</v>
      </c>
      <c r="M883" s="182"/>
      <c r="N883" s="182"/>
      <c r="O883" s="183" t="s">
        <v>2259</v>
      </c>
      <c r="P883" s="183" t="s">
        <v>2260</v>
      </c>
      <c r="Q883" s="183"/>
      <c r="R883" s="183">
        <v>1</v>
      </c>
      <c r="S883" s="183">
        <v>0</v>
      </c>
      <c r="T883" s="183">
        <v>1</v>
      </c>
      <c r="U883" s="183" t="s">
        <v>97</v>
      </c>
      <c r="V883" s="183"/>
      <c r="W883" s="183"/>
      <c r="X883" s="183"/>
      <c r="Y883" s="184">
        <f>IF(ISBLANK(O883),"",(IF(O883=UPPER("IB"),0.005,0.01)))</f>
        <v>0.01</v>
      </c>
      <c r="Z883" s="185">
        <f>IF(ISBLANK(O883),"",IF(O883="IB",8.63*200,IF(O883="IR",16*100,IF(O883="YT",20*100,IF(O883="YT-XT",24*200,IF(O883="TED",80*100))))))</f>
        <v>4800</v>
      </c>
      <c r="AA883" s="409" t="s">
        <v>3425</v>
      </c>
      <c r="AB883" s="185" t="s">
        <v>529</v>
      </c>
      <c r="AC883" s="185"/>
      <c r="AD883" s="649">
        <v>0.255</v>
      </c>
      <c r="AE883" s="182"/>
      <c r="AF883" s="332"/>
      <c r="AG883" s="182"/>
      <c r="AH883" s="182"/>
      <c r="AI883" s="182"/>
      <c r="AJ883" s="640"/>
      <c r="AK883" s="182"/>
      <c r="AL883" s="496"/>
      <c r="AM883" s="496"/>
      <c r="AN883" s="626"/>
      <c r="AO883" s="182"/>
      <c r="AP883" s="182"/>
      <c r="AQ883" s="332" t="str">
        <f>UPPER(RIGHT(Journal_Live[[#This Row],[DURATION ]]))</f>
        <v/>
      </c>
      <c r="AR883" s="182" t="s">
        <v>3426</v>
      </c>
      <c r="AS883" s="189">
        <f>(0.245)</f>
        <v>0.245</v>
      </c>
      <c r="AT883" s="189">
        <f>IF(ISBLANK(AS883),,IF(U883="S",AD883-AS883,AS883-AD883))</f>
        <v>1.0000000000000009E-2</v>
      </c>
      <c r="AU883" s="187">
        <f>AV883*R883</f>
        <v>48.000000000000043</v>
      </c>
      <c r="AV883" s="190">
        <f>IF(ISBLANK(AS883),,(AT883*Z883))</f>
        <v>48.000000000000043</v>
      </c>
      <c r="AW883" s="191" t="s">
        <v>96</v>
      </c>
      <c r="AX883" s="407" t="s">
        <v>3427</v>
      </c>
      <c r="AY883" s="407" t="s">
        <v>3428</v>
      </c>
      <c r="AZ883" s="407"/>
      <c r="BA883" s="407"/>
      <c r="BB883" s="407"/>
      <c r="BC883" s="407"/>
      <c r="BD883" s="407"/>
      <c r="BE883" s="407"/>
      <c r="BF883" s="422"/>
      <c r="BG883" s="391">
        <f>SUM($AV$4:AV883)</f>
        <v>4379.3555263348817</v>
      </c>
      <c r="BH883" s="392">
        <f>SUM($AU$134:AU883)</f>
        <v>16768.302000000323</v>
      </c>
      <c r="BI883" s="318">
        <f>SUMIFS($AU$134:AU884,$Q$134:Q884,"F")</f>
        <v>5678.5333333333328</v>
      </c>
      <c r="BJ883" s="318">
        <f>SUMIFS($AU$134:AU884,$Q$134:Q884,"S")</f>
        <v>11092.441999999999</v>
      </c>
      <c r="BK883" s="343">
        <f>SUMIFS($AU$134:AU884,$P$134:P884,"W")</f>
        <v>10331.74199999994</v>
      </c>
      <c r="BL883" s="343">
        <f>SUMIFS($AU$134:AU884,$P$134:P884,"R")</f>
        <v>6180.673333333335</v>
      </c>
      <c r="BM883" s="343">
        <f>SUMIFS($AU$134:AU884,$AQ$134:AQ884,"M")</f>
        <v>2381.3999999999878</v>
      </c>
      <c r="BN883" s="343">
        <f>SUMIFS($AU$134:AU884,$AQ$134:AQ884,"H")</f>
        <v>4638.1420000000153</v>
      </c>
      <c r="BO883" s="343">
        <f>SUMIFS($AU$134:AU884,$AQ$134:AQ884,"D")</f>
        <v>5544.3466666667146</v>
      </c>
      <c r="BP883" s="343">
        <f>SUMIFS($AU$134:AU886,$AQ$134:AQ886,"W")</f>
        <v>3049.7833333333429</v>
      </c>
      <c r="BQ883" s="343">
        <f>SUMIFS($AU$134:AU884,$Q$134:Q884,"O")</f>
        <v>-281.8733333330153</v>
      </c>
      <c r="BR883" s="343">
        <f>SUMIFS($AU$134:AU884,$AA$134:AA884,"*")</f>
        <v>15637.475333333328</v>
      </c>
      <c r="BS883" s="343">
        <f>SUMIFS($AU$134:AU884,$AB$134:AB884,"*")</f>
        <v>5641.3266666669924</v>
      </c>
      <c r="BT883" s="343">
        <f>SUMIFS($AU$134:AU884,$AC$134:AC884,"*")</f>
        <v>9119.6833333333325</v>
      </c>
      <c r="BU883" s="343">
        <f>SUMIFS($AU$134:AU884,$AA$134:AA884,"*",$AB$134:AB884,"*")</f>
        <v>3634.0000000000045</v>
      </c>
      <c r="BV883" s="343">
        <f>SUMIFS($AU$134:AU884,$AA$134:AA884,"*",$AC$134:AC884,"*")</f>
        <v>8580.7833333333328</v>
      </c>
      <c r="BW883" s="343">
        <f>SUMIFS($AU$134:AU884,$AB$134:AB884,"*",$AC$134:AC884,"*")</f>
        <v>5374.6</v>
      </c>
      <c r="BX883" s="343">
        <f>SUMIFS($AU884:AU$1388,$Q884:Q$1388,"F")</f>
        <v>8762.133333333335</v>
      </c>
      <c r="BY883" s="343">
        <f>SUMIFS($AU884:AU$1388,$Q884:Q$1388,"S")</f>
        <v>9579.1999999999989</v>
      </c>
      <c r="BZ883" s="343">
        <f>SUMIFS($AU884:AU$1388,$Q884:Q$1388,"O")</f>
        <v>-1366.9846666667831</v>
      </c>
    </row>
    <row r="884" spans="1:78" ht="15.75" customHeight="1">
      <c r="A884" s="221" t="s">
        <v>3401</v>
      </c>
      <c r="B884" s="177">
        <v>45140</v>
      </c>
      <c r="C884" s="178" t="s">
        <v>3424</v>
      </c>
      <c r="D884" s="178" t="s">
        <v>146</v>
      </c>
      <c r="E884" s="227"/>
      <c r="F884" s="180"/>
      <c r="G884" s="181" t="s">
        <v>2545</v>
      </c>
      <c r="H884" s="182"/>
      <c r="I884" s="182"/>
      <c r="J884" s="182"/>
      <c r="K884" s="183"/>
      <c r="L884" s="182"/>
      <c r="M884" s="182"/>
      <c r="N884" s="182"/>
      <c r="O884" s="183"/>
      <c r="P884" s="183"/>
      <c r="Q884" s="183"/>
      <c r="R884" s="183"/>
      <c r="S884" s="183"/>
      <c r="T884" s="183"/>
      <c r="U884" s="183"/>
      <c r="V884" s="183"/>
      <c r="W884" s="183"/>
      <c r="X884" s="183"/>
      <c r="Y884" s="184"/>
      <c r="Z884" s="185"/>
      <c r="AA884" s="409"/>
      <c r="AB884" s="185"/>
      <c r="AC884" s="185"/>
      <c r="AD884" s="649"/>
      <c r="AE884" s="182"/>
      <c r="AF884" s="332"/>
      <c r="AG884" s="182"/>
      <c r="AH884" s="182"/>
      <c r="AI884" s="182"/>
      <c r="AJ884" s="644" t="s">
        <v>3429</v>
      </c>
      <c r="AK884" s="182" t="s">
        <v>529</v>
      </c>
      <c r="AL884" s="496"/>
      <c r="AM884" s="496"/>
      <c r="AN884" s="626"/>
      <c r="AO884" s="182"/>
      <c r="AP884" s="182"/>
      <c r="AQ884" s="332" t="str">
        <f>UPPER(RIGHT(Journal_Live[[#This Row],[DURATION ]]))</f>
        <v/>
      </c>
      <c r="AR884" s="182"/>
      <c r="AS884" s="189"/>
      <c r="AT884" s="189"/>
      <c r="AU884" s="187"/>
      <c r="AV884" s="190"/>
      <c r="AW884" s="191"/>
      <c r="AX884" s="407" t="s">
        <v>3427</v>
      </c>
      <c r="AY884" s="407" t="s">
        <v>3428</v>
      </c>
      <c r="AZ884" s="407"/>
      <c r="BA884" s="407"/>
      <c r="BB884" s="407"/>
      <c r="BC884" s="407"/>
      <c r="BD884" s="407"/>
      <c r="BE884" s="407"/>
      <c r="BF884" s="422"/>
      <c r="BG884" s="391">
        <f>SUM($AV$4:AV884)</f>
        <v>4379.3555263348817</v>
      </c>
      <c r="BH884" s="392">
        <f>SUM($AU$134:AU884)</f>
        <v>16768.302000000323</v>
      </c>
      <c r="BI884" s="318">
        <f>SUMIFS($AU$134:AU885,$Q$134:Q885,"F")</f>
        <v>5678.5333333333328</v>
      </c>
      <c r="BJ884" s="318">
        <f>SUMIFS($AU$134:AU885,$Q$134:Q885,"S")</f>
        <v>11316.441999999999</v>
      </c>
      <c r="BK884" s="343">
        <f>SUMIFS($AU$134:AU885,$P$134:P885,"W")</f>
        <v>10331.74199999994</v>
      </c>
      <c r="BL884" s="343">
        <f>SUMIFS($AU$134:AU885,$P$134:P885,"R")</f>
        <v>6404.673333333335</v>
      </c>
      <c r="BM884" s="343">
        <f>SUMIFS($AU$134:AU885,$AQ$134:AQ885,"M")</f>
        <v>2381.3999999999878</v>
      </c>
      <c r="BN884" s="343">
        <f>SUMIFS($AU$134:AU885,$AQ$134:AQ885,"H")</f>
        <v>4638.1420000000153</v>
      </c>
      <c r="BO884" s="343">
        <f>SUMIFS($AU$134:AU885,$AQ$134:AQ885,"D")</f>
        <v>5768.3466666667146</v>
      </c>
      <c r="BP884" s="343">
        <f>SUMIFS($AU$134:AU887,$AQ$134:AQ887,"W")</f>
        <v>3049.7833333333429</v>
      </c>
      <c r="BQ884" s="343">
        <f>SUMIFS($AU$134:AU885,$Q$134:Q885,"O")</f>
        <v>-281.8733333330153</v>
      </c>
      <c r="BR884" s="343">
        <f>SUMIFS($AU$134:AU885,$AA$134:AA885,"*")</f>
        <v>15861.475333333328</v>
      </c>
      <c r="BS884" s="343">
        <f>SUMIFS($AU$134:AU885,$AB$134:AB885,"*")</f>
        <v>5641.3266666669924</v>
      </c>
      <c r="BT884" s="343">
        <f>SUMIFS($AU$134:AU885,$AC$134:AC885,"*")</f>
        <v>9119.6833333333325</v>
      </c>
      <c r="BU884" s="343">
        <f>SUMIFS($AU$134:AU885,$AA$134:AA885,"*",$AB$134:AB885,"*")</f>
        <v>3634.0000000000045</v>
      </c>
      <c r="BV884" s="343">
        <f>SUMIFS($AU$134:AU885,$AA$134:AA885,"*",$AC$134:AC885,"*")</f>
        <v>8580.7833333333328</v>
      </c>
      <c r="BW884" s="343">
        <f>SUMIFS($AU$134:AU885,$AB$134:AB885,"*",$AC$134:AC885,"*")</f>
        <v>5374.6</v>
      </c>
      <c r="BX884" s="343">
        <f>SUMIFS($AU885:AU$1388,$Q885:Q$1388,"F")</f>
        <v>8762.133333333335</v>
      </c>
      <c r="BY884" s="343">
        <f>SUMIFS($AU885:AU$1388,$Q885:Q$1388,"S")</f>
        <v>9579.1999999999989</v>
      </c>
      <c r="BZ884" s="343">
        <f>SUMIFS($AU885:AU$1388,$Q885:Q$1388,"O")</f>
        <v>-1366.9846666667831</v>
      </c>
    </row>
    <row r="885" spans="1:78" ht="15.75" customHeight="1">
      <c r="A885" s="221" t="s">
        <v>3401</v>
      </c>
      <c r="B885" s="177">
        <v>45140</v>
      </c>
      <c r="C885" s="178" t="s">
        <v>3430</v>
      </c>
      <c r="D885" s="178" t="s">
        <v>146</v>
      </c>
      <c r="E885" s="227"/>
      <c r="F885" s="180"/>
      <c r="G885" s="281" t="s">
        <v>3431</v>
      </c>
      <c r="H885" s="182"/>
      <c r="I885" s="182"/>
      <c r="J885" s="182"/>
      <c r="K885" s="183"/>
      <c r="L885" s="182">
        <v>1</v>
      </c>
      <c r="M885" s="182"/>
      <c r="N885" s="182"/>
      <c r="O885" s="183" t="s">
        <v>95</v>
      </c>
      <c r="P885" s="183" t="s">
        <v>137</v>
      </c>
      <c r="Q885" s="183" t="s">
        <v>97</v>
      </c>
      <c r="R885" s="183">
        <v>14</v>
      </c>
      <c r="S885" s="183">
        <v>0</v>
      </c>
      <c r="T885" s="183">
        <v>14</v>
      </c>
      <c r="U885" s="183" t="s">
        <v>97</v>
      </c>
      <c r="V885" s="183"/>
      <c r="W885" s="183"/>
      <c r="X885" s="183"/>
      <c r="Y885" s="184">
        <f>IF(ISBLANK(O885),"",(IF(O885=UPPER("IB"),0.005,0.01)))</f>
        <v>0.01</v>
      </c>
      <c r="Z885" s="185">
        <f>IF(ISBLANK(O885),"",IF(O885="IB",8.63*200,IF(O885="IR",16*100,IF(O885="YT",20*100,IF(O885="YT-XT",24*200,IF(O885="TED",80*100))))))</f>
        <v>1600</v>
      </c>
      <c r="AA885" s="409" t="s">
        <v>3432</v>
      </c>
      <c r="AB885" s="185"/>
      <c r="AC885" s="185"/>
      <c r="AD885" s="649">
        <v>-0.18</v>
      </c>
      <c r="AE885" s="182"/>
      <c r="AF885" s="332"/>
      <c r="AG885" s="182"/>
      <c r="AH885" s="182"/>
      <c r="AI885" s="182"/>
      <c r="AJ885" s="640"/>
      <c r="AK885" s="182"/>
      <c r="AL885" s="496"/>
      <c r="AM885" s="496"/>
      <c r="AN885" s="626"/>
      <c r="AO885" s="182"/>
      <c r="AP885" s="182" t="s">
        <v>804</v>
      </c>
      <c r="AQ885" s="332" t="str">
        <f>UPPER(RIGHT(Journal_Live[[#This Row],[DURATION ]]))</f>
        <v>D</v>
      </c>
      <c r="AR885" s="182" t="s">
        <v>3433</v>
      </c>
      <c r="AS885" s="189">
        <v>-0.19</v>
      </c>
      <c r="AT885" s="189">
        <f>IF(ISBLANK(AS885),,IF(U885="S",AD885-AS885,AS885-AD885))</f>
        <v>1.0000000000000009E-2</v>
      </c>
      <c r="AU885" s="187">
        <f>AV885*R885</f>
        <v>224.0000000000002</v>
      </c>
      <c r="AV885" s="190">
        <f>IF(ISBLANK(AS885),,(AT885*Z885))</f>
        <v>16.000000000000014</v>
      </c>
      <c r="AW885" s="191" t="s">
        <v>96</v>
      </c>
      <c r="AX885" s="407" t="s">
        <v>3423</v>
      </c>
      <c r="AY885" s="407" t="s">
        <v>3434</v>
      </c>
      <c r="AZ885" s="407"/>
      <c r="BA885" s="407"/>
      <c r="BB885" s="407"/>
      <c r="BC885" s="407"/>
      <c r="BD885" s="407"/>
      <c r="BE885" s="407"/>
      <c r="BF885" s="422"/>
      <c r="BG885" s="391">
        <f>SUM($AV$4:AV885)</f>
        <v>4395.3555263348817</v>
      </c>
      <c r="BH885" s="392">
        <f>SUM($AU$134:AU885)</f>
        <v>16992.302000000323</v>
      </c>
      <c r="BI885" s="318">
        <f>SUMIFS($AU$134:AU886,$Q$134:Q886,"F")</f>
        <v>5678.5333333333328</v>
      </c>
      <c r="BJ885" s="318">
        <f>SUMIFS($AU$134:AU886,$Q$134:Q886,"S")</f>
        <v>11316.441999999999</v>
      </c>
      <c r="BK885" s="343">
        <f>SUMIFS($AU$134:AU886,$P$134:P886,"W")</f>
        <v>10331.74199999994</v>
      </c>
      <c r="BL885" s="343">
        <f>SUMIFS($AU$134:AU886,$P$134:P886,"R")</f>
        <v>6404.673333333335</v>
      </c>
      <c r="BM885" s="343">
        <f>SUMIFS($AU$134:AU886,$AQ$134:AQ886,"M")</f>
        <v>2381.3999999999878</v>
      </c>
      <c r="BN885" s="343">
        <f>SUMIFS($AU$134:AU886,$AQ$134:AQ886,"H")</f>
        <v>4638.1420000000153</v>
      </c>
      <c r="BO885" s="343">
        <f>SUMIFS($AU$134:AU886,$AQ$134:AQ886,"D")</f>
        <v>5768.3466666667146</v>
      </c>
      <c r="BP885" s="343">
        <f>SUMIFS($AU$134:AU888,$AQ$134:AQ888,"W")</f>
        <v>3049.7833333333429</v>
      </c>
      <c r="BQ885" s="343">
        <f>SUMIFS($AU$134:AU886,$Q$134:Q886,"O")</f>
        <v>-281.8733333330153</v>
      </c>
      <c r="BR885" s="343">
        <f>SUMIFS($AU$134:AU886,$AA$134:AA886,"*")</f>
        <v>15861.475333333328</v>
      </c>
      <c r="BS885" s="343">
        <f>SUMIFS($AU$134:AU886,$AB$134:AB886,"*")</f>
        <v>5641.3266666669924</v>
      </c>
      <c r="BT885" s="343">
        <f>SUMIFS($AU$134:AU886,$AC$134:AC886,"*")</f>
        <v>9119.6833333333325</v>
      </c>
      <c r="BU885" s="343">
        <f>SUMIFS($AU$134:AU886,$AA$134:AA886,"*",$AB$134:AB886,"*")</f>
        <v>3634.0000000000045</v>
      </c>
      <c r="BV885" s="343">
        <f>SUMIFS($AU$134:AU886,$AA$134:AA886,"*",$AC$134:AC886,"*")</f>
        <v>8580.7833333333328</v>
      </c>
      <c r="BW885" s="343">
        <f>SUMIFS($AU$134:AU886,$AB$134:AB886,"*",$AC$134:AC886,"*")</f>
        <v>5374.6</v>
      </c>
      <c r="BX885" s="343">
        <f>SUMIFS($AU886:AU$1388,$Q886:Q$1388,"F")</f>
        <v>8762.133333333335</v>
      </c>
      <c r="BY885" s="343">
        <f>SUMIFS($AU886:AU$1388,$Q886:Q$1388,"S")</f>
        <v>9355.2000000000007</v>
      </c>
      <c r="BZ885" s="343">
        <f>SUMIFS($AU886:AU$1388,$Q886:Q$1388,"O")</f>
        <v>-1366.9846666667831</v>
      </c>
    </row>
    <row r="886" spans="1:78" ht="15.75" customHeight="1">
      <c r="A886" s="221" t="s">
        <v>3401</v>
      </c>
      <c r="B886" s="177">
        <v>45140</v>
      </c>
      <c r="C886" s="178" t="s">
        <v>1131</v>
      </c>
      <c r="D886" s="178" t="s">
        <v>151</v>
      </c>
      <c r="E886" s="227"/>
      <c r="F886" s="180"/>
      <c r="G886" s="181" t="s">
        <v>181</v>
      </c>
      <c r="H886" s="182"/>
      <c r="I886" s="182"/>
      <c r="J886" s="182"/>
      <c r="K886" s="183"/>
      <c r="L886" s="182"/>
      <c r="M886" s="182"/>
      <c r="N886" s="182"/>
      <c r="O886" s="183"/>
      <c r="P886" s="183"/>
      <c r="Q886" s="183"/>
      <c r="R886" s="183"/>
      <c r="S886" s="183"/>
      <c r="T886" s="183"/>
      <c r="U886" s="183"/>
      <c r="V886" s="183"/>
      <c r="W886" s="183"/>
      <c r="X886" s="183"/>
      <c r="Y886" s="184"/>
      <c r="Z886" s="185"/>
      <c r="AA886" s="185"/>
      <c r="AB886" s="185"/>
      <c r="AC886" s="185"/>
      <c r="AD886" s="649"/>
      <c r="AE886" s="182"/>
      <c r="AF886" s="332"/>
      <c r="AG886" s="182"/>
      <c r="AH886" s="182"/>
      <c r="AI886" s="182"/>
      <c r="AJ886" s="640"/>
      <c r="AK886" s="182"/>
      <c r="AL886" s="496"/>
      <c r="AM886" s="496"/>
      <c r="AN886" s="626"/>
      <c r="AO886" s="182"/>
      <c r="AP886" s="182"/>
      <c r="AQ886" s="332" t="str">
        <f>UPPER(RIGHT(Journal_Live[[#This Row],[DURATION ]]))</f>
        <v/>
      </c>
      <c r="AR886" s="182"/>
      <c r="AS886" s="189"/>
      <c r="AT886" s="189"/>
      <c r="AU886" s="187"/>
      <c r="AV886" s="190"/>
      <c r="AW886" s="191"/>
      <c r="AX886" s="407"/>
      <c r="AY886" s="407"/>
      <c r="AZ886" s="407"/>
      <c r="BA886" s="407"/>
      <c r="BB886" s="407"/>
      <c r="BC886" s="407"/>
      <c r="BD886" s="407"/>
      <c r="BE886" s="407"/>
      <c r="BF886" s="422"/>
      <c r="BG886" s="391">
        <f>SUM($AV$4:AV886)</f>
        <v>4395.3555263348817</v>
      </c>
      <c r="BH886" s="392">
        <f>SUM($AU$134:AU886)</f>
        <v>16992.302000000323</v>
      </c>
      <c r="BI886" s="318">
        <f>SUMIFS($AU$134:AU887,$Q$134:Q887,"F")</f>
        <v>5678.5333333333328</v>
      </c>
      <c r="BJ886" s="318">
        <f>SUMIFS($AU$134:AU887,$Q$134:Q887,"S")</f>
        <v>11316.441999999999</v>
      </c>
      <c r="BK886" s="343">
        <f>SUMIFS($AU$134:AU887,$P$134:P887,"W")</f>
        <v>10331.74199999994</v>
      </c>
      <c r="BL886" s="343">
        <f>SUMIFS($AU$134:AU887,$P$134:P887,"R")</f>
        <v>6404.673333333335</v>
      </c>
      <c r="BM886" s="343">
        <f>SUMIFS($AU$134:AU887,$AQ$134:AQ887,"M")</f>
        <v>2381.3999999999878</v>
      </c>
      <c r="BN886" s="343">
        <f>SUMIFS($AU$134:AU887,$AQ$134:AQ887,"H")</f>
        <v>4638.1420000000153</v>
      </c>
      <c r="BO886" s="343">
        <f>SUMIFS($AU$134:AU887,$AQ$134:AQ887,"D")</f>
        <v>5768.3466666667146</v>
      </c>
      <c r="BP886" s="343">
        <f>SUMIFS($AU$134:AU889,$AQ$134:AQ889,"W")</f>
        <v>3049.7833333333429</v>
      </c>
      <c r="BQ886" s="343">
        <f>SUMIFS($AU$134:AU887,$Q$134:Q887,"O")</f>
        <v>-281.8733333330153</v>
      </c>
      <c r="BR886" s="343">
        <f>SUMIFS($AU$134:AU887,$AA$134:AA887,"*")</f>
        <v>15861.475333333328</v>
      </c>
      <c r="BS886" s="343">
        <f>SUMIFS($AU$134:AU887,$AB$134:AB887,"*")</f>
        <v>5641.3266666669924</v>
      </c>
      <c r="BT886" s="343">
        <f>SUMIFS($AU$134:AU887,$AC$134:AC887,"*")</f>
        <v>9119.6833333333325</v>
      </c>
      <c r="BU886" s="343">
        <f>SUMIFS($AU$134:AU887,$AA$134:AA887,"*",$AB$134:AB887,"*")</f>
        <v>3634.0000000000045</v>
      </c>
      <c r="BV886" s="343">
        <f>SUMIFS($AU$134:AU887,$AA$134:AA887,"*",$AC$134:AC887,"*")</f>
        <v>8580.7833333333328</v>
      </c>
      <c r="BW886" s="343">
        <f>SUMIFS($AU$134:AU887,$AB$134:AB887,"*",$AC$134:AC887,"*")</f>
        <v>5374.6</v>
      </c>
      <c r="BX886" s="343">
        <f>SUMIFS($AU887:AU$1388,$Q887:Q$1388,"F")</f>
        <v>8762.133333333335</v>
      </c>
      <c r="BY886" s="343">
        <f>SUMIFS($AU887:AU$1388,$Q887:Q$1388,"S")</f>
        <v>9355.2000000000007</v>
      </c>
      <c r="BZ886" s="343">
        <f>SUMIFS($AU887:AU$1388,$Q887:Q$1388,"O")</f>
        <v>-1366.9846666667831</v>
      </c>
    </row>
    <row r="887" spans="1:78" ht="15.75" customHeight="1">
      <c r="A887" s="221" t="s">
        <v>3401</v>
      </c>
      <c r="B887" s="177">
        <v>45140</v>
      </c>
      <c r="C887" s="178" t="s">
        <v>2122</v>
      </c>
      <c r="D887" s="178" t="s">
        <v>151</v>
      </c>
      <c r="E887" s="227" t="s">
        <v>3435</v>
      </c>
      <c r="F887" s="180"/>
      <c r="G887" s="181"/>
      <c r="H887" s="182">
        <v>1</v>
      </c>
      <c r="I887" s="182"/>
      <c r="J887" s="182"/>
      <c r="K887" s="183" t="s">
        <v>372</v>
      </c>
      <c r="L887" s="182"/>
      <c r="M887" s="182"/>
      <c r="N887" s="182"/>
      <c r="O887" s="183"/>
      <c r="P887" s="183"/>
      <c r="Q887" s="183"/>
      <c r="R887" s="183"/>
      <c r="S887" s="183"/>
      <c r="T887" s="183"/>
      <c r="U887" s="183"/>
      <c r="V887" s="183"/>
      <c r="W887" s="183"/>
      <c r="X887" s="183"/>
      <c r="Y887" s="183"/>
      <c r="Z887" s="185" t="str">
        <f>IF(ISBLANK(O887),"",IF(O887="IB",8.63*200,IF(O887="IR",16*100,IF(O887="YT",20*100,IF(O887="YT-XT",24*200,IF(O887="TED",80*100))))))</f>
        <v/>
      </c>
      <c r="AA887" s="185"/>
      <c r="AB887" s="185"/>
      <c r="AC887" s="185"/>
      <c r="AD887" s="649"/>
      <c r="AE887" s="182"/>
      <c r="AF887" s="332"/>
      <c r="AG887" s="182"/>
      <c r="AH887" s="182"/>
      <c r="AI887" s="182"/>
      <c r="AJ887" s="640"/>
      <c r="AK887" s="182"/>
      <c r="AL887" s="496"/>
      <c r="AM887" s="496"/>
      <c r="AN887" s="626"/>
      <c r="AO887" s="182"/>
      <c r="AP887" s="182"/>
      <c r="AQ887" s="332" t="str">
        <f>UPPER(RIGHT(Journal_Live[[#This Row],[DURATION ]]))</f>
        <v/>
      </c>
      <c r="AR887" s="182"/>
      <c r="AS887" s="189"/>
      <c r="AT887" s="189"/>
      <c r="AU887" s="187"/>
      <c r="AV887" s="190"/>
      <c r="AW887" s="191"/>
      <c r="AX887" s="409" t="s">
        <v>3436</v>
      </c>
      <c r="AY887" s="407" t="s">
        <v>3437</v>
      </c>
      <c r="AZ887" s="407" t="s">
        <v>3438</v>
      </c>
      <c r="BA887" s="407" t="s">
        <v>3439</v>
      </c>
      <c r="BB887" s="407"/>
      <c r="BC887" s="407"/>
      <c r="BD887" s="407"/>
      <c r="BE887" s="407"/>
      <c r="BF887" s="422"/>
      <c r="BG887" s="391">
        <f>SUM($AV$4:AV887)</f>
        <v>4395.3555263348817</v>
      </c>
      <c r="BH887" s="392">
        <f>SUM($AU$134:AU887)</f>
        <v>16992.302000000323</v>
      </c>
      <c r="BI887" s="318">
        <f>SUMIFS($AU$134:AU888,$Q$134:Q888,"F")</f>
        <v>5678.5333333333328</v>
      </c>
      <c r="BJ887" s="318">
        <f>SUMIFS($AU$134:AU888,$Q$134:Q888,"S")</f>
        <v>11316.441999999999</v>
      </c>
      <c r="BK887" s="343">
        <f>SUMIFS($AU$134:AU888,$P$134:P888,"W")</f>
        <v>10331.74199999994</v>
      </c>
      <c r="BL887" s="343">
        <f>SUMIFS($AU$134:AU888,$P$134:P888,"R")</f>
        <v>6404.673333333335</v>
      </c>
      <c r="BM887" s="343">
        <f>SUMIFS($AU$134:AU888,$AQ$134:AQ888,"M")</f>
        <v>2381.3999999999878</v>
      </c>
      <c r="BN887" s="343">
        <f>SUMIFS($AU$134:AU888,$AQ$134:AQ888,"H")</f>
        <v>4638.1420000000153</v>
      </c>
      <c r="BO887" s="343">
        <f>SUMIFS($AU$134:AU888,$AQ$134:AQ888,"D")</f>
        <v>5768.3466666667146</v>
      </c>
      <c r="BP887" s="343">
        <f>SUMIFS($AU$134:AU890,$AQ$134:AQ890,"W")</f>
        <v>3049.7833333333429</v>
      </c>
      <c r="BQ887" s="343">
        <f>SUMIFS($AU$134:AU888,$Q$134:Q888,"O")</f>
        <v>-281.8733333330153</v>
      </c>
      <c r="BR887" s="343">
        <f>SUMIFS($AU$134:AU888,$AA$134:AA888,"*")</f>
        <v>15861.475333333328</v>
      </c>
      <c r="BS887" s="343">
        <f>SUMIFS($AU$134:AU888,$AB$134:AB888,"*")</f>
        <v>5641.3266666669924</v>
      </c>
      <c r="BT887" s="343">
        <f>SUMIFS($AU$134:AU888,$AC$134:AC888,"*")</f>
        <v>9119.6833333333325</v>
      </c>
      <c r="BU887" s="343">
        <f>SUMIFS($AU$134:AU888,$AA$134:AA888,"*",$AB$134:AB888,"*")</f>
        <v>3634.0000000000045</v>
      </c>
      <c r="BV887" s="343">
        <f>SUMIFS($AU$134:AU888,$AA$134:AA888,"*",$AC$134:AC888,"*")</f>
        <v>8580.7833333333328</v>
      </c>
      <c r="BW887" s="343">
        <f>SUMIFS($AU$134:AU888,$AB$134:AB888,"*",$AC$134:AC888,"*")</f>
        <v>5374.6</v>
      </c>
      <c r="BX887" s="343">
        <f>SUMIFS($AU888:AU$1388,$Q888:Q$1388,"F")</f>
        <v>8762.133333333335</v>
      </c>
      <c r="BY887" s="343">
        <f>SUMIFS($AU888:AU$1388,$Q888:Q$1388,"S")</f>
        <v>9355.2000000000007</v>
      </c>
      <c r="BZ887" s="343">
        <f>SUMIFS($AU888:AU$1388,$Q888:Q$1388,"O")</f>
        <v>-1366.9846666667831</v>
      </c>
    </row>
    <row r="888" spans="1:78" ht="15.75" customHeight="1">
      <c r="A888" s="221" t="s">
        <v>3401</v>
      </c>
      <c r="B888" s="177">
        <v>45140</v>
      </c>
      <c r="C888" s="178" t="s">
        <v>3440</v>
      </c>
      <c r="D888" s="178" t="s">
        <v>151</v>
      </c>
      <c r="E888" s="227"/>
      <c r="F888" s="180"/>
      <c r="G888" s="281" t="s">
        <v>136</v>
      </c>
      <c r="H888" s="182"/>
      <c r="I888" s="182"/>
      <c r="J888" s="182"/>
      <c r="K888" s="183"/>
      <c r="L888" s="182">
        <v>1</v>
      </c>
      <c r="M888" s="182"/>
      <c r="N888" s="182"/>
      <c r="O888" s="183" t="s">
        <v>95</v>
      </c>
      <c r="P888" s="183" t="s">
        <v>96</v>
      </c>
      <c r="Q888" s="183" t="s">
        <v>97</v>
      </c>
      <c r="R888" s="183">
        <v>3</v>
      </c>
      <c r="S888" s="183">
        <v>0</v>
      </c>
      <c r="T888" s="183">
        <v>3</v>
      </c>
      <c r="U888" s="183" t="s">
        <v>22</v>
      </c>
      <c r="V888" s="183"/>
      <c r="W888" s="183"/>
      <c r="X888" s="183"/>
      <c r="Y888" s="184">
        <f>IF(ISBLANK(O888),"",(IF(O888=UPPER("IB"),0.005,0.01)))</f>
        <v>0.01</v>
      </c>
      <c r="Z888" s="185">
        <f>IF(ISBLANK(O888),"",IF(O888="IB",8.63*200,IF(O888="IR",16*100,IF(O888="YT",20*100,IF(O888="YT-XT",24*200,IF(O888="TED",80*100))))))</f>
        <v>1600</v>
      </c>
      <c r="AA888" s="185" t="s">
        <v>99</v>
      </c>
      <c r="AB888" s="185"/>
      <c r="AC888" s="185"/>
      <c r="AD888" s="649">
        <v>-0.13</v>
      </c>
      <c r="AE888" s="182"/>
      <c r="AF888" s="332"/>
      <c r="AG888" s="182"/>
      <c r="AH888" s="182"/>
      <c r="AI888" s="182"/>
      <c r="AJ888" s="640"/>
      <c r="AK888" s="182"/>
      <c r="AL888" s="496"/>
      <c r="AM888" s="496"/>
      <c r="AN888" s="626"/>
      <c r="AO888" s="182"/>
      <c r="AP888" s="182"/>
      <c r="AQ888" s="332" t="str">
        <f>UPPER(RIGHT(Journal_Live[[#This Row],[DURATION ]]))</f>
        <v/>
      </c>
      <c r="AR888" s="182" t="s">
        <v>3441</v>
      </c>
      <c r="AS888" s="189">
        <v>-0.13</v>
      </c>
      <c r="AT888" s="189">
        <f>IF(ISBLANK(AS888),,IF(U888="S",AD888-AS888,AS888-AD888))</f>
        <v>0</v>
      </c>
      <c r="AU888" s="187">
        <f>AV888*R888</f>
        <v>0</v>
      </c>
      <c r="AV888" s="190">
        <f>IF(ISBLANK(AS888),,(AT888*Z888))</f>
        <v>0</v>
      </c>
      <c r="AW888" s="191" t="s">
        <v>115</v>
      </c>
      <c r="AX888" s="407" t="s">
        <v>3442</v>
      </c>
      <c r="AY888" s="407"/>
      <c r="AZ888" s="407"/>
      <c r="BA888" s="407"/>
      <c r="BB888" s="407"/>
      <c r="BC888" s="407"/>
      <c r="BD888" s="407"/>
      <c r="BE888" s="407"/>
      <c r="BF888" s="422"/>
      <c r="BG888" s="391">
        <f>SUM($AV$4:AV888)</f>
        <v>4395.3555263348817</v>
      </c>
      <c r="BH888" s="392">
        <f>SUM($AU$134:AU888)</f>
        <v>16992.302000000323</v>
      </c>
      <c r="BI888" s="318">
        <f>SUMIFS($AU$134:AU889,$Q$134:Q889,"F")</f>
        <v>5678.5333333333328</v>
      </c>
      <c r="BJ888" s="318">
        <f>SUMIFS($AU$134:AU889,$Q$134:Q889,"S")</f>
        <v>11316.441999999999</v>
      </c>
      <c r="BK888" s="343">
        <f>SUMIFS($AU$134:AU889,$P$134:P889,"W")</f>
        <v>10331.74199999994</v>
      </c>
      <c r="BL888" s="343">
        <f>SUMIFS($AU$134:AU889,$P$134:P889,"R")</f>
        <v>6404.673333333335</v>
      </c>
      <c r="BM888" s="343">
        <f>SUMIFS($AU$134:AU889,$AQ$134:AQ889,"M")</f>
        <v>2381.3999999999878</v>
      </c>
      <c r="BN888" s="343">
        <f>SUMIFS($AU$134:AU889,$AQ$134:AQ889,"H")</f>
        <v>4638.1420000000153</v>
      </c>
      <c r="BO888" s="343">
        <f>SUMIFS($AU$134:AU889,$AQ$134:AQ889,"D")</f>
        <v>5768.3466666667146</v>
      </c>
      <c r="BP888" s="343">
        <f>SUMIFS($AU$134:AU891,$AQ$134:AQ891,"W")</f>
        <v>3049.7833333333429</v>
      </c>
      <c r="BQ888" s="343">
        <f>SUMIFS($AU$134:AU889,$Q$134:Q889,"O")</f>
        <v>-281.8733333330153</v>
      </c>
      <c r="BR888" s="343">
        <f>SUMIFS($AU$134:AU889,$AA$134:AA889,"*")</f>
        <v>15861.475333333328</v>
      </c>
      <c r="BS888" s="343">
        <f>SUMIFS($AU$134:AU889,$AB$134:AB889,"*")</f>
        <v>5641.3266666669924</v>
      </c>
      <c r="BT888" s="343">
        <f>SUMIFS($AU$134:AU889,$AC$134:AC889,"*")</f>
        <v>9119.6833333333325</v>
      </c>
      <c r="BU888" s="343">
        <f>SUMIFS($AU$134:AU889,$AA$134:AA889,"*",$AB$134:AB889,"*")</f>
        <v>3634.0000000000045</v>
      </c>
      <c r="BV888" s="343">
        <f>SUMIFS($AU$134:AU889,$AA$134:AA889,"*",$AC$134:AC889,"*")</f>
        <v>8580.7833333333328</v>
      </c>
      <c r="BW888" s="343">
        <f>SUMIFS($AU$134:AU889,$AB$134:AB889,"*",$AC$134:AC889,"*")</f>
        <v>5374.6</v>
      </c>
      <c r="BX888" s="343">
        <f>SUMIFS($AU889:AU$1388,$Q889:Q$1388,"F")</f>
        <v>8762.133333333335</v>
      </c>
      <c r="BY888" s="343">
        <f>SUMIFS($AU889:AU$1388,$Q889:Q$1388,"S")</f>
        <v>9355.2000000000007</v>
      </c>
      <c r="BZ888" s="343">
        <f>SUMIFS($AU889:AU$1388,$Q889:Q$1388,"O")</f>
        <v>-1366.9846666667831</v>
      </c>
    </row>
    <row r="889" spans="1:78" ht="15.75" customHeight="1">
      <c r="A889" s="221" t="s">
        <v>3401</v>
      </c>
      <c r="B889" s="177">
        <v>45140</v>
      </c>
      <c r="C889" s="178" t="s">
        <v>3443</v>
      </c>
      <c r="D889" s="178" t="s">
        <v>151</v>
      </c>
      <c r="E889" s="227"/>
      <c r="F889" s="180"/>
      <c r="G889" s="181" t="s">
        <v>3415</v>
      </c>
      <c r="H889" s="182"/>
      <c r="I889" s="182"/>
      <c r="J889" s="182"/>
      <c r="K889" s="183"/>
      <c r="L889" s="182"/>
      <c r="M889" s="182"/>
      <c r="N889" s="182"/>
      <c r="O889" s="183"/>
      <c r="P889" s="183"/>
      <c r="Q889" s="183"/>
      <c r="R889" s="183"/>
      <c r="S889" s="183"/>
      <c r="T889" s="183"/>
      <c r="U889" s="183"/>
      <c r="V889" s="183"/>
      <c r="W889" s="183"/>
      <c r="X889" s="183"/>
      <c r="Y889" s="184"/>
      <c r="Z889" s="185"/>
      <c r="AA889" s="185"/>
      <c r="AB889" s="473"/>
      <c r="AC889" s="185"/>
      <c r="AD889" s="649"/>
      <c r="AE889" s="182"/>
      <c r="AF889" s="332"/>
      <c r="AG889" s="182"/>
      <c r="AH889" s="182"/>
      <c r="AI889" s="182"/>
      <c r="AJ889" s="640"/>
      <c r="AK889" s="182"/>
      <c r="AL889" s="496"/>
      <c r="AM889" s="496"/>
      <c r="AN889" s="626"/>
      <c r="AO889" s="182"/>
      <c r="AP889" s="182"/>
      <c r="AQ889" s="332" t="str">
        <f>UPPER(RIGHT(Journal_Live[[#This Row],[DURATION ]]))</f>
        <v/>
      </c>
      <c r="AR889" s="182"/>
      <c r="AS889" s="189"/>
      <c r="AT889" s="189">
        <f>IF(ISBLANK(AS889),,IF(U889="S",AD889-AS889,AS889-AD889))</f>
        <v>0</v>
      </c>
      <c r="AU889" s="187">
        <f>AV889*R889</f>
        <v>0</v>
      </c>
      <c r="AV889" s="190">
        <f>IF(ISBLANK(AS889),,(AT889*Z889))</f>
        <v>0</v>
      </c>
      <c r="AW889" s="191"/>
      <c r="AX889" s="407" t="s">
        <v>3444</v>
      </c>
      <c r="AY889" s="407"/>
      <c r="AZ889" s="407"/>
      <c r="BA889" s="407"/>
      <c r="BB889" s="407"/>
      <c r="BC889" s="407"/>
      <c r="BD889" s="407"/>
      <c r="BE889" s="407"/>
      <c r="BF889" s="422"/>
      <c r="BG889" s="391">
        <f>SUM($AV$4:AV889)</f>
        <v>4395.3555263348817</v>
      </c>
      <c r="BH889" s="392">
        <f>SUM($AU$134:AU889)</f>
        <v>16992.302000000323</v>
      </c>
      <c r="BI889" s="318">
        <f>SUMIFS($AU$134:AU890,$Q$134:Q890,"F")</f>
        <v>5678.5333333333328</v>
      </c>
      <c r="BJ889" s="318">
        <f>SUMIFS($AU$134:AU890,$Q$134:Q890,"S")</f>
        <v>11316.441999999999</v>
      </c>
      <c r="BK889" s="343">
        <f>SUMIFS($AU$134:AU890,$P$134:P890,"W")</f>
        <v>10331.74199999994</v>
      </c>
      <c r="BL889" s="343">
        <f>SUMIFS($AU$134:AU890,$P$134:P890,"R")</f>
        <v>6404.673333333335</v>
      </c>
      <c r="BM889" s="343">
        <f>SUMIFS($AU$134:AU890,$AQ$134:AQ890,"M")</f>
        <v>2381.3999999999878</v>
      </c>
      <c r="BN889" s="343">
        <f>SUMIFS($AU$134:AU890,$AQ$134:AQ890,"H")</f>
        <v>4638.1420000000153</v>
      </c>
      <c r="BO889" s="343">
        <f>SUMIFS($AU$134:AU890,$AQ$134:AQ890,"D")</f>
        <v>5768.3466666667146</v>
      </c>
      <c r="BP889" s="343">
        <f>SUMIFS($AU$134:AU892,$AQ$134:AQ892,"W")</f>
        <v>3049.7833333333429</v>
      </c>
      <c r="BQ889" s="343">
        <f>SUMIFS($AU$134:AU890,$Q$134:Q890,"O")</f>
        <v>-281.8733333330153</v>
      </c>
      <c r="BR889" s="343">
        <f>SUMIFS($AU$134:AU890,$AA$134:AA890,"*")</f>
        <v>15861.475333333328</v>
      </c>
      <c r="BS889" s="343">
        <f>SUMIFS($AU$134:AU890,$AB$134:AB890,"*")</f>
        <v>5641.3266666669924</v>
      </c>
      <c r="BT889" s="343">
        <f>SUMIFS($AU$134:AU890,$AC$134:AC890,"*")</f>
        <v>9119.6833333333325</v>
      </c>
      <c r="BU889" s="343">
        <f>SUMIFS($AU$134:AU890,$AA$134:AA890,"*",$AB$134:AB890,"*")</f>
        <v>3634.0000000000045</v>
      </c>
      <c r="BV889" s="343">
        <f>SUMIFS($AU$134:AU890,$AA$134:AA890,"*",$AC$134:AC890,"*")</f>
        <v>8580.7833333333328</v>
      </c>
      <c r="BW889" s="343">
        <f>SUMIFS($AU$134:AU890,$AB$134:AB890,"*",$AC$134:AC890,"*")</f>
        <v>5374.6</v>
      </c>
      <c r="BX889" s="343">
        <f>SUMIFS($AU890:AU$1388,$Q890:Q$1388,"F")</f>
        <v>8762.133333333335</v>
      </c>
      <c r="BY889" s="343">
        <f>SUMIFS($AU890:AU$1388,$Q890:Q$1388,"S")</f>
        <v>9355.2000000000007</v>
      </c>
      <c r="BZ889" s="343">
        <f>SUMIFS($AU890:AU$1388,$Q890:Q$1388,"O")</f>
        <v>-1366.9846666667831</v>
      </c>
    </row>
    <row r="890" spans="1:78" ht="15.75" customHeight="1">
      <c r="A890" s="221" t="s">
        <v>3401</v>
      </c>
      <c r="B890" s="177">
        <v>45140</v>
      </c>
      <c r="C890" s="178" t="s">
        <v>3445</v>
      </c>
      <c r="D890" s="178" t="s">
        <v>151</v>
      </c>
      <c r="E890" s="227"/>
      <c r="F890" s="180"/>
      <c r="G890" s="281" t="s">
        <v>181</v>
      </c>
      <c r="H890" s="182"/>
      <c r="I890" s="182"/>
      <c r="J890" s="182"/>
      <c r="K890" s="183"/>
      <c r="L890" s="182">
        <v>1</v>
      </c>
      <c r="M890" s="182"/>
      <c r="N890" s="182"/>
      <c r="O890" s="183" t="s">
        <v>95</v>
      </c>
      <c r="P890" s="183" t="s">
        <v>96</v>
      </c>
      <c r="Q890" s="183" t="s">
        <v>97</v>
      </c>
      <c r="R890" s="183">
        <v>7</v>
      </c>
      <c r="S890" s="183">
        <v>0</v>
      </c>
      <c r="T890" s="183">
        <v>7</v>
      </c>
      <c r="U890" s="183" t="s">
        <v>97</v>
      </c>
      <c r="V890" s="183"/>
      <c r="W890" s="183"/>
      <c r="X890" s="183"/>
      <c r="Y890" s="184">
        <f>IF(ISBLANK(O890),"",(IF(O890=UPPER("IB"),0.005,0.01)))</f>
        <v>0.01</v>
      </c>
      <c r="Z890" s="185">
        <f>IF(ISBLANK(O890),"",IF(O890="IB",8.63*200,IF(O890="IR",16*100,IF(O890="YT",20*100,IF(O890="YT-XT",24*200,IF(O890="TED",80*100))))))</f>
        <v>1600</v>
      </c>
      <c r="AA890" s="185" t="s">
        <v>3446</v>
      </c>
      <c r="AB890" s="185"/>
      <c r="AC890" s="185"/>
      <c r="AD890" s="649">
        <v>-0.05</v>
      </c>
      <c r="AE890" s="182"/>
      <c r="AF890" s="332"/>
      <c r="AG890" s="182"/>
      <c r="AH890" s="182"/>
      <c r="AI890" s="182"/>
      <c r="AJ890" s="640"/>
      <c r="AK890" s="182"/>
      <c r="AL890" s="496"/>
      <c r="AM890" s="496"/>
      <c r="AN890" s="626"/>
      <c r="AO890" s="182"/>
      <c r="AP890" s="182" t="s">
        <v>3447</v>
      </c>
      <c r="AQ890" s="332" t="str">
        <f>UPPER(RIGHT(Journal_Live[[#This Row],[DURATION ]]))</f>
        <v>M</v>
      </c>
      <c r="AR890" s="182" t="s">
        <v>3448</v>
      </c>
      <c r="AS890" s="189">
        <v>-0.05</v>
      </c>
      <c r="AT890" s="189">
        <f>IF(ISBLANK(AS890),,IF(U890="S",AD890-AS890,AS890-AD890))</f>
        <v>0</v>
      </c>
      <c r="AU890" s="187">
        <f>AV890*R890</f>
        <v>0</v>
      </c>
      <c r="AV890" s="190">
        <f>IF(ISBLANK(AS890),,(AT890*Z890))</f>
        <v>0</v>
      </c>
      <c r="AW890" s="191" t="s">
        <v>115</v>
      </c>
      <c r="AX890" s="407" t="s">
        <v>3449</v>
      </c>
      <c r="AY890" s="407"/>
      <c r="AZ890" s="407"/>
      <c r="BA890" s="407"/>
      <c r="BB890" s="407"/>
      <c r="BC890" s="407"/>
      <c r="BD890" s="407"/>
      <c r="BE890" s="407"/>
      <c r="BF890" s="422"/>
      <c r="BG890" s="391">
        <f>SUM($AV$4:AV890)</f>
        <v>4395.3555263348817</v>
      </c>
      <c r="BH890" s="392">
        <f>SUM($AU$134:AU890)</f>
        <v>16992.302000000323</v>
      </c>
      <c r="BI890" s="318">
        <f>SUMIFS($AU$134:AU891,$Q$134:Q891,"F")</f>
        <v>5678.5333333333328</v>
      </c>
      <c r="BJ890" s="318">
        <f>SUMIFS($AU$134:AU891,$Q$134:Q891,"S")</f>
        <v>11540.441999999999</v>
      </c>
      <c r="BK890" s="343">
        <f>SUMIFS($AU$134:AU891,$P$134:P891,"W")</f>
        <v>10555.74199999994</v>
      </c>
      <c r="BL890" s="343">
        <f>SUMIFS($AU$134:AU891,$P$134:P891,"R")</f>
        <v>6404.673333333335</v>
      </c>
      <c r="BM890" s="343">
        <f>SUMIFS($AU$134:AU891,$AQ$134:AQ891,"M")</f>
        <v>2381.3999999999878</v>
      </c>
      <c r="BN890" s="343">
        <f>SUMIFS($AU$134:AU891,$AQ$134:AQ891,"H")</f>
        <v>4862.1420000000153</v>
      </c>
      <c r="BO890" s="343">
        <f>SUMIFS($AU$134:AU891,$AQ$134:AQ891,"D")</f>
        <v>5768.3466666667146</v>
      </c>
      <c r="BP890" s="343">
        <f>SUMIFS($AU$134:AU893,$AQ$134:AQ893,"W")</f>
        <v>3049.7833333333429</v>
      </c>
      <c r="BQ890" s="343">
        <f>SUMIFS($AU$134:AU891,$Q$134:Q891,"O")</f>
        <v>-281.8733333330153</v>
      </c>
      <c r="BR890" s="343">
        <f>SUMIFS($AU$134:AU891,$AA$134:AA891,"*")</f>
        <v>16085.475333333328</v>
      </c>
      <c r="BS890" s="343">
        <f>SUMIFS($AU$134:AU891,$AB$134:AB891,"*")</f>
        <v>5641.3266666669924</v>
      </c>
      <c r="BT890" s="343">
        <f>SUMIFS($AU$134:AU891,$AC$134:AC891,"*")</f>
        <v>9119.6833333333325</v>
      </c>
      <c r="BU890" s="343">
        <f>SUMIFS($AU$134:AU891,$AA$134:AA891,"*",$AB$134:AB891,"*")</f>
        <v>3634.0000000000045</v>
      </c>
      <c r="BV890" s="343">
        <f>SUMIFS($AU$134:AU891,$AA$134:AA891,"*",$AC$134:AC891,"*")</f>
        <v>8580.7833333333328</v>
      </c>
      <c r="BW890" s="343">
        <f>SUMIFS($AU$134:AU891,$AB$134:AB891,"*",$AC$134:AC891,"*")</f>
        <v>5374.6</v>
      </c>
      <c r="BX890" s="343">
        <f>SUMIFS($AU891:AU$1388,$Q891:Q$1388,"F")</f>
        <v>8762.133333333335</v>
      </c>
      <c r="BY890" s="343">
        <f>SUMIFS($AU891:AU$1388,$Q891:Q$1388,"S")</f>
        <v>9355.2000000000007</v>
      </c>
      <c r="BZ890" s="343">
        <f>SUMIFS($AU891:AU$1388,$Q891:Q$1388,"O")</f>
        <v>-1366.9846666667831</v>
      </c>
    </row>
    <row r="891" spans="1:78" ht="15.75" customHeight="1">
      <c r="A891" s="221" t="s">
        <v>3401</v>
      </c>
      <c r="B891" s="177">
        <v>45140</v>
      </c>
      <c r="C891" s="178" t="s">
        <v>3440</v>
      </c>
      <c r="D891" s="178" t="s">
        <v>151</v>
      </c>
      <c r="E891" s="227"/>
      <c r="F891" s="180"/>
      <c r="G891" s="281" t="s">
        <v>3450</v>
      </c>
      <c r="H891" s="182"/>
      <c r="I891" s="182"/>
      <c r="J891" s="182"/>
      <c r="K891" s="183"/>
      <c r="L891" s="182">
        <v>1</v>
      </c>
      <c r="M891" s="182"/>
      <c r="N891" s="182"/>
      <c r="O891" s="183" t="s">
        <v>95</v>
      </c>
      <c r="P891" s="183" t="s">
        <v>96</v>
      </c>
      <c r="Q891" s="183" t="s">
        <v>97</v>
      </c>
      <c r="R891" s="183">
        <v>7</v>
      </c>
      <c r="S891" s="183">
        <v>0</v>
      </c>
      <c r="T891" s="183">
        <v>7</v>
      </c>
      <c r="U891" s="183" t="s">
        <v>22</v>
      </c>
      <c r="V891" s="183"/>
      <c r="W891" s="183"/>
      <c r="X891" s="183"/>
      <c r="Y891" s="184">
        <f>IF(ISBLANK(O891),"",(IF(O891=UPPER("IB"),0.005,0.01)))</f>
        <v>0.01</v>
      </c>
      <c r="Z891" s="185">
        <f>IF(ISBLANK(O891),"",IF(O891="IB",8.63*200,IF(O891="IR",16*100,IF(O891="YT",20*100,IF(O891="YT-XT",24*200,IF(O891="TED",80*100))))))</f>
        <v>1600</v>
      </c>
      <c r="AA891" s="185" t="s">
        <v>3451</v>
      </c>
      <c r="AB891" s="185"/>
      <c r="AC891" s="185"/>
      <c r="AD891" s="649">
        <v>-0.19</v>
      </c>
      <c r="AE891" s="182"/>
      <c r="AF891" s="332"/>
      <c r="AG891" s="182"/>
      <c r="AH891" s="182"/>
      <c r="AI891" s="182"/>
      <c r="AJ891" s="640"/>
      <c r="AK891" s="182"/>
      <c r="AL891" s="496"/>
      <c r="AM891" s="496"/>
      <c r="AN891" s="626"/>
      <c r="AO891" s="182"/>
      <c r="AP891" s="182" t="s">
        <v>1639</v>
      </c>
      <c r="AQ891" s="332" t="str">
        <f>UPPER(RIGHT(Journal_Live[[#This Row],[DURATION ]]))</f>
        <v>H</v>
      </c>
      <c r="AR891" s="182" t="s">
        <v>3445</v>
      </c>
      <c r="AS891" s="189">
        <v>-0.17</v>
      </c>
      <c r="AT891" s="189">
        <f>IF(ISBLANK(AS891),,IF(U891="S",AD891-AS891,AS891-AD891))</f>
        <v>1.999999999999999E-2</v>
      </c>
      <c r="AU891" s="187">
        <f>AV891*R891</f>
        <v>223.99999999999989</v>
      </c>
      <c r="AV891" s="190">
        <f>IF(ISBLANK(AS891),,(AT891*Z891))</f>
        <v>31.999999999999986</v>
      </c>
      <c r="AW891" s="191" t="s">
        <v>96</v>
      </c>
      <c r="AX891" s="407" t="s">
        <v>3434</v>
      </c>
      <c r="AY891" s="407"/>
      <c r="AZ891" s="407"/>
      <c r="BA891" s="407"/>
      <c r="BB891" s="407"/>
      <c r="BC891" s="407"/>
      <c r="BD891" s="407"/>
      <c r="BE891" s="407"/>
      <c r="BF891" s="422"/>
      <c r="BG891" s="391">
        <f>SUM($AV$4:AV891)</f>
        <v>4427.3555263348817</v>
      </c>
      <c r="BH891" s="392">
        <f>SUM($AU$134:AU891)</f>
        <v>17216.302000000323</v>
      </c>
      <c r="BI891" s="318">
        <f>SUMIFS($AU$134:AU892,$Q$134:Q892,"F")</f>
        <v>5678.5333333333328</v>
      </c>
      <c r="BJ891" s="318">
        <f>SUMIFS($AU$134:AU892,$Q$134:Q892,"S")</f>
        <v>11540.441999999999</v>
      </c>
      <c r="BK891" s="343">
        <f>SUMIFS($AU$134:AU892,$P$134:P892,"W")</f>
        <v>10555.74199999994</v>
      </c>
      <c r="BL891" s="343">
        <f>SUMIFS($AU$134:AU892,$P$134:P892,"R")</f>
        <v>6404.673333333335</v>
      </c>
      <c r="BM891" s="343">
        <f>SUMIFS($AU$134:AU892,$AQ$134:AQ892,"M")</f>
        <v>2381.3999999999878</v>
      </c>
      <c r="BN891" s="343">
        <f>SUMIFS($AU$134:AU892,$AQ$134:AQ892,"H")</f>
        <v>4862.1420000000153</v>
      </c>
      <c r="BO891" s="343">
        <f>SUMIFS($AU$134:AU892,$AQ$134:AQ892,"D")</f>
        <v>5768.3466666667146</v>
      </c>
      <c r="BP891" s="343">
        <f>SUMIFS($AU$134:AU894,$AQ$134:AQ894,"W")</f>
        <v>2514.7233333332406</v>
      </c>
      <c r="BQ891" s="343">
        <f>SUMIFS($AU$134:AU892,$Q$134:Q892,"O")</f>
        <v>-281.8733333330153</v>
      </c>
      <c r="BR891" s="343">
        <f>SUMIFS($AU$134:AU892,$AA$134:AA892,"*")</f>
        <v>16085.475333333328</v>
      </c>
      <c r="BS891" s="343">
        <f>SUMIFS($AU$134:AU892,$AB$134:AB892,"*")</f>
        <v>5641.3266666669924</v>
      </c>
      <c r="BT891" s="343">
        <f>SUMIFS($AU$134:AU892,$AC$134:AC892,"*")</f>
        <v>9119.6833333333325</v>
      </c>
      <c r="BU891" s="343">
        <f>SUMIFS($AU$134:AU892,$AA$134:AA892,"*",$AB$134:AB892,"*")</f>
        <v>3634.0000000000045</v>
      </c>
      <c r="BV891" s="343">
        <f>SUMIFS($AU$134:AU892,$AA$134:AA892,"*",$AC$134:AC892,"*")</f>
        <v>8580.7833333333328</v>
      </c>
      <c r="BW891" s="343">
        <f>SUMIFS($AU$134:AU892,$AB$134:AB892,"*",$AC$134:AC892,"*")</f>
        <v>5374.6</v>
      </c>
      <c r="BX891" s="343">
        <f>SUMIFS($AU892:AU$1388,$Q892:Q$1388,"F")</f>
        <v>8762.133333333335</v>
      </c>
      <c r="BY891" s="343">
        <f>SUMIFS($AU892:AU$1388,$Q892:Q$1388,"S")</f>
        <v>9131.1999999999989</v>
      </c>
      <c r="BZ891" s="343">
        <f>SUMIFS($AU892:AU$1388,$Q892:Q$1388,"O")</f>
        <v>-1366.9846666667831</v>
      </c>
    </row>
    <row r="892" spans="1:78" ht="15.75" customHeight="1">
      <c r="A892" s="221" t="s">
        <v>3401</v>
      </c>
      <c r="B892" s="177">
        <v>45140</v>
      </c>
      <c r="C892" s="178" t="s">
        <v>890</v>
      </c>
      <c r="D892" s="178" t="s">
        <v>151</v>
      </c>
      <c r="E892" s="227"/>
      <c r="F892" s="180"/>
      <c r="G892" s="181" t="s">
        <v>3415</v>
      </c>
      <c r="H892" s="182"/>
      <c r="I892" s="182"/>
      <c r="J892" s="182"/>
      <c r="K892" s="183"/>
      <c r="L892" s="182"/>
      <c r="M892" s="182"/>
      <c r="N892" s="182"/>
      <c r="O892" s="183"/>
      <c r="P892" s="183"/>
      <c r="Q892" s="183"/>
      <c r="R892" s="183"/>
      <c r="S892" s="183"/>
      <c r="T892" s="183"/>
      <c r="U892" s="183"/>
      <c r="V892" s="183"/>
      <c r="W892" s="183"/>
      <c r="X892" s="183"/>
      <c r="Y892" s="184"/>
      <c r="Z892" s="185"/>
      <c r="AA892" s="185"/>
      <c r="AB892" s="473"/>
      <c r="AC892" s="185"/>
      <c r="AD892" s="649"/>
      <c r="AE892" s="182"/>
      <c r="AF892" s="332"/>
      <c r="AG892" s="182"/>
      <c r="AH892" s="182"/>
      <c r="AI892" s="182"/>
      <c r="AJ892" s="640"/>
      <c r="AK892" s="182"/>
      <c r="AL892" s="496"/>
      <c r="AM892" s="496"/>
      <c r="AN892" s="626"/>
      <c r="AO892" s="182"/>
      <c r="AP892" s="182"/>
      <c r="AQ892" s="332" t="str">
        <f>UPPER(RIGHT(Journal_Live[[#This Row],[DURATION ]]))</f>
        <v/>
      </c>
      <c r="AR892" s="182"/>
      <c r="AS892" s="189"/>
      <c r="AT892" s="189"/>
      <c r="AU892" s="187"/>
      <c r="AV892" s="190"/>
      <c r="AW892" s="191"/>
      <c r="AX892" s="407" t="s">
        <v>3452</v>
      </c>
      <c r="AY892" s="407"/>
      <c r="AZ892" s="407"/>
      <c r="BA892" s="407"/>
      <c r="BB892" s="407"/>
      <c r="BC892" s="407"/>
      <c r="BD892" s="407"/>
      <c r="BE892" s="407"/>
      <c r="BF892" s="422"/>
      <c r="BG892" s="391">
        <f>SUM($AV$4:AV892)</f>
        <v>4427.3555263348817</v>
      </c>
      <c r="BH892" s="392">
        <f>SUM($AU$134:AU892)</f>
        <v>17216.302000000323</v>
      </c>
      <c r="BI892" s="318">
        <f>SUMIFS($AU$134:AU893,$Q$134:Q893,"F")</f>
        <v>5678.5333333333328</v>
      </c>
      <c r="BJ892" s="318">
        <f>SUMIFS($AU$134:AU893,$Q$134:Q893,"S")</f>
        <v>11540.441999999999</v>
      </c>
      <c r="BK892" s="343">
        <f>SUMIFS($AU$134:AU893,$P$134:P893,"W")</f>
        <v>10555.74199999994</v>
      </c>
      <c r="BL892" s="343">
        <f>SUMIFS($AU$134:AU893,$P$134:P893,"R")</f>
        <v>6404.673333333335</v>
      </c>
      <c r="BM892" s="343">
        <f>SUMIFS($AU$134:AU893,$AQ$134:AQ893,"M")</f>
        <v>2381.3999999999878</v>
      </c>
      <c r="BN892" s="343">
        <f>SUMIFS($AU$134:AU893,$AQ$134:AQ893,"H")</f>
        <v>4478.1420000000153</v>
      </c>
      <c r="BO892" s="343">
        <f>SUMIFS($AU$134:AU893,$AQ$134:AQ893,"D")</f>
        <v>5768.3466666667146</v>
      </c>
      <c r="BP892" s="343">
        <f>SUMIFS($AU$134:AU895,$AQ$134:AQ895,"W")</f>
        <v>2514.7233333332406</v>
      </c>
      <c r="BQ892" s="343">
        <f>SUMIFS($AU$134:AU893,$Q$134:Q893,"O")</f>
        <v>-281.8733333330153</v>
      </c>
      <c r="BR892" s="343">
        <f>SUMIFS($AU$134:AU893,$AA$134:AA893,"*")</f>
        <v>15701.475333333328</v>
      </c>
      <c r="BS892" s="343">
        <f>SUMIFS($AU$134:AU893,$AB$134:AB893,"*")</f>
        <v>5257.3266666669924</v>
      </c>
      <c r="BT892" s="343">
        <f>SUMIFS($AU$134:AU893,$AC$134:AC893,"*")</f>
        <v>9119.6833333333325</v>
      </c>
      <c r="BU892" s="343">
        <f>SUMIFS($AU$134:AU893,$AA$134:AA893,"*",$AB$134:AB893,"*")</f>
        <v>3250.0000000000045</v>
      </c>
      <c r="BV892" s="343">
        <f>SUMIFS($AU$134:AU893,$AA$134:AA893,"*",$AC$134:AC893,"*")</f>
        <v>8580.7833333333328</v>
      </c>
      <c r="BW892" s="343">
        <f>SUMIFS($AU$134:AU893,$AB$134:AB893,"*",$AC$134:AC893,"*")</f>
        <v>5374.6</v>
      </c>
      <c r="BX892" s="343">
        <f>SUMIFS($AU893:AU$1388,$Q893:Q$1388,"F")</f>
        <v>8762.133333333335</v>
      </c>
      <c r="BY892" s="343">
        <f>SUMIFS($AU893:AU$1388,$Q893:Q$1388,"S")</f>
        <v>9131.1999999999989</v>
      </c>
      <c r="BZ892" s="343">
        <f>SUMIFS($AU893:AU$1388,$Q893:Q$1388,"O")</f>
        <v>-1366.9846666667831</v>
      </c>
    </row>
    <row r="893" spans="1:78" ht="15.75" customHeight="1">
      <c r="A893" s="221" t="s">
        <v>3401</v>
      </c>
      <c r="B893" s="177">
        <v>45141</v>
      </c>
      <c r="C893" s="178" t="s">
        <v>3309</v>
      </c>
      <c r="D893" s="178" t="s">
        <v>93</v>
      </c>
      <c r="E893" s="227"/>
      <c r="F893" s="180"/>
      <c r="G893" s="281" t="s">
        <v>2545</v>
      </c>
      <c r="H893" s="182"/>
      <c r="I893" s="182"/>
      <c r="J893" s="182"/>
      <c r="K893" s="183"/>
      <c r="L893" s="182">
        <v>1</v>
      </c>
      <c r="M893" s="182"/>
      <c r="N893" s="182"/>
      <c r="O893" s="183" t="s">
        <v>2259</v>
      </c>
      <c r="P893" s="183" t="s">
        <v>2260</v>
      </c>
      <c r="Q893" s="183"/>
      <c r="R893" s="183">
        <v>2</v>
      </c>
      <c r="S893" s="183">
        <v>0</v>
      </c>
      <c r="T893" s="183">
        <v>2</v>
      </c>
      <c r="U893" s="183" t="s">
        <v>97</v>
      </c>
      <c r="V893" s="183"/>
      <c r="W893" s="183"/>
      <c r="X893" s="183"/>
      <c r="Y893" s="184">
        <f t="shared" ref="Y893:Y899" si="293">IF(ISBLANK(O893),"",(IF(O893=UPPER("IB"),0.005,0.01)))</f>
        <v>0.01</v>
      </c>
      <c r="Z893" s="185">
        <f t="shared" ref="Z893:Z911" si="294">IF(ISBLANK(O893),"",IF(O893="IB",8.63*200,IF(O893="IR",16*100,IF(O893="YT",20*100,IF(O893="YT-XT",24*200,IF(O893="TED",80*100))))))</f>
        <v>4800</v>
      </c>
      <c r="AA893" s="409" t="s">
        <v>3453</v>
      </c>
      <c r="AB893" s="185" t="s">
        <v>529</v>
      </c>
      <c r="AC893" s="185"/>
      <c r="AD893" s="649">
        <f>(0.255+0.305)/2</f>
        <v>0.28000000000000003</v>
      </c>
      <c r="AE893" s="182"/>
      <c r="AF893" s="332"/>
      <c r="AG893" s="182"/>
      <c r="AH893" s="182"/>
      <c r="AI893" s="182"/>
      <c r="AJ893" s="640"/>
      <c r="AK893" s="182"/>
      <c r="AL893" s="496"/>
      <c r="AM893" s="496"/>
      <c r="AN893" s="626"/>
      <c r="AO893" s="182"/>
      <c r="AP893" s="182" t="s">
        <v>2150</v>
      </c>
      <c r="AQ893" s="332" t="str">
        <f>UPPER(RIGHT(Journal_Live[[#This Row],[DURATION ]]))</f>
        <v>H</v>
      </c>
      <c r="AR893" s="182" t="s">
        <v>3454</v>
      </c>
      <c r="AS893" s="189">
        <f>(0.32+0.32)/2</f>
        <v>0.32</v>
      </c>
      <c r="AT893" s="189">
        <f t="shared" ref="AT893:AT899" si="295">IF(ISBLANK(AS893),,IF(U893="S",AD893-AS893,AS893-AD893))</f>
        <v>-3.999999999999998E-2</v>
      </c>
      <c r="AU893" s="187">
        <f t="shared" ref="AU893:AU899" si="296">AV893*R893</f>
        <v>-383.99999999999983</v>
      </c>
      <c r="AV893" s="190">
        <f t="shared" ref="AV893:AV899" si="297">IF(ISBLANK(AS893),,(AT893*Z893))</f>
        <v>-191.99999999999991</v>
      </c>
      <c r="AW893" s="191" t="s">
        <v>229</v>
      </c>
      <c r="AX893" s="407" t="s">
        <v>3455</v>
      </c>
      <c r="AY893" s="407" t="s">
        <v>3456</v>
      </c>
      <c r="AZ893" s="407" t="s">
        <v>3457</v>
      </c>
      <c r="BA893" s="407" t="s">
        <v>3458</v>
      </c>
      <c r="BB893" s="407"/>
      <c r="BC893" s="407"/>
      <c r="BD893" s="407"/>
      <c r="BE893" s="407"/>
      <c r="BF893" s="422"/>
      <c r="BG893" s="391">
        <f>SUM($AV$4:AV893)</f>
        <v>4235.3555263348817</v>
      </c>
      <c r="BH893" s="392">
        <f>SUM($AU$134:AU893)</f>
        <v>16832.302000000323</v>
      </c>
      <c r="BI893" s="318">
        <f>SUMIFS($AU$134:AU894,$Q$134:Q894,"F")</f>
        <v>5678.5333333333328</v>
      </c>
      <c r="BJ893" s="318">
        <f>SUMIFS($AU$134:AU894,$Q$134:Q894,"S")</f>
        <v>11540.441999999999</v>
      </c>
      <c r="BK893" s="343">
        <f>SUMIFS($AU$134:AU894,$P$134:P894,"W")</f>
        <v>10555.74199999994</v>
      </c>
      <c r="BL893" s="343">
        <f>SUMIFS($AU$134:AU894,$P$134:P894,"R")</f>
        <v>6404.673333333335</v>
      </c>
      <c r="BM893" s="343">
        <f>SUMIFS($AU$134:AU894,$AQ$134:AQ894,"M")</f>
        <v>2381.3999999999878</v>
      </c>
      <c r="BN893" s="343">
        <f>SUMIFS($AU$134:AU894,$AQ$134:AQ894,"H")</f>
        <v>4478.1420000000153</v>
      </c>
      <c r="BO893" s="343">
        <f>SUMIFS($AU$134:AU894,$AQ$134:AQ894,"D")</f>
        <v>5768.3466666667146</v>
      </c>
      <c r="BP893" s="343">
        <f>SUMIFS($AU$134:AU896,$AQ$134:AQ896,"W")</f>
        <v>2514.7233333332406</v>
      </c>
      <c r="BQ893" s="343">
        <f>SUMIFS($AU$134:AU894,$Q$134:Q894,"O")</f>
        <v>-816.93333333311739</v>
      </c>
      <c r="BR893" s="343">
        <f>SUMIFS($AU$134:AU894,$AA$134:AA894,"*")</f>
        <v>15701.475333333328</v>
      </c>
      <c r="BS893" s="343">
        <f>SUMIFS($AU$134:AU894,$AB$134:AB894,"*")</f>
        <v>4722.2666666668902</v>
      </c>
      <c r="BT893" s="343">
        <f>SUMIFS($AU$134:AU894,$AC$134:AC894,"*")</f>
        <v>9119.6833333333325</v>
      </c>
      <c r="BU893" s="343">
        <f>SUMIFS($AU$134:AU894,$AA$134:AA894,"*",$AB$134:AB894,"*")</f>
        <v>3250.0000000000045</v>
      </c>
      <c r="BV893" s="343">
        <f>SUMIFS($AU$134:AU894,$AA$134:AA894,"*",$AC$134:AC894,"*")</f>
        <v>8580.7833333333328</v>
      </c>
      <c r="BW893" s="343">
        <f>SUMIFS($AU$134:AU894,$AB$134:AB894,"*",$AC$134:AC894,"*")</f>
        <v>5374.6</v>
      </c>
      <c r="BX893" s="343">
        <f>SUMIFS($AU894:AU$1388,$Q894:Q$1388,"F")</f>
        <v>8762.133333333335</v>
      </c>
      <c r="BY893" s="343">
        <f>SUMIFS($AU894:AU$1388,$Q894:Q$1388,"S")</f>
        <v>9131.1999999999989</v>
      </c>
      <c r="BZ893" s="343">
        <f>SUMIFS($AU894:AU$1388,$Q894:Q$1388,"O")</f>
        <v>-1366.9846666667831</v>
      </c>
    </row>
    <row r="894" spans="1:78" ht="15.75" customHeight="1">
      <c r="A894" s="221" t="s">
        <v>3401</v>
      </c>
      <c r="B894" s="177">
        <v>45141</v>
      </c>
      <c r="C894" s="178" t="s">
        <v>890</v>
      </c>
      <c r="D894" s="178" t="s">
        <v>93</v>
      </c>
      <c r="E894" s="227"/>
      <c r="F894" s="180"/>
      <c r="G894" s="281" t="s">
        <v>3415</v>
      </c>
      <c r="H894" s="182"/>
      <c r="I894" s="182"/>
      <c r="J894" s="182"/>
      <c r="K894" s="183"/>
      <c r="L894" s="182">
        <v>1</v>
      </c>
      <c r="M894" s="182">
        <v>1</v>
      </c>
      <c r="N894" s="182"/>
      <c r="O894" s="183" t="s">
        <v>1057</v>
      </c>
      <c r="P894" s="183"/>
      <c r="Q894" s="183" t="s">
        <v>684</v>
      </c>
      <c r="R894" s="183">
        <v>10</v>
      </c>
      <c r="S894" s="183">
        <v>3</v>
      </c>
      <c r="T894" s="183">
        <v>10</v>
      </c>
      <c r="U894" s="183" t="s">
        <v>97</v>
      </c>
      <c r="V894" s="183"/>
      <c r="W894" s="183"/>
      <c r="X894" s="183"/>
      <c r="Y894" s="184">
        <f t="shared" si="293"/>
        <v>5.0000000000000001E-3</v>
      </c>
      <c r="Z894" s="185">
        <f t="shared" si="294"/>
        <v>1726.0000000000002</v>
      </c>
      <c r="AA894" s="185"/>
      <c r="AB894" s="473" t="s">
        <v>3459</v>
      </c>
      <c r="AC894" s="185"/>
      <c r="AD894" s="649">
        <f>(95.885*2+95.88+95.905*2+95.91*5)/10</f>
        <v>95.900999999999996</v>
      </c>
      <c r="AE894" s="182"/>
      <c r="AF894" s="332"/>
      <c r="AG894" s="182"/>
      <c r="AH894" s="182" t="s">
        <v>3460</v>
      </c>
      <c r="AI894" s="182"/>
      <c r="AJ894" s="640"/>
      <c r="AK894" s="182"/>
      <c r="AL894" s="496"/>
      <c r="AM894" s="496"/>
      <c r="AN894" s="626"/>
      <c r="AO894" s="182"/>
      <c r="AP894" s="182" t="s">
        <v>3461</v>
      </c>
      <c r="AQ894" s="332" t="str">
        <f>UPPER(RIGHT(Journal_Live[[#This Row],[DURATION ]]))</f>
        <v>W</v>
      </c>
      <c r="AR894" s="182" t="s">
        <v>682</v>
      </c>
      <c r="AS894" s="189">
        <f>(95.935*7+95.925*3)/10</f>
        <v>95.932000000000002</v>
      </c>
      <c r="AT894" s="189">
        <f t="shared" si="295"/>
        <v>-3.1000000000005912E-2</v>
      </c>
      <c r="AU894" s="187">
        <f t="shared" si="296"/>
        <v>-535.06000000010215</v>
      </c>
      <c r="AV894" s="190">
        <f t="shared" si="297"/>
        <v>-53.506000000010211</v>
      </c>
      <c r="AW894" s="191" t="s">
        <v>229</v>
      </c>
      <c r="AX894" s="407" t="s">
        <v>3462</v>
      </c>
      <c r="AY894" s="407"/>
      <c r="AZ894" s="407"/>
      <c r="BA894" s="407"/>
      <c r="BB894" s="407"/>
      <c r="BC894" s="407"/>
      <c r="BD894" s="407"/>
      <c r="BE894" s="407"/>
      <c r="BF894" s="422"/>
      <c r="BG894" s="391">
        <f>SUM($AV$4:AV894)</f>
        <v>4181.8495263348714</v>
      </c>
      <c r="BH894" s="392">
        <f>SUM($AU$134:AU894)</f>
        <v>16297.242000000222</v>
      </c>
      <c r="BI894" s="318">
        <f>SUMIFS($AU$134:AU895,$Q$134:Q895,"F")</f>
        <v>5678.5333333333328</v>
      </c>
      <c r="BJ894" s="318">
        <f>SUMIFS($AU$134:AU895,$Q$134:Q895,"S")</f>
        <v>11620.441999999999</v>
      </c>
      <c r="BK894" s="343">
        <f>SUMIFS($AU$134:AU895,$P$134:P895,"W")</f>
        <v>10635.74199999994</v>
      </c>
      <c r="BL894" s="343">
        <f>SUMIFS($AU$134:AU895,$P$134:P895,"R")</f>
        <v>6404.673333333335</v>
      </c>
      <c r="BM894" s="343">
        <f>SUMIFS($AU$134:AU895,$AQ$134:AQ895,"M")</f>
        <v>2381.3999999999878</v>
      </c>
      <c r="BN894" s="343">
        <f>SUMIFS($AU$134:AU895,$AQ$134:AQ895,"H")</f>
        <v>4478.1420000000153</v>
      </c>
      <c r="BO894" s="343">
        <f>SUMIFS($AU$134:AU895,$AQ$134:AQ895,"D")</f>
        <v>5768.3466666667146</v>
      </c>
      <c r="BP894" s="343">
        <f>SUMIFS($AU$134:AU897,$AQ$134:AQ897,"W")</f>
        <v>2514.7233333332406</v>
      </c>
      <c r="BQ894" s="343">
        <f>SUMIFS($AU$134:AU895,$Q$134:Q895,"O")</f>
        <v>-816.93333333311739</v>
      </c>
      <c r="BR894" s="343">
        <f>SUMIFS($AU$134:AU895,$AA$134:AA895,"*")</f>
        <v>15781.475333333328</v>
      </c>
      <c r="BS894" s="343">
        <f>SUMIFS($AU$134:AU895,$AB$134:AB895,"*")</f>
        <v>4722.2666666668902</v>
      </c>
      <c r="BT894" s="343">
        <f>SUMIFS($AU$134:AU895,$AC$134:AC895,"*")</f>
        <v>9119.6833333333325</v>
      </c>
      <c r="BU894" s="343">
        <f>SUMIFS($AU$134:AU895,$AA$134:AA895,"*",$AB$134:AB895,"*")</f>
        <v>3250.0000000000045</v>
      </c>
      <c r="BV894" s="343">
        <f>SUMIFS($AU$134:AU895,$AA$134:AA895,"*",$AC$134:AC895,"*")</f>
        <v>8580.7833333333328</v>
      </c>
      <c r="BW894" s="343">
        <f>SUMIFS($AU$134:AU895,$AB$134:AB895,"*",$AC$134:AC895,"*")</f>
        <v>5374.6</v>
      </c>
      <c r="BX894" s="343">
        <f>SUMIFS($AU895:AU$1388,$Q895:Q$1388,"F")</f>
        <v>8762.133333333335</v>
      </c>
      <c r="BY894" s="343">
        <f>SUMIFS($AU895:AU$1388,$Q895:Q$1388,"S")</f>
        <v>9131.1999999999989</v>
      </c>
      <c r="BZ894" s="343">
        <f>SUMIFS($AU895:AU$1388,$Q895:Q$1388,"O")</f>
        <v>-831.92466666668088</v>
      </c>
    </row>
    <row r="895" spans="1:78" ht="15.75" customHeight="1">
      <c r="A895" s="221" t="s">
        <v>3401</v>
      </c>
      <c r="B895" s="177">
        <v>45141</v>
      </c>
      <c r="C895" s="178" t="s">
        <v>316</v>
      </c>
      <c r="D895" s="178" t="s">
        <v>93</v>
      </c>
      <c r="E895" s="227"/>
      <c r="F895" s="180"/>
      <c r="G895" s="281" t="s">
        <v>3463</v>
      </c>
      <c r="H895" s="182"/>
      <c r="I895" s="182"/>
      <c r="J895" s="182"/>
      <c r="K895" s="183"/>
      <c r="L895" s="182">
        <v>1</v>
      </c>
      <c r="M895" s="182"/>
      <c r="N895" s="182"/>
      <c r="O895" s="183" t="s">
        <v>95</v>
      </c>
      <c r="P895" s="183" t="s">
        <v>96</v>
      </c>
      <c r="Q895" s="183" t="s">
        <v>97</v>
      </c>
      <c r="R895" s="183">
        <v>5</v>
      </c>
      <c r="S895" s="183">
        <v>0</v>
      </c>
      <c r="T895" s="183">
        <v>5</v>
      </c>
      <c r="U895" s="183" t="s">
        <v>22</v>
      </c>
      <c r="V895" s="183"/>
      <c r="W895" s="183"/>
      <c r="X895" s="183"/>
      <c r="Y895" s="184">
        <f t="shared" si="293"/>
        <v>0.01</v>
      </c>
      <c r="Z895" s="185">
        <f t="shared" si="294"/>
        <v>1600</v>
      </c>
      <c r="AA895" s="185" t="s">
        <v>99</v>
      </c>
      <c r="AB895" s="185"/>
      <c r="AC895" s="185"/>
      <c r="AD895" s="649">
        <v>0.09</v>
      </c>
      <c r="AE895" s="182"/>
      <c r="AF895" s="332"/>
      <c r="AG895" s="182"/>
      <c r="AH895" s="182"/>
      <c r="AI895" s="182"/>
      <c r="AJ895" s="640"/>
      <c r="AK895" s="182"/>
      <c r="AL895" s="496"/>
      <c r="AM895" s="496"/>
      <c r="AN895" s="626"/>
      <c r="AO895" s="182"/>
      <c r="AP895" s="182" t="s">
        <v>1455</v>
      </c>
      <c r="AQ895" s="332" t="str">
        <f>UPPER(RIGHT(Journal_Live[[#This Row],[DURATION ]]))</f>
        <v>S</v>
      </c>
      <c r="AR895" s="182"/>
      <c r="AS895" s="189">
        <v>0.1</v>
      </c>
      <c r="AT895" s="189">
        <f t="shared" si="295"/>
        <v>1.0000000000000009E-2</v>
      </c>
      <c r="AU895" s="187">
        <f t="shared" si="296"/>
        <v>80.000000000000071</v>
      </c>
      <c r="AV895" s="190">
        <f t="shared" si="297"/>
        <v>16.000000000000014</v>
      </c>
      <c r="AW895" s="191" t="s">
        <v>96</v>
      </c>
      <c r="AX895" s="407" t="s">
        <v>3434</v>
      </c>
      <c r="AY895" s="407"/>
      <c r="AZ895" s="407"/>
      <c r="BA895" s="407"/>
      <c r="BB895" s="407"/>
      <c r="BC895" s="407"/>
      <c r="BD895" s="407"/>
      <c r="BE895" s="407"/>
      <c r="BF895" s="422"/>
      <c r="BG895" s="391">
        <f>SUM($AV$4:AV895)</f>
        <v>4197.8495263348714</v>
      </c>
      <c r="BH895" s="392">
        <f>SUM($AU$134:AU895)</f>
        <v>16377.242000000222</v>
      </c>
      <c r="BI895" s="318">
        <f>SUMIFS($AU$134:AU896,$Q$134:Q896,"F")</f>
        <v>5678.5333333333328</v>
      </c>
      <c r="BJ895" s="318">
        <f>SUMIFS($AU$134:AU896,$Q$134:Q896,"S")</f>
        <v>11844.441999999999</v>
      </c>
      <c r="BK895" s="343">
        <f>SUMIFS($AU$134:AU896,$P$134:P896,"W")</f>
        <v>10635.74199999994</v>
      </c>
      <c r="BL895" s="343">
        <f>SUMIFS($AU$134:AU896,$P$134:P896,"R")</f>
        <v>6628.673333333335</v>
      </c>
      <c r="BM895" s="343">
        <f>SUMIFS($AU$134:AU896,$AQ$134:AQ896,"M")</f>
        <v>2381.3999999999878</v>
      </c>
      <c r="BN895" s="343">
        <f>SUMIFS($AU$134:AU896,$AQ$134:AQ896,"H")</f>
        <v>4478.1420000000153</v>
      </c>
      <c r="BO895" s="343">
        <f>SUMIFS($AU$134:AU896,$AQ$134:AQ896,"D")</f>
        <v>5768.3466666667146</v>
      </c>
      <c r="BP895" s="343">
        <f>SUMIFS($AU$134:AU898,$AQ$134:AQ898,"W")</f>
        <v>2514.7233333332406</v>
      </c>
      <c r="BQ895" s="343">
        <f>SUMIFS($AU$134:AU896,$Q$134:Q896,"O")</f>
        <v>-816.93333333311739</v>
      </c>
      <c r="BR895" s="343">
        <f>SUMIFS($AU$134:AU896,$AA$134:AA896,"*")</f>
        <v>16005.475333333328</v>
      </c>
      <c r="BS895" s="343">
        <f>SUMIFS($AU$134:AU896,$AB$134:AB896,"*")</f>
        <v>4722.2666666668902</v>
      </c>
      <c r="BT895" s="343">
        <f>SUMIFS($AU$134:AU896,$AC$134:AC896,"*")</f>
        <v>9343.6833333333325</v>
      </c>
      <c r="BU895" s="343">
        <f>SUMIFS($AU$134:AU896,$AA$134:AA896,"*",$AB$134:AB896,"*")</f>
        <v>3250.0000000000045</v>
      </c>
      <c r="BV895" s="343">
        <f>SUMIFS($AU$134:AU896,$AA$134:AA896,"*",$AC$134:AC896,"*")</f>
        <v>8804.7833333333328</v>
      </c>
      <c r="BW895" s="343">
        <f>SUMIFS($AU$134:AU896,$AB$134:AB896,"*",$AC$134:AC896,"*")</f>
        <v>5374.6</v>
      </c>
      <c r="BX895" s="343">
        <f>SUMIFS($AU896:AU$1388,$Q896:Q$1388,"F")</f>
        <v>8762.133333333335</v>
      </c>
      <c r="BY895" s="343">
        <f>SUMIFS($AU896:AU$1388,$Q896:Q$1388,"S")</f>
        <v>9051.1999999999989</v>
      </c>
      <c r="BZ895" s="343">
        <f>SUMIFS($AU896:AU$1388,$Q896:Q$1388,"O")</f>
        <v>-831.92466666668088</v>
      </c>
    </row>
    <row r="896" spans="1:78" ht="15.75" customHeight="1">
      <c r="A896" s="221" t="s">
        <v>3401</v>
      </c>
      <c r="B896" s="177">
        <v>45141</v>
      </c>
      <c r="C896" s="178" t="s">
        <v>3464</v>
      </c>
      <c r="D896" s="178" t="s">
        <v>93</v>
      </c>
      <c r="E896" s="227"/>
      <c r="F896" s="180"/>
      <c r="G896" s="281" t="s">
        <v>2016</v>
      </c>
      <c r="H896" s="182"/>
      <c r="I896" s="182"/>
      <c r="J896" s="182"/>
      <c r="K896" s="183"/>
      <c r="L896" s="182">
        <v>1</v>
      </c>
      <c r="M896" s="182"/>
      <c r="N896" s="182"/>
      <c r="O896" s="183" t="s">
        <v>95</v>
      </c>
      <c r="P896" s="183" t="s">
        <v>137</v>
      </c>
      <c r="Q896" s="183" t="s">
        <v>97</v>
      </c>
      <c r="R896" s="183">
        <v>14</v>
      </c>
      <c r="S896" s="183">
        <v>11</v>
      </c>
      <c r="T896" s="183">
        <v>14</v>
      </c>
      <c r="U896" s="183" t="s">
        <v>22</v>
      </c>
      <c r="V896" s="183"/>
      <c r="W896" s="183"/>
      <c r="X896" s="183"/>
      <c r="Y896" s="184">
        <f t="shared" si="293"/>
        <v>0.01</v>
      </c>
      <c r="Z896" s="185">
        <f t="shared" si="294"/>
        <v>1600</v>
      </c>
      <c r="AA896" s="185" t="s">
        <v>99</v>
      </c>
      <c r="AB896" s="185"/>
      <c r="AC896" s="185" t="s">
        <v>3465</v>
      </c>
      <c r="AD896" s="649">
        <v>-0.15</v>
      </c>
      <c r="AE896" s="182"/>
      <c r="AF896" s="332"/>
      <c r="AG896" s="182"/>
      <c r="AH896" s="182"/>
      <c r="AI896" s="182"/>
      <c r="AJ896" s="640"/>
      <c r="AK896" s="182"/>
      <c r="AL896" s="496"/>
      <c r="AM896" s="496"/>
      <c r="AN896" s="626"/>
      <c r="AO896" s="182"/>
      <c r="AP896" s="182"/>
      <c r="AQ896" s="332" t="str">
        <f>UPPER(RIGHT(Journal_Live[[#This Row],[DURATION ]]))</f>
        <v/>
      </c>
      <c r="AR896" s="182" t="s">
        <v>2253</v>
      </c>
      <c r="AS896" s="189">
        <v>-0.14000000000000001</v>
      </c>
      <c r="AT896" s="189">
        <f t="shared" si="295"/>
        <v>9.9999999999999811E-3</v>
      </c>
      <c r="AU896" s="187">
        <f t="shared" si="296"/>
        <v>223.99999999999957</v>
      </c>
      <c r="AV896" s="190">
        <f t="shared" si="297"/>
        <v>15.99999999999997</v>
      </c>
      <c r="AW896" s="191" t="s">
        <v>96</v>
      </c>
      <c r="AX896" s="407"/>
      <c r="AY896" s="407"/>
      <c r="AZ896" s="407"/>
      <c r="BA896" s="407"/>
      <c r="BB896" s="407"/>
      <c r="BC896" s="407"/>
      <c r="BD896" s="407"/>
      <c r="BE896" s="407"/>
      <c r="BF896" s="422"/>
      <c r="BG896" s="391">
        <f>SUM($AV$4:AV896)</f>
        <v>4213.8495263348714</v>
      </c>
      <c r="BH896" s="392">
        <f>SUM($AU$134:AU896)</f>
        <v>16601.24200000022</v>
      </c>
      <c r="BI896" s="318">
        <f>SUMIFS($AU$134:AU897,$Q$134:Q897,"F")</f>
        <v>5678.5333333333328</v>
      </c>
      <c r="BJ896" s="318">
        <f>SUMIFS($AU$134:AU897,$Q$134:Q897,"S")</f>
        <v>11844.441999999999</v>
      </c>
      <c r="BK896" s="343">
        <f>SUMIFS($AU$134:AU897,$P$134:P897,"W")</f>
        <v>10635.74199999994</v>
      </c>
      <c r="BL896" s="343">
        <f>SUMIFS($AU$134:AU897,$P$134:P897,"R")</f>
        <v>6628.673333333335</v>
      </c>
      <c r="BM896" s="343">
        <f>SUMIFS($AU$134:AU897,$AQ$134:AQ897,"M")</f>
        <v>2381.3999999999878</v>
      </c>
      <c r="BN896" s="343">
        <f>SUMIFS($AU$134:AU897,$AQ$134:AQ897,"H")</f>
        <v>4478.1420000000153</v>
      </c>
      <c r="BO896" s="343">
        <f>SUMIFS($AU$134:AU897,$AQ$134:AQ897,"D")</f>
        <v>5768.3466666667146</v>
      </c>
      <c r="BP896" s="343">
        <f>SUMIFS($AU$134:AU899,$AQ$134:AQ899,"W")</f>
        <v>2514.7233333332406</v>
      </c>
      <c r="BQ896" s="343">
        <f>SUMIFS($AU$134:AU897,$Q$134:Q897,"O")</f>
        <v>-816.93333333311739</v>
      </c>
      <c r="BR896" s="343">
        <f>SUMIFS($AU$134:AU897,$AA$134:AA897,"*")</f>
        <v>16005.475333333328</v>
      </c>
      <c r="BS896" s="343">
        <f>SUMIFS($AU$134:AU897,$AB$134:AB897,"*")</f>
        <v>4722.2666666668902</v>
      </c>
      <c r="BT896" s="343">
        <f>SUMIFS($AU$134:AU897,$AC$134:AC897,"*")</f>
        <v>9343.6833333333325</v>
      </c>
      <c r="BU896" s="343">
        <f>SUMIFS($AU$134:AU897,$AA$134:AA897,"*",$AB$134:AB897,"*")</f>
        <v>3250.0000000000045</v>
      </c>
      <c r="BV896" s="343">
        <f>SUMIFS($AU$134:AU897,$AA$134:AA897,"*",$AC$134:AC897,"*")</f>
        <v>8804.7833333333328</v>
      </c>
      <c r="BW896" s="343">
        <f>SUMIFS($AU$134:AU897,$AB$134:AB897,"*",$AC$134:AC897,"*")</f>
        <v>5374.6</v>
      </c>
      <c r="BX896" s="343">
        <f>SUMIFS($AU897:AU$1388,$Q897:Q$1388,"F")</f>
        <v>8762.133333333335</v>
      </c>
      <c r="BY896" s="343">
        <f>SUMIFS($AU897:AU$1388,$Q897:Q$1388,"S")</f>
        <v>8827.2000000000007</v>
      </c>
      <c r="BZ896" s="343">
        <f>SUMIFS($AU897:AU$1388,$Q897:Q$1388,"O")</f>
        <v>-831.92466666668088</v>
      </c>
    </row>
    <row r="897" spans="1:78" ht="15.75" customHeight="1">
      <c r="A897" s="221" t="s">
        <v>3401</v>
      </c>
      <c r="B897" s="177">
        <v>45141</v>
      </c>
      <c r="C897" s="178" t="s">
        <v>2020</v>
      </c>
      <c r="D897" s="178" t="s">
        <v>93</v>
      </c>
      <c r="E897" s="227" t="s">
        <v>3466</v>
      </c>
      <c r="F897" s="180"/>
      <c r="G897" s="181"/>
      <c r="H897" s="182">
        <v>1</v>
      </c>
      <c r="I897" s="182"/>
      <c r="J897" s="182"/>
      <c r="K897" s="183" t="s">
        <v>372</v>
      </c>
      <c r="L897" s="182"/>
      <c r="M897" s="182"/>
      <c r="N897" s="182"/>
      <c r="O897" s="183"/>
      <c r="P897" s="183"/>
      <c r="Q897" s="183"/>
      <c r="R897" s="183"/>
      <c r="S897" s="183"/>
      <c r="T897" s="183"/>
      <c r="U897" s="183"/>
      <c r="V897" s="183"/>
      <c r="W897" s="183"/>
      <c r="X897" s="183"/>
      <c r="Y897" s="184" t="str">
        <f t="shared" si="293"/>
        <v/>
      </c>
      <c r="Z897" s="185" t="str">
        <f t="shared" si="294"/>
        <v/>
      </c>
      <c r="AA897" s="185"/>
      <c r="AB897" s="185"/>
      <c r="AC897" s="185"/>
      <c r="AD897" s="649"/>
      <c r="AE897" s="182"/>
      <c r="AF897" s="332"/>
      <c r="AG897" s="182"/>
      <c r="AH897" s="182"/>
      <c r="AI897" s="182"/>
      <c r="AJ897" s="640"/>
      <c r="AK897" s="182"/>
      <c r="AL897" s="496"/>
      <c r="AM897" s="496"/>
      <c r="AN897" s="626"/>
      <c r="AO897" s="182"/>
      <c r="AP897" s="182"/>
      <c r="AQ897" s="332" t="str">
        <f>UPPER(RIGHT(Journal_Live[[#This Row],[DURATION ]]))</f>
        <v/>
      </c>
      <c r="AR897" s="182"/>
      <c r="AS897" s="189"/>
      <c r="AT897" s="189">
        <f t="shared" si="295"/>
        <v>0</v>
      </c>
      <c r="AU897" s="187">
        <f t="shared" si="296"/>
        <v>0</v>
      </c>
      <c r="AV897" s="190">
        <f t="shared" si="297"/>
        <v>0</v>
      </c>
      <c r="AW897" s="191"/>
      <c r="AX897" s="407"/>
      <c r="AY897" s="407"/>
      <c r="AZ897" s="407"/>
      <c r="BA897" s="407"/>
      <c r="BB897" s="407"/>
      <c r="BC897" s="407"/>
      <c r="BD897" s="407"/>
      <c r="BE897" s="407"/>
      <c r="BF897" s="422"/>
      <c r="BG897" s="391">
        <f>SUM($AV$4:AV897)</f>
        <v>4213.8495263348714</v>
      </c>
      <c r="BH897" s="392">
        <f>SUM($AU$134:AU897)</f>
        <v>16601.24200000022</v>
      </c>
      <c r="BI897" s="318">
        <f>SUMIFS($AU$134:AU898,$Q$134:Q898,"F")</f>
        <v>5678.5333333333328</v>
      </c>
      <c r="BJ897" s="318">
        <f>SUMIFS($AU$134:AU898,$Q$134:Q898,"S")</f>
        <v>11844.441999999999</v>
      </c>
      <c r="BK897" s="343">
        <f>SUMIFS($AU$134:AU898,$P$134:P898,"W")</f>
        <v>10635.74199999994</v>
      </c>
      <c r="BL897" s="343">
        <f>SUMIFS($AU$134:AU898,$P$134:P898,"R")</f>
        <v>6628.673333333335</v>
      </c>
      <c r="BM897" s="343">
        <f>SUMIFS($AU$134:AU898,$AQ$134:AQ898,"M")</f>
        <v>2381.3999999999878</v>
      </c>
      <c r="BN897" s="343">
        <f>SUMIFS($AU$134:AU898,$AQ$134:AQ898,"H")</f>
        <v>4478.1420000000153</v>
      </c>
      <c r="BO897" s="343">
        <f>SUMIFS($AU$134:AU898,$AQ$134:AQ898,"D")</f>
        <v>5768.3466666667146</v>
      </c>
      <c r="BP897" s="343">
        <f>SUMIFS($AU$134:AU900,$AQ$134:AQ900,"W")</f>
        <v>2514.7233333332406</v>
      </c>
      <c r="BQ897" s="343">
        <f>SUMIFS($AU$134:AU898,$Q$134:Q898,"O")</f>
        <v>-816.93333333311739</v>
      </c>
      <c r="BR897" s="343">
        <f>SUMIFS($AU$134:AU898,$AA$134:AA898,"*")</f>
        <v>16005.475333333328</v>
      </c>
      <c r="BS897" s="343">
        <f>SUMIFS($AU$134:AU898,$AB$134:AB898,"*")</f>
        <v>4722.2666666668902</v>
      </c>
      <c r="BT897" s="343">
        <f>SUMIFS($AU$134:AU898,$AC$134:AC898,"*")</f>
        <v>9343.6833333333325</v>
      </c>
      <c r="BU897" s="343">
        <f>SUMIFS($AU$134:AU898,$AA$134:AA898,"*",$AB$134:AB898,"*")</f>
        <v>3250.0000000000045</v>
      </c>
      <c r="BV897" s="343">
        <f>SUMIFS($AU$134:AU898,$AA$134:AA898,"*",$AC$134:AC898,"*")</f>
        <v>8804.7833333333328</v>
      </c>
      <c r="BW897" s="343">
        <f>SUMIFS($AU$134:AU898,$AB$134:AB898,"*",$AC$134:AC898,"*")</f>
        <v>5374.6</v>
      </c>
      <c r="BX897" s="343">
        <f>SUMIFS($AU898:AU$1388,$Q898:Q$1388,"F")</f>
        <v>8762.133333333335</v>
      </c>
      <c r="BY897" s="343">
        <f>SUMIFS($AU898:AU$1388,$Q898:Q$1388,"S")</f>
        <v>8827.2000000000007</v>
      </c>
      <c r="BZ897" s="343">
        <f>SUMIFS($AU898:AU$1388,$Q898:Q$1388,"O")</f>
        <v>-831.92466666668088</v>
      </c>
    </row>
    <row r="898" spans="1:78" ht="15.75" customHeight="1">
      <c r="A898" s="221" t="s">
        <v>3401</v>
      </c>
      <c r="B898" s="177">
        <v>45141</v>
      </c>
      <c r="C898" s="178" t="s">
        <v>941</v>
      </c>
      <c r="D898" s="178" t="s">
        <v>93</v>
      </c>
      <c r="E898" s="227"/>
      <c r="F898" s="180"/>
      <c r="G898" s="181" t="s">
        <v>3467</v>
      </c>
      <c r="H898" s="182"/>
      <c r="I898" s="182"/>
      <c r="J898" s="182"/>
      <c r="K898" s="183"/>
      <c r="L898" s="182">
        <v>1</v>
      </c>
      <c r="M898" s="182">
        <v>1</v>
      </c>
      <c r="N898" s="182"/>
      <c r="O898" s="183" t="s">
        <v>95</v>
      </c>
      <c r="P898" s="183" t="s">
        <v>96</v>
      </c>
      <c r="Q898" s="183" t="s">
        <v>256</v>
      </c>
      <c r="R898" s="183">
        <v>3</v>
      </c>
      <c r="S898" s="183">
        <v>0</v>
      </c>
      <c r="T898" s="183">
        <v>3</v>
      </c>
      <c r="U898" s="183" t="s">
        <v>97</v>
      </c>
      <c r="V898" s="183"/>
      <c r="W898" s="183"/>
      <c r="X898" s="183"/>
      <c r="Y898" s="184">
        <f t="shared" si="293"/>
        <v>0.01</v>
      </c>
      <c r="Z898" s="185">
        <f t="shared" si="294"/>
        <v>1600</v>
      </c>
      <c r="AA898" s="185"/>
      <c r="AB898" s="185" t="s">
        <v>3468</v>
      </c>
      <c r="AC898" s="185" t="s">
        <v>3469</v>
      </c>
      <c r="AD898" s="649">
        <v>7.0000000000000007E-2</v>
      </c>
      <c r="AE898" s="182"/>
      <c r="AF898" s="332"/>
      <c r="AG898" s="182"/>
      <c r="AH898" s="182"/>
      <c r="AI898" s="182"/>
      <c r="AJ898" s="640"/>
      <c r="AK898" s="182"/>
      <c r="AL898" s="496"/>
      <c r="AM898" s="496"/>
      <c r="AN898" s="626"/>
      <c r="AO898" s="182"/>
      <c r="AP898" s="182"/>
      <c r="AQ898" s="332" t="str">
        <f>UPPER(RIGHT(Journal_Live[[#This Row],[DURATION ]]))</f>
        <v/>
      </c>
      <c r="AR898" s="182"/>
      <c r="AS898" s="189"/>
      <c r="AT898" s="189">
        <f t="shared" si="295"/>
        <v>0</v>
      </c>
      <c r="AU898" s="187">
        <f t="shared" si="296"/>
        <v>0</v>
      </c>
      <c r="AV898" s="190">
        <f t="shared" si="297"/>
        <v>0</v>
      </c>
      <c r="AW898" s="191"/>
      <c r="AX898" s="407" t="s">
        <v>3470</v>
      </c>
      <c r="AY898" s="407"/>
      <c r="AZ898" s="407"/>
      <c r="BA898" s="407"/>
      <c r="BB898" s="407"/>
      <c r="BC898" s="407"/>
      <c r="BD898" s="407"/>
      <c r="BE898" s="407"/>
      <c r="BF898" s="422"/>
      <c r="BG898" s="391">
        <f>SUM($AV$4:AV898)</f>
        <v>4213.8495263348714</v>
      </c>
      <c r="BH898" s="392">
        <f>SUM($AU$134:AU898)</f>
        <v>16601.24200000022</v>
      </c>
      <c r="BI898" s="318">
        <f>SUMIFS($AU$134:AU899,$Q$134:Q899,"F")</f>
        <v>5966.5333333333328</v>
      </c>
      <c r="BJ898" s="318">
        <f>SUMIFS($AU$134:AU899,$Q$134:Q899,"S")</f>
        <v>11844.441999999999</v>
      </c>
      <c r="BK898" s="343">
        <f>SUMIFS($AU$134:AU899,$P$134:P899,"W")</f>
        <v>10635.74199999994</v>
      </c>
      <c r="BL898" s="343">
        <f>SUMIFS($AU$134:AU899,$P$134:P899,"R")</f>
        <v>6916.673333333335</v>
      </c>
      <c r="BM898" s="343">
        <f>SUMIFS($AU$134:AU899,$AQ$134:AQ899,"M")</f>
        <v>2381.3999999999878</v>
      </c>
      <c r="BN898" s="343">
        <f>SUMIFS($AU$134:AU899,$AQ$134:AQ899,"H")</f>
        <v>4478.1420000000153</v>
      </c>
      <c r="BO898" s="343">
        <f>SUMIFS($AU$134:AU899,$AQ$134:AQ899,"D")</f>
        <v>5768.3466666667146</v>
      </c>
      <c r="BP898" s="343">
        <f>SUMIFS($AU$134:AU901,$AQ$134:AQ901,"W")</f>
        <v>2514.7233333332406</v>
      </c>
      <c r="BQ898" s="343">
        <f>SUMIFS($AU$134:AU899,$Q$134:Q899,"O")</f>
        <v>-816.93333333311739</v>
      </c>
      <c r="BR898" s="343">
        <f>SUMIFS($AU$134:AU899,$AA$134:AA899,"*")</f>
        <v>16293.475333333328</v>
      </c>
      <c r="BS898" s="343">
        <f>SUMIFS($AU$134:AU899,$AB$134:AB899,"*")</f>
        <v>5010.2666666668902</v>
      </c>
      <c r="BT898" s="343">
        <f>SUMIFS($AU$134:AU899,$AC$134:AC899,"*")</f>
        <v>9631.6833333333325</v>
      </c>
      <c r="BU898" s="343">
        <f>SUMIFS($AU$134:AU899,$AA$134:AA899,"*",$AB$134:AB899,"*")</f>
        <v>3538.0000000000045</v>
      </c>
      <c r="BV898" s="343">
        <f>SUMIFS($AU$134:AU899,$AA$134:AA899,"*",$AC$134:AC899,"*")</f>
        <v>9092.7833333333328</v>
      </c>
      <c r="BW898" s="343">
        <f>SUMIFS($AU$134:AU899,$AB$134:AB899,"*",$AC$134:AC899,"*")</f>
        <v>5662.6</v>
      </c>
      <c r="BX898" s="343">
        <f>SUMIFS($AU899:AU$1388,$Q899:Q$1388,"F")</f>
        <v>8762.133333333335</v>
      </c>
      <c r="BY898" s="343">
        <f>SUMIFS($AU899:AU$1388,$Q899:Q$1388,"S")</f>
        <v>8827.2000000000007</v>
      </c>
      <c r="BZ898" s="343">
        <f>SUMIFS($AU899:AU$1388,$Q899:Q$1388,"O")</f>
        <v>-831.92466666668088</v>
      </c>
    </row>
    <row r="899" spans="1:78" ht="15.75" customHeight="1">
      <c r="A899" s="221" t="s">
        <v>3401</v>
      </c>
      <c r="B899" s="177">
        <v>45141</v>
      </c>
      <c r="C899" s="178" t="s">
        <v>941</v>
      </c>
      <c r="D899" s="178" t="s">
        <v>93</v>
      </c>
      <c r="E899" s="227"/>
      <c r="F899" s="180"/>
      <c r="G899" s="281" t="s">
        <v>3471</v>
      </c>
      <c r="H899" s="182"/>
      <c r="I899" s="182"/>
      <c r="J899" s="182"/>
      <c r="K899" s="183"/>
      <c r="L899" s="182">
        <v>1</v>
      </c>
      <c r="M899" s="182">
        <v>1</v>
      </c>
      <c r="N899" s="182"/>
      <c r="O899" s="183" t="s">
        <v>95</v>
      </c>
      <c r="P899" s="183" t="s">
        <v>137</v>
      </c>
      <c r="Q899" s="183" t="s">
        <v>256</v>
      </c>
      <c r="R899" s="183">
        <v>18</v>
      </c>
      <c r="S899" s="183">
        <v>0</v>
      </c>
      <c r="T899" s="183">
        <v>11</v>
      </c>
      <c r="U899" s="183" t="s">
        <v>22</v>
      </c>
      <c r="V899" s="183"/>
      <c r="W899" s="183"/>
      <c r="X899" s="183"/>
      <c r="Y899" s="184">
        <f t="shared" si="293"/>
        <v>0.01</v>
      </c>
      <c r="Z899" s="185">
        <f t="shared" si="294"/>
        <v>1600</v>
      </c>
      <c r="AA899" s="185" t="s">
        <v>3472</v>
      </c>
      <c r="AB899" s="185" t="s">
        <v>3473</v>
      </c>
      <c r="AC899" s="185" t="s">
        <v>3474</v>
      </c>
      <c r="AD899" s="649">
        <v>-7.0000000000000007E-2</v>
      </c>
      <c r="AE899" s="182"/>
      <c r="AF899" s="332"/>
      <c r="AG899" s="182"/>
      <c r="AH899" s="182"/>
      <c r="AI899" s="182"/>
      <c r="AJ899" s="640"/>
      <c r="AK899" s="182"/>
      <c r="AL899" s="496"/>
      <c r="AM899" s="496"/>
      <c r="AN899" s="626"/>
      <c r="AO899" s="182"/>
      <c r="AP899" s="182"/>
      <c r="AQ899" s="332" t="str">
        <f>UPPER(RIGHT(Journal_Live[[#This Row],[DURATION ]]))</f>
        <v/>
      </c>
      <c r="AR899" s="182" t="s">
        <v>2253</v>
      </c>
      <c r="AS899" s="189">
        <v>-0.06</v>
      </c>
      <c r="AT899" s="189">
        <f t="shared" si="295"/>
        <v>1.0000000000000009E-2</v>
      </c>
      <c r="AU899" s="187">
        <f t="shared" si="296"/>
        <v>288.00000000000023</v>
      </c>
      <c r="AV899" s="190">
        <f t="shared" si="297"/>
        <v>16.000000000000014</v>
      </c>
      <c r="AW899" s="191" t="s">
        <v>96</v>
      </c>
      <c r="AX899" s="407" t="s">
        <v>3475</v>
      </c>
      <c r="AY899" s="407"/>
      <c r="AZ899" s="407"/>
      <c r="BA899" s="407"/>
      <c r="BB899" s="407"/>
      <c r="BC899" s="407"/>
      <c r="BD899" s="407"/>
      <c r="BE899" s="407"/>
      <c r="BF899" s="422"/>
      <c r="BG899" s="391">
        <f>SUM($AV$4:AV899)</f>
        <v>4229.8495263348714</v>
      </c>
      <c r="BH899" s="392">
        <f>SUM($AU$134:AU899)</f>
        <v>16889.24200000022</v>
      </c>
      <c r="BI899" s="318">
        <f>SUMIFS($AU$134:AU900,$Q$134:Q900,"F")</f>
        <v>5966.5333333333328</v>
      </c>
      <c r="BJ899" s="318">
        <f>SUMIFS($AU$134:AU900,$Q$134:Q900,"S")</f>
        <v>11844.441999999999</v>
      </c>
      <c r="BK899" s="343">
        <f>SUMIFS($AU$134:AU900,$P$134:P900,"W")</f>
        <v>10635.74199999994</v>
      </c>
      <c r="BL899" s="343">
        <f>SUMIFS($AU$134:AU900,$P$134:P900,"R")</f>
        <v>6916.673333333335</v>
      </c>
      <c r="BM899" s="343">
        <f>SUMIFS($AU$134:AU900,$AQ$134:AQ900,"M")</f>
        <v>2381.3999999999878</v>
      </c>
      <c r="BN899" s="343">
        <f>SUMIFS($AU$134:AU900,$AQ$134:AQ900,"H")</f>
        <v>4478.1420000000153</v>
      </c>
      <c r="BO899" s="343">
        <f>SUMIFS($AU$134:AU900,$AQ$134:AQ900,"D")</f>
        <v>5768.3466666667146</v>
      </c>
      <c r="BP899" s="343">
        <f>SUMIFS($AU$134:AU902,$AQ$134:AQ902,"W")</f>
        <v>2514.7233333332406</v>
      </c>
      <c r="BQ899" s="343">
        <f>SUMIFS($AU$134:AU900,$Q$134:Q900,"O")</f>
        <v>-816.93333333311739</v>
      </c>
      <c r="BR899" s="343">
        <f>SUMIFS($AU$134:AU900,$AA$134:AA900,"*")</f>
        <v>16293.475333333328</v>
      </c>
      <c r="BS899" s="343">
        <f>SUMIFS($AU$134:AU900,$AB$134:AB900,"*")</f>
        <v>5010.2666666668902</v>
      </c>
      <c r="BT899" s="343">
        <f>SUMIFS($AU$134:AU900,$AC$134:AC900,"*")</f>
        <v>9631.6833333333325</v>
      </c>
      <c r="BU899" s="343">
        <f>SUMIFS($AU$134:AU900,$AA$134:AA900,"*",$AB$134:AB900,"*")</f>
        <v>3538.0000000000045</v>
      </c>
      <c r="BV899" s="343">
        <f>SUMIFS($AU$134:AU900,$AA$134:AA900,"*",$AC$134:AC900,"*")</f>
        <v>9092.7833333333328</v>
      </c>
      <c r="BW899" s="343">
        <f>SUMIFS($AU$134:AU900,$AB$134:AB900,"*",$AC$134:AC900,"*")</f>
        <v>5662.6</v>
      </c>
      <c r="BX899" s="343">
        <f>SUMIFS($AU900:AU$1388,$Q900:Q$1388,"F")</f>
        <v>8474.133333333335</v>
      </c>
      <c r="BY899" s="343">
        <f>SUMIFS($AU900:AU$1388,$Q900:Q$1388,"S")</f>
        <v>8827.2000000000007</v>
      </c>
      <c r="BZ899" s="343">
        <f>SUMIFS($AU900:AU$1388,$Q900:Q$1388,"O")</f>
        <v>-831.92466666668088</v>
      </c>
    </row>
    <row r="900" spans="1:78" ht="15.75" customHeight="1">
      <c r="A900" s="221" t="s">
        <v>3401</v>
      </c>
      <c r="B900" s="177">
        <v>45141</v>
      </c>
      <c r="C900" s="178" t="s">
        <v>3476</v>
      </c>
      <c r="D900" s="178" t="s">
        <v>93</v>
      </c>
      <c r="E900" s="227" t="s">
        <v>3477</v>
      </c>
      <c r="F900" s="180"/>
      <c r="G900" s="181"/>
      <c r="H900" s="182"/>
      <c r="I900" s="182">
        <v>1</v>
      </c>
      <c r="J900" s="182"/>
      <c r="K900" s="183"/>
      <c r="L900" s="182"/>
      <c r="M900" s="182"/>
      <c r="N900" s="182"/>
      <c r="O900" s="183"/>
      <c r="P900" s="183"/>
      <c r="Q900" s="183"/>
      <c r="R900" s="183"/>
      <c r="S900" s="183"/>
      <c r="T900" s="183"/>
      <c r="U900" s="183"/>
      <c r="V900" s="183"/>
      <c r="W900" s="183"/>
      <c r="X900" s="183"/>
      <c r="Y900" s="183"/>
      <c r="Z900" s="185" t="str">
        <f t="shared" si="294"/>
        <v/>
      </c>
      <c r="AA900" s="185"/>
      <c r="AB900" s="185"/>
      <c r="AC900" s="185"/>
      <c r="AD900" s="649"/>
      <c r="AE900" s="182"/>
      <c r="AF900" s="332"/>
      <c r="AG900" s="182"/>
      <c r="AH900" s="182"/>
      <c r="AI900" s="182"/>
      <c r="AJ900" s="640"/>
      <c r="AK900" s="182"/>
      <c r="AL900" s="496"/>
      <c r="AM900" s="496"/>
      <c r="AN900" s="626"/>
      <c r="AO900" s="182"/>
      <c r="AP900" s="182"/>
      <c r="AQ900" s="332" t="str">
        <f>UPPER(RIGHT(Journal_Live[[#This Row],[DURATION ]]))</f>
        <v/>
      </c>
      <c r="AR900" s="182"/>
      <c r="AS900" s="189"/>
      <c r="AT900" s="189"/>
      <c r="AU900" s="187"/>
      <c r="AV900" s="190"/>
      <c r="AW900" s="191"/>
      <c r="AX900" s="407"/>
      <c r="AY900" s="407"/>
      <c r="AZ900" s="407"/>
      <c r="BA900" s="407"/>
      <c r="BB900" s="407"/>
      <c r="BC900" s="407"/>
      <c r="BD900" s="407"/>
      <c r="BE900" s="407"/>
      <c r="BF900" s="422"/>
      <c r="BG900" s="391">
        <f>SUM($AV$4:AV900)</f>
        <v>4229.8495263348714</v>
      </c>
      <c r="BH900" s="392">
        <f>SUM($AU$134:AU900)</f>
        <v>16889.24200000022</v>
      </c>
      <c r="BI900" s="318">
        <f>SUMIFS($AU$134:AU901,$Q$134:Q901,"F")</f>
        <v>5966.5333333333328</v>
      </c>
      <c r="BJ900" s="318">
        <f>SUMIFS($AU$134:AU901,$Q$134:Q901,"S")</f>
        <v>11844.441999999999</v>
      </c>
      <c r="BK900" s="343">
        <f>SUMIFS($AU$134:AU901,$P$134:P901,"W")</f>
        <v>10635.74199999994</v>
      </c>
      <c r="BL900" s="343">
        <f>SUMIFS($AU$134:AU901,$P$134:P901,"R")</f>
        <v>6916.673333333335</v>
      </c>
      <c r="BM900" s="343">
        <f>SUMIFS($AU$134:AU901,$AQ$134:AQ901,"M")</f>
        <v>2381.3999999999878</v>
      </c>
      <c r="BN900" s="343">
        <f>SUMIFS($AU$134:AU901,$AQ$134:AQ901,"H")</f>
        <v>4478.1420000000153</v>
      </c>
      <c r="BO900" s="343">
        <f>SUMIFS($AU$134:AU901,$AQ$134:AQ901,"D")</f>
        <v>5768.3466666667146</v>
      </c>
      <c r="BP900" s="343">
        <f>SUMIFS($AU$134:AU903,$AQ$134:AQ903,"W")</f>
        <v>2514.7233333332406</v>
      </c>
      <c r="BQ900" s="343">
        <f>SUMIFS($AU$134:AU901,$Q$134:Q901,"O")</f>
        <v>-816.93333333311739</v>
      </c>
      <c r="BR900" s="343">
        <f>SUMIFS($AU$134:AU901,$AA$134:AA901,"*")</f>
        <v>16293.475333333328</v>
      </c>
      <c r="BS900" s="343">
        <f>SUMIFS($AU$134:AU901,$AB$134:AB901,"*")</f>
        <v>5010.2666666668902</v>
      </c>
      <c r="BT900" s="343">
        <f>SUMIFS($AU$134:AU901,$AC$134:AC901,"*")</f>
        <v>9631.6833333333325</v>
      </c>
      <c r="BU900" s="343">
        <f>SUMIFS($AU$134:AU901,$AA$134:AA901,"*",$AB$134:AB901,"*")</f>
        <v>3538.0000000000045</v>
      </c>
      <c r="BV900" s="343">
        <f>SUMIFS($AU$134:AU901,$AA$134:AA901,"*",$AC$134:AC901,"*")</f>
        <v>9092.7833333333328</v>
      </c>
      <c r="BW900" s="343">
        <f>SUMIFS($AU$134:AU901,$AB$134:AB901,"*",$AC$134:AC901,"*")</f>
        <v>5662.6</v>
      </c>
      <c r="BX900" s="343">
        <f>SUMIFS($AU901:AU$1388,$Q901:Q$1388,"F")</f>
        <v>8474.133333333335</v>
      </c>
      <c r="BY900" s="343">
        <f>SUMIFS($AU901:AU$1388,$Q901:Q$1388,"S")</f>
        <v>8827.2000000000007</v>
      </c>
      <c r="BZ900" s="343">
        <f>SUMIFS($AU901:AU$1388,$Q901:Q$1388,"O")</f>
        <v>-831.92466666668088</v>
      </c>
    </row>
    <row r="901" spans="1:78" ht="15.75" customHeight="1">
      <c r="A901" s="221" t="s">
        <v>3401</v>
      </c>
      <c r="B901" s="177">
        <v>45141</v>
      </c>
      <c r="C901" s="178" t="s">
        <v>1728</v>
      </c>
      <c r="D901" s="178" t="s">
        <v>93</v>
      </c>
      <c r="E901" s="227" t="s">
        <v>3478</v>
      </c>
      <c r="F901" s="180"/>
      <c r="G901" s="181"/>
      <c r="H901" s="182"/>
      <c r="I901" s="182">
        <v>1</v>
      </c>
      <c r="J901" s="182"/>
      <c r="K901" s="183"/>
      <c r="L901" s="182"/>
      <c r="M901" s="182"/>
      <c r="N901" s="182"/>
      <c r="O901" s="183"/>
      <c r="P901" s="183"/>
      <c r="Q901" s="183"/>
      <c r="R901" s="183"/>
      <c r="S901" s="183"/>
      <c r="T901" s="183"/>
      <c r="U901" s="183"/>
      <c r="V901" s="183"/>
      <c r="W901" s="183"/>
      <c r="X901" s="183"/>
      <c r="Y901" s="183"/>
      <c r="Z901" s="185" t="str">
        <f t="shared" si="294"/>
        <v/>
      </c>
      <c r="AA901" s="185"/>
      <c r="AB901" s="185"/>
      <c r="AC901" s="185"/>
      <c r="AD901" s="649"/>
      <c r="AE901" s="182"/>
      <c r="AF901" s="332"/>
      <c r="AG901" s="182"/>
      <c r="AH901" s="182"/>
      <c r="AI901" s="182"/>
      <c r="AJ901" s="640"/>
      <c r="AK901" s="182"/>
      <c r="AL901" s="496"/>
      <c r="AM901" s="496"/>
      <c r="AN901" s="626"/>
      <c r="AO901" s="182"/>
      <c r="AP901" s="182"/>
      <c r="AQ901" s="332" t="str">
        <f>UPPER(RIGHT(Journal_Live[[#This Row],[DURATION ]]))</f>
        <v/>
      </c>
      <c r="AR901" s="182"/>
      <c r="AS901" s="189"/>
      <c r="AT901" s="189"/>
      <c r="AU901" s="187"/>
      <c r="AV901" s="190"/>
      <c r="AW901" s="191"/>
      <c r="AX901" s="407"/>
      <c r="AY901" s="407"/>
      <c r="AZ901" s="407"/>
      <c r="BA901" s="407"/>
      <c r="BB901" s="407"/>
      <c r="BC901" s="407"/>
      <c r="BD901" s="407"/>
      <c r="BE901" s="407"/>
      <c r="BF901" s="422"/>
      <c r="BG901" s="391">
        <f>SUM($AV$4:AV901)</f>
        <v>4229.8495263348714</v>
      </c>
      <c r="BH901" s="392">
        <f>SUM($AU$134:AU901)</f>
        <v>16889.24200000022</v>
      </c>
      <c r="BI901" s="318">
        <f>SUMIFS($AU$134:AU902,$Q$134:Q902,"F")</f>
        <v>5966.5333333333328</v>
      </c>
      <c r="BJ901" s="318">
        <f>SUMIFS($AU$134:AU902,$Q$134:Q902,"S")</f>
        <v>11844.441999999999</v>
      </c>
      <c r="BK901" s="343">
        <f>SUMIFS($AU$134:AU902,$P$134:P902,"W")</f>
        <v>10635.74199999994</v>
      </c>
      <c r="BL901" s="343">
        <f>SUMIFS($AU$134:AU902,$P$134:P902,"R")</f>
        <v>6916.673333333335</v>
      </c>
      <c r="BM901" s="343">
        <f>SUMIFS($AU$134:AU902,$AQ$134:AQ902,"M")</f>
        <v>2381.3999999999878</v>
      </c>
      <c r="BN901" s="343">
        <f>SUMIFS($AU$134:AU902,$AQ$134:AQ902,"H")</f>
        <v>4478.1420000000153</v>
      </c>
      <c r="BO901" s="343">
        <f>SUMIFS($AU$134:AU902,$AQ$134:AQ902,"D")</f>
        <v>5768.3466666667146</v>
      </c>
      <c r="BP901" s="343">
        <f>SUMIFS($AU$134:AU904,$AQ$134:AQ904,"W")</f>
        <v>2514.7233333332406</v>
      </c>
      <c r="BQ901" s="343">
        <f>SUMIFS($AU$134:AU902,$Q$134:Q902,"O")</f>
        <v>-816.93333333311739</v>
      </c>
      <c r="BR901" s="343">
        <f>SUMIFS($AU$134:AU902,$AA$134:AA902,"*")</f>
        <v>16293.475333333328</v>
      </c>
      <c r="BS901" s="343">
        <f>SUMIFS($AU$134:AU902,$AB$134:AB902,"*")</f>
        <v>5010.2666666668902</v>
      </c>
      <c r="BT901" s="343">
        <f>SUMIFS($AU$134:AU902,$AC$134:AC902,"*")</f>
        <v>9631.6833333333325</v>
      </c>
      <c r="BU901" s="343">
        <f>SUMIFS($AU$134:AU902,$AA$134:AA902,"*",$AB$134:AB902,"*")</f>
        <v>3538.0000000000045</v>
      </c>
      <c r="BV901" s="343">
        <f>SUMIFS($AU$134:AU902,$AA$134:AA902,"*",$AC$134:AC902,"*")</f>
        <v>9092.7833333333328</v>
      </c>
      <c r="BW901" s="343">
        <f>SUMIFS($AU$134:AU902,$AB$134:AB902,"*",$AC$134:AC902,"*")</f>
        <v>5662.6</v>
      </c>
      <c r="BX901" s="343">
        <f>SUMIFS($AU902:AU$1388,$Q902:Q$1388,"F")</f>
        <v>8474.133333333335</v>
      </c>
      <c r="BY901" s="343">
        <f>SUMIFS($AU902:AU$1388,$Q902:Q$1388,"S")</f>
        <v>8827.2000000000007</v>
      </c>
      <c r="BZ901" s="343">
        <f>SUMIFS($AU902:AU$1388,$Q902:Q$1388,"O")</f>
        <v>-831.92466666668088</v>
      </c>
    </row>
    <row r="902" spans="1:78" ht="15.75" customHeight="1">
      <c r="A902" s="221" t="s">
        <v>3401</v>
      </c>
      <c r="B902" s="177">
        <v>45142</v>
      </c>
      <c r="C902" s="178" t="s">
        <v>2661</v>
      </c>
      <c r="D902" s="178" t="s">
        <v>111</v>
      </c>
      <c r="E902" s="227"/>
      <c r="F902" s="180"/>
      <c r="G902" s="281" t="s">
        <v>2145</v>
      </c>
      <c r="H902" s="182"/>
      <c r="I902" s="182"/>
      <c r="J902" s="182"/>
      <c r="K902" s="183"/>
      <c r="L902" s="182">
        <v>1</v>
      </c>
      <c r="M902" s="182"/>
      <c r="N902" s="182"/>
      <c r="O902" s="183" t="s">
        <v>95</v>
      </c>
      <c r="P902" s="183" t="s">
        <v>96</v>
      </c>
      <c r="Q902" s="183" t="s">
        <v>97</v>
      </c>
      <c r="R902" s="183">
        <v>7</v>
      </c>
      <c r="S902" s="183">
        <v>0</v>
      </c>
      <c r="T902" s="183">
        <v>7</v>
      </c>
      <c r="U902" s="183" t="s">
        <v>97</v>
      </c>
      <c r="V902" s="183"/>
      <c r="W902" s="183"/>
      <c r="X902" s="183"/>
      <c r="Y902" s="184">
        <f>IF(ISBLANK(O902),"",(IF(O902=UPPER("IB"),0.005,0.01)))</f>
        <v>0.01</v>
      </c>
      <c r="Z902" s="185">
        <f t="shared" si="294"/>
        <v>1600</v>
      </c>
      <c r="AA902" s="185" t="s">
        <v>99</v>
      </c>
      <c r="AB902" s="185"/>
      <c r="AC902" s="185"/>
      <c r="AD902" s="649">
        <v>0.03</v>
      </c>
      <c r="AE902" s="182"/>
      <c r="AF902" s="332"/>
      <c r="AG902" s="182"/>
      <c r="AH902" s="182"/>
      <c r="AI902" s="182"/>
      <c r="AJ902" s="640"/>
      <c r="AK902" s="182"/>
      <c r="AL902" s="496"/>
      <c r="AM902" s="496"/>
      <c r="AN902" s="626"/>
      <c r="AO902" s="182"/>
      <c r="AP902" s="182" t="s">
        <v>3447</v>
      </c>
      <c r="AQ902" s="332" t="str">
        <f>UPPER(RIGHT(Journal_Live[[#This Row],[DURATION ]]))</f>
        <v>M</v>
      </c>
      <c r="AR902" s="182" t="s">
        <v>3479</v>
      </c>
      <c r="AS902" s="189">
        <v>0.03</v>
      </c>
      <c r="AT902" s="189">
        <f>IF(ISBLANK(AS902),,IF(U902="S",AD902-AS902,AS902-AD902))</f>
        <v>0</v>
      </c>
      <c r="AU902" s="187">
        <f>AV902*R902</f>
        <v>0</v>
      </c>
      <c r="AV902" s="190">
        <f>IF(ISBLANK(AS902),,(AT902*Z902))</f>
        <v>0</v>
      </c>
      <c r="AW902" s="191" t="s">
        <v>115</v>
      </c>
      <c r="AX902" s="407" t="s">
        <v>3480</v>
      </c>
      <c r="AY902" s="407"/>
      <c r="AZ902" s="407"/>
      <c r="BA902" s="407"/>
      <c r="BB902" s="407"/>
      <c r="BC902" s="407"/>
      <c r="BD902" s="407"/>
      <c r="BE902" s="407"/>
      <c r="BF902" s="422"/>
      <c r="BG902" s="391">
        <f>SUM($AV$4:AV902)</f>
        <v>4229.8495263348714</v>
      </c>
      <c r="BH902" s="392">
        <f>SUM($AU$134:AU902)</f>
        <v>16889.24200000022</v>
      </c>
      <c r="BI902" s="318">
        <f>SUMIFS($AU$134:AU903,$Q$134:Q903,"F")</f>
        <v>5966.5333333333328</v>
      </c>
      <c r="BJ902" s="318">
        <f>SUMIFS($AU$134:AU903,$Q$134:Q903,"S")</f>
        <v>11844.441999999999</v>
      </c>
      <c r="BK902" s="343">
        <f>SUMIFS($AU$134:AU903,$P$134:P903,"W")</f>
        <v>10635.74199999994</v>
      </c>
      <c r="BL902" s="343">
        <f>SUMIFS($AU$134:AU903,$P$134:P903,"R")</f>
        <v>6916.673333333335</v>
      </c>
      <c r="BM902" s="343">
        <f>SUMIFS($AU$134:AU903,$AQ$134:AQ903,"M")</f>
        <v>2381.3999999999878</v>
      </c>
      <c r="BN902" s="343">
        <f>SUMIFS($AU$134:AU903,$AQ$134:AQ903,"H")</f>
        <v>4478.1420000000153</v>
      </c>
      <c r="BO902" s="343">
        <f>SUMIFS($AU$134:AU903,$AQ$134:AQ903,"D")</f>
        <v>5768.3466666667146</v>
      </c>
      <c r="BP902" s="343">
        <f>SUMIFS($AU$134:AU905,$AQ$134:AQ905,"W")</f>
        <v>2514.7233333332406</v>
      </c>
      <c r="BQ902" s="343">
        <f>SUMIFS($AU$134:AU903,$Q$134:Q903,"O")</f>
        <v>-816.93333333311739</v>
      </c>
      <c r="BR902" s="343">
        <f>SUMIFS($AU$134:AU903,$AA$134:AA903,"*")</f>
        <v>16293.475333333328</v>
      </c>
      <c r="BS902" s="343">
        <f>SUMIFS($AU$134:AU903,$AB$134:AB903,"*")</f>
        <v>5010.2666666668902</v>
      </c>
      <c r="BT902" s="343">
        <f>SUMIFS($AU$134:AU903,$AC$134:AC903,"*")</f>
        <v>9631.6833333333325</v>
      </c>
      <c r="BU902" s="343">
        <f>SUMIFS($AU$134:AU903,$AA$134:AA903,"*",$AB$134:AB903,"*")</f>
        <v>3538.0000000000045</v>
      </c>
      <c r="BV902" s="343">
        <f>SUMIFS($AU$134:AU903,$AA$134:AA903,"*",$AC$134:AC903,"*")</f>
        <v>9092.7833333333328</v>
      </c>
      <c r="BW902" s="343">
        <f>SUMIFS($AU$134:AU903,$AB$134:AB903,"*",$AC$134:AC903,"*")</f>
        <v>5662.6</v>
      </c>
      <c r="BX902" s="343">
        <f>SUMIFS($AU903:AU$1388,$Q903:Q$1388,"F")</f>
        <v>8474.133333333335</v>
      </c>
      <c r="BY902" s="343">
        <f>SUMIFS($AU903:AU$1388,$Q903:Q$1388,"S")</f>
        <v>8827.2000000000007</v>
      </c>
      <c r="BZ902" s="343">
        <f>SUMIFS($AU903:AU$1388,$Q903:Q$1388,"O")</f>
        <v>-831.92466666668088</v>
      </c>
    </row>
    <row r="903" spans="1:78" ht="15.75" customHeight="1">
      <c r="A903" s="221" t="s">
        <v>3401</v>
      </c>
      <c r="B903" s="177">
        <v>45147</v>
      </c>
      <c r="C903" s="178" t="s">
        <v>3481</v>
      </c>
      <c r="D903" s="178" t="s">
        <v>151</v>
      </c>
      <c r="E903" s="227"/>
      <c r="F903" s="180"/>
      <c r="G903" s="181" t="s">
        <v>94</v>
      </c>
      <c r="H903" s="182"/>
      <c r="I903" s="182"/>
      <c r="J903" s="182"/>
      <c r="K903" s="183"/>
      <c r="L903" s="182">
        <v>1</v>
      </c>
      <c r="M903" s="182"/>
      <c r="N903" s="182"/>
      <c r="O903" s="183" t="s">
        <v>95</v>
      </c>
      <c r="P903" s="183" t="s">
        <v>96</v>
      </c>
      <c r="Q903" s="183" t="s">
        <v>97</v>
      </c>
      <c r="R903" s="183">
        <v>7</v>
      </c>
      <c r="S903" s="183">
        <v>0</v>
      </c>
      <c r="T903" s="183">
        <v>7</v>
      </c>
      <c r="U903" s="183" t="s">
        <v>97</v>
      </c>
      <c r="V903" s="183"/>
      <c r="W903" s="183"/>
      <c r="X903" s="183"/>
      <c r="Y903" s="184">
        <f>IF(ISBLANK(O903),"",(IF(O903=UPPER("IB"),0.005,0.01)))</f>
        <v>0.01</v>
      </c>
      <c r="Z903" s="185">
        <f t="shared" si="294"/>
        <v>1600</v>
      </c>
      <c r="AA903" s="185" t="s">
        <v>99</v>
      </c>
      <c r="AB903" s="185"/>
      <c r="AC903" s="185"/>
      <c r="AD903" s="649">
        <v>0.12</v>
      </c>
      <c r="AE903" s="182"/>
      <c r="AF903" s="332"/>
      <c r="AG903" s="182"/>
      <c r="AH903" s="182"/>
      <c r="AI903" s="182"/>
      <c r="AJ903" s="640"/>
      <c r="AK903" s="182"/>
      <c r="AL903" s="496"/>
      <c r="AM903" s="496"/>
      <c r="AN903" s="626"/>
      <c r="AO903" s="182"/>
      <c r="AP903" s="182" t="s">
        <v>1455</v>
      </c>
      <c r="AQ903" s="332" t="str">
        <f>UPPER(RIGHT(Journal_Live[[#This Row],[DURATION ]]))</f>
        <v>S</v>
      </c>
      <c r="AR903" s="182" t="s">
        <v>3482</v>
      </c>
      <c r="AS903" s="189">
        <v>0.12</v>
      </c>
      <c r="AT903" s="189">
        <f>IF(ISBLANK(AS903),,IF(U903="S",AD903-AS903,AS903-AD903))</f>
        <v>0</v>
      </c>
      <c r="AU903" s="187">
        <f>AV903*R903</f>
        <v>0</v>
      </c>
      <c r="AV903" s="190">
        <f>IF(ISBLANK(AS903),,(AT903*Z903))</f>
        <v>0</v>
      </c>
      <c r="AW903" s="191" t="s">
        <v>115</v>
      </c>
      <c r="AX903" s="407" t="s">
        <v>3483</v>
      </c>
      <c r="AY903" s="305"/>
      <c r="AZ903" s="407"/>
      <c r="BA903" s="407"/>
      <c r="BB903" s="407"/>
      <c r="BC903" s="407"/>
      <c r="BD903" s="407"/>
      <c r="BE903" s="407"/>
      <c r="BF903" s="422"/>
      <c r="BG903" s="391">
        <f>SUM($AV$4:AV903)</f>
        <v>4229.8495263348714</v>
      </c>
      <c r="BH903" s="392">
        <f>SUM($AU$134:AU903)</f>
        <v>16889.24200000022</v>
      </c>
      <c r="BI903" s="318">
        <f>SUMIFS($AU$134:AU904,$Q$134:Q904,"F")</f>
        <v>5966.5333333333328</v>
      </c>
      <c r="BJ903" s="318">
        <f>SUMIFS($AU$134:AU904,$Q$134:Q904,"S")</f>
        <v>11844.441999999999</v>
      </c>
      <c r="BK903" s="343">
        <f>SUMIFS($AU$134:AU904,$P$134:P904,"W")</f>
        <v>10635.74199999994</v>
      </c>
      <c r="BL903" s="343">
        <f>SUMIFS($AU$134:AU904,$P$134:P904,"R")</f>
        <v>6916.673333333335</v>
      </c>
      <c r="BM903" s="343">
        <f>SUMIFS($AU$134:AU904,$AQ$134:AQ904,"M")</f>
        <v>2381.3999999999878</v>
      </c>
      <c r="BN903" s="343">
        <f>SUMIFS($AU$134:AU904,$AQ$134:AQ904,"H")</f>
        <v>4478.1420000000153</v>
      </c>
      <c r="BO903" s="343">
        <f>SUMIFS($AU$134:AU904,$AQ$134:AQ904,"D")</f>
        <v>5768.3466666667146</v>
      </c>
      <c r="BP903" s="343">
        <f>SUMIFS($AU$134:AU906,$AQ$134:AQ906,"W")</f>
        <v>2514.7233333332406</v>
      </c>
      <c r="BQ903" s="343">
        <f>SUMIFS($AU$134:AU904,$Q$134:Q904,"O")</f>
        <v>-816.93333333311739</v>
      </c>
      <c r="BR903" s="343">
        <f>SUMIFS($AU$134:AU904,$AA$134:AA904,"*")</f>
        <v>16293.475333333328</v>
      </c>
      <c r="BS903" s="343">
        <f>SUMIFS($AU$134:AU904,$AB$134:AB904,"*")</f>
        <v>5010.2666666668902</v>
      </c>
      <c r="BT903" s="343">
        <f>SUMIFS($AU$134:AU904,$AC$134:AC904,"*")</f>
        <v>9631.6833333333325</v>
      </c>
      <c r="BU903" s="343">
        <f>SUMIFS($AU$134:AU904,$AA$134:AA904,"*",$AB$134:AB904,"*")</f>
        <v>3538.0000000000045</v>
      </c>
      <c r="BV903" s="343">
        <f>SUMIFS($AU$134:AU904,$AA$134:AA904,"*",$AC$134:AC904,"*")</f>
        <v>9092.7833333333328</v>
      </c>
      <c r="BW903" s="343">
        <f>SUMIFS($AU$134:AU904,$AB$134:AB904,"*",$AC$134:AC904,"*")</f>
        <v>5662.6</v>
      </c>
      <c r="BX903" s="343">
        <f>SUMIFS($AU904:AU$1388,$Q904:Q$1388,"F")</f>
        <v>8474.133333333335</v>
      </c>
      <c r="BY903" s="343">
        <f>SUMIFS($AU904:AU$1388,$Q904:Q$1388,"S")</f>
        <v>8827.2000000000007</v>
      </c>
      <c r="BZ903" s="343">
        <f>SUMIFS($AU904:AU$1388,$Q904:Q$1388,"O")</f>
        <v>-831.92466666668088</v>
      </c>
    </row>
    <row r="904" spans="1:78" ht="15.75" customHeight="1">
      <c r="A904" s="221" t="s">
        <v>3401</v>
      </c>
      <c r="B904" s="177">
        <v>45147</v>
      </c>
      <c r="C904" s="178" t="s">
        <v>3484</v>
      </c>
      <c r="D904" s="178" t="s">
        <v>151</v>
      </c>
      <c r="E904" s="227"/>
      <c r="F904" s="180"/>
      <c r="G904" s="484" t="s">
        <v>3485</v>
      </c>
      <c r="H904" s="182"/>
      <c r="I904" s="182"/>
      <c r="J904" s="182"/>
      <c r="K904" s="183"/>
      <c r="L904" s="182">
        <v>1</v>
      </c>
      <c r="M904" s="182"/>
      <c r="N904" s="182"/>
      <c r="O904" s="183" t="s">
        <v>95</v>
      </c>
      <c r="P904" s="183" t="s">
        <v>137</v>
      </c>
      <c r="Q904" s="183" t="s">
        <v>256</v>
      </c>
      <c r="R904" s="183">
        <v>10</v>
      </c>
      <c r="S904" s="183">
        <v>0</v>
      </c>
      <c r="T904" s="183">
        <v>10</v>
      </c>
      <c r="U904" s="183" t="s">
        <v>97</v>
      </c>
      <c r="V904" s="183"/>
      <c r="W904" s="183"/>
      <c r="X904" s="183"/>
      <c r="Y904" s="184">
        <f>IF(ISBLANK(O904),"",(IF(O904=UPPER("IB"),0.005,0.01)))</f>
        <v>0.01</v>
      </c>
      <c r="Z904" s="185">
        <f t="shared" si="294"/>
        <v>1600</v>
      </c>
      <c r="AA904" s="185" t="s">
        <v>99</v>
      </c>
      <c r="AB904" s="185"/>
      <c r="AC904" s="185" t="s">
        <v>3486</v>
      </c>
      <c r="AD904" s="649">
        <v>-0.02</v>
      </c>
      <c r="AE904" s="182"/>
      <c r="AF904" s="332"/>
      <c r="AG904" s="182"/>
      <c r="AH904" s="182"/>
      <c r="AI904" s="182"/>
      <c r="AJ904" s="640"/>
      <c r="AK904" s="182"/>
      <c r="AL904" s="496">
        <f>-0.03*Z904</f>
        <v>-48</v>
      </c>
      <c r="AM904" s="496">
        <f>AL904*(R904-S904)</f>
        <v>-480</v>
      </c>
      <c r="AN904" s="626"/>
      <c r="AO904" s="182"/>
      <c r="AP904" s="182" t="s">
        <v>2473</v>
      </c>
      <c r="AQ904" s="332" t="str">
        <f>UPPER(RIGHT(Journal_Live[[#This Row],[DURATION ]]))</f>
        <v>D</v>
      </c>
      <c r="AR904" s="182" t="s">
        <v>3487</v>
      </c>
      <c r="AS904" s="189">
        <v>-0.02</v>
      </c>
      <c r="AT904" s="189">
        <f>IF(ISBLANK(AS904),,IF(U904="S",AD904-AS904,AS904-AD904))</f>
        <v>0</v>
      </c>
      <c r="AU904" s="187">
        <f>AV904*R904</f>
        <v>0</v>
      </c>
      <c r="AV904" s="190">
        <f>IF(ISBLANK(AS904),,(AT904*Z904))</f>
        <v>0</v>
      </c>
      <c r="AW904" s="191" t="s">
        <v>115</v>
      </c>
      <c r="AX904" s="407" t="s">
        <v>3488</v>
      </c>
      <c r="AY904" s="407" t="s">
        <v>3489</v>
      </c>
      <c r="AZ904" s="407" t="s">
        <v>3490</v>
      </c>
      <c r="BA904" s="407" t="s">
        <v>3491</v>
      </c>
      <c r="BB904" s="407"/>
      <c r="BC904" s="407"/>
      <c r="BD904" s="407"/>
      <c r="BE904" s="407"/>
      <c r="BF904" s="422"/>
      <c r="BG904" s="391">
        <f>SUM($AV$4:AV904)</f>
        <v>4229.8495263348714</v>
      </c>
      <c r="BH904" s="392">
        <f>SUM($AU$134:AU904)</f>
        <v>16889.24200000022</v>
      </c>
      <c r="BI904" s="318">
        <f>SUMIFS($AU$134:AU905,$Q$134:Q905,"F")</f>
        <v>5966.5333333333328</v>
      </c>
      <c r="BJ904" s="318">
        <f>SUMIFS($AU$134:AU905,$Q$134:Q905,"S")</f>
        <v>11844.441999999999</v>
      </c>
      <c r="BK904" s="343">
        <f>SUMIFS($AU$134:AU905,$P$134:P905,"W")</f>
        <v>10635.74199999994</v>
      </c>
      <c r="BL904" s="343">
        <f>SUMIFS($AU$134:AU905,$P$134:P905,"R")</f>
        <v>6916.673333333335</v>
      </c>
      <c r="BM904" s="343">
        <f>SUMIFS($AU$134:AU905,$AQ$134:AQ905,"M")</f>
        <v>2381.3999999999878</v>
      </c>
      <c r="BN904" s="343">
        <f>SUMIFS($AU$134:AU905,$AQ$134:AQ905,"H")</f>
        <v>4478.1420000000153</v>
      </c>
      <c r="BO904" s="343">
        <f>SUMIFS($AU$134:AU905,$AQ$134:AQ905,"D")</f>
        <v>5768.3466666667146</v>
      </c>
      <c r="BP904" s="343">
        <f>SUMIFS($AU$134:AU907,$AQ$134:AQ907,"W")</f>
        <v>2514.7233333332406</v>
      </c>
      <c r="BQ904" s="343">
        <f>SUMIFS($AU$134:AU905,$Q$134:Q905,"O")</f>
        <v>-816.93333333311739</v>
      </c>
      <c r="BR904" s="343">
        <f>SUMIFS($AU$134:AU905,$AA$134:AA905,"*")</f>
        <v>16293.475333333328</v>
      </c>
      <c r="BS904" s="343">
        <f>SUMIFS($AU$134:AU905,$AB$134:AB905,"*")</f>
        <v>5010.2666666668902</v>
      </c>
      <c r="BT904" s="343">
        <f>SUMIFS($AU$134:AU905,$AC$134:AC905,"*")</f>
        <v>9631.6833333333325</v>
      </c>
      <c r="BU904" s="343">
        <f>SUMIFS($AU$134:AU905,$AA$134:AA905,"*",$AB$134:AB905,"*")</f>
        <v>3538.0000000000045</v>
      </c>
      <c r="BV904" s="343">
        <f>SUMIFS($AU$134:AU905,$AA$134:AA905,"*",$AC$134:AC905,"*")</f>
        <v>9092.7833333333328</v>
      </c>
      <c r="BW904" s="343">
        <f>SUMIFS($AU$134:AU905,$AB$134:AB905,"*",$AC$134:AC905,"*")</f>
        <v>5662.6</v>
      </c>
      <c r="BX904" s="343">
        <f>SUMIFS($AU905:AU$1388,$Q905:Q$1388,"F")</f>
        <v>8474.133333333335</v>
      </c>
      <c r="BY904" s="343">
        <f>SUMIFS($AU905:AU$1388,$Q905:Q$1388,"S")</f>
        <v>8827.2000000000007</v>
      </c>
      <c r="BZ904" s="343">
        <f>SUMIFS($AU905:AU$1388,$Q905:Q$1388,"O")</f>
        <v>-831.92466666668088</v>
      </c>
    </row>
    <row r="905" spans="1:78" ht="15.75" customHeight="1">
      <c r="A905" s="221" t="s">
        <v>3401</v>
      </c>
      <c r="B905" s="177"/>
      <c r="C905" s="178"/>
      <c r="D905" s="178"/>
      <c r="E905" s="227"/>
      <c r="F905" s="180"/>
      <c r="G905" s="181"/>
      <c r="H905" s="182"/>
      <c r="I905" s="182"/>
      <c r="J905" s="182"/>
      <c r="K905" s="183"/>
      <c r="L905" s="182"/>
      <c r="M905" s="182"/>
      <c r="N905" s="182"/>
      <c r="O905" s="183"/>
      <c r="P905" s="183"/>
      <c r="Q905" s="183"/>
      <c r="R905" s="183"/>
      <c r="S905" s="183"/>
      <c r="T905" s="183"/>
      <c r="U905" s="183"/>
      <c r="V905" s="183"/>
      <c r="W905" s="183"/>
      <c r="X905" s="183"/>
      <c r="Y905" s="183"/>
      <c r="Z905" s="185" t="str">
        <f t="shared" si="294"/>
        <v/>
      </c>
      <c r="AA905" s="185"/>
      <c r="AB905" s="185"/>
      <c r="AC905" s="185"/>
      <c r="AD905" s="649"/>
      <c r="AE905" s="182"/>
      <c r="AF905" s="332"/>
      <c r="AG905" s="182"/>
      <c r="AH905" s="182"/>
      <c r="AI905" s="182"/>
      <c r="AJ905" s="640"/>
      <c r="AK905" s="182"/>
      <c r="AL905" s="496"/>
      <c r="AM905" s="496"/>
      <c r="AN905" s="626"/>
      <c r="AO905" s="182"/>
      <c r="AP905" s="182"/>
      <c r="AQ905" s="332" t="str">
        <f>UPPER(RIGHT(Journal_Live[[#This Row],[DURATION ]]))</f>
        <v/>
      </c>
      <c r="AR905" s="182"/>
      <c r="AS905" s="189"/>
      <c r="AT905" s="189"/>
      <c r="AU905" s="187"/>
      <c r="AV905" s="190"/>
      <c r="AW905" s="191"/>
      <c r="AX905" s="407" t="s">
        <v>3492</v>
      </c>
      <c r="AY905" s="407" t="s">
        <v>3493</v>
      </c>
      <c r="AZ905" s="407" t="s">
        <v>3494</v>
      </c>
      <c r="BA905" s="407"/>
      <c r="BB905" s="407"/>
      <c r="BC905" s="407"/>
      <c r="BD905" s="407"/>
      <c r="BE905" s="407"/>
      <c r="BF905" s="422"/>
      <c r="BG905" s="391">
        <f>SUM($AV$4:AV905)</f>
        <v>4229.8495263348714</v>
      </c>
      <c r="BH905" s="392">
        <f>SUM($AU$134:AU905)</f>
        <v>16889.24200000022</v>
      </c>
      <c r="BI905" s="318">
        <f>SUMIFS($AU$134:AU906,$Q$134:Q906,"F")</f>
        <v>5966.5333333333328</v>
      </c>
      <c r="BJ905" s="318">
        <f>SUMIFS($AU$134:AU906,$Q$134:Q906,"S")</f>
        <v>11924.441999999999</v>
      </c>
      <c r="BK905" s="343">
        <f>SUMIFS($AU$134:AU906,$P$134:P906,"W")</f>
        <v>10715.74199999994</v>
      </c>
      <c r="BL905" s="343">
        <f>SUMIFS($AU$134:AU906,$P$134:P906,"R")</f>
        <v>6916.673333333335</v>
      </c>
      <c r="BM905" s="343">
        <f>SUMIFS($AU$134:AU906,$AQ$134:AQ906,"M")</f>
        <v>2381.3999999999878</v>
      </c>
      <c r="BN905" s="343">
        <f>SUMIFS($AU$134:AU906,$AQ$134:AQ906,"H")</f>
        <v>4558.1420000000153</v>
      </c>
      <c r="BO905" s="343">
        <f>SUMIFS($AU$134:AU906,$AQ$134:AQ906,"D")</f>
        <v>5768.3466666667146</v>
      </c>
      <c r="BP905" s="343">
        <f>SUMIFS($AU$134:AU908,$AQ$134:AQ908,"W")</f>
        <v>2514.7233333332406</v>
      </c>
      <c r="BQ905" s="343">
        <f>SUMIFS($AU$134:AU906,$Q$134:Q906,"O")</f>
        <v>-816.93333333311739</v>
      </c>
      <c r="BR905" s="343">
        <f>SUMIFS($AU$134:AU906,$AA$134:AA906,"*")</f>
        <v>16373.475333333328</v>
      </c>
      <c r="BS905" s="343">
        <f>SUMIFS($AU$134:AU906,$AB$134:AB906,"*")</f>
        <v>5010.2666666668902</v>
      </c>
      <c r="BT905" s="343">
        <f>SUMIFS($AU$134:AU906,$AC$134:AC906,"*")</f>
        <v>9711.6833333333325</v>
      </c>
      <c r="BU905" s="343">
        <f>SUMIFS($AU$134:AU906,$AA$134:AA906,"*",$AB$134:AB906,"*")</f>
        <v>3538.0000000000045</v>
      </c>
      <c r="BV905" s="343">
        <f>SUMIFS($AU$134:AU906,$AA$134:AA906,"*",$AC$134:AC906,"*")</f>
        <v>9172.7833333333328</v>
      </c>
      <c r="BW905" s="343">
        <f>SUMIFS($AU$134:AU906,$AB$134:AB906,"*",$AC$134:AC906,"*")</f>
        <v>5662.6</v>
      </c>
      <c r="BX905" s="343">
        <f>SUMIFS($AU906:AU$1388,$Q906:Q$1388,"F")</f>
        <v>8474.133333333335</v>
      </c>
      <c r="BY905" s="343">
        <f>SUMIFS($AU906:AU$1388,$Q906:Q$1388,"S")</f>
        <v>8827.2000000000007</v>
      </c>
      <c r="BZ905" s="343">
        <f>SUMIFS($AU906:AU$1388,$Q906:Q$1388,"O")</f>
        <v>-831.92466666668088</v>
      </c>
    </row>
    <row r="906" spans="1:78" ht="15.75" customHeight="1">
      <c r="A906" s="221" t="s">
        <v>3401</v>
      </c>
      <c r="B906" s="177">
        <v>45148</v>
      </c>
      <c r="C906" s="178" t="s">
        <v>3495</v>
      </c>
      <c r="D906" s="178" t="s">
        <v>93</v>
      </c>
      <c r="E906" s="227"/>
      <c r="F906" s="180"/>
      <c r="G906" s="281" t="s">
        <v>2145</v>
      </c>
      <c r="H906" s="182"/>
      <c r="I906" s="182"/>
      <c r="J906" s="182"/>
      <c r="K906" s="183"/>
      <c r="L906" s="182">
        <v>1</v>
      </c>
      <c r="M906" s="182"/>
      <c r="N906" s="182"/>
      <c r="O906" s="183" t="s">
        <v>95</v>
      </c>
      <c r="P906" s="183" t="s">
        <v>96</v>
      </c>
      <c r="Q906" s="183" t="s">
        <v>97</v>
      </c>
      <c r="R906" s="183">
        <v>5</v>
      </c>
      <c r="S906" s="183">
        <v>0</v>
      </c>
      <c r="T906" s="183">
        <v>5</v>
      </c>
      <c r="U906" s="183" t="s">
        <v>22</v>
      </c>
      <c r="V906" s="183"/>
      <c r="W906" s="183"/>
      <c r="X906" s="183"/>
      <c r="Y906" s="184">
        <f>IF(ISBLANK(O906),"",(IF(O906=UPPER("IB"),0.005,0.01)))</f>
        <v>0.01</v>
      </c>
      <c r="Z906" s="185">
        <f t="shared" si="294"/>
        <v>1600</v>
      </c>
      <c r="AA906" s="185" t="s">
        <v>99</v>
      </c>
      <c r="AB906" s="185"/>
      <c r="AC906" s="185" t="s">
        <v>3496</v>
      </c>
      <c r="AD906" s="649">
        <v>0.02</v>
      </c>
      <c r="AE906" s="182"/>
      <c r="AF906" s="332"/>
      <c r="AG906" s="182"/>
      <c r="AH906" s="182"/>
      <c r="AI906" s="182"/>
      <c r="AJ906" s="640"/>
      <c r="AK906" s="182"/>
      <c r="AL906" s="496"/>
      <c r="AM906" s="496"/>
      <c r="AN906" s="626"/>
      <c r="AO906" s="182"/>
      <c r="AP906" s="182" t="s">
        <v>1585</v>
      </c>
      <c r="AQ906" s="332" t="str">
        <f>UPPER(RIGHT(Journal_Live[[#This Row],[DURATION ]]))</f>
        <v>H</v>
      </c>
      <c r="AR906" s="182" t="s">
        <v>3497</v>
      </c>
      <c r="AS906" s="189">
        <v>0.03</v>
      </c>
      <c r="AT906" s="189">
        <f>IF(ISBLANK(AS906),,IF(U906="S",AD906-AS906,AS906-AD906))</f>
        <v>9.9999999999999985E-3</v>
      </c>
      <c r="AU906" s="187">
        <f>AV906*R906</f>
        <v>79.999999999999986</v>
      </c>
      <c r="AV906" s="190">
        <f>IF(ISBLANK(AS906),,(AT906*Z906))</f>
        <v>15.999999999999998</v>
      </c>
      <c r="AW906" s="191" t="s">
        <v>96</v>
      </c>
      <c r="AX906" s="407" t="s">
        <v>3498</v>
      </c>
      <c r="AY906" s="407"/>
      <c r="AZ906" s="407"/>
      <c r="BA906" s="407"/>
      <c r="BB906" s="407"/>
      <c r="BC906" s="407"/>
      <c r="BD906" s="407"/>
      <c r="BE906" s="407"/>
      <c r="BF906" s="422"/>
      <c r="BG906" s="391"/>
      <c r="BH906" s="392">
        <f>SUM($AU$134:AU906)</f>
        <v>16969.24200000022</v>
      </c>
      <c r="BI906" s="318">
        <f>SUMIFS($AU$134:AU907,$Q$134:Q907,"F")</f>
        <v>5966.5333333333328</v>
      </c>
      <c r="BJ906" s="318">
        <f>SUMIFS($AU$134:AU907,$Q$134:Q907,"S")</f>
        <v>11924.441999999999</v>
      </c>
      <c r="BK906" s="343">
        <f>SUMIFS($AU$134:AU907,$P$134:P907,"W")</f>
        <v>10715.74199999994</v>
      </c>
      <c r="BL906" s="343">
        <f>SUMIFS($AU$134:AU907,$P$134:P907,"R")</f>
        <v>6916.673333333335</v>
      </c>
      <c r="BM906" s="343">
        <f>SUMIFS($AU$134:AU907,$AQ$134:AQ907,"M")</f>
        <v>2381.3999999999878</v>
      </c>
      <c r="BN906" s="343">
        <f>SUMIFS($AU$134:AU907,$AQ$134:AQ907,"H")</f>
        <v>4558.1420000000153</v>
      </c>
      <c r="BO906" s="343">
        <f>SUMIFS($AU$134:AU907,$AQ$134:AQ907,"D")</f>
        <v>5768.3466666667146</v>
      </c>
      <c r="BP906" s="343">
        <f>SUMIFS($AU$134:AU909,$AQ$134:AQ909,"W")</f>
        <v>2514.7233333332406</v>
      </c>
      <c r="BQ906" s="343">
        <f>SUMIFS($AU$134:AU907,$Q$134:Q907,"O")</f>
        <v>-816.93333333311739</v>
      </c>
      <c r="BR906" s="343">
        <f>SUMIFS($AU$134:AU907,$AA$134:AA907,"*")</f>
        <v>16373.475333333328</v>
      </c>
      <c r="BS906" s="343">
        <f>SUMIFS($AU$134:AU907,$AB$134:AB907,"*")</f>
        <v>5010.2666666668902</v>
      </c>
      <c r="BT906" s="343">
        <f>SUMIFS($AU$134:AU907,$AC$134:AC907,"*")</f>
        <v>9711.6833333333325</v>
      </c>
      <c r="BU906" s="343">
        <f>SUMIFS($AU$134:AU907,$AA$134:AA907,"*",$AB$134:AB907,"*")</f>
        <v>3538.0000000000045</v>
      </c>
      <c r="BV906" s="343">
        <f>SUMIFS($AU$134:AU907,$AA$134:AA907,"*",$AC$134:AC907,"*")</f>
        <v>9172.7833333333328</v>
      </c>
      <c r="BW906" s="343">
        <f>SUMIFS($AU$134:AU907,$AB$134:AB907,"*",$AC$134:AC907,"*")</f>
        <v>5662.6</v>
      </c>
      <c r="BX906" s="343">
        <f>SUMIFS($AU907:AU$1388,$Q907:Q$1388,"F")</f>
        <v>8474.133333333335</v>
      </c>
      <c r="BY906" s="343">
        <f>SUMIFS($AU907:AU$1388,$Q907:Q$1388,"S")</f>
        <v>8747.2000000000007</v>
      </c>
      <c r="BZ906" s="343">
        <f>SUMIFS($AU907:AU$1388,$Q907:Q$1388,"O")</f>
        <v>-831.92466666668088</v>
      </c>
    </row>
    <row r="907" spans="1:78" ht="15.75" customHeight="1">
      <c r="A907" s="221" t="s">
        <v>3401</v>
      </c>
      <c r="B907" s="177">
        <v>45148</v>
      </c>
      <c r="C907" s="178" t="s">
        <v>1714</v>
      </c>
      <c r="D907" s="178" t="s">
        <v>93</v>
      </c>
      <c r="E907" s="227" t="s">
        <v>3499</v>
      </c>
      <c r="F907" s="180"/>
      <c r="G907" s="181"/>
      <c r="H907" s="182"/>
      <c r="I907" s="182"/>
      <c r="J907" s="182"/>
      <c r="K907" s="183"/>
      <c r="L907" s="182"/>
      <c r="M907" s="182"/>
      <c r="N907" s="182"/>
      <c r="O907" s="183"/>
      <c r="P907" s="183"/>
      <c r="Q907" s="183"/>
      <c r="R907" s="183"/>
      <c r="S907" s="183"/>
      <c r="T907" s="183"/>
      <c r="U907" s="183"/>
      <c r="V907" s="183"/>
      <c r="W907" s="183"/>
      <c r="X907" s="183"/>
      <c r="Y907" s="183"/>
      <c r="Z907" s="185" t="str">
        <f t="shared" si="294"/>
        <v/>
      </c>
      <c r="AA907" s="185"/>
      <c r="AB907" s="185"/>
      <c r="AC907" s="185"/>
      <c r="AD907" s="649"/>
      <c r="AE907" s="182"/>
      <c r="AF907" s="332"/>
      <c r="AG907" s="182"/>
      <c r="AH907" s="182"/>
      <c r="AI907" s="182"/>
      <c r="AJ907" s="640"/>
      <c r="AK907" s="182"/>
      <c r="AL907" s="496"/>
      <c r="AM907" s="496"/>
      <c r="AN907" s="626"/>
      <c r="AO907" s="182"/>
      <c r="AP907" s="182"/>
      <c r="AQ907" s="332" t="str">
        <f>UPPER(RIGHT(Journal_Live[[#This Row],[DURATION ]]))</f>
        <v/>
      </c>
      <c r="AR907" s="182"/>
      <c r="AS907" s="189"/>
      <c r="AT907" s="189"/>
      <c r="AU907" s="187"/>
      <c r="AV907" s="190"/>
      <c r="AW907" s="191"/>
      <c r="AX907" s="407" t="s">
        <v>3500</v>
      </c>
      <c r="AY907" s="407" t="s">
        <v>3501</v>
      </c>
      <c r="AZ907" s="407"/>
      <c r="BA907" s="407"/>
      <c r="BB907" s="407"/>
      <c r="BC907" s="407"/>
      <c r="BD907" s="407"/>
      <c r="BE907" s="407"/>
      <c r="BF907" s="422"/>
      <c r="BG907" s="391">
        <f>SUM($AV$4:AV907)</f>
        <v>4245.8495263348714</v>
      </c>
      <c r="BH907" s="392">
        <f>SUM($AU$134:AU907)</f>
        <v>16969.24200000022</v>
      </c>
      <c r="BI907" s="318">
        <f>SUMIFS($AU$134:AU908,$Q$134:Q908,"F")</f>
        <v>5966.5333333333328</v>
      </c>
      <c r="BJ907" s="318">
        <f>SUMIFS($AU$134:AU908,$Q$134:Q908,"S")</f>
        <v>11924.441999999999</v>
      </c>
      <c r="BK907" s="343">
        <f>SUMIFS($AU$134:AU908,$P$134:P908,"W")</f>
        <v>10715.74199999994</v>
      </c>
      <c r="BL907" s="343">
        <f>SUMIFS($AU$134:AU908,$P$134:P908,"R")</f>
        <v>6916.673333333335</v>
      </c>
      <c r="BM907" s="343">
        <f>SUMIFS($AU$134:AU908,$AQ$134:AQ908,"M")</f>
        <v>2381.3999999999878</v>
      </c>
      <c r="BN907" s="343">
        <f>SUMIFS($AU$134:AU908,$AQ$134:AQ908,"H")</f>
        <v>4558.1420000000153</v>
      </c>
      <c r="BO907" s="343">
        <f>SUMIFS($AU$134:AU908,$AQ$134:AQ908,"D")</f>
        <v>5768.3466666667146</v>
      </c>
      <c r="BP907" s="343">
        <f>SUMIFS($AU$134:AU910,$AQ$134:AQ910,"W")</f>
        <v>2514.7233333332406</v>
      </c>
      <c r="BQ907" s="343">
        <f>SUMIFS($AU$134:AU908,$Q$134:Q908,"O")</f>
        <v>-816.93333333311739</v>
      </c>
      <c r="BR907" s="343">
        <f>SUMIFS($AU$134:AU908,$AA$134:AA908,"*")</f>
        <v>16373.475333333328</v>
      </c>
      <c r="BS907" s="343">
        <f>SUMIFS($AU$134:AU908,$AB$134:AB908,"*")</f>
        <v>5010.2666666668902</v>
      </c>
      <c r="BT907" s="343">
        <f>SUMIFS($AU$134:AU908,$AC$134:AC908,"*")</f>
        <v>9711.6833333333325</v>
      </c>
      <c r="BU907" s="343">
        <f>SUMIFS($AU$134:AU908,$AA$134:AA908,"*",$AB$134:AB908,"*")</f>
        <v>3538.0000000000045</v>
      </c>
      <c r="BV907" s="343">
        <f>SUMIFS($AU$134:AU908,$AA$134:AA908,"*",$AC$134:AC908,"*")</f>
        <v>9172.7833333333328</v>
      </c>
      <c r="BW907" s="343">
        <f>SUMIFS($AU$134:AU908,$AB$134:AB908,"*",$AC$134:AC908,"*")</f>
        <v>5662.6</v>
      </c>
      <c r="BX907" s="343">
        <f>SUMIFS($AU908:AU$1388,$Q908:Q$1388,"F")</f>
        <v>8474.133333333335</v>
      </c>
      <c r="BY907" s="343">
        <f>SUMIFS($AU908:AU$1388,$Q908:Q$1388,"S")</f>
        <v>8747.2000000000007</v>
      </c>
      <c r="BZ907" s="343">
        <f>SUMIFS($AU908:AU$1388,$Q908:Q$1388,"O")</f>
        <v>-831.92466666668088</v>
      </c>
    </row>
    <row r="908" spans="1:78" ht="15.75" customHeight="1">
      <c r="A908" s="221" t="s">
        <v>3401</v>
      </c>
      <c r="B908" s="177"/>
      <c r="C908" s="178"/>
      <c r="D908" s="178"/>
      <c r="E908" s="227" t="s">
        <v>3502</v>
      </c>
      <c r="F908" s="180"/>
      <c r="G908" s="181"/>
      <c r="H908" s="182"/>
      <c r="I908" s="182"/>
      <c r="J908" s="182"/>
      <c r="K908" s="183"/>
      <c r="L908" s="182"/>
      <c r="M908" s="182"/>
      <c r="N908" s="182"/>
      <c r="O908" s="183"/>
      <c r="P908" s="183"/>
      <c r="Q908" s="183"/>
      <c r="R908" s="183"/>
      <c r="S908" s="183"/>
      <c r="T908" s="183"/>
      <c r="U908" s="183"/>
      <c r="V908" s="183"/>
      <c r="W908" s="183"/>
      <c r="X908" s="183"/>
      <c r="Y908" s="183"/>
      <c r="Z908" s="185" t="str">
        <f t="shared" si="294"/>
        <v/>
      </c>
      <c r="AA908" s="185"/>
      <c r="AB908" s="185"/>
      <c r="AC908" s="185"/>
      <c r="AD908" s="649"/>
      <c r="AE908" s="182"/>
      <c r="AF908" s="332"/>
      <c r="AG908" s="182"/>
      <c r="AH908" s="182"/>
      <c r="AI908" s="182"/>
      <c r="AJ908" s="640"/>
      <c r="AK908" s="182"/>
      <c r="AL908" s="496"/>
      <c r="AM908" s="496"/>
      <c r="AN908" s="626"/>
      <c r="AO908" s="182"/>
      <c r="AP908" s="182"/>
      <c r="AQ908" s="332" t="str">
        <f>UPPER(RIGHT(Journal_Live[[#This Row],[DURATION ]]))</f>
        <v/>
      </c>
      <c r="AR908" s="182"/>
      <c r="AS908" s="189"/>
      <c r="AT908" s="189"/>
      <c r="AU908" s="187"/>
      <c r="AV908" s="190"/>
      <c r="AW908" s="191"/>
      <c r="AX908" s="407"/>
      <c r="AY908" s="407"/>
      <c r="AZ908" s="407"/>
      <c r="BA908" s="407"/>
      <c r="BB908" s="407"/>
      <c r="BC908" s="407"/>
      <c r="BD908" s="407"/>
      <c r="BE908" s="407"/>
      <c r="BF908" s="422"/>
      <c r="BG908" s="391">
        <f>SUM($AV$4:AV908)</f>
        <v>4245.8495263348714</v>
      </c>
      <c r="BH908" s="392">
        <f>SUM($AU$134:AU908)</f>
        <v>16969.24200000022</v>
      </c>
      <c r="BI908" s="318">
        <f>SUMIFS($AU$134:AU909,$Q$134:Q909,"F")</f>
        <v>5966.5333333333328</v>
      </c>
      <c r="BJ908" s="318">
        <f>SUMIFS($AU$134:AU909,$Q$134:Q909,"S")</f>
        <v>11924.441999999999</v>
      </c>
      <c r="BK908" s="343">
        <f>SUMIFS($AU$134:AU909,$P$134:P909,"W")</f>
        <v>10715.74199999994</v>
      </c>
      <c r="BL908" s="343">
        <f>SUMIFS($AU$134:AU909,$P$134:P909,"R")</f>
        <v>6916.673333333335</v>
      </c>
      <c r="BM908" s="343">
        <f>SUMIFS($AU$134:AU909,$AQ$134:AQ909,"M")</f>
        <v>2381.3999999999878</v>
      </c>
      <c r="BN908" s="343">
        <f>SUMIFS($AU$134:AU909,$AQ$134:AQ909,"H")</f>
        <v>4558.1420000000153</v>
      </c>
      <c r="BO908" s="343">
        <f>SUMIFS($AU$134:AU909,$AQ$134:AQ909,"D")</f>
        <v>5768.3466666667146</v>
      </c>
      <c r="BP908" s="343">
        <f>SUMIFS($AU$134:AU911,$AQ$134:AQ911,"W")</f>
        <v>2514.7233333332406</v>
      </c>
      <c r="BQ908" s="343">
        <f>SUMIFS($AU$134:AU909,$Q$134:Q909,"O")</f>
        <v>-816.93333333311739</v>
      </c>
      <c r="BR908" s="343">
        <f>SUMIFS($AU$134:AU909,$AA$134:AA909,"*")</f>
        <v>16373.475333333328</v>
      </c>
      <c r="BS908" s="343">
        <f>SUMIFS($AU$134:AU909,$AB$134:AB909,"*")</f>
        <v>5010.2666666668902</v>
      </c>
      <c r="BT908" s="343">
        <f>SUMIFS($AU$134:AU909,$AC$134:AC909,"*")</f>
        <v>9711.6833333333325</v>
      </c>
      <c r="BU908" s="343">
        <f>SUMIFS($AU$134:AU909,$AA$134:AA909,"*",$AB$134:AB909,"*")</f>
        <v>3538.0000000000045</v>
      </c>
      <c r="BV908" s="343">
        <f>SUMIFS($AU$134:AU909,$AA$134:AA909,"*",$AC$134:AC909,"*")</f>
        <v>9172.7833333333328</v>
      </c>
      <c r="BW908" s="343">
        <f>SUMIFS($AU$134:AU909,$AB$134:AB909,"*",$AC$134:AC909,"*")</f>
        <v>5662.6</v>
      </c>
      <c r="BX908" s="343">
        <f>SUMIFS($AU909:AU$1388,$Q909:Q$1388,"F")</f>
        <v>8474.133333333335</v>
      </c>
      <c r="BY908" s="343">
        <f>SUMIFS($AU909:AU$1388,$Q909:Q$1388,"S")</f>
        <v>8747.2000000000007</v>
      </c>
      <c r="BZ908" s="343">
        <f>SUMIFS($AU909:AU$1388,$Q909:Q$1388,"O")</f>
        <v>-831.92466666668088</v>
      </c>
    </row>
    <row r="909" spans="1:78" ht="15.75" customHeight="1">
      <c r="A909" s="221" t="s">
        <v>3401</v>
      </c>
      <c r="B909" s="177"/>
      <c r="C909" s="178"/>
      <c r="D909" s="178"/>
      <c r="E909" s="227" t="s">
        <v>3503</v>
      </c>
      <c r="F909" s="180"/>
      <c r="G909" s="181"/>
      <c r="H909" s="182"/>
      <c r="I909" s="182"/>
      <c r="J909" s="182">
        <v>1</v>
      </c>
      <c r="K909" s="183" t="s">
        <v>115</v>
      </c>
      <c r="L909" s="182"/>
      <c r="M909" s="182"/>
      <c r="N909" s="182"/>
      <c r="O909" s="183"/>
      <c r="P909" s="183"/>
      <c r="Q909" s="183"/>
      <c r="R909" s="183"/>
      <c r="S909" s="183"/>
      <c r="T909" s="183"/>
      <c r="U909" s="183"/>
      <c r="V909" s="183"/>
      <c r="W909" s="183"/>
      <c r="X909" s="183"/>
      <c r="Y909" s="183"/>
      <c r="Z909" s="185" t="str">
        <f t="shared" si="294"/>
        <v/>
      </c>
      <c r="AA909" s="185"/>
      <c r="AB909" s="185"/>
      <c r="AC909" s="185"/>
      <c r="AD909" s="649"/>
      <c r="AE909" s="182"/>
      <c r="AF909" s="332"/>
      <c r="AG909" s="182"/>
      <c r="AH909" s="182"/>
      <c r="AI909" s="182"/>
      <c r="AJ909" s="640"/>
      <c r="AK909" s="182"/>
      <c r="AL909" s="496"/>
      <c r="AM909" s="496"/>
      <c r="AN909" s="626"/>
      <c r="AO909" s="182"/>
      <c r="AP909" s="182"/>
      <c r="AQ909" s="332" t="str">
        <f>UPPER(RIGHT(Journal_Live[[#This Row],[DURATION ]]))</f>
        <v/>
      </c>
      <c r="AR909" s="182"/>
      <c r="AS909" s="189"/>
      <c r="AT909" s="189"/>
      <c r="AU909" s="187"/>
      <c r="AV909" s="190"/>
      <c r="AW909" s="191"/>
      <c r="AX909" s="407"/>
      <c r="AY909" s="407"/>
      <c r="AZ909" s="407"/>
      <c r="BA909" s="407"/>
      <c r="BB909" s="407"/>
      <c r="BC909" s="407"/>
      <c r="BD909" s="407"/>
      <c r="BE909" s="407"/>
      <c r="BF909" s="422"/>
      <c r="BG909" s="391">
        <f>SUM($AV$4:AV909)</f>
        <v>4245.8495263348714</v>
      </c>
      <c r="BH909" s="392">
        <f>SUM($AU$134:AU909)</f>
        <v>16969.24200000022</v>
      </c>
      <c r="BI909" s="318">
        <f>SUMIFS($AU$134:AU910,$Q$134:Q910,"F")</f>
        <v>5966.5333333333328</v>
      </c>
      <c r="BJ909" s="318">
        <f>SUMIFS($AU$134:AU910,$Q$134:Q910,"S")</f>
        <v>11924.441999999999</v>
      </c>
      <c r="BK909" s="343">
        <f>SUMIFS($AU$134:AU910,$P$134:P910,"W")</f>
        <v>10715.74199999994</v>
      </c>
      <c r="BL909" s="343">
        <f>SUMIFS($AU$134:AU910,$P$134:P910,"R")</f>
        <v>6916.673333333335</v>
      </c>
      <c r="BM909" s="343">
        <f>SUMIFS($AU$134:AU910,$AQ$134:AQ910,"M")</f>
        <v>2381.3999999999878</v>
      </c>
      <c r="BN909" s="343">
        <f>SUMIFS($AU$134:AU910,$AQ$134:AQ910,"H")</f>
        <v>4558.1420000000153</v>
      </c>
      <c r="BO909" s="343">
        <f>SUMIFS($AU$134:AU910,$AQ$134:AQ910,"D")</f>
        <v>5768.3466666667146</v>
      </c>
      <c r="BP909" s="343">
        <f>SUMIFS($AU$134:AU912,$AQ$134:AQ912,"W")</f>
        <v>2514.7233333332406</v>
      </c>
      <c r="BQ909" s="343">
        <f>SUMIFS($AU$134:AU910,$Q$134:Q910,"O")</f>
        <v>-816.93333333311739</v>
      </c>
      <c r="BR909" s="343">
        <f>SUMIFS($AU$134:AU910,$AA$134:AA910,"*")</f>
        <v>16373.475333333328</v>
      </c>
      <c r="BS909" s="343">
        <f>SUMIFS($AU$134:AU910,$AB$134:AB910,"*")</f>
        <v>5010.2666666668902</v>
      </c>
      <c r="BT909" s="343">
        <f>SUMIFS($AU$134:AU910,$AC$134:AC910,"*")</f>
        <v>9711.6833333333325</v>
      </c>
      <c r="BU909" s="343">
        <f>SUMIFS($AU$134:AU910,$AA$134:AA910,"*",$AB$134:AB910,"*")</f>
        <v>3538.0000000000045</v>
      </c>
      <c r="BV909" s="343">
        <f>SUMIFS($AU$134:AU910,$AA$134:AA910,"*",$AC$134:AC910,"*")</f>
        <v>9172.7833333333328</v>
      </c>
      <c r="BW909" s="343">
        <f>SUMIFS($AU$134:AU910,$AB$134:AB910,"*",$AC$134:AC910,"*")</f>
        <v>5662.6</v>
      </c>
      <c r="BX909" s="343">
        <f>SUMIFS($AU910:AU$1388,$Q910:Q$1388,"F")</f>
        <v>8474.133333333335</v>
      </c>
      <c r="BY909" s="343">
        <f>SUMIFS($AU910:AU$1388,$Q910:Q$1388,"S")</f>
        <v>8747.2000000000007</v>
      </c>
      <c r="BZ909" s="343">
        <f>SUMIFS($AU910:AU$1388,$Q910:Q$1388,"O")</f>
        <v>-831.92466666668088</v>
      </c>
    </row>
    <row r="910" spans="1:78" ht="15.75" customHeight="1">
      <c r="A910" s="221" t="s">
        <v>3401</v>
      </c>
      <c r="B910" s="177"/>
      <c r="C910" s="178"/>
      <c r="D910" s="178"/>
      <c r="E910" s="227" t="s">
        <v>3504</v>
      </c>
      <c r="F910" s="180"/>
      <c r="G910" s="181"/>
      <c r="H910" s="182"/>
      <c r="I910" s="182"/>
      <c r="J910" s="182">
        <v>1</v>
      </c>
      <c r="K910" s="183" t="s">
        <v>115</v>
      </c>
      <c r="L910" s="182"/>
      <c r="M910" s="182"/>
      <c r="N910" s="182"/>
      <c r="O910" s="183"/>
      <c r="P910" s="183"/>
      <c r="Q910" s="183"/>
      <c r="R910" s="183"/>
      <c r="S910" s="183"/>
      <c r="T910" s="183"/>
      <c r="U910" s="183"/>
      <c r="V910" s="183"/>
      <c r="W910" s="183"/>
      <c r="X910" s="183"/>
      <c r="Y910" s="183"/>
      <c r="Z910" s="185" t="str">
        <f t="shared" si="294"/>
        <v/>
      </c>
      <c r="AA910" s="185"/>
      <c r="AB910" s="185"/>
      <c r="AC910" s="185"/>
      <c r="AD910" s="649"/>
      <c r="AE910" s="182"/>
      <c r="AF910" s="332"/>
      <c r="AG910" s="182"/>
      <c r="AH910" s="182"/>
      <c r="AI910" s="182"/>
      <c r="AJ910" s="640"/>
      <c r="AK910" s="182"/>
      <c r="AL910" s="496"/>
      <c r="AM910" s="496"/>
      <c r="AN910" s="626"/>
      <c r="AO910" s="182"/>
      <c r="AP910" s="182"/>
      <c r="AQ910" s="332" t="str">
        <f>UPPER(RIGHT(Journal_Live[[#This Row],[DURATION ]]))</f>
        <v/>
      </c>
      <c r="AR910" s="182"/>
      <c r="AS910" s="189"/>
      <c r="AT910" s="189"/>
      <c r="AU910" s="187"/>
      <c r="AV910" s="190"/>
      <c r="AW910" s="191"/>
      <c r="AX910" s="407"/>
      <c r="AY910" s="407"/>
      <c r="AZ910" s="407"/>
      <c r="BA910" s="407"/>
      <c r="BB910" s="407"/>
      <c r="BC910" s="407"/>
      <c r="BD910" s="407"/>
      <c r="BE910" s="407"/>
      <c r="BF910" s="422"/>
      <c r="BG910" s="391">
        <f>SUM($AV$4:AV910)</f>
        <v>4245.8495263348714</v>
      </c>
      <c r="BH910" s="392">
        <f>SUM($AU$134:AU910)</f>
        <v>16969.24200000022</v>
      </c>
      <c r="BI910" s="318">
        <f>SUMIFS($AU$134:AU911,$Q$134:Q911,"F")</f>
        <v>5966.5333333333328</v>
      </c>
      <c r="BJ910" s="318">
        <f>SUMIFS($AU$134:AU911,$Q$134:Q911,"S")</f>
        <v>11924.441999999999</v>
      </c>
      <c r="BK910" s="343">
        <f>SUMIFS($AU$134:AU911,$P$134:P911,"W")</f>
        <v>10715.74199999994</v>
      </c>
      <c r="BL910" s="343">
        <f>SUMIFS($AU$134:AU911,$P$134:P911,"R")</f>
        <v>6916.673333333335</v>
      </c>
      <c r="BM910" s="343">
        <f>SUMIFS($AU$134:AU911,$AQ$134:AQ911,"M")</f>
        <v>2381.3999999999878</v>
      </c>
      <c r="BN910" s="343">
        <f>SUMIFS($AU$134:AU911,$AQ$134:AQ911,"H")</f>
        <v>4558.1420000000153</v>
      </c>
      <c r="BO910" s="343">
        <f>SUMIFS($AU$134:AU911,$AQ$134:AQ911,"D")</f>
        <v>5768.3466666667146</v>
      </c>
      <c r="BP910" s="343">
        <f>SUMIFS($AU$134:AU913,$AQ$134:AQ913,"W")</f>
        <v>2514.7233333332406</v>
      </c>
      <c r="BQ910" s="343">
        <f>SUMIFS($AU$134:AU911,$Q$134:Q911,"O")</f>
        <v>-816.93333333311739</v>
      </c>
      <c r="BR910" s="343">
        <f>SUMIFS($AU$134:AU911,$AA$134:AA911,"*")</f>
        <v>16373.475333333328</v>
      </c>
      <c r="BS910" s="343">
        <f>SUMIFS($AU$134:AU911,$AB$134:AB911,"*")</f>
        <v>5010.2666666668902</v>
      </c>
      <c r="BT910" s="343">
        <f>SUMIFS($AU$134:AU911,$AC$134:AC911,"*")</f>
        <v>9711.6833333333325</v>
      </c>
      <c r="BU910" s="343">
        <f>SUMIFS($AU$134:AU911,$AA$134:AA911,"*",$AB$134:AB911,"*")</f>
        <v>3538.0000000000045</v>
      </c>
      <c r="BV910" s="343">
        <f>SUMIFS($AU$134:AU911,$AA$134:AA911,"*",$AC$134:AC911,"*")</f>
        <v>9172.7833333333328</v>
      </c>
      <c r="BW910" s="343">
        <f>SUMIFS($AU$134:AU911,$AB$134:AB911,"*",$AC$134:AC911,"*")</f>
        <v>5662.6</v>
      </c>
      <c r="BX910" s="343">
        <f>SUMIFS($AU911:AU$1388,$Q911:Q$1388,"F")</f>
        <v>8474.133333333335</v>
      </c>
      <c r="BY910" s="343">
        <f>SUMIFS($AU911:AU$1388,$Q911:Q$1388,"S")</f>
        <v>8747.2000000000007</v>
      </c>
      <c r="BZ910" s="343">
        <f>SUMIFS($AU911:AU$1388,$Q911:Q$1388,"O")</f>
        <v>-831.92466666668088</v>
      </c>
    </row>
    <row r="911" spans="1:78" ht="15.75" customHeight="1">
      <c r="A911" s="221" t="s">
        <v>3401</v>
      </c>
      <c r="B911" s="177"/>
      <c r="C911" s="178"/>
      <c r="D911" s="178"/>
      <c r="E911" s="227" t="s">
        <v>3505</v>
      </c>
      <c r="F911" s="180"/>
      <c r="G911" s="181"/>
      <c r="H911" s="182">
        <v>1</v>
      </c>
      <c r="I911" s="182"/>
      <c r="J911" s="182"/>
      <c r="K911" s="183" t="s">
        <v>115</v>
      </c>
      <c r="L911" s="182"/>
      <c r="M911" s="182"/>
      <c r="N911" s="182"/>
      <c r="O911" s="183"/>
      <c r="P911" s="183"/>
      <c r="Q911" s="183"/>
      <c r="R911" s="183"/>
      <c r="S911" s="183"/>
      <c r="T911" s="183"/>
      <c r="U911" s="183"/>
      <c r="V911" s="183"/>
      <c r="W911" s="183"/>
      <c r="X911" s="183"/>
      <c r="Y911" s="183"/>
      <c r="Z911" s="185" t="str">
        <f t="shared" si="294"/>
        <v/>
      </c>
      <c r="AA911" s="185"/>
      <c r="AB911" s="185"/>
      <c r="AC911" s="185"/>
      <c r="AD911" s="649"/>
      <c r="AE911" s="182"/>
      <c r="AF911" s="332"/>
      <c r="AG911" s="182"/>
      <c r="AH911" s="182"/>
      <c r="AI911" s="182"/>
      <c r="AJ911" s="640"/>
      <c r="AK911" s="182"/>
      <c r="AL911" s="496"/>
      <c r="AM911" s="496"/>
      <c r="AN911" s="626"/>
      <c r="AO911" s="182"/>
      <c r="AP911" s="182"/>
      <c r="AQ911" s="332" t="str">
        <f>UPPER(RIGHT(Journal_Live[[#This Row],[DURATION ]]))</f>
        <v/>
      </c>
      <c r="AR911" s="182"/>
      <c r="AS911" s="189"/>
      <c r="AT911" s="189"/>
      <c r="AU911" s="187"/>
      <c r="AV911" s="190"/>
      <c r="AW911" s="191"/>
      <c r="AX911" s="407"/>
      <c r="AY911" s="407"/>
      <c r="AZ911" s="407"/>
      <c r="BA911" s="407"/>
      <c r="BB911" s="407"/>
      <c r="BC911" s="407"/>
      <c r="BD911" s="407"/>
      <c r="BE911" s="407"/>
      <c r="BF911" s="422"/>
      <c r="BG911" s="391">
        <f>SUM($AV$4:AV911)</f>
        <v>4245.8495263348714</v>
      </c>
      <c r="BH911" s="392">
        <f>SUM($AU$134:AU911)</f>
        <v>16969.24200000022</v>
      </c>
      <c r="BI911" s="318">
        <f>SUMIFS($AU$134:AU912,$Q$134:Q912,"F")</f>
        <v>5966.5333333333328</v>
      </c>
      <c r="BJ911" s="318">
        <f>SUMIFS($AU$134:AU912,$Q$134:Q912,"S")</f>
        <v>11924.441999999999</v>
      </c>
      <c r="BK911" s="343">
        <f>SUMIFS($AU$134:AU912,$P$134:P912,"W")</f>
        <v>10715.74199999994</v>
      </c>
      <c r="BL911" s="343">
        <f>SUMIFS($AU$134:AU912,$P$134:P912,"R")</f>
        <v>6916.673333333335</v>
      </c>
      <c r="BM911" s="343">
        <f>SUMIFS($AU$134:AU912,$AQ$134:AQ912,"M")</f>
        <v>2381.3999999999878</v>
      </c>
      <c r="BN911" s="343">
        <f>SUMIFS($AU$134:AU912,$AQ$134:AQ912,"H")</f>
        <v>4558.1420000000153</v>
      </c>
      <c r="BO911" s="343">
        <f>SUMIFS($AU$134:AU912,$AQ$134:AQ912,"D")</f>
        <v>5768.3466666667146</v>
      </c>
      <c r="BP911" s="343">
        <f>SUMIFS($AU$134:AU914,$AQ$134:AQ914,"W")</f>
        <v>2514.7233333332406</v>
      </c>
      <c r="BQ911" s="343">
        <f>SUMIFS($AU$134:AU912,$Q$134:Q912,"O")</f>
        <v>-816.93333333311739</v>
      </c>
      <c r="BR911" s="343">
        <f>SUMIFS($AU$134:AU912,$AA$134:AA912,"*")</f>
        <v>16373.475333333328</v>
      </c>
      <c r="BS911" s="343">
        <f>SUMIFS($AU$134:AU912,$AB$134:AB912,"*")</f>
        <v>5010.2666666668902</v>
      </c>
      <c r="BT911" s="343">
        <f>SUMIFS($AU$134:AU912,$AC$134:AC912,"*")</f>
        <v>9711.6833333333325</v>
      </c>
      <c r="BU911" s="343">
        <f>SUMIFS($AU$134:AU912,$AA$134:AA912,"*",$AB$134:AB912,"*")</f>
        <v>3538.0000000000045</v>
      </c>
      <c r="BV911" s="343">
        <f>SUMIFS($AU$134:AU912,$AA$134:AA912,"*",$AC$134:AC912,"*")</f>
        <v>9172.7833333333328</v>
      </c>
      <c r="BW911" s="343">
        <f>SUMIFS($AU$134:AU912,$AB$134:AB912,"*",$AC$134:AC912,"*")</f>
        <v>5662.6</v>
      </c>
      <c r="BX911" s="343">
        <f>SUMIFS($AU912:AU$1388,$Q912:Q$1388,"F")</f>
        <v>8474.133333333335</v>
      </c>
      <c r="BY911" s="343">
        <f>SUMIFS($AU912:AU$1388,$Q912:Q$1388,"S")</f>
        <v>8747.2000000000007</v>
      </c>
      <c r="BZ911" s="343">
        <f>SUMIFS($AU912:AU$1388,$Q912:Q$1388,"O")</f>
        <v>-831.92466666668088</v>
      </c>
    </row>
    <row r="912" spans="1:78" ht="15.75" customHeight="1">
      <c r="A912" s="221" t="s">
        <v>3401</v>
      </c>
      <c r="B912" s="177">
        <v>45148</v>
      </c>
      <c r="C912" s="178" t="s">
        <v>3506</v>
      </c>
      <c r="D912" s="178" t="s">
        <v>93</v>
      </c>
      <c r="E912" s="227"/>
      <c r="F912" s="180"/>
      <c r="G912" s="181" t="s">
        <v>2568</v>
      </c>
      <c r="H912" s="182"/>
      <c r="I912" s="182"/>
      <c r="J912" s="182"/>
      <c r="K912" s="183"/>
      <c r="L912" s="182"/>
      <c r="M912" s="182"/>
      <c r="N912" s="182"/>
      <c r="O912" s="183"/>
      <c r="P912" s="183"/>
      <c r="Q912" s="183"/>
      <c r="R912" s="183"/>
      <c r="S912" s="183"/>
      <c r="T912" s="183"/>
      <c r="U912" s="183"/>
      <c r="V912" s="183"/>
      <c r="W912" s="183"/>
      <c r="X912" s="183"/>
      <c r="Y912" s="184"/>
      <c r="Z912" s="185"/>
      <c r="AA912" s="185"/>
      <c r="AB912" s="185"/>
      <c r="AC912" s="185"/>
      <c r="AD912" s="649"/>
      <c r="AE912" s="182"/>
      <c r="AF912" s="332"/>
      <c r="AG912" s="182"/>
      <c r="AH912" s="182"/>
      <c r="AI912" s="182"/>
      <c r="AJ912" s="640"/>
      <c r="AK912" s="182"/>
      <c r="AL912" s="496"/>
      <c r="AM912" s="496"/>
      <c r="AN912" s="626"/>
      <c r="AO912" s="182"/>
      <c r="AP912" s="182"/>
      <c r="AQ912" s="332" t="str">
        <f>UPPER(RIGHT(Journal_Live[[#This Row],[DURATION ]]))</f>
        <v/>
      </c>
      <c r="AR912" s="182"/>
      <c r="AS912" s="189"/>
      <c r="AT912" s="189"/>
      <c r="AU912" s="187"/>
      <c r="AV912" s="190"/>
      <c r="AW912" s="191"/>
      <c r="AX912" s="407"/>
      <c r="AY912" s="407"/>
      <c r="AZ912" s="407"/>
      <c r="BA912" s="407"/>
      <c r="BB912" s="407"/>
      <c r="BC912" s="407"/>
      <c r="BD912" s="407"/>
      <c r="BE912" s="407"/>
      <c r="BF912" s="422"/>
      <c r="BG912" s="391">
        <f>SUM($AV$4:AV912)</f>
        <v>4245.8495263348714</v>
      </c>
      <c r="BH912" s="392">
        <f>SUM($AU$134:AU912)</f>
        <v>16969.24200000022</v>
      </c>
      <c r="BI912" s="318">
        <f>SUMIFS($AU$134:AU913,$Q$134:Q913,"F")</f>
        <v>5966.5333333333328</v>
      </c>
      <c r="BJ912" s="318">
        <f>SUMIFS($AU$134:AU913,$Q$134:Q913,"S")</f>
        <v>12036.441999999999</v>
      </c>
      <c r="BK912" s="343">
        <f>SUMIFS($AU$134:AU913,$P$134:P913,"W")</f>
        <v>10827.74199999994</v>
      </c>
      <c r="BL912" s="343">
        <f>SUMIFS($AU$134:AU913,$P$134:P913,"R")</f>
        <v>6916.673333333335</v>
      </c>
      <c r="BM912" s="343">
        <f>SUMIFS($AU$134:AU913,$AQ$134:AQ913,"M")</f>
        <v>2381.3999999999878</v>
      </c>
      <c r="BN912" s="343">
        <f>SUMIFS($AU$134:AU913,$AQ$134:AQ913,"H")</f>
        <v>4670.1420000000153</v>
      </c>
      <c r="BO912" s="343">
        <f>SUMIFS($AU$134:AU913,$AQ$134:AQ913,"D")</f>
        <v>5768.3466666667146</v>
      </c>
      <c r="BP912" s="343">
        <f>SUMIFS($AU$134:AU915,$AQ$134:AQ915,"W")</f>
        <v>2514.7233333332406</v>
      </c>
      <c r="BQ912" s="343">
        <f>SUMIFS($AU$134:AU913,$Q$134:Q913,"O")</f>
        <v>-816.93333333311739</v>
      </c>
      <c r="BR912" s="343">
        <f>SUMIFS($AU$134:AU913,$AA$134:AA913,"*")</f>
        <v>16485.475333333328</v>
      </c>
      <c r="BS912" s="343">
        <f>SUMIFS($AU$134:AU913,$AB$134:AB913,"*")</f>
        <v>5010.2666666668902</v>
      </c>
      <c r="BT912" s="343">
        <f>SUMIFS($AU$134:AU913,$AC$134:AC913,"*")</f>
        <v>9711.6833333333325</v>
      </c>
      <c r="BU912" s="343">
        <f>SUMIFS($AU$134:AU913,$AA$134:AA913,"*",$AB$134:AB913,"*")</f>
        <v>3538.0000000000045</v>
      </c>
      <c r="BV912" s="343">
        <f>SUMIFS($AU$134:AU913,$AA$134:AA913,"*",$AC$134:AC913,"*")</f>
        <v>9172.7833333333328</v>
      </c>
      <c r="BW912" s="343">
        <f>SUMIFS($AU$134:AU913,$AB$134:AB913,"*",$AC$134:AC913,"*")</f>
        <v>5662.6</v>
      </c>
      <c r="BX912" s="343">
        <f>SUMIFS($AU913:AU$1388,$Q913:Q$1388,"F")</f>
        <v>8474.133333333335</v>
      </c>
      <c r="BY912" s="343">
        <f>SUMIFS($AU913:AU$1388,$Q913:Q$1388,"S")</f>
        <v>8747.2000000000007</v>
      </c>
      <c r="BZ912" s="343">
        <f>SUMIFS($AU913:AU$1388,$Q913:Q$1388,"O")</f>
        <v>-831.92466666668088</v>
      </c>
    </row>
    <row r="913" spans="1:78" ht="15.75" customHeight="1">
      <c r="A913" s="221" t="s">
        <v>3401</v>
      </c>
      <c r="B913" s="177">
        <v>45148</v>
      </c>
      <c r="C913" s="178" t="s">
        <v>3507</v>
      </c>
      <c r="D913" s="178" t="s">
        <v>93</v>
      </c>
      <c r="E913" s="227"/>
      <c r="F913" s="180"/>
      <c r="G913" s="281" t="s">
        <v>3508</v>
      </c>
      <c r="H913" s="182"/>
      <c r="I913" s="182"/>
      <c r="J913" s="182"/>
      <c r="K913" s="183"/>
      <c r="L913" s="182">
        <v>1</v>
      </c>
      <c r="M913" s="182"/>
      <c r="N913" s="182"/>
      <c r="O913" s="183" t="s">
        <v>95</v>
      </c>
      <c r="P913" s="183" t="s">
        <v>96</v>
      </c>
      <c r="Q913" s="183" t="s">
        <v>97</v>
      </c>
      <c r="R913" s="183">
        <v>7</v>
      </c>
      <c r="S913" s="183">
        <v>0</v>
      </c>
      <c r="T913" s="183">
        <v>7</v>
      </c>
      <c r="U913" s="183" t="s">
        <v>22</v>
      </c>
      <c r="V913" s="183"/>
      <c r="W913" s="183"/>
      <c r="X913" s="183"/>
      <c r="Y913" s="184">
        <f>IF(ISBLANK(O913),"",(IF(O913=UPPER("IB"),0.005,0.01)))</f>
        <v>0.01</v>
      </c>
      <c r="Z913" s="185">
        <f>IF(ISBLANK(O913),"",IF(O913="IB",8.63*200,IF(O913="IR",16*100,IF(O913="YT",20*100,IF(O913="YT-XT",24*200,IF(O913="TED",80*100))))))</f>
        <v>1600</v>
      </c>
      <c r="AA913" s="185" t="s">
        <v>99</v>
      </c>
      <c r="AB913" s="185"/>
      <c r="AC913" s="185"/>
      <c r="AD913" s="649">
        <v>-0.15</v>
      </c>
      <c r="AE913" s="182"/>
      <c r="AF913" s="332"/>
      <c r="AG913" s="182"/>
      <c r="AH913" s="182"/>
      <c r="AI913" s="182"/>
      <c r="AJ913" s="640"/>
      <c r="AK913" s="182"/>
      <c r="AL913" s="496">
        <f t="shared" ref="AL913" si="298">-0.035*Z913</f>
        <v>-56.000000000000007</v>
      </c>
      <c r="AM913" s="496">
        <f t="shared" ref="AM913:AM918" si="299">AL913*(R913-S913)</f>
        <v>-392.00000000000006</v>
      </c>
      <c r="AN913" s="626"/>
      <c r="AO913" s="182"/>
      <c r="AP913" s="182" t="s">
        <v>3509</v>
      </c>
      <c r="AQ913" s="332" t="str">
        <f>UPPER(RIGHT(Journal_Live[[#This Row],[DURATION ]]))</f>
        <v>H</v>
      </c>
      <c r="AR913" s="182" t="s">
        <v>2576</v>
      </c>
      <c r="AS913" s="189">
        <v>-0.14000000000000001</v>
      </c>
      <c r="AT913" s="189">
        <f>IF(ISBLANK(AS913),,IF(U913="S",AD913-AS913,AS913-AD913))</f>
        <v>9.9999999999999811E-3</v>
      </c>
      <c r="AU913" s="187">
        <f>AV913*R913</f>
        <v>111.99999999999979</v>
      </c>
      <c r="AV913" s="190">
        <f>IF(ISBLANK(AS913),,(AT913*Z913))</f>
        <v>15.99999999999997</v>
      </c>
      <c r="AW913" s="191" t="s">
        <v>96</v>
      </c>
      <c r="AX913" s="407"/>
      <c r="AY913" s="407"/>
      <c r="AZ913" s="407"/>
      <c r="BA913" s="407"/>
      <c r="BB913" s="407"/>
      <c r="BC913" s="407"/>
      <c r="BD913" s="407"/>
      <c r="BE913" s="407"/>
      <c r="BF913" s="422"/>
      <c r="BG913" s="391">
        <f>SUM($AV$4:AV913)</f>
        <v>4261.8495263348714</v>
      </c>
      <c r="BH913" s="392">
        <f>SUM($AU$134:AU913)</f>
        <v>17081.24200000022</v>
      </c>
      <c r="BI913" s="318">
        <f>SUMIFS($AU$134:AU914,$Q$134:Q914,"F")</f>
        <v>5966.5333333333328</v>
      </c>
      <c r="BJ913" s="318">
        <f>SUMIFS($AU$134:AU914,$Q$134:Q914,"S")</f>
        <v>12084.441999999999</v>
      </c>
      <c r="BK913" s="343">
        <f>SUMIFS($AU$134:AU914,$P$134:P914,"W")</f>
        <v>10875.74199999994</v>
      </c>
      <c r="BL913" s="343">
        <f>SUMIFS($AU$134:AU914,$P$134:P914,"R")</f>
        <v>6916.673333333335</v>
      </c>
      <c r="BM913" s="343">
        <f>SUMIFS($AU$134:AU914,$AQ$134:AQ914,"M")</f>
        <v>2381.3999999999878</v>
      </c>
      <c r="BN913" s="343">
        <f>SUMIFS($AU$134:AU914,$AQ$134:AQ914,"H")</f>
        <v>4670.1420000000153</v>
      </c>
      <c r="BO913" s="343">
        <f>SUMIFS($AU$134:AU914,$AQ$134:AQ914,"D")</f>
        <v>5816.3466666667146</v>
      </c>
      <c r="BP913" s="343">
        <f>SUMIFS($AU$134:AU916,$AQ$134:AQ916,"W")</f>
        <v>2514.7233333332406</v>
      </c>
      <c r="BQ913" s="343">
        <f>SUMIFS($AU$134:AU914,$Q$134:Q914,"O")</f>
        <v>-816.93333333311739</v>
      </c>
      <c r="BR913" s="343">
        <f>SUMIFS($AU$134:AU914,$AA$134:AA914,"*")</f>
        <v>16533.475333333328</v>
      </c>
      <c r="BS913" s="343">
        <f>SUMIFS($AU$134:AU914,$AB$134:AB914,"*")</f>
        <v>5010.2666666668902</v>
      </c>
      <c r="BT913" s="343">
        <f>SUMIFS($AU$134:AU914,$AC$134:AC914,"*")</f>
        <v>9711.6833333333325</v>
      </c>
      <c r="BU913" s="343">
        <f>SUMIFS($AU$134:AU914,$AA$134:AA914,"*",$AB$134:AB914,"*")</f>
        <v>3538.0000000000045</v>
      </c>
      <c r="BV913" s="343">
        <f>SUMIFS($AU$134:AU914,$AA$134:AA914,"*",$AC$134:AC914,"*")</f>
        <v>9172.7833333333328</v>
      </c>
      <c r="BW913" s="343">
        <f>SUMIFS($AU$134:AU914,$AB$134:AB914,"*",$AC$134:AC914,"*")</f>
        <v>5662.6</v>
      </c>
      <c r="BX913" s="343">
        <f>SUMIFS($AU914:AU$1388,$Q914:Q$1388,"F")</f>
        <v>8474.133333333335</v>
      </c>
      <c r="BY913" s="343">
        <f>SUMIFS($AU914:AU$1388,$Q914:Q$1388,"S")</f>
        <v>8635.2000000000007</v>
      </c>
      <c r="BZ913" s="343">
        <f>SUMIFS($AU914:AU$1388,$Q914:Q$1388,"O")</f>
        <v>-831.92466666668088</v>
      </c>
    </row>
    <row r="914" spans="1:78" ht="15.75" customHeight="1">
      <c r="A914" s="221" t="s">
        <v>3401</v>
      </c>
      <c r="B914" s="177">
        <v>45149</v>
      </c>
      <c r="C914" s="178" t="s">
        <v>3510</v>
      </c>
      <c r="D914" s="178" t="s">
        <v>111</v>
      </c>
      <c r="E914" s="227"/>
      <c r="F914" s="180"/>
      <c r="G914" s="281" t="s">
        <v>94</v>
      </c>
      <c r="H914" s="182"/>
      <c r="I914" s="182"/>
      <c r="J914" s="182"/>
      <c r="K914" s="183"/>
      <c r="L914" s="182">
        <v>1</v>
      </c>
      <c r="M914" s="182"/>
      <c r="N914" s="182"/>
      <c r="O914" s="183" t="s">
        <v>95</v>
      </c>
      <c r="P914" s="183" t="s">
        <v>96</v>
      </c>
      <c r="Q914" s="183" t="s">
        <v>97</v>
      </c>
      <c r="R914" s="183">
        <v>10</v>
      </c>
      <c r="S914" s="183">
        <v>6</v>
      </c>
      <c r="T914" s="183">
        <v>7</v>
      </c>
      <c r="U914" s="183" t="s">
        <v>97</v>
      </c>
      <c r="V914" s="183"/>
      <c r="W914" s="183"/>
      <c r="X914" s="183"/>
      <c r="Y914" s="184">
        <f>IF(ISBLANK(O914),"",(IF(O914=UPPER("IB"),0.005,0.01)))</f>
        <v>0.01</v>
      </c>
      <c r="Z914" s="185">
        <f>IF(ISBLANK(O914),"",IF(O914="IB",8.63*200,IF(O914="IR",16*100,IF(O914="YT",20*100,IF(O914="YT-XT",24*200,IF(O914="TED",80*100))))))</f>
        <v>1600</v>
      </c>
      <c r="AA914" s="185" t="s">
        <v>3511</v>
      </c>
      <c r="AB914" s="185"/>
      <c r="AC914" s="185"/>
      <c r="AD914" s="649">
        <f>(7*0.14+3*0.13)/10</f>
        <v>0.13700000000000001</v>
      </c>
      <c r="AE914" s="182"/>
      <c r="AF914" s="332"/>
      <c r="AG914" s="182"/>
      <c r="AH914" s="182"/>
      <c r="AI914" s="182"/>
      <c r="AJ914" s="640"/>
      <c r="AK914" s="182"/>
      <c r="AL914" s="496">
        <f>-0.03*Z914</f>
        <v>-48</v>
      </c>
      <c r="AM914" s="496">
        <f t="shared" si="299"/>
        <v>-192</v>
      </c>
      <c r="AN914" s="626"/>
      <c r="AO914" s="182"/>
      <c r="AP914" s="182" t="s">
        <v>804</v>
      </c>
      <c r="AQ914" s="332" t="str">
        <f>UPPER(RIGHT(Journal_Live[[#This Row],[DURATION ]]))</f>
        <v>D</v>
      </c>
      <c r="AR914" s="182" t="s">
        <v>3512</v>
      </c>
      <c r="AS914" s="189">
        <f>((0.13*6+0.14*4))/10</f>
        <v>0.13400000000000001</v>
      </c>
      <c r="AT914" s="189">
        <f>IF(ISBLANK(AS914),,IF(U914="S",AD914-AS914,AS914-AD914))</f>
        <v>3.0000000000000027E-3</v>
      </c>
      <c r="AU914" s="187">
        <f>AV914*R914</f>
        <v>48.000000000000043</v>
      </c>
      <c r="AV914" s="190">
        <f>IF(ISBLANK(AS914),,(AT914*Z914))</f>
        <v>4.8000000000000043</v>
      </c>
      <c r="AW914" s="191" t="s">
        <v>96</v>
      </c>
      <c r="AX914" s="409" t="s">
        <v>3513</v>
      </c>
      <c r="AY914" s="407"/>
      <c r="AZ914" s="407"/>
      <c r="BA914" s="407"/>
      <c r="BB914" s="407"/>
      <c r="BC914" s="407"/>
      <c r="BD914" s="407"/>
      <c r="BE914" s="407"/>
      <c r="BF914" s="422"/>
      <c r="BG914" s="391">
        <f>SUM($AV$4:AV914)</f>
        <v>4266.6495263348716</v>
      </c>
      <c r="BH914" s="392">
        <f>SUM($AU$134:AU914)</f>
        <v>17129.24200000022</v>
      </c>
      <c r="BI914" s="318">
        <f>SUMIFS($AU$134:AU915,$Q$134:Q915,"F")</f>
        <v>5870.5333333333328</v>
      </c>
      <c r="BJ914" s="318">
        <f>SUMIFS($AU$134:AU915,$Q$134:Q915,"S")</f>
        <v>12084.441999999999</v>
      </c>
      <c r="BK914" s="343">
        <f>SUMIFS($AU$134:AU915,$P$134:P915,"W")</f>
        <v>10779.74199999994</v>
      </c>
      <c r="BL914" s="343">
        <f>SUMIFS($AU$134:AU915,$P$134:P915,"R")</f>
        <v>6916.673333333335</v>
      </c>
      <c r="BM914" s="343">
        <f>SUMIFS($AU$134:AU915,$AQ$134:AQ915,"M")</f>
        <v>2381.3999999999878</v>
      </c>
      <c r="BN914" s="343">
        <f>SUMIFS($AU$134:AU915,$AQ$134:AQ915,"H")</f>
        <v>4670.1420000000153</v>
      </c>
      <c r="BO914" s="343">
        <f>SUMIFS($AU$134:AU915,$AQ$134:AQ915,"D")</f>
        <v>5720.3466666667146</v>
      </c>
      <c r="BP914" s="343">
        <f>SUMIFS($AU$134:AU917,$AQ$134:AQ917,"W")</f>
        <v>2514.7233333332406</v>
      </c>
      <c r="BQ914" s="343">
        <f>SUMIFS($AU$134:AU915,$Q$134:Q915,"O")</f>
        <v>-816.93333333311739</v>
      </c>
      <c r="BR914" s="343">
        <f>SUMIFS($AU$134:AU915,$AA$134:AA915,"*")</f>
        <v>16437.475333333328</v>
      </c>
      <c r="BS914" s="343">
        <f>SUMIFS($AU$134:AU915,$AB$134:AB915,"*")</f>
        <v>5010.2666666668902</v>
      </c>
      <c r="BT914" s="343">
        <f>SUMIFS($AU$134:AU915,$AC$134:AC915,"*")</f>
        <v>9615.6833333333325</v>
      </c>
      <c r="BU914" s="343">
        <f>SUMIFS($AU$134:AU915,$AA$134:AA915,"*",$AB$134:AB915,"*")</f>
        <v>3538.0000000000045</v>
      </c>
      <c r="BV914" s="343">
        <f>SUMIFS($AU$134:AU915,$AA$134:AA915,"*",$AC$134:AC915,"*")</f>
        <v>9076.7833333333328</v>
      </c>
      <c r="BW914" s="343">
        <f>SUMIFS($AU$134:AU915,$AB$134:AB915,"*",$AC$134:AC915,"*")</f>
        <v>5662.6</v>
      </c>
      <c r="BX914" s="343">
        <f>SUMIFS($AU915:AU$1388,$Q915:Q$1388,"F")</f>
        <v>8474.133333333335</v>
      </c>
      <c r="BY914" s="343">
        <f>SUMIFS($AU915:AU$1388,$Q915:Q$1388,"S")</f>
        <v>8587.2000000000007</v>
      </c>
      <c r="BZ914" s="343">
        <f>SUMIFS($AU915:AU$1388,$Q915:Q$1388,"O")</f>
        <v>-831.92466666668088</v>
      </c>
    </row>
    <row r="915" spans="1:78" ht="15.75" customHeight="1">
      <c r="A915" s="221" t="s">
        <v>3401</v>
      </c>
      <c r="B915" s="177">
        <v>45149</v>
      </c>
      <c r="C915" s="178" t="s">
        <v>2688</v>
      </c>
      <c r="D915" s="178" t="s">
        <v>111</v>
      </c>
      <c r="E915" s="227"/>
      <c r="F915" s="180"/>
      <c r="G915" s="485" t="s">
        <v>3125</v>
      </c>
      <c r="H915" s="182"/>
      <c r="I915" s="182"/>
      <c r="J915" s="182"/>
      <c r="K915" s="183"/>
      <c r="L915" s="182">
        <v>1</v>
      </c>
      <c r="M915" s="182"/>
      <c r="N915" s="182"/>
      <c r="O915" s="183" t="s">
        <v>95</v>
      </c>
      <c r="P915" s="183" t="s">
        <v>96</v>
      </c>
      <c r="Q915" s="183" t="s">
        <v>256</v>
      </c>
      <c r="R915" s="183">
        <v>7</v>
      </c>
      <c r="S915" s="183">
        <v>2</v>
      </c>
      <c r="T915" s="183">
        <v>7</v>
      </c>
      <c r="U915" s="183" t="s">
        <v>22</v>
      </c>
      <c r="V915" s="183"/>
      <c r="W915" s="183"/>
      <c r="X915" s="183"/>
      <c r="Y915" s="184">
        <f>IF(ISBLANK(O915),"",(IF(O915=UPPER("IB"),0.005,0.01)))</f>
        <v>0.01</v>
      </c>
      <c r="Z915" s="185">
        <f>IF(ISBLANK(O915),"",IF(O915="IB",8.63*200,IF(O915="IR",16*100,IF(O915="YT",20*100,IF(O915="YT-XT",24*200,IF(O915="TED",80*100))))))</f>
        <v>1600</v>
      </c>
      <c r="AA915" s="185" t="s">
        <v>3514</v>
      </c>
      <c r="AB915" s="185"/>
      <c r="AC915" s="185" t="s">
        <v>3515</v>
      </c>
      <c r="AD915" s="649">
        <v>-0.03</v>
      </c>
      <c r="AE915" s="182"/>
      <c r="AF915" s="332"/>
      <c r="AG915" s="182"/>
      <c r="AH915" s="182"/>
      <c r="AI915" s="182"/>
      <c r="AJ915" s="640"/>
      <c r="AK915" s="182"/>
      <c r="AL915" s="496">
        <f>-0.025*Z915</f>
        <v>-40</v>
      </c>
      <c r="AM915" s="496">
        <f t="shared" si="299"/>
        <v>-200</v>
      </c>
      <c r="AN915" s="626"/>
      <c r="AO915" s="182"/>
      <c r="AP915" s="182" t="s">
        <v>999</v>
      </c>
      <c r="AQ915" s="332" t="str">
        <f>UPPER(RIGHT(Journal_Live[[#This Row],[DURATION ]]))</f>
        <v>D</v>
      </c>
      <c r="AR915" s="182" t="s">
        <v>3516</v>
      </c>
      <c r="AS915" s="189">
        <f>((-0.01*2)+(-0.05*5))/7</f>
        <v>-3.8571428571428576E-2</v>
      </c>
      <c r="AT915" s="189">
        <f>IF(ISBLANK(AS915),,IF(U915="S",AD915-AS915,AS915-AD915))</f>
        <v>-8.5714285714285771E-3</v>
      </c>
      <c r="AU915" s="187">
        <f>AV915*R915</f>
        <v>-96.000000000000057</v>
      </c>
      <c r="AV915" s="190">
        <f>IF(ISBLANK(AS915),,(AT915*Z915))</f>
        <v>-13.714285714285722</v>
      </c>
      <c r="AW915" s="191" t="s">
        <v>229</v>
      </c>
      <c r="AX915" s="407" t="s">
        <v>3517</v>
      </c>
      <c r="AY915" s="409" t="s">
        <v>3518</v>
      </c>
      <c r="AZ915" s="407" t="s">
        <v>3519</v>
      </c>
      <c r="BA915" s="407" t="s">
        <v>3520</v>
      </c>
      <c r="BB915" s="407" t="s">
        <v>3521</v>
      </c>
      <c r="BC915" s="407"/>
      <c r="BD915" s="407"/>
      <c r="BE915" s="407"/>
      <c r="BF915" s="422"/>
      <c r="BG915" s="391">
        <f>SUM($AV$4:AV915)</f>
        <v>4252.9352406205862</v>
      </c>
      <c r="BH915" s="392">
        <f>SUM($AU$134:AU915)</f>
        <v>17033.24200000022</v>
      </c>
      <c r="BI915" s="318">
        <f>SUMIFS($AU$134:AU916,$Q$134:Q916,"F")</f>
        <v>5918.5333333333328</v>
      </c>
      <c r="BJ915" s="318">
        <f>SUMIFS($AU$134:AU916,$Q$134:Q916,"S")</f>
        <v>12084.441999999999</v>
      </c>
      <c r="BK915" s="343">
        <f>SUMIFS($AU$134:AU916,$P$134:P916,"W")</f>
        <v>10827.74199999994</v>
      </c>
      <c r="BL915" s="343">
        <f>SUMIFS($AU$134:AU916,$P$134:P916,"R")</f>
        <v>6916.673333333335</v>
      </c>
      <c r="BM915" s="343">
        <f>SUMIFS($AU$134:AU916,$AQ$134:AQ916,"M")</f>
        <v>2381.3999999999878</v>
      </c>
      <c r="BN915" s="343">
        <f>SUMIFS($AU$134:AU916,$AQ$134:AQ916,"H")</f>
        <v>4670.1420000000153</v>
      </c>
      <c r="BO915" s="343">
        <f>SUMIFS($AU$134:AU916,$AQ$134:AQ916,"D")</f>
        <v>5768.3466666667146</v>
      </c>
      <c r="BP915" s="343">
        <f>SUMIFS($AU$134:AU918,$AQ$134:AQ918,"W")</f>
        <v>2514.7233333332406</v>
      </c>
      <c r="BQ915" s="343">
        <f>SUMIFS($AU$134:AU916,$Q$134:Q916,"O")</f>
        <v>-816.93333333311739</v>
      </c>
      <c r="BR915" s="343">
        <f>SUMIFS($AU$134:AU916,$AA$134:AA916,"*")</f>
        <v>16485.475333333328</v>
      </c>
      <c r="BS915" s="343">
        <f>SUMIFS($AU$134:AU916,$AB$134:AB916,"*")</f>
        <v>5010.2666666668902</v>
      </c>
      <c r="BT915" s="343">
        <f>SUMIFS($AU$134:AU916,$AC$134:AC916,"*")</f>
        <v>9663.6833333333325</v>
      </c>
      <c r="BU915" s="343">
        <f>SUMIFS($AU$134:AU916,$AA$134:AA916,"*",$AB$134:AB916,"*")</f>
        <v>3538.0000000000045</v>
      </c>
      <c r="BV915" s="343">
        <f>SUMIFS($AU$134:AU916,$AA$134:AA916,"*",$AC$134:AC916,"*")</f>
        <v>9124.7833333333328</v>
      </c>
      <c r="BW915" s="343">
        <f>SUMIFS($AU$134:AU916,$AB$134:AB916,"*",$AC$134:AC916,"*")</f>
        <v>5662.6</v>
      </c>
      <c r="BX915" s="343">
        <f>SUMIFS($AU916:AU$1388,$Q916:Q$1388,"F")</f>
        <v>8570.133333333335</v>
      </c>
      <c r="BY915" s="343">
        <f>SUMIFS($AU916:AU$1388,$Q916:Q$1388,"S")</f>
        <v>8587.2000000000007</v>
      </c>
      <c r="BZ915" s="343">
        <f>SUMIFS($AU916:AU$1388,$Q916:Q$1388,"O")</f>
        <v>-831.92466666668088</v>
      </c>
    </row>
    <row r="916" spans="1:78" ht="15.75" customHeight="1">
      <c r="A916" s="221" t="s">
        <v>3401</v>
      </c>
      <c r="B916" s="177">
        <v>45149</v>
      </c>
      <c r="C916" s="178" t="s">
        <v>2688</v>
      </c>
      <c r="D916" s="178" t="s">
        <v>111</v>
      </c>
      <c r="E916" s="227"/>
      <c r="F916" s="180"/>
      <c r="G916" s="484" t="s">
        <v>3522</v>
      </c>
      <c r="H916" s="182"/>
      <c r="I916" s="182"/>
      <c r="J916" s="182"/>
      <c r="K916" s="183"/>
      <c r="L916" s="182">
        <v>1</v>
      </c>
      <c r="M916" s="182"/>
      <c r="N916" s="182"/>
      <c r="O916" s="183" t="s">
        <v>95</v>
      </c>
      <c r="P916" s="183" t="s">
        <v>96</v>
      </c>
      <c r="Q916" s="183" t="s">
        <v>256</v>
      </c>
      <c r="R916" s="183">
        <v>3</v>
      </c>
      <c r="S916" s="183">
        <v>0</v>
      </c>
      <c r="T916" s="183">
        <v>3</v>
      </c>
      <c r="U916" s="183" t="s">
        <v>22</v>
      </c>
      <c r="V916" s="183"/>
      <c r="W916" s="183"/>
      <c r="X916" s="183"/>
      <c r="Y916" s="184">
        <f>IF(ISBLANK(O916),"",(IF(O916=UPPER("IB"),0.005,0.01)))</f>
        <v>0.01</v>
      </c>
      <c r="Z916" s="185">
        <f>IF(ISBLANK(O916),"",IF(O916="IB",8.63*200,IF(O916="IR",16*100,IF(O916="YT",20*100,IF(O916="YT-XT",24*200,IF(O916="TED",80*100))))))</f>
        <v>1600</v>
      </c>
      <c r="AA916" s="185" t="s">
        <v>3523</v>
      </c>
      <c r="AB916" s="185"/>
      <c r="AC916" s="185" t="s">
        <v>3524</v>
      </c>
      <c r="AD916" s="649">
        <v>0.05</v>
      </c>
      <c r="AE916" s="182"/>
      <c r="AF916" s="332"/>
      <c r="AG916" s="182"/>
      <c r="AH916" s="182">
        <v>7</v>
      </c>
      <c r="AI916" s="182"/>
      <c r="AJ916" s="640" t="s">
        <v>3525</v>
      </c>
      <c r="AK916" s="182"/>
      <c r="AL916" s="496">
        <f>-0.05*Z916</f>
        <v>-80</v>
      </c>
      <c r="AM916" s="496">
        <f t="shared" si="299"/>
        <v>-240</v>
      </c>
      <c r="AN916" s="626"/>
      <c r="AO916" s="182"/>
      <c r="AP916" s="182" t="s">
        <v>804</v>
      </c>
      <c r="AQ916" s="332" t="str">
        <f>UPPER(RIGHT(Journal_Live[[#This Row],[DURATION ]]))</f>
        <v>D</v>
      </c>
      <c r="AR916" s="182" t="s">
        <v>3526</v>
      </c>
      <c r="AS916" s="189">
        <v>0.06</v>
      </c>
      <c r="AT916" s="189">
        <f>IF(ISBLANK(AS916),,IF(U916="S",AD916-AS916,AS916-AD916))</f>
        <v>9.999999999999995E-3</v>
      </c>
      <c r="AU916" s="187">
        <f>AV916*R916</f>
        <v>47.999999999999979</v>
      </c>
      <c r="AV916" s="190">
        <f>IF(ISBLANK(AS916),,(AT916*Z916))</f>
        <v>15.999999999999993</v>
      </c>
      <c r="AW916" s="191" t="s">
        <v>96</v>
      </c>
      <c r="AX916" s="407" t="s">
        <v>3491</v>
      </c>
      <c r="AY916" s="407" t="s">
        <v>3527</v>
      </c>
      <c r="AZ916" s="407"/>
      <c r="BA916" s="407"/>
      <c r="BB916" s="407"/>
      <c r="BC916" s="407"/>
      <c r="BD916" s="407"/>
      <c r="BE916" s="407"/>
      <c r="BF916" s="422"/>
      <c r="BG916" s="391">
        <f>SUM($AV$4:AV916)</f>
        <v>4268.9352406205862</v>
      </c>
      <c r="BH916" s="392">
        <f>SUM($AU$134:AU916)</f>
        <v>17081.24200000022</v>
      </c>
      <c r="BI916" s="318">
        <f>SUMIFS($AU$134:AU917,$Q$134:Q917,"F")</f>
        <v>5918.5333333333328</v>
      </c>
      <c r="BJ916" s="318">
        <f>SUMIFS($AU$134:AU917,$Q$134:Q917,"S")</f>
        <v>12084.441999999999</v>
      </c>
      <c r="BK916" s="343">
        <f>SUMIFS($AU$134:AU917,$P$134:P917,"W")</f>
        <v>10827.74199999994</v>
      </c>
      <c r="BL916" s="343">
        <f>SUMIFS($AU$134:AU917,$P$134:P917,"R")</f>
        <v>6916.673333333335</v>
      </c>
      <c r="BM916" s="343">
        <f>SUMIFS($AU$134:AU917,$AQ$134:AQ917,"M")</f>
        <v>2381.3999999999878</v>
      </c>
      <c r="BN916" s="343">
        <f>SUMIFS($AU$134:AU917,$AQ$134:AQ917,"H")</f>
        <v>4670.1420000000153</v>
      </c>
      <c r="BO916" s="343">
        <f>SUMIFS($AU$134:AU917,$AQ$134:AQ917,"D")</f>
        <v>5768.3466666667146</v>
      </c>
      <c r="BP916" s="343">
        <f>SUMIFS($AU$134:AU919,$AQ$134:AQ919,"W")</f>
        <v>2514.7233333332406</v>
      </c>
      <c r="BQ916" s="343">
        <f>SUMIFS($AU$134:AU917,$Q$134:Q917,"O")</f>
        <v>-816.93333333311739</v>
      </c>
      <c r="BR916" s="343">
        <f>SUMIFS($AU$134:AU917,$AA$134:AA917,"*")</f>
        <v>16485.475333333328</v>
      </c>
      <c r="BS916" s="343">
        <f>SUMIFS($AU$134:AU917,$AB$134:AB917,"*")</f>
        <v>5010.2666666668902</v>
      </c>
      <c r="BT916" s="343">
        <f>SUMIFS($AU$134:AU917,$AC$134:AC917,"*")</f>
        <v>9663.6833333333325</v>
      </c>
      <c r="BU916" s="343">
        <f>SUMIFS($AU$134:AU917,$AA$134:AA917,"*",$AB$134:AB917,"*")</f>
        <v>3538.0000000000045</v>
      </c>
      <c r="BV916" s="343">
        <f>SUMIFS($AU$134:AU917,$AA$134:AA917,"*",$AC$134:AC917,"*")</f>
        <v>9124.7833333333328</v>
      </c>
      <c r="BW916" s="343">
        <f>SUMIFS($AU$134:AU917,$AB$134:AB917,"*",$AC$134:AC917,"*")</f>
        <v>5662.6</v>
      </c>
      <c r="BX916" s="343">
        <f>SUMIFS($AU917:AU$1388,$Q917:Q$1388,"F")</f>
        <v>8522.133333333335</v>
      </c>
      <c r="BY916" s="343">
        <f>SUMIFS($AU917:AU$1388,$Q917:Q$1388,"S")</f>
        <v>8587.2000000000007</v>
      </c>
      <c r="BZ916" s="343">
        <f>SUMIFS($AU917:AU$1388,$Q917:Q$1388,"O")</f>
        <v>-831.92466666668088</v>
      </c>
    </row>
    <row r="917" spans="1:78" ht="15.75" customHeight="1">
      <c r="A917" s="221" t="s">
        <v>3401</v>
      </c>
      <c r="B917" s="177">
        <v>45149</v>
      </c>
      <c r="C917" s="178" t="s">
        <v>3528</v>
      </c>
      <c r="D917" s="178" t="s">
        <v>111</v>
      </c>
      <c r="E917" s="227"/>
      <c r="F917" s="180"/>
      <c r="G917" s="181" t="s">
        <v>136</v>
      </c>
      <c r="H917" s="182"/>
      <c r="I917" s="182"/>
      <c r="J917" s="182"/>
      <c r="K917" s="183"/>
      <c r="L917" s="182"/>
      <c r="M917" s="182"/>
      <c r="N917" s="182"/>
      <c r="O917" s="183"/>
      <c r="P917" s="183"/>
      <c r="Q917" s="183"/>
      <c r="R917" s="183"/>
      <c r="S917" s="183"/>
      <c r="T917" s="183"/>
      <c r="U917" s="183"/>
      <c r="V917" s="183"/>
      <c r="W917" s="183"/>
      <c r="X917" s="183"/>
      <c r="Y917" s="184"/>
      <c r="Z917" s="185"/>
      <c r="AA917" s="185"/>
      <c r="AB917" s="185"/>
      <c r="AC917" s="185"/>
      <c r="AD917" s="649"/>
      <c r="AE917" s="182"/>
      <c r="AF917" s="332"/>
      <c r="AG917" s="182"/>
      <c r="AH917" s="182"/>
      <c r="AI917" s="182"/>
      <c r="AJ917" s="640"/>
      <c r="AK917" s="182"/>
      <c r="AL917" s="496">
        <f t="shared" ref="AL917:AL920" si="300">-0.05*Z917</f>
        <v>0</v>
      </c>
      <c r="AM917" s="496">
        <f t="shared" si="299"/>
        <v>0</v>
      </c>
      <c r="AN917" s="626"/>
      <c r="AO917" s="182"/>
      <c r="AP917" s="182"/>
      <c r="AQ917" s="332" t="str">
        <f>UPPER(RIGHT(Journal_Live[[#This Row],[DURATION ]]))</f>
        <v/>
      </c>
      <c r="AR917" s="182"/>
      <c r="AS917" s="189"/>
      <c r="AT917" s="189"/>
      <c r="AU917" s="187"/>
      <c r="AV917" s="190"/>
      <c r="AW917" s="191"/>
      <c r="AX917" s="407" t="s">
        <v>3529</v>
      </c>
      <c r="AY917" s="407" t="s">
        <v>1264</v>
      </c>
      <c r="AZ917" s="407" t="s">
        <v>3530</v>
      </c>
      <c r="BA917" s="407"/>
      <c r="BB917" s="407"/>
      <c r="BC917" s="407"/>
      <c r="BD917" s="407"/>
      <c r="BE917" s="407"/>
      <c r="BF917" s="422"/>
      <c r="BG917" s="391">
        <f>SUM($AV$4:AV917)</f>
        <v>4268.9352406205862</v>
      </c>
      <c r="BH917" s="392">
        <f>SUM($AU$134:AU917)</f>
        <v>17081.24200000022</v>
      </c>
      <c r="BI917" s="318">
        <f>SUMIFS($AU$134:AU918,$Q$134:Q918,"F")</f>
        <v>5918.5333333333328</v>
      </c>
      <c r="BJ917" s="318">
        <f>SUMIFS($AU$134:AU918,$Q$134:Q918,"S")</f>
        <v>12084.441999999999</v>
      </c>
      <c r="BK917" s="343">
        <f>SUMIFS($AU$134:AU918,$P$134:P918,"W")</f>
        <v>10827.74199999994</v>
      </c>
      <c r="BL917" s="343">
        <f>SUMIFS($AU$134:AU918,$P$134:P918,"R")</f>
        <v>6916.673333333335</v>
      </c>
      <c r="BM917" s="343">
        <f>SUMIFS($AU$134:AU918,$AQ$134:AQ918,"M")</f>
        <v>2381.3999999999878</v>
      </c>
      <c r="BN917" s="343">
        <f>SUMIFS($AU$134:AU918,$AQ$134:AQ918,"H")</f>
        <v>4670.1420000000153</v>
      </c>
      <c r="BO917" s="343">
        <f>SUMIFS($AU$134:AU918,$AQ$134:AQ918,"D")</f>
        <v>5768.3466666667146</v>
      </c>
      <c r="BP917" s="343">
        <f>SUMIFS($AU$134:AU920,$AQ$134:AQ920,"W")</f>
        <v>2514.7233333332406</v>
      </c>
      <c r="BQ917" s="343">
        <f>SUMIFS($AU$134:AU918,$Q$134:Q918,"O")</f>
        <v>-816.93333333311739</v>
      </c>
      <c r="BR917" s="343">
        <f>SUMIFS($AU$134:AU918,$AA$134:AA918,"*")</f>
        <v>16485.475333333328</v>
      </c>
      <c r="BS917" s="343">
        <f>SUMIFS($AU$134:AU918,$AB$134:AB918,"*")</f>
        <v>5010.2666666668902</v>
      </c>
      <c r="BT917" s="343">
        <f>SUMIFS($AU$134:AU918,$AC$134:AC918,"*")</f>
        <v>9663.6833333333325</v>
      </c>
      <c r="BU917" s="343">
        <f>SUMIFS($AU$134:AU918,$AA$134:AA918,"*",$AB$134:AB918,"*")</f>
        <v>3538.0000000000045</v>
      </c>
      <c r="BV917" s="343">
        <f>SUMIFS($AU$134:AU918,$AA$134:AA918,"*",$AC$134:AC918,"*")</f>
        <v>9124.7833333333328</v>
      </c>
      <c r="BW917" s="343">
        <f>SUMIFS($AU$134:AU918,$AB$134:AB918,"*",$AC$134:AC918,"*")</f>
        <v>5662.6</v>
      </c>
      <c r="BX917" s="343">
        <f>SUMIFS($AU918:AU$1388,$Q918:Q$1388,"F")</f>
        <v>8522.133333333335</v>
      </c>
      <c r="BY917" s="343">
        <f>SUMIFS($AU918:AU$1388,$Q918:Q$1388,"S")</f>
        <v>8587.2000000000007</v>
      </c>
      <c r="BZ917" s="343">
        <f>SUMIFS($AU918:AU$1388,$Q918:Q$1388,"O")</f>
        <v>-831.92466666668088</v>
      </c>
    </row>
    <row r="918" spans="1:78" ht="15.75" customHeight="1">
      <c r="A918" s="221" t="s">
        <v>3401</v>
      </c>
      <c r="B918" s="177">
        <v>45149</v>
      </c>
      <c r="C918" s="178" t="s">
        <v>3531</v>
      </c>
      <c r="D918" s="178" t="s">
        <v>111</v>
      </c>
      <c r="E918" s="227"/>
      <c r="F918" s="180"/>
      <c r="G918" s="181" t="s">
        <v>2145</v>
      </c>
      <c r="H918" s="182"/>
      <c r="I918" s="182"/>
      <c r="J918" s="182"/>
      <c r="K918" s="183"/>
      <c r="L918" s="182"/>
      <c r="M918" s="182"/>
      <c r="N918" s="182"/>
      <c r="O918" s="183"/>
      <c r="P918" s="183"/>
      <c r="Q918" s="183"/>
      <c r="R918" s="183"/>
      <c r="S918" s="183"/>
      <c r="T918" s="183"/>
      <c r="U918" s="183"/>
      <c r="V918" s="183"/>
      <c r="W918" s="183"/>
      <c r="X918" s="183"/>
      <c r="Y918" s="184"/>
      <c r="Z918" s="185"/>
      <c r="AA918" s="185"/>
      <c r="AB918" s="185"/>
      <c r="AC918" s="185"/>
      <c r="AD918" s="649"/>
      <c r="AE918" s="182"/>
      <c r="AF918" s="332"/>
      <c r="AG918" s="182"/>
      <c r="AH918" s="182"/>
      <c r="AI918" s="182"/>
      <c r="AJ918" s="640"/>
      <c r="AK918" s="182"/>
      <c r="AL918" s="496">
        <f t="shared" si="300"/>
        <v>0</v>
      </c>
      <c r="AM918" s="496">
        <f t="shared" si="299"/>
        <v>0</v>
      </c>
      <c r="AN918" s="626"/>
      <c r="AO918" s="182"/>
      <c r="AP918" s="182"/>
      <c r="AQ918" s="332" t="str">
        <f>UPPER(RIGHT(Journal_Live[[#This Row],[DURATION ]]))</f>
        <v/>
      </c>
      <c r="AR918" s="182"/>
      <c r="AS918" s="189"/>
      <c r="AT918" s="189"/>
      <c r="AU918" s="187"/>
      <c r="AV918" s="190"/>
      <c r="AW918" s="191"/>
      <c r="AX918" s="407"/>
      <c r="AY918" s="407"/>
      <c r="AZ918" s="407"/>
      <c r="BA918" s="407"/>
      <c r="BB918" s="407"/>
      <c r="BC918" s="407"/>
      <c r="BD918" s="407"/>
      <c r="BE918" s="407"/>
      <c r="BF918" s="422"/>
      <c r="BG918" s="391">
        <f>SUM($AV$4:AV918)</f>
        <v>4268.9352406205862</v>
      </c>
      <c r="BH918" s="392">
        <f>SUM($AU$134:AU918)</f>
        <v>17081.24200000022</v>
      </c>
      <c r="BI918" s="318">
        <f>SUMIFS($AU$134:AU919,$Q$134:Q919,"F")</f>
        <v>5918.5333333333328</v>
      </c>
      <c r="BJ918" s="318">
        <f>SUMIFS($AU$134:AU919,$Q$134:Q919,"S")</f>
        <v>12084.441999999999</v>
      </c>
      <c r="BK918" s="343">
        <f>SUMIFS($AU$134:AU919,$P$134:P919,"W")</f>
        <v>10827.74199999994</v>
      </c>
      <c r="BL918" s="343">
        <f>SUMIFS($AU$134:AU919,$P$134:P919,"R")</f>
        <v>6916.673333333335</v>
      </c>
      <c r="BM918" s="343">
        <f>SUMIFS($AU$134:AU919,$AQ$134:AQ919,"M")</f>
        <v>2381.3999999999878</v>
      </c>
      <c r="BN918" s="343">
        <f>SUMIFS($AU$134:AU919,$AQ$134:AQ919,"H")</f>
        <v>4670.1420000000153</v>
      </c>
      <c r="BO918" s="343">
        <f>SUMIFS($AU$134:AU919,$AQ$134:AQ919,"D")</f>
        <v>5768.3466666667146</v>
      </c>
      <c r="BP918" s="343">
        <f>SUMIFS($AU$134:AU921,$AQ$134:AQ921,"W")</f>
        <v>2514.7233333332406</v>
      </c>
      <c r="BQ918" s="343">
        <f>SUMIFS($AU$134:AU919,$Q$134:Q919,"O")</f>
        <v>-816.93333333311739</v>
      </c>
      <c r="BR918" s="343">
        <f>SUMIFS($AU$134:AU919,$AA$134:AA919,"*")</f>
        <v>16485.475333333328</v>
      </c>
      <c r="BS918" s="343">
        <f>SUMIFS($AU$134:AU919,$AB$134:AB919,"*")</f>
        <v>5010.2666666668902</v>
      </c>
      <c r="BT918" s="343">
        <f>SUMIFS($AU$134:AU919,$AC$134:AC919,"*")</f>
        <v>9663.6833333333325</v>
      </c>
      <c r="BU918" s="343">
        <f>SUMIFS($AU$134:AU919,$AA$134:AA919,"*",$AB$134:AB919,"*")</f>
        <v>3538.0000000000045</v>
      </c>
      <c r="BV918" s="343">
        <f>SUMIFS($AU$134:AU919,$AA$134:AA919,"*",$AC$134:AC919,"*")</f>
        <v>9124.7833333333328</v>
      </c>
      <c r="BW918" s="343">
        <f>SUMIFS($AU$134:AU919,$AB$134:AB919,"*",$AC$134:AC919,"*")</f>
        <v>5662.6</v>
      </c>
      <c r="BX918" s="343">
        <f>SUMIFS($AU919:AU$1388,$Q919:Q$1388,"F")</f>
        <v>8522.133333333335</v>
      </c>
      <c r="BY918" s="343">
        <f>SUMIFS($AU919:AU$1388,$Q919:Q$1388,"S")</f>
        <v>8587.2000000000007</v>
      </c>
      <c r="BZ918" s="343">
        <f>SUMIFS($AU919:AU$1388,$Q919:Q$1388,"O")</f>
        <v>-831.92466666668088</v>
      </c>
    </row>
    <row r="919" spans="1:78" ht="15.75" customHeight="1">
      <c r="A919" s="221" t="s">
        <v>3401</v>
      </c>
      <c r="B919" s="177">
        <v>45149</v>
      </c>
      <c r="C919" s="178" t="s">
        <v>1714</v>
      </c>
      <c r="D919" s="178" t="s">
        <v>111</v>
      </c>
      <c r="E919" s="227" t="s">
        <v>3532</v>
      </c>
      <c r="F919" s="180"/>
      <c r="G919" s="181"/>
      <c r="H919" s="182">
        <v>1</v>
      </c>
      <c r="I919" s="182"/>
      <c r="J919" s="182"/>
      <c r="K919" s="183" t="s">
        <v>372</v>
      </c>
      <c r="L919" s="182"/>
      <c r="M919" s="182"/>
      <c r="N919" s="182"/>
      <c r="O919" s="183"/>
      <c r="P919" s="183"/>
      <c r="Q919" s="183"/>
      <c r="R919" s="183"/>
      <c r="S919" s="183"/>
      <c r="T919" s="183"/>
      <c r="U919" s="183"/>
      <c r="V919" s="183"/>
      <c r="W919" s="183"/>
      <c r="X919" s="183"/>
      <c r="Y919" s="183"/>
      <c r="Z919" s="185" t="str">
        <f>IF(ISBLANK(O919),"",IF(O919="IB",8.63*200,IF(O919="IR",16*100,IF(O919="YT",20*100,IF(O919="YT-XT",24*200,IF(O919="TED",80*100))))))</f>
        <v/>
      </c>
      <c r="AA919" s="185"/>
      <c r="AB919" s="185"/>
      <c r="AC919" s="185"/>
      <c r="AD919" s="649"/>
      <c r="AE919" s="182"/>
      <c r="AF919" s="332"/>
      <c r="AG919" s="182"/>
      <c r="AH919" s="182"/>
      <c r="AI919" s="182"/>
      <c r="AJ919" s="640"/>
      <c r="AK919" s="182"/>
      <c r="AL919" s="496"/>
      <c r="AM919" s="496"/>
      <c r="AN919" s="626"/>
      <c r="AO919" s="182"/>
      <c r="AP919" s="182"/>
      <c r="AQ919" s="332" t="str">
        <f>UPPER(RIGHT(Journal_Live[[#This Row],[DURATION ]]))</f>
        <v/>
      </c>
      <c r="AR919" s="182"/>
      <c r="AS919" s="189"/>
      <c r="AT919" s="189"/>
      <c r="AU919" s="187"/>
      <c r="AV919" s="190"/>
      <c r="AW919" s="191"/>
      <c r="AX919" s="407"/>
      <c r="AY919" s="407"/>
      <c r="AZ919" s="407"/>
      <c r="BA919" s="407"/>
      <c r="BB919" s="407"/>
      <c r="BC919" s="407"/>
      <c r="BD919" s="407"/>
      <c r="BE919" s="407"/>
      <c r="BF919" s="422"/>
      <c r="BG919" s="391">
        <f>SUM($AV$4:AV919)</f>
        <v>4268.9352406205862</v>
      </c>
      <c r="BH919" s="392">
        <f>SUM($AU$134:AU919)</f>
        <v>17081.24200000022</v>
      </c>
      <c r="BI919" s="318">
        <f>SUMIFS($AU$134:AU920,$Q$134:Q920,"F")</f>
        <v>5918.5333333333328</v>
      </c>
      <c r="BJ919" s="318">
        <f>SUMIFS($AU$134:AU920,$Q$134:Q920,"S")</f>
        <v>12084.441999999999</v>
      </c>
      <c r="BK919" s="343">
        <f>SUMIFS($AU$134:AU920,$P$134:P920,"W")</f>
        <v>10827.74199999994</v>
      </c>
      <c r="BL919" s="343">
        <f>SUMIFS($AU$134:AU920,$P$134:P920,"R")</f>
        <v>6916.673333333335</v>
      </c>
      <c r="BM919" s="343">
        <f>SUMIFS($AU$134:AU920,$AQ$134:AQ920,"M")</f>
        <v>2381.3999999999878</v>
      </c>
      <c r="BN919" s="343">
        <f>SUMIFS($AU$134:AU920,$AQ$134:AQ920,"H")</f>
        <v>4670.1420000000153</v>
      </c>
      <c r="BO919" s="343">
        <f>SUMIFS($AU$134:AU920,$AQ$134:AQ920,"D")</f>
        <v>5768.3466666667146</v>
      </c>
      <c r="BP919" s="343">
        <f>SUMIFS($AU$134:AU922,$AQ$134:AQ922,"W")</f>
        <v>2514.7233333332406</v>
      </c>
      <c r="BQ919" s="343">
        <f>SUMIFS($AU$134:AU920,$Q$134:Q920,"O")</f>
        <v>-816.93333333311739</v>
      </c>
      <c r="BR919" s="343">
        <f>SUMIFS($AU$134:AU920,$AA$134:AA920,"*")</f>
        <v>16485.475333333328</v>
      </c>
      <c r="BS919" s="343">
        <f>SUMIFS($AU$134:AU920,$AB$134:AB920,"*")</f>
        <v>5010.2666666668902</v>
      </c>
      <c r="BT919" s="343">
        <f>SUMIFS($AU$134:AU920,$AC$134:AC920,"*")</f>
        <v>9663.6833333333325</v>
      </c>
      <c r="BU919" s="343">
        <f>SUMIFS($AU$134:AU920,$AA$134:AA920,"*",$AB$134:AB920,"*")</f>
        <v>3538.0000000000045</v>
      </c>
      <c r="BV919" s="343">
        <f>SUMIFS($AU$134:AU920,$AA$134:AA920,"*",$AC$134:AC920,"*")</f>
        <v>9124.7833333333328</v>
      </c>
      <c r="BW919" s="343">
        <f>SUMIFS($AU$134:AU920,$AB$134:AB920,"*",$AC$134:AC920,"*")</f>
        <v>5662.6</v>
      </c>
      <c r="BX919" s="343">
        <f>SUMIFS($AU920:AU$1388,$Q920:Q$1388,"F")</f>
        <v>8522.133333333335</v>
      </c>
      <c r="BY919" s="343">
        <f>SUMIFS($AU920:AU$1388,$Q920:Q$1388,"S")</f>
        <v>8587.2000000000007</v>
      </c>
      <c r="BZ919" s="343">
        <f>SUMIFS($AU920:AU$1388,$Q920:Q$1388,"O")</f>
        <v>-831.92466666668088</v>
      </c>
    </row>
    <row r="920" spans="1:78" ht="15.75" customHeight="1">
      <c r="A920" s="221" t="s">
        <v>3401</v>
      </c>
      <c r="B920" s="177">
        <v>45149</v>
      </c>
      <c r="C920" s="178" t="s">
        <v>3533</v>
      </c>
      <c r="D920" s="178" t="s">
        <v>111</v>
      </c>
      <c r="E920" s="227"/>
      <c r="F920" s="180"/>
      <c r="G920" s="281" t="s">
        <v>94</v>
      </c>
      <c r="H920" s="182"/>
      <c r="I920" s="182"/>
      <c r="J920" s="182"/>
      <c r="K920" s="183"/>
      <c r="L920" s="182">
        <v>1</v>
      </c>
      <c r="M920" s="182"/>
      <c r="N920" s="182"/>
      <c r="O920" s="183" t="s">
        <v>95</v>
      </c>
      <c r="P920" s="183" t="s">
        <v>96</v>
      </c>
      <c r="Q920" s="183" t="s">
        <v>97</v>
      </c>
      <c r="R920" s="183">
        <v>3</v>
      </c>
      <c r="S920" s="183">
        <v>0</v>
      </c>
      <c r="T920" s="183">
        <v>3</v>
      </c>
      <c r="U920" s="183" t="s">
        <v>97</v>
      </c>
      <c r="V920" s="183"/>
      <c r="W920" s="183"/>
      <c r="X920" s="183"/>
      <c r="Y920" s="184">
        <f>IF(ISBLANK(O920),"",(IF(O920=UPPER("IB"),0.005,0.01)))</f>
        <v>0.01</v>
      </c>
      <c r="Z920" s="185">
        <f>IF(ISBLANK(O920),"",IF(O920="IB",8.63*200,IF(O920="IR",16*100,IF(O920="YT",20*100,IF(O920="YT-XT",24*200,IF(O920="TED",80*100))))))</f>
        <v>1600</v>
      </c>
      <c r="AA920" s="185" t="s">
        <v>99</v>
      </c>
      <c r="AB920" s="185"/>
      <c r="AC920" s="185"/>
      <c r="AD920" s="649">
        <v>0.14000000000000001</v>
      </c>
      <c r="AE920" s="182"/>
      <c r="AF920" s="332"/>
      <c r="AG920" s="182"/>
      <c r="AH920" s="182"/>
      <c r="AI920" s="182"/>
      <c r="AJ920" s="640"/>
      <c r="AK920" s="182"/>
      <c r="AL920" s="496">
        <f t="shared" si="300"/>
        <v>-80</v>
      </c>
      <c r="AM920" s="496">
        <f>AL920*(R920-S920)</f>
        <v>-240</v>
      </c>
      <c r="AN920" s="626"/>
      <c r="AO920" s="182"/>
      <c r="AP920" s="182" t="s">
        <v>967</v>
      </c>
      <c r="AQ920" s="332" t="str">
        <f>UPPER(RIGHT(Journal_Live[[#This Row],[DURATION ]]))</f>
        <v>H</v>
      </c>
      <c r="AR920" s="182" t="s">
        <v>3534</v>
      </c>
      <c r="AS920" s="189">
        <v>0.14000000000000001</v>
      </c>
      <c r="AT920" s="189">
        <f>IF(ISBLANK(AS920),,IF(U920="S",AD920-AS920,AS920-AD920))</f>
        <v>0</v>
      </c>
      <c r="AU920" s="187">
        <f>AV920*R920</f>
        <v>0</v>
      </c>
      <c r="AV920" s="190">
        <f>IF(ISBLANK(AS920),,(AT920*Z920))</f>
        <v>0</v>
      </c>
      <c r="AW920" s="191" t="s">
        <v>115</v>
      </c>
      <c r="AX920" s="407"/>
      <c r="AY920" s="407"/>
      <c r="AZ920" s="407"/>
      <c r="BA920" s="407"/>
      <c r="BB920" s="407"/>
      <c r="BC920" s="407"/>
      <c r="BD920" s="407"/>
      <c r="BE920" s="407"/>
      <c r="BF920" s="422"/>
      <c r="BG920" s="391">
        <f>SUM($AV$4:AV920)</f>
        <v>4268.9352406205862</v>
      </c>
      <c r="BH920" s="392">
        <f>SUM($AU$134:AU920)</f>
        <v>17081.24200000022</v>
      </c>
      <c r="BI920" s="318">
        <f>SUMIFS($AU$134:AU921,$Q$134:Q921,"F")</f>
        <v>5918.5333333333328</v>
      </c>
      <c r="BJ920" s="318">
        <f>SUMIFS($AU$134:AU921,$Q$134:Q921,"S")</f>
        <v>12084.441999999999</v>
      </c>
      <c r="BK920" s="343">
        <f>SUMIFS($AU$134:AU921,$P$134:P921,"W")</f>
        <v>10827.74199999994</v>
      </c>
      <c r="BL920" s="343">
        <f>SUMIFS($AU$134:AU921,$P$134:P921,"R")</f>
        <v>6916.673333333335</v>
      </c>
      <c r="BM920" s="343">
        <f>SUMIFS($AU$134:AU921,$AQ$134:AQ921,"M")</f>
        <v>2381.3999999999878</v>
      </c>
      <c r="BN920" s="343">
        <f>SUMIFS($AU$134:AU921,$AQ$134:AQ921,"H")</f>
        <v>4670.1420000000153</v>
      </c>
      <c r="BO920" s="343">
        <f>SUMIFS($AU$134:AU921,$AQ$134:AQ921,"D")</f>
        <v>5768.3466666667146</v>
      </c>
      <c r="BP920" s="343">
        <f>SUMIFS($AU$134:AU923,$AQ$134:AQ923,"W")</f>
        <v>2514.7233333332406</v>
      </c>
      <c r="BQ920" s="343">
        <f>SUMIFS($AU$134:AU921,$Q$134:Q921,"O")</f>
        <v>-816.93333333311739</v>
      </c>
      <c r="BR920" s="343">
        <f>SUMIFS($AU$134:AU921,$AA$134:AA921,"*")</f>
        <v>16485.475333333328</v>
      </c>
      <c r="BS920" s="343">
        <f>SUMIFS($AU$134:AU921,$AB$134:AB921,"*")</f>
        <v>5010.2666666668902</v>
      </c>
      <c r="BT920" s="343">
        <f>SUMIFS($AU$134:AU921,$AC$134:AC921,"*")</f>
        <v>9663.6833333333325</v>
      </c>
      <c r="BU920" s="343">
        <f>SUMIFS($AU$134:AU921,$AA$134:AA921,"*",$AB$134:AB921,"*")</f>
        <v>3538.0000000000045</v>
      </c>
      <c r="BV920" s="343">
        <f>SUMIFS($AU$134:AU921,$AA$134:AA921,"*",$AC$134:AC921,"*")</f>
        <v>9124.7833333333328</v>
      </c>
      <c r="BW920" s="343">
        <f>SUMIFS($AU$134:AU921,$AB$134:AB921,"*",$AC$134:AC921,"*")</f>
        <v>5662.6</v>
      </c>
      <c r="BX920" s="343">
        <f>SUMIFS($AU921:AU$1388,$Q921:Q$1388,"F")</f>
        <v>8522.133333333335</v>
      </c>
      <c r="BY920" s="343">
        <f>SUMIFS($AU921:AU$1388,$Q921:Q$1388,"S")</f>
        <v>8587.2000000000007</v>
      </c>
      <c r="BZ920" s="343">
        <f>SUMIFS($AU921:AU$1388,$Q921:Q$1388,"O")</f>
        <v>-831.92466666668088</v>
      </c>
    </row>
    <row r="921" spans="1:78" ht="15.75" customHeight="1">
      <c r="A921" s="221" t="s">
        <v>3401</v>
      </c>
      <c r="B921" s="177">
        <v>45149</v>
      </c>
      <c r="C921" s="178" t="s">
        <v>2024</v>
      </c>
      <c r="D921" s="178" t="s">
        <v>111</v>
      </c>
      <c r="E921" s="227"/>
      <c r="F921" s="180"/>
      <c r="G921" s="181" t="s">
        <v>2016</v>
      </c>
      <c r="H921" s="182"/>
      <c r="I921" s="182"/>
      <c r="J921" s="182"/>
      <c r="K921" s="183"/>
      <c r="L921" s="182"/>
      <c r="M921" s="182"/>
      <c r="N921" s="182"/>
      <c r="O921" s="183"/>
      <c r="P921" s="183"/>
      <c r="Q921" s="183"/>
      <c r="R921" s="183"/>
      <c r="S921" s="183"/>
      <c r="T921" s="183"/>
      <c r="U921" s="183"/>
      <c r="V921" s="183"/>
      <c r="W921" s="183"/>
      <c r="X921" s="183"/>
      <c r="Y921" s="184"/>
      <c r="Z921" s="185"/>
      <c r="AA921" s="185"/>
      <c r="AB921" s="185"/>
      <c r="AC921" s="185"/>
      <c r="AD921" s="649"/>
      <c r="AE921" s="182"/>
      <c r="AF921" s="332"/>
      <c r="AG921" s="182"/>
      <c r="AH921" s="182"/>
      <c r="AI921" s="182"/>
      <c r="AJ921" s="640"/>
      <c r="AK921" s="182"/>
      <c r="AL921" s="496"/>
      <c r="AM921" s="496"/>
      <c r="AN921" s="626"/>
      <c r="AO921" s="182"/>
      <c r="AP921" s="182"/>
      <c r="AQ921" s="332" t="str">
        <f>UPPER(RIGHT(Journal_Live[[#This Row],[DURATION ]]))</f>
        <v/>
      </c>
      <c r="AR921" s="182"/>
      <c r="AS921" s="189"/>
      <c r="AT921" s="189"/>
      <c r="AU921" s="187"/>
      <c r="AV921" s="190"/>
      <c r="AW921" s="191"/>
      <c r="AX921" s="407" t="s">
        <v>3535</v>
      </c>
      <c r="AY921" s="407"/>
      <c r="AZ921" s="407"/>
      <c r="BA921" s="407"/>
      <c r="BB921" s="407"/>
      <c r="BC921" s="407"/>
      <c r="BD921" s="407"/>
      <c r="BE921" s="407"/>
      <c r="BF921" s="422"/>
      <c r="BG921" s="391">
        <f>SUM($AV$4:AV921)</f>
        <v>4268.9352406205862</v>
      </c>
      <c r="BH921" s="392">
        <f>SUM($AU$134:AU921)</f>
        <v>17081.24200000022</v>
      </c>
      <c r="BI921" s="318">
        <f>SUMIFS($AU$134:AU922,$Q$134:Q922,"F")</f>
        <v>5918.5333333333328</v>
      </c>
      <c r="BJ921" s="318">
        <f>SUMIFS($AU$134:AU922,$Q$134:Q922,"S")</f>
        <v>12084.441999999999</v>
      </c>
      <c r="BK921" s="343">
        <f>SUMIFS($AU$134:AU922,$P$134:P922,"W")</f>
        <v>10827.74199999994</v>
      </c>
      <c r="BL921" s="343">
        <f>SUMIFS($AU$134:AU922,$P$134:P922,"R")</f>
        <v>6916.673333333335</v>
      </c>
      <c r="BM921" s="343">
        <f>SUMIFS($AU$134:AU922,$AQ$134:AQ922,"M")</f>
        <v>2381.3999999999878</v>
      </c>
      <c r="BN921" s="343">
        <f>SUMIFS($AU$134:AU922,$AQ$134:AQ922,"H")</f>
        <v>4670.1420000000153</v>
      </c>
      <c r="BO921" s="343">
        <f>SUMIFS($AU$134:AU922,$AQ$134:AQ922,"D")</f>
        <v>5768.3466666667146</v>
      </c>
      <c r="BP921" s="343">
        <f>SUMIFS($AU$134:AU924,$AQ$134:AQ924,"W")</f>
        <v>2514.7233333332406</v>
      </c>
      <c r="BQ921" s="343">
        <f>SUMIFS($AU$134:AU922,$Q$134:Q922,"O")</f>
        <v>-816.93333333311739</v>
      </c>
      <c r="BR921" s="343">
        <f>SUMIFS($AU$134:AU922,$AA$134:AA922,"*")</f>
        <v>16485.475333333328</v>
      </c>
      <c r="BS921" s="343">
        <f>SUMIFS($AU$134:AU922,$AB$134:AB922,"*")</f>
        <v>5010.2666666668902</v>
      </c>
      <c r="BT921" s="343">
        <f>SUMIFS($AU$134:AU922,$AC$134:AC922,"*")</f>
        <v>9663.6833333333325</v>
      </c>
      <c r="BU921" s="343">
        <f>SUMIFS($AU$134:AU922,$AA$134:AA922,"*",$AB$134:AB922,"*")</f>
        <v>3538.0000000000045</v>
      </c>
      <c r="BV921" s="343">
        <f>SUMIFS($AU$134:AU922,$AA$134:AA922,"*",$AC$134:AC922,"*")</f>
        <v>9124.7833333333328</v>
      </c>
      <c r="BW921" s="343">
        <f>SUMIFS($AU$134:AU922,$AB$134:AB922,"*",$AC$134:AC922,"*")</f>
        <v>5662.6</v>
      </c>
      <c r="BX921" s="343">
        <f>SUMIFS($AU922:AU$1388,$Q922:Q$1388,"F")</f>
        <v>8522.133333333335</v>
      </c>
      <c r="BY921" s="343">
        <f>SUMIFS($AU922:AU$1388,$Q922:Q$1388,"S")</f>
        <v>8587.2000000000007</v>
      </c>
      <c r="BZ921" s="343">
        <f>SUMIFS($AU922:AU$1388,$Q922:Q$1388,"O")</f>
        <v>-831.92466666668088</v>
      </c>
    </row>
    <row r="922" spans="1:78" ht="15.75" customHeight="1">
      <c r="A922" s="221" t="s">
        <v>3401</v>
      </c>
      <c r="B922" s="177">
        <v>45149</v>
      </c>
      <c r="C922" s="178" t="s">
        <v>2024</v>
      </c>
      <c r="D922" s="178" t="s">
        <v>111</v>
      </c>
      <c r="E922" s="227"/>
      <c r="F922" s="180"/>
      <c r="G922" s="281" t="s">
        <v>2070</v>
      </c>
      <c r="H922" s="182"/>
      <c r="I922" s="182"/>
      <c r="J922" s="182"/>
      <c r="K922" s="183"/>
      <c r="L922" s="182">
        <v>1</v>
      </c>
      <c r="M922" s="182"/>
      <c r="N922" s="182"/>
      <c r="O922" s="183" t="s">
        <v>95</v>
      </c>
      <c r="P922" s="183" t="s">
        <v>137</v>
      </c>
      <c r="Q922" s="183" t="s">
        <v>97</v>
      </c>
      <c r="R922" s="183">
        <v>18</v>
      </c>
      <c r="S922" s="183">
        <v>0</v>
      </c>
      <c r="T922" s="183">
        <v>18</v>
      </c>
      <c r="U922" s="183" t="s">
        <v>97</v>
      </c>
      <c r="V922" s="183"/>
      <c r="W922" s="183"/>
      <c r="X922" s="183"/>
      <c r="Y922" s="184">
        <f>IF(ISBLANK(O922),"",(IF(O922=UPPER("IB"),0.005,0.01)))</f>
        <v>0.01</v>
      </c>
      <c r="Z922" s="185">
        <f>IF(ISBLANK(O922),"",IF(O922="IB",8.63*200,IF(O922="IR",16*100,IF(O922="YT",20*100,IF(O922="YT-XT",24*200,IF(O922="TED",80*100))))))</f>
        <v>1600</v>
      </c>
      <c r="AA922" s="185" t="s">
        <v>99</v>
      </c>
      <c r="AB922" s="185"/>
      <c r="AC922" s="185"/>
      <c r="AD922" s="649">
        <v>-0.11</v>
      </c>
      <c r="AE922" s="182"/>
      <c r="AF922" s="332"/>
      <c r="AG922" s="182"/>
      <c r="AH922" s="182"/>
      <c r="AI922" s="182"/>
      <c r="AJ922" s="640"/>
      <c r="AK922" s="182"/>
      <c r="AL922" s="496">
        <f>-0.02*Z922</f>
        <v>-32</v>
      </c>
      <c r="AM922" s="496">
        <f>AL922*(R922-S922)</f>
        <v>-576</v>
      </c>
      <c r="AN922" s="626"/>
      <c r="AO922" s="182"/>
      <c r="AP922" s="182" t="s">
        <v>770</v>
      </c>
      <c r="AQ922" s="332" t="str">
        <f>UPPER(RIGHT(Journal_Live[[#This Row],[DURATION ]]))</f>
        <v>D</v>
      </c>
      <c r="AR922" s="182" t="s">
        <v>3536</v>
      </c>
      <c r="AS922" s="189">
        <v>-0.11</v>
      </c>
      <c r="AT922" s="189">
        <f>IF(ISBLANK(AS922),,IF(U922="S",AD922-AS922,AS922-AD922))</f>
        <v>0</v>
      </c>
      <c r="AU922" s="187">
        <f>AV922*R922</f>
        <v>0</v>
      </c>
      <c r="AV922" s="190">
        <f>IF(ISBLANK(AS922),,(AT922*Z922))</f>
        <v>0</v>
      </c>
      <c r="AW922" s="191" t="s">
        <v>115</v>
      </c>
      <c r="AX922" s="409" t="s">
        <v>3537</v>
      </c>
      <c r="AY922" s="407"/>
      <c r="AZ922" s="407"/>
      <c r="BA922" s="407"/>
      <c r="BB922" s="407"/>
      <c r="BC922" s="407"/>
      <c r="BD922" s="407"/>
      <c r="BE922" s="407"/>
      <c r="BF922" s="422"/>
      <c r="BG922" s="391">
        <f>SUM($AV$4:AV922)</f>
        <v>4268.9352406205862</v>
      </c>
      <c r="BH922" s="392">
        <f>SUM($AU$134:AU922)</f>
        <v>17081.24200000022</v>
      </c>
      <c r="BI922" s="318">
        <f>SUMIFS($AU$134:AU923,$Q$134:Q923,"F")</f>
        <v>5918.5333333333328</v>
      </c>
      <c r="BJ922" s="318">
        <f>SUMIFS($AU$134:AU923,$Q$134:Q923,"S")</f>
        <v>11380.441999999999</v>
      </c>
      <c r="BK922" s="343">
        <f>SUMIFS($AU$134:AU923,$P$134:P923,"W")</f>
        <v>10123.74199999994</v>
      </c>
      <c r="BL922" s="343">
        <f>SUMIFS($AU$134:AU923,$P$134:P923,"R")</f>
        <v>6916.673333333335</v>
      </c>
      <c r="BM922" s="343">
        <f>SUMIFS($AU$134:AU923,$AQ$134:AQ923,"M")</f>
        <v>2381.3999999999878</v>
      </c>
      <c r="BN922" s="343">
        <f>SUMIFS($AU$134:AU923,$AQ$134:AQ923,"H")</f>
        <v>4670.1420000000153</v>
      </c>
      <c r="BO922" s="343">
        <f>SUMIFS($AU$134:AU923,$AQ$134:AQ923,"D")</f>
        <v>5064.3466666667146</v>
      </c>
      <c r="BP922" s="343">
        <f>SUMIFS($AU$134:AU925,$AQ$134:AQ925,"W")</f>
        <v>2514.7233333332406</v>
      </c>
      <c r="BQ922" s="343">
        <f>SUMIFS($AU$134:AU923,$Q$134:Q923,"O")</f>
        <v>-816.93333333311739</v>
      </c>
      <c r="BR922" s="343">
        <f>SUMIFS($AU$134:AU923,$AA$134:AA923,"*")</f>
        <v>15781.475333333328</v>
      </c>
      <c r="BS922" s="343">
        <f>SUMIFS($AU$134:AU923,$AB$134:AB923,"*")</f>
        <v>5010.2666666668902</v>
      </c>
      <c r="BT922" s="343">
        <f>SUMIFS($AU$134:AU923,$AC$134:AC923,"*")</f>
        <v>9663.6833333333325</v>
      </c>
      <c r="BU922" s="343">
        <f>SUMIFS($AU$134:AU923,$AA$134:AA923,"*",$AB$134:AB923,"*")</f>
        <v>3538.0000000000045</v>
      </c>
      <c r="BV922" s="343">
        <f>SUMIFS($AU$134:AU923,$AA$134:AA923,"*",$AC$134:AC923,"*")</f>
        <v>9124.7833333333328</v>
      </c>
      <c r="BW922" s="343">
        <f>SUMIFS($AU$134:AU923,$AB$134:AB923,"*",$AC$134:AC923,"*")</f>
        <v>5662.6</v>
      </c>
      <c r="BX922" s="343">
        <f>SUMIFS($AU923:AU$1388,$Q923:Q$1388,"F")</f>
        <v>8522.133333333335</v>
      </c>
      <c r="BY922" s="343">
        <f>SUMIFS($AU923:AU$1388,$Q923:Q$1388,"S")</f>
        <v>8587.2000000000007</v>
      </c>
      <c r="BZ922" s="343">
        <f>SUMIFS($AU923:AU$1388,$Q923:Q$1388,"O")</f>
        <v>-831.92466666668088</v>
      </c>
    </row>
    <row r="923" spans="1:78" ht="15.75" customHeight="1">
      <c r="A923" s="221" t="s">
        <v>3401</v>
      </c>
      <c r="B923" s="177">
        <v>45149</v>
      </c>
      <c r="C923" s="178" t="s">
        <v>2722</v>
      </c>
      <c r="D923" s="178" t="s">
        <v>111</v>
      </c>
      <c r="E923" s="227"/>
      <c r="F923" s="180"/>
      <c r="G923" s="281" t="s">
        <v>136</v>
      </c>
      <c r="H923" s="182"/>
      <c r="I923" s="182"/>
      <c r="J923" s="182"/>
      <c r="K923" s="183"/>
      <c r="L923" s="182">
        <v>1</v>
      </c>
      <c r="M923" s="182"/>
      <c r="N923" s="182"/>
      <c r="O923" s="183" t="s">
        <v>95</v>
      </c>
      <c r="P923" s="183" t="s">
        <v>96</v>
      </c>
      <c r="Q923" s="183" t="s">
        <v>97</v>
      </c>
      <c r="R923" s="183">
        <v>20</v>
      </c>
      <c r="S923" s="183">
        <v>10</v>
      </c>
      <c r="T923" s="183">
        <v>12</v>
      </c>
      <c r="U923" s="183" t="s">
        <v>97</v>
      </c>
      <c r="V923" s="183"/>
      <c r="W923" s="183"/>
      <c r="X923" s="183"/>
      <c r="Y923" s="184">
        <f>IF(ISBLANK(O923),"",(IF(O923=UPPER("IB"),0.005,0.01)))</f>
        <v>0.01</v>
      </c>
      <c r="Z923" s="185">
        <f>IF(ISBLANK(O923),"",IF(O923="IB",8.63*200,IF(O923="IR",16*100,IF(O923="YT",20*100,IF(O923="YT-XT",24*200,IF(O923="TED",80*100))))))</f>
        <v>1600</v>
      </c>
      <c r="AA923" s="185" t="s">
        <v>99</v>
      </c>
      <c r="AB923" s="185"/>
      <c r="AC923" s="185"/>
      <c r="AD923" s="649">
        <f>((-0.09*12)+(-0.1*8))/20</f>
        <v>-9.4E-2</v>
      </c>
      <c r="AE923" s="182"/>
      <c r="AF923" s="332"/>
      <c r="AG923" s="182"/>
      <c r="AH923" s="182"/>
      <c r="AI923" s="182"/>
      <c r="AJ923" s="640"/>
      <c r="AK923" s="182"/>
      <c r="AL923" s="496">
        <f>-0.03*Z923</f>
        <v>-48</v>
      </c>
      <c r="AM923" s="496">
        <f>AL923*(R923-S923)</f>
        <v>-480</v>
      </c>
      <c r="AN923" s="626"/>
      <c r="AO923" s="182"/>
      <c r="AP923" s="182" t="s">
        <v>999</v>
      </c>
      <c r="AQ923" s="332" t="str">
        <f>UPPER(RIGHT(Journal_Live[[#This Row],[DURATION ]]))</f>
        <v>D</v>
      </c>
      <c r="AR923" s="182" t="s">
        <v>3538</v>
      </c>
      <c r="AS923" s="189">
        <f>((-0.08*4)+(-0.07*6)+(-0.07*5)+(-0.07*5))/20</f>
        <v>-7.2000000000000008E-2</v>
      </c>
      <c r="AT923" s="189">
        <f>IF(ISBLANK(AS923),,IF(U923="S",AD923-AS923,AS923-AD923))</f>
        <v>-2.1999999999999992E-2</v>
      </c>
      <c r="AU923" s="187">
        <f>AV923*R923</f>
        <v>-703.99999999999977</v>
      </c>
      <c r="AV923" s="190">
        <f>IF(ISBLANK(AS923),,(AT923*Z923))</f>
        <v>-35.199999999999989</v>
      </c>
      <c r="AW923" s="191" t="s">
        <v>229</v>
      </c>
      <c r="AX923" s="409" t="s">
        <v>3539</v>
      </c>
      <c r="AY923" s="407" t="s">
        <v>3540</v>
      </c>
      <c r="AZ923" s="407" t="s">
        <v>3541</v>
      </c>
      <c r="BA923" s="407" t="s">
        <v>3542</v>
      </c>
      <c r="BB923" s="407"/>
      <c r="BC923" s="407"/>
      <c r="BD923" s="407"/>
      <c r="BE923" s="407"/>
      <c r="BF923" s="422"/>
      <c r="BG923" s="391">
        <f>SUM($AV$4:AV923)</f>
        <v>4233.7352406205864</v>
      </c>
      <c r="BH923" s="392">
        <f>SUM($AU$134:AU923)</f>
        <v>16377.24200000022</v>
      </c>
      <c r="BI923" s="318">
        <f>SUMIFS($AU$134:AU924,$Q$134:Q924,"F")</f>
        <v>5918.5333333333328</v>
      </c>
      <c r="BJ923" s="318">
        <f>SUMIFS($AU$134:AU924,$Q$134:Q924,"S")</f>
        <v>11380.441999999999</v>
      </c>
      <c r="BK923" s="343">
        <f>SUMIFS($AU$134:AU924,$P$134:P924,"W")</f>
        <v>10123.74199999994</v>
      </c>
      <c r="BL923" s="343">
        <f>SUMIFS($AU$134:AU924,$P$134:P924,"R")</f>
        <v>6916.673333333335</v>
      </c>
      <c r="BM923" s="343">
        <f>SUMIFS($AU$134:AU924,$AQ$134:AQ924,"M")</f>
        <v>2381.3999999999878</v>
      </c>
      <c r="BN923" s="343">
        <f>SUMIFS($AU$134:AU924,$AQ$134:AQ924,"H")</f>
        <v>4670.1420000000153</v>
      </c>
      <c r="BO923" s="343">
        <f>SUMIFS($AU$134:AU924,$AQ$134:AQ924,"D")</f>
        <v>5064.3466666667146</v>
      </c>
      <c r="BP923" s="343">
        <f>SUMIFS($AU$134:AU926,$AQ$134:AQ926,"W")</f>
        <v>2514.7233333332406</v>
      </c>
      <c r="BQ923" s="343">
        <f>SUMIFS($AU$134:AU924,$Q$134:Q924,"O")</f>
        <v>-816.93333333311739</v>
      </c>
      <c r="BR923" s="343">
        <f>SUMIFS($AU$134:AU924,$AA$134:AA924,"*")</f>
        <v>15781.475333333328</v>
      </c>
      <c r="BS923" s="343">
        <f>SUMIFS($AU$134:AU924,$AB$134:AB924,"*")</f>
        <v>5010.2666666668902</v>
      </c>
      <c r="BT923" s="343">
        <f>SUMIFS($AU$134:AU924,$AC$134:AC924,"*")</f>
        <v>9663.6833333333325</v>
      </c>
      <c r="BU923" s="343">
        <f>SUMIFS($AU$134:AU924,$AA$134:AA924,"*",$AB$134:AB924,"*")</f>
        <v>3538.0000000000045</v>
      </c>
      <c r="BV923" s="343">
        <f>SUMIFS($AU$134:AU924,$AA$134:AA924,"*",$AC$134:AC924,"*")</f>
        <v>9124.7833333333328</v>
      </c>
      <c r="BW923" s="343">
        <f>SUMIFS($AU$134:AU924,$AB$134:AB924,"*",$AC$134:AC924,"*")</f>
        <v>5662.6</v>
      </c>
      <c r="BX923" s="343">
        <f>SUMIFS($AU924:AU$1388,$Q924:Q$1388,"F")</f>
        <v>8522.133333333335</v>
      </c>
      <c r="BY923" s="343">
        <f>SUMIFS($AU924:AU$1388,$Q924:Q$1388,"S")</f>
        <v>9291.2000000000007</v>
      </c>
      <c r="BZ923" s="343">
        <f>SUMIFS($AU924:AU$1388,$Q924:Q$1388,"O")</f>
        <v>-831.92466666668088</v>
      </c>
    </row>
    <row r="924" spans="1:78" ht="15.75" customHeight="1">
      <c r="A924" s="221" t="s">
        <v>3401</v>
      </c>
      <c r="B924" s="177">
        <v>45149</v>
      </c>
      <c r="C924" s="178" t="s">
        <v>3543</v>
      </c>
      <c r="D924" s="178" t="s">
        <v>111</v>
      </c>
      <c r="E924" s="227"/>
      <c r="F924" s="180"/>
      <c r="G924" s="281" t="s">
        <v>2942</v>
      </c>
      <c r="H924" s="182"/>
      <c r="I924" s="182"/>
      <c r="J924" s="182"/>
      <c r="K924" s="183"/>
      <c r="L924" s="182">
        <v>1</v>
      </c>
      <c r="M924" s="182"/>
      <c r="N924" s="182"/>
      <c r="O924" s="183" t="s">
        <v>95</v>
      </c>
      <c r="P924" s="183" t="s">
        <v>137</v>
      </c>
      <c r="Q924" s="183" t="s">
        <v>97</v>
      </c>
      <c r="R924" s="183">
        <v>10</v>
      </c>
      <c r="S924" s="183">
        <v>0</v>
      </c>
      <c r="T924" s="183">
        <v>10</v>
      </c>
      <c r="U924" s="183" t="s">
        <v>97</v>
      </c>
      <c r="V924" s="183"/>
      <c r="W924" s="183"/>
      <c r="X924" s="183"/>
      <c r="Y924" s="184">
        <f>IF(ISBLANK(O924),"",(IF(O924=UPPER("IB"),0.005,0.01)))</f>
        <v>0.01</v>
      </c>
      <c r="Z924" s="185">
        <f>IF(ISBLANK(O924),"",IF(O924="IB",8.63*200,IF(O924="IR",16*100,IF(O924="YT",20*100,IF(O924="YT-XT",24*200,IF(O924="TED",80*100))))))</f>
        <v>1600</v>
      </c>
      <c r="AA924" s="185" t="s">
        <v>99</v>
      </c>
      <c r="AB924" s="185"/>
      <c r="AC924" s="185"/>
      <c r="AD924" s="649">
        <v>-0.09</v>
      </c>
      <c r="AE924" s="182"/>
      <c r="AF924" s="332"/>
      <c r="AG924" s="182"/>
      <c r="AH924" s="182"/>
      <c r="AI924" s="182"/>
      <c r="AJ924" s="640"/>
      <c r="AK924" s="182"/>
      <c r="AL924" s="496">
        <f>-0.03*Z924</f>
        <v>-48</v>
      </c>
      <c r="AM924" s="496">
        <f>AL924*(R924-S924)</f>
        <v>-480</v>
      </c>
      <c r="AN924" s="626"/>
      <c r="AO924" s="182"/>
      <c r="AP924" s="182" t="s">
        <v>1084</v>
      </c>
      <c r="AQ924" s="332" t="str">
        <f>UPPER(RIGHT(Journal_Live[[#This Row],[DURATION ]]))</f>
        <v>H</v>
      </c>
      <c r="AR924" s="182" t="s">
        <v>3544</v>
      </c>
      <c r="AS924" s="189">
        <v>-0.09</v>
      </c>
      <c r="AT924" s="189">
        <f>IF(ISBLANK(AS924),,IF(U924="S",AD924-AS924,AS924-AD924))</f>
        <v>0</v>
      </c>
      <c r="AU924" s="187">
        <f>AV924*R924</f>
        <v>0</v>
      </c>
      <c r="AV924" s="190">
        <f>IF(ISBLANK(AS924),,(AT924*Z924))</f>
        <v>0</v>
      </c>
      <c r="AW924" s="191" t="s">
        <v>115</v>
      </c>
      <c r="AX924" s="407" t="s">
        <v>1264</v>
      </c>
      <c r="AY924" s="407"/>
      <c r="AZ924" s="407"/>
      <c r="BA924" s="407"/>
      <c r="BB924" s="407"/>
      <c r="BC924" s="407"/>
      <c r="BD924" s="407"/>
      <c r="BE924" s="407"/>
      <c r="BF924" s="422"/>
      <c r="BG924" s="391">
        <f>SUM($AV$4:AV924)</f>
        <v>4233.7352406205864</v>
      </c>
      <c r="BH924" s="392">
        <f>SUM($AU$134:AU924)</f>
        <v>16377.24200000022</v>
      </c>
      <c r="BI924" s="318">
        <f>SUMIFS($AU$134:AU925,$Q$134:Q925,"F")</f>
        <v>5918.5333333333328</v>
      </c>
      <c r="BJ924" s="318">
        <f>SUMIFS($AU$134:AU925,$Q$134:Q925,"S")</f>
        <v>11380.441999999999</v>
      </c>
      <c r="BK924" s="343">
        <f>SUMIFS($AU$134:AU925,$P$134:P925,"W")</f>
        <v>10123.74199999994</v>
      </c>
      <c r="BL924" s="343">
        <f>SUMIFS($AU$134:AU925,$P$134:P925,"R")</f>
        <v>6916.673333333335</v>
      </c>
      <c r="BM924" s="343">
        <f>SUMIFS($AU$134:AU925,$AQ$134:AQ925,"M")</f>
        <v>2381.3999999999878</v>
      </c>
      <c r="BN924" s="343">
        <f>SUMIFS($AU$134:AU925,$AQ$134:AQ925,"H")</f>
        <v>4670.1420000000153</v>
      </c>
      <c r="BO924" s="343">
        <f>SUMIFS($AU$134:AU925,$AQ$134:AQ925,"D")</f>
        <v>5064.3466666667146</v>
      </c>
      <c r="BP924" s="343">
        <f>SUMIFS($AU$134:AU927,$AQ$134:AQ927,"W")</f>
        <v>2802.7233333332406</v>
      </c>
      <c r="BQ924" s="343">
        <f>SUMIFS($AU$134:AU925,$Q$134:Q925,"O")</f>
        <v>-816.93333333311739</v>
      </c>
      <c r="BR924" s="343">
        <f>SUMIFS($AU$134:AU925,$AA$134:AA925,"*")</f>
        <v>15781.475333333328</v>
      </c>
      <c r="BS924" s="343">
        <f>SUMIFS($AU$134:AU925,$AB$134:AB925,"*")</f>
        <v>5010.2666666668902</v>
      </c>
      <c r="BT924" s="343">
        <f>SUMIFS($AU$134:AU925,$AC$134:AC925,"*")</f>
        <v>9663.6833333333325</v>
      </c>
      <c r="BU924" s="343">
        <f>SUMIFS($AU$134:AU925,$AA$134:AA925,"*",$AB$134:AB925,"*")</f>
        <v>3538.0000000000045</v>
      </c>
      <c r="BV924" s="343">
        <f>SUMIFS($AU$134:AU925,$AA$134:AA925,"*",$AC$134:AC925,"*")</f>
        <v>9124.7833333333328</v>
      </c>
      <c r="BW924" s="343">
        <f>SUMIFS($AU$134:AU925,$AB$134:AB925,"*",$AC$134:AC925,"*")</f>
        <v>5662.6</v>
      </c>
      <c r="BX924" s="343">
        <f>SUMIFS($AU925:AU$1388,$Q925:Q$1388,"F")</f>
        <v>8522.133333333335</v>
      </c>
      <c r="BY924" s="343">
        <f>SUMIFS($AU925:AU$1388,$Q925:Q$1388,"S")</f>
        <v>9291.2000000000007</v>
      </c>
      <c r="BZ924" s="343">
        <f>SUMIFS($AU925:AU$1388,$Q925:Q$1388,"O")</f>
        <v>-831.92466666668088</v>
      </c>
    </row>
    <row r="925" spans="1:78" ht="15.75" customHeight="1">
      <c r="A925" s="221" t="s">
        <v>3401</v>
      </c>
      <c r="B925" s="177">
        <v>45150</v>
      </c>
      <c r="C925" s="178" t="s">
        <v>3545</v>
      </c>
      <c r="D925" s="178" t="s">
        <v>1676</v>
      </c>
      <c r="E925" s="227"/>
      <c r="F925" s="180"/>
      <c r="G925" s="281" t="s">
        <v>2991</v>
      </c>
      <c r="H925" s="182"/>
      <c r="I925" s="182"/>
      <c r="J925" s="182"/>
      <c r="K925" s="183"/>
      <c r="L925" s="182">
        <v>1</v>
      </c>
      <c r="M925" s="182"/>
      <c r="N925" s="182"/>
      <c r="O925" s="183" t="s">
        <v>95</v>
      </c>
      <c r="P925" s="183" t="s">
        <v>137</v>
      </c>
      <c r="Q925" s="183" t="s">
        <v>97</v>
      </c>
      <c r="R925" s="183">
        <v>18</v>
      </c>
      <c r="S925" s="183">
        <v>0</v>
      </c>
      <c r="T925" s="183">
        <v>18</v>
      </c>
      <c r="U925" s="183" t="s">
        <v>97</v>
      </c>
      <c r="V925" s="183"/>
      <c r="W925" s="183"/>
      <c r="X925" s="183"/>
      <c r="Y925" s="184">
        <f>IF(ISBLANK(O925),"",(IF(O925=UPPER("IB"),0.005,0.01)))</f>
        <v>0.01</v>
      </c>
      <c r="Z925" s="185">
        <f>IF(ISBLANK(O925),"",IF(O925="IB",8.63*200,IF(O925="IR",16*100,IF(O925="YT",20*100,IF(O925="YT-XT",24*200,IF(O925="TED",80*100))))))</f>
        <v>1600</v>
      </c>
      <c r="AA925" s="185" t="s">
        <v>3546</v>
      </c>
      <c r="AB925" s="185"/>
      <c r="AC925" s="185"/>
      <c r="AD925" s="649">
        <v>-0.23</v>
      </c>
      <c r="AE925" s="182"/>
      <c r="AF925" s="332"/>
      <c r="AG925" s="182"/>
      <c r="AH925" s="182"/>
      <c r="AI925" s="182"/>
      <c r="AJ925" s="640"/>
      <c r="AK925" s="182"/>
      <c r="AL925" s="496">
        <f>-0.03*Z925</f>
        <v>-48</v>
      </c>
      <c r="AM925" s="496">
        <f>AL925*(R925-S925)</f>
        <v>-864</v>
      </c>
      <c r="AN925" s="626"/>
      <c r="AO925" s="182"/>
      <c r="AP925" s="182" t="s">
        <v>2214</v>
      </c>
      <c r="AQ925" s="332" t="str">
        <f>UPPER(RIGHT(Journal_Live[[#This Row],[DURATION ]]))</f>
        <v>H</v>
      </c>
      <c r="AR925" s="182" t="s">
        <v>3536</v>
      </c>
      <c r="AS925" s="189">
        <v>-0.23</v>
      </c>
      <c r="AT925" s="189">
        <f>IF(ISBLANK(AS925),,IF(U925="S",AD925-AS925,AS925-AD925))</f>
        <v>0</v>
      </c>
      <c r="AU925" s="187">
        <f>AV925*R925</f>
        <v>0</v>
      </c>
      <c r="AV925" s="190">
        <f>IF(ISBLANK(AS925),,(AT925*Z925))</f>
        <v>0</v>
      </c>
      <c r="AW925" s="191" t="s">
        <v>115</v>
      </c>
      <c r="AX925" s="407" t="s">
        <v>3547</v>
      </c>
      <c r="AY925" s="407" t="s">
        <v>3548</v>
      </c>
      <c r="AZ925" s="407" t="s">
        <v>3549</v>
      </c>
      <c r="BA925" s="407"/>
      <c r="BB925" s="407"/>
      <c r="BC925" s="407"/>
      <c r="BD925" s="407"/>
      <c r="BE925" s="407"/>
      <c r="BF925" s="422"/>
      <c r="BG925" s="391">
        <f>SUM($AV$4:AV925)</f>
        <v>4233.7352406205864</v>
      </c>
      <c r="BH925" s="392">
        <f>SUM($AU$134:AU925)</f>
        <v>16377.24200000022</v>
      </c>
      <c r="BI925" s="318">
        <f>SUMIFS($AU$134:AU926,$Q$134:Q926,"F")</f>
        <v>5918.5333333333328</v>
      </c>
      <c r="BJ925" s="318">
        <f>SUMIFS($AU$134:AU926,$Q$134:Q926,"S")</f>
        <v>11380.441999999999</v>
      </c>
      <c r="BK925" s="343">
        <f>SUMIFS($AU$134:AU926,$P$134:P926,"W")</f>
        <v>10123.74199999994</v>
      </c>
      <c r="BL925" s="343">
        <f>SUMIFS($AU$134:AU926,$P$134:P926,"R")</f>
        <v>6916.673333333335</v>
      </c>
      <c r="BM925" s="343">
        <f>SUMIFS($AU$134:AU926,$AQ$134:AQ926,"M")</f>
        <v>2381.3999999999878</v>
      </c>
      <c r="BN925" s="343">
        <f>SUMIFS($AU$134:AU926,$AQ$134:AQ926,"H")</f>
        <v>4670.1420000000153</v>
      </c>
      <c r="BO925" s="343">
        <f>SUMIFS($AU$134:AU926,$AQ$134:AQ926,"D")</f>
        <v>5064.3466666667146</v>
      </c>
      <c r="BP925" s="343">
        <f>SUMIFS($AU$134:AU928,$AQ$134:AQ928,"W")</f>
        <v>2802.7233333332406</v>
      </c>
      <c r="BQ925" s="343">
        <f>SUMIFS($AU$134:AU926,$Q$134:Q926,"O")</f>
        <v>-816.93333333311739</v>
      </c>
      <c r="BR925" s="343">
        <f>SUMIFS($AU$134:AU926,$AA$134:AA926,"*")</f>
        <v>15781.475333333328</v>
      </c>
      <c r="BS925" s="343">
        <f>SUMIFS($AU$134:AU926,$AB$134:AB926,"*")</f>
        <v>5010.2666666668902</v>
      </c>
      <c r="BT925" s="343">
        <f>SUMIFS($AU$134:AU926,$AC$134:AC926,"*")</f>
        <v>9663.6833333333325</v>
      </c>
      <c r="BU925" s="343">
        <f>SUMIFS($AU$134:AU926,$AA$134:AA926,"*",$AB$134:AB926,"*")</f>
        <v>3538.0000000000045</v>
      </c>
      <c r="BV925" s="343">
        <f>SUMIFS($AU$134:AU926,$AA$134:AA926,"*",$AC$134:AC926,"*")</f>
        <v>9124.7833333333328</v>
      </c>
      <c r="BW925" s="343">
        <f>SUMIFS($AU$134:AU926,$AB$134:AB926,"*",$AC$134:AC926,"*")</f>
        <v>5662.6</v>
      </c>
      <c r="BX925" s="343">
        <f>SUMIFS($AU926:AU$1388,$Q926:Q$1388,"F")</f>
        <v>8522.133333333335</v>
      </c>
      <c r="BY925" s="343">
        <f>SUMIFS($AU926:AU$1388,$Q926:Q$1388,"S")</f>
        <v>9291.2000000000007</v>
      </c>
      <c r="BZ925" s="343">
        <f>SUMIFS($AU926:AU$1388,$Q926:Q$1388,"O")</f>
        <v>-831.92466666668088</v>
      </c>
    </row>
    <row r="926" spans="1:78" ht="15.75" customHeight="1">
      <c r="A926" s="221" t="s">
        <v>3401</v>
      </c>
      <c r="B926" s="200"/>
      <c r="C926" s="178"/>
      <c r="D926" s="178"/>
      <c r="E926" s="227"/>
      <c r="F926" s="180"/>
      <c r="G926" s="181"/>
      <c r="H926" s="182"/>
      <c r="I926" s="182"/>
      <c r="J926" s="182"/>
      <c r="K926" s="183"/>
      <c r="L926" s="182"/>
      <c r="M926" s="182"/>
      <c r="N926" s="182"/>
      <c r="O926" s="183"/>
      <c r="P926" s="183"/>
      <c r="Q926" s="183"/>
      <c r="R926" s="183"/>
      <c r="S926" s="183"/>
      <c r="T926" s="183"/>
      <c r="U926" s="183"/>
      <c r="V926" s="183"/>
      <c r="W926" s="183"/>
      <c r="X926" s="183"/>
      <c r="Y926" s="274"/>
      <c r="Z926" s="183"/>
      <c r="AA926" s="185"/>
      <c r="AB926" s="185"/>
      <c r="AC926" s="185"/>
      <c r="AD926" s="649"/>
      <c r="AE926" s="182"/>
      <c r="AF926" s="332"/>
      <c r="AG926" s="182"/>
      <c r="AH926" s="182"/>
      <c r="AI926" s="182"/>
      <c r="AJ926" s="640"/>
      <c r="AK926" s="182"/>
      <c r="AL926" s="496"/>
      <c r="AM926" s="496"/>
      <c r="AN926" s="626"/>
      <c r="AO926" s="182"/>
      <c r="AP926" s="182"/>
      <c r="AQ926" s="332" t="str">
        <f>UPPER(RIGHT(Journal_Live[[#This Row],[DURATION ]]))</f>
        <v/>
      </c>
      <c r="AR926" s="182"/>
      <c r="AS926" s="189"/>
      <c r="AT926" s="189"/>
      <c r="AU926" s="187"/>
      <c r="AV926" s="190"/>
      <c r="AW926" s="191"/>
      <c r="AX926" s="407" t="s">
        <v>3550</v>
      </c>
      <c r="AY926" s="407" t="s">
        <v>3551</v>
      </c>
      <c r="AZ926" s="407" t="s">
        <v>3552</v>
      </c>
      <c r="BA926" s="407" t="s">
        <v>3553</v>
      </c>
      <c r="BB926" s="407" t="s">
        <v>3554</v>
      </c>
      <c r="BC926" s="407"/>
      <c r="BD926" s="407"/>
      <c r="BE926" s="407"/>
      <c r="BF926" s="422"/>
      <c r="BG926" s="391"/>
      <c r="BH926" s="392">
        <f>SUM($AU$134:AU926)</f>
        <v>16377.24200000022</v>
      </c>
      <c r="BI926" s="318">
        <f>SUMIFS($AU$134:AU927,$Q$134:Q927,"F")</f>
        <v>6206.5333333333328</v>
      </c>
      <c r="BJ926" s="318">
        <f>SUMIFS($AU$134:AU927,$Q$134:Q927,"S")</f>
        <v>11380.441999999999</v>
      </c>
      <c r="BK926" s="343">
        <f>SUMIFS($AU$134:AU927,$P$134:P927,"W")</f>
        <v>10123.74199999994</v>
      </c>
      <c r="BL926" s="343">
        <f>SUMIFS($AU$134:AU927,$P$134:P927,"R")</f>
        <v>7204.673333333335</v>
      </c>
      <c r="BM926" s="343">
        <f>SUMIFS($AU$134:AU927,$AQ$134:AQ927,"M")</f>
        <v>2381.3999999999878</v>
      </c>
      <c r="BN926" s="343">
        <f>SUMIFS($AU$134:AU927,$AQ$134:AQ927,"H")</f>
        <v>4670.1420000000153</v>
      </c>
      <c r="BO926" s="343">
        <f>SUMIFS($AU$134:AU927,$AQ$134:AQ927,"D")</f>
        <v>5064.3466666667146</v>
      </c>
      <c r="BP926" s="343">
        <f>SUMIFS($AU$134:AU929,$AQ$134:AQ929,"W")</f>
        <v>2802.7233333332406</v>
      </c>
      <c r="BQ926" s="343">
        <f>SUMIFS($AU$134:AU927,$Q$134:Q927,"O")</f>
        <v>-816.93333333311739</v>
      </c>
      <c r="BR926" s="343">
        <f>SUMIFS($AU$134:AU927,$AA$134:AA927,"*")</f>
        <v>16069.475333333328</v>
      </c>
      <c r="BS926" s="343">
        <f>SUMIFS($AU$134:AU927,$AB$134:AB927,"*")</f>
        <v>5010.2666666668902</v>
      </c>
      <c r="BT926" s="343">
        <f>SUMIFS($AU$134:AU927,$AC$134:AC927,"*")</f>
        <v>9951.6833333333325</v>
      </c>
      <c r="BU926" s="343">
        <f>SUMIFS($AU$134:AU927,$AA$134:AA927,"*",$AB$134:AB927,"*")</f>
        <v>3538.0000000000045</v>
      </c>
      <c r="BV926" s="343">
        <f>SUMIFS($AU$134:AU927,$AA$134:AA927,"*",$AC$134:AC927,"*")</f>
        <v>9412.7833333333328</v>
      </c>
      <c r="BW926" s="343">
        <f>SUMIFS($AU$134:AU927,$AB$134:AB927,"*",$AC$134:AC927,"*")</f>
        <v>5662.6</v>
      </c>
      <c r="BX926" s="343">
        <f>SUMIFS($AU927:AU$1388,$Q927:Q$1388,"F")</f>
        <v>8522.133333333335</v>
      </c>
      <c r="BY926" s="343">
        <f>SUMIFS($AU927:AU$1388,$Q927:Q$1388,"S")</f>
        <v>9291.2000000000007</v>
      </c>
      <c r="BZ926" s="343">
        <f>SUMIFS($AU927:AU$1388,$Q927:Q$1388,"O")</f>
        <v>-831.92466666668088</v>
      </c>
    </row>
    <row r="927" spans="1:78" ht="15.75" customHeight="1">
      <c r="A927" s="221" t="s">
        <v>3401</v>
      </c>
      <c r="B927" s="177">
        <v>45152</v>
      </c>
      <c r="C927" s="178" t="s">
        <v>3001</v>
      </c>
      <c r="D927" s="178" t="s">
        <v>132</v>
      </c>
      <c r="E927" s="227"/>
      <c r="F927" s="180"/>
      <c r="G927" s="281" t="s">
        <v>3555</v>
      </c>
      <c r="H927" s="182"/>
      <c r="I927" s="182"/>
      <c r="J927" s="182"/>
      <c r="K927" s="183"/>
      <c r="L927" s="182">
        <v>2</v>
      </c>
      <c r="M927" s="182">
        <v>2</v>
      </c>
      <c r="N927" s="182"/>
      <c r="O927" s="183" t="s">
        <v>95</v>
      </c>
      <c r="P927" s="183" t="s">
        <v>137</v>
      </c>
      <c r="Q927" s="183" t="s">
        <v>256</v>
      </c>
      <c r="R927" s="183">
        <v>32</v>
      </c>
      <c r="S927" s="183">
        <v>29</v>
      </c>
      <c r="T927" s="183">
        <v>24</v>
      </c>
      <c r="U927" s="183" t="s">
        <v>97</v>
      </c>
      <c r="V927" s="183"/>
      <c r="W927" s="183"/>
      <c r="X927" s="183"/>
      <c r="Y927" s="184">
        <f>IF(ISBLANK(O927),"",(IF(O927=UPPER("IB"),0.005,0.01)))</f>
        <v>0.01</v>
      </c>
      <c r="Z927" s="185">
        <f>IF(ISBLANK(O927),"",IF(O927="IB",8.63*200,IF(O927="IR",16*100,IF(O927="YT",20*100,IF(O927="YT-XT",24*200,IF(O927="TED",80*100))))))</f>
        <v>1600</v>
      </c>
      <c r="AA927" s="185" t="s">
        <v>3556</v>
      </c>
      <c r="AB927" s="185"/>
      <c r="AC927" s="185" t="s">
        <v>3557</v>
      </c>
      <c r="AD927" s="649">
        <f>((-0.02*14)+(-0.01*18))/32</f>
        <v>-1.4375000000000001E-2</v>
      </c>
      <c r="AE927" s="182"/>
      <c r="AF927" s="332"/>
      <c r="AG927" s="182"/>
      <c r="AH927" s="182" t="s">
        <v>3558</v>
      </c>
      <c r="AI927" s="182"/>
      <c r="AJ927" s="640"/>
      <c r="AK927" s="182"/>
      <c r="AL927" s="496">
        <f>-0.03*Z927</f>
        <v>-48</v>
      </c>
      <c r="AM927" s="496">
        <f>AL927*(R927-S927)</f>
        <v>-144</v>
      </c>
      <c r="AN927" s="626"/>
      <c r="AO927" s="182"/>
      <c r="AP927" s="182" t="s">
        <v>902</v>
      </c>
      <c r="AQ927" s="332" t="str">
        <f>UPPER(RIGHT(Journal_Live[[#This Row],[DURATION ]]))</f>
        <v>W</v>
      </c>
      <c r="AR927" s="182" t="s">
        <v>3559</v>
      </c>
      <c r="AS927" s="189">
        <f>((-0.02*5)+(-0.02*10)+(-0.02*14)+(-0.02*3))/32</f>
        <v>-2.0000000000000004E-2</v>
      </c>
      <c r="AT927" s="189">
        <f>IF(ISBLANK(AS927),,IF(U927="S",AD927-AS927,AS927-AD927))</f>
        <v>5.6250000000000033E-3</v>
      </c>
      <c r="AU927" s="187">
        <f>AV927*R927</f>
        <v>288.00000000000017</v>
      </c>
      <c r="AV927" s="190">
        <f>IF(ISBLANK(AS927),,(AT927*Z927))</f>
        <v>9.0000000000000053</v>
      </c>
      <c r="AW927" s="191" t="s">
        <v>96</v>
      </c>
      <c r="AX927" s="407" t="s">
        <v>3560</v>
      </c>
      <c r="AY927" s="407" t="s">
        <v>3561</v>
      </c>
      <c r="AZ927" s="407" t="s">
        <v>3562</v>
      </c>
      <c r="BA927" s="407" t="s">
        <v>3563</v>
      </c>
      <c r="BB927" s="407" t="s">
        <v>3564</v>
      </c>
      <c r="BC927" s="407" t="s">
        <v>3565</v>
      </c>
      <c r="BD927" s="407" t="s">
        <v>3566</v>
      </c>
      <c r="BE927" s="407"/>
      <c r="BF927" s="422"/>
      <c r="BG927" s="391">
        <f>SUM($AV$4:AV927)</f>
        <v>4242.7352406205864</v>
      </c>
      <c r="BH927" s="392">
        <f>SUM($AU$134:AU927)</f>
        <v>16665.24200000022</v>
      </c>
      <c r="BI927" s="318">
        <f>SUMIFS($AU$134:AU928,$Q$134:Q928,"F")</f>
        <v>6206.5333333333328</v>
      </c>
      <c r="BJ927" s="318">
        <f>SUMIFS($AU$134:AU928,$Q$134:Q928,"S")</f>
        <v>11380.441999999999</v>
      </c>
      <c r="BK927" s="343">
        <f>SUMIFS($AU$134:AU928,$P$134:P928,"W")</f>
        <v>10123.74199999994</v>
      </c>
      <c r="BL927" s="343">
        <f>SUMIFS($AU$134:AU928,$P$134:P928,"R")</f>
        <v>7204.673333333335</v>
      </c>
      <c r="BM927" s="343">
        <f>SUMIFS($AU$134:AU928,$AQ$134:AQ928,"M")</f>
        <v>2381.3999999999878</v>
      </c>
      <c r="BN927" s="343">
        <f>SUMIFS($AU$134:AU928,$AQ$134:AQ928,"H")</f>
        <v>4670.1420000000153</v>
      </c>
      <c r="BO927" s="343">
        <f>SUMIFS($AU$134:AU928,$AQ$134:AQ928,"D")</f>
        <v>5064.3466666667146</v>
      </c>
      <c r="BP927" s="343">
        <f>SUMIFS($AU$134:AU930,$AQ$134:AQ930,"W")</f>
        <v>2802.7233333332406</v>
      </c>
      <c r="BQ927" s="343">
        <f>SUMIFS($AU$134:AU928,$Q$134:Q928,"O")</f>
        <v>-816.93333333311739</v>
      </c>
      <c r="BR927" s="343">
        <f>SUMIFS($AU$134:AU928,$AA$134:AA928,"*")</f>
        <v>16069.475333333328</v>
      </c>
      <c r="BS927" s="343">
        <f>SUMIFS($AU$134:AU928,$AB$134:AB928,"*")</f>
        <v>5010.2666666668902</v>
      </c>
      <c r="BT927" s="343">
        <f>SUMIFS($AU$134:AU928,$AC$134:AC928,"*")</f>
        <v>9951.6833333333325</v>
      </c>
      <c r="BU927" s="343">
        <f>SUMIFS($AU$134:AU928,$AA$134:AA928,"*",$AB$134:AB928,"*")</f>
        <v>3538.0000000000045</v>
      </c>
      <c r="BV927" s="343">
        <f>SUMIFS($AU$134:AU928,$AA$134:AA928,"*",$AC$134:AC928,"*")</f>
        <v>9412.7833333333328</v>
      </c>
      <c r="BW927" s="343">
        <f>SUMIFS($AU$134:AU928,$AB$134:AB928,"*",$AC$134:AC928,"*")</f>
        <v>5662.6</v>
      </c>
      <c r="BX927" s="343">
        <f>SUMIFS($AU928:AU$1388,$Q928:Q$1388,"F")</f>
        <v>8234.133333333335</v>
      </c>
      <c r="BY927" s="343">
        <f>SUMIFS($AU928:AU$1388,$Q928:Q$1388,"S")</f>
        <v>9291.2000000000007</v>
      </c>
      <c r="BZ927" s="343">
        <f>SUMIFS($AU928:AU$1388,$Q928:Q$1388,"O")</f>
        <v>-831.92466666668088</v>
      </c>
    </row>
    <row r="928" spans="1:78" ht="15.75" customHeight="1">
      <c r="A928" s="221" t="s">
        <v>3401</v>
      </c>
      <c r="B928" s="177">
        <v>45152</v>
      </c>
      <c r="C928" s="178" t="s">
        <v>587</v>
      </c>
      <c r="D928" s="178" t="s">
        <v>132</v>
      </c>
      <c r="E928" s="227"/>
      <c r="F928" s="180"/>
      <c r="G928" s="181" t="s">
        <v>2145</v>
      </c>
      <c r="H928" s="182"/>
      <c r="I928" s="182"/>
      <c r="J928" s="182"/>
      <c r="K928" s="183"/>
      <c r="L928" s="182"/>
      <c r="M928" s="182"/>
      <c r="N928" s="182"/>
      <c r="O928" s="183"/>
      <c r="P928" s="183"/>
      <c r="Q928" s="183"/>
      <c r="R928" s="183"/>
      <c r="S928" s="183"/>
      <c r="T928" s="183"/>
      <c r="U928" s="183"/>
      <c r="V928" s="183"/>
      <c r="W928" s="183"/>
      <c r="X928" s="183"/>
      <c r="Y928" s="184"/>
      <c r="Z928" s="185"/>
      <c r="AA928" s="185"/>
      <c r="AB928" s="185"/>
      <c r="AC928" s="185"/>
      <c r="AD928" s="649"/>
      <c r="AE928" s="182"/>
      <c r="AF928" s="332"/>
      <c r="AG928" s="182"/>
      <c r="AH928" s="182"/>
      <c r="AI928" s="182"/>
      <c r="AJ928" s="640"/>
      <c r="AK928" s="182"/>
      <c r="AL928" s="496">
        <f t="shared" ref="AL928" si="301">-0.03*Z928</f>
        <v>0</v>
      </c>
      <c r="AM928" s="496">
        <f>AL928*(R928-S928)</f>
        <v>0</v>
      </c>
      <c r="AN928" s="626"/>
      <c r="AO928" s="182"/>
      <c r="AP928" s="182"/>
      <c r="AQ928" s="332" t="str">
        <f>UPPER(RIGHT(Journal_Live[[#This Row],[DURATION ]]))</f>
        <v/>
      </c>
      <c r="AR928" s="182"/>
      <c r="AS928" s="189"/>
      <c r="AT928" s="189"/>
      <c r="AU928" s="187"/>
      <c r="AV928" s="190"/>
      <c r="AW928" s="191"/>
      <c r="AX928" s="407" t="s">
        <v>3567</v>
      </c>
      <c r="AY928" s="407"/>
      <c r="AZ928" s="407"/>
      <c r="BA928" s="407"/>
      <c r="BB928" s="407"/>
      <c r="BC928" s="407"/>
      <c r="BD928" s="407"/>
      <c r="BE928" s="407"/>
      <c r="BF928" s="422"/>
      <c r="BG928" s="391">
        <f>SUM($AV$4:AV928)</f>
        <v>4242.7352406205864</v>
      </c>
      <c r="BH928" s="392">
        <f>SUM($AU$134:AU928)</f>
        <v>16665.24200000022</v>
      </c>
      <c r="BI928" s="318">
        <f>SUMIFS($AU$134:AU929,$Q$134:Q929,"F")</f>
        <v>6206.5333333333328</v>
      </c>
      <c r="BJ928" s="318">
        <f>SUMIFS($AU$134:AU929,$Q$134:Q929,"S")</f>
        <v>11380.441999999999</v>
      </c>
      <c r="BK928" s="343">
        <f>SUMIFS($AU$134:AU929,$P$134:P929,"W")</f>
        <v>10123.74199999994</v>
      </c>
      <c r="BL928" s="343">
        <f>SUMIFS($AU$134:AU929,$P$134:P929,"R")</f>
        <v>7204.673333333335</v>
      </c>
      <c r="BM928" s="343">
        <f>SUMIFS($AU$134:AU929,$AQ$134:AQ929,"M")</f>
        <v>2381.3999999999878</v>
      </c>
      <c r="BN928" s="343">
        <f>SUMIFS($AU$134:AU929,$AQ$134:AQ929,"H")</f>
        <v>4670.1420000000153</v>
      </c>
      <c r="BO928" s="343">
        <f>SUMIFS($AU$134:AU929,$AQ$134:AQ929,"D")</f>
        <v>5064.3466666667146</v>
      </c>
      <c r="BP928" s="343">
        <f>SUMIFS($AU$134:AU931,$AQ$134:AQ931,"W")</f>
        <v>2802.7233333332406</v>
      </c>
      <c r="BQ928" s="343">
        <f>SUMIFS($AU$134:AU929,$Q$134:Q929,"O")</f>
        <v>-816.93333333311739</v>
      </c>
      <c r="BR928" s="343">
        <f>SUMIFS($AU$134:AU929,$AA$134:AA929,"*")</f>
        <v>16069.475333333328</v>
      </c>
      <c r="BS928" s="343">
        <f>SUMIFS($AU$134:AU929,$AB$134:AB929,"*")</f>
        <v>5010.2666666668902</v>
      </c>
      <c r="BT928" s="343">
        <f>SUMIFS($AU$134:AU929,$AC$134:AC929,"*")</f>
        <v>9951.6833333333325</v>
      </c>
      <c r="BU928" s="343">
        <f>SUMIFS($AU$134:AU929,$AA$134:AA929,"*",$AB$134:AB929,"*")</f>
        <v>3538.0000000000045</v>
      </c>
      <c r="BV928" s="343">
        <f>SUMIFS($AU$134:AU929,$AA$134:AA929,"*",$AC$134:AC929,"*")</f>
        <v>9412.7833333333328</v>
      </c>
      <c r="BW928" s="343">
        <f>SUMIFS($AU$134:AU929,$AB$134:AB929,"*",$AC$134:AC929,"*")</f>
        <v>5662.6</v>
      </c>
      <c r="BX928" s="343">
        <f>SUMIFS($AU929:AU$1388,$Q929:Q$1388,"F")</f>
        <v>8234.133333333335</v>
      </c>
      <c r="BY928" s="343">
        <f>SUMIFS($AU929:AU$1388,$Q929:Q$1388,"S")</f>
        <v>9291.2000000000007</v>
      </c>
      <c r="BZ928" s="343">
        <f>SUMIFS($AU929:AU$1388,$Q929:Q$1388,"O")</f>
        <v>-831.92466666668088</v>
      </c>
    </row>
    <row r="929" spans="1:78" ht="15.75" customHeight="1">
      <c r="A929" s="221" t="s">
        <v>3401</v>
      </c>
      <c r="B929" s="177">
        <v>45153</v>
      </c>
      <c r="C929" s="178" t="s">
        <v>575</v>
      </c>
      <c r="D929" s="178" t="s">
        <v>146</v>
      </c>
      <c r="E929" s="227" t="s">
        <v>3568</v>
      </c>
      <c r="F929" s="180"/>
      <c r="G929" s="181"/>
      <c r="H929" s="182">
        <v>1</v>
      </c>
      <c r="I929" s="182"/>
      <c r="J929" s="182"/>
      <c r="K929" s="183" t="s">
        <v>372</v>
      </c>
      <c r="L929" s="182"/>
      <c r="M929" s="182"/>
      <c r="N929" s="182"/>
      <c r="O929" s="183"/>
      <c r="P929" s="183"/>
      <c r="Q929" s="183"/>
      <c r="R929" s="183"/>
      <c r="S929" s="183"/>
      <c r="T929" s="183"/>
      <c r="U929" s="183"/>
      <c r="V929" s="183"/>
      <c r="W929" s="183"/>
      <c r="X929" s="183"/>
      <c r="Y929" s="184" t="str">
        <f>IF(ISBLANK(O929),"",(IF(O929=UPPER("IB"),0.005,0.01)))</f>
        <v/>
      </c>
      <c r="Z929" s="185" t="str">
        <f t="shared" ref="Z929:Z946" si="302">IF(ISBLANK(O929),"",IF(O929="IB",8.63*200,IF(O929="IR",16*100,IF(O929="YT",20*100,IF(O929="YT-XT",24*200,IF(O929="TED",80*100))))))</f>
        <v/>
      </c>
      <c r="AA929" s="185"/>
      <c r="AB929" s="185"/>
      <c r="AC929" s="185"/>
      <c r="AD929" s="649"/>
      <c r="AE929" s="182"/>
      <c r="AF929" s="332"/>
      <c r="AG929" s="182"/>
      <c r="AH929" s="182"/>
      <c r="AI929" s="182"/>
      <c r="AJ929" s="640"/>
      <c r="AK929" s="182"/>
      <c r="AL929" s="496"/>
      <c r="AM929" s="496"/>
      <c r="AN929" s="626"/>
      <c r="AO929" s="182"/>
      <c r="AP929" s="182"/>
      <c r="AQ929" s="332" t="str">
        <f>UPPER(RIGHT(Journal_Live[[#This Row],[DURATION ]]))</f>
        <v/>
      </c>
      <c r="AR929" s="182"/>
      <c r="AS929" s="189"/>
      <c r="AT929" s="189"/>
      <c r="AU929" s="187"/>
      <c r="AV929" s="190"/>
      <c r="AW929" s="191"/>
      <c r="AX929" s="407"/>
      <c r="AY929" s="407"/>
      <c r="AZ929" s="407"/>
      <c r="BA929" s="407"/>
      <c r="BB929" s="407"/>
      <c r="BC929" s="407"/>
      <c r="BD929" s="407"/>
      <c r="BE929" s="407"/>
      <c r="BF929" s="422"/>
      <c r="BG929" s="391">
        <f>SUM($AV$4:AV929)</f>
        <v>4242.7352406205864</v>
      </c>
      <c r="BH929" s="392">
        <f>SUM($AU$134:AU929)</f>
        <v>16665.24200000022</v>
      </c>
      <c r="BI929" s="318">
        <f>SUMIFS($AU$134:AU930,$Q$134:Q930,"F")</f>
        <v>6206.5333333333328</v>
      </c>
      <c r="BJ929" s="318">
        <f>SUMIFS($AU$134:AU930,$Q$134:Q930,"S")</f>
        <v>11380.441999999999</v>
      </c>
      <c r="BK929" s="343">
        <f>SUMIFS($AU$134:AU930,$P$134:P930,"W")</f>
        <v>10123.74199999994</v>
      </c>
      <c r="BL929" s="343">
        <f>SUMIFS($AU$134:AU930,$P$134:P930,"R")</f>
        <v>7204.673333333335</v>
      </c>
      <c r="BM929" s="343">
        <f>SUMIFS($AU$134:AU930,$AQ$134:AQ930,"M")</f>
        <v>2381.3999999999878</v>
      </c>
      <c r="BN929" s="343">
        <f>SUMIFS($AU$134:AU930,$AQ$134:AQ930,"H")</f>
        <v>4670.1420000000153</v>
      </c>
      <c r="BO929" s="343">
        <f>SUMIFS($AU$134:AU930,$AQ$134:AQ930,"D")</f>
        <v>5064.3466666667146</v>
      </c>
      <c r="BP929" s="343">
        <f>SUMIFS($AU$134:AU932,$AQ$134:AQ932,"W")</f>
        <v>2802.7233333332406</v>
      </c>
      <c r="BQ929" s="343">
        <f>SUMIFS($AU$134:AU930,$Q$134:Q930,"O")</f>
        <v>-816.93333333311739</v>
      </c>
      <c r="BR929" s="343">
        <f>SUMIFS($AU$134:AU930,$AA$134:AA930,"*")</f>
        <v>16069.475333333328</v>
      </c>
      <c r="BS929" s="343">
        <f>SUMIFS($AU$134:AU930,$AB$134:AB930,"*")</f>
        <v>5010.2666666668902</v>
      </c>
      <c r="BT929" s="343">
        <f>SUMIFS($AU$134:AU930,$AC$134:AC930,"*")</f>
        <v>9951.6833333333325</v>
      </c>
      <c r="BU929" s="343">
        <f>SUMIFS($AU$134:AU930,$AA$134:AA930,"*",$AB$134:AB930,"*")</f>
        <v>3538.0000000000045</v>
      </c>
      <c r="BV929" s="343">
        <f>SUMIFS($AU$134:AU930,$AA$134:AA930,"*",$AC$134:AC930,"*")</f>
        <v>9412.7833333333328</v>
      </c>
      <c r="BW929" s="343">
        <f>SUMIFS($AU$134:AU930,$AB$134:AB930,"*",$AC$134:AC930,"*")</f>
        <v>5662.6</v>
      </c>
      <c r="BX929" s="343">
        <f>SUMIFS($AU930:AU$1388,$Q930:Q$1388,"F")</f>
        <v>8234.133333333335</v>
      </c>
      <c r="BY929" s="343">
        <f>SUMIFS($AU930:AU$1388,$Q930:Q$1388,"S")</f>
        <v>9291.2000000000007</v>
      </c>
      <c r="BZ929" s="343">
        <f>SUMIFS($AU930:AU$1388,$Q930:Q$1388,"O")</f>
        <v>-831.92466666668088</v>
      </c>
    </row>
    <row r="930" spans="1:78" ht="15.75" customHeight="1">
      <c r="A930" s="221" t="s">
        <v>3401</v>
      </c>
      <c r="B930" s="177"/>
      <c r="C930" s="178"/>
      <c r="D930" s="178"/>
      <c r="E930" s="227" t="s">
        <v>3569</v>
      </c>
      <c r="F930" s="180" t="s">
        <v>3570</v>
      </c>
      <c r="G930" s="181"/>
      <c r="H930" s="182">
        <v>1</v>
      </c>
      <c r="I930" s="182"/>
      <c r="J930" s="182"/>
      <c r="K930" s="183" t="s">
        <v>372</v>
      </c>
      <c r="L930" s="182"/>
      <c r="M930" s="182"/>
      <c r="N930" s="182"/>
      <c r="O930" s="183"/>
      <c r="P930" s="183"/>
      <c r="Q930" s="183"/>
      <c r="R930" s="183"/>
      <c r="S930" s="183"/>
      <c r="T930" s="183"/>
      <c r="U930" s="183"/>
      <c r="V930" s="183"/>
      <c r="W930" s="183"/>
      <c r="X930" s="183"/>
      <c r="Y930" s="184" t="str">
        <f>IF(ISBLANK(O930),"",(IF(O930=UPPER("IB"),0.005,0.01)))</f>
        <v/>
      </c>
      <c r="Z930" s="185" t="str">
        <f t="shared" si="302"/>
        <v/>
      </c>
      <c r="AA930" s="185"/>
      <c r="AB930" s="185"/>
      <c r="AC930" s="185"/>
      <c r="AD930" s="649"/>
      <c r="AE930" s="182"/>
      <c r="AF930" s="332"/>
      <c r="AG930" s="182"/>
      <c r="AH930" s="182"/>
      <c r="AI930" s="182"/>
      <c r="AJ930" s="640"/>
      <c r="AK930" s="182"/>
      <c r="AL930" s="496"/>
      <c r="AM930" s="496"/>
      <c r="AN930" s="626"/>
      <c r="AO930" s="182"/>
      <c r="AP930" s="182"/>
      <c r="AQ930" s="332" t="str">
        <f>UPPER(RIGHT(Journal_Live[[#This Row],[DURATION ]]))</f>
        <v/>
      </c>
      <c r="AR930" s="182"/>
      <c r="AS930" s="189"/>
      <c r="AT930" s="189"/>
      <c r="AU930" s="187"/>
      <c r="AV930" s="190"/>
      <c r="AW930" s="191"/>
      <c r="AX930" s="407"/>
      <c r="AY930" s="407"/>
      <c r="AZ930" s="407"/>
      <c r="BA930" s="407"/>
      <c r="BB930" s="407"/>
      <c r="BC930" s="407"/>
      <c r="BD930" s="407"/>
      <c r="BE930" s="407"/>
      <c r="BF930" s="422"/>
      <c r="BG930" s="391">
        <f>SUM($AV$4:AV930)</f>
        <v>4242.7352406205864</v>
      </c>
      <c r="BH930" s="392">
        <f>SUM($AU$134:AU930)</f>
        <v>16665.24200000022</v>
      </c>
      <c r="BI930" s="318">
        <f>SUMIFS($AU$134:AU931,$Q$134:Q931,"F")</f>
        <v>6206.5333333333328</v>
      </c>
      <c r="BJ930" s="318">
        <f>SUMIFS($AU$134:AU931,$Q$134:Q931,"S")</f>
        <v>11428.441999999999</v>
      </c>
      <c r="BK930" s="343">
        <f>SUMIFS($AU$134:AU931,$P$134:P931,"W")</f>
        <v>10171.74199999994</v>
      </c>
      <c r="BL930" s="343">
        <f>SUMIFS($AU$134:AU931,$P$134:P931,"R")</f>
        <v>7204.673333333335</v>
      </c>
      <c r="BM930" s="343">
        <f>SUMIFS($AU$134:AU931,$AQ$134:AQ931,"M")</f>
        <v>2381.3999999999878</v>
      </c>
      <c r="BN930" s="343">
        <f>SUMIFS($AU$134:AU931,$AQ$134:AQ931,"H")</f>
        <v>4718.1420000000153</v>
      </c>
      <c r="BO930" s="343">
        <f>SUMIFS($AU$134:AU931,$AQ$134:AQ931,"D")</f>
        <v>5064.3466666667146</v>
      </c>
      <c r="BP930" s="343">
        <f>SUMIFS($AU$134:AU933,$AQ$134:AQ933,"W")</f>
        <v>2802.7233333332406</v>
      </c>
      <c r="BQ930" s="343">
        <f>SUMIFS($AU$134:AU931,$Q$134:Q931,"O")</f>
        <v>-816.93333333311739</v>
      </c>
      <c r="BR930" s="343">
        <f>SUMIFS($AU$134:AU931,$AA$134:AA931,"*")</f>
        <v>16117.475333333328</v>
      </c>
      <c r="BS930" s="343">
        <f>SUMIFS($AU$134:AU931,$AB$134:AB931,"*")</f>
        <v>5010.2666666668902</v>
      </c>
      <c r="BT930" s="343">
        <f>SUMIFS($AU$134:AU931,$AC$134:AC931,"*")</f>
        <v>9951.6833333333325</v>
      </c>
      <c r="BU930" s="343">
        <f>SUMIFS($AU$134:AU931,$AA$134:AA931,"*",$AB$134:AB931,"*")</f>
        <v>3538.0000000000045</v>
      </c>
      <c r="BV930" s="343">
        <f>SUMIFS($AU$134:AU931,$AA$134:AA931,"*",$AC$134:AC931,"*")</f>
        <v>9412.7833333333328</v>
      </c>
      <c r="BW930" s="343">
        <f>SUMIFS($AU$134:AU931,$AB$134:AB931,"*",$AC$134:AC931,"*")</f>
        <v>5662.6</v>
      </c>
      <c r="BX930" s="343">
        <f>SUMIFS($AU931:AU$1388,$Q931:Q$1388,"F")</f>
        <v>8234.133333333335</v>
      </c>
      <c r="BY930" s="343">
        <f>SUMIFS($AU931:AU$1388,$Q931:Q$1388,"S")</f>
        <v>9291.2000000000007</v>
      </c>
      <c r="BZ930" s="343">
        <f>SUMIFS($AU931:AU$1388,$Q931:Q$1388,"O")</f>
        <v>-831.92466666668088</v>
      </c>
    </row>
    <row r="931" spans="1:78" ht="15.75" customHeight="1">
      <c r="A931" s="221" t="s">
        <v>3401</v>
      </c>
      <c r="B931" s="177">
        <v>45153</v>
      </c>
      <c r="C931" s="178" t="s">
        <v>3571</v>
      </c>
      <c r="D931" s="178" t="s">
        <v>146</v>
      </c>
      <c r="E931" s="227"/>
      <c r="F931" s="180"/>
      <c r="G931" s="281" t="s">
        <v>2145</v>
      </c>
      <c r="H931" s="182"/>
      <c r="I931" s="182"/>
      <c r="J931" s="182"/>
      <c r="K931" s="183"/>
      <c r="L931" s="182">
        <v>1</v>
      </c>
      <c r="M931" s="182"/>
      <c r="N931" s="182"/>
      <c r="O931" s="183" t="s">
        <v>95</v>
      </c>
      <c r="P931" s="183" t="s">
        <v>96</v>
      </c>
      <c r="Q931" s="183" t="s">
        <v>97</v>
      </c>
      <c r="R931" s="183">
        <v>11</v>
      </c>
      <c r="S931" s="183">
        <v>0</v>
      </c>
      <c r="T931" s="183">
        <v>11</v>
      </c>
      <c r="U931" s="183" t="s">
        <v>97</v>
      </c>
      <c r="V931" s="183"/>
      <c r="W931" s="183"/>
      <c r="X931" s="183"/>
      <c r="Y931" s="184">
        <f>IF(ISBLANK(O931),"",(IF(O931=UPPER("IB"),0.005,0.01)))</f>
        <v>0.01</v>
      </c>
      <c r="Z931" s="185">
        <f t="shared" si="302"/>
        <v>1600</v>
      </c>
      <c r="AA931" s="185" t="s">
        <v>99</v>
      </c>
      <c r="AB931" s="185"/>
      <c r="AC931" s="185"/>
      <c r="AD931" s="649">
        <f>(0.07*7+0.05*4)/11</f>
        <v>6.2727272727272729E-2</v>
      </c>
      <c r="AE931" s="182"/>
      <c r="AF931" s="332"/>
      <c r="AG931" s="182"/>
      <c r="AH931" s="182"/>
      <c r="AI931" s="182"/>
      <c r="AJ931" s="640"/>
      <c r="AK931" s="182"/>
      <c r="AL931" s="496">
        <f>-0.02*Z931</f>
        <v>-32</v>
      </c>
      <c r="AM931" s="496">
        <f>AL931*(R931-S931)</f>
        <v>-352</v>
      </c>
      <c r="AN931" s="626"/>
      <c r="AO931" s="182"/>
      <c r="AP931" s="182" t="s">
        <v>967</v>
      </c>
      <c r="AQ931" s="332" t="str">
        <f>UPPER(RIGHT(Journal_Live[[#This Row],[DURATION ]]))</f>
        <v>H</v>
      </c>
      <c r="AR931" s="182" t="s">
        <v>3572</v>
      </c>
      <c r="AS931" s="189">
        <v>0.06</v>
      </c>
      <c r="AT931" s="189">
        <f>IF(ISBLANK(AS931),,IF(U931="S",AD931-AS931,AS931-AD931))</f>
        <v>2.727272727272731E-3</v>
      </c>
      <c r="AU931" s="187">
        <f>AV931*R931</f>
        <v>48.000000000000064</v>
      </c>
      <c r="AV931" s="190">
        <f>IF(ISBLANK(AS931),,(AT931*Z931))</f>
        <v>4.3636363636363695</v>
      </c>
      <c r="AW931" s="191" t="s">
        <v>96</v>
      </c>
      <c r="AX931" s="407"/>
      <c r="AY931" s="407"/>
      <c r="AZ931" s="407"/>
      <c r="BA931" s="407"/>
      <c r="BB931" s="407"/>
      <c r="BC931" s="407"/>
      <c r="BD931" s="407"/>
      <c r="BE931" s="407"/>
      <c r="BF931" s="422"/>
      <c r="BG931" s="391">
        <f>SUM($AV$4:AV931)</f>
        <v>4247.0988769842224</v>
      </c>
      <c r="BH931" s="392">
        <f>SUM($AU$134:AU931)</f>
        <v>16713.24200000022</v>
      </c>
      <c r="BI931" s="318">
        <f>SUMIFS($AU$134:AU932,$Q$134:Q932,"F")</f>
        <v>6206.5333333333328</v>
      </c>
      <c r="BJ931" s="318">
        <f>SUMIFS($AU$134:AU932,$Q$134:Q932,"S")</f>
        <v>11428.441999999999</v>
      </c>
      <c r="BK931" s="343">
        <f>SUMIFS($AU$134:AU932,$P$134:P932,"W")</f>
        <v>10171.74199999994</v>
      </c>
      <c r="BL931" s="343">
        <f>SUMIFS($AU$134:AU932,$P$134:P932,"R")</f>
        <v>7204.673333333335</v>
      </c>
      <c r="BM931" s="343">
        <f>SUMIFS($AU$134:AU932,$AQ$134:AQ932,"M")</f>
        <v>2381.3999999999878</v>
      </c>
      <c r="BN931" s="343">
        <f>SUMIFS($AU$134:AU932,$AQ$134:AQ932,"H")</f>
        <v>4718.1420000000153</v>
      </c>
      <c r="BO931" s="343">
        <f>SUMIFS($AU$134:AU932,$AQ$134:AQ932,"D")</f>
        <v>5064.3466666667146</v>
      </c>
      <c r="BP931" s="343">
        <f>SUMIFS($AU$134:AU934,$AQ$134:AQ934,"W")</f>
        <v>2802.7233333332406</v>
      </c>
      <c r="BQ931" s="343">
        <f>SUMIFS($AU$134:AU932,$Q$134:Q932,"O")</f>
        <v>-816.93333333311739</v>
      </c>
      <c r="BR931" s="343">
        <f>SUMIFS($AU$134:AU932,$AA$134:AA932,"*")</f>
        <v>16117.475333333328</v>
      </c>
      <c r="BS931" s="343">
        <f>SUMIFS($AU$134:AU932,$AB$134:AB932,"*")</f>
        <v>5010.2666666668902</v>
      </c>
      <c r="BT931" s="343">
        <f>SUMIFS($AU$134:AU932,$AC$134:AC932,"*")</f>
        <v>9951.6833333333325</v>
      </c>
      <c r="BU931" s="343">
        <f>SUMIFS($AU$134:AU932,$AA$134:AA932,"*",$AB$134:AB932,"*")</f>
        <v>3538.0000000000045</v>
      </c>
      <c r="BV931" s="343">
        <f>SUMIFS($AU$134:AU932,$AA$134:AA932,"*",$AC$134:AC932,"*")</f>
        <v>9412.7833333333328</v>
      </c>
      <c r="BW931" s="343">
        <f>SUMIFS($AU$134:AU932,$AB$134:AB932,"*",$AC$134:AC932,"*")</f>
        <v>5662.6</v>
      </c>
      <c r="BX931" s="343">
        <f>SUMIFS($AU932:AU$1388,$Q932:Q$1388,"F")</f>
        <v>8234.133333333335</v>
      </c>
      <c r="BY931" s="343">
        <f>SUMIFS($AU932:AU$1388,$Q932:Q$1388,"S")</f>
        <v>9243.2000000000007</v>
      </c>
      <c r="BZ931" s="343">
        <f>SUMIFS($AU932:AU$1388,$Q932:Q$1388,"O")</f>
        <v>-831.92466666668088</v>
      </c>
    </row>
    <row r="932" spans="1:78" ht="15.75" customHeight="1">
      <c r="A932" s="221" t="s">
        <v>3401</v>
      </c>
      <c r="B932" s="177">
        <v>45153</v>
      </c>
      <c r="C932" s="178" t="s">
        <v>1749</v>
      </c>
      <c r="D932" s="178" t="s">
        <v>146</v>
      </c>
      <c r="E932" s="227"/>
      <c r="F932" s="180"/>
      <c r="G932" s="181" t="s">
        <v>2070</v>
      </c>
      <c r="H932" s="182"/>
      <c r="I932" s="182"/>
      <c r="J932" s="182"/>
      <c r="K932" s="183"/>
      <c r="L932" s="182">
        <v>1</v>
      </c>
      <c r="M932" s="182">
        <v>1</v>
      </c>
      <c r="N932" s="182"/>
      <c r="O932" s="183" t="s">
        <v>95</v>
      </c>
      <c r="P932" s="183" t="s">
        <v>137</v>
      </c>
      <c r="Q932" s="183" t="s">
        <v>97</v>
      </c>
      <c r="R932" s="183">
        <v>10</v>
      </c>
      <c r="S932" s="183">
        <v>0</v>
      </c>
      <c r="T932" s="183">
        <v>10</v>
      </c>
      <c r="U932" s="183" t="s">
        <v>97</v>
      </c>
      <c r="V932" s="183"/>
      <c r="W932" s="183"/>
      <c r="X932" s="183"/>
      <c r="Y932" s="184">
        <f>IF(ISBLANK(O932),"",(IF(O932=UPPER("IB"),0.005,0.01)))</f>
        <v>0.01</v>
      </c>
      <c r="Z932" s="185">
        <f t="shared" si="302"/>
        <v>1600</v>
      </c>
      <c r="AA932" s="185"/>
      <c r="AB932" s="185"/>
      <c r="AC932" s="185"/>
      <c r="AD932" s="649"/>
      <c r="AE932" s="182"/>
      <c r="AF932" s="332"/>
      <c r="AG932" s="182"/>
      <c r="AH932" s="182"/>
      <c r="AI932" s="182"/>
      <c r="AJ932" s="640"/>
      <c r="AK932" s="182"/>
      <c r="AL932" s="496"/>
      <c r="AM932" s="496"/>
      <c r="AN932" s="626"/>
      <c r="AO932" s="182"/>
      <c r="AP932" s="182"/>
      <c r="AQ932" s="332" t="str">
        <f>UPPER(RIGHT(Journal_Live[[#This Row],[DURATION ]]))</f>
        <v/>
      </c>
      <c r="AR932" s="182"/>
      <c r="AS932" s="189"/>
      <c r="AT932" s="189"/>
      <c r="AU932" s="187"/>
      <c r="AV932" s="190"/>
      <c r="AW932" s="191"/>
      <c r="AX932" s="407"/>
      <c r="AY932" s="407"/>
      <c r="AZ932" s="407"/>
      <c r="BA932" s="407"/>
      <c r="BB932" s="407"/>
      <c r="BC932" s="407"/>
      <c r="BD932" s="407"/>
      <c r="BE932" s="407"/>
      <c r="BF932" s="422"/>
      <c r="BG932" s="391">
        <f>SUM($AV$4:AV932)</f>
        <v>4247.0988769842224</v>
      </c>
      <c r="BH932" s="392">
        <f>SUM($AU$134:AU932)</f>
        <v>16713.24200000022</v>
      </c>
      <c r="BI932" s="318">
        <f>SUMIFS($AU$134:AU933,$Q$134:Q933,"F")</f>
        <v>6206.5333333333328</v>
      </c>
      <c r="BJ932" s="318">
        <f>SUMIFS($AU$134:AU933,$Q$134:Q933,"S")</f>
        <v>11428.441999999999</v>
      </c>
      <c r="BK932" s="343">
        <f>SUMIFS($AU$134:AU933,$P$134:P933,"W")</f>
        <v>10171.74199999994</v>
      </c>
      <c r="BL932" s="343">
        <f>SUMIFS($AU$134:AU933,$P$134:P933,"R")</f>
        <v>7204.673333333335</v>
      </c>
      <c r="BM932" s="343">
        <f>SUMIFS($AU$134:AU933,$AQ$134:AQ933,"M")</f>
        <v>2381.3999999999878</v>
      </c>
      <c r="BN932" s="343">
        <f>SUMIFS($AU$134:AU933,$AQ$134:AQ933,"H")</f>
        <v>4718.1420000000153</v>
      </c>
      <c r="BO932" s="343">
        <f>SUMIFS($AU$134:AU933,$AQ$134:AQ933,"D")</f>
        <v>5064.3466666667146</v>
      </c>
      <c r="BP932" s="343">
        <f>SUMIFS($AU$134:AU935,$AQ$134:AQ935,"W")</f>
        <v>2802.7233333332406</v>
      </c>
      <c r="BQ932" s="343">
        <f>SUMIFS($AU$134:AU933,$Q$134:Q933,"O")</f>
        <v>-816.93333333311739</v>
      </c>
      <c r="BR932" s="343">
        <f>SUMIFS($AU$134:AU933,$AA$134:AA933,"*")</f>
        <v>16117.475333333328</v>
      </c>
      <c r="BS932" s="343">
        <f>SUMIFS($AU$134:AU933,$AB$134:AB933,"*")</f>
        <v>5010.2666666668902</v>
      </c>
      <c r="BT932" s="343">
        <f>SUMIFS($AU$134:AU933,$AC$134:AC933,"*")</f>
        <v>9951.6833333333325</v>
      </c>
      <c r="BU932" s="343">
        <f>SUMIFS($AU$134:AU933,$AA$134:AA933,"*",$AB$134:AB933,"*")</f>
        <v>3538.0000000000045</v>
      </c>
      <c r="BV932" s="343">
        <f>SUMIFS($AU$134:AU933,$AA$134:AA933,"*",$AC$134:AC933,"*")</f>
        <v>9412.7833333333328</v>
      </c>
      <c r="BW932" s="343">
        <f>SUMIFS($AU$134:AU933,$AB$134:AB933,"*",$AC$134:AC933,"*")</f>
        <v>5662.6</v>
      </c>
      <c r="BX932" s="343">
        <f>SUMIFS($AU933:AU$1388,$Q933:Q$1388,"F")</f>
        <v>8234.133333333335</v>
      </c>
      <c r="BY932" s="343">
        <f>SUMIFS($AU933:AU$1388,$Q933:Q$1388,"S")</f>
        <v>9243.2000000000007</v>
      </c>
      <c r="BZ932" s="343">
        <f>SUMIFS($AU933:AU$1388,$Q933:Q$1388,"O")</f>
        <v>-831.92466666668088</v>
      </c>
    </row>
    <row r="933" spans="1:78" ht="15.75" customHeight="1">
      <c r="A933" s="221" t="s">
        <v>3401</v>
      </c>
      <c r="B933" s="177">
        <v>45153</v>
      </c>
      <c r="C933" s="178" t="s">
        <v>2020</v>
      </c>
      <c r="D933" s="178" t="s">
        <v>146</v>
      </c>
      <c r="E933" s="227" t="s">
        <v>3573</v>
      </c>
      <c r="F933" s="180"/>
      <c r="G933" s="181"/>
      <c r="H933" s="182"/>
      <c r="I933" s="182"/>
      <c r="J933" s="182"/>
      <c r="K933" s="183"/>
      <c r="L933" s="182"/>
      <c r="M933" s="182"/>
      <c r="N933" s="182"/>
      <c r="O933" s="183"/>
      <c r="P933" s="183"/>
      <c r="Q933" s="183"/>
      <c r="R933" s="183"/>
      <c r="S933" s="183"/>
      <c r="T933" s="183"/>
      <c r="U933" s="183"/>
      <c r="V933" s="183"/>
      <c r="W933" s="183"/>
      <c r="X933" s="183"/>
      <c r="Y933" s="183"/>
      <c r="Z933" s="185" t="str">
        <f t="shared" si="302"/>
        <v/>
      </c>
      <c r="AA933" s="185"/>
      <c r="AB933" s="185"/>
      <c r="AC933" s="185"/>
      <c r="AD933" s="649"/>
      <c r="AE933" s="182"/>
      <c r="AF933" s="332"/>
      <c r="AG933" s="182"/>
      <c r="AH933" s="182"/>
      <c r="AI933" s="182"/>
      <c r="AJ933" s="640"/>
      <c r="AK933" s="182"/>
      <c r="AL933" s="496"/>
      <c r="AM933" s="496"/>
      <c r="AN933" s="626"/>
      <c r="AO933" s="182"/>
      <c r="AP933" s="182"/>
      <c r="AQ933" s="332" t="str">
        <f>UPPER(RIGHT(Journal_Live[[#This Row],[DURATION ]]))</f>
        <v/>
      </c>
      <c r="AR933" s="182"/>
      <c r="AS933" s="189"/>
      <c r="AT933" s="189"/>
      <c r="AU933" s="187"/>
      <c r="AV933" s="190"/>
      <c r="AW933" s="191"/>
      <c r="AX933" s="407" t="s">
        <v>3574</v>
      </c>
      <c r="AY933" s="407" t="s">
        <v>3575</v>
      </c>
      <c r="AZ933" s="407" t="s">
        <v>3576</v>
      </c>
      <c r="BA933" s="407" t="s">
        <v>3577</v>
      </c>
      <c r="BB933" s="407" t="s">
        <v>3578</v>
      </c>
      <c r="BC933" s="407" t="s">
        <v>3579</v>
      </c>
      <c r="BD933" s="407" t="s">
        <v>3580</v>
      </c>
      <c r="BE933" s="407" t="s">
        <v>3581</v>
      </c>
      <c r="BF933" s="422" t="s">
        <v>3582</v>
      </c>
      <c r="BG933" s="391">
        <f>SUM($AV$4:AV933)</f>
        <v>4247.0988769842224</v>
      </c>
      <c r="BH933" s="392">
        <f>SUM($AU$134:AU933)</f>
        <v>16713.24200000022</v>
      </c>
      <c r="BI933" s="318">
        <f>SUMIFS($AU$134:AU934,$Q$134:Q934,"F")</f>
        <v>6206.5333333333328</v>
      </c>
      <c r="BJ933" s="318">
        <f>SUMIFS($AU$134:AU934,$Q$134:Q934,"S")</f>
        <v>11428.441999999999</v>
      </c>
      <c r="BK933" s="343">
        <f>SUMIFS($AU$134:AU934,$P$134:P934,"W")</f>
        <v>10171.74199999994</v>
      </c>
      <c r="BL933" s="343">
        <f>SUMIFS($AU$134:AU934,$P$134:P934,"R")</f>
        <v>7204.673333333335</v>
      </c>
      <c r="BM933" s="343">
        <f>SUMIFS($AU$134:AU934,$AQ$134:AQ934,"M")</f>
        <v>2381.3999999999878</v>
      </c>
      <c r="BN933" s="343">
        <f>SUMIFS($AU$134:AU934,$AQ$134:AQ934,"H")</f>
        <v>4718.1420000000153</v>
      </c>
      <c r="BO933" s="343">
        <f>SUMIFS($AU$134:AU934,$AQ$134:AQ934,"D")</f>
        <v>5064.3466666667146</v>
      </c>
      <c r="BP933" s="343">
        <f>SUMIFS($AU$134:AU936,$AQ$134:AQ936,"W")</f>
        <v>2802.7233333332406</v>
      </c>
      <c r="BQ933" s="343">
        <f>SUMIFS($AU$134:AU934,$Q$134:Q934,"O")</f>
        <v>-816.93333333311739</v>
      </c>
      <c r="BR933" s="343">
        <f>SUMIFS($AU$134:AU934,$AA$134:AA934,"*")</f>
        <v>16117.475333333328</v>
      </c>
      <c r="BS933" s="343">
        <f>SUMIFS($AU$134:AU934,$AB$134:AB934,"*")</f>
        <v>5010.2666666668902</v>
      </c>
      <c r="BT933" s="343">
        <f>SUMIFS($AU$134:AU934,$AC$134:AC934,"*")</f>
        <v>9951.6833333333325</v>
      </c>
      <c r="BU933" s="343">
        <f>SUMIFS($AU$134:AU934,$AA$134:AA934,"*",$AB$134:AB934,"*")</f>
        <v>3538.0000000000045</v>
      </c>
      <c r="BV933" s="343">
        <f>SUMIFS($AU$134:AU934,$AA$134:AA934,"*",$AC$134:AC934,"*")</f>
        <v>9412.7833333333328</v>
      </c>
      <c r="BW933" s="343">
        <f>SUMIFS($AU$134:AU934,$AB$134:AB934,"*",$AC$134:AC934,"*")</f>
        <v>5662.6</v>
      </c>
      <c r="BX933" s="343">
        <f>SUMIFS($AU934:AU$1388,$Q934:Q$1388,"F")</f>
        <v>8234.133333333335</v>
      </c>
      <c r="BY933" s="343">
        <f>SUMIFS($AU934:AU$1388,$Q934:Q$1388,"S")</f>
        <v>9243.2000000000007</v>
      </c>
      <c r="BZ933" s="343">
        <f>SUMIFS($AU934:AU$1388,$Q934:Q$1388,"O")</f>
        <v>-831.92466666668088</v>
      </c>
    </row>
    <row r="934" spans="1:78" ht="15.75" customHeight="1">
      <c r="A934" s="221" t="s">
        <v>3401</v>
      </c>
      <c r="B934" s="177"/>
      <c r="C934" s="178"/>
      <c r="D934" s="178"/>
      <c r="E934" s="227" t="s">
        <v>3583</v>
      </c>
      <c r="F934" s="180"/>
      <c r="G934" s="181"/>
      <c r="H934" s="182"/>
      <c r="I934" s="182"/>
      <c r="J934" s="182">
        <v>1</v>
      </c>
      <c r="K934" s="183" t="s">
        <v>115</v>
      </c>
      <c r="L934" s="182"/>
      <c r="M934" s="182"/>
      <c r="N934" s="182"/>
      <c r="O934" s="183"/>
      <c r="P934" s="183"/>
      <c r="Q934" s="183"/>
      <c r="R934" s="183"/>
      <c r="S934" s="183"/>
      <c r="T934" s="183"/>
      <c r="U934" s="183"/>
      <c r="V934" s="183"/>
      <c r="W934" s="183"/>
      <c r="X934" s="183"/>
      <c r="Y934" s="183"/>
      <c r="Z934" s="185" t="str">
        <f t="shared" si="302"/>
        <v/>
      </c>
      <c r="AA934" s="185"/>
      <c r="AB934" s="185"/>
      <c r="AC934" s="185"/>
      <c r="AD934" s="649"/>
      <c r="AE934" s="182"/>
      <c r="AF934" s="332"/>
      <c r="AG934" s="182"/>
      <c r="AH934" s="182"/>
      <c r="AI934" s="182"/>
      <c r="AJ934" s="640"/>
      <c r="AK934" s="182"/>
      <c r="AL934" s="496"/>
      <c r="AM934" s="496"/>
      <c r="AN934" s="626"/>
      <c r="AO934" s="182"/>
      <c r="AP934" s="182"/>
      <c r="AQ934" s="332" t="str">
        <f>UPPER(RIGHT(Journal_Live[[#This Row],[DURATION ]]))</f>
        <v/>
      </c>
      <c r="AR934" s="182"/>
      <c r="AS934" s="189"/>
      <c r="AT934" s="189"/>
      <c r="AU934" s="187"/>
      <c r="AV934" s="190"/>
      <c r="AW934" s="191"/>
      <c r="AX934" s="407"/>
      <c r="AY934" s="407"/>
      <c r="AZ934" s="407"/>
      <c r="BA934" s="407"/>
      <c r="BB934" s="407"/>
      <c r="BC934" s="407"/>
      <c r="BD934" s="407"/>
      <c r="BE934" s="407"/>
      <c r="BF934" s="422"/>
      <c r="BG934" s="391">
        <f>SUM($AV$4:AV934)</f>
        <v>4247.0988769842224</v>
      </c>
      <c r="BH934" s="392">
        <f>SUM($AU$134:AU934)</f>
        <v>16713.24200000022</v>
      </c>
      <c r="BI934" s="318">
        <f>SUMIFS($AU$134:AU935,$Q$134:Q935,"F")</f>
        <v>6206.5333333333328</v>
      </c>
      <c r="BJ934" s="318">
        <f>SUMIFS($AU$134:AU935,$Q$134:Q935,"S")</f>
        <v>11428.441999999999</v>
      </c>
      <c r="BK934" s="343">
        <f>SUMIFS($AU$134:AU935,$P$134:P935,"W")</f>
        <v>10171.74199999994</v>
      </c>
      <c r="BL934" s="343">
        <f>SUMIFS($AU$134:AU935,$P$134:P935,"R")</f>
        <v>7204.673333333335</v>
      </c>
      <c r="BM934" s="343">
        <f>SUMIFS($AU$134:AU935,$AQ$134:AQ935,"M")</f>
        <v>2381.3999999999878</v>
      </c>
      <c r="BN934" s="343">
        <f>SUMIFS($AU$134:AU935,$AQ$134:AQ935,"H")</f>
        <v>4718.1420000000153</v>
      </c>
      <c r="BO934" s="343">
        <f>SUMIFS($AU$134:AU935,$AQ$134:AQ935,"D")</f>
        <v>5064.3466666667146</v>
      </c>
      <c r="BP934" s="343">
        <f>SUMIFS($AU$134:AU937,$AQ$134:AQ937,"W")</f>
        <v>2802.7233333332406</v>
      </c>
      <c r="BQ934" s="343">
        <f>SUMIFS($AU$134:AU935,$Q$134:Q935,"O")</f>
        <v>-816.93333333311739</v>
      </c>
      <c r="BR934" s="343">
        <f>SUMIFS($AU$134:AU935,$AA$134:AA935,"*")</f>
        <v>16117.475333333328</v>
      </c>
      <c r="BS934" s="343">
        <f>SUMIFS($AU$134:AU935,$AB$134:AB935,"*")</f>
        <v>5010.2666666668902</v>
      </c>
      <c r="BT934" s="343">
        <f>SUMIFS($AU$134:AU935,$AC$134:AC935,"*")</f>
        <v>9951.6833333333325</v>
      </c>
      <c r="BU934" s="343">
        <f>SUMIFS($AU$134:AU935,$AA$134:AA935,"*",$AB$134:AB935,"*")</f>
        <v>3538.0000000000045</v>
      </c>
      <c r="BV934" s="343">
        <f>SUMIFS($AU$134:AU935,$AA$134:AA935,"*",$AC$134:AC935,"*")</f>
        <v>9412.7833333333328</v>
      </c>
      <c r="BW934" s="343">
        <f>SUMIFS($AU$134:AU935,$AB$134:AB935,"*",$AC$134:AC935,"*")</f>
        <v>5662.6</v>
      </c>
      <c r="BX934" s="343">
        <f>SUMIFS($AU935:AU$1388,$Q935:Q$1388,"F")</f>
        <v>8234.133333333335</v>
      </c>
      <c r="BY934" s="343">
        <f>SUMIFS($AU935:AU$1388,$Q935:Q$1388,"S")</f>
        <v>9243.2000000000007</v>
      </c>
      <c r="BZ934" s="343">
        <f>SUMIFS($AU935:AU$1388,$Q935:Q$1388,"O")</f>
        <v>-831.92466666668088</v>
      </c>
    </row>
    <row r="935" spans="1:78" ht="15.75" customHeight="1">
      <c r="A935" s="221" t="s">
        <v>3401</v>
      </c>
      <c r="B935" s="177">
        <v>45153</v>
      </c>
      <c r="C935" s="178" t="s">
        <v>3584</v>
      </c>
      <c r="D935" s="178" t="s">
        <v>146</v>
      </c>
      <c r="E935" s="227" t="s">
        <v>3585</v>
      </c>
      <c r="F935" s="180"/>
      <c r="G935" s="181"/>
      <c r="H935" s="182"/>
      <c r="I935" s="182"/>
      <c r="J935" s="182"/>
      <c r="K935" s="183"/>
      <c r="L935" s="182"/>
      <c r="M935" s="182"/>
      <c r="N935" s="182"/>
      <c r="O935" s="183"/>
      <c r="P935" s="183"/>
      <c r="Q935" s="183"/>
      <c r="R935" s="183"/>
      <c r="S935" s="183"/>
      <c r="T935" s="183"/>
      <c r="U935" s="183"/>
      <c r="V935" s="183"/>
      <c r="W935" s="183"/>
      <c r="X935" s="183"/>
      <c r="Y935" s="183"/>
      <c r="Z935" s="185" t="str">
        <f t="shared" si="302"/>
        <v/>
      </c>
      <c r="AA935" s="185"/>
      <c r="AB935" s="185"/>
      <c r="AC935" s="185"/>
      <c r="AD935" s="649"/>
      <c r="AE935" s="182"/>
      <c r="AF935" s="332"/>
      <c r="AG935" s="182"/>
      <c r="AH935" s="182"/>
      <c r="AI935" s="182"/>
      <c r="AJ935" s="640"/>
      <c r="AK935" s="182"/>
      <c r="AL935" s="496"/>
      <c r="AM935" s="496"/>
      <c r="AN935" s="626"/>
      <c r="AO935" s="182"/>
      <c r="AP935" s="182"/>
      <c r="AQ935" s="332" t="str">
        <f>UPPER(RIGHT(Journal_Live[[#This Row],[DURATION ]]))</f>
        <v/>
      </c>
      <c r="AR935" s="182"/>
      <c r="AS935" s="189"/>
      <c r="AT935" s="189"/>
      <c r="AU935" s="187"/>
      <c r="AV935" s="190"/>
      <c r="AW935" s="191"/>
      <c r="AX935" s="407" t="s">
        <v>3586</v>
      </c>
      <c r="AY935" s="407" t="s">
        <v>3587</v>
      </c>
      <c r="AZ935" s="407" t="s">
        <v>3588</v>
      </c>
      <c r="BA935" s="407"/>
      <c r="BB935" s="407"/>
      <c r="BC935" s="407"/>
      <c r="BD935" s="407"/>
      <c r="BE935" s="407"/>
      <c r="BF935" s="422"/>
      <c r="BG935" s="391">
        <f>SUM($AV$4:AV935)</f>
        <v>4247.0988769842224</v>
      </c>
      <c r="BH935" s="392">
        <f>SUM($AU$134:AU935)</f>
        <v>16713.24200000022</v>
      </c>
      <c r="BI935" s="318">
        <f>SUMIFS($AU$134:AU936,$Q$134:Q936,"F")</f>
        <v>6206.5333333333328</v>
      </c>
      <c r="BJ935" s="318">
        <f>SUMIFS($AU$134:AU936,$Q$134:Q936,"S")</f>
        <v>11428.441999999999</v>
      </c>
      <c r="BK935" s="343">
        <f>SUMIFS($AU$134:AU936,$P$134:P936,"W")</f>
        <v>10171.74199999994</v>
      </c>
      <c r="BL935" s="343">
        <f>SUMIFS($AU$134:AU936,$P$134:P936,"R")</f>
        <v>7204.673333333335</v>
      </c>
      <c r="BM935" s="343">
        <f>SUMIFS($AU$134:AU936,$AQ$134:AQ936,"M")</f>
        <v>2381.3999999999878</v>
      </c>
      <c r="BN935" s="343">
        <f>SUMIFS($AU$134:AU936,$AQ$134:AQ936,"H")</f>
        <v>4718.1420000000153</v>
      </c>
      <c r="BO935" s="343">
        <f>SUMIFS($AU$134:AU936,$AQ$134:AQ936,"D")</f>
        <v>5064.3466666667146</v>
      </c>
      <c r="BP935" s="343">
        <f>SUMIFS($AU$134:AU938,$AQ$134:AQ938,"W")</f>
        <v>2802.7233333332406</v>
      </c>
      <c r="BQ935" s="343">
        <f>SUMIFS($AU$134:AU936,$Q$134:Q936,"O")</f>
        <v>-816.93333333311739</v>
      </c>
      <c r="BR935" s="343">
        <f>SUMIFS($AU$134:AU936,$AA$134:AA936,"*")</f>
        <v>16117.475333333328</v>
      </c>
      <c r="BS935" s="343">
        <f>SUMIFS($AU$134:AU936,$AB$134:AB936,"*")</f>
        <v>5010.2666666668902</v>
      </c>
      <c r="BT935" s="343">
        <f>SUMIFS($AU$134:AU936,$AC$134:AC936,"*")</f>
        <v>9951.6833333333325</v>
      </c>
      <c r="BU935" s="343">
        <f>SUMIFS($AU$134:AU936,$AA$134:AA936,"*",$AB$134:AB936,"*")</f>
        <v>3538.0000000000045</v>
      </c>
      <c r="BV935" s="343">
        <f>SUMIFS($AU$134:AU936,$AA$134:AA936,"*",$AC$134:AC936,"*")</f>
        <v>9412.7833333333328</v>
      </c>
      <c r="BW935" s="343">
        <f>SUMIFS($AU$134:AU936,$AB$134:AB936,"*",$AC$134:AC936,"*")</f>
        <v>5662.6</v>
      </c>
      <c r="BX935" s="343">
        <f>SUMIFS($AU936:AU$1388,$Q936:Q$1388,"F")</f>
        <v>8234.133333333335</v>
      </c>
      <c r="BY935" s="343">
        <f>SUMIFS($AU936:AU$1388,$Q936:Q$1388,"S")</f>
        <v>9243.2000000000007</v>
      </c>
      <c r="BZ935" s="343">
        <f>SUMIFS($AU936:AU$1388,$Q936:Q$1388,"O")</f>
        <v>-831.92466666668088</v>
      </c>
    </row>
    <row r="936" spans="1:78" ht="15.75" customHeight="1">
      <c r="A936" s="221" t="s">
        <v>3401</v>
      </c>
      <c r="B936" s="177">
        <v>45153</v>
      </c>
      <c r="C936" s="178" t="s">
        <v>1714</v>
      </c>
      <c r="D936" s="178" t="s">
        <v>146</v>
      </c>
      <c r="E936" s="227" t="s">
        <v>3589</v>
      </c>
      <c r="F936" s="180"/>
      <c r="G936" s="181"/>
      <c r="H936" s="182">
        <v>1</v>
      </c>
      <c r="I936" s="182"/>
      <c r="J936" s="182"/>
      <c r="K936" s="183" t="s">
        <v>372</v>
      </c>
      <c r="L936" s="182"/>
      <c r="M936" s="182"/>
      <c r="N936" s="182"/>
      <c r="O936" s="183"/>
      <c r="P936" s="183"/>
      <c r="Q936" s="183"/>
      <c r="R936" s="183"/>
      <c r="S936" s="183"/>
      <c r="T936" s="183"/>
      <c r="U936" s="183"/>
      <c r="V936" s="183"/>
      <c r="W936" s="183"/>
      <c r="X936" s="183"/>
      <c r="Y936" s="183"/>
      <c r="Z936" s="185" t="str">
        <f t="shared" si="302"/>
        <v/>
      </c>
      <c r="AA936" s="185"/>
      <c r="AB936" s="185"/>
      <c r="AC936" s="185"/>
      <c r="AD936" s="649"/>
      <c r="AE936" s="182"/>
      <c r="AF936" s="332"/>
      <c r="AG936" s="182"/>
      <c r="AH936" s="182"/>
      <c r="AI936" s="182"/>
      <c r="AJ936" s="640"/>
      <c r="AK936" s="182"/>
      <c r="AL936" s="496"/>
      <c r="AM936" s="496"/>
      <c r="AN936" s="626"/>
      <c r="AO936" s="182"/>
      <c r="AP936" s="182"/>
      <c r="AQ936" s="332" t="str">
        <f>UPPER(RIGHT(Journal_Live[[#This Row],[DURATION ]]))</f>
        <v/>
      </c>
      <c r="AR936" s="182"/>
      <c r="AS936" s="189"/>
      <c r="AT936" s="189"/>
      <c r="AU936" s="187"/>
      <c r="AV936" s="190"/>
      <c r="AW936" s="191"/>
      <c r="AX936" s="407"/>
      <c r="AY936" s="407"/>
      <c r="AZ936" s="407"/>
      <c r="BA936" s="407"/>
      <c r="BB936" s="407"/>
      <c r="BC936" s="407"/>
      <c r="BD936" s="407"/>
      <c r="BE936" s="407"/>
      <c r="BF936" s="422"/>
      <c r="BG936" s="391">
        <f>SUM($AV$4:AV936)</f>
        <v>4247.0988769842224</v>
      </c>
      <c r="BH936" s="392">
        <f>SUM($AU$134:AU936)</f>
        <v>16713.24200000022</v>
      </c>
      <c r="BI936" s="318">
        <f>SUMIFS($AU$134:AU937,$Q$134:Q937,"F")</f>
        <v>6206.5333333333328</v>
      </c>
      <c r="BJ936" s="318">
        <f>SUMIFS($AU$134:AU937,$Q$134:Q937,"S")</f>
        <v>11428.441999999999</v>
      </c>
      <c r="BK936" s="343">
        <f>SUMIFS($AU$134:AU937,$P$134:P937,"W")</f>
        <v>10171.74199999994</v>
      </c>
      <c r="BL936" s="343">
        <f>SUMIFS($AU$134:AU937,$P$134:P937,"R")</f>
        <v>7204.673333333335</v>
      </c>
      <c r="BM936" s="343">
        <f>SUMIFS($AU$134:AU937,$AQ$134:AQ937,"M")</f>
        <v>2381.3999999999878</v>
      </c>
      <c r="BN936" s="343">
        <f>SUMIFS($AU$134:AU937,$AQ$134:AQ937,"H")</f>
        <v>4718.1420000000153</v>
      </c>
      <c r="BO936" s="343">
        <f>SUMIFS($AU$134:AU937,$AQ$134:AQ937,"D")</f>
        <v>5064.3466666667146</v>
      </c>
      <c r="BP936" s="343">
        <f>SUMIFS($AU$134:AU939,$AQ$134:AQ939,"W")</f>
        <v>2802.7233333332406</v>
      </c>
      <c r="BQ936" s="343">
        <f>SUMIFS($AU$134:AU937,$Q$134:Q937,"O")</f>
        <v>-816.93333333311739</v>
      </c>
      <c r="BR936" s="343">
        <f>SUMIFS($AU$134:AU937,$AA$134:AA937,"*")</f>
        <v>16117.475333333328</v>
      </c>
      <c r="BS936" s="343">
        <f>SUMIFS($AU$134:AU937,$AB$134:AB937,"*")</f>
        <v>5010.2666666668902</v>
      </c>
      <c r="BT936" s="343">
        <f>SUMIFS($AU$134:AU937,$AC$134:AC937,"*")</f>
        <v>9951.6833333333325</v>
      </c>
      <c r="BU936" s="343">
        <f>SUMIFS($AU$134:AU937,$AA$134:AA937,"*",$AB$134:AB937,"*")</f>
        <v>3538.0000000000045</v>
      </c>
      <c r="BV936" s="343">
        <f>SUMIFS($AU$134:AU937,$AA$134:AA937,"*",$AC$134:AC937,"*")</f>
        <v>9412.7833333333328</v>
      </c>
      <c r="BW936" s="343">
        <f>SUMIFS($AU$134:AU937,$AB$134:AB937,"*",$AC$134:AC937,"*")</f>
        <v>5662.6</v>
      </c>
      <c r="BX936" s="343">
        <f>SUMIFS($AU937:AU$1388,$Q937:Q$1388,"F")</f>
        <v>8234.133333333335</v>
      </c>
      <c r="BY936" s="343">
        <f>SUMIFS($AU937:AU$1388,$Q937:Q$1388,"S")</f>
        <v>9243.2000000000007</v>
      </c>
      <c r="BZ936" s="343">
        <f>SUMIFS($AU937:AU$1388,$Q937:Q$1388,"O")</f>
        <v>-831.92466666668088</v>
      </c>
    </row>
    <row r="937" spans="1:78" ht="15.75" customHeight="1">
      <c r="A937" s="221" t="s">
        <v>3401</v>
      </c>
      <c r="B937" s="177"/>
      <c r="C937" s="178"/>
      <c r="D937" s="178"/>
      <c r="E937" s="227" t="s">
        <v>3590</v>
      </c>
      <c r="F937" s="180"/>
      <c r="G937" s="181"/>
      <c r="H937" s="182">
        <v>1</v>
      </c>
      <c r="I937" s="182"/>
      <c r="J937" s="182"/>
      <c r="K937" s="183" t="s">
        <v>372</v>
      </c>
      <c r="L937" s="182"/>
      <c r="M937" s="182"/>
      <c r="N937" s="182"/>
      <c r="O937" s="183"/>
      <c r="P937" s="183"/>
      <c r="Q937" s="183"/>
      <c r="R937" s="183"/>
      <c r="S937" s="183"/>
      <c r="T937" s="183"/>
      <c r="U937" s="183"/>
      <c r="V937" s="183"/>
      <c r="W937" s="183"/>
      <c r="X937" s="183"/>
      <c r="Y937" s="183"/>
      <c r="Z937" s="185" t="str">
        <f t="shared" si="302"/>
        <v/>
      </c>
      <c r="AA937" s="185"/>
      <c r="AB937" s="185"/>
      <c r="AC937" s="185"/>
      <c r="AD937" s="649"/>
      <c r="AE937" s="182"/>
      <c r="AF937" s="332"/>
      <c r="AG937" s="182"/>
      <c r="AH937" s="182"/>
      <c r="AI937" s="182"/>
      <c r="AJ937" s="640"/>
      <c r="AK937" s="182"/>
      <c r="AL937" s="496"/>
      <c r="AM937" s="496"/>
      <c r="AN937" s="626"/>
      <c r="AO937" s="182"/>
      <c r="AP937" s="182"/>
      <c r="AQ937" s="332" t="str">
        <f>UPPER(RIGHT(Journal_Live[[#This Row],[DURATION ]]))</f>
        <v/>
      </c>
      <c r="AR937" s="182"/>
      <c r="AS937" s="189"/>
      <c r="AT937" s="189"/>
      <c r="AU937" s="187"/>
      <c r="AV937" s="190"/>
      <c r="AW937" s="191"/>
      <c r="AX937" s="407"/>
      <c r="AY937" s="407"/>
      <c r="AZ937" s="407"/>
      <c r="BA937" s="407"/>
      <c r="BB937" s="407"/>
      <c r="BC937" s="407"/>
      <c r="BD937" s="407"/>
      <c r="BE937" s="407"/>
      <c r="BF937" s="422"/>
      <c r="BG937" s="391">
        <f>SUM($AV$4:AV937)</f>
        <v>4247.0988769842224</v>
      </c>
      <c r="BH937" s="392">
        <f>SUM($AU$134:AU937)</f>
        <v>16713.24200000022</v>
      </c>
      <c r="BI937" s="318">
        <f>SUMIFS($AU$134:AU938,$Q$134:Q938,"F")</f>
        <v>6206.5333333333328</v>
      </c>
      <c r="BJ937" s="318">
        <f>SUMIFS($AU$134:AU938,$Q$134:Q938,"S")</f>
        <v>11428.441999999999</v>
      </c>
      <c r="BK937" s="343">
        <f>SUMIFS($AU$134:AU938,$P$134:P938,"W")</f>
        <v>10171.74199999994</v>
      </c>
      <c r="BL937" s="343">
        <f>SUMIFS($AU$134:AU938,$P$134:P938,"R")</f>
        <v>7204.673333333335</v>
      </c>
      <c r="BM937" s="343">
        <f>SUMIFS($AU$134:AU938,$AQ$134:AQ938,"M")</f>
        <v>2381.3999999999878</v>
      </c>
      <c r="BN937" s="343">
        <f>SUMIFS($AU$134:AU938,$AQ$134:AQ938,"H")</f>
        <v>4718.1420000000153</v>
      </c>
      <c r="BO937" s="343">
        <f>SUMIFS($AU$134:AU938,$AQ$134:AQ938,"D")</f>
        <v>5064.3466666667146</v>
      </c>
      <c r="BP937" s="343">
        <f>SUMIFS($AU$134:AU940,$AQ$134:AQ940,"W")</f>
        <v>2802.7233333332406</v>
      </c>
      <c r="BQ937" s="343">
        <f>SUMIFS($AU$134:AU938,$Q$134:Q938,"O")</f>
        <v>-816.93333333311739</v>
      </c>
      <c r="BR937" s="343">
        <f>SUMIFS($AU$134:AU938,$AA$134:AA938,"*")</f>
        <v>16117.475333333328</v>
      </c>
      <c r="BS937" s="343">
        <f>SUMIFS($AU$134:AU938,$AB$134:AB938,"*")</f>
        <v>5010.2666666668902</v>
      </c>
      <c r="BT937" s="343">
        <f>SUMIFS($AU$134:AU938,$AC$134:AC938,"*")</f>
        <v>9951.6833333333325</v>
      </c>
      <c r="BU937" s="343">
        <f>SUMIFS($AU$134:AU938,$AA$134:AA938,"*",$AB$134:AB938,"*")</f>
        <v>3538.0000000000045</v>
      </c>
      <c r="BV937" s="343">
        <f>SUMIFS($AU$134:AU938,$AA$134:AA938,"*",$AC$134:AC938,"*")</f>
        <v>9412.7833333333328</v>
      </c>
      <c r="BW937" s="343">
        <f>SUMIFS($AU$134:AU938,$AB$134:AB938,"*",$AC$134:AC938,"*")</f>
        <v>5662.6</v>
      </c>
      <c r="BX937" s="343">
        <f>SUMIFS($AU938:AU$1388,$Q938:Q$1388,"F")</f>
        <v>8234.133333333335</v>
      </c>
      <c r="BY937" s="343">
        <f>SUMIFS($AU938:AU$1388,$Q938:Q$1388,"S")</f>
        <v>9243.2000000000007</v>
      </c>
      <c r="BZ937" s="343">
        <f>SUMIFS($AU938:AU$1388,$Q938:Q$1388,"O")</f>
        <v>-831.92466666668088</v>
      </c>
    </row>
    <row r="938" spans="1:78" ht="15.75" customHeight="1">
      <c r="A938" s="221" t="s">
        <v>3401</v>
      </c>
      <c r="B938" s="177"/>
      <c r="C938" s="178"/>
      <c r="D938" s="178"/>
      <c r="E938" s="227" t="s">
        <v>3591</v>
      </c>
      <c r="F938" s="180"/>
      <c r="G938" s="181"/>
      <c r="H938" s="182">
        <v>1</v>
      </c>
      <c r="I938" s="182"/>
      <c r="J938" s="182"/>
      <c r="K938" s="183" t="s">
        <v>372</v>
      </c>
      <c r="L938" s="182"/>
      <c r="M938" s="182"/>
      <c r="N938" s="182"/>
      <c r="O938" s="183"/>
      <c r="P938" s="183"/>
      <c r="Q938" s="183"/>
      <c r="R938" s="183"/>
      <c r="S938" s="183"/>
      <c r="T938" s="183"/>
      <c r="U938" s="183"/>
      <c r="V938" s="183"/>
      <c r="W938" s="183"/>
      <c r="X938" s="183"/>
      <c r="Y938" s="183"/>
      <c r="Z938" s="185" t="str">
        <f t="shared" si="302"/>
        <v/>
      </c>
      <c r="AA938" s="185"/>
      <c r="AB938" s="185"/>
      <c r="AC938" s="185"/>
      <c r="AD938" s="649"/>
      <c r="AE938" s="182"/>
      <c r="AF938" s="332"/>
      <c r="AG938" s="182"/>
      <c r="AH938" s="182"/>
      <c r="AI938" s="182"/>
      <c r="AJ938" s="640"/>
      <c r="AK938" s="182"/>
      <c r="AL938" s="496"/>
      <c r="AM938" s="496"/>
      <c r="AN938" s="626"/>
      <c r="AO938" s="182"/>
      <c r="AP938" s="182"/>
      <c r="AQ938" s="332" t="str">
        <f>UPPER(RIGHT(Journal_Live[[#This Row],[DURATION ]]))</f>
        <v/>
      </c>
      <c r="AR938" s="182"/>
      <c r="AS938" s="189"/>
      <c r="AT938" s="189"/>
      <c r="AU938" s="187"/>
      <c r="AV938" s="190"/>
      <c r="AW938" s="191"/>
      <c r="AX938" s="407"/>
      <c r="AY938" s="407"/>
      <c r="AZ938" s="407"/>
      <c r="BA938" s="407"/>
      <c r="BB938" s="407"/>
      <c r="BC938" s="407"/>
      <c r="BD938" s="407"/>
      <c r="BE938" s="407"/>
      <c r="BF938" s="422"/>
      <c r="BG938" s="391">
        <f>SUM($AV$4:AV938)</f>
        <v>4247.0988769842224</v>
      </c>
      <c r="BH938" s="392">
        <f>SUM($AU$134:AU938)</f>
        <v>16713.24200000022</v>
      </c>
      <c r="BI938" s="318">
        <f>SUMIFS($AU$134:AU939,$Q$134:Q939,"F")</f>
        <v>6206.5333333333328</v>
      </c>
      <c r="BJ938" s="318">
        <f>SUMIFS($AU$134:AU939,$Q$134:Q939,"S")</f>
        <v>11428.441999999999</v>
      </c>
      <c r="BK938" s="343">
        <f>SUMIFS($AU$134:AU939,$P$134:P939,"W")</f>
        <v>10171.74199999994</v>
      </c>
      <c r="BL938" s="343">
        <f>SUMIFS($AU$134:AU939,$P$134:P939,"R")</f>
        <v>7204.673333333335</v>
      </c>
      <c r="BM938" s="343">
        <f>SUMIFS($AU$134:AU939,$AQ$134:AQ939,"M")</f>
        <v>2381.3999999999878</v>
      </c>
      <c r="BN938" s="343">
        <f>SUMIFS($AU$134:AU939,$AQ$134:AQ939,"H")</f>
        <v>4718.1420000000153</v>
      </c>
      <c r="BO938" s="343">
        <f>SUMIFS($AU$134:AU939,$AQ$134:AQ939,"D")</f>
        <v>5064.3466666667146</v>
      </c>
      <c r="BP938" s="343">
        <f>SUMIFS($AU$134:AU941,$AQ$134:AQ941,"W")</f>
        <v>2802.7233333332406</v>
      </c>
      <c r="BQ938" s="343">
        <f>SUMIFS($AU$134:AU939,$Q$134:Q939,"O")</f>
        <v>-816.93333333311739</v>
      </c>
      <c r="BR938" s="343">
        <f>SUMIFS($AU$134:AU939,$AA$134:AA939,"*")</f>
        <v>16117.475333333328</v>
      </c>
      <c r="BS938" s="343">
        <f>SUMIFS($AU$134:AU939,$AB$134:AB939,"*")</f>
        <v>5010.2666666668902</v>
      </c>
      <c r="BT938" s="343">
        <f>SUMIFS($AU$134:AU939,$AC$134:AC939,"*")</f>
        <v>9951.6833333333325</v>
      </c>
      <c r="BU938" s="343">
        <f>SUMIFS($AU$134:AU939,$AA$134:AA939,"*",$AB$134:AB939,"*")</f>
        <v>3538.0000000000045</v>
      </c>
      <c r="BV938" s="343">
        <f>SUMIFS($AU$134:AU939,$AA$134:AA939,"*",$AC$134:AC939,"*")</f>
        <v>9412.7833333333328</v>
      </c>
      <c r="BW938" s="343">
        <f>SUMIFS($AU$134:AU939,$AB$134:AB939,"*",$AC$134:AC939,"*")</f>
        <v>5662.6</v>
      </c>
      <c r="BX938" s="343">
        <f>SUMIFS($AU939:AU$1388,$Q939:Q$1388,"F")</f>
        <v>8234.133333333335</v>
      </c>
      <c r="BY938" s="343">
        <f>SUMIFS($AU939:AU$1388,$Q939:Q$1388,"S")</f>
        <v>9243.2000000000007</v>
      </c>
      <c r="BZ938" s="343">
        <f>SUMIFS($AU939:AU$1388,$Q939:Q$1388,"O")</f>
        <v>-831.92466666668088</v>
      </c>
    </row>
    <row r="939" spans="1:78" ht="15.75" customHeight="1">
      <c r="A939" s="221" t="s">
        <v>3401</v>
      </c>
      <c r="B939" s="177"/>
      <c r="C939" s="178"/>
      <c r="D939" s="178"/>
      <c r="E939" s="227" t="s">
        <v>3592</v>
      </c>
      <c r="F939" s="180"/>
      <c r="G939" s="181"/>
      <c r="H939" s="182">
        <v>1</v>
      </c>
      <c r="I939" s="182"/>
      <c r="J939" s="182"/>
      <c r="K939" s="183" t="s">
        <v>372</v>
      </c>
      <c r="L939" s="182"/>
      <c r="M939" s="182"/>
      <c r="N939" s="182"/>
      <c r="O939" s="183"/>
      <c r="P939" s="183"/>
      <c r="Q939" s="183"/>
      <c r="R939" s="183"/>
      <c r="S939" s="183"/>
      <c r="T939" s="183"/>
      <c r="U939" s="183"/>
      <c r="V939" s="183"/>
      <c r="W939" s="183"/>
      <c r="X939" s="183"/>
      <c r="Y939" s="183"/>
      <c r="Z939" s="185" t="str">
        <f t="shared" si="302"/>
        <v/>
      </c>
      <c r="AA939" s="185"/>
      <c r="AB939" s="185"/>
      <c r="AC939" s="185"/>
      <c r="AD939" s="649"/>
      <c r="AE939" s="182"/>
      <c r="AF939" s="332"/>
      <c r="AG939" s="182"/>
      <c r="AH939" s="182"/>
      <c r="AI939" s="182"/>
      <c r="AJ939" s="640"/>
      <c r="AK939" s="182"/>
      <c r="AL939" s="496"/>
      <c r="AM939" s="496"/>
      <c r="AN939" s="626"/>
      <c r="AO939" s="182"/>
      <c r="AP939" s="182"/>
      <c r="AQ939" s="332" t="str">
        <f>UPPER(RIGHT(Journal_Live[[#This Row],[DURATION ]]))</f>
        <v/>
      </c>
      <c r="AR939" s="182"/>
      <c r="AS939" s="189"/>
      <c r="AT939" s="189"/>
      <c r="AU939" s="187"/>
      <c r="AV939" s="190"/>
      <c r="AW939" s="191"/>
      <c r="AX939" s="407"/>
      <c r="AY939" s="407"/>
      <c r="AZ939" s="407"/>
      <c r="BA939" s="407"/>
      <c r="BB939" s="407"/>
      <c r="BC939" s="407"/>
      <c r="BD939" s="407"/>
      <c r="BE939" s="407"/>
      <c r="BF939" s="422"/>
      <c r="BG939" s="391">
        <f>SUM($AV$4:AV939)</f>
        <v>4247.0988769842224</v>
      </c>
      <c r="BH939" s="392">
        <f>SUM($AU$134:AU939)</f>
        <v>16713.24200000022</v>
      </c>
      <c r="BI939" s="318">
        <f>SUMIFS($AU$134:AU940,$Q$134:Q940,"F")</f>
        <v>6206.5333333333328</v>
      </c>
      <c r="BJ939" s="318">
        <f>SUMIFS($AU$134:AU940,$Q$134:Q940,"S")</f>
        <v>11428.441999999999</v>
      </c>
      <c r="BK939" s="343">
        <f>SUMIFS($AU$134:AU940,$P$134:P940,"W")</f>
        <v>10171.74199999994</v>
      </c>
      <c r="BL939" s="343">
        <f>SUMIFS($AU$134:AU940,$P$134:P940,"R")</f>
        <v>7204.673333333335</v>
      </c>
      <c r="BM939" s="343">
        <f>SUMIFS($AU$134:AU940,$AQ$134:AQ940,"M")</f>
        <v>2381.3999999999878</v>
      </c>
      <c r="BN939" s="343">
        <f>SUMIFS($AU$134:AU940,$AQ$134:AQ940,"H")</f>
        <v>4718.1420000000153</v>
      </c>
      <c r="BO939" s="343">
        <f>SUMIFS($AU$134:AU940,$AQ$134:AQ940,"D")</f>
        <v>5064.3466666667146</v>
      </c>
      <c r="BP939" s="343">
        <f>SUMIFS($AU$134:AU942,$AQ$134:AQ942,"W")</f>
        <v>2802.7233333332406</v>
      </c>
      <c r="BQ939" s="343">
        <f>SUMIFS($AU$134:AU940,$Q$134:Q940,"O")</f>
        <v>-816.93333333311739</v>
      </c>
      <c r="BR939" s="343">
        <f>SUMIFS($AU$134:AU940,$AA$134:AA940,"*")</f>
        <v>16117.475333333328</v>
      </c>
      <c r="BS939" s="343">
        <f>SUMIFS($AU$134:AU940,$AB$134:AB940,"*")</f>
        <v>5010.2666666668902</v>
      </c>
      <c r="BT939" s="343">
        <f>SUMIFS($AU$134:AU940,$AC$134:AC940,"*")</f>
        <v>9951.6833333333325</v>
      </c>
      <c r="BU939" s="343">
        <f>SUMIFS($AU$134:AU940,$AA$134:AA940,"*",$AB$134:AB940,"*")</f>
        <v>3538.0000000000045</v>
      </c>
      <c r="BV939" s="343">
        <f>SUMIFS($AU$134:AU940,$AA$134:AA940,"*",$AC$134:AC940,"*")</f>
        <v>9412.7833333333328</v>
      </c>
      <c r="BW939" s="343">
        <f>SUMIFS($AU$134:AU940,$AB$134:AB940,"*",$AC$134:AC940,"*")</f>
        <v>5662.6</v>
      </c>
      <c r="BX939" s="343">
        <f>SUMIFS($AU940:AU$1388,$Q940:Q$1388,"F")</f>
        <v>8234.133333333335</v>
      </c>
      <c r="BY939" s="343">
        <f>SUMIFS($AU940:AU$1388,$Q940:Q$1388,"S")</f>
        <v>9243.2000000000007</v>
      </c>
      <c r="BZ939" s="343">
        <f>SUMIFS($AU940:AU$1388,$Q940:Q$1388,"O")</f>
        <v>-831.92466666668088</v>
      </c>
    </row>
    <row r="940" spans="1:78" ht="15.75" customHeight="1">
      <c r="A940" s="221" t="s">
        <v>3401</v>
      </c>
      <c r="B940" s="177"/>
      <c r="C940" s="178"/>
      <c r="D940" s="178"/>
      <c r="E940" s="227" t="s">
        <v>3593</v>
      </c>
      <c r="F940" s="180"/>
      <c r="G940" s="181"/>
      <c r="H940" s="182">
        <v>1</v>
      </c>
      <c r="I940" s="182"/>
      <c r="J940" s="182"/>
      <c r="K940" s="183" t="s">
        <v>372</v>
      </c>
      <c r="L940" s="182"/>
      <c r="M940" s="182"/>
      <c r="N940" s="182"/>
      <c r="O940" s="183"/>
      <c r="P940" s="183"/>
      <c r="Q940" s="183"/>
      <c r="R940" s="183"/>
      <c r="S940" s="183"/>
      <c r="T940" s="183"/>
      <c r="U940" s="183"/>
      <c r="V940" s="183"/>
      <c r="W940" s="183"/>
      <c r="X940" s="183"/>
      <c r="Y940" s="183"/>
      <c r="Z940" s="185" t="str">
        <f t="shared" si="302"/>
        <v/>
      </c>
      <c r="AA940" s="185"/>
      <c r="AB940" s="185"/>
      <c r="AC940" s="185"/>
      <c r="AD940" s="649"/>
      <c r="AE940" s="182"/>
      <c r="AF940" s="332"/>
      <c r="AG940" s="182"/>
      <c r="AH940" s="182"/>
      <c r="AI940" s="182"/>
      <c r="AJ940" s="640"/>
      <c r="AK940" s="182"/>
      <c r="AL940" s="496"/>
      <c r="AM940" s="496"/>
      <c r="AN940" s="626"/>
      <c r="AO940" s="182"/>
      <c r="AP940" s="182"/>
      <c r="AQ940" s="332" t="str">
        <f>UPPER(RIGHT(Journal_Live[[#This Row],[DURATION ]]))</f>
        <v/>
      </c>
      <c r="AR940" s="182"/>
      <c r="AS940" s="189"/>
      <c r="AT940" s="189"/>
      <c r="AU940" s="187"/>
      <c r="AV940" s="190"/>
      <c r="AW940" s="191"/>
      <c r="AX940" s="407"/>
      <c r="AY940" s="407"/>
      <c r="AZ940" s="407"/>
      <c r="BA940" s="407"/>
      <c r="BB940" s="407"/>
      <c r="BC940" s="407"/>
      <c r="BD940" s="407"/>
      <c r="BE940" s="407"/>
      <c r="BF940" s="422"/>
      <c r="BG940" s="391">
        <f>SUM($AV$4:AV940)</f>
        <v>4247.0988769842224</v>
      </c>
      <c r="BH940" s="392">
        <f>SUM($AU$134:AU940)</f>
        <v>16713.24200000022</v>
      </c>
      <c r="BI940" s="318">
        <f>SUMIFS($AU$134:AU941,$Q$134:Q941,"F")</f>
        <v>6206.5333333333328</v>
      </c>
      <c r="BJ940" s="318">
        <f>SUMIFS($AU$134:AU941,$Q$134:Q941,"S")</f>
        <v>11428.441999999999</v>
      </c>
      <c r="BK940" s="343">
        <f>SUMIFS($AU$134:AU941,$P$134:P941,"W")</f>
        <v>10171.74199999994</v>
      </c>
      <c r="BL940" s="343">
        <f>SUMIFS($AU$134:AU941,$P$134:P941,"R")</f>
        <v>7204.673333333335</v>
      </c>
      <c r="BM940" s="343">
        <f>SUMIFS($AU$134:AU941,$AQ$134:AQ941,"M")</f>
        <v>2381.3999999999878</v>
      </c>
      <c r="BN940" s="343">
        <f>SUMIFS($AU$134:AU941,$AQ$134:AQ941,"H")</f>
        <v>4718.1420000000153</v>
      </c>
      <c r="BO940" s="343">
        <f>SUMIFS($AU$134:AU941,$AQ$134:AQ941,"D")</f>
        <v>5064.3466666667146</v>
      </c>
      <c r="BP940" s="343">
        <f>SUMIFS($AU$134:AU943,$AQ$134:AQ943,"W")</f>
        <v>2802.7233333332406</v>
      </c>
      <c r="BQ940" s="343">
        <f>SUMIFS($AU$134:AU941,$Q$134:Q941,"O")</f>
        <v>-816.93333333311739</v>
      </c>
      <c r="BR940" s="343">
        <f>SUMIFS($AU$134:AU941,$AA$134:AA941,"*")</f>
        <v>16117.475333333328</v>
      </c>
      <c r="BS940" s="343">
        <f>SUMIFS($AU$134:AU941,$AB$134:AB941,"*")</f>
        <v>5010.2666666668902</v>
      </c>
      <c r="BT940" s="343">
        <f>SUMIFS($AU$134:AU941,$AC$134:AC941,"*")</f>
        <v>9951.6833333333325</v>
      </c>
      <c r="BU940" s="343">
        <f>SUMIFS($AU$134:AU941,$AA$134:AA941,"*",$AB$134:AB941,"*")</f>
        <v>3538.0000000000045</v>
      </c>
      <c r="BV940" s="343">
        <f>SUMIFS($AU$134:AU941,$AA$134:AA941,"*",$AC$134:AC941,"*")</f>
        <v>9412.7833333333328</v>
      </c>
      <c r="BW940" s="343">
        <f>SUMIFS($AU$134:AU941,$AB$134:AB941,"*",$AC$134:AC941,"*")</f>
        <v>5662.6</v>
      </c>
      <c r="BX940" s="343">
        <f>SUMIFS($AU941:AU$1388,$Q941:Q$1388,"F")</f>
        <v>8234.133333333335</v>
      </c>
      <c r="BY940" s="343">
        <f>SUMIFS($AU941:AU$1388,$Q941:Q$1388,"S")</f>
        <v>9243.2000000000007</v>
      </c>
      <c r="BZ940" s="343">
        <f>SUMIFS($AU941:AU$1388,$Q941:Q$1388,"O")</f>
        <v>-831.92466666668088</v>
      </c>
    </row>
    <row r="941" spans="1:78" ht="15.75" customHeight="1">
      <c r="A941" s="221" t="s">
        <v>3401</v>
      </c>
      <c r="B941" s="177">
        <v>45153</v>
      </c>
      <c r="C941" s="178" t="s">
        <v>1728</v>
      </c>
      <c r="D941" s="178" t="s">
        <v>146</v>
      </c>
      <c r="E941" s="227"/>
      <c r="F941" s="180"/>
      <c r="G941" s="281" t="s">
        <v>2064</v>
      </c>
      <c r="H941" s="182"/>
      <c r="I941" s="182"/>
      <c r="J941" s="182"/>
      <c r="K941" s="183"/>
      <c r="L941" s="182">
        <v>2</v>
      </c>
      <c r="M941" s="182"/>
      <c r="N941" s="182"/>
      <c r="O941" s="183" t="s">
        <v>95</v>
      </c>
      <c r="P941" s="183" t="s">
        <v>96</v>
      </c>
      <c r="Q941" s="183" t="s">
        <v>97</v>
      </c>
      <c r="R941" s="183">
        <v>10</v>
      </c>
      <c r="S941" s="183">
        <v>0</v>
      </c>
      <c r="T941" s="183">
        <v>6</v>
      </c>
      <c r="U941" s="183" t="s">
        <v>22</v>
      </c>
      <c r="V941" s="183"/>
      <c r="W941" s="183"/>
      <c r="X941" s="183"/>
      <c r="Y941" s="184">
        <f>IF(ISBLANK(O941),"",(IF(O941=UPPER("IB"),0.005,0.01)))</f>
        <v>0.01</v>
      </c>
      <c r="Z941" s="185">
        <f t="shared" si="302"/>
        <v>1600</v>
      </c>
      <c r="AA941" s="185"/>
      <c r="AB941" s="185"/>
      <c r="AC941" s="185" t="s">
        <v>3594</v>
      </c>
      <c r="AD941" s="649">
        <v>-7.0000000000000007E-2</v>
      </c>
      <c r="AE941" s="182"/>
      <c r="AF941" s="332"/>
      <c r="AG941" s="182"/>
      <c r="AH941" s="182"/>
      <c r="AI941" s="182"/>
      <c r="AJ941" s="640"/>
      <c r="AK941" s="182"/>
      <c r="AL941" s="496">
        <f t="shared" ref="AL941:AL942" si="303">-0.02*Z941</f>
        <v>-32</v>
      </c>
      <c r="AM941" s="496">
        <f>AL941*(R941-S941)</f>
        <v>-320</v>
      </c>
      <c r="AN941" s="626"/>
      <c r="AO941" s="182"/>
      <c r="AP941" s="182" t="s">
        <v>770</v>
      </c>
      <c r="AQ941" s="332" t="str">
        <f>UPPER(RIGHT(Journal_Live[[#This Row],[DURATION ]]))</f>
        <v>D</v>
      </c>
      <c r="AR941" s="182" t="s">
        <v>3595</v>
      </c>
      <c r="AS941" s="189">
        <v>-7.0000000000000007E-2</v>
      </c>
      <c r="AT941" s="189">
        <f>IF(ISBLANK(AS941),,IF(U941="S",AD941-AS941,AS941-AD941))</f>
        <v>0</v>
      </c>
      <c r="AU941" s="187">
        <f>AV941*R941</f>
        <v>0</v>
      </c>
      <c r="AV941" s="190">
        <f>IF(ISBLANK(AS941),,(AT941*Z941))</f>
        <v>0</v>
      </c>
      <c r="AW941" s="191" t="s">
        <v>115</v>
      </c>
      <c r="AX941" s="407"/>
      <c r="AY941" s="407"/>
      <c r="AZ941" s="407"/>
      <c r="BA941" s="407"/>
      <c r="BB941" s="407"/>
      <c r="BC941" s="407"/>
      <c r="BD941" s="407"/>
      <c r="BE941" s="407"/>
      <c r="BF941" s="422"/>
      <c r="BG941" s="391">
        <f>SUM($AV$4:AV941)</f>
        <v>4247.0988769842224</v>
      </c>
      <c r="BH941" s="392">
        <f>SUM($AU$134:AU941)</f>
        <v>16713.24200000022</v>
      </c>
      <c r="BI941" s="318">
        <f>SUMIFS($AU$134:AU942,$Q$134:Q942,"F")</f>
        <v>6206.5333333333328</v>
      </c>
      <c r="BJ941" s="318">
        <f>SUMIFS($AU$134:AU942,$Q$134:Q942,"S")</f>
        <v>11508.441999999999</v>
      </c>
      <c r="BK941" s="343">
        <f>SUMIFS($AU$134:AU942,$P$134:P942,"W")</f>
        <v>10251.74199999994</v>
      </c>
      <c r="BL941" s="343">
        <f>SUMIFS($AU$134:AU942,$P$134:P942,"R")</f>
        <v>7204.673333333335</v>
      </c>
      <c r="BM941" s="343">
        <f>SUMIFS($AU$134:AU942,$AQ$134:AQ942,"M")</f>
        <v>2381.3999999999878</v>
      </c>
      <c r="BN941" s="343">
        <f>SUMIFS($AU$134:AU942,$AQ$134:AQ942,"H")</f>
        <v>4798.1420000000153</v>
      </c>
      <c r="BO941" s="343">
        <f>SUMIFS($AU$134:AU942,$AQ$134:AQ942,"D")</f>
        <v>5064.3466666667146</v>
      </c>
      <c r="BP941" s="343">
        <f>SUMIFS($AU$134:AU944,$AQ$134:AQ944,"W")</f>
        <v>2802.7233333332406</v>
      </c>
      <c r="BQ941" s="343">
        <f>SUMIFS($AU$134:AU942,$Q$134:Q942,"O")</f>
        <v>-816.93333333311739</v>
      </c>
      <c r="BR941" s="343">
        <f>SUMIFS($AU$134:AU942,$AA$134:AA942,"*")</f>
        <v>16197.475333333328</v>
      </c>
      <c r="BS941" s="343">
        <f>SUMIFS($AU$134:AU942,$AB$134:AB942,"*")</f>
        <v>5010.2666666668902</v>
      </c>
      <c r="BT941" s="343">
        <f>SUMIFS($AU$134:AU942,$AC$134:AC942,"*")</f>
        <v>9951.6833333333325</v>
      </c>
      <c r="BU941" s="343">
        <f>SUMIFS($AU$134:AU942,$AA$134:AA942,"*",$AB$134:AB942,"*")</f>
        <v>3538.0000000000045</v>
      </c>
      <c r="BV941" s="343">
        <f>SUMIFS($AU$134:AU942,$AA$134:AA942,"*",$AC$134:AC942,"*")</f>
        <v>9412.7833333333328</v>
      </c>
      <c r="BW941" s="343">
        <f>SUMIFS($AU$134:AU942,$AB$134:AB942,"*",$AC$134:AC942,"*")</f>
        <v>5662.6</v>
      </c>
      <c r="BX941" s="343">
        <f>SUMIFS($AU942:AU$1388,$Q942:Q$1388,"F")</f>
        <v>8234.133333333335</v>
      </c>
      <c r="BY941" s="343">
        <f>SUMIFS($AU942:AU$1388,$Q942:Q$1388,"S")</f>
        <v>9243.2000000000007</v>
      </c>
      <c r="BZ941" s="343">
        <f>SUMIFS($AU942:AU$1388,$Q942:Q$1388,"O")</f>
        <v>-831.92466666668088</v>
      </c>
    </row>
    <row r="942" spans="1:78" ht="15.75" customHeight="1">
      <c r="A942" s="221" t="s">
        <v>3401</v>
      </c>
      <c r="B942" s="177">
        <v>45153</v>
      </c>
      <c r="C942" s="178" t="s">
        <v>1219</v>
      </c>
      <c r="D942" s="178" t="s">
        <v>146</v>
      </c>
      <c r="E942" s="227"/>
      <c r="F942" s="180"/>
      <c r="G942" s="281" t="s">
        <v>2145</v>
      </c>
      <c r="H942" s="182"/>
      <c r="I942" s="182"/>
      <c r="J942" s="182"/>
      <c r="K942" s="183"/>
      <c r="L942" s="182">
        <v>1</v>
      </c>
      <c r="M942" s="182"/>
      <c r="N942" s="182"/>
      <c r="O942" s="183" t="s">
        <v>95</v>
      </c>
      <c r="P942" s="183" t="s">
        <v>96</v>
      </c>
      <c r="Q942" s="183" t="s">
        <v>97</v>
      </c>
      <c r="R942" s="183">
        <v>5</v>
      </c>
      <c r="S942" s="183">
        <v>0</v>
      </c>
      <c r="T942" s="183">
        <v>3</v>
      </c>
      <c r="U942" s="183" t="s">
        <v>22</v>
      </c>
      <c r="V942" s="183"/>
      <c r="W942" s="183"/>
      <c r="X942" s="183"/>
      <c r="Y942" s="184">
        <f>IF(ISBLANK(O942),"",(IF(O942=UPPER("IB"),0.005,0.01)))</f>
        <v>0.01</v>
      </c>
      <c r="Z942" s="185">
        <f t="shared" si="302"/>
        <v>1600</v>
      </c>
      <c r="AA942" s="185" t="s">
        <v>99</v>
      </c>
      <c r="AB942" s="185"/>
      <c r="AC942" s="185"/>
      <c r="AD942" s="649">
        <v>0.05</v>
      </c>
      <c r="AE942" s="182"/>
      <c r="AF942" s="332"/>
      <c r="AG942" s="182"/>
      <c r="AH942" s="182"/>
      <c r="AI942" s="182"/>
      <c r="AJ942" s="640"/>
      <c r="AK942" s="182"/>
      <c r="AL942" s="496">
        <f t="shared" si="303"/>
        <v>-32</v>
      </c>
      <c r="AM942" s="496">
        <f>AL942*(R942-S942)</f>
        <v>-160</v>
      </c>
      <c r="AN942" s="626"/>
      <c r="AO942" s="182"/>
      <c r="AP942" s="182" t="s">
        <v>2004</v>
      </c>
      <c r="AQ942" s="332" t="str">
        <f>UPPER(RIGHT(Journal_Live[[#This Row],[DURATION ]]))</f>
        <v>H</v>
      </c>
      <c r="AR942" s="182" t="s">
        <v>3596</v>
      </c>
      <c r="AS942" s="189">
        <v>0.06</v>
      </c>
      <c r="AT942" s="189">
        <f>IF(ISBLANK(AS942),,IF(U942="S",AD942-AS942,AS942-AD942))</f>
        <v>9.999999999999995E-3</v>
      </c>
      <c r="AU942" s="187">
        <f>AV942*R942</f>
        <v>79.999999999999972</v>
      </c>
      <c r="AV942" s="190">
        <f>IF(ISBLANK(AS942),,(AT942*Z942))</f>
        <v>15.999999999999993</v>
      </c>
      <c r="AW942" s="191" t="s">
        <v>96</v>
      </c>
      <c r="AX942" s="407"/>
      <c r="AY942" s="407"/>
      <c r="AZ942" s="407"/>
      <c r="BA942" s="407"/>
      <c r="BB942" s="407"/>
      <c r="BC942" s="407"/>
      <c r="BD942" s="407"/>
      <c r="BE942" s="407"/>
      <c r="BF942" s="422"/>
      <c r="BG942" s="391">
        <f>SUM($AV$4:AV942)</f>
        <v>4263.0988769842224</v>
      </c>
      <c r="BH942" s="392">
        <f>SUM($AU$134:AU942)</f>
        <v>16793.24200000022</v>
      </c>
      <c r="BI942" s="318">
        <f>SUMIFS($AU$134:AU943,$Q$134:Q943,"F")</f>
        <v>6206.5333333333328</v>
      </c>
      <c r="BJ942" s="318">
        <f>SUMIFS($AU$134:AU943,$Q$134:Q943,"S")</f>
        <v>11556.441999999999</v>
      </c>
      <c r="BK942" s="343">
        <f>SUMIFS($AU$134:AU943,$P$134:P943,"W")</f>
        <v>10299.74199999994</v>
      </c>
      <c r="BL942" s="343">
        <f>SUMIFS($AU$134:AU943,$P$134:P943,"R")</f>
        <v>7204.673333333335</v>
      </c>
      <c r="BM942" s="343">
        <f>SUMIFS($AU$134:AU943,$AQ$134:AQ943,"M")</f>
        <v>2381.3999999999878</v>
      </c>
      <c r="BN942" s="343">
        <f>SUMIFS($AU$134:AU943,$AQ$134:AQ943,"H")</f>
        <v>4846.1420000000153</v>
      </c>
      <c r="BO942" s="343">
        <f>SUMIFS($AU$134:AU943,$AQ$134:AQ943,"D")</f>
        <v>5064.3466666667146</v>
      </c>
      <c r="BP942" s="343">
        <f>SUMIFS($AU$134:AU945,$AQ$134:AQ945,"W")</f>
        <v>2802.7233333332406</v>
      </c>
      <c r="BQ942" s="343">
        <f>SUMIFS($AU$134:AU943,$Q$134:Q943,"O")</f>
        <v>-816.93333333311739</v>
      </c>
      <c r="BR942" s="343">
        <f>SUMIFS($AU$134:AU943,$AA$134:AA943,"*")</f>
        <v>16245.475333333328</v>
      </c>
      <c r="BS942" s="343">
        <f>SUMIFS($AU$134:AU943,$AB$134:AB943,"*")</f>
        <v>5010.2666666668902</v>
      </c>
      <c r="BT942" s="343">
        <f>SUMIFS($AU$134:AU943,$AC$134:AC943,"*")</f>
        <v>9951.6833333333325</v>
      </c>
      <c r="BU942" s="343">
        <f>SUMIFS($AU$134:AU943,$AA$134:AA943,"*",$AB$134:AB943,"*")</f>
        <v>3538.0000000000045</v>
      </c>
      <c r="BV942" s="343">
        <f>SUMIFS($AU$134:AU943,$AA$134:AA943,"*",$AC$134:AC943,"*")</f>
        <v>9412.7833333333328</v>
      </c>
      <c r="BW942" s="343">
        <f>SUMIFS($AU$134:AU943,$AB$134:AB943,"*",$AC$134:AC943,"*")</f>
        <v>5662.6</v>
      </c>
      <c r="BX942" s="343">
        <f>SUMIFS($AU943:AU$1388,$Q943:Q$1388,"F")</f>
        <v>8234.133333333335</v>
      </c>
      <c r="BY942" s="343">
        <f>SUMIFS($AU943:AU$1388,$Q943:Q$1388,"S")</f>
        <v>9163.2000000000007</v>
      </c>
      <c r="BZ942" s="343">
        <f>SUMIFS($AU943:AU$1388,$Q943:Q$1388,"O")</f>
        <v>-831.92466666668088</v>
      </c>
    </row>
    <row r="943" spans="1:78" ht="15.75" customHeight="1">
      <c r="A943" s="221" t="s">
        <v>3401</v>
      </c>
      <c r="B943" s="177">
        <v>45153</v>
      </c>
      <c r="C943" s="178" t="s">
        <v>3597</v>
      </c>
      <c r="D943" s="178" t="s">
        <v>146</v>
      </c>
      <c r="E943" s="227"/>
      <c r="F943" s="180"/>
      <c r="G943" s="281" t="s">
        <v>94</v>
      </c>
      <c r="H943" s="182"/>
      <c r="I943" s="182"/>
      <c r="J943" s="182"/>
      <c r="K943" s="183"/>
      <c r="L943" s="182">
        <v>1</v>
      </c>
      <c r="M943" s="182"/>
      <c r="N943" s="182"/>
      <c r="O943" s="183" t="s">
        <v>95</v>
      </c>
      <c r="P943" s="183" t="s">
        <v>96</v>
      </c>
      <c r="Q943" s="183" t="s">
        <v>97</v>
      </c>
      <c r="R943" s="183">
        <v>3</v>
      </c>
      <c r="S943" s="183">
        <v>0</v>
      </c>
      <c r="T943" s="183">
        <v>3</v>
      </c>
      <c r="U943" s="183" t="s">
        <v>22</v>
      </c>
      <c r="V943" s="183"/>
      <c r="W943" s="183"/>
      <c r="X943" s="183"/>
      <c r="Y943" s="184">
        <f>IF(ISBLANK(O943),"",(IF(O943=UPPER("IB"),0.005,0.01)))</f>
        <v>0.01</v>
      </c>
      <c r="Z943" s="185">
        <f t="shared" si="302"/>
        <v>1600</v>
      </c>
      <c r="AA943" s="185" t="s">
        <v>3598</v>
      </c>
      <c r="AB943" s="185"/>
      <c r="AC943" s="185"/>
      <c r="AD943" s="649">
        <v>0.14000000000000001</v>
      </c>
      <c r="AE943" s="182"/>
      <c r="AF943" s="332"/>
      <c r="AG943" s="182"/>
      <c r="AH943" s="182"/>
      <c r="AI943" s="182"/>
      <c r="AJ943" s="640"/>
      <c r="AK943" s="182"/>
      <c r="AL943" s="496"/>
      <c r="AM943" s="496"/>
      <c r="AN943" s="626"/>
      <c r="AO943" s="182"/>
      <c r="AP943" s="182" t="s">
        <v>1782</v>
      </c>
      <c r="AQ943" s="332" t="str">
        <f>UPPER(RIGHT(Journal_Live[[#This Row],[DURATION ]]))</f>
        <v>H</v>
      </c>
      <c r="AR943" s="182" t="s">
        <v>3599</v>
      </c>
      <c r="AS943" s="189">
        <v>0.15</v>
      </c>
      <c r="AT943" s="189">
        <f>IF(ISBLANK(AS943),,IF(U943="S",AD943-AS943,AS943-AD943))</f>
        <v>9.9999999999999811E-3</v>
      </c>
      <c r="AU943" s="187">
        <f>AV943*R943</f>
        <v>47.999999999999908</v>
      </c>
      <c r="AV943" s="190">
        <f>IF(ISBLANK(AS943),,(AT943*Z943))</f>
        <v>15.99999999999997</v>
      </c>
      <c r="AW943" s="191" t="s">
        <v>96</v>
      </c>
      <c r="AX943" s="407" t="s">
        <v>3600</v>
      </c>
      <c r="AY943" s="407" t="s">
        <v>3601</v>
      </c>
      <c r="AZ943" s="407"/>
      <c r="BA943" s="407"/>
      <c r="BB943" s="407"/>
      <c r="BC943" s="407"/>
      <c r="BD943" s="407"/>
      <c r="BE943" s="407"/>
      <c r="BF943" s="422"/>
      <c r="BG943" s="391">
        <f>SUM($AV$4:AV943)</f>
        <v>4279.0988769842224</v>
      </c>
      <c r="BH943" s="392">
        <f>SUM($AU$134:AU943)</f>
        <v>16841.24200000022</v>
      </c>
      <c r="BI943" s="318">
        <f>SUMIFS($AU$134:AU944,$Q$134:Q944,"F")</f>
        <v>6206.5333333333328</v>
      </c>
      <c r="BJ943" s="318">
        <f>SUMIFS($AU$134:AU944,$Q$134:Q944,"S")</f>
        <v>11556.441999999999</v>
      </c>
      <c r="BK943" s="343">
        <f>SUMIFS($AU$134:AU944,$P$134:P944,"W")</f>
        <v>10299.74199999994</v>
      </c>
      <c r="BL943" s="343">
        <f>SUMIFS($AU$134:AU944,$P$134:P944,"R")</f>
        <v>7204.673333333335</v>
      </c>
      <c r="BM943" s="343">
        <f>SUMIFS($AU$134:AU944,$AQ$134:AQ944,"M")</f>
        <v>2381.3999999999878</v>
      </c>
      <c r="BN943" s="343">
        <f>SUMIFS($AU$134:AU944,$AQ$134:AQ944,"H")</f>
        <v>4846.1420000000153</v>
      </c>
      <c r="BO943" s="343">
        <f>SUMIFS($AU$134:AU944,$AQ$134:AQ944,"D")</f>
        <v>5064.3466666667146</v>
      </c>
      <c r="BP943" s="343">
        <f>SUMIFS($AU$134:AU946,$AQ$134:AQ946,"W")</f>
        <v>2802.7233333332406</v>
      </c>
      <c r="BQ943" s="343">
        <f>SUMIFS($AU$134:AU944,$Q$134:Q944,"O")</f>
        <v>-816.93333333311739</v>
      </c>
      <c r="BR943" s="343">
        <f>SUMIFS($AU$134:AU944,$AA$134:AA944,"*")</f>
        <v>16245.475333333328</v>
      </c>
      <c r="BS943" s="343">
        <f>SUMIFS($AU$134:AU944,$AB$134:AB944,"*")</f>
        <v>5010.2666666668902</v>
      </c>
      <c r="BT943" s="343">
        <f>SUMIFS($AU$134:AU944,$AC$134:AC944,"*")</f>
        <v>9951.6833333333325</v>
      </c>
      <c r="BU943" s="343">
        <f>SUMIFS($AU$134:AU944,$AA$134:AA944,"*",$AB$134:AB944,"*")</f>
        <v>3538.0000000000045</v>
      </c>
      <c r="BV943" s="343">
        <f>SUMIFS($AU$134:AU944,$AA$134:AA944,"*",$AC$134:AC944,"*")</f>
        <v>9412.7833333333328</v>
      </c>
      <c r="BW943" s="343">
        <f>SUMIFS($AU$134:AU944,$AB$134:AB944,"*",$AC$134:AC944,"*")</f>
        <v>5662.6</v>
      </c>
      <c r="BX943" s="343">
        <f>SUMIFS($AU944:AU$1388,$Q944:Q$1388,"F")</f>
        <v>8234.133333333335</v>
      </c>
      <c r="BY943" s="343">
        <f>SUMIFS($AU944:AU$1388,$Q944:Q$1388,"S")</f>
        <v>9115.2000000000007</v>
      </c>
      <c r="BZ943" s="343">
        <f>SUMIFS($AU944:AU$1388,$Q944:Q$1388,"O")</f>
        <v>-831.92466666668088</v>
      </c>
    </row>
    <row r="944" spans="1:78" ht="15.75" customHeight="1">
      <c r="A944" s="221" t="s">
        <v>3401</v>
      </c>
      <c r="B944" s="177">
        <v>45154</v>
      </c>
      <c r="C944" s="178" t="s">
        <v>3001</v>
      </c>
      <c r="D944" s="178" t="s">
        <v>151</v>
      </c>
      <c r="E944" s="227" t="s">
        <v>3602</v>
      </c>
      <c r="F944" s="180"/>
      <c r="G944" s="181"/>
      <c r="H944" s="182"/>
      <c r="I944" s="182"/>
      <c r="J944" s="182"/>
      <c r="K944" s="183"/>
      <c r="L944" s="182"/>
      <c r="M944" s="182"/>
      <c r="N944" s="182"/>
      <c r="O944" s="183"/>
      <c r="P944" s="183"/>
      <c r="Q944" s="183"/>
      <c r="R944" s="183"/>
      <c r="S944" s="183"/>
      <c r="T944" s="183"/>
      <c r="U944" s="183"/>
      <c r="V944" s="183"/>
      <c r="W944" s="183"/>
      <c r="X944" s="183"/>
      <c r="Y944" s="183"/>
      <c r="Z944" s="185" t="str">
        <f t="shared" si="302"/>
        <v/>
      </c>
      <c r="AA944" s="185"/>
      <c r="AB944" s="185"/>
      <c r="AC944" s="185"/>
      <c r="AD944" s="649"/>
      <c r="AE944" s="182"/>
      <c r="AF944" s="332"/>
      <c r="AG944" s="182"/>
      <c r="AH944" s="182"/>
      <c r="AI944" s="182"/>
      <c r="AJ944" s="640"/>
      <c r="AK944" s="182"/>
      <c r="AL944" s="496"/>
      <c r="AM944" s="496"/>
      <c r="AN944" s="626"/>
      <c r="AO944" s="182"/>
      <c r="AP944" s="182"/>
      <c r="AQ944" s="332" t="str">
        <f>UPPER(RIGHT(Journal_Live[[#This Row],[DURATION ]]))</f>
        <v/>
      </c>
      <c r="AR944" s="182"/>
      <c r="AS944" s="189"/>
      <c r="AT944" s="189"/>
      <c r="AU944" s="187"/>
      <c r="AV944" s="190"/>
      <c r="AW944" s="191"/>
      <c r="AX944" s="407"/>
      <c r="AY944" s="407"/>
      <c r="AZ944" s="407"/>
      <c r="BA944" s="407"/>
      <c r="BB944" s="407"/>
      <c r="BC944" s="407"/>
      <c r="BD944" s="407"/>
      <c r="BE944" s="407"/>
      <c r="BF944" s="422"/>
      <c r="BG944" s="391">
        <f>SUM($AV$4:AV944)</f>
        <v>4279.0988769842224</v>
      </c>
      <c r="BH944" s="392">
        <f>SUM($AU$134:AU944)</f>
        <v>16841.24200000022</v>
      </c>
      <c r="BI944" s="318">
        <f>SUMIFS($AU$134:AU945,$Q$134:Q945,"F")</f>
        <v>6206.5333333333328</v>
      </c>
      <c r="BJ944" s="318">
        <f>SUMIFS($AU$134:AU945,$Q$134:Q945,"S")</f>
        <v>11876.441999999999</v>
      </c>
      <c r="BK944" s="343">
        <f>SUMIFS($AU$134:AU945,$P$134:P945,"W")</f>
        <v>10619.74199999994</v>
      </c>
      <c r="BL944" s="343">
        <f>SUMIFS($AU$134:AU945,$P$134:P945,"R")</f>
        <v>7204.673333333335</v>
      </c>
      <c r="BM944" s="343">
        <f>SUMIFS($AU$134:AU945,$AQ$134:AQ945,"M")</f>
        <v>2381.3999999999878</v>
      </c>
      <c r="BN944" s="343">
        <f>SUMIFS($AU$134:AU945,$AQ$134:AQ945,"H")</f>
        <v>4846.1420000000153</v>
      </c>
      <c r="BO944" s="343">
        <f>SUMIFS($AU$134:AU945,$AQ$134:AQ945,"D")</f>
        <v>5384.3466666667146</v>
      </c>
      <c r="BP944" s="343">
        <f>SUMIFS($AU$134:AU947,$AQ$134:AQ947,"W")</f>
        <v>2802.7233333332406</v>
      </c>
      <c r="BQ944" s="343">
        <f>SUMIFS($AU$134:AU945,$Q$134:Q945,"O")</f>
        <v>-816.93333333311739</v>
      </c>
      <c r="BR944" s="343">
        <f>SUMIFS($AU$134:AU945,$AA$134:AA945,"*")</f>
        <v>16245.475333333328</v>
      </c>
      <c r="BS944" s="343">
        <f>SUMIFS($AU$134:AU945,$AB$134:AB945,"*")</f>
        <v>5010.2666666668902</v>
      </c>
      <c r="BT944" s="343">
        <f>SUMIFS($AU$134:AU945,$AC$134:AC945,"*")</f>
        <v>10271.683333333332</v>
      </c>
      <c r="BU944" s="343">
        <f>SUMIFS($AU$134:AU945,$AA$134:AA945,"*",$AB$134:AB945,"*")</f>
        <v>3538.0000000000045</v>
      </c>
      <c r="BV944" s="343">
        <f>SUMIFS($AU$134:AU945,$AA$134:AA945,"*",$AC$134:AC945,"*")</f>
        <v>9412.7833333333328</v>
      </c>
      <c r="BW944" s="343">
        <f>SUMIFS($AU$134:AU945,$AB$134:AB945,"*",$AC$134:AC945,"*")</f>
        <v>5662.6</v>
      </c>
      <c r="BX944" s="343">
        <f>SUMIFS($AU945:AU$1388,$Q945:Q$1388,"F")</f>
        <v>8234.133333333335</v>
      </c>
      <c r="BY944" s="343">
        <f>SUMIFS($AU945:AU$1388,$Q945:Q$1388,"S")</f>
        <v>9115.2000000000007</v>
      </c>
      <c r="BZ944" s="343">
        <f>SUMIFS($AU945:AU$1388,$Q945:Q$1388,"O")</f>
        <v>-831.92466666668088</v>
      </c>
    </row>
    <row r="945" spans="1:78" ht="15.75" customHeight="1">
      <c r="A945" s="221" t="s">
        <v>3401</v>
      </c>
      <c r="B945" s="177">
        <v>45154</v>
      </c>
      <c r="C945" s="178" t="s">
        <v>379</v>
      </c>
      <c r="D945" s="178" t="s">
        <v>151</v>
      </c>
      <c r="E945" s="227"/>
      <c r="F945" s="180"/>
      <c r="G945" s="281" t="s">
        <v>3603</v>
      </c>
      <c r="H945" s="182"/>
      <c r="I945" s="182"/>
      <c r="J945" s="182"/>
      <c r="K945" s="183"/>
      <c r="L945" s="182">
        <v>2</v>
      </c>
      <c r="M945" s="182"/>
      <c r="N945" s="182"/>
      <c r="O945" s="183" t="s">
        <v>95</v>
      </c>
      <c r="P945" s="183" t="s">
        <v>96</v>
      </c>
      <c r="Q945" s="183" t="s">
        <v>97</v>
      </c>
      <c r="R945" s="183">
        <v>10</v>
      </c>
      <c r="S945" s="183">
        <v>0</v>
      </c>
      <c r="T945" s="183">
        <v>10</v>
      </c>
      <c r="U945" s="183" t="s">
        <v>22</v>
      </c>
      <c r="V945" s="183"/>
      <c r="W945" s="183"/>
      <c r="X945" s="183"/>
      <c r="Y945" s="184">
        <f>IF(ISBLANK(O945),"",(IF(O945=UPPER("IB"),0.005,0.01)))</f>
        <v>0.01</v>
      </c>
      <c r="Z945" s="185">
        <f t="shared" si="302"/>
        <v>1600</v>
      </c>
      <c r="AA945" s="185"/>
      <c r="AB945" s="185"/>
      <c r="AC945" s="185" t="s">
        <v>3594</v>
      </c>
      <c r="AD945" s="649">
        <v>-0.08</v>
      </c>
      <c r="AE945" s="182"/>
      <c r="AF945" s="332"/>
      <c r="AG945" s="182"/>
      <c r="AH945" s="182"/>
      <c r="AI945" s="182"/>
      <c r="AJ945" s="640"/>
      <c r="AK945" s="182"/>
      <c r="AL945" s="496">
        <f>-0.02*Z945</f>
        <v>-32</v>
      </c>
      <c r="AM945" s="496">
        <f>AL945*(R945-S945)</f>
        <v>-320</v>
      </c>
      <c r="AN945" s="626"/>
      <c r="AO945" s="182"/>
      <c r="AP945" s="182" t="s">
        <v>804</v>
      </c>
      <c r="AQ945" s="332" t="str">
        <f>UPPER(RIGHT(Journal_Live[[#This Row],[DURATION ]]))</f>
        <v>D</v>
      </c>
      <c r="AR945" s="182" t="s">
        <v>3604</v>
      </c>
      <c r="AS945" s="189">
        <v>-0.06</v>
      </c>
      <c r="AT945" s="189">
        <f>IF(ISBLANK(AS945),,IF(U945="S",AD945-AS945,AS945-AD945))</f>
        <v>2.0000000000000004E-2</v>
      </c>
      <c r="AU945" s="187">
        <f>AV945*R945</f>
        <v>320.00000000000006</v>
      </c>
      <c r="AV945" s="190">
        <f>IF(ISBLANK(AS945),,(AT945*Z945))</f>
        <v>32.000000000000007</v>
      </c>
      <c r="AW945" s="191" t="s">
        <v>96</v>
      </c>
      <c r="AX945" s="407"/>
      <c r="AY945" s="407"/>
      <c r="AZ945" s="407"/>
      <c r="BA945" s="407"/>
      <c r="BB945" s="407"/>
      <c r="BC945" s="407"/>
      <c r="BD945" s="407"/>
      <c r="BE945" s="407"/>
      <c r="BF945" s="422"/>
      <c r="BG945" s="391">
        <f>SUM($AV$4:AV945)</f>
        <v>4311.0988769842224</v>
      </c>
      <c r="BH945" s="392">
        <f>SUM($AU$134:AU945)</f>
        <v>17161.24200000022</v>
      </c>
      <c r="BI945" s="318">
        <f>SUMIFS($AU$134:AU946,$Q$134:Q946,"F")</f>
        <v>6206.5333333333328</v>
      </c>
      <c r="BJ945" s="318">
        <f>SUMIFS($AU$134:AU946,$Q$134:Q946,"S")</f>
        <v>11876.441999999999</v>
      </c>
      <c r="BK945" s="343">
        <f>SUMIFS($AU$134:AU946,$P$134:P946,"W")</f>
        <v>10619.74199999994</v>
      </c>
      <c r="BL945" s="343">
        <f>SUMIFS($AU$134:AU946,$P$134:P946,"R")</f>
        <v>7204.673333333335</v>
      </c>
      <c r="BM945" s="343">
        <f>SUMIFS($AU$134:AU946,$AQ$134:AQ946,"M")</f>
        <v>2381.3999999999878</v>
      </c>
      <c r="BN945" s="343">
        <f>SUMIFS($AU$134:AU946,$AQ$134:AQ946,"H")</f>
        <v>4846.1420000000153</v>
      </c>
      <c r="BO945" s="343">
        <f>SUMIFS($AU$134:AU946,$AQ$134:AQ946,"D")</f>
        <v>5384.3466666667146</v>
      </c>
      <c r="BP945" s="343">
        <f>SUMIFS($AU$134:AU948,$AQ$134:AQ948,"W")</f>
        <v>3122.7233333332406</v>
      </c>
      <c r="BQ945" s="343">
        <f>SUMIFS($AU$134:AU946,$Q$134:Q946,"O")</f>
        <v>-816.93333333311739</v>
      </c>
      <c r="BR945" s="343">
        <f>SUMIFS($AU$134:AU946,$AA$134:AA946,"*")</f>
        <v>16245.475333333328</v>
      </c>
      <c r="BS945" s="343">
        <f>SUMIFS($AU$134:AU946,$AB$134:AB946,"*")</f>
        <v>5010.2666666668902</v>
      </c>
      <c r="BT945" s="343">
        <f>SUMIFS($AU$134:AU946,$AC$134:AC946,"*")</f>
        <v>10271.683333333332</v>
      </c>
      <c r="BU945" s="343">
        <f>SUMIFS($AU$134:AU946,$AA$134:AA946,"*",$AB$134:AB946,"*")</f>
        <v>3538.0000000000045</v>
      </c>
      <c r="BV945" s="343">
        <f>SUMIFS($AU$134:AU946,$AA$134:AA946,"*",$AC$134:AC946,"*")</f>
        <v>9412.7833333333328</v>
      </c>
      <c r="BW945" s="343">
        <f>SUMIFS($AU$134:AU946,$AB$134:AB946,"*",$AC$134:AC946,"*")</f>
        <v>5662.6</v>
      </c>
      <c r="BX945" s="343">
        <f>SUMIFS($AU946:AU$1388,$Q946:Q$1388,"F")</f>
        <v>8234.133333333335</v>
      </c>
      <c r="BY945" s="343">
        <f>SUMIFS($AU946:AU$1388,$Q946:Q$1388,"S")</f>
        <v>8795.2000000000007</v>
      </c>
      <c r="BZ945" s="343">
        <f>SUMIFS($AU946:AU$1388,$Q946:Q$1388,"O")</f>
        <v>-831.92466666668088</v>
      </c>
    </row>
    <row r="946" spans="1:78" ht="15.75" customHeight="1">
      <c r="A946" s="221" t="s">
        <v>3401</v>
      </c>
      <c r="B946" s="177">
        <v>45154</v>
      </c>
      <c r="C946" s="178" t="s">
        <v>2661</v>
      </c>
      <c r="D946" s="178" t="s">
        <v>151</v>
      </c>
      <c r="E946" s="227" t="s">
        <v>3605</v>
      </c>
      <c r="F946" s="180"/>
      <c r="G946" s="181"/>
      <c r="H946" s="182"/>
      <c r="I946" s="182"/>
      <c r="J946" s="182"/>
      <c r="K946" s="183"/>
      <c r="L946" s="182"/>
      <c r="M946" s="182"/>
      <c r="N946" s="182"/>
      <c r="O946" s="183"/>
      <c r="P946" s="183"/>
      <c r="Q946" s="183"/>
      <c r="R946" s="183"/>
      <c r="S946" s="183"/>
      <c r="T946" s="183"/>
      <c r="U946" s="183"/>
      <c r="V946" s="183"/>
      <c r="W946" s="183"/>
      <c r="X946" s="183"/>
      <c r="Y946" s="183"/>
      <c r="Z946" s="185" t="str">
        <f t="shared" si="302"/>
        <v/>
      </c>
      <c r="AA946" s="185"/>
      <c r="AB946" s="185"/>
      <c r="AC946" s="185"/>
      <c r="AD946" s="649"/>
      <c r="AE946" s="182"/>
      <c r="AF946" s="332"/>
      <c r="AG946" s="182"/>
      <c r="AH946" s="182"/>
      <c r="AI946" s="182"/>
      <c r="AJ946" s="640"/>
      <c r="AK946" s="182"/>
      <c r="AL946" s="496"/>
      <c r="AM946" s="496"/>
      <c r="AN946" s="626"/>
      <c r="AO946" s="182"/>
      <c r="AP946" s="182"/>
      <c r="AQ946" s="332" t="str">
        <f>UPPER(RIGHT(Journal_Live[[#This Row],[DURATION ]]))</f>
        <v/>
      </c>
      <c r="AR946" s="182"/>
      <c r="AS946" s="189"/>
      <c r="AT946" s="189"/>
      <c r="AU946" s="187"/>
      <c r="AV946" s="190"/>
      <c r="AW946" s="191"/>
      <c r="AX946" s="407"/>
      <c r="AY946" s="407"/>
      <c r="AZ946" s="407"/>
      <c r="BA946" s="407"/>
      <c r="BB946" s="407"/>
      <c r="BC946" s="407"/>
      <c r="BD946" s="407"/>
      <c r="BE946" s="407"/>
      <c r="BF946" s="422"/>
      <c r="BG946" s="391">
        <f>SUM($AV$4:AV946)</f>
        <v>4311.0988769842224</v>
      </c>
      <c r="BH946" s="392">
        <f>SUM($AU$134:AU946)</f>
        <v>17161.24200000022</v>
      </c>
      <c r="BI946" s="318">
        <f>SUMIFS($AU$134:AU947,$Q$134:Q947,"F")</f>
        <v>6206.5333333333328</v>
      </c>
      <c r="BJ946" s="318">
        <f>SUMIFS($AU$134:AU947,$Q$134:Q947,"S")</f>
        <v>11876.441999999999</v>
      </c>
      <c r="BK946" s="343">
        <f>SUMIFS($AU$134:AU947,$P$134:P947,"W")</f>
        <v>10619.74199999994</v>
      </c>
      <c r="BL946" s="343">
        <f>SUMIFS($AU$134:AU947,$P$134:P947,"R")</f>
        <v>7204.673333333335</v>
      </c>
      <c r="BM946" s="343">
        <f>SUMIFS($AU$134:AU947,$AQ$134:AQ947,"M")</f>
        <v>2381.3999999999878</v>
      </c>
      <c r="BN946" s="343">
        <f>SUMIFS($AU$134:AU947,$AQ$134:AQ947,"H")</f>
        <v>4846.1420000000153</v>
      </c>
      <c r="BO946" s="343">
        <f>SUMIFS($AU$134:AU947,$AQ$134:AQ947,"D")</f>
        <v>5384.3466666667146</v>
      </c>
      <c r="BP946" s="343">
        <f>SUMIFS($AU$134:AU949,$AQ$134:AQ949,"W")</f>
        <v>3122.7233333332406</v>
      </c>
      <c r="BQ946" s="343">
        <f>SUMIFS($AU$134:AU947,$Q$134:Q947,"O")</f>
        <v>-816.93333333311739</v>
      </c>
      <c r="BR946" s="343">
        <f>SUMIFS($AU$134:AU947,$AA$134:AA947,"*")</f>
        <v>16245.475333333328</v>
      </c>
      <c r="BS946" s="343">
        <f>SUMIFS($AU$134:AU947,$AB$134:AB947,"*")</f>
        <v>5010.2666666668902</v>
      </c>
      <c r="BT946" s="343">
        <f>SUMIFS($AU$134:AU947,$AC$134:AC947,"*")</f>
        <v>10271.683333333332</v>
      </c>
      <c r="BU946" s="343">
        <f>SUMIFS($AU$134:AU947,$AA$134:AA947,"*",$AB$134:AB947,"*")</f>
        <v>3538.0000000000045</v>
      </c>
      <c r="BV946" s="343">
        <f>SUMIFS($AU$134:AU947,$AA$134:AA947,"*",$AC$134:AC947,"*")</f>
        <v>9412.7833333333328</v>
      </c>
      <c r="BW946" s="343">
        <f>SUMIFS($AU$134:AU947,$AB$134:AB947,"*",$AC$134:AC947,"*")</f>
        <v>5662.6</v>
      </c>
      <c r="BX946" s="343">
        <f>SUMIFS($AU947:AU$1388,$Q947:Q$1388,"F")</f>
        <v>8234.133333333335</v>
      </c>
      <c r="BY946" s="343">
        <f>SUMIFS($AU947:AU$1388,$Q947:Q$1388,"S")</f>
        <v>8795.2000000000007</v>
      </c>
      <c r="BZ946" s="343">
        <f>SUMIFS($AU947:AU$1388,$Q947:Q$1388,"O")</f>
        <v>-831.92466666668088</v>
      </c>
    </row>
    <row r="947" spans="1:78" ht="15.75" customHeight="1">
      <c r="A947" s="221" t="s">
        <v>3401</v>
      </c>
      <c r="B947" s="177">
        <v>45154</v>
      </c>
      <c r="C947" s="178" t="s">
        <v>3606</v>
      </c>
      <c r="D947" s="178" t="s">
        <v>151</v>
      </c>
      <c r="E947" s="227"/>
      <c r="F947" s="180"/>
      <c r="G947" s="181" t="s">
        <v>3522</v>
      </c>
      <c r="H947" s="182"/>
      <c r="I947" s="182"/>
      <c r="J947" s="182"/>
      <c r="K947" s="183"/>
      <c r="L947" s="182"/>
      <c r="M947" s="182"/>
      <c r="N947" s="182"/>
      <c r="O947" s="183"/>
      <c r="P947" s="183"/>
      <c r="Q947" s="183"/>
      <c r="R947" s="183"/>
      <c r="S947" s="183"/>
      <c r="T947" s="183"/>
      <c r="U947" s="183"/>
      <c r="V947" s="183"/>
      <c r="W947" s="183"/>
      <c r="X947" s="183"/>
      <c r="Y947" s="184"/>
      <c r="Z947" s="185"/>
      <c r="AA947" s="185"/>
      <c r="AB947" s="185"/>
      <c r="AC947" s="185"/>
      <c r="AD947" s="649"/>
      <c r="AE947" s="182"/>
      <c r="AF947" s="332"/>
      <c r="AG947" s="182"/>
      <c r="AH947" s="182"/>
      <c r="AI947" s="182"/>
      <c r="AJ947" s="644"/>
      <c r="AK947" s="182"/>
      <c r="AL947" s="496"/>
      <c r="AM947" s="496"/>
      <c r="AN947" s="626"/>
      <c r="AO947" s="182"/>
      <c r="AP947" s="182"/>
      <c r="AQ947" s="332" t="str">
        <f>UPPER(RIGHT(Journal_Live[[#This Row],[DURATION ]]))</f>
        <v/>
      </c>
      <c r="AR947" s="182"/>
      <c r="AS947" s="189"/>
      <c r="AT947" s="189"/>
      <c r="AU947" s="187"/>
      <c r="AV947" s="190"/>
      <c r="AW947" s="191"/>
      <c r="AX947" s="407" t="s">
        <v>3607</v>
      </c>
      <c r="AY947" s="407" t="s">
        <v>3608</v>
      </c>
      <c r="AZ947" s="407"/>
      <c r="BA947" s="407"/>
      <c r="BB947" s="407"/>
      <c r="BC947" s="407"/>
      <c r="BD947" s="407"/>
      <c r="BE947" s="407"/>
      <c r="BF947" s="422"/>
      <c r="BG947" s="391">
        <f>SUM($AV$4:AV947)</f>
        <v>4311.0988769842224</v>
      </c>
      <c r="BH947" s="392">
        <f>SUM($AU$134:AU947)</f>
        <v>17161.24200000022</v>
      </c>
      <c r="BI947" s="318">
        <f>SUMIFS($AU$134:AU948,$Q$134:Q948,"F")</f>
        <v>6206.5333333333328</v>
      </c>
      <c r="BJ947" s="318">
        <f>SUMIFS($AU$134:AU948,$Q$134:Q948,"S")</f>
        <v>12196.441999999999</v>
      </c>
      <c r="BK947" s="343">
        <f>SUMIFS($AU$134:AU948,$P$134:P948,"W")</f>
        <v>10619.74199999994</v>
      </c>
      <c r="BL947" s="343">
        <f>SUMIFS($AU$134:AU948,$P$134:P948,"R")</f>
        <v>7524.673333333335</v>
      </c>
      <c r="BM947" s="343">
        <f>SUMIFS($AU$134:AU948,$AQ$134:AQ948,"M")</f>
        <v>2381.3999999999878</v>
      </c>
      <c r="BN947" s="343">
        <f>SUMIFS($AU$134:AU948,$AQ$134:AQ948,"H")</f>
        <v>4846.1420000000153</v>
      </c>
      <c r="BO947" s="343">
        <f>SUMIFS($AU$134:AU948,$AQ$134:AQ948,"D")</f>
        <v>5384.3466666667146</v>
      </c>
      <c r="BP947" s="343">
        <f>SUMIFS($AU$134:AU950,$AQ$134:AQ950,"W")</f>
        <v>3122.7233333332406</v>
      </c>
      <c r="BQ947" s="343">
        <f>SUMIFS($AU$134:AU948,$Q$134:Q948,"O")</f>
        <v>-816.93333333311739</v>
      </c>
      <c r="BR947" s="343">
        <f>SUMIFS($AU$134:AU948,$AA$134:AA948,"*")</f>
        <v>16245.475333333328</v>
      </c>
      <c r="BS947" s="343">
        <f>SUMIFS($AU$134:AU948,$AB$134:AB948,"*")</f>
        <v>5010.2666666668902</v>
      </c>
      <c r="BT947" s="343">
        <f>SUMIFS($AU$134:AU948,$AC$134:AC948,"*")</f>
        <v>10591.683333333332</v>
      </c>
      <c r="BU947" s="343">
        <f>SUMIFS($AU$134:AU948,$AA$134:AA948,"*",$AB$134:AB948,"*")</f>
        <v>3538.0000000000045</v>
      </c>
      <c r="BV947" s="343">
        <f>SUMIFS($AU$134:AU948,$AA$134:AA948,"*",$AC$134:AC948,"*")</f>
        <v>9412.7833333333328</v>
      </c>
      <c r="BW947" s="343">
        <f>SUMIFS($AU$134:AU948,$AB$134:AB948,"*",$AC$134:AC948,"*")</f>
        <v>5662.6</v>
      </c>
      <c r="BX947" s="343">
        <f>SUMIFS($AU948:AU$1388,$Q948:Q$1388,"F")</f>
        <v>8234.133333333335</v>
      </c>
      <c r="BY947" s="343">
        <f>SUMIFS($AU948:AU$1388,$Q948:Q$1388,"S")</f>
        <v>8795.2000000000007</v>
      </c>
      <c r="BZ947" s="343">
        <f>SUMIFS($AU948:AU$1388,$Q948:Q$1388,"O")</f>
        <v>-831.92466666668088</v>
      </c>
    </row>
    <row r="948" spans="1:78" ht="15.75" customHeight="1">
      <c r="A948" s="221" t="s">
        <v>3401</v>
      </c>
      <c r="B948" s="177">
        <v>45155</v>
      </c>
      <c r="C948" s="178" t="s">
        <v>1992</v>
      </c>
      <c r="D948" s="178" t="s">
        <v>93</v>
      </c>
      <c r="E948" s="227"/>
      <c r="F948" s="180"/>
      <c r="G948" s="484" t="s">
        <v>3609</v>
      </c>
      <c r="H948" s="182"/>
      <c r="I948" s="182"/>
      <c r="J948" s="182"/>
      <c r="K948" s="183"/>
      <c r="L948" s="182">
        <v>2</v>
      </c>
      <c r="M948" s="182"/>
      <c r="N948" s="182"/>
      <c r="O948" s="183" t="s">
        <v>95</v>
      </c>
      <c r="P948" s="183" t="s">
        <v>137</v>
      </c>
      <c r="Q948" s="183" t="s">
        <v>97</v>
      </c>
      <c r="R948" s="183">
        <v>10</v>
      </c>
      <c r="S948" s="183">
        <v>7</v>
      </c>
      <c r="T948" s="183">
        <v>10</v>
      </c>
      <c r="U948" s="183" t="s">
        <v>97</v>
      </c>
      <c r="V948" s="183"/>
      <c r="W948" s="183"/>
      <c r="X948" s="183"/>
      <c r="Y948" s="184">
        <f>IF(ISBLANK(O948),"",(IF(O948=UPPER("IB"),0.005,0.01)))</f>
        <v>0.01</v>
      </c>
      <c r="Z948" s="185">
        <f>IF(ISBLANK(O948),"",IF(O948="IB",8.63*200,IF(O948="IR",16*100,IF(O948="YT",20*100,IF(O948="YT-XT",24*200,IF(O948="TED",80*100))))))</f>
        <v>1600</v>
      </c>
      <c r="AA948" s="185"/>
      <c r="AB948" s="185"/>
      <c r="AC948" s="185" t="s">
        <v>3610</v>
      </c>
      <c r="AD948" s="649">
        <v>0.01</v>
      </c>
      <c r="AE948" s="182"/>
      <c r="AF948" s="332"/>
      <c r="AG948" s="182"/>
      <c r="AH948" s="182" t="s">
        <v>3611</v>
      </c>
      <c r="AI948" s="182"/>
      <c r="AJ948" s="640"/>
      <c r="AK948" s="182"/>
      <c r="AL948" s="496"/>
      <c r="AM948" s="496"/>
      <c r="AN948" s="626"/>
      <c r="AO948" s="182"/>
      <c r="AP948" s="182" t="s">
        <v>925</v>
      </c>
      <c r="AQ948" s="332" t="str">
        <f>UPPER(RIGHT(Journal_Live[[#This Row],[DURATION ]]))</f>
        <v>W</v>
      </c>
      <c r="AR948" s="182" t="s">
        <v>3612</v>
      </c>
      <c r="AS948" s="189">
        <f>((-0.01*7)+(-0.01*3))/10</f>
        <v>-0.01</v>
      </c>
      <c r="AT948" s="189">
        <f>IF(ISBLANK(AS948),,IF(U948="S",AD948-AS948,AS948-AD948))</f>
        <v>0.02</v>
      </c>
      <c r="AU948" s="187">
        <f>AV948*R948</f>
        <v>320</v>
      </c>
      <c r="AV948" s="190">
        <f>IF(ISBLANK(AS948),,(AT948*Z948))</f>
        <v>32</v>
      </c>
      <c r="AW948" s="191" t="s">
        <v>96</v>
      </c>
      <c r="AX948" s="407" t="s">
        <v>3613</v>
      </c>
      <c r="AY948" s="407"/>
      <c r="AZ948" s="407"/>
      <c r="BA948" s="407"/>
      <c r="BB948" s="407"/>
      <c r="BC948" s="407"/>
      <c r="BD948" s="407"/>
      <c r="BE948" s="407"/>
      <c r="BF948" s="422"/>
      <c r="BG948" s="391">
        <f>SUM($AV$4:AV948)</f>
        <v>4343.0988769842224</v>
      </c>
      <c r="BH948" s="392">
        <f>SUM($AU$134:AU948)</f>
        <v>17481.24200000022</v>
      </c>
      <c r="BI948" s="318">
        <f>SUMIFS($AU$134:AU949,$Q$134:Q949,"F")</f>
        <v>6206.5333333333328</v>
      </c>
      <c r="BJ948" s="318">
        <f>SUMIFS($AU$134:AU949,$Q$134:Q949,"S")</f>
        <v>12196.441999999999</v>
      </c>
      <c r="BK948" s="343">
        <f>SUMIFS($AU$134:AU949,$P$134:P949,"W")</f>
        <v>10619.74199999994</v>
      </c>
      <c r="BL948" s="343">
        <f>SUMIFS($AU$134:AU949,$P$134:P949,"R")</f>
        <v>7524.673333333335</v>
      </c>
      <c r="BM948" s="343">
        <f>SUMIFS($AU$134:AU949,$AQ$134:AQ949,"M")</f>
        <v>2381.3999999999878</v>
      </c>
      <c r="BN948" s="343">
        <f>SUMIFS($AU$134:AU949,$AQ$134:AQ949,"H")</f>
        <v>4846.1420000000153</v>
      </c>
      <c r="BO948" s="343">
        <f>SUMIFS($AU$134:AU949,$AQ$134:AQ949,"D")</f>
        <v>5384.3466666667146</v>
      </c>
      <c r="BP948" s="343">
        <f>SUMIFS($AU$134:AU951,$AQ$134:AQ951,"W")</f>
        <v>3122.7233333332406</v>
      </c>
      <c r="BQ948" s="343">
        <f>SUMIFS($AU$134:AU949,$Q$134:Q949,"O")</f>
        <v>-816.93333333311739</v>
      </c>
      <c r="BR948" s="343">
        <f>SUMIFS($AU$134:AU949,$AA$134:AA949,"*")</f>
        <v>16245.475333333328</v>
      </c>
      <c r="BS948" s="343">
        <f>SUMIFS($AU$134:AU949,$AB$134:AB949,"*")</f>
        <v>5010.2666666668902</v>
      </c>
      <c r="BT948" s="343">
        <f>SUMIFS($AU$134:AU949,$AC$134:AC949,"*")</f>
        <v>10591.683333333332</v>
      </c>
      <c r="BU948" s="343">
        <f>SUMIFS($AU$134:AU949,$AA$134:AA949,"*",$AB$134:AB949,"*")</f>
        <v>3538.0000000000045</v>
      </c>
      <c r="BV948" s="343">
        <f>SUMIFS($AU$134:AU949,$AA$134:AA949,"*",$AC$134:AC949,"*")</f>
        <v>9412.7833333333328</v>
      </c>
      <c r="BW948" s="343">
        <f>SUMIFS($AU$134:AU949,$AB$134:AB949,"*",$AC$134:AC949,"*")</f>
        <v>5662.6</v>
      </c>
      <c r="BX948" s="343">
        <f>SUMIFS($AU949:AU$1388,$Q949:Q$1388,"F")</f>
        <v>8234.133333333335</v>
      </c>
      <c r="BY948" s="343">
        <f>SUMIFS($AU949:AU$1388,$Q949:Q$1388,"S")</f>
        <v>8475.2000000000007</v>
      </c>
      <c r="BZ948" s="343">
        <f>SUMIFS($AU949:AU$1388,$Q949:Q$1388,"O")</f>
        <v>-831.92466666668088</v>
      </c>
    </row>
    <row r="949" spans="1:78" ht="15.75" customHeight="1">
      <c r="A949" s="221" t="s">
        <v>3401</v>
      </c>
      <c r="B949" s="177">
        <v>45155</v>
      </c>
      <c r="C949" s="178" t="s">
        <v>2081</v>
      </c>
      <c r="D949" s="178" t="s">
        <v>93</v>
      </c>
      <c r="E949" s="227" t="s">
        <v>3614</v>
      </c>
      <c r="F949" s="180"/>
      <c r="G949" s="181"/>
      <c r="H949" s="182"/>
      <c r="I949" s="182"/>
      <c r="J949" s="182">
        <v>1</v>
      </c>
      <c r="K949" s="183" t="s">
        <v>115</v>
      </c>
      <c r="L949" s="182"/>
      <c r="M949" s="182"/>
      <c r="N949" s="182"/>
      <c r="O949" s="183"/>
      <c r="P949" s="183"/>
      <c r="Q949" s="183"/>
      <c r="R949" s="183"/>
      <c r="S949" s="183"/>
      <c r="T949" s="183"/>
      <c r="U949" s="183"/>
      <c r="V949" s="183"/>
      <c r="W949" s="183"/>
      <c r="X949" s="183"/>
      <c r="Y949" s="183"/>
      <c r="Z949" s="185" t="str">
        <f>IF(ISBLANK(O949),"",IF(O949="IB",8.63*200,IF(O949="IR",16*100,IF(O949="YT",20*100,IF(O949="YT-XT",24*200,IF(O949="TED",80*100))))))</f>
        <v/>
      </c>
      <c r="AA949" s="185"/>
      <c r="AB949" s="185"/>
      <c r="AC949" s="185"/>
      <c r="AD949" s="649"/>
      <c r="AE949" s="182"/>
      <c r="AF949" s="332"/>
      <c r="AG949" s="182"/>
      <c r="AH949" s="182"/>
      <c r="AI949" s="182"/>
      <c r="AJ949" s="640"/>
      <c r="AK949" s="182"/>
      <c r="AL949" s="496"/>
      <c r="AM949" s="496"/>
      <c r="AN949" s="626"/>
      <c r="AO949" s="182"/>
      <c r="AP949" s="182"/>
      <c r="AQ949" s="332" t="str">
        <f>UPPER(RIGHT(Journal_Live[[#This Row],[DURATION ]]))</f>
        <v/>
      </c>
      <c r="AR949" s="182"/>
      <c r="AS949" s="189"/>
      <c r="AT949" s="189"/>
      <c r="AU949" s="187"/>
      <c r="AV949" s="190"/>
      <c r="AW949" s="191"/>
      <c r="AX949" s="407"/>
      <c r="AY949" s="407"/>
      <c r="AZ949" s="407"/>
      <c r="BA949" s="407"/>
      <c r="BB949" s="407"/>
      <c r="BC949" s="407"/>
      <c r="BD949" s="407"/>
      <c r="BE949" s="407"/>
      <c r="BF949" s="422"/>
      <c r="BG949" s="391">
        <f>SUM($AV$4:AV949)</f>
        <v>4343.0988769842224</v>
      </c>
      <c r="BH949" s="392">
        <f>SUM($AU$134:AU949)</f>
        <v>17481.24200000022</v>
      </c>
      <c r="BI949" s="318">
        <f>SUMIFS($AU$134:AU950,$Q$134:Q950,"F")</f>
        <v>6206.5333333333328</v>
      </c>
      <c r="BJ949" s="318">
        <f>SUMIFS($AU$134:AU950,$Q$134:Q950,"S")</f>
        <v>12196.441999999999</v>
      </c>
      <c r="BK949" s="343">
        <f>SUMIFS($AU$134:AU950,$P$134:P950,"W")</f>
        <v>10619.74199999994</v>
      </c>
      <c r="BL949" s="343">
        <f>SUMIFS($AU$134:AU950,$P$134:P950,"R")</f>
        <v>7524.673333333335</v>
      </c>
      <c r="BM949" s="343">
        <f>SUMIFS($AU$134:AU950,$AQ$134:AQ950,"M")</f>
        <v>2381.3999999999878</v>
      </c>
      <c r="BN949" s="343">
        <f>SUMIFS($AU$134:AU950,$AQ$134:AQ950,"H")</f>
        <v>4846.1420000000153</v>
      </c>
      <c r="BO949" s="343">
        <f>SUMIFS($AU$134:AU950,$AQ$134:AQ950,"D")</f>
        <v>5384.3466666667146</v>
      </c>
      <c r="BP949" s="343">
        <f>SUMIFS($AU$134:AU952,$AQ$134:AQ952,"W")</f>
        <v>3122.7233333332406</v>
      </c>
      <c r="BQ949" s="343">
        <f>SUMIFS($AU$134:AU950,$Q$134:Q950,"O")</f>
        <v>-816.93333333311739</v>
      </c>
      <c r="BR949" s="343">
        <f>SUMIFS($AU$134:AU950,$AA$134:AA950,"*")</f>
        <v>16245.475333333328</v>
      </c>
      <c r="BS949" s="343">
        <f>SUMIFS($AU$134:AU950,$AB$134:AB950,"*")</f>
        <v>5010.2666666668902</v>
      </c>
      <c r="BT949" s="343">
        <f>SUMIFS($AU$134:AU950,$AC$134:AC950,"*")</f>
        <v>10591.683333333332</v>
      </c>
      <c r="BU949" s="343">
        <f>SUMIFS($AU$134:AU950,$AA$134:AA950,"*",$AB$134:AB950,"*")</f>
        <v>3538.0000000000045</v>
      </c>
      <c r="BV949" s="343">
        <f>SUMIFS($AU$134:AU950,$AA$134:AA950,"*",$AC$134:AC950,"*")</f>
        <v>9412.7833333333328</v>
      </c>
      <c r="BW949" s="343">
        <f>SUMIFS($AU$134:AU950,$AB$134:AB950,"*",$AC$134:AC950,"*")</f>
        <v>5662.6</v>
      </c>
      <c r="BX949" s="343">
        <f>SUMIFS($AU950:AU$1388,$Q950:Q$1388,"F")</f>
        <v>8234.133333333335</v>
      </c>
      <c r="BY949" s="343">
        <f>SUMIFS($AU950:AU$1388,$Q950:Q$1388,"S")</f>
        <v>8475.2000000000007</v>
      </c>
      <c r="BZ949" s="343">
        <f>SUMIFS($AU950:AU$1388,$Q950:Q$1388,"O")</f>
        <v>-831.92466666668088</v>
      </c>
    </row>
    <row r="950" spans="1:78" ht="15.75" customHeight="1">
      <c r="A950" s="221" t="s">
        <v>3401</v>
      </c>
      <c r="B950" s="177"/>
      <c r="C950" s="178"/>
      <c r="D950" s="178"/>
      <c r="E950" s="227" t="s">
        <v>3615</v>
      </c>
      <c r="F950" s="180"/>
      <c r="G950" s="181"/>
      <c r="H950" s="182">
        <v>1</v>
      </c>
      <c r="I950" s="182"/>
      <c r="J950" s="182"/>
      <c r="K950" s="183" t="s">
        <v>115</v>
      </c>
      <c r="L950" s="182"/>
      <c r="M950" s="182"/>
      <c r="N950" s="182"/>
      <c r="O950" s="183"/>
      <c r="P950" s="183"/>
      <c r="Q950" s="183"/>
      <c r="R950" s="183"/>
      <c r="S950" s="183"/>
      <c r="T950" s="183"/>
      <c r="U950" s="183"/>
      <c r="V950" s="183"/>
      <c r="W950" s="183"/>
      <c r="X950" s="183"/>
      <c r="Y950" s="183"/>
      <c r="Z950" s="185" t="str">
        <f>IF(ISBLANK(O950),"",IF(O950="IB",8.63*200,IF(O950="IR",16*100,IF(O950="YT",20*100,IF(O950="YT-XT",24*200,IF(O950="TED",80*100))))))</f>
        <v/>
      </c>
      <c r="AA950" s="185"/>
      <c r="AB950" s="185"/>
      <c r="AC950" s="185"/>
      <c r="AD950" s="649"/>
      <c r="AE950" s="182"/>
      <c r="AF950" s="332"/>
      <c r="AG950" s="182"/>
      <c r="AH950" s="182"/>
      <c r="AI950" s="182"/>
      <c r="AJ950" s="640"/>
      <c r="AK950" s="182"/>
      <c r="AL950" s="496"/>
      <c r="AM950" s="496"/>
      <c r="AN950" s="626"/>
      <c r="AO950" s="182"/>
      <c r="AP950" s="182"/>
      <c r="AQ950" s="332" t="str">
        <f>UPPER(RIGHT(Journal_Live[[#This Row],[DURATION ]]))</f>
        <v/>
      </c>
      <c r="AR950" s="182"/>
      <c r="AS950" s="189"/>
      <c r="AT950" s="189"/>
      <c r="AU950" s="187"/>
      <c r="AV950" s="190"/>
      <c r="AW950" s="191"/>
      <c r="AX950" s="407"/>
      <c r="AY950" s="407"/>
      <c r="AZ950" s="407"/>
      <c r="BA950" s="407"/>
      <c r="BB950" s="407"/>
      <c r="BC950" s="407"/>
      <c r="BD950" s="407"/>
      <c r="BE950" s="407"/>
      <c r="BF950" s="422"/>
      <c r="BG950" s="391">
        <f>SUM($AV$4:AV950)</f>
        <v>4343.0988769842224</v>
      </c>
      <c r="BH950" s="392">
        <f>SUM($AU$134:AU950)</f>
        <v>17481.24200000022</v>
      </c>
      <c r="BI950" s="318">
        <f>SUMIFS($AU$134:AU951,$Q$134:Q951,"F")</f>
        <v>6206.5333333333328</v>
      </c>
      <c r="BJ950" s="318">
        <f>SUMIFS($AU$134:AU951,$Q$134:Q951,"S")</f>
        <v>12196.441999999999</v>
      </c>
      <c r="BK950" s="343">
        <f>SUMIFS($AU$134:AU951,$P$134:P951,"W")</f>
        <v>10619.74199999994</v>
      </c>
      <c r="BL950" s="343">
        <f>SUMIFS($AU$134:AU951,$P$134:P951,"R")</f>
        <v>7524.673333333335</v>
      </c>
      <c r="BM950" s="343">
        <f>SUMIFS($AU$134:AU951,$AQ$134:AQ951,"M")</f>
        <v>2381.3999999999878</v>
      </c>
      <c r="BN950" s="343">
        <f>SUMIFS($AU$134:AU951,$AQ$134:AQ951,"H")</f>
        <v>4846.1420000000153</v>
      </c>
      <c r="BO950" s="343">
        <f>SUMIFS($AU$134:AU951,$AQ$134:AQ951,"D")</f>
        <v>5384.3466666667146</v>
      </c>
      <c r="BP950" s="343">
        <f>SUMIFS($AU$134:AU953,$AQ$134:AQ953,"W")</f>
        <v>3122.7233333332406</v>
      </c>
      <c r="BQ950" s="343">
        <f>SUMIFS($AU$134:AU951,$Q$134:Q951,"O")</f>
        <v>-816.93333333311739</v>
      </c>
      <c r="BR950" s="343">
        <f>SUMIFS($AU$134:AU951,$AA$134:AA951,"*")</f>
        <v>16245.475333333328</v>
      </c>
      <c r="BS950" s="343">
        <f>SUMIFS($AU$134:AU951,$AB$134:AB951,"*")</f>
        <v>5010.2666666668902</v>
      </c>
      <c r="BT950" s="343">
        <f>SUMIFS($AU$134:AU951,$AC$134:AC951,"*")</f>
        <v>10591.683333333332</v>
      </c>
      <c r="BU950" s="343">
        <f>SUMIFS($AU$134:AU951,$AA$134:AA951,"*",$AB$134:AB951,"*")</f>
        <v>3538.0000000000045</v>
      </c>
      <c r="BV950" s="343">
        <f>SUMIFS($AU$134:AU951,$AA$134:AA951,"*",$AC$134:AC951,"*")</f>
        <v>9412.7833333333328</v>
      </c>
      <c r="BW950" s="343">
        <f>SUMIFS($AU$134:AU951,$AB$134:AB951,"*",$AC$134:AC951,"*")</f>
        <v>5662.6</v>
      </c>
      <c r="BX950" s="343">
        <f>SUMIFS($AU951:AU$1388,$Q951:Q$1388,"F")</f>
        <v>8234.133333333335</v>
      </c>
      <c r="BY950" s="343">
        <f>SUMIFS($AU951:AU$1388,$Q951:Q$1388,"S")</f>
        <v>8475.2000000000007</v>
      </c>
      <c r="BZ950" s="343">
        <f>SUMIFS($AU951:AU$1388,$Q951:Q$1388,"O")</f>
        <v>-831.92466666668088</v>
      </c>
    </row>
    <row r="951" spans="1:78" ht="15.75" customHeight="1">
      <c r="A951" s="221" t="s">
        <v>3401</v>
      </c>
      <c r="B951" s="177">
        <v>45155</v>
      </c>
      <c r="C951" s="178" t="s">
        <v>3616</v>
      </c>
      <c r="D951" s="178" t="s">
        <v>93</v>
      </c>
      <c r="E951" s="227"/>
      <c r="F951" s="180"/>
      <c r="G951" s="181" t="s">
        <v>2942</v>
      </c>
      <c r="H951" s="182"/>
      <c r="I951" s="182"/>
      <c r="J951" s="182"/>
      <c r="K951" s="183"/>
      <c r="L951" s="182"/>
      <c r="M951" s="182"/>
      <c r="N951" s="182"/>
      <c r="O951" s="183"/>
      <c r="P951" s="183"/>
      <c r="Q951" s="183"/>
      <c r="R951" s="183"/>
      <c r="S951" s="183"/>
      <c r="T951" s="183"/>
      <c r="U951" s="183"/>
      <c r="V951" s="183"/>
      <c r="W951" s="183"/>
      <c r="X951" s="183"/>
      <c r="Y951" s="184"/>
      <c r="Z951" s="185"/>
      <c r="AA951" s="185"/>
      <c r="AB951" s="185"/>
      <c r="AC951" s="185"/>
      <c r="AD951" s="649"/>
      <c r="AE951" s="182"/>
      <c r="AF951" s="332"/>
      <c r="AG951" s="182"/>
      <c r="AH951" s="182"/>
      <c r="AI951" s="182"/>
      <c r="AJ951" s="640"/>
      <c r="AK951" s="182"/>
      <c r="AL951" s="496"/>
      <c r="AM951" s="496"/>
      <c r="AN951" s="626"/>
      <c r="AO951" s="182"/>
      <c r="AP951" s="182"/>
      <c r="AQ951" s="332" t="str">
        <f>UPPER(RIGHT(Journal_Live[[#This Row],[DURATION ]]))</f>
        <v/>
      </c>
      <c r="AR951" s="182"/>
      <c r="AS951" s="189"/>
      <c r="AT951" s="189"/>
      <c r="AU951" s="187"/>
      <c r="AV951" s="190"/>
      <c r="AW951" s="191"/>
      <c r="AX951" s="407"/>
      <c r="AY951" s="407"/>
      <c r="AZ951" s="407"/>
      <c r="BA951" s="407"/>
      <c r="BB951" s="407"/>
      <c r="BC951" s="407"/>
      <c r="BD951" s="407"/>
      <c r="BE951" s="407"/>
      <c r="BF951" s="422"/>
      <c r="BG951" s="391">
        <f>SUM($AV$4:AV951)</f>
        <v>4343.0988769842224</v>
      </c>
      <c r="BH951" s="392">
        <f>SUM($AU$134:AU951)</f>
        <v>17481.24200000022</v>
      </c>
      <c r="BI951" s="318">
        <f>SUMIFS($AU$134:AU952,$Q$134:Q952,"F")</f>
        <v>6206.5333333333328</v>
      </c>
      <c r="BJ951" s="318">
        <f>SUMIFS($AU$134:AU952,$Q$134:Q952,"S")</f>
        <v>12196.441999999999</v>
      </c>
      <c r="BK951" s="343">
        <f>SUMIFS($AU$134:AU952,$P$134:P952,"W")</f>
        <v>10619.74199999994</v>
      </c>
      <c r="BL951" s="343">
        <f>SUMIFS($AU$134:AU952,$P$134:P952,"R")</f>
        <v>7524.673333333335</v>
      </c>
      <c r="BM951" s="343">
        <f>SUMIFS($AU$134:AU952,$AQ$134:AQ952,"M")</f>
        <v>2345.3999999999182</v>
      </c>
      <c r="BN951" s="343">
        <f>SUMIFS($AU$134:AU952,$AQ$134:AQ952,"H")</f>
        <v>4846.1420000000153</v>
      </c>
      <c r="BO951" s="343">
        <f>SUMIFS($AU$134:AU952,$AQ$134:AQ952,"D")</f>
        <v>5384.3466666667146</v>
      </c>
      <c r="BP951" s="343">
        <f>SUMIFS($AU$134:AU954,$AQ$134:AQ954,"W")</f>
        <v>3122.7233333332406</v>
      </c>
      <c r="BQ951" s="343">
        <f>SUMIFS($AU$134:AU952,$Q$134:Q952,"O")</f>
        <v>-852.93333333318697</v>
      </c>
      <c r="BR951" s="343">
        <f>SUMIFS($AU$134:AU952,$AA$134:AA952,"*")</f>
        <v>16209.475333333259</v>
      </c>
      <c r="BS951" s="343">
        <f>SUMIFS($AU$134:AU952,$AB$134:AB952,"*")</f>
        <v>5010.2666666668902</v>
      </c>
      <c r="BT951" s="343">
        <f>SUMIFS($AU$134:AU952,$AC$134:AC952,"*")</f>
        <v>10591.683333333332</v>
      </c>
      <c r="BU951" s="343">
        <f>SUMIFS($AU$134:AU952,$AA$134:AA952,"*",$AB$134:AB952,"*")</f>
        <v>3538.0000000000045</v>
      </c>
      <c r="BV951" s="343">
        <f>SUMIFS($AU$134:AU952,$AA$134:AA952,"*",$AC$134:AC952,"*")</f>
        <v>9412.7833333333328</v>
      </c>
      <c r="BW951" s="343">
        <f>SUMIFS($AU$134:AU952,$AB$134:AB952,"*",$AC$134:AC952,"*")</f>
        <v>5662.6</v>
      </c>
      <c r="BX951" s="343">
        <f>SUMIFS($AU952:AU$1388,$Q952:Q$1388,"F")</f>
        <v>8234.133333333335</v>
      </c>
      <c r="BY951" s="343">
        <f>SUMIFS($AU952:AU$1388,$Q952:Q$1388,"S")</f>
        <v>8475.2000000000007</v>
      </c>
      <c r="BZ951" s="343">
        <f>SUMIFS($AU952:AU$1388,$Q952:Q$1388,"O")</f>
        <v>-831.92466666668088</v>
      </c>
    </row>
    <row r="952" spans="1:78" ht="15.75" customHeight="1">
      <c r="A952" s="221" t="s">
        <v>3401</v>
      </c>
      <c r="B952" s="177">
        <v>45155</v>
      </c>
      <c r="C952" s="178" t="s">
        <v>2754</v>
      </c>
      <c r="D952" s="178" t="s">
        <v>93</v>
      </c>
      <c r="E952" s="227"/>
      <c r="F952" s="180"/>
      <c r="G952" s="281" t="s">
        <v>3617</v>
      </c>
      <c r="H952" s="182"/>
      <c r="I952" s="182"/>
      <c r="J952" s="182"/>
      <c r="K952" s="183"/>
      <c r="L952" s="182">
        <v>1</v>
      </c>
      <c r="M952" s="182"/>
      <c r="N952" s="182"/>
      <c r="O952" s="183" t="s">
        <v>3618</v>
      </c>
      <c r="P952" s="183" t="s">
        <v>2260</v>
      </c>
      <c r="Q952" s="183" t="s">
        <v>684</v>
      </c>
      <c r="R952" s="183">
        <v>1</v>
      </c>
      <c r="S952" s="183">
        <v>0</v>
      </c>
      <c r="T952" s="183">
        <v>1</v>
      </c>
      <c r="U952" s="183" t="s">
        <v>22</v>
      </c>
      <c r="V952" s="183"/>
      <c r="W952" s="183"/>
      <c r="X952" s="183"/>
      <c r="Y952" s="184">
        <f>IF(ISBLANK(O952),"",(IF(O952=UPPER("IB"),0.005,0.01)))</f>
        <v>0.01</v>
      </c>
      <c r="Z952" s="185">
        <f>IF(ISBLANK(O952),"",IF(O952="IB",8.63*200,IF(O952="IR",16*100,IF(O952="YT",20*100,IF(O952="YT-XT",24*200,IF(O952="TED",80*100,IF(O952="XT",36*200)))))))</f>
        <v>7200</v>
      </c>
      <c r="AA952" s="409" t="s">
        <v>3619</v>
      </c>
      <c r="AB952" s="185"/>
      <c r="AC952" s="185"/>
      <c r="AD952" s="649">
        <v>95.7</v>
      </c>
      <c r="AE952" s="182"/>
      <c r="AF952" s="332"/>
      <c r="AG952" s="182"/>
      <c r="AH952" s="182"/>
      <c r="AI952" s="182"/>
      <c r="AJ952" s="640"/>
      <c r="AK952" s="182"/>
      <c r="AL952" s="496"/>
      <c r="AM952" s="496"/>
      <c r="AN952" s="626"/>
      <c r="AO952" s="182"/>
      <c r="AP952" s="182" t="s">
        <v>2369</v>
      </c>
      <c r="AQ952" s="332" t="str">
        <f>UPPER(RIGHT(Journal_Live[[#This Row],[DURATION ]]))</f>
        <v>M</v>
      </c>
      <c r="AR952" s="182" t="s">
        <v>3620</v>
      </c>
      <c r="AS952" s="189">
        <v>95.694999999999993</v>
      </c>
      <c r="AT952" s="189">
        <f>IF(ISBLANK(AS952),,IF(U952="S",AD952-AS952,AS952-AD952))</f>
        <v>-5.0000000000096634E-3</v>
      </c>
      <c r="AU952" s="187">
        <f>AV952*R952</f>
        <v>-36.000000000069576</v>
      </c>
      <c r="AV952" s="190">
        <f>IF(ISBLANK(AS952),,(AT952*Z952))</f>
        <v>-36.000000000069576</v>
      </c>
      <c r="AW952" s="191" t="s">
        <v>229</v>
      </c>
      <c r="AX952" s="407" t="s">
        <v>3621</v>
      </c>
      <c r="AY952" s="407" t="s">
        <v>3622</v>
      </c>
      <c r="AZ952" s="407" t="s">
        <v>3623</v>
      </c>
      <c r="BA952" s="407" t="s">
        <v>3624</v>
      </c>
      <c r="BB952" s="407"/>
      <c r="BC952" s="407"/>
      <c r="BD952" s="407"/>
      <c r="BE952" s="407"/>
      <c r="BF952" s="422"/>
      <c r="BG952" s="391">
        <f>SUM($AV$4:AV952)</f>
        <v>4307.0988769841533</v>
      </c>
      <c r="BH952" s="392">
        <f>SUM($AU$134:AU952)</f>
        <v>17445.242000000151</v>
      </c>
      <c r="BI952" s="318">
        <f>SUMIFS($AU$134:AU953,$Q$134:Q953,"F")</f>
        <v>6206.5333333333328</v>
      </c>
      <c r="BJ952" s="318">
        <f>SUMIFS($AU$134:AU953,$Q$134:Q953,"S")</f>
        <v>12196.441999999999</v>
      </c>
      <c r="BK952" s="343">
        <f>SUMIFS($AU$134:AU953,$P$134:P953,"W")</f>
        <v>10619.74199999994</v>
      </c>
      <c r="BL952" s="343">
        <f>SUMIFS($AU$134:AU953,$P$134:P953,"R")</f>
        <v>7524.673333333335</v>
      </c>
      <c r="BM952" s="343">
        <f>SUMIFS($AU$134:AU953,$AQ$134:AQ953,"M")</f>
        <v>2345.3999999999182</v>
      </c>
      <c r="BN952" s="343">
        <f>SUMIFS($AU$134:AU953,$AQ$134:AQ953,"H")</f>
        <v>4846.1420000000153</v>
      </c>
      <c r="BO952" s="343">
        <f>SUMIFS($AU$134:AU953,$AQ$134:AQ953,"D")</f>
        <v>5384.3466666667146</v>
      </c>
      <c r="BP952" s="343">
        <f>SUMIFS($AU$134:AU955,$AQ$134:AQ955,"W")</f>
        <v>3122.7233333332406</v>
      </c>
      <c r="BQ952" s="343">
        <f>SUMIFS($AU$134:AU953,$Q$134:Q953,"O")</f>
        <v>-852.93333333318697</v>
      </c>
      <c r="BR952" s="343">
        <f>SUMIFS($AU$134:AU953,$AA$134:AA953,"*")</f>
        <v>16209.475333333259</v>
      </c>
      <c r="BS952" s="343">
        <f>SUMIFS($AU$134:AU953,$AB$134:AB953,"*")</f>
        <v>5010.2666666668902</v>
      </c>
      <c r="BT952" s="343">
        <f>SUMIFS($AU$134:AU953,$AC$134:AC953,"*")</f>
        <v>10591.683333333332</v>
      </c>
      <c r="BU952" s="343">
        <f>SUMIFS($AU$134:AU953,$AA$134:AA953,"*",$AB$134:AB953,"*")</f>
        <v>3538.0000000000045</v>
      </c>
      <c r="BV952" s="343">
        <f>SUMIFS($AU$134:AU953,$AA$134:AA953,"*",$AC$134:AC953,"*")</f>
        <v>9412.7833333333328</v>
      </c>
      <c r="BW952" s="343">
        <f>SUMIFS($AU$134:AU953,$AB$134:AB953,"*",$AC$134:AC953,"*")</f>
        <v>5662.6</v>
      </c>
      <c r="BX952" s="343">
        <f>SUMIFS($AU953:AU$1388,$Q953:Q$1388,"F")</f>
        <v>8234.133333333335</v>
      </c>
      <c r="BY952" s="343">
        <f>SUMIFS($AU953:AU$1388,$Q953:Q$1388,"S")</f>
        <v>8475.2000000000007</v>
      </c>
      <c r="BZ952" s="343">
        <f>SUMIFS($AU953:AU$1388,$Q953:Q$1388,"O")</f>
        <v>-795.9246666666113</v>
      </c>
    </row>
    <row r="953" spans="1:78" ht="15.75" customHeight="1">
      <c r="A953" s="221" t="s">
        <v>3401</v>
      </c>
      <c r="B953" s="177">
        <v>45155</v>
      </c>
      <c r="C953" s="178" t="s">
        <v>2437</v>
      </c>
      <c r="D953" s="178" t="s">
        <v>93</v>
      </c>
      <c r="E953" s="227"/>
      <c r="F953" s="180"/>
      <c r="G953" s="181" t="s">
        <v>2070</v>
      </c>
      <c r="H953" s="182"/>
      <c r="I953" s="182"/>
      <c r="J953" s="182"/>
      <c r="K953" s="183"/>
      <c r="L953" s="182"/>
      <c r="M953" s="182"/>
      <c r="N953" s="182"/>
      <c r="O953" s="183"/>
      <c r="P953" s="183"/>
      <c r="Q953" s="183"/>
      <c r="R953" s="183"/>
      <c r="S953" s="183"/>
      <c r="T953" s="183"/>
      <c r="U953" s="183"/>
      <c r="V953" s="183"/>
      <c r="W953" s="183"/>
      <c r="X953" s="183"/>
      <c r="Y953" s="184"/>
      <c r="Z953" s="185"/>
      <c r="AA953" s="185"/>
      <c r="AB953" s="185"/>
      <c r="AC953" s="185"/>
      <c r="AD953" s="649"/>
      <c r="AE953" s="182"/>
      <c r="AF953" s="332"/>
      <c r="AG953" s="182"/>
      <c r="AH953" s="182"/>
      <c r="AI953" s="182"/>
      <c r="AJ953" s="640"/>
      <c r="AK953" s="182"/>
      <c r="AL953" s="496"/>
      <c r="AM953" s="496"/>
      <c r="AN953" s="626"/>
      <c r="AO953" s="182"/>
      <c r="AP953" s="182"/>
      <c r="AQ953" s="332" t="str">
        <f>UPPER(RIGHT(Journal_Live[[#This Row],[DURATION ]]))</f>
        <v/>
      </c>
      <c r="AR953" s="182"/>
      <c r="AS953" s="189"/>
      <c r="AT953" s="189"/>
      <c r="AU953" s="187"/>
      <c r="AV953" s="190"/>
      <c r="AW953" s="191"/>
      <c r="AX953" s="407"/>
      <c r="AY953" s="407"/>
      <c r="AZ953" s="407"/>
      <c r="BA953" s="407"/>
      <c r="BB953" s="407"/>
      <c r="BC953" s="407"/>
      <c r="BD953" s="407"/>
      <c r="BE953" s="407"/>
      <c r="BF953" s="422"/>
      <c r="BG953" s="391">
        <f>SUM($AV$4:AV953)</f>
        <v>4307.0988769841533</v>
      </c>
      <c r="BH953" s="392">
        <f>SUM($AU$134:AU953)</f>
        <v>17445.242000000151</v>
      </c>
      <c r="BI953" s="318">
        <f>SUMIFS($AU$134:AU954,$Q$134:Q954,"F")</f>
        <v>6206.5333333333328</v>
      </c>
      <c r="BJ953" s="318">
        <f>SUMIFS($AU$134:AU954,$Q$134:Q954,"S")</f>
        <v>12900.441999999999</v>
      </c>
      <c r="BK953" s="343">
        <f>SUMIFS($AU$134:AU954,$P$134:P954,"W")</f>
        <v>10619.74199999994</v>
      </c>
      <c r="BL953" s="343">
        <f>SUMIFS($AU$134:AU954,$P$134:P954,"R")</f>
        <v>8228.6733333333359</v>
      </c>
      <c r="BM953" s="343">
        <f>SUMIFS($AU$134:AU954,$AQ$134:AQ954,"M")</f>
        <v>2345.3999999999182</v>
      </c>
      <c r="BN953" s="343">
        <f>SUMIFS($AU$134:AU954,$AQ$134:AQ954,"H")</f>
        <v>5550.1420000000153</v>
      </c>
      <c r="BO953" s="343">
        <f>SUMIFS($AU$134:AU954,$AQ$134:AQ954,"D")</f>
        <v>5384.3466666667146</v>
      </c>
      <c r="BP953" s="343">
        <f>SUMIFS($AU$134:AU956,$AQ$134:AQ956,"W")</f>
        <v>3122.7233333332406</v>
      </c>
      <c r="BQ953" s="343">
        <f>SUMIFS($AU$134:AU954,$Q$134:Q954,"O")</f>
        <v>-852.93333333318697</v>
      </c>
      <c r="BR953" s="343">
        <f>SUMIFS($AU$134:AU954,$AA$134:AA954,"*")</f>
        <v>16913.475333333259</v>
      </c>
      <c r="BS953" s="343">
        <f>SUMIFS($AU$134:AU954,$AB$134:AB954,"*")</f>
        <v>5010.2666666668902</v>
      </c>
      <c r="BT953" s="343">
        <f>SUMIFS($AU$134:AU954,$AC$134:AC954,"*")</f>
        <v>10591.683333333332</v>
      </c>
      <c r="BU953" s="343">
        <f>SUMIFS($AU$134:AU954,$AA$134:AA954,"*",$AB$134:AB954,"*")</f>
        <v>3538.0000000000045</v>
      </c>
      <c r="BV953" s="343">
        <f>SUMIFS($AU$134:AU954,$AA$134:AA954,"*",$AC$134:AC954,"*")</f>
        <v>9412.7833333333328</v>
      </c>
      <c r="BW953" s="343">
        <f>SUMIFS($AU$134:AU954,$AB$134:AB954,"*",$AC$134:AC954,"*")</f>
        <v>5662.6</v>
      </c>
      <c r="BX953" s="343">
        <f>SUMIFS($AU954:AU$1388,$Q954:Q$1388,"F")</f>
        <v>8234.133333333335</v>
      </c>
      <c r="BY953" s="343">
        <f>SUMIFS($AU954:AU$1388,$Q954:Q$1388,"S")</f>
        <v>8475.2000000000007</v>
      </c>
      <c r="BZ953" s="343">
        <f>SUMIFS($AU954:AU$1388,$Q954:Q$1388,"O")</f>
        <v>-795.9246666666113</v>
      </c>
    </row>
    <row r="954" spans="1:78" ht="15.75" customHeight="1">
      <c r="A954" s="221" t="s">
        <v>3401</v>
      </c>
      <c r="B954" s="177">
        <v>45155</v>
      </c>
      <c r="C954" s="178" t="s">
        <v>2437</v>
      </c>
      <c r="D954" s="178" t="s">
        <v>93</v>
      </c>
      <c r="E954" s="227"/>
      <c r="F954" s="180"/>
      <c r="G954" s="281" t="s">
        <v>3625</v>
      </c>
      <c r="H954" s="182"/>
      <c r="I954" s="182"/>
      <c r="J954" s="182"/>
      <c r="K954" s="183"/>
      <c r="L954" s="182">
        <v>2</v>
      </c>
      <c r="M954" s="182"/>
      <c r="N954" s="182"/>
      <c r="O954" s="183" t="s">
        <v>95</v>
      </c>
      <c r="P954" s="183" t="s">
        <v>137</v>
      </c>
      <c r="Q954" s="183" t="s">
        <v>97</v>
      </c>
      <c r="R954" s="183">
        <v>24</v>
      </c>
      <c r="S954" s="183">
        <v>0</v>
      </c>
      <c r="T954" s="183">
        <v>15</v>
      </c>
      <c r="U954" s="183" t="s">
        <v>97</v>
      </c>
      <c r="V954" s="183"/>
      <c r="W954" s="183"/>
      <c r="X954" s="183"/>
      <c r="Y954" s="184">
        <f>IF(ISBLANK(O954),"",(IF(O954=UPPER("IB"),0.005,0.01)))</f>
        <v>0.01</v>
      </c>
      <c r="Z954" s="185">
        <f>IF(ISBLANK(O954),"",IF(O954="IB",8.63*200,IF(O954="IR",16*100,IF(O954="YT",20*100,IF(O954="YT-XT",24*200,IF(O954="TED",80*100))))))</f>
        <v>1600</v>
      </c>
      <c r="AA954" s="185" t="s">
        <v>3626</v>
      </c>
      <c r="AB954" s="185"/>
      <c r="AC954" s="185"/>
      <c r="AD954" s="649">
        <v>-0.15</v>
      </c>
      <c r="AE954" s="182"/>
      <c r="AF954" s="332"/>
      <c r="AG954" s="182"/>
      <c r="AH954" s="182"/>
      <c r="AI954" s="182"/>
      <c r="AJ954" s="640"/>
      <c r="AK954" s="182"/>
      <c r="AL954" s="496">
        <f t="shared" ref="AL954:AL956" si="304">-0.02*Z954</f>
        <v>-32</v>
      </c>
      <c r="AM954" s="496">
        <f>AL954*(R954-S954)</f>
        <v>-768</v>
      </c>
      <c r="AN954" s="626"/>
      <c r="AO954" s="182"/>
      <c r="AP954" s="182" t="s">
        <v>942</v>
      </c>
      <c r="AQ954" s="332" t="str">
        <f>UPPER(RIGHT(Journal_Live[[#This Row],[DURATION ]]))</f>
        <v>H</v>
      </c>
      <c r="AR954" s="182" t="s">
        <v>3270</v>
      </c>
      <c r="AS954" s="189">
        <f>((-0.16*4)+(-0.17*20))/24</f>
        <v>-0.16833333333333333</v>
      </c>
      <c r="AT954" s="189">
        <f>IF(ISBLANK(AS954),,IF(U954="S",AD954-AS954,AS954-AD954))</f>
        <v>1.833333333333334E-2</v>
      </c>
      <c r="AU954" s="187">
        <f>AV954*R954</f>
        <v>704.00000000000023</v>
      </c>
      <c r="AV954" s="190">
        <f>IF(ISBLANK(AS954),,(AT954*Z954))</f>
        <v>29.333333333333343</v>
      </c>
      <c r="AW954" s="191" t="s">
        <v>96</v>
      </c>
      <c r="AX954" s="407" t="s">
        <v>3627</v>
      </c>
      <c r="AY954" s="407"/>
      <c r="AZ954" s="407"/>
      <c r="BA954" s="407"/>
      <c r="BB954" s="407"/>
      <c r="BC954" s="407"/>
      <c r="BD954" s="407"/>
      <c r="BE954" s="407"/>
      <c r="BF954" s="422"/>
      <c r="BG954" s="391">
        <f>SUM($AV$4:AV954)</f>
        <v>4336.4322103174864</v>
      </c>
      <c r="BH954" s="392">
        <f>SUM($AU$134:AU954)</f>
        <v>18149.242000000151</v>
      </c>
      <c r="BI954" s="318">
        <f>SUMIFS($AU$134:AU955,$Q$134:Q955,"F")</f>
        <v>6206.5333333333328</v>
      </c>
      <c r="BJ954" s="318">
        <f>SUMIFS($AU$134:AU955,$Q$134:Q955,"S")</f>
        <v>12900.441999999999</v>
      </c>
      <c r="BK954" s="343">
        <f>SUMIFS($AU$134:AU955,$P$134:P955,"W")</f>
        <v>10619.74199999994</v>
      </c>
      <c r="BL954" s="343">
        <f>SUMIFS($AU$134:AU955,$P$134:P955,"R")</f>
        <v>8228.6733333333359</v>
      </c>
      <c r="BM954" s="343">
        <f>SUMIFS($AU$134:AU955,$AQ$134:AQ955,"M")</f>
        <v>2345.3999999999182</v>
      </c>
      <c r="BN954" s="343">
        <f>SUMIFS($AU$134:AU955,$AQ$134:AQ955,"H")</f>
        <v>5550.1420000000153</v>
      </c>
      <c r="BO954" s="343">
        <f>SUMIFS($AU$134:AU955,$AQ$134:AQ955,"D")</f>
        <v>5384.3466666667146</v>
      </c>
      <c r="BP954" s="343">
        <f>SUMIFS($AU$134:AU957,$AQ$134:AQ957,"W")</f>
        <v>3410.7233333332406</v>
      </c>
      <c r="BQ954" s="343">
        <f>SUMIFS($AU$134:AU955,$Q$134:Q955,"O")</f>
        <v>-852.93333333318697</v>
      </c>
      <c r="BR954" s="343">
        <f>SUMIFS($AU$134:AU955,$AA$134:AA955,"*")</f>
        <v>16913.475333333259</v>
      </c>
      <c r="BS954" s="343">
        <f>SUMIFS($AU$134:AU955,$AB$134:AB955,"*")</f>
        <v>5010.2666666668902</v>
      </c>
      <c r="BT954" s="343">
        <f>SUMIFS($AU$134:AU955,$AC$134:AC955,"*")</f>
        <v>10591.683333333332</v>
      </c>
      <c r="BU954" s="343">
        <f>SUMIFS($AU$134:AU955,$AA$134:AA955,"*",$AB$134:AB955,"*")</f>
        <v>3538.0000000000045</v>
      </c>
      <c r="BV954" s="343">
        <f>SUMIFS($AU$134:AU955,$AA$134:AA955,"*",$AC$134:AC955,"*")</f>
        <v>9412.7833333333328</v>
      </c>
      <c r="BW954" s="343">
        <f>SUMIFS($AU$134:AU955,$AB$134:AB955,"*",$AC$134:AC955,"*")</f>
        <v>5662.6</v>
      </c>
      <c r="BX954" s="343">
        <f>SUMIFS($AU955:AU$1388,$Q955:Q$1388,"F")</f>
        <v>8234.133333333335</v>
      </c>
      <c r="BY954" s="343">
        <f>SUMIFS($AU955:AU$1388,$Q955:Q$1388,"S")</f>
        <v>7771.2000000000007</v>
      </c>
      <c r="BZ954" s="343">
        <f>SUMIFS($AU955:AU$1388,$Q955:Q$1388,"O")</f>
        <v>-795.9246666666113</v>
      </c>
    </row>
    <row r="955" spans="1:78" ht="15.75" customHeight="1">
      <c r="A955" s="221" t="s">
        <v>3401</v>
      </c>
      <c r="B955" s="177"/>
      <c r="C955" s="178"/>
      <c r="D955" s="178"/>
      <c r="E955" s="227"/>
      <c r="F955" s="180"/>
      <c r="G955" s="181"/>
      <c r="H955" s="182"/>
      <c r="I955" s="182"/>
      <c r="J955" s="182"/>
      <c r="K955" s="183"/>
      <c r="L955" s="182"/>
      <c r="M955" s="182"/>
      <c r="N955" s="182"/>
      <c r="O955" s="183"/>
      <c r="P955" s="183"/>
      <c r="Q955" s="183"/>
      <c r="R955" s="183"/>
      <c r="S955" s="183"/>
      <c r="T955" s="183"/>
      <c r="U955" s="183"/>
      <c r="V955" s="183"/>
      <c r="W955" s="183"/>
      <c r="X955" s="183"/>
      <c r="Y955" s="183"/>
      <c r="Z955" s="185" t="str">
        <f>IF(ISBLANK(O955),"",IF(O955="IB",8.63*200,IF(O955="IR",16*100,IF(O955="YT",20*100,IF(O955="YT-XT",24*200,IF(O955="TED",80*100))))))</f>
        <v/>
      </c>
      <c r="AA955" s="185"/>
      <c r="AB955" s="185"/>
      <c r="AC955" s="185"/>
      <c r="AD955" s="649"/>
      <c r="AE955" s="182"/>
      <c r="AF955" s="332"/>
      <c r="AG955" s="182"/>
      <c r="AH955" s="182"/>
      <c r="AI955" s="182"/>
      <c r="AJ955" s="640"/>
      <c r="AK955" s="182"/>
      <c r="AL955" s="496"/>
      <c r="AM955" s="496"/>
      <c r="AN955" s="626"/>
      <c r="AO955" s="182"/>
      <c r="AP955" s="182"/>
      <c r="AQ955" s="332" t="str">
        <f>UPPER(RIGHT(Journal_Live[[#This Row],[DURATION ]]))</f>
        <v/>
      </c>
      <c r="AR955" s="182"/>
      <c r="AS955" s="189"/>
      <c r="AT955" s="189">
        <f>IF(ISBLANK(AS955),,IF(U955="S",AD955-AS955,AS955-AD955))</f>
        <v>0</v>
      </c>
      <c r="AU955" s="187">
        <f>AV955*R955</f>
        <v>0</v>
      </c>
      <c r="AV955" s="190">
        <f>IF(ISBLANK(AS955),,(AT955*Z955))</f>
        <v>0</v>
      </c>
      <c r="AW955" s="191"/>
      <c r="AX955" s="407" t="s">
        <v>3628</v>
      </c>
      <c r="AY955" s="407" t="s">
        <v>3629</v>
      </c>
      <c r="AZ955" s="407" t="s">
        <v>3630</v>
      </c>
      <c r="BA955" s="407" t="s">
        <v>3631</v>
      </c>
      <c r="BB955" s="407" t="s">
        <v>3632</v>
      </c>
      <c r="BC955" s="407" t="s">
        <v>3633</v>
      </c>
      <c r="BD955" s="407" t="s">
        <v>3634</v>
      </c>
      <c r="BE955" s="407" t="s">
        <v>3635</v>
      </c>
      <c r="BF955" s="422"/>
      <c r="BG955" s="391">
        <f>SUM($AV$4:AV955)</f>
        <v>4336.4322103174864</v>
      </c>
      <c r="BH955" s="392">
        <f>SUM($AU$134:AU955)</f>
        <v>18149.242000000151</v>
      </c>
      <c r="BI955" s="318">
        <f>SUMIFS($AU$134:AU956,$Q$134:Q956,"F")</f>
        <v>6206.5333333333328</v>
      </c>
      <c r="BJ955" s="318">
        <f>SUMIFS($AU$134:AU956,$Q$134:Q956,"S")</f>
        <v>12980.441999999999</v>
      </c>
      <c r="BK955" s="343">
        <f>SUMIFS($AU$134:AU956,$P$134:P956,"W")</f>
        <v>10699.74199999994</v>
      </c>
      <c r="BL955" s="343">
        <f>SUMIFS($AU$134:AU956,$P$134:P956,"R")</f>
        <v>8228.6733333333359</v>
      </c>
      <c r="BM955" s="343">
        <f>SUMIFS($AU$134:AU956,$AQ$134:AQ956,"M")</f>
        <v>2345.3999999999182</v>
      </c>
      <c r="BN955" s="343">
        <f>SUMIFS($AU$134:AU956,$AQ$134:AQ956,"H")</f>
        <v>5550.1420000000153</v>
      </c>
      <c r="BO955" s="343">
        <f>SUMIFS($AU$134:AU956,$AQ$134:AQ956,"D")</f>
        <v>5464.3466666667146</v>
      </c>
      <c r="BP955" s="343">
        <f>SUMIFS($AU$134:AU958,$AQ$134:AQ958,"W")</f>
        <v>3410.7233333332406</v>
      </c>
      <c r="BQ955" s="343">
        <f>SUMIFS($AU$134:AU956,$Q$134:Q956,"O")</f>
        <v>-852.93333333318697</v>
      </c>
      <c r="BR955" s="343">
        <f>SUMIFS($AU$134:AU956,$AA$134:AA956,"*")</f>
        <v>16993.475333333259</v>
      </c>
      <c r="BS955" s="343">
        <f>SUMIFS($AU$134:AU956,$AB$134:AB956,"*")</f>
        <v>5010.2666666668902</v>
      </c>
      <c r="BT955" s="343">
        <f>SUMIFS($AU$134:AU956,$AC$134:AC956,"*")</f>
        <v>10671.683333333332</v>
      </c>
      <c r="BU955" s="343">
        <f>SUMIFS($AU$134:AU956,$AA$134:AA956,"*",$AB$134:AB956,"*")</f>
        <v>3538.0000000000045</v>
      </c>
      <c r="BV955" s="343">
        <f>SUMIFS($AU$134:AU956,$AA$134:AA956,"*",$AC$134:AC956,"*")</f>
        <v>9492.7833333333328</v>
      </c>
      <c r="BW955" s="343">
        <f>SUMIFS($AU$134:AU956,$AB$134:AB956,"*",$AC$134:AC956,"*")</f>
        <v>5662.6</v>
      </c>
      <c r="BX955" s="343">
        <f>SUMIFS($AU956:AU$1388,$Q956:Q$1388,"F")</f>
        <v>8234.133333333335</v>
      </c>
      <c r="BY955" s="343">
        <f>SUMIFS($AU956:AU$1388,$Q956:Q$1388,"S")</f>
        <v>7771.2000000000007</v>
      </c>
      <c r="BZ955" s="343">
        <f>SUMIFS($AU956:AU$1388,$Q956:Q$1388,"O")</f>
        <v>-795.9246666666113</v>
      </c>
    </row>
    <row r="956" spans="1:78" ht="15.75" customHeight="1">
      <c r="A956" s="221" t="s">
        <v>3401</v>
      </c>
      <c r="B956" s="177">
        <v>45156</v>
      </c>
      <c r="C956" s="178" t="s">
        <v>3636</v>
      </c>
      <c r="D956" s="178" t="s">
        <v>111</v>
      </c>
      <c r="E956" s="227"/>
      <c r="F956" s="180"/>
      <c r="G956" s="281" t="s">
        <v>2145</v>
      </c>
      <c r="H956" s="182"/>
      <c r="I956" s="182"/>
      <c r="J956" s="182"/>
      <c r="K956" s="183"/>
      <c r="L956" s="182">
        <v>1</v>
      </c>
      <c r="M956" s="182"/>
      <c r="N956" s="182"/>
      <c r="O956" s="183" t="s">
        <v>95</v>
      </c>
      <c r="P956" s="183" t="s">
        <v>96</v>
      </c>
      <c r="Q956" s="183" t="s">
        <v>97</v>
      </c>
      <c r="R956" s="183">
        <v>5</v>
      </c>
      <c r="S956" s="183">
        <v>0</v>
      </c>
      <c r="T956" s="183">
        <v>5</v>
      </c>
      <c r="U956" s="183" t="s">
        <v>22</v>
      </c>
      <c r="V956" s="183"/>
      <c r="W956" s="183"/>
      <c r="X956" s="183"/>
      <c r="Y956" s="184">
        <f>IF(ISBLANK(O956),"",(IF(O956=UPPER("IB"),0.005,0.01)))</f>
        <v>0.01</v>
      </c>
      <c r="Z956" s="185">
        <f>IF(ISBLANK(O956),"",IF(O956="IB",8.63*200,IF(O956="IR",16*100,IF(O956="YT",20*100,IF(O956="YT-XT",24*200,IF(O956="TED",80*100))))))</f>
        <v>1600</v>
      </c>
      <c r="AA956" s="185" t="s">
        <v>99</v>
      </c>
      <c r="AB956" s="185"/>
      <c r="AC956" s="185" t="s">
        <v>3637</v>
      </c>
      <c r="AD956" s="649">
        <v>0.05</v>
      </c>
      <c r="AE956" s="182"/>
      <c r="AF956" s="332"/>
      <c r="AG956" s="182"/>
      <c r="AH956" s="182"/>
      <c r="AI956" s="182"/>
      <c r="AJ956" s="640"/>
      <c r="AK956" s="182"/>
      <c r="AL956" s="496">
        <f t="shared" si="304"/>
        <v>-32</v>
      </c>
      <c r="AM956" s="496">
        <f>AL956*(R956-S956)</f>
        <v>-160</v>
      </c>
      <c r="AN956" s="631"/>
      <c r="AO956" s="182"/>
      <c r="AP956" s="182" t="s">
        <v>1261</v>
      </c>
      <c r="AQ956" s="332" t="str">
        <f>UPPER(RIGHT(Journal_Live[[#This Row],[DURATION ]]))</f>
        <v>D</v>
      </c>
      <c r="AR956" s="182" t="s">
        <v>3638</v>
      </c>
      <c r="AS956" s="189">
        <v>0.06</v>
      </c>
      <c r="AT956" s="189">
        <f>IF(ISBLANK(AS956),,IF(U956="S",AD956-AS956,AS956-AD956))</f>
        <v>9.999999999999995E-3</v>
      </c>
      <c r="AU956" s="187">
        <f>AV956*R956</f>
        <v>79.999999999999972</v>
      </c>
      <c r="AV956" s="190">
        <f>IF(ISBLANK(AS956),,(AT956*Z956))</f>
        <v>15.999999999999993</v>
      </c>
      <c r="AW956" s="191" t="s">
        <v>96</v>
      </c>
      <c r="AX956" s="407" t="s">
        <v>3639</v>
      </c>
      <c r="AY956" s="407"/>
      <c r="AZ956" s="407"/>
      <c r="BA956" s="407"/>
      <c r="BB956" s="407"/>
      <c r="BC956" s="407"/>
      <c r="BD956" s="407"/>
      <c r="BE956" s="407"/>
      <c r="BF956" s="422"/>
      <c r="BG956" s="391">
        <f>SUM($AV$4:AV956)</f>
        <v>4352.4322103174864</v>
      </c>
      <c r="BH956" s="392">
        <f>SUM($AU$134:AU956)</f>
        <v>18229.242000000151</v>
      </c>
      <c r="BI956" s="318">
        <f>SUMIFS($AU$134:AU957,$Q$134:Q957,"F")</f>
        <v>6494.5333333333328</v>
      </c>
      <c r="BJ956" s="318">
        <f>SUMIFS($AU$134:AU957,$Q$134:Q957,"S")</f>
        <v>12980.441999999999</v>
      </c>
      <c r="BK956" s="343">
        <f>SUMIFS($AU$134:AU957,$P$134:P957,"W")</f>
        <v>10987.74199999994</v>
      </c>
      <c r="BL956" s="343">
        <f>SUMIFS($AU$134:AU957,$P$134:P957,"R")</f>
        <v>8228.6733333333359</v>
      </c>
      <c r="BM956" s="343">
        <f>SUMIFS($AU$134:AU957,$AQ$134:AQ957,"M")</f>
        <v>2345.3999999999182</v>
      </c>
      <c r="BN956" s="343">
        <f>SUMIFS($AU$134:AU957,$AQ$134:AQ957,"H")</f>
        <v>5550.1420000000153</v>
      </c>
      <c r="BO956" s="343">
        <f>SUMIFS($AU$134:AU957,$AQ$134:AQ957,"D")</f>
        <v>5464.3466666667146</v>
      </c>
      <c r="BP956" s="343">
        <f>SUMIFS($AU$134:AU959,$AQ$134:AQ959,"W")</f>
        <v>3410.7233333332406</v>
      </c>
      <c r="BQ956" s="343">
        <f>SUMIFS($AU$134:AU957,$Q$134:Q957,"O")</f>
        <v>-852.93333333318697</v>
      </c>
      <c r="BR956" s="343">
        <f>SUMIFS($AU$134:AU957,$AA$134:AA957,"*")</f>
        <v>16993.475333333259</v>
      </c>
      <c r="BS956" s="343">
        <f>SUMIFS($AU$134:AU957,$AB$134:AB957,"*")</f>
        <v>5010.2666666668902</v>
      </c>
      <c r="BT956" s="343">
        <f>SUMIFS($AU$134:AU957,$AC$134:AC957,"*")</f>
        <v>10959.683333333332</v>
      </c>
      <c r="BU956" s="343">
        <f>SUMIFS($AU$134:AU957,$AA$134:AA957,"*",$AB$134:AB957,"*")</f>
        <v>3538.0000000000045</v>
      </c>
      <c r="BV956" s="343">
        <f>SUMIFS($AU$134:AU957,$AA$134:AA957,"*",$AC$134:AC957,"*")</f>
        <v>9492.7833333333328</v>
      </c>
      <c r="BW956" s="343">
        <f>SUMIFS($AU$134:AU957,$AB$134:AB957,"*",$AC$134:AC957,"*")</f>
        <v>5662.6</v>
      </c>
      <c r="BX956" s="343">
        <f>SUMIFS($AU957:AU$1388,$Q957:Q$1388,"F")</f>
        <v>8234.133333333335</v>
      </c>
      <c r="BY956" s="343">
        <f>SUMIFS($AU957:AU$1388,$Q957:Q$1388,"S")</f>
        <v>7691.2000000000016</v>
      </c>
      <c r="BZ956" s="343">
        <f>SUMIFS($AU957:AU$1388,$Q957:Q$1388,"O")</f>
        <v>-795.9246666666113</v>
      </c>
    </row>
    <row r="957" spans="1:78" ht="15.75" customHeight="1">
      <c r="A957" s="221" t="s">
        <v>3401</v>
      </c>
      <c r="B957" s="177">
        <v>45156</v>
      </c>
      <c r="C957" s="178" t="s">
        <v>3640</v>
      </c>
      <c r="D957" s="178" t="s">
        <v>111</v>
      </c>
      <c r="E957" s="227"/>
      <c r="F957" s="180"/>
      <c r="G957" s="281" t="s">
        <v>3522</v>
      </c>
      <c r="H957" s="182"/>
      <c r="I957" s="182"/>
      <c r="J957" s="182"/>
      <c r="K957" s="183"/>
      <c r="L957" s="182">
        <v>1</v>
      </c>
      <c r="M957" s="182">
        <v>1</v>
      </c>
      <c r="N957" s="182"/>
      <c r="O957" s="183" t="s">
        <v>95</v>
      </c>
      <c r="P957" s="183" t="s">
        <v>96</v>
      </c>
      <c r="Q957" s="183" t="s">
        <v>256</v>
      </c>
      <c r="R957" s="183">
        <v>17</v>
      </c>
      <c r="S957" s="183">
        <v>15</v>
      </c>
      <c r="T957" s="183">
        <v>10</v>
      </c>
      <c r="U957" s="183" t="s">
        <v>22</v>
      </c>
      <c r="V957" s="183"/>
      <c r="W957" s="183"/>
      <c r="X957" s="183"/>
      <c r="Y957" s="184">
        <f>IF(ISBLANK(O957),"",(IF(O957=UPPER("IB"),0.005,0.01)))</f>
        <v>0.01</v>
      </c>
      <c r="Z957" s="185">
        <f>IF(ISBLANK(O957),"",IF(O957="IB",8.63*200,IF(O957="IR",16*100,IF(O957="YT",20*100,IF(O957="YT-XT",24*200,IF(O957="TED",80*100))))))</f>
        <v>1600</v>
      </c>
      <c r="AA957" s="185"/>
      <c r="AB957" s="185"/>
      <c r="AC957" s="185" t="s">
        <v>3641</v>
      </c>
      <c r="AD957" s="649">
        <f>(0.06*7+0.05*10)/17</f>
        <v>5.4117647058823527E-2</v>
      </c>
      <c r="AE957" s="182"/>
      <c r="AF957" s="332"/>
      <c r="AG957" s="182"/>
      <c r="AH957" s="182" t="s">
        <v>3642</v>
      </c>
      <c r="AI957" s="182"/>
      <c r="AJ957" s="640"/>
      <c r="AK957" s="182"/>
      <c r="AL957" s="496">
        <f t="shared" ref="AL957" si="305">-0.02*Z957</f>
        <v>-32</v>
      </c>
      <c r="AM957" s="496">
        <f>AL957*(R957-S957)</f>
        <v>-64</v>
      </c>
      <c r="AN957" s="626"/>
      <c r="AO957" s="182"/>
      <c r="AP957" s="182" t="s">
        <v>902</v>
      </c>
      <c r="AQ957" s="332" t="str">
        <f>UPPER(RIGHT(Journal_Live[[#This Row],[DURATION ]]))</f>
        <v>W</v>
      </c>
      <c r="AR957" s="182" t="s">
        <v>3643</v>
      </c>
      <c r="AS957" s="189">
        <f>((0.07*10)+(0.06*5)+(0.05*2))/17</f>
        <v>6.4705882352941183E-2</v>
      </c>
      <c r="AT957" s="189">
        <f>IF(ISBLANK(AS957),,IF(U957="S",AD957-AS957,AS957-AD957))</f>
        <v>1.0588235294117655E-2</v>
      </c>
      <c r="AU957" s="187">
        <f>AV957*R957</f>
        <v>288.00000000000023</v>
      </c>
      <c r="AV957" s="190">
        <f>IF(ISBLANK(AS957),,(AT957*Z957))</f>
        <v>16.94117647058825</v>
      </c>
      <c r="AW957" s="191" t="s">
        <v>96</v>
      </c>
      <c r="AX957" s="407" t="s">
        <v>3644</v>
      </c>
      <c r="AY957" s="407" t="s">
        <v>3645</v>
      </c>
      <c r="AZ957" s="407" t="s">
        <v>3646</v>
      </c>
      <c r="BA957" s="407"/>
      <c r="BB957" s="407"/>
      <c r="BC957" s="407"/>
      <c r="BD957" s="407"/>
      <c r="BE957" s="407"/>
      <c r="BF957" s="422"/>
      <c r="BG957" s="391">
        <f>SUM($AV$4:AV957)</f>
        <v>4369.3733867880746</v>
      </c>
      <c r="BH957" s="392">
        <f>SUM($AU$134:AU957)</f>
        <v>18517.242000000151</v>
      </c>
      <c r="BI957" s="318">
        <f>SUMIFS($AU$134:AU958,$Q$134:Q958,"F")</f>
        <v>6494.5333333333328</v>
      </c>
      <c r="BJ957" s="318">
        <f>SUMIFS($AU$134:AU958,$Q$134:Q958,"S")</f>
        <v>12980.441999999999</v>
      </c>
      <c r="BK957" s="343">
        <f>SUMIFS($AU$134:AU958,$P$134:P958,"W")</f>
        <v>10987.74199999994</v>
      </c>
      <c r="BL957" s="343">
        <f>SUMIFS($AU$134:AU958,$P$134:P958,"R")</f>
        <v>8228.6733333333359</v>
      </c>
      <c r="BM957" s="343">
        <f>SUMIFS($AU$134:AU958,$AQ$134:AQ958,"M")</f>
        <v>2345.3999999999182</v>
      </c>
      <c r="BN957" s="343">
        <f>SUMIFS($AU$134:AU958,$AQ$134:AQ958,"H")</f>
        <v>5550.1420000000153</v>
      </c>
      <c r="BO957" s="343">
        <f>SUMIFS($AU$134:AU958,$AQ$134:AQ958,"D")</f>
        <v>5464.3466666667146</v>
      </c>
      <c r="BP957" s="343">
        <f>SUMIFS($AU$134:AU960,$AQ$134:AQ960,"W")</f>
        <v>3410.7233333332406</v>
      </c>
      <c r="BQ957" s="343">
        <f>SUMIFS($AU$134:AU958,$Q$134:Q958,"O")</f>
        <v>-852.93333333318697</v>
      </c>
      <c r="BR957" s="343">
        <f>SUMIFS($AU$134:AU958,$AA$134:AA958,"*")</f>
        <v>16993.475333333259</v>
      </c>
      <c r="BS957" s="343">
        <f>SUMIFS($AU$134:AU958,$AB$134:AB958,"*")</f>
        <v>5010.2666666668902</v>
      </c>
      <c r="BT957" s="343">
        <f>SUMIFS($AU$134:AU958,$AC$134:AC958,"*")</f>
        <v>10959.683333333332</v>
      </c>
      <c r="BU957" s="343">
        <f>SUMIFS($AU$134:AU958,$AA$134:AA958,"*",$AB$134:AB958,"*")</f>
        <v>3538.0000000000045</v>
      </c>
      <c r="BV957" s="343">
        <f>SUMIFS($AU$134:AU958,$AA$134:AA958,"*",$AC$134:AC958,"*")</f>
        <v>9492.7833333333328</v>
      </c>
      <c r="BW957" s="343">
        <f>SUMIFS($AU$134:AU958,$AB$134:AB958,"*",$AC$134:AC958,"*")</f>
        <v>5662.6</v>
      </c>
      <c r="BX957" s="343">
        <f>SUMIFS($AU958:AU$1388,$Q958:Q$1388,"F")</f>
        <v>7946.1333333333323</v>
      </c>
      <c r="BY957" s="343">
        <f>SUMIFS($AU958:AU$1388,$Q958:Q$1388,"S")</f>
        <v>7691.2000000000016</v>
      </c>
      <c r="BZ957" s="343">
        <f>SUMIFS($AU958:AU$1388,$Q958:Q$1388,"O")</f>
        <v>-795.9246666666113</v>
      </c>
    </row>
    <row r="958" spans="1:78" ht="15.75" customHeight="1">
      <c r="A958" s="221" t="s">
        <v>3401</v>
      </c>
      <c r="B958" s="177">
        <v>45156</v>
      </c>
      <c r="C958" s="178" t="s">
        <v>3647</v>
      </c>
      <c r="D958" s="178" t="s">
        <v>111</v>
      </c>
      <c r="E958" s="227"/>
      <c r="F958" s="180"/>
      <c r="G958" s="181" t="s">
        <v>2016</v>
      </c>
      <c r="H958" s="182"/>
      <c r="I958" s="182"/>
      <c r="J958" s="182"/>
      <c r="K958" s="183"/>
      <c r="L958" s="182"/>
      <c r="M958" s="182"/>
      <c r="N958" s="182"/>
      <c r="O958" s="183"/>
      <c r="P958" s="183"/>
      <c r="Q958" s="183"/>
      <c r="R958" s="183"/>
      <c r="S958" s="183"/>
      <c r="T958" s="183"/>
      <c r="U958" s="183"/>
      <c r="V958" s="183"/>
      <c r="W958" s="183"/>
      <c r="X958" s="183"/>
      <c r="Y958" s="184"/>
      <c r="Z958" s="185"/>
      <c r="AA958" s="185"/>
      <c r="AB958" s="185"/>
      <c r="AC958" s="185"/>
      <c r="AD958" s="649"/>
      <c r="AE958" s="182"/>
      <c r="AF958" s="332"/>
      <c r="AG958" s="182"/>
      <c r="AH958" s="182"/>
      <c r="AI958" s="182"/>
      <c r="AJ958" s="640"/>
      <c r="AK958" s="182"/>
      <c r="AL958" s="496"/>
      <c r="AM958" s="496"/>
      <c r="AN958" s="626"/>
      <c r="AO958" s="182"/>
      <c r="AP958" s="182"/>
      <c r="AQ958" s="332" t="str">
        <f>UPPER(RIGHT(Journal_Live[[#This Row],[DURATION ]]))</f>
        <v/>
      </c>
      <c r="AR958" s="182"/>
      <c r="AS958" s="189"/>
      <c r="AT958" s="189"/>
      <c r="AU958" s="187"/>
      <c r="AV958" s="190"/>
      <c r="AW958" s="191"/>
      <c r="AX958" s="407" t="s">
        <v>3648</v>
      </c>
      <c r="AY958" s="407"/>
      <c r="AZ958" s="407"/>
      <c r="BA958" s="407"/>
      <c r="BB958" s="407"/>
      <c r="BC958" s="407"/>
      <c r="BD958" s="407"/>
      <c r="BE958" s="407"/>
      <c r="BF958" s="422"/>
      <c r="BG958" s="391">
        <f>SUM($AV$4:AV958)</f>
        <v>4369.3733867880746</v>
      </c>
      <c r="BH958" s="392">
        <f>SUM($AU$134:AU958)</f>
        <v>18517.242000000151</v>
      </c>
      <c r="BI958" s="318">
        <f>SUMIFS($AU$134:AU959,$Q$134:Q959,"F")</f>
        <v>6494.5333333333328</v>
      </c>
      <c r="BJ958" s="318">
        <f>SUMIFS($AU$134:AU959,$Q$134:Q959,"S")</f>
        <v>12980.441999999999</v>
      </c>
      <c r="BK958" s="343">
        <f>SUMIFS($AU$134:AU959,$P$134:P959,"W")</f>
        <v>10987.74199999994</v>
      </c>
      <c r="BL958" s="343">
        <f>SUMIFS($AU$134:AU959,$P$134:P959,"R")</f>
        <v>8228.6733333333359</v>
      </c>
      <c r="BM958" s="343">
        <f>SUMIFS($AU$134:AU959,$AQ$134:AQ959,"M")</f>
        <v>2345.3999999999182</v>
      </c>
      <c r="BN958" s="343">
        <f>SUMIFS($AU$134:AU959,$AQ$134:AQ959,"H")</f>
        <v>5550.1420000000153</v>
      </c>
      <c r="BO958" s="343">
        <f>SUMIFS($AU$134:AU959,$AQ$134:AQ959,"D")</f>
        <v>5464.3466666667146</v>
      </c>
      <c r="BP958" s="343">
        <f>SUMIFS($AU$134:AU961,$AQ$134:AQ961,"W")</f>
        <v>3410.7233333332406</v>
      </c>
      <c r="BQ958" s="343">
        <f>SUMIFS($AU$134:AU959,$Q$134:Q959,"O")</f>
        <v>-852.93333333318697</v>
      </c>
      <c r="BR958" s="343">
        <f>SUMIFS($AU$134:AU959,$AA$134:AA959,"*")</f>
        <v>16993.475333333259</v>
      </c>
      <c r="BS958" s="343">
        <f>SUMIFS($AU$134:AU959,$AB$134:AB959,"*")</f>
        <v>5010.2666666668902</v>
      </c>
      <c r="BT958" s="343">
        <f>SUMIFS($AU$134:AU959,$AC$134:AC959,"*")</f>
        <v>10959.683333333332</v>
      </c>
      <c r="BU958" s="343">
        <f>SUMIFS($AU$134:AU959,$AA$134:AA959,"*",$AB$134:AB959,"*")</f>
        <v>3538.0000000000045</v>
      </c>
      <c r="BV958" s="343">
        <f>SUMIFS($AU$134:AU959,$AA$134:AA959,"*",$AC$134:AC959,"*")</f>
        <v>9492.7833333333328</v>
      </c>
      <c r="BW958" s="343">
        <f>SUMIFS($AU$134:AU959,$AB$134:AB959,"*",$AC$134:AC959,"*")</f>
        <v>5662.6</v>
      </c>
      <c r="BX958" s="343">
        <f>SUMIFS($AU959:AU$1388,$Q959:Q$1388,"F")</f>
        <v>7946.1333333333323</v>
      </c>
      <c r="BY958" s="343">
        <f>SUMIFS($AU959:AU$1388,$Q959:Q$1388,"S")</f>
        <v>7691.2000000000016</v>
      </c>
      <c r="BZ958" s="343">
        <f>SUMIFS($AU959:AU$1388,$Q959:Q$1388,"O")</f>
        <v>-795.9246666666113</v>
      </c>
    </row>
    <row r="959" spans="1:78" ht="15.75" customHeight="1">
      <c r="A959" s="221" t="s">
        <v>3401</v>
      </c>
      <c r="B959" s="177">
        <v>45156</v>
      </c>
      <c r="C959" s="178" t="s">
        <v>3649</v>
      </c>
      <c r="D959" s="178" t="s">
        <v>111</v>
      </c>
      <c r="E959" s="227"/>
      <c r="F959" s="180"/>
      <c r="G959" s="181" t="s">
        <v>136</v>
      </c>
      <c r="H959" s="182"/>
      <c r="I959" s="182"/>
      <c r="J959" s="182"/>
      <c r="K959" s="183"/>
      <c r="L959" s="182"/>
      <c r="M959" s="182"/>
      <c r="N959" s="182"/>
      <c r="O959" s="183"/>
      <c r="P959" s="183"/>
      <c r="Q959" s="183"/>
      <c r="R959" s="183"/>
      <c r="S959" s="183"/>
      <c r="T959" s="183"/>
      <c r="U959" s="183"/>
      <c r="V959" s="183"/>
      <c r="W959" s="183"/>
      <c r="X959" s="183"/>
      <c r="Y959" s="184"/>
      <c r="Z959" s="185"/>
      <c r="AA959" s="185"/>
      <c r="AB959" s="185"/>
      <c r="AC959" s="185"/>
      <c r="AD959" s="649"/>
      <c r="AE959" s="182"/>
      <c r="AF959" s="332"/>
      <c r="AG959" s="182"/>
      <c r="AH959" s="182"/>
      <c r="AI959" s="182"/>
      <c r="AJ959" s="640"/>
      <c r="AK959" s="182"/>
      <c r="AL959" s="496"/>
      <c r="AM959" s="496"/>
      <c r="AN959" s="626"/>
      <c r="AO959" s="182"/>
      <c r="AP959" s="182"/>
      <c r="AQ959" s="332" t="str">
        <f>UPPER(RIGHT(Journal_Live[[#This Row],[DURATION ]]))</f>
        <v/>
      </c>
      <c r="AR959" s="182"/>
      <c r="AS959" s="189"/>
      <c r="AT959" s="189"/>
      <c r="AU959" s="187"/>
      <c r="AV959" s="190"/>
      <c r="AW959" s="191"/>
      <c r="AX959" s="407" t="s">
        <v>3650</v>
      </c>
      <c r="AY959" s="407"/>
      <c r="AZ959" s="407"/>
      <c r="BA959" s="407"/>
      <c r="BB959" s="407"/>
      <c r="BC959" s="407"/>
      <c r="BD959" s="407"/>
      <c r="BE959" s="407"/>
      <c r="BF959" s="422"/>
      <c r="BG959" s="391">
        <f>SUM($AV$4:AV959)</f>
        <v>4369.3733867880746</v>
      </c>
      <c r="BH959" s="392">
        <f>SUM($AU$134:AU959)</f>
        <v>18517.242000000151</v>
      </c>
      <c r="BI959" s="318">
        <f>SUMIFS($AU$134:AU960,$Q$134:Q960,"F")</f>
        <v>6518.5333333333328</v>
      </c>
      <c r="BJ959" s="318">
        <f>SUMIFS($AU$134:AU960,$Q$134:Q960,"S")</f>
        <v>12980.441999999999</v>
      </c>
      <c r="BK959" s="343">
        <f>SUMIFS($AU$134:AU960,$P$134:P960,"W")</f>
        <v>11011.74199999994</v>
      </c>
      <c r="BL959" s="343">
        <f>SUMIFS($AU$134:AU960,$P$134:P960,"R")</f>
        <v>8228.6733333333359</v>
      </c>
      <c r="BM959" s="343">
        <f>SUMIFS($AU$134:AU960,$AQ$134:AQ960,"M")</f>
        <v>2345.3999999999182</v>
      </c>
      <c r="BN959" s="343">
        <f>SUMIFS($AU$134:AU960,$AQ$134:AQ960,"H")</f>
        <v>5550.1420000000153</v>
      </c>
      <c r="BO959" s="343">
        <f>SUMIFS($AU$134:AU960,$AQ$134:AQ960,"D")</f>
        <v>5488.3466666667146</v>
      </c>
      <c r="BP959" s="343">
        <f>SUMIFS($AU$134:AU962,$AQ$134:AQ962,"W")</f>
        <v>3410.7233333332406</v>
      </c>
      <c r="BQ959" s="343">
        <f>SUMIFS($AU$134:AU960,$Q$134:Q960,"O")</f>
        <v>-852.93333333318697</v>
      </c>
      <c r="BR959" s="343">
        <f>SUMIFS($AU$134:AU960,$AA$134:AA960,"*")</f>
        <v>17017.475333333259</v>
      </c>
      <c r="BS959" s="343">
        <f>SUMIFS($AU$134:AU960,$AB$134:AB960,"*")</f>
        <v>5010.2666666668902</v>
      </c>
      <c r="BT959" s="343">
        <f>SUMIFS($AU$134:AU960,$AC$134:AC960,"*")</f>
        <v>10983.683333333332</v>
      </c>
      <c r="BU959" s="343">
        <f>SUMIFS($AU$134:AU960,$AA$134:AA960,"*",$AB$134:AB960,"*")</f>
        <v>3538.0000000000045</v>
      </c>
      <c r="BV959" s="343">
        <f>SUMIFS($AU$134:AU960,$AA$134:AA960,"*",$AC$134:AC960,"*")</f>
        <v>9516.7833333333328</v>
      </c>
      <c r="BW959" s="343">
        <f>SUMIFS($AU$134:AU960,$AB$134:AB960,"*",$AC$134:AC960,"*")</f>
        <v>5662.6</v>
      </c>
      <c r="BX959" s="343">
        <f>SUMIFS($AU960:AU$1388,$Q960:Q$1388,"F")</f>
        <v>7946.1333333333323</v>
      </c>
      <c r="BY959" s="343">
        <f>SUMIFS($AU960:AU$1388,$Q960:Q$1388,"S")</f>
        <v>7691.2000000000016</v>
      </c>
      <c r="BZ959" s="343">
        <f>SUMIFS($AU960:AU$1388,$Q960:Q$1388,"O")</f>
        <v>-795.9246666666113</v>
      </c>
    </row>
    <row r="960" spans="1:78" ht="15.75" customHeight="1">
      <c r="A960" s="221" t="s">
        <v>3401</v>
      </c>
      <c r="B960" s="177">
        <v>45156</v>
      </c>
      <c r="C960" s="178" t="s">
        <v>383</v>
      </c>
      <c r="D960" s="178" t="s">
        <v>111</v>
      </c>
      <c r="E960" s="227"/>
      <c r="F960" s="180"/>
      <c r="G960" s="484" t="s">
        <v>3651</v>
      </c>
      <c r="H960" s="182"/>
      <c r="I960" s="182"/>
      <c r="J960" s="182"/>
      <c r="K960" s="183"/>
      <c r="L960" s="182">
        <v>2</v>
      </c>
      <c r="M960" s="182"/>
      <c r="N960" s="182"/>
      <c r="O960" s="183" t="s">
        <v>95</v>
      </c>
      <c r="P960" s="183" t="s">
        <v>96</v>
      </c>
      <c r="Q960" s="183" t="s">
        <v>256</v>
      </c>
      <c r="R960" s="183">
        <v>3</v>
      </c>
      <c r="S960" s="183">
        <v>3</v>
      </c>
      <c r="T960" s="183">
        <v>5</v>
      </c>
      <c r="U960" s="183" t="s">
        <v>22</v>
      </c>
      <c r="V960" s="183"/>
      <c r="W960" s="183"/>
      <c r="X960" s="183"/>
      <c r="Y960" s="184">
        <f>IF(ISBLANK(O960),"",(IF(O960=UPPER("IB"),0.005,0.01)))</f>
        <v>0.01</v>
      </c>
      <c r="Z960" s="185">
        <f>IF(ISBLANK(O960),"",IF(O960="IB",8.63*200,IF(O960="IR",16*100,IF(O960="YT",20*100,IF(O960="YT-XT",24*200,IF(O960="TED",80*100))))))</f>
        <v>1600</v>
      </c>
      <c r="AA960" s="185" t="s">
        <v>3652</v>
      </c>
      <c r="AB960" s="185"/>
      <c r="AC960" s="185" t="s">
        <v>3653</v>
      </c>
      <c r="AD960" s="649">
        <v>-0.02</v>
      </c>
      <c r="AE960" s="182"/>
      <c r="AF960" s="332"/>
      <c r="AG960" s="182"/>
      <c r="AH960" s="182" t="s">
        <v>417</v>
      </c>
      <c r="AI960" s="182"/>
      <c r="AJ960" s="640"/>
      <c r="AK960" s="182"/>
      <c r="AL960" s="496"/>
      <c r="AM960" s="496"/>
      <c r="AN960" s="626"/>
      <c r="AO960" s="182"/>
      <c r="AP960" s="182" t="s">
        <v>589</v>
      </c>
      <c r="AQ960" s="332" t="str">
        <f>UPPER(RIGHT(Journal_Live[[#This Row],[DURATION ]]))</f>
        <v>D</v>
      </c>
      <c r="AR960" s="182" t="s">
        <v>3654</v>
      </c>
      <c r="AS960" s="189">
        <f>((-0.01*1)+(0*2)+(-0.02*7))/10</f>
        <v>-1.5000000000000003E-2</v>
      </c>
      <c r="AT960" s="189">
        <f>IF(ISBLANK(AS960),,IF(U960="S",AD960-AS960,AS960-AD960))</f>
        <v>4.9999999999999975E-3</v>
      </c>
      <c r="AU960" s="187">
        <f>AV960*R960</f>
        <v>23.999999999999989</v>
      </c>
      <c r="AV960" s="190">
        <f>IF(ISBLANK(AS960),,(AT960*Z960))</f>
        <v>7.9999999999999964</v>
      </c>
      <c r="AW960" s="191" t="s">
        <v>96</v>
      </c>
      <c r="AX960" s="407" t="s">
        <v>3655</v>
      </c>
      <c r="AY960" s="407" t="s">
        <v>3656</v>
      </c>
      <c r="AZ960" s="407" t="s">
        <v>3608</v>
      </c>
      <c r="BA960" s="407" t="s">
        <v>3657</v>
      </c>
      <c r="BB960" s="407" t="s">
        <v>3658</v>
      </c>
      <c r="BC960" s="407"/>
      <c r="BD960" s="407"/>
      <c r="BE960" s="407"/>
      <c r="BF960" s="422"/>
      <c r="BG960" s="391">
        <f>SUM($AV$4:AV960)</f>
        <v>4377.3733867880746</v>
      </c>
      <c r="BH960" s="392">
        <f>SUM($AU$134:AU960)</f>
        <v>18541.242000000151</v>
      </c>
      <c r="BI960" s="318">
        <f>SUMIFS($AU$134:AU961,$Q$134:Q961,"F")</f>
        <v>6518.5333333333328</v>
      </c>
      <c r="BJ960" s="318">
        <f>SUMIFS($AU$134:AU961,$Q$134:Q961,"S")</f>
        <v>12980.441999999999</v>
      </c>
      <c r="BK960" s="343">
        <f>SUMIFS($AU$134:AU961,$P$134:P961,"W")</f>
        <v>11011.74199999994</v>
      </c>
      <c r="BL960" s="343">
        <f>SUMIFS($AU$134:AU961,$P$134:P961,"R")</f>
        <v>8228.6733333333359</v>
      </c>
      <c r="BM960" s="343">
        <f>SUMIFS($AU$134:AU961,$AQ$134:AQ961,"M")</f>
        <v>2345.3999999999182</v>
      </c>
      <c r="BN960" s="343">
        <f>SUMIFS($AU$134:AU961,$AQ$134:AQ961,"H")</f>
        <v>5550.1420000000153</v>
      </c>
      <c r="BO960" s="343">
        <f>SUMIFS($AU$134:AU961,$AQ$134:AQ961,"D")</f>
        <v>5488.3466666667146</v>
      </c>
      <c r="BP960" s="343">
        <f>SUMIFS($AU$134:AU963,$AQ$134:AQ963,"W")</f>
        <v>3410.7233333332406</v>
      </c>
      <c r="BQ960" s="343">
        <f>SUMIFS($AU$134:AU961,$Q$134:Q961,"O")</f>
        <v>-852.93333333318697</v>
      </c>
      <c r="BR960" s="343">
        <f>SUMIFS($AU$134:AU961,$AA$134:AA961,"*")</f>
        <v>17017.475333333259</v>
      </c>
      <c r="BS960" s="343">
        <f>SUMIFS($AU$134:AU961,$AB$134:AB961,"*")</f>
        <v>5010.2666666668902</v>
      </c>
      <c r="BT960" s="343">
        <f>SUMIFS($AU$134:AU961,$AC$134:AC961,"*")</f>
        <v>10983.683333333332</v>
      </c>
      <c r="BU960" s="343">
        <f>SUMIFS($AU$134:AU961,$AA$134:AA961,"*",$AB$134:AB961,"*")</f>
        <v>3538.0000000000045</v>
      </c>
      <c r="BV960" s="343">
        <f>SUMIFS($AU$134:AU961,$AA$134:AA961,"*",$AC$134:AC961,"*")</f>
        <v>9516.7833333333328</v>
      </c>
      <c r="BW960" s="343">
        <f>SUMIFS($AU$134:AU961,$AB$134:AB961,"*",$AC$134:AC961,"*")</f>
        <v>5662.6</v>
      </c>
      <c r="BX960" s="343">
        <f>SUMIFS($AU961:AU$1388,$Q961:Q$1388,"F")</f>
        <v>7922.1333333333323</v>
      </c>
      <c r="BY960" s="343">
        <f>SUMIFS($AU961:AU$1388,$Q961:Q$1388,"S")</f>
        <v>7691.2000000000016</v>
      </c>
      <c r="BZ960" s="343">
        <f>SUMIFS($AU961:AU$1388,$Q961:Q$1388,"O")</f>
        <v>-795.9246666666113</v>
      </c>
    </row>
    <row r="961" spans="1:78" ht="15.75" customHeight="1">
      <c r="A961" s="221" t="s">
        <v>3401</v>
      </c>
      <c r="B961" s="177">
        <v>45159</v>
      </c>
      <c r="C961" s="178" t="s">
        <v>3659</v>
      </c>
      <c r="D961" s="178" t="s">
        <v>132</v>
      </c>
      <c r="E961" s="227"/>
      <c r="F961" s="180"/>
      <c r="G961" s="281" t="s">
        <v>181</v>
      </c>
      <c r="H961" s="182"/>
      <c r="I961" s="182"/>
      <c r="J961" s="182"/>
      <c r="K961" s="183"/>
      <c r="L961" s="182">
        <v>1</v>
      </c>
      <c r="M961" s="182"/>
      <c r="N961" s="182"/>
      <c r="O961" s="183" t="s">
        <v>95</v>
      </c>
      <c r="P961" s="183" t="s">
        <v>96</v>
      </c>
      <c r="Q961" s="183" t="s">
        <v>97</v>
      </c>
      <c r="R961" s="183">
        <v>5</v>
      </c>
      <c r="S961" s="183">
        <v>0</v>
      </c>
      <c r="T961" s="183">
        <v>5</v>
      </c>
      <c r="U961" s="183" t="s">
        <v>97</v>
      </c>
      <c r="V961" s="183"/>
      <c r="W961" s="183"/>
      <c r="X961" s="183"/>
      <c r="Y961" s="184">
        <f>IF(ISBLANK(O961),"",(IF(O961=UPPER("IB"),0.005,0.01)))</f>
        <v>0.01</v>
      </c>
      <c r="Z961" s="185">
        <f>IF(ISBLANK(O961),"",IF(O961="IB",8.63*200,IF(O961="IR",16*100,IF(O961="YT",20*100,IF(O961="YT-XT",24*200,IF(O961="TED",80*100))))))</f>
        <v>1600</v>
      </c>
      <c r="AA961" s="185" t="s">
        <v>99</v>
      </c>
      <c r="AB961" s="185"/>
      <c r="AC961" s="185"/>
      <c r="AD961" s="649">
        <v>0</v>
      </c>
      <c r="AE961" s="182"/>
      <c r="AF961" s="332"/>
      <c r="AG961" s="182"/>
      <c r="AH961" s="182"/>
      <c r="AI961" s="182"/>
      <c r="AJ961" s="640"/>
      <c r="AK961" s="182"/>
      <c r="AL961" s="496">
        <f>-0.025*Z961</f>
        <v>-40</v>
      </c>
      <c r="AM961" s="496">
        <f>AL961*(R961-S961)</f>
        <v>-200</v>
      </c>
      <c r="AN961" s="626"/>
      <c r="AO961" s="182"/>
      <c r="AP961" s="182" t="s">
        <v>2709</v>
      </c>
      <c r="AQ961" s="332" t="str">
        <f>UPPER(RIGHT(Journal_Live[[#This Row],[DURATION ]]))</f>
        <v>H</v>
      </c>
      <c r="AR961" s="182" t="s">
        <v>3660</v>
      </c>
      <c r="AS961" s="189">
        <v>0</v>
      </c>
      <c r="AT961" s="189">
        <f>IF(ISBLANK(AS961),,IF(U961="S",AD961-AS961,AS961-AD961))</f>
        <v>0</v>
      </c>
      <c r="AU961" s="187">
        <f>AV961*R961</f>
        <v>0</v>
      </c>
      <c r="AV961" s="190">
        <f>IF(ISBLANK(AS961),,(AT961*Z961))</f>
        <v>0</v>
      </c>
      <c r="AW961" s="191" t="s">
        <v>115</v>
      </c>
      <c r="AX961" s="407"/>
      <c r="AY961" s="407" t="s">
        <v>529</v>
      </c>
      <c r="AZ961" s="407"/>
      <c r="BA961" s="407"/>
      <c r="BB961" s="407"/>
      <c r="BC961" s="407"/>
      <c r="BD961" s="407"/>
      <c r="BE961" s="407"/>
      <c r="BF961" s="422"/>
      <c r="BG961" s="391">
        <f>SUM($AV$4:AV961)</f>
        <v>4377.3733867880746</v>
      </c>
      <c r="BH961" s="392">
        <f>SUM($AU$134:AU961)</f>
        <v>18541.242000000151</v>
      </c>
      <c r="BI961" s="318">
        <f>SUMIFS($AU$134:AU962,$Q$134:Q962,"F")</f>
        <v>6518.5333333333328</v>
      </c>
      <c r="BJ961" s="318">
        <f>SUMIFS($AU$134:AU962,$Q$134:Q962,"S")</f>
        <v>12980.441999999999</v>
      </c>
      <c r="BK961" s="343">
        <f>SUMIFS($AU$134:AU962,$P$134:P962,"W")</f>
        <v>11011.74199999994</v>
      </c>
      <c r="BL961" s="343">
        <f>SUMIFS($AU$134:AU962,$P$134:P962,"R")</f>
        <v>8228.6733333333359</v>
      </c>
      <c r="BM961" s="343">
        <f>SUMIFS($AU$134:AU962,$AQ$134:AQ962,"M")</f>
        <v>2345.3999999999182</v>
      </c>
      <c r="BN961" s="343">
        <f>SUMIFS($AU$134:AU962,$AQ$134:AQ962,"H")</f>
        <v>5550.1420000000153</v>
      </c>
      <c r="BO961" s="343">
        <f>SUMIFS($AU$134:AU962,$AQ$134:AQ962,"D")</f>
        <v>5488.3466666667146</v>
      </c>
      <c r="BP961" s="343">
        <f>SUMIFS($AU$134:AU964,$AQ$134:AQ964,"W")</f>
        <v>3410.7233333332406</v>
      </c>
      <c r="BQ961" s="343">
        <f>SUMIFS($AU$134:AU962,$Q$134:Q962,"O")</f>
        <v>-852.93333333318697</v>
      </c>
      <c r="BR961" s="343">
        <f>SUMIFS($AU$134:AU962,$AA$134:AA962,"*")</f>
        <v>17017.475333333259</v>
      </c>
      <c r="BS961" s="343">
        <f>SUMIFS($AU$134:AU962,$AB$134:AB962,"*")</f>
        <v>5010.2666666668902</v>
      </c>
      <c r="BT961" s="343">
        <f>SUMIFS($AU$134:AU962,$AC$134:AC962,"*")</f>
        <v>10983.683333333332</v>
      </c>
      <c r="BU961" s="343">
        <f>SUMIFS($AU$134:AU962,$AA$134:AA962,"*",$AB$134:AB962,"*")</f>
        <v>3538.0000000000045</v>
      </c>
      <c r="BV961" s="343">
        <f>SUMIFS($AU$134:AU962,$AA$134:AA962,"*",$AC$134:AC962,"*")</f>
        <v>9516.7833333333328</v>
      </c>
      <c r="BW961" s="343">
        <f>SUMIFS($AU$134:AU962,$AB$134:AB962,"*",$AC$134:AC962,"*")</f>
        <v>5662.6</v>
      </c>
      <c r="BX961" s="343">
        <f>SUMIFS($AU962:AU$1388,$Q962:Q$1388,"F")</f>
        <v>7922.1333333333323</v>
      </c>
      <c r="BY961" s="343">
        <f>SUMIFS($AU962:AU$1388,$Q962:Q$1388,"S")</f>
        <v>7691.2000000000016</v>
      </c>
      <c r="BZ961" s="343">
        <f>SUMIFS($AU962:AU$1388,$Q962:Q$1388,"O")</f>
        <v>-795.9246666666113</v>
      </c>
    </row>
    <row r="962" spans="1:78" ht="15.75" customHeight="1">
      <c r="A962" s="221" t="s">
        <v>3401</v>
      </c>
      <c r="B962" s="177">
        <v>45160</v>
      </c>
      <c r="C962" s="178" t="s">
        <v>3661</v>
      </c>
      <c r="D962" s="178" t="s">
        <v>146</v>
      </c>
      <c r="E962" s="227"/>
      <c r="F962" s="180"/>
      <c r="G962" s="181" t="s">
        <v>181</v>
      </c>
      <c r="H962" s="182"/>
      <c r="I962" s="182"/>
      <c r="J962" s="182"/>
      <c r="K962" s="183"/>
      <c r="L962" s="182"/>
      <c r="M962" s="182"/>
      <c r="N962" s="182"/>
      <c r="O962" s="183"/>
      <c r="P962" s="183"/>
      <c r="Q962" s="183"/>
      <c r="R962" s="183"/>
      <c r="S962" s="183"/>
      <c r="T962" s="183"/>
      <c r="U962" s="183"/>
      <c r="V962" s="183"/>
      <c r="W962" s="183"/>
      <c r="X962" s="183"/>
      <c r="Y962" s="184"/>
      <c r="Z962" s="185"/>
      <c r="AA962" s="185"/>
      <c r="AB962" s="185"/>
      <c r="AC962" s="185"/>
      <c r="AD962" s="649"/>
      <c r="AE962" s="182"/>
      <c r="AF962" s="332"/>
      <c r="AG962" s="182"/>
      <c r="AH962" s="182"/>
      <c r="AI962" s="182"/>
      <c r="AJ962" s="640"/>
      <c r="AK962" s="182"/>
      <c r="AL962" s="496"/>
      <c r="AM962" s="496"/>
      <c r="AN962" s="626"/>
      <c r="AO962" s="182"/>
      <c r="AP962" s="182"/>
      <c r="AQ962" s="332" t="str">
        <f>UPPER(RIGHT(Journal_Live[[#This Row],[DURATION ]]))</f>
        <v/>
      </c>
      <c r="AR962" s="182"/>
      <c r="AS962" s="189"/>
      <c r="AT962" s="189"/>
      <c r="AU962" s="187"/>
      <c r="AV962" s="190"/>
      <c r="AW962" s="191"/>
      <c r="AX962" s="407" t="s">
        <v>3662</v>
      </c>
      <c r="AY962" s="407" t="s">
        <v>3663</v>
      </c>
      <c r="AZ962" s="407" t="s">
        <v>3664</v>
      </c>
      <c r="BA962" s="407"/>
      <c r="BB962" s="407"/>
      <c r="BC962" s="407"/>
      <c r="BD962" s="407"/>
      <c r="BE962" s="407"/>
      <c r="BF962" s="422"/>
      <c r="BG962" s="391">
        <f>SUM($AV$4:AV962)</f>
        <v>4377.3733867880746</v>
      </c>
      <c r="BH962" s="392">
        <f>SUM($AU$134:AU962)</f>
        <v>18541.242000000151</v>
      </c>
      <c r="BI962" s="318">
        <f>SUMIFS($AU$134:AU963,$Q$134:Q963,"F")</f>
        <v>6518.5333333333328</v>
      </c>
      <c r="BJ962" s="318">
        <f>SUMIFS($AU$134:AU963,$Q$134:Q963,"S")</f>
        <v>12980.441999999999</v>
      </c>
      <c r="BK962" s="343">
        <f>SUMIFS($AU$134:AU963,$P$134:P963,"W")</f>
        <v>11011.74199999994</v>
      </c>
      <c r="BL962" s="343">
        <f>SUMIFS($AU$134:AU963,$P$134:P963,"R")</f>
        <v>8228.6733333333359</v>
      </c>
      <c r="BM962" s="343">
        <f>SUMIFS($AU$134:AU963,$AQ$134:AQ963,"M")</f>
        <v>2345.3999999999182</v>
      </c>
      <c r="BN962" s="343">
        <f>SUMIFS($AU$134:AU963,$AQ$134:AQ963,"H")</f>
        <v>5550.1420000000153</v>
      </c>
      <c r="BO962" s="343">
        <f>SUMIFS($AU$134:AU963,$AQ$134:AQ963,"D")</f>
        <v>5488.3466666667146</v>
      </c>
      <c r="BP962" s="343">
        <f>SUMIFS($AU$134:AU965,$AQ$134:AQ965,"W")</f>
        <v>3410.7233333332406</v>
      </c>
      <c r="BQ962" s="343">
        <f>SUMIFS($AU$134:AU963,$Q$134:Q963,"O")</f>
        <v>-852.93333333318697</v>
      </c>
      <c r="BR962" s="343">
        <f>SUMIFS($AU$134:AU963,$AA$134:AA963,"*")</f>
        <v>17017.475333333259</v>
      </c>
      <c r="BS962" s="343">
        <f>SUMIFS($AU$134:AU963,$AB$134:AB963,"*")</f>
        <v>5010.2666666668902</v>
      </c>
      <c r="BT962" s="343">
        <f>SUMIFS($AU$134:AU963,$AC$134:AC963,"*")</f>
        <v>10983.683333333332</v>
      </c>
      <c r="BU962" s="343">
        <f>SUMIFS($AU$134:AU963,$AA$134:AA963,"*",$AB$134:AB963,"*")</f>
        <v>3538.0000000000045</v>
      </c>
      <c r="BV962" s="343">
        <f>SUMIFS($AU$134:AU963,$AA$134:AA963,"*",$AC$134:AC963,"*")</f>
        <v>9516.7833333333328</v>
      </c>
      <c r="BW962" s="343">
        <f>SUMIFS($AU$134:AU963,$AB$134:AB963,"*",$AC$134:AC963,"*")</f>
        <v>5662.6</v>
      </c>
      <c r="BX962" s="343">
        <f>SUMIFS($AU963:AU$1388,$Q963:Q$1388,"F")</f>
        <v>7922.1333333333323</v>
      </c>
      <c r="BY962" s="343">
        <f>SUMIFS($AU963:AU$1388,$Q963:Q$1388,"S")</f>
        <v>7691.2000000000016</v>
      </c>
      <c r="BZ962" s="343">
        <f>SUMIFS($AU963:AU$1388,$Q963:Q$1388,"O")</f>
        <v>-795.9246666666113</v>
      </c>
    </row>
    <row r="963" spans="1:78" ht="15.75" customHeight="1">
      <c r="A963" s="221" t="s">
        <v>3401</v>
      </c>
      <c r="B963" s="177">
        <v>45160</v>
      </c>
      <c r="C963" s="178" t="s">
        <v>1316</v>
      </c>
      <c r="D963" s="178" t="s">
        <v>146</v>
      </c>
      <c r="E963" s="227"/>
      <c r="F963" s="180"/>
      <c r="G963" s="281" t="s">
        <v>136</v>
      </c>
      <c r="H963" s="182"/>
      <c r="I963" s="182"/>
      <c r="J963" s="182"/>
      <c r="K963" s="183"/>
      <c r="L963" s="182">
        <v>1</v>
      </c>
      <c r="M963" s="182"/>
      <c r="N963" s="182"/>
      <c r="O963" s="183" t="s">
        <v>95</v>
      </c>
      <c r="P963" s="183" t="s">
        <v>96</v>
      </c>
      <c r="Q963" s="183" t="s">
        <v>97</v>
      </c>
      <c r="R963" s="183">
        <v>10</v>
      </c>
      <c r="S963" s="183">
        <v>0</v>
      </c>
      <c r="T963" s="183">
        <v>10</v>
      </c>
      <c r="U963" s="183" t="s">
        <v>22</v>
      </c>
      <c r="V963" s="183"/>
      <c r="W963" s="183"/>
      <c r="X963" s="183"/>
      <c r="Y963" s="184">
        <f>IF(ISBLANK(O963),"",(IF(O963=UPPER("IB"),0.005,0.01)))</f>
        <v>0.01</v>
      </c>
      <c r="Z963" s="185">
        <f>IF(ISBLANK(O963),"",IF(O963="IB",8.63*200,IF(O963="IR",16*100,IF(O963="YT",20*100,IF(O963="YT-XT",24*200,IF(O963="TED",80*100))))))</f>
        <v>1600</v>
      </c>
      <c r="AA963" s="185" t="s">
        <v>99</v>
      </c>
      <c r="AB963" s="185"/>
      <c r="AC963" s="185"/>
      <c r="AD963" s="649">
        <v>-7.0000000000000007E-2</v>
      </c>
      <c r="AE963" s="182"/>
      <c r="AF963" s="332"/>
      <c r="AG963" s="182"/>
      <c r="AH963" s="182"/>
      <c r="AI963" s="182"/>
      <c r="AJ963" s="640"/>
      <c r="AK963" s="182"/>
      <c r="AL963" s="496"/>
      <c r="AM963" s="496"/>
      <c r="AN963" s="626"/>
      <c r="AO963" s="182"/>
      <c r="AP963" s="182" t="s">
        <v>967</v>
      </c>
      <c r="AQ963" s="332" t="str">
        <f>UPPER(RIGHT(Journal_Live[[#This Row],[DURATION ]]))</f>
        <v>H</v>
      </c>
      <c r="AR963" s="182" t="s">
        <v>3665</v>
      </c>
      <c r="AS963" s="189">
        <v>-7.0000000000000007E-2</v>
      </c>
      <c r="AT963" s="189">
        <f>IF(ISBLANK(AS963),,IF(U963="S",AD963-AS963,AS963-AD963))</f>
        <v>0</v>
      </c>
      <c r="AU963" s="187">
        <f>AV963*R963</f>
        <v>0</v>
      </c>
      <c r="AV963" s="190">
        <f>IF(ISBLANK(AS963),,(AT963*Z963))</f>
        <v>0</v>
      </c>
      <c r="AW963" s="191" t="s">
        <v>115</v>
      </c>
      <c r="AX963" s="407"/>
      <c r="AY963" s="407"/>
      <c r="AZ963" s="407"/>
      <c r="BA963" s="407"/>
      <c r="BB963" s="407"/>
      <c r="BC963" s="407"/>
      <c r="BD963" s="407"/>
      <c r="BE963" s="407"/>
      <c r="BF963" s="422"/>
      <c r="BG963" s="391">
        <f>SUM($AV$4:AV963)</f>
        <v>4377.3733867880746</v>
      </c>
      <c r="BH963" s="392">
        <f>SUM($AU$134:AU963)</f>
        <v>18541.242000000151</v>
      </c>
      <c r="BI963" s="318">
        <f>SUMIFS($AU$134:AU964,$Q$134:Q964,"F")</f>
        <v>6518.5333333333328</v>
      </c>
      <c r="BJ963" s="318">
        <f>SUMIFS($AU$134:AU964,$Q$134:Q964,"S")</f>
        <v>12980.441999999999</v>
      </c>
      <c r="BK963" s="343">
        <f>SUMIFS($AU$134:AU964,$P$134:P964,"W")</f>
        <v>11011.74199999994</v>
      </c>
      <c r="BL963" s="343">
        <f>SUMIFS($AU$134:AU964,$P$134:P964,"R")</f>
        <v>8228.6733333333359</v>
      </c>
      <c r="BM963" s="343">
        <f>SUMIFS($AU$134:AU964,$AQ$134:AQ964,"M")</f>
        <v>2345.3999999999182</v>
      </c>
      <c r="BN963" s="343">
        <f>SUMIFS($AU$134:AU964,$AQ$134:AQ964,"H")</f>
        <v>5550.1420000000153</v>
      </c>
      <c r="BO963" s="343">
        <f>SUMIFS($AU$134:AU964,$AQ$134:AQ964,"D")</f>
        <v>5488.3466666667146</v>
      </c>
      <c r="BP963" s="343">
        <f>SUMIFS($AU$134:AU966,$AQ$134:AQ966,"W")</f>
        <v>3410.7233333332406</v>
      </c>
      <c r="BQ963" s="343">
        <f>SUMIFS($AU$134:AU964,$Q$134:Q964,"O")</f>
        <v>-852.93333333318697</v>
      </c>
      <c r="BR963" s="343">
        <f>SUMIFS($AU$134:AU964,$AA$134:AA964,"*")</f>
        <v>17017.475333333259</v>
      </c>
      <c r="BS963" s="343">
        <f>SUMIFS($AU$134:AU964,$AB$134:AB964,"*")</f>
        <v>5010.2666666668902</v>
      </c>
      <c r="BT963" s="343">
        <f>SUMIFS($AU$134:AU964,$AC$134:AC964,"*")</f>
        <v>10983.683333333332</v>
      </c>
      <c r="BU963" s="343">
        <f>SUMIFS($AU$134:AU964,$AA$134:AA964,"*",$AB$134:AB964,"*")</f>
        <v>3538.0000000000045</v>
      </c>
      <c r="BV963" s="343">
        <f>SUMIFS($AU$134:AU964,$AA$134:AA964,"*",$AC$134:AC964,"*")</f>
        <v>9516.7833333333328</v>
      </c>
      <c r="BW963" s="343">
        <f>SUMIFS($AU$134:AU964,$AB$134:AB964,"*",$AC$134:AC964,"*")</f>
        <v>5662.6</v>
      </c>
      <c r="BX963" s="343">
        <f>SUMIFS($AU964:AU$1388,$Q964:Q$1388,"F")</f>
        <v>7922.1333333333323</v>
      </c>
      <c r="BY963" s="343">
        <f>SUMIFS($AU964:AU$1388,$Q964:Q$1388,"S")</f>
        <v>7691.2000000000016</v>
      </c>
      <c r="BZ963" s="343">
        <f>SUMIFS($AU964:AU$1388,$Q964:Q$1388,"O")</f>
        <v>-795.9246666666113</v>
      </c>
    </row>
    <row r="964" spans="1:78" ht="15.75" customHeight="1">
      <c r="A964" s="221" t="s">
        <v>3401</v>
      </c>
      <c r="B964" s="177">
        <v>45161</v>
      </c>
      <c r="C964" s="178" t="s">
        <v>664</v>
      </c>
      <c r="D964" s="178" t="s">
        <v>151</v>
      </c>
      <c r="E964" s="227"/>
      <c r="F964" s="180"/>
      <c r="G964" s="181" t="s">
        <v>2016</v>
      </c>
      <c r="H964" s="182"/>
      <c r="I964" s="182"/>
      <c r="J964" s="182"/>
      <c r="K964" s="183"/>
      <c r="L964" s="182"/>
      <c r="M964" s="182"/>
      <c r="N964" s="182"/>
      <c r="O964" s="183"/>
      <c r="P964" s="183"/>
      <c r="Q964" s="183"/>
      <c r="R964" s="183"/>
      <c r="S964" s="183"/>
      <c r="T964" s="183"/>
      <c r="U964" s="183"/>
      <c r="V964" s="183"/>
      <c r="W964" s="183"/>
      <c r="X964" s="183"/>
      <c r="Y964" s="184"/>
      <c r="Z964" s="185"/>
      <c r="AA964" s="185"/>
      <c r="AB964" s="185"/>
      <c r="AC964" s="185"/>
      <c r="AD964" s="649"/>
      <c r="AE964" s="182"/>
      <c r="AF964" s="332"/>
      <c r="AG964" s="182"/>
      <c r="AH964" s="182"/>
      <c r="AI964" s="182"/>
      <c r="AJ964" s="640"/>
      <c r="AK964" s="182"/>
      <c r="AL964" s="496"/>
      <c r="AM964" s="496"/>
      <c r="AN964" s="626"/>
      <c r="AO964" s="182"/>
      <c r="AP964" s="182"/>
      <c r="AQ964" s="332" t="str">
        <f>UPPER(RIGHT(Journal_Live[[#This Row],[DURATION ]]))</f>
        <v/>
      </c>
      <c r="AR964" s="182"/>
      <c r="AS964" s="189"/>
      <c r="AT964" s="189"/>
      <c r="AU964" s="187"/>
      <c r="AV964" s="190"/>
      <c r="AW964" s="191"/>
      <c r="AX964" s="407"/>
      <c r="AY964" s="407"/>
      <c r="AZ964" s="407"/>
      <c r="BA964" s="407"/>
      <c r="BB964" s="407"/>
      <c r="BC964" s="407"/>
      <c r="BD964" s="407"/>
      <c r="BE964" s="407"/>
      <c r="BF964" s="422"/>
      <c r="BG964" s="391">
        <f>SUM($AV$4:AV964)</f>
        <v>4377.3733867880746</v>
      </c>
      <c r="BH964" s="392">
        <f>SUM($AU$134:AU964)</f>
        <v>18541.242000000151</v>
      </c>
      <c r="BI964" s="318">
        <f>SUMIFS($AU$134:AU965,$Q$134:Q965,"F")</f>
        <v>6518.5333333333328</v>
      </c>
      <c r="BJ964" s="318">
        <f>SUMIFS($AU$134:AU965,$Q$134:Q965,"S")</f>
        <v>12948.441999999999</v>
      </c>
      <c r="BK964" s="343">
        <f>SUMIFS($AU$134:AU965,$P$134:P965,"W")</f>
        <v>10979.74199999994</v>
      </c>
      <c r="BL964" s="343">
        <f>SUMIFS($AU$134:AU965,$P$134:P965,"R")</f>
        <v>8228.6733333333359</v>
      </c>
      <c r="BM964" s="343">
        <f>SUMIFS($AU$134:AU965,$AQ$134:AQ965,"M")</f>
        <v>2345.3999999999182</v>
      </c>
      <c r="BN964" s="343">
        <f>SUMIFS($AU$134:AU965,$AQ$134:AQ965,"H")</f>
        <v>5518.1420000000153</v>
      </c>
      <c r="BO964" s="343">
        <f>SUMIFS($AU$134:AU965,$AQ$134:AQ965,"D")</f>
        <v>5488.3466666667146</v>
      </c>
      <c r="BP964" s="343">
        <f>SUMIFS($AU$134:AU967,$AQ$134:AQ967,"W")</f>
        <v>3410.7233333332406</v>
      </c>
      <c r="BQ964" s="343">
        <f>SUMIFS($AU$134:AU965,$Q$134:Q965,"O")</f>
        <v>-852.93333333318697</v>
      </c>
      <c r="BR964" s="343">
        <f>SUMIFS($AU$134:AU965,$AA$134:AA965,"*")</f>
        <v>16985.475333333259</v>
      </c>
      <c r="BS964" s="343">
        <f>SUMIFS($AU$134:AU965,$AB$134:AB965,"*")</f>
        <v>5010.2666666668902</v>
      </c>
      <c r="BT964" s="343">
        <f>SUMIFS($AU$134:AU965,$AC$134:AC965,"*")</f>
        <v>10983.683333333332</v>
      </c>
      <c r="BU964" s="343">
        <f>SUMIFS($AU$134:AU965,$AA$134:AA965,"*",$AB$134:AB965,"*")</f>
        <v>3538.0000000000045</v>
      </c>
      <c r="BV964" s="343">
        <f>SUMIFS($AU$134:AU965,$AA$134:AA965,"*",$AC$134:AC965,"*")</f>
        <v>9516.7833333333328</v>
      </c>
      <c r="BW964" s="343">
        <f>SUMIFS($AU$134:AU965,$AB$134:AB965,"*",$AC$134:AC965,"*")</f>
        <v>5662.6</v>
      </c>
      <c r="BX964" s="343">
        <f>SUMIFS($AU965:AU$1388,$Q965:Q$1388,"F")</f>
        <v>7922.1333333333323</v>
      </c>
      <c r="BY964" s="343">
        <f>SUMIFS($AU965:AU$1388,$Q965:Q$1388,"S")</f>
        <v>7691.2000000000016</v>
      </c>
      <c r="BZ964" s="343">
        <f>SUMIFS($AU965:AU$1388,$Q965:Q$1388,"O")</f>
        <v>-795.9246666666113</v>
      </c>
    </row>
    <row r="965" spans="1:78" ht="15.75" customHeight="1">
      <c r="A965" s="221" t="s">
        <v>3401</v>
      </c>
      <c r="B965" s="177">
        <v>45161</v>
      </c>
      <c r="C965" s="178" t="s">
        <v>3666</v>
      </c>
      <c r="D965" s="178" t="s">
        <v>151</v>
      </c>
      <c r="E965" s="227"/>
      <c r="F965" s="180"/>
      <c r="G965" s="281" t="s">
        <v>94</v>
      </c>
      <c r="H965" s="182"/>
      <c r="I965" s="182"/>
      <c r="J965" s="182"/>
      <c r="K965" s="183"/>
      <c r="L965" s="182">
        <v>1</v>
      </c>
      <c r="M965" s="182"/>
      <c r="N965" s="182"/>
      <c r="O965" s="183" t="s">
        <v>95</v>
      </c>
      <c r="P965" s="183" t="s">
        <v>96</v>
      </c>
      <c r="Q965" s="183" t="s">
        <v>97</v>
      </c>
      <c r="R965" s="183">
        <v>2</v>
      </c>
      <c r="S965" s="183">
        <v>0</v>
      </c>
      <c r="T965" s="183">
        <v>2</v>
      </c>
      <c r="U965" s="183" t="s">
        <v>22</v>
      </c>
      <c r="V965" s="183"/>
      <c r="W965" s="183"/>
      <c r="X965" s="183"/>
      <c r="Y965" s="184">
        <f>IF(ISBLANK(O965),"",(IF(O965=UPPER("IB"),0.005,0.01)))</f>
        <v>0.01</v>
      </c>
      <c r="Z965" s="185">
        <f>IF(ISBLANK(O965),"",IF(O965="IB",8.63*200,IF(O965="IR",16*100,IF(O965="YT",20*100,IF(O965="YT-XT",24*200,IF(O965="TED",80*100))))))</f>
        <v>1600</v>
      </c>
      <c r="AA965" s="185" t="s">
        <v>99</v>
      </c>
      <c r="AB965" s="185"/>
      <c r="AC965" s="185"/>
      <c r="AD965" s="649">
        <v>0.13</v>
      </c>
      <c r="AE965" s="182"/>
      <c r="AF965" s="332"/>
      <c r="AG965" s="182"/>
      <c r="AH965" s="182"/>
      <c r="AI965" s="182"/>
      <c r="AJ965" s="640"/>
      <c r="AK965" s="182"/>
      <c r="AL965" s="496"/>
      <c r="AM965" s="496"/>
      <c r="AN965" s="626"/>
      <c r="AO965" s="182"/>
      <c r="AP965" s="182" t="s">
        <v>1554</v>
      </c>
      <c r="AQ965" s="332" t="str">
        <f>UPPER(RIGHT(Journal_Live[[#This Row],[DURATION ]]))</f>
        <v>H</v>
      </c>
      <c r="AR965" s="182" t="s">
        <v>3667</v>
      </c>
      <c r="AS965" s="189">
        <v>0.12</v>
      </c>
      <c r="AT965" s="189">
        <f>IF(ISBLANK(AS965),,IF(U965="S",AD965-AS965,AS965-AD965))</f>
        <v>-1.0000000000000009E-2</v>
      </c>
      <c r="AU965" s="187">
        <f>AV965*R965</f>
        <v>-32.000000000000028</v>
      </c>
      <c r="AV965" s="190">
        <f>IF(ISBLANK(AS965),,(AT965*Z965))</f>
        <v>-16.000000000000014</v>
      </c>
      <c r="AW965" s="191" t="s">
        <v>229</v>
      </c>
      <c r="AX965" s="407"/>
      <c r="AY965" s="407"/>
      <c r="AZ965" s="407"/>
      <c r="BA965" s="407"/>
      <c r="BB965" s="407"/>
      <c r="BC965" s="407"/>
      <c r="BD965" s="407"/>
      <c r="BE965" s="407"/>
      <c r="BF965" s="422"/>
      <c r="BG965" s="391">
        <f>SUM($AV$4:AV965)</f>
        <v>4361.3733867880746</v>
      </c>
      <c r="BH965" s="392">
        <f>SUM($AU$134:AU965)</f>
        <v>18509.242000000151</v>
      </c>
      <c r="BI965" s="318">
        <f>SUMIFS($AU$134:AU966,$Q$134:Q966,"F")</f>
        <v>6518.5333333333328</v>
      </c>
      <c r="BJ965" s="318">
        <f>SUMIFS($AU$134:AU966,$Q$134:Q966,"S")</f>
        <v>12948.441999999999</v>
      </c>
      <c r="BK965" s="343">
        <f>SUMIFS($AU$134:AU966,$P$134:P966,"W")</f>
        <v>10979.74199999994</v>
      </c>
      <c r="BL965" s="343">
        <f>SUMIFS($AU$134:AU966,$P$134:P966,"R")</f>
        <v>8228.6733333333359</v>
      </c>
      <c r="BM965" s="343">
        <f>SUMIFS($AU$134:AU966,$AQ$134:AQ966,"M")</f>
        <v>2345.3999999999182</v>
      </c>
      <c r="BN965" s="343">
        <f>SUMIFS($AU$134:AU966,$AQ$134:AQ966,"H")</f>
        <v>5518.1420000000153</v>
      </c>
      <c r="BO965" s="343">
        <f>SUMIFS($AU$134:AU966,$AQ$134:AQ966,"D")</f>
        <v>5488.3466666667146</v>
      </c>
      <c r="BP965" s="343">
        <f>SUMIFS($AU$134:AU968,$AQ$134:AQ968,"W")</f>
        <v>3410.7233333332406</v>
      </c>
      <c r="BQ965" s="343">
        <f>SUMIFS($AU$134:AU966,$Q$134:Q966,"O")</f>
        <v>-852.93333333318697</v>
      </c>
      <c r="BR965" s="343">
        <f>SUMIFS($AU$134:AU966,$AA$134:AA966,"*")</f>
        <v>16985.475333333259</v>
      </c>
      <c r="BS965" s="343">
        <f>SUMIFS($AU$134:AU966,$AB$134:AB966,"*")</f>
        <v>5010.2666666668902</v>
      </c>
      <c r="BT965" s="343">
        <f>SUMIFS($AU$134:AU966,$AC$134:AC966,"*")</f>
        <v>10983.683333333332</v>
      </c>
      <c r="BU965" s="343">
        <f>SUMIFS($AU$134:AU966,$AA$134:AA966,"*",$AB$134:AB966,"*")</f>
        <v>3538.0000000000045</v>
      </c>
      <c r="BV965" s="343">
        <f>SUMIFS($AU$134:AU966,$AA$134:AA966,"*",$AC$134:AC966,"*")</f>
        <v>9516.7833333333328</v>
      </c>
      <c r="BW965" s="343">
        <f>SUMIFS($AU$134:AU966,$AB$134:AB966,"*",$AC$134:AC966,"*")</f>
        <v>5662.6</v>
      </c>
      <c r="BX965" s="343">
        <f>SUMIFS($AU966:AU$1388,$Q966:Q$1388,"F")</f>
        <v>7922.1333333333323</v>
      </c>
      <c r="BY965" s="343">
        <f>SUMIFS($AU966:AU$1388,$Q966:Q$1388,"S")</f>
        <v>7723.2000000000016</v>
      </c>
      <c r="BZ965" s="343">
        <f>SUMIFS($AU966:AU$1388,$Q966:Q$1388,"O")</f>
        <v>-795.9246666666113</v>
      </c>
    </row>
    <row r="966" spans="1:78" ht="15.75" customHeight="1">
      <c r="A966" s="221" t="s">
        <v>3401</v>
      </c>
      <c r="B966" s="177">
        <v>45161</v>
      </c>
      <c r="C966" s="178" t="s">
        <v>3243</v>
      </c>
      <c r="D966" s="178" t="s">
        <v>151</v>
      </c>
      <c r="E966" s="227"/>
      <c r="F966" s="180"/>
      <c r="G966" s="181" t="s">
        <v>2016</v>
      </c>
      <c r="H966" s="182"/>
      <c r="I966" s="182"/>
      <c r="J966" s="182"/>
      <c r="K966" s="183"/>
      <c r="L966" s="182">
        <v>1</v>
      </c>
      <c r="M966" s="182"/>
      <c r="N966" s="182"/>
      <c r="O966" s="183" t="s">
        <v>95</v>
      </c>
      <c r="P966" s="183" t="s">
        <v>137</v>
      </c>
      <c r="Q966" s="183" t="s">
        <v>97</v>
      </c>
      <c r="R966" s="183">
        <v>24</v>
      </c>
      <c r="S966" s="183">
        <v>0</v>
      </c>
      <c r="T966" s="183">
        <v>15</v>
      </c>
      <c r="U966" s="183" t="s">
        <v>97</v>
      </c>
      <c r="V966" s="183"/>
      <c r="W966" s="183"/>
      <c r="X966" s="183"/>
      <c r="Y966" s="184">
        <f>IF(ISBLANK(O966),"",(IF(O966=UPPER("IB"),0.005,0.01)))</f>
        <v>0.01</v>
      </c>
      <c r="Z966" s="185">
        <f>IF(ISBLANK(O966),"",IF(O966="IB",8.63*200,IF(O966="IR",16*100,IF(O966="YT",20*100,IF(O966="YT-XT",24*200,IF(O966="TED",80*100))))))</f>
        <v>1600</v>
      </c>
      <c r="AA966" s="185" t="s">
        <v>99</v>
      </c>
      <c r="AB966" s="185"/>
      <c r="AC966" s="185"/>
      <c r="AD966" s="649">
        <v>-0.12</v>
      </c>
      <c r="AE966" s="182"/>
      <c r="AF966" s="332"/>
      <c r="AG966" s="182"/>
      <c r="AH966" s="182"/>
      <c r="AI966" s="182"/>
      <c r="AJ966" s="640"/>
      <c r="AK966" s="182"/>
      <c r="AL966" s="496"/>
      <c r="AM966" s="496"/>
      <c r="AN966" s="626"/>
      <c r="AO966" s="182"/>
      <c r="AP966" s="182" t="s">
        <v>3668</v>
      </c>
      <c r="AQ966" s="332" t="str">
        <f>UPPER(RIGHT(Journal_Live[[#This Row],[DURATION ]]))</f>
        <v>M</v>
      </c>
      <c r="AR966" s="182" t="s">
        <v>3669</v>
      </c>
      <c r="AS966" s="189">
        <v>-0.12</v>
      </c>
      <c r="AT966" s="189">
        <f>IF(ISBLANK(AS966),,IF(U966="S",AD966-AS966,AS966-AD966))</f>
        <v>0</v>
      </c>
      <c r="AU966" s="187">
        <f>AV966*R966</f>
        <v>0</v>
      </c>
      <c r="AV966" s="190">
        <f>IF(ISBLANK(AS966),,(AT966*Z966))</f>
        <v>0</v>
      </c>
      <c r="AW966" s="191" t="s">
        <v>115</v>
      </c>
      <c r="AX966" s="407" t="s">
        <v>3670</v>
      </c>
      <c r="AY966" s="407" t="s">
        <v>3671</v>
      </c>
      <c r="AZ966" s="407"/>
      <c r="BA966" s="407"/>
      <c r="BB966" s="407"/>
      <c r="BC966" s="407"/>
      <c r="BD966" s="407"/>
      <c r="BE966" s="407"/>
      <c r="BF966" s="422"/>
      <c r="BG966" s="391">
        <f>SUM($AV$4:AV966)</f>
        <v>4361.3733867880746</v>
      </c>
      <c r="BH966" s="392">
        <f>SUM($AU$134:AU966)</f>
        <v>18509.242000000151</v>
      </c>
      <c r="BI966" s="318">
        <f>SUMIFS($AU$134:AU967,$Q$134:Q967,"F")</f>
        <v>6518.5333333333328</v>
      </c>
      <c r="BJ966" s="318">
        <f>SUMIFS($AU$134:AU967,$Q$134:Q967,"S")</f>
        <v>12948.441999999999</v>
      </c>
      <c r="BK966" s="343">
        <f>SUMIFS($AU$134:AU967,$P$134:P967,"W")</f>
        <v>10979.74199999994</v>
      </c>
      <c r="BL966" s="343">
        <f>SUMIFS($AU$134:AU967,$P$134:P967,"R")</f>
        <v>8228.6733333333359</v>
      </c>
      <c r="BM966" s="343">
        <f>SUMIFS($AU$134:AU967,$AQ$134:AQ967,"M")</f>
        <v>2345.3999999999182</v>
      </c>
      <c r="BN966" s="343">
        <f>SUMIFS($AU$134:AU967,$AQ$134:AQ967,"H")</f>
        <v>5518.1420000000153</v>
      </c>
      <c r="BO966" s="343">
        <f>SUMIFS($AU$134:AU967,$AQ$134:AQ967,"D")</f>
        <v>5488.3466666667146</v>
      </c>
      <c r="BP966" s="343">
        <f>SUMIFS($AU$134:AU969,$AQ$134:AQ969,"W")</f>
        <v>3410.7233333332406</v>
      </c>
      <c r="BQ966" s="343">
        <f>SUMIFS($AU$134:AU967,$Q$134:Q967,"O")</f>
        <v>-852.93333333318697</v>
      </c>
      <c r="BR966" s="343">
        <f>SUMIFS($AU$134:AU967,$AA$134:AA967,"*")</f>
        <v>16985.475333333259</v>
      </c>
      <c r="BS966" s="343">
        <f>SUMIFS($AU$134:AU967,$AB$134:AB967,"*")</f>
        <v>5010.2666666668902</v>
      </c>
      <c r="BT966" s="343">
        <f>SUMIFS($AU$134:AU967,$AC$134:AC967,"*")</f>
        <v>10983.683333333332</v>
      </c>
      <c r="BU966" s="343">
        <f>SUMIFS($AU$134:AU967,$AA$134:AA967,"*",$AB$134:AB967,"*")</f>
        <v>3538.0000000000045</v>
      </c>
      <c r="BV966" s="343">
        <f>SUMIFS($AU$134:AU967,$AA$134:AA967,"*",$AC$134:AC967,"*")</f>
        <v>9516.7833333333328</v>
      </c>
      <c r="BW966" s="343">
        <f>SUMIFS($AU$134:AU967,$AB$134:AB967,"*",$AC$134:AC967,"*")</f>
        <v>5662.6</v>
      </c>
      <c r="BX966" s="343">
        <f>SUMIFS($AU967:AU$1388,$Q967:Q$1388,"F")</f>
        <v>7922.1333333333323</v>
      </c>
      <c r="BY966" s="343">
        <f>SUMIFS($AU967:AU$1388,$Q967:Q$1388,"S")</f>
        <v>7723.2000000000016</v>
      </c>
      <c r="BZ966" s="343">
        <f>SUMIFS($AU967:AU$1388,$Q967:Q$1388,"O")</f>
        <v>-795.9246666666113</v>
      </c>
    </row>
    <row r="967" spans="1:78" ht="15.75" customHeight="1">
      <c r="A967" s="221" t="s">
        <v>3401</v>
      </c>
      <c r="B967" s="177">
        <v>45161</v>
      </c>
      <c r="C967" s="178" t="s">
        <v>872</v>
      </c>
      <c r="D967" s="178" t="s">
        <v>151</v>
      </c>
      <c r="E967" s="227"/>
      <c r="F967" s="180"/>
      <c r="G967" s="281" t="s">
        <v>2145</v>
      </c>
      <c r="H967" s="182"/>
      <c r="I967" s="182"/>
      <c r="J967" s="182"/>
      <c r="K967" s="183"/>
      <c r="L967" s="182">
        <v>1</v>
      </c>
      <c r="M967" s="182"/>
      <c r="N967" s="182"/>
      <c r="O967" s="183" t="s">
        <v>95</v>
      </c>
      <c r="P967" s="183" t="s">
        <v>96</v>
      </c>
      <c r="Q967" s="183" t="s">
        <v>97</v>
      </c>
      <c r="R967" s="183">
        <v>7</v>
      </c>
      <c r="S967" s="183">
        <v>0</v>
      </c>
      <c r="T967" s="183">
        <v>7</v>
      </c>
      <c r="U967" s="183" t="s">
        <v>22</v>
      </c>
      <c r="V967" s="183"/>
      <c r="W967" s="183"/>
      <c r="X967" s="183"/>
      <c r="Y967" s="184">
        <f>IF(ISBLANK(O967),"",(IF(O967=UPPER("IB"),0.005,0.01)))</f>
        <v>0.01</v>
      </c>
      <c r="Z967" s="185">
        <f>IF(ISBLANK(O967),"",IF(O967="IB",8.63*200,IF(O967="IR",16*100,IF(O967="YT",20*100,IF(O967="YT-XT",24*200,IF(O967="TED",80*100))))))</f>
        <v>1600</v>
      </c>
      <c r="AA967" s="185" t="s">
        <v>99</v>
      </c>
      <c r="AB967" s="185"/>
      <c r="AC967" s="185"/>
      <c r="AD967" s="649">
        <v>0.05</v>
      </c>
      <c r="AE967" s="182"/>
      <c r="AF967" s="332"/>
      <c r="AG967" s="182"/>
      <c r="AH967" s="182"/>
      <c r="AI967" s="182"/>
      <c r="AJ967" s="640"/>
      <c r="AK967" s="182"/>
      <c r="AL967" s="496"/>
      <c r="AM967" s="496"/>
      <c r="AN967" s="626"/>
      <c r="AO967" s="182"/>
      <c r="AP967" s="182" t="s">
        <v>2527</v>
      </c>
      <c r="AQ967" s="332" t="str">
        <f>UPPER(RIGHT(Journal_Live[[#This Row],[DURATION ]]))</f>
        <v>H</v>
      </c>
      <c r="AR967" s="182" t="s">
        <v>3672</v>
      </c>
      <c r="AS967" s="189">
        <f>(0.05*2+0.05*5)/7</f>
        <v>4.9999999999999996E-2</v>
      </c>
      <c r="AT967" s="189">
        <f>IF(ISBLANK(AS967),,IF(U967="S",AD967-AS967,AS967-AD967))</f>
        <v>-6.9388939039072284E-18</v>
      </c>
      <c r="AU967" s="187">
        <f>AV967*R967</f>
        <v>-7.7715611723760958E-14</v>
      </c>
      <c r="AV967" s="190">
        <f>IF(ISBLANK(AS967),,(AT967*Z967))</f>
        <v>-1.1102230246251565E-14</v>
      </c>
      <c r="AW967" s="191" t="s">
        <v>115</v>
      </c>
      <c r="AX967" s="407" t="s">
        <v>3673</v>
      </c>
      <c r="AY967" s="407"/>
      <c r="AZ967" s="407"/>
      <c r="BA967" s="407"/>
      <c r="BB967" s="407"/>
      <c r="BC967" s="407"/>
      <c r="BD967" s="407"/>
      <c r="BE967" s="407"/>
      <c r="BF967" s="422"/>
      <c r="BG967" s="391"/>
      <c r="BH967" s="392">
        <f>SUM($AU$134:AU967)</f>
        <v>18509.242000000151</v>
      </c>
      <c r="BI967" s="318">
        <f>SUMIFS($AU$134:AU968,$Q$134:Q968,"F")</f>
        <v>6518.5333333333328</v>
      </c>
      <c r="BJ967" s="318">
        <f>SUMIFS($AU$134:AU968,$Q$134:Q968,"S")</f>
        <v>12948.441999999999</v>
      </c>
      <c r="BK967" s="343">
        <f>SUMIFS($AU$134:AU968,$P$134:P968,"W")</f>
        <v>10979.74199999994</v>
      </c>
      <c r="BL967" s="343">
        <f>SUMIFS($AU$134:AU968,$P$134:P968,"R")</f>
        <v>8228.6733333333359</v>
      </c>
      <c r="BM967" s="343">
        <f>SUMIFS($AU$134:AU968,$AQ$134:AQ968,"M")</f>
        <v>2345.3999999999182</v>
      </c>
      <c r="BN967" s="343">
        <f>SUMIFS($AU$134:AU968,$AQ$134:AQ968,"H")</f>
        <v>5518.1420000000153</v>
      </c>
      <c r="BO967" s="343">
        <f>SUMIFS($AU$134:AU968,$AQ$134:AQ968,"D")</f>
        <v>5488.3466666667146</v>
      </c>
      <c r="BP967" s="343">
        <f>SUMIFS($AU$134:AU970,$AQ$134:AQ970,"W")</f>
        <v>3410.7233333332406</v>
      </c>
      <c r="BQ967" s="343">
        <f>SUMIFS($AU$134:AU968,$Q$134:Q968,"O")</f>
        <v>-852.93333333318697</v>
      </c>
      <c r="BR967" s="343">
        <f>SUMIFS($AU$134:AU968,$AA$134:AA968,"*")</f>
        <v>16985.475333333259</v>
      </c>
      <c r="BS967" s="343">
        <f>SUMIFS($AU$134:AU968,$AB$134:AB968,"*")</f>
        <v>5010.2666666668902</v>
      </c>
      <c r="BT967" s="343">
        <f>SUMIFS($AU$134:AU968,$AC$134:AC968,"*")</f>
        <v>10983.683333333332</v>
      </c>
      <c r="BU967" s="343">
        <f>SUMIFS($AU$134:AU968,$AA$134:AA968,"*",$AB$134:AB968,"*")</f>
        <v>3538.0000000000045</v>
      </c>
      <c r="BV967" s="343">
        <f>SUMIFS($AU$134:AU968,$AA$134:AA968,"*",$AC$134:AC968,"*")</f>
        <v>9516.7833333333328</v>
      </c>
      <c r="BW967" s="343">
        <f>SUMIFS($AU$134:AU968,$AB$134:AB968,"*",$AC$134:AC968,"*")</f>
        <v>5662.6</v>
      </c>
      <c r="BX967" s="343">
        <f>SUMIFS($AU968:AU$1388,$Q968:Q$1388,"F")</f>
        <v>7922.1333333333323</v>
      </c>
      <c r="BY967" s="343">
        <f>SUMIFS($AU968:AU$1388,$Q968:Q$1388,"S")</f>
        <v>7723.2000000000016</v>
      </c>
      <c r="BZ967" s="343">
        <f>SUMIFS($AU968:AU$1388,$Q968:Q$1388,"O")</f>
        <v>-795.9246666666113</v>
      </c>
    </row>
    <row r="968" spans="1:78" ht="15.75" customHeight="1">
      <c r="A968" s="221" t="s">
        <v>3401</v>
      </c>
      <c r="B968" s="177">
        <v>45161</v>
      </c>
      <c r="C968" s="178" t="s">
        <v>442</v>
      </c>
      <c r="D968" s="178" t="s">
        <v>151</v>
      </c>
      <c r="E968" s="227" t="s">
        <v>3674</v>
      </c>
      <c r="F968" s="180"/>
      <c r="G968" s="181"/>
      <c r="H968" s="182"/>
      <c r="I968" s="182"/>
      <c r="J968" s="182">
        <v>1</v>
      </c>
      <c r="K968" s="183" t="s">
        <v>115</v>
      </c>
      <c r="L968" s="182"/>
      <c r="M968" s="182"/>
      <c r="N968" s="182"/>
      <c r="O968" s="183"/>
      <c r="P968" s="183"/>
      <c r="Q968" s="183"/>
      <c r="R968" s="183"/>
      <c r="S968" s="183"/>
      <c r="T968" s="183"/>
      <c r="U968" s="183"/>
      <c r="V968" s="183"/>
      <c r="W968" s="183"/>
      <c r="X968" s="183"/>
      <c r="Y968" s="183"/>
      <c r="Z968" s="185" t="str">
        <f>IF(ISBLANK(O968),"",IF(O968="IB",8.63*200,IF(O968="IR",16*100,IF(O968="YT",20*100,IF(O968="YT-XT",24*200,IF(O968="TED",80*100))))))</f>
        <v/>
      </c>
      <c r="AA968" s="185"/>
      <c r="AB968" s="185"/>
      <c r="AC968" s="185"/>
      <c r="AD968" s="649"/>
      <c r="AE968" s="182"/>
      <c r="AF968" s="332"/>
      <c r="AG968" s="182"/>
      <c r="AH968" s="182"/>
      <c r="AI968" s="182"/>
      <c r="AJ968" s="640"/>
      <c r="AK968" s="182"/>
      <c r="AL968" s="496"/>
      <c r="AM968" s="496"/>
      <c r="AN968" s="626"/>
      <c r="AO968" s="182"/>
      <c r="AP968" s="182"/>
      <c r="AQ968" s="332" t="str">
        <f>UPPER(RIGHT(Journal_Live[[#This Row],[DURATION ]]))</f>
        <v/>
      </c>
      <c r="AR968" s="182"/>
      <c r="AS968" s="189"/>
      <c r="AT968" s="189"/>
      <c r="AU968" s="187"/>
      <c r="AV968" s="190"/>
      <c r="AW968" s="191"/>
      <c r="AX968" s="407" t="s">
        <v>3675</v>
      </c>
      <c r="AY968" s="407"/>
      <c r="AZ968" s="407"/>
      <c r="BA968" s="407"/>
      <c r="BB968" s="407"/>
      <c r="BC968" s="407"/>
      <c r="BD968" s="407"/>
      <c r="BE968" s="407"/>
      <c r="BF968" s="422"/>
      <c r="BG968" s="391">
        <f>SUM($AV$4:AV968)</f>
        <v>4361.3733867880746</v>
      </c>
      <c r="BH968" s="392">
        <f>SUM($AU$134:AU968)</f>
        <v>18509.242000000151</v>
      </c>
      <c r="BI968" s="318">
        <f>SUMIFS($AU$134:AU969,$Q$134:Q969,"F")</f>
        <v>6518.5333333333328</v>
      </c>
      <c r="BJ968" s="318">
        <f>SUMIFS($AU$134:AU969,$Q$134:Q969,"S")</f>
        <v>13092.441999999999</v>
      </c>
      <c r="BK968" s="343">
        <f>SUMIFS($AU$134:AU969,$P$134:P969,"W")</f>
        <v>11123.74199999994</v>
      </c>
      <c r="BL968" s="343">
        <f>SUMIFS($AU$134:AU969,$P$134:P969,"R")</f>
        <v>8228.6733333333359</v>
      </c>
      <c r="BM968" s="343">
        <f>SUMIFS($AU$134:AU969,$AQ$134:AQ969,"M")</f>
        <v>2345.3999999999182</v>
      </c>
      <c r="BN968" s="343">
        <f>SUMIFS($AU$134:AU969,$AQ$134:AQ969,"H")</f>
        <v>5518.1420000000153</v>
      </c>
      <c r="BO968" s="343">
        <f>SUMIFS($AU$134:AU969,$AQ$134:AQ969,"D")</f>
        <v>5632.3466666667146</v>
      </c>
      <c r="BP968" s="343">
        <f>SUMIFS($AU$134:AU971,$AQ$134:AQ971,"W")</f>
        <v>3410.7233333332406</v>
      </c>
      <c r="BQ968" s="343">
        <f>SUMIFS($AU$134:AU969,$Q$134:Q969,"O")</f>
        <v>-852.93333333318697</v>
      </c>
      <c r="BR968" s="343">
        <f>SUMIFS($AU$134:AU969,$AA$134:AA969,"*")</f>
        <v>17129.475333333259</v>
      </c>
      <c r="BS968" s="343">
        <f>SUMIFS($AU$134:AU969,$AB$134:AB969,"*")</f>
        <v>5010.2666666668902</v>
      </c>
      <c r="BT968" s="343">
        <f>SUMIFS($AU$134:AU969,$AC$134:AC969,"*")</f>
        <v>10983.683333333332</v>
      </c>
      <c r="BU968" s="343">
        <f>SUMIFS($AU$134:AU969,$AA$134:AA969,"*",$AB$134:AB969,"*")</f>
        <v>3538.0000000000045</v>
      </c>
      <c r="BV968" s="343">
        <f>SUMIFS($AU$134:AU969,$AA$134:AA969,"*",$AC$134:AC969,"*")</f>
        <v>9516.7833333333328</v>
      </c>
      <c r="BW968" s="343">
        <f>SUMIFS($AU$134:AU969,$AB$134:AB969,"*",$AC$134:AC969,"*")</f>
        <v>5662.6</v>
      </c>
      <c r="BX968" s="343">
        <f>SUMIFS($AU969:AU$1388,$Q969:Q$1388,"F")</f>
        <v>7922.1333333333323</v>
      </c>
      <c r="BY968" s="343">
        <f>SUMIFS($AU969:AU$1388,$Q969:Q$1388,"S")</f>
        <v>7723.2000000000016</v>
      </c>
      <c r="BZ968" s="343">
        <f>SUMIFS($AU969:AU$1388,$Q969:Q$1388,"O")</f>
        <v>-795.9246666666113</v>
      </c>
    </row>
    <row r="969" spans="1:78" ht="15.75" customHeight="1">
      <c r="A969" s="221" t="s">
        <v>3401</v>
      </c>
      <c r="B969" s="177">
        <v>45161</v>
      </c>
      <c r="C969" s="178" t="s">
        <v>3676</v>
      </c>
      <c r="D969" s="178" t="s">
        <v>151</v>
      </c>
      <c r="E969" s="227"/>
      <c r="F969" s="180"/>
      <c r="G969" s="281" t="s">
        <v>136</v>
      </c>
      <c r="H969" s="182"/>
      <c r="I969" s="182"/>
      <c r="J969" s="182"/>
      <c r="K969" s="183"/>
      <c r="L969" s="182">
        <v>1</v>
      </c>
      <c r="M969" s="182"/>
      <c r="N969" s="182"/>
      <c r="O969" s="183" t="s">
        <v>95</v>
      </c>
      <c r="P969" s="183" t="s">
        <v>96</v>
      </c>
      <c r="Q969" s="183" t="s">
        <v>97</v>
      </c>
      <c r="R969" s="183">
        <v>9</v>
      </c>
      <c r="S969" s="183">
        <v>0</v>
      </c>
      <c r="T969" s="183">
        <v>9</v>
      </c>
      <c r="U969" s="183" t="s">
        <v>22</v>
      </c>
      <c r="V969" s="183"/>
      <c r="W969" s="183"/>
      <c r="X969" s="183"/>
      <c r="Y969" s="184">
        <f>IF(ISBLANK(O969),"",(IF(O969=UPPER("IB"),0.005,0.01)))</f>
        <v>0.01</v>
      </c>
      <c r="Z969" s="185">
        <f>IF(ISBLANK(O969),"",IF(O969="IB",8.63*200,IF(O969="IR",16*100,IF(O969="YT",20*100,IF(O969="YT-XT",24*200,IF(O969="TED",80*100))))))</f>
        <v>1600</v>
      </c>
      <c r="AA969" s="185" t="s">
        <v>99</v>
      </c>
      <c r="AB969" s="185"/>
      <c r="AC969" s="185"/>
      <c r="AD969" s="649">
        <v>-0.09</v>
      </c>
      <c r="AE969" s="182"/>
      <c r="AF969" s="332"/>
      <c r="AG969" s="182"/>
      <c r="AH969" s="182"/>
      <c r="AI969" s="182"/>
      <c r="AJ969" s="640"/>
      <c r="AK969" s="182"/>
      <c r="AL969" s="496">
        <f t="shared" ref="AL969" si="306">-0.025*Z969</f>
        <v>-40</v>
      </c>
      <c r="AM969" s="496">
        <f>AL969*(R969-S969)</f>
        <v>-360</v>
      </c>
      <c r="AN969" s="626"/>
      <c r="AO969" s="182"/>
      <c r="AP969" s="182" t="s">
        <v>770</v>
      </c>
      <c r="AQ969" s="332" t="str">
        <f>UPPER(RIGHT(Journal_Live[[#This Row],[DURATION ]]))</f>
        <v>D</v>
      </c>
      <c r="AR969" s="182" t="s">
        <v>3677</v>
      </c>
      <c r="AS969" s="189">
        <v>-0.08</v>
      </c>
      <c r="AT969" s="189">
        <f>IF(ISBLANK(AS969),,IF(U969="S",AD969-AS969,AS969-AD969))</f>
        <v>9.999999999999995E-3</v>
      </c>
      <c r="AU969" s="187">
        <f>AV969*R969</f>
        <v>143.99999999999994</v>
      </c>
      <c r="AV969" s="190">
        <f>IF(ISBLANK(AS969),,(AT969*Z969))</f>
        <v>15.999999999999993</v>
      </c>
      <c r="AW969" s="191" t="s">
        <v>96</v>
      </c>
      <c r="AX969" s="407"/>
      <c r="AY969" s="407"/>
      <c r="AZ969" s="407"/>
      <c r="BA969" s="407"/>
      <c r="BB969" s="407"/>
      <c r="BC969" s="407"/>
      <c r="BD969" s="407"/>
      <c r="BE969" s="407"/>
      <c r="BF969" s="422"/>
      <c r="BG969" s="391">
        <f>SUM($AV$4:AV969)</f>
        <v>4377.3733867880746</v>
      </c>
      <c r="BH969" s="392">
        <f>SUM($AU$134:AU969)</f>
        <v>18653.242000000151</v>
      </c>
      <c r="BI969" s="318">
        <f>SUMIFS($AU$134:AU970,$Q$134:Q970,"F")</f>
        <v>6518.5333333333328</v>
      </c>
      <c r="BJ969" s="318">
        <f>SUMIFS($AU$134:AU970,$Q$134:Q970,"S")</f>
        <v>13092.441999999999</v>
      </c>
      <c r="BK969" s="343">
        <f>SUMIFS($AU$134:AU970,$P$134:P970,"W")</f>
        <v>11123.74199999994</v>
      </c>
      <c r="BL969" s="343">
        <f>SUMIFS($AU$134:AU970,$P$134:P970,"R")</f>
        <v>8228.6733333333359</v>
      </c>
      <c r="BM969" s="343">
        <f>SUMIFS($AU$134:AU970,$AQ$134:AQ970,"M")</f>
        <v>2345.3999999999182</v>
      </c>
      <c r="BN969" s="343">
        <f>SUMIFS($AU$134:AU970,$AQ$134:AQ970,"H")</f>
        <v>5518.1420000000153</v>
      </c>
      <c r="BO969" s="343">
        <f>SUMIFS($AU$134:AU970,$AQ$134:AQ970,"D")</f>
        <v>5632.3466666667146</v>
      </c>
      <c r="BP969" s="343">
        <f>SUMIFS($AU$134:AU972,$AQ$134:AQ972,"W")</f>
        <v>3410.7233333332406</v>
      </c>
      <c r="BQ969" s="343">
        <f>SUMIFS($AU$134:AU970,$Q$134:Q970,"O")</f>
        <v>-852.93333333318697</v>
      </c>
      <c r="BR969" s="343">
        <f>SUMIFS($AU$134:AU970,$AA$134:AA970,"*")</f>
        <v>17129.475333333259</v>
      </c>
      <c r="BS969" s="343">
        <f>SUMIFS($AU$134:AU970,$AB$134:AB970,"*")</f>
        <v>5010.2666666668902</v>
      </c>
      <c r="BT969" s="343">
        <f>SUMIFS($AU$134:AU970,$AC$134:AC970,"*")</f>
        <v>10983.683333333332</v>
      </c>
      <c r="BU969" s="343">
        <f>SUMIFS($AU$134:AU970,$AA$134:AA970,"*",$AB$134:AB970,"*")</f>
        <v>3538.0000000000045</v>
      </c>
      <c r="BV969" s="343">
        <f>SUMIFS($AU$134:AU970,$AA$134:AA970,"*",$AC$134:AC970,"*")</f>
        <v>9516.7833333333328</v>
      </c>
      <c r="BW969" s="343">
        <f>SUMIFS($AU$134:AU970,$AB$134:AB970,"*",$AC$134:AC970,"*")</f>
        <v>5662.6</v>
      </c>
      <c r="BX969" s="343">
        <f>SUMIFS($AU970:AU$1388,$Q970:Q$1388,"F")</f>
        <v>7922.1333333333323</v>
      </c>
      <c r="BY969" s="343">
        <f>SUMIFS($AU970:AU$1388,$Q970:Q$1388,"S")</f>
        <v>7579.2000000000007</v>
      </c>
      <c r="BZ969" s="343">
        <f>SUMIFS($AU970:AU$1388,$Q970:Q$1388,"O")</f>
        <v>-795.9246666666113</v>
      </c>
    </row>
    <row r="970" spans="1:78" ht="15.75" customHeight="1">
      <c r="A970" s="221" t="s">
        <v>3401</v>
      </c>
      <c r="B970" s="177">
        <v>45161</v>
      </c>
      <c r="C970" s="178" t="s">
        <v>2636</v>
      </c>
      <c r="D970" s="178" t="s">
        <v>151</v>
      </c>
      <c r="E970" s="227"/>
      <c r="F970" s="180"/>
      <c r="G970" s="181" t="s">
        <v>2145</v>
      </c>
      <c r="H970" s="182"/>
      <c r="I970" s="182"/>
      <c r="J970" s="182"/>
      <c r="K970" s="183"/>
      <c r="L970" s="182"/>
      <c r="M970" s="182"/>
      <c r="N970" s="182"/>
      <c r="O970" s="183"/>
      <c r="P970" s="183"/>
      <c r="Q970" s="183"/>
      <c r="R970" s="183"/>
      <c r="S970" s="183"/>
      <c r="T970" s="183"/>
      <c r="U970" s="183"/>
      <c r="V970" s="183"/>
      <c r="W970" s="183"/>
      <c r="X970" s="183"/>
      <c r="Y970" s="184"/>
      <c r="Z970" s="185"/>
      <c r="AA970" s="185"/>
      <c r="AB970" s="185"/>
      <c r="AC970" s="185"/>
      <c r="AD970" s="649"/>
      <c r="AE970" s="182"/>
      <c r="AF970" s="332"/>
      <c r="AG970" s="182"/>
      <c r="AH970" s="182"/>
      <c r="AI970" s="182"/>
      <c r="AJ970" s="640"/>
      <c r="AK970" s="182"/>
      <c r="AL970" s="496"/>
      <c r="AM970" s="496"/>
      <c r="AN970" s="626"/>
      <c r="AO970" s="182"/>
      <c r="AP970" s="182"/>
      <c r="AQ970" s="332" t="str">
        <f>UPPER(RIGHT(Journal_Live[[#This Row],[DURATION ]]))</f>
        <v/>
      </c>
      <c r="AR970" s="182"/>
      <c r="AS970" s="189"/>
      <c r="AT970" s="189"/>
      <c r="AU970" s="187"/>
      <c r="AV970" s="190"/>
      <c r="AW970" s="191"/>
      <c r="AX970" s="407"/>
      <c r="AY970" s="407"/>
      <c r="AZ970" s="407"/>
      <c r="BA970" s="407"/>
      <c r="BB970" s="407"/>
      <c r="BC970" s="407"/>
      <c r="BD970" s="407"/>
      <c r="BE970" s="407"/>
      <c r="BF970" s="422"/>
      <c r="BG970" s="391">
        <f>SUM($AV$4:AV970)</f>
        <v>4377.3733867880746</v>
      </c>
      <c r="BH970" s="392">
        <f>SUM($AU$134:AU970)</f>
        <v>18653.242000000151</v>
      </c>
      <c r="BI970" s="318">
        <f>SUMIFS($AU$134:AU971,$Q$134:Q971,"F")</f>
        <v>6518.5333333333328</v>
      </c>
      <c r="BJ970" s="318">
        <f>SUMIFS($AU$134:AU971,$Q$134:Q971,"S")</f>
        <v>13092.441999999999</v>
      </c>
      <c r="BK970" s="343">
        <f>SUMIFS($AU$134:AU971,$P$134:P971,"W")</f>
        <v>11123.74199999994</v>
      </c>
      <c r="BL970" s="343">
        <f>SUMIFS($AU$134:AU971,$P$134:P971,"R")</f>
        <v>8228.6733333333359</v>
      </c>
      <c r="BM970" s="343">
        <f>SUMIFS($AU$134:AU971,$AQ$134:AQ971,"M")</f>
        <v>2345.3999999999182</v>
      </c>
      <c r="BN970" s="343">
        <f>SUMIFS($AU$134:AU971,$AQ$134:AQ971,"H")</f>
        <v>5518.1420000000153</v>
      </c>
      <c r="BO970" s="343">
        <f>SUMIFS($AU$134:AU971,$AQ$134:AQ971,"D")</f>
        <v>5632.3466666667146</v>
      </c>
      <c r="BP970" s="343">
        <f>SUMIFS($AU$134:AU973,$AQ$134:AQ973,"W")</f>
        <v>3410.7233333332406</v>
      </c>
      <c r="BQ970" s="343">
        <f>SUMIFS($AU$134:AU971,$Q$134:Q971,"O")</f>
        <v>-852.93333333318697</v>
      </c>
      <c r="BR970" s="343">
        <f>SUMIFS($AU$134:AU971,$AA$134:AA971,"*")</f>
        <v>17129.475333333259</v>
      </c>
      <c r="BS970" s="343">
        <f>SUMIFS($AU$134:AU971,$AB$134:AB971,"*")</f>
        <v>5010.2666666668902</v>
      </c>
      <c r="BT970" s="343">
        <f>SUMIFS($AU$134:AU971,$AC$134:AC971,"*")</f>
        <v>10983.683333333332</v>
      </c>
      <c r="BU970" s="343">
        <f>SUMIFS($AU$134:AU971,$AA$134:AA971,"*",$AB$134:AB971,"*")</f>
        <v>3538.0000000000045</v>
      </c>
      <c r="BV970" s="343">
        <f>SUMIFS($AU$134:AU971,$AA$134:AA971,"*",$AC$134:AC971,"*")</f>
        <v>9516.7833333333328</v>
      </c>
      <c r="BW970" s="343">
        <f>SUMIFS($AU$134:AU971,$AB$134:AB971,"*",$AC$134:AC971,"*")</f>
        <v>5662.6</v>
      </c>
      <c r="BX970" s="343">
        <f>SUMIFS($AU971:AU$1388,$Q971:Q$1388,"F")</f>
        <v>7922.1333333333323</v>
      </c>
      <c r="BY970" s="343">
        <f>SUMIFS($AU971:AU$1388,$Q971:Q$1388,"S")</f>
        <v>7579.2000000000007</v>
      </c>
      <c r="BZ970" s="343">
        <f>SUMIFS($AU971:AU$1388,$Q971:Q$1388,"O")</f>
        <v>-795.9246666666113</v>
      </c>
    </row>
    <row r="971" spans="1:78" ht="15.75" customHeight="1">
      <c r="A971" s="221" t="s">
        <v>3401</v>
      </c>
      <c r="B971" s="177">
        <v>45162</v>
      </c>
      <c r="C971" s="178" t="s">
        <v>1714</v>
      </c>
      <c r="D971" s="178" t="s">
        <v>93</v>
      </c>
      <c r="E971" s="227" t="s">
        <v>3678</v>
      </c>
      <c r="F971" s="180"/>
      <c r="G971" s="181"/>
      <c r="H971" s="182"/>
      <c r="I971" s="182"/>
      <c r="J971" s="182">
        <v>1</v>
      </c>
      <c r="K971" s="183" t="s">
        <v>372</v>
      </c>
      <c r="L971" s="182"/>
      <c r="M971" s="182"/>
      <c r="N971" s="182"/>
      <c r="O971" s="183"/>
      <c r="P971" s="183"/>
      <c r="Q971" s="183"/>
      <c r="R971" s="183"/>
      <c r="S971" s="183"/>
      <c r="T971" s="183"/>
      <c r="U971" s="183"/>
      <c r="V971" s="183"/>
      <c r="W971" s="183"/>
      <c r="X971" s="183"/>
      <c r="Y971" s="183"/>
      <c r="Z971" s="185" t="str">
        <f t="shared" ref="Z971:Z976" si="307">IF(ISBLANK(O971),"",IF(O971="IB",8.63*200,IF(O971="IR",16*100,IF(O971="YT",20*100,IF(O971="YT-XT",24*200,IF(O971="TED",80*100))))))</f>
        <v/>
      </c>
      <c r="AA971" s="185"/>
      <c r="AB971" s="185"/>
      <c r="AC971" s="185"/>
      <c r="AD971" s="649"/>
      <c r="AE971" s="182"/>
      <c r="AF971" s="332"/>
      <c r="AG971" s="182"/>
      <c r="AH971" s="182"/>
      <c r="AI971" s="182"/>
      <c r="AJ971" s="640"/>
      <c r="AK971" s="182"/>
      <c r="AL971" s="496"/>
      <c r="AM971" s="496"/>
      <c r="AN971" s="626"/>
      <c r="AO971" s="182"/>
      <c r="AP971" s="182"/>
      <c r="AQ971" s="332" t="str">
        <f>UPPER(RIGHT(Journal_Live[[#This Row],[DURATION ]]))</f>
        <v/>
      </c>
      <c r="AR971" s="182"/>
      <c r="AS971" s="189"/>
      <c r="AT971" s="189"/>
      <c r="AU971" s="187"/>
      <c r="AV971" s="190"/>
      <c r="AW971" s="191"/>
      <c r="AX971" s="407" t="s">
        <v>3679</v>
      </c>
      <c r="AY971" s="407" t="s">
        <v>3680</v>
      </c>
      <c r="AZ971" s="407" t="s">
        <v>3681</v>
      </c>
      <c r="BA971" s="407" t="s">
        <v>3682</v>
      </c>
      <c r="BB971" s="407" t="s">
        <v>3683</v>
      </c>
      <c r="BC971" s="407"/>
      <c r="BD971" s="407"/>
      <c r="BE971" s="407"/>
      <c r="BF971" s="422"/>
      <c r="BG971" s="391">
        <f>SUM($AV$4:AV971)</f>
        <v>4377.3733867880746</v>
      </c>
      <c r="BH971" s="392">
        <f>SUM($AU$134:AU971)</f>
        <v>18653.242000000151</v>
      </c>
      <c r="BI971" s="318">
        <f>SUMIFS($AU$134:AU972,$Q$134:Q972,"F")</f>
        <v>6518.5333333333328</v>
      </c>
      <c r="BJ971" s="318">
        <f>SUMIFS($AU$134:AU972,$Q$134:Q972,"S")</f>
        <v>13092.441999999999</v>
      </c>
      <c r="BK971" s="343">
        <f>SUMIFS($AU$134:AU972,$P$134:P972,"W")</f>
        <v>11123.74199999994</v>
      </c>
      <c r="BL971" s="343">
        <f>SUMIFS($AU$134:AU972,$P$134:P972,"R")</f>
        <v>8228.6733333333359</v>
      </c>
      <c r="BM971" s="343">
        <f>SUMIFS($AU$134:AU972,$AQ$134:AQ972,"M")</f>
        <v>2345.3999999999182</v>
      </c>
      <c r="BN971" s="343">
        <f>SUMIFS($AU$134:AU972,$AQ$134:AQ972,"H")</f>
        <v>5518.1420000000153</v>
      </c>
      <c r="BO971" s="343">
        <f>SUMIFS($AU$134:AU972,$AQ$134:AQ972,"D")</f>
        <v>5632.3466666667146</v>
      </c>
      <c r="BP971" s="343">
        <f>SUMIFS($AU$134:AU974,$AQ$134:AQ974,"W")</f>
        <v>3410.7233333332406</v>
      </c>
      <c r="BQ971" s="343">
        <f>SUMIFS($AU$134:AU972,$Q$134:Q972,"O")</f>
        <v>-852.93333333318697</v>
      </c>
      <c r="BR971" s="343">
        <f>SUMIFS($AU$134:AU972,$AA$134:AA972,"*")</f>
        <v>17129.475333333259</v>
      </c>
      <c r="BS971" s="343">
        <f>SUMIFS($AU$134:AU972,$AB$134:AB972,"*")</f>
        <v>5010.2666666668902</v>
      </c>
      <c r="BT971" s="343">
        <f>SUMIFS($AU$134:AU972,$AC$134:AC972,"*")</f>
        <v>10983.683333333332</v>
      </c>
      <c r="BU971" s="343">
        <f>SUMIFS($AU$134:AU972,$AA$134:AA972,"*",$AB$134:AB972,"*")</f>
        <v>3538.0000000000045</v>
      </c>
      <c r="BV971" s="343">
        <f>SUMIFS($AU$134:AU972,$AA$134:AA972,"*",$AC$134:AC972,"*")</f>
        <v>9516.7833333333328</v>
      </c>
      <c r="BW971" s="343">
        <f>SUMIFS($AU$134:AU972,$AB$134:AB972,"*",$AC$134:AC972,"*")</f>
        <v>5662.6</v>
      </c>
      <c r="BX971" s="343">
        <f>SUMIFS($AU972:AU$1388,$Q972:Q$1388,"F")</f>
        <v>7922.1333333333323</v>
      </c>
      <c r="BY971" s="343">
        <f>SUMIFS($AU972:AU$1388,$Q972:Q$1388,"S")</f>
        <v>7579.2000000000007</v>
      </c>
      <c r="BZ971" s="343">
        <f>SUMIFS($AU972:AU$1388,$Q972:Q$1388,"O")</f>
        <v>-795.9246666666113</v>
      </c>
    </row>
    <row r="972" spans="1:78" ht="15.75" customHeight="1">
      <c r="A972" s="221" t="s">
        <v>3401</v>
      </c>
      <c r="B972" s="177">
        <v>45163</v>
      </c>
      <c r="C972" s="178" t="s">
        <v>3336</v>
      </c>
      <c r="D972" s="178" t="s">
        <v>111</v>
      </c>
      <c r="E972" s="227"/>
      <c r="F972" s="180"/>
      <c r="G972" s="281" t="s">
        <v>181</v>
      </c>
      <c r="H972" s="182"/>
      <c r="I972" s="182"/>
      <c r="J972" s="182"/>
      <c r="K972" s="183"/>
      <c r="L972" s="182">
        <v>1</v>
      </c>
      <c r="M972" s="182"/>
      <c r="N972" s="182"/>
      <c r="O972" s="183" t="s">
        <v>95</v>
      </c>
      <c r="P972" s="183" t="s">
        <v>96</v>
      </c>
      <c r="Q972" s="183" t="s">
        <v>97</v>
      </c>
      <c r="R972" s="183">
        <v>7</v>
      </c>
      <c r="S972" s="183">
        <v>0</v>
      </c>
      <c r="T972" s="183">
        <v>7</v>
      </c>
      <c r="U972" s="183" t="s">
        <v>97</v>
      </c>
      <c r="V972" s="183"/>
      <c r="W972" s="183"/>
      <c r="X972" s="183"/>
      <c r="Y972" s="184">
        <f>IF(ISBLANK(O972),"",(IF(O972=UPPER("IB"),0.005,0.01)))</f>
        <v>0.01</v>
      </c>
      <c r="Z972" s="185">
        <f t="shared" si="307"/>
        <v>1600</v>
      </c>
      <c r="AA972" s="185" t="s">
        <v>3684</v>
      </c>
      <c r="AB972" s="185"/>
      <c r="AC972" s="185"/>
      <c r="AD972" s="649">
        <v>0</v>
      </c>
      <c r="AE972" s="182"/>
      <c r="AF972" s="332"/>
      <c r="AG972" s="182"/>
      <c r="AH972" s="182"/>
      <c r="AI972" s="182"/>
      <c r="AJ972" s="644" t="s">
        <v>3685</v>
      </c>
      <c r="AK972" s="182"/>
      <c r="AL972" s="496">
        <f>-0.025*Z972</f>
        <v>-40</v>
      </c>
      <c r="AM972" s="496">
        <f>AL972*(R972-S972)</f>
        <v>-280</v>
      </c>
      <c r="AN972" s="626"/>
      <c r="AO972" s="182"/>
      <c r="AP972" s="182" t="s">
        <v>1800</v>
      </c>
      <c r="AQ972" s="332" t="str">
        <f>UPPER(RIGHT(Journal_Live[[#This Row],[DURATION ]]))</f>
        <v>H</v>
      </c>
      <c r="AR972" s="298" t="s">
        <v>3686</v>
      </c>
      <c r="AS972" s="189">
        <v>0</v>
      </c>
      <c r="AT972" s="189">
        <f>IF(ISBLANK(AS972),,IF(U972="S",AD972-AS972,AS972-AD972))</f>
        <v>0</v>
      </c>
      <c r="AU972" s="187">
        <f>AV972*R972</f>
        <v>0</v>
      </c>
      <c r="AV972" s="190">
        <f>IF(ISBLANK(AS972),,(AT972*Z972))</f>
        <v>0</v>
      </c>
      <c r="AW972" s="191" t="s">
        <v>115</v>
      </c>
      <c r="AX972" s="407"/>
      <c r="AY972" s="407"/>
      <c r="AZ972" s="407"/>
      <c r="BA972" s="407"/>
      <c r="BB972" s="407"/>
      <c r="BC972" s="407"/>
      <c r="BD972" s="407"/>
      <c r="BE972" s="407"/>
      <c r="BF972" s="422"/>
      <c r="BG972" s="391">
        <f>SUM($AV$4:AV972)</f>
        <v>4377.3733867880746</v>
      </c>
      <c r="BH972" s="392">
        <f>SUM($AU$134:AU972)</f>
        <v>18653.242000000151</v>
      </c>
      <c r="BI972" s="318">
        <f>SUMIFS($AU$134:AU973,$Q$134:Q973,"F")</f>
        <v>6518.5333333333328</v>
      </c>
      <c r="BJ972" s="318">
        <f>SUMIFS($AU$134:AU973,$Q$134:Q973,"S")</f>
        <v>13092.441999999999</v>
      </c>
      <c r="BK972" s="343">
        <f>SUMIFS($AU$134:AU973,$P$134:P973,"W")</f>
        <v>11123.74199999994</v>
      </c>
      <c r="BL972" s="343">
        <f>SUMIFS($AU$134:AU973,$P$134:P973,"R")</f>
        <v>8228.6733333333359</v>
      </c>
      <c r="BM972" s="343">
        <f>SUMIFS($AU$134:AU973,$AQ$134:AQ973,"M")</f>
        <v>2345.3999999999182</v>
      </c>
      <c r="BN972" s="343">
        <f>SUMIFS($AU$134:AU973,$AQ$134:AQ973,"H")</f>
        <v>5518.1420000000153</v>
      </c>
      <c r="BO972" s="343">
        <f>SUMIFS($AU$134:AU973,$AQ$134:AQ973,"D")</f>
        <v>5632.3466666667146</v>
      </c>
      <c r="BP972" s="343">
        <f>SUMIFS($AU$134:AU975,$AQ$134:AQ975,"W")</f>
        <v>3410.7233333332406</v>
      </c>
      <c r="BQ972" s="343">
        <f>SUMIFS($AU$134:AU973,$Q$134:Q973,"O")</f>
        <v>-852.93333333318697</v>
      </c>
      <c r="BR972" s="343">
        <f>SUMIFS($AU$134:AU973,$AA$134:AA973,"*")</f>
        <v>17129.475333333259</v>
      </c>
      <c r="BS972" s="343">
        <f>SUMIFS($AU$134:AU973,$AB$134:AB973,"*")</f>
        <v>5010.2666666668902</v>
      </c>
      <c r="BT972" s="343">
        <f>SUMIFS($AU$134:AU973,$AC$134:AC973,"*")</f>
        <v>10983.683333333332</v>
      </c>
      <c r="BU972" s="343">
        <f>SUMIFS($AU$134:AU973,$AA$134:AA973,"*",$AB$134:AB973,"*")</f>
        <v>3538.0000000000045</v>
      </c>
      <c r="BV972" s="343">
        <f>SUMIFS($AU$134:AU973,$AA$134:AA973,"*",$AC$134:AC973,"*")</f>
        <v>9516.7833333333328</v>
      </c>
      <c r="BW972" s="343">
        <f>SUMIFS($AU$134:AU973,$AB$134:AB973,"*",$AC$134:AC973,"*")</f>
        <v>5662.6</v>
      </c>
      <c r="BX972" s="343">
        <f>SUMIFS($AU973:AU$1388,$Q973:Q$1388,"F")</f>
        <v>7922.1333333333323</v>
      </c>
      <c r="BY972" s="343">
        <f>SUMIFS($AU973:AU$1388,$Q973:Q$1388,"S")</f>
        <v>7579.2000000000007</v>
      </c>
      <c r="BZ972" s="343">
        <f>SUMIFS($AU973:AU$1388,$Q973:Q$1388,"O")</f>
        <v>-795.9246666666113</v>
      </c>
    </row>
    <row r="973" spans="1:78" ht="15.75" customHeight="1">
      <c r="A973" s="221" t="s">
        <v>3401</v>
      </c>
      <c r="B973" s="177">
        <v>45163</v>
      </c>
      <c r="C973" s="178" t="s">
        <v>3687</v>
      </c>
      <c r="D973" s="178" t="s">
        <v>111</v>
      </c>
      <c r="E973" s="227" t="s">
        <v>3688</v>
      </c>
      <c r="F973" s="180"/>
      <c r="G973" s="181"/>
      <c r="H973" s="182"/>
      <c r="I973" s="182"/>
      <c r="J973" s="182"/>
      <c r="K973" s="183"/>
      <c r="L973" s="182"/>
      <c r="M973" s="182"/>
      <c r="N973" s="182"/>
      <c r="O973" s="183"/>
      <c r="P973" s="183"/>
      <c r="Q973" s="183"/>
      <c r="R973" s="183"/>
      <c r="S973" s="183"/>
      <c r="T973" s="183"/>
      <c r="U973" s="183"/>
      <c r="V973" s="183"/>
      <c r="W973" s="183"/>
      <c r="X973" s="183"/>
      <c r="Y973" s="183"/>
      <c r="Z973" s="185" t="str">
        <f t="shared" si="307"/>
        <v/>
      </c>
      <c r="AA973" s="185"/>
      <c r="AB973" s="185"/>
      <c r="AC973" s="185"/>
      <c r="AD973" s="649"/>
      <c r="AE973" s="182"/>
      <c r="AF973" s="332"/>
      <c r="AG973" s="182"/>
      <c r="AH973" s="182"/>
      <c r="AI973" s="182"/>
      <c r="AJ973" s="640"/>
      <c r="AK973" s="182"/>
      <c r="AL973" s="496"/>
      <c r="AM973" s="496"/>
      <c r="AN973" s="626"/>
      <c r="AO973" s="182"/>
      <c r="AP973" s="182"/>
      <c r="AQ973" s="332" t="str">
        <f>UPPER(RIGHT(Journal_Live[[#This Row],[DURATION ]]))</f>
        <v/>
      </c>
      <c r="AR973" s="182"/>
      <c r="AS973" s="189"/>
      <c r="AT973" s="189"/>
      <c r="AU973" s="187"/>
      <c r="AV973" s="190"/>
      <c r="AW973" s="191"/>
      <c r="AX973" s="407"/>
      <c r="AY973" s="407"/>
      <c r="AZ973" s="407"/>
      <c r="BA973" s="407"/>
      <c r="BB973" s="407"/>
      <c r="BC973" s="407"/>
      <c r="BD973" s="407"/>
      <c r="BE973" s="407"/>
      <c r="BF973" s="422"/>
      <c r="BG973" s="391">
        <f>SUM($AV$4:AV973)</f>
        <v>4377.3733867880746</v>
      </c>
      <c r="BH973" s="392">
        <f>SUM($AU$134:AU973)</f>
        <v>18653.242000000151</v>
      </c>
      <c r="BI973" s="318">
        <f>SUMIFS($AU$134:AU974,$Q$134:Q974,"F")</f>
        <v>6518.5333333333328</v>
      </c>
      <c r="BJ973" s="318">
        <f>SUMIFS($AU$134:AU974,$Q$134:Q974,"S")</f>
        <v>13156.441999999999</v>
      </c>
      <c r="BK973" s="343">
        <f>SUMIFS($AU$134:AU974,$P$134:P974,"W")</f>
        <v>11187.74199999994</v>
      </c>
      <c r="BL973" s="343">
        <f>SUMIFS($AU$134:AU974,$P$134:P974,"R")</f>
        <v>8228.6733333333359</v>
      </c>
      <c r="BM973" s="343">
        <f>SUMIFS($AU$134:AU974,$AQ$134:AQ974,"M")</f>
        <v>2345.3999999999182</v>
      </c>
      <c r="BN973" s="343">
        <f>SUMIFS($AU$134:AU974,$AQ$134:AQ974,"H")</f>
        <v>5518.1420000000153</v>
      </c>
      <c r="BO973" s="343">
        <f>SUMIFS($AU$134:AU974,$AQ$134:AQ974,"D")</f>
        <v>5696.3466666667146</v>
      </c>
      <c r="BP973" s="343">
        <f>SUMIFS($AU$134:AU976,$AQ$134:AQ976,"W")</f>
        <v>3410.7233333332406</v>
      </c>
      <c r="BQ973" s="343">
        <f>SUMIFS($AU$134:AU974,$Q$134:Q974,"O")</f>
        <v>-852.93333333318697</v>
      </c>
      <c r="BR973" s="343">
        <f>SUMIFS($AU$134:AU974,$AA$134:AA974,"*")</f>
        <v>17193.475333333259</v>
      </c>
      <c r="BS973" s="343">
        <f>SUMIFS($AU$134:AU974,$AB$134:AB974,"*")</f>
        <v>5010.2666666668902</v>
      </c>
      <c r="BT973" s="343">
        <f>SUMIFS($AU$134:AU974,$AC$134:AC974,"*")</f>
        <v>10983.683333333332</v>
      </c>
      <c r="BU973" s="343">
        <f>SUMIFS($AU$134:AU974,$AA$134:AA974,"*",$AB$134:AB974,"*")</f>
        <v>3538.0000000000045</v>
      </c>
      <c r="BV973" s="343">
        <f>SUMIFS($AU$134:AU974,$AA$134:AA974,"*",$AC$134:AC974,"*")</f>
        <v>9516.7833333333328</v>
      </c>
      <c r="BW973" s="343">
        <f>SUMIFS($AU$134:AU974,$AB$134:AB974,"*",$AC$134:AC974,"*")</f>
        <v>5662.6</v>
      </c>
      <c r="BX973" s="343">
        <f>SUMIFS($AU974:AU$1388,$Q974:Q$1388,"F")</f>
        <v>7922.1333333333323</v>
      </c>
      <c r="BY973" s="343">
        <f>SUMIFS($AU974:AU$1388,$Q974:Q$1388,"S")</f>
        <v>7579.2000000000007</v>
      </c>
      <c r="BZ973" s="343">
        <f>SUMIFS($AU974:AU$1388,$Q974:Q$1388,"O")</f>
        <v>-795.9246666666113</v>
      </c>
    </row>
    <row r="974" spans="1:78" ht="15.75" customHeight="1">
      <c r="A974" s="221" t="s">
        <v>3401</v>
      </c>
      <c r="B974" s="177">
        <v>45166</v>
      </c>
      <c r="C974" s="178" t="s">
        <v>2126</v>
      </c>
      <c r="D974" s="178" t="s">
        <v>132</v>
      </c>
      <c r="E974" s="227"/>
      <c r="F974" s="180"/>
      <c r="G974" s="281" t="s">
        <v>2145</v>
      </c>
      <c r="H974" s="182"/>
      <c r="I974" s="182"/>
      <c r="J974" s="182"/>
      <c r="K974" s="183"/>
      <c r="L974" s="182">
        <v>1</v>
      </c>
      <c r="M974" s="182"/>
      <c r="N974" s="182"/>
      <c r="O974" s="183" t="s">
        <v>95</v>
      </c>
      <c r="P974" s="183" t="s">
        <v>96</v>
      </c>
      <c r="Q974" s="183" t="s">
        <v>97</v>
      </c>
      <c r="R974" s="183">
        <v>4</v>
      </c>
      <c r="S974" s="183">
        <v>0</v>
      </c>
      <c r="T974" s="183">
        <v>4</v>
      </c>
      <c r="U974" s="183" t="s">
        <v>97</v>
      </c>
      <c r="V974" s="183"/>
      <c r="W974" s="183"/>
      <c r="X974" s="183"/>
      <c r="Y974" s="184">
        <f>IF(ISBLANK(O974),"",(IF(O974=UPPER("IB"),0.005,0.01)))</f>
        <v>0.01</v>
      </c>
      <c r="Z974" s="185">
        <f t="shared" si="307"/>
        <v>1600</v>
      </c>
      <c r="AA974" s="185" t="s">
        <v>99</v>
      </c>
      <c r="AB974" s="185"/>
      <c r="AC974" s="185"/>
      <c r="AD974" s="649">
        <v>7.0000000000000007E-2</v>
      </c>
      <c r="AE974" s="182"/>
      <c r="AF974" s="332"/>
      <c r="AG974" s="182"/>
      <c r="AH974" s="182"/>
      <c r="AI974" s="182"/>
      <c r="AJ974" s="640"/>
      <c r="AK974" s="182"/>
      <c r="AL974" s="496"/>
      <c r="AM974" s="496"/>
      <c r="AN974" s="626"/>
      <c r="AO974" s="182"/>
      <c r="AP974" s="182" t="s">
        <v>804</v>
      </c>
      <c r="AQ974" s="332" t="str">
        <f>UPPER(RIGHT(Journal_Live[[#This Row],[DURATION ]]))</f>
        <v>D</v>
      </c>
      <c r="AR974" s="182" t="s">
        <v>3689</v>
      </c>
      <c r="AS974" s="189">
        <v>0.06</v>
      </c>
      <c r="AT974" s="189">
        <f>IF(ISBLANK(AS974),,IF(U974="S",AD974-AS974,AS974-AD974))</f>
        <v>1.0000000000000009E-2</v>
      </c>
      <c r="AU974" s="187">
        <f>AV974*R974</f>
        <v>64.000000000000057</v>
      </c>
      <c r="AV974" s="190">
        <f>IF(ISBLANK(AS974),,(AT974*Z974))</f>
        <v>16.000000000000014</v>
      </c>
      <c r="AW974" s="191" t="s">
        <v>96</v>
      </c>
      <c r="AX974" s="407" t="s">
        <v>3690</v>
      </c>
      <c r="AY974" s="407"/>
      <c r="AZ974" s="407"/>
      <c r="BA974" s="407"/>
      <c r="BB974" s="407"/>
      <c r="BC974" s="407"/>
      <c r="BD974" s="407"/>
      <c r="BE974" s="407"/>
      <c r="BF974" s="422"/>
      <c r="BG974" s="391">
        <f>SUM($AV$4:AV974)</f>
        <v>4393.3733867880746</v>
      </c>
      <c r="BH974" s="392">
        <f>SUM($AU$134:AU974)</f>
        <v>18717.242000000151</v>
      </c>
      <c r="BI974" s="318">
        <f>SUMIFS($AU$134:AU975,$Q$134:Q975,"F")</f>
        <v>6518.5333333333328</v>
      </c>
      <c r="BJ974" s="318">
        <f>SUMIFS($AU$134:AU975,$Q$134:Q975,"S")</f>
        <v>13156.441999999999</v>
      </c>
      <c r="BK974" s="343">
        <f>SUMIFS($AU$134:AU975,$P$134:P975,"W")</f>
        <v>11187.74199999994</v>
      </c>
      <c r="BL974" s="343">
        <f>SUMIFS($AU$134:AU975,$P$134:P975,"R")</f>
        <v>8228.6733333333359</v>
      </c>
      <c r="BM974" s="343">
        <f>SUMIFS($AU$134:AU975,$AQ$134:AQ975,"M")</f>
        <v>2345.3999999999182</v>
      </c>
      <c r="BN974" s="343">
        <f>SUMIFS($AU$134:AU975,$AQ$134:AQ975,"H")</f>
        <v>5518.1420000000153</v>
      </c>
      <c r="BO974" s="343">
        <f>SUMIFS($AU$134:AU975,$AQ$134:AQ975,"D")</f>
        <v>5696.3466666667146</v>
      </c>
      <c r="BP974" s="343">
        <f>SUMIFS($AU$134:AU977,$AQ$134:AQ977,"W")</f>
        <v>3410.7233333332406</v>
      </c>
      <c r="BQ974" s="343">
        <f>SUMIFS($AU$134:AU975,$Q$134:Q975,"O")</f>
        <v>-852.93333333318697</v>
      </c>
      <c r="BR974" s="343">
        <f>SUMIFS($AU$134:AU975,$AA$134:AA975,"*")</f>
        <v>17193.475333333259</v>
      </c>
      <c r="BS974" s="343">
        <f>SUMIFS($AU$134:AU975,$AB$134:AB975,"*")</f>
        <v>5010.2666666668902</v>
      </c>
      <c r="BT974" s="343">
        <f>SUMIFS($AU$134:AU975,$AC$134:AC975,"*")</f>
        <v>10983.683333333332</v>
      </c>
      <c r="BU974" s="343">
        <f>SUMIFS($AU$134:AU975,$AA$134:AA975,"*",$AB$134:AB975,"*")</f>
        <v>3538.0000000000045</v>
      </c>
      <c r="BV974" s="343">
        <f>SUMIFS($AU$134:AU975,$AA$134:AA975,"*",$AC$134:AC975,"*")</f>
        <v>9516.7833333333328</v>
      </c>
      <c r="BW974" s="343">
        <f>SUMIFS($AU$134:AU975,$AB$134:AB975,"*",$AC$134:AC975,"*")</f>
        <v>5662.6</v>
      </c>
      <c r="BX974" s="343">
        <f>SUMIFS($AU975:AU$1388,$Q975:Q$1388,"F")</f>
        <v>7922.1333333333323</v>
      </c>
      <c r="BY974" s="343">
        <f>SUMIFS($AU975:AU$1388,$Q975:Q$1388,"S")</f>
        <v>7515.2000000000007</v>
      </c>
      <c r="BZ974" s="343">
        <f>SUMIFS($AU975:AU$1388,$Q975:Q$1388,"O")</f>
        <v>-795.9246666666113</v>
      </c>
    </row>
    <row r="975" spans="1:78" ht="15.75" customHeight="1">
      <c r="A975" s="221" t="s">
        <v>3401</v>
      </c>
      <c r="B975" s="177">
        <v>45167</v>
      </c>
      <c r="C975" s="178" t="s">
        <v>2060</v>
      </c>
      <c r="D975" s="178" t="s">
        <v>146</v>
      </c>
      <c r="E975" s="227" t="s">
        <v>3691</v>
      </c>
      <c r="F975" s="180" t="s">
        <v>3692</v>
      </c>
      <c r="G975" s="181"/>
      <c r="H975" s="182"/>
      <c r="I975" s="182"/>
      <c r="J975" s="182">
        <v>1</v>
      </c>
      <c r="K975" s="183" t="s">
        <v>115</v>
      </c>
      <c r="L975" s="182"/>
      <c r="M975" s="182"/>
      <c r="N975" s="182"/>
      <c r="O975" s="183"/>
      <c r="P975" s="183"/>
      <c r="Q975" s="183"/>
      <c r="R975" s="183"/>
      <c r="S975" s="183"/>
      <c r="T975" s="183"/>
      <c r="U975" s="183"/>
      <c r="V975" s="183"/>
      <c r="W975" s="183"/>
      <c r="X975" s="183"/>
      <c r="Y975" s="183"/>
      <c r="Z975" s="185" t="str">
        <f t="shared" si="307"/>
        <v/>
      </c>
      <c r="AA975" s="185"/>
      <c r="AB975" s="185"/>
      <c r="AC975" s="185"/>
      <c r="AD975" s="649"/>
      <c r="AE975" s="182"/>
      <c r="AF975" s="332"/>
      <c r="AG975" s="182"/>
      <c r="AH975" s="182"/>
      <c r="AI975" s="182"/>
      <c r="AJ975" s="640"/>
      <c r="AK975" s="182"/>
      <c r="AL975" s="496"/>
      <c r="AM975" s="496"/>
      <c r="AN975" s="626"/>
      <c r="AO975" s="182"/>
      <c r="AP975" s="182"/>
      <c r="AQ975" s="332" t="str">
        <f>UPPER(RIGHT(Journal_Live[[#This Row],[DURATION ]]))</f>
        <v/>
      </c>
      <c r="AR975" s="182"/>
      <c r="AS975" s="189"/>
      <c r="AT975" s="189"/>
      <c r="AU975" s="187"/>
      <c r="AV975" s="190"/>
      <c r="AW975" s="191"/>
      <c r="AX975" s="407" t="s">
        <v>3693</v>
      </c>
      <c r="AY975" s="407" t="s">
        <v>3694</v>
      </c>
      <c r="AZ975" s="407" t="s">
        <v>3695</v>
      </c>
      <c r="BA975" s="407"/>
      <c r="BB975" s="407"/>
      <c r="BC975" s="407"/>
      <c r="BD975" s="407"/>
      <c r="BE975" s="407"/>
      <c r="BF975" s="422"/>
      <c r="BG975" s="391">
        <f>SUM($AV$4:AV975)</f>
        <v>4393.3733867880746</v>
      </c>
      <c r="BH975" s="392">
        <f>SUM($AU$134:AU975)</f>
        <v>18717.242000000151</v>
      </c>
      <c r="BI975" s="318">
        <f>SUMIFS($AU$134:AU976,$Q$134:Q976,"F")</f>
        <v>6518.5333333333328</v>
      </c>
      <c r="BJ975" s="318">
        <f>SUMIFS($AU$134:AU976,$Q$134:Q976,"S")</f>
        <v>13316.441999999999</v>
      </c>
      <c r="BK975" s="343">
        <f>SUMIFS($AU$134:AU976,$P$134:P976,"W")</f>
        <v>11347.74199999994</v>
      </c>
      <c r="BL975" s="343">
        <f>SUMIFS($AU$134:AU976,$P$134:P976,"R")</f>
        <v>8228.6733333333359</v>
      </c>
      <c r="BM975" s="343">
        <f>SUMIFS($AU$134:AU976,$AQ$134:AQ976,"M")</f>
        <v>2505.3999999999182</v>
      </c>
      <c r="BN975" s="343">
        <f>SUMIFS($AU$134:AU976,$AQ$134:AQ976,"H")</f>
        <v>5518.1420000000153</v>
      </c>
      <c r="BO975" s="343">
        <f>SUMIFS($AU$134:AU976,$AQ$134:AQ976,"D")</f>
        <v>5696.3466666667146</v>
      </c>
      <c r="BP975" s="343">
        <f>SUMIFS($AU$134:AU978,$AQ$134:AQ978,"W")</f>
        <v>3410.7233333332406</v>
      </c>
      <c r="BQ975" s="343">
        <f>SUMIFS($AU$134:AU976,$Q$134:Q976,"O")</f>
        <v>-852.93333333318697</v>
      </c>
      <c r="BR975" s="343">
        <f>SUMIFS($AU$134:AU976,$AA$134:AA976,"*")</f>
        <v>17353.475333333259</v>
      </c>
      <c r="BS975" s="343">
        <f>SUMIFS($AU$134:AU976,$AB$134:AB976,"*")</f>
        <v>5010.2666666668902</v>
      </c>
      <c r="BT975" s="343">
        <f>SUMIFS($AU$134:AU976,$AC$134:AC976,"*")</f>
        <v>10983.683333333332</v>
      </c>
      <c r="BU975" s="343">
        <f>SUMIFS($AU$134:AU976,$AA$134:AA976,"*",$AB$134:AB976,"*")</f>
        <v>3538.0000000000045</v>
      </c>
      <c r="BV975" s="343">
        <f>SUMIFS($AU$134:AU976,$AA$134:AA976,"*",$AC$134:AC976,"*")</f>
        <v>9516.7833333333328</v>
      </c>
      <c r="BW975" s="343">
        <f>SUMIFS($AU$134:AU976,$AB$134:AB976,"*",$AC$134:AC976,"*")</f>
        <v>5662.6</v>
      </c>
      <c r="BX975" s="343">
        <f>SUMIFS($AU976:AU$1388,$Q976:Q$1388,"F")</f>
        <v>7922.1333333333323</v>
      </c>
      <c r="BY975" s="343">
        <f>SUMIFS($AU976:AU$1388,$Q976:Q$1388,"S")</f>
        <v>7515.2000000000007</v>
      </c>
      <c r="BZ975" s="343">
        <f>SUMIFS($AU976:AU$1388,$Q976:Q$1388,"O")</f>
        <v>-795.9246666666113</v>
      </c>
    </row>
    <row r="976" spans="1:78" ht="15.75" customHeight="1">
      <c r="A976" s="221" t="s">
        <v>3401</v>
      </c>
      <c r="B976" s="177">
        <v>45167</v>
      </c>
      <c r="C976" s="178" t="s">
        <v>3696</v>
      </c>
      <c r="D976" s="178" t="s">
        <v>146</v>
      </c>
      <c r="E976" s="227"/>
      <c r="F976" s="180"/>
      <c r="G976" s="281" t="s">
        <v>2145</v>
      </c>
      <c r="H976" s="182"/>
      <c r="I976" s="182"/>
      <c r="J976" s="182"/>
      <c r="K976" s="183"/>
      <c r="L976" s="182">
        <v>1</v>
      </c>
      <c r="M976" s="182"/>
      <c r="N976" s="182"/>
      <c r="O976" s="183" t="s">
        <v>95</v>
      </c>
      <c r="P976" s="183" t="s">
        <v>96</v>
      </c>
      <c r="Q976" s="183" t="s">
        <v>97</v>
      </c>
      <c r="R976" s="183">
        <v>10</v>
      </c>
      <c r="S976" s="183">
        <v>0</v>
      </c>
      <c r="T976" s="183">
        <v>10</v>
      </c>
      <c r="U976" s="183" t="s">
        <v>22</v>
      </c>
      <c r="V976" s="183"/>
      <c r="W976" s="183"/>
      <c r="X976" s="183"/>
      <c r="Y976" s="184">
        <f>IF(ISBLANK(O976),"",(IF(O976=UPPER("IB"),0.005,0.01)))</f>
        <v>0.01</v>
      </c>
      <c r="Z976" s="185">
        <f t="shared" si="307"/>
        <v>1600</v>
      </c>
      <c r="AA976" s="185" t="s">
        <v>3697</v>
      </c>
      <c r="AB976" s="185"/>
      <c r="AC976" s="185"/>
      <c r="AD976" s="649">
        <v>0.04</v>
      </c>
      <c r="AE976" s="182"/>
      <c r="AF976" s="332"/>
      <c r="AG976" s="182"/>
      <c r="AH976" s="182"/>
      <c r="AI976" s="182"/>
      <c r="AJ976" s="640"/>
      <c r="AK976" s="182"/>
      <c r="AL976" s="496"/>
      <c r="AM976" s="496"/>
      <c r="AN976" s="626"/>
      <c r="AO976" s="182"/>
      <c r="AP976" s="182" t="s">
        <v>3143</v>
      </c>
      <c r="AQ976" s="332" t="str">
        <f>UPPER(RIGHT(Journal_Live[[#This Row],[DURATION ]]))</f>
        <v>M</v>
      </c>
      <c r="AR976" s="182" t="s">
        <v>3698</v>
      </c>
      <c r="AS976" s="189">
        <v>0.05</v>
      </c>
      <c r="AT976" s="189">
        <f>IF(ISBLANK(AS976),,IF(U976="S",AD976-AS976,AS976-AD976))</f>
        <v>1.0000000000000002E-2</v>
      </c>
      <c r="AU976" s="187">
        <f>AV976*R976</f>
        <v>160.00000000000003</v>
      </c>
      <c r="AV976" s="190">
        <f>IF(ISBLANK(AS976),,(AT976*Z976))</f>
        <v>16.000000000000004</v>
      </c>
      <c r="AW976" s="191" t="s">
        <v>96</v>
      </c>
      <c r="AX976" s="407" t="s">
        <v>3699</v>
      </c>
      <c r="AY976" s="407"/>
      <c r="AZ976" s="407"/>
      <c r="BA976" s="407"/>
      <c r="BB976" s="407"/>
      <c r="BC976" s="407"/>
      <c r="BD976" s="407"/>
      <c r="BE976" s="407"/>
      <c r="BF976" s="422"/>
      <c r="BG976" s="391">
        <f>SUM($AV$4:AV976)</f>
        <v>4409.3733867880746</v>
      </c>
      <c r="BH976" s="392">
        <f>SUM($AU$134:AU976)</f>
        <v>18877.242000000151</v>
      </c>
      <c r="BI976" s="318">
        <f>SUMIFS($AU$134:AU977,$Q$134:Q977,"F")</f>
        <v>6518.5333333333328</v>
      </c>
      <c r="BJ976" s="318">
        <f>SUMIFS($AU$134:AU977,$Q$134:Q977,"S")</f>
        <v>13316.441999999999</v>
      </c>
      <c r="BK976" s="343">
        <f>SUMIFS($AU$134:AU977,$P$134:P977,"W")</f>
        <v>11347.74199999994</v>
      </c>
      <c r="BL976" s="343">
        <f>SUMIFS($AU$134:AU977,$P$134:P977,"R")</f>
        <v>8228.6733333333359</v>
      </c>
      <c r="BM976" s="343">
        <f>SUMIFS($AU$134:AU977,$AQ$134:AQ977,"M")</f>
        <v>2505.3999999999182</v>
      </c>
      <c r="BN976" s="343">
        <f>SUMIFS($AU$134:AU977,$AQ$134:AQ977,"H")</f>
        <v>5518.1420000000153</v>
      </c>
      <c r="BO976" s="343">
        <f>SUMIFS($AU$134:AU977,$AQ$134:AQ977,"D")</f>
        <v>5696.3466666667146</v>
      </c>
      <c r="BP976" s="343">
        <f>SUMIFS($AU$134:AU979,$AQ$134:AQ979,"W")</f>
        <v>3410.7233333332406</v>
      </c>
      <c r="BQ976" s="343">
        <f>SUMIFS($AU$134:AU977,$Q$134:Q977,"O")</f>
        <v>-852.93333333318697</v>
      </c>
      <c r="BR976" s="343">
        <f>SUMIFS($AU$134:AU977,$AA$134:AA977,"*")</f>
        <v>17353.475333333259</v>
      </c>
      <c r="BS976" s="343">
        <f>SUMIFS($AU$134:AU977,$AB$134:AB977,"*")</f>
        <v>5010.2666666668902</v>
      </c>
      <c r="BT976" s="343">
        <f>SUMIFS($AU$134:AU977,$AC$134:AC977,"*")</f>
        <v>10983.683333333332</v>
      </c>
      <c r="BU976" s="343">
        <f>SUMIFS($AU$134:AU977,$AA$134:AA977,"*",$AB$134:AB977,"*")</f>
        <v>3538.0000000000045</v>
      </c>
      <c r="BV976" s="343">
        <f>SUMIFS($AU$134:AU977,$AA$134:AA977,"*",$AC$134:AC977,"*")</f>
        <v>9516.7833333333328</v>
      </c>
      <c r="BW976" s="343">
        <f>SUMIFS($AU$134:AU977,$AB$134:AB977,"*",$AC$134:AC977,"*")</f>
        <v>5662.6</v>
      </c>
      <c r="BX976" s="343">
        <f>SUMIFS($AU977:AU$1388,$Q977:Q$1388,"F")</f>
        <v>7922.1333333333323</v>
      </c>
      <c r="BY976" s="343">
        <f>SUMIFS($AU977:AU$1388,$Q977:Q$1388,"S")</f>
        <v>7355.2000000000016</v>
      </c>
      <c r="BZ976" s="343">
        <f>SUMIFS($AU977:AU$1388,$Q977:Q$1388,"O")</f>
        <v>-795.9246666666113</v>
      </c>
    </row>
    <row r="977" spans="1:78" ht="15.75" customHeight="1">
      <c r="A977" s="221" t="s">
        <v>3401</v>
      </c>
      <c r="B977" s="177">
        <v>45167</v>
      </c>
      <c r="C977" s="178" t="s">
        <v>3700</v>
      </c>
      <c r="D977" s="178" t="s">
        <v>146</v>
      </c>
      <c r="E977" s="227"/>
      <c r="F977" s="180"/>
      <c r="G977" s="281" t="s">
        <v>3701</v>
      </c>
      <c r="H977" s="182"/>
      <c r="I977" s="182"/>
      <c r="J977" s="182"/>
      <c r="K977" s="183"/>
      <c r="L977" s="182">
        <v>1</v>
      </c>
      <c r="M977" s="182"/>
      <c r="N977" s="182"/>
      <c r="O977" s="183" t="s">
        <v>2432</v>
      </c>
      <c r="P977" s="183" t="s">
        <v>2260</v>
      </c>
      <c r="Q977" s="183" t="s">
        <v>684</v>
      </c>
      <c r="R977" s="183">
        <v>1</v>
      </c>
      <c r="S977" s="183">
        <v>0</v>
      </c>
      <c r="T977" s="183">
        <v>1</v>
      </c>
      <c r="U977" s="183" t="s">
        <v>97</v>
      </c>
      <c r="V977" s="183"/>
      <c r="W977" s="183"/>
      <c r="X977" s="183"/>
      <c r="Y977" s="184">
        <f>IF(ISBLANK(O977),"",(IF(O977=UPPER("IB"),0.005,0.01)))</f>
        <v>0.01</v>
      </c>
      <c r="Z977" s="185">
        <f>IF(ISBLANK(O977),"",IF(O977="IB",8.63*200,IF(O977="IR",16*100,IF(O977="YT",20*100,IF(O977="YT-XT",24*200,IF(O977="TED",80*100,IF(O977="XT",36*200)))))))</f>
        <v>2000</v>
      </c>
      <c r="AA977" s="185" t="s">
        <v>3702</v>
      </c>
      <c r="AB977" s="185"/>
      <c r="AC977" s="185"/>
      <c r="AD977" s="649">
        <v>96.22</v>
      </c>
      <c r="AE977" s="182"/>
      <c r="AF977" s="332"/>
      <c r="AG977" s="182"/>
      <c r="AH977" s="182"/>
      <c r="AI977" s="182"/>
      <c r="AJ977" s="640"/>
      <c r="AK977" s="182"/>
      <c r="AL977" s="496"/>
      <c r="AM977" s="496"/>
      <c r="AN977" s="626"/>
      <c r="AO977" s="182"/>
      <c r="AP977" s="182" t="s">
        <v>964</v>
      </c>
      <c r="AQ977" s="332" t="str">
        <f>UPPER(RIGHT(Journal_Live[[#This Row],[DURATION ]]))</f>
        <v>H</v>
      </c>
      <c r="AR977" s="182" t="s">
        <v>3703</v>
      </c>
      <c r="AS977" s="189">
        <v>96.22</v>
      </c>
      <c r="AT977" s="189">
        <f>IF(ISBLANK(AS977),,IF(U977="S",AD977-AS977,AS977-AD977))</f>
        <v>0</v>
      </c>
      <c r="AU977" s="187">
        <f>AV977*R977</f>
        <v>0</v>
      </c>
      <c r="AV977" s="190">
        <f>IF(ISBLANK(AS977),,(AT977*Z977))</f>
        <v>0</v>
      </c>
      <c r="AW977" s="191" t="s">
        <v>115</v>
      </c>
      <c r="AX977" s="407" t="s">
        <v>3704</v>
      </c>
      <c r="AY977" s="407"/>
      <c r="AZ977" s="407"/>
      <c r="BA977" s="407"/>
      <c r="BB977" s="407"/>
      <c r="BC977" s="407"/>
      <c r="BD977" s="407"/>
      <c r="BE977" s="407"/>
      <c r="BF977" s="422"/>
      <c r="BG977" s="391">
        <f>SUM($AV$4:AV977)</f>
        <v>4409.3733867880746</v>
      </c>
      <c r="BH977" s="392">
        <f>SUM($AU$134:AU977)</f>
        <v>18877.242000000151</v>
      </c>
      <c r="BI977" s="318">
        <f>SUMIFS($AU$134:AU978,$Q$134:Q978,"F")</f>
        <v>6518.5333333333328</v>
      </c>
      <c r="BJ977" s="318">
        <f>SUMIFS($AU$134:AU978,$Q$134:Q978,"S")</f>
        <v>13508.441999999999</v>
      </c>
      <c r="BK977" s="343">
        <f>SUMIFS($AU$134:AU978,$P$134:P978,"W")</f>
        <v>11539.74199999994</v>
      </c>
      <c r="BL977" s="343">
        <f>SUMIFS($AU$134:AU978,$P$134:P978,"R")</f>
        <v>8228.6733333333359</v>
      </c>
      <c r="BM977" s="343">
        <f>SUMIFS($AU$134:AU978,$AQ$134:AQ978,"M")</f>
        <v>2505.3999999999182</v>
      </c>
      <c r="BN977" s="343">
        <f>SUMIFS($AU$134:AU978,$AQ$134:AQ978,"H")</f>
        <v>5710.1420000000153</v>
      </c>
      <c r="BO977" s="343">
        <f>SUMIFS($AU$134:AU978,$AQ$134:AQ978,"D")</f>
        <v>5696.3466666667146</v>
      </c>
      <c r="BP977" s="343">
        <f>SUMIFS($AU$134:AU980,$AQ$134:AQ980,"W")</f>
        <v>3410.7233333332406</v>
      </c>
      <c r="BQ977" s="343">
        <f>SUMIFS($AU$134:AU978,$Q$134:Q978,"O")</f>
        <v>-852.93333333318697</v>
      </c>
      <c r="BR977" s="343">
        <f>SUMIFS($AU$134:AU978,$AA$134:AA978,"*")</f>
        <v>17545.475333333259</v>
      </c>
      <c r="BS977" s="343">
        <f>SUMIFS($AU$134:AU978,$AB$134:AB978,"*")</f>
        <v>5010.2666666668902</v>
      </c>
      <c r="BT977" s="343">
        <f>SUMIFS($AU$134:AU978,$AC$134:AC978,"*")</f>
        <v>10983.683333333332</v>
      </c>
      <c r="BU977" s="343">
        <f>SUMIFS($AU$134:AU978,$AA$134:AA978,"*",$AB$134:AB978,"*")</f>
        <v>3538.0000000000045</v>
      </c>
      <c r="BV977" s="343">
        <f>SUMIFS($AU$134:AU978,$AA$134:AA978,"*",$AC$134:AC978,"*")</f>
        <v>9516.7833333333328</v>
      </c>
      <c r="BW977" s="343">
        <f>SUMIFS($AU$134:AU978,$AB$134:AB978,"*",$AC$134:AC978,"*")</f>
        <v>5662.6</v>
      </c>
      <c r="BX977" s="343">
        <f>SUMIFS($AU978:AU$1388,$Q978:Q$1388,"F")</f>
        <v>7922.1333333333323</v>
      </c>
      <c r="BY977" s="343">
        <f>SUMIFS($AU978:AU$1388,$Q978:Q$1388,"S")</f>
        <v>7355.2000000000016</v>
      </c>
      <c r="BZ977" s="343">
        <f>SUMIFS($AU978:AU$1388,$Q978:Q$1388,"O")</f>
        <v>-795.9246666666113</v>
      </c>
    </row>
    <row r="978" spans="1:78" ht="15.75" customHeight="1">
      <c r="A978" s="221" t="s">
        <v>3401</v>
      </c>
      <c r="B978" s="177">
        <v>45167</v>
      </c>
      <c r="C978" s="178" t="s">
        <v>885</v>
      </c>
      <c r="D978" s="178" t="s">
        <v>146</v>
      </c>
      <c r="E978" s="227"/>
      <c r="F978" s="180"/>
      <c r="G978" s="281" t="s">
        <v>136</v>
      </c>
      <c r="H978" s="182"/>
      <c r="I978" s="182"/>
      <c r="J978" s="182"/>
      <c r="K978" s="183"/>
      <c r="L978" s="182">
        <v>1</v>
      </c>
      <c r="M978" s="182"/>
      <c r="N978" s="182"/>
      <c r="O978" s="183" t="s">
        <v>95</v>
      </c>
      <c r="P978" s="183" t="s">
        <v>96</v>
      </c>
      <c r="Q978" s="183" t="s">
        <v>97</v>
      </c>
      <c r="R978" s="183">
        <v>12</v>
      </c>
      <c r="S978" s="183">
        <v>0</v>
      </c>
      <c r="T978" s="183">
        <v>10</v>
      </c>
      <c r="U978" s="183" t="s">
        <v>22</v>
      </c>
      <c r="V978" s="183"/>
      <c r="W978" s="183"/>
      <c r="X978" s="183"/>
      <c r="Y978" s="184">
        <f>IF(ISBLANK(O978),"",(IF(O978=UPPER("IB"),0.005,0.01)))</f>
        <v>0.01</v>
      </c>
      <c r="Z978" s="185">
        <f>IF(ISBLANK(O978),"",IF(O978="IB",8.63*200,IF(O978="IR",16*100,IF(O978="YT",20*100,IF(O978="YT-XT",24*200,IF(O978="TED",80*100))))))</f>
        <v>1600</v>
      </c>
      <c r="AA978" s="185" t="s">
        <v>99</v>
      </c>
      <c r="AB978" s="185"/>
      <c r="AC978" s="185"/>
      <c r="AD978" s="649">
        <v>-0.09</v>
      </c>
      <c r="AE978" s="182"/>
      <c r="AF978" s="332"/>
      <c r="AG978" s="182"/>
      <c r="AH978" s="182"/>
      <c r="AI978" s="182"/>
      <c r="AJ978" s="640"/>
      <c r="AK978" s="182"/>
      <c r="AL978" s="496"/>
      <c r="AM978" s="496"/>
      <c r="AN978" s="626"/>
      <c r="AO978" s="182"/>
      <c r="AP978" s="182" t="s">
        <v>2214</v>
      </c>
      <c r="AQ978" s="332" t="str">
        <f>UPPER(RIGHT(Journal_Live[[#This Row],[DURATION ]]))</f>
        <v>H</v>
      </c>
      <c r="AR978" s="182" t="s">
        <v>682</v>
      </c>
      <c r="AS978" s="189">
        <v>-0.08</v>
      </c>
      <c r="AT978" s="189">
        <f>IF(ISBLANK(AS978),,IF(U978="S",AD978-AS978,AS978-AD978))</f>
        <v>9.999999999999995E-3</v>
      </c>
      <c r="AU978" s="187">
        <f>AV978*R978</f>
        <v>191.99999999999991</v>
      </c>
      <c r="AV978" s="190">
        <f>IF(ISBLANK(AS978),,(AT978*Z978))</f>
        <v>15.999999999999993</v>
      </c>
      <c r="AW978" s="191" t="s">
        <v>96</v>
      </c>
      <c r="AX978" s="407"/>
      <c r="AY978" s="407"/>
      <c r="AZ978" s="407"/>
      <c r="BA978" s="407"/>
      <c r="BB978" s="407"/>
      <c r="BC978" s="407"/>
      <c r="BD978" s="407"/>
      <c r="BE978" s="407"/>
      <c r="BF978" s="422"/>
      <c r="BG978" s="391">
        <f>SUM($AV$4:AV978)</f>
        <v>4425.3733867880746</v>
      </c>
      <c r="BH978" s="392">
        <f>SUM($AU$134:AU978)</f>
        <v>19069.242000000151</v>
      </c>
      <c r="BI978" s="318">
        <f>SUMIFS($AU$134:AU979,$Q$134:Q979,"F")</f>
        <v>6518.5333333333328</v>
      </c>
      <c r="BJ978" s="318">
        <f>SUMIFS($AU$134:AU979,$Q$134:Q979,"S")</f>
        <v>13668.441999999999</v>
      </c>
      <c r="BK978" s="343">
        <f>SUMIFS($AU$134:AU979,$P$134:P979,"W")</f>
        <v>11699.74199999994</v>
      </c>
      <c r="BL978" s="343">
        <f>SUMIFS($AU$134:AU979,$P$134:P979,"R")</f>
        <v>8228.6733333333359</v>
      </c>
      <c r="BM978" s="343">
        <f>SUMIFS($AU$134:AU979,$AQ$134:AQ979,"M")</f>
        <v>2505.3999999999182</v>
      </c>
      <c r="BN978" s="343">
        <f>SUMIFS($AU$134:AU979,$AQ$134:AQ979,"H")</f>
        <v>5870.1420000000153</v>
      </c>
      <c r="BO978" s="343">
        <f>SUMIFS($AU$134:AU979,$AQ$134:AQ979,"D")</f>
        <v>5696.3466666667146</v>
      </c>
      <c r="BP978" s="343">
        <f>SUMIFS($AU$134:AU981,$AQ$134:AQ981,"W")</f>
        <v>3410.7233333332406</v>
      </c>
      <c r="BQ978" s="343">
        <f>SUMIFS($AU$134:AU979,$Q$134:Q979,"O")</f>
        <v>-852.93333333318697</v>
      </c>
      <c r="BR978" s="343">
        <f>SUMIFS($AU$134:AU979,$AA$134:AA979,"*")</f>
        <v>17705.475333333259</v>
      </c>
      <c r="BS978" s="343">
        <f>SUMIFS($AU$134:AU979,$AB$134:AB979,"*")</f>
        <v>5010.2666666668902</v>
      </c>
      <c r="BT978" s="343">
        <f>SUMIFS($AU$134:AU979,$AC$134:AC979,"*")</f>
        <v>10983.683333333332</v>
      </c>
      <c r="BU978" s="343">
        <f>SUMIFS($AU$134:AU979,$AA$134:AA979,"*",$AB$134:AB979,"*")</f>
        <v>3538.0000000000045</v>
      </c>
      <c r="BV978" s="343">
        <f>SUMIFS($AU$134:AU979,$AA$134:AA979,"*",$AC$134:AC979,"*")</f>
        <v>9516.7833333333328</v>
      </c>
      <c r="BW978" s="343">
        <f>SUMIFS($AU$134:AU979,$AB$134:AB979,"*",$AC$134:AC979,"*")</f>
        <v>5662.6</v>
      </c>
      <c r="BX978" s="343">
        <f>SUMIFS($AU979:AU$1388,$Q979:Q$1388,"F")</f>
        <v>7922.1333333333323</v>
      </c>
      <c r="BY978" s="343">
        <f>SUMIFS($AU979:AU$1388,$Q979:Q$1388,"S")</f>
        <v>7163.2000000000016</v>
      </c>
      <c r="BZ978" s="343">
        <f>SUMIFS($AU979:AU$1388,$Q979:Q$1388,"O")</f>
        <v>-795.9246666666113</v>
      </c>
    </row>
    <row r="979" spans="1:78" ht="15.75" customHeight="1">
      <c r="A979" s="221" t="s">
        <v>3401</v>
      </c>
      <c r="B979" s="177">
        <v>45168</v>
      </c>
      <c r="C979" s="178" t="s">
        <v>3705</v>
      </c>
      <c r="D979" s="178" t="s">
        <v>151</v>
      </c>
      <c r="E979" s="227"/>
      <c r="F979" s="180"/>
      <c r="G979" s="281" t="s">
        <v>2145</v>
      </c>
      <c r="H979" s="182"/>
      <c r="I979" s="182"/>
      <c r="J979" s="182"/>
      <c r="K979" s="183"/>
      <c r="L979" s="182">
        <v>1</v>
      </c>
      <c r="M979" s="182"/>
      <c r="N979" s="182"/>
      <c r="O979" s="183" t="s">
        <v>95</v>
      </c>
      <c r="P979" s="183" t="s">
        <v>96</v>
      </c>
      <c r="Q979" s="183" t="s">
        <v>97</v>
      </c>
      <c r="R979" s="183">
        <v>10</v>
      </c>
      <c r="S979" s="183">
        <v>0</v>
      </c>
      <c r="T979" s="183">
        <v>10</v>
      </c>
      <c r="U979" s="183" t="s">
        <v>22</v>
      </c>
      <c r="V979" s="183"/>
      <c r="W979" s="183"/>
      <c r="X979" s="183"/>
      <c r="Y979" s="184">
        <f>IF(ISBLANK(O979),"",(IF(O979=UPPER("IB"),0.005,0.01)))</f>
        <v>0.01</v>
      </c>
      <c r="Z979" s="185">
        <f>IF(ISBLANK(O979),"",IF(O979="IB",8.63*200,IF(O979="IR",16*100,IF(O979="YT",20*100,IF(O979="YT-XT",24*200,IF(O979="TED",80*100))))))</f>
        <v>1600</v>
      </c>
      <c r="AA979" s="185" t="s">
        <v>99</v>
      </c>
      <c r="AB979" s="185"/>
      <c r="AC979" s="185"/>
      <c r="AD979" s="649">
        <v>0.04</v>
      </c>
      <c r="AE979" s="182"/>
      <c r="AF979" s="332"/>
      <c r="AG979" s="182"/>
      <c r="AH979" s="182"/>
      <c r="AI979" s="182"/>
      <c r="AJ979" s="640"/>
      <c r="AK979" s="182"/>
      <c r="AL979" s="496"/>
      <c r="AM979" s="496"/>
      <c r="AN979" s="626"/>
      <c r="AO979" s="182"/>
      <c r="AP979" s="182" t="s">
        <v>1700</v>
      </c>
      <c r="AQ979" s="332" t="str">
        <f>UPPER(RIGHT(Journal_Live[[#This Row],[DURATION ]]))</f>
        <v>H</v>
      </c>
      <c r="AR979" s="182" t="s">
        <v>682</v>
      </c>
      <c r="AS979" s="189">
        <v>0.05</v>
      </c>
      <c r="AT979" s="189">
        <f>IF(ISBLANK(AS979),,IF(U979="S",AD979-AS979,AS979-AD979))</f>
        <v>1.0000000000000002E-2</v>
      </c>
      <c r="AU979" s="187">
        <f>AV979*R979</f>
        <v>160.00000000000003</v>
      </c>
      <c r="AV979" s="190">
        <f>IF(ISBLANK(AS979),,(AT979*Z979))</f>
        <v>16.000000000000004</v>
      </c>
      <c r="AW979" s="191" t="s">
        <v>96</v>
      </c>
      <c r="AX979" s="407"/>
      <c r="AY979" s="407"/>
      <c r="AZ979" s="407"/>
      <c r="BA979" s="407"/>
      <c r="BB979" s="407"/>
      <c r="BC979" s="407"/>
      <c r="BD979" s="407"/>
      <c r="BE979" s="407"/>
      <c r="BF979" s="422"/>
      <c r="BG979" s="391">
        <f>SUM($AV$4:AV979)</f>
        <v>4441.3733867880746</v>
      </c>
      <c r="BH979" s="392">
        <f>SUM($AU$134:AU979)</f>
        <v>19229.242000000151</v>
      </c>
      <c r="BI979" s="318">
        <f>SUMIFS($AU$134:AU980,$Q$134:Q980,"F")</f>
        <v>6518.5333333333328</v>
      </c>
      <c r="BJ979" s="318">
        <f>SUMIFS($AU$134:AU980,$Q$134:Q980,"S")</f>
        <v>13668.441999999999</v>
      </c>
      <c r="BK979" s="343">
        <f>SUMIFS($AU$134:AU980,$P$134:P980,"W")</f>
        <v>11699.74199999994</v>
      </c>
      <c r="BL979" s="343">
        <f>SUMIFS($AU$134:AU980,$P$134:P980,"R")</f>
        <v>8228.6733333333359</v>
      </c>
      <c r="BM979" s="343">
        <f>SUMIFS($AU$134:AU980,$AQ$134:AQ980,"M")</f>
        <v>2505.3999999999182</v>
      </c>
      <c r="BN979" s="343">
        <f>SUMIFS($AU$134:AU980,$AQ$134:AQ980,"H")</f>
        <v>5870.1420000000153</v>
      </c>
      <c r="BO979" s="343">
        <f>SUMIFS($AU$134:AU980,$AQ$134:AQ980,"D")</f>
        <v>5696.3466666667146</v>
      </c>
      <c r="BP979" s="343">
        <f>SUMIFS($AU$134:AU982,$AQ$134:AQ982,"W")</f>
        <v>3410.7233333332406</v>
      </c>
      <c r="BQ979" s="343">
        <f>SUMIFS($AU$134:AU980,$Q$134:Q980,"O")</f>
        <v>-852.93333333318697</v>
      </c>
      <c r="BR979" s="343">
        <f>SUMIFS($AU$134:AU980,$AA$134:AA980,"*")</f>
        <v>17705.475333333259</v>
      </c>
      <c r="BS979" s="343">
        <f>SUMIFS($AU$134:AU980,$AB$134:AB980,"*")</f>
        <v>5010.2666666668902</v>
      </c>
      <c r="BT979" s="343">
        <f>SUMIFS($AU$134:AU980,$AC$134:AC980,"*")</f>
        <v>10983.683333333332</v>
      </c>
      <c r="BU979" s="343">
        <f>SUMIFS($AU$134:AU980,$AA$134:AA980,"*",$AB$134:AB980,"*")</f>
        <v>3538.0000000000045</v>
      </c>
      <c r="BV979" s="343">
        <f>SUMIFS($AU$134:AU980,$AA$134:AA980,"*",$AC$134:AC980,"*")</f>
        <v>9516.7833333333328</v>
      </c>
      <c r="BW979" s="343">
        <f>SUMIFS($AU$134:AU980,$AB$134:AB980,"*",$AC$134:AC980,"*")</f>
        <v>5662.6</v>
      </c>
      <c r="BX979" s="343">
        <f>SUMIFS($AU980:AU$1388,$Q980:Q$1388,"F")</f>
        <v>7922.1333333333323</v>
      </c>
      <c r="BY979" s="343">
        <f>SUMIFS($AU980:AU$1388,$Q980:Q$1388,"S")</f>
        <v>7003.2000000000025</v>
      </c>
      <c r="BZ979" s="343">
        <f>SUMIFS($AU980:AU$1388,$Q980:Q$1388,"O")</f>
        <v>-795.9246666666113</v>
      </c>
    </row>
    <row r="980" spans="1:78" ht="15.75" customHeight="1">
      <c r="A980" s="221" t="s">
        <v>3401</v>
      </c>
      <c r="B980" s="177">
        <v>45168</v>
      </c>
      <c r="C980" s="178" t="s">
        <v>2020</v>
      </c>
      <c r="D980" s="178" t="s">
        <v>151</v>
      </c>
      <c r="E980" s="227" t="s">
        <v>3706</v>
      </c>
      <c r="F980" s="180" t="s">
        <v>3707</v>
      </c>
      <c r="G980" s="181"/>
      <c r="H980" s="182"/>
      <c r="I980" s="182"/>
      <c r="J980" s="182">
        <v>1</v>
      </c>
      <c r="K980" s="183" t="s">
        <v>115</v>
      </c>
      <c r="L980" s="182"/>
      <c r="M980" s="182"/>
      <c r="N980" s="182"/>
      <c r="O980" s="183"/>
      <c r="P980" s="183"/>
      <c r="Q980" s="183"/>
      <c r="R980" s="183"/>
      <c r="S980" s="183"/>
      <c r="T980" s="183"/>
      <c r="U980" s="183"/>
      <c r="V980" s="183"/>
      <c r="W980" s="183"/>
      <c r="X980" s="183"/>
      <c r="Y980" s="183"/>
      <c r="Z980" s="185" t="str">
        <f>IF(ISBLANK(O980),"",IF(O980="IB",8.63*200,IF(O980="IR",16*100,IF(O980="YT",20*100,IF(O980="YT-XT",24*200,IF(O980="TED",80*100))))))</f>
        <v/>
      </c>
      <c r="AA980" s="185"/>
      <c r="AB980" s="185"/>
      <c r="AC980" s="185"/>
      <c r="AD980" s="649"/>
      <c r="AE980" s="182"/>
      <c r="AF980" s="332"/>
      <c r="AG980" s="182"/>
      <c r="AH980" s="182"/>
      <c r="AI980" s="182"/>
      <c r="AJ980" s="640"/>
      <c r="AK980" s="182"/>
      <c r="AL980" s="496"/>
      <c r="AM980" s="496"/>
      <c r="AN980" s="626"/>
      <c r="AO980" s="182"/>
      <c r="AP980" s="182"/>
      <c r="AQ980" s="332" t="str">
        <f>UPPER(RIGHT(Journal_Live[[#This Row],[DURATION ]]))</f>
        <v/>
      </c>
      <c r="AR980" s="182"/>
      <c r="AS980" s="189"/>
      <c r="AT980" s="189"/>
      <c r="AU980" s="187"/>
      <c r="AV980" s="190"/>
      <c r="AW980" s="191"/>
      <c r="AX980" s="407" t="s">
        <v>3708</v>
      </c>
      <c r="AY980" s="407"/>
      <c r="AZ980" s="407"/>
      <c r="BA980" s="407"/>
      <c r="BB980" s="407"/>
      <c r="BC980" s="407"/>
      <c r="BD980" s="407"/>
      <c r="BE980" s="407"/>
      <c r="BF980" s="422"/>
      <c r="BG980" s="391">
        <f>SUM($AV$4:AV980)</f>
        <v>4441.3733867880746</v>
      </c>
      <c r="BH980" s="392">
        <f>SUM($AU$134:AU980)</f>
        <v>19229.242000000151</v>
      </c>
      <c r="BI980" s="318">
        <f>SUMIFS($AU$134:AU981,$Q$134:Q981,"F")</f>
        <v>6518.5333333333328</v>
      </c>
      <c r="BJ980" s="318">
        <f>SUMIFS($AU$134:AU981,$Q$134:Q981,"S")</f>
        <v>13668.441999999999</v>
      </c>
      <c r="BK980" s="343">
        <f>SUMIFS($AU$134:AU981,$P$134:P981,"W")</f>
        <v>11699.74199999994</v>
      </c>
      <c r="BL980" s="343">
        <f>SUMIFS($AU$134:AU981,$P$134:P981,"R")</f>
        <v>8228.6733333333359</v>
      </c>
      <c r="BM980" s="343">
        <f>SUMIFS($AU$134:AU981,$AQ$134:AQ981,"M")</f>
        <v>2505.3999999999182</v>
      </c>
      <c r="BN980" s="343">
        <f>SUMIFS($AU$134:AU981,$AQ$134:AQ981,"H")</f>
        <v>5870.1420000000153</v>
      </c>
      <c r="BO980" s="343">
        <f>SUMIFS($AU$134:AU981,$AQ$134:AQ981,"D")</f>
        <v>5696.3466666667146</v>
      </c>
      <c r="BP980" s="343">
        <f>SUMIFS($AU$134:AU983,$AQ$134:AQ983,"W")</f>
        <v>3410.7233333332406</v>
      </c>
      <c r="BQ980" s="343">
        <f>SUMIFS($AU$134:AU981,$Q$134:Q981,"O")</f>
        <v>-852.93333333318697</v>
      </c>
      <c r="BR980" s="343">
        <f>SUMIFS($AU$134:AU981,$AA$134:AA981,"*")</f>
        <v>17705.475333333259</v>
      </c>
      <c r="BS980" s="343">
        <f>SUMIFS($AU$134:AU981,$AB$134:AB981,"*")</f>
        <v>5010.2666666668902</v>
      </c>
      <c r="BT980" s="343">
        <f>SUMIFS($AU$134:AU981,$AC$134:AC981,"*")</f>
        <v>10983.683333333332</v>
      </c>
      <c r="BU980" s="343">
        <f>SUMIFS($AU$134:AU981,$AA$134:AA981,"*",$AB$134:AB981,"*")</f>
        <v>3538.0000000000045</v>
      </c>
      <c r="BV980" s="343">
        <f>SUMIFS($AU$134:AU981,$AA$134:AA981,"*",$AC$134:AC981,"*")</f>
        <v>9516.7833333333328</v>
      </c>
      <c r="BW980" s="343">
        <f>SUMIFS($AU$134:AU981,$AB$134:AB981,"*",$AC$134:AC981,"*")</f>
        <v>5662.6</v>
      </c>
      <c r="BX980" s="343">
        <f>SUMIFS($AU981:AU$1388,$Q981:Q$1388,"F")</f>
        <v>7922.1333333333323</v>
      </c>
      <c r="BY980" s="343">
        <f>SUMIFS($AU981:AU$1388,$Q981:Q$1388,"S")</f>
        <v>7003.2000000000025</v>
      </c>
      <c r="BZ980" s="343">
        <f>SUMIFS($AU981:AU$1388,$Q981:Q$1388,"O")</f>
        <v>-795.9246666666113</v>
      </c>
    </row>
    <row r="981" spans="1:78" ht="15.75" customHeight="1">
      <c r="A981" s="221" t="s">
        <v>3401</v>
      </c>
      <c r="B981" s="177">
        <v>45168</v>
      </c>
      <c r="C981" s="178" t="s">
        <v>3584</v>
      </c>
      <c r="D981" s="178" t="s">
        <v>151</v>
      </c>
      <c r="E981" s="227"/>
      <c r="F981" s="180"/>
      <c r="G981" s="281" t="s">
        <v>2070</v>
      </c>
      <c r="H981" s="182"/>
      <c r="I981" s="182"/>
      <c r="J981" s="182"/>
      <c r="K981" s="183"/>
      <c r="L981" s="182">
        <v>1</v>
      </c>
      <c r="M981" s="182"/>
      <c r="N981" s="182"/>
      <c r="O981" s="183" t="s">
        <v>95</v>
      </c>
      <c r="P981" s="183" t="s">
        <v>137</v>
      </c>
      <c r="Q981" s="183" t="s">
        <v>97</v>
      </c>
      <c r="R981" s="183">
        <v>6</v>
      </c>
      <c r="S981" s="183">
        <v>0</v>
      </c>
      <c r="T981" s="183">
        <v>6</v>
      </c>
      <c r="U981" s="183" t="s">
        <v>97</v>
      </c>
      <c r="V981" s="183"/>
      <c r="W981" s="183"/>
      <c r="X981" s="183"/>
      <c r="Y981" s="184">
        <f>IF(ISBLANK(O981),"",(IF(O981=UPPER("IB"),0.005,0.01)))</f>
        <v>0.01</v>
      </c>
      <c r="Z981" s="185">
        <f>IF(ISBLANK(O981),"",IF(O981="IB",8.63*200,IF(O981="IR",16*100,IF(O981="YT",20*100,IF(O981="YT-XT",24*200,IF(O981="TED",80*100))))))</f>
        <v>1600</v>
      </c>
      <c r="AA981" s="185" t="s">
        <v>99</v>
      </c>
      <c r="AB981" s="185"/>
      <c r="AC981" s="185"/>
      <c r="AD981" s="649">
        <v>-0.1</v>
      </c>
      <c r="AE981" s="182"/>
      <c r="AF981" s="332"/>
      <c r="AG981" s="182"/>
      <c r="AH981" s="182"/>
      <c r="AI981" s="182"/>
      <c r="AJ981" s="640"/>
      <c r="AK981" s="182"/>
      <c r="AL981" s="496">
        <f>-0.02*Z981</f>
        <v>-32</v>
      </c>
      <c r="AM981" s="496">
        <f>AL981*(R981-S981)</f>
        <v>-192</v>
      </c>
      <c r="AN981" s="626"/>
      <c r="AO981" s="182"/>
      <c r="AP981" s="182" t="s">
        <v>1987</v>
      </c>
      <c r="AQ981" s="332" t="str">
        <f>UPPER(RIGHT(Journal_Live[[#This Row],[DURATION ]]))</f>
        <v>H</v>
      </c>
      <c r="AR981" s="298" t="s">
        <v>3709</v>
      </c>
      <c r="AS981" s="189">
        <v>-0.1</v>
      </c>
      <c r="AT981" s="189">
        <f>IF(ISBLANK(AS981),,IF(U981="S",AD981-AS981,AS981-AD981))</f>
        <v>0</v>
      </c>
      <c r="AU981" s="187">
        <f>AV981*R981</f>
        <v>0</v>
      </c>
      <c r="AV981" s="190">
        <f>IF(ISBLANK(AS981),,(AT981*Z981))</f>
        <v>0</v>
      </c>
      <c r="AW981" s="191" t="s">
        <v>115</v>
      </c>
      <c r="AX981" s="407" t="s">
        <v>3710</v>
      </c>
      <c r="AY981" s="407" t="s">
        <v>3711</v>
      </c>
      <c r="AZ981" s="407" t="s">
        <v>3712</v>
      </c>
      <c r="BA981" s="407" t="s">
        <v>3713</v>
      </c>
      <c r="BB981" s="407"/>
      <c r="BC981" s="407"/>
      <c r="BD981" s="407"/>
      <c r="BE981" s="407"/>
      <c r="BF981" s="422"/>
      <c r="BG981" s="391">
        <f>SUM($AV$4:AV981)</f>
        <v>4441.3733867880746</v>
      </c>
      <c r="BH981" s="392">
        <f>SUM($AU$134:AU981)</f>
        <v>19229.242000000151</v>
      </c>
      <c r="BI981" s="318">
        <f>SUMIFS($AU$134:AU982,$Q$134:Q982,"F")</f>
        <v>6518.5333333333328</v>
      </c>
      <c r="BJ981" s="318">
        <f>SUMIFS($AU$134:AU982,$Q$134:Q982,"S")</f>
        <v>13668.441999999999</v>
      </c>
      <c r="BK981" s="343">
        <f>SUMIFS($AU$134:AU982,$P$134:P982,"W")</f>
        <v>11699.74199999994</v>
      </c>
      <c r="BL981" s="343">
        <f>SUMIFS($AU$134:AU982,$P$134:P982,"R")</f>
        <v>8228.6733333333359</v>
      </c>
      <c r="BM981" s="343">
        <f>SUMIFS($AU$134:AU982,$AQ$134:AQ982,"M")</f>
        <v>2505.3999999999182</v>
      </c>
      <c r="BN981" s="343">
        <f>SUMIFS($AU$134:AU982,$AQ$134:AQ982,"H")</f>
        <v>5870.1420000000153</v>
      </c>
      <c r="BO981" s="343">
        <f>SUMIFS($AU$134:AU982,$AQ$134:AQ982,"D")</f>
        <v>5696.3466666667146</v>
      </c>
      <c r="BP981" s="343">
        <f>SUMIFS($AU$134:AU984,$AQ$134:AQ984,"W")</f>
        <v>3410.7233333332406</v>
      </c>
      <c r="BQ981" s="343">
        <f>SUMIFS($AU$134:AU982,$Q$134:Q982,"O")</f>
        <v>-852.93333333318697</v>
      </c>
      <c r="BR981" s="343">
        <f>SUMIFS($AU$134:AU982,$AA$134:AA982,"*")</f>
        <v>17705.475333333259</v>
      </c>
      <c r="BS981" s="343">
        <f>SUMIFS($AU$134:AU982,$AB$134:AB982,"*")</f>
        <v>5010.2666666668902</v>
      </c>
      <c r="BT981" s="343">
        <f>SUMIFS($AU$134:AU982,$AC$134:AC982,"*")</f>
        <v>10983.683333333332</v>
      </c>
      <c r="BU981" s="343">
        <f>SUMIFS($AU$134:AU982,$AA$134:AA982,"*",$AB$134:AB982,"*")</f>
        <v>3538.0000000000045</v>
      </c>
      <c r="BV981" s="343">
        <f>SUMIFS($AU$134:AU982,$AA$134:AA982,"*",$AC$134:AC982,"*")</f>
        <v>9516.7833333333328</v>
      </c>
      <c r="BW981" s="343">
        <f>SUMIFS($AU$134:AU982,$AB$134:AB982,"*",$AC$134:AC982,"*")</f>
        <v>5662.6</v>
      </c>
      <c r="BX981" s="343">
        <f>SUMIFS($AU982:AU$1388,$Q982:Q$1388,"F")</f>
        <v>7922.1333333333323</v>
      </c>
      <c r="BY981" s="343">
        <f>SUMIFS($AU982:AU$1388,$Q982:Q$1388,"S")</f>
        <v>7003.2000000000025</v>
      </c>
      <c r="BZ981" s="343">
        <f>SUMIFS($AU982:AU$1388,$Q982:Q$1388,"O")</f>
        <v>-795.9246666666113</v>
      </c>
    </row>
    <row r="982" spans="1:78" ht="15.75" customHeight="1">
      <c r="A982" s="221" t="s">
        <v>3401</v>
      </c>
      <c r="B982" s="177">
        <v>45168</v>
      </c>
      <c r="C982" s="178" t="s">
        <v>3159</v>
      </c>
      <c r="D982" s="178" t="s">
        <v>151</v>
      </c>
      <c r="E982" s="227"/>
      <c r="F982" s="180"/>
      <c r="G982" s="181" t="s">
        <v>3485</v>
      </c>
      <c r="H982" s="182"/>
      <c r="I982" s="182"/>
      <c r="J982" s="182"/>
      <c r="K982" s="183"/>
      <c r="L982" s="182"/>
      <c r="M982" s="182"/>
      <c r="N982" s="182"/>
      <c r="O982" s="183"/>
      <c r="P982" s="183"/>
      <c r="Q982" s="183"/>
      <c r="R982" s="183"/>
      <c r="S982" s="183"/>
      <c r="T982" s="183"/>
      <c r="U982" s="183"/>
      <c r="V982" s="183"/>
      <c r="W982" s="183"/>
      <c r="X982" s="183"/>
      <c r="Y982" s="184"/>
      <c r="Z982" s="185"/>
      <c r="AA982" s="185"/>
      <c r="AB982" s="185"/>
      <c r="AC982" s="185"/>
      <c r="AD982" s="649"/>
      <c r="AE982" s="182"/>
      <c r="AF982" s="332"/>
      <c r="AG982" s="182"/>
      <c r="AH982" s="182">
        <v>-3</v>
      </c>
      <c r="AI982" s="182"/>
      <c r="AJ982" s="640"/>
      <c r="AK982" s="182"/>
      <c r="AL982" s="496"/>
      <c r="AM982" s="496"/>
      <c r="AN982" s="626"/>
      <c r="AO982" s="182"/>
      <c r="AP982" s="182"/>
      <c r="AQ982" s="332" t="str">
        <f>UPPER(RIGHT(Journal_Live[[#This Row],[DURATION ]]))</f>
        <v/>
      </c>
      <c r="AR982" s="182"/>
      <c r="AS982" s="189"/>
      <c r="AT982" s="189">
        <f>IF(ISBLANK(AS982),,IF(U982="S",AD982-AS982,AS982-AD982))</f>
        <v>0</v>
      </c>
      <c r="AU982" s="187">
        <f>AV982*R982</f>
        <v>0</v>
      </c>
      <c r="AV982" s="190">
        <f>IF(ISBLANK(AS982),,(AT982*Z982))</f>
        <v>0</v>
      </c>
      <c r="AW982" s="191"/>
      <c r="AX982" s="407" t="s">
        <v>3714</v>
      </c>
      <c r="AY982" s="407"/>
      <c r="AZ982" s="407"/>
      <c r="BA982" s="407"/>
      <c r="BB982" s="407"/>
      <c r="BC982" s="407"/>
      <c r="BD982" s="407"/>
      <c r="BE982" s="407"/>
      <c r="BF982" s="422"/>
      <c r="BG982" s="391">
        <f>SUM($AV$4:AV982)</f>
        <v>4441.3733867880746</v>
      </c>
      <c r="BH982" s="392">
        <f>SUM($AU$134:AU982)</f>
        <v>19229.242000000151</v>
      </c>
      <c r="BI982" s="318">
        <f>SUMIFS($AU$134:AU983,$Q$134:Q983,"F")</f>
        <v>6518.5333333333328</v>
      </c>
      <c r="BJ982" s="318">
        <f>SUMIFS($AU$134:AU983,$Q$134:Q983,"S")</f>
        <v>13668.441999999999</v>
      </c>
      <c r="BK982" s="343">
        <f>SUMIFS($AU$134:AU983,$P$134:P983,"W")</f>
        <v>11699.74199999994</v>
      </c>
      <c r="BL982" s="343">
        <f>SUMIFS($AU$134:AU983,$P$134:P983,"R")</f>
        <v>8228.6733333333359</v>
      </c>
      <c r="BM982" s="343">
        <f>SUMIFS($AU$134:AU983,$AQ$134:AQ983,"M")</f>
        <v>2505.3999999999182</v>
      </c>
      <c r="BN982" s="343">
        <f>SUMIFS($AU$134:AU983,$AQ$134:AQ983,"H")</f>
        <v>5870.1420000000153</v>
      </c>
      <c r="BO982" s="343">
        <f>SUMIFS($AU$134:AU983,$AQ$134:AQ983,"D")</f>
        <v>5696.3466666667146</v>
      </c>
      <c r="BP982" s="343">
        <f>SUMIFS($AU$134:AU985,$AQ$134:AQ985,"W")</f>
        <v>3410.7233333332406</v>
      </c>
      <c r="BQ982" s="343">
        <f>SUMIFS($AU$134:AU983,$Q$134:Q983,"O")</f>
        <v>-852.93333333318697</v>
      </c>
      <c r="BR982" s="343">
        <f>SUMIFS($AU$134:AU983,$AA$134:AA983,"*")</f>
        <v>17705.475333333259</v>
      </c>
      <c r="BS982" s="343">
        <f>SUMIFS($AU$134:AU983,$AB$134:AB983,"*")</f>
        <v>5010.2666666668902</v>
      </c>
      <c r="BT982" s="343">
        <f>SUMIFS($AU$134:AU983,$AC$134:AC983,"*")</f>
        <v>10983.683333333332</v>
      </c>
      <c r="BU982" s="343">
        <f>SUMIFS($AU$134:AU983,$AA$134:AA983,"*",$AB$134:AB983,"*")</f>
        <v>3538.0000000000045</v>
      </c>
      <c r="BV982" s="343">
        <f>SUMIFS($AU$134:AU983,$AA$134:AA983,"*",$AC$134:AC983,"*")</f>
        <v>9516.7833333333328</v>
      </c>
      <c r="BW982" s="343">
        <f>SUMIFS($AU$134:AU983,$AB$134:AB983,"*",$AC$134:AC983,"*")</f>
        <v>5662.6</v>
      </c>
      <c r="BX982" s="343">
        <f>SUMIFS($AU983:AU$1388,$Q983:Q$1388,"F")</f>
        <v>7922.1333333333323</v>
      </c>
      <c r="BY982" s="343">
        <f>SUMIFS($AU983:AU$1388,$Q983:Q$1388,"S")</f>
        <v>7003.2000000000025</v>
      </c>
      <c r="BZ982" s="343">
        <f>SUMIFS($AU983:AU$1388,$Q983:Q$1388,"O")</f>
        <v>-795.9246666666113</v>
      </c>
    </row>
    <row r="983" spans="1:78" ht="15.75" customHeight="1">
      <c r="A983" s="221" t="s">
        <v>3401</v>
      </c>
      <c r="B983" s="177">
        <v>45168</v>
      </c>
      <c r="C983" s="178" t="s">
        <v>311</v>
      </c>
      <c r="D983" s="178" t="s">
        <v>151</v>
      </c>
      <c r="E983" s="227" t="s">
        <v>3715</v>
      </c>
      <c r="F983" s="180"/>
      <c r="G983" s="181"/>
      <c r="H983" s="182"/>
      <c r="I983" s="182"/>
      <c r="J983" s="182">
        <v>1</v>
      </c>
      <c r="K983" s="183" t="s">
        <v>115</v>
      </c>
      <c r="L983" s="182"/>
      <c r="M983" s="182"/>
      <c r="N983" s="182"/>
      <c r="O983" s="183"/>
      <c r="P983" s="183"/>
      <c r="Q983" s="183"/>
      <c r="R983" s="183"/>
      <c r="S983" s="183"/>
      <c r="T983" s="183"/>
      <c r="U983" s="183"/>
      <c r="V983" s="183"/>
      <c r="W983" s="183"/>
      <c r="X983" s="183"/>
      <c r="Y983" s="183"/>
      <c r="Z983" s="185" t="str">
        <f>IF(ISBLANK(O983),"",IF(O983="IB",8.63*200,IF(O983="IR",16*100,IF(O983="YT",20*100,IF(O983="YT-XT",24*200,IF(O983="TED",80*100))))))</f>
        <v/>
      </c>
      <c r="AA983" s="185"/>
      <c r="AB983" s="185"/>
      <c r="AC983" s="185"/>
      <c r="AD983" s="649"/>
      <c r="AE983" s="182"/>
      <c r="AF983" s="332"/>
      <c r="AG983" s="182"/>
      <c r="AH983" s="182"/>
      <c r="AI983" s="182"/>
      <c r="AJ983" s="640"/>
      <c r="AK983" s="182"/>
      <c r="AL983" s="496"/>
      <c r="AM983" s="496"/>
      <c r="AN983" s="626"/>
      <c r="AO983" s="182"/>
      <c r="AP983" s="182"/>
      <c r="AQ983" s="332" t="str">
        <f>UPPER(RIGHT(Journal_Live[[#This Row],[DURATION ]]))</f>
        <v/>
      </c>
      <c r="AR983" s="182"/>
      <c r="AS983" s="189"/>
      <c r="AT983" s="189"/>
      <c r="AU983" s="187"/>
      <c r="AV983" s="190"/>
      <c r="AW983" s="191"/>
      <c r="AX983" s="407"/>
      <c r="AY983" s="407"/>
      <c r="AZ983" s="407"/>
      <c r="BA983" s="407"/>
      <c r="BB983" s="407"/>
      <c r="BC983" s="407"/>
      <c r="BD983" s="407"/>
      <c r="BE983" s="407"/>
      <c r="BF983" s="422"/>
      <c r="BG983" s="391">
        <f>SUM($AV$4:AV983)</f>
        <v>4441.3733867880746</v>
      </c>
      <c r="BH983" s="392">
        <f>SUM($AU$134:AU983)</f>
        <v>19229.242000000151</v>
      </c>
      <c r="BI983" s="318">
        <f>SUMIFS($AU$134:AU984,$Q$134:Q984,"F")</f>
        <v>6518.5333333333328</v>
      </c>
      <c r="BJ983" s="318">
        <f>SUMIFS($AU$134:AU984,$Q$134:Q984,"S")</f>
        <v>13668.441999999999</v>
      </c>
      <c r="BK983" s="343">
        <f>SUMIFS($AU$134:AU984,$P$134:P984,"W")</f>
        <v>11699.74199999994</v>
      </c>
      <c r="BL983" s="343">
        <f>SUMIFS($AU$134:AU984,$P$134:P984,"R")</f>
        <v>8228.6733333333359</v>
      </c>
      <c r="BM983" s="343">
        <f>SUMIFS($AU$134:AU984,$AQ$134:AQ984,"M")</f>
        <v>2505.3999999999182</v>
      </c>
      <c r="BN983" s="343">
        <f>SUMIFS($AU$134:AU984,$AQ$134:AQ984,"H")</f>
        <v>5870.1420000000153</v>
      </c>
      <c r="BO983" s="343">
        <f>SUMIFS($AU$134:AU984,$AQ$134:AQ984,"D")</f>
        <v>5696.3466666667146</v>
      </c>
      <c r="BP983" s="343">
        <f>SUMIFS($AU$134:AU986,$AQ$134:AQ986,"W")</f>
        <v>3410.7233333332406</v>
      </c>
      <c r="BQ983" s="343">
        <f>SUMIFS($AU$134:AU984,$Q$134:Q984,"O")</f>
        <v>-852.93333333318697</v>
      </c>
      <c r="BR983" s="343">
        <f>SUMIFS($AU$134:AU984,$AA$134:AA984,"*")</f>
        <v>17705.475333333259</v>
      </c>
      <c r="BS983" s="343">
        <f>SUMIFS($AU$134:AU984,$AB$134:AB984,"*")</f>
        <v>5010.2666666668902</v>
      </c>
      <c r="BT983" s="343">
        <f>SUMIFS($AU$134:AU984,$AC$134:AC984,"*")</f>
        <v>10983.683333333332</v>
      </c>
      <c r="BU983" s="343">
        <f>SUMIFS($AU$134:AU984,$AA$134:AA984,"*",$AB$134:AB984,"*")</f>
        <v>3538.0000000000045</v>
      </c>
      <c r="BV983" s="343">
        <f>SUMIFS($AU$134:AU984,$AA$134:AA984,"*",$AC$134:AC984,"*")</f>
        <v>9516.7833333333328</v>
      </c>
      <c r="BW983" s="343">
        <f>SUMIFS($AU$134:AU984,$AB$134:AB984,"*",$AC$134:AC984,"*")</f>
        <v>5662.6</v>
      </c>
      <c r="BX983" s="343">
        <f>SUMIFS($AU984:AU$1388,$Q984:Q$1388,"F")</f>
        <v>7922.1333333333323</v>
      </c>
      <c r="BY983" s="343">
        <f>SUMIFS($AU984:AU$1388,$Q984:Q$1388,"S")</f>
        <v>7003.2000000000025</v>
      </c>
      <c r="BZ983" s="343">
        <f>SUMIFS($AU984:AU$1388,$Q984:Q$1388,"O")</f>
        <v>-795.9246666666113</v>
      </c>
    </row>
    <row r="984" spans="1:78" ht="15.75" customHeight="1">
      <c r="A984" s="221" t="s">
        <v>3401</v>
      </c>
      <c r="B984" s="177">
        <v>45168</v>
      </c>
      <c r="C984" s="178" t="s">
        <v>1728</v>
      </c>
      <c r="D984" s="178" t="s">
        <v>151</v>
      </c>
      <c r="E984" s="227" t="s">
        <v>3716</v>
      </c>
      <c r="F984" s="180" t="s">
        <v>3717</v>
      </c>
      <c r="G984" s="181"/>
      <c r="H984" s="182"/>
      <c r="I984" s="182"/>
      <c r="J984" s="182">
        <v>1</v>
      </c>
      <c r="K984" s="183" t="s">
        <v>115</v>
      </c>
      <c r="L984" s="182"/>
      <c r="M984" s="182"/>
      <c r="N984" s="182"/>
      <c r="O984" s="183"/>
      <c r="P984" s="183"/>
      <c r="Q984" s="183"/>
      <c r="R984" s="183"/>
      <c r="S984" s="183"/>
      <c r="T984" s="183"/>
      <c r="U984" s="183"/>
      <c r="V984" s="183"/>
      <c r="W984" s="183"/>
      <c r="X984" s="183"/>
      <c r="Y984" s="183"/>
      <c r="Z984" s="185" t="str">
        <f>IF(ISBLANK(O984),"",IF(O984="IB",8.63*200,IF(O984="IR",16*100,IF(O984="YT",20*100,IF(O984="YT-XT",24*200,IF(O984="TED",80*100))))))</f>
        <v/>
      </c>
      <c r="AA984" s="185"/>
      <c r="AB984" s="185"/>
      <c r="AC984" s="185"/>
      <c r="AD984" s="649"/>
      <c r="AE984" s="182"/>
      <c r="AF984" s="332"/>
      <c r="AG984" s="182"/>
      <c r="AH984" s="182"/>
      <c r="AI984" s="182"/>
      <c r="AJ984" s="640"/>
      <c r="AK984" s="182"/>
      <c r="AL984" s="496"/>
      <c r="AM984" s="496"/>
      <c r="AN984" s="626"/>
      <c r="AO984" s="182"/>
      <c r="AP984" s="182"/>
      <c r="AQ984" s="332" t="str">
        <f>UPPER(RIGHT(Journal_Live[[#This Row],[DURATION ]]))</f>
        <v/>
      </c>
      <c r="AR984" s="182"/>
      <c r="AS984" s="189"/>
      <c r="AT984" s="189"/>
      <c r="AU984" s="187"/>
      <c r="AV984" s="190"/>
      <c r="AW984" s="191"/>
      <c r="AX984" s="407"/>
      <c r="AY984" s="407"/>
      <c r="AZ984" s="407"/>
      <c r="BA984" s="407"/>
      <c r="BB984" s="407"/>
      <c r="BC984" s="407"/>
      <c r="BD984" s="407"/>
      <c r="BE984" s="407"/>
      <c r="BF984" s="422"/>
      <c r="BG984" s="391">
        <f>SUM($AV$4:AV984)</f>
        <v>4441.3733867880746</v>
      </c>
      <c r="BH984" s="392">
        <f>SUM($AU$134:AU984)</f>
        <v>19229.242000000151</v>
      </c>
      <c r="BI984" s="318">
        <f>SUMIFS($AU$134:AU985,$Q$134:Q985,"F")</f>
        <v>7174.5333333333328</v>
      </c>
      <c r="BJ984" s="318">
        <f>SUMIFS($AU$134:AU985,$Q$134:Q985,"S")</f>
        <v>13668.441999999999</v>
      </c>
      <c r="BK984" s="343">
        <f>SUMIFS($AU$134:AU985,$P$134:P985,"W")</f>
        <v>12355.74199999994</v>
      </c>
      <c r="BL984" s="343">
        <f>SUMIFS($AU$134:AU985,$P$134:P985,"R")</f>
        <v>8228.6733333333359</v>
      </c>
      <c r="BM984" s="343">
        <f>SUMIFS($AU$134:AU985,$AQ$134:AQ985,"M")</f>
        <v>2505.3999999999182</v>
      </c>
      <c r="BN984" s="343">
        <f>SUMIFS($AU$134:AU985,$AQ$134:AQ985,"H")</f>
        <v>5870.1420000000153</v>
      </c>
      <c r="BO984" s="343">
        <f>SUMIFS($AU$134:AU985,$AQ$134:AQ985,"D")</f>
        <v>6352.3466666667146</v>
      </c>
      <c r="BP984" s="343">
        <f>SUMIFS($AU$134:AU987,$AQ$134:AQ987,"W")</f>
        <v>3410.7233333332406</v>
      </c>
      <c r="BQ984" s="343">
        <f>SUMIFS($AU$134:AU985,$Q$134:Q985,"O")</f>
        <v>-852.93333333318697</v>
      </c>
      <c r="BR984" s="343">
        <f>SUMIFS($AU$134:AU985,$AA$134:AA985,"*")</f>
        <v>18361.475333333259</v>
      </c>
      <c r="BS984" s="343">
        <f>SUMIFS($AU$134:AU985,$AB$134:AB985,"*")</f>
        <v>5010.2666666668902</v>
      </c>
      <c r="BT984" s="343">
        <f>SUMIFS($AU$134:AU985,$AC$134:AC985,"*")</f>
        <v>11639.683333333332</v>
      </c>
      <c r="BU984" s="343">
        <f>SUMIFS($AU$134:AU985,$AA$134:AA985,"*",$AB$134:AB985,"*")</f>
        <v>3538.0000000000045</v>
      </c>
      <c r="BV984" s="343">
        <f>SUMIFS($AU$134:AU985,$AA$134:AA985,"*",$AC$134:AC985,"*")</f>
        <v>10172.783333333333</v>
      </c>
      <c r="BW984" s="343">
        <f>SUMIFS($AU$134:AU985,$AB$134:AB985,"*",$AC$134:AC985,"*")</f>
        <v>5662.6</v>
      </c>
      <c r="BX984" s="343">
        <f>SUMIFS($AU985:AU$1388,$Q985:Q$1388,"F")</f>
        <v>7922.1333333333323</v>
      </c>
      <c r="BY984" s="343">
        <f>SUMIFS($AU985:AU$1388,$Q985:Q$1388,"S")</f>
        <v>7003.2000000000025</v>
      </c>
      <c r="BZ984" s="343">
        <f>SUMIFS($AU985:AU$1388,$Q985:Q$1388,"O")</f>
        <v>-795.9246666666113</v>
      </c>
    </row>
    <row r="985" spans="1:78" ht="15.75" customHeight="1">
      <c r="A985" s="221" t="s">
        <v>3401</v>
      </c>
      <c r="B985" s="177">
        <v>45169</v>
      </c>
      <c r="C985" s="178" t="s">
        <v>3718</v>
      </c>
      <c r="D985" s="178" t="s">
        <v>93</v>
      </c>
      <c r="E985" s="227"/>
      <c r="F985" s="180"/>
      <c r="G985" s="281" t="s">
        <v>3719</v>
      </c>
      <c r="H985" s="182"/>
      <c r="I985" s="182"/>
      <c r="J985" s="182"/>
      <c r="K985" s="183"/>
      <c r="L985" s="182">
        <v>2</v>
      </c>
      <c r="M985" s="182"/>
      <c r="N985" s="182"/>
      <c r="O985" s="183" t="s">
        <v>95</v>
      </c>
      <c r="P985" s="183" t="s">
        <v>96</v>
      </c>
      <c r="Q985" s="183" t="s">
        <v>256</v>
      </c>
      <c r="R985" s="183">
        <v>12</v>
      </c>
      <c r="S985" s="183">
        <v>5</v>
      </c>
      <c r="T985" s="183">
        <v>5</v>
      </c>
      <c r="U985" s="183" t="s">
        <v>22</v>
      </c>
      <c r="V985" s="183"/>
      <c r="W985" s="183"/>
      <c r="X985" s="183"/>
      <c r="Y985" s="184">
        <f>IF(ISBLANK(O985),"",(IF(O985=UPPER("IB"),0.005,0.01)))</f>
        <v>0.01</v>
      </c>
      <c r="Z985" s="185">
        <f>IF(ISBLANK(O985),"",IF(O985="IB",8.63*200,IF(O985="IR",16*100,IF(O985="YT",20*100,IF(O985="YT-XT",24*200,IF(O985="TED",80*100))))))</f>
        <v>1600</v>
      </c>
      <c r="AA985" s="185" t="s">
        <v>3652</v>
      </c>
      <c r="AB985" s="185"/>
      <c r="AC985" s="185" t="s">
        <v>3653</v>
      </c>
      <c r="AD985" s="649">
        <f>((-0.04*5)+(-0.02*7))/12</f>
        <v>-2.8333333333333335E-2</v>
      </c>
      <c r="AE985" s="182"/>
      <c r="AF985" s="332"/>
      <c r="AG985" s="182"/>
      <c r="AH985" s="182"/>
      <c r="AI985" s="182"/>
      <c r="AJ985" s="640"/>
      <c r="AK985" s="182"/>
      <c r="AL985" s="496">
        <f>-0.025*Z985</f>
        <v>-40</v>
      </c>
      <c r="AM985" s="496">
        <f>AL985*(R985-S985)</f>
        <v>-280</v>
      </c>
      <c r="AN985" s="626"/>
      <c r="AO985" s="182"/>
      <c r="AP985" s="182" t="s">
        <v>751</v>
      </c>
      <c r="AQ985" s="332" t="str">
        <f>UPPER(RIGHT(Journal_Live[[#This Row],[DURATION ]]))</f>
        <v>D</v>
      </c>
      <c r="AR985" s="182" t="s">
        <v>3720</v>
      </c>
      <c r="AS985" s="189">
        <f>(0*5+(0.01*7))/12</f>
        <v>5.8333333333333336E-3</v>
      </c>
      <c r="AT985" s="189">
        <f>IF(ISBLANK(AS985),,IF(U985="S",AD985-AS985,AS985-AD985))</f>
        <v>3.4166666666666672E-2</v>
      </c>
      <c r="AU985" s="187">
        <f>AV985*R985</f>
        <v>656</v>
      </c>
      <c r="AV985" s="190">
        <f>IF(ISBLANK(AS985),,(AT985*Z985))</f>
        <v>54.666666666666671</v>
      </c>
      <c r="AW985" s="191" t="s">
        <v>96</v>
      </c>
      <c r="AX985" s="407" t="s">
        <v>3721</v>
      </c>
      <c r="AY985" s="407"/>
      <c r="AZ985" s="407"/>
      <c r="BA985" s="407"/>
      <c r="BB985" s="407"/>
      <c r="BC985" s="407"/>
      <c r="BD985" s="407"/>
      <c r="BE985" s="407"/>
      <c r="BF985" s="422"/>
      <c r="BG985" s="391">
        <f>SUM($AV$4:AV985)</f>
        <v>4496.0400534547416</v>
      </c>
      <c r="BH985" s="392">
        <f>SUM($AU$134:AU985)</f>
        <v>19885.242000000151</v>
      </c>
      <c r="BI985" s="318">
        <f>SUMIFS($AU$134:AU986,$Q$134:Q986,"F")</f>
        <v>7174.5333333333328</v>
      </c>
      <c r="BJ985" s="318">
        <f>SUMIFS($AU$134:AU986,$Q$134:Q986,"S")</f>
        <v>13668.441999999999</v>
      </c>
      <c r="BK985" s="343">
        <f>SUMIFS($AU$134:AU986,$P$134:P986,"W")</f>
        <v>12355.74199999994</v>
      </c>
      <c r="BL985" s="343">
        <f>SUMIFS($AU$134:AU986,$P$134:P986,"R")</f>
        <v>8228.6733333333359</v>
      </c>
      <c r="BM985" s="343">
        <f>SUMIFS($AU$134:AU986,$AQ$134:AQ986,"M")</f>
        <v>2505.3999999999182</v>
      </c>
      <c r="BN985" s="343">
        <f>SUMIFS($AU$134:AU986,$AQ$134:AQ986,"H")</f>
        <v>5870.1420000000153</v>
      </c>
      <c r="BO985" s="343">
        <f>SUMIFS($AU$134:AU986,$AQ$134:AQ986,"D")</f>
        <v>6352.3466666667146</v>
      </c>
      <c r="BP985" s="343">
        <f>SUMIFS($AU$134:AU988,$AQ$134:AQ988,"W")</f>
        <v>3410.7233333332406</v>
      </c>
      <c r="BQ985" s="343">
        <f>SUMIFS($AU$134:AU986,$Q$134:Q986,"O")</f>
        <v>-852.93333333318697</v>
      </c>
      <c r="BR985" s="343">
        <f>SUMIFS($AU$134:AU986,$AA$134:AA986,"*")</f>
        <v>18361.475333333259</v>
      </c>
      <c r="BS985" s="343">
        <f>SUMIFS($AU$134:AU986,$AB$134:AB986,"*")</f>
        <v>5010.2666666668902</v>
      </c>
      <c r="BT985" s="343">
        <f>SUMIFS($AU$134:AU986,$AC$134:AC986,"*")</f>
        <v>11639.683333333332</v>
      </c>
      <c r="BU985" s="343">
        <f>SUMIFS($AU$134:AU986,$AA$134:AA986,"*",$AB$134:AB986,"*")</f>
        <v>3538.0000000000045</v>
      </c>
      <c r="BV985" s="343">
        <f>SUMIFS($AU$134:AU986,$AA$134:AA986,"*",$AC$134:AC986,"*")</f>
        <v>10172.783333333333</v>
      </c>
      <c r="BW985" s="343">
        <f>SUMIFS($AU$134:AU986,$AB$134:AB986,"*",$AC$134:AC986,"*")</f>
        <v>5662.6</v>
      </c>
      <c r="BX985" s="343">
        <f>SUMIFS($AU986:AU$1388,$Q986:Q$1388,"F")</f>
        <v>7266.1333333333332</v>
      </c>
      <c r="BY985" s="343">
        <f>SUMIFS($AU986:AU$1388,$Q986:Q$1388,"S")</f>
        <v>7003.2000000000025</v>
      </c>
      <c r="BZ985" s="343">
        <f>SUMIFS($AU986:AU$1388,$Q986:Q$1388,"O")</f>
        <v>-795.9246666666113</v>
      </c>
    </row>
    <row r="986" spans="1:78" ht="15.75" customHeight="1">
      <c r="A986" s="221" t="s">
        <v>3401</v>
      </c>
      <c r="B986" s="177">
        <v>45169</v>
      </c>
      <c r="C986" s="178" t="s">
        <v>2107</v>
      </c>
      <c r="D986" s="178" t="s">
        <v>93</v>
      </c>
      <c r="E986" s="227"/>
      <c r="F986" s="180"/>
      <c r="G986" s="281" t="s">
        <v>2145</v>
      </c>
      <c r="H986" s="182"/>
      <c r="I986" s="182"/>
      <c r="J986" s="182"/>
      <c r="K986" s="183"/>
      <c r="L986" s="182">
        <v>1</v>
      </c>
      <c r="M986" s="182"/>
      <c r="N986" s="182"/>
      <c r="O986" s="183" t="s">
        <v>95</v>
      </c>
      <c r="P986" s="183" t="s">
        <v>96</v>
      </c>
      <c r="Q986" s="183" t="s">
        <v>97</v>
      </c>
      <c r="R986" s="183">
        <v>3</v>
      </c>
      <c r="S986" s="183">
        <v>0</v>
      </c>
      <c r="T986" s="183">
        <v>3</v>
      </c>
      <c r="U986" s="183" t="s">
        <v>22</v>
      </c>
      <c r="V986" s="183"/>
      <c r="W986" s="183"/>
      <c r="X986" s="183"/>
      <c r="Y986" s="184">
        <f>IF(ISBLANK(O986),"",(IF(O986=UPPER("IB"),0.005,0.01)))</f>
        <v>0.01</v>
      </c>
      <c r="Z986" s="185">
        <f>IF(ISBLANK(O986),"",IF(O986="IB",8.63*200,IF(O986="IR",16*100,IF(O986="YT",20*100,IF(O986="YT-XT",24*200,IF(O986="TED",80*100))))))</f>
        <v>1600</v>
      </c>
      <c r="AA986" s="409" t="s">
        <v>3722</v>
      </c>
      <c r="AB986" s="185"/>
      <c r="AC986" s="185"/>
      <c r="AD986" s="649">
        <v>0.02</v>
      </c>
      <c r="AE986" s="182"/>
      <c r="AF986" s="332"/>
      <c r="AG986" s="182"/>
      <c r="AH986" s="182"/>
      <c r="AI986" s="182"/>
      <c r="AJ986" s="640"/>
      <c r="AK986" s="182"/>
      <c r="AL986" s="496">
        <f t="shared" ref="AL986:AL989" si="308">-0.025*Z986</f>
        <v>-40</v>
      </c>
      <c r="AM986" s="496">
        <f>AL986*(R986-S986)</f>
        <v>-120</v>
      </c>
      <c r="AN986" s="626"/>
      <c r="AO986" s="182"/>
      <c r="AP986" s="182" t="s">
        <v>942</v>
      </c>
      <c r="AQ986" s="332" t="str">
        <f>UPPER(RIGHT(Journal_Live[[#This Row],[DURATION ]]))</f>
        <v>H</v>
      </c>
      <c r="AR986" s="182" t="s">
        <v>3723</v>
      </c>
      <c r="AS986" s="189">
        <v>0.02</v>
      </c>
      <c r="AT986" s="189">
        <f>IF(ISBLANK(AS986),,IF(U986="S",AD986-AS986,AS986-AD986))</f>
        <v>0</v>
      </c>
      <c r="AU986" s="187">
        <f>AV986*R986</f>
        <v>0</v>
      </c>
      <c r="AV986" s="190">
        <f>IF(ISBLANK(AS986),,(AT986*Z986))</f>
        <v>0</v>
      </c>
      <c r="AW986" s="191" t="s">
        <v>115</v>
      </c>
      <c r="AX986" s="407"/>
      <c r="AY986" s="407"/>
      <c r="AZ986" s="407"/>
      <c r="BA986" s="407"/>
      <c r="BB986" s="407"/>
      <c r="BC986" s="407"/>
      <c r="BD986" s="407"/>
      <c r="BE986" s="407"/>
      <c r="BF986" s="422"/>
      <c r="BG986" s="391">
        <f>SUM($AV$4:AV986)</f>
        <v>4496.0400534547416</v>
      </c>
      <c r="BH986" s="392">
        <f>SUM($AU$134:AU986)</f>
        <v>19885.242000000151</v>
      </c>
      <c r="BI986" s="318">
        <f>SUMIFS($AU$134:AU987,$Q$134:Q987,"F")</f>
        <v>7174.5333333333328</v>
      </c>
      <c r="BJ986" s="318">
        <f>SUMIFS($AU$134:AU987,$Q$134:Q987,"S")</f>
        <v>13668.441999999999</v>
      </c>
      <c r="BK986" s="343">
        <f>SUMIFS($AU$134:AU987,$P$134:P987,"W")</f>
        <v>12355.74199999994</v>
      </c>
      <c r="BL986" s="343">
        <f>SUMIFS($AU$134:AU987,$P$134:P987,"R")</f>
        <v>8228.6733333333359</v>
      </c>
      <c r="BM986" s="343">
        <f>SUMIFS($AU$134:AU987,$AQ$134:AQ987,"M")</f>
        <v>2505.3999999999182</v>
      </c>
      <c r="BN986" s="343">
        <f>SUMIFS($AU$134:AU987,$AQ$134:AQ987,"H")</f>
        <v>5870.1420000000153</v>
      </c>
      <c r="BO986" s="343">
        <f>SUMIFS($AU$134:AU987,$AQ$134:AQ987,"D")</f>
        <v>6352.3466666667146</v>
      </c>
      <c r="BP986" s="343">
        <f>SUMIFS($AU$134:AU989,$AQ$134:AQ989,"W")</f>
        <v>3410.7233333332406</v>
      </c>
      <c r="BQ986" s="343">
        <f>SUMIFS($AU$134:AU987,$Q$134:Q987,"O")</f>
        <v>-852.93333333318697</v>
      </c>
      <c r="BR986" s="343">
        <f>SUMIFS($AU$134:AU987,$AA$134:AA987,"*")</f>
        <v>18361.475333333259</v>
      </c>
      <c r="BS986" s="343">
        <f>SUMIFS($AU$134:AU987,$AB$134:AB987,"*")</f>
        <v>5010.2666666668902</v>
      </c>
      <c r="BT986" s="343">
        <f>SUMIFS($AU$134:AU987,$AC$134:AC987,"*")</f>
        <v>11639.683333333332</v>
      </c>
      <c r="BU986" s="343">
        <f>SUMIFS($AU$134:AU987,$AA$134:AA987,"*",$AB$134:AB987,"*")</f>
        <v>3538.0000000000045</v>
      </c>
      <c r="BV986" s="343">
        <f>SUMIFS($AU$134:AU987,$AA$134:AA987,"*",$AC$134:AC987,"*")</f>
        <v>10172.783333333333</v>
      </c>
      <c r="BW986" s="343">
        <f>SUMIFS($AU$134:AU987,$AB$134:AB987,"*",$AC$134:AC987,"*")</f>
        <v>5662.6</v>
      </c>
      <c r="BX986" s="343">
        <f>SUMIFS($AU987:AU$1388,$Q987:Q$1388,"F")</f>
        <v>7266.1333333333332</v>
      </c>
      <c r="BY986" s="343">
        <f>SUMIFS($AU987:AU$1388,$Q987:Q$1388,"S")</f>
        <v>7003.2000000000025</v>
      </c>
      <c r="BZ986" s="343">
        <f>SUMIFS($AU987:AU$1388,$Q987:Q$1388,"O")</f>
        <v>-795.9246666666113</v>
      </c>
    </row>
    <row r="987" spans="1:78" ht="15.75" customHeight="1">
      <c r="A987" s="221" t="s">
        <v>3401</v>
      </c>
      <c r="B987" s="177">
        <v>45169</v>
      </c>
      <c r="C987" s="178" t="s">
        <v>2407</v>
      </c>
      <c r="D987" s="178" t="s">
        <v>93</v>
      </c>
      <c r="E987" s="227" t="s">
        <v>3724</v>
      </c>
      <c r="F987" s="180"/>
      <c r="G987" s="181"/>
      <c r="H987" s="182">
        <v>1</v>
      </c>
      <c r="I987" s="182"/>
      <c r="J987" s="182"/>
      <c r="K987" s="183" t="s">
        <v>372</v>
      </c>
      <c r="L987" s="182"/>
      <c r="M987" s="182"/>
      <c r="N987" s="182"/>
      <c r="O987" s="183"/>
      <c r="P987" s="183"/>
      <c r="Q987" s="183"/>
      <c r="R987" s="183"/>
      <c r="S987" s="183"/>
      <c r="T987" s="183"/>
      <c r="U987" s="183"/>
      <c r="V987" s="183"/>
      <c r="W987" s="183"/>
      <c r="X987" s="183"/>
      <c r="Y987" s="183"/>
      <c r="Z987" s="185" t="str">
        <f>IF(ISBLANK(O987),"",IF(O987="IB",8.63*200,IF(O987="IR",16*100,IF(O987="YT",20*100,IF(O987="YT-XT",24*200,IF(O987="TED",80*100))))))</f>
        <v/>
      </c>
      <c r="AA987" s="185"/>
      <c r="AB987" s="185"/>
      <c r="AC987" s="185"/>
      <c r="AD987" s="649"/>
      <c r="AE987" s="182"/>
      <c r="AF987" s="332"/>
      <c r="AG987" s="182"/>
      <c r="AH987" s="182"/>
      <c r="AI987" s="182"/>
      <c r="AJ987" s="640"/>
      <c r="AK987" s="182"/>
      <c r="AL987" s="496"/>
      <c r="AM987" s="496"/>
      <c r="AN987" s="626"/>
      <c r="AO987" s="182"/>
      <c r="AP987" s="182"/>
      <c r="AQ987" s="332" t="str">
        <f>UPPER(RIGHT(Journal_Live[[#This Row],[DURATION ]]))</f>
        <v/>
      </c>
      <c r="AR987" s="182"/>
      <c r="AS987" s="189"/>
      <c r="AT987" s="189"/>
      <c r="AU987" s="187"/>
      <c r="AV987" s="190"/>
      <c r="AW987" s="191"/>
      <c r="AX987" s="407"/>
      <c r="AY987" s="407"/>
      <c r="AZ987" s="407"/>
      <c r="BA987" s="407"/>
      <c r="BB987" s="407"/>
      <c r="BC987" s="407"/>
      <c r="BD987" s="407"/>
      <c r="BE987" s="407"/>
      <c r="BF987" s="422"/>
      <c r="BG987" s="391">
        <f>SUM($AV$4:AV987)</f>
        <v>4496.0400534547416</v>
      </c>
      <c r="BH987" s="392">
        <f>SUM($AU$134:AU987)</f>
        <v>19885.242000000151</v>
      </c>
      <c r="BI987" s="318">
        <f>SUMIFS($AU$134:AU988,$Q$134:Q988,"F")</f>
        <v>7174.5333333333328</v>
      </c>
      <c r="BJ987" s="318">
        <f>SUMIFS($AU$134:AU988,$Q$134:Q988,"S")</f>
        <v>13668.441999999999</v>
      </c>
      <c r="BK987" s="343">
        <f>SUMIFS($AU$134:AU988,$P$134:P988,"W")</f>
        <v>12355.74199999994</v>
      </c>
      <c r="BL987" s="343">
        <f>SUMIFS($AU$134:AU988,$P$134:P988,"R")</f>
        <v>8228.6733333333359</v>
      </c>
      <c r="BM987" s="343">
        <f>SUMIFS($AU$134:AU988,$AQ$134:AQ988,"M")</f>
        <v>2505.3999999999182</v>
      </c>
      <c r="BN987" s="343">
        <f>SUMIFS($AU$134:AU988,$AQ$134:AQ988,"H")</f>
        <v>5870.1420000000153</v>
      </c>
      <c r="BO987" s="343">
        <f>SUMIFS($AU$134:AU988,$AQ$134:AQ988,"D")</f>
        <v>6352.3466666667146</v>
      </c>
      <c r="BP987" s="343">
        <f>SUMIFS($AU$134:AU990,$AQ$134:AQ990,"W")</f>
        <v>3410.7233333332406</v>
      </c>
      <c r="BQ987" s="343">
        <f>SUMIFS($AU$134:AU988,$Q$134:Q988,"O")</f>
        <v>-852.93333333318697</v>
      </c>
      <c r="BR987" s="343">
        <f>SUMIFS($AU$134:AU988,$AA$134:AA988,"*")</f>
        <v>18361.475333333259</v>
      </c>
      <c r="BS987" s="343">
        <f>SUMIFS($AU$134:AU988,$AB$134:AB988,"*")</f>
        <v>5010.2666666668902</v>
      </c>
      <c r="BT987" s="343">
        <f>SUMIFS($AU$134:AU988,$AC$134:AC988,"*")</f>
        <v>11639.683333333332</v>
      </c>
      <c r="BU987" s="343">
        <f>SUMIFS($AU$134:AU988,$AA$134:AA988,"*",$AB$134:AB988,"*")</f>
        <v>3538.0000000000045</v>
      </c>
      <c r="BV987" s="343">
        <f>SUMIFS($AU$134:AU988,$AA$134:AA988,"*",$AC$134:AC988,"*")</f>
        <v>10172.783333333333</v>
      </c>
      <c r="BW987" s="343">
        <f>SUMIFS($AU$134:AU988,$AB$134:AB988,"*",$AC$134:AC988,"*")</f>
        <v>5662.6</v>
      </c>
      <c r="BX987" s="343">
        <f>SUMIFS($AU988:AU$1388,$Q988:Q$1388,"F")</f>
        <v>7266.1333333333332</v>
      </c>
      <c r="BY987" s="343">
        <f>SUMIFS($AU988:AU$1388,$Q988:Q$1388,"S")</f>
        <v>7003.2000000000025</v>
      </c>
      <c r="BZ987" s="343">
        <f>SUMIFS($AU988:AU$1388,$Q988:Q$1388,"O")</f>
        <v>-795.9246666666113</v>
      </c>
    </row>
    <row r="988" spans="1:78" ht="15.75" customHeight="1">
      <c r="A988" s="221" t="s">
        <v>3401</v>
      </c>
      <c r="B988" s="177">
        <v>45169</v>
      </c>
      <c r="C988" s="178" t="s">
        <v>3725</v>
      </c>
      <c r="D988" s="178" t="s">
        <v>93</v>
      </c>
      <c r="E988" s="227"/>
      <c r="F988" s="180"/>
      <c r="G988" s="181" t="s">
        <v>2145</v>
      </c>
      <c r="H988" s="182"/>
      <c r="I988" s="182"/>
      <c r="J988" s="182"/>
      <c r="K988" s="183"/>
      <c r="L988" s="182"/>
      <c r="M988" s="182"/>
      <c r="N988" s="182"/>
      <c r="O988" s="183"/>
      <c r="P988" s="183"/>
      <c r="Q988" s="183"/>
      <c r="R988" s="183"/>
      <c r="S988" s="183"/>
      <c r="T988" s="183"/>
      <c r="U988" s="183"/>
      <c r="V988" s="183"/>
      <c r="W988" s="183"/>
      <c r="X988" s="183"/>
      <c r="Y988" s="184"/>
      <c r="Z988" s="185"/>
      <c r="AA988" s="185"/>
      <c r="AB988" s="185"/>
      <c r="AC988" s="185"/>
      <c r="AD988" s="649"/>
      <c r="AE988" s="182"/>
      <c r="AF988" s="332"/>
      <c r="AG988" s="182"/>
      <c r="AH988" s="182"/>
      <c r="AI988" s="182"/>
      <c r="AJ988" s="640"/>
      <c r="AK988" s="182"/>
      <c r="AL988" s="496"/>
      <c r="AM988" s="496"/>
      <c r="AN988" s="626"/>
      <c r="AO988" s="182"/>
      <c r="AP988" s="182"/>
      <c r="AQ988" s="332" t="str">
        <f>UPPER(RIGHT(Journal_Live[[#This Row],[DURATION ]]))</f>
        <v/>
      </c>
      <c r="AR988" s="182"/>
      <c r="AS988" s="189"/>
      <c r="AT988" s="189"/>
      <c r="AU988" s="187"/>
      <c r="AV988" s="190"/>
      <c r="AW988" s="191"/>
      <c r="AX988" s="407" t="s">
        <v>3726</v>
      </c>
      <c r="AY988" s="407"/>
      <c r="AZ988" s="407"/>
      <c r="BA988" s="407"/>
      <c r="BB988" s="407"/>
      <c r="BC988" s="407"/>
      <c r="BD988" s="407"/>
      <c r="BE988" s="407"/>
      <c r="BF988" s="422"/>
      <c r="BG988" s="391"/>
      <c r="BH988" s="392">
        <f>SUM($AU$134:AU988)</f>
        <v>19885.242000000151</v>
      </c>
      <c r="BI988" s="318">
        <f>SUMIFS($AU$134:AU989,$Q$134:Q989,"F")</f>
        <v>7174.5333333333328</v>
      </c>
      <c r="BJ988" s="318">
        <f>SUMIFS($AU$134:AU989,$Q$134:Q989,"S")</f>
        <v>13716.441999999999</v>
      </c>
      <c r="BK988" s="343">
        <f>SUMIFS($AU$134:AU989,$P$134:P989,"W")</f>
        <v>12403.74199999994</v>
      </c>
      <c r="BL988" s="343">
        <f>SUMIFS($AU$134:AU989,$P$134:P989,"R")</f>
        <v>8228.6733333333359</v>
      </c>
      <c r="BM988" s="343">
        <f>SUMIFS($AU$134:AU989,$AQ$134:AQ989,"M")</f>
        <v>2505.3999999999182</v>
      </c>
      <c r="BN988" s="343">
        <f>SUMIFS($AU$134:AU989,$AQ$134:AQ989,"H")</f>
        <v>5870.1420000000153</v>
      </c>
      <c r="BO988" s="343">
        <f>SUMIFS($AU$134:AU989,$AQ$134:AQ989,"D")</f>
        <v>6400.3466666667146</v>
      </c>
      <c r="BP988" s="343">
        <f>SUMIFS($AU$134:AU991,$AQ$134:AQ991,"W")</f>
        <v>3410.7233333332406</v>
      </c>
      <c r="BQ988" s="343">
        <f>SUMIFS($AU$134:AU989,$Q$134:Q989,"O")</f>
        <v>-852.93333333318697</v>
      </c>
      <c r="BR988" s="343">
        <f>SUMIFS($AU$134:AU989,$AA$134:AA989,"*")</f>
        <v>18409.475333333259</v>
      </c>
      <c r="BS988" s="343">
        <f>SUMIFS($AU$134:AU989,$AB$134:AB989,"*")</f>
        <v>5010.2666666668902</v>
      </c>
      <c r="BT988" s="343">
        <f>SUMIFS($AU$134:AU989,$AC$134:AC989,"*")</f>
        <v>11639.683333333332</v>
      </c>
      <c r="BU988" s="343">
        <f>SUMIFS($AU$134:AU989,$AA$134:AA989,"*",$AB$134:AB989,"*")</f>
        <v>3538.0000000000045</v>
      </c>
      <c r="BV988" s="343">
        <f>SUMIFS($AU$134:AU989,$AA$134:AA989,"*",$AC$134:AC989,"*")</f>
        <v>10172.783333333333</v>
      </c>
      <c r="BW988" s="343">
        <f>SUMIFS($AU$134:AU989,$AB$134:AB989,"*",$AC$134:AC989,"*")</f>
        <v>5662.6</v>
      </c>
      <c r="BX988" s="343">
        <f>SUMIFS($AU989:AU$1388,$Q989:Q$1388,"F")</f>
        <v>7266.1333333333332</v>
      </c>
      <c r="BY988" s="343">
        <f>SUMIFS($AU989:AU$1388,$Q989:Q$1388,"S")</f>
        <v>7003.2000000000025</v>
      </c>
      <c r="BZ988" s="343">
        <f>SUMIFS($AU989:AU$1388,$Q989:Q$1388,"O")</f>
        <v>-795.9246666666113</v>
      </c>
    </row>
    <row r="989" spans="1:78" ht="15.75" customHeight="1">
      <c r="A989" s="221" t="s">
        <v>3401</v>
      </c>
      <c r="B989" s="177">
        <v>45169</v>
      </c>
      <c r="C989" s="178" t="s">
        <v>3725</v>
      </c>
      <c r="D989" s="178" t="s">
        <v>93</v>
      </c>
      <c r="E989" s="227"/>
      <c r="F989" s="180"/>
      <c r="G989" s="281" t="s">
        <v>136</v>
      </c>
      <c r="H989" s="182"/>
      <c r="I989" s="182"/>
      <c r="J989" s="182"/>
      <c r="K989" s="183"/>
      <c r="L989" s="182">
        <v>1</v>
      </c>
      <c r="M989" s="182"/>
      <c r="N989" s="182"/>
      <c r="O989" s="183" t="s">
        <v>95</v>
      </c>
      <c r="P989" s="183" t="s">
        <v>96</v>
      </c>
      <c r="Q989" s="183" t="s">
        <v>97</v>
      </c>
      <c r="R989" s="183">
        <v>3</v>
      </c>
      <c r="S989" s="183">
        <v>0</v>
      </c>
      <c r="T989" s="183">
        <v>3</v>
      </c>
      <c r="U989" s="183" t="s">
        <v>22</v>
      </c>
      <c r="V989" s="183"/>
      <c r="W989" s="183"/>
      <c r="X989" s="183"/>
      <c r="Y989" s="184">
        <f>IF(ISBLANK(O989),"",(IF(O989=UPPER("IB"),0.005,0.01)))</f>
        <v>0.01</v>
      </c>
      <c r="Z989" s="185">
        <f t="shared" ref="Z989:Z995" si="309">IF(ISBLANK(O989),"",IF(O989="IB",8.63*200,IF(O989="IR",16*100,IF(O989="YT",20*100,IF(O989="YT-XT",24*200,IF(O989="TED",80*100))))))</f>
        <v>1600</v>
      </c>
      <c r="AA989" s="409" t="s">
        <v>998</v>
      </c>
      <c r="AB989" s="185"/>
      <c r="AC989" s="185"/>
      <c r="AD989" s="649">
        <v>-0.1</v>
      </c>
      <c r="AE989" s="182"/>
      <c r="AF989" s="332"/>
      <c r="AG989" s="182"/>
      <c r="AH989" s="182"/>
      <c r="AI989" s="182"/>
      <c r="AJ989" s="640"/>
      <c r="AK989" s="182"/>
      <c r="AL989" s="496">
        <f t="shared" si="308"/>
        <v>-40</v>
      </c>
      <c r="AM989" s="496">
        <f>AL989*(R989-S989)</f>
        <v>-120</v>
      </c>
      <c r="AN989" s="626"/>
      <c r="AO989" s="182"/>
      <c r="AP989" s="182" t="s">
        <v>770</v>
      </c>
      <c r="AQ989" s="332" t="str">
        <f>UPPER(RIGHT(Journal_Live[[#This Row],[DURATION ]]))</f>
        <v>D</v>
      </c>
      <c r="AR989" s="182" t="s">
        <v>3727</v>
      </c>
      <c r="AS989" s="189">
        <v>-0.09</v>
      </c>
      <c r="AT989" s="189">
        <f>IF(ISBLANK(AS989),,IF(U989="S",AD989-AS989,AS989-AD989))</f>
        <v>1.0000000000000009E-2</v>
      </c>
      <c r="AU989" s="187">
        <f>AV989*R989</f>
        <v>48.000000000000043</v>
      </c>
      <c r="AV989" s="190">
        <f>IF(ISBLANK(AS989),,(AT989*Z989))</f>
        <v>16.000000000000014</v>
      </c>
      <c r="AW989" s="191" t="s">
        <v>96</v>
      </c>
      <c r="AX989" s="407"/>
      <c r="AY989" s="407"/>
      <c r="AZ989" s="407"/>
      <c r="BA989" s="407"/>
      <c r="BB989" s="407"/>
      <c r="BC989" s="407"/>
      <c r="BD989" s="407"/>
      <c r="BE989" s="407"/>
      <c r="BF989" s="422"/>
      <c r="BG989" s="391">
        <f>SUM($AV$4:AV989)</f>
        <v>4512.0400534547416</v>
      </c>
      <c r="BH989" s="392">
        <f>SUM($AU$134:AU989)</f>
        <v>19933.242000000151</v>
      </c>
      <c r="BI989" s="318">
        <f>SUMIFS($AU$134:AU990,$Q$134:Q990,"F")</f>
        <v>7174.5333333333328</v>
      </c>
      <c r="BJ989" s="318">
        <f>SUMIFS($AU$134:AU990,$Q$134:Q990,"S")</f>
        <v>13716.441999999999</v>
      </c>
      <c r="BK989" s="343">
        <f>SUMIFS($AU$134:AU990,$P$134:P990,"W")</f>
        <v>12403.74199999994</v>
      </c>
      <c r="BL989" s="343">
        <f>SUMIFS($AU$134:AU990,$P$134:P990,"R")</f>
        <v>8228.6733333333359</v>
      </c>
      <c r="BM989" s="343">
        <f>SUMIFS($AU$134:AU990,$AQ$134:AQ990,"M")</f>
        <v>2505.3999999999182</v>
      </c>
      <c r="BN989" s="343">
        <f>SUMIFS($AU$134:AU990,$AQ$134:AQ990,"H")</f>
        <v>5870.1420000000153</v>
      </c>
      <c r="BO989" s="343">
        <f>SUMIFS($AU$134:AU990,$AQ$134:AQ990,"D")</f>
        <v>6400.3466666667146</v>
      </c>
      <c r="BP989" s="343">
        <f>SUMIFS($AU$134:AU992,$AQ$134:AQ992,"W")</f>
        <v>3410.7233333332406</v>
      </c>
      <c r="BQ989" s="343">
        <f>SUMIFS($AU$134:AU990,$Q$134:Q990,"O")</f>
        <v>-852.93333333318697</v>
      </c>
      <c r="BR989" s="343">
        <f>SUMIFS($AU$134:AU990,$AA$134:AA990,"*")</f>
        <v>18409.475333333259</v>
      </c>
      <c r="BS989" s="343">
        <f>SUMIFS($AU$134:AU990,$AB$134:AB990,"*")</f>
        <v>5010.2666666668902</v>
      </c>
      <c r="BT989" s="343">
        <f>SUMIFS($AU$134:AU990,$AC$134:AC990,"*")</f>
        <v>11639.683333333332</v>
      </c>
      <c r="BU989" s="343">
        <f>SUMIFS($AU$134:AU990,$AA$134:AA990,"*",$AB$134:AB990,"*")</f>
        <v>3538.0000000000045</v>
      </c>
      <c r="BV989" s="343">
        <f>SUMIFS($AU$134:AU990,$AA$134:AA990,"*",$AC$134:AC990,"*")</f>
        <v>10172.783333333333</v>
      </c>
      <c r="BW989" s="343">
        <f>SUMIFS($AU$134:AU990,$AB$134:AB990,"*",$AC$134:AC990,"*")</f>
        <v>5662.6</v>
      </c>
      <c r="BX989" s="343">
        <f>SUMIFS($AU990:AU$1388,$Q990:Q$1388,"F")</f>
        <v>7266.1333333333332</v>
      </c>
      <c r="BY989" s="343">
        <f>SUMIFS($AU990:AU$1388,$Q990:Q$1388,"S")</f>
        <v>6955.2000000000025</v>
      </c>
      <c r="BZ989" s="343">
        <f>SUMIFS($AU990:AU$1388,$Q990:Q$1388,"O")</f>
        <v>-795.9246666666113</v>
      </c>
    </row>
    <row r="990" spans="1:78" ht="15.75" customHeight="1">
      <c r="A990" s="221" t="s">
        <v>3401</v>
      </c>
      <c r="B990" s="177">
        <v>45169</v>
      </c>
      <c r="C990" s="178" t="s">
        <v>1714</v>
      </c>
      <c r="D990" s="178" t="s">
        <v>93</v>
      </c>
      <c r="E990" s="227" t="s">
        <v>3728</v>
      </c>
      <c r="F990" s="180"/>
      <c r="G990" s="181"/>
      <c r="H990" s="182"/>
      <c r="I990" s="182">
        <v>1</v>
      </c>
      <c r="J990" s="182"/>
      <c r="K990" s="183"/>
      <c r="L990" s="182"/>
      <c r="M990" s="182"/>
      <c r="N990" s="182"/>
      <c r="O990" s="183"/>
      <c r="P990" s="183"/>
      <c r="Q990" s="183"/>
      <c r="R990" s="183"/>
      <c r="S990" s="183"/>
      <c r="T990" s="183"/>
      <c r="U990" s="183"/>
      <c r="V990" s="183"/>
      <c r="W990" s="183"/>
      <c r="X990" s="183"/>
      <c r="Y990" s="183"/>
      <c r="Z990" s="185" t="str">
        <f t="shared" si="309"/>
        <v/>
      </c>
      <c r="AA990" s="185"/>
      <c r="AB990" s="185"/>
      <c r="AC990" s="185"/>
      <c r="AD990" s="649"/>
      <c r="AE990" s="182"/>
      <c r="AF990" s="332"/>
      <c r="AG990" s="182"/>
      <c r="AH990" s="182"/>
      <c r="AI990" s="182"/>
      <c r="AJ990" s="640"/>
      <c r="AK990" s="182"/>
      <c r="AL990" s="496"/>
      <c r="AM990" s="496"/>
      <c r="AN990" s="626"/>
      <c r="AO990" s="182"/>
      <c r="AP990" s="182"/>
      <c r="AQ990" s="332" t="str">
        <f>UPPER(RIGHT(Journal_Live[[#This Row],[DURATION ]]))</f>
        <v/>
      </c>
      <c r="AR990" s="182"/>
      <c r="AS990" s="189"/>
      <c r="AT990" s="189"/>
      <c r="AU990" s="187"/>
      <c r="AV990" s="190"/>
      <c r="AW990" s="191"/>
      <c r="AX990" s="407"/>
      <c r="AY990" s="407"/>
      <c r="AZ990" s="407"/>
      <c r="BA990" s="407"/>
      <c r="BB990" s="407"/>
      <c r="BC990" s="407"/>
      <c r="BD990" s="407"/>
      <c r="BE990" s="407"/>
      <c r="BF990" s="422"/>
      <c r="BG990" s="391">
        <f>SUM($AV$4:AV990)</f>
        <v>4512.0400534547416</v>
      </c>
      <c r="BH990" s="392">
        <f>SUM($AU$134:AU990)</f>
        <v>19933.242000000151</v>
      </c>
      <c r="BI990" s="318">
        <f>SUMIFS($AU$134:AU991,$Q$134:Q991,"F")</f>
        <v>7174.5333333333328</v>
      </c>
      <c r="BJ990" s="318">
        <f>SUMIFS($AU$134:AU991,$Q$134:Q991,"S")</f>
        <v>13716.441999999999</v>
      </c>
      <c r="BK990" s="343">
        <f>SUMIFS($AU$134:AU991,$P$134:P991,"W")</f>
        <v>12403.74199999994</v>
      </c>
      <c r="BL990" s="343">
        <f>SUMIFS($AU$134:AU991,$P$134:P991,"R")</f>
        <v>8228.6733333333359</v>
      </c>
      <c r="BM990" s="343">
        <f>SUMIFS($AU$134:AU991,$AQ$134:AQ991,"M")</f>
        <v>2505.3999999999182</v>
      </c>
      <c r="BN990" s="343">
        <f>SUMIFS($AU$134:AU991,$AQ$134:AQ991,"H")</f>
        <v>5870.1420000000153</v>
      </c>
      <c r="BO990" s="343">
        <f>SUMIFS($AU$134:AU991,$AQ$134:AQ991,"D")</f>
        <v>6400.3466666667146</v>
      </c>
      <c r="BP990" s="343">
        <f>SUMIFS($AU$134:AU993,$AQ$134:AQ993,"W")</f>
        <v>3410.7233333332406</v>
      </c>
      <c r="BQ990" s="343">
        <f>SUMIFS($AU$134:AU991,$Q$134:Q991,"O")</f>
        <v>-852.93333333318697</v>
      </c>
      <c r="BR990" s="343">
        <f>SUMIFS($AU$134:AU991,$AA$134:AA991,"*")</f>
        <v>18409.475333333259</v>
      </c>
      <c r="BS990" s="343">
        <f>SUMIFS($AU$134:AU991,$AB$134:AB991,"*")</f>
        <v>5010.2666666668902</v>
      </c>
      <c r="BT990" s="343">
        <f>SUMIFS($AU$134:AU991,$AC$134:AC991,"*")</f>
        <v>11639.683333333332</v>
      </c>
      <c r="BU990" s="343">
        <f>SUMIFS($AU$134:AU991,$AA$134:AA991,"*",$AB$134:AB991,"*")</f>
        <v>3538.0000000000045</v>
      </c>
      <c r="BV990" s="343">
        <f>SUMIFS($AU$134:AU991,$AA$134:AA991,"*",$AC$134:AC991,"*")</f>
        <v>10172.783333333333</v>
      </c>
      <c r="BW990" s="343">
        <f>SUMIFS($AU$134:AU991,$AB$134:AB991,"*",$AC$134:AC991,"*")</f>
        <v>5662.6</v>
      </c>
      <c r="BX990" s="343">
        <f>SUMIFS($AU991:AU$1388,$Q991:Q$1388,"F")</f>
        <v>7266.1333333333332</v>
      </c>
      <c r="BY990" s="343">
        <f>SUMIFS($AU991:AU$1388,$Q991:Q$1388,"S")</f>
        <v>6955.2000000000025</v>
      </c>
      <c r="BZ990" s="343">
        <f>SUMIFS($AU991:AU$1388,$Q991:Q$1388,"O")</f>
        <v>-795.9246666666113</v>
      </c>
    </row>
    <row r="991" spans="1:78" ht="15.75" customHeight="1">
      <c r="A991" s="221" t="s">
        <v>3401</v>
      </c>
      <c r="B991" s="177"/>
      <c r="C991" s="178"/>
      <c r="D991" s="178"/>
      <c r="E991" s="227" t="s">
        <v>3729</v>
      </c>
      <c r="F991" s="180"/>
      <c r="G991" s="181"/>
      <c r="H991" s="182"/>
      <c r="I991" s="182">
        <v>1</v>
      </c>
      <c r="J991" s="182"/>
      <c r="K991" s="183"/>
      <c r="L991" s="182"/>
      <c r="M991" s="182"/>
      <c r="N991" s="182"/>
      <c r="O991" s="183"/>
      <c r="P991" s="183"/>
      <c r="Q991" s="183"/>
      <c r="R991" s="183"/>
      <c r="S991" s="183"/>
      <c r="T991" s="183"/>
      <c r="U991" s="183"/>
      <c r="V991" s="183"/>
      <c r="W991" s="183"/>
      <c r="X991" s="183"/>
      <c r="Y991" s="183"/>
      <c r="Z991" s="185" t="str">
        <f t="shared" si="309"/>
        <v/>
      </c>
      <c r="AA991" s="185"/>
      <c r="AB991" s="185"/>
      <c r="AC991" s="185"/>
      <c r="AD991" s="649"/>
      <c r="AE991" s="182"/>
      <c r="AF991" s="332"/>
      <c r="AG991" s="182"/>
      <c r="AH991" s="182"/>
      <c r="AI991" s="182"/>
      <c r="AJ991" s="640"/>
      <c r="AK991" s="182"/>
      <c r="AL991" s="496"/>
      <c r="AM991" s="496"/>
      <c r="AN991" s="626"/>
      <c r="AO991" s="182"/>
      <c r="AP991" s="182"/>
      <c r="AQ991" s="332" t="str">
        <f>UPPER(RIGHT(Journal_Live[[#This Row],[DURATION ]]))</f>
        <v/>
      </c>
      <c r="AR991" s="182"/>
      <c r="AS991" s="189"/>
      <c r="AT991" s="189"/>
      <c r="AU991" s="187"/>
      <c r="AV991" s="190"/>
      <c r="AW991" s="191"/>
      <c r="AX991" s="407"/>
      <c r="AY991" s="407"/>
      <c r="AZ991" s="407"/>
      <c r="BA991" s="407"/>
      <c r="BB991" s="407"/>
      <c r="BC991" s="407"/>
      <c r="BD991" s="407"/>
      <c r="BE991" s="407"/>
      <c r="BF991" s="422"/>
      <c r="BG991" s="391">
        <f>SUM($AV$4:AV991)</f>
        <v>4512.0400534547416</v>
      </c>
      <c r="BH991" s="392">
        <f>SUM($AU$134:AU991)</f>
        <v>19933.242000000151</v>
      </c>
      <c r="BI991" s="318">
        <f>SUMIFS($AU$134:AU992,$Q$134:Q992,"F")</f>
        <v>7174.5333333333328</v>
      </c>
      <c r="BJ991" s="318">
        <f>SUMIFS($AU$134:AU992,$Q$134:Q992,"S")</f>
        <v>13716.441999999999</v>
      </c>
      <c r="BK991" s="343">
        <f>SUMIFS($AU$134:AU992,$P$134:P992,"W")</f>
        <v>12403.74199999994</v>
      </c>
      <c r="BL991" s="343">
        <f>SUMIFS($AU$134:AU992,$P$134:P992,"R")</f>
        <v>8228.6733333333359</v>
      </c>
      <c r="BM991" s="343">
        <f>SUMIFS($AU$134:AU992,$AQ$134:AQ992,"M")</f>
        <v>2505.3999999999182</v>
      </c>
      <c r="BN991" s="343">
        <f>SUMIFS($AU$134:AU992,$AQ$134:AQ992,"H")</f>
        <v>5870.1420000000153</v>
      </c>
      <c r="BO991" s="343">
        <f>SUMIFS($AU$134:AU992,$AQ$134:AQ992,"D")</f>
        <v>6400.3466666667146</v>
      </c>
      <c r="BP991" s="343">
        <f>SUMIFS($AU$134:AU994,$AQ$134:AQ994,"W")</f>
        <v>3410.7233333332406</v>
      </c>
      <c r="BQ991" s="343">
        <f>SUMIFS($AU$134:AU992,$Q$134:Q992,"O")</f>
        <v>-852.93333333318697</v>
      </c>
      <c r="BR991" s="343">
        <f>SUMIFS($AU$134:AU992,$AA$134:AA992,"*")</f>
        <v>18409.475333333259</v>
      </c>
      <c r="BS991" s="343">
        <f>SUMIFS($AU$134:AU992,$AB$134:AB992,"*")</f>
        <v>5010.2666666668902</v>
      </c>
      <c r="BT991" s="343">
        <f>SUMIFS($AU$134:AU992,$AC$134:AC992,"*")</f>
        <v>11639.683333333332</v>
      </c>
      <c r="BU991" s="343">
        <f>SUMIFS($AU$134:AU992,$AA$134:AA992,"*",$AB$134:AB992,"*")</f>
        <v>3538.0000000000045</v>
      </c>
      <c r="BV991" s="343">
        <f>SUMIFS($AU$134:AU992,$AA$134:AA992,"*",$AC$134:AC992,"*")</f>
        <v>10172.783333333333</v>
      </c>
      <c r="BW991" s="343">
        <f>SUMIFS($AU$134:AU992,$AB$134:AB992,"*",$AC$134:AC992,"*")</f>
        <v>5662.6</v>
      </c>
      <c r="BX991" s="343">
        <f>SUMIFS($AU992:AU$1388,$Q992:Q$1388,"F")</f>
        <v>7266.1333333333332</v>
      </c>
      <c r="BY991" s="343">
        <f>SUMIFS($AU992:AU$1388,$Q992:Q$1388,"S")</f>
        <v>6955.2000000000025</v>
      </c>
      <c r="BZ991" s="343">
        <f>SUMIFS($AU992:AU$1388,$Q992:Q$1388,"O")</f>
        <v>-795.9246666666113</v>
      </c>
    </row>
    <row r="992" spans="1:78" ht="15.75" customHeight="1">
      <c r="A992" s="221" t="s">
        <v>3401</v>
      </c>
      <c r="B992" s="177"/>
      <c r="C992" s="178"/>
      <c r="D992" s="178"/>
      <c r="E992" s="227" t="s">
        <v>3730</v>
      </c>
      <c r="F992" s="180"/>
      <c r="G992" s="181"/>
      <c r="H992" s="182"/>
      <c r="I992" s="182"/>
      <c r="J992" s="182">
        <v>1</v>
      </c>
      <c r="K992" s="183" t="s">
        <v>115</v>
      </c>
      <c r="L992" s="182"/>
      <c r="M992" s="182"/>
      <c r="N992" s="182"/>
      <c r="O992" s="183"/>
      <c r="P992" s="183"/>
      <c r="Q992" s="183"/>
      <c r="R992" s="183"/>
      <c r="S992" s="183"/>
      <c r="T992" s="183"/>
      <c r="U992" s="183"/>
      <c r="V992" s="183"/>
      <c r="W992" s="183"/>
      <c r="X992" s="183"/>
      <c r="Y992" s="183"/>
      <c r="Z992" s="185" t="str">
        <f t="shared" si="309"/>
        <v/>
      </c>
      <c r="AA992" s="185"/>
      <c r="AB992" s="185"/>
      <c r="AC992" s="185"/>
      <c r="AD992" s="649"/>
      <c r="AE992" s="182"/>
      <c r="AF992" s="332"/>
      <c r="AG992" s="182"/>
      <c r="AH992" s="182"/>
      <c r="AI992" s="182"/>
      <c r="AJ992" s="640"/>
      <c r="AK992" s="182"/>
      <c r="AL992" s="496"/>
      <c r="AM992" s="496"/>
      <c r="AN992" s="626"/>
      <c r="AO992" s="182"/>
      <c r="AP992" s="182"/>
      <c r="AQ992" s="332" t="str">
        <f>UPPER(RIGHT(Journal_Live[[#This Row],[DURATION ]]))</f>
        <v/>
      </c>
      <c r="AR992" s="182"/>
      <c r="AS992" s="189"/>
      <c r="AT992" s="189"/>
      <c r="AU992" s="187"/>
      <c r="AV992" s="190"/>
      <c r="AW992" s="191"/>
      <c r="AX992" s="407"/>
      <c r="AY992" s="407"/>
      <c r="AZ992" s="407"/>
      <c r="BA992" s="407"/>
      <c r="BB992" s="407"/>
      <c r="BC992" s="407"/>
      <c r="BD992" s="407"/>
      <c r="BE992" s="407"/>
      <c r="BF992" s="422"/>
      <c r="BG992" s="391">
        <f>SUM($AV$4:AV992)</f>
        <v>4512.0400534547416</v>
      </c>
      <c r="BH992" s="392">
        <f>SUM($AU$134:AU992)</f>
        <v>19933.242000000151</v>
      </c>
      <c r="BI992" s="318">
        <f>SUMIFS($AU$134:AU993,$Q$134:Q993,"F")</f>
        <v>7174.5333333333328</v>
      </c>
      <c r="BJ992" s="318">
        <f>SUMIFS($AU$134:AU993,$Q$134:Q993,"S")</f>
        <v>13716.441999999999</v>
      </c>
      <c r="BK992" s="343">
        <f>SUMIFS($AU$134:AU993,$P$134:P993,"W")</f>
        <v>12403.74199999994</v>
      </c>
      <c r="BL992" s="343">
        <f>SUMIFS($AU$134:AU993,$P$134:P993,"R")</f>
        <v>8228.6733333333359</v>
      </c>
      <c r="BM992" s="343">
        <f>SUMIFS($AU$134:AU993,$AQ$134:AQ993,"M")</f>
        <v>2505.3999999999182</v>
      </c>
      <c r="BN992" s="343">
        <f>SUMIFS($AU$134:AU993,$AQ$134:AQ993,"H")</f>
        <v>5870.1420000000153</v>
      </c>
      <c r="BO992" s="343">
        <f>SUMIFS($AU$134:AU993,$AQ$134:AQ993,"D")</f>
        <v>6400.3466666667146</v>
      </c>
      <c r="BP992" s="343">
        <f>SUMIFS($AU$134:AU995,$AQ$134:AQ995,"W")</f>
        <v>3410.7233333332406</v>
      </c>
      <c r="BQ992" s="343">
        <f>SUMIFS($AU$134:AU993,$Q$134:Q993,"O")</f>
        <v>-852.93333333318697</v>
      </c>
      <c r="BR992" s="343">
        <f>SUMIFS($AU$134:AU993,$AA$134:AA993,"*")</f>
        <v>18409.475333333259</v>
      </c>
      <c r="BS992" s="343">
        <f>SUMIFS($AU$134:AU993,$AB$134:AB993,"*")</f>
        <v>5010.2666666668902</v>
      </c>
      <c r="BT992" s="343">
        <f>SUMIFS($AU$134:AU993,$AC$134:AC993,"*")</f>
        <v>11639.683333333332</v>
      </c>
      <c r="BU992" s="343">
        <f>SUMIFS($AU$134:AU993,$AA$134:AA993,"*",$AB$134:AB993,"*")</f>
        <v>3538.0000000000045</v>
      </c>
      <c r="BV992" s="343">
        <f>SUMIFS($AU$134:AU993,$AA$134:AA993,"*",$AC$134:AC993,"*")</f>
        <v>10172.783333333333</v>
      </c>
      <c r="BW992" s="343">
        <f>SUMIFS($AU$134:AU993,$AB$134:AB993,"*",$AC$134:AC993,"*")</f>
        <v>5662.6</v>
      </c>
      <c r="BX992" s="343">
        <f>SUMIFS($AU993:AU$1388,$Q993:Q$1388,"F")</f>
        <v>7266.1333333333332</v>
      </c>
      <c r="BY992" s="343">
        <f>SUMIFS($AU993:AU$1388,$Q993:Q$1388,"S")</f>
        <v>6955.2000000000025</v>
      </c>
      <c r="BZ992" s="343">
        <f>SUMIFS($AU993:AU$1388,$Q993:Q$1388,"O")</f>
        <v>-795.9246666666113</v>
      </c>
    </row>
    <row r="993" spans="1:78" ht="15.75" customHeight="1">
      <c r="A993" s="221" t="s">
        <v>3401</v>
      </c>
      <c r="B993" s="177"/>
      <c r="C993" s="178"/>
      <c r="D993" s="178"/>
      <c r="E993" s="227"/>
      <c r="F993" s="180"/>
      <c r="G993" s="181"/>
      <c r="H993" s="182"/>
      <c r="I993" s="182"/>
      <c r="J993" s="182"/>
      <c r="K993" s="183"/>
      <c r="L993" s="182"/>
      <c r="M993" s="182"/>
      <c r="N993" s="182"/>
      <c r="O993" s="183"/>
      <c r="P993" s="183"/>
      <c r="Q993" s="183"/>
      <c r="R993" s="183"/>
      <c r="S993" s="183"/>
      <c r="T993" s="183"/>
      <c r="U993" s="183"/>
      <c r="V993" s="183"/>
      <c r="W993" s="183"/>
      <c r="X993" s="183"/>
      <c r="Y993" s="183"/>
      <c r="Z993" s="185" t="str">
        <f t="shared" si="309"/>
        <v/>
      </c>
      <c r="AA993" s="185"/>
      <c r="AB993" s="185"/>
      <c r="AC993" s="185"/>
      <c r="AD993" s="649"/>
      <c r="AE993" s="182"/>
      <c r="AF993" s="332"/>
      <c r="AG993" s="182"/>
      <c r="AH993" s="182"/>
      <c r="AI993" s="182"/>
      <c r="AJ993" s="640"/>
      <c r="AK993" s="182"/>
      <c r="AL993" s="496"/>
      <c r="AM993" s="496"/>
      <c r="AN993" s="626"/>
      <c r="AO993" s="182"/>
      <c r="AP993" s="182"/>
      <c r="AQ993" s="332" t="str">
        <f>UPPER(RIGHT(Journal_Live[[#This Row],[DURATION ]]))</f>
        <v/>
      </c>
      <c r="AR993" s="182"/>
      <c r="AS993" s="189"/>
      <c r="AT993" s="189"/>
      <c r="AU993" s="187"/>
      <c r="AV993" s="190"/>
      <c r="AW993" s="191"/>
      <c r="AX993" s="407"/>
      <c r="AY993" s="407"/>
      <c r="AZ993" s="407"/>
      <c r="BA993" s="407"/>
      <c r="BB993" s="407"/>
      <c r="BC993" s="407"/>
      <c r="BD993" s="407"/>
      <c r="BE993" s="407"/>
      <c r="BF993" s="422"/>
      <c r="BG993" s="391">
        <f>SUM($AV$4:AV993)</f>
        <v>4512.0400534547416</v>
      </c>
      <c r="BH993" s="392">
        <f>SUM($AU$134:AU993)</f>
        <v>19933.242000000151</v>
      </c>
      <c r="BI993" s="318">
        <f>SUMIFS($AU$134:AU994,$Q$134:Q994,"F")</f>
        <v>7174.5333333333328</v>
      </c>
      <c r="BJ993" s="318">
        <f>SUMIFS($AU$134:AU994,$Q$134:Q994,"S")</f>
        <v>13716.441999999999</v>
      </c>
      <c r="BK993" s="343">
        <f>SUMIFS($AU$134:AU994,$P$134:P994,"W")</f>
        <v>12403.74199999994</v>
      </c>
      <c r="BL993" s="343">
        <f>SUMIFS($AU$134:AU994,$P$134:P994,"R")</f>
        <v>8228.6733333333359</v>
      </c>
      <c r="BM993" s="343">
        <f>SUMIFS($AU$134:AU994,$AQ$134:AQ994,"M")</f>
        <v>2505.3999999999182</v>
      </c>
      <c r="BN993" s="343">
        <f>SUMIFS($AU$134:AU994,$AQ$134:AQ994,"H")</f>
        <v>5870.1420000000153</v>
      </c>
      <c r="BO993" s="343">
        <f>SUMIFS($AU$134:AU994,$AQ$134:AQ994,"D")</f>
        <v>6400.3466666667146</v>
      </c>
      <c r="BP993" s="343">
        <f>SUMIFS($AU$134:AU996,$AQ$134:AQ996,"W")</f>
        <v>3410.7233333332406</v>
      </c>
      <c r="BQ993" s="343">
        <f>SUMIFS($AU$134:AU994,$Q$134:Q994,"O")</f>
        <v>-852.93333333318697</v>
      </c>
      <c r="BR993" s="343">
        <f>SUMIFS($AU$134:AU994,$AA$134:AA994,"*")</f>
        <v>18409.475333333259</v>
      </c>
      <c r="BS993" s="343">
        <f>SUMIFS($AU$134:AU994,$AB$134:AB994,"*")</f>
        <v>5010.2666666668902</v>
      </c>
      <c r="BT993" s="343">
        <f>SUMIFS($AU$134:AU994,$AC$134:AC994,"*")</f>
        <v>11639.683333333332</v>
      </c>
      <c r="BU993" s="343">
        <f>SUMIFS($AU$134:AU994,$AA$134:AA994,"*",$AB$134:AB994,"*")</f>
        <v>3538.0000000000045</v>
      </c>
      <c r="BV993" s="343">
        <f>SUMIFS($AU$134:AU994,$AA$134:AA994,"*",$AC$134:AC994,"*")</f>
        <v>10172.783333333333</v>
      </c>
      <c r="BW993" s="343">
        <f>SUMIFS($AU$134:AU994,$AB$134:AB994,"*",$AC$134:AC994,"*")</f>
        <v>5662.6</v>
      </c>
      <c r="BX993" s="343">
        <f>SUMIFS($AU994:AU$1388,$Q994:Q$1388,"F")</f>
        <v>7266.1333333333332</v>
      </c>
      <c r="BY993" s="343">
        <f>SUMIFS($AU994:AU$1388,$Q994:Q$1388,"S")</f>
        <v>6955.2000000000025</v>
      </c>
      <c r="BZ993" s="343">
        <f>SUMIFS($AU994:AU$1388,$Q994:Q$1388,"O")</f>
        <v>-795.9246666666113</v>
      </c>
    </row>
    <row r="994" spans="1:78" ht="15.75" customHeight="1">
      <c r="A994" s="221" t="s">
        <v>3401</v>
      </c>
      <c r="B994" s="177"/>
      <c r="C994" s="178"/>
      <c r="D994" s="178"/>
      <c r="E994" s="227"/>
      <c r="F994" s="180"/>
      <c r="G994" s="181"/>
      <c r="H994" s="182"/>
      <c r="I994" s="182"/>
      <c r="J994" s="182"/>
      <c r="K994" s="183"/>
      <c r="L994" s="182"/>
      <c r="M994" s="182"/>
      <c r="N994" s="182"/>
      <c r="O994" s="183"/>
      <c r="P994" s="183"/>
      <c r="Q994" s="183"/>
      <c r="R994" s="183"/>
      <c r="S994" s="183"/>
      <c r="T994" s="183"/>
      <c r="U994" s="183"/>
      <c r="V994" s="183"/>
      <c r="W994" s="183"/>
      <c r="X994" s="183"/>
      <c r="Y994" s="183"/>
      <c r="Z994" s="185" t="str">
        <f t="shared" si="309"/>
        <v/>
      </c>
      <c r="AA994" s="185"/>
      <c r="AB994" s="185"/>
      <c r="AC994" s="185"/>
      <c r="AD994" s="649"/>
      <c r="AE994" s="182"/>
      <c r="AF994" s="332"/>
      <c r="AG994" s="182"/>
      <c r="AH994" s="182"/>
      <c r="AI994" s="182"/>
      <c r="AJ994" s="640"/>
      <c r="AK994" s="182"/>
      <c r="AL994" s="496"/>
      <c r="AM994" s="496"/>
      <c r="AN994" s="626"/>
      <c r="AO994" s="182"/>
      <c r="AP994" s="182"/>
      <c r="AQ994" s="332" t="str">
        <f>UPPER(RIGHT(Journal_Live[[#This Row],[DURATION ]]))</f>
        <v/>
      </c>
      <c r="AR994" s="182"/>
      <c r="AS994" s="189"/>
      <c r="AT994" s="189"/>
      <c r="AU994" s="187"/>
      <c r="AV994" s="190"/>
      <c r="AW994" s="191"/>
      <c r="AX994" s="417" t="s">
        <v>3488</v>
      </c>
      <c r="AY994" s="417" t="s">
        <v>3731</v>
      </c>
      <c r="AZ994" s="417" t="s">
        <v>3732</v>
      </c>
      <c r="BA994" s="417" t="s">
        <v>3733</v>
      </c>
      <c r="BB994" s="407"/>
      <c r="BC994" s="407"/>
      <c r="BD994" s="407"/>
      <c r="BE994" s="407"/>
      <c r="BF994" s="422"/>
      <c r="BG994" s="391">
        <f>SUM($AV$4:AV994)</f>
        <v>4512.0400534547416</v>
      </c>
      <c r="BH994" s="392">
        <f>SUM($AU$134:AU994)</f>
        <v>19933.242000000151</v>
      </c>
      <c r="BI994" s="318">
        <f>SUMIFS($AU$134:AU995,$Q$134:Q995,"F")</f>
        <v>7174.5333333333328</v>
      </c>
      <c r="BJ994" s="318">
        <f>SUMIFS($AU$134:AU995,$Q$134:Q995,"S")</f>
        <v>13716.441999999999</v>
      </c>
      <c r="BK994" s="343">
        <f>SUMIFS($AU$134:AU995,$P$134:P995,"W")</f>
        <v>12403.74199999994</v>
      </c>
      <c r="BL994" s="343">
        <f>SUMIFS($AU$134:AU995,$P$134:P995,"R")</f>
        <v>8228.6733333333359</v>
      </c>
      <c r="BM994" s="343">
        <f>SUMIFS($AU$134:AU995,$AQ$134:AQ995,"M")</f>
        <v>2505.3999999999182</v>
      </c>
      <c r="BN994" s="343">
        <f>SUMIFS($AU$134:AU995,$AQ$134:AQ995,"H")</f>
        <v>5870.1420000000153</v>
      </c>
      <c r="BO994" s="343">
        <f>SUMIFS($AU$134:AU995,$AQ$134:AQ995,"D")</f>
        <v>6400.3466666667146</v>
      </c>
      <c r="BP994" s="343">
        <f>SUMIFS($AU$134:AU997,$AQ$134:AQ997,"W")</f>
        <v>3410.7233333332406</v>
      </c>
      <c r="BQ994" s="343">
        <f>SUMIFS($AU$134:AU995,$Q$134:Q995,"O")</f>
        <v>-852.93333333318697</v>
      </c>
      <c r="BR994" s="343">
        <f>SUMIFS($AU$134:AU995,$AA$134:AA995,"*")</f>
        <v>18409.475333333259</v>
      </c>
      <c r="BS994" s="343">
        <f>SUMIFS($AU$134:AU995,$AB$134:AB995,"*")</f>
        <v>5010.2666666668902</v>
      </c>
      <c r="BT994" s="343">
        <f>SUMIFS($AU$134:AU995,$AC$134:AC995,"*")</f>
        <v>11639.683333333332</v>
      </c>
      <c r="BU994" s="343">
        <f>SUMIFS($AU$134:AU995,$AA$134:AA995,"*",$AB$134:AB995,"*")</f>
        <v>3538.0000000000045</v>
      </c>
      <c r="BV994" s="343">
        <f>SUMIFS($AU$134:AU995,$AA$134:AA995,"*",$AC$134:AC995,"*")</f>
        <v>10172.783333333333</v>
      </c>
      <c r="BW994" s="343">
        <f>SUMIFS($AU$134:AU995,$AB$134:AB995,"*",$AC$134:AC995,"*")</f>
        <v>5662.6</v>
      </c>
      <c r="BX994" s="343">
        <f>SUMIFS($AU995:AU$1388,$Q995:Q$1388,"F")</f>
        <v>7266.1333333333332</v>
      </c>
      <c r="BY994" s="343">
        <f>SUMIFS($AU995:AU$1388,$Q995:Q$1388,"S")</f>
        <v>6955.2000000000025</v>
      </c>
      <c r="BZ994" s="343">
        <f>SUMIFS($AU995:AU$1388,$Q995:Q$1388,"O")</f>
        <v>-795.9246666666113</v>
      </c>
    </row>
    <row r="995" spans="1:78" ht="15.75" customHeight="1">
      <c r="A995" s="273" t="s">
        <v>3734</v>
      </c>
      <c r="B995" s="273"/>
      <c r="C995" s="214"/>
      <c r="D995" s="214"/>
      <c r="E995" s="215"/>
      <c r="F995" s="216"/>
      <c r="G995" s="214"/>
      <c r="H995" s="214"/>
      <c r="I995" s="214"/>
      <c r="J995" s="214"/>
      <c r="K995" s="217"/>
      <c r="L995" s="214"/>
      <c r="M995" s="214"/>
      <c r="N995" s="214"/>
      <c r="O995" s="217"/>
      <c r="P995" s="217"/>
      <c r="Q995" s="217"/>
      <c r="R995" s="217"/>
      <c r="S995" s="217"/>
      <c r="T995" s="217"/>
      <c r="U995" s="217"/>
      <c r="V995" s="217"/>
      <c r="W995" s="217"/>
      <c r="X995" s="217"/>
      <c r="Y995" s="217"/>
      <c r="Z995" s="218" t="str">
        <f t="shared" si="309"/>
        <v/>
      </c>
      <c r="AA995" s="218"/>
      <c r="AB995" s="218"/>
      <c r="AC995" s="218"/>
      <c r="AD995" s="651"/>
      <c r="AE995" s="214"/>
      <c r="AF995" s="347"/>
      <c r="AG995" s="343"/>
      <c r="AH995" s="214"/>
      <c r="AI995" s="214"/>
      <c r="AJ995" s="642"/>
      <c r="AK995" s="214"/>
      <c r="AL995" s="502"/>
      <c r="AM995" s="502"/>
      <c r="AN995" s="628"/>
      <c r="AO995" s="214"/>
      <c r="AP995" s="214"/>
      <c r="AQ995" s="334" t="str">
        <f>UPPER(RIGHT(Journal_Live[[#This Row],[DURATION ]]))</f>
        <v/>
      </c>
      <c r="AR995" s="214"/>
      <c r="AS995" s="214"/>
      <c r="AT995" s="214"/>
      <c r="AU995" s="214"/>
      <c r="AV995" s="214"/>
      <c r="AW995" s="220"/>
      <c r="AX995" s="417"/>
      <c r="AY995" s="414"/>
      <c r="AZ995" s="414"/>
      <c r="BA995" s="414"/>
      <c r="BB995" s="414"/>
      <c r="BC995" s="414"/>
      <c r="BD995" s="414"/>
      <c r="BE995" s="414"/>
      <c r="BF995" s="414"/>
      <c r="BG995" s="391">
        <f>SUM($AV$4:AV995)</f>
        <v>4512.0400534547416</v>
      </c>
      <c r="BH995" s="392">
        <f>SUM($AU$134:AU995)</f>
        <v>19933.242000000151</v>
      </c>
      <c r="BI995" s="318">
        <f>SUMIFS($AU$134:AU996,$Q$134:Q996,"F")</f>
        <v>7174.5333333333328</v>
      </c>
      <c r="BJ995" s="318">
        <f>SUMIFS($AU$134:AU996,$Q$134:Q996,"S")</f>
        <v>13716.441999999999</v>
      </c>
      <c r="BK995" s="343">
        <f>SUMIFS($AU$134:AU996,$P$134:P996,"W")</f>
        <v>12403.74199999994</v>
      </c>
      <c r="BL995" s="343">
        <f>SUMIFS($AU$134:AU996,$P$134:P996,"R")</f>
        <v>8228.6733333333359</v>
      </c>
      <c r="BM995" s="343">
        <f>SUMIFS($AU$134:AU996,$AQ$134:AQ996,"M")</f>
        <v>2505.3999999999182</v>
      </c>
      <c r="BN995" s="343">
        <f>SUMIFS($AU$134:AU996,$AQ$134:AQ996,"H")</f>
        <v>5870.1420000000153</v>
      </c>
      <c r="BO995" s="343">
        <f>SUMIFS($AU$134:AU996,$AQ$134:AQ996,"D")</f>
        <v>6400.3466666667146</v>
      </c>
      <c r="BP995" s="343">
        <f>SUMIFS($AU$134:AU998,$AQ$134:AQ998,"W")</f>
        <v>3410.7233333332406</v>
      </c>
      <c r="BQ995" s="343">
        <f>SUMIFS($AU$134:AU996,$Q$134:Q996,"O")</f>
        <v>-852.93333333318697</v>
      </c>
      <c r="BR995" s="343">
        <f>SUMIFS($AU$134:AU996,$AA$134:AA996,"*")</f>
        <v>18409.475333333259</v>
      </c>
      <c r="BS995" s="343">
        <f>SUMIFS($AU$134:AU996,$AB$134:AB996,"*")</f>
        <v>5010.2666666668902</v>
      </c>
      <c r="BT995" s="343">
        <f>SUMIFS($AU$134:AU996,$AC$134:AC996,"*")</f>
        <v>11639.683333333332</v>
      </c>
      <c r="BU995" s="343">
        <f>SUMIFS($AU$134:AU996,$AA$134:AA996,"*",$AB$134:AB996,"*")</f>
        <v>3538.0000000000045</v>
      </c>
      <c r="BV995" s="343">
        <f>SUMIFS($AU$134:AU996,$AA$134:AA996,"*",$AC$134:AC996,"*")</f>
        <v>10172.783333333333</v>
      </c>
      <c r="BW995" s="343">
        <f>SUMIFS($AU$134:AU996,$AB$134:AB996,"*",$AC$134:AC996,"*")</f>
        <v>5662.6</v>
      </c>
      <c r="BX995" s="343">
        <f>SUMIFS($AU996:AU$1388,$Q996:Q$1388,"F")</f>
        <v>7266.1333333333332</v>
      </c>
      <c r="BY995" s="343">
        <f>SUMIFS($AU996:AU$1388,$Q996:Q$1388,"S")</f>
        <v>6955.2000000000025</v>
      </c>
      <c r="BZ995" s="343">
        <f>SUMIFS($AU996:AU$1388,$Q996:Q$1388,"O")</f>
        <v>-795.9246666666113</v>
      </c>
    </row>
    <row r="996" spans="1:78" ht="15.75" customHeight="1">
      <c r="A996" s="221" t="s">
        <v>3735</v>
      </c>
      <c r="B996" s="177">
        <v>45170</v>
      </c>
      <c r="C996" s="178" t="s">
        <v>3736</v>
      </c>
      <c r="D996" s="178" t="s">
        <v>111</v>
      </c>
      <c r="E996" s="227"/>
      <c r="F996" s="180"/>
      <c r="G996" s="181"/>
      <c r="H996" s="182"/>
      <c r="I996" s="182"/>
      <c r="J996" s="182"/>
      <c r="K996" s="183"/>
      <c r="L996" s="182"/>
      <c r="M996" s="182"/>
      <c r="N996" s="182"/>
      <c r="O996" s="183"/>
      <c r="P996" s="183"/>
      <c r="Q996" s="183"/>
      <c r="R996" s="183"/>
      <c r="S996" s="183"/>
      <c r="T996" s="183"/>
      <c r="U996" s="183"/>
      <c r="V996" s="183"/>
      <c r="W996" s="183"/>
      <c r="X996" s="183"/>
      <c r="Y996" s="184"/>
      <c r="Z996" s="185"/>
      <c r="AA996" s="185"/>
      <c r="AB996" s="185"/>
      <c r="AC996" s="185"/>
      <c r="AD996" s="649"/>
      <c r="AE996" s="182"/>
      <c r="AF996" s="332"/>
      <c r="AG996" s="182"/>
      <c r="AH996" s="182"/>
      <c r="AI996" s="182"/>
      <c r="AJ996" s="640"/>
      <c r="AK996" s="182"/>
      <c r="AL996" s="496"/>
      <c r="AM996" s="496"/>
      <c r="AN996" s="626"/>
      <c r="AO996" s="182"/>
      <c r="AP996" s="182"/>
      <c r="AQ996" s="332" t="str">
        <f>UPPER(RIGHT(Journal_Live[[#This Row],[DURATION ]]))</f>
        <v/>
      </c>
      <c r="AR996" s="182"/>
      <c r="AS996" s="189"/>
      <c r="AT996" s="189"/>
      <c r="AU996" s="187"/>
      <c r="AV996" s="190"/>
      <c r="AW996" s="191"/>
      <c r="AX996" s="407"/>
      <c r="AY996" s="407"/>
      <c r="AZ996" s="407"/>
      <c r="BA996" s="407"/>
      <c r="BB996" s="407"/>
      <c r="BC996" s="407"/>
      <c r="BD996" s="407"/>
      <c r="BE996" s="407"/>
      <c r="BF996" s="422"/>
      <c r="BG996" s="391">
        <f>SUM($AV$4:AV996)</f>
        <v>4512.0400534547416</v>
      </c>
      <c r="BH996" s="392">
        <f>SUM($AU$134:AU996)</f>
        <v>19933.242000000151</v>
      </c>
      <c r="BI996" s="318">
        <f>SUMIFS($AU$134:AU997,$Q$134:Q997,"F")</f>
        <v>7174.5333333333328</v>
      </c>
      <c r="BJ996" s="318">
        <f>SUMIFS($AU$134:AU997,$Q$134:Q997,"S")</f>
        <v>13956.441999999999</v>
      </c>
      <c r="BK996" s="343">
        <f>SUMIFS($AU$134:AU997,$P$134:P997,"W")</f>
        <v>12403.74199999994</v>
      </c>
      <c r="BL996" s="343">
        <f>SUMIFS($AU$134:AU997,$P$134:P997,"R")</f>
        <v>8468.6733333333359</v>
      </c>
      <c r="BM996" s="343">
        <f>SUMIFS($AU$134:AU997,$AQ$134:AQ997,"M")</f>
        <v>2505.3999999999182</v>
      </c>
      <c r="BN996" s="343">
        <f>SUMIFS($AU$134:AU997,$AQ$134:AQ997,"H")</f>
        <v>5870.1420000000153</v>
      </c>
      <c r="BO996" s="343">
        <f>SUMIFS($AU$134:AU997,$AQ$134:AQ997,"D")</f>
        <v>6640.3466666667146</v>
      </c>
      <c r="BP996" s="343">
        <f>SUMIFS($AU$134:AU999,$AQ$134:AQ999,"W")</f>
        <v>3410.7233333332406</v>
      </c>
      <c r="BQ996" s="343">
        <f>SUMIFS($AU$134:AU997,$Q$134:Q997,"O")</f>
        <v>-852.93333333318697</v>
      </c>
      <c r="BR996" s="343">
        <f>SUMIFS($AU$134:AU997,$AA$134:AA997,"*")</f>
        <v>18649.475333333259</v>
      </c>
      <c r="BS996" s="343">
        <f>SUMIFS($AU$134:AU997,$AB$134:AB997,"*")</f>
        <v>5010.2666666668902</v>
      </c>
      <c r="BT996" s="343">
        <f>SUMIFS($AU$134:AU997,$AC$134:AC997,"*")</f>
        <v>11639.683333333332</v>
      </c>
      <c r="BU996" s="343">
        <f>SUMIFS($AU$134:AU997,$AA$134:AA997,"*",$AB$134:AB997,"*")</f>
        <v>3538.0000000000045</v>
      </c>
      <c r="BV996" s="343">
        <f>SUMIFS($AU$134:AU997,$AA$134:AA997,"*",$AC$134:AC997,"*")</f>
        <v>10172.783333333333</v>
      </c>
      <c r="BW996" s="343">
        <f>SUMIFS($AU$134:AU997,$AB$134:AB997,"*",$AC$134:AC997,"*")</f>
        <v>5662.6</v>
      </c>
      <c r="BX996" s="343">
        <f>SUMIFS($AU997:AU$1388,$Q997:Q$1388,"F")</f>
        <v>7266.1333333333332</v>
      </c>
      <c r="BY996" s="343">
        <f>SUMIFS($AU997:AU$1388,$Q997:Q$1388,"S")</f>
        <v>6955.2000000000025</v>
      </c>
      <c r="BZ996" s="343">
        <f>SUMIFS($AU997:AU$1388,$Q997:Q$1388,"O")</f>
        <v>-795.9246666666113</v>
      </c>
    </row>
    <row r="997" spans="1:78" ht="15.75" customHeight="1">
      <c r="A997" s="221" t="s">
        <v>3735</v>
      </c>
      <c r="B997" s="177">
        <v>45170</v>
      </c>
      <c r="C997" s="178" t="s">
        <v>3737</v>
      </c>
      <c r="D997" s="178" t="s">
        <v>111</v>
      </c>
      <c r="E997" s="227"/>
      <c r="F997" s="180"/>
      <c r="G997" s="281" t="s">
        <v>3334</v>
      </c>
      <c r="H997" s="182"/>
      <c r="I997" s="182"/>
      <c r="J997" s="182"/>
      <c r="K997" s="183"/>
      <c r="L997" s="182">
        <v>1</v>
      </c>
      <c r="M997" s="182"/>
      <c r="N997" s="182"/>
      <c r="O997" s="183" t="s">
        <v>95</v>
      </c>
      <c r="P997" s="183" t="s">
        <v>137</v>
      </c>
      <c r="Q997" s="183" t="s">
        <v>97</v>
      </c>
      <c r="R997" s="183">
        <v>15</v>
      </c>
      <c r="S997" s="183">
        <v>0</v>
      </c>
      <c r="T997" s="183">
        <v>15</v>
      </c>
      <c r="U997" s="183" t="s">
        <v>97</v>
      </c>
      <c r="V997" s="183"/>
      <c r="W997" s="183"/>
      <c r="X997" s="183"/>
      <c r="Y997" s="184">
        <f>IF(ISBLANK(O997),"",(IF(O997=UPPER("IB"),0.005,0.01)))</f>
        <v>0.01</v>
      </c>
      <c r="Z997" s="185">
        <f>IF(ISBLANK(O997),"",IF(O997="IB",8.63*200,IF(O997="IR",16*100,IF(O997="YT",20*100,IF(O997="YT-XT",24*200,IF(O997="TED",80*100))))))</f>
        <v>1600</v>
      </c>
      <c r="AA997" s="185" t="s">
        <v>3738</v>
      </c>
      <c r="AB997" s="185"/>
      <c r="AC997" s="185"/>
      <c r="AD997" s="649">
        <v>-0.06</v>
      </c>
      <c r="AE997" s="182"/>
      <c r="AF997" s="332"/>
      <c r="AG997" s="182"/>
      <c r="AH997" s="182"/>
      <c r="AI997" s="182"/>
      <c r="AJ997" s="640"/>
      <c r="AK997" s="182"/>
      <c r="AL997" s="496">
        <f t="shared" ref="AL997" si="310">-0.025*Z997</f>
        <v>-40</v>
      </c>
      <c r="AM997" s="496">
        <f>AL997*(R997-S997)</f>
        <v>-600</v>
      </c>
      <c r="AN997" s="626"/>
      <c r="AO997" s="182"/>
      <c r="AP997" s="182" t="s">
        <v>804</v>
      </c>
      <c r="AQ997" s="332" t="str">
        <f>UPPER(RIGHT(Journal_Live[[#This Row],[DURATION ]]))</f>
        <v>D</v>
      </c>
      <c r="AR997" s="182" t="s">
        <v>3739</v>
      </c>
      <c r="AS997" s="189">
        <v>-7.0000000000000007E-2</v>
      </c>
      <c r="AT997" s="189">
        <f>IF(ISBLANK(AS997),,IF(U997="S",AD997-AS997,AS997-AD997))</f>
        <v>1.0000000000000009E-2</v>
      </c>
      <c r="AU997" s="187">
        <f>AV997*R997</f>
        <v>240.00000000000023</v>
      </c>
      <c r="AV997" s="190">
        <f>IF(ISBLANK(AS997),,(AT997*Z997))</f>
        <v>16.000000000000014</v>
      </c>
      <c r="AW997" s="191" t="s">
        <v>96</v>
      </c>
      <c r="AX997" s="407"/>
      <c r="AY997" s="407"/>
      <c r="AZ997" s="407"/>
      <c r="BA997" s="407"/>
      <c r="BB997" s="407"/>
      <c r="BC997" s="407"/>
      <c r="BD997" s="407"/>
      <c r="BE997" s="407"/>
      <c r="BF997" s="422"/>
      <c r="BG997" s="391">
        <f>SUM($AV$4:AV997)</f>
        <v>4528.0400534547416</v>
      </c>
      <c r="BH997" s="392">
        <f>SUM($AU$134:AU997)</f>
        <v>20173.242000000151</v>
      </c>
      <c r="BI997" s="318">
        <f>SUMIFS($AU$134:AU998,$Q$134:Q998,"F")</f>
        <v>7174.5333333333328</v>
      </c>
      <c r="BJ997" s="318">
        <f>SUMIFS($AU$134:AU998,$Q$134:Q998,"S")</f>
        <v>13956.441999999999</v>
      </c>
      <c r="BK997" s="343">
        <f>SUMIFS($AU$134:AU998,$P$134:P998,"W")</f>
        <v>12403.74199999994</v>
      </c>
      <c r="BL997" s="343">
        <f>SUMIFS($AU$134:AU998,$P$134:P998,"R")</f>
        <v>8468.6733333333359</v>
      </c>
      <c r="BM997" s="343">
        <f>SUMIFS($AU$134:AU998,$AQ$134:AQ998,"M")</f>
        <v>2505.3999999999182</v>
      </c>
      <c r="BN997" s="343">
        <f>SUMIFS($AU$134:AU998,$AQ$134:AQ998,"H")</f>
        <v>5870.1420000000153</v>
      </c>
      <c r="BO997" s="343">
        <f>SUMIFS($AU$134:AU998,$AQ$134:AQ998,"D")</f>
        <v>6640.3466666667146</v>
      </c>
      <c r="BP997" s="343">
        <f>SUMIFS($AU$134:AU1000,$AQ$134:AQ1000,"W")</f>
        <v>3410.7233333332406</v>
      </c>
      <c r="BQ997" s="343">
        <f>SUMIFS($AU$134:AU998,$Q$134:Q998,"O")</f>
        <v>-852.93333333318697</v>
      </c>
      <c r="BR997" s="343">
        <f>SUMIFS($AU$134:AU998,$AA$134:AA998,"*")</f>
        <v>18649.475333333259</v>
      </c>
      <c r="BS997" s="343">
        <f>SUMIFS($AU$134:AU998,$AB$134:AB998,"*")</f>
        <v>5010.2666666668902</v>
      </c>
      <c r="BT997" s="343">
        <f>SUMIFS($AU$134:AU998,$AC$134:AC998,"*")</f>
        <v>11639.683333333332</v>
      </c>
      <c r="BU997" s="343">
        <f>SUMIFS($AU$134:AU998,$AA$134:AA998,"*",$AB$134:AB998,"*")</f>
        <v>3538.0000000000045</v>
      </c>
      <c r="BV997" s="343">
        <f>SUMIFS($AU$134:AU998,$AA$134:AA998,"*",$AC$134:AC998,"*")</f>
        <v>10172.783333333333</v>
      </c>
      <c r="BW997" s="343">
        <f>SUMIFS($AU$134:AU998,$AB$134:AB998,"*",$AC$134:AC998,"*")</f>
        <v>5662.6</v>
      </c>
      <c r="BX997" s="343">
        <f>SUMIFS($AU998:AU$1388,$Q998:Q$1388,"F")</f>
        <v>7266.1333333333332</v>
      </c>
      <c r="BY997" s="343">
        <f>SUMIFS($AU998:AU$1388,$Q998:Q$1388,"S")</f>
        <v>6715.2000000000016</v>
      </c>
      <c r="BZ997" s="343">
        <f>SUMIFS($AU998:AU$1388,$Q998:Q$1388,"O")</f>
        <v>-795.9246666666113</v>
      </c>
    </row>
    <row r="998" spans="1:78" ht="15.75" customHeight="1">
      <c r="A998" s="221" t="s">
        <v>3735</v>
      </c>
      <c r="B998" s="177">
        <v>45170</v>
      </c>
      <c r="C998" s="178" t="s">
        <v>1728</v>
      </c>
      <c r="D998" s="178" t="s">
        <v>111</v>
      </c>
      <c r="E998" s="227" t="s">
        <v>3740</v>
      </c>
      <c r="F998" s="180" t="s">
        <v>3741</v>
      </c>
      <c r="G998" s="181"/>
      <c r="H998" s="182">
        <v>1</v>
      </c>
      <c r="I998" s="182"/>
      <c r="J998" s="182"/>
      <c r="K998" s="183" t="s">
        <v>372</v>
      </c>
      <c r="L998" s="182"/>
      <c r="M998" s="182"/>
      <c r="N998" s="182"/>
      <c r="O998" s="183"/>
      <c r="P998" s="183"/>
      <c r="Q998" s="183"/>
      <c r="R998" s="183"/>
      <c r="S998" s="183"/>
      <c r="T998" s="183"/>
      <c r="U998" s="183"/>
      <c r="V998" s="183"/>
      <c r="W998" s="183"/>
      <c r="X998" s="183"/>
      <c r="Y998" s="183"/>
      <c r="Z998" s="185" t="str">
        <f>IF(ISBLANK(O998),"",IF(O998="IB",8.63*200,IF(O998="IR",16*100,IF(O998="YT",20*100,IF(O998="YT-XT",24*200,IF(O998="TED",80*100))))))</f>
        <v/>
      </c>
      <c r="AA998" s="185"/>
      <c r="AB998" s="185"/>
      <c r="AC998" s="185"/>
      <c r="AD998" s="649"/>
      <c r="AE998" s="182"/>
      <c r="AF998" s="332"/>
      <c r="AG998" s="182"/>
      <c r="AH998" s="182"/>
      <c r="AI998" s="182"/>
      <c r="AJ998" s="640"/>
      <c r="AK998" s="182"/>
      <c r="AL998" s="496"/>
      <c r="AM998" s="496"/>
      <c r="AN998" s="626"/>
      <c r="AO998" s="182"/>
      <c r="AP998" s="182"/>
      <c r="AQ998" s="332" t="str">
        <f>UPPER(RIGHT(Journal_Live[[#This Row],[DURATION ]]))</f>
        <v/>
      </c>
      <c r="AR998" s="182"/>
      <c r="AS998" s="189"/>
      <c r="AT998" s="189"/>
      <c r="AU998" s="187"/>
      <c r="AV998" s="190"/>
      <c r="AW998" s="191"/>
      <c r="AX998" s="407" t="s">
        <v>3742</v>
      </c>
      <c r="AY998" s="407"/>
      <c r="AZ998" s="407"/>
      <c r="BA998" s="407"/>
      <c r="BB998" s="407"/>
      <c r="BC998" s="407"/>
      <c r="BD998" s="407"/>
      <c r="BE998" s="407"/>
      <c r="BF998" s="422"/>
      <c r="BG998" s="391">
        <f>SUM($AV$4:AV998)</f>
        <v>4528.0400534547416</v>
      </c>
      <c r="BH998" s="392">
        <f>SUM($AU$134:AU998)</f>
        <v>20173.242000000151</v>
      </c>
      <c r="BI998" s="318">
        <f>SUMIFS($AU$134:AU999,$Q$134:Q999,"F")</f>
        <v>7174.5333333333328</v>
      </c>
      <c r="BJ998" s="318">
        <f>SUMIFS($AU$134:AU999,$Q$134:Q999,"S")</f>
        <v>13956.441999999999</v>
      </c>
      <c r="BK998" s="343">
        <f>SUMIFS($AU$134:AU999,$P$134:P999,"W")</f>
        <v>12403.74199999994</v>
      </c>
      <c r="BL998" s="343">
        <f>SUMIFS($AU$134:AU999,$P$134:P999,"R")</f>
        <v>8468.6733333333359</v>
      </c>
      <c r="BM998" s="343">
        <f>SUMIFS($AU$134:AU999,$AQ$134:AQ999,"M")</f>
        <v>2505.3999999999182</v>
      </c>
      <c r="BN998" s="343">
        <f>SUMIFS($AU$134:AU999,$AQ$134:AQ999,"H")</f>
        <v>5870.1420000000153</v>
      </c>
      <c r="BO998" s="343">
        <f>SUMIFS($AU$134:AU999,$AQ$134:AQ999,"D")</f>
        <v>6640.3466666667146</v>
      </c>
      <c r="BP998" s="343">
        <f>SUMIFS($AU$134:AU1001,$AQ$134:AQ1001,"W")</f>
        <v>3410.7233333332406</v>
      </c>
      <c r="BQ998" s="343">
        <f>SUMIFS($AU$134:AU999,$Q$134:Q999,"O")</f>
        <v>-852.93333333318697</v>
      </c>
      <c r="BR998" s="343">
        <f>SUMIFS($AU$134:AU999,$AA$134:AA999,"*")</f>
        <v>18649.475333333259</v>
      </c>
      <c r="BS998" s="343">
        <f>SUMIFS($AU$134:AU999,$AB$134:AB999,"*")</f>
        <v>5010.2666666668902</v>
      </c>
      <c r="BT998" s="343">
        <f>SUMIFS($AU$134:AU999,$AC$134:AC999,"*")</f>
        <v>11639.683333333332</v>
      </c>
      <c r="BU998" s="343">
        <f>SUMIFS($AU$134:AU999,$AA$134:AA999,"*",$AB$134:AB999,"*")</f>
        <v>3538.0000000000045</v>
      </c>
      <c r="BV998" s="343">
        <f>SUMIFS($AU$134:AU999,$AA$134:AA999,"*",$AC$134:AC999,"*")</f>
        <v>10172.783333333333</v>
      </c>
      <c r="BW998" s="343">
        <f>SUMIFS($AU$134:AU999,$AB$134:AB999,"*",$AC$134:AC999,"*")</f>
        <v>5662.6</v>
      </c>
      <c r="BX998" s="343">
        <f>SUMIFS($AU999:AU$1388,$Q999:Q$1388,"F")</f>
        <v>7266.1333333333332</v>
      </c>
      <c r="BY998" s="343">
        <f>SUMIFS($AU999:AU$1388,$Q999:Q$1388,"S")</f>
        <v>6715.2000000000016</v>
      </c>
      <c r="BZ998" s="343">
        <f>SUMIFS($AU999:AU$1388,$Q999:Q$1388,"O")</f>
        <v>-795.9246666666113</v>
      </c>
    </row>
    <row r="999" spans="1:78" ht="15.75" customHeight="1">
      <c r="A999" s="221" t="s">
        <v>3735</v>
      </c>
      <c r="B999" s="177"/>
      <c r="C999" s="178"/>
      <c r="D999" s="178" t="s">
        <v>111</v>
      </c>
      <c r="E999" s="227" t="s">
        <v>3743</v>
      </c>
      <c r="F999" s="180"/>
      <c r="G999" s="181"/>
      <c r="H999" s="182">
        <v>1</v>
      </c>
      <c r="I999" s="182"/>
      <c r="J999" s="182"/>
      <c r="K999" s="183" t="s">
        <v>115</v>
      </c>
      <c r="L999" s="182"/>
      <c r="M999" s="182"/>
      <c r="N999" s="182"/>
      <c r="O999" s="183"/>
      <c r="P999" s="183"/>
      <c r="Q999" s="183"/>
      <c r="R999" s="183"/>
      <c r="S999" s="183"/>
      <c r="T999" s="183"/>
      <c r="U999" s="183"/>
      <c r="V999" s="183"/>
      <c r="W999" s="183"/>
      <c r="X999" s="183"/>
      <c r="Y999" s="183"/>
      <c r="Z999" s="185" t="str">
        <f>IF(ISBLANK(O999),"",IF(O999="IB",8.63*200,IF(O999="IR",16*100,IF(O999="YT",20*100,IF(O999="YT-XT",24*200,IF(O999="TED",80*100))))))</f>
        <v/>
      </c>
      <c r="AA999" s="185"/>
      <c r="AB999" s="185"/>
      <c r="AC999" s="185"/>
      <c r="AD999" s="649"/>
      <c r="AE999" s="182"/>
      <c r="AF999" s="332"/>
      <c r="AG999" s="182"/>
      <c r="AH999" s="182"/>
      <c r="AI999" s="182"/>
      <c r="AJ999" s="640"/>
      <c r="AK999" s="182"/>
      <c r="AL999" s="496"/>
      <c r="AM999" s="496"/>
      <c r="AN999" s="626"/>
      <c r="AO999" s="182"/>
      <c r="AP999" s="182"/>
      <c r="AQ999" s="332" t="str">
        <f>UPPER(RIGHT(Journal_Live[[#This Row],[DURATION ]]))</f>
        <v/>
      </c>
      <c r="AR999" s="182"/>
      <c r="AS999" s="189"/>
      <c r="AT999" s="189"/>
      <c r="AU999" s="187"/>
      <c r="AV999" s="190"/>
      <c r="AW999" s="191"/>
      <c r="AX999" s="407"/>
      <c r="AY999" s="407"/>
      <c r="AZ999" s="407"/>
      <c r="BA999" s="407"/>
      <c r="BB999" s="407"/>
      <c r="BC999" s="407"/>
      <c r="BD999" s="407"/>
      <c r="BE999" s="407"/>
      <c r="BF999" s="422"/>
      <c r="BG999" s="391">
        <f>SUM($AV$4:AV999)</f>
        <v>4528.0400534547416</v>
      </c>
      <c r="BH999" s="392">
        <f>SUM($AU$134:AU999)</f>
        <v>20173.242000000151</v>
      </c>
      <c r="BI999" s="318">
        <f>SUMIFS($AU$134:AU1000,$Q$134:Q1000,"F")</f>
        <v>7174.5333333333328</v>
      </c>
      <c r="BJ999" s="318">
        <f>SUMIFS($AU$134:AU1000,$Q$134:Q1000,"S")</f>
        <v>14196.441999999999</v>
      </c>
      <c r="BK999" s="343">
        <f>SUMIFS($AU$134:AU1000,$P$134:P1000,"W")</f>
        <v>12643.74199999994</v>
      </c>
      <c r="BL999" s="343">
        <f>SUMIFS($AU$134:AU1000,$P$134:P1000,"R")</f>
        <v>8468.6733333333359</v>
      </c>
      <c r="BM999" s="343">
        <f>SUMIFS($AU$134:AU1000,$AQ$134:AQ1000,"M")</f>
        <v>2505.3999999999182</v>
      </c>
      <c r="BN999" s="343">
        <f>SUMIFS($AU$134:AU1000,$AQ$134:AQ1000,"H")</f>
        <v>6110.1420000000153</v>
      </c>
      <c r="BO999" s="343">
        <f>SUMIFS($AU$134:AU1000,$AQ$134:AQ1000,"D")</f>
        <v>6640.3466666667146</v>
      </c>
      <c r="BP999" s="343">
        <f>SUMIFS($AU$134:AU1002,$AQ$134:AQ1002,"W")</f>
        <v>3410.7233333332406</v>
      </c>
      <c r="BQ999" s="343">
        <f>SUMIFS($AU$134:AU1000,$Q$134:Q1000,"O")</f>
        <v>-852.93333333318697</v>
      </c>
      <c r="BR999" s="343">
        <f>SUMIFS($AU$134:AU1000,$AA$134:AA1000,"*")</f>
        <v>18889.475333333259</v>
      </c>
      <c r="BS999" s="343">
        <f>SUMIFS($AU$134:AU1000,$AB$134:AB1000,"*")</f>
        <v>5010.2666666668902</v>
      </c>
      <c r="BT999" s="343">
        <f>SUMIFS($AU$134:AU1000,$AC$134:AC1000,"*")</f>
        <v>11639.683333333332</v>
      </c>
      <c r="BU999" s="343">
        <f>SUMIFS($AU$134:AU1000,$AA$134:AA1000,"*",$AB$134:AB1000,"*")</f>
        <v>3538.0000000000045</v>
      </c>
      <c r="BV999" s="343">
        <f>SUMIFS($AU$134:AU1000,$AA$134:AA1000,"*",$AC$134:AC1000,"*")</f>
        <v>10172.783333333333</v>
      </c>
      <c r="BW999" s="343">
        <f>SUMIFS($AU$134:AU1000,$AB$134:AB1000,"*",$AC$134:AC1000,"*")</f>
        <v>5662.6</v>
      </c>
      <c r="BX999" s="343">
        <f>SUMIFS($AU1000:AU$1388,$Q1000:Q$1388,"F")</f>
        <v>7266.1333333333332</v>
      </c>
      <c r="BY999" s="343">
        <f>SUMIFS($AU1000:AU$1388,$Q1000:Q$1388,"S")</f>
        <v>6715.2000000000016</v>
      </c>
      <c r="BZ999" s="343">
        <f>SUMIFS($AU1000:AU$1388,$Q1000:Q$1388,"O")</f>
        <v>-795.9246666666113</v>
      </c>
    </row>
    <row r="1000" spans="1:78" ht="15.75" customHeight="1">
      <c r="A1000" s="221" t="s">
        <v>3735</v>
      </c>
      <c r="B1000" s="177">
        <v>45170</v>
      </c>
      <c r="C1000" s="178" t="s">
        <v>682</v>
      </c>
      <c r="D1000" s="178" t="s">
        <v>111</v>
      </c>
      <c r="E1000" s="227"/>
      <c r="F1000" s="180"/>
      <c r="G1000" s="281" t="s">
        <v>2145</v>
      </c>
      <c r="H1000" s="182"/>
      <c r="I1000" s="182"/>
      <c r="J1000" s="182"/>
      <c r="K1000" s="183"/>
      <c r="L1000" s="182">
        <v>1</v>
      </c>
      <c r="M1000" s="182"/>
      <c r="N1000" s="182"/>
      <c r="O1000" s="183" t="s">
        <v>95</v>
      </c>
      <c r="P1000" s="183" t="s">
        <v>96</v>
      </c>
      <c r="Q1000" s="183" t="s">
        <v>97</v>
      </c>
      <c r="R1000" s="183">
        <v>16</v>
      </c>
      <c r="S1000" s="183">
        <v>12</v>
      </c>
      <c r="T1000" s="183">
        <v>7</v>
      </c>
      <c r="U1000" s="183" t="s">
        <v>22</v>
      </c>
      <c r="V1000" s="183"/>
      <c r="W1000" s="183"/>
      <c r="X1000" s="183"/>
      <c r="Y1000" s="184">
        <f>IF(ISBLANK(O1000),"",(IF(O1000=UPPER("IB"),0.005,0.01)))</f>
        <v>0.01</v>
      </c>
      <c r="Z1000" s="185">
        <f>IF(ISBLANK(O1000),"",IF(O1000="IB",8.63*200,IF(O1000="IR",16*100,IF(O1000="YT",20*100,IF(O1000="YT-XT",24*200,IF(O1000="TED",80*100))))))</f>
        <v>1600</v>
      </c>
      <c r="AA1000" s="185" t="s">
        <v>998</v>
      </c>
      <c r="AB1000" s="185"/>
      <c r="AC1000" s="185"/>
      <c r="AD1000" s="649">
        <f>(0.01*7+(-0.01*9))/16</f>
        <v>-1.2499999999999994E-3</v>
      </c>
      <c r="AE1000" s="182"/>
      <c r="AF1000" s="332"/>
      <c r="AG1000" s="182"/>
      <c r="AH1000" s="182"/>
      <c r="AI1000" s="182"/>
      <c r="AJ1000" s="640"/>
      <c r="AK1000" s="182"/>
      <c r="AL1000" s="496"/>
      <c r="AM1000" s="496"/>
      <c r="AN1000" s="626"/>
      <c r="AO1000" s="182"/>
      <c r="AP1000" s="182" t="s">
        <v>1897</v>
      </c>
      <c r="AQ1000" s="332" t="str">
        <f>UPPER(RIGHT(Journal_Live[[#This Row],[DURATION ]]))</f>
        <v>H</v>
      </c>
      <c r="AR1000" s="182" t="s">
        <v>568</v>
      </c>
      <c r="AS1000" s="189">
        <f>(0*3+0.01*9+0.01*4)/16</f>
        <v>8.1250000000000003E-3</v>
      </c>
      <c r="AT1000" s="189">
        <f>IF(ISBLANK(AS1000),,IF(U1000="S",AD1000-AS1000,AS1000-AD1000))</f>
        <v>9.3749999999999997E-3</v>
      </c>
      <c r="AU1000" s="187">
        <f>AV1000*R1000</f>
        <v>240</v>
      </c>
      <c r="AV1000" s="190">
        <f>IF(ISBLANK(AS1000),,(AT1000*Z1000))</f>
        <v>15</v>
      </c>
      <c r="AW1000" s="191" t="s">
        <v>96</v>
      </c>
      <c r="AX1000" s="407"/>
      <c r="AY1000" s="407"/>
      <c r="AZ1000" s="407"/>
      <c r="BA1000" s="407"/>
      <c r="BB1000" s="407"/>
      <c r="BC1000" s="407"/>
      <c r="BD1000" s="407"/>
      <c r="BE1000" s="407"/>
      <c r="BF1000" s="422"/>
      <c r="BG1000" s="391">
        <f>SUM($AV$4:AV1000)</f>
        <v>4543.0400534547416</v>
      </c>
      <c r="BH1000" s="392">
        <f>SUM($AU$134:AU1000)</f>
        <v>20413.242000000151</v>
      </c>
      <c r="BI1000" s="318">
        <f>SUMIFS($AU$134:AU1001,$Q$134:Q1001,"F")</f>
        <v>7174.5333333333328</v>
      </c>
      <c r="BJ1000" s="318">
        <f>SUMIFS($AU$134:AU1001,$Q$134:Q1001,"S")</f>
        <v>14436.441999999999</v>
      </c>
      <c r="BK1000" s="343">
        <f>SUMIFS($AU$134:AU1001,$P$134:P1001,"W")</f>
        <v>12883.74199999994</v>
      </c>
      <c r="BL1000" s="343">
        <f>SUMIFS($AU$134:AU1001,$P$134:P1001,"R")</f>
        <v>8468.6733333333359</v>
      </c>
      <c r="BM1000" s="343">
        <f>SUMIFS($AU$134:AU1001,$AQ$134:AQ1001,"M")</f>
        <v>2505.3999999999182</v>
      </c>
      <c r="BN1000" s="343">
        <f>SUMIFS($AU$134:AU1001,$AQ$134:AQ1001,"H")</f>
        <v>6110.1420000000153</v>
      </c>
      <c r="BO1000" s="343">
        <f>SUMIFS($AU$134:AU1001,$AQ$134:AQ1001,"D")</f>
        <v>6880.3466666667146</v>
      </c>
      <c r="BP1000" s="343">
        <f>SUMIFS($AU$134:AU1003,$AQ$134:AQ1003,"W")</f>
        <v>3410.7233333332406</v>
      </c>
      <c r="BQ1000" s="343">
        <f>SUMIFS($AU$134:AU1001,$Q$134:Q1001,"O")</f>
        <v>-852.93333333318697</v>
      </c>
      <c r="BR1000" s="343">
        <f>SUMIFS($AU$134:AU1001,$AA$134:AA1001,"*")</f>
        <v>19129.475333333259</v>
      </c>
      <c r="BS1000" s="343">
        <f>SUMIFS($AU$134:AU1001,$AB$134:AB1001,"*")</f>
        <v>5010.2666666668902</v>
      </c>
      <c r="BT1000" s="343">
        <f>SUMIFS($AU$134:AU1001,$AC$134:AC1001,"*")</f>
        <v>11639.683333333332</v>
      </c>
      <c r="BU1000" s="343">
        <f>SUMIFS($AU$134:AU1001,$AA$134:AA1001,"*",$AB$134:AB1001,"*")</f>
        <v>3538.0000000000045</v>
      </c>
      <c r="BV1000" s="343">
        <f>SUMIFS($AU$134:AU1001,$AA$134:AA1001,"*",$AC$134:AC1001,"*")</f>
        <v>10172.783333333333</v>
      </c>
      <c r="BW1000" s="343">
        <f>SUMIFS($AU$134:AU1001,$AB$134:AB1001,"*",$AC$134:AC1001,"*")</f>
        <v>5662.6</v>
      </c>
      <c r="BX1000" s="343">
        <f>SUMIFS($AU1001:AU$1388,$Q1001:Q$1388,"F")</f>
        <v>7266.1333333333332</v>
      </c>
      <c r="BY1000" s="343">
        <f>SUMIFS($AU1001:AU$1388,$Q1001:Q$1388,"S")</f>
        <v>6475.2000000000016</v>
      </c>
      <c r="BZ1000" s="343">
        <f>SUMIFS($AU1001:AU$1388,$Q1001:Q$1388,"O")</f>
        <v>-795.9246666666113</v>
      </c>
    </row>
    <row r="1001" spans="1:78" ht="15.75" customHeight="1">
      <c r="A1001" s="221" t="s">
        <v>3735</v>
      </c>
      <c r="B1001" s="177">
        <v>45170</v>
      </c>
      <c r="C1001" s="178" t="s">
        <v>682</v>
      </c>
      <c r="D1001" s="178" t="s">
        <v>111</v>
      </c>
      <c r="E1001" s="227"/>
      <c r="F1001" s="180"/>
      <c r="G1001" s="281" t="s">
        <v>94</v>
      </c>
      <c r="H1001" s="182"/>
      <c r="I1001" s="182"/>
      <c r="J1001" s="182"/>
      <c r="K1001" s="183"/>
      <c r="L1001" s="182">
        <v>1</v>
      </c>
      <c r="M1001" s="182"/>
      <c r="N1001" s="182"/>
      <c r="O1001" s="183" t="s">
        <v>95</v>
      </c>
      <c r="P1001" s="183" t="s">
        <v>96</v>
      </c>
      <c r="Q1001" s="183" t="s">
        <v>97</v>
      </c>
      <c r="R1001" s="183">
        <v>5</v>
      </c>
      <c r="S1001" s="183">
        <v>2</v>
      </c>
      <c r="T1001" s="183">
        <v>5</v>
      </c>
      <c r="U1001" s="183" t="s">
        <v>22</v>
      </c>
      <c r="V1001" s="183"/>
      <c r="W1001" s="183"/>
      <c r="X1001" s="183"/>
      <c r="Y1001" s="184">
        <f>IF(ISBLANK(O1001),"",(IF(O1001=UPPER("IB"),0.005,0.01)))</f>
        <v>0.01</v>
      </c>
      <c r="Z1001" s="185">
        <f>IF(ISBLANK(O1001),"",IF(O1001="IB",8.63*200,IF(O1001="IR",16*100,IF(O1001="YT",20*100,IF(O1001="YT-XT",24*200,IF(O1001="TED",80*100))))))</f>
        <v>1600</v>
      </c>
      <c r="AA1001" s="185" t="s">
        <v>998</v>
      </c>
      <c r="AB1001" s="185"/>
      <c r="AC1001" s="185"/>
      <c r="AD1001" s="649">
        <v>0.08</v>
      </c>
      <c r="AE1001" s="182"/>
      <c r="AF1001" s="332"/>
      <c r="AG1001" s="182"/>
      <c r="AH1001" s="182"/>
      <c r="AI1001" s="182"/>
      <c r="AJ1001" s="640"/>
      <c r="AK1001" s="182"/>
      <c r="AL1001" s="496"/>
      <c r="AM1001" s="496"/>
      <c r="AN1001" s="626"/>
      <c r="AO1001" s="182"/>
      <c r="AP1001" s="182" t="s">
        <v>804</v>
      </c>
      <c r="AQ1001" s="332" t="str">
        <f>UPPER(RIGHT(Journal_Live[[#This Row],[DURATION ]]))</f>
        <v>D</v>
      </c>
      <c r="AR1001" s="182" t="s">
        <v>3744</v>
      </c>
      <c r="AS1001" s="189">
        <f>(0.11*2+0.11*3)/5</f>
        <v>0.11000000000000001</v>
      </c>
      <c r="AT1001" s="189">
        <f>IF(ISBLANK(AS1001),,IF(U1001="S",AD1001-AS1001,AS1001-AD1001))</f>
        <v>3.0000000000000013E-2</v>
      </c>
      <c r="AU1001" s="187">
        <f>AV1001*R1001</f>
        <v>240.00000000000011</v>
      </c>
      <c r="AV1001" s="190">
        <f>IF(ISBLANK(AS1001),,(AT1001*Z1001))</f>
        <v>48.000000000000021</v>
      </c>
      <c r="AW1001" s="191" t="s">
        <v>96</v>
      </c>
      <c r="AX1001" s="407"/>
      <c r="AY1001" s="407"/>
      <c r="AZ1001" s="407"/>
      <c r="BA1001" s="407"/>
      <c r="BB1001" s="407"/>
      <c r="BC1001" s="407"/>
      <c r="BD1001" s="407"/>
      <c r="BE1001" s="407"/>
      <c r="BF1001" s="422"/>
      <c r="BG1001" s="391">
        <f>SUM($AV$4:AV1001)</f>
        <v>4591.0400534547416</v>
      </c>
      <c r="BH1001" s="392">
        <f>SUM($AU$134:AU1001)</f>
        <v>20653.242000000151</v>
      </c>
      <c r="BI1001" s="318">
        <f>SUMIFS($AU$134:AU1002,$Q$134:Q1002,"F")</f>
        <v>7174.5333333333328</v>
      </c>
      <c r="BJ1001" s="318">
        <f>SUMIFS($AU$134:AU1002,$Q$134:Q1002,"S")</f>
        <v>14436.441999999999</v>
      </c>
      <c r="BK1001" s="343">
        <f>SUMIFS($AU$134:AU1002,$P$134:P1002,"W")</f>
        <v>12883.74199999994</v>
      </c>
      <c r="BL1001" s="343">
        <f>SUMIFS($AU$134:AU1002,$P$134:P1002,"R")</f>
        <v>8468.6733333333359</v>
      </c>
      <c r="BM1001" s="343">
        <f>SUMIFS($AU$134:AU1002,$AQ$134:AQ1002,"M")</f>
        <v>2505.3999999999182</v>
      </c>
      <c r="BN1001" s="343">
        <f>SUMIFS($AU$134:AU1002,$AQ$134:AQ1002,"H")</f>
        <v>6110.1420000000153</v>
      </c>
      <c r="BO1001" s="343">
        <f>SUMIFS($AU$134:AU1002,$AQ$134:AQ1002,"D")</f>
        <v>6880.3466666667146</v>
      </c>
      <c r="BP1001" s="343">
        <f>SUMIFS($AU$134:AU1004,$AQ$134:AQ1004,"W")</f>
        <v>3410.7233333332406</v>
      </c>
      <c r="BQ1001" s="343">
        <f>SUMIFS($AU$134:AU1002,$Q$134:Q1002,"O")</f>
        <v>-852.93333333318697</v>
      </c>
      <c r="BR1001" s="343">
        <f>SUMIFS($AU$134:AU1002,$AA$134:AA1002,"*")</f>
        <v>19129.475333333259</v>
      </c>
      <c r="BS1001" s="343">
        <f>SUMIFS($AU$134:AU1002,$AB$134:AB1002,"*")</f>
        <v>5010.2666666668902</v>
      </c>
      <c r="BT1001" s="343">
        <f>SUMIFS($AU$134:AU1002,$AC$134:AC1002,"*")</f>
        <v>11639.683333333332</v>
      </c>
      <c r="BU1001" s="343">
        <f>SUMIFS($AU$134:AU1002,$AA$134:AA1002,"*",$AB$134:AB1002,"*")</f>
        <v>3538.0000000000045</v>
      </c>
      <c r="BV1001" s="343">
        <f>SUMIFS($AU$134:AU1002,$AA$134:AA1002,"*",$AC$134:AC1002,"*")</f>
        <v>10172.783333333333</v>
      </c>
      <c r="BW1001" s="343">
        <f>SUMIFS($AU$134:AU1002,$AB$134:AB1002,"*",$AC$134:AC1002,"*")</f>
        <v>5662.6</v>
      </c>
      <c r="BX1001" s="343">
        <f>SUMIFS($AU1002:AU$1388,$Q1002:Q$1388,"F")</f>
        <v>7266.1333333333332</v>
      </c>
      <c r="BY1001" s="343">
        <f>SUMIFS($AU1002:AU$1388,$Q1002:Q$1388,"S")</f>
        <v>6235.2000000000016</v>
      </c>
      <c r="BZ1001" s="343">
        <f>SUMIFS($AU1002:AU$1388,$Q1002:Q$1388,"O")</f>
        <v>-795.9246666666113</v>
      </c>
    </row>
    <row r="1002" spans="1:78" ht="15.75" customHeight="1">
      <c r="A1002" s="221" t="s">
        <v>3735</v>
      </c>
      <c r="B1002" s="177">
        <v>45170</v>
      </c>
      <c r="C1002" s="178" t="s">
        <v>682</v>
      </c>
      <c r="D1002" s="178" t="s">
        <v>111</v>
      </c>
      <c r="E1002" s="227"/>
      <c r="F1002" s="180"/>
      <c r="G1002" s="181" t="s">
        <v>3617</v>
      </c>
      <c r="H1002" s="182"/>
      <c r="I1002" s="182"/>
      <c r="J1002" s="182"/>
      <c r="K1002" s="183"/>
      <c r="L1002" s="182">
        <v>1</v>
      </c>
      <c r="M1002" s="182"/>
      <c r="N1002" s="182"/>
      <c r="O1002" s="183" t="s">
        <v>3618</v>
      </c>
      <c r="P1002" s="183" t="s">
        <v>2260</v>
      </c>
      <c r="Q1002" s="183" t="s">
        <v>684</v>
      </c>
      <c r="R1002" s="183">
        <v>1</v>
      </c>
      <c r="S1002" s="183">
        <v>0</v>
      </c>
      <c r="T1002" s="183">
        <v>1</v>
      </c>
      <c r="U1002" s="183" t="s">
        <v>22</v>
      </c>
      <c r="V1002" s="183"/>
      <c r="W1002" s="183"/>
      <c r="X1002" s="183"/>
      <c r="Y1002" s="184">
        <f>IF(ISBLANK(O1002),"",(IF(O1002=UPPER("IB"),0.005,0.01)))</f>
        <v>0.01</v>
      </c>
      <c r="Z1002" s="185">
        <f>IF(ISBLANK(O1002),"",IF(O1002="IB",8.63*200,IF(O1002="IR",16*100,IF(O1002="YT",20*100,IF(O1002="YT-XT",24*200,IF(O1002="TED",80*100,IF(O1002="XT",36*200)))))))</f>
        <v>7200</v>
      </c>
      <c r="AA1002" s="185" t="s">
        <v>3745</v>
      </c>
      <c r="AB1002" s="185" t="s">
        <v>3746</v>
      </c>
      <c r="AC1002" s="185"/>
      <c r="AD1002" s="649">
        <v>96.025000000000006</v>
      </c>
      <c r="AE1002" s="182"/>
      <c r="AF1002" s="332"/>
      <c r="AG1002" s="182"/>
      <c r="AH1002" s="182"/>
      <c r="AI1002" s="182"/>
      <c r="AJ1002" s="640"/>
      <c r="AK1002" s="182"/>
      <c r="AL1002" s="496"/>
      <c r="AM1002" s="496"/>
      <c r="AN1002" s="626"/>
      <c r="AO1002" s="182"/>
      <c r="AP1002" s="182" t="s">
        <v>1752</v>
      </c>
      <c r="AQ1002" s="332" t="str">
        <f>UPPER(RIGHT(Journal_Live[[#This Row],[DURATION ]]))</f>
        <v>M</v>
      </c>
      <c r="AR1002" s="182" t="s">
        <v>682</v>
      </c>
      <c r="AS1002" s="189">
        <v>96.025000000000006</v>
      </c>
      <c r="AT1002" s="189">
        <f>IF(ISBLANK(AS1002),,IF(U1002="S",AD1002-AS1002,AS1002-AD1002))</f>
        <v>0</v>
      </c>
      <c r="AU1002" s="187">
        <f>AV1002*R1002</f>
        <v>0</v>
      </c>
      <c r="AV1002" s="190">
        <f>IF(ISBLANK(AS1002),,(AT1002*Z1002))</f>
        <v>0</v>
      </c>
      <c r="AW1002" s="191" t="s">
        <v>115</v>
      </c>
      <c r="AX1002" s="407" t="s">
        <v>3747</v>
      </c>
      <c r="AY1002" s="407" t="s">
        <v>3748</v>
      </c>
      <c r="AZ1002" s="407"/>
      <c r="BA1002" s="407"/>
      <c r="BB1002" s="407"/>
      <c r="BC1002" s="407"/>
      <c r="BD1002" s="407"/>
      <c r="BE1002" s="407"/>
      <c r="BF1002" s="422"/>
      <c r="BG1002" s="391">
        <f>SUM($AV$4:AV1002)</f>
        <v>4591.0400534547416</v>
      </c>
      <c r="BH1002" s="392">
        <f>SUM($AU$134:AU1002)</f>
        <v>20653.242000000151</v>
      </c>
      <c r="BI1002" s="318">
        <f>SUMIFS($AU$134:AU1003,$Q$134:Q1003,"F")</f>
        <v>7174.5333333333328</v>
      </c>
      <c r="BJ1002" s="318">
        <f>SUMIFS($AU$134:AU1003,$Q$134:Q1003,"S")</f>
        <v>14436.441999999999</v>
      </c>
      <c r="BK1002" s="343">
        <f>SUMIFS($AU$134:AU1003,$P$134:P1003,"W")</f>
        <v>12883.74199999994</v>
      </c>
      <c r="BL1002" s="343">
        <f>SUMIFS($AU$134:AU1003,$P$134:P1003,"R")</f>
        <v>8468.6733333333359</v>
      </c>
      <c r="BM1002" s="343">
        <f>SUMIFS($AU$134:AU1003,$AQ$134:AQ1003,"M")</f>
        <v>2505.3999999999182</v>
      </c>
      <c r="BN1002" s="343">
        <f>SUMIFS($AU$134:AU1003,$AQ$134:AQ1003,"H")</f>
        <v>6110.1420000000153</v>
      </c>
      <c r="BO1002" s="343">
        <f>SUMIFS($AU$134:AU1003,$AQ$134:AQ1003,"D")</f>
        <v>6880.3466666667146</v>
      </c>
      <c r="BP1002" s="343">
        <f>SUMIFS($AU$134:AU1005,$AQ$134:AQ1005,"W")</f>
        <v>3410.7233333332406</v>
      </c>
      <c r="BQ1002" s="343">
        <f>SUMIFS($AU$134:AU1003,$Q$134:Q1003,"O")</f>
        <v>-852.93333333318697</v>
      </c>
      <c r="BR1002" s="343">
        <f>SUMIFS($AU$134:AU1003,$AA$134:AA1003,"*")</f>
        <v>19129.475333333259</v>
      </c>
      <c r="BS1002" s="343">
        <f>SUMIFS($AU$134:AU1003,$AB$134:AB1003,"*")</f>
        <v>5010.2666666668902</v>
      </c>
      <c r="BT1002" s="343">
        <f>SUMIFS($AU$134:AU1003,$AC$134:AC1003,"*")</f>
        <v>11639.683333333332</v>
      </c>
      <c r="BU1002" s="343">
        <f>SUMIFS($AU$134:AU1003,$AA$134:AA1003,"*",$AB$134:AB1003,"*")</f>
        <v>3538.0000000000045</v>
      </c>
      <c r="BV1002" s="343">
        <f>SUMIFS($AU$134:AU1003,$AA$134:AA1003,"*",$AC$134:AC1003,"*")</f>
        <v>10172.783333333333</v>
      </c>
      <c r="BW1002" s="343">
        <f>SUMIFS($AU$134:AU1003,$AB$134:AB1003,"*",$AC$134:AC1003,"*")</f>
        <v>5662.6</v>
      </c>
      <c r="BX1002" s="343">
        <f>SUMIFS($AU1003:AU$1388,$Q1003:Q$1388,"F")</f>
        <v>7266.1333333333332</v>
      </c>
      <c r="BY1002" s="343">
        <f>SUMIFS($AU1003:AU$1388,$Q1003:Q$1388,"S")</f>
        <v>6235.2000000000016</v>
      </c>
      <c r="BZ1002" s="343">
        <f>SUMIFS($AU1003:AU$1388,$Q1003:Q$1388,"O")</f>
        <v>-795.9246666666113</v>
      </c>
    </row>
    <row r="1003" spans="1:78" ht="15.75" customHeight="1">
      <c r="A1003" s="221" t="s">
        <v>3735</v>
      </c>
      <c r="B1003" s="177">
        <v>45170</v>
      </c>
      <c r="C1003" s="178" t="s">
        <v>682</v>
      </c>
      <c r="D1003" s="178" t="s">
        <v>111</v>
      </c>
      <c r="E1003" s="227"/>
      <c r="F1003" s="180"/>
      <c r="G1003" s="281" t="s">
        <v>136</v>
      </c>
      <c r="H1003" s="182"/>
      <c r="I1003" s="182"/>
      <c r="J1003" s="182"/>
      <c r="K1003" s="183"/>
      <c r="L1003" s="182">
        <v>1</v>
      </c>
      <c r="M1003" s="182"/>
      <c r="N1003" s="182"/>
      <c r="O1003" s="183" t="s">
        <v>95</v>
      </c>
      <c r="P1003" s="183" t="s">
        <v>96</v>
      </c>
      <c r="Q1003" s="183" t="s">
        <v>97</v>
      </c>
      <c r="R1003" s="183">
        <v>5</v>
      </c>
      <c r="S1003" s="183">
        <v>0</v>
      </c>
      <c r="T1003" s="183">
        <v>5</v>
      </c>
      <c r="U1003" s="183" t="s">
        <v>22</v>
      </c>
      <c r="V1003" s="183"/>
      <c r="W1003" s="183"/>
      <c r="X1003" s="183"/>
      <c r="Y1003" s="184">
        <f>IF(ISBLANK(O1003),"",(IF(O1003=UPPER("IB"),0.005,0.01)))</f>
        <v>0.01</v>
      </c>
      <c r="Z1003" s="185">
        <f>IF(ISBLANK(O1003),"",IF(O1003="IB",8.63*200,IF(O1003="IR",16*100,IF(O1003="YT",20*100,IF(O1003="YT-XT",24*200,IF(O1003="TED",80*100))))))</f>
        <v>1600</v>
      </c>
      <c r="AA1003" s="185" t="s">
        <v>3749</v>
      </c>
      <c r="AB1003" s="185"/>
      <c r="AC1003" s="185"/>
      <c r="AD1003" s="649">
        <v>-0.1</v>
      </c>
      <c r="AE1003" s="182"/>
      <c r="AF1003" s="332"/>
      <c r="AG1003" s="182"/>
      <c r="AH1003" s="182"/>
      <c r="AI1003" s="182"/>
      <c r="AJ1003" s="640"/>
      <c r="AK1003" s="182"/>
      <c r="AL1003" s="496"/>
      <c r="AM1003" s="496"/>
      <c r="AN1003" s="626"/>
      <c r="AO1003" s="182"/>
      <c r="AP1003" s="182" t="s">
        <v>1897</v>
      </c>
      <c r="AQ1003" s="332" t="str">
        <f>UPPER(RIGHT(Journal_Live[[#This Row],[DURATION ]]))</f>
        <v>H</v>
      </c>
      <c r="AR1003" s="182" t="s">
        <v>3750</v>
      </c>
      <c r="AS1003" s="189">
        <v>-0.1</v>
      </c>
      <c r="AT1003" s="189">
        <f>IF(ISBLANK(AS1003),,IF(U1003="S",AD1003-AS1003,AS1003-AD1003))</f>
        <v>0</v>
      </c>
      <c r="AU1003" s="187">
        <f>AV1003*R1003</f>
        <v>0</v>
      </c>
      <c r="AV1003" s="190">
        <f>IF(ISBLANK(AS1003),,(AT1003*Z1003))</f>
        <v>0</v>
      </c>
      <c r="AW1003" s="191" t="s">
        <v>115</v>
      </c>
      <c r="AX1003" s="407"/>
      <c r="AY1003" s="407"/>
      <c r="AZ1003" s="407"/>
      <c r="BA1003" s="407"/>
      <c r="BB1003" s="407"/>
      <c r="BC1003" s="407"/>
      <c r="BD1003" s="407"/>
      <c r="BE1003" s="407"/>
      <c r="BF1003" s="422"/>
      <c r="BG1003" s="391">
        <f>SUM($AV$4:AV1003)</f>
        <v>4591.0400534547416</v>
      </c>
      <c r="BH1003" s="392">
        <f>SUM($AU$134:AU1003)</f>
        <v>20653.242000000151</v>
      </c>
      <c r="BI1003" s="318">
        <f>SUMIFS($AU$134:AU1004,$Q$134:Q1004,"F")</f>
        <v>7174.5333333333328</v>
      </c>
      <c r="BJ1003" s="318">
        <f>SUMIFS($AU$134:AU1004,$Q$134:Q1004,"S")</f>
        <v>14436.441999999999</v>
      </c>
      <c r="BK1003" s="343">
        <f>SUMIFS($AU$134:AU1004,$P$134:P1004,"W")</f>
        <v>12883.74199999994</v>
      </c>
      <c r="BL1003" s="343">
        <f>SUMIFS($AU$134:AU1004,$P$134:P1004,"R")</f>
        <v>8468.6733333333359</v>
      </c>
      <c r="BM1003" s="343">
        <f>SUMIFS($AU$134:AU1004,$AQ$134:AQ1004,"M")</f>
        <v>2505.3999999999182</v>
      </c>
      <c r="BN1003" s="343">
        <f>SUMIFS($AU$134:AU1004,$AQ$134:AQ1004,"H")</f>
        <v>6110.1420000000153</v>
      </c>
      <c r="BO1003" s="343">
        <f>SUMIFS($AU$134:AU1004,$AQ$134:AQ1004,"D")</f>
        <v>6880.3466666667146</v>
      </c>
      <c r="BP1003" s="343">
        <f>SUMIFS($AU$134:AU1006,$AQ$134:AQ1006,"W")</f>
        <v>3410.7233333332406</v>
      </c>
      <c r="BQ1003" s="343">
        <f>SUMIFS($AU$134:AU1004,$Q$134:Q1004,"O")</f>
        <v>-852.93333333318697</v>
      </c>
      <c r="BR1003" s="343">
        <f>SUMIFS($AU$134:AU1004,$AA$134:AA1004,"*")</f>
        <v>19129.475333333259</v>
      </c>
      <c r="BS1003" s="343">
        <f>SUMIFS($AU$134:AU1004,$AB$134:AB1004,"*")</f>
        <v>5010.2666666668902</v>
      </c>
      <c r="BT1003" s="343">
        <f>SUMIFS($AU$134:AU1004,$AC$134:AC1004,"*")</f>
        <v>11639.683333333332</v>
      </c>
      <c r="BU1003" s="343">
        <f>SUMIFS($AU$134:AU1004,$AA$134:AA1004,"*",$AB$134:AB1004,"*")</f>
        <v>3538.0000000000045</v>
      </c>
      <c r="BV1003" s="343">
        <f>SUMIFS($AU$134:AU1004,$AA$134:AA1004,"*",$AC$134:AC1004,"*")</f>
        <v>10172.783333333333</v>
      </c>
      <c r="BW1003" s="343">
        <f>SUMIFS($AU$134:AU1004,$AB$134:AB1004,"*",$AC$134:AC1004,"*")</f>
        <v>5662.6</v>
      </c>
      <c r="BX1003" s="343">
        <f>SUMIFS($AU1004:AU$1388,$Q1004:Q$1388,"F")</f>
        <v>7266.1333333333332</v>
      </c>
      <c r="BY1003" s="343">
        <f>SUMIFS($AU1004:AU$1388,$Q1004:Q$1388,"S")</f>
        <v>6235.2000000000016</v>
      </c>
      <c r="BZ1003" s="343">
        <f>SUMIFS($AU1004:AU$1388,$Q1004:Q$1388,"O")</f>
        <v>-795.9246666666113</v>
      </c>
    </row>
    <row r="1004" spans="1:78" ht="15.75" customHeight="1">
      <c r="A1004" s="221" t="s">
        <v>3735</v>
      </c>
      <c r="B1004" s="177">
        <v>45170</v>
      </c>
      <c r="C1004" s="178" t="s">
        <v>1187</v>
      </c>
      <c r="D1004" s="178" t="s">
        <v>111</v>
      </c>
      <c r="E1004" s="227" t="s">
        <v>3751</v>
      </c>
      <c r="F1004" s="180" t="s">
        <v>3752</v>
      </c>
      <c r="G1004" s="181"/>
      <c r="H1004" s="182">
        <v>1</v>
      </c>
      <c r="I1004" s="182"/>
      <c r="J1004" s="182"/>
      <c r="K1004" s="183" t="s">
        <v>115</v>
      </c>
      <c r="L1004" s="182"/>
      <c r="M1004" s="182"/>
      <c r="N1004" s="182"/>
      <c r="O1004" s="183"/>
      <c r="P1004" s="183"/>
      <c r="Q1004" s="183"/>
      <c r="R1004" s="183"/>
      <c r="S1004" s="183"/>
      <c r="T1004" s="183"/>
      <c r="U1004" s="183"/>
      <c r="V1004" s="183"/>
      <c r="W1004" s="183"/>
      <c r="X1004" s="183"/>
      <c r="Y1004" s="183"/>
      <c r="Z1004" s="185" t="str">
        <f>IF(ISBLANK(O1004),"",IF(O1004="IB",8.63*200,IF(O1004="IR",16*100,IF(O1004="YT",20*100,IF(O1004="YT-XT",24*200,IF(O1004="TED",80*100))))))</f>
        <v/>
      </c>
      <c r="AA1004" s="185"/>
      <c r="AB1004" s="185"/>
      <c r="AC1004" s="185"/>
      <c r="AD1004" s="649"/>
      <c r="AE1004" s="182"/>
      <c r="AF1004" s="332"/>
      <c r="AG1004" s="182"/>
      <c r="AH1004" s="182"/>
      <c r="AI1004" s="182"/>
      <c r="AJ1004" s="640"/>
      <c r="AK1004" s="182"/>
      <c r="AL1004" s="496"/>
      <c r="AM1004" s="496"/>
      <c r="AN1004" s="626"/>
      <c r="AO1004" s="182"/>
      <c r="AP1004" s="182"/>
      <c r="AQ1004" s="332" t="str">
        <f>UPPER(RIGHT(Journal_Live[[#This Row],[DURATION ]]))</f>
        <v/>
      </c>
      <c r="AR1004" s="182"/>
      <c r="AS1004" s="189"/>
      <c r="AT1004" s="189"/>
      <c r="AU1004" s="187"/>
      <c r="AV1004" s="190"/>
      <c r="AW1004" s="191"/>
      <c r="AX1004" s="407" t="s">
        <v>3753</v>
      </c>
      <c r="AY1004" s="407"/>
      <c r="AZ1004" s="407"/>
      <c r="BA1004" s="407"/>
      <c r="BB1004" s="407"/>
      <c r="BC1004" s="407"/>
      <c r="BD1004" s="407"/>
      <c r="BE1004" s="407"/>
      <c r="BF1004" s="422"/>
      <c r="BG1004" s="391">
        <f>SUM($AV$4:AV1004)</f>
        <v>4591.0400534547416</v>
      </c>
      <c r="BH1004" s="392">
        <f>SUM($AU$134:AU1004)</f>
        <v>20653.242000000151</v>
      </c>
      <c r="BI1004" s="318">
        <f>SUMIFS($AU$134:AU1005,$Q$134:Q1005,"F")</f>
        <v>7174.5333333333328</v>
      </c>
      <c r="BJ1004" s="318">
        <f>SUMIFS($AU$134:AU1005,$Q$134:Q1005,"S")</f>
        <v>14436.441999999999</v>
      </c>
      <c r="BK1004" s="343">
        <f>SUMIFS($AU$134:AU1005,$P$134:P1005,"W")</f>
        <v>12883.74199999994</v>
      </c>
      <c r="BL1004" s="343">
        <f>SUMIFS($AU$134:AU1005,$P$134:P1005,"R")</f>
        <v>8468.6733333333359</v>
      </c>
      <c r="BM1004" s="343">
        <f>SUMIFS($AU$134:AU1005,$AQ$134:AQ1005,"M")</f>
        <v>2505.3999999999182</v>
      </c>
      <c r="BN1004" s="343">
        <f>SUMIFS($AU$134:AU1005,$AQ$134:AQ1005,"H")</f>
        <v>6110.1420000000153</v>
      </c>
      <c r="BO1004" s="343">
        <f>SUMIFS($AU$134:AU1005,$AQ$134:AQ1005,"D")</f>
        <v>6880.3466666667146</v>
      </c>
      <c r="BP1004" s="343">
        <f>SUMIFS($AU$134:AU1007,$AQ$134:AQ1007,"W")</f>
        <v>3410.7233333332406</v>
      </c>
      <c r="BQ1004" s="343">
        <f>SUMIFS($AU$134:AU1005,$Q$134:Q1005,"O")</f>
        <v>-852.93333333318697</v>
      </c>
      <c r="BR1004" s="343">
        <f>SUMIFS($AU$134:AU1005,$AA$134:AA1005,"*")</f>
        <v>19129.475333333259</v>
      </c>
      <c r="BS1004" s="343">
        <f>SUMIFS($AU$134:AU1005,$AB$134:AB1005,"*")</f>
        <v>5010.2666666668902</v>
      </c>
      <c r="BT1004" s="343">
        <f>SUMIFS($AU$134:AU1005,$AC$134:AC1005,"*")</f>
        <v>11639.683333333332</v>
      </c>
      <c r="BU1004" s="343">
        <f>SUMIFS($AU$134:AU1005,$AA$134:AA1005,"*",$AB$134:AB1005,"*")</f>
        <v>3538.0000000000045</v>
      </c>
      <c r="BV1004" s="343">
        <f>SUMIFS($AU$134:AU1005,$AA$134:AA1005,"*",$AC$134:AC1005,"*")</f>
        <v>10172.783333333333</v>
      </c>
      <c r="BW1004" s="343">
        <f>SUMIFS($AU$134:AU1005,$AB$134:AB1005,"*",$AC$134:AC1005,"*")</f>
        <v>5662.6</v>
      </c>
      <c r="BX1004" s="343">
        <f>SUMIFS($AU1005:AU$1388,$Q1005:Q$1388,"F")</f>
        <v>7266.1333333333332</v>
      </c>
      <c r="BY1004" s="343">
        <f>SUMIFS($AU1005:AU$1388,$Q1005:Q$1388,"S")</f>
        <v>6235.2000000000016</v>
      </c>
      <c r="BZ1004" s="343">
        <f>SUMIFS($AU1005:AU$1388,$Q1005:Q$1388,"O")</f>
        <v>-795.9246666666113</v>
      </c>
    </row>
    <row r="1005" spans="1:78" ht="15.75" customHeight="1">
      <c r="A1005" s="221" t="s">
        <v>3735</v>
      </c>
      <c r="B1005" s="177">
        <v>45170</v>
      </c>
      <c r="C1005" s="178" t="s">
        <v>2722</v>
      </c>
      <c r="D1005" s="178" t="s">
        <v>111</v>
      </c>
      <c r="E1005" s="227"/>
      <c r="F1005" s="180"/>
      <c r="G1005" s="281" t="s">
        <v>2070</v>
      </c>
      <c r="H1005" s="182"/>
      <c r="I1005" s="182"/>
      <c r="J1005" s="182"/>
      <c r="K1005" s="183"/>
      <c r="L1005" s="182">
        <v>1</v>
      </c>
      <c r="M1005" s="182"/>
      <c r="N1005" s="182"/>
      <c r="O1005" s="183" t="s">
        <v>95</v>
      </c>
      <c r="P1005" s="183" t="s">
        <v>137</v>
      </c>
      <c r="Q1005" s="183" t="s">
        <v>97</v>
      </c>
      <c r="R1005" s="183">
        <v>4</v>
      </c>
      <c r="S1005" s="183">
        <v>0</v>
      </c>
      <c r="T1005" s="183">
        <v>4</v>
      </c>
      <c r="U1005" s="183" t="s">
        <v>97</v>
      </c>
      <c r="V1005" s="183"/>
      <c r="W1005" s="183"/>
      <c r="X1005" s="183"/>
      <c r="Y1005" s="184">
        <f>IF(ISBLANK(O1005),"",(IF(O1005=UPPER("IB"),0.005,0.01)))</f>
        <v>0.01</v>
      </c>
      <c r="Z1005" s="185">
        <f>IF(ISBLANK(O1005),"",IF(O1005="IB",8.63*200,IF(O1005="IR",16*100,IF(O1005="YT",20*100,IF(O1005="YT-XT",24*200,IF(O1005="TED",80*100))))))</f>
        <v>1600</v>
      </c>
      <c r="AA1005" s="185" t="s">
        <v>99</v>
      </c>
      <c r="AB1005" s="185"/>
      <c r="AC1005" s="185" t="s">
        <v>3754</v>
      </c>
      <c r="AD1005" s="649">
        <v>-0.1</v>
      </c>
      <c r="AE1005" s="182"/>
      <c r="AF1005" s="332"/>
      <c r="AG1005" s="182"/>
      <c r="AH1005" s="182"/>
      <c r="AI1005" s="182"/>
      <c r="AJ1005" s="640"/>
      <c r="AK1005" s="182"/>
      <c r="AL1005" s="496">
        <f t="shared" ref="AL1005" si="311">-0.025*Z1005</f>
        <v>-40</v>
      </c>
      <c r="AM1005" s="496">
        <f>AL1005*(R1005-S1005)</f>
        <v>-160</v>
      </c>
      <c r="AN1005" s="626"/>
      <c r="AO1005" s="182"/>
      <c r="AP1005" s="182" t="s">
        <v>804</v>
      </c>
      <c r="AQ1005" s="332" t="str">
        <f>UPPER(RIGHT(Journal_Live[[#This Row],[DURATION ]]))</f>
        <v>D</v>
      </c>
      <c r="AR1005" s="182" t="s">
        <v>1316</v>
      </c>
      <c r="AS1005" s="189">
        <v>-0.1</v>
      </c>
      <c r="AT1005" s="189">
        <f>IF(ISBLANK(AS1005),,IF(U1005="S",AD1005-AS1005,AS1005-AD1005))</f>
        <v>0</v>
      </c>
      <c r="AU1005" s="187">
        <f>AV1005*R1005</f>
        <v>0</v>
      </c>
      <c r="AV1005" s="190">
        <f>IF(ISBLANK(AS1005),,(AT1005*Z1005))</f>
        <v>0</v>
      </c>
      <c r="AW1005" s="191" t="s">
        <v>115</v>
      </c>
      <c r="AX1005" s="407" t="s">
        <v>3755</v>
      </c>
      <c r="AY1005" s="407"/>
      <c r="AZ1005" s="407"/>
      <c r="BA1005" s="407"/>
      <c r="BB1005" s="407"/>
      <c r="BC1005" s="407"/>
      <c r="BD1005" s="407"/>
      <c r="BE1005" s="407"/>
      <c r="BF1005" s="422"/>
      <c r="BG1005" s="391">
        <f>SUM($AV$4:AV1005)</f>
        <v>4591.0400534547416</v>
      </c>
      <c r="BH1005" s="392">
        <f>SUM($AU$134:AU1005)</f>
        <v>20653.242000000151</v>
      </c>
      <c r="BI1005" s="318">
        <f>SUMIFS($AU$134:AU1006,$Q$134:Q1006,"F")</f>
        <v>7174.5333333333328</v>
      </c>
      <c r="BJ1005" s="318">
        <f>SUMIFS($AU$134:AU1006,$Q$134:Q1006,"S")</f>
        <v>14436.441999999999</v>
      </c>
      <c r="BK1005" s="343">
        <f>SUMIFS($AU$134:AU1006,$P$134:P1006,"W")</f>
        <v>12883.74199999994</v>
      </c>
      <c r="BL1005" s="343">
        <f>SUMIFS($AU$134:AU1006,$P$134:P1006,"R")</f>
        <v>8468.6733333333359</v>
      </c>
      <c r="BM1005" s="343">
        <f>SUMIFS($AU$134:AU1006,$AQ$134:AQ1006,"M")</f>
        <v>2505.3999999999182</v>
      </c>
      <c r="BN1005" s="343">
        <f>SUMIFS($AU$134:AU1006,$AQ$134:AQ1006,"H")</f>
        <v>6110.1420000000153</v>
      </c>
      <c r="BO1005" s="343">
        <f>SUMIFS($AU$134:AU1006,$AQ$134:AQ1006,"D")</f>
        <v>6880.3466666667146</v>
      </c>
      <c r="BP1005" s="343">
        <f>SUMIFS($AU$134:AU1008,$AQ$134:AQ1008,"W")</f>
        <v>3410.7233333332406</v>
      </c>
      <c r="BQ1005" s="343">
        <f>SUMIFS($AU$134:AU1006,$Q$134:Q1006,"O")</f>
        <v>-852.93333333318697</v>
      </c>
      <c r="BR1005" s="343">
        <f>SUMIFS($AU$134:AU1006,$AA$134:AA1006,"*")</f>
        <v>19129.475333333259</v>
      </c>
      <c r="BS1005" s="343">
        <f>SUMIFS($AU$134:AU1006,$AB$134:AB1006,"*")</f>
        <v>5010.2666666668902</v>
      </c>
      <c r="BT1005" s="343">
        <f>SUMIFS($AU$134:AU1006,$AC$134:AC1006,"*")</f>
        <v>11639.683333333332</v>
      </c>
      <c r="BU1005" s="343">
        <f>SUMIFS($AU$134:AU1006,$AA$134:AA1006,"*",$AB$134:AB1006,"*")</f>
        <v>3538.0000000000045</v>
      </c>
      <c r="BV1005" s="343">
        <f>SUMIFS($AU$134:AU1006,$AA$134:AA1006,"*",$AC$134:AC1006,"*")</f>
        <v>10172.783333333333</v>
      </c>
      <c r="BW1005" s="343">
        <f>SUMIFS($AU$134:AU1006,$AB$134:AB1006,"*",$AC$134:AC1006,"*")</f>
        <v>5662.6</v>
      </c>
      <c r="BX1005" s="343">
        <f>SUMIFS($AU1006:AU$1388,$Q1006:Q$1388,"F")</f>
        <v>7266.1333333333332</v>
      </c>
      <c r="BY1005" s="343">
        <f>SUMIFS($AU1006:AU$1388,$Q1006:Q$1388,"S")</f>
        <v>6235.2000000000016</v>
      </c>
      <c r="BZ1005" s="343">
        <f>SUMIFS($AU1006:AU$1388,$Q1006:Q$1388,"O")</f>
        <v>-795.9246666666113</v>
      </c>
    </row>
    <row r="1006" spans="1:78" ht="15.75" customHeight="1">
      <c r="A1006" s="221" t="s">
        <v>3735</v>
      </c>
      <c r="B1006" s="177">
        <v>45173</v>
      </c>
      <c r="C1006" s="178" t="s">
        <v>2081</v>
      </c>
      <c r="D1006" s="178" t="s">
        <v>132</v>
      </c>
      <c r="E1006" s="227"/>
      <c r="F1006" s="180"/>
      <c r="G1006" s="181" t="s">
        <v>2145</v>
      </c>
      <c r="H1006" s="182"/>
      <c r="I1006" s="182"/>
      <c r="J1006" s="182"/>
      <c r="K1006" s="183"/>
      <c r="L1006" s="182"/>
      <c r="M1006" s="182"/>
      <c r="N1006" s="182"/>
      <c r="O1006" s="183"/>
      <c r="P1006" s="183"/>
      <c r="Q1006" s="183"/>
      <c r="R1006" s="183"/>
      <c r="S1006" s="183"/>
      <c r="T1006" s="183"/>
      <c r="U1006" s="183"/>
      <c r="V1006" s="183"/>
      <c r="W1006" s="183"/>
      <c r="X1006" s="183"/>
      <c r="Y1006" s="184"/>
      <c r="Z1006" s="185"/>
      <c r="AA1006" s="185"/>
      <c r="AB1006" s="185"/>
      <c r="AC1006" s="185"/>
      <c r="AD1006" s="649"/>
      <c r="AE1006" s="182"/>
      <c r="AF1006" s="332"/>
      <c r="AG1006" s="182"/>
      <c r="AH1006" s="182"/>
      <c r="AI1006" s="182"/>
      <c r="AJ1006" s="640"/>
      <c r="AK1006" s="182"/>
      <c r="AL1006" s="496">
        <f>-0.03*Z1006</f>
        <v>0</v>
      </c>
      <c r="AM1006" s="496">
        <f>AL1006*(R1006-S1006)</f>
        <v>0</v>
      </c>
      <c r="AN1006" s="626"/>
      <c r="AO1006" s="182"/>
      <c r="AP1006" s="182"/>
      <c r="AQ1006" s="332" t="str">
        <f>UPPER(RIGHT(Journal_Live[[#This Row],[DURATION ]]))</f>
        <v/>
      </c>
      <c r="AR1006" s="182"/>
      <c r="AS1006" s="189"/>
      <c r="AT1006" s="189"/>
      <c r="AU1006" s="187"/>
      <c r="AV1006" s="190"/>
      <c r="AW1006" s="191"/>
      <c r="AX1006" s="407" t="s">
        <v>3756</v>
      </c>
      <c r="AY1006" s="407" t="s">
        <v>3757</v>
      </c>
      <c r="AZ1006" s="407" t="s">
        <v>3758</v>
      </c>
      <c r="BA1006" s="407" t="s">
        <v>3759</v>
      </c>
      <c r="BB1006" s="407"/>
      <c r="BC1006" s="407"/>
      <c r="BD1006" s="407"/>
      <c r="BE1006" s="407"/>
      <c r="BF1006" s="422"/>
      <c r="BG1006" s="391">
        <f>SUM($AV$4:AV1006)</f>
        <v>4591.0400534547416</v>
      </c>
      <c r="BH1006" s="392">
        <f>SUM($AU$134:AU1006)</f>
        <v>20653.242000000151</v>
      </c>
      <c r="BI1006" s="318">
        <f>SUMIFS($AU$134:AU1007,$Q$134:Q1007,"F")</f>
        <v>7174.5333333333328</v>
      </c>
      <c r="BJ1006" s="318">
        <f>SUMIFS($AU$134:AU1007,$Q$134:Q1007,"S")</f>
        <v>14436.441999999999</v>
      </c>
      <c r="BK1006" s="343">
        <f>SUMIFS($AU$134:AU1007,$P$134:P1007,"W")</f>
        <v>12883.74199999994</v>
      </c>
      <c r="BL1006" s="343">
        <f>SUMIFS($AU$134:AU1007,$P$134:P1007,"R")</f>
        <v>8468.6733333333359</v>
      </c>
      <c r="BM1006" s="343">
        <f>SUMIFS($AU$134:AU1007,$AQ$134:AQ1007,"M")</f>
        <v>2505.3999999999182</v>
      </c>
      <c r="BN1006" s="343">
        <f>SUMIFS($AU$134:AU1007,$AQ$134:AQ1007,"H")</f>
        <v>6110.1420000000153</v>
      </c>
      <c r="BO1006" s="343">
        <f>SUMIFS($AU$134:AU1007,$AQ$134:AQ1007,"D")</f>
        <v>6880.3466666667146</v>
      </c>
      <c r="BP1006" s="343">
        <f>SUMIFS($AU$134:AU1009,$AQ$134:AQ1009,"W")</f>
        <v>3762.7233333332406</v>
      </c>
      <c r="BQ1006" s="343">
        <f>SUMIFS($AU$134:AU1007,$Q$134:Q1007,"O")</f>
        <v>-852.93333333318697</v>
      </c>
      <c r="BR1006" s="343">
        <f>SUMIFS($AU$134:AU1007,$AA$134:AA1007,"*")</f>
        <v>19129.475333333259</v>
      </c>
      <c r="BS1006" s="343">
        <f>SUMIFS($AU$134:AU1007,$AB$134:AB1007,"*")</f>
        <v>5010.2666666668902</v>
      </c>
      <c r="BT1006" s="343">
        <f>SUMIFS($AU$134:AU1007,$AC$134:AC1007,"*")</f>
        <v>11639.683333333332</v>
      </c>
      <c r="BU1006" s="343">
        <f>SUMIFS($AU$134:AU1007,$AA$134:AA1007,"*",$AB$134:AB1007,"*")</f>
        <v>3538.0000000000045</v>
      </c>
      <c r="BV1006" s="343">
        <f>SUMIFS($AU$134:AU1007,$AA$134:AA1007,"*",$AC$134:AC1007,"*")</f>
        <v>10172.783333333333</v>
      </c>
      <c r="BW1006" s="343">
        <f>SUMIFS($AU$134:AU1007,$AB$134:AB1007,"*",$AC$134:AC1007,"*")</f>
        <v>5662.6</v>
      </c>
      <c r="BX1006" s="343">
        <f>SUMIFS($AU1007:AU$1388,$Q1007:Q$1388,"F")</f>
        <v>7266.1333333333332</v>
      </c>
      <c r="BY1006" s="343">
        <f>SUMIFS($AU1007:AU$1388,$Q1007:Q$1388,"S")</f>
        <v>6235.2000000000016</v>
      </c>
      <c r="BZ1006" s="343">
        <f>SUMIFS($AU1007:AU$1388,$Q1007:Q$1388,"O")</f>
        <v>-795.9246666666113</v>
      </c>
    </row>
    <row r="1007" spans="1:78" ht="15.75" customHeight="1">
      <c r="A1007" s="221" t="s">
        <v>3735</v>
      </c>
      <c r="B1007" s="177">
        <v>45173</v>
      </c>
      <c r="C1007" s="178" t="s">
        <v>3760</v>
      </c>
      <c r="D1007" s="178" t="s">
        <v>132</v>
      </c>
      <c r="E1007" s="227"/>
      <c r="F1007" s="180"/>
      <c r="G1007" s="281" t="s">
        <v>136</v>
      </c>
      <c r="H1007" s="182"/>
      <c r="I1007" s="182"/>
      <c r="J1007" s="182"/>
      <c r="K1007" s="183"/>
      <c r="L1007" s="182">
        <v>1</v>
      </c>
      <c r="M1007" s="182"/>
      <c r="N1007" s="182"/>
      <c r="O1007" s="183" t="s">
        <v>95</v>
      </c>
      <c r="P1007" s="183" t="s">
        <v>96</v>
      </c>
      <c r="Q1007" s="183" t="s">
        <v>97</v>
      </c>
      <c r="R1007" s="183">
        <v>10</v>
      </c>
      <c r="S1007" s="183">
        <v>0</v>
      </c>
      <c r="T1007" s="183">
        <v>10</v>
      </c>
      <c r="U1007" s="183" t="s">
        <v>22</v>
      </c>
      <c r="V1007" s="183"/>
      <c r="W1007" s="183"/>
      <c r="X1007" s="183"/>
      <c r="Y1007" s="184">
        <f>IF(ISBLANK(O1007),"",(IF(O1007=UPPER("IB"),0.005,0.01)))</f>
        <v>0.01</v>
      </c>
      <c r="Z1007" s="185">
        <f>IF(ISBLANK(O1007),"",IF(O1007="IB",8.63*200,IF(O1007="IR",16*100,IF(O1007="YT",20*100,IF(O1007="YT-XT",24*200,IF(O1007="TED",80*100))))))</f>
        <v>1600</v>
      </c>
      <c r="AA1007" s="185" t="s">
        <v>998</v>
      </c>
      <c r="AB1007" s="185"/>
      <c r="AC1007" s="185" t="s">
        <v>3761</v>
      </c>
      <c r="AD1007" s="649">
        <v>-0.08</v>
      </c>
      <c r="AE1007" s="182"/>
      <c r="AF1007" s="332"/>
      <c r="AG1007" s="182"/>
      <c r="AH1007" s="182"/>
      <c r="AI1007" s="182"/>
      <c r="AJ1007" s="640"/>
      <c r="AK1007" s="182"/>
      <c r="AL1007" s="496">
        <f>-0.03*Z1007</f>
        <v>-48</v>
      </c>
      <c r="AM1007" s="496">
        <f>AL1007*(R1007-S1007)</f>
        <v>-480</v>
      </c>
      <c r="AN1007" s="626"/>
      <c r="AO1007" s="182"/>
      <c r="AP1007" s="182" t="s">
        <v>804</v>
      </c>
      <c r="AQ1007" s="332" t="str">
        <f>UPPER(RIGHT(Journal_Live[[#This Row],[DURATION ]]))</f>
        <v>D</v>
      </c>
      <c r="AR1007" s="182" t="s">
        <v>3762</v>
      </c>
      <c r="AS1007" s="189">
        <v>-0.08</v>
      </c>
      <c r="AT1007" s="189">
        <f>IF(ISBLANK(AS1007),,IF(U1007="S",AD1007-AS1007,AS1007-AD1007))</f>
        <v>0</v>
      </c>
      <c r="AU1007" s="187">
        <f>AV1007*R1007</f>
        <v>0</v>
      </c>
      <c r="AV1007" s="190">
        <f>IF(ISBLANK(AS1007),,(AT1007*Z1007))</f>
        <v>0</v>
      </c>
      <c r="AW1007" s="191" t="s">
        <v>115</v>
      </c>
      <c r="AX1007" s="407"/>
      <c r="AY1007" s="407"/>
      <c r="AZ1007" s="407"/>
      <c r="BA1007" s="407"/>
      <c r="BB1007" s="407"/>
      <c r="BC1007" s="407"/>
      <c r="BD1007" s="407"/>
      <c r="BE1007" s="407"/>
      <c r="BF1007" s="422"/>
      <c r="BG1007" s="391">
        <f>SUM($AV$4:AV1007)</f>
        <v>4591.0400534547416</v>
      </c>
      <c r="BH1007" s="392">
        <f>SUM($AU$134:AU1007)</f>
        <v>20653.242000000151</v>
      </c>
      <c r="BI1007" s="318">
        <f>SUMIFS($AU$134:AU1008,$Q$134:Q1008,"F")</f>
        <v>7174.5333333333328</v>
      </c>
      <c r="BJ1007" s="318">
        <f>SUMIFS($AU$134:AU1008,$Q$134:Q1008,"S")</f>
        <v>14468.441999999999</v>
      </c>
      <c r="BK1007" s="343">
        <f>SUMIFS($AU$134:AU1008,$P$134:P1008,"W")</f>
        <v>12915.74199999994</v>
      </c>
      <c r="BL1007" s="343">
        <f>SUMIFS($AU$134:AU1008,$P$134:P1008,"R")</f>
        <v>8468.6733333333359</v>
      </c>
      <c r="BM1007" s="343">
        <f>SUMIFS($AU$134:AU1008,$AQ$134:AQ1008,"M")</f>
        <v>2505.3999999999182</v>
      </c>
      <c r="BN1007" s="343">
        <f>SUMIFS($AU$134:AU1008,$AQ$134:AQ1008,"H")</f>
        <v>6110.1420000000153</v>
      </c>
      <c r="BO1007" s="343">
        <f>SUMIFS($AU$134:AU1008,$AQ$134:AQ1008,"D")</f>
        <v>6912.3466666667146</v>
      </c>
      <c r="BP1007" s="343">
        <f>SUMIFS($AU$134:AU1010,$AQ$134:AQ1010,"W")</f>
        <v>3762.7233333332406</v>
      </c>
      <c r="BQ1007" s="343">
        <f>SUMIFS($AU$134:AU1008,$Q$134:Q1008,"O")</f>
        <v>-852.93333333318697</v>
      </c>
      <c r="BR1007" s="343">
        <f>SUMIFS($AU$134:AU1008,$AA$134:AA1008,"*")</f>
        <v>19161.475333333259</v>
      </c>
      <c r="BS1007" s="343">
        <f>SUMIFS($AU$134:AU1008,$AB$134:AB1008,"*")</f>
        <v>5010.2666666668902</v>
      </c>
      <c r="BT1007" s="343">
        <f>SUMIFS($AU$134:AU1008,$AC$134:AC1008,"*")</f>
        <v>11671.683333333332</v>
      </c>
      <c r="BU1007" s="343">
        <f>SUMIFS($AU$134:AU1008,$AA$134:AA1008,"*",$AB$134:AB1008,"*")</f>
        <v>3538.0000000000045</v>
      </c>
      <c r="BV1007" s="343">
        <f>SUMIFS($AU$134:AU1008,$AA$134:AA1008,"*",$AC$134:AC1008,"*")</f>
        <v>10204.783333333333</v>
      </c>
      <c r="BW1007" s="343">
        <f>SUMIFS($AU$134:AU1008,$AB$134:AB1008,"*",$AC$134:AC1008,"*")</f>
        <v>5662.6</v>
      </c>
      <c r="BX1007" s="343">
        <f>SUMIFS($AU1008:AU$1388,$Q1008:Q$1388,"F")</f>
        <v>7266.1333333333332</v>
      </c>
      <c r="BY1007" s="343">
        <f>SUMIFS($AU1008:AU$1388,$Q1008:Q$1388,"S")</f>
        <v>6235.2000000000016</v>
      </c>
      <c r="BZ1007" s="343">
        <f>SUMIFS($AU1008:AU$1388,$Q1008:Q$1388,"O")</f>
        <v>-795.9246666666113</v>
      </c>
    </row>
    <row r="1008" spans="1:78" ht="15.75" customHeight="1">
      <c r="A1008" s="221" t="s">
        <v>3735</v>
      </c>
      <c r="B1008" s="177">
        <v>45173</v>
      </c>
      <c r="C1008" s="178" t="s">
        <v>830</v>
      </c>
      <c r="D1008" s="178" t="s">
        <v>132</v>
      </c>
      <c r="E1008" s="227"/>
      <c r="F1008" s="180"/>
      <c r="G1008" s="281" t="s">
        <v>2145</v>
      </c>
      <c r="H1008" s="182"/>
      <c r="I1008" s="182"/>
      <c r="J1008" s="182"/>
      <c r="K1008" s="183"/>
      <c r="L1008" s="182">
        <v>1</v>
      </c>
      <c r="M1008" s="182"/>
      <c r="N1008" s="182"/>
      <c r="O1008" s="183" t="s">
        <v>95</v>
      </c>
      <c r="P1008" s="183" t="s">
        <v>96</v>
      </c>
      <c r="Q1008" s="183" t="s">
        <v>97</v>
      </c>
      <c r="R1008" s="183">
        <v>12</v>
      </c>
      <c r="S1008" s="183">
        <v>5</v>
      </c>
      <c r="T1008" s="183">
        <v>7</v>
      </c>
      <c r="U1008" s="183" t="s">
        <v>97</v>
      </c>
      <c r="V1008" s="183"/>
      <c r="W1008" s="183"/>
      <c r="X1008" s="183"/>
      <c r="Y1008" s="184">
        <f>IF(ISBLANK(O1008),"",(IF(O1008=UPPER("IB"),0.005,0.01)))</f>
        <v>0.01</v>
      </c>
      <c r="Z1008" s="185">
        <f>IF(ISBLANK(O1008),"",IF(O1008="IB",8.63*200,IF(O1008="IR",16*100,IF(O1008="YT",20*100,IF(O1008="YT-XT",24*200,IF(O1008="TED",80*100))))))</f>
        <v>1600</v>
      </c>
      <c r="AA1008" s="185" t="s">
        <v>998</v>
      </c>
      <c r="AB1008" s="185"/>
      <c r="AC1008" s="185" t="s">
        <v>3761</v>
      </c>
      <c r="AD1008" s="649">
        <f>(0.02*5+0.03*7)/12</f>
        <v>2.5833333333333333E-2</v>
      </c>
      <c r="AE1008" s="182"/>
      <c r="AF1008" s="332"/>
      <c r="AG1008" s="182"/>
      <c r="AH1008" s="182"/>
      <c r="AI1008" s="182"/>
      <c r="AJ1008" s="640"/>
      <c r="AK1008" s="182"/>
      <c r="AL1008" s="496">
        <f>-0.03*Z1008</f>
        <v>-48</v>
      </c>
      <c r="AM1008" s="496">
        <f>AL1008*(R1008-S1008)</f>
        <v>-336</v>
      </c>
      <c r="AN1008" s="626"/>
      <c r="AO1008" s="182"/>
      <c r="AP1008" s="182" t="s">
        <v>804</v>
      </c>
      <c r="AQ1008" s="332" t="str">
        <f>UPPER(RIGHT(Journal_Live[[#This Row],[DURATION ]]))</f>
        <v>D</v>
      </c>
      <c r="AR1008" s="182" t="s">
        <v>3763</v>
      </c>
      <c r="AS1008" s="189">
        <f>(0.03*5+0.02*7)/12</f>
        <v>2.416666666666667E-2</v>
      </c>
      <c r="AT1008" s="189">
        <f>IF(ISBLANK(AS1008),,IF(U1008="S",AD1008-AS1008,AS1008-AD1008))</f>
        <v>1.6666666666666635E-3</v>
      </c>
      <c r="AU1008" s="187">
        <f>AV1008*R1008</f>
        <v>31.99999999999994</v>
      </c>
      <c r="AV1008" s="190">
        <f>IF(ISBLANK(AS1008),,(AT1008*Z1008))</f>
        <v>2.6666666666666616</v>
      </c>
      <c r="AW1008" s="191" t="s">
        <v>96</v>
      </c>
      <c r="AX1008" s="407" t="s">
        <v>3764</v>
      </c>
      <c r="AY1008" s="407" t="s">
        <v>3765</v>
      </c>
      <c r="AZ1008" s="407"/>
      <c r="BA1008" s="407"/>
      <c r="BB1008" s="407"/>
      <c r="BC1008" s="407"/>
      <c r="BD1008" s="407"/>
      <c r="BE1008" s="407"/>
      <c r="BF1008" s="422"/>
      <c r="BG1008" s="391">
        <f>SUM($AV$4:AV1008)</f>
        <v>4593.7067201214086</v>
      </c>
      <c r="BH1008" s="392">
        <f>SUM($AU$134:AU1008)</f>
        <v>20685.242000000151</v>
      </c>
      <c r="BI1008" s="318">
        <f>SUMIFS($AU$134:AU1009,$Q$134:Q1009,"F")</f>
        <v>7526.5333333333328</v>
      </c>
      <c r="BJ1008" s="318">
        <f>SUMIFS($AU$134:AU1009,$Q$134:Q1009,"S")</f>
        <v>14468.441999999999</v>
      </c>
      <c r="BK1008" s="343">
        <f>SUMIFS($AU$134:AU1009,$P$134:P1009,"W")</f>
        <v>12915.74199999994</v>
      </c>
      <c r="BL1008" s="343">
        <f>SUMIFS($AU$134:AU1009,$P$134:P1009,"R")</f>
        <v>8820.6733333333359</v>
      </c>
      <c r="BM1008" s="343">
        <f>SUMIFS($AU$134:AU1009,$AQ$134:AQ1009,"M")</f>
        <v>2505.3999999999182</v>
      </c>
      <c r="BN1008" s="343">
        <f>SUMIFS($AU$134:AU1009,$AQ$134:AQ1009,"H")</f>
        <v>6110.1420000000153</v>
      </c>
      <c r="BO1008" s="343">
        <f>SUMIFS($AU$134:AU1009,$AQ$134:AQ1009,"D")</f>
        <v>6912.3466666667146</v>
      </c>
      <c r="BP1008" s="343">
        <f>SUMIFS($AU$134:AU1011,$AQ$134:AQ1011,"W")</f>
        <v>3762.7233333332406</v>
      </c>
      <c r="BQ1008" s="343">
        <f>SUMIFS($AU$134:AU1009,$Q$134:Q1009,"O")</f>
        <v>-852.93333333318697</v>
      </c>
      <c r="BR1008" s="343">
        <f>SUMIFS($AU$134:AU1009,$AA$134:AA1009,"*")</f>
        <v>19161.475333333259</v>
      </c>
      <c r="BS1008" s="343">
        <f>SUMIFS($AU$134:AU1009,$AB$134:AB1009,"*")</f>
        <v>5362.2666666668902</v>
      </c>
      <c r="BT1008" s="343">
        <f>SUMIFS($AU$134:AU1009,$AC$134:AC1009,"*")</f>
        <v>12023.683333333332</v>
      </c>
      <c r="BU1008" s="343">
        <f>SUMIFS($AU$134:AU1009,$AA$134:AA1009,"*",$AB$134:AB1009,"*")</f>
        <v>3538.0000000000045</v>
      </c>
      <c r="BV1008" s="343">
        <f>SUMIFS($AU$134:AU1009,$AA$134:AA1009,"*",$AC$134:AC1009,"*")</f>
        <v>10204.783333333333</v>
      </c>
      <c r="BW1008" s="343">
        <f>SUMIFS($AU$134:AU1009,$AB$134:AB1009,"*",$AC$134:AC1009,"*")</f>
        <v>6014.6</v>
      </c>
      <c r="BX1008" s="343">
        <f>SUMIFS($AU1009:AU$1388,$Q1009:Q$1388,"F")</f>
        <v>7266.1333333333332</v>
      </c>
      <c r="BY1008" s="343">
        <f>SUMIFS($AU1009:AU$1388,$Q1009:Q$1388,"S")</f>
        <v>6203.2000000000016</v>
      </c>
      <c r="BZ1008" s="343">
        <f>SUMIFS($AU1009:AU$1388,$Q1009:Q$1388,"O")</f>
        <v>-795.9246666666113</v>
      </c>
    </row>
    <row r="1009" spans="1:78" ht="15.75" customHeight="1">
      <c r="A1009" s="221" t="s">
        <v>3735</v>
      </c>
      <c r="B1009" s="177">
        <v>45173</v>
      </c>
      <c r="C1009" s="178" t="s">
        <v>1316</v>
      </c>
      <c r="D1009" s="178" t="s">
        <v>132</v>
      </c>
      <c r="E1009" s="227"/>
      <c r="F1009" s="180"/>
      <c r="G1009" s="281" t="s">
        <v>3766</v>
      </c>
      <c r="H1009" s="182"/>
      <c r="I1009" s="182"/>
      <c r="J1009" s="182"/>
      <c r="K1009" s="183"/>
      <c r="L1009" s="182">
        <v>1</v>
      </c>
      <c r="M1009" s="182"/>
      <c r="N1009" s="182"/>
      <c r="O1009" s="183" t="s">
        <v>95</v>
      </c>
      <c r="P1009" s="183" t="s">
        <v>137</v>
      </c>
      <c r="Q1009" s="183" t="s">
        <v>256</v>
      </c>
      <c r="R1009" s="183">
        <v>21</v>
      </c>
      <c r="S1009" s="183">
        <v>17</v>
      </c>
      <c r="T1009" s="183">
        <v>9</v>
      </c>
      <c r="U1009" s="183" t="s">
        <v>97</v>
      </c>
      <c r="V1009" s="183"/>
      <c r="W1009" s="183"/>
      <c r="X1009" s="183"/>
      <c r="Y1009" s="184">
        <f>IF(ISBLANK(O1009),"",(IF(O1009=UPPER("IB"),0.005,0.01)))</f>
        <v>0.01</v>
      </c>
      <c r="Z1009" s="185">
        <f>IF(ISBLANK(O1009),"",IF(O1009="IB",8.63*200,IF(O1009="IR",16*100,IF(O1009="YT",20*100,IF(O1009="YT-XT",24*200,IF(O1009="TED",80*100))))))</f>
        <v>1600</v>
      </c>
      <c r="AA1009" s="185"/>
      <c r="AB1009" s="185" t="s">
        <v>3767</v>
      </c>
      <c r="AC1009" s="185" t="s">
        <v>3768</v>
      </c>
      <c r="AD1009" s="649">
        <f>((-0.01*20)+(0*1))/21</f>
        <v>-9.5238095238095247E-3</v>
      </c>
      <c r="AE1009" s="182"/>
      <c r="AF1009" s="332"/>
      <c r="AG1009" s="182"/>
      <c r="AH1009" s="182"/>
      <c r="AI1009" s="182"/>
      <c r="AJ1009" s="640"/>
      <c r="AK1009" s="182"/>
      <c r="AL1009" s="496">
        <f>-0.03*Z1009</f>
        <v>-48</v>
      </c>
      <c r="AM1009" s="496">
        <f>AL1009*(R1009-S1009)</f>
        <v>-192</v>
      </c>
      <c r="AN1009" s="626"/>
      <c r="AO1009" s="182"/>
      <c r="AP1009" s="182" t="s">
        <v>3769</v>
      </c>
      <c r="AQ1009" s="332" t="str">
        <f>UPPER(RIGHT(Journal_Live[[#This Row],[DURATION ]]))</f>
        <v>W</v>
      </c>
      <c r="AR1009" s="182" t="s">
        <v>3770</v>
      </c>
      <c r="AS1009" s="189">
        <f>((-0.02*17)+(-0.02*4))/21</f>
        <v>-0.02</v>
      </c>
      <c r="AT1009" s="189">
        <f>IF(ISBLANK(AS1009),,IF(U1009="S",AD1009-AS1009,AS1009-AD1009))</f>
        <v>1.0476190476190476E-2</v>
      </c>
      <c r="AU1009" s="187">
        <f>AV1009*R1009</f>
        <v>352</v>
      </c>
      <c r="AV1009" s="190">
        <f>IF(ISBLANK(AS1009),,(AT1009*Z1009))</f>
        <v>16.761904761904763</v>
      </c>
      <c r="AW1009" s="191" t="s">
        <v>96</v>
      </c>
      <c r="AX1009" s="407"/>
      <c r="AY1009" s="407"/>
      <c r="AZ1009" s="407"/>
      <c r="BA1009" s="407"/>
      <c r="BB1009" s="407"/>
      <c r="BC1009" s="407"/>
      <c r="BD1009" s="407"/>
      <c r="BE1009" s="407"/>
      <c r="BF1009" s="422"/>
      <c r="BG1009" s="391">
        <f>SUM($AV$4:AV1009)</f>
        <v>4610.4686248833132</v>
      </c>
      <c r="BH1009" s="392">
        <f>SUM($AU$134:AU1009)</f>
        <v>21037.242000000151</v>
      </c>
      <c r="BI1009" s="318">
        <f>SUMIFS($AU$134:AU1010,$Q$134:Q1010,"F")</f>
        <v>7526.5333333333328</v>
      </c>
      <c r="BJ1009" s="318">
        <f>SUMIFS($AU$134:AU1010,$Q$134:Q1010,"S")</f>
        <v>14468.441999999999</v>
      </c>
      <c r="BK1009" s="343">
        <f>SUMIFS($AU$134:AU1010,$P$134:P1010,"W")</f>
        <v>12915.74199999994</v>
      </c>
      <c r="BL1009" s="343">
        <f>SUMIFS($AU$134:AU1010,$P$134:P1010,"R")</f>
        <v>8820.6733333333359</v>
      </c>
      <c r="BM1009" s="343">
        <f>SUMIFS($AU$134:AU1010,$AQ$134:AQ1010,"M")</f>
        <v>2505.3999999999182</v>
      </c>
      <c r="BN1009" s="343">
        <f>SUMIFS($AU$134:AU1010,$AQ$134:AQ1010,"H")</f>
        <v>6110.1420000000153</v>
      </c>
      <c r="BO1009" s="343">
        <f>SUMIFS($AU$134:AU1010,$AQ$134:AQ1010,"D")</f>
        <v>6912.3466666667146</v>
      </c>
      <c r="BP1009" s="343">
        <f>SUMIFS($AU$134:AU1012,$AQ$134:AQ1012,"W")</f>
        <v>3762.7233333332406</v>
      </c>
      <c r="BQ1009" s="343">
        <f>SUMIFS($AU$134:AU1010,$Q$134:Q1010,"O")</f>
        <v>-852.93333333318697</v>
      </c>
      <c r="BR1009" s="343">
        <f>SUMIFS($AU$134:AU1010,$AA$134:AA1010,"*")</f>
        <v>19161.475333333259</v>
      </c>
      <c r="BS1009" s="343">
        <f>SUMIFS($AU$134:AU1010,$AB$134:AB1010,"*")</f>
        <v>5362.2666666668902</v>
      </c>
      <c r="BT1009" s="343">
        <f>SUMIFS($AU$134:AU1010,$AC$134:AC1010,"*")</f>
        <v>12023.683333333332</v>
      </c>
      <c r="BU1009" s="343">
        <f>SUMIFS($AU$134:AU1010,$AA$134:AA1010,"*",$AB$134:AB1010,"*")</f>
        <v>3538.0000000000045</v>
      </c>
      <c r="BV1009" s="343">
        <f>SUMIFS($AU$134:AU1010,$AA$134:AA1010,"*",$AC$134:AC1010,"*")</f>
        <v>10204.783333333333</v>
      </c>
      <c r="BW1009" s="343">
        <f>SUMIFS($AU$134:AU1010,$AB$134:AB1010,"*",$AC$134:AC1010,"*")</f>
        <v>6014.6</v>
      </c>
      <c r="BX1009" s="343">
        <f>SUMIFS($AU1010:AU$1388,$Q1010:Q$1388,"F")</f>
        <v>6914.1333333333323</v>
      </c>
      <c r="BY1009" s="343">
        <f>SUMIFS($AU1010:AU$1388,$Q1010:Q$1388,"S")</f>
        <v>6203.2000000000016</v>
      </c>
      <c r="BZ1009" s="343">
        <f>SUMIFS($AU1010:AU$1388,$Q1010:Q$1388,"O")</f>
        <v>-795.9246666666113</v>
      </c>
    </row>
    <row r="1010" spans="1:78" ht="15.75" customHeight="1">
      <c r="A1010" s="221" t="s">
        <v>3735</v>
      </c>
      <c r="B1010" s="177">
        <v>45174</v>
      </c>
      <c r="C1010" s="178" t="s">
        <v>2093</v>
      </c>
      <c r="D1010" s="178" t="s">
        <v>146</v>
      </c>
      <c r="E1010" s="227" t="s">
        <v>3771</v>
      </c>
      <c r="F1010" s="180"/>
      <c r="G1010" s="181"/>
      <c r="H1010" s="182"/>
      <c r="I1010" s="182"/>
      <c r="J1010" s="182"/>
      <c r="K1010" s="183"/>
      <c r="L1010" s="182"/>
      <c r="M1010" s="182"/>
      <c r="N1010" s="182"/>
      <c r="O1010" s="183"/>
      <c r="P1010" s="183"/>
      <c r="Q1010" s="183"/>
      <c r="R1010" s="183"/>
      <c r="S1010" s="183"/>
      <c r="T1010" s="183"/>
      <c r="U1010" s="183"/>
      <c r="V1010" s="183"/>
      <c r="W1010" s="183"/>
      <c r="X1010" s="183"/>
      <c r="Y1010" s="183"/>
      <c r="Z1010" s="185" t="str">
        <f>IF(ISBLANK(O1010),"",IF(O1010="IB",8.63*200,IF(O1010="IR",16*100,IF(O1010="YT",20*100,IF(O1010="YT-XT",24*200,IF(O1010="TED",80*100))))))</f>
        <v/>
      </c>
      <c r="AA1010" s="185"/>
      <c r="AB1010" s="185"/>
      <c r="AC1010" s="185"/>
      <c r="AD1010" s="649"/>
      <c r="AE1010" s="182"/>
      <c r="AF1010" s="332"/>
      <c r="AG1010" s="182"/>
      <c r="AH1010" s="182"/>
      <c r="AI1010" s="182"/>
      <c r="AJ1010" s="640"/>
      <c r="AK1010" s="182"/>
      <c r="AL1010" s="496"/>
      <c r="AM1010" s="496"/>
      <c r="AN1010" s="626"/>
      <c r="AO1010" s="182"/>
      <c r="AP1010" s="182"/>
      <c r="AQ1010" s="332" t="str">
        <f>UPPER(RIGHT(Journal_Live[[#This Row],[DURATION ]]))</f>
        <v/>
      </c>
      <c r="AR1010" s="182"/>
      <c r="AS1010" s="189"/>
      <c r="AT1010" s="189"/>
      <c r="AU1010" s="187"/>
      <c r="AV1010" s="190"/>
      <c r="AW1010" s="191"/>
      <c r="AX1010" s="407"/>
      <c r="AY1010" s="407"/>
      <c r="AZ1010" s="407"/>
      <c r="BA1010" s="407"/>
      <c r="BB1010" s="407"/>
      <c r="BC1010" s="407"/>
      <c r="BD1010" s="407"/>
      <c r="BE1010" s="407"/>
      <c r="BF1010" s="422"/>
      <c r="BG1010" s="391">
        <f>SUM($AV$4:AV1010)</f>
        <v>4610.4686248833132</v>
      </c>
      <c r="BH1010" s="392">
        <f>SUM($AU$134:AU1010)</f>
        <v>21037.242000000151</v>
      </c>
      <c r="BI1010" s="318">
        <f>SUMIFS($AU$134:AU1011,$Q$134:Q1011,"F")</f>
        <v>7526.5333333333328</v>
      </c>
      <c r="BJ1010" s="318">
        <f>SUMIFS($AU$134:AU1011,$Q$134:Q1011,"S")</f>
        <v>14468.441999999999</v>
      </c>
      <c r="BK1010" s="343">
        <f>SUMIFS($AU$134:AU1011,$P$134:P1011,"W")</f>
        <v>12915.74199999994</v>
      </c>
      <c r="BL1010" s="343">
        <f>SUMIFS($AU$134:AU1011,$P$134:P1011,"R")</f>
        <v>8820.6733333333359</v>
      </c>
      <c r="BM1010" s="343">
        <f>SUMIFS($AU$134:AU1011,$AQ$134:AQ1011,"M")</f>
        <v>2505.3999999999182</v>
      </c>
      <c r="BN1010" s="343">
        <f>SUMIFS($AU$134:AU1011,$AQ$134:AQ1011,"H")</f>
        <v>6110.1420000000153</v>
      </c>
      <c r="BO1010" s="343">
        <f>SUMIFS($AU$134:AU1011,$AQ$134:AQ1011,"D")</f>
        <v>6912.3466666667146</v>
      </c>
      <c r="BP1010" s="343">
        <f>SUMIFS($AU$134:AU1013,$AQ$134:AQ1013,"W")</f>
        <v>3762.7233333332406</v>
      </c>
      <c r="BQ1010" s="343">
        <f>SUMIFS($AU$134:AU1011,$Q$134:Q1011,"O")</f>
        <v>-852.93333333318697</v>
      </c>
      <c r="BR1010" s="343">
        <f>SUMIFS($AU$134:AU1011,$AA$134:AA1011,"*")</f>
        <v>19161.475333333259</v>
      </c>
      <c r="BS1010" s="343">
        <f>SUMIFS($AU$134:AU1011,$AB$134:AB1011,"*")</f>
        <v>5362.2666666668902</v>
      </c>
      <c r="BT1010" s="343">
        <f>SUMIFS($AU$134:AU1011,$AC$134:AC1011,"*")</f>
        <v>12023.683333333332</v>
      </c>
      <c r="BU1010" s="343">
        <f>SUMIFS($AU$134:AU1011,$AA$134:AA1011,"*",$AB$134:AB1011,"*")</f>
        <v>3538.0000000000045</v>
      </c>
      <c r="BV1010" s="343">
        <f>SUMIFS($AU$134:AU1011,$AA$134:AA1011,"*",$AC$134:AC1011,"*")</f>
        <v>10204.783333333333</v>
      </c>
      <c r="BW1010" s="343">
        <f>SUMIFS($AU$134:AU1011,$AB$134:AB1011,"*",$AC$134:AC1011,"*")</f>
        <v>6014.6</v>
      </c>
      <c r="BX1010" s="343">
        <f>SUMIFS($AU1011:AU$1388,$Q1011:Q$1388,"F")</f>
        <v>6914.1333333333323</v>
      </c>
      <c r="BY1010" s="343">
        <f>SUMIFS($AU1011:AU$1388,$Q1011:Q$1388,"S")</f>
        <v>6203.2000000000016</v>
      </c>
      <c r="BZ1010" s="343">
        <f>SUMIFS($AU1011:AU$1388,$Q1011:Q$1388,"O")</f>
        <v>-795.9246666666113</v>
      </c>
    </row>
    <row r="1011" spans="1:78" ht="15.75" customHeight="1">
      <c r="A1011" s="221" t="s">
        <v>3735</v>
      </c>
      <c r="B1011" s="177">
        <v>45174</v>
      </c>
      <c r="C1011" s="178" t="s">
        <v>2267</v>
      </c>
      <c r="D1011" s="178" t="s">
        <v>146</v>
      </c>
      <c r="E1011" s="227"/>
      <c r="F1011" s="180"/>
      <c r="G1011" s="181" t="s">
        <v>2016</v>
      </c>
      <c r="H1011" s="182"/>
      <c r="I1011" s="182"/>
      <c r="J1011" s="182"/>
      <c r="K1011" s="183"/>
      <c r="L1011" s="182"/>
      <c r="M1011" s="182"/>
      <c r="N1011" s="182"/>
      <c r="O1011" s="183"/>
      <c r="P1011" s="183"/>
      <c r="Q1011" s="183"/>
      <c r="R1011" s="183"/>
      <c r="S1011" s="183"/>
      <c r="T1011" s="183"/>
      <c r="U1011" s="183"/>
      <c r="V1011" s="183"/>
      <c r="W1011" s="183"/>
      <c r="X1011" s="183"/>
      <c r="Y1011" s="184"/>
      <c r="Z1011" s="185"/>
      <c r="AA1011" s="185"/>
      <c r="AB1011" s="185"/>
      <c r="AC1011" s="185"/>
      <c r="AD1011" s="649"/>
      <c r="AE1011" s="182"/>
      <c r="AF1011" s="332"/>
      <c r="AG1011" s="182"/>
      <c r="AH1011" s="182"/>
      <c r="AI1011" s="182"/>
      <c r="AJ1011" s="640"/>
      <c r="AK1011" s="182"/>
      <c r="AL1011" s="496"/>
      <c r="AM1011" s="496"/>
      <c r="AN1011" s="626"/>
      <c r="AO1011" s="182"/>
      <c r="AP1011" s="182"/>
      <c r="AQ1011" s="332" t="str">
        <f>UPPER(RIGHT(Journal_Live[[#This Row],[DURATION ]]))</f>
        <v/>
      </c>
      <c r="AR1011" s="182"/>
      <c r="AS1011" s="189"/>
      <c r="AT1011" s="189"/>
      <c r="AU1011" s="187"/>
      <c r="AV1011" s="190"/>
      <c r="AW1011" s="191"/>
      <c r="AX1011" s="407"/>
      <c r="AY1011" s="407"/>
      <c r="AZ1011" s="407"/>
      <c r="BA1011" s="407"/>
      <c r="BB1011" s="407"/>
      <c r="BC1011" s="407"/>
      <c r="BD1011" s="407"/>
      <c r="BE1011" s="407"/>
      <c r="BF1011" s="422"/>
      <c r="BG1011" s="391">
        <f>SUM($AV$4:AV1011)</f>
        <v>4610.4686248833132</v>
      </c>
      <c r="BH1011" s="392">
        <f>SUM($AU$134:AU1011)</f>
        <v>21037.242000000151</v>
      </c>
      <c r="BI1011" s="318">
        <f>SUMIFS($AU$134:AU1012,$Q$134:Q1012,"F")</f>
        <v>7526.5333333333328</v>
      </c>
      <c r="BJ1011" s="318">
        <f>SUMIFS($AU$134:AU1012,$Q$134:Q1012,"S")</f>
        <v>14468.441999999999</v>
      </c>
      <c r="BK1011" s="343">
        <f>SUMIFS($AU$134:AU1012,$P$134:P1012,"W")</f>
        <v>12915.74199999994</v>
      </c>
      <c r="BL1011" s="343">
        <f>SUMIFS($AU$134:AU1012,$P$134:P1012,"R")</f>
        <v>8820.6733333333359</v>
      </c>
      <c r="BM1011" s="343">
        <f>SUMIFS($AU$134:AU1012,$AQ$134:AQ1012,"M")</f>
        <v>2505.3999999999182</v>
      </c>
      <c r="BN1011" s="343">
        <f>SUMIFS($AU$134:AU1012,$AQ$134:AQ1012,"H")</f>
        <v>6110.1420000000153</v>
      </c>
      <c r="BO1011" s="343">
        <f>SUMIFS($AU$134:AU1012,$AQ$134:AQ1012,"D")</f>
        <v>6912.3466666667146</v>
      </c>
      <c r="BP1011" s="343">
        <f>SUMIFS($AU$134:AU1014,$AQ$134:AQ1014,"W")</f>
        <v>3762.7233333332406</v>
      </c>
      <c r="BQ1011" s="343">
        <f>SUMIFS($AU$134:AU1012,$Q$134:Q1012,"O")</f>
        <v>-852.93333333318697</v>
      </c>
      <c r="BR1011" s="343">
        <f>SUMIFS($AU$134:AU1012,$AA$134:AA1012,"*")</f>
        <v>19161.475333333259</v>
      </c>
      <c r="BS1011" s="343">
        <f>SUMIFS($AU$134:AU1012,$AB$134:AB1012,"*")</f>
        <v>5362.2666666668902</v>
      </c>
      <c r="BT1011" s="343">
        <f>SUMIFS($AU$134:AU1012,$AC$134:AC1012,"*")</f>
        <v>12023.683333333332</v>
      </c>
      <c r="BU1011" s="343">
        <f>SUMIFS($AU$134:AU1012,$AA$134:AA1012,"*",$AB$134:AB1012,"*")</f>
        <v>3538.0000000000045</v>
      </c>
      <c r="BV1011" s="343">
        <f>SUMIFS($AU$134:AU1012,$AA$134:AA1012,"*",$AC$134:AC1012,"*")</f>
        <v>10204.783333333333</v>
      </c>
      <c r="BW1011" s="343">
        <f>SUMIFS($AU$134:AU1012,$AB$134:AB1012,"*",$AC$134:AC1012,"*")</f>
        <v>6014.6</v>
      </c>
      <c r="BX1011" s="343">
        <f>SUMIFS($AU1012:AU$1388,$Q1012:Q$1388,"F")</f>
        <v>6914.1333333333323</v>
      </c>
      <c r="BY1011" s="343">
        <f>SUMIFS($AU1012:AU$1388,$Q1012:Q$1388,"S")</f>
        <v>6203.2000000000016</v>
      </c>
      <c r="BZ1011" s="343">
        <f>SUMIFS($AU1012:AU$1388,$Q1012:Q$1388,"O")</f>
        <v>-795.9246666666113</v>
      </c>
    </row>
    <row r="1012" spans="1:78" ht="15.75" customHeight="1">
      <c r="A1012" s="221" t="s">
        <v>3735</v>
      </c>
      <c r="B1012" s="177">
        <v>45175</v>
      </c>
      <c r="C1012" s="178" t="s">
        <v>2522</v>
      </c>
      <c r="D1012" s="178" t="s">
        <v>151</v>
      </c>
      <c r="E1012" s="227"/>
      <c r="F1012" s="180"/>
      <c r="G1012" s="181" t="s">
        <v>3772</v>
      </c>
      <c r="H1012" s="182"/>
      <c r="I1012" s="182"/>
      <c r="J1012" s="182"/>
      <c r="K1012" s="183"/>
      <c r="L1012" s="182"/>
      <c r="M1012" s="182"/>
      <c r="N1012" s="182"/>
      <c r="O1012" s="183"/>
      <c r="P1012" s="183"/>
      <c r="Q1012" s="183"/>
      <c r="R1012" s="183"/>
      <c r="S1012" s="183"/>
      <c r="T1012" s="183"/>
      <c r="U1012" s="183"/>
      <c r="V1012" s="183"/>
      <c r="W1012" s="183"/>
      <c r="X1012" s="183"/>
      <c r="Y1012" s="184"/>
      <c r="Z1012" s="185"/>
      <c r="AA1012" s="185"/>
      <c r="AB1012" s="185"/>
      <c r="AC1012" s="185"/>
      <c r="AD1012" s="649"/>
      <c r="AE1012" s="182"/>
      <c r="AF1012" s="332"/>
      <c r="AG1012" s="182"/>
      <c r="AH1012" s="182"/>
      <c r="AI1012" s="182"/>
      <c r="AJ1012" s="640"/>
      <c r="AK1012" s="182"/>
      <c r="AL1012" s="496">
        <f t="shared" ref="AL1012" si="312">-0.03*Z1012</f>
        <v>0</v>
      </c>
      <c r="AM1012" s="496">
        <f>AL1012*(R1012-S1012)</f>
        <v>0</v>
      </c>
      <c r="AN1012" s="626"/>
      <c r="AO1012" s="182"/>
      <c r="AP1012" s="182"/>
      <c r="AQ1012" s="332" t="str">
        <f>UPPER(RIGHT(Journal_Live[[#This Row],[DURATION ]]))</f>
        <v/>
      </c>
      <c r="AR1012" s="182"/>
      <c r="AS1012" s="189"/>
      <c r="AT1012" s="189"/>
      <c r="AU1012" s="187"/>
      <c r="AV1012" s="190"/>
      <c r="AW1012" s="191"/>
      <c r="AX1012" s="407"/>
      <c r="AY1012" s="407"/>
      <c r="AZ1012" s="407"/>
      <c r="BA1012" s="407"/>
      <c r="BB1012" s="407"/>
      <c r="BC1012" s="407"/>
      <c r="BD1012" s="407"/>
      <c r="BE1012" s="407"/>
      <c r="BF1012" s="422"/>
      <c r="BG1012" s="391">
        <f>SUM($AV$4:AV1012)</f>
        <v>4610.4686248833132</v>
      </c>
      <c r="BH1012" s="392">
        <f>SUM($AU$134:AU1012)</f>
        <v>21037.242000000151</v>
      </c>
      <c r="BI1012" s="318">
        <f>SUMIFS($AU$134:AU1013,$Q$134:Q1013,"F")</f>
        <v>7526.5333333333328</v>
      </c>
      <c r="BJ1012" s="318">
        <f>SUMIFS($AU$134:AU1013,$Q$134:Q1013,"S")</f>
        <v>14468.441999999999</v>
      </c>
      <c r="BK1012" s="343">
        <f>SUMIFS($AU$134:AU1013,$P$134:P1013,"W")</f>
        <v>12915.74199999994</v>
      </c>
      <c r="BL1012" s="343">
        <f>SUMIFS($AU$134:AU1013,$P$134:P1013,"R")</f>
        <v>8820.6733333333359</v>
      </c>
      <c r="BM1012" s="343">
        <f>SUMIFS($AU$134:AU1013,$AQ$134:AQ1013,"M")</f>
        <v>2505.3999999999182</v>
      </c>
      <c r="BN1012" s="343">
        <f>SUMIFS($AU$134:AU1013,$AQ$134:AQ1013,"H")</f>
        <v>6110.1420000000153</v>
      </c>
      <c r="BO1012" s="343">
        <f>SUMIFS($AU$134:AU1013,$AQ$134:AQ1013,"D")</f>
        <v>6912.3466666667146</v>
      </c>
      <c r="BP1012" s="343">
        <f>SUMIFS($AU$134:AU1015,$AQ$134:AQ1015,"W")</f>
        <v>3762.7233333332406</v>
      </c>
      <c r="BQ1012" s="343">
        <f>SUMIFS($AU$134:AU1013,$Q$134:Q1013,"O")</f>
        <v>-852.93333333318697</v>
      </c>
      <c r="BR1012" s="343">
        <f>SUMIFS($AU$134:AU1013,$AA$134:AA1013,"*")</f>
        <v>19161.475333333259</v>
      </c>
      <c r="BS1012" s="343">
        <f>SUMIFS($AU$134:AU1013,$AB$134:AB1013,"*")</f>
        <v>5362.2666666668902</v>
      </c>
      <c r="BT1012" s="343">
        <f>SUMIFS($AU$134:AU1013,$AC$134:AC1013,"*")</f>
        <v>12023.683333333332</v>
      </c>
      <c r="BU1012" s="343">
        <f>SUMIFS($AU$134:AU1013,$AA$134:AA1013,"*",$AB$134:AB1013,"*")</f>
        <v>3538.0000000000045</v>
      </c>
      <c r="BV1012" s="343">
        <f>SUMIFS($AU$134:AU1013,$AA$134:AA1013,"*",$AC$134:AC1013,"*")</f>
        <v>10204.783333333333</v>
      </c>
      <c r="BW1012" s="343">
        <f>SUMIFS($AU$134:AU1013,$AB$134:AB1013,"*",$AC$134:AC1013,"*")</f>
        <v>6014.6</v>
      </c>
      <c r="BX1012" s="343">
        <f>SUMIFS($AU1013:AU$1388,$Q1013:Q$1388,"F")</f>
        <v>6914.1333333333323</v>
      </c>
      <c r="BY1012" s="343">
        <f>SUMIFS($AU1013:AU$1388,$Q1013:Q$1388,"S")</f>
        <v>6203.2000000000016</v>
      </c>
      <c r="BZ1012" s="343">
        <f>SUMIFS($AU1013:AU$1388,$Q1013:Q$1388,"O")</f>
        <v>-795.9246666666113</v>
      </c>
    </row>
    <row r="1013" spans="1:78" ht="15.75" customHeight="1">
      <c r="A1013" s="221" t="s">
        <v>3735</v>
      </c>
      <c r="B1013" s="177">
        <v>45175</v>
      </c>
      <c r="C1013" s="178" t="s">
        <v>2020</v>
      </c>
      <c r="D1013" s="178" t="s">
        <v>151</v>
      </c>
      <c r="E1013" s="227" t="s">
        <v>3773</v>
      </c>
      <c r="F1013" s="180"/>
      <c r="G1013" s="181"/>
      <c r="H1013" s="182">
        <v>1</v>
      </c>
      <c r="I1013" s="182"/>
      <c r="J1013" s="182"/>
      <c r="K1013" s="183" t="s">
        <v>372</v>
      </c>
      <c r="L1013" s="182"/>
      <c r="M1013" s="182"/>
      <c r="N1013" s="182"/>
      <c r="O1013" s="183"/>
      <c r="P1013" s="183"/>
      <c r="Q1013" s="183"/>
      <c r="R1013" s="183"/>
      <c r="S1013" s="183"/>
      <c r="T1013" s="183"/>
      <c r="U1013" s="183"/>
      <c r="V1013" s="183"/>
      <c r="W1013" s="183"/>
      <c r="X1013" s="183"/>
      <c r="Y1013" s="183"/>
      <c r="Z1013" s="185"/>
      <c r="AA1013" s="185"/>
      <c r="AB1013" s="185"/>
      <c r="AC1013" s="185"/>
      <c r="AD1013" s="649"/>
      <c r="AE1013" s="182"/>
      <c r="AF1013" s="332"/>
      <c r="AG1013" s="182"/>
      <c r="AH1013" s="182"/>
      <c r="AI1013" s="182"/>
      <c r="AJ1013" s="640"/>
      <c r="AK1013" s="182"/>
      <c r="AL1013" s="496"/>
      <c r="AM1013" s="496"/>
      <c r="AN1013" s="626"/>
      <c r="AO1013" s="182"/>
      <c r="AP1013" s="182"/>
      <c r="AQ1013" s="332" t="str">
        <f>UPPER(RIGHT(Journal_Live[[#This Row],[DURATION ]]))</f>
        <v/>
      </c>
      <c r="AR1013" s="182"/>
      <c r="AS1013" s="189"/>
      <c r="AT1013" s="189"/>
      <c r="AU1013" s="187"/>
      <c r="AV1013" s="190"/>
      <c r="AW1013" s="191"/>
      <c r="AX1013" s="407"/>
      <c r="AY1013" s="407"/>
      <c r="AZ1013" s="407"/>
      <c r="BA1013" s="407"/>
      <c r="BB1013" s="407"/>
      <c r="BC1013" s="407"/>
      <c r="BD1013" s="407"/>
      <c r="BE1013" s="407"/>
      <c r="BF1013" s="422"/>
      <c r="BG1013" s="391">
        <f>SUM($AV$4:AV1013)</f>
        <v>4610.4686248833132</v>
      </c>
      <c r="BH1013" s="392">
        <f>SUM($AU$134:AU1013)</f>
        <v>21037.242000000151</v>
      </c>
      <c r="BI1013" s="318">
        <f>SUMIFS($AU$134:AU1014,$Q$134:Q1014,"F")</f>
        <v>7526.5333333333328</v>
      </c>
      <c r="BJ1013" s="318">
        <f>SUMIFS($AU$134:AU1014,$Q$134:Q1014,"S")</f>
        <v>14468.441999999999</v>
      </c>
      <c r="BK1013" s="343">
        <f>SUMIFS($AU$134:AU1014,$P$134:P1014,"W")</f>
        <v>12915.74199999994</v>
      </c>
      <c r="BL1013" s="343">
        <f>SUMIFS($AU$134:AU1014,$P$134:P1014,"R")</f>
        <v>8820.6733333333359</v>
      </c>
      <c r="BM1013" s="343">
        <f>SUMIFS($AU$134:AU1014,$AQ$134:AQ1014,"M")</f>
        <v>2505.3999999999182</v>
      </c>
      <c r="BN1013" s="343">
        <f>SUMIFS($AU$134:AU1014,$AQ$134:AQ1014,"H")</f>
        <v>6110.1420000000153</v>
      </c>
      <c r="BO1013" s="343">
        <f>SUMIFS($AU$134:AU1014,$AQ$134:AQ1014,"D")</f>
        <v>6912.3466666667146</v>
      </c>
      <c r="BP1013" s="343">
        <f>SUMIFS($AU$134:AU1016,$AQ$134:AQ1016,"W")</f>
        <v>3762.7233333332406</v>
      </c>
      <c r="BQ1013" s="343">
        <f>SUMIFS($AU$134:AU1014,$Q$134:Q1014,"O")</f>
        <v>-852.93333333318697</v>
      </c>
      <c r="BR1013" s="343">
        <f>SUMIFS($AU$134:AU1014,$AA$134:AA1014,"*")</f>
        <v>19161.475333333259</v>
      </c>
      <c r="BS1013" s="343">
        <f>SUMIFS($AU$134:AU1014,$AB$134:AB1014,"*")</f>
        <v>5362.2666666668902</v>
      </c>
      <c r="BT1013" s="343">
        <f>SUMIFS($AU$134:AU1014,$AC$134:AC1014,"*")</f>
        <v>12023.683333333332</v>
      </c>
      <c r="BU1013" s="343">
        <f>SUMIFS($AU$134:AU1014,$AA$134:AA1014,"*",$AB$134:AB1014,"*")</f>
        <v>3538.0000000000045</v>
      </c>
      <c r="BV1013" s="343">
        <f>SUMIFS($AU$134:AU1014,$AA$134:AA1014,"*",$AC$134:AC1014,"*")</f>
        <v>10204.783333333333</v>
      </c>
      <c r="BW1013" s="343">
        <f>SUMIFS($AU$134:AU1014,$AB$134:AB1014,"*",$AC$134:AC1014,"*")</f>
        <v>6014.6</v>
      </c>
      <c r="BX1013" s="343">
        <f>SUMIFS($AU1014:AU$1388,$Q1014:Q$1388,"F")</f>
        <v>6914.1333333333323</v>
      </c>
      <c r="BY1013" s="343">
        <f>SUMIFS($AU1014:AU$1388,$Q1014:Q$1388,"S")</f>
        <v>6203.2000000000016</v>
      </c>
      <c r="BZ1013" s="343">
        <f>SUMIFS($AU1014:AU$1388,$Q1014:Q$1388,"O")</f>
        <v>-795.9246666666113</v>
      </c>
    </row>
    <row r="1014" spans="1:78" ht="15.75" customHeight="1">
      <c r="A1014" s="221" t="s">
        <v>3735</v>
      </c>
      <c r="B1014" s="177"/>
      <c r="C1014" s="178"/>
      <c r="D1014" s="178"/>
      <c r="E1014" s="227" t="s">
        <v>3774</v>
      </c>
      <c r="F1014" s="180"/>
      <c r="G1014" s="181"/>
      <c r="H1014" s="182">
        <v>1</v>
      </c>
      <c r="I1014" s="182"/>
      <c r="J1014" s="182"/>
      <c r="K1014" s="183" t="s">
        <v>372</v>
      </c>
      <c r="L1014" s="182"/>
      <c r="M1014" s="182"/>
      <c r="N1014" s="182"/>
      <c r="O1014" s="183"/>
      <c r="P1014" s="183"/>
      <c r="Q1014" s="183"/>
      <c r="R1014" s="183"/>
      <c r="S1014" s="183"/>
      <c r="T1014" s="183"/>
      <c r="U1014" s="183"/>
      <c r="V1014" s="183"/>
      <c r="W1014" s="183"/>
      <c r="X1014" s="183"/>
      <c r="Y1014" s="183"/>
      <c r="Z1014" s="185" t="str">
        <f>IF(ISBLANK(O1014),"",IF(O1014="IB",8.63*200,IF(O1014="IR",16*100,IF(O1014="YT",20*100,IF(O1014="YT-XT",24*200,IF(O1014="TED",80*100))))))</f>
        <v/>
      </c>
      <c r="AA1014" s="185"/>
      <c r="AB1014" s="185"/>
      <c r="AC1014" s="185"/>
      <c r="AD1014" s="649"/>
      <c r="AE1014" s="182"/>
      <c r="AF1014" s="332"/>
      <c r="AG1014" s="182"/>
      <c r="AH1014" s="182"/>
      <c r="AI1014" s="182"/>
      <c r="AJ1014" s="640"/>
      <c r="AK1014" s="182"/>
      <c r="AL1014" s="496"/>
      <c r="AM1014" s="496"/>
      <c r="AN1014" s="626"/>
      <c r="AO1014" s="182"/>
      <c r="AP1014" s="182"/>
      <c r="AQ1014" s="332" t="str">
        <f>UPPER(RIGHT(Journal_Live[[#This Row],[DURATION ]]))</f>
        <v/>
      </c>
      <c r="AR1014" s="182"/>
      <c r="AS1014" s="189"/>
      <c r="AT1014" s="189"/>
      <c r="AU1014" s="187"/>
      <c r="AV1014" s="190"/>
      <c r="AW1014" s="191"/>
      <c r="AX1014" s="407"/>
      <c r="AY1014" s="407"/>
      <c r="AZ1014" s="407"/>
      <c r="BA1014" s="407"/>
      <c r="BB1014" s="407"/>
      <c r="BC1014" s="407"/>
      <c r="BD1014" s="407"/>
      <c r="BE1014" s="407"/>
      <c r="BF1014" s="422"/>
      <c r="BG1014" s="391">
        <f>SUM($AV$4:AV1014)</f>
        <v>4610.4686248833132</v>
      </c>
      <c r="BH1014" s="392">
        <f>SUM($AU$134:AU1014)</f>
        <v>21037.242000000151</v>
      </c>
      <c r="BI1014" s="318">
        <f>SUMIFS($AU$134:AU1015,$Q$134:Q1015,"F")</f>
        <v>7526.5333333333328</v>
      </c>
      <c r="BJ1014" s="318">
        <f>SUMIFS($AU$134:AU1015,$Q$134:Q1015,"S")</f>
        <v>14468.441999999999</v>
      </c>
      <c r="BK1014" s="343">
        <f>SUMIFS($AU$134:AU1015,$P$134:P1015,"W")</f>
        <v>12915.74199999994</v>
      </c>
      <c r="BL1014" s="343">
        <f>SUMIFS($AU$134:AU1015,$P$134:P1015,"R")</f>
        <v>8820.6733333333359</v>
      </c>
      <c r="BM1014" s="343">
        <f>SUMIFS($AU$134:AU1015,$AQ$134:AQ1015,"M")</f>
        <v>2505.3999999999182</v>
      </c>
      <c r="BN1014" s="343">
        <f>SUMIFS($AU$134:AU1015,$AQ$134:AQ1015,"H")</f>
        <v>6110.1420000000153</v>
      </c>
      <c r="BO1014" s="343">
        <f>SUMIFS($AU$134:AU1015,$AQ$134:AQ1015,"D")</f>
        <v>6912.3466666667146</v>
      </c>
      <c r="BP1014" s="343">
        <f>SUMIFS($AU$134:AU1017,$AQ$134:AQ1017,"W")</f>
        <v>3762.7233333332406</v>
      </c>
      <c r="BQ1014" s="343">
        <f>SUMIFS($AU$134:AU1015,$Q$134:Q1015,"O")</f>
        <v>-852.93333333318697</v>
      </c>
      <c r="BR1014" s="343">
        <f>SUMIFS($AU$134:AU1015,$AA$134:AA1015,"*")</f>
        <v>19161.475333333259</v>
      </c>
      <c r="BS1014" s="343">
        <f>SUMIFS($AU$134:AU1015,$AB$134:AB1015,"*")</f>
        <v>5362.2666666668902</v>
      </c>
      <c r="BT1014" s="343">
        <f>SUMIFS($AU$134:AU1015,$AC$134:AC1015,"*")</f>
        <v>12023.683333333332</v>
      </c>
      <c r="BU1014" s="343">
        <f>SUMIFS($AU$134:AU1015,$AA$134:AA1015,"*",$AB$134:AB1015,"*")</f>
        <v>3538.0000000000045</v>
      </c>
      <c r="BV1014" s="343">
        <f>SUMIFS($AU$134:AU1015,$AA$134:AA1015,"*",$AC$134:AC1015,"*")</f>
        <v>10204.783333333333</v>
      </c>
      <c r="BW1014" s="343">
        <f>SUMIFS($AU$134:AU1015,$AB$134:AB1015,"*",$AC$134:AC1015,"*")</f>
        <v>6014.6</v>
      </c>
      <c r="BX1014" s="343">
        <f>SUMIFS($AU1015:AU$1388,$Q1015:Q$1388,"F")</f>
        <v>6914.1333333333323</v>
      </c>
      <c r="BY1014" s="343">
        <f>SUMIFS($AU1015:AU$1388,$Q1015:Q$1388,"S")</f>
        <v>6203.2000000000016</v>
      </c>
      <c r="BZ1014" s="343">
        <f>SUMIFS($AU1015:AU$1388,$Q1015:Q$1388,"O")</f>
        <v>-795.9246666666113</v>
      </c>
    </row>
    <row r="1015" spans="1:78" ht="15.75" customHeight="1">
      <c r="A1015" s="221" t="s">
        <v>3735</v>
      </c>
      <c r="B1015" s="177">
        <v>45175</v>
      </c>
      <c r="C1015" s="178" t="s">
        <v>1474</v>
      </c>
      <c r="D1015" s="178" t="s">
        <v>151</v>
      </c>
      <c r="E1015" s="227"/>
      <c r="F1015" s="180"/>
      <c r="G1015" s="181" t="s">
        <v>181</v>
      </c>
      <c r="H1015" s="182"/>
      <c r="I1015" s="182"/>
      <c r="J1015" s="182"/>
      <c r="K1015" s="183"/>
      <c r="L1015" s="182"/>
      <c r="M1015" s="182"/>
      <c r="N1015" s="182"/>
      <c r="O1015" s="183"/>
      <c r="P1015" s="183"/>
      <c r="Q1015" s="183"/>
      <c r="R1015" s="183"/>
      <c r="S1015" s="183"/>
      <c r="T1015" s="183"/>
      <c r="U1015" s="183"/>
      <c r="V1015" s="183"/>
      <c r="W1015" s="183"/>
      <c r="X1015" s="183"/>
      <c r="Y1015" s="184"/>
      <c r="Z1015" s="185"/>
      <c r="AA1015" s="185"/>
      <c r="AB1015" s="185"/>
      <c r="AC1015" s="185"/>
      <c r="AD1015" s="649"/>
      <c r="AE1015" s="182"/>
      <c r="AF1015" s="332"/>
      <c r="AG1015" s="182"/>
      <c r="AH1015" s="182"/>
      <c r="AI1015" s="182"/>
      <c r="AJ1015" s="640"/>
      <c r="AK1015" s="182"/>
      <c r="AL1015" s="496"/>
      <c r="AM1015" s="496"/>
      <c r="AN1015" s="626"/>
      <c r="AO1015" s="182"/>
      <c r="AP1015" s="182"/>
      <c r="AQ1015" s="332" t="str">
        <f>UPPER(RIGHT(Journal_Live[[#This Row],[DURATION ]]))</f>
        <v/>
      </c>
      <c r="AR1015" s="182"/>
      <c r="AS1015" s="189"/>
      <c r="AT1015" s="189"/>
      <c r="AU1015" s="187"/>
      <c r="AV1015" s="190"/>
      <c r="AW1015" s="191"/>
      <c r="AX1015" s="407"/>
      <c r="AY1015" s="407"/>
      <c r="AZ1015" s="407"/>
      <c r="BA1015" s="407"/>
      <c r="BB1015" s="407"/>
      <c r="BC1015" s="407"/>
      <c r="BD1015" s="407"/>
      <c r="BE1015" s="407"/>
      <c r="BF1015" s="422"/>
      <c r="BG1015" s="391">
        <f>SUM($AV$4:AV1015)</f>
        <v>4610.4686248833132</v>
      </c>
      <c r="BH1015" s="392">
        <f>SUM($AU$134:AU1015)</f>
        <v>21037.242000000151</v>
      </c>
      <c r="BI1015" s="318">
        <f>SUMIFS($AU$134:AU1016,$Q$134:Q1016,"F")</f>
        <v>7526.5333333333328</v>
      </c>
      <c r="BJ1015" s="318">
        <f>SUMIFS($AU$134:AU1016,$Q$134:Q1016,"S")</f>
        <v>14468.441999999999</v>
      </c>
      <c r="BK1015" s="343">
        <f>SUMIFS($AU$134:AU1016,$P$134:P1016,"W")</f>
        <v>12915.74199999994</v>
      </c>
      <c r="BL1015" s="343">
        <f>SUMIFS($AU$134:AU1016,$P$134:P1016,"R")</f>
        <v>8820.6733333333359</v>
      </c>
      <c r="BM1015" s="343">
        <f>SUMIFS($AU$134:AU1016,$AQ$134:AQ1016,"M")</f>
        <v>2505.3999999999182</v>
      </c>
      <c r="BN1015" s="343">
        <f>SUMIFS($AU$134:AU1016,$AQ$134:AQ1016,"H")</f>
        <v>6110.1420000000153</v>
      </c>
      <c r="BO1015" s="343">
        <f>SUMIFS($AU$134:AU1016,$AQ$134:AQ1016,"D")</f>
        <v>6912.3466666667146</v>
      </c>
      <c r="BP1015" s="343">
        <f>SUMIFS($AU$134:AU1018,$AQ$134:AQ1018,"W")</f>
        <v>3762.7233333332406</v>
      </c>
      <c r="BQ1015" s="343">
        <f>SUMIFS($AU$134:AU1016,$Q$134:Q1016,"O")</f>
        <v>-852.93333333318697</v>
      </c>
      <c r="BR1015" s="343">
        <f>SUMIFS($AU$134:AU1016,$AA$134:AA1016,"*")</f>
        <v>19161.475333333259</v>
      </c>
      <c r="BS1015" s="343">
        <f>SUMIFS($AU$134:AU1016,$AB$134:AB1016,"*")</f>
        <v>5362.2666666668902</v>
      </c>
      <c r="BT1015" s="343">
        <f>SUMIFS($AU$134:AU1016,$AC$134:AC1016,"*")</f>
        <v>12023.683333333332</v>
      </c>
      <c r="BU1015" s="343">
        <f>SUMIFS($AU$134:AU1016,$AA$134:AA1016,"*",$AB$134:AB1016,"*")</f>
        <v>3538.0000000000045</v>
      </c>
      <c r="BV1015" s="343">
        <f>SUMIFS($AU$134:AU1016,$AA$134:AA1016,"*",$AC$134:AC1016,"*")</f>
        <v>10204.783333333333</v>
      </c>
      <c r="BW1015" s="343">
        <f>SUMIFS($AU$134:AU1016,$AB$134:AB1016,"*",$AC$134:AC1016,"*")</f>
        <v>6014.6</v>
      </c>
      <c r="BX1015" s="343">
        <f>SUMIFS($AU1016:AU$1388,$Q1016:Q$1388,"F")</f>
        <v>6914.1333333333323</v>
      </c>
      <c r="BY1015" s="343">
        <f>SUMIFS($AU1016:AU$1388,$Q1016:Q$1388,"S")</f>
        <v>6203.2000000000016</v>
      </c>
      <c r="BZ1015" s="343">
        <f>SUMIFS($AU1016:AU$1388,$Q1016:Q$1388,"O")</f>
        <v>-795.9246666666113</v>
      </c>
    </row>
    <row r="1016" spans="1:78" ht="15.75" customHeight="1">
      <c r="A1016" s="221" t="s">
        <v>3735</v>
      </c>
      <c r="B1016" s="177">
        <v>45175</v>
      </c>
      <c r="C1016" s="178" t="s">
        <v>1474</v>
      </c>
      <c r="D1016" s="178" t="s">
        <v>151</v>
      </c>
      <c r="E1016" s="227"/>
      <c r="F1016" s="180"/>
      <c r="G1016" s="181" t="s">
        <v>136</v>
      </c>
      <c r="H1016" s="182"/>
      <c r="I1016" s="182"/>
      <c r="J1016" s="182"/>
      <c r="K1016" s="183"/>
      <c r="L1016" s="182"/>
      <c r="M1016" s="182"/>
      <c r="N1016" s="182"/>
      <c r="O1016" s="183"/>
      <c r="P1016" s="183"/>
      <c r="Q1016" s="183"/>
      <c r="R1016" s="183"/>
      <c r="S1016" s="183"/>
      <c r="T1016" s="183"/>
      <c r="U1016" s="183"/>
      <c r="V1016" s="183"/>
      <c r="W1016" s="183"/>
      <c r="X1016" s="183"/>
      <c r="Y1016" s="184"/>
      <c r="Z1016" s="185"/>
      <c r="AA1016" s="185"/>
      <c r="AB1016" s="185"/>
      <c r="AC1016" s="185"/>
      <c r="AD1016" s="649"/>
      <c r="AE1016" s="182"/>
      <c r="AF1016" s="332"/>
      <c r="AG1016" s="182"/>
      <c r="AH1016" s="182"/>
      <c r="AI1016" s="182"/>
      <c r="AJ1016" s="640"/>
      <c r="AK1016" s="182"/>
      <c r="AL1016" s="496"/>
      <c r="AM1016" s="496"/>
      <c r="AN1016" s="626"/>
      <c r="AO1016" s="182"/>
      <c r="AP1016" s="182"/>
      <c r="AQ1016" s="332" t="str">
        <f>UPPER(RIGHT(Journal_Live[[#This Row],[DURATION ]]))</f>
        <v/>
      </c>
      <c r="AR1016" s="182"/>
      <c r="AS1016" s="189"/>
      <c r="AT1016" s="189"/>
      <c r="AU1016" s="187"/>
      <c r="AV1016" s="190"/>
      <c r="AW1016" s="191"/>
      <c r="AX1016" s="407"/>
      <c r="AY1016" s="407"/>
      <c r="AZ1016" s="407"/>
      <c r="BA1016" s="407"/>
      <c r="BB1016" s="407"/>
      <c r="BC1016" s="407"/>
      <c r="BD1016" s="407"/>
      <c r="BE1016" s="407"/>
      <c r="BF1016" s="422"/>
      <c r="BG1016" s="391">
        <f>SUM($AV$4:AV1016)</f>
        <v>4610.4686248833132</v>
      </c>
      <c r="BH1016" s="392">
        <f>SUM($AU$134:AU1016)</f>
        <v>21037.242000000151</v>
      </c>
      <c r="BI1016" s="318">
        <f>SUMIFS($AU$134:AU1017,$Q$134:Q1017,"F")</f>
        <v>7526.5333333333328</v>
      </c>
      <c r="BJ1016" s="318">
        <f>SUMIFS($AU$134:AU1017,$Q$134:Q1017,"S")</f>
        <v>14468.441999999999</v>
      </c>
      <c r="BK1016" s="343">
        <f>SUMIFS($AU$134:AU1017,$P$134:P1017,"W")</f>
        <v>12915.74199999994</v>
      </c>
      <c r="BL1016" s="343">
        <f>SUMIFS($AU$134:AU1017,$P$134:P1017,"R")</f>
        <v>8820.6733333333359</v>
      </c>
      <c r="BM1016" s="343">
        <f>SUMIFS($AU$134:AU1017,$AQ$134:AQ1017,"M")</f>
        <v>2505.3999999999182</v>
      </c>
      <c r="BN1016" s="343">
        <f>SUMIFS($AU$134:AU1017,$AQ$134:AQ1017,"H")</f>
        <v>6110.1420000000153</v>
      </c>
      <c r="BO1016" s="343">
        <f>SUMIFS($AU$134:AU1017,$AQ$134:AQ1017,"D")</f>
        <v>6912.3466666667146</v>
      </c>
      <c r="BP1016" s="343">
        <f>SUMIFS($AU$134:AU1019,$AQ$134:AQ1019,"W")</f>
        <v>3762.7233333332406</v>
      </c>
      <c r="BQ1016" s="343">
        <f>SUMIFS($AU$134:AU1017,$Q$134:Q1017,"O")</f>
        <v>-852.93333333318697</v>
      </c>
      <c r="BR1016" s="343">
        <f>SUMIFS($AU$134:AU1017,$AA$134:AA1017,"*")</f>
        <v>19161.475333333259</v>
      </c>
      <c r="BS1016" s="343">
        <f>SUMIFS($AU$134:AU1017,$AB$134:AB1017,"*")</f>
        <v>5362.2666666668902</v>
      </c>
      <c r="BT1016" s="343">
        <f>SUMIFS($AU$134:AU1017,$AC$134:AC1017,"*")</f>
        <v>12023.683333333332</v>
      </c>
      <c r="BU1016" s="343">
        <f>SUMIFS($AU$134:AU1017,$AA$134:AA1017,"*",$AB$134:AB1017,"*")</f>
        <v>3538.0000000000045</v>
      </c>
      <c r="BV1016" s="343">
        <f>SUMIFS($AU$134:AU1017,$AA$134:AA1017,"*",$AC$134:AC1017,"*")</f>
        <v>10204.783333333333</v>
      </c>
      <c r="BW1016" s="343">
        <f>SUMIFS($AU$134:AU1017,$AB$134:AB1017,"*",$AC$134:AC1017,"*")</f>
        <v>6014.6</v>
      </c>
      <c r="BX1016" s="343">
        <f>SUMIFS($AU1017:AU$1388,$Q1017:Q$1388,"F")</f>
        <v>6914.1333333333323</v>
      </c>
      <c r="BY1016" s="343">
        <f>SUMIFS($AU1017:AU$1388,$Q1017:Q$1388,"S")</f>
        <v>6203.2000000000016</v>
      </c>
      <c r="BZ1016" s="343">
        <f>SUMIFS($AU1017:AU$1388,$Q1017:Q$1388,"O")</f>
        <v>-795.9246666666113</v>
      </c>
    </row>
    <row r="1017" spans="1:78" ht="15.75" customHeight="1">
      <c r="A1017" s="221" t="s">
        <v>3735</v>
      </c>
      <c r="B1017" s="177">
        <v>45175</v>
      </c>
      <c r="C1017" s="178" t="s">
        <v>1187</v>
      </c>
      <c r="D1017" s="178" t="s">
        <v>151</v>
      </c>
      <c r="E1017" s="227" t="s">
        <v>3775</v>
      </c>
      <c r="F1017" s="180"/>
      <c r="G1017" s="181"/>
      <c r="H1017" s="182">
        <v>1</v>
      </c>
      <c r="I1017" s="182"/>
      <c r="J1017" s="182"/>
      <c r="K1017" s="183" t="s">
        <v>372</v>
      </c>
      <c r="L1017" s="182"/>
      <c r="M1017" s="182"/>
      <c r="N1017" s="182"/>
      <c r="O1017" s="183"/>
      <c r="P1017" s="183"/>
      <c r="Q1017" s="183"/>
      <c r="R1017" s="183"/>
      <c r="S1017" s="183"/>
      <c r="T1017" s="183"/>
      <c r="U1017" s="183"/>
      <c r="V1017" s="183"/>
      <c r="W1017" s="183"/>
      <c r="X1017" s="183"/>
      <c r="Y1017" s="183"/>
      <c r="Z1017" s="185" t="str">
        <f>IF(ISBLANK(O1017),"",IF(O1017="IB",8.63*200,IF(O1017="IR",16*100,IF(O1017="YT",20*100,IF(O1017="YT-XT",24*200,IF(O1017="TED",80*100))))))</f>
        <v/>
      </c>
      <c r="AA1017" s="185"/>
      <c r="AB1017" s="185"/>
      <c r="AC1017" s="185"/>
      <c r="AD1017" s="649"/>
      <c r="AE1017" s="182"/>
      <c r="AF1017" s="332"/>
      <c r="AG1017" s="182"/>
      <c r="AH1017" s="182"/>
      <c r="AI1017" s="182"/>
      <c r="AJ1017" s="640"/>
      <c r="AK1017" s="182"/>
      <c r="AL1017" s="496"/>
      <c r="AM1017" s="496"/>
      <c r="AN1017" s="626"/>
      <c r="AO1017" s="182"/>
      <c r="AP1017" s="182"/>
      <c r="AQ1017" s="332" t="str">
        <f>UPPER(RIGHT(Journal_Live[[#This Row],[DURATION ]]))</f>
        <v/>
      </c>
      <c r="AR1017" s="182"/>
      <c r="AS1017" s="189"/>
      <c r="AT1017" s="189"/>
      <c r="AU1017" s="187"/>
      <c r="AV1017" s="190"/>
      <c r="AW1017" s="191"/>
      <c r="AX1017" s="407" t="s">
        <v>3776</v>
      </c>
      <c r="AY1017" s="407" t="s">
        <v>3777</v>
      </c>
      <c r="AZ1017" s="407" t="s">
        <v>3778</v>
      </c>
      <c r="BA1017" s="407" t="s">
        <v>3779</v>
      </c>
      <c r="BB1017" s="407" t="s">
        <v>3780</v>
      </c>
      <c r="BC1017" s="407" t="s">
        <v>3781</v>
      </c>
      <c r="BD1017" s="407"/>
      <c r="BE1017" s="407"/>
      <c r="BF1017" s="422"/>
      <c r="BG1017" s="391">
        <f>SUM($AV$4:AV1017)</f>
        <v>4610.4686248833132</v>
      </c>
      <c r="BH1017" s="392">
        <f>SUM($AU$134:AU1017)</f>
        <v>21037.242000000151</v>
      </c>
      <c r="BI1017" s="318">
        <f>SUMIFS($AU$134:AU1018,$Q$134:Q1018,"F")</f>
        <v>7718.5333333333328</v>
      </c>
      <c r="BJ1017" s="318">
        <f>SUMIFS($AU$134:AU1018,$Q$134:Q1018,"S")</f>
        <v>14468.441999999999</v>
      </c>
      <c r="BK1017" s="343">
        <f>SUMIFS($AU$134:AU1018,$P$134:P1018,"W")</f>
        <v>13107.74199999994</v>
      </c>
      <c r="BL1017" s="343">
        <f>SUMIFS($AU$134:AU1018,$P$134:P1018,"R")</f>
        <v>8820.6733333333359</v>
      </c>
      <c r="BM1017" s="343">
        <f>SUMIFS($AU$134:AU1018,$AQ$134:AQ1018,"M")</f>
        <v>2505.3999999999182</v>
      </c>
      <c r="BN1017" s="343">
        <f>SUMIFS($AU$134:AU1018,$AQ$134:AQ1018,"H")</f>
        <v>6302.1420000000153</v>
      </c>
      <c r="BO1017" s="343">
        <f>SUMIFS($AU$134:AU1018,$AQ$134:AQ1018,"D")</f>
        <v>6912.3466666667146</v>
      </c>
      <c r="BP1017" s="343">
        <f>SUMIFS($AU$134:AU1020,$AQ$134:AQ1020,"W")</f>
        <v>3762.7233333332406</v>
      </c>
      <c r="BQ1017" s="343">
        <f>SUMIFS($AU$134:AU1018,$Q$134:Q1018,"O")</f>
        <v>-852.93333333318697</v>
      </c>
      <c r="BR1017" s="343">
        <f>SUMIFS($AU$134:AU1018,$AA$134:AA1018,"*")</f>
        <v>19353.475333333259</v>
      </c>
      <c r="BS1017" s="343">
        <f>SUMIFS($AU$134:AU1018,$AB$134:AB1018,"*")</f>
        <v>5362.2666666668902</v>
      </c>
      <c r="BT1017" s="343">
        <f>SUMIFS($AU$134:AU1018,$AC$134:AC1018,"*")</f>
        <v>12023.683333333332</v>
      </c>
      <c r="BU1017" s="343">
        <f>SUMIFS($AU$134:AU1018,$AA$134:AA1018,"*",$AB$134:AB1018,"*")</f>
        <v>3538.0000000000045</v>
      </c>
      <c r="BV1017" s="343">
        <f>SUMIFS($AU$134:AU1018,$AA$134:AA1018,"*",$AC$134:AC1018,"*")</f>
        <v>10204.783333333333</v>
      </c>
      <c r="BW1017" s="343">
        <f>SUMIFS($AU$134:AU1018,$AB$134:AB1018,"*",$AC$134:AC1018,"*")</f>
        <v>6014.6</v>
      </c>
      <c r="BX1017" s="343">
        <f>SUMIFS($AU1018:AU$1388,$Q1018:Q$1388,"F")</f>
        <v>6914.1333333333323</v>
      </c>
      <c r="BY1017" s="343">
        <f>SUMIFS($AU1018:AU$1388,$Q1018:Q$1388,"S")</f>
        <v>6203.2000000000016</v>
      </c>
      <c r="BZ1017" s="343">
        <f>SUMIFS($AU1018:AU$1388,$Q1018:Q$1388,"O")</f>
        <v>-795.9246666666113</v>
      </c>
    </row>
    <row r="1018" spans="1:78" ht="15.75" customHeight="1">
      <c r="A1018" s="221" t="s">
        <v>3735</v>
      </c>
      <c r="B1018" s="177">
        <v>45176</v>
      </c>
      <c r="C1018" s="178" t="s">
        <v>3782</v>
      </c>
      <c r="D1018" s="178" t="s">
        <v>93</v>
      </c>
      <c r="E1018" s="227"/>
      <c r="F1018" s="180"/>
      <c r="G1018" s="281" t="s">
        <v>3772</v>
      </c>
      <c r="H1018" s="182"/>
      <c r="I1018" s="182"/>
      <c r="J1018" s="182"/>
      <c r="K1018" s="183"/>
      <c r="L1018" s="182">
        <v>1</v>
      </c>
      <c r="M1018" s="182"/>
      <c r="N1018" s="182"/>
      <c r="O1018" s="183" t="s">
        <v>95</v>
      </c>
      <c r="P1018" s="183" t="s">
        <v>96</v>
      </c>
      <c r="Q1018" s="183" t="s">
        <v>256</v>
      </c>
      <c r="R1018" s="183">
        <v>12</v>
      </c>
      <c r="S1018" s="183">
        <v>10</v>
      </c>
      <c r="T1018" s="183">
        <v>7</v>
      </c>
      <c r="U1018" s="183" t="s">
        <v>22</v>
      </c>
      <c r="V1018" s="183"/>
      <c r="W1018" s="183"/>
      <c r="X1018" s="183"/>
      <c r="Y1018" s="184">
        <f>IF(ISBLANK(O1018),"",(IF(O1018=UPPER("IB"),0.005,0.01)))</f>
        <v>0.01</v>
      </c>
      <c r="Z1018" s="185">
        <f>IF(ISBLANK(O1018),"",IF(O1018="IB",8.63*200,IF(O1018="IR",16*100,IF(O1018="YT",20*100,IF(O1018="YT-XT",24*200,IF(O1018="TED",80*100))))))</f>
        <v>1600</v>
      </c>
      <c r="AA1018" s="185" t="s">
        <v>3783</v>
      </c>
      <c r="AB1018" s="185"/>
      <c r="AC1018" s="185"/>
      <c r="AD1018" s="649">
        <f>(0.02*7+0.01*5)/12</f>
        <v>1.5833333333333335E-2</v>
      </c>
      <c r="AE1018" s="182"/>
      <c r="AF1018" s="332"/>
      <c r="AG1018" s="182"/>
      <c r="AH1018" s="182"/>
      <c r="AI1018" s="182"/>
      <c r="AJ1018" s="640"/>
      <c r="AK1018" s="182"/>
      <c r="AL1018" s="496">
        <f t="shared" ref="AL1018:AL1020" si="313">-0.03*Z1018</f>
        <v>-48</v>
      </c>
      <c r="AM1018" s="496">
        <f>AL1018*(R1018-S1018)</f>
        <v>-96</v>
      </c>
      <c r="AN1018" s="626"/>
      <c r="AO1018" s="182"/>
      <c r="AP1018" s="182" t="s">
        <v>3784</v>
      </c>
      <c r="AQ1018" s="332" t="str">
        <f>UPPER(RIGHT(Journal_Live[[#This Row],[DURATION ]]))</f>
        <v>H</v>
      </c>
      <c r="AR1018" s="182" t="s">
        <v>3785</v>
      </c>
      <c r="AS1018" s="189">
        <f>(0.02*5+0.03*5+0.03*2)/12</f>
        <v>2.5833333333333333E-2</v>
      </c>
      <c r="AT1018" s="189">
        <f>IF(ISBLANK(AS1018),,IF(U1018="S",AD1018-AS1018,AS1018-AD1018))</f>
        <v>9.9999999999999985E-3</v>
      </c>
      <c r="AU1018" s="187">
        <f>AV1018*R1018</f>
        <v>191.99999999999997</v>
      </c>
      <c r="AV1018" s="190">
        <f>IF(ISBLANK(AS1018),,(AT1018*Z1018))</f>
        <v>15.999999999999998</v>
      </c>
      <c r="AW1018" s="191" t="s">
        <v>96</v>
      </c>
      <c r="AX1018" s="407"/>
      <c r="AY1018" s="407"/>
      <c r="AZ1018" s="407"/>
      <c r="BA1018" s="407" t="s">
        <v>3786</v>
      </c>
      <c r="BB1018" s="407"/>
      <c r="BC1018" s="407"/>
      <c r="BD1018" s="407"/>
      <c r="BE1018" s="407"/>
      <c r="BF1018" s="422"/>
      <c r="BG1018" s="391">
        <f>SUM($AV$4:AV1018)</f>
        <v>4626.4686248833132</v>
      </c>
      <c r="BH1018" s="392">
        <f>SUM($AU$134:AU1018)</f>
        <v>21229.242000000151</v>
      </c>
      <c r="BI1018" s="318">
        <f>SUMIFS($AU$134:AU1019,$Q$134:Q1019,"F")</f>
        <v>7718.5333333333328</v>
      </c>
      <c r="BJ1018" s="318">
        <f>SUMIFS($AU$134:AU1019,$Q$134:Q1019,"S")</f>
        <v>14468.441999999999</v>
      </c>
      <c r="BK1018" s="343">
        <f>SUMIFS($AU$134:AU1019,$P$134:P1019,"W")</f>
        <v>13107.74199999994</v>
      </c>
      <c r="BL1018" s="343">
        <f>SUMIFS($AU$134:AU1019,$P$134:P1019,"R")</f>
        <v>8820.6733333333359</v>
      </c>
      <c r="BM1018" s="343">
        <f>SUMIFS($AU$134:AU1019,$AQ$134:AQ1019,"M")</f>
        <v>2505.3999999999182</v>
      </c>
      <c r="BN1018" s="343">
        <f>SUMIFS($AU$134:AU1019,$AQ$134:AQ1019,"H")</f>
        <v>6302.1420000000153</v>
      </c>
      <c r="BO1018" s="343">
        <f>SUMIFS($AU$134:AU1019,$AQ$134:AQ1019,"D")</f>
        <v>6912.3466666667146</v>
      </c>
      <c r="BP1018" s="343">
        <f>SUMIFS($AU$134:AU1021,$AQ$134:AQ1021,"W")</f>
        <v>3762.7233333332406</v>
      </c>
      <c r="BQ1018" s="343">
        <f>SUMIFS($AU$134:AU1019,$Q$134:Q1019,"O")</f>
        <v>-852.93333333318697</v>
      </c>
      <c r="BR1018" s="343">
        <f>SUMIFS($AU$134:AU1019,$AA$134:AA1019,"*")</f>
        <v>19353.475333333259</v>
      </c>
      <c r="BS1018" s="343">
        <f>SUMIFS($AU$134:AU1019,$AB$134:AB1019,"*")</f>
        <v>5362.2666666668902</v>
      </c>
      <c r="BT1018" s="343">
        <f>SUMIFS($AU$134:AU1019,$AC$134:AC1019,"*")</f>
        <v>12023.683333333332</v>
      </c>
      <c r="BU1018" s="343">
        <f>SUMIFS($AU$134:AU1019,$AA$134:AA1019,"*",$AB$134:AB1019,"*")</f>
        <v>3538.0000000000045</v>
      </c>
      <c r="BV1018" s="343">
        <f>SUMIFS($AU$134:AU1019,$AA$134:AA1019,"*",$AC$134:AC1019,"*")</f>
        <v>10204.783333333333</v>
      </c>
      <c r="BW1018" s="343">
        <f>SUMIFS($AU$134:AU1019,$AB$134:AB1019,"*",$AC$134:AC1019,"*")</f>
        <v>6014.6</v>
      </c>
      <c r="BX1018" s="343">
        <f>SUMIFS($AU1019:AU$1388,$Q1019:Q$1388,"F")</f>
        <v>6722.1333333333323</v>
      </c>
      <c r="BY1018" s="343">
        <f>SUMIFS($AU1019:AU$1388,$Q1019:Q$1388,"S")</f>
        <v>6203.2000000000016</v>
      </c>
      <c r="BZ1018" s="343">
        <f>SUMIFS($AU1019:AU$1388,$Q1019:Q$1388,"O")</f>
        <v>-795.9246666666113</v>
      </c>
    </row>
    <row r="1019" spans="1:78" ht="15.75" customHeight="1">
      <c r="A1019" s="221" t="s">
        <v>3735</v>
      </c>
      <c r="B1019" s="177">
        <v>45176</v>
      </c>
      <c r="C1019" s="178" t="s">
        <v>3787</v>
      </c>
      <c r="D1019" s="178" t="s">
        <v>93</v>
      </c>
      <c r="E1019" s="227"/>
      <c r="F1019" s="180"/>
      <c r="G1019" s="181" t="s">
        <v>136</v>
      </c>
      <c r="H1019" s="182"/>
      <c r="I1019" s="182"/>
      <c r="J1019" s="182"/>
      <c r="K1019" s="183"/>
      <c r="L1019" s="182"/>
      <c r="M1019" s="182"/>
      <c r="N1019" s="182"/>
      <c r="O1019" s="183"/>
      <c r="P1019" s="183"/>
      <c r="Q1019" s="183"/>
      <c r="R1019" s="183"/>
      <c r="S1019" s="183"/>
      <c r="T1019" s="183"/>
      <c r="U1019" s="183"/>
      <c r="V1019" s="183"/>
      <c r="W1019" s="183"/>
      <c r="X1019" s="183"/>
      <c r="Y1019" s="184"/>
      <c r="Z1019" s="185"/>
      <c r="AA1019" s="185"/>
      <c r="AB1019" s="185"/>
      <c r="AC1019" s="185"/>
      <c r="AD1019" s="649"/>
      <c r="AE1019" s="182"/>
      <c r="AF1019" s="332"/>
      <c r="AG1019" s="182"/>
      <c r="AH1019" s="182"/>
      <c r="AI1019" s="182"/>
      <c r="AJ1019" s="640"/>
      <c r="AK1019" s="182"/>
      <c r="AL1019" s="496"/>
      <c r="AM1019" s="496"/>
      <c r="AN1019" s="626"/>
      <c r="AO1019" s="182"/>
      <c r="AP1019" s="182"/>
      <c r="AQ1019" s="332" t="str">
        <f>UPPER(RIGHT(Journal_Live[[#This Row],[DURATION ]]))</f>
        <v/>
      </c>
      <c r="AR1019" s="182"/>
      <c r="AS1019" s="189"/>
      <c r="AT1019" s="189"/>
      <c r="AU1019" s="187"/>
      <c r="AV1019" s="190"/>
      <c r="AW1019" s="191"/>
      <c r="AX1019" s="407"/>
      <c r="AY1019" s="407"/>
      <c r="AZ1019" s="407"/>
      <c r="BA1019" s="407"/>
      <c r="BB1019" s="407"/>
      <c r="BC1019" s="407"/>
      <c r="BD1019" s="407"/>
      <c r="BE1019" s="407"/>
      <c r="BF1019" s="422"/>
      <c r="BG1019" s="391">
        <f>SUM($AV$4:AV1019)</f>
        <v>4626.4686248833132</v>
      </c>
      <c r="BH1019" s="392">
        <f>SUM($AU$134:AU1019)</f>
        <v>21229.242000000151</v>
      </c>
      <c r="BI1019" s="318">
        <f>SUMIFS($AU$134:AU1020,$Q$134:Q1020,"F")</f>
        <v>7718.5333333333328</v>
      </c>
      <c r="BJ1019" s="318">
        <f>SUMIFS($AU$134:AU1020,$Q$134:Q1020,"S")</f>
        <v>14468.441999999999</v>
      </c>
      <c r="BK1019" s="343">
        <f>SUMIFS($AU$134:AU1020,$P$134:P1020,"W")</f>
        <v>13107.74199999994</v>
      </c>
      <c r="BL1019" s="343">
        <f>SUMIFS($AU$134:AU1020,$P$134:P1020,"R")</f>
        <v>8820.6733333333359</v>
      </c>
      <c r="BM1019" s="343">
        <f>SUMIFS($AU$134:AU1020,$AQ$134:AQ1020,"M")</f>
        <v>2505.3999999999182</v>
      </c>
      <c r="BN1019" s="343">
        <f>SUMIFS($AU$134:AU1020,$AQ$134:AQ1020,"H")</f>
        <v>6302.1420000000153</v>
      </c>
      <c r="BO1019" s="343">
        <f>SUMIFS($AU$134:AU1020,$AQ$134:AQ1020,"D")</f>
        <v>6912.3466666667146</v>
      </c>
      <c r="BP1019" s="343">
        <f>SUMIFS($AU$134:AU1022,$AQ$134:AQ1022,"W")</f>
        <v>3762.7233333332406</v>
      </c>
      <c r="BQ1019" s="343">
        <f>SUMIFS($AU$134:AU1020,$Q$134:Q1020,"O")</f>
        <v>-852.93333333318697</v>
      </c>
      <c r="BR1019" s="343">
        <f>SUMIFS($AU$134:AU1020,$AA$134:AA1020,"*")</f>
        <v>19353.475333333259</v>
      </c>
      <c r="BS1019" s="343">
        <f>SUMIFS($AU$134:AU1020,$AB$134:AB1020,"*")</f>
        <v>5362.2666666668902</v>
      </c>
      <c r="BT1019" s="343">
        <f>SUMIFS($AU$134:AU1020,$AC$134:AC1020,"*")</f>
        <v>12023.683333333332</v>
      </c>
      <c r="BU1019" s="343">
        <f>SUMIFS($AU$134:AU1020,$AA$134:AA1020,"*",$AB$134:AB1020,"*")</f>
        <v>3538.0000000000045</v>
      </c>
      <c r="BV1019" s="343">
        <f>SUMIFS($AU$134:AU1020,$AA$134:AA1020,"*",$AC$134:AC1020,"*")</f>
        <v>10204.783333333333</v>
      </c>
      <c r="BW1019" s="343">
        <f>SUMIFS($AU$134:AU1020,$AB$134:AB1020,"*",$AC$134:AC1020,"*")</f>
        <v>6014.6</v>
      </c>
      <c r="BX1019" s="343">
        <f>SUMIFS($AU1020:AU$1388,$Q1020:Q$1388,"F")</f>
        <v>6722.1333333333323</v>
      </c>
      <c r="BY1019" s="343">
        <f>SUMIFS($AU1020:AU$1388,$Q1020:Q$1388,"S")</f>
        <v>6203.2000000000016</v>
      </c>
      <c r="BZ1019" s="343">
        <f>SUMIFS($AU1020:AU$1388,$Q1020:Q$1388,"O")</f>
        <v>-795.9246666666113</v>
      </c>
    </row>
    <row r="1020" spans="1:78" ht="15.75" customHeight="1">
      <c r="A1020" s="221" t="s">
        <v>3735</v>
      </c>
      <c r="B1020" s="177">
        <v>45176</v>
      </c>
      <c r="C1020" s="178" t="s">
        <v>3788</v>
      </c>
      <c r="D1020" s="178" t="s">
        <v>93</v>
      </c>
      <c r="E1020" s="227"/>
      <c r="F1020" s="180"/>
      <c r="G1020" s="281" t="s">
        <v>2016</v>
      </c>
      <c r="H1020" s="182"/>
      <c r="I1020" s="182"/>
      <c r="J1020" s="182"/>
      <c r="K1020" s="183"/>
      <c r="L1020" s="182">
        <v>1</v>
      </c>
      <c r="M1020" s="182"/>
      <c r="N1020" s="182"/>
      <c r="O1020" s="183" t="s">
        <v>95</v>
      </c>
      <c r="P1020" s="183" t="s">
        <v>96</v>
      </c>
      <c r="Q1020" s="183" t="s">
        <v>97</v>
      </c>
      <c r="R1020" s="183">
        <v>10</v>
      </c>
      <c r="S1020" s="183">
        <v>0</v>
      </c>
      <c r="T1020" s="183">
        <v>10</v>
      </c>
      <c r="U1020" s="183" t="s">
        <v>97</v>
      </c>
      <c r="V1020" s="183"/>
      <c r="W1020" s="183"/>
      <c r="X1020" s="183"/>
      <c r="Y1020" s="184">
        <f>IF(ISBLANK(O1020),"",(IF(O1020=UPPER("IB"),0.005,0.01)))</f>
        <v>0.01</v>
      </c>
      <c r="Z1020" s="185">
        <f>IF(ISBLANK(O1020),"",IF(O1020="IB",8.63*200,IF(O1020="IR",16*100,IF(O1020="YT",20*100,IF(O1020="YT-XT",24*200,IF(O1020="TED",80*100))))))</f>
        <v>1600</v>
      </c>
      <c r="AA1020" s="185" t="s">
        <v>998</v>
      </c>
      <c r="AB1020" s="185"/>
      <c r="AC1020" s="185" t="s">
        <v>3789</v>
      </c>
      <c r="AD1020" s="649">
        <v>-0.09</v>
      </c>
      <c r="AE1020" s="182"/>
      <c r="AF1020" s="332"/>
      <c r="AG1020" s="182"/>
      <c r="AH1020" s="182"/>
      <c r="AI1020" s="182"/>
      <c r="AJ1020" s="640"/>
      <c r="AK1020" s="182"/>
      <c r="AL1020" s="496">
        <f t="shared" si="313"/>
        <v>-48</v>
      </c>
      <c r="AM1020" s="496">
        <f>AL1020*(R1020-S1020)</f>
        <v>-480</v>
      </c>
      <c r="AN1020" s="626"/>
      <c r="AO1020" s="182"/>
      <c r="AP1020" s="182" t="s">
        <v>1433</v>
      </c>
      <c r="AQ1020" s="332" t="str">
        <f>UPPER(RIGHT(Journal_Live[[#This Row],[DURATION ]]))</f>
        <v>H</v>
      </c>
      <c r="AR1020" s="182" t="s">
        <v>2107</v>
      </c>
      <c r="AS1020" s="189">
        <v>-0.09</v>
      </c>
      <c r="AT1020" s="189">
        <f>IF(ISBLANK(AS1020),,IF(U1020="S",AD1020-AS1020,AS1020-AD1020))</f>
        <v>0</v>
      </c>
      <c r="AU1020" s="187">
        <f>AV1020*R1020</f>
        <v>0</v>
      </c>
      <c r="AV1020" s="190">
        <f>IF(ISBLANK(AS1020),,(AT1020*Z1020))</f>
        <v>0</v>
      </c>
      <c r="AW1020" s="191" t="s">
        <v>115</v>
      </c>
      <c r="AX1020" s="407"/>
      <c r="AY1020" s="407"/>
      <c r="AZ1020" s="407"/>
      <c r="BA1020" s="407"/>
      <c r="BB1020" s="407"/>
      <c r="BC1020" s="407"/>
      <c r="BD1020" s="407"/>
      <c r="BE1020" s="407"/>
      <c r="BF1020" s="422"/>
      <c r="BG1020" s="391">
        <f>SUM($AV$4:AV1020)</f>
        <v>4626.4686248833132</v>
      </c>
      <c r="BH1020" s="392">
        <f>SUM($AU$134:AU1020)</f>
        <v>21229.242000000151</v>
      </c>
      <c r="BI1020" s="318">
        <f>SUMIFS($AU$134:AU1021,$Q$134:Q1021,"F")</f>
        <v>7718.5333333333328</v>
      </c>
      <c r="BJ1020" s="318">
        <f>SUMIFS($AU$134:AU1021,$Q$134:Q1021,"S")</f>
        <v>14468.441999999999</v>
      </c>
      <c r="BK1020" s="343">
        <f>SUMIFS($AU$134:AU1021,$P$134:P1021,"W")</f>
        <v>13107.74199999994</v>
      </c>
      <c r="BL1020" s="343">
        <f>SUMIFS($AU$134:AU1021,$P$134:P1021,"R")</f>
        <v>8820.6733333333359</v>
      </c>
      <c r="BM1020" s="343">
        <f>SUMIFS($AU$134:AU1021,$AQ$134:AQ1021,"M")</f>
        <v>2505.3999999999182</v>
      </c>
      <c r="BN1020" s="343">
        <f>SUMIFS($AU$134:AU1021,$AQ$134:AQ1021,"H")</f>
        <v>6302.1420000000153</v>
      </c>
      <c r="BO1020" s="343">
        <f>SUMIFS($AU$134:AU1021,$AQ$134:AQ1021,"D")</f>
        <v>6912.3466666667146</v>
      </c>
      <c r="BP1020" s="343">
        <f>SUMIFS($AU$134:AU1023,$AQ$134:AQ1023,"W")</f>
        <v>3762.7233333332406</v>
      </c>
      <c r="BQ1020" s="343">
        <f>SUMIFS($AU$134:AU1021,$Q$134:Q1021,"O")</f>
        <v>-852.93333333318697</v>
      </c>
      <c r="BR1020" s="343">
        <f>SUMIFS($AU$134:AU1021,$AA$134:AA1021,"*")</f>
        <v>19353.475333333259</v>
      </c>
      <c r="BS1020" s="343">
        <f>SUMIFS($AU$134:AU1021,$AB$134:AB1021,"*")</f>
        <v>5362.2666666668902</v>
      </c>
      <c r="BT1020" s="343">
        <f>SUMIFS($AU$134:AU1021,$AC$134:AC1021,"*")</f>
        <v>12023.683333333332</v>
      </c>
      <c r="BU1020" s="343">
        <f>SUMIFS($AU$134:AU1021,$AA$134:AA1021,"*",$AB$134:AB1021,"*")</f>
        <v>3538.0000000000045</v>
      </c>
      <c r="BV1020" s="343">
        <f>SUMIFS($AU$134:AU1021,$AA$134:AA1021,"*",$AC$134:AC1021,"*")</f>
        <v>10204.783333333333</v>
      </c>
      <c r="BW1020" s="343">
        <f>SUMIFS($AU$134:AU1021,$AB$134:AB1021,"*",$AC$134:AC1021,"*")</f>
        <v>6014.6</v>
      </c>
      <c r="BX1020" s="343">
        <f>SUMIFS($AU1021:AU$1388,$Q1021:Q$1388,"F")</f>
        <v>6722.1333333333323</v>
      </c>
      <c r="BY1020" s="343">
        <f>SUMIFS($AU1021:AU$1388,$Q1021:Q$1388,"S")</f>
        <v>6203.2000000000016</v>
      </c>
      <c r="BZ1020" s="343">
        <f>SUMIFS($AU1021:AU$1388,$Q1021:Q$1388,"O")</f>
        <v>-795.9246666666113</v>
      </c>
    </row>
    <row r="1021" spans="1:78" ht="15.75" customHeight="1">
      <c r="A1021" s="221" t="s">
        <v>3735</v>
      </c>
      <c r="B1021" s="177">
        <v>45176</v>
      </c>
      <c r="C1021" s="178" t="s">
        <v>3790</v>
      </c>
      <c r="D1021" s="178" t="s">
        <v>93</v>
      </c>
      <c r="E1021" s="227"/>
      <c r="F1021" s="180"/>
      <c r="G1021" s="181" t="s">
        <v>2070</v>
      </c>
      <c r="H1021" s="182"/>
      <c r="I1021" s="182"/>
      <c r="J1021" s="182"/>
      <c r="K1021" s="183"/>
      <c r="L1021" s="182"/>
      <c r="M1021" s="182"/>
      <c r="N1021" s="182"/>
      <c r="O1021" s="183"/>
      <c r="P1021" s="183"/>
      <c r="Q1021" s="183"/>
      <c r="R1021" s="183"/>
      <c r="S1021" s="183"/>
      <c r="T1021" s="183"/>
      <c r="U1021" s="183"/>
      <c r="V1021" s="183"/>
      <c r="W1021" s="183"/>
      <c r="X1021" s="183"/>
      <c r="Y1021" s="184"/>
      <c r="Z1021" s="185"/>
      <c r="AA1021" s="185"/>
      <c r="AB1021" s="185"/>
      <c r="AC1021" s="185"/>
      <c r="AD1021" s="649"/>
      <c r="AE1021" s="182"/>
      <c r="AF1021" s="332"/>
      <c r="AG1021" s="182"/>
      <c r="AH1021" s="182"/>
      <c r="AI1021" s="182"/>
      <c r="AJ1021" s="640"/>
      <c r="AK1021" s="182"/>
      <c r="AL1021" s="496">
        <f t="shared" ref="AL1021" si="314">-0.03*Z1021</f>
        <v>0</v>
      </c>
      <c r="AM1021" s="496">
        <f>AL1021*(R1021-S1021)</f>
        <v>0</v>
      </c>
      <c r="AN1021" s="626"/>
      <c r="AO1021" s="182"/>
      <c r="AP1021" s="182"/>
      <c r="AQ1021" s="332" t="str">
        <f>UPPER(RIGHT(Journal_Live[[#This Row],[DURATION ]]))</f>
        <v/>
      </c>
      <c r="AR1021" s="182"/>
      <c r="AS1021" s="189"/>
      <c r="AT1021" s="189"/>
      <c r="AU1021" s="187"/>
      <c r="AV1021" s="190"/>
      <c r="AW1021" s="191"/>
      <c r="AX1021" s="407" t="s">
        <v>3791</v>
      </c>
      <c r="AY1021" s="407"/>
      <c r="AZ1021" s="407"/>
      <c r="BA1021" s="407"/>
      <c r="BB1021" s="407"/>
      <c r="BC1021" s="407"/>
      <c r="BD1021" s="407"/>
      <c r="BE1021" s="407"/>
      <c r="BF1021" s="422"/>
      <c r="BG1021" s="391">
        <f>SUM($AV$4:AV1021)</f>
        <v>4626.4686248833132</v>
      </c>
      <c r="BH1021" s="392">
        <f>SUM($AU$134:AU1021)</f>
        <v>21229.242000000151</v>
      </c>
      <c r="BI1021" s="318">
        <f>SUMIFS($AU$134:AU1022,$Q$134:Q1022,"F")</f>
        <v>7718.5333333333328</v>
      </c>
      <c r="BJ1021" s="318">
        <f>SUMIFS($AU$134:AU1022,$Q$134:Q1022,"S")</f>
        <v>14468.441999999999</v>
      </c>
      <c r="BK1021" s="343">
        <f>SUMIFS($AU$134:AU1022,$P$134:P1022,"W")</f>
        <v>13107.74199999994</v>
      </c>
      <c r="BL1021" s="343">
        <f>SUMIFS($AU$134:AU1022,$P$134:P1022,"R")</f>
        <v>8820.6733333333359</v>
      </c>
      <c r="BM1021" s="343">
        <f>SUMIFS($AU$134:AU1022,$AQ$134:AQ1022,"M")</f>
        <v>2505.3999999999182</v>
      </c>
      <c r="BN1021" s="343">
        <f>SUMIFS($AU$134:AU1022,$AQ$134:AQ1022,"H")</f>
        <v>6302.1420000000153</v>
      </c>
      <c r="BO1021" s="343">
        <f>SUMIFS($AU$134:AU1022,$AQ$134:AQ1022,"D")</f>
        <v>6912.3466666667146</v>
      </c>
      <c r="BP1021" s="343">
        <f>SUMIFS($AU$134:AU1024,$AQ$134:AQ1024,"W")</f>
        <v>3762.7233333332406</v>
      </c>
      <c r="BQ1021" s="343">
        <f>SUMIFS($AU$134:AU1022,$Q$134:Q1022,"O")</f>
        <v>-852.93333333318697</v>
      </c>
      <c r="BR1021" s="343">
        <f>SUMIFS($AU$134:AU1022,$AA$134:AA1022,"*")</f>
        <v>19353.475333333259</v>
      </c>
      <c r="BS1021" s="343">
        <f>SUMIFS($AU$134:AU1022,$AB$134:AB1022,"*")</f>
        <v>5362.2666666668902</v>
      </c>
      <c r="BT1021" s="343">
        <f>SUMIFS($AU$134:AU1022,$AC$134:AC1022,"*")</f>
        <v>12023.683333333332</v>
      </c>
      <c r="BU1021" s="343">
        <f>SUMIFS($AU$134:AU1022,$AA$134:AA1022,"*",$AB$134:AB1022,"*")</f>
        <v>3538.0000000000045</v>
      </c>
      <c r="BV1021" s="343">
        <f>SUMIFS($AU$134:AU1022,$AA$134:AA1022,"*",$AC$134:AC1022,"*")</f>
        <v>10204.783333333333</v>
      </c>
      <c r="BW1021" s="343">
        <f>SUMIFS($AU$134:AU1022,$AB$134:AB1022,"*",$AC$134:AC1022,"*")</f>
        <v>6014.6</v>
      </c>
      <c r="BX1021" s="343">
        <f>SUMIFS($AU1022:AU$1388,$Q1022:Q$1388,"F")</f>
        <v>6722.1333333333323</v>
      </c>
      <c r="BY1021" s="343">
        <f>SUMIFS($AU1022:AU$1388,$Q1022:Q$1388,"S")</f>
        <v>6203.2000000000016</v>
      </c>
      <c r="BZ1021" s="343">
        <f>SUMIFS($AU1022:AU$1388,$Q1022:Q$1388,"O")</f>
        <v>-795.9246666666113</v>
      </c>
    </row>
    <row r="1022" spans="1:78" ht="15.75" customHeight="1">
      <c r="A1022" s="221" t="s">
        <v>3735</v>
      </c>
      <c r="B1022" s="177">
        <v>45176</v>
      </c>
      <c r="C1022" s="178" t="s">
        <v>3528</v>
      </c>
      <c r="D1022" s="178" t="s">
        <v>93</v>
      </c>
      <c r="E1022" s="227"/>
      <c r="F1022" s="180"/>
      <c r="G1022" s="281" t="s">
        <v>136</v>
      </c>
      <c r="H1022" s="182"/>
      <c r="I1022" s="182"/>
      <c r="J1022" s="182"/>
      <c r="K1022" s="183"/>
      <c r="L1022" s="182">
        <v>1</v>
      </c>
      <c r="M1022" s="182"/>
      <c r="N1022" s="182"/>
      <c r="O1022" s="183" t="s">
        <v>95</v>
      </c>
      <c r="P1022" s="183" t="s">
        <v>96</v>
      </c>
      <c r="Q1022" s="183" t="s">
        <v>97</v>
      </c>
      <c r="R1022" s="183">
        <v>5</v>
      </c>
      <c r="S1022" s="183">
        <v>0</v>
      </c>
      <c r="T1022" s="183">
        <v>5</v>
      </c>
      <c r="U1022" s="183" t="s">
        <v>22</v>
      </c>
      <c r="V1022" s="183"/>
      <c r="W1022" s="183"/>
      <c r="X1022" s="183"/>
      <c r="Y1022" s="184">
        <f>IF(ISBLANK(O1022),"",(IF(O1022=UPPER("IB"),0.005,0.01)))</f>
        <v>0.01</v>
      </c>
      <c r="Z1022" s="185">
        <f>IF(ISBLANK(O1022),"",IF(O1022="IB",8.63*200,IF(O1022="IR",16*100,IF(O1022="YT",20*100,IF(O1022="YT-XT",24*200,IF(O1022="TED",80*100))))))</f>
        <v>1600</v>
      </c>
      <c r="AA1022" s="185" t="s">
        <v>998</v>
      </c>
      <c r="AB1022" s="185"/>
      <c r="AC1022" s="185"/>
      <c r="AD1022" s="649">
        <v>-7.0000000000000007E-2</v>
      </c>
      <c r="AE1022" s="182"/>
      <c r="AF1022" s="332"/>
      <c r="AG1022" s="182"/>
      <c r="AH1022" s="182"/>
      <c r="AI1022" s="182"/>
      <c r="AJ1022" s="640"/>
      <c r="AK1022" s="182"/>
      <c r="AL1022" s="496"/>
      <c r="AM1022" s="496"/>
      <c r="AN1022" s="626"/>
      <c r="AO1022" s="182"/>
      <c r="AP1022" s="182" t="s">
        <v>1026</v>
      </c>
      <c r="AQ1022" s="332" t="str">
        <f>UPPER(RIGHT(Journal_Live[[#This Row],[DURATION ]]))</f>
        <v>H</v>
      </c>
      <c r="AR1022" s="182" t="s">
        <v>3792</v>
      </c>
      <c r="AS1022" s="189">
        <v>-7.0000000000000007E-2</v>
      </c>
      <c r="AT1022" s="189">
        <f>IF(ISBLANK(AS1022),,IF(U1022="S",AD1022-AS1022,AS1022-AD1022))</f>
        <v>0</v>
      </c>
      <c r="AU1022" s="187">
        <f>AV1022*R1022</f>
        <v>0</v>
      </c>
      <c r="AV1022" s="190">
        <f>IF(ISBLANK(AS1022),,(AT1022*Z1022))</f>
        <v>0</v>
      </c>
      <c r="AW1022" s="191" t="s">
        <v>115</v>
      </c>
      <c r="AX1022" s="407"/>
      <c r="AY1022" s="407"/>
      <c r="AZ1022" s="407"/>
      <c r="BA1022" s="407"/>
      <c r="BB1022" s="407"/>
      <c r="BC1022" s="407"/>
      <c r="BD1022" s="407"/>
      <c r="BE1022" s="407"/>
      <c r="BF1022" s="422"/>
      <c r="BG1022" s="391">
        <f>SUM($AV$4:AV1022)</f>
        <v>4626.4686248833132</v>
      </c>
      <c r="BH1022" s="392">
        <f>SUM($AU$134:AU1022)</f>
        <v>21229.242000000151</v>
      </c>
      <c r="BI1022" s="318">
        <f>SUMIFS($AU$134:AU1023,$Q$134:Q1023,"F")</f>
        <v>7718.5333333333328</v>
      </c>
      <c r="BJ1022" s="318">
        <f>SUMIFS($AU$134:AU1023,$Q$134:Q1023,"S")</f>
        <v>14548.441999999999</v>
      </c>
      <c r="BK1022" s="343">
        <f>SUMIFS($AU$134:AU1023,$P$134:P1023,"W")</f>
        <v>13187.74199999994</v>
      </c>
      <c r="BL1022" s="343">
        <f>SUMIFS($AU$134:AU1023,$P$134:P1023,"R")</f>
        <v>8820.6733333333359</v>
      </c>
      <c r="BM1022" s="343">
        <f>SUMIFS($AU$134:AU1023,$AQ$134:AQ1023,"M")</f>
        <v>2505.3999999999182</v>
      </c>
      <c r="BN1022" s="343">
        <f>SUMIFS($AU$134:AU1023,$AQ$134:AQ1023,"H")</f>
        <v>6382.1420000000153</v>
      </c>
      <c r="BO1022" s="343">
        <f>SUMIFS($AU$134:AU1023,$AQ$134:AQ1023,"D")</f>
        <v>6912.3466666667146</v>
      </c>
      <c r="BP1022" s="343">
        <f>SUMIFS($AU$134:AU1025,$AQ$134:AQ1025,"W")</f>
        <v>3762.7233333332406</v>
      </c>
      <c r="BQ1022" s="343">
        <f>SUMIFS($AU$134:AU1023,$Q$134:Q1023,"O")</f>
        <v>-852.93333333318697</v>
      </c>
      <c r="BR1022" s="343">
        <f>SUMIFS($AU$134:AU1023,$AA$134:AA1023,"*")</f>
        <v>19433.475333333259</v>
      </c>
      <c r="BS1022" s="343">
        <f>SUMIFS($AU$134:AU1023,$AB$134:AB1023,"*")</f>
        <v>5362.2666666668902</v>
      </c>
      <c r="BT1022" s="343">
        <f>SUMIFS($AU$134:AU1023,$AC$134:AC1023,"*")</f>
        <v>12023.683333333332</v>
      </c>
      <c r="BU1022" s="343">
        <f>SUMIFS($AU$134:AU1023,$AA$134:AA1023,"*",$AB$134:AB1023,"*")</f>
        <v>3538.0000000000045</v>
      </c>
      <c r="BV1022" s="343">
        <f>SUMIFS($AU$134:AU1023,$AA$134:AA1023,"*",$AC$134:AC1023,"*")</f>
        <v>10204.783333333333</v>
      </c>
      <c r="BW1022" s="343">
        <f>SUMIFS($AU$134:AU1023,$AB$134:AB1023,"*",$AC$134:AC1023,"*")</f>
        <v>6014.6</v>
      </c>
      <c r="BX1022" s="343">
        <f>SUMIFS($AU1023:AU$1388,$Q1023:Q$1388,"F")</f>
        <v>6722.1333333333323</v>
      </c>
      <c r="BY1022" s="343">
        <f>SUMIFS($AU1023:AU$1388,$Q1023:Q$1388,"S")</f>
        <v>6203.2000000000016</v>
      </c>
      <c r="BZ1022" s="343">
        <f>SUMIFS($AU1023:AU$1388,$Q1023:Q$1388,"O")</f>
        <v>-795.9246666666113</v>
      </c>
    </row>
    <row r="1023" spans="1:78" ht="15.75" customHeight="1">
      <c r="A1023" s="221" t="s">
        <v>3735</v>
      </c>
      <c r="B1023" s="177">
        <v>45176</v>
      </c>
      <c r="C1023" s="178" t="s">
        <v>3793</v>
      </c>
      <c r="D1023" s="178" t="s">
        <v>93</v>
      </c>
      <c r="E1023" s="227"/>
      <c r="F1023" s="180"/>
      <c r="G1023" s="281" t="s">
        <v>2016</v>
      </c>
      <c r="H1023" s="182"/>
      <c r="I1023" s="182"/>
      <c r="J1023" s="182"/>
      <c r="K1023" s="183"/>
      <c r="L1023" s="182">
        <v>1</v>
      </c>
      <c r="M1023" s="182"/>
      <c r="N1023" s="182"/>
      <c r="O1023" s="183" t="s">
        <v>95</v>
      </c>
      <c r="P1023" s="183" t="s">
        <v>96</v>
      </c>
      <c r="Q1023" s="183" t="s">
        <v>97</v>
      </c>
      <c r="R1023" s="183">
        <v>5</v>
      </c>
      <c r="S1023" s="183">
        <v>0</v>
      </c>
      <c r="T1023" s="183">
        <v>5</v>
      </c>
      <c r="U1023" s="183" t="s">
        <v>22</v>
      </c>
      <c r="V1023" s="183"/>
      <c r="W1023" s="183"/>
      <c r="X1023" s="183"/>
      <c r="Y1023" s="184">
        <f>IF(ISBLANK(O1023),"",(IF(O1023=UPPER("IB"),0.005,0.01)))</f>
        <v>0.01</v>
      </c>
      <c r="Z1023" s="185">
        <f>IF(ISBLANK(O1023),"",IF(O1023="IB",8.63*200,IF(O1023="IR",16*100,IF(O1023="YT",20*100,IF(O1023="YT-XT",24*200,IF(O1023="TED",80*100))))))</f>
        <v>1600</v>
      </c>
      <c r="AA1023" s="185" t="s">
        <v>998</v>
      </c>
      <c r="AB1023" s="185"/>
      <c r="AC1023" s="185"/>
      <c r="AD1023" s="649">
        <v>-0.1</v>
      </c>
      <c r="AE1023" s="182"/>
      <c r="AF1023" s="332"/>
      <c r="AG1023" s="182"/>
      <c r="AH1023" s="182"/>
      <c r="AI1023" s="182"/>
      <c r="AJ1023" s="640"/>
      <c r="AK1023" s="182"/>
      <c r="AL1023" s="496"/>
      <c r="AM1023" s="496"/>
      <c r="AN1023" s="626"/>
      <c r="AO1023" s="182"/>
      <c r="AP1023" s="182" t="s">
        <v>967</v>
      </c>
      <c r="AQ1023" s="332" t="str">
        <f>UPPER(RIGHT(Journal_Live[[#This Row],[DURATION ]]))</f>
        <v>H</v>
      </c>
      <c r="AR1023" s="182" t="s">
        <v>2107</v>
      </c>
      <c r="AS1023" s="189">
        <v>-0.09</v>
      </c>
      <c r="AT1023" s="189">
        <f>IF(ISBLANK(AS1023),,IF(U1023="S",AD1023-AS1023,AS1023-AD1023))</f>
        <v>1.0000000000000009E-2</v>
      </c>
      <c r="AU1023" s="187">
        <f>AV1023*R1023</f>
        <v>80.000000000000071</v>
      </c>
      <c r="AV1023" s="190">
        <f>IF(ISBLANK(AS1023),,(AT1023*Z1023))</f>
        <v>16.000000000000014</v>
      </c>
      <c r="AW1023" s="191" t="s">
        <v>96</v>
      </c>
      <c r="AX1023" s="407"/>
      <c r="AY1023" s="407"/>
      <c r="AZ1023" s="407"/>
      <c r="BA1023" s="407"/>
      <c r="BB1023" s="407"/>
      <c r="BC1023" s="407"/>
      <c r="BD1023" s="407"/>
      <c r="BE1023" s="407"/>
      <c r="BF1023" s="422"/>
      <c r="BG1023" s="391">
        <f>SUM($AV$4:AV1023)</f>
        <v>4642.4686248833132</v>
      </c>
      <c r="BH1023" s="392">
        <f>SUM($AU$134:AU1023)</f>
        <v>21309.242000000151</v>
      </c>
      <c r="BI1023" s="318">
        <f>SUMIFS($AU$134:AU1024,$Q$134:Q1024,"F")</f>
        <v>7718.5333333333328</v>
      </c>
      <c r="BJ1023" s="318">
        <f>SUMIFS($AU$134:AU1024,$Q$134:Q1024,"S")</f>
        <v>14548.441999999999</v>
      </c>
      <c r="BK1023" s="343">
        <f>SUMIFS($AU$134:AU1024,$P$134:P1024,"W")</f>
        <v>13187.74199999994</v>
      </c>
      <c r="BL1023" s="343">
        <f>SUMIFS($AU$134:AU1024,$P$134:P1024,"R")</f>
        <v>8820.6733333333359</v>
      </c>
      <c r="BM1023" s="343">
        <f>SUMIFS($AU$134:AU1024,$AQ$134:AQ1024,"M")</f>
        <v>2505.3999999999182</v>
      </c>
      <c r="BN1023" s="343">
        <f>SUMIFS($AU$134:AU1024,$AQ$134:AQ1024,"H")</f>
        <v>6382.1420000000153</v>
      </c>
      <c r="BO1023" s="343">
        <f>SUMIFS($AU$134:AU1024,$AQ$134:AQ1024,"D")</f>
        <v>6912.3466666667146</v>
      </c>
      <c r="BP1023" s="343">
        <f>SUMIFS($AU$134:AU1026,$AQ$134:AQ1026,"W")</f>
        <v>3762.7233333332406</v>
      </c>
      <c r="BQ1023" s="343">
        <f>SUMIFS($AU$134:AU1024,$Q$134:Q1024,"O")</f>
        <v>-852.93333333318697</v>
      </c>
      <c r="BR1023" s="343">
        <f>SUMIFS($AU$134:AU1024,$AA$134:AA1024,"*")</f>
        <v>19433.475333333259</v>
      </c>
      <c r="BS1023" s="343">
        <f>SUMIFS($AU$134:AU1024,$AB$134:AB1024,"*")</f>
        <v>5362.2666666668902</v>
      </c>
      <c r="BT1023" s="343">
        <f>SUMIFS($AU$134:AU1024,$AC$134:AC1024,"*")</f>
        <v>12023.683333333332</v>
      </c>
      <c r="BU1023" s="343">
        <f>SUMIFS($AU$134:AU1024,$AA$134:AA1024,"*",$AB$134:AB1024,"*")</f>
        <v>3538.0000000000045</v>
      </c>
      <c r="BV1023" s="343">
        <f>SUMIFS($AU$134:AU1024,$AA$134:AA1024,"*",$AC$134:AC1024,"*")</f>
        <v>10204.783333333333</v>
      </c>
      <c r="BW1023" s="343">
        <f>SUMIFS($AU$134:AU1024,$AB$134:AB1024,"*",$AC$134:AC1024,"*")</f>
        <v>6014.6</v>
      </c>
      <c r="BX1023" s="343">
        <f>SUMIFS($AU1024:AU$1388,$Q1024:Q$1388,"F")</f>
        <v>6722.1333333333323</v>
      </c>
      <c r="BY1023" s="343">
        <f>SUMIFS($AU1024:AU$1388,$Q1024:Q$1388,"S")</f>
        <v>6123.2000000000007</v>
      </c>
      <c r="BZ1023" s="343">
        <f>SUMIFS($AU1024:AU$1388,$Q1024:Q$1388,"O")</f>
        <v>-795.9246666666113</v>
      </c>
    </row>
    <row r="1024" spans="1:78" ht="15.75" customHeight="1">
      <c r="A1024" s="221" t="s">
        <v>3735</v>
      </c>
      <c r="B1024" s="177">
        <v>45176</v>
      </c>
      <c r="C1024" s="178" t="s">
        <v>3793</v>
      </c>
      <c r="D1024" s="178" t="s">
        <v>93</v>
      </c>
      <c r="E1024" s="227"/>
      <c r="F1024" s="180"/>
      <c r="G1024" s="181" t="s">
        <v>2942</v>
      </c>
      <c r="H1024" s="182"/>
      <c r="I1024" s="182"/>
      <c r="J1024" s="182"/>
      <c r="K1024" s="183"/>
      <c r="L1024" s="182"/>
      <c r="M1024" s="182"/>
      <c r="N1024" s="182"/>
      <c r="O1024" s="183"/>
      <c r="P1024" s="183"/>
      <c r="Q1024" s="183"/>
      <c r="R1024" s="183"/>
      <c r="S1024" s="183"/>
      <c r="T1024" s="183"/>
      <c r="U1024" s="183"/>
      <c r="V1024" s="183"/>
      <c r="W1024" s="183"/>
      <c r="X1024" s="183"/>
      <c r="Y1024" s="184"/>
      <c r="Z1024" s="185"/>
      <c r="AA1024" s="185"/>
      <c r="AB1024" s="185"/>
      <c r="AC1024" s="185"/>
      <c r="AD1024" s="649"/>
      <c r="AE1024" s="182"/>
      <c r="AF1024" s="332"/>
      <c r="AG1024" s="182"/>
      <c r="AH1024" s="182"/>
      <c r="AI1024" s="182"/>
      <c r="AJ1024" s="640"/>
      <c r="AK1024" s="182"/>
      <c r="AL1024" s="496">
        <f t="shared" ref="AL1024" si="315">-0.03*Z1024</f>
        <v>0</v>
      </c>
      <c r="AM1024" s="496">
        <f>AL1024*(R1024-S1024)</f>
        <v>0</v>
      </c>
      <c r="AN1024" s="626"/>
      <c r="AO1024" s="182"/>
      <c r="AP1024" s="182"/>
      <c r="AQ1024" s="332" t="str">
        <f>UPPER(RIGHT(Journal_Live[[#This Row],[DURATION ]]))</f>
        <v/>
      </c>
      <c r="AR1024" s="182"/>
      <c r="AS1024" s="189"/>
      <c r="AT1024" s="189"/>
      <c r="AU1024" s="187"/>
      <c r="AV1024" s="190"/>
      <c r="AW1024" s="191"/>
      <c r="AX1024" s="407"/>
      <c r="AY1024" s="407"/>
      <c r="AZ1024" s="407"/>
      <c r="BA1024" s="407"/>
      <c r="BB1024" s="407"/>
      <c r="BC1024" s="407"/>
      <c r="BD1024" s="407"/>
      <c r="BE1024" s="407"/>
      <c r="BF1024" s="422"/>
      <c r="BG1024" s="391">
        <f>SUM($AV$4:AV1024)</f>
        <v>4642.4686248833132</v>
      </c>
      <c r="BH1024" s="392">
        <f>SUM($AU$134:AU1024)</f>
        <v>21309.242000000151</v>
      </c>
      <c r="BI1024" s="318">
        <f>SUMIFS($AU$134:AU1025,$Q$134:Q1025,"F")</f>
        <v>7718.5333333333328</v>
      </c>
      <c r="BJ1024" s="318">
        <f>SUMIFS($AU$134:AU1025,$Q$134:Q1025,"S")</f>
        <v>14788.441999999999</v>
      </c>
      <c r="BK1024" s="343">
        <f>SUMIFS($AU$134:AU1025,$P$134:P1025,"W")</f>
        <v>13187.74199999994</v>
      </c>
      <c r="BL1024" s="343">
        <f>SUMIFS($AU$134:AU1025,$P$134:P1025,"R")</f>
        <v>9060.6733333333359</v>
      </c>
      <c r="BM1024" s="343">
        <f>SUMIFS($AU$134:AU1025,$AQ$134:AQ1025,"M")</f>
        <v>2505.3999999999182</v>
      </c>
      <c r="BN1024" s="343">
        <f>SUMIFS($AU$134:AU1025,$AQ$134:AQ1025,"H")</f>
        <v>6622.1420000000153</v>
      </c>
      <c r="BO1024" s="343">
        <f>SUMIFS($AU$134:AU1025,$AQ$134:AQ1025,"D")</f>
        <v>6912.3466666667146</v>
      </c>
      <c r="BP1024" s="343">
        <f>SUMIFS($AU$134:AU1027,$AQ$134:AQ1027,"W")</f>
        <v>3762.7233333332406</v>
      </c>
      <c r="BQ1024" s="343">
        <f>SUMIFS($AU$134:AU1025,$Q$134:Q1025,"O")</f>
        <v>-852.93333333318697</v>
      </c>
      <c r="BR1024" s="343">
        <f>SUMIFS($AU$134:AU1025,$AA$134:AA1025,"*")</f>
        <v>19673.475333333259</v>
      </c>
      <c r="BS1024" s="343">
        <f>SUMIFS($AU$134:AU1025,$AB$134:AB1025,"*")</f>
        <v>5362.2666666668902</v>
      </c>
      <c r="BT1024" s="343">
        <f>SUMIFS($AU$134:AU1025,$AC$134:AC1025,"*")</f>
        <v>12023.683333333332</v>
      </c>
      <c r="BU1024" s="343">
        <f>SUMIFS($AU$134:AU1025,$AA$134:AA1025,"*",$AB$134:AB1025,"*")</f>
        <v>3538.0000000000045</v>
      </c>
      <c r="BV1024" s="343">
        <f>SUMIFS($AU$134:AU1025,$AA$134:AA1025,"*",$AC$134:AC1025,"*")</f>
        <v>10204.783333333333</v>
      </c>
      <c r="BW1024" s="343">
        <f>SUMIFS($AU$134:AU1025,$AB$134:AB1025,"*",$AC$134:AC1025,"*")</f>
        <v>6014.6</v>
      </c>
      <c r="BX1024" s="343">
        <f>SUMIFS($AU1025:AU$1388,$Q1025:Q$1388,"F")</f>
        <v>6722.1333333333323</v>
      </c>
      <c r="BY1024" s="343">
        <f>SUMIFS($AU1025:AU$1388,$Q1025:Q$1388,"S")</f>
        <v>6123.2000000000007</v>
      </c>
      <c r="BZ1024" s="343">
        <f>SUMIFS($AU1025:AU$1388,$Q1025:Q$1388,"O")</f>
        <v>-795.9246666666113</v>
      </c>
    </row>
    <row r="1025" spans="1:78" ht="15.75" customHeight="1">
      <c r="A1025" s="221" t="s">
        <v>3735</v>
      </c>
      <c r="B1025" s="177">
        <v>45176</v>
      </c>
      <c r="C1025" s="178" t="s">
        <v>3793</v>
      </c>
      <c r="D1025" s="178" t="s">
        <v>93</v>
      </c>
      <c r="E1025" s="227"/>
      <c r="F1025" s="180"/>
      <c r="G1025" s="181" t="s">
        <v>3625</v>
      </c>
      <c r="H1025" s="182"/>
      <c r="I1025" s="182"/>
      <c r="J1025" s="182"/>
      <c r="K1025" s="183"/>
      <c r="L1025" s="182">
        <v>1</v>
      </c>
      <c r="M1025" s="182"/>
      <c r="N1025" s="182"/>
      <c r="O1025" s="183" t="s">
        <v>95</v>
      </c>
      <c r="P1025" s="183" t="s">
        <v>137</v>
      </c>
      <c r="Q1025" s="183" t="s">
        <v>97</v>
      </c>
      <c r="R1025" s="183">
        <v>15</v>
      </c>
      <c r="S1025" s="183">
        <v>0</v>
      </c>
      <c r="T1025" s="183">
        <v>5</v>
      </c>
      <c r="U1025" s="183" t="s">
        <v>97</v>
      </c>
      <c r="V1025" s="183"/>
      <c r="W1025" s="183"/>
      <c r="X1025" s="183"/>
      <c r="Y1025" s="184">
        <f>IF(ISBLANK(O1025),"",(IF(O1025=UPPER("IB"),0.005,0.01)))</f>
        <v>0.01</v>
      </c>
      <c r="Z1025" s="185">
        <f t="shared" ref="Z1025:Z1034" si="316">IF(ISBLANK(O1025),"",IF(O1025="IB",8.63*200,IF(O1025="IR",16*100,IF(O1025="YT",20*100,IF(O1025="YT-XT",24*200,IF(O1025="TED",80*100))))))</f>
        <v>1600</v>
      </c>
      <c r="AA1025" s="185" t="s">
        <v>998</v>
      </c>
      <c r="AB1025" s="185"/>
      <c r="AC1025" s="185"/>
      <c r="AD1025" s="649">
        <v>-0.15</v>
      </c>
      <c r="AE1025" s="182"/>
      <c r="AF1025" s="332"/>
      <c r="AG1025" s="182"/>
      <c r="AH1025" s="182"/>
      <c r="AI1025" s="182"/>
      <c r="AJ1025" s="640"/>
      <c r="AK1025" s="182"/>
      <c r="AL1025" s="496"/>
      <c r="AM1025" s="496"/>
      <c r="AN1025" s="626"/>
      <c r="AO1025" s="182"/>
      <c r="AP1025" s="182" t="s">
        <v>1554</v>
      </c>
      <c r="AQ1025" s="332" t="str">
        <f>UPPER(RIGHT(Journal_Live[[#This Row],[DURATION ]]))</f>
        <v>H</v>
      </c>
      <c r="AR1025" s="182" t="s">
        <v>3794</v>
      </c>
      <c r="AS1025" s="189">
        <v>-0.16</v>
      </c>
      <c r="AT1025" s="189">
        <f>IF(ISBLANK(AS1025),,IF(U1025="S",AD1025-AS1025,AS1025-AD1025))</f>
        <v>1.0000000000000009E-2</v>
      </c>
      <c r="AU1025" s="187">
        <f>AV1025*R1025</f>
        <v>240.00000000000023</v>
      </c>
      <c r="AV1025" s="190">
        <f>IF(ISBLANK(AS1025),,(AT1025*Z1025))</f>
        <v>16.000000000000014</v>
      </c>
      <c r="AW1025" s="191" t="s">
        <v>96</v>
      </c>
      <c r="AX1025" s="407"/>
      <c r="AY1025" s="407"/>
      <c r="AZ1025" s="407"/>
      <c r="BA1025" s="407"/>
      <c r="BB1025" s="407"/>
      <c r="BC1025" s="407"/>
      <c r="BD1025" s="407"/>
      <c r="BE1025" s="407"/>
      <c r="BF1025" s="422"/>
      <c r="BG1025" s="391">
        <f>SUM($AV$4:AV1025)</f>
        <v>4658.4686248833132</v>
      </c>
      <c r="BH1025" s="392">
        <f>SUM($AU$134:AU1025)</f>
        <v>21549.242000000151</v>
      </c>
      <c r="BI1025" s="318">
        <f>SUMIFS($AU$134:AU1026,$Q$134:Q1026,"F")</f>
        <v>7718.5333333333328</v>
      </c>
      <c r="BJ1025" s="318">
        <f>SUMIFS($AU$134:AU1026,$Q$134:Q1026,"S")</f>
        <v>14788.441999999999</v>
      </c>
      <c r="BK1025" s="343">
        <f>SUMIFS($AU$134:AU1026,$P$134:P1026,"W")</f>
        <v>13187.74199999994</v>
      </c>
      <c r="BL1025" s="343">
        <f>SUMIFS($AU$134:AU1026,$P$134:P1026,"R")</f>
        <v>9060.6733333333359</v>
      </c>
      <c r="BM1025" s="343">
        <f>SUMIFS($AU$134:AU1026,$AQ$134:AQ1026,"M")</f>
        <v>2505.3999999999182</v>
      </c>
      <c r="BN1025" s="343">
        <f>SUMIFS($AU$134:AU1026,$AQ$134:AQ1026,"H")</f>
        <v>6622.1420000000153</v>
      </c>
      <c r="BO1025" s="343">
        <f>SUMIFS($AU$134:AU1026,$AQ$134:AQ1026,"D")</f>
        <v>6912.3466666667146</v>
      </c>
      <c r="BP1025" s="343">
        <f>SUMIFS($AU$134:AU1028,$AQ$134:AQ1028,"W")</f>
        <v>3762.7233333332406</v>
      </c>
      <c r="BQ1025" s="343">
        <f>SUMIFS($AU$134:AU1026,$Q$134:Q1026,"O")</f>
        <v>-852.93333333318697</v>
      </c>
      <c r="BR1025" s="343">
        <f>SUMIFS($AU$134:AU1026,$AA$134:AA1026,"*")</f>
        <v>19673.475333333259</v>
      </c>
      <c r="BS1025" s="343">
        <f>SUMIFS($AU$134:AU1026,$AB$134:AB1026,"*")</f>
        <v>5362.2666666668902</v>
      </c>
      <c r="BT1025" s="343">
        <f>SUMIFS($AU$134:AU1026,$AC$134:AC1026,"*")</f>
        <v>12023.683333333332</v>
      </c>
      <c r="BU1025" s="343">
        <f>SUMIFS($AU$134:AU1026,$AA$134:AA1026,"*",$AB$134:AB1026,"*")</f>
        <v>3538.0000000000045</v>
      </c>
      <c r="BV1025" s="343">
        <f>SUMIFS($AU$134:AU1026,$AA$134:AA1026,"*",$AC$134:AC1026,"*")</f>
        <v>10204.783333333333</v>
      </c>
      <c r="BW1025" s="343">
        <f>SUMIFS($AU$134:AU1026,$AB$134:AB1026,"*",$AC$134:AC1026,"*")</f>
        <v>6014.6</v>
      </c>
      <c r="BX1025" s="343">
        <f>SUMIFS($AU1026:AU$1388,$Q1026:Q$1388,"F")</f>
        <v>6722.1333333333323</v>
      </c>
      <c r="BY1025" s="343">
        <f>SUMIFS($AU1026:AU$1388,$Q1026:Q$1388,"S")</f>
        <v>5883.2000000000016</v>
      </c>
      <c r="BZ1025" s="343">
        <f>SUMIFS($AU1026:AU$1388,$Q1026:Q$1388,"O")</f>
        <v>-795.9246666666113</v>
      </c>
    </row>
    <row r="1026" spans="1:78" ht="15.75" customHeight="1">
      <c r="A1026" s="221" t="s">
        <v>3735</v>
      </c>
      <c r="B1026" s="177">
        <v>45182</v>
      </c>
      <c r="C1026" s="178" t="s">
        <v>1728</v>
      </c>
      <c r="D1026" s="178" t="s">
        <v>151</v>
      </c>
      <c r="E1026" s="227" t="s">
        <v>3795</v>
      </c>
      <c r="F1026" s="180"/>
      <c r="G1026" s="181"/>
      <c r="H1026" s="182">
        <v>1</v>
      </c>
      <c r="I1026" s="182"/>
      <c r="J1026" s="182"/>
      <c r="K1026" s="183" t="s">
        <v>372</v>
      </c>
      <c r="L1026" s="182"/>
      <c r="M1026" s="182"/>
      <c r="N1026" s="182"/>
      <c r="O1026" s="183"/>
      <c r="P1026" s="183"/>
      <c r="Q1026" s="183"/>
      <c r="R1026" s="183"/>
      <c r="S1026" s="183"/>
      <c r="T1026" s="183"/>
      <c r="U1026" s="183"/>
      <c r="V1026" s="183"/>
      <c r="W1026" s="183"/>
      <c r="X1026" s="183"/>
      <c r="Y1026" s="183"/>
      <c r="Z1026" s="185" t="str">
        <f t="shared" si="316"/>
        <v/>
      </c>
      <c r="AA1026" s="185"/>
      <c r="AB1026" s="185"/>
      <c r="AC1026" s="185"/>
      <c r="AD1026" s="649"/>
      <c r="AE1026" s="182"/>
      <c r="AF1026" s="332"/>
      <c r="AG1026" s="182"/>
      <c r="AH1026" s="182"/>
      <c r="AI1026" s="182"/>
      <c r="AJ1026" s="640"/>
      <c r="AK1026" s="182"/>
      <c r="AL1026" s="496"/>
      <c r="AM1026" s="496"/>
      <c r="AN1026" s="626"/>
      <c r="AO1026" s="182"/>
      <c r="AP1026" s="182"/>
      <c r="AQ1026" s="332" t="str">
        <f>UPPER(RIGHT(Journal_Live[[#This Row],[DURATION ]]))</f>
        <v/>
      </c>
      <c r="AR1026" s="182"/>
      <c r="AS1026" s="189"/>
      <c r="AT1026" s="189"/>
      <c r="AU1026" s="187"/>
      <c r="AV1026" s="190"/>
      <c r="AW1026" s="191"/>
      <c r="AX1026" s="407" t="s">
        <v>3796</v>
      </c>
      <c r="AY1026" s="407" t="s">
        <v>3781</v>
      </c>
      <c r="AZ1026" s="407" t="s">
        <v>3797</v>
      </c>
      <c r="BA1026" s="407"/>
      <c r="BB1026" s="407"/>
      <c r="BC1026" s="407"/>
      <c r="BD1026" s="407"/>
      <c r="BE1026" s="407"/>
      <c r="BF1026" s="422"/>
      <c r="BG1026" s="391">
        <f>SUM($AV$4:AV1026)</f>
        <v>4658.4686248833132</v>
      </c>
      <c r="BH1026" s="392">
        <f>SUM($AU$134:AU1026)</f>
        <v>21549.242000000151</v>
      </c>
      <c r="BI1026" s="318">
        <f>SUMIFS($AU$134:AU1027,$Q$134:Q1027,"F")</f>
        <v>7718.5333333333328</v>
      </c>
      <c r="BJ1026" s="318">
        <f>SUMIFS($AU$134:AU1027,$Q$134:Q1027,"S")</f>
        <v>14788.441999999999</v>
      </c>
      <c r="BK1026" s="343">
        <f>SUMIFS($AU$134:AU1027,$P$134:P1027,"W")</f>
        <v>13187.74199999994</v>
      </c>
      <c r="BL1026" s="343">
        <f>SUMIFS($AU$134:AU1027,$P$134:P1027,"R")</f>
        <v>9060.6733333333359</v>
      </c>
      <c r="BM1026" s="343">
        <f>SUMIFS($AU$134:AU1027,$AQ$134:AQ1027,"M")</f>
        <v>2505.3999999999182</v>
      </c>
      <c r="BN1026" s="343">
        <f>SUMIFS($AU$134:AU1027,$AQ$134:AQ1027,"H")</f>
        <v>6622.1420000000153</v>
      </c>
      <c r="BO1026" s="343">
        <f>SUMIFS($AU$134:AU1027,$AQ$134:AQ1027,"D")</f>
        <v>6912.3466666667146</v>
      </c>
      <c r="BP1026" s="343">
        <f>SUMIFS($AU$134:AU1029,$AQ$134:AQ1029,"W")</f>
        <v>3762.7233333332406</v>
      </c>
      <c r="BQ1026" s="343">
        <f>SUMIFS($AU$134:AU1027,$Q$134:Q1027,"O")</f>
        <v>-852.93333333318697</v>
      </c>
      <c r="BR1026" s="343">
        <f>SUMIFS($AU$134:AU1027,$AA$134:AA1027,"*")</f>
        <v>19673.475333333259</v>
      </c>
      <c r="BS1026" s="343">
        <f>SUMIFS($AU$134:AU1027,$AB$134:AB1027,"*")</f>
        <v>5362.2666666668902</v>
      </c>
      <c r="BT1026" s="343">
        <f>SUMIFS($AU$134:AU1027,$AC$134:AC1027,"*")</f>
        <v>12023.683333333332</v>
      </c>
      <c r="BU1026" s="343">
        <f>SUMIFS($AU$134:AU1027,$AA$134:AA1027,"*",$AB$134:AB1027,"*")</f>
        <v>3538.0000000000045</v>
      </c>
      <c r="BV1026" s="343">
        <f>SUMIFS($AU$134:AU1027,$AA$134:AA1027,"*",$AC$134:AC1027,"*")</f>
        <v>10204.783333333333</v>
      </c>
      <c r="BW1026" s="343">
        <f>SUMIFS($AU$134:AU1027,$AB$134:AB1027,"*",$AC$134:AC1027,"*")</f>
        <v>6014.6</v>
      </c>
      <c r="BX1026" s="343">
        <f>SUMIFS($AU1027:AU$1388,$Q1027:Q$1388,"F")</f>
        <v>6722.1333333333323</v>
      </c>
      <c r="BY1026" s="343">
        <f>SUMIFS($AU1027:AU$1388,$Q1027:Q$1388,"S")</f>
        <v>5883.2000000000016</v>
      </c>
      <c r="BZ1026" s="343">
        <f>SUMIFS($AU1027:AU$1388,$Q1027:Q$1388,"O")</f>
        <v>-795.9246666666113</v>
      </c>
    </row>
    <row r="1027" spans="1:78" ht="15.75" customHeight="1">
      <c r="A1027" s="221" t="s">
        <v>3735</v>
      </c>
      <c r="B1027" s="177"/>
      <c r="C1027" s="178"/>
      <c r="D1027" s="178"/>
      <c r="E1027" s="227" t="s">
        <v>3798</v>
      </c>
      <c r="F1027" s="180"/>
      <c r="G1027" s="181"/>
      <c r="H1027" s="182"/>
      <c r="I1027" s="182">
        <v>1</v>
      </c>
      <c r="J1027" s="182"/>
      <c r="K1027" s="183"/>
      <c r="L1027" s="182"/>
      <c r="M1027" s="182"/>
      <c r="N1027" s="182"/>
      <c r="O1027" s="183"/>
      <c r="P1027" s="183"/>
      <c r="Q1027" s="183"/>
      <c r="R1027" s="183"/>
      <c r="S1027" s="183"/>
      <c r="T1027" s="183"/>
      <c r="U1027" s="183"/>
      <c r="V1027" s="183"/>
      <c r="W1027" s="183"/>
      <c r="X1027" s="183"/>
      <c r="Y1027" s="183"/>
      <c r="Z1027" s="185" t="str">
        <f t="shared" si="316"/>
        <v/>
      </c>
      <c r="AA1027" s="185"/>
      <c r="AB1027" s="185"/>
      <c r="AC1027" s="185"/>
      <c r="AD1027" s="649"/>
      <c r="AE1027" s="182"/>
      <c r="AF1027" s="332"/>
      <c r="AG1027" s="182"/>
      <c r="AH1027" s="182"/>
      <c r="AI1027" s="182"/>
      <c r="AJ1027" s="640"/>
      <c r="AK1027" s="182"/>
      <c r="AL1027" s="496"/>
      <c r="AM1027" s="496"/>
      <c r="AN1027" s="626"/>
      <c r="AO1027" s="182"/>
      <c r="AP1027" s="182"/>
      <c r="AQ1027" s="332" t="str">
        <f>UPPER(RIGHT(Journal_Live[[#This Row],[DURATION ]]))</f>
        <v/>
      </c>
      <c r="AR1027" s="182"/>
      <c r="AS1027" s="189"/>
      <c r="AT1027" s="189"/>
      <c r="AU1027" s="187"/>
      <c r="AV1027" s="190"/>
      <c r="AW1027" s="191"/>
      <c r="AX1027" s="407"/>
      <c r="AY1027" s="407"/>
      <c r="AZ1027" s="407"/>
      <c r="BA1027" s="407"/>
      <c r="BB1027" s="407"/>
      <c r="BC1027" s="407"/>
      <c r="BD1027" s="407"/>
      <c r="BE1027" s="407"/>
      <c r="BF1027" s="422"/>
      <c r="BG1027" s="391">
        <f>SUM($AV$4:AV1027)</f>
        <v>4658.4686248833132</v>
      </c>
      <c r="BH1027" s="392">
        <f>SUM($AU$134:AU1027)</f>
        <v>21549.242000000151</v>
      </c>
      <c r="BI1027" s="318">
        <f>SUMIFS($AU$134:AU1028,$Q$134:Q1028,"F")</f>
        <v>7718.5333333333328</v>
      </c>
      <c r="BJ1027" s="318">
        <f>SUMIFS($AU$134:AU1028,$Q$134:Q1028,"S")</f>
        <v>14788.441999999999</v>
      </c>
      <c r="BK1027" s="343">
        <f>SUMIFS($AU$134:AU1028,$P$134:P1028,"W")</f>
        <v>13187.74199999994</v>
      </c>
      <c r="BL1027" s="343">
        <f>SUMIFS($AU$134:AU1028,$P$134:P1028,"R")</f>
        <v>9060.6733333333359</v>
      </c>
      <c r="BM1027" s="343">
        <f>SUMIFS($AU$134:AU1028,$AQ$134:AQ1028,"M")</f>
        <v>2505.3999999999182</v>
      </c>
      <c r="BN1027" s="343">
        <f>SUMIFS($AU$134:AU1028,$AQ$134:AQ1028,"H")</f>
        <v>6622.1420000000153</v>
      </c>
      <c r="BO1027" s="343">
        <f>SUMIFS($AU$134:AU1028,$AQ$134:AQ1028,"D")</f>
        <v>6912.3466666667146</v>
      </c>
      <c r="BP1027" s="343">
        <f>SUMIFS($AU$134:AU1030,$AQ$134:AQ1030,"W")</f>
        <v>3762.7233333332406</v>
      </c>
      <c r="BQ1027" s="343">
        <f>SUMIFS($AU$134:AU1028,$Q$134:Q1028,"O")</f>
        <v>-852.93333333318697</v>
      </c>
      <c r="BR1027" s="343">
        <f>SUMIFS($AU$134:AU1028,$AA$134:AA1028,"*")</f>
        <v>19673.475333333259</v>
      </c>
      <c r="BS1027" s="343">
        <f>SUMIFS($AU$134:AU1028,$AB$134:AB1028,"*")</f>
        <v>5362.2666666668902</v>
      </c>
      <c r="BT1027" s="343">
        <f>SUMIFS($AU$134:AU1028,$AC$134:AC1028,"*")</f>
        <v>12023.683333333332</v>
      </c>
      <c r="BU1027" s="343">
        <f>SUMIFS($AU$134:AU1028,$AA$134:AA1028,"*",$AB$134:AB1028,"*")</f>
        <v>3538.0000000000045</v>
      </c>
      <c r="BV1027" s="343">
        <f>SUMIFS($AU$134:AU1028,$AA$134:AA1028,"*",$AC$134:AC1028,"*")</f>
        <v>10204.783333333333</v>
      </c>
      <c r="BW1027" s="343">
        <f>SUMIFS($AU$134:AU1028,$AB$134:AB1028,"*",$AC$134:AC1028,"*")</f>
        <v>6014.6</v>
      </c>
      <c r="BX1027" s="343">
        <f>SUMIFS($AU1028:AU$1388,$Q1028:Q$1388,"F")</f>
        <v>6722.1333333333323</v>
      </c>
      <c r="BY1027" s="343">
        <f>SUMIFS($AU1028:AU$1388,$Q1028:Q$1388,"S")</f>
        <v>5883.2000000000016</v>
      </c>
      <c r="BZ1027" s="343">
        <f>SUMIFS($AU1028:AU$1388,$Q1028:Q$1388,"O")</f>
        <v>-795.9246666666113</v>
      </c>
    </row>
    <row r="1028" spans="1:78" ht="15.75" customHeight="1">
      <c r="A1028" s="221" t="s">
        <v>3735</v>
      </c>
      <c r="B1028" s="177"/>
      <c r="C1028" s="178"/>
      <c r="D1028" s="178"/>
      <c r="E1028" s="227" t="s">
        <v>3799</v>
      </c>
      <c r="F1028" s="180"/>
      <c r="G1028" s="181"/>
      <c r="H1028" s="182">
        <v>1</v>
      </c>
      <c r="I1028" s="182"/>
      <c r="J1028" s="182"/>
      <c r="K1028" s="183" t="s">
        <v>372</v>
      </c>
      <c r="L1028" s="182"/>
      <c r="M1028" s="182"/>
      <c r="N1028" s="182"/>
      <c r="O1028" s="183"/>
      <c r="P1028" s="183"/>
      <c r="Q1028" s="183"/>
      <c r="R1028" s="183"/>
      <c r="S1028" s="183"/>
      <c r="T1028" s="183"/>
      <c r="U1028" s="183"/>
      <c r="V1028" s="183"/>
      <c r="W1028" s="183"/>
      <c r="X1028" s="183"/>
      <c r="Y1028" s="183"/>
      <c r="Z1028" s="185" t="str">
        <f t="shared" si="316"/>
        <v/>
      </c>
      <c r="AA1028" s="185"/>
      <c r="AB1028" s="185"/>
      <c r="AC1028" s="185"/>
      <c r="AD1028" s="649"/>
      <c r="AE1028" s="182"/>
      <c r="AF1028" s="332"/>
      <c r="AG1028" s="182"/>
      <c r="AH1028" s="182"/>
      <c r="AI1028" s="182"/>
      <c r="AJ1028" s="640"/>
      <c r="AK1028" s="182"/>
      <c r="AL1028" s="496"/>
      <c r="AM1028" s="496"/>
      <c r="AN1028" s="626"/>
      <c r="AO1028" s="182"/>
      <c r="AP1028" s="182"/>
      <c r="AQ1028" s="332" t="str">
        <f>UPPER(RIGHT(Journal_Live[[#This Row],[DURATION ]]))</f>
        <v/>
      </c>
      <c r="AR1028" s="182"/>
      <c r="AS1028" s="189"/>
      <c r="AT1028" s="189"/>
      <c r="AU1028" s="187"/>
      <c r="AV1028" s="190"/>
      <c r="AW1028" s="191"/>
      <c r="AX1028" s="407"/>
      <c r="AY1028" s="407"/>
      <c r="AZ1028" s="407"/>
      <c r="BA1028" s="407"/>
      <c r="BB1028" s="407"/>
      <c r="BC1028" s="407"/>
      <c r="BD1028" s="407"/>
      <c r="BE1028" s="407"/>
      <c r="BF1028" s="422"/>
      <c r="BG1028" s="391">
        <f>SUM($AV$4:AV1028)</f>
        <v>4658.4686248833132</v>
      </c>
      <c r="BH1028" s="392">
        <f>SUM($AU$134:AU1028)</f>
        <v>21549.242000000151</v>
      </c>
      <c r="BI1028" s="318">
        <f>SUMIFS($AU$134:AU1029,$Q$134:Q1029,"F")</f>
        <v>7718.5333333333328</v>
      </c>
      <c r="BJ1028" s="318">
        <f>SUMIFS($AU$134:AU1029,$Q$134:Q1029,"S")</f>
        <v>14788.441999999999</v>
      </c>
      <c r="BK1028" s="343">
        <f>SUMIFS($AU$134:AU1029,$P$134:P1029,"W")</f>
        <v>13187.74199999994</v>
      </c>
      <c r="BL1028" s="343">
        <f>SUMIFS($AU$134:AU1029,$P$134:P1029,"R")</f>
        <v>9060.6733333333359</v>
      </c>
      <c r="BM1028" s="343">
        <f>SUMIFS($AU$134:AU1029,$AQ$134:AQ1029,"M")</f>
        <v>2505.3999999999182</v>
      </c>
      <c r="BN1028" s="343">
        <f>SUMIFS($AU$134:AU1029,$AQ$134:AQ1029,"H")</f>
        <v>6622.1420000000153</v>
      </c>
      <c r="BO1028" s="343">
        <f>SUMIFS($AU$134:AU1029,$AQ$134:AQ1029,"D")</f>
        <v>6912.3466666667146</v>
      </c>
      <c r="BP1028" s="343">
        <f>SUMIFS($AU$134:AU1031,$AQ$134:AQ1031,"W")</f>
        <v>3762.7233333332406</v>
      </c>
      <c r="BQ1028" s="343">
        <f>SUMIFS($AU$134:AU1029,$Q$134:Q1029,"O")</f>
        <v>-852.93333333318697</v>
      </c>
      <c r="BR1028" s="343">
        <f>SUMIFS($AU$134:AU1029,$AA$134:AA1029,"*")</f>
        <v>19673.475333333259</v>
      </c>
      <c r="BS1028" s="343">
        <f>SUMIFS($AU$134:AU1029,$AB$134:AB1029,"*")</f>
        <v>5362.2666666668902</v>
      </c>
      <c r="BT1028" s="343">
        <f>SUMIFS($AU$134:AU1029,$AC$134:AC1029,"*")</f>
        <v>12023.683333333332</v>
      </c>
      <c r="BU1028" s="343">
        <f>SUMIFS($AU$134:AU1029,$AA$134:AA1029,"*",$AB$134:AB1029,"*")</f>
        <v>3538.0000000000045</v>
      </c>
      <c r="BV1028" s="343">
        <f>SUMIFS($AU$134:AU1029,$AA$134:AA1029,"*",$AC$134:AC1029,"*")</f>
        <v>10204.783333333333</v>
      </c>
      <c r="BW1028" s="343">
        <f>SUMIFS($AU$134:AU1029,$AB$134:AB1029,"*",$AC$134:AC1029,"*")</f>
        <v>6014.6</v>
      </c>
      <c r="BX1028" s="343">
        <f>SUMIFS($AU1029:AU$1388,$Q1029:Q$1388,"F")</f>
        <v>6722.1333333333323</v>
      </c>
      <c r="BY1028" s="343">
        <f>SUMIFS($AU1029:AU$1388,$Q1029:Q$1388,"S")</f>
        <v>5883.2000000000016</v>
      </c>
      <c r="BZ1028" s="343">
        <f>SUMIFS($AU1029:AU$1388,$Q1029:Q$1388,"O")</f>
        <v>-795.9246666666113</v>
      </c>
    </row>
    <row r="1029" spans="1:78" ht="15.75" customHeight="1">
      <c r="A1029" s="221" t="s">
        <v>3735</v>
      </c>
      <c r="B1029" s="177"/>
      <c r="C1029" s="178"/>
      <c r="D1029" s="178"/>
      <c r="E1029" s="227" t="s">
        <v>3800</v>
      </c>
      <c r="F1029" s="180"/>
      <c r="G1029" s="181"/>
      <c r="H1029" s="182"/>
      <c r="I1029" s="182">
        <v>1</v>
      </c>
      <c r="J1029" s="182"/>
      <c r="K1029" s="183"/>
      <c r="L1029" s="182"/>
      <c r="M1029" s="182"/>
      <c r="N1029" s="182"/>
      <c r="O1029" s="183"/>
      <c r="P1029" s="183"/>
      <c r="Q1029" s="183"/>
      <c r="R1029" s="183"/>
      <c r="S1029" s="183"/>
      <c r="T1029" s="183"/>
      <c r="U1029" s="183"/>
      <c r="V1029" s="183"/>
      <c r="W1029" s="183"/>
      <c r="X1029" s="183"/>
      <c r="Y1029" s="183"/>
      <c r="Z1029" s="185" t="str">
        <f t="shared" si="316"/>
        <v/>
      </c>
      <c r="AA1029" s="185"/>
      <c r="AB1029" s="185"/>
      <c r="AC1029" s="185"/>
      <c r="AD1029" s="649"/>
      <c r="AE1029" s="182"/>
      <c r="AF1029" s="332"/>
      <c r="AG1029" s="182"/>
      <c r="AH1029" s="182"/>
      <c r="AI1029" s="182"/>
      <c r="AJ1029" s="640"/>
      <c r="AK1029" s="182"/>
      <c r="AL1029" s="496"/>
      <c r="AM1029" s="496"/>
      <c r="AN1029" s="626"/>
      <c r="AO1029" s="182"/>
      <c r="AP1029" s="182"/>
      <c r="AQ1029" s="332" t="str">
        <f>UPPER(RIGHT(Journal_Live[[#This Row],[DURATION ]]))</f>
        <v/>
      </c>
      <c r="AR1029" s="182"/>
      <c r="AS1029" s="189"/>
      <c r="AT1029" s="189"/>
      <c r="AU1029" s="187"/>
      <c r="AV1029" s="190"/>
      <c r="AW1029" s="191"/>
      <c r="AX1029" s="407"/>
      <c r="AY1029" s="407"/>
      <c r="AZ1029" s="407"/>
      <c r="BA1029" s="407"/>
      <c r="BB1029" s="407"/>
      <c r="BC1029" s="407"/>
      <c r="BD1029" s="407"/>
      <c r="BE1029" s="407"/>
      <c r="BF1029" s="422"/>
      <c r="BG1029" s="391">
        <f>SUM($AV$4:AV1029)</f>
        <v>4658.4686248833132</v>
      </c>
      <c r="BH1029" s="392">
        <f>SUM($AU$134:AU1029)</f>
        <v>21549.242000000151</v>
      </c>
      <c r="BI1029" s="318">
        <f>SUMIFS($AU$134:AU1030,$Q$134:Q1030,"F")</f>
        <v>7718.5333333333328</v>
      </c>
      <c r="BJ1029" s="318">
        <f>SUMIFS($AU$134:AU1030,$Q$134:Q1030,"S")</f>
        <v>14788.441999999999</v>
      </c>
      <c r="BK1029" s="343">
        <f>SUMIFS($AU$134:AU1030,$P$134:P1030,"W")</f>
        <v>13235.741999999942</v>
      </c>
      <c r="BL1029" s="343">
        <f>SUMIFS($AU$134:AU1030,$P$134:P1030,"R")</f>
        <v>9060.6733333333359</v>
      </c>
      <c r="BM1029" s="343">
        <f>SUMIFS($AU$134:AU1030,$AQ$134:AQ1030,"M")</f>
        <v>2553.3999999999201</v>
      </c>
      <c r="BN1029" s="343">
        <f>SUMIFS($AU$134:AU1030,$AQ$134:AQ1030,"H")</f>
        <v>6622.1420000000153</v>
      </c>
      <c r="BO1029" s="343">
        <f>SUMIFS($AU$134:AU1030,$AQ$134:AQ1030,"D")</f>
        <v>6912.3466666667146</v>
      </c>
      <c r="BP1029" s="343">
        <f>SUMIFS($AU$134:AU1032,$AQ$134:AQ1032,"W")</f>
        <v>3762.7233333332406</v>
      </c>
      <c r="BQ1029" s="343">
        <f>SUMIFS($AU$134:AU1030,$Q$134:Q1030,"O")</f>
        <v>-804.93333333318515</v>
      </c>
      <c r="BR1029" s="343">
        <f>SUMIFS($AU$134:AU1030,$AA$134:AA1030,"*")</f>
        <v>19721.475333333263</v>
      </c>
      <c r="BS1029" s="343">
        <f>SUMIFS($AU$134:AU1030,$AB$134:AB1030,"*")</f>
        <v>5362.2666666668902</v>
      </c>
      <c r="BT1029" s="343">
        <f>SUMIFS($AU$134:AU1030,$AC$134:AC1030,"*")</f>
        <v>12023.683333333332</v>
      </c>
      <c r="BU1029" s="343">
        <f>SUMIFS($AU$134:AU1030,$AA$134:AA1030,"*",$AB$134:AB1030,"*")</f>
        <v>3538.0000000000045</v>
      </c>
      <c r="BV1029" s="343">
        <f>SUMIFS($AU$134:AU1030,$AA$134:AA1030,"*",$AC$134:AC1030,"*")</f>
        <v>10204.783333333333</v>
      </c>
      <c r="BW1029" s="343">
        <f>SUMIFS($AU$134:AU1030,$AB$134:AB1030,"*",$AC$134:AC1030,"*")</f>
        <v>6014.6</v>
      </c>
      <c r="BX1029" s="343">
        <f>SUMIFS($AU1030:AU$1388,$Q1030:Q$1388,"F")</f>
        <v>6722.1333333333323</v>
      </c>
      <c r="BY1029" s="343">
        <f>SUMIFS($AU1030:AU$1388,$Q1030:Q$1388,"S")</f>
        <v>5883.2000000000016</v>
      </c>
      <c r="BZ1029" s="343">
        <f>SUMIFS($AU1030:AU$1388,$Q1030:Q$1388,"O")</f>
        <v>-795.9246666666113</v>
      </c>
    </row>
    <row r="1030" spans="1:78" ht="15.75" customHeight="1">
      <c r="A1030" s="221" t="s">
        <v>3735</v>
      </c>
      <c r="B1030" s="177">
        <v>45182</v>
      </c>
      <c r="C1030" s="178" t="s">
        <v>682</v>
      </c>
      <c r="D1030" s="178" t="s">
        <v>151</v>
      </c>
      <c r="E1030" s="227"/>
      <c r="F1030" s="180"/>
      <c r="G1030" s="281" t="s">
        <v>1203</v>
      </c>
      <c r="H1030" s="182"/>
      <c r="I1030" s="182"/>
      <c r="J1030" s="182"/>
      <c r="K1030" s="183"/>
      <c r="L1030" s="182">
        <v>2</v>
      </c>
      <c r="M1030" s="182"/>
      <c r="N1030" s="182"/>
      <c r="O1030" s="183" t="s">
        <v>95</v>
      </c>
      <c r="P1030" s="183" t="s">
        <v>96</v>
      </c>
      <c r="Q1030" s="183" t="s">
        <v>684</v>
      </c>
      <c r="R1030" s="183">
        <v>1</v>
      </c>
      <c r="S1030" s="183">
        <v>0</v>
      </c>
      <c r="T1030" s="183">
        <v>1</v>
      </c>
      <c r="U1030" s="183" t="s">
        <v>22</v>
      </c>
      <c r="V1030" s="183"/>
      <c r="W1030" s="183"/>
      <c r="X1030" s="183"/>
      <c r="Y1030" s="184">
        <f>IF(ISBLANK(O1030),"",(IF(O1030=UPPER("IB"),0.005,0.01)))</f>
        <v>0.01</v>
      </c>
      <c r="Z1030" s="185">
        <f t="shared" si="316"/>
        <v>1600</v>
      </c>
      <c r="AA1030" s="185" t="s">
        <v>3801</v>
      </c>
      <c r="AB1030" s="185"/>
      <c r="AC1030" s="185"/>
      <c r="AD1030" s="649">
        <v>95.66</v>
      </c>
      <c r="AE1030" s="182"/>
      <c r="AF1030" s="332"/>
      <c r="AG1030" s="182"/>
      <c r="AH1030" s="182"/>
      <c r="AI1030" s="182"/>
      <c r="AJ1030" s="640"/>
      <c r="AK1030" s="182"/>
      <c r="AL1030" s="496"/>
      <c r="AM1030" s="496"/>
      <c r="AN1030" s="626"/>
      <c r="AO1030" s="182"/>
      <c r="AP1030" s="182" t="s">
        <v>3802</v>
      </c>
      <c r="AQ1030" s="332" t="str">
        <f>UPPER(RIGHT(Journal_Live[[#This Row],[DURATION ]]))</f>
        <v>M</v>
      </c>
      <c r="AR1030" s="182" t="s">
        <v>3803</v>
      </c>
      <c r="AS1030" s="189">
        <v>95.69</v>
      </c>
      <c r="AT1030" s="189">
        <f>IF(ISBLANK(AS1030),,IF(U1030="S",AD1030-AS1030,AS1030-AD1030))</f>
        <v>3.0000000000001137E-2</v>
      </c>
      <c r="AU1030" s="187">
        <f>AV1030*R1030</f>
        <v>48.000000000001819</v>
      </c>
      <c r="AV1030" s="190">
        <f>IF(ISBLANK(AS1030),,(AT1030*Z1030))</f>
        <v>48.000000000001819</v>
      </c>
      <c r="AW1030" s="191" t="s">
        <v>96</v>
      </c>
      <c r="AX1030" s="407" t="s">
        <v>3804</v>
      </c>
      <c r="AY1030" s="407" t="s">
        <v>3805</v>
      </c>
      <c r="AZ1030" s="407"/>
      <c r="BA1030" s="407" t="s">
        <v>3806</v>
      </c>
      <c r="BB1030" s="407"/>
      <c r="BC1030" s="407"/>
      <c r="BD1030" s="407"/>
      <c r="BE1030" s="407"/>
      <c r="BF1030" s="422"/>
      <c r="BG1030" s="391">
        <f>SUM($AV$4:AV1030)</f>
        <v>4706.468624883315</v>
      </c>
      <c r="BH1030" s="392">
        <f>SUM($AU$134:AU1030)</f>
        <v>21597.242000000151</v>
      </c>
      <c r="BI1030" s="318">
        <f>SUMIFS($AU$134:AU1031,$Q$134:Q1031,"F")</f>
        <v>7718.5333333333328</v>
      </c>
      <c r="BJ1030" s="318">
        <f>SUMIFS($AU$134:AU1031,$Q$134:Q1031,"S")</f>
        <v>14980.441999999999</v>
      </c>
      <c r="BK1030" s="343">
        <f>SUMIFS($AU$134:AU1031,$P$134:P1031,"W")</f>
        <v>13427.741999999942</v>
      </c>
      <c r="BL1030" s="343">
        <f>SUMIFS($AU$134:AU1031,$P$134:P1031,"R")</f>
        <v>9060.6733333333359</v>
      </c>
      <c r="BM1030" s="343">
        <f>SUMIFS($AU$134:AU1031,$AQ$134:AQ1031,"M")</f>
        <v>2745.3999999999201</v>
      </c>
      <c r="BN1030" s="343">
        <f>SUMIFS($AU$134:AU1031,$AQ$134:AQ1031,"H")</f>
        <v>6622.1420000000153</v>
      </c>
      <c r="BO1030" s="343">
        <f>SUMIFS($AU$134:AU1031,$AQ$134:AQ1031,"D")</f>
        <v>6912.3466666667146</v>
      </c>
      <c r="BP1030" s="343">
        <f>SUMIFS($AU$134:AU1033,$AQ$134:AQ1033,"W")</f>
        <v>3762.7233333332406</v>
      </c>
      <c r="BQ1030" s="343">
        <f>SUMIFS($AU$134:AU1031,$Q$134:Q1031,"O")</f>
        <v>-804.93333333318515</v>
      </c>
      <c r="BR1030" s="343">
        <f>SUMIFS($AU$134:AU1031,$AA$134:AA1031,"*")</f>
        <v>19913.475333333263</v>
      </c>
      <c r="BS1030" s="343">
        <f>SUMIFS($AU$134:AU1031,$AB$134:AB1031,"*")</f>
        <v>5362.2666666668902</v>
      </c>
      <c r="BT1030" s="343">
        <f>SUMIFS($AU$134:AU1031,$AC$134:AC1031,"*")</f>
        <v>12023.683333333332</v>
      </c>
      <c r="BU1030" s="343">
        <f>SUMIFS($AU$134:AU1031,$AA$134:AA1031,"*",$AB$134:AB1031,"*")</f>
        <v>3538.0000000000045</v>
      </c>
      <c r="BV1030" s="343">
        <f>SUMIFS($AU$134:AU1031,$AA$134:AA1031,"*",$AC$134:AC1031,"*")</f>
        <v>10204.783333333333</v>
      </c>
      <c r="BW1030" s="343">
        <f>SUMIFS($AU$134:AU1031,$AB$134:AB1031,"*",$AC$134:AC1031,"*")</f>
        <v>6014.6</v>
      </c>
      <c r="BX1030" s="343">
        <f>SUMIFS($AU1031:AU$1388,$Q1031:Q$1388,"F")</f>
        <v>6722.1333333333323</v>
      </c>
      <c r="BY1030" s="343">
        <f>SUMIFS($AU1031:AU$1388,$Q1031:Q$1388,"S")</f>
        <v>5883.2000000000016</v>
      </c>
      <c r="BZ1030" s="343">
        <f>SUMIFS($AU1031:AU$1388,$Q1031:Q$1388,"O")</f>
        <v>-843.92466666661312</v>
      </c>
    </row>
    <row r="1031" spans="1:78" ht="15.75" customHeight="1">
      <c r="A1031" s="221" t="s">
        <v>3735</v>
      </c>
      <c r="B1031" s="177">
        <v>45182</v>
      </c>
      <c r="C1031" s="178" t="s">
        <v>682</v>
      </c>
      <c r="D1031" s="178" t="s">
        <v>151</v>
      </c>
      <c r="E1031" s="227"/>
      <c r="F1031" s="180"/>
      <c r="G1031" s="281" t="s">
        <v>2145</v>
      </c>
      <c r="H1031" s="182"/>
      <c r="I1031" s="182"/>
      <c r="J1031" s="182"/>
      <c r="K1031" s="183"/>
      <c r="L1031" s="182">
        <v>1</v>
      </c>
      <c r="M1031" s="182"/>
      <c r="N1031" s="182"/>
      <c r="O1031" s="183" t="s">
        <v>95</v>
      </c>
      <c r="P1031" s="183" t="s">
        <v>96</v>
      </c>
      <c r="Q1031" s="183" t="s">
        <v>97</v>
      </c>
      <c r="R1031" s="183">
        <v>12</v>
      </c>
      <c r="S1031" s="183">
        <v>0</v>
      </c>
      <c r="T1031" s="183">
        <v>12</v>
      </c>
      <c r="U1031" s="183" t="s">
        <v>97</v>
      </c>
      <c r="V1031" s="183"/>
      <c r="W1031" s="183"/>
      <c r="X1031" s="183"/>
      <c r="Y1031" s="184">
        <f>IF(ISBLANK(O1031),"",(IF(O1031=UPPER("IB"),0.005,0.01)))</f>
        <v>0.01</v>
      </c>
      <c r="Z1031" s="185">
        <f t="shared" si="316"/>
        <v>1600</v>
      </c>
      <c r="AA1031" s="185" t="s">
        <v>3807</v>
      </c>
      <c r="AB1031" s="185"/>
      <c r="AC1031" s="185"/>
      <c r="AD1031" s="649">
        <v>7.0000000000000007E-2</v>
      </c>
      <c r="AE1031" s="182"/>
      <c r="AF1031" s="332"/>
      <c r="AG1031" s="182"/>
      <c r="AH1031" s="182"/>
      <c r="AI1031" s="182"/>
      <c r="AJ1031" s="640"/>
      <c r="AK1031" s="182"/>
      <c r="AL1031" s="496"/>
      <c r="AM1031" s="496"/>
      <c r="AN1031" s="626"/>
      <c r="AO1031" s="182"/>
      <c r="AP1031" s="182" t="s">
        <v>3802</v>
      </c>
      <c r="AQ1031" s="332" t="str">
        <f>UPPER(RIGHT(Journal_Live[[#This Row],[DURATION ]]))</f>
        <v>M</v>
      </c>
      <c r="AR1031" s="182" t="s">
        <v>3803</v>
      </c>
      <c r="AS1031" s="189">
        <v>0.06</v>
      </c>
      <c r="AT1031" s="189">
        <f>IF(ISBLANK(AS1031),,IF(U1031="S",AD1031-AS1031,AS1031-AD1031))</f>
        <v>1.0000000000000009E-2</v>
      </c>
      <c r="AU1031" s="187">
        <f>AV1031*R1031</f>
        <v>192.00000000000017</v>
      </c>
      <c r="AV1031" s="190">
        <f>IF(ISBLANK(AS1031),,(AT1031*Z1031))</f>
        <v>16.000000000000014</v>
      </c>
      <c r="AW1031" s="191" t="s">
        <v>96</v>
      </c>
      <c r="AX1031" s="407" t="s">
        <v>3808</v>
      </c>
      <c r="AY1031" s="407"/>
      <c r="AZ1031" s="407"/>
      <c r="BA1031" s="407" t="s">
        <v>3809</v>
      </c>
      <c r="BB1031" s="407"/>
      <c r="BC1031" s="407"/>
      <c r="BD1031" s="407"/>
      <c r="BE1031" s="407"/>
      <c r="BF1031" s="422"/>
      <c r="BG1031" s="391">
        <f>SUM($AV$4:AV1031)</f>
        <v>4722.468624883315</v>
      </c>
      <c r="BH1031" s="392">
        <f>SUM($AU$134:AU1031)</f>
        <v>21789.242000000151</v>
      </c>
      <c r="BI1031" s="318">
        <f>SUMIFS($AU$134:AU1032,$Q$134:Q1032,"F")</f>
        <v>7718.5333333333328</v>
      </c>
      <c r="BJ1031" s="318">
        <f>SUMIFS($AU$134:AU1032,$Q$134:Q1032,"S")</f>
        <v>15140.441999999999</v>
      </c>
      <c r="BK1031" s="343">
        <f>SUMIFS($AU$134:AU1032,$P$134:P1032,"W")</f>
        <v>13587.741999999942</v>
      </c>
      <c r="BL1031" s="343">
        <f>SUMIFS($AU$134:AU1032,$P$134:P1032,"R")</f>
        <v>9060.6733333333359</v>
      </c>
      <c r="BM1031" s="343">
        <f>SUMIFS($AU$134:AU1032,$AQ$134:AQ1032,"M")</f>
        <v>2745.3999999999201</v>
      </c>
      <c r="BN1031" s="343">
        <f>SUMIFS($AU$134:AU1032,$AQ$134:AQ1032,"H")</f>
        <v>6782.1420000000153</v>
      </c>
      <c r="BO1031" s="343">
        <f>SUMIFS($AU$134:AU1032,$AQ$134:AQ1032,"D")</f>
        <v>6912.3466666667146</v>
      </c>
      <c r="BP1031" s="343">
        <f>SUMIFS($AU$134:AU1034,$AQ$134:AQ1034,"W")</f>
        <v>3762.7233333332406</v>
      </c>
      <c r="BQ1031" s="343">
        <f>SUMIFS($AU$134:AU1032,$Q$134:Q1032,"O")</f>
        <v>-804.93333333318515</v>
      </c>
      <c r="BR1031" s="343">
        <f>SUMIFS($AU$134:AU1032,$AA$134:AA1032,"*")</f>
        <v>20073.475333333263</v>
      </c>
      <c r="BS1031" s="343">
        <f>SUMIFS($AU$134:AU1032,$AB$134:AB1032,"*")</f>
        <v>5362.2666666668902</v>
      </c>
      <c r="BT1031" s="343">
        <f>SUMIFS($AU$134:AU1032,$AC$134:AC1032,"*")</f>
        <v>12023.683333333332</v>
      </c>
      <c r="BU1031" s="343">
        <f>SUMIFS($AU$134:AU1032,$AA$134:AA1032,"*",$AB$134:AB1032,"*")</f>
        <v>3538.0000000000045</v>
      </c>
      <c r="BV1031" s="343">
        <f>SUMIFS($AU$134:AU1032,$AA$134:AA1032,"*",$AC$134:AC1032,"*")</f>
        <v>10204.783333333333</v>
      </c>
      <c r="BW1031" s="343">
        <f>SUMIFS($AU$134:AU1032,$AB$134:AB1032,"*",$AC$134:AC1032,"*")</f>
        <v>6014.6</v>
      </c>
      <c r="BX1031" s="343">
        <f>SUMIFS($AU1032:AU$1388,$Q1032:Q$1388,"F")</f>
        <v>6722.1333333333323</v>
      </c>
      <c r="BY1031" s="343">
        <f>SUMIFS($AU1032:AU$1388,$Q1032:Q$1388,"S")</f>
        <v>5691.2000000000007</v>
      </c>
      <c r="BZ1031" s="343">
        <f>SUMIFS($AU1032:AU$1388,$Q1032:Q$1388,"O")</f>
        <v>-843.92466666661312</v>
      </c>
    </row>
    <row r="1032" spans="1:78" ht="15.75" customHeight="1">
      <c r="A1032" s="221" t="s">
        <v>3735</v>
      </c>
      <c r="B1032" s="177">
        <v>45182</v>
      </c>
      <c r="C1032" s="178" t="s">
        <v>3810</v>
      </c>
      <c r="D1032" s="178" t="s">
        <v>151</v>
      </c>
      <c r="E1032" s="227"/>
      <c r="F1032" s="180"/>
      <c r="G1032" s="281" t="s">
        <v>2145</v>
      </c>
      <c r="H1032" s="182"/>
      <c r="I1032" s="182"/>
      <c r="J1032" s="182"/>
      <c r="K1032" s="183"/>
      <c r="L1032" s="182">
        <v>1</v>
      </c>
      <c r="M1032" s="182"/>
      <c r="N1032" s="182"/>
      <c r="O1032" s="183" t="s">
        <v>95</v>
      </c>
      <c r="P1032" s="183" t="s">
        <v>96</v>
      </c>
      <c r="Q1032" s="183" t="s">
        <v>97</v>
      </c>
      <c r="R1032" s="183">
        <v>10</v>
      </c>
      <c r="S1032" s="183">
        <v>0</v>
      </c>
      <c r="T1032" s="183">
        <v>10</v>
      </c>
      <c r="U1032" s="183" t="s">
        <v>97</v>
      </c>
      <c r="V1032" s="183"/>
      <c r="W1032" s="183"/>
      <c r="X1032" s="183"/>
      <c r="Y1032" s="184">
        <f>IF(ISBLANK(O1032),"",(IF(O1032=UPPER("IB"),0.005,0.01)))</f>
        <v>0.01</v>
      </c>
      <c r="Z1032" s="185">
        <f t="shared" si="316"/>
        <v>1600</v>
      </c>
      <c r="AA1032" s="185" t="s">
        <v>99</v>
      </c>
      <c r="AB1032" s="185"/>
      <c r="AC1032" s="185"/>
      <c r="AD1032" s="649">
        <v>7.0000000000000007E-2</v>
      </c>
      <c r="AE1032" s="182"/>
      <c r="AF1032" s="332"/>
      <c r="AG1032" s="182"/>
      <c r="AH1032" s="182"/>
      <c r="AI1032" s="182"/>
      <c r="AJ1032" s="640"/>
      <c r="AK1032" s="182"/>
      <c r="AL1032" s="496"/>
      <c r="AM1032" s="496"/>
      <c r="AN1032" s="626"/>
      <c r="AO1032" s="182"/>
      <c r="AP1032" s="182" t="s">
        <v>967</v>
      </c>
      <c r="AQ1032" s="332" t="str">
        <f>UPPER(RIGHT(Journal_Live[[#This Row],[DURATION ]]))</f>
        <v>H</v>
      </c>
      <c r="AR1032" s="182" t="s">
        <v>2324</v>
      </c>
      <c r="AS1032" s="189">
        <v>0.06</v>
      </c>
      <c r="AT1032" s="189">
        <f>IF(ISBLANK(AS1032),,IF(U1032="S",AD1032-AS1032,AS1032-AD1032))</f>
        <v>1.0000000000000009E-2</v>
      </c>
      <c r="AU1032" s="187">
        <f>AV1032*R1032</f>
        <v>160.00000000000014</v>
      </c>
      <c r="AV1032" s="190">
        <f>IF(ISBLANK(AS1032),,(AT1032*Z1032))</f>
        <v>16.000000000000014</v>
      </c>
      <c r="AW1032" s="191" t="s">
        <v>96</v>
      </c>
      <c r="AX1032" s="407"/>
      <c r="AY1032" s="407"/>
      <c r="AZ1032" s="407"/>
      <c r="BA1032" s="407"/>
      <c r="BB1032" s="407"/>
      <c r="BC1032" s="407"/>
      <c r="BD1032" s="407"/>
      <c r="BE1032" s="407"/>
      <c r="BF1032" s="422"/>
      <c r="BG1032" s="391">
        <f>SUM($AV$4:AV1032)</f>
        <v>4738.468624883315</v>
      </c>
      <c r="BH1032" s="392">
        <f>SUM($AU$134:AU1032)</f>
        <v>21949.242000000151</v>
      </c>
      <c r="BI1032" s="318">
        <f>SUMIFS($AU$134:AU1033,$Q$134:Q1033,"F")</f>
        <v>7718.5333333333328</v>
      </c>
      <c r="BJ1032" s="318">
        <f>SUMIFS($AU$134:AU1033,$Q$134:Q1033,"S")</f>
        <v>15140.441999999999</v>
      </c>
      <c r="BK1032" s="343">
        <f>SUMIFS($AU$134:AU1033,$P$134:P1033,"W")</f>
        <v>13587.741999999942</v>
      </c>
      <c r="BL1032" s="343">
        <f>SUMIFS($AU$134:AU1033,$P$134:P1033,"R")</f>
        <v>9060.6733333333359</v>
      </c>
      <c r="BM1032" s="343">
        <f>SUMIFS($AU$134:AU1033,$AQ$134:AQ1033,"M")</f>
        <v>2745.3999999999201</v>
      </c>
      <c r="BN1032" s="343">
        <f>SUMIFS($AU$134:AU1033,$AQ$134:AQ1033,"H")</f>
        <v>6782.1420000000153</v>
      </c>
      <c r="BO1032" s="343">
        <f>SUMIFS($AU$134:AU1033,$AQ$134:AQ1033,"D")</f>
        <v>6912.3466666667146</v>
      </c>
      <c r="BP1032" s="343">
        <f>SUMIFS($AU$134:AU1035,$AQ$134:AQ1035,"W")</f>
        <v>3762.7233333332406</v>
      </c>
      <c r="BQ1032" s="343">
        <f>SUMIFS($AU$134:AU1033,$Q$134:Q1033,"O")</f>
        <v>-804.93333333318515</v>
      </c>
      <c r="BR1032" s="343">
        <f>SUMIFS($AU$134:AU1033,$AA$134:AA1033,"*")</f>
        <v>20073.475333333263</v>
      </c>
      <c r="BS1032" s="343">
        <f>SUMIFS($AU$134:AU1033,$AB$134:AB1033,"*")</f>
        <v>5362.2666666668902</v>
      </c>
      <c r="BT1032" s="343">
        <f>SUMIFS($AU$134:AU1033,$AC$134:AC1033,"*")</f>
        <v>12023.683333333332</v>
      </c>
      <c r="BU1032" s="343">
        <f>SUMIFS($AU$134:AU1033,$AA$134:AA1033,"*",$AB$134:AB1033,"*")</f>
        <v>3538.0000000000045</v>
      </c>
      <c r="BV1032" s="343">
        <f>SUMIFS($AU$134:AU1033,$AA$134:AA1033,"*",$AC$134:AC1033,"*")</f>
        <v>10204.783333333333</v>
      </c>
      <c r="BW1032" s="343">
        <f>SUMIFS($AU$134:AU1033,$AB$134:AB1033,"*",$AC$134:AC1033,"*")</f>
        <v>6014.6</v>
      </c>
      <c r="BX1032" s="343">
        <f>SUMIFS($AU1033:AU$1388,$Q1033:Q$1388,"F")</f>
        <v>6722.1333333333323</v>
      </c>
      <c r="BY1032" s="343">
        <f>SUMIFS($AU1033:AU$1388,$Q1033:Q$1388,"S")</f>
        <v>5531.2000000000007</v>
      </c>
      <c r="BZ1032" s="343">
        <f>SUMIFS($AU1033:AU$1388,$Q1033:Q$1388,"O")</f>
        <v>-843.92466666661312</v>
      </c>
    </row>
    <row r="1033" spans="1:78" ht="15.75" customHeight="1">
      <c r="A1033" s="221" t="s">
        <v>3735</v>
      </c>
      <c r="B1033" s="177">
        <v>45183</v>
      </c>
      <c r="C1033" s="178" t="s">
        <v>2020</v>
      </c>
      <c r="D1033" s="178" t="s">
        <v>93</v>
      </c>
      <c r="E1033" s="227" t="s">
        <v>3811</v>
      </c>
      <c r="F1033" s="180"/>
      <c r="G1033" s="181"/>
      <c r="H1033" s="182"/>
      <c r="I1033" s="182">
        <v>1</v>
      </c>
      <c r="J1033" s="182"/>
      <c r="K1033" s="183"/>
      <c r="L1033" s="182"/>
      <c r="M1033" s="182"/>
      <c r="N1033" s="182"/>
      <c r="O1033" s="183"/>
      <c r="P1033" s="183"/>
      <c r="Q1033" s="183"/>
      <c r="R1033" s="183"/>
      <c r="S1033" s="183"/>
      <c r="T1033" s="183"/>
      <c r="U1033" s="183"/>
      <c r="V1033" s="183"/>
      <c r="W1033" s="183"/>
      <c r="X1033" s="183"/>
      <c r="Y1033" s="183"/>
      <c r="Z1033" s="185" t="str">
        <f t="shared" si="316"/>
        <v/>
      </c>
      <c r="AA1033" s="185"/>
      <c r="AB1033" s="185"/>
      <c r="AC1033" s="185"/>
      <c r="AD1033" s="649"/>
      <c r="AE1033" s="182"/>
      <c r="AF1033" s="332"/>
      <c r="AG1033" s="182"/>
      <c r="AH1033" s="182"/>
      <c r="AI1033" s="182"/>
      <c r="AJ1033" s="640"/>
      <c r="AK1033" s="182"/>
      <c r="AL1033" s="496"/>
      <c r="AM1033" s="496"/>
      <c r="AN1033" s="626"/>
      <c r="AO1033" s="182"/>
      <c r="AP1033" s="182"/>
      <c r="AQ1033" s="332" t="str">
        <f>UPPER(RIGHT(Journal_Live[[#This Row],[DURATION ]]))</f>
        <v/>
      </c>
      <c r="AR1033" s="182"/>
      <c r="AS1033" s="189"/>
      <c r="AT1033" s="189"/>
      <c r="AU1033" s="187"/>
      <c r="AV1033" s="190"/>
      <c r="AW1033" s="191"/>
      <c r="AX1033" s="407"/>
      <c r="AY1033" s="407"/>
      <c r="AZ1033" s="407"/>
      <c r="BA1033" s="407"/>
      <c r="BB1033" s="407"/>
      <c r="BC1033" s="407"/>
      <c r="BD1033" s="407"/>
      <c r="BE1033" s="407"/>
      <c r="BF1033" s="422"/>
      <c r="BG1033" s="391">
        <f>SUM($AV$4:AV1033)</f>
        <v>4738.468624883315</v>
      </c>
      <c r="BH1033" s="392">
        <f>SUM($AU$134:AU1033)</f>
        <v>21949.242000000151</v>
      </c>
      <c r="BI1033" s="318">
        <f>SUMIFS($AU$134:AU1034,$Q$134:Q1034,"F")</f>
        <v>7718.5333333333328</v>
      </c>
      <c r="BJ1033" s="318">
        <f>SUMIFS($AU$134:AU1034,$Q$134:Q1034,"S")</f>
        <v>15140.441999999999</v>
      </c>
      <c r="BK1033" s="343">
        <f>SUMIFS($AU$134:AU1034,$P$134:P1034,"W")</f>
        <v>13587.741999999942</v>
      </c>
      <c r="BL1033" s="343">
        <f>SUMIFS($AU$134:AU1034,$P$134:P1034,"R")</f>
        <v>9060.6733333333359</v>
      </c>
      <c r="BM1033" s="343">
        <f>SUMIFS($AU$134:AU1034,$AQ$134:AQ1034,"M")</f>
        <v>2745.3999999999201</v>
      </c>
      <c r="BN1033" s="343">
        <f>SUMIFS($AU$134:AU1034,$AQ$134:AQ1034,"H")</f>
        <v>6782.1420000000153</v>
      </c>
      <c r="BO1033" s="343">
        <f>SUMIFS($AU$134:AU1034,$AQ$134:AQ1034,"D")</f>
        <v>6912.3466666667146</v>
      </c>
      <c r="BP1033" s="343">
        <f>SUMIFS($AU$134:AU1036,$AQ$134:AQ1036,"W")</f>
        <v>3762.7233333332406</v>
      </c>
      <c r="BQ1033" s="343">
        <f>SUMIFS($AU$134:AU1034,$Q$134:Q1034,"O")</f>
        <v>-804.93333333318515</v>
      </c>
      <c r="BR1033" s="343">
        <f>SUMIFS($AU$134:AU1034,$AA$134:AA1034,"*")</f>
        <v>20073.475333333263</v>
      </c>
      <c r="BS1033" s="343">
        <f>SUMIFS($AU$134:AU1034,$AB$134:AB1034,"*")</f>
        <v>5362.2666666668902</v>
      </c>
      <c r="BT1033" s="343">
        <f>SUMIFS($AU$134:AU1034,$AC$134:AC1034,"*")</f>
        <v>12023.683333333332</v>
      </c>
      <c r="BU1033" s="343">
        <f>SUMIFS($AU$134:AU1034,$AA$134:AA1034,"*",$AB$134:AB1034,"*")</f>
        <v>3538.0000000000045</v>
      </c>
      <c r="BV1033" s="343">
        <f>SUMIFS($AU$134:AU1034,$AA$134:AA1034,"*",$AC$134:AC1034,"*")</f>
        <v>10204.783333333333</v>
      </c>
      <c r="BW1033" s="343">
        <f>SUMIFS($AU$134:AU1034,$AB$134:AB1034,"*",$AC$134:AC1034,"*")</f>
        <v>6014.6</v>
      </c>
      <c r="BX1033" s="343">
        <f>SUMIFS($AU1034:AU$1388,$Q1034:Q$1388,"F")</f>
        <v>6722.1333333333323</v>
      </c>
      <c r="BY1033" s="343">
        <f>SUMIFS($AU1034:AU$1388,$Q1034:Q$1388,"S")</f>
        <v>5531.2000000000007</v>
      </c>
      <c r="BZ1033" s="343">
        <f>SUMIFS($AU1034:AU$1388,$Q1034:Q$1388,"O")</f>
        <v>-843.92466666661312</v>
      </c>
    </row>
    <row r="1034" spans="1:78" ht="15.75" customHeight="1">
      <c r="A1034" s="221" t="s">
        <v>3735</v>
      </c>
      <c r="B1034" s="177"/>
      <c r="C1034" s="178"/>
      <c r="D1034" s="178"/>
      <c r="E1034" s="227" t="s">
        <v>3812</v>
      </c>
      <c r="F1034" s="180"/>
      <c r="G1034" s="181"/>
      <c r="H1034" s="182">
        <v>1</v>
      </c>
      <c r="I1034" s="182"/>
      <c r="J1034" s="182"/>
      <c r="K1034" s="183" t="s">
        <v>372</v>
      </c>
      <c r="L1034" s="182"/>
      <c r="M1034" s="182"/>
      <c r="N1034" s="182"/>
      <c r="O1034" s="183"/>
      <c r="P1034" s="183"/>
      <c r="Q1034" s="183"/>
      <c r="R1034" s="183"/>
      <c r="S1034" s="183"/>
      <c r="T1034" s="183"/>
      <c r="U1034" s="183"/>
      <c r="V1034" s="183"/>
      <c r="W1034" s="183"/>
      <c r="X1034" s="183"/>
      <c r="Y1034" s="183"/>
      <c r="Z1034" s="185" t="str">
        <f t="shared" si="316"/>
        <v/>
      </c>
      <c r="AA1034" s="185"/>
      <c r="AB1034" s="185"/>
      <c r="AC1034" s="185"/>
      <c r="AD1034" s="649"/>
      <c r="AE1034" s="182"/>
      <c r="AF1034" s="332"/>
      <c r="AG1034" s="182"/>
      <c r="AH1034" s="182"/>
      <c r="AI1034" s="182"/>
      <c r="AJ1034" s="640"/>
      <c r="AK1034" s="182"/>
      <c r="AL1034" s="496"/>
      <c r="AM1034" s="496"/>
      <c r="AN1034" s="626"/>
      <c r="AO1034" s="182"/>
      <c r="AP1034" s="182"/>
      <c r="AQ1034" s="332" t="str">
        <f>UPPER(RIGHT(Journal_Live[[#This Row],[DURATION ]]))</f>
        <v/>
      </c>
      <c r="AR1034" s="182"/>
      <c r="AS1034" s="189"/>
      <c r="AT1034" s="189"/>
      <c r="AU1034" s="187"/>
      <c r="AV1034" s="190"/>
      <c r="AW1034" s="191"/>
      <c r="AX1034" s="407"/>
      <c r="AY1034" s="407"/>
      <c r="AZ1034" s="407"/>
      <c r="BA1034" s="407"/>
      <c r="BB1034" s="407"/>
      <c r="BC1034" s="407"/>
      <c r="BD1034" s="407"/>
      <c r="BE1034" s="407"/>
      <c r="BF1034" s="422"/>
      <c r="BG1034" s="391">
        <f>SUM($AV$4:AV1034)</f>
        <v>4738.468624883315</v>
      </c>
      <c r="BH1034" s="392">
        <f>SUM($AU$134:AU1034)</f>
        <v>21949.242000000151</v>
      </c>
      <c r="BI1034" s="318">
        <f>SUMIFS($AU$134:AU1035,$Q$134:Q1035,"F")</f>
        <v>7718.5333333333328</v>
      </c>
      <c r="BJ1034" s="318">
        <f>SUMIFS($AU$134:AU1035,$Q$134:Q1035,"S")</f>
        <v>15140.441999999999</v>
      </c>
      <c r="BK1034" s="343">
        <f>SUMIFS($AU$134:AU1035,$P$134:P1035,"W")</f>
        <v>13587.741999999942</v>
      </c>
      <c r="BL1034" s="343">
        <f>SUMIFS($AU$134:AU1035,$P$134:P1035,"R")</f>
        <v>9060.6733333333359</v>
      </c>
      <c r="BM1034" s="343">
        <f>SUMIFS($AU$134:AU1035,$AQ$134:AQ1035,"M")</f>
        <v>2745.3999999999201</v>
      </c>
      <c r="BN1034" s="343">
        <f>SUMIFS($AU$134:AU1035,$AQ$134:AQ1035,"H")</f>
        <v>6782.1420000000153</v>
      </c>
      <c r="BO1034" s="343">
        <f>SUMIFS($AU$134:AU1035,$AQ$134:AQ1035,"D")</f>
        <v>6912.3466666667146</v>
      </c>
      <c r="BP1034" s="343">
        <f>SUMIFS($AU$134:AU1037,$AQ$134:AQ1037,"W")</f>
        <v>3762.7233333332406</v>
      </c>
      <c r="BQ1034" s="343">
        <f>SUMIFS($AU$134:AU1035,$Q$134:Q1035,"O")</f>
        <v>-804.93333333318515</v>
      </c>
      <c r="BR1034" s="343">
        <f>SUMIFS($AU$134:AU1035,$AA$134:AA1035,"*")</f>
        <v>20073.475333333263</v>
      </c>
      <c r="BS1034" s="343">
        <f>SUMIFS($AU$134:AU1035,$AB$134:AB1035,"*")</f>
        <v>5362.2666666668902</v>
      </c>
      <c r="BT1034" s="343">
        <f>SUMIFS($AU$134:AU1035,$AC$134:AC1035,"*")</f>
        <v>12023.683333333332</v>
      </c>
      <c r="BU1034" s="343">
        <f>SUMIFS($AU$134:AU1035,$AA$134:AA1035,"*",$AB$134:AB1035,"*")</f>
        <v>3538.0000000000045</v>
      </c>
      <c r="BV1034" s="343">
        <f>SUMIFS($AU$134:AU1035,$AA$134:AA1035,"*",$AC$134:AC1035,"*")</f>
        <v>10204.783333333333</v>
      </c>
      <c r="BW1034" s="343">
        <f>SUMIFS($AU$134:AU1035,$AB$134:AB1035,"*",$AC$134:AC1035,"*")</f>
        <v>6014.6</v>
      </c>
      <c r="BX1034" s="343">
        <f>SUMIFS($AU1035:AU$1388,$Q1035:Q$1388,"F")</f>
        <v>6722.1333333333323</v>
      </c>
      <c r="BY1034" s="343">
        <f>SUMIFS($AU1035:AU$1388,$Q1035:Q$1388,"S")</f>
        <v>5531.2000000000007</v>
      </c>
      <c r="BZ1034" s="343">
        <f>SUMIFS($AU1035:AU$1388,$Q1035:Q$1388,"O")</f>
        <v>-843.92466666661312</v>
      </c>
    </row>
    <row r="1035" spans="1:78" ht="15.75" customHeight="1">
      <c r="A1035" s="221" t="s">
        <v>3735</v>
      </c>
      <c r="B1035" s="177">
        <v>45183</v>
      </c>
      <c r="C1035" s="178" t="s">
        <v>3270</v>
      </c>
      <c r="D1035" s="178" t="s">
        <v>93</v>
      </c>
      <c r="E1035" s="227"/>
      <c r="F1035" s="180"/>
      <c r="G1035" s="181" t="s">
        <v>2070</v>
      </c>
      <c r="H1035" s="182"/>
      <c r="I1035" s="182"/>
      <c r="J1035" s="182"/>
      <c r="K1035" s="183"/>
      <c r="L1035" s="182"/>
      <c r="M1035" s="182"/>
      <c r="N1035" s="182"/>
      <c r="O1035" s="183"/>
      <c r="P1035" s="183"/>
      <c r="Q1035" s="183"/>
      <c r="R1035" s="183"/>
      <c r="S1035" s="183"/>
      <c r="T1035" s="183"/>
      <c r="U1035" s="183"/>
      <c r="V1035" s="183"/>
      <c r="W1035" s="183"/>
      <c r="X1035" s="183"/>
      <c r="Y1035" s="184"/>
      <c r="Z1035" s="185"/>
      <c r="AA1035" s="185"/>
      <c r="AB1035" s="185"/>
      <c r="AC1035" s="185"/>
      <c r="AD1035" s="649"/>
      <c r="AE1035" s="182"/>
      <c r="AF1035" s="332"/>
      <c r="AG1035" s="182"/>
      <c r="AH1035" s="182"/>
      <c r="AI1035" s="182"/>
      <c r="AJ1035" s="640"/>
      <c r="AK1035" s="182"/>
      <c r="AL1035" s="496"/>
      <c r="AM1035" s="496"/>
      <c r="AN1035" s="626"/>
      <c r="AO1035" s="182"/>
      <c r="AP1035" s="182"/>
      <c r="AQ1035" s="332" t="str">
        <f>UPPER(RIGHT(Journal_Live[[#This Row],[DURATION ]]))</f>
        <v/>
      </c>
      <c r="AR1035" s="182"/>
      <c r="AS1035" s="189"/>
      <c r="AT1035" s="189"/>
      <c r="AU1035" s="187"/>
      <c r="AV1035" s="190"/>
      <c r="AW1035" s="191"/>
      <c r="AX1035" s="407"/>
      <c r="AY1035" s="407"/>
      <c r="AZ1035" s="407"/>
      <c r="BA1035" s="407"/>
      <c r="BB1035" s="407"/>
      <c r="BC1035" s="407"/>
      <c r="BD1035" s="407"/>
      <c r="BE1035" s="407"/>
      <c r="BF1035" s="422"/>
      <c r="BG1035" s="391">
        <f>SUM($AV$4:AV1035)</f>
        <v>4738.468624883315</v>
      </c>
      <c r="BH1035" s="392">
        <f>SUM($AU$134:AU1035)</f>
        <v>21949.242000000151</v>
      </c>
      <c r="BI1035" s="318">
        <f>SUMIFS($AU$134:AU1036,$Q$134:Q1036,"F")</f>
        <v>7718.5333333333328</v>
      </c>
      <c r="BJ1035" s="318">
        <f>SUMIFS($AU$134:AU1036,$Q$134:Q1036,"S")</f>
        <v>15140.441999999999</v>
      </c>
      <c r="BK1035" s="343">
        <f>SUMIFS($AU$134:AU1036,$P$134:P1036,"W")</f>
        <v>13587.741999999942</v>
      </c>
      <c r="BL1035" s="343">
        <f>SUMIFS($AU$134:AU1036,$P$134:P1036,"R")</f>
        <v>9060.6733333333359</v>
      </c>
      <c r="BM1035" s="343">
        <f>SUMIFS($AU$134:AU1036,$AQ$134:AQ1036,"M")</f>
        <v>2745.3999999999201</v>
      </c>
      <c r="BN1035" s="343">
        <f>SUMIFS($AU$134:AU1036,$AQ$134:AQ1036,"H")</f>
        <v>6782.1420000000153</v>
      </c>
      <c r="BO1035" s="343">
        <f>SUMIFS($AU$134:AU1036,$AQ$134:AQ1036,"D")</f>
        <v>6912.3466666667146</v>
      </c>
      <c r="BP1035" s="343">
        <f>SUMIFS($AU$134:AU1038,$AQ$134:AQ1038,"W")</f>
        <v>3762.7233333332406</v>
      </c>
      <c r="BQ1035" s="343">
        <f>SUMIFS($AU$134:AU1036,$Q$134:Q1036,"O")</f>
        <v>-804.93333333318515</v>
      </c>
      <c r="BR1035" s="343">
        <f>SUMIFS($AU$134:AU1036,$AA$134:AA1036,"*")</f>
        <v>20073.475333333263</v>
      </c>
      <c r="BS1035" s="343">
        <f>SUMIFS($AU$134:AU1036,$AB$134:AB1036,"*")</f>
        <v>5362.2666666668902</v>
      </c>
      <c r="BT1035" s="343">
        <f>SUMIFS($AU$134:AU1036,$AC$134:AC1036,"*")</f>
        <v>12023.683333333332</v>
      </c>
      <c r="BU1035" s="343">
        <f>SUMIFS($AU$134:AU1036,$AA$134:AA1036,"*",$AB$134:AB1036,"*")</f>
        <v>3538.0000000000045</v>
      </c>
      <c r="BV1035" s="343">
        <f>SUMIFS($AU$134:AU1036,$AA$134:AA1036,"*",$AC$134:AC1036,"*")</f>
        <v>10204.783333333333</v>
      </c>
      <c r="BW1035" s="343">
        <f>SUMIFS($AU$134:AU1036,$AB$134:AB1036,"*",$AC$134:AC1036,"*")</f>
        <v>6014.6</v>
      </c>
      <c r="BX1035" s="343">
        <f>SUMIFS($AU1036:AU$1388,$Q1036:Q$1388,"F")</f>
        <v>6722.1333333333323</v>
      </c>
      <c r="BY1035" s="343">
        <f>SUMIFS($AU1036:AU$1388,$Q1036:Q$1388,"S")</f>
        <v>5531.2000000000007</v>
      </c>
      <c r="BZ1035" s="343">
        <f>SUMIFS($AU1036:AU$1388,$Q1036:Q$1388,"O")</f>
        <v>-843.92466666661312</v>
      </c>
    </row>
    <row r="1036" spans="1:78" ht="15.75" customHeight="1">
      <c r="A1036" s="221" t="s">
        <v>3735</v>
      </c>
      <c r="B1036" s="177">
        <v>45183</v>
      </c>
      <c r="C1036" s="178" t="s">
        <v>311</v>
      </c>
      <c r="D1036" s="178" t="s">
        <v>93</v>
      </c>
      <c r="E1036" s="227" t="s">
        <v>3813</v>
      </c>
      <c r="F1036" s="180" t="s">
        <v>3263</v>
      </c>
      <c r="G1036" s="181"/>
      <c r="H1036" s="182">
        <v>1</v>
      </c>
      <c r="I1036" s="182"/>
      <c r="J1036" s="182"/>
      <c r="K1036" s="183" t="s">
        <v>372</v>
      </c>
      <c r="L1036" s="182"/>
      <c r="M1036" s="182"/>
      <c r="N1036" s="182"/>
      <c r="O1036" s="183"/>
      <c r="P1036" s="183"/>
      <c r="Q1036" s="183"/>
      <c r="R1036" s="183"/>
      <c r="S1036" s="183"/>
      <c r="T1036" s="183"/>
      <c r="U1036" s="183"/>
      <c r="V1036" s="183"/>
      <c r="W1036" s="183"/>
      <c r="X1036" s="183"/>
      <c r="Y1036" s="183"/>
      <c r="Z1036" s="185" t="str">
        <f>IF(ISBLANK(O1036),"",IF(O1036="IB",8.63*200,IF(O1036="IR",16*100,IF(O1036="YT",20*100,IF(O1036="YT-XT",24*200,IF(O1036="TED",80*100))))))</f>
        <v/>
      </c>
      <c r="AA1036" s="185"/>
      <c r="AB1036" s="185"/>
      <c r="AC1036" s="185"/>
      <c r="AD1036" s="649"/>
      <c r="AE1036" s="182"/>
      <c r="AF1036" s="332"/>
      <c r="AG1036" s="182"/>
      <c r="AH1036" s="182"/>
      <c r="AI1036" s="182"/>
      <c r="AJ1036" s="640"/>
      <c r="AK1036" s="182"/>
      <c r="AL1036" s="496"/>
      <c r="AM1036" s="496"/>
      <c r="AN1036" s="626"/>
      <c r="AO1036" s="182"/>
      <c r="AP1036" s="182"/>
      <c r="AQ1036" s="332" t="str">
        <f>UPPER(RIGHT(Journal_Live[[#This Row],[DURATION ]]))</f>
        <v/>
      </c>
      <c r="AR1036" s="182"/>
      <c r="AS1036" s="189"/>
      <c r="AT1036" s="189"/>
      <c r="AU1036" s="187"/>
      <c r="AV1036" s="190"/>
      <c r="AW1036" s="191"/>
      <c r="AX1036" s="407"/>
      <c r="AY1036" s="407"/>
      <c r="AZ1036" s="407"/>
      <c r="BA1036" s="407"/>
      <c r="BB1036" s="407"/>
      <c r="BC1036" s="407"/>
      <c r="BD1036" s="407"/>
      <c r="BE1036" s="407"/>
      <c r="BF1036" s="422"/>
      <c r="BG1036" s="391">
        <f>SUM($AV$4:AV1036)</f>
        <v>4738.468624883315</v>
      </c>
      <c r="BH1036" s="392">
        <f>SUM($AU$134:AU1036)</f>
        <v>21949.242000000151</v>
      </c>
      <c r="BI1036" s="318">
        <f>SUMIFS($AU$134:AU1037,$Q$134:Q1037,"F")</f>
        <v>7718.5333333333328</v>
      </c>
      <c r="BJ1036" s="318">
        <f>SUMIFS($AU$134:AU1037,$Q$134:Q1037,"S")</f>
        <v>15140.441999999999</v>
      </c>
      <c r="BK1036" s="343">
        <f>SUMIFS($AU$134:AU1037,$P$134:P1037,"W")</f>
        <v>13587.741999999942</v>
      </c>
      <c r="BL1036" s="343">
        <f>SUMIFS($AU$134:AU1037,$P$134:P1037,"R")</f>
        <v>9060.6733333333359</v>
      </c>
      <c r="BM1036" s="343">
        <f>SUMIFS($AU$134:AU1037,$AQ$134:AQ1037,"M")</f>
        <v>2745.3999999999201</v>
      </c>
      <c r="BN1036" s="343">
        <f>SUMIFS($AU$134:AU1037,$AQ$134:AQ1037,"H")</f>
        <v>6782.1420000000153</v>
      </c>
      <c r="BO1036" s="343">
        <f>SUMIFS($AU$134:AU1037,$AQ$134:AQ1037,"D")</f>
        <v>6912.3466666667146</v>
      </c>
      <c r="BP1036" s="343">
        <f>SUMIFS($AU$134:AU1039,$AQ$134:AQ1039,"W")</f>
        <v>3762.7233333332406</v>
      </c>
      <c r="BQ1036" s="343">
        <f>SUMIFS($AU$134:AU1037,$Q$134:Q1037,"O")</f>
        <v>-804.93333333318515</v>
      </c>
      <c r="BR1036" s="343">
        <f>SUMIFS($AU$134:AU1037,$AA$134:AA1037,"*")</f>
        <v>20073.475333333263</v>
      </c>
      <c r="BS1036" s="343">
        <f>SUMIFS($AU$134:AU1037,$AB$134:AB1037,"*")</f>
        <v>5362.2666666668902</v>
      </c>
      <c r="BT1036" s="343">
        <f>SUMIFS($AU$134:AU1037,$AC$134:AC1037,"*")</f>
        <v>12023.683333333332</v>
      </c>
      <c r="BU1036" s="343">
        <f>SUMIFS($AU$134:AU1037,$AA$134:AA1037,"*",$AB$134:AB1037,"*")</f>
        <v>3538.0000000000045</v>
      </c>
      <c r="BV1036" s="343">
        <f>SUMIFS($AU$134:AU1037,$AA$134:AA1037,"*",$AC$134:AC1037,"*")</f>
        <v>10204.783333333333</v>
      </c>
      <c r="BW1036" s="343">
        <f>SUMIFS($AU$134:AU1037,$AB$134:AB1037,"*",$AC$134:AC1037,"*")</f>
        <v>6014.6</v>
      </c>
      <c r="BX1036" s="343">
        <f>SUMIFS($AU1037:AU$1388,$Q1037:Q$1388,"F")</f>
        <v>6722.1333333333323</v>
      </c>
      <c r="BY1036" s="343">
        <f>SUMIFS($AU1037:AU$1388,$Q1037:Q$1388,"S")</f>
        <v>5531.2000000000007</v>
      </c>
      <c r="BZ1036" s="343">
        <f>SUMIFS($AU1037:AU$1388,$Q1037:Q$1388,"O")</f>
        <v>-843.92466666661312</v>
      </c>
    </row>
    <row r="1037" spans="1:78" ht="15.75" customHeight="1">
      <c r="A1037" s="221" t="s">
        <v>3735</v>
      </c>
      <c r="B1037" s="177">
        <v>45183</v>
      </c>
      <c r="C1037" s="178" t="s">
        <v>1728</v>
      </c>
      <c r="D1037" s="178" t="s">
        <v>93</v>
      </c>
      <c r="E1037" s="227" t="s">
        <v>3814</v>
      </c>
      <c r="F1037" s="180" t="s">
        <v>3263</v>
      </c>
      <c r="G1037" s="181"/>
      <c r="H1037" s="182">
        <v>1</v>
      </c>
      <c r="I1037" s="182"/>
      <c r="J1037" s="182"/>
      <c r="K1037" s="183" t="s">
        <v>372</v>
      </c>
      <c r="L1037" s="182"/>
      <c r="M1037" s="182"/>
      <c r="N1037" s="182"/>
      <c r="O1037" s="183"/>
      <c r="P1037" s="183"/>
      <c r="Q1037" s="183"/>
      <c r="R1037" s="183"/>
      <c r="S1037" s="183"/>
      <c r="T1037" s="183"/>
      <c r="U1037" s="183"/>
      <c r="V1037" s="183"/>
      <c r="W1037" s="183"/>
      <c r="X1037" s="183"/>
      <c r="Y1037" s="183"/>
      <c r="Z1037" s="185" t="str">
        <f>IF(ISBLANK(O1037),"",IF(O1037="IB",8.63*200,IF(O1037="IR",16*100,IF(O1037="YT",20*100,IF(O1037="YT-XT",24*200,IF(O1037="TED",80*100))))))</f>
        <v/>
      </c>
      <c r="AA1037" s="185"/>
      <c r="AB1037" s="185"/>
      <c r="AC1037" s="185"/>
      <c r="AD1037" s="649"/>
      <c r="AE1037" s="182"/>
      <c r="AF1037" s="332"/>
      <c r="AG1037" s="182"/>
      <c r="AH1037" s="182"/>
      <c r="AI1037" s="182"/>
      <c r="AJ1037" s="640"/>
      <c r="AK1037" s="182"/>
      <c r="AL1037" s="496"/>
      <c r="AM1037" s="496"/>
      <c r="AN1037" s="626"/>
      <c r="AO1037" s="182"/>
      <c r="AP1037" s="182"/>
      <c r="AQ1037" s="332" t="str">
        <f>UPPER(RIGHT(Journal_Live[[#This Row],[DURATION ]]))</f>
        <v/>
      </c>
      <c r="AR1037" s="182"/>
      <c r="AS1037" s="189"/>
      <c r="AT1037" s="189"/>
      <c r="AU1037" s="187"/>
      <c r="AV1037" s="190"/>
      <c r="AW1037" s="191"/>
      <c r="AX1037" s="407"/>
      <c r="AY1037" s="407"/>
      <c r="AZ1037" s="407"/>
      <c r="BA1037" s="407"/>
      <c r="BB1037" s="407"/>
      <c r="BC1037" s="407"/>
      <c r="BD1037" s="407"/>
      <c r="BE1037" s="407"/>
      <c r="BF1037" s="422"/>
      <c r="BG1037" s="391">
        <f>SUM($AV$4:AV1037)</f>
        <v>4738.468624883315</v>
      </c>
      <c r="BH1037" s="392">
        <f>SUM($AU$134:AU1037)</f>
        <v>21949.242000000151</v>
      </c>
      <c r="BI1037" s="318">
        <f>SUMIFS($AU$134:AU1038,$Q$134:Q1038,"F")</f>
        <v>7718.5333333333328</v>
      </c>
      <c r="BJ1037" s="318">
        <f>SUMIFS($AU$134:AU1038,$Q$134:Q1038,"S")</f>
        <v>15140.441999999999</v>
      </c>
      <c r="BK1037" s="343">
        <f>SUMIFS($AU$134:AU1038,$P$134:P1038,"W")</f>
        <v>13587.741999999942</v>
      </c>
      <c r="BL1037" s="343">
        <f>SUMIFS($AU$134:AU1038,$P$134:P1038,"R")</f>
        <v>9060.6733333333359</v>
      </c>
      <c r="BM1037" s="343">
        <f>SUMIFS($AU$134:AU1038,$AQ$134:AQ1038,"M")</f>
        <v>2745.3999999999201</v>
      </c>
      <c r="BN1037" s="343">
        <f>SUMIFS($AU$134:AU1038,$AQ$134:AQ1038,"H")</f>
        <v>6782.1420000000153</v>
      </c>
      <c r="BO1037" s="343">
        <f>SUMIFS($AU$134:AU1038,$AQ$134:AQ1038,"D")</f>
        <v>6912.3466666667146</v>
      </c>
      <c r="BP1037" s="343">
        <f>SUMIFS($AU$134:AU1040,$AQ$134:AQ1040,"W")</f>
        <v>3762.7233333332406</v>
      </c>
      <c r="BQ1037" s="343">
        <f>SUMIFS($AU$134:AU1038,$Q$134:Q1038,"O")</f>
        <v>-804.93333333318515</v>
      </c>
      <c r="BR1037" s="343">
        <f>SUMIFS($AU$134:AU1038,$AA$134:AA1038,"*")</f>
        <v>20073.475333333263</v>
      </c>
      <c r="BS1037" s="343">
        <f>SUMIFS($AU$134:AU1038,$AB$134:AB1038,"*")</f>
        <v>5362.2666666668902</v>
      </c>
      <c r="BT1037" s="343">
        <f>SUMIFS($AU$134:AU1038,$AC$134:AC1038,"*")</f>
        <v>12023.683333333332</v>
      </c>
      <c r="BU1037" s="343">
        <f>SUMIFS($AU$134:AU1038,$AA$134:AA1038,"*",$AB$134:AB1038,"*")</f>
        <v>3538.0000000000045</v>
      </c>
      <c r="BV1037" s="343">
        <f>SUMIFS($AU$134:AU1038,$AA$134:AA1038,"*",$AC$134:AC1038,"*")</f>
        <v>10204.783333333333</v>
      </c>
      <c r="BW1037" s="343">
        <f>SUMIFS($AU$134:AU1038,$AB$134:AB1038,"*",$AC$134:AC1038,"*")</f>
        <v>6014.6</v>
      </c>
      <c r="BX1037" s="343">
        <f>SUMIFS($AU1038:AU$1388,$Q1038:Q$1388,"F")</f>
        <v>6722.1333333333323</v>
      </c>
      <c r="BY1037" s="343">
        <f>SUMIFS($AU1038:AU$1388,$Q1038:Q$1388,"S")</f>
        <v>5531.2000000000007</v>
      </c>
      <c r="BZ1037" s="343">
        <f>SUMIFS($AU1038:AU$1388,$Q1038:Q$1388,"O")</f>
        <v>-843.92466666661312</v>
      </c>
    </row>
    <row r="1038" spans="1:78" ht="15.75" customHeight="1">
      <c r="A1038" s="221" t="s">
        <v>3735</v>
      </c>
      <c r="B1038" s="177"/>
      <c r="C1038" s="178"/>
      <c r="D1038" s="178"/>
      <c r="E1038" s="227" t="s">
        <v>3815</v>
      </c>
      <c r="F1038" s="180"/>
      <c r="G1038" s="181"/>
      <c r="H1038" s="182">
        <v>1</v>
      </c>
      <c r="I1038" s="182"/>
      <c r="J1038" s="182"/>
      <c r="K1038" s="183" t="s">
        <v>372</v>
      </c>
      <c r="L1038" s="182"/>
      <c r="M1038" s="182"/>
      <c r="N1038" s="182"/>
      <c r="O1038" s="183"/>
      <c r="P1038" s="183"/>
      <c r="Q1038" s="183"/>
      <c r="R1038" s="183"/>
      <c r="S1038" s="183"/>
      <c r="T1038" s="183"/>
      <c r="U1038" s="183"/>
      <c r="V1038" s="183"/>
      <c r="W1038" s="183"/>
      <c r="X1038" s="183"/>
      <c r="Y1038" s="183"/>
      <c r="Z1038" s="185" t="str">
        <f>IF(ISBLANK(O1038),"",IF(O1038="IB",8.63*200,IF(O1038="IR",16*100,IF(O1038="YT",20*100,IF(O1038="YT-XT",24*200,IF(O1038="TED",80*100))))))</f>
        <v/>
      </c>
      <c r="AA1038" s="185"/>
      <c r="AB1038" s="185"/>
      <c r="AC1038" s="185"/>
      <c r="AD1038" s="649"/>
      <c r="AE1038" s="182"/>
      <c r="AF1038" s="332"/>
      <c r="AG1038" s="182"/>
      <c r="AH1038" s="182"/>
      <c r="AI1038" s="182"/>
      <c r="AJ1038" s="640"/>
      <c r="AK1038" s="182"/>
      <c r="AL1038" s="496"/>
      <c r="AM1038" s="496"/>
      <c r="AN1038" s="626"/>
      <c r="AO1038" s="182"/>
      <c r="AP1038" s="182"/>
      <c r="AQ1038" s="332" t="str">
        <f>UPPER(RIGHT(Journal_Live[[#This Row],[DURATION ]]))</f>
        <v/>
      </c>
      <c r="AR1038" s="182"/>
      <c r="AS1038" s="189"/>
      <c r="AT1038" s="189"/>
      <c r="AU1038" s="187"/>
      <c r="AV1038" s="190"/>
      <c r="AW1038" s="191"/>
      <c r="AX1038" s="407"/>
      <c r="AY1038" s="407"/>
      <c r="AZ1038" s="407"/>
      <c r="BA1038" s="407"/>
      <c r="BB1038" s="407"/>
      <c r="BC1038" s="407"/>
      <c r="BD1038" s="407"/>
      <c r="BE1038" s="407"/>
      <c r="BF1038" s="422"/>
      <c r="BG1038" s="391">
        <f>SUM($AV$4:AV1038)</f>
        <v>4738.468624883315</v>
      </c>
      <c r="BH1038" s="392">
        <f>SUM($AU$134:AU1038)</f>
        <v>21949.242000000151</v>
      </c>
      <c r="BI1038" s="318">
        <f>SUMIFS($AU$134:AU1039,$Q$134:Q1039,"F")</f>
        <v>7718.5333333333328</v>
      </c>
      <c r="BJ1038" s="318">
        <f>SUMIFS($AU$134:AU1039,$Q$134:Q1039,"S")</f>
        <v>15140.441999999999</v>
      </c>
      <c r="BK1038" s="343">
        <f>SUMIFS($AU$134:AU1039,$P$134:P1039,"W")</f>
        <v>13587.741999999942</v>
      </c>
      <c r="BL1038" s="343">
        <f>SUMIFS($AU$134:AU1039,$P$134:P1039,"R")</f>
        <v>9060.6733333333359</v>
      </c>
      <c r="BM1038" s="343">
        <f>SUMIFS($AU$134:AU1039,$AQ$134:AQ1039,"M")</f>
        <v>2745.3999999999201</v>
      </c>
      <c r="BN1038" s="343">
        <f>SUMIFS($AU$134:AU1039,$AQ$134:AQ1039,"H")</f>
        <v>6782.1420000000153</v>
      </c>
      <c r="BO1038" s="343">
        <f>SUMIFS($AU$134:AU1039,$AQ$134:AQ1039,"D")</f>
        <v>6912.3466666667146</v>
      </c>
      <c r="BP1038" s="343">
        <f>SUMIFS($AU$134:AU1041,$AQ$134:AQ1041,"W")</f>
        <v>3762.7233333332406</v>
      </c>
      <c r="BQ1038" s="343">
        <f>SUMIFS($AU$134:AU1039,$Q$134:Q1039,"O")</f>
        <v>-804.93333333318515</v>
      </c>
      <c r="BR1038" s="343">
        <f>SUMIFS($AU$134:AU1039,$AA$134:AA1039,"*")</f>
        <v>20073.475333333263</v>
      </c>
      <c r="BS1038" s="343">
        <f>SUMIFS($AU$134:AU1039,$AB$134:AB1039,"*")</f>
        <v>5362.2666666668902</v>
      </c>
      <c r="BT1038" s="343">
        <f>SUMIFS($AU$134:AU1039,$AC$134:AC1039,"*")</f>
        <v>12023.683333333332</v>
      </c>
      <c r="BU1038" s="343">
        <f>SUMIFS($AU$134:AU1039,$AA$134:AA1039,"*",$AB$134:AB1039,"*")</f>
        <v>3538.0000000000045</v>
      </c>
      <c r="BV1038" s="343">
        <f>SUMIFS($AU$134:AU1039,$AA$134:AA1039,"*",$AC$134:AC1039,"*")</f>
        <v>10204.783333333333</v>
      </c>
      <c r="BW1038" s="343">
        <f>SUMIFS($AU$134:AU1039,$AB$134:AB1039,"*",$AC$134:AC1039,"*")</f>
        <v>6014.6</v>
      </c>
      <c r="BX1038" s="343">
        <f>SUMIFS($AU1039:AU$1388,$Q1039:Q$1388,"F")</f>
        <v>6722.1333333333323</v>
      </c>
      <c r="BY1038" s="343">
        <f>SUMIFS($AU1039:AU$1388,$Q1039:Q$1388,"S")</f>
        <v>5531.2000000000007</v>
      </c>
      <c r="BZ1038" s="343">
        <f>SUMIFS($AU1039:AU$1388,$Q1039:Q$1388,"O")</f>
        <v>-843.92466666661312</v>
      </c>
    </row>
    <row r="1039" spans="1:78" ht="15.75" customHeight="1">
      <c r="A1039" s="221" t="s">
        <v>3735</v>
      </c>
      <c r="B1039" s="177"/>
      <c r="C1039" s="178"/>
      <c r="D1039" s="178"/>
      <c r="E1039" s="227" t="s">
        <v>3816</v>
      </c>
      <c r="F1039" s="180"/>
      <c r="G1039" s="181"/>
      <c r="H1039" s="182">
        <v>1</v>
      </c>
      <c r="I1039" s="182"/>
      <c r="J1039" s="182"/>
      <c r="K1039" s="183" t="s">
        <v>372</v>
      </c>
      <c r="L1039" s="182"/>
      <c r="M1039" s="182"/>
      <c r="N1039" s="182"/>
      <c r="O1039" s="183"/>
      <c r="P1039" s="183"/>
      <c r="Q1039" s="183"/>
      <c r="R1039" s="183"/>
      <c r="S1039" s="183"/>
      <c r="T1039" s="183"/>
      <c r="U1039" s="183"/>
      <c r="V1039" s="183"/>
      <c r="W1039" s="183"/>
      <c r="X1039" s="183"/>
      <c r="Y1039" s="183"/>
      <c r="Z1039" s="185" t="str">
        <f>IF(ISBLANK(O1039),"",IF(O1039="IB",8.63*200,IF(O1039="IR",16*100,IF(O1039="YT",20*100,IF(O1039="YT-XT",24*200,IF(O1039="TED",80*100))))))</f>
        <v/>
      </c>
      <c r="AA1039" s="185"/>
      <c r="AB1039" s="185"/>
      <c r="AC1039" s="185"/>
      <c r="AD1039" s="649"/>
      <c r="AE1039" s="182"/>
      <c r="AF1039" s="332"/>
      <c r="AG1039" s="182"/>
      <c r="AH1039" s="182"/>
      <c r="AI1039" s="182"/>
      <c r="AJ1039" s="640"/>
      <c r="AK1039" s="182"/>
      <c r="AL1039" s="496"/>
      <c r="AM1039" s="496"/>
      <c r="AN1039" s="626"/>
      <c r="AO1039" s="182"/>
      <c r="AP1039" s="182"/>
      <c r="AQ1039" s="332" t="str">
        <f>UPPER(RIGHT(Journal_Live[[#This Row],[DURATION ]]))</f>
        <v/>
      </c>
      <c r="AR1039" s="182"/>
      <c r="AS1039" s="189"/>
      <c r="AT1039" s="189"/>
      <c r="AU1039" s="187"/>
      <c r="AV1039" s="190"/>
      <c r="AW1039" s="191"/>
      <c r="AX1039" s="407"/>
      <c r="AY1039" s="407"/>
      <c r="AZ1039" s="407"/>
      <c r="BA1039" s="407"/>
      <c r="BB1039" s="407"/>
      <c r="BC1039" s="407"/>
      <c r="BD1039" s="407"/>
      <c r="BE1039" s="407"/>
      <c r="BF1039" s="422"/>
      <c r="BG1039" s="391">
        <f>SUM($AV$4:AV1039)</f>
        <v>4738.468624883315</v>
      </c>
      <c r="BH1039" s="392">
        <f>SUM($AU$134:AU1039)</f>
        <v>21949.242000000151</v>
      </c>
      <c r="BI1039" s="318">
        <f>SUMIFS($AU$134:AU1040,$Q$134:Q1040,"F")</f>
        <v>7718.5333333333328</v>
      </c>
      <c r="BJ1039" s="318">
        <f>SUMIFS($AU$134:AU1040,$Q$134:Q1040,"S")</f>
        <v>15140.441999999999</v>
      </c>
      <c r="BK1039" s="343">
        <f>SUMIFS($AU$134:AU1040,$P$134:P1040,"W")</f>
        <v>13587.741999999942</v>
      </c>
      <c r="BL1039" s="343">
        <f>SUMIFS($AU$134:AU1040,$P$134:P1040,"R")</f>
        <v>9060.6733333333359</v>
      </c>
      <c r="BM1039" s="343">
        <f>SUMIFS($AU$134:AU1040,$AQ$134:AQ1040,"M")</f>
        <v>2745.3999999999201</v>
      </c>
      <c r="BN1039" s="343">
        <f>SUMIFS($AU$134:AU1040,$AQ$134:AQ1040,"H")</f>
        <v>6782.1420000000153</v>
      </c>
      <c r="BO1039" s="343">
        <f>SUMIFS($AU$134:AU1040,$AQ$134:AQ1040,"D")</f>
        <v>6912.3466666667146</v>
      </c>
      <c r="BP1039" s="343">
        <f>SUMIFS($AU$134:AU1042,$AQ$134:AQ1042,"W")</f>
        <v>3762.7233333332406</v>
      </c>
      <c r="BQ1039" s="343">
        <f>SUMIFS($AU$134:AU1040,$Q$134:Q1040,"O")</f>
        <v>-804.93333333318515</v>
      </c>
      <c r="BR1039" s="343">
        <f>SUMIFS($AU$134:AU1040,$AA$134:AA1040,"*")</f>
        <v>20073.475333333263</v>
      </c>
      <c r="BS1039" s="343">
        <f>SUMIFS($AU$134:AU1040,$AB$134:AB1040,"*")</f>
        <v>5362.2666666668902</v>
      </c>
      <c r="BT1039" s="343">
        <f>SUMIFS($AU$134:AU1040,$AC$134:AC1040,"*")</f>
        <v>12023.683333333332</v>
      </c>
      <c r="BU1039" s="343">
        <f>SUMIFS($AU$134:AU1040,$AA$134:AA1040,"*",$AB$134:AB1040,"*")</f>
        <v>3538.0000000000045</v>
      </c>
      <c r="BV1039" s="343">
        <f>SUMIFS($AU$134:AU1040,$AA$134:AA1040,"*",$AC$134:AC1040,"*")</f>
        <v>10204.783333333333</v>
      </c>
      <c r="BW1039" s="343">
        <f>SUMIFS($AU$134:AU1040,$AB$134:AB1040,"*",$AC$134:AC1040,"*")</f>
        <v>6014.6</v>
      </c>
      <c r="BX1039" s="343">
        <f>SUMIFS($AU1040:AU$1388,$Q1040:Q$1388,"F")</f>
        <v>6722.1333333333323</v>
      </c>
      <c r="BY1039" s="343">
        <f>SUMIFS($AU1040:AU$1388,$Q1040:Q$1388,"S")</f>
        <v>5531.2000000000007</v>
      </c>
      <c r="BZ1039" s="343">
        <f>SUMIFS($AU1040:AU$1388,$Q1040:Q$1388,"O")</f>
        <v>-843.92466666661312</v>
      </c>
    </row>
    <row r="1040" spans="1:78" ht="15.75" customHeight="1">
      <c r="A1040" s="221" t="s">
        <v>3735</v>
      </c>
      <c r="B1040" s="177"/>
      <c r="C1040" s="178"/>
      <c r="D1040" s="178"/>
      <c r="E1040" s="227" t="s">
        <v>3817</v>
      </c>
      <c r="F1040" s="180"/>
      <c r="G1040" s="181"/>
      <c r="H1040" s="182"/>
      <c r="I1040" s="182"/>
      <c r="J1040" s="182"/>
      <c r="K1040" s="183"/>
      <c r="L1040" s="182"/>
      <c r="M1040" s="182"/>
      <c r="N1040" s="182"/>
      <c r="O1040" s="183"/>
      <c r="P1040" s="183"/>
      <c r="Q1040" s="183"/>
      <c r="R1040" s="183"/>
      <c r="S1040" s="183"/>
      <c r="T1040" s="183"/>
      <c r="U1040" s="183"/>
      <c r="V1040" s="183"/>
      <c r="W1040" s="183"/>
      <c r="X1040" s="183"/>
      <c r="Y1040" s="183"/>
      <c r="Z1040" s="185" t="str">
        <f>IF(ISBLANK(O1040),"",IF(O1040="IB",8.63*200,IF(O1040="IR",16*100,IF(O1040="YT",20*100,IF(O1040="YT-XT",24*200,IF(O1040="TED",80*100))))))</f>
        <v/>
      </c>
      <c r="AA1040" s="185"/>
      <c r="AB1040" s="185"/>
      <c r="AC1040" s="185"/>
      <c r="AD1040" s="649"/>
      <c r="AE1040" s="182"/>
      <c r="AF1040" s="332"/>
      <c r="AG1040" s="182"/>
      <c r="AH1040" s="182"/>
      <c r="AI1040" s="182"/>
      <c r="AJ1040" s="640"/>
      <c r="AK1040" s="182"/>
      <c r="AL1040" s="496"/>
      <c r="AM1040" s="496"/>
      <c r="AN1040" s="626"/>
      <c r="AO1040" s="182"/>
      <c r="AP1040" s="182"/>
      <c r="AQ1040" s="332" t="str">
        <f>UPPER(RIGHT(Journal_Live[[#This Row],[DURATION ]]))</f>
        <v/>
      </c>
      <c r="AR1040" s="182"/>
      <c r="AS1040" s="189"/>
      <c r="AT1040" s="189"/>
      <c r="AU1040" s="187"/>
      <c r="AV1040" s="190"/>
      <c r="AW1040" s="191"/>
      <c r="AX1040" s="407"/>
      <c r="AY1040" s="407"/>
      <c r="AZ1040" s="407"/>
      <c r="BA1040" s="407"/>
      <c r="BB1040" s="407"/>
      <c r="BC1040" s="407"/>
      <c r="BD1040" s="407"/>
      <c r="BE1040" s="407"/>
      <c r="BF1040" s="422"/>
      <c r="BG1040" s="391">
        <f>SUM($AV$4:AV1040)</f>
        <v>4738.468624883315</v>
      </c>
      <c r="BH1040" s="392">
        <f>SUM($AU$134:AU1040)</f>
        <v>21949.242000000151</v>
      </c>
      <c r="BI1040" s="318">
        <f>SUMIFS($AU$134:AU1041,$Q$134:Q1041,"F")</f>
        <v>7718.5333333333328</v>
      </c>
      <c r="BJ1040" s="318">
        <f>SUMIFS($AU$134:AU1041,$Q$134:Q1041,"S")</f>
        <v>15140.441999999999</v>
      </c>
      <c r="BK1040" s="343">
        <f>SUMIFS($AU$134:AU1041,$P$134:P1041,"W")</f>
        <v>13587.741999999942</v>
      </c>
      <c r="BL1040" s="343">
        <f>SUMIFS($AU$134:AU1041,$P$134:P1041,"R")</f>
        <v>9060.6733333333359</v>
      </c>
      <c r="BM1040" s="343">
        <f>SUMIFS($AU$134:AU1041,$AQ$134:AQ1041,"M")</f>
        <v>2745.3999999999201</v>
      </c>
      <c r="BN1040" s="343">
        <f>SUMIFS($AU$134:AU1041,$AQ$134:AQ1041,"H")</f>
        <v>6782.1420000000153</v>
      </c>
      <c r="BO1040" s="343">
        <f>SUMIFS($AU$134:AU1041,$AQ$134:AQ1041,"D")</f>
        <v>6912.3466666667146</v>
      </c>
      <c r="BP1040" s="343">
        <f>SUMIFS($AU$134:AU1043,$AQ$134:AQ1043,"W")</f>
        <v>3762.7233333332406</v>
      </c>
      <c r="BQ1040" s="343">
        <f>SUMIFS($AU$134:AU1041,$Q$134:Q1041,"O")</f>
        <v>-804.93333333318515</v>
      </c>
      <c r="BR1040" s="343">
        <f>SUMIFS($AU$134:AU1041,$AA$134:AA1041,"*")</f>
        <v>20073.475333333263</v>
      </c>
      <c r="BS1040" s="343">
        <f>SUMIFS($AU$134:AU1041,$AB$134:AB1041,"*")</f>
        <v>5362.2666666668902</v>
      </c>
      <c r="BT1040" s="343">
        <f>SUMIFS($AU$134:AU1041,$AC$134:AC1041,"*")</f>
        <v>12023.683333333332</v>
      </c>
      <c r="BU1040" s="343">
        <f>SUMIFS($AU$134:AU1041,$AA$134:AA1041,"*",$AB$134:AB1041,"*")</f>
        <v>3538.0000000000045</v>
      </c>
      <c r="BV1040" s="343">
        <f>SUMIFS($AU$134:AU1041,$AA$134:AA1041,"*",$AC$134:AC1041,"*")</f>
        <v>10204.783333333333</v>
      </c>
      <c r="BW1040" s="343">
        <f>SUMIFS($AU$134:AU1041,$AB$134:AB1041,"*",$AC$134:AC1041,"*")</f>
        <v>6014.6</v>
      </c>
      <c r="BX1040" s="343">
        <f>SUMIFS($AU1041:AU$1388,$Q1041:Q$1388,"F")</f>
        <v>6722.1333333333323</v>
      </c>
      <c r="BY1040" s="343">
        <f>SUMIFS($AU1041:AU$1388,$Q1041:Q$1388,"S")</f>
        <v>5531.2000000000007</v>
      </c>
      <c r="BZ1040" s="343">
        <f>SUMIFS($AU1041:AU$1388,$Q1041:Q$1388,"O")</f>
        <v>-843.92466666661312</v>
      </c>
    </row>
    <row r="1041" spans="1:78" ht="15.75" customHeight="1">
      <c r="A1041" s="221" t="s">
        <v>3735</v>
      </c>
      <c r="B1041" s="200"/>
      <c r="C1041" s="178"/>
      <c r="D1041" s="178"/>
      <c r="E1041" s="227"/>
      <c r="F1041" s="180"/>
      <c r="G1041" s="181"/>
      <c r="H1041" s="182"/>
      <c r="I1041" s="182"/>
      <c r="J1041" s="182"/>
      <c r="K1041" s="183"/>
      <c r="L1041" s="182"/>
      <c r="M1041" s="182"/>
      <c r="N1041" s="182"/>
      <c r="O1041" s="183"/>
      <c r="P1041" s="183"/>
      <c r="Q1041" s="183"/>
      <c r="R1041" s="183"/>
      <c r="S1041" s="183"/>
      <c r="T1041" s="183"/>
      <c r="U1041" s="183"/>
      <c r="V1041" s="183"/>
      <c r="W1041" s="183"/>
      <c r="X1041" s="183"/>
      <c r="Y1041" s="183"/>
      <c r="Z1041" s="183"/>
      <c r="AA1041" s="185"/>
      <c r="AB1041" s="185"/>
      <c r="AC1041" s="185"/>
      <c r="AD1041" s="649"/>
      <c r="AE1041" s="182"/>
      <c r="AF1041" s="332"/>
      <c r="AG1041" s="182"/>
      <c r="AH1041" s="182"/>
      <c r="AI1041" s="182"/>
      <c r="AJ1041" s="640"/>
      <c r="AK1041" s="182"/>
      <c r="AL1041" s="496"/>
      <c r="AM1041" s="496"/>
      <c r="AN1041" s="626"/>
      <c r="AO1041" s="182"/>
      <c r="AP1041" s="182"/>
      <c r="AQ1041" s="332" t="str">
        <f>UPPER(RIGHT(Journal_Live[[#This Row],[DURATION ]]))</f>
        <v/>
      </c>
      <c r="AR1041" s="182"/>
      <c r="AS1041" s="189"/>
      <c r="AT1041" s="189"/>
      <c r="AU1041" s="187"/>
      <c r="AV1041" s="190"/>
      <c r="AW1041" s="191"/>
      <c r="AX1041" s="407" t="s">
        <v>3818</v>
      </c>
      <c r="AY1041" s="407" t="s">
        <v>3819</v>
      </c>
      <c r="AZ1041" s="407" t="s">
        <v>3820</v>
      </c>
      <c r="BA1041" s="407" t="s">
        <v>3821</v>
      </c>
      <c r="BB1041" s="407" t="s">
        <v>3822</v>
      </c>
      <c r="BC1041" s="407" t="s">
        <v>3823</v>
      </c>
      <c r="BD1041" s="407" t="s">
        <v>3824</v>
      </c>
      <c r="BE1041" s="407"/>
      <c r="BF1041" s="422"/>
      <c r="BG1041" s="391"/>
      <c r="BH1041" s="392">
        <f>SUM($AU$134:AU1041)</f>
        <v>21949.242000000151</v>
      </c>
      <c r="BI1041" s="318">
        <f>SUMIFS($AU$134:AU1042,$Q$134:Q1042,"F")</f>
        <v>7718.5333333333328</v>
      </c>
      <c r="BJ1041" s="318">
        <f>SUMIFS($AU$134:AU1042,$Q$134:Q1042,"S")</f>
        <v>14500.441999999999</v>
      </c>
      <c r="BK1041" s="343">
        <f>SUMIFS($AU$134:AU1042,$P$134:P1042,"W")</f>
        <v>12947.741999999942</v>
      </c>
      <c r="BL1041" s="343">
        <f>SUMIFS($AU$134:AU1042,$P$134:P1042,"R")</f>
        <v>9060.6733333333359</v>
      </c>
      <c r="BM1041" s="343">
        <f>SUMIFS($AU$134:AU1042,$AQ$134:AQ1042,"M")</f>
        <v>2745.3999999999201</v>
      </c>
      <c r="BN1041" s="343">
        <f>SUMIFS($AU$134:AU1042,$AQ$134:AQ1042,"H")</f>
        <v>6782.1420000000153</v>
      </c>
      <c r="BO1041" s="343">
        <f>SUMIFS($AU$134:AU1042,$AQ$134:AQ1042,"D")</f>
        <v>6272.3466666667146</v>
      </c>
      <c r="BP1041" s="343">
        <f>SUMIFS($AU$134:AU1044,$AQ$134:AQ1044,"W")</f>
        <v>3762.7233333332406</v>
      </c>
      <c r="BQ1041" s="343">
        <f>SUMIFS($AU$134:AU1042,$Q$134:Q1042,"O")</f>
        <v>-804.93333333318515</v>
      </c>
      <c r="BR1041" s="343">
        <f>SUMIFS($AU$134:AU1042,$AA$134:AA1042,"*")</f>
        <v>19433.475333333263</v>
      </c>
      <c r="BS1041" s="343">
        <f>SUMIFS($AU$134:AU1042,$AB$134:AB1042,"*")</f>
        <v>5362.2666666668902</v>
      </c>
      <c r="BT1041" s="343">
        <f>SUMIFS($AU$134:AU1042,$AC$134:AC1042,"*")</f>
        <v>12023.683333333332</v>
      </c>
      <c r="BU1041" s="343">
        <f>SUMIFS($AU$134:AU1042,$AA$134:AA1042,"*",$AB$134:AB1042,"*")</f>
        <v>3538.0000000000045</v>
      </c>
      <c r="BV1041" s="343">
        <f>SUMIFS($AU$134:AU1042,$AA$134:AA1042,"*",$AC$134:AC1042,"*")</f>
        <v>10204.783333333333</v>
      </c>
      <c r="BW1041" s="343">
        <f>SUMIFS($AU$134:AU1042,$AB$134:AB1042,"*",$AC$134:AC1042,"*")</f>
        <v>6014.6</v>
      </c>
      <c r="BX1041" s="343">
        <f>SUMIFS($AU1042:AU$1388,$Q1042:Q$1388,"F")</f>
        <v>6722.1333333333323</v>
      </c>
      <c r="BY1041" s="343">
        <f>SUMIFS($AU1042:AU$1388,$Q1042:Q$1388,"S")</f>
        <v>5531.2000000000007</v>
      </c>
      <c r="BZ1041" s="343">
        <f>SUMIFS($AU1042:AU$1388,$Q1042:Q$1388,"O")</f>
        <v>-843.92466666661312</v>
      </c>
    </row>
    <row r="1042" spans="1:78" ht="15.75" customHeight="1">
      <c r="A1042" s="221" t="s">
        <v>3735</v>
      </c>
      <c r="B1042" s="177">
        <v>45185</v>
      </c>
      <c r="C1042" s="178" t="s">
        <v>3275</v>
      </c>
      <c r="D1042" s="178" t="s">
        <v>1676</v>
      </c>
      <c r="E1042" s="227"/>
      <c r="F1042" s="180"/>
      <c r="G1042" s="281" t="s">
        <v>2145</v>
      </c>
      <c r="H1042" s="182"/>
      <c r="I1042" s="182"/>
      <c r="J1042" s="182"/>
      <c r="K1042" s="183"/>
      <c r="L1042" s="182">
        <v>1</v>
      </c>
      <c r="M1042" s="182"/>
      <c r="N1042" s="182"/>
      <c r="O1042" s="183" t="s">
        <v>95</v>
      </c>
      <c r="P1042" s="183" t="s">
        <v>96</v>
      </c>
      <c r="Q1042" s="183" t="s">
        <v>97</v>
      </c>
      <c r="R1042" s="183">
        <v>7</v>
      </c>
      <c r="S1042" s="183">
        <v>0</v>
      </c>
      <c r="T1042" s="183">
        <v>7</v>
      </c>
      <c r="U1042" s="183" t="s">
        <v>97</v>
      </c>
      <c r="V1042" s="183"/>
      <c r="W1042" s="183"/>
      <c r="X1042" s="183"/>
      <c r="Y1042" s="184">
        <f>IF(ISBLANK(O1042),"",(IF(O1042=UPPER("IB"),0.005,0.01)))</f>
        <v>0.01</v>
      </c>
      <c r="Z1042" s="185">
        <f>IF(ISBLANK(O1042),"",IF(O1042="IB",8.63*200,IF(O1042="IR",16*100,IF(O1042="YT",20*100,IF(O1042="YT-XT",24*200,IF(O1042="TED",80*100))))))</f>
        <v>1600</v>
      </c>
      <c r="AA1042" s="185" t="s">
        <v>3807</v>
      </c>
      <c r="AB1042" s="185"/>
      <c r="AC1042" s="185"/>
      <c r="AD1042" s="649">
        <v>7.0000000000000007E-2</v>
      </c>
      <c r="AE1042" s="182"/>
      <c r="AF1042" s="332"/>
      <c r="AG1042" s="182" t="s">
        <v>3825</v>
      </c>
      <c r="AH1042" s="182"/>
      <c r="AI1042" s="182"/>
      <c r="AJ1042" s="640"/>
      <c r="AK1042" s="182"/>
      <c r="AL1042" s="496">
        <f t="shared" ref="AL1042" si="317">-0.03*Z1042</f>
        <v>-48</v>
      </c>
      <c r="AM1042" s="496">
        <f>AL1042*(R1042-S1042)</f>
        <v>-336</v>
      </c>
      <c r="AN1042" s="626"/>
      <c r="AO1042" s="182"/>
      <c r="AP1042" s="182" t="s">
        <v>864</v>
      </c>
      <c r="AQ1042" s="332" t="str">
        <f>UPPER(RIGHT(Journal_Live[[#This Row],[DURATION ]]))</f>
        <v>D</v>
      </c>
      <c r="AR1042" s="182" t="s">
        <v>3826</v>
      </c>
      <c r="AS1042" s="189">
        <f>(2*0.12+5*0.13)/7</f>
        <v>0.12714285714285714</v>
      </c>
      <c r="AT1042" s="189">
        <f>IF(ISBLANK(AS1042),,IF(U1042="S",AD1042-AS1042,AS1042-AD1042))</f>
        <v>-5.7142857142857134E-2</v>
      </c>
      <c r="AU1042" s="187">
        <f>AV1042*R1042</f>
        <v>-639.99999999999989</v>
      </c>
      <c r="AV1042" s="190">
        <f>IF(ISBLANK(AS1042),,(AT1042*Z1042))</f>
        <v>-91.428571428571416</v>
      </c>
      <c r="AW1042" s="191" t="s">
        <v>229</v>
      </c>
      <c r="AX1042" s="407" t="s">
        <v>3827</v>
      </c>
      <c r="AY1042" s="407" t="s">
        <v>3828</v>
      </c>
      <c r="AZ1042" s="407"/>
      <c r="BA1042" s="407"/>
      <c r="BB1042" s="407"/>
      <c r="BC1042" s="407"/>
      <c r="BD1042" s="407"/>
      <c r="BE1042" s="407"/>
      <c r="BF1042" s="422"/>
      <c r="BG1042" s="391">
        <f>SUM($AV$4:AV1042)</f>
        <v>4647.0400534547434</v>
      </c>
      <c r="BH1042" s="392">
        <f>SUM($AU$134:AU1042)</f>
        <v>21309.242000000151</v>
      </c>
      <c r="BI1042" s="318">
        <f>SUMIFS($AU$134:AU1043,$Q$134:Q1043,"F")</f>
        <v>7718.5333333333328</v>
      </c>
      <c r="BJ1042" s="318">
        <f>SUMIFS($AU$134:AU1043,$Q$134:Q1043,"S")</f>
        <v>14596.441999999999</v>
      </c>
      <c r="BK1042" s="343">
        <f>SUMIFS($AU$134:AU1043,$P$134:P1043,"W")</f>
        <v>13043.741999999942</v>
      </c>
      <c r="BL1042" s="343">
        <f>SUMIFS($AU$134:AU1043,$P$134:P1043,"R")</f>
        <v>9060.6733333333359</v>
      </c>
      <c r="BM1042" s="343">
        <f>SUMIFS($AU$134:AU1043,$AQ$134:AQ1043,"M")</f>
        <v>2745.3999999999201</v>
      </c>
      <c r="BN1042" s="343">
        <f>SUMIFS($AU$134:AU1043,$AQ$134:AQ1043,"H")</f>
        <v>6782.1420000000153</v>
      </c>
      <c r="BO1042" s="343">
        <f>SUMIFS($AU$134:AU1043,$AQ$134:AQ1043,"D")</f>
        <v>6368.3466666667146</v>
      </c>
      <c r="BP1042" s="343">
        <f>SUMIFS($AU$134:AU1045,$AQ$134:AQ1045,"W")</f>
        <v>3762.7233333332406</v>
      </c>
      <c r="BQ1042" s="343">
        <f>SUMIFS($AU$134:AU1043,$Q$134:Q1043,"O")</f>
        <v>-804.93333333318515</v>
      </c>
      <c r="BR1042" s="343">
        <f>SUMIFS($AU$134:AU1043,$AA$134:AA1043,"*")</f>
        <v>19529.475333333263</v>
      </c>
      <c r="BS1042" s="343">
        <f>SUMIFS($AU$134:AU1043,$AB$134:AB1043,"*")</f>
        <v>5362.2666666668902</v>
      </c>
      <c r="BT1042" s="343">
        <f>SUMIFS($AU$134:AU1043,$AC$134:AC1043,"*")</f>
        <v>12023.683333333332</v>
      </c>
      <c r="BU1042" s="343">
        <f>SUMIFS($AU$134:AU1043,$AA$134:AA1043,"*",$AB$134:AB1043,"*")</f>
        <v>3538.0000000000045</v>
      </c>
      <c r="BV1042" s="343">
        <f>SUMIFS($AU$134:AU1043,$AA$134:AA1043,"*",$AC$134:AC1043,"*")</f>
        <v>10204.783333333333</v>
      </c>
      <c r="BW1042" s="343">
        <f>SUMIFS($AU$134:AU1043,$AB$134:AB1043,"*",$AC$134:AC1043,"*")</f>
        <v>6014.6</v>
      </c>
      <c r="BX1042" s="343">
        <f>SUMIFS($AU1043:AU$1388,$Q1043:Q$1388,"F")</f>
        <v>6722.1333333333323</v>
      </c>
      <c r="BY1042" s="343">
        <f>SUMIFS($AU1043:AU$1388,$Q1043:Q$1388,"S")</f>
        <v>6171.2000000000007</v>
      </c>
      <c r="BZ1042" s="343">
        <f>SUMIFS($AU1043:AU$1388,$Q1043:Q$1388,"O")</f>
        <v>-843.92466666661312</v>
      </c>
    </row>
    <row r="1043" spans="1:78" ht="15.75" customHeight="1">
      <c r="A1043" s="221" t="s">
        <v>3735</v>
      </c>
      <c r="B1043" s="177">
        <v>45187</v>
      </c>
      <c r="C1043" s="178" t="s">
        <v>2126</v>
      </c>
      <c r="D1043" s="178" t="s">
        <v>132</v>
      </c>
      <c r="E1043" s="227"/>
      <c r="F1043" s="180"/>
      <c r="G1043" s="281" t="s">
        <v>3829</v>
      </c>
      <c r="H1043" s="182"/>
      <c r="I1043" s="182"/>
      <c r="J1043" s="182"/>
      <c r="K1043" s="183"/>
      <c r="L1043" s="182">
        <v>1</v>
      </c>
      <c r="M1043" s="182"/>
      <c r="N1043" s="182"/>
      <c r="O1043" s="183" t="s">
        <v>95</v>
      </c>
      <c r="P1043" s="183" t="s">
        <v>96</v>
      </c>
      <c r="Q1043" s="183" t="s">
        <v>97</v>
      </c>
      <c r="R1043" s="183">
        <v>6</v>
      </c>
      <c r="S1043" s="183">
        <v>0</v>
      </c>
      <c r="T1043" s="183">
        <v>6</v>
      </c>
      <c r="U1043" s="183" t="s">
        <v>97</v>
      </c>
      <c r="V1043" s="183"/>
      <c r="W1043" s="183"/>
      <c r="X1043" s="183"/>
      <c r="Y1043" s="184">
        <f>IF(ISBLANK(O1043),"",(IF(O1043=UPPER("IB"),0.005,0.01)))</f>
        <v>0.01</v>
      </c>
      <c r="Z1043" s="185">
        <f>IF(ISBLANK(O1043),"",IF(O1043="IB",8.63*200,IF(O1043="IR",16*100,IF(O1043="YT",20*100,IF(O1043="YT-XT",24*200,IF(O1043="TED",80*100))))))</f>
        <v>1600</v>
      </c>
      <c r="AA1043" s="185" t="s">
        <v>99</v>
      </c>
      <c r="AB1043" s="185"/>
      <c r="AC1043" s="185"/>
      <c r="AD1043" s="649">
        <v>0.09</v>
      </c>
      <c r="AE1043" s="182"/>
      <c r="AF1043" s="332"/>
      <c r="AG1043" s="182"/>
      <c r="AH1043" s="182"/>
      <c r="AI1043" s="182"/>
      <c r="AJ1043" s="640" t="s">
        <v>3830</v>
      </c>
      <c r="AK1043" s="182"/>
      <c r="AL1043" s="496">
        <f>-0.04*Z1043</f>
        <v>-64</v>
      </c>
      <c r="AM1043" s="496">
        <f>AL1043*(R1043-S1043)</f>
        <v>-384</v>
      </c>
      <c r="AN1043" s="626"/>
      <c r="AO1043" s="182"/>
      <c r="AP1043" s="182" t="s">
        <v>804</v>
      </c>
      <c r="AQ1043" s="332" t="str">
        <f>UPPER(RIGHT(Journal_Live[[#This Row],[DURATION ]]))</f>
        <v>D</v>
      </c>
      <c r="AR1043" s="182" t="s">
        <v>3831</v>
      </c>
      <c r="AS1043" s="189">
        <v>0.08</v>
      </c>
      <c r="AT1043" s="189">
        <f>IF(ISBLANK(AS1043),,IF(U1043="S",AD1043-AS1043,AS1043-AD1043))</f>
        <v>9.999999999999995E-3</v>
      </c>
      <c r="AU1043" s="187">
        <f>AV1043*R1043</f>
        <v>95.999999999999957</v>
      </c>
      <c r="AV1043" s="190">
        <f>IF(ISBLANK(AS1043),,(AT1043*Z1043))</f>
        <v>15.999999999999993</v>
      </c>
      <c r="AW1043" s="191" t="s">
        <v>96</v>
      </c>
      <c r="AX1043" s="407"/>
      <c r="AY1043" s="407"/>
      <c r="AZ1043" s="407"/>
      <c r="BA1043" s="407"/>
      <c r="BB1043" s="407"/>
      <c r="BC1043" s="407"/>
      <c r="BD1043" s="407"/>
      <c r="BE1043" s="407"/>
      <c r="BF1043" s="422"/>
      <c r="BG1043" s="391">
        <f>SUM($AV$4:AV1043)</f>
        <v>4663.0400534547434</v>
      </c>
      <c r="BH1043" s="392">
        <f>SUM($AU$134:AU1043)</f>
        <v>21405.242000000151</v>
      </c>
      <c r="BI1043" s="318">
        <f>SUMIFS($AU$134:AU1044,$Q$134:Q1044,"F")</f>
        <v>7718.5333333333328</v>
      </c>
      <c r="BJ1043" s="318">
        <f>SUMIFS($AU$134:AU1044,$Q$134:Q1044,"S")</f>
        <v>14756.441999999999</v>
      </c>
      <c r="BK1043" s="343">
        <f>SUMIFS($AU$134:AU1044,$P$134:P1044,"W")</f>
        <v>13203.741999999942</v>
      </c>
      <c r="BL1043" s="343">
        <f>SUMIFS($AU$134:AU1044,$P$134:P1044,"R")</f>
        <v>9060.6733333333359</v>
      </c>
      <c r="BM1043" s="343">
        <f>SUMIFS($AU$134:AU1044,$AQ$134:AQ1044,"M")</f>
        <v>2745.3999999999201</v>
      </c>
      <c r="BN1043" s="343">
        <f>SUMIFS($AU$134:AU1044,$AQ$134:AQ1044,"H")</f>
        <v>6782.1420000000153</v>
      </c>
      <c r="BO1043" s="343">
        <f>SUMIFS($AU$134:AU1044,$AQ$134:AQ1044,"D")</f>
        <v>6528.3466666667146</v>
      </c>
      <c r="BP1043" s="343">
        <f>SUMIFS($AU$134:AU1046,$AQ$134:AQ1046,"W")</f>
        <v>3826.7233333332406</v>
      </c>
      <c r="BQ1043" s="343">
        <f>SUMIFS($AU$134:AU1044,$Q$134:Q1044,"O")</f>
        <v>-804.93333333318515</v>
      </c>
      <c r="BR1043" s="343">
        <f>SUMIFS($AU$134:AU1044,$AA$134:AA1044,"*")</f>
        <v>19689.475333333263</v>
      </c>
      <c r="BS1043" s="343">
        <f>SUMIFS($AU$134:AU1044,$AB$134:AB1044,"*")</f>
        <v>5362.2666666668902</v>
      </c>
      <c r="BT1043" s="343">
        <f>SUMIFS($AU$134:AU1044,$AC$134:AC1044,"*")</f>
        <v>12023.683333333332</v>
      </c>
      <c r="BU1043" s="343">
        <f>SUMIFS($AU$134:AU1044,$AA$134:AA1044,"*",$AB$134:AB1044,"*")</f>
        <v>3538.0000000000045</v>
      </c>
      <c r="BV1043" s="343">
        <f>SUMIFS($AU$134:AU1044,$AA$134:AA1044,"*",$AC$134:AC1044,"*")</f>
        <v>10204.783333333333</v>
      </c>
      <c r="BW1043" s="343">
        <f>SUMIFS($AU$134:AU1044,$AB$134:AB1044,"*",$AC$134:AC1044,"*")</f>
        <v>6014.6</v>
      </c>
      <c r="BX1043" s="343">
        <f>SUMIFS($AU1044:AU$1388,$Q1044:Q$1388,"F")</f>
        <v>6722.1333333333323</v>
      </c>
      <c r="BY1043" s="343">
        <f>SUMIFS($AU1044:AU$1388,$Q1044:Q$1388,"S")</f>
        <v>6075.2000000000007</v>
      </c>
      <c r="BZ1043" s="343">
        <f>SUMIFS($AU1044:AU$1388,$Q1044:Q$1388,"O")</f>
        <v>-843.92466666661312</v>
      </c>
    </row>
    <row r="1044" spans="1:78" ht="15.75" customHeight="1">
      <c r="A1044" s="221" t="s">
        <v>3735</v>
      </c>
      <c r="B1044" s="177">
        <v>45187</v>
      </c>
      <c r="C1044" s="178" t="s">
        <v>3832</v>
      </c>
      <c r="D1044" s="178" t="s">
        <v>132</v>
      </c>
      <c r="E1044" s="227"/>
      <c r="F1044" s="180"/>
      <c r="G1044" s="281" t="s">
        <v>2016</v>
      </c>
      <c r="H1044" s="182"/>
      <c r="I1044" s="182"/>
      <c r="J1044" s="182"/>
      <c r="K1044" s="183"/>
      <c r="L1044" s="182">
        <v>1</v>
      </c>
      <c r="M1044" s="182"/>
      <c r="N1044" s="182"/>
      <c r="O1044" s="183" t="s">
        <v>95</v>
      </c>
      <c r="P1044" s="183" t="s">
        <v>96</v>
      </c>
      <c r="Q1044" s="183" t="s">
        <v>97</v>
      </c>
      <c r="R1044" s="183">
        <v>10</v>
      </c>
      <c r="S1044" s="183">
        <v>0</v>
      </c>
      <c r="T1044" s="183">
        <v>10</v>
      </c>
      <c r="U1044" s="183" t="s">
        <v>97</v>
      </c>
      <c r="V1044" s="183"/>
      <c r="W1044" s="183"/>
      <c r="X1044" s="183"/>
      <c r="Y1044" s="184">
        <f>IF(ISBLANK(O1044),"",(IF(O1044=UPPER("IB"),0.005,0.01)))</f>
        <v>0.01</v>
      </c>
      <c r="Z1044" s="185">
        <f>IF(ISBLANK(O1044),"",IF(O1044="IB",8.63*200,IF(O1044="IR",16*100,IF(O1044="YT",20*100,IF(O1044="YT-XT",24*200,IF(O1044="TED",80*100))))))</f>
        <v>1600</v>
      </c>
      <c r="AA1044" s="185" t="s">
        <v>99</v>
      </c>
      <c r="AB1044" s="185"/>
      <c r="AC1044" s="185"/>
      <c r="AD1044" s="649">
        <v>-0.1</v>
      </c>
      <c r="AE1044" s="182"/>
      <c r="AF1044" s="332"/>
      <c r="AG1044" s="182"/>
      <c r="AH1044" s="182"/>
      <c r="AI1044" s="182"/>
      <c r="AJ1044" s="640"/>
      <c r="AK1044" s="182"/>
      <c r="AL1044" s="496">
        <f>-0.03*Z1044</f>
        <v>-48</v>
      </c>
      <c r="AM1044" s="496">
        <f>AL1044*(R1044-S1044)</f>
        <v>-480</v>
      </c>
      <c r="AN1044" s="626"/>
      <c r="AO1044" s="182"/>
      <c r="AP1044" s="182" t="s">
        <v>804</v>
      </c>
      <c r="AQ1044" s="332" t="str">
        <f>UPPER(RIGHT(Journal_Live[[#This Row],[DURATION ]]))</f>
        <v>D</v>
      </c>
      <c r="AR1044" s="182" t="s">
        <v>3833</v>
      </c>
      <c r="AS1044" s="189">
        <v>-0.11</v>
      </c>
      <c r="AT1044" s="189">
        <f>IF(ISBLANK(AS1044),,IF(U1044="S",AD1044-AS1044,AS1044-AD1044))</f>
        <v>9.999999999999995E-3</v>
      </c>
      <c r="AU1044" s="187">
        <f>AV1044*R1044</f>
        <v>159.99999999999994</v>
      </c>
      <c r="AV1044" s="190">
        <f>IF(ISBLANK(AS1044),,(AT1044*Z1044))</f>
        <v>15.999999999999993</v>
      </c>
      <c r="AW1044" s="191" t="s">
        <v>96</v>
      </c>
      <c r="AX1044" s="407"/>
      <c r="AY1044" s="407"/>
      <c r="AZ1044" s="407"/>
      <c r="BA1044" s="407"/>
      <c r="BB1044" s="407"/>
      <c r="BC1044" s="407"/>
      <c r="BD1044" s="407"/>
      <c r="BE1044" s="407"/>
      <c r="BF1044" s="422"/>
      <c r="BG1044" s="391">
        <f>SUM($AV$4:AV1044)</f>
        <v>4679.0400534547434</v>
      </c>
      <c r="BH1044" s="392">
        <f>SUM($AU$134:AU1044)</f>
        <v>21565.242000000151</v>
      </c>
      <c r="BI1044" s="318">
        <f>SUMIFS($AU$134:AU1045,$Q$134:Q1045,"F")</f>
        <v>6806.5333333333328</v>
      </c>
      <c r="BJ1044" s="318">
        <f>SUMIFS($AU$134:AU1045,$Q$134:Q1045,"S")</f>
        <v>14756.441999999999</v>
      </c>
      <c r="BK1044" s="343">
        <f>SUMIFS($AU$134:AU1045,$P$134:P1045,"W")</f>
        <v>12291.741999999942</v>
      </c>
      <c r="BL1044" s="343">
        <f>SUMIFS($AU$134:AU1045,$P$134:P1045,"R")</f>
        <v>9060.6733333333359</v>
      </c>
      <c r="BM1044" s="343">
        <f>SUMIFS($AU$134:AU1045,$AQ$134:AQ1045,"M")</f>
        <v>2745.3999999999201</v>
      </c>
      <c r="BN1044" s="343">
        <f>SUMIFS($AU$134:AU1045,$AQ$134:AQ1045,"H")</f>
        <v>6782.1420000000153</v>
      </c>
      <c r="BO1044" s="343">
        <f>SUMIFS($AU$134:AU1045,$AQ$134:AQ1045,"D")</f>
        <v>5616.3466666667146</v>
      </c>
      <c r="BP1044" s="343">
        <f>SUMIFS($AU$134:AU1047,$AQ$134:AQ1047,"W")</f>
        <v>3826.7233333332406</v>
      </c>
      <c r="BQ1044" s="343">
        <f>SUMIFS($AU$134:AU1045,$Q$134:Q1045,"O")</f>
        <v>-804.93333333318515</v>
      </c>
      <c r="BR1044" s="343">
        <f>SUMIFS($AU$134:AU1045,$AA$134:AA1045,"*")</f>
        <v>18777.475333333263</v>
      </c>
      <c r="BS1044" s="343">
        <f>SUMIFS($AU$134:AU1045,$AB$134:AB1045,"*")</f>
        <v>4450.2666666668902</v>
      </c>
      <c r="BT1044" s="343">
        <f>SUMIFS($AU$134:AU1045,$AC$134:AC1045,"*")</f>
        <v>12023.683333333332</v>
      </c>
      <c r="BU1044" s="343">
        <f>SUMIFS($AU$134:AU1045,$AA$134:AA1045,"*",$AB$134:AB1045,"*")</f>
        <v>2626.0000000000045</v>
      </c>
      <c r="BV1044" s="343">
        <f>SUMIFS($AU$134:AU1045,$AA$134:AA1045,"*",$AC$134:AC1045,"*")</f>
        <v>10204.783333333333</v>
      </c>
      <c r="BW1044" s="343">
        <f>SUMIFS($AU$134:AU1045,$AB$134:AB1045,"*",$AC$134:AC1045,"*")</f>
        <v>6014.6</v>
      </c>
      <c r="BX1044" s="343">
        <f>SUMIFS($AU1045:AU$1388,$Q1045:Q$1388,"F")</f>
        <v>6722.1333333333323</v>
      </c>
      <c r="BY1044" s="343">
        <f>SUMIFS($AU1045:AU$1388,$Q1045:Q$1388,"S")</f>
        <v>5915.2000000000007</v>
      </c>
      <c r="BZ1044" s="343">
        <f>SUMIFS($AU1045:AU$1388,$Q1045:Q$1388,"O")</f>
        <v>-843.92466666661312</v>
      </c>
    </row>
    <row r="1045" spans="1:78" ht="15.75" customHeight="1">
      <c r="A1045" s="221" t="s">
        <v>3735</v>
      </c>
      <c r="B1045" s="177">
        <v>45187</v>
      </c>
      <c r="C1045" s="178" t="s">
        <v>1466</v>
      </c>
      <c r="D1045" s="178" t="s">
        <v>132</v>
      </c>
      <c r="E1045" s="227"/>
      <c r="F1045" s="180"/>
      <c r="G1045" s="281" t="s">
        <v>1664</v>
      </c>
      <c r="H1045" s="182"/>
      <c r="I1045" s="182"/>
      <c r="J1045" s="182"/>
      <c r="K1045" s="183"/>
      <c r="L1045" s="182">
        <v>1</v>
      </c>
      <c r="M1045" s="182"/>
      <c r="N1045" s="182"/>
      <c r="O1045" s="183" t="s">
        <v>95</v>
      </c>
      <c r="P1045" s="183" t="s">
        <v>96</v>
      </c>
      <c r="Q1045" s="183" t="s">
        <v>256</v>
      </c>
      <c r="R1045" s="183">
        <v>27</v>
      </c>
      <c r="S1045" s="183">
        <v>20</v>
      </c>
      <c r="T1045" s="183">
        <v>12</v>
      </c>
      <c r="U1045" s="183" t="s">
        <v>97</v>
      </c>
      <c r="V1045" s="183"/>
      <c r="W1045" s="183"/>
      <c r="X1045" s="183"/>
      <c r="Y1045" s="184">
        <f>IF(ISBLANK(O1045),"",(IF(O1045=UPPER("IB"),0.005,0.01)))</f>
        <v>0.01</v>
      </c>
      <c r="Z1045" s="185">
        <f>IF(ISBLANK(O1045),"",IF(O1045="IB",8.63*200,IF(O1045="IR",16*100,IF(O1045="YT",20*100,IF(O1045="YT-XT",24*200,IF(O1045="TED",80*100))))))</f>
        <v>1600</v>
      </c>
      <c r="AA1045" s="185" t="s">
        <v>3834</v>
      </c>
      <c r="AB1045" s="185" t="s">
        <v>3835</v>
      </c>
      <c r="AC1045" s="185"/>
      <c r="AD1045" s="649">
        <f>(0.07*12+0.06*5+0.08*10)/27</f>
        <v>7.1851851851851861E-2</v>
      </c>
      <c r="AE1045" s="182"/>
      <c r="AF1045" s="332"/>
      <c r="AG1045" s="182">
        <v>0.12</v>
      </c>
      <c r="AH1045" s="182"/>
      <c r="AI1045" s="182"/>
      <c r="AJ1045" s="644" t="s">
        <v>3836</v>
      </c>
      <c r="AK1045" s="182"/>
      <c r="AL1045" s="496">
        <f>-0.05*Z1045</f>
        <v>-80</v>
      </c>
      <c r="AM1045" s="496">
        <f>AL1045*(R1045-S1045)</f>
        <v>-560</v>
      </c>
      <c r="AN1045" s="626"/>
      <c r="AO1045" s="182"/>
      <c r="AP1045" s="182" t="s">
        <v>589</v>
      </c>
      <c r="AQ1045" s="332" t="str">
        <f>UPPER(RIGHT(Journal_Live[[#This Row],[DURATION ]]))</f>
        <v>D</v>
      </c>
      <c r="AR1045" s="182" t="s">
        <v>3837</v>
      </c>
      <c r="AS1045" s="189">
        <f>(0.1*8+0.09*12+0.09*7)/27</f>
        <v>9.2962962962962969E-2</v>
      </c>
      <c r="AT1045" s="189">
        <f>IF(ISBLANK(AS1045),,IF(U1045="S",AD1045-AS1045,AS1045-AD1045))</f>
        <v>-2.1111111111111108E-2</v>
      </c>
      <c r="AU1045" s="187">
        <f>AV1045*R1045</f>
        <v>-911.99999999999977</v>
      </c>
      <c r="AV1045" s="190">
        <f>IF(ISBLANK(AS1045),,(AT1045*Z1045))</f>
        <v>-33.777777777777771</v>
      </c>
      <c r="AW1045" s="191" t="s">
        <v>229</v>
      </c>
      <c r="AX1045" s="407" t="s">
        <v>3838</v>
      </c>
      <c r="AY1045" s="407" t="s">
        <v>3839</v>
      </c>
      <c r="AZ1045" s="407" t="s">
        <v>3840</v>
      </c>
      <c r="BA1045" s="407" t="s">
        <v>3841</v>
      </c>
      <c r="BB1045" s="407"/>
      <c r="BC1045" s="407"/>
      <c r="BD1045" s="407"/>
      <c r="BE1045" s="407"/>
      <c r="BF1045" s="422"/>
      <c r="BG1045" s="391">
        <f>SUM($AV$4:AV1045)</f>
        <v>4645.2622756769661</v>
      </c>
      <c r="BH1045" s="392">
        <f>SUM($AU$134:AU1045)</f>
        <v>20653.242000000151</v>
      </c>
      <c r="BI1045" s="318">
        <f>SUMIFS($AU$134:AU1046,$Q$134:Q1046,"F")</f>
        <v>6870.5333333333328</v>
      </c>
      <c r="BJ1045" s="318">
        <f>SUMIFS($AU$134:AU1046,$Q$134:Q1046,"S")</f>
        <v>14756.441999999999</v>
      </c>
      <c r="BK1045" s="343">
        <f>SUMIFS($AU$134:AU1046,$P$134:P1046,"W")</f>
        <v>12355.741999999942</v>
      </c>
      <c r="BL1045" s="343">
        <f>SUMIFS($AU$134:AU1046,$P$134:P1046,"R")</f>
        <v>9060.6733333333359</v>
      </c>
      <c r="BM1045" s="343">
        <f>SUMIFS($AU$134:AU1046,$AQ$134:AQ1046,"M")</f>
        <v>2745.3999999999201</v>
      </c>
      <c r="BN1045" s="343">
        <f>SUMIFS($AU$134:AU1046,$AQ$134:AQ1046,"H")</f>
        <v>6782.1420000000153</v>
      </c>
      <c r="BO1045" s="343">
        <f>SUMIFS($AU$134:AU1046,$AQ$134:AQ1046,"D")</f>
        <v>5616.3466666667146</v>
      </c>
      <c r="BP1045" s="343">
        <f>SUMIFS($AU$134:AU1048,$AQ$134:AQ1048,"W")</f>
        <v>3826.7233333332406</v>
      </c>
      <c r="BQ1045" s="343">
        <f>SUMIFS($AU$134:AU1046,$Q$134:Q1046,"O")</f>
        <v>-804.93333333318515</v>
      </c>
      <c r="BR1045" s="343">
        <f>SUMIFS($AU$134:AU1046,$AA$134:AA1046,"*")</f>
        <v>18841.475333333263</v>
      </c>
      <c r="BS1045" s="343">
        <f>SUMIFS($AU$134:AU1046,$AB$134:AB1046,"*")</f>
        <v>4450.2666666668902</v>
      </c>
      <c r="BT1045" s="343">
        <f>SUMIFS($AU$134:AU1046,$AC$134:AC1046,"*")</f>
        <v>12087.683333333332</v>
      </c>
      <c r="BU1045" s="343">
        <f>SUMIFS($AU$134:AU1046,$AA$134:AA1046,"*",$AB$134:AB1046,"*")</f>
        <v>2626.0000000000045</v>
      </c>
      <c r="BV1045" s="343">
        <f>SUMIFS($AU$134:AU1046,$AA$134:AA1046,"*",$AC$134:AC1046,"*")</f>
        <v>10268.783333333333</v>
      </c>
      <c r="BW1045" s="343">
        <f>SUMIFS($AU$134:AU1046,$AB$134:AB1046,"*",$AC$134:AC1046,"*")</f>
        <v>6014.6</v>
      </c>
      <c r="BX1045" s="343">
        <f>SUMIFS($AU1046:AU$1388,$Q1046:Q$1388,"F")</f>
        <v>7634.1333333333323</v>
      </c>
      <c r="BY1045" s="343">
        <f>SUMIFS($AU1046:AU$1388,$Q1046:Q$1388,"S")</f>
        <v>5915.2000000000007</v>
      </c>
      <c r="BZ1045" s="343">
        <f>SUMIFS($AU1046:AU$1388,$Q1046:Q$1388,"O")</f>
        <v>-843.92466666661312</v>
      </c>
    </row>
    <row r="1046" spans="1:78" ht="15.75" customHeight="1">
      <c r="A1046" s="221" t="s">
        <v>3735</v>
      </c>
      <c r="B1046" s="177">
        <v>45188</v>
      </c>
      <c r="C1046" s="178" t="s">
        <v>209</v>
      </c>
      <c r="D1046" s="178" t="s">
        <v>146</v>
      </c>
      <c r="E1046" s="227"/>
      <c r="F1046" s="180"/>
      <c r="G1046" s="281" t="s">
        <v>3772</v>
      </c>
      <c r="H1046" s="182"/>
      <c r="I1046" s="182"/>
      <c r="J1046" s="182"/>
      <c r="K1046" s="183"/>
      <c r="L1046" s="182">
        <v>1</v>
      </c>
      <c r="M1046" s="182"/>
      <c r="N1046" s="182"/>
      <c r="O1046" s="183" t="s">
        <v>95</v>
      </c>
      <c r="P1046" s="183" t="s">
        <v>96</v>
      </c>
      <c r="Q1046" s="183" t="s">
        <v>256</v>
      </c>
      <c r="R1046" s="183">
        <v>4</v>
      </c>
      <c r="S1046" s="183">
        <v>2</v>
      </c>
      <c r="T1046" s="183">
        <v>3</v>
      </c>
      <c r="U1046" s="183" t="s">
        <v>97</v>
      </c>
      <c r="V1046" s="183"/>
      <c r="W1046" s="183"/>
      <c r="X1046" s="183"/>
      <c r="Y1046" s="184">
        <f>IF(ISBLANK(O1046),"",(IF(O1046=UPPER("IB"),0.005,0.01)))</f>
        <v>0.01</v>
      </c>
      <c r="Z1046" s="185">
        <f>IF(ISBLANK(O1046),"",IF(O1046="IB",8.63*200,IF(O1046="IR",16*100,IF(O1046="YT",20*100,IF(O1046="YT-XT",24*200,IF(O1046="TED",80*100))))))</f>
        <v>1600</v>
      </c>
      <c r="AA1046" s="185" t="s">
        <v>3842</v>
      </c>
      <c r="AB1046" s="185"/>
      <c r="AC1046" s="185" t="s">
        <v>3843</v>
      </c>
      <c r="AD1046" s="649">
        <v>0.06</v>
      </c>
      <c r="AE1046" s="182"/>
      <c r="AF1046" s="332"/>
      <c r="AG1046" s="182"/>
      <c r="AH1046" s="182"/>
      <c r="AI1046" s="182"/>
      <c r="AJ1046" s="640"/>
      <c r="AK1046" s="182"/>
      <c r="AL1046" s="496">
        <f>-0.025*Z1046</f>
        <v>-40</v>
      </c>
      <c r="AM1046" s="496">
        <f>AL1046*(R1046-S1046)</f>
        <v>-80</v>
      </c>
      <c r="AN1046" s="626"/>
      <c r="AO1046" s="182"/>
      <c r="AP1046" s="182" t="s">
        <v>902</v>
      </c>
      <c r="AQ1046" s="332" t="str">
        <f>UPPER(RIGHT(Journal_Live[[#This Row],[DURATION ]]))</f>
        <v>W</v>
      </c>
      <c r="AR1046" s="182" t="s">
        <v>3844</v>
      </c>
      <c r="AS1046" s="189">
        <v>0.05</v>
      </c>
      <c r="AT1046" s="189">
        <f>IF(ISBLANK(AS1046),,IF(U1046="S",AD1046-AS1046,AS1046-AD1046))</f>
        <v>9.999999999999995E-3</v>
      </c>
      <c r="AU1046" s="187">
        <f>AV1046*R1046</f>
        <v>63.999999999999972</v>
      </c>
      <c r="AV1046" s="190">
        <f>IF(ISBLANK(AS1046),,(AT1046*Z1046))</f>
        <v>15.999999999999993</v>
      </c>
      <c r="AW1046" s="191" t="s">
        <v>96</v>
      </c>
      <c r="AX1046" s="407" t="s">
        <v>3845</v>
      </c>
      <c r="AY1046" s="407"/>
      <c r="AZ1046" s="407"/>
      <c r="BA1046" s="407"/>
      <c r="BB1046" s="407"/>
      <c r="BC1046" s="407"/>
      <c r="BD1046" s="407"/>
      <c r="BE1046" s="407"/>
      <c r="BF1046" s="422"/>
      <c r="BG1046" s="391">
        <f>SUM($AV$4:AV1046)</f>
        <v>4661.2622756769661</v>
      </c>
      <c r="BH1046" s="392">
        <f>SUM($AU$134:AU1046)</f>
        <v>20717.242000000151</v>
      </c>
      <c r="BI1046" s="318">
        <f>SUMIFS($AU$134:AU1047,$Q$134:Q1047,"F")</f>
        <v>6870.5333333333328</v>
      </c>
      <c r="BJ1046" s="318">
        <f>SUMIFS($AU$134:AU1047,$Q$134:Q1047,"S")</f>
        <v>14756.441999999999</v>
      </c>
      <c r="BK1046" s="343">
        <f>SUMIFS($AU$134:AU1047,$P$134:P1047,"W")</f>
        <v>12355.741999999942</v>
      </c>
      <c r="BL1046" s="343">
        <f>SUMIFS($AU$134:AU1047,$P$134:P1047,"R")</f>
        <v>9060.6733333333359</v>
      </c>
      <c r="BM1046" s="343">
        <f>SUMIFS($AU$134:AU1047,$AQ$134:AQ1047,"M")</f>
        <v>2745.3999999999201</v>
      </c>
      <c r="BN1046" s="343">
        <f>SUMIFS($AU$134:AU1047,$AQ$134:AQ1047,"H")</f>
        <v>6782.1420000000153</v>
      </c>
      <c r="BO1046" s="343">
        <f>SUMIFS($AU$134:AU1047,$AQ$134:AQ1047,"D")</f>
        <v>5616.3466666667146</v>
      </c>
      <c r="BP1046" s="343">
        <f>SUMIFS($AU$134:AU1049,$AQ$134:AQ1049,"W")</f>
        <v>3826.7233333332406</v>
      </c>
      <c r="BQ1046" s="343">
        <f>SUMIFS($AU$134:AU1047,$Q$134:Q1047,"O")</f>
        <v>-804.93333333318515</v>
      </c>
      <c r="BR1046" s="343">
        <f>SUMIFS($AU$134:AU1047,$AA$134:AA1047,"*")</f>
        <v>18841.475333333263</v>
      </c>
      <c r="BS1046" s="343">
        <f>SUMIFS($AU$134:AU1047,$AB$134:AB1047,"*")</f>
        <v>4450.2666666668902</v>
      </c>
      <c r="BT1046" s="343">
        <f>SUMIFS($AU$134:AU1047,$AC$134:AC1047,"*")</f>
        <v>12087.683333333332</v>
      </c>
      <c r="BU1046" s="343">
        <f>SUMIFS($AU$134:AU1047,$AA$134:AA1047,"*",$AB$134:AB1047,"*")</f>
        <v>2626.0000000000045</v>
      </c>
      <c r="BV1046" s="343">
        <f>SUMIFS($AU$134:AU1047,$AA$134:AA1047,"*",$AC$134:AC1047,"*")</f>
        <v>10268.783333333333</v>
      </c>
      <c r="BW1046" s="343">
        <f>SUMIFS($AU$134:AU1047,$AB$134:AB1047,"*",$AC$134:AC1047,"*")</f>
        <v>6014.6</v>
      </c>
      <c r="BX1046" s="343">
        <f>SUMIFS($AU1047:AU$1388,$Q1047:Q$1388,"F")</f>
        <v>7570.1333333333323</v>
      </c>
      <c r="BY1046" s="343">
        <f>SUMIFS($AU1047:AU$1388,$Q1047:Q$1388,"S")</f>
        <v>5915.2000000000007</v>
      </c>
      <c r="BZ1046" s="343">
        <f>SUMIFS($AU1047:AU$1388,$Q1047:Q$1388,"O")</f>
        <v>-843.92466666661312</v>
      </c>
    </row>
    <row r="1047" spans="1:78" ht="15.75" customHeight="1">
      <c r="A1047" s="221" t="s">
        <v>3735</v>
      </c>
      <c r="B1047" s="200">
        <v>45188</v>
      </c>
      <c r="C1047" s="178" t="s">
        <v>2407</v>
      </c>
      <c r="D1047" s="178" t="s">
        <v>146</v>
      </c>
      <c r="E1047" s="227" t="s">
        <v>3846</v>
      </c>
      <c r="F1047" s="180"/>
      <c r="G1047" s="181"/>
      <c r="H1047" s="182"/>
      <c r="I1047" s="182"/>
      <c r="J1047" s="182">
        <v>1</v>
      </c>
      <c r="K1047" s="183" t="s">
        <v>115</v>
      </c>
      <c r="L1047" s="182"/>
      <c r="M1047" s="182"/>
      <c r="N1047" s="182"/>
      <c r="O1047" s="183"/>
      <c r="P1047" s="183"/>
      <c r="Q1047" s="183"/>
      <c r="R1047" s="183"/>
      <c r="S1047" s="183"/>
      <c r="T1047" s="183"/>
      <c r="U1047" s="183"/>
      <c r="V1047" s="183"/>
      <c r="W1047" s="183"/>
      <c r="X1047" s="183"/>
      <c r="Y1047" s="274"/>
      <c r="Z1047" s="183"/>
      <c r="AA1047" s="185"/>
      <c r="AB1047" s="185"/>
      <c r="AC1047" s="185"/>
      <c r="AD1047" s="649"/>
      <c r="AE1047" s="182"/>
      <c r="AF1047" s="332"/>
      <c r="AG1047" s="182"/>
      <c r="AH1047" s="182"/>
      <c r="AI1047" s="182"/>
      <c r="AJ1047" s="640"/>
      <c r="AK1047" s="182"/>
      <c r="AL1047" s="496"/>
      <c r="AM1047" s="496"/>
      <c r="AN1047" s="626"/>
      <c r="AO1047" s="182"/>
      <c r="AP1047" s="182"/>
      <c r="AQ1047" s="332" t="str">
        <f>UPPER(RIGHT(Journal_Live[[#This Row],[DURATION ]]))</f>
        <v/>
      </c>
      <c r="AR1047" s="182"/>
      <c r="AS1047" s="189"/>
      <c r="AT1047" s="189"/>
      <c r="AU1047" s="187"/>
      <c r="AV1047" s="190"/>
      <c r="AW1047" s="191"/>
      <c r="AX1047" s="407"/>
      <c r="AY1047" s="407"/>
      <c r="AZ1047" s="407"/>
      <c r="BA1047" s="407"/>
      <c r="BB1047" s="407"/>
      <c r="BC1047" s="407"/>
      <c r="BD1047" s="407"/>
      <c r="BE1047" s="407"/>
      <c r="BF1047" s="422"/>
      <c r="BG1047" s="391"/>
      <c r="BH1047" s="392">
        <f>SUM($AU$134:AU1047)</f>
        <v>20717.242000000151</v>
      </c>
      <c r="BI1047" s="318">
        <f>SUMIFS($AU$134:AU1048,$Q$134:Q1048,"F")</f>
        <v>6870.5333333333328</v>
      </c>
      <c r="BJ1047" s="318">
        <f>SUMIFS($AU$134:AU1048,$Q$134:Q1048,"S")</f>
        <v>14516.441999999999</v>
      </c>
      <c r="BK1047" s="343">
        <f>SUMIFS($AU$134:AU1048,$P$134:P1048,"W")</f>
        <v>12115.741999999942</v>
      </c>
      <c r="BL1047" s="343">
        <f>SUMIFS($AU$134:AU1048,$P$134:P1048,"R")</f>
        <v>9060.6733333333359</v>
      </c>
      <c r="BM1047" s="343">
        <f>SUMIFS($AU$134:AU1048,$AQ$134:AQ1048,"M")</f>
        <v>2745.3999999999201</v>
      </c>
      <c r="BN1047" s="343">
        <f>SUMIFS($AU$134:AU1048,$AQ$134:AQ1048,"H")</f>
        <v>6542.1420000000153</v>
      </c>
      <c r="BO1047" s="343">
        <f>SUMIFS($AU$134:AU1048,$AQ$134:AQ1048,"D")</f>
        <v>5616.3466666667146</v>
      </c>
      <c r="BP1047" s="343">
        <f>SUMIFS($AU$134:AU1050,$AQ$134:AQ1050,"W")</f>
        <v>3826.7233333332406</v>
      </c>
      <c r="BQ1047" s="343">
        <f>SUMIFS($AU$134:AU1048,$Q$134:Q1048,"O")</f>
        <v>-804.93333333318515</v>
      </c>
      <c r="BR1047" s="343">
        <f>SUMIFS($AU$134:AU1048,$AA$134:AA1048,"*")</f>
        <v>18601.475333333263</v>
      </c>
      <c r="BS1047" s="343">
        <f>SUMIFS($AU$134:AU1048,$AB$134:AB1048,"*")</f>
        <v>4450.2666666668902</v>
      </c>
      <c r="BT1047" s="343">
        <f>SUMIFS($AU$134:AU1048,$AC$134:AC1048,"*")</f>
        <v>11847.683333333332</v>
      </c>
      <c r="BU1047" s="343">
        <f>SUMIFS($AU$134:AU1048,$AA$134:AA1048,"*",$AB$134:AB1048,"*")</f>
        <v>2626.0000000000045</v>
      </c>
      <c r="BV1047" s="343">
        <f>SUMIFS($AU$134:AU1048,$AA$134:AA1048,"*",$AC$134:AC1048,"*")</f>
        <v>10028.783333333333</v>
      </c>
      <c r="BW1047" s="343">
        <f>SUMIFS($AU$134:AU1048,$AB$134:AB1048,"*",$AC$134:AC1048,"*")</f>
        <v>6014.6</v>
      </c>
      <c r="BX1047" s="343">
        <f>SUMIFS($AU1048:AU$1388,$Q1048:Q$1388,"F")</f>
        <v>7570.1333333333323</v>
      </c>
      <c r="BY1047" s="343">
        <f>SUMIFS($AU1048:AU$1388,$Q1048:Q$1388,"S")</f>
        <v>5915.2000000000007</v>
      </c>
      <c r="BZ1047" s="343">
        <f>SUMIFS($AU1048:AU$1388,$Q1048:Q$1388,"O")</f>
        <v>-843.92466666661312</v>
      </c>
    </row>
    <row r="1048" spans="1:78" ht="15.75" customHeight="1">
      <c r="A1048" s="221" t="s">
        <v>3735</v>
      </c>
      <c r="B1048" s="177">
        <v>45188</v>
      </c>
      <c r="C1048" s="178" t="s">
        <v>3847</v>
      </c>
      <c r="D1048" s="178" t="s">
        <v>146</v>
      </c>
      <c r="E1048" s="227"/>
      <c r="F1048" s="180"/>
      <c r="G1048" s="281" t="s">
        <v>2145</v>
      </c>
      <c r="H1048" s="182"/>
      <c r="I1048" s="182"/>
      <c r="J1048" s="182"/>
      <c r="K1048" s="183"/>
      <c r="L1048" s="182">
        <v>1</v>
      </c>
      <c r="M1048" s="182"/>
      <c r="N1048" s="182"/>
      <c r="O1048" s="183" t="s">
        <v>95</v>
      </c>
      <c r="P1048" s="183" t="s">
        <v>96</v>
      </c>
      <c r="Q1048" s="183" t="s">
        <v>97</v>
      </c>
      <c r="R1048" s="183">
        <v>5</v>
      </c>
      <c r="S1048" s="183">
        <v>0</v>
      </c>
      <c r="T1048" s="183">
        <v>5</v>
      </c>
      <c r="U1048" s="183" t="s">
        <v>97</v>
      </c>
      <c r="V1048" s="183"/>
      <c r="W1048" s="183"/>
      <c r="X1048" s="183"/>
      <c r="Y1048" s="184">
        <f>IF(ISBLANK(O1048),"",(IF(O1048=UPPER("IB"),0.005,0.01)))</f>
        <v>0.01</v>
      </c>
      <c r="Z1048" s="185">
        <f>IF(ISBLANK(O1048),"",IF(O1048="IB",8.63*200,IF(O1048="IR",16*100,IF(O1048="YT",20*100,IF(O1048="YT-XT",24*200,IF(O1048="TED",80*100))))))</f>
        <v>1600</v>
      </c>
      <c r="AA1048" s="185" t="s">
        <v>99</v>
      </c>
      <c r="AB1048" s="185"/>
      <c r="AC1048" s="185" t="s">
        <v>3848</v>
      </c>
      <c r="AD1048" s="649">
        <v>0.1</v>
      </c>
      <c r="AE1048" s="182"/>
      <c r="AF1048" s="332"/>
      <c r="AG1048" s="182"/>
      <c r="AH1048" s="182"/>
      <c r="AI1048" s="182"/>
      <c r="AJ1048" s="640"/>
      <c r="AK1048" s="182"/>
      <c r="AL1048" s="496">
        <f t="shared" ref="AL1048" si="318">-0.03*Z1048</f>
        <v>-48</v>
      </c>
      <c r="AM1048" s="496">
        <f>AL1048*(R1048-S1048)</f>
        <v>-240</v>
      </c>
      <c r="AN1048" s="626"/>
      <c r="AO1048" s="182"/>
      <c r="AP1048" s="182" t="s">
        <v>1084</v>
      </c>
      <c r="AQ1048" s="332" t="str">
        <f>UPPER(RIGHT(Journal_Live[[#This Row],[DURATION ]]))</f>
        <v>H</v>
      </c>
      <c r="AR1048" s="182" t="s">
        <v>3849</v>
      </c>
      <c r="AS1048" s="189">
        <v>0.13</v>
      </c>
      <c r="AT1048" s="189">
        <f>IF(ISBLANK(AS1048),,IF(U1048="S",AD1048-AS1048,AS1048-AD1048))</f>
        <v>-0.03</v>
      </c>
      <c r="AU1048" s="187">
        <f>AV1048*R1048</f>
        <v>-240</v>
      </c>
      <c r="AV1048" s="190">
        <f>IF(ISBLANK(AS1048),,(AT1048*Z1048))</f>
        <v>-48</v>
      </c>
      <c r="AW1048" s="191" t="s">
        <v>229</v>
      </c>
      <c r="AX1048" s="407"/>
      <c r="AY1048" s="407"/>
      <c r="AZ1048" s="407"/>
      <c r="BA1048" s="407"/>
      <c r="BB1048" s="407"/>
      <c r="BC1048" s="407"/>
      <c r="BD1048" s="407"/>
      <c r="BE1048" s="407"/>
      <c r="BF1048" s="422"/>
      <c r="BG1048" s="391">
        <f>SUM($AV$4:AV1048)</f>
        <v>4613.2622756769661</v>
      </c>
      <c r="BH1048" s="392">
        <f>SUM($AU$134:AU1048)</f>
        <v>20477.242000000151</v>
      </c>
      <c r="BI1048" s="318">
        <f>SUMIFS($AU$134:AU1049,$Q$134:Q1049,"F")</f>
        <v>6870.5333333333328</v>
      </c>
      <c r="BJ1048" s="318">
        <f>SUMIFS($AU$134:AU1049,$Q$134:Q1049,"S")</f>
        <v>14516.441999999999</v>
      </c>
      <c r="BK1048" s="343">
        <f>SUMIFS($AU$134:AU1049,$P$134:P1049,"W")</f>
        <v>12115.741999999942</v>
      </c>
      <c r="BL1048" s="343">
        <f>SUMIFS($AU$134:AU1049,$P$134:P1049,"R")</f>
        <v>9060.6733333333359</v>
      </c>
      <c r="BM1048" s="343">
        <f>SUMIFS($AU$134:AU1049,$AQ$134:AQ1049,"M")</f>
        <v>2745.3999999999201</v>
      </c>
      <c r="BN1048" s="343">
        <f>SUMIFS($AU$134:AU1049,$AQ$134:AQ1049,"H")</f>
        <v>6542.1420000000153</v>
      </c>
      <c r="BO1048" s="343">
        <f>SUMIFS($AU$134:AU1049,$AQ$134:AQ1049,"D")</f>
        <v>5616.3466666667146</v>
      </c>
      <c r="BP1048" s="343">
        <f>SUMIFS($AU$134:AU1051,$AQ$134:AQ1051,"W")</f>
        <v>3826.7233333332406</v>
      </c>
      <c r="BQ1048" s="343">
        <f>SUMIFS($AU$134:AU1049,$Q$134:Q1049,"O")</f>
        <v>-804.93333333318515</v>
      </c>
      <c r="BR1048" s="343">
        <f>SUMIFS($AU$134:AU1049,$AA$134:AA1049,"*")</f>
        <v>18601.475333333263</v>
      </c>
      <c r="BS1048" s="343">
        <f>SUMIFS($AU$134:AU1049,$AB$134:AB1049,"*")</f>
        <v>4450.2666666668902</v>
      </c>
      <c r="BT1048" s="343">
        <f>SUMIFS($AU$134:AU1049,$AC$134:AC1049,"*")</f>
        <v>11847.683333333332</v>
      </c>
      <c r="BU1048" s="343">
        <f>SUMIFS($AU$134:AU1049,$AA$134:AA1049,"*",$AB$134:AB1049,"*")</f>
        <v>2626.0000000000045</v>
      </c>
      <c r="BV1048" s="343">
        <f>SUMIFS($AU$134:AU1049,$AA$134:AA1049,"*",$AC$134:AC1049,"*")</f>
        <v>10028.783333333333</v>
      </c>
      <c r="BW1048" s="343">
        <f>SUMIFS($AU$134:AU1049,$AB$134:AB1049,"*",$AC$134:AC1049,"*")</f>
        <v>6014.6</v>
      </c>
      <c r="BX1048" s="343">
        <f>SUMIFS($AU1049:AU$1388,$Q1049:Q$1388,"F")</f>
        <v>7570.1333333333323</v>
      </c>
      <c r="BY1048" s="343">
        <f>SUMIFS($AU1049:AU$1388,$Q1049:Q$1388,"S")</f>
        <v>6155.2000000000007</v>
      </c>
      <c r="BZ1048" s="343">
        <f>SUMIFS($AU1049:AU$1388,$Q1049:Q$1388,"O")</f>
        <v>-843.92466666661312</v>
      </c>
    </row>
    <row r="1049" spans="1:78" ht="15.75" customHeight="1">
      <c r="A1049" s="221" t="s">
        <v>3735</v>
      </c>
      <c r="B1049" s="177">
        <v>45188</v>
      </c>
      <c r="C1049" s="178" t="s">
        <v>1714</v>
      </c>
      <c r="D1049" s="178" t="s">
        <v>146</v>
      </c>
      <c r="E1049" s="227" t="s">
        <v>3850</v>
      </c>
      <c r="F1049" s="180" t="s">
        <v>3851</v>
      </c>
      <c r="G1049" s="181"/>
      <c r="H1049" s="182">
        <v>1</v>
      </c>
      <c r="I1049" s="182"/>
      <c r="J1049" s="182"/>
      <c r="K1049" s="183" t="s">
        <v>372</v>
      </c>
      <c r="L1049" s="182"/>
      <c r="M1049" s="182"/>
      <c r="N1049" s="182"/>
      <c r="O1049" s="183"/>
      <c r="P1049" s="183"/>
      <c r="Q1049" s="183"/>
      <c r="R1049" s="183"/>
      <c r="S1049" s="183"/>
      <c r="T1049" s="183"/>
      <c r="U1049" s="183"/>
      <c r="V1049" s="183"/>
      <c r="W1049" s="183"/>
      <c r="X1049" s="183"/>
      <c r="Y1049" s="184" t="str">
        <f>IF(ISBLANK(O1049),"",(IF(O1049=UPPER("IB"),0.005,0.01)))</f>
        <v/>
      </c>
      <c r="Z1049" s="185" t="str">
        <f>IF(ISBLANK(O1049),"",IF(O1049="IB",8.63*200,IF(O1049="IR",16*100,IF(O1049="YT",20*100,IF(O1049="YT-XT",24*200,IF(O1049="TED",80*100))))))</f>
        <v/>
      </c>
      <c r="AA1049" s="185"/>
      <c r="AB1049" s="185"/>
      <c r="AC1049" s="185"/>
      <c r="AD1049" s="649"/>
      <c r="AE1049" s="182"/>
      <c r="AF1049" s="332"/>
      <c r="AG1049" s="182"/>
      <c r="AH1049" s="182"/>
      <c r="AI1049" s="182"/>
      <c r="AJ1049" s="640"/>
      <c r="AK1049" s="182"/>
      <c r="AL1049" s="496"/>
      <c r="AM1049" s="496"/>
      <c r="AN1049" s="626"/>
      <c r="AO1049" s="182"/>
      <c r="AP1049" s="182"/>
      <c r="AQ1049" s="332" t="str">
        <f>UPPER(RIGHT(Journal_Live[[#This Row],[DURATION ]]))</f>
        <v/>
      </c>
      <c r="AR1049" s="182"/>
      <c r="AS1049" s="189"/>
      <c r="AT1049" s="189"/>
      <c r="AU1049" s="187"/>
      <c r="AV1049" s="190"/>
      <c r="AW1049" s="191"/>
      <c r="AX1049" s="407" t="s">
        <v>3852</v>
      </c>
      <c r="AY1049" s="407" t="s">
        <v>3853</v>
      </c>
      <c r="AZ1049" s="407"/>
      <c r="BA1049" s="407"/>
      <c r="BB1049" s="407"/>
      <c r="BC1049" s="407"/>
      <c r="BD1049" s="407"/>
      <c r="BE1049" s="407"/>
      <c r="BF1049" s="422"/>
      <c r="BG1049" s="391">
        <f>SUM($AV$4:AV1049)</f>
        <v>4613.2622756769661</v>
      </c>
      <c r="BH1049" s="392">
        <f>SUM($AU$134:AU1049)</f>
        <v>20477.242000000151</v>
      </c>
      <c r="BI1049" s="318">
        <f>SUMIFS($AU$134:AU1050,$Q$134:Q1050,"F")</f>
        <v>6870.5333333333328</v>
      </c>
      <c r="BJ1049" s="318">
        <f>SUMIFS($AU$134:AU1050,$Q$134:Q1050,"S")</f>
        <v>14516.441999999999</v>
      </c>
      <c r="BK1049" s="343">
        <f>SUMIFS($AU$134:AU1050,$P$134:P1050,"W")</f>
        <v>12115.741999999942</v>
      </c>
      <c r="BL1049" s="343">
        <f>SUMIFS($AU$134:AU1050,$P$134:P1050,"R")</f>
        <v>9060.6733333333359</v>
      </c>
      <c r="BM1049" s="343">
        <f>SUMIFS($AU$134:AU1050,$AQ$134:AQ1050,"M")</f>
        <v>2745.3999999999201</v>
      </c>
      <c r="BN1049" s="343">
        <f>SUMIFS($AU$134:AU1050,$AQ$134:AQ1050,"H")</f>
        <v>6542.1420000000153</v>
      </c>
      <c r="BO1049" s="343">
        <f>SUMIFS($AU$134:AU1050,$AQ$134:AQ1050,"D")</f>
        <v>5642.2366666667649</v>
      </c>
      <c r="BP1049" s="343">
        <f>SUMIFS($AU$134:AU1052,$AQ$134:AQ1052,"W")</f>
        <v>3826.7233333332406</v>
      </c>
      <c r="BQ1049" s="343">
        <f>SUMIFS($AU$134:AU1050,$Q$134:Q1050,"O")</f>
        <v>-779.04333333313514</v>
      </c>
      <c r="BR1049" s="343">
        <f>SUMIFS($AU$134:AU1050,$AA$134:AA1050,"*")</f>
        <v>18601.475333333263</v>
      </c>
      <c r="BS1049" s="343">
        <f>SUMIFS($AU$134:AU1050,$AB$134:AB1050,"*")</f>
        <v>4476.1566666669405</v>
      </c>
      <c r="BT1049" s="343">
        <f>SUMIFS($AU$134:AU1050,$AC$134:AC1050,"*")</f>
        <v>11847.683333333332</v>
      </c>
      <c r="BU1049" s="343">
        <f>SUMIFS($AU$134:AU1050,$AA$134:AA1050,"*",$AB$134:AB1050,"*")</f>
        <v>2626.0000000000045</v>
      </c>
      <c r="BV1049" s="343">
        <f>SUMIFS($AU$134:AU1050,$AA$134:AA1050,"*",$AC$134:AC1050,"*")</f>
        <v>10028.783333333333</v>
      </c>
      <c r="BW1049" s="343">
        <f>SUMIFS($AU$134:AU1050,$AB$134:AB1050,"*",$AC$134:AC1050,"*")</f>
        <v>6014.6</v>
      </c>
      <c r="BX1049" s="343">
        <f>SUMIFS($AU1050:AU$1388,$Q1050:Q$1388,"F")</f>
        <v>7570.1333333333323</v>
      </c>
      <c r="BY1049" s="343">
        <f>SUMIFS($AU1050:AU$1388,$Q1050:Q$1388,"S")</f>
        <v>6155.2000000000007</v>
      </c>
      <c r="BZ1049" s="343">
        <f>SUMIFS($AU1050:AU$1388,$Q1050:Q$1388,"O")</f>
        <v>-843.92466666661312</v>
      </c>
    </row>
    <row r="1050" spans="1:78" ht="15.75" customHeight="1">
      <c r="A1050" s="221" t="s">
        <v>3735</v>
      </c>
      <c r="B1050" s="177">
        <v>45189</v>
      </c>
      <c r="C1050" s="178" t="s">
        <v>1653</v>
      </c>
      <c r="D1050" s="178" t="s">
        <v>151</v>
      </c>
      <c r="E1050" s="227"/>
      <c r="F1050" s="180"/>
      <c r="G1050" s="281" t="s">
        <v>3854</v>
      </c>
      <c r="H1050" s="182"/>
      <c r="I1050" s="182"/>
      <c r="J1050" s="182"/>
      <c r="K1050" s="183"/>
      <c r="L1050" s="182"/>
      <c r="M1050" s="182">
        <v>2</v>
      </c>
      <c r="N1050" s="182"/>
      <c r="O1050" s="183" t="s">
        <v>1057</v>
      </c>
      <c r="P1050" s="183"/>
      <c r="Q1050" s="183" t="s">
        <v>684</v>
      </c>
      <c r="R1050" s="183">
        <v>3</v>
      </c>
      <c r="S1050" s="183">
        <v>0</v>
      </c>
      <c r="T1050" s="183">
        <v>3</v>
      </c>
      <c r="U1050" s="183" t="s">
        <v>97</v>
      </c>
      <c r="V1050" s="183"/>
      <c r="W1050" s="183"/>
      <c r="X1050" s="183"/>
      <c r="Y1050" s="184">
        <f>IF(ISBLANK(O1050),"",(IF(O1050=UPPER("IB"),0.005,0.01)))</f>
        <v>5.0000000000000001E-3</v>
      </c>
      <c r="Z1050" s="185">
        <f>IF(ISBLANK(O1050),"",IF(O1050="IB",8.63*200,IF(O1050="IR",16*100,IF(O1050="YT",20*100,IF(O1050="YT-XT",24*200,IF(O1050="TED",80*100))))))</f>
        <v>1726.0000000000002</v>
      </c>
      <c r="AA1050" s="185"/>
      <c r="AB1050" s="185" t="s">
        <v>3855</v>
      </c>
      <c r="AC1050" s="185"/>
      <c r="AD1050" s="649">
        <v>95.915000000000006</v>
      </c>
      <c r="AE1050" s="182"/>
      <c r="AF1050" s="332"/>
      <c r="AG1050" s="182"/>
      <c r="AH1050" s="182"/>
      <c r="AI1050" s="182"/>
      <c r="AJ1050" s="640"/>
      <c r="AK1050" s="182"/>
      <c r="AL1050" s="496">
        <f t="shared" ref="AL1050" si="319">-0.03*Z1050</f>
        <v>-51.780000000000008</v>
      </c>
      <c r="AM1050" s="496">
        <f>AL1050*(R1050-S1050)</f>
        <v>-155.34000000000003</v>
      </c>
      <c r="AN1050" s="626"/>
      <c r="AO1050" s="182"/>
      <c r="AP1050" s="182" t="s">
        <v>804</v>
      </c>
      <c r="AQ1050" s="332" t="str">
        <f>UPPER(RIGHT(Journal_Live[[#This Row],[DURATION ]]))</f>
        <v>D</v>
      </c>
      <c r="AR1050" s="182" t="s">
        <v>3856</v>
      </c>
      <c r="AS1050" s="189">
        <v>95.91</v>
      </c>
      <c r="AT1050" s="189">
        <f>IF(ISBLANK(AS1050),,IF(U1050="S",AD1050-AS1050,AS1050-AD1050))</f>
        <v>5.0000000000096634E-3</v>
      </c>
      <c r="AU1050" s="187">
        <f>AV1050*R1050</f>
        <v>25.890000000050044</v>
      </c>
      <c r="AV1050" s="190">
        <f>IF(ISBLANK(AS1050),,(AT1050*Z1050))</f>
        <v>8.6300000000166808</v>
      </c>
      <c r="AW1050" s="191" t="s">
        <v>96</v>
      </c>
      <c r="AX1050" s="407" t="s">
        <v>3857</v>
      </c>
      <c r="AY1050" s="407"/>
      <c r="AZ1050" s="407"/>
      <c r="BA1050" s="407"/>
      <c r="BB1050" s="407"/>
      <c r="BC1050" s="407"/>
      <c r="BD1050" s="407"/>
      <c r="BE1050" s="407"/>
      <c r="BF1050" s="422"/>
      <c r="BG1050" s="391">
        <f>SUM($AV$4:AV1050)</f>
        <v>4621.8922756769825</v>
      </c>
      <c r="BH1050" s="392">
        <f>SUM($AU$134:AU1050)</f>
        <v>20503.132000000202</v>
      </c>
      <c r="BI1050" s="318">
        <f>SUMIFS($AU$134:AU1051,$Q$134:Q1051,"F")</f>
        <v>6870.5333333333328</v>
      </c>
      <c r="BJ1050" s="318">
        <f>SUMIFS($AU$134:AU1051,$Q$134:Q1051,"S")</f>
        <v>14516.441999999999</v>
      </c>
      <c r="BK1050" s="343">
        <f>SUMIFS($AU$134:AU1051,$P$134:P1051,"W")</f>
        <v>12115.741999999942</v>
      </c>
      <c r="BL1050" s="343">
        <f>SUMIFS($AU$134:AU1051,$P$134:P1051,"R")</f>
        <v>9060.6733333333359</v>
      </c>
      <c r="BM1050" s="343">
        <f>SUMIFS($AU$134:AU1051,$AQ$134:AQ1051,"M")</f>
        <v>2745.3999999999201</v>
      </c>
      <c r="BN1050" s="343">
        <f>SUMIFS($AU$134:AU1051,$AQ$134:AQ1051,"H")</f>
        <v>6542.1420000000153</v>
      </c>
      <c r="BO1050" s="343">
        <f>SUMIFS($AU$134:AU1051,$AQ$134:AQ1051,"D")</f>
        <v>5642.2366666667649</v>
      </c>
      <c r="BP1050" s="343">
        <f>SUMIFS($AU$134:AU1053,$AQ$134:AQ1053,"W")</f>
        <v>3826.7233333332406</v>
      </c>
      <c r="BQ1050" s="343">
        <f>SUMIFS($AU$134:AU1051,$Q$134:Q1051,"O")</f>
        <v>-779.04333333313514</v>
      </c>
      <c r="BR1050" s="343">
        <f>SUMIFS($AU$134:AU1051,$AA$134:AA1051,"*")</f>
        <v>18601.475333333263</v>
      </c>
      <c r="BS1050" s="343">
        <f>SUMIFS($AU$134:AU1051,$AB$134:AB1051,"*")</f>
        <v>4476.1566666669405</v>
      </c>
      <c r="BT1050" s="343">
        <f>SUMIFS($AU$134:AU1051,$AC$134:AC1051,"*")</f>
        <v>11847.683333333332</v>
      </c>
      <c r="BU1050" s="343">
        <f>SUMIFS($AU$134:AU1051,$AA$134:AA1051,"*",$AB$134:AB1051,"*")</f>
        <v>2626.0000000000045</v>
      </c>
      <c r="BV1050" s="343">
        <f>SUMIFS($AU$134:AU1051,$AA$134:AA1051,"*",$AC$134:AC1051,"*")</f>
        <v>10028.783333333333</v>
      </c>
      <c r="BW1050" s="343">
        <f>SUMIFS($AU$134:AU1051,$AB$134:AB1051,"*",$AC$134:AC1051,"*")</f>
        <v>6014.6</v>
      </c>
      <c r="BX1050" s="343">
        <f>SUMIFS($AU1051:AU$1388,$Q1051:Q$1388,"F")</f>
        <v>7570.1333333333323</v>
      </c>
      <c r="BY1050" s="343">
        <f>SUMIFS($AU1051:AU$1388,$Q1051:Q$1388,"S")</f>
        <v>6155.2000000000007</v>
      </c>
      <c r="BZ1050" s="343">
        <f>SUMIFS($AU1051:AU$1388,$Q1051:Q$1388,"O")</f>
        <v>-869.81466666666324</v>
      </c>
    </row>
    <row r="1051" spans="1:78" ht="15.75" customHeight="1">
      <c r="A1051" s="221" t="s">
        <v>3735</v>
      </c>
      <c r="B1051" s="177">
        <v>45189</v>
      </c>
      <c r="C1051" s="178" t="s">
        <v>2860</v>
      </c>
      <c r="D1051" s="178" t="s">
        <v>151</v>
      </c>
      <c r="E1051" s="227"/>
      <c r="F1051" s="180"/>
      <c r="G1051" s="181" t="s">
        <v>3858</v>
      </c>
      <c r="H1051" s="182"/>
      <c r="I1051" s="182"/>
      <c r="J1051" s="182"/>
      <c r="K1051" s="183"/>
      <c r="L1051" s="182"/>
      <c r="M1051" s="182"/>
      <c r="N1051" s="182"/>
      <c r="O1051" s="183"/>
      <c r="P1051" s="183"/>
      <c r="Q1051" s="183"/>
      <c r="R1051" s="183"/>
      <c r="S1051" s="183"/>
      <c r="T1051" s="183"/>
      <c r="U1051" s="183"/>
      <c r="V1051" s="183"/>
      <c r="W1051" s="183"/>
      <c r="X1051" s="183"/>
      <c r="Y1051" s="184"/>
      <c r="Z1051" s="185"/>
      <c r="AA1051" s="185"/>
      <c r="AB1051" s="185"/>
      <c r="AC1051" s="185"/>
      <c r="AD1051" s="649"/>
      <c r="AE1051" s="182"/>
      <c r="AF1051" s="332"/>
      <c r="AG1051" s="182"/>
      <c r="AH1051" s="182"/>
      <c r="AI1051" s="182"/>
      <c r="AJ1051" s="640"/>
      <c r="AK1051" s="182"/>
      <c r="AL1051" s="496"/>
      <c r="AM1051" s="496"/>
      <c r="AN1051" s="626"/>
      <c r="AO1051" s="182"/>
      <c r="AP1051" s="182"/>
      <c r="AQ1051" s="332" t="str">
        <f>UPPER(RIGHT(Journal_Live[[#This Row],[DURATION ]]))</f>
        <v/>
      </c>
      <c r="AR1051" s="182"/>
      <c r="AS1051" s="189"/>
      <c r="AT1051" s="189">
        <f>IF(ISBLANK(AS1051),,IF(U1051="S",AD1051-AS1051,AS1051-AD1051))</f>
        <v>0</v>
      </c>
      <c r="AU1051" s="187">
        <f>AV1051*R1051</f>
        <v>0</v>
      </c>
      <c r="AV1051" s="190">
        <f>IF(ISBLANK(AS1051),,(AT1051*Z1051))</f>
        <v>0</v>
      </c>
      <c r="AW1051" s="191"/>
      <c r="AX1051" s="407" t="s">
        <v>3859</v>
      </c>
      <c r="AY1051" s="407"/>
      <c r="AZ1051" s="407"/>
      <c r="BA1051" s="407"/>
      <c r="BB1051" s="407"/>
      <c r="BC1051" s="407"/>
      <c r="BD1051" s="407"/>
      <c r="BE1051" s="407"/>
      <c r="BF1051" s="422"/>
      <c r="BG1051" s="391">
        <f>SUM($AV$4:AV1051)</f>
        <v>4621.8922756769825</v>
      </c>
      <c r="BH1051" s="392">
        <f>SUM($AU$134:AU1051)</f>
        <v>20503.132000000202</v>
      </c>
      <c r="BI1051" s="318">
        <f>SUMIFS($AU$134:AU1052,$Q$134:Q1052,"F")</f>
        <v>6870.5333333333328</v>
      </c>
      <c r="BJ1051" s="318">
        <f>SUMIFS($AU$134:AU1052,$Q$134:Q1052,"S")</f>
        <v>15092.441999999999</v>
      </c>
      <c r="BK1051" s="343">
        <f>SUMIFS($AU$134:AU1052,$P$134:P1052,"W")</f>
        <v>12691.741999999942</v>
      </c>
      <c r="BL1051" s="343">
        <f>SUMIFS($AU$134:AU1052,$P$134:P1052,"R")</f>
        <v>9060.6733333333359</v>
      </c>
      <c r="BM1051" s="343">
        <f>SUMIFS($AU$134:AU1052,$AQ$134:AQ1052,"M")</f>
        <v>2745.3999999999201</v>
      </c>
      <c r="BN1051" s="343">
        <f>SUMIFS($AU$134:AU1052,$AQ$134:AQ1052,"H")</f>
        <v>7118.1420000000153</v>
      </c>
      <c r="BO1051" s="343">
        <f>SUMIFS($AU$134:AU1052,$AQ$134:AQ1052,"D")</f>
        <v>5642.2366666667649</v>
      </c>
      <c r="BP1051" s="343">
        <f>SUMIFS($AU$134:AU1054,$AQ$134:AQ1054,"W")</f>
        <v>3826.7233333332406</v>
      </c>
      <c r="BQ1051" s="343">
        <f>SUMIFS($AU$134:AU1052,$Q$134:Q1052,"O")</f>
        <v>-779.04333333313514</v>
      </c>
      <c r="BR1051" s="343">
        <f>SUMIFS($AU$134:AU1052,$AA$134:AA1052,"*")</f>
        <v>19177.475333333263</v>
      </c>
      <c r="BS1051" s="343">
        <f>SUMIFS($AU$134:AU1052,$AB$134:AB1052,"*")</f>
        <v>5052.1566666669405</v>
      </c>
      <c r="BT1051" s="343">
        <f>SUMIFS($AU$134:AU1052,$AC$134:AC1052,"*")</f>
        <v>11847.683333333332</v>
      </c>
      <c r="BU1051" s="343">
        <f>SUMIFS($AU$134:AU1052,$AA$134:AA1052,"*",$AB$134:AB1052,"*")</f>
        <v>3202.0000000000045</v>
      </c>
      <c r="BV1051" s="343">
        <f>SUMIFS($AU$134:AU1052,$AA$134:AA1052,"*",$AC$134:AC1052,"*")</f>
        <v>10028.783333333333</v>
      </c>
      <c r="BW1051" s="343">
        <f>SUMIFS($AU$134:AU1052,$AB$134:AB1052,"*",$AC$134:AC1052,"*")</f>
        <v>6014.6</v>
      </c>
      <c r="BX1051" s="343">
        <f>SUMIFS($AU1052:AU$1388,$Q1052:Q$1388,"F")</f>
        <v>7570.1333333333323</v>
      </c>
      <c r="BY1051" s="343">
        <f>SUMIFS($AU1052:AU$1388,$Q1052:Q$1388,"S")</f>
        <v>6155.2000000000007</v>
      </c>
      <c r="BZ1051" s="343">
        <f>SUMIFS($AU1052:AU$1388,$Q1052:Q$1388,"O")</f>
        <v>-869.81466666666324</v>
      </c>
    </row>
    <row r="1052" spans="1:78" ht="15.75" customHeight="1">
      <c r="A1052" s="221" t="s">
        <v>3735</v>
      </c>
      <c r="B1052" s="177">
        <v>45189</v>
      </c>
      <c r="C1052" s="178" t="s">
        <v>733</v>
      </c>
      <c r="D1052" s="178" t="s">
        <v>151</v>
      </c>
      <c r="E1052" s="227"/>
      <c r="F1052" s="180"/>
      <c r="G1052" s="281" t="s">
        <v>2145</v>
      </c>
      <c r="H1052" s="182"/>
      <c r="I1052" s="182"/>
      <c r="J1052" s="182"/>
      <c r="K1052" s="183"/>
      <c r="L1052" s="182">
        <v>1</v>
      </c>
      <c r="M1052" s="182">
        <v>1</v>
      </c>
      <c r="N1052" s="182"/>
      <c r="O1052" s="183" t="s">
        <v>95</v>
      </c>
      <c r="P1052" s="183" t="s">
        <v>96</v>
      </c>
      <c r="Q1052" s="183" t="s">
        <v>97</v>
      </c>
      <c r="R1052" s="183">
        <v>12</v>
      </c>
      <c r="S1052" s="183">
        <v>0</v>
      </c>
      <c r="T1052" s="183">
        <v>7</v>
      </c>
      <c r="U1052" s="183" t="s">
        <v>22</v>
      </c>
      <c r="V1052" s="183"/>
      <c r="W1052" s="183"/>
      <c r="X1052" s="183"/>
      <c r="Y1052" s="184">
        <f>IF(ISBLANK(O1052),"",(IF(O1052=UPPER("IB"),0.005,0.01)))</f>
        <v>0.01</v>
      </c>
      <c r="Z1052" s="185">
        <f>IF(ISBLANK(O1052),"",IF(O1052="IB",8.63*200,IF(O1052="IR",16*100,IF(O1052="YT",20*100,IF(O1052="YT-XT",24*200,IF(O1052="TED",80*100))))))</f>
        <v>1600</v>
      </c>
      <c r="AA1052" s="185" t="s">
        <v>3860</v>
      </c>
      <c r="AB1052" s="185" t="s">
        <v>3861</v>
      </c>
      <c r="AC1052" s="185"/>
      <c r="AD1052" s="649">
        <f>(0.1*7+0.11*5)/12</f>
        <v>0.10416666666666667</v>
      </c>
      <c r="AE1052" s="182"/>
      <c r="AF1052" s="332"/>
      <c r="AG1052" s="182"/>
      <c r="AH1052" s="182"/>
      <c r="AI1052" s="182"/>
      <c r="AJ1052" s="640"/>
      <c r="AK1052" s="182"/>
      <c r="AL1052" s="496">
        <f>-0.025*Z1052</f>
        <v>-40</v>
      </c>
      <c r="AM1052" s="496">
        <f>AL1052*(R1052-S1052)</f>
        <v>-480</v>
      </c>
      <c r="AN1052" s="626"/>
      <c r="AO1052" s="182"/>
      <c r="AP1052" s="182" t="s">
        <v>1005</v>
      </c>
      <c r="AQ1052" s="332" t="str">
        <f>UPPER(RIGHT(Journal_Live[[#This Row],[DURATION ]]))</f>
        <v>H</v>
      </c>
      <c r="AR1052" s="182" t="s">
        <v>3862</v>
      </c>
      <c r="AS1052" s="189">
        <f>(0.13*7+0.14*5)/12</f>
        <v>0.13416666666666668</v>
      </c>
      <c r="AT1052" s="189">
        <f>IF(ISBLANK(AS1052),,IF(U1052="S",AD1052-AS1052,AS1052-AD1052))</f>
        <v>3.0000000000000013E-2</v>
      </c>
      <c r="AU1052" s="187">
        <f>AV1052*R1052</f>
        <v>576.00000000000023</v>
      </c>
      <c r="AV1052" s="190">
        <f>IF(ISBLANK(AS1052),,(AT1052*Z1052))</f>
        <v>48.000000000000021</v>
      </c>
      <c r="AW1052" s="191" t="s">
        <v>96</v>
      </c>
      <c r="AX1052" s="407" t="s">
        <v>3863</v>
      </c>
      <c r="AY1052" s="407"/>
      <c r="AZ1052" s="407"/>
      <c r="BA1052" s="407"/>
      <c r="BB1052" s="407"/>
      <c r="BC1052" s="407"/>
      <c r="BD1052" s="407"/>
      <c r="BE1052" s="407"/>
      <c r="BF1052" s="422"/>
      <c r="BG1052" s="391">
        <f>SUM($AV$4:AV1052)</f>
        <v>4669.8922756769825</v>
      </c>
      <c r="BH1052" s="392">
        <f>SUM($AU$134:AU1052)</f>
        <v>21079.132000000202</v>
      </c>
      <c r="BI1052" s="318">
        <f>SUMIFS($AU$134:AU1053,$Q$134:Q1053,"F")</f>
        <v>6870.5333333333328</v>
      </c>
      <c r="BJ1052" s="318">
        <f>SUMIFS($AU$134:AU1053,$Q$134:Q1053,"S")</f>
        <v>15092.441999999999</v>
      </c>
      <c r="BK1052" s="343">
        <f>SUMIFS($AU$134:AU1053,$P$134:P1053,"W")</f>
        <v>12691.741999999942</v>
      </c>
      <c r="BL1052" s="343">
        <f>SUMIFS($AU$134:AU1053,$P$134:P1053,"R")</f>
        <v>9060.6733333333359</v>
      </c>
      <c r="BM1052" s="343">
        <f>SUMIFS($AU$134:AU1053,$AQ$134:AQ1053,"M")</f>
        <v>2745.3999999999201</v>
      </c>
      <c r="BN1052" s="343">
        <f>SUMIFS($AU$134:AU1053,$AQ$134:AQ1053,"H")</f>
        <v>7118.1420000000153</v>
      </c>
      <c r="BO1052" s="343">
        <f>SUMIFS($AU$134:AU1053,$AQ$134:AQ1053,"D")</f>
        <v>5642.2366666667649</v>
      </c>
      <c r="BP1052" s="343">
        <f>SUMIFS($AU$134:AU1055,$AQ$134:AQ1055,"W")</f>
        <v>3826.7233333332406</v>
      </c>
      <c r="BQ1052" s="343">
        <f>SUMIFS($AU$134:AU1053,$Q$134:Q1053,"O")</f>
        <v>-779.04333333313514</v>
      </c>
      <c r="BR1052" s="343">
        <f>SUMIFS($AU$134:AU1053,$AA$134:AA1053,"*")</f>
        <v>19177.475333333263</v>
      </c>
      <c r="BS1052" s="343">
        <f>SUMIFS($AU$134:AU1053,$AB$134:AB1053,"*")</f>
        <v>5052.1566666669405</v>
      </c>
      <c r="BT1052" s="343">
        <f>SUMIFS($AU$134:AU1053,$AC$134:AC1053,"*")</f>
        <v>11847.683333333332</v>
      </c>
      <c r="BU1052" s="343">
        <f>SUMIFS($AU$134:AU1053,$AA$134:AA1053,"*",$AB$134:AB1053,"*")</f>
        <v>3202.0000000000045</v>
      </c>
      <c r="BV1052" s="343">
        <f>SUMIFS($AU$134:AU1053,$AA$134:AA1053,"*",$AC$134:AC1053,"*")</f>
        <v>10028.783333333333</v>
      </c>
      <c r="BW1052" s="343">
        <f>SUMIFS($AU$134:AU1053,$AB$134:AB1053,"*",$AC$134:AC1053,"*")</f>
        <v>6014.6</v>
      </c>
      <c r="BX1052" s="343">
        <f>SUMIFS($AU1053:AU$1388,$Q1053:Q$1388,"F")</f>
        <v>7570.1333333333323</v>
      </c>
      <c r="BY1052" s="343">
        <f>SUMIFS($AU1053:AU$1388,$Q1053:Q$1388,"S")</f>
        <v>5579.2000000000007</v>
      </c>
      <c r="BZ1052" s="343">
        <f>SUMIFS($AU1053:AU$1388,$Q1053:Q$1388,"O")</f>
        <v>-869.81466666666324</v>
      </c>
    </row>
    <row r="1053" spans="1:78" ht="15.75" customHeight="1">
      <c r="A1053" s="221" t="s">
        <v>3735</v>
      </c>
      <c r="B1053" s="177">
        <v>45189</v>
      </c>
      <c r="C1053" s="178" t="s">
        <v>2661</v>
      </c>
      <c r="D1053" s="178" t="s">
        <v>151</v>
      </c>
      <c r="E1053" s="227" t="s">
        <v>3864</v>
      </c>
      <c r="F1053" s="180" t="s">
        <v>3865</v>
      </c>
      <c r="G1053" s="181"/>
      <c r="H1053" s="182"/>
      <c r="I1053" s="182"/>
      <c r="J1053" s="182">
        <v>1</v>
      </c>
      <c r="K1053" s="183" t="s">
        <v>115</v>
      </c>
      <c r="L1053" s="182"/>
      <c r="M1053" s="182"/>
      <c r="N1053" s="182"/>
      <c r="O1053" s="183"/>
      <c r="P1053" s="183"/>
      <c r="Q1053" s="183"/>
      <c r="R1053" s="183"/>
      <c r="S1053" s="183"/>
      <c r="T1053" s="183"/>
      <c r="U1053" s="183"/>
      <c r="V1053" s="183"/>
      <c r="W1053" s="183"/>
      <c r="X1053" s="183"/>
      <c r="Y1053" s="183"/>
      <c r="Z1053" s="185" t="str">
        <f>IF(ISBLANK(O1053),"",IF(O1053="IB",8.63*200,IF(O1053="IR",16*100,IF(O1053="YT",20*100,IF(O1053="YT-XT",24*200,IF(O1053="TED",80*100))))))</f>
        <v/>
      </c>
      <c r="AA1053" s="185"/>
      <c r="AB1053" s="185"/>
      <c r="AC1053" s="185"/>
      <c r="AD1053" s="649"/>
      <c r="AE1053" s="182"/>
      <c r="AF1053" s="332"/>
      <c r="AG1053" s="182"/>
      <c r="AH1053" s="182"/>
      <c r="AI1053" s="182"/>
      <c r="AJ1053" s="640"/>
      <c r="AK1053" s="182"/>
      <c r="AL1053" s="496"/>
      <c r="AM1053" s="496"/>
      <c r="AN1053" s="626"/>
      <c r="AO1053" s="182"/>
      <c r="AP1053" s="182"/>
      <c r="AQ1053" s="332" t="str">
        <f>UPPER(RIGHT(Journal_Live[[#This Row],[DURATION ]]))</f>
        <v/>
      </c>
      <c r="AR1053" s="182"/>
      <c r="AS1053" s="189"/>
      <c r="AT1053" s="189"/>
      <c r="AU1053" s="187"/>
      <c r="AV1053" s="190"/>
      <c r="AW1053" s="191"/>
      <c r="AX1053" s="407"/>
      <c r="AY1053" s="407"/>
      <c r="AZ1053" s="407"/>
      <c r="BA1053" s="407"/>
      <c r="BB1053" s="407"/>
      <c r="BC1053" s="407"/>
      <c r="BD1053" s="407"/>
      <c r="BE1053" s="407"/>
      <c r="BF1053" s="422"/>
      <c r="BG1053" s="391">
        <f>SUM($AV$4:AV1053)</f>
        <v>4669.8922756769825</v>
      </c>
      <c r="BH1053" s="392">
        <f>SUM($AU$134:AU1053)</f>
        <v>21079.132000000202</v>
      </c>
      <c r="BI1053" s="318">
        <f>SUMIFS($AU$134:AU1054,$Q$134:Q1054,"F")</f>
        <v>6870.5333333333328</v>
      </c>
      <c r="BJ1053" s="318">
        <f>SUMIFS($AU$134:AU1054,$Q$134:Q1054,"S")</f>
        <v>15092.441999999999</v>
      </c>
      <c r="BK1053" s="343">
        <f>SUMIFS($AU$134:AU1054,$P$134:P1054,"W")</f>
        <v>12691.741999999942</v>
      </c>
      <c r="BL1053" s="343">
        <f>SUMIFS($AU$134:AU1054,$P$134:P1054,"R")</f>
        <v>9060.6733333333359</v>
      </c>
      <c r="BM1053" s="343">
        <f>SUMIFS($AU$134:AU1054,$AQ$134:AQ1054,"M")</f>
        <v>2745.3999999999201</v>
      </c>
      <c r="BN1053" s="343">
        <f>SUMIFS($AU$134:AU1054,$AQ$134:AQ1054,"H")</f>
        <v>7118.1420000000153</v>
      </c>
      <c r="BO1053" s="343">
        <f>SUMIFS($AU$134:AU1054,$AQ$134:AQ1054,"D")</f>
        <v>5642.2366666667649</v>
      </c>
      <c r="BP1053" s="343">
        <f>SUMIFS($AU$134:AU1056,$AQ$134:AQ1056,"W")</f>
        <v>3826.7233333332406</v>
      </c>
      <c r="BQ1053" s="343">
        <f>SUMIFS($AU$134:AU1054,$Q$134:Q1054,"O")</f>
        <v>-779.04333333313514</v>
      </c>
      <c r="BR1053" s="343">
        <f>SUMIFS($AU$134:AU1054,$AA$134:AA1054,"*")</f>
        <v>19177.475333333263</v>
      </c>
      <c r="BS1053" s="343">
        <f>SUMIFS($AU$134:AU1054,$AB$134:AB1054,"*")</f>
        <v>5052.1566666669405</v>
      </c>
      <c r="BT1053" s="343">
        <f>SUMIFS($AU$134:AU1054,$AC$134:AC1054,"*")</f>
        <v>11847.683333333332</v>
      </c>
      <c r="BU1053" s="343">
        <f>SUMIFS($AU$134:AU1054,$AA$134:AA1054,"*",$AB$134:AB1054,"*")</f>
        <v>3202.0000000000045</v>
      </c>
      <c r="BV1053" s="343">
        <f>SUMIFS($AU$134:AU1054,$AA$134:AA1054,"*",$AC$134:AC1054,"*")</f>
        <v>10028.783333333333</v>
      </c>
      <c r="BW1053" s="343">
        <f>SUMIFS($AU$134:AU1054,$AB$134:AB1054,"*",$AC$134:AC1054,"*")</f>
        <v>6014.6</v>
      </c>
      <c r="BX1053" s="343">
        <f>SUMIFS($AU1054:AU$1388,$Q1054:Q$1388,"F")</f>
        <v>7570.1333333333323</v>
      </c>
      <c r="BY1053" s="343">
        <f>SUMIFS($AU1054:AU$1388,$Q1054:Q$1388,"S")</f>
        <v>5579.2000000000007</v>
      </c>
      <c r="BZ1053" s="343">
        <f>SUMIFS($AU1054:AU$1388,$Q1054:Q$1388,"O")</f>
        <v>-869.81466666666324</v>
      </c>
    </row>
    <row r="1054" spans="1:78" ht="15.75" customHeight="1">
      <c r="A1054" s="221" t="s">
        <v>3735</v>
      </c>
      <c r="B1054" s="177">
        <v>45189</v>
      </c>
      <c r="C1054" s="178" t="s">
        <v>1481</v>
      </c>
      <c r="D1054" s="178" t="s">
        <v>151</v>
      </c>
      <c r="E1054" s="227" t="s">
        <v>3866</v>
      </c>
      <c r="F1054" s="180" t="s">
        <v>3867</v>
      </c>
      <c r="G1054" s="181"/>
      <c r="H1054" s="182"/>
      <c r="I1054" s="182"/>
      <c r="J1054" s="182"/>
      <c r="K1054" s="183"/>
      <c r="L1054" s="182"/>
      <c r="M1054" s="182"/>
      <c r="N1054" s="182"/>
      <c r="O1054" s="183"/>
      <c r="P1054" s="183"/>
      <c r="Q1054" s="183"/>
      <c r="R1054" s="183"/>
      <c r="S1054" s="183"/>
      <c r="T1054" s="183"/>
      <c r="U1054" s="183"/>
      <c r="V1054" s="183"/>
      <c r="W1054" s="183"/>
      <c r="X1054" s="183"/>
      <c r="Y1054" s="183"/>
      <c r="Z1054" s="185" t="str">
        <f>IF(ISBLANK(O1054),"",IF(O1054="IB",8.63*200,IF(O1054="IR",16*100,IF(O1054="YT",20*100,IF(O1054="YT-XT",24*200,IF(O1054="TED",80*100))))))</f>
        <v/>
      </c>
      <c r="AA1054" s="185"/>
      <c r="AB1054" s="185"/>
      <c r="AC1054" s="185"/>
      <c r="AD1054" s="649"/>
      <c r="AE1054" s="182"/>
      <c r="AF1054" s="332"/>
      <c r="AG1054" s="182"/>
      <c r="AH1054" s="182"/>
      <c r="AI1054" s="182"/>
      <c r="AJ1054" s="640"/>
      <c r="AK1054" s="182"/>
      <c r="AL1054" s="496"/>
      <c r="AM1054" s="496"/>
      <c r="AN1054" s="626"/>
      <c r="AO1054" s="182"/>
      <c r="AP1054" s="182"/>
      <c r="AQ1054" s="332" t="str">
        <f>UPPER(RIGHT(Journal_Live[[#This Row],[DURATION ]]))</f>
        <v/>
      </c>
      <c r="AR1054" s="182"/>
      <c r="AS1054" s="189"/>
      <c r="AT1054" s="189"/>
      <c r="AU1054" s="187"/>
      <c r="AV1054" s="190"/>
      <c r="AW1054" s="191"/>
      <c r="AX1054" s="407" t="s">
        <v>3868</v>
      </c>
      <c r="AY1054" s="407" t="s">
        <v>3869</v>
      </c>
      <c r="AZ1054" s="407" t="s">
        <v>3870</v>
      </c>
      <c r="BA1054" s="407"/>
      <c r="BB1054" s="407"/>
      <c r="BC1054" s="407"/>
      <c r="BD1054" s="407"/>
      <c r="BE1054" s="407"/>
      <c r="BF1054" s="422"/>
      <c r="BG1054" s="391">
        <f>SUM($AV$4:AV1054)</f>
        <v>4669.8922756769825</v>
      </c>
      <c r="BH1054" s="392">
        <f>SUM($AU$134:AU1054)</f>
        <v>21079.132000000202</v>
      </c>
      <c r="BI1054" s="318">
        <f>SUMIFS($AU$134:AU1055,$Q$134:Q1055,"F")</f>
        <v>6870.5333333333328</v>
      </c>
      <c r="BJ1054" s="318">
        <f>SUMIFS($AU$134:AU1055,$Q$134:Q1055,"S")</f>
        <v>15092.441999999999</v>
      </c>
      <c r="BK1054" s="343">
        <f>SUMIFS($AU$134:AU1055,$P$134:P1055,"W")</f>
        <v>12691.741999999942</v>
      </c>
      <c r="BL1054" s="343">
        <f>SUMIFS($AU$134:AU1055,$P$134:P1055,"R")</f>
        <v>9060.6733333333359</v>
      </c>
      <c r="BM1054" s="343">
        <f>SUMIFS($AU$134:AU1055,$AQ$134:AQ1055,"M")</f>
        <v>2745.3999999999201</v>
      </c>
      <c r="BN1054" s="343">
        <f>SUMIFS($AU$134:AU1055,$AQ$134:AQ1055,"H")</f>
        <v>7118.1420000000153</v>
      </c>
      <c r="BO1054" s="343">
        <f>SUMIFS($AU$134:AU1055,$AQ$134:AQ1055,"D")</f>
        <v>5642.2366666667649</v>
      </c>
      <c r="BP1054" s="343">
        <f>SUMIFS($AU$134:AU1057,$AQ$134:AQ1057,"W")</f>
        <v>3826.7233333332406</v>
      </c>
      <c r="BQ1054" s="343">
        <f>SUMIFS($AU$134:AU1055,$Q$134:Q1055,"O")</f>
        <v>-779.04333333313514</v>
      </c>
      <c r="BR1054" s="343">
        <f>SUMIFS($AU$134:AU1055,$AA$134:AA1055,"*")</f>
        <v>19177.475333333263</v>
      </c>
      <c r="BS1054" s="343">
        <f>SUMIFS($AU$134:AU1055,$AB$134:AB1055,"*")</f>
        <v>5052.1566666669405</v>
      </c>
      <c r="BT1054" s="343">
        <f>SUMIFS($AU$134:AU1055,$AC$134:AC1055,"*")</f>
        <v>11847.683333333332</v>
      </c>
      <c r="BU1054" s="343">
        <f>SUMIFS($AU$134:AU1055,$AA$134:AA1055,"*",$AB$134:AB1055,"*")</f>
        <v>3202.0000000000045</v>
      </c>
      <c r="BV1054" s="343">
        <f>SUMIFS($AU$134:AU1055,$AA$134:AA1055,"*",$AC$134:AC1055,"*")</f>
        <v>10028.783333333333</v>
      </c>
      <c r="BW1054" s="343">
        <f>SUMIFS($AU$134:AU1055,$AB$134:AB1055,"*",$AC$134:AC1055,"*")</f>
        <v>6014.6</v>
      </c>
      <c r="BX1054" s="343">
        <f>SUMIFS($AU1055:AU$1388,$Q1055:Q$1388,"F")</f>
        <v>7570.1333333333323</v>
      </c>
      <c r="BY1054" s="343">
        <f>SUMIFS($AU1055:AU$1388,$Q1055:Q$1388,"S")</f>
        <v>5579.2000000000007</v>
      </c>
      <c r="BZ1054" s="343">
        <f>SUMIFS($AU1055:AU$1388,$Q1055:Q$1388,"O")</f>
        <v>-869.81466666666324</v>
      </c>
    </row>
    <row r="1055" spans="1:78" ht="15.75" customHeight="1">
      <c r="A1055" s="221" t="s">
        <v>3735</v>
      </c>
      <c r="B1055" s="177">
        <v>45189</v>
      </c>
      <c r="C1055" s="178" t="s">
        <v>682</v>
      </c>
      <c r="D1055" s="178" t="s">
        <v>151</v>
      </c>
      <c r="E1055" s="227"/>
      <c r="F1055" s="180"/>
      <c r="G1055" s="281" t="s">
        <v>3871</v>
      </c>
      <c r="H1055" s="182"/>
      <c r="I1055" s="182"/>
      <c r="J1055" s="182"/>
      <c r="K1055" s="183"/>
      <c r="L1055" s="182"/>
      <c r="M1055" s="182">
        <v>1</v>
      </c>
      <c r="N1055" s="182"/>
      <c r="O1055" s="183" t="s">
        <v>95</v>
      </c>
      <c r="P1055" s="183" t="s">
        <v>96</v>
      </c>
      <c r="Q1055" s="183" t="s">
        <v>97</v>
      </c>
      <c r="R1055" s="183">
        <v>10</v>
      </c>
      <c r="S1055" s="183">
        <v>0</v>
      </c>
      <c r="T1055" s="183">
        <v>10</v>
      </c>
      <c r="U1055" s="183" t="s">
        <v>97</v>
      </c>
      <c r="V1055" s="183"/>
      <c r="W1055" s="183"/>
      <c r="X1055" s="183"/>
      <c r="Y1055" s="184">
        <f>IF(ISBLANK(O1055),"",(IF(O1055=UPPER("IB"),0.005,0.01)))</f>
        <v>0.01</v>
      </c>
      <c r="Z1055" s="185">
        <f>IF(ISBLANK(O1055),"",IF(O1055="IB",8.63*200,IF(O1055="IR",16*100,IF(O1055="YT",20*100,IF(O1055="YT-XT",24*200,IF(O1055="TED",80*100))))))</f>
        <v>1600</v>
      </c>
      <c r="AA1055" s="185" t="s">
        <v>3872</v>
      </c>
      <c r="AB1055" s="185"/>
      <c r="AC1055" s="185"/>
      <c r="AD1055" s="649">
        <v>0</v>
      </c>
      <c r="AE1055" s="182"/>
      <c r="AF1055" s="332"/>
      <c r="AG1055" s="182"/>
      <c r="AH1055" s="182"/>
      <c r="AI1055" s="182"/>
      <c r="AJ1055" s="640"/>
      <c r="AK1055" s="182"/>
      <c r="AL1055" s="496"/>
      <c r="AM1055" s="496"/>
      <c r="AN1055" s="626"/>
      <c r="AO1055" s="182"/>
      <c r="AP1055" s="182" t="s">
        <v>1897</v>
      </c>
      <c r="AQ1055" s="332" t="str">
        <f>UPPER(RIGHT(Journal_Live[[#This Row],[DURATION ]]))</f>
        <v>H</v>
      </c>
      <c r="AR1055" s="182" t="s">
        <v>3873</v>
      </c>
      <c r="AS1055" s="189">
        <v>0</v>
      </c>
      <c r="AT1055" s="189">
        <f>IF(ISBLANK(AS1055),,IF(U1055="S",AD1055-AS1055,AS1055-AD1055))</f>
        <v>0</v>
      </c>
      <c r="AU1055" s="187">
        <f>AV1055*R1055</f>
        <v>0</v>
      </c>
      <c r="AV1055" s="190">
        <f>IF(ISBLANK(AS1055),,(AT1055*Z1055))</f>
        <v>0</v>
      </c>
      <c r="AW1055" s="191" t="s">
        <v>115</v>
      </c>
      <c r="AX1055" s="407"/>
      <c r="AY1055" s="407"/>
      <c r="AZ1055" s="407"/>
      <c r="BA1055" s="407"/>
      <c r="BB1055" s="407"/>
      <c r="BC1055" s="407"/>
      <c r="BD1055" s="407"/>
      <c r="BE1055" s="407"/>
      <c r="BF1055" s="422"/>
      <c r="BG1055" s="391">
        <f>SUM($AV$4:AV1055)</f>
        <v>4669.8922756769825</v>
      </c>
      <c r="BH1055" s="392">
        <f>SUM($AU$134:AU1055)</f>
        <v>21079.132000000202</v>
      </c>
      <c r="BI1055" s="318">
        <f>SUMIFS($AU$134:AU1056,$Q$134:Q1056,"F")</f>
        <v>6870.5333333333328</v>
      </c>
      <c r="BJ1055" s="318">
        <f>SUMIFS($AU$134:AU1056,$Q$134:Q1056,"S")</f>
        <v>15092.441999999999</v>
      </c>
      <c r="BK1055" s="343">
        <f>SUMIFS($AU$134:AU1056,$P$134:P1056,"W")</f>
        <v>12691.741999999942</v>
      </c>
      <c r="BL1055" s="343">
        <f>SUMIFS($AU$134:AU1056,$P$134:P1056,"R")</f>
        <v>9060.6733333333359</v>
      </c>
      <c r="BM1055" s="343">
        <f>SUMIFS($AU$134:AU1056,$AQ$134:AQ1056,"M")</f>
        <v>2745.3999999999201</v>
      </c>
      <c r="BN1055" s="343">
        <f>SUMIFS($AU$134:AU1056,$AQ$134:AQ1056,"H")</f>
        <v>7118.1420000000153</v>
      </c>
      <c r="BO1055" s="343">
        <f>SUMIFS($AU$134:AU1056,$AQ$134:AQ1056,"D")</f>
        <v>5642.2366666667649</v>
      </c>
      <c r="BP1055" s="343">
        <f>SUMIFS($AU$134:AU1058,$AQ$134:AQ1058,"W")</f>
        <v>3826.7233333332406</v>
      </c>
      <c r="BQ1055" s="343">
        <f>SUMIFS($AU$134:AU1056,$Q$134:Q1056,"O")</f>
        <v>-779.04333333313514</v>
      </c>
      <c r="BR1055" s="343">
        <f>SUMIFS($AU$134:AU1056,$AA$134:AA1056,"*")</f>
        <v>19177.475333333263</v>
      </c>
      <c r="BS1055" s="343">
        <f>SUMIFS($AU$134:AU1056,$AB$134:AB1056,"*")</f>
        <v>5052.1566666669405</v>
      </c>
      <c r="BT1055" s="343">
        <f>SUMIFS($AU$134:AU1056,$AC$134:AC1056,"*")</f>
        <v>11847.683333333332</v>
      </c>
      <c r="BU1055" s="343">
        <f>SUMIFS($AU$134:AU1056,$AA$134:AA1056,"*",$AB$134:AB1056,"*")</f>
        <v>3202.0000000000045</v>
      </c>
      <c r="BV1055" s="343">
        <f>SUMIFS($AU$134:AU1056,$AA$134:AA1056,"*",$AC$134:AC1056,"*")</f>
        <v>10028.783333333333</v>
      </c>
      <c r="BW1055" s="343">
        <f>SUMIFS($AU$134:AU1056,$AB$134:AB1056,"*",$AC$134:AC1056,"*")</f>
        <v>6014.6</v>
      </c>
      <c r="BX1055" s="343">
        <f>SUMIFS($AU1056:AU$1388,$Q1056:Q$1388,"F")</f>
        <v>7570.1333333333323</v>
      </c>
      <c r="BY1055" s="343">
        <f>SUMIFS($AU1056:AU$1388,$Q1056:Q$1388,"S")</f>
        <v>5579.2000000000007</v>
      </c>
      <c r="BZ1055" s="343">
        <f>SUMIFS($AU1056:AU$1388,$Q1056:Q$1388,"O")</f>
        <v>-869.81466666666324</v>
      </c>
    </row>
    <row r="1056" spans="1:78" ht="15.75" customHeight="1">
      <c r="A1056" s="221" t="s">
        <v>3735</v>
      </c>
      <c r="B1056" s="177">
        <v>45189</v>
      </c>
      <c r="C1056" s="178" t="s">
        <v>682</v>
      </c>
      <c r="D1056" s="178" t="s">
        <v>151</v>
      </c>
      <c r="E1056" s="227"/>
      <c r="F1056" s="180"/>
      <c r="G1056" s="181" t="s">
        <v>2942</v>
      </c>
      <c r="H1056" s="182"/>
      <c r="I1056" s="182"/>
      <c r="J1056" s="182"/>
      <c r="K1056" s="183"/>
      <c r="L1056" s="182"/>
      <c r="M1056" s="182"/>
      <c r="N1056" s="182"/>
      <c r="O1056" s="183"/>
      <c r="P1056" s="183"/>
      <c r="Q1056" s="183"/>
      <c r="R1056" s="183"/>
      <c r="S1056" s="183"/>
      <c r="T1056" s="183"/>
      <c r="U1056" s="183"/>
      <c r="V1056" s="183"/>
      <c r="W1056" s="183"/>
      <c r="X1056" s="183"/>
      <c r="Y1056" s="184"/>
      <c r="Z1056" s="185"/>
      <c r="AA1056" s="185"/>
      <c r="AB1056" s="185"/>
      <c r="AC1056" s="185"/>
      <c r="AD1056" s="649"/>
      <c r="AE1056" s="182"/>
      <c r="AF1056" s="332"/>
      <c r="AG1056" s="182"/>
      <c r="AH1056" s="182"/>
      <c r="AI1056" s="182"/>
      <c r="AJ1056" s="644"/>
      <c r="AK1056" s="182"/>
      <c r="AL1056" s="496"/>
      <c r="AM1056" s="496"/>
      <c r="AN1056" s="626"/>
      <c r="AO1056" s="182"/>
      <c r="AP1056" s="182"/>
      <c r="AQ1056" s="332" t="str">
        <f>UPPER(RIGHT(Journal_Live[[#This Row],[DURATION ]]))</f>
        <v/>
      </c>
      <c r="AR1056" s="182"/>
      <c r="AS1056" s="189"/>
      <c r="AT1056" s="189"/>
      <c r="AU1056" s="187"/>
      <c r="AV1056" s="190"/>
      <c r="AW1056" s="191"/>
      <c r="AX1056" s="407" t="s">
        <v>3874</v>
      </c>
      <c r="AY1056" s="407"/>
      <c r="AZ1056" s="407"/>
      <c r="BA1056" s="407"/>
      <c r="BB1056" s="407"/>
      <c r="BC1056" s="407"/>
      <c r="BD1056" s="407"/>
      <c r="BE1056" s="407"/>
      <c r="BF1056" s="422"/>
      <c r="BG1056" s="391">
        <f>SUM($AV$4:AV1056)</f>
        <v>4669.8922756769825</v>
      </c>
      <c r="BH1056" s="392">
        <f>SUM($AU$134:AU1056)</f>
        <v>21079.132000000202</v>
      </c>
      <c r="BI1056" s="318">
        <f>SUMIFS($AU$134:AU1057,$Q$134:Q1057,"F")</f>
        <v>6870.5333333333328</v>
      </c>
      <c r="BJ1056" s="318">
        <f>SUMIFS($AU$134:AU1057,$Q$134:Q1057,"S")</f>
        <v>15092.441999999999</v>
      </c>
      <c r="BK1056" s="343">
        <f>SUMIFS($AU$134:AU1057,$P$134:P1057,"W")</f>
        <v>12691.741999999942</v>
      </c>
      <c r="BL1056" s="343">
        <f>SUMIFS($AU$134:AU1057,$P$134:P1057,"R")</f>
        <v>9060.6733333333359</v>
      </c>
      <c r="BM1056" s="343">
        <f>SUMIFS($AU$134:AU1057,$AQ$134:AQ1057,"M")</f>
        <v>2745.3999999999201</v>
      </c>
      <c r="BN1056" s="343">
        <f>SUMIFS($AU$134:AU1057,$AQ$134:AQ1057,"H")</f>
        <v>7118.1420000000153</v>
      </c>
      <c r="BO1056" s="343">
        <f>SUMIFS($AU$134:AU1057,$AQ$134:AQ1057,"D")</f>
        <v>5642.2366666667649</v>
      </c>
      <c r="BP1056" s="343">
        <f>SUMIFS($AU$134:AU1059,$AQ$134:AQ1059,"W")</f>
        <v>3826.7233333332406</v>
      </c>
      <c r="BQ1056" s="343">
        <f>SUMIFS($AU$134:AU1057,$Q$134:Q1057,"O")</f>
        <v>-779.04333333313514</v>
      </c>
      <c r="BR1056" s="343">
        <f>SUMIFS($AU$134:AU1057,$AA$134:AA1057,"*")</f>
        <v>19177.475333333263</v>
      </c>
      <c r="BS1056" s="343">
        <f>SUMIFS($AU$134:AU1057,$AB$134:AB1057,"*")</f>
        <v>5052.1566666669405</v>
      </c>
      <c r="BT1056" s="343">
        <f>SUMIFS($AU$134:AU1057,$AC$134:AC1057,"*")</f>
        <v>11847.683333333332</v>
      </c>
      <c r="BU1056" s="343">
        <f>SUMIFS($AU$134:AU1057,$AA$134:AA1057,"*",$AB$134:AB1057,"*")</f>
        <v>3202.0000000000045</v>
      </c>
      <c r="BV1056" s="343">
        <f>SUMIFS($AU$134:AU1057,$AA$134:AA1057,"*",$AC$134:AC1057,"*")</f>
        <v>10028.783333333333</v>
      </c>
      <c r="BW1056" s="343">
        <f>SUMIFS($AU$134:AU1057,$AB$134:AB1057,"*",$AC$134:AC1057,"*")</f>
        <v>6014.6</v>
      </c>
      <c r="BX1056" s="343">
        <f>SUMIFS($AU1057:AU$1388,$Q1057:Q$1388,"F")</f>
        <v>7570.1333333333323</v>
      </c>
      <c r="BY1056" s="343">
        <f>SUMIFS($AU1057:AU$1388,$Q1057:Q$1388,"S")</f>
        <v>5579.2000000000007</v>
      </c>
      <c r="BZ1056" s="343">
        <f>SUMIFS($AU1057:AU$1388,$Q1057:Q$1388,"O")</f>
        <v>-869.81466666666324</v>
      </c>
    </row>
    <row r="1057" spans="1:78" ht="15.75" customHeight="1">
      <c r="A1057" s="221" t="s">
        <v>3735</v>
      </c>
      <c r="B1057" s="177">
        <v>45189</v>
      </c>
      <c r="C1057" s="178" t="s">
        <v>682</v>
      </c>
      <c r="D1057" s="178" t="s">
        <v>151</v>
      </c>
      <c r="E1057" s="227"/>
      <c r="F1057" s="180"/>
      <c r="G1057" s="281" t="s">
        <v>2070</v>
      </c>
      <c r="H1057" s="182"/>
      <c r="I1057" s="182"/>
      <c r="J1057" s="182"/>
      <c r="K1057" s="183"/>
      <c r="L1057" s="182"/>
      <c r="M1057" s="182">
        <v>1</v>
      </c>
      <c r="N1057" s="182"/>
      <c r="O1057" s="183" t="s">
        <v>95</v>
      </c>
      <c r="P1057" s="183" t="s">
        <v>137</v>
      </c>
      <c r="Q1057" s="183" t="s">
        <v>97</v>
      </c>
      <c r="R1057" s="183">
        <v>20</v>
      </c>
      <c r="S1057" s="183">
        <v>0</v>
      </c>
      <c r="T1057" s="183">
        <v>20</v>
      </c>
      <c r="U1057" s="183" t="s">
        <v>97</v>
      </c>
      <c r="V1057" s="183"/>
      <c r="W1057" s="183"/>
      <c r="X1057" s="183"/>
      <c r="Y1057" s="184">
        <f>IF(ISBLANK(O1057),"",(IF(O1057=UPPER("IB"),0.005,0.01)))</f>
        <v>0.01</v>
      </c>
      <c r="Z1057" s="185">
        <f>IF(ISBLANK(O1057),"",IF(O1057="IB",8.63*200,IF(O1057="IR",16*100,IF(O1057="YT",20*100,IF(O1057="YT-XT",24*200,IF(O1057="TED",80*100))))))</f>
        <v>1600</v>
      </c>
      <c r="AA1057" s="185" t="s">
        <v>99</v>
      </c>
      <c r="AB1057" s="185"/>
      <c r="AC1057" s="185"/>
      <c r="AD1057" s="649">
        <v>-0.1</v>
      </c>
      <c r="AE1057" s="182"/>
      <c r="AF1057" s="332"/>
      <c r="AG1057" s="182"/>
      <c r="AH1057" s="182"/>
      <c r="AI1057" s="182"/>
      <c r="AJ1057" s="640"/>
      <c r="AK1057" s="182"/>
      <c r="AL1057" s="496"/>
      <c r="AM1057" s="496"/>
      <c r="AN1057" s="626"/>
      <c r="AO1057" s="182"/>
      <c r="AP1057" s="182" t="s">
        <v>1897</v>
      </c>
      <c r="AQ1057" s="332" t="str">
        <f>UPPER(RIGHT(Journal_Live[[#This Row],[DURATION ]]))</f>
        <v>H</v>
      </c>
      <c r="AR1057" s="182" t="s">
        <v>3875</v>
      </c>
      <c r="AS1057" s="189">
        <v>-0.1</v>
      </c>
      <c r="AT1057" s="189">
        <f>IF(ISBLANK(AS1057),,IF(U1057="S",AD1057-AS1057,AS1057-AD1057))</f>
        <v>0</v>
      </c>
      <c r="AU1057" s="187">
        <f>AV1057*R1057</f>
        <v>0</v>
      </c>
      <c r="AV1057" s="190">
        <f>IF(ISBLANK(AS1057),,(AT1057*Z1057))</f>
        <v>0</v>
      </c>
      <c r="AW1057" s="191" t="s">
        <v>115</v>
      </c>
      <c r="AX1057" s="407"/>
      <c r="AY1057" s="407"/>
      <c r="AZ1057" s="407"/>
      <c r="BA1057" s="407"/>
      <c r="BB1057" s="407"/>
      <c r="BC1057" s="407"/>
      <c r="BD1057" s="407"/>
      <c r="BE1057" s="407"/>
      <c r="BF1057" s="422"/>
      <c r="BG1057" s="391">
        <f>SUM($AV$4:AV1057)</f>
        <v>4669.8922756769825</v>
      </c>
      <c r="BH1057" s="392">
        <f>SUM($AU$134:AU1057)</f>
        <v>21079.132000000202</v>
      </c>
      <c r="BI1057" s="318">
        <f>SUMIFS($AU$134:AU1058,$Q$134:Q1058,"F")</f>
        <v>6870.5333333333328</v>
      </c>
      <c r="BJ1057" s="318">
        <f>SUMIFS($AU$134:AU1058,$Q$134:Q1058,"S")</f>
        <v>15092.441999999999</v>
      </c>
      <c r="BK1057" s="343">
        <f>SUMIFS($AU$134:AU1058,$P$134:P1058,"W")</f>
        <v>12691.741999999942</v>
      </c>
      <c r="BL1057" s="343">
        <f>SUMIFS($AU$134:AU1058,$P$134:P1058,"R")</f>
        <v>9060.6733333333359</v>
      </c>
      <c r="BM1057" s="343">
        <f>SUMIFS($AU$134:AU1058,$AQ$134:AQ1058,"M")</f>
        <v>2745.3999999999201</v>
      </c>
      <c r="BN1057" s="343">
        <f>SUMIFS($AU$134:AU1058,$AQ$134:AQ1058,"H")</f>
        <v>7118.1420000000153</v>
      </c>
      <c r="BO1057" s="343">
        <f>SUMIFS($AU$134:AU1058,$AQ$134:AQ1058,"D")</f>
        <v>5642.2366666667649</v>
      </c>
      <c r="BP1057" s="343">
        <f>SUMIFS($AU$134:AU1060,$AQ$134:AQ1060,"W")</f>
        <v>3826.7233333332406</v>
      </c>
      <c r="BQ1057" s="343">
        <f>SUMIFS($AU$134:AU1058,$Q$134:Q1058,"O")</f>
        <v>-779.04333333313514</v>
      </c>
      <c r="BR1057" s="343">
        <f>SUMIFS($AU$134:AU1058,$AA$134:AA1058,"*")</f>
        <v>19177.475333333263</v>
      </c>
      <c r="BS1057" s="343">
        <f>SUMIFS($AU$134:AU1058,$AB$134:AB1058,"*")</f>
        <v>5052.1566666669405</v>
      </c>
      <c r="BT1057" s="343">
        <f>SUMIFS($AU$134:AU1058,$AC$134:AC1058,"*")</f>
        <v>11847.683333333332</v>
      </c>
      <c r="BU1057" s="343">
        <f>SUMIFS($AU$134:AU1058,$AA$134:AA1058,"*",$AB$134:AB1058,"*")</f>
        <v>3202.0000000000045</v>
      </c>
      <c r="BV1057" s="343">
        <f>SUMIFS($AU$134:AU1058,$AA$134:AA1058,"*",$AC$134:AC1058,"*")</f>
        <v>10028.783333333333</v>
      </c>
      <c r="BW1057" s="343">
        <f>SUMIFS($AU$134:AU1058,$AB$134:AB1058,"*",$AC$134:AC1058,"*")</f>
        <v>6014.6</v>
      </c>
      <c r="BX1057" s="343">
        <f>SUMIFS($AU1058:AU$1388,$Q1058:Q$1388,"F")</f>
        <v>7570.1333333333323</v>
      </c>
      <c r="BY1057" s="343">
        <f>SUMIFS($AU1058:AU$1388,$Q1058:Q$1388,"S")</f>
        <v>5579.2000000000007</v>
      </c>
      <c r="BZ1057" s="343">
        <f>SUMIFS($AU1058:AU$1388,$Q1058:Q$1388,"O")</f>
        <v>-869.81466666666324</v>
      </c>
    </row>
    <row r="1058" spans="1:78" ht="15.75" customHeight="1">
      <c r="A1058" s="221" t="s">
        <v>3735</v>
      </c>
      <c r="B1058" s="177">
        <v>45189</v>
      </c>
      <c r="C1058" s="178" t="s">
        <v>682</v>
      </c>
      <c r="D1058" s="178" t="s">
        <v>151</v>
      </c>
      <c r="E1058" s="227"/>
      <c r="F1058" s="180"/>
      <c r="G1058" s="281" t="s">
        <v>2016</v>
      </c>
      <c r="H1058" s="182"/>
      <c r="I1058" s="182"/>
      <c r="J1058" s="182"/>
      <c r="K1058" s="183"/>
      <c r="L1058" s="182"/>
      <c r="M1058" s="182">
        <v>1</v>
      </c>
      <c r="N1058" s="182"/>
      <c r="O1058" s="183" t="s">
        <v>95</v>
      </c>
      <c r="P1058" s="183" t="s">
        <v>137</v>
      </c>
      <c r="Q1058" s="183" t="s">
        <v>97</v>
      </c>
      <c r="R1058" s="183">
        <v>20</v>
      </c>
      <c r="S1058" s="183">
        <v>11</v>
      </c>
      <c r="T1058" s="183">
        <v>20</v>
      </c>
      <c r="U1058" s="183" t="s">
        <v>97</v>
      </c>
      <c r="V1058" s="183"/>
      <c r="W1058" s="183"/>
      <c r="X1058" s="183"/>
      <c r="Y1058" s="184">
        <f>IF(ISBLANK(O1058),"",(IF(O1058=UPPER("IB"),0.005,0.01)))</f>
        <v>0.01</v>
      </c>
      <c r="Z1058" s="185">
        <f>IF(ISBLANK(O1058),"",IF(O1058="IB",8.63*200,IF(O1058="IR",16*100,IF(O1058="YT",20*100,IF(O1058="YT-XT",24*200,IF(O1058="TED",80*100))))))</f>
        <v>1600</v>
      </c>
      <c r="AA1058" s="185" t="s">
        <v>3876</v>
      </c>
      <c r="AB1058" s="185"/>
      <c r="AC1058" s="185"/>
      <c r="AD1058" s="649">
        <v>-0.1</v>
      </c>
      <c r="AE1058" s="182"/>
      <c r="AF1058" s="332"/>
      <c r="AG1058" s="182"/>
      <c r="AH1058" s="182"/>
      <c r="AI1058" s="182"/>
      <c r="AJ1058" s="640"/>
      <c r="AK1058" s="182"/>
      <c r="AL1058" s="496">
        <f>-0.02*Z1058</f>
        <v>-32</v>
      </c>
      <c r="AM1058" s="496">
        <f>AL1058*(R1058-S1058)</f>
        <v>-288</v>
      </c>
      <c r="AN1058" s="626"/>
      <c r="AO1058" s="182"/>
      <c r="AP1058" s="182" t="s">
        <v>1433</v>
      </c>
      <c r="AQ1058" s="332" t="str">
        <f>UPPER(RIGHT(Journal_Live[[#This Row],[DURATION ]]))</f>
        <v>H</v>
      </c>
      <c r="AR1058" s="182" t="s">
        <v>3877</v>
      </c>
      <c r="AS1058" s="189">
        <f>((-0.1*11)+(-0.1*9))/20</f>
        <v>-0.1</v>
      </c>
      <c r="AT1058" s="189">
        <f>IF(ISBLANK(AS1058),,IF(U1058="S",AD1058-AS1058,AS1058-AD1058))</f>
        <v>0</v>
      </c>
      <c r="AU1058" s="187">
        <f>AV1058*R1058</f>
        <v>0</v>
      </c>
      <c r="AV1058" s="190">
        <f>IF(ISBLANK(AS1058),,(AT1058*Z1058))</f>
        <v>0</v>
      </c>
      <c r="AW1058" s="191" t="s">
        <v>115</v>
      </c>
      <c r="AX1058" s="407"/>
      <c r="AY1058" s="407"/>
      <c r="AZ1058" s="407"/>
      <c r="BA1058" s="407"/>
      <c r="BB1058" s="407"/>
      <c r="BC1058" s="407"/>
      <c r="BD1058" s="407"/>
      <c r="BE1058" s="407"/>
      <c r="BF1058" s="422"/>
      <c r="BG1058" s="391">
        <f>SUM($AV$4:AV1058)</f>
        <v>4669.8922756769825</v>
      </c>
      <c r="BH1058" s="392">
        <f>SUM($AU$134:AU1058)</f>
        <v>21079.132000000202</v>
      </c>
      <c r="BI1058" s="318">
        <f>SUMIFS($AU$134:AU1059,$Q$134:Q1059,"F")</f>
        <v>6870.5333333333328</v>
      </c>
      <c r="BJ1058" s="318">
        <f>SUMIFS($AU$134:AU1059,$Q$134:Q1059,"S")</f>
        <v>15092.441999999999</v>
      </c>
      <c r="BK1058" s="343">
        <f>SUMIFS($AU$134:AU1059,$P$134:P1059,"W")</f>
        <v>12691.741999999942</v>
      </c>
      <c r="BL1058" s="343">
        <f>SUMIFS($AU$134:AU1059,$P$134:P1059,"R")</f>
        <v>9060.6733333333359</v>
      </c>
      <c r="BM1058" s="343">
        <f>SUMIFS($AU$134:AU1059,$AQ$134:AQ1059,"M")</f>
        <v>2745.3999999999201</v>
      </c>
      <c r="BN1058" s="343">
        <f>SUMIFS($AU$134:AU1059,$AQ$134:AQ1059,"H")</f>
        <v>7118.1420000000153</v>
      </c>
      <c r="BO1058" s="343">
        <f>SUMIFS($AU$134:AU1059,$AQ$134:AQ1059,"D")</f>
        <v>5642.2366666667649</v>
      </c>
      <c r="BP1058" s="343">
        <f>SUMIFS($AU$134:AU1061,$AQ$134:AQ1061,"W")</f>
        <v>3826.7233333332406</v>
      </c>
      <c r="BQ1058" s="343">
        <f>SUMIFS($AU$134:AU1059,$Q$134:Q1059,"O")</f>
        <v>-779.04333333313514</v>
      </c>
      <c r="BR1058" s="343">
        <f>SUMIFS($AU$134:AU1059,$AA$134:AA1059,"*")</f>
        <v>19177.475333333263</v>
      </c>
      <c r="BS1058" s="343">
        <f>SUMIFS($AU$134:AU1059,$AB$134:AB1059,"*")</f>
        <v>5052.1566666669405</v>
      </c>
      <c r="BT1058" s="343">
        <f>SUMIFS($AU$134:AU1059,$AC$134:AC1059,"*")</f>
        <v>11847.683333333332</v>
      </c>
      <c r="BU1058" s="343">
        <f>SUMIFS($AU$134:AU1059,$AA$134:AA1059,"*",$AB$134:AB1059,"*")</f>
        <v>3202.0000000000045</v>
      </c>
      <c r="BV1058" s="343">
        <f>SUMIFS($AU$134:AU1059,$AA$134:AA1059,"*",$AC$134:AC1059,"*")</f>
        <v>10028.783333333333</v>
      </c>
      <c r="BW1058" s="343">
        <f>SUMIFS($AU$134:AU1059,$AB$134:AB1059,"*",$AC$134:AC1059,"*")</f>
        <v>6014.6</v>
      </c>
      <c r="BX1058" s="343">
        <f>SUMIFS($AU1059:AU$1388,$Q1059:Q$1388,"F")</f>
        <v>7570.1333333333323</v>
      </c>
      <c r="BY1058" s="343">
        <f>SUMIFS($AU1059:AU$1388,$Q1059:Q$1388,"S")</f>
        <v>5579.2000000000007</v>
      </c>
      <c r="BZ1058" s="343">
        <f>SUMIFS($AU1059:AU$1388,$Q1059:Q$1388,"O")</f>
        <v>-869.81466666666324</v>
      </c>
    </row>
    <row r="1059" spans="1:78" ht="15.75" customHeight="1">
      <c r="A1059" s="221" t="s">
        <v>3735</v>
      </c>
      <c r="B1059" s="177">
        <v>45190</v>
      </c>
      <c r="C1059" s="178" t="s">
        <v>3878</v>
      </c>
      <c r="D1059" s="178" t="s">
        <v>93</v>
      </c>
      <c r="E1059" s="227"/>
      <c r="F1059" s="180"/>
      <c r="G1059" s="181" t="s">
        <v>3879</v>
      </c>
      <c r="H1059" s="182"/>
      <c r="I1059" s="182"/>
      <c r="J1059" s="182"/>
      <c r="K1059" s="183"/>
      <c r="L1059" s="182"/>
      <c r="M1059" s="182"/>
      <c r="N1059" s="182"/>
      <c r="O1059" s="183"/>
      <c r="P1059" s="183"/>
      <c r="Q1059" s="183"/>
      <c r="R1059" s="183"/>
      <c r="S1059" s="183"/>
      <c r="T1059" s="183"/>
      <c r="U1059" s="183"/>
      <c r="V1059" s="183"/>
      <c r="W1059" s="183"/>
      <c r="X1059" s="183"/>
      <c r="Y1059" s="184"/>
      <c r="Z1059" s="185"/>
      <c r="AA1059" s="185"/>
      <c r="AB1059" s="185"/>
      <c r="AC1059" s="185"/>
      <c r="AD1059" s="649"/>
      <c r="AE1059" s="182"/>
      <c r="AF1059" s="332"/>
      <c r="AG1059" s="182"/>
      <c r="AH1059" s="182">
        <v>0</v>
      </c>
      <c r="AI1059" s="182"/>
      <c r="AJ1059" s="640"/>
      <c r="AK1059" s="182"/>
      <c r="AL1059" s="496"/>
      <c r="AM1059" s="496"/>
      <c r="AN1059" s="626"/>
      <c r="AO1059" s="182"/>
      <c r="AP1059" s="182"/>
      <c r="AQ1059" s="332" t="str">
        <f>UPPER(RIGHT(Journal_Live[[#This Row],[DURATION ]]))</f>
        <v/>
      </c>
      <c r="AR1059" s="182"/>
      <c r="AS1059" s="189"/>
      <c r="AT1059" s="189"/>
      <c r="AU1059" s="187"/>
      <c r="AV1059" s="190"/>
      <c r="AW1059" s="191"/>
      <c r="AX1059" s="407"/>
      <c r="AY1059" s="407"/>
      <c r="AZ1059" s="407"/>
      <c r="BA1059" s="407"/>
      <c r="BB1059" s="407"/>
      <c r="BC1059" s="407"/>
      <c r="BD1059" s="407"/>
      <c r="BE1059" s="407"/>
      <c r="BF1059" s="422"/>
      <c r="BG1059" s="391">
        <f>SUM($AV$4:AV1059)</f>
        <v>4669.8922756769825</v>
      </c>
      <c r="BH1059" s="392">
        <f>SUM($AU$134:AU1059)</f>
        <v>21079.132000000202</v>
      </c>
      <c r="BI1059" s="318">
        <f>SUMIFS($AU$134:AU1060,$Q$134:Q1060,"F")</f>
        <v>6870.5333333333328</v>
      </c>
      <c r="BJ1059" s="318">
        <f>SUMIFS($AU$134:AU1060,$Q$134:Q1060,"S")</f>
        <v>15332.441999999999</v>
      </c>
      <c r="BK1059" s="343">
        <f>SUMIFS($AU$134:AU1060,$P$134:P1060,"W")</f>
        <v>12931.741999999942</v>
      </c>
      <c r="BL1059" s="343">
        <f>SUMIFS($AU$134:AU1060,$P$134:P1060,"R")</f>
        <v>9060.6733333333359</v>
      </c>
      <c r="BM1059" s="343">
        <f>SUMIFS($AU$134:AU1060,$AQ$134:AQ1060,"M")</f>
        <v>2745.3999999999201</v>
      </c>
      <c r="BN1059" s="343">
        <f>SUMIFS($AU$134:AU1060,$AQ$134:AQ1060,"H")</f>
        <v>7358.1420000000153</v>
      </c>
      <c r="BO1059" s="343">
        <f>SUMIFS($AU$134:AU1060,$AQ$134:AQ1060,"D")</f>
        <v>5642.2366666667649</v>
      </c>
      <c r="BP1059" s="343">
        <f>SUMIFS($AU$134:AU1062,$AQ$134:AQ1062,"W")</f>
        <v>2882.7233333332406</v>
      </c>
      <c r="BQ1059" s="343">
        <f>SUMIFS($AU$134:AU1060,$Q$134:Q1060,"O")</f>
        <v>-779.04333333313514</v>
      </c>
      <c r="BR1059" s="343">
        <f>SUMIFS($AU$134:AU1060,$AA$134:AA1060,"*")</f>
        <v>19417.475333333263</v>
      </c>
      <c r="BS1059" s="343">
        <f>SUMIFS($AU$134:AU1060,$AB$134:AB1060,"*")</f>
        <v>5052.1566666669405</v>
      </c>
      <c r="BT1059" s="343">
        <f>SUMIFS($AU$134:AU1060,$AC$134:AC1060,"*")</f>
        <v>11847.683333333332</v>
      </c>
      <c r="BU1059" s="343">
        <f>SUMIFS($AU$134:AU1060,$AA$134:AA1060,"*",$AB$134:AB1060,"*")</f>
        <v>3202.0000000000045</v>
      </c>
      <c r="BV1059" s="343">
        <f>SUMIFS($AU$134:AU1060,$AA$134:AA1060,"*",$AC$134:AC1060,"*")</f>
        <v>10028.783333333333</v>
      </c>
      <c r="BW1059" s="343">
        <f>SUMIFS($AU$134:AU1060,$AB$134:AB1060,"*",$AC$134:AC1060,"*")</f>
        <v>6014.6</v>
      </c>
      <c r="BX1059" s="343">
        <f>SUMIFS($AU1060:AU$1388,$Q1060:Q$1388,"F")</f>
        <v>7570.1333333333323</v>
      </c>
      <c r="BY1059" s="343">
        <f>SUMIFS($AU1060:AU$1388,$Q1060:Q$1388,"S")</f>
        <v>5579.2000000000007</v>
      </c>
      <c r="BZ1059" s="343">
        <f>SUMIFS($AU1060:AU$1388,$Q1060:Q$1388,"O")</f>
        <v>-869.81466666666324</v>
      </c>
    </row>
    <row r="1060" spans="1:78" ht="15.75" customHeight="1">
      <c r="A1060" s="221" t="s">
        <v>3735</v>
      </c>
      <c r="B1060" s="177">
        <v>45190</v>
      </c>
      <c r="C1060" s="178" t="s">
        <v>1612</v>
      </c>
      <c r="D1060" s="178" t="s">
        <v>93</v>
      </c>
      <c r="E1060" s="227"/>
      <c r="F1060" s="180"/>
      <c r="G1060" s="281" t="s">
        <v>136</v>
      </c>
      <c r="H1060" s="182"/>
      <c r="I1060" s="182"/>
      <c r="J1060" s="182"/>
      <c r="K1060" s="183"/>
      <c r="L1060" s="182">
        <v>1</v>
      </c>
      <c r="M1060" s="182"/>
      <c r="N1060" s="182"/>
      <c r="O1060" s="183" t="s">
        <v>95</v>
      </c>
      <c r="P1060" s="183" t="s">
        <v>96</v>
      </c>
      <c r="Q1060" s="183" t="s">
        <v>97</v>
      </c>
      <c r="R1060" s="183">
        <v>15</v>
      </c>
      <c r="S1060" s="183">
        <v>0</v>
      </c>
      <c r="T1060" s="183">
        <v>15</v>
      </c>
      <c r="U1060" s="183" t="s">
        <v>97</v>
      </c>
      <c r="V1060" s="183"/>
      <c r="W1060" s="183"/>
      <c r="X1060" s="183"/>
      <c r="Y1060" s="184">
        <f>IF(ISBLANK(O1060),"",(IF(O1060=UPPER("IB"),0.005,0.01)))</f>
        <v>0.01</v>
      </c>
      <c r="Z1060" s="185">
        <f t="shared" ref="Z1060:Z1067" si="320">IF(ISBLANK(O1060),"",IF(O1060="IB",8.63*200,IF(O1060="IR",16*100,IF(O1060="YT",20*100,IF(O1060="YT-XT",24*200,IF(O1060="TED",80*100))))))</f>
        <v>1600</v>
      </c>
      <c r="AA1060" s="185" t="s">
        <v>99</v>
      </c>
      <c r="AB1060" s="185"/>
      <c r="AC1060" s="185"/>
      <c r="AD1060" s="649">
        <v>-0.03</v>
      </c>
      <c r="AE1060" s="182"/>
      <c r="AF1060" s="332"/>
      <c r="AG1060" s="182"/>
      <c r="AH1060" s="182"/>
      <c r="AI1060" s="182"/>
      <c r="AJ1060" s="640"/>
      <c r="AK1060" s="182"/>
      <c r="AL1060" s="496">
        <f t="shared" ref="AL1060" si="321">-0.025*Z1060</f>
        <v>-40</v>
      </c>
      <c r="AM1060" s="496">
        <f>AL1060*(R1060-S1060)</f>
        <v>-600</v>
      </c>
      <c r="AN1060" s="626"/>
      <c r="AO1060" s="182"/>
      <c r="AP1060" s="182" t="s">
        <v>1292</v>
      </c>
      <c r="AQ1060" s="332" t="str">
        <f>UPPER(RIGHT(Journal_Live[[#This Row],[DURATION ]]))</f>
        <v>H</v>
      </c>
      <c r="AR1060" s="182" t="s">
        <v>3880</v>
      </c>
      <c r="AS1060" s="189">
        <v>-0.04</v>
      </c>
      <c r="AT1060" s="189">
        <f>IF(ISBLANK(AS1060),,IF(U1060="S",AD1060-AS1060,AS1060-AD1060))</f>
        <v>1.0000000000000002E-2</v>
      </c>
      <c r="AU1060" s="187">
        <f>AV1060*R1060</f>
        <v>240.00000000000006</v>
      </c>
      <c r="AV1060" s="190">
        <f>IF(ISBLANK(AS1060),,(AT1060*Z1060))</f>
        <v>16.000000000000004</v>
      </c>
      <c r="AW1060" s="191" t="s">
        <v>96</v>
      </c>
      <c r="AX1060" s="407"/>
      <c r="AY1060" s="407"/>
      <c r="AZ1060" s="407"/>
      <c r="BA1060" s="407"/>
      <c r="BB1060" s="407"/>
      <c r="BC1060" s="407"/>
      <c r="BD1060" s="407"/>
      <c r="BE1060" s="407"/>
      <c r="BF1060" s="422"/>
      <c r="BG1060" s="391">
        <f>SUM($AV$4:AV1060)</f>
        <v>4685.8922756769825</v>
      </c>
      <c r="BH1060" s="392">
        <f>SUM($AU$134:AU1060)</f>
        <v>21319.132000000202</v>
      </c>
      <c r="BI1060" s="318">
        <f>SUMIFS($AU$134:AU1061,$Q$134:Q1061,"F")</f>
        <v>6870.5333333333328</v>
      </c>
      <c r="BJ1060" s="318">
        <f>SUMIFS($AU$134:AU1061,$Q$134:Q1061,"S")</f>
        <v>15492.441999999999</v>
      </c>
      <c r="BK1060" s="343">
        <f>SUMIFS($AU$134:AU1061,$P$134:P1061,"W")</f>
        <v>13091.741999999942</v>
      </c>
      <c r="BL1060" s="343">
        <f>SUMIFS($AU$134:AU1061,$P$134:P1061,"R")</f>
        <v>9060.6733333333359</v>
      </c>
      <c r="BM1060" s="343">
        <f>SUMIFS($AU$134:AU1061,$AQ$134:AQ1061,"M")</f>
        <v>2745.3999999999201</v>
      </c>
      <c r="BN1060" s="343">
        <f>SUMIFS($AU$134:AU1061,$AQ$134:AQ1061,"H")</f>
        <v>7518.1420000000153</v>
      </c>
      <c r="BO1060" s="343">
        <f>SUMIFS($AU$134:AU1061,$AQ$134:AQ1061,"D")</f>
        <v>5642.2366666667649</v>
      </c>
      <c r="BP1060" s="343">
        <f>SUMIFS($AU$134:AU1063,$AQ$134:AQ1063,"W")</f>
        <v>2882.7233333332406</v>
      </c>
      <c r="BQ1060" s="343">
        <f>SUMIFS($AU$134:AU1061,$Q$134:Q1061,"O")</f>
        <v>-779.04333333313514</v>
      </c>
      <c r="BR1060" s="343">
        <f>SUMIFS($AU$134:AU1061,$AA$134:AA1061,"*")</f>
        <v>19577.475333333263</v>
      </c>
      <c r="BS1060" s="343">
        <f>SUMIFS($AU$134:AU1061,$AB$134:AB1061,"*")</f>
        <v>5052.1566666669405</v>
      </c>
      <c r="BT1060" s="343">
        <f>SUMIFS($AU$134:AU1061,$AC$134:AC1061,"*")</f>
        <v>11847.683333333332</v>
      </c>
      <c r="BU1060" s="343">
        <f>SUMIFS($AU$134:AU1061,$AA$134:AA1061,"*",$AB$134:AB1061,"*")</f>
        <v>3202.0000000000045</v>
      </c>
      <c r="BV1060" s="343">
        <f>SUMIFS($AU$134:AU1061,$AA$134:AA1061,"*",$AC$134:AC1061,"*")</f>
        <v>10028.783333333333</v>
      </c>
      <c r="BW1060" s="343">
        <f>SUMIFS($AU$134:AU1061,$AB$134:AB1061,"*",$AC$134:AC1061,"*")</f>
        <v>6014.6</v>
      </c>
      <c r="BX1060" s="343">
        <f>SUMIFS($AU1061:AU$1388,$Q1061:Q$1388,"F")</f>
        <v>7570.1333333333323</v>
      </c>
      <c r="BY1060" s="343">
        <f>SUMIFS($AU1061:AU$1388,$Q1061:Q$1388,"S")</f>
        <v>5339.2000000000007</v>
      </c>
      <c r="BZ1060" s="343">
        <f>SUMIFS($AU1061:AU$1388,$Q1061:Q$1388,"O")</f>
        <v>-869.81466666666324</v>
      </c>
    </row>
    <row r="1061" spans="1:78" ht="15.75" customHeight="1">
      <c r="A1061" s="221" t="s">
        <v>3735</v>
      </c>
      <c r="B1061" s="177">
        <v>45190</v>
      </c>
      <c r="C1061" s="178" t="s">
        <v>196</v>
      </c>
      <c r="D1061" s="178" t="s">
        <v>93</v>
      </c>
      <c r="E1061" s="227"/>
      <c r="F1061" s="180"/>
      <c r="G1061" s="281" t="s">
        <v>3879</v>
      </c>
      <c r="H1061" s="182"/>
      <c r="I1061" s="182"/>
      <c r="J1061" s="182"/>
      <c r="K1061" s="183"/>
      <c r="L1061" s="182">
        <v>1</v>
      </c>
      <c r="M1061" s="182"/>
      <c r="N1061" s="182"/>
      <c r="O1061" s="183" t="s">
        <v>95</v>
      </c>
      <c r="P1061" s="183" t="s">
        <v>96</v>
      </c>
      <c r="Q1061" s="183" t="s">
        <v>97</v>
      </c>
      <c r="R1061" s="183">
        <v>20</v>
      </c>
      <c r="S1061" s="183">
        <v>0</v>
      </c>
      <c r="T1061" s="183">
        <v>10</v>
      </c>
      <c r="U1061" s="183" t="s">
        <v>97</v>
      </c>
      <c r="V1061" s="183"/>
      <c r="W1061" s="183"/>
      <c r="X1061" s="183"/>
      <c r="Y1061" s="184">
        <f>IF(ISBLANK(O1061),"",(IF(O1061=UPPER("IB"),0.005,0.01)))</f>
        <v>0.01</v>
      </c>
      <c r="Z1061" s="185">
        <f t="shared" si="320"/>
        <v>1600</v>
      </c>
      <c r="AA1061" s="185" t="s">
        <v>3881</v>
      </c>
      <c r="AB1061" s="185"/>
      <c r="AC1061" s="185"/>
      <c r="AD1061" s="649">
        <f>(0.02+0.05)/2</f>
        <v>3.5000000000000003E-2</v>
      </c>
      <c r="AE1061" s="182"/>
      <c r="AF1061" s="332"/>
      <c r="AG1061" s="182"/>
      <c r="AH1061" s="182"/>
      <c r="AI1061" s="182"/>
      <c r="AJ1061" s="640"/>
      <c r="AK1061" s="182"/>
      <c r="AL1061" s="496">
        <f>-0.035*Z1061</f>
        <v>-56.000000000000007</v>
      </c>
      <c r="AM1061" s="496">
        <f>AL1061*(R1061-S1061)</f>
        <v>-1120.0000000000002</v>
      </c>
      <c r="AN1061" s="626"/>
      <c r="AO1061" s="182"/>
      <c r="AP1061" s="182" t="s">
        <v>937</v>
      </c>
      <c r="AQ1061" s="332" t="str">
        <f>UPPER(RIGHT(Journal_Live[[#This Row],[DURATION ]]))</f>
        <v>H</v>
      </c>
      <c r="AR1061" s="182" t="s">
        <v>3882</v>
      </c>
      <c r="AS1061" s="189">
        <v>0.03</v>
      </c>
      <c r="AT1061" s="189">
        <f>IF(ISBLANK(AS1061),,IF(U1061="S",AD1061-AS1061,AS1061-AD1061))</f>
        <v>5.0000000000000044E-3</v>
      </c>
      <c r="AU1061" s="187">
        <f>AV1061*R1061</f>
        <v>160.00000000000014</v>
      </c>
      <c r="AV1061" s="190">
        <f>IF(ISBLANK(AS1061),,(AT1061*Z1061))</f>
        <v>8.0000000000000071</v>
      </c>
      <c r="AW1061" s="191" t="s">
        <v>96</v>
      </c>
      <c r="AX1061" s="407" t="s">
        <v>3883</v>
      </c>
      <c r="AY1061" s="407"/>
      <c r="AZ1061" s="407"/>
      <c r="BA1061" s="407" t="s">
        <v>3884</v>
      </c>
      <c r="BB1061" s="407"/>
      <c r="BC1061" s="407"/>
      <c r="BD1061" s="407"/>
      <c r="BE1061" s="407"/>
      <c r="BF1061" s="422"/>
      <c r="BG1061" s="391">
        <f>SUM($AV$4:AV1061)</f>
        <v>4693.8922756769825</v>
      </c>
      <c r="BH1061" s="392">
        <f>SUM($AU$134:AU1061)</f>
        <v>21479.132000000202</v>
      </c>
      <c r="BI1061" s="318">
        <f>SUMIFS($AU$134:AU1062,$Q$134:Q1062,"F")</f>
        <v>5926.5333333333328</v>
      </c>
      <c r="BJ1061" s="318">
        <f>SUMIFS($AU$134:AU1062,$Q$134:Q1062,"S")</f>
        <v>15492.441999999999</v>
      </c>
      <c r="BK1061" s="343">
        <f>SUMIFS($AU$134:AU1062,$P$134:P1062,"W")</f>
        <v>13091.741999999942</v>
      </c>
      <c r="BL1061" s="343">
        <f>SUMIFS($AU$134:AU1062,$P$134:P1062,"R")</f>
        <v>8116.6733333333359</v>
      </c>
      <c r="BM1061" s="343">
        <f>SUMIFS($AU$134:AU1062,$AQ$134:AQ1062,"M")</f>
        <v>2745.3999999999201</v>
      </c>
      <c r="BN1061" s="343">
        <f>SUMIFS($AU$134:AU1062,$AQ$134:AQ1062,"H")</f>
        <v>7518.1420000000153</v>
      </c>
      <c r="BO1061" s="343">
        <f>SUMIFS($AU$134:AU1062,$AQ$134:AQ1062,"D")</f>
        <v>5642.2366666667649</v>
      </c>
      <c r="BP1061" s="343">
        <f>SUMIFS($AU$134:AU1064,$AQ$134:AQ1064,"W")</f>
        <v>2882.7233333332406</v>
      </c>
      <c r="BQ1061" s="343">
        <f>SUMIFS($AU$134:AU1062,$Q$134:Q1062,"O")</f>
        <v>-779.04333333313514</v>
      </c>
      <c r="BR1061" s="343">
        <f>SUMIFS($AU$134:AU1062,$AA$134:AA1062,"*")</f>
        <v>18633.475333333263</v>
      </c>
      <c r="BS1061" s="343">
        <f>SUMIFS($AU$134:AU1062,$AB$134:AB1062,"*")</f>
        <v>5052.1566666669405</v>
      </c>
      <c r="BT1061" s="343">
        <f>SUMIFS($AU$134:AU1062,$AC$134:AC1062,"*")</f>
        <v>10903.683333333332</v>
      </c>
      <c r="BU1061" s="343">
        <f>SUMIFS($AU$134:AU1062,$AA$134:AA1062,"*",$AB$134:AB1062,"*")</f>
        <v>3202.0000000000045</v>
      </c>
      <c r="BV1061" s="343">
        <f>SUMIFS($AU$134:AU1062,$AA$134:AA1062,"*",$AC$134:AC1062,"*")</f>
        <v>9084.7833333333328</v>
      </c>
      <c r="BW1061" s="343">
        <f>SUMIFS($AU$134:AU1062,$AB$134:AB1062,"*",$AC$134:AC1062,"*")</f>
        <v>6014.6</v>
      </c>
      <c r="BX1061" s="343">
        <f>SUMIFS($AU1062:AU$1388,$Q1062:Q$1388,"F")</f>
        <v>7570.1333333333323</v>
      </c>
      <c r="BY1061" s="343">
        <f>SUMIFS($AU1062:AU$1388,$Q1062:Q$1388,"S")</f>
        <v>5179.2</v>
      </c>
      <c r="BZ1061" s="343">
        <f>SUMIFS($AU1062:AU$1388,$Q1062:Q$1388,"O")</f>
        <v>-869.81466666666324</v>
      </c>
    </row>
    <row r="1062" spans="1:78" ht="15.75" customHeight="1">
      <c r="A1062" s="221" t="s">
        <v>3735</v>
      </c>
      <c r="B1062" s="177">
        <v>45190</v>
      </c>
      <c r="C1062" s="178" t="s">
        <v>1437</v>
      </c>
      <c r="D1062" s="178" t="s">
        <v>93</v>
      </c>
      <c r="E1062" s="227"/>
      <c r="F1062" s="180"/>
      <c r="G1062" s="281" t="s">
        <v>3885</v>
      </c>
      <c r="H1062" s="182"/>
      <c r="I1062" s="182"/>
      <c r="J1062" s="182"/>
      <c r="K1062" s="183"/>
      <c r="L1062" s="182">
        <v>2</v>
      </c>
      <c r="M1062" s="182">
        <v>2</v>
      </c>
      <c r="N1062" s="182"/>
      <c r="O1062" s="183" t="s">
        <v>95</v>
      </c>
      <c r="P1062" s="183" t="s">
        <v>137</v>
      </c>
      <c r="Q1062" s="183" t="s">
        <v>256</v>
      </c>
      <c r="R1062" s="183">
        <v>53</v>
      </c>
      <c r="S1062" s="183">
        <v>43</v>
      </c>
      <c r="T1062" s="183">
        <v>26</v>
      </c>
      <c r="U1062" s="183" t="s">
        <v>97</v>
      </c>
      <c r="V1062" s="183"/>
      <c r="W1062" s="183"/>
      <c r="X1062" s="183"/>
      <c r="Y1062" s="184">
        <f>IF(ISBLANK(O1062),"",(IF(O1062=UPPER("IB"),0.005,0.01)))</f>
        <v>0.01</v>
      </c>
      <c r="Z1062" s="185">
        <f t="shared" si="320"/>
        <v>1600</v>
      </c>
      <c r="AA1062" s="185" t="s">
        <v>3886</v>
      </c>
      <c r="AB1062" s="185"/>
      <c r="AC1062" s="185" t="s">
        <v>3887</v>
      </c>
      <c r="AD1062" s="649">
        <f>((-0.01*32)+(0*21))/53</f>
        <v>-6.0377358490566035E-3</v>
      </c>
      <c r="AE1062" s="182"/>
      <c r="AF1062" s="332">
        <v>2</v>
      </c>
      <c r="AG1062" s="182" t="s">
        <v>3888</v>
      </c>
      <c r="AH1062" s="182" t="s">
        <v>3889</v>
      </c>
      <c r="AI1062" s="182"/>
      <c r="AJ1062" s="640"/>
      <c r="AK1062" s="182"/>
      <c r="AL1062" s="496">
        <f>-0.03*Z1062</f>
        <v>-48</v>
      </c>
      <c r="AM1062" s="496">
        <f>AL1062*(R1062-S1062)</f>
        <v>-480</v>
      </c>
      <c r="AN1062" s="626" t="s">
        <v>3890</v>
      </c>
      <c r="AO1062" s="182" t="s">
        <v>3756</v>
      </c>
      <c r="AP1062" s="182" t="s">
        <v>897</v>
      </c>
      <c r="AQ1062" s="332" t="str">
        <f>UPPER(RIGHT(Journal_Live[[#This Row],[DURATION ]]))</f>
        <v>W</v>
      </c>
      <c r="AR1062" s="182" t="s">
        <v>3891</v>
      </c>
      <c r="AS1062" s="189">
        <f>(0.01*16+0*14+0.02*2+0.01*5+0.01*2+0*5+0*5)/53</f>
        <v>5.0943396226415093E-3</v>
      </c>
      <c r="AT1062" s="189">
        <f>IF(ISBLANK(AS1062),,IF(U1062="S",AD1062-AS1062,AS1062-AD1062))</f>
        <v>-1.1132075471698113E-2</v>
      </c>
      <c r="AU1062" s="187">
        <f>AV1062*R1062</f>
        <v>-944</v>
      </c>
      <c r="AV1062" s="190">
        <f>IF(ISBLANK(AS1062),,(AT1062*Z1062))</f>
        <v>-17.811320754716981</v>
      </c>
      <c r="AW1062" s="191" t="s">
        <v>229</v>
      </c>
      <c r="AX1062" s="407" t="s">
        <v>3892</v>
      </c>
      <c r="AY1062" s="407" t="s">
        <v>3893</v>
      </c>
      <c r="AZ1062" s="407" t="s">
        <v>3894</v>
      </c>
      <c r="BA1062" s="407" t="s">
        <v>3895</v>
      </c>
      <c r="BB1062" s="407" t="s">
        <v>3896</v>
      </c>
      <c r="BC1062" s="407" t="s">
        <v>3897</v>
      </c>
      <c r="BD1062" s="407"/>
      <c r="BE1062" s="407"/>
      <c r="BF1062" s="422"/>
      <c r="BG1062" s="391">
        <f>SUM($AV$4:AV1062)</f>
        <v>4676.0809549222658</v>
      </c>
      <c r="BH1062" s="392">
        <f>SUM($AU$134:AU1062)</f>
        <v>20535.132000000202</v>
      </c>
      <c r="BI1062" s="318">
        <f>SUMIFS($AU$134:AU1063,$Q$134:Q1063,"F")</f>
        <v>5926.5333333333328</v>
      </c>
      <c r="BJ1062" s="318">
        <f>SUMIFS($AU$134:AU1063,$Q$134:Q1063,"S")</f>
        <v>15492.441999999999</v>
      </c>
      <c r="BK1062" s="343">
        <f>SUMIFS($AU$134:AU1063,$P$134:P1063,"W")</f>
        <v>13091.741999999942</v>
      </c>
      <c r="BL1062" s="343">
        <f>SUMIFS($AU$134:AU1063,$P$134:P1063,"R")</f>
        <v>8116.6733333333359</v>
      </c>
      <c r="BM1062" s="343">
        <f>SUMIFS($AU$134:AU1063,$AQ$134:AQ1063,"M")</f>
        <v>2745.3999999999201</v>
      </c>
      <c r="BN1062" s="343">
        <f>SUMIFS($AU$134:AU1063,$AQ$134:AQ1063,"H")</f>
        <v>7518.1420000000153</v>
      </c>
      <c r="BO1062" s="343">
        <f>SUMIFS($AU$134:AU1063,$AQ$134:AQ1063,"D")</f>
        <v>5642.2366666667649</v>
      </c>
      <c r="BP1062" s="343">
        <f>SUMIFS($AU$134:AU1065,$AQ$134:AQ1065,"W")</f>
        <v>2882.7233333332406</v>
      </c>
      <c r="BQ1062" s="343">
        <f>SUMIFS($AU$134:AU1063,$Q$134:Q1063,"O")</f>
        <v>-779.04333333313514</v>
      </c>
      <c r="BR1062" s="343">
        <f>SUMIFS($AU$134:AU1063,$AA$134:AA1063,"*")</f>
        <v>18633.475333333263</v>
      </c>
      <c r="BS1062" s="343">
        <f>SUMIFS($AU$134:AU1063,$AB$134:AB1063,"*")</f>
        <v>5052.1566666669405</v>
      </c>
      <c r="BT1062" s="343">
        <f>SUMIFS($AU$134:AU1063,$AC$134:AC1063,"*")</f>
        <v>10903.683333333332</v>
      </c>
      <c r="BU1062" s="343">
        <f>SUMIFS($AU$134:AU1063,$AA$134:AA1063,"*",$AB$134:AB1063,"*")</f>
        <v>3202.0000000000045</v>
      </c>
      <c r="BV1062" s="343">
        <f>SUMIFS($AU$134:AU1063,$AA$134:AA1063,"*",$AC$134:AC1063,"*")</f>
        <v>9084.7833333333328</v>
      </c>
      <c r="BW1062" s="343">
        <f>SUMIFS($AU$134:AU1063,$AB$134:AB1063,"*",$AC$134:AC1063,"*")</f>
        <v>6014.6</v>
      </c>
      <c r="BX1062" s="343">
        <f>SUMIFS($AU1063:AU$1388,$Q1063:Q$1388,"F")</f>
        <v>8514.1333333333332</v>
      </c>
      <c r="BY1062" s="343">
        <f>SUMIFS($AU1063:AU$1388,$Q1063:Q$1388,"S")</f>
        <v>5179.2</v>
      </c>
      <c r="BZ1062" s="343">
        <f>SUMIFS($AU1063:AU$1388,$Q1063:Q$1388,"O")</f>
        <v>-869.81466666666324</v>
      </c>
    </row>
    <row r="1063" spans="1:78" ht="15.75" customHeight="1">
      <c r="A1063" s="221" t="s">
        <v>3735</v>
      </c>
      <c r="B1063" s="177">
        <v>45190</v>
      </c>
      <c r="C1063" s="178" t="s">
        <v>3476</v>
      </c>
      <c r="D1063" s="178" t="s">
        <v>93</v>
      </c>
      <c r="E1063" s="227" t="s">
        <v>3898</v>
      </c>
      <c r="F1063" s="180"/>
      <c r="G1063" s="181"/>
      <c r="H1063" s="182"/>
      <c r="I1063" s="182"/>
      <c r="J1063" s="182"/>
      <c r="K1063" s="183"/>
      <c r="L1063" s="182"/>
      <c r="M1063" s="182"/>
      <c r="N1063" s="182"/>
      <c r="O1063" s="183"/>
      <c r="P1063" s="183"/>
      <c r="Q1063" s="183"/>
      <c r="R1063" s="183"/>
      <c r="S1063" s="183"/>
      <c r="T1063" s="183"/>
      <c r="U1063" s="183"/>
      <c r="V1063" s="183"/>
      <c r="W1063" s="183"/>
      <c r="X1063" s="183"/>
      <c r="Y1063" s="183"/>
      <c r="Z1063" s="185" t="str">
        <f t="shared" si="320"/>
        <v/>
      </c>
      <c r="AA1063" s="185"/>
      <c r="AB1063" s="185"/>
      <c r="AC1063" s="185"/>
      <c r="AD1063" s="649"/>
      <c r="AE1063" s="182"/>
      <c r="AF1063" s="332"/>
      <c r="AG1063" s="182"/>
      <c r="AH1063" s="182"/>
      <c r="AI1063" s="182"/>
      <c r="AJ1063" s="640"/>
      <c r="AK1063" s="182"/>
      <c r="AL1063" s="496"/>
      <c r="AM1063" s="496"/>
      <c r="AN1063" s="626"/>
      <c r="AO1063" s="182"/>
      <c r="AP1063" s="182"/>
      <c r="AQ1063" s="332" t="str">
        <f>UPPER(RIGHT(Journal_Live[[#This Row],[DURATION ]]))</f>
        <v/>
      </c>
      <c r="AR1063" s="182"/>
      <c r="AS1063" s="189"/>
      <c r="AT1063" s="189"/>
      <c r="AU1063" s="187"/>
      <c r="AV1063" s="190"/>
      <c r="AW1063" s="191"/>
      <c r="AX1063" s="407" t="s">
        <v>3899</v>
      </c>
      <c r="AY1063" s="407" t="s">
        <v>3900</v>
      </c>
      <c r="AZ1063" s="407" t="s">
        <v>3901</v>
      </c>
      <c r="BA1063" s="407" t="s">
        <v>3902</v>
      </c>
      <c r="BB1063" s="407" t="s">
        <v>3903</v>
      </c>
      <c r="BC1063" s="407"/>
      <c r="BD1063" s="407"/>
      <c r="BE1063" s="407"/>
      <c r="BF1063" s="422"/>
      <c r="BG1063" s="391">
        <f>SUM($AV$4:AV1063)</f>
        <v>4676.0809549222658</v>
      </c>
      <c r="BH1063" s="392">
        <f>SUM($AU$134:AU1063)</f>
        <v>20535.132000000202</v>
      </c>
      <c r="BI1063" s="318">
        <f>SUMIFS($AU$134:AU1064,$Q$134:Q1064,"F")</f>
        <v>5926.5333333333328</v>
      </c>
      <c r="BJ1063" s="318">
        <f>SUMIFS($AU$134:AU1064,$Q$134:Q1064,"S")</f>
        <v>15492.441999999999</v>
      </c>
      <c r="BK1063" s="343">
        <f>SUMIFS($AU$134:AU1064,$P$134:P1064,"W")</f>
        <v>13091.741999999942</v>
      </c>
      <c r="BL1063" s="343">
        <f>SUMIFS($AU$134:AU1064,$P$134:P1064,"R")</f>
        <v>8116.6733333333359</v>
      </c>
      <c r="BM1063" s="343">
        <f>SUMIFS($AU$134:AU1064,$AQ$134:AQ1064,"M")</f>
        <v>2745.3999999999201</v>
      </c>
      <c r="BN1063" s="343">
        <f>SUMIFS($AU$134:AU1064,$AQ$134:AQ1064,"H")</f>
        <v>7518.1420000000153</v>
      </c>
      <c r="BO1063" s="343">
        <f>SUMIFS($AU$134:AU1064,$AQ$134:AQ1064,"D")</f>
        <v>5642.2366666667649</v>
      </c>
      <c r="BP1063" s="343">
        <f>SUMIFS($AU$134:AU1066,$AQ$134:AQ1066,"W")</f>
        <v>2882.7233333332406</v>
      </c>
      <c r="BQ1063" s="343">
        <f>SUMIFS($AU$134:AU1064,$Q$134:Q1064,"O")</f>
        <v>-779.04333333313514</v>
      </c>
      <c r="BR1063" s="343">
        <f>SUMIFS($AU$134:AU1064,$AA$134:AA1064,"*")</f>
        <v>18633.475333333263</v>
      </c>
      <c r="BS1063" s="343">
        <f>SUMIFS($AU$134:AU1064,$AB$134:AB1064,"*")</f>
        <v>5052.1566666669405</v>
      </c>
      <c r="BT1063" s="343">
        <f>SUMIFS($AU$134:AU1064,$AC$134:AC1064,"*")</f>
        <v>10903.683333333332</v>
      </c>
      <c r="BU1063" s="343">
        <f>SUMIFS($AU$134:AU1064,$AA$134:AA1064,"*",$AB$134:AB1064,"*")</f>
        <v>3202.0000000000045</v>
      </c>
      <c r="BV1063" s="343">
        <f>SUMIFS($AU$134:AU1064,$AA$134:AA1064,"*",$AC$134:AC1064,"*")</f>
        <v>9084.7833333333328</v>
      </c>
      <c r="BW1063" s="343">
        <f>SUMIFS($AU$134:AU1064,$AB$134:AB1064,"*",$AC$134:AC1064,"*")</f>
        <v>6014.6</v>
      </c>
      <c r="BX1063" s="343">
        <f>SUMIFS($AU1064:AU$1388,$Q1064:Q$1388,"F")</f>
        <v>8514.1333333333332</v>
      </c>
      <c r="BY1063" s="343">
        <f>SUMIFS($AU1064:AU$1388,$Q1064:Q$1388,"S")</f>
        <v>5179.2</v>
      </c>
      <c r="BZ1063" s="343">
        <f>SUMIFS($AU1064:AU$1388,$Q1064:Q$1388,"O")</f>
        <v>-869.81466666666324</v>
      </c>
    </row>
    <row r="1064" spans="1:78" ht="15.75" customHeight="1">
      <c r="A1064" s="221" t="s">
        <v>3735</v>
      </c>
      <c r="B1064" s="177">
        <v>45191</v>
      </c>
      <c r="C1064" s="178" t="s">
        <v>1304</v>
      </c>
      <c r="D1064" s="178" t="s">
        <v>111</v>
      </c>
      <c r="E1064" s="227" t="s">
        <v>3904</v>
      </c>
      <c r="F1064" s="180"/>
      <c r="G1064" s="181"/>
      <c r="H1064" s="182">
        <v>1</v>
      </c>
      <c r="I1064" s="182"/>
      <c r="J1064" s="182"/>
      <c r="K1064" s="183" t="s">
        <v>372</v>
      </c>
      <c r="L1064" s="182"/>
      <c r="M1064" s="182"/>
      <c r="N1064" s="182"/>
      <c r="O1064" s="183"/>
      <c r="P1064" s="183"/>
      <c r="Q1064" s="183"/>
      <c r="R1064" s="183"/>
      <c r="S1064" s="183"/>
      <c r="T1064" s="183"/>
      <c r="U1064" s="183"/>
      <c r="V1064" s="183"/>
      <c r="W1064" s="183"/>
      <c r="X1064" s="183"/>
      <c r="Y1064" s="183"/>
      <c r="Z1064" s="185" t="str">
        <f t="shared" si="320"/>
        <v/>
      </c>
      <c r="AA1064" s="185"/>
      <c r="AB1064" s="185"/>
      <c r="AC1064" s="185"/>
      <c r="AD1064" s="649"/>
      <c r="AE1064" s="182"/>
      <c r="AF1064" s="332"/>
      <c r="AG1064" s="182"/>
      <c r="AH1064" s="182"/>
      <c r="AI1064" s="182"/>
      <c r="AJ1064" s="640"/>
      <c r="AK1064" s="182"/>
      <c r="AL1064" s="496"/>
      <c r="AM1064" s="496"/>
      <c r="AN1064" s="626"/>
      <c r="AO1064" s="182"/>
      <c r="AP1064" s="182"/>
      <c r="AQ1064" s="332" t="str">
        <f>UPPER(RIGHT(Journal_Live[[#This Row],[DURATION ]]))</f>
        <v/>
      </c>
      <c r="AR1064" s="182"/>
      <c r="AS1064" s="189"/>
      <c r="AT1064" s="189"/>
      <c r="AU1064" s="187"/>
      <c r="AV1064" s="190"/>
      <c r="AW1064" s="191"/>
      <c r="AX1064" s="407"/>
      <c r="AY1064" s="407"/>
      <c r="AZ1064" s="407"/>
      <c r="BA1064" s="407"/>
      <c r="BB1064" s="407"/>
      <c r="BC1064" s="407"/>
      <c r="BD1064" s="407"/>
      <c r="BE1064" s="407"/>
      <c r="BF1064" s="422"/>
      <c r="BG1064" s="391">
        <f>SUM($AV$4:AV1064)</f>
        <v>4676.0809549222658</v>
      </c>
      <c r="BH1064" s="392">
        <f>SUM($AU$134:AU1064)</f>
        <v>20535.132000000202</v>
      </c>
      <c r="BI1064" s="318">
        <f>SUMIFS($AU$134:AU1065,$Q$134:Q1065,"F")</f>
        <v>5926.5333333333328</v>
      </c>
      <c r="BJ1064" s="318">
        <f>SUMIFS($AU$134:AU1065,$Q$134:Q1065,"S")</f>
        <v>15492.441999999999</v>
      </c>
      <c r="BK1064" s="343">
        <f>SUMIFS($AU$134:AU1065,$P$134:P1065,"W")</f>
        <v>13091.741999999942</v>
      </c>
      <c r="BL1064" s="343">
        <f>SUMIFS($AU$134:AU1065,$P$134:P1065,"R")</f>
        <v>8116.6733333333359</v>
      </c>
      <c r="BM1064" s="343">
        <f>SUMIFS($AU$134:AU1065,$AQ$134:AQ1065,"M")</f>
        <v>2745.3999999999201</v>
      </c>
      <c r="BN1064" s="343">
        <f>SUMIFS($AU$134:AU1065,$AQ$134:AQ1065,"H")</f>
        <v>7518.1420000000153</v>
      </c>
      <c r="BO1064" s="343">
        <f>SUMIFS($AU$134:AU1065,$AQ$134:AQ1065,"D")</f>
        <v>5642.2366666667649</v>
      </c>
      <c r="BP1064" s="343">
        <f>SUMIFS($AU$134:AU1067,$AQ$134:AQ1067,"W")</f>
        <v>2882.7233333332406</v>
      </c>
      <c r="BQ1064" s="343">
        <f>SUMIFS($AU$134:AU1065,$Q$134:Q1065,"O")</f>
        <v>-779.04333333313514</v>
      </c>
      <c r="BR1064" s="343">
        <f>SUMIFS($AU$134:AU1065,$AA$134:AA1065,"*")</f>
        <v>18633.475333333263</v>
      </c>
      <c r="BS1064" s="343">
        <f>SUMIFS($AU$134:AU1065,$AB$134:AB1065,"*")</f>
        <v>5052.1566666669405</v>
      </c>
      <c r="BT1064" s="343">
        <f>SUMIFS($AU$134:AU1065,$AC$134:AC1065,"*")</f>
        <v>10903.683333333332</v>
      </c>
      <c r="BU1064" s="343">
        <f>SUMIFS($AU$134:AU1065,$AA$134:AA1065,"*",$AB$134:AB1065,"*")</f>
        <v>3202.0000000000045</v>
      </c>
      <c r="BV1064" s="343">
        <f>SUMIFS($AU$134:AU1065,$AA$134:AA1065,"*",$AC$134:AC1065,"*")</f>
        <v>9084.7833333333328</v>
      </c>
      <c r="BW1064" s="343">
        <f>SUMIFS($AU$134:AU1065,$AB$134:AB1065,"*",$AC$134:AC1065,"*")</f>
        <v>6014.6</v>
      </c>
      <c r="BX1064" s="343">
        <f>SUMIFS($AU1065:AU$1388,$Q1065:Q$1388,"F")</f>
        <v>8514.1333333333332</v>
      </c>
      <c r="BY1064" s="343">
        <f>SUMIFS($AU1065:AU$1388,$Q1065:Q$1388,"S")</f>
        <v>5179.2</v>
      </c>
      <c r="BZ1064" s="343">
        <f>SUMIFS($AU1065:AU$1388,$Q1065:Q$1388,"O")</f>
        <v>-869.81466666666324</v>
      </c>
    </row>
    <row r="1065" spans="1:78" ht="15.75" customHeight="1">
      <c r="A1065" s="221" t="s">
        <v>3735</v>
      </c>
      <c r="B1065" s="177">
        <v>45191</v>
      </c>
      <c r="C1065" s="178" t="s">
        <v>3214</v>
      </c>
      <c r="D1065" s="178" t="s">
        <v>111</v>
      </c>
      <c r="E1065" s="227" t="s">
        <v>3905</v>
      </c>
      <c r="F1065" s="180"/>
      <c r="G1065" s="181"/>
      <c r="H1065" s="182"/>
      <c r="I1065" s="182">
        <v>1</v>
      </c>
      <c r="J1065" s="182"/>
      <c r="K1065" s="183"/>
      <c r="L1065" s="182"/>
      <c r="M1065" s="182"/>
      <c r="N1065" s="182"/>
      <c r="O1065" s="183"/>
      <c r="P1065" s="183"/>
      <c r="Q1065" s="183"/>
      <c r="R1065" s="183"/>
      <c r="S1065" s="183"/>
      <c r="T1065" s="183"/>
      <c r="U1065" s="183"/>
      <c r="V1065" s="183"/>
      <c r="W1065" s="183"/>
      <c r="X1065" s="183"/>
      <c r="Y1065" s="183"/>
      <c r="Z1065" s="185" t="str">
        <f t="shared" si="320"/>
        <v/>
      </c>
      <c r="AA1065" s="185"/>
      <c r="AB1065" s="185"/>
      <c r="AC1065" s="185"/>
      <c r="AD1065" s="649"/>
      <c r="AE1065" s="182"/>
      <c r="AF1065" s="332"/>
      <c r="AG1065" s="182"/>
      <c r="AH1065" s="182"/>
      <c r="AI1065" s="182"/>
      <c r="AJ1065" s="640"/>
      <c r="AK1065" s="182"/>
      <c r="AL1065" s="496"/>
      <c r="AM1065" s="496"/>
      <c r="AN1065" s="626"/>
      <c r="AO1065" s="182"/>
      <c r="AP1065" s="182"/>
      <c r="AQ1065" s="332" t="str">
        <f>UPPER(RIGHT(Journal_Live[[#This Row],[DURATION ]]))</f>
        <v/>
      </c>
      <c r="AR1065" s="182"/>
      <c r="AS1065" s="189"/>
      <c r="AT1065" s="189"/>
      <c r="AU1065" s="187"/>
      <c r="AV1065" s="190"/>
      <c r="AW1065" s="191"/>
      <c r="AX1065" s="407" t="s">
        <v>3906</v>
      </c>
      <c r="AY1065" s="407" t="s">
        <v>3907</v>
      </c>
      <c r="AZ1065" s="409" t="s">
        <v>3908</v>
      </c>
      <c r="BA1065" s="407" t="s">
        <v>3909</v>
      </c>
      <c r="BB1065" s="407" t="s">
        <v>3910</v>
      </c>
      <c r="BC1065" s="407"/>
      <c r="BD1065" s="407"/>
      <c r="BE1065" s="407"/>
      <c r="BF1065" s="422"/>
      <c r="BG1065" s="391">
        <f>SUM($AV$4:AV1065)</f>
        <v>4676.0809549222658</v>
      </c>
      <c r="BH1065" s="392">
        <f>SUM($AU$134:AU1065)</f>
        <v>20535.132000000202</v>
      </c>
      <c r="BI1065" s="318">
        <f>SUMIFS($AU$134:AU1066,$Q$134:Q1066,"F")</f>
        <v>5926.5333333333328</v>
      </c>
      <c r="BJ1065" s="318">
        <f>SUMIFS($AU$134:AU1066,$Q$134:Q1066,"S")</f>
        <v>15492.441999999999</v>
      </c>
      <c r="BK1065" s="343">
        <f>SUMIFS($AU$134:AU1066,$P$134:P1066,"W")</f>
        <v>13091.741999999942</v>
      </c>
      <c r="BL1065" s="343">
        <f>SUMIFS($AU$134:AU1066,$P$134:P1066,"R")</f>
        <v>8116.6733333333359</v>
      </c>
      <c r="BM1065" s="343">
        <f>SUMIFS($AU$134:AU1066,$AQ$134:AQ1066,"M")</f>
        <v>2745.3999999999201</v>
      </c>
      <c r="BN1065" s="343">
        <f>SUMIFS($AU$134:AU1066,$AQ$134:AQ1066,"H")</f>
        <v>7518.1420000000153</v>
      </c>
      <c r="BO1065" s="343">
        <f>SUMIFS($AU$134:AU1066,$AQ$134:AQ1066,"D")</f>
        <v>5642.2366666667649</v>
      </c>
      <c r="BP1065" s="343">
        <f>SUMIFS($AU$134:AU1068,$AQ$134:AQ1068,"W")</f>
        <v>2882.7233333332406</v>
      </c>
      <c r="BQ1065" s="343">
        <f>SUMIFS($AU$134:AU1066,$Q$134:Q1066,"O")</f>
        <v>-779.04333333313514</v>
      </c>
      <c r="BR1065" s="343">
        <f>SUMIFS($AU$134:AU1066,$AA$134:AA1066,"*")</f>
        <v>18633.475333333263</v>
      </c>
      <c r="BS1065" s="343">
        <f>SUMIFS($AU$134:AU1066,$AB$134:AB1066,"*")</f>
        <v>5052.1566666669405</v>
      </c>
      <c r="BT1065" s="343">
        <f>SUMIFS($AU$134:AU1066,$AC$134:AC1066,"*")</f>
        <v>10903.683333333332</v>
      </c>
      <c r="BU1065" s="343">
        <f>SUMIFS($AU$134:AU1066,$AA$134:AA1066,"*",$AB$134:AB1066,"*")</f>
        <v>3202.0000000000045</v>
      </c>
      <c r="BV1065" s="343">
        <f>SUMIFS($AU$134:AU1066,$AA$134:AA1066,"*",$AC$134:AC1066,"*")</f>
        <v>9084.7833333333328</v>
      </c>
      <c r="BW1065" s="343">
        <f>SUMIFS($AU$134:AU1066,$AB$134:AB1066,"*",$AC$134:AC1066,"*")</f>
        <v>6014.6</v>
      </c>
      <c r="BX1065" s="343">
        <f>SUMIFS($AU1066:AU$1388,$Q1066:Q$1388,"F")</f>
        <v>8514.1333333333332</v>
      </c>
      <c r="BY1065" s="343">
        <f>SUMIFS($AU1066:AU$1388,$Q1066:Q$1388,"S")</f>
        <v>5179.2</v>
      </c>
      <c r="BZ1065" s="343">
        <f>SUMIFS($AU1066:AU$1388,$Q1066:Q$1388,"O")</f>
        <v>-869.81466666666324</v>
      </c>
    </row>
    <row r="1066" spans="1:78" ht="15.75" customHeight="1">
      <c r="A1066" s="221" t="s">
        <v>3735</v>
      </c>
      <c r="B1066" s="177">
        <v>45196</v>
      </c>
      <c r="C1066" s="178" t="s">
        <v>2020</v>
      </c>
      <c r="D1066" s="178" t="s">
        <v>151</v>
      </c>
      <c r="E1066" s="227" t="s">
        <v>3911</v>
      </c>
      <c r="F1066" s="180"/>
      <c r="G1066" s="181"/>
      <c r="H1066" s="182"/>
      <c r="I1066" s="182"/>
      <c r="J1066" s="182"/>
      <c r="K1066" s="183"/>
      <c r="L1066" s="182"/>
      <c r="M1066" s="182"/>
      <c r="N1066" s="182"/>
      <c r="O1066" s="183"/>
      <c r="P1066" s="183"/>
      <c r="Q1066" s="183"/>
      <c r="R1066" s="183"/>
      <c r="S1066" s="183"/>
      <c r="T1066" s="183"/>
      <c r="U1066" s="183"/>
      <c r="V1066" s="183"/>
      <c r="W1066" s="183"/>
      <c r="X1066" s="183"/>
      <c r="Y1066" s="183"/>
      <c r="Z1066" s="185" t="str">
        <f t="shared" si="320"/>
        <v/>
      </c>
      <c r="AA1066" s="185"/>
      <c r="AB1066" s="185"/>
      <c r="AC1066" s="185"/>
      <c r="AD1066" s="649"/>
      <c r="AE1066" s="182"/>
      <c r="AF1066" s="332"/>
      <c r="AG1066" s="182"/>
      <c r="AH1066" s="182"/>
      <c r="AI1066" s="182"/>
      <c r="AJ1066" s="640"/>
      <c r="AK1066" s="182"/>
      <c r="AL1066" s="496"/>
      <c r="AM1066" s="496"/>
      <c r="AN1066" s="626"/>
      <c r="AO1066" s="182"/>
      <c r="AP1066" s="182"/>
      <c r="AQ1066" s="332" t="str">
        <f>UPPER(RIGHT(Journal_Live[[#This Row],[DURATION ]]))</f>
        <v/>
      </c>
      <c r="AR1066" s="182"/>
      <c r="AS1066" s="189"/>
      <c r="AT1066" s="189"/>
      <c r="AU1066" s="187"/>
      <c r="AV1066" s="190"/>
      <c r="AW1066" s="191"/>
      <c r="AX1066" s="407" t="s">
        <v>3912</v>
      </c>
      <c r="AY1066" s="407" t="s">
        <v>3913</v>
      </c>
      <c r="AZ1066" s="407" t="s">
        <v>3914</v>
      </c>
      <c r="BA1066" s="407" t="s">
        <v>3915</v>
      </c>
      <c r="BB1066" s="407" t="s">
        <v>3916</v>
      </c>
      <c r="BC1066" s="407" t="s">
        <v>3917</v>
      </c>
      <c r="BD1066" s="407" t="s">
        <v>3918</v>
      </c>
      <c r="BE1066" s="407" t="s">
        <v>3919</v>
      </c>
      <c r="BF1066" s="422" t="s">
        <v>3920</v>
      </c>
      <c r="BG1066" s="391">
        <f>SUM($AV$4:AV1066)</f>
        <v>4676.0809549222658</v>
      </c>
      <c r="BH1066" s="392">
        <f>SUM($AU$134:AU1066)</f>
        <v>20535.132000000202</v>
      </c>
      <c r="BI1066" s="318">
        <f>SUMIFS($AU$134:AU1067,$Q$134:Q1067,"F")</f>
        <v>5926.5333333333328</v>
      </c>
      <c r="BJ1066" s="318">
        <f>SUMIFS($AU$134:AU1067,$Q$134:Q1067,"S")</f>
        <v>15668.441999999999</v>
      </c>
      <c r="BK1066" s="343">
        <f>SUMIFS($AU$134:AU1067,$P$134:P1067,"W")</f>
        <v>13267.741999999942</v>
      </c>
      <c r="BL1066" s="343">
        <f>SUMIFS($AU$134:AU1067,$P$134:P1067,"R")</f>
        <v>8116.6733333333359</v>
      </c>
      <c r="BM1066" s="343">
        <f>SUMIFS($AU$134:AU1067,$AQ$134:AQ1067,"M")</f>
        <v>2745.3999999999201</v>
      </c>
      <c r="BN1066" s="343">
        <f>SUMIFS($AU$134:AU1067,$AQ$134:AQ1067,"H")</f>
        <v>7694.1420000000153</v>
      </c>
      <c r="BO1066" s="343">
        <f>SUMIFS($AU$134:AU1067,$AQ$134:AQ1067,"D")</f>
        <v>5642.2366666667649</v>
      </c>
      <c r="BP1066" s="343">
        <f>SUMIFS($AU$134:AU1069,$AQ$134:AQ1069,"W")</f>
        <v>2882.7233333332406</v>
      </c>
      <c r="BQ1066" s="343">
        <f>SUMIFS($AU$134:AU1067,$Q$134:Q1067,"O")</f>
        <v>-779.04333333313514</v>
      </c>
      <c r="BR1066" s="343">
        <f>SUMIFS($AU$134:AU1067,$AA$134:AA1067,"*")</f>
        <v>18809.475333333263</v>
      </c>
      <c r="BS1066" s="343">
        <f>SUMIFS($AU$134:AU1067,$AB$134:AB1067,"*")</f>
        <v>5228.1566666669405</v>
      </c>
      <c r="BT1066" s="343">
        <f>SUMIFS($AU$134:AU1067,$AC$134:AC1067,"*")</f>
        <v>10903.683333333332</v>
      </c>
      <c r="BU1066" s="343">
        <f>SUMIFS($AU$134:AU1067,$AA$134:AA1067,"*",$AB$134:AB1067,"*")</f>
        <v>3378.0000000000045</v>
      </c>
      <c r="BV1066" s="343">
        <f>SUMIFS($AU$134:AU1067,$AA$134:AA1067,"*",$AC$134:AC1067,"*")</f>
        <v>9084.7833333333328</v>
      </c>
      <c r="BW1066" s="343">
        <f>SUMIFS($AU$134:AU1067,$AB$134:AB1067,"*",$AC$134:AC1067,"*")</f>
        <v>6014.6</v>
      </c>
      <c r="BX1066" s="343">
        <f>SUMIFS($AU1067:AU$1388,$Q1067:Q$1388,"F")</f>
        <v>8514.1333333333332</v>
      </c>
      <c r="BY1066" s="343">
        <f>SUMIFS($AU1067:AU$1388,$Q1067:Q$1388,"S")</f>
        <v>5179.2</v>
      </c>
      <c r="BZ1066" s="343">
        <f>SUMIFS($AU1067:AU$1388,$Q1067:Q$1388,"O")</f>
        <v>-869.81466666666324</v>
      </c>
    </row>
    <row r="1067" spans="1:78" ht="15.75" customHeight="1">
      <c r="A1067" s="221" t="s">
        <v>3735</v>
      </c>
      <c r="B1067" s="177">
        <v>45196</v>
      </c>
      <c r="C1067" s="178" t="s">
        <v>3921</v>
      </c>
      <c r="D1067" s="178" t="s">
        <v>151</v>
      </c>
      <c r="E1067" s="227"/>
      <c r="F1067" s="180"/>
      <c r="G1067" s="281" t="s">
        <v>2145</v>
      </c>
      <c r="H1067" s="182"/>
      <c r="I1067" s="182"/>
      <c r="J1067" s="182"/>
      <c r="K1067" s="183"/>
      <c r="L1067" s="182">
        <v>1</v>
      </c>
      <c r="M1067" s="182"/>
      <c r="N1067" s="182"/>
      <c r="O1067" s="183" t="s">
        <v>95</v>
      </c>
      <c r="P1067" s="183" t="s">
        <v>96</v>
      </c>
      <c r="Q1067" s="183" t="s">
        <v>97</v>
      </c>
      <c r="R1067" s="183">
        <v>7</v>
      </c>
      <c r="S1067" s="183">
        <v>0</v>
      </c>
      <c r="T1067" s="183">
        <v>3</v>
      </c>
      <c r="U1067" s="183" t="s">
        <v>22</v>
      </c>
      <c r="V1067" s="183"/>
      <c r="W1067" s="183"/>
      <c r="X1067" s="183"/>
      <c r="Y1067" s="184">
        <f>IF(ISBLANK(O1067),"",(IF(O1067=UPPER("IB"),0.005,0.01)))</f>
        <v>0.01</v>
      </c>
      <c r="Z1067" s="185">
        <f t="shared" si="320"/>
        <v>1600</v>
      </c>
      <c r="AA1067" s="185" t="s">
        <v>99</v>
      </c>
      <c r="AB1067" s="185" t="s">
        <v>3922</v>
      </c>
      <c r="AC1067" s="185"/>
      <c r="AD1067" s="649">
        <v>0.12</v>
      </c>
      <c r="AE1067" s="182"/>
      <c r="AF1067" s="332"/>
      <c r="AG1067" s="182"/>
      <c r="AH1067" s="182"/>
      <c r="AI1067" s="182"/>
      <c r="AJ1067" s="640"/>
      <c r="AK1067" s="182"/>
      <c r="AL1067" s="496"/>
      <c r="AM1067" s="496"/>
      <c r="AN1067" s="626"/>
      <c r="AO1067" s="182"/>
      <c r="AP1067" s="182" t="s">
        <v>1005</v>
      </c>
      <c r="AQ1067" s="332" t="str">
        <f>UPPER(RIGHT(Journal_Live[[#This Row],[DURATION ]]))</f>
        <v>H</v>
      </c>
      <c r="AR1067" s="182" t="s">
        <v>3923</v>
      </c>
      <c r="AS1067" s="189">
        <f>(0.12*2+0.13*2+0.15*3)/7</f>
        <v>0.1357142857142857</v>
      </c>
      <c r="AT1067" s="189">
        <f>IF(ISBLANK(AS1067),,IF(U1067="S",AD1067-AS1067,AS1067-AD1067))</f>
        <v>1.5714285714285708E-2</v>
      </c>
      <c r="AU1067" s="187">
        <f>AV1067*R1067</f>
        <v>175.99999999999991</v>
      </c>
      <c r="AV1067" s="190">
        <f>IF(ISBLANK(AS1067),,(AT1067*Z1067))</f>
        <v>25.142857142857132</v>
      </c>
      <c r="AW1067" s="191" t="s">
        <v>96</v>
      </c>
      <c r="AX1067" s="407"/>
      <c r="AY1067" s="407"/>
      <c r="AZ1067" s="407"/>
      <c r="BA1067" s="407" t="s">
        <v>195</v>
      </c>
      <c r="BB1067" s="407"/>
      <c r="BC1067" s="407"/>
      <c r="BD1067" s="407"/>
      <c r="BE1067" s="407"/>
      <c r="BF1067" s="422"/>
      <c r="BG1067" s="391">
        <f>SUM($AV$4:AV1067)</f>
        <v>4701.2238120651227</v>
      </c>
      <c r="BH1067" s="392">
        <f>SUM($AU$134:AU1067)</f>
        <v>20711.132000000202</v>
      </c>
      <c r="BI1067" s="318">
        <f>SUMIFS($AU$134:AU1068,$Q$134:Q1068,"F")</f>
        <v>5926.5333333333328</v>
      </c>
      <c r="BJ1067" s="318">
        <f>SUMIFS($AU$134:AU1068,$Q$134:Q1068,"S")</f>
        <v>15668.441999999999</v>
      </c>
      <c r="BK1067" s="343">
        <f>SUMIFS($AU$134:AU1068,$P$134:P1068,"W")</f>
        <v>13267.741999999942</v>
      </c>
      <c r="BL1067" s="343">
        <f>SUMIFS($AU$134:AU1068,$P$134:P1068,"R")</f>
        <v>8116.6733333333359</v>
      </c>
      <c r="BM1067" s="343">
        <f>SUMIFS($AU$134:AU1068,$AQ$134:AQ1068,"M")</f>
        <v>2817.3999999999569</v>
      </c>
      <c r="BN1067" s="343">
        <f>SUMIFS($AU$134:AU1068,$AQ$134:AQ1068,"H")</f>
        <v>7694.1420000000153</v>
      </c>
      <c r="BO1067" s="343">
        <f>SUMIFS($AU$134:AU1068,$AQ$134:AQ1068,"D")</f>
        <v>5642.2366666667649</v>
      </c>
      <c r="BP1067" s="343">
        <f>SUMIFS($AU$134:AU1070,$AQ$134:AQ1070,"W")</f>
        <v>2882.7233333332406</v>
      </c>
      <c r="BQ1067" s="343">
        <f>SUMIFS($AU$134:AU1068,$Q$134:Q1068,"O")</f>
        <v>-707.0433333330983</v>
      </c>
      <c r="BR1067" s="343">
        <f>SUMIFS($AU$134:AU1068,$AA$134:AA1068,"*")</f>
        <v>18881.475333333299</v>
      </c>
      <c r="BS1067" s="343">
        <f>SUMIFS($AU$134:AU1068,$AB$134:AB1068,"*")</f>
        <v>5228.1566666669405</v>
      </c>
      <c r="BT1067" s="343">
        <f>SUMIFS($AU$134:AU1068,$AC$134:AC1068,"*")</f>
        <v>10903.683333333332</v>
      </c>
      <c r="BU1067" s="343">
        <f>SUMIFS($AU$134:AU1068,$AA$134:AA1068,"*",$AB$134:AB1068,"*")</f>
        <v>3378.0000000000045</v>
      </c>
      <c r="BV1067" s="343">
        <f>SUMIFS($AU$134:AU1068,$AA$134:AA1068,"*",$AC$134:AC1068,"*")</f>
        <v>9084.7833333333328</v>
      </c>
      <c r="BW1067" s="343">
        <f>SUMIFS($AU$134:AU1068,$AB$134:AB1068,"*",$AC$134:AC1068,"*")</f>
        <v>6014.6</v>
      </c>
      <c r="BX1067" s="343">
        <f>SUMIFS($AU1068:AU$1388,$Q1068:Q$1388,"F")</f>
        <v>8514.1333333333332</v>
      </c>
      <c r="BY1067" s="343">
        <f>SUMIFS($AU1068:AU$1388,$Q1068:Q$1388,"S")</f>
        <v>5003.2000000000016</v>
      </c>
      <c r="BZ1067" s="343">
        <f>SUMIFS($AU1068:AU$1388,$Q1068:Q$1388,"O")</f>
        <v>-869.81466666666324</v>
      </c>
    </row>
    <row r="1068" spans="1:78" ht="15.75" customHeight="1">
      <c r="A1068" s="221" t="s">
        <v>3735</v>
      </c>
      <c r="B1068" s="177">
        <v>45196</v>
      </c>
      <c r="C1068" s="178" t="s">
        <v>1966</v>
      </c>
      <c r="D1068" s="178" t="s">
        <v>151</v>
      </c>
      <c r="E1068" s="227"/>
      <c r="F1068" s="180"/>
      <c r="G1068" s="281" t="s">
        <v>3924</v>
      </c>
      <c r="H1068" s="182"/>
      <c r="I1068" s="182"/>
      <c r="J1068" s="182"/>
      <c r="K1068" s="183"/>
      <c r="L1068" s="182">
        <v>1</v>
      </c>
      <c r="M1068" s="182">
        <v>1</v>
      </c>
      <c r="N1068" s="182"/>
      <c r="O1068" s="183" t="s">
        <v>3618</v>
      </c>
      <c r="P1068" s="183" t="s">
        <v>2260</v>
      </c>
      <c r="Q1068" s="183" t="s">
        <v>684</v>
      </c>
      <c r="R1068" s="183">
        <v>1</v>
      </c>
      <c r="S1068" s="183">
        <v>0</v>
      </c>
      <c r="T1068" s="183">
        <v>1</v>
      </c>
      <c r="U1068" s="183" t="s">
        <v>97</v>
      </c>
      <c r="V1068" s="183"/>
      <c r="W1068" s="183"/>
      <c r="X1068" s="183"/>
      <c r="Y1068" s="184">
        <f>IF(ISBLANK(O1068),"",(IF(O1068=UPPER("IB"),0.005,0.01)))</f>
        <v>0.01</v>
      </c>
      <c r="Z1068" s="185">
        <f>IF(ISBLANK(O1068),"",IF(O1068="IB",8.63*200,IF(O1068="IR",16*100,IF(O1068="YT",20*100,IF(O1068="YT-XT",24*200,IF(O1068="TED",80*100,IF(O1068="XT",36*200)))))))</f>
        <v>7200</v>
      </c>
      <c r="AA1068" s="185" t="s">
        <v>3925</v>
      </c>
      <c r="AB1068" s="185"/>
      <c r="AC1068" s="185"/>
      <c r="AD1068" s="649">
        <v>95.625</v>
      </c>
      <c r="AE1068" s="182"/>
      <c r="AF1068" s="332"/>
      <c r="AG1068" s="182"/>
      <c r="AH1068" s="182"/>
      <c r="AI1068" s="182"/>
      <c r="AJ1068" s="640"/>
      <c r="AK1068" s="182"/>
      <c r="AL1068" s="496"/>
      <c r="AM1068" s="496"/>
      <c r="AN1068" s="626"/>
      <c r="AO1068" s="182"/>
      <c r="AP1068" s="182" t="s">
        <v>3926</v>
      </c>
      <c r="AQ1068" s="332" t="str">
        <f>UPPER(RIGHT(Journal_Live[[#This Row],[DURATION ]]))</f>
        <v>M</v>
      </c>
      <c r="AR1068" s="182" t="s">
        <v>1722</v>
      </c>
      <c r="AS1068" s="189">
        <v>95.614999999999995</v>
      </c>
      <c r="AT1068" s="189">
        <f>IF(ISBLANK(AS1068),,IF(U1068="S",AD1068-AS1068,AS1068-AD1068))</f>
        <v>1.0000000000005116E-2</v>
      </c>
      <c r="AU1068" s="187">
        <f>AV1068*R1068</f>
        <v>72.000000000036835</v>
      </c>
      <c r="AV1068" s="190">
        <f>IF(ISBLANK(AS1068),,(AT1068*Z1068))</f>
        <v>72.000000000036835</v>
      </c>
      <c r="AW1068" s="191" t="s">
        <v>96</v>
      </c>
      <c r="AX1068" s="407" t="s">
        <v>3927</v>
      </c>
      <c r="AY1068" s="407" t="s">
        <v>3928</v>
      </c>
      <c r="AZ1068" s="407" t="s">
        <v>3929</v>
      </c>
      <c r="BA1068" s="407" t="s">
        <v>3930</v>
      </c>
      <c r="BB1068" s="407" t="s">
        <v>3931</v>
      </c>
      <c r="BC1068" s="407" t="s">
        <v>3932</v>
      </c>
      <c r="BD1068" s="407" t="s">
        <v>3933</v>
      </c>
      <c r="BE1068" s="407"/>
      <c r="BF1068" s="422"/>
      <c r="BG1068" s="391">
        <f>SUM($AV$4:AV1068)</f>
        <v>4773.22381206516</v>
      </c>
      <c r="BH1068" s="392">
        <f>SUM($AU$134:AU1068)</f>
        <v>20783.132000000238</v>
      </c>
      <c r="BI1068" s="318">
        <f>SUMIFS($AU$134:AU1069,$Q$134:Q1069,"F")</f>
        <v>5926.5333333333328</v>
      </c>
      <c r="BJ1068" s="318">
        <f>SUMIFS($AU$134:AU1069,$Q$134:Q1069,"S")</f>
        <v>15668.441999999999</v>
      </c>
      <c r="BK1068" s="343">
        <f>SUMIFS($AU$134:AU1069,$P$134:P1069,"W")</f>
        <v>13267.741999999942</v>
      </c>
      <c r="BL1068" s="343">
        <f>SUMIFS($AU$134:AU1069,$P$134:P1069,"R")</f>
        <v>8116.6733333333359</v>
      </c>
      <c r="BM1068" s="343">
        <f>SUMIFS($AU$134:AU1069,$AQ$134:AQ1069,"M")</f>
        <v>2817.3999999999569</v>
      </c>
      <c r="BN1068" s="343">
        <f>SUMIFS($AU$134:AU1069,$AQ$134:AQ1069,"H")</f>
        <v>7694.1420000000153</v>
      </c>
      <c r="BO1068" s="343">
        <f>SUMIFS($AU$134:AU1069,$AQ$134:AQ1069,"D")</f>
        <v>5642.2366666667649</v>
      </c>
      <c r="BP1068" s="343">
        <f>SUMIFS($AU$134:AU1071,$AQ$134:AQ1071,"W")</f>
        <v>2882.7233333332406</v>
      </c>
      <c r="BQ1068" s="343">
        <f>SUMIFS($AU$134:AU1069,$Q$134:Q1069,"O")</f>
        <v>-707.0433333330983</v>
      </c>
      <c r="BR1068" s="343">
        <f>SUMIFS($AU$134:AU1069,$AA$134:AA1069,"*")</f>
        <v>18881.475333333299</v>
      </c>
      <c r="BS1068" s="343">
        <f>SUMIFS($AU$134:AU1069,$AB$134:AB1069,"*")</f>
        <v>5228.1566666669405</v>
      </c>
      <c r="BT1068" s="343">
        <f>SUMIFS($AU$134:AU1069,$AC$134:AC1069,"*")</f>
        <v>10903.683333333332</v>
      </c>
      <c r="BU1068" s="343">
        <f>SUMIFS($AU$134:AU1069,$AA$134:AA1069,"*",$AB$134:AB1069,"*")</f>
        <v>3378.0000000000045</v>
      </c>
      <c r="BV1068" s="343">
        <f>SUMIFS($AU$134:AU1069,$AA$134:AA1069,"*",$AC$134:AC1069,"*")</f>
        <v>9084.7833333333328</v>
      </c>
      <c r="BW1068" s="343">
        <f>SUMIFS($AU$134:AU1069,$AB$134:AB1069,"*",$AC$134:AC1069,"*")</f>
        <v>6014.6</v>
      </c>
      <c r="BX1068" s="343">
        <f>SUMIFS($AU1069:AU$1388,$Q1069:Q$1388,"F")</f>
        <v>8514.1333333333332</v>
      </c>
      <c r="BY1068" s="343">
        <f>SUMIFS($AU1069:AU$1388,$Q1069:Q$1388,"S")</f>
        <v>5003.2000000000016</v>
      </c>
      <c r="BZ1068" s="343">
        <f>SUMIFS($AU1069:AU$1388,$Q1069:Q$1388,"O")</f>
        <v>-941.81466666670008</v>
      </c>
    </row>
    <row r="1069" spans="1:78" ht="15.75" customHeight="1">
      <c r="A1069" s="221" t="s">
        <v>3735</v>
      </c>
      <c r="B1069" s="177">
        <v>45197</v>
      </c>
      <c r="C1069" s="178" t="s">
        <v>2020</v>
      </c>
      <c r="D1069" s="178" t="s">
        <v>93</v>
      </c>
      <c r="E1069" s="227" t="s">
        <v>3934</v>
      </c>
      <c r="F1069" s="180"/>
      <c r="G1069" s="181"/>
      <c r="H1069" s="182"/>
      <c r="I1069" s="182"/>
      <c r="J1069" s="182"/>
      <c r="K1069" s="183"/>
      <c r="L1069" s="182"/>
      <c r="M1069" s="182"/>
      <c r="N1069" s="182"/>
      <c r="O1069" s="183"/>
      <c r="P1069" s="183"/>
      <c r="Q1069" s="183"/>
      <c r="R1069" s="183"/>
      <c r="S1069" s="183"/>
      <c r="T1069" s="183"/>
      <c r="U1069" s="183"/>
      <c r="V1069" s="183"/>
      <c r="W1069" s="183"/>
      <c r="X1069" s="183"/>
      <c r="Y1069" s="183"/>
      <c r="Z1069" s="185" t="str">
        <f t="shared" ref="Z1069:Z1077" si="322">IF(ISBLANK(O1069),"",IF(O1069="IB",8.63*200,IF(O1069="IR",16*100,IF(O1069="YT",20*100,IF(O1069="YT-XT",24*200,IF(O1069="TED",80*100))))))</f>
        <v/>
      </c>
      <c r="AA1069" s="185"/>
      <c r="AB1069" s="185"/>
      <c r="AC1069" s="185"/>
      <c r="AD1069" s="649"/>
      <c r="AE1069" s="182"/>
      <c r="AF1069" s="332"/>
      <c r="AG1069" s="182"/>
      <c r="AH1069" s="182"/>
      <c r="AI1069" s="182"/>
      <c r="AJ1069" s="640"/>
      <c r="AK1069" s="182"/>
      <c r="AL1069" s="496"/>
      <c r="AM1069" s="496"/>
      <c r="AN1069" s="626"/>
      <c r="AO1069" s="182"/>
      <c r="AP1069" s="182"/>
      <c r="AQ1069" s="332" t="str">
        <f>UPPER(RIGHT(Journal_Live[[#This Row],[DURATION ]]))</f>
        <v/>
      </c>
      <c r="AR1069" s="182"/>
      <c r="AS1069" s="189"/>
      <c r="AT1069" s="189"/>
      <c r="AU1069" s="187"/>
      <c r="AV1069" s="190"/>
      <c r="AW1069" s="191"/>
      <c r="AX1069" s="407"/>
      <c r="AY1069" s="407"/>
      <c r="AZ1069" s="407"/>
      <c r="BA1069" s="407"/>
      <c r="BB1069" s="407"/>
      <c r="BC1069" s="407"/>
      <c r="BD1069" s="407"/>
      <c r="BE1069" s="407"/>
      <c r="BF1069" s="422"/>
      <c r="BG1069" s="391">
        <f>SUM($AV$4:AV1069)</f>
        <v>4773.22381206516</v>
      </c>
      <c r="BH1069" s="392">
        <f>SUM($AU$134:AU1069)</f>
        <v>20783.132000000238</v>
      </c>
      <c r="BI1069" s="318">
        <f>SUMIFS($AU$134:AU1070,$Q$134:Q1070,"F")</f>
        <v>5926.5333333333328</v>
      </c>
      <c r="BJ1069" s="318">
        <f>SUMIFS($AU$134:AU1070,$Q$134:Q1070,"S")</f>
        <v>15668.441999999999</v>
      </c>
      <c r="BK1069" s="343">
        <f>SUMIFS($AU$134:AU1070,$P$134:P1070,"W")</f>
        <v>13267.741999999942</v>
      </c>
      <c r="BL1069" s="343">
        <f>SUMIFS($AU$134:AU1070,$P$134:P1070,"R")</f>
        <v>8116.6733333333359</v>
      </c>
      <c r="BM1069" s="343">
        <f>SUMIFS($AU$134:AU1070,$AQ$134:AQ1070,"M")</f>
        <v>2817.3999999999569</v>
      </c>
      <c r="BN1069" s="343">
        <f>SUMIFS($AU$134:AU1070,$AQ$134:AQ1070,"H")</f>
        <v>7694.1420000000153</v>
      </c>
      <c r="BO1069" s="343">
        <f>SUMIFS($AU$134:AU1070,$AQ$134:AQ1070,"D")</f>
        <v>5642.2366666667649</v>
      </c>
      <c r="BP1069" s="343">
        <f>SUMIFS($AU$134:AU1072,$AQ$134:AQ1072,"W")</f>
        <v>2882.7233333332406</v>
      </c>
      <c r="BQ1069" s="343">
        <f>SUMIFS($AU$134:AU1070,$Q$134:Q1070,"O")</f>
        <v>-707.0433333330983</v>
      </c>
      <c r="BR1069" s="343">
        <f>SUMIFS($AU$134:AU1070,$AA$134:AA1070,"*")</f>
        <v>18881.475333333299</v>
      </c>
      <c r="BS1069" s="343">
        <f>SUMIFS($AU$134:AU1070,$AB$134:AB1070,"*")</f>
        <v>5228.1566666669405</v>
      </c>
      <c r="BT1069" s="343">
        <f>SUMIFS($AU$134:AU1070,$AC$134:AC1070,"*")</f>
        <v>10903.683333333332</v>
      </c>
      <c r="BU1069" s="343">
        <f>SUMIFS($AU$134:AU1070,$AA$134:AA1070,"*",$AB$134:AB1070,"*")</f>
        <v>3378.0000000000045</v>
      </c>
      <c r="BV1069" s="343">
        <f>SUMIFS($AU$134:AU1070,$AA$134:AA1070,"*",$AC$134:AC1070,"*")</f>
        <v>9084.7833333333328</v>
      </c>
      <c r="BW1069" s="343">
        <f>SUMIFS($AU$134:AU1070,$AB$134:AB1070,"*",$AC$134:AC1070,"*")</f>
        <v>6014.6</v>
      </c>
      <c r="BX1069" s="343">
        <f>SUMIFS($AU1070:AU$1388,$Q1070:Q$1388,"F")</f>
        <v>8514.1333333333332</v>
      </c>
      <c r="BY1069" s="343">
        <f>SUMIFS($AU1070:AU$1388,$Q1070:Q$1388,"S")</f>
        <v>5003.2000000000016</v>
      </c>
      <c r="BZ1069" s="343">
        <f>SUMIFS($AU1070:AU$1388,$Q1070:Q$1388,"O")</f>
        <v>-941.81466666670008</v>
      </c>
    </row>
    <row r="1070" spans="1:78" ht="15.75" customHeight="1">
      <c r="A1070" s="221" t="s">
        <v>3735</v>
      </c>
      <c r="B1070" s="177">
        <v>45197</v>
      </c>
      <c r="C1070" s="178" t="s">
        <v>1714</v>
      </c>
      <c r="D1070" s="178" t="s">
        <v>93</v>
      </c>
      <c r="E1070" s="227" t="s">
        <v>3935</v>
      </c>
      <c r="F1070" s="180"/>
      <c r="G1070" s="181"/>
      <c r="H1070" s="182"/>
      <c r="I1070" s="182">
        <v>1</v>
      </c>
      <c r="J1070" s="182"/>
      <c r="K1070" s="183"/>
      <c r="L1070" s="182"/>
      <c r="M1070" s="182"/>
      <c r="N1070" s="182"/>
      <c r="O1070" s="183"/>
      <c r="P1070" s="183"/>
      <c r="Q1070" s="183"/>
      <c r="R1070" s="183"/>
      <c r="S1070" s="183"/>
      <c r="T1070" s="183"/>
      <c r="U1070" s="183"/>
      <c r="V1070" s="183"/>
      <c r="W1070" s="183"/>
      <c r="X1070" s="183"/>
      <c r="Y1070" s="183"/>
      <c r="Z1070" s="185" t="str">
        <f t="shared" si="322"/>
        <v/>
      </c>
      <c r="AA1070" s="185"/>
      <c r="AB1070" s="185"/>
      <c r="AC1070" s="185"/>
      <c r="AD1070" s="649"/>
      <c r="AE1070" s="182"/>
      <c r="AF1070" s="332"/>
      <c r="AG1070" s="182"/>
      <c r="AH1070" s="182"/>
      <c r="AI1070" s="182"/>
      <c r="AJ1070" s="640"/>
      <c r="AK1070" s="182"/>
      <c r="AL1070" s="496"/>
      <c r="AM1070" s="496"/>
      <c r="AN1070" s="626"/>
      <c r="AO1070" s="182"/>
      <c r="AP1070" s="182"/>
      <c r="AQ1070" s="332" t="str">
        <f>UPPER(RIGHT(Journal_Live[[#This Row],[DURATION ]]))</f>
        <v/>
      </c>
      <c r="AR1070" s="182"/>
      <c r="AS1070" s="189"/>
      <c r="AT1070" s="189"/>
      <c r="AU1070" s="187"/>
      <c r="AV1070" s="190"/>
      <c r="AW1070" s="191"/>
      <c r="AX1070" s="407" t="s">
        <v>3936</v>
      </c>
      <c r="AY1070" s="407"/>
      <c r="AZ1070" s="407"/>
      <c r="BA1070" s="407"/>
      <c r="BB1070" s="407"/>
      <c r="BC1070" s="407"/>
      <c r="BD1070" s="407"/>
      <c r="BE1070" s="407"/>
      <c r="BF1070" s="422"/>
      <c r="BG1070" s="391">
        <f>SUM($AV$4:AV1070)</f>
        <v>4773.22381206516</v>
      </c>
      <c r="BH1070" s="392">
        <f>SUM($AU$134:AU1070)</f>
        <v>20783.132000000238</v>
      </c>
      <c r="BI1070" s="318">
        <f>SUMIFS($AU$134:AU1071,$Q$134:Q1071,"F")</f>
        <v>5926.5333333333328</v>
      </c>
      <c r="BJ1070" s="318">
        <f>SUMIFS($AU$134:AU1071,$Q$134:Q1071,"S")</f>
        <v>15668.441999999999</v>
      </c>
      <c r="BK1070" s="343">
        <f>SUMIFS($AU$134:AU1071,$P$134:P1071,"W")</f>
        <v>13267.741999999942</v>
      </c>
      <c r="BL1070" s="343">
        <f>SUMIFS($AU$134:AU1071,$P$134:P1071,"R")</f>
        <v>8116.6733333333359</v>
      </c>
      <c r="BM1070" s="343">
        <f>SUMIFS($AU$134:AU1071,$AQ$134:AQ1071,"M")</f>
        <v>2817.3999999999569</v>
      </c>
      <c r="BN1070" s="343">
        <f>SUMIFS($AU$134:AU1071,$AQ$134:AQ1071,"H")</f>
        <v>7694.1420000000153</v>
      </c>
      <c r="BO1070" s="343">
        <f>SUMIFS($AU$134:AU1071,$AQ$134:AQ1071,"D")</f>
        <v>5642.2366666667649</v>
      </c>
      <c r="BP1070" s="343">
        <f>SUMIFS($AU$134:AU1073,$AQ$134:AQ1073,"W")</f>
        <v>2882.7233333332406</v>
      </c>
      <c r="BQ1070" s="343">
        <f>SUMIFS($AU$134:AU1071,$Q$134:Q1071,"O")</f>
        <v>-707.0433333330983</v>
      </c>
      <c r="BR1070" s="343">
        <f>SUMIFS($AU$134:AU1071,$AA$134:AA1071,"*")</f>
        <v>18881.475333333299</v>
      </c>
      <c r="BS1070" s="343">
        <f>SUMIFS($AU$134:AU1071,$AB$134:AB1071,"*")</f>
        <v>5228.1566666669405</v>
      </c>
      <c r="BT1070" s="343">
        <f>SUMIFS($AU$134:AU1071,$AC$134:AC1071,"*")</f>
        <v>10903.683333333332</v>
      </c>
      <c r="BU1070" s="343">
        <f>SUMIFS($AU$134:AU1071,$AA$134:AA1071,"*",$AB$134:AB1071,"*")</f>
        <v>3378.0000000000045</v>
      </c>
      <c r="BV1070" s="343">
        <f>SUMIFS($AU$134:AU1071,$AA$134:AA1071,"*",$AC$134:AC1071,"*")</f>
        <v>9084.7833333333328</v>
      </c>
      <c r="BW1070" s="343">
        <f>SUMIFS($AU$134:AU1071,$AB$134:AB1071,"*",$AC$134:AC1071,"*")</f>
        <v>6014.6</v>
      </c>
      <c r="BX1070" s="343">
        <f>SUMIFS($AU1071:AU$1388,$Q1071:Q$1388,"F")</f>
        <v>8514.1333333333332</v>
      </c>
      <c r="BY1070" s="343">
        <f>SUMIFS($AU1071:AU$1388,$Q1071:Q$1388,"S")</f>
        <v>5003.2000000000016</v>
      </c>
      <c r="BZ1070" s="343">
        <f>SUMIFS($AU1071:AU$1388,$Q1071:Q$1388,"O")</f>
        <v>-941.81466666670008</v>
      </c>
    </row>
    <row r="1071" spans="1:78" ht="15.75" customHeight="1">
      <c r="A1071" s="221" t="s">
        <v>3735</v>
      </c>
      <c r="B1071" s="177"/>
      <c r="C1071" s="178"/>
      <c r="D1071" s="178"/>
      <c r="E1071" s="227"/>
      <c r="F1071" s="180"/>
      <c r="G1071" s="181"/>
      <c r="H1071" s="182"/>
      <c r="I1071" s="182"/>
      <c r="J1071" s="182"/>
      <c r="K1071" s="183"/>
      <c r="L1071" s="182"/>
      <c r="M1071" s="182"/>
      <c r="N1071" s="182"/>
      <c r="O1071" s="183"/>
      <c r="P1071" s="183"/>
      <c r="Q1071" s="183"/>
      <c r="R1071" s="183"/>
      <c r="S1071" s="183"/>
      <c r="T1071" s="183"/>
      <c r="U1071" s="183"/>
      <c r="V1071" s="183"/>
      <c r="W1071" s="183"/>
      <c r="X1071" s="183"/>
      <c r="Y1071" s="183"/>
      <c r="Z1071" s="185" t="str">
        <f t="shared" si="322"/>
        <v/>
      </c>
      <c r="AA1071" s="185"/>
      <c r="AB1071" s="185"/>
      <c r="AC1071" s="185"/>
      <c r="AD1071" s="649"/>
      <c r="AE1071" s="182"/>
      <c r="AF1071" s="332"/>
      <c r="AG1071" s="182"/>
      <c r="AH1071" s="182"/>
      <c r="AI1071" s="182"/>
      <c r="AJ1071" s="640"/>
      <c r="AK1071" s="182"/>
      <c r="AL1071" s="496"/>
      <c r="AM1071" s="496"/>
      <c r="AN1071" s="626"/>
      <c r="AO1071" s="182"/>
      <c r="AP1071" s="182"/>
      <c r="AQ1071" s="332" t="str">
        <f>UPPER(RIGHT(Journal_Live[[#This Row],[DURATION ]]))</f>
        <v/>
      </c>
      <c r="AR1071" s="182"/>
      <c r="AS1071" s="189"/>
      <c r="AT1071" s="189"/>
      <c r="AU1071" s="187"/>
      <c r="AV1071" s="190"/>
      <c r="AW1071" s="191"/>
      <c r="AX1071" s="417" t="s">
        <v>3937</v>
      </c>
      <c r="AY1071" s="417" t="s">
        <v>3938</v>
      </c>
      <c r="AZ1071" s="417" t="s">
        <v>3939</v>
      </c>
      <c r="BA1071" s="417" t="s">
        <v>3940</v>
      </c>
      <c r="BB1071" s="407"/>
      <c r="BC1071" s="407"/>
      <c r="BD1071" s="407"/>
      <c r="BE1071" s="407"/>
      <c r="BF1071" s="422"/>
      <c r="BG1071" s="391">
        <f>SUM($AV$4:AV1071)</f>
        <v>4773.22381206516</v>
      </c>
      <c r="BH1071" s="392">
        <f>SUM($AU$134:AU1071)</f>
        <v>20783.132000000238</v>
      </c>
      <c r="BI1071" s="318">
        <f>SUMIFS($AU$134:AU1072,$Q$134:Q1072,"F")</f>
        <v>5926.5333333333328</v>
      </c>
      <c r="BJ1071" s="318">
        <f>SUMIFS($AU$134:AU1072,$Q$134:Q1072,"S")</f>
        <v>15668.441999999999</v>
      </c>
      <c r="BK1071" s="343">
        <f>SUMIFS($AU$134:AU1072,$P$134:P1072,"W")</f>
        <v>13267.741999999942</v>
      </c>
      <c r="BL1071" s="343">
        <f>SUMIFS($AU$134:AU1072,$P$134:P1072,"R")</f>
        <v>8116.6733333333359</v>
      </c>
      <c r="BM1071" s="343">
        <f>SUMIFS($AU$134:AU1072,$AQ$134:AQ1072,"M")</f>
        <v>2817.3999999999569</v>
      </c>
      <c r="BN1071" s="343">
        <f>SUMIFS($AU$134:AU1072,$AQ$134:AQ1072,"H")</f>
        <v>7694.1420000000153</v>
      </c>
      <c r="BO1071" s="343">
        <f>SUMIFS($AU$134:AU1072,$AQ$134:AQ1072,"D")</f>
        <v>5642.2366666667649</v>
      </c>
      <c r="BP1071" s="343">
        <f>SUMIFS($AU$134:AU1074,$AQ$134:AQ1074,"W")</f>
        <v>2882.7233333332406</v>
      </c>
      <c r="BQ1071" s="343">
        <f>SUMIFS($AU$134:AU1072,$Q$134:Q1072,"O")</f>
        <v>-707.0433333330983</v>
      </c>
      <c r="BR1071" s="343">
        <f>SUMIFS($AU$134:AU1072,$AA$134:AA1072,"*")</f>
        <v>18881.475333333299</v>
      </c>
      <c r="BS1071" s="343">
        <f>SUMIFS($AU$134:AU1072,$AB$134:AB1072,"*")</f>
        <v>5228.1566666669405</v>
      </c>
      <c r="BT1071" s="343">
        <f>SUMIFS($AU$134:AU1072,$AC$134:AC1072,"*")</f>
        <v>10903.683333333332</v>
      </c>
      <c r="BU1071" s="343">
        <f>SUMIFS($AU$134:AU1072,$AA$134:AA1072,"*",$AB$134:AB1072,"*")</f>
        <v>3378.0000000000045</v>
      </c>
      <c r="BV1071" s="343">
        <f>SUMIFS($AU$134:AU1072,$AA$134:AA1072,"*",$AC$134:AC1072,"*")</f>
        <v>9084.7833333333328</v>
      </c>
      <c r="BW1071" s="343">
        <f>SUMIFS($AU$134:AU1072,$AB$134:AB1072,"*",$AC$134:AC1072,"*")</f>
        <v>6014.6</v>
      </c>
      <c r="BX1071" s="343">
        <f>SUMIFS($AU1072:AU$1388,$Q1072:Q$1388,"F")</f>
        <v>8514.1333333333332</v>
      </c>
      <c r="BY1071" s="343">
        <f>SUMIFS($AU1072:AU$1388,$Q1072:Q$1388,"S")</f>
        <v>5003.2000000000016</v>
      </c>
      <c r="BZ1071" s="343">
        <f>SUMIFS($AU1072:AU$1388,$Q1072:Q$1388,"O")</f>
        <v>-941.81466666670008</v>
      </c>
    </row>
    <row r="1072" spans="1:78" ht="15.75" customHeight="1">
      <c r="A1072" s="273" t="s">
        <v>3941</v>
      </c>
      <c r="B1072" s="273"/>
      <c r="C1072" s="214"/>
      <c r="D1072" s="214"/>
      <c r="E1072" s="215"/>
      <c r="F1072" s="216"/>
      <c r="G1072" s="214"/>
      <c r="H1072" s="214"/>
      <c r="I1072" s="214"/>
      <c r="J1072" s="214"/>
      <c r="K1072" s="217"/>
      <c r="L1072" s="214"/>
      <c r="M1072" s="214"/>
      <c r="N1072" s="214"/>
      <c r="O1072" s="217"/>
      <c r="P1072" s="217"/>
      <c r="Q1072" s="217"/>
      <c r="R1072" s="217"/>
      <c r="S1072" s="217"/>
      <c r="T1072" s="217"/>
      <c r="U1072" s="217"/>
      <c r="V1072" s="217"/>
      <c r="W1072" s="217"/>
      <c r="X1072" s="217"/>
      <c r="Y1072" s="217"/>
      <c r="Z1072" s="218" t="str">
        <f t="shared" si="322"/>
        <v/>
      </c>
      <c r="AA1072" s="218"/>
      <c r="AB1072" s="218"/>
      <c r="AC1072" s="218"/>
      <c r="AD1072" s="651"/>
      <c r="AE1072" s="214"/>
      <c r="AF1072" s="347"/>
      <c r="AG1072" s="343"/>
      <c r="AH1072" s="214"/>
      <c r="AI1072" s="214"/>
      <c r="AJ1072" s="642"/>
      <c r="AK1072" s="214"/>
      <c r="AL1072" s="502"/>
      <c r="AM1072" s="502"/>
      <c r="AN1072" s="628"/>
      <c r="AO1072" s="214"/>
      <c r="AP1072" s="214"/>
      <c r="AQ1072" s="334" t="str">
        <f>UPPER(RIGHT(Journal_Live[[#This Row],[DURATION ]]))</f>
        <v/>
      </c>
      <c r="AR1072" s="214"/>
      <c r="AS1072" s="214"/>
      <c r="AT1072" s="214"/>
      <c r="AU1072" s="214"/>
      <c r="AV1072" s="214"/>
      <c r="AW1072" s="220"/>
      <c r="AX1072" s="417"/>
      <c r="AY1072" s="414"/>
      <c r="AZ1072" s="414"/>
      <c r="BA1072" s="414"/>
      <c r="BB1072" s="414"/>
      <c r="BC1072" s="414"/>
      <c r="BD1072" s="414"/>
      <c r="BE1072" s="414"/>
      <c r="BF1072" s="414"/>
      <c r="BG1072" s="391">
        <f>SUM($AV$4:AV1072)</f>
        <v>4773.22381206516</v>
      </c>
      <c r="BH1072" s="392">
        <f>SUM($AU$134:AU1072)</f>
        <v>20783.132000000238</v>
      </c>
      <c r="BI1072" s="318">
        <f>SUMIFS($AU$134:AU1073,$Q$134:Q1073,"F")</f>
        <v>5926.5333333333328</v>
      </c>
      <c r="BJ1072" s="318">
        <f>SUMIFS($AU$134:AU1073,$Q$134:Q1073,"S")</f>
        <v>15668.441999999999</v>
      </c>
      <c r="BK1072" s="343">
        <f>SUMIFS($AU$134:AU1073,$P$134:P1073,"W")</f>
        <v>13267.741999999942</v>
      </c>
      <c r="BL1072" s="343">
        <f>SUMIFS($AU$134:AU1073,$P$134:P1073,"R")</f>
        <v>8116.6733333333359</v>
      </c>
      <c r="BM1072" s="343">
        <f>SUMIFS($AU$134:AU1073,$AQ$134:AQ1073,"M")</f>
        <v>2817.3999999999569</v>
      </c>
      <c r="BN1072" s="343">
        <f>SUMIFS($AU$134:AU1073,$AQ$134:AQ1073,"H")</f>
        <v>7694.1420000000153</v>
      </c>
      <c r="BO1072" s="343">
        <f>SUMIFS($AU$134:AU1073,$AQ$134:AQ1073,"D")</f>
        <v>5642.2366666667649</v>
      </c>
      <c r="BP1072" s="343">
        <f>SUMIFS($AU$134:AU1075,$AQ$134:AQ1075,"W")</f>
        <v>2882.7233333332406</v>
      </c>
      <c r="BQ1072" s="343">
        <f>SUMIFS($AU$134:AU1073,$Q$134:Q1073,"O")</f>
        <v>-707.0433333330983</v>
      </c>
      <c r="BR1072" s="343">
        <f>SUMIFS($AU$134:AU1073,$AA$134:AA1073,"*")</f>
        <v>18881.475333333299</v>
      </c>
      <c r="BS1072" s="343">
        <f>SUMIFS($AU$134:AU1073,$AB$134:AB1073,"*")</f>
        <v>5228.1566666669405</v>
      </c>
      <c r="BT1072" s="343">
        <f>SUMIFS($AU$134:AU1073,$AC$134:AC1073,"*")</f>
        <v>10903.683333333332</v>
      </c>
      <c r="BU1072" s="343">
        <f>SUMIFS($AU$134:AU1073,$AA$134:AA1073,"*",$AB$134:AB1073,"*")</f>
        <v>3378.0000000000045</v>
      </c>
      <c r="BV1072" s="343">
        <f>SUMIFS($AU$134:AU1073,$AA$134:AA1073,"*",$AC$134:AC1073,"*")</f>
        <v>9084.7833333333328</v>
      </c>
      <c r="BW1072" s="343">
        <f>SUMIFS($AU$134:AU1073,$AB$134:AB1073,"*",$AC$134:AC1073,"*")</f>
        <v>6014.6</v>
      </c>
      <c r="BX1072" s="343">
        <f>SUMIFS($AU1073:AU$1388,$Q1073:Q$1388,"F")</f>
        <v>8514.1333333333332</v>
      </c>
      <c r="BY1072" s="343">
        <f>SUMIFS($AU1073:AU$1388,$Q1073:Q$1388,"S")</f>
        <v>5003.2000000000016</v>
      </c>
      <c r="BZ1072" s="343">
        <f>SUMIFS($AU1073:AU$1388,$Q1073:Q$1388,"O")</f>
        <v>-941.81466666670008</v>
      </c>
    </row>
    <row r="1073" spans="1:78" ht="15.75" customHeight="1">
      <c r="A1073" s="221" t="s">
        <v>3942</v>
      </c>
      <c r="B1073" s="177">
        <v>45201</v>
      </c>
      <c r="C1073" s="178" t="s">
        <v>2060</v>
      </c>
      <c r="D1073" s="178" t="s">
        <v>132</v>
      </c>
      <c r="E1073" s="227" t="s">
        <v>3943</v>
      </c>
      <c r="F1073" s="180"/>
      <c r="G1073" s="181"/>
      <c r="H1073" s="182">
        <v>1</v>
      </c>
      <c r="I1073" s="182"/>
      <c r="J1073" s="182"/>
      <c r="K1073" s="183"/>
      <c r="L1073" s="182"/>
      <c r="M1073" s="182"/>
      <c r="N1073" s="182"/>
      <c r="O1073" s="183"/>
      <c r="P1073" s="183"/>
      <c r="Q1073" s="183"/>
      <c r="R1073" s="183"/>
      <c r="S1073" s="183"/>
      <c r="T1073" s="183"/>
      <c r="U1073" s="183"/>
      <c r="V1073" s="183"/>
      <c r="W1073" s="183"/>
      <c r="X1073" s="183"/>
      <c r="Y1073" s="183"/>
      <c r="Z1073" s="185" t="str">
        <f t="shared" si="322"/>
        <v/>
      </c>
      <c r="AA1073" s="185"/>
      <c r="AB1073" s="185"/>
      <c r="AC1073" s="185"/>
      <c r="AD1073" s="649"/>
      <c r="AE1073" s="182"/>
      <c r="AF1073" s="332"/>
      <c r="AG1073" s="182"/>
      <c r="AH1073" s="182"/>
      <c r="AI1073" s="182"/>
      <c r="AJ1073" s="640"/>
      <c r="AK1073" s="182"/>
      <c r="AL1073" s="496"/>
      <c r="AM1073" s="496"/>
      <c r="AN1073" s="626"/>
      <c r="AO1073" s="182"/>
      <c r="AP1073" s="182"/>
      <c r="AQ1073" s="332" t="str">
        <f>UPPER(RIGHT(Journal_Live[[#This Row],[DURATION ]]))</f>
        <v/>
      </c>
      <c r="AR1073" s="182"/>
      <c r="AS1073" s="189"/>
      <c r="AT1073" s="189"/>
      <c r="AU1073" s="187"/>
      <c r="AV1073" s="190"/>
      <c r="AW1073" s="191"/>
      <c r="AX1073" s="407"/>
      <c r="AY1073" s="407"/>
      <c r="AZ1073" s="407"/>
      <c r="BA1073" s="407"/>
      <c r="BB1073" s="407"/>
      <c r="BC1073" s="407"/>
      <c r="BD1073" s="407"/>
      <c r="BE1073" s="407"/>
      <c r="BF1073" s="422"/>
      <c r="BG1073" s="391">
        <f>SUM($AV$4:AV1073)</f>
        <v>4773.22381206516</v>
      </c>
      <c r="BH1073" s="392">
        <f>SUM($AU$134:AU1073)</f>
        <v>20783.132000000238</v>
      </c>
      <c r="BI1073" s="318">
        <f>SUMIFS($AU$134:AU1074,$Q$134:Q1074,"F")</f>
        <v>5926.5333333333328</v>
      </c>
      <c r="BJ1073" s="318">
        <f>SUMIFS($AU$134:AU1074,$Q$134:Q1074,"S")</f>
        <v>15668.441999999999</v>
      </c>
      <c r="BK1073" s="343">
        <f>SUMIFS($AU$134:AU1074,$P$134:P1074,"W")</f>
        <v>13267.741999999942</v>
      </c>
      <c r="BL1073" s="343">
        <f>SUMIFS($AU$134:AU1074,$P$134:P1074,"R")</f>
        <v>8116.6733333333359</v>
      </c>
      <c r="BM1073" s="343">
        <f>SUMIFS($AU$134:AU1074,$AQ$134:AQ1074,"M")</f>
        <v>2817.3999999999569</v>
      </c>
      <c r="BN1073" s="343">
        <f>SUMIFS($AU$134:AU1074,$AQ$134:AQ1074,"H")</f>
        <v>7694.1420000000153</v>
      </c>
      <c r="BO1073" s="343">
        <f>SUMIFS($AU$134:AU1074,$AQ$134:AQ1074,"D")</f>
        <v>5642.2366666667649</v>
      </c>
      <c r="BP1073" s="343">
        <f>SUMIFS($AU$134:AU1076,$AQ$134:AQ1076,"W")</f>
        <v>2882.7233333332406</v>
      </c>
      <c r="BQ1073" s="343">
        <f>SUMIFS($AU$134:AU1074,$Q$134:Q1074,"O")</f>
        <v>-707.0433333330983</v>
      </c>
      <c r="BR1073" s="343">
        <f>SUMIFS($AU$134:AU1074,$AA$134:AA1074,"*")</f>
        <v>18881.475333333299</v>
      </c>
      <c r="BS1073" s="343">
        <f>SUMIFS($AU$134:AU1074,$AB$134:AB1074,"*")</f>
        <v>5228.1566666669405</v>
      </c>
      <c r="BT1073" s="343">
        <f>SUMIFS($AU$134:AU1074,$AC$134:AC1074,"*")</f>
        <v>10903.683333333332</v>
      </c>
      <c r="BU1073" s="343">
        <f>SUMIFS($AU$134:AU1074,$AA$134:AA1074,"*",$AB$134:AB1074,"*")</f>
        <v>3378.0000000000045</v>
      </c>
      <c r="BV1073" s="343">
        <f>SUMIFS($AU$134:AU1074,$AA$134:AA1074,"*",$AC$134:AC1074,"*")</f>
        <v>9084.7833333333328</v>
      </c>
      <c r="BW1073" s="343">
        <f>SUMIFS($AU$134:AU1074,$AB$134:AB1074,"*",$AC$134:AC1074,"*")</f>
        <v>6014.6</v>
      </c>
      <c r="BX1073" s="343">
        <f>SUMIFS($AU1074:AU$1388,$Q1074:Q$1388,"F")</f>
        <v>8514.1333333333332</v>
      </c>
      <c r="BY1073" s="343">
        <f>SUMIFS($AU1074:AU$1388,$Q1074:Q$1388,"S")</f>
        <v>5003.2000000000016</v>
      </c>
      <c r="BZ1073" s="343">
        <f>SUMIFS($AU1074:AU$1388,$Q1074:Q$1388,"O")</f>
        <v>-941.81466666670008</v>
      </c>
    </row>
    <row r="1074" spans="1:78" ht="15.75" customHeight="1">
      <c r="A1074" s="221" t="s">
        <v>3942</v>
      </c>
      <c r="B1074" s="177">
        <v>45202</v>
      </c>
      <c r="C1074" s="178" t="s">
        <v>3368</v>
      </c>
      <c r="D1074" s="178" t="s">
        <v>146</v>
      </c>
      <c r="E1074" s="227" t="s">
        <v>3944</v>
      </c>
      <c r="F1074" s="180"/>
      <c r="G1074" s="181"/>
      <c r="H1074" s="182"/>
      <c r="I1074" s="182"/>
      <c r="J1074" s="182"/>
      <c r="K1074" s="183"/>
      <c r="L1074" s="182"/>
      <c r="M1074" s="182"/>
      <c r="N1074" s="182"/>
      <c r="O1074" s="183"/>
      <c r="P1074" s="183"/>
      <c r="Q1074" s="183"/>
      <c r="R1074" s="183"/>
      <c r="S1074" s="183"/>
      <c r="T1074" s="183"/>
      <c r="U1074" s="183"/>
      <c r="V1074" s="183"/>
      <c r="W1074" s="183"/>
      <c r="X1074" s="183"/>
      <c r="Y1074" s="183"/>
      <c r="Z1074" s="185" t="str">
        <f t="shared" si="322"/>
        <v/>
      </c>
      <c r="AA1074" s="185"/>
      <c r="AB1074" s="185"/>
      <c r="AC1074" s="185"/>
      <c r="AD1074" s="649"/>
      <c r="AE1074" s="182"/>
      <c r="AF1074" s="332"/>
      <c r="AG1074" s="182"/>
      <c r="AH1074" s="182"/>
      <c r="AI1074" s="182"/>
      <c r="AJ1074" s="640"/>
      <c r="AK1074" s="182"/>
      <c r="AL1074" s="496"/>
      <c r="AM1074" s="496"/>
      <c r="AN1074" s="626"/>
      <c r="AO1074" s="182"/>
      <c r="AP1074" s="182"/>
      <c r="AQ1074" s="332" t="str">
        <f>UPPER(RIGHT(Journal_Live[[#This Row],[DURATION ]]))</f>
        <v/>
      </c>
      <c r="AR1074" s="182"/>
      <c r="AS1074" s="189"/>
      <c r="AT1074" s="189"/>
      <c r="AU1074" s="187"/>
      <c r="AV1074" s="190"/>
      <c r="AW1074" s="191"/>
      <c r="AX1074" s="407" t="s">
        <v>3945</v>
      </c>
      <c r="AY1074" s="407"/>
      <c r="AZ1074" s="407"/>
      <c r="BA1074" s="407"/>
      <c r="BB1074" s="407"/>
      <c r="BC1074" s="407"/>
      <c r="BD1074" s="407"/>
      <c r="BE1074" s="407"/>
      <c r="BF1074" s="422"/>
      <c r="BG1074" s="391">
        <f>SUM($AV$4:AV1074)</f>
        <v>4773.22381206516</v>
      </c>
      <c r="BH1074" s="392">
        <f>SUM($AU$134:AU1074)</f>
        <v>20783.132000000238</v>
      </c>
      <c r="BI1074" s="318">
        <f>SUMIFS($AU$134:AU1075,$Q$134:Q1075,"F")</f>
        <v>5926.5333333333328</v>
      </c>
      <c r="BJ1074" s="318">
        <f>SUMIFS($AU$134:AU1075,$Q$134:Q1075,"S")</f>
        <v>15700.441999999999</v>
      </c>
      <c r="BK1074" s="343">
        <f>SUMIFS($AU$134:AU1075,$P$134:P1075,"W")</f>
        <v>13267.741999999942</v>
      </c>
      <c r="BL1074" s="343">
        <f>SUMIFS($AU$134:AU1075,$P$134:P1075,"R")</f>
        <v>8148.6733333333359</v>
      </c>
      <c r="BM1074" s="343">
        <f>SUMIFS($AU$134:AU1075,$AQ$134:AQ1075,"M")</f>
        <v>2817.3999999999569</v>
      </c>
      <c r="BN1074" s="343">
        <f>SUMIFS($AU$134:AU1075,$AQ$134:AQ1075,"H")</f>
        <v>7726.1420000000153</v>
      </c>
      <c r="BO1074" s="343">
        <f>SUMIFS($AU$134:AU1075,$AQ$134:AQ1075,"D")</f>
        <v>5642.2366666667649</v>
      </c>
      <c r="BP1074" s="343">
        <f>SUMIFS($AU$134:AU1077,$AQ$134:AQ1077,"W")</f>
        <v>2882.7233333332406</v>
      </c>
      <c r="BQ1074" s="343">
        <f>SUMIFS($AU$134:AU1075,$Q$134:Q1075,"O")</f>
        <v>-707.0433333330983</v>
      </c>
      <c r="BR1074" s="343">
        <f>SUMIFS($AU$134:AU1075,$AA$134:AA1075,"*")</f>
        <v>18913.475333333299</v>
      </c>
      <c r="BS1074" s="343">
        <f>SUMIFS($AU$134:AU1075,$AB$134:AB1075,"*")</f>
        <v>5228.1566666669405</v>
      </c>
      <c r="BT1074" s="343">
        <f>SUMIFS($AU$134:AU1075,$AC$134:AC1075,"*")</f>
        <v>10903.683333333332</v>
      </c>
      <c r="BU1074" s="343">
        <f>SUMIFS($AU$134:AU1075,$AA$134:AA1075,"*",$AB$134:AB1075,"*")</f>
        <v>3378.0000000000045</v>
      </c>
      <c r="BV1074" s="343">
        <f>SUMIFS($AU$134:AU1075,$AA$134:AA1075,"*",$AC$134:AC1075,"*")</f>
        <v>9084.7833333333328</v>
      </c>
      <c r="BW1074" s="343">
        <f>SUMIFS($AU$134:AU1075,$AB$134:AB1075,"*",$AC$134:AC1075,"*")</f>
        <v>6014.6</v>
      </c>
      <c r="BX1074" s="343">
        <f>SUMIFS($AU1075:AU$1388,$Q1075:Q$1388,"F")</f>
        <v>8514.1333333333332</v>
      </c>
      <c r="BY1074" s="343">
        <f>SUMIFS($AU1075:AU$1388,$Q1075:Q$1388,"S")</f>
        <v>5003.2000000000016</v>
      </c>
      <c r="BZ1074" s="343">
        <f>SUMIFS($AU1075:AU$1388,$Q1075:Q$1388,"O")</f>
        <v>-941.81466666670008</v>
      </c>
    </row>
    <row r="1075" spans="1:78" ht="15.75" customHeight="1">
      <c r="A1075" s="221" t="s">
        <v>3942</v>
      </c>
      <c r="B1075" s="177">
        <v>45202</v>
      </c>
      <c r="C1075" s="178" t="s">
        <v>3402</v>
      </c>
      <c r="D1075" s="178" t="s">
        <v>146</v>
      </c>
      <c r="E1075" s="227"/>
      <c r="F1075" s="180"/>
      <c r="G1075" s="281" t="s">
        <v>3946</v>
      </c>
      <c r="H1075" s="182"/>
      <c r="I1075" s="182"/>
      <c r="J1075" s="182"/>
      <c r="K1075" s="183"/>
      <c r="L1075" s="182">
        <v>1</v>
      </c>
      <c r="M1075" s="182"/>
      <c r="N1075" s="182"/>
      <c r="O1075" s="183" t="s">
        <v>95</v>
      </c>
      <c r="P1075" s="183" t="s">
        <v>137</v>
      </c>
      <c r="Q1075" s="183" t="s">
        <v>97</v>
      </c>
      <c r="R1075" s="183">
        <v>2</v>
      </c>
      <c r="S1075" s="183">
        <v>0</v>
      </c>
      <c r="T1075" s="183">
        <v>2</v>
      </c>
      <c r="U1075" s="183" t="s">
        <v>97</v>
      </c>
      <c r="V1075" s="183"/>
      <c r="W1075" s="183"/>
      <c r="X1075" s="183"/>
      <c r="Y1075" s="184">
        <f>IF(ISBLANK(O1075),"",(IF(O1075=UPPER("IB"),0.005,0.01)))</f>
        <v>0.01</v>
      </c>
      <c r="Z1075" s="185">
        <f t="shared" si="322"/>
        <v>1600</v>
      </c>
      <c r="AA1075" s="185" t="s">
        <v>99</v>
      </c>
      <c r="AB1075" s="185"/>
      <c r="AC1075" s="185"/>
      <c r="AD1075" s="649">
        <v>-0.05</v>
      </c>
      <c r="AE1075" s="182"/>
      <c r="AF1075" s="332"/>
      <c r="AG1075" s="182"/>
      <c r="AH1075" s="182"/>
      <c r="AI1075" s="182"/>
      <c r="AJ1075" s="640"/>
      <c r="AK1075" s="182"/>
      <c r="AL1075" s="496"/>
      <c r="AM1075" s="496"/>
      <c r="AN1075" s="626"/>
      <c r="AO1075" s="182"/>
      <c r="AP1075" s="182" t="s">
        <v>967</v>
      </c>
      <c r="AQ1075" s="332" t="str">
        <f>UPPER(RIGHT(Journal_Live[[#This Row],[DURATION ]]))</f>
        <v>H</v>
      </c>
      <c r="AR1075" s="182" t="s">
        <v>2616</v>
      </c>
      <c r="AS1075" s="189">
        <v>-0.06</v>
      </c>
      <c r="AT1075" s="189">
        <f>IF(ISBLANK(AS1075),,IF(U1075="S",AD1075-AS1075,AS1075-AD1075))</f>
        <v>9.999999999999995E-3</v>
      </c>
      <c r="AU1075" s="187">
        <f>AV1075*R1075</f>
        <v>31.999999999999986</v>
      </c>
      <c r="AV1075" s="190">
        <f>IF(ISBLANK(AS1075),,(AT1075*Z1075))</f>
        <v>15.999999999999993</v>
      </c>
      <c r="AW1075" s="191" t="s">
        <v>96</v>
      </c>
      <c r="AX1075" s="407"/>
      <c r="AY1075" s="407"/>
      <c r="AZ1075" s="407"/>
      <c r="BA1075" s="407"/>
      <c r="BB1075" s="407"/>
      <c r="BC1075" s="407"/>
      <c r="BD1075" s="407"/>
      <c r="BE1075" s="407"/>
      <c r="BF1075" s="422"/>
      <c r="BG1075" s="391">
        <f>SUM($AV$4:AV1075)</f>
        <v>4789.22381206516</v>
      </c>
      <c r="BH1075" s="392">
        <f>SUM($AU$134:AU1075)</f>
        <v>20815.132000000238</v>
      </c>
      <c r="BI1075" s="318">
        <f>SUMIFS($AU$134:AU1076,$Q$134:Q1076,"F")</f>
        <v>5926.5333333333328</v>
      </c>
      <c r="BJ1075" s="318">
        <f>SUMIFS($AU$134:AU1076,$Q$134:Q1076,"S")</f>
        <v>15700.441999999999</v>
      </c>
      <c r="BK1075" s="343">
        <f>SUMIFS($AU$134:AU1076,$P$134:P1076,"W")</f>
        <v>13267.741999999942</v>
      </c>
      <c r="BL1075" s="343">
        <f>SUMIFS($AU$134:AU1076,$P$134:P1076,"R")</f>
        <v>8148.6733333333359</v>
      </c>
      <c r="BM1075" s="343">
        <f>SUMIFS($AU$134:AU1076,$AQ$134:AQ1076,"M")</f>
        <v>2817.3999999999569</v>
      </c>
      <c r="BN1075" s="343">
        <f>SUMIFS($AU$134:AU1076,$AQ$134:AQ1076,"H")</f>
        <v>7726.1420000000153</v>
      </c>
      <c r="BO1075" s="343">
        <f>SUMIFS($AU$134:AU1076,$AQ$134:AQ1076,"D")</f>
        <v>5642.2366666667649</v>
      </c>
      <c r="BP1075" s="343">
        <f>SUMIFS($AU$134:AU1078,$AQ$134:AQ1078,"W")</f>
        <v>2882.7233333332406</v>
      </c>
      <c r="BQ1075" s="343">
        <f>SUMIFS($AU$134:AU1076,$Q$134:Q1076,"O")</f>
        <v>-707.0433333330983</v>
      </c>
      <c r="BR1075" s="343">
        <f>SUMIFS($AU$134:AU1076,$AA$134:AA1076,"*")</f>
        <v>18913.475333333299</v>
      </c>
      <c r="BS1075" s="343">
        <f>SUMIFS($AU$134:AU1076,$AB$134:AB1076,"*")</f>
        <v>5228.1566666669405</v>
      </c>
      <c r="BT1075" s="343">
        <f>SUMIFS($AU$134:AU1076,$AC$134:AC1076,"*")</f>
        <v>10903.683333333332</v>
      </c>
      <c r="BU1075" s="343">
        <f>SUMIFS($AU$134:AU1076,$AA$134:AA1076,"*",$AB$134:AB1076,"*")</f>
        <v>3378.0000000000045</v>
      </c>
      <c r="BV1075" s="343">
        <f>SUMIFS($AU$134:AU1076,$AA$134:AA1076,"*",$AC$134:AC1076,"*")</f>
        <v>9084.7833333333328</v>
      </c>
      <c r="BW1075" s="343">
        <f>SUMIFS($AU$134:AU1076,$AB$134:AB1076,"*",$AC$134:AC1076,"*")</f>
        <v>6014.6</v>
      </c>
      <c r="BX1075" s="343">
        <f>SUMIFS($AU1076:AU$1388,$Q1076:Q$1388,"F")</f>
        <v>8514.1333333333332</v>
      </c>
      <c r="BY1075" s="343">
        <f>SUMIFS($AU1076:AU$1388,$Q1076:Q$1388,"S")</f>
        <v>4971.2000000000016</v>
      </c>
      <c r="BZ1075" s="343">
        <f>SUMIFS($AU1076:AU$1388,$Q1076:Q$1388,"O")</f>
        <v>-941.81466666670008</v>
      </c>
    </row>
    <row r="1076" spans="1:78" ht="15.75" customHeight="1">
      <c r="A1076" s="221" t="s">
        <v>3942</v>
      </c>
      <c r="B1076" s="177">
        <v>45202</v>
      </c>
      <c r="C1076" s="178" t="s">
        <v>2060</v>
      </c>
      <c r="D1076" s="178" t="s">
        <v>3141</v>
      </c>
      <c r="E1076" s="227" t="s">
        <v>3947</v>
      </c>
      <c r="F1076" s="180"/>
      <c r="G1076" s="181"/>
      <c r="H1076" s="182"/>
      <c r="I1076" s="182"/>
      <c r="J1076" s="182"/>
      <c r="K1076" s="183"/>
      <c r="L1076" s="182"/>
      <c r="M1076" s="182"/>
      <c r="N1076" s="182"/>
      <c r="O1076" s="183"/>
      <c r="P1076" s="183"/>
      <c r="Q1076" s="183"/>
      <c r="R1076" s="183"/>
      <c r="S1076" s="183"/>
      <c r="T1076" s="183"/>
      <c r="U1076" s="183"/>
      <c r="V1076" s="183"/>
      <c r="W1076" s="183"/>
      <c r="X1076" s="183"/>
      <c r="Y1076" s="183"/>
      <c r="Z1076" s="185" t="str">
        <f t="shared" si="322"/>
        <v/>
      </c>
      <c r="AA1076" s="185"/>
      <c r="AB1076" s="185"/>
      <c r="AC1076" s="185"/>
      <c r="AD1076" s="649"/>
      <c r="AE1076" s="182"/>
      <c r="AF1076" s="332"/>
      <c r="AG1076" s="182"/>
      <c r="AH1076" s="182"/>
      <c r="AI1076" s="182"/>
      <c r="AJ1076" s="640"/>
      <c r="AK1076" s="182"/>
      <c r="AL1076" s="496"/>
      <c r="AM1076" s="496"/>
      <c r="AN1076" s="626"/>
      <c r="AO1076" s="182"/>
      <c r="AP1076" s="182"/>
      <c r="AQ1076" s="332" t="str">
        <f>UPPER(RIGHT(Journal_Live[[#This Row],[DURATION ]]))</f>
        <v/>
      </c>
      <c r="AR1076" s="182"/>
      <c r="AS1076" s="189"/>
      <c r="AT1076" s="189"/>
      <c r="AU1076" s="187"/>
      <c r="AV1076" s="190"/>
      <c r="AW1076" s="191"/>
      <c r="AX1076" s="407" t="s">
        <v>3948</v>
      </c>
      <c r="AY1076" s="407"/>
      <c r="AZ1076" s="407"/>
      <c r="BA1076" s="407"/>
      <c r="BB1076" s="407"/>
      <c r="BC1076" s="407"/>
      <c r="BD1076" s="407"/>
      <c r="BE1076" s="407"/>
      <c r="BF1076" s="422"/>
      <c r="BG1076" s="391">
        <f>SUM($AV$4:AV1076)</f>
        <v>4789.22381206516</v>
      </c>
      <c r="BH1076" s="392">
        <f>SUM($AU$134:AU1076)</f>
        <v>20815.132000000238</v>
      </c>
      <c r="BI1076" s="318">
        <f>SUMIFS($AU$134:AU1077,$Q$134:Q1077,"F")</f>
        <v>5926.5333333333328</v>
      </c>
      <c r="BJ1076" s="318">
        <f>SUMIFS($AU$134:AU1077,$Q$134:Q1077,"S")</f>
        <v>15732.441999999999</v>
      </c>
      <c r="BK1076" s="343">
        <f>SUMIFS($AU$134:AU1077,$P$134:P1077,"W")</f>
        <v>13299.741999999942</v>
      </c>
      <c r="BL1076" s="343">
        <f>SUMIFS($AU$134:AU1077,$P$134:P1077,"R")</f>
        <v>8148.6733333333359</v>
      </c>
      <c r="BM1076" s="343">
        <f>SUMIFS($AU$134:AU1077,$AQ$134:AQ1077,"M")</f>
        <v>2817.3999999999569</v>
      </c>
      <c r="BN1076" s="343">
        <f>SUMIFS($AU$134:AU1077,$AQ$134:AQ1077,"H")</f>
        <v>7758.1420000000153</v>
      </c>
      <c r="BO1076" s="343">
        <f>SUMIFS($AU$134:AU1077,$AQ$134:AQ1077,"D")</f>
        <v>5642.2366666667649</v>
      </c>
      <c r="BP1076" s="343">
        <f>SUMIFS($AU$134:AU1079,$AQ$134:AQ1079,"W")</f>
        <v>2882.7233333332406</v>
      </c>
      <c r="BQ1076" s="343">
        <f>SUMIFS($AU$134:AU1077,$Q$134:Q1077,"O")</f>
        <v>-707.0433333330983</v>
      </c>
      <c r="BR1076" s="343">
        <f>SUMIFS($AU$134:AU1077,$AA$134:AA1077,"*")</f>
        <v>18945.475333333299</v>
      </c>
      <c r="BS1076" s="343">
        <f>SUMIFS($AU$134:AU1077,$AB$134:AB1077,"*")</f>
        <v>5228.1566666669405</v>
      </c>
      <c r="BT1076" s="343">
        <f>SUMIFS($AU$134:AU1077,$AC$134:AC1077,"*")</f>
        <v>10903.683333333332</v>
      </c>
      <c r="BU1076" s="343">
        <f>SUMIFS($AU$134:AU1077,$AA$134:AA1077,"*",$AB$134:AB1077,"*")</f>
        <v>3378.0000000000045</v>
      </c>
      <c r="BV1076" s="343">
        <f>SUMIFS($AU$134:AU1077,$AA$134:AA1077,"*",$AC$134:AC1077,"*")</f>
        <v>9084.7833333333328</v>
      </c>
      <c r="BW1076" s="343">
        <f>SUMIFS($AU$134:AU1077,$AB$134:AB1077,"*",$AC$134:AC1077,"*")</f>
        <v>6014.6</v>
      </c>
      <c r="BX1076" s="343">
        <f>SUMIFS($AU1077:AU$1388,$Q1077:Q$1388,"F")</f>
        <v>8514.1333333333332</v>
      </c>
      <c r="BY1076" s="343">
        <f>SUMIFS($AU1077:AU$1388,$Q1077:Q$1388,"S")</f>
        <v>4971.2000000000016</v>
      </c>
      <c r="BZ1076" s="343">
        <f>SUMIFS($AU1077:AU$1388,$Q1077:Q$1388,"O")</f>
        <v>-941.81466666670008</v>
      </c>
    </row>
    <row r="1077" spans="1:78" ht="15.75" customHeight="1">
      <c r="A1077" s="221" t="s">
        <v>3942</v>
      </c>
      <c r="B1077" s="177">
        <v>45203</v>
      </c>
      <c r="C1077" s="178" t="s">
        <v>3949</v>
      </c>
      <c r="D1077" s="178" t="s">
        <v>151</v>
      </c>
      <c r="E1077" s="227"/>
      <c r="F1077" s="180"/>
      <c r="G1077" s="281" t="s">
        <v>136</v>
      </c>
      <c r="H1077" s="182"/>
      <c r="I1077" s="182"/>
      <c r="J1077" s="182"/>
      <c r="K1077" s="183"/>
      <c r="L1077" s="182"/>
      <c r="M1077" s="182">
        <v>1</v>
      </c>
      <c r="N1077" s="182"/>
      <c r="O1077" s="183" t="s">
        <v>95</v>
      </c>
      <c r="P1077" s="183" t="s">
        <v>96</v>
      </c>
      <c r="Q1077" s="183" t="s">
        <v>97</v>
      </c>
      <c r="R1077" s="183">
        <v>1</v>
      </c>
      <c r="S1077" s="183">
        <v>0</v>
      </c>
      <c r="T1077" s="183">
        <v>1</v>
      </c>
      <c r="U1077" s="183" t="s">
        <v>22</v>
      </c>
      <c r="V1077" s="183"/>
      <c r="W1077" s="183"/>
      <c r="X1077" s="183"/>
      <c r="Y1077" s="184">
        <f>IF(ISBLANK(O1077),"",(IF(O1077=UPPER("IB"),0.005,0.01)))</f>
        <v>0.01</v>
      </c>
      <c r="Z1077" s="185">
        <f t="shared" si="322"/>
        <v>1600</v>
      </c>
      <c r="AA1077" s="185" t="s">
        <v>99</v>
      </c>
      <c r="AB1077" s="185"/>
      <c r="AC1077" s="185"/>
      <c r="AD1077" s="649">
        <v>-0.03</v>
      </c>
      <c r="AE1077" s="182"/>
      <c r="AF1077" s="332"/>
      <c r="AG1077" s="182"/>
      <c r="AH1077" s="182"/>
      <c r="AI1077" s="182"/>
      <c r="AJ1077" s="640"/>
      <c r="AK1077" s="182"/>
      <c r="AL1077" s="496"/>
      <c r="AM1077" s="496"/>
      <c r="AN1077" s="626"/>
      <c r="AO1077" s="182"/>
      <c r="AP1077" s="182" t="s">
        <v>1782</v>
      </c>
      <c r="AQ1077" s="332" t="str">
        <f>UPPER(RIGHT(Journal_Live[[#This Row],[DURATION ]]))</f>
        <v>H</v>
      </c>
      <c r="AR1077" s="182" t="s">
        <v>1413</v>
      </c>
      <c r="AS1077" s="189">
        <v>-0.01</v>
      </c>
      <c r="AT1077" s="189">
        <f>IF(ISBLANK(AS1077),,IF(U1077="S",AD1077-AS1077,AS1077-AD1077))</f>
        <v>1.9999999999999997E-2</v>
      </c>
      <c r="AU1077" s="187">
        <f>AV1077*R1077</f>
        <v>31.999999999999996</v>
      </c>
      <c r="AV1077" s="190">
        <f>IF(ISBLANK(AS1077),,(AT1077*Z1077))</f>
        <v>31.999999999999996</v>
      </c>
      <c r="AW1077" s="191" t="s">
        <v>96</v>
      </c>
      <c r="AX1077" s="407"/>
      <c r="AY1077" s="407"/>
      <c r="AZ1077" s="407"/>
      <c r="BA1077" s="407"/>
      <c r="BB1077" s="407"/>
      <c r="BC1077" s="407"/>
      <c r="BD1077" s="407"/>
      <c r="BE1077" s="407"/>
      <c r="BF1077" s="422"/>
      <c r="BG1077" s="391">
        <f>SUM($AV$4:AV1077)</f>
        <v>4821.22381206516</v>
      </c>
      <c r="BH1077" s="392">
        <f>SUM($AU$134:AU1077)</f>
        <v>20847.132000000238</v>
      </c>
      <c r="BI1077" s="318">
        <f>SUMIFS($AU$134:AU1078,$Q$134:Q1078,"F")</f>
        <v>5926.5333333333328</v>
      </c>
      <c r="BJ1077" s="318">
        <f>SUMIFS($AU$134:AU1078,$Q$134:Q1078,"S")</f>
        <v>15732.441999999999</v>
      </c>
      <c r="BK1077" s="343">
        <f>SUMIFS($AU$134:AU1078,$P$134:P1078,"W")</f>
        <v>13299.741999999942</v>
      </c>
      <c r="BL1077" s="343">
        <f>SUMIFS($AU$134:AU1078,$P$134:P1078,"R")</f>
        <v>8148.6733333333359</v>
      </c>
      <c r="BM1077" s="343">
        <f>SUMIFS($AU$134:AU1078,$AQ$134:AQ1078,"M")</f>
        <v>2817.3999999999569</v>
      </c>
      <c r="BN1077" s="343">
        <f>SUMIFS($AU$134:AU1078,$AQ$134:AQ1078,"H")</f>
        <v>7758.1420000000153</v>
      </c>
      <c r="BO1077" s="343">
        <f>SUMIFS($AU$134:AU1078,$AQ$134:AQ1078,"D")</f>
        <v>5642.2366666667649</v>
      </c>
      <c r="BP1077" s="343">
        <f>SUMIFS($AU$134:AU1080,$AQ$134:AQ1080,"W")</f>
        <v>2882.7233333332406</v>
      </c>
      <c r="BQ1077" s="343">
        <f>SUMIFS($AU$134:AU1078,$Q$134:Q1078,"O")</f>
        <v>-707.0433333330983</v>
      </c>
      <c r="BR1077" s="343">
        <f>SUMIFS($AU$134:AU1078,$AA$134:AA1078,"*")</f>
        <v>18945.475333333299</v>
      </c>
      <c r="BS1077" s="343">
        <f>SUMIFS($AU$134:AU1078,$AB$134:AB1078,"*")</f>
        <v>5228.1566666669405</v>
      </c>
      <c r="BT1077" s="343">
        <f>SUMIFS($AU$134:AU1078,$AC$134:AC1078,"*")</f>
        <v>10903.683333333332</v>
      </c>
      <c r="BU1077" s="343">
        <f>SUMIFS($AU$134:AU1078,$AA$134:AA1078,"*",$AB$134:AB1078,"*")</f>
        <v>3378.0000000000045</v>
      </c>
      <c r="BV1077" s="343">
        <f>SUMIFS($AU$134:AU1078,$AA$134:AA1078,"*",$AC$134:AC1078,"*")</f>
        <v>9084.7833333333328</v>
      </c>
      <c r="BW1077" s="343">
        <f>SUMIFS($AU$134:AU1078,$AB$134:AB1078,"*",$AC$134:AC1078,"*")</f>
        <v>6014.6</v>
      </c>
      <c r="BX1077" s="343">
        <f>SUMIFS($AU1078:AU$1388,$Q1078:Q$1388,"F")</f>
        <v>8514.1333333333332</v>
      </c>
      <c r="BY1077" s="343">
        <f>SUMIFS($AU1078:AU$1388,$Q1078:Q$1388,"S")</f>
        <v>4939.2000000000016</v>
      </c>
      <c r="BZ1077" s="343">
        <f>SUMIFS($AU1078:AU$1388,$Q1078:Q$1388,"O")</f>
        <v>-941.81466666670008</v>
      </c>
    </row>
    <row r="1078" spans="1:78" ht="15.75" customHeight="1">
      <c r="A1078" s="177"/>
      <c r="B1078" s="200">
        <v>45203</v>
      </c>
      <c r="C1078" s="178" t="s">
        <v>327</v>
      </c>
      <c r="D1078" s="178" t="s">
        <v>151</v>
      </c>
      <c r="E1078" s="227" t="s">
        <v>3950</v>
      </c>
      <c r="F1078" s="180"/>
      <c r="G1078" s="181"/>
      <c r="H1078" s="182"/>
      <c r="I1078" s="182"/>
      <c r="J1078" s="182"/>
      <c r="K1078" s="183"/>
      <c r="L1078" s="182"/>
      <c r="M1078" s="182"/>
      <c r="N1078" s="182"/>
      <c r="O1078" s="183"/>
      <c r="P1078" s="183"/>
      <c r="Q1078" s="183"/>
      <c r="R1078" s="183"/>
      <c r="S1078" s="183"/>
      <c r="T1078" s="183"/>
      <c r="U1078" s="183"/>
      <c r="V1078" s="183"/>
      <c r="W1078" s="183"/>
      <c r="X1078" s="183"/>
      <c r="Y1078" s="274"/>
      <c r="Z1078" s="183"/>
      <c r="AA1078" s="185"/>
      <c r="AB1078" s="185"/>
      <c r="AC1078" s="185"/>
      <c r="AD1078" s="649"/>
      <c r="AE1078" s="182"/>
      <c r="AF1078" s="332"/>
      <c r="AG1078" s="182"/>
      <c r="AH1078" s="182"/>
      <c r="AI1078" s="182"/>
      <c r="AJ1078" s="640"/>
      <c r="AK1078" s="182"/>
      <c r="AL1078" s="496"/>
      <c r="AM1078" s="496"/>
      <c r="AN1078" s="626"/>
      <c r="AO1078" s="182"/>
      <c r="AP1078" s="182"/>
      <c r="AQ1078" s="332" t="str">
        <f>UPPER(RIGHT(Journal_Live[[#This Row],[DURATION ]]))</f>
        <v/>
      </c>
      <c r="AR1078" s="182"/>
      <c r="AS1078" s="189"/>
      <c r="AT1078" s="189"/>
      <c r="AU1078" s="187"/>
      <c r="AV1078" s="190"/>
      <c r="AW1078" s="191"/>
      <c r="AX1078" s="407"/>
      <c r="AY1078" s="407"/>
      <c r="AZ1078" s="407"/>
      <c r="BA1078" s="407"/>
      <c r="BB1078" s="407"/>
      <c r="BC1078" s="407"/>
      <c r="BD1078" s="407"/>
      <c r="BE1078" s="407"/>
      <c r="BF1078" s="422"/>
      <c r="BG1078" s="391"/>
      <c r="BH1078" s="392">
        <f>SUM($AU$134:AU1078)</f>
        <v>20847.132000000238</v>
      </c>
      <c r="BI1078" s="318">
        <f>SUMIFS($AU$134:AU1079,$Q$134:Q1079,"F")</f>
        <v>5926.5333333333328</v>
      </c>
      <c r="BJ1078" s="318">
        <f>SUMIFS($AU$134:AU1079,$Q$134:Q1079,"S")</f>
        <v>15732.441999999999</v>
      </c>
      <c r="BK1078" s="343">
        <f>SUMIFS($AU$134:AU1079,$P$134:P1079,"W")</f>
        <v>13299.741999999942</v>
      </c>
      <c r="BL1078" s="343">
        <f>SUMIFS($AU$134:AU1079,$P$134:P1079,"R")</f>
        <v>8148.6733333333359</v>
      </c>
      <c r="BM1078" s="343">
        <f>SUMIFS($AU$134:AU1079,$AQ$134:AQ1079,"M")</f>
        <v>2817.3999999999569</v>
      </c>
      <c r="BN1078" s="343">
        <f>SUMIFS($AU$134:AU1079,$AQ$134:AQ1079,"H")</f>
        <v>7758.1420000000153</v>
      </c>
      <c r="BO1078" s="343">
        <f>SUMIFS($AU$134:AU1079,$AQ$134:AQ1079,"D")</f>
        <v>5642.2366666667649</v>
      </c>
      <c r="BP1078" s="343">
        <f>SUMIFS($AU$134:AU1081,$AQ$134:AQ1081,"W")</f>
        <v>2882.7233333332406</v>
      </c>
      <c r="BQ1078" s="343">
        <f>SUMIFS($AU$134:AU1079,$Q$134:Q1079,"O")</f>
        <v>-707.0433333330983</v>
      </c>
      <c r="BR1078" s="343">
        <f>SUMIFS($AU$134:AU1079,$AA$134:AA1079,"*")</f>
        <v>18945.475333333299</v>
      </c>
      <c r="BS1078" s="343">
        <f>SUMIFS($AU$134:AU1079,$AB$134:AB1079,"*")</f>
        <v>5228.1566666669405</v>
      </c>
      <c r="BT1078" s="343">
        <f>SUMIFS($AU$134:AU1079,$AC$134:AC1079,"*")</f>
        <v>10903.683333333332</v>
      </c>
      <c r="BU1078" s="343">
        <f>SUMIFS($AU$134:AU1079,$AA$134:AA1079,"*",$AB$134:AB1079,"*")</f>
        <v>3378.0000000000045</v>
      </c>
      <c r="BV1078" s="343">
        <f>SUMIFS($AU$134:AU1079,$AA$134:AA1079,"*",$AC$134:AC1079,"*")</f>
        <v>9084.7833333333328</v>
      </c>
      <c r="BW1078" s="343">
        <f>SUMIFS($AU$134:AU1079,$AB$134:AB1079,"*",$AC$134:AC1079,"*")</f>
        <v>6014.6</v>
      </c>
      <c r="BX1078" s="343">
        <f>SUMIFS($AU1079:AU$1388,$Q1079:Q$1388,"F")</f>
        <v>8514.1333333333332</v>
      </c>
      <c r="BY1078" s="343">
        <f>SUMIFS($AU1079:AU$1388,$Q1079:Q$1388,"S")</f>
        <v>4939.2000000000016</v>
      </c>
      <c r="BZ1078" s="343">
        <f>SUMIFS($AU1079:AU$1388,$Q1079:Q$1388,"O")</f>
        <v>-941.81466666670008</v>
      </c>
    </row>
    <row r="1079" spans="1:78" ht="15.75" customHeight="1">
      <c r="A1079" s="221" t="s">
        <v>3942</v>
      </c>
      <c r="B1079" s="177">
        <v>45203</v>
      </c>
      <c r="C1079" s="178" t="s">
        <v>327</v>
      </c>
      <c r="D1079" s="178" t="s">
        <v>151</v>
      </c>
      <c r="E1079" s="227" t="s">
        <v>3951</v>
      </c>
      <c r="F1079" s="180" t="s">
        <v>3952</v>
      </c>
      <c r="G1079" s="181"/>
      <c r="H1079" s="182"/>
      <c r="I1079" s="182"/>
      <c r="J1079" s="182"/>
      <c r="K1079" s="183"/>
      <c r="L1079" s="182"/>
      <c r="M1079" s="182"/>
      <c r="N1079" s="182"/>
      <c r="O1079" s="183"/>
      <c r="P1079" s="183"/>
      <c r="Q1079" s="183"/>
      <c r="R1079" s="183"/>
      <c r="S1079" s="183"/>
      <c r="T1079" s="183"/>
      <c r="U1079" s="183"/>
      <c r="V1079" s="183"/>
      <c r="W1079" s="183"/>
      <c r="X1079" s="183"/>
      <c r="Y1079" s="183"/>
      <c r="Z1079" s="185" t="str">
        <f>IF(ISBLANK(O1079),"",IF(O1079="IB",8.63*200,IF(O1079="IR",16*100,IF(O1079="YT",20*100,IF(O1079="YT-XT",24*200,IF(O1079="TED",80*100))))))</f>
        <v/>
      </c>
      <c r="AA1079" s="185"/>
      <c r="AB1079" s="185"/>
      <c r="AC1079" s="185"/>
      <c r="AD1079" s="649"/>
      <c r="AE1079" s="182"/>
      <c r="AF1079" s="332"/>
      <c r="AG1079" s="182"/>
      <c r="AH1079" s="182"/>
      <c r="AI1079" s="182"/>
      <c r="AJ1079" s="640"/>
      <c r="AK1079" s="182"/>
      <c r="AL1079" s="496"/>
      <c r="AM1079" s="496"/>
      <c r="AN1079" s="626"/>
      <c r="AO1079" s="182"/>
      <c r="AP1079" s="182"/>
      <c r="AQ1079" s="332" t="str">
        <f>UPPER(RIGHT(Journal_Live[[#This Row],[DURATION ]]))</f>
        <v/>
      </c>
      <c r="AR1079" s="182"/>
      <c r="AS1079" s="189"/>
      <c r="AT1079" s="189"/>
      <c r="AU1079" s="187"/>
      <c r="AV1079" s="190"/>
      <c r="AW1079" s="191"/>
      <c r="AX1079" s="407" t="s">
        <v>3953</v>
      </c>
      <c r="AY1079" s="407" t="s">
        <v>3954</v>
      </c>
      <c r="AZ1079" s="407"/>
      <c r="BA1079" s="407"/>
      <c r="BB1079" s="407"/>
      <c r="BC1079" s="407"/>
      <c r="BD1079" s="407"/>
      <c r="BE1079" s="407"/>
      <c r="BF1079" s="422"/>
      <c r="BG1079" s="391">
        <f>SUM($AV$4:AV1079)</f>
        <v>4821.22381206516</v>
      </c>
      <c r="BH1079" s="392">
        <f>SUM($AU$134:AU1079)</f>
        <v>20847.132000000238</v>
      </c>
      <c r="BI1079" s="318">
        <f>SUMIFS($AU$134:AU1080,$Q$134:Q1080,"F")</f>
        <v>5926.5333333333328</v>
      </c>
      <c r="BJ1079" s="318">
        <f>SUMIFS($AU$134:AU1080,$Q$134:Q1080,"S")</f>
        <v>15732.441999999999</v>
      </c>
      <c r="BK1079" s="343">
        <f>SUMIFS($AU$134:AU1080,$P$134:P1080,"W")</f>
        <v>13299.741999999942</v>
      </c>
      <c r="BL1079" s="343">
        <f>SUMIFS($AU$134:AU1080,$P$134:P1080,"R")</f>
        <v>8148.6733333333359</v>
      </c>
      <c r="BM1079" s="343">
        <f>SUMIFS($AU$134:AU1080,$AQ$134:AQ1080,"M")</f>
        <v>2817.3999999999569</v>
      </c>
      <c r="BN1079" s="343">
        <f>SUMIFS($AU$134:AU1080,$AQ$134:AQ1080,"H")</f>
        <v>7758.1420000000153</v>
      </c>
      <c r="BO1079" s="343">
        <f>SUMIFS($AU$134:AU1080,$AQ$134:AQ1080,"D")</f>
        <v>5642.2366666667649</v>
      </c>
      <c r="BP1079" s="343">
        <f>SUMIFS($AU$134:AU1082,$AQ$134:AQ1082,"W")</f>
        <v>3202.7233333332406</v>
      </c>
      <c r="BQ1079" s="343">
        <f>SUMIFS($AU$134:AU1080,$Q$134:Q1080,"O")</f>
        <v>-707.0433333330983</v>
      </c>
      <c r="BR1079" s="343">
        <f>SUMIFS($AU$134:AU1080,$AA$134:AA1080,"*")</f>
        <v>18945.475333333299</v>
      </c>
      <c r="BS1079" s="343">
        <f>SUMIFS($AU$134:AU1080,$AB$134:AB1080,"*")</f>
        <v>5228.1566666669405</v>
      </c>
      <c r="BT1079" s="343">
        <f>SUMIFS($AU$134:AU1080,$AC$134:AC1080,"*")</f>
        <v>10903.683333333332</v>
      </c>
      <c r="BU1079" s="343">
        <f>SUMIFS($AU$134:AU1080,$AA$134:AA1080,"*",$AB$134:AB1080,"*")</f>
        <v>3378.0000000000045</v>
      </c>
      <c r="BV1079" s="343">
        <f>SUMIFS($AU$134:AU1080,$AA$134:AA1080,"*",$AC$134:AC1080,"*")</f>
        <v>9084.7833333333328</v>
      </c>
      <c r="BW1079" s="343">
        <f>SUMIFS($AU$134:AU1080,$AB$134:AB1080,"*",$AC$134:AC1080,"*")</f>
        <v>6014.6</v>
      </c>
      <c r="BX1079" s="343">
        <f>SUMIFS($AU1080:AU$1388,$Q1080:Q$1388,"F")</f>
        <v>8514.1333333333332</v>
      </c>
      <c r="BY1079" s="343">
        <f>SUMIFS($AU1080:AU$1388,$Q1080:Q$1388,"S")</f>
        <v>4939.2000000000016</v>
      </c>
      <c r="BZ1079" s="343">
        <f>SUMIFS($AU1080:AU$1388,$Q1080:Q$1388,"O")</f>
        <v>-941.81466666670008</v>
      </c>
    </row>
    <row r="1080" spans="1:78" ht="15.75" customHeight="1">
      <c r="A1080" s="221" t="s">
        <v>3942</v>
      </c>
      <c r="B1080" s="177">
        <v>45203</v>
      </c>
      <c r="C1080" s="178" t="s">
        <v>3955</v>
      </c>
      <c r="D1080" s="178" t="s">
        <v>151</v>
      </c>
      <c r="E1080" s="227"/>
      <c r="F1080" s="180"/>
      <c r="G1080" s="181" t="s">
        <v>2070</v>
      </c>
      <c r="H1080" s="182"/>
      <c r="I1080" s="182"/>
      <c r="J1080" s="182"/>
      <c r="K1080" s="183"/>
      <c r="L1080" s="182"/>
      <c r="M1080" s="182"/>
      <c r="N1080" s="182"/>
      <c r="O1080" s="183"/>
      <c r="P1080" s="183"/>
      <c r="Q1080" s="183"/>
      <c r="R1080" s="183"/>
      <c r="S1080" s="183"/>
      <c r="T1080" s="183"/>
      <c r="U1080" s="183"/>
      <c r="V1080" s="183"/>
      <c r="W1080" s="183"/>
      <c r="X1080" s="183"/>
      <c r="Y1080" s="184"/>
      <c r="Z1080" s="185"/>
      <c r="AA1080" s="185"/>
      <c r="AB1080" s="185"/>
      <c r="AC1080" s="185"/>
      <c r="AD1080" s="649"/>
      <c r="AE1080" s="182"/>
      <c r="AF1080" s="332"/>
      <c r="AG1080" s="182"/>
      <c r="AH1080" s="182"/>
      <c r="AI1080" s="182"/>
      <c r="AJ1080" s="640"/>
      <c r="AK1080" s="182"/>
      <c r="AL1080" s="496"/>
      <c r="AM1080" s="496"/>
      <c r="AN1080" s="626"/>
      <c r="AO1080" s="182"/>
      <c r="AP1080" s="182"/>
      <c r="AQ1080" s="332" t="str">
        <f>UPPER(RIGHT(Journal_Live[[#This Row],[DURATION ]]))</f>
        <v/>
      </c>
      <c r="AR1080" s="182"/>
      <c r="AS1080" s="189"/>
      <c r="AT1080" s="189"/>
      <c r="AU1080" s="187"/>
      <c r="AV1080" s="190"/>
      <c r="AW1080" s="191"/>
      <c r="AX1080" s="407" t="s">
        <v>3956</v>
      </c>
      <c r="AY1080" s="407"/>
      <c r="AZ1080" s="407"/>
      <c r="BA1080" s="407"/>
      <c r="BB1080" s="407"/>
      <c r="BC1080" s="407"/>
      <c r="BD1080" s="407"/>
      <c r="BE1080" s="407"/>
      <c r="BF1080" s="422"/>
      <c r="BG1080" s="391">
        <f>SUM($AV$4:AV1080)</f>
        <v>4821.22381206516</v>
      </c>
      <c r="BH1080" s="392">
        <f>SUM($AU$134:AU1080)</f>
        <v>20847.132000000238</v>
      </c>
      <c r="BI1080" s="318">
        <f>SUMIFS($AU$134:AU1081,$Q$134:Q1081,"F")</f>
        <v>5926.5333333333328</v>
      </c>
      <c r="BJ1080" s="318">
        <f>SUMIFS($AU$134:AU1081,$Q$134:Q1081,"S")</f>
        <v>15764.441999999999</v>
      </c>
      <c r="BK1080" s="343">
        <f>SUMIFS($AU$134:AU1081,$P$134:P1081,"W")</f>
        <v>13331.741999999942</v>
      </c>
      <c r="BL1080" s="343">
        <f>SUMIFS($AU$134:AU1081,$P$134:P1081,"R")</f>
        <v>8148.6733333333359</v>
      </c>
      <c r="BM1080" s="343">
        <f>SUMIFS($AU$134:AU1081,$AQ$134:AQ1081,"M")</f>
        <v>2849.3999999999569</v>
      </c>
      <c r="BN1080" s="343">
        <f>SUMIFS($AU$134:AU1081,$AQ$134:AQ1081,"H")</f>
        <v>7758.1420000000153</v>
      </c>
      <c r="BO1080" s="343">
        <f>SUMIFS($AU$134:AU1081,$AQ$134:AQ1081,"D")</f>
        <v>5642.2366666667649</v>
      </c>
      <c r="BP1080" s="343">
        <f>SUMIFS($AU$134:AU1083,$AQ$134:AQ1083,"W")</f>
        <v>3202.7233333332406</v>
      </c>
      <c r="BQ1080" s="343">
        <f>SUMIFS($AU$134:AU1081,$Q$134:Q1081,"O")</f>
        <v>-707.0433333330983</v>
      </c>
      <c r="BR1080" s="343">
        <f>SUMIFS($AU$134:AU1081,$AA$134:AA1081,"*")</f>
        <v>18977.475333333299</v>
      </c>
      <c r="BS1080" s="343">
        <f>SUMIFS($AU$134:AU1081,$AB$134:AB1081,"*")</f>
        <v>5228.1566666669405</v>
      </c>
      <c r="BT1080" s="343">
        <f>SUMIFS($AU$134:AU1081,$AC$134:AC1081,"*")</f>
        <v>10903.683333333332</v>
      </c>
      <c r="BU1080" s="343">
        <f>SUMIFS($AU$134:AU1081,$AA$134:AA1081,"*",$AB$134:AB1081,"*")</f>
        <v>3378.0000000000045</v>
      </c>
      <c r="BV1080" s="343">
        <f>SUMIFS($AU$134:AU1081,$AA$134:AA1081,"*",$AC$134:AC1081,"*")</f>
        <v>9084.7833333333328</v>
      </c>
      <c r="BW1080" s="343">
        <f>SUMIFS($AU$134:AU1081,$AB$134:AB1081,"*",$AC$134:AC1081,"*")</f>
        <v>6014.6</v>
      </c>
      <c r="BX1080" s="343">
        <f>SUMIFS($AU1081:AU$1388,$Q1081:Q$1388,"F")</f>
        <v>8514.1333333333332</v>
      </c>
      <c r="BY1080" s="343">
        <f>SUMIFS($AU1081:AU$1388,$Q1081:Q$1388,"S")</f>
        <v>4939.2000000000016</v>
      </c>
      <c r="BZ1080" s="343">
        <f>SUMIFS($AU1081:AU$1388,$Q1081:Q$1388,"O")</f>
        <v>-941.81466666670008</v>
      </c>
    </row>
    <row r="1081" spans="1:78" ht="15.75" customHeight="1">
      <c r="A1081" s="221" t="s">
        <v>3942</v>
      </c>
      <c r="B1081" s="177">
        <v>45203</v>
      </c>
      <c r="C1081" s="178" t="s">
        <v>3957</v>
      </c>
      <c r="D1081" s="178" t="s">
        <v>151</v>
      </c>
      <c r="E1081" s="227"/>
      <c r="F1081" s="180"/>
      <c r="G1081" s="281" t="s">
        <v>3958</v>
      </c>
      <c r="H1081" s="182"/>
      <c r="I1081" s="182"/>
      <c r="J1081" s="182"/>
      <c r="K1081" s="183"/>
      <c r="L1081" s="182"/>
      <c r="M1081" s="182">
        <v>1</v>
      </c>
      <c r="N1081" s="182"/>
      <c r="O1081" s="183" t="s">
        <v>95</v>
      </c>
      <c r="P1081" s="183" t="s">
        <v>96</v>
      </c>
      <c r="Q1081" s="183" t="s">
        <v>97</v>
      </c>
      <c r="R1081" s="183">
        <v>2</v>
      </c>
      <c r="S1081" s="183">
        <v>0</v>
      </c>
      <c r="T1081" s="183">
        <v>2</v>
      </c>
      <c r="U1081" s="183" t="s">
        <v>22</v>
      </c>
      <c r="V1081" s="183"/>
      <c r="W1081" s="183"/>
      <c r="X1081" s="183"/>
      <c r="Y1081" s="184">
        <f>IF(ISBLANK(O1081),"",(IF(O1081=UPPER("IB"),0.005,0.01)))</f>
        <v>0.01</v>
      </c>
      <c r="Z1081" s="185">
        <f>IF(ISBLANK(O1081),"",IF(O1081="IB",8.63*200,IF(O1081="IR",16*100,IF(O1081="YT",20*100,IF(O1081="YT-XT",24*200,IF(O1081="TED",80*100))))))</f>
        <v>1600</v>
      </c>
      <c r="AA1081" s="185" t="s">
        <v>99</v>
      </c>
      <c r="AB1081" s="185"/>
      <c r="AC1081" s="185"/>
      <c r="AD1081" s="649">
        <v>0.04</v>
      </c>
      <c r="AE1081" s="182"/>
      <c r="AF1081" s="332"/>
      <c r="AG1081" s="182"/>
      <c r="AH1081" s="182"/>
      <c r="AI1081" s="182"/>
      <c r="AJ1081" s="640"/>
      <c r="AK1081" s="182"/>
      <c r="AL1081" s="496"/>
      <c r="AM1081" s="496"/>
      <c r="AN1081" s="626"/>
      <c r="AO1081" s="182"/>
      <c r="AP1081" s="182" t="s">
        <v>3959</v>
      </c>
      <c r="AQ1081" s="332" t="str">
        <f>UPPER(RIGHT(Journal_Live[[#This Row],[DURATION ]]))</f>
        <v>M</v>
      </c>
      <c r="AR1081" s="182" t="s">
        <v>3960</v>
      </c>
      <c r="AS1081" s="189">
        <v>0.05</v>
      </c>
      <c r="AT1081" s="189">
        <f>IF(ISBLANK(AS1081),,IF(U1081="S",AD1081-AS1081,AS1081-AD1081))</f>
        <v>1.0000000000000002E-2</v>
      </c>
      <c r="AU1081" s="187">
        <f>AV1081*R1081</f>
        <v>32.000000000000007</v>
      </c>
      <c r="AV1081" s="190">
        <f>IF(ISBLANK(AS1081),,(AT1081*Z1081))</f>
        <v>16.000000000000004</v>
      </c>
      <c r="AW1081" s="191" t="s">
        <v>96</v>
      </c>
      <c r="AX1081" s="407" t="s">
        <v>3961</v>
      </c>
      <c r="AY1081" s="407"/>
      <c r="AZ1081" s="407"/>
      <c r="BA1081" s="407"/>
      <c r="BB1081" s="407"/>
      <c r="BC1081" s="407"/>
      <c r="BD1081" s="407"/>
      <c r="BE1081" s="407"/>
      <c r="BF1081" s="422"/>
      <c r="BG1081" s="391">
        <f>SUM($AV$4:AV1081)</f>
        <v>4837.22381206516</v>
      </c>
      <c r="BH1081" s="392">
        <f>SUM($AU$134:AU1081)</f>
        <v>20879.132000000238</v>
      </c>
      <c r="BI1081" s="318">
        <f>SUMIFS($AU$134:AU1082,$Q$134:Q1082,"F")</f>
        <v>6246.5333333333328</v>
      </c>
      <c r="BJ1081" s="318">
        <f>SUMIFS($AU$134:AU1082,$Q$134:Q1082,"S")</f>
        <v>15764.441999999999</v>
      </c>
      <c r="BK1081" s="343">
        <f>SUMIFS($AU$134:AU1082,$P$134:P1082,"W")</f>
        <v>13331.741999999942</v>
      </c>
      <c r="BL1081" s="343">
        <f>SUMIFS($AU$134:AU1082,$P$134:P1082,"R")</f>
        <v>8468.6733333333359</v>
      </c>
      <c r="BM1081" s="343">
        <f>SUMIFS($AU$134:AU1082,$AQ$134:AQ1082,"M")</f>
        <v>2849.3999999999569</v>
      </c>
      <c r="BN1081" s="343">
        <f>SUMIFS($AU$134:AU1082,$AQ$134:AQ1082,"H")</f>
        <v>7758.1420000000153</v>
      </c>
      <c r="BO1081" s="343">
        <f>SUMIFS($AU$134:AU1082,$AQ$134:AQ1082,"D")</f>
        <v>5642.2366666667649</v>
      </c>
      <c r="BP1081" s="343">
        <f>SUMIFS($AU$134:AU1084,$AQ$134:AQ1084,"W")</f>
        <v>3122.7233333332406</v>
      </c>
      <c r="BQ1081" s="343">
        <f>SUMIFS($AU$134:AU1082,$Q$134:Q1082,"O")</f>
        <v>-707.0433333330983</v>
      </c>
      <c r="BR1081" s="343">
        <f>SUMIFS($AU$134:AU1082,$AA$134:AA1082,"*")</f>
        <v>19297.475333333299</v>
      </c>
      <c r="BS1081" s="343">
        <f>SUMIFS($AU$134:AU1082,$AB$134:AB1082,"*")</f>
        <v>5228.1566666669405</v>
      </c>
      <c r="BT1081" s="343">
        <f>SUMIFS($AU$134:AU1082,$AC$134:AC1082,"*")</f>
        <v>11223.683333333332</v>
      </c>
      <c r="BU1081" s="343">
        <f>SUMIFS($AU$134:AU1082,$AA$134:AA1082,"*",$AB$134:AB1082,"*")</f>
        <v>3378.0000000000045</v>
      </c>
      <c r="BV1081" s="343">
        <f>SUMIFS($AU$134:AU1082,$AA$134:AA1082,"*",$AC$134:AC1082,"*")</f>
        <v>9404.7833333333328</v>
      </c>
      <c r="BW1081" s="343">
        <f>SUMIFS($AU$134:AU1082,$AB$134:AB1082,"*",$AC$134:AC1082,"*")</f>
        <v>6014.6</v>
      </c>
      <c r="BX1081" s="343">
        <f>SUMIFS($AU1082:AU$1388,$Q1082:Q$1388,"F")</f>
        <v>8514.1333333333332</v>
      </c>
      <c r="BY1081" s="343">
        <f>SUMIFS($AU1082:AU$1388,$Q1082:Q$1388,"S")</f>
        <v>4907.2000000000016</v>
      </c>
      <c r="BZ1081" s="343">
        <f>SUMIFS($AU1082:AU$1388,$Q1082:Q$1388,"O")</f>
        <v>-941.81466666670008</v>
      </c>
    </row>
    <row r="1082" spans="1:78" ht="15.75" customHeight="1">
      <c r="A1082" s="221" t="s">
        <v>3942</v>
      </c>
      <c r="B1082" s="177">
        <v>45203</v>
      </c>
      <c r="C1082" s="178" t="s">
        <v>2194</v>
      </c>
      <c r="D1082" s="178" t="s">
        <v>151</v>
      </c>
      <c r="E1082" s="227"/>
      <c r="F1082" s="180"/>
      <c r="G1082" s="281" t="s">
        <v>3962</v>
      </c>
      <c r="H1082" s="182"/>
      <c r="I1082" s="182"/>
      <c r="J1082" s="182"/>
      <c r="K1082" s="183"/>
      <c r="L1082" s="182">
        <v>1</v>
      </c>
      <c r="M1082" s="182">
        <v>1</v>
      </c>
      <c r="N1082" s="182"/>
      <c r="O1082" s="183" t="s">
        <v>95</v>
      </c>
      <c r="P1082" s="183" t="s">
        <v>137</v>
      </c>
      <c r="Q1082" s="183" t="s">
        <v>256</v>
      </c>
      <c r="R1082" s="183">
        <v>10</v>
      </c>
      <c r="S1082" s="183">
        <v>0</v>
      </c>
      <c r="T1082" s="183">
        <v>10</v>
      </c>
      <c r="U1082" s="183" t="s">
        <v>22</v>
      </c>
      <c r="V1082" s="183"/>
      <c r="W1082" s="183"/>
      <c r="X1082" s="183"/>
      <c r="Y1082" s="184">
        <f>IF(ISBLANK(O1082),"",(IF(O1082=UPPER("IB"),0.005,0.01)))</f>
        <v>0.01</v>
      </c>
      <c r="Z1082" s="185">
        <f>IF(ISBLANK(O1082),"",IF(O1082="IB",8.63*200,IF(O1082="IR",16*100,IF(O1082="YT",20*100,IF(O1082="YT-XT",24*200,IF(O1082="TED",80*100))))))</f>
        <v>1600</v>
      </c>
      <c r="AA1082" s="185" t="s">
        <v>99</v>
      </c>
      <c r="AB1082" s="185"/>
      <c r="AC1082" s="185" t="s">
        <v>3963</v>
      </c>
      <c r="AD1082" s="649">
        <v>-0.04</v>
      </c>
      <c r="AE1082" s="182"/>
      <c r="AF1082" s="332"/>
      <c r="AG1082" s="182"/>
      <c r="AH1082" s="182"/>
      <c r="AI1082" s="182"/>
      <c r="AJ1082" s="640"/>
      <c r="AK1082" s="182"/>
      <c r="AL1082" s="496">
        <f t="shared" ref="AL1082:AL1094" si="323">-0.03*Z1082</f>
        <v>-48</v>
      </c>
      <c r="AM1082" s="496">
        <f>AL1082*(R1082-S1082)</f>
        <v>-480</v>
      </c>
      <c r="AN1082" s="626"/>
      <c r="AO1082" s="182"/>
      <c r="AP1082" s="182" t="s">
        <v>897</v>
      </c>
      <c r="AQ1082" s="332" t="str">
        <f>UPPER(RIGHT(Journal_Live[[#This Row],[DURATION ]]))</f>
        <v>W</v>
      </c>
      <c r="AR1082" s="182" t="s">
        <v>3964</v>
      </c>
      <c r="AS1082" s="189">
        <v>-0.02</v>
      </c>
      <c r="AT1082" s="189">
        <f>IF(ISBLANK(AS1082),,IF(U1082="S",AD1082-AS1082,AS1082-AD1082))</f>
        <v>0.02</v>
      </c>
      <c r="AU1082" s="187">
        <f>AV1082*R1082</f>
        <v>320</v>
      </c>
      <c r="AV1082" s="190">
        <f>IF(ISBLANK(AS1082),,(AT1082*Z1082))</f>
        <v>32</v>
      </c>
      <c r="AW1082" s="191" t="s">
        <v>96</v>
      </c>
      <c r="AX1082" s="407"/>
      <c r="AY1082" s="407"/>
      <c r="AZ1082" s="407"/>
      <c r="BA1082" s="407"/>
      <c r="BB1082" s="407"/>
      <c r="BC1082" s="407"/>
      <c r="BD1082" s="407"/>
      <c r="BE1082" s="407"/>
      <c r="BF1082" s="422"/>
      <c r="BG1082" s="391">
        <f>SUM($AV$4:AV1082)</f>
        <v>4869.22381206516</v>
      </c>
      <c r="BH1082" s="392">
        <f>SUM($AU$134:AU1082)</f>
        <v>21199.132000000238</v>
      </c>
      <c r="BI1082" s="318">
        <f>SUMIFS($AU$134:AU1083,$Q$134:Q1083,"F")</f>
        <v>6246.5333333333328</v>
      </c>
      <c r="BJ1082" s="318">
        <f>SUMIFS($AU$134:AU1083,$Q$134:Q1083,"S")</f>
        <v>15764.441999999999</v>
      </c>
      <c r="BK1082" s="343">
        <f>SUMIFS($AU$134:AU1083,$P$134:P1083,"W")</f>
        <v>13331.741999999942</v>
      </c>
      <c r="BL1082" s="343">
        <f>SUMIFS($AU$134:AU1083,$P$134:P1083,"R")</f>
        <v>8468.6733333333359</v>
      </c>
      <c r="BM1082" s="343">
        <f>SUMIFS($AU$134:AU1083,$AQ$134:AQ1083,"M")</f>
        <v>2885.4000000000265</v>
      </c>
      <c r="BN1082" s="343">
        <f>SUMIFS($AU$134:AU1083,$AQ$134:AQ1083,"H")</f>
        <v>7758.1420000000153</v>
      </c>
      <c r="BO1082" s="343">
        <f>SUMIFS($AU$134:AU1083,$AQ$134:AQ1083,"D")</f>
        <v>5642.2366666667649</v>
      </c>
      <c r="BP1082" s="343">
        <f>SUMIFS($AU$134:AU1085,$AQ$134:AQ1085,"W")</f>
        <v>3122.7233333332406</v>
      </c>
      <c r="BQ1082" s="343">
        <f>SUMIFS($AU$134:AU1083,$Q$134:Q1083,"O")</f>
        <v>-671.04333333302873</v>
      </c>
      <c r="BR1082" s="343">
        <f>SUMIFS($AU$134:AU1083,$AA$134:AA1083,"*")</f>
        <v>19333.475333333368</v>
      </c>
      <c r="BS1082" s="343">
        <f>SUMIFS($AU$134:AU1083,$AB$134:AB1083,"*")</f>
        <v>5228.1566666669405</v>
      </c>
      <c r="BT1082" s="343">
        <f>SUMIFS($AU$134:AU1083,$AC$134:AC1083,"*")</f>
        <v>11223.683333333332</v>
      </c>
      <c r="BU1082" s="343">
        <f>SUMIFS($AU$134:AU1083,$AA$134:AA1083,"*",$AB$134:AB1083,"*")</f>
        <v>3378.0000000000045</v>
      </c>
      <c r="BV1082" s="343">
        <f>SUMIFS($AU$134:AU1083,$AA$134:AA1083,"*",$AC$134:AC1083,"*")</f>
        <v>9404.7833333333328</v>
      </c>
      <c r="BW1082" s="343">
        <f>SUMIFS($AU$134:AU1083,$AB$134:AB1083,"*",$AC$134:AC1083,"*")</f>
        <v>6014.6</v>
      </c>
      <c r="BX1082" s="343">
        <f>SUMIFS($AU1083:AU$1388,$Q1083:Q$1388,"F")</f>
        <v>8194.1333333333332</v>
      </c>
      <c r="BY1082" s="343">
        <f>SUMIFS($AU1083:AU$1388,$Q1083:Q$1388,"S")</f>
        <v>4907.2000000000016</v>
      </c>
      <c r="BZ1082" s="343">
        <f>SUMIFS($AU1083:AU$1388,$Q1083:Q$1388,"O")</f>
        <v>-941.81466666670008</v>
      </c>
    </row>
    <row r="1083" spans="1:78" ht="15.75" customHeight="1">
      <c r="A1083" s="221" t="s">
        <v>3942</v>
      </c>
      <c r="B1083" s="177">
        <v>45203</v>
      </c>
      <c r="C1083" s="178" t="s">
        <v>3965</v>
      </c>
      <c r="D1083" s="178" t="s">
        <v>151</v>
      </c>
      <c r="E1083" s="227"/>
      <c r="F1083" s="180"/>
      <c r="G1083" s="281" t="s">
        <v>3924</v>
      </c>
      <c r="H1083" s="182"/>
      <c r="I1083" s="182"/>
      <c r="J1083" s="182"/>
      <c r="K1083" s="183"/>
      <c r="L1083" s="182">
        <v>1</v>
      </c>
      <c r="M1083" s="182"/>
      <c r="N1083" s="182"/>
      <c r="O1083" s="183" t="s">
        <v>3618</v>
      </c>
      <c r="P1083" s="183" t="s">
        <v>2260</v>
      </c>
      <c r="Q1083" s="183" t="s">
        <v>684</v>
      </c>
      <c r="R1083" s="183">
        <v>1</v>
      </c>
      <c r="S1083" s="183">
        <v>0</v>
      </c>
      <c r="T1083" s="183">
        <v>1</v>
      </c>
      <c r="U1083" s="183" t="s">
        <v>22</v>
      </c>
      <c r="V1083" s="183"/>
      <c r="W1083" s="183"/>
      <c r="X1083" s="183"/>
      <c r="Y1083" s="184">
        <f>IF(ISBLANK(O1083),"",(IF(O1083=UPPER("IB"),0.005,0.01)))</f>
        <v>0.01</v>
      </c>
      <c r="Z1083" s="185">
        <f>IF(ISBLANK(O1083),"",IF(O1083="IB",8.63*200,IF(O1083="IR",16*100,IF(O1083="YT",20*100,IF(O1083="YT-XT",24*200,IF(O1083="TED",80*100,IF(O1083="XT",36*200)))))))</f>
        <v>7200</v>
      </c>
      <c r="AA1083" s="185" t="s">
        <v>3966</v>
      </c>
      <c r="AB1083" s="185"/>
      <c r="AC1083" s="185"/>
      <c r="AD1083" s="649">
        <v>95.32</v>
      </c>
      <c r="AE1083" s="182"/>
      <c r="AF1083" s="332"/>
      <c r="AG1083" s="182"/>
      <c r="AH1083" s="182"/>
      <c r="AI1083" s="182"/>
      <c r="AJ1083" s="640"/>
      <c r="AK1083" s="182"/>
      <c r="AL1083" s="496"/>
      <c r="AM1083" s="496"/>
      <c r="AN1083" s="626"/>
      <c r="AO1083" s="182"/>
      <c r="AP1083" s="182" t="s">
        <v>3967</v>
      </c>
      <c r="AQ1083" s="332" t="str">
        <f>UPPER(RIGHT(Journal_Live[[#This Row],[DURATION ]]))</f>
        <v>M</v>
      </c>
      <c r="AR1083" s="182" t="s">
        <v>3968</v>
      </c>
      <c r="AS1083" s="189">
        <v>95.325000000000003</v>
      </c>
      <c r="AT1083" s="189">
        <f>IF(ISBLANK(AS1083),,IF(U1083="S",AD1083-AS1083,AS1083-AD1083))</f>
        <v>5.0000000000096634E-3</v>
      </c>
      <c r="AU1083" s="187">
        <f>AV1083*R1083</f>
        <v>36.000000000069576</v>
      </c>
      <c r="AV1083" s="190">
        <f>IF(ISBLANK(AS1083),,(AT1083*Z1083))</f>
        <v>36.000000000069576</v>
      </c>
      <c r="AW1083" s="191" t="s">
        <v>96</v>
      </c>
      <c r="AX1083" s="487">
        <v>45240</v>
      </c>
      <c r="AY1083" s="407" t="s">
        <v>3969</v>
      </c>
      <c r="AZ1083" s="407"/>
      <c r="BA1083" s="407" t="s">
        <v>195</v>
      </c>
      <c r="BB1083" s="407" t="s">
        <v>2182</v>
      </c>
      <c r="BC1083" s="407"/>
      <c r="BD1083" s="407"/>
      <c r="BE1083" s="407"/>
      <c r="BF1083" s="422"/>
      <c r="BG1083" s="391">
        <f>SUM($AV$4:AV1083)</f>
        <v>4905.2238120652291</v>
      </c>
      <c r="BH1083" s="392">
        <f>SUM($AU$134:AU1083)</f>
        <v>21235.132000000307</v>
      </c>
      <c r="BI1083" s="318">
        <f>SUMIFS($AU$134:AU1084,$Q$134:Q1084,"F")</f>
        <v>6166.5333333333328</v>
      </c>
      <c r="BJ1083" s="318">
        <f>SUMIFS($AU$134:AU1084,$Q$134:Q1084,"S")</f>
        <v>15764.441999999999</v>
      </c>
      <c r="BK1083" s="343">
        <f>SUMIFS($AU$134:AU1084,$P$134:P1084,"W")</f>
        <v>13251.741999999942</v>
      </c>
      <c r="BL1083" s="343">
        <f>SUMIFS($AU$134:AU1084,$P$134:P1084,"R")</f>
        <v>8468.6733333333359</v>
      </c>
      <c r="BM1083" s="343">
        <f>SUMIFS($AU$134:AU1084,$AQ$134:AQ1084,"M")</f>
        <v>2885.4000000000265</v>
      </c>
      <c r="BN1083" s="343">
        <f>SUMIFS($AU$134:AU1084,$AQ$134:AQ1084,"H")</f>
        <v>7758.1420000000153</v>
      </c>
      <c r="BO1083" s="343">
        <f>SUMIFS($AU$134:AU1084,$AQ$134:AQ1084,"D")</f>
        <v>5642.2366666667649</v>
      </c>
      <c r="BP1083" s="343">
        <f>SUMIFS($AU$134:AU1086,$AQ$134:AQ1086,"W")</f>
        <v>3122.7233333332406</v>
      </c>
      <c r="BQ1083" s="343">
        <f>SUMIFS($AU$134:AU1084,$Q$134:Q1084,"O")</f>
        <v>-671.04333333302873</v>
      </c>
      <c r="BR1083" s="343">
        <f>SUMIFS($AU$134:AU1084,$AA$134:AA1084,"*")</f>
        <v>19253.475333333368</v>
      </c>
      <c r="BS1083" s="343">
        <f>SUMIFS($AU$134:AU1084,$AB$134:AB1084,"*")</f>
        <v>5228.1566666669405</v>
      </c>
      <c r="BT1083" s="343">
        <f>SUMIFS($AU$134:AU1084,$AC$134:AC1084,"*")</f>
        <v>11143.683333333332</v>
      </c>
      <c r="BU1083" s="343">
        <f>SUMIFS($AU$134:AU1084,$AA$134:AA1084,"*",$AB$134:AB1084,"*")</f>
        <v>3378.0000000000045</v>
      </c>
      <c r="BV1083" s="343">
        <f>SUMIFS($AU$134:AU1084,$AA$134:AA1084,"*",$AC$134:AC1084,"*")</f>
        <v>9324.7833333333328</v>
      </c>
      <c r="BW1083" s="343">
        <f>SUMIFS($AU$134:AU1084,$AB$134:AB1084,"*",$AC$134:AC1084,"*")</f>
        <v>6014.6</v>
      </c>
      <c r="BX1083" s="343">
        <f>SUMIFS($AU1084:AU$1388,$Q1084:Q$1388,"F")</f>
        <v>8194.1333333333332</v>
      </c>
      <c r="BY1083" s="343">
        <f>SUMIFS($AU1084:AU$1388,$Q1084:Q$1388,"S")</f>
        <v>4907.2000000000016</v>
      </c>
      <c r="BZ1083" s="343">
        <f>SUMIFS($AU1084:AU$1388,$Q1084:Q$1388,"O")</f>
        <v>-977.81466666676965</v>
      </c>
    </row>
    <row r="1084" spans="1:78" ht="15.75" customHeight="1">
      <c r="A1084" s="221" t="s">
        <v>3942</v>
      </c>
      <c r="B1084" s="177">
        <v>45203</v>
      </c>
      <c r="C1084" s="178" t="s">
        <v>1943</v>
      </c>
      <c r="D1084" s="178" t="s">
        <v>151</v>
      </c>
      <c r="E1084" s="227"/>
      <c r="F1084" s="180"/>
      <c r="G1084" s="281" t="s">
        <v>3970</v>
      </c>
      <c r="H1084" s="182"/>
      <c r="I1084" s="182"/>
      <c r="J1084" s="182"/>
      <c r="K1084" s="183"/>
      <c r="L1084" s="182"/>
      <c r="M1084" s="182">
        <v>1</v>
      </c>
      <c r="N1084" s="182"/>
      <c r="O1084" s="183" t="s">
        <v>95</v>
      </c>
      <c r="P1084" s="183" t="s">
        <v>96</v>
      </c>
      <c r="Q1084" s="183" t="s">
        <v>256</v>
      </c>
      <c r="R1084" s="183">
        <v>12</v>
      </c>
      <c r="S1084" s="183">
        <v>2</v>
      </c>
      <c r="T1084" s="183">
        <v>7</v>
      </c>
      <c r="U1084" s="183" t="s">
        <v>22</v>
      </c>
      <c r="V1084" s="183"/>
      <c r="W1084" s="183"/>
      <c r="X1084" s="183"/>
      <c r="Y1084" s="184">
        <f>IF(ISBLANK(O1084),"",(IF(O1084=UPPER("IB"),0.005,0.01)))</f>
        <v>0.01</v>
      </c>
      <c r="Z1084" s="185">
        <f>IF(ISBLANK(O1084),"",IF(O1084="IB",8.63*200,IF(O1084="IR",16*100,IF(O1084="YT",20*100,IF(O1084="YT-XT",24*200,IF(O1084="TED",80*100))))))</f>
        <v>1600</v>
      </c>
      <c r="AA1084" s="185" t="s">
        <v>99</v>
      </c>
      <c r="AB1084" s="185"/>
      <c r="AC1084" s="185" t="s">
        <v>3971</v>
      </c>
      <c r="AD1084" s="649">
        <v>0</v>
      </c>
      <c r="AE1084" s="182"/>
      <c r="AF1084" s="332"/>
      <c r="AG1084" s="182"/>
      <c r="AH1084" s="182"/>
      <c r="AI1084" s="182"/>
      <c r="AJ1084" s="640"/>
      <c r="AK1084" s="182"/>
      <c r="AL1084" s="496">
        <f t="shared" si="323"/>
        <v>-48</v>
      </c>
      <c r="AM1084" s="496">
        <f>AL1084*(R1084-S1084)</f>
        <v>-480</v>
      </c>
      <c r="AN1084" s="626"/>
      <c r="AO1084" s="182"/>
      <c r="AP1084" s="182" t="s">
        <v>3769</v>
      </c>
      <c r="AQ1084" s="332" t="str">
        <f>UPPER(RIGHT(Journal_Live[[#This Row],[DURATION ]]))</f>
        <v>W</v>
      </c>
      <c r="AR1084" s="182" t="s">
        <v>3972</v>
      </c>
      <c r="AS1084" s="189">
        <f>((-0.01*2)+(0*7)+(-0.01*3))/12</f>
        <v>-4.1666666666666666E-3</v>
      </c>
      <c r="AT1084" s="189">
        <f>IF(ISBLANK(AS1084),,IF(U1084="S",AD1084-AS1084,AS1084-AD1084))</f>
        <v>-4.1666666666666666E-3</v>
      </c>
      <c r="AU1084" s="187">
        <f>AV1084*R1084</f>
        <v>-80</v>
      </c>
      <c r="AV1084" s="190">
        <f>IF(ISBLANK(AS1084),,(AT1084*Z1084))</f>
        <v>-6.666666666666667</v>
      </c>
      <c r="AW1084" s="191" t="s">
        <v>229</v>
      </c>
      <c r="AX1084" s="407" t="s">
        <v>3973</v>
      </c>
      <c r="AY1084" s="407"/>
      <c r="AZ1084" s="407"/>
      <c r="BA1084" s="407"/>
      <c r="BB1084" s="407"/>
      <c r="BC1084" s="407"/>
      <c r="BD1084" s="407"/>
      <c r="BE1084" s="407"/>
      <c r="BF1084" s="422"/>
      <c r="BG1084" s="391">
        <f>SUM($AV$4:AV1084)</f>
        <v>4898.5571453985622</v>
      </c>
      <c r="BH1084" s="392">
        <f>SUM($AU$134:AU1084)</f>
        <v>21155.132000000307</v>
      </c>
      <c r="BI1084" s="318">
        <f>SUMIFS($AU$134:AU1085,$Q$134:Q1085,"F")</f>
        <v>6166.5333333333328</v>
      </c>
      <c r="BJ1084" s="318">
        <f>SUMIFS($AU$134:AU1085,$Q$134:Q1085,"S")</f>
        <v>15764.441999999999</v>
      </c>
      <c r="BK1084" s="343">
        <f>SUMIFS($AU$134:AU1085,$P$134:P1085,"W")</f>
        <v>13251.741999999942</v>
      </c>
      <c r="BL1084" s="343">
        <f>SUMIFS($AU$134:AU1085,$P$134:P1085,"R")</f>
        <v>8468.6733333333359</v>
      </c>
      <c r="BM1084" s="343">
        <f>SUMIFS($AU$134:AU1085,$AQ$134:AQ1085,"M")</f>
        <v>2849.4000000000592</v>
      </c>
      <c r="BN1084" s="343">
        <f>SUMIFS($AU$134:AU1085,$AQ$134:AQ1085,"H")</f>
        <v>7758.1420000000153</v>
      </c>
      <c r="BO1084" s="343">
        <f>SUMIFS($AU$134:AU1085,$AQ$134:AQ1085,"D")</f>
        <v>5642.2366666667649</v>
      </c>
      <c r="BP1084" s="343">
        <f>SUMIFS($AU$134:AU1087,$AQ$134:AQ1087,"W")</f>
        <v>3122.7233333332406</v>
      </c>
      <c r="BQ1084" s="343">
        <f>SUMIFS($AU$134:AU1085,$Q$134:Q1085,"O")</f>
        <v>-707.04333333299599</v>
      </c>
      <c r="BR1084" s="343">
        <f>SUMIFS($AU$134:AU1085,$AA$134:AA1085,"*")</f>
        <v>19217.475333333401</v>
      </c>
      <c r="BS1084" s="343">
        <f>SUMIFS($AU$134:AU1085,$AB$134:AB1085,"*")</f>
        <v>5228.1566666669405</v>
      </c>
      <c r="BT1084" s="343">
        <f>SUMIFS($AU$134:AU1085,$AC$134:AC1085,"*")</f>
        <v>11143.683333333332</v>
      </c>
      <c r="BU1084" s="343">
        <f>SUMIFS($AU$134:AU1085,$AA$134:AA1085,"*",$AB$134:AB1085,"*")</f>
        <v>3378.0000000000045</v>
      </c>
      <c r="BV1084" s="343">
        <f>SUMIFS($AU$134:AU1085,$AA$134:AA1085,"*",$AC$134:AC1085,"*")</f>
        <v>9324.7833333333328</v>
      </c>
      <c r="BW1084" s="343">
        <f>SUMIFS($AU$134:AU1085,$AB$134:AB1085,"*",$AC$134:AC1085,"*")</f>
        <v>6014.6</v>
      </c>
      <c r="BX1084" s="343">
        <f>SUMIFS($AU1085:AU$1388,$Q1085:Q$1388,"F")</f>
        <v>8274.1333333333332</v>
      </c>
      <c r="BY1084" s="343">
        <f>SUMIFS($AU1085:AU$1388,$Q1085:Q$1388,"S")</f>
        <v>4907.2000000000016</v>
      </c>
      <c r="BZ1084" s="343">
        <f>SUMIFS($AU1085:AU$1388,$Q1085:Q$1388,"O")</f>
        <v>-977.81466666676965</v>
      </c>
    </row>
    <row r="1085" spans="1:78" ht="15.75" customHeight="1">
      <c r="A1085" s="221" t="s">
        <v>3942</v>
      </c>
      <c r="B1085" s="177">
        <v>45203</v>
      </c>
      <c r="C1085" s="178" t="s">
        <v>3974</v>
      </c>
      <c r="D1085" s="178" t="s">
        <v>151</v>
      </c>
      <c r="E1085" s="227"/>
      <c r="F1085" s="180"/>
      <c r="G1085" s="281" t="s">
        <v>3924</v>
      </c>
      <c r="H1085" s="182"/>
      <c r="I1085" s="182"/>
      <c r="J1085" s="182"/>
      <c r="K1085" s="183"/>
      <c r="L1085" s="182">
        <v>1</v>
      </c>
      <c r="M1085" s="182"/>
      <c r="N1085" s="182"/>
      <c r="O1085" s="183" t="s">
        <v>3618</v>
      </c>
      <c r="P1085" s="183" t="s">
        <v>2260</v>
      </c>
      <c r="Q1085" s="183" t="s">
        <v>684</v>
      </c>
      <c r="R1085" s="183">
        <v>1</v>
      </c>
      <c r="S1085" s="183">
        <v>0</v>
      </c>
      <c r="T1085" s="183">
        <v>1</v>
      </c>
      <c r="U1085" s="183" t="s">
        <v>97</v>
      </c>
      <c r="V1085" s="183"/>
      <c r="W1085" s="183"/>
      <c r="X1085" s="183"/>
      <c r="Y1085" s="184">
        <f>IF(ISBLANK(O1085),"",(IF(O1085=UPPER("IB"),0.005,0.01)))</f>
        <v>0.01</v>
      </c>
      <c r="Z1085" s="185">
        <f>IF(ISBLANK(O1085),"",IF(O1085="IB",8.63*200,IF(O1085="IR",16*100,IF(O1085="YT",20*100,IF(O1085="YT-XT",24*200,IF(O1085="TED",80*100,IF(O1085="XT",36*200)))))))</f>
        <v>7200</v>
      </c>
      <c r="AA1085" s="409" t="s">
        <v>3975</v>
      </c>
      <c r="AB1085" s="185"/>
      <c r="AC1085" s="185"/>
      <c r="AD1085" s="649">
        <v>95.37</v>
      </c>
      <c r="AE1085" s="182"/>
      <c r="AF1085" s="332"/>
      <c r="AG1085" s="182"/>
      <c r="AH1085" s="182"/>
      <c r="AI1085" s="182"/>
      <c r="AJ1085" s="640"/>
      <c r="AK1085" s="182"/>
      <c r="AL1085" s="496"/>
      <c r="AM1085" s="496"/>
      <c r="AN1085" s="626"/>
      <c r="AO1085" s="182"/>
      <c r="AP1085" s="182" t="s">
        <v>1843</v>
      </c>
      <c r="AQ1085" s="332" t="str">
        <f>UPPER(RIGHT(Journal_Live[[#This Row],[DURATION ]]))</f>
        <v>M</v>
      </c>
      <c r="AR1085" s="182" t="s">
        <v>682</v>
      </c>
      <c r="AS1085" s="189">
        <v>95.375</v>
      </c>
      <c r="AT1085" s="189">
        <f>IF(ISBLANK(AS1085),,IF(U1085="S",AD1085-AS1085,AS1085-AD1085))</f>
        <v>-4.9999999999954525E-3</v>
      </c>
      <c r="AU1085" s="187">
        <f>AV1085*R1085</f>
        <v>-35.999999999967258</v>
      </c>
      <c r="AV1085" s="190">
        <f>IF(ISBLANK(AS1085),,(AT1085*Z1085))</f>
        <v>-35.999999999967258</v>
      </c>
      <c r="AW1085" s="191" t="s">
        <v>229</v>
      </c>
      <c r="AX1085" s="407" t="s">
        <v>3976</v>
      </c>
      <c r="AY1085" s="407" t="s">
        <v>3977</v>
      </c>
      <c r="AZ1085" s="407"/>
      <c r="BA1085" s="407"/>
      <c r="BB1085" s="407"/>
      <c r="BC1085" s="407"/>
      <c r="BD1085" s="407"/>
      <c r="BE1085" s="407"/>
      <c r="BF1085" s="422"/>
      <c r="BG1085" s="391">
        <f>SUM($AV$4:AV1085)</f>
        <v>4862.5571453985949</v>
      </c>
      <c r="BH1085" s="392">
        <f>SUM($AU$134:AU1085)</f>
        <v>21119.13200000034</v>
      </c>
      <c r="BI1085" s="318">
        <f>SUMIFS($AU$134:AU1086,$Q$134:Q1086,"F")</f>
        <v>6166.5333333333328</v>
      </c>
      <c r="BJ1085" s="318">
        <f>SUMIFS($AU$134:AU1086,$Q$134:Q1086,"S")</f>
        <v>15764.441999999999</v>
      </c>
      <c r="BK1085" s="343">
        <f>SUMIFS($AU$134:AU1086,$P$134:P1086,"W")</f>
        <v>13251.741999999942</v>
      </c>
      <c r="BL1085" s="343">
        <f>SUMIFS($AU$134:AU1086,$P$134:P1086,"R")</f>
        <v>8468.6733333333359</v>
      </c>
      <c r="BM1085" s="343">
        <f>SUMIFS($AU$134:AU1086,$AQ$134:AQ1086,"M")</f>
        <v>2849.4000000000592</v>
      </c>
      <c r="BN1085" s="343">
        <f>SUMIFS($AU$134:AU1086,$AQ$134:AQ1086,"H")</f>
        <v>7758.1420000000153</v>
      </c>
      <c r="BO1085" s="343">
        <f>SUMIFS($AU$134:AU1086,$AQ$134:AQ1086,"D")</f>
        <v>5642.2366666667649</v>
      </c>
      <c r="BP1085" s="343">
        <f>SUMIFS($AU$134:AU1088,$AQ$134:AQ1088,"W")</f>
        <v>3122.7233333332406</v>
      </c>
      <c r="BQ1085" s="343">
        <f>SUMIFS($AU$134:AU1086,$Q$134:Q1086,"O")</f>
        <v>-707.04333333299599</v>
      </c>
      <c r="BR1085" s="343">
        <f>SUMIFS($AU$134:AU1086,$AA$134:AA1086,"*")</f>
        <v>19217.475333333401</v>
      </c>
      <c r="BS1085" s="343">
        <f>SUMIFS($AU$134:AU1086,$AB$134:AB1086,"*")</f>
        <v>5228.1566666669405</v>
      </c>
      <c r="BT1085" s="343">
        <f>SUMIFS($AU$134:AU1086,$AC$134:AC1086,"*")</f>
        <v>11143.683333333332</v>
      </c>
      <c r="BU1085" s="343">
        <f>SUMIFS($AU$134:AU1086,$AA$134:AA1086,"*",$AB$134:AB1086,"*")</f>
        <v>3378.0000000000045</v>
      </c>
      <c r="BV1085" s="343">
        <f>SUMIFS($AU$134:AU1086,$AA$134:AA1086,"*",$AC$134:AC1086,"*")</f>
        <v>9324.7833333333328</v>
      </c>
      <c r="BW1085" s="343">
        <f>SUMIFS($AU$134:AU1086,$AB$134:AB1086,"*",$AC$134:AC1086,"*")</f>
        <v>6014.6</v>
      </c>
      <c r="BX1085" s="343">
        <f>SUMIFS($AU1086:AU$1388,$Q1086:Q$1388,"F")</f>
        <v>8274.1333333333332</v>
      </c>
      <c r="BY1085" s="343">
        <f>SUMIFS($AU1086:AU$1388,$Q1086:Q$1388,"S")</f>
        <v>4907.2000000000016</v>
      </c>
      <c r="BZ1085" s="343">
        <f>SUMIFS($AU1086:AU$1388,$Q1086:Q$1388,"O")</f>
        <v>-941.8146666668024</v>
      </c>
    </row>
    <row r="1086" spans="1:78" ht="15.75" customHeight="1">
      <c r="A1086" s="221" t="s">
        <v>3942</v>
      </c>
      <c r="B1086" s="177">
        <v>45203</v>
      </c>
      <c r="C1086" s="178" t="s">
        <v>2122</v>
      </c>
      <c r="D1086" s="178" t="s">
        <v>151</v>
      </c>
      <c r="E1086" s="227" t="s">
        <v>3978</v>
      </c>
      <c r="F1086" s="180"/>
      <c r="G1086" s="181"/>
      <c r="H1086" s="182"/>
      <c r="I1086" s="182"/>
      <c r="J1086" s="182">
        <v>1</v>
      </c>
      <c r="K1086" s="183" t="s">
        <v>115</v>
      </c>
      <c r="L1086" s="182"/>
      <c r="M1086" s="182"/>
      <c r="N1086" s="182"/>
      <c r="O1086" s="183"/>
      <c r="P1086" s="183"/>
      <c r="Q1086" s="183"/>
      <c r="R1086" s="183"/>
      <c r="S1086" s="183"/>
      <c r="T1086" s="183"/>
      <c r="U1086" s="183"/>
      <c r="V1086" s="183"/>
      <c r="W1086" s="183"/>
      <c r="X1086" s="183"/>
      <c r="Y1086" s="183"/>
      <c r="Z1086" s="185" t="str">
        <f>IF(ISBLANK(O1086),"",IF(O1086="IB",8.63*200,IF(O1086="IR",16*100,IF(O1086="YT",20*100,IF(O1086="YT-XT",24*200,IF(O1086="TED",80*100))))))</f>
        <v/>
      </c>
      <c r="AA1086" s="185"/>
      <c r="AB1086" s="185"/>
      <c r="AC1086" s="185"/>
      <c r="AD1086" s="649"/>
      <c r="AE1086" s="182"/>
      <c r="AF1086" s="332"/>
      <c r="AG1086" s="182"/>
      <c r="AH1086" s="182"/>
      <c r="AI1086" s="182"/>
      <c r="AJ1086" s="640"/>
      <c r="AK1086" s="182"/>
      <c r="AL1086" s="496"/>
      <c r="AM1086" s="496"/>
      <c r="AN1086" s="626"/>
      <c r="AO1086" s="182"/>
      <c r="AP1086" s="182"/>
      <c r="AQ1086" s="332" t="str">
        <f>UPPER(RIGHT(Journal_Live[[#This Row],[DURATION ]]))</f>
        <v/>
      </c>
      <c r="AR1086" s="182"/>
      <c r="AS1086" s="189"/>
      <c r="AT1086" s="182"/>
      <c r="AU1086" s="187"/>
      <c r="AV1086" s="320"/>
      <c r="AW1086" s="191"/>
      <c r="AX1086" s="407" t="s">
        <v>3979</v>
      </c>
      <c r="AY1086" s="407"/>
      <c r="AZ1086" s="407"/>
      <c r="BA1086" s="407"/>
      <c r="BB1086" s="407"/>
      <c r="BC1086" s="407"/>
      <c r="BD1086" s="407"/>
      <c r="BE1086" s="407"/>
      <c r="BF1086" s="422"/>
      <c r="BG1086" s="391">
        <f>SUM($AV$4:AV1086)</f>
        <v>4862.5571453985949</v>
      </c>
      <c r="BH1086" s="392">
        <f>SUM($AU$134:AU1086)</f>
        <v>21119.13200000034</v>
      </c>
      <c r="BI1086" s="318">
        <f>SUMIFS($AU$134:AU1087,$Q$134:Q1087,"F")</f>
        <v>6166.5333333333328</v>
      </c>
      <c r="BJ1086" s="318">
        <f>SUMIFS($AU$134:AU1087,$Q$134:Q1087,"S")</f>
        <v>15764.441999999999</v>
      </c>
      <c r="BK1086" s="343">
        <f>SUMIFS($AU$134:AU1087,$P$134:P1087,"W")</f>
        <v>13251.741999999942</v>
      </c>
      <c r="BL1086" s="343">
        <f>SUMIFS($AU$134:AU1087,$P$134:P1087,"R")</f>
        <v>8468.6733333333359</v>
      </c>
      <c r="BM1086" s="343">
        <f>SUMIFS($AU$134:AU1087,$AQ$134:AQ1087,"M")</f>
        <v>2849.4000000000592</v>
      </c>
      <c r="BN1086" s="343">
        <f>SUMIFS($AU$134:AU1087,$AQ$134:AQ1087,"H")</f>
        <v>7758.1420000000153</v>
      </c>
      <c r="BO1086" s="343">
        <f>SUMIFS($AU$134:AU1087,$AQ$134:AQ1087,"D")</f>
        <v>5642.2366666667649</v>
      </c>
      <c r="BP1086" s="343">
        <f>SUMIFS($AU$134:AU1089,$AQ$134:AQ1089,"W")</f>
        <v>3122.7233333332406</v>
      </c>
      <c r="BQ1086" s="343">
        <f>SUMIFS($AU$134:AU1087,$Q$134:Q1087,"O")</f>
        <v>-707.04333333299599</v>
      </c>
      <c r="BR1086" s="343">
        <f>SUMIFS($AU$134:AU1087,$AA$134:AA1087,"*")</f>
        <v>19217.475333333401</v>
      </c>
      <c r="BS1086" s="343">
        <f>SUMIFS($AU$134:AU1087,$AB$134:AB1087,"*")</f>
        <v>5228.1566666669405</v>
      </c>
      <c r="BT1086" s="343">
        <f>SUMIFS($AU$134:AU1087,$AC$134:AC1087,"*")</f>
        <v>11143.683333333332</v>
      </c>
      <c r="BU1086" s="343">
        <f>SUMIFS($AU$134:AU1087,$AA$134:AA1087,"*",$AB$134:AB1087,"*")</f>
        <v>3378.0000000000045</v>
      </c>
      <c r="BV1086" s="343">
        <f>SUMIFS($AU$134:AU1087,$AA$134:AA1087,"*",$AC$134:AC1087,"*")</f>
        <v>9324.7833333333328</v>
      </c>
      <c r="BW1086" s="343">
        <f>SUMIFS($AU$134:AU1087,$AB$134:AB1087,"*",$AC$134:AC1087,"*")</f>
        <v>6014.6</v>
      </c>
      <c r="BX1086" s="343">
        <f>SUMIFS($AU1087:AU$1388,$Q1087:Q$1388,"F")</f>
        <v>8274.1333333333332</v>
      </c>
      <c r="BY1086" s="343">
        <f>SUMIFS($AU1087:AU$1388,$Q1087:Q$1388,"S")</f>
        <v>4907.2000000000016</v>
      </c>
      <c r="BZ1086" s="343">
        <f>SUMIFS($AU1087:AU$1388,$Q1087:Q$1388,"O")</f>
        <v>-941.8146666668024</v>
      </c>
    </row>
    <row r="1087" spans="1:78" ht="15.75" customHeight="1">
      <c r="A1087" s="221" t="s">
        <v>3942</v>
      </c>
      <c r="B1087" s="177">
        <v>45203</v>
      </c>
      <c r="C1087" s="178" t="s">
        <v>3974</v>
      </c>
      <c r="D1087" s="178" t="s">
        <v>151</v>
      </c>
      <c r="E1087" s="227"/>
      <c r="F1087" s="180"/>
      <c r="G1087" s="281" t="s">
        <v>3924</v>
      </c>
      <c r="H1087" s="182"/>
      <c r="I1087" s="182"/>
      <c r="J1087" s="182"/>
      <c r="K1087" s="183"/>
      <c r="L1087" s="182">
        <v>1</v>
      </c>
      <c r="M1087" s="182"/>
      <c r="N1087" s="182"/>
      <c r="O1087" s="183" t="s">
        <v>3618</v>
      </c>
      <c r="P1087" s="183" t="s">
        <v>2260</v>
      </c>
      <c r="Q1087" s="183" t="s">
        <v>684</v>
      </c>
      <c r="R1087" s="183">
        <v>1</v>
      </c>
      <c r="S1087" s="183">
        <v>0</v>
      </c>
      <c r="T1087" s="183">
        <v>1</v>
      </c>
      <c r="U1087" s="183" t="s">
        <v>22</v>
      </c>
      <c r="V1087" s="183"/>
      <c r="W1087" s="183"/>
      <c r="X1087" s="183"/>
      <c r="Y1087" s="184">
        <f>IF(ISBLANK(O1087),"",(IF(O1087=UPPER("IB"),0.005,0.01)))</f>
        <v>0.01</v>
      </c>
      <c r="Z1087" s="185">
        <f>IF(ISBLANK(O1087),"",IF(O1087="IB",8.63*200,IF(O1087="IR",16*100,IF(O1087="YT",20*100,IF(O1087="YT-XT",24*200,IF(O1087="TED",80*100,IF(O1087="XT",36*200)))))))</f>
        <v>7200</v>
      </c>
      <c r="AA1087" s="409" t="s">
        <v>3980</v>
      </c>
      <c r="AB1087" s="185"/>
      <c r="AC1087" s="185"/>
      <c r="AD1087" s="649">
        <v>95.385000000000005</v>
      </c>
      <c r="AE1087" s="182"/>
      <c r="AF1087" s="332"/>
      <c r="AG1087" s="182"/>
      <c r="AH1087" s="182"/>
      <c r="AI1087" s="182"/>
      <c r="AJ1087" s="640"/>
      <c r="AK1087" s="182"/>
      <c r="AL1087" s="496">
        <f t="shared" si="323"/>
        <v>-216</v>
      </c>
      <c r="AM1087" s="496">
        <f>AL1087*(R1087-S1087)</f>
        <v>-216</v>
      </c>
      <c r="AN1087" s="626"/>
      <c r="AO1087" s="182"/>
      <c r="AP1087" s="182" t="s">
        <v>1843</v>
      </c>
      <c r="AQ1087" s="332" t="str">
        <f>UPPER(RIGHT(Journal_Live[[#This Row],[DURATION ]]))</f>
        <v>M</v>
      </c>
      <c r="AR1087" s="182" t="s">
        <v>682</v>
      </c>
      <c r="AS1087" s="189">
        <v>95.385000000000005</v>
      </c>
      <c r="AT1087" s="189">
        <f>IF(ISBLANK(AS1087),,IF(U1087="S",AD1087-AS1087,AS1087-AD1087))</f>
        <v>0</v>
      </c>
      <c r="AU1087" s="187">
        <f>AV1087*R1087</f>
        <v>0</v>
      </c>
      <c r="AV1087" s="190">
        <f>IF(ISBLANK(AS1087),,(AT1087*Z1087))</f>
        <v>0</v>
      </c>
      <c r="AW1087" s="191" t="s">
        <v>115</v>
      </c>
      <c r="AX1087" s="407"/>
      <c r="AY1087" s="407"/>
      <c r="AZ1087" s="407"/>
      <c r="BA1087" s="407"/>
      <c r="BB1087" s="407"/>
      <c r="BC1087" s="407"/>
      <c r="BD1087" s="407"/>
      <c r="BE1087" s="407"/>
      <c r="BF1087" s="422"/>
      <c r="BG1087" s="391">
        <f>SUM($AV$4:AV1087)</f>
        <v>4862.5571453985949</v>
      </c>
      <c r="BH1087" s="392">
        <f>SUM($AU$134:AU1087)</f>
        <v>21119.13200000034</v>
      </c>
      <c r="BI1087" s="318">
        <f>SUMIFS($AU$134:AU1088,$Q$134:Q1088,"F")</f>
        <v>6166.5333333333328</v>
      </c>
      <c r="BJ1087" s="318">
        <f>SUMIFS($AU$134:AU1088,$Q$134:Q1088,"S")</f>
        <v>15764.441999999999</v>
      </c>
      <c r="BK1087" s="343">
        <f>SUMIFS($AU$134:AU1088,$P$134:P1088,"W")</f>
        <v>13251.741999999942</v>
      </c>
      <c r="BL1087" s="343">
        <f>SUMIFS($AU$134:AU1088,$P$134:P1088,"R")</f>
        <v>8468.6733333333359</v>
      </c>
      <c r="BM1087" s="343">
        <f>SUMIFS($AU$134:AU1088,$AQ$134:AQ1088,"M")</f>
        <v>2849.4000000000592</v>
      </c>
      <c r="BN1087" s="343">
        <f>SUMIFS($AU$134:AU1088,$AQ$134:AQ1088,"H")</f>
        <v>7758.1420000000153</v>
      </c>
      <c r="BO1087" s="343">
        <f>SUMIFS($AU$134:AU1088,$AQ$134:AQ1088,"D")</f>
        <v>5642.2366666667649</v>
      </c>
      <c r="BP1087" s="343">
        <f>SUMIFS($AU$134:AU1090,$AQ$134:AQ1090,"W")</f>
        <v>3122.7233333332406</v>
      </c>
      <c r="BQ1087" s="343">
        <f>SUMIFS($AU$134:AU1088,$Q$134:Q1088,"O")</f>
        <v>-707.04333333299599</v>
      </c>
      <c r="BR1087" s="343">
        <f>SUMIFS($AU$134:AU1088,$AA$134:AA1088,"*")</f>
        <v>19217.475333333401</v>
      </c>
      <c r="BS1087" s="343">
        <f>SUMIFS($AU$134:AU1088,$AB$134:AB1088,"*")</f>
        <v>5228.1566666669405</v>
      </c>
      <c r="BT1087" s="343">
        <f>SUMIFS($AU$134:AU1088,$AC$134:AC1088,"*")</f>
        <v>11143.683333333332</v>
      </c>
      <c r="BU1087" s="343">
        <f>SUMIFS($AU$134:AU1088,$AA$134:AA1088,"*",$AB$134:AB1088,"*")</f>
        <v>3378.0000000000045</v>
      </c>
      <c r="BV1087" s="343">
        <f>SUMIFS($AU$134:AU1088,$AA$134:AA1088,"*",$AC$134:AC1088,"*")</f>
        <v>9324.7833333333328</v>
      </c>
      <c r="BW1087" s="343">
        <f>SUMIFS($AU$134:AU1088,$AB$134:AB1088,"*",$AC$134:AC1088,"*")</f>
        <v>6014.6</v>
      </c>
      <c r="BX1087" s="343">
        <f>SUMIFS($AU1088:AU$1388,$Q1088:Q$1388,"F")</f>
        <v>8274.1333333333332</v>
      </c>
      <c r="BY1087" s="343">
        <f>SUMIFS($AU1088:AU$1388,$Q1088:Q$1388,"S")</f>
        <v>4907.2000000000016</v>
      </c>
      <c r="BZ1087" s="343">
        <f>SUMIFS($AU1088:AU$1388,$Q1088:Q$1388,"O")</f>
        <v>-941.8146666668024</v>
      </c>
    </row>
    <row r="1088" spans="1:78" ht="15.75" customHeight="1">
      <c r="A1088" s="221" t="s">
        <v>3942</v>
      </c>
      <c r="B1088" s="177">
        <v>45203</v>
      </c>
      <c r="C1088" s="178" t="s">
        <v>3981</v>
      </c>
      <c r="D1088" s="178" t="s">
        <v>151</v>
      </c>
      <c r="E1088" s="227"/>
      <c r="F1088" s="180"/>
      <c r="G1088" s="181" t="s">
        <v>136</v>
      </c>
      <c r="H1088" s="182"/>
      <c r="I1088" s="182"/>
      <c r="J1088" s="182"/>
      <c r="K1088" s="183"/>
      <c r="L1088" s="182"/>
      <c r="M1088" s="182"/>
      <c r="N1088" s="182"/>
      <c r="O1088" s="183"/>
      <c r="P1088" s="183"/>
      <c r="Q1088" s="183"/>
      <c r="R1088" s="183"/>
      <c r="S1088" s="183"/>
      <c r="T1088" s="183"/>
      <c r="U1088" s="183"/>
      <c r="V1088" s="183"/>
      <c r="W1088" s="183"/>
      <c r="X1088" s="183"/>
      <c r="Y1088" s="184"/>
      <c r="Z1088" s="185"/>
      <c r="AA1088" s="185"/>
      <c r="AB1088" s="185"/>
      <c r="AC1088" s="185"/>
      <c r="AD1088" s="649"/>
      <c r="AE1088" s="182"/>
      <c r="AF1088" s="332"/>
      <c r="AG1088" s="182"/>
      <c r="AH1088" s="182"/>
      <c r="AI1088" s="182"/>
      <c r="AJ1088" s="640"/>
      <c r="AK1088" s="182"/>
      <c r="AL1088" s="496"/>
      <c r="AM1088" s="496"/>
      <c r="AN1088" s="626"/>
      <c r="AO1088" s="182"/>
      <c r="AP1088" s="182"/>
      <c r="AQ1088" s="332" t="str">
        <f>UPPER(RIGHT(Journal_Live[[#This Row],[DURATION ]]))</f>
        <v/>
      </c>
      <c r="AR1088" s="182"/>
      <c r="AS1088" s="189"/>
      <c r="AT1088" s="189"/>
      <c r="AU1088" s="187"/>
      <c r="AV1088" s="190"/>
      <c r="AW1088" s="191"/>
      <c r="AX1088" s="407"/>
      <c r="AY1088" s="407"/>
      <c r="AZ1088" s="407"/>
      <c r="BA1088" s="407"/>
      <c r="BB1088" s="407"/>
      <c r="BC1088" s="407"/>
      <c r="BD1088" s="407"/>
      <c r="BE1088" s="407"/>
      <c r="BF1088" s="422"/>
      <c r="BG1088" s="391">
        <f>SUM($AV$4:AV1088)</f>
        <v>4862.5571453985949</v>
      </c>
      <c r="BH1088" s="392">
        <f>SUM($AU$134:AU1088)</f>
        <v>21119.13200000034</v>
      </c>
      <c r="BI1088" s="318">
        <f>SUMIFS($AU$134:AU1089,$Q$134:Q1089,"F")</f>
        <v>6166.5333333333328</v>
      </c>
      <c r="BJ1088" s="318">
        <f>SUMIFS($AU$134:AU1089,$Q$134:Q1089,"S")</f>
        <v>15764.441999999999</v>
      </c>
      <c r="BK1088" s="343">
        <f>SUMIFS($AU$134:AU1089,$P$134:P1089,"W")</f>
        <v>13251.741999999942</v>
      </c>
      <c r="BL1088" s="343">
        <f>SUMIFS($AU$134:AU1089,$P$134:P1089,"R")</f>
        <v>8468.6733333333359</v>
      </c>
      <c r="BM1088" s="343">
        <f>SUMIFS($AU$134:AU1089,$AQ$134:AQ1089,"M")</f>
        <v>2849.4000000000592</v>
      </c>
      <c r="BN1088" s="343">
        <f>SUMIFS($AU$134:AU1089,$AQ$134:AQ1089,"H")</f>
        <v>7758.1420000000153</v>
      </c>
      <c r="BO1088" s="343">
        <f>SUMIFS($AU$134:AU1089,$AQ$134:AQ1089,"D")</f>
        <v>5642.2366666667649</v>
      </c>
      <c r="BP1088" s="343">
        <f>SUMIFS($AU$134:AU1091,$AQ$134:AQ1091,"W")</f>
        <v>3122.7233333332406</v>
      </c>
      <c r="BQ1088" s="343">
        <f>SUMIFS($AU$134:AU1089,$Q$134:Q1089,"O")</f>
        <v>-707.04333333299599</v>
      </c>
      <c r="BR1088" s="343">
        <f>SUMIFS($AU$134:AU1089,$AA$134:AA1089,"*")</f>
        <v>19217.475333333401</v>
      </c>
      <c r="BS1088" s="343">
        <f>SUMIFS($AU$134:AU1089,$AB$134:AB1089,"*")</f>
        <v>5228.1566666669405</v>
      </c>
      <c r="BT1088" s="343">
        <f>SUMIFS($AU$134:AU1089,$AC$134:AC1089,"*")</f>
        <v>11143.683333333332</v>
      </c>
      <c r="BU1088" s="343">
        <f>SUMIFS($AU$134:AU1089,$AA$134:AA1089,"*",$AB$134:AB1089,"*")</f>
        <v>3378.0000000000045</v>
      </c>
      <c r="BV1088" s="343">
        <f>SUMIFS($AU$134:AU1089,$AA$134:AA1089,"*",$AC$134:AC1089,"*")</f>
        <v>9324.7833333333328</v>
      </c>
      <c r="BW1088" s="343">
        <f>SUMIFS($AU$134:AU1089,$AB$134:AB1089,"*",$AC$134:AC1089,"*")</f>
        <v>6014.6</v>
      </c>
      <c r="BX1088" s="343">
        <f>SUMIFS($AU1089:AU$1388,$Q1089:Q$1388,"F")</f>
        <v>8274.1333333333332</v>
      </c>
      <c r="BY1088" s="343">
        <f>SUMIFS($AU1089:AU$1388,$Q1089:Q$1388,"S")</f>
        <v>4907.2000000000016</v>
      </c>
      <c r="BZ1088" s="343">
        <f>SUMIFS($AU1089:AU$1388,$Q1089:Q$1388,"O")</f>
        <v>-941.8146666668024</v>
      </c>
    </row>
    <row r="1089" spans="1:78" ht="15.75" customHeight="1">
      <c r="A1089" s="221" t="s">
        <v>3942</v>
      </c>
      <c r="B1089" s="177">
        <v>45203</v>
      </c>
      <c r="C1089" s="178" t="s">
        <v>442</v>
      </c>
      <c r="D1089" s="178" t="s">
        <v>151</v>
      </c>
      <c r="E1089" s="227" t="s">
        <v>3982</v>
      </c>
      <c r="F1089" s="180"/>
      <c r="G1089" s="181"/>
      <c r="H1089" s="182"/>
      <c r="I1089" s="182"/>
      <c r="J1089" s="182"/>
      <c r="K1089" s="183"/>
      <c r="L1089" s="182"/>
      <c r="M1089" s="182"/>
      <c r="N1089" s="182"/>
      <c r="O1089" s="183"/>
      <c r="P1089" s="183"/>
      <c r="Q1089" s="183"/>
      <c r="R1089" s="183"/>
      <c r="S1089" s="183"/>
      <c r="T1089" s="183"/>
      <c r="U1089" s="183"/>
      <c r="V1089" s="183"/>
      <c r="W1089" s="183"/>
      <c r="X1089" s="183"/>
      <c r="Y1089" s="183"/>
      <c r="Z1089" s="185" t="str">
        <f>IF(ISBLANK(O1089),"",IF(O1089="IB",8.63*200,IF(O1089="IR",16*100,IF(O1089="YT",20*100,IF(O1089="YT-XT",24*200,IF(O1089="TED",80*100))))))</f>
        <v/>
      </c>
      <c r="AA1089" s="185"/>
      <c r="AB1089" s="185"/>
      <c r="AC1089" s="185"/>
      <c r="AD1089" s="649"/>
      <c r="AE1089" s="182"/>
      <c r="AF1089" s="332"/>
      <c r="AG1089" s="182"/>
      <c r="AH1089" s="182"/>
      <c r="AI1089" s="182"/>
      <c r="AJ1089" s="640"/>
      <c r="AK1089" s="182"/>
      <c r="AL1089" s="496"/>
      <c r="AM1089" s="496"/>
      <c r="AN1089" s="626"/>
      <c r="AO1089" s="182"/>
      <c r="AP1089" s="182"/>
      <c r="AQ1089" s="332" t="str">
        <f>UPPER(RIGHT(Journal_Live[[#This Row],[DURATION ]]))</f>
        <v/>
      </c>
      <c r="AR1089" s="182"/>
      <c r="AS1089" s="189"/>
      <c r="AT1089" s="189"/>
      <c r="AU1089" s="187"/>
      <c r="AV1089" s="190"/>
      <c r="AW1089" s="191"/>
      <c r="AX1089" s="407" t="s">
        <v>3983</v>
      </c>
      <c r="AY1089" s="407"/>
      <c r="AZ1089" s="407"/>
      <c r="BA1089" s="407"/>
      <c r="BB1089" s="407"/>
      <c r="BC1089" s="407"/>
      <c r="BD1089" s="407"/>
      <c r="BE1089" s="407"/>
      <c r="BF1089" s="422"/>
      <c r="BG1089" s="391">
        <f>SUM($AV$4:AV1089)</f>
        <v>4862.5571453985949</v>
      </c>
      <c r="BH1089" s="392">
        <f>SUM($AU$134:AU1089)</f>
        <v>21119.13200000034</v>
      </c>
      <c r="BI1089" s="318">
        <f>SUMIFS($AU$134:AU1090,$Q$134:Q1090,"F")</f>
        <v>6166.5333333333328</v>
      </c>
      <c r="BJ1089" s="318">
        <f>SUMIFS($AU$134:AU1090,$Q$134:Q1090,"S")</f>
        <v>15764.441999999999</v>
      </c>
      <c r="BK1089" s="343">
        <f>SUMIFS($AU$134:AU1090,$P$134:P1090,"W")</f>
        <v>13251.741999999942</v>
      </c>
      <c r="BL1089" s="343">
        <f>SUMIFS($AU$134:AU1090,$P$134:P1090,"R")</f>
        <v>8468.6733333333359</v>
      </c>
      <c r="BM1089" s="343">
        <f>SUMIFS($AU$134:AU1090,$AQ$134:AQ1090,"M")</f>
        <v>2849.4000000000592</v>
      </c>
      <c r="BN1089" s="343">
        <f>SUMIFS($AU$134:AU1090,$AQ$134:AQ1090,"H")</f>
        <v>7758.1420000000153</v>
      </c>
      <c r="BO1089" s="343">
        <f>SUMIFS($AU$134:AU1090,$AQ$134:AQ1090,"D")</f>
        <v>5642.2366666667649</v>
      </c>
      <c r="BP1089" s="343">
        <f>SUMIFS($AU$134:AU1092,$AQ$134:AQ1092,"W")</f>
        <v>3122.7233333332406</v>
      </c>
      <c r="BQ1089" s="343">
        <f>SUMIFS($AU$134:AU1090,$Q$134:Q1090,"O")</f>
        <v>-707.04333333299599</v>
      </c>
      <c r="BR1089" s="343">
        <f>SUMIFS($AU$134:AU1090,$AA$134:AA1090,"*")</f>
        <v>19217.475333333401</v>
      </c>
      <c r="BS1089" s="343">
        <f>SUMIFS($AU$134:AU1090,$AB$134:AB1090,"*")</f>
        <v>5228.1566666669405</v>
      </c>
      <c r="BT1089" s="343">
        <f>SUMIFS($AU$134:AU1090,$AC$134:AC1090,"*")</f>
        <v>11143.683333333332</v>
      </c>
      <c r="BU1089" s="343">
        <f>SUMIFS($AU$134:AU1090,$AA$134:AA1090,"*",$AB$134:AB1090,"*")</f>
        <v>3378.0000000000045</v>
      </c>
      <c r="BV1089" s="343">
        <f>SUMIFS($AU$134:AU1090,$AA$134:AA1090,"*",$AC$134:AC1090,"*")</f>
        <v>9324.7833333333328</v>
      </c>
      <c r="BW1089" s="343">
        <f>SUMIFS($AU$134:AU1090,$AB$134:AB1090,"*",$AC$134:AC1090,"*")</f>
        <v>6014.6</v>
      </c>
      <c r="BX1089" s="343">
        <f>SUMIFS($AU1090:AU$1388,$Q1090:Q$1388,"F")</f>
        <v>8274.1333333333332</v>
      </c>
      <c r="BY1089" s="343">
        <f>SUMIFS($AU1090:AU$1388,$Q1090:Q$1388,"S")</f>
        <v>4907.2000000000016</v>
      </c>
      <c r="BZ1089" s="343">
        <f>SUMIFS($AU1090:AU$1388,$Q1090:Q$1388,"O")</f>
        <v>-941.8146666668024</v>
      </c>
    </row>
    <row r="1090" spans="1:78" ht="15.75" customHeight="1">
      <c r="A1090" s="221" t="s">
        <v>3942</v>
      </c>
      <c r="B1090" s="177">
        <v>45203</v>
      </c>
      <c r="C1090" s="178" t="s">
        <v>1187</v>
      </c>
      <c r="D1090" s="178" t="s">
        <v>151</v>
      </c>
      <c r="E1090" s="227" t="s">
        <v>3984</v>
      </c>
      <c r="F1090" s="180"/>
      <c r="G1090" s="181"/>
      <c r="H1090" s="182"/>
      <c r="I1090" s="182"/>
      <c r="J1090" s="182"/>
      <c r="K1090" s="183"/>
      <c r="L1090" s="182"/>
      <c r="M1090" s="182"/>
      <c r="N1090" s="182"/>
      <c r="O1090" s="183"/>
      <c r="P1090" s="183"/>
      <c r="Q1090" s="183"/>
      <c r="R1090" s="183"/>
      <c r="S1090" s="183"/>
      <c r="T1090" s="183"/>
      <c r="U1090" s="183"/>
      <c r="V1090" s="183"/>
      <c r="W1090" s="183"/>
      <c r="X1090" s="183"/>
      <c r="Y1090" s="183"/>
      <c r="Z1090" s="185" t="str">
        <f>IF(ISBLANK(O1090),"",IF(O1090="IB",8.63*200,IF(O1090="IR",16*100,IF(O1090="YT",20*100,IF(O1090="YT-XT",24*200,IF(O1090="TED",80*100))))))</f>
        <v/>
      </c>
      <c r="AA1090" s="185"/>
      <c r="AB1090" s="185"/>
      <c r="AC1090" s="185"/>
      <c r="AD1090" s="649"/>
      <c r="AE1090" s="182"/>
      <c r="AF1090" s="332"/>
      <c r="AG1090" s="182"/>
      <c r="AH1090" s="182"/>
      <c r="AI1090" s="182"/>
      <c r="AJ1090" s="640"/>
      <c r="AK1090" s="182"/>
      <c r="AL1090" s="496"/>
      <c r="AM1090" s="496"/>
      <c r="AN1090" s="626"/>
      <c r="AO1090" s="182"/>
      <c r="AP1090" s="182"/>
      <c r="AQ1090" s="332" t="str">
        <f>UPPER(RIGHT(Journal_Live[[#This Row],[DURATION ]]))</f>
        <v/>
      </c>
      <c r="AR1090" s="182"/>
      <c r="AS1090" s="189"/>
      <c r="AT1090" s="189"/>
      <c r="AU1090" s="187"/>
      <c r="AV1090" s="190"/>
      <c r="AW1090" s="191"/>
      <c r="AX1090" s="407"/>
      <c r="AY1090" s="407"/>
      <c r="AZ1090" s="407"/>
      <c r="BA1090" s="407"/>
      <c r="BB1090" s="407"/>
      <c r="BC1090" s="407"/>
      <c r="BD1090" s="407"/>
      <c r="BE1090" s="407"/>
      <c r="BF1090" s="422"/>
      <c r="BG1090" s="391">
        <f>SUM($AV$4:AV1090)</f>
        <v>4862.5571453985949</v>
      </c>
      <c r="BH1090" s="392">
        <f>SUM($AU$134:AU1090)</f>
        <v>21119.13200000034</v>
      </c>
      <c r="BI1090" s="318">
        <f>SUMIFS($AU$134:AU1091,$Q$134:Q1091,"F")</f>
        <v>6166.5333333333328</v>
      </c>
      <c r="BJ1090" s="318">
        <f>SUMIFS($AU$134:AU1091,$Q$134:Q1091,"S")</f>
        <v>15764.441999999999</v>
      </c>
      <c r="BK1090" s="343">
        <f>SUMIFS($AU$134:AU1091,$P$134:P1091,"W")</f>
        <v>13251.741999999942</v>
      </c>
      <c r="BL1090" s="343">
        <f>SUMIFS($AU$134:AU1091,$P$134:P1091,"R")</f>
        <v>8468.6733333333359</v>
      </c>
      <c r="BM1090" s="343">
        <f>SUMIFS($AU$134:AU1091,$AQ$134:AQ1091,"M")</f>
        <v>2849.4000000000592</v>
      </c>
      <c r="BN1090" s="343">
        <f>SUMIFS($AU$134:AU1091,$AQ$134:AQ1091,"H")</f>
        <v>7758.1420000000153</v>
      </c>
      <c r="BO1090" s="343">
        <f>SUMIFS($AU$134:AU1091,$AQ$134:AQ1091,"D")</f>
        <v>5642.2366666667649</v>
      </c>
      <c r="BP1090" s="343">
        <f>SUMIFS($AU$134:AU1093,$AQ$134:AQ1093,"W")</f>
        <v>3122.7233333332406</v>
      </c>
      <c r="BQ1090" s="343">
        <f>SUMIFS($AU$134:AU1091,$Q$134:Q1091,"O")</f>
        <v>-707.04333333299599</v>
      </c>
      <c r="BR1090" s="343">
        <f>SUMIFS($AU$134:AU1091,$AA$134:AA1091,"*")</f>
        <v>19217.475333333401</v>
      </c>
      <c r="BS1090" s="343">
        <f>SUMIFS($AU$134:AU1091,$AB$134:AB1091,"*")</f>
        <v>5228.1566666669405</v>
      </c>
      <c r="BT1090" s="343">
        <f>SUMIFS($AU$134:AU1091,$AC$134:AC1091,"*")</f>
        <v>11143.683333333332</v>
      </c>
      <c r="BU1090" s="343">
        <f>SUMIFS($AU$134:AU1091,$AA$134:AA1091,"*",$AB$134:AB1091,"*")</f>
        <v>3378.0000000000045</v>
      </c>
      <c r="BV1090" s="343">
        <f>SUMIFS($AU$134:AU1091,$AA$134:AA1091,"*",$AC$134:AC1091,"*")</f>
        <v>9324.7833333333328</v>
      </c>
      <c r="BW1090" s="343">
        <f>SUMIFS($AU$134:AU1091,$AB$134:AB1091,"*",$AC$134:AC1091,"*")</f>
        <v>6014.6</v>
      </c>
      <c r="BX1090" s="343">
        <f>SUMIFS($AU1091:AU$1388,$Q1091:Q$1388,"F")</f>
        <v>8274.1333333333332</v>
      </c>
      <c r="BY1090" s="343">
        <f>SUMIFS($AU1091:AU$1388,$Q1091:Q$1388,"S")</f>
        <v>4907.2000000000016</v>
      </c>
      <c r="BZ1090" s="343">
        <f>SUMIFS($AU1091:AU$1388,$Q1091:Q$1388,"O")</f>
        <v>-941.8146666668024</v>
      </c>
    </row>
    <row r="1091" spans="1:78" ht="15.75" customHeight="1">
      <c r="A1091" s="221" t="s">
        <v>3942</v>
      </c>
      <c r="B1091" s="177">
        <v>45203</v>
      </c>
      <c r="C1091" s="178" t="s">
        <v>877</v>
      </c>
      <c r="D1091" s="178" t="s">
        <v>151</v>
      </c>
      <c r="E1091" s="227"/>
      <c r="F1091" s="180"/>
      <c r="G1091" s="181" t="s">
        <v>181</v>
      </c>
      <c r="H1091" s="182"/>
      <c r="I1091" s="182"/>
      <c r="J1091" s="182"/>
      <c r="K1091" s="183"/>
      <c r="L1091" s="182"/>
      <c r="M1091" s="182"/>
      <c r="N1091" s="182"/>
      <c r="O1091" s="183"/>
      <c r="P1091" s="183"/>
      <c r="Q1091" s="183"/>
      <c r="R1091" s="183"/>
      <c r="S1091" s="183"/>
      <c r="T1091" s="183"/>
      <c r="U1091" s="183"/>
      <c r="V1091" s="183"/>
      <c r="W1091" s="183"/>
      <c r="X1091" s="183"/>
      <c r="Y1091" s="184"/>
      <c r="Z1091" s="185"/>
      <c r="AA1091" s="185"/>
      <c r="AB1091" s="185"/>
      <c r="AC1091" s="185"/>
      <c r="AD1091" s="649"/>
      <c r="AE1091" s="182"/>
      <c r="AF1091" s="332"/>
      <c r="AG1091" s="182"/>
      <c r="AH1091" s="182"/>
      <c r="AI1091" s="182"/>
      <c r="AJ1091" s="640"/>
      <c r="AK1091" s="182"/>
      <c r="AL1091" s="496"/>
      <c r="AM1091" s="496"/>
      <c r="AN1091" s="626"/>
      <c r="AO1091" s="182"/>
      <c r="AP1091" s="182"/>
      <c r="AQ1091" s="332" t="str">
        <f>UPPER(RIGHT(Journal_Live[[#This Row],[DURATION ]]))</f>
        <v/>
      </c>
      <c r="AR1091" s="182"/>
      <c r="AS1091" s="189"/>
      <c r="AT1091" s="189"/>
      <c r="AU1091" s="187"/>
      <c r="AV1091" s="190"/>
      <c r="AW1091" s="191"/>
      <c r="AX1091" s="407"/>
      <c r="AY1091" s="407"/>
      <c r="AZ1091" s="407"/>
      <c r="BA1091" s="407"/>
      <c r="BB1091" s="407"/>
      <c r="BC1091" s="407"/>
      <c r="BD1091" s="407"/>
      <c r="BE1091" s="407"/>
      <c r="BF1091" s="422"/>
      <c r="BG1091" s="391">
        <f>SUM($AV$4:AV1091)</f>
        <v>4862.5571453985949</v>
      </c>
      <c r="BH1091" s="392">
        <f>SUM($AU$134:AU1091)</f>
        <v>21119.13200000034</v>
      </c>
      <c r="BI1091" s="318">
        <f>SUMIFS($AU$134:AU1092,$Q$134:Q1092,"F")</f>
        <v>6166.5333333333328</v>
      </c>
      <c r="BJ1091" s="318">
        <f>SUMIFS($AU$134:AU1092,$Q$134:Q1092,"S")</f>
        <v>15764.441999999999</v>
      </c>
      <c r="BK1091" s="343">
        <f>SUMIFS($AU$134:AU1092,$P$134:P1092,"W")</f>
        <v>13251.741999999942</v>
      </c>
      <c r="BL1091" s="343">
        <f>SUMIFS($AU$134:AU1092,$P$134:P1092,"R")</f>
        <v>8468.6733333333359</v>
      </c>
      <c r="BM1091" s="343">
        <f>SUMIFS($AU$134:AU1092,$AQ$134:AQ1092,"M")</f>
        <v>2849.4000000000592</v>
      </c>
      <c r="BN1091" s="343">
        <f>SUMIFS($AU$134:AU1092,$AQ$134:AQ1092,"H")</f>
        <v>7758.1420000000153</v>
      </c>
      <c r="BO1091" s="343">
        <f>SUMIFS($AU$134:AU1092,$AQ$134:AQ1092,"D")</f>
        <v>5642.2366666667649</v>
      </c>
      <c r="BP1091" s="343">
        <f>SUMIFS($AU$134:AU1094,$AQ$134:AQ1094,"W")</f>
        <v>3122.7233333332406</v>
      </c>
      <c r="BQ1091" s="343">
        <f>SUMIFS($AU$134:AU1092,$Q$134:Q1092,"O")</f>
        <v>-707.04333333299599</v>
      </c>
      <c r="BR1091" s="343">
        <f>SUMIFS($AU$134:AU1092,$AA$134:AA1092,"*")</f>
        <v>19217.475333333401</v>
      </c>
      <c r="BS1091" s="343">
        <f>SUMIFS($AU$134:AU1092,$AB$134:AB1092,"*")</f>
        <v>5228.1566666669405</v>
      </c>
      <c r="BT1091" s="343">
        <f>SUMIFS($AU$134:AU1092,$AC$134:AC1092,"*")</f>
        <v>11143.683333333332</v>
      </c>
      <c r="BU1091" s="343">
        <f>SUMIFS($AU$134:AU1092,$AA$134:AA1092,"*",$AB$134:AB1092,"*")</f>
        <v>3378.0000000000045</v>
      </c>
      <c r="BV1091" s="343">
        <f>SUMIFS($AU$134:AU1092,$AA$134:AA1092,"*",$AC$134:AC1092,"*")</f>
        <v>9324.7833333333328</v>
      </c>
      <c r="BW1091" s="343">
        <f>SUMIFS($AU$134:AU1092,$AB$134:AB1092,"*",$AC$134:AC1092,"*")</f>
        <v>6014.6</v>
      </c>
      <c r="BX1091" s="343">
        <f>SUMIFS($AU1092:AU$1388,$Q1092:Q$1388,"F")</f>
        <v>8274.1333333333332</v>
      </c>
      <c r="BY1091" s="343">
        <f>SUMIFS($AU1092:AU$1388,$Q1092:Q$1388,"S")</f>
        <v>4907.2000000000016</v>
      </c>
      <c r="BZ1091" s="343">
        <f>SUMIFS($AU1092:AU$1388,$Q1092:Q$1388,"O")</f>
        <v>-941.8146666668024</v>
      </c>
    </row>
    <row r="1092" spans="1:78" ht="15.75" customHeight="1">
      <c r="A1092" s="221" t="s">
        <v>3942</v>
      </c>
      <c r="B1092" s="177">
        <v>45204</v>
      </c>
      <c r="C1092" s="178" t="s">
        <v>3985</v>
      </c>
      <c r="D1092" s="178" t="s">
        <v>93</v>
      </c>
      <c r="E1092" s="227"/>
      <c r="F1092" s="180"/>
      <c r="G1092" s="181" t="s">
        <v>3986</v>
      </c>
      <c r="H1092" s="182"/>
      <c r="I1092" s="182"/>
      <c r="J1092" s="182"/>
      <c r="K1092" s="183"/>
      <c r="L1092" s="182"/>
      <c r="M1092" s="182"/>
      <c r="N1092" s="182"/>
      <c r="O1092" s="183"/>
      <c r="P1092" s="183"/>
      <c r="Q1092" s="183"/>
      <c r="R1092" s="183"/>
      <c r="S1092" s="183"/>
      <c r="T1092" s="183"/>
      <c r="U1092" s="183"/>
      <c r="V1092" s="183"/>
      <c r="W1092" s="183"/>
      <c r="X1092" s="183"/>
      <c r="Y1092" s="184"/>
      <c r="Z1092" s="185"/>
      <c r="AA1092" s="185"/>
      <c r="AB1092" s="473"/>
      <c r="AC1092" s="185"/>
      <c r="AD1092" s="649"/>
      <c r="AE1092" s="182"/>
      <c r="AF1092" s="332"/>
      <c r="AG1092" s="182"/>
      <c r="AH1092" s="182"/>
      <c r="AI1092" s="182"/>
      <c r="AJ1092" s="640"/>
      <c r="AK1092" s="182"/>
      <c r="AL1092" s="496">
        <f>-0.06*Z1092</f>
        <v>0</v>
      </c>
      <c r="AM1092" s="496">
        <f>AL1092*(R1092-S1092)</f>
        <v>0</v>
      </c>
      <c r="AN1092" s="626"/>
      <c r="AO1092" s="182"/>
      <c r="AP1092" s="182"/>
      <c r="AQ1092" s="332" t="str">
        <f>UPPER(RIGHT(Journal_Live[[#This Row],[DURATION ]]))</f>
        <v/>
      </c>
      <c r="AR1092" s="182"/>
      <c r="AS1092" s="189"/>
      <c r="AT1092" s="189"/>
      <c r="AU1092" s="187"/>
      <c r="AV1092" s="190"/>
      <c r="AW1092" s="191"/>
      <c r="AX1092" s="407"/>
      <c r="AY1092" s="407"/>
      <c r="AZ1092" s="407"/>
      <c r="BA1092" s="407"/>
      <c r="BB1092" s="407"/>
      <c r="BC1092" s="407"/>
      <c r="BD1092" s="407"/>
      <c r="BE1092" s="407"/>
      <c r="BF1092" s="422"/>
      <c r="BG1092" s="391">
        <f>SUM($AV$4:AV1092)</f>
        <v>4862.5571453985949</v>
      </c>
      <c r="BH1092" s="392">
        <f>SUM($AU$134:AU1092)</f>
        <v>21119.13200000034</v>
      </c>
      <c r="BI1092" s="318">
        <f>SUMIFS($AU$134:AU1093,$Q$134:Q1093,"F")</f>
        <v>6166.5333333333328</v>
      </c>
      <c r="BJ1092" s="318">
        <f>SUMIFS($AU$134:AU1093,$Q$134:Q1093,"S")</f>
        <v>15876.441999999999</v>
      </c>
      <c r="BK1092" s="343">
        <f>SUMIFS($AU$134:AU1093,$P$134:P1093,"W")</f>
        <v>13363.741999999942</v>
      </c>
      <c r="BL1092" s="343">
        <f>SUMIFS($AU$134:AU1093,$P$134:P1093,"R")</f>
        <v>8468.6733333333359</v>
      </c>
      <c r="BM1092" s="343">
        <f>SUMIFS($AU$134:AU1093,$AQ$134:AQ1093,"M")</f>
        <v>2849.4000000000592</v>
      </c>
      <c r="BN1092" s="343">
        <f>SUMIFS($AU$134:AU1093,$AQ$134:AQ1093,"H")</f>
        <v>7870.1420000000153</v>
      </c>
      <c r="BO1092" s="343">
        <f>SUMIFS($AU$134:AU1093,$AQ$134:AQ1093,"D")</f>
        <v>5642.2366666667649</v>
      </c>
      <c r="BP1092" s="343">
        <f>SUMIFS($AU$134:AU1095,$AQ$134:AQ1095,"W")</f>
        <v>3122.7233333332406</v>
      </c>
      <c r="BQ1092" s="343">
        <f>SUMIFS($AU$134:AU1093,$Q$134:Q1093,"O")</f>
        <v>-707.04333333299599</v>
      </c>
      <c r="BR1092" s="343">
        <f>SUMIFS($AU$134:AU1093,$AA$134:AA1093,"*")</f>
        <v>19329.475333333401</v>
      </c>
      <c r="BS1092" s="343">
        <f>SUMIFS($AU$134:AU1093,$AB$134:AB1093,"*")</f>
        <v>5228.1566666669405</v>
      </c>
      <c r="BT1092" s="343">
        <f>SUMIFS($AU$134:AU1093,$AC$134:AC1093,"*")</f>
        <v>11143.683333333332</v>
      </c>
      <c r="BU1092" s="343">
        <f>SUMIFS($AU$134:AU1093,$AA$134:AA1093,"*",$AB$134:AB1093,"*")</f>
        <v>3378.0000000000045</v>
      </c>
      <c r="BV1092" s="343">
        <f>SUMIFS($AU$134:AU1093,$AA$134:AA1093,"*",$AC$134:AC1093,"*")</f>
        <v>9324.7833333333328</v>
      </c>
      <c r="BW1092" s="343">
        <f>SUMIFS($AU$134:AU1093,$AB$134:AB1093,"*",$AC$134:AC1093,"*")</f>
        <v>6014.6</v>
      </c>
      <c r="BX1092" s="343">
        <f>SUMIFS($AU1093:AU$1388,$Q1093:Q$1388,"F")</f>
        <v>8274.1333333333332</v>
      </c>
      <c r="BY1092" s="343">
        <f>SUMIFS($AU1093:AU$1388,$Q1093:Q$1388,"S")</f>
        <v>4907.2000000000016</v>
      </c>
      <c r="BZ1092" s="343">
        <f>SUMIFS($AU1093:AU$1388,$Q1093:Q$1388,"O")</f>
        <v>-941.8146666668024</v>
      </c>
    </row>
    <row r="1093" spans="1:78" ht="15.75" customHeight="1">
      <c r="A1093" s="221" t="s">
        <v>3942</v>
      </c>
      <c r="B1093" s="177">
        <v>45204</v>
      </c>
      <c r="C1093" s="178" t="s">
        <v>3374</v>
      </c>
      <c r="D1093" s="178" t="s">
        <v>93</v>
      </c>
      <c r="E1093" s="227"/>
      <c r="F1093" s="180"/>
      <c r="G1093" s="484" t="s">
        <v>181</v>
      </c>
      <c r="H1093" s="182"/>
      <c r="I1093" s="182"/>
      <c r="J1093" s="182"/>
      <c r="K1093" s="183"/>
      <c r="L1093" s="182"/>
      <c r="M1093" s="182">
        <v>1</v>
      </c>
      <c r="N1093" s="182"/>
      <c r="O1093" s="183" t="s">
        <v>95</v>
      </c>
      <c r="P1093" s="183" t="s">
        <v>96</v>
      </c>
      <c r="Q1093" s="183" t="s">
        <v>97</v>
      </c>
      <c r="R1093" s="183">
        <v>14</v>
      </c>
      <c r="S1093" s="183">
        <v>0</v>
      </c>
      <c r="T1093" s="183">
        <v>7</v>
      </c>
      <c r="U1093" s="183" t="s">
        <v>22</v>
      </c>
      <c r="V1093" s="183"/>
      <c r="W1093" s="183"/>
      <c r="X1093" s="183"/>
      <c r="Y1093" s="184">
        <f>IF(ISBLANK(O1093),"",(IF(O1093=UPPER("IB"),0.005,0.01)))</f>
        <v>0.01</v>
      </c>
      <c r="Z1093" s="185">
        <f>IF(ISBLANK(O1093),"",IF(O1093="IB",8.63*200,IF(O1093="IR",16*100,IF(O1093="YT",20*100,IF(O1093="YT-XT",24*200,IF(O1093="TED",80*100))))))</f>
        <v>1600</v>
      </c>
      <c r="AA1093" s="185" t="s">
        <v>3987</v>
      </c>
      <c r="AB1093" s="185"/>
      <c r="AC1093" s="185"/>
      <c r="AD1093" s="649">
        <v>3.5000000000000003E-2</v>
      </c>
      <c r="AE1093" s="182"/>
      <c r="AF1093" s="332"/>
      <c r="AG1093" s="182"/>
      <c r="AH1093" s="182"/>
      <c r="AI1093" s="182"/>
      <c r="AJ1093" s="640"/>
      <c r="AK1093" s="182"/>
      <c r="AL1093" s="496">
        <f t="shared" si="323"/>
        <v>-48</v>
      </c>
      <c r="AM1093" s="496">
        <f>AL1093*(R1093-S1093)</f>
        <v>-672</v>
      </c>
      <c r="AN1093" s="626"/>
      <c r="AO1093" s="182"/>
      <c r="AP1093" s="182" t="s">
        <v>1017</v>
      </c>
      <c r="AQ1093" s="332" t="str">
        <f>UPPER(RIGHT(Journal_Live[[#This Row],[DURATION ]]))</f>
        <v>H</v>
      </c>
      <c r="AR1093" s="182" t="s">
        <v>3988</v>
      </c>
      <c r="AS1093" s="189">
        <v>0.04</v>
      </c>
      <c r="AT1093" s="189">
        <f>IF(ISBLANK(AS1093),,IF(U1093="S",AD1093-AS1093,AS1093-AD1093))</f>
        <v>4.9999999999999975E-3</v>
      </c>
      <c r="AU1093" s="187">
        <f>AV1093*R1093</f>
        <v>111.99999999999994</v>
      </c>
      <c r="AV1093" s="190">
        <f>IF(ISBLANK(AS1093),,(AT1093*Z1093))</f>
        <v>7.9999999999999964</v>
      </c>
      <c r="AW1093" s="191" t="s">
        <v>96</v>
      </c>
      <c r="AX1093" s="407"/>
      <c r="AY1093" s="407"/>
      <c r="AZ1093" s="407"/>
      <c r="BA1093" s="407"/>
      <c r="BB1093" s="407"/>
      <c r="BC1093" s="407"/>
      <c r="BD1093" s="407"/>
      <c r="BE1093" s="407"/>
      <c r="BF1093" s="422"/>
      <c r="BG1093" s="391">
        <f>SUM($AV$4:AV1093)</f>
        <v>4870.5571453985949</v>
      </c>
      <c r="BH1093" s="392">
        <f>SUM($AU$134:AU1093)</f>
        <v>21231.13200000034</v>
      </c>
      <c r="BI1093" s="318">
        <f>SUMIFS($AU$134:AU1094,$Q$134:Q1094,"F")</f>
        <v>6166.5333333333328</v>
      </c>
      <c r="BJ1093" s="318">
        <f>SUMIFS($AU$134:AU1094,$Q$134:Q1094,"S")</f>
        <v>15876.441999999999</v>
      </c>
      <c r="BK1093" s="343">
        <f>SUMIFS($AU$134:AU1094,$P$134:P1094,"W")</f>
        <v>13363.741999999942</v>
      </c>
      <c r="BL1093" s="343">
        <f>SUMIFS($AU$134:AU1094,$P$134:P1094,"R")</f>
        <v>8468.6733333333359</v>
      </c>
      <c r="BM1093" s="343">
        <f>SUMIFS($AU$134:AU1094,$AQ$134:AQ1094,"M")</f>
        <v>2849.4000000000592</v>
      </c>
      <c r="BN1093" s="343">
        <f>SUMIFS($AU$134:AU1094,$AQ$134:AQ1094,"H")</f>
        <v>7870.1420000000153</v>
      </c>
      <c r="BO1093" s="343">
        <f>SUMIFS($AU$134:AU1094,$AQ$134:AQ1094,"D")</f>
        <v>5642.2366666667649</v>
      </c>
      <c r="BP1093" s="343">
        <f>SUMIFS($AU$134:AU1096,$AQ$134:AQ1096,"W")</f>
        <v>3122.7233333332406</v>
      </c>
      <c r="BQ1093" s="343">
        <f>SUMIFS($AU$134:AU1094,$Q$134:Q1094,"O")</f>
        <v>-707.04333333299599</v>
      </c>
      <c r="BR1093" s="343">
        <f>SUMIFS($AU$134:AU1094,$AA$134:AA1094,"*")</f>
        <v>19329.475333333401</v>
      </c>
      <c r="BS1093" s="343">
        <f>SUMIFS($AU$134:AU1094,$AB$134:AB1094,"*")</f>
        <v>5228.1566666669405</v>
      </c>
      <c r="BT1093" s="343">
        <f>SUMIFS($AU$134:AU1094,$AC$134:AC1094,"*")</f>
        <v>11143.683333333332</v>
      </c>
      <c r="BU1093" s="343">
        <f>SUMIFS($AU$134:AU1094,$AA$134:AA1094,"*",$AB$134:AB1094,"*")</f>
        <v>3378.0000000000045</v>
      </c>
      <c r="BV1093" s="343">
        <f>SUMIFS($AU$134:AU1094,$AA$134:AA1094,"*",$AC$134:AC1094,"*")</f>
        <v>9324.7833333333328</v>
      </c>
      <c r="BW1093" s="343">
        <f>SUMIFS($AU$134:AU1094,$AB$134:AB1094,"*",$AC$134:AC1094,"*")</f>
        <v>6014.6</v>
      </c>
      <c r="BX1093" s="343">
        <f>SUMIFS($AU1094:AU$1388,$Q1094:Q$1388,"F")</f>
        <v>8274.1333333333332</v>
      </c>
      <c r="BY1093" s="343">
        <f>SUMIFS($AU1094:AU$1388,$Q1094:Q$1388,"S")</f>
        <v>4795.2000000000007</v>
      </c>
      <c r="BZ1093" s="343">
        <f>SUMIFS($AU1094:AU$1388,$Q1094:Q$1388,"O")</f>
        <v>-941.8146666668024</v>
      </c>
    </row>
    <row r="1094" spans="1:78" ht="15.75" customHeight="1">
      <c r="A1094" s="221" t="s">
        <v>3942</v>
      </c>
      <c r="B1094" s="177">
        <v>45204</v>
      </c>
      <c r="C1094" s="178" t="s">
        <v>3001</v>
      </c>
      <c r="D1094" s="178" t="s">
        <v>93</v>
      </c>
      <c r="E1094" s="227"/>
      <c r="F1094" s="180"/>
      <c r="G1094" s="181" t="s">
        <v>2016</v>
      </c>
      <c r="H1094" s="182"/>
      <c r="I1094" s="182"/>
      <c r="J1094" s="182"/>
      <c r="K1094" s="183"/>
      <c r="L1094" s="182"/>
      <c r="M1094" s="182"/>
      <c r="N1094" s="182"/>
      <c r="O1094" s="183"/>
      <c r="P1094" s="183"/>
      <c r="Q1094" s="183"/>
      <c r="R1094" s="183"/>
      <c r="S1094" s="183"/>
      <c r="T1094" s="183"/>
      <c r="U1094" s="183"/>
      <c r="V1094" s="183"/>
      <c r="W1094" s="183"/>
      <c r="X1094" s="183"/>
      <c r="Y1094" s="184"/>
      <c r="Z1094" s="185"/>
      <c r="AA1094" s="185"/>
      <c r="AB1094" s="185"/>
      <c r="AC1094" s="185"/>
      <c r="AD1094" s="649"/>
      <c r="AE1094" s="182"/>
      <c r="AF1094" s="332"/>
      <c r="AG1094" s="182"/>
      <c r="AH1094" s="182"/>
      <c r="AI1094" s="182"/>
      <c r="AJ1094" s="640"/>
      <c r="AK1094" s="182"/>
      <c r="AL1094" s="496">
        <f t="shared" si="323"/>
        <v>0</v>
      </c>
      <c r="AM1094" s="496">
        <f>AL1094*(R1094-S1094)</f>
        <v>0</v>
      </c>
      <c r="AN1094" s="626"/>
      <c r="AO1094" s="182"/>
      <c r="AP1094" s="182"/>
      <c r="AQ1094" s="332" t="str">
        <f>UPPER(RIGHT(Journal_Live[[#This Row],[DURATION ]]))</f>
        <v/>
      </c>
      <c r="AR1094" s="182"/>
      <c r="AS1094" s="189"/>
      <c r="AT1094" s="189"/>
      <c r="AU1094" s="187"/>
      <c r="AV1094" s="190"/>
      <c r="AW1094" s="191"/>
      <c r="AX1094" s="407"/>
      <c r="AY1094" s="407"/>
      <c r="AZ1094" s="407"/>
      <c r="BA1094" s="407"/>
      <c r="BB1094" s="407"/>
      <c r="BC1094" s="407"/>
      <c r="BD1094" s="407"/>
      <c r="BE1094" s="407"/>
      <c r="BF1094" s="422"/>
      <c r="BG1094" s="391">
        <f>SUM($AV$4:AV1094)</f>
        <v>4870.5571453985949</v>
      </c>
      <c r="BH1094" s="392">
        <f>SUM($AU$134:AU1094)</f>
        <v>21231.13200000034</v>
      </c>
      <c r="BI1094" s="318">
        <f>SUMIFS($AU$134:AU1095,$Q$134:Q1095,"F")</f>
        <v>6166.5333333333328</v>
      </c>
      <c r="BJ1094" s="318">
        <f>SUMIFS($AU$134:AU1095,$Q$134:Q1095,"S")</f>
        <v>15836.441999999999</v>
      </c>
      <c r="BK1094" s="343">
        <f>SUMIFS($AU$134:AU1095,$P$134:P1095,"W")</f>
        <v>13323.741999999942</v>
      </c>
      <c r="BL1094" s="343">
        <f>SUMIFS($AU$134:AU1095,$P$134:P1095,"R")</f>
        <v>8468.6733333333359</v>
      </c>
      <c r="BM1094" s="343">
        <f>SUMIFS($AU$134:AU1095,$AQ$134:AQ1095,"M")</f>
        <v>2849.4000000000592</v>
      </c>
      <c r="BN1094" s="343">
        <f>SUMIFS($AU$134:AU1095,$AQ$134:AQ1095,"H")</f>
        <v>7830.1420000000153</v>
      </c>
      <c r="BO1094" s="343">
        <f>SUMIFS($AU$134:AU1095,$AQ$134:AQ1095,"D")</f>
        <v>5642.2366666667649</v>
      </c>
      <c r="BP1094" s="343">
        <f>SUMIFS($AU$134:AU1097,$AQ$134:AQ1097,"W")</f>
        <v>3122.7233333332406</v>
      </c>
      <c r="BQ1094" s="343">
        <f>SUMIFS($AU$134:AU1095,$Q$134:Q1095,"O")</f>
        <v>-707.04333333299599</v>
      </c>
      <c r="BR1094" s="343">
        <f>SUMIFS($AU$134:AU1095,$AA$134:AA1095,"*")</f>
        <v>19289.475333333401</v>
      </c>
      <c r="BS1094" s="343">
        <f>SUMIFS($AU$134:AU1095,$AB$134:AB1095,"*")</f>
        <v>5228.1566666669405</v>
      </c>
      <c r="BT1094" s="343">
        <f>SUMIFS($AU$134:AU1095,$AC$134:AC1095,"*")</f>
        <v>11143.683333333332</v>
      </c>
      <c r="BU1094" s="343">
        <f>SUMIFS($AU$134:AU1095,$AA$134:AA1095,"*",$AB$134:AB1095,"*")</f>
        <v>3378.0000000000045</v>
      </c>
      <c r="BV1094" s="343">
        <f>SUMIFS($AU$134:AU1095,$AA$134:AA1095,"*",$AC$134:AC1095,"*")</f>
        <v>9324.7833333333328</v>
      </c>
      <c r="BW1094" s="343">
        <f>SUMIFS($AU$134:AU1095,$AB$134:AB1095,"*",$AC$134:AC1095,"*")</f>
        <v>6014.6</v>
      </c>
      <c r="BX1094" s="343">
        <f>SUMIFS($AU1095:AU$1388,$Q1095:Q$1388,"F")</f>
        <v>8274.1333333333332</v>
      </c>
      <c r="BY1094" s="343">
        <f>SUMIFS($AU1095:AU$1388,$Q1095:Q$1388,"S")</f>
        <v>4795.2000000000007</v>
      </c>
      <c r="BZ1094" s="343">
        <f>SUMIFS($AU1095:AU$1388,$Q1095:Q$1388,"O")</f>
        <v>-941.8146666668024</v>
      </c>
    </row>
    <row r="1095" spans="1:78" ht="15.75" customHeight="1">
      <c r="A1095" s="221" t="s">
        <v>3942</v>
      </c>
      <c r="B1095" s="177">
        <v>45204</v>
      </c>
      <c r="C1095" s="178" t="s">
        <v>3981</v>
      </c>
      <c r="D1095" s="178" t="s">
        <v>93</v>
      </c>
      <c r="E1095" s="227"/>
      <c r="F1095" s="180"/>
      <c r="G1095" s="484" t="s">
        <v>136</v>
      </c>
      <c r="H1095" s="182"/>
      <c r="I1095" s="182"/>
      <c r="J1095" s="182"/>
      <c r="K1095" s="183"/>
      <c r="L1095" s="182">
        <v>1</v>
      </c>
      <c r="M1095" s="182"/>
      <c r="N1095" s="182"/>
      <c r="O1095" s="183" t="s">
        <v>95</v>
      </c>
      <c r="P1095" s="183" t="s">
        <v>96</v>
      </c>
      <c r="Q1095" s="183" t="s">
        <v>97</v>
      </c>
      <c r="R1095" s="183">
        <v>7</v>
      </c>
      <c r="S1095" s="183">
        <v>7</v>
      </c>
      <c r="T1095" s="183">
        <v>7</v>
      </c>
      <c r="U1095" s="183" t="s">
        <v>22</v>
      </c>
      <c r="V1095" s="183"/>
      <c r="W1095" s="183"/>
      <c r="X1095" s="183"/>
      <c r="Y1095" s="184">
        <f>IF(ISBLANK(O1095),"",(IF(O1095=UPPER("IB"),0.005,0.01)))</f>
        <v>0.01</v>
      </c>
      <c r="Z1095" s="185">
        <f>IF(ISBLANK(O1095),"",IF(O1095="IB",8.63*200,IF(O1095="IR",16*100,IF(O1095="YT",20*100,IF(O1095="YT-XT",24*200,IF(O1095="TED",80*100))))))</f>
        <v>1600</v>
      </c>
      <c r="AA1095" s="185" t="s">
        <v>3987</v>
      </c>
      <c r="AB1095" s="185"/>
      <c r="AC1095" s="185"/>
      <c r="AD1095" s="649">
        <f>((-0.02*9)+(-0.01*5))/14</f>
        <v>-1.6428571428571428E-2</v>
      </c>
      <c r="AE1095" s="182"/>
      <c r="AF1095" s="332"/>
      <c r="AG1095" s="182"/>
      <c r="AH1095" s="182"/>
      <c r="AI1095" s="182"/>
      <c r="AJ1095" s="640"/>
      <c r="AK1095" s="182"/>
      <c r="AL1095" s="496">
        <f t="shared" ref="AL1095" si="324">-0.03*Z1095</f>
        <v>-48</v>
      </c>
      <c r="AM1095" s="496">
        <f>AL1095*(R1095-S1095)</f>
        <v>0</v>
      </c>
      <c r="AN1095" s="626"/>
      <c r="AO1095" s="182"/>
      <c r="AP1095" s="182" t="s">
        <v>1800</v>
      </c>
      <c r="AQ1095" s="332" t="str">
        <f>UPPER(RIGHT(Journal_Live[[#This Row],[DURATION ]]))</f>
        <v>H</v>
      </c>
      <c r="AR1095" s="182"/>
      <c r="AS1095" s="189">
        <f>((-0.02*7))/7</f>
        <v>-0.02</v>
      </c>
      <c r="AT1095" s="189">
        <f>IF(ISBLANK(AS1095),,IF(U1095="S",AD1095-AS1095,AS1095-AD1095))</f>
        <v>-3.5714285714285726E-3</v>
      </c>
      <c r="AU1095" s="187">
        <f>AV1095*R1095</f>
        <v>-40.000000000000014</v>
      </c>
      <c r="AV1095" s="190">
        <f>IF(ISBLANK(AS1095),,(AT1095*Z1095))</f>
        <v>-5.7142857142857162</v>
      </c>
      <c r="AW1095" s="191" t="s">
        <v>229</v>
      </c>
      <c r="AX1095" s="407"/>
      <c r="AY1095" s="407"/>
      <c r="AZ1095" s="407"/>
      <c r="BA1095" s="407"/>
      <c r="BB1095" s="407"/>
      <c r="BC1095" s="407"/>
      <c r="BD1095" s="407"/>
      <c r="BE1095" s="407"/>
      <c r="BF1095" s="422"/>
      <c r="BG1095" s="391"/>
      <c r="BH1095" s="392">
        <f>SUM($AU$134:AU1095)</f>
        <v>21191.13200000034</v>
      </c>
      <c r="BI1095" s="318">
        <f>SUMIFS($AU$134:AU1096,$Q$134:Q1096,"F")</f>
        <v>6166.5333333333328</v>
      </c>
      <c r="BJ1095" s="318">
        <f>SUMIFS($AU$134:AU1096,$Q$134:Q1096,"S")</f>
        <v>15860.441999999999</v>
      </c>
      <c r="BK1095" s="343">
        <f>SUMIFS($AU$134:AU1096,$P$134:P1096,"W")</f>
        <v>13347.741999999942</v>
      </c>
      <c r="BL1095" s="343">
        <f>SUMIFS($AU$134:AU1096,$P$134:P1096,"R")</f>
        <v>8468.6733333333359</v>
      </c>
      <c r="BM1095" s="343">
        <f>SUMIFS($AU$134:AU1096,$AQ$134:AQ1096,"M")</f>
        <v>2849.4000000000592</v>
      </c>
      <c r="BN1095" s="343">
        <f>SUMIFS($AU$134:AU1096,$AQ$134:AQ1096,"H")</f>
        <v>7830.1420000000153</v>
      </c>
      <c r="BO1095" s="343">
        <f>SUMIFS($AU$134:AU1096,$AQ$134:AQ1096,"D")</f>
        <v>5666.2366666667649</v>
      </c>
      <c r="BP1095" s="343">
        <f>SUMIFS($AU$134:AU1098,$AQ$134:AQ1098,"W")</f>
        <v>3122.7233333332406</v>
      </c>
      <c r="BQ1095" s="343">
        <f>SUMIFS($AU$134:AU1096,$Q$134:Q1096,"O")</f>
        <v>-707.04333333299599</v>
      </c>
      <c r="BR1095" s="343">
        <f>SUMIFS($AU$134:AU1096,$AA$134:AA1096,"*")</f>
        <v>19313.475333333401</v>
      </c>
      <c r="BS1095" s="343">
        <f>SUMIFS($AU$134:AU1096,$AB$134:AB1096,"*")</f>
        <v>5228.1566666669405</v>
      </c>
      <c r="BT1095" s="343">
        <f>SUMIFS($AU$134:AU1096,$AC$134:AC1096,"*")</f>
        <v>11143.683333333332</v>
      </c>
      <c r="BU1095" s="343">
        <f>SUMIFS($AU$134:AU1096,$AA$134:AA1096,"*",$AB$134:AB1096,"*")</f>
        <v>3378.0000000000045</v>
      </c>
      <c r="BV1095" s="343">
        <f>SUMIFS($AU$134:AU1096,$AA$134:AA1096,"*",$AC$134:AC1096,"*")</f>
        <v>9324.7833333333328</v>
      </c>
      <c r="BW1095" s="343">
        <f>SUMIFS($AU$134:AU1096,$AB$134:AB1096,"*",$AC$134:AC1096,"*")</f>
        <v>6014.6</v>
      </c>
      <c r="BX1095" s="343">
        <f>SUMIFS($AU1096:AU$1388,$Q1096:Q$1388,"F")</f>
        <v>8274.1333333333332</v>
      </c>
      <c r="BY1095" s="343">
        <f>SUMIFS($AU1096:AU$1388,$Q1096:Q$1388,"S")</f>
        <v>4835.2000000000007</v>
      </c>
      <c r="BZ1095" s="343">
        <f>SUMIFS($AU1096:AU$1388,$Q1096:Q$1388,"O")</f>
        <v>-941.8146666668024</v>
      </c>
    </row>
    <row r="1096" spans="1:78" ht="15.75" customHeight="1">
      <c r="A1096" s="221" t="s">
        <v>3942</v>
      </c>
      <c r="B1096" s="177">
        <v>45204</v>
      </c>
      <c r="C1096" s="178" t="s">
        <v>3989</v>
      </c>
      <c r="D1096" s="178" t="s">
        <v>93</v>
      </c>
      <c r="E1096" s="227"/>
      <c r="F1096" s="180"/>
      <c r="G1096" s="281" t="s">
        <v>2016</v>
      </c>
      <c r="H1096" s="182"/>
      <c r="I1096" s="182"/>
      <c r="J1096" s="182"/>
      <c r="K1096" s="183"/>
      <c r="L1096" s="182">
        <v>1</v>
      </c>
      <c r="M1096" s="182"/>
      <c r="N1096" s="182"/>
      <c r="O1096" s="183" t="s">
        <v>95</v>
      </c>
      <c r="P1096" s="183" t="s">
        <v>96</v>
      </c>
      <c r="Q1096" s="183" t="s">
        <v>97</v>
      </c>
      <c r="R1096" s="183">
        <v>3</v>
      </c>
      <c r="S1096" s="183">
        <v>0</v>
      </c>
      <c r="T1096" s="183">
        <v>3</v>
      </c>
      <c r="U1096" s="183" t="s">
        <v>22</v>
      </c>
      <c r="V1096" s="183"/>
      <c r="W1096" s="183"/>
      <c r="X1096" s="183"/>
      <c r="Y1096" s="184">
        <f>IF(ISBLANK(O1096),"",(IF(O1096=UPPER("IB"),0.005,0.01)))</f>
        <v>0.01</v>
      </c>
      <c r="Z1096" s="185">
        <f>IF(ISBLANK(O1096),"",IF(O1096="IB",8.63*200,IF(O1096="IR",16*100,IF(O1096="YT",20*100,IF(O1096="YT-XT",24*200,IF(O1096="TED",80*100))))))</f>
        <v>1600</v>
      </c>
      <c r="AA1096" s="185" t="s">
        <v>99</v>
      </c>
      <c r="AB1096" s="185"/>
      <c r="AC1096" s="185"/>
      <c r="AD1096" s="649">
        <v>-7.4999999999999997E-2</v>
      </c>
      <c r="AE1096" s="182"/>
      <c r="AF1096" s="332"/>
      <c r="AG1096" s="182"/>
      <c r="AH1096" s="182"/>
      <c r="AI1096" s="182"/>
      <c r="AJ1096" s="640"/>
      <c r="AK1096" s="182"/>
      <c r="AL1096" s="496">
        <f t="shared" ref="AL1096" si="325">-0.03*Z1096</f>
        <v>-48</v>
      </c>
      <c r="AM1096" s="496">
        <f>AL1096*(R1096-S1096)</f>
        <v>-144</v>
      </c>
      <c r="AN1096" s="626"/>
      <c r="AO1096" s="182"/>
      <c r="AP1096" s="182" t="s">
        <v>770</v>
      </c>
      <c r="AQ1096" s="332" t="str">
        <f>UPPER(RIGHT(Journal_Live[[#This Row],[DURATION ]]))</f>
        <v>D</v>
      </c>
      <c r="AR1096" s="182" t="s">
        <v>682</v>
      </c>
      <c r="AS1096" s="189">
        <v>-7.0000000000000007E-2</v>
      </c>
      <c r="AT1096" s="189">
        <f>IF(ISBLANK(AS1096),,IF(U1096="S",AD1096-AS1096,AS1096-AD1096))</f>
        <v>4.9999999999999906E-3</v>
      </c>
      <c r="AU1096" s="187">
        <f>AV1096*R1096</f>
        <v>23.999999999999954</v>
      </c>
      <c r="AV1096" s="190">
        <f>IF(ISBLANK(AS1096),,(AT1096*Z1096))</f>
        <v>7.9999999999999849</v>
      </c>
      <c r="AW1096" s="191" t="s">
        <v>96</v>
      </c>
      <c r="AX1096" s="407"/>
      <c r="AY1096" s="407"/>
      <c r="AZ1096" s="407"/>
      <c r="BA1096" s="407"/>
      <c r="BB1096" s="407"/>
      <c r="BC1096" s="407"/>
      <c r="BD1096" s="407"/>
      <c r="BE1096" s="407"/>
      <c r="BF1096" s="422"/>
      <c r="BG1096" s="391">
        <f>SUM($AV$4:AV1096)</f>
        <v>4872.8428596843096</v>
      </c>
      <c r="BH1096" s="392">
        <f>SUM($AU$134:AU1096)</f>
        <v>21215.13200000034</v>
      </c>
      <c r="BI1096" s="318">
        <f>SUMIFS($AU$134:AU1097,$Q$134:Q1097,"F")</f>
        <v>6166.5333333333328</v>
      </c>
      <c r="BJ1096" s="318">
        <f>SUMIFS($AU$134:AU1097,$Q$134:Q1097,"S")</f>
        <v>15871.642</v>
      </c>
      <c r="BK1096" s="343">
        <f>SUMIFS($AU$134:AU1097,$P$134:P1097,"W")</f>
        <v>13358.941999999943</v>
      </c>
      <c r="BL1096" s="343">
        <f>SUMIFS($AU$134:AU1097,$P$134:P1097,"R")</f>
        <v>8468.6733333333359</v>
      </c>
      <c r="BM1096" s="343">
        <f>SUMIFS($AU$134:AU1097,$AQ$134:AQ1097,"M")</f>
        <v>2849.4000000000592</v>
      </c>
      <c r="BN1096" s="343">
        <f>SUMIFS($AU$134:AU1097,$AQ$134:AQ1097,"H")</f>
        <v>7841.3420000000151</v>
      </c>
      <c r="BO1096" s="343">
        <f>SUMIFS($AU$134:AU1097,$AQ$134:AQ1097,"D")</f>
        <v>5666.2366666667649</v>
      </c>
      <c r="BP1096" s="343">
        <f>SUMIFS($AU$134:AU1099,$AQ$134:AQ1099,"W")</f>
        <v>3122.7233333332406</v>
      </c>
      <c r="BQ1096" s="343">
        <f>SUMIFS($AU$134:AU1097,$Q$134:Q1097,"O")</f>
        <v>-707.04333333299599</v>
      </c>
      <c r="BR1096" s="343">
        <f>SUMIFS($AU$134:AU1097,$AA$134:AA1097,"*")</f>
        <v>19324.675333333402</v>
      </c>
      <c r="BS1096" s="343">
        <f>SUMIFS($AU$134:AU1097,$AB$134:AB1097,"*")</f>
        <v>5228.1566666669405</v>
      </c>
      <c r="BT1096" s="343">
        <f>SUMIFS($AU$134:AU1097,$AC$134:AC1097,"*")</f>
        <v>11143.683333333332</v>
      </c>
      <c r="BU1096" s="343">
        <f>SUMIFS($AU$134:AU1097,$AA$134:AA1097,"*",$AB$134:AB1097,"*")</f>
        <v>3378.0000000000045</v>
      </c>
      <c r="BV1096" s="343">
        <f>SUMIFS($AU$134:AU1097,$AA$134:AA1097,"*",$AC$134:AC1097,"*")</f>
        <v>9324.7833333333328</v>
      </c>
      <c r="BW1096" s="343">
        <f>SUMIFS($AU$134:AU1097,$AB$134:AB1097,"*",$AC$134:AC1097,"*")</f>
        <v>6014.6</v>
      </c>
      <c r="BX1096" s="343">
        <f>SUMIFS($AU1097:AU$1388,$Q1097:Q$1388,"F")</f>
        <v>8274.1333333333332</v>
      </c>
      <c r="BY1096" s="343">
        <f>SUMIFS($AU1097:AU$1388,$Q1097:Q$1388,"S")</f>
        <v>4811.2000000000007</v>
      </c>
      <c r="BZ1096" s="343">
        <f>SUMIFS($AU1097:AU$1388,$Q1097:Q$1388,"O")</f>
        <v>-941.8146666668024</v>
      </c>
    </row>
    <row r="1097" spans="1:78" ht="15.75" customHeight="1">
      <c r="A1097" s="221" t="s">
        <v>3942</v>
      </c>
      <c r="B1097" s="177">
        <v>45204</v>
      </c>
      <c r="C1097" s="178" t="s">
        <v>3989</v>
      </c>
      <c r="D1097" s="178" t="s">
        <v>93</v>
      </c>
      <c r="E1097" s="227"/>
      <c r="F1097" s="180"/>
      <c r="G1097" s="281" t="s">
        <v>3990</v>
      </c>
      <c r="H1097" s="182"/>
      <c r="I1097" s="182"/>
      <c r="J1097" s="182"/>
      <c r="K1097" s="183"/>
      <c r="L1097" s="182"/>
      <c r="M1097" s="182">
        <v>1</v>
      </c>
      <c r="N1097" s="182"/>
      <c r="O1097" s="183" t="s">
        <v>95</v>
      </c>
      <c r="P1097" s="183" t="s">
        <v>96</v>
      </c>
      <c r="Q1097" s="183" t="s">
        <v>97</v>
      </c>
      <c r="R1097" s="183">
        <v>7</v>
      </c>
      <c r="S1097" s="183">
        <v>0</v>
      </c>
      <c r="T1097" s="183">
        <v>7</v>
      </c>
      <c r="U1097" s="183" t="s">
        <v>22</v>
      </c>
      <c r="V1097" s="183"/>
      <c r="W1097" s="183"/>
      <c r="X1097" s="183"/>
      <c r="Y1097" s="184">
        <f>IF(ISBLANK(O1097),"",(IF(O1097=UPPER("IB"),0.005,0.01)))</f>
        <v>0.01</v>
      </c>
      <c r="Z1097" s="185">
        <f>IF(ISBLANK(O1097),"",IF(O1097="IB",8.63*200,IF(O1097="IR",16*100,IF(O1097="YT",20*100,IF(O1097="YT-XT",24*200,IF(O1097="TED",80*100))))))</f>
        <v>1600</v>
      </c>
      <c r="AA1097" s="185" t="s">
        <v>3991</v>
      </c>
      <c r="AB1097" s="185"/>
      <c r="AC1097" s="185"/>
      <c r="AD1097" s="649">
        <v>-9.0999999999999998E-2</v>
      </c>
      <c r="AE1097" s="182"/>
      <c r="AF1097" s="332"/>
      <c r="AG1097" s="182"/>
      <c r="AH1097" s="182"/>
      <c r="AI1097" s="182"/>
      <c r="AJ1097" s="640"/>
      <c r="AK1097" s="182"/>
      <c r="AL1097" s="496"/>
      <c r="AM1097" s="496"/>
      <c r="AN1097" s="626"/>
      <c r="AO1097" s="182"/>
      <c r="AP1097" s="182" t="s">
        <v>1292</v>
      </c>
      <c r="AQ1097" s="332" t="str">
        <f>UPPER(RIGHT(Journal_Live[[#This Row],[DURATION ]]))</f>
        <v>H</v>
      </c>
      <c r="AR1097" s="182" t="s">
        <v>3388</v>
      </c>
      <c r="AS1097" s="189">
        <v>-0.09</v>
      </c>
      <c r="AT1097" s="189">
        <f>IF(ISBLANK(AS1097),,IF(U1097="S",AD1097-AS1097,AS1097-AD1097))</f>
        <v>1.0000000000000009E-3</v>
      </c>
      <c r="AU1097" s="187">
        <f>AV1097*R1097</f>
        <v>11.20000000000001</v>
      </c>
      <c r="AV1097" s="190">
        <f>IF(ISBLANK(AS1097),,(AT1097*Z1097))</f>
        <v>1.6000000000000014</v>
      </c>
      <c r="AW1097" s="191" t="s">
        <v>96</v>
      </c>
      <c r="AX1097" s="407"/>
      <c r="AY1097" s="407"/>
      <c r="AZ1097" s="407"/>
      <c r="BA1097" s="407"/>
      <c r="BB1097" s="407"/>
      <c r="BC1097" s="407"/>
      <c r="BD1097" s="407"/>
      <c r="BE1097" s="407"/>
      <c r="BF1097" s="422"/>
      <c r="BG1097" s="391"/>
      <c r="BH1097" s="392">
        <f>SUM($AU$134:AU1097)</f>
        <v>21226.33200000034</v>
      </c>
      <c r="BI1097" s="318">
        <f>SUMIFS($AU$134:AU1098,$Q$134:Q1098,"F")</f>
        <v>6166.5333333333328</v>
      </c>
      <c r="BJ1097" s="318">
        <f>SUMIFS($AU$134:AU1098,$Q$134:Q1098,"S")</f>
        <v>15871.642</v>
      </c>
      <c r="BK1097" s="343">
        <f>SUMIFS($AU$134:AU1098,$P$134:P1098,"W")</f>
        <v>13358.941999999943</v>
      </c>
      <c r="BL1097" s="343">
        <f>SUMIFS($AU$134:AU1098,$P$134:P1098,"R")</f>
        <v>8468.6733333333359</v>
      </c>
      <c r="BM1097" s="343">
        <f>SUMIFS($AU$134:AU1098,$AQ$134:AQ1098,"M")</f>
        <v>2849.4000000000592</v>
      </c>
      <c r="BN1097" s="343">
        <f>SUMIFS($AU$134:AU1098,$AQ$134:AQ1098,"H")</f>
        <v>7841.3420000000151</v>
      </c>
      <c r="BO1097" s="343">
        <f>SUMIFS($AU$134:AU1098,$AQ$134:AQ1098,"D")</f>
        <v>5666.2366666667649</v>
      </c>
      <c r="BP1097" s="343">
        <f>SUMIFS($AU$134:AU1100,$AQ$134:AQ1100,"W")</f>
        <v>3122.7233333332406</v>
      </c>
      <c r="BQ1097" s="343">
        <f>SUMIFS($AU$134:AU1098,$Q$134:Q1098,"O")</f>
        <v>-707.04333333299599</v>
      </c>
      <c r="BR1097" s="343">
        <f>SUMIFS($AU$134:AU1098,$AA$134:AA1098,"*")</f>
        <v>19324.675333333402</v>
      </c>
      <c r="BS1097" s="343">
        <f>SUMIFS($AU$134:AU1098,$AB$134:AB1098,"*")</f>
        <v>5228.1566666669405</v>
      </c>
      <c r="BT1097" s="343">
        <f>SUMIFS($AU$134:AU1098,$AC$134:AC1098,"*")</f>
        <v>11143.683333333332</v>
      </c>
      <c r="BU1097" s="343">
        <f>SUMIFS($AU$134:AU1098,$AA$134:AA1098,"*",$AB$134:AB1098,"*")</f>
        <v>3378.0000000000045</v>
      </c>
      <c r="BV1097" s="343">
        <f>SUMIFS($AU$134:AU1098,$AA$134:AA1098,"*",$AC$134:AC1098,"*")</f>
        <v>9324.7833333333328</v>
      </c>
      <c r="BW1097" s="343">
        <f>SUMIFS($AU$134:AU1098,$AB$134:AB1098,"*",$AC$134:AC1098,"*")</f>
        <v>6014.6</v>
      </c>
      <c r="BX1097" s="343">
        <f>SUMIFS($AU1098:AU$1388,$Q1098:Q$1388,"F")</f>
        <v>8274.1333333333332</v>
      </c>
      <c r="BY1097" s="343">
        <f>SUMIFS($AU1098:AU$1388,$Q1098:Q$1388,"S")</f>
        <v>4800.0000000000009</v>
      </c>
      <c r="BZ1097" s="343">
        <f>SUMIFS($AU1098:AU$1388,$Q1098:Q$1388,"O")</f>
        <v>-941.8146666668024</v>
      </c>
    </row>
    <row r="1098" spans="1:78" ht="15.75" customHeight="1">
      <c r="A1098" s="221" t="s">
        <v>3942</v>
      </c>
      <c r="B1098" s="177">
        <v>45204</v>
      </c>
      <c r="C1098" s="488" t="s">
        <v>2608</v>
      </c>
      <c r="D1098" s="178" t="s">
        <v>93</v>
      </c>
      <c r="E1098" s="227"/>
      <c r="F1098" s="180"/>
      <c r="G1098" s="181" t="s">
        <v>2942</v>
      </c>
      <c r="H1098" s="182"/>
      <c r="I1098" s="182"/>
      <c r="J1098" s="182"/>
      <c r="K1098" s="183"/>
      <c r="L1098" s="182"/>
      <c r="M1098" s="182"/>
      <c r="N1098" s="182"/>
      <c r="O1098" s="183"/>
      <c r="P1098" s="183"/>
      <c r="Q1098" s="183"/>
      <c r="R1098" s="183"/>
      <c r="S1098" s="183"/>
      <c r="T1098" s="183"/>
      <c r="U1098" s="183"/>
      <c r="V1098" s="183"/>
      <c r="W1098" s="183"/>
      <c r="X1098" s="183"/>
      <c r="Y1098" s="184"/>
      <c r="Z1098" s="185"/>
      <c r="AA1098" s="185"/>
      <c r="AB1098" s="185"/>
      <c r="AC1098" s="185"/>
      <c r="AD1098" s="649"/>
      <c r="AE1098" s="182"/>
      <c r="AF1098" s="332"/>
      <c r="AG1098" s="182"/>
      <c r="AH1098" s="182"/>
      <c r="AI1098" s="182"/>
      <c r="AJ1098" s="640"/>
      <c r="AK1098" s="182"/>
      <c r="AL1098" s="496"/>
      <c r="AM1098" s="496"/>
      <c r="AN1098" s="626"/>
      <c r="AO1098" s="182"/>
      <c r="AP1098" s="182"/>
      <c r="AQ1098" s="332" t="str">
        <f>UPPER(RIGHT(Journal_Live[[#This Row],[DURATION ]]))</f>
        <v/>
      </c>
      <c r="AR1098" s="182"/>
      <c r="AS1098" s="189"/>
      <c r="AT1098" s="189"/>
      <c r="AU1098" s="187"/>
      <c r="AV1098" s="190"/>
      <c r="AW1098" s="191"/>
      <c r="AX1098" s="407"/>
      <c r="AY1098" s="407"/>
      <c r="AZ1098" s="407"/>
      <c r="BA1098" s="407"/>
      <c r="BB1098" s="407"/>
      <c r="BC1098" s="407"/>
      <c r="BD1098" s="407"/>
      <c r="BE1098" s="407"/>
      <c r="BF1098" s="422"/>
      <c r="BG1098" s="391">
        <f>SUM($AV$4:AV1098)</f>
        <v>4874.44285968431</v>
      </c>
      <c r="BH1098" s="392">
        <f>SUM($AU$134:AU1098)</f>
        <v>21226.33200000034</v>
      </c>
      <c r="BI1098" s="318">
        <f>SUMIFS($AU$134:AU1099,$Q$134:Q1099,"F")</f>
        <v>6166.5333333333328</v>
      </c>
      <c r="BJ1098" s="318">
        <f>SUMIFS($AU$134:AU1099,$Q$134:Q1099,"S")</f>
        <v>15871.642</v>
      </c>
      <c r="BK1098" s="343">
        <f>SUMIFS($AU$134:AU1099,$P$134:P1099,"W")</f>
        <v>13358.941999999943</v>
      </c>
      <c r="BL1098" s="343">
        <f>SUMIFS($AU$134:AU1099,$P$134:P1099,"R")</f>
        <v>8468.6733333333359</v>
      </c>
      <c r="BM1098" s="343">
        <f>SUMIFS($AU$134:AU1099,$AQ$134:AQ1099,"M")</f>
        <v>2849.4000000000592</v>
      </c>
      <c r="BN1098" s="343">
        <f>SUMIFS($AU$134:AU1099,$AQ$134:AQ1099,"H")</f>
        <v>7841.3420000000151</v>
      </c>
      <c r="BO1098" s="343">
        <f>SUMIFS($AU$134:AU1099,$AQ$134:AQ1099,"D")</f>
        <v>5666.2366666667649</v>
      </c>
      <c r="BP1098" s="343">
        <f>SUMIFS($AU$134:AU1101,$AQ$134:AQ1101,"W")</f>
        <v>3122.7233333332406</v>
      </c>
      <c r="BQ1098" s="343">
        <f>SUMIFS($AU$134:AU1099,$Q$134:Q1099,"O")</f>
        <v>-707.04333333299599</v>
      </c>
      <c r="BR1098" s="343">
        <f>SUMIFS($AU$134:AU1099,$AA$134:AA1099,"*")</f>
        <v>19324.675333333402</v>
      </c>
      <c r="BS1098" s="343">
        <f>SUMIFS($AU$134:AU1099,$AB$134:AB1099,"*")</f>
        <v>5228.1566666669405</v>
      </c>
      <c r="BT1098" s="343">
        <f>SUMIFS($AU$134:AU1099,$AC$134:AC1099,"*")</f>
        <v>11143.683333333332</v>
      </c>
      <c r="BU1098" s="343">
        <f>SUMIFS($AU$134:AU1099,$AA$134:AA1099,"*",$AB$134:AB1099,"*")</f>
        <v>3378.0000000000045</v>
      </c>
      <c r="BV1098" s="343">
        <f>SUMIFS($AU$134:AU1099,$AA$134:AA1099,"*",$AC$134:AC1099,"*")</f>
        <v>9324.7833333333328</v>
      </c>
      <c r="BW1098" s="343">
        <f>SUMIFS($AU$134:AU1099,$AB$134:AB1099,"*",$AC$134:AC1099,"*")</f>
        <v>6014.6</v>
      </c>
      <c r="BX1098" s="343">
        <f>SUMIFS($AU1099:AU$1388,$Q1099:Q$1388,"F")</f>
        <v>8274.1333333333332</v>
      </c>
      <c r="BY1098" s="343">
        <f>SUMIFS($AU1099:AU$1388,$Q1099:Q$1388,"S")</f>
        <v>4800.0000000000009</v>
      </c>
      <c r="BZ1098" s="343">
        <f>SUMIFS($AU1099:AU$1388,$Q1099:Q$1388,"O")</f>
        <v>-941.8146666668024</v>
      </c>
    </row>
    <row r="1099" spans="1:78" ht="15.75" customHeight="1">
      <c r="A1099" s="221" t="s">
        <v>3942</v>
      </c>
      <c r="B1099" s="177">
        <v>45204</v>
      </c>
      <c r="C1099" s="178" t="s">
        <v>2608</v>
      </c>
      <c r="D1099" s="178" t="s">
        <v>93</v>
      </c>
      <c r="E1099" s="227"/>
      <c r="F1099" s="180"/>
      <c r="G1099" s="281" t="s">
        <v>3992</v>
      </c>
      <c r="H1099" s="182"/>
      <c r="I1099" s="182"/>
      <c r="J1099" s="182"/>
      <c r="K1099" s="183"/>
      <c r="L1099" s="182">
        <v>1</v>
      </c>
      <c r="M1099" s="182"/>
      <c r="N1099" s="182"/>
      <c r="O1099" s="183" t="s">
        <v>95</v>
      </c>
      <c r="P1099" s="183" t="s">
        <v>137</v>
      </c>
      <c r="Q1099" s="183" t="s">
        <v>684</v>
      </c>
      <c r="R1099" s="183">
        <v>2</v>
      </c>
      <c r="S1099" s="183">
        <v>0</v>
      </c>
      <c r="T1099" s="183">
        <v>2</v>
      </c>
      <c r="U1099" s="183" t="s">
        <v>97</v>
      </c>
      <c r="V1099" s="183"/>
      <c r="W1099" s="183"/>
      <c r="X1099" s="183"/>
      <c r="Y1099" s="183"/>
      <c r="Z1099" s="185">
        <f>IF(ISBLANK(O1099),"",IF(O1099="IB",8.63*200,IF(O1099="IR",16*100,IF(O1099="YT",20*100,IF(O1099="YT-XT",24*200,IF(O1099="TED",80*100))))))</f>
        <v>1600</v>
      </c>
      <c r="AA1099" s="185" t="s">
        <v>3993</v>
      </c>
      <c r="AB1099" s="185"/>
      <c r="AC1099" s="185"/>
      <c r="AD1099" s="649">
        <v>95.77</v>
      </c>
      <c r="AE1099" s="182"/>
      <c r="AF1099" s="332"/>
      <c r="AG1099" s="182"/>
      <c r="AH1099" s="182"/>
      <c r="AI1099" s="182"/>
      <c r="AJ1099" s="640"/>
      <c r="AK1099" s="182"/>
      <c r="AL1099" s="496"/>
      <c r="AM1099" s="496"/>
      <c r="AN1099" s="626"/>
      <c r="AO1099" s="182"/>
      <c r="AP1099" s="182"/>
      <c r="AQ1099" s="332" t="str">
        <f>UPPER(RIGHT(Journal_Live[[#This Row],[DURATION ]]))</f>
        <v/>
      </c>
      <c r="AR1099" s="182" t="s">
        <v>3994</v>
      </c>
      <c r="AS1099" s="189">
        <v>95.77</v>
      </c>
      <c r="AT1099" s="189">
        <f>IF(ISBLANK(AS1099),,IF(U1099="S",AD1099-AS1099,AS1099-AD1099))</f>
        <v>0</v>
      </c>
      <c r="AU1099" s="187">
        <f>AV1099*R1099</f>
        <v>0</v>
      </c>
      <c r="AV1099" s="190">
        <f>IF(ISBLANK(AS1099),,(AT1099*Z1099))</f>
        <v>0</v>
      </c>
      <c r="AW1099" s="191" t="s">
        <v>115</v>
      </c>
      <c r="AX1099" s="407"/>
      <c r="AY1099" s="407"/>
      <c r="AZ1099" s="407"/>
      <c r="BA1099" s="407"/>
      <c r="BB1099" s="407"/>
      <c r="BC1099" s="407"/>
      <c r="BD1099" s="407"/>
      <c r="BE1099" s="407"/>
      <c r="BF1099" s="422"/>
      <c r="BG1099" s="391">
        <f>SUM($AV$4:AV1099)</f>
        <v>4874.44285968431</v>
      </c>
      <c r="BH1099" s="392">
        <f>SUM($AU$134:AU1099)</f>
        <v>21226.33200000034</v>
      </c>
      <c r="BI1099" s="318">
        <f>SUMIFS($AU$134:AU1100,$Q$134:Q1100,"F")</f>
        <v>6166.5333333333328</v>
      </c>
      <c r="BJ1099" s="318">
        <f>SUMIFS($AU$134:AU1100,$Q$134:Q1100,"S")</f>
        <v>15871.642</v>
      </c>
      <c r="BK1099" s="343">
        <f>SUMIFS($AU$134:AU1100,$P$134:P1100,"W")</f>
        <v>13358.941999999943</v>
      </c>
      <c r="BL1099" s="343">
        <f>SUMIFS($AU$134:AU1100,$P$134:P1100,"R")</f>
        <v>8484.6733333333214</v>
      </c>
      <c r="BM1099" s="343">
        <f>SUMIFS($AU$134:AU1100,$AQ$134:AQ1100,"M")</f>
        <v>2849.4000000000592</v>
      </c>
      <c r="BN1099" s="343">
        <f>SUMIFS($AU$134:AU1100,$AQ$134:AQ1100,"H")</f>
        <v>7841.3420000000151</v>
      </c>
      <c r="BO1099" s="343">
        <f>SUMIFS($AU$134:AU1100,$AQ$134:AQ1100,"D")</f>
        <v>5666.2366666667649</v>
      </c>
      <c r="BP1099" s="343">
        <f>SUMIFS($AU$134:AU1102,$AQ$134:AQ1102,"W")</f>
        <v>3122.7233333332406</v>
      </c>
      <c r="BQ1099" s="343">
        <f>SUMIFS($AU$134:AU1100,$Q$134:Q1100,"O")</f>
        <v>-691.04333333301054</v>
      </c>
      <c r="BR1099" s="343">
        <f>SUMIFS($AU$134:AU1100,$AA$134:AA1100,"*")</f>
        <v>19340.675333333387</v>
      </c>
      <c r="BS1099" s="343">
        <f>SUMIFS($AU$134:AU1100,$AB$134:AB1100,"*")</f>
        <v>5228.1566666669405</v>
      </c>
      <c r="BT1099" s="343">
        <f>SUMIFS($AU$134:AU1100,$AC$134:AC1100,"*")</f>
        <v>11143.683333333332</v>
      </c>
      <c r="BU1099" s="343">
        <f>SUMIFS($AU$134:AU1100,$AA$134:AA1100,"*",$AB$134:AB1100,"*")</f>
        <v>3378.0000000000045</v>
      </c>
      <c r="BV1099" s="343">
        <f>SUMIFS($AU$134:AU1100,$AA$134:AA1100,"*",$AC$134:AC1100,"*")</f>
        <v>9324.7833333333328</v>
      </c>
      <c r="BW1099" s="343">
        <f>SUMIFS($AU$134:AU1100,$AB$134:AB1100,"*",$AC$134:AC1100,"*")</f>
        <v>6014.6</v>
      </c>
      <c r="BX1099" s="343">
        <f>SUMIFS($AU1100:AU$1388,$Q1100:Q$1388,"F")</f>
        <v>8274.1333333333332</v>
      </c>
      <c r="BY1099" s="343">
        <f>SUMIFS($AU1100:AU$1388,$Q1100:Q$1388,"S")</f>
        <v>4800.0000000000009</v>
      </c>
      <c r="BZ1099" s="343">
        <f>SUMIFS($AU1100:AU$1388,$Q1100:Q$1388,"O")</f>
        <v>-941.8146666668024</v>
      </c>
    </row>
    <row r="1100" spans="1:78" ht="15.75" customHeight="1">
      <c r="A1100" s="221" t="s">
        <v>3942</v>
      </c>
      <c r="B1100" s="177"/>
      <c r="C1100" s="178"/>
      <c r="D1100" s="178"/>
      <c r="E1100" s="227"/>
      <c r="F1100" s="180"/>
      <c r="G1100" s="281" t="s">
        <v>3995</v>
      </c>
      <c r="H1100" s="182"/>
      <c r="I1100" s="182"/>
      <c r="J1100" s="182"/>
      <c r="K1100" s="183"/>
      <c r="L1100" s="182">
        <v>1</v>
      </c>
      <c r="M1100" s="182"/>
      <c r="N1100" s="182"/>
      <c r="O1100" s="183" t="s">
        <v>95</v>
      </c>
      <c r="P1100" s="183" t="s">
        <v>137</v>
      </c>
      <c r="Q1100" s="183" t="s">
        <v>684</v>
      </c>
      <c r="R1100" s="183">
        <v>1</v>
      </c>
      <c r="S1100" s="183">
        <v>0</v>
      </c>
      <c r="T1100" s="183">
        <v>1</v>
      </c>
      <c r="U1100" s="183" t="s">
        <v>22</v>
      </c>
      <c r="V1100" s="183"/>
      <c r="W1100" s="183"/>
      <c r="X1100" s="183"/>
      <c r="Y1100" s="183"/>
      <c r="Z1100" s="185">
        <f>IF(ISBLANK(O1100),"",IF(O1100="IB",8.63*200,IF(O1100="IR",16*100,IF(O1100="YT",20*100,IF(O1100="YT-XT",24*200,IF(O1100="TED",80*100))))))</f>
        <v>1600</v>
      </c>
      <c r="AA1100" s="185" t="s">
        <v>3993</v>
      </c>
      <c r="AB1100" s="185"/>
      <c r="AC1100" s="185"/>
      <c r="AD1100" s="649">
        <v>95.73</v>
      </c>
      <c r="AE1100" s="182"/>
      <c r="AF1100" s="332"/>
      <c r="AG1100" s="182"/>
      <c r="AH1100" s="182"/>
      <c r="AI1100" s="182"/>
      <c r="AJ1100" s="640"/>
      <c r="AK1100" s="182"/>
      <c r="AL1100" s="496"/>
      <c r="AM1100" s="496"/>
      <c r="AN1100" s="626"/>
      <c r="AO1100" s="182"/>
      <c r="AP1100" s="182"/>
      <c r="AQ1100" s="332" t="str">
        <f>UPPER(RIGHT(Journal_Live[[#This Row],[DURATION ]]))</f>
        <v/>
      </c>
      <c r="AR1100" s="182" t="s">
        <v>3994</v>
      </c>
      <c r="AS1100" s="189">
        <v>95.74</v>
      </c>
      <c r="AT1100" s="189">
        <f>IF(ISBLANK(AS1100),,IF(U1100="S",AD1100-AS1100,AS1100-AD1100))</f>
        <v>9.9999999999909051E-3</v>
      </c>
      <c r="AU1100" s="187">
        <f>AV1100*R1100</f>
        <v>15.999999999985448</v>
      </c>
      <c r="AV1100" s="190">
        <f>IF(ISBLANK(AS1100),,(AT1100*Z1100))</f>
        <v>15.999999999985448</v>
      </c>
      <c r="AW1100" s="191" t="s">
        <v>96</v>
      </c>
      <c r="AX1100" s="407"/>
      <c r="AY1100" s="407"/>
      <c r="AZ1100" s="407"/>
      <c r="BA1100" s="407"/>
      <c r="BB1100" s="407"/>
      <c r="BC1100" s="407"/>
      <c r="BD1100" s="407"/>
      <c r="BE1100" s="407"/>
      <c r="BF1100" s="422"/>
      <c r="BG1100" s="391">
        <f>SUM($AV$4:AV1100)</f>
        <v>4890.4428596842954</v>
      </c>
      <c r="BH1100" s="392">
        <f>SUM($AU$134:AU1100)</f>
        <v>21242.332000000326</v>
      </c>
      <c r="BI1100" s="318">
        <f>SUMIFS($AU$134:AU1101,$Q$134:Q1101,"F")</f>
        <v>6166.5333333333328</v>
      </c>
      <c r="BJ1100" s="318">
        <f>SUMIFS($AU$134:AU1101,$Q$134:Q1101,"S")</f>
        <v>15871.642</v>
      </c>
      <c r="BK1100" s="343">
        <f>SUMIFS($AU$134:AU1101,$P$134:P1101,"W")</f>
        <v>13358.941999999943</v>
      </c>
      <c r="BL1100" s="343">
        <f>SUMIFS($AU$134:AU1101,$P$134:P1101,"R")</f>
        <v>8484.6733333333214</v>
      </c>
      <c r="BM1100" s="343">
        <f>SUMIFS($AU$134:AU1101,$AQ$134:AQ1101,"M")</f>
        <v>2849.4000000000592</v>
      </c>
      <c r="BN1100" s="343">
        <f>SUMIFS($AU$134:AU1101,$AQ$134:AQ1101,"H")</f>
        <v>7841.3420000000151</v>
      </c>
      <c r="BO1100" s="343">
        <f>SUMIFS($AU$134:AU1101,$AQ$134:AQ1101,"D")</f>
        <v>5666.2366666667649</v>
      </c>
      <c r="BP1100" s="343">
        <f>SUMIFS($AU$134:AU1103,$AQ$134:AQ1103,"W")</f>
        <v>3122.7233333332406</v>
      </c>
      <c r="BQ1100" s="343">
        <f>SUMIFS($AU$134:AU1101,$Q$134:Q1101,"O")</f>
        <v>-691.04333333301054</v>
      </c>
      <c r="BR1100" s="343">
        <f>SUMIFS($AU$134:AU1101,$AA$134:AA1101,"*")</f>
        <v>19340.675333333387</v>
      </c>
      <c r="BS1100" s="343">
        <f>SUMIFS($AU$134:AU1101,$AB$134:AB1101,"*")</f>
        <v>5228.1566666669405</v>
      </c>
      <c r="BT1100" s="343">
        <f>SUMIFS($AU$134:AU1101,$AC$134:AC1101,"*")</f>
        <v>11143.683333333332</v>
      </c>
      <c r="BU1100" s="343">
        <f>SUMIFS($AU$134:AU1101,$AA$134:AA1101,"*",$AB$134:AB1101,"*")</f>
        <v>3378.0000000000045</v>
      </c>
      <c r="BV1100" s="343">
        <f>SUMIFS($AU$134:AU1101,$AA$134:AA1101,"*",$AC$134:AC1101,"*")</f>
        <v>9324.7833333333328</v>
      </c>
      <c r="BW1100" s="343">
        <f>SUMIFS($AU$134:AU1101,$AB$134:AB1101,"*",$AC$134:AC1101,"*")</f>
        <v>6014.6</v>
      </c>
      <c r="BX1100" s="343">
        <f>SUMIFS($AU1101:AU$1388,$Q1101:Q$1388,"F")</f>
        <v>8274.1333333333332</v>
      </c>
      <c r="BY1100" s="343">
        <f>SUMIFS($AU1101:AU$1388,$Q1101:Q$1388,"S")</f>
        <v>4800.0000000000009</v>
      </c>
      <c r="BZ1100" s="343">
        <f>SUMIFS($AU1101:AU$1388,$Q1101:Q$1388,"O")</f>
        <v>-957.81466666678784</v>
      </c>
    </row>
    <row r="1101" spans="1:78" ht="15.75" customHeight="1">
      <c r="A1101" s="221" t="s">
        <v>3942</v>
      </c>
      <c r="B1101" s="177">
        <v>45205</v>
      </c>
      <c r="C1101" s="178" t="s">
        <v>3996</v>
      </c>
      <c r="D1101" s="178" t="s">
        <v>111</v>
      </c>
      <c r="E1101" s="227"/>
      <c r="F1101" s="180"/>
      <c r="G1101" s="281" t="s">
        <v>2145</v>
      </c>
      <c r="H1101" s="182"/>
      <c r="I1101" s="182"/>
      <c r="J1101" s="182"/>
      <c r="K1101" s="183"/>
      <c r="L1101" s="182">
        <v>1</v>
      </c>
      <c r="M1101" s="182"/>
      <c r="N1101" s="182"/>
      <c r="O1101" s="183" t="s">
        <v>95</v>
      </c>
      <c r="P1101" s="183" t="s">
        <v>96</v>
      </c>
      <c r="Q1101" s="183" t="s">
        <v>97</v>
      </c>
      <c r="R1101" s="183">
        <v>3</v>
      </c>
      <c r="S1101" s="183">
        <v>0</v>
      </c>
      <c r="T1101" s="183">
        <v>3</v>
      </c>
      <c r="U1101" s="183" t="s">
        <v>22</v>
      </c>
      <c r="V1101" s="183"/>
      <c r="W1101" s="183"/>
      <c r="X1101" s="183"/>
      <c r="Y1101" s="184">
        <f>IF(ISBLANK(O1101),"",(IF(O1101=UPPER("IB"),0.005,0.01)))</f>
        <v>0.01</v>
      </c>
      <c r="Z1101" s="185">
        <f>IF(ISBLANK(O1101),"",IF(O1101="IB",8.63*200,IF(O1101="IR",16*100,IF(O1101="YT",20*100,IF(O1101="YT-XT",24*200,IF(O1101="TED",80*100))))))</f>
        <v>1600</v>
      </c>
      <c r="AA1101" s="185" t="s">
        <v>998</v>
      </c>
      <c r="AB1101" s="185"/>
      <c r="AC1101" s="185"/>
      <c r="AD1101" s="649">
        <v>0.12</v>
      </c>
      <c r="AE1101" s="182"/>
      <c r="AF1101" s="332"/>
      <c r="AG1101" s="182"/>
      <c r="AH1101" s="182"/>
      <c r="AI1101" s="182"/>
      <c r="AJ1101" s="640"/>
      <c r="AK1101" s="182"/>
      <c r="AL1101" s="496"/>
      <c r="AM1101" s="496"/>
      <c r="AN1101" s="626"/>
      <c r="AO1101" s="182"/>
      <c r="AP1101" s="182" t="s">
        <v>2099</v>
      </c>
      <c r="AQ1101" s="332" t="str">
        <f>UPPER(RIGHT(Journal_Live[[#This Row],[DURATION ]]))</f>
        <v>H</v>
      </c>
      <c r="AR1101" s="182" t="s">
        <v>171</v>
      </c>
      <c r="AS1101" s="189">
        <v>0.12</v>
      </c>
      <c r="AT1101" s="189">
        <f>IF(ISBLANK(AS1101),,IF(U1101="S",AD1101-AS1101,AS1101-AD1101))</f>
        <v>0</v>
      </c>
      <c r="AU1101" s="187">
        <f>AV1101*R1101</f>
        <v>0</v>
      </c>
      <c r="AV1101" s="190">
        <f>IF(ISBLANK(AS1101),,(AT1101*Z1101))</f>
        <v>0</v>
      </c>
      <c r="AW1101" s="191" t="s">
        <v>115</v>
      </c>
      <c r="AX1101" s="407"/>
      <c r="AY1101" s="407"/>
      <c r="AZ1101" s="407"/>
      <c r="BA1101" s="407"/>
      <c r="BB1101" s="407"/>
      <c r="BC1101" s="407"/>
      <c r="BD1101" s="407"/>
      <c r="BE1101" s="407"/>
      <c r="BF1101" s="422"/>
      <c r="BG1101" s="391">
        <f>SUM($AV$4:AV1101)</f>
        <v>4890.4428596842954</v>
      </c>
      <c r="BH1101" s="392">
        <f>SUM($AU$134:AU1101)</f>
        <v>21242.332000000326</v>
      </c>
      <c r="BI1101" s="318">
        <f>SUMIFS($AU$134:AU1102,$Q$134:Q1102,"F")</f>
        <v>6166.5333333333328</v>
      </c>
      <c r="BJ1101" s="318">
        <f>SUMIFS($AU$134:AU1102,$Q$134:Q1102,"S")</f>
        <v>15871.642</v>
      </c>
      <c r="BK1101" s="343">
        <f>SUMIFS($AU$134:AU1102,$P$134:P1102,"W")</f>
        <v>13358.941999999943</v>
      </c>
      <c r="BL1101" s="343">
        <f>SUMIFS($AU$134:AU1102,$P$134:P1102,"R")</f>
        <v>8484.6733333333214</v>
      </c>
      <c r="BM1101" s="343">
        <f>SUMIFS($AU$134:AU1102,$AQ$134:AQ1102,"M")</f>
        <v>2849.4000000000592</v>
      </c>
      <c r="BN1101" s="343">
        <f>SUMIFS($AU$134:AU1102,$AQ$134:AQ1102,"H")</f>
        <v>7841.3420000000151</v>
      </c>
      <c r="BO1101" s="343">
        <f>SUMIFS($AU$134:AU1102,$AQ$134:AQ1102,"D")</f>
        <v>5666.2366666667649</v>
      </c>
      <c r="BP1101" s="343">
        <f>SUMIFS($AU$134:AU1104,$AQ$134:AQ1104,"W")</f>
        <v>3122.7233333332406</v>
      </c>
      <c r="BQ1101" s="343">
        <f>SUMIFS($AU$134:AU1102,$Q$134:Q1102,"O")</f>
        <v>-691.04333333301054</v>
      </c>
      <c r="BR1101" s="343">
        <f>SUMIFS($AU$134:AU1102,$AA$134:AA1102,"*")</f>
        <v>19340.675333333387</v>
      </c>
      <c r="BS1101" s="343">
        <f>SUMIFS($AU$134:AU1102,$AB$134:AB1102,"*")</f>
        <v>5228.1566666669405</v>
      </c>
      <c r="BT1101" s="343">
        <f>SUMIFS($AU$134:AU1102,$AC$134:AC1102,"*")</f>
        <v>11143.683333333332</v>
      </c>
      <c r="BU1101" s="343">
        <f>SUMIFS($AU$134:AU1102,$AA$134:AA1102,"*",$AB$134:AB1102,"*")</f>
        <v>3378.0000000000045</v>
      </c>
      <c r="BV1101" s="343">
        <f>SUMIFS($AU$134:AU1102,$AA$134:AA1102,"*",$AC$134:AC1102,"*")</f>
        <v>9324.7833333333328</v>
      </c>
      <c r="BW1101" s="343">
        <f>SUMIFS($AU$134:AU1102,$AB$134:AB1102,"*",$AC$134:AC1102,"*")</f>
        <v>6014.6</v>
      </c>
      <c r="BX1101" s="343">
        <f>SUMIFS($AU1102:AU$1388,$Q1102:Q$1388,"F")</f>
        <v>8274.1333333333332</v>
      </c>
      <c r="BY1101" s="343">
        <f>SUMIFS($AU1102:AU$1388,$Q1102:Q$1388,"S")</f>
        <v>4800.0000000000009</v>
      </c>
      <c r="BZ1101" s="343">
        <f>SUMIFS($AU1102:AU$1388,$Q1102:Q$1388,"O")</f>
        <v>-957.81466666678784</v>
      </c>
    </row>
    <row r="1102" spans="1:78" ht="15.75" customHeight="1">
      <c r="A1102" s="221" t="s">
        <v>3942</v>
      </c>
      <c r="B1102" s="177">
        <v>45205</v>
      </c>
      <c r="C1102" s="178" t="s">
        <v>1413</v>
      </c>
      <c r="D1102" s="178" t="s">
        <v>111</v>
      </c>
      <c r="E1102" s="227"/>
      <c r="F1102" s="180"/>
      <c r="G1102" s="281" t="s">
        <v>3924</v>
      </c>
      <c r="H1102" s="182"/>
      <c r="I1102" s="182"/>
      <c r="J1102" s="182"/>
      <c r="K1102" s="183"/>
      <c r="L1102" s="182">
        <v>2</v>
      </c>
      <c r="M1102" s="182">
        <v>1</v>
      </c>
      <c r="N1102" s="182"/>
      <c r="O1102" s="183" t="s">
        <v>3618</v>
      </c>
      <c r="P1102" s="183" t="s">
        <v>2260</v>
      </c>
      <c r="Q1102" s="183" t="s">
        <v>684</v>
      </c>
      <c r="R1102" s="183">
        <v>1</v>
      </c>
      <c r="S1102" s="183">
        <v>0</v>
      </c>
      <c r="T1102" s="183">
        <v>1</v>
      </c>
      <c r="U1102" s="183" t="s">
        <v>22</v>
      </c>
      <c r="V1102" s="183"/>
      <c r="W1102" s="183"/>
      <c r="X1102" s="183"/>
      <c r="Y1102" s="184">
        <f>IF(ISBLANK(O1102),"",(IF(O1102=UPPER("IB"),0.005,0.01)))</f>
        <v>0.01</v>
      </c>
      <c r="Z1102" s="185">
        <f>IF(ISBLANK(O1102),"",IF(O1102="IB",8.63*200,IF(O1102="IR",16*100,IF(O1102="YT",20*100,IF(O1102="YT-XT",24*200,IF(O1102="TED",80*100,IF(O1102="XT",36*200)))))))</f>
        <v>7200</v>
      </c>
      <c r="AA1102" s="409" t="s">
        <v>3997</v>
      </c>
      <c r="AB1102" s="185"/>
      <c r="AC1102" s="185"/>
      <c r="AD1102" s="649">
        <v>95.43</v>
      </c>
      <c r="AE1102" s="182"/>
      <c r="AF1102" s="332"/>
      <c r="AG1102" s="182"/>
      <c r="AH1102" s="182"/>
      <c r="AI1102" s="182"/>
      <c r="AJ1102" s="640"/>
      <c r="AK1102" s="182"/>
      <c r="AL1102" s="496"/>
      <c r="AM1102" s="496"/>
      <c r="AN1102" s="626"/>
      <c r="AO1102" s="182"/>
      <c r="AP1102" s="182" t="s">
        <v>3998</v>
      </c>
      <c r="AQ1102" s="332" t="str">
        <f>UPPER(RIGHT(Journal_Live[[#This Row],[DURATION ]]))</f>
        <v>M</v>
      </c>
      <c r="AR1102" s="182" t="s">
        <v>664</v>
      </c>
      <c r="AS1102" s="189">
        <v>95.43</v>
      </c>
      <c r="AT1102" s="189">
        <f>IF(ISBLANK(AS1102),,IF(U1102="S",AD1102-AS1102,AS1102-AD1102))</f>
        <v>0</v>
      </c>
      <c r="AU1102" s="187">
        <f>AV1102*R1102</f>
        <v>0</v>
      </c>
      <c r="AV1102" s="190">
        <f>IF(ISBLANK(AS1102),,(AT1102*Z1102))</f>
        <v>0</v>
      </c>
      <c r="AW1102" s="191" t="s">
        <v>115</v>
      </c>
      <c r="AX1102" s="407" t="s">
        <v>3999</v>
      </c>
      <c r="AY1102" s="407" t="s">
        <v>4000</v>
      </c>
      <c r="AZ1102" s="407"/>
      <c r="BA1102" s="407"/>
      <c r="BB1102" s="407"/>
      <c r="BC1102" s="407"/>
      <c r="BD1102" s="407"/>
      <c r="BE1102" s="407"/>
      <c r="BF1102" s="422"/>
      <c r="BG1102" s="391">
        <f>SUM($AV$4:AV1102)</f>
        <v>4890.4428596842954</v>
      </c>
      <c r="BH1102" s="392">
        <f>SUM($AU$134:AU1102)</f>
        <v>21242.332000000326</v>
      </c>
      <c r="BI1102" s="318">
        <f>SUMIFS($AU$134:AU1103,$Q$134:Q1103,"F")</f>
        <v>6166.5333333333328</v>
      </c>
      <c r="BJ1102" s="318">
        <f>SUMIFS($AU$134:AU1103,$Q$134:Q1103,"S")</f>
        <v>15871.642</v>
      </c>
      <c r="BK1102" s="343">
        <f>SUMIFS($AU$134:AU1103,$P$134:P1103,"W")</f>
        <v>13358.941999999943</v>
      </c>
      <c r="BL1102" s="343">
        <f>SUMIFS($AU$134:AU1103,$P$134:P1103,"R")</f>
        <v>8484.6733333333214</v>
      </c>
      <c r="BM1102" s="343">
        <f>SUMIFS($AU$134:AU1103,$AQ$134:AQ1103,"M")</f>
        <v>2849.4000000000592</v>
      </c>
      <c r="BN1102" s="343">
        <f>SUMIFS($AU$134:AU1103,$AQ$134:AQ1103,"H")</f>
        <v>7841.3420000000151</v>
      </c>
      <c r="BO1102" s="343">
        <f>SUMIFS($AU$134:AU1103,$AQ$134:AQ1103,"D")</f>
        <v>5666.2366666667649</v>
      </c>
      <c r="BP1102" s="343">
        <f>SUMIFS($AU$134:AU1105,$AQ$134:AQ1105,"W")</f>
        <v>3122.7233333332406</v>
      </c>
      <c r="BQ1102" s="343">
        <f>SUMIFS($AU$134:AU1103,$Q$134:Q1103,"O")</f>
        <v>-691.04333333301054</v>
      </c>
      <c r="BR1102" s="343">
        <f>SUMIFS($AU$134:AU1103,$AA$134:AA1103,"*")</f>
        <v>19340.675333333387</v>
      </c>
      <c r="BS1102" s="343">
        <f>SUMIFS($AU$134:AU1103,$AB$134:AB1103,"*")</f>
        <v>5228.1566666669405</v>
      </c>
      <c r="BT1102" s="343">
        <f>SUMIFS($AU$134:AU1103,$AC$134:AC1103,"*")</f>
        <v>11143.683333333332</v>
      </c>
      <c r="BU1102" s="343">
        <f>SUMIFS($AU$134:AU1103,$AA$134:AA1103,"*",$AB$134:AB1103,"*")</f>
        <v>3378.0000000000045</v>
      </c>
      <c r="BV1102" s="343">
        <f>SUMIFS($AU$134:AU1103,$AA$134:AA1103,"*",$AC$134:AC1103,"*")</f>
        <v>9324.7833333333328</v>
      </c>
      <c r="BW1102" s="343">
        <f>SUMIFS($AU$134:AU1103,$AB$134:AB1103,"*",$AC$134:AC1103,"*")</f>
        <v>6014.6</v>
      </c>
      <c r="BX1102" s="343">
        <f>SUMIFS($AU1103:AU$1388,$Q1103:Q$1388,"F")</f>
        <v>8274.1333333333332</v>
      </c>
      <c r="BY1102" s="343">
        <f>SUMIFS($AU1103:AU$1388,$Q1103:Q$1388,"S")</f>
        <v>4800.0000000000009</v>
      </c>
      <c r="BZ1102" s="343">
        <f>SUMIFS($AU1103:AU$1388,$Q1103:Q$1388,"O")</f>
        <v>-957.81466666678784</v>
      </c>
    </row>
    <row r="1103" spans="1:78" ht="15.75" customHeight="1">
      <c r="A1103" s="221" t="s">
        <v>3942</v>
      </c>
      <c r="B1103" s="177">
        <v>45205</v>
      </c>
      <c r="C1103" s="178" t="s">
        <v>4001</v>
      </c>
      <c r="D1103" s="178" t="s">
        <v>111</v>
      </c>
      <c r="E1103" s="227"/>
      <c r="F1103" s="180"/>
      <c r="G1103" s="181" t="s">
        <v>2942</v>
      </c>
      <c r="H1103" s="182"/>
      <c r="I1103" s="182"/>
      <c r="J1103" s="182"/>
      <c r="K1103" s="183"/>
      <c r="L1103" s="182"/>
      <c r="M1103" s="182"/>
      <c r="N1103" s="182"/>
      <c r="O1103" s="183"/>
      <c r="P1103" s="183"/>
      <c r="Q1103" s="183"/>
      <c r="R1103" s="183"/>
      <c r="S1103" s="183"/>
      <c r="T1103" s="183"/>
      <c r="U1103" s="183"/>
      <c r="V1103" s="183"/>
      <c r="W1103" s="183"/>
      <c r="X1103" s="183"/>
      <c r="Y1103" s="184"/>
      <c r="Z1103" s="185"/>
      <c r="AA1103" s="185"/>
      <c r="AB1103" s="185"/>
      <c r="AC1103" s="185"/>
      <c r="AD1103" s="649"/>
      <c r="AE1103" s="182"/>
      <c r="AF1103" s="332"/>
      <c r="AG1103" s="182"/>
      <c r="AH1103" s="182"/>
      <c r="AI1103" s="182"/>
      <c r="AJ1103" s="640"/>
      <c r="AK1103" s="182"/>
      <c r="AL1103" s="496"/>
      <c r="AM1103" s="496"/>
      <c r="AN1103" s="626"/>
      <c r="AO1103" s="182"/>
      <c r="AP1103" s="182"/>
      <c r="AQ1103" s="332" t="str">
        <f>UPPER(RIGHT(Journal_Live[[#This Row],[DURATION ]]))</f>
        <v/>
      </c>
      <c r="AR1103" s="182"/>
      <c r="AS1103" s="189"/>
      <c r="AT1103" s="189">
        <f>IF(ISBLANK(AS1103),,IF(U1103="S",AD1103-AS1103,AS1103-AD1103))</f>
        <v>0</v>
      </c>
      <c r="AU1103" s="187">
        <f>AV1103*R1103</f>
        <v>0</v>
      </c>
      <c r="AV1103" s="190">
        <f>IF(ISBLANK(AS1103),,(AT1103*Z1103))</f>
        <v>0</v>
      </c>
      <c r="AW1103" s="191"/>
      <c r="AX1103" s="407"/>
      <c r="AY1103" s="407"/>
      <c r="AZ1103" s="407"/>
      <c r="BA1103" s="407"/>
      <c r="BB1103" s="407"/>
      <c r="BC1103" s="407"/>
      <c r="BD1103" s="407"/>
      <c r="BE1103" s="407"/>
      <c r="BF1103" s="422"/>
      <c r="BG1103" s="391">
        <f>SUM($AV$4:AV1103)</f>
        <v>4890.4428596842954</v>
      </c>
      <c r="BH1103" s="392">
        <f>SUM($AU$134:AU1103)</f>
        <v>21242.332000000326</v>
      </c>
      <c r="BI1103" s="318">
        <f>SUMIFS($AU$134:AU1104,$Q$134:Q1104,"F")</f>
        <v>6166.5333333333328</v>
      </c>
      <c r="BJ1103" s="318">
        <f>SUMIFS($AU$134:AU1104,$Q$134:Q1104,"S")</f>
        <v>15871.642</v>
      </c>
      <c r="BK1103" s="343">
        <f>SUMIFS($AU$134:AU1104,$P$134:P1104,"W")</f>
        <v>13358.941999999943</v>
      </c>
      <c r="BL1103" s="343">
        <f>SUMIFS($AU$134:AU1104,$P$134:P1104,"R")</f>
        <v>8484.6733333333214</v>
      </c>
      <c r="BM1103" s="343">
        <f>SUMIFS($AU$134:AU1104,$AQ$134:AQ1104,"M")</f>
        <v>2849.4000000000592</v>
      </c>
      <c r="BN1103" s="343">
        <f>SUMIFS($AU$134:AU1104,$AQ$134:AQ1104,"H")</f>
        <v>7841.3420000000151</v>
      </c>
      <c r="BO1103" s="343">
        <f>SUMIFS($AU$134:AU1104,$AQ$134:AQ1104,"D")</f>
        <v>5666.2366666667649</v>
      </c>
      <c r="BP1103" s="343">
        <f>SUMIFS($AU$134:AU1106,$AQ$134:AQ1106,"W")</f>
        <v>3122.7233333332406</v>
      </c>
      <c r="BQ1103" s="343">
        <f>SUMIFS($AU$134:AU1104,$Q$134:Q1104,"O")</f>
        <v>-691.04333333301054</v>
      </c>
      <c r="BR1103" s="343">
        <f>SUMIFS($AU$134:AU1104,$AA$134:AA1104,"*")</f>
        <v>19340.675333333387</v>
      </c>
      <c r="BS1103" s="343">
        <f>SUMIFS($AU$134:AU1104,$AB$134:AB1104,"*")</f>
        <v>5228.1566666669405</v>
      </c>
      <c r="BT1103" s="343">
        <f>SUMIFS($AU$134:AU1104,$AC$134:AC1104,"*")</f>
        <v>11143.683333333332</v>
      </c>
      <c r="BU1103" s="343">
        <f>SUMIFS($AU$134:AU1104,$AA$134:AA1104,"*",$AB$134:AB1104,"*")</f>
        <v>3378.0000000000045</v>
      </c>
      <c r="BV1103" s="343">
        <f>SUMIFS($AU$134:AU1104,$AA$134:AA1104,"*",$AC$134:AC1104,"*")</f>
        <v>9324.7833333333328</v>
      </c>
      <c r="BW1103" s="343">
        <f>SUMIFS($AU$134:AU1104,$AB$134:AB1104,"*",$AC$134:AC1104,"*")</f>
        <v>6014.6</v>
      </c>
      <c r="BX1103" s="343">
        <f>SUMIFS($AU1104:AU$1388,$Q1104:Q$1388,"F")</f>
        <v>8274.1333333333332</v>
      </c>
      <c r="BY1103" s="343">
        <f>SUMIFS($AU1104:AU$1388,$Q1104:Q$1388,"S")</f>
        <v>4800.0000000000009</v>
      </c>
      <c r="BZ1103" s="343">
        <f>SUMIFS($AU1104:AU$1388,$Q1104:Q$1388,"O")</f>
        <v>-957.81466666678784</v>
      </c>
    </row>
    <row r="1104" spans="1:78" ht="15.75" customHeight="1">
      <c r="A1104" s="221" t="s">
        <v>3942</v>
      </c>
      <c r="B1104" s="177">
        <v>45205</v>
      </c>
      <c r="C1104" s="178" t="s">
        <v>1728</v>
      </c>
      <c r="D1104" s="178" t="s">
        <v>111</v>
      </c>
      <c r="E1104" s="227" t="s">
        <v>4002</v>
      </c>
      <c r="F1104" s="180" t="s">
        <v>4003</v>
      </c>
      <c r="G1104" s="181"/>
      <c r="H1104" s="182">
        <v>1</v>
      </c>
      <c r="I1104" s="182"/>
      <c r="J1104" s="182"/>
      <c r="K1104" s="183" t="s">
        <v>372</v>
      </c>
      <c r="L1104" s="182"/>
      <c r="M1104" s="182"/>
      <c r="N1104" s="182"/>
      <c r="O1104" s="183"/>
      <c r="P1104" s="183"/>
      <c r="Q1104" s="183"/>
      <c r="R1104" s="183"/>
      <c r="S1104" s="183"/>
      <c r="T1104" s="183"/>
      <c r="U1104" s="183"/>
      <c r="V1104" s="183"/>
      <c r="W1104" s="183"/>
      <c r="X1104" s="183"/>
      <c r="Y1104" s="183"/>
      <c r="Z1104" s="185" t="str">
        <f>IF(ISBLANK(O1104),"",IF(O1104="IB",8.63*200,IF(O1104="IR",16*100,IF(O1104="YT",20*100,IF(O1104="YT-XT",24*200,IF(O1104="TED",80*100))))))</f>
        <v/>
      </c>
      <c r="AA1104" s="185"/>
      <c r="AB1104" s="185"/>
      <c r="AC1104" s="185"/>
      <c r="AD1104" s="649"/>
      <c r="AE1104" s="182"/>
      <c r="AF1104" s="332"/>
      <c r="AG1104" s="182"/>
      <c r="AH1104" s="182"/>
      <c r="AI1104" s="182"/>
      <c r="AJ1104" s="640"/>
      <c r="AK1104" s="182"/>
      <c r="AL1104" s="496"/>
      <c r="AM1104" s="496"/>
      <c r="AN1104" s="626"/>
      <c r="AO1104" s="182"/>
      <c r="AP1104" s="182"/>
      <c r="AQ1104" s="332" t="str">
        <f>UPPER(RIGHT(Journal_Live[[#This Row],[DURATION ]]))</f>
        <v/>
      </c>
      <c r="AR1104" s="182"/>
      <c r="AS1104" s="189"/>
      <c r="AT1104" s="189"/>
      <c r="AU1104" s="187"/>
      <c r="AV1104" s="190"/>
      <c r="AW1104" s="191"/>
      <c r="AX1104" s="407"/>
      <c r="AY1104" s="407"/>
      <c r="AZ1104" s="407"/>
      <c r="BA1104" s="407"/>
      <c r="BB1104" s="407"/>
      <c r="BC1104" s="407"/>
      <c r="BD1104" s="407"/>
      <c r="BE1104" s="407"/>
      <c r="BF1104" s="422"/>
      <c r="BG1104" s="391">
        <f>SUM($AV$4:AV1104)</f>
        <v>4890.4428596842954</v>
      </c>
      <c r="BH1104" s="392">
        <f>SUM($AU$134:AU1104)</f>
        <v>21242.332000000326</v>
      </c>
      <c r="BI1104" s="318">
        <f>SUMIFS($AU$134:AU1105,$Q$134:Q1105,"F")</f>
        <v>6166.5333333333328</v>
      </c>
      <c r="BJ1104" s="318">
        <f>SUMIFS($AU$134:AU1105,$Q$134:Q1105,"S")</f>
        <v>15871.642</v>
      </c>
      <c r="BK1104" s="343">
        <f>SUMIFS($AU$134:AU1105,$P$134:P1105,"W")</f>
        <v>13358.941999999943</v>
      </c>
      <c r="BL1104" s="343">
        <f>SUMIFS($AU$134:AU1105,$P$134:P1105,"R")</f>
        <v>8484.6733333333214</v>
      </c>
      <c r="BM1104" s="343">
        <f>SUMIFS($AU$134:AU1105,$AQ$134:AQ1105,"M")</f>
        <v>2849.4000000000592</v>
      </c>
      <c r="BN1104" s="343">
        <f>SUMIFS($AU$134:AU1105,$AQ$134:AQ1105,"H")</f>
        <v>7841.3420000000151</v>
      </c>
      <c r="BO1104" s="343">
        <f>SUMIFS($AU$134:AU1105,$AQ$134:AQ1105,"D")</f>
        <v>5666.2366666667649</v>
      </c>
      <c r="BP1104" s="343">
        <f>SUMIFS($AU$134:AU1107,$AQ$134:AQ1107,"W")</f>
        <v>3122.7233333332406</v>
      </c>
      <c r="BQ1104" s="343">
        <f>SUMIFS($AU$134:AU1105,$Q$134:Q1105,"O")</f>
        <v>-691.04333333301054</v>
      </c>
      <c r="BR1104" s="343">
        <f>SUMIFS($AU$134:AU1105,$AA$134:AA1105,"*")</f>
        <v>19340.675333333387</v>
      </c>
      <c r="BS1104" s="343">
        <f>SUMIFS($AU$134:AU1105,$AB$134:AB1105,"*")</f>
        <v>5228.1566666669405</v>
      </c>
      <c r="BT1104" s="343">
        <f>SUMIFS($AU$134:AU1105,$AC$134:AC1105,"*")</f>
        <v>11143.683333333332</v>
      </c>
      <c r="BU1104" s="343">
        <f>SUMIFS($AU$134:AU1105,$AA$134:AA1105,"*",$AB$134:AB1105,"*")</f>
        <v>3378.0000000000045</v>
      </c>
      <c r="BV1104" s="343">
        <f>SUMIFS($AU$134:AU1105,$AA$134:AA1105,"*",$AC$134:AC1105,"*")</f>
        <v>9324.7833333333328</v>
      </c>
      <c r="BW1104" s="343">
        <f>SUMIFS($AU$134:AU1105,$AB$134:AB1105,"*",$AC$134:AC1105,"*")</f>
        <v>6014.6</v>
      </c>
      <c r="BX1104" s="343">
        <f>SUMIFS($AU1105:AU$1388,$Q1105:Q$1388,"F")</f>
        <v>8274.1333333333332</v>
      </c>
      <c r="BY1104" s="343">
        <f>SUMIFS($AU1105:AU$1388,$Q1105:Q$1388,"S")</f>
        <v>4800.0000000000009</v>
      </c>
      <c r="BZ1104" s="343">
        <f>SUMIFS($AU1105:AU$1388,$Q1105:Q$1388,"O")</f>
        <v>-957.81466666678784</v>
      </c>
    </row>
    <row r="1105" spans="1:78" ht="15.75" customHeight="1">
      <c r="A1105" s="221" t="s">
        <v>3942</v>
      </c>
      <c r="B1105" s="177"/>
      <c r="C1105" s="178"/>
      <c r="D1105" s="178"/>
      <c r="E1105" s="227" t="s">
        <v>4004</v>
      </c>
      <c r="F1105" s="180"/>
      <c r="G1105" s="181"/>
      <c r="H1105" s="182">
        <v>1</v>
      </c>
      <c r="I1105" s="182"/>
      <c r="J1105" s="182"/>
      <c r="K1105" s="183" t="s">
        <v>372</v>
      </c>
      <c r="L1105" s="182"/>
      <c r="M1105" s="182"/>
      <c r="N1105" s="182"/>
      <c r="O1105" s="183"/>
      <c r="P1105" s="183"/>
      <c r="Q1105" s="183"/>
      <c r="R1105" s="183"/>
      <c r="S1105" s="183"/>
      <c r="T1105" s="183"/>
      <c r="U1105" s="183"/>
      <c r="V1105" s="183"/>
      <c r="W1105" s="183"/>
      <c r="X1105" s="183"/>
      <c r="Y1105" s="183"/>
      <c r="Z1105" s="185" t="str">
        <f>IF(ISBLANK(O1105),"",IF(O1105="IB",8.63*200,IF(O1105="IR",16*100,IF(O1105="YT",20*100,IF(O1105="YT-XT",24*200,IF(O1105="TED",80*100))))))</f>
        <v/>
      </c>
      <c r="AA1105" s="185"/>
      <c r="AB1105" s="185"/>
      <c r="AC1105" s="185"/>
      <c r="AD1105" s="649"/>
      <c r="AE1105" s="182"/>
      <c r="AF1105" s="332"/>
      <c r="AG1105" s="182"/>
      <c r="AH1105" s="182"/>
      <c r="AI1105" s="182"/>
      <c r="AJ1105" s="640"/>
      <c r="AK1105" s="182"/>
      <c r="AL1105" s="496"/>
      <c r="AM1105" s="496"/>
      <c r="AN1105" s="626"/>
      <c r="AO1105" s="182"/>
      <c r="AP1105" s="182"/>
      <c r="AQ1105" s="332" t="str">
        <f>UPPER(RIGHT(Journal_Live[[#This Row],[DURATION ]]))</f>
        <v/>
      </c>
      <c r="AR1105" s="182"/>
      <c r="AS1105" s="189"/>
      <c r="AT1105" s="189"/>
      <c r="AU1105" s="187"/>
      <c r="AV1105" s="190"/>
      <c r="AW1105" s="191"/>
      <c r="AX1105" s="407"/>
      <c r="AY1105" s="407"/>
      <c r="AZ1105" s="407"/>
      <c r="BA1105" s="407"/>
      <c r="BB1105" s="407"/>
      <c r="BC1105" s="407"/>
      <c r="BD1105" s="407"/>
      <c r="BE1105" s="407"/>
      <c r="BF1105" s="422"/>
      <c r="BG1105" s="391">
        <f>SUM($AV$4:AV1105)</f>
        <v>4890.4428596842954</v>
      </c>
      <c r="BH1105" s="392">
        <f>SUM($AU$134:AU1105)</f>
        <v>21242.332000000326</v>
      </c>
      <c r="BI1105" s="318">
        <f>SUMIFS($AU$134:AU1106,$Q$134:Q1106,"F")</f>
        <v>6166.5333333333328</v>
      </c>
      <c r="BJ1105" s="318">
        <f>SUMIFS($AU$134:AU1106,$Q$134:Q1106,"S")</f>
        <v>15871.642</v>
      </c>
      <c r="BK1105" s="343">
        <f>SUMIFS($AU$134:AU1106,$P$134:P1106,"W")</f>
        <v>13358.941999999943</v>
      </c>
      <c r="BL1105" s="343">
        <f>SUMIFS($AU$134:AU1106,$P$134:P1106,"R")</f>
        <v>8484.6733333333214</v>
      </c>
      <c r="BM1105" s="343">
        <f>SUMIFS($AU$134:AU1106,$AQ$134:AQ1106,"M")</f>
        <v>2993.4000000001329</v>
      </c>
      <c r="BN1105" s="343">
        <f>SUMIFS($AU$134:AU1106,$AQ$134:AQ1106,"H")</f>
        <v>7841.3420000000151</v>
      </c>
      <c r="BO1105" s="343">
        <f>SUMIFS($AU$134:AU1106,$AQ$134:AQ1106,"D")</f>
        <v>5666.2366666667649</v>
      </c>
      <c r="BP1105" s="343">
        <f>SUMIFS($AU$134:AU1108,$AQ$134:AQ1108,"W")</f>
        <v>3122.7233333332406</v>
      </c>
      <c r="BQ1105" s="343">
        <f>SUMIFS($AU$134:AU1106,$Q$134:Q1106,"O")</f>
        <v>-547.04333333293687</v>
      </c>
      <c r="BR1105" s="343">
        <f>SUMIFS($AU$134:AU1106,$AA$134:AA1106,"*")</f>
        <v>19484.67533333346</v>
      </c>
      <c r="BS1105" s="343">
        <f>SUMIFS($AU$134:AU1106,$AB$134:AB1106,"*")</f>
        <v>5372.1566666670142</v>
      </c>
      <c r="BT1105" s="343">
        <f>SUMIFS($AU$134:AU1106,$AC$134:AC1106,"*")</f>
        <v>11143.683333333332</v>
      </c>
      <c r="BU1105" s="343">
        <f>SUMIFS($AU$134:AU1106,$AA$134:AA1106,"*",$AB$134:AB1106,"*")</f>
        <v>3522.0000000000782</v>
      </c>
      <c r="BV1105" s="343">
        <f>SUMIFS($AU$134:AU1106,$AA$134:AA1106,"*",$AC$134:AC1106,"*")</f>
        <v>9324.7833333333328</v>
      </c>
      <c r="BW1105" s="343">
        <f>SUMIFS($AU$134:AU1106,$AB$134:AB1106,"*",$AC$134:AC1106,"*")</f>
        <v>6014.6</v>
      </c>
      <c r="BX1105" s="343">
        <f>SUMIFS($AU1106:AU$1388,$Q1106:Q$1388,"F")</f>
        <v>8274.1333333333332</v>
      </c>
      <c r="BY1105" s="343">
        <f>SUMIFS($AU1106:AU$1388,$Q1106:Q$1388,"S")</f>
        <v>4800.0000000000009</v>
      </c>
      <c r="BZ1105" s="343">
        <f>SUMIFS($AU1106:AU$1388,$Q1106:Q$1388,"O")</f>
        <v>-957.81466666678784</v>
      </c>
    </row>
    <row r="1106" spans="1:78" ht="15.75" customHeight="1">
      <c r="A1106" s="221" t="s">
        <v>3942</v>
      </c>
      <c r="B1106" s="177">
        <v>45205</v>
      </c>
      <c r="C1106" s="178" t="s">
        <v>682</v>
      </c>
      <c r="D1106" s="178" t="s">
        <v>111</v>
      </c>
      <c r="E1106" s="227"/>
      <c r="F1106" s="180"/>
      <c r="G1106" s="281" t="s">
        <v>3924</v>
      </c>
      <c r="H1106" s="182"/>
      <c r="I1106" s="182"/>
      <c r="J1106" s="182"/>
      <c r="K1106" s="183"/>
      <c r="L1106" s="182">
        <v>3</v>
      </c>
      <c r="M1106" s="182"/>
      <c r="N1106" s="182"/>
      <c r="O1106" s="183" t="s">
        <v>3618</v>
      </c>
      <c r="P1106" s="183" t="s">
        <v>2260</v>
      </c>
      <c r="Q1106" s="183" t="s">
        <v>684</v>
      </c>
      <c r="R1106" s="183">
        <v>1</v>
      </c>
      <c r="S1106" s="183">
        <v>0</v>
      </c>
      <c r="T1106" s="183">
        <v>1</v>
      </c>
      <c r="U1106" s="183" t="s">
        <v>97</v>
      </c>
      <c r="V1106" s="183"/>
      <c r="W1106" s="183"/>
      <c r="X1106" s="183"/>
      <c r="Y1106" s="184">
        <f>IF(ISBLANK(O1106),"",(IF(O1106=UPPER("IB"),0.005,0.01)))</f>
        <v>0.01</v>
      </c>
      <c r="Z1106" s="185">
        <f>IF(ISBLANK(O1106),"",IF(O1106="IB",8.63*200,IF(O1106="IR",16*100,IF(O1106="YT",20*100,IF(O1106="YT-XT",24*200,IF(O1106="TED",80*100,IF(O1106="XT",36*200)))))))</f>
        <v>7200</v>
      </c>
      <c r="AA1106" s="185" t="s">
        <v>4005</v>
      </c>
      <c r="AB1106" s="473" t="s">
        <v>4006</v>
      </c>
      <c r="AC1106" s="185"/>
      <c r="AD1106" s="649">
        <v>95.4</v>
      </c>
      <c r="AE1106" s="182"/>
      <c r="AF1106" s="332"/>
      <c r="AG1106" s="182"/>
      <c r="AH1106" s="182"/>
      <c r="AI1106" s="182"/>
      <c r="AJ1106" s="640"/>
      <c r="AK1106" s="182"/>
      <c r="AL1106" s="496"/>
      <c r="AM1106" s="496"/>
      <c r="AN1106" s="626"/>
      <c r="AO1106" s="182"/>
      <c r="AP1106" s="182" t="s">
        <v>4007</v>
      </c>
      <c r="AQ1106" s="332" t="str">
        <f>UPPER(RIGHT(Journal_Live[[#This Row],[DURATION ]]))</f>
        <v>M</v>
      </c>
      <c r="AR1106" s="182" t="s">
        <v>3063</v>
      </c>
      <c r="AS1106" s="189">
        <v>95.38</v>
      </c>
      <c r="AT1106" s="189">
        <f>IF(ISBLANK(AS1106),,IF(U1106="S",AD1106-AS1106,AS1106-AD1106))</f>
        <v>2.0000000000010232E-2</v>
      </c>
      <c r="AU1106" s="187">
        <f>AV1106*R1106</f>
        <v>144.00000000007367</v>
      </c>
      <c r="AV1106" s="190">
        <f>IF(ISBLANK(AS1106),,(AT1106*Z1106))</f>
        <v>144.00000000007367</v>
      </c>
      <c r="AW1106" s="191" t="s">
        <v>96</v>
      </c>
      <c r="AX1106" s="407" t="s">
        <v>4008</v>
      </c>
      <c r="AY1106" s="407" t="s">
        <v>4009</v>
      </c>
      <c r="AZ1106" s="407" t="s">
        <v>4010</v>
      </c>
      <c r="BA1106" s="407"/>
      <c r="BB1106" s="407"/>
      <c r="BC1106" s="407"/>
      <c r="BD1106" s="407"/>
      <c r="BE1106" s="407"/>
      <c r="BF1106" s="422"/>
      <c r="BG1106" s="391">
        <f>SUM($AV$4:AV1106)</f>
        <v>5034.4428596843691</v>
      </c>
      <c r="BH1106" s="392">
        <f>SUM($AU$134:AU1106)</f>
        <v>21386.332000000399</v>
      </c>
      <c r="BI1106" s="318">
        <f>SUMIFS($AU$134:AU1107,$Q$134:Q1107,"F")</f>
        <v>6166.5333333333328</v>
      </c>
      <c r="BJ1106" s="318">
        <f>SUMIFS($AU$134:AU1107,$Q$134:Q1107,"S")</f>
        <v>15871.642</v>
      </c>
      <c r="BK1106" s="343">
        <f>SUMIFS($AU$134:AU1107,$P$134:P1107,"W")</f>
        <v>13358.941999999943</v>
      </c>
      <c r="BL1106" s="343">
        <f>SUMIFS($AU$134:AU1107,$P$134:P1107,"R")</f>
        <v>8484.6733333333214</v>
      </c>
      <c r="BM1106" s="343">
        <f>SUMIFS($AU$134:AU1107,$AQ$134:AQ1107,"M")</f>
        <v>3065.4000000001697</v>
      </c>
      <c r="BN1106" s="343">
        <f>SUMIFS($AU$134:AU1107,$AQ$134:AQ1107,"H")</f>
        <v>7841.3420000000151</v>
      </c>
      <c r="BO1106" s="343">
        <f>SUMIFS($AU$134:AU1107,$AQ$134:AQ1107,"D")</f>
        <v>5666.2366666667649</v>
      </c>
      <c r="BP1106" s="343">
        <f>SUMIFS($AU$134:AU1109,$AQ$134:AQ1109,"W")</f>
        <v>3122.7233333332406</v>
      </c>
      <c r="BQ1106" s="343">
        <f>SUMIFS($AU$134:AU1107,$Q$134:Q1107,"O")</f>
        <v>-475.04333333290003</v>
      </c>
      <c r="BR1106" s="343">
        <f>SUMIFS($AU$134:AU1107,$AA$134:AA1107,"*")</f>
        <v>19556.675333333496</v>
      </c>
      <c r="BS1106" s="343">
        <f>SUMIFS($AU$134:AU1107,$AB$134:AB1107,"*")</f>
        <v>5444.1566666670515</v>
      </c>
      <c r="BT1106" s="343">
        <f>SUMIFS($AU$134:AU1107,$AC$134:AC1107,"*")</f>
        <v>11143.683333333332</v>
      </c>
      <c r="BU1106" s="343">
        <f>SUMIFS($AU$134:AU1107,$AA$134:AA1107,"*",$AB$134:AB1107,"*")</f>
        <v>3594.0000000001151</v>
      </c>
      <c r="BV1106" s="343">
        <f>SUMIFS($AU$134:AU1107,$AA$134:AA1107,"*",$AC$134:AC1107,"*")</f>
        <v>9324.7833333333328</v>
      </c>
      <c r="BW1106" s="343">
        <f>SUMIFS($AU$134:AU1107,$AB$134:AB1107,"*",$AC$134:AC1107,"*")</f>
        <v>6014.6</v>
      </c>
      <c r="BX1106" s="343">
        <f>SUMIFS($AU1107:AU$1388,$Q1107:Q$1388,"F")</f>
        <v>8274.1333333333332</v>
      </c>
      <c r="BY1106" s="343">
        <f>SUMIFS($AU1107:AU$1388,$Q1107:Q$1388,"S")</f>
        <v>4800.0000000000009</v>
      </c>
      <c r="BZ1106" s="343">
        <f>SUMIFS($AU1107:AU$1388,$Q1107:Q$1388,"O")</f>
        <v>-1101.8146666668615</v>
      </c>
    </row>
    <row r="1107" spans="1:78" ht="15.75" customHeight="1">
      <c r="A1107" s="221" t="s">
        <v>3942</v>
      </c>
      <c r="B1107" s="177">
        <v>45205</v>
      </c>
      <c r="C1107" s="178" t="s">
        <v>682</v>
      </c>
      <c r="D1107" s="178" t="s">
        <v>111</v>
      </c>
      <c r="E1107" s="227"/>
      <c r="F1107" s="180"/>
      <c r="G1107" s="281" t="s">
        <v>3924</v>
      </c>
      <c r="H1107" s="182"/>
      <c r="I1107" s="182"/>
      <c r="J1107" s="182"/>
      <c r="K1107" s="183"/>
      <c r="L1107" s="182">
        <v>2</v>
      </c>
      <c r="M1107" s="182"/>
      <c r="N1107" s="182"/>
      <c r="O1107" s="183" t="s">
        <v>3618</v>
      </c>
      <c r="P1107" s="183" t="s">
        <v>2260</v>
      </c>
      <c r="Q1107" s="183" t="s">
        <v>684</v>
      </c>
      <c r="R1107" s="183">
        <v>1</v>
      </c>
      <c r="S1107" s="183">
        <v>0</v>
      </c>
      <c r="T1107" s="183">
        <v>1</v>
      </c>
      <c r="U1107" s="183" t="s">
        <v>97</v>
      </c>
      <c r="V1107" s="183"/>
      <c r="W1107" s="183"/>
      <c r="X1107" s="183"/>
      <c r="Y1107" s="184">
        <f>IF(ISBLANK(O1107),"",(IF(O1107=UPPER("IB"),0.005,0.01)))</f>
        <v>0.01</v>
      </c>
      <c r="Z1107" s="185">
        <f>IF(ISBLANK(O1107),"",IF(O1107="IB",8.63*200,IF(O1107="IR",16*100,IF(O1107="YT",20*100,IF(O1107="YT-XT",24*200,IF(O1107="TED",80*100,IF(O1107="XT",36*200)))))))</f>
        <v>7200</v>
      </c>
      <c r="AA1107" s="185" t="s">
        <v>4005</v>
      </c>
      <c r="AB1107" s="473" t="s">
        <v>4006</v>
      </c>
      <c r="AC1107" s="185"/>
      <c r="AD1107" s="649">
        <v>95.375</v>
      </c>
      <c r="AE1107" s="182"/>
      <c r="AF1107" s="332"/>
      <c r="AG1107" s="182"/>
      <c r="AH1107" s="182"/>
      <c r="AI1107" s="182"/>
      <c r="AJ1107" s="640"/>
      <c r="AK1107" s="182"/>
      <c r="AL1107" s="496"/>
      <c r="AM1107" s="496"/>
      <c r="AN1107" s="626"/>
      <c r="AO1107" s="182"/>
      <c r="AP1107" s="182" t="s">
        <v>4011</v>
      </c>
      <c r="AQ1107" s="332" t="str">
        <f>UPPER(RIGHT(Journal_Live[[#This Row],[DURATION ]]))</f>
        <v>M</v>
      </c>
      <c r="AR1107" s="182" t="s">
        <v>4012</v>
      </c>
      <c r="AS1107" s="189">
        <v>95.364999999999995</v>
      </c>
      <c r="AT1107" s="189">
        <f>IF(ISBLANK(AS1107),,IF(U1107="S",AD1107-AS1107,AS1107-AD1107))</f>
        <v>1.0000000000005116E-2</v>
      </c>
      <c r="AU1107" s="187">
        <f>AV1107*R1107</f>
        <v>72.000000000036835</v>
      </c>
      <c r="AV1107" s="190">
        <f>IF(ISBLANK(AS1107),,(AT1107*Z1107))</f>
        <v>72.000000000036835</v>
      </c>
      <c r="AW1107" s="191" t="s">
        <v>96</v>
      </c>
      <c r="AX1107" s="407"/>
      <c r="AY1107" s="407"/>
      <c r="AZ1107" s="407"/>
      <c r="BA1107" s="407"/>
      <c r="BB1107" s="407"/>
      <c r="BC1107" s="407"/>
      <c r="BD1107" s="407"/>
      <c r="BE1107" s="407"/>
      <c r="BF1107" s="422"/>
      <c r="BG1107" s="391">
        <f>SUM($AV$4:AV1107)</f>
        <v>5106.4428596844064</v>
      </c>
      <c r="BH1107" s="392">
        <f>SUM($AU$134:AU1107)</f>
        <v>21458.332000000435</v>
      </c>
      <c r="BI1107" s="318">
        <f>SUMIFS($AU$134:AU1108,$Q$134:Q1108,"F")</f>
        <v>6166.5333333333328</v>
      </c>
      <c r="BJ1107" s="318">
        <f>SUMIFS($AU$134:AU1108,$Q$134:Q1108,"S")</f>
        <v>15871.642</v>
      </c>
      <c r="BK1107" s="343">
        <f>SUMIFS($AU$134:AU1108,$P$134:P1108,"W")</f>
        <v>13358.941999999943</v>
      </c>
      <c r="BL1107" s="343">
        <f>SUMIFS($AU$134:AU1108,$P$134:P1108,"R")</f>
        <v>8484.6733333333214</v>
      </c>
      <c r="BM1107" s="343">
        <f>SUMIFS($AU$134:AU1108,$AQ$134:AQ1108,"M")</f>
        <v>2633.4000000001533</v>
      </c>
      <c r="BN1107" s="343">
        <f>SUMIFS($AU$134:AU1108,$AQ$134:AQ1108,"H")</f>
        <v>7841.3420000000151</v>
      </c>
      <c r="BO1107" s="343">
        <f>SUMIFS($AU$134:AU1108,$AQ$134:AQ1108,"D")</f>
        <v>5666.2366666667649</v>
      </c>
      <c r="BP1107" s="343">
        <f>SUMIFS($AU$134:AU1110,$AQ$134:AQ1110,"W")</f>
        <v>3122.7233333332406</v>
      </c>
      <c r="BQ1107" s="343">
        <f>SUMIFS($AU$134:AU1108,$Q$134:Q1108,"O")</f>
        <v>-907.0433333329164</v>
      </c>
      <c r="BR1107" s="343">
        <f>SUMIFS($AU$134:AU1108,$AA$134:AA1108,"*")</f>
        <v>19124.675333333478</v>
      </c>
      <c r="BS1107" s="343">
        <f>SUMIFS($AU$134:AU1108,$AB$134:AB1108,"*")</f>
        <v>5012.1566666670351</v>
      </c>
      <c r="BT1107" s="343">
        <f>SUMIFS($AU$134:AU1108,$AC$134:AC1108,"*")</f>
        <v>11143.683333333332</v>
      </c>
      <c r="BU1107" s="343">
        <f>SUMIFS($AU$134:AU1108,$AA$134:AA1108,"*",$AB$134:AB1108,"*")</f>
        <v>3162.0000000000987</v>
      </c>
      <c r="BV1107" s="343">
        <f>SUMIFS($AU$134:AU1108,$AA$134:AA1108,"*",$AC$134:AC1108,"*")</f>
        <v>9324.7833333333328</v>
      </c>
      <c r="BW1107" s="343">
        <f>SUMIFS($AU$134:AU1108,$AB$134:AB1108,"*",$AC$134:AC1108,"*")</f>
        <v>6014.6</v>
      </c>
      <c r="BX1107" s="343">
        <f>SUMIFS($AU1108:AU$1388,$Q1108:Q$1388,"F")</f>
        <v>8274.1333333333332</v>
      </c>
      <c r="BY1107" s="343">
        <f>SUMIFS($AU1108:AU$1388,$Q1108:Q$1388,"S")</f>
        <v>4800.0000000000009</v>
      </c>
      <c r="BZ1107" s="343">
        <f>SUMIFS($AU1108:AU$1388,$Q1108:Q$1388,"O")</f>
        <v>-1173.8146666668983</v>
      </c>
    </row>
    <row r="1108" spans="1:78" ht="15.75" customHeight="1">
      <c r="A1108" s="221" t="s">
        <v>3942</v>
      </c>
      <c r="B1108" s="177">
        <v>45205</v>
      </c>
      <c r="C1108" s="178" t="s">
        <v>682</v>
      </c>
      <c r="D1108" s="178" t="s">
        <v>111</v>
      </c>
      <c r="E1108" s="227"/>
      <c r="F1108" s="180"/>
      <c r="G1108" s="281" t="s">
        <v>3924</v>
      </c>
      <c r="H1108" s="182"/>
      <c r="I1108" s="182"/>
      <c r="J1108" s="182"/>
      <c r="K1108" s="183"/>
      <c r="L1108" s="182">
        <v>1</v>
      </c>
      <c r="M1108" s="182"/>
      <c r="N1108" s="182"/>
      <c r="O1108" s="183" t="s">
        <v>3618</v>
      </c>
      <c r="P1108" s="183" t="s">
        <v>2260</v>
      </c>
      <c r="Q1108" s="183" t="s">
        <v>684</v>
      </c>
      <c r="R1108" s="183">
        <v>1</v>
      </c>
      <c r="S1108" s="183">
        <v>0</v>
      </c>
      <c r="T1108" s="183">
        <v>1</v>
      </c>
      <c r="U1108" s="183" t="s">
        <v>97</v>
      </c>
      <c r="V1108" s="183"/>
      <c r="W1108" s="183"/>
      <c r="X1108" s="183"/>
      <c r="Y1108" s="184">
        <f>IF(ISBLANK(O1108),"",(IF(O1108=UPPER("IB"),0.005,0.01)))</f>
        <v>0.01</v>
      </c>
      <c r="Z1108" s="185">
        <f>IF(ISBLANK(O1108),"",IF(O1108="IB",8.63*200,IF(O1108="IR",16*100,IF(O1108="YT",20*100,IF(O1108="YT-XT",24*200,IF(O1108="TED",80*100,IF(O1108="XT",36*200)))))))</f>
        <v>7200</v>
      </c>
      <c r="AA1108" s="185" t="s">
        <v>4013</v>
      </c>
      <c r="AB1108" s="473" t="s">
        <v>4006</v>
      </c>
      <c r="AC1108" s="185"/>
      <c r="AD1108" s="649">
        <v>95.36</v>
      </c>
      <c r="AE1108" s="182"/>
      <c r="AF1108" s="332"/>
      <c r="AG1108" s="182"/>
      <c r="AH1108" s="182"/>
      <c r="AI1108" s="182"/>
      <c r="AJ1108" s="640"/>
      <c r="AK1108" s="182"/>
      <c r="AL1108" s="496"/>
      <c r="AM1108" s="496"/>
      <c r="AN1108" s="626"/>
      <c r="AO1108" s="182"/>
      <c r="AP1108" s="182" t="s">
        <v>4014</v>
      </c>
      <c r="AQ1108" s="332" t="str">
        <f>UPPER(RIGHT(Journal_Live[[#This Row],[DURATION ]]))</f>
        <v>M</v>
      </c>
      <c r="AR1108" s="182" t="s">
        <v>1054</v>
      </c>
      <c r="AS1108" s="189">
        <v>95.42</v>
      </c>
      <c r="AT1108" s="189">
        <f>IF(ISBLANK(AS1108),,IF(U1108="S",AD1108-AS1108,AS1108-AD1108))</f>
        <v>-6.0000000000002274E-2</v>
      </c>
      <c r="AU1108" s="187">
        <f>AV1108*R1108</f>
        <v>-432.00000000001637</v>
      </c>
      <c r="AV1108" s="190">
        <f>IF(ISBLANK(AS1108),,(AT1108*Z1108))</f>
        <v>-432.00000000001637</v>
      </c>
      <c r="AW1108" s="191" t="s">
        <v>229</v>
      </c>
      <c r="AX1108" s="407" t="s">
        <v>4015</v>
      </c>
      <c r="AY1108" s="407" t="s">
        <v>4016</v>
      </c>
      <c r="AZ1108" s="407" t="s">
        <v>4017</v>
      </c>
      <c r="BA1108" s="407"/>
      <c r="BB1108" s="407"/>
      <c r="BC1108" s="407"/>
      <c r="BD1108" s="407"/>
      <c r="BE1108" s="407"/>
      <c r="BF1108" s="422"/>
      <c r="BG1108" s="391">
        <f>SUM($AV$4:AV1108)</f>
        <v>4674.44285968439</v>
      </c>
      <c r="BH1108" s="392">
        <f>SUM($AU$134:AU1108)</f>
        <v>21026.332000000417</v>
      </c>
      <c r="BI1108" s="318">
        <f>SUMIFS($AU$134:AU1109,$Q$134:Q1109,"F")</f>
        <v>6166.5333333333328</v>
      </c>
      <c r="BJ1108" s="318">
        <f>SUMIFS($AU$134:AU1109,$Q$134:Q1109,"S")</f>
        <v>15871.642</v>
      </c>
      <c r="BK1108" s="343">
        <f>SUMIFS($AU$134:AU1109,$P$134:P1109,"W")</f>
        <v>13358.941999999943</v>
      </c>
      <c r="BL1108" s="343">
        <f>SUMIFS($AU$134:AU1109,$P$134:P1109,"R")</f>
        <v>8484.6733333333214</v>
      </c>
      <c r="BM1108" s="343">
        <f>SUMIFS($AU$134:AU1109,$AQ$134:AQ1109,"M")</f>
        <v>2633.4000000001533</v>
      </c>
      <c r="BN1108" s="343">
        <f>SUMIFS($AU$134:AU1109,$AQ$134:AQ1109,"H")</f>
        <v>7517.3420000000024</v>
      </c>
      <c r="BO1108" s="343">
        <f>SUMIFS($AU$134:AU1109,$AQ$134:AQ1109,"D")</f>
        <v>5666.2366666667649</v>
      </c>
      <c r="BP1108" s="343">
        <f>SUMIFS($AU$134:AU1111,$AQ$134:AQ1111,"W")</f>
        <v>3122.7233333332406</v>
      </c>
      <c r="BQ1108" s="343">
        <f>SUMIFS($AU$134:AU1109,$Q$134:Q1109,"O")</f>
        <v>-1231.0433333329288</v>
      </c>
      <c r="BR1108" s="343">
        <f>SUMIFS($AU$134:AU1109,$AA$134:AA1109,"*")</f>
        <v>18800.675333333467</v>
      </c>
      <c r="BS1108" s="343">
        <f>SUMIFS($AU$134:AU1109,$AB$134:AB1109,"*")</f>
        <v>4688.1566666670224</v>
      </c>
      <c r="BT1108" s="343">
        <f>SUMIFS($AU$134:AU1109,$AC$134:AC1109,"*")</f>
        <v>11143.683333333332</v>
      </c>
      <c r="BU1108" s="343">
        <f>SUMIFS($AU$134:AU1109,$AA$134:AA1109,"*",$AB$134:AB1109,"*")</f>
        <v>2838.0000000000864</v>
      </c>
      <c r="BV1108" s="343">
        <f>SUMIFS($AU$134:AU1109,$AA$134:AA1109,"*",$AC$134:AC1109,"*")</f>
        <v>9324.7833333333328</v>
      </c>
      <c r="BW1108" s="343">
        <f>SUMIFS($AU$134:AU1109,$AB$134:AB1109,"*",$AC$134:AC1109,"*")</f>
        <v>6014.6</v>
      </c>
      <c r="BX1108" s="343">
        <f>SUMIFS($AU1109:AU$1388,$Q1109:Q$1388,"F")</f>
        <v>8274.1333333333332</v>
      </c>
      <c r="BY1108" s="343">
        <f>SUMIFS($AU1109:AU$1388,$Q1109:Q$1388,"S")</f>
        <v>4800.0000000000009</v>
      </c>
      <c r="BZ1108" s="343">
        <f>SUMIFS($AU1109:AU$1388,$Q1109:Q$1388,"O")</f>
        <v>-741.8146666668822</v>
      </c>
    </row>
    <row r="1109" spans="1:78" ht="15.75" customHeight="1">
      <c r="A1109" s="221" t="s">
        <v>3942</v>
      </c>
      <c r="B1109" s="177">
        <v>45205</v>
      </c>
      <c r="C1109" s="178" t="s">
        <v>4018</v>
      </c>
      <c r="D1109" s="178" t="s">
        <v>111</v>
      </c>
      <c r="E1109" s="227"/>
      <c r="F1109" s="180"/>
      <c r="G1109" s="281" t="s">
        <v>3924</v>
      </c>
      <c r="H1109" s="182"/>
      <c r="I1109" s="182"/>
      <c r="J1109" s="182"/>
      <c r="K1109" s="183"/>
      <c r="L1109" s="182">
        <v>1</v>
      </c>
      <c r="M1109" s="182"/>
      <c r="N1109" s="182"/>
      <c r="O1109" s="183" t="s">
        <v>3618</v>
      </c>
      <c r="P1109" s="183" t="s">
        <v>2260</v>
      </c>
      <c r="Q1109" s="183" t="s">
        <v>684</v>
      </c>
      <c r="R1109" s="183">
        <v>1</v>
      </c>
      <c r="S1109" s="183">
        <v>0</v>
      </c>
      <c r="T1109" s="183">
        <v>1</v>
      </c>
      <c r="U1109" s="183" t="s">
        <v>97</v>
      </c>
      <c r="V1109" s="183"/>
      <c r="W1109" s="183"/>
      <c r="X1109" s="183"/>
      <c r="Y1109" s="184">
        <f>IF(ISBLANK(O1109),"",(IF(O1109=UPPER("IB"),0.005,0.01)))</f>
        <v>0.01</v>
      </c>
      <c r="Z1109" s="185">
        <f>IF(ISBLANK(O1109),"",IF(O1109="IB",8.63*200,IF(O1109="IR",16*100,IF(O1109="YT",20*100,IF(O1109="YT-XT",24*200,IF(O1109="TED",80*100,IF(O1109="XT",36*200)))))))</f>
        <v>7200</v>
      </c>
      <c r="AA1109" s="185" t="s">
        <v>4019</v>
      </c>
      <c r="AB1109" s="185" t="s">
        <v>4020</v>
      </c>
      <c r="AC1109" s="185"/>
      <c r="AD1109" s="649">
        <v>95.375</v>
      </c>
      <c r="AE1109" s="182"/>
      <c r="AF1109" s="332"/>
      <c r="AG1109" s="182"/>
      <c r="AH1109" s="182"/>
      <c r="AI1109" s="182"/>
      <c r="AJ1109" s="644" t="s">
        <v>4021</v>
      </c>
      <c r="AK1109" s="182"/>
      <c r="AL1109" s="496"/>
      <c r="AM1109" s="496"/>
      <c r="AN1109" s="626"/>
      <c r="AO1109" s="182"/>
      <c r="AP1109" s="182" t="s">
        <v>1026</v>
      </c>
      <c r="AQ1109" s="332" t="str">
        <f>UPPER(RIGHT(Journal_Live[[#This Row],[DURATION ]]))</f>
        <v>H</v>
      </c>
      <c r="AR1109" s="182" t="s">
        <v>1054</v>
      </c>
      <c r="AS1109" s="189">
        <v>95.42</v>
      </c>
      <c r="AT1109" s="189">
        <f>IF(ISBLANK(AS1109),,IF(U1109="S",AD1109-AS1109,AS1109-AD1109))</f>
        <v>-4.5000000000001705E-2</v>
      </c>
      <c r="AU1109" s="187">
        <f>AV1109*R1109</f>
        <v>-324.00000000001228</v>
      </c>
      <c r="AV1109" s="190">
        <f>IF(ISBLANK(AS1109),,(AT1109*Z1109))</f>
        <v>-324.00000000001228</v>
      </c>
      <c r="AW1109" s="191" t="s">
        <v>229</v>
      </c>
      <c r="AX1109" s="407" t="s">
        <v>4022</v>
      </c>
      <c r="AY1109" s="407" t="s">
        <v>4023</v>
      </c>
      <c r="AZ1109" s="407" t="s">
        <v>4024</v>
      </c>
      <c r="BA1109" s="407" t="s">
        <v>4025</v>
      </c>
      <c r="BB1109" s="407" t="s">
        <v>4026</v>
      </c>
      <c r="BC1109" s="407"/>
      <c r="BD1109" s="407"/>
      <c r="BE1109" s="407"/>
      <c r="BF1109" s="422"/>
      <c r="BG1109" s="391">
        <f>SUM($AV$4:AV1109)</f>
        <v>4350.4428596843773</v>
      </c>
      <c r="BH1109" s="392">
        <f>SUM($AU$134:AU1109)</f>
        <v>20702.332000000406</v>
      </c>
      <c r="BI1109" s="318">
        <f>SUMIFS($AU$134:AU1110,$Q$134:Q1110,"F")</f>
        <v>6166.5333333333328</v>
      </c>
      <c r="BJ1109" s="318">
        <f>SUMIFS($AU$134:AU1110,$Q$134:Q1110,"S")</f>
        <v>15871.642</v>
      </c>
      <c r="BK1109" s="343">
        <f>SUMIFS($AU$134:AU1110,$P$134:P1110,"W")</f>
        <v>13358.941999999943</v>
      </c>
      <c r="BL1109" s="343">
        <f>SUMIFS($AU$134:AU1110,$P$134:P1110,"R")</f>
        <v>8484.6733333333214</v>
      </c>
      <c r="BM1109" s="343">
        <f>SUMIFS($AU$134:AU1110,$AQ$134:AQ1110,"M")</f>
        <v>2633.4000000001533</v>
      </c>
      <c r="BN1109" s="343">
        <f>SUMIFS($AU$134:AU1110,$AQ$134:AQ1110,"H")</f>
        <v>7337.3420000000642</v>
      </c>
      <c r="BO1109" s="343">
        <f>SUMIFS($AU$134:AU1110,$AQ$134:AQ1110,"D")</f>
        <v>5666.2366666667649</v>
      </c>
      <c r="BP1109" s="343">
        <f>SUMIFS($AU$134:AU1112,$AQ$134:AQ1112,"W")</f>
        <v>3122.7233333332406</v>
      </c>
      <c r="BQ1109" s="343">
        <f>SUMIFS($AU$134:AU1110,$Q$134:Q1110,"O")</f>
        <v>-1411.0433333328674</v>
      </c>
      <c r="BR1109" s="343">
        <f>SUMIFS($AU$134:AU1110,$AA$134:AA1110,"*")</f>
        <v>18800.675333333467</v>
      </c>
      <c r="BS1109" s="343">
        <f>SUMIFS($AU$134:AU1110,$AB$134:AB1110,"*")</f>
        <v>4508.1566666670842</v>
      </c>
      <c r="BT1109" s="343">
        <f>SUMIFS($AU$134:AU1110,$AC$134:AC1110,"*")</f>
        <v>11143.683333333332</v>
      </c>
      <c r="BU1109" s="343">
        <f>SUMIFS($AU$134:AU1110,$AA$134:AA1110,"*",$AB$134:AB1110,"*")</f>
        <v>2838.0000000000864</v>
      </c>
      <c r="BV1109" s="343">
        <f>SUMIFS($AU$134:AU1110,$AA$134:AA1110,"*",$AC$134:AC1110,"*")</f>
        <v>9324.7833333333328</v>
      </c>
      <c r="BW1109" s="343">
        <f>SUMIFS($AU$134:AU1110,$AB$134:AB1110,"*",$AC$134:AC1110,"*")</f>
        <v>6014.6</v>
      </c>
      <c r="BX1109" s="343">
        <f>SUMIFS($AU1110:AU$1388,$Q1110:Q$1388,"F")</f>
        <v>8274.1333333333332</v>
      </c>
      <c r="BY1109" s="343">
        <f>SUMIFS($AU1110:AU$1388,$Q1110:Q$1388,"S")</f>
        <v>4800.0000000000009</v>
      </c>
      <c r="BZ1109" s="343">
        <f>SUMIFS($AU1110:AU$1388,$Q1110:Q$1388,"O")</f>
        <v>-417.81466666686981</v>
      </c>
    </row>
    <row r="1110" spans="1:78" ht="15.75" customHeight="1">
      <c r="A1110" s="221" t="s">
        <v>3942</v>
      </c>
      <c r="B1110" s="177">
        <v>45205</v>
      </c>
      <c r="C1110" s="178" t="s">
        <v>4027</v>
      </c>
      <c r="D1110" s="178" t="s">
        <v>111</v>
      </c>
      <c r="E1110" s="227"/>
      <c r="F1110" s="180"/>
      <c r="G1110" s="281" t="s">
        <v>3924</v>
      </c>
      <c r="H1110" s="182"/>
      <c r="I1110" s="182"/>
      <c r="J1110" s="182"/>
      <c r="K1110" s="183"/>
      <c r="L1110" s="182">
        <v>1</v>
      </c>
      <c r="M1110" s="182"/>
      <c r="N1110" s="182"/>
      <c r="O1110" s="183" t="s">
        <v>3618</v>
      </c>
      <c r="P1110" s="183" t="s">
        <v>2260</v>
      </c>
      <c r="Q1110" s="183" t="s">
        <v>684</v>
      </c>
      <c r="R1110" s="183">
        <v>1</v>
      </c>
      <c r="S1110" s="183">
        <v>0</v>
      </c>
      <c r="T1110" s="183">
        <v>1</v>
      </c>
      <c r="U1110" s="183" t="s">
        <v>97</v>
      </c>
      <c r="V1110" s="183"/>
      <c r="W1110" s="183"/>
      <c r="X1110" s="183"/>
      <c r="Y1110" s="184">
        <f>IF(ISBLANK(O1110),"",(IF(O1110=UPPER("IB"),0.005,0.01)))</f>
        <v>0.01</v>
      </c>
      <c r="Z1110" s="185">
        <f>IF(ISBLANK(O1110),"",IF(O1110="IB",8.63*200,IF(O1110="IR",16*100,IF(O1110="YT",20*100,IF(O1110="YT-XT",24*200,IF(O1110="TED",80*100,IF(O1110="XT",36*200)))))))</f>
        <v>7200</v>
      </c>
      <c r="AA1110" s="185"/>
      <c r="AB1110" s="185" t="s">
        <v>4028</v>
      </c>
      <c r="AC1110" s="185"/>
      <c r="AD1110" s="649">
        <v>95.4</v>
      </c>
      <c r="AE1110" s="182"/>
      <c r="AF1110" s="332"/>
      <c r="AG1110" s="182"/>
      <c r="AH1110" s="182"/>
      <c r="AI1110" s="182"/>
      <c r="AJ1110" s="640"/>
      <c r="AK1110" s="182"/>
      <c r="AL1110" s="496"/>
      <c r="AM1110" s="496"/>
      <c r="AN1110" s="626"/>
      <c r="AO1110" s="182"/>
      <c r="AP1110" s="182" t="s">
        <v>967</v>
      </c>
      <c r="AQ1110" s="332" t="str">
        <f>UPPER(RIGHT(Journal_Live[[#This Row],[DURATION ]]))</f>
        <v>H</v>
      </c>
      <c r="AR1110" s="182" t="s">
        <v>4029</v>
      </c>
      <c r="AS1110" s="189">
        <v>95.424999999999997</v>
      </c>
      <c r="AT1110" s="189">
        <f>IF(ISBLANK(AS1110),,IF(U1110="S",AD1110-AS1110,AS1110-AD1110))</f>
        <v>-2.4999999999991473E-2</v>
      </c>
      <c r="AU1110" s="187">
        <f>AV1110*R1110</f>
        <v>-179.99999999993861</v>
      </c>
      <c r="AV1110" s="190">
        <f>IF(ISBLANK(AS1110),,(AT1110*Z1110))</f>
        <v>-179.99999999993861</v>
      </c>
      <c r="AW1110" s="191" t="s">
        <v>229</v>
      </c>
      <c r="AX1110" s="407" t="s">
        <v>4030</v>
      </c>
      <c r="AY1110" s="407" t="s">
        <v>4031</v>
      </c>
      <c r="AZ1110" s="407" t="s">
        <v>4032</v>
      </c>
      <c r="BA1110" s="407" t="s">
        <v>4033</v>
      </c>
      <c r="BB1110" s="407" t="s">
        <v>529</v>
      </c>
      <c r="BC1110" s="407"/>
      <c r="BD1110" s="407" t="s">
        <v>4034</v>
      </c>
      <c r="BE1110" s="407" t="s">
        <v>4035</v>
      </c>
      <c r="BF1110" s="422"/>
      <c r="BG1110" s="391">
        <f>SUM($AV$4:AV1110)</f>
        <v>4170.4428596844391</v>
      </c>
      <c r="BH1110" s="392">
        <f>SUM($AU$134:AU1110)</f>
        <v>20522.332000000468</v>
      </c>
      <c r="BI1110" s="318">
        <f>SUMIFS($AU$134:AU1111,$Q$134:Q1111,"F")</f>
        <v>6166.5333333333328</v>
      </c>
      <c r="BJ1110" s="318">
        <f>SUMIFS($AU$134:AU1111,$Q$134:Q1111,"S")</f>
        <v>15871.642</v>
      </c>
      <c r="BK1110" s="343">
        <f>SUMIFS($AU$134:AU1111,$P$134:P1111,"W")</f>
        <v>13358.941999999943</v>
      </c>
      <c r="BL1110" s="343">
        <f>SUMIFS($AU$134:AU1111,$P$134:P1111,"R")</f>
        <v>8484.6733333333214</v>
      </c>
      <c r="BM1110" s="343">
        <f>SUMIFS($AU$134:AU1111,$AQ$134:AQ1111,"M")</f>
        <v>2633.4000000001533</v>
      </c>
      <c r="BN1110" s="343">
        <f>SUMIFS($AU$134:AU1111,$AQ$134:AQ1111,"H")</f>
        <v>7337.3420000000642</v>
      </c>
      <c r="BO1110" s="343">
        <f>SUMIFS($AU$134:AU1111,$AQ$134:AQ1111,"D")</f>
        <v>5666.2366666667649</v>
      </c>
      <c r="BP1110" s="343">
        <f>SUMIFS($AU$134:AU1113,$AQ$134:AQ1113,"W")</f>
        <v>3191.7633333332024</v>
      </c>
      <c r="BQ1110" s="343">
        <f>SUMIFS($AU$134:AU1111,$Q$134:Q1111,"O")</f>
        <v>-1411.0433333328674</v>
      </c>
      <c r="BR1110" s="343">
        <f>SUMIFS($AU$134:AU1111,$AA$134:AA1111,"*")</f>
        <v>18800.675333333467</v>
      </c>
      <c r="BS1110" s="343">
        <f>SUMIFS($AU$134:AU1111,$AB$134:AB1111,"*")</f>
        <v>4508.1566666670842</v>
      </c>
      <c r="BT1110" s="343">
        <f>SUMIFS($AU$134:AU1111,$AC$134:AC1111,"*")</f>
        <v>11143.683333333332</v>
      </c>
      <c r="BU1110" s="343">
        <f>SUMIFS($AU$134:AU1111,$AA$134:AA1111,"*",$AB$134:AB1111,"*")</f>
        <v>2838.0000000000864</v>
      </c>
      <c r="BV1110" s="343">
        <f>SUMIFS($AU$134:AU1111,$AA$134:AA1111,"*",$AC$134:AC1111,"*")</f>
        <v>9324.7833333333328</v>
      </c>
      <c r="BW1110" s="343">
        <f>SUMIFS($AU$134:AU1111,$AB$134:AB1111,"*",$AC$134:AC1111,"*")</f>
        <v>6014.6</v>
      </c>
      <c r="BX1110" s="343">
        <f>SUMIFS($AU1111:AU$1388,$Q1111:Q$1388,"F")</f>
        <v>8274.1333333333332</v>
      </c>
      <c r="BY1110" s="343">
        <f>SUMIFS($AU1111:AU$1388,$Q1111:Q$1388,"S")</f>
        <v>4800.0000000000009</v>
      </c>
      <c r="BZ1110" s="343">
        <f>SUMIFS($AU1111:AU$1388,$Q1111:Q$1388,"O")</f>
        <v>-237.8146666669312</v>
      </c>
    </row>
    <row r="1111" spans="1:78" ht="15.75" customHeight="1">
      <c r="A1111" s="221" t="s">
        <v>3942</v>
      </c>
      <c r="B1111" s="177">
        <v>45205</v>
      </c>
      <c r="C1111" s="178" t="s">
        <v>4036</v>
      </c>
      <c r="D1111" s="178" t="s">
        <v>111</v>
      </c>
      <c r="E1111" s="227"/>
      <c r="F1111" s="180"/>
      <c r="G1111" s="181" t="s">
        <v>136</v>
      </c>
      <c r="H1111" s="182"/>
      <c r="I1111" s="182"/>
      <c r="J1111" s="182"/>
      <c r="K1111" s="183"/>
      <c r="L1111" s="182"/>
      <c r="M1111" s="182"/>
      <c r="N1111" s="182"/>
      <c r="O1111" s="183"/>
      <c r="P1111" s="183"/>
      <c r="Q1111" s="183"/>
      <c r="R1111" s="183"/>
      <c r="S1111" s="183"/>
      <c r="T1111" s="183"/>
      <c r="U1111" s="183"/>
      <c r="V1111" s="183"/>
      <c r="W1111" s="183"/>
      <c r="X1111" s="183"/>
      <c r="Y1111" s="184"/>
      <c r="Z1111" s="185"/>
      <c r="AA1111" s="185"/>
      <c r="AB1111" s="185"/>
      <c r="AC1111" s="185"/>
      <c r="AD1111" s="649"/>
      <c r="AE1111" s="182"/>
      <c r="AF1111" s="332"/>
      <c r="AG1111" s="182"/>
      <c r="AH1111" s="182"/>
      <c r="AI1111" s="182"/>
      <c r="AJ1111" s="640"/>
      <c r="AK1111" s="182"/>
      <c r="AL1111" s="496">
        <f t="shared" ref="AL1111:AL1114" si="326">-0.03*Z1111</f>
        <v>0</v>
      </c>
      <c r="AM1111" s="496">
        <f>AL1111*(R1111-S1111)</f>
        <v>0</v>
      </c>
      <c r="AN1111" s="626"/>
      <c r="AO1111" s="182"/>
      <c r="AP1111" s="182"/>
      <c r="AQ1111" s="332" t="str">
        <f>UPPER(RIGHT(Journal_Live[[#This Row],[DURATION ]]))</f>
        <v/>
      </c>
      <c r="AR1111" s="182"/>
      <c r="AS1111" s="189"/>
      <c r="AT1111" s="189"/>
      <c r="AU1111" s="187"/>
      <c r="AV1111" s="190"/>
      <c r="AW1111" s="191"/>
      <c r="AX1111" s="407" t="s">
        <v>4037</v>
      </c>
      <c r="AY1111" s="407" t="s">
        <v>4038</v>
      </c>
      <c r="AZ1111" s="407" t="s">
        <v>4039</v>
      </c>
      <c r="BA1111" s="407" t="s">
        <v>4040</v>
      </c>
      <c r="BB1111" s="407"/>
      <c r="BC1111" s="407"/>
      <c r="BD1111" s="407"/>
      <c r="BE1111" s="407"/>
      <c r="BF1111" s="422"/>
      <c r="BG1111" s="391">
        <f>SUM($AV$4:AV1111)</f>
        <v>4170.4428596844391</v>
      </c>
      <c r="BH1111" s="392">
        <f>SUM($AU$134:AU1111)</f>
        <v>20522.332000000468</v>
      </c>
      <c r="BI1111" s="318">
        <f>SUMIFS($AU$134:AU1112,$Q$134:Q1112,"F")</f>
        <v>6166.5333333333328</v>
      </c>
      <c r="BJ1111" s="318">
        <f>SUMIFS($AU$134:AU1112,$Q$134:Q1112,"S")</f>
        <v>15871.642</v>
      </c>
      <c r="BK1111" s="343">
        <f>SUMIFS($AU$134:AU1112,$P$134:P1112,"W")</f>
        <v>13358.941999999943</v>
      </c>
      <c r="BL1111" s="343">
        <f>SUMIFS($AU$134:AU1112,$P$134:P1112,"R")</f>
        <v>8484.6733333333214</v>
      </c>
      <c r="BM1111" s="343">
        <f>SUMIFS($AU$134:AU1112,$AQ$134:AQ1112,"M")</f>
        <v>2633.4000000001533</v>
      </c>
      <c r="BN1111" s="343">
        <f>SUMIFS($AU$134:AU1112,$AQ$134:AQ1112,"H")</f>
        <v>7337.3420000000642</v>
      </c>
      <c r="BO1111" s="343">
        <f>SUMIFS($AU$134:AU1112,$AQ$134:AQ1112,"D")</f>
        <v>5666.2366666667649</v>
      </c>
      <c r="BP1111" s="343">
        <f>SUMIFS($AU$134:AU1114,$AQ$134:AQ1114,"W")</f>
        <v>3191.7633333332024</v>
      </c>
      <c r="BQ1111" s="343">
        <f>SUMIFS($AU$134:AU1112,$Q$134:Q1112,"O")</f>
        <v>-1411.0433333328674</v>
      </c>
      <c r="BR1111" s="343">
        <f>SUMIFS($AU$134:AU1112,$AA$134:AA1112,"*")</f>
        <v>18800.675333333467</v>
      </c>
      <c r="BS1111" s="343">
        <f>SUMIFS($AU$134:AU1112,$AB$134:AB1112,"*")</f>
        <v>4508.1566666670842</v>
      </c>
      <c r="BT1111" s="343">
        <f>SUMIFS($AU$134:AU1112,$AC$134:AC1112,"*")</f>
        <v>11143.683333333332</v>
      </c>
      <c r="BU1111" s="343">
        <f>SUMIFS($AU$134:AU1112,$AA$134:AA1112,"*",$AB$134:AB1112,"*")</f>
        <v>2838.0000000000864</v>
      </c>
      <c r="BV1111" s="343">
        <f>SUMIFS($AU$134:AU1112,$AA$134:AA1112,"*",$AC$134:AC1112,"*")</f>
        <v>9324.7833333333328</v>
      </c>
      <c r="BW1111" s="343">
        <f>SUMIFS($AU$134:AU1112,$AB$134:AB1112,"*",$AC$134:AC1112,"*")</f>
        <v>6014.6</v>
      </c>
      <c r="BX1111" s="343">
        <f>SUMIFS($AU1112:AU$1388,$Q1112:Q$1388,"F")</f>
        <v>8274.1333333333332</v>
      </c>
      <c r="BY1111" s="343">
        <f>SUMIFS($AU1112:AU$1388,$Q1112:Q$1388,"S")</f>
        <v>4800.0000000000009</v>
      </c>
      <c r="BZ1111" s="343">
        <f>SUMIFS($AU1112:AU$1388,$Q1112:Q$1388,"O")</f>
        <v>-237.8146666669312</v>
      </c>
    </row>
    <row r="1112" spans="1:78" ht="15.75" customHeight="1">
      <c r="A1112" s="177" t="s">
        <v>3942</v>
      </c>
      <c r="B1112" s="200">
        <v>45206</v>
      </c>
      <c r="C1112" s="178"/>
      <c r="D1112" s="178" t="s">
        <v>1676</v>
      </c>
      <c r="E1112" s="227" t="s">
        <v>4041</v>
      </c>
      <c r="F1112" s="180"/>
      <c r="G1112" s="181"/>
      <c r="H1112" s="182"/>
      <c r="I1112" s="182"/>
      <c r="J1112" s="182"/>
      <c r="K1112" s="183"/>
      <c r="L1112" s="182"/>
      <c r="M1112" s="182"/>
      <c r="N1112" s="182"/>
      <c r="O1112" s="183"/>
      <c r="P1112" s="183"/>
      <c r="Q1112" s="183"/>
      <c r="R1112" s="183"/>
      <c r="S1112" s="183"/>
      <c r="T1112" s="183"/>
      <c r="U1112" s="183"/>
      <c r="V1112" s="183"/>
      <c r="W1112" s="183"/>
      <c r="X1112" s="183"/>
      <c r="Y1112" s="274"/>
      <c r="Z1112" s="183"/>
      <c r="AA1112" s="185"/>
      <c r="AB1112" s="185"/>
      <c r="AC1112" s="185"/>
      <c r="AD1112" s="649"/>
      <c r="AE1112" s="182"/>
      <c r="AF1112" s="332"/>
      <c r="AG1112" s="182"/>
      <c r="AH1112" s="182"/>
      <c r="AI1112" s="182"/>
      <c r="AJ1112" s="640"/>
      <c r="AK1112" s="182"/>
      <c r="AL1112" s="496"/>
      <c r="AM1112" s="496"/>
      <c r="AN1112" s="626"/>
      <c r="AO1112" s="182"/>
      <c r="AP1112" s="182"/>
      <c r="AQ1112" s="332" t="str">
        <f>UPPER(RIGHT(Journal_Live[[#This Row],[DURATION ]]))</f>
        <v/>
      </c>
      <c r="AR1112" s="182"/>
      <c r="AS1112" s="189"/>
      <c r="AT1112" s="189"/>
      <c r="AU1112" s="187"/>
      <c r="AV1112" s="190"/>
      <c r="AW1112" s="191"/>
      <c r="AX1112" s="407" t="s">
        <v>4042</v>
      </c>
      <c r="AY1112" s="407" t="s">
        <v>4043</v>
      </c>
      <c r="AZ1112" s="407"/>
      <c r="BA1112" s="407"/>
      <c r="BB1112" s="407"/>
      <c r="BC1112" s="407"/>
      <c r="BD1112" s="407"/>
      <c r="BE1112" s="407"/>
      <c r="BF1112" s="422"/>
      <c r="BG1112" s="391"/>
      <c r="BH1112" s="392">
        <f>SUM($AU$134:AU1112)</f>
        <v>20522.332000000468</v>
      </c>
      <c r="BI1112" s="318">
        <f>SUMIFS($AU$134:AU1113,$Q$134:Q1113,"F")</f>
        <v>6166.5333333333328</v>
      </c>
      <c r="BJ1112" s="318">
        <f>SUMIFS($AU$134:AU1113,$Q$134:Q1113,"S")</f>
        <v>15871.642</v>
      </c>
      <c r="BK1112" s="343">
        <f>SUMIFS($AU$134:AU1113,$P$134:P1113,"W")</f>
        <v>13358.941999999943</v>
      </c>
      <c r="BL1112" s="343">
        <f>SUMIFS($AU$134:AU1113,$P$134:P1113,"R")</f>
        <v>8484.6733333333214</v>
      </c>
      <c r="BM1112" s="343">
        <f>SUMIFS($AU$134:AU1113,$AQ$134:AQ1113,"M")</f>
        <v>2633.4000000001533</v>
      </c>
      <c r="BN1112" s="343">
        <f>SUMIFS($AU$134:AU1113,$AQ$134:AQ1113,"H")</f>
        <v>7337.3420000000642</v>
      </c>
      <c r="BO1112" s="343">
        <f>SUMIFS($AU$134:AU1113,$AQ$134:AQ1113,"D")</f>
        <v>5666.2366666667649</v>
      </c>
      <c r="BP1112" s="343">
        <f>SUMIFS($AU$134:AU1115,$AQ$134:AQ1115,"W")</f>
        <v>3191.7633333332024</v>
      </c>
      <c r="BQ1112" s="343">
        <f>SUMIFS($AU$134:AU1113,$Q$134:Q1113,"O")</f>
        <v>-1342.0033333329056</v>
      </c>
      <c r="BR1112" s="343">
        <f>SUMIFS($AU$134:AU1113,$AA$134:AA1113,"*")</f>
        <v>18800.675333333467</v>
      </c>
      <c r="BS1112" s="343">
        <f>SUMIFS($AU$134:AU1113,$AB$134:AB1113,"*")</f>
        <v>4577.196666667046</v>
      </c>
      <c r="BT1112" s="343">
        <f>SUMIFS($AU$134:AU1113,$AC$134:AC1113,"*")</f>
        <v>11143.683333333332</v>
      </c>
      <c r="BU1112" s="343">
        <f>SUMIFS($AU$134:AU1113,$AA$134:AA1113,"*",$AB$134:AB1113,"*")</f>
        <v>2838.0000000000864</v>
      </c>
      <c r="BV1112" s="343">
        <f>SUMIFS($AU$134:AU1113,$AA$134:AA1113,"*",$AC$134:AC1113,"*")</f>
        <v>9324.7833333333328</v>
      </c>
      <c r="BW1112" s="343">
        <f>SUMIFS($AU$134:AU1113,$AB$134:AB1113,"*",$AC$134:AC1113,"*")</f>
        <v>6014.6</v>
      </c>
      <c r="BX1112" s="343">
        <f>SUMIFS($AU1113:AU$1388,$Q1113:Q$1388,"F")</f>
        <v>8274.1333333333332</v>
      </c>
      <c r="BY1112" s="343">
        <f>SUMIFS($AU1113:AU$1388,$Q1113:Q$1388,"S")</f>
        <v>4800.0000000000009</v>
      </c>
      <c r="BZ1112" s="343">
        <f>SUMIFS($AU1113:AU$1388,$Q1113:Q$1388,"O")</f>
        <v>-237.8146666669312</v>
      </c>
    </row>
    <row r="1113" spans="1:78" ht="15.75" customHeight="1">
      <c r="A1113" s="221" t="s">
        <v>3942</v>
      </c>
      <c r="B1113" s="177">
        <v>45208</v>
      </c>
      <c r="C1113" s="178" t="s">
        <v>4044</v>
      </c>
      <c r="D1113" s="178" t="s">
        <v>132</v>
      </c>
      <c r="E1113" s="227"/>
      <c r="F1113" s="180"/>
      <c r="G1113" s="281" t="s">
        <v>3986</v>
      </c>
      <c r="H1113" s="182"/>
      <c r="I1113" s="182"/>
      <c r="J1113" s="182"/>
      <c r="K1113" s="183"/>
      <c r="L1113" s="182"/>
      <c r="M1113" s="182">
        <v>2</v>
      </c>
      <c r="N1113" s="182"/>
      <c r="O1113" s="183" t="s">
        <v>1057</v>
      </c>
      <c r="P1113" s="183"/>
      <c r="Q1113" s="183" t="s">
        <v>684</v>
      </c>
      <c r="R1113" s="183">
        <v>5</v>
      </c>
      <c r="S1113" s="183">
        <v>0</v>
      </c>
      <c r="T1113" s="183">
        <v>2</v>
      </c>
      <c r="U1113" s="183" t="s">
        <v>97</v>
      </c>
      <c r="V1113" s="183"/>
      <c r="W1113" s="183"/>
      <c r="X1113" s="183"/>
      <c r="Y1113" s="184">
        <f>IF(ISBLANK(O1113),"",(IF(O1113=UPPER("IB"),0.005,0.01)))</f>
        <v>5.0000000000000001E-3</v>
      </c>
      <c r="Z1113" s="185">
        <f>IF(ISBLANK(O1113),"",IF(O1113="IB",8.63*200,IF(O1113="IR",16*100,IF(O1113="YT",20*100,IF(O1113="YT-XT",24*200,IF(O1113="TED",80*100))))))</f>
        <v>1726.0000000000002</v>
      </c>
      <c r="AA1113" s="185"/>
      <c r="AB1113" s="473" t="s">
        <v>4045</v>
      </c>
      <c r="AC1113" s="185"/>
      <c r="AD1113" s="649">
        <f>(95.875*2+95.89*3)/5</f>
        <v>95.884</v>
      </c>
      <c r="AE1113" s="182"/>
      <c r="AF1113" s="332"/>
      <c r="AG1113" s="182"/>
      <c r="AH1113" s="182"/>
      <c r="AI1113" s="182"/>
      <c r="AJ1113" s="640"/>
      <c r="AK1113" s="182"/>
      <c r="AL1113" s="496"/>
      <c r="AM1113" s="496"/>
      <c r="AN1113" s="626"/>
      <c r="AO1113" s="182"/>
      <c r="AP1113" s="182" t="s">
        <v>902</v>
      </c>
      <c r="AQ1113" s="332" t="str">
        <f>UPPER(RIGHT(Journal_Live[[#This Row],[DURATION ]]))</f>
        <v>W</v>
      </c>
      <c r="AR1113" s="182" t="s">
        <v>4046</v>
      </c>
      <c r="AS1113" s="189">
        <f>(95.88*2+95.875*2+95.87)/5</f>
        <v>95.876000000000005</v>
      </c>
      <c r="AT1113" s="189">
        <f t="shared" ref="AT1113:AT1119" si="327">IF(ISBLANK(AS1113),,IF(U1113="S",AD1113-AS1113,AS1113-AD1113))</f>
        <v>7.9999999999955662E-3</v>
      </c>
      <c r="AU1113" s="187">
        <f t="shared" ref="AU1113:AU1119" si="328">AV1113*R1113</f>
        <v>69.039999999961751</v>
      </c>
      <c r="AV1113" s="190">
        <f t="shared" ref="AV1113:AV1119" si="329">IF(ISBLANK(AS1113),,(AT1113*Z1113))</f>
        <v>13.807999999992349</v>
      </c>
      <c r="AW1113" s="191" t="s">
        <v>96</v>
      </c>
      <c r="AX1113" s="407" t="s">
        <v>4047</v>
      </c>
      <c r="AY1113" s="407" t="s">
        <v>4048</v>
      </c>
      <c r="AZ1113" s="407"/>
      <c r="BA1113" s="407"/>
      <c r="BB1113" s="407"/>
      <c r="BC1113" s="407"/>
      <c r="BD1113" s="407"/>
      <c r="BE1113" s="407"/>
      <c r="BF1113" s="422"/>
      <c r="BG1113" s="391">
        <f>SUM($AV$4:AV1113)</f>
        <v>4184.2508596844318</v>
      </c>
      <c r="BH1113" s="392">
        <f>SUM($AU$134:AU1113)</f>
        <v>20591.372000000429</v>
      </c>
      <c r="BI1113" s="318">
        <f>SUMIFS($AU$134:AU1114,$Q$134:Q1114,"F")</f>
        <v>6166.5333333333328</v>
      </c>
      <c r="BJ1113" s="318">
        <f>SUMIFS($AU$134:AU1114,$Q$134:Q1114,"S")</f>
        <v>15871.642</v>
      </c>
      <c r="BK1113" s="343">
        <f>SUMIFS($AU$134:AU1114,$P$134:P1114,"W")</f>
        <v>13358.941999999943</v>
      </c>
      <c r="BL1113" s="343">
        <f>SUMIFS($AU$134:AU1114,$P$134:P1114,"R")</f>
        <v>8484.6733333333214</v>
      </c>
      <c r="BM1113" s="343">
        <f>SUMIFS($AU$134:AU1114,$AQ$134:AQ1114,"M")</f>
        <v>2633.4000000001533</v>
      </c>
      <c r="BN1113" s="343">
        <f>SUMIFS($AU$134:AU1114,$AQ$134:AQ1114,"H")</f>
        <v>7337.3420000000642</v>
      </c>
      <c r="BO1113" s="343">
        <f>SUMIFS($AU$134:AU1114,$AQ$134:AQ1114,"D")</f>
        <v>5666.2366666667649</v>
      </c>
      <c r="BP1113" s="343">
        <f>SUMIFS($AU$134:AU1116,$AQ$134:AQ1116,"W")</f>
        <v>3191.7633333332024</v>
      </c>
      <c r="BQ1113" s="343">
        <f>SUMIFS($AU$134:AU1114,$Q$134:Q1114,"O")</f>
        <v>-1342.0033333329056</v>
      </c>
      <c r="BR1113" s="343">
        <f>SUMIFS($AU$134:AU1114,$AA$134:AA1114,"*")</f>
        <v>18800.675333333467</v>
      </c>
      <c r="BS1113" s="343">
        <f>SUMIFS($AU$134:AU1114,$AB$134:AB1114,"*")</f>
        <v>4577.196666667046</v>
      </c>
      <c r="BT1113" s="343">
        <f>SUMIFS($AU$134:AU1114,$AC$134:AC1114,"*")</f>
        <v>11143.683333333332</v>
      </c>
      <c r="BU1113" s="343">
        <f>SUMIFS($AU$134:AU1114,$AA$134:AA1114,"*",$AB$134:AB1114,"*")</f>
        <v>2838.0000000000864</v>
      </c>
      <c r="BV1113" s="343">
        <f>SUMIFS($AU$134:AU1114,$AA$134:AA1114,"*",$AC$134:AC1114,"*")</f>
        <v>9324.7833333333328</v>
      </c>
      <c r="BW1113" s="343">
        <f>SUMIFS($AU$134:AU1114,$AB$134:AB1114,"*",$AC$134:AC1114,"*")</f>
        <v>6014.6</v>
      </c>
      <c r="BX1113" s="343">
        <f>SUMIFS($AU1114:AU$1388,$Q1114:Q$1388,"F")</f>
        <v>8274.1333333333332</v>
      </c>
      <c r="BY1113" s="343">
        <f>SUMIFS($AU1114:AU$1388,$Q1114:Q$1388,"S")</f>
        <v>4800.0000000000009</v>
      </c>
      <c r="BZ1113" s="343">
        <f>SUMIFS($AU1114:AU$1388,$Q1114:Q$1388,"O")</f>
        <v>-306.85466666689297</v>
      </c>
    </row>
    <row r="1114" spans="1:78" ht="15.75" customHeight="1">
      <c r="A1114" s="221" t="s">
        <v>3942</v>
      </c>
      <c r="B1114" s="177">
        <v>45208</v>
      </c>
      <c r="C1114" s="178" t="s">
        <v>4049</v>
      </c>
      <c r="D1114" s="178" t="s">
        <v>132</v>
      </c>
      <c r="E1114" s="227"/>
      <c r="F1114" s="180"/>
      <c r="G1114" s="281" t="s">
        <v>2942</v>
      </c>
      <c r="H1114" s="182"/>
      <c r="I1114" s="182"/>
      <c r="J1114" s="182"/>
      <c r="K1114" s="183"/>
      <c r="L1114" s="182">
        <v>1</v>
      </c>
      <c r="M1114" s="182">
        <v>2</v>
      </c>
      <c r="N1114" s="182"/>
      <c r="O1114" s="183" t="s">
        <v>95</v>
      </c>
      <c r="P1114" s="183" t="s">
        <v>137</v>
      </c>
      <c r="Q1114" s="183" t="s">
        <v>97</v>
      </c>
      <c r="R1114" s="183">
        <v>10</v>
      </c>
      <c r="S1114" s="183">
        <v>0</v>
      </c>
      <c r="T1114" s="183">
        <v>4</v>
      </c>
      <c r="U1114" s="183" t="s">
        <v>22</v>
      </c>
      <c r="V1114" s="183"/>
      <c r="W1114" s="183"/>
      <c r="X1114" s="183"/>
      <c r="Y1114" s="184">
        <f>IF(ISBLANK(O1114),"",(IF(O1114=UPPER("IB"),0.005,0.01)))</f>
        <v>0.01</v>
      </c>
      <c r="Z1114" s="185">
        <f>IF(ISBLANK(O1114),"",IF(O1114="IB",8.63*200,IF(O1114="IR",16*100,IF(O1114="YT",20*100,IF(O1114="YT-XT",24*200,IF(O1114="TED",80*100))))))</f>
        <v>1600</v>
      </c>
      <c r="AA1114" s="185" t="s">
        <v>99</v>
      </c>
      <c r="AB1114" s="185"/>
      <c r="AC1114" s="185"/>
      <c r="AD1114" s="649">
        <v>-0.04</v>
      </c>
      <c r="AE1114" s="182"/>
      <c r="AF1114" s="332"/>
      <c r="AG1114" s="182"/>
      <c r="AH1114" s="182"/>
      <c r="AI1114" s="182"/>
      <c r="AJ1114" s="640"/>
      <c r="AK1114" s="182"/>
      <c r="AL1114" s="496">
        <f t="shared" si="326"/>
        <v>-48</v>
      </c>
      <c r="AM1114" s="496">
        <f>AL1114*(R1114-S1114)</f>
        <v>-480</v>
      </c>
      <c r="AN1114" s="626"/>
      <c r="AO1114" s="182"/>
      <c r="AP1114" s="182" t="s">
        <v>804</v>
      </c>
      <c r="AQ1114" s="332" t="str">
        <f>UPPER(RIGHT(Journal_Live[[#This Row],[DURATION ]]))</f>
        <v>D</v>
      </c>
      <c r="AR1114" s="182" t="s">
        <v>4050</v>
      </c>
      <c r="AS1114" s="189">
        <v>-0.04</v>
      </c>
      <c r="AT1114" s="189">
        <f t="shared" si="327"/>
        <v>0</v>
      </c>
      <c r="AU1114" s="187">
        <f t="shared" si="328"/>
        <v>0</v>
      </c>
      <c r="AV1114" s="190">
        <f t="shared" si="329"/>
        <v>0</v>
      </c>
      <c r="AW1114" s="191" t="s">
        <v>115</v>
      </c>
      <c r="AX1114" s="407"/>
      <c r="AY1114" s="407"/>
      <c r="AZ1114" s="407"/>
      <c r="BA1114" s="407"/>
      <c r="BB1114" s="407"/>
      <c r="BC1114" s="407"/>
      <c r="BD1114" s="407"/>
      <c r="BE1114" s="407"/>
      <c r="BF1114" s="422"/>
      <c r="BG1114" s="391">
        <f>SUM($AV$4:AV1114)</f>
        <v>4184.2508596844318</v>
      </c>
      <c r="BH1114" s="392">
        <f>SUM($AU$134:AU1114)</f>
        <v>20591.372000000429</v>
      </c>
      <c r="BI1114" s="318">
        <f>SUMIFS($AU$134:AU1115,$Q$134:Q1115,"F")</f>
        <v>6166.5333333333328</v>
      </c>
      <c r="BJ1114" s="318">
        <f>SUMIFS($AU$134:AU1115,$Q$134:Q1115,"S")</f>
        <v>15871.642</v>
      </c>
      <c r="BK1114" s="343">
        <f>SUMIFS($AU$134:AU1115,$P$134:P1115,"W")</f>
        <v>13358.941999999943</v>
      </c>
      <c r="BL1114" s="343">
        <f>SUMIFS($AU$134:AU1115,$P$134:P1115,"R")</f>
        <v>8484.6733333333214</v>
      </c>
      <c r="BM1114" s="343">
        <f>SUMIFS($AU$134:AU1115,$AQ$134:AQ1115,"M")</f>
        <v>2633.4000000001533</v>
      </c>
      <c r="BN1114" s="343">
        <f>SUMIFS($AU$134:AU1115,$AQ$134:AQ1115,"H")</f>
        <v>7337.3420000000642</v>
      </c>
      <c r="BO1114" s="343">
        <f>SUMIFS($AU$134:AU1115,$AQ$134:AQ1115,"D")</f>
        <v>5666.2366666667649</v>
      </c>
      <c r="BP1114" s="343">
        <f>SUMIFS($AU$134:AU1117,$AQ$134:AQ1117,"W")</f>
        <v>3191.7633333332024</v>
      </c>
      <c r="BQ1114" s="343">
        <f>SUMIFS($AU$134:AU1115,$Q$134:Q1115,"O")</f>
        <v>-1342.0033333329056</v>
      </c>
      <c r="BR1114" s="343">
        <f>SUMIFS($AU$134:AU1115,$AA$134:AA1115,"*")</f>
        <v>18800.675333333467</v>
      </c>
      <c r="BS1114" s="343">
        <f>SUMIFS($AU$134:AU1115,$AB$134:AB1115,"*")</f>
        <v>4577.196666667046</v>
      </c>
      <c r="BT1114" s="343">
        <f>SUMIFS($AU$134:AU1115,$AC$134:AC1115,"*")</f>
        <v>11143.683333333332</v>
      </c>
      <c r="BU1114" s="343">
        <f>SUMIFS($AU$134:AU1115,$AA$134:AA1115,"*",$AB$134:AB1115,"*")</f>
        <v>2838.0000000000864</v>
      </c>
      <c r="BV1114" s="343">
        <f>SUMIFS($AU$134:AU1115,$AA$134:AA1115,"*",$AC$134:AC1115,"*")</f>
        <v>9324.7833333333328</v>
      </c>
      <c r="BW1114" s="343">
        <f>SUMIFS($AU$134:AU1115,$AB$134:AB1115,"*",$AC$134:AC1115,"*")</f>
        <v>6014.6</v>
      </c>
      <c r="BX1114" s="343">
        <f>SUMIFS($AU1115:AU$1388,$Q1115:Q$1388,"F")</f>
        <v>8274.1333333333332</v>
      </c>
      <c r="BY1114" s="343">
        <f>SUMIFS($AU1115:AU$1388,$Q1115:Q$1388,"S")</f>
        <v>4800.0000000000009</v>
      </c>
      <c r="BZ1114" s="343">
        <f>SUMIFS($AU1115:AU$1388,$Q1115:Q$1388,"O")</f>
        <v>-306.85466666689297</v>
      </c>
    </row>
    <row r="1115" spans="1:78" ht="15.75" customHeight="1">
      <c r="A1115" s="221" t="s">
        <v>3942</v>
      </c>
      <c r="B1115" s="177">
        <v>45208</v>
      </c>
      <c r="C1115" s="178" t="s">
        <v>4049</v>
      </c>
      <c r="D1115" s="178" t="s">
        <v>132</v>
      </c>
      <c r="E1115" s="227"/>
      <c r="F1115" s="180"/>
      <c r="G1115" s="181" t="s">
        <v>2145</v>
      </c>
      <c r="H1115" s="182"/>
      <c r="I1115" s="182"/>
      <c r="J1115" s="182"/>
      <c r="K1115" s="183"/>
      <c r="L1115" s="182"/>
      <c r="M1115" s="182"/>
      <c r="N1115" s="182"/>
      <c r="O1115" s="183"/>
      <c r="P1115" s="183"/>
      <c r="Q1115" s="183"/>
      <c r="R1115" s="183"/>
      <c r="S1115" s="183"/>
      <c r="T1115" s="183"/>
      <c r="U1115" s="183"/>
      <c r="V1115" s="183"/>
      <c r="W1115" s="183"/>
      <c r="X1115" s="183"/>
      <c r="Y1115" s="184"/>
      <c r="Z1115" s="185"/>
      <c r="AA1115" s="185"/>
      <c r="AB1115" s="185"/>
      <c r="AC1115" s="185"/>
      <c r="AD1115" s="649"/>
      <c r="AE1115" s="182"/>
      <c r="AF1115" s="332"/>
      <c r="AG1115" s="182"/>
      <c r="AH1115" s="182"/>
      <c r="AI1115" s="182"/>
      <c r="AJ1115" s="640"/>
      <c r="AK1115" s="182"/>
      <c r="AL1115" s="496"/>
      <c r="AM1115" s="496"/>
      <c r="AN1115" s="626"/>
      <c r="AO1115" s="182"/>
      <c r="AP1115" s="182"/>
      <c r="AQ1115" s="332" t="str">
        <f>UPPER(RIGHT(Journal_Live[[#This Row],[DURATION ]]))</f>
        <v/>
      </c>
      <c r="AR1115" s="182"/>
      <c r="AS1115" s="189"/>
      <c r="AT1115" s="189">
        <f t="shared" si="327"/>
        <v>0</v>
      </c>
      <c r="AU1115" s="187">
        <f t="shared" si="328"/>
        <v>0</v>
      </c>
      <c r="AV1115" s="190">
        <f t="shared" si="329"/>
        <v>0</v>
      </c>
      <c r="AW1115" s="191"/>
      <c r="AX1115" s="407"/>
      <c r="AY1115" s="407"/>
      <c r="AZ1115" s="407"/>
      <c r="BA1115" s="407"/>
      <c r="BB1115" s="407"/>
      <c r="BC1115" s="407"/>
      <c r="BD1115" s="407"/>
      <c r="BE1115" s="407"/>
      <c r="BF1115" s="422"/>
      <c r="BG1115" s="391">
        <f>SUM($AV$4:AV1115)</f>
        <v>4184.2508596844318</v>
      </c>
      <c r="BH1115" s="392">
        <f>SUM($AU$134:AU1115)</f>
        <v>20591.372000000429</v>
      </c>
      <c r="BI1115" s="318">
        <f>SUMIFS($AU$134:AU1116,$Q$134:Q1116,"F")</f>
        <v>6166.5333333333328</v>
      </c>
      <c r="BJ1115" s="318">
        <f>SUMIFS($AU$134:AU1116,$Q$134:Q1116,"S")</f>
        <v>15871.642</v>
      </c>
      <c r="BK1115" s="343">
        <f>SUMIFS($AU$134:AU1116,$P$134:P1116,"W")</f>
        <v>13358.941999999943</v>
      </c>
      <c r="BL1115" s="343">
        <f>SUMIFS($AU$134:AU1116,$P$134:P1116,"R")</f>
        <v>8484.6733333333214</v>
      </c>
      <c r="BM1115" s="343">
        <f>SUMIFS($AU$134:AU1116,$AQ$134:AQ1116,"M")</f>
        <v>2633.4000000001533</v>
      </c>
      <c r="BN1115" s="343">
        <f>SUMIFS($AU$134:AU1116,$AQ$134:AQ1116,"H")</f>
        <v>7337.3420000000642</v>
      </c>
      <c r="BO1115" s="343">
        <f>SUMIFS($AU$134:AU1116,$AQ$134:AQ1116,"D")</f>
        <v>5666.2366666667649</v>
      </c>
      <c r="BP1115" s="343">
        <f>SUMIFS($AU$134:AU1118,$AQ$134:AQ1118,"W")</f>
        <v>3191.7633333332024</v>
      </c>
      <c r="BQ1115" s="343">
        <f>SUMIFS($AU$134:AU1116,$Q$134:Q1116,"O")</f>
        <v>-1342.0033333329056</v>
      </c>
      <c r="BR1115" s="343">
        <f>SUMIFS($AU$134:AU1116,$AA$134:AA1116,"*")</f>
        <v>18800.675333333467</v>
      </c>
      <c r="BS1115" s="343">
        <f>SUMIFS($AU$134:AU1116,$AB$134:AB1116,"*")</f>
        <v>4577.196666667046</v>
      </c>
      <c r="BT1115" s="343">
        <f>SUMIFS($AU$134:AU1116,$AC$134:AC1116,"*")</f>
        <v>11143.683333333332</v>
      </c>
      <c r="BU1115" s="343">
        <f>SUMIFS($AU$134:AU1116,$AA$134:AA1116,"*",$AB$134:AB1116,"*")</f>
        <v>2838.0000000000864</v>
      </c>
      <c r="BV1115" s="343">
        <f>SUMIFS($AU$134:AU1116,$AA$134:AA1116,"*",$AC$134:AC1116,"*")</f>
        <v>9324.7833333333328</v>
      </c>
      <c r="BW1115" s="343">
        <f>SUMIFS($AU$134:AU1116,$AB$134:AB1116,"*",$AC$134:AC1116,"*")</f>
        <v>6014.6</v>
      </c>
      <c r="BX1115" s="343">
        <f>SUMIFS($AU1116:AU$1388,$Q1116:Q$1388,"F")</f>
        <v>8274.1333333333332</v>
      </c>
      <c r="BY1115" s="343">
        <f>SUMIFS($AU1116:AU$1388,$Q1116:Q$1388,"S")</f>
        <v>4800.0000000000009</v>
      </c>
      <c r="BZ1115" s="343">
        <f>SUMIFS($AU1116:AU$1388,$Q1116:Q$1388,"O")</f>
        <v>-306.85466666689297</v>
      </c>
    </row>
    <row r="1116" spans="1:78" ht="15.75" customHeight="1">
      <c r="A1116" s="221" t="s">
        <v>3942</v>
      </c>
      <c r="B1116" s="177">
        <v>45208</v>
      </c>
      <c r="C1116" s="178" t="s">
        <v>4051</v>
      </c>
      <c r="D1116" s="178" t="s">
        <v>132</v>
      </c>
      <c r="E1116" s="227"/>
      <c r="F1116" s="180"/>
      <c r="G1116" s="181" t="s">
        <v>2145</v>
      </c>
      <c r="H1116" s="182"/>
      <c r="I1116" s="182"/>
      <c r="J1116" s="182"/>
      <c r="K1116" s="183"/>
      <c r="L1116" s="182"/>
      <c r="M1116" s="182"/>
      <c r="N1116" s="182"/>
      <c r="O1116" s="183"/>
      <c r="P1116" s="183"/>
      <c r="Q1116" s="183"/>
      <c r="R1116" s="183"/>
      <c r="S1116" s="183"/>
      <c r="T1116" s="183"/>
      <c r="U1116" s="183"/>
      <c r="V1116" s="183"/>
      <c r="W1116" s="183"/>
      <c r="X1116" s="183"/>
      <c r="Y1116" s="184"/>
      <c r="Z1116" s="185"/>
      <c r="AA1116" s="185"/>
      <c r="AB1116" s="185"/>
      <c r="AC1116" s="185"/>
      <c r="AD1116" s="649"/>
      <c r="AE1116" s="182"/>
      <c r="AF1116" s="332"/>
      <c r="AG1116" s="182"/>
      <c r="AH1116" s="182"/>
      <c r="AI1116" s="182"/>
      <c r="AJ1116" s="640"/>
      <c r="AK1116" s="182"/>
      <c r="AL1116" s="496"/>
      <c r="AM1116" s="496"/>
      <c r="AN1116" s="626"/>
      <c r="AO1116" s="182"/>
      <c r="AP1116" s="182"/>
      <c r="AQ1116" s="332" t="str">
        <f>UPPER(RIGHT(Journal_Live[[#This Row],[DURATION ]]))</f>
        <v/>
      </c>
      <c r="AR1116" s="182"/>
      <c r="AS1116" s="189"/>
      <c r="AT1116" s="189">
        <f t="shared" si="327"/>
        <v>0</v>
      </c>
      <c r="AU1116" s="187">
        <f t="shared" si="328"/>
        <v>0</v>
      </c>
      <c r="AV1116" s="190">
        <f t="shared" si="329"/>
        <v>0</v>
      </c>
      <c r="AW1116" s="191"/>
      <c r="AX1116" s="407"/>
      <c r="AY1116" s="407"/>
      <c r="AZ1116" s="407"/>
      <c r="BA1116" s="407"/>
      <c r="BB1116" s="407"/>
      <c r="BC1116" s="407"/>
      <c r="BD1116" s="407"/>
      <c r="BE1116" s="407"/>
      <c r="BF1116" s="422"/>
      <c r="BG1116" s="391">
        <f>SUM($AV$4:AV1116)</f>
        <v>4184.2508596844318</v>
      </c>
      <c r="BH1116" s="392">
        <f>SUM($AU$134:AU1116)</f>
        <v>20591.372000000429</v>
      </c>
      <c r="BI1116" s="318">
        <f>SUMIFS($AU$134:AU1117,$Q$134:Q1117,"F")</f>
        <v>6166.5333333333328</v>
      </c>
      <c r="BJ1116" s="318">
        <f>SUMIFS($AU$134:AU1117,$Q$134:Q1117,"S")</f>
        <v>15887.642</v>
      </c>
      <c r="BK1116" s="343">
        <f>SUMIFS($AU$134:AU1117,$P$134:P1117,"W")</f>
        <v>13374.941999999943</v>
      </c>
      <c r="BL1116" s="343">
        <f>SUMIFS($AU$134:AU1117,$P$134:P1117,"R")</f>
        <v>8484.6733333333214</v>
      </c>
      <c r="BM1116" s="343">
        <f>SUMIFS($AU$134:AU1117,$AQ$134:AQ1117,"M")</f>
        <v>2633.4000000001533</v>
      </c>
      <c r="BN1116" s="343">
        <f>SUMIFS($AU$134:AU1117,$AQ$134:AQ1117,"H")</f>
        <v>7337.3420000000642</v>
      </c>
      <c r="BO1116" s="343">
        <f>SUMIFS($AU$134:AU1117,$AQ$134:AQ1117,"D")</f>
        <v>5666.2366666667649</v>
      </c>
      <c r="BP1116" s="343">
        <f>SUMIFS($AU$134:AU1119,$AQ$134:AQ1119,"W")</f>
        <v>3191.7633333332024</v>
      </c>
      <c r="BQ1116" s="343">
        <f>SUMIFS($AU$134:AU1117,$Q$134:Q1117,"O")</f>
        <v>-1342.0033333329056</v>
      </c>
      <c r="BR1116" s="343">
        <f>SUMIFS($AU$134:AU1117,$AA$134:AA1117,"*")</f>
        <v>18816.675333333467</v>
      </c>
      <c r="BS1116" s="343">
        <f>SUMIFS($AU$134:AU1117,$AB$134:AB1117,"*")</f>
        <v>4577.196666667046</v>
      </c>
      <c r="BT1116" s="343">
        <f>SUMIFS($AU$134:AU1117,$AC$134:AC1117,"*")</f>
        <v>11143.683333333332</v>
      </c>
      <c r="BU1116" s="343">
        <f>SUMIFS($AU$134:AU1117,$AA$134:AA1117,"*",$AB$134:AB1117,"*")</f>
        <v>2838.0000000000864</v>
      </c>
      <c r="BV1116" s="343">
        <f>SUMIFS($AU$134:AU1117,$AA$134:AA1117,"*",$AC$134:AC1117,"*")</f>
        <v>9324.7833333333328</v>
      </c>
      <c r="BW1116" s="343">
        <f>SUMIFS($AU$134:AU1117,$AB$134:AB1117,"*",$AC$134:AC1117,"*")</f>
        <v>6014.6</v>
      </c>
      <c r="BX1116" s="343">
        <f>SUMIFS($AU1117:AU$1388,$Q1117:Q$1388,"F")</f>
        <v>8274.1333333333332</v>
      </c>
      <c r="BY1116" s="343">
        <f>SUMIFS($AU1117:AU$1388,$Q1117:Q$1388,"S")</f>
        <v>4800.0000000000009</v>
      </c>
      <c r="BZ1116" s="343">
        <f>SUMIFS($AU1117:AU$1388,$Q1117:Q$1388,"O")</f>
        <v>-306.85466666689297</v>
      </c>
    </row>
    <row r="1117" spans="1:78" ht="15.75" customHeight="1">
      <c r="A1117" s="221" t="s">
        <v>3942</v>
      </c>
      <c r="B1117" s="177">
        <v>45208</v>
      </c>
      <c r="C1117" s="178" t="s">
        <v>4052</v>
      </c>
      <c r="D1117" s="178" t="s">
        <v>132</v>
      </c>
      <c r="E1117" s="227"/>
      <c r="F1117" s="180"/>
      <c r="G1117" s="281" t="s">
        <v>2016</v>
      </c>
      <c r="H1117" s="182"/>
      <c r="I1117" s="182"/>
      <c r="J1117" s="182"/>
      <c r="K1117" s="183"/>
      <c r="L1117" s="182"/>
      <c r="M1117" s="182">
        <v>1</v>
      </c>
      <c r="N1117" s="182"/>
      <c r="O1117" s="183" t="s">
        <v>95</v>
      </c>
      <c r="P1117" s="183" t="s">
        <v>96</v>
      </c>
      <c r="Q1117" s="183" t="s">
        <v>97</v>
      </c>
      <c r="R1117" s="183">
        <v>7</v>
      </c>
      <c r="S1117" s="183">
        <v>1</v>
      </c>
      <c r="T1117" s="183">
        <v>7</v>
      </c>
      <c r="U1117" s="183" t="s">
        <v>22</v>
      </c>
      <c r="V1117" s="183"/>
      <c r="W1117" s="183"/>
      <c r="X1117" s="183"/>
      <c r="Y1117" s="184">
        <f>IF(ISBLANK(O1117),"",(IF(O1117=UPPER("IB"),0.005,0.01)))</f>
        <v>0.01</v>
      </c>
      <c r="Z1117" s="185">
        <f>IF(ISBLANK(O1117),"",IF(O1117="IB",8.63*200,IF(O1117="IR",16*100,IF(O1117="YT",20*100,IF(O1117="YT-XT",24*200,IF(O1117="TED",80*100))))))</f>
        <v>1600</v>
      </c>
      <c r="AA1117" s="185" t="s">
        <v>4053</v>
      </c>
      <c r="AB1117" s="185"/>
      <c r="AC1117" s="185"/>
      <c r="AD1117" s="649">
        <v>-0.09</v>
      </c>
      <c r="AE1117" s="182"/>
      <c r="AF1117" s="332"/>
      <c r="AG1117" s="182"/>
      <c r="AH1117" s="182"/>
      <c r="AI1117" s="182"/>
      <c r="AJ1117" s="640"/>
      <c r="AK1117" s="182"/>
      <c r="AL1117" s="496">
        <f t="shared" ref="AL1117:AL1118" si="330">-0.03*Z1117</f>
        <v>-48</v>
      </c>
      <c r="AM1117" s="496">
        <f>AL1117*(R1117-S1117)</f>
        <v>-288</v>
      </c>
      <c r="AN1117" s="626"/>
      <c r="AO1117" s="182"/>
      <c r="AP1117" s="182"/>
      <c r="AQ1117" s="332" t="str">
        <f>UPPER(RIGHT(Journal_Live[[#This Row],[DURATION ]]))</f>
        <v/>
      </c>
      <c r="AR1117" s="182"/>
      <c r="AS1117" s="189">
        <f>((-0.08*1)+(-0.09*6))/7</f>
        <v>-8.8571428571428565E-2</v>
      </c>
      <c r="AT1117" s="189">
        <f t="shared" si="327"/>
        <v>1.4285714285714318E-3</v>
      </c>
      <c r="AU1117" s="187">
        <f t="shared" si="328"/>
        <v>16.000000000000036</v>
      </c>
      <c r="AV1117" s="190">
        <f t="shared" si="329"/>
        <v>2.2857142857142909</v>
      </c>
      <c r="AW1117" s="191" t="s">
        <v>96</v>
      </c>
      <c r="AX1117" s="407"/>
      <c r="AY1117" s="407"/>
      <c r="AZ1117" s="407"/>
      <c r="BA1117" s="407"/>
      <c r="BB1117" s="407"/>
      <c r="BC1117" s="407"/>
      <c r="BD1117" s="407"/>
      <c r="BE1117" s="407"/>
      <c r="BF1117" s="422"/>
      <c r="BG1117" s="391"/>
      <c r="BH1117" s="392">
        <f>SUM($AU$134:AU1117)</f>
        <v>20607.372000000429</v>
      </c>
      <c r="BI1117" s="318">
        <f>SUMIFS($AU$134:AU1118,$Q$134:Q1118,"F")</f>
        <v>6166.5333333333328</v>
      </c>
      <c r="BJ1117" s="318">
        <f>SUMIFS($AU$134:AU1118,$Q$134:Q1118,"S")</f>
        <v>16063.642</v>
      </c>
      <c r="BK1117" s="343">
        <f>SUMIFS($AU$134:AU1118,$P$134:P1118,"W")</f>
        <v>13550.941999999943</v>
      </c>
      <c r="BL1117" s="343">
        <f>SUMIFS($AU$134:AU1118,$P$134:P1118,"R")</f>
        <v>8484.6733333333214</v>
      </c>
      <c r="BM1117" s="343">
        <f>SUMIFS($AU$134:AU1118,$AQ$134:AQ1118,"M")</f>
        <v>2633.4000000001533</v>
      </c>
      <c r="BN1117" s="343">
        <f>SUMIFS($AU$134:AU1118,$AQ$134:AQ1118,"H")</f>
        <v>7513.3420000000642</v>
      </c>
      <c r="BO1117" s="343">
        <f>SUMIFS($AU$134:AU1118,$AQ$134:AQ1118,"D")</f>
        <v>5666.2366666667649</v>
      </c>
      <c r="BP1117" s="343">
        <f>SUMIFS($AU$134:AU1120,$AQ$134:AQ1120,"W")</f>
        <v>3191.7633333332024</v>
      </c>
      <c r="BQ1117" s="343">
        <f>SUMIFS($AU$134:AU1118,$Q$134:Q1118,"O")</f>
        <v>-1342.0033333329056</v>
      </c>
      <c r="BR1117" s="343">
        <f>SUMIFS($AU$134:AU1118,$AA$134:AA1118,"*")</f>
        <v>18992.675333333467</v>
      </c>
      <c r="BS1117" s="343">
        <f>SUMIFS($AU$134:AU1118,$AB$134:AB1118,"*")</f>
        <v>4577.196666667046</v>
      </c>
      <c r="BT1117" s="343">
        <f>SUMIFS($AU$134:AU1118,$AC$134:AC1118,"*")</f>
        <v>11143.683333333332</v>
      </c>
      <c r="BU1117" s="343">
        <f>SUMIFS($AU$134:AU1118,$AA$134:AA1118,"*",$AB$134:AB1118,"*")</f>
        <v>2838.0000000000864</v>
      </c>
      <c r="BV1117" s="343">
        <f>SUMIFS($AU$134:AU1118,$AA$134:AA1118,"*",$AC$134:AC1118,"*")</f>
        <v>9324.7833333333328</v>
      </c>
      <c r="BW1117" s="343">
        <f>SUMIFS($AU$134:AU1118,$AB$134:AB1118,"*",$AC$134:AC1118,"*")</f>
        <v>6014.6</v>
      </c>
      <c r="BX1117" s="343">
        <f>SUMIFS($AU1118:AU$1388,$Q1118:Q$1388,"F")</f>
        <v>8274.1333333333332</v>
      </c>
      <c r="BY1117" s="343">
        <f>SUMIFS($AU1118:AU$1388,$Q1118:Q$1388,"S")</f>
        <v>4784.0000000000009</v>
      </c>
      <c r="BZ1117" s="343">
        <f>SUMIFS($AU1118:AU$1388,$Q1118:Q$1388,"O")</f>
        <v>-306.85466666689297</v>
      </c>
    </row>
    <row r="1118" spans="1:78" ht="15.75" customHeight="1">
      <c r="A1118" s="221" t="s">
        <v>3942</v>
      </c>
      <c r="B1118" s="177">
        <v>45209</v>
      </c>
      <c r="C1118" s="178" t="s">
        <v>4054</v>
      </c>
      <c r="D1118" s="178" t="s">
        <v>146</v>
      </c>
      <c r="E1118" s="227"/>
      <c r="F1118" s="180"/>
      <c r="G1118" s="281" t="s">
        <v>2145</v>
      </c>
      <c r="H1118" s="182"/>
      <c r="I1118" s="182"/>
      <c r="J1118" s="182"/>
      <c r="K1118" s="183"/>
      <c r="L1118" s="182"/>
      <c r="M1118" s="182">
        <v>2</v>
      </c>
      <c r="N1118" s="182"/>
      <c r="O1118" s="183" t="s">
        <v>95</v>
      </c>
      <c r="P1118" s="183" t="s">
        <v>96</v>
      </c>
      <c r="Q1118" s="183" t="s">
        <v>97</v>
      </c>
      <c r="R1118" s="183">
        <v>18</v>
      </c>
      <c r="S1118" s="183">
        <v>1</v>
      </c>
      <c r="T1118" s="183">
        <v>10</v>
      </c>
      <c r="U1118" s="183" t="s">
        <v>22</v>
      </c>
      <c r="V1118" s="183"/>
      <c r="W1118" s="183"/>
      <c r="X1118" s="183"/>
      <c r="Y1118" s="184">
        <f>IF(ISBLANK(O1118),"",(IF(O1118=UPPER("IB"),0.005,0.01)))</f>
        <v>0.01</v>
      </c>
      <c r="Z1118" s="185">
        <f>IF(ISBLANK(O1118),"",IF(O1118="IB",8.63*200,IF(O1118="IR",16*100,IF(O1118="YT",20*100,IF(O1118="YT-XT",24*200,IF(O1118="TED",80*100))))))</f>
        <v>1600</v>
      </c>
      <c r="AA1118" s="185" t="s">
        <v>99</v>
      </c>
      <c r="AB1118" s="185"/>
      <c r="AC1118" s="185"/>
      <c r="AD1118" s="649">
        <f>(0.11*3+0.1*5+0.08*10)/18</f>
        <v>9.0555555555555556E-2</v>
      </c>
      <c r="AE1118" s="182"/>
      <c r="AF1118" s="332"/>
      <c r="AG1118" s="182"/>
      <c r="AH1118" s="182"/>
      <c r="AI1118" s="182"/>
      <c r="AJ1118" s="640"/>
      <c r="AK1118" s="182"/>
      <c r="AL1118" s="496">
        <f t="shared" si="330"/>
        <v>-48</v>
      </c>
      <c r="AM1118" s="496">
        <f>AL1118*(R1118-S1118)</f>
        <v>-816</v>
      </c>
      <c r="AN1118" s="626"/>
      <c r="AO1118" s="182"/>
      <c r="AP1118" s="182" t="s">
        <v>2004</v>
      </c>
      <c r="AQ1118" s="332" t="str">
        <f>UPPER(RIGHT(Journal_Live[[#This Row],[DURATION ]]))</f>
        <v>H</v>
      </c>
      <c r="AR1118" s="182" t="s">
        <v>2093</v>
      </c>
      <c r="AS1118" s="189">
        <f>(0.07*1+0.09*3+0.1*14)/18</f>
        <v>9.6666666666666679E-2</v>
      </c>
      <c r="AT1118" s="189">
        <f t="shared" si="327"/>
        <v>6.1111111111111227E-3</v>
      </c>
      <c r="AU1118" s="187">
        <f t="shared" si="328"/>
        <v>176.00000000000034</v>
      </c>
      <c r="AV1118" s="190">
        <f t="shared" si="329"/>
        <v>9.7777777777777963</v>
      </c>
      <c r="AW1118" s="191" t="s">
        <v>96</v>
      </c>
      <c r="AX1118" s="407"/>
      <c r="AY1118" s="407"/>
      <c r="AZ1118" s="407"/>
      <c r="BA1118" s="407"/>
      <c r="BB1118" s="407"/>
      <c r="BC1118" s="407"/>
      <c r="BD1118" s="407"/>
      <c r="BE1118" s="407"/>
      <c r="BF1118" s="422"/>
      <c r="BG1118" s="391">
        <f>SUM($AV$4:AV1118)</f>
        <v>4196.3143517479239</v>
      </c>
      <c r="BH1118" s="392">
        <f>SUM($AU$134:AU1118)</f>
        <v>20783.372000000429</v>
      </c>
      <c r="BI1118" s="318">
        <f>SUMIFS($AU$134:AU1119,$Q$134:Q1119,"F")</f>
        <v>6166.5333333333328</v>
      </c>
      <c r="BJ1118" s="318">
        <f>SUMIFS($AU$134:AU1119,$Q$134:Q1119,"S")</f>
        <v>16143.642</v>
      </c>
      <c r="BK1118" s="343">
        <f>SUMIFS($AU$134:AU1119,$P$134:P1119,"W")</f>
        <v>13630.941999999943</v>
      </c>
      <c r="BL1118" s="343">
        <f>SUMIFS($AU$134:AU1119,$P$134:P1119,"R")</f>
        <v>8484.6733333333214</v>
      </c>
      <c r="BM1118" s="343">
        <f>SUMIFS($AU$134:AU1119,$AQ$134:AQ1119,"M")</f>
        <v>2633.4000000001533</v>
      </c>
      <c r="BN1118" s="343">
        <f>SUMIFS($AU$134:AU1119,$AQ$134:AQ1119,"H")</f>
        <v>7593.3420000000642</v>
      </c>
      <c r="BO1118" s="343">
        <f>SUMIFS($AU$134:AU1119,$AQ$134:AQ1119,"D")</f>
        <v>5666.2366666667649</v>
      </c>
      <c r="BP1118" s="343">
        <f>SUMIFS($AU$134:AU1121,$AQ$134:AQ1121,"W")</f>
        <v>3191.7633333332024</v>
      </c>
      <c r="BQ1118" s="343">
        <f>SUMIFS($AU$134:AU1119,$Q$134:Q1119,"O")</f>
        <v>-1342.0033333329056</v>
      </c>
      <c r="BR1118" s="343">
        <f>SUMIFS($AU$134:AU1119,$AA$134:AA1119,"*")</f>
        <v>19072.675333333467</v>
      </c>
      <c r="BS1118" s="343">
        <f>SUMIFS($AU$134:AU1119,$AB$134:AB1119,"*")</f>
        <v>4577.196666667046</v>
      </c>
      <c r="BT1118" s="343">
        <f>SUMIFS($AU$134:AU1119,$AC$134:AC1119,"*")</f>
        <v>11143.683333333332</v>
      </c>
      <c r="BU1118" s="343">
        <f>SUMIFS($AU$134:AU1119,$AA$134:AA1119,"*",$AB$134:AB1119,"*")</f>
        <v>2838.0000000000864</v>
      </c>
      <c r="BV1118" s="343">
        <f>SUMIFS($AU$134:AU1119,$AA$134:AA1119,"*",$AC$134:AC1119,"*")</f>
        <v>9324.7833333333328</v>
      </c>
      <c r="BW1118" s="343">
        <f>SUMIFS($AU$134:AU1119,$AB$134:AB1119,"*",$AC$134:AC1119,"*")</f>
        <v>6014.6</v>
      </c>
      <c r="BX1118" s="343">
        <f>SUMIFS($AU1119:AU$1388,$Q1119:Q$1388,"F")</f>
        <v>8274.1333333333332</v>
      </c>
      <c r="BY1118" s="343">
        <f>SUMIFS($AU1119:AU$1388,$Q1119:Q$1388,"S")</f>
        <v>4608.0000000000009</v>
      </c>
      <c r="BZ1118" s="343">
        <f>SUMIFS($AU1119:AU$1388,$Q1119:Q$1388,"O")</f>
        <v>-306.85466666689297</v>
      </c>
    </row>
    <row r="1119" spans="1:78" ht="15.75" customHeight="1">
      <c r="A1119" s="221" t="s">
        <v>3942</v>
      </c>
      <c r="B1119" s="177">
        <v>45209</v>
      </c>
      <c r="C1119" s="178" t="s">
        <v>4055</v>
      </c>
      <c r="D1119" s="178" t="s">
        <v>146</v>
      </c>
      <c r="E1119" s="227"/>
      <c r="F1119" s="180"/>
      <c r="G1119" s="281" t="s">
        <v>181</v>
      </c>
      <c r="H1119" s="182"/>
      <c r="I1119" s="182"/>
      <c r="J1119" s="182"/>
      <c r="K1119" s="183"/>
      <c r="L1119" s="182">
        <v>1</v>
      </c>
      <c r="M1119" s="182"/>
      <c r="N1119" s="182"/>
      <c r="O1119" s="183" t="s">
        <v>95</v>
      </c>
      <c r="P1119" s="183" t="s">
        <v>96</v>
      </c>
      <c r="Q1119" s="183" t="s">
        <v>97</v>
      </c>
      <c r="R1119" s="183">
        <v>5</v>
      </c>
      <c r="S1119" s="183">
        <v>0</v>
      </c>
      <c r="T1119" s="183">
        <v>4</v>
      </c>
      <c r="U1119" s="183" t="s">
        <v>22</v>
      </c>
      <c r="V1119" s="183"/>
      <c r="W1119" s="183"/>
      <c r="X1119" s="183"/>
      <c r="Y1119" s="184">
        <f>IF(ISBLANK(O1119),"",(IF(O1119=UPPER("IB"),0.005,0.01)))</f>
        <v>0.01</v>
      </c>
      <c r="Z1119" s="185">
        <f>IF(ISBLANK(O1119),"",IF(O1119="IB",8.63*200,IF(O1119="IR",16*100,IF(O1119="YT",20*100,IF(O1119="YT-XT",24*200,IF(O1119="TED",80*100))))))</f>
        <v>1600</v>
      </c>
      <c r="AA1119" s="185" t="s">
        <v>99</v>
      </c>
      <c r="AB1119" s="185"/>
      <c r="AC1119" s="185"/>
      <c r="AD1119" s="649">
        <v>0.01</v>
      </c>
      <c r="AE1119" s="182"/>
      <c r="AF1119" s="332"/>
      <c r="AG1119" s="182"/>
      <c r="AH1119" s="182"/>
      <c r="AI1119" s="182"/>
      <c r="AJ1119" s="640"/>
      <c r="AK1119" s="182"/>
      <c r="AL1119" s="496">
        <f t="shared" ref="AL1119" si="331">-0.03*Z1119</f>
        <v>-48</v>
      </c>
      <c r="AM1119" s="496">
        <f>AL1119*(R1119-S1119)</f>
        <v>-240</v>
      </c>
      <c r="AN1119" s="626"/>
      <c r="AO1119" s="182"/>
      <c r="AP1119" s="182" t="s">
        <v>967</v>
      </c>
      <c r="AQ1119" s="332" t="str">
        <f>UPPER(RIGHT(Journal_Live[[#This Row],[DURATION ]]))</f>
        <v>H</v>
      </c>
      <c r="AR1119" s="182" t="s">
        <v>1064</v>
      </c>
      <c r="AS1119" s="189">
        <v>0.02</v>
      </c>
      <c r="AT1119" s="189">
        <f t="shared" si="327"/>
        <v>0.01</v>
      </c>
      <c r="AU1119" s="187">
        <f t="shared" si="328"/>
        <v>80</v>
      </c>
      <c r="AV1119" s="190">
        <f t="shared" si="329"/>
        <v>16</v>
      </c>
      <c r="AW1119" s="191" t="s">
        <v>96</v>
      </c>
      <c r="AX1119" s="407"/>
      <c r="AY1119" s="407"/>
      <c r="AZ1119" s="407"/>
      <c r="BA1119" s="407"/>
      <c r="BB1119" s="407"/>
      <c r="BC1119" s="407"/>
      <c r="BD1119" s="407"/>
      <c r="BE1119" s="407"/>
      <c r="BF1119" s="422"/>
      <c r="BG1119" s="391">
        <f>SUM($AV$4:AV1119)</f>
        <v>4212.3143517479239</v>
      </c>
      <c r="BH1119" s="392">
        <f>SUM($AU$134:AU1119)</f>
        <v>20863.372000000429</v>
      </c>
      <c r="BI1119" s="318">
        <f>SUMIFS($AU$134:AU1120,$Q$134:Q1120,"F")</f>
        <v>6166.5333333333328</v>
      </c>
      <c r="BJ1119" s="318">
        <f>SUMIFS($AU$134:AU1120,$Q$134:Q1120,"S")</f>
        <v>16143.642</v>
      </c>
      <c r="BK1119" s="343">
        <f>SUMIFS($AU$134:AU1120,$P$134:P1120,"W")</f>
        <v>13630.941999999943</v>
      </c>
      <c r="BL1119" s="343">
        <f>SUMIFS($AU$134:AU1120,$P$134:P1120,"R")</f>
        <v>8484.6733333333214</v>
      </c>
      <c r="BM1119" s="343">
        <f>SUMIFS($AU$134:AU1120,$AQ$134:AQ1120,"M")</f>
        <v>2633.4000000001533</v>
      </c>
      <c r="BN1119" s="343">
        <f>SUMIFS($AU$134:AU1120,$AQ$134:AQ1120,"H")</f>
        <v>7593.3420000000642</v>
      </c>
      <c r="BO1119" s="343">
        <f>SUMIFS($AU$134:AU1120,$AQ$134:AQ1120,"D")</f>
        <v>5666.2366666667649</v>
      </c>
      <c r="BP1119" s="343">
        <f>SUMIFS($AU$134:AU1122,$AQ$134:AQ1122,"W")</f>
        <v>3191.7633333332024</v>
      </c>
      <c r="BQ1119" s="343">
        <f>SUMIFS($AU$134:AU1120,$Q$134:Q1120,"O")</f>
        <v>-1342.0033333329056</v>
      </c>
      <c r="BR1119" s="343">
        <f>SUMIFS($AU$134:AU1120,$AA$134:AA1120,"*")</f>
        <v>19072.675333333467</v>
      </c>
      <c r="BS1119" s="343">
        <f>SUMIFS($AU$134:AU1120,$AB$134:AB1120,"*")</f>
        <v>4577.196666667046</v>
      </c>
      <c r="BT1119" s="343">
        <f>SUMIFS($AU$134:AU1120,$AC$134:AC1120,"*")</f>
        <v>11143.683333333332</v>
      </c>
      <c r="BU1119" s="343">
        <f>SUMIFS($AU$134:AU1120,$AA$134:AA1120,"*",$AB$134:AB1120,"*")</f>
        <v>2838.0000000000864</v>
      </c>
      <c r="BV1119" s="343">
        <f>SUMIFS($AU$134:AU1120,$AA$134:AA1120,"*",$AC$134:AC1120,"*")</f>
        <v>9324.7833333333328</v>
      </c>
      <c r="BW1119" s="343">
        <f>SUMIFS($AU$134:AU1120,$AB$134:AB1120,"*",$AC$134:AC1120,"*")</f>
        <v>6014.6</v>
      </c>
      <c r="BX1119" s="343">
        <f>SUMIFS($AU1120:AU$1388,$Q1120:Q$1388,"F")</f>
        <v>8274.1333333333332</v>
      </c>
      <c r="BY1119" s="343">
        <f>SUMIFS($AU1120:AU$1388,$Q1120:Q$1388,"S")</f>
        <v>4528.0000000000009</v>
      </c>
      <c r="BZ1119" s="343">
        <f>SUMIFS($AU1120:AU$1388,$Q1120:Q$1388,"O")</f>
        <v>-306.85466666689297</v>
      </c>
    </row>
    <row r="1120" spans="1:78" ht="15.75" customHeight="1">
      <c r="A1120" s="221" t="s">
        <v>3942</v>
      </c>
      <c r="B1120" s="177">
        <v>45209</v>
      </c>
      <c r="C1120" s="178" t="s">
        <v>1064</v>
      </c>
      <c r="D1120" s="178" t="s">
        <v>146</v>
      </c>
      <c r="E1120" s="227"/>
      <c r="F1120" s="180"/>
      <c r="G1120" s="181" t="s">
        <v>181</v>
      </c>
      <c r="H1120" s="182"/>
      <c r="I1120" s="182"/>
      <c r="J1120" s="182"/>
      <c r="K1120" s="183"/>
      <c r="L1120" s="182"/>
      <c r="M1120" s="182"/>
      <c r="N1120" s="182"/>
      <c r="O1120" s="183"/>
      <c r="P1120" s="183"/>
      <c r="Q1120" s="183"/>
      <c r="R1120" s="183"/>
      <c r="S1120" s="183"/>
      <c r="T1120" s="183"/>
      <c r="U1120" s="183"/>
      <c r="V1120" s="183"/>
      <c r="W1120" s="183"/>
      <c r="X1120" s="183"/>
      <c r="Y1120" s="184"/>
      <c r="Z1120" s="185"/>
      <c r="AA1120" s="185"/>
      <c r="AB1120" s="185"/>
      <c r="AC1120" s="185"/>
      <c r="AD1120" s="649"/>
      <c r="AE1120" s="182"/>
      <c r="AF1120" s="332"/>
      <c r="AG1120" s="182"/>
      <c r="AH1120" s="182"/>
      <c r="AI1120" s="182"/>
      <c r="AJ1120" s="640"/>
      <c r="AK1120" s="182"/>
      <c r="AL1120" s="496"/>
      <c r="AM1120" s="496"/>
      <c r="AN1120" s="626"/>
      <c r="AO1120" s="182"/>
      <c r="AP1120" s="182"/>
      <c r="AQ1120" s="332" t="str">
        <f>UPPER(RIGHT(Journal_Live[[#This Row],[DURATION ]]))</f>
        <v/>
      </c>
      <c r="AR1120" s="182"/>
      <c r="AS1120" s="189"/>
      <c r="AT1120" s="182"/>
      <c r="AU1120" s="187"/>
      <c r="AV1120" s="320"/>
      <c r="AW1120" s="191"/>
      <c r="AX1120" s="407"/>
      <c r="AY1120" s="407"/>
      <c r="AZ1120" s="407"/>
      <c r="BA1120" s="407"/>
      <c r="BB1120" s="407"/>
      <c r="BC1120" s="407"/>
      <c r="BD1120" s="407"/>
      <c r="BE1120" s="407"/>
      <c r="BF1120" s="422"/>
      <c r="BG1120" s="391">
        <f>SUM($AV$4:AV1120)</f>
        <v>4212.3143517479239</v>
      </c>
      <c r="BH1120" s="392">
        <f>SUM($AU$134:AU1120)</f>
        <v>20863.372000000429</v>
      </c>
      <c r="BI1120" s="318">
        <f>SUMIFS($AU$134:AU1121,$Q$134:Q1121,"F")</f>
        <v>6166.5333333333328</v>
      </c>
      <c r="BJ1120" s="318">
        <f>SUMIFS($AU$134:AU1121,$Q$134:Q1121,"S")</f>
        <v>16335.642</v>
      </c>
      <c r="BK1120" s="343">
        <f>SUMIFS($AU$134:AU1121,$P$134:P1121,"W")</f>
        <v>13822.941999999943</v>
      </c>
      <c r="BL1120" s="343">
        <f>SUMIFS($AU$134:AU1121,$P$134:P1121,"R")</f>
        <v>8484.6733333333214</v>
      </c>
      <c r="BM1120" s="343">
        <f>SUMIFS($AU$134:AU1121,$AQ$134:AQ1121,"M")</f>
        <v>2633.4000000001533</v>
      </c>
      <c r="BN1120" s="343">
        <f>SUMIFS($AU$134:AU1121,$AQ$134:AQ1121,"H")</f>
        <v>7785.3420000000642</v>
      </c>
      <c r="BO1120" s="343">
        <f>SUMIFS($AU$134:AU1121,$AQ$134:AQ1121,"D")</f>
        <v>5666.2366666667649</v>
      </c>
      <c r="BP1120" s="343">
        <f>SUMIFS($AU$134:AU1123,$AQ$134:AQ1123,"W")</f>
        <v>3191.7633333332024</v>
      </c>
      <c r="BQ1120" s="343">
        <f>SUMIFS($AU$134:AU1121,$Q$134:Q1121,"O")</f>
        <v>-1342.0033333329056</v>
      </c>
      <c r="BR1120" s="343">
        <f>SUMIFS($AU$134:AU1121,$AA$134:AA1121,"*")</f>
        <v>19264.675333333467</v>
      </c>
      <c r="BS1120" s="343">
        <f>SUMIFS($AU$134:AU1121,$AB$134:AB1121,"*")</f>
        <v>4577.196666667046</v>
      </c>
      <c r="BT1120" s="343">
        <f>SUMIFS($AU$134:AU1121,$AC$134:AC1121,"*")</f>
        <v>11143.683333333332</v>
      </c>
      <c r="BU1120" s="343">
        <f>SUMIFS($AU$134:AU1121,$AA$134:AA1121,"*",$AB$134:AB1121,"*")</f>
        <v>2838.0000000000864</v>
      </c>
      <c r="BV1120" s="343">
        <f>SUMIFS($AU$134:AU1121,$AA$134:AA1121,"*",$AC$134:AC1121,"*")</f>
        <v>9324.7833333333328</v>
      </c>
      <c r="BW1120" s="343">
        <f>SUMIFS($AU$134:AU1121,$AB$134:AB1121,"*",$AC$134:AC1121,"*")</f>
        <v>6014.6</v>
      </c>
      <c r="BX1120" s="343">
        <f>SUMIFS($AU1121:AU$1388,$Q1121:Q$1388,"F")</f>
        <v>8274.1333333333332</v>
      </c>
      <c r="BY1120" s="343">
        <f>SUMIFS($AU1121:AU$1388,$Q1121:Q$1388,"S")</f>
        <v>4528.0000000000009</v>
      </c>
      <c r="BZ1120" s="343">
        <f>SUMIFS($AU1121:AU$1388,$Q1121:Q$1388,"O")</f>
        <v>-306.85466666689297</v>
      </c>
    </row>
    <row r="1121" spans="1:78" ht="15.75" customHeight="1">
      <c r="A1121" s="221" t="s">
        <v>3942</v>
      </c>
      <c r="B1121" s="177">
        <v>45209</v>
      </c>
      <c r="C1121" s="178" t="s">
        <v>4056</v>
      </c>
      <c r="D1121" s="178" t="s">
        <v>146</v>
      </c>
      <c r="E1121" s="227"/>
      <c r="F1121" s="180"/>
      <c r="G1121" s="281" t="s">
        <v>136</v>
      </c>
      <c r="H1121" s="182"/>
      <c r="I1121" s="182"/>
      <c r="J1121" s="182"/>
      <c r="K1121" s="183"/>
      <c r="L1121" s="182">
        <v>1</v>
      </c>
      <c r="M1121" s="182"/>
      <c r="N1121" s="182"/>
      <c r="O1121" s="183" t="s">
        <v>95</v>
      </c>
      <c r="P1121" s="183" t="s">
        <v>96</v>
      </c>
      <c r="Q1121" s="183" t="s">
        <v>97</v>
      </c>
      <c r="R1121" s="183">
        <v>21</v>
      </c>
      <c r="S1121" s="183">
        <v>2</v>
      </c>
      <c r="T1121" s="183">
        <v>9</v>
      </c>
      <c r="U1121" s="183" t="s">
        <v>22</v>
      </c>
      <c r="V1121" s="183"/>
      <c r="W1121" s="183"/>
      <c r="X1121" s="183"/>
      <c r="Y1121" s="184">
        <f>IF(ISBLANK(O1121),"",(IF(O1121=UPPER("IB"),0.005,0.01)))</f>
        <v>0.01</v>
      </c>
      <c r="Z1121" s="185">
        <f>IF(ISBLANK(O1121),"",IF(O1121="IB",8.63*200,IF(O1121="IR",16*100,IF(O1121="YT",20*100,IF(O1121="YT-XT",24*200,IF(O1121="TED",80*100))))))</f>
        <v>1600</v>
      </c>
      <c r="AA1121" s="185" t="s">
        <v>4057</v>
      </c>
      <c r="AB1121" s="185"/>
      <c r="AC1121" s="185"/>
      <c r="AD1121" s="649">
        <f>((-0.03*9)+(-0.04*12))/21</f>
        <v>-3.5714285714285712E-2</v>
      </c>
      <c r="AE1121" s="182"/>
      <c r="AF1121" s="332"/>
      <c r="AG1121" s="182"/>
      <c r="AH1121" s="182"/>
      <c r="AI1121" s="182"/>
      <c r="AJ1121" s="640"/>
      <c r="AK1121" s="182"/>
      <c r="AL1121" s="496"/>
      <c r="AM1121" s="496"/>
      <c r="AN1121" s="626"/>
      <c r="AO1121" s="182"/>
      <c r="AP1121" s="182" t="s">
        <v>1554</v>
      </c>
      <c r="AQ1121" s="332" t="str">
        <f>UPPER(RIGHT(Journal_Live[[#This Row],[DURATION ]]))</f>
        <v>H</v>
      </c>
      <c r="AR1121" s="182" t="s">
        <v>2126</v>
      </c>
      <c r="AS1121" s="189">
        <f>((-0.03*2)+(-0.03*19))/21</f>
        <v>-2.9999999999999995E-2</v>
      </c>
      <c r="AT1121" s="189">
        <f>IF(ISBLANK(AS1121),,IF(U1121="S",AD1121-AS1121,AS1121-AD1121))</f>
        <v>5.7142857142857169E-3</v>
      </c>
      <c r="AU1121" s="187">
        <f>AV1121*R1121</f>
        <v>192.00000000000011</v>
      </c>
      <c r="AV1121" s="190">
        <f>IF(ISBLANK(AS1121),,(AT1121*Z1121))</f>
        <v>9.1428571428571477</v>
      </c>
      <c r="AW1121" s="191" t="s">
        <v>96</v>
      </c>
      <c r="AX1121" s="407"/>
      <c r="AY1121" s="407"/>
      <c r="AZ1121" s="407"/>
      <c r="BA1121" s="407"/>
      <c r="BB1121" s="407"/>
      <c r="BC1121" s="407"/>
      <c r="BD1121" s="407"/>
      <c r="BE1121" s="407"/>
      <c r="BF1121" s="422"/>
      <c r="BG1121" s="391">
        <f>SUM($AV$4:AV1121)</f>
        <v>4221.4572088907807</v>
      </c>
      <c r="BH1121" s="392">
        <f>SUM($AU$134:AU1121)</f>
        <v>21055.372000000429</v>
      </c>
      <c r="BI1121" s="318">
        <f>SUMIFS($AU$134:AU1122,$Q$134:Q1122,"F")</f>
        <v>6166.5333333333328</v>
      </c>
      <c r="BJ1121" s="318">
        <f>SUMIFS($AU$134:AU1122,$Q$134:Q1122,"S")</f>
        <v>16399.642</v>
      </c>
      <c r="BK1121" s="343">
        <f>SUMIFS($AU$134:AU1122,$P$134:P1122,"W")</f>
        <v>13886.941999999943</v>
      </c>
      <c r="BL1121" s="343">
        <f>SUMIFS($AU$134:AU1122,$P$134:P1122,"R")</f>
        <v>8484.6733333333214</v>
      </c>
      <c r="BM1121" s="343">
        <f>SUMIFS($AU$134:AU1122,$AQ$134:AQ1122,"M")</f>
        <v>2633.4000000001533</v>
      </c>
      <c r="BN1121" s="343">
        <f>SUMIFS($AU$134:AU1122,$AQ$134:AQ1122,"H")</f>
        <v>7849.3420000000642</v>
      </c>
      <c r="BO1121" s="343">
        <f>SUMIFS($AU$134:AU1122,$AQ$134:AQ1122,"D")</f>
        <v>5666.2366666667649</v>
      </c>
      <c r="BP1121" s="343">
        <f>SUMIFS($AU$134:AU1124,$AQ$134:AQ1124,"W")</f>
        <v>3191.7633333332024</v>
      </c>
      <c r="BQ1121" s="343">
        <f>SUMIFS($AU$134:AU1122,$Q$134:Q1122,"O")</f>
        <v>-1342.0033333329056</v>
      </c>
      <c r="BR1121" s="343">
        <f>SUMIFS($AU$134:AU1122,$AA$134:AA1122,"*")</f>
        <v>19328.675333333467</v>
      </c>
      <c r="BS1121" s="343">
        <f>SUMIFS($AU$134:AU1122,$AB$134:AB1122,"*")</f>
        <v>4577.196666667046</v>
      </c>
      <c r="BT1121" s="343">
        <f>SUMIFS($AU$134:AU1122,$AC$134:AC1122,"*")</f>
        <v>11143.683333333332</v>
      </c>
      <c r="BU1121" s="343">
        <f>SUMIFS($AU$134:AU1122,$AA$134:AA1122,"*",$AB$134:AB1122,"*")</f>
        <v>2838.0000000000864</v>
      </c>
      <c r="BV1121" s="343">
        <f>SUMIFS($AU$134:AU1122,$AA$134:AA1122,"*",$AC$134:AC1122,"*")</f>
        <v>9324.7833333333328</v>
      </c>
      <c r="BW1121" s="343">
        <f>SUMIFS($AU$134:AU1122,$AB$134:AB1122,"*",$AC$134:AC1122,"*")</f>
        <v>6014.6</v>
      </c>
      <c r="BX1121" s="343">
        <f>SUMIFS($AU1122:AU$1388,$Q1122:Q$1388,"F")</f>
        <v>8274.1333333333332</v>
      </c>
      <c r="BY1121" s="343">
        <f>SUMIFS($AU1122:AU$1388,$Q1122:Q$1388,"S")</f>
        <v>4336.0000000000009</v>
      </c>
      <c r="BZ1121" s="343">
        <f>SUMIFS($AU1122:AU$1388,$Q1122:Q$1388,"O")</f>
        <v>-306.85466666689297</v>
      </c>
    </row>
    <row r="1122" spans="1:78" ht="15.75" customHeight="1">
      <c r="A1122" s="221" t="s">
        <v>3942</v>
      </c>
      <c r="B1122" s="177">
        <v>45209</v>
      </c>
      <c r="C1122" s="178" t="s">
        <v>4058</v>
      </c>
      <c r="D1122" s="178" t="s">
        <v>146</v>
      </c>
      <c r="E1122" s="227"/>
      <c r="F1122" s="180"/>
      <c r="G1122" s="281" t="s">
        <v>2145</v>
      </c>
      <c r="H1122" s="182"/>
      <c r="I1122" s="182"/>
      <c r="J1122" s="182"/>
      <c r="K1122" s="183"/>
      <c r="L1122" s="182">
        <v>1</v>
      </c>
      <c r="M1122" s="182"/>
      <c r="N1122" s="182"/>
      <c r="O1122" s="183" t="s">
        <v>95</v>
      </c>
      <c r="P1122" s="183" t="s">
        <v>96</v>
      </c>
      <c r="Q1122" s="183" t="s">
        <v>97</v>
      </c>
      <c r="R1122" s="183">
        <v>4</v>
      </c>
      <c r="S1122" s="183">
        <v>0</v>
      </c>
      <c r="T1122" s="183">
        <v>4</v>
      </c>
      <c r="U1122" s="183" t="s">
        <v>97</v>
      </c>
      <c r="V1122" s="183"/>
      <c r="W1122" s="183"/>
      <c r="X1122" s="183"/>
      <c r="Y1122" s="184">
        <f>IF(ISBLANK(O1122),"",(IF(O1122=UPPER("IB"),0.005,0.01)))</f>
        <v>0.01</v>
      </c>
      <c r="Z1122" s="185">
        <f>IF(ISBLANK(O1122),"",IF(O1122="IB",8.63*200,IF(O1122="IR",16*100,IF(O1122="YT",20*100,IF(O1122="YT-XT",24*200,IF(O1122="TED",80*100))))))</f>
        <v>1600</v>
      </c>
      <c r="AA1122" s="185" t="s">
        <v>99</v>
      </c>
      <c r="AB1122" s="185"/>
      <c r="AC1122" s="185"/>
      <c r="AD1122" s="649">
        <v>0.11</v>
      </c>
      <c r="AE1122" s="182"/>
      <c r="AF1122" s="332"/>
      <c r="AG1122" s="182"/>
      <c r="AH1122" s="182"/>
      <c r="AI1122" s="182"/>
      <c r="AJ1122" s="640"/>
      <c r="AK1122" s="182"/>
      <c r="AL1122" s="496"/>
      <c r="AM1122" s="496"/>
      <c r="AN1122" s="626"/>
      <c r="AO1122" s="182"/>
      <c r="AP1122" s="182" t="s">
        <v>1026</v>
      </c>
      <c r="AQ1122" s="332" t="str">
        <f>UPPER(RIGHT(Journal_Live[[#This Row],[DURATION ]]))</f>
        <v>H</v>
      </c>
      <c r="AR1122" s="182" t="s">
        <v>4059</v>
      </c>
      <c r="AS1122" s="189">
        <v>0.1</v>
      </c>
      <c r="AT1122" s="189">
        <f>IF(ISBLANK(AS1122),,IF(U1122="S",AD1122-AS1122,AS1122-AD1122))</f>
        <v>9.999999999999995E-3</v>
      </c>
      <c r="AU1122" s="187">
        <f>AV1122*R1122</f>
        <v>63.999999999999972</v>
      </c>
      <c r="AV1122" s="190">
        <f>IF(ISBLANK(AS1122),,(AT1122*Z1122))</f>
        <v>15.999999999999993</v>
      </c>
      <c r="AW1122" s="191" t="s">
        <v>96</v>
      </c>
      <c r="AX1122" s="407"/>
      <c r="AY1122" s="407"/>
      <c r="AZ1122" s="407"/>
      <c r="BA1122" s="407" t="s">
        <v>3017</v>
      </c>
      <c r="BB1122" s="407"/>
      <c r="BC1122" s="407"/>
      <c r="BD1122" s="407"/>
      <c r="BE1122" s="407"/>
      <c r="BF1122" s="422"/>
      <c r="BG1122" s="391">
        <f>SUM($AV$4:AV1122)</f>
        <v>4237.4572088907807</v>
      </c>
      <c r="BH1122" s="392">
        <f>SUM($AU$134:AU1122)</f>
        <v>21119.372000000429</v>
      </c>
      <c r="BI1122" s="318">
        <f>SUMIFS($AU$134:AU1123,$Q$134:Q1123,"F")</f>
        <v>6166.5333333333328</v>
      </c>
      <c r="BJ1122" s="318">
        <f>SUMIFS($AU$134:AU1123,$Q$134:Q1123,"S")</f>
        <v>16543.642</v>
      </c>
      <c r="BK1122" s="343">
        <f>SUMIFS($AU$134:AU1123,$P$134:P1123,"W")</f>
        <v>14030.941999999943</v>
      </c>
      <c r="BL1122" s="343">
        <f>SUMIFS($AU$134:AU1123,$P$134:P1123,"R")</f>
        <v>8484.6733333333214</v>
      </c>
      <c r="BM1122" s="343">
        <f>SUMIFS($AU$134:AU1123,$AQ$134:AQ1123,"M")</f>
        <v>2633.4000000001533</v>
      </c>
      <c r="BN1122" s="343">
        <f>SUMIFS($AU$134:AU1123,$AQ$134:AQ1123,"H")</f>
        <v>7849.3420000000642</v>
      </c>
      <c r="BO1122" s="343">
        <f>SUMIFS($AU$134:AU1123,$AQ$134:AQ1123,"D")</f>
        <v>5810.2366666667649</v>
      </c>
      <c r="BP1122" s="343">
        <f>SUMIFS($AU$134:AU1125,$AQ$134:AQ1125,"W")</f>
        <v>3191.7633333332024</v>
      </c>
      <c r="BQ1122" s="343">
        <f>SUMIFS($AU$134:AU1123,$Q$134:Q1123,"O")</f>
        <v>-1342.0033333329056</v>
      </c>
      <c r="BR1122" s="343">
        <f>SUMIFS($AU$134:AU1123,$AA$134:AA1123,"*")</f>
        <v>19472.675333333467</v>
      </c>
      <c r="BS1122" s="343">
        <f>SUMIFS($AU$134:AU1123,$AB$134:AB1123,"*")</f>
        <v>4577.196666667046</v>
      </c>
      <c r="BT1122" s="343">
        <f>SUMIFS($AU$134:AU1123,$AC$134:AC1123,"*")</f>
        <v>11143.683333333332</v>
      </c>
      <c r="BU1122" s="343">
        <f>SUMIFS($AU$134:AU1123,$AA$134:AA1123,"*",$AB$134:AB1123,"*")</f>
        <v>2838.0000000000864</v>
      </c>
      <c r="BV1122" s="343">
        <f>SUMIFS($AU$134:AU1123,$AA$134:AA1123,"*",$AC$134:AC1123,"*")</f>
        <v>9324.7833333333328</v>
      </c>
      <c r="BW1122" s="343">
        <f>SUMIFS($AU$134:AU1123,$AB$134:AB1123,"*",$AC$134:AC1123,"*")</f>
        <v>6014.6</v>
      </c>
      <c r="BX1122" s="343">
        <f>SUMIFS($AU1123:AU$1388,$Q1123:Q$1388,"F")</f>
        <v>8274.1333333333332</v>
      </c>
      <c r="BY1122" s="343">
        <f>SUMIFS($AU1123:AU$1388,$Q1123:Q$1388,"S")</f>
        <v>4272.0000000000009</v>
      </c>
      <c r="BZ1122" s="343">
        <f>SUMIFS($AU1123:AU$1388,$Q1123:Q$1388,"O")</f>
        <v>-306.85466666689297</v>
      </c>
    </row>
    <row r="1123" spans="1:78" ht="15.75" customHeight="1">
      <c r="A1123" s="221" t="s">
        <v>3942</v>
      </c>
      <c r="B1123" s="177">
        <v>45209</v>
      </c>
      <c r="C1123" s="178" t="s">
        <v>4060</v>
      </c>
      <c r="D1123" s="178" t="s">
        <v>146</v>
      </c>
      <c r="E1123" s="227" t="s">
        <v>4061</v>
      </c>
      <c r="F1123" s="180"/>
      <c r="G1123" s="281" t="s">
        <v>2145</v>
      </c>
      <c r="H1123" s="182"/>
      <c r="I1123" s="182"/>
      <c r="J1123" s="182"/>
      <c r="K1123" s="183"/>
      <c r="L1123" s="182">
        <v>1</v>
      </c>
      <c r="M1123" s="182"/>
      <c r="N1123" s="182"/>
      <c r="O1123" s="183" t="s">
        <v>95</v>
      </c>
      <c r="P1123" s="183" t="s">
        <v>96</v>
      </c>
      <c r="Q1123" s="183" t="s">
        <v>97</v>
      </c>
      <c r="R1123" s="183">
        <v>9</v>
      </c>
      <c r="S1123" s="183">
        <v>2</v>
      </c>
      <c r="T1123" s="183">
        <v>7</v>
      </c>
      <c r="U1123" s="183" t="s">
        <v>22</v>
      </c>
      <c r="V1123" s="183"/>
      <c r="W1123" s="183"/>
      <c r="X1123" s="183"/>
      <c r="Y1123" s="184">
        <f>IF(ISBLANK(O1123),"",(IF(O1123=UPPER("IB"),0.005,0.01)))</f>
        <v>0.01</v>
      </c>
      <c r="Z1123" s="185">
        <f>IF(ISBLANK(O1123),"",IF(O1123="IB",8.63*200,IF(O1123="IR",16*100,IF(O1123="YT",20*100,IF(O1123="YT-XT",24*200,IF(O1123="TED",80*100))))))</f>
        <v>1600</v>
      </c>
      <c r="AA1123" s="185" t="s">
        <v>99</v>
      </c>
      <c r="AB1123" s="185"/>
      <c r="AC1123" s="185"/>
      <c r="AD1123" s="649">
        <v>0.08</v>
      </c>
      <c r="AE1123" s="182"/>
      <c r="AF1123" s="332"/>
      <c r="AG1123" s="182"/>
      <c r="AH1123" s="182"/>
      <c r="AI1123" s="182"/>
      <c r="AJ1123" s="640"/>
      <c r="AK1123" s="182"/>
      <c r="AL1123" s="496"/>
      <c r="AM1123" s="496"/>
      <c r="AN1123" s="626"/>
      <c r="AO1123" s="182"/>
      <c r="AP1123" s="182" t="s">
        <v>770</v>
      </c>
      <c r="AQ1123" s="332" t="str">
        <f>UPPER(RIGHT(Journal_Live[[#This Row],[DURATION ]]))</f>
        <v>D</v>
      </c>
      <c r="AR1123" s="182" t="s">
        <v>4062</v>
      </c>
      <c r="AS1123" s="189">
        <f>(0.09*2+0.09*7)/9</f>
        <v>9.0000000000000011E-2</v>
      </c>
      <c r="AT1123" s="189">
        <f>IF(ISBLANK(AS1123),,IF(U1123="S",AD1123-AS1123,AS1123-AD1123))</f>
        <v>1.0000000000000009E-2</v>
      </c>
      <c r="AU1123" s="187">
        <f>AV1123*R1123</f>
        <v>144.00000000000011</v>
      </c>
      <c r="AV1123" s="190">
        <f>IF(ISBLANK(AS1123),,(AT1123*Z1123))</f>
        <v>16.000000000000014</v>
      </c>
      <c r="AW1123" s="191" t="s">
        <v>96</v>
      </c>
      <c r="AX1123" s="407" t="s">
        <v>4063</v>
      </c>
      <c r="AY1123" s="407" t="s">
        <v>4064</v>
      </c>
      <c r="AZ1123" s="407"/>
      <c r="BA1123" s="407"/>
      <c r="BB1123" s="407"/>
      <c r="BC1123" s="407"/>
      <c r="BD1123" s="407"/>
      <c r="BE1123" s="407"/>
      <c r="BF1123" s="422"/>
      <c r="BG1123" s="391">
        <f>SUM($AV$4:AV1123)</f>
        <v>4253.4572088907807</v>
      </c>
      <c r="BH1123" s="392">
        <f>SUM($AU$134:AU1123)</f>
        <v>21263.372000000429</v>
      </c>
      <c r="BI1123" s="318">
        <f>SUMIFS($AU$134:AU1124,$Q$134:Q1124,"F")</f>
        <v>6166.5333333333328</v>
      </c>
      <c r="BJ1123" s="318">
        <f>SUMIFS($AU$134:AU1124,$Q$134:Q1124,"S")</f>
        <v>16703.642</v>
      </c>
      <c r="BK1123" s="343">
        <f>SUMIFS($AU$134:AU1124,$P$134:P1124,"W")</f>
        <v>14190.941999999943</v>
      </c>
      <c r="BL1123" s="343">
        <f>SUMIFS($AU$134:AU1124,$P$134:P1124,"R")</f>
        <v>8484.6733333333214</v>
      </c>
      <c r="BM1123" s="343">
        <f>SUMIFS($AU$134:AU1124,$AQ$134:AQ1124,"M")</f>
        <v>2633.4000000001533</v>
      </c>
      <c r="BN1123" s="343">
        <f>SUMIFS($AU$134:AU1124,$AQ$134:AQ1124,"H")</f>
        <v>8009.3420000000642</v>
      </c>
      <c r="BO1123" s="343">
        <f>SUMIFS($AU$134:AU1124,$AQ$134:AQ1124,"D")</f>
        <v>5810.2366666667649</v>
      </c>
      <c r="BP1123" s="343">
        <f>SUMIFS($AU$134:AU1126,$AQ$134:AQ1126,"W")</f>
        <v>3191.7633333332024</v>
      </c>
      <c r="BQ1123" s="343">
        <f>SUMIFS($AU$134:AU1124,$Q$134:Q1124,"O")</f>
        <v>-1342.0033333329056</v>
      </c>
      <c r="BR1123" s="343">
        <f>SUMIFS($AU$134:AU1124,$AA$134:AA1124,"*")</f>
        <v>19632.675333333467</v>
      </c>
      <c r="BS1123" s="343">
        <f>SUMIFS($AU$134:AU1124,$AB$134:AB1124,"*")</f>
        <v>4577.196666667046</v>
      </c>
      <c r="BT1123" s="343">
        <f>SUMIFS($AU$134:AU1124,$AC$134:AC1124,"*")</f>
        <v>11143.683333333332</v>
      </c>
      <c r="BU1123" s="343">
        <f>SUMIFS($AU$134:AU1124,$AA$134:AA1124,"*",$AB$134:AB1124,"*")</f>
        <v>2838.0000000000864</v>
      </c>
      <c r="BV1123" s="343">
        <f>SUMIFS($AU$134:AU1124,$AA$134:AA1124,"*",$AC$134:AC1124,"*")</f>
        <v>9324.7833333333328</v>
      </c>
      <c r="BW1123" s="343">
        <f>SUMIFS($AU$134:AU1124,$AB$134:AB1124,"*",$AC$134:AC1124,"*")</f>
        <v>6014.6</v>
      </c>
      <c r="BX1123" s="343">
        <f>SUMIFS($AU1124:AU$1388,$Q1124:Q$1388,"F")</f>
        <v>8274.1333333333332</v>
      </c>
      <c r="BY1123" s="343">
        <f>SUMIFS($AU1124:AU$1388,$Q1124:Q$1388,"S")</f>
        <v>4128.0000000000009</v>
      </c>
      <c r="BZ1123" s="343">
        <f>SUMIFS($AU1124:AU$1388,$Q1124:Q$1388,"O")</f>
        <v>-306.85466666689297</v>
      </c>
    </row>
    <row r="1124" spans="1:78" ht="15.75" customHeight="1">
      <c r="A1124" s="221" t="s">
        <v>3942</v>
      </c>
      <c r="B1124" s="177">
        <v>45209</v>
      </c>
      <c r="C1124" s="178" t="s">
        <v>4060</v>
      </c>
      <c r="D1124" s="178" t="s">
        <v>146</v>
      </c>
      <c r="E1124" s="227"/>
      <c r="F1124" s="180"/>
      <c r="G1124" s="281" t="s">
        <v>2016</v>
      </c>
      <c r="H1124" s="182"/>
      <c r="I1124" s="182"/>
      <c r="J1124" s="182"/>
      <c r="K1124" s="183"/>
      <c r="L1124" s="182">
        <v>1</v>
      </c>
      <c r="M1124" s="182"/>
      <c r="N1124" s="182"/>
      <c r="O1124" s="183" t="s">
        <v>95</v>
      </c>
      <c r="P1124" s="183" t="s">
        <v>96</v>
      </c>
      <c r="Q1124" s="183" t="s">
        <v>97</v>
      </c>
      <c r="R1124" s="183">
        <v>10</v>
      </c>
      <c r="S1124" s="183">
        <v>0</v>
      </c>
      <c r="T1124" s="183">
        <v>10</v>
      </c>
      <c r="U1124" s="183" t="s">
        <v>22</v>
      </c>
      <c r="V1124" s="183"/>
      <c r="W1124" s="183"/>
      <c r="X1124" s="183"/>
      <c r="Y1124" s="184">
        <f>IF(ISBLANK(O1124),"",(IF(O1124=UPPER("IB"),0.005,0.01)))</f>
        <v>0.01</v>
      </c>
      <c r="Z1124" s="185">
        <f>IF(ISBLANK(O1124),"",IF(O1124="IB",8.63*200,IF(O1124="IR",16*100,IF(O1124="YT",20*100,IF(O1124="YT-XT",24*200,IF(O1124="TED",80*100))))))</f>
        <v>1600</v>
      </c>
      <c r="AA1124" s="185" t="s">
        <v>99</v>
      </c>
      <c r="AB1124" s="185"/>
      <c r="AC1124" s="185"/>
      <c r="AD1124" s="649">
        <v>-0.1</v>
      </c>
      <c r="AE1124" s="182"/>
      <c r="AF1124" s="332"/>
      <c r="AG1124" s="182"/>
      <c r="AH1124" s="182"/>
      <c r="AI1124" s="182"/>
      <c r="AJ1124" s="640"/>
      <c r="AK1124" s="182"/>
      <c r="AL1124" s="496"/>
      <c r="AM1124" s="496"/>
      <c r="AN1124" s="626"/>
      <c r="AO1124" s="182"/>
      <c r="AP1124" s="182" t="s">
        <v>2423</v>
      </c>
      <c r="AQ1124" s="332" t="str">
        <f>UPPER(RIGHT(Journal_Live[[#This Row],[DURATION ]]))</f>
        <v>H</v>
      </c>
      <c r="AR1124" s="182" t="s">
        <v>4065</v>
      </c>
      <c r="AS1124" s="189">
        <v>-0.09</v>
      </c>
      <c r="AT1124" s="189">
        <f>IF(ISBLANK(AS1124),,IF(U1124="S",AD1124-AS1124,AS1124-AD1124))</f>
        <v>1.0000000000000009E-2</v>
      </c>
      <c r="AU1124" s="187">
        <f>AV1124*R1124</f>
        <v>160.00000000000014</v>
      </c>
      <c r="AV1124" s="190">
        <f>IF(ISBLANK(AS1124),,(AT1124*Z1124))</f>
        <v>16.000000000000014</v>
      </c>
      <c r="AW1124" s="191" t="s">
        <v>96</v>
      </c>
      <c r="AX1124" s="407"/>
      <c r="AY1124" s="407"/>
      <c r="AZ1124" s="407"/>
      <c r="BA1124" s="407"/>
      <c r="BB1124" s="407"/>
      <c r="BC1124" s="407"/>
      <c r="BD1124" s="407"/>
      <c r="BE1124" s="407"/>
      <c r="BF1124" s="422"/>
      <c r="BG1124" s="391">
        <f>SUM($AV$4:AV1124)</f>
        <v>4269.4572088907807</v>
      </c>
      <c r="BH1124" s="392">
        <f>SUM($AU$134:AU1124)</f>
        <v>21423.372000000429</v>
      </c>
      <c r="BI1124" s="318">
        <f>SUMIFS($AU$134:AU1125,$Q$134:Q1125,"F")</f>
        <v>6166.5333333333328</v>
      </c>
      <c r="BJ1124" s="318">
        <f>SUMIFS($AU$134:AU1125,$Q$134:Q1125,"S")</f>
        <v>16703.642</v>
      </c>
      <c r="BK1124" s="343">
        <f>SUMIFS($AU$134:AU1125,$P$134:P1125,"W")</f>
        <v>14190.941999999943</v>
      </c>
      <c r="BL1124" s="343">
        <f>SUMIFS($AU$134:AU1125,$P$134:P1125,"R")</f>
        <v>8484.6733333333214</v>
      </c>
      <c r="BM1124" s="343">
        <f>SUMIFS($AU$134:AU1125,$AQ$134:AQ1125,"M")</f>
        <v>2597.4000000000838</v>
      </c>
      <c r="BN1124" s="343">
        <f>SUMIFS($AU$134:AU1125,$AQ$134:AQ1125,"H")</f>
        <v>8009.3420000000642</v>
      </c>
      <c r="BO1124" s="343">
        <f>SUMIFS($AU$134:AU1125,$AQ$134:AQ1125,"D")</f>
        <v>5810.2366666667649</v>
      </c>
      <c r="BP1124" s="343">
        <f>SUMIFS($AU$134:AU1127,$AQ$134:AQ1127,"W")</f>
        <v>3191.7633333332024</v>
      </c>
      <c r="BQ1124" s="343">
        <f>SUMIFS($AU$134:AU1125,$Q$134:Q1125,"O")</f>
        <v>-1378.0033333329752</v>
      </c>
      <c r="BR1124" s="343">
        <f>SUMIFS($AU$134:AU1125,$AA$134:AA1125,"*")</f>
        <v>19596.675333333398</v>
      </c>
      <c r="BS1124" s="343">
        <f>SUMIFS($AU$134:AU1125,$AB$134:AB1125,"*")</f>
        <v>4577.196666667046</v>
      </c>
      <c r="BT1124" s="343">
        <f>SUMIFS($AU$134:AU1125,$AC$134:AC1125,"*")</f>
        <v>11143.683333333332</v>
      </c>
      <c r="BU1124" s="343">
        <f>SUMIFS($AU$134:AU1125,$AA$134:AA1125,"*",$AB$134:AB1125,"*")</f>
        <v>2838.0000000000864</v>
      </c>
      <c r="BV1124" s="343">
        <f>SUMIFS($AU$134:AU1125,$AA$134:AA1125,"*",$AC$134:AC1125,"*")</f>
        <v>9324.7833333333328</v>
      </c>
      <c r="BW1124" s="343">
        <f>SUMIFS($AU$134:AU1125,$AB$134:AB1125,"*",$AC$134:AC1125,"*")</f>
        <v>6014.6</v>
      </c>
      <c r="BX1124" s="343">
        <f>SUMIFS($AU1125:AU$1388,$Q1125:Q$1388,"F")</f>
        <v>8274.1333333333332</v>
      </c>
      <c r="BY1124" s="343">
        <f>SUMIFS($AU1125:AU$1388,$Q1125:Q$1388,"S")</f>
        <v>3968</v>
      </c>
      <c r="BZ1124" s="343">
        <f>SUMIFS($AU1125:AU$1388,$Q1125:Q$1388,"O")</f>
        <v>-306.85466666689297</v>
      </c>
    </row>
    <row r="1125" spans="1:78" ht="15.75" customHeight="1">
      <c r="A1125" s="221" t="s">
        <v>3942</v>
      </c>
      <c r="B1125" s="177">
        <v>45209</v>
      </c>
      <c r="C1125" s="178" t="s">
        <v>4066</v>
      </c>
      <c r="D1125" s="178" t="s">
        <v>146</v>
      </c>
      <c r="E1125" s="227" t="s">
        <v>4067</v>
      </c>
      <c r="F1125" s="180"/>
      <c r="G1125" s="281" t="s">
        <v>3924</v>
      </c>
      <c r="H1125" s="182"/>
      <c r="I1125" s="182"/>
      <c r="J1125" s="182"/>
      <c r="K1125" s="183"/>
      <c r="L1125" s="182">
        <v>1</v>
      </c>
      <c r="M1125" s="182"/>
      <c r="N1125" s="182"/>
      <c r="O1125" s="183" t="s">
        <v>3618</v>
      </c>
      <c r="P1125" s="183" t="s">
        <v>2260</v>
      </c>
      <c r="Q1125" s="183" t="s">
        <v>684</v>
      </c>
      <c r="R1125" s="183">
        <v>1</v>
      </c>
      <c r="S1125" s="183">
        <v>0</v>
      </c>
      <c r="T1125" s="183">
        <v>1</v>
      </c>
      <c r="U1125" s="183" t="s">
        <v>97</v>
      </c>
      <c r="V1125" s="183"/>
      <c r="W1125" s="183"/>
      <c r="X1125" s="183"/>
      <c r="Y1125" s="184">
        <f>IF(ISBLANK(O1125),"",(IF(O1125=UPPER("IB"),0.005,0.01)))</f>
        <v>0.01</v>
      </c>
      <c r="Z1125" s="185">
        <f>IF(ISBLANK(O1125),"",IF(O1125="IB",8.63*200,IF(O1125="IR",16*100,IF(O1125="YT",20*100,IF(O1125="YT-XT",24*200,IF(O1125="TED",80*100,IF(O1125="XT",36*200)))))))</f>
        <v>7200</v>
      </c>
      <c r="AA1125" s="185" t="s">
        <v>1552</v>
      </c>
      <c r="AB1125" s="185"/>
      <c r="AC1125" s="185"/>
      <c r="AD1125" s="649">
        <v>95.614999999999995</v>
      </c>
      <c r="AE1125" s="182"/>
      <c r="AF1125" s="332"/>
      <c r="AG1125" s="182"/>
      <c r="AH1125" s="182"/>
      <c r="AI1125" s="182"/>
      <c r="AJ1125" s="640"/>
      <c r="AK1125" s="182"/>
      <c r="AL1125" s="496"/>
      <c r="AM1125" s="496"/>
      <c r="AN1125" s="626"/>
      <c r="AO1125" s="182"/>
      <c r="AP1125" s="182" t="s">
        <v>1843</v>
      </c>
      <c r="AQ1125" s="332" t="str">
        <f>UPPER(RIGHT(Journal_Live[[#This Row],[DURATION ]]))</f>
        <v>M</v>
      </c>
      <c r="AR1125" s="182" t="s">
        <v>4068</v>
      </c>
      <c r="AS1125" s="189">
        <v>95.62</v>
      </c>
      <c r="AT1125" s="189">
        <f>IF(ISBLANK(AS1125),,IF(U1125="S",AD1125-AS1125,AS1125-AD1125))</f>
        <v>-5.0000000000096634E-3</v>
      </c>
      <c r="AU1125" s="187">
        <f>AV1125*R1125</f>
        <v>-36.000000000069576</v>
      </c>
      <c r="AV1125" s="190">
        <f>IF(ISBLANK(AS1125),,(AT1125*Z1125))</f>
        <v>-36.000000000069576</v>
      </c>
      <c r="AW1125" s="191" t="s">
        <v>229</v>
      </c>
      <c r="AX1125" s="407" t="s">
        <v>4069</v>
      </c>
      <c r="AY1125" s="407" t="s">
        <v>4070</v>
      </c>
      <c r="AZ1125" s="407" t="s">
        <v>4071</v>
      </c>
      <c r="BA1125" s="407"/>
      <c r="BB1125" s="407"/>
      <c r="BC1125" s="407"/>
      <c r="BD1125" s="407"/>
      <c r="BE1125" s="407"/>
      <c r="BF1125" s="422"/>
      <c r="BG1125" s="391">
        <f>SUM($AV$4:AV1125)</f>
        <v>4233.4572088907116</v>
      </c>
      <c r="BH1125" s="392">
        <f>SUM($AU$134:AU1125)</f>
        <v>21387.37200000036</v>
      </c>
      <c r="BI1125" s="318">
        <f>SUMIFS($AU$134:AU1126,$Q$134:Q1126,"F")</f>
        <v>6166.5333333333328</v>
      </c>
      <c r="BJ1125" s="318">
        <f>SUMIFS($AU$134:AU1126,$Q$134:Q1126,"S")</f>
        <v>16703.642</v>
      </c>
      <c r="BK1125" s="343">
        <f>SUMIFS($AU$134:AU1126,$P$134:P1126,"W")</f>
        <v>14190.941999999943</v>
      </c>
      <c r="BL1125" s="343">
        <f>SUMIFS($AU$134:AU1126,$P$134:P1126,"R")</f>
        <v>8484.6733333333214</v>
      </c>
      <c r="BM1125" s="343">
        <f>SUMIFS($AU$134:AU1126,$AQ$134:AQ1126,"M")</f>
        <v>2597.4000000000838</v>
      </c>
      <c r="BN1125" s="343">
        <f>SUMIFS($AU$134:AU1126,$AQ$134:AQ1126,"H")</f>
        <v>8009.3420000000642</v>
      </c>
      <c r="BO1125" s="343">
        <f>SUMIFS($AU$134:AU1126,$AQ$134:AQ1126,"D")</f>
        <v>5810.2366666667649</v>
      </c>
      <c r="BP1125" s="343">
        <f>SUMIFS($AU$134:AU1128,$AQ$134:AQ1128,"W")</f>
        <v>3191.7633333332024</v>
      </c>
      <c r="BQ1125" s="343">
        <f>SUMIFS($AU$134:AU1126,$Q$134:Q1126,"O")</f>
        <v>-1378.0033333329752</v>
      </c>
      <c r="BR1125" s="343">
        <f>SUMIFS($AU$134:AU1126,$AA$134:AA1126,"*")</f>
        <v>19596.675333333398</v>
      </c>
      <c r="BS1125" s="343">
        <f>SUMIFS($AU$134:AU1126,$AB$134:AB1126,"*")</f>
        <v>4577.196666667046</v>
      </c>
      <c r="BT1125" s="343">
        <f>SUMIFS($AU$134:AU1126,$AC$134:AC1126,"*")</f>
        <v>11143.683333333332</v>
      </c>
      <c r="BU1125" s="343">
        <f>SUMIFS($AU$134:AU1126,$AA$134:AA1126,"*",$AB$134:AB1126,"*")</f>
        <v>2838.0000000000864</v>
      </c>
      <c r="BV1125" s="343">
        <f>SUMIFS($AU$134:AU1126,$AA$134:AA1126,"*",$AC$134:AC1126,"*")</f>
        <v>9324.7833333333328</v>
      </c>
      <c r="BW1125" s="343">
        <f>SUMIFS($AU$134:AU1126,$AB$134:AB1126,"*",$AC$134:AC1126,"*")</f>
        <v>6014.6</v>
      </c>
      <c r="BX1125" s="343">
        <f>SUMIFS($AU1126:AU$1388,$Q1126:Q$1388,"F")</f>
        <v>8274.1333333333332</v>
      </c>
      <c r="BY1125" s="343">
        <f>SUMIFS($AU1126:AU$1388,$Q1126:Q$1388,"S")</f>
        <v>3968</v>
      </c>
      <c r="BZ1125" s="343">
        <f>SUMIFS($AU1126:AU$1388,$Q1126:Q$1388,"O")</f>
        <v>-270.85466666682339</v>
      </c>
    </row>
    <row r="1126" spans="1:78" ht="15.75" customHeight="1">
      <c r="A1126" s="221" t="s">
        <v>3942</v>
      </c>
      <c r="B1126" s="177">
        <v>45210</v>
      </c>
      <c r="C1126" s="178" t="s">
        <v>4072</v>
      </c>
      <c r="D1126" s="178" t="s">
        <v>151</v>
      </c>
      <c r="E1126" s="227"/>
      <c r="F1126" s="180"/>
      <c r="G1126" s="181" t="s">
        <v>136</v>
      </c>
      <c r="H1126" s="182"/>
      <c r="I1126" s="182"/>
      <c r="J1126" s="182"/>
      <c r="K1126" s="183"/>
      <c r="L1126" s="182"/>
      <c r="M1126" s="182"/>
      <c r="N1126" s="182"/>
      <c r="O1126" s="183"/>
      <c r="P1126" s="183"/>
      <c r="Q1126" s="183"/>
      <c r="R1126" s="183"/>
      <c r="S1126" s="183"/>
      <c r="T1126" s="183"/>
      <c r="U1126" s="183"/>
      <c r="V1126" s="183"/>
      <c r="W1126" s="183"/>
      <c r="X1126" s="183"/>
      <c r="Y1126" s="184"/>
      <c r="Z1126" s="185"/>
      <c r="AA1126" s="185"/>
      <c r="AB1126" s="185"/>
      <c r="AC1126" s="185"/>
      <c r="AD1126" s="649"/>
      <c r="AE1126" s="182"/>
      <c r="AF1126" s="332"/>
      <c r="AG1126" s="182"/>
      <c r="AH1126" s="182"/>
      <c r="AI1126" s="182"/>
      <c r="AJ1126" s="640"/>
      <c r="AK1126" s="182"/>
      <c r="AL1126" s="496"/>
      <c r="AM1126" s="496"/>
      <c r="AN1126" s="626"/>
      <c r="AO1126" s="182"/>
      <c r="AP1126" s="182"/>
      <c r="AQ1126" s="332" t="str">
        <f>UPPER(RIGHT(Journal_Live[[#This Row],[DURATION ]]))</f>
        <v/>
      </c>
      <c r="AR1126" s="182"/>
      <c r="AS1126" s="189"/>
      <c r="AT1126" s="189"/>
      <c r="AU1126" s="187"/>
      <c r="AV1126" s="190"/>
      <c r="AW1126" s="191"/>
      <c r="AX1126" s="407"/>
      <c r="AY1126" s="407"/>
      <c r="AZ1126" s="407"/>
      <c r="BA1126" s="407"/>
      <c r="BB1126" s="407"/>
      <c r="BC1126" s="407"/>
      <c r="BD1126" s="407"/>
      <c r="BE1126" s="407"/>
      <c r="BF1126" s="422"/>
      <c r="BG1126" s="391">
        <f>SUM($AV$4:AV1126)</f>
        <v>4233.4572088907116</v>
      </c>
      <c r="BH1126" s="392">
        <f>SUM($AU$134:AU1126)</f>
        <v>21387.37200000036</v>
      </c>
      <c r="BI1126" s="318">
        <f>SUMIFS($AU$134:AU1127,$Q$134:Q1127,"F")</f>
        <v>6166.5333333333328</v>
      </c>
      <c r="BJ1126" s="318">
        <f>SUMIFS($AU$134:AU1127,$Q$134:Q1127,"S")</f>
        <v>16895.642</v>
      </c>
      <c r="BK1126" s="343">
        <f>SUMIFS($AU$134:AU1127,$P$134:P1127,"W")</f>
        <v>14382.941999999943</v>
      </c>
      <c r="BL1126" s="343">
        <f>SUMIFS($AU$134:AU1127,$P$134:P1127,"R")</f>
        <v>8484.6733333333214</v>
      </c>
      <c r="BM1126" s="343">
        <f>SUMIFS($AU$134:AU1127,$AQ$134:AQ1127,"M")</f>
        <v>2597.4000000000838</v>
      </c>
      <c r="BN1126" s="343">
        <f>SUMIFS($AU$134:AU1127,$AQ$134:AQ1127,"H")</f>
        <v>8009.3420000000642</v>
      </c>
      <c r="BO1126" s="343">
        <f>SUMIFS($AU$134:AU1127,$AQ$134:AQ1127,"D")</f>
        <v>5810.2366666667649</v>
      </c>
      <c r="BP1126" s="343">
        <f>SUMIFS($AU$134:AU1129,$AQ$134:AQ1129,"W")</f>
        <v>3191.7633333332024</v>
      </c>
      <c r="BQ1126" s="343">
        <f>SUMIFS($AU$134:AU1127,$Q$134:Q1127,"O")</f>
        <v>-1378.0033333329752</v>
      </c>
      <c r="BR1126" s="343">
        <f>SUMIFS($AU$134:AU1127,$AA$134:AA1127,"*")</f>
        <v>19788.675333333398</v>
      </c>
      <c r="BS1126" s="343">
        <f>SUMIFS($AU$134:AU1127,$AB$134:AB1127,"*")</f>
        <v>4577.196666667046</v>
      </c>
      <c r="BT1126" s="343">
        <f>SUMIFS($AU$134:AU1127,$AC$134:AC1127,"*")</f>
        <v>11143.683333333332</v>
      </c>
      <c r="BU1126" s="343">
        <f>SUMIFS($AU$134:AU1127,$AA$134:AA1127,"*",$AB$134:AB1127,"*")</f>
        <v>2838.0000000000864</v>
      </c>
      <c r="BV1126" s="343">
        <f>SUMIFS($AU$134:AU1127,$AA$134:AA1127,"*",$AC$134:AC1127,"*")</f>
        <v>9324.7833333333328</v>
      </c>
      <c r="BW1126" s="343">
        <f>SUMIFS($AU$134:AU1127,$AB$134:AB1127,"*",$AC$134:AC1127,"*")</f>
        <v>6014.6</v>
      </c>
      <c r="BX1126" s="343">
        <f>SUMIFS($AU1127:AU$1388,$Q1127:Q$1388,"F")</f>
        <v>8274.1333333333332</v>
      </c>
      <c r="BY1126" s="343">
        <f>SUMIFS($AU1127:AU$1388,$Q1127:Q$1388,"S")</f>
        <v>3968</v>
      </c>
      <c r="BZ1126" s="343">
        <f>SUMIFS($AU1127:AU$1388,$Q1127:Q$1388,"O")</f>
        <v>-270.85466666682339</v>
      </c>
    </row>
    <row r="1127" spans="1:78" ht="15.75" customHeight="1">
      <c r="A1127" s="221" t="s">
        <v>3942</v>
      </c>
      <c r="B1127" s="177">
        <v>45210</v>
      </c>
      <c r="C1127" s="178" t="s">
        <v>4073</v>
      </c>
      <c r="D1127" s="178" t="s">
        <v>151</v>
      </c>
      <c r="E1127" s="227"/>
      <c r="F1127" s="180"/>
      <c r="G1127" s="281" t="s">
        <v>181</v>
      </c>
      <c r="H1127" s="182"/>
      <c r="I1127" s="182"/>
      <c r="J1127" s="182"/>
      <c r="K1127" s="183"/>
      <c r="L1127" s="182">
        <v>1</v>
      </c>
      <c r="M1127" s="182"/>
      <c r="N1127" s="182"/>
      <c r="O1127" s="183" t="s">
        <v>95</v>
      </c>
      <c r="P1127" s="183" t="s">
        <v>96</v>
      </c>
      <c r="Q1127" s="183" t="s">
        <v>97</v>
      </c>
      <c r="R1127" s="183">
        <v>19</v>
      </c>
      <c r="S1127" s="183">
        <v>2</v>
      </c>
      <c r="T1127" s="183">
        <v>12</v>
      </c>
      <c r="U1127" s="183" t="s">
        <v>22</v>
      </c>
      <c r="V1127" s="183"/>
      <c r="W1127" s="183"/>
      <c r="X1127" s="183"/>
      <c r="Y1127" s="184">
        <f>IF(ISBLANK(O1127),"",(IF(O1127=UPPER("IB"),0.005,0.01)))</f>
        <v>0.01</v>
      </c>
      <c r="Z1127" s="185">
        <f>IF(ISBLANK(O1127),"",IF(O1127="IB",8.63*200,IF(O1127="IR",16*100,IF(O1127="YT",20*100,IF(O1127="YT-XT",24*200,IF(O1127="TED",80*100))))))</f>
        <v>1600</v>
      </c>
      <c r="AA1127" s="185" t="s">
        <v>99</v>
      </c>
      <c r="AB1127" s="185"/>
      <c r="AC1127" s="185"/>
      <c r="AD1127" s="649">
        <f>((0*12)+(0.01*7))/19</f>
        <v>3.6842105263157898E-3</v>
      </c>
      <c r="AE1127" s="182"/>
      <c r="AF1127" s="332"/>
      <c r="AG1127" s="182"/>
      <c r="AH1127" s="182"/>
      <c r="AI1127" s="182"/>
      <c r="AJ1127" s="640"/>
      <c r="AK1127" s="182"/>
      <c r="AL1127" s="496"/>
      <c r="AM1127" s="496"/>
      <c r="AN1127" s="626"/>
      <c r="AO1127" s="182"/>
      <c r="AP1127" s="182"/>
      <c r="AQ1127" s="332" t="str">
        <f>UPPER(RIGHT(Journal_Live[[#This Row],[DURATION ]]))</f>
        <v/>
      </c>
      <c r="AR1127" s="182" t="s">
        <v>682</v>
      </c>
      <c r="AS1127" s="189">
        <v>0.01</v>
      </c>
      <c r="AT1127" s="189">
        <f>IF(ISBLANK(AS1127),,IF(U1127="S",AD1127-AS1127,AS1127-AD1127))</f>
        <v>6.3157894736842104E-3</v>
      </c>
      <c r="AU1127" s="187">
        <f>AV1127*R1127</f>
        <v>192</v>
      </c>
      <c r="AV1127" s="190">
        <f>IF(ISBLANK(AS1127),,(AT1127*Z1127))</f>
        <v>10.105263157894736</v>
      </c>
      <c r="AW1127" s="191" t="s">
        <v>96</v>
      </c>
      <c r="AX1127" s="407"/>
      <c r="AY1127" s="407"/>
      <c r="AZ1127" s="407"/>
      <c r="BA1127" s="407"/>
      <c r="BB1127" s="407"/>
      <c r="BC1127" s="407"/>
      <c r="BD1127" s="407"/>
      <c r="BE1127" s="407"/>
      <c r="BF1127" s="422"/>
      <c r="BG1127" s="391">
        <f>SUM($AV$4:AV1127)</f>
        <v>4243.5624720486067</v>
      </c>
      <c r="BH1127" s="392">
        <f>SUM($AU$134:AU1127)</f>
        <v>21579.37200000036</v>
      </c>
      <c r="BI1127" s="318">
        <f>SUMIFS($AU$134:AU1128,$Q$134:Q1128,"F")</f>
        <v>6166.5333333333328</v>
      </c>
      <c r="BJ1127" s="318">
        <f>SUMIFS($AU$134:AU1128,$Q$134:Q1128,"S")</f>
        <v>16895.642</v>
      </c>
      <c r="BK1127" s="343">
        <f>SUMIFS($AU$134:AU1128,$P$134:P1128,"W")</f>
        <v>14382.941999999943</v>
      </c>
      <c r="BL1127" s="343">
        <f>SUMIFS($AU$134:AU1128,$P$134:P1128,"R")</f>
        <v>8484.6733333333214</v>
      </c>
      <c r="BM1127" s="343">
        <f>SUMIFS($AU$134:AU1128,$AQ$134:AQ1128,"M")</f>
        <v>2597.4000000000838</v>
      </c>
      <c r="BN1127" s="343">
        <f>SUMIFS($AU$134:AU1128,$AQ$134:AQ1128,"H")</f>
        <v>8009.3420000000642</v>
      </c>
      <c r="BO1127" s="343">
        <f>SUMIFS($AU$134:AU1128,$AQ$134:AQ1128,"D")</f>
        <v>5810.2366666667649</v>
      </c>
      <c r="BP1127" s="343">
        <f>SUMIFS($AU$134:AU1130,$AQ$134:AQ1130,"W")</f>
        <v>3191.7633333332024</v>
      </c>
      <c r="BQ1127" s="343">
        <f>SUMIFS($AU$134:AU1128,$Q$134:Q1128,"O")</f>
        <v>-1378.0033333329752</v>
      </c>
      <c r="BR1127" s="343">
        <f>SUMIFS($AU$134:AU1128,$AA$134:AA1128,"*")</f>
        <v>19788.675333333398</v>
      </c>
      <c r="BS1127" s="343">
        <f>SUMIFS($AU$134:AU1128,$AB$134:AB1128,"*")</f>
        <v>4577.196666667046</v>
      </c>
      <c r="BT1127" s="343">
        <f>SUMIFS($AU$134:AU1128,$AC$134:AC1128,"*")</f>
        <v>11143.683333333332</v>
      </c>
      <c r="BU1127" s="343">
        <f>SUMIFS($AU$134:AU1128,$AA$134:AA1128,"*",$AB$134:AB1128,"*")</f>
        <v>2838.0000000000864</v>
      </c>
      <c r="BV1127" s="343">
        <f>SUMIFS($AU$134:AU1128,$AA$134:AA1128,"*",$AC$134:AC1128,"*")</f>
        <v>9324.7833333333328</v>
      </c>
      <c r="BW1127" s="343">
        <f>SUMIFS($AU$134:AU1128,$AB$134:AB1128,"*",$AC$134:AC1128,"*")</f>
        <v>6014.6</v>
      </c>
      <c r="BX1127" s="343">
        <f>SUMIFS($AU1128:AU$1388,$Q1128:Q$1388,"F")</f>
        <v>8274.1333333333332</v>
      </c>
      <c r="BY1127" s="343">
        <f>SUMIFS($AU1128:AU$1388,$Q1128:Q$1388,"S")</f>
        <v>3776.0000000000005</v>
      </c>
      <c r="BZ1127" s="343">
        <f>SUMIFS($AU1128:AU$1388,$Q1128:Q$1388,"O")</f>
        <v>-270.85466666682339</v>
      </c>
    </row>
    <row r="1128" spans="1:78" ht="15.75" customHeight="1">
      <c r="A1128" s="221" t="s">
        <v>3942</v>
      </c>
      <c r="B1128" s="177">
        <v>45210</v>
      </c>
      <c r="C1128" s="178" t="s">
        <v>1728</v>
      </c>
      <c r="D1128" s="178" t="s">
        <v>151</v>
      </c>
      <c r="E1128" s="227" t="s">
        <v>4074</v>
      </c>
      <c r="F1128" s="180"/>
      <c r="G1128" s="181"/>
      <c r="H1128" s="182">
        <v>1</v>
      </c>
      <c r="I1128" s="182"/>
      <c r="J1128" s="182"/>
      <c r="K1128" s="183" t="s">
        <v>372</v>
      </c>
      <c r="L1128" s="182"/>
      <c r="M1128" s="182"/>
      <c r="N1128" s="182"/>
      <c r="O1128" s="183"/>
      <c r="P1128" s="183"/>
      <c r="Q1128" s="183"/>
      <c r="R1128" s="183"/>
      <c r="S1128" s="183"/>
      <c r="T1128" s="183"/>
      <c r="U1128" s="183"/>
      <c r="V1128" s="183"/>
      <c r="W1128" s="183"/>
      <c r="X1128" s="183"/>
      <c r="Y1128" s="183"/>
      <c r="Z1128" s="185" t="str">
        <f>IF(ISBLANK(O1128),"",IF(O1128="IB",8.63*200,IF(O1128="IR",16*100,IF(O1128="YT",20*100,IF(O1128="YT-XT",24*200,IF(O1128="TED",80*100))))))</f>
        <v/>
      </c>
      <c r="AA1128" s="185"/>
      <c r="AB1128" s="185"/>
      <c r="AC1128" s="185"/>
      <c r="AD1128" s="649"/>
      <c r="AE1128" s="182"/>
      <c r="AF1128" s="332"/>
      <c r="AG1128" s="182"/>
      <c r="AH1128" s="182"/>
      <c r="AI1128" s="182"/>
      <c r="AJ1128" s="640"/>
      <c r="AK1128" s="182"/>
      <c r="AL1128" s="496"/>
      <c r="AM1128" s="496"/>
      <c r="AN1128" s="626"/>
      <c r="AO1128" s="182"/>
      <c r="AP1128" s="182"/>
      <c r="AQ1128" s="332" t="str">
        <f>UPPER(RIGHT(Journal_Live[[#This Row],[DURATION ]]))</f>
        <v/>
      </c>
      <c r="AR1128" s="182"/>
      <c r="AS1128" s="189"/>
      <c r="AT1128" s="189"/>
      <c r="AU1128" s="187"/>
      <c r="AV1128" s="190"/>
      <c r="AW1128" s="191"/>
      <c r="AX1128" s="407"/>
      <c r="AY1128" s="407"/>
      <c r="AZ1128" s="407"/>
      <c r="BA1128" s="407"/>
      <c r="BB1128" s="407"/>
      <c r="BC1128" s="407"/>
      <c r="BD1128" s="407"/>
      <c r="BE1128" s="407"/>
      <c r="BF1128" s="422"/>
      <c r="BG1128" s="391">
        <f>SUM($AV$4:AV1128)</f>
        <v>4243.5624720486067</v>
      </c>
      <c r="BH1128" s="392">
        <f>SUM($AU$134:AU1128)</f>
        <v>21579.37200000036</v>
      </c>
      <c r="BI1128" s="318">
        <f>SUMIFS($AU$134:AU1129,$Q$134:Q1129,"F")</f>
        <v>6166.5333333333328</v>
      </c>
      <c r="BJ1128" s="318">
        <f>SUMIFS($AU$134:AU1129,$Q$134:Q1129,"S")</f>
        <v>16895.642</v>
      </c>
      <c r="BK1128" s="343">
        <f>SUMIFS($AU$134:AU1129,$P$134:P1129,"W")</f>
        <v>14382.941999999943</v>
      </c>
      <c r="BL1128" s="343">
        <f>SUMIFS($AU$134:AU1129,$P$134:P1129,"R")</f>
        <v>8484.6733333333214</v>
      </c>
      <c r="BM1128" s="343">
        <f>SUMIFS($AU$134:AU1129,$AQ$134:AQ1129,"M")</f>
        <v>2597.4000000000838</v>
      </c>
      <c r="BN1128" s="343">
        <f>SUMIFS($AU$134:AU1129,$AQ$134:AQ1129,"H")</f>
        <v>8009.3420000000642</v>
      </c>
      <c r="BO1128" s="343">
        <f>SUMIFS($AU$134:AU1129,$AQ$134:AQ1129,"D")</f>
        <v>5810.2366666667649</v>
      </c>
      <c r="BP1128" s="343">
        <f>SUMIFS($AU$134:AU1131,$AQ$134:AQ1131,"W")</f>
        <v>3191.7633333332024</v>
      </c>
      <c r="BQ1128" s="343">
        <f>SUMIFS($AU$134:AU1129,$Q$134:Q1129,"O")</f>
        <v>-1378.0033333329752</v>
      </c>
      <c r="BR1128" s="343">
        <f>SUMIFS($AU$134:AU1129,$AA$134:AA1129,"*")</f>
        <v>19788.675333333398</v>
      </c>
      <c r="BS1128" s="343">
        <f>SUMIFS($AU$134:AU1129,$AB$134:AB1129,"*")</f>
        <v>4577.196666667046</v>
      </c>
      <c r="BT1128" s="343">
        <f>SUMIFS($AU$134:AU1129,$AC$134:AC1129,"*")</f>
        <v>11143.683333333332</v>
      </c>
      <c r="BU1128" s="343">
        <f>SUMIFS($AU$134:AU1129,$AA$134:AA1129,"*",$AB$134:AB1129,"*")</f>
        <v>2838.0000000000864</v>
      </c>
      <c r="BV1128" s="343">
        <f>SUMIFS($AU$134:AU1129,$AA$134:AA1129,"*",$AC$134:AC1129,"*")</f>
        <v>9324.7833333333328</v>
      </c>
      <c r="BW1128" s="343">
        <f>SUMIFS($AU$134:AU1129,$AB$134:AB1129,"*",$AC$134:AC1129,"*")</f>
        <v>6014.6</v>
      </c>
      <c r="BX1128" s="343">
        <f>SUMIFS($AU1129:AU$1388,$Q1129:Q$1388,"F")</f>
        <v>8274.1333333333332</v>
      </c>
      <c r="BY1128" s="343">
        <f>SUMIFS($AU1129:AU$1388,$Q1129:Q$1388,"S")</f>
        <v>3776.0000000000005</v>
      </c>
      <c r="BZ1128" s="343">
        <f>SUMIFS($AU1129:AU$1388,$Q1129:Q$1388,"O")</f>
        <v>-270.85466666682339</v>
      </c>
    </row>
    <row r="1129" spans="1:78" ht="15.75" customHeight="1">
      <c r="A1129" s="221" t="s">
        <v>3942</v>
      </c>
      <c r="B1129" s="177"/>
      <c r="C1129" s="178"/>
      <c r="D1129" s="178"/>
      <c r="E1129" s="227" t="s">
        <v>4075</v>
      </c>
      <c r="F1129" s="180"/>
      <c r="G1129" s="181"/>
      <c r="H1129" s="182">
        <v>1</v>
      </c>
      <c r="I1129" s="182"/>
      <c r="J1129" s="182"/>
      <c r="K1129" s="183" t="s">
        <v>372</v>
      </c>
      <c r="L1129" s="182"/>
      <c r="M1129" s="182"/>
      <c r="N1129" s="182"/>
      <c r="O1129" s="183"/>
      <c r="P1129" s="183"/>
      <c r="Q1129" s="183"/>
      <c r="R1129" s="183"/>
      <c r="S1129" s="183"/>
      <c r="T1129" s="183"/>
      <c r="U1129" s="183"/>
      <c r="V1129" s="183"/>
      <c r="W1129" s="183"/>
      <c r="X1129" s="183"/>
      <c r="Y1129" s="183"/>
      <c r="Z1129" s="185" t="str">
        <f>IF(ISBLANK(O1129),"",IF(O1129="IB",8.63*200,IF(O1129="IR",16*100,IF(O1129="YT",20*100,IF(O1129="YT-XT",24*200,IF(O1129="TED",80*100))))))</f>
        <v/>
      </c>
      <c r="AA1129" s="185"/>
      <c r="AB1129" s="185"/>
      <c r="AC1129" s="185"/>
      <c r="AD1129" s="649"/>
      <c r="AE1129" s="182"/>
      <c r="AF1129" s="332"/>
      <c r="AG1129" s="182"/>
      <c r="AH1129" s="182"/>
      <c r="AI1129" s="182"/>
      <c r="AJ1129" s="640"/>
      <c r="AK1129" s="182"/>
      <c r="AL1129" s="496"/>
      <c r="AM1129" s="496"/>
      <c r="AN1129" s="626"/>
      <c r="AO1129" s="182"/>
      <c r="AP1129" s="182"/>
      <c r="AQ1129" s="332" t="str">
        <f>UPPER(RIGHT(Journal_Live[[#This Row],[DURATION ]]))</f>
        <v/>
      </c>
      <c r="AR1129" s="182"/>
      <c r="AS1129" s="189"/>
      <c r="AT1129" s="189"/>
      <c r="AU1129" s="187"/>
      <c r="AV1129" s="190"/>
      <c r="AW1129" s="191"/>
      <c r="AX1129" s="407"/>
      <c r="AY1129" s="407"/>
      <c r="AZ1129" s="407"/>
      <c r="BA1129" s="407"/>
      <c r="BB1129" s="407"/>
      <c r="BC1129" s="407"/>
      <c r="BD1129" s="407"/>
      <c r="BE1129" s="407"/>
      <c r="BF1129" s="422"/>
      <c r="BG1129" s="391">
        <f>SUM($AV$4:AV1129)</f>
        <v>4243.5624720486067</v>
      </c>
      <c r="BH1129" s="392">
        <f>SUM($AU$134:AU1129)</f>
        <v>21579.37200000036</v>
      </c>
      <c r="BI1129" s="318">
        <f>SUMIFS($AU$134:AU1130,$Q$134:Q1130,"F")</f>
        <v>6166.5333333333328</v>
      </c>
      <c r="BJ1129" s="318">
        <f>SUMIFS($AU$134:AU1130,$Q$134:Q1130,"S")</f>
        <v>16895.642</v>
      </c>
      <c r="BK1129" s="343">
        <f>SUMIFS($AU$134:AU1130,$P$134:P1130,"W")</f>
        <v>14382.941999999943</v>
      </c>
      <c r="BL1129" s="343">
        <f>SUMIFS($AU$134:AU1130,$P$134:P1130,"R")</f>
        <v>8484.6733333333214</v>
      </c>
      <c r="BM1129" s="343">
        <f>SUMIFS($AU$134:AU1130,$AQ$134:AQ1130,"M")</f>
        <v>2597.4000000000838</v>
      </c>
      <c r="BN1129" s="343">
        <f>SUMIFS($AU$134:AU1130,$AQ$134:AQ1130,"H")</f>
        <v>8009.3420000000642</v>
      </c>
      <c r="BO1129" s="343">
        <f>SUMIFS($AU$134:AU1130,$AQ$134:AQ1130,"D")</f>
        <v>5810.2366666667649</v>
      </c>
      <c r="BP1129" s="343">
        <f>SUMIFS($AU$134:AU1132,$AQ$134:AQ1132,"W")</f>
        <v>3191.7633333332024</v>
      </c>
      <c r="BQ1129" s="343">
        <f>SUMIFS($AU$134:AU1130,$Q$134:Q1130,"O")</f>
        <v>-1378.0033333329752</v>
      </c>
      <c r="BR1129" s="343">
        <f>SUMIFS($AU$134:AU1130,$AA$134:AA1130,"*")</f>
        <v>19788.675333333398</v>
      </c>
      <c r="BS1129" s="343">
        <f>SUMIFS($AU$134:AU1130,$AB$134:AB1130,"*")</f>
        <v>4577.196666667046</v>
      </c>
      <c r="BT1129" s="343">
        <f>SUMIFS($AU$134:AU1130,$AC$134:AC1130,"*")</f>
        <v>11143.683333333332</v>
      </c>
      <c r="BU1129" s="343">
        <f>SUMIFS($AU$134:AU1130,$AA$134:AA1130,"*",$AB$134:AB1130,"*")</f>
        <v>2838.0000000000864</v>
      </c>
      <c r="BV1129" s="343">
        <f>SUMIFS($AU$134:AU1130,$AA$134:AA1130,"*",$AC$134:AC1130,"*")</f>
        <v>9324.7833333333328</v>
      </c>
      <c r="BW1129" s="343">
        <f>SUMIFS($AU$134:AU1130,$AB$134:AB1130,"*",$AC$134:AC1130,"*")</f>
        <v>6014.6</v>
      </c>
      <c r="BX1129" s="343">
        <f>SUMIFS($AU1130:AU$1388,$Q1130:Q$1388,"F")</f>
        <v>8274.1333333333332</v>
      </c>
      <c r="BY1129" s="343">
        <f>SUMIFS($AU1130:AU$1388,$Q1130:Q$1388,"S")</f>
        <v>3776.0000000000005</v>
      </c>
      <c r="BZ1129" s="343">
        <f>SUMIFS($AU1130:AU$1388,$Q1130:Q$1388,"O")</f>
        <v>-270.85466666682339</v>
      </c>
    </row>
    <row r="1130" spans="1:78" ht="15.75" customHeight="1">
      <c r="A1130" s="221" t="s">
        <v>3942</v>
      </c>
      <c r="B1130" s="177">
        <v>45210</v>
      </c>
      <c r="C1130" s="178" t="s">
        <v>682</v>
      </c>
      <c r="D1130" s="178" t="s">
        <v>151</v>
      </c>
      <c r="E1130" s="227"/>
      <c r="F1130" s="180"/>
      <c r="G1130" s="281" t="s">
        <v>3924</v>
      </c>
      <c r="H1130" s="182"/>
      <c r="I1130" s="182"/>
      <c r="J1130" s="182"/>
      <c r="K1130" s="183"/>
      <c r="L1130" s="182">
        <v>1</v>
      </c>
      <c r="M1130" s="182"/>
      <c r="N1130" s="182"/>
      <c r="O1130" s="183" t="s">
        <v>3618</v>
      </c>
      <c r="P1130" s="183" t="s">
        <v>2260</v>
      </c>
      <c r="Q1130" s="183" t="s">
        <v>684</v>
      </c>
      <c r="R1130" s="183">
        <v>1</v>
      </c>
      <c r="S1130" s="183">
        <v>0</v>
      </c>
      <c r="T1130" s="183">
        <v>1</v>
      </c>
      <c r="U1130" s="183" t="s">
        <v>97</v>
      </c>
      <c r="V1130" s="183"/>
      <c r="W1130" s="183"/>
      <c r="X1130" s="183"/>
      <c r="Y1130" s="184">
        <f>IF(ISBLANK(O1130),"",(IF(O1130=UPPER("IB"),0.005,0.01)))</f>
        <v>0.01</v>
      </c>
      <c r="Z1130" s="185">
        <f>IF(ISBLANK(O1130),"",IF(O1130="IB",8.63*200,IF(O1130="IR",16*100,IF(O1130="YT",20*100,IF(O1130="YT-XT",24*200,IF(O1130="TED",80*100,IF(O1130="XT",36*200)))))))</f>
        <v>7200</v>
      </c>
      <c r="AA1130" s="185" t="s">
        <v>4076</v>
      </c>
      <c r="AB1130" s="185"/>
      <c r="AC1130" s="185"/>
      <c r="AD1130" s="649">
        <v>95.64</v>
      </c>
      <c r="AE1130" s="182"/>
      <c r="AF1130" s="332"/>
      <c r="AG1130" s="182"/>
      <c r="AH1130" s="182"/>
      <c r="AI1130" s="182"/>
      <c r="AJ1130" s="640"/>
      <c r="AK1130" s="182"/>
      <c r="AL1130" s="496"/>
      <c r="AM1130" s="496"/>
      <c r="AN1130" s="626"/>
      <c r="AO1130" s="182"/>
      <c r="AP1130" s="182" t="s">
        <v>2369</v>
      </c>
      <c r="AQ1130" s="332" t="str">
        <f>UPPER(RIGHT(Journal_Live[[#This Row],[DURATION ]]))</f>
        <v>M</v>
      </c>
      <c r="AR1130" s="182" t="s">
        <v>3647</v>
      </c>
      <c r="AS1130" s="189">
        <v>95.64</v>
      </c>
      <c r="AT1130" s="189">
        <f>IF(ISBLANK(AS1130),,IF(U1130="S",AD1130-AS1130,AS1130-AD1130))</f>
        <v>0</v>
      </c>
      <c r="AU1130" s="187">
        <f>AV1130*R1130</f>
        <v>0</v>
      </c>
      <c r="AV1130" s="190">
        <f>IF(ISBLANK(AS1130),,(AT1130*Z1130))</f>
        <v>0</v>
      </c>
      <c r="AW1130" s="191" t="s">
        <v>115</v>
      </c>
      <c r="AX1130" s="407" t="s">
        <v>4077</v>
      </c>
      <c r="AY1130" s="407" t="s">
        <v>4078</v>
      </c>
      <c r="AZ1130" s="407" t="s">
        <v>4079</v>
      </c>
      <c r="BA1130" s="407"/>
      <c r="BB1130" s="407"/>
      <c r="BC1130" s="407"/>
      <c r="BD1130" s="407"/>
      <c r="BE1130" s="407"/>
      <c r="BF1130" s="422"/>
      <c r="BG1130" s="391">
        <f>SUM($AV$4:AV1130)</f>
        <v>4243.5624720486067</v>
      </c>
      <c r="BH1130" s="392">
        <f>SUM($AU$134:AU1130)</f>
        <v>21579.37200000036</v>
      </c>
      <c r="BI1130" s="318">
        <f>SUMIFS($AU$134:AU1131,$Q$134:Q1131,"F")</f>
        <v>6166.5333333333328</v>
      </c>
      <c r="BJ1130" s="318">
        <f>SUMIFS($AU$134:AU1131,$Q$134:Q1131,"S")</f>
        <v>16975.642</v>
      </c>
      <c r="BK1130" s="343">
        <f>SUMIFS($AU$134:AU1131,$P$134:P1131,"W")</f>
        <v>14462.941999999943</v>
      </c>
      <c r="BL1130" s="343">
        <f>SUMIFS($AU$134:AU1131,$P$134:P1131,"R")</f>
        <v>8484.6733333333214</v>
      </c>
      <c r="BM1130" s="343">
        <f>SUMIFS($AU$134:AU1131,$AQ$134:AQ1131,"M")</f>
        <v>2597.4000000000838</v>
      </c>
      <c r="BN1130" s="343">
        <f>SUMIFS($AU$134:AU1131,$AQ$134:AQ1131,"H")</f>
        <v>8089.3420000000642</v>
      </c>
      <c r="BO1130" s="343">
        <f>SUMIFS($AU$134:AU1131,$AQ$134:AQ1131,"D")</f>
        <v>5810.2366666667649</v>
      </c>
      <c r="BP1130" s="343">
        <f>SUMIFS($AU$134:AU1133,$AQ$134:AQ1133,"W")</f>
        <v>3191.7633333332024</v>
      </c>
      <c r="BQ1130" s="343">
        <f>SUMIFS($AU$134:AU1131,$Q$134:Q1131,"O")</f>
        <v>-1378.0033333329752</v>
      </c>
      <c r="BR1130" s="343">
        <f>SUMIFS($AU$134:AU1131,$AA$134:AA1131,"*")</f>
        <v>19868.675333333398</v>
      </c>
      <c r="BS1130" s="343">
        <f>SUMIFS($AU$134:AU1131,$AB$134:AB1131,"*")</f>
        <v>4577.196666667046</v>
      </c>
      <c r="BT1130" s="343">
        <f>SUMIFS($AU$134:AU1131,$AC$134:AC1131,"*")</f>
        <v>11143.683333333332</v>
      </c>
      <c r="BU1130" s="343">
        <f>SUMIFS($AU$134:AU1131,$AA$134:AA1131,"*",$AB$134:AB1131,"*")</f>
        <v>2838.0000000000864</v>
      </c>
      <c r="BV1130" s="343">
        <f>SUMIFS($AU$134:AU1131,$AA$134:AA1131,"*",$AC$134:AC1131,"*")</f>
        <v>9324.7833333333328</v>
      </c>
      <c r="BW1130" s="343">
        <f>SUMIFS($AU$134:AU1131,$AB$134:AB1131,"*",$AC$134:AC1131,"*")</f>
        <v>6014.6</v>
      </c>
      <c r="BX1130" s="343">
        <f>SUMIFS($AU1131:AU$1388,$Q1131:Q$1388,"F")</f>
        <v>8274.1333333333332</v>
      </c>
      <c r="BY1130" s="343">
        <f>SUMIFS($AU1131:AU$1388,$Q1131:Q$1388,"S")</f>
        <v>3776.0000000000005</v>
      </c>
      <c r="BZ1130" s="343">
        <f>SUMIFS($AU1131:AU$1388,$Q1131:Q$1388,"O")</f>
        <v>-270.85466666682339</v>
      </c>
    </row>
    <row r="1131" spans="1:78" ht="15.75" customHeight="1">
      <c r="A1131" s="221" t="s">
        <v>3942</v>
      </c>
      <c r="B1131" s="177">
        <v>45210</v>
      </c>
      <c r="C1131" s="178" t="s">
        <v>682</v>
      </c>
      <c r="D1131" s="178" t="s">
        <v>151</v>
      </c>
      <c r="E1131" s="227"/>
      <c r="F1131" s="180"/>
      <c r="G1131" s="281" t="s">
        <v>2016</v>
      </c>
      <c r="H1131" s="182"/>
      <c r="I1131" s="182"/>
      <c r="J1131" s="182"/>
      <c r="K1131" s="183"/>
      <c r="L1131" s="182">
        <v>1</v>
      </c>
      <c r="M1131" s="182"/>
      <c r="N1131" s="182"/>
      <c r="O1131" s="183" t="s">
        <v>95</v>
      </c>
      <c r="P1131" s="183" t="s">
        <v>96</v>
      </c>
      <c r="Q1131" s="183" t="s">
        <v>97</v>
      </c>
      <c r="R1131" s="183">
        <v>5</v>
      </c>
      <c r="S1131" s="183">
        <v>0</v>
      </c>
      <c r="T1131" s="183">
        <v>5</v>
      </c>
      <c r="U1131" s="183" t="s">
        <v>22</v>
      </c>
      <c r="V1131" s="183"/>
      <c r="W1131" s="183"/>
      <c r="X1131" s="183"/>
      <c r="Y1131" s="184">
        <f>IF(ISBLANK(O1131),"",(IF(O1131=UPPER("IB"),0.005,0.01)))</f>
        <v>0.01</v>
      </c>
      <c r="Z1131" s="185">
        <f>IF(ISBLANK(O1131),"",IF(O1131="IB",8.63*200,IF(O1131="IR",16*100,IF(O1131="YT",20*100,IF(O1131="YT-XT",24*200,IF(O1131="TED",80*100))))))</f>
        <v>1600</v>
      </c>
      <c r="AA1131" s="185" t="s">
        <v>99</v>
      </c>
      <c r="AB1131" s="185"/>
      <c r="AC1131" s="185"/>
      <c r="AD1131" s="649">
        <v>-0.1</v>
      </c>
      <c r="AE1131" s="182"/>
      <c r="AF1131" s="332"/>
      <c r="AG1131" s="182"/>
      <c r="AH1131" s="182"/>
      <c r="AI1131" s="182"/>
      <c r="AJ1131" s="640"/>
      <c r="AK1131" s="182"/>
      <c r="AL1131" s="496"/>
      <c r="AM1131" s="496"/>
      <c r="AN1131" s="626"/>
      <c r="AO1131" s="182"/>
      <c r="AP1131" s="182" t="s">
        <v>1017</v>
      </c>
      <c r="AQ1131" s="332" t="str">
        <f>UPPER(RIGHT(Journal_Live[[#This Row],[DURATION ]]))</f>
        <v>H</v>
      </c>
      <c r="AR1131" s="182" t="s">
        <v>4080</v>
      </c>
      <c r="AS1131" s="189">
        <v>-0.09</v>
      </c>
      <c r="AT1131" s="189">
        <f>IF(ISBLANK(AS1131),,IF(U1131="S",AD1131-AS1131,AS1131-AD1131))</f>
        <v>1.0000000000000009E-2</v>
      </c>
      <c r="AU1131" s="187">
        <f>AV1131*R1131</f>
        <v>80.000000000000071</v>
      </c>
      <c r="AV1131" s="190">
        <f>IF(ISBLANK(AS1131),,(AT1131*Z1131))</f>
        <v>16.000000000000014</v>
      </c>
      <c r="AW1131" s="191" t="s">
        <v>96</v>
      </c>
      <c r="AX1131" s="407" t="s">
        <v>4081</v>
      </c>
      <c r="AY1131" s="407"/>
      <c r="AZ1131" s="407"/>
      <c r="BA1131" s="407"/>
      <c r="BB1131" s="407"/>
      <c r="BC1131" s="407"/>
      <c r="BD1131" s="407"/>
      <c r="BE1131" s="407"/>
      <c r="BF1131" s="422"/>
      <c r="BG1131" s="391">
        <f>SUM($AV$4:AV1131)</f>
        <v>4259.5624720486067</v>
      </c>
      <c r="BH1131" s="392">
        <f>SUM($AU$134:AU1131)</f>
        <v>21659.37200000036</v>
      </c>
      <c r="BI1131" s="318">
        <f>SUMIFS($AU$134:AU1132,$Q$134:Q1132,"F")</f>
        <v>6166.5333333333328</v>
      </c>
      <c r="BJ1131" s="318">
        <f>SUMIFS($AU$134:AU1132,$Q$134:Q1132,"S")</f>
        <v>17215.642</v>
      </c>
      <c r="BK1131" s="343">
        <f>SUMIFS($AU$134:AU1132,$P$134:P1132,"W")</f>
        <v>14702.941999999943</v>
      </c>
      <c r="BL1131" s="343">
        <f>SUMIFS($AU$134:AU1132,$P$134:P1132,"R")</f>
        <v>8484.6733333333214</v>
      </c>
      <c r="BM1131" s="343">
        <f>SUMIFS($AU$134:AU1132,$AQ$134:AQ1132,"M")</f>
        <v>2597.4000000000838</v>
      </c>
      <c r="BN1131" s="343">
        <f>SUMIFS($AU$134:AU1132,$AQ$134:AQ1132,"H")</f>
        <v>8089.3420000000642</v>
      </c>
      <c r="BO1131" s="343">
        <f>SUMIFS($AU$134:AU1132,$AQ$134:AQ1132,"D")</f>
        <v>6050.2366666667649</v>
      </c>
      <c r="BP1131" s="343">
        <f>SUMIFS($AU$134:AU1134,$AQ$134:AQ1134,"W")</f>
        <v>3191.7633333332024</v>
      </c>
      <c r="BQ1131" s="343">
        <f>SUMIFS($AU$134:AU1132,$Q$134:Q1132,"O")</f>
        <v>-1378.0033333329752</v>
      </c>
      <c r="BR1131" s="343">
        <f>SUMIFS($AU$134:AU1132,$AA$134:AA1132,"*")</f>
        <v>20108.675333333398</v>
      </c>
      <c r="BS1131" s="343">
        <f>SUMIFS($AU$134:AU1132,$AB$134:AB1132,"*")</f>
        <v>4577.196666667046</v>
      </c>
      <c r="BT1131" s="343">
        <f>SUMIFS($AU$134:AU1132,$AC$134:AC1132,"*")</f>
        <v>11143.683333333332</v>
      </c>
      <c r="BU1131" s="343">
        <f>SUMIFS($AU$134:AU1132,$AA$134:AA1132,"*",$AB$134:AB1132,"*")</f>
        <v>2838.0000000000864</v>
      </c>
      <c r="BV1131" s="343">
        <f>SUMIFS($AU$134:AU1132,$AA$134:AA1132,"*",$AC$134:AC1132,"*")</f>
        <v>9324.7833333333328</v>
      </c>
      <c r="BW1131" s="343">
        <f>SUMIFS($AU$134:AU1132,$AB$134:AB1132,"*",$AC$134:AC1132,"*")</f>
        <v>6014.6</v>
      </c>
      <c r="BX1131" s="343">
        <f>SUMIFS($AU1132:AU$1388,$Q1132:Q$1388,"F")</f>
        <v>8274.1333333333332</v>
      </c>
      <c r="BY1131" s="343">
        <f>SUMIFS($AU1132:AU$1388,$Q1132:Q$1388,"S")</f>
        <v>3696.0000000000005</v>
      </c>
      <c r="BZ1131" s="343">
        <f>SUMIFS($AU1132:AU$1388,$Q1132:Q$1388,"O")</f>
        <v>-270.85466666682339</v>
      </c>
    </row>
    <row r="1132" spans="1:78" ht="15.75" customHeight="1">
      <c r="A1132" s="221" t="s">
        <v>3942</v>
      </c>
      <c r="B1132" s="177">
        <v>45210</v>
      </c>
      <c r="C1132" s="178" t="s">
        <v>4082</v>
      </c>
      <c r="D1132" s="178" t="s">
        <v>151</v>
      </c>
      <c r="E1132" s="227"/>
      <c r="F1132" s="180"/>
      <c r="G1132" s="281" t="s">
        <v>136</v>
      </c>
      <c r="H1132" s="182"/>
      <c r="I1132" s="182"/>
      <c r="J1132" s="182"/>
      <c r="K1132" s="183"/>
      <c r="L1132" s="182">
        <v>1</v>
      </c>
      <c r="M1132" s="182"/>
      <c r="N1132" s="182"/>
      <c r="O1132" s="183" t="s">
        <v>95</v>
      </c>
      <c r="P1132" s="183" t="s">
        <v>96</v>
      </c>
      <c r="Q1132" s="183" t="s">
        <v>97</v>
      </c>
      <c r="R1132" s="183">
        <v>15</v>
      </c>
      <c r="S1132" s="183">
        <v>0</v>
      </c>
      <c r="T1132" s="183">
        <v>12</v>
      </c>
      <c r="U1132" s="183" t="s">
        <v>22</v>
      </c>
      <c r="V1132" s="183"/>
      <c r="W1132" s="183"/>
      <c r="X1132" s="183"/>
      <c r="Y1132" s="184">
        <f>IF(ISBLANK(O1132),"",(IF(O1132=UPPER("IB"),0.005,0.01)))</f>
        <v>0.01</v>
      </c>
      <c r="Z1132" s="185">
        <f>IF(ISBLANK(O1132),"",IF(O1132="IB",8.63*200,IF(O1132="IR",16*100,IF(O1132="YT",20*100,IF(O1132="YT-XT",24*200,IF(O1132="TED",80*100))))))</f>
        <v>1600</v>
      </c>
      <c r="AA1132" s="185" t="s">
        <v>99</v>
      </c>
      <c r="AB1132" s="185"/>
      <c r="AC1132" s="185"/>
      <c r="AD1132" s="649">
        <v>-0.04</v>
      </c>
      <c r="AE1132" s="182"/>
      <c r="AF1132" s="332"/>
      <c r="AG1132" s="182"/>
      <c r="AH1132" s="182"/>
      <c r="AI1132" s="182"/>
      <c r="AJ1132" s="640"/>
      <c r="AK1132" s="182"/>
      <c r="AL1132" s="496"/>
      <c r="AM1132" s="496"/>
      <c r="AN1132" s="626"/>
      <c r="AO1132" s="182"/>
      <c r="AP1132" s="182" t="s">
        <v>770</v>
      </c>
      <c r="AQ1132" s="332" t="str">
        <f>UPPER(RIGHT(Journal_Live[[#This Row],[DURATION ]]))</f>
        <v>D</v>
      </c>
      <c r="AR1132" s="182" t="s">
        <v>4083</v>
      </c>
      <c r="AS1132" s="189">
        <v>-0.03</v>
      </c>
      <c r="AT1132" s="189">
        <f>IF(ISBLANK(AS1132),,IF(U1132="S",AD1132-AS1132,AS1132-AD1132))</f>
        <v>1.0000000000000002E-2</v>
      </c>
      <c r="AU1132" s="187">
        <f>AV1132*R1132</f>
        <v>240.00000000000006</v>
      </c>
      <c r="AV1132" s="190">
        <f>IF(ISBLANK(AS1132),,(AT1132*Z1132))</f>
        <v>16.000000000000004</v>
      </c>
      <c r="AW1132" s="191" t="s">
        <v>96</v>
      </c>
      <c r="AX1132" s="407"/>
      <c r="AY1132" s="407"/>
      <c r="AZ1132" s="407"/>
      <c r="BA1132" s="407"/>
      <c r="BB1132" s="407"/>
      <c r="BC1132" s="407"/>
      <c r="BD1132" s="407"/>
      <c r="BE1132" s="407"/>
      <c r="BF1132" s="422"/>
      <c r="BG1132" s="391">
        <f>SUM($AV$4:AV1132)</f>
        <v>4275.5624720486067</v>
      </c>
      <c r="BH1132" s="392">
        <f>SUM($AU$134:AU1132)</f>
        <v>21899.37200000036</v>
      </c>
      <c r="BI1132" s="318">
        <f>SUMIFS($AU$134:AU1133,$Q$134:Q1133,"F")</f>
        <v>6166.5333333333328</v>
      </c>
      <c r="BJ1132" s="318">
        <f>SUMIFS($AU$134:AU1133,$Q$134:Q1133,"S")</f>
        <v>17215.642</v>
      </c>
      <c r="BK1132" s="343">
        <f>SUMIFS($AU$134:AU1133,$P$134:P1133,"W")</f>
        <v>14702.941999999943</v>
      </c>
      <c r="BL1132" s="343">
        <f>SUMIFS($AU$134:AU1133,$P$134:P1133,"R")</f>
        <v>8484.6733333333214</v>
      </c>
      <c r="BM1132" s="343">
        <f>SUMIFS($AU$134:AU1133,$AQ$134:AQ1133,"M")</f>
        <v>2597.4000000000838</v>
      </c>
      <c r="BN1132" s="343">
        <f>SUMIFS($AU$134:AU1133,$AQ$134:AQ1133,"H")</f>
        <v>8089.3420000000642</v>
      </c>
      <c r="BO1132" s="343">
        <f>SUMIFS($AU$134:AU1133,$AQ$134:AQ1133,"D")</f>
        <v>6050.2366666667649</v>
      </c>
      <c r="BP1132" s="343">
        <f>SUMIFS($AU$134:AU1135,$AQ$134:AQ1135,"W")</f>
        <v>3191.7633333332024</v>
      </c>
      <c r="BQ1132" s="343">
        <f>SUMIFS($AU$134:AU1133,$Q$134:Q1133,"O")</f>
        <v>-1378.0033333329752</v>
      </c>
      <c r="BR1132" s="343">
        <f>SUMIFS($AU$134:AU1133,$AA$134:AA1133,"*")</f>
        <v>20108.675333333398</v>
      </c>
      <c r="BS1132" s="343">
        <f>SUMIFS($AU$134:AU1133,$AB$134:AB1133,"*")</f>
        <v>4577.196666667046</v>
      </c>
      <c r="BT1132" s="343">
        <f>SUMIFS($AU$134:AU1133,$AC$134:AC1133,"*")</f>
        <v>11143.683333333332</v>
      </c>
      <c r="BU1132" s="343">
        <f>SUMIFS($AU$134:AU1133,$AA$134:AA1133,"*",$AB$134:AB1133,"*")</f>
        <v>2838.0000000000864</v>
      </c>
      <c r="BV1132" s="343">
        <f>SUMIFS($AU$134:AU1133,$AA$134:AA1133,"*",$AC$134:AC1133,"*")</f>
        <v>9324.7833333333328</v>
      </c>
      <c r="BW1132" s="343">
        <f>SUMIFS($AU$134:AU1133,$AB$134:AB1133,"*",$AC$134:AC1133,"*")</f>
        <v>6014.6</v>
      </c>
      <c r="BX1132" s="343">
        <f>SUMIFS($AU1133:AU$1388,$Q1133:Q$1388,"F")</f>
        <v>8274.1333333333332</v>
      </c>
      <c r="BY1132" s="343">
        <f>SUMIFS($AU1133:AU$1388,$Q1133:Q$1388,"S")</f>
        <v>3456</v>
      </c>
      <c r="BZ1132" s="343">
        <f>SUMIFS($AU1133:AU$1388,$Q1133:Q$1388,"O")</f>
        <v>-270.85466666682339</v>
      </c>
    </row>
    <row r="1133" spans="1:78" ht="15.75" customHeight="1">
      <c r="A1133" s="221" t="s">
        <v>3942</v>
      </c>
      <c r="B1133" s="177">
        <v>45211</v>
      </c>
      <c r="C1133" s="178" t="s">
        <v>1961</v>
      </c>
      <c r="D1133" s="178" t="s">
        <v>93</v>
      </c>
      <c r="E1133" s="227"/>
      <c r="F1133" s="180"/>
      <c r="G1133" s="181" t="s">
        <v>2016</v>
      </c>
      <c r="H1133" s="182"/>
      <c r="I1133" s="182"/>
      <c r="J1133" s="182"/>
      <c r="K1133" s="183"/>
      <c r="L1133" s="182"/>
      <c r="M1133" s="182"/>
      <c r="N1133" s="182"/>
      <c r="O1133" s="183"/>
      <c r="P1133" s="183"/>
      <c r="Q1133" s="183"/>
      <c r="R1133" s="183"/>
      <c r="S1133" s="183"/>
      <c r="T1133" s="183"/>
      <c r="U1133" s="183"/>
      <c r="V1133" s="183"/>
      <c r="W1133" s="183"/>
      <c r="X1133" s="183"/>
      <c r="Y1133" s="184"/>
      <c r="Z1133" s="185"/>
      <c r="AA1133" s="185"/>
      <c r="AB1133" s="185"/>
      <c r="AC1133" s="185"/>
      <c r="AD1133" s="649"/>
      <c r="AE1133" s="182"/>
      <c r="AF1133" s="332"/>
      <c r="AG1133" s="182"/>
      <c r="AH1133" s="182"/>
      <c r="AI1133" s="182"/>
      <c r="AJ1133" s="640"/>
      <c r="AK1133" s="182"/>
      <c r="AL1133" s="496"/>
      <c r="AM1133" s="496"/>
      <c r="AN1133" s="626"/>
      <c r="AO1133" s="182"/>
      <c r="AP1133" s="182"/>
      <c r="AQ1133" s="332" t="str">
        <f>UPPER(RIGHT(Journal_Live[[#This Row],[DURATION ]]))</f>
        <v/>
      </c>
      <c r="AR1133" s="182"/>
      <c r="AS1133" s="189"/>
      <c r="AT1133" s="189"/>
      <c r="AU1133" s="187"/>
      <c r="AV1133" s="190"/>
      <c r="AW1133" s="191"/>
      <c r="AX1133" s="407"/>
      <c r="AY1133" s="407"/>
      <c r="AZ1133" s="407"/>
      <c r="BA1133" s="407"/>
      <c r="BB1133" s="407"/>
      <c r="BC1133" s="407"/>
      <c r="BD1133" s="407"/>
      <c r="BE1133" s="407"/>
      <c r="BF1133" s="422"/>
      <c r="BG1133" s="391">
        <f>SUM($AV$4:AV1133)</f>
        <v>4275.5624720486067</v>
      </c>
      <c r="BH1133" s="392">
        <f>SUM($AU$134:AU1133)</f>
        <v>21899.37200000036</v>
      </c>
      <c r="BI1133" s="318">
        <f>SUMIFS($AU$134:AU1134,$Q$134:Q1134,"F")</f>
        <v>6166.5333333333328</v>
      </c>
      <c r="BJ1133" s="318">
        <f>SUMIFS($AU$134:AU1134,$Q$134:Q1134,"S")</f>
        <v>17215.642</v>
      </c>
      <c r="BK1133" s="343">
        <f>SUMIFS($AU$134:AU1134,$P$134:P1134,"W")</f>
        <v>14702.941999999943</v>
      </c>
      <c r="BL1133" s="343">
        <f>SUMIFS($AU$134:AU1134,$P$134:P1134,"R")</f>
        <v>8484.6733333333214</v>
      </c>
      <c r="BM1133" s="343">
        <f>SUMIFS($AU$134:AU1134,$AQ$134:AQ1134,"M")</f>
        <v>2597.4000000000838</v>
      </c>
      <c r="BN1133" s="343">
        <f>SUMIFS($AU$134:AU1134,$AQ$134:AQ1134,"H")</f>
        <v>8089.3420000000642</v>
      </c>
      <c r="BO1133" s="343">
        <f>SUMIFS($AU$134:AU1134,$AQ$134:AQ1134,"D")</f>
        <v>6050.2366666667649</v>
      </c>
      <c r="BP1133" s="343">
        <f>SUMIFS($AU$134:AU1136,$AQ$134:AQ1136,"W")</f>
        <v>3191.7633333332024</v>
      </c>
      <c r="BQ1133" s="343">
        <f>SUMIFS($AU$134:AU1134,$Q$134:Q1134,"O")</f>
        <v>-1378.0033333329752</v>
      </c>
      <c r="BR1133" s="343">
        <f>SUMIFS($AU$134:AU1134,$AA$134:AA1134,"*")</f>
        <v>20108.675333333398</v>
      </c>
      <c r="BS1133" s="343">
        <f>SUMIFS($AU$134:AU1134,$AB$134:AB1134,"*")</f>
        <v>4577.196666667046</v>
      </c>
      <c r="BT1133" s="343">
        <f>SUMIFS($AU$134:AU1134,$AC$134:AC1134,"*")</f>
        <v>11143.683333333332</v>
      </c>
      <c r="BU1133" s="343">
        <f>SUMIFS($AU$134:AU1134,$AA$134:AA1134,"*",$AB$134:AB1134,"*")</f>
        <v>2838.0000000000864</v>
      </c>
      <c r="BV1133" s="343">
        <f>SUMIFS($AU$134:AU1134,$AA$134:AA1134,"*",$AC$134:AC1134,"*")</f>
        <v>9324.7833333333328</v>
      </c>
      <c r="BW1133" s="343">
        <f>SUMIFS($AU$134:AU1134,$AB$134:AB1134,"*",$AC$134:AC1134,"*")</f>
        <v>6014.6</v>
      </c>
      <c r="BX1133" s="343">
        <f>SUMIFS($AU1134:AU$1388,$Q1134:Q$1388,"F")</f>
        <v>8274.1333333333332</v>
      </c>
      <c r="BY1133" s="343">
        <f>SUMIFS($AU1134:AU$1388,$Q1134:Q$1388,"S")</f>
        <v>3456</v>
      </c>
      <c r="BZ1133" s="343">
        <f>SUMIFS($AU1134:AU$1388,$Q1134:Q$1388,"O")</f>
        <v>-270.85466666682339</v>
      </c>
    </row>
    <row r="1134" spans="1:78" ht="15.75" customHeight="1">
      <c r="A1134" s="221" t="s">
        <v>3942</v>
      </c>
      <c r="B1134" s="177">
        <v>45211</v>
      </c>
      <c r="C1134" s="178" t="s">
        <v>1714</v>
      </c>
      <c r="D1134" s="178" t="s">
        <v>93</v>
      </c>
      <c r="E1134" s="227" t="s">
        <v>4084</v>
      </c>
      <c r="F1134" s="180"/>
      <c r="G1134" s="181"/>
      <c r="H1134" s="182"/>
      <c r="I1134" s="182"/>
      <c r="J1134" s="182"/>
      <c r="K1134" s="183"/>
      <c r="L1134" s="182"/>
      <c r="M1134" s="182"/>
      <c r="N1134" s="182"/>
      <c r="O1134" s="183"/>
      <c r="P1134" s="183"/>
      <c r="Q1134" s="183"/>
      <c r="R1134" s="183"/>
      <c r="S1134" s="183"/>
      <c r="T1134" s="183"/>
      <c r="U1134" s="183"/>
      <c r="V1134" s="183"/>
      <c r="W1134" s="183"/>
      <c r="X1134" s="183"/>
      <c r="Y1134" s="183"/>
      <c r="Z1134" s="185" t="str">
        <f>IF(ISBLANK(O1134),"",IF(O1134="IB",8.63*200,IF(O1134="IR",16*100,IF(O1134="YT",20*100,IF(O1134="YT-XT",24*200,IF(O1134="TED",80*100))))))</f>
        <v/>
      </c>
      <c r="AA1134" s="185"/>
      <c r="AB1134" s="185"/>
      <c r="AC1134" s="185"/>
      <c r="AD1134" s="649"/>
      <c r="AE1134" s="182"/>
      <c r="AF1134" s="332"/>
      <c r="AG1134" s="182"/>
      <c r="AH1134" s="182"/>
      <c r="AI1134" s="182"/>
      <c r="AJ1134" s="640"/>
      <c r="AK1134" s="182"/>
      <c r="AL1134" s="496"/>
      <c r="AM1134" s="496"/>
      <c r="AN1134" s="626"/>
      <c r="AO1134" s="182"/>
      <c r="AP1134" s="182"/>
      <c r="AQ1134" s="332" t="str">
        <f>UPPER(RIGHT(Journal_Live[[#This Row],[DURATION ]]))</f>
        <v/>
      </c>
      <c r="AR1134" s="182"/>
      <c r="AS1134" s="189"/>
      <c r="AT1134" s="189"/>
      <c r="AU1134" s="187"/>
      <c r="AV1134" s="190"/>
      <c r="AW1134" s="191"/>
      <c r="AX1134" s="407" t="s">
        <v>4085</v>
      </c>
      <c r="AY1134" s="407"/>
      <c r="AZ1134" s="407"/>
      <c r="BA1134" s="407"/>
      <c r="BB1134" s="407"/>
      <c r="BC1134" s="407"/>
      <c r="BD1134" s="407"/>
      <c r="BE1134" s="407"/>
      <c r="BF1134" s="422"/>
      <c r="BG1134" s="391">
        <f>SUM($AV$4:AV1134)</f>
        <v>4275.5624720486067</v>
      </c>
      <c r="BH1134" s="392">
        <f>SUM($AU$134:AU1134)</f>
        <v>21899.37200000036</v>
      </c>
      <c r="BI1134" s="318">
        <f>SUMIFS($AU$134:AU1135,$Q$134:Q1135,"F")</f>
        <v>6166.5333333333328</v>
      </c>
      <c r="BJ1134" s="318">
        <f>SUMIFS($AU$134:AU1135,$Q$134:Q1135,"S")</f>
        <v>17215.642</v>
      </c>
      <c r="BK1134" s="343">
        <f>SUMIFS($AU$134:AU1135,$P$134:P1135,"W")</f>
        <v>14702.941999999943</v>
      </c>
      <c r="BL1134" s="343">
        <f>SUMIFS($AU$134:AU1135,$P$134:P1135,"R")</f>
        <v>8484.6733333333214</v>
      </c>
      <c r="BM1134" s="343">
        <f>SUMIFS($AU$134:AU1135,$AQ$134:AQ1135,"M")</f>
        <v>2597.4000000000838</v>
      </c>
      <c r="BN1134" s="343">
        <f>SUMIFS($AU$134:AU1135,$AQ$134:AQ1135,"H")</f>
        <v>8089.3420000000642</v>
      </c>
      <c r="BO1134" s="343">
        <f>SUMIFS($AU$134:AU1135,$AQ$134:AQ1135,"D")</f>
        <v>6050.2366666667649</v>
      </c>
      <c r="BP1134" s="343">
        <f>SUMIFS($AU$134:AU1137,$AQ$134:AQ1137,"W")</f>
        <v>3191.7633333332024</v>
      </c>
      <c r="BQ1134" s="343">
        <f>SUMIFS($AU$134:AU1135,$Q$134:Q1135,"O")</f>
        <v>-1378.0033333329752</v>
      </c>
      <c r="BR1134" s="343">
        <f>SUMIFS($AU$134:AU1135,$AA$134:AA1135,"*")</f>
        <v>20108.675333333398</v>
      </c>
      <c r="BS1134" s="343">
        <f>SUMIFS($AU$134:AU1135,$AB$134:AB1135,"*")</f>
        <v>4577.196666667046</v>
      </c>
      <c r="BT1134" s="343">
        <f>SUMIFS($AU$134:AU1135,$AC$134:AC1135,"*")</f>
        <v>11143.683333333332</v>
      </c>
      <c r="BU1134" s="343">
        <f>SUMIFS($AU$134:AU1135,$AA$134:AA1135,"*",$AB$134:AB1135,"*")</f>
        <v>2838.0000000000864</v>
      </c>
      <c r="BV1134" s="343">
        <f>SUMIFS($AU$134:AU1135,$AA$134:AA1135,"*",$AC$134:AC1135,"*")</f>
        <v>9324.7833333333328</v>
      </c>
      <c r="BW1134" s="343">
        <f>SUMIFS($AU$134:AU1135,$AB$134:AB1135,"*",$AC$134:AC1135,"*")</f>
        <v>6014.6</v>
      </c>
      <c r="BX1134" s="343">
        <f>SUMIFS($AU1135:AU$1388,$Q1135:Q$1388,"F")</f>
        <v>8274.1333333333332</v>
      </c>
      <c r="BY1134" s="343">
        <f>SUMIFS($AU1135:AU$1388,$Q1135:Q$1388,"S")</f>
        <v>3456</v>
      </c>
      <c r="BZ1134" s="343">
        <f>SUMIFS($AU1135:AU$1388,$Q1135:Q$1388,"O")</f>
        <v>-270.85466666682339</v>
      </c>
    </row>
    <row r="1135" spans="1:78" ht="15.75" customHeight="1">
      <c r="A1135" s="221" t="s">
        <v>3942</v>
      </c>
      <c r="B1135" s="177"/>
      <c r="C1135" s="178"/>
      <c r="D1135" s="178"/>
      <c r="E1135" s="227" t="s">
        <v>4086</v>
      </c>
      <c r="F1135" s="180"/>
      <c r="G1135" s="181"/>
      <c r="H1135" s="182"/>
      <c r="I1135" s="182"/>
      <c r="J1135" s="182"/>
      <c r="K1135" s="183"/>
      <c r="L1135" s="182"/>
      <c r="M1135" s="182"/>
      <c r="N1135" s="182"/>
      <c r="O1135" s="183"/>
      <c r="P1135" s="183"/>
      <c r="Q1135" s="183"/>
      <c r="R1135" s="183"/>
      <c r="S1135" s="183"/>
      <c r="T1135" s="183"/>
      <c r="U1135" s="183"/>
      <c r="V1135" s="183"/>
      <c r="W1135" s="183"/>
      <c r="X1135" s="183"/>
      <c r="Y1135" s="183"/>
      <c r="Z1135" s="185" t="str">
        <f>IF(ISBLANK(O1135),"",IF(O1135="IB",8.63*200,IF(O1135="IR",16*100,IF(O1135="YT",20*100,IF(O1135="YT-XT",24*200,IF(O1135="TED",80*100))))))</f>
        <v/>
      </c>
      <c r="AA1135" s="185"/>
      <c r="AB1135" s="185"/>
      <c r="AC1135" s="185"/>
      <c r="AD1135" s="649"/>
      <c r="AE1135" s="182"/>
      <c r="AF1135" s="332"/>
      <c r="AG1135" s="182"/>
      <c r="AH1135" s="182"/>
      <c r="AI1135" s="182"/>
      <c r="AJ1135" s="640"/>
      <c r="AK1135" s="182"/>
      <c r="AL1135" s="496"/>
      <c r="AM1135" s="496"/>
      <c r="AN1135" s="626"/>
      <c r="AO1135" s="182"/>
      <c r="AP1135" s="182"/>
      <c r="AQ1135" s="332" t="str">
        <f>UPPER(RIGHT(Journal_Live[[#This Row],[DURATION ]]))</f>
        <v/>
      </c>
      <c r="AR1135" s="182"/>
      <c r="AS1135" s="189"/>
      <c r="AT1135" s="189"/>
      <c r="AU1135" s="187"/>
      <c r="AV1135" s="190"/>
      <c r="AW1135" s="191"/>
      <c r="AX1135" s="407"/>
      <c r="AY1135" s="407"/>
      <c r="AZ1135" s="407"/>
      <c r="BA1135" s="407"/>
      <c r="BB1135" s="407"/>
      <c r="BC1135" s="407"/>
      <c r="BD1135" s="407"/>
      <c r="BE1135" s="407"/>
      <c r="BF1135" s="422"/>
      <c r="BG1135" s="391">
        <f>SUM($AV$4:AV1135)</f>
        <v>4275.5624720486067</v>
      </c>
      <c r="BH1135" s="392">
        <f>SUM($AU$134:AU1135)</f>
        <v>21899.37200000036</v>
      </c>
      <c r="BI1135" s="318">
        <f>SUMIFS($AU$134:AU1136,$Q$134:Q1136,"F")</f>
        <v>6166.5333333333328</v>
      </c>
      <c r="BJ1135" s="318">
        <f>SUMIFS($AU$134:AU1136,$Q$134:Q1136,"S")</f>
        <v>17215.642</v>
      </c>
      <c r="BK1135" s="343">
        <f>SUMIFS($AU$134:AU1136,$P$134:P1136,"W")</f>
        <v>14702.941999999943</v>
      </c>
      <c r="BL1135" s="343">
        <f>SUMIFS($AU$134:AU1136,$P$134:P1136,"R")</f>
        <v>8484.6733333333214</v>
      </c>
      <c r="BM1135" s="343">
        <f>SUMIFS($AU$134:AU1136,$AQ$134:AQ1136,"M")</f>
        <v>2597.4000000000838</v>
      </c>
      <c r="BN1135" s="343">
        <f>SUMIFS($AU$134:AU1136,$AQ$134:AQ1136,"H")</f>
        <v>8089.3420000000642</v>
      </c>
      <c r="BO1135" s="343">
        <f>SUMIFS($AU$134:AU1136,$AQ$134:AQ1136,"D")</f>
        <v>6050.2366666667649</v>
      </c>
      <c r="BP1135" s="343">
        <f>SUMIFS($AU$134:AU1138,$AQ$134:AQ1138,"W")</f>
        <v>3191.7633333332024</v>
      </c>
      <c r="BQ1135" s="343">
        <f>SUMIFS($AU$134:AU1136,$Q$134:Q1136,"O")</f>
        <v>-1378.0033333329752</v>
      </c>
      <c r="BR1135" s="343">
        <f>SUMIFS($AU$134:AU1136,$AA$134:AA1136,"*")</f>
        <v>20108.675333333398</v>
      </c>
      <c r="BS1135" s="343">
        <f>SUMIFS($AU$134:AU1136,$AB$134:AB1136,"*")</f>
        <v>4577.196666667046</v>
      </c>
      <c r="BT1135" s="343">
        <f>SUMIFS($AU$134:AU1136,$AC$134:AC1136,"*")</f>
        <v>11143.683333333332</v>
      </c>
      <c r="BU1135" s="343">
        <f>SUMIFS($AU$134:AU1136,$AA$134:AA1136,"*",$AB$134:AB1136,"*")</f>
        <v>2838.0000000000864</v>
      </c>
      <c r="BV1135" s="343">
        <f>SUMIFS($AU$134:AU1136,$AA$134:AA1136,"*",$AC$134:AC1136,"*")</f>
        <v>9324.7833333333328</v>
      </c>
      <c r="BW1135" s="343">
        <f>SUMIFS($AU$134:AU1136,$AB$134:AB1136,"*",$AC$134:AC1136,"*")</f>
        <v>6014.6</v>
      </c>
      <c r="BX1135" s="343">
        <f>SUMIFS($AU1136:AU$1388,$Q1136:Q$1388,"F")</f>
        <v>8274.1333333333332</v>
      </c>
      <c r="BY1135" s="343">
        <f>SUMIFS($AU1136:AU$1388,$Q1136:Q$1388,"S")</f>
        <v>3456</v>
      </c>
      <c r="BZ1135" s="343">
        <f>SUMIFS($AU1136:AU$1388,$Q1136:Q$1388,"O")</f>
        <v>-270.85466666682339</v>
      </c>
    </row>
    <row r="1136" spans="1:78" ht="15.75" customHeight="1">
      <c r="A1136" s="221" t="s">
        <v>3942</v>
      </c>
      <c r="B1136" s="177"/>
      <c r="C1136" s="178"/>
      <c r="D1136" s="178"/>
      <c r="E1136" s="227" t="s">
        <v>4087</v>
      </c>
      <c r="F1136" s="180"/>
      <c r="G1136" s="181"/>
      <c r="H1136" s="182"/>
      <c r="I1136" s="182"/>
      <c r="J1136" s="182"/>
      <c r="K1136" s="183"/>
      <c r="L1136" s="182"/>
      <c r="M1136" s="182"/>
      <c r="N1136" s="182"/>
      <c r="O1136" s="183"/>
      <c r="P1136" s="183"/>
      <c r="Q1136" s="183"/>
      <c r="R1136" s="183"/>
      <c r="S1136" s="183"/>
      <c r="T1136" s="183"/>
      <c r="U1136" s="183"/>
      <c r="V1136" s="183"/>
      <c r="W1136" s="183"/>
      <c r="X1136" s="183"/>
      <c r="Y1136" s="183"/>
      <c r="Z1136" s="185" t="str">
        <f>IF(ISBLANK(O1136),"",IF(O1136="IB",8.63*200,IF(O1136="IR",16*100,IF(O1136="YT",20*100,IF(O1136="YT-XT",24*200,IF(O1136="TED",80*100))))))</f>
        <v/>
      </c>
      <c r="AA1136" s="185"/>
      <c r="AB1136" s="185"/>
      <c r="AC1136" s="185"/>
      <c r="AD1136" s="649"/>
      <c r="AE1136" s="182"/>
      <c r="AF1136" s="332"/>
      <c r="AG1136" s="182"/>
      <c r="AH1136" s="182"/>
      <c r="AI1136" s="182"/>
      <c r="AJ1136" s="640"/>
      <c r="AK1136" s="182"/>
      <c r="AL1136" s="496"/>
      <c r="AM1136" s="496"/>
      <c r="AN1136" s="626"/>
      <c r="AO1136" s="182"/>
      <c r="AP1136" s="182"/>
      <c r="AQ1136" s="332" t="str">
        <f>UPPER(RIGHT(Journal_Live[[#This Row],[DURATION ]]))</f>
        <v/>
      </c>
      <c r="AR1136" s="182"/>
      <c r="AS1136" s="189"/>
      <c r="AT1136" s="189"/>
      <c r="AU1136" s="187"/>
      <c r="AV1136" s="190"/>
      <c r="AW1136" s="191"/>
      <c r="AX1136" s="407"/>
      <c r="AY1136" s="407"/>
      <c r="AZ1136" s="407"/>
      <c r="BA1136" s="407"/>
      <c r="BB1136" s="407"/>
      <c r="BC1136" s="407"/>
      <c r="BD1136" s="407"/>
      <c r="BE1136" s="407"/>
      <c r="BF1136" s="422"/>
      <c r="BG1136" s="391">
        <f>SUM($AV$4:AV1136)</f>
        <v>4275.5624720486067</v>
      </c>
      <c r="BH1136" s="392">
        <f>SUM($AU$134:AU1136)</f>
        <v>21899.37200000036</v>
      </c>
      <c r="BI1136" s="318">
        <f>SUMIFS($AU$134:AU1137,$Q$134:Q1137,"F")</f>
        <v>6166.5333333333328</v>
      </c>
      <c r="BJ1136" s="318">
        <f>SUMIFS($AU$134:AU1137,$Q$134:Q1137,"S")</f>
        <v>17215.642</v>
      </c>
      <c r="BK1136" s="343">
        <f>SUMIFS($AU$134:AU1137,$P$134:P1137,"W")</f>
        <v>14702.941999999943</v>
      </c>
      <c r="BL1136" s="343">
        <f>SUMIFS($AU$134:AU1137,$P$134:P1137,"R")</f>
        <v>8484.6733333333214</v>
      </c>
      <c r="BM1136" s="343">
        <f>SUMIFS($AU$134:AU1137,$AQ$134:AQ1137,"M")</f>
        <v>2597.4000000000838</v>
      </c>
      <c r="BN1136" s="343">
        <f>SUMIFS($AU$134:AU1137,$AQ$134:AQ1137,"H")</f>
        <v>8089.3420000000642</v>
      </c>
      <c r="BO1136" s="343">
        <f>SUMIFS($AU$134:AU1137,$AQ$134:AQ1137,"D")</f>
        <v>6050.2366666667649</v>
      </c>
      <c r="BP1136" s="343">
        <f>SUMIFS($AU$134:AU1139,$AQ$134:AQ1139,"W")</f>
        <v>3191.7633333332024</v>
      </c>
      <c r="BQ1136" s="343">
        <f>SUMIFS($AU$134:AU1137,$Q$134:Q1137,"O")</f>
        <v>-1378.0033333329752</v>
      </c>
      <c r="BR1136" s="343">
        <f>SUMIFS($AU$134:AU1137,$AA$134:AA1137,"*")</f>
        <v>20108.675333333398</v>
      </c>
      <c r="BS1136" s="343">
        <f>SUMIFS($AU$134:AU1137,$AB$134:AB1137,"*")</f>
        <v>4577.196666667046</v>
      </c>
      <c r="BT1136" s="343">
        <f>SUMIFS($AU$134:AU1137,$AC$134:AC1137,"*")</f>
        <v>11143.683333333332</v>
      </c>
      <c r="BU1136" s="343">
        <f>SUMIFS($AU$134:AU1137,$AA$134:AA1137,"*",$AB$134:AB1137,"*")</f>
        <v>2838.0000000000864</v>
      </c>
      <c r="BV1136" s="343">
        <f>SUMIFS($AU$134:AU1137,$AA$134:AA1137,"*",$AC$134:AC1137,"*")</f>
        <v>9324.7833333333328</v>
      </c>
      <c r="BW1136" s="343">
        <f>SUMIFS($AU$134:AU1137,$AB$134:AB1137,"*",$AC$134:AC1137,"*")</f>
        <v>6014.6</v>
      </c>
      <c r="BX1136" s="343">
        <f>SUMIFS($AU1137:AU$1388,$Q1137:Q$1388,"F")</f>
        <v>8274.1333333333332</v>
      </c>
      <c r="BY1136" s="343">
        <f>SUMIFS($AU1137:AU$1388,$Q1137:Q$1388,"S")</f>
        <v>3456</v>
      </c>
      <c r="BZ1136" s="343">
        <f>SUMIFS($AU1137:AU$1388,$Q1137:Q$1388,"O")</f>
        <v>-270.85466666682339</v>
      </c>
    </row>
    <row r="1137" spans="1:78" ht="15.75" customHeight="1">
      <c r="A1137" s="221" t="s">
        <v>3942</v>
      </c>
      <c r="B1137" s="177">
        <v>45211</v>
      </c>
      <c r="C1137" s="178" t="s">
        <v>682</v>
      </c>
      <c r="D1137" s="178" t="s">
        <v>93</v>
      </c>
      <c r="E1137" s="227"/>
      <c r="F1137" s="180"/>
      <c r="G1137" s="281" t="s">
        <v>181</v>
      </c>
      <c r="H1137" s="182"/>
      <c r="I1137" s="182"/>
      <c r="J1137" s="182"/>
      <c r="K1137" s="183"/>
      <c r="L1137" s="182">
        <v>1</v>
      </c>
      <c r="M1137" s="182">
        <v>1</v>
      </c>
      <c r="N1137" s="182"/>
      <c r="O1137" s="183" t="s">
        <v>95</v>
      </c>
      <c r="P1137" s="183" t="s">
        <v>96</v>
      </c>
      <c r="Q1137" s="183" t="s">
        <v>97</v>
      </c>
      <c r="R1137" s="183">
        <v>12</v>
      </c>
      <c r="S1137" s="183">
        <v>0</v>
      </c>
      <c r="T1137" s="183">
        <v>12</v>
      </c>
      <c r="U1137" s="183" t="s">
        <v>97</v>
      </c>
      <c r="V1137" s="183"/>
      <c r="W1137" s="183"/>
      <c r="X1137" s="183"/>
      <c r="Y1137" s="184">
        <f>IF(ISBLANK(O1137),"",(IF(O1137=UPPER("IB"),0.005,0.01)))</f>
        <v>0.01</v>
      </c>
      <c r="Z1137" s="185">
        <f>IF(ISBLANK(O1137),"",IF(O1137="IB",8.63*200,IF(O1137="IR",16*100,IF(O1137="YT",20*100,IF(O1137="YT-XT",24*200,IF(O1137="TED",80*100))))))</f>
        <v>1600</v>
      </c>
      <c r="AA1137" s="185" t="s">
        <v>4088</v>
      </c>
      <c r="AB1137" s="185"/>
      <c r="AC1137" s="185"/>
      <c r="AD1137" s="649">
        <v>0.02</v>
      </c>
      <c r="AE1137" s="182"/>
      <c r="AF1137" s="332"/>
      <c r="AG1137" s="182"/>
      <c r="AH1137" s="182"/>
      <c r="AI1137" s="182"/>
      <c r="AJ1137" s="640"/>
      <c r="AK1137" s="182"/>
      <c r="AL1137" s="496"/>
      <c r="AM1137" s="496"/>
      <c r="AN1137" s="626"/>
      <c r="AO1137" s="182"/>
      <c r="AP1137" s="182" t="s">
        <v>1005</v>
      </c>
      <c r="AQ1137" s="332" t="str">
        <f>UPPER(RIGHT(Journal_Live[[#This Row],[DURATION ]]))</f>
        <v>H</v>
      </c>
      <c r="AR1137" s="182" t="s">
        <v>4089</v>
      </c>
      <c r="AS1137" s="189">
        <v>0.02</v>
      </c>
      <c r="AT1137" s="189">
        <f>IF(ISBLANK(AS1137),,IF(U1137="S",AD1137-AS1137,AS1137-AD1137))</f>
        <v>0</v>
      </c>
      <c r="AU1137" s="187">
        <f>AV1137*R1137</f>
        <v>0</v>
      </c>
      <c r="AV1137" s="190">
        <f>IF(ISBLANK(AS1137),,(AT1137*Z1137))</f>
        <v>0</v>
      </c>
      <c r="AW1137" s="191" t="s">
        <v>115</v>
      </c>
      <c r="AX1137" s="407"/>
      <c r="AY1137" s="407"/>
      <c r="AZ1137" s="407"/>
      <c r="BA1137" s="407"/>
      <c r="BB1137" s="407"/>
      <c r="BC1137" s="407"/>
      <c r="BD1137" s="407"/>
      <c r="BE1137" s="407"/>
      <c r="BF1137" s="422"/>
      <c r="BG1137" s="391">
        <f>SUM($AV$4:AV1137)</f>
        <v>4275.5624720486067</v>
      </c>
      <c r="BH1137" s="392">
        <f>SUM($AU$134:AU1137)</f>
        <v>21899.37200000036</v>
      </c>
      <c r="BI1137" s="318">
        <f>SUMIFS($AU$134:AU1138,$Q$134:Q1138,"F")</f>
        <v>6166.5333333333328</v>
      </c>
      <c r="BJ1137" s="318">
        <f>SUMIFS($AU$134:AU1138,$Q$134:Q1138,"S")</f>
        <v>17327.642</v>
      </c>
      <c r="BK1137" s="343">
        <f>SUMIFS($AU$134:AU1138,$P$134:P1138,"W")</f>
        <v>14814.941999999943</v>
      </c>
      <c r="BL1137" s="343">
        <f>SUMIFS($AU$134:AU1138,$P$134:P1138,"R")</f>
        <v>8484.6733333333214</v>
      </c>
      <c r="BM1137" s="343">
        <f>SUMIFS($AU$134:AU1138,$AQ$134:AQ1138,"M")</f>
        <v>2597.4000000000838</v>
      </c>
      <c r="BN1137" s="343">
        <f>SUMIFS($AU$134:AU1138,$AQ$134:AQ1138,"H")</f>
        <v>8201.3420000000642</v>
      </c>
      <c r="BO1137" s="343">
        <f>SUMIFS($AU$134:AU1138,$AQ$134:AQ1138,"D")</f>
        <v>6050.2366666667649</v>
      </c>
      <c r="BP1137" s="343">
        <f>SUMIFS($AU$134:AU1140,$AQ$134:AQ1140,"W")</f>
        <v>3191.7633333332024</v>
      </c>
      <c r="BQ1137" s="343">
        <f>SUMIFS($AU$134:AU1138,$Q$134:Q1138,"O")</f>
        <v>-1378.0033333329752</v>
      </c>
      <c r="BR1137" s="343">
        <f>SUMIFS($AU$134:AU1138,$AA$134:AA1138,"*")</f>
        <v>20220.675333333398</v>
      </c>
      <c r="BS1137" s="343">
        <f>SUMIFS($AU$134:AU1138,$AB$134:AB1138,"*")</f>
        <v>4577.196666667046</v>
      </c>
      <c r="BT1137" s="343">
        <f>SUMIFS($AU$134:AU1138,$AC$134:AC1138,"*")</f>
        <v>11143.683333333332</v>
      </c>
      <c r="BU1137" s="343">
        <f>SUMIFS($AU$134:AU1138,$AA$134:AA1138,"*",$AB$134:AB1138,"*")</f>
        <v>2838.0000000000864</v>
      </c>
      <c r="BV1137" s="343">
        <f>SUMIFS($AU$134:AU1138,$AA$134:AA1138,"*",$AC$134:AC1138,"*")</f>
        <v>9324.7833333333328</v>
      </c>
      <c r="BW1137" s="343">
        <f>SUMIFS($AU$134:AU1138,$AB$134:AB1138,"*",$AC$134:AC1138,"*")</f>
        <v>6014.6</v>
      </c>
      <c r="BX1137" s="343">
        <f>SUMIFS($AU1138:AU$1388,$Q1138:Q$1388,"F")</f>
        <v>8274.1333333333332</v>
      </c>
      <c r="BY1137" s="343">
        <f>SUMIFS($AU1138:AU$1388,$Q1138:Q$1388,"S")</f>
        <v>3456</v>
      </c>
      <c r="BZ1137" s="343">
        <f>SUMIFS($AU1138:AU$1388,$Q1138:Q$1388,"O")</f>
        <v>-270.85466666682339</v>
      </c>
    </row>
    <row r="1138" spans="1:78" ht="15.75" customHeight="1">
      <c r="A1138" s="221" t="s">
        <v>3942</v>
      </c>
      <c r="B1138" s="177">
        <v>45211</v>
      </c>
      <c r="C1138" s="178" t="s">
        <v>682</v>
      </c>
      <c r="D1138" s="178" t="s">
        <v>93</v>
      </c>
      <c r="E1138" s="227"/>
      <c r="F1138" s="180"/>
      <c r="G1138" s="281" t="s">
        <v>2145</v>
      </c>
      <c r="H1138" s="182"/>
      <c r="I1138" s="182"/>
      <c r="J1138" s="182"/>
      <c r="K1138" s="183"/>
      <c r="L1138" s="182">
        <v>1</v>
      </c>
      <c r="M1138" s="182">
        <v>1</v>
      </c>
      <c r="N1138" s="182"/>
      <c r="O1138" s="183" t="s">
        <v>95</v>
      </c>
      <c r="P1138" s="183" t="s">
        <v>96</v>
      </c>
      <c r="Q1138" s="183" t="s">
        <v>97</v>
      </c>
      <c r="R1138" s="183">
        <v>7</v>
      </c>
      <c r="S1138" s="183">
        <v>0</v>
      </c>
      <c r="T1138" s="183">
        <v>7</v>
      </c>
      <c r="U1138" s="183" t="s">
        <v>97</v>
      </c>
      <c r="V1138" s="183"/>
      <c r="W1138" s="183"/>
      <c r="X1138" s="183"/>
      <c r="Y1138" s="184">
        <f>IF(ISBLANK(O1138),"",(IF(O1138=UPPER("IB"),0.005,0.01)))</f>
        <v>0.01</v>
      </c>
      <c r="Z1138" s="185">
        <f>IF(ISBLANK(O1138),"",IF(O1138="IB",8.63*200,IF(O1138="IR",16*100,IF(O1138="YT",20*100,IF(O1138="YT-XT",24*200,IF(O1138="TED",80*100))))))</f>
        <v>1600</v>
      </c>
      <c r="AA1138" s="185" t="s">
        <v>4088</v>
      </c>
      <c r="AB1138" s="185"/>
      <c r="AC1138" s="185"/>
      <c r="AD1138" s="649">
        <v>0.11</v>
      </c>
      <c r="AE1138" s="182"/>
      <c r="AF1138" s="332"/>
      <c r="AG1138" s="182"/>
      <c r="AH1138" s="182"/>
      <c r="AI1138" s="182"/>
      <c r="AJ1138" s="640"/>
      <c r="AK1138" s="182"/>
      <c r="AL1138" s="496"/>
      <c r="AM1138" s="496"/>
      <c r="AN1138" s="626"/>
      <c r="AO1138" s="182"/>
      <c r="AP1138" s="182" t="s">
        <v>2214</v>
      </c>
      <c r="AQ1138" s="332" t="str">
        <f>UPPER(RIGHT(Journal_Live[[#This Row],[DURATION ]]))</f>
        <v>H</v>
      </c>
      <c r="AR1138" s="182" t="s">
        <v>4090</v>
      </c>
      <c r="AS1138" s="189">
        <f>(0.1*4+0.1*3)/7</f>
        <v>0.1</v>
      </c>
      <c r="AT1138" s="189">
        <f>IF(ISBLANK(AS1138),,IF(U1138="S",AD1138-AS1138,AS1138-AD1138))</f>
        <v>9.999999999999995E-3</v>
      </c>
      <c r="AU1138" s="187">
        <f>AV1138*R1138</f>
        <v>111.99999999999994</v>
      </c>
      <c r="AV1138" s="190">
        <f>IF(ISBLANK(AS1138),,(AT1138*Z1138))</f>
        <v>15.999999999999993</v>
      </c>
      <c r="AW1138" s="191" t="s">
        <v>96</v>
      </c>
      <c r="AX1138" s="407"/>
      <c r="AY1138" s="407"/>
      <c r="AZ1138" s="407"/>
      <c r="BA1138" s="407"/>
      <c r="BB1138" s="407"/>
      <c r="BC1138" s="407"/>
      <c r="BD1138" s="407"/>
      <c r="BE1138" s="407"/>
      <c r="BF1138" s="422"/>
      <c r="BG1138" s="391">
        <f>SUM($AV$4:AV1138)</f>
        <v>4291.5624720486067</v>
      </c>
      <c r="BH1138" s="392">
        <f>SUM($AU$134:AU1138)</f>
        <v>22011.37200000036</v>
      </c>
      <c r="BI1138" s="318">
        <f>SUMIFS($AU$134:AU1139,$Q$134:Q1139,"F")</f>
        <v>6166.5333333333328</v>
      </c>
      <c r="BJ1138" s="318">
        <f>SUMIFS($AU$134:AU1139,$Q$134:Q1139,"S")</f>
        <v>17327.642</v>
      </c>
      <c r="BK1138" s="343">
        <f>SUMIFS($AU$134:AU1139,$P$134:P1139,"W")</f>
        <v>14814.941999999943</v>
      </c>
      <c r="BL1138" s="343">
        <f>SUMIFS($AU$134:AU1139,$P$134:P1139,"R")</f>
        <v>8484.6733333333214</v>
      </c>
      <c r="BM1138" s="343">
        <f>SUMIFS($AU$134:AU1139,$AQ$134:AQ1139,"M")</f>
        <v>2525.4000000001492</v>
      </c>
      <c r="BN1138" s="343">
        <f>SUMIFS($AU$134:AU1139,$AQ$134:AQ1139,"H")</f>
        <v>8201.3420000000642</v>
      </c>
      <c r="BO1138" s="343">
        <f>SUMIFS($AU$134:AU1139,$AQ$134:AQ1139,"D")</f>
        <v>6050.2366666667649</v>
      </c>
      <c r="BP1138" s="343">
        <f>SUMIFS($AU$134:AU1141,$AQ$134:AQ1141,"W")</f>
        <v>3191.7633333332024</v>
      </c>
      <c r="BQ1138" s="343">
        <f>SUMIFS($AU$134:AU1139,$Q$134:Q1139,"O")</f>
        <v>-1450.0033333329097</v>
      </c>
      <c r="BR1138" s="343">
        <f>SUMIFS($AU$134:AU1139,$AA$134:AA1139,"*")</f>
        <v>20148.675333333464</v>
      </c>
      <c r="BS1138" s="343">
        <f>SUMIFS($AU$134:AU1139,$AB$134:AB1139,"*")</f>
        <v>4577.196666667046</v>
      </c>
      <c r="BT1138" s="343">
        <f>SUMIFS($AU$134:AU1139,$AC$134:AC1139,"*")</f>
        <v>11143.683333333332</v>
      </c>
      <c r="BU1138" s="343">
        <f>SUMIFS($AU$134:AU1139,$AA$134:AA1139,"*",$AB$134:AB1139,"*")</f>
        <v>2838.0000000000864</v>
      </c>
      <c r="BV1138" s="343">
        <f>SUMIFS($AU$134:AU1139,$AA$134:AA1139,"*",$AC$134:AC1139,"*")</f>
        <v>9324.7833333333328</v>
      </c>
      <c r="BW1138" s="343">
        <f>SUMIFS($AU$134:AU1139,$AB$134:AB1139,"*",$AC$134:AC1139,"*")</f>
        <v>6014.6</v>
      </c>
      <c r="BX1138" s="343">
        <f>SUMIFS($AU1139:AU$1388,$Q1139:Q$1388,"F")</f>
        <v>8274.1333333333332</v>
      </c>
      <c r="BY1138" s="343">
        <f>SUMIFS($AU1139:AU$1388,$Q1139:Q$1388,"S")</f>
        <v>3344</v>
      </c>
      <c r="BZ1138" s="343">
        <f>SUMIFS($AU1139:AU$1388,$Q1139:Q$1388,"O")</f>
        <v>-270.85466666682339</v>
      </c>
    </row>
    <row r="1139" spans="1:78" ht="15.75" customHeight="1">
      <c r="A1139" s="221" t="s">
        <v>3942</v>
      </c>
      <c r="B1139" s="177">
        <v>45211</v>
      </c>
      <c r="C1139" s="178" t="s">
        <v>3531</v>
      </c>
      <c r="D1139" s="178" t="s">
        <v>93</v>
      </c>
      <c r="E1139" s="227"/>
      <c r="F1139" s="180"/>
      <c r="G1139" s="281" t="s">
        <v>4091</v>
      </c>
      <c r="H1139" s="182"/>
      <c r="I1139" s="182"/>
      <c r="J1139" s="182"/>
      <c r="K1139" s="183"/>
      <c r="L1139" s="182">
        <v>1</v>
      </c>
      <c r="M1139" s="182"/>
      <c r="N1139" s="182"/>
      <c r="O1139" s="183" t="s">
        <v>3618</v>
      </c>
      <c r="P1139" s="183" t="s">
        <v>2260</v>
      </c>
      <c r="Q1139" s="183" t="s">
        <v>684</v>
      </c>
      <c r="R1139" s="183">
        <v>1</v>
      </c>
      <c r="S1139" s="183">
        <v>0</v>
      </c>
      <c r="T1139" s="183">
        <v>1</v>
      </c>
      <c r="U1139" s="183" t="s">
        <v>22</v>
      </c>
      <c r="V1139" s="183"/>
      <c r="W1139" s="183"/>
      <c r="X1139" s="183"/>
      <c r="Y1139" s="184">
        <f>IF(ISBLANK(O1139),"",(IF(O1139=UPPER("IB"),0.005,0.01)))</f>
        <v>0.01</v>
      </c>
      <c r="Z1139" s="185">
        <f>IF(ISBLANK(O1139),"",IF(O1139="IB",8.63*200,IF(O1139="IR",16*100,IF(O1139="YT",20*100,IF(O1139="YT-XT",24*200,IF(O1139="TED",80*100,IF(O1139="XT",36*200)))))))</f>
        <v>7200</v>
      </c>
      <c r="AA1139" s="185" t="s">
        <v>1552</v>
      </c>
      <c r="AB1139" s="185"/>
      <c r="AC1139" s="185"/>
      <c r="AD1139" s="649">
        <v>95.584999999999994</v>
      </c>
      <c r="AE1139" s="182"/>
      <c r="AF1139" s="332"/>
      <c r="AG1139" s="182"/>
      <c r="AH1139" s="182"/>
      <c r="AI1139" s="182"/>
      <c r="AJ1139" s="640"/>
      <c r="AK1139" s="182"/>
      <c r="AL1139" s="496"/>
      <c r="AM1139" s="496"/>
      <c r="AN1139" s="626"/>
      <c r="AO1139" s="182"/>
      <c r="AP1139" s="182" t="s">
        <v>4092</v>
      </c>
      <c r="AQ1139" s="332" t="str">
        <f>UPPER(RIGHT(Journal_Live[[#This Row],[DURATION ]]))</f>
        <v>M</v>
      </c>
      <c r="AR1139" s="182" t="s">
        <v>4093</v>
      </c>
      <c r="AS1139" s="189">
        <v>95.575000000000003</v>
      </c>
      <c r="AT1139" s="189">
        <f>IF(ISBLANK(AS1139),,IF(U1139="S",AD1139-AS1139,AS1139-AD1139))</f>
        <v>-9.9999999999909051E-3</v>
      </c>
      <c r="AU1139" s="187">
        <f>AV1139*R1139</f>
        <v>-71.999999999934516</v>
      </c>
      <c r="AV1139" s="190">
        <f>IF(ISBLANK(AS1139),,(AT1139*Z1139))</f>
        <v>-71.999999999934516</v>
      </c>
      <c r="AW1139" s="191" t="s">
        <v>229</v>
      </c>
      <c r="AX1139" s="407" t="s">
        <v>4094</v>
      </c>
      <c r="AY1139" s="407" t="s">
        <v>4095</v>
      </c>
      <c r="AZ1139" s="407" t="s">
        <v>4096</v>
      </c>
      <c r="BA1139" s="407" t="s">
        <v>4097</v>
      </c>
      <c r="BB1139" s="407"/>
      <c r="BC1139" s="407"/>
      <c r="BD1139" s="407" t="s">
        <v>4098</v>
      </c>
      <c r="BE1139" s="407" t="s">
        <v>4099</v>
      </c>
      <c r="BF1139" s="422" t="s">
        <v>4100</v>
      </c>
      <c r="BG1139" s="391">
        <f>SUM($AV$4:AV1139)</f>
        <v>4219.5624720486721</v>
      </c>
      <c r="BH1139" s="392">
        <f>SUM($AU$134:AU1139)</f>
        <v>21939.372000000425</v>
      </c>
      <c r="BI1139" s="318">
        <f>SUMIFS($AU$134:AU1140,$Q$134:Q1140,"F")</f>
        <v>6166.5333333333328</v>
      </c>
      <c r="BJ1139" s="318">
        <f>SUMIFS($AU$134:AU1140,$Q$134:Q1140,"S")</f>
        <v>17327.642</v>
      </c>
      <c r="BK1139" s="343">
        <f>SUMIFS($AU$134:AU1140,$P$134:P1140,"W")</f>
        <v>14814.941999999943</v>
      </c>
      <c r="BL1139" s="343">
        <f>SUMIFS($AU$134:AU1140,$P$134:P1140,"R")</f>
        <v>8484.6733333333214</v>
      </c>
      <c r="BM1139" s="343">
        <f>SUMIFS($AU$134:AU1140,$AQ$134:AQ1140,"M")</f>
        <v>2525.4000000001492</v>
      </c>
      <c r="BN1139" s="343">
        <f>SUMIFS($AU$134:AU1140,$AQ$134:AQ1140,"H")</f>
        <v>8201.3420000000642</v>
      </c>
      <c r="BO1139" s="343">
        <f>SUMIFS($AU$134:AU1140,$AQ$134:AQ1140,"D")</f>
        <v>6050.2366666667649</v>
      </c>
      <c r="BP1139" s="343">
        <f>SUMIFS($AU$134:AU1142,$AQ$134:AQ1142,"W")</f>
        <v>3191.7633333332024</v>
      </c>
      <c r="BQ1139" s="343">
        <f>SUMIFS($AU$134:AU1140,$Q$134:Q1140,"O")</f>
        <v>-1450.0033333329097</v>
      </c>
      <c r="BR1139" s="343">
        <f>SUMIFS($AU$134:AU1140,$AA$134:AA1140,"*")</f>
        <v>20148.675333333464</v>
      </c>
      <c r="BS1139" s="343">
        <f>SUMIFS($AU$134:AU1140,$AB$134:AB1140,"*")</f>
        <v>4577.196666667046</v>
      </c>
      <c r="BT1139" s="343">
        <f>SUMIFS($AU$134:AU1140,$AC$134:AC1140,"*")</f>
        <v>11143.683333333332</v>
      </c>
      <c r="BU1139" s="343">
        <f>SUMIFS($AU$134:AU1140,$AA$134:AA1140,"*",$AB$134:AB1140,"*")</f>
        <v>2838.0000000000864</v>
      </c>
      <c r="BV1139" s="343">
        <f>SUMIFS($AU$134:AU1140,$AA$134:AA1140,"*",$AC$134:AC1140,"*")</f>
        <v>9324.7833333333328</v>
      </c>
      <c r="BW1139" s="343">
        <f>SUMIFS($AU$134:AU1140,$AB$134:AB1140,"*",$AC$134:AC1140,"*")</f>
        <v>6014.6</v>
      </c>
      <c r="BX1139" s="343">
        <f>SUMIFS($AU1140:AU$1388,$Q1140:Q$1388,"F")</f>
        <v>8274.1333333333332</v>
      </c>
      <c r="BY1139" s="343">
        <f>SUMIFS($AU1140:AU$1388,$Q1140:Q$1388,"S")</f>
        <v>3344</v>
      </c>
      <c r="BZ1139" s="343">
        <f>SUMIFS($AU1140:AU$1388,$Q1140:Q$1388,"O")</f>
        <v>-198.85466666688887</v>
      </c>
    </row>
    <row r="1140" spans="1:78" ht="15.75" customHeight="1">
      <c r="A1140" s="221" t="s">
        <v>3942</v>
      </c>
      <c r="B1140" s="177"/>
      <c r="C1140" s="178"/>
      <c r="D1140" s="178"/>
      <c r="E1140" s="227"/>
      <c r="F1140" s="180"/>
      <c r="G1140" s="181"/>
      <c r="H1140" s="182"/>
      <c r="I1140" s="182"/>
      <c r="J1140" s="182"/>
      <c r="K1140" s="183"/>
      <c r="L1140" s="182"/>
      <c r="M1140" s="182"/>
      <c r="N1140" s="182"/>
      <c r="O1140" s="183"/>
      <c r="P1140" s="183"/>
      <c r="Q1140" s="183"/>
      <c r="R1140" s="183"/>
      <c r="S1140" s="183"/>
      <c r="T1140" s="183"/>
      <c r="U1140" s="183"/>
      <c r="V1140" s="183"/>
      <c r="W1140" s="183"/>
      <c r="X1140" s="183"/>
      <c r="Y1140" s="183"/>
      <c r="Z1140" s="185" t="str">
        <f>IF(ISBLANK(O1140),"",IF(O1140="IB",8.63*200,IF(O1140="IR",16*100,IF(O1140="YT",20*100,IF(O1140="YT-XT",24*200,IF(O1140="TED",80*100))))))</f>
        <v/>
      </c>
      <c r="AA1140" s="185"/>
      <c r="AB1140" s="185"/>
      <c r="AC1140" s="185"/>
      <c r="AD1140" s="649"/>
      <c r="AE1140" s="182"/>
      <c r="AF1140" s="332"/>
      <c r="AG1140" s="182"/>
      <c r="AH1140" s="182"/>
      <c r="AI1140" s="182"/>
      <c r="AJ1140" s="640"/>
      <c r="AK1140" s="182"/>
      <c r="AL1140" s="496"/>
      <c r="AM1140" s="496"/>
      <c r="AN1140" s="626"/>
      <c r="AO1140" s="182"/>
      <c r="AP1140" s="182"/>
      <c r="AQ1140" s="332" t="str">
        <f>UPPER(RIGHT(Journal_Live[[#This Row],[DURATION ]]))</f>
        <v/>
      </c>
      <c r="AR1140" s="182"/>
      <c r="AS1140" s="189"/>
      <c r="AT1140" s="189"/>
      <c r="AU1140" s="187"/>
      <c r="AV1140" s="190"/>
      <c r="AW1140" s="191"/>
      <c r="AX1140" s="407" t="s">
        <v>4101</v>
      </c>
      <c r="AY1140" s="407" t="s">
        <v>4102</v>
      </c>
      <c r="AZ1140" s="407" t="s">
        <v>4103</v>
      </c>
      <c r="BA1140" s="407"/>
      <c r="BB1140" s="407"/>
      <c r="BC1140" s="407"/>
      <c r="BD1140" s="407"/>
      <c r="BE1140" s="407"/>
      <c r="BF1140" s="422"/>
      <c r="BG1140" s="391">
        <f>SUM($AV$4:AV1140)</f>
        <v>4219.5624720486721</v>
      </c>
      <c r="BH1140" s="392">
        <f>SUM($AU$134:AU1140)</f>
        <v>21939.372000000425</v>
      </c>
      <c r="BI1140" s="318">
        <f>SUMIFS($AU$134:AU1141,$Q$134:Q1141,"F")</f>
        <v>6166.5333333333328</v>
      </c>
      <c r="BJ1140" s="318">
        <f>SUMIFS($AU$134:AU1141,$Q$134:Q1141,"S")</f>
        <v>17327.642</v>
      </c>
      <c r="BK1140" s="343">
        <f>SUMIFS($AU$134:AU1141,$P$134:P1141,"W")</f>
        <v>14814.941999999943</v>
      </c>
      <c r="BL1140" s="343">
        <f>SUMIFS($AU$134:AU1141,$P$134:P1141,"R")</f>
        <v>8484.6733333333214</v>
      </c>
      <c r="BM1140" s="343">
        <f>SUMIFS($AU$134:AU1141,$AQ$134:AQ1141,"M")</f>
        <v>2525.4000000001492</v>
      </c>
      <c r="BN1140" s="343">
        <f>SUMIFS($AU$134:AU1141,$AQ$134:AQ1141,"H")</f>
        <v>8201.3420000000642</v>
      </c>
      <c r="BO1140" s="343">
        <f>SUMIFS($AU$134:AU1141,$AQ$134:AQ1141,"D")</f>
        <v>6050.2366666667649</v>
      </c>
      <c r="BP1140" s="343">
        <f>SUMIFS($AU$134:AU1143,$AQ$134:AQ1143,"W")</f>
        <v>3191.7633333332024</v>
      </c>
      <c r="BQ1140" s="343">
        <f>SUMIFS($AU$134:AU1141,$Q$134:Q1141,"O")</f>
        <v>-1450.0033333329097</v>
      </c>
      <c r="BR1140" s="343">
        <f>SUMIFS($AU$134:AU1141,$AA$134:AA1141,"*")</f>
        <v>20148.675333333464</v>
      </c>
      <c r="BS1140" s="343">
        <f>SUMIFS($AU$134:AU1141,$AB$134:AB1141,"*")</f>
        <v>4577.196666667046</v>
      </c>
      <c r="BT1140" s="343">
        <f>SUMIFS($AU$134:AU1141,$AC$134:AC1141,"*")</f>
        <v>11143.683333333332</v>
      </c>
      <c r="BU1140" s="343">
        <f>SUMIFS($AU$134:AU1141,$AA$134:AA1141,"*",$AB$134:AB1141,"*")</f>
        <v>2838.0000000000864</v>
      </c>
      <c r="BV1140" s="343">
        <f>SUMIFS($AU$134:AU1141,$AA$134:AA1141,"*",$AC$134:AC1141,"*")</f>
        <v>9324.7833333333328</v>
      </c>
      <c r="BW1140" s="343">
        <f>SUMIFS($AU$134:AU1141,$AB$134:AB1141,"*",$AC$134:AC1141,"*")</f>
        <v>6014.6</v>
      </c>
      <c r="BX1140" s="343">
        <f>SUMIFS($AU1141:AU$1388,$Q1141:Q$1388,"F")</f>
        <v>8274.1333333333332</v>
      </c>
      <c r="BY1140" s="343">
        <f>SUMIFS($AU1141:AU$1388,$Q1141:Q$1388,"S")</f>
        <v>3344</v>
      </c>
      <c r="BZ1140" s="343">
        <f>SUMIFS($AU1141:AU$1388,$Q1141:Q$1388,"O")</f>
        <v>-198.85466666688887</v>
      </c>
    </row>
    <row r="1141" spans="1:78" ht="15.75" customHeight="1">
      <c r="A1141" s="221" t="s">
        <v>3942</v>
      </c>
      <c r="B1141" s="177">
        <v>45216</v>
      </c>
      <c r="C1141" s="178" t="s">
        <v>177</v>
      </c>
      <c r="D1141" s="178" t="s">
        <v>146</v>
      </c>
      <c r="E1141" s="227"/>
      <c r="F1141" s="180"/>
      <c r="G1141" s="181" t="s">
        <v>3334</v>
      </c>
      <c r="H1141" s="182"/>
      <c r="I1141" s="182"/>
      <c r="J1141" s="182"/>
      <c r="K1141" s="183"/>
      <c r="L1141" s="182">
        <v>1</v>
      </c>
      <c r="M1141" s="182"/>
      <c r="N1141" s="182"/>
      <c r="O1141" s="183"/>
      <c r="P1141" s="183"/>
      <c r="Q1141" s="183"/>
      <c r="R1141" s="183"/>
      <c r="S1141" s="183"/>
      <c r="T1141" s="183"/>
      <c r="U1141" s="183"/>
      <c r="V1141" s="183"/>
      <c r="W1141" s="183"/>
      <c r="X1141" s="183"/>
      <c r="Y1141" s="184"/>
      <c r="Z1141" s="185"/>
      <c r="AA1141" s="185"/>
      <c r="AB1141" s="185"/>
      <c r="AC1141" s="185"/>
      <c r="AD1141" s="649"/>
      <c r="AE1141" s="182"/>
      <c r="AF1141" s="332"/>
      <c r="AG1141" s="182"/>
      <c r="AH1141" s="182"/>
      <c r="AI1141" s="182"/>
      <c r="AJ1141" s="640"/>
      <c r="AK1141" s="182"/>
      <c r="AL1141" s="496">
        <f t="shared" ref="AL1141" si="332">-0.03*Z1141</f>
        <v>0</v>
      </c>
      <c r="AM1141" s="496">
        <f>AL1141*(R1141-S1141)</f>
        <v>0</v>
      </c>
      <c r="AN1141" s="626"/>
      <c r="AO1141" s="182"/>
      <c r="AP1141" s="182"/>
      <c r="AQ1141" s="332" t="str">
        <f>UPPER(RIGHT(Journal_Live[[#This Row],[DURATION ]]))</f>
        <v/>
      </c>
      <c r="AR1141" s="182"/>
      <c r="AS1141" s="189"/>
      <c r="AT1141" s="189"/>
      <c r="AU1141" s="187"/>
      <c r="AV1141" s="190"/>
      <c r="AW1141" s="191"/>
      <c r="AX1141" s="407"/>
      <c r="AY1141" s="407"/>
      <c r="AZ1141" s="407"/>
      <c r="BA1141" s="407"/>
      <c r="BB1141" s="407"/>
      <c r="BC1141" s="407"/>
      <c r="BD1141" s="407"/>
      <c r="BE1141" s="407"/>
      <c r="BF1141" s="422"/>
      <c r="BG1141" s="391">
        <f>SUM($AV$4:AV1141)</f>
        <v>4219.5624720486721</v>
      </c>
      <c r="BH1141" s="392">
        <f>SUM($AU$134:AU1141)</f>
        <v>21939.372000000425</v>
      </c>
      <c r="BI1141" s="318">
        <f>SUMIFS($AU$134:AU1142,$Q$134:Q1142,"F")</f>
        <v>6166.5333333333328</v>
      </c>
      <c r="BJ1141" s="318">
        <f>SUMIFS($AU$134:AU1142,$Q$134:Q1142,"S")</f>
        <v>17327.642</v>
      </c>
      <c r="BK1141" s="343">
        <f>SUMIFS($AU$134:AU1142,$P$134:P1142,"W")</f>
        <v>14814.941999999943</v>
      </c>
      <c r="BL1141" s="343">
        <f>SUMIFS($AU$134:AU1142,$P$134:P1142,"R")</f>
        <v>8484.6733333333214</v>
      </c>
      <c r="BM1141" s="343">
        <f>SUMIFS($AU$134:AU1142,$AQ$134:AQ1142,"M")</f>
        <v>2525.4000000001492</v>
      </c>
      <c r="BN1141" s="343">
        <f>SUMIFS($AU$134:AU1142,$AQ$134:AQ1142,"H")</f>
        <v>8201.3420000000642</v>
      </c>
      <c r="BO1141" s="343">
        <f>SUMIFS($AU$134:AU1142,$AQ$134:AQ1142,"D")</f>
        <v>6050.2366666667649</v>
      </c>
      <c r="BP1141" s="343">
        <f>SUMIFS($AU$134:AU1144,$AQ$134:AQ1144,"W")</f>
        <v>3191.7633333332024</v>
      </c>
      <c r="BQ1141" s="343">
        <f>SUMIFS($AU$134:AU1142,$Q$134:Q1142,"O")</f>
        <v>-1450.0033333329097</v>
      </c>
      <c r="BR1141" s="343">
        <f>SUMIFS($AU$134:AU1142,$AA$134:AA1142,"*")</f>
        <v>20148.675333333464</v>
      </c>
      <c r="BS1141" s="343">
        <f>SUMIFS($AU$134:AU1142,$AB$134:AB1142,"*")</f>
        <v>4577.196666667046</v>
      </c>
      <c r="BT1141" s="343">
        <f>SUMIFS($AU$134:AU1142,$AC$134:AC1142,"*")</f>
        <v>11143.683333333332</v>
      </c>
      <c r="BU1141" s="343">
        <f>SUMIFS($AU$134:AU1142,$AA$134:AA1142,"*",$AB$134:AB1142,"*")</f>
        <v>2838.0000000000864</v>
      </c>
      <c r="BV1141" s="343">
        <f>SUMIFS($AU$134:AU1142,$AA$134:AA1142,"*",$AC$134:AC1142,"*")</f>
        <v>9324.7833333333328</v>
      </c>
      <c r="BW1141" s="343">
        <f>SUMIFS($AU$134:AU1142,$AB$134:AB1142,"*",$AC$134:AC1142,"*")</f>
        <v>6014.6</v>
      </c>
      <c r="BX1141" s="343">
        <f>SUMIFS($AU1142:AU$1388,$Q1142:Q$1388,"F")</f>
        <v>8274.1333333333332</v>
      </c>
      <c r="BY1141" s="343">
        <f>SUMIFS($AU1142:AU$1388,$Q1142:Q$1388,"S")</f>
        <v>3344</v>
      </c>
      <c r="BZ1141" s="343">
        <f>SUMIFS($AU1142:AU$1388,$Q1142:Q$1388,"O")</f>
        <v>-198.85466666688887</v>
      </c>
    </row>
    <row r="1142" spans="1:78" ht="15.75" customHeight="1">
      <c r="A1142" s="221" t="s">
        <v>3942</v>
      </c>
      <c r="B1142" s="177">
        <v>45216</v>
      </c>
      <c r="C1142" s="178" t="s">
        <v>1437</v>
      </c>
      <c r="D1142" s="178" t="s">
        <v>146</v>
      </c>
      <c r="E1142" s="227" t="s">
        <v>4104</v>
      </c>
      <c r="F1142" s="180"/>
      <c r="G1142" s="181"/>
      <c r="H1142" s="182"/>
      <c r="I1142" s="182"/>
      <c r="J1142" s="182"/>
      <c r="K1142" s="183"/>
      <c r="L1142" s="182"/>
      <c r="M1142" s="182"/>
      <c r="N1142" s="182"/>
      <c r="O1142" s="183"/>
      <c r="P1142" s="183"/>
      <c r="Q1142" s="183"/>
      <c r="R1142" s="183"/>
      <c r="S1142" s="183"/>
      <c r="T1142" s="183"/>
      <c r="U1142" s="183"/>
      <c r="V1142" s="183"/>
      <c r="W1142" s="183"/>
      <c r="X1142" s="183"/>
      <c r="Y1142" s="183"/>
      <c r="Z1142" s="185" t="str">
        <f>IF(ISBLANK(O1142),"",IF(O1142="IB",8.63*200,IF(O1142="IR",16*100,IF(O1142="YT",20*100,IF(O1142="YT-XT",24*200,IF(O1142="TED",80*100))))))</f>
        <v/>
      </c>
      <c r="AA1142" s="185"/>
      <c r="AB1142" s="185"/>
      <c r="AC1142" s="185"/>
      <c r="AD1142" s="649"/>
      <c r="AE1142" s="182"/>
      <c r="AF1142" s="332"/>
      <c r="AG1142" s="182"/>
      <c r="AH1142" s="182"/>
      <c r="AI1142" s="182"/>
      <c r="AJ1142" s="640"/>
      <c r="AK1142" s="182"/>
      <c r="AL1142" s="496"/>
      <c r="AM1142" s="496"/>
      <c r="AN1142" s="626"/>
      <c r="AO1142" s="182"/>
      <c r="AP1142" s="182"/>
      <c r="AQ1142" s="332" t="str">
        <f>UPPER(RIGHT(Journal_Live[[#This Row],[DURATION ]]))</f>
        <v/>
      </c>
      <c r="AR1142" s="182"/>
      <c r="AS1142" s="189"/>
      <c r="AT1142" s="189"/>
      <c r="AU1142" s="187"/>
      <c r="AV1142" s="190"/>
      <c r="AW1142" s="191"/>
      <c r="AX1142" s="407" t="s">
        <v>4105</v>
      </c>
      <c r="AY1142" s="407" t="s">
        <v>4106</v>
      </c>
      <c r="AZ1142" s="407" t="s">
        <v>4107</v>
      </c>
      <c r="BA1142" s="407"/>
      <c r="BB1142" s="407"/>
      <c r="BC1142" s="407"/>
      <c r="BD1142" s="407"/>
      <c r="BE1142" s="407"/>
      <c r="BF1142" s="422"/>
      <c r="BG1142" s="391">
        <f>SUM($AV$4:AV1142)</f>
        <v>4219.5624720486721</v>
      </c>
      <c r="BH1142" s="392">
        <f>SUM($AU$134:AU1142)</f>
        <v>21939.372000000425</v>
      </c>
      <c r="BI1142" s="318">
        <f>SUMIFS($AU$134:AU1143,$Q$134:Q1143,"F")</f>
        <v>6166.5333333333328</v>
      </c>
      <c r="BJ1142" s="318">
        <f>SUMIFS($AU$134:AU1143,$Q$134:Q1143,"S")</f>
        <v>16751.642</v>
      </c>
      <c r="BK1142" s="343">
        <f>SUMIFS($AU$134:AU1143,$P$134:P1143,"W")</f>
        <v>14238.941999999943</v>
      </c>
      <c r="BL1142" s="343">
        <f>SUMIFS($AU$134:AU1143,$P$134:P1143,"R")</f>
        <v>8484.6733333333214</v>
      </c>
      <c r="BM1142" s="343">
        <f>SUMIFS($AU$134:AU1143,$AQ$134:AQ1143,"M")</f>
        <v>2525.4000000001492</v>
      </c>
      <c r="BN1142" s="343">
        <f>SUMIFS($AU$134:AU1143,$AQ$134:AQ1143,"H")</f>
        <v>8201.3420000000642</v>
      </c>
      <c r="BO1142" s="343">
        <f>SUMIFS($AU$134:AU1143,$AQ$134:AQ1143,"D")</f>
        <v>5474.2366666667649</v>
      </c>
      <c r="BP1142" s="343">
        <f>SUMIFS($AU$134:AU1145,$AQ$134:AQ1145,"W")</f>
        <v>3191.7633333332024</v>
      </c>
      <c r="BQ1142" s="343">
        <f>SUMIFS($AU$134:AU1143,$Q$134:Q1143,"O")</f>
        <v>-1450.0033333329097</v>
      </c>
      <c r="BR1142" s="343">
        <f>SUMIFS($AU$134:AU1143,$AA$134:AA1143,"*")</f>
        <v>19572.675333333464</v>
      </c>
      <c r="BS1142" s="343">
        <f>SUMIFS($AU$134:AU1143,$AB$134:AB1143,"*")</f>
        <v>4577.196666667046</v>
      </c>
      <c r="BT1142" s="343">
        <f>SUMIFS($AU$134:AU1143,$AC$134:AC1143,"*")</f>
        <v>11143.683333333332</v>
      </c>
      <c r="BU1142" s="343">
        <f>SUMIFS($AU$134:AU1143,$AA$134:AA1143,"*",$AB$134:AB1143,"*")</f>
        <v>2838.0000000000864</v>
      </c>
      <c r="BV1142" s="343">
        <f>SUMIFS($AU$134:AU1143,$AA$134:AA1143,"*",$AC$134:AC1143,"*")</f>
        <v>9324.7833333333328</v>
      </c>
      <c r="BW1142" s="343">
        <f>SUMIFS($AU$134:AU1143,$AB$134:AB1143,"*",$AC$134:AC1143,"*")</f>
        <v>6014.6</v>
      </c>
      <c r="BX1142" s="343">
        <f>SUMIFS($AU1143:AU$1388,$Q1143:Q$1388,"F")</f>
        <v>8274.1333333333332</v>
      </c>
      <c r="BY1142" s="343">
        <f>SUMIFS($AU1143:AU$1388,$Q1143:Q$1388,"S")</f>
        <v>3344</v>
      </c>
      <c r="BZ1142" s="343">
        <f>SUMIFS($AU1143:AU$1388,$Q1143:Q$1388,"O")</f>
        <v>-198.85466666688887</v>
      </c>
    </row>
    <row r="1143" spans="1:78" ht="15.75" customHeight="1">
      <c r="A1143" s="221" t="s">
        <v>3942</v>
      </c>
      <c r="B1143" s="177">
        <v>45216</v>
      </c>
      <c r="C1143" s="178" t="s">
        <v>1377</v>
      </c>
      <c r="D1143" s="178" t="s">
        <v>146</v>
      </c>
      <c r="E1143" s="227"/>
      <c r="F1143" s="180"/>
      <c r="G1143" s="281" t="s">
        <v>2145</v>
      </c>
      <c r="H1143" s="182"/>
      <c r="I1143" s="182"/>
      <c r="J1143" s="182"/>
      <c r="K1143" s="183"/>
      <c r="L1143" s="182">
        <v>1</v>
      </c>
      <c r="M1143" s="182"/>
      <c r="N1143" s="182"/>
      <c r="O1143" s="183" t="s">
        <v>95</v>
      </c>
      <c r="P1143" s="183" t="s">
        <v>96</v>
      </c>
      <c r="Q1143" s="183" t="s">
        <v>97</v>
      </c>
      <c r="R1143" s="183">
        <v>10</v>
      </c>
      <c r="S1143" s="183">
        <v>8</v>
      </c>
      <c r="T1143" s="183">
        <v>5</v>
      </c>
      <c r="U1143" s="183" t="s">
        <v>97</v>
      </c>
      <c r="V1143" s="183"/>
      <c r="W1143" s="183"/>
      <c r="X1143" s="183"/>
      <c r="Y1143" s="184">
        <f>IF(ISBLANK(O1143),"",(IF(O1143=UPPER("IB"),0.005,0.01)))</f>
        <v>0.01</v>
      </c>
      <c r="Z1143" s="185">
        <f>IF(ISBLANK(O1143),"",IF(O1143="IB",8.63*200,IF(O1143="IR",16*100,IF(O1143="YT",20*100,IF(O1143="YT-XT",24*200,IF(O1143="TED",80*100))))))</f>
        <v>1600</v>
      </c>
      <c r="AA1143" s="185" t="s">
        <v>4108</v>
      </c>
      <c r="AB1143" s="185"/>
      <c r="AC1143" s="185"/>
      <c r="AD1143" s="649">
        <v>0.12</v>
      </c>
      <c r="AE1143" s="182"/>
      <c r="AF1143" s="332"/>
      <c r="AG1143" s="182"/>
      <c r="AH1143" s="182"/>
      <c r="AI1143" s="182"/>
      <c r="AJ1143" s="640"/>
      <c r="AK1143" s="182"/>
      <c r="AL1143" s="496"/>
      <c r="AM1143" s="496"/>
      <c r="AN1143" s="626"/>
      <c r="AO1143" s="182"/>
      <c r="AP1143" s="182" t="s">
        <v>770</v>
      </c>
      <c r="AQ1143" s="332" t="str">
        <f>UPPER(RIGHT(Journal_Live[[#This Row],[DURATION ]]))</f>
        <v>D</v>
      </c>
      <c r="AR1143" s="182" t="s">
        <v>4109</v>
      </c>
      <c r="AS1143" s="189">
        <f>(0.12*2+0.16*4+0.17*2+0.17*2)/10</f>
        <v>0.156</v>
      </c>
      <c r="AT1143" s="189">
        <f>IF(ISBLANK(AS1143),,IF(U1143="S",AD1143-AS1143,AS1143-AD1143))</f>
        <v>-3.6000000000000004E-2</v>
      </c>
      <c r="AU1143" s="187">
        <f>AV1143*R1143</f>
        <v>-576.00000000000011</v>
      </c>
      <c r="AV1143" s="190">
        <f>IF(ISBLANK(AS1143),,(AT1143*Z1143))</f>
        <v>-57.600000000000009</v>
      </c>
      <c r="AW1143" s="191" t="s">
        <v>229</v>
      </c>
      <c r="AX1143" s="407"/>
      <c r="AY1143" s="407"/>
      <c r="AZ1143" s="407"/>
      <c r="BA1143" s="407"/>
      <c r="BB1143" s="407"/>
      <c r="BC1143" s="407"/>
      <c r="BD1143" s="407"/>
      <c r="BE1143" s="407"/>
      <c r="BF1143" s="422"/>
      <c r="BG1143" s="391">
        <f>SUM($AV$4:AV1143)</f>
        <v>4161.9624720486718</v>
      </c>
      <c r="BH1143" s="392">
        <f>SUM($AU$134:AU1143)</f>
        <v>21363.372000000425</v>
      </c>
      <c r="BI1143" s="318">
        <f>SUMIFS($AU$134:AU1144,$Q$134:Q1144,"F")</f>
        <v>6166.5333333333328</v>
      </c>
      <c r="BJ1143" s="318">
        <f>SUMIFS($AU$134:AU1144,$Q$134:Q1144,"S")</f>
        <v>16367.642</v>
      </c>
      <c r="BK1143" s="343">
        <f>SUMIFS($AU$134:AU1144,$P$134:P1144,"W")</f>
        <v>13854.941999999943</v>
      </c>
      <c r="BL1143" s="343">
        <f>SUMIFS($AU$134:AU1144,$P$134:P1144,"R")</f>
        <v>8484.6733333333214</v>
      </c>
      <c r="BM1143" s="343">
        <f>SUMIFS($AU$134:AU1144,$AQ$134:AQ1144,"M")</f>
        <v>2525.4000000001492</v>
      </c>
      <c r="BN1143" s="343">
        <f>SUMIFS($AU$134:AU1144,$AQ$134:AQ1144,"H")</f>
        <v>8201.3420000000642</v>
      </c>
      <c r="BO1143" s="343">
        <f>SUMIFS($AU$134:AU1144,$AQ$134:AQ1144,"D")</f>
        <v>5090.2366666667649</v>
      </c>
      <c r="BP1143" s="343">
        <f>SUMIFS($AU$134:AU1146,$AQ$134:AQ1146,"W")</f>
        <v>3191.7633333332024</v>
      </c>
      <c r="BQ1143" s="343">
        <f>SUMIFS($AU$134:AU1144,$Q$134:Q1144,"O")</f>
        <v>-1450.0033333329097</v>
      </c>
      <c r="BR1143" s="343">
        <f>SUMIFS($AU$134:AU1144,$AA$134:AA1144,"*")</f>
        <v>19188.675333333464</v>
      </c>
      <c r="BS1143" s="343">
        <f>SUMIFS($AU$134:AU1144,$AB$134:AB1144,"*")</f>
        <v>4577.196666667046</v>
      </c>
      <c r="BT1143" s="343">
        <f>SUMIFS($AU$134:AU1144,$AC$134:AC1144,"*")</f>
        <v>11143.683333333332</v>
      </c>
      <c r="BU1143" s="343">
        <f>SUMIFS($AU$134:AU1144,$AA$134:AA1144,"*",$AB$134:AB1144,"*")</f>
        <v>2838.0000000000864</v>
      </c>
      <c r="BV1143" s="343">
        <f>SUMIFS($AU$134:AU1144,$AA$134:AA1144,"*",$AC$134:AC1144,"*")</f>
        <v>9324.7833333333328</v>
      </c>
      <c r="BW1143" s="343">
        <f>SUMIFS($AU$134:AU1144,$AB$134:AB1144,"*",$AC$134:AC1144,"*")</f>
        <v>6014.6</v>
      </c>
      <c r="BX1143" s="343">
        <f>SUMIFS($AU1144:AU$1388,$Q1144:Q$1388,"F")</f>
        <v>8274.1333333333332</v>
      </c>
      <c r="BY1143" s="343">
        <f>SUMIFS($AU1144:AU$1388,$Q1144:Q$1388,"S")</f>
        <v>3920</v>
      </c>
      <c r="BZ1143" s="343">
        <f>SUMIFS($AU1144:AU$1388,$Q1144:Q$1388,"O")</f>
        <v>-198.85466666688887</v>
      </c>
    </row>
    <row r="1144" spans="1:78" ht="15.75" customHeight="1">
      <c r="A1144" s="221" t="s">
        <v>3942</v>
      </c>
      <c r="B1144" s="177">
        <v>45216</v>
      </c>
      <c r="C1144" s="178" t="s">
        <v>4110</v>
      </c>
      <c r="D1144" s="178" t="s">
        <v>146</v>
      </c>
      <c r="E1144" s="227"/>
      <c r="F1144" s="180"/>
      <c r="G1144" s="281" t="s">
        <v>181</v>
      </c>
      <c r="H1144" s="182"/>
      <c r="I1144" s="182"/>
      <c r="J1144" s="182"/>
      <c r="K1144" s="183"/>
      <c r="L1144" s="182">
        <v>1</v>
      </c>
      <c r="M1144" s="182">
        <v>1</v>
      </c>
      <c r="N1144" s="182"/>
      <c r="O1144" s="183" t="s">
        <v>95</v>
      </c>
      <c r="P1144" s="183" t="s">
        <v>96</v>
      </c>
      <c r="Q1144" s="183" t="s">
        <v>97</v>
      </c>
      <c r="R1144" s="183">
        <v>8</v>
      </c>
      <c r="S1144" s="183">
        <v>0</v>
      </c>
      <c r="T1144" s="183">
        <v>2</v>
      </c>
      <c r="U1144" s="183" t="s">
        <v>97</v>
      </c>
      <c r="V1144" s="183"/>
      <c r="W1144" s="183"/>
      <c r="X1144" s="183"/>
      <c r="Y1144" s="184">
        <f>IF(ISBLANK(O1144),"",(IF(O1144=UPPER("IB"),0.005,0.01)))</f>
        <v>0.01</v>
      </c>
      <c r="Z1144" s="185">
        <f>IF(ISBLANK(O1144),"",IF(O1144="IB",8.63*200,IF(O1144="IR",16*100,IF(O1144="YT",20*100,IF(O1144="YT-XT",24*200,IF(O1144="TED",80*100))))))</f>
        <v>1600</v>
      </c>
      <c r="AA1144" s="185" t="s">
        <v>4111</v>
      </c>
      <c r="AB1144" s="185"/>
      <c r="AC1144" s="185"/>
      <c r="AD1144" s="649">
        <v>0.03</v>
      </c>
      <c r="AE1144" s="182"/>
      <c r="AF1144" s="332"/>
      <c r="AG1144" s="182"/>
      <c r="AH1144" s="182"/>
      <c r="AI1144" s="182"/>
      <c r="AJ1144" s="640"/>
      <c r="AK1144" s="182"/>
      <c r="AL1144" s="496">
        <f t="shared" ref="AL1144:AL1146" si="333">-0.03*Z1144</f>
        <v>-48</v>
      </c>
      <c r="AM1144" s="496">
        <f>AL1144*(R1144-S1144)</f>
        <v>-384</v>
      </c>
      <c r="AN1144" s="626"/>
      <c r="AO1144" s="182"/>
      <c r="AP1144" s="182" t="s">
        <v>804</v>
      </c>
      <c r="AQ1144" s="332" t="str">
        <f>UPPER(RIGHT(Journal_Live[[#This Row],[DURATION ]]))</f>
        <v>D</v>
      </c>
      <c r="AR1144" s="182" t="s">
        <v>4112</v>
      </c>
      <c r="AS1144" s="189">
        <v>0.06</v>
      </c>
      <c r="AT1144" s="189">
        <f>IF(ISBLANK(AS1144),,IF(U1144="S",AD1144-AS1144,AS1144-AD1144))</f>
        <v>-0.03</v>
      </c>
      <c r="AU1144" s="187">
        <f>AV1144*R1144</f>
        <v>-384</v>
      </c>
      <c r="AV1144" s="190">
        <f>IF(ISBLANK(AS1144),,(AT1144*Z1144))</f>
        <v>-48</v>
      </c>
      <c r="AW1144" s="191" t="s">
        <v>229</v>
      </c>
      <c r="AX1144" s="407" t="s">
        <v>4113</v>
      </c>
      <c r="AY1144" s="407"/>
      <c r="AZ1144" s="407"/>
      <c r="BA1144" s="407"/>
      <c r="BB1144" s="407"/>
      <c r="BC1144" s="407"/>
      <c r="BD1144" s="407"/>
      <c r="BE1144" s="407"/>
      <c r="BF1144" s="422"/>
      <c r="BG1144" s="391">
        <f>SUM($AV$4:AV1144)</f>
        <v>4113.9624720486718</v>
      </c>
      <c r="BH1144" s="392">
        <f>SUM($AU$134:AU1144)</f>
        <v>20979.372000000425</v>
      </c>
      <c r="BI1144" s="318">
        <f>SUMIFS($AU$134:AU1145,$Q$134:Q1145,"F")</f>
        <v>6166.5333333333328</v>
      </c>
      <c r="BJ1144" s="318">
        <f>SUMIFS($AU$134:AU1145,$Q$134:Q1145,"S")</f>
        <v>16415.642</v>
      </c>
      <c r="BK1144" s="343">
        <f>SUMIFS($AU$134:AU1145,$P$134:P1145,"W")</f>
        <v>13902.941999999943</v>
      </c>
      <c r="BL1144" s="343">
        <f>SUMIFS($AU$134:AU1145,$P$134:P1145,"R")</f>
        <v>8484.6733333333214</v>
      </c>
      <c r="BM1144" s="343">
        <f>SUMIFS($AU$134:AU1145,$AQ$134:AQ1145,"M")</f>
        <v>2573.4000000001492</v>
      </c>
      <c r="BN1144" s="343">
        <f>SUMIFS($AU$134:AU1145,$AQ$134:AQ1145,"H")</f>
        <v>8201.3420000000642</v>
      </c>
      <c r="BO1144" s="343">
        <f>SUMIFS($AU$134:AU1145,$AQ$134:AQ1145,"D")</f>
        <v>5090.2366666667649</v>
      </c>
      <c r="BP1144" s="343">
        <f>SUMIFS($AU$134:AU1147,$AQ$134:AQ1147,"W")</f>
        <v>3191.7633333332024</v>
      </c>
      <c r="BQ1144" s="343">
        <f>SUMIFS($AU$134:AU1145,$Q$134:Q1145,"O")</f>
        <v>-1450.0033333329097</v>
      </c>
      <c r="BR1144" s="343">
        <f>SUMIFS($AU$134:AU1145,$AA$134:AA1145,"*")</f>
        <v>19236.675333333464</v>
      </c>
      <c r="BS1144" s="343">
        <f>SUMIFS($AU$134:AU1145,$AB$134:AB1145,"*")</f>
        <v>4577.196666667046</v>
      </c>
      <c r="BT1144" s="343">
        <f>SUMIFS($AU$134:AU1145,$AC$134:AC1145,"*")</f>
        <v>11143.683333333332</v>
      </c>
      <c r="BU1144" s="343">
        <f>SUMIFS($AU$134:AU1145,$AA$134:AA1145,"*",$AB$134:AB1145,"*")</f>
        <v>2838.0000000000864</v>
      </c>
      <c r="BV1144" s="343">
        <f>SUMIFS($AU$134:AU1145,$AA$134:AA1145,"*",$AC$134:AC1145,"*")</f>
        <v>9324.7833333333328</v>
      </c>
      <c r="BW1144" s="343">
        <f>SUMIFS($AU$134:AU1145,$AB$134:AB1145,"*",$AC$134:AC1145,"*")</f>
        <v>6014.6</v>
      </c>
      <c r="BX1144" s="343">
        <f>SUMIFS($AU1145:AU$1388,$Q1145:Q$1388,"F")</f>
        <v>8274.1333333333332</v>
      </c>
      <c r="BY1144" s="343">
        <f>SUMIFS($AU1145:AU$1388,$Q1145:Q$1388,"S")</f>
        <v>4304.0000000000009</v>
      </c>
      <c r="BZ1144" s="343">
        <f>SUMIFS($AU1145:AU$1388,$Q1145:Q$1388,"O")</f>
        <v>-198.85466666688887</v>
      </c>
    </row>
    <row r="1145" spans="1:78" ht="15.75" customHeight="1">
      <c r="A1145" s="221" t="s">
        <v>3942</v>
      </c>
      <c r="B1145" s="177">
        <v>45216</v>
      </c>
      <c r="C1145" s="178" t="s">
        <v>2020</v>
      </c>
      <c r="D1145" s="178" t="s">
        <v>146</v>
      </c>
      <c r="E1145" s="227"/>
      <c r="F1145" s="180"/>
      <c r="G1145" s="281" t="s">
        <v>4114</v>
      </c>
      <c r="H1145" s="182"/>
      <c r="I1145" s="182"/>
      <c r="J1145" s="182"/>
      <c r="K1145" s="183"/>
      <c r="L1145" s="182">
        <v>1</v>
      </c>
      <c r="M1145" s="182"/>
      <c r="N1145" s="182"/>
      <c r="O1145" s="183" t="s">
        <v>95</v>
      </c>
      <c r="P1145" s="183" t="s">
        <v>96</v>
      </c>
      <c r="Q1145" s="183" t="s">
        <v>97</v>
      </c>
      <c r="R1145" s="183">
        <v>3</v>
      </c>
      <c r="S1145" s="183">
        <v>0</v>
      </c>
      <c r="T1145" s="183">
        <v>3</v>
      </c>
      <c r="U1145" s="183" t="s">
        <v>97</v>
      </c>
      <c r="V1145" s="183"/>
      <c r="W1145" s="183"/>
      <c r="X1145" s="183"/>
      <c r="Y1145" s="184">
        <f>IF(ISBLANK(O1145),"",(IF(O1145=UPPER("IB"),0.005,0.01)))</f>
        <v>0.01</v>
      </c>
      <c r="Z1145" s="185">
        <f>IF(ISBLANK(O1145),"",IF(O1145="IB",8.63*200,IF(O1145="IR",16*100,IF(O1145="YT",20*100,IF(O1145="YT-XT",24*200,IF(O1145="TED",80*100))))))</f>
        <v>1600</v>
      </c>
      <c r="AA1145" s="185" t="s">
        <v>1824</v>
      </c>
      <c r="AB1145" s="185"/>
      <c r="AC1145" s="185"/>
      <c r="AD1145" s="649">
        <v>0.15</v>
      </c>
      <c r="AE1145" s="182"/>
      <c r="AF1145" s="332"/>
      <c r="AG1145" s="182"/>
      <c r="AH1145" s="182"/>
      <c r="AI1145" s="182"/>
      <c r="AJ1145" s="640"/>
      <c r="AK1145" s="182"/>
      <c r="AL1145" s="496"/>
      <c r="AM1145" s="496"/>
      <c r="AN1145" s="626"/>
      <c r="AO1145" s="182"/>
      <c r="AP1145" s="182" t="s">
        <v>3447</v>
      </c>
      <c r="AQ1145" s="332" t="str">
        <f>UPPER(RIGHT(Journal_Live[[#This Row],[DURATION ]]))</f>
        <v>M</v>
      </c>
      <c r="AR1145" s="182" t="s">
        <v>3276</v>
      </c>
      <c r="AS1145" s="189">
        <v>0.14000000000000001</v>
      </c>
      <c r="AT1145" s="189">
        <f>IF(ISBLANK(AS1145),,IF(U1145="S",AD1145-AS1145,AS1145-AD1145))</f>
        <v>9.9999999999999811E-3</v>
      </c>
      <c r="AU1145" s="187">
        <f>AV1145*R1145</f>
        <v>47.999999999999908</v>
      </c>
      <c r="AV1145" s="190">
        <f>IF(ISBLANK(AS1145),,(AT1145*Z1145))</f>
        <v>15.99999999999997</v>
      </c>
      <c r="AW1145" s="191" t="s">
        <v>96</v>
      </c>
      <c r="AX1145" s="407"/>
      <c r="AY1145" s="407"/>
      <c r="AZ1145" s="407"/>
      <c r="BA1145" s="407"/>
      <c r="BB1145" s="407"/>
      <c r="BC1145" s="407"/>
      <c r="BD1145" s="407"/>
      <c r="BE1145" s="407"/>
      <c r="BF1145" s="422"/>
      <c r="BG1145" s="391">
        <f>SUM($AV$4:AV1145)</f>
        <v>4129.9624720486718</v>
      </c>
      <c r="BH1145" s="392">
        <f>SUM($AU$134:AU1145)</f>
        <v>21027.372000000425</v>
      </c>
      <c r="BI1145" s="318">
        <f>SUMIFS($AU$134:AU1146,$Q$134:Q1146,"F")</f>
        <v>6166.5333333333328</v>
      </c>
      <c r="BJ1145" s="318">
        <f>SUMIFS($AU$134:AU1146,$Q$134:Q1146,"S")</f>
        <v>16415.642</v>
      </c>
      <c r="BK1145" s="343">
        <f>SUMIFS($AU$134:AU1146,$P$134:P1146,"W")</f>
        <v>13902.941999999943</v>
      </c>
      <c r="BL1145" s="343">
        <f>SUMIFS($AU$134:AU1146,$P$134:P1146,"R")</f>
        <v>8484.6733333333214</v>
      </c>
      <c r="BM1145" s="343">
        <f>SUMIFS($AU$134:AU1146,$AQ$134:AQ1146,"M")</f>
        <v>2573.4000000001492</v>
      </c>
      <c r="BN1145" s="343">
        <f>SUMIFS($AU$134:AU1146,$AQ$134:AQ1146,"H")</f>
        <v>8201.3420000000642</v>
      </c>
      <c r="BO1145" s="343">
        <f>SUMIFS($AU$134:AU1146,$AQ$134:AQ1146,"D")</f>
        <v>5090.2366666667649</v>
      </c>
      <c r="BP1145" s="343">
        <f>SUMIFS($AU$134:AU1148,$AQ$134:AQ1148,"W")</f>
        <v>3191.7633333332024</v>
      </c>
      <c r="BQ1145" s="343">
        <f>SUMIFS($AU$134:AU1146,$Q$134:Q1146,"O")</f>
        <v>-1450.0033333329097</v>
      </c>
      <c r="BR1145" s="343">
        <f>SUMIFS($AU$134:AU1146,$AA$134:AA1146,"*")</f>
        <v>19236.675333333464</v>
      </c>
      <c r="BS1145" s="343">
        <f>SUMIFS($AU$134:AU1146,$AB$134:AB1146,"*")</f>
        <v>4577.196666667046</v>
      </c>
      <c r="BT1145" s="343">
        <f>SUMIFS($AU$134:AU1146,$AC$134:AC1146,"*")</f>
        <v>11143.683333333332</v>
      </c>
      <c r="BU1145" s="343">
        <f>SUMIFS($AU$134:AU1146,$AA$134:AA1146,"*",$AB$134:AB1146,"*")</f>
        <v>2838.0000000000864</v>
      </c>
      <c r="BV1145" s="343">
        <f>SUMIFS($AU$134:AU1146,$AA$134:AA1146,"*",$AC$134:AC1146,"*")</f>
        <v>9324.7833333333328</v>
      </c>
      <c r="BW1145" s="343">
        <f>SUMIFS($AU$134:AU1146,$AB$134:AB1146,"*",$AC$134:AC1146,"*")</f>
        <v>6014.6</v>
      </c>
      <c r="BX1145" s="343">
        <f>SUMIFS($AU1146:AU$1388,$Q1146:Q$1388,"F")</f>
        <v>8274.1333333333332</v>
      </c>
      <c r="BY1145" s="343">
        <f>SUMIFS($AU1146:AU$1388,$Q1146:Q$1388,"S")</f>
        <v>4256.0000000000009</v>
      </c>
      <c r="BZ1145" s="343">
        <f>SUMIFS($AU1146:AU$1388,$Q1146:Q$1388,"O")</f>
        <v>-198.85466666688887</v>
      </c>
    </row>
    <row r="1146" spans="1:78" ht="15.75" customHeight="1">
      <c r="A1146" s="221" t="s">
        <v>3942</v>
      </c>
      <c r="B1146" s="177">
        <v>45216</v>
      </c>
      <c r="C1146" s="178" t="s">
        <v>4115</v>
      </c>
      <c r="D1146" s="178" t="s">
        <v>146</v>
      </c>
      <c r="E1146" s="227"/>
      <c r="F1146" s="180"/>
      <c r="G1146" s="181" t="s">
        <v>2016</v>
      </c>
      <c r="H1146" s="182"/>
      <c r="I1146" s="182"/>
      <c r="J1146" s="182"/>
      <c r="K1146" s="183"/>
      <c r="L1146" s="182"/>
      <c r="M1146" s="182"/>
      <c r="N1146" s="182"/>
      <c r="O1146" s="183"/>
      <c r="P1146" s="183"/>
      <c r="Q1146" s="183"/>
      <c r="R1146" s="183"/>
      <c r="S1146" s="183"/>
      <c r="T1146" s="183"/>
      <c r="U1146" s="183"/>
      <c r="V1146" s="183"/>
      <c r="W1146" s="183"/>
      <c r="X1146" s="183"/>
      <c r="Y1146" s="184"/>
      <c r="Z1146" s="185"/>
      <c r="AA1146" s="185"/>
      <c r="AB1146" s="185"/>
      <c r="AC1146" s="185"/>
      <c r="AD1146" s="649"/>
      <c r="AE1146" s="182"/>
      <c r="AF1146" s="332"/>
      <c r="AG1146" s="182"/>
      <c r="AH1146" s="182"/>
      <c r="AI1146" s="182"/>
      <c r="AJ1146" s="640"/>
      <c r="AK1146" s="182"/>
      <c r="AL1146" s="496">
        <f t="shared" si="333"/>
        <v>0</v>
      </c>
      <c r="AM1146" s="496">
        <f>AL1146*(R1146-S1146)</f>
        <v>0</v>
      </c>
      <c r="AN1146" s="626"/>
      <c r="AO1146" s="182"/>
      <c r="AP1146" s="182"/>
      <c r="AQ1146" s="332" t="str">
        <f>UPPER(RIGHT(Journal_Live[[#This Row],[DURATION ]]))</f>
        <v/>
      </c>
      <c r="AR1146" s="182"/>
      <c r="AS1146" s="189"/>
      <c r="AT1146" s="189">
        <f>IF(ISBLANK(AS1146),,IF(U1146="S",AD1146-AS1146,AS1146-AD1146))</f>
        <v>0</v>
      </c>
      <c r="AU1146" s="187">
        <f>AV1146*R1146</f>
        <v>0</v>
      </c>
      <c r="AV1146" s="190">
        <f>IF(ISBLANK(AS1146),,(AT1146*Z1146))</f>
        <v>0</v>
      </c>
      <c r="AW1146" s="191"/>
      <c r="AX1146" s="407"/>
      <c r="AY1146" s="407"/>
      <c r="AZ1146" s="407"/>
      <c r="BA1146" s="407"/>
      <c r="BB1146" s="407"/>
      <c r="BC1146" s="407"/>
      <c r="BD1146" s="407"/>
      <c r="BE1146" s="407"/>
      <c r="BF1146" s="422"/>
      <c r="BG1146" s="391">
        <f>SUM($AV$4:AV1146)</f>
        <v>4129.9624720486718</v>
      </c>
      <c r="BH1146" s="392">
        <f>SUM($AU$134:AU1146)</f>
        <v>21027.372000000425</v>
      </c>
      <c r="BI1146" s="318">
        <f>SUMIFS($AU$134:AU1147,$Q$134:Q1147,"F")</f>
        <v>6166.5333333333328</v>
      </c>
      <c r="BJ1146" s="318">
        <f>SUMIFS($AU$134:AU1147,$Q$134:Q1147,"S")</f>
        <v>16415.642</v>
      </c>
      <c r="BK1146" s="343">
        <f>SUMIFS($AU$134:AU1147,$P$134:P1147,"W")</f>
        <v>13902.941999999943</v>
      </c>
      <c r="BL1146" s="343">
        <f>SUMIFS($AU$134:AU1147,$P$134:P1147,"R")</f>
        <v>8484.6733333333214</v>
      </c>
      <c r="BM1146" s="343">
        <f>SUMIFS($AU$134:AU1147,$AQ$134:AQ1147,"M")</f>
        <v>2582.0300000001416</v>
      </c>
      <c r="BN1146" s="343">
        <f>SUMIFS($AU$134:AU1147,$AQ$134:AQ1147,"H")</f>
        <v>8201.3420000000642</v>
      </c>
      <c r="BO1146" s="343">
        <f>SUMIFS($AU$134:AU1147,$AQ$134:AQ1147,"D")</f>
        <v>5090.2366666667649</v>
      </c>
      <c r="BP1146" s="343">
        <f>SUMIFS($AU$134:AU1149,$AQ$134:AQ1149,"W")</f>
        <v>3191.7633333332024</v>
      </c>
      <c r="BQ1146" s="343">
        <f>SUMIFS($AU$134:AU1147,$Q$134:Q1147,"O")</f>
        <v>-1441.3733333329176</v>
      </c>
      <c r="BR1146" s="343">
        <f>SUMIFS($AU$134:AU1147,$AA$134:AA1147,"*")</f>
        <v>19245.305333333457</v>
      </c>
      <c r="BS1146" s="343">
        <f>SUMIFS($AU$134:AU1147,$AB$134:AB1147,"*")</f>
        <v>4577.196666667046</v>
      </c>
      <c r="BT1146" s="343">
        <f>SUMIFS($AU$134:AU1147,$AC$134:AC1147,"*")</f>
        <v>11143.683333333332</v>
      </c>
      <c r="BU1146" s="343">
        <f>SUMIFS($AU$134:AU1147,$AA$134:AA1147,"*",$AB$134:AB1147,"*")</f>
        <v>2838.0000000000864</v>
      </c>
      <c r="BV1146" s="343">
        <f>SUMIFS($AU$134:AU1147,$AA$134:AA1147,"*",$AC$134:AC1147,"*")</f>
        <v>9324.7833333333328</v>
      </c>
      <c r="BW1146" s="343">
        <f>SUMIFS($AU$134:AU1147,$AB$134:AB1147,"*",$AC$134:AC1147,"*")</f>
        <v>6014.6</v>
      </c>
      <c r="BX1146" s="343">
        <f>SUMIFS($AU1147:AU$1388,$Q1147:Q$1388,"F")</f>
        <v>8274.1333333333332</v>
      </c>
      <c r="BY1146" s="343">
        <f>SUMIFS($AU1147:AU$1388,$Q1147:Q$1388,"S")</f>
        <v>4256.0000000000009</v>
      </c>
      <c r="BZ1146" s="343">
        <f>SUMIFS($AU1147:AU$1388,$Q1147:Q$1388,"O")</f>
        <v>-198.85466666688887</v>
      </c>
    </row>
    <row r="1147" spans="1:78" ht="15.75" customHeight="1">
      <c r="A1147" s="221" t="s">
        <v>3942</v>
      </c>
      <c r="B1147" s="177">
        <v>45216</v>
      </c>
      <c r="C1147" s="178" t="s">
        <v>4116</v>
      </c>
      <c r="D1147" s="178" t="s">
        <v>146</v>
      </c>
      <c r="E1147" s="227"/>
      <c r="F1147" s="180"/>
      <c r="G1147" s="281" t="s">
        <v>4117</v>
      </c>
      <c r="H1147" s="182"/>
      <c r="I1147" s="182"/>
      <c r="J1147" s="182"/>
      <c r="K1147" s="183"/>
      <c r="L1147" s="182">
        <v>1</v>
      </c>
      <c r="M1147" s="182"/>
      <c r="N1147" s="182"/>
      <c r="O1147" s="183" t="s">
        <v>1057</v>
      </c>
      <c r="P1147" s="183"/>
      <c r="Q1147" s="183" t="s">
        <v>684</v>
      </c>
      <c r="R1147" s="183">
        <v>1</v>
      </c>
      <c r="S1147" s="183">
        <v>0</v>
      </c>
      <c r="T1147" s="183">
        <v>1</v>
      </c>
      <c r="U1147" s="183" t="s">
        <v>22</v>
      </c>
      <c r="V1147" s="183"/>
      <c r="W1147" s="183"/>
      <c r="X1147" s="183"/>
      <c r="Y1147" s="184">
        <f>IF(ISBLANK(O1147),"",(IF(O1147=UPPER("IB"),0.005,0.01)))</f>
        <v>5.0000000000000001E-3</v>
      </c>
      <c r="Z1147" s="185">
        <f t="shared" ref="Z1147:Z1161" si="334">IF(ISBLANK(O1147),"",IF(O1147="IB",8.63*200,IF(O1147="IR",16*100,IF(O1147="YT",20*100,IF(O1147="YT-XT",24*200,IF(O1147="TED",80*100))))))</f>
        <v>1726.0000000000002</v>
      </c>
      <c r="AA1147" s="185" t="s">
        <v>99</v>
      </c>
      <c r="AB1147" s="185"/>
      <c r="AC1147" s="185"/>
      <c r="AD1147" s="649">
        <v>95.855000000000004</v>
      </c>
      <c r="AE1147" s="182"/>
      <c r="AF1147" s="332"/>
      <c r="AG1147" s="182"/>
      <c r="AH1147" s="182"/>
      <c r="AI1147" s="182"/>
      <c r="AJ1147" s="640"/>
      <c r="AK1147" s="182"/>
      <c r="AL1147" s="496"/>
      <c r="AM1147" s="496"/>
      <c r="AN1147" s="626"/>
      <c r="AO1147" s="182"/>
      <c r="AP1147" s="182" t="s">
        <v>4118</v>
      </c>
      <c r="AQ1147" s="332" t="str">
        <f>UPPER(RIGHT(Journal_Live[[#This Row],[DURATION ]]))</f>
        <v>M</v>
      </c>
      <c r="AR1147" s="182" t="s">
        <v>3004</v>
      </c>
      <c r="AS1147" s="189">
        <v>95.86</v>
      </c>
      <c r="AT1147" s="189">
        <f>IF(ISBLANK(AS1147),,IF(U1147="S",AD1147-AS1147,AS1147-AD1147))</f>
        <v>4.9999999999954525E-3</v>
      </c>
      <c r="AU1147" s="187">
        <f>AV1147*R1147</f>
        <v>8.6299999999921528</v>
      </c>
      <c r="AV1147" s="190">
        <f>IF(ISBLANK(AS1147),,(AT1147*Z1147))</f>
        <v>8.6299999999921528</v>
      </c>
      <c r="AW1147" s="191" t="s">
        <v>96</v>
      </c>
      <c r="AX1147" s="407"/>
      <c r="AY1147" s="407"/>
      <c r="AZ1147" s="407"/>
      <c r="BA1147" s="407"/>
      <c r="BB1147" s="407"/>
      <c r="BC1147" s="407"/>
      <c r="BD1147" s="407"/>
      <c r="BE1147" s="407"/>
      <c r="BF1147" s="422"/>
      <c r="BG1147" s="391">
        <f>SUM($AV$4:AV1147)</f>
        <v>4138.5924720486637</v>
      </c>
      <c r="BH1147" s="392">
        <f>SUM($AU$134:AU1147)</f>
        <v>21036.002000000419</v>
      </c>
      <c r="BI1147" s="318">
        <f>SUMIFS($AU$134:AU1148,$Q$134:Q1148,"F")</f>
        <v>6166.5333333333328</v>
      </c>
      <c r="BJ1147" s="318">
        <f>SUMIFS($AU$134:AU1148,$Q$134:Q1148,"S")</f>
        <v>16415.642</v>
      </c>
      <c r="BK1147" s="343">
        <f>SUMIFS($AU$134:AU1148,$P$134:P1148,"W")</f>
        <v>13902.941999999943</v>
      </c>
      <c r="BL1147" s="343">
        <f>SUMIFS($AU$134:AU1148,$P$134:P1148,"R")</f>
        <v>8484.6733333333214</v>
      </c>
      <c r="BM1147" s="343">
        <f>SUMIFS($AU$134:AU1148,$AQ$134:AQ1148,"M")</f>
        <v>2582.0300000001416</v>
      </c>
      <c r="BN1147" s="343">
        <f>SUMIFS($AU$134:AU1148,$AQ$134:AQ1148,"H")</f>
        <v>8201.3420000000642</v>
      </c>
      <c r="BO1147" s="343">
        <f>SUMIFS($AU$134:AU1148,$AQ$134:AQ1148,"D")</f>
        <v>5090.2366666667649</v>
      </c>
      <c r="BP1147" s="343">
        <f>SUMIFS($AU$134:AU1150,$AQ$134:AQ1150,"W")</f>
        <v>3191.7633333332024</v>
      </c>
      <c r="BQ1147" s="343">
        <f>SUMIFS($AU$134:AU1148,$Q$134:Q1148,"O")</f>
        <v>-1441.3733333329176</v>
      </c>
      <c r="BR1147" s="343">
        <f>SUMIFS($AU$134:AU1148,$AA$134:AA1148,"*")</f>
        <v>19245.305333333457</v>
      </c>
      <c r="BS1147" s="343">
        <f>SUMIFS($AU$134:AU1148,$AB$134:AB1148,"*")</f>
        <v>4577.196666667046</v>
      </c>
      <c r="BT1147" s="343">
        <f>SUMIFS($AU$134:AU1148,$AC$134:AC1148,"*")</f>
        <v>11143.683333333332</v>
      </c>
      <c r="BU1147" s="343">
        <f>SUMIFS($AU$134:AU1148,$AA$134:AA1148,"*",$AB$134:AB1148,"*")</f>
        <v>2838.0000000000864</v>
      </c>
      <c r="BV1147" s="343">
        <f>SUMIFS($AU$134:AU1148,$AA$134:AA1148,"*",$AC$134:AC1148,"*")</f>
        <v>9324.7833333333328</v>
      </c>
      <c r="BW1147" s="343">
        <f>SUMIFS($AU$134:AU1148,$AB$134:AB1148,"*",$AC$134:AC1148,"*")</f>
        <v>6014.6</v>
      </c>
      <c r="BX1147" s="343">
        <f>SUMIFS($AU1148:AU$1388,$Q1148:Q$1388,"F")</f>
        <v>8274.1333333333332</v>
      </c>
      <c r="BY1147" s="343">
        <f>SUMIFS($AU1148:AU$1388,$Q1148:Q$1388,"S")</f>
        <v>4256.0000000000009</v>
      </c>
      <c r="BZ1147" s="343">
        <f>SUMIFS($AU1148:AU$1388,$Q1148:Q$1388,"O")</f>
        <v>-207.48466666688103</v>
      </c>
    </row>
    <row r="1148" spans="1:78" ht="15.75" customHeight="1">
      <c r="A1148" s="221" t="s">
        <v>3942</v>
      </c>
      <c r="B1148" s="177">
        <v>45216</v>
      </c>
      <c r="C1148" s="178" t="s">
        <v>1714</v>
      </c>
      <c r="D1148" s="178" t="s">
        <v>146</v>
      </c>
      <c r="E1148" s="227" t="s">
        <v>4119</v>
      </c>
      <c r="F1148" s="180"/>
      <c r="G1148" s="181"/>
      <c r="H1148" s="182">
        <v>1</v>
      </c>
      <c r="I1148" s="182"/>
      <c r="J1148" s="182"/>
      <c r="K1148" s="183" t="s">
        <v>372</v>
      </c>
      <c r="L1148" s="182"/>
      <c r="M1148" s="182"/>
      <c r="N1148" s="182"/>
      <c r="O1148" s="183"/>
      <c r="P1148" s="183"/>
      <c r="Q1148" s="183"/>
      <c r="R1148" s="183"/>
      <c r="S1148" s="183"/>
      <c r="T1148" s="183"/>
      <c r="U1148" s="183"/>
      <c r="V1148" s="183"/>
      <c r="W1148" s="183"/>
      <c r="X1148" s="183"/>
      <c r="Y1148" s="183"/>
      <c r="Z1148" s="185" t="str">
        <f t="shared" si="334"/>
        <v/>
      </c>
      <c r="AA1148" s="185"/>
      <c r="AB1148" s="185"/>
      <c r="AC1148" s="185"/>
      <c r="AD1148" s="649"/>
      <c r="AE1148" s="182"/>
      <c r="AF1148" s="332"/>
      <c r="AG1148" s="182"/>
      <c r="AH1148" s="182"/>
      <c r="AI1148" s="182"/>
      <c r="AJ1148" s="640"/>
      <c r="AK1148" s="182"/>
      <c r="AL1148" s="496"/>
      <c r="AM1148" s="496"/>
      <c r="AN1148" s="626"/>
      <c r="AO1148" s="182"/>
      <c r="AP1148" s="182"/>
      <c r="AQ1148" s="332" t="str">
        <f>UPPER(RIGHT(Journal_Live[[#This Row],[DURATION ]]))</f>
        <v/>
      </c>
      <c r="AR1148" s="182"/>
      <c r="AS1148" s="189"/>
      <c r="AT1148" s="189"/>
      <c r="AU1148" s="187"/>
      <c r="AV1148" s="190"/>
      <c r="AW1148" s="191"/>
      <c r="AX1148" s="407"/>
      <c r="AY1148" s="407"/>
      <c r="AZ1148" s="407"/>
      <c r="BA1148" s="407"/>
      <c r="BB1148" s="407"/>
      <c r="BC1148" s="407"/>
      <c r="BD1148" s="407"/>
      <c r="BE1148" s="407"/>
      <c r="BF1148" s="422"/>
      <c r="BG1148" s="391">
        <f>SUM($AV$4:AV1148)</f>
        <v>4138.5924720486637</v>
      </c>
      <c r="BH1148" s="392">
        <f>SUM($AU$134:AU1148)</f>
        <v>21036.002000000419</v>
      </c>
      <c r="BI1148" s="318">
        <f>SUMIFS($AU$134:AU1149,$Q$134:Q1149,"F")</f>
        <v>6166.5333333333328</v>
      </c>
      <c r="BJ1148" s="318">
        <f>SUMIFS($AU$134:AU1149,$Q$134:Q1149,"S")</f>
        <v>16415.642</v>
      </c>
      <c r="BK1148" s="343">
        <f>SUMIFS($AU$134:AU1149,$P$134:P1149,"W")</f>
        <v>13902.941999999943</v>
      </c>
      <c r="BL1148" s="343">
        <f>SUMIFS($AU$134:AU1149,$P$134:P1149,"R")</f>
        <v>8484.6733333333214</v>
      </c>
      <c r="BM1148" s="343">
        <f>SUMIFS($AU$134:AU1149,$AQ$134:AQ1149,"M")</f>
        <v>2582.0300000001416</v>
      </c>
      <c r="BN1148" s="343">
        <f>SUMIFS($AU$134:AU1149,$AQ$134:AQ1149,"H")</f>
        <v>8201.3420000000642</v>
      </c>
      <c r="BO1148" s="343">
        <f>SUMIFS($AU$134:AU1149,$AQ$134:AQ1149,"D")</f>
        <v>5090.2366666667649</v>
      </c>
      <c r="BP1148" s="343">
        <f>SUMIFS($AU$134:AU1151,$AQ$134:AQ1151,"W")</f>
        <v>3191.7633333332024</v>
      </c>
      <c r="BQ1148" s="343">
        <f>SUMIFS($AU$134:AU1149,$Q$134:Q1149,"O")</f>
        <v>-1441.3733333329176</v>
      </c>
      <c r="BR1148" s="343">
        <f>SUMIFS($AU$134:AU1149,$AA$134:AA1149,"*")</f>
        <v>19245.305333333457</v>
      </c>
      <c r="BS1148" s="343">
        <f>SUMIFS($AU$134:AU1149,$AB$134:AB1149,"*")</f>
        <v>4577.196666667046</v>
      </c>
      <c r="BT1148" s="343">
        <f>SUMIFS($AU$134:AU1149,$AC$134:AC1149,"*")</f>
        <v>11143.683333333332</v>
      </c>
      <c r="BU1148" s="343">
        <f>SUMIFS($AU$134:AU1149,$AA$134:AA1149,"*",$AB$134:AB1149,"*")</f>
        <v>2838.0000000000864</v>
      </c>
      <c r="BV1148" s="343">
        <f>SUMIFS($AU$134:AU1149,$AA$134:AA1149,"*",$AC$134:AC1149,"*")</f>
        <v>9324.7833333333328</v>
      </c>
      <c r="BW1148" s="343">
        <f>SUMIFS($AU$134:AU1149,$AB$134:AB1149,"*",$AC$134:AC1149,"*")</f>
        <v>6014.6</v>
      </c>
      <c r="BX1148" s="343">
        <f>SUMIFS($AU1149:AU$1388,$Q1149:Q$1388,"F")</f>
        <v>8274.1333333333332</v>
      </c>
      <c r="BY1148" s="343">
        <f>SUMIFS($AU1149:AU$1388,$Q1149:Q$1388,"S")</f>
        <v>4256.0000000000009</v>
      </c>
      <c r="BZ1148" s="343">
        <f>SUMIFS($AU1149:AU$1388,$Q1149:Q$1388,"O")</f>
        <v>-207.48466666688103</v>
      </c>
    </row>
    <row r="1149" spans="1:78" ht="15.75" customHeight="1">
      <c r="A1149" s="221" t="s">
        <v>3942</v>
      </c>
      <c r="B1149" s="177"/>
      <c r="C1149" s="178"/>
      <c r="D1149" s="178"/>
      <c r="E1149" s="227" t="s">
        <v>4120</v>
      </c>
      <c r="F1149" s="180"/>
      <c r="G1149" s="181"/>
      <c r="H1149" s="182">
        <v>1</v>
      </c>
      <c r="I1149" s="182"/>
      <c r="J1149" s="182"/>
      <c r="K1149" s="183" t="s">
        <v>372</v>
      </c>
      <c r="L1149" s="182"/>
      <c r="M1149" s="182"/>
      <c r="N1149" s="182"/>
      <c r="O1149" s="183"/>
      <c r="P1149" s="183"/>
      <c r="Q1149" s="183"/>
      <c r="R1149" s="183"/>
      <c r="S1149" s="183"/>
      <c r="T1149" s="183"/>
      <c r="U1149" s="183"/>
      <c r="V1149" s="183"/>
      <c r="W1149" s="183"/>
      <c r="X1149" s="183"/>
      <c r="Y1149" s="183"/>
      <c r="Z1149" s="185" t="str">
        <f t="shared" si="334"/>
        <v/>
      </c>
      <c r="AA1149" s="185"/>
      <c r="AB1149" s="185"/>
      <c r="AC1149" s="185"/>
      <c r="AD1149" s="649"/>
      <c r="AE1149" s="182"/>
      <c r="AF1149" s="332"/>
      <c r="AG1149" s="182"/>
      <c r="AH1149" s="182"/>
      <c r="AI1149" s="182"/>
      <c r="AJ1149" s="640"/>
      <c r="AK1149" s="182"/>
      <c r="AL1149" s="496"/>
      <c r="AM1149" s="496"/>
      <c r="AN1149" s="626"/>
      <c r="AO1149" s="182"/>
      <c r="AP1149" s="182"/>
      <c r="AQ1149" s="332" t="str">
        <f>UPPER(RIGHT(Journal_Live[[#This Row],[DURATION ]]))</f>
        <v/>
      </c>
      <c r="AR1149" s="182"/>
      <c r="AS1149" s="189"/>
      <c r="AT1149" s="189"/>
      <c r="AU1149" s="187"/>
      <c r="AV1149" s="190"/>
      <c r="AW1149" s="191"/>
      <c r="AX1149" s="407"/>
      <c r="AY1149" s="407"/>
      <c r="AZ1149" s="407"/>
      <c r="BA1149" s="407"/>
      <c r="BB1149" s="407"/>
      <c r="BC1149" s="407"/>
      <c r="BD1149" s="407"/>
      <c r="BE1149" s="407"/>
      <c r="BF1149" s="422"/>
      <c r="BG1149" s="391">
        <f>SUM($AV$4:AV1149)</f>
        <v>4138.5924720486637</v>
      </c>
      <c r="BH1149" s="392">
        <f>SUM($AU$134:AU1149)</f>
        <v>21036.002000000419</v>
      </c>
      <c r="BI1149" s="318">
        <f>SUMIFS($AU$134:AU1150,$Q$134:Q1150,"F")</f>
        <v>6166.5333333333328</v>
      </c>
      <c r="BJ1149" s="318">
        <f>SUMIFS($AU$134:AU1150,$Q$134:Q1150,"S")</f>
        <v>16415.642</v>
      </c>
      <c r="BK1149" s="343">
        <f>SUMIFS($AU$134:AU1150,$P$134:P1150,"W")</f>
        <v>13902.941999999943</v>
      </c>
      <c r="BL1149" s="343">
        <f>SUMIFS($AU$134:AU1150,$P$134:P1150,"R")</f>
        <v>8484.6733333333214</v>
      </c>
      <c r="BM1149" s="343">
        <f>SUMIFS($AU$134:AU1150,$AQ$134:AQ1150,"M")</f>
        <v>2582.0300000001416</v>
      </c>
      <c r="BN1149" s="343">
        <f>SUMIFS($AU$134:AU1150,$AQ$134:AQ1150,"H")</f>
        <v>8201.3420000000642</v>
      </c>
      <c r="BO1149" s="343">
        <f>SUMIFS($AU$134:AU1150,$AQ$134:AQ1150,"D")</f>
        <v>5090.2366666667649</v>
      </c>
      <c r="BP1149" s="343">
        <f>SUMIFS($AU$134:AU1152,$AQ$134:AQ1152,"W")</f>
        <v>3191.7633333332024</v>
      </c>
      <c r="BQ1149" s="343">
        <f>SUMIFS($AU$134:AU1150,$Q$134:Q1150,"O")</f>
        <v>-1441.3733333329176</v>
      </c>
      <c r="BR1149" s="343">
        <f>SUMIFS($AU$134:AU1150,$AA$134:AA1150,"*")</f>
        <v>19245.305333333457</v>
      </c>
      <c r="BS1149" s="343">
        <f>SUMIFS($AU$134:AU1150,$AB$134:AB1150,"*")</f>
        <v>4577.196666667046</v>
      </c>
      <c r="BT1149" s="343">
        <f>SUMIFS($AU$134:AU1150,$AC$134:AC1150,"*")</f>
        <v>11143.683333333332</v>
      </c>
      <c r="BU1149" s="343">
        <f>SUMIFS($AU$134:AU1150,$AA$134:AA1150,"*",$AB$134:AB1150,"*")</f>
        <v>2838.0000000000864</v>
      </c>
      <c r="BV1149" s="343">
        <f>SUMIFS($AU$134:AU1150,$AA$134:AA1150,"*",$AC$134:AC1150,"*")</f>
        <v>9324.7833333333328</v>
      </c>
      <c r="BW1149" s="343">
        <f>SUMIFS($AU$134:AU1150,$AB$134:AB1150,"*",$AC$134:AC1150,"*")</f>
        <v>6014.6</v>
      </c>
      <c r="BX1149" s="343">
        <f>SUMIFS($AU1150:AU$1388,$Q1150:Q$1388,"F")</f>
        <v>8274.1333333333332</v>
      </c>
      <c r="BY1149" s="343">
        <f>SUMIFS($AU1150:AU$1388,$Q1150:Q$1388,"S")</f>
        <v>4256.0000000000009</v>
      </c>
      <c r="BZ1149" s="343">
        <f>SUMIFS($AU1150:AU$1388,$Q1150:Q$1388,"O")</f>
        <v>-207.48466666688103</v>
      </c>
    </row>
    <row r="1150" spans="1:78" ht="15.75" customHeight="1">
      <c r="A1150" s="221" t="s">
        <v>3942</v>
      </c>
      <c r="B1150" s="177"/>
      <c r="C1150" s="178"/>
      <c r="D1150" s="178"/>
      <c r="E1150" s="227" t="s">
        <v>4121</v>
      </c>
      <c r="F1150" s="180"/>
      <c r="G1150" s="181"/>
      <c r="H1150" s="182"/>
      <c r="I1150" s="182"/>
      <c r="J1150" s="182">
        <v>1</v>
      </c>
      <c r="K1150" s="183" t="s">
        <v>115</v>
      </c>
      <c r="L1150" s="182"/>
      <c r="M1150" s="182"/>
      <c r="N1150" s="182"/>
      <c r="O1150" s="183"/>
      <c r="P1150" s="183"/>
      <c r="Q1150" s="183"/>
      <c r="R1150" s="183"/>
      <c r="S1150" s="183"/>
      <c r="T1150" s="183"/>
      <c r="U1150" s="183"/>
      <c r="V1150" s="183"/>
      <c r="W1150" s="183"/>
      <c r="X1150" s="183"/>
      <c r="Y1150" s="183"/>
      <c r="Z1150" s="185" t="str">
        <f t="shared" si="334"/>
        <v/>
      </c>
      <c r="AA1150" s="185"/>
      <c r="AB1150" s="185"/>
      <c r="AC1150" s="185"/>
      <c r="AD1150" s="649"/>
      <c r="AE1150" s="182"/>
      <c r="AF1150" s="332"/>
      <c r="AG1150" s="182"/>
      <c r="AH1150" s="182"/>
      <c r="AI1150" s="182"/>
      <c r="AJ1150" s="640"/>
      <c r="AK1150" s="182"/>
      <c r="AL1150" s="496"/>
      <c r="AM1150" s="496"/>
      <c r="AN1150" s="626"/>
      <c r="AO1150" s="182"/>
      <c r="AP1150" s="182"/>
      <c r="AQ1150" s="332" t="str">
        <f>UPPER(RIGHT(Journal_Live[[#This Row],[DURATION ]]))</f>
        <v/>
      </c>
      <c r="AR1150" s="182"/>
      <c r="AS1150" s="189"/>
      <c r="AT1150" s="189"/>
      <c r="AU1150" s="187"/>
      <c r="AV1150" s="190"/>
      <c r="AW1150" s="191"/>
      <c r="AX1150" s="407"/>
      <c r="AY1150" s="407"/>
      <c r="AZ1150" s="407"/>
      <c r="BA1150" s="407"/>
      <c r="BB1150" s="407"/>
      <c r="BC1150" s="407"/>
      <c r="BD1150" s="407"/>
      <c r="BE1150" s="407"/>
      <c r="BF1150" s="422"/>
      <c r="BG1150" s="391">
        <f>SUM($AV$4:AV1150)</f>
        <v>4138.5924720486637</v>
      </c>
      <c r="BH1150" s="392">
        <f>SUM($AU$134:AU1150)</f>
        <v>21036.002000000419</v>
      </c>
      <c r="BI1150" s="318">
        <f>SUMIFS($AU$134:AU1151,$Q$134:Q1151,"F")</f>
        <v>6166.5333333333328</v>
      </c>
      <c r="BJ1150" s="318">
        <f>SUMIFS($AU$134:AU1151,$Q$134:Q1151,"S")</f>
        <v>16415.642</v>
      </c>
      <c r="BK1150" s="343">
        <f>SUMIFS($AU$134:AU1151,$P$134:P1151,"W")</f>
        <v>13902.941999999943</v>
      </c>
      <c r="BL1150" s="343">
        <f>SUMIFS($AU$134:AU1151,$P$134:P1151,"R")</f>
        <v>8484.6733333333214</v>
      </c>
      <c r="BM1150" s="343">
        <f>SUMIFS($AU$134:AU1151,$AQ$134:AQ1151,"M")</f>
        <v>2582.0300000001416</v>
      </c>
      <c r="BN1150" s="343">
        <f>SUMIFS($AU$134:AU1151,$AQ$134:AQ1151,"H")</f>
        <v>8201.3420000000642</v>
      </c>
      <c r="BO1150" s="343">
        <f>SUMIFS($AU$134:AU1151,$AQ$134:AQ1151,"D")</f>
        <v>5090.2366666667649</v>
      </c>
      <c r="BP1150" s="343">
        <f>SUMIFS($AU$134:AU1153,$AQ$134:AQ1153,"W")</f>
        <v>3191.7633333332024</v>
      </c>
      <c r="BQ1150" s="343">
        <f>SUMIFS($AU$134:AU1151,$Q$134:Q1151,"O")</f>
        <v>-1441.3733333329176</v>
      </c>
      <c r="BR1150" s="343">
        <f>SUMIFS($AU$134:AU1151,$AA$134:AA1151,"*")</f>
        <v>19245.305333333457</v>
      </c>
      <c r="BS1150" s="343">
        <f>SUMIFS($AU$134:AU1151,$AB$134:AB1151,"*")</f>
        <v>4577.196666667046</v>
      </c>
      <c r="BT1150" s="343">
        <f>SUMIFS($AU$134:AU1151,$AC$134:AC1151,"*")</f>
        <v>11143.683333333332</v>
      </c>
      <c r="BU1150" s="343">
        <f>SUMIFS($AU$134:AU1151,$AA$134:AA1151,"*",$AB$134:AB1151,"*")</f>
        <v>2838.0000000000864</v>
      </c>
      <c r="BV1150" s="343">
        <f>SUMIFS($AU$134:AU1151,$AA$134:AA1151,"*",$AC$134:AC1151,"*")</f>
        <v>9324.7833333333328</v>
      </c>
      <c r="BW1150" s="343">
        <f>SUMIFS($AU$134:AU1151,$AB$134:AB1151,"*",$AC$134:AC1151,"*")</f>
        <v>6014.6</v>
      </c>
      <c r="BX1150" s="343">
        <f>SUMIFS($AU1151:AU$1388,$Q1151:Q$1388,"F")</f>
        <v>8274.1333333333332</v>
      </c>
      <c r="BY1150" s="343">
        <f>SUMIFS($AU1151:AU$1388,$Q1151:Q$1388,"S")</f>
        <v>4256.0000000000009</v>
      </c>
      <c r="BZ1150" s="343">
        <f>SUMIFS($AU1151:AU$1388,$Q1151:Q$1388,"O")</f>
        <v>-207.48466666688103</v>
      </c>
    </row>
    <row r="1151" spans="1:78" ht="15.75" customHeight="1">
      <c r="A1151" s="221" t="s">
        <v>3942</v>
      </c>
      <c r="B1151" s="177"/>
      <c r="C1151" s="178"/>
      <c r="D1151" s="178"/>
      <c r="E1151" s="227" t="s">
        <v>4122</v>
      </c>
      <c r="F1151" s="180"/>
      <c r="G1151" s="181"/>
      <c r="H1151" s="182"/>
      <c r="I1151" s="182"/>
      <c r="J1151" s="182">
        <v>1</v>
      </c>
      <c r="K1151" s="183" t="s">
        <v>115</v>
      </c>
      <c r="L1151" s="182"/>
      <c r="M1151" s="182"/>
      <c r="N1151" s="182"/>
      <c r="O1151" s="183"/>
      <c r="P1151" s="183"/>
      <c r="Q1151" s="183"/>
      <c r="R1151" s="183"/>
      <c r="S1151" s="183"/>
      <c r="T1151" s="183"/>
      <c r="U1151" s="183"/>
      <c r="V1151" s="183"/>
      <c r="W1151" s="183"/>
      <c r="X1151" s="183"/>
      <c r="Y1151" s="183"/>
      <c r="Z1151" s="185" t="str">
        <f t="shared" si="334"/>
        <v/>
      </c>
      <c r="AA1151" s="185"/>
      <c r="AB1151" s="185"/>
      <c r="AC1151" s="185"/>
      <c r="AD1151" s="649"/>
      <c r="AE1151" s="182"/>
      <c r="AF1151" s="332"/>
      <c r="AG1151" s="182"/>
      <c r="AH1151" s="182"/>
      <c r="AI1151" s="182"/>
      <c r="AJ1151" s="640"/>
      <c r="AK1151" s="182"/>
      <c r="AL1151" s="496"/>
      <c r="AM1151" s="496"/>
      <c r="AN1151" s="626"/>
      <c r="AO1151" s="182"/>
      <c r="AP1151" s="182"/>
      <c r="AQ1151" s="332" t="str">
        <f>UPPER(RIGHT(Journal_Live[[#This Row],[DURATION ]]))</f>
        <v/>
      </c>
      <c r="AR1151" s="182"/>
      <c r="AS1151" s="189"/>
      <c r="AT1151" s="189"/>
      <c r="AU1151" s="187"/>
      <c r="AV1151" s="190"/>
      <c r="AW1151" s="191"/>
      <c r="AX1151" s="407" t="s">
        <v>4123</v>
      </c>
      <c r="AY1151" s="407" t="s">
        <v>4124</v>
      </c>
      <c r="AZ1151" s="407" t="s">
        <v>4125</v>
      </c>
      <c r="BA1151" s="407" t="s">
        <v>4126</v>
      </c>
      <c r="BB1151" s="407" t="s">
        <v>4127</v>
      </c>
      <c r="BC1151" s="407" t="s">
        <v>4128</v>
      </c>
      <c r="BD1151" s="407" t="s">
        <v>4129</v>
      </c>
      <c r="BE1151" s="407"/>
      <c r="BF1151" s="422"/>
      <c r="BG1151" s="391">
        <f>SUM($AV$4:AV1151)</f>
        <v>4138.5924720486637</v>
      </c>
      <c r="BH1151" s="392">
        <f>SUM($AU$134:AU1151)</f>
        <v>21036.002000000419</v>
      </c>
      <c r="BI1151" s="318">
        <f>SUMIFS($AU$134:AU1152,$Q$134:Q1152,"F")</f>
        <v>6166.5333333333328</v>
      </c>
      <c r="BJ1151" s="318">
        <f>SUMIFS($AU$134:AU1152,$Q$134:Q1152,"S")</f>
        <v>16095.642</v>
      </c>
      <c r="BK1151" s="343">
        <f>SUMIFS($AU$134:AU1152,$P$134:P1152,"W")</f>
        <v>13582.941999999943</v>
      </c>
      <c r="BL1151" s="343">
        <f>SUMIFS($AU$134:AU1152,$P$134:P1152,"R")</f>
        <v>8484.6733333333214</v>
      </c>
      <c r="BM1151" s="343">
        <f>SUMIFS($AU$134:AU1152,$AQ$134:AQ1152,"M")</f>
        <v>2582.0300000001416</v>
      </c>
      <c r="BN1151" s="343">
        <f>SUMIFS($AU$134:AU1152,$AQ$134:AQ1152,"H")</f>
        <v>8201.3420000000642</v>
      </c>
      <c r="BO1151" s="343">
        <f>SUMIFS($AU$134:AU1152,$AQ$134:AQ1152,"D")</f>
        <v>4770.2366666667649</v>
      </c>
      <c r="BP1151" s="343">
        <f>SUMIFS($AU$134:AU1154,$AQ$134:AQ1154,"W")</f>
        <v>3191.7633333332024</v>
      </c>
      <c r="BQ1151" s="343">
        <f>SUMIFS($AU$134:AU1152,$Q$134:Q1152,"O")</f>
        <v>-1441.3733333329176</v>
      </c>
      <c r="BR1151" s="343">
        <f>SUMIFS($AU$134:AU1152,$AA$134:AA1152,"*")</f>
        <v>18925.305333333457</v>
      </c>
      <c r="BS1151" s="343">
        <f>SUMIFS($AU$134:AU1152,$AB$134:AB1152,"*")</f>
        <v>4577.196666667046</v>
      </c>
      <c r="BT1151" s="343">
        <f>SUMIFS($AU$134:AU1152,$AC$134:AC1152,"*")</f>
        <v>11143.683333333332</v>
      </c>
      <c r="BU1151" s="343">
        <f>SUMIFS($AU$134:AU1152,$AA$134:AA1152,"*",$AB$134:AB1152,"*")</f>
        <v>2838.0000000000864</v>
      </c>
      <c r="BV1151" s="343">
        <f>SUMIFS($AU$134:AU1152,$AA$134:AA1152,"*",$AC$134:AC1152,"*")</f>
        <v>9324.7833333333328</v>
      </c>
      <c r="BW1151" s="343">
        <f>SUMIFS($AU$134:AU1152,$AB$134:AB1152,"*",$AC$134:AC1152,"*")</f>
        <v>6014.6</v>
      </c>
      <c r="BX1151" s="343">
        <f>SUMIFS($AU1152:AU$1388,$Q1152:Q$1388,"F")</f>
        <v>8274.1333333333332</v>
      </c>
      <c r="BY1151" s="343">
        <f>SUMIFS($AU1152:AU$1388,$Q1152:Q$1388,"S")</f>
        <v>4256.0000000000009</v>
      </c>
      <c r="BZ1151" s="343">
        <f>SUMIFS($AU1152:AU$1388,$Q1152:Q$1388,"O")</f>
        <v>-207.48466666688103</v>
      </c>
    </row>
    <row r="1152" spans="1:78" ht="15.75" customHeight="1">
      <c r="A1152" s="221" t="s">
        <v>3942</v>
      </c>
      <c r="B1152" s="177">
        <v>45216</v>
      </c>
      <c r="C1152" s="178" t="s">
        <v>682</v>
      </c>
      <c r="D1152" s="178" t="s">
        <v>146</v>
      </c>
      <c r="E1152" s="227"/>
      <c r="F1152" s="180"/>
      <c r="G1152" s="281" t="s">
        <v>181</v>
      </c>
      <c r="H1152" s="182"/>
      <c r="I1152" s="182"/>
      <c r="J1152" s="182"/>
      <c r="K1152" s="183"/>
      <c r="L1152" s="182">
        <v>1</v>
      </c>
      <c r="M1152" s="182">
        <v>1</v>
      </c>
      <c r="N1152" s="182"/>
      <c r="O1152" s="183" t="s">
        <v>95</v>
      </c>
      <c r="P1152" s="183" t="s">
        <v>96</v>
      </c>
      <c r="Q1152" s="183" t="s">
        <v>97</v>
      </c>
      <c r="R1152" s="183">
        <v>20</v>
      </c>
      <c r="S1152" s="183">
        <v>15</v>
      </c>
      <c r="T1152" s="183">
        <v>10</v>
      </c>
      <c r="U1152" s="183" t="s">
        <v>97</v>
      </c>
      <c r="V1152" s="183"/>
      <c r="W1152" s="183"/>
      <c r="X1152" s="183"/>
      <c r="Y1152" s="184">
        <f>IF(ISBLANK(O1152),"",(IF(O1152=UPPER("IB"),0.005,0.01)))</f>
        <v>0.01</v>
      </c>
      <c r="Z1152" s="185">
        <f t="shared" si="334"/>
        <v>1600</v>
      </c>
      <c r="AA1152" s="185" t="s">
        <v>99</v>
      </c>
      <c r="AB1152" s="185"/>
      <c r="AC1152" s="185"/>
      <c r="AD1152" s="649">
        <f>(0.04*10+0.06*10)/20</f>
        <v>0.05</v>
      </c>
      <c r="AE1152" s="182"/>
      <c r="AF1152" s="332"/>
      <c r="AG1152" s="182"/>
      <c r="AH1152" s="182"/>
      <c r="AI1152" s="182"/>
      <c r="AJ1152" s="640"/>
      <c r="AK1152" s="182"/>
      <c r="AL1152" s="496">
        <f t="shared" ref="AL1152:AL1154" si="335">-0.03*Z1152</f>
        <v>-48</v>
      </c>
      <c r="AM1152" s="496">
        <f>AL1152*(R1152-S1152)</f>
        <v>-240</v>
      </c>
      <c r="AN1152" s="626"/>
      <c r="AO1152" s="182"/>
      <c r="AP1152" s="182" t="s">
        <v>804</v>
      </c>
      <c r="AQ1152" s="332" t="str">
        <f>UPPER(RIGHT(Journal_Live[[#This Row],[DURATION ]]))</f>
        <v>D</v>
      </c>
      <c r="AR1152" s="182" t="s">
        <v>4130</v>
      </c>
      <c r="AS1152" s="189">
        <f>(0.06*15+0.06*5)/20</f>
        <v>0.06</v>
      </c>
      <c r="AT1152" s="189">
        <f>IF(ISBLANK(AS1152),,IF(U1152="S",AD1152-AS1152,AS1152-AD1152))</f>
        <v>-9.999999999999995E-3</v>
      </c>
      <c r="AU1152" s="187">
        <f>AV1152*R1152</f>
        <v>-319.99999999999989</v>
      </c>
      <c r="AV1152" s="190">
        <f>IF(ISBLANK(AS1152),,(AT1152*Z1152))</f>
        <v>-15.999999999999993</v>
      </c>
      <c r="AW1152" s="191" t="s">
        <v>229</v>
      </c>
      <c r="AX1152" s="407"/>
      <c r="AY1152" s="407"/>
      <c r="AZ1152" s="407"/>
      <c r="BA1152" s="407"/>
      <c r="BB1152" s="407"/>
      <c r="BC1152" s="407"/>
      <c r="BD1152" s="407"/>
      <c r="BE1152" s="407"/>
      <c r="BF1152" s="422"/>
      <c r="BG1152" s="391">
        <f>SUM($AV$4:AV1152)</f>
        <v>4122.5924720486637</v>
      </c>
      <c r="BH1152" s="392">
        <f>SUM($AU$134:AU1152)</f>
        <v>20716.002000000419</v>
      </c>
      <c r="BI1152" s="318">
        <f>SUMIFS($AU$134:AU1153,$Q$134:Q1153,"F")</f>
        <v>6166.5333333333328</v>
      </c>
      <c r="BJ1152" s="318">
        <f>SUMIFS($AU$134:AU1153,$Q$134:Q1153,"S")</f>
        <v>15791.642</v>
      </c>
      <c r="BK1152" s="343">
        <f>SUMIFS($AU$134:AU1153,$P$134:P1153,"W")</f>
        <v>13278.941999999943</v>
      </c>
      <c r="BL1152" s="343">
        <f>SUMIFS($AU$134:AU1153,$P$134:P1153,"R")</f>
        <v>8484.6733333333214</v>
      </c>
      <c r="BM1152" s="343">
        <f>SUMIFS($AU$134:AU1153,$AQ$134:AQ1153,"M")</f>
        <v>2582.0300000001416</v>
      </c>
      <c r="BN1152" s="343">
        <f>SUMIFS($AU$134:AU1153,$AQ$134:AQ1153,"H")</f>
        <v>7897.3420000000642</v>
      </c>
      <c r="BO1152" s="343">
        <f>SUMIFS($AU$134:AU1153,$AQ$134:AQ1153,"D")</f>
        <v>4770.2366666667649</v>
      </c>
      <c r="BP1152" s="343">
        <f>SUMIFS($AU$134:AU1155,$AQ$134:AQ1155,"W")</f>
        <v>3191.7633333332024</v>
      </c>
      <c r="BQ1152" s="343">
        <f>SUMIFS($AU$134:AU1153,$Q$134:Q1153,"O")</f>
        <v>-1441.3733333329176</v>
      </c>
      <c r="BR1152" s="343">
        <f>SUMIFS($AU$134:AU1153,$AA$134:AA1153,"*")</f>
        <v>18621.305333333457</v>
      </c>
      <c r="BS1152" s="343">
        <f>SUMIFS($AU$134:AU1153,$AB$134:AB1153,"*")</f>
        <v>4577.196666667046</v>
      </c>
      <c r="BT1152" s="343">
        <f>SUMIFS($AU$134:AU1153,$AC$134:AC1153,"*")</f>
        <v>11143.683333333332</v>
      </c>
      <c r="BU1152" s="343">
        <f>SUMIFS($AU$134:AU1153,$AA$134:AA1153,"*",$AB$134:AB1153,"*")</f>
        <v>2838.0000000000864</v>
      </c>
      <c r="BV1152" s="343">
        <f>SUMIFS($AU$134:AU1153,$AA$134:AA1153,"*",$AC$134:AC1153,"*")</f>
        <v>9324.7833333333328</v>
      </c>
      <c r="BW1152" s="343">
        <f>SUMIFS($AU$134:AU1153,$AB$134:AB1153,"*",$AC$134:AC1153,"*")</f>
        <v>6014.6</v>
      </c>
      <c r="BX1152" s="343">
        <f>SUMIFS($AU1153:AU$1388,$Q1153:Q$1388,"F")</f>
        <v>8274.1333333333332</v>
      </c>
      <c r="BY1152" s="343">
        <f>SUMIFS($AU1153:AU$1388,$Q1153:Q$1388,"S")</f>
        <v>4576</v>
      </c>
      <c r="BZ1152" s="343">
        <f>SUMIFS($AU1153:AU$1388,$Q1153:Q$1388,"O")</f>
        <v>-207.48466666688103</v>
      </c>
    </row>
    <row r="1153" spans="1:78" ht="15.75" customHeight="1">
      <c r="A1153" s="221" t="s">
        <v>3942</v>
      </c>
      <c r="B1153" s="177">
        <v>45216</v>
      </c>
      <c r="C1153" s="178" t="s">
        <v>682</v>
      </c>
      <c r="D1153" s="178" t="s">
        <v>146</v>
      </c>
      <c r="E1153" s="227"/>
      <c r="F1153" s="180"/>
      <c r="G1153" s="281" t="s">
        <v>2145</v>
      </c>
      <c r="H1153" s="182"/>
      <c r="I1153" s="182"/>
      <c r="J1153" s="182"/>
      <c r="K1153" s="183"/>
      <c r="L1153" s="182">
        <v>1</v>
      </c>
      <c r="M1153" s="182">
        <v>1</v>
      </c>
      <c r="N1153" s="182"/>
      <c r="O1153" s="183" t="s">
        <v>95</v>
      </c>
      <c r="P1153" s="183" t="s">
        <v>96</v>
      </c>
      <c r="Q1153" s="183" t="s">
        <v>97</v>
      </c>
      <c r="R1153" s="183">
        <v>22</v>
      </c>
      <c r="S1153" s="183">
        <v>21</v>
      </c>
      <c r="T1153" s="183">
        <v>15</v>
      </c>
      <c r="U1153" s="183" t="s">
        <v>97</v>
      </c>
      <c r="V1153" s="183"/>
      <c r="W1153" s="183"/>
      <c r="X1153" s="183"/>
      <c r="Y1153" s="184">
        <f>IF(ISBLANK(O1153),"",(IF(O1153=UPPER("IB"),0.005,0.01)))</f>
        <v>0.01</v>
      </c>
      <c r="Z1153" s="185">
        <f t="shared" si="334"/>
        <v>1600</v>
      </c>
      <c r="AA1153" s="185" t="s">
        <v>3335</v>
      </c>
      <c r="AB1153" s="185"/>
      <c r="AC1153" s="185"/>
      <c r="AD1153" s="649">
        <f>(12*0.16+10*0.15)/22</f>
        <v>0.15545454545454546</v>
      </c>
      <c r="AE1153" s="182"/>
      <c r="AF1153" s="332"/>
      <c r="AG1153" s="182"/>
      <c r="AH1153" s="182"/>
      <c r="AI1153" s="182"/>
      <c r="AJ1153" s="640"/>
      <c r="AK1153" s="182"/>
      <c r="AL1153" s="496">
        <f t="shared" si="335"/>
        <v>-48</v>
      </c>
      <c r="AM1153" s="496">
        <f>AL1153*(R1153-S1153)</f>
        <v>-48</v>
      </c>
      <c r="AN1153" s="626"/>
      <c r="AO1153" s="182"/>
      <c r="AP1153" s="182" t="s">
        <v>1585</v>
      </c>
      <c r="AQ1153" s="332" t="str">
        <f>UPPER(RIGHT(Journal_Live[[#This Row],[DURATION ]]))</f>
        <v>H</v>
      </c>
      <c r="AR1153" s="182" t="s">
        <v>4131</v>
      </c>
      <c r="AS1153" s="189">
        <f>(0.17*8+0.16*2+0.16*6+0.16*5+0.17)/22</f>
        <v>0.16409090909090909</v>
      </c>
      <c r="AT1153" s="189">
        <f>IF(ISBLANK(AS1153),,IF(U1153="S",AD1153-AS1153,AS1153-AD1153))</f>
        <v>-8.6363636363636365E-3</v>
      </c>
      <c r="AU1153" s="187">
        <f>AV1153*R1153</f>
        <v>-304</v>
      </c>
      <c r="AV1153" s="190">
        <f>IF(ISBLANK(AS1153),,(AT1153*Z1153))</f>
        <v>-13.818181818181818</v>
      </c>
      <c r="AW1153" s="191" t="s">
        <v>229</v>
      </c>
      <c r="AX1153" s="407"/>
      <c r="AY1153" s="407"/>
      <c r="AZ1153" s="407"/>
      <c r="BA1153" s="407"/>
      <c r="BB1153" s="407"/>
      <c r="BC1153" s="407"/>
      <c r="BD1153" s="407"/>
      <c r="BE1153" s="407"/>
      <c r="BF1153" s="422"/>
      <c r="BG1153" s="391">
        <f>SUM($AV$4:AV1153)</f>
        <v>4108.7742902304817</v>
      </c>
      <c r="BH1153" s="392">
        <f>SUM($AU$134:AU1153)</f>
        <v>20412.002000000419</v>
      </c>
      <c r="BI1153" s="318">
        <f>SUMIFS($AU$134:AU1154,$Q$134:Q1154,"F")</f>
        <v>6166.5333333333328</v>
      </c>
      <c r="BJ1153" s="318">
        <f>SUMIFS($AU$134:AU1154,$Q$134:Q1154,"S")</f>
        <v>15983.642</v>
      </c>
      <c r="BK1153" s="343">
        <f>SUMIFS($AU$134:AU1154,$P$134:P1154,"W")</f>
        <v>13470.941999999943</v>
      </c>
      <c r="BL1153" s="343">
        <f>SUMIFS($AU$134:AU1154,$P$134:P1154,"R")</f>
        <v>8484.6733333333214</v>
      </c>
      <c r="BM1153" s="343">
        <f>SUMIFS($AU$134:AU1154,$AQ$134:AQ1154,"M")</f>
        <v>2582.0300000001416</v>
      </c>
      <c r="BN1153" s="343">
        <f>SUMIFS($AU$134:AU1154,$AQ$134:AQ1154,"H")</f>
        <v>8089.3420000000642</v>
      </c>
      <c r="BO1153" s="343">
        <f>SUMIFS($AU$134:AU1154,$AQ$134:AQ1154,"D")</f>
        <v>4770.2366666667649</v>
      </c>
      <c r="BP1153" s="343">
        <f>SUMIFS($AU$134:AU1156,$AQ$134:AQ1156,"W")</f>
        <v>3191.7633333332024</v>
      </c>
      <c r="BQ1153" s="343">
        <f>SUMIFS($AU$134:AU1154,$Q$134:Q1154,"O")</f>
        <v>-1441.3733333329176</v>
      </c>
      <c r="BR1153" s="343">
        <f>SUMIFS($AU$134:AU1154,$AA$134:AA1154,"*")</f>
        <v>18813.305333333457</v>
      </c>
      <c r="BS1153" s="343">
        <f>SUMIFS($AU$134:AU1154,$AB$134:AB1154,"*")</f>
        <v>4577.196666667046</v>
      </c>
      <c r="BT1153" s="343">
        <f>SUMIFS($AU$134:AU1154,$AC$134:AC1154,"*")</f>
        <v>11143.683333333332</v>
      </c>
      <c r="BU1153" s="343">
        <f>SUMIFS($AU$134:AU1154,$AA$134:AA1154,"*",$AB$134:AB1154,"*")</f>
        <v>2838.0000000000864</v>
      </c>
      <c r="BV1153" s="343">
        <f>SUMIFS($AU$134:AU1154,$AA$134:AA1154,"*",$AC$134:AC1154,"*")</f>
        <v>9324.7833333333328</v>
      </c>
      <c r="BW1153" s="343">
        <f>SUMIFS($AU$134:AU1154,$AB$134:AB1154,"*",$AC$134:AC1154,"*")</f>
        <v>6014.6</v>
      </c>
      <c r="BX1153" s="343">
        <f>SUMIFS($AU1154:AU$1388,$Q1154:Q$1388,"F")</f>
        <v>8274.1333333333332</v>
      </c>
      <c r="BY1153" s="343">
        <f>SUMIFS($AU1154:AU$1388,$Q1154:Q$1388,"S")</f>
        <v>4880</v>
      </c>
      <c r="BZ1153" s="343">
        <f>SUMIFS($AU1154:AU$1388,$Q1154:Q$1388,"O")</f>
        <v>-207.48466666688103</v>
      </c>
    </row>
    <row r="1154" spans="1:78" ht="15.75" customHeight="1">
      <c r="A1154" s="221" t="s">
        <v>3942</v>
      </c>
      <c r="B1154" s="177">
        <v>45216</v>
      </c>
      <c r="C1154" s="178" t="s">
        <v>682</v>
      </c>
      <c r="D1154" s="178" t="s">
        <v>146</v>
      </c>
      <c r="E1154" s="227"/>
      <c r="F1154" s="180"/>
      <c r="G1154" s="281" t="s">
        <v>2016</v>
      </c>
      <c r="H1154" s="182"/>
      <c r="I1154" s="182"/>
      <c r="J1154" s="182"/>
      <c r="K1154" s="183"/>
      <c r="L1154" s="182">
        <v>1</v>
      </c>
      <c r="M1154" s="182">
        <v>1</v>
      </c>
      <c r="N1154" s="182"/>
      <c r="O1154" s="183" t="s">
        <v>95</v>
      </c>
      <c r="P1154" s="183" t="s">
        <v>96</v>
      </c>
      <c r="Q1154" s="183" t="s">
        <v>97</v>
      </c>
      <c r="R1154" s="183">
        <v>15</v>
      </c>
      <c r="S1154" s="183">
        <v>3</v>
      </c>
      <c r="T1154" s="183">
        <v>15</v>
      </c>
      <c r="U1154" s="183" t="s">
        <v>97</v>
      </c>
      <c r="V1154" s="183"/>
      <c r="W1154" s="183"/>
      <c r="X1154" s="183"/>
      <c r="Y1154" s="184">
        <f>IF(ISBLANK(O1154),"",(IF(O1154=UPPER("IB"),0.005,0.01)))</f>
        <v>0.01</v>
      </c>
      <c r="Z1154" s="185">
        <f t="shared" si="334"/>
        <v>1600</v>
      </c>
      <c r="AA1154" s="185" t="s">
        <v>99</v>
      </c>
      <c r="AB1154" s="185"/>
      <c r="AC1154" s="185"/>
      <c r="AD1154" s="649">
        <v>-0.06</v>
      </c>
      <c r="AE1154" s="182"/>
      <c r="AF1154" s="332"/>
      <c r="AG1154" s="182"/>
      <c r="AH1154" s="182"/>
      <c r="AI1154" s="182"/>
      <c r="AJ1154" s="640"/>
      <c r="AK1154" s="182"/>
      <c r="AL1154" s="496">
        <f t="shared" si="335"/>
        <v>-48</v>
      </c>
      <c r="AM1154" s="496">
        <f>AL1154*(R1154-S1154)</f>
        <v>-576</v>
      </c>
      <c r="AN1154" s="626"/>
      <c r="AO1154" s="182"/>
      <c r="AP1154" s="182" t="s">
        <v>1398</v>
      </c>
      <c r="AQ1154" s="332" t="str">
        <f>UPPER(RIGHT(Journal_Live[[#This Row],[DURATION ]]))</f>
        <v>H</v>
      </c>
      <c r="AR1154" s="182" t="s">
        <v>4132</v>
      </c>
      <c r="AS1154" s="189">
        <f>((-0.06*3)+(-0.07*12))/15</f>
        <v>-6.8000000000000005E-2</v>
      </c>
      <c r="AT1154" s="189">
        <f>IF(ISBLANK(AS1154),,IF(U1154="S",AD1154-AS1154,AS1154-AD1154))</f>
        <v>8.0000000000000071E-3</v>
      </c>
      <c r="AU1154" s="187">
        <f>AV1154*R1154</f>
        <v>192.00000000000017</v>
      </c>
      <c r="AV1154" s="190">
        <f>IF(ISBLANK(AS1154),,(AT1154*Z1154))</f>
        <v>12.800000000000011</v>
      </c>
      <c r="AW1154" s="191" t="s">
        <v>96</v>
      </c>
      <c r="AX1154" s="407"/>
      <c r="AY1154" s="407"/>
      <c r="AZ1154" s="407"/>
      <c r="BA1154" s="407"/>
      <c r="BB1154" s="407"/>
      <c r="BC1154" s="407"/>
      <c r="BD1154" s="407"/>
      <c r="BE1154" s="407"/>
      <c r="BF1154" s="422"/>
      <c r="BG1154" s="391">
        <f>SUM($AV$4:AV1154)</f>
        <v>4121.5742902304819</v>
      </c>
      <c r="BH1154" s="392">
        <f>SUM($AU$134:AU1154)</f>
        <v>20604.002000000419</v>
      </c>
      <c r="BI1154" s="318">
        <f>SUMIFS($AU$134:AU1155,$Q$134:Q1155,"F")</f>
        <v>6166.5333333333328</v>
      </c>
      <c r="BJ1154" s="318">
        <f>SUMIFS($AU$134:AU1155,$Q$134:Q1155,"S")</f>
        <v>15983.642</v>
      </c>
      <c r="BK1154" s="343">
        <f>SUMIFS($AU$134:AU1155,$P$134:P1155,"W")</f>
        <v>13470.941999999943</v>
      </c>
      <c r="BL1154" s="343">
        <f>SUMIFS($AU$134:AU1155,$P$134:P1155,"R")</f>
        <v>8484.6733333333214</v>
      </c>
      <c r="BM1154" s="343">
        <f>SUMIFS($AU$134:AU1155,$AQ$134:AQ1155,"M")</f>
        <v>2582.0300000001416</v>
      </c>
      <c r="BN1154" s="343">
        <f>SUMIFS($AU$134:AU1155,$AQ$134:AQ1155,"H")</f>
        <v>8089.3420000000642</v>
      </c>
      <c r="BO1154" s="343">
        <f>SUMIFS($AU$134:AU1155,$AQ$134:AQ1155,"D")</f>
        <v>4770.2366666667649</v>
      </c>
      <c r="BP1154" s="343">
        <f>SUMIFS($AU$134:AU1157,$AQ$134:AQ1157,"W")</f>
        <v>3191.7633333332024</v>
      </c>
      <c r="BQ1154" s="343">
        <f>SUMIFS($AU$134:AU1155,$Q$134:Q1155,"O")</f>
        <v>-1441.3733333329176</v>
      </c>
      <c r="BR1154" s="343">
        <f>SUMIFS($AU$134:AU1155,$AA$134:AA1155,"*")</f>
        <v>18813.305333333457</v>
      </c>
      <c r="BS1154" s="343">
        <f>SUMIFS($AU$134:AU1155,$AB$134:AB1155,"*")</f>
        <v>4577.196666667046</v>
      </c>
      <c r="BT1154" s="343">
        <f>SUMIFS($AU$134:AU1155,$AC$134:AC1155,"*")</f>
        <v>11143.683333333332</v>
      </c>
      <c r="BU1154" s="343">
        <f>SUMIFS($AU$134:AU1155,$AA$134:AA1155,"*",$AB$134:AB1155,"*")</f>
        <v>2838.0000000000864</v>
      </c>
      <c r="BV1154" s="343">
        <f>SUMIFS($AU$134:AU1155,$AA$134:AA1155,"*",$AC$134:AC1155,"*")</f>
        <v>9324.7833333333328</v>
      </c>
      <c r="BW1154" s="343">
        <f>SUMIFS($AU$134:AU1155,$AB$134:AB1155,"*",$AC$134:AC1155,"*")</f>
        <v>6014.6</v>
      </c>
      <c r="BX1154" s="343">
        <f>SUMIFS($AU1155:AU$1388,$Q1155:Q$1388,"F")</f>
        <v>8274.1333333333332</v>
      </c>
      <c r="BY1154" s="343">
        <f>SUMIFS($AU1155:AU$1388,$Q1155:Q$1388,"S")</f>
        <v>4688</v>
      </c>
      <c r="BZ1154" s="343">
        <f>SUMIFS($AU1155:AU$1388,$Q1155:Q$1388,"O")</f>
        <v>-207.48466666688103</v>
      </c>
    </row>
    <row r="1155" spans="1:78" ht="15.75" customHeight="1">
      <c r="A1155" s="221" t="s">
        <v>3942</v>
      </c>
      <c r="B1155" s="177">
        <v>45217</v>
      </c>
      <c r="C1155" s="178" t="s">
        <v>2524</v>
      </c>
      <c r="D1155" s="178" t="s">
        <v>151</v>
      </c>
      <c r="E1155" s="227" t="s">
        <v>4133</v>
      </c>
      <c r="F1155" s="180"/>
      <c r="G1155" s="181"/>
      <c r="H1155" s="182"/>
      <c r="I1155" s="182"/>
      <c r="J1155" s="182"/>
      <c r="K1155" s="183"/>
      <c r="L1155" s="182"/>
      <c r="M1155" s="182"/>
      <c r="N1155" s="182"/>
      <c r="O1155" s="183"/>
      <c r="P1155" s="183"/>
      <c r="Q1155" s="183"/>
      <c r="R1155" s="183"/>
      <c r="S1155" s="183"/>
      <c r="T1155" s="183"/>
      <c r="U1155" s="183"/>
      <c r="V1155" s="183"/>
      <c r="W1155" s="183"/>
      <c r="X1155" s="183"/>
      <c r="Y1155" s="183"/>
      <c r="Z1155" s="185" t="str">
        <f t="shared" si="334"/>
        <v/>
      </c>
      <c r="AA1155" s="185"/>
      <c r="AB1155" s="185"/>
      <c r="AC1155" s="185"/>
      <c r="AD1155" s="649"/>
      <c r="AE1155" s="182"/>
      <c r="AF1155" s="332"/>
      <c r="AG1155" s="182"/>
      <c r="AH1155" s="182"/>
      <c r="AI1155" s="182"/>
      <c r="AJ1155" s="640"/>
      <c r="AK1155" s="182"/>
      <c r="AL1155" s="496"/>
      <c r="AM1155" s="496"/>
      <c r="AN1155" s="626"/>
      <c r="AO1155" s="182"/>
      <c r="AP1155" s="182"/>
      <c r="AQ1155" s="332" t="str">
        <f>UPPER(RIGHT(Journal_Live[[#This Row],[DURATION ]]))</f>
        <v/>
      </c>
      <c r="AR1155" s="182"/>
      <c r="AS1155" s="189"/>
      <c r="AT1155" s="189"/>
      <c r="AU1155" s="187"/>
      <c r="AV1155" s="190"/>
      <c r="AW1155" s="191"/>
      <c r="AX1155" s="407" t="s">
        <v>4134</v>
      </c>
      <c r="AY1155" s="407"/>
      <c r="AZ1155" s="407"/>
      <c r="BA1155" s="407"/>
      <c r="BB1155" s="407"/>
      <c r="BC1155" s="407"/>
      <c r="BD1155" s="407"/>
      <c r="BE1155" s="407"/>
      <c r="BF1155" s="422"/>
      <c r="BG1155" s="391">
        <f>SUM($AV$4:AV1155)</f>
        <v>4121.5742902304819</v>
      </c>
      <c r="BH1155" s="392">
        <f>SUM($AU$134:AU1155)</f>
        <v>20604.002000000419</v>
      </c>
      <c r="BI1155" s="318">
        <f>SUMIFS($AU$134:AU1156,$Q$134:Q1156,"F")</f>
        <v>6166.5333333333328</v>
      </c>
      <c r="BJ1155" s="318">
        <f>SUMIFS($AU$134:AU1156,$Q$134:Q1156,"S")</f>
        <v>16031.642</v>
      </c>
      <c r="BK1155" s="343">
        <f>SUMIFS($AU$134:AU1156,$P$134:P1156,"W")</f>
        <v>13518.941999999943</v>
      </c>
      <c r="BL1155" s="343">
        <f>SUMIFS($AU$134:AU1156,$P$134:P1156,"R")</f>
        <v>8484.6733333333214</v>
      </c>
      <c r="BM1155" s="343">
        <f>SUMIFS($AU$134:AU1156,$AQ$134:AQ1156,"M")</f>
        <v>2582.0300000001416</v>
      </c>
      <c r="BN1155" s="343">
        <f>SUMIFS($AU$134:AU1156,$AQ$134:AQ1156,"H")</f>
        <v>8089.3420000000642</v>
      </c>
      <c r="BO1155" s="343">
        <f>SUMIFS($AU$134:AU1156,$AQ$134:AQ1156,"D")</f>
        <v>4818.2366666667649</v>
      </c>
      <c r="BP1155" s="343">
        <f>SUMIFS($AU$134:AU1158,$AQ$134:AQ1158,"W")</f>
        <v>3191.7633333332024</v>
      </c>
      <c r="BQ1155" s="343">
        <f>SUMIFS($AU$134:AU1156,$Q$134:Q1156,"O")</f>
        <v>-1441.3733333329176</v>
      </c>
      <c r="BR1155" s="343">
        <f>SUMIFS($AU$134:AU1156,$AA$134:AA1156,"*")</f>
        <v>18861.305333333457</v>
      </c>
      <c r="BS1155" s="343">
        <f>SUMIFS($AU$134:AU1156,$AB$134:AB1156,"*")</f>
        <v>4577.196666667046</v>
      </c>
      <c r="BT1155" s="343">
        <f>SUMIFS($AU$134:AU1156,$AC$134:AC1156,"*")</f>
        <v>11143.683333333332</v>
      </c>
      <c r="BU1155" s="343">
        <f>SUMIFS($AU$134:AU1156,$AA$134:AA1156,"*",$AB$134:AB1156,"*")</f>
        <v>2838.0000000000864</v>
      </c>
      <c r="BV1155" s="343">
        <f>SUMIFS($AU$134:AU1156,$AA$134:AA1156,"*",$AC$134:AC1156,"*")</f>
        <v>9324.7833333333328</v>
      </c>
      <c r="BW1155" s="343">
        <f>SUMIFS($AU$134:AU1156,$AB$134:AB1156,"*",$AC$134:AC1156,"*")</f>
        <v>6014.6</v>
      </c>
      <c r="BX1155" s="343">
        <f>SUMIFS($AU1156:AU$1388,$Q1156:Q$1388,"F")</f>
        <v>8274.1333333333332</v>
      </c>
      <c r="BY1155" s="343">
        <f>SUMIFS($AU1156:AU$1388,$Q1156:Q$1388,"S")</f>
        <v>4688</v>
      </c>
      <c r="BZ1155" s="343">
        <f>SUMIFS($AU1156:AU$1388,$Q1156:Q$1388,"O")</f>
        <v>-207.48466666688103</v>
      </c>
    </row>
    <row r="1156" spans="1:78" ht="15.75" customHeight="1">
      <c r="A1156" s="221" t="s">
        <v>3942</v>
      </c>
      <c r="B1156" s="177">
        <v>45217</v>
      </c>
      <c r="C1156" s="178" t="s">
        <v>4135</v>
      </c>
      <c r="D1156" s="178" t="s">
        <v>151</v>
      </c>
      <c r="E1156" s="227"/>
      <c r="F1156" s="180"/>
      <c r="G1156" s="281" t="s">
        <v>181</v>
      </c>
      <c r="H1156" s="182"/>
      <c r="I1156" s="182"/>
      <c r="J1156" s="182"/>
      <c r="K1156" s="183"/>
      <c r="L1156" s="182">
        <v>1</v>
      </c>
      <c r="M1156" s="182"/>
      <c r="N1156" s="182"/>
      <c r="O1156" s="183" t="s">
        <v>95</v>
      </c>
      <c r="P1156" s="183" t="s">
        <v>96</v>
      </c>
      <c r="Q1156" s="183" t="s">
        <v>97</v>
      </c>
      <c r="R1156" s="183">
        <v>3</v>
      </c>
      <c r="S1156" s="183">
        <v>0</v>
      </c>
      <c r="T1156" s="183">
        <v>3</v>
      </c>
      <c r="U1156" s="183" t="s">
        <v>97</v>
      </c>
      <c r="V1156" s="183"/>
      <c r="W1156" s="183"/>
      <c r="X1156" s="183"/>
      <c r="Y1156" s="184">
        <f>IF(ISBLANK(O1156),"",(IF(O1156=UPPER("IB"),0.005,0.01)))</f>
        <v>0.01</v>
      </c>
      <c r="Z1156" s="185">
        <f t="shared" si="334"/>
        <v>1600</v>
      </c>
      <c r="AA1156" s="185" t="s">
        <v>99</v>
      </c>
      <c r="AB1156" s="185"/>
      <c r="AC1156" s="185"/>
      <c r="AD1156" s="649">
        <v>7.0000000000000007E-2</v>
      </c>
      <c r="AE1156" s="182"/>
      <c r="AF1156" s="332"/>
      <c r="AG1156" s="182"/>
      <c r="AH1156" s="182"/>
      <c r="AI1156" s="182"/>
      <c r="AJ1156" s="640"/>
      <c r="AK1156" s="182"/>
      <c r="AL1156" s="496">
        <f t="shared" ref="AL1156" si="336">-0.03*Z1156</f>
        <v>-48</v>
      </c>
      <c r="AM1156" s="496">
        <f>AL1156*(R1156-S1156)</f>
        <v>-144</v>
      </c>
      <c r="AN1156" s="626"/>
      <c r="AO1156" s="182"/>
      <c r="AP1156" s="182" t="s">
        <v>804</v>
      </c>
      <c r="AQ1156" s="332" t="str">
        <f>UPPER(RIGHT(Journal_Live[[#This Row],[DURATION ]]))</f>
        <v>D</v>
      </c>
      <c r="AR1156" s="182" t="s">
        <v>4136</v>
      </c>
      <c r="AS1156" s="189">
        <v>0.06</v>
      </c>
      <c r="AT1156" s="189">
        <f>IF(ISBLANK(AS1156),,IF(U1156="S",AD1156-AS1156,AS1156-AD1156))</f>
        <v>1.0000000000000009E-2</v>
      </c>
      <c r="AU1156" s="187">
        <f>AV1156*R1156</f>
        <v>48.000000000000043</v>
      </c>
      <c r="AV1156" s="190">
        <f>IF(ISBLANK(AS1156),,(AT1156*Z1156))</f>
        <v>16.000000000000014</v>
      </c>
      <c r="AW1156" s="191" t="s">
        <v>96</v>
      </c>
      <c r="AX1156" s="407"/>
      <c r="AY1156" s="407"/>
      <c r="AZ1156" s="407"/>
      <c r="BA1156" s="407"/>
      <c r="BB1156" s="407"/>
      <c r="BC1156" s="407"/>
      <c r="BD1156" s="407"/>
      <c r="BE1156" s="407"/>
      <c r="BF1156" s="422"/>
      <c r="BG1156" s="391">
        <f>SUM($AV$4:AV1156)</f>
        <v>4137.5742902304819</v>
      </c>
      <c r="BH1156" s="392">
        <f>SUM($AU$134:AU1156)</f>
        <v>20652.002000000419</v>
      </c>
      <c r="BI1156" s="318">
        <f>SUMIFS($AU$134:AU1157,$Q$134:Q1157,"F")</f>
        <v>6166.5333333333328</v>
      </c>
      <c r="BJ1156" s="318">
        <f>SUMIFS($AU$134:AU1157,$Q$134:Q1157,"S")</f>
        <v>16063.642</v>
      </c>
      <c r="BK1156" s="343">
        <f>SUMIFS($AU$134:AU1157,$P$134:P1157,"W")</f>
        <v>13550.941999999943</v>
      </c>
      <c r="BL1156" s="343">
        <f>SUMIFS($AU$134:AU1157,$P$134:P1157,"R")</f>
        <v>8484.6733333333214</v>
      </c>
      <c r="BM1156" s="343">
        <f>SUMIFS($AU$134:AU1157,$AQ$134:AQ1157,"M")</f>
        <v>2582.0300000001416</v>
      </c>
      <c r="BN1156" s="343">
        <f>SUMIFS($AU$134:AU1157,$AQ$134:AQ1157,"H")</f>
        <v>8089.3420000000642</v>
      </c>
      <c r="BO1156" s="343">
        <f>SUMIFS($AU$134:AU1157,$AQ$134:AQ1157,"D")</f>
        <v>4850.2366666667649</v>
      </c>
      <c r="BP1156" s="343">
        <f>SUMIFS($AU$134:AU1159,$AQ$134:AQ1159,"W")</f>
        <v>3191.7633333332024</v>
      </c>
      <c r="BQ1156" s="343">
        <f>SUMIFS($AU$134:AU1157,$Q$134:Q1157,"O")</f>
        <v>-1441.3733333329176</v>
      </c>
      <c r="BR1156" s="343">
        <f>SUMIFS($AU$134:AU1157,$AA$134:AA1157,"*")</f>
        <v>18893.305333333457</v>
      </c>
      <c r="BS1156" s="343">
        <f>SUMIFS($AU$134:AU1157,$AB$134:AB1157,"*")</f>
        <v>4577.196666667046</v>
      </c>
      <c r="BT1156" s="343">
        <f>SUMIFS($AU$134:AU1157,$AC$134:AC1157,"*")</f>
        <v>11143.683333333332</v>
      </c>
      <c r="BU1156" s="343">
        <f>SUMIFS($AU$134:AU1157,$AA$134:AA1157,"*",$AB$134:AB1157,"*")</f>
        <v>2838.0000000000864</v>
      </c>
      <c r="BV1156" s="343">
        <f>SUMIFS($AU$134:AU1157,$AA$134:AA1157,"*",$AC$134:AC1157,"*")</f>
        <v>9324.7833333333328</v>
      </c>
      <c r="BW1156" s="343">
        <f>SUMIFS($AU$134:AU1157,$AB$134:AB1157,"*",$AC$134:AC1157,"*")</f>
        <v>6014.6</v>
      </c>
      <c r="BX1156" s="343">
        <f>SUMIFS($AU1157:AU$1388,$Q1157:Q$1388,"F")</f>
        <v>8274.1333333333332</v>
      </c>
      <c r="BY1156" s="343">
        <f>SUMIFS($AU1157:AU$1388,$Q1157:Q$1388,"S")</f>
        <v>4640</v>
      </c>
      <c r="BZ1156" s="343">
        <f>SUMIFS($AU1157:AU$1388,$Q1157:Q$1388,"O")</f>
        <v>-207.48466666688103</v>
      </c>
    </row>
    <row r="1157" spans="1:78" ht="15.75" customHeight="1">
      <c r="A1157" s="221" t="s">
        <v>3942</v>
      </c>
      <c r="B1157" s="177">
        <v>45217</v>
      </c>
      <c r="C1157" s="178" t="s">
        <v>2093</v>
      </c>
      <c r="D1157" s="178" t="s">
        <v>151</v>
      </c>
      <c r="E1157" s="227"/>
      <c r="F1157" s="180"/>
      <c r="G1157" s="281" t="s">
        <v>2145</v>
      </c>
      <c r="H1157" s="182"/>
      <c r="I1157" s="182"/>
      <c r="J1157" s="182"/>
      <c r="K1157" s="183"/>
      <c r="L1157" s="182">
        <v>1</v>
      </c>
      <c r="M1157" s="182"/>
      <c r="N1157" s="182"/>
      <c r="O1157" s="183" t="s">
        <v>95</v>
      </c>
      <c r="P1157" s="183" t="s">
        <v>96</v>
      </c>
      <c r="Q1157" s="183" t="s">
        <v>97</v>
      </c>
      <c r="R1157" s="183">
        <v>8</v>
      </c>
      <c r="S1157" s="183">
        <v>0</v>
      </c>
      <c r="T1157" s="183">
        <v>6</v>
      </c>
      <c r="U1157" s="183" t="s">
        <v>97</v>
      </c>
      <c r="V1157" s="183"/>
      <c r="W1157" s="183"/>
      <c r="X1157" s="183"/>
      <c r="Y1157" s="184">
        <f>IF(ISBLANK(O1157),"",(IF(O1157=UPPER("IB"),0.005,0.01)))</f>
        <v>0.01</v>
      </c>
      <c r="Z1157" s="185">
        <f t="shared" si="334"/>
        <v>1600</v>
      </c>
      <c r="AA1157" s="185" t="s">
        <v>1824</v>
      </c>
      <c r="AB1157" s="185"/>
      <c r="AC1157" s="185"/>
      <c r="AD1157" s="649">
        <f>(0.17*6+0.18*2)/8</f>
        <v>0.17249999999999999</v>
      </c>
      <c r="AE1157" s="182"/>
      <c r="AF1157" s="332"/>
      <c r="AG1157" s="182"/>
      <c r="AH1157" s="182"/>
      <c r="AI1157" s="182"/>
      <c r="AJ1157" s="640"/>
      <c r="AK1157" s="182"/>
      <c r="AL1157" s="496"/>
      <c r="AM1157" s="496"/>
      <c r="AN1157" s="626"/>
      <c r="AO1157" s="182"/>
      <c r="AP1157" s="182" t="s">
        <v>770</v>
      </c>
      <c r="AQ1157" s="332" t="str">
        <f>UPPER(RIGHT(Journal_Live[[#This Row],[DURATION ]]))</f>
        <v>D</v>
      </c>
      <c r="AR1157" s="182" t="s">
        <v>682</v>
      </c>
      <c r="AS1157" s="189">
        <v>0.17</v>
      </c>
      <c r="AT1157" s="189">
        <f>IF(ISBLANK(AS1157),,IF(U1157="S",AD1157-AS1157,AS1157-AD1157))</f>
        <v>2.4999999999999745E-3</v>
      </c>
      <c r="AU1157" s="187">
        <f>AV1157*R1157</f>
        <v>31.999999999999673</v>
      </c>
      <c r="AV1157" s="190">
        <f>IF(ISBLANK(AS1157),,(AT1157*Z1157))</f>
        <v>3.9999999999999591</v>
      </c>
      <c r="AW1157" s="191" t="s">
        <v>96</v>
      </c>
      <c r="AX1157" s="407"/>
      <c r="AY1157" s="407"/>
      <c r="AZ1157" s="407"/>
      <c r="BA1157" s="407"/>
      <c r="BB1157" s="407"/>
      <c r="BC1157" s="407"/>
      <c r="BD1157" s="407"/>
      <c r="BE1157" s="407"/>
      <c r="BF1157" s="422"/>
      <c r="BG1157" s="391">
        <f>SUM($AV$4:AV1157)</f>
        <v>4141.5742902304819</v>
      </c>
      <c r="BH1157" s="392">
        <f>SUM($AU$134:AU1157)</f>
        <v>20684.002000000419</v>
      </c>
      <c r="BI1157" s="318">
        <f>SUMIFS($AU$134:AU1158,$Q$134:Q1158,"F")</f>
        <v>6166.5333333333328</v>
      </c>
      <c r="BJ1157" s="318">
        <f>SUMIFS($AU$134:AU1158,$Q$134:Q1158,"S")</f>
        <v>16063.642</v>
      </c>
      <c r="BK1157" s="343">
        <f>SUMIFS($AU$134:AU1158,$P$134:P1158,"W")</f>
        <v>13550.941999999943</v>
      </c>
      <c r="BL1157" s="343">
        <f>SUMIFS($AU$134:AU1158,$P$134:P1158,"R")</f>
        <v>8484.6733333333214</v>
      </c>
      <c r="BM1157" s="343">
        <f>SUMIFS($AU$134:AU1158,$AQ$134:AQ1158,"M")</f>
        <v>2582.0300000001416</v>
      </c>
      <c r="BN1157" s="343">
        <f>SUMIFS($AU$134:AU1158,$AQ$134:AQ1158,"H")</f>
        <v>8089.3420000000642</v>
      </c>
      <c r="BO1157" s="343">
        <f>SUMIFS($AU$134:AU1158,$AQ$134:AQ1158,"D")</f>
        <v>4850.2366666667649</v>
      </c>
      <c r="BP1157" s="343">
        <f>SUMIFS($AU$134:AU1160,$AQ$134:AQ1160,"W")</f>
        <v>3191.7633333332024</v>
      </c>
      <c r="BQ1157" s="343">
        <f>SUMIFS($AU$134:AU1158,$Q$134:Q1158,"O")</f>
        <v>-1441.3733333329176</v>
      </c>
      <c r="BR1157" s="343">
        <f>SUMIFS($AU$134:AU1158,$AA$134:AA1158,"*")</f>
        <v>18893.305333333457</v>
      </c>
      <c r="BS1157" s="343">
        <f>SUMIFS($AU$134:AU1158,$AB$134:AB1158,"*")</f>
        <v>4577.196666667046</v>
      </c>
      <c r="BT1157" s="343">
        <f>SUMIFS($AU$134:AU1158,$AC$134:AC1158,"*")</f>
        <v>11143.683333333332</v>
      </c>
      <c r="BU1157" s="343">
        <f>SUMIFS($AU$134:AU1158,$AA$134:AA1158,"*",$AB$134:AB1158,"*")</f>
        <v>2838.0000000000864</v>
      </c>
      <c r="BV1157" s="343">
        <f>SUMIFS($AU$134:AU1158,$AA$134:AA1158,"*",$AC$134:AC1158,"*")</f>
        <v>9324.7833333333328</v>
      </c>
      <c r="BW1157" s="343">
        <f>SUMIFS($AU$134:AU1158,$AB$134:AB1158,"*",$AC$134:AC1158,"*")</f>
        <v>6014.6</v>
      </c>
      <c r="BX1157" s="343">
        <f>SUMIFS($AU1158:AU$1388,$Q1158:Q$1388,"F")</f>
        <v>8274.1333333333332</v>
      </c>
      <c r="BY1157" s="343">
        <f>SUMIFS($AU1158:AU$1388,$Q1158:Q$1388,"S")</f>
        <v>4608.0000000000009</v>
      </c>
      <c r="BZ1157" s="343">
        <f>SUMIFS($AU1158:AU$1388,$Q1158:Q$1388,"O")</f>
        <v>-207.48466666688103</v>
      </c>
    </row>
    <row r="1158" spans="1:78" ht="15.75" customHeight="1">
      <c r="A1158" s="221" t="s">
        <v>3942</v>
      </c>
      <c r="B1158" s="177">
        <v>45218</v>
      </c>
      <c r="C1158" s="178" t="s">
        <v>1437</v>
      </c>
      <c r="D1158" s="178" t="s">
        <v>93</v>
      </c>
      <c r="E1158" s="227" t="s">
        <v>4137</v>
      </c>
      <c r="F1158" s="180"/>
      <c r="G1158" s="181"/>
      <c r="H1158" s="182"/>
      <c r="I1158" s="182"/>
      <c r="J1158" s="182">
        <v>1</v>
      </c>
      <c r="K1158" s="183" t="s">
        <v>372</v>
      </c>
      <c r="L1158" s="182"/>
      <c r="M1158" s="182"/>
      <c r="N1158" s="182"/>
      <c r="O1158" s="183"/>
      <c r="P1158" s="183"/>
      <c r="Q1158" s="183"/>
      <c r="R1158" s="183"/>
      <c r="S1158" s="183"/>
      <c r="T1158" s="183"/>
      <c r="U1158" s="183"/>
      <c r="V1158" s="183"/>
      <c r="W1158" s="183"/>
      <c r="X1158" s="183"/>
      <c r="Y1158" s="183"/>
      <c r="Z1158" s="185" t="str">
        <f t="shared" si="334"/>
        <v/>
      </c>
      <c r="AA1158" s="185"/>
      <c r="AB1158" s="185"/>
      <c r="AC1158" s="185"/>
      <c r="AD1158" s="649"/>
      <c r="AE1158" s="182"/>
      <c r="AF1158" s="332"/>
      <c r="AG1158" s="182"/>
      <c r="AH1158" s="182"/>
      <c r="AI1158" s="182"/>
      <c r="AJ1158" s="640"/>
      <c r="AK1158" s="182"/>
      <c r="AL1158" s="496"/>
      <c r="AM1158" s="496"/>
      <c r="AN1158" s="626"/>
      <c r="AO1158" s="182"/>
      <c r="AP1158" s="182"/>
      <c r="AQ1158" s="332" t="str">
        <f>UPPER(RIGHT(Journal_Live[[#This Row],[DURATION ]]))</f>
        <v/>
      </c>
      <c r="AR1158" s="182"/>
      <c r="AS1158" s="189"/>
      <c r="AT1158" s="189"/>
      <c r="AU1158" s="187"/>
      <c r="AV1158" s="190"/>
      <c r="AW1158" s="191"/>
      <c r="AX1158" s="407" t="s">
        <v>4138</v>
      </c>
      <c r="AY1158" s="407"/>
      <c r="AZ1158" s="407"/>
      <c r="BA1158" s="407"/>
      <c r="BB1158" s="407"/>
      <c r="BC1158" s="407"/>
      <c r="BD1158" s="407"/>
      <c r="BE1158" s="407"/>
      <c r="BF1158" s="422"/>
      <c r="BG1158" s="391">
        <f>SUM($AV$4:AV1158)</f>
        <v>4141.5742902304819</v>
      </c>
      <c r="BH1158" s="392">
        <f>SUM($AU$134:AU1158)</f>
        <v>20684.002000000419</v>
      </c>
      <c r="BI1158" s="318">
        <f>SUMIFS($AU$134:AU1159,$Q$134:Q1159,"F")</f>
        <v>6166.5333333333328</v>
      </c>
      <c r="BJ1158" s="318">
        <f>SUMIFS($AU$134:AU1159,$Q$134:Q1159,"S")</f>
        <v>16063.642</v>
      </c>
      <c r="BK1158" s="343">
        <f>SUMIFS($AU$134:AU1159,$P$134:P1159,"W")</f>
        <v>13550.941999999943</v>
      </c>
      <c r="BL1158" s="343">
        <f>SUMIFS($AU$134:AU1159,$P$134:P1159,"R")</f>
        <v>8484.6733333333214</v>
      </c>
      <c r="BM1158" s="343">
        <f>SUMIFS($AU$134:AU1159,$AQ$134:AQ1159,"M")</f>
        <v>2582.0300000001416</v>
      </c>
      <c r="BN1158" s="343">
        <f>SUMIFS($AU$134:AU1159,$AQ$134:AQ1159,"H")</f>
        <v>8089.3420000000642</v>
      </c>
      <c r="BO1158" s="343">
        <f>SUMIFS($AU$134:AU1159,$AQ$134:AQ1159,"D")</f>
        <v>4850.2366666667649</v>
      </c>
      <c r="BP1158" s="343">
        <f>SUMIFS($AU$134:AU1161,$AQ$134:AQ1161,"W")</f>
        <v>3191.7633333332024</v>
      </c>
      <c r="BQ1158" s="343">
        <f>SUMIFS($AU$134:AU1159,$Q$134:Q1159,"O")</f>
        <v>-1441.3733333329176</v>
      </c>
      <c r="BR1158" s="343">
        <f>SUMIFS($AU$134:AU1159,$AA$134:AA1159,"*")</f>
        <v>18893.305333333457</v>
      </c>
      <c r="BS1158" s="343">
        <f>SUMIFS($AU$134:AU1159,$AB$134:AB1159,"*")</f>
        <v>4577.196666667046</v>
      </c>
      <c r="BT1158" s="343">
        <f>SUMIFS($AU$134:AU1159,$AC$134:AC1159,"*")</f>
        <v>11143.683333333332</v>
      </c>
      <c r="BU1158" s="343">
        <f>SUMIFS($AU$134:AU1159,$AA$134:AA1159,"*",$AB$134:AB1159,"*")</f>
        <v>2838.0000000000864</v>
      </c>
      <c r="BV1158" s="343">
        <f>SUMIFS($AU$134:AU1159,$AA$134:AA1159,"*",$AC$134:AC1159,"*")</f>
        <v>9324.7833333333328</v>
      </c>
      <c r="BW1158" s="343">
        <f>SUMIFS($AU$134:AU1159,$AB$134:AB1159,"*",$AC$134:AC1159,"*")</f>
        <v>6014.6</v>
      </c>
      <c r="BX1158" s="343">
        <f>SUMIFS($AU1159:AU$1388,$Q1159:Q$1388,"F")</f>
        <v>8274.1333333333332</v>
      </c>
      <c r="BY1158" s="343">
        <f>SUMIFS($AU1159:AU$1388,$Q1159:Q$1388,"S")</f>
        <v>4608.0000000000009</v>
      </c>
      <c r="BZ1158" s="343">
        <f>SUMIFS($AU1159:AU$1388,$Q1159:Q$1388,"O")</f>
        <v>-207.48466666688103</v>
      </c>
    </row>
    <row r="1159" spans="1:78" ht="15.75" customHeight="1">
      <c r="A1159" s="221" t="s">
        <v>3942</v>
      </c>
      <c r="B1159" s="177"/>
      <c r="C1159" s="178"/>
      <c r="D1159" s="178"/>
      <c r="E1159" s="227" t="s">
        <v>4139</v>
      </c>
      <c r="F1159" s="180" t="s">
        <v>4140</v>
      </c>
      <c r="G1159" s="181"/>
      <c r="H1159" s="182"/>
      <c r="I1159" s="182"/>
      <c r="J1159" s="182">
        <v>1</v>
      </c>
      <c r="K1159" s="183" t="s">
        <v>115</v>
      </c>
      <c r="L1159" s="182"/>
      <c r="M1159" s="182"/>
      <c r="N1159" s="182"/>
      <c r="O1159" s="183"/>
      <c r="P1159" s="183"/>
      <c r="Q1159" s="183"/>
      <c r="R1159" s="183"/>
      <c r="S1159" s="183"/>
      <c r="T1159" s="183"/>
      <c r="U1159" s="183"/>
      <c r="V1159" s="183"/>
      <c r="W1159" s="183"/>
      <c r="X1159" s="183"/>
      <c r="Y1159" s="183"/>
      <c r="Z1159" s="185" t="str">
        <f t="shared" si="334"/>
        <v/>
      </c>
      <c r="AA1159" s="185"/>
      <c r="AB1159" s="185"/>
      <c r="AC1159" s="185"/>
      <c r="AD1159" s="649"/>
      <c r="AE1159" s="182"/>
      <c r="AF1159" s="332"/>
      <c r="AG1159" s="182"/>
      <c r="AH1159" s="182"/>
      <c r="AI1159" s="182"/>
      <c r="AJ1159" s="640"/>
      <c r="AK1159" s="182"/>
      <c r="AL1159" s="496"/>
      <c r="AM1159" s="496"/>
      <c r="AN1159" s="626"/>
      <c r="AO1159" s="182"/>
      <c r="AP1159" s="182"/>
      <c r="AQ1159" s="332" t="str">
        <f>UPPER(RIGHT(Journal_Live[[#This Row],[DURATION ]]))</f>
        <v/>
      </c>
      <c r="AR1159" s="182"/>
      <c r="AS1159" s="189"/>
      <c r="AT1159" s="189"/>
      <c r="AU1159" s="187"/>
      <c r="AV1159" s="190"/>
      <c r="AW1159" s="191"/>
      <c r="AX1159" s="407" t="s">
        <v>4141</v>
      </c>
      <c r="AY1159" s="407" t="s">
        <v>4142</v>
      </c>
      <c r="AZ1159" s="407" t="s">
        <v>4143</v>
      </c>
      <c r="BA1159" s="407"/>
      <c r="BB1159" s="407"/>
      <c r="BC1159" s="407"/>
      <c r="BD1159" s="407"/>
      <c r="BE1159" s="407"/>
      <c r="BF1159" s="422"/>
      <c r="BG1159" s="391">
        <f>SUM($AV$4:AV1159)</f>
        <v>4141.5742902304819</v>
      </c>
      <c r="BH1159" s="392">
        <f>SUM($AU$134:AU1159)</f>
        <v>20684.002000000419</v>
      </c>
      <c r="BI1159" s="318">
        <f>SUMIFS($AU$134:AU1160,$Q$134:Q1160,"F")</f>
        <v>6166.5333333333328</v>
      </c>
      <c r="BJ1159" s="318">
        <f>SUMIFS($AU$134:AU1160,$Q$134:Q1160,"S")</f>
        <v>16063.642</v>
      </c>
      <c r="BK1159" s="343">
        <f>SUMIFS($AU$134:AU1160,$P$134:P1160,"W")</f>
        <v>13550.941999999943</v>
      </c>
      <c r="BL1159" s="343">
        <f>SUMIFS($AU$134:AU1160,$P$134:P1160,"R")</f>
        <v>8484.6733333333214</v>
      </c>
      <c r="BM1159" s="343">
        <f>SUMIFS($AU$134:AU1160,$AQ$134:AQ1160,"M")</f>
        <v>2582.0300000001416</v>
      </c>
      <c r="BN1159" s="343">
        <f>SUMIFS($AU$134:AU1160,$AQ$134:AQ1160,"H")</f>
        <v>8089.3420000000642</v>
      </c>
      <c r="BO1159" s="343">
        <f>SUMIFS($AU$134:AU1160,$AQ$134:AQ1160,"D")</f>
        <v>4850.2366666667649</v>
      </c>
      <c r="BP1159" s="343">
        <f>SUMIFS($AU$134:AU1162,$AQ$134:AQ1162,"W")</f>
        <v>3191.7633333332024</v>
      </c>
      <c r="BQ1159" s="343">
        <f>SUMIFS($AU$134:AU1160,$Q$134:Q1160,"O")</f>
        <v>-1441.3733333329176</v>
      </c>
      <c r="BR1159" s="343">
        <f>SUMIFS($AU$134:AU1160,$AA$134:AA1160,"*")</f>
        <v>18893.305333333457</v>
      </c>
      <c r="BS1159" s="343">
        <f>SUMIFS($AU$134:AU1160,$AB$134:AB1160,"*")</f>
        <v>4577.196666667046</v>
      </c>
      <c r="BT1159" s="343">
        <f>SUMIFS($AU$134:AU1160,$AC$134:AC1160,"*")</f>
        <v>11143.683333333332</v>
      </c>
      <c r="BU1159" s="343">
        <f>SUMIFS($AU$134:AU1160,$AA$134:AA1160,"*",$AB$134:AB1160,"*")</f>
        <v>2838.0000000000864</v>
      </c>
      <c r="BV1159" s="343">
        <f>SUMIFS($AU$134:AU1160,$AA$134:AA1160,"*",$AC$134:AC1160,"*")</f>
        <v>9324.7833333333328</v>
      </c>
      <c r="BW1159" s="343">
        <f>SUMIFS($AU$134:AU1160,$AB$134:AB1160,"*",$AC$134:AC1160,"*")</f>
        <v>6014.6</v>
      </c>
      <c r="BX1159" s="343">
        <f>SUMIFS($AU1160:AU$1388,$Q1160:Q$1388,"F")</f>
        <v>8274.1333333333332</v>
      </c>
      <c r="BY1159" s="343">
        <f>SUMIFS($AU1160:AU$1388,$Q1160:Q$1388,"S")</f>
        <v>4608.0000000000009</v>
      </c>
      <c r="BZ1159" s="343">
        <f>SUMIFS($AU1160:AU$1388,$Q1160:Q$1388,"O")</f>
        <v>-207.48466666688103</v>
      </c>
    </row>
    <row r="1160" spans="1:78" ht="15.75" customHeight="1">
      <c r="A1160" s="221" t="s">
        <v>3942</v>
      </c>
      <c r="B1160" s="177">
        <v>45218</v>
      </c>
      <c r="C1160" s="178" t="s">
        <v>856</v>
      </c>
      <c r="D1160" s="178" t="s">
        <v>93</v>
      </c>
      <c r="E1160" s="227"/>
      <c r="F1160" s="180"/>
      <c r="G1160" s="281" t="s">
        <v>181</v>
      </c>
      <c r="H1160" s="182"/>
      <c r="I1160" s="182"/>
      <c r="J1160" s="182"/>
      <c r="K1160" s="183"/>
      <c r="L1160" s="182">
        <v>1</v>
      </c>
      <c r="M1160" s="182"/>
      <c r="N1160" s="182"/>
      <c r="O1160" s="183" t="s">
        <v>95</v>
      </c>
      <c r="P1160" s="183" t="s">
        <v>96</v>
      </c>
      <c r="Q1160" s="183" t="s">
        <v>97</v>
      </c>
      <c r="R1160" s="183">
        <v>10</v>
      </c>
      <c r="S1160" s="183">
        <v>0</v>
      </c>
      <c r="T1160" s="183">
        <v>10</v>
      </c>
      <c r="U1160" s="183" t="s">
        <v>97</v>
      </c>
      <c r="V1160" s="183"/>
      <c r="W1160" s="183"/>
      <c r="X1160" s="183"/>
      <c r="Y1160" s="184">
        <f>IF(ISBLANK(O1160),"",(IF(O1160=UPPER("IB"),0.005,0.01)))</f>
        <v>0.01</v>
      </c>
      <c r="Z1160" s="185">
        <f t="shared" si="334"/>
        <v>1600</v>
      </c>
      <c r="AA1160" s="185" t="s">
        <v>99</v>
      </c>
      <c r="AB1160" s="185"/>
      <c r="AC1160" s="185"/>
      <c r="AD1160" s="649">
        <v>7.0000000000000007E-2</v>
      </c>
      <c r="AE1160" s="182"/>
      <c r="AF1160" s="332"/>
      <c r="AG1160" s="182"/>
      <c r="AH1160" s="182"/>
      <c r="AI1160" s="182"/>
      <c r="AJ1160" s="640"/>
      <c r="AK1160" s="182"/>
      <c r="AL1160" s="496"/>
      <c r="AM1160" s="496"/>
      <c r="AN1160" s="626"/>
      <c r="AO1160" s="182"/>
      <c r="AP1160" s="182"/>
      <c r="AQ1160" s="332" t="str">
        <f>UPPER(RIGHT(Journal_Live[[#This Row],[DURATION ]]))</f>
        <v/>
      </c>
      <c r="AR1160" s="182" t="s">
        <v>4144</v>
      </c>
      <c r="AS1160" s="189">
        <v>7.0000000000000007E-2</v>
      </c>
      <c r="AT1160" s="189">
        <f>IF(ISBLANK(AS1160),,IF(U1160="S",AD1160-AS1160,AS1160-AD1160))</f>
        <v>0</v>
      </c>
      <c r="AU1160" s="187">
        <f>AV1160*R1160</f>
        <v>0</v>
      </c>
      <c r="AV1160" s="190">
        <f>IF(ISBLANK(AS1160),,(AT1160*Z1160))</f>
        <v>0</v>
      </c>
      <c r="AW1160" s="191" t="s">
        <v>115</v>
      </c>
      <c r="AX1160" s="407" t="s">
        <v>4145</v>
      </c>
      <c r="AY1160" s="407"/>
      <c r="AZ1160" s="407"/>
      <c r="BA1160" s="407"/>
      <c r="BB1160" s="407"/>
      <c r="BC1160" s="407"/>
      <c r="BD1160" s="407"/>
      <c r="BE1160" s="407"/>
      <c r="BF1160" s="422"/>
      <c r="BG1160" s="391">
        <f>SUM($AV$4:AV1160)</f>
        <v>4141.5742902304819</v>
      </c>
      <c r="BH1160" s="392">
        <f>SUM($AU$134:AU1160)</f>
        <v>20684.002000000419</v>
      </c>
      <c r="BI1160" s="318">
        <f>SUMIFS($AU$134:AU1161,$Q$134:Q1161,"F")</f>
        <v>6166.5333333333328</v>
      </c>
      <c r="BJ1160" s="318">
        <f>SUMIFS($AU$134:AU1161,$Q$134:Q1161,"S")</f>
        <v>16063.642</v>
      </c>
      <c r="BK1160" s="343">
        <f>SUMIFS($AU$134:AU1161,$P$134:P1161,"W")</f>
        <v>13550.941999999943</v>
      </c>
      <c r="BL1160" s="343">
        <f>SUMIFS($AU$134:AU1161,$P$134:P1161,"R")</f>
        <v>8484.6733333333214</v>
      </c>
      <c r="BM1160" s="343">
        <f>SUMIFS($AU$134:AU1161,$AQ$134:AQ1161,"M")</f>
        <v>2582.0300000001416</v>
      </c>
      <c r="BN1160" s="343">
        <f>SUMIFS($AU$134:AU1161,$AQ$134:AQ1161,"H")</f>
        <v>8089.3420000000642</v>
      </c>
      <c r="BO1160" s="343">
        <f>SUMIFS($AU$134:AU1161,$AQ$134:AQ1161,"D")</f>
        <v>4850.2366666667649</v>
      </c>
      <c r="BP1160" s="343">
        <f>SUMIFS($AU$134:AU1163,$AQ$134:AQ1163,"W")</f>
        <v>3191.7633333332024</v>
      </c>
      <c r="BQ1160" s="343">
        <f>SUMIFS($AU$134:AU1161,$Q$134:Q1161,"O")</f>
        <v>-1441.3733333329176</v>
      </c>
      <c r="BR1160" s="343">
        <f>SUMIFS($AU$134:AU1161,$AA$134:AA1161,"*")</f>
        <v>18893.305333333457</v>
      </c>
      <c r="BS1160" s="343">
        <f>SUMIFS($AU$134:AU1161,$AB$134:AB1161,"*")</f>
        <v>4577.196666667046</v>
      </c>
      <c r="BT1160" s="343">
        <f>SUMIFS($AU$134:AU1161,$AC$134:AC1161,"*")</f>
        <v>11143.683333333332</v>
      </c>
      <c r="BU1160" s="343">
        <f>SUMIFS($AU$134:AU1161,$AA$134:AA1161,"*",$AB$134:AB1161,"*")</f>
        <v>2838.0000000000864</v>
      </c>
      <c r="BV1160" s="343">
        <f>SUMIFS($AU$134:AU1161,$AA$134:AA1161,"*",$AC$134:AC1161,"*")</f>
        <v>9324.7833333333328</v>
      </c>
      <c r="BW1160" s="343">
        <f>SUMIFS($AU$134:AU1161,$AB$134:AB1161,"*",$AC$134:AC1161,"*")</f>
        <v>6014.6</v>
      </c>
      <c r="BX1160" s="343">
        <f>SUMIFS($AU1161:AU$1388,$Q1161:Q$1388,"F")</f>
        <v>8274.1333333333332</v>
      </c>
      <c r="BY1160" s="343">
        <f>SUMIFS($AU1161:AU$1388,$Q1161:Q$1388,"S")</f>
        <v>4608.0000000000009</v>
      </c>
      <c r="BZ1160" s="343">
        <f>SUMIFS($AU1161:AU$1388,$Q1161:Q$1388,"O")</f>
        <v>-207.48466666688103</v>
      </c>
    </row>
    <row r="1161" spans="1:78" ht="15.75" customHeight="1">
      <c r="A1161" s="221" t="s">
        <v>3942</v>
      </c>
      <c r="B1161" s="177">
        <v>45218</v>
      </c>
      <c r="C1161" s="178" t="s">
        <v>1434</v>
      </c>
      <c r="D1161" s="178" t="s">
        <v>93</v>
      </c>
      <c r="E1161" s="227"/>
      <c r="F1161" s="180"/>
      <c r="G1161" s="281" t="s">
        <v>136</v>
      </c>
      <c r="H1161" s="182"/>
      <c r="I1161" s="182"/>
      <c r="J1161" s="182"/>
      <c r="K1161" s="183"/>
      <c r="L1161" s="182">
        <v>1</v>
      </c>
      <c r="M1161" s="182"/>
      <c r="N1161" s="182"/>
      <c r="O1161" s="183" t="s">
        <v>95</v>
      </c>
      <c r="P1161" s="183" t="s">
        <v>96</v>
      </c>
      <c r="Q1161" s="183" t="s">
        <v>97</v>
      </c>
      <c r="R1161" s="183">
        <v>12</v>
      </c>
      <c r="S1161" s="183">
        <v>0</v>
      </c>
      <c r="T1161" s="183">
        <v>12</v>
      </c>
      <c r="U1161" s="183" t="s">
        <v>97</v>
      </c>
      <c r="V1161" s="183"/>
      <c r="W1161" s="183"/>
      <c r="X1161" s="183"/>
      <c r="Y1161" s="184">
        <f>IF(ISBLANK(O1161),"",(IF(O1161=UPPER("IB"),0.005,0.01)))</f>
        <v>0.01</v>
      </c>
      <c r="Z1161" s="185">
        <f t="shared" si="334"/>
        <v>1600</v>
      </c>
      <c r="AA1161" s="185" t="s">
        <v>99</v>
      </c>
      <c r="AB1161" s="185" t="s">
        <v>4146</v>
      </c>
      <c r="AC1161" s="185"/>
      <c r="AD1161" s="649">
        <v>0.01</v>
      </c>
      <c r="AE1161" s="182"/>
      <c r="AF1161" s="332"/>
      <c r="AG1161" s="182"/>
      <c r="AH1161" s="182"/>
      <c r="AI1161" s="182"/>
      <c r="AJ1161" s="640"/>
      <c r="AK1161" s="182"/>
      <c r="AL1161" s="496"/>
      <c r="AM1161" s="496"/>
      <c r="AN1161" s="626"/>
      <c r="AO1161" s="182"/>
      <c r="AP1161" s="182" t="s">
        <v>1897</v>
      </c>
      <c r="AQ1161" s="332" t="str">
        <f>UPPER(RIGHT(Journal_Live[[#This Row],[DURATION ]]))</f>
        <v>H</v>
      </c>
      <c r="AR1161" s="182" t="s">
        <v>2271</v>
      </c>
      <c r="AS1161" s="189">
        <v>0.01</v>
      </c>
      <c r="AT1161" s="189">
        <f>IF(ISBLANK(AS1161),,IF(U1161="S",AD1161-AS1161,AS1161-AD1161))</f>
        <v>0</v>
      </c>
      <c r="AU1161" s="187">
        <f>AV1161*R1161</f>
        <v>0</v>
      </c>
      <c r="AV1161" s="190">
        <f>IF(ISBLANK(AS1161),,(AT1161*Z1161))</f>
        <v>0</v>
      </c>
      <c r="AW1161" s="191" t="s">
        <v>115</v>
      </c>
      <c r="AX1161" s="407"/>
      <c r="AY1161" s="407"/>
      <c r="AZ1161" s="407"/>
      <c r="BA1161" s="407"/>
      <c r="BB1161" s="407"/>
      <c r="BC1161" s="407"/>
      <c r="BD1161" s="407"/>
      <c r="BE1161" s="407"/>
      <c r="BF1161" s="422"/>
      <c r="BG1161" s="391">
        <f>SUM($AV$4:AV1161)</f>
        <v>4141.5742902304819</v>
      </c>
      <c r="BH1161" s="392">
        <f>SUM($AU$134:AU1161)</f>
        <v>20684.002000000419</v>
      </c>
      <c r="BI1161" s="318">
        <f>SUMIFS($AU$134:AU1162,$Q$134:Q1162,"F")</f>
        <v>6166.5333333333328</v>
      </c>
      <c r="BJ1161" s="318">
        <f>SUMIFS($AU$134:AU1162,$Q$134:Q1162,"S")</f>
        <v>16063.642</v>
      </c>
      <c r="BK1161" s="343">
        <f>SUMIFS($AU$134:AU1162,$P$134:P1162,"W")</f>
        <v>13550.941999999943</v>
      </c>
      <c r="BL1161" s="343">
        <f>SUMIFS($AU$134:AU1162,$P$134:P1162,"R")</f>
        <v>8484.6733333333214</v>
      </c>
      <c r="BM1161" s="343">
        <f>SUMIFS($AU$134:AU1162,$AQ$134:AQ1162,"M")</f>
        <v>2582.0300000001416</v>
      </c>
      <c r="BN1161" s="343">
        <f>SUMIFS($AU$134:AU1162,$AQ$134:AQ1162,"H")</f>
        <v>8089.3420000000642</v>
      </c>
      <c r="BO1161" s="343">
        <f>SUMIFS($AU$134:AU1162,$AQ$134:AQ1162,"D")</f>
        <v>4850.2366666667649</v>
      </c>
      <c r="BP1161" s="343">
        <f>SUMIFS($AU$134:AU1164,$AQ$134:AQ1164,"W")</f>
        <v>3191.7633333332024</v>
      </c>
      <c r="BQ1161" s="343">
        <f>SUMIFS($AU$134:AU1162,$Q$134:Q1162,"O")</f>
        <v>-1441.3733333329176</v>
      </c>
      <c r="BR1161" s="343">
        <f>SUMIFS($AU$134:AU1162,$AA$134:AA1162,"*")</f>
        <v>18893.305333333457</v>
      </c>
      <c r="BS1161" s="343">
        <f>SUMIFS($AU$134:AU1162,$AB$134:AB1162,"*")</f>
        <v>4577.196666667046</v>
      </c>
      <c r="BT1161" s="343">
        <f>SUMIFS($AU$134:AU1162,$AC$134:AC1162,"*")</f>
        <v>11143.683333333332</v>
      </c>
      <c r="BU1161" s="343">
        <f>SUMIFS($AU$134:AU1162,$AA$134:AA1162,"*",$AB$134:AB1162,"*")</f>
        <v>2838.0000000000864</v>
      </c>
      <c r="BV1161" s="343">
        <f>SUMIFS($AU$134:AU1162,$AA$134:AA1162,"*",$AC$134:AC1162,"*")</f>
        <v>9324.7833333333328</v>
      </c>
      <c r="BW1161" s="343">
        <f>SUMIFS($AU$134:AU1162,$AB$134:AB1162,"*",$AC$134:AC1162,"*")</f>
        <v>6014.6</v>
      </c>
      <c r="BX1161" s="343">
        <f>SUMIFS($AU1162:AU$1388,$Q1162:Q$1388,"F")</f>
        <v>8274.1333333333332</v>
      </c>
      <c r="BY1161" s="343">
        <f>SUMIFS($AU1162:AU$1388,$Q1162:Q$1388,"S")</f>
        <v>4608.0000000000009</v>
      </c>
      <c r="BZ1161" s="343">
        <f>SUMIFS($AU1162:AU$1388,$Q1162:Q$1388,"O")</f>
        <v>-207.48466666688103</v>
      </c>
    </row>
    <row r="1162" spans="1:78" ht="15.75" customHeight="1">
      <c r="A1162" s="221" t="s">
        <v>3942</v>
      </c>
      <c r="B1162" s="177">
        <v>45218</v>
      </c>
      <c r="C1162" s="178" t="s">
        <v>901</v>
      </c>
      <c r="D1162" s="178" t="s">
        <v>93</v>
      </c>
      <c r="E1162" s="227"/>
      <c r="F1162" s="180"/>
      <c r="G1162" s="181" t="s">
        <v>4147</v>
      </c>
      <c r="H1162" s="182"/>
      <c r="I1162" s="182"/>
      <c r="J1162" s="182"/>
      <c r="K1162" s="183"/>
      <c r="L1162" s="182"/>
      <c r="M1162" s="182"/>
      <c r="N1162" s="182"/>
      <c r="O1162" s="183"/>
      <c r="P1162" s="183"/>
      <c r="Q1162" s="183"/>
      <c r="R1162" s="183"/>
      <c r="S1162" s="183"/>
      <c r="T1162" s="183"/>
      <c r="U1162" s="183"/>
      <c r="V1162" s="183"/>
      <c r="W1162" s="183"/>
      <c r="X1162" s="183"/>
      <c r="Y1162" s="184"/>
      <c r="Z1162" s="185"/>
      <c r="AA1162" s="185"/>
      <c r="AB1162" s="185"/>
      <c r="AC1162" s="185"/>
      <c r="AD1162" s="649"/>
      <c r="AE1162" s="182"/>
      <c r="AF1162" s="332"/>
      <c r="AG1162" s="182"/>
      <c r="AH1162" s="182"/>
      <c r="AI1162" s="182"/>
      <c r="AJ1162" s="640"/>
      <c r="AK1162" s="182"/>
      <c r="AL1162" s="496"/>
      <c r="AM1162" s="496"/>
      <c r="AN1162" s="626"/>
      <c r="AO1162" s="182"/>
      <c r="AP1162" s="182"/>
      <c r="AQ1162" s="332" t="str">
        <f>UPPER(RIGHT(Journal_Live[[#This Row],[DURATION ]]))</f>
        <v/>
      </c>
      <c r="AR1162" s="182"/>
      <c r="AS1162" s="189"/>
      <c r="AT1162" s="189"/>
      <c r="AU1162" s="187"/>
      <c r="AV1162" s="190"/>
      <c r="AW1162" s="191"/>
      <c r="AX1162" s="407"/>
      <c r="AY1162" s="407"/>
      <c r="AZ1162" s="407"/>
      <c r="BA1162" s="407"/>
      <c r="BB1162" s="407"/>
      <c r="BC1162" s="407"/>
      <c r="BD1162" s="407"/>
      <c r="BE1162" s="407"/>
      <c r="BF1162" s="422"/>
      <c r="BG1162" s="391">
        <f>SUM($AV$4:AV1162)</f>
        <v>4141.5742902304819</v>
      </c>
      <c r="BH1162" s="392">
        <f>SUM($AU$134:AU1162)</f>
        <v>20684.002000000419</v>
      </c>
      <c r="BI1162" s="318">
        <f>SUMIFS($AU$134:AU1163,$Q$134:Q1163,"F")</f>
        <v>6166.5333333333328</v>
      </c>
      <c r="BJ1162" s="318">
        <f>SUMIFS($AU$134:AU1163,$Q$134:Q1163,"S")</f>
        <v>16063.642</v>
      </c>
      <c r="BK1162" s="343">
        <f>SUMIFS($AU$134:AU1163,$P$134:P1163,"W")</f>
        <v>13550.941999999943</v>
      </c>
      <c r="BL1162" s="343">
        <f>SUMIFS($AU$134:AU1163,$P$134:P1163,"R")</f>
        <v>8484.6733333333214</v>
      </c>
      <c r="BM1162" s="343">
        <f>SUMIFS($AU$134:AU1163,$AQ$134:AQ1163,"M")</f>
        <v>2582.0300000001416</v>
      </c>
      <c r="BN1162" s="343">
        <f>SUMIFS($AU$134:AU1163,$AQ$134:AQ1163,"H")</f>
        <v>8089.3420000000642</v>
      </c>
      <c r="BO1162" s="343">
        <f>SUMIFS($AU$134:AU1163,$AQ$134:AQ1163,"D")</f>
        <v>4850.2366666667649</v>
      </c>
      <c r="BP1162" s="343">
        <f>SUMIFS($AU$134:AU1165,$AQ$134:AQ1165,"W")</f>
        <v>3191.7633333332024</v>
      </c>
      <c r="BQ1162" s="343">
        <f>SUMIFS($AU$134:AU1163,$Q$134:Q1163,"O")</f>
        <v>-1441.3733333329176</v>
      </c>
      <c r="BR1162" s="343">
        <f>SUMIFS($AU$134:AU1163,$AA$134:AA1163,"*")</f>
        <v>18893.305333333457</v>
      </c>
      <c r="BS1162" s="343">
        <f>SUMIFS($AU$134:AU1163,$AB$134:AB1163,"*")</f>
        <v>4577.196666667046</v>
      </c>
      <c r="BT1162" s="343">
        <f>SUMIFS($AU$134:AU1163,$AC$134:AC1163,"*")</f>
        <v>11143.683333333332</v>
      </c>
      <c r="BU1162" s="343">
        <f>SUMIFS($AU$134:AU1163,$AA$134:AA1163,"*",$AB$134:AB1163,"*")</f>
        <v>2838.0000000000864</v>
      </c>
      <c r="BV1162" s="343">
        <f>SUMIFS($AU$134:AU1163,$AA$134:AA1163,"*",$AC$134:AC1163,"*")</f>
        <v>9324.7833333333328</v>
      </c>
      <c r="BW1162" s="343">
        <f>SUMIFS($AU$134:AU1163,$AB$134:AB1163,"*",$AC$134:AC1163,"*")</f>
        <v>6014.6</v>
      </c>
      <c r="BX1162" s="343">
        <f>SUMIFS($AU1163:AU$1388,$Q1163:Q$1388,"F")</f>
        <v>8274.1333333333332</v>
      </c>
      <c r="BY1162" s="343">
        <f>SUMIFS($AU1163:AU$1388,$Q1163:Q$1388,"S")</f>
        <v>4608.0000000000009</v>
      </c>
      <c r="BZ1162" s="343">
        <f>SUMIFS($AU1163:AU$1388,$Q1163:Q$1388,"O")</f>
        <v>-207.48466666688103</v>
      </c>
    </row>
    <row r="1163" spans="1:78" ht="15.75" customHeight="1">
      <c r="A1163" s="221" t="s">
        <v>3942</v>
      </c>
      <c r="B1163" s="177">
        <v>45218</v>
      </c>
      <c r="C1163" s="178" t="s">
        <v>4148</v>
      </c>
      <c r="D1163" s="178" t="s">
        <v>93</v>
      </c>
      <c r="E1163" s="227"/>
      <c r="F1163" s="180"/>
      <c r="G1163" s="181" t="s">
        <v>2942</v>
      </c>
      <c r="H1163" s="182"/>
      <c r="I1163" s="182"/>
      <c r="J1163" s="182"/>
      <c r="K1163" s="183"/>
      <c r="L1163" s="182"/>
      <c r="M1163" s="182"/>
      <c r="N1163" s="182"/>
      <c r="O1163" s="183"/>
      <c r="P1163" s="183"/>
      <c r="Q1163" s="183"/>
      <c r="R1163" s="183"/>
      <c r="S1163" s="183"/>
      <c r="T1163" s="183"/>
      <c r="U1163" s="183"/>
      <c r="V1163" s="183"/>
      <c r="W1163" s="183"/>
      <c r="X1163" s="183"/>
      <c r="Y1163" s="184"/>
      <c r="Z1163" s="185"/>
      <c r="AA1163" s="185"/>
      <c r="AB1163" s="185"/>
      <c r="AC1163" s="185"/>
      <c r="AD1163" s="649"/>
      <c r="AE1163" s="182"/>
      <c r="AF1163" s="332"/>
      <c r="AG1163" s="182"/>
      <c r="AH1163" s="182"/>
      <c r="AI1163" s="182"/>
      <c r="AJ1163" s="640"/>
      <c r="AK1163" s="182"/>
      <c r="AL1163" s="496"/>
      <c r="AM1163" s="496"/>
      <c r="AN1163" s="626"/>
      <c r="AO1163" s="182"/>
      <c r="AP1163" s="182"/>
      <c r="AQ1163" s="332" t="str">
        <f>UPPER(RIGHT(Journal_Live[[#This Row],[DURATION ]]))</f>
        <v/>
      </c>
      <c r="AR1163" s="182"/>
      <c r="AS1163" s="189"/>
      <c r="AT1163" s="189"/>
      <c r="AU1163" s="187"/>
      <c r="AV1163" s="190"/>
      <c r="AW1163" s="191"/>
      <c r="AX1163" s="407"/>
      <c r="AY1163" s="407"/>
      <c r="AZ1163" s="407"/>
      <c r="BA1163" s="407"/>
      <c r="BB1163" s="407"/>
      <c r="BC1163" s="407"/>
      <c r="BD1163" s="407"/>
      <c r="BE1163" s="407"/>
      <c r="BF1163" s="422"/>
      <c r="BG1163" s="391">
        <f>SUM($AV$4:AV1163)</f>
        <v>4141.5742902304819</v>
      </c>
      <c r="BH1163" s="392">
        <f>SUM($AU$134:AU1163)</f>
        <v>20684.002000000419</v>
      </c>
      <c r="BI1163" s="318">
        <f>SUMIFS($AU$134:AU1164,$Q$134:Q1164,"F")</f>
        <v>6166.5333333333328</v>
      </c>
      <c r="BJ1163" s="318">
        <f>SUMIFS($AU$134:AU1164,$Q$134:Q1164,"S")</f>
        <v>16255.642</v>
      </c>
      <c r="BK1163" s="343">
        <f>SUMIFS($AU$134:AU1164,$P$134:P1164,"W")</f>
        <v>13550.941999999943</v>
      </c>
      <c r="BL1163" s="343">
        <f>SUMIFS($AU$134:AU1164,$P$134:P1164,"R")</f>
        <v>8676.6733333333214</v>
      </c>
      <c r="BM1163" s="343">
        <f>SUMIFS($AU$134:AU1164,$AQ$134:AQ1164,"M")</f>
        <v>2582.0300000001416</v>
      </c>
      <c r="BN1163" s="343">
        <f>SUMIFS($AU$134:AU1164,$AQ$134:AQ1164,"H")</f>
        <v>8089.3420000000642</v>
      </c>
      <c r="BO1163" s="343">
        <f>SUMIFS($AU$134:AU1164,$AQ$134:AQ1164,"D")</f>
        <v>5042.2366666667649</v>
      </c>
      <c r="BP1163" s="343">
        <f>SUMIFS($AU$134:AU1166,$AQ$134:AQ1166,"W")</f>
        <v>3191.7633333332024</v>
      </c>
      <c r="BQ1163" s="343">
        <f>SUMIFS($AU$134:AU1164,$Q$134:Q1164,"O")</f>
        <v>-1441.3733333329176</v>
      </c>
      <c r="BR1163" s="343">
        <f>SUMIFS($AU$134:AU1164,$AA$134:AA1164,"*")</f>
        <v>19085.305333333457</v>
      </c>
      <c r="BS1163" s="343">
        <f>SUMIFS($AU$134:AU1164,$AB$134:AB1164,"*")</f>
        <v>4577.196666667046</v>
      </c>
      <c r="BT1163" s="343">
        <f>SUMIFS($AU$134:AU1164,$AC$134:AC1164,"*")</f>
        <v>11143.683333333332</v>
      </c>
      <c r="BU1163" s="343">
        <f>SUMIFS($AU$134:AU1164,$AA$134:AA1164,"*",$AB$134:AB1164,"*")</f>
        <v>2838.0000000000864</v>
      </c>
      <c r="BV1163" s="343">
        <f>SUMIFS($AU$134:AU1164,$AA$134:AA1164,"*",$AC$134:AC1164,"*")</f>
        <v>9324.7833333333328</v>
      </c>
      <c r="BW1163" s="343">
        <f>SUMIFS($AU$134:AU1164,$AB$134:AB1164,"*",$AC$134:AC1164,"*")</f>
        <v>6014.6</v>
      </c>
      <c r="BX1163" s="343">
        <f>SUMIFS($AU1164:AU$1388,$Q1164:Q$1388,"F")</f>
        <v>8274.1333333333332</v>
      </c>
      <c r="BY1163" s="343">
        <f>SUMIFS($AU1164:AU$1388,$Q1164:Q$1388,"S")</f>
        <v>4608.0000000000009</v>
      </c>
      <c r="BZ1163" s="343">
        <f>SUMIFS($AU1164:AU$1388,$Q1164:Q$1388,"O")</f>
        <v>-207.48466666688103</v>
      </c>
    </row>
    <row r="1164" spans="1:78" ht="15.75" customHeight="1">
      <c r="A1164" s="221" t="s">
        <v>3942</v>
      </c>
      <c r="B1164" s="177">
        <v>45218</v>
      </c>
      <c r="C1164" s="178" t="s">
        <v>4149</v>
      </c>
      <c r="D1164" s="178" t="s">
        <v>93</v>
      </c>
      <c r="E1164" s="227"/>
      <c r="F1164" s="180"/>
      <c r="G1164" s="281" t="s">
        <v>2070</v>
      </c>
      <c r="H1164" s="182"/>
      <c r="I1164" s="182"/>
      <c r="J1164" s="182"/>
      <c r="K1164" s="183"/>
      <c r="L1164" s="182">
        <v>1</v>
      </c>
      <c r="M1164" s="182"/>
      <c r="N1164" s="182"/>
      <c r="O1164" s="183" t="s">
        <v>95</v>
      </c>
      <c r="P1164" s="183" t="s">
        <v>137</v>
      </c>
      <c r="Q1164" s="183" t="s">
        <v>97</v>
      </c>
      <c r="R1164" s="183">
        <v>12</v>
      </c>
      <c r="S1164" s="183">
        <v>0</v>
      </c>
      <c r="T1164" s="183">
        <v>12</v>
      </c>
      <c r="U1164" s="183" t="s">
        <v>97</v>
      </c>
      <c r="V1164" s="183"/>
      <c r="W1164" s="183"/>
      <c r="X1164" s="183"/>
      <c r="Y1164" s="184">
        <f t="shared" ref="Y1164:Y1171" si="337">IF(ISBLANK(O1164),"",(IF(O1164=UPPER("IB"),0.005,0.01)))</f>
        <v>0.01</v>
      </c>
      <c r="Z1164" s="185">
        <f t="shared" ref="Z1164:Z1180" si="338">IF(ISBLANK(O1164),"",IF(O1164="IB",8.63*200,IF(O1164="IR",16*100,IF(O1164="YT",20*100,IF(O1164="YT-XT",24*200,IF(O1164="TED",80*100))))))</f>
        <v>1600</v>
      </c>
      <c r="AA1164" s="185" t="s">
        <v>99</v>
      </c>
      <c r="AB1164" s="185"/>
      <c r="AC1164" s="185"/>
      <c r="AD1164" s="649">
        <v>-0.04</v>
      </c>
      <c r="AE1164" s="182"/>
      <c r="AF1164" s="332"/>
      <c r="AG1164" s="182"/>
      <c r="AH1164" s="182"/>
      <c r="AI1164" s="182"/>
      <c r="AJ1164" s="640"/>
      <c r="AK1164" s="182"/>
      <c r="AL1164" s="496">
        <f t="shared" ref="AL1164:AL1167" si="339">-0.03*Z1164</f>
        <v>-48</v>
      </c>
      <c r="AM1164" s="496">
        <f>AL1164*(R1164-S1164)</f>
        <v>-576</v>
      </c>
      <c r="AN1164" s="626"/>
      <c r="AO1164" s="182"/>
      <c r="AP1164" s="182" t="s">
        <v>1261</v>
      </c>
      <c r="AQ1164" s="332" t="str">
        <f>UPPER(RIGHT(Journal_Live[[#This Row],[DURATION ]]))</f>
        <v>D</v>
      </c>
      <c r="AR1164" s="182" t="s">
        <v>4150</v>
      </c>
      <c r="AS1164" s="189">
        <v>-0.05</v>
      </c>
      <c r="AT1164" s="189">
        <f t="shared" ref="AT1164:AT1171" si="340">IF(ISBLANK(AS1164),,IF(U1164="S",AD1164-AS1164,AS1164-AD1164))</f>
        <v>1.0000000000000002E-2</v>
      </c>
      <c r="AU1164" s="187">
        <f t="shared" ref="AU1164:AU1171" si="341">AV1164*R1164</f>
        <v>192.00000000000006</v>
      </c>
      <c r="AV1164" s="190">
        <f t="shared" ref="AV1164:AV1171" si="342">IF(ISBLANK(AS1164),,(AT1164*Z1164))</f>
        <v>16.000000000000004</v>
      </c>
      <c r="AW1164" s="191" t="s">
        <v>96</v>
      </c>
      <c r="AX1164" s="407"/>
      <c r="AY1164" s="407"/>
      <c r="AZ1164" s="407"/>
      <c r="BA1164" s="407"/>
      <c r="BB1164" s="407"/>
      <c r="BC1164" s="407"/>
      <c r="BD1164" s="407"/>
      <c r="BE1164" s="407"/>
      <c r="BF1164" s="422"/>
      <c r="BG1164" s="391">
        <f>SUM($AV$4:AV1164)</f>
        <v>4157.5742902304819</v>
      </c>
      <c r="BH1164" s="392">
        <f>SUM($AU$134:AU1164)</f>
        <v>20876.002000000419</v>
      </c>
      <c r="BI1164" s="318">
        <f>SUMIFS($AU$134:AU1165,$Q$134:Q1165,"F")</f>
        <v>6166.5333333333328</v>
      </c>
      <c r="BJ1164" s="318">
        <f>SUMIFS($AU$134:AU1165,$Q$134:Q1165,"S")</f>
        <v>16479.642</v>
      </c>
      <c r="BK1164" s="343">
        <f>SUMIFS($AU$134:AU1165,$P$134:P1165,"W")</f>
        <v>13550.941999999943</v>
      </c>
      <c r="BL1164" s="343">
        <f>SUMIFS($AU$134:AU1165,$P$134:P1165,"R")</f>
        <v>8900.6733333333214</v>
      </c>
      <c r="BM1164" s="343">
        <f>SUMIFS($AU$134:AU1165,$AQ$134:AQ1165,"M")</f>
        <v>2582.0300000001416</v>
      </c>
      <c r="BN1164" s="343">
        <f>SUMIFS($AU$134:AU1165,$AQ$134:AQ1165,"H")</f>
        <v>8313.3420000000642</v>
      </c>
      <c r="BO1164" s="343">
        <f>SUMIFS($AU$134:AU1165,$AQ$134:AQ1165,"D")</f>
        <v>5042.2366666667649</v>
      </c>
      <c r="BP1164" s="343">
        <f>SUMIFS($AU$134:AU1167,$AQ$134:AQ1167,"W")</f>
        <v>3191.7633333332024</v>
      </c>
      <c r="BQ1164" s="343">
        <f>SUMIFS($AU$134:AU1165,$Q$134:Q1165,"O")</f>
        <v>-1441.3733333329176</v>
      </c>
      <c r="BR1164" s="343">
        <f>SUMIFS($AU$134:AU1165,$AA$134:AA1165,"*")</f>
        <v>19309.305333333457</v>
      </c>
      <c r="BS1164" s="343">
        <f>SUMIFS($AU$134:AU1165,$AB$134:AB1165,"*")</f>
        <v>4577.196666667046</v>
      </c>
      <c r="BT1164" s="343">
        <f>SUMIFS($AU$134:AU1165,$AC$134:AC1165,"*")</f>
        <v>11143.683333333332</v>
      </c>
      <c r="BU1164" s="343">
        <f>SUMIFS($AU$134:AU1165,$AA$134:AA1165,"*",$AB$134:AB1165,"*")</f>
        <v>2838.0000000000864</v>
      </c>
      <c r="BV1164" s="343">
        <f>SUMIFS($AU$134:AU1165,$AA$134:AA1165,"*",$AC$134:AC1165,"*")</f>
        <v>9324.7833333333328</v>
      </c>
      <c r="BW1164" s="343">
        <f>SUMIFS($AU$134:AU1165,$AB$134:AB1165,"*",$AC$134:AC1165,"*")</f>
        <v>6014.6</v>
      </c>
      <c r="BX1164" s="343">
        <f>SUMIFS($AU1165:AU$1388,$Q1165:Q$1388,"F")</f>
        <v>8274.1333333333332</v>
      </c>
      <c r="BY1164" s="343">
        <f>SUMIFS($AU1165:AU$1388,$Q1165:Q$1388,"S")</f>
        <v>4416</v>
      </c>
      <c r="BZ1164" s="343">
        <f>SUMIFS($AU1165:AU$1388,$Q1165:Q$1388,"O")</f>
        <v>-207.48466666688103</v>
      </c>
    </row>
    <row r="1165" spans="1:78" ht="15.75" customHeight="1">
      <c r="A1165" s="221" t="s">
        <v>3942</v>
      </c>
      <c r="B1165" s="177">
        <v>45219</v>
      </c>
      <c r="C1165" s="178" t="s">
        <v>4151</v>
      </c>
      <c r="D1165" s="178" t="s">
        <v>111</v>
      </c>
      <c r="E1165" s="227"/>
      <c r="F1165" s="180"/>
      <c r="G1165" s="484" t="s">
        <v>2942</v>
      </c>
      <c r="H1165" s="182"/>
      <c r="I1165" s="182"/>
      <c r="J1165" s="182"/>
      <c r="K1165" s="183"/>
      <c r="L1165" s="182">
        <v>1</v>
      </c>
      <c r="M1165" s="182"/>
      <c r="N1165" s="182"/>
      <c r="O1165" s="183" t="s">
        <v>95</v>
      </c>
      <c r="P1165" s="183" t="s">
        <v>137</v>
      </c>
      <c r="Q1165" s="183" t="s">
        <v>97</v>
      </c>
      <c r="R1165" s="183">
        <v>24</v>
      </c>
      <c r="S1165" s="183">
        <v>0</v>
      </c>
      <c r="T1165" s="183">
        <v>10</v>
      </c>
      <c r="U1165" s="183" t="s">
        <v>97</v>
      </c>
      <c r="V1165" s="183"/>
      <c r="W1165" s="183"/>
      <c r="X1165" s="183"/>
      <c r="Y1165" s="184">
        <f t="shared" si="337"/>
        <v>0.01</v>
      </c>
      <c r="Z1165" s="185">
        <f t="shared" si="338"/>
        <v>1600</v>
      </c>
      <c r="AA1165" s="185" t="s">
        <v>99</v>
      </c>
      <c r="AB1165" s="185"/>
      <c r="AC1165" s="185"/>
      <c r="AD1165" s="649">
        <f>((-0.03*10)+(-0.02*14))/24</f>
        <v>-2.416666666666667E-2</v>
      </c>
      <c r="AE1165" s="182"/>
      <c r="AF1165" s="332"/>
      <c r="AG1165" s="182"/>
      <c r="AH1165" s="182"/>
      <c r="AI1165" s="182"/>
      <c r="AJ1165" s="640"/>
      <c r="AK1165" s="182"/>
      <c r="AL1165" s="496">
        <f t="shared" si="339"/>
        <v>-48</v>
      </c>
      <c r="AM1165" s="496">
        <f>AL1165*(R1165-S1165)</f>
        <v>-1152</v>
      </c>
      <c r="AN1165" s="626"/>
      <c r="AO1165" s="182"/>
      <c r="AP1165" s="182" t="s">
        <v>2423</v>
      </c>
      <c r="AQ1165" s="332" t="str">
        <f>UPPER(RIGHT(Journal_Live[[#This Row],[DURATION ]]))</f>
        <v>H</v>
      </c>
      <c r="AR1165" s="182" t="s">
        <v>2093</v>
      </c>
      <c r="AS1165" s="189">
        <v>-0.03</v>
      </c>
      <c r="AT1165" s="189">
        <f t="shared" si="340"/>
        <v>5.8333333333333293E-3</v>
      </c>
      <c r="AU1165" s="187">
        <f t="shared" si="341"/>
        <v>223.99999999999983</v>
      </c>
      <c r="AV1165" s="190">
        <f t="shared" si="342"/>
        <v>9.3333333333333268</v>
      </c>
      <c r="AW1165" s="191" t="s">
        <v>96</v>
      </c>
      <c r="AX1165" s="407"/>
      <c r="AY1165" s="407"/>
      <c r="AZ1165" s="407"/>
      <c r="BA1165" s="407"/>
      <c r="BB1165" s="407"/>
      <c r="BC1165" s="407"/>
      <c r="BD1165" s="407"/>
      <c r="BE1165" s="407"/>
      <c r="BF1165" s="422"/>
      <c r="BG1165" s="391">
        <f>SUM($AV$4:AV1165)</f>
        <v>4166.9076235638149</v>
      </c>
      <c r="BH1165" s="392">
        <f>SUM($AU$134:AU1165)</f>
        <v>21100.002000000419</v>
      </c>
      <c r="BI1165" s="318">
        <f>SUMIFS($AU$134:AU1166,$Q$134:Q1166,"F")</f>
        <v>6166.5333333333328</v>
      </c>
      <c r="BJ1165" s="318">
        <f>SUMIFS($AU$134:AU1166,$Q$134:Q1166,"S")</f>
        <v>16863.642</v>
      </c>
      <c r="BK1165" s="343">
        <f>SUMIFS($AU$134:AU1166,$P$134:P1166,"W")</f>
        <v>13550.941999999943</v>
      </c>
      <c r="BL1165" s="343">
        <f>SUMIFS($AU$134:AU1166,$P$134:P1166,"R")</f>
        <v>9284.6733333333214</v>
      </c>
      <c r="BM1165" s="343">
        <f>SUMIFS($AU$134:AU1166,$AQ$134:AQ1166,"M")</f>
        <v>2582.0300000001416</v>
      </c>
      <c r="BN1165" s="343">
        <f>SUMIFS($AU$134:AU1166,$AQ$134:AQ1166,"H")</f>
        <v>8313.3420000000642</v>
      </c>
      <c r="BO1165" s="343">
        <f>SUMIFS($AU$134:AU1166,$AQ$134:AQ1166,"D")</f>
        <v>5426.2366666667649</v>
      </c>
      <c r="BP1165" s="343">
        <f>SUMIFS($AU$134:AU1168,$AQ$134:AQ1168,"W")</f>
        <v>3191.7633333332024</v>
      </c>
      <c r="BQ1165" s="343">
        <f>SUMIFS($AU$134:AU1166,$Q$134:Q1166,"O")</f>
        <v>-1441.3733333329176</v>
      </c>
      <c r="BR1165" s="343">
        <f>SUMIFS($AU$134:AU1166,$AA$134:AA1166,"*")</f>
        <v>19693.305333333457</v>
      </c>
      <c r="BS1165" s="343">
        <f>SUMIFS($AU$134:AU1166,$AB$134:AB1166,"*")</f>
        <v>4577.196666667046</v>
      </c>
      <c r="BT1165" s="343">
        <f>SUMIFS($AU$134:AU1166,$AC$134:AC1166,"*")</f>
        <v>11143.683333333332</v>
      </c>
      <c r="BU1165" s="343">
        <f>SUMIFS($AU$134:AU1166,$AA$134:AA1166,"*",$AB$134:AB1166,"*")</f>
        <v>2838.0000000000864</v>
      </c>
      <c r="BV1165" s="343">
        <f>SUMIFS($AU$134:AU1166,$AA$134:AA1166,"*",$AC$134:AC1166,"*")</f>
        <v>9324.7833333333328</v>
      </c>
      <c r="BW1165" s="343">
        <f>SUMIFS($AU$134:AU1166,$AB$134:AB1166,"*",$AC$134:AC1166,"*")</f>
        <v>6014.6</v>
      </c>
      <c r="BX1165" s="343">
        <f>SUMIFS($AU1166:AU$1388,$Q1166:Q$1388,"F")</f>
        <v>8274.1333333333332</v>
      </c>
      <c r="BY1165" s="343">
        <f>SUMIFS($AU1166:AU$1388,$Q1166:Q$1388,"S")</f>
        <v>4192.0000000000009</v>
      </c>
      <c r="BZ1165" s="343">
        <f>SUMIFS($AU1166:AU$1388,$Q1166:Q$1388,"O")</f>
        <v>-207.48466666688103</v>
      </c>
    </row>
    <row r="1166" spans="1:78" ht="15.75" customHeight="1">
      <c r="A1166" s="221" t="s">
        <v>3942</v>
      </c>
      <c r="B1166" s="177">
        <v>45219</v>
      </c>
      <c r="C1166" s="178" t="s">
        <v>4152</v>
      </c>
      <c r="D1166" s="178" t="s">
        <v>111</v>
      </c>
      <c r="E1166" s="227"/>
      <c r="F1166" s="180"/>
      <c r="G1166" s="484" t="s">
        <v>4147</v>
      </c>
      <c r="H1166" s="182"/>
      <c r="I1166" s="182"/>
      <c r="J1166" s="182"/>
      <c r="K1166" s="183"/>
      <c r="L1166" s="182">
        <v>2</v>
      </c>
      <c r="M1166" s="182"/>
      <c r="N1166" s="182"/>
      <c r="O1166" s="183" t="s">
        <v>95</v>
      </c>
      <c r="P1166" s="183" t="s">
        <v>137</v>
      </c>
      <c r="Q1166" s="183" t="s">
        <v>97</v>
      </c>
      <c r="R1166" s="183">
        <v>28</v>
      </c>
      <c r="S1166" s="183">
        <v>0</v>
      </c>
      <c r="T1166" s="183">
        <v>7</v>
      </c>
      <c r="U1166" s="183" t="s">
        <v>97</v>
      </c>
      <c r="V1166" s="183"/>
      <c r="W1166" s="183"/>
      <c r="X1166" s="183"/>
      <c r="Y1166" s="184">
        <f t="shared" si="337"/>
        <v>0.01</v>
      </c>
      <c r="Z1166" s="185">
        <f t="shared" si="338"/>
        <v>1600</v>
      </c>
      <c r="AA1166" s="185" t="s">
        <v>99</v>
      </c>
      <c r="AB1166" s="185"/>
      <c r="AC1166" s="185"/>
      <c r="AD1166" s="649">
        <f>(0*4+0.01*24)/28</f>
        <v>8.5714285714285719E-3</v>
      </c>
      <c r="AE1166" s="182"/>
      <c r="AF1166" s="332"/>
      <c r="AG1166" s="182"/>
      <c r="AH1166" s="182"/>
      <c r="AI1166" s="182"/>
      <c r="AJ1166" s="640"/>
      <c r="AK1166" s="182"/>
      <c r="AL1166" s="496">
        <f t="shared" si="339"/>
        <v>-48</v>
      </c>
      <c r="AM1166" s="496">
        <f>AL1166*(R1166-S1166)</f>
        <v>-1344</v>
      </c>
      <c r="AN1166" s="626"/>
      <c r="AO1166" s="182"/>
      <c r="AP1166" s="182" t="s">
        <v>589</v>
      </c>
      <c r="AQ1166" s="332" t="str">
        <f>UPPER(RIGHT(Journal_Live[[#This Row],[DURATION ]]))</f>
        <v>D</v>
      </c>
      <c r="AR1166" s="298" t="s">
        <v>4153</v>
      </c>
      <c r="AS1166" s="189">
        <v>0</v>
      </c>
      <c r="AT1166" s="189">
        <f t="shared" si="340"/>
        <v>8.5714285714285719E-3</v>
      </c>
      <c r="AU1166" s="187">
        <f t="shared" si="341"/>
        <v>384</v>
      </c>
      <c r="AV1166" s="190">
        <f t="shared" si="342"/>
        <v>13.714285714285715</v>
      </c>
      <c r="AW1166" s="191" t="s">
        <v>96</v>
      </c>
      <c r="AX1166" s="407"/>
      <c r="AY1166" s="407"/>
      <c r="AZ1166" s="407"/>
      <c r="BA1166" s="407"/>
      <c r="BB1166" s="407"/>
      <c r="BC1166" s="407"/>
      <c r="BD1166" s="407"/>
      <c r="BE1166" s="407"/>
      <c r="BF1166" s="422"/>
      <c r="BG1166" s="391">
        <f>SUM($AV$4:AV1166)</f>
        <v>4180.6219092781002</v>
      </c>
      <c r="BH1166" s="392">
        <f>SUM($AU$134:AU1166)</f>
        <v>21484.002000000419</v>
      </c>
      <c r="BI1166" s="318">
        <f>SUMIFS($AU$134:AU1167,$Q$134:Q1167,"F")</f>
        <v>6166.5333333333328</v>
      </c>
      <c r="BJ1166" s="318">
        <f>SUMIFS($AU$134:AU1167,$Q$134:Q1167,"S")</f>
        <v>16927.642</v>
      </c>
      <c r="BK1166" s="343">
        <f>SUMIFS($AU$134:AU1167,$P$134:P1167,"W")</f>
        <v>13614.941999999943</v>
      </c>
      <c r="BL1166" s="343">
        <f>SUMIFS($AU$134:AU1167,$P$134:P1167,"R")</f>
        <v>9284.6733333333214</v>
      </c>
      <c r="BM1166" s="343">
        <f>SUMIFS($AU$134:AU1167,$AQ$134:AQ1167,"M")</f>
        <v>2582.0300000001416</v>
      </c>
      <c r="BN1166" s="343">
        <f>SUMIFS($AU$134:AU1167,$AQ$134:AQ1167,"H")</f>
        <v>8377.3420000000642</v>
      </c>
      <c r="BO1166" s="343">
        <f>SUMIFS($AU$134:AU1167,$AQ$134:AQ1167,"D")</f>
        <v>5426.2366666667649</v>
      </c>
      <c r="BP1166" s="343">
        <f>SUMIFS($AU$134:AU1169,$AQ$134:AQ1169,"W")</f>
        <v>3191.7633333332024</v>
      </c>
      <c r="BQ1166" s="343">
        <f>SUMIFS($AU$134:AU1167,$Q$134:Q1167,"O")</f>
        <v>-1441.3733333329176</v>
      </c>
      <c r="BR1166" s="343">
        <f>SUMIFS($AU$134:AU1167,$AA$134:AA1167,"*")</f>
        <v>19757.305333333457</v>
      </c>
      <c r="BS1166" s="343">
        <f>SUMIFS($AU$134:AU1167,$AB$134:AB1167,"*")</f>
        <v>4577.196666667046</v>
      </c>
      <c r="BT1166" s="343">
        <f>SUMIFS($AU$134:AU1167,$AC$134:AC1167,"*")</f>
        <v>11143.683333333332</v>
      </c>
      <c r="BU1166" s="343">
        <f>SUMIFS($AU$134:AU1167,$AA$134:AA1167,"*",$AB$134:AB1167,"*")</f>
        <v>2838.0000000000864</v>
      </c>
      <c r="BV1166" s="343">
        <f>SUMIFS($AU$134:AU1167,$AA$134:AA1167,"*",$AC$134:AC1167,"*")</f>
        <v>9324.7833333333328</v>
      </c>
      <c r="BW1166" s="343">
        <f>SUMIFS($AU$134:AU1167,$AB$134:AB1167,"*",$AC$134:AC1167,"*")</f>
        <v>6014.6</v>
      </c>
      <c r="BX1166" s="343">
        <f>SUMIFS($AU1167:AU$1388,$Q1167:Q$1388,"F")</f>
        <v>8274.1333333333332</v>
      </c>
      <c r="BY1166" s="343">
        <f>SUMIFS($AU1167:AU$1388,$Q1167:Q$1388,"S")</f>
        <v>3808.0000000000009</v>
      </c>
      <c r="BZ1166" s="343">
        <f>SUMIFS($AU1167:AU$1388,$Q1167:Q$1388,"O")</f>
        <v>-207.48466666688103</v>
      </c>
    </row>
    <row r="1167" spans="1:78" ht="15.75" customHeight="1">
      <c r="A1167" s="221" t="s">
        <v>3942</v>
      </c>
      <c r="B1167" s="177">
        <v>45219</v>
      </c>
      <c r="C1167" s="178" t="s">
        <v>3379</v>
      </c>
      <c r="D1167" s="178" t="s">
        <v>111</v>
      </c>
      <c r="E1167" s="227"/>
      <c r="F1167" s="180"/>
      <c r="G1167" s="281" t="s">
        <v>2145</v>
      </c>
      <c r="H1167" s="182"/>
      <c r="I1167" s="182"/>
      <c r="J1167" s="182"/>
      <c r="K1167" s="183"/>
      <c r="L1167" s="182">
        <v>1</v>
      </c>
      <c r="M1167" s="182"/>
      <c r="N1167" s="182"/>
      <c r="O1167" s="183" t="s">
        <v>95</v>
      </c>
      <c r="P1167" s="183" t="s">
        <v>96</v>
      </c>
      <c r="Q1167" s="183" t="s">
        <v>97</v>
      </c>
      <c r="R1167" s="183">
        <v>4</v>
      </c>
      <c r="S1167" s="183">
        <v>0</v>
      </c>
      <c r="T1167" s="183">
        <v>3</v>
      </c>
      <c r="U1167" s="183" t="s">
        <v>22</v>
      </c>
      <c r="V1167" s="183"/>
      <c r="W1167" s="183"/>
      <c r="X1167" s="183"/>
      <c r="Y1167" s="184">
        <f t="shared" si="337"/>
        <v>0.01</v>
      </c>
      <c r="Z1167" s="185">
        <f t="shared" si="338"/>
        <v>1600</v>
      </c>
      <c r="AA1167" s="185" t="s">
        <v>99</v>
      </c>
      <c r="AB1167" s="185"/>
      <c r="AC1167" s="185"/>
      <c r="AD1167" s="649">
        <v>0.15</v>
      </c>
      <c r="AE1167" s="182"/>
      <c r="AF1167" s="332"/>
      <c r="AG1167" s="182"/>
      <c r="AH1167" s="182"/>
      <c r="AI1167" s="182"/>
      <c r="AJ1167" s="640"/>
      <c r="AK1167" s="182"/>
      <c r="AL1167" s="496">
        <f t="shared" si="339"/>
        <v>-48</v>
      </c>
      <c r="AM1167" s="496">
        <f>AL1167*(R1167-S1167)</f>
        <v>-192</v>
      </c>
      <c r="AN1167" s="626"/>
      <c r="AO1167" s="182"/>
      <c r="AP1167" s="182" t="s">
        <v>942</v>
      </c>
      <c r="AQ1167" s="332" t="str">
        <f>UPPER(RIGHT(Journal_Live[[#This Row],[DURATION ]]))</f>
        <v>H</v>
      </c>
      <c r="AR1167" s="182" t="s">
        <v>4154</v>
      </c>
      <c r="AS1167" s="189">
        <v>0.16</v>
      </c>
      <c r="AT1167" s="189">
        <f t="shared" si="340"/>
        <v>1.0000000000000009E-2</v>
      </c>
      <c r="AU1167" s="187">
        <f t="shared" si="341"/>
        <v>64.000000000000057</v>
      </c>
      <c r="AV1167" s="190">
        <f t="shared" si="342"/>
        <v>16.000000000000014</v>
      </c>
      <c r="AW1167" s="191" t="s">
        <v>96</v>
      </c>
      <c r="AX1167" s="407"/>
      <c r="AY1167" s="407"/>
      <c r="AZ1167" s="407"/>
      <c r="BA1167" s="407"/>
      <c r="BB1167" s="407"/>
      <c r="BC1167" s="407"/>
      <c r="BD1167" s="407"/>
      <c r="BE1167" s="407"/>
      <c r="BF1167" s="422"/>
      <c r="BG1167" s="391">
        <f>SUM($AV$4:AV1167)</f>
        <v>4196.6219092781002</v>
      </c>
      <c r="BH1167" s="392">
        <f>SUM($AU$134:AU1167)</f>
        <v>21548.002000000419</v>
      </c>
      <c r="BI1167" s="318">
        <f>SUMIFS($AU$134:AU1168,$Q$134:Q1168,"F")</f>
        <v>6166.5333333333328</v>
      </c>
      <c r="BJ1167" s="318">
        <f>SUMIFS($AU$134:AU1168,$Q$134:Q1168,"S")</f>
        <v>16927.642</v>
      </c>
      <c r="BK1167" s="343">
        <f>SUMIFS($AU$134:AU1168,$P$134:P1168,"W")</f>
        <v>13614.941999999943</v>
      </c>
      <c r="BL1167" s="343">
        <f>SUMIFS($AU$134:AU1168,$P$134:P1168,"R")</f>
        <v>9284.6733333333214</v>
      </c>
      <c r="BM1167" s="343">
        <f>SUMIFS($AU$134:AU1168,$AQ$134:AQ1168,"M")</f>
        <v>2582.0300000001416</v>
      </c>
      <c r="BN1167" s="343">
        <f>SUMIFS($AU$134:AU1168,$AQ$134:AQ1168,"H")</f>
        <v>8377.3420000000642</v>
      </c>
      <c r="BO1167" s="343">
        <f>SUMIFS($AU$134:AU1168,$AQ$134:AQ1168,"D")</f>
        <v>5426.2366666667649</v>
      </c>
      <c r="BP1167" s="343">
        <f>SUMIFS($AU$134:AU1170,$AQ$134:AQ1170,"W")</f>
        <v>3191.7633333332024</v>
      </c>
      <c r="BQ1167" s="343">
        <f>SUMIFS($AU$134:AU1168,$Q$134:Q1168,"O")</f>
        <v>-1441.3733333329176</v>
      </c>
      <c r="BR1167" s="343">
        <f>SUMIFS($AU$134:AU1168,$AA$134:AA1168,"*")</f>
        <v>19757.305333333457</v>
      </c>
      <c r="BS1167" s="343">
        <f>SUMIFS($AU$134:AU1168,$AB$134:AB1168,"*")</f>
        <v>4577.196666667046</v>
      </c>
      <c r="BT1167" s="343">
        <f>SUMIFS($AU$134:AU1168,$AC$134:AC1168,"*")</f>
        <v>11143.683333333332</v>
      </c>
      <c r="BU1167" s="343">
        <f>SUMIFS($AU$134:AU1168,$AA$134:AA1168,"*",$AB$134:AB1168,"*")</f>
        <v>2838.0000000000864</v>
      </c>
      <c r="BV1167" s="343">
        <f>SUMIFS($AU$134:AU1168,$AA$134:AA1168,"*",$AC$134:AC1168,"*")</f>
        <v>9324.7833333333328</v>
      </c>
      <c r="BW1167" s="343">
        <f>SUMIFS($AU$134:AU1168,$AB$134:AB1168,"*",$AC$134:AC1168,"*")</f>
        <v>6014.6</v>
      </c>
      <c r="BX1167" s="343">
        <f>SUMIFS($AU1168:AU$1388,$Q1168:Q$1388,"F")</f>
        <v>8274.1333333333332</v>
      </c>
      <c r="BY1167" s="343">
        <f>SUMIFS($AU1168:AU$1388,$Q1168:Q$1388,"S")</f>
        <v>3744.0000000000009</v>
      </c>
      <c r="BZ1167" s="343">
        <f>SUMIFS($AU1168:AU$1388,$Q1168:Q$1388,"O")</f>
        <v>-207.48466666688103</v>
      </c>
    </row>
    <row r="1168" spans="1:78" ht="15.75" customHeight="1">
      <c r="A1168" s="221" t="s">
        <v>3942</v>
      </c>
      <c r="B1168" s="177">
        <v>45219</v>
      </c>
      <c r="C1168" s="178" t="s">
        <v>4155</v>
      </c>
      <c r="D1168" s="178" t="s">
        <v>111</v>
      </c>
      <c r="E1168" s="227"/>
      <c r="F1168" s="180"/>
      <c r="G1168" s="281" t="s">
        <v>181</v>
      </c>
      <c r="H1168" s="182"/>
      <c r="I1168" s="182"/>
      <c r="J1168" s="182"/>
      <c r="K1168" s="183"/>
      <c r="L1168" s="182">
        <v>1</v>
      </c>
      <c r="M1168" s="182"/>
      <c r="N1168" s="182"/>
      <c r="O1168" s="183" t="s">
        <v>95</v>
      </c>
      <c r="P1168" s="183" t="s">
        <v>96</v>
      </c>
      <c r="Q1168" s="183" t="s">
        <v>97</v>
      </c>
      <c r="R1168" s="183">
        <v>12</v>
      </c>
      <c r="S1168" s="183">
        <v>0</v>
      </c>
      <c r="T1168" s="183">
        <v>12</v>
      </c>
      <c r="U1168" s="183" t="s">
        <v>97</v>
      </c>
      <c r="V1168" s="183"/>
      <c r="W1168" s="183"/>
      <c r="X1168" s="183"/>
      <c r="Y1168" s="184">
        <f t="shared" si="337"/>
        <v>0.01</v>
      </c>
      <c r="Z1168" s="185">
        <f t="shared" si="338"/>
        <v>1600</v>
      </c>
      <c r="AA1168" s="185" t="s">
        <v>4156</v>
      </c>
      <c r="AB1168" s="185"/>
      <c r="AC1168" s="185"/>
      <c r="AD1168" s="649">
        <v>0.05</v>
      </c>
      <c r="AE1168" s="182"/>
      <c r="AF1168" s="332"/>
      <c r="AG1168" s="182"/>
      <c r="AH1168" s="182"/>
      <c r="AI1168" s="182"/>
      <c r="AJ1168" s="640"/>
      <c r="AK1168" s="182"/>
      <c r="AL1168" s="496"/>
      <c r="AM1168" s="496"/>
      <c r="AN1168" s="626"/>
      <c r="AO1168" s="182"/>
      <c r="AP1168" s="182" t="s">
        <v>1843</v>
      </c>
      <c r="AQ1168" s="332" t="str">
        <f>UPPER(RIGHT(Journal_Live[[#This Row],[DURATION ]]))</f>
        <v>M</v>
      </c>
      <c r="AR1168" s="182" t="s">
        <v>2952</v>
      </c>
      <c r="AS1168" s="189">
        <v>0.05</v>
      </c>
      <c r="AT1168" s="189">
        <f t="shared" si="340"/>
        <v>0</v>
      </c>
      <c r="AU1168" s="187">
        <f t="shared" si="341"/>
        <v>0</v>
      </c>
      <c r="AV1168" s="190">
        <f t="shared" si="342"/>
        <v>0</v>
      </c>
      <c r="AW1168" s="191" t="s">
        <v>115</v>
      </c>
      <c r="AX1168" s="407"/>
      <c r="AY1168" s="407"/>
      <c r="AZ1168" s="407"/>
      <c r="BA1168" s="407"/>
      <c r="BB1168" s="407"/>
      <c r="BC1168" s="407"/>
      <c r="BD1168" s="407"/>
      <c r="BE1168" s="407"/>
      <c r="BF1168" s="422"/>
      <c r="BG1168" s="391">
        <f>SUM($AV$4:AV1168)</f>
        <v>4196.6219092781002</v>
      </c>
      <c r="BH1168" s="392">
        <f>SUM($AU$134:AU1168)</f>
        <v>21548.002000000419</v>
      </c>
      <c r="BI1168" s="318">
        <f>SUMIFS($AU$134:AU1169,$Q$134:Q1169,"F")</f>
        <v>6166.5333333333328</v>
      </c>
      <c r="BJ1168" s="318">
        <f>SUMIFS($AU$134:AU1169,$Q$134:Q1169,"S")</f>
        <v>16927.642</v>
      </c>
      <c r="BK1168" s="343">
        <f>SUMIFS($AU$134:AU1169,$P$134:P1169,"W")</f>
        <v>13614.941999999943</v>
      </c>
      <c r="BL1168" s="343">
        <f>SUMIFS($AU$134:AU1169,$P$134:P1169,"R")</f>
        <v>9284.6733333333214</v>
      </c>
      <c r="BM1168" s="343">
        <f>SUMIFS($AU$134:AU1169,$AQ$134:AQ1169,"M")</f>
        <v>2582.0300000001416</v>
      </c>
      <c r="BN1168" s="343">
        <f>SUMIFS($AU$134:AU1169,$AQ$134:AQ1169,"H")</f>
        <v>8377.3420000000642</v>
      </c>
      <c r="BO1168" s="343">
        <f>SUMIFS($AU$134:AU1169,$AQ$134:AQ1169,"D")</f>
        <v>5426.2366666667649</v>
      </c>
      <c r="BP1168" s="343">
        <f>SUMIFS($AU$134:AU1171,$AQ$134:AQ1171,"W")</f>
        <v>3191.7633333332024</v>
      </c>
      <c r="BQ1168" s="343">
        <f>SUMIFS($AU$134:AU1169,$Q$134:Q1169,"O")</f>
        <v>-1441.3733333329176</v>
      </c>
      <c r="BR1168" s="343">
        <f>SUMIFS($AU$134:AU1169,$AA$134:AA1169,"*")</f>
        <v>19757.305333333457</v>
      </c>
      <c r="BS1168" s="343">
        <f>SUMIFS($AU$134:AU1169,$AB$134:AB1169,"*")</f>
        <v>4577.196666667046</v>
      </c>
      <c r="BT1168" s="343">
        <f>SUMIFS($AU$134:AU1169,$AC$134:AC1169,"*")</f>
        <v>11143.683333333332</v>
      </c>
      <c r="BU1168" s="343">
        <f>SUMIFS($AU$134:AU1169,$AA$134:AA1169,"*",$AB$134:AB1169,"*")</f>
        <v>2838.0000000000864</v>
      </c>
      <c r="BV1168" s="343">
        <f>SUMIFS($AU$134:AU1169,$AA$134:AA1169,"*",$AC$134:AC1169,"*")</f>
        <v>9324.7833333333328</v>
      </c>
      <c r="BW1168" s="343">
        <f>SUMIFS($AU$134:AU1169,$AB$134:AB1169,"*",$AC$134:AC1169,"*")</f>
        <v>6014.6</v>
      </c>
      <c r="BX1168" s="343">
        <f>SUMIFS($AU1169:AU$1388,$Q1169:Q$1388,"F")</f>
        <v>8274.1333333333332</v>
      </c>
      <c r="BY1168" s="343">
        <f>SUMIFS($AU1169:AU$1388,$Q1169:Q$1388,"S")</f>
        <v>3744.0000000000009</v>
      </c>
      <c r="BZ1168" s="343">
        <f>SUMIFS($AU1169:AU$1388,$Q1169:Q$1388,"O")</f>
        <v>-207.48466666688103</v>
      </c>
    </row>
    <row r="1169" spans="1:78" ht="15.75" customHeight="1">
      <c r="A1169" s="221" t="s">
        <v>3942</v>
      </c>
      <c r="B1169" s="177">
        <v>45219</v>
      </c>
      <c r="C1169" s="178" t="s">
        <v>4157</v>
      </c>
      <c r="D1169" s="178" t="s">
        <v>111</v>
      </c>
      <c r="E1169" s="227"/>
      <c r="F1169" s="180"/>
      <c r="G1169" s="281" t="s">
        <v>3962</v>
      </c>
      <c r="H1169" s="182"/>
      <c r="I1169" s="182"/>
      <c r="J1169" s="182"/>
      <c r="K1169" s="183"/>
      <c r="L1169" s="182">
        <v>1</v>
      </c>
      <c r="M1169" s="182"/>
      <c r="N1169" s="182"/>
      <c r="O1169" s="183" t="s">
        <v>95</v>
      </c>
      <c r="P1169" s="183" t="s">
        <v>137</v>
      </c>
      <c r="Q1169" s="183" t="s">
        <v>256</v>
      </c>
      <c r="R1169" s="183">
        <v>6</v>
      </c>
      <c r="S1169" s="183">
        <v>0</v>
      </c>
      <c r="T1169" s="183">
        <v>6</v>
      </c>
      <c r="U1169" s="183" t="s">
        <v>22</v>
      </c>
      <c r="V1169" s="183"/>
      <c r="W1169" s="183"/>
      <c r="X1169" s="183"/>
      <c r="Y1169" s="184">
        <f t="shared" si="337"/>
        <v>0.01</v>
      </c>
      <c r="Z1169" s="185">
        <f t="shared" si="338"/>
        <v>1600</v>
      </c>
      <c r="AA1169" s="185"/>
      <c r="AB1169" s="185"/>
      <c r="AC1169" s="185" t="s">
        <v>4158</v>
      </c>
      <c r="AD1169" s="649">
        <v>-0.03</v>
      </c>
      <c r="AE1169" s="182"/>
      <c r="AF1169" s="332"/>
      <c r="AG1169" s="182"/>
      <c r="AH1169" s="182"/>
      <c r="AI1169" s="182"/>
      <c r="AJ1169" s="640"/>
      <c r="AK1169" s="182"/>
      <c r="AL1169" s="496"/>
      <c r="AM1169" s="496"/>
      <c r="AN1169" s="626"/>
      <c r="AO1169" s="182"/>
      <c r="AP1169" s="182" t="s">
        <v>804</v>
      </c>
      <c r="AQ1169" s="332" t="str">
        <f>UPPER(RIGHT(Journal_Live[[#This Row],[DURATION ]]))</f>
        <v>D</v>
      </c>
      <c r="AR1169" s="298" t="s">
        <v>4159</v>
      </c>
      <c r="AS1169" s="189">
        <v>-0.03</v>
      </c>
      <c r="AT1169" s="189">
        <f t="shared" si="340"/>
        <v>0</v>
      </c>
      <c r="AU1169" s="187">
        <f t="shared" si="341"/>
        <v>0</v>
      </c>
      <c r="AV1169" s="190">
        <f t="shared" si="342"/>
        <v>0</v>
      </c>
      <c r="AW1169" s="191" t="s">
        <v>115</v>
      </c>
      <c r="AX1169" s="407"/>
      <c r="AY1169" s="407"/>
      <c r="AZ1169" s="407"/>
      <c r="BA1169" s="407"/>
      <c r="BB1169" s="407"/>
      <c r="BC1169" s="407"/>
      <c r="BD1169" s="407"/>
      <c r="BE1169" s="407"/>
      <c r="BF1169" s="422"/>
      <c r="BG1169" s="391">
        <f>SUM($AV$4:AV1169)</f>
        <v>4196.6219092781002</v>
      </c>
      <c r="BH1169" s="392">
        <f>SUM($AU$134:AU1169)</f>
        <v>21548.002000000419</v>
      </c>
      <c r="BI1169" s="318">
        <f>SUMIFS($AU$134:AU1170,$Q$134:Q1170,"F")</f>
        <v>6166.5333333333328</v>
      </c>
      <c r="BJ1169" s="318">
        <f>SUMIFS($AU$134:AU1170,$Q$134:Q1170,"S")</f>
        <v>16927.642</v>
      </c>
      <c r="BK1169" s="343">
        <f>SUMIFS($AU$134:AU1170,$P$134:P1170,"W")</f>
        <v>13614.941999999943</v>
      </c>
      <c r="BL1169" s="343">
        <f>SUMIFS($AU$134:AU1170,$P$134:P1170,"R")</f>
        <v>9284.6733333333214</v>
      </c>
      <c r="BM1169" s="343">
        <f>SUMIFS($AU$134:AU1170,$AQ$134:AQ1170,"M")</f>
        <v>2582.0300000001416</v>
      </c>
      <c r="BN1169" s="343">
        <f>SUMIFS($AU$134:AU1170,$AQ$134:AQ1170,"H")</f>
        <v>8377.3420000000642</v>
      </c>
      <c r="BO1169" s="343">
        <f>SUMIFS($AU$134:AU1170,$AQ$134:AQ1170,"D")</f>
        <v>5426.2366666667649</v>
      </c>
      <c r="BP1169" s="343">
        <f>SUMIFS($AU$134:AU1172,$AQ$134:AQ1172,"W")</f>
        <v>3191.7633333332024</v>
      </c>
      <c r="BQ1169" s="343">
        <f>SUMIFS($AU$134:AU1170,$Q$134:Q1170,"O")</f>
        <v>-1441.3733333329176</v>
      </c>
      <c r="BR1169" s="343">
        <f>SUMIFS($AU$134:AU1170,$AA$134:AA1170,"*")</f>
        <v>19757.305333333457</v>
      </c>
      <c r="BS1169" s="343">
        <f>SUMIFS($AU$134:AU1170,$AB$134:AB1170,"*")</f>
        <v>4577.196666667046</v>
      </c>
      <c r="BT1169" s="343">
        <f>SUMIFS($AU$134:AU1170,$AC$134:AC1170,"*")</f>
        <v>11143.683333333332</v>
      </c>
      <c r="BU1169" s="343">
        <f>SUMIFS($AU$134:AU1170,$AA$134:AA1170,"*",$AB$134:AB1170,"*")</f>
        <v>2838.0000000000864</v>
      </c>
      <c r="BV1169" s="343">
        <f>SUMIFS($AU$134:AU1170,$AA$134:AA1170,"*",$AC$134:AC1170,"*")</f>
        <v>9324.7833333333328</v>
      </c>
      <c r="BW1169" s="343">
        <f>SUMIFS($AU$134:AU1170,$AB$134:AB1170,"*",$AC$134:AC1170,"*")</f>
        <v>6014.6</v>
      </c>
      <c r="BX1169" s="343">
        <f>SUMIFS($AU1170:AU$1388,$Q1170:Q$1388,"F")</f>
        <v>8274.1333333333332</v>
      </c>
      <c r="BY1169" s="343">
        <f>SUMIFS($AU1170:AU$1388,$Q1170:Q$1388,"S")</f>
        <v>3744.0000000000009</v>
      </c>
      <c r="BZ1169" s="343">
        <f>SUMIFS($AU1170:AU$1388,$Q1170:Q$1388,"O")</f>
        <v>-207.48466666688103</v>
      </c>
    </row>
    <row r="1170" spans="1:78" ht="15.75" customHeight="1">
      <c r="A1170" s="221" t="s">
        <v>3942</v>
      </c>
      <c r="B1170" s="177">
        <v>45222</v>
      </c>
      <c r="C1170" s="178" t="s">
        <v>4160</v>
      </c>
      <c r="D1170" s="178" t="s">
        <v>132</v>
      </c>
      <c r="E1170" s="227"/>
      <c r="F1170" s="180"/>
      <c r="G1170" s="281" t="s">
        <v>3334</v>
      </c>
      <c r="H1170" s="182"/>
      <c r="I1170" s="182"/>
      <c r="J1170" s="182"/>
      <c r="K1170" s="183"/>
      <c r="L1170" s="182">
        <v>1</v>
      </c>
      <c r="M1170" s="182"/>
      <c r="N1170" s="182"/>
      <c r="O1170" s="183" t="s">
        <v>95</v>
      </c>
      <c r="P1170" s="183" t="s">
        <v>137</v>
      </c>
      <c r="Q1170" s="183" t="s">
        <v>97</v>
      </c>
      <c r="R1170" s="183">
        <v>14</v>
      </c>
      <c r="S1170" s="183">
        <v>0</v>
      </c>
      <c r="T1170" s="183">
        <v>14</v>
      </c>
      <c r="U1170" s="183" t="s">
        <v>22</v>
      </c>
      <c r="V1170" s="183"/>
      <c r="W1170" s="183"/>
      <c r="X1170" s="183"/>
      <c r="Y1170" s="184">
        <f t="shared" si="337"/>
        <v>0.01</v>
      </c>
      <c r="Z1170" s="185">
        <f t="shared" si="338"/>
        <v>1600</v>
      </c>
      <c r="AA1170" s="185" t="s">
        <v>99</v>
      </c>
      <c r="AB1170" s="185"/>
      <c r="AC1170" s="185" t="s">
        <v>4161</v>
      </c>
      <c r="AD1170" s="649">
        <v>-0.03</v>
      </c>
      <c r="AE1170" s="182"/>
      <c r="AF1170" s="332"/>
      <c r="AG1170" s="182"/>
      <c r="AH1170" s="182"/>
      <c r="AI1170" s="182"/>
      <c r="AJ1170" s="640"/>
      <c r="AK1170" s="182"/>
      <c r="AL1170" s="496"/>
      <c r="AM1170" s="496"/>
      <c r="AN1170" s="626"/>
      <c r="AO1170" s="182"/>
      <c r="AP1170" s="182" t="s">
        <v>804</v>
      </c>
      <c r="AQ1170" s="332" t="str">
        <f>UPPER(RIGHT(Journal_Live[[#This Row],[DURATION ]]))</f>
        <v>D</v>
      </c>
      <c r="AR1170" s="182" t="s">
        <v>4162</v>
      </c>
      <c r="AS1170" s="189">
        <v>-0.03</v>
      </c>
      <c r="AT1170" s="189">
        <f t="shared" si="340"/>
        <v>0</v>
      </c>
      <c r="AU1170" s="187">
        <f t="shared" si="341"/>
        <v>0</v>
      </c>
      <c r="AV1170" s="190">
        <f t="shared" si="342"/>
        <v>0</v>
      </c>
      <c r="AW1170" s="191" t="s">
        <v>115</v>
      </c>
      <c r="AX1170" s="407"/>
      <c r="AY1170" s="407"/>
      <c r="AZ1170" s="407"/>
      <c r="BA1170" s="407"/>
      <c r="BB1170" s="407"/>
      <c r="BC1170" s="407"/>
      <c r="BD1170" s="407"/>
      <c r="BE1170" s="407"/>
      <c r="BF1170" s="422"/>
      <c r="BG1170" s="391">
        <f>SUM($AV$4:AV1170)</f>
        <v>4196.6219092781002</v>
      </c>
      <c r="BH1170" s="392">
        <f>SUM($AU$134:AU1170)</f>
        <v>21548.002000000419</v>
      </c>
      <c r="BI1170" s="318">
        <f>SUMIFS($AU$134:AU1171,$Q$134:Q1171,"F")</f>
        <v>6166.5333333333328</v>
      </c>
      <c r="BJ1170" s="318">
        <f>SUMIFS($AU$134:AU1171,$Q$134:Q1171,"S")</f>
        <v>17039.642</v>
      </c>
      <c r="BK1170" s="343">
        <f>SUMIFS($AU$134:AU1171,$P$134:P1171,"W")</f>
        <v>13614.941999999943</v>
      </c>
      <c r="BL1170" s="343">
        <f>SUMIFS($AU$134:AU1171,$P$134:P1171,"R")</f>
        <v>9396.6733333333214</v>
      </c>
      <c r="BM1170" s="343">
        <f>SUMIFS($AU$134:AU1171,$AQ$134:AQ1171,"M")</f>
        <v>2582.0300000001416</v>
      </c>
      <c r="BN1170" s="343">
        <f>SUMIFS($AU$134:AU1171,$AQ$134:AQ1171,"H")</f>
        <v>8377.3420000000642</v>
      </c>
      <c r="BO1170" s="343">
        <f>SUMIFS($AU$134:AU1171,$AQ$134:AQ1171,"D")</f>
        <v>5538.2366666667649</v>
      </c>
      <c r="BP1170" s="343">
        <f>SUMIFS($AU$134:AU1173,$AQ$134:AQ1173,"W")</f>
        <v>3191.7633333332024</v>
      </c>
      <c r="BQ1170" s="343">
        <f>SUMIFS($AU$134:AU1171,$Q$134:Q1171,"O")</f>
        <v>-1441.3733333329176</v>
      </c>
      <c r="BR1170" s="343">
        <f>SUMIFS($AU$134:AU1171,$AA$134:AA1171,"*")</f>
        <v>19869.305333333457</v>
      </c>
      <c r="BS1170" s="343">
        <f>SUMIFS($AU$134:AU1171,$AB$134:AB1171,"*")</f>
        <v>4577.196666667046</v>
      </c>
      <c r="BT1170" s="343">
        <f>SUMIFS($AU$134:AU1171,$AC$134:AC1171,"*")</f>
        <v>11255.683333333332</v>
      </c>
      <c r="BU1170" s="343">
        <f>SUMIFS($AU$134:AU1171,$AA$134:AA1171,"*",$AB$134:AB1171,"*")</f>
        <v>2838.0000000000864</v>
      </c>
      <c r="BV1170" s="343">
        <f>SUMIFS($AU$134:AU1171,$AA$134:AA1171,"*",$AC$134:AC1171,"*")</f>
        <v>9436.7833333333328</v>
      </c>
      <c r="BW1170" s="343">
        <f>SUMIFS($AU$134:AU1171,$AB$134:AB1171,"*",$AC$134:AC1171,"*")</f>
        <v>6014.6</v>
      </c>
      <c r="BX1170" s="343">
        <f>SUMIFS($AU1171:AU$1388,$Q1171:Q$1388,"F")</f>
        <v>8274.1333333333332</v>
      </c>
      <c r="BY1170" s="343">
        <f>SUMIFS($AU1171:AU$1388,$Q1171:Q$1388,"S")</f>
        <v>3744.0000000000009</v>
      </c>
      <c r="BZ1170" s="343">
        <f>SUMIFS($AU1171:AU$1388,$Q1171:Q$1388,"O")</f>
        <v>-207.48466666688103</v>
      </c>
    </row>
    <row r="1171" spans="1:78" ht="15.75" customHeight="1">
      <c r="A1171" s="221" t="s">
        <v>3942</v>
      </c>
      <c r="B1171" s="177">
        <v>45222</v>
      </c>
      <c r="C1171" s="178" t="s">
        <v>1714</v>
      </c>
      <c r="D1171" s="178" t="s">
        <v>132</v>
      </c>
      <c r="E1171" s="227"/>
      <c r="F1171" s="180"/>
      <c r="G1171" s="281" t="s">
        <v>4147</v>
      </c>
      <c r="H1171" s="182"/>
      <c r="I1171" s="182"/>
      <c r="J1171" s="182"/>
      <c r="K1171" s="183"/>
      <c r="L1171" s="182">
        <v>1</v>
      </c>
      <c r="M1171" s="182"/>
      <c r="N1171" s="182"/>
      <c r="O1171" s="183" t="s">
        <v>95</v>
      </c>
      <c r="P1171" s="183" t="s">
        <v>137</v>
      </c>
      <c r="Q1171" s="183" t="s">
        <v>97</v>
      </c>
      <c r="R1171" s="183">
        <v>7</v>
      </c>
      <c r="S1171" s="183">
        <v>0</v>
      </c>
      <c r="T1171" s="183">
        <v>7</v>
      </c>
      <c r="U1171" s="183" t="s">
        <v>97</v>
      </c>
      <c r="V1171" s="183"/>
      <c r="W1171" s="183"/>
      <c r="X1171" s="183"/>
      <c r="Y1171" s="184">
        <f t="shared" si="337"/>
        <v>0.01</v>
      </c>
      <c r="Z1171" s="185">
        <f t="shared" si="338"/>
        <v>1600</v>
      </c>
      <c r="AA1171" s="185" t="s">
        <v>99</v>
      </c>
      <c r="AB1171" s="185"/>
      <c r="AC1171" s="185" t="s">
        <v>4161</v>
      </c>
      <c r="AD1171" s="649">
        <v>0.01</v>
      </c>
      <c r="AE1171" s="182"/>
      <c r="AF1171" s="332"/>
      <c r="AG1171" s="182"/>
      <c r="AH1171" s="182"/>
      <c r="AI1171" s="182"/>
      <c r="AJ1171" s="640"/>
      <c r="AK1171" s="182"/>
      <c r="AL1171" s="496"/>
      <c r="AM1171" s="496"/>
      <c r="AN1171" s="626"/>
      <c r="AO1171" s="182"/>
      <c r="AP1171" s="182" t="s">
        <v>804</v>
      </c>
      <c r="AQ1171" s="332" t="str">
        <f>UPPER(RIGHT(Journal_Live[[#This Row],[DURATION ]]))</f>
        <v>D</v>
      </c>
      <c r="AR1171" s="182" t="s">
        <v>4163</v>
      </c>
      <c r="AS1171" s="189">
        <v>0</v>
      </c>
      <c r="AT1171" s="189">
        <f t="shared" si="340"/>
        <v>0.01</v>
      </c>
      <c r="AU1171" s="187">
        <f t="shared" si="341"/>
        <v>112</v>
      </c>
      <c r="AV1171" s="190">
        <f t="shared" si="342"/>
        <v>16</v>
      </c>
      <c r="AW1171" s="191" t="s">
        <v>96</v>
      </c>
      <c r="AX1171" s="407"/>
      <c r="AY1171" s="407"/>
      <c r="AZ1171" s="407"/>
      <c r="BA1171" s="407"/>
      <c r="BB1171" s="407"/>
      <c r="BC1171" s="407"/>
      <c r="BD1171" s="407"/>
      <c r="BE1171" s="407"/>
      <c r="BF1171" s="422"/>
      <c r="BG1171" s="391">
        <f>SUM($AV$4:AV1171)</f>
        <v>4212.6219092781002</v>
      </c>
      <c r="BH1171" s="392">
        <f>SUM($AU$134:AU1171)</f>
        <v>21660.002000000419</v>
      </c>
      <c r="BI1171" s="318">
        <f>SUMIFS($AU$134:AU1172,$Q$134:Q1172,"F")</f>
        <v>6166.5333333333328</v>
      </c>
      <c r="BJ1171" s="318">
        <f>SUMIFS($AU$134:AU1172,$Q$134:Q1172,"S")</f>
        <v>17039.642</v>
      </c>
      <c r="BK1171" s="343">
        <f>SUMIFS($AU$134:AU1172,$P$134:P1172,"W")</f>
        <v>13614.941999999943</v>
      </c>
      <c r="BL1171" s="343">
        <f>SUMIFS($AU$134:AU1172,$P$134:P1172,"R")</f>
        <v>9396.6733333333214</v>
      </c>
      <c r="BM1171" s="343">
        <f>SUMIFS($AU$134:AU1172,$AQ$134:AQ1172,"M")</f>
        <v>2582.0300000001416</v>
      </c>
      <c r="BN1171" s="343">
        <f>SUMIFS($AU$134:AU1172,$AQ$134:AQ1172,"H")</f>
        <v>8377.3420000000642</v>
      </c>
      <c r="BO1171" s="343">
        <f>SUMIFS($AU$134:AU1172,$AQ$134:AQ1172,"D")</f>
        <v>5538.2366666667649</v>
      </c>
      <c r="BP1171" s="343">
        <f>SUMIFS($AU$134:AU1174,$AQ$134:AQ1174,"W")</f>
        <v>3191.7633333332024</v>
      </c>
      <c r="BQ1171" s="343">
        <f>SUMIFS($AU$134:AU1172,$Q$134:Q1172,"O")</f>
        <v>-1441.3733333329176</v>
      </c>
      <c r="BR1171" s="343">
        <f>SUMIFS($AU$134:AU1172,$AA$134:AA1172,"*")</f>
        <v>19869.305333333457</v>
      </c>
      <c r="BS1171" s="343">
        <f>SUMIFS($AU$134:AU1172,$AB$134:AB1172,"*")</f>
        <v>4577.196666667046</v>
      </c>
      <c r="BT1171" s="343">
        <f>SUMIFS($AU$134:AU1172,$AC$134:AC1172,"*")</f>
        <v>11255.683333333332</v>
      </c>
      <c r="BU1171" s="343">
        <f>SUMIFS($AU$134:AU1172,$AA$134:AA1172,"*",$AB$134:AB1172,"*")</f>
        <v>2838.0000000000864</v>
      </c>
      <c r="BV1171" s="343">
        <f>SUMIFS($AU$134:AU1172,$AA$134:AA1172,"*",$AC$134:AC1172,"*")</f>
        <v>9436.7833333333328</v>
      </c>
      <c r="BW1171" s="343">
        <f>SUMIFS($AU$134:AU1172,$AB$134:AB1172,"*",$AC$134:AC1172,"*")</f>
        <v>6014.6</v>
      </c>
      <c r="BX1171" s="343">
        <f>SUMIFS($AU1172:AU$1388,$Q1172:Q$1388,"F")</f>
        <v>8274.1333333333332</v>
      </c>
      <c r="BY1171" s="343">
        <f>SUMIFS($AU1172:AU$1388,$Q1172:Q$1388,"S")</f>
        <v>3632.0000000000009</v>
      </c>
      <c r="BZ1171" s="343">
        <f>SUMIFS($AU1172:AU$1388,$Q1172:Q$1388,"O")</f>
        <v>-207.48466666688103</v>
      </c>
    </row>
    <row r="1172" spans="1:78" ht="15.75" customHeight="1">
      <c r="A1172" s="221" t="s">
        <v>3942</v>
      </c>
      <c r="B1172" s="177"/>
      <c r="C1172" s="178"/>
      <c r="D1172" s="178"/>
      <c r="E1172" s="227"/>
      <c r="F1172" s="180"/>
      <c r="G1172" s="181"/>
      <c r="H1172" s="182"/>
      <c r="I1172" s="182"/>
      <c r="J1172" s="182"/>
      <c r="K1172" s="183"/>
      <c r="L1172" s="182"/>
      <c r="M1172" s="182"/>
      <c r="N1172" s="182"/>
      <c r="O1172" s="183"/>
      <c r="P1172" s="183"/>
      <c r="Q1172" s="183"/>
      <c r="R1172" s="183"/>
      <c r="S1172" s="183"/>
      <c r="T1172" s="183"/>
      <c r="U1172" s="183"/>
      <c r="V1172" s="183"/>
      <c r="W1172" s="183"/>
      <c r="X1172" s="183"/>
      <c r="Y1172" s="183"/>
      <c r="Z1172" s="185" t="str">
        <f t="shared" si="338"/>
        <v/>
      </c>
      <c r="AA1172" s="185"/>
      <c r="AB1172" s="185"/>
      <c r="AC1172" s="185"/>
      <c r="AD1172" s="649"/>
      <c r="AE1172" s="182"/>
      <c r="AF1172" s="332"/>
      <c r="AG1172" s="182"/>
      <c r="AH1172" s="182"/>
      <c r="AI1172" s="182"/>
      <c r="AJ1172" s="640"/>
      <c r="AK1172" s="182"/>
      <c r="AL1172" s="496"/>
      <c r="AM1172" s="496"/>
      <c r="AN1172" s="626"/>
      <c r="AO1172" s="182"/>
      <c r="AP1172" s="182"/>
      <c r="AQ1172" s="332" t="str">
        <f>UPPER(RIGHT(Journal_Live[[#This Row],[DURATION ]]))</f>
        <v/>
      </c>
      <c r="AR1172" s="182"/>
      <c r="AS1172" s="189"/>
      <c r="AT1172" s="189"/>
      <c r="AU1172" s="187"/>
      <c r="AV1172" s="190"/>
      <c r="AW1172" s="191"/>
      <c r="AX1172" s="407" t="s">
        <v>4164</v>
      </c>
      <c r="AY1172" s="407" t="s">
        <v>4165</v>
      </c>
      <c r="AZ1172" s="407" t="s">
        <v>4166</v>
      </c>
      <c r="BA1172" s="407" t="s">
        <v>4167</v>
      </c>
      <c r="BB1172" s="407"/>
      <c r="BC1172" s="407"/>
      <c r="BD1172" s="407"/>
      <c r="BE1172" s="407"/>
      <c r="BF1172" s="422"/>
      <c r="BG1172" s="391">
        <f>SUM($AV$4:AV1172)</f>
        <v>4212.6219092781002</v>
      </c>
      <c r="BH1172" s="392">
        <f>SUM($AU$134:AU1172)</f>
        <v>21660.002000000419</v>
      </c>
      <c r="BI1172" s="318">
        <f>SUMIFS($AU$134:AU1173,$Q$134:Q1173,"F")</f>
        <v>6166.5333333333328</v>
      </c>
      <c r="BJ1172" s="318">
        <f>SUMIFS($AU$134:AU1173,$Q$134:Q1173,"S")</f>
        <v>17039.642</v>
      </c>
      <c r="BK1172" s="343">
        <f>SUMIFS($AU$134:AU1173,$P$134:P1173,"W")</f>
        <v>13614.941999999943</v>
      </c>
      <c r="BL1172" s="343">
        <f>SUMIFS($AU$134:AU1173,$P$134:P1173,"R")</f>
        <v>9396.6733333333214</v>
      </c>
      <c r="BM1172" s="343">
        <f>SUMIFS($AU$134:AU1173,$AQ$134:AQ1173,"M")</f>
        <v>2582.0300000001416</v>
      </c>
      <c r="BN1172" s="343">
        <f>SUMIFS($AU$134:AU1173,$AQ$134:AQ1173,"H")</f>
        <v>8377.3420000000642</v>
      </c>
      <c r="BO1172" s="343">
        <f>SUMIFS($AU$134:AU1173,$AQ$134:AQ1173,"D")</f>
        <v>5538.2366666667649</v>
      </c>
      <c r="BP1172" s="343">
        <f>SUMIFS($AU$134:AU1175,$AQ$134:AQ1175,"W")</f>
        <v>3191.7633333332024</v>
      </c>
      <c r="BQ1172" s="343">
        <f>SUMIFS($AU$134:AU1173,$Q$134:Q1173,"O")</f>
        <v>-1441.3733333329176</v>
      </c>
      <c r="BR1172" s="343">
        <f>SUMIFS($AU$134:AU1173,$AA$134:AA1173,"*")</f>
        <v>19869.305333333457</v>
      </c>
      <c r="BS1172" s="343">
        <f>SUMIFS($AU$134:AU1173,$AB$134:AB1173,"*")</f>
        <v>4577.196666667046</v>
      </c>
      <c r="BT1172" s="343">
        <f>SUMIFS($AU$134:AU1173,$AC$134:AC1173,"*")</f>
        <v>11255.683333333332</v>
      </c>
      <c r="BU1172" s="343">
        <f>SUMIFS($AU$134:AU1173,$AA$134:AA1173,"*",$AB$134:AB1173,"*")</f>
        <v>2838.0000000000864</v>
      </c>
      <c r="BV1172" s="343">
        <f>SUMIFS($AU$134:AU1173,$AA$134:AA1173,"*",$AC$134:AC1173,"*")</f>
        <v>9436.7833333333328</v>
      </c>
      <c r="BW1172" s="343">
        <f>SUMIFS($AU$134:AU1173,$AB$134:AB1173,"*",$AC$134:AC1173,"*")</f>
        <v>6014.6</v>
      </c>
      <c r="BX1172" s="343">
        <f>SUMIFS($AU1173:AU$1388,$Q1173:Q$1388,"F")</f>
        <v>8274.1333333333332</v>
      </c>
      <c r="BY1172" s="343">
        <f>SUMIFS($AU1173:AU$1388,$Q1173:Q$1388,"S")</f>
        <v>3632.0000000000009</v>
      </c>
      <c r="BZ1172" s="343">
        <f>SUMIFS($AU1173:AU$1388,$Q1173:Q$1388,"O")</f>
        <v>-207.48466666688103</v>
      </c>
    </row>
    <row r="1173" spans="1:78" ht="15.75" customHeight="1">
      <c r="A1173" s="221" t="s">
        <v>3942</v>
      </c>
      <c r="B1173" s="177"/>
      <c r="C1173" s="178"/>
      <c r="D1173" s="178"/>
      <c r="E1173" s="227"/>
      <c r="F1173" s="180"/>
      <c r="G1173" s="181"/>
      <c r="H1173" s="182"/>
      <c r="I1173" s="182"/>
      <c r="J1173" s="182"/>
      <c r="K1173" s="183"/>
      <c r="L1173" s="182"/>
      <c r="M1173" s="182"/>
      <c r="N1173" s="182"/>
      <c r="O1173" s="183"/>
      <c r="P1173" s="183"/>
      <c r="Q1173" s="183"/>
      <c r="R1173" s="183"/>
      <c r="S1173" s="183"/>
      <c r="T1173" s="183"/>
      <c r="U1173" s="183"/>
      <c r="V1173" s="183"/>
      <c r="W1173" s="183"/>
      <c r="X1173" s="183"/>
      <c r="Y1173" s="183"/>
      <c r="Z1173" s="185" t="str">
        <f t="shared" si="338"/>
        <v/>
      </c>
      <c r="AA1173" s="185"/>
      <c r="AB1173" s="185"/>
      <c r="AC1173" s="185"/>
      <c r="AD1173" s="649"/>
      <c r="AE1173" s="182"/>
      <c r="AF1173" s="332"/>
      <c r="AG1173" s="182"/>
      <c r="AH1173" s="182"/>
      <c r="AI1173" s="182"/>
      <c r="AJ1173" s="640"/>
      <c r="AK1173" s="182"/>
      <c r="AL1173" s="496"/>
      <c r="AM1173" s="496"/>
      <c r="AN1173" s="626"/>
      <c r="AO1173" s="182"/>
      <c r="AP1173" s="182"/>
      <c r="AQ1173" s="332" t="str">
        <f>UPPER(RIGHT(Journal_Live[[#This Row],[DURATION ]]))</f>
        <v/>
      </c>
      <c r="AR1173" s="182"/>
      <c r="AS1173" s="189"/>
      <c r="AT1173" s="189"/>
      <c r="AU1173" s="187"/>
      <c r="AV1173" s="190"/>
      <c r="AW1173" s="191"/>
      <c r="AX1173" s="407" t="s">
        <v>4168</v>
      </c>
      <c r="AY1173" s="407" t="s">
        <v>4169</v>
      </c>
      <c r="AZ1173" s="407" t="s">
        <v>4170</v>
      </c>
      <c r="BA1173" s="407" t="s">
        <v>4171</v>
      </c>
      <c r="BB1173" s="407"/>
      <c r="BC1173" s="407"/>
      <c r="BD1173" s="407"/>
      <c r="BE1173" s="407"/>
      <c r="BF1173" s="422"/>
      <c r="BG1173" s="391">
        <f>SUM($AV$4:AV1173)</f>
        <v>4212.6219092781002</v>
      </c>
      <c r="BH1173" s="392">
        <f>SUM($AU$134:AU1173)</f>
        <v>21660.002000000419</v>
      </c>
      <c r="BI1173" s="318">
        <f>SUMIFS($AU$134:AU1174,$Q$134:Q1174,"F")</f>
        <v>6166.5333333333328</v>
      </c>
      <c r="BJ1173" s="318">
        <f>SUMIFS($AU$134:AU1174,$Q$134:Q1174,"S")</f>
        <v>17039.642</v>
      </c>
      <c r="BK1173" s="343">
        <f>SUMIFS($AU$134:AU1174,$P$134:P1174,"W")</f>
        <v>13614.941999999943</v>
      </c>
      <c r="BL1173" s="343">
        <f>SUMIFS($AU$134:AU1174,$P$134:P1174,"R")</f>
        <v>9396.6733333333214</v>
      </c>
      <c r="BM1173" s="343">
        <f>SUMIFS($AU$134:AU1174,$AQ$134:AQ1174,"M")</f>
        <v>2582.0300000001416</v>
      </c>
      <c r="BN1173" s="343">
        <f>SUMIFS($AU$134:AU1174,$AQ$134:AQ1174,"H")</f>
        <v>8377.3420000000642</v>
      </c>
      <c r="BO1173" s="343">
        <f>SUMIFS($AU$134:AU1174,$AQ$134:AQ1174,"D")</f>
        <v>5538.2366666667649</v>
      </c>
      <c r="BP1173" s="343">
        <f>SUMIFS($AU$134:AU1176,$AQ$134:AQ1176,"W")</f>
        <v>3191.7633333332024</v>
      </c>
      <c r="BQ1173" s="343">
        <f>SUMIFS($AU$134:AU1174,$Q$134:Q1174,"O")</f>
        <v>-1441.3733333329176</v>
      </c>
      <c r="BR1173" s="343">
        <f>SUMIFS($AU$134:AU1174,$AA$134:AA1174,"*")</f>
        <v>19869.305333333457</v>
      </c>
      <c r="BS1173" s="343">
        <f>SUMIFS($AU$134:AU1174,$AB$134:AB1174,"*")</f>
        <v>4577.196666667046</v>
      </c>
      <c r="BT1173" s="343">
        <f>SUMIFS($AU$134:AU1174,$AC$134:AC1174,"*")</f>
        <v>11255.683333333332</v>
      </c>
      <c r="BU1173" s="343">
        <f>SUMIFS($AU$134:AU1174,$AA$134:AA1174,"*",$AB$134:AB1174,"*")</f>
        <v>2838.0000000000864</v>
      </c>
      <c r="BV1173" s="343">
        <f>SUMIFS($AU$134:AU1174,$AA$134:AA1174,"*",$AC$134:AC1174,"*")</f>
        <v>9436.7833333333328</v>
      </c>
      <c r="BW1173" s="343">
        <f>SUMIFS($AU$134:AU1174,$AB$134:AB1174,"*",$AC$134:AC1174,"*")</f>
        <v>6014.6</v>
      </c>
      <c r="BX1173" s="343">
        <f>SUMIFS($AU1174:AU$1388,$Q1174:Q$1388,"F")</f>
        <v>8274.1333333333332</v>
      </c>
      <c r="BY1173" s="343">
        <f>SUMIFS($AU1174:AU$1388,$Q1174:Q$1388,"S")</f>
        <v>3632.0000000000009</v>
      </c>
      <c r="BZ1173" s="343">
        <f>SUMIFS($AU1174:AU$1388,$Q1174:Q$1388,"O")</f>
        <v>-207.48466666688103</v>
      </c>
    </row>
    <row r="1174" spans="1:78" ht="15.75" customHeight="1">
      <c r="A1174" s="221" t="s">
        <v>3942</v>
      </c>
      <c r="B1174" s="177">
        <v>45224</v>
      </c>
      <c r="C1174" s="178" t="s">
        <v>1437</v>
      </c>
      <c r="D1174" s="178" t="s">
        <v>151</v>
      </c>
      <c r="E1174" s="227" t="s">
        <v>4172</v>
      </c>
      <c r="F1174" s="180" t="s">
        <v>4173</v>
      </c>
      <c r="G1174" s="181"/>
      <c r="H1174" s="182">
        <v>1</v>
      </c>
      <c r="I1174" s="182"/>
      <c r="J1174" s="182"/>
      <c r="K1174" s="183" t="s">
        <v>372</v>
      </c>
      <c r="L1174" s="182"/>
      <c r="M1174" s="182"/>
      <c r="N1174" s="182"/>
      <c r="O1174" s="183"/>
      <c r="P1174" s="183"/>
      <c r="Q1174" s="183"/>
      <c r="R1174" s="183"/>
      <c r="S1174" s="183"/>
      <c r="T1174" s="183"/>
      <c r="U1174" s="183"/>
      <c r="V1174" s="183"/>
      <c r="W1174" s="183"/>
      <c r="X1174" s="183"/>
      <c r="Y1174" s="183"/>
      <c r="Z1174" s="185" t="str">
        <f t="shared" si="338"/>
        <v/>
      </c>
      <c r="AA1174" s="185"/>
      <c r="AB1174" s="185"/>
      <c r="AC1174" s="185"/>
      <c r="AD1174" s="649"/>
      <c r="AE1174" s="182"/>
      <c r="AF1174" s="332"/>
      <c r="AG1174" s="182"/>
      <c r="AH1174" s="182"/>
      <c r="AI1174" s="182"/>
      <c r="AJ1174" s="640"/>
      <c r="AK1174" s="182"/>
      <c r="AL1174" s="496"/>
      <c r="AM1174" s="496"/>
      <c r="AN1174" s="626"/>
      <c r="AO1174" s="182"/>
      <c r="AP1174" s="182"/>
      <c r="AQ1174" s="332" t="str">
        <f>UPPER(RIGHT(Journal_Live[[#This Row],[DURATION ]]))</f>
        <v/>
      </c>
      <c r="AR1174" s="182"/>
      <c r="AS1174" s="189"/>
      <c r="AT1174" s="189"/>
      <c r="AU1174" s="187"/>
      <c r="AV1174" s="190"/>
      <c r="AW1174" s="191"/>
      <c r="AX1174" s="407" t="s">
        <v>4174</v>
      </c>
      <c r="AY1174" s="407" t="s">
        <v>4175</v>
      </c>
      <c r="AZ1174" s="407"/>
      <c r="BA1174" s="407"/>
      <c r="BB1174" s="407"/>
      <c r="BC1174" s="407"/>
      <c r="BD1174" s="407"/>
      <c r="BE1174" s="407"/>
      <c r="BF1174" s="422"/>
      <c r="BG1174" s="391">
        <f>SUM($AV$4:AV1174)</f>
        <v>4212.6219092781002</v>
      </c>
      <c r="BH1174" s="392">
        <f>SUM($AU$134:AU1174)</f>
        <v>21660.002000000419</v>
      </c>
      <c r="BI1174" s="318">
        <f>SUMIFS($AU$134:AU1175,$Q$134:Q1175,"F")</f>
        <v>6166.5333333333328</v>
      </c>
      <c r="BJ1174" s="318">
        <f>SUMIFS($AU$134:AU1175,$Q$134:Q1175,"S")</f>
        <v>17039.642</v>
      </c>
      <c r="BK1174" s="343">
        <f>SUMIFS($AU$134:AU1175,$P$134:P1175,"W")</f>
        <v>13614.941999999943</v>
      </c>
      <c r="BL1174" s="343">
        <f>SUMIFS($AU$134:AU1175,$P$134:P1175,"R")</f>
        <v>9396.6733333333214</v>
      </c>
      <c r="BM1174" s="343">
        <f>SUMIFS($AU$134:AU1175,$AQ$134:AQ1175,"M")</f>
        <v>2582.0300000001416</v>
      </c>
      <c r="BN1174" s="343">
        <f>SUMIFS($AU$134:AU1175,$AQ$134:AQ1175,"H")</f>
        <v>8377.3420000000642</v>
      </c>
      <c r="BO1174" s="343">
        <f>SUMIFS($AU$134:AU1175,$AQ$134:AQ1175,"D")</f>
        <v>5538.2366666667649</v>
      </c>
      <c r="BP1174" s="343">
        <f>SUMIFS($AU$134:AU1177,$AQ$134:AQ1177,"W")</f>
        <v>3191.7633333332024</v>
      </c>
      <c r="BQ1174" s="343">
        <f>SUMIFS($AU$134:AU1175,$Q$134:Q1175,"O")</f>
        <v>-1441.3733333329176</v>
      </c>
      <c r="BR1174" s="343">
        <f>SUMIFS($AU$134:AU1175,$AA$134:AA1175,"*")</f>
        <v>19869.305333333457</v>
      </c>
      <c r="BS1174" s="343">
        <f>SUMIFS($AU$134:AU1175,$AB$134:AB1175,"*")</f>
        <v>4577.196666667046</v>
      </c>
      <c r="BT1174" s="343">
        <f>SUMIFS($AU$134:AU1175,$AC$134:AC1175,"*")</f>
        <v>11255.683333333332</v>
      </c>
      <c r="BU1174" s="343">
        <f>SUMIFS($AU$134:AU1175,$AA$134:AA1175,"*",$AB$134:AB1175,"*")</f>
        <v>2838.0000000000864</v>
      </c>
      <c r="BV1174" s="343">
        <f>SUMIFS($AU$134:AU1175,$AA$134:AA1175,"*",$AC$134:AC1175,"*")</f>
        <v>9436.7833333333328</v>
      </c>
      <c r="BW1174" s="343">
        <f>SUMIFS($AU$134:AU1175,$AB$134:AB1175,"*",$AC$134:AC1175,"*")</f>
        <v>6014.6</v>
      </c>
      <c r="BX1174" s="343">
        <f>SUMIFS($AU1175:AU$1388,$Q1175:Q$1388,"F")</f>
        <v>8274.1333333333332</v>
      </c>
      <c r="BY1174" s="343">
        <f>SUMIFS($AU1175:AU$1388,$Q1175:Q$1388,"S")</f>
        <v>3632.0000000000009</v>
      </c>
      <c r="BZ1174" s="343">
        <f>SUMIFS($AU1175:AU$1388,$Q1175:Q$1388,"O")</f>
        <v>-207.48466666688103</v>
      </c>
    </row>
    <row r="1175" spans="1:78" ht="15.75" customHeight="1">
      <c r="A1175" s="221" t="s">
        <v>3942</v>
      </c>
      <c r="B1175" s="177"/>
      <c r="C1175" s="178"/>
      <c r="D1175" s="178"/>
      <c r="E1175" s="227" t="s">
        <v>4176</v>
      </c>
      <c r="F1175" s="180"/>
      <c r="G1175" s="181"/>
      <c r="H1175" s="182">
        <v>1</v>
      </c>
      <c r="I1175" s="182"/>
      <c r="J1175" s="182"/>
      <c r="K1175" s="183" t="s">
        <v>372</v>
      </c>
      <c r="L1175" s="182"/>
      <c r="M1175" s="182"/>
      <c r="N1175" s="182"/>
      <c r="O1175" s="183"/>
      <c r="P1175" s="183"/>
      <c r="Q1175" s="183"/>
      <c r="R1175" s="183"/>
      <c r="S1175" s="183"/>
      <c r="T1175" s="183"/>
      <c r="U1175" s="183"/>
      <c r="V1175" s="183"/>
      <c r="W1175" s="183"/>
      <c r="X1175" s="183"/>
      <c r="Y1175" s="183"/>
      <c r="Z1175" s="185" t="str">
        <f t="shared" si="338"/>
        <v/>
      </c>
      <c r="AA1175" s="185"/>
      <c r="AB1175" s="185"/>
      <c r="AC1175" s="185"/>
      <c r="AD1175" s="649"/>
      <c r="AE1175" s="182"/>
      <c r="AF1175" s="332"/>
      <c r="AG1175" s="182"/>
      <c r="AH1175" s="182"/>
      <c r="AI1175" s="182"/>
      <c r="AJ1175" s="640"/>
      <c r="AK1175" s="182"/>
      <c r="AL1175" s="496"/>
      <c r="AM1175" s="496"/>
      <c r="AN1175" s="626"/>
      <c r="AO1175" s="182"/>
      <c r="AP1175" s="182"/>
      <c r="AQ1175" s="332" t="str">
        <f>UPPER(RIGHT(Journal_Live[[#This Row],[DURATION ]]))</f>
        <v/>
      </c>
      <c r="AR1175" s="182"/>
      <c r="AS1175" s="189"/>
      <c r="AT1175" s="189"/>
      <c r="AU1175" s="187"/>
      <c r="AV1175" s="190"/>
      <c r="AW1175" s="191"/>
      <c r="AX1175" s="407"/>
      <c r="AY1175" s="407"/>
      <c r="AZ1175" s="407"/>
      <c r="BA1175" s="407"/>
      <c r="BB1175" s="407"/>
      <c r="BC1175" s="407"/>
      <c r="BD1175" s="407"/>
      <c r="BE1175" s="407"/>
      <c r="BF1175" s="422"/>
      <c r="BG1175" s="391">
        <f>SUM($AV$4:AV1175)</f>
        <v>4212.6219092781002</v>
      </c>
      <c r="BH1175" s="392">
        <f>SUM($AU$134:AU1175)</f>
        <v>21660.002000000419</v>
      </c>
      <c r="BI1175" s="318">
        <f>SUMIFS($AU$134:AU1176,$Q$134:Q1176,"F")</f>
        <v>6166.5333333333328</v>
      </c>
      <c r="BJ1175" s="318">
        <f>SUMIFS($AU$134:AU1176,$Q$134:Q1176,"S")</f>
        <v>17039.642</v>
      </c>
      <c r="BK1175" s="343">
        <f>SUMIFS($AU$134:AU1176,$P$134:P1176,"W")</f>
        <v>13614.941999999943</v>
      </c>
      <c r="BL1175" s="343">
        <f>SUMIFS($AU$134:AU1176,$P$134:P1176,"R")</f>
        <v>9396.6733333333214</v>
      </c>
      <c r="BM1175" s="343">
        <f>SUMIFS($AU$134:AU1176,$AQ$134:AQ1176,"M")</f>
        <v>2582.0300000001416</v>
      </c>
      <c r="BN1175" s="343">
        <f>SUMIFS($AU$134:AU1176,$AQ$134:AQ1176,"H")</f>
        <v>8377.3420000000642</v>
      </c>
      <c r="BO1175" s="343">
        <f>SUMIFS($AU$134:AU1176,$AQ$134:AQ1176,"D")</f>
        <v>5538.2366666667649</v>
      </c>
      <c r="BP1175" s="343">
        <f>SUMIFS($AU$134:AU1178,$AQ$134:AQ1178,"W")</f>
        <v>3191.7633333332024</v>
      </c>
      <c r="BQ1175" s="343">
        <f>SUMIFS($AU$134:AU1176,$Q$134:Q1176,"O")</f>
        <v>-1441.3733333329176</v>
      </c>
      <c r="BR1175" s="343">
        <f>SUMIFS($AU$134:AU1176,$AA$134:AA1176,"*")</f>
        <v>19869.305333333457</v>
      </c>
      <c r="BS1175" s="343">
        <f>SUMIFS($AU$134:AU1176,$AB$134:AB1176,"*")</f>
        <v>4577.196666667046</v>
      </c>
      <c r="BT1175" s="343">
        <f>SUMIFS($AU$134:AU1176,$AC$134:AC1176,"*")</f>
        <v>11255.683333333332</v>
      </c>
      <c r="BU1175" s="343">
        <f>SUMIFS($AU$134:AU1176,$AA$134:AA1176,"*",$AB$134:AB1176,"*")</f>
        <v>2838.0000000000864</v>
      </c>
      <c r="BV1175" s="343">
        <f>SUMIFS($AU$134:AU1176,$AA$134:AA1176,"*",$AC$134:AC1176,"*")</f>
        <v>9436.7833333333328</v>
      </c>
      <c r="BW1175" s="343">
        <f>SUMIFS($AU$134:AU1176,$AB$134:AB1176,"*",$AC$134:AC1176,"*")</f>
        <v>6014.6</v>
      </c>
      <c r="BX1175" s="343">
        <f>SUMIFS($AU1176:AU$1388,$Q1176:Q$1388,"F")</f>
        <v>8274.1333333333332</v>
      </c>
      <c r="BY1175" s="343">
        <f>SUMIFS($AU1176:AU$1388,$Q1176:Q$1388,"S")</f>
        <v>3632.0000000000009</v>
      </c>
      <c r="BZ1175" s="343">
        <f>SUMIFS($AU1176:AU$1388,$Q1176:Q$1388,"O")</f>
        <v>-207.48466666688103</v>
      </c>
    </row>
    <row r="1176" spans="1:78" ht="15.75" customHeight="1">
      <c r="A1176" s="221" t="s">
        <v>3942</v>
      </c>
      <c r="B1176" s="177"/>
      <c r="C1176" s="178"/>
      <c r="D1176" s="178"/>
      <c r="E1176" s="227" t="s">
        <v>4177</v>
      </c>
      <c r="F1176" s="180"/>
      <c r="G1176" s="181"/>
      <c r="H1176" s="182">
        <v>1</v>
      </c>
      <c r="I1176" s="182"/>
      <c r="J1176" s="182"/>
      <c r="K1176" s="183" t="s">
        <v>372</v>
      </c>
      <c r="L1176" s="182"/>
      <c r="M1176" s="182"/>
      <c r="N1176" s="182"/>
      <c r="O1176" s="183"/>
      <c r="P1176" s="183"/>
      <c r="Q1176" s="183"/>
      <c r="R1176" s="183"/>
      <c r="S1176" s="183"/>
      <c r="T1176" s="183"/>
      <c r="U1176" s="183"/>
      <c r="V1176" s="183"/>
      <c r="W1176" s="183"/>
      <c r="X1176" s="183"/>
      <c r="Y1176" s="183"/>
      <c r="Z1176" s="185" t="str">
        <f t="shared" si="338"/>
        <v/>
      </c>
      <c r="AA1176" s="185"/>
      <c r="AB1176" s="185"/>
      <c r="AC1176" s="185"/>
      <c r="AD1176" s="649"/>
      <c r="AE1176" s="182"/>
      <c r="AF1176" s="332"/>
      <c r="AG1176" s="182"/>
      <c r="AH1176" s="182"/>
      <c r="AI1176" s="182"/>
      <c r="AJ1176" s="640"/>
      <c r="AK1176" s="182"/>
      <c r="AL1176" s="496"/>
      <c r="AM1176" s="496"/>
      <c r="AN1176" s="626"/>
      <c r="AO1176" s="182"/>
      <c r="AP1176" s="182"/>
      <c r="AQ1176" s="332" t="str">
        <f>UPPER(RIGHT(Journal_Live[[#This Row],[DURATION ]]))</f>
        <v/>
      </c>
      <c r="AR1176" s="182"/>
      <c r="AS1176" s="189"/>
      <c r="AT1176" s="189"/>
      <c r="AU1176" s="187"/>
      <c r="AV1176" s="190"/>
      <c r="AW1176" s="191"/>
      <c r="AX1176" s="407"/>
      <c r="AY1176" s="407"/>
      <c r="AZ1176" s="407"/>
      <c r="BA1176" s="407"/>
      <c r="BB1176" s="407"/>
      <c r="BC1176" s="407"/>
      <c r="BD1176" s="407"/>
      <c r="BE1176" s="407"/>
      <c r="BF1176" s="422"/>
      <c r="BG1176" s="391">
        <f>SUM($AV$4:AV1176)</f>
        <v>4212.6219092781002</v>
      </c>
      <c r="BH1176" s="392">
        <f>SUM($AU$134:AU1176)</f>
        <v>21660.002000000419</v>
      </c>
      <c r="BI1176" s="318">
        <f>SUMIFS($AU$134:AU1177,$Q$134:Q1177,"F")</f>
        <v>6166.5333333333328</v>
      </c>
      <c r="BJ1176" s="318">
        <f>SUMIFS($AU$134:AU1177,$Q$134:Q1177,"S")</f>
        <v>17039.642</v>
      </c>
      <c r="BK1176" s="343">
        <f>SUMIFS($AU$134:AU1177,$P$134:P1177,"W")</f>
        <v>13614.941999999943</v>
      </c>
      <c r="BL1176" s="343">
        <f>SUMIFS($AU$134:AU1177,$P$134:P1177,"R")</f>
        <v>9396.6733333333214</v>
      </c>
      <c r="BM1176" s="343">
        <f>SUMIFS($AU$134:AU1177,$AQ$134:AQ1177,"M")</f>
        <v>2582.0300000001416</v>
      </c>
      <c r="BN1176" s="343">
        <f>SUMIFS($AU$134:AU1177,$AQ$134:AQ1177,"H")</f>
        <v>8377.3420000000642</v>
      </c>
      <c r="BO1176" s="343">
        <f>SUMIFS($AU$134:AU1177,$AQ$134:AQ1177,"D")</f>
        <v>5538.2366666667649</v>
      </c>
      <c r="BP1176" s="343">
        <f>SUMIFS($AU$134:AU1179,$AQ$134:AQ1179,"W")</f>
        <v>3191.7633333332024</v>
      </c>
      <c r="BQ1176" s="343">
        <f>SUMIFS($AU$134:AU1177,$Q$134:Q1177,"O")</f>
        <v>-1441.3733333329176</v>
      </c>
      <c r="BR1176" s="343">
        <f>SUMIFS($AU$134:AU1177,$AA$134:AA1177,"*")</f>
        <v>19869.305333333457</v>
      </c>
      <c r="BS1176" s="343">
        <f>SUMIFS($AU$134:AU1177,$AB$134:AB1177,"*")</f>
        <v>4577.196666667046</v>
      </c>
      <c r="BT1176" s="343">
        <f>SUMIFS($AU$134:AU1177,$AC$134:AC1177,"*")</f>
        <v>11255.683333333332</v>
      </c>
      <c r="BU1176" s="343">
        <f>SUMIFS($AU$134:AU1177,$AA$134:AA1177,"*",$AB$134:AB1177,"*")</f>
        <v>2838.0000000000864</v>
      </c>
      <c r="BV1176" s="343">
        <f>SUMIFS($AU$134:AU1177,$AA$134:AA1177,"*",$AC$134:AC1177,"*")</f>
        <v>9436.7833333333328</v>
      </c>
      <c r="BW1176" s="343">
        <f>SUMIFS($AU$134:AU1177,$AB$134:AB1177,"*",$AC$134:AC1177,"*")</f>
        <v>6014.6</v>
      </c>
      <c r="BX1176" s="343">
        <f>SUMIFS($AU1177:AU$1388,$Q1177:Q$1388,"F")</f>
        <v>8274.1333333333332</v>
      </c>
      <c r="BY1176" s="343">
        <f>SUMIFS($AU1177:AU$1388,$Q1177:Q$1388,"S")</f>
        <v>3632.0000000000009</v>
      </c>
      <c r="BZ1176" s="343">
        <f>SUMIFS($AU1177:AU$1388,$Q1177:Q$1388,"O")</f>
        <v>-207.48466666688103</v>
      </c>
    </row>
    <row r="1177" spans="1:78" ht="15.75" customHeight="1">
      <c r="A1177" s="221" t="s">
        <v>3942</v>
      </c>
      <c r="B1177" s="177">
        <v>45224</v>
      </c>
      <c r="C1177" s="178" t="s">
        <v>1187</v>
      </c>
      <c r="D1177" s="178" t="s">
        <v>151</v>
      </c>
      <c r="E1177" s="227" t="s">
        <v>4178</v>
      </c>
      <c r="F1177" s="180"/>
      <c r="G1177" s="181"/>
      <c r="H1177" s="182"/>
      <c r="I1177" s="182">
        <v>1</v>
      </c>
      <c r="J1177" s="182"/>
      <c r="K1177" s="183"/>
      <c r="L1177" s="182"/>
      <c r="M1177" s="182"/>
      <c r="N1177" s="182"/>
      <c r="O1177" s="183"/>
      <c r="P1177" s="183"/>
      <c r="Q1177" s="183"/>
      <c r="R1177" s="183"/>
      <c r="S1177" s="183"/>
      <c r="T1177" s="183"/>
      <c r="U1177" s="183"/>
      <c r="V1177" s="183"/>
      <c r="W1177" s="183"/>
      <c r="X1177" s="183"/>
      <c r="Y1177" s="183"/>
      <c r="Z1177" s="185" t="str">
        <f t="shared" si="338"/>
        <v/>
      </c>
      <c r="AA1177" s="185"/>
      <c r="AB1177" s="185"/>
      <c r="AC1177" s="185"/>
      <c r="AD1177" s="649"/>
      <c r="AE1177" s="182"/>
      <c r="AF1177" s="332"/>
      <c r="AG1177" s="182"/>
      <c r="AH1177" s="182"/>
      <c r="AI1177" s="182"/>
      <c r="AJ1177" s="640"/>
      <c r="AK1177" s="182"/>
      <c r="AL1177" s="496"/>
      <c r="AM1177" s="496"/>
      <c r="AN1177" s="626"/>
      <c r="AO1177" s="182"/>
      <c r="AP1177" s="182"/>
      <c r="AQ1177" s="332" t="str">
        <f>UPPER(RIGHT(Journal_Live[[#This Row],[DURATION ]]))</f>
        <v/>
      </c>
      <c r="AR1177" s="182"/>
      <c r="AS1177" s="189"/>
      <c r="AT1177" s="189"/>
      <c r="AU1177" s="187"/>
      <c r="AV1177" s="190"/>
      <c r="AW1177" s="191"/>
      <c r="AX1177" s="407"/>
      <c r="AY1177" s="407"/>
      <c r="AZ1177" s="407"/>
      <c r="BA1177" s="407"/>
      <c r="BB1177" s="407"/>
      <c r="BC1177" s="407"/>
      <c r="BD1177" s="407"/>
      <c r="BE1177" s="407"/>
      <c r="BF1177" s="422"/>
      <c r="BG1177" s="391">
        <f>SUM($AV$4:AV1177)</f>
        <v>4212.6219092781002</v>
      </c>
      <c r="BH1177" s="392">
        <f>SUM($AU$134:AU1177)</f>
        <v>21660.002000000419</v>
      </c>
      <c r="BI1177" s="318">
        <f>SUMIFS($AU$134:AU1178,$Q$134:Q1178,"F")</f>
        <v>6166.5333333333328</v>
      </c>
      <c r="BJ1177" s="318">
        <f>SUMIFS($AU$134:AU1178,$Q$134:Q1178,"S")</f>
        <v>17039.642</v>
      </c>
      <c r="BK1177" s="343">
        <f>SUMIFS($AU$134:AU1178,$P$134:P1178,"W")</f>
        <v>13614.941999999943</v>
      </c>
      <c r="BL1177" s="343">
        <f>SUMIFS($AU$134:AU1178,$P$134:P1178,"R")</f>
        <v>9396.6733333333214</v>
      </c>
      <c r="BM1177" s="343">
        <f>SUMIFS($AU$134:AU1178,$AQ$134:AQ1178,"M")</f>
        <v>2582.0300000001416</v>
      </c>
      <c r="BN1177" s="343">
        <f>SUMIFS($AU$134:AU1178,$AQ$134:AQ1178,"H")</f>
        <v>8377.3420000000642</v>
      </c>
      <c r="BO1177" s="343">
        <f>SUMIFS($AU$134:AU1178,$AQ$134:AQ1178,"D")</f>
        <v>5538.2366666667649</v>
      </c>
      <c r="BP1177" s="343">
        <f>SUMIFS($AU$134:AU1180,$AQ$134:AQ1180,"W")</f>
        <v>3191.7633333332024</v>
      </c>
      <c r="BQ1177" s="343">
        <f>SUMIFS($AU$134:AU1178,$Q$134:Q1178,"O")</f>
        <v>-1441.3733333329176</v>
      </c>
      <c r="BR1177" s="343">
        <f>SUMIFS($AU$134:AU1178,$AA$134:AA1178,"*")</f>
        <v>19869.305333333457</v>
      </c>
      <c r="BS1177" s="343">
        <f>SUMIFS($AU$134:AU1178,$AB$134:AB1178,"*")</f>
        <v>4577.196666667046</v>
      </c>
      <c r="BT1177" s="343">
        <f>SUMIFS($AU$134:AU1178,$AC$134:AC1178,"*")</f>
        <v>11255.683333333332</v>
      </c>
      <c r="BU1177" s="343">
        <f>SUMIFS($AU$134:AU1178,$AA$134:AA1178,"*",$AB$134:AB1178,"*")</f>
        <v>2838.0000000000864</v>
      </c>
      <c r="BV1177" s="343">
        <f>SUMIFS($AU$134:AU1178,$AA$134:AA1178,"*",$AC$134:AC1178,"*")</f>
        <v>9436.7833333333328</v>
      </c>
      <c r="BW1177" s="343">
        <f>SUMIFS($AU$134:AU1178,$AB$134:AB1178,"*",$AC$134:AC1178,"*")</f>
        <v>6014.6</v>
      </c>
      <c r="BX1177" s="343">
        <f>SUMIFS($AU1178:AU$1388,$Q1178:Q$1388,"F")</f>
        <v>8274.1333333333332</v>
      </c>
      <c r="BY1177" s="343">
        <f>SUMIFS($AU1178:AU$1388,$Q1178:Q$1388,"S")</f>
        <v>3632.0000000000009</v>
      </c>
      <c r="BZ1177" s="343">
        <f>SUMIFS($AU1178:AU$1388,$Q1178:Q$1388,"O")</f>
        <v>-207.48466666688103</v>
      </c>
    </row>
    <row r="1178" spans="1:78" ht="15.75" customHeight="1">
      <c r="A1178" s="221" t="s">
        <v>3942</v>
      </c>
      <c r="B1178" s="177">
        <v>45225</v>
      </c>
      <c r="C1178" s="178" t="s">
        <v>2122</v>
      </c>
      <c r="D1178" s="178" t="s">
        <v>93</v>
      </c>
      <c r="E1178" s="227" t="s">
        <v>4179</v>
      </c>
      <c r="F1178" s="180"/>
      <c r="G1178" s="181"/>
      <c r="H1178" s="182"/>
      <c r="I1178" s="182"/>
      <c r="J1178" s="182"/>
      <c r="K1178" s="183"/>
      <c r="L1178" s="182"/>
      <c r="M1178" s="182"/>
      <c r="N1178" s="182"/>
      <c r="O1178" s="183"/>
      <c r="P1178" s="183"/>
      <c r="Q1178" s="183"/>
      <c r="R1178" s="183"/>
      <c r="S1178" s="183"/>
      <c r="T1178" s="183"/>
      <c r="U1178" s="183"/>
      <c r="V1178" s="183"/>
      <c r="W1178" s="183"/>
      <c r="X1178" s="183"/>
      <c r="Y1178" s="183"/>
      <c r="Z1178" s="185" t="str">
        <f t="shared" si="338"/>
        <v/>
      </c>
      <c r="AA1178" s="185"/>
      <c r="AB1178" s="185"/>
      <c r="AC1178" s="185"/>
      <c r="AD1178" s="649"/>
      <c r="AE1178" s="182"/>
      <c r="AF1178" s="332"/>
      <c r="AG1178" s="182"/>
      <c r="AH1178" s="182"/>
      <c r="AI1178" s="182"/>
      <c r="AJ1178" s="640"/>
      <c r="AK1178" s="182"/>
      <c r="AL1178" s="496"/>
      <c r="AM1178" s="496"/>
      <c r="AN1178" s="626"/>
      <c r="AO1178" s="182"/>
      <c r="AP1178" s="182"/>
      <c r="AQ1178" s="332" t="str">
        <f>UPPER(RIGHT(Journal_Live[[#This Row],[DURATION ]]))</f>
        <v/>
      </c>
      <c r="AR1178" s="182"/>
      <c r="AS1178" s="189"/>
      <c r="AT1178" s="189"/>
      <c r="AU1178" s="187"/>
      <c r="AV1178" s="190"/>
      <c r="AW1178" s="191"/>
      <c r="AX1178" s="407"/>
      <c r="AY1178" s="407"/>
      <c r="AZ1178" s="407"/>
      <c r="BA1178" s="407"/>
      <c r="BB1178" s="407"/>
      <c r="BC1178" s="407"/>
      <c r="BD1178" s="407"/>
      <c r="BE1178" s="407"/>
      <c r="BF1178" s="422"/>
      <c r="BG1178" s="391">
        <f>SUM($AV$4:AV1178)</f>
        <v>4212.6219092781002</v>
      </c>
      <c r="BH1178" s="392">
        <f>SUM($AU$134:AU1178)</f>
        <v>21660.002000000419</v>
      </c>
      <c r="BI1178" s="318">
        <f>SUMIFS($AU$134:AU1179,$Q$134:Q1179,"F")</f>
        <v>6166.5333333333328</v>
      </c>
      <c r="BJ1178" s="318">
        <f>SUMIFS($AU$134:AU1179,$Q$134:Q1179,"S")</f>
        <v>17039.642</v>
      </c>
      <c r="BK1178" s="343">
        <f>SUMIFS($AU$134:AU1179,$P$134:P1179,"W")</f>
        <v>13614.941999999943</v>
      </c>
      <c r="BL1178" s="343">
        <f>SUMIFS($AU$134:AU1179,$P$134:P1179,"R")</f>
        <v>9396.6733333333214</v>
      </c>
      <c r="BM1178" s="343">
        <f>SUMIFS($AU$134:AU1179,$AQ$134:AQ1179,"M")</f>
        <v>2582.0300000001416</v>
      </c>
      <c r="BN1178" s="343">
        <f>SUMIFS($AU$134:AU1179,$AQ$134:AQ1179,"H")</f>
        <v>8377.3420000000642</v>
      </c>
      <c r="BO1178" s="343">
        <f>SUMIFS($AU$134:AU1179,$AQ$134:AQ1179,"D")</f>
        <v>5538.2366666667649</v>
      </c>
      <c r="BP1178" s="343">
        <f>SUMIFS($AU$134:AU1181,$AQ$134:AQ1181,"W")</f>
        <v>3191.7633333332024</v>
      </c>
      <c r="BQ1178" s="343">
        <f>SUMIFS($AU$134:AU1179,$Q$134:Q1179,"O")</f>
        <v>-1441.3733333329176</v>
      </c>
      <c r="BR1178" s="343">
        <f>SUMIFS($AU$134:AU1179,$AA$134:AA1179,"*")</f>
        <v>19869.305333333457</v>
      </c>
      <c r="BS1178" s="343">
        <f>SUMIFS($AU$134:AU1179,$AB$134:AB1179,"*")</f>
        <v>4577.196666667046</v>
      </c>
      <c r="BT1178" s="343">
        <f>SUMIFS($AU$134:AU1179,$AC$134:AC1179,"*")</f>
        <v>11255.683333333332</v>
      </c>
      <c r="BU1178" s="343">
        <f>SUMIFS($AU$134:AU1179,$AA$134:AA1179,"*",$AB$134:AB1179,"*")</f>
        <v>2838.0000000000864</v>
      </c>
      <c r="BV1178" s="343">
        <f>SUMIFS($AU$134:AU1179,$AA$134:AA1179,"*",$AC$134:AC1179,"*")</f>
        <v>9436.7833333333328</v>
      </c>
      <c r="BW1178" s="343">
        <f>SUMIFS($AU$134:AU1179,$AB$134:AB1179,"*",$AC$134:AC1179,"*")</f>
        <v>6014.6</v>
      </c>
      <c r="BX1178" s="343">
        <f>SUMIFS($AU1179:AU$1388,$Q1179:Q$1388,"F")</f>
        <v>8274.1333333333332</v>
      </c>
      <c r="BY1178" s="343">
        <f>SUMIFS($AU1179:AU$1388,$Q1179:Q$1388,"S")</f>
        <v>3632.0000000000009</v>
      </c>
      <c r="BZ1178" s="343">
        <f>SUMIFS($AU1179:AU$1388,$Q1179:Q$1388,"O")</f>
        <v>-207.48466666688103</v>
      </c>
    </row>
    <row r="1179" spans="1:78" ht="15.75" customHeight="1">
      <c r="A1179" s="221" t="s">
        <v>3942</v>
      </c>
      <c r="B1179" s="177"/>
      <c r="C1179" s="178" t="s">
        <v>1728</v>
      </c>
      <c r="D1179" s="178" t="s">
        <v>93</v>
      </c>
      <c r="E1179" s="227" t="s">
        <v>4180</v>
      </c>
      <c r="F1179" s="180"/>
      <c r="G1179" s="181"/>
      <c r="H1179" s="182">
        <v>1</v>
      </c>
      <c r="I1179" s="182"/>
      <c r="J1179" s="182"/>
      <c r="K1179" s="183" t="s">
        <v>372</v>
      </c>
      <c r="L1179" s="182"/>
      <c r="M1179" s="182"/>
      <c r="N1179" s="182"/>
      <c r="O1179" s="183"/>
      <c r="P1179" s="183"/>
      <c r="Q1179" s="183"/>
      <c r="R1179" s="183"/>
      <c r="S1179" s="183"/>
      <c r="T1179" s="183"/>
      <c r="U1179" s="183"/>
      <c r="V1179" s="183"/>
      <c r="W1179" s="183"/>
      <c r="X1179" s="183"/>
      <c r="Y1179" s="183"/>
      <c r="Z1179" s="185" t="str">
        <f t="shared" si="338"/>
        <v/>
      </c>
      <c r="AA1179" s="185"/>
      <c r="AB1179" s="185"/>
      <c r="AC1179" s="185"/>
      <c r="AD1179" s="649"/>
      <c r="AE1179" s="182"/>
      <c r="AF1179" s="332"/>
      <c r="AG1179" s="182"/>
      <c r="AH1179" s="182"/>
      <c r="AI1179" s="182"/>
      <c r="AJ1179" s="640"/>
      <c r="AK1179" s="182"/>
      <c r="AL1179" s="496"/>
      <c r="AM1179" s="496"/>
      <c r="AN1179" s="626"/>
      <c r="AO1179" s="182"/>
      <c r="AP1179" s="182"/>
      <c r="AQ1179" s="332" t="str">
        <f>UPPER(RIGHT(Journal_Live[[#This Row],[DURATION ]]))</f>
        <v/>
      </c>
      <c r="AR1179" s="182"/>
      <c r="AS1179" s="189"/>
      <c r="AT1179" s="189"/>
      <c r="AU1179" s="187"/>
      <c r="AV1179" s="190"/>
      <c r="AW1179" s="191"/>
      <c r="AX1179" s="407"/>
      <c r="AY1179" s="407"/>
      <c r="AZ1179" s="407"/>
      <c r="BA1179" s="407"/>
      <c r="BB1179" s="407"/>
      <c r="BC1179" s="407"/>
      <c r="BD1179" s="407"/>
      <c r="BE1179" s="407"/>
      <c r="BF1179" s="422"/>
      <c r="BG1179" s="391">
        <f>SUM($AV$4:AV1179)</f>
        <v>4212.6219092781002</v>
      </c>
      <c r="BH1179" s="392">
        <f>SUM($AU$134:AU1179)</f>
        <v>21660.002000000419</v>
      </c>
      <c r="BI1179" s="318">
        <f>SUMIFS($AU$134:AU1180,$Q$134:Q1180,"F")</f>
        <v>6166.5333333333328</v>
      </c>
      <c r="BJ1179" s="318">
        <f>SUMIFS($AU$134:AU1180,$Q$134:Q1180,"S")</f>
        <v>17039.642</v>
      </c>
      <c r="BK1179" s="343">
        <f>SUMIFS($AU$134:AU1180,$P$134:P1180,"W")</f>
        <v>13614.941999999943</v>
      </c>
      <c r="BL1179" s="343">
        <f>SUMIFS($AU$134:AU1180,$P$134:P1180,"R")</f>
        <v>9396.6733333333214</v>
      </c>
      <c r="BM1179" s="343">
        <f>SUMIFS($AU$134:AU1180,$AQ$134:AQ1180,"M")</f>
        <v>2582.0300000001416</v>
      </c>
      <c r="BN1179" s="343">
        <f>SUMIFS($AU$134:AU1180,$AQ$134:AQ1180,"H")</f>
        <v>8377.3420000000642</v>
      </c>
      <c r="BO1179" s="343">
        <f>SUMIFS($AU$134:AU1180,$AQ$134:AQ1180,"D")</f>
        <v>5538.2366666667649</v>
      </c>
      <c r="BP1179" s="343">
        <f>SUMIFS($AU$134:AU1182,$AQ$134:AQ1182,"W")</f>
        <v>3191.7633333332024</v>
      </c>
      <c r="BQ1179" s="343">
        <f>SUMIFS($AU$134:AU1180,$Q$134:Q1180,"O")</f>
        <v>-1441.3733333329176</v>
      </c>
      <c r="BR1179" s="343">
        <f>SUMIFS($AU$134:AU1180,$AA$134:AA1180,"*")</f>
        <v>19869.305333333457</v>
      </c>
      <c r="BS1179" s="343">
        <f>SUMIFS($AU$134:AU1180,$AB$134:AB1180,"*")</f>
        <v>4577.196666667046</v>
      </c>
      <c r="BT1179" s="343">
        <f>SUMIFS($AU$134:AU1180,$AC$134:AC1180,"*")</f>
        <v>11255.683333333332</v>
      </c>
      <c r="BU1179" s="343">
        <f>SUMIFS($AU$134:AU1180,$AA$134:AA1180,"*",$AB$134:AB1180,"*")</f>
        <v>2838.0000000000864</v>
      </c>
      <c r="BV1179" s="343">
        <f>SUMIFS($AU$134:AU1180,$AA$134:AA1180,"*",$AC$134:AC1180,"*")</f>
        <v>9436.7833333333328</v>
      </c>
      <c r="BW1179" s="343">
        <f>SUMIFS($AU$134:AU1180,$AB$134:AB1180,"*",$AC$134:AC1180,"*")</f>
        <v>6014.6</v>
      </c>
      <c r="BX1179" s="343">
        <f>SUMIFS($AU1180:AU$1388,$Q1180:Q$1388,"F")</f>
        <v>8274.1333333333332</v>
      </c>
      <c r="BY1179" s="343">
        <f>SUMIFS($AU1180:AU$1388,$Q1180:Q$1388,"S")</f>
        <v>3632.0000000000009</v>
      </c>
      <c r="BZ1179" s="343">
        <f>SUMIFS($AU1180:AU$1388,$Q1180:Q$1388,"O")</f>
        <v>-207.48466666688103</v>
      </c>
    </row>
    <row r="1180" spans="1:78" ht="15.75" customHeight="1">
      <c r="A1180" s="221" t="s">
        <v>3942</v>
      </c>
      <c r="B1180" s="177"/>
      <c r="C1180" s="178"/>
      <c r="D1180" s="178"/>
      <c r="E1180" s="227" t="s">
        <v>4181</v>
      </c>
      <c r="F1180" s="180"/>
      <c r="G1180" s="181"/>
      <c r="H1180" s="182">
        <v>1</v>
      </c>
      <c r="I1180" s="182"/>
      <c r="J1180" s="182"/>
      <c r="K1180" s="183" t="s">
        <v>115</v>
      </c>
      <c r="L1180" s="182"/>
      <c r="M1180" s="182"/>
      <c r="N1180" s="182"/>
      <c r="O1180" s="183"/>
      <c r="P1180" s="183"/>
      <c r="Q1180" s="183"/>
      <c r="R1180" s="183"/>
      <c r="S1180" s="183"/>
      <c r="T1180" s="183"/>
      <c r="U1180" s="183"/>
      <c r="V1180" s="183"/>
      <c r="W1180" s="183"/>
      <c r="X1180" s="183"/>
      <c r="Y1180" s="183"/>
      <c r="Z1180" s="185" t="str">
        <f t="shared" si="338"/>
        <v/>
      </c>
      <c r="AA1180" s="185"/>
      <c r="AB1180" s="185"/>
      <c r="AC1180" s="185"/>
      <c r="AD1180" s="649"/>
      <c r="AE1180" s="182"/>
      <c r="AF1180" s="332"/>
      <c r="AG1180" s="182"/>
      <c r="AH1180" s="182"/>
      <c r="AI1180" s="182"/>
      <c r="AJ1180" s="640"/>
      <c r="AK1180" s="182"/>
      <c r="AL1180" s="496"/>
      <c r="AM1180" s="496"/>
      <c r="AN1180" s="626"/>
      <c r="AO1180" s="182"/>
      <c r="AP1180" s="182"/>
      <c r="AQ1180" s="332" t="str">
        <f>UPPER(RIGHT(Journal_Live[[#This Row],[DURATION ]]))</f>
        <v/>
      </c>
      <c r="AR1180" s="182"/>
      <c r="AS1180" s="189"/>
      <c r="AT1180" s="189"/>
      <c r="AU1180" s="187"/>
      <c r="AV1180" s="190"/>
      <c r="AW1180" s="191"/>
      <c r="AX1180" s="407"/>
      <c r="AY1180" s="407"/>
      <c r="AZ1180" s="407"/>
      <c r="BA1180" s="407"/>
      <c r="BB1180" s="407"/>
      <c r="BC1180" s="407"/>
      <c r="BD1180" s="407"/>
      <c r="BE1180" s="407"/>
      <c r="BF1180" s="422"/>
      <c r="BG1180" s="391">
        <f>SUM($AV$4:AV1180)</f>
        <v>4212.6219092781002</v>
      </c>
      <c r="BH1180" s="392">
        <f>SUM($AU$134:AU1180)</f>
        <v>21660.002000000419</v>
      </c>
      <c r="BI1180" s="318">
        <f>SUMIFS($AU$134:AU1181,$Q$134:Q1181,"F")</f>
        <v>6166.5333333333328</v>
      </c>
      <c r="BJ1180" s="318">
        <f>SUMIFS($AU$134:AU1181,$Q$134:Q1181,"S")</f>
        <v>17039.642</v>
      </c>
      <c r="BK1180" s="343">
        <f>SUMIFS($AU$134:AU1181,$P$134:P1181,"W")</f>
        <v>13614.941999999943</v>
      </c>
      <c r="BL1180" s="343">
        <f>SUMIFS($AU$134:AU1181,$P$134:P1181,"R")</f>
        <v>9396.6733333333214</v>
      </c>
      <c r="BM1180" s="343">
        <f>SUMIFS($AU$134:AU1181,$AQ$134:AQ1181,"M")</f>
        <v>2582.0300000001416</v>
      </c>
      <c r="BN1180" s="343">
        <f>SUMIFS($AU$134:AU1181,$AQ$134:AQ1181,"H")</f>
        <v>8377.3420000000642</v>
      </c>
      <c r="BO1180" s="343">
        <f>SUMIFS($AU$134:AU1181,$AQ$134:AQ1181,"D")</f>
        <v>5538.2366666667649</v>
      </c>
      <c r="BP1180" s="343">
        <f>SUMIFS($AU$134:AU1183,$AQ$134:AQ1183,"W")</f>
        <v>3191.7633333332024</v>
      </c>
      <c r="BQ1180" s="343">
        <f>SUMIFS($AU$134:AU1181,$Q$134:Q1181,"O")</f>
        <v>-1441.3733333329176</v>
      </c>
      <c r="BR1180" s="343">
        <f>SUMIFS($AU$134:AU1181,$AA$134:AA1181,"*")</f>
        <v>19869.305333333457</v>
      </c>
      <c r="BS1180" s="343">
        <f>SUMIFS($AU$134:AU1181,$AB$134:AB1181,"*")</f>
        <v>4577.196666667046</v>
      </c>
      <c r="BT1180" s="343">
        <f>SUMIFS($AU$134:AU1181,$AC$134:AC1181,"*")</f>
        <v>11255.683333333332</v>
      </c>
      <c r="BU1180" s="343">
        <f>SUMIFS($AU$134:AU1181,$AA$134:AA1181,"*",$AB$134:AB1181,"*")</f>
        <v>2838.0000000000864</v>
      </c>
      <c r="BV1180" s="343">
        <f>SUMIFS($AU$134:AU1181,$AA$134:AA1181,"*",$AC$134:AC1181,"*")</f>
        <v>9436.7833333333328</v>
      </c>
      <c r="BW1180" s="343">
        <f>SUMIFS($AU$134:AU1181,$AB$134:AB1181,"*",$AC$134:AC1181,"*")</f>
        <v>6014.6</v>
      </c>
      <c r="BX1180" s="343">
        <f>SUMIFS($AU1181:AU$1388,$Q1181:Q$1388,"F")</f>
        <v>8274.1333333333332</v>
      </c>
      <c r="BY1180" s="343">
        <f>SUMIFS($AU1181:AU$1388,$Q1181:Q$1388,"S")</f>
        <v>3632.0000000000009</v>
      </c>
      <c r="BZ1180" s="343">
        <f>SUMIFS($AU1181:AU$1388,$Q1181:Q$1388,"O")</f>
        <v>-207.48466666688103</v>
      </c>
    </row>
    <row r="1181" spans="1:78" ht="15.75" customHeight="1">
      <c r="A1181" s="221" t="s">
        <v>3942</v>
      </c>
      <c r="B1181" s="177">
        <v>45226</v>
      </c>
      <c r="C1181" s="178" t="s">
        <v>2144</v>
      </c>
      <c r="D1181" s="178" t="s">
        <v>111</v>
      </c>
      <c r="E1181" s="227"/>
      <c r="F1181" s="180"/>
      <c r="G1181" s="281" t="s">
        <v>4091</v>
      </c>
      <c r="H1181" s="182"/>
      <c r="I1181" s="182"/>
      <c r="J1181" s="182"/>
      <c r="K1181" s="183"/>
      <c r="L1181" s="182">
        <v>1</v>
      </c>
      <c r="M1181" s="182"/>
      <c r="N1181" s="182"/>
      <c r="O1181" s="183" t="s">
        <v>3618</v>
      </c>
      <c r="P1181" s="183" t="s">
        <v>2260</v>
      </c>
      <c r="Q1181" s="183" t="s">
        <v>684</v>
      </c>
      <c r="R1181" s="183">
        <v>1</v>
      </c>
      <c r="S1181" s="183">
        <v>0</v>
      </c>
      <c r="T1181" s="183">
        <v>1</v>
      </c>
      <c r="U1181" s="183" t="s">
        <v>22</v>
      </c>
      <c r="V1181" s="183"/>
      <c r="W1181" s="183"/>
      <c r="X1181" s="183"/>
      <c r="Y1181" s="184">
        <f>IF(ISBLANK(O1181),"",(IF(O1181=UPPER("IB"),0.005,0.01)))</f>
        <v>0.01</v>
      </c>
      <c r="Z1181" s="185">
        <f>IF(ISBLANK(O1181),"",IF(O1181="IB",8.63*200,IF(O1181="IR",16*100,IF(O1181="YT",20*100,IF(O1181="YT-XT",24*200,IF(O1181="TED",80*100,IF(O1181="XT",36*200)))))))</f>
        <v>7200</v>
      </c>
      <c r="AA1181" s="185" t="s">
        <v>4182</v>
      </c>
      <c r="AB1181" s="185"/>
      <c r="AC1181" s="185"/>
      <c r="AD1181" s="649">
        <v>95.16</v>
      </c>
      <c r="AE1181" s="182"/>
      <c r="AF1181" s="332"/>
      <c r="AG1181" s="182"/>
      <c r="AH1181" s="182"/>
      <c r="AI1181" s="182"/>
      <c r="AJ1181" s="644" t="s">
        <v>4183</v>
      </c>
      <c r="AK1181" s="182"/>
      <c r="AL1181" s="496"/>
      <c r="AM1181" s="496"/>
      <c r="AN1181" s="626"/>
      <c r="AO1181" s="182"/>
      <c r="AP1181" s="182" t="s">
        <v>4184</v>
      </c>
      <c r="AQ1181" s="332" t="str">
        <f>UPPER(RIGHT(Journal_Live[[#This Row],[DURATION ]]))</f>
        <v>M</v>
      </c>
      <c r="AR1181" s="182" t="s">
        <v>3336</v>
      </c>
      <c r="AS1181" s="189">
        <v>95.16</v>
      </c>
      <c r="AT1181" s="189">
        <f>IF(ISBLANK(AS1181),,IF(U1181="S",AD1181-AS1181,AS1181-AD1181))</f>
        <v>0</v>
      </c>
      <c r="AU1181" s="187">
        <f>AV1181*R1181</f>
        <v>0</v>
      </c>
      <c r="AV1181" s="190">
        <f>IF(ISBLANK(AS1181),,(AT1181*Z1181))</f>
        <v>0</v>
      </c>
      <c r="AW1181" s="191" t="s">
        <v>115</v>
      </c>
      <c r="AX1181" s="407" t="s">
        <v>4185</v>
      </c>
      <c r="AY1181" s="407" t="s">
        <v>4186</v>
      </c>
      <c r="AZ1181" s="407"/>
      <c r="BA1181" s="407"/>
      <c r="BB1181" s="407"/>
      <c r="BC1181" s="407"/>
      <c r="BD1181" s="407"/>
      <c r="BE1181" s="407"/>
      <c r="BF1181" s="422"/>
      <c r="BG1181" s="391">
        <f>SUM($AV$4:AV1181)</f>
        <v>4212.6219092781002</v>
      </c>
      <c r="BH1181" s="392">
        <f>SUM($AU$134:AU1181)</f>
        <v>21660.002000000419</v>
      </c>
      <c r="BI1181" s="318">
        <f>SUMIFS($AU$134:AU1182,$Q$134:Q1182,"F")</f>
        <v>6166.5333333333328</v>
      </c>
      <c r="BJ1181" s="318">
        <f>SUMIFS($AU$134:AU1182,$Q$134:Q1182,"S")</f>
        <v>17151.642</v>
      </c>
      <c r="BK1181" s="343">
        <f>SUMIFS($AU$134:AU1182,$P$134:P1182,"W")</f>
        <v>13726.941999999943</v>
      </c>
      <c r="BL1181" s="343">
        <f>SUMIFS($AU$134:AU1182,$P$134:P1182,"R")</f>
        <v>9396.6733333333214</v>
      </c>
      <c r="BM1181" s="343">
        <f>SUMIFS($AU$134:AU1182,$AQ$134:AQ1182,"M")</f>
        <v>2694.0300000001416</v>
      </c>
      <c r="BN1181" s="343">
        <f>SUMIFS($AU$134:AU1182,$AQ$134:AQ1182,"H")</f>
        <v>8377.3420000000642</v>
      </c>
      <c r="BO1181" s="343">
        <f>SUMIFS($AU$134:AU1182,$AQ$134:AQ1182,"D")</f>
        <v>5538.2366666667649</v>
      </c>
      <c r="BP1181" s="343">
        <f>SUMIFS($AU$134:AU1184,$AQ$134:AQ1184,"W")</f>
        <v>3191.7633333332024</v>
      </c>
      <c r="BQ1181" s="343">
        <f>SUMIFS($AU$134:AU1182,$Q$134:Q1182,"O")</f>
        <v>-1441.3733333329176</v>
      </c>
      <c r="BR1181" s="343">
        <f>SUMIFS($AU$134:AU1182,$AA$134:AA1182,"*")</f>
        <v>19981.305333333457</v>
      </c>
      <c r="BS1181" s="343">
        <f>SUMIFS($AU$134:AU1182,$AB$134:AB1182,"*")</f>
        <v>4577.196666667046</v>
      </c>
      <c r="BT1181" s="343">
        <f>SUMIFS($AU$134:AU1182,$AC$134:AC1182,"*")</f>
        <v>11255.683333333332</v>
      </c>
      <c r="BU1181" s="343">
        <f>SUMIFS($AU$134:AU1182,$AA$134:AA1182,"*",$AB$134:AB1182,"*")</f>
        <v>2838.0000000000864</v>
      </c>
      <c r="BV1181" s="343">
        <f>SUMIFS($AU$134:AU1182,$AA$134:AA1182,"*",$AC$134:AC1182,"*")</f>
        <v>9436.7833333333328</v>
      </c>
      <c r="BW1181" s="343">
        <f>SUMIFS($AU$134:AU1182,$AB$134:AB1182,"*",$AC$134:AC1182,"*")</f>
        <v>6014.6</v>
      </c>
      <c r="BX1181" s="343">
        <f>SUMIFS($AU1182:AU$1388,$Q1182:Q$1388,"F")</f>
        <v>8274.1333333333332</v>
      </c>
      <c r="BY1181" s="343">
        <f>SUMIFS($AU1182:AU$1388,$Q1182:Q$1388,"S")</f>
        <v>3632.0000000000009</v>
      </c>
      <c r="BZ1181" s="343">
        <f>SUMIFS($AU1182:AU$1388,$Q1182:Q$1388,"O")</f>
        <v>-207.48466666688103</v>
      </c>
    </row>
    <row r="1182" spans="1:78" ht="15.75" customHeight="1">
      <c r="A1182" s="221" t="s">
        <v>3942</v>
      </c>
      <c r="B1182" s="177">
        <v>45229</v>
      </c>
      <c r="C1182" s="178" t="s">
        <v>4187</v>
      </c>
      <c r="D1182" s="178" t="s">
        <v>132</v>
      </c>
      <c r="E1182" s="227"/>
      <c r="F1182" s="180"/>
      <c r="G1182" s="181" t="s">
        <v>2145</v>
      </c>
      <c r="H1182" s="182"/>
      <c r="I1182" s="182"/>
      <c r="J1182" s="182"/>
      <c r="K1182" s="183"/>
      <c r="L1182" s="182">
        <v>1</v>
      </c>
      <c r="M1182" s="182"/>
      <c r="N1182" s="182"/>
      <c r="O1182" s="183" t="s">
        <v>95</v>
      </c>
      <c r="P1182" s="183" t="s">
        <v>96</v>
      </c>
      <c r="Q1182" s="183" t="s">
        <v>97</v>
      </c>
      <c r="R1182" s="183">
        <v>7</v>
      </c>
      <c r="S1182" s="183">
        <v>0</v>
      </c>
      <c r="T1182" s="183">
        <v>7</v>
      </c>
      <c r="U1182" s="183" t="s">
        <v>97</v>
      </c>
      <c r="V1182" s="183"/>
      <c r="W1182" s="183"/>
      <c r="X1182" s="183"/>
      <c r="Y1182" s="184">
        <f>IF(ISBLANK(O1182),"",(IF(O1182=UPPER("IB"),0.005,0.01)))</f>
        <v>0.01</v>
      </c>
      <c r="Z1182" s="185">
        <f t="shared" ref="Z1182:Z1191" si="343">IF(ISBLANK(O1182),"",IF(O1182="IB",8.63*200,IF(O1182="IR",16*100,IF(O1182="YT",20*100,IF(O1182="YT-XT",24*200,IF(O1182="TED",80*100))))))</f>
        <v>1600</v>
      </c>
      <c r="AA1182" s="185" t="s">
        <v>99</v>
      </c>
      <c r="AB1182" s="185"/>
      <c r="AC1182" s="185"/>
      <c r="AD1182" s="649">
        <v>0.2</v>
      </c>
      <c r="AE1182" s="182"/>
      <c r="AF1182" s="332"/>
      <c r="AG1182" s="182"/>
      <c r="AH1182" s="182"/>
      <c r="AI1182" s="182"/>
      <c r="AJ1182" s="640"/>
      <c r="AK1182" s="182"/>
      <c r="AL1182" s="496"/>
      <c r="AM1182" s="496"/>
      <c r="AN1182" s="626"/>
      <c r="AO1182" s="182"/>
      <c r="AP1182" s="182" t="s">
        <v>3143</v>
      </c>
      <c r="AQ1182" s="332" t="str">
        <f>UPPER(RIGHT(Journal_Live[[#This Row],[DURATION ]]))</f>
        <v>M</v>
      </c>
      <c r="AR1182" s="182" t="s">
        <v>4188</v>
      </c>
      <c r="AS1182" s="189">
        <v>0.19</v>
      </c>
      <c r="AT1182" s="189">
        <f>IF(ISBLANK(AS1182),,IF(U1182="S",AD1182-AS1182,AS1182-AD1182))</f>
        <v>1.0000000000000009E-2</v>
      </c>
      <c r="AU1182" s="187">
        <f>AV1182*R1182</f>
        <v>112.0000000000001</v>
      </c>
      <c r="AV1182" s="190">
        <f>IF(ISBLANK(AS1182),,(AT1182*Z1182))</f>
        <v>16.000000000000014</v>
      </c>
      <c r="AW1182" s="191" t="s">
        <v>96</v>
      </c>
      <c r="AX1182" s="407"/>
      <c r="AY1182" s="407"/>
      <c r="AZ1182" s="407"/>
      <c r="BA1182" s="407"/>
      <c r="BB1182" s="407"/>
      <c r="BC1182" s="407"/>
      <c r="BD1182" s="407"/>
      <c r="BE1182" s="407"/>
      <c r="BF1182" s="422"/>
      <c r="BG1182" s="391">
        <f>SUM($AV$4:AV1182)</f>
        <v>4228.6219092781002</v>
      </c>
      <c r="BH1182" s="392">
        <f>SUM($AU$134:AU1182)</f>
        <v>21772.002000000419</v>
      </c>
      <c r="BI1182" s="318">
        <f>SUMIFS($AU$134:AU1183,$Q$134:Q1183,"F")</f>
        <v>6166.5333333333328</v>
      </c>
      <c r="BJ1182" s="318">
        <f>SUMIFS($AU$134:AU1183,$Q$134:Q1183,"S")</f>
        <v>17151.642</v>
      </c>
      <c r="BK1182" s="343">
        <f>SUMIFS($AU$134:AU1183,$P$134:P1183,"W")</f>
        <v>13726.941999999943</v>
      </c>
      <c r="BL1182" s="343">
        <f>SUMIFS($AU$134:AU1183,$P$134:P1183,"R")</f>
        <v>9396.6733333333214</v>
      </c>
      <c r="BM1182" s="343">
        <f>SUMIFS($AU$134:AU1183,$AQ$134:AQ1183,"M")</f>
        <v>2694.0300000001416</v>
      </c>
      <c r="BN1182" s="343">
        <f>SUMIFS($AU$134:AU1183,$AQ$134:AQ1183,"H")</f>
        <v>8377.3420000000642</v>
      </c>
      <c r="BO1182" s="343">
        <f>SUMIFS($AU$134:AU1183,$AQ$134:AQ1183,"D")</f>
        <v>5538.2366666667649</v>
      </c>
      <c r="BP1182" s="343">
        <f>SUMIFS($AU$134:AU1185,$AQ$134:AQ1185,"W")</f>
        <v>3191.7633333332024</v>
      </c>
      <c r="BQ1182" s="343">
        <f>SUMIFS($AU$134:AU1183,$Q$134:Q1183,"O")</f>
        <v>-1441.3733333329176</v>
      </c>
      <c r="BR1182" s="343">
        <f>SUMIFS($AU$134:AU1183,$AA$134:AA1183,"*")</f>
        <v>19981.305333333457</v>
      </c>
      <c r="BS1182" s="343">
        <f>SUMIFS($AU$134:AU1183,$AB$134:AB1183,"*")</f>
        <v>4577.196666667046</v>
      </c>
      <c r="BT1182" s="343">
        <f>SUMIFS($AU$134:AU1183,$AC$134:AC1183,"*")</f>
        <v>11255.683333333332</v>
      </c>
      <c r="BU1182" s="343">
        <f>SUMIFS($AU$134:AU1183,$AA$134:AA1183,"*",$AB$134:AB1183,"*")</f>
        <v>2838.0000000000864</v>
      </c>
      <c r="BV1182" s="343">
        <f>SUMIFS($AU$134:AU1183,$AA$134:AA1183,"*",$AC$134:AC1183,"*")</f>
        <v>9436.7833333333328</v>
      </c>
      <c r="BW1182" s="343">
        <f>SUMIFS($AU$134:AU1183,$AB$134:AB1183,"*",$AC$134:AC1183,"*")</f>
        <v>6014.6</v>
      </c>
      <c r="BX1182" s="343">
        <f>SUMIFS($AU1183:AU$1388,$Q1183:Q$1388,"F")</f>
        <v>8274.1333333333332</v>
      </c>
      <c r="BY1182" s="343">
        <f>SUMIFS($AU1183:AU$1388,$Q1183:Q$1388,"S")</f>
        <v>3520</v>
      </c>
      <c r="BZ1182" s="343">
        <f>SUMIFS($AU1183:AU$1388,$Q1183:Q$1388,"O")</f>
        <v>-207.48466666688103</v>
      </c>
    </row>
    <row r="1183" spans="1:78" ht="15.75" customHeight="1">
      <c r="A1183" s="221" t="s">
        <v>3942</v>
      </c>
      <c r="B1183" s="177">
        <v>45229</v>
      </c>
      <c r="C1183" s="178" t="s">
        <v>1437</v>
      </c>
      <c r="D1183" s="178" t="s">
        <v>132</v>
      </c>
      <c r="E1183" s="227" t="s">
        <v>4189</v>
      </c>
      <c r="F1183" s="180" t="s">
        <v>4190</v>
      </c>
      <c r="G1183" s="181"/>
      <c r="H1183" s="182"/>
      <c r="I1183" s="182"/>
      <c r="J1183" s="182"/>
      <c r="K1183" s="183"/>
      <c r="L1183" s="182"/>
      <c r="M1183" s="182"/>
      <c r="N1183" s="182"/>
      <c r="O1183" s="183"/>
      <c r="P1183" s="183"/>
      <c r="Q1183" s="183"/>
      <c r="R1183" s="183"/>
      <c r="S1183" s="183"/>
      <c r="T1183" s="183"/>
      <c r="U1183" s="183"/>
      <c r="V1183" s="183"/>
      <c r="W1183" s="183"/>
      <c r="X1183" s="183"/>
      <c r="Y1183" s="183"/>
      <c r="Z1183" s="185" t="str">
        <f t="shared" si="343"/>
        <v/>
      </c>
      <c r="AA1183" s="185"/>
      <c r="AB1183" s="185"/>
      <c r="AC1183" s="185"/>
      <c r="AD1183" s="649"/>
      <c r="AE1183" s="182"/>
      <c r="AF1183" s="332"/>
      <c r="AG1183" s="182"/>
      <c r="AH1183" s="182"/>
      <c r="AI1183" s="182"/>
      <c r="AJ1183" s="640"/>
      <c r="AK1183" s="182"/>
      <c r="AL1183" s="496"/>
      <c r="AM1183" s="496"/>
      <c r="AN1183" s="626"/>
      <c r="AO1183" s="182"/>
      <c r="AP1183" s="182"/>
      <c r="AQ1183" s="332" t="str">
        <f>UPPER(RIGHT(Journal_Live[[#This Row],[DURATION ]]))</f>
        <v/>
      </c>
      <c r="AR1183" s="182"/>
      <c r="AS1183" s="189"/>
      <c r="AT1183" s="189">
        <f>IF(ISBLANK(AS1183),,IF(U1183="S",AD1183-AS1183,AS1183-AD1183))</f>
        <v>0</v>
      </c>
      <c r="AU1183" s="187">
        <f>AV1183*R1183</f>
        <v>0</v>
      </c>
      <c r="AV1183" s="190">
        <f>IF(ISBLANK(AS1183),,(AT1183*Z1183))</f>
        <v>0</v>
      </c>
      <c r="AW1183" s="191"/>
      <c r="AX1183" s="407" t="s">
        <v>4191</v>
      </c>
      <c r="AY1183" s="407" t="s">
        <v>4192</v>
      </c>
      <c r="AZ1183" s="407" t="s">
        <v>4193</v>
      </c>
      <c r="BA1183" s="407" t="s">
        <v>4194</v>
      </c>
      <c r="BB1183" s="407" t="s">
        <v>4195</v>
      </c>
      <c r="BC1183" s="407"/>
      <c r="BD1183" s="407"/>
      <c r="BE1183" s="407"/>
      <c r="BF1183" s="422"/>
      <c r="BG1183" s="391">
        <f>SUM($AV$4:AV1183)</f>
        <v>4228.6219092781002</v>
      </c>
      <c r="BH1183" s="392">
        <f>SUM($AU$134:AU1183)</f>
        <v>21772.002000000419</v>
      </c>
      <c r="BI1183" s="318">
        <f>SUMIFS($AU$134:AU1184,$Q$134:Q1184,"F")</f>
        <v>6166.5333333333328</v>
      </c>
      <c r="BJ1183" s="318">
        <f>SUMIFS($AU$134:AU1184,$Q$134:Q1184,"S")</f>
        <v>17151.642</v>
      </c>
      <c r="BK1183" s="343">
        <f>SUMIFS($AU$134:AU1184,$P$134:P1184,"W")</f>
        <v>13726.941999999943</v>
      </c>
      <c r="BL1183" s="343">
        <f>SUMIFS($AU$134:AU1184,$P$134:P1184,"R")</f>
        <v>9396.6733333333214</v>
      </c>
      <c r="BM1183" s="343">
        <f>SUMIFS($AU$134:AU1184,$AQ$134:AQ1184,"M")</f>
        <v>2694.0300000001416</v>
      </c>
      <c r="BN1183" s="343">
        <f>SUMIFS($AU$134:AU1184,$AQ$134:AQ1184,"H")</f>
        <v>8377.3420000000642</v>
      </c>
      <c r="BO1183" s="343">
        <f>SUMIFS($AU$134:AU1184,$AQ$134:AQ1184,"D")</f>
        <v>5538.2366666667649</v>
      </c>
      <c r="BP1183" s="343">
        <f>SUMIFS($AU$134:AU1186,$AQ$134:AQ1186,"W")</f>
        <v>3191.7633333332024</v>
      </c>
      <c r="BQ1183" s="343">
        <f>SUMIFS($AU$134:AU1184,$Q$134:Q1184,"O")</f>
        <v>-1441.3733333329176</v>
      </c>
      <c r="BR1183" s="343">
        <f>SUMIFS($AU$134:AU1184,$AA$134:AA1184,"*")</f>
        <v>19981.305333333457</v>
      </c>
      <c r="BS1183" s="343">
        <f>SUMIFS($AU$134:AU1184,$AB$134:AB1184,"*")</f>
        <v>4577.196666667046</v>
      </c>
      <c r="BT1183" s="343">
        <f>SUMIFS($AU$134:AU1184,$AC$134:AC1184,"*")</f>
        <v>11255.683333333332</v>
      </c>
      <c r="BU1183" s="343">
        <f>SUMIFS($AU$134:AU1184,$AA$134:AA1184,"*",$AB$134:AB1184,"*")</f>
        <v>2838.0000000000864</v>
      </c>
      <c r="BV1183" s="343">
        <f>SUMIFS($AU$134:AU1184,$AA$134:AA1184,"*",$AC$134:AC1184,"*")</f>
        <v>9436.7833333333328</v>
      </c>
      <c r="BW1183" s="343">
        <f>SUMIFS($AU$134:AU1184,$AB$134:AB1184,"*",$AC$134:AC1184,"*")</f>
        <v>6014.6</v>
      </c>
      <c r="BX1183" s="343">
        <f>SUMIFS($AU1184:AU$1388,$Q1184:Q$1388,"F")</f>
        <v>8274.1333333333332</v>
      </c>
      <c r="BY1183" s="343">
        <f>SUMIFS($AU1184:AU$1388,$Q1184:Q$1388,"S")</f>
        <v>3520</v>
      </c>
      <c r="BZ1183" s="343">
        <f>SUMIFS($AU1184:AU$1388,$Q1184:Q$1388,"O")</f>
        <v>-207.48466666688103</v>
      </c>
    </row>
    <row r="1184" spans="1:78" ht="15.75" customHeight="1">
      <c r="A1184" s="221" t="s">
        <v>3942</v>
      </c>
      <c r="B1184" s="177">
        <v>45229</v>
      </c>
      <c r="C1184" s="178" t="s">
        <v>682</v>
      </c>
      <c r="D1184" s="178" t="s">
        <v>132</v>
      </c>
      <c r="E1184" s="227"/>
      <c r="F1184" s="180"/>
      <c r="G1184" s="281" t="s">
        <v>2145</v>
      </c>
      <c r="H1184" s="182"/>
      <c r="I1184" s="182"/>
      <c r="J1184" s="182"/>
      <c r="K1184" s="183"/>
      <c r="L1184" s="182">
        <v>1</v>
      </c>
      <c r="M1184" s="182"/>
      <c r="N1184" s="182"/>
      <c r="O1184" s="183" t="s">
        <v>95</v>
      </c>
      <c r="P1184" s="183" t="s">
        <v>96</v>
      </c>
      <c r="Q1184" s="183" t="s">
        <v>97</v>
      </c>
      <c r="R1184" s="183">
        <v>14</v>
      </c>
      <c r="S1184" s="183">
        <v>0</v>
      </c>
      <c r="T1184" s="183">
        <v>14</v>
      </c>
      <c r="U1184" s="183" t="s">
        <v>97</v>
      </c>
      <c r="V1184" s="183"/>
      <c r="W1184" s="183"/>
      <c r="X1184" s="183"/>
      <c r="Y1184" s="184">
        <f>IF(ISBLANK(O1184),"",(IF(O1184=UPPER("IB"),0.005,0.01)))</f>
        <v>0.01</v>
      </c>
      <c r="Z1184" s="185">
        <f t="shared" si="343"/>
        <v>1600</v>
      </c>
      <c r="AA1184" s="185" t="s">
        <v>4196</v>
      </c>
      <c r="AB1184" s="185"/>
      <c r="AC1184" s="185"/>
      <c r="AD1184" s="649">
        <v>0.2</v>
      </c>
      <c r="AE1184" s="182"/>
      <c r="AF1184" s="332"/>
      <c r="AG1184" s="182"/>
      <c r="AH1184" s="182"/>
      <c r="AI1184" s="182"/>
      <c r="AJ1184" s="640"/>
      <c r="AK1184" s="182"/>
      <c r="AL1184" s="496"/>
      <c r="AM1184" s="496"/>
      <c r="AN1184" s="626"/>
      <c r="AO1184" s="182"/>
      <c r="AP1184" s="182"/>
      <c r="AQ1184" s="332" t="str">
        <f>UPPER(RIGHT(Journal_Live[[#This Row],[DURATION ]]))</f>
        <v/>
      </c>
      <c r="AR1184" s="182" t="s">
        <v>4066</v>
      </c>
      <c r="AS1184" s="189">
        <v>0.2</v>
      </c>
      <c r="AT1184" s="189">
        <f>IF(ISBLANK(AS1184),,IF(U1184="S",AD1184-AS1184,AS1184-AD1184))</f>
        <v>0</v>
      </c>
      <c r="AU1184" s="187">
        <f>AV1184*R1184</f>
        <v>0</v>
      </c>
      <c r="AV1184" s="190">
        <f>IF(ISBLANK(AS1184),,(AT1184*Z1184))</f>
        <v>0</v>
      </c>
      <c r="AW1184" s="191" t="s">
        <v>115</v>
      </c>
      <c r="AX1184" s="407" t="s">
        <v>4197</v>
      </c>
      <c r="AY1184" s="407"/>
      <c r="AZ1184" s="407"/>
      <c r="BA1184" s="407"/>
      <c r="BB1184" s="407"/>
      <c r="BC1184" s="407"/>
      <c r="BD1184" s="407"/>
      <c r="BE1184" s="407"/>
      <c r="BF1184" s="422"/>
      <c r="BG1184" s="391">
        <f>SUM($AV$4:AV1184)</f>
        <v>4228.6219092781002</v>
      </c>
      <c r="BH1184" s="392">
        <f>SUM($AU$134:AU1184)</f>
        <v>21772.002000000419</v>
      </c>
      <c r="BI1184" s="318">
        <f>SUMIFS($AU$134:AU1185,$Q$134:Q1185,"F")</f>
        <v>6166.5333333333328</v>
      </c>
      <c r="BJ1184" s="318">
        <f>SUMIFS($AU$134:AU1185,$Q$134:Q1185,"S")</f>
        <v>17151.642</v>
      </c>
      <c r="BK1184" s="343">
        <f>SUMIFS($AU$134:AU1185,$P$134:P1185,"W")</f>
        <v>13726.941999999943</v>
      </c>
      <c r="BL1184" s="343">
        <f>SUMIFS($AU$134:AU1185,$P$134:P1185,"R")</f>
        <v>9396.6733333333214</v>
      </c>
      <c r="BM1184" s="343">
        <f>SUMIFS($AU$134:AU1185,$AQ$134:AQ1185,"M")</f>
        <v>2694.0300000001416</v>
      </c>
      <c r="BN1184" s="343">
        <f>SUMIFS($AU$134:AU1185,$AQ$134:AQ1185,"H")</f>
        <v>8377.3420000000642</v>
      </c>
      <c r="BO1184" s="343">
        <f>SUMIFS($AU$134:AU1185,$AQ$134:AQ1185,"D")</f>
        <v>5538.2366666667649</v>
      </c>
      <c r="BP1184" s="343">
        <f>SUMIFS($AU$134:AU1187,$AQ$134:AQ1187,"W")</f>
        <v>3191.7633333332024</v>
      </c>
      <c r="BQ1184" s="343">
        <f>SUMIFS($AU$134:AU1185,$Q$134:Q1185,"O")</f>
        <v>-1441.3733333329176</v>
      </c>
      <c r="BR1184" s="343">
        <f>SUMIFS($AU$134:AU1185,$AA$134:AA1185,"*")</f>
        <v>19981.305333333457</v>
      </c>
      <c r="BS1184" s="343">
        <f>SUMIFS($AU$134:AU1185,$AB$134:AB1185,"*")</f>
        <v>4577.196666667046</v>
      </c>
      <c r="BT1184" s="343">
        <f>SUMIFS($AU$134:AU1185,$AC$134:AC1185,"*")</f>
        <v>11255.683333333332</v>
      </c>
      <c r="BU1184" s="343">
        <f>SUMIFS($AU$134:AU1185,$AA$134:AA1185,"*",$AB$134:AB1185,"*")</f>
        <v>2838.0000000000864</v>
      </c>
      <c r="BV1184" s="343">
        <f>SUMIFS($AU$134:AU1185,$AA$134:AA1185,"*",$AC$134:AC1185,"*")</f>
        <v>9436.7833333333328</v>
      </c>
      <c r="BW1184" s="343">
        <f>SUMIFS($AU$134:AU1185,$AB$134:AB1185,"*",$AC$134:AC1185,"*")</f>
        <v>6014.6</v>
      </c>
      <c r="BX1184" s="343">
        <f>SUMIFS($AU1185:AU$1388,$Q1185:Q$1388,"F")</f>
        <v>8274.1333333333332</v>
      </c>
      <c r="BY1184" s="343">
        <f>SUMIFS($AU1185:AU$1388,$Q1185:Q$1388,"S")</f>
        <v>3520</v>
      </c>
      <c r="BZ1184" s="343">
        <f>SUMIFS($AU1185:AU$1388,$Q1185:Q$1388,"O")</f>
        <v>-207.48466666688103</v>
      </c>
    </row>
    <row r="1185" spans="1:78" ht="15.75" customHeight="1">
      <c r="A1185" s="221" t="s">
        <v>3942</v>
      </c>
      <c r="B1185" s="177">
        <v>45229</v>
      </c>
      <c r="C1185" s="178" t="s">
        <v>4198</v>
      </c>
      <c r="D1185" s="178" t="s">
        <v>132</v>
      </c>
      <c r="E1185" s="227" t="s">
        <v>4199</v>
      </c>
      <c r="F1185" s="180"/>
      <c r="G1185" s="181"/>
      <c r="H1185" s="182"/>
      <c r="I1185" s="182"/>
      <c r="J1185" s="182"/>
      <c r="K1185" s="183"/>
      <c r="L1185" s="182"/>
      <c r="M1185" s="182"/>
      <c r="N1185" s="182"/>
      <c r="O1185" s="183"/>
      <c r="P1185" s="183"/>
      <c r="Q1185" s="183"/>
      <c r="R1185" s="183"/>
      <c r="S1185" s="183"/>
      <c r="T1185" s="183"/>
      <c r="U1185" s="183"/>
      <c r="V1185" s="183"/>
      <c r="W1185" s="183"/>
      <c r="X1185" s="183"/>
      <c r="Y1185" s="183"/>
      <c r="Z1185" s="185" t="str">
        <f t="shared" si="343"/>
        <v/>
      </c>
      <c r="AA1185" s="185"/>
      <c r="AB1185" s="185"/>
      <c r="AC1185" s="185"/>
      <c r="AD1185" s="649"/>
      <c r="AE1185" s="182"/>
      <c r="AF1185" s="332"/>
      <c r="AG1185" s="182"/>
      <c r="AH1185" s="182"/>
      <c r="AI1185" s="182"/>
      <c r="AJ1185" s="640"/>
      <c r="AK1185" s="182"/>
      <c r="AL1185" s="496"/>
      <c r="AM1185" s="496"/>
      <c r="AN1185" s="626"/>
      <c r="AO1185" s="182"/>
      <c r="AP1185" s="182"/>
      <c r="AQ1185" s="332" t="str">
        <f>UPPER(RIGHT(Journal_Live[[#This Row],[DURATION ]]))</f>
        <v/>
      </c>
      <c r="AR1185" s="182"/>
      <c r="AS1185" s="189"/>
      <c r="AT1185" s="189"/>
      <c r="AU1185" s="187"/>
      <c r="AV1185" s="190"/>
      <c r="AW1185" s="191"/>
      <c r="AX1185" s="407"/>
      <c r="AY1185" s="407"/>
      <c r="AZ1185" s="407"/>
      <c r="BA1185" s="407"/>
      <c r="BB1185" s="407"/>
      <c r="BC1185" s="407"/>
      <c r="BD1185" s="407"/>
      <c r="BE1185" s="407"/>
      <c r="BF1185" s="422"/>
      <c r="BG1185" s="391">
        <f>SUM($AV$4:AV1185)</f>
        <v>4228.6219092781002</v>
      </c>
      <c r="BH1185" s="392">
        <f>SUM($AU$134:AU1185)</f>
        <v>21772.002000000419</v>
      </c>
      <c r="BI1185" s="318">
        <f>SUMIFS($AU$134:AU1186,$Q$134:Q1186,"F")</f>
        <v>6166.5333333333328</v>
      </c>
      <c r="BJ1185" s="318">
        <f>SUMIFS($AU$134:AU1186,$Q$134:Q1186,"S")</f>
        <v>17151.642</v>
      </c>
      <c r="BK1185" s="343">
        <f>SUMIFS($AU$134:AU1186,$P$134:P1186,"W")</f>
        <v>13726.941999999943</v>
      </c>
      <c r="BL1185" s="343">
        <f>SUMIFS($AU$134:AU1186,$P$134:P1186,"R")</f>
        <v>9396.6733333333214</v>
      </c>
      <c r="BM1185" s="343">
        <f>SUMIFS($AU$134:AU1186,$AQ$134:AQ1186,"M")</f>
        <v>2694.0300000001416</v>
      </c>
      <c r="BN1185" s="343">
        <f>SUMIFS($AU$134:AU1186,$AQ$134:AQ1186,"H")</f>
        <v>8377.3420000000642</v>
      </c>
      <c r="BO1185" s="343">
        <f>SUMIFS($AU$134:AU1186,$AQ$134:AQ1186,"D")</f>
        <v>5538.2366666667649</v>
      </c>
      <c r="BP1185" s="343">
        <f>SUMIFS($AU$134:AU1188,$AQ$134:AQ1188,"W")</f>
        <v>3191.7633333332024</v>
      </c>
      <c r="BQ1185" s="343">
        <f>SUMIFS($AU$134:AU1186,$Q$134:Q1186,"O")</f>
        <v>-1441.3733333329176</v>
      </c>
      <c r="BR1185" s="343">
        <f>SUMIFS($AU$134:AU1186,$AA$134:AA1186,"*")</f>
        <v>19981.305333333457</v>
      </c>
      <c r="BS1185" s="343">
        <f>SUMIFS($AU$134:AU1186,$AB$134:AB1186,"*")</f>
        <v>4577.196666667046</v>
      </c>
      <c r="BT1185" s="343">
        <f>SUMIFS($AU$134:AU1186,$AC$134:AC1186,"*")</f>
        <v>11255.683333333332</v>
      </c>
      <c r="BU1185" s="343">
        <f>SUMIFS($AU$134:AU1186,$AA$134:AA1186,"*",$AB$134:AB1186,"*")</f>
        <v>2838.0000000000864</v>
      </c>
      <c r="BV1185" s="343">
        <f>SUMIFS($AU$134:AU1186,$AA$134:AA1186,"*",$AC$134:AC1186,"*")</f>
        <v>9436.7833333333328</v>
      </c>
      <c r="BW1185" s="343">
        <f>SUMIFS($AU$134:AU1186,$AB$134:AB1186,"*",$AC$134:AC1186,"*")</f>
        <v>6014.6</v>
      </c>
      <c r="BX1185" s="343">
        <f>SUMIFS($AU1186:AU$1388,$Q1186:Q$1388,"F")</f>
        <v>8274.1333333333332</v>
      </c>
      <c r="BY1185" s="343">
        <f>SUMIFS($AU1186:AU$1388,$Q1186:Q$1388,"S")</f>
        <v>3520</v>
      </c>
      <c r="BZ1185" s="343">
        <f>SUMIFS($AU1186:AU$1388,$Q1186:Q$1388,"O")</f>
        <v>-207.48466666688103</v>
      </c>
    </row>
    <row r="1186" spans="1:78" ht="15.75" customHeight="1">
      <c r="A1186" s="221" t="s">
        <v>3942</v>
      </c>
      <c r="B1186" s="177"/>
      <c r="C1186" s="178"/>
      <c r="D1186" s="178" t="s">
        <v>132</v>
      </c>
      <c r="E1186" s="227" t="s">
        <v>4200</v>
      </c>
      <c r="F1186" s="180"/>
      <c r="G1186" s="181"/>
      <c r="H1186" s="182"/>
      <c r="I1186" s="182"/>
      <c r="J1186" s="182"/>
      <c r="K1186" s="183"/>
      <c r="L1186" s="182"/>
      <c r="M1186" s="182"/>
      <c r="N1186" s="182"/>
      <c r="O1186" s="183"/>
      <c r="P1186" s="183"/>
      <c r="Q1186" s="183"/>
      <c r="R1186" s="183"/>
      <c r="S1186" s="183"/>
      <c r="T1186" s="183"/>
      <c r="U1186" s="183"/>
      <c r="V1186" s="183"/>
      <c r="W1186" s="183"/>
      <c r="X1186" s="183"/>
      <c r="Y1186" s="183"/>
      <c r="Z1186" s="185" t="str">
        <f t="shared" si="343"/>
        <v/>
      </c>
      <c r="AA1186" s="185"/>
      <c r="AB1186" s="185"/>
      <c r="AC1186" s="185"/>
      <c r="AD1186" s="649"/>
      <c r="AE1186" s="182"/>
      <c r="AF1186" s="332"/>
      <c r="AG1186" s="182"/>
      <c r="AH1186" s="182"/>
      <c r="AI1186" s="182"/>
      <c r="AJ1186" s="640"/>
      <c r="AK1186" s="182"/>
      <c r="AL1186" s="496"/>
      <c r="AM1186" s="496"/>
      <c r="AN1186" s="626"/>
      <c r="AO1186" s="182"/>
      <c r="AP1186" s="182"/>
      <c r="AQ1186" s="332" t="str">
        <f>UPPER(RIGHT(Journal_Live[[#This Row],[DURATION ]]))</f>
        <v/>
      </c>
      <c r="AR1186" s="182"/>
      <c r="AS1186" s="189"/>
      <c r="AT1186" s="189"/>
      <c r="AU1186" s="187"/>
      <c r="AV1186" s="190"/>
      <c r="AW1186" s="191"/>
      <c r="AX1186" s="407"/>
      <c r="AY1186" s="407"/>
      <c r="AZ1186" s="407"/>
      <c r="BA1186" s="407"/>
      <c r="BB1186" s="407"/>
      <c r="BC1186" s="407"/>
      <c r="BD1186" s="407"/>
      <c r="BE1186" s="407"/>
      <c r="BF1186" s="422"/>
      <c r="BG1186" s="391">
        <f>SUM($AV$4:AV1186)</f>
        <v>4228.6219092781002</v>
      </c>
      <c r="BH1186" s="392">
        <f>SUM($AU$134:AU1186)</f>
        <v>21772.002000000419</v>
      </c>
      <c r="BI1186" s="318">
        <f>SUMIFS($AU$134:AU1187,$Q$134:Q1187,"F")</f>
        <v>6166.5333333333328</v>
      </c>
      <c r="BJ1186" s="318">
        <f>SUMIFS($AU$134:AU1187,$Q$134:Q1187,"S")</f>
        <v>17151.642</v>
      </c>
      <c r="BK1186" s="343">
        <f>SUMIFS($AU$134:AU1187,$P$134:P1187,"W")</f>
        <v>13726.941999999943</v>
      </c>
      <c r="BL1186" s="343">
        <f>SUMIFS($AU$134:AU1187,$P$134:P1187,"R")</f>
        <v>9396.6733333333214</v>
      </c>
      <c r="BM1186" s="343">
        <f>SUMIFS($AU$134:AU1187,$AQ$134:AQ1187,"M")</f>
        <v>2694.0300000001416</v>
      </c>
      <c r="BN1186" s="343">
        <f>SUMIFS($AU$134:AU1187,$AQ$134:AQ1187,"H")</f>
        <v>8377.3420000000642</v>
      </c>
      <c r="BO1186" s="343">
        <f>SUMIFS($AU$134:AU1187,$AQ$134:AQ1187,"D")</f>
        <v>5538.2366666667649</v>
      </c>
      <c r="BP1186" s="343">
        <f>SUMIFS($AU$134:AU1189,$AQ$134:AQ1189,"W")</f>
        <v>3191.7633333332024</v>
      </c>
      <c r="BQ1186" s="343">
        <f>SUMIFS($AU$134:AU1187,$Q$134:Q1187,"O")</f>
        <v>-1441.3733333329176</v>
      </c>
      <c r="BR1186" s="343">
        <f>SUMIFS($AU$134:AU1187,$AA$134:AA1187,"*")</f>
        <v>19981.305333333457</v>
      </c>
      <c r="BS1186" s="343">
        <f>SUMIFS($AU$134:AU1187,$AB$134:AB1187,"*")</f>
        <v>4577.196666667046</v>
      </c>
      <c r="BT1186" s="343">
        <f>SUMIFS($AU$134:AU1187,$AC$134:AC1187,"*")</f>
        <v>11255.683333333332</v>
      </c>
      <c r="BU1186" s="343">
        <f>SUMIFS($AU$134:AU1187,$AA$134:AA1187,"*",$AB$134:AB1187,"*")</f>
        <v>2838.0000000000864</v>
      </c>
      <c r="BV1186" s="343">
        <f>SUMIFS($AU$134:AU1187,$AA$134:AA1187,"*",$AC$134:AC1187,"*")</f>
        <v>9436.7833333333328</v>
      </c>
      <c r="BW1186" s="343">
        <f>SUMIFS($AU$134:AU1187,$AB$134:AB1187,"*",$AC$134:AC1187,"*")</f>
        <v>6014.6</v>
      </c>
      <c r="BX1186" s="343">
        <f>SUMIFS($AU1187:AU$1388,$Q1187:Q$1388,"F")</f>
        <v>8274.1333333333332</v>
      </c>
      <c r="BY1186" s="343">
        <f>SUMIFS($AU1187:AU$1388,$Q1187:Q$1388,"S")</f>
        <v>3520</v>
      </c>
      <c r="BZ1186" s="343">
        <f>SUMIFS($AU1187:AU$1388,$Q1187:Q$1388,"O")</f>
        <v>-207.48466666688103</v>
      </c>
    </row>
    <row r="1187" spans="1:78" ht="15.75" customHeight="1">
      <c r="A1187" s="221" t="s">
        <v>3942</v>
      </c>
      <c r="B1187" s="177"/>
      <c r="C1187" s="178"/>
      <c r="D1187" s="178" t="s">
        <v>132</v>
      </c>
      <c r="E1187" s="227" t="s">
        <v>4201</v>
      </c>
      <c r="F1187" s="180"/>
      <c r="G1187" s="181"/>
      <c r="H1187" s="182"/>
      <c r="I1187" s="182"/>
      <c r="J1187" s="182"/>
      <c r="K1187" s="183"/>
      <c r="L1187" s="182"/>
      <c r="M1187" s="182"/>
      <c r="N1187" s="182"/>
      <c r="O1187" s="183"/>
      <c r="P1187" s="183"/>
      <c r="Q1187" s="183"/>
      <c r="R1187" s="183"/>
      <c r="S1187" s="183"/>
      <c r="T1187" s="183"/>
      <c r="U1187" s="183"/>
      <c r="V1187" s="183"/>
      <c r="W1187" s="183"/>
      <c r="X1187" s="183"/>
      <c r="Y1187" s="183"/>
      <c r="Z1187" s="185" t="str">
        <f t="shared" si="343"/>
        <v/>
      </c>
      <c r="AA1187" s="185"/>
      <c r="AB1187" s="185"/>
      <c r="AC1187" s="185"/>
      <c r="AD1187" s="649"/>
      <c r="AE1187" s="182"/>
      <c r="AF1187" s="332"/>
      <c r="AG1187" s="182"/>
      <c r="AH1187" s="182"/>
      <c r="AI1187" s="182"/>
      <c r="AJ1187" s="640"/>
      <c r="AK1187" s="182"/>
      <c r="AL1187" s="496"/>
      <c r="AM1187" s="496"/>
      <c r="AN1187" s="626"/>
      <c r="AO1187" s="182"/>
      <c r="AP1187" s="182"/>
      <c r="AQ1187" s="332" t="str">
        <f>UPPER(RIGHT(Journal_Live[[#This Row],[DURATION ]]))</f>
        <v/>
      </c>
      <c r="AR1187" s="182"/>
      <c r="AS1187" s="189"/>
      <c r="AT1187" s="189"/>
      <c r="AU1187" s="187"/>
      <c r="AV1187" s="190"/>
      <c r="AW1187" s="191"/>
      <c r="AX1187" s="407"/>
      <c r="AY1187" s="407"/>
      <c r="AZ1187" s="407"/>
      <c r="BA1187" s="407"/>
      <c r="BB1187" s="407"/>
      <c r="BC1187" s="407"/>
      <c r="BD1187" s="407"/>
      <c r="BE1187" s="407"/>
      <c r="BF1187" s="422"/>
      <c r="BG1187" s="391">
        <f>SUM($AV$4:AV1187)</f>
        <v>4228.6219092781002</v>
      </c>
      <c r="BH1187" s="392">
        <f>SUM($AU$134:AU1187)</f>
        <v>21772.002000000419</v>
      </c>
      <c r="BI1187" s="318">
        <f>SUMIFS($AU$134:AU1188,$Q$134:Q1188,"F")</f>
        <v>6166.5333333333328</v>
      </c>
      <c r="BJ1187" s="318">
        <f>SUMIFS($AU$134:AU1188,$Q$134:Q1188,"S")</f>
        <v>17375.642</v>
      </c>
      <c r="BK1187" s="343">
        <f>SUMIFS($AU$134:AU1188,$P$134:P1188,"W")</f>
        <v>13950.941999999943</v>
      </c>
      <c r="BL1187" s="343">
        <f>SUMIFS($AU$134:AU1188,$P$134:P1188,"R")</f>
        <v>9396.6733333333214</v>
      </c>
      <c r="BM1187" s="343">
        <f>SUMIFS($AU$134:AU1188,$AQ$134:AQ1188,"M")</f>
        <v>2694.0300000001416</v>
      </c>
      <c r="BN1187" s="343">
        <f>SUMIFS($AU$134:AU1188,$AQ$134:AQ1188,"H")</f>
        <v>8601.3420000000642</v>
      </c>
      <c r="BO1187" s="343">
        <f>SUMIFS($AU$134:AU1188,$AQ$134:AQ1188,"D")</f>
        <v>5538.2366666667649</v>
      </c>
      <c r="BP1187" s="343">
        <f>SUMIFS($AU$134:AU1190,$AQ$134:AQ1190,"W")</f>
        <v>3191.7633333332024</v>
      </c>
      <c r="BQ1187" s="343">
        <f>SUMIFS($AU$134:AU1188,$Q$134:Q1188,"O")</f>
        <v>-1441.3733333329176</v>
      </c>
      <c r="BR1187" s="343">
        <f>SUMIFS($AU$134:AU1188,$AA$134:AA1188,"*")</f>
        <v>20205.305333333457</v>
      </c>
      <c r="BS1187" s="343">
        <f>SUMIFS($AU$134:AU1188,$AB$134:AB1188,"*")</f>
        <v>4577.196666667046</v>
      </c>
      <c r="BT1187" s="343">
        <f>SUMIFS($AU$134:AU1188,$AC$134:AC1188,"*")</f>
        <v>11255.683333333332</v>
      </c>
      <c r="BU1187" s="343">
        <f>SUMIFS($AU$134:AU1188,$AA$134:AA1188,"*",$AB$134:AB1188,"*")</f>
        <v>2838.0000000000864</v>
      </c>
      <c r="BV1187" s="343">
        <f>SUMIFS($AU$134:AU1188,$AA$134:AA1188,"*",$AC$134:AC1188,"*")</f>
        <v>9436.7833333333328</v>
      </c>
      <c r="BW1187" s="343">
        <f>SUMIFS($AU$134:AU1188,$AB$134:AB1188,"*",$AC$134:AC1188,"*")</f>
        <v>6014.6</v>
      </c>
      <c r="BX1187" s="343">
        <f>SUMIFS($AU1188:AU$1388,$Q1188:Q$1388,"F")</f>
        <v>8274.1333333333332</v>
      </c>
      <c r="BY1187" s="343">
        <f>SUMIFS($AU1188:AU$1388,$Q1188:Q$1388,"S")</f>
        <v>3520</v>
      </c>
      <c r="BZ1187" s="343">
        <f>SUMIFS($AU1188:AU$1388,$Q1188:Q$1388,"O")</f>
        <v>-207.48466666688103</v>
      </c>
    </row>
    <row r="1188" spans="1:78" ht="15.75" customHeight="1">
      <c r="A1188" s="221" t="s">
        <v>3942</v>
      </c>
      <c r="B1188" s="177">
        <v>45229</v>
      </c>
      <c r="C1188" s="178" t="s">
        <v>4202</v>
      </c>
      <c r="D1188" s="178" t="s">
        <v>132</v>
      </c>
      <c r="E1188" s="227"/>
      <c r="F1188" s="180"/>
      <c r="G1188" s="281" t="s">
        <v>181</v>
      </c>
      <c r="H1188" s="182"/>
      <c r="I1188" s="182"/>
      <c r="J1188" s="182"/>
      <c r="K1188" s="183"/>
      <c r="L1188" s="182">
        <v>1</v>
      </c>
      <c r="M1188" s="182"/>
      <c r="N1188" s="182"/>
      <c r="O1188" s="183" t="s">
        <v>95</v>
      </c>
      <c r="P1188" s="183" t="s">
        <v>96</v>
      </c>
      <c r="Q1188" s="183" t="s">
        <v>97</v>
      </c>
      <c r="R1188" s="183">
        <v>14</v>
      </c>
      <c r="S1188" s="183">
        <v>0</v>
      </c>
      <c r="T1188" s="183">
        <v>14</v>
      </c>
      <c r="U1188" s="183" t="s">
        <v>97</v>
      </c>
      <c r="V1188" s="183"/>
      <c r="W1188" s="183"/>
      <c r="X1188" s="183"/>
      <c r="Y1188" s="184">
        <f>IF(ISBLANK(O1188),"",(IF(O1188=UPPER("IB"),0.005,0.01)))</f>
        <v>0.01</v>
      </c>
      <c r="Z1188" s="185">
        <f t="shared" si="343"/>
        <v>1600</v>
      </c>
      <c r="AA1188" s="185" t="s">
        <v>3335</v>
      </c>
      <c r="AB1188" s="185"/>
      <c r="AC1188" s="185"/>
      <c r="AD1188" s="649">
        <v>0.08</v>
      </c>
      <c r="AE1188" s="182"/>
      <c r="AF1188" s="332"/>
      <c r="AG1188" s="182"/>
      <c r="AH1188" s="182"/>
      <c r="AI1188" s="182"/>
      <c r="AJ1188" s="640"/>
      <c r="AK1188" s="182"/>
      <c r="AL1188" s="496"/>
      <c r="AM1188" s="496"/>
      <c r="AN1188" s="626"/>
      <c r="AO1188" s="182"/>
      <c r="AP1188" s="182" t="s">
        <v>1084</v>
      </c>
      <c r="AQ1188" s="332" t="str">
        <f>UPPER(RIGHT(Journal_Live[[#This Row],[DURATION ]]))</f>
        <v>H</v>
      </c>
      <c r="AR1188" s="182" t="s">
        <v>4203</v>
      </c>
      <c r="AS1188" s="189">
        <v>7.0000000000000007E-2</v>
      </c>
      <c r="AT1188" s="189">
        <f t="shared" ref="AT1188:AT1195" si="344">IF(ISBLANK(AS1188),,IF(U1188="S",AD1188-AS1188,AS1188-AD1188))</f>
        <v>9.999999999999995E-3</v>
      </c>
      <c r="AU1188" s="187">
        <f t="shared" ref="AU1188:AU1195" si="345">AV1188*R1188</f>
        <v>223.99999999999989</v>
      </c>
      <c r="AV1188" s="190">
        <f t="shared" ref="AV1188:AV1195" si="346">IF(ISBLANK(AS1188),,(AT1188*Z1188))</f>
        <v>15.999999999999993</v>
      </c>
      <c r="AW1188" s="191" t="s">
        <v>96</v>
      </c>
      <c r="AX1188" s="407"/>
      <c r="AY1188" s="407"/>
      <c r="AZ1188" s="407"/>
      <c r="BA1188" s="407"/>
      <c r="BB1188" s="407"/>
      <c r="BC1188" s="407"/>
      <c r="BD1188" s="407"/>
      <c r="BE1188" s="407"/>
      <c r="BF1188" s="422"/>
      <c r="BG1188" s="391">
        <f>SUM($AV$4:AV1188)</f>
        <v>4244.6219092781002</v>
      </c>
      <c r="BH1188" s="392">
        <f>SUM($AU$134:AU1188)</f>
        <v>21996.002000000419</v>
      </c>
      <c r="BI1188" s="318">
        <f>SUMIFS($AU$134:AU1189,$Q$134:Q1189,"F")</f>
        <v>6166.5333333333328</v>
      </c>
      <c r="BJ1188" s="318">
        <f>SUMIFS($AU$134:AU1189,$Q$134:Q1189,"S")</f>
        <v>17599.642</v>
      </c>
      <c r="BK1188" s="343">
        <f>SUMIFS($AU$134:AU1189,$P$134:P1189,"W")</f>
        <v>14174.941999999943</v>
      </c>
      <c r="BL1188" s="343">
        <f>SUMIFS($AU$134:AU1189,$P$134:P1189,"R")</f>
        <v>9396.6733333333214</v>
      </c>
      <c r="BM1188" s="343">
        <f>SUMIFS($AU$134:AU1189,$AQ$134:AQ1189,"M")</f>
        <v>2694.0300000001416</v>
      </c>
      <c r="BN1188" s="343">
        <f>SUMIFS($AU$134:AU1189,$AQ$134:AQ1189,"H")</f>
        <v>8601.3420000000642</v>
      </c>
      <c r="BO1188" s="343">
        <f>SUMIFS($AU$134:AU1189,$AQ$134:AQ1189,"D")</f>
        <v>5762.2366666667649</v>
      </c>
      <c r="BP1188" s="343">
        <f>SUMIFS($AU$134:AU1191,$AQ$134:AQ1191,"W")</f>
        <v>3191.7633333332024</v>
      </c>
      <c r="BQ1188" s="343">
        <f>SUMIFS($AU$134:AU1189,$Q$134:Q1189,"O")</f>
        <v>-1441.3733333329176</v>
      </c>
      <c r="BR1188" s="343">
        <f>SUMIFS($AU$134:AU1189,$AA$134:AA1189,"*")</f>
        <v>20429.305333333457</v>
      </c>
      <c r="BS1188" s="343">
        <f>SUMIFS($AU$134:AU1189,$AB$134:AB1189,"*")</f>
        <v>4577.196666667046</v>
      </c>
      <c r="BT1188" s="343">
        <f>SUMIFS($AU$134:AU1189,$AC$134:AC1189,"*")</f>
        <v>11255.683333333332</v>
      </c>
      <c r="BU1188" s="343">
        <f>SUMIFS($AU$134:AU1189,$AA$134:AA1189,"*",$AB$134:AB1189,"*")</f>
        <v>2838.0000000000864</v>
      </c>
      <c r="BV1188" s="343">
        <f>SUMIFS($AU$134:AU1189,$AA$134:AA1189,"*",$AC$134:AC1189,"*")</f>
        <v>9436.7833333333328</v>
      </c>
      <c r="BW1188" s="343">
        <f>SUMIFS($AU$134:AU1189,$AB$134:AB1189,"*",$AC$134:AC1189,"*")</f>
        <v>6014.6</v>
      </c>
      <c r="BX1188" s="343">
        <f>SUMIFS($AU1189:AU$1388,$Q1189:Q$1388,"F")</f>
        <v>8274.1333333333332</v>
      </c>
      <c r="BY1188" s="343">
        <f>SUMIFS($AU1189:AU$1388,$Q1189:Q$1388,"S")</f>
        <v>3296</v>
      </c>
      <c r="BZ1188" s="343">
        <f>SUMIFS($AU1189:AU$1388,$Q1189:Q$1388,"O")</f>
        <v>-207.48466666688103</v>
      </c>
    </row>
    <row r="1189" spans="1:78" ht="15.75" customHeight="1">
      <c r="A1189" s="221" t="s">
        <v>3942</v>
      </c>
      <c r="B1189" s="177">
        <v>45229</v>
      </c>
      <c r="C1189" s="178" t="s">
        <v>4204</v>
      </c>
      <c r="D1189" s="178" t="s">
        <v>132</v>
      </c>
      <c r="E1189" s="227"/>
      <c r="F1189" s="180"/>
      <c r="G1189" s="281" t="s">
        <v>2942</v>
      </c>
      <c r="H1189" s="182"/>
      <c r="I1189" s="182"/>
      <c r="J1189" s="182"/>
      <c r="K1189" s="183"/>
      <c r="L1189" s="182">
        <v>1</v>
      </c>
      <c r="M1189" s="182"/>
      <c r="N1189" s="182"/>
      <c r="O1189" s="183" t="s">
        <v>95</v>
      </c>
      <c r="P1189" s="183" t="s">
        <v>96</v>
      </c>
      <c r="Q1189" s="183" t="s">
        <v>97</v>
      </c>
      <c r="R1189" s="183">
        <v>14</v>
      </c>
      <c r="S1189" s="183">
        <v>1</v>
      </c>
      <c r="T1189" s="183">
        <v>14</v>
      </c>
      <c r="U1189" s="183" t="s">
        <v>22</v>
      </c>
      <c r="V1189" s="183"/>
      <c r="W1189" s="183"/>
      <c r="X1189" s="183"/>
      <c r="Y1189" s="184">
        <f>IF(ISBLANK(O1189),"",(IF(O1189=UPPER("IB"),0.005,0.01)))</f>
        <v>0.01</v>
      </c>
      <c r="Z1189" s="185">
        <f t="shared" si="343"/>
        <v>1600</v>
      </c>
      <c r="AA1189" s="185" t="s">
        <v>4205</v>
      </c>
      <c r="AB1189" s="185"/>
      <c r="AC1189" s="185"/>
      <c r="AD1189" s="649">
        <v>-0.04</v>
      </c>
      <c r="AE1189" s="182"/>
      <c r="AF1189" s="332"/>
      <c r="AG1189" s="182"/>
      <c r="AH1189" s="182"/>
      <c r="AI1189" s="182"/>
      <c r="AJ1189" s="640"/>
      <c r="AK1189" s="182"/>
      <c r="AL1189" s="496"/>
      <c r="AM1189" s="496"/>
      <c r="AN1189" s="626"/>
      <c r="AO1189" s="182"/>
      <c r="AP1189" s="182" t="s">
        <v>589</v>
      </c>
      <c r="AQ1189" s="332" t="str">
        <f>UPPER(RIGHT(Journal_Live[[#This Row],[DURATION ]]))</f>
        <v>D</v>
      </c>
      <c r="AR1189" s="182" t="s">
        <v>4206</v>
      </c>
      <c r="AS1189" s="189">
        <f>((-0.03*1)+(-0.03*13))/14</f>
        <v>-3.0000000000000002E-2</v>
      </c>
      <c r="AT1189" s="189">
        <f t="shared" si="344"/>
        <v>9.9999999999999985E-3</v>
      </c>
      <c r="AU1189" s="187">
        <f t="shared" si="345"/>
        <v>223.99999999999997</v>
      </c>
      <c r="AV1189" s="190">
        <f t="shared" si="346"/>
        <v>15.999999999999998</v>
      </c>
      <c r="AW1189" s="191" t="s">
        <v>96</v>
      </c>
      <c r="AX1189" s="407"/>
      <c r="AY1189" s="407"/>
      <c r="AZ1189" s="407"/>
      <c r="BA1189" s="407"/>
      <c r="BB1189" s="407"/>
      <c r="BC1189" s="407"/>
      <c r="BD1189" s="407"/>
      <c r="BE1189" s="407"/>
      <c r="BF1189" s="422"/>
      <c r="BG1189" s="391">
        <f>SUM($AV$4:AV1189)</f>
        <v>4260.6219092781002</v>
      </c>
      <c r="BH1189" s="392">
        <f>SUM($AU$134:AU1189)</f>
        <v>22220.002000000419</v>
      </c>
      <c r="BI1189" s="318">
        <f>SUMIFS($AU$134:AU1190,$Q$134:Q1190,"F")</f>
        <v>6166.5333333333328</v>
      </c>
      <c r="BJ1189" s="318">
        <f>SUMIFS($AU$134:AU1190,$Q$134:Q1190,"S")</f>
        <v>17679.642</v>
      </c>
      <c r="BK1189" s="343">
        <f>SUMIFS($AU$134:AU1190,$P$134:P1190,"W")</f>
        <v>14254.941999999943</v>
      </c>
      <c r="BL1189" s="343">
        <f>SUMIFS($AU$134:AU1190,$P$134:P1190,"R")</f>
        <v>9396.6733333333214</v>
      </c>
      <c r="BM1189" s="343">
        <f>SUMIFS($AU$134:AU1190,$AQ$134:AQ1190,"M")</f>
        <v>2694.0300000001416</v>
      </c>
      <c r="BN1189" s="343">
        <f>SUMIFS($AU$134:AU1190,$AQ$134:AQ1190,"H")</f>
        <v>8681.3420000000642</v>
      </c>
      <c r="BO1189" s="343">
        <f>SUMIFS($AU$134:AU1190,$AQ$134:AQ1190,"D")</f>
        <v>5762.2366666667649</v>
      </c>
      <c r="BP1189" s="343">
        <f>SUMIFS($AU$134:AU1192,$AQ$134:AQ1192,"W")</f>
        <v>3191.7633333332024</v>
      </c>
      <c r="BQ1189" s="343">
        <f>SUMIFS($AU$134:AU1190,$Q$134:Q1190,"O")</f>
        <v>-1441.3733333329176</v>
      </c>
      <c r="BR1189" s="343">
        <f>SUMIFS($AU$134:AU1190,$AA$134:AA1190,"*")</f>
        <v>20509.305333333457</v>
      </c>
      <c r="BS1189" s="343">
        <f>SUMIFS($AU$134:AU1190,$AB$134:AB1190,"*")</f>
        <v>4577.196666667046</v>
      </c>
      <c r="BT1189" s="343">
        <f>SUMIFS($AU$134:AU1190,$AC$134:AC1190,"*")</f>
        <v>11255.683333333332</v>
      </c>
      <c r="BU1189" s="343">
        <f>SUMIFS($AU$134:AU1190,$AA$134:AA1190,"*",$AB$134:AB1190,"*")</f>
        <v>2838.0000000000864</v>
      </c>
      <c r="BV1189" s="343">
        <f>SUMIFS($AU$134:AU1190,$AA$134:AA1190,"*",$AC$134:AC1190,"*")</f>
        <v>9436.7833333333328</v>
      </c>
      <c r="BW1189" s="343">
        <f>SUMIFS($AU$134:AU1190,$AB$134:AB1190,"*",$AC$134:AC1190,"*")</f>
        <v>6014.6</v>
      </c>
      <c r="BX1189" s="343">
        <f>SUMIFS($AU1190:AU$1388,$Q1190:Q$1388,"F")</f>
        <v>8274.1333333333332</v>
      </c>
      <c r="BY1189" s="343">
        <f>SUMIFS($AU1190:AU$1388,$Q1190:Q$1388,"S")</f>
        <v>3072.0000000000009</v>
      </c>
      <c r="BZ1189" s="343">
        <f>SUMIFS($AU1190:AU$1388,$Q1190:Q$1388,"O")</f>
        <v>-207.48466666688103</v>
      </c>
    </row>
    <row r="1190" spans="1:78" ht="15.75" customHeight="1">
      <c r="A1190" s="221" t="s">
        <v>3942</v>
      </c>
      <c r="B1190" s="177">
        <v>45229</v>
      </c>
      <c r="C1190" s="178" t="s">
        <v>2060</v>
      </c>
      <c r="D1190" s="178" t="s">
        <v>132</v>
      </c>
      <c r="E1190" s="227"/>
      <c r="F1190" s="180"/>
      <c r="G1190" s="181" t="s">
        <v>2145</v>
      </c>
      <c r="H1190" s="182"/>
      <c r="I1190" s="182"/>
      <c r="J1190" s="182"/>
      <c r="K1190" s="183"/>
      <c r="L1190" s="182">
        <v>1</v>
      </c>
      <c r="M1190" s="182"/>
      <c r="N1190" s="182"/>
      <c r="O1190" s="183" t="s">
        <v>95</v>
      </c>
      <c r="P1190" s="183" t="s">
        <v>96</v>
      </c>
      <c r="Q1190" s="183" t="s">
        <v>97</v>
      </c>
      <c r="R1190" s="183">
        <v>5</v>
      </c>
      <c r="S1190" s="183">
        <v>0</v>
      </c>
      <c r="T1190" s="183">
        <v>5</v>
      </c>
      <c r="U1190" s="183" t="s">
        <v>97</v>
      </c>
      <c r="V1190" s="183"/>
      <c r="W1190" s="183"/>
      <c r="X1190" s="183"/>
      <c r="Y1190" s="184">
        <f>IF(ISBLANK(O1190),"",(IF(O1190=UPPER("IB"),0.005,0.01)))</f>
        <v>0.01</v>
      </c>
      <c r="Z1190" s="185">
        <f t="shared" si="343"/>
        <v>1600</v>
      </c>
      <c r="AA1190" s="185" t="s">
        <v>4207</v>
      </c>
      <c r="AB1190" s="185"/>
      <c r="AC1190" s="185"/>
      <c r="AD1190" s="649">
        <v>0.22</v>
      </c>
      <c r="AE1190" s="182"/>
      <c r="AF1190" s="332"/>
      <c r="AG1190" s="182"/>
      <c r="AH1190" s="182"/>
      <c r="AI1190" s="182"/>
      <c r="AJ1190" s="640"/>
      <c r="AK1190" s="182"/>
      <c r="AL1190" s="496"/>
      <c r="AM1190" s="496"/>
      <c r="AN1190" s="626"/>
      <c r="AO1190" s="182"/>
      <c r="AP1190" s="182" t="s">
        <v>1017</v>
      </c>
      <c r="AQ1190" s="332" t="str">
        <f>UPPER(RIGHT(Journal_Live[[#This Row],[DURATION ]]))</f>
        <v>H</v>
      </c>
      <c r="AR1190" s="182" t="s">
        <v>4208</v>
      </c>
      <c r="AS1190" s="189">
        <v>0.21</v>
      </c>
      <c r="AT1190" s="189">
        <f t="shared" si="344"/>
        <v>1.0000000000000009E-2</v>
      </c>
      <c r="AU1190" s="187">
        <f t="shared" si="345"/>
        <v>80.000000000000071</v>
      </c>
      <c r="AV1190" s="190">
        <f t="shared" si="346"/>
        <v>16.000000000000014</v>
      </c>
      <c r="AW1190" s="191" t="s">
        <v>96</v>
      </c>
      <c r="AX1190" s="407" t="s">
        <v>4209</v>
      </c>
      <c r="AY1190" s="407"/>
      <c r="AZ1190" s="407"/>
      <c r="BA1190" s="407"/>
      <c r="BB1190" s="407"/>
      <c r="BC1190" s="407"/>
      <c r="BD1190" s="407"/>
      <c r="BE1190" s="407"/>
      <c r="BF1190" s="422"/>
      <c r="BG1190" s="391">
        <f>SUM($AV$4:AV1190)</f>
        <v>4276.6219092781002</v>
      </c>
      <c r="BH1190" s="392">
        <f>SUM($AU$134:AU1190)</f>
        <v>22300.002000000419</v>
      </c>
      <c r="BI1190" s="318">
        <f>SUMIFS($AU$134:AU1191,$Q$134:Q1191,"F")</f>
        <v>6166.5333333333328</v>
      </c>
      <c r="BJ1190" s="318">
        <f>SUMIFS($AU$134:AU1191,$Q$134:Q1191,"S")</f>
        <v>17679.642</v>
      </c>
      <c r="BK1190" s="343">
        <f>SUMIFS($AU$134:AU1191,$P$134:P1191,"W")</f>
        <v>14254.941999999943</v>
      </c>
      <c r="BL1190" s="343">
        <f>SUMIFS($AU$134:AU1191,$P$134:P1191,"R")</f>
        <v>9396.6733333333214</v>
      </c>
      <c r="BM1190" s="343">
        <f>SUMIFS($AU$134:AU1191,$AQ$134:AQ1191,"M")</f>
        <v>2694.0300000001416</v>
      </c>
      <c r="BN1190" s="343">
        <f>SUMIFS($AU$134:AU1191,$AQ$134:AQ1191,"H")</f>
        <v>8681.3420000000642</v>
      </c>
      <c r="BO1190" s="343">
        <f>SUMIFS($AU$134:AU1191,$AQ$134:AQ1191,"D")</f>
        <v>5762.2366666667649</v>
      </c>
      <c r="BP1190" s="343">
        <f>SUMIFS($AU$134:AU1193,$AQ$134:AQ1193,"W")</f>
        <v>3191.7633333332024</v>
      </c>
      <c r="BQ1190" s="343">
        <f>SUMIFS($AU$134:AU1191,$Q$134:Q1191,"O")</f>
        <v>-1441.3733333329176</v>
      </c>
      <c r="BR1190" s="343">
        <f>SUMIFS($AU$134:AU1191,$AA$134:AA1191,"*")</f>
        <v>20509.305333333457</v>
      </c>
      <c r="BS1190" s="343">
        <f>SUMIFS($AU$134:AU1191,$AB$134:AB1191,"*")</f>
        <v>4577.196666667046</v>
      </c>
      <c r="BT1190" s="343">
        <f>SUMIFS($AU$134:AU1191,$AC$134:AC1191,"*")</f>
        <v>11255.683333333332</v>
      </c>
      <c r="BU1190" s="343">
        <f>SUMIFS($AU$134:AU1191,$AA$134:AA1191,"*",$AB$134:AB1191,"*")</f>
        <v>2838.0000000000864</v>
      </c>
      <c r="BV1190" s="343">
        <f>SUMIFS($AU$134:AU1191,$AA$134:AA1191,"*",$AC$134:AC1191,"*")</f>
        <v>9436.7833333333328</v>
      </c>
      <c r="BW1190" s="343">
        <f>SUMIFS($AU$134:AU1191,$AB$134:AB1191,"*",$AC$134:AC1191,"*")</f>
        <v>6014.6</v>
      </c>
      <c r="BX1190" s="343">
        <f>SUMIFS($AU1191:AU$1388,$Q1191:Q$1388,"F")</f>
        <v>8274.1333333333332</v>
      </c>
      <c r="BY1190" s="343">
        <f>SUMIFS($AU1191:AU$1388,$Q1191:Q$1388,"S")</f>
        <v>2992</v>
      </c>
      <c r="BZ1190" s="343">
        <f>SUMIFS($AU1191:AU$1388,$Q1191:Q$1388,"O")</f>
        <v>-207.48466666688103</v>
      </c>
    </row>
    <row r="1191" spans="1:78" ht="15.75" customHeight="1">
      <c r="A1191" s="221" t="s">
        <v>3942</v>
      </c>
      <c r="B1191" s="177">
        <v>45230</v>
      </c>
      <c r="C1191" s="178" t="s">
        <v>4210</v>
      </c>
      <c r="D1191" s="178" t="s">
        <v>146</v>
      </c>
      <c r="E1191" s="227" t="s">
        <v>4211</v>
      </c>
      <c r="F1191" s="180" t="s">
        <v>4212</v>
      </c>
      <c r="G1191" s="181"/>
      <c r="H1191" s="182"/>
      <c r="I1191" s="182"/>
      <c r="J1191" s="182"/>
      <c r="K1191" s="183"/>
      <c r="L1191" s="182"/>
      <c r="M1191" s="182"/>
      <c r="N1191" s="182"/>
      <c r="O1191" s="183"/>
      <c r="P1191" s="183"/>
      <c r="Q1191" s="183"/>
      <c r="R1191" s="183"/>
      <c r="S1191" s="183"/>
      <c r="T1191" s="183"/>
      <c r="U1191" s="183"/>
      <c r="V1191" s="183"/>
      <c r="W1191" s="183"/>
      <c r="X1191" s="183"/>
      <c r="Y1191" s="183"/>
      <c r="Z1191" s="185" t="str">
        <f t="shared" si="343"/>
        <v/>
      </c>
      <c r="AA1191" s="185"/>
      <c r="AB1191" s="185"/>
      <c r="AC1191" s="185"/>
      <c r="AD1191" s="649"/>
      <c r="AE1191" s="182"/>
      <c r="AF1191" s="332"/>
      <c r="AG1191" s="182"/>
      <c r="AH1191" s="182"/>
      <c r="AI1191" s="182"/>
      <c r="AJ1191" s="640"/>
      <c r="AK1191" s="182"/>
      <c r="AL1191" s="496"/>
      <c r="AM1191" s="496"/>
      <c r="AN1191" s="626"/>
      <c r="AO1191" s="182"/>
      <c r="AP1191" s="182"/>
      <c r="AQ1191" s="332" t="str">
        <f>UPPER(RIGHT(Journal_Live[[#This Row],[DURATION ]]))</f>
        <v/>
      </c>
      <c r="AR1191" s="182"/>
      <c r="AS1191" s="189"/>
      <c r="AT1191" s="189">
        <f t="shared" si="344"/>
        <v>0</v>
      </c>
      <c r="AU1191" s="187">
        <f t="shared" si="345"/>
        <v>0</v>
      </c>
      <c r="AV1191" s="190">
        <f t="shared" si="346"/>
        <v>0</v>
      </c>
      <c r="AW1191" s="191"/>
      <c r="AX1191" s="407"/>
      <c r="AY1191" s="407"/>
      <c r="AZ1191" s="407"/>
      <c r="BA1191" s="407"/>
      <c r="BB1191" s="407"/>
      <c r="BC1191" s="407"/>
      <c r="BD1191" s="407"/>
      <c r="BE1191" s="407"/>
      <c r="BF1191" s="422"/>
      <c r="BG1191" s="391">
        <f>SUM($AV$4:AV1191)</f>
        <v>4276.6219092781002</v>
      </c>
      <c r="BH1191" s="392">
        <f>SUM($AU$134:AU1191)</f>
        <v>22300.002000000419</v>
      </c>
      <c r="BI1191" s="318">
        <f>SUMIFS($AU$134:AU1192,$Q$134:Q1192,"F")</f>
        <v>6166.5333333333328</v>
      </c>
      <c r="BJ1191" s="318">
        <f>SUMIFS($AU$134:AU1192,$Q$134:Q1192,"S")</f>
        <v>17679.642</v>
      </c>
      <c r="BK1191" s="343">
        <f>SUMIFS($AU$134:AU1192,$P$134:P1192,"W")</f>
        <v>14254.941999999943</v>
      </c>
      <c r="BL1191" s="343">
        <f>SUMIFS($AU$134:AU1192,$P$134:P1192,"R")</f>
        <v>9396.6733333333214</v>
      </c>
      <c r="BM1191" s="343">
        <f>SUMIFS($AU$134:AU1192,$AQ$134:AQ1192,"M")</f>
        <v>2658.0300000001744</v>
      </c>
      <c r="BN1191" s="343">
        <f>SUMIFS($AU$134:AU1192,$AQ$134:AQ1192,"H")</f>
        <v>8681.3420000000642</v>
      </c>
      <c r="BO1191" s="343">
        <f>SUMIFS($AU$134:AU1192,$AQ$134:AQ1192,"D")</f>
        <v>5762.2366666667649</v>
      </c>
      <c r="BP1191" s="343">
        <f>SUMIFS($AU$134:AU1194,$AQ$134:AQ1194,"W")</f>
        <v>3191.7633333332024</v>
      </c>
      <c r="BQ1191" s="343">
        <f>SUMIFS($AU$134:AU1192,$Q$134:Q1192,"O")</f>
        <v>-1477.3733333328848</v>
      </c>
      <c r="BR1191" s="343">
        <f>SUMIFS($AU$134:AU1192,$AA$134:AA1192,"*")</f>
        <v>20473.30533333349</v>
      </c>
      <c r="BS1191" s="343">
        <f>SUMIFS($AU$134:AU1192,$AB$134:AB1192,"*")</f>
        <v>4577.196666667046</v>
      </c>
      <c r="BT1191" s="343">
        <f>SUMIFS($AU$134:AU1192,$AC$134:AC1192,"*")</f>
        <v>11255.683333333332</v>
      </c>
      <c r="BU1191" s="343">
        <f>SUMIFS($AU$134:AU1192,$AA$134:AA1192,"*",$AB$134:AB1192,"*")</f>
        <v>2838.0000000000864</v>
      </c>
      <c r="BV1191" s="343">
        <f>SUMIFS($AU$134:AU1192,$AA$134:AA1192,"*",$AC$134:AC1192,"*")</f>
        <v>9436.7833333333328</v>
      </c>
      <c r="BW1191" s="343">
        <f>SUMIFS($AU$134:AU1192,$AB$134:AB1192,"*",$AC$134:AC1192,"*")</f>
        <v>6014.6</v>
      </c>
      <c r="BX1191" s="343">
        <f>SUMIFS($AU1192:AU$1388,$Q1192:Q$1388,"F")</f>
        <v>8274.1333333333332</v>
      </c>
      <c r="BY1191" s="343">
        <f>SUMIFS($AU1192:AU$1388,$Q1192:Q$1388,"S")</f>
        <v>2992</v>
      </c>
      <c r="BZ1191" s="343">
        <f>SUMIFS($AU1192:AU$1388,$Q1192:Q$1388,"O")</f>
        <v>-207.48466666688103</v>
      </c>
    </row>
    <row r="1192" spans="1:78" ht="15.75" customHeight="1">
      <c r="A1192" s="221" t="s">
        <v>3942</v>
      </c>
      <c r="B1192" s="177">
        <v>45230</v>
      </c>
      <c r="C1192" s="178" t="s">
        <v>4213</v>
      </c>
      <c r="D1192" s="178" t="s">
        <v>146</v>
      </c>
      <c r="E1192" s="227"/>
      <c r="F1192" s="180"/>
      <c r="G1192" s="281" t="s">
        <v>4091</v>
      </c>
      <c r="H1192" s="182"/>
      <c r="I1192" s="182"/>
      <c r="J1192" s="182"/>
      <c r="K1192" s="183"/>
      <c r="L1192" s="182"/>
      <c r="M1192" s="182">
        <v>2</v>
      </c>
      <c r="N1192" s="182"/>
      <c r="O1192" s="183" t="s">
        <v>3618</v>
      </c>
      <c r="P1192" s="183" t="s">
        <v>2260</v>
      </c>
      <c r="Q1192" s="183" t="s">
        <v>684</v>
      </c>
      <c r="R1192" s="183">
        <v>1</v>
      </c>
      <c r="S1192" s="183">
        <v>0</v>
      </c>
      <c r="T1192" s="183">
        <v>1</v>
      </c>
      <c r="U1192" s="183" t="s">
        <v>97</v>
      </c>
      <c r="V1192" s="183"/>
      <c r="W1192" s="183"/>
      <c r="X1192" s="183"/>
      <c r="Y1192" s="184">
        <f>IF(ISBLANK(O1192),"",(IF(O1192=UPPER("IB"),0.005,0.01)))</f>
        <v>0.01</v>
      </c>
      <c r="Z1192" s="185">
        <f>IF(ISBLANK(O1192),"",IF(O1192="IB",8.63*200,IF(O1192="IR",16*100,IF(O1192="YT",20*100,IF(O1192="YT-XT",24*200,IF(O1192="TED",80*100,IF(O1192="XT",36*200)))))))</f>
        <v>7200</v>
      </c>
      <c r="AA1192" s="185" t="s">
        <v>2469</v>
      </c>
      <c r="AB1192" s="185"/>
      <c r="AC1192" s="185"/>
      <c r="AD1192" s="649">
        <v>95.03</v>
      </c>
      <c r="AE1192" s="182"/>
      <c r="AF1192" s="332"/>
      <c r="AG1192" s="182"/>
      <c r="AH1192" s="182"/>
      <c r="AI1192" s="182"/>
      <c r="AJ1192" s="640"/>
      <c r="AK1192" s="182"/>
      <c r="AL1192" s="496"/>
      <c r="AM1192" s="496"/>
      <c r="AN1192" s="626"/>
      <c r="AO1192" s="182"/>
      <c r="AP1192" s="182" t="s">
        <v>4214</v>
      </c>
      <c r="AQ1192" s="332" t="str">
        <f>UPPER(RIGHT(Journal_Live[[#This Row],[DURATION ]]))</f>
        <v>M</v>
      </c>
      <c r="AR1192" s="182" t="s">
        <v>682</v>
      </c>
      <c r="AS1192" s="189">
        <v>95.034999999999997</v>
      </c>
      <c r="AT1192" s="189">
        <f t="shared" si="344"/>
        <v>-4.9999999999954525E-3</v>
      </c>
      <c r="AU1192" s="187">
        <f t="shared" si="345"/>
        <v>-35.999999999967258</v>
      </c>
      <c r="AV1192" s="190">
        <f t="shared" si="346"/>
        <v>-35.999999999967258</v>
      </c>
      <c r="AW1192" s="191" t="s">
        <v>229</v>
      </c>
      <c r="AX1192" s="407"/>
      <c r="AY1192" s="407"/>
      <c r="AZ1192" s="407"/>
      <c r="BA1192" s="407"/>
      <c r="BB1192" s="407"/>
      <c r="BC1192" s="407"/>
      <c r="BD1192" s="407"/>
      <c r="BE1192" s="407"/>
      <c r="BF1192" s="422"/>
      <c r="BG1192" s="391">
        <f>SUM($AV$4:AV1192)</f>
        <v>4240.621909278133</v>
      </c>
      <c r="BH1192" s="392">
        <f>SUM($AU$134:AU1192)</f>
        <v>22264.002000000452</v>
      </c>
      <c r="BI1192" s="318">
        <f>SUMIFS($AU$134:AU1193,$Q$134:Q1193,"F")</f>
        <v>6166.5333333333328</v>
      </c>
      <c r="BJ1192" s="318">
        <f>SUMIFS($AU$134:AU1193,$Q$134:Q1193,"S")</f>
        <v>17679.642</v>
      </c>
      <c r="BK1192" s="343">
        <f>SUMIFS($AU$134:AU1193,$P$134:P1193,"W")</f>
        <v>14254.941999999943</v>
      </c>
      <c r="BL1192" s="343">
        <f>SUMIFS($AU$134:AU1193,$P$134:P1193,"R")</f>
        <v>9396.6733333333214</v>
      </c>
      <c r="BM1192" s="343">
        <f>SUMIFS($AU$134:AU1193,$AQ$134:AQ1193,"M")</f>
        <v>2694.0300000001416</v>
      </c>
      <c r="BN1192" s="343">
        <f>SUMIFS($AU$134:AU1193,$AQ$134:AQ1193,"H")</f>
        <v>8681.3420000000642</v>
      </c>
      <c r="BO1192" s="343">
        <f>SUMIFS($AU$134:AU1193,$AQ$134:AQ1193,"D")</f>
        <v>5762.2366666667649</v>
      </c>
      <c r="BP1192" s="343">
        <f>SUMIFS($AU$134:AU1195,$AQ$134:AQ1195,"W")</f>
        <v>3191.7633333332024</v>
      </c>
      <c r="BQ1192" s="343">
        <f>SUMIFS($AU$134:AU1193,$Q$134:Q1193,"O")</f>
        <v>-1441.3733333329176</v>
      </c>
      <c r="BR1192" s="343">
        <f>SUMIFS($AU$134:AU1193,$AA$134:AA1193,"*")</f>
        <v>20509.305333333457</v>
      </c>
      <c r="BS1192" s="343">
        <f>SUMIFS($AU$134:AU1193,$AB$134:AB1193,"*")</f>
        <v>4613.1966666670132</v>
      </c>
      <c r="BT1192" s="343">
        <f>SUMIFS($AU$134:AU1193,$AC$134:AC1193,"*")</f>
        <v>11255.683333333332</v>
      </c>
      <c r="BU1192" s="343">
        <f>SUMIFS($AU$134:AU1193,$AA$134:AA1193,"*",$AB$134:AB1193,"*")</f>
        <v>2874.0000000000537</v>
      </c>
      <c r="BV1192" s="343">
        <f>SUMIFS($AU$134:AU1193,$AA$134:AA1193,"*",$AC$134:AC1193,"*")</f>
        <v>9436.7833333333328</v>
      </c>
      <c r="BW1192" s="343">
        <f>SUMIFS($AU$134:AU1193,$AB$134:AB1193,"*",$AC$134:AC1193,"*")</f>
        <v>6014.6</v>
      </c>
      <c r="BX1192" s="343">
        <f>SUMIFS($AU1193:AU$1388,$Q1193:Q$1388,"F")</f>
        <v>8274.1333333333332</v>
      </c>
      <c r="BY1192" s="343">
        <f>SUMIFS($AU1193:AU$1388,$Q1193:Q$1388,"S")</f>
        <v>2992</v>
      </c>
      <c r="BZ1192" s="343">
        <f>SUMIFS($AU1193:AU$1388,$Q1193:Q$1388,"O")</f>
        <v>-171.48466666691377</v>
      </c>
    </row>
    <row r="1193" spans="1:78" ht="15.75" customHeight="1">
      <c r="A1193" s="221" t="s">
        <v>3942</v>
      </c>
      <c r="B1193" s="177">
        <v>45230</v>
      </c>
      <c r="C1193" s="178" t="s">
        <v>682</v>
      </c>
      <c r="D1193" s="178" t="s">
        <v>146</v>
      </c>
      <c r="E1193" s="227"/>
      <c r="F1193" s="180"/>
      <c r="G1193" s="281" t="s">
        <v>4091</v>
      </c>
      <c r="H1193" s="182"/>
      <c r="I1193" s="182"/>
      <c r="J1193" s="182"/>
      <c r="K1193" s="183"/>
      <c r="L1193" s="182">
        <v>3</v>
      </c>
      <c r="M1193" s="182"/>
      <c r="N1193" s="182"/>
      <c r="O1193" s="183" t="s">
        <v>3618</v>
      </c>
      <c r="P1193" s="183" t="s">
        <v>2260</v>
      </c>
      <c r="Q1193" s="183" t="s">
        <v>684</v>
      </c>
      <c r="R1193" s="183">
        <v>1</v>
      </c>
      <c r="S1193" s="183">
        <v>0</v>
      </c>
      <c r="T1193" s="183">
        <v>1</v>
      </c>
      <c r="U1193" s="183" t="s">
        <v>22</v>
      </c>
      <c r="V1193" s="183"/>
      <c r="W1193" s="183"/>
      <c r="X1193" s="183"/>
      <c r="Y1193" s="184">
        <f>IF(ISBLANK(O1193),"",(IF(O1193=UPPER("IB"),0.005,0.01)))</f>
        <v>0.01</v>
      </c>
      <c r="Z1193" s="185">
        <f>IF(ISBLANK(O1193),"",IF(O1193="IB",8.63*200,IF(O1193="IR",16*100,IF(O1193="YT",20*100,IF(O1193="YT-XT",24*200,IF(O1193="TED",80*100,IF(O1193="XT",36*200)))))))</f>
        <v>7200</v>
      </c>
      <c r="AA1193" s="185" t="s">
        <v>4005</v>
      </c>
      <c r="AB1193" s="185" t="s">
        <v>4215</v>
      </c>
      <c r="AC1193" s="185"/>
      <c r="AD1193" s="649">
        <v>95.045000000000002</v>
      </c>
      <c r="AE1193" s="182"/>
      <c r="AF1193" s="332"/>
      <c r="AG1193" s="182"/>
      <c r="AH1193" s="182"/>
      <c r="AI1193" s="182"/>
      <c r="AJ1193" s="640"/>
      <c r="AK1193" s="182"/>
      <c r="AL1193" s="496"/>
      <c r="AM1193" s="496"/>
      <c r="AN1193" s="626"/>
      <c r="AO1193" s="182"/>
      <c r="AP1193" s="182" t="s">
        <v>3286</v>
      </c>
      <c r="AQ1193" s="332" t="str">
        <f>UPPER(RIGHT(Journal_Live[[#This Row],[DURATION ]]))</f>
        <v>M</v>
      </c>
      <c r="AR1193" s="182" t="s">
        <v>682</v>
      </c>
      <c r="AS1193" s="189">
        <v>95.05</v>
      </c>
      <c r="AT1193" s="189">
        <f t="shared" si="344"/>
        <v>4.9999999999954525E-3</v>
      </c>
      <c r="AU1193" s="187">
        <f t="shared" si="345"/>
        <v>35.999999999967258</v>
      </c>
      <c r="AV1193" s="190">
        <f t="shared" si="346"/>
        <v>35.999999999967258</v>
      </c>
      <c r="AW1193" s="191" t="s">
        <v>96</v>
      </c>
      <c r="AX1193" s="407" t="s">
        <v>4216</v>
      </c>
      <c r="AY1193" s="407"/>
      <c r="AZ1193" s="407"/>
      <c r="BA1193" s="407"/>
      <c r="BB1193" s="407"/>
      <c r="BC1193" s="407"/>
      <c r="BD1193" s="407"/>
      <c r="BE1193" s="407"/>
      <c r="BF1193" s="422"/>
      <c r="BG1193" s="391">
        <f>SUM($AV$4:AV1193)</f>
        <v>4276.6219092781002</v>
      </c>
      <c r="BH1193" s="392">
        <f>SUM($AU$134:AU1193)</f>
        <v>22300.002000000419</v>
      </c>
      <c r="BI1193" s="318">
        <f>SUMIFS($AU$134:AU1194,$Q$134:Q1194,"F")</f>
        <v>6166.5333333333328</v>
      </c>
      <c r="BJ1193" s="318">
        <f>SUMIFS($AU$134:AU1194,$Q$134:Q1194,"S")</f>
        <v>17679.642</v>
      </c>
      <c r="BK1193" s="343">
        <f>SUMIFS($AU$134:AU1194,$P$134:P1194,"W")</f>
        <v>14254.941999999943</v>
      </c>
      <c r="BL1193" s="343">
        <f>SUMIFS($AU$134:AU1194,$P$134:P1194,"R")</f>
        <v>9396.6733333333214</v>
      </c>
      <c r="BM1193" s="343">
        <f>SUMIFS($AU$134:AU1194,$AQ$134:AQ1194,"M")</f>
        <v>2694.0300000001416</v>
      </c>
      <c r="BN1193" s="343">
        <f>SUMIFS($AU$134:AU1194,$AQ$134:AQ1194,"H")</f>
        <v>8681.3420000000642</v>
      </c>
      <c r="BO1193" s="343">
        <f>SUMIFS($AU$134:AU1194,$AQ$134:AQ1194,"D")</f>
        <v>5762.2366666667649</v>
      </c>
      <c r="BP1193" s="343">
        <f>SUMIFS($AU$134:AU1196,$AQ$134:AQ1196,"W")</f>
        <v>3191.7633333332024</v>
      </c>
      <c r="BQ1193" s="343">
        <f>SUMIFS($AU$134:AU1194,$Q$134:Q1194,"O")</f>
        <v>-1441.3733333329176</v>
      </c>
      <c r="BR1193" s="343">
        <f>SUMIFS($AU$134:AU1194,$AA$134:AA1194,"*")</f>
        <v>20509.305333333457</v>
      </c>
      <c r="BS1193" s="343">
        <f>SUMIFS($AU$134:AU1194,$AB$134:AB1194,"*")</f>
        <v>4613.1966666670132</v>
      </c>
      <c r="BT1193" s="343">
        <f>SUMIFS($AU$134:AU1194,$AC$134:AC1194,"*")</f>
        <v>11255.683333333332</v>
      </c>
      <c r="BU1193" s="343">
        <f>SUMIFS($AU$134:AU1194,$AA$134:AA1194,"*",$AB$134:AB1194,"*")</f>
        <v>2874.0000000000537</v>
      </c>
      <c r="BV1193" s="343">
        <f>SUMIFS($AU$134:AU1194,$AA$134:AA1194,"*",$AC$134:AC1194,"*")</f>
        <v>9436.7833333333328</v>
      </c>
      <c r="BW1193" s="343">
        <f>SUMIFS($AU$134:AU1194,$AB$134:AB1194,"*",$AC$134:AC1194,"*")</f>
        <v>6014.6</v>
      </c>
      <c r="BX1193" s="343">
        <f>SUMIFS($AU1194:AU$1388,$Q1194:Q$1388,"F")</f>
        <v>8274.1333333333332</v>
      </c>
      <c r="BY1193" s="343">
        <f>SUMIFS($AU1194:AU$1388,$Q1194:Q$1388,"S")</f>
        <v>2992</v>
      </c>
      <c r="BZ1193" s="343">
        <f>SUMIFS($AU1194:AU$1388,$Q1194:Q$1388,"O")</f>
        <v>-207.48466666688103</v>
      </c>
    </row>
    <row r="1194" spans="1:78" ht="15.75" customHeight="1">
      <c r="A1194" s="221" t="s">
        <v>3942</v>
      </c>
      <c r="B1194" s="177">
        <v>45230</v>
      </c>
      <c r="C1194" s="178" t="s">
        <v>682</v>
      </c>
      <c r="D1194" s="178" t="s">
        <v>146</v>
      </c>
      <c r="E1194" s="227"/>
      <c r="F1194" s="180"/>
      <c r="G1194" s="281" t="s">
        <v>2070</v>
      </c>
      <c r="H1194" s="182"/>
      <c r="I1194" s="182"/>
      <c r="J1194" s="182"/>
      <c r="K1194" s="183"/>
      <c r="L1194" s="182">
        <v>2</v>
      </c>
      <c r="M1194" s="182"/>
      <c r="N1194" s="182"/>
      <c r="O1194" s="183" t="s">
        <v>95</v>
      </c>
      <c r="P1194" s="183" t="s">
        <v>96</v>
      </c>
      <c r="Q1194" s="183" t="s">
        <v>97</v>
      </c>
      <c r="R1194" s="183">
        <v>7</v>
      </c>
      <c r="S1194" s="183">
        <v>0</v>
      </c>
      <c r="T1194" s="183">
        <v>7</v>
      </c>
      <c r="U1194" s="183" t="s">
        <v>22</v>
      </c>
      <c r="V1194" s="183"/>
      <c r="W1194" s="183"/>
      <c r="X1194" s="183"/>
      <c r="Y1194" s="184">
        <f>IF(ISBLANK(O1194),"",(IF(O1194=UPPER("IB"),0.005,0.01)))</f>
        <v>0.01</v>
      </c>
      <c r="Z1194" s="185">
        <f t="shared" ref="Z1194:Z1199" si="347">IF(ISBLANK(O1194),"",IF(O1194="IB",8.63*200,IF(O1194="IR",16*100,IF(O1194="YT",20*100,IF(O1194="YT-XT",24*200,IF(O1194="TED",80*100))))))</f>
        <v>1600</v>
      </c>
      <c r="AA1194" s="185" t="s">
        <v>3801</v>
      </c>
      <c r="AB1194" s="185"/>
      <c r="AC1194" s="185"/>
      <c r="AD1194" s="649">
        <v>-0.05</v>
      </c>
      <c r="AE1194" s="182"/>
      <c r="AF1194" s="332"/>
      <c r="AG1194" s="182"/>
      <c r="AH1194" s="182"/>
      <c r="AI1194" s="182"/>
      <c r="AJ1194" s="640"/>
      <c r="AK1194" s="182"/>
      <c r="AL1194" s="496"/>
      <c r="AM1194" s="496"/>
      <c r="AN1194" s="626"/>
      <c r="AO1194" s="182"/>
      <c r="AP1194" s="182"/>
      <c r="AQ1194" s="332" t="str">
        <f>UPPER(RIGHT(Journal_Live[[#This Row],[DURATION ]]))</f>
        <v/>
      </c>
      <c r="AR1194" s="182" t="s">
        <v>4217</v>
      </c>
      <c r="AS1194" s="189">
        <v>-0.05</v>
      </c>
      <c r="AT1194" s="189">
        <f t="shared" si="344"/>
        <v>0</v>
      </c>
      <c r="AU1194" s="187">
        <f t="shared" si="345"/>
        <v>0</v>
      </c>
      <c r="AV1194" s="190">
        <f t="shared" si="346"/>
        <v>0</v>
      </c>
      <c r="AW1194" s="191" t="s">
        <v>115</v>
      </c>
      <c r="AX1194" s="407"/>
      <c r="AY1194" s="407"/>
      <c r="AZ1194" s="407"/>
      <c r="BA1194" s="407"/>
      <c r="BB1194" s="407"/>
      <c r="BC1194" s="407"/>
      <c r="BD1194" s="407"/>
      <c r="BE1194" s="407"/>
      <c r="BF1194" s="422"/>
      <c r="BG1194" s="391">
        <f>SUM($AV$4:AV1194)</f>
        <v>4276.6219092781002</v>
      </c>
      <c r="BH1194" s="392">
        <f>SUM($AU$134:AU1194)</f>
        <v>22300.002000000419</v>
      </c>
      <c r="BI1194" s="318">
        <f>SUMIFS($AU$134:AU1195,$Q$134:Q1195,"F")</f>
        <v>6166.5333333333328</v>
      </c>
      <c r="BJ1194" s="318">
        <f>SUMIFS($AU$134:AU1195,$Q$134:Q1195,"S")</f>
        <v>17679.642</v>
      </c>
      <c r="BK1194" s="343">
        <f>SUMIFS($AU$134:AU1195,$P$134:P1195,"W")</f>
        <v>14254.941999999943</v>
      </c>
      <c r="BL1194" s="343">
        <f>SUMIFS($AU$134:AU1195,$P$134:P1195,"R")</f>
        <v>9396.6733333333214</v>
      </c>
      <c r="BM1194" s="343">
        <f>SUMIFS($AU$134:AU1195,$AQ$134:AQ1195,"M")</f>
        <v>2694.0300000001416</v>
      </c>
      <c r="BN1194" s="343">
        <f>SUMIFS($AU$134:AU1195,$AQ$134:AQ1195,"H")</f>
        <v>8681.3420000000642</v>
      </c>
      <c r="BO1194" s="343">
        <f>SUMIFS($AU$134:AU1195,$AQ$134:AQ1195,"D")</f>
        <v>5762.2366666667649</v>
      </c>
      <c r="BP1194" s="343">
        <f>SUMIFS($AU$134:AU1197,$AQ$134:AQ1197,"W")</f>
        <v>3191.7633333332024</v>
      </c>
      <c r="BQ1194" s="343">
        <f>SUMIFS($AU$134:AU1195,$Q$134:Q1195,"O")</f>
        <v>-1441.3733333329176</v>
      </c>
      <c r="BR1194" s="343">
        <f>SUMIFS($AU$134:AU1195,$AA$134:AA1195,"*")</f>
        <v>20509.305333333457</v>
      </c>
      <c r="BS1194" s="343">
        <f>SUMIFS($AU$134:AU1195,$AB$134:AB1195,"*")</f>
        <v>4613.1966666670132</v>
      </c>
      <c r="BT1194" s="343">
        <f>SUMIFS($AU$134:AU1195,$AC$134:AC1195,"*")</f>
        <v>11255.683333333332</v>
      </c>
      <c r="BU1194" s="343">
        <f>SUMIFS($AU$134:AU1195,$AA$134:AA1195,"*",$AB$134:AB1195,"*")</f>
        <v>2874.0000000000537</v>
      </c>
      <c r="BV1194" s="343">
        <f>SUMIFS($AU$134:AU1195,$AA$134:AA1195,"*",$AC$134:AC1195,"*")</f>
        <v>9436.7833333333328</v>
      </c>
      <c r="BW1194" s="343">
        <f>SUMIFS($AU$134:AU1195,$AB$134:AB1195,"*",$AC$134:AC1195,"*")</f>
        <v>6014.6</v>
      </c>
      <c r="BX1194" s="343">
        <f>SUMIFS($AU1195:AU$1388,$Q1195:Q$1388,"F")</f>
        <v>8274.1333333333332</v>
      </c>
      <c r="BY1194" s="343">
        <f>SUMIFS($AU1195:AU$1388,$Q1195:Q$1388,"S")</f>
        <v>2992</v>
      </c>
      <c r="BZ1194" s="343">
        <f>SUMIFS($AU1195:AU$1388,$Q1195:Q$1388,"O")</f>
        <v>-207.48466666688103</v>
      </c>
    </row>
    <row r="1195" spans="1:78" ht="15.75" customHeight="1">
      <c r="A1195" s="221" t="s">
        <v>3942</v>
      </c>
      <c r="B1195" s="177"/>
      <c r="C1195" s="178"/>
      <c r="D1195" s="178"/>
      <c r="E1195" s="227"/>
      <c r="F1195" s="180"/>
      <c r="G1195" s="181"/>
      <c r="H1195" s="182"/>
      <c r="I1195" s="182"/>
      <c r="J1195" s="182"/>
      <c r="K1195" s="183"/>
      <c r="L1195" s="182"/>
      <c r="M1195" s="182"/>
      <c r="N1195" s="182"/>
      <c r="O1195" s="183"/>
      <c r="P1195" s="183"/>
      <c r="Q1195" s="183"/>
      <c r="R1195" s="183"/>
      <c r="S1195" s="183"/>
      <c r="T1195" s="183"/>
      <c r="U1195" s="183"/>
      <c r="V1195" s="183"/>
      <c r="W1195" s="183"/>
      <c r="X1195" s="183"/>
      <c r="Y1195" s="183"/>
      <c r="Z1195" s="185" t="str">
        <f t="shared" si="347"/>
        <v/>
      </c>
      <c r="AA1195" s="185"/>
      <c r="AB1195" s="185"/>
      <c r="AC1195" s="185"/>
      <c r="AD1195" s="649"/>
      <c r="AE1195" s="182"/>
      <c r="AF1195" s="332"/>
      <c r="AG1195" s="182"/>
      <c r="AH1195" s="182"/>
      <c r="AI1195" s="182"/>
      <c r="AJ1195" s="640"/>
      <c r="AK1195" s="182"/>
      <c r="AL1195" s="496"/>
      <c r="AM1195" s="496"/>
      <c r="AN1195" s="626"/>
      <c r="AO1195" s="182"/>
      <c r="AP1195" s="182"/>
      <c r="AQ1195" s="332" t="str">
        <f>UPPER(RIGHT(Journal_Live[[#This Row],[DURATION ]]))</f>
        <v/>
      </c>
      <c r="AR1195" s="182"/>
      <c r="AS1195" s="189"/>
      <c r="AT1195" s="189">
        <f t="shared" si="344"/>
        <v>0</v>
      </c>
      <c r="AU1195" s="187">
        <f t="shared" si="345"/>
        <v>0</v>
      </c>
      <c r="AV1195" s="190">
        <f t="shared" si="346"/>
        <v>0</v>
      </c>
      <c r="AW1195" s="191"/>
      <c r="AX1195" s="417" t="s">
        <v>4218</v>
      </c>
      <c r="AY1195" s="407"/>
      <c r="AZ1195" s="407"/>
      <c r="BA1195" s="407"/>
      <c r="BB1195" s="407"/>
      <c r="BC1195" s="407"/>
      <c r="BD1195" s="407"/>
      <c r="BE1195" s="407"/>
      <c r="BF1195" s="422"/>
      <c r="BG1195" s="391">
        <f>SUM($AV$4:AV1195)</f>
        <v>4276.6219092781002</v>
      </c>
      <c r="BH1195" s="392">
        <f>SUM($AU$134:AU1195)</f>
        <v>22300.002000000419</v>
      </c>
      <c r="BI1195" s="318">
        <f>SUMIFS($AU$134:AU1196,$Q$134:Q1196,"F")</f>
        <v>6166.5333333333328</v>
      </c>
      <c r="BJ1195" s="318">
        <f>SUMIFS($AU$134:AU1196,$Q$134:Q1196,"S")</f>
        <v>17679.642</v>
      </c>
      <c r="BK1195" s="343">
        <f>SUMIFS($AU$134:AU1196,$P$134:P1196,"W")</f>
        <v>14254.941999999943</v>
      </c>
      <c r="BL1195" s="343">
        <f>SUMIFS($AU$134:AU1196,$P$134:P1196,"R")</f>
        <v>9396.6733333333214</v>
      </c>
      <c r="BM1195" s="343">
        <f>SUMIFS($AU$134:AU1196,$AQ$134:AQ1196,"M")</f>
        <v>2694.0300000001416</v>
      </c>
      <c r="BN1195" s="343">
        <f>SUMIFS($AU$134:AU1196,$AQ$134:AQ1196,"H")</f>
        <v>8681.3420000000642</v>
      </c>
      <c r="BO1195" s="343">
        <f>SUMIFS($AU$134:AU1196,$AQ$134:AQ1196,"D")</f>
        <v>5762.2366666667649</v>
      </c>
      <c r="BP1195" s="343">
        <f>SUMIFS($AU$134:AU1198,$AQ$134:AQ1198,"W")</f>
        <v>3191.7633333332024</v>
      </c>
      <c r="BQ1195" s="343">
        <f>SUMIFS($AU$134:AU1196,$Q$134:Q1196,"O")</f>
        <v>-1441.3733333329176</v>
      </c>
      <c r="BR1195" s="343">
        <f>SUMIFS($AU$134:AU1196,$AA$134:AA1196,"*")</f>
        <v>20509.305333333457</v>
      </c>
      <c r="BS1195" s="343">
        <f>SUMIFS($AU$134:AU1196,$AB$134:AB1196,"*")</f>
        <v>4613.1966666670132</v>
      </c>
      <c r="BT1195" s="343">
        <f>SUMIFS($AU$134:AU1196,$AC$134:AC1196,"*")</f>
        <v>11255.683333333332</v>
      </c>
      <c r="BU1195" s="343">
        <f>SUMIFS($AU$134:AU1196,$AA$134:AA1196,"*",$AB$134:AB1196,"*")</f>
        <v>2874.0000000000537</v>
      </c>
      <c r="BV1195" s="343">
        <f>SUMIFS($AU$134:AU1196,$AA$134:AA1196,"*",$AC$134:AC1196,"*")</f>
        <v>9436.7833333333328</v>
      </c>
      <c r="BW1195" s="343">
        <f>SUMIFS($AU$134:AU1196,$AB$134:AB1196,"*",$AC$134:AC1196,"*")</f>
        <v>6014.6</v>
      </c>
      <c r="BX1195" s="343">
        <f>SUMIFS($AU1196:AU$1388,$Q1196:Q$1388,"F")</f>
        <v>8274.1333333333332</v>
      </c>
      <c r="BY1195" s="343">
        <f>SUMIFS($AU1196:AU$1388,$Q1196:Q$1388,"S")</f>
        <v>2992</v>
      </c>
      <c r="BZ1195" s="343">
        <f>SUMIFS($AU1196:AU$1388,$Q1196:Q$1388,"O")</f>
        <v>-207.48466666688103</v>
      </c>
    </row>
    <row r="1196" spans="1:78" ht="15.75" customHeight="1">
      <c r="A1196" s="273" t="s">
        <v>4219</v>
      </c>
      <c r="B1196" s="273"/>
      <c r="C1196" s="214"/>
      <c r="D1196" s="214"/>
      <c r="E1196" s="215"/>
      <c r="F1196" s="216"/>
      <c r="G1196" s="214"/>
      <c r="H1196" s="214"/>
      <c r="I1196" s="214"/>
      <c r="J1196" s="214"/>
      <c r="K1196" s="217"/>
      <c r="L1196" s="214"/>
      <c r="M1196" s="214"/>
      <c r="N1196" s="214"/>
      <c r="O1196" s="217"/>
      <c r="P1196" s="217"/>
      <c r="Q1196" s="217"/>
      <c r="R1196" s="217"/>
      <c r="S1196" s="217"/>
      <c r="T1196" s="217"/>
      <c r="U1196" s="217"/>
      <c r="V1196" s="217"/>
      <c r="W1196" s="217"/>
      <c r="X1196" s="217"/>
      <c r="Y1196" s="217"/>
      <c r="Z1196" s="218" t="str">
        <f t="shared" si="347"/>
        <v/>
      </c>
      <c r="AA1196" s="218"/>
      <c r="AB1196" s="218"/>
      <c r="AC1196" s="218"/>
      <c r="AD1196" s="651"/>
      <c r="AE1196" s="214"/>
      <c r="AF1196" s="347"/>
      <c r="AG1196" s="343"/>
      <c r="AH1196" s="214"/>
      <c r="AI1196" s="214"/>
      <c r="AJ1196" s="642"/>
      <c r="AK1196" s="214"/>
      <c r="AL1196" s="502"/>
      <c r="AM1196" s="502"/>
      <c r="AN1196" s="628"/>
      <c r="AO1196" s="214"/>
      <c r="AP1196" s="214"/>
      <c r="AQ1196" s="334" t="str">
        <f>UPPER(RIGHT(Journal_Live[[#This Row],[DURATION ]]))</f>
        <v/>
      </c>
      <c r="AR1196" s="214"/>
      <c r="AS1196" s="214"/>
      <c r="AT1196" s="214"/>
      <c r="AU1196" s="214"/>
      <c r="AV1196" s="214"/>
      <c r="AW1196" s="220"/>
      <c r="AX1196" s="417"/>
      <c r="AY1196" s="414"/>
      <c r="AZ1196" s="414"/>
      <c r="BA1196" s="414"/>
      <c r="BB1196" s="414"/>
      <c r="BC1196" s="414"/>
      <c r="BD1196" s="414"/>
      <c r="BE1196" s="414"/>
      <c r="BF1196" s="414"/>
      <c r="BG1196" s="391">
        <f>SUM($AV$4:AV1196)</f>
        <v>4276.6219092781002</v>
      </c>
      <c r="BH1196" s="392">
        <f>SUM($AU$134:AU1196)</f>
        <v>22300.002000000419</v>
      </c>
      <c r="BI1196" s="318">
        <f>SUMIFS($AU$134:AU1197,$Q$134:Q1197,"F")</f>
        <v>6166.5333333333328</v>
      </c>
      <c r="BJ1196" s="318">
        <f>SUMIFS($AU$134:AU1197,$Q$134:Q1197,"S")</f>
        <v>17951.642</v>
      </c>
      <c r="BK1196" s="343">
        <f>SUMIFS($AU$134:AU1197,$P$134:P1197,"W")</f>
        <v>14526.941999999943</v>
      </c>
      <c r="BL1196" s="343">
        <f>SUMIFS($AU$134:AU1197,$P$134:P1197,"R")</f>
        <v>9396.6733333333214</v>
      </c>
      <c r="BM1196" s="343">
        <f>SUMIFS($AU$134:AU1197,$AQ$134:AQ1197,"M")</f>
        <v>2694.0300000001416</v>
      </c>
      <c r="BN1196" s="343">
        <f>SUMIFS($AU$134:AU1197,$AQ$134:AQ1197,"H")</f>
        <v>8953.3420000000642</v>
      </c>
      <c r="BO1196" s="343">
        <f>SUMIFS($AU$134:AU1197,$AQ$134:AQ1197,"D")</f>
        <v>5762.2366666667649</v>
      </c>
      <c r="BP1196" s="343">
        <f>SUMIFS($AU$134:AU1199,$AQ$134:AQ1199,"W")</f>
        <v>3191.7633333332024</v>
      </c>
      <c r="BQ1196" s="343">
        <f>SUMIFS($AU$134:AU1197,$Q$134:Q1197,"O")</f>
        <v>-1441.3733333329176</v>
      </c>
      <c r="BR1196" s="343">
        <f>SUMIFS($AU$134:AU1197,$AA$134:AA1197,"*")</f>
        <v>20781.305333333457</v>
      </c>
      <c r="BS1196" s="343">
        <f>SUMIFS($AU$134:AU1197,$AB$134:AB1197,"*")</f>
        <v>4613.1966666670132</v>
      </c>
      <c r="BT1196" s="343">
        <f>SUMIFS($AU$134:AU1197,$AC$134:AC1197,"*")</f>
        <v>11255.683333333332</v>
      </c>
      <c r="BU1196" s="343">
        <f>SUMIFS($AU$134:AU1197,$AA$134:AA1197,"*",$AB$134:AB1197,"*")</f>
        <v>2874.0000000000537</v>
      </c>
      <c r="BV1196" s="343">
        <f>SUMIFS($AU$134:AU1197,$AA$134:AA1197,"*",$AC$134:AC1197,"*")</f>
        <v>9436.7833333333328</v>
      </c>
      <c r="BW1196" s="343">
        <f>SUMIFS($AU$134:AU1197,$AB$134:AB1197,"*",$AC$134:AC1197,"*")</f>
        <v>6014.6</v>
      </c>
      <c r="BX1196" s="343">
        <f>SUMIFS($AU1197:AU$1388,$Q1197:Q$1388,"F")</f>
        <v>8274.1333333333332</v>
      </c>
      <c r="BY1196" s="343">
        <f>SUMIFS($AU1197:AU$1388,$Q1197:Q$1388,"S")</f>
        <v>2992</v>
      </c>
      <c r="BZ1196" s="343">
        <f>SUMIFS($AU1197:AU$1388,$Q1197:Q$1388,"O")</f>
        <v>-207.48466666688103</v>
      </c>
    </row>
    <row r="1197" spans="1:78" ht="15.75" customHeight="1">
      <c r="A1197" s="221" t="s">
        <v>4220</v>
      </c>
      <c r="B1197" s="177">
        <v>45231</v>
      </c>
      <c r="C1197" s="178" t="s">
        <v>4221</v>
      </c>
      <c r="D1197" s="178" t="s">
        <v>151</v>
      </c>
      <c r="E1197" s="227"/>
      <c r="F1197" s="180"/>
      <c r="G1197" s="281" t="s">
        <v>181</v>
      </c>
      <c r="H1197" s="182"/>
      <c r="I1197" s="182"/>
      <c r="J1197" s="182"/>
      <c r="K1197" s="183"/>
      <c r="L1197" s="182">
        <v>2</v>
      </c>
      <c r="M1197" s="182"/>
      <c r="N1197" s="182"/>
      <c r="O1197" s="183" t="s">
        <v>95</v>
      </c>
      <c r="P1197" s="183" t="s">
        <v>96</v>
      </c>
      <c r="Q1197" s="183" t="s">
        <v>97</v>
      </c>
      <c r="R1197" s="183">
        <v>17</v>
      </c>
      <c r="S1197" s="183">
        <v>0</v>
      </c>
      <c r="T1197" s="183">
        <v>12</v>
      </c>
      <c r="U1197" s="183" t="s">
        <v>97</v>
      </c>
      <c r="V1197" s="183"/>
      <c r="W1197" s="183"/>
      <c r="X1197" s="183"/>
      <c r="Y1197" s="184">
        <f>IF(ISBLANK(O1197),"",(IF(O1197=UPPER("IB"),0.005,0.01)))</f>
        <v>0.01</v>
      </c>
      <c r="Z1197" s="185">
        <f t="shared" si="347"/>
        <v>1600</v>
      </c>
      <c r="AA1197" s="185" t="s">
        <v>99</v>
      </c>
      <c r="AB1197" s="185"/>
      <c r="AC1197" s="185"/>
      <c r="AD1197" s="649">
        <f>(0.1*12+0.09*5)/17</f>
        <v>9.7058823529411767E-2</v>
      </c>
      <c r="AE1197" s="182"/>
      <c r="AF1197" s="332"/>
      <c r="AG1197" s="182"/>
      <c r="AH1197" s="182"/>
      <c r="AI1197" s="182"/>
      <c r="AJ1197" s="640"/>
      <c r="AK1197" s="182"/>
      <c r="AL1197" s="496"/>
      <c r="AM1197" s="496"/>
      <c r="AN1197" s="626"/>
      <c r="AO1197" s="182"/>
      <c r="AP1197" s="182" t="s">
        <v>4222</v>
      </c>
      <c r="AQ1197" s="332" t="str">
        <f>UPPER(RIGHT(Journal_Live[[#This Row],[DURATION ]]))</f>
        <v>H</v>
      </c>
      <c r="AR1197" s="182" t="s">
        <v>4223</v>
      </c>
      <c r="AS1197" s="189">
        <f>(0.09*12+0.08*5)/17</f>
        <v>8.7058823529411758E-2</v>
      </c>
      <c r="AT1197" s="189">
        <f t="shared" ref="AT1197:AT1210" si="348">IF(ISBLANK(AS1197),,IF(U1197="S",AD1197-AS1197,AS1197-AD1197))</f>
        <v>1.0000000000000009E-2</v>
      </c>
      <c r="AU1197" s="187">
        <f t="shared" ref="AU1197:AU1210" si="349">AV1197*R1197</f>
        <v>272.00000000000023</v>
      </c>
      <c r="AV1197" s="190">
        <f t="shared" ref="AV1197:AV1210" si="350">IF(ISBLANK(AS1197),,(AT1197*Z1197))</f>
        <v>16.000000000000014</v>
      </c>
      <c r="AW1197" s="191" t="s">
        <v>96</v>
      </c>
      <c r="AX1197" s="407"/>
      <c r="AY1197" s="407"/>
      <c r="AZ1197" s="407"/>
      <c r="BA1197" s="407"/>
      <c r="BB1197" s="407"/>
      <c r="BC1197" s="407"/>
      <c r="BD1197" s="407"/>
      <c r="BE1197" s="407"/>
      <c r="BF1197" s="422"/>
      <c r="BG1197" s="391">
        <f>SUM($AV$4:AV1197)</f>
        <v>4292.6219092781002</v>
      </c>
      <c r="BH1197" s="392">
        <f>SUM($AU$134:AU1197)</f>
        <v>22572.002000000419</v>
      </c>
      <c r="BI1197" s="318">
        <f>SUMIFS($AU$134:AU1198,$Q$134:Q1198,"F")</f>
        <v>6166.5333333333328</v>
      </c>
      <c r="BJ1197" s="318">
        <f>SUMIFS($AU$134:AU1198,$Q$134:Q1198,"S")</f>
        <v>17951.642</v>
      </c>
      <c r="BK1197" s="343">
        <f>SUMIFS($AU$134:AU1198,$P$134:P1198,"W")</f>
        <v>14526.941999999943</v>
      </c>
      <c r="BL1197" s="343">
        <f>SUMIFS($AU$134:AU1198,$P$134:P1198,"R")</f>
        <v>9396.6733333333214</v>
      </c>
      <c r="BM1197" s="343">
        <f>SUMIFS($AU$134:AU1198,$AQ$134:AQ1198,"M")</f>
        <v>2694.0300000001416</v>
      </c>
      <c r="BN1197" s="343">
        <f>SUMIFS($AU$134:AU1198,$AQ$134:AQ1198,"H")</f>
        <v>8953.3420000000642</v>
      </c>
      <c r="BO1197" s="343">
        <f>SUMIFS($AU$134:AU1198,$AQ$134:AQ1198,"D")</f>
        <v>5762.2366666667649</v>
      </c>
      <c r="BP1197" s="343">
        <f>SUMIFS($AU$134:AU1200,$AQ$134:AQ1200,"W")</f>
        <v>3191.7633333332024</v>
      </c>
      <c r="BQ1197" s="343">
        <f>SUMIFS($AU$134:AU1198,$Q$134:Q1198,"O")</f>
        <v>-1441.3733333329176</v>
      </c>
      <c r="BR1197" s="343">
        <f>SUMIFS($AU$134:AU1198,$AA$134:AA1198,"*")</f>
        <v>20781.305333333457</v>
      </c>
      <c r="BS1197" s="343">
        <f>SUMIFS($AU$134:AU1198,$AB$134:AB1198,"*")</f>
        <v>4613.1966666670132</v>
      </c>
      <c r="BT1197" s="343">
        <f>SUMIFS($AU$134:AU1198,$AC$134:AC1198,"*")</f>
        <v>11255.683333333332</v>
      </c>
      <c r="BU1197" s="343">
        <f>SUMIFS($AU$134:AU1198,$AA$134:AA1198,"*",$AB$134:AB1198,"*")</f>
        <v>2874.0000000000537</v>
      </c>
      <c r="BV1197" s="343">
        <f>SUMIFS($AU$134:AU1198,$AA$134:AA1198,"*",$AC$134:AC1198,"*")</f>
        <v>9436.7833333333328</v>
      </c>
      <c r="BW1197" s="343">
        <f>SUMIFS($AU$134:AU1198,$AB$134:AB1198,"*",$AC$134:AC1198,"*")</f>
        <v>6014.6</v>
      </c>
      <c r="BX1197" s="343">
        <f>SUMIFS($AU1198:AU$1388,$Q1198:Q$1388,"F")</f>
        <v>8274.1333333333332</v>
      </c>
      <c r="BY1197" s="343">
        <f>SUMIFS($AU1198:AU$1388,$Q1198:Q$1388,"S")</f>
        <v>2720</v>
      </c>
      <c r="BZ1197" s="343">
        <f>SUMIFS($AU1198:AU$1388,$Q1198:Q$1388,"O")</f>
        <v>-207.48466666688103</v>
      </c>
    </row>
    <row r="1198" spans="1:78" ht="15.75" customHeight="1">
      <c r="A1198" s="221" t="s">
        <v>4220</v>
      </c>
      <c r="B1198" s="177">
        <v>45231</v>
      </c>
      <c r="C1198" s="178" t="s">
        <v>2060</v>
      </c>
      <c r="D1198" s="178" t="s">
        <v>151</v>
      </c>
      <c r="E1198" s="227" t="s">
        <v>4224</v>
      </c>
      <c r="F1198" s="180"/>
      <c r="G1198" s="181"/>
      <c r="H1198" s="182"/>
      <c r="I1198" s="182"/>
      <c r="J1198" s="182">
        <v>1</v>
      </c>
      <c r="K1198" s="183" t="s">
        <v>115</v>
      </c>
      <c r="L1198" s="182"/>
      <c r="M1198" s="182"/>
      <c r="N1198" s="182"/>
      <c r="O1198" s="183"/>
      <c r="P1198" s="183"/>
      <c r="Q1198" s="183"/>
      <c r="R1198" s="183"/>
      <c r="S1198" s="183"/>
      <c r="T1198" s="183"/>
      <c r="U1198" s="183"/>
      <c r="V1198" s="183"/>
      <c r="W1198" s="183"/>
      <c r="X1198" s="183"/>
      <c r="Y1198" s="183"/>
      <c r="Z1198" s="185" t="str">
        <f t="shared" si="347"/>
        <v/>
      </c>
      <c r="AA1198" s="185"/>
      <c r="AB1198" s="185"/>
      <c r="AC1198" s="185"/>
      <c r="AD1198" s="649"/>
      <c r="AE1198" s="182"/>
      <c r="AF1198" s="332"/>
      <c r="AG1198" s="182"/>
      <c r="AH1198" s="182"/>
      <c r="AI1198" s="182"/>
      <c r="AJ1198" s="640"/>
      <c r="AK1198" s="182"/>
      <c r="AL1198" s="496"/>
      <c r="AM1198" s="496"/>
      <c r="AN1198" s="626"/>
      <c r="AO1198" s="182"/>
      <c r="AP1198" s="182"/>
      <c r="AQ1198" s="332" t="str">
        <f>UPPER(RIGHT(Journal_Live[[#This Row],[DURATION ]]))</f>
        <v/>
      </c>
      <c r="AR1198" s="182"/>
      <c r="AS1198" s="189"/>
      <c r="AT1198" s="189">
        <f t="shared" si="348"/>
        <v>0</v>
      </c>
      <c r="AU1198" s="187">
        <f t="shared" si="349"/>
        <v>0</v>
      </c>
      <c r="AV1198" s="190">
        <f t="shared" si="350"/>
        <v>0</v>
      </c>
      <c r="AW1198" s="191"/>
      <c r="AX1198" s="407"/>
      <c r="AY1198" s="407"/>
      <c r="AZ1198" s="407"/>
      <c r="BA1198" s="407"/>
      <c r="BB1198" s="407"/>
      <c r="BC1198" s="407"/>
      <c r="BD1198" s="407"/>
      <c r="BE1198" s="407"/>
      <c r="BF1198" s="422"/>
      <c r="BG1198" s="391">
        <f>SUM($AV$4:AV1198)</f>
        <v>4292.6219092781002</v>
      </c>
      <c r="BH1198" s="392">
        <f>SUM($AU$134:AU1198)</f>
        <v>22572.002000000419</v>
      </c>
      <c r="BI1198" s="318">
        <f>SUMIFS($AU$134:AU1199,$Q$134:Q1199,"F")</f>
        <v>6166.5333333333328</v>
      </c>
      <c r="BJ1198" s="318">
        <f>SUMIFS($AU$134:AU1199,$Q$134:Q1199,"S")</f>
        <v>17951.642</v>
      </c>
      <c r="BK1198" s="343">
        <f>SUMIFS($AU$134:AU1199,$P$134:P1199,"W")</f>
        <v>14526.941999999943</v>
      </c>
      <c r="BL1198" s="343">
        <f>SUMIFS($AU$134:AU1199,$P$134:P1199,"R")</f>
        <v>9396.6733333333214</v>
      </c>
      <c r="BM1198" s="343">
        <f>SUMIFS($AU$134:AU1199,$AQ$134:AQ1199,"M")</f>
        <v>2694.0300000001416</v>
      </c>
      <c r="BN1198" s="343">
        <f>SUMIFS($AU$134:AU1199,$AQ$134:AQ1199,"H")</f>
        <v>8953.3420000000642</v>
      </c>
      <c r="BO1198" s="343">
        <f>SUMIFS($AU$134:AU1199,$AQ$134:AQ1199,"D")</f>
        <v>5762.2366666667649</v>
      </c>
      <c r="BP1198" s="343">
        <f>SUMIFS($AU$134:AU1201,$AQ$134:AQ1201,"W")</f>
        <v>3191.7633333332024</v>
      </c>
      <c r="BQ1198" s="343">
        <f>SUMIFS($AU$134:AU1199,$Q$134:Q1199,"O")</f>
        <v>-1441.3733333329176</v>
      </c>
      <c r="BR1198" s="343">
        <f>SUMIFS($AU$134:AU1199,$AA$134:AA1199,"*")</f>
        <v>20781.305333333457</v>
      </c>
      <c r="BS1198" s="343">
        <f>SUMIFS($AU$134:AU1199,$AB$134:AB1199,"*")</f>
        <v>4613.1966666670132</v>
      </c>
      <c r="BT1198" s="343">
        <f>SUMIFS($AU$134:AU1199,$AC$134:AC1199,"*")</f>
        <v>11255.683333333332</v>
      </c>
      <c r="BU1198" s="343">
        <f>SUMIFS($AU$134:AU1199,$AA$134:AA1199,"*",$AB$134:AB1199,"*")</f>
        <v>2874.0000000000537</v>
      </c>
      <c r="BV1198" s="343">
        <f>SUMIFS($AU$134:AU1199,$AA$134:AA1199,"*",$AC$134:AC1199,"*")</f>
        <v>9436.7833333333328</v>
      </c>
      <c r="BW1198" s="343">
        <f>SUMIFS($AU$134:AU1199,$AB$134:AB1199,"*",$AC$134:AC1199,"*")</f>
        <v>6014.6</v>
      </c>
      <c r="BX1198" s="343">
        <f>SUMIFS($AU1199:AU$1388,$Q1199:Q$1388,"F")</f>
        <v>8274.1333333333332</v>
      </c>
      <c r="BY1198" s="343">
        <f>SUMIFS($AU1199:AU$1388,$Q1199:Q$1388,"S")</f>
        <v>2720</v>
      </c>
      <c r="BZ1198" s="343">
        <f>SUMIFS($AU1199:AU$1388,$Q1199:Q$1388,"O")</f>
        <v>-207.48466666688103</v>
      </c>
    </row>
    <row r="1199" spans="1:78" ht="15.75" customHeight="1">
      <c r="A1199" s="221" t="s">
        <v>4220</v>
      </c>
      <c r="B1199" s="177"/>
      <c r="C1199" s="178"/>
      <c r="D1199" s="178"/>
      <c r="E1199" s="227" t="s">
        <v>4225</v>
      </c>
      <c r="F1199" s="180" t="s">
        <v>4226</v>
      </c>
      <c r="G1199" s="181"/>
      <c r="H1199" s="182">
        <v>1</v>
      </c>
      <c r="I1199" s="182"/>
      <c r="J1199" s="182"/>
      <c r="K1199" s="183" t="s">
        <v>115</v>
      </c>
      <c r="L1199" s="182"/>
      <c r="M1199" s="182"/>
      <c r="N1199" s="182"/>
      <c r="O1199" s="183"/>
      <c r="P1199" s="183"/>
      <c r="Q1199" s="183"/>
      <c r="R1199" s="183"/>
      <c r="S1199" s="183"/>
      <c r="T1199" s="183"/>
      <c r="U1199" s="183"/>
      <c r="V1199" s="183"/>
      <c r="W1199" s="183"/>
      <c r="X1199" s="183"/>
      <c r="Y1199" s="183"/>
      <c r="Z1199" s="185" t="str">
        <f t="shared" si="347"/>
        <v/>
      </c>
      <c r="AA1199" s="185"/>
      <c r="AB1199" s="185"/>
      <c r="AC1199" s="185"/>
      <c r="AD1199" s="649"/>
      <c r="AE1199" s="182"/>
      <c r="AF1199" s="332"/>
      <c r="AG1199" s="182"/>
      <c r="AH1199" s="182"/>
      <c r="AI1199" s="182"/>
      <c r="AJ1199" s="640"/>
      <c r="AK1199" s="182"/>
      <c r="AL1199" s="496"/>
      <c r="AM1199" s="496"/>
      <c r="AN1199" s="626"/>
      <c r="AO1199" s="182"/>
      <c r="AP1199" s="182"/>
      <c r="AQ1199" s="332" t="str">
        <f>UPPER(RIGHT(Journal_Live[[#This Row],[DURATION ]]))</f>
        <v/>
      </c>
      <c r="AR1199" s="182"/>
      <c r="AS1199" s="189"/>
      <c r="AT1199" s="189">
        <f t="shared" si="348"/>
        <v>0</v>
      </c>
      <c r="AU1199" s="187">
        <f t="shared" si="349"/>
        <v>0</v>
      </c>
      <c r="AV1199" s="190">
        <f t="shared" si="350"/>
        <v>0</v>
      </c>
      <c r="AW1199" s="191"/>
      <c r="AX1199" s="407"/>
      <c r="AY1199" s="407"/>
      <c r="AZ1199" s="407"/>
      <c r="BA1199" s="407"/>
      <c r="BB1199" s="407"/>
      <c r="BC1199" s="407"/>
      <c r="BD1199" s="407"/>
      <c r="BE1199" s="407"/>
      <c r="BF1199" s="422"/>
      <c r="BG1199" s="391">
        <f>SUM($AV$4:AV1199)</f>
        <v>4292.6219092781002</v>
      </c>
      <c r="BH1199" s="392">
        <f>SUM($AU$134:AU1199)</f>
        <v>22572.002000000419</v>
      </c>
      <c r="BI1199" s="318">
        <f>SUMIFS($AU$134:AU1200,$Q$134:Q1200,"F")</f>
        <v>6166.5333333333328</v>
      </c>
      <c r="BJ1199" s="318">
        <f>SUMIFS($AU$134:AU1200,$Q$134:Q1200,"S")</f>
        <v>17951.642</v>
      </c>
      <c r="BK1199" s="343">
        <f>SUMIFS($AU$134:AU1200,$P$134:P1200,"W")</f>
        <v>14526.941999999943</v>
      </c>
      <c r="BL1199" s="343">
        <f>SUMIFS($AU$134:AU1200,$P$134:P1200,"R")</f>
        <v>9396.6733333333214</v>
      </c>
      <c r="BM1199" s="343">
        <f>SUMIFS($AU$134:AU1200,$AQ$134:AQ1200,"M")</f>
        <v>2838.0300000002153</v>
      </c>
      <c r="BN1199" s="343">
        <f>SUMIFS($AU$134:AU1200,$AQ$134:AQ1200,"H")</f>
        <v>8953.3420000000642</v>
      </c>
      <c r="BO1199" s="343">
        <f>SUMIFS($AU$134:AU1200,$AQ$134:AQ1200,"D")</f>
        <v>5762.2366666667649</v>
      </c>
      <c r="BP1199" s="343">
        <f>SUMIFS($AU$134:AU1202,$AQ$134:AQ1202,"W")</f>
        <v>3191.7633333332024</v>
      </c>
      <c r="BQ1199" s="343">
        <f>SUMIFS($AU$134:AU1200,$Q$134:Q1200,"O")</f>
        <v>-1297.3733333328439</v>
      </c>
      <c r="BR1199" s="343">
        <f>SUMIFS($AU$134:AU1200,$AA$134:AA1200,"*")</f>
        <v>20925.30533333353</v>
      </c>
      <c r="BS1199" s="343">
        <f>SUMIFS($AU$134:AU1200,$AB$134:AB1200,"*")</f>
        <v>4613.1966666670132</v>
      </c>
      <c r="BT1199" s="343">
        <f>SUMIFS($AU$134:AU1200,$AC$134:AC1200,"*")</f>
        <v>11255.683333333332</v>
      </c>
      <c r="BU1199" s="343">
        <f>SUMIFS($AU$134:AU1200,$AA$134:AA1200,"*",$AB$134:AB1200,"*")</f>
        <v>2874.0000000000537</v>
      </c>
      <c r="BV1199" s="343">
        <f>SUMIFS($AU$134:AU1200,$AA$134:AA1200,"*",$AC$134:AC1200,"*")</f>
        <v>9436.7833333333328</v>
      </c>
      <c r="BW1199" s="343">
        <f>SUMIFS($AU$134:AU1200,$AB$134:AB1200,"*",$AC$134:AC1200,"*")</f>
        <v>6014.6</v>
      </c>
      <c r="BX1199" s="343">
        <f>SUMIFS($AU1200:AU$1388,$Q1200:Q$1388,"F")</f>
        <v>8274.1333333333332</v>
      </c>
      <c r="BY1199" s="343">
        <f>SUMIFS($AU1200:AU$1388,$Q1200:Q$1388,"S")</f>
        <v>2720</v>
      </c>
      <c r="BZ1199" s="343">
        <f>SUMIFS($AU1200:AU$1388,$Q1200:Q$1388,"O")</f>
        <v>-207.48466666688103</v>
      </c>
    </row>
    <row r="1200" spans="1:78" ht="15.75" customHeight="1">
      <c r="A1200" s="221" t="s">
        <v>4220</v>
      </c>
      <c r="B1200" s="177">
        <v>45231</v>
      </c>
      <c r="C1200" s="178" t="s">
        <v>4227</v>
      </c>
      <c r="D1200" s="178" t="s">
        <v>151</v>
      </c>
      <c r="E1200" s="227"/>
      <c r="F1200" s="180"/>
      <c r="G1200" s="181" t="s">
        <v>4091</v>
      </c>
      <c r="H1200" s="182"/>
      <c r="I1200" s="182"/>
      <c r="J1200" s="182"/>
      <c r="K1200" s="183"/>
      <c r="L1200" s="182">
        <v>3</v>
      </c>
      <c r="M1200" s="182"/>
      <c r="N1200" s="182"/>
      <c r="O1200" s="183" t="s">
        <v>3618</v>
      </c>
      <c r="P1200" s="183" t="s">
        <v>2260</v>
      </c>
      <c r="Q1200" s="183" t="s">
        <v>684</v>
      </c>
      <c r="R1200" s="183">
        <v>1</v>
      </c>
      <c r="S1200" s="183">
        <v>0</v>
      </c>
      <c r="T1200" s="183">
        <v>1</v>
      </c>
      <c r="U1200" s="183" t="s">
        <v>22</v>
      </c>
      <c r="V1200" s="183"/>
      <c r="W1200" s="183"/>
      <c r="X1200" s="183"/>
      <c r="Y1200" s="184">
        <f>IF(ISBLANK(O1200),"",(IF(O1200=UPPER("IB"),0.005,0.01)))</f>
        <v>0.01</v>
      </c>
      <c r="Z1200" s="185">
        <f>IF(ISBLANK(O1200),"",IF(O1200="IB",8.63*200,IF(O1200="IR",16*100,IF(O1200="YT",20*100,IF(O1200="YT-XT",24*200,IF(O1200="TED",80*100,IF(O1200="XT",36*200)))))))</f>
        <v>7200</v>
      </c>
      <c r="AA1200" s="185" t="s">
        <v>4005</v>
      </c>
      <c r="AB1200" s="185"/>
      <c r="AC1200" s="185"/>
      <c r="AD1200" s="649">
        <v>95.1</v>
      </c>
      <c r="AE1200" s="182"/>
      <c r="AF1200" s="332"/>
      <c r="AG1200" s="182"/>
      <c r="AH1200" s="182"/>
      <c r="AI1200" s="182"/>
      <c r="AJ1200" s="640"/>
      <c r="AK1200" s="182"/>
      <c r="AL1200" s="496"/>
      <c r="AM1200" s="496"/>
      <c r="AN1200" s="626"/>
      <c r="AO1200" s="182"/>
      <c r="AP1200" s="182" t="s">
        <v>4228</v>
      </c>
      <c r="AQ1200" s="332" t="str">
        <f>UPPER(RIGHT(Journal_Live[[#This Row],[DURATION ]]))</f>
        <v>M</v>
      </c>
      <c r="AR1200" s="182" t="s">
        <v>4229</v>
      </c>
      <c r="AS1200" s="189">
        <v>95.12</v>
      </c>
      <c r="AT1200" s="189">
        <f t="shared" si="348"/>
        <v>2.0000000000010232E-2</v>
      </c>
      <c r="AU1200" s="187">
        <f t="shared" si="349"/>
        <v>144.00000000007367</v>
      </c>
      <c r="AV1200" s="190">
        <f t="shared" si="350"/>
        <v>144.00000000007367</v>
      </c>
      <c r="AW1200" s="191" t="s">
        <v>96</v>
      </c>
      <c r="AX1200" s="407" t="s">
        <v>4230</v>
      </c>
      <c r="AY1200" s="407" t="s">
        <v>4231</v>
      </c>
      <c r="AZ1200" s="407" t="s">
        <v>4232</v>
      </c>
      <c r="BA1200" s="407"/>
      <c r="BB1200" s="407"/>
      <c r="BC1200" s="407"/>
      <c r="BD1200" s="407"/>
      <c r="BE1200" s="407"/>
      <c r="BF1200" s="422"/>
      <c r="BG1200" s="391">
        <f>SUM($AV$4:AV1200)</f>
        <v>4436.6219092781739</v>
      </c>
      <c r="BH1200" s="392">
        <f>SUM($AU$134:AU1200)</f>
        <v>22716.002000000492</v>
      </c>
      <c r="BI1200" s="318">
        <f>SUMIFS($AU$134:AU1201,$Q$134:Q1201,"F")</f>
        <v>6166.5333333333328</v>
      </c>
      <c r="BJ1200" s="318">
        <f>SUMIFS($AU$134:AU1201,$Q$134:Q1201,"S")</f>
        <v>17951.642</v>
      </c>
      <c r="BK1200" s="343">
        <f>SUMIFS($AU$134:AU1201,$P$134:P1201,"W")</f>
        <v>14526.941999999943</v>
      </c>
      <c r="BL1200" s="343">
        <f>SUMIFS($AU$134:AU1201,$P$134:P1201,"R")</f>
        <v>9396.6733333333214</v>
      </c>
      <c r="BM1200" s="343">
        <f>SUMIFS($AU$134:AU1201,$AQ$134:AQ1201,"M")</f>
        <v>2874.0300000001826</v>
      </c>
      <c r="BN1200" s="343">
        <f>SUMIFS($AU$134:AU1201,$AQ$134:AQ1201,"H")</f>
        <v>8953.3420000000642</v>
      </c>
      <c r="BO1200" s="343">
        <f>SUMIFS($AU$134:AU1201,$AQ$134:AQ1201,"D")</f>
        <v>5762.2366666667649</v>
      </c>
      <c r="BP1200" s="343">
        <f>SUMIFS($AU$134:AU1203,$AQ$134:AQ1203,"W")</f>
        <v>3191.7633333332024</v>
      </c>
      <c r="BQ1200" s="343">
        <f>SUMIFS($AU$134:AU1201,$Q$134:Q1201,"O")</f>
        <v>-1261.3733333328767</v>
      </c>
      <c r="BR1200" s="343">
        <f>SUMIFS($AU$134:AU1201,$AA$134:AA1201,"*")</f>
        <v>20961.305333333497</v>
      </c>
      <c r="BS1200" s="343">
        <f>SUMIFS($AU$134:AU1201,$AB$134:AB1201,"*")</f>
        <v>4613.1966666670132</v>
      </c>
      <c r="BT1200" s="343">
        <f>SUMIFS($AU$134:AU1201,$AC$134:AC1201,"*")</f>
        <v>11255.683333333332</v>
      </c>
      <c r="BU1200" s="343">
        <f>SUMIFS($AU$134:AU1201,$AA$134:AA1201,"*",$AB$134:AB1201,"*")</f>
        <v>2874.0000000000537</v>
      </c>
      <c r="BV1200" s="343">
        <f>SUMIFS($AU$134:AU1201,$AA$134:AA1201,"*",$AC$134:AC1201,"*")</f>
        <v>9436.7833333333328</v>
      </c>
      <c r="BW1200" s="343">
        <f>SUMIFS($AU$134:AU1201,$AB$134:AB1201,"*",$AC$134:AC1201,"*")</f>
        <v>6014.6</v>
      </c>
      <c r="BX1200" s="343">
        <f>SUMIFS($AU1201:AU$1388,$Q1201:Q$1388,"F")</f>
        <v>8274.1333333333332</v>
      </c>
      <c r="BY1200" s="343">
        <f>SUMIFS($AU1201:AU$1388,$Q1201:Q$1388,"S")</f>
        <v>2720</v>
      </c>
      <c r="BZ1200" s="343">
        <f>SUMIFS($AU1201:AU$1388,$Q1201:Q$1388,"O")</f>
        <v>-351.48466666695469</v>
      </c>
    </row>
    <row r="1201" spans="1:78" ht="15.75" customHeight="1">
      <c r="A1201" s="221" t="s">
        <v>4220</v>
      </c>
      <c r="B1201" s="177">
        <v>45231</v>
      </c>
      <c r="C1201" s="178" t="s">
        <v>4233</v>
      </c>
      <c r="D1201" s="178" t="s">
        <v>151</v>
      </c>
      <c r="E1201" s="227"/>
      <c r="F1201" s="180"/>
      <c r="G1201" s="181" t="s">
        <v>3924</v>
      </c>
      <c r="H1201" s="182"/>
      <c r="I1201" s="182"/>
      <c r="J1201" s="182"/>
      <c r="K1201" s="183"/>
      <c r="L1201" s="182">
        <v>1</v>
      </c>
      <c r="M1201" s="182"/>
      <c r="N1201" s="182"/>
      <c r="O1201" s="183" t="s">
        <v>3618</v>
      </c>
      <c r="P1201" s="183" t="s">
        <v>2260</v>
      </c>
      <c r="Q1201" s="183" t="s">
        <v>684</v>
      </c>
      <c r="R1201" s="183">
        <v>1</v>
      </c>
      <c r="S1201" s="183">
        <v>0</v>
      </c>
      <c r="T1201" s="183">
        <v>1</v>
      </c>
      <c r="U1201" s="183" t="s">
        <v>97</v>
      </c>
      <c r="V1201" s="183"/>
      <c r="W1201" s="183"/>
      <c r="X1201" s="183"/>
      <c r="Y1201" s="184">
        <f>IF(ISBLANK(O1201),"",(IF(O1201=UPPER("IB"),0.005,0.01)))</f>
        <v>0.01</v>
      </c>
      <c r="Z1201" s="185">
        <f>IF(ISBLANK(O1201),"",IF(O1201="IB",8.63*200,IF(O1201="IR",16*100,IF(O1201="YT",20*100,IF(O1201="YT-XT",24*200,IF(O1201="TED",80*100,IF(O1201="XT",36*200)))))))</f>
        <v>7200</v>
      </c>
      <c r="AA1201" s="185" t="s">
        <v>4234</v>
      </c>
      <c r="AB1201" s="185"/>
      <c r="AC1201" s="185"/>
      <c r="AD1201" s="649">
        <v>95.155000000000001</v>
      </c>
      <c r="AE1201" s="182"/>
      <c r="AF1201" s="332"/>
      <c r="AG1201" s="182"/>
      <c r="AH1201" s="182"/>
      <c r="AI1201" s="182"/>
      <c r="AJ1201" s="640"/>
      <c r="AK1201" s="182"/>
      <c r="AL1201" s="496"/>
      <c r="AM1201" s="496"/>
      <c r="AN1201" s="626"/>
      <c r="AO1201" s="182"/>
      <c r="AP1201" s="182" t="s">
        <v>2905</v>
      </c>
      <c r="AQ1201" s="332" t="str">
        <f>UPPER(RIGHT(Journal_Live[[#This Row],[DURATION ]]))</f>
        <v>M</v>
      </c>
      <c r="AR1201" s="182" t="s">
        <v>1663</v>
      </c>
      <c r="AS1201" s="189">
        <v>95.15</v>
      </c>
      <c r="AT1201" s="189">
        <f t="shared" si="348"/>
        <v>4.9999999999954525E-3</v>
      </c>
      <c r="AU1201" s="187">
        <f t="shared" si="349"/>
        <v>35.999999999967258</v>
      </c>
      <c r="AV1201" s="190">
        <f t="shared" si="350"/>
        <v>35.999999999967258</v>
      </c>
      <c r="AW1201" s="191" t="s">
        <v>96</v>
      </c>
      <c r="AX1201" s="407" t="s">
        <v>4235</v>
      </c>
      <c r="AY1201" s="407"/>
      <c r="AZ1201" s="407"/>
      <c r="BA1201" s="407"/>
      <c r="BB1201" s="407"/>
      <c r="BC1201" s="407"/>
      <c r="BD1201" s="407"/>
      <c r="BE1201" s="407"/>
      <c r="BF1201" s="422"/>
      <c r="BG1201" s="391">
        <f>SUM($AV$4:AV1201)</f>
        <v>4472.6219092781412</v>
      </c>
      <c r="BH1201" s="392">
        <f>SUM($AU$134:AU1201)</f>
        <v>22752.002000000459</v>
      </c>
      <c r="BI1201" s="318">
        <f>SUMIFS($AU$134:AU1202,$Q$134:Q1202,"F")</f>
        <v>6166.5333333333328</v>
      </c>
      <c r="BJ1201" s="318">
        <f>SUMIFS($AU$134:AU1202,$Q$134:Q1202,"S")</f>
        <v>17951.642</v>
      </c>
      <c r="BK1201" s="343">
        <f>SUMIFS($AU$134:AU1202,$P$134:P1202,"W")</f>
        <v>14526.941999999943</v>
      </c>
      <c r="BL1201" s="343">
        <f>SUMIFS($AU$134:AU1202,$P$134:P1202,"R")</f>
        <v>9396.6733333333214</v>
      </c>
      <c r="BM1201" s="343">
        <f>SUMIFS($AU$134:AU1202,$AQ$134:AQ1202,"M")</f>
        <v>2874.0300000001826</v>
      </c>
      <c r="BN1201" s="343">
        <f>SUMIFS($AU$134:AU1202,$AQ$134:AQ1202,"H")</f>
        <v>8953.3420000000642</v>
      </c>
      <c r="BO1201" s="343">
        <f>SUMIFS($AU$134:AU1202,$AQ$134:AQ1202,"D")</f>
        <v>5762.2366666667649</v>
      </c>
      <c r="BP1201" s="343">
        <f>SUMIFS($AU$134:AU1204,$AQ$134:AQ1204,"W")</f>
        <v>3191.7633333332024</v>
      </c>
      <c r="BQ1201" s="343">
        <f>SUMIFS($AU$134:AU1202,$Q$134:Q1202,"O")</f>
        <v>-1261.3733333328767</v>
      </c>
      <c r="BR1201" s="343">
        <f>SUMIFS($AU$134:AU1202,$AA$134:AA1202,"*")</f>
        <v>20961.305333333497</v>
      </c>
      <c r="BS1201" s="343">
        <f>SUMIFS($AU$134:AU1202,$AB$134:AB1202,"*")</f>
        <v>4613.1966666670132</v>
      </c>
      <c r="BT1201" s="343">
        <f>SUMIFS($AU$134:AU1202,$AC$134:AC1202,"*")</f>
        <v>11255.683333333332</v>
      </c>
      <c r="BU1201" s="343">
        <f>SUMIFS($AU$134:AU1202,$AA$134:AA1202,"*",$AB$134:AB1202,"*")</f>
        <v>2874.0000000000537</v>
      </c>
      <c r="BV1201" s="343">
        <f>SUMIFS($AU$134:AU1202,$AA$134:AA1202,"*",$AC$134:AC1202,"*")</f>
        <v>9436.7833333333328</v>
      </c>
      <c r="BW1201" s="343">
        <f>SUMIFS($AU$134:AU1202,$AB$134:AB1202,"*",$AC$134:AC1202,"*")</f>
        <v>6014.6</v>
      </c>
      <c r="BX1201" s="343">
        <f>SUMIFS($AU1202:AU$1388,$Q1202:Q$1388,"F")</f>
        <v>8274.1333333333332</v>
      </c>
      <c r="BY1201" s="343">
        <f>SUMIFS($AU1202:AU$1388,$Q1202:Q$1388,"S")</f>
        <v>2720</v>
      </c>
      <c r="BZ1201" s="343">
        <f>SUMIFS($AU1202:AU$1388,$Q1202:Q$1388,"O")</f>
        <v>-387.48466666692195</v>
      </c>
    </row>
    <row r="1202" spans="1:78" ht="15.75" customHeight="1">
      <c r="A1202" s="221" t="s">
        <v>4220</v>
      </c>
      <c r="B1202" s="177">
        <v>45231</v>
      </c>
      <c r="C1202" s="178" t="s">
        <v>4236</v>
      </c>
      <c r="D1202" s="178" t="s">
        <v>151</v>
      </c>
      <c r="E1202" s="227"/>
      <c r="F1202" s="180"/>
      <c r="G1202" s="181" t="s">
        <v>2016</v>
      </c>
      <c r="H1202" s="182"/>
      <c r="I1202" s="182"/>
      <c r="J1202" s="182"/>
      <c r="K1202" s="183"/>
      <c r="L1202" s="182"/>
      <c r="M1202" s="182"/>
      <c r="N1202" s="182"/>
      <c r="O1202" s="183"/>
      <c r="P1202" s="183"/>
      <c r="Q1202" s="183"/>
      <c r="R1202" s="183"/>
      <c r="S1202" s="183"/>
      <c r="T1202" s="183"/>
      <c r="U1202" s="183"/>
      <c r="V1202" s="183"/>
      <c r="W1202" s="183"/>
      <c r="X1202" s="183"/>
      <c r="Y1202" s="184"/>
      <c r="Z1202" s="185"/>
      <c r="AA1202" s="185"/>
      <c r="AB1202" s="185"/>
      <c r="AC1202" s="185"/>
      <c r="AD1202" s="649"/>
      <c r="AE1202" s="182"/>
      <c r="AF1202" s="332"/>
      <c r="AG1202" s="182"/>
      <c r="AH1202" s="182">
        <v>-6</v>
      </c>
      <c r="AI1202" s="182"/>
      <c r="AJ1202" s="640"/>
      <c r="AK1202" s="182"/>
      <c r="AL1202" s="496"/>
      <c r="AM1202" s="496"/>
      <c r="AN1202" s="626"/>
      <c r="AO1202" s="182"/>
      <c r="AP1202" s="182"/>
      <c r="AQ1202" s="332" t="str">
        <f>UPPER(RIGHT(Journal_Live[[#This Row],[DURATION ]]))</f>
        <v/>
      </c>
      <c r="AR1202" s="182"/>
      <c r="AS1202" s="189"/>
      <c r="AT1202" s="189">
        <f t="shared" si="348"/>
        <v>0</v>
      </c>
      <c r="AU1202" s="187">
        <f t="shared" si="349"/>
        <v>0</v>
      </c>
      <c r="AV1202" s="190">
        <f t="shared" si="350"/>
        <v>0</v>
      </c>
      <c r="AW1202" s="191"/>
      <c r="AX1202" s="407"/>
      <c r="AY1202" s="407"/>
      <c r="AZ1202" s="407"/>
      <c r="BA1202" s="407"/>
      <c r="BB1202" s="407"/>
      <c r="BC1202" s="407"/>
      <c r="BD1202" s="407"/>
      <c r="BE1202" s="407"/>
      <c r="BF1202" s="422"/>
      <c r="BG1202" s="391">
        <f>SUM($AV$4:AV1202)</f>
        <v>4472.6219092781412</v>
      </c>
      <c r="BH1202" s="392">
        <f>SUM($AU$134:AU1202)</f>
        <v>22752.002000000459</v>
      </c>
      <c r="BI1202" s="318">
        <f>SUMIFS($AU$134:AU1203,$Q$134:Q1203,"F")</f>
        <v>6166.5333333333328</v>
      </c>
      <c r="BJ1202" s="318">
        <f>SUMIFS($AU$134:AU1203,$Q$134:Q1203,"S")</f>
        <v>17567.642</v>
      </c>
      <c r="BK1202" s="343">
        <f>SUMIFS($AU$134:AU1203,$P$134:P1203,"W")</f>
        <v>14526.941999999943</v>
      </c>
      <c r="BL1202" s="343">
        <f>SUMIFS($AU$134:AU1203,$P$134:P1203,"R")</f>
        <v>9012.6733333333214</v>
      </c>
      <c r="BM1202" s="343">
        <f>SUMIFS($AU$134:AU1203,$AQ$134:AQ1203,"M")</f>
        <v>2874.0300000001826</v>
      </c>
      <c r="BN1202" s="343">
        <f>SUMIFS($AU$134:AU1203,$AQ$134:AQ1203,"H")</f>
        <v>8953.3420000000642</v>
      </c>
      <c r="BO1202" s="343">
        <f>SUMIFS($AU$134:AU1203,$AQ$134:AQ1203,"D")</f>
        <v>5762.2366666667649</v>
      </c>
      <c r="BP1202" s="343">
        <f>SUMIFS($AU$134:AU1205,$AQ$134:AQ1205,"W")</f>
        <v>3191.7633333332024</v>
      </c>
      <c r="BQ1202" s="343">
        <f>SUMIFS($AU$134:AU1203,$Q$134:Q1203,"O")</f>
        <v>-1261.3733333328767</v>
      </c>
      <c r="BR1202" s="343">
        <f>SUMIFS($AU$134:AU1203,$AA$134:AA1203,"*")</f>
        <v>20577.305333333497</v>
      </c>
      <c r="BS1202" s="343">
        <f>SUMIFS($AU$134:AU1203,$AB$134:AB1203,"*")</f>
        <v>4613.1966666670132</v>
      </c>
      <c r="BT1202" s="343">
        <f>SUMIFS($AU$134:AU1203,$AC$134:AC1203,"*")</f>
        <v>11255.683333333332</v>
      </c>
      <c r="BU1202" s="343">
        <f>SUMIFS($AU$134:AU1203,$AA$134:AA1203,"*",$AB$134:AB1203,"*")</f>
        <v>2874.0000000000537</v>
      </c>
      <c r="BV1202" s="343">
        <f>SUMIFS($AU$134:AU1203,$AA$134:AA1203,"*",$AC$134:AC1203,"*")</f>
        <v>9436.7833333333328</v>
      </c>
      <c r="BW1202" s="343">
        <f>SUMIFS($AU$134:AU1203,$AB$134:AB1203,"*",$AC$134:AC1203,"*")</f>
        <v>6014.6</v>
      </c>
      <c r="BX1202" s="343">
        <f>SUMIFS($AU1203:AU$1388,$Q1203:Q$1388,"F")</f>
        <v>8274.1333333333332</v>
      </c>
      <c r="BY1202" s="343">
        <f>SUMIFS($AU1203:AU$1388,$Q1203:Q$1388,"S")</f>
        <v>2720</v>
      </c>
      <c r="BZ1202" s="343">
        <f>SUMIFS($AU1203:AU$1388,$Q1203:Q$1388,"O")</f>
        <v>-387.48466666692195</v>
      </c>
    </row>
    <row r="1203" spans="1:78" ht="15.75" customHeight="1">
      <c r="A1203" s="221" t="s">
        <v>4220</v>
      </c>
      <c r="B1203" s="177">
        <v>45231</v>
      </c>
      <c r="C1203" s="178" t="s">
        <v>4027</v>
      </c>
      <c r="D1203" s="178" t="s">
        <v>151</v>
      </c>
      <c r="E1203" s="227"/>
      <c r="F1203" s="180"/>
      <c r="G1203" s="489" t="s">
        <v>2070</v>
      </c>
      <c r="H1203" s="182"/>
      <c r="I1203" s="182"/>
      <c r="J1203" s="182"/>
      <c r="K1203" s="183"/>
      <c r="L1203" s="182">
        <v>1</v>
      </c>
      <c r="M1203" s="182"/>
      <c r="N1203" s="182"/>
      <c r="O1203" s="183" t="s">
        <v>95</v>
      </c>
      <c r="P1203" s="183" t="s">
        <v>137</v>
      </c>
      <c r="Q1203" s="183" t="s">
        <v>97</v>
      </c>
      <c r="R1203" s="183">
        <v>12</v>
      </c>
      <c r="S1203" s="183">
        <v>0</v>
      </c>
      <c r="T1203" s="183">
        <v>12</v>
      </c>
      <c r="U1203" s="183" t="s">
        <v>22</v>
      </c>
      <c r="V1203" s="183"/>
      <c r="W1203" s="183"/>
      <c r="X1203" s="183"/>
      <c r="Y1203" s="184">
        <f>IF(ISBLANK(O1203),"",(IF(O1203=UPPER("IB"),0.005,0.01)))</f>
        <v>0.01</v>
      </c>
      <c r="Z1203" s="185">
        <f>IF(ISBLANK(O1203),"",IF(O1203="IB",8.63*200,IF(O1203="IR",16*100,IF(O1203="YT",20*100,IF(O1203="YT-XT",24*200,IF(O1203="TED",80*100))))))</f>
        <v>1600</v>
      </c>
      <c r="AA1203" s="185" t="s">
        <v>99</v>
      </c>
      <c r="AB1203" s="185"/>
      <c r="AC1203" s="185"/>
      <c r="AD1203" s="649">
        <v>-0.06</v>
      </c>
      <c r="AE1203" s="182"/>
      <c r="AF1203" s="332"/>
      <c r="AG1203" s="182"/>
      <c r="AH1203" s="182">
        <v>-6</v>
      </c>
      <c r="AI1203" s="182"/>
      <c r="AJ1203" s="640"/>
      <c r="AK1203" s="182"/>
      <c r="AL1203" s="496">
        <f>-0.02*Z1203</f>
        <v>-32</v>
      </c>
      <c r="AM1203" s="496">
        <f>AL1203*(R1203-S1203)</f>
        <v>-384</v>
      </c>
      <c r="AN1203" s="626"/>
      <c r="AO1203" s="182"/>
      <c r="AP1203" s="182"/>
      <c r="AQ1203" s="332" t="str">
        <f>UPPER(RIGHT(Journal_Live[[#This Row],[DURATION ]]))</f>
        <v/>
      </c>
      <c r="AR1203" s="182" t="s">
        <v>4237</v>
      </c>
      <c r="AS1203" s="189">
        <v>-0.08</v>
      </c>
      <c r="AT1203" s="189">
        <f t="shared" si="348"/>
        <v>-2.0000000000000004E-2</v>
      </c>
      <c r="AU1203" s="187">
        <f t="shared" si="349"/>
        <v>-384.00000000000011</v>
      </c>
      <c r="AV1203" s="190">
        <f t="shared" si="350"/>
        <v>-32.000000000000007</v>
      </c>
      <c r="AW1203" s="191" t="s">
        <v>229</v>
      </c>
      <c r="AX1203" s="407"/>
      <c r="AY1203" s="407"/>
      <c r="AZ1203" s="407"/>
      <c r="BA1203" s="407"/>
      <c r="BB1203" s="407"/>
      <c r="BC1203" s="407"/>
      <c r="BD1203" s="407"/>
      <c r="BE1203" s="407"/>
      <c r="BF1203" s="422"/>
      <c r="BG1203" s="391">
        <f>SUM($AV$4:AV1203)</f>
        <v>4440.6219092781412</v>
      </c>
      <c r="BH1203" s="392">
        <f>SUM($AU$134:AU1203)</f>
        <v>22368.002000000459</v>
      </c>
      <c r="BI1203" s="318">
        <f>SUMIFS($AU$134:AU1204,$Q$134:Q1204,"F")</f>
        <v>6166.5333333333328</v>
      </c>
      <c r="BJ1203" s="318">
        <f>SUMIFS($AU$134:AU1204,$Q$134:Q1204,"S")</f>
        <v>17567.642</v>
      </c>
      <c r="BK1203" s="343">
        <f>SUMIFS($AU$134:AU1204,$P$134:P1204,"W")</f>
        <v>14526.941999999943</v>
      </c>
      <c r="BL1203" s="343">
        <f>SUMIFS($AU$134:AU1204,$P$134:P1204,"R")</f>
        <v>9012.6733333333214</v>
      </c>
      <c r="BM1203" s="343">
        <f>SUMIFS($AU$134:AU1204,$AQ$134:AQ1204,"M")</f>
        <v>2874.0300000001826</v>
      </c>
      <c r="BN1203" s="343">
        <f>SUMIFS($AU$134:AU1204,$AQ$134:AQ1204,"H")</f>
        <v>8953.3420000000642</v>
      </c>
      <c r="BO1203" s="343">
        <f>SUMIFS($AU$134:AU1204,$AQ$134:AQ1204,"D")</f>
        <v>5762.2366666667649</v>
      </c>
      <c r="BP1203" s="343">
        <f>SUMIFS($AU$134:AU1206,$AQ$134:AQ1206,"W")</f>
        <v>3191.7633333332024</v>
      </c>
      <c r="BQ1203" s="343">
        <f>SUMIFS($AU$134:AU1204,$Q$134:Q1204,"O")</f>
        <v>-1261.3733333328767</v>
      </c>
      <c r="BR1203" s="343">
        <f>SUMIFS($AU$134:AU1204,$AA$134:AA1204,"*")</f>
        <v>20577.305333333497</v>
      </c>
      <c r="BS1203" s="343">
        <f>SUMIFS($AU$134:AU1204,$AB$134:AB1204,"*")</f>
        <v>4613.1966666670132</v>
      </c>
      <c r="BT1203" s="343">
        <f>SUMIFS($AU$134:AU1204,$AC$134:AC1204,"*")</f>
        <v>11255.683333333332</v>
      </c>
      <c r="BU1203" s="343">
        <f>SUMIFS($AU$134:AU1204,$AA$134:AA1204,"*",$AB$134:AB1204,"*")</f>
        <v>2874.0000000000537</v>
      </c>
      <c r="BV1203" s="343">
        <f>SUMIFS($AU$134:AU1204,$AA$134:AA1204,"*",$AC$134:AC1204,"*")</f>
        <v>9436.7833333333328</v>
      </c>
      <c r="BW1203" s="343">
        <f>SUMIFS($AU$134:AU1204,$AB$134:AB1204,"*",$AC$134:AC1204,"*")</f>
        <v>6014.6</v>
      </c>
      <c r="BX1203" s="343">
        <f>SUMIFS($AU1204:AU$1388,$Q1204:Q$1388,"F")</f>
        <v>8274.1333333333332</v>
      </c>
      <c r="BY1203" s="343">
        <f>SUMIFS($AU1204:AU$1388,$Q1204:Q$1388,"S")</f>
        <v>3104.0000000000005</v>
      </c>
      <c r="BZ1203" s="343">
        <f>SUMIFS($AU1204:AU$1388,$Q1204:Q$1388,"O")</f>
        <v>-387.48466666692195</v>
      </c>
    </row>
    <row r="1204" spans="1:78" ht="15.75" customHeight="1">
      <c r="A1204" s="221" t="s">
        <v>4220</v>
      </c>
      <c r="B1204" s="177">
        <v>45231</v>
      </c>
      <c r="C1204" s="178" t="s">
        <v>4238</v>
      </c>
      <c r="D1204" s="178" t="s">
        <v>151</v>
      </c>
      <c r="E1204" s="227"/>
      <c r="F1204" s="180"/>
      <c r="G1204" s="281" t="s">
        <v>181</v>
      </c>
      <c r="H1204" s="182"/>
      <c r="I1204" s="182"/>
      <c r="J1204" s="182"/>
      <c r="K1204" s="183"/>
      <c r="L1204" s="182">
        <v>1</v>
      </c>
      <c r="M1204" s="182"/>
      <c r="N1204" s="182"/>
      <c r="O1204" s="183" t="s">
        <v>95</v>
      </c>
      <c r="P1204" s="183" t="s">
        <v>96</v>
      </c>
      <c r="Q1204" s="183" t="s">
        <v>97</v>
      </c>
      <c r="R1204" s="183">
        <v>3</v>
      </c>
      <c r="S1204" s="183">
        <v>0</v>
      </c>
      <c r="T1204" s="183">
        <v>3</v>
      </c>
      <c r="U1204" s="183" t="s">
        <v>22</v>
      </c>
      <c r="V1204" s="183"/>
      <c r="W1204" s="183"/>
      <c r="X1204" s="183"/>
      <c r="Y1204" s="184">
        <f>IF(ISBLANK(O1204),"",(IF(O1204=UPPER("IB"),0.005,0.01)))</f>
        <v>0.01</v>
      </c>
      <c r="Z1204" s="185">
        <f>IF(ISBLANK(O1204),"",IF(O1204="IB",8.63*200,IF(O1204="IR",16*100,IF(O1204="YT",20*100,IF(O1204="YT-XT",24*200,IF(O1204="TED",80*100))))))</f>
        <v>1600</v>
      </c>
      <c r="AA1204" s="185" t="s">
        <v>99</v>
      </c>
      <c r="AB1204" s="185"/>
      <c r="AC1204" s="185"/>
      <c r="AD1204" s="649">
        <v>0.06</v>
      </c>
      <c r="AE1204" s="182"/>
      <c r="AF1204" s="332"/>
      <c r="AG1204" s="182"/>
      <c r="AH1204" s="182"/>
      <c r="AI1204" s="182"/>
      <c r="AJ1204" s="640"/>
      <c r="AK1204" s="182"/>
      <c r="AL1204" s="496">
        <f t="shared" ref="AL1204:AL1210" si="351">-0.03*Z1204</f>
        <v>-48</v>
      </c>
      <c r="AM1204" s="496">
        <f>AL1204*(R1204-S1204)</f>
        <v>-144</v>
      </c>
      <c r="AN1204" s="626"/>
      <c r="AO1204" s="182"/>
      <c r="AP1204" s="182" t="s">
        <v>589</v>
      </c>
      <c r="AQ1204" s="332" t="str">
        <f>UPPER(RIGHT(Journal_Live[[#This Row],[DURATION ]]))</f>
        <v>D</v>
      </c>
      <c r="AR1204" s="298" t="s">
        <v>4239</v>
      </c>
      <c r="AS1204" s="189">
        <v>0.06</v>
      </c>
      <c r="AT1204" s="189">
        <f t="shared" si="348"/>
        <v>0</v>
      </c>
      <c r="AU1204" s="187">
        <f t="shared" si="349"/>
        <v>0</v>
      </c>
      <c r="AV1204" s="190">
        <f t="shared" si="350"/>
        <v>0</v>
      </c>
      <c r="AW1204" s="191" t="s">
        <v>115</v>
      </c>
      <c r="AX1204" s="407" t="s">
        <v>4240</v>
      </c>
      <c r="AY1204" s="407"/>
      <c r="AZ1204" s="407"/>
      <c r="BA1204" s="407"/>
      <c r="BB1204" s="407"/>
      <c r="BC1204" s="407"/>
      <c r="BD1204" s="407"/>
      <c r="BE1204" s="407"/>
      <c r="BF1204" s="422"/>
      <c r="BG1204" s="391">
        <f>SUM($AV$4:AV1204)</f>
        <v>4440.6219092781412</v>
      </c>
      <c r="BH1204" s="392">
        <f>SUM($AU$134:AU1204)</f>
        <v>22368.002000000459</v>
      </c>
      <c r="BI1204" s="318">
        <f>SUMIFS($AU$134:AU1205,$Q$134:Q1205,"F")</f>
        <v>6166.5333333333328</v>
      </c>
      <c r="BJ1204" s="318">
        <f>SUMIFS($AU$134:AU1205,$Q$134:Q1205,"S")</f>
        <v>17567.642</v>
      </c>
      <c r="BK1204" s="343">
        <f>SUMIFS($AU$134:AU1205,$P$134:P1205,"W")</f>
        <v>14526.941999999943</v>
      </c>
      <c r="BL1204" s="343">
        <f>SUMIFS($AU$134:AU1205,$P$134:P1205,"R")</f>
        <v>9012.6733333333214</v>
      </c>
      <c r="BM1204" s="343">
        <f>SUMIFS($AU$134:AU1205,$AQ$134:AQ1205,"M")</f>
        <v>2874.0300000001826</v>
      </c>
      <c r="BN1204" s="343">
        <f>SUMIFS($AU$134:AU1205,$AQ$134:AQ1205,"H")</f>
        <v>8953.3420000000642</v>
      </c>
      <c r="BO1204" s="343">
        <f>SUMIFS($AU$134:AU1205,$AQ$134:AQ1205,"D")</f>
        <v>5762.2366666667649</v>
      </c>
      <c r="BP1204" s="343">
        <f>SUMIFS($AU$134:AU1207,$AQ$134:AQ1207,"W")</f>
        <v>3191.7633333332024</v>
      </c>
      <c r="BQ1204" s="343">
        <f>SUMIFS($AU$134:AU1205,$Q$134:Q1205,"O")</f>
        <v>-1261.3733333328767</v>
      </c>
      <c r="BR1204" s="343">
        <f>SUMIFS($AU$134:AU1205,$AA$134:AA1205,"*")</f>
        <v>20577.305333333497</v>
      </c>
      <c r="BS1204" s="343">
        <f>SUMIFS($AU$134:AU1205,$AB$134:AB1205,"*")</f>
        <v>4613.1966666670132</v>
      </c>
      <c r="BT1204" s="343">
        <f>SUMIFS($AU$134:AU1205,$AC$134:AC1205,"*")</f>
        <v>11255.683333333332</v>
      </c>
      <c r="BU1204" s="343">
        <f>SUMIFS($AU$134:AU1205,$AA$134:AA1205,"*",$AB$134:AB1205,"*")</f>
        <v>2874.0000000000537</v>
      </c>
      <c r="BV1204" s="343">
        <f>SUMIFS($AU$134:AU1205,$AA$134:AA1205,"*",$AC$134:AC1205,"*")</f>
        <v>9436.7833333333328</v>
      </c>
      <c r="BW1204" s="343">
        <f>SUMIFS($AU$134:AU1205,$AB$134:AB1205,"*",$AC$134:AC1205,"*")</f>
        <v>6014.6</v>
      </c>
      <c r="BX1204" s="343">
        <f>SUMIFS($AU1205:AU$1388,$Q1205:Q$1388,"F")</f>
        <v>8274.1333333333332</v>
      </c>
      <c r="BY1204" s="343">
        <f>SUMIFS($AU1205:AU$1388,$Q1205:Q$1388,"S")</f>
        <v>3104.0000000000005</v>
      </c>
      <c r="BZ1204" s="343">
        <f>SUMIFS($AU1205:AU$1388,$Q1205:Q$1388,"O")</f>
        <v>-387.48466666692195</v>
      </c>
    </row>
    <row r="1205" spans="1:78" ht="15.75" customHeight="1">
      <c r="A1205" s="221" t="s">
        <v>4220</v>
      </c>
      <c r="B1205" s="177">
        <v>45231</v>
      </c>
      <c r="C1205" s="178" t="s">
        <v>1481</v>
      </c>
      <c r="D1205" s="178" t="s">
        <v>151</v>
      </c>
      <c r="E1205" s="227" t="s">
        <v>4241</v>
      </c>
      <c r="F1205" s="180" t="s">
        <v>4242</v>
      </c>
      <c r="G1205" s="181"/>
      <c r="H1205" s="182"/>
      <c r="I1205" s="182"/>
      <c r="J1205" s="182"/>
      <c r="K1205" s="183"/>
      <c r="L1205" s="182"/>
      <c r="M1205" s="182"/>
      <c r="N1205" s="182"/>
      <c r="O1205" s="183"/>
      <c r="P1205" s="183"/>
      <c r="Q1205" s="183"/>
      <c r="R1205" s="183"/>
      <c r="S1205" s="183"/>
      <c r="T1205" s="183"/>
      <c r="U1205" s="183"/>
      <c r="V1205" s="183"/>
      <c r="W1205" s="183"/>
      <c r="X1205" s="183"/>
      <c r="Y1205" s="183"/>
      <c r="Z1205" s="185" t="str">
        <f>IF(ISBLANK(O1205),"",IF(O1205="IB",8.63*200,IF(O1205="IR",16*100,IF(O1205="YT",20*100,IF(O1205="YT-XT",24*200,IF(O1205="TED",80*100))))))</f>
        <v/>
      </c>
      <c r="AA1205" s="185"/>
      <c r="AB1205" s="185"/>
      <c r="AC1205" s="185"/>
      <c r="AD1205" s="649"/>
      <c r="AE1205" s="182"/>
      <c r="AF1205" s="332"/>
      <c r="AG1205" s="182"/>
      <c r="AH1205" s="182"/>
      <c r="AI1205" s="182"/>
      <c r="AJ1205" s="640"/>
      <c r="AK1205" s="182"/>
      <c r="AL1205" s="496"/>
      <c r="AM1205" s="496"/>
      <c r="AN1205" s="626"/>
      <c r="AO1205" s="182"/>
      <c r="AP1205" s="182"/>
      <c r="AQ1205" s="332" t="str">
        <f>UPPER(RIGHT(Journal_Live[[#This Row],[DURATION ]]))</f>
        <v/>
      </c>
      <c r="AR1205" s="182"/>
      <c r="AS1205" s="189"/>
      <c r="AT1205" s="189">
        <f t="shared" si="348"/>
        <v>0</v>
      </c>
      <c r="AU1205" s="187">
        <f t="shared" si="349"/>
        <v>0</v>
      </c>
      <c r="AV1205" s="190">
        <f t="shared" si="350"/>
        <v>0</v>
      </c>
      <c r="AW1205" s="191"/>
      <c r="AX1205" s="407" t="s">
        <v>4243</v>
      </c>
      <c r="AY1205" s="407" t="s">
        <v>4244</v>
      </c>
      <c r="AZ1205" s="407"/>
      <c r="BA1205" s="407"/>
      <c r="BB1205" s="407"/>
      <c r="BC1205" s="407"/>
      <c r="BD1205" s="407"/>
      <c r="BE1205" s="407"/>
      <c r="BF1205" s="422"/>
      <c r="BG1205" s="391">
        <f>SUM($AV$4:AV1205)</f>
        <v>4440.6219092781412</v>
      </c>
      <c r="BH1205" s="392">
        <f>SUM($AU$134:AU1205)</f>
        <v>22368.002000000459</v>
      </c>
      <c r="BI1205" s="318">
        <f>SUMIFS($AU$134:AU1206,$Q$134:Q1206,"F")</f>
        <v>6166.5333333333328</v>
      </c>
      <c r="BJ1205" s="318">
        <f>SUMIFS($AU$134:AU1206,$Q$134:Q1206,"S")</f>
        <v>17567.642</v>
      </c>
      <c r="BK1205" s="343">
        <f>SUMIFS($AU$134:AU1206,$P$134:P1206,"W")</f>
        <v>14526.941999999943</v>
      </c>
      <c r="BL1205" s="343">
        <f>SUMIFS($AU$134:AU1206,$P$134:P1206,"R")</f>
        <v>9012.6733333333214</v>
      </c>
      <c r="BM1205" s="343">
        <f>SUMIFS($AU$134:AU1206,$AQ$134:AQ1206,"M")</f>
        <v>2874.0300000001826</v>
      </c>
      <c r="BN1205" s="343">
        <f>SUMIFS($AU$134:AU1206,$AQ$134:AQ1206,"H")</f>
        <v>8953.3420000000642</v>
      </c>
      <c r="BO1205" s="343">
        <f>SUMIFS($AU$134:AU1206,$AQ$134:AQ1206,"D")</f>
        <v>5762.2366666667649</v>
      </c>
      <c r="BP1205" s="343">
        <f>SUMIFS($AU$134:AU1208,$AQ$134:AQ1208,"W")</f>
        <v>3191.7633333332024</v>
      </c>
      <c r="BQ1205" s="343">
        <f>SUMIFS($AU$134:AU1206,$Q$134:Q1206,"O")</f>
        <v>-1261.3733333328767</v>
      </c>
      <c r="BR1205" s="343">
        <f>SUMIFS($AU$134:AU1206,$AA$134:AA1206,"*")</f>
        <v>20577.305333333497</v>
      </c>
      <c r="BS1205" s="343">
        <f>SUMIFS($AU$134:AU1206,$AB$134:AB1206,"*")</f>
        <v>4613.1966666670132</v>
      </c>
      <c r="BT1205" s="343">
        <f>SUMIFS($AU$134:AU1206,$AC$134:AC1206,"*")</f>
        <v>11255.683333333332</v>
      </c>
      <c r="BU1205" s="343">
        <f>SUMIFS($AU$134:AU1206,$AA$134:AA1206,"*",$AB$134:AB1206,"*")</f>
        <v>2874.0000000000537</v>
      </c>
      <c r="BV1205" s="343">
        <f>SUMIFS($AU$134:AU1206,$AA$134:AA1206,"*",$AC$134:AC1206,"*")</f>
        <v>9436.7833333333328</v>
      </c>
      <c r="BW1205" s="343">
        <f>SUMIFS($AU$134:AU1206,$AB$134:AB1206,"*",$AC$134:AC1206,"*")</f>
        <v>6014.6</v>
      </c>
      <c r="BX1205" s="343">
        <f>SUMIFS($AU1206:AU$1388,$Q1206:Q$1388,"F")</f>
        <v>8274.1333333333332</v>
      </c>
      <c r="BY1205" s="343">
        <f>SUMIFS($AU1206:AU$1388,$Q1206:Q$1388,"S")</f>
        <v>3104.0000000000005</v>
      </c>
      <c r="BZ1205" s="343">
        <f>SUMIFS($AU1206:AU$1388,$Q1206:Q$1388,"O")</f>
        <v>-387.48466666692195</v>
      </c>
    </row>
    <row r="1206" spans="1:78" ht="15.75" customHeight="1">
      <c r="A1206" s="221" t="s">
        <v>4220</v>
      </c>
      <c r="B1206" s="177">
        <v>45232</v>
      </c>
      <c r="C1206" s="178" t="s">
        <v>4245</v>
      </c>
      <c r="D1206" s="178" t="s">
        <v>93</v>
      </c>
      <c r="E1206" s="227"/>
      <c r="F1206" s="180"/>
      <c r="G1206" s="181" t="s">
        <v>136</v>
      </c>
      <c r="H1206" s="182"/>
      <c r="I1206" s="182"/>
      <c r="J1206" s="182"/>
      <c r="K1206" s="183"/>
      <c r="L1206" s="182"/>
      <c r="M1206" s="182"/>
      <c r="N1206" s="182"/>
      <c r="O1206" s="183"/>
      <c r="P1206" s="183"/>
      <c r="Q1206" s="183"/>
      <c r="R1206" s="183"/>
      <c r="S1206" s="183"/>
      <c r="T1206" s="183"/>
      <c r="U1206" s="183"/>
      <c r="V1206" s="183"/>
      <c r="W1206" s="183"/>
      <c r="X1206" s="183"/>
      <c r="Y1206" s="184"/>
      <c r="Z1206" s="185"/>
      <c r="AA1206" s="185"/>
      <c r="AB1206" s="185"/>
      <c r="AC1206" s="185"/>
      <c r="AD1206" s="649"/>
      <c r="AE1206" s="182"/>
      <c r="AF1206" s="332"/>
      <c r="AG1206" s="182"/>
      <c r="AH1206" s="182"/>
      <c r="AI1206" s="182"/>
      <c r="AJ1206" s="640"/>
      <c r="AK1206" s="182"/>
      <c r="AL1206" s="496"/>
      <c r="AM1206" s="496"/>
      <c r="AN1206" s="626"/>
      <c r="AO1206" s="182"/>
      <c r="AP1206" s="182"/>
      <c r="AQ1206" s="332" t="str">
        <f>UPPER(RIGHT(Journal_Live[[#This Row],[DURATION ]]))</f>
        <v/>
      </c>
      <c r="AR1206" s="182"/>
      <c r="AS1206" s="189"/>
      <c r="AT1206" s="189">
        <f t="shared" si="348"/>
        <v>0</v>
      </c>
      <c r="AU1206" s="187">
        <f t="shared" si="349"/>
        <v>0</v>
      </c>
      <c r="AV1206" s="190">
        <f t="shared" si="350"/>
        <v>0</v>
      </c>
      <c r="AW1206" s="191"/>
      <c r="AX1206" s="407"/>
      <c r="AY1206" s="407"/>
      <c r="AZ1206" s="407"/>
      <c r="BA1206" s="407"/>
      <c r="BB1206" s="407"/>
      <c r="BC1206" s="407"/>
      <c r="BD1206" s="407"/>
      <c r="BE1206" s="407"/>
      <c r="BF1206" s="422"/>
      <c r="BG1206" s="391">
        <f>SUM($AV$4:AV1206)</f>
        <v>4440.6219092781412</v>
      </c>
      <c r="BH1206" s="392">
        <f>SUM($AU$134:AU1206)</f>
        <v>22368.002000000459</v>
      </c>
      <c r="BI1206" s="318">
        <f>SUMIFS($AU$134:AU1207,$Q$134:Q1207,"F")</f>
        <v>6166.5333333333328</v>
      </c>
      <c r="BJ1206" s="318">
        <f>SUMIFS($AU$134:AU1207,$Q$134:Q1207,"S")</f>
        <v>16831.642</v>
      </c>
      <c r="BK1206" s="343">
        <f>SUMIFS($AU$134:AU1207,$P$134:P1207,"W")</f>
        <v>13790.941999999943</v>
      </c>
      <c r="BL1206" s="343">
        <f>SUMIFS($AU$134:AU1207,$P$134:P1207,"R")</f>
        <v>9012.6733333333214</v>
      </c>
      <c r="BM1206" s="343">
        <f>SUMIFS($AU$134:AU1207,$AQ$134:AQ1207,"M")</f>
        <v>2874.0300000001826</v>
      </c>
      <c r="BN1206" s="343">
        <f>SUMIFS($AU$134:AU1207,$AQ$134:AQ1207,"H")</f>
        <v>8953.3420000000642</v>
      </c>
      <c r="BO1206" s="343">
        <f>SUMIFS($AU$134:AU1207,$AQ$134:AQ1207,"D")</f>
        <v>5026.2366666667649</v>
      </c>
      <c r="BP1206" s="343">
        <f>SUMIFS($AU$134:AU1209,$AQ$134:AQ1209,"W")</f>
        <v>3191.7633333332024</v>
      </c>
      <c r="BQ1206" s="343">
        <f>SUMIFS($AU$134:AU1207,$Q$134:Q1207,"O")</f>
        <v>-1261.3733333328767</v>
      </c>
      <c r="BR1206" s="343">
        <f>SUMIFS($AU$134:AU1207,$AA$134:AA1207,"*")</f>
        <v>19841.305333333497</v>
      </c>
      <c r="BS1206" s="343">
        <f>SUMIFS($AU$134:AU1207,$AB$134:AB1207,"*")</f>
        <v>4613.1966666670132</v>
      </c>
      <c r="BT1206" s="343">
        <f>SUMIFS($AU$134:AU1207,$AC$134:AC1207,"*")</f>
        <v>11255.683333333332</v>
      </c>
      <c r="BU1206" s="343">
        <f>SUMIFS($AU$134:AU1207,$AA$134:AA1207,"*",$AB$134:AB1207,"*")</f>
        <v>2874.0000000000537</v>
      </c>
      <c r="BV1206" s="343">
        <f>SUMIFS($AU$134:AU1207,$AA$134:AA1207,"*",$AC$134:AC1207,"*")</f>
        <v>9436.7833333333328</v>
      </c>
      <c r="BW1206" s="343">
        <f>SUMIFS($AU$134:AU1207,$AB$134:AB1207,"*",$AC$134:AC1207,"*")</f>
        <v>6014.6</v>
      </c>
      <c r="BX1206" s="343">
        <f>SUMIFS($AU1207:AU$1388,$Q1207:Q$1388,"F")</f>
        <v>8274.1333333333332</v>
      </c>
      <c r="BY1206" s="343">
        <f>SUMIFS($AU1207:AU$1388,$Q1207:Q$1388,"S")</f>
        <v>3104.0000000000005</v>
      </c>
      <c r="BZ1206" s="343">
        <f>SUMIFS($AU1207:AU$1388,$Q1207:Q$1388,"O")</f>
        <v>-387.48466666692195</v>
      </c>
    </row>
    <row r="1207" spans="1:78" ht="15.75" customHeight="1">
      <c r="A1207" s="221" t="s">
        <v>4220</v>
      </c>
      <c r="B1207" s="177">
        <v>45232</v>
      </c>
      <c r="C1207" s="178" t="s">
        <v>2020</v>
      </c>
      <c r="D1207" s="178" t="s">
        <v>93</v>
      </c>
      <c r="E1207" s="227"/>
      <c r="F1207" s="180"/>
      <c r="G1207" s="489" t="s">
        <v>4246</v>
      </c>
      <c r="H1207" s="182"/>
      <c r="I1207" s="182"/>
      <c r="J1207" s="182"/>
      <c r="K1207" s="183"/>
      <c r="L1207" s="182">
        <v>1</v>
      </c>
      <c r="M1207" s="182"/>
      <c r="N1207" s="182"/>
      <c r="O1207" s="183" t="s">
        <v>95</v>
      </c>
      <c r="P1207" s="183" t="s">
        <v>96</v>
      </c>
      <c r="Q1207" s="183" t="s">
        <v>97</v>
      </c>
      <c r="R1207" s="183">
        <v>14</v>
      </c>
      <c r="S1207" s="183">
        <v>4</v>
      </c>
      <c r="T1207" s="183">
        <v>14</v>
      </c>
      <c r="U1207" s="183" t="s">
        <v>22</v>
      </c>
      <c r="V1207" s="183"/>
      <c r="W1207" s="183"/>
      <c r="X1207" s="183"/>
      <c r="Y1207" s="184">
        <f>IF(ISBLANK(O1207),"",(IF(O1207=UPPER("IB"),0.005,0.01)))</f>
        <v>0.01</v>
      </c>
      <c r="Z1207" s="185">
        <f>IF(ISBLANK(O1207),"",IF(O1207="IB",8.63*200,IF(O1207="IR",16*100,IF(O1207="YT",20*100,IF(O1207="YT-XT",24*200,IF(O1207="TED",80*100))))))</f>
        <v>1600</v>
      </c>
      <c r="AA1207" s="185" t="s">
        <v>99</v>
      </c>
      <c r="AB1207" s="185"/>
      <c r="AC1207" s="185"/>
      <c r="AD1207" s="649">
        <v>-0.12</v>
      </c>
      <c r="AE1207" s="182"/>
      <c r="AF1207" s="332"/>
      <c r="AG1207" s="182"/>
      <c r="AH1207" s="182">
        <v>-12</v>
      </c>
      <c r="AI1207" s="182"/>
      <c r="AJ1207" s="640"/>
      <c r="AK1207" s="182"/>
      <c r="AL1207" s="496">
        <f>-0.05*Z1207</f>
        <v>-80</v>
      </c>
      <c r="AM1207" s="496">
        <f t="shared" ref="AM1207:AM1213" si="352">AL1207*(R1207-S1207)</f>
        <v>-800</v>
      </c>
      <c r="AN1207" s="626"/>
      <c r="AO1207" s="182"/>
      <c r="AP1207" s="182" t="s">
        <v>827</v>
      </c>
      <c r="AQ1207" s="332" t="str">
        <f>UPPER(RIGHT(Journal_Live[[#This Row],[DURATION ]]))</f>
        <v>D</v>
      </c>
      <c r="AR1207" s="298" t="s">
        <v>4247</v>
      </c>
      <c r="AS1207" s="189">
        <f>((-0.16*4)+(-0.15*10))/14</f>
        <v>-0.15285714285714286</v>
      </c>
      <c r="AT1207" s="189">
        <f t="shared" si="348"/>
        <v>-3.2857142857142863E-2</v>
      </c>
      <c r="AU1207" s="187">
        <f t="shared" si="349"/>
        <v>-736.00000000000023</v>
      </c>
      <c r="AV1207" s="190">
        <f t="shared" si="350"/>
        <v>-52.571428571428584</v>
      </c>
      <c r="AW1207" s="191" t="s">
        <v>229</v>
      </c>
      <c r="AX1207" s="407" t="s">
        <v>4248</v>
      </c>
      <c r="AY1207" s="407"/>
      <c r="AZ1207" s="407"/>
      <c r="BA1207" s="407"/>
      <c r="BB1207" s="407"/>
      <c r="BC1207" s="407"/>
      <c r="BD1207" s="407"/>
      <c r="BE1207" s="407"/>
      <c r="BF1207" s="422"/>
      <c r="BG1207" s="391">
        <f>SUM($AV$4:AV1207)</f>
        <v>4388.0504807067127</v>
      </c>
      <c r="BH1207" s="392">
        <f>SUM($AU$134:AU1207)</f>
        <v>21632.002000000459</v>
      </c>
      <c r="BI1207" s="318">
        <f>SUMIFS($AU$134:AU1208,$Q$134:Q1208,"F")</f>
        <v>6246.5333333333328</v>
      </c>
      <c r="BJ1207" s="318">
        <f>SUMIFS($AU$134:AU1208,$Q$134:Q1208,"S")</f>
        <v>16831.642</v>
      </c>
      <c r="BK1207" s="343">
        <f>SUMIFS($AU$134:AU1208,$P$134:P1208,"W")</f>
        <v>13870.941999999943</v>
      </c>
      <c r="BL1207" s="343">
        <f>SUMIFS($AU$134:AU1208,$P$134:P1208,"R")</f>
        <v>9012.6733333333214</v>
      </c>
      <c r="BM1207" s="343">
        <f>SUMIFS($AU$134:AU1208,$AQ$134:AQ1208,"M")</f>
        <v>2874.0300000001826</v>
      </c>
      <c r="BN1207" s="343">
        <f>SUMIFS($AU$134:AU1208,$AQ$134:AQ1208,"H")</f>
        <v>8953.3420000000642</v>
      </c>
      <c r="BO1207" s="343">
        <f>SUMIFS($AU$134:AU1208,$AQ$134:AQ1208,"D")</f>
        <v>5106.2366666667649</v>
      </c>
      <c r="BP1207" s="343">
        <f>SUMIFS($AU$134:AU1210,$AQ$134:AQ1210,"W")</f>
        <v>3191.7633333332024</v>
      </c>
      <c r="BQ1207" s="343">
        <f>SUMIFS($AU$134:AU1208,$Q$134:Q1208,"O")</f>
        <v>-1261.3733333328767</v>
      </c>
      <c r="BR1207" s="343">
        <f>SUMIFS($AU$134:AU1208,$AA$134:AA1208,"*")</f>
        <v>19841.305333333497</v>
      </c>
      <c r="BS1207" s="343">
        <f>SUMIFS($AU$134:AU1208,$AB$134:AB1208,"*")</f>
        <v>4613.1966666670132</v>
      </c>
      <c r="BT1207" s="343">
        <f>SUMIFS($AU$134:AU1208,$AC$134:AC1208,"*")</f>
        <v>11335.683333333332</v>
      </c>
      <c r="BU1207" s="343">
        <f>SUMIFS($AU$134:AU1208,$AA$134:AA1208,"*",$AB$134:AB1208,"*")</f>
        <v>2874.0000000000537</v>
      </c>
      <c r="BV1207" s="343">
        <f>SUMIFS($AU$134:AU1208,$AA$134:AA1208,"*",$AC$134:AC1208,"*")</f>
        <v>9436.7833333333328</v>
      </c>
      <c r="BW1207" s="343">
        <f>SUMIFS($AU$134:AU1208,$AB$134:AB1208,"*",$AC$134:AC1208,"*")</f>
        <v>6014.6</v>
      </c>
      <c r="BX1207" s="343">
        <f>SUMIFS($AU1208:AU$1388,$Q1208:Q$1388,"F")</f>
        <v>8274.1333333333332</v>
      </c>
      <c r="BY1207" s="343">
        <f>SUMIFS($AU1208:AU$1388,$Q1208:Q$1388,"S")</f>
        <v>3840.0000000000009</v>
      </c>
      <c r="BZ1207" s="343">
        <f>SUMIFS($AU1208:AU$1388,$Q1208:Q$1388,"O")</f>
        <v>-387.48466666692195</v>
      </c>
    </row>
    <row r="1208" spans="1:78" ht="15.75" customHeight="1">
      <c r="A1208" s="221" t="s">
        <v>4220</v>
      </c>
      <c r="B1208" s="177">
        <v>45232</v>
      </c>
      <c r="C1208" s="178" t="s">
        <v>4249</v>
      </c>
      <c r="D1208" s="178" t="s">
        <v>93</v>
      </c>
      <c r="E1208" s="227"/>
      <c r="F1208" s="180"/>
      <c r="G1208" s="281" t="s">
        <v>1664</v>
      </c>
      <c r="H1208" s="182"/>
      <c r="I1208" s="182"/>
      <c r="J1208" s="182"/>
      <c r="K1208" s="183"/>
      <c r="L1208" s="182">
        <v>1</v>
      </c>
      <c r="M1208" s="182"/>
      <c r="N1208" s="182"/>
      <c r="O1208" s="183" t="s">
        <v>95</v>
      </c>
      <c r="P1208" s="183" t="s">
        <v>96</v>
      </c>
      <c r="Q1208" s="183" t="s">
        <v>256</v>
      </c>
      <c r="R1208" s="183">
        <v>5</v>
      </c>
      <c r="S1208" s="183">
        <v>0</v>
      </c>
      <c r="T1208" s="183">
        <v>5</v>
      </c>
      <c r="U1208" s="183" t="s">
        <v>97</v>
      </c>
      <c r="V1208" s="183"/>
      <c r="W1208" s="183"/>
      <c r="X1208" s="183"/>
      <c r="Y1208" s="184">
        <f>IF(ISBLANK(O1208),"",(IF(O1208=UPPER("IB"),0.005,0.01)))</f>
        <v>0.01</v>
      </c>
      <c r="Z1208" s="185">
        <f>IF(ISBLANK(O1208),"",IF(O1208="IB",8.63*200,IF(O1208="IR",16*100,IF(O1208="YT",20*100,IF(O1208="YT-XT",24*200,IF(O1208="TED",80*100))))))</f>
        <v>1600</v>
      </c>
      <c r="AA1208" s="185"/>
      <c r="AB1208" s="185"/>
      <c r="AC1208" s="185" t="s">
        <v>4250</v>
      </c>
      <c r="AD1208" s="649">
        <v>0.13</v>
      </c>
      <c r="AE1208" s="182"/>
      <c r="AF1208" s="332"/>
      <c r="AG1208" s="182"/>
      <c r="AH1208" s="182"/>
      <c r="AI1208" s="182"/>
      <c r="AJ1208" s="640"/>
      <c r="AK1208" s="182"/>
      <c r="AL1208" s="496">
        <f t="shared" si="351"/>
        <v>-48</v>
      </c>
      <c r="AM1208" s="496">
        <f t="shared" si="352"/>
        <v>-240</v>
      </c>
      <c r="AN1208" s="626"/>
      <c r="AO1208" s="182"/>
      <c r="AP1208" s="182" t="s">
        <v>804</v>
      </c>
      <c r="AQ1208" s="332" t="str">
        <f>UPPER(RIGHT(Journal_Live[[#This Row],[DURATION ]]))</f>
        <v>D</v>
      </c>
      <c r="AR1208" s="182" t="s">
        <v>4251</v>
      </c>
      <c r="AS1208" s="189">
        <v>0.12</v>
      </c>
      <c r="AT1208" s="189">
        <f t="shared" si="348"/>
        <v>1.0000000000000009E-2</v>
      </c>
      <c r="AU1208" s="187">
        <f t="shared" si="349"/>
        <v>80.000000000000071</v>
      </c>
      <c r="AV1208" s="190">
        <f t="shared" si="350"/>
        <v>16.000000000000014</v>
      </c>
      <c r="AW1208" s="191" t="s">
        <v>96</v>
      </c>
      <c r="AX1208" s="407"/>
      <c r="AY1208" s="407"/>
      <c r="AZ1208" s="407"/>
      <c r="BA1208" s="407"/>
      <c r="BB1208" s="407"/>
      <c r="BC1208" s="407"/>
      <c r="BD1208" s="407"/>
      <c r="BE1208" s="407"/>
      <c r="BF1208" s="422"/>
      <c r="BG1208" s="391">
        <f>SUM($AV$4:AV1208)</f>
        <v>4404.0504807067127</v>
      </c>
      <c r="BH1208" s="392">
        <f>SUM($AU$134:AU1208)</f>
        <v>21712.002000000459</v>
      </c>
      <c r="BI1208" s="318">
        <f>SUMIFS($AU$134:AU1209,$Q$134:Q1209,"F")</f>
        <v>6246.5333333333328</v>
      </c>
      <c r="BJ1208" s="318">
        <f>SUMIFS($AU$134:AU1209,$Q$134:Q1209,"S")</f>
        <v>16255.642</v>
      </c>
      <c r="BK1208" s="343">
        <f>SUMIFS($AU$134:AU1209,$P$134:P1209,"W")</f>
        <v>13294.941999999943</v>
      </c>
      <c r="BL1208" s="343">
        <f>SUMIFS($AU$134:AU1209,$P$134:P1209,"R")</f>
        <v>9012.6733333333214</v>
      </c>
      <c r="BM1208" s="343">
        <f>SUMIFS($AU$134:AU1209,$AQ$134:AQ1209,"M")</f>
        <v>2874.0300000001826</v>
      </c>
      <c r="BN1208" s="343">
        <f>SUMIFS($AU$134:AU1209,$AQ$134:AQ1209,"H")</f>
        <v>8953.3420000000642</v>
      </c>
      <c r="BO1208" s="343">
        <f>SUMIFS($AU$134:AU1209,$AQ$134:AQ1209,"D")</f>
        <v>5106.2366666667649</v>
      </c>
      <c r="BP1208" s="343">
        <f>SUMIFS($AU$134:AU1211,$AQ$134:AQ1211,"W")</f>
        <v>3191.7633333332024</v>
      </c>
      <c r="BQ1208" s="343">
        <f>SUMIFS($AU$134:AU1209,$Q$134:Q1209,"O")</f>
        <v>-1261.3733333328767</v>
      </c>
      <c r="BR1208" s="343">
        <f>SUMIFS($AU$134:AU1209,$AA$134:AA1209,"*")</f>
        <v>19265.305333333497</v>
      </c>
      <c r="BS1208" s="343">
        <f>SUMIFS($AU$134:AU1209,$AB$134:AB1209,"*")</f>
        <v>4037.1966666670141</v>
      </c>
      <c r="BT1208" s="343">
        <f>SUMIFS($AU$134:AU1209,$AC$134:AC1209,"*")</f>
        <v>11335.683333333332</v>
      </c>
      <c r="BU1208" s="343">
        <f>SUMIFS($AU$134:AU1209,$AA$134:AA1209,"*",$AB$134:AB1209,"*")</f>
        <v>2298.0000000000546</v>
      </c>
      <c r="BV1208" s="343">
        <f>SUMIFS($AU$134:AU1209,$AA$134:AA1209,"*",$AC$134:AC1209,"*")</f>
        <v>9436.7833333333328</v>
      </c>
      <c r="BW1208" s="343">
        <f>SUMIFS($AU$134:AU1209,$AB$134:AB1209,"*",$AC$134:AC1209,"*")</f>
        <v>6014.6</v>
      </c>
      <c r="BX1208" s="343">
        <f>SUMIFS($AU1209:AU$1388,$Q1209:Q$1388,"F")</f>
        <v>8194.1333333333332</v>
      </c>
      <c r="BY1208" s="343">
        <f>SUMIFS($AU1209:AU$1388,$Q1209:Q$1388,"S")</f>
        <v>3840.0000000000009</v>
      </c>
      <c r="BZ1208" s="343">
        <f>SUMIFS($AU1209:AU$1388,$Q1209:Q$1388,"O")</f>
        <v>-387.48466666692195</v>
      </c>
    </row>
    <row r="1209" spans="1:78" ht="15.75" customHeight="1">
      <c r="A1209" s="221" t="s">
        <v>4220</v>
      </c>
      <c r="B1209" s="177">
        <v>45232</v>
      </c>
      <c r="C1209" s="178" t="s">
        <v>1826</v>
      </c>
      <c r="D1209" s="178" t="s">
        <v>93</v>
      </c>
      <c r="E1209" s="227"/>
      <c r="F1209" s="180"/>
      <c r="G1209" s="489" t="s">
        <v>2016</v>
      </c>
      <c r="H1209" s="182"/>
      <c r="I1209" s="182"/>
      <c r="J1209" s="182"/>
      <c r="K1209" s="183"/>
      <c r="L1209" s="182">
        <v>1</v>
      </c>
      <c r="M1209" s="182"/>
      <c r="N1209" s="182"/>
      <c r="O1209" s="183" t="s">
        <v>95</v>
      </c>
      <c r="P1209" s="183" t="s">
        <v>96</v>
      </c>
      <c r="Q1209" s="183" t="s">
        <v>97</v>
      </c>
      <c r="R1209" s="183">
        <v>30</v>
      </c>
      <c r="S1209" s="183">
        <v>15</v>
      </c>
      <c r="T1209" s="183">
        <v>18</v>
      </c>
      <c r="U1209" s="183" t="s">
        <v>22</v>
      </c>
      <c r="V1209" s="183"/>
      <c r="W1209" s="183"/>
      <c r="X1209" s="183"/>
      <c r="Y1209" s="184">
        <f>IF(ISBLANK(O1209),"",(IF(O1209=UPPER("IB"),0.005,0.01)))</f>
        <v>0.01</v>
      </c>
      <c r="Z1209" s="185">
        <f>IF(ISBLANK(O1209),"",IF(O1209="IB",8.63*200,IF(O1209="IR",16*100,IF(O1209="YT",20*100,IF(O1209="YT-XT",24*200,IF(O1209="TED",80*100))))))</f>
        <v>1600</v>
      </c>
      <c r="AA1209" s="185" t="s">
        <v>99</v>
      </c>
      <c r="AB1209" s="409" t="s">
        <v>4252</v>
      </c>
      <c r="AC1209" s="185"/>
      <c r="AD1209" s="649">
        <f>((-0.07*18)+(-0.05*12))/30</f>
        <v>-6.2000000000000013E-2</v>
      </c>
      <c r="AE1209" s="182"/>
      <c r="AF1209" s="332"/>
      <c r="AG1209" s="182"/>
      <c r="AH1209" s="182">
        <v>-6</v>
      </c>
      <c r="AI1209" s="182"/>
      <c r="AJ1209" s="640"/>
      <c r="AK1209" s="182"/>
      <c r="AL1209" s="496">
        <f t="shared" si="351"/>
        <v>-48</v>
      </c>
      <c r="AM1209" s="496">
        <f t="shared" si="352"/>
        <v>-720</v>
      </c>
      <c r="AN1209" s="626"/>
      <c r="AO1209" s="182"/>
      <c r="AP1209" s="182"/>
      <c r="AQ1209" s="332" t="str">
        <f>UPPER(RIGHT(Journal_Live[[#This Row],[DURATION ]]))</f>
        <v/>
      </c>
      <c r="AR1209" s="182"/>
      <c r="AS1209" s="189">
        <f>((-0.08*12)+(-0.07*3)+(-0.07*15))/30</f>
        <v>-7.3999999999999996E-2</v>
      </c>
      <c r="AT1209" s="189">
        <f t="shared" si="348"/>
        <v>-1.1999999999999983E-2</v>
      </c>
      <c r="AU1209" s="187">
        <f t="shared" si="349"/>
        <v>-575.9999999999992</v>
      </c>
      <c r="AV1209" s="190">
        <f t="shared" si="350"/>
        <v>-19.199999999999974</v>
      </c>
      <c r="AW1209" s="191" t="s">
        <v>229</v>
      </c>
      <c r="AX1209" s="407"/>
      <c r="AY1209" s="407"/>
      <c r="AZ1209" s="407"/>
      <c r="BA1209" s="407"/>
      <c r="BB1209" s="407"/>
      <c r="BC1209" s="407"/>
      <c r="BD1209" s="407"/>
      <c r="BE1209" s="407"/>
      <c r="BF1209" s="422"/>
      <c r="BG1209" s="391">
        <f>SUM($AV$4:AV1209)</f>
        <v>4384.8504807067129</v>
      </c>
      <c r="BH1209" s="392">
        <f>SUM($AU$134:AU1209)</f>
        <v>21136.002000000459</v>
      </c>
      <c r="BI1209" s="318">
        <f>SUMIFS($AU$134:AU1210,$Q$134:Q1210,"F")</f>
        <v>6246.5333333333328</v>
      </c>
      <c r="BJ1209" s="318">
        <f>SUMIFS($AU$134:AU1210,$Q$134:Q1210,"S")</f>
        <v>16639.642</v>
      </c>
      <c r="BK1209" s="343">
        <f>SUMIFS($AU$134:AU1210,$P$134:P1210,"W")</f>
        <v>13678.941999999943</v>
      </c>
      <c r="BL1209" s="343">
        <f>SUMIFS($AU$134:AU1210,$P$134:P1210,"R")</f>
        <v>9012.6733333333214</v>
      </c>
      <c r="BM1209" s="343">
        <f>SUMIFS($AU$134:AU1210,$AQ$134:AQ1210,"M")</f>
        <v>2874.0300000001826</v>
      </c>
      <c r="BN1209" s="343">
        <f>SUMIFS($AU$134:AU1210,$AQ$134:AQ1210,"H")</f>
        <v>8953.3420000000642</v>
      </c>
      <c r="BO1209" s="343">
        <f>SUMIFS($AU$134:AU1210,$AQ$134:AQ1210,"D")</f>
        <v>5106.2366666667649</v>
      </c>
      <c r="BP1209" s="343">
        <f>SUMIFS($AU$134:AU1212,$AQ$134:AQ1212,"W")</f>
        <v>3191.7633333332024</v>
      </c>
      <c r="BQ1209" s="343">
        <f>SUMIFS($AU$134:AU1210,$Q$134:Q1210,"O")</f>
        <v>-1261.3733333328767</v>
      </c>
      <c r="BR1209" s="343">
        <f>SUMIFS($AU$134:AU1210,$AA$134:AA1210,"*")</f>
        <v>19649.305333333497</v>
      </c>
      <c r="BS1209" s="343">
        <f>SUMIFS($AU$134:AU1210,$AB$134:AB1210,"*")</f>
        <v>4037.1966666670141</v>
      </c>
      <c r="BT1209" s="343">
        <f>SUMIFS($AU$134:AU1210,$AC$134:AC1210,"*")</f>
        <v>11335.683333333332</v>
      </c>
      <c r="BU1209" s="343">
        <f>SUMIFS($AU$134:AU1210,$AA$134:AA1210,"*",$AB$134:AB1210,"*")</f>
        <v>2298.0000000000546</v>
      </c>
      <c r="BV1209" s="343">
        <f>SUMIFS($AU$134:AU1210,$AA$134:AA1210,"*",$AC$134:AC1210,"*")</f>
        <v>9436.7833333333328</v>
      </c>
      <c r="BW1209" s="343">
        <f>SUMIFS($AU$134:AU1210,$AB$134:AB1210,"*",$AC$134:AC1210,"*")</f>
        <v>6014.6</v>
      </c>
      <c r="BX1209" s="343">
        <f>SUMIFS($AU1210:AU$1388,$Q1210:Q$1388,"F")</f>
        <v>8194.1333333333332</v>
      </c>
      <c r="BY1209" s="343">
        <f>SUMIFS($AU1210:AU$1388,$Q1210:Q$1388,"S")</f>
        <v>4416</v>
      </c>
      <c r="BZ1209" s="343">
        <f>SUMIFS($AU1210:AU$1388,$Q1210:Q$1388,"O")</f>
        <v>-387.48466666692195</v>
      </c>
    </row>
    <row r="1210" spans="1:78" ht="15.75" customHeight="1">
      <c r="A1210" s="221" t="s">
        <v>4220</v>
      </c>
      <c r="B1210" s="177">
        <v>45232</v>
      </c>
      <c r="C1210" s="178" t="s">
        <v>4253</v>
      </c>
      <c r="D1210" s="178" t="s">
        <v>93</v>
      </c>
      <c r="E1210" s="227"/>
      <c r="F1210" s="180"/>
      <c r="G1210" s="281" t="s">
        <v>136</v>
      </c>
      <c r="H1210" s="182"/>
      <c r="I1210" s="182"/>
      <c r="J1210" s="182"/>
      <c r="K1210" s="183"/>
      <c r="L1210" s="182"/>
      <c r="M1210" s="182">
        <v>1</v>
      </c>
      <c r="N1210" s="182"/>
      <c r="O1210" s="183" t="s">
        <v>95</v>
      </c>
      <c r="P1210" s="183" t="s">
        <v>96</v>
      </c>
      <c r="Q1210" s="183" t="s">
        <v>97</v>
      </c>
      <c r="R1210" s="183">
        <v>48</v>
      </c>
      <c r="S1210" s="183">
        <v>12</v>
      </c>
      <c r="T1210" s="183">
        <v>24</v>
      </c>
      <c r="U1210" s="183" t="s">
        <v>22</v>
      </c>
      <c r="V1210" s="183"/>
      <c r="W1210" s="183"/>
      <c r="X1210" s="183"/>
      <c r="Y1210" s="184">
        <f>IF(ISBLANK(O1210),"",(IF(O1210=UPPER("IB"),0.005,0.01)))</f>
        <v>0.01</v>
      </c>
      <c r="Z1210" s="185">
        <f>IF(ISBLANK(O1210),"",IF(O1210="IB",8.63*200,IF(O1210="IR",16*100,IF(O1210="YT",20*100,IF(O1210="YT-XT",24*200,IF(O1210="TED",80*100))))))</f>
        <v>1600</v>
      </c>
      <c r="AA1210" s="185" t="s">
        <v>4254</v>
      </c>
      <c r="AB1210" s="185"/>
      <c r="AC1210" s="185"/>
      <c r="AD1210" s="649">
        <v>-1.4999999999999999E-2</v>
      </c>
      <c r="AE1210" s="182"/>
      <c r="AF1210" s="332"/>
      <c r="AG1210" s="182"/>
      <c r="AH1210" s="182">
        <v>0</v>
      </c>
      <c r="AI1210" s="182"/>
      <c r="AJ1210" s="640"/>
      <c r="AK1210" s="182"/>
      <c r="AL1210" s="496">
        <f t="shared" si="351"/>
        <v>-48</v>
      </c>
      <c r="AM1210" s="496">
        <f t="shared" si="352"/>
        <v>-1728</v>
      </c>
      <c r="AN1210" s="626"/>
      <c r="AO1210" s="182"/>
      <c r="AP1210" s="182"/>
      <c r="AQ1210" s="332" t="str">
        <f>UPPER(RIGHT(Journal_Live[[#This Row],[DURATION ]]))</f>
        <v/>
      </c>
      <c r="AR1210" s="182" t="s">
        <v>4255</v>
      </c>
      <c r="AS1210" s="189">
        <f>((-0.01*12)+(-0.01*36))/48</f>
        <v>-0.01</v>
      </c>
      <c r="AT1210" s="189">
        <f t="shared" si="348"/>
        <v>4.9999999999999992E-3</v>
      </c>
      <c r="AU1210" s="187">
        <f t="shared" si="349"/>
        <v>383.99999999999994</v>
      </c>
      <c r="AV1210" s="190">
        <f t="shared" si="350"/>
        <v>7.9999999999999991</v>
      </c>
      <c r="AW1210" s="191" t="s">
        <v>96</v>
      </c>
      <c r="AX1210" s="407"/>
      <c r="AY1210" s="407"/>
      <c r="AZ1210" s="407"/>
      <c r="BA1210" s="407"/>
      <c r="BB1210" s="407"/>
      <c r="BC1210" s="407"/>
      <c r="BD1210" s="407"/>
      <c r="BE1210" s="407"/>
      <c r="BF1210" s="422"/>
      <c r="BG1210" s="391">
        <f>SUM($AV$4:AV1210)</f>
        <v>4392.8504807067129</v>
      </c>
      <c r="BH1210" s="392">
        <f>SUM($AU$134:AU1210)</f>
        <v>21520.002000000459</v>
      </c>
      <c r="BI1210" s="318">
        <f>SUMIFS($AU$134:AU1211,$Q$134:Q1211,"F")</f>
        <v>6246.5333333333328</v>
      </c>
      <c r="BJ1210" s="318">
        <f>SUMIFS($AU$134:AU1211,$Q$134:Q1211,"S")</f>
        <v>16639.642</v>
      </c>
      <c r="BK1210" s="343">
        <f>SUMIFS($AU$134:AU1211,$P$134:P1211,"W")</f>
        <v>13678.941999999943</v>
      </c>
      <c r="BL1210" s="343">
        <f>SUMIFS($AU$134:AU1211,$P$134:P1211,"R")</f>
        <v>9012.6733333333214</v>
      </c>
      <c r="BM1210" s="343">
        <f>SUMIFS($AU$134:AU1211,$AQ$134:AQ1211,"M")</f>
        <v>2874.0300000001826</v>
      </c>
      <c r="BN1210" s="343">
        <f>SUMIFS($AU$134:AU1211,$AQ$134:AQ1211,"H")</f>
        <v>8953.3420000000642</v>
      </c>
      <c r="BO1210" s="343">
        <f>SUMIFS($AU$134:AU1211,$AQ$134:AQ1211,"D")</f>
        <v>5106.2366666667649</v>
      </c>
      <c r="BP1210" s="343">
        <f>SUMIFS($AU$134:AU1213,$AQ$134:AQ1213,"W")</f>
        <v>3191.7633333332024</v>
      </c>
      <c r="BQ1210" s="343">
        <f>SUMIFS($AU$134:AU1211,$Q$134:Q1211,"O")</f>
        <v>-1261.3733333328767</v>
      </c>
      <c r="BR1210" s="343">
        <f>SUMIFS($AU$134:AU1211,$AA$134:AA1211,"*")</f>
        <v>19649.305333333497</v>
      </c>
      <c r="BS1210" s="343">
        <f>SUMIFS($AU$134:AU1211,$AB$134:AB1211,"*")</f>
        <v>4037.1966666670141</v>
      </c>
      <c r="BT1210" s="343">
        <f>SUMIFS($AU$134:AU1211,$AC$134:AC1211,"*")</f>
        <v>11335.683333333332</v>
      </c>
      <c r="BU1210" s="343">
        <f>SUMIFS($AU$134:AU1211,$AA$134:AA1211,"*",$AB$134:AB1211,"*")</f>
        <v>2298.0000000000546</v>
      </c>
      <c r="BV1210" s="343">
        <f>SUMIFS($AU$134:AU1211,$AA$134:AA1211,"*",$AC$134:AC1211,"*")</f>
        <v>9436.7833333333328</v>
      </c>
      <c r="BW1210" s="343">
        <f>SUMIFS($AU$134:AU1211,$AB$134:AB1211,"*",$AC$134:AC1211,"*")</f>
        <v>6014.6</v>
      </c>
      <c r="BX1210" s="343">
        <f>SUMIFS($AU1211:AU$1388,$Q1211:Q$1388,"F")</f>
        <v>8194.1333333333332</v>
      </c>
      <c r="BY1210" s="343">
        <f>SUMIFS($AU1211:AU$1388,$Q1211:Q$1388,"S")</f>
        <v>4032</v>
      </c>
      <c r="BZ1210" s="343">
        <f>SUMIFS($AU1211:AU$1388,$Q1211:Q$1388,"O")</f>
        <v>-387.48466666692195</v>
      </c>
    </row>
    <row r="1211" spans="1:78" ht="15.75" customHeight="1">
      <c r="A1211" s="221" t="s">
        <v>4220</v>
      </c>
      <c r="B1211" s="177">
        <v>45233</v>
      </c>
      <c r="C1211" s="178" t="s">
        <v>1437</v>
      </c>
      <c r="D1211" s="178" t="s">
        <v>111</v>
      </c>
      <c r="E1211" s="227" t="s">
        <v>4256</v>
      </c>
      <c r="F1211" s="180"/>
      <c r="G1211" s="181"/>
      <c r="H1211" s="182"/>
      <c r="I1211" s="182"/>
      <c r="J1211" s="182"/>
      <c r="K1211" s="183"/>
      <c r="L1211" s="182"/>
      <c r="M1211" s="182"/>
      <c r="N1211" s="182"/>
      <c r="O1211" s="183"/>
      <c r="P1211" s="183"/>
      <c r="Q1211" s="183"/>
      <c r="R1211" s="183"/>
      <c r="S1211" s="183"/>
      <c r="T1211" s="183"/>
      <c r="U1211" s="183"/>
      <c r="V1211" s="183"/>
      <c r="W1211" s="183"/>
      <c r="X1211" s="183"/>
      <c r="Y1211" s="183"/>
      <c r="Z1211" s="185" t="str">
        <f>IF(ISBLANK(O1211),"",IF(O1211="IB",8.63*200,IF(O1211="IR",16*100,IF(O1211="YT",20*100,IF(O1211="YT-XT",24*200,IF(O1211="TED",80*100))))))</f>
        <v/>
      </c>
      <c r="AA1211" s="185"/>
      <c r="AB1211" s="185"/>
      <c r="AC1211" s="185"/>
      <c r="AD1211" s="649"/>
      <c r="AE1211" s="182"/>
      <c r="AF1211" s="332"/>
      <c r="AG1211" s="182"/>
      <c r="AH1211" s="182"/>
      <c r="AI1211" s="182"/>
      <c r="AJ1211" s="640"/>
      <c r="AK1211" s="182"/>
      <c r="AL1211" s="496"/>
      <c r="AM1211" s="496">
        <f t="shared" si="352"/>
        <v>0</v>
      </c>
      <c r="AN1211" s="626"/>
      <c r="AO1211" s="182"/>
      <c r="AP1211" s="182"/>
      <c r="AQ1211" s="332" t="str">
        <f>UPPER(RIGHT(Journal_Live[[#This Row],[DURATION ]]))</f>
        <v/>
      </c>
      <c r="AR1211" s="182"/>
      <c r="AS1211" s="189"/>
      <c r="AT1211" s="189"/>
      <c r="AU1211" s="187"/>
      <c r="AV1211" s="190"/>
      <c r="AW1211" s="191"/>
      <c r="AX1211" s="407"/>
      <c r="AY1211" s="407"/>
      <c r="AZ1211" s="407"/>
      <c r="BA1211" s="407"/>
      <c r="BB1211" s="407"/>
      <c r="BC1211" s="407"/>
      <c r="BD1211" s="407"/>
      <c r="BE1211" s="407"/>
      <c r="BF1211" s="422"/>
      <c r="BG1211" s="391">
        <f>SUM($AV$4:AV1211)</f>
        <v>4392.8504807067129</v>
      </c>
      <c r="BH1211" s="392">
        <f>SUM($AU$134:AU1211)</f>
        <v>21520.002000000459</v>
      </c>
      <c r="BI1211" s="318">
        <f>SUMIFS($AU$134:AU1212,$Q$134:Q1212,"F")</f>
        <v>6246.5333333333328</v>
      </c>
      <c r="BJ1211" s="318">
        <f>SUMIFS($AU$134:AU1212,$Q$134:Q1212,"S")</f>
        <v>16639.642</v>
      </c>
      <c r="BK1211" s="343">
        <f>SUMIFS($AU$134:AU1212,$P$134:P1212,"W")</f>
        <v>13678.941999999943</v>
      </c>
      <c r="BL1211" s="343">
        <f>SUMIFS($AU$134:AU1212,$P$134:P1212,"R")</f>
        <v>9012.6733333333214</v>
      </c>
      <c r="BM1211" s="343">
        <f>SUMIFS($AU$134:AU1212,$AQ$134:AQ1212,"M")</f>
        <v>2874.0300000001826</v>
      </c>
      <c r="BN1211" s="343">
        <f>SUMIFS($AU$134:AU1212,$AQ$134:AQ1212,"H")</f>
        <v>8953.3420000000642</v>
      </c>
      <c r="BO1211" s="343">
        <f>SUMIFS($AU$134:AU1212,$AQ$134:AQ1212,"D")</f>
        <v>5106.2366666667649</v>
      </c>
      <c r="BP1211" s="343">
        <f>SUMIFS($AU$134:AU1214,$AQ$134:AQ1214,"W")</f>
        <v>3191.7633333332024</v>
      </c>
      <c r="BQ1211" s="343">
        <f>SUMIFS($AU$134:AU1212,$Q$134:Q1212,"O")</f>
        <v>-1261.3733333328767</v>
      </c>
      <c r="BR1211" s="343">
        <f>SUMIFS($AU$134:AU1212,$AA$134:AA1212,"*")</f>
        <v>19649.305333333497</v>
      </c>
      <c r="BS1211" s="343">
        <f>SUMIFS($AU$134:AU1212,$AB$134:AB1212,"*")</f>
        <v>4037.1966666670141</v>
      </c>
      <c r="BT1211" s="343">
        <f>SUMIFS($AU$134:AU1212,$AC$134:AC1212,"*")</f>
        <v>11335.683333333332</v>
      </c>
      <c r="BU1211" s="343">
        <f>SUMIFS($AU$134:AU1212,$AA$134:AA1212,"*",$AB$134:AB1212,"*")</f>
        <v>2298.0000000000546</v>
      </c>
      <c r="BV1211" s="343">
        <f>SUMIFS($AU$134:AU1212,$AA$134:AA1212,"*",$AC$134:AC1212,"*")</f>
        <v>9436.7833333333328</v>
      </c>
      <c r="BW1211" s="343">
        <f>SUMIFS($AU$134:AU1212,$AB$134:AB1212,"*",$AC$134:AC1212,"*")</f>
        <v>6014.6</v>
      </c>
      <c r="BX1211" s="343">
        <f>SUMIFS($AU1212:AU$1388,$Q1212:Q$1388,"F")</f>
        <v>8194.1333333333332</v>
      </c>
      <c r="BY1211" s="343">
        <f>SUMIFS($AU1212:AU$1388,$Q1212:Q$1388,"S")</f>
        <v>4032</v>
      </c>
      <c r="BZ1211" s="343">
        <f>SUMIFS($AU1212:AU$1388,$Q1212:Q$1388,"O")</f>
        <v>-387.48466666692195</v>
      </c>
    </row>
    <row r="1212" spans="1:78" ht="15.75" customHeight="1">
      <c r="A1212" s="221" t="s">
        <v>4220</v>
      </c>
      <c r="B1212" s="177">
        <v>45233</v>
      </c>
      <c r="C1212" s="178" t="s">
        <v>2370</v>
      </c>
      <c r="D1212" s="178" t="s">
        <v>111</v>
      </c>
      <c r="E1212" s="227"/>
      <c r="F1212" s="180"/>
      <c r="G1212" s="181" t="s">
        <v>3334</v>
      </c>
      <c r="H1212" s="182"/>
      <c r="I1212" s="182"/>
      <c r="J1212" s="182"/>
      <c r="K1212" s="183"/>
      <c r="L1212" s="182"/>
      <c r="M1212" s="182"/>
      <c r="N1212" s="182"/>
      <c r="O1212" s="183"/>
      <c r="P1212" s="183"/>
      <c r="Q1212" s="183"/>
      <c r="R1212" s="183"/>
      <c r="S1212" s="183"/>
      <c r="T1212" s="183"/>
      <c r="U1212" s="183"/>
      <c r="V1212" s="183"/>
      <c r="W1212" s="183"/>
      <c r="X1212" s="183"/>
      <c r="Y1212" s="184"/>
      <c r="Z1212" s="185"/>
      <c r="AA1212" s="185"/>
      <c r="AB1212" s="185"/>
      <c r="AC1212" s="185"/>
      <c r="AD1212" s="649"/>
      <c r="AE1212" s="182"/>
      <c r="AF1212" s="332"/>
      <c r="AG1212" s="182"/>
      <c r="AH1212" s="182"/>
      <c r="AI1212" s="182"/>
      <c r="AJ1212" s="640"/>
      <c r="AK1212" s="182"/>
      <c r="AL1212" s="496">
        <f t="shared" ref="AL1212" si="353">-0.03*Z1212</f>
        <v>0</v>
      </c>
      <c r="AM1212" s="496">
        <f t="shared" si="352"/>
        <v>0</v>
      </c>
      <c r="AN1212" s="626"/>
      <c r="AO1212" s="182"/>
      <c r="AP1212" s="182"/>
      <c r="AQ1212" s="332" t="str">
        <f>UPPER(RIGHT(Journal_Live[[#This Row],[DURATION ]]))</f>
        <v/>
      </c>
      <c r="AR1212" s="182"/>
      <c r="AS1212" s="189"/>
      <c r="AT1212" s="189">
        <f>IF(ISBLANK(AS1212),,IF(U1212="S",AD1212-AS1212,AS1212-AD1212))</f>
        <v>0</v>
      </c>
      <c r="AU1212" s="187">
        <f>AV1212*R1212</f>
        <v>0</v>
      </c>
      <c r="AV1212" s="190">
        <f>IF(ISBLANK(AS1212),,(AT1212*Z1212))</f>
        <v>0</v>
      </c>
      <c r="AW1212" s="191"/>
      <c r="AX1212" s="407"/>
      <c r="AY1212" s="407"/>
      <c r="AZ1212" s="407"/>
      <c r="BA1212" s="407"/>
      <c r="BB1212" s="407"/>
      <c r="BC1212" s="407"/>
      <c r="BD1212" s="407"/>
      <c r="BE1212" s="407"/>
      <c r="BF1212" s="422"/>
      <c r="BG1212" s="391">
        <f>SUM($AV$4:AV1212)</f>
        <v>4392.8504807067129</v>
      </c>
      <c r="BH1212" s="392">
        <f>SUM($AU$134:AU1212)</f>
        <v>21520.002000000459</v>
      </c>
      <c r="BI1212" s="318">
        <f>SUMIFS($AU$134:AU1213,$Q$134:Q1213,"F")</f>
        <v>6246.5333333333328</v>
      </c>
      <c r="BJ1212" s="318">
        <f>SUMIFS($AU$134:AU1213,$Q$134:Q1213,"S")</f>
        <v>16639.642</v>
      </c>
      <c r="BK1212" s="343">
        <f>SUMIFS($AU$134:AU1213,$P$134:P1213,"W")</f>
        <v>13678.941999999943</v>
      </c>
      <c r="BL1212" s="343">
        <f>SUMIFS($AU$134:AU1213,$P$134:P1213,"R")</f>
        <v>9012.6733333333214</v>
      </c>
      <c r="BM1212" s="343">
        <f>SUMIFS($AU$134:AU1213,$AQ$134:AQ1213,"M")</f>
        <v>2874.0300000001826</v>
      </c>
      <c r="BN1212" s="343">
        <f>SUMIFS($AU$134:AU1213,$AQ$134:AQ1213,"H")</f>
        <v>8953.3420000000642</v>
      </c>
      <c r="BO1212" s="343">
        <f>SUMIFS($AU$134:AU1213,$AQ$134:AQ1213,"D")</f>
        <v>5106.2366666667649</v>
      </c>
      <c r="BP1212" s="343">
        <f>SUMIFS($AU$134:AU1215,$AQ$134:AQ1215,"W")</f>
        <v>3191.7633333332024</v>
      </c>
      <c r="BQ1212" s="343">
        <f>SUMIFS($AU$134:AU1213,$Q$134:Q1213,"O")</f>
        <v>-1261.3733333328767</v>
      </c>
      <c r="BR1212" s="343">
        <f>SUMIFS($AU$134:AU1213,$AA$134:AA1213,"*")</f>
        <v>19649.305333333497</v>
      </c>
      <c r="BS1212" s="343">
        <f>SUMIFS($AU$134:AU1213,$AB$134:AB1213,"*")</f>
        <v>4037.1966666670141</v>
      </c>
      <c r="BT1212" s="343">
        <f>SUMIFS($AU$134:AU1213,$AC$134:AC1213,"*")</f>
        <v>11335.683333333332</v>
      </c>
      <c r="BU1212" s="343">
        <f>SUMIFS($AU$134:AU1213,$AA$134:AA1213,"*",$AB$134:AB1213,"*")</f>
        <v>2298.0000000000546</v>
      </c>
      <c r="BV1212" s="343">
        <f>SUMIFS($AU$134:AU1213,$AA$134:AA1213,"*",$AC$134:AC1213,"*")</f>
        <v>9436.7833333333328</v>
      </c>
      <c r="BW1212" s="343">
        <f>SUMIFS($AU$134:AU1213,$AB$134:AB1213,"*",$AC$134:AC1213,"*")</f>
        <v>6014.6</v>
      </c>
      <c r="BX1212" s="343">
        <f>SUMIFS($AU1213:AU$1388,$Q1213:Q$1388,"F")</f>
        <v>8194.1333333333332</v>
      </c>
      <c r="BY1212" s="343">
        <f>SUMIFS($AU1213:AU$1388,$Q1213:Q$1388,"S")</f>
        <v>4032</v>
      </c>
      <c r="BZ1212" s="343">
        <f>SUMIFS($AU1213:AU$1388,$Q1213:Q$1388,"O")</f>
        <v>-387.48466666692195</v>
      </c>
    </row>
    <row r="1213" spans="1:78" ht="15.75" customHeight="1">
      <c r="A1213" s="221" t="s">
        <v>4220</v>
      </c>
      <c r="B1213" s="177">
        <v>45233</v>
      </c>
      <c r="C1213" s="178" t="s">
        <v>4257</v>
      </c>
      <c r="D1213" s="178" t="s">
        <v>111</v>
      </c>
      <c r="E1213" s="227"/>
      <c r="F1213" s="180"/>
      <c r="G1213" s="181" t="s">
        <v>2070</v>
      </c>
      <c r="H1213" s="182"/>
      <c r="I1213" s="182"/>
      <c r="J1213" s="182"/>
      <c r="K1213" s="183"/>
      <c r="L1213" s="182"/>
      <c r="M1213" s="182"/>
      <c r="N1213" s="182"/>
      <c r="O1213" s="183"/>
      <c r="P1213" s="183"/>
      <c r="Q1213" s="183"/>
      <c r="R1213" s="183"/>
      <c r="S1213" s="183"/>
      <c r="T1213" s="183"/>
      <c r="U1213" s="183"/>
      <c r="V1213" s="183"/>
      <c r="W1213" s="183"/>
      <c r="X1213" s="183"/>
      <c r="Y1213" s="184"/>
      <c r="Z1213" s="185"/>
      <c r="AA1213" s="185"/>
      <c r="AB1213" s="185"/>
      <c r="AC1213" s="185"/>
      <c r="AD1213" s="649"/>
      <c r="AE1213" s="182"/>
      <c r="AF1213" s="332"/>
      <c r="AG1213" s="182"/>
      <c r="AH1213" s="182"/>
      <c r="AI1213" s="182"/>
      <c r="AJ1213" s="644" t="s">
        <v>4258</v>
      </c>
      <c r="AK1213" s="182"/>
      <c r="AL1213" s="496">
        <f t="shared" ref="AL1213" si="354">-0.03*Z1213</f>
        <v>0</v>
      </c>
      <c r="AM1213" s="496">
        <f t="shared" si="352"/>
        <v>0</v>
      </c>
      <c r="AN1213" s="626"/>
      <c r="AO1213" s="182"/>
      <c r="AP1213" s="182"/>
      <c r="AQ1213" s="332" t="str">
        <f>UPPER(RIGHT(Journal_Live[[#This Row],[DURATION ]]))</f>
        <v/>
      </c>
      <c r="AR1213" s="182"/>
      <c r="AS1213" s="189"/>
      <c r="AT1213" s="189">
        <f>IF(ISBLANK(AS1213),,IF(U1213="S",AD1213-AS1213,AS1213-AD1213))</f>
        <v>0</v>
      </c>
      <c r="AU1213" s="187">
        <f>AV1213*R1213</f>
        <v>0</v>
      </c>
      <c r="AV1213" s="190">
        <f>IF(ISBLANK(AS1213),,(AT1213*Z1213))</f>
        <v>0</v>
      </c>
      <c r="AW1213" s="191"/>
      <c r="AX1213" s="407"/>
      <c r="AY1213" s="407"/>
      <c r="AZ1213" s="407"/>
      <c r="BA1213" s="407"/>
      <c r="BB1213" s="407"/>
      <c r="BC1213" s="407"/>
      <c r="BD1213" s="407"/>
      <c r="BE1213" s="407"/>
      <c r="BF1213" s="422"/>
      <c r="BG1213" s="391">
        <f>SUM($AV$4:AV1213)</f>
        <v>4392.8504807067129</v>
      </c>
      <c r="BH1213" s="392">
        <f>SUM($AU$134:AU1213)</f>
        <v>21520.002000000459</v>
      </c>
      <c r="BI1213" s="318">
        <f>SUMIFS($AU$134:AU1214,$Q$134:Q1214,"F")</f>
        <v>6246.5333333333328</v>
      </c>
      <c r="BJ1213" s="318">
        <f>SUMIFS($AU$134:AU1214,$Q$134:Q1214,"S")</f>
        <v>16639.642</v>
      </c>
      <c r="BK1213" s="343">
        <f>SUMIFS($AU$134:AU1214,$P$134:P1214,"W")</f>
        <v>13678.941999999943</v>
      </c>
      <c r="BL1213" s="343">
        <f>SUMIFS($AU$134:AU1214,$P$134:P1214,"R")</f>
        <v>9012.6733333333214</v>
      </c>
      <c r="BM1213" s="343">
        <f>SUMIFS($AU$134:AU1214,$AQ$134:AQ1214,"M")</f>
        <v>2874.0300000001826</v>
      </c>
      <c r="BN1213" s="343">
        <f>SUMIFS($AU$134:AU1214,$AQ$134:AQ1214,"H")</f>
        <v>8953.3420000000642</v>
      </c>
      <c r="BO1213" s="343">
        <f>SUMIFS($AU$134:AU1214,$AQ$134:AQ1214,"D")</f>
        <v>5106.2366666667649</v>
      </c>
      <c r="BP1213" s="343">
        <f>SUMIFS($AU$134:AU1216,$AQ$134:AQ1216,"W")</f>
        <v>3191.7633333332024</v>
      </c>
      <c r="BQ1213" s="343">
        <f>SUMIFS($AU$134:AU1214,$Q$134:Q1214,"O")</f>
        <v>-1261.3733333328767</v>
      </c>
      <c r="BR1213" s="343">
        <f>SUMIFS($AU$134:AU1214,$AA$134:AA1214,"*")</f>
        <v>19649.305333333497</v>
      </c>
      <c r="BS1213" s="343">
        <f>SUMIFS($AU$134:AU1214,$AB$134:AB1214,"*")</f>
        <v>4037.1966666670141</v>
      </c>
      <c r="BT1213" s="343">
        <f>SUMIFS($AU$134:AU1214,$AC$134:AC1214,"*")</f>
        <v>11335.683333333332</v>
      </c>
      <c r="BU1213" s="343">
        <f>SUMIFS($AU$134:AU1214,$AA$134:AA1214,"*",$AB$134:AB1214,"*")</f>
        <v>2298.0000000000546</v>
      </c>
      <c r="BV1213" s="343">
        <f>SUMIFS($AU$134:AU1214,$AA$134:AA1214,"*",$AC$134:AC1214,"*")</f>
        <v>9436.7833333333328</v>
      </c>
      <c r="BW1213" s="343">
        <f>SUMIFS($AU$134:AU1214,$AB$134:AB1214,"*",$AC$134:AC1214,"*")</f>
        <v>6014.6</v>
      </c>
      <c r="BX1213" s="343">
        <f>SUMIFS($AU1214:AU$1388,$Q1214:Q$1388,"F")</f>
        <v>8194.1333333333332</v>
      </c>
      <c r="BY1213" s="343">
        <f>SUMIFS($AU1214:AU$1388,$Q1214:Q$1388,"S")</f>
        <v>4032</v>
      </c>
      <c r="BZ1213" s="343">
        <f>SUMIFS($AU1214:AU$1388,$Q1214:Q$1388,"O")</f>
        <v>-387.48466666692195</v>
      </c>
    </row>
    <row r="1214" spans="1:78" ht="15.75" customHeight="1">
      <c r="A1214" s="221" t="s">
        <v>4220</v>
      </c>
      <c r="B1214" s="177">
        <v>45233</v>
      </c>
      <c r="C1214" s="178" t="s">
        <v>1714</v>
      </c>
      <c r="D1214" s="178" t="s">
        <v>111</v>
      </c>
      <c r="E1214" s="227" t="s">
        <v>4259</v>
      </c>
      <c r="F1214" s="180" t="s">
        <v>4260</v>
      </c>
      <c r="G1214" s="181"/>
      <c r="H1214" s="182"/>
      <c r="I1214" s="182"/>
      <c r="J1214" s="182">
        <v>1</v>
      </c>
      <c r="K1214" s="183" t="s">
        <v>115</v>
      </c>
      <c r="L1214" s="182"/>
      <c r="M1214" s="182"/>
      <c r="N1214" s="182"/>
      <c r="O1214" s="183"/>
      <c r="P1214" s="183"/>
      <c r="Q1214" s="183"/>
      <c r="R1214" s="183"/>
      <c r="S1214" s="183"/>
      <c r="T1214" s="183"/>
      <c r="U1214" s="183"/>
      <c r="V1214" s="183"/>
      <c r="W1214" s="183"/>
      <c r="X1214" s="183"/>
      <c r="Y1214" s="183"/>
      <c r="Z1214" s="185" t="str">
        <f>IF(ISBLANK(O1214),"",IF(O1214="IB",8.63*200,IF(O1214="IR",16*100,IF(O1214="YT",20*100,IF(O1214="YT-XT",24*200,IF(O1214="TED",80*100))))))</f>
        <v/>
      </c>
      <c r="AA1214" s="185"/>
      <c r="AB1214" s="185"/>
      <c r="AC1214" s="185"/>
      <c r="AD1214" s="649"/>
      <c r="AE1214" s="182"/>
      <c r="AF1214" s="332"/>
      <c r="AG1214" s="182"/>
      <c r="AH1214" s="182"/>
      <c r="AI1214" s="182"/>
      <c r="AJ1214" s="640"/>
      <c r="AK1214" s="182"/>
      <c r="AL1214" s="496"/>
      <c r="AM1214" s="496"/>
      <c r="AN1214" s="626"/>
      <c r="AO1214" s="182"/>
      <c r="AP1214" s="182"/>
      <c r="AQ1214" s="332" t="str">
        <f>UPPER(RIGHT(Journal_Live[[#This Row],[DURATION ]]))</f>
        <v/>
      </c>
      <c r="AR1214" s="182"/>
      <c r="AS1214" s="189"/>
      <c r="AT1214" s="189"/>
      <c r="AU1214" s="187"/>
      <c r="AV1214" s="190"/>
      <c r="AW1214" s="191"/>
      <c r="AX1214" s="407"/>
      <c r="AY1214" s="407"/>
      <c r="AZ1214" s="407"/>
      <c r="BA1214" s="407"/>
      <c r="BB1214" s="407"/>
      <c r="BC1214" s="407"/>
      <c r="BD1214" s="407"/>
      <c r="BE1214" s="407"/>
      <c r="BF1214" s="422"/>
      <c r="BG1214" s="391">
        <f>SUM($AV$4:AV1214)</f>
        <v>4392.8504807067129</v>
      </c>
      <c r="BH1214" s="392">
        <f>SUM($AU$134:AU1214)</f>
        <v>21520.002000000459</v>
      </c>
      <c r="BI1214" s="318">
        <f>SUMIFS($AU$134:AU1215,$Q$134:Q1215,"F")</f>
        <v>6246.5333333333328</v>
      </c>
      <c r="BJ1214" s="318">
        <f>SUMIFS($AU$134:AU1215,$Q$134:Q1215,"S")</f>
        <v>16639.642</v>
      </c>
      <c r="BK1214" s="343">
        <f>SUMIFS($AU$134:AU1215,$P$134:P1215,"W")</f>
        <v>13678.941999999943</v>
      </c>
      <c r="BL1214" s="343">
        <f>SUMIFS($AU$134:AU1215,$P$134:P1215,"R")</f>
        <v>9012.6733333333214</v>
      </c>
      <c r="BM1214" s="343">
        <f>SUMIFS($AU$134:AU1215,$AQ$134:AQ1215,"M")</f>
        <v>2874.0300000001826</v>
      </c>
      <c r="BN1214" s="343">
        <f>SUMIFS($AU$134:AU1215,$AQ$134:AQ1215,"H")</f>
        <v>8953.3420000000642</v>
      </c>
      <c r="BO1214" s="343">
        <f>SUMIFS($AU$134:AU1215,$AQ$134:AQ1215,"D")</f>
        <v>5106.2366666667649</v>
      </c>
      <c r="BP1214" s="343">
        <f>SUMIFS($AU$134:AU1217,$AQ$134:AQ1217,"W")</f>
        <v>3191.7633333332024</v>
      </c>
      <c r="BQ1214" s="343">
        <f>SUMIFS($AU$134:AU1215,$Q$134:Q1215,"O")</f>
        <v>-1261.3733333328767</v>
      </c>
      <c r="BR1214" s="343">
        <f>SUMIFS($AU$134:AU1215,$AA$134:AA1215,"*")</f>
        <v>19649.305333333497</v>
      </c>
      <c r="BS1214" s="343">
        <f>SUMIFS($AU$134:AU1215,$AB$134:AB1215,"*")</f>
        <v>4037.1966666670141</v>
      </c>
      <c r="BT1214" s="343">
        <f>SUMIFS($AU$134:AU1215,$AC$134:AC1215,"*")</f>
        <v>11335.683333333332</v>
      </c>
      <c r="BU1214" s="343">
        <f>SUMIFS($AU$134:AU1215,$AA$134:AA1215,"*",$AB$134:AB1215,"*")</f>
        <v>2298.0000000000546</v>
      </c>
      <c r="BV1214" s="343">
        <f>SUMIFS($AU$134:AU1215,$AA$134:AA1215,"*",$AC$134:AC1215,"*")</f>
        <v>9436.7833333333328</v>
      </c>
      <c r="BW1214" s="343">
        <f>SUMIFS($AU$134:AU1215,$AB$134:AB1215,"*",$AC$134:AC1215,"*")</f>
        <v>6014.6</v>
      </c>
      <c r="BX1214" s="343">
        <f>SUMIFS($AU1215:AU$1388,$Q1215:Q$1388,"F")</f>
        <v>8194.1333333333332</v>
      </c>
      <c r="BY1214" s="343">
        <f>SUMIFS($AU1215:AU$1388,$Q1215:Q$1388,"S")</f>
        <v>4032</v>
      </c>
      <c r="BZ1214" s="343">
        <f>SUMIFS($AU1215:AU$1388,$Q1215:Q$1388,"O")</f>
        <v>-387.48466666692195</v>
      </c>
    </row>
    <row r="1215" spans="1:78" ht="15.75" customHeight="1">
      <c r="A1215" s="221" t="s">
        <v>4220</v>
      </c>
      <c r="B1215" s="177"/>
      <c r="C1215" s="178"/>
      <c r="D1215" s="178"/>
      <c r="E1215" s="227" t="s">
        <v>4261</v>
      </c>
      <c r="F1215" s="180"/>
      <c r="G1215" s="181"/>
      <c r="H1215" s="182">
        <v>1</v>
      </c>
      <c r="I1215" s="182"/>
      <c r="J1215" s="182"/>
      <c r="K1215" s="183" t="s">
        <v>115</v>
      </c>
      <c r="L1215" s="182"/>
      <c r="M1215" s="182"/>
      <c r="N1215" s="182"/>
      <c r="O1215" s="183"/>
      <c r="P1215" s="183"/>
      <c r="Q1215" s="183"/>
      <c r="R1215" s="183"/>
      <c r="S1215" s="183"/>
      <c r="T1215" s="183"/>
      <c r="U1215" s="183"/>
      <c r="V1215" s="183"/>
      <c r="W1215" s="183"/>
      <c r="X1215" s="183"/>
      <c r="Y1215" s="183"/>
      <c r="Z1215" s="185" t="str">
        <f>IF(ISBLANK(O1215),"",IF(O1215="IB",8.63*200,IF(O1215="IR",16*100,IF(O1215="YT",20*100,IF(O1215="YT-XT",24*200,IF(O1215="TED",80*100))))))</f>
        <v/>
      </c>
      <c r="AA1215" s="185"/>
      <c r="AB1215" s="185"/>
      <c r="AC1215" s="185"/>
      <c r="AD1215" s="649"/>
      <c r="AE1215" s="182"/>
      <c r="AF1215" s="332"/>
      <c r="AG1215" s="182"/>
      <c r="AH1215" s="182"/>
      <c r="AI1215" s="182"/>
      <c r="AJ1215" s="640"/>
      <c r="AK1215" s="182"/>
      <c r="AL1215" s="496"/>
      <c r="AM1215" s="496"/>
      <c r="AN1215" s="626"/>
      <c r="AO1215" s="182"/>
      <c r="AP1215" s="182"/>
      <c r="AQ1215" s="332" t="str">
        <f>UPPER(RIGHT(Journal_Live[[#This Row],[DURATION ]]))</f>
        <v/>
      </c>
      <c r="AR1215" s="182"/>
      <c r="AS1215" s="189"/>
      <c r="AT1215" s="189"/>
      <c r="AU1215" s="187"/>
      <c r="AV1215" s="190"/>
      <c r="AW1215" s="191"/>
      <c r="AX1215" s="407"/>
      <c r="AY1215" s="407"/>
      <c r="AZ1215" s="407"/>
      <c r="BA1215" s="407"/>
      <c r="BB1215" s="407"/>
      <c r="BC1215" s="407"/>
      <c r="BD1215" s="407"/>
      <c r="BE1215" s="407"/>
      <c r="BF1215" s="422"/>
      <c r="BG1215" s="391">
        <f>SUM($AV$4:AV1215)</f>
        <v>4392.8504807067129</v>
      </c>
      <c r="BH1215" s="392">
        <f>SUM($AU$134:AU1215)</f>
        <v>21520.002000000459</v>
      </c>
      <c r="BI1215" s="318">
        <f>SUMIFS($AU$134:AU1216,$Q$134:Q1216,"F")</f>
        <v>6246.5333333333328</v>
      </c>
      <c r="BJ1215" s="318">
        <f>SUMIFS($AU$134:AU1216,$Q$134:Q1216,"S")</f>
        <v>16639.642</v>
      </c>
      <c r="BK1215" s="343">
        <f>SUMIFS($AU$134:AU1216,$P$134:P1216,"W")</f>
        <v>13678.941999999943</v>
      </c>
      <c r="BL1215" s="343">
        <f>SUMIFS($AU$134:AU1216,$P$134:P1216,"R")</f>
        <v>9012.6733333333214</v>
      </c>
      <c r="BM1215" s="343">
        <f>SUMIFS($AU$134:AU1216,$AQ$134:AQ1216,"M")</f>
        <v>2874.0300000001826</v>
      </c>
      <c r="BN1215" s="343">
        <f>SUMIFS($AU$134:AU1216,$AQ$134:AQ1216,"H")</f>
        <v>8953.3420000000642</v>
      </c>
      <c r="BO1215" s="343">
        <f>SUMIFS($AU$134:AU1216,$AQ$134:AQ1216,"D")</f>
        <v>5106.2366666667649</v>
      </c>
      <c r="BP1215" s="343">
        <f>SUMIFS($AU$134:AU1218,$AQ$134:AQ1218,"W")</f>
        <v>3191.7633333332024</v>
      </c>
      <c r="BQ1215" s="343">
        <f>SUMIFS($AU$134:AU1216,$Q$134:Q1216,"O")</f>
        <v>-1261.3733333328767</v>
      </c>
      <c r="BR1215" s="343">
        <f>SUMIFS($AU$134:AU1216,$AA$134:AA1216,"*")</f>
        <v>19649.305333333497</v>
      </c>
      <c r="BS1215" s="343">
        <f>SUMIFS($AU$134:AU1216,$AB$134:AB1216,"*")</f>
        <v>4037.1966666670141</v>
      </c>
      <c r="BT1215" s="343">
        <f>SUMIFS($AU$134:AU1216,$AC$134:AC1216,"*")</f>
        <v>11335.683333333332</v>
      </c>
      <c r="BU1215" s="343">
        <f>SUMIFS($AU$134:AU1216,$AA$134:AA1216,"*",$AB$134:AB1216,"*")</f>
        <v>2298.0000000000546</v>
      </c>
      <c r="BV1215" s="343">
        <f>SUMIFS($AU$134:AU1216,$AA$134:AA1216,"*",$AC$134:AC1216,"*")</f>
        <v>9436.7833333333328</v>
      </c>
      <c r="BW1215" s="343">
        <f>SUMIFS($AU$134:AU1216,$AB$134:AB1216,"*",$AC$134:AC1216,"*")</f>
        <v>6014.6</v>
      </c>
      <c r="BX1215" s="343">
        <f>SUMIFS($AU1216:AU$1388,$Q1216:Q$1388,"F")</f>
        <v>8194.1333333333332</v>
      </c>
      <c r="BY1215" s="343">
        <f>SUMIFS($AU1216:AU$1388,$Q1216:Q$1388,"S")</f>
        <v>4032</v>
      </c>
      <c r="BZ1215" s="343">
        <f>SUMIFS($AU1216:AU$1388,$Q1216:Q$1388,"O")</f>
        <v>-387.48466666692195</v>
      </c>
    </row>
    <row r="1216" spans="1:78" ht="15.75" customHeight="1">
      <c r="A1216" s="221" t="s">
        <v>4220</v>
      </c>
      <c r="B1216" s="177">
        <v>45233</v>
      </c>
      <c r="C1216" s="178" t="s">
        <v>682</v>
      </c>
      <c r="D1216" s="178" t="s">
        <v>111</v>
      </c>
      <c r="E1216" s="227"/>
      <c r="F1216" s="180"/>
      <c r="G1216" s="181" t="s">
        <v>3924</v>
      </c>
      <c r="H1216" s="182"/>
      <c r="I1216" s="182"/>
      <c r="J1216" s="182"/>
      <c r="K1216" s="183"/>
      <c r="L1216" s="182">
        <v>2</v>
      </c>
      <c r="M1216" s="182"/>
      <c r="N1216" s="182"/>
      <c r="O1216" s="183" t="s">
        <v>3618</v>
      </c>
      <c r="P1216" s="183" t="s">
        <v>2260</v>
      </c>
      <c r="Q1216" s="183" t="s">
        <v>684</v>
      </c>
      <c r="R1216" s="183">
        <v>1</v>
      </c>
      <c r="S1216" s="183">
        <v>0</v>
      </c>
      <c r="T1216" s="183">
        <v>1</v>
      </c>
      <c r="U1216" s="183" t="s">
        <v>97</v>
      </c>
      <c r="V1216" s="183"/>
      <c r="W1216" s="183"/>
      <c r="X1216" s="183"/>
      <c r="Y1216" s="184">
        <f>IF(ISBLANK(O1216),"",(IF(O1216=UPPER("IB"),0.005,0.01)))</f>
        <v>0.01</v>
      </c>
      <c r="Z1216" s="185">
        <f>IF(ISBLANK(O1216),"",IF(O1216="IB",8.63*200,IF(O1216="IR",16*100,IF(O1216="YT",20*100,IF(O1216="YT-XT",24*200,IF(O1216="TED",80*100,IF(O1216="XT",36*200)))))))</f>
        <v>7200</v>
      </c>
      <c r="AA1216" s="185" t="s">
        <v>4234</v>
      </c>
      <c r="AB1216" s="185"/>
      <c r="AC1216" s="185"/>
      <c r="AD1216" s="649">
        <v>95.35</v>
      </c>
      <c r="AE1216" s="182"/>
      <c r="AF1216" s="332"/>
      <c r="AG1216" s="182"/>
      <c r="AH1216" s="182"/>
      <c r="AI1216" s="182"/>
      <c r="AJ1216" s="640"/>
      <c r="AK1216" s="182"/>
      <c r="AL1216" s="496"/>
      <c r="AM1216" s="496"/>
      <c r="AN1216" s="626"/>
      <c r="AO1216" s="182"/>
      <c r="AP1216" s="182" t="s">
        <v>4262</v>
      </c>
      <c r="AQ1216" s="332" t="str">
        <f>UPPER(RIGHT(Journal_Live[[#This Row],[DURATION ]]))</f>
        <v>M</v>
      </c>
      <c r="AR1216" s="182"/>
      <c r="AS1216" s="189">
        <v>95.35</v>
      </c>
      <c r="AT1216" s="189">
        <f>IF(ISBLANK(AS1216),,IF(U1216="S",AD1216-AS1216,AS1216-AD1216))</f>
        <v>0</v>
      </c>
      <c r="AU1216" s="187">
        <f>AV1216*R1216</f>
        <v>0</v>
      </c>
      <c r="AV1216" s="190">
        <f>IF(ISBLANK(AS1216),,(AT1216*Z1216))</f>
        <v>0</v>
      </c>
      <c r="AW1216" s="191" t="s">
        <v>115</v>
      </c>
      <c r="AX1216" s="407" t="s">
        <v>4263</v>
      </c>
      <c r="AY1216" s="407" t="s">
        <v>4264</v>
      </c>
      <c r="AZ1216" s="407" t="s">
        <v>4265</v>
      </c>
      <c r="BA1216" s="407"/>
      <c r="BB1216" s="407"/>
      <c r="BC1216" s="407"/>
      <c r="BD1216" s="407"/>
      <c r="BE1216" s="407"/>
      <c r="BF1216" s="422"/>
      <c r="BG1216" s="391">
        <f>SUM($AV$4:AV1216)</f>
        <v>4392.8504807067129</v>
      </c>
      <c r="BH1216" s="392">
        <f>SUM($AU$134:AU1216)</f>
        <v>21520.002000000459</v>
      </c>
      <c r="BI1216" s="318">
        <f>SUMIFS($AU$134:AU1217,$Q$134:Q1217,"F")</f>
        <v>6374.5333333333328</v>
      </c>
      <c r="BJ1216" s="318">
        <f>SUMIFS($AU$134:AU1217,$Q$134:Q1217,"S")</f>
        <v>16639.642</v>
      </c>
      <c r="BK1216" s="343">
        <f>SUMIFS($AU$134:AU1217,$P$134:P1217,"W")</f>
        <v>13678.941999999943</v>
      </c>
      <c r="BL1216" s="343">
        <f>SUMIFS($AU$134:AU1217,$P$134:P1217,"R")</f>
        <v>9140.6733333333214</v>
      </c>
      <c r="BM1216" s="343">
        <f>SUMIFS($AU$134:AU1217,$AQ$134:AQ1217,"M")</f>
        <v>2874.0300000001826</v>
      </c>
      <c r="BN1216" s="343">
        <f>SUMIFS($AU$134:AU1217,$AQ$134:AQ1217,"H")</f>
        <v>8953.3420000000642</v>
      </c>
      <c r="BO1216" s="343">
        <f>SUMIFS($AU$134:AU1217,$AQ$134:AQ1217,"D")</f>
        <v>5234.2366666667649</v>
      </c>
      <c r="BP1216" s="343">
        <f>SUMIFS($AU$134:AU1219,$AQ$134:AQ1219,"W")</f>
        <v>3191.7633333332024</v>
      </c>
      <c r="BQ1216" s="343">
        <f>SUMIFS($AU$134:AU1217,$Q$134:Q1217,"O")</f>
        <v>-1261.3733333328767</v>
      </c>
      <c r="BR1216" s="343">
        <f>SUMIFS($AU$134:AU1217,$AA$134:AA1217,"*")</f>
        <v>19777.305333333497</v>
      </c>
      <c r="BS1216" s="343">
        <f>SUMIFS($AU$134:AU1217,$AB$134:AB1217,"*")</f>
        <v>4037.1966666670141</v>
      </c>
      <c r="BT1216" s="343">
        <f>SUMIFS($AU$134:AU1217,$AC$134:AC1217,"*")</f>
        <v>11335.683333333332</v>
      </c>
      <c r="BU1216" s="343">
        <f>SUMIFS($AU$134:AU1217,$AA$134:AA1217,"*",$AB$134:AB1217,"*")</f>
        <v>2298.0000000000546</v>
      </c>
      <c r="BV1216" s="343">
        <f>SUMIFS($AU$134:AU1217,$AA$134:AA1217,"*",$AC$134:AC1217,"*")</f>
        <v>9436.7833333333328</v>
      </c>
      <c r="BW1216" s="343">
        <f>SUMIFS($AU$134:AU1217,$AB$134:AB1217,"*",$AC$134:AC1217,"*")</f>
        <v>6014.6</v>
      </c>
      <c r="BX1216" s="343">
        <f>SUMIFS($AU1217:AU$1388,$Q1217:Q$1388,"F")</f>
        <v>8194.1333333333332</v>
      </c>
      <c r="BY1216" s="343">
        <f>SUMIFS($AU1217:AU$1388,$Q1217:Q$1388,"S")</f>
        <v>4032</v>
      </c>
      <c r="BZ1216" s="343">
        <f>SUMIFS($AU1217:AU$1388,$Q1217:Q$1388,"O")</f>
        <v>-387.48466666692195</v>
      </c>
    </row>
    <row r="1217" spans="1:78" ht="15.75" customHeight="1">
      <c r="A1217" s="221" t="s">
        <v>4220</v>
      </c>
      <c r="B1217" s="177">
        <v>45233</v>
      </c>
      <c r="C1217" s="178" t="s">
        <v>682</v>
      </c>
      <c r="D1217" s="178" t="s">
        <v>111</v>
      </c>
      <c r="E1217" s="227"/>
      <c r="F1217" s="180"/>
      <c r="G1217" s="484" t="s">
        <v>3766</v>
      </c>
      <c r="H1217" s="182"/>
      <c r="I1217" s="182"/>
      <c r="J1217" s="182"/>
      <c r="K1217" s="183"/>
      <c r="L1217" s="182">
        <v>1</v>
      </c>
      <c r="M1217" s="182"/>
      <c r="N1217" s="182"/>
      <c r="O1217" s="183" t="s">
        <v>95</v>
      </c>
      <c r="P1217" s="183" t="s">
        <v>137</v>
      </c>
      <c r="Q1217" s="183" t="s">
        <v>256</v>
      </c>
      <c r="R1217" s="183">
        <v>8</v>
      </c>
      <c r="S1217" s="183">
        <v>8</v>
      </c>
      <c r="T1217" s="183">
        <v>8</v>
      </c>
      <c r="U1217" s="183" t="s">
        <v>22</v>
      </c>
      <c r="V1217" s="183"/>
      <c r="W1217" s="183"/>
      <c r="X1217" s="183"/>
      <c r="Y1217" s="184">
        <f>IF(ISBLANK(O1217),"",(IF(O1217=UPPER("IB"),0.005,0.01)))</f>
        <v>0.01</v>
      </c>
      <c r="Z1217" s="185">
        <f t="shared" ref="Z1217:Z1223" si="355">IF(ISBLANK(O1217),"",IF(O1217="IB",8.63*200,IF(O1217="IR",16*100,IF(O1217="YT",20*100,IF(O1217="YT-XT",24*200,IF(O1217="TED",80*100))))))</f>
        <v>1600</v>
      </c>
      <c r="AA1217" s="185" t="s">
        <v>4266</v>
      </c>
      <c r="AB1217" s="185"/>
      <c r="AC1217" s="185"/>
      <c r="AD1217" s="649">
        <v>-0.02</v>
      </c>
      <c r="AE1217" s="182"/>
      <c r="AF1217" s="332"/>
      <c r="AG1217" s="182"/>
      <c r="AH1217" s="182"/>
      <c r="AI1217" s="182"/>
      <c r="AJ1217" s="640"/>
      <c r="AK1217" s="182"/>
      <c r="AL1217" s="496"/>
      <c r="AM1217" s="496"/>
      <c r="AN1217" s="626"/>
      <c r="AO1217" s="182"/>
      <c r="AP1217" s="182" t="s">
        <v>864</v>
      </c>
      <c r="AQ1217" s="332" t="str">
        <f>UPPER(RIGHT(Journal_Live[[#This Row],[DURATION ]]))</f>
        <v>D</v>
      </c>
      <c r="AR1217" s="182" t="s">
        <v>4267</v>
      </c>
      <c r="AS1217" s="189">
        <f>((-0.01*8))/8</f>
        <v>-0.01</v>
      </c>
      <c r="AT1217" s="189">
        <f>IF(ISBLANK(AS1217),,IF(U1217="S",AD1217-AS1217,AS1217-AD1217))</f>
        <v>0.01</v>
      </c>
      <c r="AU1217" s="187">
        <f>AV1217*R1217</f>
        <v>128</v>
      </c>
      <c r="AV1217" s="190">
        <f>IF(ISBLANK(AS1217),,(AT1217*Z1217))</f>
        <v>16</v>
      </c>
      <c r="AW1217" s="191" t="s">
        <v>96</v>
      </c>
      <c r="AX1217" s="407"/>
      <c r="AY1217" s="407"/>
      <c r="AZ1217" s="407"/>
      <c r="BA1217" s="407"/>
      <c r="BB1217" s="407"/>
      <c r="BC1217" s="407"/>
      <c r="BD1217" s="407"/>
      <c r="BE1217" s="407"/>
      <c r="BF1217" s="422"/>
      <c r="BG1217" s="391">
        <f>SUM($AV$4:AV1217)</f>
        <v>4408.8504807067129</v>
      </c>
      <c r="BH1217" s="392">
        <f>SUM($AU$134:AU1217)</f>
        <v>21648.002000000459</v>
      </c>
      <c r="BI1217" s="318">
        <f>SUMIFS($AU$134:AU1218,$Q$134:Q1218,"F")</f>
        <v>6374.5333333333328</v>
      </c>
      <c r="BJ1217" s="318">
        <f>SUMIFS($AU$134:AU1218,$Q$134:Q1218,"S")</f>
        <v>16639.642</v>
      </c>
      <c r="BK1217" s="343">
        <f>SUMIFS($AU$134:AU1218,$P$134:P1218,"W")</f>
        <v>13678.941999999943</v>
      </c>
      <c r="BL1217" s="343">
        <f>SUMIFS($AU$134:AU1218,$P$134:P1218,"R")</f>
        <v>9140.6733333333214</v>
      </c>
      <c r="BM1217" s="343">
        <f>SUMIFS($AU$134:AU1218,$AQ$134:AQ1218,"M")</f>
        <v>2874.0300000001826</v>
      </c>
      <c r="BN1217" s="343">
        <f>SUMIFS($AU$134:AU1218,$AQ$134:AQ1218,"H")</f>
        <v>8953.3420000000642</v>
      </c>
      <c r="BO1217" s="343">
        <f>SUMIFS($AU$134:AU1218,$AQ$134:AQ1218,"D")</f>
        <v>5234.2366666667649</v>
      </c>
      <c r="BP1217" s="343">
        <f>SUMIFS($AU$134:AU1220,$AQ$134:AQ1220,"W")</f>
        <v>3191.7633333332024</v>
      </c>
      <c r="BQ1217" s="343">
        <f>SUMIFS($AU$134:AU1218,$Q$134:Q1218,"O")</f>
        <v>-1261.3733333328767</v>
      </c>
      <c r="BR1217" s="343">
        <f>SUMIFS($AU$134:AU1218,$AA$134:AA1218,"*")</f>
        <v>19777.305333333497</v>
      </c>
      <c r="BS1217" s="343">
        <f>SUMIFS($AU$134:AU1218,$AB$134:AB1218,"*")</f>
        <v>4037.1966666670141</v>
      </c>
      <c r="BT1217" s="343">
        <f>SUMIFS($AU$134:AU1218,$AC$134:AC1218,"*")</f>
        <v>11335.683333333332</v>
      </c>
      <c r="BU1217" s="343">
        <f>SUMIFS($AU$134:AU1218,$AA$134:AA1218,"*",$AB$134:AB1218,"*")</f>
        <v>2298.0000000000546</v>
      </c>
      <c r="BV1217" s="343">
        <f>SUMIFS($AU$134:AU1218,$AA$134:AA1218,"*",$AC$134:AC1218,"*")</f>
        <v>9436.7833333333328</v>
      </c>
      <c r="BW1217" s="343">
        <f>SUMIFS($AU$134:AU1218,$AB$134:AB1218,"*",$AC$134:AC1218,"*")</f>
        <v>6014.6</v>
      </c>
      <c r="BX1217" s="343">
        <f>SUMIFS($AU1218:AU$1388,$Q1218:Q$1388,"F")</f>
        <v>8066.1333333333323</v>
      </c>
      <c r="BY1217" s="343">
        <f>SUMIFS($AU1218:AU$1388,$Q1218:Q$1388,"S")</f>
        <v>4032</v>
      </c>
      <c r="BZ1217" s="343">
        <f>SUMIFS($AU1218:AU$1388,$Q1218:Q$1388,"O")</f>
        <v>-387.48466666692195</v>
      </c>
    </row>
    <row r="1218" spans="1:78" ht="15.75" customHeight="1">
      <c r="A1218" s="221" t="s">
        <v>4220</v>
      </c>
      <c r="B1218" s="177">
        <v>45233</v>
      </c>
      <c r="C1218" s="178" t="s">
        <v>4268</v>
      </c>
      <c r="D1218" s="178" t="s">
        <v>111</v>
      </c>
      <c r="E1218" s="227"/>
      <c r="F1218" s="180"/>
      <c r="G1218" s="281" t="s">
        <v>181</v>
      </c>
      <c r="H1218" s="182"/>
      <c r="I1218" s="182"/>
      <c r="J1218" s="182"/>
      <c r="K1218" s="183"/>
      <c r="L1218" s="182">
        <v>1</v>
      </c>
      <c r="M1218" s="182"/>
      <c r="N1218" s="182"/>
      <c r="O1218" s="183" t="s">
        <v>95</v>
      </c>
      <c r="P1218" s="183" t="s">
        <v>96</v>
      </c>
      <c r="Q1218" s="183" t="s">
        <v>97</v>
      </c>
      <c r="R1218" s="183">
        <v>12</v>
      </c>
      <c r="S1218" s="183">
        <v>0</v>
      </c>
      <c r="T1218" s="183">
        <v>12</v>
      </c>
      <c r="U1218" s="183" t="s">
        <v>22</v>
      </c>
      <c r="V1218" s="183"/>
      <c r="W1218" s="183"/>
      <c r="X1218" s="183"/>
      <c r="Y1218" s="184">
        <f>IF(ISBLANK(O1218),"",(IF(O1218=UPPER("IB"),0.005,0.01)))</f>
        <v>0.01</v>
      </c>
      <c r="Z1218" s="185">
        <f t="shared" si="355"/>
        <v>1600</v>
      </c>
      <c r="AA1218" s="185" t="s">
        <v>99</v>
      </c>
      <c r="AB1218" s="185"/>
      <c r="AC1218" s="185"/>
      <c r="AD1218" s="649">
        <v>-0.04</v>
      </c>
      <c r="AE1218" s="182"/>
      <c r="AF1218" s="332"/>
      <c r="AG1218" s="182"/>
      <c r="AH1218" s="182"/>
      <c r="AI1218" s="182"/>
      <c r="AJ1218" s="640"/>
      <c r="AK1218" s="182"/>
      <c r="AL1218" s="496">
        <f t="shared" ref="AL1218:AL1219" si="356">-0.03*Z1218</f>
        <v>-48</v>
      </c>
      <c r="AM1218" s="496">
        <f>AL1218*(R1218-S1218)</f>
        <v>-576</v>
      </c>
      <c r="AN1218" s="626"/>
      <c r="AO1218" s="182"/>
      <c r="AP1218" s="182" t="s">
        <v>1897</v>
      </c>
      <c r="AQ1218" s="332" t="str">
        <f>UPPER(RIGHT(Journal_Live[[#This Row],[DURATION ]]))</f>
        <v>H</v>
      </c>
      <c r="AR1218" s="182" t="s">
        <v>4269</v>
      </c>
      <c r="AS1218" s="189">
        <v>-0.04</v>
      </c>
      <c r="AT1218" s="189">
        <f>IF(ISBLANK(AS1218),,IF(U1218="S",AD1218-AS1218,AS1218-AD1218))</f>
        <v>0</v>
      </c>
      <c r="AU1218" s="187">
        <f>AV1218*R1218</f>
        <v>0</v>
      </c>
      <c r="AV1218" s="190">
        <f>IF(ISBLANK(AS1218),,(AT1218*Z1218))</f>
        <v>0</v>
      </c>
      <c r="AW1218" s="191" t="s">
        <v>115</v>
      </c>
      <c r="AX1218" s="407" t="s">
        <v>4270</v>
      </c>
      <c r="AY1218" s="407"/>
      <c r="AZ1218" s="407"/>
      <c r="BA1218" s="407"/>
      <c r="BB1218" s="407"/>
      <c r="BC1218" s="407"/>
      <c r="BD1218" s="407"/>
      <c r="BE1218" s="407"/>
      <c r="BF1218" s="422"/>
      <c r="BG1218" s="391">
        <f>SUM($AV$4:AV1218)</f>
        <v>4408.8504807067129</v>
      </c>
      <c r="BH1218" s="392">
        <f>SUM($AU$134:AU1218)</f>
        <v>21648.002000000459</v>
      </c>
      <c r="BI1218" s="318">
        <f>SUMIFS($AU$134:AU1219,$Q$134:Q1219,"F")</f>
        <v>6374.5333333333328</v>
      </c>
      <c r="BJ1218" s="318">
        <f>SUMIFS($AU$134:AU1219,$Q$134:Q1219,"S")</f>
        <v>16831.642</v>
      </c>
      <c r="BK1218" s="343">
        <f>SUMIFS($AU$134:AU1219,$P$134:P1219,"W")</f>
        <v>13678.941999999943</v>
      </c>
      <c r="BL1218" s="343">
        <f>SUMIFS($AU$134:AU1219,$P$134:P1219,"R")</f>
        <v>9332.6733333333214</v>
      </c>
      <c r="BM1218" s="343">
        <f>SUMIFS($AU$134:AU1219,$AQ$134:AQ1219,"M")</f>
        <v>2874.0300000001826</v>
      </c>
      <c r="BN1218" s="343">
        <f>SUMIFS($AU$134:AU1219,$AQ$134:AQ1219,"H")</f>
        <v>8953.3420000000642</v>
      </c>
      <c r="BO1218" s="343">
        <f>SUMIFS($AU$134:AU1219,$AQ$134:AQ1219,"D")</f>
        <v>5426.2366666667649</v>
      </c>
      <c r="BP1218" s="343">
        <f>SUMIFS($AU$134:AU1221,$AQ$134:AQ1221,"W")</f>
        <v>3191.7633333332024</v>
      </c>
      <c r="BQ1218" s="343">
        <f>SUMIFS($AU$134:AU1219,$Q$134:Q1219,"O")</f>
        <v>-1261.3733333328767</v>
      </c>
      <c r="BR1218" s="343">
        <f>SUMIFS($AU$134:AU1219,$AA$134:AA1219,"*")</f>
        <v>19969.305333333497</v>
      </c>
      <c r="BS1218" s="343">
        <f>SUMIFS($AU$134:AU1219,$AB$134:AB1219,"*")</f>
        <v>4229.1966666670141</v>
      </c>
      <c r="BT1218" s="343">
        <f>SUMIFS($AU$134:AU1219,$AC$134:AC1219,"*")</f>
        <v>11527.683333333332</v>
      </c>
      <c r="BU1218" s="343">
        <f>SUMIFS($AU$134:AU1219,$AA$134:AA1219,"*",$AB$134:AB1219,"*")</f>
        <v>2490.0000000000546</v>
      </c>
      <c r="BV1218" s="343">
        <f>SUMIFS($AU$134:AU1219,$AA$134:AA1219,"*",$AC$134:AC1219,"*")</f>
        <v>9628.7833333333328</v>
      </c>
      <c r="BW1218" s="343">
        <f>SUMIFS($AU$134:AU1219,$AB$134:AB1219,"*",$AC$134:AC1219,"*")</f>
        <v>6206.6</v>
      </c>
      <c r="BX1218" s="343">
        <f>SUMIFS($AU1219:AU$1388,$Q1219:Q$1388,"F")</f>
        <v>8066.1333333333323</v>
      </c>
      <c r="BY1218" s="343">
        <f>SUMIFS($AU1219:AU$1388,$Q1219:Q$1388,"S")</f>
        <v>4032</v>
      </c>
      <c r="BZ1218" s="343">
        <f>SUMIFS($AU1219:AU$1388,$Q1219:Q$1388,"O")</f>
        <v>-387.48466666692195</v>
      </c>
    </row>
    <row r="1219" spans="1:78" ht="15.75" customHeight="1">
      <c r="A1219" s="221" t="s">
        <v>4220</v>
      </c>
      <c r="B1219" s="177">
        <v>45233</v>
      </c>
      <c r="C1219" s="178" t="s">
        <v>4271</v>
      </c>
      <c r="D1219" s="178" t="s">
        <v>111</v>
      </c>
      <c r="E1219" s="227"/>
      <c r="F1219" s="180"/>
      <c r="G1219" s="281" t="s">
        <v>4272</v>
      </c>
      <c r="H1219" s="182"/>
      <c r="I1219" s="182"/>
      <c r="J1219" s="182"/>
      <c r="K1219" s="183"/>
      <c r="L1219" s="182">
        <v>1</v>
      </c>
      <c r="M1219" s="182"/>
      <c r="N1219" s="182"/>
      <c r="O1219" s="183" t="s">
        <v>95</v>
      </c>
      <c r="P1219" s="183" t="s">
        <v>137</v>
      </c>
      <c r="Q1219" s="183" t="s">
        <v>97</v>
      </c>
      <c r="R1219" s="183">
        <v>12</v>
      </c>
      <c r="S1219" s="183">
        <v>0</v>
      </c>
      <c r="T1219" s="183">
        <v>12</v>
      </c>
      <c r="U1219" s="183" t="s">
        <v>97</v>
      </c>
      <c r="V1219" s="183"/>
      <c r="W1219" s="183"/>
      <c r="X1219" s="183"/>
      <c r="Y1219" s="184">
        <f>IF(ISBLANK(O1219),"",(IF(O1219=UPPER("IB"),0.005,0.01)))</f>
        <v>0.01</v>
      </c>
      <c r="Z1219" s="185">
        <f t="shared" si="355"/>
        <v>1600</v>
      </c>
      <c r="AA1219" s="185" t="s">
        <v>99</v>
      </c>
      <c r="AB1219" s="185" t="s">
        <v>4273</v>
      </c>
      <c r="AC1219" s="185" t="s">
        <v>4274</v>
      </c>
      <c r="AD1219" s="649">
        <v>-0.04</v>
      </c>
      <c r="AE1219" s="182"/>
      <c r="AF1219" s="332"/>
      <c r="AG1219" s="182"/>
      <c r="AH1219" s="182"/>
      <c r="AI1219" s="182"/>
      <c r="AJ1219" s="640"/>
      <c r="AK1219" s="182"/>
      <c r="AL1219" s="496">
        <f t="shared" si="356"/>
        <v>-48</v>
      </c>
      <c r="AM1219" s="496">
        <f>AL1219*(R1219-S1219)</f>
        <v>-576</v>
      </c>
      <c r="AN1219" s="626"/>
      <c r="AO1219" s="182"/>
      <c r="AP1219" s="182" t="s">
        <v>864</v>
      </c>
      <c r="AQ1219" s="332" t="str">
        <f>UPPER(RIGHT(Journal_Live[[#This Row],[DURATION ]]))</f>
        <v>D</v>
      </c>
      <c r="AR1219" s="182" t="s">
        <v>4275</v>
      </c>
      <c r="AS1219" s="189">
        <v>-0.05</v>
      </c>
      <c r="AT1219" s="189">
        <f>IF(ISBLANK(AS1219),,IF(U1219="S",AD1219-AS1219,AS1219-AD1219))</f>
        <v>1.0000000000000002E-2</v>
      </c>
      <c r="AU1219" s="187">
        <f>AV1219*R1219</f>
        <v>192.00000000000006</v>
      </c>
      <c r="AV1219" s="190">
        <f>IF(ISBLANK(AS1219),,(AT1219*Z1219))</f>
        <v>16.000000000000004</v>
      </c>
      <c r="AW1219" s="191" t="s">
        <v>96</v>
      </c>
      <c r="AX1219" s="407"/>
      <c r="AY1219" s="407"/>
      <c r="AZ1219" s="407"/>
      <c r="BA1219" s="407"/>
      <c r="BB1219" s="407"/>
      <c r="BC1219" s="407"/>
      <c r="BD1219" s="407"/>
      <c r="BE1219" s="407"/>
      <c r="BF1219" s="422"/>
      <c r="BG1219" s="391">
        <f>SUM($AV$4:AV1219)</f>
        <v>4424.8504807067129</v>
      </c>
      <c r="BH1219" s="392">
        <f>SUM($AU$134:AU1219)</f>
        <v>21840.002000000459</v>
      </c>
      <c r="BI1219" s="318">
        <f>SUMIFS($AU$134:AU1220,$Q$134:Q1220,"F")</f>
        <v>6566.5333333333328</v>
      </c>
      <c r="BJ1219" s="318">
        <f>SUMIFS($AU$134:AU1220,$Q$134:Q1220,"S")</f>
        <v>16831.642</v>
      </c>
      <c r="BK1219" s="343">
        <f>SUMIFS($AU$134:AU1220,$P$134:P1220,"W")</f>
        <v>13678.941999999943</v>
      </c>
      <c r="BL1219" s="343">
        <f>SUMIFS($AU$134:AU1220,$P$134:P1220,"R")</f>
        <v>9524.6733333333214</v>
      </c>
      <c r="BM1219" s="343">
        <f>SUMIFS($AU$134:AU1220,$AQ$134:AQ1220,"M")</f>
        <v>2874.0300000001826</v>
      </c>
      <c r="BN1219" s="343">
        <f>SUMIFS($AU$134:AU1220,$AQ$134:AQ1220,"H")</f>
        <v>8953.3420000000642</v>
      </c>
      <c r="BO1219" s="343">
        <f>SUMIFS($AU$134:AU1220,$AQ$134:AQ1220,"D")</f>
        <v>5426.2366666667649</v>
      </c>
      <c r="BP1219" s="343">
        <f>SUMIFS($AU$134:AU1222,$AQ$134:AQ1222,"W")</f>
        <v>3191.7633333332024</v>
      </c>
      <c r="BQ1219" s="343">
        <f>SUMIFS($AU$134:AU1220,$Q$134:Q1220,"O")</f>
        <v>-1261.3733333328767</v>
      </c>
      <c r="BR1219" s="343">
        <f>SUMIFS($AU$134:AU1220,$AA$134:AA1220,"*")</f>
        <v>19969.305333333497</v>
      </c>
      <c r="BS1219" s="343">
        <f>SUMIFS($AU$134:AU1220,$AB$134:AB1220,"*")</f>
        <v>4229.1966666670141</v>
      </c>
      <c r="BT1219" s="343">
        <f>SUMIFS($AU$134:AU1220,$AC$134:AC1220,"*")</f>
        <v>11719.683333333332</v>
      </c>
      <c r="BU1219" s="343">
        <f>SUMIFS($AU$134:AU1220,$AA$134:AA1220,"*",$AB$134:AB1220,"*")</f>
        <v>2490.0000000000546</v>
      </c>
      <c r="BV1219" s="343">
        <f>SUMIFS($AU$134:AU1220,$AA$134:AA1220,"*",$AC$134:AC1220,"*")</f>
        <v>9628.7833333333328</v>
      </c>
      <c r="BW1219" s="343">
        <f>SUMIFS($AU$134:AU1220,$AB$134:AB1220,"*",$AC$134:AC1220,"*")</f>
        <v>6206.6</v>
      </c>
      <c r="BX1219" s="343">
        <f>SUMIFS($AU1220:AU$1388,$Q1220:Q$1388,"F")</f>
        <v>8066.1333333333323</v>
      </c>
      <c r="BY1219" s="343">
        <f>SUMIFS($AU1220:AU$1388,$Q1220:Q$1388,"S")</f>
        <v>3840</v>
      </c>
      <c r="BZ1219" s="343">
        <f>SUMIFS($AU1220:AU$1388,$Q1220:Q$1388,"O")</f>
        <v>-387.48466666692195</v>
      </c>
    </row>
    <row r="1220" spans="1:78" ht="15.75" customHeight="1">
      <c r="A1220" s="221" t="s">
        <v>4220</v>
      </c>
      <c r="B1220" s="177">
        <v>45233</v>
      </c>
      <c r="C1220" s="178" t="s">
        <v>4276</v>
      </c>
      <c r="D1220" s="178" t="s">
        <v>111</v>
      </c>
      <c r="E1220" s="227"/>
      <c r="F1220" s="180"/>
      <c r="G1220" s="484" t="s">
        <v>4277</v>
      </c>
      <c r="H1220" s="182"/>
      <c r="I1220" s="182"/>
      <c r="J1220" s="182"/>
      <c r="K1220" s="183"/>
      <c r="L1220" s="182"/>
      <c r="M1220" s="182">
        <v>2</v>
      </c>
      <c r="N1220" s="182"/>
      <c r="O1220" s="183" t="s">
        <v>95</v>
      </c>
      <c r="P1220" s="183" t="s">
        <v>137</v>
      </c>
      <c r="Q1220" s="183" t="s">
        <v>256</v>
      </c>
      <c r="R1220" s="183">
        <v>12</v>
      </c>
      <c r="S1220" s="183">
        <v>0</v>
      </c>
      <c r="T1220" s="183">
        <v>12</v>
      </c>
      <c r="U1220" s="183" t="s">
        <v>22</v>
      </c>
      <c r="V1220" s="183"/>
      <c r="W1220" s="183"/>
      <c r="X1220" s="183"/>
      <c r="Y1220" s="184">
        <f>IF(ISBLANK(O1220),"",(IF(O1220=UPPER("IB"),0.005,0.01)))</f>
        <v>0.01</v>
      </c>
      <c r="Z1220" s="185">
        <f t="shared" si="355"/>
        <v>1600</v>
      </c>
      <c r="AA1220" s="185"/>
      <c r="AB1220" s="185"/>
      <c r="AC1220" s="185" t="s">
        <v>4278</v>
      </c>
      <c r="AD1220" s="649">
        <v>-0.06</v>
      </c>
      <c r="AE1220" s="182"/>
      <c r="AF1220" s="332"/>
      <c r="AG1220" s="182"/>
      <c r="AH1220" s="182"/>
      <c r="AI1220" s="182"/>
      <c r="AJ1220" s="640"/>
      <c r="AK1220" s="182"/>
      <c r="AL1220" s="496"/>
      <c r="AM1220" s="496"/>
      <c r="AN1220" s="626"/>
      <c r="AO1220" s="182"/>
      <c r="AP1220" s="182"/>
      <c r="AQ1220" s="332" t="str">
        <f>UPPER(RIGHT(Journal_Live[[#This Row],[DURATION ]]))</f>
        <v/>
      </c>
      <c r="AR1220" s="182" t="s">
        <v>4279</v>
      </c>
      <c r="AS1220" s="189">
        <f>((-0.05*6)+(-0.05*6))/12</f>
        <v>-5.000000000000001E-2</v>
      </c>
      <c r="AT1220" s="189">
        <f>IF(ISBLANK(AS1220),,IF(U1220="S",AD1220-AS1220,AS1220-AD1220))</f>
        <v>9.9999999999999881E-3</v>
      </c>
      <c r="AU1220" s="187">
        <f>AV1220*R1220</f>
        <v>191.99999999999977</v>
      </c>
      <c r="AV1220" s="190">
        <f>IF(ISBLANK(AS1220),,(AT1220*Z1220))</f>
        <v>15.99999999999998</v>
      </c>
      <c r="AW1220" s="191" t="s">
        <v>96</v>
      </c>
      <c r="AX1220" s="407"/>
      <c r="AY1220" s="407"/>
      <c r="AZ1220" s="407"/>
      <c r="BA1220" s="407"/>
      <c r="BB1220" s="407"/>
      <c r="BC1220" s="407"/>
      <c r="BD1220" s="407"/>
      <c r="BE1220" s="407"/>
      <c r="BF1220" s="422"/>
      <c r="BG1220" s="391">
        <f>SUM($AV$4:AV1220)</f>
        <v>4440.8504807067129</v>
      </c>
      <c r="BH1220" s="392">
        <f>SUM($AU$134:AU1220)</f>
        <v>22032.002000000459</v>
      </c>
      <c r="BI1220" s="318">
        <f>SUMIFS($AU$134:AU1221,$Q$134:Q1221,"F")</f>
        <v>6566.5333333333328</v>
      </c>
      <c r="BJ1220" s="318">
        <f>SUMIFS($AU$134:AU1221,$Q$134:Q1221,"S")</f>
        <v>16831.642</v>
      </c>
      <c r="BK1220" s="343">
        <f>SUMIFS($AU$134:AU1221,$P$134:P1221,"W")</f>
        <v>13678.941999999943</v>
      </c>
      <c r="BL1220" s="343">
        <f>SUMIFS($AU$134:AU1221,$P$134:P1221,"R")</f>
        <v>9524.6733333333214</v>
      </c>
      <c r="BM1220" s="343">
        <f>SUMIFS($AU$134:AU1221,$AQ$134:AQ1221,"M")</f>
        <v>2874.0300000001826</v>
      </c>
      <c r="BN1220" s="343">
        <f>SUMIFS($AU$134:AU1221,$AQ$134:AQ1221,"H")</f>
        <v>8953.3420000000642</v>
      </c>
      <c r="BO1220" s="343">
        <f>SUMIFS($AU$134:AU1221,$AQ$134:AQ1221,"D")</f>
        <v>5426.2366666667649</v>
      </c>
      <c r="BP1220" s="343">
        <f>SUMIFS($AU$134:AU1223,$AQ$134:AQ1223,"W")</f>
        <v>3191.7633333332024</v>
      </c>
      <c r="BQ1220" s="343">
        <f>SUMIFS($AU$134:AU1221,$Q$134:Q1221,"O")</f>
        <v>-1261.3733333328767</v>
      </c>
      <c r="BR1220" s="343">
        <f>SUMIFS($AU$134:AU1221,$AA$134:AA1221,"*")</f>
        <v>19969.305333333497</v>
      </c>
      <c r="BS1220" s="343">
        <f>SUMIFS($AU$134:AU1221,$AB$134:AB1221,"*")</f>
        <v>4229.1966666670141</v>
      </c>
      <c r="BT1220" s="343">
        <f>SUMIFS($AU$134:AU1221,$AC$134:AC1221,"*")</f>
        <v>11719.683333333332</v>
      </c>
      <c r="BU1220" s="343">
        <f>SUMIFS($AU$134:AU1221,$AA$134:AA1221,"*",$AB$134:AB1221,"*")</f>
        <v>2490.0000000000546</v>
      </c>
      <c r="BV1220" s="343">
        <f>SUMIFS($AU$134:AU1221,$AA$134:AA1221,"*",$AC$134:AC1221,"*")</f>
        <v>9628.7833333333328</v>
      </c>
      <c r="BW1220" s="343">
        <f>SUMIFS($AU$134:AU1221,$AB$134:AB1221,"*",$AC$134:AC1221,"*")</f>
        <v>6206.6</v>
      </c>
      <c r="BX1220" s="343">
        <f>SUMIFS($AU1221:AU$1388,$Q1221:Q$1388,"F")</f>
        <v>7874.1333333333323</v>
      </c>
      <c r="BY1220" s="343">
        <f>SUMIFS($AU1221:AU$1388,$Q1221:Q$1388,"S")</f>
        <v>3840</v>
      </c>
      <c r="BZ1220" s="343">
        <f>SUMIFS($AU1221:AU$1388,$Q1221:Q$1388,"O")</f>
        <v>-387.48466666692195</v>
      </c>
    </row>
    <row r="1221" spans="1:78" ht="15.75" customHeight="1">
      <c r="A1221" s="221" t="s">
        <v>4220</v>
      </c>
      <c r="B1221" s="177">
        <v>45233</v>
      </c>
      <c r="C1221" s="178" t="s">
        <v>1187</v>
      </c>
      <c r="D1221" s="178" t="s">
        <v>111</v>
      </c>
      <c r="E1221" s="227" t="s">
        <v>4280</v>
      </c>
      <c r="F1221" s="180" t="s">
        <v>4281</v>
      </c>
      <c r="G1221" s="181"/>
      <c r="H1221" s="182"/>
      <c r="I1221" s="182"/>
      <c r="J1221" s="182"/>
      <c r="K1221" s="183"/>
      <c r="L1221" s="182"/>
      <c r="M1221" s="182"/>
      <c r="N1221" s="182"/>
      <c r="O1221" s="183"/>
      <c r="P1221" s="183"/>
      <c r="Q1221" s="183"/>
      <c r="R1221" s="183"/>
      <c r="S1221" s="183"/>
      <c r="T1221" s="183"/>
      <c r="U1221" s="183"/>
      <c r="V1221" s="183"/>
      <c r="W1221" s="183"/>
      <c r="X1221" s="183"/>
      <c r="Y1221" s="183"/>
      <c r="Z1221" s="185" t="str">
        <f t="shared" si="355"/>
        <v/>
      </c>
      <c r="AA1221" s="185"/>
      <c r="AB1221" s="185"/>
      <c r="AC1221" s="185"/>
      <c r="AD1221" s="649"/>
      <c r="AE1221" s="182"/>
      <c r="AF1221" s="332"/>
      <c r="AG1221" s="182"/>
      <c r="AH1221" s="182"/>
      <c r="AI1221" s="182"/>
      <c r="AJ1221" s="640"/>
      <c r="AK1221" s="182"/>
      <c r="AL1221" s="496"/>
      <c r="AM1221" s="496"/>
      <c r="AN1221" s="626"/>
      <c r="AO1221" s="182"/>
      <c r="AP1221" s="182"/>
      <c r="AQ1221" s="332" t="str">
        <f>UPPER(RIGHT(Journal_Live[[#This Row],[DURATION ]]))</f>
        <v/>
      </c>
      <c r="AR1221" s="182"/>
      <c r="AS1221" s="189"/>
      <c r="AT1221" s="189"/>
      <c r="AU1221" s="187"/>
      <c r="AV1221" s="190"/>
      <c r="AW1221" s="191"/>
      <c r="AX1221" s="407"/>
      <c r="AY1221" s="407"/>
      <c r="AZ1221" s="407"/>
      <c r="BA1221" s="407"/>
      <c r="BB1221" s="407"/>
      <c r="BC1221" s="407"/>
      <c r="BD1221" s="407"/>
      <c r="BE1221" s="407"/>
      <c r="BF1221" s="422"/>
      <c r="BG1221" s="391">
        <f>SUM($AV$4:AV1221)</f>
        <v>4440.8504807067129</v>
      </c>
      <c r="BH1221" s="392">
        <f>SUM($AU$134:AU1221)</f>
        <v>22032.002000000459</v>
      </c>
      <c r="BI1221" s="318">
        <f>SUMIFS($AU$134:AU1222,$Q$134:Q1222,"F")</f>
        <v>6566.5333333333328</v>
      </c>
      <c r="BJ1221" s="318">
        <f>SUMIFS($AU$134:AU1222,$Q$134:Q1222,"S")</f>
        <v>16831.642</v>
      </c>
      <c r="BK1221" s="343">
        <f>SUMIFS($AU$134:AU1222,$P$134:P1222,"W")</f>
        <v>13678.941999999943</v>
      </c>
      <c r="BL1221" s="343">
        <f>SUMIFS($AU$134:AU1222,$P$134:P1222,"R")</f>
        <v>9524.6733333333214</v>
      </c>
      <c r="BM1221" s="343">
        <f>SUMIFS($AU$134:AU1222,$AQ$134:AQ1222,"M")</f>
        <v>2874.0300000001826</v>
      </c>
      <c r="BN1221" s="343">
        <f>SUMIFS($AU$134:AU1222,$AQ$134:AQ1222,"H")</f>
        <v>8953.3420000000642</v>
      </c>
      <c r="BO1221" s="343">
        <f>SUMIFS($AU$134:AU1222,$AQ$134:AQ1222,"D")</f>
        <v>5426.2366666667649</v>
      </c>
      <c r="BP1221" s="343">
        <f>SUMIFS($AU$134:AU1224,$AQ$134:AQ1224,"W")</f>
        <v>3191.7633333332024</v>
      </c>
      <c r="BQ1221" s="343">
        <f>SUMIFS($AU$134:AU1222,$Q$134:Q1222,"O")</f>
        <v>-1261.3733333328767</v>
      </c>
      <c r="BR1221" s="343">
        <f>SUMIFS($AU$134:AU1222,$AA$134:AA1222,"*")</f>
        <v>19969.305333333497</v>
      </c>
      <c r="BS1221" s="343">
        <f>SUMIFS($AU$134:AU1222,$AB$134:AB1222,"*")</f>
        <v>4229.1966666670141</v>
      </c>
      <c r="BT1221" s="343">
        <f>SUMIFS($AU$134:AU1222,$AC$134:AC1222,"*")</f>
        <v>11719.683333333332</v>
      </c>
      <c r="BU1221" s="343">
        <f>SUMIFS($AU$134:AU1222,$AA$134:AA1222,"*",$AB$134:AB1222,"*")</f>
        <v>2490.0000000000546</v>
      </c>
      <c r="BV1221" s="343">
        <f>SUMIFS($AU$134:AU1222,$AA$134:AA1222,"*",$AC$134:AC1222,"*")</f>
        <v>9628.7833333333328</v>
      </c>
      <c r="BW1221" s="343">
        <f>SUMIFS($AU$134:AU1222,$AB$134:AB1222,"*",$AC$134:AC1222,"*")</f>
        <v>6206.6</v>
      </c>
      <c r="BX1221" s="343">
        <f>SUMIFS($AU1222:AU$1388,$Q1222:Q$1388,"F")</f>
        <v>7874.1333333333323</v>
      </c>
      <c r="BY1221" s="343">
        <f>SUMIFS($AU1222:AU$1388,$Q1222:Q$1388,"S")</f>
        <v>3840</v>
      </c>
      <c r="BZ1221" s="343">
        <f>SUMIFS($AU1222:AU$1388,$Q1222:Q$1388,"O")</f>
        <v>-387.48466666692195</v>
      </c>
    </row>
    <row r="1222" spans="1:78" ht="15.75" customHeight="1">
      <c r="A1222" s="221" t="s">
        <v>4220</v>
      </c>
      <c r="B1222" s="177"/>
      <c r="C1222" s="178"/>
      <c r="D1222" s="178"/>
      <c r="E1222" s="227" t="s">
        <v>4282</v>
      </c>
      <c r="F1222" s="180" t="s">
        <v>4283</v>
      </c>
      <c r="G1222" s="181"/>
      <c r="H1222" s="182"/>
      <c r="I1222" s="182"/>
      <c r="J1222" s="182"/>
      <c r="K1222" s="183"/>
      <c r="L1222" s="182"/>
      <c r="M1222" s="182"/>
      <c r="N1222" s="182"/>
      <c r="O1222" s="183"/>
      <c r="P1222" s="183"/>
      <c r="Q1222" s="183"/>
      <c r="R1222" s="183"/>
      <c r="S1222" s="183"/>
      <c r="T1222" s="183"/>
      <c r="U1222" s="183"/>
      <c r="V1222" s="183"/>
      <c r="W1222" s="183"/>
      <c r="X1222" s="183"/>
      <c r="Y1222" s="183"/>
      <c r="Z1222" s="185" t="str">
        <f t="shared" si="355"/>
        <v/>
      </c>
      <c r="AA1222" s="185"/>
      <c r="AB1222" s="185"/>
      <c r="AC1222" s="185"/>
      <c r="AD1222" s="649"/>
      <c r="AE1222" s="182"/>
      <c r="AF1222" s="332"/>
      <c r="AG1222" s="182"/>
      <c r="AH1222" s="182"/>
      <c r="AI1222" s="182"/>
      <c r="AJ1222" s="640"/>
      <c r="AK1222" s="182"/>
      <c r="AL1222" s="496"/>
      <c r="AM1222" s="496"/>
      <c r="AN1222" s="626"/>
      <c r="AO1222" s="182"/>
      <c r="AP1222" s="182"/>
      <c r="AQ1222" s="332" t="str">
        <f>UPPER(RIGHT(Journal_Live[[#This Row],[DURATION ]]))</f>
        <v/>
      </c>
      <c r="AR1222" s="182"/>
      <c r="AS1222" s="189"/>
      <c r="AT1222" s="189"/>
      <c r="AU1222" s="187"/>
      <c r="AV1222" s="190"/>
      <c r="AW1222" s="191"/>
      <c r="AX1222" s="407"/>
      <c r="AY1222" s="407"/>
      <c r="AZ1222" s="407"/>
      <c r="BA1222" s="407"/>
      <c r="BB1222" s="407"/>
      <c r="BC1222" s="407"/>
      <c r="BD1222" s="407"/>
      <c r="BE1222" s="407"/>
      <c r="BF1222" s="422"/>
      <c r="BG1222" s="391">
        <f>SUM($AV$4:AV1222)</f>
        <v>4440.8504807067129</v>
      </c>
      <c r="BH1222" s="392">
        <f>SUM($AU$134:AU1222)</f>
        <v>22032.002000000459</v>
      </c>
      <c r="BI1222" s="318">
        <f>SUMIFS($AU$134:AU1223,$Q$134:Q1223,"F")</f>
        <v>6566.5333333333328</v>
      </c>
      <c r="BJ1222" s="318">
        <f>SUMIFS($AU$134:AU1223,$Q$134:Q1223,"S")</f>
        <v>17215.642</v>
      </c>
      <c r="BK1222" s="343">
        <f>SUMIFS($AU$134:AU1223,$P$134:P1223,"W")</f>
        <v>14062.941999999943</v>
      </c>
      <c r="BL1222" s="343">
        <f>SUMIFS($AU$134:AU1223,$P$134:P1223,"R")</f>
        <v>9524.6733333333214</v>
      </c>
      <c r="BM1222" s="343">
        <f>SUMIFS($AU$134:AU1223,$AQ$134:AQ1223,"M")</f>
        <v>2874.0300000001826</v>
      </c>
      <c r="BN1222" s="343">
        <f>SUMIFS($AU$134:AU1223,$AQ$134:AQ1223,"H")</f>
        <v>8953.3420000000642</v>
      </c>
      <c r="BO1222" s="343">
        <f>SUMIFS($AU$134:AU1223,$AQ$134:AQ1223,"D")</f>
        <v>5810.2366666667649</v>
      </c>
      <c r="BP1222" s="343">
        <f>SUMIFS($AU$134:AU1225,$AQ$134:AQ1225,"W")</f>
        <v>3191.7633333332024</v>
      </c>
      <c r="BQ1222" s="343">
        <f>SUMIFS($AU$134:AU1223,$Q$134:Q1223,"O")</f>
        <v>-1261.3733333328767</v>
      </c>
      <c r="BR1222" s="343">
        <f>SUMIFS($AU$134:AU1223,$AA$134:AA1223,"*")</f>
        <v>20353.305333333497</v>
      </c>
      <c r="BS1222" s="343">
        <f>SUMIFS($AU$134:AU1223,$AB$134:AB1223,"*")</f>
        <v>4229.1966666670141</v>
      </c>
      <c r="BT1222" s="343">
        <f>SUMIFS($AU$134:AU1223,$AC$134:AC1223,"*")</f>
        <v>11719.683333333332</v>
      </c>
      <c r="BU1222" s="343">
        <f>SUMIFS($AU$134:AU1223,$AA$134:AA1223,"*",$AB$134:AB1223,"*")</f>
        <v>2490.0000000000546</v>
      </c>
      <c r="BV1222" s="343">
        <f>SUMIFS($AU$134:AU1223,$AA$134:AA1223,"*",$AC$134:AC1223,"*")</f>
        <v>9628.7833333333328</v>
      </c>
      <c r="BW1222" s="343">
        <f>SUMIFS($AU$134:AU1223,$AB$134:AB1223,"*",$AC$134:AC1223,"*")</f>
        <v>6206.6</v>
      </c>
      <c r="BX1222" s="343">
        <f>SUMIFS($AU1223:AU$1388,$Q1223:Q$1388,"F")</f>
        <v>7874.1333333333323</v>
      </c>
      <c r="BY1222" s="343">
        <f>SUMIFS($AU1223:AU$1388,$Q1223:Q$1388,"S")</f>
        <v>3840</v>
      </c>
      <c r="BZ1222" s="343">
        <f>SUMIFS($AU1223:AU$1388,$Q1223:Q$1388,"O")</f>
        <v>-387.48466666692195</v>
      </c>
    </row>
    <row r="1223" spans="1:78" ht="15.75" customHeight="1">
      <c r="A1223" s="221" t="s">
        <v>4220</v>
      </c>
      <c r="B1223" s="177">
        <v>45233</v>
      </c>
      <c r="C1223" s="178" t="s">
        <v>4284</v>
      </c>
      <c r="D1223" s="178" t="s">
        <v>111</v>
      </c>
      <c r="E1223" s="227"/>
      <c r="F1223" s="180"/>
      <c r="G1223" s="281" t="s">
        <v>136</v>
      </c>
      <c r="H1223" s="182"/>
      <c r="I1223" s="182"/>
      <c r="J1223" s="182"/>
      <c r="K1223" s="183"/>
      <c r="L1223" s="182"/>
      <c r="M1223" s="182">
        <v>1</v>
      </c>
      <c r="N1223" s="182"/>
      <c r="O1223" s="183" t="s">
        <v>95</v>
      </c>
      <c r="P1223" s="183" t="s">
        <v>96</v>
      </c>
      <c r="Q1223" s="183" t="s">
        <v>97</v>
      </c>
      <c r="R1223" s="183">
        <v>36</v>
      </c>
      <c r="S1223" s="183">
        <v>12</v>
      </c>
      <c r="T1223" s="183">
        <v>24</v>
      </c>
      <c r="U1223" s="183" t="s">
        <v>22</v>
      </c>
      <c r="V1223" s="183"/>
      <c r="W1223" s="183"/>
      <c r="X1223" s="183"/>
      <c r="Y1223" s="184">
        <f>IF(ISBLANK(O1223),"",(IF(O1223=UPPER("IB"),0.005,0.01)))</f>
        <v>0.01</v>
      </c>
      <c r="Z1223" s="185">
        <f t="shared" si="355"/>
        <v>1600</v>
      </c>
      <c r="AA1223" s="185" t="s">
        <v>99</v>
      </c>
      <c r="AB1223" s="185"/>
      <c r="AC1223" s="185"/>
      <c r="AD1223" s="649">
        <f>((-0.02*12)+(-0.03*24))/36</f>
        <v>-2.6666666666666665E-2</v>
      </c>
      <c r="AE1223" s="182"/>
      <c r="AF1223" s="332"/>
      <c r="AG1223" s="182"/>
      <c r="AH1223" s="182"/>
      <c r="AI1223" s="182"/>
      <c r="AJ1223" s="640"/>
      <c r="AK1223" s="182"/>
      <c r="AL1223" s="496">
        <f t="shared" ref="AL1223" si="357">-0.03*Z1223</f>
        <v>-48</v>
      </c>
      <c r="AM1223" s="496">
        <f>AL1223*(R1223-S1223)</f>
        <v>-1152</v>
      </c>
      <c r="AN1223" s="626"/>
      <c r="AO1223" s="182"/>
      <c r="AP1223" s="182" t="s">
        <v>804</v>
      </c>
      <c r="AQ1223" s="332" t="str">
        <f>UPPER(RIGHT(Journal_Live[[#This Row],[DURATION ]]))</f>
        <v>D</v>
      </c>
      <c r="AR1223" s="182" t="s">
        <v>4285</v>
      </c>
      <c r="AS1223" s="189">
        <v>-0.02</v>
      </c>
      <c r="AT1223" s="189">
        <f t="shared" ref="AT1223:AT1244" si="358">IF(ISBLANK(AS1223),,IF(U1223="S",AD1223-AS1223,AS1223-AD1223))</f>
        <v>6.6666666666666645E-3</v>
      </c>
      <c r="AU1223" s="187">
        <f t="shared" ref="AU1223:AU1244" si="359">AV1223*R1223</f>
        <v>383.99999999999983</v>
      </c>
      <c r="AV1223" s="190">
        <f t="shared" ref="AV1223:AV1244" si="360">IF(ISBLANK(AS1223),,(AT1223*Z1223))</f>
        <v>10.666666666666663</v>
      </c>
      <c r="AW1223" s="191" t="s">
        <v>96</v>
      </c>
      <c r="AX1223" s="407"/>
      <c r="AY1223" s="407"/>
      <c r="AZ1223" s="407"/>
      <c r="BA1223" s="407"/>
      <c r="BB1223" s="407"/>
      <c r="BC1223" s="407"/>
      <c r="BD1223" s="407"/>
      <c r="BE1223" s="407"/>
      <c r="BF1223" s="422"/>
      <c r="BG1223" s="391">
        <f>SUM($AV$4:AV1223)</f>
        <v>4451.5171473733799</v>
      </c>
      <c r="BH1223" s="392">
        <f>SUM($AU$134:AU1223)</f>
        <v>22416.002000000459</v>
      </c>
      <c r="BI1223" s="318">
        <f>SUMIFS($AU$134:AU1224,$Q$134:Q1224,"F")</f>
        <v>6566.5333333333328</v>
      </c>
      <c r="BJ1223" s="318">
        <f>SUMIFS($AU$134:AU1224,$Q$134:Q1224,"S")</f>
        <v>17215.642</v>
      </c>
      <c r="BK1223" s="343">
        <f>SUMIFS($AU$134:AU1224,$P$134:P1224,"W")</f>
        <v>14062.941999999943</v>
      </c>
      <c r="BL1223" s="343">
        <f>SUMIFS($AU$134:AU1224,$P$134:P1224,"R")</f>
        <v>9524.6733333333214</v>
      </c>
      <c r="BM1223" s="343">
        <f>SUMIFS($AU$134:AU1224,$AQ$134:AQ1224,"M")</f>
        <v>2910.0300000001498</v>
      </c>
      <c r="BN1223" s="343">
        <f>SUMIFS($AU$134:AU1224,$AQ$134:AQ1224,"H")</f>
        <v>8953.3420000000642</v>
      </c>
      <c r="BO1223" s="343">
        <f>SUMIFS($AU$134:AU1224,$AQ$134:AQ1224,"D")</f>
        <v>5810.2366666667649</v>
      </c>
      <c r="BP1223" s="343">
        <f>SUMIFS($AU$134:AU1226,$AQ$134:AQ1226,"W")</f>
        <v>3191.7633333332024</v>
      </c>
      <c r="BQ1223" s="343">
        <f>SUMIFS($AU$134:AU1224,$Q$134:Q1224,"O")</f>
        <v>-1225.3733333329094</v>
      </c>
      <c r="BR1223" s="343">
        <f>SUMIFS($AU$134:AU1224,$AA$134:AA1224,"*")</f>
        <v>20389.305333333465</v>
      </c>
      <c r="BS1223" s="343">
        <f>SUMIFS($AU$134:AU1224,$AB$134:AB1224,"*")</f>
        <v>4229.1966666670141</v>
      </c>
      <c r="BT1223" s="343">
        <f>SUMIFS($AU$134:AU1224,$AC$134:AC1224,"*")</f>
        <v>11719.683333333332</v>
      </c>
      <c r="BU1223" s="343">
        <f>SUMIFS($AU$134:AU1224,$AA$134:AA1224,"*",$AB$134:AB1224,"*")</f>
        <v>2490.0000000000546</v>
      </c>
      <c r="BV1223" s="343">
        <f>SUMIFS($AU$134:AU1224,$AA$134:AA1224,"*",$AC$134:AC1224,"*")</f>
        <v>9628.7833333333328</v>
      </c>
      <c r="BW1223" s="343">
        <f>SUMIFS($AU$134:AU1224,$AB$134:AB1224,"*",$AC$134:AC1224,"*")</f>
        <v>6206.6</v>
      </c>
      <c r="BX1223" s="343">
        <f>SUMIFS($AU1224:AU$1388,$Q1224:Q$1388,"F")</f>
        <v>7874.1333333333323</v>
      </c>
      <c r="BY1223" s="343">
        <f>SUMIFS($AU1224:AU$1388,$Q1224:Q$1388,"S")</f>
        <v>3455.9999999999995</v>
      </c>
      <c r="BZ1223" s="343">
        <f>SUMIFS($AU1224:AU$1388,$Q1224:Q$1388,"O")</f>
        <v>-387.48466666692195</v>
      </c>
    </row>
    <row r="1224" spans="1:78" ht="15.75" customHeight="1">
      <c r="A1224" s="221" t="s">
        <v>4220</v>
      </c>
      <c r="B1224" s="177">
        <v>45233</v>
      </c>
      <c r="C1224" s="178" t="s">
        <v>4286</v>
      </c>
      <c r="D1224" s="178" t="s">
        <v>111</v>
      </c>
      <c r="E1224" s="227"/>
      <c r="F1224" s="180"/>
      <c r="G1224" s="281" t="s">
        <v>3924</v>
      </c>
      <c r="H1224" s="182"/>
      <c r="I1224" s="182"/>
      <c r="J1224" s="182"/>
      <c r="K1224" s="183"/>
      <c r="L1224" s="182">
        <v>1</v>
      </c>
      <c r="M1224" s="182"/>
      <c r="N1224" s="182"/>
      <c r="O1224" s="183" t="s">
        <v>3618</v>
      </c>
      <c r="P1224" s="183" t="s">
        <v>2260</v>
      </c>
      <c r="Q1224" s="183" t="s">
        <v>684</v>
      </c>
      <c r="R1224" s="183">
        <v>2</v>
      </c>
      <c r="S1224" s="183">
        <v>0</v>
      </c>
      <c r="T1224" s="183">
        <v>1</v>
      </c>
      <c r="U1224" s="183" t="s">
        <v>97</v>
      </c>
      <c r="V1224" s="183"/>
      <c r="W1224" s="183"/>
      <c r="X1224" s="183"/>
      <c r="Y1224" s="184">
        <f>IF(ISBLANK(O1224),"",(IF(O1224=UPPER("IB"),0.005,0.01)))</f>
        <v>0.01</v>
      </c>
      <c r="Z1224" s="185">
        <f>IF(ISBLANK(O1224),"",IF(O1224="IB",8.63*200,IF(O1224="IR",16*100,IF(O1224="YT",20*100,IF(O1224="YT-XT",24*200,IF(O1224="TED",80*100,IF(O1224="XT",36*200)))))))</f>
        <v>7200</v>
      </c>
      <c r="AA1224" s="185" t="s">
        <v>4287</v>
      </c>
      <c r="AB1224" s="185"/>
      <c r="AC1224" s="185"/>
      <c r="AD1224" s="649">
        <v>95.332499999999996</v>
      </c>
      <c r="AE1224" s="182"/>
      <c r="AF1224" s="332"/>
      <c r="AG1224" s="182"/>
      <c r="AH1224" s="182"/>
      <c r="AI1224" s="182"/>
      <c r="AJ1224" s="640"/>
      <c r="AK1224" s="182"/>
      <c r="AL1224" s="496">
        <f t="shared" ref="AL1224:AL1238" si="361">-0.03*Z1224</f>
        <v>-216</v>
      </c>
      <c r="AM1224" s="496">
        <f>AL1224*(R1224-S1224)</f>
        <v>-432</v>
      </c>
      <c r="AN1224" s="626"/>
      <c r="AO1224" s="182"/>
      <c r="AP1224" s="182" t="s">
        <v>3286</v>
      </c>
      <c r="AQ1224" s="332" t="str">
        <f>UPPER(RIGHT(Journal_Live[[#This Row],[DURATION ]]))</f>
        <v>M</v>
      </c>
      <c r="AR1224" s="182" t="s">
        <v>4288</v>
      </c>
      <c r="AS1224" s="189">
        <v>95.33</v>
      </c>
      <c r="AT1224" s="189">
        <f t="shared" si="358"/>
        <v>2.4999999999977263E-3</v>
      </c>
      <c r="AU1224" s="187">
        <f t="shared" si="359"/>
        <v>35.999999999967258</v>
      </c>
      <c r="AV1224" s="190">
        <f t="shared" si="360"/>
        <v>17.999999999983629</v>
      </c>
      <c r="AW1224" s="191" t="s">
        <v>96</v>
      </c>
      <c r="AX1224" s="407"/>
      <c r="AY1224" s="407"/>
      <c r="AZ1224" s="407"/>
      <c r="BA1224" s="407"/>
      <c r="BB1224" s="407"/>
      <c r="BC1224" s="407"/>
      <c r="BD1224" s="407"/>
      <c r="BE1224" s="407"/>
      <c r="BF1224" s="422"/>
      <c r="BG1224" s="391">
        <f>SUM($AV$4:AV1224)</f>
        <v>4469.5171473733635</v>
      </c>
      <c r="BH1224" s="392">
        <f>SUM($AU$134:AU1224)</f>
        <v>22452.002000000426</v>
      </c>
      <c r="BI1224" s="318">
        <f>SUMIFS($AU$134:AU1225,$Q$134:Q1225,"F")</f>
        <v>6566.5333333333328</v>
      </c>
      <c r="BJ1224" s="318">
        <f>SUMIFS($AU$134:AU1225,$Q$134:Q1225,"S")</f>
        <v>17375.642</v>
      </c>
      <c r="BK1224" s="343">
        <f>SUMIFS($AU$134:AU1225,$P$134:P1225,"W")</f>
        <v>14222.941999999943</v>
      </c>
      <c r="BL1224" s="343">
        <f>SUMIFS($AU$134:AU1225,$P$134:P1225,"R")</f>
        <v>9524.6733333333214</v>
      </c>
      <c r="BM1224" s="343">
        <f>SUMIFS($AU$134:AU1225,$AQ$134:AQ1225,"M")</f>
        <v>2910.0300000001498</v>
      </c>
      <c r="BN1224" s="343">
        <f>SUMIFS($AU$134:AU1225,$AQ$134:AQ1225,"H")</f>
        <v>9113.3420000000642</v>
      </c>
      <c r="BO1224" s="343">
        <f>SUMIFS($AU$134:AU1225,$AQ$134:AQ1225,"D")</f>
        <v>5810.2366666667649</v>
      </c>
      <c r="BP1224" s="343">
        <f>SUMIFS($AU$134:AU1227,$AQ$134:AQ1227,"W")</f>
        <v>3191.7633333332024</v>
      </c>
      <c r="BQ1224" s="343">
        <f>SUMIFS($AU$134:AU1225,$Q$134:Q1225,"O")</f>
        <v>-1225.3733333329094</v>
      </c>
      <c r="BR1224" s="343">
        <f>SUMIFS($AU$134:AU1225,$AA$134:AA1225,"*")</f>
        <v>20549.305333333465</v>
      </c>
      <c r="BS1224" s="343">
        <f>SUMIFS($AU$134:AU1225,$AB$134:AB1225,"*")</f>
        <v>4229.1966666670141</v>
      </c>
      <c r="BT1224" s="343">
        <f>SUMIFS($AU$134:AU1225,$AC$134:AC1225,"*")</f>
        <v>11719.683333333332</v>
      </c>
      <c r="BU1224" s="343">
        <f>SUMIFS($AU$134:AU1225,$AA$134:AA1225,"*",$AB$134:AB1225,"*")</f>
        <v>2490.0000000000546</v>
      </c>
      <c r="BV1224" s="343">
        <f>SUMIFS($AU$134:AU1225,$AA$134:AA1225,"*",$AC$134:AC1225,"*")</f>
        <v>9628.7833333333328</v>
      </c>
      <c r="BW1224" s="343">
        <f>SUMIFS($AU$134:AU1225,$AB$134:AB1225,"*",$AC$134:AC1225,"*")</f>
        <v>6206.6</v>
      </c>
      <c r="BX1224" s="343">
        <f>SUMIFS($AU1225:AU$1388,$Q1225:Q$1388,"F")</f>
        <v>7874.1333333333323</v>
      </c>
      <c r="BY1224" s="343">
        <f>SUMIFS($AU1225:AU$1388,$Q1225:Q$1388,"S")</f>
        <v>3455.9999999999995</v>
      </c>
      <c r="BZ1224" s="343">
        <f>SUMIFS($AU1225:AU$1388,$Q1225:Q$1388,"O")</f>
        <v>-423.48466666688921</v>
      </c>
    </row>
    <row r="1225" spans="1:78" ht="15.75" customHeight="1">
      <c r="A1225" s="221" t="s">
        <v>4220</v>
      </c>
      <c r="B1225" s="177">
        <v>45233</v>
      </c>
      <c r="C1225" s="178" t="s">
        <v>4289</v>
      </c>
      <c r="D1225" s="178" t="s">
        <v>146</v>
      </c>
      <c r="E1225" s="227"/>
      <c r="F1225" s="180"/>
      <c r="G1225" s="281" t="s">
        <v>2016</v>
      </c>
      <c r="H1225" s="182"/>
      <c r="I1225" s="182"/>
      <c r="J1225" s="182"/>
      <c r="K1225" s="183"/>
      <c r="L1225" s="182">
        <v>1</v>
      </c>
      <c r="M1225" s="182"/>
      <c r="N1225" s="182"/>
      <c r="O1225" s="183" t="s">
        <v>95</v>
      </c>
      <c r="P1225" s="183" t="s">
        <v>96</v>
      </c>
      <c r="Q1225" s="183" t="s">
        <v>97</v>
      </c>
      <c r="R1225" s="183">
        <v>10</v>
      </c>
      <c r="S1225" s="183">
        <v>0</v>
      </c>
      <c r="T1225" s="183">
        <v>10</v>
      </c>
      <c r="U1225" s="183" t="s">
        <v>97</v>
      </c>
      <c r="V1225" s="183"/>
      <c r="W1225" s="183"/>
      <c r="X1225" s="183"/>
      <c r="Y1225" s="184">
        <f>IF(ISBLANK(O1225),"",(IF(O1225=UPPER("IB"),0.005,0.01)))</f>
        <v>0.01</v>
      </c>
      <c r="Z1225" s="185">
        <f>IF(ISBLANK(O1225),"",IF(O1225="IB",8.63*200,IF(O1225="IR",16*100,IF(O1225="YT",20*100,IF(O1225="YT-XT",24*200,IF(O1225="TED",80*100))))))</f>
        <v>1600</v>
      </c>
      <c r="AA1225" s="185" t="s">
        <v>4290</v>
      </c>
      <c r="AB1225" s="185"/>
      <c r="AC1225" s="185"/>
      <c r="AD1225" s="649">
        <v>-0.06</v>
      </c>
      <c r="AE1225" s="182"/>
      <c r="AF1225" s="332"/>
      <c r="AG1225" s="182"/>
      <c r="AH1225" s="182"/>
      <c r="AI1225" s="182"/>
      <c r="AJ1225" s="640"/>
      <c r="AK1225" s="182"/>
      <c r="AL1225" s="496">
        <f t="shared" si="361"/>
        <v>-48</v>
      </c>
      <c r="AM1225" s="496">
        <f>AL1225*(R1225-S1225)</f>
        <v>-480</v>
      </c>
      <c r="AN1225" s="626"/>
      <c r="AO1225" s="182"/>
      <c r="AP1225" s="182" t="s">
        <v>1700</v>
      </c>
      <c r="AQ1225" s="332" t="str">
        <f>UPPER(RIGHT(Journal_Live[[#This Row],[DURATION ]]))</f>
        <v>H</v>
      </c>
      <c r="AR1225" s="182" t="s">
        <v>682</v>
      </c>
      <c r="AS1225" s="189">
        <v>-7.0000000000000007E-2</v>
      </c>
      <c r="AT1225" s="189">
        <f t="shared" si="358"/>
        <v>1.0000000000000009E-2</v>
      </c>
      <c r="AU1225" s="187">
        <f t="shared" si="359"/>
        <v>160.00000000000014</v>
      </c>
      <c r="AV1225" s="190">
        <f t="shared" si="360"/>
        <v>16.000000000000014</v>
      </c>
      <c r="AW1225" s="191" t="s">
        <v>96</v>
      </c>
      <c r="AX1225" s="407" t="s">
        <v>4291</v>
      </c>
      <c r="AY1225" s="407" t="s">
        <v>4292</v>
      </c>
      <c r="AZ1225" s="407" t="s">
        <v>4293</v>
      </c>
      <c r="BA1225" s="407" t="s">
        <v>4294</v>
      </c>
      <c r="BB1225" s="407" t="s">
        <v>4295</v>
      </c>
      <c r="BC1225" s="407" t="s">
        <v>4296</v>
      </c>
      <c r="BD1225" s="407" t="s">
        <v>4297</v>
      </c>
      <c r="BE1225" s="407" t="s">
        <v>4298</v>
      </c>
      <c r="BF1225" s="422"/>
      <c r="BG1225" s="391">
        <f>SUM($AV$4:AV1225)</f>
        <v>4485.5171473733635</v>
      </c>
      <c r="BH1225" s="392">
        <f>SUM($AU$134:AU1225)</f>
        <v>22612.002000000426</v>
      </c>
      <c r="BI1225" s="318">
        <f>SUMIFS($AU$134:AU1226,$Q$134:Q1226,"F")</f>
        <v>6566.5333333333328</v>
      </c>
      <c r="BJ1225" s="318">
        <f>SUMIFS($AU$134:AU1226,$Q$134:Q1226,"S")</f>
        <v>17375.642</v>
      </c>
      <c r="BK1225" s="343">
        <f>SUMIFS($AU$134:AU1226,$P$134:P1226,"W")</f>
        <v>14222.941999999943</v>
      </c>
      <c r="BL1225" s="343">
        <f>SUMIFS($AU$134:AU1226,$P$134:P1226,"R")</f>
        <v>9524.6733333333214</v>
      </c>
      <c r="BM1225" s="343">
        <f>SUMIFS($AU$134:AU1226,$AQ$134:AQ1226,"M")</f>
        <v>2910.0300000001498</v>
      </c>
      <c r="BN1225" s="343">
        <f>SUMIFS($AU$134:AU1226,$AQ$134:AQ1226,"H")</f>
        <v>9113.3420000000642</v>
      </c>
      <c r="BO1225" s="343">
        <f>SUMIFS($AU$134:AU1226,$AQ$134:AQ1226,"D")</f>
        <v>5810.2366666667649</v>
      </c>
      <c r="BP1225" s="343">
        <f>SUMIFS($AU$134:AU1228,$AQ$134:AQ1228,"W")</f>
        <v>3191.7633333332024</v>
      </c>
      <c r="BQ1225" s="343">
        <f>SUMIFS($AU$134:AU1226,$Q$134:Q1226,"O")</f>
        <v>-1225.3733333329094</v>
      </c>
      <c r="BR1225" s="343">
        <f>SUMIFS($AU$134:AU1226,$AA$134:AA1226,"*")</f>
        <v>20549.305333333465</v>
      </c>
      <c r="BS1225" s="343">
        <f>SUMIFS($AU$134:AU1226,$AB$134:AB1226,"*")</f>
        <v>4229.1966666670141</v>
      </c>
      <c r="BT1225" s="343">
        <f>SUMIFS($AU$134:AU1226,$AC$134:AC1226,"*")</f>
        <v>11719.683333333332</v>
      </c>
      <c r="BU1225" s="343">
        <f>SUMIFS($AU$134:AU1226,$AA$134:AA1226,"*",$AB$134:AB1226,"*")</f>
        <v>2490.0000000000546</v>
      </c>
      <c r="BV1225" s="343">
        <f>SUMIFS($AU$134:AU1226,$AA$134:AA1226,"*",$AC$134:AC1226,"*")</f>
        <v>9628.7833333333328</v>
      </c>
      <c r="BW1225" s="343">
        <f>SUMIFS($AU$134:AU1226,$AB$134:AB1226,"*",$AC$134:AC1226,"*")</f>
        <v>6206.6</v>
      </c>
      <c r="BX1225" s="343">
        <f>SUMIFS($AU1226:AU$1388,$Q1226:Q$1388,"F")</f>
        <v>7874.1333333333323</v>
      </c>
      <c r="BY1225" s="343">
        <f>SUMIFS($AU1226:AU$1388,$Q1226:Q$1388,"S")</f>
        <v>3295.9999999999995</v>
      </c>
      <c r="BZ1225" s="343">
        <f>SUMIFS($AU1226:AU$1388,$Q1226:Q$1388,"O")</f>
        <v>-423.48466666688921</v>
      </c>
    </row>
    <row r="1226" spans="1:78" ht="15.75" customHeight="1">
      <c r="A1226" s="221" t="s">
        <v>4220</v>
      </c>
      <c r="B1226" s="177">
        <v>45237</v>
      </c>
      <c r="C1226" s="178" t="s">
        <v>3368</v>
      </c>
      <c r="D1226" s="178" t="s">
        <v>146</v>
      </c>
      <c r="E1226" s="227" t="s">
        <v>4299</v>
      </c>
      <c r="F1226" s="180"/>
      <c r="G1226" s="181"/>
      <c r="H1226" s="182"/>
      <c r="I1226" s="182">
        <v>1</v>
      </c>
      <c r="J1226" s="182"/>
      <c r="K1226" s="183"/>
      <c r="L1226" s="182"/>
      <c r="M1226" s="182"/>
      <c r="N1226" s="182"/>
      <c r="O1226" s="183"/>
      <c r="P1226" s="183"/>
      <c r="Q1226" s="183"/>
      <c r="R1226" s="183"/>
      <c r="S1226" s="183"/>
      <c r="T1226" s="183"/>
      <c r="U1226" s="183"/>
      <c r="V1226" s="183"/>
      <c r="W1226" s="183"/>
      <c r="X1226" s="183"/>
      <c r="Y1226" s="183"/>
      <c r="Z1226" s="185" t="str">
        <f>IF(ISBLANK(O1226),"",IF(O1226="IB",8.63*200,IF(O1226="IR",16*100,IF(O1226="YT",20*100,IF(O1226="YT-XT",24*200,IF(O1226="TED",80*100))))))</f>
        <v/>
      </c>
      <c r="AA1226" s="185"/>
      <c r="AB1226" s="185"/>
      <c r="AC1226" s="185"/>
      <c r="AD1226" s="649"/>
      <c r="AE1226" s="182"/>
      <c r="AF1226" s="332"/>
      <c r="AG1226" s="182"/>
      <c r="AH1226" s="182"/>
      <c r="AI1226" s="182"/>
      <c r="AJ1226" s="640"/>
      <c r="AK1226" s="182"/>
      <c r="AL1226" s="496"/>
      <c r="AM1226" s="496"/>
      <c r="AN1226" s="626"/>
      <c r="AO1226" s="182"/>
      <c r="AP1226" s="182"/>
      <c r="AQ1226" s="332" t="str">
        <f>UPPER(RIGHT(Journal_Live[[#This Row],[DURATION ]]))</f>
        <v/>
      </c>
      <c r="AR1226" s="182"/>
      <c r="AS1226" s="189"/>
      <c r="AT1226" s="189">
        <f t="shared" si="358"/>
        <v>0</v>
      </c>
      <c r="AU1226" s="187">
        <f t="shared" si="359"/>
        <v>0</v>
      </c>
      <c r="AV1226" s="190">
        <f t="shared" si="360"/>
        <v>0</v>
      </c>
      <c r="AW1226" s="191"/>
      <c r="AX1226" s="407"/>
      <c r="AY1226" s="407"/>
      <c r="AZ1226" s="407"/>
      <c r="BA1226" s="407"/>
      <c r="BB1226" s="407"/>
      <c r="BC1226" s="407"/>
      <c r="BD1226" s="407"/>
      <c r="BE1226" s="407"/>
      <c r="BF1226" s="422"/>
      <c r="BG1226" s="391">
        <f>SUM($AV$4:AV1226)</f>
        <v>4485.5171473733635</v>
      </c>
      <c r="BH1226" s="392">
        <f>SUM($AU$134:AU1226)</f>
        <v>22612.002000000426</v>
      </c>
      <c r="BI1226" s="318">
        <f>SUMIFS($AU$134:AU1227,$Q$134:Q1227,"F")</f>
        <v>6566.5333333333328</v>
      </c>
      <c r="BJ1226" s="318">
        <f>SUMIFS($AU$134:AU1227,$Q$134:Q1227,"S")</f>
        <v>17375.642</v>
      </c>
      <c r="BK1226" s="343">
        <f>SUMIFS($AU$134:AU1227,$P$134:P1227,"W")</f>
        <v>14222.941999999943</v>
      </c>
      <c r="BL1226" s="343">
        <f>SUMIFS($AU$134:AU1227,$P$134:P1227,"R")</f>
        <v>9524.6733333333214</v>
      </c>
      <c r="BM1226" s="343">
        <f>SUMIFS($AU$134:AU1227,$AQ$134:AQ1227,"M")</f>
        <v>2910.0300000001498</v>
      </c>
      <c r="BN1226" s="343">
        <f>SUMIFS($AU$134:AU1227,$AQ$134:AQ1227,"H")</f>
        <v>9113.3420000000642</v>
      </c>
      <c r="BO1226" s="343">
        <f>SUMIFS($AU$134:AU1227,$AQ$134:AQ1227,"D")</f>
        <v>5810.2366666667649</v>
      </c>
      <c r="BP1226" s="343">
        <f>SUMIFS($AU$134:AU1229,$AQ$134:AQ1229,"W")</f>
        <v>3191.7633333332024</v>
      </c>
      <c r="BQ1226" s="343">
        <f>SUMIFS($AU$134:AU1227,$Q$134:Q1227,"O")</f>
        <v>-2016.5813333329609</v>
      </c>
      <c r="BR1226" s="343">
        <f>SUMIFS($AU$134:AU1227,$AA$134:AA1227,"*")</f>
        <v>20549.305333333465</v>
      </c>
      <c r="BS1226" s="343">
        <f>SUMIFS($AU$134:AU1227,$AB$134:AB1227,"*")</f>
        <v>3437.9886666669627</v>
      </c>
      <c r="BT1226" s="343">
        <f>SUMIFS($AU$134:AU1227,$AC$134:AC1227,"*")</f>
        <v>11719.683333333332</v>
      </c>
      <c r="BU1226" s="343">
        <f>SUMIFS($AU$134:AU1227,$AA$134:AA1227,"*",$AB$134:AB1227,"*")</f>
        <v>2490.0000000000546</v>
      </c>
      <c r="BV1226" s="343">
        <f>SUMIFS($AU$134:AU1227,$AA$134:AA1227,"*",$AC$134:AC1227,"*")</f>
        <v>9628.7833333333328</v>
      </c>
      <c r="BW1226" s="343">
        <f>SUMIFS($AU$134:AU1227,$AB$134:AB1227,"*",$AC$134:AC1227,"*")</f>
        <v>6206.6</v>
      </c>
      <c r="BX1226" s="343">
        <f>SUMIFS($AU1227:AU$1388,$Q1227:Q$1388,"F")</f>
        <v>7874.1333333333323</v>
      </c>
      <c r="BY1226" s="343">
        <f>SUMIFS($AU1227:AU$1388,$Q1227:Q$1388,"S")</f>
        <v>3295.9999999999995</v>
      </c>
      <c r="BZ1226" s="343">
        <f>SUMIFS($AU1227:AU$1388,$Q1227:Q$1388,"O")</f>
        <v>-423.48466666688921</v>
      </c>
    </row>
    <row r="1227" spans="1:78" ht="15.75" customHeight="1">
      <c r="A1227" s="221" t="s">
        <v>4220</v>
      </c>
      <c r="B1227" s="177">
        <v>45237</v>
      </c>
      <c r="C1227" s="178" t="s">
        <v>682</v>
      </c>
      <c r="D1227" s="178" t="s">
        <v>146</v>
      </c>
      <c r="E1227" s="227"/>
      <c r="F1227" s="180"/>
      <c r="G1227" s="181" t="s">
        <v>3924</v>
      </c>
      <c r="H1227" s="182"/>
      <c r="I1227" s="182"/>
      <c r="J1227" s="182"/>
      <c r="K1227" s="183"/>
      <c r="L1227" s="182">
        <v>2</v>
      </c>
      <c r="M1227" s="182"/>
      <c r="N1227" s="182"/>
      <c r="O1227" s="183" t="s">
        <v>3618</v>
      </c>
      <c r="P1227" s="183" t="s">
        <v>2260</v>
      </c>
      <c r="Q1227" s="183" t="s">
        <v>684</v>
      </c>
      <c r="R1227" s="183">
        <v>3</v>
      </c>
      <c r="S1227" s="183">
        <v>0</v>
      </c>
      <c r="T1227" s="183">
        <v>1</v>
      </c>
      <c r="U1227" s="183" t="s">
        <v>97</v>
      </c>
      <c r="V1227" s="183"/>
      <c r="W1227" s="183"/>
      <c r="X1227" s="183"/>
      <c r="Y1227" s="184">
        <f>IF(ISBLANK(O1227),"",(IF(O1227=UPPER("IB"),0.005,0.01)))</f>
        <v>0.01</v>
      </c>
      <c r="Z1227" s="185">
        <f>IF(ISBLANK(O1227),"",IF(O1227="IB",8.63*200,IF(O1227="IR",16*100,IF(O1227="YT",20*100,IF(O1227="YT-XT",24*200,IF(O1227="TED",80*100,IF(O1227="XT",36*200)))))))</f>
        <v>7200</v>
      </c>
      <c r="AA1227" s="185"/>
      <c r="AB1227" s="185" t="s">
        <v>4300</v>
      </c>
      <c r="AC1227" s="185"/>
      <c r="AD1227" s="649">
        <v>95.231669999999994</v>
      </c>
      <c r="AE1227" s="182"/>
      <c r="AF1227" s="332"/>
      <c r="AG1227" s="182"/>
      <c r="AH1227" s="182"/>
      <c r="AI1227" s="182"/>
      <c r="AJ1227" s="640"/>
      <c r="AK1227" s="182"/>
      <c r="AL1227" s="496">
        <f t="shared" si="361"/>
        <v>-216</v>
      </c>
      <c r="AM1227" s="496">
        <f t="shared" ref="AM1227:AM1241" si="362">AL1227*(R1227-S1227)</f>
        <v>-648</v>
      </c>
      <c r="AN1227" s="626"/>
      <c r="AO1227" s="182"/>
      <c r="AP1227" s="182"/>
      <c r="AQ1227" s="332" t="str">
        <f>UPPER(RIGHT(Journal_Live[[#This Row],[DURATION ]]))</f>
        <v/>
      </c>
      <c r="AR1227" s="182" t="s">
        <v>1142</v>
      </c>
      <c r="AS1227" s="189">
        <v>95.268299999999996</v>
      </c>
      <c r="AT1227" s="189">
        <f t="shared" si="358"/>
        <v>-3.6630000000002383E-2</v>
      </c>
      <c r="AU1227" s="187">
        <f t="shared" si="359"/>
        <v>-791.20800000005147</v>
      </c>
      <c r="AV1227" s="190">
        <f t="shared" si="360"/>
        <v>-263.73600000001716</v>
      </c>
      <c r="AW1227" s="191" t="s">
        <v>229</v>
      </c>
      <c r="AX1227" s="407" t="s">
        <v>4301</v>
      </c>
      <c r="AY1227" s="407" t="s">
        <v>4302</v>
      </c>
      <c r="AZ1227" s="407" t="s">
        <v>4303</v>
      </c>
      <c r="BA1227" s="407"/>
      <c r="BB1227" s="407"/>
      <c r="BC1227" s="407"/>
      <c r="BD1227" s="407"/>
      <c r="BE1227" s="407"/>
      <c r="BF1227" s="422"/>
      <c r="BG1227" s="391">
        <f>SUM($AV$4:AV1227)</f>
        <v>4221.7811473733464</v>
      </c>
      <c r="BH1227" s="392">
        <f>SUM($AU$134:AU1227)</f>
        <v>21820.794000000373</v>
      </c>
      <c r="BI1227" s="318">
        <f>SUMIFS($AU$134:AU1228,$Q$134:Q1228,"F")</f>
        <v>6566.5333333333328</v>
      </c>
      <c r="BJ1227" s="318">
        <f>SUMIFS($AU$134:AU1228,$Q$134:Q1228,"S")</f>
        <v>17375.642</v>
      </c>
      <c r="BK1227" s="343">
        <f>SUMIFS($AU$134:AU1228,$P$134:P1228,"W")</f>
        <v>14222.941999999943</v>
      </c>
      <c r="BL1227" s="343">
        <f>SUMIFS($AU$134:AU1228,$P$134:P1228,"R")</f>
        <v>9524.6733333333214</v>
      </c>
      <c r="BM1227" s="343">
        <f>SUMIFS($AU$134:AU1228,$AQ$134:AQ1228,"M")</f>
        <v>2910.0300000001498</v>
      </c>
      <c r="BN1227" s="343">
        <f>SUMIFS($AU$134:AU1228,$AQ$134:AQ1228,"H")</f>
        <v>9113.3420000000642</v>
      </c>
      <c r="BO1227" s="343">
        <f>SUMIFS($AU$134:AU1228,$AQ$134:AQ1228,"D")</f>
        <v>5810.2366666667649</v>
      </c>
      <c r="BP1227" s="343">
        <f>SUMIFS($AU$134:AU1230,$AQ$134:AQ1230,"W")</f>
        <v>3191.7633333332024</v>
      </c>
      <c r="BQ1227" s="343">
        <f>SUMIFS($AU$134:AU1228,$Q$134:Q1228,"O")</f>
        <v>-2016.5813333329609</v>
      </c>
      <c r="BR1227" s="343">
        <f>SUMIFS($AU$134:AU1228,$AA$134:AA1228,"*")</f>
        <v>20549.305333333465</v>
      </c>
      <c r="BS1227" s="343">
        <f>SUMIFS($AU$134:AU1228,$AB$134:AB1228,"*")</f>
        <v>3437.9886666669627</v>
      </c>
      <c r="BT1227" s="343">
        <f>SUMIFS($AU$134:AU1228,$AC$134:AC1228,"*")</f>
        <v>11719.683333333332</v>
      </c>
      <c r="BU1227" s="343">
        <f>SUMIFS($AU$134:AU1228,$AA$134:AA1228,"*",$AB$134:AB1228,"*")</f>
        <v>2490.0000000000546</v>
      </c>
      <c r="BV1227" s="343">
        <f>SUMIFS($AU$134:AU1228,$AA$134:AA1228,"*",$AC$134:AC1228,"*")</f>
        <v>9628.7833333333328</v>
      </c>
      <c r="BW1227" s="343">
        <f>SUMIFS($AU$134:AU1228,$AB$134:AB1228,"*",$AC$134:AC1228,"*")</f>
        <v>6206.6</v>
      </c>
      <c r="BX1227" s="343">
        <f>SUMIFS($AU1228:AU$1388,$Q1228:Q$1388,"F")</f>
        <v>7874.1333333333323</v>
      </c>
      <c r="BY1227" s="343">
        <f>SUMIFS($AU1228:AU$1388,$Q1228:Q$1388,"S")</f>
        <v>3295.9999999999995</v>
      </c>
      <c r="BZ1227" s="343">
        <f>SUMIFS($AU1228:AU$1388,$Q1228:Q$1388,"O")</f>
        <v>367.72333333316226</v>
      </c>
    </row>
    <row r="1228" spans="1:78" ht="15.75" customHeight="1">
      <c r="A1228" s="221" t="s">
        <v>4220</v>
      </c>
      <c r="B1228" s="177">
        <v>45237</v>
      </c>
      <c r="C1228" s="178" t="s">
        <v>682</v>
      </c>
      <c r="D1228" s="178" t="s">
        <v>146</v>
      </c>
      <c r="E1228" s="227"/>
      <c r="F1228" s="180"/>
      <c r="G1228" s="181" t="s">
        <v>4304</v>
      </c>
      <c r="H1228" s="182"/>
      <c r="I1228" s="182"/>
      <c r="J1228" s="182"/>
      <c r="K1228" s="183"/>
      <c r="L1228" s="182"/>
      <c r="M1228" s="182"/>
      <c r="N1228" s="182"/>
      <c r="O1228" s="183"/>
      <c r="P1228" s="183"/>
      <c r="Q1228" s="183"/>
      <c r="R1228" s="183"/>
      <c r="S1228" s="183"/>
      <c r="T1228" s="183"/>
      <c r="U1228" s="183"/>
      <c r="V1228" s="183"/>
      <c r="W1228" s="183"/>
      <c r="X1228" s="183"/>
      <c r="Y1228" s="184"/>
      <c r="Z1228" s="185"/>
      <c r="AA1228" s="185"/>
      <c r="AB1228" s="185"/>
      <c r="AC1228" s="185"/>
      <c r="AD1228" s="649"/>
      <c r="AE1228" s="182"/>
      <c r="AF1228" s="332"/>
      <c r="AG1228" s="182"/>
      <c r="AH1228" s="182"/>
      <c r="AI1228" s="182"/>
      <c r="AJ1228" s="640"/>
      <c r="AK1228" s="182"/>
      <c r="AL1228" s="496">
        <f t="shared" si="361"/>
        <v>0</v>
      </c>
      <c r="AM1228" s="496">
        <f t="shared" si="362"/>
        <v>0</v>
      </c>
      <c r="AN1228" s="626"/>
      <c r="AO1228" s="182"/>
      <c r="AP1228" s="182"/>
      <c r="AQ1228" s="332" t="str">
        <f>UPPER(RIGHT(Journal_Live[[#This Row],[DURATION ]]))</f>
        <v/>
      </c>
      <c r="AR1228" s="182"/>
      <c r="AS1228" s="189">
        <f>(95.66*1+95.67*8)/9</f>
        <v>95.668888888888887</v>
      </c>
      <c r="AT1228" s="189">
        <f t="shared" si="358"/>
        <v>95.668888888888887</v>
      </c>
      <c r="AU1228" s="187">
        <f t="shared" si="359"/>
        <v>0</v>
      </c>
      <c r="AV1228" s="190">
        <f t="shared" si="360"/>
        <v>0</v>
      </c>
      <c r="AW1228" s="191"/>
      <c r="AX1228" s="407"/>
      <c r="AY1228" s="407"/>
      <c r="AZ1228" s="407"/>
      <c r="BA1228" s="407"/>
      <c r="BB1228" s="407"/>
      <c r="BC1228" s="407"/>
      <c r="BD1228" s="407"/>
      <c r="BE1228" s="407"/>
      <c r="BF1228" s="422"/>
      <c r="BG1228" s="391">
        <f>SUM($AV$4:AV1228)</f>
        <v>4221.7811473733464</v>
      </c>
      <c r="BH1228" s="392">
        <f>SUM($AU$134:AU1228)</f>
        <v>21820.794000000373</v>
      </c>
      <c r="BI1228" s="318">
        <f>SUMIFS($AU$134:AU1229,$Q$134:Q1229,"F")</f>
        <v>6566.5333333333328</v>
      </c>
      <c r="BJ1228" s="318">
        <f>SUMIFS($AU$134:AU1229,$Q$134:Q1229,"S")</f>
        <v>14879.642</v>
      </c>
      <c r="BK1228" s="343">
        <f>SUMIFS($AU$134:AU1229,$P$134:P1229,"W")</f>
        <v>11726.941999999943</v>
      </c>
      <c r="BL1228" s="343">
        <f>SUMIFS($AU$134:AU1229,$P$134:P1229,"R")</f>
        <v>9524.6733333333214</v>
      </c>
      <c r="BM1228" s="343">
        <f>SUMIFS($AU$134:AU1229,$AQ$134:AQ1229,"M")</f>
        <v>2910.0300000001498</v>
      </c>
      <c r="BN1228" s="343">
        <f>SUMIFS($AU$134:AU1229,$AQ$134:AQ1229,"H")</f>
        <v>9113.3420000000642</v>
      </c>
      <c r="BO1228" s="343">
        <f>SUMIFS($AU$134:AU1229,$AQ$134:AQ1229,"D")</f>
        <v>3314.2366666667644</v>
      </c>
      <c r="BP1228" s="343">
        <f>SUMIFS($AU$134:AU1231,$AQ$134:AQ1231,"W")</f>
        <v>3191.7633333332024</v>
      </c>
      <c r="BQ1228" s="343">
        <f>SUMIFS($AU$134:AU1229,$Q$134:Q1229,"O")</f>
        <v>-2016.5813333329609</v>
      </c>
      <c r="BR1228" s="343">
        <f>SUMIFS($AU$134:AU1229,$AA$134:AA1229,"*")</f>
        <v>18053.305333333465</v>
      </c>
      <c r="BS1228" s="343">
        <f>SUMIFS($AU$134:AU1229,$AB$134:AB1229,"*")</f>
        <v>3437.9886666669627</v>
      </c>
      <c r="BT1228" s="343">
        <f>SUMIFS($AU$134:AU1229,$AC$134:AC1229,"*")</f>
        <v>11719.683333333332</v>
      </c>
      <c r="BU1228" s="343">
        <f>SUMIFS($AU$134:AU1229,$AA$134:AA1229,"*",$AB$134:AB1229,"*")</f>
        <v>2490.0000000000546</v>
      </c>
      <c r="BV1228" s="343">
        <f>SUMIFS($AU$134:AU1229,$AA$134:AA1229,"*",$AC$134:AC1229,"*")</f>
        <v>9628.7833333333328</v>
      </c>
      <c r="BW1228" s="343">
        <f>SUMIFS($AU$134:AU1229,$AB$134:AB1229,"*",$AC$134:AC1229,"*")</f>
        <v>6206.6</v>
      </c>
      <c r="BX1228" s="343">
        <f>SUMIFS($AU1229:AU$1388,$Q1229:Q$1388,"F")</f>
        <v>7874.1333333333323</v>
      </c>
      <c r="BY1228" s="343">
        <f>SUMIFS($AU1229:AU$1388,$Q1229:Q$1388,"S")</f>
        <v>3295.9999999999995</v>
      </c>
      <c r="BZ1228" s="343">
        <f>SUMIFS($AU1229:AU$1388,$Q1229:Q$1388,"O")</f>
        <v>367.72333333316226</v>
      </c>
    </row>
    <row r="1229" spans="1:78" ht="15.75" customHeight="1">
      <c r="A1229" s="221" t="s">
        <v>4220</v>
      </c>
      <c r="B1229" s="177">
        <v>45237</v>
      </c>
      <c r="C1229" s="178" t="s">
        <v>682</v>
      </c>
      <c r="D1229" s="178" t="s">
        <v>146</v>
      </c>
      <c r="E1229" s="227"/>
      <c r="F1229" s="180"/>
      <c r="G1229" s="281" t="s">
        <v>136</v>
      </c>
      <c r="H1229" s="182"/>
      <c r="I1229" s="182"/>
      <c r="J1229" s="182"/>
      <c r="K1229" s="183"/>
      <c r="L1229" s="182"/>
      <c r="M1229" s="182">
        <v>2</v>
      </c>
      <c r="N1229" s="182"/>
      <c r="O1229" s="183" t="s">
        <v>95</v>
      </c>
      <c r="P1229" s="183" t="s">
        <v>96</v>
      </c>
      <c r="Q1229" s="183" t="s">
        <v>97</v>
      </c>
      <c r="R1229" s="183">
        <v>80</v>
      </c>
      <c r="S1229" s="183">
        <v>0</v>
      </c>
      <c r="T1229" s="183">
        <v>24</v>
      </c>
      <c r="U1229" s="183" t="s">
        <v>22</v>
      </c>
      <c r="V1229" s="183"/>
      <c r="W1229" s="183"/>
      <c r="X1229" s="183"/>
      <c r="Y1229" s="184">
        <f>IF(ISBLANK(O1229),"",(IF(O1229=UPPER("IB"),0.005,0.01)))</f>
        <v>0.01</v>
      </c>
      <c r="Z1229" s="185">
        <f>IF(ISBLANK(O1229),"",IF(O1229="IB",8.63*200,IF(O1229="IR",16*100,IF(O1229="YT",20*100,IF(O1229="YT-XT",24*200,IF(O1229="TED",80*100))))))</f>
        <v>1600</v>
      </c>
      <c r="AA1229" s="185" t="s">
        <v>4305</v>
      </c>
      <c r="AB1229" s="185"/>
      <c r="AC1229" s="185"/>
      <c r="AD1229" s="649">
        <f>((-0.03*36)+(-0.02*20)+(-0.04*24))/80</f>
        <v>-3.0499999999999999E-2</v>
      </c>
      <c r="AE1229" s="182"/>
      <c r="AF1229" s="407" t="s">
        <v>4306</v>
      </c>
      <c r="AG1229" s="407" t="s">
        <v>4307</v>
      </c>
      <c r="AH1229" s="182"/>
      <c r="AI1229" s="182"/>
      <c r="AJ1229" s="640"/>
      <c r="AK1229" s="182"/>
      <c r="AL1229" s="496">
        <f>-0.025*Z1229</f>
        <v>-40</v>
      </c>
      <c r="AM1229" s="496">
        <f t="shared" si="362"/>
        <v>-3200</v>
      </c>
      <c r="AN1229" s="626"/>
      <c r="AO1229" s="182"/>
      <c r="AP1229" s="182" t="s">
        <v>589</v>
      </c>
      <c r="AQ1229" s="332" t="str">
        <f>UPPER(RIGHT(Journal_Live[[#This Row],[DURATION ]]))</f>
        <v>D</v>
      </c>
      <c r="AR1229" s="182" t="s">
        <v>4308</v>
      </c>
      <c r="AS1229" s="189">
        <v>-0.05</v>
      </c>
      <c r="AT1229" s="189">
        <f t="shared" si="358"/>
        <v>-1.9500000000000003E-2</v>
      </c>
      <c r="AU1229" s="187">
        <f t="shared" si="359"/>
        <v>-2496.0000000000005</v>
      </c>
      <c r="AV1229" s="190">
        <f t="shared" si="360"/>
        <v>-31.200000000000006</v>
      </c>
      <c r="AW1229" s="191" t="s">
        <v>229</v>
      </c>
      <c r="AX1229" s="407" t="s">
        <v>4309</v>
      </c>
      <c r="AY1229" s="407" t="s">
        <v>4310</v>
      </c>
      <c r="AZ1229" s="407" t="s">
        <v>4311</v>
      </c>
      <c r="BA1229" s="407" t="s">
        <v>4312</v>
      </c>
      <c r="BB1229" s="407" t="s">
        <v>4313</v>
      </c>
      <c r="BC1229" s="407" t="s">
        <v>4314</v>
      </c>
      <c r="BD1229" s="407" t="s">
        <v>4315</v>
      </c>
      <c r="BE1229" s="407" t="s">
        <v>4316</v>
      </c>
      <c r="BF1229" s="422"/>
      <c r="BG1229" s="391">
        <f>SUM($AV$4:AV1229)</f>
        <v>4190.5811473733465</v>
      </c>
      <c r="BH1229" s="392">
        <f>SUM($AU$134:AU1229)</f>
        <v>19324.794000000373</v>
      </c>
      <c r="BI1229" s="318">
        <f>SUMIFS($AU$134:AU1230,$Q$134:Q1230,"F")</f>
        <v>6566.5333333333328</v>
      </c>
      <c r="BJ1229" s="318">
        <f>SUMIFS($AU$134:AU1230,$Q$134:Q1230,"S")</f>
        <v>15023.642</v>
      </c>
      <c r="BK1229" s="343">
        <f>SUMIFS($AU$134:AU1230,$P$134:P1230,"W")</f>
        <v>11870.941999999943</v>
      </c>
      <c r="BL1229" s="343">
        <f>SUMIFS($AU$134:AU1230,$P$134:P1230,"R")</f>
        <v>9524.6733333333214</v>
      </c>
      <c r="BM1229" s="343">
        <f>SUMIFS($AU$134:AU1230,$AQ$134:AQ1230,"M")</f>
        <v>2910.0300000001498</v>
      </c>
      <c r="BN1229" s="343">
        <f>SUMIFS($AU$134:AU1230,$AQ$134:AQ1230,"H")</f>
        <v>9257.3420000000642</v>
      </c>
      <c r="BO1229" s="343">
        <f>SUMIFS($AU$134:AU1230,$AQ$134:AQ1230,"D")</f>
        <v>3314.2366666667644</v>
      </c>
      <c r="BP1229" s="343">
        <f>SUMIFS($AU$134:AU1232,$AQ$134:AQ1232,"W")</f>
        <v>3191.7633333332024</v>
      </c>
      <c r="BQ1229" s="343">
        <f>SUMIFS($AU$134:AU1230,$Q$134:Q1230,"O")</f>
        <v>-2016.5813333329609</v>
      </c>
      <c r="BR1229" s="343">
        <f>SUMIFS($AU$134:AU1230,$AA$134:AA1230,"*")</f>
        <v>18197.305333333465</v>
      </c>
      <c r="BS1229" s="343">
        <f>SUMIFS($AU$134:AU1230,$AB$134:AB1230,"*")</f>
        <v>3437.9886666669627</v>
      </c>
      <c r="BT1229" s="343">
        <f>SUMIFS($AU$134:AU1230,$AC$134:AC1230,"*")</f>
        <v>11719.683333333332</v>
      </c>
      <c r="BU1229" s="343">
        <f>SUMIFS($AU$134:AU1230,$AA$134:AA1230,"*",$AB$134:AB1230,"*")</f>
        <v>2490.0000000000546</v>
      </c>
      <c r="BV1229" s="343">
        <f>SUMIFS($AU$134:AU1230,$AA$134:AA1230,"*",$AC$134:AC1230,"*")</f>
        <v>9628.7833333333328</v>
      </c>
      <c r="BW1229" s="343">
        <f>SUMIFS($AU$134:AU1230,$AB$134:AB1230,"*",$AC$134:AC1230,"*")</f>
        <v>6206.6</v>
      </c>
      <c r="BX1229" s="343">
        <f>SUMIFS($AU1230:AU$1388,$Q1230:Q$1388,"F")</f>
        <v>7874.1333333333323</v>
      </c>
      <c r="BY1229" s="343">
        <f>SUMIFS($AU1230:AU$1388,$Q1230:Q$1388,"S")</f>
        <v>5792</v>
      </c>
      <c r="BZ1229" s="343">
        <f>SUMIFS($AU1230:AU$1388,$Q1230:Q$1388,"O")</f>
        <v>367.72333333316226</v>
      </c>
    </row>
    <row r="1230" spans="1:78" ht="15.75" customHeight="1">
      <c r="A1230" s="221" t="s">
        <v>4220</v>
      </c>
      <c r="B1230" s="177">
        <v>45237</v>
      </c>
      <c r="C1230" s="178" t="s">
        <v>682</v>
      </c>
      <c r="D1230" s="178" t="s">
        <v>146</v>
      </c>
      <c r="E1230" s="227"/>
      <c r="F1230" s="180"/>
      <c r="G1230" s="281" t="s">
        <v>2145</v>
      </c>
      <c r="H1230" s="182"/>
      <c r="I1230" s="182"/>
      <c r="J1230" s="182"/>
      <c r="K1230" s="183"/>
      <c r="L1230" s="182">
        <v>2</v>
      </c>
      <c r="M1230" s="182"/>
      <c r="N1230" s="182"/>
      <c r="O1230" s="183" t="s">
        <v>95</v>
      </c>
      <c r="P1230" s="183" t="s">
        <v>96</v>
      </c>
      <c r="Q1230" s="183" t="s">
        <v>97</v>
      </c>
      <c r="R1230" s="183">
        <v>6</v>
      </c>
      <c r="S1230" s="183">
        <v>4</v>
      </c>
      <c r="T1230" s="183">
        <v>6</v>
      </c>
      <c r="U1230" s="183" t="s">
        <v>22</v>
      </c>
      <c r="V1230" s="183"/>
      <c r="W1230" s="183"/>
      <c r="X1230" s="183"/>
      <c r="Y1230" s="184">
        <f>IF(ISBLANK(O1230),"",(IF(O1230=UPPER("IB"),0.005,0.01)))</f>
        <v>0.01</v>
      </c>
      <c r="Z1230" s="185">
        <f>IF(ISBLANK(O1230),"",IF(O1230="IB",8.63*200,IF(O1230="IR",16*100,IF(O1230="YT",20*100,IF(O1230="YT-XT",24*200,IF(O1230="TED",80*100))))))</f>
        <v>1600</v>
      </c>
      <c r="AA1230" s="185" t="s">
        <v>4317</v>
      </c>
      <c r="AB1230" s="185"/>
      <c r="AC1230" s="185"/>
      <c r="AD1230" s="649">
        <v>0.14000000000000001</v>
      </c>
      <c r="AE1230" s="182"/>
      <c r="AF1230" s="332"/>
      <c r="AG1230" s="182"/>
      <c r="AH1230" s="182"/>
      <c r="AI1230" s="182"/>
      <c r="AJ1230" s="640"/>
      <c r="AK1230" s="182"/>
      <c r="AL1230" s="496">
        <f t="shared" si="361"/>
        <v>-48</v>
      </c>
      <c r="AM1230" s="496">
        <f t="shared" si="362"/>
        <v>-96</v>
      </c>
      <c r="AN1230" s="626"/>
      <c r="AO1230" s="182"/>
      <c r="AP1230" s="182" t="s">
        <v>942</v>
      </c>
      <c r="AQ1230" s="332" t="str">
        <f>UPPER(RIGHT(Journal_Live[[#This Row],[DURATION ]]))</f>
        <v>H</v>
      </c>
      <c r="AR1230" s="182" t="s">
        <v>4318</v>
      </c>
      <c r="AS1230" s="189">
        <f>(0.16*3+0.15*1+0.15*2)/6</f>
        <v>0.155</v>
      </c>
      <c r="AT1230" s="189">
        <f t="shared" si="358"/>
        <v>1.4999999999999986E-2</v>
      </c>
      <c r="AU1230" s="187">
        <f t="shared" si="359"/>
        <v>143.99999999999989</v>
      </c>
      <c r="AV1230" s="190">
        <f t="shared" si="360"/>
        <v>23.999999999999979</v>
      </c>
      <c r="AW1230" s="191" t="s">
        <v>96</v>
      </c>
      <c r="AX1230" s="407"/>
      <c r="AY1230" s="407"/>
      <c r="AZ1230" s="407"/>
      <c r="BA1230" s="407"/>
      <c r="BB1230" s="407"/>
      <c r="BC1230" s="407"/>
      <c r="BD1230" s="407"/>
      <c r="BE1230" s="407"/>
      <c r="BF1230" s="422"/>
      <c r="BG1230" s="391">
        <f>SUM($AV$4:AV1230)</f>
        <v>4214.5811473733465</v>
      </c>
      <c r="BH1230" s="392">
        <f>SUM($AU$134:AU1230)</f>
        <v>19468.794000000373</v>
      </c>
      <c r="BI1230" s="318">
        <f>SUMIFS($AU$134:AU1231,$Q$134:Q1231,"F")</f>
        <v>6566.5333333333328</v>
      </c>
      <c r="BJ1230" s="318">
        <f>SUMIFS($AU$134:AU1231,$Q$134:Q1231,"S")</f>
        <v>14639.642</v>
      </c>
      <c r="BK1230" s="343">
        <f>SUMIFS($AU$134:AU1231,$P$134:P1231,"W")</f>
        <v>11486.941999999943</v>
      </c>
      <c r="BL1230" s="343">
        <f>SUMIFS($AU$134:AU1231,$P$134:P1231,"R")</f>
        <v>9524.6733333333214</v>
      </c>
      <c r="BM1230" s="343">
        <f>SUMIFS($AU$134:AU1231,$AQ$134:AQ1231,"M")</f>
        <v>2910.0300000001498</v>
      </c>
      <c r="BN1230" s="343">
        <f>SUMIFS($AU$134:AU1231,$AQ$134:AQ1231,"H")</f>
        <v>9257.3420000000642</v>
      </c>
      <c r="BO1230" s="343">
        <f>SUMIFS($AU$134:AU1231,$AQ$134:AQ1231,"D")</f>
        <v>2930.236666666764</v>
      </c>
      <c r="BP1230" s="343">
        <f>SUMIFS($AU$134:AU1233,$AQ$134:AQ1233,"W")</f>
        <v>3191.7633333332024</v>
      </c>
      <c r="BQ1230" s="343">
        <f>SUMIFS($AU$134:AU1231,$Q$134:Q1231,"O")</f>
        <v>-2016.5813333329609</v>
      </c>
      <c r="BR1230" s="343">
        <f>SUMIFS($AU$134:AU1231,$AA$134:AA1231,"*")</f>
        <v>18197.305333333465</v>
      </c>
      <c r="BS1230" s="343">
        <f>SUMIFS($AU$134:AU1231,$AB$134:AB1231,"*")</f>
        <v>3053.9886666669622</v>
      </c>
      <c r="BT1230" s="343">
        <f>SUMIFS($AU$134:AU1231,$AC$134:AC1231,"*")</f>
        <v>11719.683333333332</v>
      </c>
      <c r="BU1230" s="343">
        <f>SUMIFS($AU$134:AU1231,$AA$134:AA1231,"*",$AB$134:AB1231,"*")</f>
        <v>2490.0000000000546</v>
      </c>
      <c r="BV1230" s="343">
        <f>SUMIFS($AU$134:AU1231,$AA$134:AA1231,"*",$AC$134:AC1231,"*")</f>
        <v>9628.7833333333328</v>
      </c>
      <c r="BW1230" s="343">
        <f>SUMIFS($AU$134:AU1231,$AB$134:AB1231,"*",$AC$134:AC1231,"*")</f>
        <v>6206.6</v>
      </c>
      <c r="BX1230" s="343">
        <f>SUMIFS($AU1231:AU$1388,$Q1231:Q$1388,"F")</f>
        <v>7874.1333333333323</v>
      </c>
      <c r="BY1230" s="343">
        <f>SUMIFS($AU1231:AU$1388,$Q1231:Q$1388,"S")</f>
        <v>5648</v>
      </c>
      <c r="BZ1230" s="343">
        <f>SUMIFS($AU1231:AU$1388,$Q1231:Q$1388,"O")</f>
        <v>367.72333333316226</v>
      </c>
    </row>
    <row r="1231" spans="1:78" ht="15.75" customHeight="1">
      <c r="A1231" s="221" t="s">
        <v>4220</v>
      </c>
      <c r="B1231" s="177">
        <v>45237</v>
      </c>
      <c r="C1231" s="178" t="s">
        <v>682</v>
      </c>
      <c r="D1231" s="178" t="s">
        <v>146</v>
      </c>
      <c r="E1231" s="227"/>
      <c r="F1231" s="180"/>
      <c r="G1231" s="281" t="s">
        <v>2016</v>
      </c>
      <c r="H1231" s="182"/>
      <c r="I1231" s="182"/>
      <c r="J1231" s="182"/>
      <c r="K1231" s="183"/>
      <c r="L1231" s="182"/>
      <c r="M1231" s="182">
        <v>2</v>
      </c>
      <c r="N1231" s="182"/>
      <c r="O1231" s="183" t="s">
        <v>95</v>
      </c>
      <c r="P1231" s="183" t="s">
        <v>96</v>
      </c>
      <c r="Q1231" s="183" t="s">
        <v>97</v>
      </c>
      <c r="R1231" s="183">
        <v>48</v>
      </c>
      <c r="S1231" s="183">
        <v>24</v>
      </c>
      <c r="T1231" s="183">
        <v>24</v>
      </c>
      <c r="U1231" s="183" t="s">
        <v>22</v>
      </c>
      <c r="V1231" s="183"/>
      <c r="W1231" s="183"/>
      <c r="X1231" s="183"/>
      <c r="Y1231" s="184">
        <f>IF(ISBLANK(O1231),"",(IF(O1231=UPPER("IB"),0.005,0.01)))</f>
        <v>0.01</v>
      </c>
      <c r="Z1231" s="185">
        <f>IF(ISBLANK(O1231),"",IF(O1231="IB",8.63*200,IF(O1231="IR",16*100,IF(O1231="YT",20*100,IF(O1231="YT-XT",24*200,IF(O1231="TED",80*100))))))</f>
        <v>1600</v>
      </c>
      <c r="AA1231" s="185"/>
      <c r="AB1231" s="409" t="s">
        <v>4319</v>
      </c>
      <c r="AC1231" s="185"/>
      <c r="AD1231" s="649">
        <v>-8.5000000000000006E-2</v>
      </c>
      <c r="AE1231" s="182"/>
      <c r="AF1231" s="332"/>
      <c r="AG1231" s="182"/>
      <c r="AH1231" s="182"/>
      <c r="AI1231" s="182"/>
      <c r="AJ1231" s="640"/>
      <c r="AK1231" s="182"/>
      <c r="AL1231" s="496">
        <f t="shared" si="361"/>
        <v>-48</v>
      </c>
      <c r="AM1231" s="496">
        <f t="shared" si="362"/>
        <v>-1152</v>
      </c>
      <c r="AN1231" s="626"/>
      <c r="AO1231" s="182"/>
      <c r="AP1231" s="182" t="s">
        <v>589</v>
      </c>
      <c r="AQ1231" s="332" t="str">
        <f>UPPER(RIGHT(Journal_Live[[#This Row],[DURATION ]]))</f>
        <v>D</v>
      </c>
      <c r="AR1231" s="182" t="s">
        <v>4320</v>
      </c>
      <c r="AS1231" s="189">
        <f>((-0.09*24)+(-0.09*24))/48</f>
        <v>-9.0000000000000011E-2</v>
      </c>
      <c r="AT1231" s="189">
        <f t="shared" si="358"/>
        <v>-5.0000000000000044E-3</v>
      </c>
      <c r="AU1231" s="187">
        <f t="shared" si="359"/>
        <v>-384.00000000000034</v>
      </c>
      <c r="AV1231" s="190">
        <f t="shared" si="360"/>
        <v>-8.0000000000000071</v>
      </c>
      <c r="AW1231" s="191" t="s">
        <v>229</v>
      </c>
      <c r="AX1231" s="407"/>
      <c r="AY1231" s="407"/>
      <c r="AZ1231" s="407"/>
      <c r="BA1231" s="407"/>
      <c r="BB1231" s="407"/>
      <c r="BC1231" s="407"/>
      <c r="BD1231" s="407"/>
      <c r="BE1231" s="407"/>
      <c r="BF1231" s="422"/>
      <c r="BG1231" s="391">
        <f>SUM($AV$4:AV1231)</f>
        <v>4206.5811473733465</v>
      </c>
      <c r="BH1231" s="392">
        <f>SUM($AU$134:AU1231)</f>
        <v>19084.794000000373</v>
      </c>
      <c r="BI1231" s="318">
        <f>SUMIFS($AU$134:AU1232,$Q$134:Q1232,"F")</f>
        <v>6886.5333333333328</v>
      </c>
      <c r="BJ1231" s="318">
        <f>SUMIFS($AU$134:AU1232,$Q$134:Q1232,"S")</f>
        <v>14639.642</v>
      </c>
      <c r="BK1231" s="343">
        <f>SUMIFS($AU$134:AU1232,$P$134:P1232,"W")</f>
        <v>11486.941999999943</v>
      </c>
      <c r="BL1231" s="343">
        <f>SUMIFS($AU$134:AU1232,$P$134:P1232,"R")</f>
        <v>9844.6733333333214</v>
      </c>
      <c r="BM1231" s="343">
        <f>SUMIFS($AU$134:AU1232,$AQ$134:AQ1232,"M")</f>
        <v>2910.0300000001498</v>
      </c>
      <c r="BN1231" s="343">
        <f>SUMIFS($AU$134:AU1232,$AQ$134:AQ1232,"H")</f>
        <v>9257.3420000000642</v>
      </c>
      <c r="BO1231" s="343">
        <f>SUMIFS($AU$134:AU1232,$AQ$134:AQ1232,"D")</f>
        <v>2930.236666666764</v>
      </c>
      <c r="BP1231" s="343">
        <f>SUMIFS($AU$134:AU1234,$AQ$134:AQ1234,"W")</f>
        <v>3191.7633333332024</v>
      </c>
      <c r="BQ1231" s="343">
        <f>SUMIFS($AU$134:AU1232,$Q$134:Q1232,"O")</f>
        <v>-2016.5813333329609</v>
      </c>
      <c r="BR1231" s="343">
        <f>SUMIFS($AU$134:AU1232,$AA$134:AA1232,"*")</f>
        <v>18517.305333333465</v>
      </c>
      <c r="BS1231" s="343">
        <f>SUMIFS($AU$134:AU1232,$AB$134:AB1232,"*")</f>
        <v>3053.9886666669622</v>
      </c>
      <c r="BT1231" s="343">
        <f>SUMIFS($AU$134:AU1232,$AC$134:AC1232,"*")</f>
        <v>11719.683333333332</v>
      </c>
      <c r="BU1231" s="343">
        <f>SUMIFS($AU$134:AU1232,$AA$134:AA1232,"*",$AB$134:AB1232,"*")</f>
        <v>2490.0000000000546</v>
      </c>
      <c r="BV1231" s="343">
        <f>SUMIFS($AU$134:AU1232,$AA$134:AA1232,"*",$AC$134:AC1232,"*")</f>
        <v>9628.7833333333328</v>
      </c>
      <c r="BW1231" s="343">
        <f>SUMIFS($AU$134:AU1232,$AB$134:AB1232,"*",$AC$134:AC1232,"*")</f>
        <v>6206.6</v>
      </c>
      <c r="BX1231" s="343">
        <f>SUMIFS($AU1232:AU$1388,$Q1232:Q$1388,"F")</f>
        <v>7874.1333333333323</v>
      </c>
      <c r="BY1231" s="343">
        <f>SUMIFS($AU1232:AU$1388,$Q1232:Q$1388,"S")</f>
        <v>6032</v>
      </c>
      <c r="BZ1231" s="343">
        <f>SUMIFS($AU1232:AU$1388,$Q1232:Q$1388,"O")</f>
        <v>367.72333333316226</v>
      </c>
    </row>
    <row r="1232" spans="1:78" ht="15.75" customHeight="1">
      <c r="A1232" s="221" t="s">
        <v>4220</v>
      </c>
      <c r="B1232" s="177">
        <v>45237</v>
      </c>
      <c r="C1232" s="178" t="s">
        <v>682</v>
      </c>
      <c r="D1232" s="178" t="s">
        <v>146</v>
      </c>
      <c r="E1232" s="227"/>
      <c r="F1232" s="180"/>
      <c r="G1232" s="484" t="s">
        <v>3766</v>
      </c>
      <c r="H1232" s="182"/>
      <c r="I1232" s="182"/>
      <c r="J1232" s="182"/>
      <c r="K1232" s="183"/>
      <c r="L1232" s="182">
        <v>1</v>
      </c>
      <c r="M1232" s="182"/>
      <c r="N1232" s="182"/>
      <c r="O1232" s="183" t="s">
        <v>95</v>
      </c>
      <c r="P1232" s="183" t="s">
        <v>137</v>
      </c>
      <c r="Q1232" s="183" t="s">
        <v>256</v>
      </c>
      <c r="R1232" s="183">
        <v>20</v>
      </c>
      <c r="S1232" s="183">
        <v>20</v>
      </c>
      <c r="T1232" s="183">
        <v>20</v>
      </c>
      <c r="U1232" s="183" t="s">
        <v>22</v>
      </c>
      <c r="V1232" s="183"/>
      <c r="W1232" s="183"/>
      <c r="X1232" s="183"/>
      <c r="Y1232" s="184">
        <f>IF(ISBLANK(O1232),"",(IF(O1232=UPPER("IB"),0.005,0.01)))</f>
        <v>0.01</v>
      </c>
      <c r="Z1232" s="185">
        <f>IF(ISBLANK(O1232),"",IF(O1232="IB",8.63*200,IF(O1232="IR",16*100,IF(O1232="YT",20*100,IF(O1232="YT-XT",24*200,IF(O1232="TED",80*100))))))</f>
        <v>1600</v>
      </c>
      <c r="AA1232" s="185" t="s">
        <v>4266</v>
      </c>
      <c r="AB1232" s="185"/>
      <c r="AC1232" s="185"/>
      <c r="AD1232" s="649">
        <v>-0.02</v>
      </c>
      <c r="AE1232" s="182"/>
      <c r="AF1232" s="332"/>
      <c r="AG1232" s="182"/>
      <c r="AH1232" s="182"/>
      <c r="AI1232" s="182"/>
      <c r="AJ1232" s="640"/>
      <c r="AK1232" s="182"/>
      <c r="AL1232" s="496">
        <f t="shared" si="361"/>
        <v>-48</v>
      </c>
      <c r="AM1232" s="496">
        <f t="shared" si="362"/>
        <v>0</v>
      </c>
      <c r="AN1232" s="626"/>
      <c r="AO1232" s="182"/>
      <c r="AP1232" s="182"/>
      <c r="AQ1232" s="332" t="str">
        <f>UPPER(RIGHT(Journal_Live[[#This Row],[DURATION ]]))</f>
        <v/>
      </c>
      <c r="AR1232" s="182" t="s">
        <v>4321</v>
      </c>
      <c r="AS1232" s="189">
        <f>((-0.01*20))/20</f>
        <v>-0.01</v>
      </c>
      <c r="AT1232" s="189">
        <f t="shared" si="358"/>
        <v>0.01</v>
      </c>
      <c r="AU1232" s="187">
        <f t="shared" si="359"/>
        <v>320</v>
      </c>
      <c r="AV1232" s="190">
        <f t="shared" si="360"/>
        <v>16</v>
      </c>
      <c r="AW1232" s="191" t="s">
        <v>96</v>
      </c>
      <c r="AX1232" s="407" t="s">
        <v>2897</v>
      </c>
      <c r="AY1232" s="407"/>
      <c r="AZ1232" s="407"/>
      <c r="BA1232" s="407"/>
      <c r="BB1232" s="407"/>
      <c r="BC1232" s="407"/>
      <c r="BD1232" s="407"/>
      <c r="BE1232" s="407"/>
      <c r="BF1232" s="422"/>
      <c r="BG1232" s="391">
        <f>SUM($AV$4:AV1232)</f>
        <v>4222.5811473733465</v>
      </c>
      <c r="BH1232" s="392">
        <f>SUM($AU$134:AU1232)</f>
        <v>19404.794000000373</v>
      </c>
      <c r="BI1232" s="318">
        <f>SUMIFS($AU$134:AU1233,$Q$134:Q1233,"F")</f>
        <v>6886.5333333333328</v>
      </c>
      <c r="BJ1232" s="318">
        <f>SUMIFS($AU$134:AU1233,$Q$134:Q1233,"S")</f>
        <v>14639.642</v>
      </c>
      <c r="BK1232" s="343">
        <f>SUMIFS($AU$134:AU1233,$P$134:P1233,"W")</f>
        <v>11486.941999999943</v>
      </c>
      <c r="BL1232" s="343">
        <f>SUMIFS($AU$134:AU1233,$P$134:P1233,"R")</f>
        <v>9844.6733333333214</v>
      </c>
      <c r="BM1232" s="343">
        <f>SUMIFS($AU$134:AU1233,$AQ$134:AQ1233,"M")</f>
        <v>2910.0300000001498</v>
      </c>
      <c r="BN1232" s="343">
        <f>SUMIFS($AU$134:AU1233,$AQ$134:AQ1233,"H")</f>
        <v>9257.3420000000642</v>
      </c>
      <c r="BO1232" s="343">
        <f>SUMIFS($AU$134:AU1233,$AQ$134:AQ1233,"D")</f>
        <v>2930.236666666764</v>
      </c>
      <c r="BP1232" s="343">
        <f>SUMIFS($AU$134:AU1235,$AQ$134:AQ1235,"W")</f>
        <v>3191.7633333332024</v>
      </c>
      <c r="BQ1232" s="343">
        <f>SUMIFS($AU$134:AU1233,$Q$134:Q1233,"O")</f>
        <v>-2016.5813333329609</v>
      </c>
      <c r="BR1232" s="343">
        <f>SUMIFS($AU$134:AU1233,$AA$134:AA1233,"*")</f>
        <v>18517.305333333465</v>
      </c>
      <c r="BS1232" s="343">
        <f>SUMIFS($AU$134:AU1233,$AB$134:AB1233,"*")</f>
        <v>3053.9886666669622</v>
      </c>
      <c r="BT1232" s="343">
        <f>SUMIFS($AU$134:AU1233,$AC$134:AC1233,"*")</f>
        <v>11719.683333333332</v>
      </c>
      <c r="BU1232" s="343">
        <f>SUMIFS($AU$134:AU1233,$AA$134:AA1233,"*",$AB$134:AB1233,"*")</f>
        <v>2490.0000000000546</v>
      </c>
      <c r="BV1232" s="343">
        <f>SUMIFS($AU$134:AU1233,$AA$134:AA1233,"*",$AC$134:AC1233,"*")</f>
        <v>9628.7833333333328</v>
      </c>
      <c r="BW1232" s="343">
        <f>SUMIFS($AU$134:AU1233,$AB$134:AB1233,"*",$AC$134:AC1233,"*")</f>
        <v>6206.6</v>
      </c>
      <c r="BX1232" s="343">
        <f>SUMIFS($AU1233:AU$1388,$Q1233:Q$1388,"F")</f>
        <v>7554.1333333333323</v>
      </c>
      <c r="BY1232" s="343">
        <f>SUMIFS($AU1233:AU$1388,$Q1233:Q$1388,"S")</f>
        <v>6032</v>
      </c>
      <c r="BZ1232" s="343">
        <f>SUMIFS($AU1233:AU$1388,$Q1233:Q$1388,"O")</f>
        <v>367.72333333316226</v>
      </c>
    </row>
    <row r="1233" spans="1:78" ht="15.75" customHeight="1">
      <c r="A1233" s="221" t="s">
        <v>4220</v>
      </c>
      <c r="B1233" s="177">
        <v>45237</v>
      </c>
      <c r="C1233" s="178" t="s">
        <v>2407</v>
      </c>
      <c r="D1233" s="178" t="s">
        <v>146</v>
      </c>
      <c r="E1233" s="227"/>
      <c r="F1233" s="180"/>
      <c r="G1233" s="181" t="s">
        <v>3334</v>
      </c>
      <c r="H1233" s="182"/>
      <c r="I1233" s="182"/>
      <c r="J1233" s="182"/>
      <c r="K1233" s="183"/>
      <c r="L1233" s="182"/>
      <c r="M1233" s="182"/>
      <c r="N1233" s="182"/>
      <c r="O1233" s="183"/>
      <c r="P1233" s="183"/>
      <c r="Q1233" s="183"/>
      <c r="R1233" s="183"/>
      <c r="S1233" s="183"/>
      <c r="T1233" s="183"/>
      <c r="U1233" s="183"/>
      <c r="V1233" s="183"/>
      <c r="W1233" s="183"/>
      <c r="X1233" s="183"/>
      <c r="Y1233" s="184"/>
      <c r="Z1233" s="185"/>
      <c r="AA1233" s="185"/>
      <c r="AB1233" s="185"/>
      <c r="AC1233" s="185"/>
      <c r="AD1233" s="649"/>
      <c r="AE1233" s="182"/>
      <c r="AF1233" s="332"/>
      <c r="AG1233" s="182"/>
      <c r="AH1233" s="182"/>
      <c r="AI1233" s="182"/>
      <c r="AJ1233" s="640"/>
      <c r="AK1233" s="182"/>
      <c r="AL1233" s="496">
        <f t="shared" si="361"/>
        <v>0</v>
      </c>
      <c r="AM1233" s="496">
        <f t="shared" si="362"/>
        <v>0</v>
      </c>
      <c r="AN1233" s="626"/>
      <c r="AO1233" s="182"/>
      <c r="AP1233" s="182"/>
      <c r="AQ1233" s="332" t="str">
        <f>UPPER(RIGHT(Journal_Live[[#This Row],[DURATION ]]))</f>
        <v/>
      </c>
      <c r="AR1233" s="182"/>
      <c r="AS1233" s="189"/>
      <c r="AT1233" s="189">
        <f t="shared" si="358"/>
        <v>0</v>
      </c>
      <c r="AU1233" s="187">
        <f t="shared" si="359"/>
        <v>0</v>
      </c>
      <c r="AV1233" s="190">
        <f t="shared" si="360"/>
        <v>0</v>
      </c>
      <c r="AW1233" s="191"/>
      <c r="AX1233" s="407"/>
      <c r="AY1233" s="407"/>
      <c r="AZ1233" s="407"/>
      <c r="BA1233" s="407"/>
      <c r="BB1233" s="407"/>
      <c r="BC1233" s="407"/>
      <c r="BD1233" s="407"/>
      <c r="BE1233" s="407"/>
      <c r="BF1233" s="422"/>
      <c r="BG1233" s="391">
        <f>SUM($AV$4:AV1233)</f>
        <v>4222.5811473733465</v>
      </c>
      <c r="BH1233" s="392">
        <f>SUM($AU$134:AU1233)</f>
        <v>19404.794000000373</v>
      </c>
      <c r="BI1233" s="318">
        <f>SUMIFS($AU$134:AU1234,$Q$134:Q1234,"F")</f>
        <v>6886.5333333333328</v>
      </c>
      <c r="BJ1233" s="318">
        <f>SUMIFS($AU$134:AU1234,$Q$134:Q1234,"S")</f>
        <v>14639.642</v>
      </c>
      <c r="BK1233" s="343">
        <f>SUMIFS($AU$134:AU1234,$P$134:P1234,"W")</f>
        <v>11486.941999999943</v>
      </c>
      <c r="BL1233" s="343">
        <f>SUMIFS($AU$134:AU1234,$P$134:P1234,"R")</f>
        <v>9844.6733333333214</v>
      </c>
      <c r="BM1233" s="343">
        <f>SUMIFS($AU$134:AU1234,$AQ$134:AQ1234,"M")</f>
        <v>2910.0300000001498</v>
      </c>
      <c r="BN1233" s="343">
        <f>SUMIFS($AU$134:AU1234,$AQ$134:AQ1234,"H")</f>
        <v>9257.3420000000642</v>
      </c>
      <c r="BO1233" s="343">
        <f>SUMIFS($AU$134:AU1234,$AQ$134:AQ1234,"D")</f>
        <v>2930.236666666764</v>
      </c>
      <c r="BP1233" s="343">
        <f>SUMIFS($AU$134:AU1236,$AQ$134:AQ1236,"W")</f>
        <v>3191.7633333332024</v>
      </c>
      <c r="BQ1233" s="343">
        <f>SUMIFS($AU$134:AU1234,$Q$134:Q1234,"O")</f>
        <v>-2016.5813333329609</v>
      </c>
      <c r="BR1233" s="343">
        <f>SUMIFS($AU$134:AU1234,$AA$134:AA1234,"*")</f>
        <v>18517.305333333465</v>
      </c>
      <c r="BS1233" s="343">
        <f>SUMIFS($AU$134:AU1234,$AB$134:AB1234,"*")</f>
        <v>3053.9886666669622</v>
      </c>
      <c r="BT1233" s="343">
        <f>SUMIFS($AU$134:AU1234,$AC$134:AC1234,"*")</f>
        <v>11719.683333333332</v>
      </c>
      <c r="BU1233" s="343">
        <f>SUMIFS($AU$134:AU1234,$AA$134:AA1234,"*",$AB$134:AB1234,"*")</f>
        <v>2490.0000000000546</v>
      </c>
      <c r="BV1233" s="343">
        <f>SUMIFS($AU$134:AU1234,$AA$134:AA1234,"*",$AC$134:AC1234,"*")</f>
        <v>9628.7833333333328</v>
      </c>
      <c r="BW1233" s="343">
        <f>SUMIFS($AU$134:AU1234,$AB$134:AB1234,"*",$AC$134:AC1234,"*")</f>
        <v>6206.6</v>
      </c>
      <c r="BX1233" s="343">
        <f>SUMIFS($AU1234:AU$1388,$Q1234:Q$1388,"F")</f>
        <v>7554.1333333333323</v>
      </c>
      <c r="BY1233" s="343">
        <f>SUMIFS($AU1234:AU$1388,$Q1234:Q$1388,"S")</f>
        <v>6032</v>
      </c>
      <c r="BZ1233" s="343">
        <f>SUMIFS($AU1234:AU$1388,$Q1234:Q$1388,"O")</f>
        <v>367.72333333316226</v>
      </c>
    </row>
    <row r="1234" spans="1:78" ht="15.75" customHeight="1">
      <c r="A1234" s="221" t="s">
        <v>4220</v>
      </c>
      <c r="B1234" s="177">
        <v>45237</v>
      </c>
      <c r="C1234" s="178" t="s">
        <v>4322</v>
      </c>
      <c r="D1234" s="178" t="s">
        <v>146</v>
      </c>
      <c r="E1234" s="227"/>
      <c r="F1234" s="180"/>
      <c r="G1234" s="281" t="s">
        <v>2942</v>
      </c>
      <c r="H1234" s="182"/>
      <c r="I1234" s="182"/>
      <c r="J1234" s="182"/>
      <c r="K1234" s="183"/>
      <c r="L1234" s="182">
        <v>1</v>
      </c>
      <c r="M1234" s="182"/>
      <c r="N1234" s="182"/>
      <c r="O1234" s="183" t="s">
        <v>95</v>
      </c>
      <c r="P1234" s="183" t="s">
        <v>96</v>
      </c>
      <c r="Q1234" s="183" t="s">
        <v>97</v>
      </c>
      <c r="R1234" s="183">
        <v>12</v>
      </c>
      <c r="S1234" s="183">
        <v>0</v>
      </c>
      <c r="T1234" s="183">
        <v>12</v>
      </c>
      <c r="U1234" s="183" t="s">
        <v>22</v>
      </c>
      <c r="V1234" s="183"/>
      <c r="W1234" s="183"/>
      <c r="X1234" s="183"/>
      <c r="Y1234" s="184">
        <f>IF(ISBLANK(O1234),"",(IF(O1234=UPPER("IB"),0.005,0.01)))</f>
        <v>0.01</v>
      </c>
      <c r="Z1234" s="185">
        <f>IF(ISBLANK(O1234),"",IF(O1234="IB",8.63*200,IF(O1234="IR",16*100,IF(O1234="YT",20*100,IF(O1234="YT-XT",24*200,IF(O1234="TED",80*100))))))</f>
        <v>1600</v>
      </c>
      <c r="AA1234" s="185"/>
      <c r="AB1234" s="185"/>
      <c r="AC1234" s="185" t="s">
        <v>4323</v>
      </c>
      <c r="AD1234" s="649">
        <v>-0.08</v>
      </c>
      <c r="AE1234" s="182"/>
      <c r="AF1234" s="332"/>
      <c r="AG1234" s="182"/>
      <c r="AH1234" s="182"/>
      <c r="AI1234" s="182"/>
      <c r="AJ1234" s="640"/>
      <c r="AK1234" s="182"/>
      <c r="AL1234" s="496">
        <f t="shared" si="361"/>
        <v>-48</v>
      </c>
      <c r="AM1234" s="496">
        <f t="shared" si="362"/>
        <v>-576</v>
      </c>
      <c r="AN1234" s="626"/>
      <c r="AO1234" s="182"/>
      <c r="AP1234" s="182"/>
      <c r="AQ1234" s="332" t="str">
        <f>UPPER(RIGHT(Journal_Live[[#This Row],[DURATION ]]))</f>
        <v/>
      </c>
      <c r="AR1234" s="182"/>
      <c r="AS1234" s="189">
        <v>-0.08</v>
      </c>
      <c r="AT1234" s="189">
        <f t="shared" si="358"/>
        <v>0</v>
      </c>
      <c r="AU1234" s="187">
        <f t="shared" si="359"/>
        <v>0</v>
      </c>
      <c r="AV1234" s="190">
        <f t="shared" si="360"/>
        <v>0</v>
      </c>
      <c r="AW1234" s="191" t="s">
        <v>115</v>
      </c>
      <c r="AX1234" s="407" t="s">
        <v>4324</v>
      </c>
      <c r="AY1234" s="407" t="s">
        <v>4325</v>
      </c>
      <c r="AZ1234" s="407"/>
      <c r="BA1234" s="407"/>
      <c r="BB1234" s="407"/>
      <c r="BC1234" s="407"/>
      <c r="BD1234" s="407"/>
      <c r="BE1234" s="407"/>
      <c r="BF1234" s="422"/>
      <c r="BG1234" s="391">
        <f>SUM($AV$4:AV1234)</f>
        <v>4222.5811473733465</v>
      </c>
      <c r="BH1234" s="392">
        <f>SUM($AU$134:AU1234)</f>
        <v>19404.794000000373</v>
      </c>
      <c r="BI1234" s="318">
        <f>SUMIFS($AU$134:AU1235,$Q$134:Q1235,"F")</f>
        <v>6886.5333333333328</v>
      </c>
      <c r="BJ1234" s="318">
        <f>SUMIFS($AU$134:AU1235,$Q$134:Q1235,"S")</f>
        <v>14639.642</v>
      </c>
      <c r="BK1234" s="343">
        <f>SUMIFS($AU$134:AU1235,$P$134:P1235,"W")</f>
        <v>11486.941999999943</v>
      </c>
      <c r="BL1234" s="343">
        <f>SUMIFS($AU$134:AU1235,$P$134:P1235,"R")</f>
        <v>9844.6733333333214</v>
      </c>
      <c r="BM1234" s="343">
        <f>SUMIFS($AU$134:AU1235,$AQ$134:AQ1235,"M")</f>
        <v>2910.0300000001498</v>
      </c>
      <c r="BN1234" s="343">
        <f>SUMIFS($AU$134:AU1235,$AQ$134:AQ1235,"H")</f>
        <v>9257.3420000000642</v>
      </c>
      <c r="BO1234" s="343">
        <f>SUMIFS($AU$134:AU1235,$AQ$134:AQ1235,"D")</f>
        <v>2930.236666666764</v>
      </c>
      <c r="BP1234" s="343">
        <f>SUMIFS($AU$134:AU1237,$AQ$134:AQ1237,"W")</f>
        <v>3191.7633333332024</v>
      </c>
      <c r="BQ1234" s="343">
        <f>SUMIFS($AU$134:AU1235,$Q$134:Q1235,"O")</f>
        <v>-2016.5813333329609</v>
      </c>
      <c r="BR1234" s="343">
        <f>SUMIFS($AU$134:AU1235,$AA$134:AA1235,"*")</f>
        <v>18517.305333333465</v>
      </c>
      <c r="BS1234" s="343">
        <f>SUMIFS($AU$134:AU1235,$AB$134:AB1235,"*")</f>
        <v>3053.9886666669622</v>
      </c>
      <c r="BT1234" s="343">
        <f>SUMIFS($AU$134:AU1235,$AC$134:AC1235,"*")</f>
        <v>11719.683333333332</v>
      </c>
      <c r="BU1234" s="343">
        <f>SUMIFS($AU$134:AU1235,$AA$134:AA1235,"*",$AB$134:AB1235,"*")</f>
        <v>2490.0000000000546</v>
      </c>
      <c r="BV1234" s="343">
        <f>SUMIFS($AU$134:AU1235,$AA$134:AA1235,"*",$AC$134:AC1235,"*")</f>
        <v>9628.7833333333328</v>
      </c>
      <c r="BW1234" s="343">
        <f>SUMIFS($AU$134:AU1235,$AB$134:AB1235,"*",$AC$134:AC1235,"*")</f>
        <v>6206.6</v>
      </c>
      <c r="BX1234" s="343">
        <f>SUMIFS($AU1235:AU$1388,$Q1235:Q$1388,"F")</f>
        <v>7554.1333333333323</v>
      </c>
      <c r="BY1234" s="343">
        <f>SUMIFS($AU1235:AU$1388,$Q1235:Q$1388,"S")</f>
        <v>6032</v>
      </c>
      <c r="BZ1234" s="343">
        <f>SUMIFS($AU1235:AU$1388,$Q1235:Q$1388,"O")</f>
        <v>367.72333333316226</v>
      </c>
    </row>
    <row r="1235" spans="1:78" ht="15.75" customHeight="1">
      <c r="A1235" s="221" t="s">
        <v>4220</v>
      </c>
      <c r="B1235" s="177">
        <v>45237</v>
      </c>
      <c r="C1235" s="178" t="s">
        <v>4326</v>
      </c>
      <c r="D1235" s="178" t="s">
        <v>146</v>
      </c>
      <c r="E1235" s="227"/>
      <c r="F1235" s="180"/>
      <c r="G1235" s="281" t="s">
        <v>2070</v>
      </c>
      <c r="H1235" s="182"/>
      <c r="I1235" s="182"/>
      <c r="J1235" s="182"/>
      <c r="K1235" s="183"/>
      <c r="L1235" s="182">
        <v>1</v>
      </c>
      <c r="M1235" s="182"/>
      <c r="N1235" s="182"/>
      <c r="O1235" s="183" t="s">
        <v>95</v>
      </c>
      <c r="P1235" s="183" t="s">
        <v>137</v>
      </c>
      <c r="Q1235" s="183" t="s">
        <v>97</v>
      </c>
      <c r="R1235" s="183">
        <v>16</v>
      </c>
      <c r="S1235" s="183">
        <v>0</v>
      </c>
      <c r="T1235" s="183">
        <v>16</v>
      </c>
      <c r="U1235" s="183" t="s">
        <v>22</v>
      </c>
      <c r="V1235" s="183"/>
      <c r="W1235" s="183"/>
      <c r="X1235" s="183"/>
      <c r="Y1235" s="184">
        <f>IF(ISBLANK(O1235),"",(IF(O1235=UPPER("IB"),0.005,0.01)))</f>
        <v>0.01</v>
      </c>
      <c r="Z1235" s="185">
        <f>IF(ISBLANK(O1235),"",IF(O1235="IB",8.63*200,IF(O1235="IR",16*100,IF(O1235="YT",20*100,IF(O1235="YT-XT",24*200,IF(O1235="TED",80*100))))))</f>
        <v>1600</v>
      </c>
      <c r="AA1235" s="185" t="s">
        <v>4327</v>
      </c>
      <c r="AB1235" s="185"/>
      <c r="AC1235" s="185"/>
      <c r="AD1235" s="649">
        <v>-0.1</v>
      </c>
      <c r="AE1235" s="182"/>
      <c r="AF1235" s="332"/>
      <c r="AG1235" s="182"/>
      <c r="AH1235" s="182"/>
      <c r="AI1235" s="182"/>
      <c r="AJ1235" s="640"/>
      <c r="AK1235" s="182"/>
      <c r="AL1235" s="496">
        <f t="shared" si="361"/>
        <v>-48</v>
      </c>
      <c r="AM1235" s="496">
        <f t="shared" si="362"/>
        <v>-768</v>
      </c>
      <c r="AN1235" s="626"/>
      <c r="AO1235" s="182"/>
      <c r="AP1235" s="182"/>
      <c r="AQ1235" s="332" t="str">
        <f>UPPER(RIGHT(Journal_Live[[#This Row],[DURATION ]]))</f>
        <v/>
      </c>
      <c r="AR1235" s="182"/>
      <c r="AS1235" s="189">
        <v>-0.1</v>
      </c>
      <c r="AT1235" s="189">
        <f t="shared" si="358"/>
        <v>0</v>
      </c>
      <c r="AU1235" s="187">
        <f t="shared" si="359"/>
        <v>0</v>
      </c>
      <c r="AV1235" s="190">
        <f t="shared" si="360"/>
        <v>0</v>
      </c>
      <c r="AW1235" s="191" t="s">
        <v>115</v>
      </c>
      <c r="AX1235" s="407" t="s">
        <v>4324</v>
      </c>
      <c r="AY1235" s="407"/>
      <c r="AZ1235" s="407"/>
      <c r="BA1235" s="407"/>
      <c r="BB1235" s="407"/>
      <c r="BC1235" s="407"/>
      <c r="BD1235" s="407"/>
      <c r="BE1235" s="407"/>
      <c r="BF1235" s="422"/>
      <c r="BG1235" s="391">
        <f>SUM($AV$4:AV1235)</f>
        <v>4222.5811473733465</v>
      </c>
      <c r="BH1235" s="392">
        <f>SUM($AU$134:AU1235)</f>
        <v>19404.794000000373</v>
      </c>
      <c r="BI1235" s="318">
        <f>SUMIFS($AU$134:AU1236,$Q$134:Q1236,"F")</f>
        <v>6886.5333333333328</v>
      </c>
      <c r="BJ1235" s="318">
        <f>SUMIFS($AU$134:AU1236,$Q$134:Q1236,"S")</f>
        <v>14799.642</v>
      </c>
      <c r="BK1235" s="343">
        <f>SUMIFS($AU$134:AU1236,$P$134:P1236,"W")</f>
        <v>11646.941999999943</v>
      </c>
      <c r="BL1235" s="343">
        <f>SUMIFS($AU$134:AU1236,$P$134:P1236,"R")</f>
        <v>9844.6733333333214</v>
      </c>
      <c r="BM1235" s="343">
        <f>SUMIFS($AU$134:AU1236,$AQ$134:AQ1236,"M")</f>
        <v>2910.0300000001498</v>
      </c>
      <c r="BN1235" s="343">
        <f>SUMIFS($AU$134:AU1236,$AQ$134:AQ1236,"H")</f>
        <v>9257.3420000000642</v>
      </c>
      <c r="BO1235" s="343">
        <f>SUMIFS($AU$134:AU1236,$AQ$134:AQ1236,"D")</f>
        <v>2930.236666666764</v>
      </c>
      <c r="BP1235" s="343">
        <f>SUMIFS($AU$134:AU1238,$AQ$134:AQ1238,"W")</f>
        <v>3191.7633333332024</v>
      </c>
      <c r="BQ1235" s="343">
        <f>SUMIFS($AU$134:AU1236,$Q$134:Q1236,"O")</f>
        <v>-2016.5813333329609</v>
      </c>
      <c r="BR1235" s="343">
        <f>SUMIFS($AU$134:AU1236,$AA$134:AA1236,"*")</f>
        <v>18677.305333333465</v>
      </c>
      <c r="BS1235" s="343">
        <f>SUMIFS($AU$134:AU1236,$AB$134:AB1236,"*")</f>
        <v>3053.9886666669622</v>
      </c>
      <c r="BT1235" s="343">
        <f>SUMIFS($AU$134:AU1236,$AC$134:AC1236,"*")</f>
        <v>11719.683333333332</v>
      </c>
      <c r="BU1235" s="343">
        <f>SUMIFS($AU$134:AU1236,$AA$134:AA1236,"*",$AB$134:AB1236,"*")</f>
        <v>2490.0000000000546</v>
      </c>
      <c r="BV1235" s="343">
        <f>SUMIFS($AU$134:AU1236,$AA$134:AA1236,"*",$AC$134:AC1236,"*")</f>
        <v>9628.7833333333328</v>
      </c>
      <c r="BW1235" s="343">
        <f>SUMIFS($AU$134:AU1236,$AB$134:AB1236,"*",$AC$134:AC1236,"*")</f>
        <v>6206.6</v>
      </c>
      <c r="BX1235" s="343">
        <f>SUMIFS($AU1236:AU$1388,$Q1236:Q$1388,"F")</f>
        <v>7554.1333333333323</v>
      </c>
      <c r="BY1235" s="343">
        <f>SUMIFS($AU1236:AU$1388,$Q1236:Q$1388,"S")</f>
        <v>6032</v>
      </c>
      <c r="BZ1235" s="343">
        <f>SUMIFS($AU1236:AU$1388,$Q1236:Q$1388,"O")</f>
        <v>367.72333333316226</v>
      </c>
    </row>
    <row r="1236" spans="1:78" ht="15.75" customHeight="1">
      <c r="A1236" s="221" t="s">
        <v>4220</v>
      </c>
      <c r="B1236" s="177">
        <v>45237</v>
      </c>
      <c r="C1236" s="178" t="s">
        <v>4328</v>
      </c>
      <c r="D1236" s="178" t="s">
        <v>146</v>
      </c>
      <c r="E1236" s="227"/>
      <c r="F1236" s="180"/>
      <c r="G1236" s="281" t="s">
        <v>181</v>
      </c>
      <c r="H1236" s="182"/>
      <c r="I1236" s="182"/>
      <c r="J1236" s="182"/>
      <c r="K1236" s="183"/>
      <c r="L1236" s="182">
        <v>2</v>
      </c>
      <c r="M1236" s="182"/>
      <c r="N1236" s="182"/>
      <c r="O1236" s="183" t="s">
        <v>95</v>
      </c>
      <c r="P1236" s="183" t="s">
        <v>96</v>
      </c>
      <c r="Q1236" s="183" t="s">
        <v>97</v>
      </c>
      <c r="R1236" s="183">
        <v>24</v>
      </c>
      <c r="S1236" s="183">
        <v>10</v>
      </c>
      <c r="T1236" s="183">
        <v>24</v>
      </c>
      <c r="U1236" s="183" t="s">
        <v>22</v>
      </c>
      <c r="V1236" s="183"/>
      <c r="W1236" s="183"/>
      <c r="X1236" s="183"/>
      <c r="Y1236" s="184">
        <f>IF(ISBLANK(O1236),"",(IF(O1236=UPPER("IB"),0.005,0.01)))</f>
        <v>0.01</v>
      </c>
      <c r="Z1236" s="185">
        <f>IF(ISBLANK(O1236),"",IF(O1236="IB",8.63*200,IF(O1236="IR",16*100,IF(O1236="YT",20*100,IF(O1236="YT-XT",24*200,IF(O1236="TED",80*100))))))</f>
        <v>1600</v>
      </c>
      <c r="AA1236" s="185" t="s">
        <v>4329</v>
      </c>
      <c r="AB1236" s="185"/>
      <c r="AC1236" s="185"/>
      <c r="AD1236" s="649">
        <v>0.01</v>
      </c>
      <c r="AE1236" s="182"/>
      <c r="AF1236" s="332"/>
      <c r="AG1236" s="182"/>
      <c r="AH1236" s="182"/>
      <c r="AI1236" s="182"/>
      <c r="AJ1236" s="640"/>
      <c r="AK1236" s="182"/>
      <c r="AL1236" s="496">
        <f t="shared" si="361"/>
        <v>-48</v>
      </c>
      <c r="AM1236" s="496">
        <f t="shared" si="362"/>
        <v>-672</v>
      </c>
      <c r="AN1236" s="626"/>
      <c r="AO1236" s="182"/>
      <c r="AP1236" s="182"/>
      <c r="AQ1236" s="332" t="str">
        <f>UPPER(RIGHT(Journal_Live[[#This Row],[DURATION ]]))</f>
        <v/>
      </c>
      <c r="AR1236" s="182" t="s">
        <v>4308</v>
      </c>
      <c r="AS1236" s="189">
        <f>((0.02*10)+(0.01*4)+(0.01*10))/24</f>
        <v>1.4166666666666668E-2</v>
      </c>
      <c r="AT1236" s="189">
        <f t="shared" si="358"/>
        <v>4.1666666666666675E-3</v>
      </c>
      <c r="AU1236" s="187">
        <f t="shared" si="359"/>
        <v>160.00000000000003</v>
      </c>
      <c r="AV1236" s="190">
        <f t="shared" si="360"/>
        <v>6.6666666666666679</v>
      </c>
      <c r="AW1236" s="191" t="s">
        <v>96</v>
      </c>
      <c r="AX1236" s="407"/>
      <c r="AY1236" s="407"/>
      <c r="AZ1236" s="407"/>
      <c r="BA1236" s="407"/>
      <c r="BB1236" s="407"/>
      <c r="BC1236" s="407"/>
      <c r="BD1236" s="407"/>
      <c r="BE1236" s="407"/>
      <c r="BF1236" s="422"/>
      <c r="BG1236" s="391">
        <f>SUM($AV$4:AV1236)</f>
        <v>4229.2478140400135</v>
      </c>
      <c r="BH1236" s="392">
        <f>SUM($AU$134:AU1236)</f>
        <v>19564.794000000373</v>
      </c>
      <c r="BI1236" s="318">
        <f>SUMIFS($AU$134:AU1237,$Q$134:Q1237,"F")</f>
        <v>6886.5333333333328</v>
      </c>
      <c r="BJ1236" s="318">
        <f>SUMIFS($AU$134:AU1237,$Q$134:Q1237,"S")</f>
        <v>14799.642</v>
      </c>
      <c r="BK1236" s="343">
        <f>SUMIFS($AU$134:AU1237,$P$134:P1237,"W")</f>
        <v>11646.941999999943</v>
      </c>
      <c r="BL1236" s="343">
        <f>SUMIFS($AU$134:AU1237,$P$134:P1237,"R")</f>
        <v>9844.6733333333214</v>
      </c>
      <c r="BM1236" s="343">
        <f>SUMIFS($AU$134:AU1237,$AQ$134:AQ1237,"M")</f>
        <v>2910.0300000001498</v>
      </c>
      <c r="BN1236" s="343">
        <f>SUMIFS($AU$134:AU1237,$AQ$134:AQ1237,"H")</f>
        <v>9257.3420000000642</v>
      </c>
      <c r="BO1236" s="343">
        <f>SUMIFS($AU$134:AU1237,$AQ$134:AQ1237,"D")</f>
        <v>2930.236666666764</v>
      </c>
      <c r="BP1236" s="343">
        <f>SUMIFS($AU$134:AU1239,$AQ$134:AQ1239,"W")</f>
        <v>3191.7633333332024</v>
      </c>
      <c r="BQ1236" s="343">
        <f>SUMIFS($AU$134:AU1237,$Q$134:Q1237,"O")</f>
        <v>-2016.5813333329609</v>
      </c>
      <c r="BR1236" s="343">
        <f>SUMIFS($AU$134:AU1237,$AA$134:AA1237,"*")</f>
        <v>18677.305333333465</v>
      </c>
      <c r="BS1236" s="343">
        <f>SUMIFS($AU$134:AU1237,$AB$134:AB1237,"*")</f>
        <v>3053.9886666669622</v>
      </c>
      <c r="BT1236" s="343">
        <f>SUMIFS($AU$134:AU1237,$AC$134:AC1237,"*")</f>
        <v>11719.683333333332</v>
      </c>
      <c r="BU1236" s="343">
        <f>SUMIFS($AU$134:AU1237,$AA$134:AA1237,"*",$AB$134:AB1237,"*")</f>
        <v>2490.0000000000546</v>
      </c>
      <c r="BV1236" s="343">
        <f>SUMIFS($AU$134:AU1237,$AA$134:AA1237,"*",$AC$134:AC1237,"*")</f>
        <v>9628.7833333333328</v>
      </c>
      <c r="BW1236" s="343">
        <f>SUMIFS($AU$134:AU1237,$AB$134:AB1237,"*",$AC$134:AC1237,"*")</f>
        <v>6206.6</v>
      </c>
      <c r="BX1236" s="343">
        <f>SUMIFS($AU1237:AU$1388,$Q1237:Q$1388,"F")</f>
        <v>7554.1333333333323</v>
      </c>
      <c r="BY1236" s="343">
        <f>SUMIFS($AU1237:AU$1388,$Q1237:Q$1388,"S")</f>
        <v>5872</v>
      </c>
      <c r="BZ1236" s="343">
        <f>SUMIFS($AU1237:AU$1388,$Q1237:Q$1388,"O")</f>
        <v>367.72333333316226</v>
      </c>
    </row>
    <row r="1237" spans="1:78" ht="15.75" customHeight="1">
      <c r="A1237" s="221" t="s">
        <v>4220</v>
      </c>
      <c r="B1237" s="177">
        <v>45237</v>
      </c>
      <c r="C1237" s="178" t="s">
        <v>4330</v>
      </c>
      <c r="D1237" s="178" t="s">
        <v>146</v>
      </c>
      <c r="E1237" s="227"/>
      <c r="F1237" s="180"/>
      <c r="G1237" s="181" t="s">
        <v>2942</v>
      </c>
      <c r="H1237" s="182"/>
      <c r="I1237" s="182"/>
      <c r="J1237" s="182"/>
      <c r="K1237" s="183"/>
      <c r="L1237" s="182"/>
      <c r="M1237" s="182"/>
      <c r="N1237" s="182"/>
      <c r="O1237" s="183"/>
      <c r="P1237" s="183"/>
      <c r="Q1237" s="183"/>
      <c r="R1237" s="183"/>
      <c r="S1237" s="183"/>
      <c r="T1237" s="183"/>
      <c r="U1237" s="183"/>
      <c r="V1237" s="183"/>
      <c r="W1237" s="183"/>
      <c r="X1237" s="183"/>
      <c r="Y1237" s="184"/>
      <c r="Z1237" s="185"/>
      <c r="AA1237" s="185"/>
      <c r="AB1237" s="185"/>
      <c r="AC1237" s="185"/>
      <c r="AD1237" s="649"/>
      <c r="AE1237" s="182"/>
      <c r="AF1237" s="332"/>
      <c r="AG1237" s="182"/>
      <c r="AH1237" s="182"/>
      <c r="AI1237" s="182"/>
      <c r="AJ1237" s="640"/>
      <c r="AK1237" s="182"/>
      <c r="AL1237" s="496">
        <f t="shared" si="361"/>
        <v>0</v>
      </c>
      <c r="AM1237" s="496">
        <f t="shared" si="362"/>
        <v>0</v>
      </c>
      <c r="AN1237" s="626"/>
      <c r="AO1237" s="182"/>
      <c r="AP1237" s="182"/>
      <c r="AQ1237" s="332" t="str">
        <f>UPPER(RIGHT(Journal_Live[[#This Row],[DURATION ]]))</f>
        <v/>
      </c>
      <c r="AR1237" s="182"/>
      <c r="AS1237" s="189"/>
      <c r="AT1237" s="189">
        <f t="shared" si="358"/>
        <v>0</v>
      </c>
      <c r="AU1237" s="187">
        <f t="shared" si="359"/>
        <v>0</v>
      </c>
      <c r="AV1237" s="190">
        <f t="shared" si="360"/>
        <v>0</v>
      </c>
      <c r="AW1237" s="191"/>
      <c r="AX1237" s="407"/>
      <c r="AY1237" s="407"/>
      <c r="AZ1237" s="407"/>
      <c r="BA1237" s="407"/>
      <c r="BB1237" s="407"/>
      <c r="BC1237" s="407"/>
      <c r="BD1237" s="407"/>
      <c r="BE1237" s="407"/>
      <c r="BF1237" s="422"/>
      <c r="BG1237" s="391">
        <f>SUM($AV$4:AV1237)</f>
        <v>4229.2478140400135</v>
      </c>
      <c r="BH1237" s="392">
        <f>SUM($AU$134:AU1237)</f>
        <v>19564.794000000373</v>
      </c>
      <c r="BI1237" s="318">
        <f>SUMIFS($AU$134:AU1238,$Q$134:Q1238,"F")</f>
        <v>6886.5333333333328</v>
      </c>
      <c r="BJ1237" s="318">
        <f>SUMIFS($AU$134:AU1238,$Q$134:Q1238,"S")</f>
        <v>14799.642</v>
      </c>
      <c r="BK1237" s="343">
        <f>SUMIFS($AU$134:AU1238,$P$134:P1238,"W")</f>
        <v>11646.941999999943</v>
      </c>
      <c r="BL1237" s="343">
        <f>SUMIFS($AU$134:AU1238,$P$134:P1238,"R")</f>
        <v>9844.6733333333214</v>
      </c>
      <c r="BM1237" s="343">
        <f>SUMIFS($AU$134:AU1238,$AQ$134:AQ1238,"M")</f>
        <v>2910.0300000001498</v>
      </c>
      <c r="BN1237" s="343">
        <f>SUMIFS($AU$134:AU1238,$AQ$134:AQ1238,"H")</f>
        <v>9257.3420000000642</v>
      </c>
      <c r="BO1237" s="343">
        <f>SUMIFS($AU$134:AU1238,$AQ$134:AQ1238,"D")</f>
        <v>2930.236666666764</v>
      </c>
      <c r="BP1237" s="343">
        <f>SUMIFS($AU$134:AU1240,$AQ$134:AQ1240,"W")</f>
        <v>3191.7633333332024</v>
      </c>
      <c r="BQ1237" s="343">
        <f>SUMIFS($AU$134:AU1238,$Q$134:Q1238,"O")</f>
        <v>-2016.5813333329609</v>
      </c>
      <c r="BR1237" s="343">
        <f>SUMIFS($AU$134:AU1238,$AA$134:AA1238,"*")</f>
        <v>18677.305333333465</v>
      </c>
      <c r="BS1237" s="343">
        <f>SUMIFS($AU$134:AU1238,$AB$134:AB1238,"*")</f>
        <v>3053.9886666669622</v>
      </c>
      <c r="BT1237" s="343">
        <f>SUMIFS($AU$134:AU1238,$AC$134:AC1238,"*")</f>
        <v>11719.683333333332</v>
      </c>
      <c r="BU1237" s="343">
        <f>SUMIFS($AU$134:AU1238,$AA$134:AA1238,"*",$AB$134:AB1238,"*")</f>
        <v>2490.0000000000546</v>
      </c>
      <c r="BV1237" s="343">
        <f>SUMIFS($AU$134:AU1238,$AA$134:AA1238,"*",$AC$134:AC1238,"*")</f>
        <v>9628.7833333333328</v>
      </c>
      <c r="BW1237" s="343">
        <f>SUMIFS($AU$134:AU1238,$AB$134:AB1238,"*",$AC$134:AC1238,"*")</f>
        <v>6206.6</v>
      </c>
      <c r="BX1237" s="343">
        <f>SUMIFS($AU1238:AU$1388,$Q1238:Q$1388,"F")</f>
        <v>7554.1333333333323</v>
      </c>
      <c r="BY1237" s="343">
        <f>SUMIFS($AU1238:AU$1388,$Q1238:Q$1388,"S")</f>
        <v>5872</v>
      </c>
      <c r="BZ1237" s="343">
        <f>SUMIFS($AU1238:AU$1388,$Q1238:Q$1388,"O")</f>
        <v>367.72333333316226</v>
      </c>
    </row>
    <row r="1238" spans="1:78" ht="15.75" customHeight="1">
      <c r="A1238" s="221" t="s">
        <v>4220</v>
      </c>
      <c r="B1238" s="177">
        <v>45237</v>
      </c>
      <c r="C1238" s="178" t="s">
        <v>4331</v>
      </c>
      <c r="D1238" s="178" t="s">
        <v>146</v>
      </c>
      <c r="E1238" s="227"/>
      <c r="F1238" s="180"/>
      <c r="G1238" s="281" t="s">
        <v>3334</v>
      </c>
      <c r="H1238" s="182"/>
      <c r="I1238" s="182"/>
      <c r="J1238" s="182"/>
      <c r="K1238" s="183"/>
      <c r="L1238" s="182">
        <v>1</v>
      </c>
      <c r="M1238" s="182"/>
      <c r="N1238" s="182"/>
      <c r="O1238" s="183" t="s">
        <v>95</v>
      </c>
      <c r="P1238" s="183" t="s">
        <v>137</v>
      </c>
      <c r="Q1238" s="183" t="s">
        <v>97</v>
      </c>
      <c r="R1238" s="183">
        <v>24</v>
      </c>
      <c r="S1238" s="183">
        <v>0</v>
      </c>
      <c r="T1238" s="183">
        <v>14</v>
      </c>
      <c r="U1238" s="183" t="s">
        <v>22</v>
      </c>
      <c r="V1238" s="183"/>
      <c r="W1238" s="183"/>
      <c r="X1238" s="183"/>
      <c r="Y1238" s="184">
        <f>IF(ISBLANK(O1238),"",(IF(O1238=UPPER("IB"),0.005,0.01)))</f>
        <v>0.01</v>
      </c>
      <c r="Z1238" s="185">
        <f>IF(ISBLANK(O1238),"",IF(O1238="IB",8.63*200,IF(O1238="IR",16*100,IF(O1238="YT",20*100,IF(O1238="YT-XT",24*200,IF(O1238="TED",80*100))))))</f>
        <v>1600</v>
      </c>
      <c r="AA1238" s="185" t="s">
        <v>99</v>
      </c>
      <c r="AB1238" s="185"/>
      <c r="AC1238" s="185"/>
      <c r="AD1238" s="649">
        <v>-0.06</v>
      </c>
      <c r="AE1238" s="182"/>
      <c r="AF1238" s="332"/>
      <c r="AG1238" s="182"/>
      <c r="AH1238" s="182"/>
      <c r="AI1238" s="182"/>
      <c r="AJ1238" s="640"/>
      <c r="AK1238" s="182"/>
      <c r="AL1238" s="496">
        <f t="shared" si="361"/>
        <v>-48</v>
      </c>
      <c r="AM1238" s="496">
        <f t="shared" si="362"/>
        <v>-1152</v>
      </c>
      <c r="AN1238" s="626"/>
      <c r="AO1238" s="182"/>
      <c r="AP1238" s="182" t="s">
        <v>589</v>
      </c>
      <c r="AQ1238" s="332" t="str">
        <f>UPPER(RIGHT(Journal_Live[[#This Row],[DURATION ]]))</f>
        <v>D</v>
      </c>
      <c r="AR1238" s="182" t="s">
        <v>4332</v>
      </c>
      <c r="AS1238" s="189">
        <v>-0.06</v>
      </c>
      <c r="AT1238" s="189">
        <f t="shared" si="358"/>
        <v>0</v>
      </c>
      <c r="AU1238" s="187">
        <f t="shared" si="359"/>
        <v>0</v>
      </c>
      <c r="AV1238" s="190">
        <f t="shared" si="360"/>
        <v>0</v>
      </c>
      <c r="AW1238" s="191" t="s">
        <v>115</v>
      </c>
      <c r="AX1238" s="407"/>
      <c r="AY1238" s="407"/>
      <c r="AZ1238" s="407"/>
      <c r="BA1238" s="407"/>
      <c r="BB1238" s="407"/>
      <c r="BC1238" s="407"/>
      <c r="BD1238" s="407"/>
      <c r="BE1238" s="407"/>
      <c r="BF1238" s="422"/>
      <c r="BG1238" s="391">
        <f>SUM($AV$4:AV1238)</f>
        <v>4229.2478140400135</v>
      </c>
      <c r="BH1238" s="392">
        <f>SUM($AU$134:AU1238)</f>
        <v>19564.794000000373</v>
      </c>
      <c r="BI1238" s="318">
        <f>SUMIFS($AU$134:AU1239,$Q$134:Q1239,"F")</f>
        <v>7654.5333333333328</v>
      </c>
      <c r="BJ1238" s="318">
        <f>SUMIFS($AU$134:AU1239,$Q$134:Q1239,"S")</f>
        <v>14799.642</v>
      </c>
      <c r="BK1238" s="343">
        <f>SUMIFS($AU$134:AU1239,$P$134:P1239,"W")</f>
        <v>11646.941999999943</v>
      </c>
      <c r="BL1238" s="343">
        <f>SUMIFS($AU$134:AU1239,$P$134:P1239,"R")</f>
        <v>10612.673333333321</v>
      </c>
      <c r="BM1238" s="343">
        <f>SUMIFS($AU$134:AU1239,$AQ$134:AQ1239,"M")</f>
        <v>2910.0300000001498</v>
      </c>
      <c r="BN1238" s="343">
        <f>SUMIFS($AU$134:AU1239,$AQ$134:AQ1239,"H")</f>
        <v>9257.3420000000642</v>
      </c>
      <c r="BO1238" s="343">
        <f>SUMIFS($AU$134:AU1239,$AQ$134:AQ1239,"D")</f>
        <v>3698.236666666764</v>
      </c>
      <c r="BP1238" s="343">
        <f>SUMIFS($AU$134:AU1241,$AQ$134:AQ1241,"W")</f>
        <v>3191.7633333332024</v>
      </c>
      <c r="BQ1238" s="343">
        <f>SUMIFS($AU$134:AU1239,$Q$134:Q1239,"O")</f>
        <v>-2016.5813333329609</v>
      </c>
      <c r="BR1238" s="343">
        <f>SUMIFS($AU$134:AU1239,$AA$134:AA1239,"*")</f>
        <v>19445.305333333465</v>
      </c>
      <c r="BS1238" s="343">
        <f>SUMIFS($AU$134:AU1239,$AB$134:AB1239,"*")</f>
        <v>3053.9886666669622</v>
      </c>
      <c r="BT1238" s="343">
        <f>SUMIFS($AU$134:AU1239,$AC$134:AC1239,"*")</f>
        <v>11719.683333333332</v>
      </c>
      <c r="BU1238" s="343">
        <f>SUMIFS($AU$134:AU1239,$AA$134:AA1239,"*",$AB$134:AB1239,"*")</f>
        <v>2490.0000000000546</v>
      </c>
      <c r="BV1238" s="343">
        <f>SUMIFS($AU$134:AU1239,$AA$134:AA1239,"*",$AC$134:AC1239,"*")</f>
        <v>9628.7833333333328</v>
      </c>
      <c r="BW1238" s="343">
        <f>SUMIFS($AU$134:AU1239,$AB$134:AB1239,"*",$AC$134:AC1239,"*")</f>
        <v>6206.6</v>
      </c>
      <c r="BX1238" s="343">
        <f>SUMIFS($AU1239:AU$1388,$Q1239:Q$1388,"F")</f>
        <v>7554.1333333333323</v>
      </c>
      <c r="BY1238" s="343">
        <f>SUMIFS($AU1239:AU$1388,$Q1239:Q$1388,"S")</f>
        <v>5872</v>
      </c>
      <c r="BZ1238" s="343">
        <f>SUMIFS($AU1239:AU$1388,$Q1239:Q$1388,"O")</f>
        <v>367.72333333316226</v>
      </c>
    </row>
    <row r="1239" spans="1:78" ht="15.75" customHeight="1">
      <c r="A1239" s="221" t="s">
        <v>4220</v>
      </c>
      <c r="B1239" s="177">
        <v>45237</v>
      </c>
      <c r="C1239" s="178" t="s">
        <v>682</v>
      </c>
      <c r="D1239" s="178" t="s">
        <v>146</v>
      </c>
      <c r="E1239" s="227"/>
      <c r="F1239" s="180"/>
      <c r="G1239" s="484" t="s">
        <v>3766</v>
      </c>
      <c r="H1239" s="182"/>
      <c r="I1239" s="182"/>
      <c r="J1239" s="182"/>
      <c r="K1239" s="183"/>
      <c r="L1239" s="182">
        <v>1</v>
      </c>
      <c r="M1239" s="182"/>
      <c r="N1239" s="182"/>
      <c r="O1239" s="183" t="s">
        <v>95</v>
      </c>
      <c r="P1239" s="183" t="s">
        <v>137</v>
      </c>
      <c r="Q1239" s="183" t="s">
        <v>256</v>
      </c>
      <c r="R1239" s="183">
        <v>24</v>
      </c>
      <c r="S1239" s="183">
        <v>0</v>
      </c>
      <c r="T1239" s="183">
        <v>20</v>
      </c>
      <c r="U1239" s="183" t="s">
        <v>22</v>
      </c>
      <c r="V1239" s="183"/>
      <c r="W1239" s="183"/>
      <c r="X1239" s="183"/>
      <c r="Y1239" s="184">
        <f>IF(ISBLANK(O1239),"",(IF(O1239=UPPER("IB"),0.005,0.01)))</f>
        <v>0.01</v>
      </c>
      <c r="Z1239" s="185">
        <f>IF(ISBLANK(O1239),"",IF(O1239="IB",8.63*200,IF(O1239="IR",16*100,IF(O1239="YT",20*100,IF(O1239="YT-XT",24*200,IF(O1239="TED",80*100))))))</f>
        <v>1600</v>
      </c>
      <c r="AA1239" s="185" t="s">
        <v>4266</v>
      </c>
      <c r="AB1239" s="185"/>
      <c r="AC1239" s="185"/>
      <c r="AD1239" s="649">
        <v>-0.02</v>
      </c>
      <c r="AE1239" s="182"/>
      <c r="AF1239" s="332"/>
      <c r="AG1239" s="182"/>
      <c r="AH1239" s="182"/>
      <c r="AI1239" s="182"/>
      <c r="AJ1239" s="640"/>
      <c r="AK1239" s="182"/>
      <c r="AL1239" s="496">
        <f t="shared" ref="AL1239:AL1244" si="363">-0.03*Z1239</f>
        <v>-48</v>
      </c>
      <c r="AM1239" s="496">
        <f t="shared" si="362"/>
        <v>-1152</v>
      </c>
      <c r="AN1239" s="626"/>
      <c r="AO1239" s="182"/>
      <c r="AP1239" s="182" t="s">
        <v>770</v>
      </c>
      <c r="AQ1239" s="332" t="str">
        <f>UPPER(RIGHT(Journal_Live[[#This Row],[DURATION ]]))</f>
        <v>D</v>
      </c>
      <c r="AR1239" s="182" t="s">
        <v>4333</v>
      </c>
      <c r="AS1239" s="189">
        <v>0</v>
      </c>
      <c r="AT1239" s="189">
        <f t="shared" si="358"/>
        <v>0.02</v>
      </c>
      <c r="AU1239" s="187">
        <f t="shared" si="359"/>
        <v>768</v>
      </c>
      <c r="AV1239" s="190">
        <f t="shared" si="360"/>
        <v>32</v>
      </c>
      <c r="AW1239" s="191" t="s">
        <v>96</v>
      </c>
      <c r="AX1239" s="407" t="s">
        <v>2897</v>
      </c>
      <c r="AY1239" s="407"/>
      <c r="AZ1239" s="407"/>
      <c r="BA1239" s="407"/>
      <c r="BB1239" s="407"/>
      <c r="BC1239" s="407"/>
      <c r="BD1239" s="407"/>
      <c r="BE1239" s="407"/>
      <c r="BF1239" s="422"/>
      <c r="BG1239" s="391">
        <f>SUM($AV$4:AV1239)</f>
        <v>4261.2478140400135</v>
      </c>
      <c r="BH1239" s="392">
        <f>SUM($AU$134:AU1239)</f>
        <v>20332.794000000373</v>
      </c>
      <c r="BI1239" s="318">
        <f>SUMIFS($AU$134:AU1240,$Q$134:Q1240,"F")</f>
        <v>7654.5333333333328</v>
      </c>
      <c r="BJ1239" s="318">
        <f>SUMIFS($AU$134:AU1240,$Q$134:Q1240,"S")</f>
        <v>14831.642</v>
      </c>
      <c r="BK1239" s="343">
        <f>SUMIFS($AU$134:AU1240,$P$134:P1240,"W")</f>
        <v>11646.941999999943</v>
      </c>
      <c r="BL1239" s="343">
        <f>SUMIFS($AU$134:AU1240,$P$134:P1240,"R")</f>
        <v>10644.673333333321</v>
      </c>
      <c r="BM1239" s="343">
        <f>SUMIFS($AU$134:AU1240,$AQ$134:AQ1240,"M")</f>
        <v>2910.0300000001498</v>
      </c>
      <c r="BN1239" s="343">
        <f>SUMIFS($AU$134:AU1240,$AQ$134:AQ1240,"H")</f>
        <v>9257.3420000000642</v>
      </c>
      <c r="BO1239" s="343">
        <f>SUMIFS($AU$134:AU1240,$AQ$134:AQ1240,"D")</f>
        <v>3730.236666666764</v>
      </c>
      <c r="BP1239" s="343">
        <f>SUMIFS($AU$134:AU1242,$AQ$134:AQ1242,"W")</f>
        <v>3191.7633333332024</v>
      </c>
      <c r="BQ1239" s="343">
        <f>SUMIFS($AU$134:AU1240,$Q$134:Q1240,"O")</f>
        <v>-2016.5813333329609</v>
      </c>
      <c r="BR1239" s="343">
        <f>SUMIFS($AU$134:AU1240,$AA$134:AA1240,"*")</f>
        <v>19477.305333333465</v>
      </c>
      <c r="BS1239" s="343">
        <f>SUMIFS($AU$134:AU1240,$AB$134:AB1240,"*")</f>
        <v>3053.9886666669622</v>
      </c>
      <c r="BT1239" s="343">
        <f>SUMIFS($AU$134:AU1240,$AC$134:AC1240,"*")</f>
        <v>11719.683333333332</v>
      </c>
      <c r="BU1239" s="343">
        <f>SUMIFS($AU$134:AU1240,$AA$134:AA1240,"*",$AB$134:AB1240,"*")</f>
        <v>2490.0000000000546</v>
      </c>
      <c r="BV1239" s="343">
        <f>SUMIFS($AU$134:AU1240,$AA$134:AA1240,"*",$AC$134:AC1240,"*")</f>
        <v>9628.7833333333328</v>
      </c>
      <c r="BW1239" s="343">
        <f>SUMIFS($AU$134:AU1240,$AB$134:AB1240,"*",$AC$134:AC1240,"*")</f>
        <v>6206.6</v>
      </c>
      <c r="BX1239" s="343">
        <f>SUMIFS($AU1240:AU$1388,$Q1240:Q$1388,"F")</f>
        <v>6786.1333333333323</v>
      </c>
      <c r="BY1239" s="343">
        <f>SUMIFS($AU1240:AU$1388,$Q1240:Q$1388,"S")</f>
        <v>5872</v>
      </c>
      <c r="BZ1239" s="343">
        <f>SUMIFS($AU1240:AU$1388,$Q1240:Q$1388,"O")</f>
        <v>367.72333333316226</v>
      </c>
    </row>
    <row r="1240" spans="1:78" ht="15.75" customHeight="1">
      <c r="A1240" s="221" t="s">
        <v>4220</v>
      </c>
      <c r="B1240" s="177">
        <v>45237</v>
      </c>
      <c r="C1240" s="178" t="s">
        <v>682</v>
      </c>
      <c r="D1240" s="178" t="s">
        <v>146</v>
      </c>
      <c r="E1240" s="227"/>
      <c r="F1240" s="180"/>
      <c r="G1240" s="281" t="s">
        <v>2070</v>
      </c>
      <c r="H1240" s="182"/>
      <c r="I1240" s="182"/>
      <c r="J1240" s="182"/>
      <c r="K1240" s="183"/>
      <c r="L1240" s="182">
        <v>1</v>
      </c>
      <c r="M1240" s="182"/>
      <c r="N1240" s="182"/>
      <c r="O1240" s="183" t="s">
        <v>95</v>
      </c>
      <c r="P1240" s="183" t="s">
        <v>137</v>
      </c>
      <c r="Q1240" s="183" t="s">
        <v>97</v>
      </c>
      <c r="R1240" s="183">
        <v>2</v>
      </c>
      <c r="S1240" s="183">
        <v>0</v>
      </c>
      <c r="T1240" s="183">
        <v>2</v>
      </c>
      <c r="U1240" s="183" t="s">
        <v>97</v>
      </c>
      <c r="V1240" s="183"/>
      <c r="W1240" s="183"/>
      <c r="X1240" s="183"/>
      <c r="Y1240" s="184">
        <f>IF(ISBLANK(O1240),"",(IF(O1240=UPPER("IB"),0.005,0.01)))</f>
        <v>0.01</v>
      </c>
      <c r="Z1240" s="185">
        <f>IF(ISBLANK(O1240),"",IF(O1240="IB",8.63*200,IF(O1240="IR",16*100,IF(O1240="YT",20*100,IF(O1240="YT-XT",24*200,IF(O1240="TED",80*100))))))</f>
        <v>1600</v>
      </c>
      <c r="AA1240" s="185" t="s">
        <v>4334</v>
      </c>
      <c r="AB1240" s="185"/>
      <c r="AC1240" s="185"/>
      <c r="AD1240" s="649">
        <v>-0.09</v>
      </c>
      <c r="AE1240" s="182"/>
      <c r="AF1240" s="332"/>
      <c r="AG1240" s="182"/>
      <c r="AH1240" s="182"/>
      <c r="AI1240" s="182"/>
      <c r="AJ1240" s="640"/>
      <c r="AK1240" s="182"/>
      <c r="AL1240" s="496">
        <f t="shared" si="363"/>
        <v>-48</v>
      </c>
      <c r="AM1240" s="496">
        <f t="shared" si="362"/>
        <v>-96</v>
      </c>
      <c r="AN1240" s="626"/>
      <c r="AO1240" s="182"/>
      <c r="AP1240" s="182" t="s">
        <v>770</v>
      </c>
      <c r="AQ1240" s="332" t="str">
        <f>UPPER(RIGHT(Journal_Live[[#This Row],[DURATION ]]))</f>
        <v>D</v>
      </c>
      <c r="AR1240" s="182" t="s">
        <v>4335</v>
      </c>
      <c r="AS1240" s="189">
        <v>-0.1</v>
      </c>
      <c r="AT1240" s="189">
        <f t="shared" si="358"/>
        <v>1.0000000000000009E-2</v>
      </c>
      <c r="AU1240" s="187">
        <f t="shared" si="359"/>
        <v>32.000000000000028</v>
      </c>
      <c r="AV1240" s="190">
        <f t="shared" si="360"/>
        <v>16.000000000000014</v>
      </c>
      <c r="AW1240" s="191" t="s">
        <v>96</v>
      </c>
      <c r="AX1240" s="407"/>
      <c r="AY1240" s="407"/>
      <c r="AZ1240" s="407"/>
      <c r="BA1240" s="407"/>
      <c r="BB1240" s="407"/>
      <c r="BC1240" s="407"/>
      <c r="BD1240" s="407"/>
      <c r="BE1240" s="407"/>
      <c r="BF1240" s="422"/>
      <c r="BG1240" s="391">
        <f>SUM($AV$4:AV1240)</f>
        <v>4277.2478140400135</v>
      </c>
      <c r="BH1240" s="392">
        <f>SUM($AU$134:AU1240)</f>
        <v>20364.794000000373</v>
      </c>
      <c r="BI1240" s="318">
        <f>SUMIFS($AU$134:AU1241,$Q$134:Q1241,"F")</f>
        <v>7654.5333333333328</v>
      </c>
      <c r="BJ1240" s="318">
        <f>SUMIFS($AU$134:AU1241,$Q$134:Q1241,"S")</f>
        <v>14991.642</v>
      </c>
      <c r="BK1240" s="343">
        <f>SUMIFS($AU$134:AU1241,$P$134:P1241,"W")</f>
        <v>11806.941999999943</v>
      </c>
      <c r="BL1240" s="343">
        <f>SUMIFS($AU$134:AU1241,$P$134:P1241,"R")</f>
        <v>10644.673333333321</v>
      </c>
      <c r="BM1240" s="343">
        <f>SUMIFS($AU$134:AU1241,$AQ$134:AQ1241,"M")</f>
        <v>2910.0300000001498</v>
      </c>
      <c r="BN1240" s="343">
        <f>SUMIFS($AU$134:AU1241,$AQ$134:AQ1241,"H")</f>
        <v>9417.3420000000642</v>
      </c>
      <c r="BO1240" s="343">
        <f>SUMIFS($AU$134:AU1241,$AQ$134:AQ1241,"D")</f>
        <v>3730.236666666764</v>
      </c>
      <c r="BP1240" s="343">
        <f>SUMIFS($AU$134:AU1243,$AQ$134:AQ1243,"W")</f>
        <v>3191.7633333332024</v>
      </c>
      <c r="BQ1240" s="343">
        <f>SUMIFS($AU$134:AU1241,$Q$134:Q1241,"O")</f>
        <v>-2016.5813333329609</v>
      </c>
      <c r="BR1240" s="343">
        <f>SUMIFS($AU$134:AU1241,$AA$134:AA1241,"*")</f>
        <v>19637.305333333465</v>
      </c>
      <c r="BS1240" s="343">
        <f>SUMIFS($AU$134:AU1241,$AB$134:AB1241,"*")</f>
        <v>3053.9886666669622</v>
      </c>
      <c r="BT1240" s="343">
        <f>SUMIFS($AU$134:AU1241,$AC$134:AC1241,"*")</f>
        <v>11719.683333333332</v>
      </c>
      <c r="BU1240" s="343">
        <f>SUMIFS($AU$134:AU1241,$AA$134:AA1241,"*",$AB$134:AB1241,"*")</f>
        <v>2490.0000000000546</v>
      </c>
      <c r="BV1240" s="343">
        <f>SUMIFS($AU$134:AU1241,$AA$134:AA1241,"*",$AC$134:AC1241,"*")</f>
        <v>9628.7833333333328</v>
      </c>
      <c r="BW1240" s="343">
        <f>SUMIFS($AU$134:AU1241,$AB$134:AB1241,"*",$AC$134:AC1241,"*")</f>
        <v>6206.6</v>
      </c>
      <c r="BX1240" s="343">
        <f>SUMIFS($AU1241:AU$1388,$Q1241:Q$1388,"F")</f>
        <v>6786.1333333333323</v>
      </c>
      <c r="BY1240" s="343">
        <f>SUMIFS($AU1241:AU$1388,$Q1241:Q$1388,"S")</f>
        <v>5840</v>
      </c>
      <c r="BZ1240" s="343">
        <f>SUMIFS($AU1241:AU$1388,$Q1241:Q$1388,"O")</f>
        <v>367.72333333316226</v>
      </c>
    </row>
    <row r="1241" spans="1:78" ht="15.75" customHeight="1">
      <c r="A1241" s="221" t="s">
        <v>4220</v>
      </c>
      <c r="B1241" s="177">
        <v>45239</v>
      </c>
      <c r="C1241" s="178" t="s">
        <v>4221</v>
      </c>
      <c r="D1241" s="178" t="s">
        <v>93</v>
      </c>
      <c r="E1241" s="227"/>
      <c r="F1241" s="180"/>
      <c r="G1241" s="281" t="s">
        <v>181</v>
      </c>
      <c r="H1241" s="182"/>
      <c r="I1241" s="182"/>
      <c r="J1241" s="182"/>
      <c r="K1241" s="183"/>
      <c r="L1241" s="182">
        <v>1</v>
      </c>
      <c r="M1241" s="182"/>
      <c r="N1241" s="182"/>
      <c r="O1241" s="183" t="s">
        <v>95</v>
      </c>
      <c r="P1241" s="183" t="s">
        <v>96</v>
      </c>
      <c r="Q1241" s="183" t="s">
        <v>97</v>
      </c>
      <c r="R1241" s="183">
        <v>10</v>
      </c>
      <c r="S1241" s="183">
        <v>0</v>
      </c>
      <c r="T1241" s="183">
        <v>10</v>
      </c>
      <c r="U1241" s="183" t="s">
        <v>22</v>
      </c>
      <c r="V1241" s="183"/>
      <c r="W1241" s="183"/>
      <c r="X1241" s="183"/>
      <c r="Y1241" s="184">
        <f>IF(ISBLANK(O1241),"",(IF(O1241=UPPER("IB"),0.005,0.01)))</f>
        <v>0.01</v>
      </c>
      <c r="Z1241" s="185">
        <f>IF(ISBLANK(O1241),"",IF(O1241="IB",8.63*200,IF(O1241="IR",16*100,IF(O1241="YT",20*100,IF(O1241="YT-XT",24*200,IF(O1241="TED",80*100))))))</f>
        <v>1600</v>
      </c>
      <c r="AA1241" s="185" t="s">
        <v>99</v>
      </c>
      <c r="AB1241" s="185"/>
      <c r="AC1241" s="185"/>
      <c r="AD1241" s="649">
        <v>0.01</v>
      </c>
      <c r="AE1241" s="182"/>
      <c r="AF1241" s="332"/>
      <c r="AG1241" s="182"/>
      <c r="AH1241" s="182"/>
      <c r="AI1241" s="182"/>
      <c r="AJ1241" s="640"/>
      <c r="AK1241" s="182"/>
      <c r="AL1241" s="496">
        <f t="shared" si="363"/>
        <v>-48</v>
      </c>
      <c r="AM1241" s="496">
        <f t="shared" si="362"/>
        <v>-480</v>
      </c>
      <c r="AN1241" s="626"/>
      <c r="AO1241" s="182"/>
      <c r="AP1241" s="182" t="s">
        <v>937</v>
      </c>
      <c r="AQ1241" s="332" t="str">
        <f>UPPER(RIGHT(Journal_Live[[#This Row],[DURATION ]]))</f>
        <v>H</v>
      </c>
      <c r="AR1241" s="182" t="s">
        <v>4336</v>
      </c>
      <c r="AS1241" s="189">
        <v>0.02</v>
      </c>
      <c r="AT1241" s="189">
        <f t="shared" si="358"/>
        <v>0.01</v>
      </c>
      <c r="AU1241" s="187">
        <f t="shared" si="359"/>
        <v>160</v>
      </c>
      <c r="AV1241" s="190">
        <f t="shared" si="360"/>
        <v>16</v>
      </c>
      <c r="AW1241" s="191" t="s">
        <v>96</v>
      </c>
      <c r="AX1241" s="407" t="s">
        <v>4337</v>
      </c>
      <c r="AY1241" s="407" t="s">
        <v>4338</v>
      </c>
      <c r="AZ1241" s="407" t="s">
        <v>4339</v>
      </c>
      <c r="BA1241" s="407" t="s">
        <v>4340</v>
      </c>
      <c r="BB1241" s="407" t="s">
        <v>4341</v>
      </c>
      <c r="BC1241" s="407" t="s">
        <v>4342</v>
      </c>
      <c r="BD1241" s="407"/>
      <c r="BE1241" s="407"/>
      <c r="BF1241" s="422"/>
      <c r="BG1241" s="391">
        <f>SUM($AV$4:AV1241)</f>
        <v>4293.2478140400135</v>
      </c>
      <c r="BH1241" s="392">
        <f>SUM($AU$134:AU1241)</f>
        <v>20524.794000000373</v>
      </c>
      <c r="BI1241" s="318">
        <f>SUMIFS($AU$134:AU1242,$Q$134:Q1242,"F")</f>
        <v>7654.5333333333328</v>
      </c>
      <c r="BJ1241" s="318">
        <f>SUMIFS($AU$134:AU1242,$Q$134:Q1242,"S")</f>
        <v>14991.642</v>
      </c>
      <c r="BK1241" s="343">
        <f>SUMIFS($AU$134:AU1242,$P$134:P1242,"W")</f>
        <v>11806.941999999943</v>
      </c>
      <c r="BL1241" s="343">
        <f>SUMIFS($AU$134:AU1242,$P$134:P1242,"R")</f>
        <v>10644.673333333321</v>
      </c>
      <c r="BM1241" s="343">
        <f>SUMIFS($AU$134:AU1242,$AQ$134:AQ1242,"M")</f>
        <v>2910.0300000001498</v>
      </c>
      <c r="BN1241" s="343">
        <f>SUMIFS($AU$134:AU1242,$AQ$134:AQ1242,"H")</f>
        <v>9417.3420000000642</v>
      </c>
      <c r="BO1241" s="343">
        <f>SUMIFS($AU$134:AU1242,$AQ$134:AQ1242,"D")</f>
        <v>3730.236666666764</v>
      </c>
      <c r="BP1241" s="343">
        <f>SUMIFS($AU$134:AU1244,$AQ$134:AQ1244,"W")</f>
        <v>3191.7633333332024</v>
      </c>
      <c r="BQ1241" s="343">
        <f>SUMIFS($AU$134:AU1242,$Q$134:Q1242,"O")</f>
        <v>-2016.5813333329609</v>
      </c>
      <c r="BR1241" s="343">
        <f>SUMIFS($AU$134:AU1242,$AA$134:AA1242,"*")</f>
        <v>19637.305333333465</v>
      </c>
      <c r="BS1241" s="343">
        <f>SUMIFS($AU$134:AU1242,$AB$134:AB1242,"*")</f>
        <v>3053.9886666669622</v>
      </c>
      <c r="BT1241" s="343">
        <f>SUMIFS($AU$134:AU1242,$AC$134:AC1242,"*")</f>
        <v>11719.683333333332</v>
      </c>
      <c r="BU1241" s="343">
        <f>SUMIFS($AU$134:AU1242,$AA$134:AA1242,"*",$AB$134:AB1242,"*")</f>
        <v>2490.0000000000546</v>
      </c>
      <c r="BV1241" s="343">
        <f>SUMIFS($AU$134:AU1242,$AA$134:AA1242,"*",$AC$134:AC1242,"*")</f>
        <v>9628.7833333333328</v>
      </c>
      <c r="BW1241" s="343">
        <f>SUMIFS($AU$134:AU1242,$AB$134:AB1242,"*",$AC$134:AC1242,"*")</f>
        <v>6206.6</v>
      </c>
      <c r="BX1241" s="343">
        <f>SUMIFS($AU1242:AU$1388,$Q1242:Q$1388,"F")</f>
        <v>6786.1333333333323</v>
      </c>
      <c r="BY1241" s="343">
        <f>SUMIFS($AU1242:AU$1388,$Q1242:Q$1388,"S")</f>
        <v>5680</v>
      </c>
      <c r="BZ1241" s="343">
        <f>SUMIFS($AU1242:AU$1388,$Q1242:Q$1388,"O")</f>
        <v>367.72333333316226</v>
      </c>
    </row>
    <row r="1242" spans="1:78" ht="15.75" customHeight="1">
      <c r="A1242" s="221" t="s">
        <v>4220</v>
      </c>
      <c r="B1242" s="200"/>
      <c r="C1242" s="178"/>
      <c r="D1242" s="178"/>
      <c r="E1242" s="227"/>
      <c r="F1242" s="180"/>
      <c r="G1242" s="181"/>
      <c r="H1242" s="182"/>
      <c r="I1242" s="182"/>
      <c r="J1242" s="182"/>
      <c r="K1242" s="183"/>
      <c r="L1242" s="182"/>
      <c r="M1242" s="182"/>
      <c r="N1242" s="182"/>
      <c r="O1242" s="183"/>
      <c r="P1242" s="183"/>
      <c r="Q1242" s="183"/>
      <c r="R1242" s="183"/>
      <c r="S1242" s="183"/>
      <c r="T1242" s="183"/>
      <c r="U1242" s="183"/>
      <c r="V1242" s="183"/>
      <c r="W1242" s="183"/>
      <c r="X1242" s="183"/>
      <c r="Y1242" s="274"/>
      <c r="Z1242" s="183"/>
      <c r="AA1242" s="185"/>
      <c r="AB1242" s="185"/>
      <c r="AC1242" s="185"/>
      <c r="AD1242" s="649"/>
      <c r="AE1242" s="182"/>
      <c r="AF1242" s="332"/>
      <c r="AG1242" s="182"/>
      <c r="AH1242" s="182"/>
      <c r="AI1242" s="182"/>
      <c r="AJ1242" s="640"/>
      <c r="AK1242" s="182"/>
      <c r="AL1242" s="496"/>
      <c r="AM1242" s="496"/>
      <c r="AN1242" s="626"/>
      <c r="AO1242" s="182"/>
      <c r="AP1242" s="182"/>
      <c r="AQ1242" s="332" t="str">
        <f>UPPER(RIGHT(Journal_Live[[#This Row],[DURATION ]]))</f>
        <v/>
      </c>
      <c r="AR1242" s="182"/>
      <c r="AS1242" s="189"/>
      <c r="AT1242" s="189">
        <f t="shared" si="358"/>
        <v>0</v>
      </c>
      <c r="AU1242" s="187">
        <f t="shared" si="359"/>
        <v>0</v>
      </c>
      <c r="AV1242" s="190">
        <f t="shared" si="360"/>
        <v>0</v>
      </c>
      <c r="AW1242" s="191"/>
      <c r="AX1242" s="407" t="s">
        <v>4343</v>
      </c>
      <c r="AY1242" s="407" t="s">
        <v>4344</v>
      </c>
      <c r="AZ1242" s="407" t="s">
        <v>4345</v>
      </c>
      <c r="BA1242" s="407" t="s">
        <v>4346</v>
      </c>
      <c r="BB1242" s="407" t="s">
        <v>4347</v>
      </c>
      <c r="BC1242" s="407" t="s">
        <v>4348</v>
      </c>
      <c r="BD1242" s="407" t="s">
        <v>4349</v>
      </c>
      <c r="BE1242" s="407" t="s">
        <v>4350</v>
      </c>
      <c r="BF1242" s="422"/>
      <c r="BG1242" s="391"/>
      <c r="BH1242" s="392">
        <f>SUM($AU$134:AU1242)</f>
        <v>20524.794000000373</v>
      </c>
      <c r="BI1242" s="318">
        <f>SUMIFS($AU$134:AU1243,$Q$134:Q1243,"F")</f>
        <v>7654.5333333333328</v>
      </c>
      <c r="BJ1242" s="318">
        <f>SUMIFS($AU$134:AU1243,$Q$134:Q1243,"S")</f>
        <v>14991.642</v>
      </c>
      <c r="BK1242" s="343">
        <f>SUMIFS($AU$134:AU1243,$P$134:P1243,"W")</f>
        <v>11806.941999999943</v>
      </c>
      <c r="BL1242" s="343">
        <f>SUMIFS($AU$134:AU1243,$P$134:P1243,"R")</f>
        <v>10644.673333333321</v>
      </c>
      <c r="BM1242" s="343">
        <f>SUMIFS($AU$134:AU1243,$AQ$134:AQ1243,"M")</f>
        <v>2910.0300000001498</v>
      </c>
      <c r="BN1242" s="343">
        <f>SUMIFS($AU$134:AU1243,$AQ$134:AQ1243,"H")</f>
        <v>9417.3420000000642</v>
      </c>
      <c r="BO1242" s="343">
        <f>SUMIFS($AU$134:AU1243,$AQ$134:AQ1243,"D")</f>
        <v>3730.236666666764</v>
      </c>
      <c r="BP1242" s="343">
        <f>SUMIFS($AU$134:AU1245,$AQ$134:AQ1245,"W")</f>
        <v>3191.7633333332024</v>
      </c>
      <c r="BQ1242" s="343">
        <f>SUMIFS($AU$134:AU1243,$Q$134:Q1243,"O")</f>
        <v>-2016.5813333329609</v>
      </c>
      <c r="BR1242" s="343">
        <f>SUMIFS($AU$134:AU1243,$AA$134:AA1243,"*")</f>
        <v>19637.305333333465</v>
      </c>
      <c r="BS1242" s="343">
        <f>SUMIFS($AU$134:AU1243,$AB$134:AB1243,"*")</f>
        <v>3053.9886666669622</v>
      </c>
      <c r="BT1242" s="343">
        <f>SUMIFS($AU$134:AU1243,$AC$134:AC1243,"*")</f>
        <v>11719.683333333332</v>
      </c>
      <c r="BU1242" s="343">
        <f>SUMIFS($AU$134:AU1243,$AA$134:AA1243,"*",$AB$134:AB1243,"*")</f>
        <v>2490.0000000000546</v>
      </c>
      <c r="BV1242" s="343">
        <f>SUMIFS($AU$134:AU1243,$AA$134:AA1243,"*",$AC$134:AC1243,"*")</f>
        <v>9628.7833333333328</v>
      </c>
      <c r="BW1242" s="343">
        <f>SUMIFS($AU$134:AU1243,$AB$134:AB1243,"*",$AC$134:AC1243,"*")</f>
        <v>6206.6</v>
      </c>
      <c r="BX1242" s="343">
        <f>SUMIFS($AU1243:AU$1388,$Q1243:Q$1388,"F")</f>
        <v>6786.1333333333323</v>
      </c>
      <c r="BY1242" s="343">
        <f>SUMIFS($AU1243:AU$1388,$Q1243:Q$1388,"S")</f>
        <v>5680</v>
      </c>
      <c r="BZ1242" s="343">
        <f>SUMIFS($AU1243:AU$1388,$Q1243:Q$1388,"O")</f>
        <v>367.72333333316226</v>
      </c>
    </row>
    <row r="1243" spans="1:78" ht="15.75" customHeight="1">
      <c r="A1243" s="221" t="s">
        <v>4220</v>
      </c>
      <c r="B1243" s="200"/>
      <c r="C1243" s="178"/>
      <c r="D1243" s="178"/>
      <c r="E1243" s="227"/>
      <c r="F1243" s="180"/>
      <c r="G1243" s="181"/>
      <c r="H1243" s="182"/>
      <c r="I1243" s="182"/>
      <c r="J1243" s="182"/>
      <c r="K1243" s="183"/>
      <c r="L1243" s="182"/>
      <c r="M1243" s="182"/>
      <c r="N1243" s="182"/>
      <c r="O1243" s="183"/>
      <c r="P1243" s="183"/>
      <c r="Q1243" s="183"/>
      <c r="R1243" s="183"/>
      <c r="S1243" s="183"/>
      <c r="T1243" s="183"/>
      <c r="U1243" s="183"/>
      <c r="V1243" s="183"/>
      <c r="W1243" s="183"/>
      <c r="X1243" s="183"/>
      <c r="Y1243" s="274"/>
      <c r="Z1243" s="183"/>
      <c r="AA1243" s="185"/>
      <c r="AB1243" s="185"/>
      <c r="AC1243" s="185"/>
      <c r="AD1243" s="649"/>
      <c r="AE1243" s="182"/>
      <c r="AF1243" s="332"/>
      <c r="AG1243" s="182"/>
      <c r="AH1243" s="182"/>
      <c r="AI1243" s="182"/>
      <c r="AJ1243" s="640"/>
      <c r="AK1243" s="182"/>
      <c r="AL1243" s="496"/>
      <c r="AM1243" s="496"/>
      <c r="AN1243" s="626"/>
      <c r="AO1243" s="182"/>
      <c r="AP1243" s="182"/>
      <c r="AQ1243" s="332" t="str">
        <f>UPPER(RIGHT(Journal_Live[[#This Row],[DURATION ]]))</f>
        <v/>
      </c>
      <c r="AR1243" s="182"/>
      <c r="AS1243" s="189"/>
      <c r="AT1243" s="189">
        <f t="shared" si="358"/>
        <v>0</v>
      </c>
      <c r="AU1243" s="187">
        <f t="shared" si="359"/>
        <v>0</v>
      </c>
      <c r="AV1243" s="190">
        <f t="shared" si="360"/>
        <v>0</v>
      </c>
      <c r="AW1243" s="191"/>
      <c r="AX1243" s="407" t="s">
        <v>4351</v>
      </c>
      <c r="AY1243" s="407" t="s">
        <v>4352</v>
      </c>
      <c r="AZ1243" s="407" t="s">
        <v>4353</v>
      </c>
      <c r="BA1243" s="407"/>
      <c r="BB1243" s="407"/>
      <c r="BC1243" s="407"/>
      <c r="BD1243" s="407"/>
      <c r="BE1243" s="407"/>
      <c r="BF1243" s="422"/>
      <c r="BG1243" s="391"/>
      <c r="BH1243" s="392">
        <f>SUM($AU$134:AU1243)</f>
        <v>20524.794000000373</v>
      </c>
      <c r="BI1243" s="318">
        <f>SUMIFS($AU$134:AU1244,$Q$134:Q1244,"F")</f>
        <v>7718.5333333333328</v>
      </c>
      <c r="BJ1243" s="318">
        <f>SUMIFS($AU$134:AU1244,$Q$134:Q1244,"S")</f>
        <v>14991.642</v>
      </c>
      <c r="BK1243" s="343">
        <f>SUMIFS($AU$134:AU1244,$P$134:P1244,"W")</f>
        <v>11806.941999999943</v>
      </c>
      <c r="BL1243" s="343">
        <f>SUMIFS($AU$134:AU1244,$P$134:P1244,"R")</f>
        <v>10708.673333333321</v>
      </c>
      <c r="BM1243" s="343">
        <f>SUMIFS($AU$134:AU1244,$AQ$134:AQ1244,"M")</f>
        <v>2910.0300000001498</v>
      </c>
      <c r="BN1243" s="343">
        <f>SUMIFS($AU$134:AU1244,$AQ$134:AQ1244,"H")</f>
        <v>9417.3420000000642</v>
      </c>
      <c r="BO1243" s="343">
        <f>SUMIFS($AU$134:AU1244,$AQ$134:AQ1244,"D")</f>
        <v>3794.236666666764</v>
      </c>
      <c r="BP1243" s="343">
        <f>SUMIFS($AU$134:AU1246,$AQ$134:AQ1246,"W")</f>
        <v>3191.7633333332024</v>
      </c>
      <c r="BQ1243" s="343">
        <f>SUMIFS($AU$134:AU1244,$Q$134:Q1244,"O")</f>
        <v>-2016.5813333329609</v>
      </c>
      <c r="BR1243" s="343">
        <f>SUMIFS($AU$134:AU1244,$AA$134:AA1244,"*")</f>
        <v>19701.305333333465</v>
      </c>
      <c r="BS1243" s="343">
        <f>SUMIFS($AU$134:AU1244,$AB$134:AB1244,"*")</f>
        <v>3053.9886666669622</v>
      </c>
      <c r="BT1243" s="343">
        <f>SUMIFS($AU$134:AU1244,$AC$134:AC1244,"*")</f>
        <v>11783.683333333332</v>
      </c>
      <c r="BU1243" s="343">
        <f>SUMIFS($AU$134:AU1244,$AA$134:AA1244,"*",$AB$134:AB1244,"*")</f>
        <v>2490.0000000000546</v>
      </c>
      <c r="BV1243" s="343">
        <f>SUMIFS($AU$134:AU1244,$AA$134:AA1244,"*",$AC$134:AC1244,"*")</f>
        <v>9692.7833333333328</v>
      </c>
      <c r="BW1243" s="343">
        <f>SUMIFS($AU$134:AU1244,$AB$134:AB1244,"*",$AC$134:AC1244,"*")</f>
        <v>6206.6</v>
      </c>
      <c r="BX1243" s="343">
        <f>SUMIFS($AU1244:AU$1388,$Q1244:Q$1388,"F")</f>
        <v>6786.1333333333323</v>
      </c>
      <c r="BY1243" s="343">
        <f>SUMIFS($AU1244:AU$1388,$Q1244:Q$1388,"S")</f>
        <v>5680</v>
      </c>
      <c r="BZ1243" s="343">
        <f>SUMIFS($AU1244:AU$1388,$Q1244:Q$1388,"O")</f>
        <v>367.72333333316226</v>
      </c>
    </row>
    <row r="1244" spans="1:78" ht="15.75" customHeight="1">
      <c r="A1244" s="221" t="s">
        <v>4220</v>
      </c>
      <c r="B1244" s="177">
        <v>45239</v>
      </c>
      <c r="C1244" s="178" t="s">
        <v>4354</v>
      </c>
      <c r="D1244" s="178" t="s">
        <v>93</v>
      </c>
      <c r="E1244" s="227"/>
      <c r="F1244" s="180"/>
      <c r="G1244" s="281" t="s">
        <v>3885</v>
      </c>
      <c r="H1244" s="182"/>
      <c r="I1244" s="182"/>
      <c r="J1244" s="182"/>
      <c r="K1244" s="183"/>
      <c r="L1244" s="182">
        <v>1</v>
      </c>
      <c r="M1244" s="182"/>
      <c r="N1244" s="182"/>
      <c r="O1244" s="183" t="s">
        <v>95</v>
      </c>
      <c r="P1244" s="183" t="s">
        <v>137</v>
      </c>
      <c r="Q1244" s="183" t="s">
        <v>256</v>
      </c>
      <c r="R1244" s="183">
        <v>16</v>
      </c>
      <c r="S1244" s="183">
        <v>16</v>
      </c>
      <c r="T1244" s="183">
        <v>20</v>
      </c>
      <c r="U1244" s="183" t="s">
        <v>22</v>
      </c>
      <c r="V1244" s="183"/>
      <c r="W1244" s="183"/>
      <c r="X1244" s="183"/>
      <c r="Y1244" s="184">
        <f>IF(ISBLANK(O1244),"",(IF(O1244=UPPER("IB"),0.005,0.01)))</f>
        <v>0.01</v>
      </c>
      <c r="Z1244" s="185">
        <f>IF(ISBLANK(O1244),"",IF(O1244="IB",8.63*200,IF(O1244="IR",16*100,IF(O1244="YT",20*100,IF(O1244="YT-XT",24*200,IF(O1244="TED",80*100))))))</f>
        <v>1600</v>
      </c>
      <c r="AA1244" s="185" t="s">
        <v>4355</v>
      </c>
      <c r="AB1244" s="185"/>
      <c r="AC1244" s="185" t="s">
        <v>4356</v>
      </c>
      <c r="AD1244" s="649">
        <f>((-0.03*4)+(-0.02*12))/16</f>
        <v>-2.2499999999999999E-2</v>
      </c>
      <c r="AE1244" s="182"/>
      <c r="AF1244" s="332"/>
      <c r="AG1244" s="182"/>
      <c r="AH1244" s="182">
        <v>-1</v>
      </c>
      <c r="AI1244" s="182"/>
      <c r="AJ1244" s="640"/>
      <c r="AK1244" s="182"/>
      <c r="AL1244" s="496">
        <f t="shared" si="363"/>
        <v>-48</v>
      </c>
      <c r="AM1244" s="496">
        <f>AL1244*(R1244-S1244)</f>
        <v>0</v>
      </c>
      <c r="AN1244" s="626"/>
      <c r="AO1244" s="182"/>
      <c r="AP1244" s="182" t="s">
        <v>804</v>
      </c>
      <c r="AQ1244" s="332" t="str">
        <f>UPPER(RIGHT(Journal_Live[[#This Row],[DURATION ]]))</f>
        <v>D</v>
      </c>
      <c r="AR1244" s="298">
        <v>45240</v>
      </c>
      <c r="AS1244" s="189">
        <f>-0.02</f>
        <v>-0.02</v>
      </c>
      <c r="AT1244" s="189">
        <f t="shared" si="358"/>
        <v>2.4999999999999988E-3</v>
      </c>
      <c r="AU1244" s="187">
        <f t="shared" si="359"/>
        <v>63.999999999999972</v>
      </c>
      <c r="AV1244" s="190">
        <f t="shared" si="360"/>
        <v>3.9999999999999982</v>
      </c>
      <c r="AW1244" s="191" t="s">
        <v>96</v>
      </c>
      <c r="AX1244" s="407"/>
      <c r="AY1244" s="407"/>
      <c r="AZ1244" s="407"/>
      <c r="BA1244" s="407"/>
      <c r="BB1244" s="407"/>
      <c r="BC1244" s="407"/>
      <c r="BD1244" s="407"/>
      <c r="BE1244" s="407"/>
      <c r="BF1244" s="422"/>
      <c r="BG1244" s="391">
        <f>SUM($AV$4:AV1244)</f>
        <v>4297.2478140400135</v>
      </c>
      <c r="BH1244" s="392">
        <f>SUM($AU$134:AU1244)</f>
        <v>20588.794000000373</v>
      </c>
      <c r="BI1244" s="318">
        <f>SUMIFS($AU$134:AU1245,$Q$134:Q1245,"F")</f>
        <v>7718.5333333333328</v>
      </c>
      <c r="BJ1244" s="318">
        <f>SUMIFS($AU$134:AU1245,$Q$134:Q1245,"S")</f>
        <v>14991.642</v>
      </c>
      <c r="BK1244" s="343">
        <f>SUMIFS($AU$134:AU1245,$P$134:P1245,"W")</f>
        <v>11806.941999999943</v>
      </c>
      <c r="BL1244" s="343">
        <f>SUMIFS($AU$134:AU1245,$P$134:P1245,"R")</f>
        <v>10708.673333333321</v>
      </c>
      <c r="BM1244" s="343">
        <f>SUMIFS($AU$134:AU1245,$AQ$134:AQ1245,"M")</f>
        <v>2910.0300000001498</v>
      </c>
      <c r="BN1244" s="343">
        <f>SUMIFS($AU$134:AU1245,$AQ$134:AQ1245,"H")</f>
        <v>9417.3420000000642</v>
      </c>
      <c r="BO1244" s="343">
        <f>SUMIFS($AU$134:AU1245,$AQ$134:AQ1245,"D")</f>
        <v>3794.236666666764</v>
      </c>
      <c r="BP1244" s="343">
        <f>SUMIFS($AU$134:AU1247,$AQ$134:AQ1247,"W")</f>
        <v>3191.7633333332024</v>
      </c>
      <c r="BQ1244" s="343">
        <f>SUMIFS($AU$134:AU1245,$Q$134:Q1245,"O")</f>
        <v>-2016.5813333329609</v>
      </c>
      <c r="BR1244" s="343">
        <f>SUMIFS($AU$134:AU1245,$AA$134:AA1245,"*")</f>
        <v>19701.305333333465</v>
      </c>
      <c r="BS1244" s="343">
        <f>SUMIFS($AU$134:AU1245,$AB$134:AB1245,"*")</f>
        <v>3053.9886666669622</v>
      </c>
      <c r="BT1244" s="343">
        <f>SUMIFS($AU$134:AU1245,$AC$134:AC1245,"*")</f>
        <v>11783.683333333332</v>
      </c>
      <c r="BU1244" s="343">
        <f>SUMIFS($AU$134:AU1245,$AA$134:AA1245,"*",$AB$134:AB1245,"*")</f>
        <v>2490.0000000000546</v>
      </c>
      <c r="BV1244" s="343">
        <f>SUMIFS($AU$134:AU1245,$AA$134:AA1245,"*",$AC$134:AC1245,"*")</f>
        <v>9692.7833333333328</v>
      </c>
      <c r="BW1244" s="343">
        <f>SUMIFS($AU$134:AU1245,$AB$134:AB1245,"*",$AC$134:AC1245,"*")</f>
        <v>6206.6</v>
      </c>
      <c r="BX1244" s="343">
        <f>SUMIFS($AU1245:AU$1388,$Q1245:Q$1388,"F")</f>
        <v>6722.1333333333323</v>
      </c>
      <c r="BY1244" s="343">
        <f>SUMIFS($AU1245:AU$1388,$Q1245:Q$1388,"S")</f>
        <v>5680</v>
      </c>
      <c r="BZ1244" s="343">
        <f>SUMIFS($AU1245:AU$1388,$Q1245:Q$1388,"O")</f>
        <v>367.72333333316226</v>
      </c>
    </row>
    <row r="1245" spans="1:78" ht="15.75" customHeight="1">
      <c r="A1245" s="221" t="s">
        <v>4220</v>
      </c>
      <c r="B1245" s="177">
        <v>45239</v>
      </c>
      <c r="C1245" s="178" t="s">
        <v>4354</v>
      </c>
      <c r="D1245" s="178" t="s">
        <v>93</v>
      </c>
      <c r="E1245" s="227"/>
      <c r="F1245" s="180"/>
      <c r="G1245" s="181" t="s">
        <v>4357</v>
      </c>
      <c r="H1245" s="182"/>
      <c r="I1245" s="182"/>
      <c r="J1245" s="182"/>
      <c r="K1245" s="183"/>
      <c r="L1245" s="182"/>
      <c r="M1245" s="182"/>
      <c r="N1245" s="182"/>
      <c r="O1245" s="183"/>
      <c r="P1245" s="183"/>
      <c r="Q1245" s="183"/>
      <c r="R1245" s="183"/>
      <c r="S1245" s="183"/>
      <c r="T1245" s="183"/>
      <c r="U1245" s="183"/>
      <c r="V1245" s="183"/>
      <c r="W1245" s="183"/>
      <c r="X1245" s="183"/>
      <c r="Y1245" s="184"/>
      <c r="Z1245" s="185"/>
      <c r="AA1245" s="185"/>
      <c r="AB1245" s="185"/>
      <c r="AC1245" s="185"/>
      <c r="AD1245" s="649"/>
      <c r="AE1245" s="182"/>
      <c r="AF1245" s="332"/>
      <c r="AG1245" s="182"/>
      <c r="AH1245" s="407"/>
      <c r="AI1245" s="182"/>
      <c r="AJ1245" s="640"/>
      <c r="AK1245" s="182"/>
      <c r="AL1245" s="496"/>
      <c r="AM1245" s="496"/>
      <c r="AN1245" s="626"/>
      <c r="AO1245" s="182"/>
      <c r="AP1245" s="182"/>
      <c r="AQ1245" s="332" t="str">
        <f>UPPER(RIGHT(Journal_Live[[#This Row],[DURATION ]]))</f>
        <v/>
      </c>
      <c r="AR1245" s="182"/>
      <c r="AS1245" s="189"/>
      <c r="AT1245" s="189"/>
      <c r="AU1245" s="187"/>
      <c r="AV1245" s="190"/>
      <c r="AW1245" s="191"/>
      <c r="AX1245" s="407"/>
      <c r="AY1245" s="407"/>
      <c r="AZ1245" s="407"/>
      <c r="BA1245" s="407"/>
      <c r="BB1245" s="407"/>
      <c r="BC1245" s="407"/>
      <c r="BD1245" s="407"/>
      <c r="BE1245" s="407"/>
      <c r="BF1245" s="422"/>
      <c r="BG1245" s="391">
        <f>SUM($AV$4:AV1245)</f>
        <v>4297.2478140400135</v>
      </c>
      <c r="BH1245" s="392">
        <f>SUM($AU$134:AU1245)</f>
        <v>20588.794000000373</v>
      </c>
      <c r="BI1245" s="318">
        <f>SUMIFS($AU$134:AU1246,$Q$134:Q1246,"F")</f>
        <v>7718.5333333333328</v>
      </c>
      <c r="BJ1245" s="318">
        <f>SUMIFS($AU$134:AU1246,$Q$134:Q1246,"S")</f>
        <v>15007.642</v>
      </c>
      <c r="BK1245" s="343">
        <f>SUMIFS($AU$134:AU1246,$P$134:P1246,"W")</f>
        <v>11822.941999999943</v>
      </c>
      <c r="BL1245" s="343">
        <f>SUMIFS($AU$134:AU1246,$P$134:P1246,"R")</f>
        <v>10708.673333333321</v>
      </c>
      <c r="BM1245" s="343">
        <f>SUMIFS($AU$134:AU1246,$AQ$134:AQ1246,"M")</f>
        <v>2910.0300000001498</v>
      </c>
      <c r="BN1245" s="343">
        <f>SUMIFS($AU$134:AU1246,$AQ$134:AQ1246,"H")</f>
        <v>9417.3420000000642</v>
      </c>
      <c r="BO1245" s="343">
        <f>SUMIFS($AU$134:AU1246,$AQ$134:AQ1246,"D")</f>
        <v>3794.236666666764</v>
      </c>
      <c r="BP1245" s="343">
        <f>SUMIFS($AU$134:AU1248,$AQ$134:AQ1248,"W")</f>
        <v>3191.7633333332024</v>
      </c>
      <c r="BQ1245" s="343">
        <f>SUMIFS($AU$134:AU1246,$Q$134:Q1246,"O")</f>
        <v>-2016.5813333329609</v>
      </c>
      <c r="BR1245" s="343">
        <f>SUMIFS($AU$134:AU1246,$AA$134:AA1246,"*")</f>
        <v>19717.305333333465</v>
      </c>
      <c r="BS1245" s="343">
        <f>SUMIFS($AU$134:AU1246,$AB$134:AB1246,"*")</f>
        <v>3053.9886666669622</v>
      </c>
      <c r="BT1245" s="343">
        <f>SUMIFS($AU$134:AU1246,$AC$134:AC1246,"*")</f>
        <v>11799.683333333332</v>
      </c>
      <c r="BU1245" s="343">
        <f>SUMIFS($AU$134:AU1246,$AA$134:AA1246,"*",$AB$134:AB1246,"*")</f>
        <v>2490.0000000000546</v>
      </c>
      <c r="BV1245" s="343">
        <f>SUMIFS($AU$134:AU1246,$AA$134:AA1246,"*",$AC$134:AC1246,"*")</f>
        <v>9708.7833333333328</v>
      </c>
      <c r="BW1245" s="343">
        <f>SUMIFS($AU$134:AU1246,$AB$134:AB1246,"*",$AC$134:AC1246,"*")</f>
        <v>6206.6</v>
      </c>
      <c r="BX1245" s="343">
        <f>SUMIFS($AU1246:AU$1388,$Q1246:Q$1388,"F")</f>
        <v>6722.1333333333323</v>
      </c>
      <c r="BY1245" s="343">
        <f>SUMIFS($AU1246:AU$1388,$Q1246:Q$1388,"S")</f>
        <v>5680</v>
      </c>
      <c r="BZ1245" s="343">
        <f>SUMIFS($AU1246:AU$1388,$Q1246:Q$1388,"O")</f>
        <v>367.72333333316226</v>
      </c>
    </row>
    <row r="1246" spans="1:78" ht="15.75" customHeight="1">
      <c r="A1246" s="221" t="s">
        <v>4220</v>
      </c>
      <c r="B1246" s="177">
        <v>45239</v>
      </c>
      <c r="C1246" s="178" t="s">
        <v>290</v>
      </c>
      <c r="D1246" s="178" t="s">
        <v>93</v>
      </c>
      <c r="E1246" s="227"/>
      <c r="F1246" s="180"/>
      <c r="G1246" s="281" t="s">
        <v>2016</v>
      </c>
      <c r="H1246" s="182"/>
      <c r="I1246" s="182"/>
      <c r="J1246" s="182"/>
      <c r="K1246" s="183"/>
      <c r="L1246" s="182">
        <v>1</v>
      </c>
      <c r="M1246" s="182"/>
      <c r="N1246" s="182"/>
      <c r="O1246" s="183" t="s">
        <v>95</v>
      </c>
      <c r="P1246" s="183" t="s">
        <v>96</v>
      </c>
      <c r="Q1246" s="183" t="s">
        <v>97</v>
      </c>
      <c r="R1246" s="183">
        <v>13</v>
      </c>
      <c r="S1246" s="183">
        <v>0</v>
      </c>
      <c r="T1246" s="183">
        <v>13</v>
      </c>
      <c r="U1246" s="183" t="s">
        <v>97</v>
      </c>
      <c r="V1246" s="183"/>
      <c r="W1246" s="183"/>
      <c r="X1246" s="183"/>
      <c r="Y1246" s="184">
        <f>IF(ISBLANK(O1246),"",(IF(O1246=UPPER("IB"),0.005,0.01)))</f>
        <v>0.01</v>
      </c>
      <c r="Z1246" s="185">
        <f>IF(ISBLANK(O1246),"",IF(O1246="IB",8.63*200,IF(O1246="IR",16*100,IF(O1246="YT",20*100,IF(O1246="YT-XT",24*200,IF(O1246="TED",80*100))))))</f>
        <v>1600</v>
      </c>
      <c r="AA1246" s="185" t="s">
        <v>99</v>
      </c>
      <c r="AB1246" s="185"/>
      <c r="AC1246" s="185" t="s">
        <v>4358</v>
      </c>
      <c r="AD1246" s="649">
        <f>((-0.07*12)+(-0.06*1))/13</f>
        <v>-6.9230769230769235E-2</v>
      </c>
      <c r="AE1246" s="182"/>
      <c r="AF1246" s="332"/>
      <c r="AG1246" s="182"/>
      <c r="AH1246" s="182"/>
      <c r="AI1246" s="182"/>
      <c r="AJ1246" s="640"/>
      <c r="AK1246" s="182"/>
      <c r="AL1246" s="496"/>
      <c r="AM1246" s="496"/>
      <c r="AN1246" s="626"/>
      <c r="AO1246" s="182"/>
      <c r="AP1246" s="182"/>
      <c r="AQ1246" s="332" t="str">
        <f>UPPER(RIGHT(Journal_Live[[#This Row],[DURATION ]]))</f>
        <v/>
      </c>
      <c r="AR1246" s="182" t="s">
        <v>4359</v>
      </c>
      <c r="AS1246" s="189">
        <v>-7.0000000000000007E-2</v>
      </c>
      <c r="AT1246" s="189">
        <f>IF(ISBLANK(AS1246),,IF(U1246="S",AD1246-AS1246,AS1246-AD1246))</f>
        <v>7.6923076923077205E-4</v>
      </c>
      <c r="AU1246" s="187">
        <f>AV1246*R1246</f>
        <v>16.000000000000057</v>
      </c>
      <c r="AV1246" s="190">
        <f>IF(ISBLANK(AS1246),,(AT1246*Z1246))</f>
        <v>1.2307692307692353</v>
      </c>
      <c r="AW1246" s="191" t="s">
        <v>96</v>
      </c>
      <c r="AX1246" s="407"/>
      <c r="AY1246" s="407"/>
      <c r="AZ1246" s="407"/>
      <c r="BA1246" s="407"/>
      <c r="BB1246" s="407"/>
      <c r="BC1246" s="407"/>
      <c r="BD1246" s="407"/>
      <c r="BE1246" s="407"/>
      <c r="BF1246" s="422"/>
      <c r="BG1246" s="391">
        <f>SUM($AV$4:AV1246)</f>
        <v>4298.478583270783</v>
      </c>
      <c r="BH1246" s="392">
        <f>SUM($AU$134:AU1246)</f>
        <v>20604.794000000373</v>
      </c>
      <c r="BI1246" s="318">
        <f>SUMIFS($AU$134:AU1247,$Q$134:Q1247,"F")</f>
        <v>7718.5333333333328</v>
      </c>
      <c r="BJ1246" s="318">
        <f>SUMIFS($AU$134:AU1247,$Q$134:Q1247,"S")</f>
        <v>15167.642</v>
      </c>
      <c r="BK1246" s="343">
        <f>SUMIFS($AU$134:AU1247,$P$134:P1247,"W")</f>
        <v>11982.941999999943</v>
      </c>
      <c r="BL1246" s="343">
        <f>SUMIFS($AU$134:AU1247,$P$134:P1247,"R")</f>
        <v>10708.673333333321</v>
      </c>
      <c r="BM1246" s="343">
        <f>SUMIFS($AU$134:AU1247,$AQ$134:AQ1247,"M")</f>
        <v>2910.0300000001498</v>
      </c>
      <c r="BN1246" s="343">
        <f>SUMIFS($AU$134:AU1247,$AQ$134:AQ1247,"H")</f>
        <v>9417.3420000000642</v>
      </c>
      <c r="BO1246" s="343">
        <f>SUMIFS($AU$134:AU1247,$AQ$134:AQ1247,"D")</f>
        <v>3794.236666666764</v>
      </c>
      <c r="BP1246" s="343">
        <f>SUMIFS($AU$134:AU1249,$AQ$134:AQ1249,"W")</f>
        <v>3191.7633333332024</v>
      </c>
      <c r="BQ1246" s="343">
        <f>SUMIFS($AU$134:AU1247,$Q$134:Q1247,"O")</f>
        <v>-2016.5813333329609</v>
      </c>
      <c r="BR1246" s="343">
        <f>SUMIFS($AU$134:AU1247,$AA$134:AA1247,"*")</f>
        <v>19877.305333333465</v>
      </c>
      <c r="BS1246" s="343">
        <f>SUMIFS($AU$134:AU1247,$AB$134:AB1247,"*")</f>
        <v>3053.9886666669622</v>
      </c>
      <c r="BT1246" s="343">
        <f>SUMIFS($AU$134:AU1247,$AC$134:AC1247,"*")</f>
        <v>11959.683333333332</v>
      </c>
      <c r="BU1246" s="343">
        <f>SUMIFS($AU$134:AU1247,$AA$134:AA1247,"*",$AB$134:AB1247,"*")</f>
        <v>2490.0000000000546</v>
      </c>
      <c r="BV1246" s="343">
        <f>SUMIFS($AU$134:AU1247,$AA$134:AA1247,"*",$AC$134:AC1247,"*")</f>
        <v>9868.7833333333328</v>
      </c>
      <c r="BW1246" s="343">
        <f>SUMIFS($AU$134:AU1247,$AB$134:AB1247,"*",$AC$134:AC1247,"*")</f>
        <v>6206.6</v>
      </c>
      <c r="BX1246" s="343">
        <f>SUMIFS($AU1247:AU$1388,$Q1247:Q$1388,"F")</f>
        <v>6722.1333333333323</v>
      </c>
      <c r="BY1246" s="343">
        <f>SUMIFS($AU1247:AU$1388,$Q1247:Q$1388,"S")</f>
        <v>5664</v>
      </c>
      <c r="BZ1246" s="343">
        <f>SUMIFS($AU1247:AU$1388,$Q1247:Q$1388,"O")</f>
        <v>367.72333333316226</v>
      </c>
    </row>
    <row r="1247" spans="1:78" ht="15.75" customHeight="1">
      <c r="A1247" s="221" t="s">
        <v>4220</v>
      </c>
      <c r="B1247" s="177">
        <v>45240</v>
      </c>
      <c r="C1247" s="178" t="s">
        <v>4360</v>
      </c>
      <c r="D1247" s="178" t="s">
        <v>111</v>
      </c>
      <c r="E1247" s="227"/>
      <c r="F1247" s="180"/>
      <c r="G1247" s="281" t="s">
        <v>2016</v>
      </c>
      <c r="H1247" s="182"/>
      <c r="I1247" s="182"/>
      <c r="J1247" s="182"/>
      <c r="K1247" s="183"/>
      <c r="L1247" s="182">
        <v>1</v>
      </c>
      <c r="M1247" s="182">
        <v>1</v>
      </c>
      <c r="N1247" s="182"/>
      <c r="O1247" s="183" t="s">
        <v>95</v>
      </c>
      <c r="P1247" s="183" t="s">
        <v>96</v>
      </c>
      <c r="Q1247" s="183" t="s">
        <v>97</v>
      </c>
      <c r="R1247" s="183">
        <v>10</v>
      </c>
      <c r="S1247" s="183">
        <v>0</v>
      </c>
      <c r="T1247" s="183">
        <v>10</v>
      </c>
      <c r="U1247" s="183" t="s">
        <v>97</v>
      </c>
      <c r="V1247" s="183"/>
      <c r="W1247" s="183"/>
      <c r="X1247" s="183"/>
      <c r="Y1247" s="184">
        <f>IF(ISBLANK(O1247),"",(IF(O1247=UPPER("IB"),0.005,0.01)))</f>
        <v>0.01</v>
      </c>
      <c r="Z1247" s="185">
        <f>IF(ISBLANK(O1247),"",IF(O1247="IB",8.63*200,IF(O1247="IR",16*100,IF(O1247="YT",20*100,IF(O1247="YT-XT",24*200,IF(O1247="TED",80*100))))))</f>
        <v>1600</v>
      </c>
      <c r="AA1247" s="185" t="s">
        <v>3876</v>
      </c>
      <c r="AB1247" s="185"/>
      <c r="AC1247" s="185" t="s">
        <v>4361</v>
      </c>
      <c r="AD1247" s="649">
        <v>-0.06</v>
      </c>
      <c r="AE1247" s="182"/>
      <c r="AF1247" s="332"/>
      <c r="AG1247" s="182"/>
      <c r="AH1247" s="182"/>
      <c r="AI1247" s="182"/>
      <c r="AJ1247" s="640"/>
      <c r="AK1247" s="182"/>
      <c r="AL1247" s="496"/>
      <c r="AM1247" s="496"/>
      <c r="AN1247" s="626"/>
      <c r="AO1247" s="182"/>
      <c r="AP1247" s="182"/>
      <c r="AQ1247" s="332" t="str">
        <f>UPPER(RIGHT(Journal_Live[[#This Row],[DURATION ]]))</f>
        <v/>
      </c>
      <c r="AR1247" s="182" t="s">
        <v>4362</v>
      </c>
      <c r="AS1247" s="189">
        <v>-7.0000000000000007E-2</v>
      </c>
      <c r="AT1247" s="189">
        <f>IF(ISBLANK(AS1247),,IF(U1247="S",AD1247-AS1247,AS1247-AD1247))</f>
        <v>1.0000000000000009E-2</v>
      </c>
      <c r="AU1247" s="187">
        <f>AV1247*R1247</f>
        <v>160.00000000000014</v>
      </c>
      <c r="AV1247" s="190">
        <f>IF(ISBLANK(AS1247),,(AT1247*Z1247))</f>
        <v>16.000000000000014</v>
      </c>
      <c r="AW1247" s="191" t="s">
        <v>96</v>
      </c>
      <c r="AX1247" s="407" t="s">
        <v>4363</v>
      </c>
      <c r="AY1247" s="407"/>
      <c r="AZ1247" s="407"/>
      <c r="BA1247" s="407"/>
      <c r="BB1247" s="407"/>
      <c r="BC1247" s="407"/>
      <c r="BD1247" s="407"/>
      <c r="BE1247" s="407"/>
      <c r="BF1247" s="422"/>
      <c r="BG1247" s="391">
        <f>SUM($AV$4:AV1247)</f>
        <v>4314.478583270783</v>
      </c>
      <c r="BH1247" s="392">
        <f>SUM($AU$134:AU1247)</f>
        <v>20764.794000000373</v>
      </c>
      <c r="BI1247" s="318">
        <f>SUMIFS($AU$134:AU1248,$Q$134:Q1248,"F")</f>
        <v>7718.5333333333328</v>
      </c>
      <c r="BJ1247" s="318">
        <f>SUMIFS($AU$134:AU1248,$Q$134:Q1248,"S")</f>
        <v>15167.642</v>
      </c>
      <c r="BK1247" s="343">
        <f>SUMIFS($AU$134:AU1248,$P$134:P1248,"W")</f>
        <v>11982.941999999943</v>
      </c>
      <c r="BL1247" s="343">
        <f>SUMIFS($AU$134:AU1248,$P$134:P1248,"R")</f>
        <v>10708.673333333321</v>
      </c>
      <c r="BM1247" s="343">
        <f>SUMIFS($AU$134:AU1248,$AQ$134:AQ1248,"M")</f>
        <v>2910.0300000001498</v>
      </c>
      <c r="BN1247" s="343">
        <f>SUMIFS($AU$134:AU1248,$AQ$134:AQ1248,"H")</f>
        <v>9417.3420000000642</v>
      </c>
      <c r="BO1247" s="343">
        <f>SUMIFS($AU$134:AU1248,$AQ$134:AQ1248,"D")</f>
        <v>3794.236666666764</v>
      </c>
      <c r="BP1247" s="343">
        <f>SUMIFS($AU$134:AU1250,$AQ$134:AQ1250,"W")</f>
        <v>3191.7633333332024</v>
      </c>
      <c r="BQ1247" s="343">
        <f>SUMIFS($AU$134:AU1248,$Q$134:Q1248,"O")</f>
        <v>-2016.5813333329609</v>
      </c>
      <c r="BR1247" s="343">
        <f>SUMIFS($AU$134:AU1248,$AA$134:AA1248,"*")</f>
        <v>19877.305333333465</v>
      </c>
      <c r="BS1247" s="343">
        <f>SUMIFS($AU$134:AU1248,$AB$134:AB1248,"*")</f>
        <v>3053.9886666669622</v>
      </c>
      <c r="BT1247" s="343">
        <f>SUMIFS($AU$134:AU1248,$AC$134:AC1248,"*")</f>
        <v>11959.683333333332</v>
      </c>
      <c r="BU1247" s="343">
        <f>SUMIFS($AU$134:AU1248,$AA$134:AA1248,"*",$AB$134:AB1248,"*")</f>
        <v>2490.0000000000546</v>
      </c>
      <c r="BV1247" s="343">
        <f>SUMIFS($AU$134:AU1248,$AA$134:AA1248,"*",$AC$134:AC1248,"*")</f>
        <v>9868.7833333333328</v>
      </c>
      <c r="BW1247" s="343">
        <f>SUMIFS($AU$134:AU1248,$AB$134:AB1248,"*",$AC$134:AC1248,"*")</f>
        <v>6206.6</v>
      </c>
      <c r="BX1247" s="343">
        <f>SUMIFS($AU1248:AU$1388,$Q1248:Q$1388,"F")</f>
        <v>6722.1333333333323</v>
      </c>
      <c r="BY1247" s="343">
        <f>SUMIFS($AU1248:AU$1388,$Q1248:Q$1388,"S")</f>
        <v>5504</v>
      </c>
      <c r="BZ1247" s="343">
        <f>SUMIFS($AU1248:AU$1388,$Q1248:Q$1388,"O")</f>
        <v>367.72333333316226</v>
      </c>
    </row>
    <row r="1248" spans="1:78" ht="15.75" customHeight="1">
      <c r="A1248" s="177" t="s">
        <v>4220</v>
      </c>
      <c r="B1248" s="200"/>
      <c r="C1248" s="178"/>
      <c r="D1248" s="178"/>
      <c r="E1248" s="227"/>
      <c r="F1248" s="180"/>
      <c r="G1248" s="181"/>
      <c r="H1248" s="182"/>
      <c r="I1248" s="182"/>
      <c r="J1248" s="182"/>
      <c r="K1248" s="183"/>
      <c r="L1248" s="182"/>
      <c r="M1248" s="182"/>
      <c r="N1248" s="182"/>
      <c r="O1248" s="183"/>
      <c r="P1248" s="183"/>
      <c r="Q1248" s="183"/>
      <c r="R1248" s="183"/>
      <c r="S1248" s="183"/>
      <c r="T1248" s="183"/>
      <c r="U1248" s="183"/>
      <c r="V1248" s="183"/>
      <c r="W1248" s="183"/>
      <c r="X1248" s="183"/>
      <c r="Y1248" s="274"/>
      <c r="Z1248" s="183"/>
      <c r="AA1248" s="185"/>
      <c r="AB1248" s="185"/>
      <c r="AC1248" s="185"/>
      <c r="AD1248" s="649"/>
      <c r="AE1248" s="182"/>
      <c r="AF1248" s="332"/>
      <c r="AG1248" s="182"/>
      <c r="AH1248" s="182"/>
      <c r="AI1248" s="182"/>
      <c r="AJ1248" s="640"/>
      <c r="AK1248" s="182"/>
      <c r="AL1248" s="496"/>
      <c r="AM1248" s="496"/>
      <c r="AN1248" s="626"/>
      <c r="AO1248" s="182"/>
      <c r="AP1248" s="182"/>
      <c r="AQ1248" s="332" t="str">
        <f>UPPER(RIGHT(Journal_Live[[#This Row],[DURATION ]]))</f>
        <v/>
      </c>
      <c r="AR1248" s="182"/>
      <c r="AS1248" s="189"/>
      <c r="AT1248" s="189"/>
      <c r="AU1248" s="187"/>
      <c r="AV1248" s="190"/>
      <c r="AW1248" s="191"/>
      <c r="AX1248" s="407" t="s">
        <v>4364</v>
      </c>
      <c r="AY1248" s="407" t="s">
        <v>4365</v>
      </c>
      <c r="AZ1248" s="407" t="s">
        <v>4366</v>
      </c>
      <c r="BA1248" s="407" t="s">
        <v>4367</v>
      </c>
      <c r="BB1248" s="407" t="s">
        <v>4368</v>
      </c>
      <c r="BC1248" s="407" t="s">
        <v>4369</v>
      </c>
      <c r="BD1248" s="407" t="s">
        <v>4370</v>
      </c>
      <c r="BE1248" s="407" t="s">
        <v>4371</v>
      </c>
      <c r="BF1248" s="422" t="s">
        <v>4372</v>
      </c>
      <c r="BG1248" s="391"/>
      <c r="BH1248" s="392">
        <f>SUM($AU$134:AU1248)</f>
        <v>20764.794000000373</v>
      </c>
      <c r="BI1248" s="318">
        <f>SUMIFS($AU$134:AU1249,$Q$134:Q1249,"F")</f>
        <v>7718.5333333333328</v>
      </c>
      <c r="BJ1248" s="318">
        <f>SUMIFS($AU$134:AU1249,$Q$134:Q1249,"S")</f>
        <v>15167.642</v>
      </c>
      <c r="BK1248" s="343">
        <f>SUMIFS($AU$134:AU1249,$P$134:P1249,"W")</f>
        <v>11982.941999999943</v>
      </c>
      <c r="BL1248" s="343">
        <f>SUMIFS($AU$134:AU1249,$P$134:P1249,"R")</f>
        <v>10708.673333333321</v>
      </c>
      <c r="BM1248" s="343">
        <f>SUMIFS($AU$134:AU1249,$AQ$134:AQ1249,"M")</f>
        <v>2910.0300000001498</v>
      </c>
      <c r="BN1248" s="343">
        <f>SUMIFS($AU$134:AU1249,$AQ$134:AQ1249,"H")</f>
        <v>9417.3420000000642</v>
      </c>
      <c r="BO1248" s="343">
        <f>SUMIFS($AU$134:AU1249,$AQ$134:AQ1249,"D")</f>
        <v>3794.236666666764</v>
      </c>
      <c r="BP1248" s="343">
        <f>SUMIFS($AU$134:AU1251,$AQ$134:AQ1251,"W")</f>
        <v>3191.7633333332024</v>
      </c>
      <c r="BQ1248" s="343">
        <f>SUMIFS($AU$134:AU1249,$Q$134:Q1249,"O")</f>
        <v>-2016.5813333329609</v>
      </c>
      <c r="BR1248" s="343">
        <f>SUMIFS($AU$134:AU1249,$AA$134:AA1249,"*")</f>
        <v>19877.305333333465</v>
      </c>
      <c r="BS1248" s="343">
        <f>SUMIFS($AU$134:AU1249,$AB$134:AB1249,"*")</f>
        <v>3053.9886666669622</v>
      </c>
      <c r="BT1248" s="343">
        <f>SUMIFS($AU$134:AU1249,$AC$134:AC1249,"*")</f>
        <v>11959.683333333332</v>
      </c>
      <c r="BU1248" s="343">
        <f>SUMIFS($AU$134:AU1249,$AA$134:AA1249,"*",$AB$134:AB1249,"*")</f>
        <v>2490.0000000000546</v>
      </c>
      <c r="BV1248" s="343">
        <f>SUMIFS($AU$134:AU1249,$AA$134:AA1249,"*",$AC$134:AC1249,"*")</f>
        <v>9868.7833333333328</v>
      </c>
      <c r="BW1248" s="343">
        <f>SUMIFS($AU$134:AU1249,$AB$134:AB1249,"*",$AC$134:AC1249,"*")</f>
        <v>6206.6</v>
      </c>
      <c r="BX1248" s="343">
        <f>SUMIFS($AU1249:AU$1388,$Q1249:Q$1388,"F")</f>
        <v>6722.1333333333323</v>
      </c>
      <c r="BY1248" s="343">
        <f>SUMIFS($AU1249:AU$1388,$Q1249:Q$1388,"S")</f>
        <v>5504</v>
      </c>
      <c r="BZ1248" s="343">
        <f>SUMIFS($AU1249:AU$1388,$Q1249:Q$1388,"O")</f>
        <v>367.72333333316226</v>
      </c>
    </row>
    <row r="1249" spans="1:78" ht="15.75" customHeight="1">
      <c r="A1249" s="221" t="s">
        <v>4220</v>
      </c>
      <c r="B1249" s="177"/>
      <c r="C1249" s="178"/>
      <c r="D1249" s="178"/>
      <c r="E1249" s="227"/>
      <c r="F1249" s="180"/>
      <c r="G1249" s="181"/>
      <c r="H1249" s="182"/>
      <c r="I1249" s="182"/>
      <c r="J1249" s="182"/>
      <c r="K1249" s="183"/>
      <c r="L1249" s="182"/>
      <c r="M1249" s="182"/>
      <c r="N1249" s="182"/>
      <c r="O1249" s="183"/>
      <c r="P1249" s="183"/>
      <c r="Q1249" s="183"/>
      <c r="R1249" s="183"/>
      <c r="S1249" s="183"/>
      <c r="T1249" s="183"/>
      <c r="U1249" s="183"/>
      <c r="V1249" s="183"/>
      <c r="W1249" s="183"/>
      <c r="X1249" s="183"/>
      <c r="Y1249" s="183"/>
      <c r="Z1249" s="185" t="str">
        <f>IF(ISBLANK(O1249),"",IF(O1249="IB",8.63*200,IF(O1249="IR",16*100,IF(O1249="YT",20*100,IF(O1249="YT-XT",24*200,IF(O1249="TED",80*100))))))</f>
        <v/>
      </c>
      <c r="AA1249" s="185"/>
      <c r="AB1249" s="185"/>
      <c r="AC1249" s="185"/>
      <c r="AD1249" s="649"/>
      <c r="AE1249" s="182"/>
      <c r="AF1249" s="332"/>
      <c r="AG1249" s="182"/>
      <c r="AH1249" s="182"/>
      <c r="AI1249" s="182"/>
      <c r="AJ1249" s="640"/>
      <c r="AK1249" s="182"/>
      <c r="AL1249" s="496"/>
      <c r="AM1249" s="496"/>
      <c r="AN1249" s="626"/>
      <c r="AO1249" s="182"/>
      <c r="AP1249" s="182"/>
      <c r="AQ1249" s="332" t="str">
        <f>UPPER(RIGHT(Journal_Live[[#This Row],[DURATION ]]))</f>
        <v/>
      </c>
      <c r="AR1249" s="182"/>
      <c r="AS1249" s="189"/>
      <c r="AT1249" s="189"/>
      <c r="AU1249" s="187"/>
      <c r="AV1249" s="190"/>
      <c r="AW1249" s="191"/>
      <c r="AX1249" s="407" t="s">
        <v>4373</v>
      </c>
      <c r="AY1249" s="407" t="s">
        <v>4374</v>
      </c>
      <c r="AZ1249" s="407" t="s">
        <v>4375</v>
      </c>
      <c r="BA1249" s="407" t="s">
        <v>4376</v>
      </c>
      <c r="BB1249" s="407"/>
      <c r="BC1249" s="407"/>
      <c r="BD1249" s="407"/>
      <c r="BE1249" s="407"/>
      <c r="BF1249" s="422"/>
      <c r="BG1249" s="391">
        <f>SUM($AV$4:AV1249)</f>
        <v>4314.478583270783</v>
      </c>
      <c r="BH1249" s="392">
        <f>SUM($AU$134:AU1249)</f>
        <v>20764.794000000373</v>
      </c>
      <c r="BI1249" s="318">
        <f>SUMIFS($AU$134:AU1250,$Q$134:Q1250,"F")</f>
        <v>7718.5333333333328</v>
      </c>
      <c r="BJ1249" s="318">
        <f>SUMIFS($AU$134:AU1250,$Q$134:Q1250,"S")</f>
        <v>15167.642</v>
      </c>
      <c r="BK1249" s="343">
        <f>SUMIFS($AU$134:AU1250,$P$134:P1250,"W")</f>
        <v>11982.941999999943</v>
      </c>
      <c r="BL1249" s="343">
        <f>SUMIFS($AU$134:AU1250,$P$134:P1250,"R")</f>
        <v>10708.673333333321</v>
      </c>
      <c r="BM1249" s="343">
        <f>SUMIFS($AU$134:AU1250,$AQ$134:AQ1250,"M")</f>
        <v>2910.0300000001498</v>
      </c>
      <c r="BN1249" s="343">
        <f>SUMIFS($AU$134:AU1250,$AQ$134:AQ1250,"H")</f>
        <v>9417.3420000000642</v>
      </c>
      <c r="BO1249" s="343">
        <f>SUMIFS($AU$134:AU1250,$AQ$134:AQ1250,"D")</f>
        <v>3794.236666666764</v>
      </c>
      <c r="BP1249" s="343">
        <f>SUMIFS($AU$134:AU1252,$AQ$134:AQ1252,"W")</f>
        <v>3191.7633333332024</v>
      </c>
      <c r="BQ1249" s="343">
        <f>SUMIFS($AU$134:AU1250,$Q$134:Q1250,"O")</f>
        <v>-2016.5813333329609</v>
      </c>
      <c r="BR1249" s="343">
        <f>SUMIFS($AU$134:AU1250,$AA$134:AA1250,"*")</f>
        <v>19877.305333333465</v>
      </c>
      <c r="BS1249" s="343">
        <f>SUMIFS($AU$134:AU1250,$AB$134:AB1250,"*")</f>
        <v>3053.9886666669622</v>
      </c>
      <c r="BT1249" s="343">
        <f>SUMIFS($AU$134:AU1250,$AC$134:AC1250,"*")</f>
        <v>11959.683333333332</v>
      </c>
      <c r="BU1249" s="343">
        <f>SUMIFS($AU$134:AU1250,$AA$134:AA1250,"*",$AB$134:AB1250,"*")</f>
        <v>2490.0000000000546</v>
      </c>
      <c r="BV1249" s="343">
        <f>SUMIFS($AU$134:AU1250,$AA$134:AA1250,"*",$AC$134:AC1250,"*")</f>
        <v>9868.7833333333328</v>
      </c>
      <c r="BW1249" s="343">
        <f>SUMIFS($AU$134:AU1250,$AB$134:AB1250,"*",$AC$134:AC1250,"*")</f>
        <v>6206.6</v>
      </c>
      <c r="BX1249" s="343">
        <f>SUMIFS($AU1250:AU$1388,$Q1250:Q$1388,"F")</f>
        <v>6722.1333333333323</v>
      </c>
      <c r="BY1249" s="343">
        <f>SUMIFS($AU1250:AU$1388,$Q1250:Q$1388,"S")</f>
        <v>5504</v>
      </c>
      <c r="BZ1249" s="343">
        <f>SUMIFS($AU1250:AU$1388,$Q1250:Q$1388,"O")</f>
        <v>367.72333333316226</v>
      </c>
    </row>
    <row r="1250" spans="1:78" ht="15.75" customHeight="1">
      <c r="A1250" s="221" t="s">
        <v>4220</v>
      </c>
      <c r="B1250" s="177"/>
      <c r="C1250" s="178"/>
      <c r="D1250" s="178"/>
      <c r="E1250" s="227"/>
      <c r="F1250" s="180"/>
      <c r="G1250" s="181"/>
      <c r="H1250" s="182"/>
      <c r="I1250" s="182"/>
      <c r="J1250" s="182"/>
      <c r="K1250" s="183"/>
      <c r="L1250" s="182"/>
      <c r="M1250" s="182"/>
      <c r="N1250" s="182"/>
      <c r="O1250" s="183"/>
      <c r="P1250" s="183"/>
      <c r="Q1250" s="183"/>
      <c r="R1250" s="183"/>
      <c r="S1250" s="183"/>
      <c r="T1250" s="183"/>
      <c r="U1250" s="183"/>
      <c r="V1250" s="183"/>
      <c r="W1250" s="183"/>
      <c r="X1250" s="183"/>
      <c r="Y1250" s="183"/>
      <c r="Z1250" s="185" t="str">
        <f>IF(ISBLANK(O1250),"",IF(O1250="IB",8.63*200,IF(O1250="IR",16*100,IF(O1250="YT",20*100,IF(O1250="YT-XT",24*200,IF(O1250="TED",80*100))))))</f>
        <v/>
      </c>
      <c r="AA1250" s="185"/>
      <c r="AB1250" s="185"/>
      <c r="AC1250" s="185"/>
      <c r="AD1250" s="649"/>
      <c r="AE1250" s="182"/>
      <c r="AF1250" s="332"/>
      <c r="AG1250" s="182"/>
      <c r="AH1250" s="182"/>
      <c r="AI1250" s="182"/>
      <c r="AJ1250" s="640"/>
      <c r="AK1250" s="182"/>
      <c r="AL1250" s="496"/>
      <c r="AM1250" s="496"/>
      <c r="AN1250" s="626"/>
      <c r="AO1250" s="182"/>
      <c r="AP1250" s="182"/>
      <c r="AQ1250" s="332" t="str">
        <f>UPPER(RIGHT(Journal_Live[[#This Row],[DURATION ]]))</f>
        <v/>
      </c>
      <c r="AR1250" s="182"/>
      <c r="AS1250" s="189"/>
      <c r="AT1250" s="189"/>
      <c r="AU1250" s="187"/>
      <c r="AV1250" s="190"/>
      <c r="AW1250" s="191"/>
      <c r="AX1250" s="407" t="s">
        <v>4377</v>
      </c>
      <c r="AY1250" s="407" t="s">
        <v>4378</v>
      </c>
      <c r="AZ1250" s="407" t="s">
        <v>4379</v>
      </c>
      <c r="BA1250" s="407"/>
      <c r="BB1250" s="407"/>
      <c r="BC1250" s="407"/>
      <c r="BD1250" s="407"/>
      <c r="BE1250" s="407"/>
      <c r="BF1250" s="422"/>
      <c r="BG1250" s="391">
        <f>SUM($AV$4:AV1250)</f>
        <v>4314.478583270783</v>
      </c>
      <c r="BH1250" s="392">
        <f>SUM($AU$134:AU1250)</f>
        <v>20764.794000000373</v>
      </c>
      <c r="BI1250" s="318">
        <f>SUMIFS($AU$134:AU1251,$Q$134:Q1251,"F")</f>
        <v>7718.5333333333328</v>
      </c>
      <c r="BJ1250" s="318">
        <f>SUMIFS($AU$134:AU1251,$Q$134:Q1251,"S")</f>
        <v>15167.642</v>
      </c>
      <c r="BK1250" s="343">
        <f>SUMIFS($AU$134:AU1251,$P$134:P1251,"W")</f>
        <v>11982.941999999943</v>
      </c>
      <c r="BL1250" s="343">
        <f>SUMIFS($AU$134:AU1251,$P$134:P1251,"R")</f>
        <v>10708.673333333321</v>
      </c>
      <c r="BM1250" s="343">
        <f>SUMIFS($AU$134:AU1251,$AQ$134:AQ1251,"M")</f>
        <v>2910.0300000001498</v>
      </c>
      <c r="BN1250" s="343">
        <f>SUMIFS($AU$134:AU1251,$AQ$134:AQ1251,"H")</f>
        <v>9417.3420000000642</v>
      </c>
      <c r="BO1250" s="343">
        <f>SUMIFS($AU$134:AU1251,$AQ$134:AQ1251,"D")</f>
        <v>3794.236666666764</v>
      </c>
      <c r="BP1250" s="343">
        <f>SUMIFS($AU$134:AU1253,$AQ$134:AQ1253,"W")</f>
        <v>3191.7633333332024</v>
      </c>
      <c r="BQ1250" s="343">
        <f>SUMIFS($AU$134:AU1251,$Q$134:Q1251,"O")</f>
        <v>-2016.5813333329609</v>
      </c>
      <c r="BR1250" s="343">
        <f>SUMIFS($AU$134:AU1251,$AA$134:AA1251,"*")</f>
        <v>19877.305333333465</v>
      </c>
      <c r="BS1250" s="343">
        <f>SUMIFS($AU$134:AU1251,$AB$134:AB1251,"*")</f>
        <v>3053.9886666669622</v>
      </c>
      <c r="BT1250" s="343">
        <f>SUMIFS($AU$134:AU1251,$AC$134:AC1251,"*")</f>
        <v>11959.683333333332</v>
      </c>
      <c r="BU1250" s="343">
        <f>SUMIFS($AU$134:AU1251,$AA$134:AA1251,"*",$AB$134:AB1251,"*")</f>
        <v>2490.0000000000546</v>
      </c>
      <c r="BV1250" s="343">
        <f>SUMIFS($AU$134:AU1251,$AA$134:AA1251,"*",$AC$134:AC1251,"*")</f>
        <v>9868.7833333333328</v>
      </c>
      <c r="BW1250" s="343">
        <f>SUMIFS($AU$134:AU1251,$AB$134:AB1251,"*",$AC$134:AC1251,"*")</f>
        <v>6206.6</v>
      </c>
      <c r="BX1250" s="343">
        <f>SUMIFS($AU1251:AU$1388,$Q1251:Q$1388,"F")</f>
        <v>6722.1333333333323</v>
      </c>
      <c r="BY1250" s="343">
        <f>SUMIFS($AU1251:AU$1388,$Q1251:Q$1388,"S")</f>
        <v>5504</v>
      </c>
      <c r="BZ1250" s="343">
        <f>SUMIFS($AU1251:AU$1388,$Q1251:Q$1388,"O")</f>
        <v>367.72333333316226</v>
      </c>
    </row>
    <row r="1251" spans="1:78" ht="15.75" customHeight="1">
      <c r="A1251" s="221" t="s">
        <v>4220</v>
      </c>
      <c r="B1251" s="177">
        <v>45240</v>
      </c>
      <c r="C1251" s="178" t="s">
        <v>1255</v>
      </c>
      <c r="D1251" s="178" t="s">
        <v>111</v>
      </c>
      <c r="E1251" s="227" t="s">
        <v>4380</v>
      </c>
      <c r="F1251" s="180"/>
      <c r="G1251" s="181"/>
      <c r="H1251" s="182"/>
      <c r="I1251" s="182"/>
      <c r="J1251" s="182"/>
      <c r="K1251" s="183"/>
      <c r="L1251" s="182"/>
      <c r="M1251" s="182"/>
      <c r="N1251" s="182"/>
      <c r="O1251" s="183"/>
      <c r="P1251" s="183"/>
      <c r="Q1251" s="183"/>
      <c r="R1251" s="183"/>
      <c r="S1251" s="183"/>
      <c r="T1251" s="183"/>
      <c r="U1251" s="183"/>
      <c r="V1251" s="183"/>
      <c r="W1251" s="183"/>
      <c r="X1251" s="183"/>
      <c r="Y1251" s="183"/>
      <c r="Z1251" s="185" t="str">
        <f>IF(ISBLANK(O1251),"",IF(O1251="IB",8.63*200,IF(O1251="IR",16*100,IF(O1251="YT",20*100,IF(O1251="YT-XT",24*200,IF(O1251="TED",80*100))))))</f>
        <v/>
      </c>
      <c r="AA1251" s="185"/>
      <c r="AB1251" s="185"/>
      <c r="AC1251" s="185"/>
      <c r="AD1251" s="649"/>
      <c r="AE1251" s="182"/>
      <c r="AF1251" s="332"/>
      <c r="AG1251" s="182"/>
      <c r="AH1251" s="182"/>
      <c r="AI1251" s="182"/>
      <c r="AJ1251" s="640"/>
      <c r="AK1251" s="182"/>
      <c r="AL1251" s="496"/>
      <c r="AM1251" s="496"/>
      <c r="AN1251" s="626"/>
      <c r="AO1251" s="182"/>
      <c r="AP1251" s="182"/>
      <c r="AQ1251" s="332" t="str">
        <f>UPPER(RIGHT(Journal_Live[[#This Row],[DURATION ]]))</f>
        <v/>
      </c>
      <c r="AR1251" s="182"/>
      <c r="AS1251" s="189"/>
      <c r="AT1251" s="189"/>
      <c r="AU1251" s="187"/>
      <c r="AV1251" s="190"/>
      <c r="AW1251" s="191"/>
      <c r="AX1251" s="407" t="s">
        <v>4381</v>
      </c>
      <c r="AY1251" s="407" t="s">
        <v>4382</v>
      </c>
      <c r="AZ1251" s="407"/>
      <c r="BA1251" s="407"/>
      <c r="BB1251" s="407"/>
      <c r="BC1251" s="407"/>
      <c r="BD1251" s="407"/>
      <c r="BE1251" s="407"/>
      <c r="BF1251" s="422"/>
      <c r="BG1251" s="391">
        <f>SUM($AV$4:AV1251)</f>
        <v>4314.478583270783</v>
      </c>
      <c r="BH1251" s="392">
        <f>SUM($AU$134:AU1251)</f>
        <v>20764.794000000373</v>
      </c>
      <c r="BI1251" s="318">
        <f>SUMIFS($AU$134:AU1252,$Q$134:Q1252,"F")</f>
        <v>8630.5333333333328</v>
      </c>
      <c r="BJ1251" s="318">
        <f>SUMIFS($AU$134:AU1252,$Q$134:Q1252,"S")</f>
        <v>15167.642</v>
      </c>
      <c r="BK1251" s="343">
        <f>SUMIFS($AU$134:AU1252,$P$134:P1252,"W")</f>
        <v>12894.941999999943</v>
      </c>
      <c r="BL1251" s="343">
        <f>SUMIFS($AU$134:AU1252,$P$134:P1252,"R")</f>
        <v>10708.673333333321</v>
      </c>
      <c r="BM1251" s="343">
        <f>SUMIFS($AU$134:AU1252,$AQ$134:AQ1252,"M")</f>
        <v>2910.0300000001498</v>
      </c>
      <c r="BN1251" s="343">
        <f>SUMIFS($AU$134:AU1252,$AQ$134:AQ1252,"H")</f>
        <v>9417.3420000000642</v>
      </c>
      <c r="BO1251" s="343">
        <f>SUMIFS($AU$134:AU1252,$AQ$134:AQ1252,"D")</f>
        <v>4706.236666666764</v>
      </c>
      <c r="BP1251" s="343">
        <f>SUMIFS($AU$134:AU1254,$AQ$134:AQ1254,"W")</f>
        <v>3191.7633333332024</v>
      </c>
      <c r="BQ1251" s="343">
        <f>SUMIFS($AU$134:AU1252,$Q$134:Q1252,"O")</f>
        <v>-2016.5813333329609</v>
      </c>
      <c r="BR1251" s="343">
        <f>SUMIFS($AU$134:AU1252,$AA$134:AA1252,"*")</f>
        <v>20789.305333333465</v>
      </c>
      <c r="BS1251" s="343">
        <f>SUMIFS($AU$134:AU1252,$AB$134:AB1252,"*")</f>
        <v>3053.9886666669622</v>
      </c>
      <c r="BT1251" s="343">
        <f>SUMIFS($AU$134:AU1252,$AC$134:AC1252,"*")</f>
        <v>12871.683333333332</v>
      </c>
      <c r="BU1251" s="343">
        <f>SUMIFS($AU$134:AU1252,$AA$134:AA1252,"*",$AB$134:AB1252,"*")</f>
        <v>2490.0000000000546</v>
      </c>
      <c r="BV1251" s="343">
        <f>SUMIFS($AU$134:AU1252,$AA$134:AA1252,"*",$AC$134:AC1252,"*")</f>
        <v>10780.783333333333</v>
      </c>
      <c r="BW1251" s="343">
        <f>SUMIFS($AU$134:AU1252,$AB$134:AB1252,"*",$AC$134:AC1252,"*")</f>
        <v>6206.6</v>
      </c>
      <c r="BX1251" s="343">
        <f>SUMIFS($AU1252:AU$1388,$Q1252:Q$1388,"F")</f>
        <v>6722.1333333333323</v>
      </c>
      <c r="BY1251" s="343">
        <f>SUMIFS($AU1252:AU$1388,$Q1252:Q$1388,"S")</f>
        <v>5504</v>
      </c>
      <c r="BZ1251" s="343">
        <f>SUMIFS($AU1252:AU$1388,$Q1252:Q$1388,"O")</f>
        <v>367.72333333316226</v>
      </c>
    </row>
    <row r="1252" spans="1:78" ht="15.75" customHeight="1">
      <c r="A1252" s="221" t="s">
        <v>4220</v>
      </c>
      <c r="B1252" s="177">
        <v>45240</v>
      </c>
      <c r="C1252" s="178" t="s">
        <v>4360</v>
      </c>
      <c r="D1252" s="178" t="s">
        <v>111</v>
      </c>
      <c r="E1252" s="227"/>
      <c r="F1252" s="180"/>
      <c r="G1252" s="281" t="s">
        <v>3772</v>
      </c>
      <c r="H1252" s="182"/>
      <c r="I1252" s="182"/>
      <c r="J1252" s="182"/>
      <c r="K1252" s="183"/>
      <c r="L1252" s="182">
        <v>1</v>
      </c>
      <c r="M1252" s="182">
        <v>1</v>
      </c>
      <c r="N1252" s="182"/>
      <c r="O1252" s="183" t="s">
        <v>95</v>
      </c>
      <c r="P1252" s="183" t="s">
        <v>96</v>
      </c>
      <c r="Q1252" s="183" t="s">
        <v>256</v>
      </c>
      <c r="R1252" s="183">
        <v>32</v>
      </c>
      <c r="S1252" s="183">
        <v>28</v>
      </c>
      <c r="T1252" s="183">
        <v>14</v>
      </c>
      <c r="U1252" s="183" t="s">
        <v>22</v>
      </c>
      <c r="V1252" s="183"/>
      <c r="W1252" s="183"/>
      <c r="X1252" s="183"/>
      <c r="Y1252" s="184">
        <f>IF(ISBLANK(O1252),"",(IF(O1252=UPPER("IB"),0.005,0.01)))</f>
        <v>0.01</v>
      </c>
      <c r="Z1252" s="185">
        <f>IF(ISBLANK(O1252),"",IF(O1252="IB",8.63*200,IF(O1252="IR",16*100,IF(O1252="YT",20*100,IF(O1252="YT-XT",24*200,IF(O1252="TED",80*100))))))</f>
        <v>1600</v>
      </c>
      <c r="AA1252" s="185" t="s">
        <v>4383</v>
      </c>
      <c r="AB1252" s="185"/>
      <c r="AC1252" s="185" t="s">
        <v>4384</v>
      </c>
      <c r="AD1252" s="649">
        <v>0.04</v>
      </c>
      <c r="AE1252" s="182"/>
      <c r="AF1252" s="332"/>
      <c r="AG1252" s="182"/>
      <c r="AH1252" s="407" t="s">
        <v>4385</v>
      </c>
      <c r="AI1252" s="182"/>
      <c r="AJ1252" s="640" t="s">
        <v>4386</v>
      </c>
      <c r="AK1252" s="182"/>
      <c r="AL1252" s="496">
        <f t="shared" ref="AL1252:AL1253" si="364">-0.03*Z1252</f>
        <v>-48</v>
      </c>
      <c r="AM1252" s="496">
        <f t="shared" ref="AM1252:AM1261" si="365">AL1252*(R1252-S1252)</f>
        <v>-192</v>
      </c>
      <c r="AN1252" s="626"/>
      <c r="AO1252" s="182"/>
      <c r="AP1252" s="182" t="s">
        <v>864</v>
      </c>
      <c r="AQ1252" s="332" t="str">
        <f>UPPER(RIGHT(Journal_Live[[#This Row],[DURATION ]]))</f>
        <v>D</v>
      </c>
      <c r="AR1252" s="182" t="s">
        <v>4387</v>
      </c>
      <c r="AS1252" s="189">
        <f>(0.06*15+0.05*7+0.06*10)/32</f>
        <v>5.7812500000000003E-2</v>
      </c>
      <c r="AT1252" s="189">
        <f>IF(ISBLANK(AS1252),,IF(U1252="S",AD1252-AS1252,AS1252-AD1252))</f>
        <v>1.7812500000000002E-2</v>
      </c>
      <c r="AU1252" s="187">
        <f>AV1252*R1252</f>
        <v>912.00000000000011</v>
      </c>
      <c r="AV1252" s="190">
        <f>IF(ISBLANK(AS1252),,(AT1252*Z1252))</f>
        <v>28.500000000000004</v>
      </c>
      <c r="AW1252" s="191" t="s">
        <v>96</v>
      </c>
      <c r="AX1252" s="407" t="s">
        <v>4388</v>
      </c>
      <c r="AY1252" s="407"/>
      <c r="AZ1252" s="407"/>
      <c r="BA1252" s="407"/>
      <c r="BB1252" s="407"/>
      <c r="BC1252" s="407"/>
      <c r="BD1252" s="407"/>
      <c r="BE1252" s="407"/>
      <c r="BF1252" s="422"/>
      <c r="BG1252" s="391">
        <f>SUM($AV$4:AV1252)</f>
        <v>4342.978583270783</v>
      </c>
      <c r="BH1252" s="392">
        <f>SUM($AU$134:AU1252)</f>
        <v>21676.794000000373</v>
      </c>
      <c r="BI1252" s="318">
        <f>SUMIFS($AU$134:AU1253,$Q$134:Q1253,"F")</f>
        <v>8886.5333333333328</v>
      </c>
      <c r="BJ1252" s="318">
        <f>SUMIFS($AU$134:AU1253,$Q$134:Q1253,"S")</f>
        <v>15167.642</v>
      </c>
      <c r="BK1252" s="343">
        <f>SUMIFS($AU$134:AU1253,$P$134:P1253,"W")</f>
        <v>12894.941999999943</v>
      </c>
      <c r="BL1252" s="343">
        <f>SUMIFS($AU$134:AU1253,$P$134:P1253,"R")</f>
        <v>10964.673333333321</v>
      </c>
      <c r="BM1252" s="343">
        <f>SUMIFS($AU$134:AU1253,$AQ$134:AQ1253,"M")</f>
        <v>2910.0300000001498</v>
      </c>
      <c r="BN1252" s="343">
        <f>SUMIFS($AU$134:AU1253,$AQ$134:AQ1253,"H")</f>
        <v>9417.3420000000642</v>
      </c>
      <c r="BO1252" s="343">
        <f>SUMIFS($AU$134:AU1253,$AQ$134:AQ1253,"D")</f>
        <v>4962.236666666764</v>
      </c>
      <c r="BP1252" s="343">
        <f>SUMIFS($AU$134:AU1255,$AQ$134:AQ1255,"W")</f>
        <v>3191.7633333332024</v>
      </c>
      <c r="BQ1252" s="343">
        <f>SUMIFS($AU$134:AU1253,$Q$134:Q1253,"O")</f>
        <v>-2016.5813333329609</v>
      </c>
      <c r="BR1252" s="343">
        <f>SUMIFS($AU$134:AU1253,$AA$134:AA1253,"*")</f>
        <v>20789.305333333465</v>
      </c>
      <c r="BS1252" s="343">
        <f>SUMIFS($AU$134:AU1253,$AB$134:AB1253,"*")</f>
        <v>3053.9886666669622</v>
      </c>
      <c r="BT1252" s="343">
        <f>SUMIFS($AU$134:AU1253,$AC$134:AC1253,"*")</f>
        <v>13127.683333333332</v>
      </c>
      <c r="BU1252" s="343">
        <f>SUMIFS($AU$134:AU1253,$AA$134:AA1253,"*",$AB$134:AB1253,"*")</f>
        <v>2490.0000000000546</v>
      </c>
      <c r="BV1252" s="343">
        <f>SUMIFS($AU$134:AU1253,$AA$134:AA1253,"*",$AC$134:AC1253,"*")</f>
        <v>10780.783333333333</v>
      </c>
      <c r="BW1252" s="343">
        <f>SUMIFS($AU$134:AU1253,$AB$134:AB1253,"*",$AC$134:AC1253,"*")</f>
        <v>6206.6</v>
      </c>
      <c r="BX1252" s="343">
        <f>SUMIFS($AU1253:AU$1388,$Q1253:Q$1388,"F")</f>
        <v>5810.1333333333332</v>
      </c>
      <c r="BY1252" s="343">
        <f>SUMIFS($AU1253:AU$1388,$Q1253:Q$1388,"S")</f>
        <v>5504</v>
      </c>
      <c r="BZ1252" s="343">
        <f>SUMIFS($AU1253:AU$1388,$Q1253:Q$1388,"O")</f>
        <v>367.72333333316226</v>
      </c>
    </row>
    <row r="1253" spans="1:78" ht="15.75" customHeight="1">
      <c r="A1253" s="221" t="s">
        <v>4220</v>
      </c>
      <c r="B1253" s="177">
        <v>45240</v>
      </c>
      <c r="C1253" s="178" t="s">
        <v>4389</v>
      </c>
      <c r="D1253" s="178" t="s">
        <v>111</v>
      </c>
      <c r="E1253" s="227"/>
      <c r="F1253" s="180"/>
      <c r="G1253" s="281" t="s">
        <v>3485</v>
      </c>
      <c r="H1253" s="182"/>
      <c r="I1253" s="182"/>
      <c r="J1253" s="182"/>
      <c r="K1253" s="183"/>
      <c r="L1253" s="182">
        <v>1</v>
      </c>
      <c r="M1253" s="182"/>
      <c r="N1253" s="182"/>
      <c r="O1253" s="183" t="s">
        <v>95</v>
      </c>
      <c r="P1253" s="183" t="s">
        <v>137</v>
      </c>
      <c r="Q1253" s="183" t="s">
        <v>256</v>
      </c>
      <c r="R1253" s="183">
        <v>20</v>
      </c>
      <c r="S1253" s="183">
        <v>0</v>
      </c>
      <c r="T1253" s="183">
        <v>4</v>
      </c>
      <c r="U1253" s="183" t="s">
        <v>97</v>
      </c>
      <c r="V1253" s="183"/>
      <c r="W1253" s="183"/>
      <c r="X1253" s="183"/>
      <c r="Y1253" s="184">
        <f>IF(ISBLANK(O1253),"",(IF(O1253=UPPER("IB"),0.005,0.01)))</f>
        <v>0.01</v>
      </c>
      <c r="Z1253" s="185">
        <f>IF(ISBLANK(O1253),"",IF(O1253="IB",8.63*200,IF(O1253="IR",16*100,IF(O1253="YT",20*100,IF(O1253="YT-XT",24*200,IF(O1253="TED",80*100))))))</f>
        <v>1600</v>
      </c>
      <c r="AA1253" s="185"/>
      <c r="AB1253" s="185"/>
      <c r="AC1253" s="185" t="s">
        <v>4390</v>
      </c>
      <c r="AD1253" s="649">
        <f>((-0.01*4)+(0*16))/20</f>
        <v>-2E-3</v>
      </c>
      <c r="AE1253" s="182"/>
      <c r="AF1253" s="332"/>
      <c r="AG1253" s="182"/>
      <c r="AH1253" s="182" t="s">
        <v>4391</v>
      </c>
      <c r="AI1253" s="182"/>
      <c r="AJ1253" s="640"/>
      <c r="AK1253" s="182"/>
      <c r="AL1253" s="496">
        <f t="shared" si="364"/>
        <v>-48</v>
      </c>
      <c r="AM1253" s="496">
        <f t="shared" si="365"/>
        <v>-960</v>
      </c>
      <c r="AN1253" s="626"/>
      <c r="AO1253" s="182"/>
      <c r="AP1253" s="182" t="s">
        <v>864</v>
      </c>
      <c r="AQ1253" s="332" t="str">
        <f>UPPER(RIGHT(Journal_Live[[#This Row],[DURATION ]]))</f>
        <v>D</v>
      </c>
      <c r="AR1253" s="182" t="s">
        <v>4392</v>
      </c>
      <c r="AS1253" s="189">
        <v>-0.01</v>
      </c>
      <c r="AT1253" s="189">
        <f>IF(ISBLANK(AS1253),,IF(U1253="S",AD1253-AS1253,AS1253-AD1253))</f>
        <v>8.0000000000000002E-3</v>
      </c>
      <c r="AU1253" s="187">
        <f>AV1253*R1253</f>
        <v>256</v>
      </c>
      <c r="AV1253" s="190">
        <f>IF(ISBLANK(AS1253),,(AT1253*Z1253))</f>
        <v>12.8</v>
      </c>
      <c r="AW1253" s="191" t="s">
        <v>96</v>
      </c>
      <c r="AX1253" s="407"/>
      <c r="AY1253" s="407"/>
      <c r="AZ1253" s="407"/>
      <c r="BA1253" s="407"/>
      <c r="BB1253" s="407"/>
      <c r="BC1253" s="407"/>
      <c r="BD1253" s="407"/>
      <c r="BE1253" s="407"/>
      <c r="BF1253" s="422"/>
      <c r="BG1253" s="391">
        <f>SUM($AV$4:AV1253)</f>
        <v>4355.7785832707832</v>
      </c>
      <c r="BH1253" s="392">
        <f>SUM($AU$134:AU1253)</f>
        <v>21932.794000000373</v>
      </c>
      <c r="BI1253" s="318">
        <f>SUMIFS($AU$134:AU1254,$Q$134:Q1254,"F")</f>
        <v>8886.5333333333328</v>
      </c>
      <c r="BJ1253" s="318">
        <f>SUMIFS($AU$134:AU1254,$Q$134:Q1254,"S")</f>
        <v>15167.642</v>
      </c>
      <c r="BK1253" s="343">
        <f>SUMIFS($AU$134:AU1254,$P$134:P1254,"W")</f>
        <v>12894.941999999943</v>
      </c>
      <c r="BL1253" s="343">
        <f>SUMIFS($AU$134:AU1254,$P$134:P1254,"R")</f>
        <v>10964.673333333321</v>
      </c>
      <c r="BM1253" s="343">
        <f>SUMIFS($AU$134:AU1254,$AQ$134:AQ1254,"M")</f>
        <v>2910.0300000001498</v>
      </c>
      <c r="BN1253" s="343">
        <f>SUMIFS($AU$134:AU1254,$AQ$134:AQ1254,"H")</f>
        <v>9417.3420000000642</v>
      </c>
      <c r="BO1253" s="343">
        <f>SUMIFS($AU$134:AU1254,$AQ$134:AQ1254,"D")</f>
        <v>4962.236666666764</v>
      </c>
      <c r="BP1253" s="343">
        <f>SUMIFS($AU$134:AU1256,$AQ$134:AQ1256,"W")</f>
        <v>3191.7633333332024</v>
      </c>
      <c r="BQ1253" s="343">
        <f>SUMIFS($AU$134:AU1254,$Q$134:Q1254,"O")</f>
        <v>-2016.5813333329609</v>
      </c>
      <c r="BR1253" s="343">
        <f>SUMIFS($AU$134:AU1254,$AA$134:AA1254,"*")</f>
        <v>20789.305333333465</v>
      </c>
      <c r="BS1253" s="343">
        <f>SUMIFS($AU$134:AU1254,$AB$134:AB1254,"*")</f>
        <v>3053.9886666669622</v>
      </c>
      <c r="BT1253" s="343">
        <f>SUMIFS($AU$134:AU1254,$AC$134:AC1254,"*")</f>
        <v>13127.683333333332</v>
      </c>
      <c r="BU1253" s="343">
        <f>SUMIFS($AU$134:AU1254,$AA$134:AA1254,"*",$AB$134:AB1254,"*")</f>
        <v>2490.0000000000546</v>
      </c>
      <c r="BV1253" s="343">
        <f>SUMIFS($AU$134:AU1254,$AA$134:AA1254,"*",$AC$134:AC1254,"*")</f>
        <v>10780.783333333333</v>
      </c>
      <c r="BW1253" s="343">
        <f>SUMIFS($AU$134:AU1254,$AB$134:AB1254,"*",$AC$134:AC1254,"*")</f>
        <v>6206.6</v>
      </c>
      <c r="BX1253" s="343">
        <f>SUMIFS($AU1254:AU$1388,$Q1254:Q$1388,"F")</f>
        <v>5554.1333333333323</v>
      </c>
      <c r="BY1253" s="343">
        <f>SUMIFS($AU1254:AU$1388,$Q1254:Q$1388,"S")</f>
        <v>5504</v>
      </c>
      <c r="BZ1253" s="343">
        <f>SUMIFS($AU1254:AU$1388,$Q1254:Q$1388,"O")</f>
        <v>367.72333333316226</v>
      </c>
    </row>
    <row r="1254" spans="1:78" ht="15.75" customHeight="1">
      <c r="A1254" s="221" t="s">
        <v>4220</v>
      </c>
      <c r="B1254" s="177">
        <v>45240</v>
      </c>
      <c r="C1254" s="178" t="s">
        <v>916</v>
      </c>
      <c r="D1254" s="178" t="s">
        <v>111</v>
      </c>
      <c r="E1254" s="227"/>
      <c r="F1254" s="180"/>
      <c r="G1254" s="181" t="s">
        <v>2942</v>
      </c>
      <c r="H1254" s="182"/>
      <c r="I1254" s="182"/>
      <c r="J1254" s="182"/>
      <c r="K1254" s="183"/>
      <c r="L1254" s="182"/>
      <c r="M1254" s="182"/>
      <c r="N1254" s="182"/>
      <c r="O1254" s="183"/>
      <c r="P1254" s="183"/>
      <c r="Q1254" s="183"/>
      <c r="R1254" s="183"/>
      <c r="S1254" s="183"/>
      <c r="T1254" s="183"/>
      <c r="U1254" s="183"/>
      <c r="V1254" s="183"/>
      <c r="W1254" s="183"/>
      <c r="X1254" s="183"/>
      <c r="Y1254" s="184"/>
      <c r="Z1254" s="185"/>
      <c r="AA1254" s="185"/>
      <c r="AB1254" s="185"/>
      <c r="AC1254" s="185"/>
      <c r="AD1254" s="649"/>
      <c r="AE1254" s="182"/>
      <c r="AF1254" s="332"/>
      <c r="AG1254" s="182"/>
      <c r="AH1254" s="182"/>
      <c r="AI1254" s="182"/>
      <c r="AJ1254" s="640"/>
      <c r="AK1254" s="182"/>
      <c r="AL1254" s="496">
        <f t="shared" ref="AL1254" si="366">-0.03*Z1254</f>
        <v>0</v>
      </c>
      <c r="AM1254" s="496">
        <f t="shared" si="365"/>
        <v>0</v>
      </c>
      <c r="AN1254" s="626"/>
      <c r="AO1254" s="182"/>
      <c r="AP1254" s="182"/>
      <c r="AQ1254" s="332" t="str">
        <f>UPPER(RIGHT(Journal_Live[[#This Row],[DURATION ]]))</f>
        <v/>
      </c>
      <c r="AR1254" s="182"/>
      <c r="AS1254" s="189"/>
      <c r="AT1254" s="189"/>
      <c r="AU1254" s="187"/>
      <c r="AV1254" s="190"/>
      <c r="AW1254" s="191"/>
      <c r="AX1254" s="407"/>
      <c r="AY1254" s="407"/>
      <c r="AZ1254" s="407"/>
      <c r="BA1254" s="407"/>
      <c r="BB1254" s="407"/>
      <c r="BC1254" s="407"/>
      <c r="BD1254" s="407"/>
      <c r="BE1254" s="407"/>
      <c r="BF1254" s="422"/>
      <c r="BG1254" s="391">
        <f>SUM($AV$4:AV1254)</f>
        <v>4355.7785832707832</v>
      </c>
      <c r="BH1254" s="392">
        <f>SUM($AU$134:AU1254)</f>
        <v>21932.794000000373</v>
      </c>
      <c r="BI1254" s="318">
        <f>SUMIFS($AU$134:AU1255,$Q$134:Q1255,"F")</f>
        <v>8886.5333333333328</v>
      </c>
      <c r="BJ1254" s="318">
        <f>SUMIFS($AU$134:AU1255,$Q$134:Q1255,"S")</f>
        <v>15167.642</v>
      </c>
      <c r="BK1254" s="343">
        <f>SUMIFS($AU$134:AU1255,$P$134:P1255,"W")</f>
        <v>12894.941999999943</v>
      </c>
      <c r="BL1254" s="343">
        <f>SUMIFS($AU$134:AU1255,$P$134:P1255,"R")</f>
        <v>10964.673333333321</v>
      </c>
      <c r="BM1254" s="343">
        <f>SUMIFS($AU$134:AU1255,$AQ$134:AQ1255,"M")</f>
        <v>2910.0300000001498</v>
      </c>
      <c r="BN1254" s="343">
        <f>SUMIFS($AU$134:AU1255,$AQ$134:AQ1255,"H")</f>
        <v>9417.3420000000642</v>
      </c>
      <c r="BO1254" s="343">
        <f>SUMIFS($AU$134:AU1255,$AQ$134:AQ1255,"D")</f>
        <v>4962.236666666764</v>
      </c>
      <c r="BP1254" s="343">
        <f>SUMIFS($AU$134:AU1257,$AQ$134:AQ1257,"W")</f>
        <v>3191.7633333332024</v>
      </c>
      <c r="BQ1254" s="343">
        <f>SUMIFS($AU$134:AU1255,$Q$134:Q1255,"O")</f>
        <v>-2016.5813333329609</v>
      </c>
      <c r="BR1254" s="343">
        <f>SUMIFS($AU$134:AU1255,$AA$134:AA1255,"*")</f>
        <v>20789.305333333465</v>
      </c>
      <c r="BS1254" s="343">
        <f>SUMIFS($AU$134:AU1255,$AB$134:AB1255,"*")</f>
        <v>3053.9886666669622</v>
      </c>
      <c r="BT1254" s="343">
        <f>SUMIFS($AU$134:AU1255,$AC$134:AC1255,"*")</f>
        <v>13127.683333333332</v>
      </c>
      <c r="BU1254" s="343">
        <f>SUMIFS($AU$134:AU1255,$AA$134:AA1255,"*",$AB$134:AB1255,"*")</f>
        <v>2490.0000000000546</v>
      </c>
      <c r="BV1254" s="343">
        <f>SUMIFS($AU$134:AU1255,$AA$134:AA1255,"*",$AC$134:AC1255,"*")</f>
        <v>10780.783333333333</v>
      </c>
      <c r="BW1254" s="343">
        <f>SUMIFS($AU$134:AU1255,$AB$134:AB1255,"*",$AC$134:AC1255,"*")</f>
        <v>6206.6</v>
      </c>
      <c r="BX1254" s="343">
        <f>SUMIFS($AU1255:AU$1388,$Q1255:Q$1388,"F")</f>
        <v>5554.1333333333323</v>
      </c>
      <c r="BY1254" s="343">
        <f>SUMIFS($AU1255:AU$1388,$Q1255:Q$1388,"S")</f>
        <v>5504</v>
      </c>
      <c r="BZ1254" s="343">
        <f>SUMIFS($AU1255:AU$1388,$Q1255:Q$1388,"O")</f>
        <v>367.72333333316226</v>
      </c>
    </row>
    <row r="1255" spans="1:78" ht="15.75" customHeight="1">
      <c r="A1255" s="221" t="s">
        <v>4220</v>
      </c>
      <c r="B1255" s="177">
        <v>45240</v>
      </c>
      <c r="C1255" s="178" t="s">
        <v>2370</v>
      </c>
      <c r="D1255" s="178" t="s">
        <v>111</v>
      </c>
      <c r="E1255" s="227"/>
      <c r="F1255" s="180"/>
      <c r="G1255" s="181" t="s">
        <v>136</v>
      </c>
      <c r="H1255" s="182"/>
      <c r="I1255" s="182"/>
      <c r="J1255" s="182"/>
      <c r="K1255" s="183"/>
      <c r="L1255" s="182">
        <v>1</v>
      </c>
      <c r="M1255" s="182"/>
      <c r="N1255" s="182"/>
      <c r="O1255" s="183" t="s">
        <v>95</v>
      </c>
      <c r="P1255" s="183" t="s">
        <v>96</v>
      </c>
      <c r="Q1255" s="183" t="s">
        <v>97</v>
      </c>
      <c r="R1255" s="183">
        <v>10</v>
      </c>
      <c r="S1255" s="183">
        <v>0</v>
      </c>
      <c r="T1255" s="183">
        <v>10</v>
      </c>
      <c r="U1255" s="183" t="s">
        <v>22</v>
      </c>
      <c r="V1255" s="183"/>
      <c r="W1255" s="183"/>
      <c r="X1255" s="183"/>
      <c r="Y1255" s="184">
        <f>IF(ISBLANK(O1255),"",(IF(O1255=UPPER("IB"),0.005,0.01)))</f>
        <v>0.01</v>
      </c>
      <c r="Z1255" s="185">
        <f>IF(ISBLANK(O1255),"",IF(O1255="IB",8.63*200,IF(O1255="IR",16*100,IF(O1255="YT",20*100,IF(O1255="YT-XT",24*200,IF(O1255="TED",80*100))))))</f>
        <v>1600</v>
      </c>
      <c r="AA1255" s="185"/>
      <c r="AB1255" s="185"/>
      <c r="AC1255" s="185" t="s">
        <v>4393</v>
      </c>
      <c r="AD1255" s="649">
        <v>-0.02</v>
      </c>
      <c r="AE1255" s="182"/>
      <c r="AF1255" s="332"/>
      <c r="AG1255" s="182"/>
      <c r="AH1255" s="182"/>
      <c r="AI1255" s="182"/>
      <c r="AJ1255" s="640"/>
      <c r="AK1255" s="182"/>
      <c r="AL1255" s="496">
        <f t="shared" ref="AL1255:AL1256" si="367">-0.03*Z1255</f>
        <v>-48</v>
      </c>
      <c r="AM1255" s="496">
        <f t="shared" si="365"/>
        <v>-480</v>
      </c>
      <c r="AN1255" s="626"/>
      <c r="AO1255" s="182"/>
      <c r="AP1255" s="182"/>
      <c r="AQ1255" s="332" t="str">
        <f>UPPER(RIGHT(Journal_Live[[#This Row],[DURATION ]]))</f>
        <v/>
      </c>
      <c r="AR1255" s="182" t="s">
        <v>4394</v>
      </c>
      <c r="AS1255" s="189">
        <v>-0.02</v>
      </c>
      <c r="AT1255" s="189">
        <f>IF(ISBLANK(AS1255),,IF(U1255="S",AD1255-AS1255,AS1255-AD1255))</f>
        <v>0</v>
      </c>
      <c r="AU1255" s="187">
        <f>AV1255*R1255</f>
        <v>0</v>
      </c>
      <c r="AV1255" s="190">
        <f>IF(ISBLANK(AS1255),,(AT1255*Z1255))</f>
        <v>0</v>
      </c>
      <c r="AW1255" s="191" t="s">
        <v>115</v>
      </c>
      <c r="AX1255" s="407"/>
      <c r="AY1255" s="407"/>
      <c r="AZ1255" s="407"/>
      <c r="BA1255" s="407"/>
      <c r="BB1255" s="407"/>
      <c r="BC1255" s="407"/>
      <c r="BD1255" s="407"/>
      <c r="BE1255" s="407"/>
      <c r="BF1255" s="422"/>
      <c r="BG1255" s="391">
        <f>SUM($AV$4:AV1255)</f>
        <v>4355.7785832707832</v>
      </c>
      <c r="BH1255" s="392">
        <f>SUM($AU$134:AU1255)</f>
        <v>21932.794000000373</v>
      </c>
      <c r="BI1255" s="318">
        <f>SUMIFS($AU$134:AU1256,$Q$134:Q1256,"F")</f>
        <v>8886.5333333333328</v>
      </c>
      <c r="BJ1255" s="318">
        <f>SUMIFS($AU$134:AU1256,$Q$134:Q1256,"S")</f>
        <v>15167.642</v>
      </c>
      <c r="BK1255" s="343">
        <f>SUMIFS($AU$134:AU1256,$P$134:P1256,"W")</f>
        <v>12894.941999999943</v>
      </c>
      <c r="BL1255" s="343">
        <f>SUMIFS($AU$134:AU1256,$P$134:P1256,"R")</f>
        <v>10964.673333333321</v>
      </c>
      <c r="BM1255" s="343">
        <f>SUMIFS($AU$134:AU1256,$AQ$134:AQ1256,"M")</f>
        <v>2910.0300000001498</v>
      </c>
      <c r="BN1255" s="343">
        <f>SUMIFS($AU$134:AU1256,$AQ$134:AQ1256,"H")</f>
        <v>9417.3420000000642</v>
      </c>
      <c r="BO1255" s="343">
        <f>SUMIFS($AU$134:AU1256,$AQ$134:AQ1256,"D")</f>
        <v>4962.236666666764</v>
      </c>
      <c r="BP1255" s="343">
        <f>SUMIFS($AU$134:AU1258,$AQ$134:AQ1258,"W")</f>
        <v>3191.7633333332024</v>
      </c>
      <c r="BQ1255" s="343">
        <f>SUMIFS($AU$134:AU1256,$Q$134:Q1256,"O")</f>
        <v>-2016.5813333329609</v>
      </c>
      <c r="BR1255" s="343">
        <f>SUMIFS($AU$134:AU1256,$AA$134:AA1256,"*")</f>
        <v>20789.305333333465</v>
      </c>
      <c r="BS1255" s="343">
        <f>SUMIFS($AU$134:AU1256,$AB$134:AB1256,"*")</f>
        <v>3053.9886666669622</v>
      </c>
      <c r="BT1255" s="343">
        <f>SUMIFS($AU$134:AU1256,$AC$134:AC1256,"*")</f>
        <v>13127.683333333332</v>
      </c>
      <c r="BU1255" s="343">
        <f>SUMIFS($AU$134:AU1256,$AA$134:AA1256,"*",$AB$134:AB1256,"*")</f>
        <v>2490.0000000000546</v>
      </c>
      <c r="BV1255" s="343">
        <f>SUMIFS($AU$134:AU1256,$AA$134:AA1256,"*",$AC$134:AC1256,"*")</f>
        <v>10780.783333333333</v>
      </c>
      <c r="BW1255" s="343">
        <f>SUMIFS($AU$134:AU1256,$AB$134:AB1256,"*",$AC$134:AC1256,"*")</f>
        <v>6206.6</v>
      </c>
      <c r="BX1255" s="343">
        <f>SUMIFS($AU1256:AU$1388,$Q1256:Q$1388,"F")</f>
        <v>5554.1333333333323</v>
      </c>
      <c r="BY1255" s="343">
        <f>SUMIFS($AU1256:AU$1388,$Q1256:Q$1388,"S")</f>
        <v>5504</v>
      </c>
      <c r="BZ1255" s="343">
        <f>SUMIFS($AU1256:AU$1388,$Q1256:Q$1388,"O")</f>
        <v>367.72333333316226</v>
      </c>
    </row>
    <row r="1256" spans="1:78" ht="15.75" customHeight="1">
      <c r="A1256" s="221" t="s">
        <v>4220</v>
      </c>
      <c r="B1256" s="177">
        <v>45240</v>
      </c>
      <c r="C1256" s="178" t="s">
        <v>4395</v>
      </c>
      <c r="D1256" s="178" t="s">
        <v>111</v>
      </c>
      <c r="E1256" s="227"/>
      <c r="F1256" s="180"/>
      <c r="G1256" s="181" t="s">
        <v>2016</v>
      </c>
      <c r="H1256" s="182"/>
      <c r="I1256" s="182"/>
      <c r="J1256" s="182"/>
      <c r="K1256" s="183"/>
      <c r="L1256" s="182"/>
      <c r="M1256" s="182"/>
      <c r="N1256" s="182"/>
      <c r="O1256" s="183"/>
      <c r="P1256" s="183"/>
      <c r="Q1256" s="183"/>
      <c r="R1256" s="183"/>
      <c r="S1256" s="183"/>
      <c r="T1256" s="183"/>
      <c r="U1256" s="183"/>
      <c r="V1256" s="183"/>
      <c r="W1256" s="183"/>
      <c r="X1256" s="183"/>
      <c r="Y1256" s="184"/>
      <c r="Z1256" s="185"/>
      <c r="AA1256" s="185"/>
      <c r="AB1256" s="185"/>
      <c r="AC1256" s="185"/>
      <c r="AD1256" s="649"/>
      <c r="AE1256" s="182"/>
      <c r="AF1256" s="332"/>
      <c r="AG1256" s="182"/>
      <c r="AH1256" s="182"/>
      <c r="AI1256" s="182"/>
      <c r="AJ1256" s="640"/>
      <c r="AK1256" s="182"/>
      <c r="AL1256" s="496">
        <f t="shared" si="367"/>
        <v>0</v>
      </c>
      <c r="AM1256" s="496">
        <f t="shared" si="365"/>
        <v>0</v>
      </c>
      <c r="AN1256" s="626"/>
      <c r="AO1256" s="182"/>
      <c r="AP1256" s="182"/>
      <c r="AQ1256" s="332" t="str">
        <f>UPPER(RIGHT(Journal_Live[[#This Row],[DURATION ]]))</f>
        <v/>
      </c>
      <c r="AR1256" s="182"/>
      <c r="AS1256" s="189"/>
      <c r="AT1256" s="189"/>
      <c r="AU1256" s="187"/>
      <c r="AV1256" s="190"/>
      <c r="AW1256" s="191"/>
      <c r="AX1256" s="407"/>
      <c r="AY1256" s="407"/>
      <c r="AZ1256" s="407"/>
      <c r="BA1256" s="407"/>
      <c r="BB1256" s="407"/>
      <c r="BC1256" s="407"/>
      <c r="BD1256" s="407"/>
      <c r="BE1256" s="407"/>
      <c r="BF1256" s="422"/>
      <c r="BG1256" s="391">
        <f>SUM($AV$4:AV1256)</f>
        <v>4355.7785832707832</v>
      </c>
      <c r="BH1256" s="392">
        <f>SUM($AU$134:AU1256)</f>
        <v>21932.794000000373</v>
      </c>
      <c r="BI1256" s="318">
        <f>SUMIFS($AU$134:AU1257,$Q$134:Q1257,"F")</f>
        <v>8886.5333333333328</v>
      </c>
      <c r="BJ1256" s="318">
        <f>SUMIFS($AU$134:AU1257,$Q$134:Q1257,"S")</f>
        <v>15167.642</v>
      </c>
      <c r="BK1256" s="343">
        <f>SUMIFS($AU$134:AU1257,$P$134:P1257,"W")</f>
        <v>12894.941999999943</v>
      </c>
      <c r="BL1256" s="343">
        <f>SUMIFS($AU$134:AU1257,$P$134:P1257,"R")</f>
        <v>10964.673333333321</v>
      </c>
      <c r="BM1256" s="343">
        <f>SUMIFS($AU$134:AU1257,$AQ$134:AQ1257,"M")</f>
        <v>2910.0300000001498</v>
      </c>
      <c r="BN1256" s="343">
        <f>SUMIFS($AU$134:AU1257,$AQ$134:AQ1257,"H")</f>
        <v>9417.3420000000642</v>
      </c>
      <c r="BO1256" s="343">
        <f>SUMIFS($AU$134:AU1257,$AQ$134:AQ1257,"D")</f>
        <v>4962.236666666764</v>
      </c>
      <c r="BP1256" s="343">
        <f>SUMIFS($AU$134:AU1259,$AQ$134:AQ1259,"W")</f>
        <v>3191.7633333332024</v>
      </c>
      <c r="BQ1256" s="343">
        <f>SUMIFS($AU$134:AU1257,$Q$134:Q1257,"O")</f>
        <v>-2016.5813333329609</v>
      </c>
      <c r="BR1256" s="343">
        <f>SUMIFS($AU$134:AU1257,$AA$134:AA1257,"*")</f>
        <v>20789.305333333465</v>
      </c>
      <c r="BS1256" s="343">
        <f>SUMIFS($AU$134:AU1257,$AB$134:AB1257,"*")</f>
        <v>3053.9886666669622</v>
      </c>
      <c r="BT1256" s="343">
        <f>SUMIFS($AU$134:AU1257,$AC$134:AC1257,"*")</f>
        <v>13127.683333333332</v>
      </c>
      <c r="BU1256" s="343">
        <f>SUMIFS($AU$134:AU1257,$AA$134:AA1257,"*",$AB$134:AB1257,"*")</f>
        <v>2490.0000000000546</v>
      </c>
      <c r="BV1256" s="343">
        <f>SUMIFS($AU$134:AU1257,$AA$134:AA1257,"*",$AC$134:AC1257,"*")</f>
        <v>10780.783333333333</v>
      </c>
      <c r="BW1256" s="343">
        <f>SUMIFS($AU$134:AU1257,$AB$134:AB1257,"*",$AC$134:AC1257,"*")</f>
        <v>6206.6</v>
      </c>
      <c r="BX1256" s="343">
        <f>SUMIFS($AU1257:AU$1388,$Q1257:Q$1388,"F")</f>
        <v>5554.1333333333323</v>
      </c>
      <c r="BY1256" s="343">
        <f>SUMIFS($AU1257:AU$1388,$Q1257:Q$1388,"S")</f>
        <v>5504</v>
      </c>
      <c r="BZ1256" s="343">
        <f>SUMIFS($AU1257:AU$1388,$Q1257:Q$1388,"O")</f>
        <v>367.72333333316226</v>
      </c>
    </row>
    <row r="1257" spans="1:78" ht="15.75" customHeight="1">
      <c r="A1257" s="221" t="s">
        <v>4220</v>
      </c>
      <c r="B1257" s="177">
        <v>45240</v>
      </c>
      <c r="C1257" s="178" t="s">
        <v>1951</v>
      </c>
      <c r="D1257" s="178" t="s">
        <v>111</v>
      </c>
      <c r="E1257" s="227"/>
      <c r="F1257" s="180"/>
      <c r="G1257" s="181" t="s">
        <v>136</v>
      </c>
      <c r="H1257" s="182"/>
      <c r="I1257" s="182"/>
      <c r="J1257" s="182"/>
      <c r="K1257" s="183"/>
      <c r="L1257" s="182"/>
      <c r="M1257" s="182"/>
      <c r="N1257" s="182"/>
      <c r="O1257" s="183"/>
      <c r="P1257" s="183"/>
      <c r="Q1257" s="183"/>
      <c r="R1257" s="183"/>
      <c r="S1257" s="183"/>
      <c r="T1257" s="183"/>
      <c r="U1257" s="183"/>
      <c r="V1257" s="183"/>
      <c r="W1257" s="183"/>
      <c r="X1257" s="183"/>
      <c r="Y1257" s="184"/>
      <c r="Z1257" s="185"/>
      <c r="AA1257" s="185"/>
      <c r="AB1257" s="185"/>
      <c r="AC1257" s="185"/>
      <c r="AD1257" s="649"/>
      <c r="AE1257" s="182"/>
      <c r="AF1257" s="332"/>
      <c r="AG1257" s="182"/>
      <c r="AH1257" s="182"/>
      <c r="AI1257" s="182"/>
      <c r="AJ1257" s="640"/>
      <c r="AK1257" s="182"/>
      <c r="AL1257" s="496">
        <f t="shared" ref="AL1257:AL1258" si="368">-0.03*Z1257</f>
        <v>0</v>
      </c>
      <c r="AM1257" s="496">
        <f t="shared" si="365"/>
        <v>0</v>
      </c>
      <c r="AN1257" s="626"/>
      <c r="AO1257" s="182"/>
      <c r="AP1257" s="182"/>
      <c r="AQ1257" s="332" t="str">
        <f>UPPER(RIGHT(Journal_Live[[#This Row],[DURATION ]]))</f>
        <v/>
      </c>
      <c r="AR1257" s="182"/>
      <c r="AS1257" s="189"/>
      <c r="AT1257" s="189"/>
      <c r="AU1257" s="187"/>
      <c r="AV1257" s="190"/>
      <c r="AW1257" s="191"/>
      <c r="AX1257" s="407"/>
      <c r="AY1257" s="407"/>
      <c r="AZ1257" s="407"/>
      <c r="BA1257" s="407"/>
      <c r="BB1257" s="407"/>
      <c r="BC1257" s="407"/>
      <c r="BD1257" s="407"/>
      <c r="BE1257" s="407"/>
      <c r="BF1257" s="422"/>
      <c r="BG1257" s="391">
        <f>SUM($AV$4:AV1257)</f>
        <v>4355.7785832707832</v>
      </c>
      <c r="BH1257" s="392">
        <f>SUM($AU$134:AU1257)</f>
        <v>21932.794000000373</v>
      </c>
      <c r="BI1257" s="318">
        <f>SUMIFS($AU$134:AU1258,$Q$134:Q1258,"F")</f>
        <v>8886.5333333333328</v>
      </c>
      <c r="BJ1257" s="318">
        <f>SUMIFS($AU$134:AU1258,$Q$134:Q1258,"S")</f>
        <v>15167.642</v>
      </c>
      <c r="BK1257" s="343">
        <f>SUMIFS($AU$134:AU1258,$P$134:P1258,"W")</f>
        <v>12894.941999999943</v>
      </c>
      <c r="BL1257" s="343">
        <f>SUMIFS($AU$134:AU1258,$P$134:P1258,"R")</f>
        <v>10964.673333333321</v>
      </c>
      <c r="BM1257" s="343">
        <f>SUMIFS($AU$134:AU1258,$AQ$134:AQ1258,"M")</f>
        <v>2910.0300000001498</v>
      </c>
      <c r="BN1257" s="343">
        <f>SUMIFS($AU$134:AU1258,$AQ$134:AQ1258,"H")</f>
        <v>9417.3420000000642</v>
      </c>
      <c r="BO1257" s="343">
        <f>SUMIFS($AU$134:AU1258,$AQ$134:AQ1258,"D")</f>
        <v>4962.236666666764</v>
      </c>
      <c r="BP1257" s="343">
        <f>SUMIFS($AU$134:AU1260,$AQ$134:AQ1260,"W")</f>
        <v>3191.7633333332024</v>
      </c>
      <c r="BQ1257" s="343">
        <f>SUMIFS($AU$134:AU1258,$Q$134:Q1258,"O")</f>
        <v>-2016.5813333329609</v>
      </c>
      <c r="BR1257" s="343">
        <f>SUMIFS($AU$134:AU1258,$AA$134:AA1258,"*")</f>
        <v>20789.305333333465</v>
      </c>
      <c r="BS1257" s="343">
        <f>SUMIFS($AU$134:AU1258,$AB$134:AB1258,"*")</f>
        <v>3053.9886666669622</v>
      </c>
      <c r="BT1257" s="343">
        <f>SUMIFS($AU$134:AU1258,$AC$134:AC1258,"*")</f>
        <v>13127.683333333332</v>
      </c>
      <c r="BU1257" s="343">
        <f>SUMIFS($AU$134:AU1258,$AA$134:AA1258,"*",$AB$134:AB1258,"*")</f>
        <v>2490.0000000000546</v>
      </c>
      <c r="BV1257" s="343">
        <f>SUMIFS($AU$134:AU1258,$AA$134:AA1258,"*",$AC$134:AC1258,"*")</f>
        <v>10780.783333333333</v>
      </c>
      <c r="BW1257" s="343">
        <f>SUMIFS($AU$134:AU1258,$AB$134:AB1258,"*",$AC$134:AC1258,"*")</f>
        <v>6206.6</v>
      </c>
      <c r="BX1257" s="343">
        <f>SUMIFS($AU1258:AU$1388,$Q1258:Q$1388,"F")</f>
        <v>5554.1333333333323</v>
      </c>
      <c r="BY1257" s="343">
        <f>SUMIFS($AU1258:AU$1388,$Q1258:Q$1388,"S")</f>
        <v>5504</v>
      </c>
      <c r="BZ1257" s="343">
        <f>SUMIFS($AU1258:AU$1388,$Q1258:Q$1388,"O")</f>
        <v>367.72333333316226</v>
      </c>
    </row>
    <row r="1258" spans="1:78" ht="15.75" customHeight="1">
      <c r="A1258" s="221" t="s">
        <v>4220</v>
      </c>
      <c r="B1258" s="177">
        <v>45240</v>
      </c>
      <c r="C1258" s="178" t="s">
        <v>106</v>
      </c>
      <c r="D1258" s="178" t="s">
        <v>111</v>
      </c>
      <c r="E1258" s="227"/>
      <c r="F1258" s="180"/>
      <c r="G1258" s="281" t="s">
        <v>4147</v>
      </c>
      <c r="H1258" s="182"/>
      <c r="I1258" s="182"/>
      <c r="J1258" s="182"/>
      <c r="K1258" s="183"/>
      <c r="L1258" s="182">
        <v>1</v>
      </c>
      <c r="M1258" s="182"/>
      <c r="N1258" s="182"/>
      <c r="O1258" s="183" t="s">
        <v>95</v>
      </c>
      <c r="P1258" s="183" t="s">
        <v>96</v>
      </c>
      <c r="Q1258" s="183" t="s">
        <v>97</v>
      </c>
      <c r="R1258" s="183">
        <v>9</v>
      </c>
      <c r="S1258" s="183">
        <v>0</v>
      </c>
      <c r="T1258" s="183">
        <v>9</v>
      </c>
      <c r="U1258" s="183" t="s">
        <v>22</v>
      </c>
      <c r="V1258" s="183"/>
      <c r="W1258" s="183"/>
      <c r="X1258" s="183"/>
      <c r="Y1258" s="184">
        <f>IF(ISBLANK(O1258),"",(IF(O1258=UPPER("IB"),0.005,0.01)))</f>
        <v>0.01</v>
      </c>
      <c r="Z1258" s="185">
        <f>IF(ISBLANK(O1258),"",IF(O1258="IB",8.63*200,IF(O1258="IR",16*100,IF(O1258="YT",20*100,IF(O1258="YT-XT",24*200,IF(O1258="TED",80*100))))))</f>
        <v>1600</v>
      </c>
      <c r="AA1258" s="185" t="s">
        <v>4396</v>
      </c>
      <c r="AB1258" s="185"/>
      <c r="AC1258" s="185"/>
      <c r="AD1258" s="649">
        <v>-0.04</v>
      </c>
      <c r="AE1258" s="182"/>
      <c r="AF1258" s="332"/>
      <c r="AG1258" s="182"/>
      <c r="AH1258" s="182"/>
      <c r="AI1258" s="182"/>
      <c r="AJ1258" s="640" t="s">
        <v>4397</v>
      </c>
      <c r="AK1258" s="182"/>
      <c r="AL1258" s="496">
        <f t="shared" si="368"/>
        <v>-48</v>
      </c>
      <c r="AM1258" s="496">
        <f t="shared" si="365"/>
        <v>-432</v>
      </c>
      <c r="AN1258" s="626"/>
      <c r="AO1258" s="182"/>
      <c r="AP1258" s="182"/>
      <c r="AQ1258" s="332" t="str">
        <f>UPPER(RIGHT(Journal_Live[[#This Row],[DURATION ]]))</f>
        <v/>
      </c>
      <c r="AR1258" s="182" t="s">
        <v>3137</v>
      </c>
      <c r="AS1258" s="189">
        <v>-0.04</v>
      </c>
      <c r="AT1258" s="189">
        <f>IF(ISBLANK(AS1258),,IF(U1258="S",AD1258-AS1258,AS1258-AD1258))</f>
        <v>0</v>
      </c>
      <c r="AU1258" s="187">
        <f>AV1258*R1258</f>
        <v>0</v>
      </c>
      <c r="AV1258" s="190">
        <f>IF(ISBLANK(AS1258),,(AT1258*Z1258))</f>
        <v>0</v>
      </c>
      <c r="AW1258" s="191" t="s">
        <v>115</v>
      </c>
      <c r="AX1258" s="407"/>
      <c r="AY1258" s="407"/>
      <c r="AZ1258" s="407"/>
      <c r="BA1258" s="407"/>
      <c r="BB1258" s="407"/>
      <c r="BC1258" s="407"/>
      <c r="BD1258" s="407"/>
      <c r="BE1258" s="407"/>
      <c r="BF1258" s="422"/>
      <c r="BG1258" s="391">
        <f>SUM($AV$4:AV1258)</f>
        <v>4355.7785832707832</v>
      </c>
      <c r="BH1258" s="392">
        <f>SUM($AU$134:AU1258)</f>
        <v>21932.794000000373</v>
      </c>
      <c r="BI1258" s="318">
        <f>SUMIFS($AU$134:AU1259,$Q$134:Q1259,"F")</f>
        <v>8886.5333333333328</v>
      </c>
      <c r="BJ1258" s="318">
        <f>SUMIFS($AU$134:AU1259,$Q$134:Q1259,"S")</f>
        <v>15167.642</v>
      </c>
      <c r="BK1258" s="343">
        <f>SUMIFS($AU$134:AU1259,$P$134:P1259,"W")</f>
        <v>12894.941999999943</v>
      </c>
      <c r="BL1258" s="343">
        <f>SUMIFS($AU$134:AU1259,$P$134:P1259,"R")</f>
        <v>10964.673333333321</v>
      </c>
      <c r="BM1258" s="343">
        <f>SUMIFS($AU$134:AU1259,$AQ$134:AQ1259,"M")</f>
        <v>2910.0300000001498</v>
      </c>
      <c r="BN1258" s="343">
        <f>SUMIFS($AU$134:AU1259,$AQ$134:AQ1259,"H")</f>
        <v>9417.3420000000642</v>
      </c>
      <c r="BO1258" s="343">
        <f>SUMIFS($AU$134:AU1259,$AQ$134:AQ1259,"D")</f>
        <v>4962.236666666764</v>
      </c>
      <c r="BP1258" s="343">
        <f>SUMIFS($AU$134:AU1261,$AQ$134:AQ1261,"W")</f>
        <v>3191.7633333332024</v>
      </c>
      <c r="BQ1258" s="343">
        <f>SUMIFS($AU$134:AU1259,$Q$134:Q1259,"O")</f>
        <v>-2016.5813333329609</v>
      </c>
      <c r="BR1258" s="343">
        <f>SUMIFS($AU$134:AU1259,$AA$134:AA1259,"*")</f>
        <v>20789.305333333465</v>
      </c>
      <c r="BS1258" s="343">
        <f>SUMIFS($AU$134:AU1259,$AB$134:AB1259,"*")</f>
        <v>3053.9886666669622</v>
      </c>
      <c r="BT1258" s="343">
        <f>SUMIFS($AU$134:AU1259,$AC$134:AC1259,"*")</f>
        <v>13127.683333333332</v>
      </c>
      <c r="BU1258" s="343">
        <f>SUMIFS($AU$134:AU1259,$AA$134:AA1259,"*",$AB$134:AB1259,"*")</f>
        <v>2490.0000000000546</v>
      </c>
      <c r="BV1258" s="343">
        <f>SUMIFS($AU$134:AU1259,$AA$134:AA1259,"*",$AC$134:AC1259,"*")</f>
        <v>10780.783333333333</v>
      </c>
      <c r="BW1258" s="343">
        <f>SUMIFS($AU$134:AU1259,$AB$134:AB1259,"*",$AC$134:AC1259,"*")</f>
        <v>6206.6</v>
      </c>
      <c r="BX1258" s="343">
        <f>SUMIFS($AU1259:AU$1388,$Q1259:Q$1388,"F")</f>
        <v>5554.1333333333323</v>
      </c>
      <c r="BY1258" s="343">
        <f>SUMIFS($AU1259:AU$1388,$Q1259:Q$1388,"S")</f>
        <v>5504</v>
      </c>
      <c r="BZ1258" s="343">
        <f>SUMIFS($AU1259:AU$1388,$Q1259:Q$1388,"O")</f>
        <v>367.72333333316226</v>
      </c>
    </row>
    <row r="1259" spans="1:78" ht="15.75" customHeight="1">
      <c r="A1259" s="221" t="s">
        <v>4220</v>
      </c>
      <c r="B1259" s="177">
        <v>45240</v>
      </c>
      <c r="C1259" s="178" t="s">
        <v>106</v>
      </c>
      <c r="D1259" s="178" t="s">
        <v>111</v>
      </c>
      <c r="E1259" s="227"/>
      <c r="F1259" s="180"/>
      <c r="G1259" s="181" t="s">
        <v>4147</v>
      </c>
      <c r="H1259" s="182"/>
      <c r="I1259" s="182"/>
      <c r="J1259" s="182"/>
      <c r="K1259" s="183"/>
      <c r="L1259" s="182">
        <v>1</v>
      </c>
      <c r="M1259" s="182"/>
      <c r="N1259" s="182"/>
      <c r="O1259" s="183" t="s">
        <v>95</v>
      </c>
      <c r="P1259" s="183" t="s">
        <v>96</v>
      </c>
      <c r="Q1259" s="183" t="s">
        <v>97</v>
      </c>
      <c r="R1259" s="183">
        <v>9</v>
      </c>
      <c r="S1259" s="183">
        <v>0</v>
      </c>
      <c r="T1259" s="183">
        <v>9</v>
      </c>
      <c r="U1259" s="183" t="s">
        <v>22</v>
      </c>
      <c r="V1259" s="183"/>
      <c r="W1259" s="183"/>
      <c r="X1259" s="183"/>
      <c r="Y1259" s="184">
        <f>IF(ISBLANK(O1259),"",(IF(O1259=UPPER("IB"),0.005,0.01)))</f>
        <v>0.01</v>
      </c>
      <c r="Z1259" s="185">
        <f>IF(ISBLANK(O1259),"",IF(O1259="IB",8.63*200,IF(O1259="IR",16*100,IF(O1259="YT",20*100,IF(O1259="YT-XT",24*200,IF(O1259="TED",80*100))))))</f>
        <v>1600</v>
      </c>
      <c r="AA1259" s="185" t="s">
        <v>4396</v>
      </c>
      <c r="AB1259" s="185"/>
      <c r="AC1259" s="185"/>
      <c r="AD1259" s="649">
        <v>-0.04</v>
      </c>
      <c r="AE1259" s="182"/>
      <c r="AF1259" s="332"/>
      <c r="AG1259" s="182"/>
      <c r="AH1259" s="182"/>
      <c r="AI1259" s="182"/>
      <c r="AJ1259" s="640" t="s">
        <v>4397</v>
      </c>
      <c r="AK1259" s="182"/>
      <c r="AL1259" s="496">
        <f t="shared" ref="AL1259" si="369">-0.03*Z1259</f>
        <v>-48</v>
      </c>
      <c r="AM1259" s="496">
        <f t="shared" si="365"/>
        <v>-432</v>
      </c>
      <c r="AN1259" s="626"/>
      <c r="AO1259" s="182"/>
      <c r="AP1259" s="182"/>
      <c r="AQ1259" s="332" t="str">
        <f>UPPER(RIGHT(Journal_Live[[#This Row],[DURATION ]]))</f>
        <v/>
      </c>
      <c r="AR1259" s="182" t="s">
        <v>2684</v>
      </c>
      <c r="AS1259" s="189">
        <v>-0.04</v>
      </c>
      <c r="AT1259" s="189">
        <f>IF(ISBLANK(AS1259),,IF(U1259="S",AD1259-AS1259,AS1259-AD1259))</f>
        <v>0</v>
      </c>
      <c r="AU1259" s="187">
        <f>AV1259*R1259</f>
        <v>0</v>
      </c>
      <c r="AV1259" s="190">
        <f>IF(ISBLANK(AS1259),,(AT1259*Z1259))</f>
        <v>0</v>
      </c>
      <c r="AW1259" s="191" t="s">
        <v>115</v>
      </c>
      <c r="AX1259" s="407" t="s">
        <v>4398</v>
      </c>
      <c r="AY1259" s="407"/>
      <c r="AZ1259" s="407"/>
      <c r="BA1259" s="407"/>
      <c r="BB1259" s="407"/>
      <c r="BC1259" s="407"/>
      <c r="BD1259" s="407"/>
      <c r="BE1259" s="407"/>
      <c r="BF1259" s="422"/>
      <c r="BG1259" s="391">
        <f>SUM($AV$4:AV1259)</f>
        <v>4355.7785832707832</v>
      </c>
      <c r="BH1259" s="392">
        <f>SUM($AU$134:AU1259)</f>
        <v>21932.794000000373</v>
      </c>
      <c r="BI1259" s="318">
        <f>SUMIFS($AU$134:AU1260,$Q$134:Q1260,"F")</f>
        <v>8886.5333333333328</v>
      </c>
      <c r="BJ1259" s="318">
        <f>SUMIFS($AU$134:AU1260,$Q$134:Q1260,"S")</f>
        <v>15167.642</v>
      </c>
      <c r="BK1259" s="343">
        <f>SUMIFS($AU$134:AU1260,$P$134:P1260,"W")</f>
        <v>12894.941999999943</v>
      </c>
      <c r="BL1259" s="343">
        <f>SUMIFS($AU$134:AU1260,$P$134:P1260,"R")</f>
        <v>10964.673333333321</v>
      </c>
      <c r="BM1259" s="343">
        <f>SUMIFS($AU$134:AU1260,$AQ$134:AQ1260,"M")</f>
        <v>2910.0300000001498</v>
      </c>
      <c r="BN1259" s="343">
        <f>SUMIFS($AU$134:AU1260,$AQ$134:AQ1260,"H")</f>
        <v>9417.3420000000642</v>
      </c>
      <c r="BO1259" s="343">
        <f>SUMIFS($AU$134:AU1260,$AQ$134:AQ1260,"D")</f>
        <v>4962.236666666764</v>
      </c>
      <c r="BP1259" s="343">
        <f>SUMIFS($AU$134:AU1262,$AQ$134:AQ1262,"W")</f>
        <v>3191.7633333332024</v>
      </c>
      <c r="BQ1259" s="343">
        <f>SUMIFS($AU$134:AU1260,$Q$134:Q1260,"O")</f>
        <v>-2016.5813333329609</v>
      </c>
      <c r="BR1259" s="343">
        <f>SUMIFS($AU$134:AU1260,$AA$134:AA1260,"*")</f>
        <v>20789.305333333465</v>
      </c>
      <c r="BS1259" s="343">
        <f>SUMIFS($AU$134:AU1260,$AB$134:AB1260,"*")</f>
        <v>3053.9886666669622</v>
      </c>
      <c r="BT1259" s="343">
        <f>SUMIFS($AU$134:AU1260,$AC$134:AC1260,"*")</f>
        <v>13127.683333333332</v>
      </c>
      <c r="BU1259" s="343">
        <f>SUMIFS($AU$134:AU1260,$AA$134:AA1260,"*",$AB$134:AB1260,"*")</f>
        <v>2490.0000000000546</v>
      </c>
      <c r="BV1259" s="343">
        <f>SUMIFS($AU$134:AU1260,$AA$134:AA1260,"*",$AC$134:AC1260,"*")</f>
        <v>10780.783333333333</v>
      </c>
      <c r="BW1259" s="343">
        <f>SUMIFS($AU$134:AU1260,$AB$134:AB1260,"*",$AC$134:AC1260,"*")</f>
        <v>6206.6</v>
      </c>
      <c r="BX1259" s="343">
        <f>SUMIFS($AU1260:AU$1388,$Q1260:Q$1388,"F")</f>
        <v>5554.1333333333323</v>
      </c>
      <c r="BY1259" s="343">
        <f>SUMIFS($AU1260:AU$1388,$Q1260:Q$1388,"S")</f>
        <v>5504</v>
      </c>
      <c r="BZ1259" s="343">
        <f>SUMIFS($AU1260:AU$1388,$Q1260:Q$1388,"O")</f>
        <v>367.72333333316226</v>
      </c>
    </row>
    <row r="1260" spans="1:78" ht="15.75" customHeight="1">
      <c r="A1260" s="221" t="s">
        <v>4220</v>
      </c>
      <c r="B1260" s="177">
        <v>45240</v>
      </c>
      <c r="C1260" s="178" t="s">
        <v>4052</v>
      </c>
      <c r="D1260" s="178" t="s">
        <v>111</v>
      </c>
      <c r="E1260" s="227"/>
      <c r="F1260" s="180"/>
      <c r="G1260" s="181" t="s">
        <v>3962</v>
      </c>
      <c r="H1260" s="182"/>
      <c r="I1260" s="182"/>
      <c r="J1260" s="182"/>
      <c r="K1260" s="183"/>
      <c r="L1260" s="182"/>
      <c r="M1260" s="182"/>
      <c r="N1260" s="182"/>
      <c r="O1260" s="183"/>
      <c r="P1260" s="183"/>
      <c r="Q1260" s="183"/>
      <c r="R1260" s="183"/>
      <c r="S1260" s="183"/>
      <c r="T1260" s="183"/>
      <c r="U1260" s="183"/>
      <c r="V1260" s="183"/>
      <c r="W1260" s="183"/>
      <c r="X1260" s="183"/>
      <c r="Y1260" s="184"/>
      <c r="Z1260" s="185"/>
      <c r="AA1260" s="185"/>
      <c r="AB1260" s="185"/>
      <c r="AC1260" s="185"/>
      <c r="AD1260" s="649"/>
      <c r="AE1260" s="182"/>
      <c r="AF1260" s="332"/>
      <c r="AG1260" s="182"/>
      <c r="AH1260" s="182"/>
      <c r="AI1260" s="182"/>
      <c r="AJ1260" s="640"/>
      <c r="AK1260" s="182"/>
      <c r="AL1260" s="496">
        <f t="shared" ref="AL1260:AL1261" si="370">-0.03*Z1260</f>
        <v>0</v>
      </c>
      <c r="AM1260" s="496">
        <f t="shared" si="365"/>
        <v>0</v>
      </c>
      <c r="AN1260" s="626"/>
      <c r="AO1260" s="182"/>
      <c r="AP1260" s="182"/>
      <c r="AQ1260" s="332" t="str">
        <f>UPPER(RIGHT(Journal_Live[[#This Row],[DURATION ]]))</f>
        <v/>
      </c>
      <c r="AR1260" s="182"/>
      <c r="AS1260" s="189"/>
      <c r="AT1260" s="189"/>
      <c r="AU1260" s="187"/>
      <c r="AV1260" s="190"/>
      <c r="AW1260" s="191"/>
      <c r="AX1260" s="407"/>
      <c r="AY1260" s="407"/>
      <c r="AZ1260" s="407"/>
      <c r="BA1260" s="407"/>
      <c r="BB1260" s="407"/>
      <c r="BC1260" s="407"/>
      <c r="BD1260" s="407"/>
      <c r="BE1260" s="407"/>
      <c r="BF1260" s="422"/>
      <c r="BG1260" s="391">
        <f>SUM($AV$4:AV1260)</f>
        <v>4355.7785832707832</v>
      </c>
      <c r="BH1260" s="392">
        <f>SUM($AU$134:AU1260)</f>
        <v>21932.794000000373</v>
      </c>
      <c r="BI1260" s="318">
        <f>SUMIFS($AU$134:AU1261,$Q$134:Q1261,"F")</f>
        <v>8886.5333333333328</v>
      </c>
      <c r="BJ1260" s="318">
        <f>SUMIFS($AU$134:AU1261,$Q$134:Q1261,"S")</f>
        <v>15167.642</v>
      </c>
      <c r="BK1260" s="343">
        <f>SUMIFS($AU$134:AU1261,$P$134:P1261,"W")</f>
        <v>12894.941999999943</v>
      </c>
      <c r="BL1260" s="343">
        <f>SUMIFS($AU$134:AU1261,$P$134:P1261,"R")</f>
        <v>10964.673333333321</v>
      </c>
      <c r="BM1260" s="343">
        <f>SUMIFS($AU$134:AU1261,$AQ$134:AQ1261,"M")</f>
        <v>2910.0300000001498</v>
      </c>
      <c r="BN1260" s="343">
        <f>SUMIFS($AU$134:AU1261,$AQ$134:AQ1261,"H")</f>
        <v>9417.3420000000642</v>
      </c>
      <c r="BO1260" s="343">
        <f>SUMIFS($AU$134:AU1261,$AQ$134:AQ1261,"D")</f>
        <v>4962.236666666764</v>
      </c>
      <c r="BP1260" s="343">
        <f>SUMIFS($AU$134:AU1263,$AQ$134:AQ1263,"W")</f>
        <v>3191.7633333332024</v>
      </c>
      <c r="BQ1260" s="343">
        <f>SUMIFS($AU$134:AU1261,$Q$134:Q1261,"O")</f>
        <v>-2016.5813333329609</v>
      </c>
      <c r="BR1260" s="343">
        <f>SUMIFS($AU$134:AU1261,$AA$134:AA1261,"*")</f>
        <v>20789.305333333465</v>
      </c>
      <c r="BS1260" s="343">
        <f>SUMIFS($AU$134:AU1261,$AB$134:AB1261,"*")</f>
        <v>3053.9886666669622</v>
      </c>
      <c r="BT1260" s="343">
        <f>SUMIFS($AU$134:AU1261,$AC$134:AC1261,"*")</f>
        <v>13127.683333333332</v>
      </c>
      <c r="BU1260" s="343">
        <f>SUMIFS($AU$134:AU1261,$AA$134:AA1261,"*",$AB$134:AB1261,"*")</f>
        <v>2490.0000000000546</v>
      </c>
      <c r="BV1260" s="343">
        <f>SUMIFS($AU$134:AU1261,$AA$134:AA1261,"*",$AC$134:AC1261,"*")</f>
        <v>10780.783333333333</v>
      </c>
      <c r="BW1260" s="343">
        <f>SUMIFS($AU$134:AU1261,$AB$134:AB1261,"*",$AC$134:AC1261,"*")</f>
        <v>6206.6</v>
      </c>
      <c r="BX1260" s="343">
        <f>SUMIFS($AU1261:AU$1388,$Q1261:Q$1388,"F")</f>
        <v>5554.1333333333323</v>
      </c>
      <c r="BY1260" s="343">
        <f>SUMIFS($AU1261:AU$1388,$Q1261:Q$1388,"S")</f>
        <v>5504</v>
      </c>
      <c r="BZ1260" s="343">
        <f>SUMIFS($AU1261:AU$1388,$Q1261:Q$1388,"O")</f>
        <v>367.72333333316226</v>
      </c>
    </row>
    <row r="1261" spans="1:78" ht="15.75" customHeight="1">
      <c r="A1261" s="221" t="s">
        <v>4220</v>
      </c>
      <c r="B1261" s="177">
        <v>45240</v>
      </c>
      <c r="C1261" s="178" t="s">
        <v>1014</v>
      </c>
      <c r="D1261" s="178" t="s">
        <v>111</v>
      </c>
      <c r="E1261" s="227"/>
      <c r="F1261" s="180"/>
      <c r="G1261" s="181" t="s">
        <v>4147</v>
      </c>
      <c r="H1261" s="182"/>
      <c r="I1261" s="182"/>
      <c r="J1261" s="182"/>
      <c r="K1261" s="183"/>
      <c r="L1261" s="182"/>
      <c r="M1261" s="182"/>
      <c r="N1261" s="182"/>
      <c r="O1261" s="183"/>
      <c r="P1261" s="183"/>
      <c r="Q1261" s="183"/>
      <c r="R1261" s="183"/>
      <c r="S1261" s="183"/>
      <c r="T1261" s="183"/>
      <c r="U1261" s="183"/>
      <c r="V1261" s="183"/>
      <c r="W1261" s="183"/>
      <c r="X1261" s="183"/>
      <c r="Y1261" s="184"/>
      <c r="Z1261" s="185"/>
      <c r="AA1261" s="185"/>
      <c r="AB1261" s="185"/>
      <c r="AC1261" s="185"/>
      <c r="AD1261" s="649"/>
      <c r="AE1261" s="182"/>
      <c r="AF1261" s="332"/>
      <c r="AG1261" s="182"/>
      <c r="AH1261" s="182"/>
      <c r="AI1261" s="182"/>
      <c r="AJ1261" s="640"/>
      <c r="AK1261" s="182"/>
      <c r="AL1261" s="496">
        <f t="shared" si="370"/>
        <v>0</v>
      </c>
      <c r="AM1261" s="496">
        <f t="shared" si="365"/>
        <v>0</v>
      </c>
      <c r="AN1261" s="626"/>
      <c r="AO1261" s="182"/>
      <c r="AP1261" s="182"/>
      <c r="AQ1261" s="332" t="str">
        <f>UPPER(RIGHT(Journal_Live[[#This Row],[DURATION ]]))</f>
        <v/>
      </c>
      <c r="AR1261" s="182"/>
      <c r="AS1261" s="189"/>
      <c r="AT1261" s="189"/>
      <c r="AU1261" s="187"/>
      <c r="AV1261" s="190"/>
      <c r="AW1261" s="191"/>
      <c r="AX1261" s="407"/>
      <c r="AY1261" s="407"/>
      <c r="AZ1261" s="407"/>
      <c r="BA1261" s="407"/>
      <c r="BB1261" s="407"/>
      <c r="BC1261" s="407"/>
      <c r="BD1261" s="407"/>
      <c r="BE1261" s="407"/>
      <c r="BF1261" s="422"/>
      <c r="BG1261" s="391">
        <f>SUM($AV$4:AV1261)</f>
        <v>4355.7785832707832</v>
      </c>
      <c r="BH1261" s="392">
        <f>SUM($AU$134:AU1261)</f>
        <v>21932.794000000373</v>
      </c>
      <c r="BI1261" s="318">
        <f>SUMIFS($AU$134:AU1262,$Q$134:Q1262,"F")</f>
        <v>8886.5333333333328</v>
      </c>
      <c r="BJ1261" s="318">
        <f>SUMIFS($AU$134:AU1262,$Q$134:Q1262,"S")</f>
        <v>15167.642</v>
      </c>
      <c r="BK1261" s="343">
        <f>SUMIFS($AU$134:AU1262,$P$134:P1262,"W")</f>
        <v>12894.941999999943</v>
      </c>
      <c r="BL1261" s="343">
        <f>SUMIFS($AU$134:AU1262,$P$134:P1262,"R")</f>
        <v>10964.673333333321</v>
      </c>
      <c r="BM1261" s="343">
        <f>SUMIFS($AU$134:AU1262,$AQ$134:AQ1262,"M")</f>
        <v>2910.0300000001498</v>
      </c>
      <c r="BN1261" s="343">
        <f>SUMIFS($AU$134:AU1262,$AQ$134:AQ1262,"H")</f>
        <v>9417.3420000000642</v>
      </c>
      <c r="BO1261" s="343">
        <f>SUMIFS($AU$134:AU1262,$AQ$134:AQ1262,"D")</f>
        <v>4962.236666666764</v>
      </c>
      <c r="BP1261" s="343">
        <f>SUMIFS($AU$134:AU1264,$AQ$134:AQ1264,"W")</f>
        <v>4237.0966666665354</v>
      </c>
      <c r="BQ1261" s="343">
        <f>SUMIFS($AU$134:AU1262,$Q$134:Q1262,"O")</f>
        <v>-2016.5813333329609</v>
      </c>
      <c r="BR1261" s="343">
        <f>SUMIFS($AU$134:AU1262,$AA$134:AA1262,"*")</f>
        <v>20789.305333333465</v>
      </c>
      <c r="BS1261" s="343">
        <f>SUMIFS($AU$134:AU1262,$AB$134:AB1262,"*")</f>
        <v>3053.9886666669622</v>
      </c>
      <c r="BT1261" s="343">
        <f>SUMIFS($AU$134:AU1262,$AC$134:AC1262,"*")</f>
        <v>13127.683333333332</v>
      </c>
      <c r="BU1261" s="343">
        <f>SUMIFS($AU$134:AU1262,$AA$134:AA1262,"*",$AB$134:AB1262,"*")</f>
        <v>2490.0000000000546</v>
      </c>
      <c r="BV1261" s="343">
        <f>SUMIFS($AU$134:AU1262,$AA$134:AA1262,"*",$AC$134:AC1262,"*")</f>
        <v>10780.783333333333</v>
      </c>
      <c r="BW1261" s="343">
        <f>SUMIFS($AU$134:AU1262,$AB$134:AB1262,"*",$AC$134:AC1262,"*")</f>
        <v>6206.6</v>
      </c>
      <c r="BX1261" s="343">
        <f>SUMIFS($AU1262:AU$1388,$Q1262:Q$1388,"F")</f>
        <v>5554.1333333333323</v>
      </c>
      <c r="BY1261" s="343">
        <f>SUMIFS($AU1262:AU$1388,$Q1262:Q$1388,"S")</f>
        <v>5504</v>
      </c>
      <c r="BZ1261" s="343">
        <f>SUMIFS($AU1262:AU$1388,$Q1262:Q$1388,"O")</f>
        <v>367.72333333316226</v>
      </c>
    </row>
    <row r="1262" spans="1:78" ht="15.75" customHeight="1">
      <c r="A1262" s="177" t="s">
        <v>4220</v>
      </c>
      <c r="B1262" s="200">
        <v>45240</v>
      </c>
      <c r="C1262" s="178"/>
      <c r="D1262" s="178" t="s">
        <v>111</v>
      </c>
      <c r="E1262" s="227"/>
      <c r="F1262" s="180"/>
      <c r="G1262" s="281" t="s">
        <v>2070</v>
      </c>
      <c r="H1262" s="182"/>
      <c r="I1262" s="182"/>
      <c r="J1262" s="182"/>
      <c r="K1262" s="183"/>
      <c r="L1262" s="182"/>
      <c r="M1262" s="182"/>
      <c r="N1262" s="182"/>
      <c r="O1262" s="183" t="s">
        <v>95</v>
      </c>
      <c r="P1262" s="183" t="s">
        <v>137</v>
      </c>
      <c r="Q1262" s="183" t="s">
        <v>97</v>
      </c>
      <c r="R1262" s="183">
        <v>4</v>
      </c>
      <c r="S1262" s="183">
        <v>0</v>
      </c>
      <c r="T1262" s="183">
        <v>4</v>
      </c>
      <c r="U1262" s="183" t="s">
        <v>97</v>
      </c>
      <c r="V1262" s="183"/>
      <c r="W1262" s="183"/>
      <c r="X1262" s="183"/>
      <c r="Y1262" s="184">
        <f>IF(ISBLANK(O1262),"",(IF(O1262=UPPER("IB"),0.005,0.01)))</f>
        <v>0.01</v>
      </c>
      <c r="Z1262" s="185">
        <f>IF(ISBLANK(O1262),"",IF(O1262="IB",8.63*200,IF(O1262="IR",16*100,IF(O1262="YT",20*100,IF(O1262="YT-XT",24*200,IF(O1262="TED",80*100))))))</f>
        <v>1600</v>
      </c>
      <c r="AA1262" s="185"/>
      <c r="AB1262" s="185"/>
      <c r="AC1262" s="185"/>
      <c r="AD1262" s="649">
        <v>-0.09</v>
      </c>
      <c r="AE1262" s="182"/>
      <c r="AF1262" s="332"/>
      <c r="AG1262" s="182"/>
      <c r="AH1262" s="182"/>
      <c r="AI1262" s="182"/>
      <c r="AJ1262" s="640"/>
      <c r="AK1262" s="182"/>
      <c r="AL1262" s="496"/>
      <c r="AM1262" s="496"/>
      <c r="AN1262" s="626"/>
      <c r="AO1262" s="182"/>
      <c r="AP1262" s="182"/>
      <c r="AQ1262" s="332" t="str">
        <f>UPPER(RIGHT(Journal_Live[[#This Row],[DURATION ]]))</f>
        <v/>
      </c>
      <c r="AR1262" s="182" t="s">
        <v>4392</v>
      </c>
      <c r="AS1262" s="189">
        <v>-0.09</v>
      </c>
      <c r="AT1262" s="189">
        <f>IF(ISBLANK(AS1262),,IF(U1262="S",AD1262-AS1262,AS1262-AD1262))</f>
        <v>0</v>
      </c>
      <c r="AU1262" s="187">
        <f>AV1262*R1262</f>
        <v>0</v>
      </c>
      <c r="AV1262" s="190">
        <f>IF(ISBLANK(AS1262),,(AT1262*Z1262))</f>
        <v>0</v>
      </c>
      <c r="AW1262" s="191" t="s">
        <v>115</v>
      </c>
      <c r="AX1262" s="407"/>
      <c r="AY1262" s="407"/>
      <c r="AZ1262" s="407"/>
      <c r="BA1262" s="407"/>
      <c r="BB1262" s="407"/>
      <c r="BC1262" s="407"/>
      <c r="BD1262" s="407"/>
      <c r="BE1262" s="407"/>
      <c r="BF1262" s="422"/>
      <c r="BG1262" s="391"/>
      <c r="BH1262" s="392">
        <f>SUM($AU$134:AU1262)</f>
        <v>21932.794000000373</v>
      </c>
      <c r="BI1262" s="318">
        <f>SUMIFS($AU$134:AU1263,$Q$134:Q1263,"F")</f>
        <v>8886.5333333333328</v>
      </c>
      <c r="BJ1262" s="318">
        <f>SUMIFS($AU$134:AU1263,$Q$134:Q1263,"S")</f>
        <v>15167.642</v>
      </c>
      <c r="BK1262" s="343">
        <f>SUMIFS($AU$134:AU1263,$P$134:P1263,"W")</f>
        <v>12894.941999999943</v>
      </c>
      <c r="BL1262" s="343">
        <f>SUMIFS($AU$134:AU1263,$P$134:P1263,"R")</f>
        <v>10964.673333333321</v>
      </c>
      <c r="BM1262" s="343">
        <f>SUMIFS($AU$134:AU1263,$AQ$134:AQ1263,"M")</f>
        <v>2910.0300000001498</v>
      </c>
      <c r="BN1262" s="343">
        <f>SUMIFS($AU$134:AU1263,$AQ$134:AQ1263,"H")</f>
        <v>9417.3420000000642</v>
      </c>
      <c r="BO1262" s="343">
        <f>SUMIFS($AU$134:AU1263,$AQ$134:AQ1263,"D")</f>
        <v>4962.236666666764</v>
      </c>
      <c r="BP1262" s="343">
        <f>SUMIFS($AU$134:AU1265,$AQ$134:AQ1265,"W")</f>
        <v>4237.0966666665354</v>
      </c>
      <c r="BQ1262" s="343">
        <f>SUMIFS($AU$134:AU1263,$Q$134:Q1263,"O")</f>
        <v>-2016.5813333329609</v>
      </c>
      <c r="BR1262" s="343">
        <f>SUMIFS($AU$134:AU1263,$AA$134:AA1263,"*")</f>
        <v>20789.305333333465</v>
      </c>
      <c r="BS1262" s="343">
        <f>SUMIFS($AU$134:AU1263,$AB$134:AB1263,"*")</f>
        <v>3053.9886666669622</v>
      </c>
      <c r="BT1262" s="343">
        <f>SUMIFS($AU$134:AU1263,$AC$134:AC1263,"*")</f>
        <v>13127.683333333332</v>
      </c>
      <c r="BU1262" s="343">
        <f>SUMIFS($AU$134:AU1263,$AA$134:AA1263,"*",$AB$134:AB1263,"*")</f>
        <v>2490.0000000000546</v>
      </c>
      <c r="BV1262" s="343">
        <f>SUMIFS($AU$134:AU1263,$AA$134:AA1263,"*",$AC$134:AC1263,"*")</f>
        <v>10780.783333333333</v>
      </c>
      <c r="BW1262" s="343">
        <f>SUMIFS($AU$134:AU1263,$AB$134:AB1263,"*",$AC$134:AC1263,"*")</f>
        <v>6206.6</v>
      </c>
      <c r="BX1262" s="343">
        <f>SUMIFS($AU1263:AU$1388,$Q1263:Q$1388,"F")</f>
        <v>5554.1333333333323</v>
      </c>
      <c r="BY1262" s="343">
        <f>SUMIFS($AU1263:AU$1388,$Q1263:Q$1388,"S")</f>
        <v>5504</v>
      </c>
      <c r="BZ1262" s="343">
        <f>SUMIFS($AU1263:AU$1388,$Q1263:Q$1388,"O")</f>
        <v>367.72333333316226</v>
      </c>
    </row>
    <row r="1263" spans="1:78" ht="15.75" customHeight="1">
      <c r="A1263" s="177" t="s">
        <v>4220</v>
      </c>
      <c r="B1263" s="200">
        <v>45240</v>
      </c>
      <c r="C1263" s="178"/>
      <c r="D1263" s="178" t="s">
        <v>111</v>
      </c>
      <c r="E1263" s="227"/>
      <c r="F1263" s="180"/>
      <c r="G1263" s="281" t="s">
        <v>2942</v>
      </c>
      <c r="H1263" s="182"/>
      <c r="I1263" s="182"/>
      <c r="J1263" s="182"/>
      <c r="K1263" s="183"/>
      <c r="L1263" s="182"/>
      <c r="M1263" s="182"/>
      <c r="N1263" s="182"/>
      <c r="O1263" s="183" t="s">
        <v>95</v>
      </c>
      <c r="P1263" s="183" t="s">
        <v>96</v>
      </c>
      <c r="Q1263" s="183" t="s">
        <v>97</v>
      </c>
      <c r="R1263" s="183">
        <v>6</v>
      </c>
      <c r="S1263" s="183">
        <v>0</v>
      </c>
      <c r="T1263" s="183">
        <v>6</v>
      </c>
      <c r="U1263" s="183" t="s">
        <v>97</v>
      </c>
      <c r="V1263" s="183"/>
      <c r="W1263" s="183"/>
      <c r="X1263" s="183"/>
      <c r="Y1263" s="184">
        <f>IF(ISBLANK(O1263),"",(IF(O1263=UPPER("IB"),0.005,0.01)))</f>
        <v>0.01</v>
      </c>
      <c r="Z1263" s="185">
        <f>IF(ISBLANK(O1263),"",IF(O1263="IB",8.63*200,IF(O1263="IR",16*100,IF(O1263="YT",20*100,IF(O1263="YT-XT",24*200,IF(O1263="TED",80*100))))))</f>
        <v>1600</v>
      </c>
      <c r="AA1263" s="185"/>
      <c r="AB1263" s="185"/>
      <c r="AC1263" s="185"/>
      <c r="AD1263" s="649">
        <v>-0.08</v>
      </c>
      <c r="AE1263" s="182"/>
      <c r="AF1263" s="332"/>
      <c r="AG1263" s="182"/>
      <c r="AH1263" s="182"/>
      <c r="AI1263" s="182"/>
      <c r="AJ1263" s="640"/>
      <c r="AK1263" s="182"/>
      <c r="AL1263" s="496"/>
      <c r="AM1263" s="496"/>
      <c r="AN1263" s="626"/>
      <c r="AO1263" s="182"/>
      <c r="AP1263" s="182"/>
      <c r="AQ1263" s="332" t="str">
        <f>UPPER(RIGHT(Journal_Live[[#This Row],[DURATION ]]))</f>
        <v/>
      </c>
      <c r="AR1263" s="182" t="s">
        <v>4399</v>
      </c>
      <c r="AS1263" s="189">
        <v>-0.08</v>
      </c>
      <c r="AT1263" s="189">
        <f>IF(ISBLANK(AS1263),,IF(U1263="S",AD1263-AS1263,AS1263-AD1263))</f>
        <v>0</v>
      </c>
      <c r="AU1263" s="187">
        <f>AV1263*R1263</f>
        <v>0</v>
      </c>
      <c r="AV1263" s="190">
        <f>IF(ISBLANK(AS1263),,(AT1263*Z1263))</f>
        <v>0</v>
      </c>
      <c r="AW1263" s="191" t="s">
        <v>115</v>
      </c>
      <c r="AX1263" s="407"/>
      <c r="AY1263" s="407"/>
      <c r="AZ1263" s="407"/>
      <c r="BA1263" s="407"/>
      <c r="BB1263" s="407"/>
      <c r="BC1263" s="407"/>
      <c r="BD1263" s="407"/>
      <c r="BE1263" s="407"/>
      <c r="BF1263" s="422"/>
      <c r="BG1263" s="391"/>
      <c r="BH1263" s="392">
        <f>SUM($AU$134:AU1263)</f>
        <v>21932.794000000373</v>
      </c>
      <c r="BI1263" s="318">
        <f>SUMIFS($AU$134:AU1264,$Q$134:Q1264,"F")</f>
        <v>9931.8666666666668</v>
      </c>
      <c r="BJ1263" s="318">
        <f>SUMIFS($AU$134:AU1264,$Q$134:Q1264,"S")</f>
        <v>15167.642</v>
      </c>
      <c r="BK1263" s="343">
        <f>SUMIFS($AU$134:AU1264,$P$134:P1264,"W")</f>
        <v>12894.941999999943</v>
      </c>
      <c r="BL1263" s="343">
        <f>SUMIFS($AU$134:AU1264,$P$134:P1264,"R")</f>
        <v>12010.006666666655</v>
      </c>
      <c r="BM1263" s="343">
        <f>SUMIFS($AU$134:AU1264,$AQ$134:AQ1264,"M")</f>
        <v>2910.0300000001498</v>
      </c>
      <c r="BN1263" s="343">
        <f>SUMIFS($AU$134:AU1264,$AQ$134:AQ1264,"H")</f>
        <v>9417.3420000000642</v>
      </c>
      <c r="BO1263" s="343">
        <f>SUMIFS($AU$134:AU1264,$AQ$134:AQ1264,"D")</f>
        <v>4962.236666666764</v>
      </c>
      <c r="BP1263" s="343">
        <f>SUMIFS($AU$134:AU1266,$AQ$134:AQ1266,"W")</f>
        <v>5158.6966666665357</v>
      </c>
      <c r="BQ1263" s="343">
        <f>SUMIFS($AU$134:AU1264,$Q$134:Q1264,"O")</f>
        <v>-2016.5813333329609</v>
      </c>
      <c r="BR1263" s="343">
        <f>SUMIFS($AU$134:AU1264,$AA$134:AA1264,"*")</f>
        <v>20789.305333333465</v>
      </c>
      <c r="BS1263" s="343">
        <f>SUMIFS($AU$134:AU1264,$AB$134:AB1264,"*")</f>
        <v>3053.9886666669622</v>
      </c>
      <c r="BT1263" s="343">
        <f>SUMIFS($AU$134:AU1264,$AC$134:AC1264,"*")</f>
        <v>14173.016666666666</v>
      </c>
      <c r="BU1263" s="343">
        <f>SUMIFS($AU$134:AU1264,$AA$134:AA1264,"*",$AB$134:AB1264,"*")</f>
        <v>2490.0000000000546</v>
      </c>
      <c r="BV1263" s="343">
        <f>SUMIFS($AU$134:AU1264,$AA$134:AA1264,"*",$AC$134:AC1264,"*")</f>
        <v>10780.783333333333</v>
      </c>
      <c r="BW1263" s="343">
        <f>SUMIFS($AU$134:AU1264,$AB$134:AB1264,"*",$AC$134:AC1264,"*")</f>
        <v>6206.6</v>
      </c>
      <c r="BX1263" s="343">
        <f>SUMIFS($AU1264:AU$1388,$Q1264:Q$1388,"F")</f>
        <v>5554.1333333333323</v>
      </c>
      <c r="BY1263" s="343">
        <f>SUMIFS($AU1264:AU$1388,$Q1264:Q$1388,"S")</f>
        <v>5504</v>
      </c>
      <c r="BZ1263" s="343">
        <f>SUMIFS($AU1264:AU$1388,$Q1264:Q$1388,"O")</f>
        <v>367.72333333316226</v>
      </c>
    </row>
    <row r="1264" spans="1:78" ht="15.75" customHeight="1">
      <c r="A1264" s="221" t="s">
        <v>4220</v>
      </c>
      <c r="B1264" s="177">
        <v>45244</v>
      </c>
      <c r="C1264" s="178" t="s">
        <v>4400</v>
      </c>
      <c r="D1264" s="178" t="s">
        <v>146</v>
      </c>
      <c r="E1264" s="227"/>
      <c r="F1264" s="180"/>
      <c r="G1264" s="490" t="s">
        <v>3962</v>
      </c>
      <c r="H1264" s="182"/>
      <c r="I1264" s="182"/>
      <c r="J1264" s="182"/>
      <c r="K1264" s="183"/>
      <c r="L1264" s="182">
        <v>1</v>
      </c>
      <c r="M1264" s="182"/>
      <c r="N1264" s="182"/>
      <c r="O1264" s="183" t="s">
        <v>95</v>
      </c>
      <c r="P1264" s="183" t="s">
        <v>137</v>
      </c>
      <c r="Q1264" s="183" t="s">
        <v>256</v>
      </c>
      <c r="R1264" s="183">
        <v>28</v>
      </c>
      <c r="S1264" s="183">
        <v>28</v>
      </c>
      <c r="T1264" s="183">
        <v>36</v>
      </c>
      <c r="U1264" s="183" t="s">
        <v>97</v>
      </c>
      <c r="V1264" s="183"/>
      <c r="W1264" s="183"/>
      <c r="X1264" s="183"/>
      <c r="Y1264" s="184">
        <f>IF(ISBLANK(O1264),"",(IF(O1264=UPPER("IB"),0.005,0.01)))</f>
        <v>0.01</v>
      </c>
      <c r="Z1264" s="185">
        <f>IF(ISBLANK(O1264),"",IF(O1264="IB",8.63*200,IF(O1264="IR",16*100,IF(O1264="YT",20*100,IF(O1264="YT-XT",24*200,IF(O1264="TED",80*100))))))</f>
        <v>1600</v>
      </c>
      <c r="AA1264" s="185"/>
      <c r="AB1264" s="185"/>
      <c r="AC1264" s="185" t="s">
        <v>4401</v>
      </c>
      <c r="AD1264" s="649">
        <f>((-0.02*18)+(0*36))/54</f>
        <v>-6.6666666666666662E-3</v>
      </c>
      <c r="AE1264" s="182"/>
      <c r="AF1264" s="332"/>
      <c r="AG1264" s="182"/>
      <c r="AH1264" s="478" t="s">
        <v>4402</v>
      </c>
      <c r="AI1264" s="182"/>
      <c r="AJ1264" s="640"/>
      <c r="AK1264" s="182"/>
      <c r="AL1264" s="496">
        <f>-0.025*Z1264</f>
        <v>-40</v>
      </c>
      <c r="AM1264" s="496">
        <f>AL1264*(R1264-S1264)</f>
        <v>0</v>
      </c>
      <c r="AN1264" s="626"/>
      <c r="AO1264" s="182"/>
      <c r="AP1264" s="182" t="s">
        <v>902</v>
      </c>
      <c r="AQ1264" s="332" t="str">
        <f>UPPER(RIGHT(Journal_Live[[#This Row],[DURATION ]]))</f>
        <v>W</v>
      </c>
      <c r="AR1264" s="182" t="s">
        <v>4403</v>
      </c>
      <c r="AS1264" s="189">
        <v>-0.03</v>
      </c>
      <c r="AT1264" s="189">
        <f>IF(ISBLANK(AS1264),,IF(U1264="S",AD1264-AS1264,AS1264-AD1264))</f>
        <v>2.3333333333333331E-2</v>
      </c>
      <c r="AU1264" s="187">
        <f>AV1264*R1264</f>
        <v>1045.3333333333333</v>
      </c>
      <c r="AV1264" s="190">
        <f>IF(ISBLANK(AS1264),,(AT1264*Z1264))</f>
        <v>37.333333333333329</v>
      </c>
      <c r="AW1264" s="191" t="s">
        <v>96</v>
      </c>
      <c r="AX1264" s="407" t="s">
        <v>4404</v>
      </c>
      <c r="AY1264" s="407" t="s">
        <v>4405</v>
      </c>
      <c r="AZ1264" s="407"/>
      <c r="BA1264" s="407" t="s">
        <v>4406</v>
      </c>
      <c r="BB1264" s="407"/>
      <c r="BC1264" s="407"/>
      <c r="BD1264" s="407"/>
      <c r="BE1264" s="407"/>
      <c r="BF1264" s="422"/>
      <c r="BG1264" s="391">
        <f>SUM($AV$4:AV1264)</f>
        <v>4393.1119166041162</v>
      </c>
      <c r="BH1264" s="392">
        <f>SUM($AU$134:AU1264)</f>
        <v>22978.127333333705</v>
      </c>
      <c r="BI1264" s="318">
        <f>SUMIFS($AU$134:AU1265,$Q$134:Q1265,"F")</f>
        <v>9931.8666666666668</v>
      </c>
      <c r="BJ1264" s="318">
        <f>SUMIFS($AU$134:AU1265,$Q$134:Q1265,"S")</f>
        <v>15167.642</v>
      </c>
      <c r="BK1264" s="343">
        <f>SUMIFS($AU$134:AU1265,$P$134:P1265,"W")</f>
        <v>12894.941999999943</v>
      </c>
      <c r="BL1264" s="343">
        <f>SUMIFS($AU$134:AU1265,$P$134:P1265,"R")</f>
        <v>12010.006666666655</v>
      </c>
      <c r="BM1264" s="343">
        <f>SUMIFS($AU$134:AU1265,$AQ$134:AQ1265,"M")</f>
        <v>2910.0300000001498</v>
      </c>
      <c r="BN1264" s="343">
        <f>SUMIFS($AU$134:AU1265,$AQ$134:AQ1265,"H")</f>
        <v>9417.3420000000642</v>
      </c>
      <c r="BO1264" s="343">
        <f>SUMIFS($AU$134:AU1265,$AQ$134:AQ1265,"D")</f>
        <v>4962.236666666764</v>
      </c>
      <c r="BP1264" s="343">
        <f>SUMIFS($AU$134:AU1267,$AQ$134:AQ1267,"W")</f>
        <v>5158.6966666665357</v>
      </c>
      <c r="BQ1264" s="343">
        <f>SUMIFS($AU$134:AU1265,$Q$134:Q1265,"O")</f>
        <v>-2016.5813333329609</v>
      </c>
      <c r="BR1264" s="343">
        <f>SUMIFS($AU$134:AU1265,$AA$134:AA1265,"*")</f>
        <v>20789.305333333465</v>
      </c>
      <c r="BS1264" s="343">
        <f>SUMIFS($AU$134:AU1265,$AB$134:AB1265,"*")</f>
        <v>3053.9886666669622</v>
      </c>
      <c r="BT1264" s="343">
        <f>SUMIFS($AU$134:AU1265,$AC$134:AC1265,"*")</f>
        <v>14173.016666666666</v>
      </c>
      <c r="BU1264" s="343">
        <f>SUMIFS($AU$134:AU1265,$AA$134:AA1265,"*",$AB$134:AB1265,"*")</f>
        <v>2490.0000000000546</v>
      </c>
      <c r="BV1264" s="343">
        <f>SUMIFS($AU$134:AU1265,$AA$134:AA1265,"*",$AC$134:AC1265,"*")</f>
        <v>10780.783333333333</v>
      </c>
      <c r="BW1264" s="343">
        <f>SUMIFS($AU$134:AU1265,$AB$134:AB1265,"*",$AC$134:AC1265,"*")</f>
        <v>6206.6</v>
      </c>
      <c r="BX1264" s="343">
        <f>SUMIFS($AU1265:AU$1388,$Q1265:Q$1388,"F")</f>
        <v>4508.7999999999993</v>
      </c>
      <c r="BY1264" s="343">
        <f>SUMIFS($AU1265:AU$1388,$Q1265:Q$1388,"S")</f>
        <v>5504</v>
      </c>
      <c r="BZ1264" s="343">
        <f>SUMIFS($AU1265:AU$1388,$Q1265:Q$1388,"O")</f>
        <v>367.72333333316226</v>
      </c>
    </row>
    <row r="1265" spans="1:78" ht="15.75" customHeight="1">
      <c r="A1265" s="221" t="s">
        <v>4220</v>
      </c>
      <c r="B1265" s="177">
        <v>45244</v>
      </c>
      <c r="C1265" s="178" t="s">
        <v>4400</v>
      </c>
      <c r="D1265" s="178" t="s">
        <v>146</v>
      </c>
      <c r="E1265" s="227"/>
      <c r="F1265" s="180"/>
      <c r="G1265" s="181" t="s">
        <v>4407</v>
      </c>
      <c r="H1265" s="182"/>
      <c r="I1265" s="182"/>
      <c r="J1265" s="182"/>
      <c r="K1265" s="183"/>
      <c r="L1265" s="182"/>
      <c r="M1265" s="182"/>
      <c r="N1265" s="182"/>
      <c r="O1265" s="183"/>
      <c r="P1265" s="183"/>
      <c r="Q1265" s="183"/>
      <c r="R1265" s="183"/>
      <c r="S1265" s="183"/>
      <c r="T1265" s="183"/>
      <c r="U1265" s="183"/>
      <c r="V1265" s="183"/>
      <c r="W1265" s="183"/>
      <c r="X1265" s="183"/>
      <c r="Y1265" s="184"/>
      <c r="Z1265" s="185"/>
      <c r="AA1265" s="185"/>
      <c r="AB1265" s="185"/>
      <c r="AC1265" s="185"/>
      <c r="AD1265" s="649"/>
      <c r="AE1265" s="182"/>
      <c r="AF1265" s="332"/>
      <c r="AG1265" s="182"/>
      <c r="AH1265" s="478"/>
      <c r="AI1265" s="182"/>
      <c r="AJ1265" s="640"/>
      <c r="AK1265" s="182"/>
      <c r="AL1265" s="496"/>
      <c r="AM1265" s="496"/>
      <c r="AN1265" s="626"/>
      <c r="AO1265" s="182"/>
      <c r="AP1265" s="182"/>
      <c r="AQ1265" s="332" t="str">
        <f>UPPER(RIGHT(Journal_Live[[#This Row],[DURATION ]]))</f>
        <v/>
      </c>
      <c r="AR1265" s="182"/>
      <c r="AS1265" s="189"/>
      <c r="AT1265" s="189"/>
      <c r="AU1265" s="187"/>
      <c r="AV1265" s="190"/>
      <c r="AW1265" s="191"/>
      <c r="AX1265" s="407" t="s">
        <v>4408</v>
      </c>
      <c r="AY1265" s="407"/>
      <c r="AZ1265" s="407"/>
      <c r="BA1265" s="407"/>
      <c r="BB1265" s="407"/>
      <c r="BC1265" s="407"/>
      <c r="BD1265" s="407"/>
      <c r="BE1265" s="407"/>
      <c r="BF1265" s="422"/>
      <c r="BG1265" s="391">
        <f>SUM($AV$4:AV1265)</f>
        <v>4393.1119166041162</v>
      </c>
      <c r="BH1265" s="392">
        <f>SUM($AU$134:AU1265)</f>
        <v>22978.127333333705</v>
      </c>
      <c r="BI1265" s="318">
        <f>SUMIFS($AU$134:AU1266,$Q$134:Q1266,"F")</f>
        <v>10853.466666666667</v>
      </c>
      <c r="BJ1265" s="318">
        <f>SUMIFS($AU$134:AU1266,$Q$134:Q1266,"S")</f>
        <v>15167.642</v>
      </c>
      <c r="BK1265" s="343">
        <f>SUMIFS($AU$134:AU1266,$P$134:P1266,"W")</f>
        <v>12894.941999999943</v>
      </c>
      <c r="BL1265" s="343">
        <f>SUMIFS($AU$134:AU1266,$P$134:P1266,"R")</f>
        <v>12931.606666666656</v>
      </c>
      <c r="BM1265" s="343">
        <f>SUMIFS($AU$134:AU1266,$AQ$134:AQ1266,"M")</f>
        <v>2910.0300000001498</v>
      </c>
      <c r="BN1265" s="343">
        <f>SUMIFS($AU$134:AU1266,$AQ$134:AQ1266,"H")</f>
        <v>9417.3420000000642</v>
      </c>
      <c r="BO1265" s="343">
        <f>SUMIFS($AU$134:AU1266,$AQ$134:AQ1266,"D")</f>
        <v>4962.236666666764</v>
      </c>
      <c r="BP1265" s="343">
        <f>SUMIFS($AU$134:AU1268,$AQ$134:AQ1268,"W")</f>
        <v>5158.6966666665357</v>
      </c>
      <c r="BQ1265" s="343">
        <f>SUMIFS($AU$134:AU1266,$Q$134:Q1266,"O")</f>
        <v>-2016.5813333329609</v>
      </c>
      <c r="BR1265" s="343">
        <f>SUMIFS($AU$134:AU1266,$AA$134:AA1266,"*")</f>
        <v>21710.905333333463</v>
      </c>
      <c r="BS1265" s="343">
        <f>SUMIFS($AU$134:AU1266,$AB$134:AB1266,"*")</f>
        <v>3053.9886666669622</v>
      </c>
      <c r="BT1265" s="343">
        <f>SUMIFS($AU$134:AU1266,$AC$134:AC1266,"*")</f>
        <v>14173.016666666666</v>
      </c>
      <c r="BU1265" s="343">
        <f>SUMIFS($AU$134:AU1266,$AA$134:AA1266,"*",$AB$134:AB1266,"*")</f>
        <v>2490.0000000000546</v>
      </c>
      <c r="BV1265" s="343">
        <f>SUMIFS($AU$134:AU1266,$AA$134:AA1266,"*",$AC$134:AC1266,"*")</f>
        <v>10780.783333333333</v>
      </c>
      <c r="BW1265" s="343">
        <f>SUMIFS($AU$134:AU1266,$AB$134:AB1266,"*",$AC$134:AC1266,"*")</f>
        <v>6206.6</v>
      </c>
      <c r="BX1265" s="343">
        <f>SUMIFS($AU1266:AU$1388,$Q1266:Q$1388,"F")</f>
        <v>4508.7999999999993</v>
      </c>
      <c r="BY1265" s="343">
        <f>SUMIFS($AU1266:AU$1388,$Q1266:Q$1388,"S")</f>
        <v>5504</v>
      </c>
      <c r="BZ1265" s="343">
        <f>SUMIFS($AU1266:AU$1388,$Q1266:Q$1388,"O")</f>
        <v>367.72333333316226</v>
      </c>
    </row>
    <row r="1266" spans="1:78" ht="15.75" customHeight="1">
      <c r="A1266" s="221" t="s">
        <v>4220</v>
      </c>
      <c r="B1266" s="177">
        <v>45244</v>
      </c>
      <c r="C1266" s="178" t="s">
        <v>4400</v>
      </c>
      <c r="D1266" s="178" t="s">
        <v>146</v>
      </c>
      <c r="E1266" s="227"/>
      <c r="F1266" s="180"/>
      <c r="G1266" s="281" t="s">
        <v>4409</v>
      </c>
      <c r="H1266" s="182"/>
      <c r="I1266" s="182"/>
      <c r="J1266" s="182"/>
      <c r="K1266" s="183"/>
      <c r="L1266" s="182">
        <v>1</v>
      </c>
      <c r="M1266" s="182"/>
      <c r="N1266" s="182"/>
      <c r="O1266" s="183" t="s">
        <v>95</v>
      </c>
      <c r="P1266" s="183" t="s">
        <v>137</v>
      </c>
      <c r="Q1266" s="183" t="s">
        <v>256</v>
      </c>
      <c r="R1266" s="183">
        <v>26</v>
      </c>
      <c r="S1266" s="183">
        <v>21</v>
      </c>
      <c r="T1266" s="183">
        <v>26</v>
      </c>
      <c r="U1266" s="183" t="s">
        <v>22</v>
      </c>
      <c r="V1266" s="183"/>
      <c r="W1266" s="183"/>
      <c r="X1266" s="183"/>
      <c r="Y1266" s="184">
        <f>IF(ISBLANK(O1266),"",(IF(O1266=UPPER("IB"),0.005,0.01)))</f>
        <v>0.01</v>
      </c>
      <c r="Z1266" s="185">
        <f t="shared" ref="Z1266:Z1272" si="371">IF(ISBLANK(O1266),"",IF(O1266="IB",8.63*200,IF(O1266="IR",16*100,IF(O1266="YT",20*100,IF(O1266="YT-XT",24*200,IF(O1266="TED",80*100))))))</f>
        <v>1600</v>
      </c>
      <c r="AA1266" s="185" t="s">
        <v>4410</v>
      </c>
      <c r="AB1266" s="185"/>
      <c r="AC1266" s="185"/>
      <c r="AD1266" s="649">
        <v>-1.6E-2</v>
      </c>
      <c r="AE1266" s="182"/>
      <c r="AF1266" s="332"/>
      <c r="AG1266" s="182"/>
      <c r="AH1266" s="478" t="s">
        <v>4411</v>
      </c>
      <c r="AI1266" s="182"/>
      <c r="AJ1266" s="644" t="s">
        <v>4412</v>
      </c>
      <c r="AK1266" s="182"/>
      <c r="AL1266" s="496">
        <f>-0.025*Z1266</f>
        <v>-40</v>
      </c>
      <c r="AM1266" s="496">
        <f>AL1266*(R1266-S1266)</f>
        <v>-200</v>
      </c>
      <c r="AN1266" s="626"/>
      <c r="AO1266" s="182"/>
      <c r="AP1266" s="182" t="s">
        <v>897</v>
      </c>
      <c r="AQ1266" s="332" t="str">
        <f>UPPER(RIGHT(Journal_Live[[#This Row],[DURATION ]]))</f>
        <v>W</v>
      </c>
      <c r="AR1266" s="182" t="s">
        <v>4413</v>
      </c>
      <c r="AS1266" s="189">
        <f>(0.01*9+0.01*12+(-0.01*5))/26</f>
        <v>6.153846153846153E-3</v>
      </c>
      <c r="AT1266" s="189">
        <f>IF(ISBLANK(AS1266),,IF(U1266="S",AD1266-AS1266,AS1266-AD1266))</f>
        <v>2.2153846153846152E-2</v>
      </c>
      <c r="AU1266" s="187">
        <f>AV1266*R1266</f>
        <v>921.59999999999991</v>
      </c>
      <c r="AV1266" s="190">
        <f>IF(ISBLANK(AS1266),,(AT1266*Z1266))</f>
        <v>35.446153846153841</v>
      </c>
      <c r="AW1266" s="191" t="s">
        <v>96</v>
      </c>
      <c r="AX1266" s="407" t="s">
        <v>4408</v>
      </c>
      <c r="AY1266" s="407" t="s">
        <v>4414</v>
      </c>
      <c r="AZ1266" s="409" t="s">
        <v>4415</v>
      </c>
      <c r="BA1266" s="407" t="s">
        <v>4416</v>
      </c>
      <c r="BB1266" s="407"/>
      <c r="BC1266" s="407"/>
      <c r="BD1266" s="407"/>
      <c r="BE1266" s="407"/>
      <c r="BF1266" s="422"/>
      <c r="BG1266" s="391">
        <f>SUM($AV$4:AV1266)</f>
        <v>4428.55807045027</v>
      </c>
      <c r="BH1266" s="392">
        <f>SUM($AU$134:AU1266)</f>
        <v>23899.727333333703</v>
      </c>
      <c r="BI1266" s="318">
        <f>SUMIFS($AU$134:AU1267,$Q$134:Q1267,"F")</f>
        <v>10853.466666666667</v>
      </c>
      <c r="BJ1266" s="318">
        <f>SUMIFS($AU$134:AU1267,$Q$134:Q1267,"S")</f>
        <v>15167.642</v>
      </c>
      <c r="BK1266" s="343">
        <f>SUMIFS($AU$134:AU1267,$P$134:P1267,"W")</f>
        <v>12894.941999999943</v>
      </c>
      <c r="BL1266" s="343">
        <f>SUMIFS($AU$134:AU1267,$P$134:P1267,"R")</f>
        <v>12931.606666666656</v>
      </c>
      <c r="BM1266" s="343">
        <f>SUMIFS($AU$134:AU1267,$AQ$134:AQ1267,"M")</f>
        <v>2910.0300000001498</v>
      </c>
      <c r="BN1266" s="343">
        <f>SUMIFS($AU$134:AU1267,$AQ$134:AQ1267,"H")</f>
        <v>9417.3420000000642</v>
      </c>
      <c r="BO1266" s="343">
        <f>SUMIFS($AU$134:AU1267,$AQ$134:AQ1267,"D")</f>
        <v>4962.236666666764</v>
      </c>
      <c r="BP1266" s="343">
        <f>SUMIFS($AU$134:AU1269,$AQ$134:AQ1269,"W")</f>
        <v>5158.6966666665357</v>
      </c>
      <c r="BQ1266" s="343">
        <f>SUMIFS($AU$134:AU1267,$Q$134:Q1267,"O")</f>
        <v>-2016.5813333329609</v>
      </c>
      <c r="BR1266" s="343">
        <f>SUMIFS($AU$134:AU1267,$AA$134:AA1267,"*")</f>
        <v>21710.905333333463</v>
      </c>
      <c r="BS1266" s="343">
        <f>SUMIFS($AU$134:AU1267,$AB$134:AB1267,"*")</f>
        <v>3053.9886666669622</v>
      </c>
      <c r="BT1266" s="343">
        <f>SUMIFS($AU$134:AU1267,$AC$134:AC1267,"*")</f>
        <v>14173.016666666666</v>
      </c>
      <c r="BU1266" s="343">
        <f>SUMIFS($AU$134:AU1267,$AA$134:AA1267,"*",$AB$134:AB1267,"*")</f>
        <v>2490.0000000000546</v>
      </c>
      <c r="BV1266" s="343">
        <f>SUMIFS($AU$134:AU1267,$AA$134:AA1267,"*",$AC$134:AC1267,"*")</f>
        <v>10780.783333333333</v>
      </c>
      <c r="BW1266" s="343">
        <f>SUMIFS($AU$134:AU1267,$AB$134:AB1267,"*",$AC$134:AC1267,"*")</f>
        <v>6206.6</v>
      </c>
      <c r="BX1266" s="343">
        <f>SUMIFS($AU1267:AU$1388,$Q1267:Q$1388,"F")</f>
        <v>3587.2</v>
      </c>
      <c r="BY1266" s="343">
        <f>SUMIFS($AU1267:AU$1388,$Q1267:Q$1388,"S")</f>
        <v>5504</v>
      </c>
      <c r="BZ1266" s="343">
        <f>SUMIFS($AU1267:AU$1388,$Q1267:Q$1388,"O")</f>
        <v>367.72333333316226</v>
      </c>
    </row>
    <row r="1267" spans="1:78" ht="15.75" customHeight="1">
      <c r="A1267" s="221" t="s">
        <v>4220</v>
      </c>
      <c r="B1267" s="177">
        <v>45244</v>
      </c>
      <c r="C1267" s="178" t="s">
        <v>1474</v>
      </c>
      <c r="D1267" s="178" t="s">
        <v>146</v>
      </c>
      <c r="E1267" s="227" t="s">
        <v>4417</v>
      </c>
      <c r="F1267" s="180" t="s">
        <v>4418</v>
      </c>
      <c r="G1267" s="181"/>
      <c r="H1267" s="182"/>
      <c r="I1267" s="182"/>
      <c r="J1267" s="182">
        <v>1</v>
      </c>
      <c r="K1267" s="183" t="s">
        <v>115</v>
      </c>
      <c r="L1267" s="182"/>
      <c r="M1267" s="182"/>
      <c r="N1267" s="182"/>
      <c r="O1267" s="183"/>
      <c r="P1267" s="183"/>
      <c r="Q1267" s="183"/>
      <c r="R1267" s="183"/>
      <c r="S1267" s="183"/>
      <c r="T1267" s="183"/>
      <c r="U1267" s="183"/>
      <c r="V1267" s="183"/>
      <c r="W1267" s="183"/>
      <c r="X1267" s="183"/>
      <c r="Y1267" s="183"/>
      <c r="Z1267" s="185" t="str">
        <f t="shared" si="371"/>
        <v/>
      </c>
      <c r="AA1267" s="185"/>
      <c r="AB1267" s="185"/>
      <c r="AC1267" s="185"/>
      <c r="AD1267" s="649"/>
      <c r="AE1267" s="182"/>
      <c r="AF1267" s="332"/>
      <c r="AG1267" s="182"/>
      <c r="AH1267" s="182"/>
      <c r="AI1267" s="182"/>
      <c r="AJ1267" s="640"/>
      <c r="AK1267" s="182"/>
      <c r="AL1267" s="496"/>
      <c r="AM1267" s="496"/>
      <c r="AN1267" s="626"/>
      <c r="AO1267" s="182"/>
      <c r="AP1267" s="182"/>
      <c r="AQ1267" s="332" t="str">
        <f>UPPER(RIGHT(Journal_Live[[#This Row],[DURATION ]]))</f>
        <v/>
      </c>
      <c r="AR1267" s="182"/>
      <c r="AS1267" s="189"/>
      <c r="AT1267" s="189"/>
      <c r="AU1267" s="187"/>
      <c r="AV1267" s="190"/>
      <c r="AW1267" s="191"/>
      <c r="AX1267" s="407" t="s">
        <v>4419</v>
      </c>
      <c r="AY1267" s="407" t="s">
        <v>4420</v>
      </c>
      <c r="AZ1267" s="407"/>
      <c r="BA1267" s="407"/>
      <c r="BB1267" s="407"/>
      <c r="BC1267" s="407"/>
      <c r="BD1267" s="407"/>
      <c r="BE1267" s="407"/>
      <c r="BF1267" s="422"/>
      <c r="BG1267" s="391">
        <f>SUM($AV$4:AV1267)</f>
        <v>4428.55807045027</v>
      </c>
      <c r="BH1267" s="392">
        <f>SUM($AU$134:AU1267)</f>
        <v>23899.727333333703</v>
      </c>
      <c r="BI1267" s="318">
        <f>SUMIFS($AU$134:AU1268,$Q$134:Q1268,"F")</f>
        <v>10853.466666666667</v>
      </c>
      <c r="BJ1267" s="318">
        <f>SUMIFS($AU$134:AU1268,$Q$134:Q1268,"S")</f>
        <v>15167.642</v>
      </c>
      <c r="BK1267" s="343">
        <f>SUMIFS($AU$134:AU1268,$P$134:P1268,"W")</f>
        <v>12894.941999999943</v>
      </c>
      <c r="BL1267" s="343">
        <f>SUMIFS($AU$134:AU1268,$P$134:P1268,"R")</f>
        <v>12931.606666666656</v>
      </c>
      <c r="BM1267" s="343">
        <f>SUMIFS($AU$134:AU1268,$AQ$134:AQ1268,"M")</f>
        <v>2910.0300000001498</v>
      </c>
      <c r="BN1267" s="343">
        <f>SUMIFS($AU$134:AU1268,$AQ$134:AQ1268,"H")</f>
        <v>9417.3420000000642</v>
      </c>
      <c r="BO1267" s="343">
        <f>SUMIFS($AU$134:AU1268,$AQ$134:AQ1268,"D")</f>
        <v>4962.236666666764</v>
      </c>
      <c r="BP1267" s="343">
        <f>SUMIFS($AU$134:AU1270,$AQ$134:AQ1270,"W")</f>
        <v>5158.6966666665357</v>
      </c>
      <c r="BQ1267" s="343">
        <f>SUMIFS($AU$134:AU1268,$Q$134:Q1268,"O")</f>
        <v>-2016.5813333329609</v>
      </c>
      <c r="BR1267" s="343">
        <f>SUMIFS($AU$134:AU1268,$AA$134:AA1268,"*")</f>
        <v>21710.905333333463</v>
      </c>
      <c r="BS1267" s="343">
        <f>SUMIFS($AU$134:AU1268,$AB$134:AB1268,"*")</f>
        <v>3053.9886666669622</v>
      </c>
      <c r="BT1267" s="343">
        <f>SUMIFS($AU$134:AU1268,$AC$134:AC1268,"*")</f>
        <v>14173.016666666666</v>
      </c>
      <c r="BU1267" s="343">
        <f>SUMIFS($AU$134:AU1268,$AA$134:AA1268,"*",$AB$134:AB1268,"*")</f>
        <v>2490.0000000000546</v>
      </c>
      <c r="BV1267" s="343">
        <f>SUMIFS($AU$134:AU1268,$AA$134:AA1268,"*",$AC$134:AC1268,"*")</f>
        <v>10780.783333333333</v>
      </c>
      <c r="BW1267" s="343">
        <f>SUMIFS($AU$134:AU1268,$AB$134:AB1268,"*",$AC$134:AC1268,"*")</f>
        <v>6206.6</v>
      </c>
      <c r="BX1267" s="343">
        <f>SUMIFS($AU1268:AU$1388,$Q1268:Q$1388,"F")</f>
        <v>3587.2</v>
      </c>
      <c r="BY1267" s="343">
        <f>SUMIFS($AU1268:AU$1388,$Q1268:Q$1388,"S")</f>
        <v>5504</v>
      </c>
      <c r="BZ1267" s="343">
        <f>SUMIFS($AU1268:AU$1388,$Q1268:Q$1388,"O")</f>
        <v>367.72333333316226</v>
      </c>
    </row>
    <row r="1268" spans="1:78" ht="15.75" customHeight="1">
      <c r="A1268" s="221" t="s">
        <v>4220</v>
      </c>
      <c r="B1268" s="177"/>
      <c r="C1268" s="178"/>
      <c r="D1268" s="178"/>
      <c r="E1268" s="227" t="s">
        <v>4421</v>
      </c>
      <c r="F1268" s="180"/>
      <c r="G1268" s="181"/>
      <c r="H1268" s="182"/>
      <c r="I1268" s="182"/>
      <c r="J1268" s="182">
        <v>1</v>
      </c>
      <c r="K1268" s="183" t="s">
        <v>115</v>
      </c>
      <c r="L1268" s="182"/>
      <c r="M1268" s="182"/>
      <c r="N1268" s="182"/>
      <c r="O1268" s="183"/>
      <c r="P1268" s="183"/>
      <c r="Q1268" s="183"/>
      <c r="R1268" s="183"/>
      <c r="S1268" s="183"/>
      <c r="T1268" s="183"/>
      <c r="U1268" s="183"/>
      <c r="V1268" s="183"/>
      <c r="W1268" s="183"/>
      <c r="X1268" s="183"/>
      <c r="Y1268" s="183"/>
      <c r="Z1268" s="185" t="str">
        <f t="shared" si="371"/>
        <v/>
      </c>
      <c r="AA1268" s="185"/>
      <c r="AB1268" s="185"/>
      <c r="AC1268" s="185"/>
      <c r="AD1268" s="649"/>
      <c r="AE1268" s="182"/>
      <c r="AF1268" s="332"/>
      <c r="AG1268" s="182"/>
      <c r="AH1268" s="182"/>
      <c r="AI1268" s="182"/>
      <c r="AJ1268" s="640"/>
      <c r="AK1268" s="182"/>
      <c r="AL1268" s="496"/>
      <c r="AM1268" s="496"/>
      <c r="AN1268" s="626"/>
      <c r="AO1268" s="182"/>
      <c r="AP1268" s="182"/>
      <c r="AQ1268" s="332" t="str">
        <f>UPPER(RIGHT(Journal_Live[[#This Row],[DURATION ]]))</f>
        <v/>
      </c>
      <c r="AR1268" s="182"/>
      <c r="AS1268" s="189"/>
      <c r="AT1268" s="189"/>
      <c r="AU1268" s="187"/>
      <c r="AV1268" s="190"/>
      <c r="AW1268" s="191"/>
      <c r="AX1268" s="407" t="s">
        <v>4422</v>
      </c>
      <c r="AY1268" s="407" t="s">
        <v>4423</v>
      </c>
      <c r="AZ1268" s="407" t="s">
        <v>4424</v>
      </c>
      <c r="BA1268" s="407" t="s">
        <v>4425</v>
      </c>
      <c r="BB1268" s="407"/>
      <c r="BC1268" s="407"/>
      <c r="BD1268" s="407"/>
      <c r="BE1268" s="407"/>
      <c r="BF1268" s="422"/>
      <c r="BG1268" s="391">
        <f>SUM($AV$4:AV1268)</f>
        <v>4428.55807045027</v>
      </c>
      <c r="BH1268" s="392">
        <f>SUM($AU$134:AU1268)</f>
        <v>23899.727333333703</v>
      </c>
      <c r="BI1268" s="318">
        <f>SUMIFS($AU$134:AU1269,$Q$134:Q1269,"F")</f>
        <v>10853.466666666667</v>
      </c>
      <c r="BJ1268" s="318">
        <f>SUMIFS($AU$134:AU1269,$Q$134:Q1269,"S")</f>
        <v>15391.642</v>
      </c>
      <c r="BK1268" s="343">
        <f>SUMIFS($AU$134:AU1269,$P$134:P1269,"W")</f>
        <v>13118.941999999943</v>
      </c>
      <c r="BL1268" s="343">
        <f>SUMIFS($AU$134:AU1269,$P$134:P1269,"R")</f>
        <v>12931.606666666656</v>
      </c>
      <c r="BM1268" s="343">
        <f>SUMIFS($AU$134:AU1269,$AQ$134:AQ1269,"M")</f>
        <v>2910.0300000001498</v>
      </c>
      <c r="BN1268" s="343">
        <f>SUMIFS($AU$134:AU1269,$AQ$134:AQ1269,"H")</f>
        <v>9641.3420000000642</v>
      </c>
      <c r="BO1268" s="343">
        <f>SUMIFS($AU$134:AU1269,$AQ$134:AQ1269,"D")</f>
        <v>4962.236666666764</v>
      </c>
      <c r="BP1268" s="343">
        <f>SUMIFS($AU$134:AU1271,$AQ$134:AQ1271,"W")</f>
        <v>5158.6966666665357</v>
      </c>
      <c r="BQ1268" s="343">
        <f>SUMIFS($AU$134:AU1269,$Q$134:Q1269,"O")</f>
        <v>-2016.5813333329609</v>
      </c>
      <c r="BR1268" s="343">
        <f>SUMIFS($AU$134:AU1269,$AA$134:AA1269,"*")</f>
        <v>21934.905333333463</v>
      </c>
      <c r="BS1268" s="343">
        <f>SUMIFS($AU$134:AU1269,$AB$134:AB1269,"*")</f>
        <v>3053.9886666669622</v>
      </c>
      <c r="BT1268" s="343">
        <f>SUMIFS($AU$134:AU1269,$AC$134:AC1269,"*")</f>
        <v>14173.016666666666</v>
      </c>
      <c r="BU1268" s="343">
        <f>SUMIFS($AU$134:AU1269,$AA$134:AA1269,"*",$AB$134:AB1269,"*")</f>
        <v>2490.0000000000546</v>
      </c>
      <c r="BV1268" s="343">
        <f>SUMIFS($AU$134:AU1269,$AA$134:AA1269,"*",$AC$134:AC1269,"*")</f>
        <v>10780.783333333333</v>
      </c>
      <c r="BW1268" s="343">
        <f>SUMIFS($AU$134:AU1269,$AB$134:AB1269,"*",$AC$134:AC1269,"*")</f>
        <v>6206.6</v>
      </c>
      <c r="BX1268" s="343">
        <f>SUMIFS($AU1269:AU$1388,$Q1269:Q$1388,"F")</f>
        <v>3587.2</v>
      </c>
      <c r="BY1268" s="343">
        <f>SUMIFS($AU1269:AU$1388,$Q1269:Q$1388,"S")</f>
        <v>5504</v>
      </c>
      <c r="BZ1268" s="343">
        <f>SUMIFS($AU1269:AU$1388,$Q1269:Q$1388,"O")</f>
        <v>367.72333333316226</v>
      </c>
    </row>
    <row r="1269" spans="1:78" ht="15.75" customHeight="1">
      <c r="A1269" s="221" t="s">
        <v>4220</v>
      </c>
      <c r="B1269" s="177">
        <v>45244</v>
      </c>
      <c r="C1269" s="178" t="s">
        <v>2729</v>
      </c>
      <c r="D1269" s="178" t="s">
        <v>146</v>
      </c>
      <c r="E1269" s="227"/>
      <c r="F1269" s="180"/>
      <c r="G1269" s="281" t="s">
        <v>181</v>
      </c>
      <c r="H1269" s="182"/>
      <c r="I1269" s="182"/>
      <c r="J1269" s="182"/>
      <c r="K1269" s="183"/>
      <c r="L1269" s="182"/>
      <c r="M1269" s="182"/>
      <c r="N1269" s="182"/>
      <c r="O1269" s="183" t="s">
        <v>95</v>
      </c>
      <c r="P1269" s="183" t="s">
        <v>96</v>
      </c>
      <c r="Q1269" s="183" t="s">
        <v>97</v>
      </c>
      <c r="R1269" s="183">
        <v>14</v>
      </c>
      <c r="S1269" s="183">
        <v>0</v>
      </c>
      <c r="T1269" s="183">
        <v>14</v>
      </c>
      <c r="U1269" s="183" t="s">
        <v>22</v>
      </c>
      <c r="V1269" s="183"/>
      <c r="W1269" s="183"/>
      <c r="X1269" s="183"/>
      <c r="Y1269" s="184">
        <f>IF(ISBLANK(O1269),"",(IF(O1269=UPPER("IB"),0.005,0.01)))</f>
        <v>0.01</v>
      </c>
      <c r="Z1269" s="185">
        <f t="shared" si="371"/>
        <v>1600</v>
      </c>
      <c r="AA1269" s="185" t="s">
        <v>4426</v>
      </c>
      <c r="AB1269" s="185"/>
      <c r="AC1269" s="185"/>
      <c r="AD1269" s="649">
        <v>0.02</v>
      </c>
      <c r="AE1269" s="182"/>
      <c r="AF1269" s="332"/>
      <c r="AG1269" s="182"/>
      <c r="AH1269" s="182"/>
      <c r="AI1269" s="182"/>
      <c r="AJ1269" s="640"/>
      <c r="AK1269" s="182"/>
      <c r="AL1269" s="496"/>
      <c r="AM1269" s="496"/>
      <c r="AN1269" s="626"/>
      <c r="AO1269" s="182"/>
      <c r="AP1269" s="182" t="s">
        <v>967</v>
      </c>
      <c r="AQ1269" s="332" t="str">
        <f>UPPER(RIGHT(Journal_Live[[#This Row],[DURATION ]]))</f>
        <v>H</v>
      </c>
      <c r="AR1269" s="182" t="s">
        <v>4427</v>
      </c>
      <c r="AS1269" s="189">
        <v>0.03</v>
      </c>
      <c r="AT1269" s="189">
        <f>IF(ISBLANK(AS1269),,IF(U1269="S",AD1269-AS1269,AS1269-AD1269))</f>
        <v>9.9999999999999985E-3</v>
      </c>
      <c r="AU1269" s="187">
        <f>AV1269*R1269</f>
        <v>223.99999999999997</v>
      </c>
      <c r="AV1269" s="190">
        <f>IF(ISBLANK(AS1269),,(AT1269*Z1269))</f>
        <v>15.999999999999998</v>
      </c>
      <c r="AW1269" s="191" t="s">
        <v>96</v>
      </c>
      <c r="AX1269" s="407" t="s">
        <v>4428</v>
      </c>
      <c r="AY1269" s="407"/>
      <c r="AZ1269" s="407"/>
      <c r="BA1269" s="407"/>
      <c r="BB1269" s="407"/>
      <c r="BC1269" s="407"/>
      <c r="BD1269" s="407"/>
      <c r="BE1269" s="407"/>
      <c r="BF1269" s="422"/>
      <c r="BG1269" s="391">
        <f>SUM($AV$4:AV1269)</f>
        <v>4444.55807045027</v>
      </c>
      <c r="BH1269" s="392">
        <f>SUM($AU$134:AU1269)</f>
        <v>24123.727333333703</v>
      </c>
      <c r="BI1269" s="318">
        <f>SUMIFS($AU$134:AU1270,$Q$134:Q1270,"F")</f>
        <v>10853.466666666667</v>
      </c>
      <c r="BJ1269" s="318">
        <f>SUMIFS($AU$134:AU1270,$Q$134:Q1270,"S")</f>
        <v>15615.642</v>
      </c>
      <c r="BK1269" s="343">
        <f>SUMIFS($AU$134:AU1270,$P$134:P1270,"W")</f>
        <v>13342.941999999943</v>
      </c>
      <c r="BL1269" s="343">
        <f>SUMIFS($AU$134:AU1270,$P$134:P1270,"R")</f>
        <v>12931.606666666656</v>
      </c>
      <c r="BM1269" s="343">
        <f>SUMIFS($AU$134:AU1270,$AQ$134:AQ1270,"M")</f>
        <v>2910.0300000001498</v>
      </c>
      <c r="BN1269" s="343">
        <f>SUMIFS($AU$134:AU1270,$AQ$134:AQ1270,"H")</f>
        <v>9641.3420000000642</v>
      </c>
      <c r="BO1269" s="343">
        <f>SUMIFS($AU$134:AU1270,$AQ$134:AQ1270,"D")</f>
        <v>5186.236666666764</v>
      </c>
      <c r="BP1269" s="343">
        <f>SUMIFS($AU$134:AU1272,$AQ$134:AQ1272,"W")</f>
        <v>5158.6966666665357</v>
      </c>
      <c r="BQ1269" s="343">
        <f>SUMIFS($AU$134:AU1270,$Q$134:Q1270,"O")</f>
        <v>-2016.5813333329609</v>
      </c>
      <c r="BR1269" s="343">
        <f>SUMIFS($AU$134:AU1270,$AA$134:AA1270,"*")</f>
        <v>22158.905333333463</v>
      </c>
      <c r="BS1269" s="343">
        <f>SUMIFS($AU$134:AU1270,$AB$134:AB1270,"*")</f>
        <v>3053.9886666669622</v>
      </c>
      <c r="BT1269" s="343">
        <f>SUMIFS($AU$134:AU1270,$AC$134:AC1270,"*")</f>
        <v>14397.016666666666</v>
      </c>
      <c r="BU1269" s="343">
        <f>SUMIFS($AU$134:AU1270,$AA$134:AA1270,"*",$AB$134:AB1270,"*")</f>
        <v>2490.0000000000546</v>
      </c>
      <c r="BV1269" s="343">
        <f>SUMIFS($AU$134:AU1270,$AA$134:AA1270,"*",$AC$134:AC1270,"*")</f>
        <v>11004.783333333333</v>
      </c>
      <c r="BW1269" s="343">
        <f>SUMIFS($AU$134:AU1270,$AB$134:AB1270,"*",$AC$134:AC1270,"*")</f>
        <v>6206.6</v>
      </c>
      <c r="BX1269" s="343">
        <f>SUMIFS($AU1270:AU$1388,$Q1270:Q$1388,"F")</f>
        <v>3587.2</v>
      </c>
      <c r="BY1269" s="343">
        <f>SUMIFS($AU1270:AU$1388,$Q1270:Q$1388,"S")</f>
        <v>5280</v>
      </c>
      <c r="BZ1269" s="343">
        <f>SUMIFS($AU1270:AU$1388,$Q1270:Q$1388,"O")</f>
        <v>367.72333333316226</v>
      </c>
    </row>
    <row r="1270" spans="1:78" ht="15.75" customHeight="1">
      <c r="A1270" s="221" t="s">
        <v>4220</v>
      </c>
      <c r="B1270" s="177">
        <v>45244</v>
      </c>
      <c r="C1270" s="178" t="s">
        <v>4429</v>
      </c>
      <c r="D1270" s="178" t="s">
        <v>146</v>
      </c>
      <c r="E1270" s="227"/>
      <c r="F1270" s="180"/>
      <c r="G1270" s="281" t="s">
        <v>2016</v>
      </c>
      <c r="H1270" s="182"/>
      <c r="I1270" s="182"/>
      <c r="J1270" s="182"/>
      <c r="K1270" s="183"/>
      <c r="L1270" s="182"/>
      <c r="M1270" s="182"/>
      <c r="N1270" s="182"/>
      <c r="O1270" s="183" t="s">
        <v>95</v>
      </c>
      <c r="P1270" s="183" t="s">
        <v>96</v>
      </c>
      <c r="Q1270" s="183" t="s">
        <v>97</v>
      </c>
      <c r="R1270" s="183">
        <v>14</v>
      </c>
      <c r="S1270" s="183">
        <v>4</v>
      </c>
      <c r="T1270" s="183">
        <v>14</v>
      </c>
      <c r="U1270" s="183" t="s">
        <v>22</v>
      </c>
      <c r="V1270" s="183"/>
      <c r="W1270" s="183"/>
      <c r="X1270" s="183"/>
      <c r="Y1270" s="184">
        <f>IF(ISBLANK(O1270),"",(IF(O1270=UPPER("IB"),0.005,0.01)))</f>
        <v>0.01</v>
      </c>
      <c r="Z1270" s="185">
        <f t="shared" si="371"/>
        <v>1600</v>
      </c>
      <c r="AA1270" s="185" t="s">
        <v>4430</v>
      </c>
      <c r="AB1270" s="185"/>
      <c r="AC1270" s="185" t="s">
        <v>4431</v>
      </c>
      <c r="AD1270" s="649">
        <v>-0.09</v>
      </c>
      <c r="AE1270" s="182"/>
      <c r="AF1270" s="332"/>
      <c r="AG1270" s="182"/>
      <c r="AH1270" s="182"/>
      <c r="AI1270" s="182"/>
      <c r="AJ1270" s="640"/>
      <c r="AK1270" s="182"/>
      <c r="AL1270" s="496">
        <f t="shared" ref="AL1270:AL1271" si="372">-0.03*Z1270</f>
        <v>-48</v>
      </c>
      <c r="AM1270" s="496">
        <f>AL1270*(R1270-S1270)</f>
        <v>-480</v>
      </c>
      <c r="AN1270" s="626"/>
      <c r="AO1270" s="182"/>
      <c r="AP1270" s="182" t="s">
        <v>804</v>
      </c>
      <c r="AQ1270" s="332" t="str">
        <f>UPPER(RIGHT(Journal_Live[[#This Row],[DURATION ]]))</f>
        <v>D</v>
      </c>
      <c r="AR1270" s="182" t="s">
        <v>4432</v>
      </c>
      <c r="AS1270" s="189">
        <f>((-0.08*4)+(-0.08*10))/14</f>
        <v>-0.08</v>
      </c>
      <c r="AT1270" s="189">
        <f>IF(ISBLANK(AS1270),,IF(U1270="S",AD1270-AS1270,AS1270-AD1270))</f>
        <v>9.999999999999995E-3</v>
      </c>
      <c r="AU1270" s="187">
        <f>AV1270*R1270</f>
        <v>223.99999999999989</v>
      </c>
      <c r="AV1270" s="190">
        <f>IF(ISBLANK(AS1270),,(AT1270*Z1270))</f>
        <v>15.999999999999993</v>
      </c>
      <c r="AW1270" s="191" t="s">
        <v>96</v>
      </c>
      <c r="AX1270" s="407" t="s">
        <v>3973</v>
      </c>
      <c r="AY1270" s="407"/>
      <c r="AZ1270" s="407"/>
      <c r="BA1270" s="407"/>
      <c r="BB1270" s="407"/>
      <c r="BC1270" s="407"/>
      <c r="BD1270" s="407"/>
      <c r="BE1270" s="407"/>
      <c r="BF1270" s="422"/>
      <c r="BG1270" s="391">
        <f>SUM($AV$4:AV1270)</f>
        <v>4460.55807045027</v>
      </c>
      <c r="BH1270" s="392">
        <f>SUM($AU$134:AU1270)</f>
        <v>24347.727333333703</v>
      </c>
      <c r="BI1270" s="318">
        <f>SUMIFS($AU$134:AU1271,$Q$134:Q1271,"F")</f>
        <v>10853.466666666667</v>
      </c>
      <c r="BJ1270" s="318">
        <f>SUMIFS($AU$134:AU1271,$Q$134:Q1271,"S")</f>
        <v>15935.642</v>
      </c>
      <c r="BK1270" s="343">
        <f>SUMIFS($AU$134:AU1271,$P$134:P1271,"W")</f>
        <v>13662.941999999943</v>
      </c>
      <c r="BL1270" s="343">
        <f>SUMIFS($AU$134:AU1271,$P$134:P1271,"R")</f>
        <v>12931.606666666656</v>
      </c>
      <c r="BM1270" s="343">
        <f>SUMIFS($AU$134:AU1271,$AQ$134:AQ1271,"M")</f>
        <v>2910.0300000001498</v>
      </c>
      <c r="BN1270" s="343">
        <f>SUMIFS($AU$134:AU1271,$AQ$134:AQ1271,"H")</f>
        <v>9961.3420000000642</v>
      </c>
      <c r="BO1270" s="343">
        <f>SUMIFS($AU$134:AU1271,$AQ$134:AQ1271,"D")</f>
        <v>5186.236666666764</v>
      </c>
      <c r="BP1270" s="343">
        <f>SUMIFS($AU$134:AU1273,$AQ$134:AQ1273,"W")</f>
        <v>5158.6966666665357</v>
      </c>
      <c r="BQ1270" s="343">
        <f>SUMIFS($AU$134:AU1271,$Q$134:Q1271,"O")</f>
        <v>-2016.5813333329609</v>
      </c>
      <c r="BR1270" s="343">
        <f>SUMIFS($AU$134:AU1271,$AA$134:AA1271,"*")</f>
        <v>22478.905333333463</v>
      </c>
      <c r="BS1270" s="343">
        <f>SUMIFS($AU$134:AU1271,$AB$134:AB1271,"*")</f>
        <v>3053.9886666669622</v>
      </c>
      <c r="BT1270" s="343">
        <f>SUMIFS($AU$134:AU1271,$AC$134:AC1271,"*")</f>
        <v>14397.016666666666</v>
      </c>
      <c r="BU1270" s="343">
        <f>SUMIFS($AU$134:AU1271,$AA$134:AA1271,"*",$AB$134:AB1271,"*")</f>
        <v>2490.0000000000546</v>
      </c>
      <c r="BV1270" s="343">
        <f>SUMIFS($AU$134:AU1271,$AA$134:AA1271,"*",$AC$134:AC1271,"*")</f>
        <v>11004.783333333333</v>
      </c>
      <c r="BW1270" s="343">
        <f>SUMIFS($AU$134:AU1271,$AB$134:AB1271,"*",$AC$134:AC1271,"*")</f>
        <v>6206.6</v>
      </c>
      <c r="BX1270" s="343">
        <f>SUMIFS($AU1271:AU$1388,$Q1271:Q$1388,"F")</f>
        <v>3587.2</v>
      </c>
      <c r="BY1270" s="343">
        <f>SUMIFS($AU1271:AU$1388,$Q1271:Q$1388,"S")</f>
        <v>5056.0000000000009</v>
      </c>
      <c r="BZ1270" s="343">
        <f>SUMIFS($AU1271:AU$1388,$Q1271:Q$1388,"O")</f>
        <v>367.72333333316226</v>
      </c>
    </row>
    <row r="1271" spans="1:78" ht="15.75" customHeight="1">
      <c r="A1271" s="221" t="s">
        <v>4220</v>
      </c>
      <c r="B1271" s="177">
        <v>45245</v>
      </c>
      <c r="C1271" s="178" t="s">
        <v>4433</v>
      </c>
      <c r="D1271" s="178" t="s">
        <v>151</v>
      </c>
      <c r="E1271" s="227"/>
      <c r="F1271" s="180"/>
      <c r="G1271" s="281" t="s">
        <v>181</v>
      </c>
      <c r="H1271" s="182"/>
      <c r="I1271" s="182"/>
      <c r="J1271" s="182"/>
      <c r="K1271" s="183"/>
      <c r="L1271" s="182"/>
      <c r="M1271" s="182"/>
      <c r="N1271" s="182"/>
      <c r="O1271" s="183" t="s">
        <v>95</v>
      </c>
      <c r="P1271" s="183" t="s">
        <v>96</v>
      </c>
      <c r="Q1271" s="183" t="s">
        <v>97</v>
      </c>
      <c r="R1271" s="183">
        <v>14</v>
      </c>
      <c r="S1271" s="183">
        <v>4</v>
      </c>
      <c r="T1271" s="183">
        <v>14</v>
      </c>
      <c r="U1271" s="183" t="s">
        <v>22</v>
      </c>
      <c r="V1271" s="183"/>
      <c r="W1271" s="183"/>
      <c r="X1271" s="183"/>
      <c r="Y1271" s="184">
        <f>IF(ISBLANK(O1271),"",(IF(O1271=UPPER("IB"),0.005,0.01)))</f>
        <v>0.01</v>
      </c>
      <c r="Z1271" s="185">
        <f t="shared" si="371"/>
        <v>1600</v>
      </c>
      <c r="AA1271" s="185" t="s">
        <v>4426</v>
      </c>
      <c r="AB1271" s="185"/>
      <c r="AC1271" s="185"/>
      <c r="AD1271" s="649">
        <v>0.02</v>
      </c>
      <c r="AE1271" s="182"/>
      <c r="AF1271" s="332"/>
      <c r="AG1271" s="182"/>
      <c r="AH1271" s="182"/>
      <c r="AI1271" s="182"/>
      <c r="AJ1271" s="640"/>
      <c r="AK1271" s="182"/>
      <c r="AL1271" s="496">
        <f t="shared" si="372"/>
        <v>-48</v>
      </c>
      <c r="AM1271" s="496">
        <f>AL1271*(R1271-S1271)</f>
        <v>-480</v>
      </c>
      <c r="AN1271" s="626"/>
      <c r="AO1271" s="182"/>
      <c r="AP1271" s="182" t="s">
        <v>967</v>
      </c>
      <c r="AQ1271" s="332" t="str">
        <f>UPPER(RIGHT(Journal_Live[[#This Row],[DURATION ]]))</f>
        <v>H</v>
      </c>
      <c r="AR1271" s="182" t="s">
        <v>4434</v>
      </c>
      <c r="AS1271" s="189">
        <f>(0.03*8+0.04*4+0.04*2)/14</f>
        <v>3.4285714285714287E-2</v>
      </c>
      <c r="AT1271" s="189">
        <f>IF(ISBLANK(AS1271),,IF(U1271="S",AD1271-AS1271,AS1271-AD1271))</f>
        <v>1.4285714285714287E-2</v>
      </c>
      <c r="AU1271" s="187">
        <f>AV1271*R1271</f>
        <v>320</v>
      </c>
      <c r="AV1271" s="190">
        <f>IF(ISBLANK(AS1271),,(AT1271*Z1271))</f>
        <v>22.857142857142858</v>
      </c>
      <c r="AW1271" s="191" t="s">
        <v>96</v>
      </c>
      <c r="AX1271" s="407" t="s">
        <v>4428</v>
      </c>
      <c r="AY1271" s="407"/>
      <c r="AZ1271" s="407"/>
      <c r="BA1271" s="407"/>
      <c r="BB1271" s="407"/>
      <c r="BC1271" s="407"/>
      <c r="BD1271" s="407"/>
      <c r="BE1271" s="407"/>
      <c r="BF1271" s="422"/>
      <c r="BG1271" s="391">
        <f>SUM($AV$4:AV1271)</f>
        <v>4483.4152133074131</v>
      </c>
      <c r="BH1271" s="392">
        <f>SUM($AU$134:AU1271)</f>
        <v>24667.727333333703</v>
      </c>
      <c r="BI1271" s="318">
        <f>SUMIFS($AU$134:AU1272,$Q$134:Q1272,"F")</f>
        <v>10853.466666666667</v>
      </c>
      <c r="BJ1271" s="318">
        <f>SUMIFS($AU$134:AU1272,$Q$134:Q1272,"S")</f>
        <v>15935.642</v>
      </c>
      <c r="BK1271" s="343">
        <f>SUMIFS($AU$134:AU1272,$P$134:P1272,"W")</f>
        <v>13662.941999999943</v>
      </c>
      <c r="BL1271" s="343">
        <f>SUMIFS($AU$134:AU1272,$P$134:P1272,"R")</f>
        <v>12931.606666666656</v>
      </c>
      <c r="BM1271" s="343">
        <f>SUMIFS($AU$134:AU1272,$AQ$134:AQ1272,"M")</f>
        <v>2910.0300000001498</v>
      </c>
      <c r="BN1271" s="343">
        <f>SUMIFS($AU$134:AU1272,$AQ$134:AQ1272,"H")</f>
        <v>9961.3420000000642</v>
      </c>
      <c r="BO1271" s="343">
        <f>SUMIFS($AU$134:AU1272,$AQ$134:AQ1272,"D")</f>
        <v>5186.236666666764</v>
      </c>
      <c r="BP1271" s="343">
        <f>SUMIFS($AU$134:AU1274,$AQ$134:AQ1274,"W")</f>
        <v>5158.6966666665357</v>
      </c>
      <c r="BQ1271" s="343">
        <f>SUMIFS($AU$134:AU1272,$Q$134:Q1272,"O")</f>
        <v>-2016.5813333329609</v>
      </c>
      <c r="BR1271" s="343">
        <f>SUMIFS($AU$134:AU1272,$AA$134:AA1272,"*")</f>
        <v>22478.905333333463</v>
      </c>
      <c r="BS1271" s="343">
        <f>SUMIFS($AU$134:AU1272,$AB$134:AB1272,"*")</f>
        <v>3053.9886666669622</v>
      </c>
      <c r="BT1271" s="343">
        <f>SUMIFS($AU$134:AU1272,$AC$134:AC1272,"*")</f>
        <v>14397.016666666666</v>
      </c>
      <c r="BU1271" s="343">
        <f>SUMIFS($AU$134:AU1272,$AA$134:AA1272,"*",$AB$134:AB1272,"*")</f>
        <v>2490.0000000000546</v>
      </c>
      <c r="BV1271" s="343">
        <f>SUMIFS($AU$134:AU1272,$AA$134:AA1272,"*",$AC$134:AC1272,"*")</f>
        <v>11004.783333333333</v>
      </c>
      <c r="BW1271" s="343">
        <f>SUMIFS($AU$134:AU1272,$AB$134:AB1272,"*",$AC$134:AC1272,"*")</f>
        <v>6206.6</v>
      </c>
      <c r="BX1271" s="343">
        <f>SUMIFS($AU1272:AU$1388,$Q1272:Q$1388,"F")</f>
        <v>3587.2</v>
      </c>
      <c r="BY1271" s="343">
        <f>SUMIFS($AU1272:AU$1388,$Q1272:Q$1388,"S")</f>
        <v>4736.0000000000009</v>
      </c>
      <c r="BZ1271" s="343">
        <f>SUMIFS($AU1272:AU$1388,$Q1272:Q$1388,"O")</f>
        <v>367.72333333316226</v>
      </c>
    </row>
    <row r="1272" spans="1:78" ht="15.75" customHeight="1">
      <c r="A1272" s="221" t="s">
        <v>4220</v>
      </c>
      <c r="B1272" s="177">
        <v>45245</v>
      </c>
      <c r="C1272" s="178" t="s">
        <v>500</v>
      </c>
      <c r="D1272" s="178" t="s">
        <v>151</v>
      </c>
      <c r="E1272" s="227"/>
      <c r="F1272" s="180"/>
      <c r="G1272" s="281" t="s">
        <v>136</v>
      </c>
      <c r="H1272" s="182"/>
      <c r="I1272" s="182"/>
      <c r="J1272" s="182"/>
      <c r="K1272" s="183"/>
      <c r="L1272" s="182"/>
      <c r="M1272" s="182"/>
      <c r="N1272" s="182"/>
      <c r="O1272" s="183" t="s">
        <v>95</v>
      </c>
      <c r="P1272" s="183" t="s">
        <v>96</v>
      </c>
      <c r="Q1272" s="183" t="s">
        <v>97</v>
      </c>
      <c r="R1272" s="183">
        <v>8</v>
      </c>
      <c r="S1272" s="183">
        <v>0</v>
      </c>
      <c r="T1272" s="183">
        <v>8</v>
      </c>
      <c r="U1272" s="183" t="s">
        <v>97</v>
      </c>
      <c r="V1272" s="183"/>
      <c r="W1272" s="183"/>
      <c r="X1272" s="183"/>
      <c r="Y1272" s="184">
        <f>IF(ISBLANK(O1272),"",(IF(O1272=UPPER("IB"),0.005,0.01)))</f>
        <v>0.01</v>
      </c>
      <c r="Z1272" s="185">
        <f t="shared" si="371"/>
        <v>1600</v>
      </c>
      <c r="AA1272" s="185" t="s">
        <v>99</v>
      </c>
      <c r="AB1272" s="185" t="s">
        <v>4435</v>
      </c>
      <c r="AC1272" s="185"/>
      <c r="AD1272" s="649">
        <v>-0.03</v>
      </c>
      <c r="AE1272" s="182"/>
      <c r="AF1272" s="332"/>
      <c r="AG1272" s="182"/>
      <c r="AH1272" s="182"/>
      <c r="AI1272" s="182"/>
      <c r="AJ1272" s="640"/>
      <c r="AK1272" s="182"/>
      <c r="AL1272" s="496"/>
      <c r="AM1272" s="496"/>
      <c r="AN1272" s="626"/>
      <c r="AO1272" s="182"/>
      <c r="AP1272" s="182" t="s">
        <v>3339</v>
      </c>
      <c r="AQ1272" s="332" t="str">
        <f>UPPER(RIGHT(Journal_Live[[#This Row],[DURATION ]]))</f>
        <v>M</v>
      </c>
      <c r="AR1272" s="182" t="s">
        <v>4436</v>
      </c>
      <c r="AS1272" s="189">
        <v>-0.03</v>
      </c>
      <c r="AT1272" s="189">
        <f>IF(ISBLANK(AS1272),,IF(U1272="S",AD1272-AS1272,AS1272-AD1272))</f>
        <v>0</v>
      </c>
      <c r="AU1272" s="187">
        <f>AV1272*R1272</f>
        <v>0</v>
      </c>
      <c r="AV1272" s="190">
        <f>IF(ISBLANK(AS1272),,(AT1272*Z1272))</f>
        <v>0</v>
      </c>
      <c r="AW1272" s="191" t="s">
        <v>115</v>
      </c>
      <c r="AX1272" s="407"/>
      <c r="AY1272" s="407"/>
      <c r="AZ1272" s="407"/>
      <c r="BA1272" s="407"/>
      <c r="BB1272" s="407"/>
      <c r="BC1272" s="407"/>
      <c r="BD1272" s="407"/>
      <c r="BE1272" s="407"/>
      <c r="BF1272" s="422"/>
      <c r="BG1272" s="391">
        <f>SUM($AV$4:AV1272)</f>
        <v>4483.4152133074131</v>
      </c>
      <c r="BH1272" s="392">
        <f>SUM($AU$134:AU1272)</f>
        <v>24667.727333333703</v>
      </c>
      <c r="BI1272" s="318">
        <f>SUMIFS($AU$134:AU1273,$Q$134:Q1273,"F")</f>
        <v>10853.466666666667</v>
      </c>
      <c r="BJ1272" s="318">
        <f>SUMIFS($AU$134:AU1273,$Q$134:Q1273,"S")</f>
        <v>15935.642</v>
      </c>
      <c r="BK1272" s="343">
        <f>SUMIFS($AU$134:AU1273,$P$134:P1273,"W")</f>
        <v>13662.941999999943</v>
      </c>
      <c r="BL1272" s="343">
        <f>SUMIFS($AU$134:AU1273,$P$134:P1273,"R")</f>
        <v>12931.606666666656</v>
      </c>
      <c r="BM1272" s="343">
        <f>SUMIFS($AU$134:AU1273,$AQ$134:AQ1273,"M")</f>
        <v>2910.0300000001498</v>
      </c>
      <c r="BN1272" s="343">
        <f>SUMIFS($AU$134:AU1273,$AQ$134:AQ1273,"H")</f>
        <v>9961.3420000000642</v>
      </c>
      <c r="BO1272" s="343">
        <f>SUMIFS($AU$134:AU1273,$AQ$134:AQ1273,"D")</f>
        <v>5186.236666666764</v>
      </c>
      <c r="BP1272" s="343">
        <f>SUMIFS($AU$134:AU1275,$AQ$134:AQ1275,"W")</f>
        <v>5158.6966666665357</v>
      </c>
      <c r="BQ1272" s="343">
        <f>SUMIFS($AU$134:AU1273,$Q$134:Q1273,"O")</f>
        <v>-2016.5813333329609</v>
      </c>
      <c r="BR1272" s="343">
        <f>SUMIFS($AU$134:AU1273,$AA$134:AA1273,"*")</f>
        <v>22478.905333333463</v>
      </c>
      <c r="BS1272" s="343">
        <f>SUMIFS($AU$134:AU1273,$AB$134:AB1273,"*")</f>
        <v>3053.9886666669622</v>
      </c>
      <c r="BT1272" s="343">
        <f>SUMIFS($AU$134:AU1273,$AC$134:AC1273,"*")</f>
        <v>14397.016666666666</v>
      </c>
      <c r="BU1272" s="343">
        <f>SUMIFS($AU$134:AU1273,$AA$134:AA1273,"*",$AB$134:AB1273,"*")</f>
        <v>2490.0000000000546</v>
      </c>
      <c r="BV1272" s="343">
        <f>SUMIFS($AU$134:AU1273,$AA$134:AA1273,"*",$AC$134:AC1273,"*")</f>
        <v>11004.783333333333</v>
      </c>
      <c r="BW1272" s="343">
        <f>SUMIFS($AU$134:AU1273,$AB$134:AB1273,"*",$AC$134:AC1273,"*")</f>
        <v>6206.6</v>
      </c>
      <c r="BX1272" s="343">
        <f>SUMIFS($AU1273:AU$1388,$Q1273:Q$1388,"F")</f>
        <v>3587.2</v>
      </c>
      <c r="BY1272" s="343">
        <f>SUMIFS($AU1273:AU$1388,$Q1273:Q$1388,"S")</f>
        <v>4736.0000000000009</v>
      </c>
      <c r="BZ1272" s="343">
        <f>SUMIFS($AU1273:AU$1388,$Q1273:Q$1388,"O")</f>
        <v>367.72333333316226</v>
      </c>
    </row>
    <row r="1273" spans="1:78" ht="15.75" customHeight="1">
      <c r="A1273" s="177" t="s">
        <v>4220</v>
      </c>
      <c r="B1273" s="200">
        <v>45245</v>
      </c>
      <c r="C1273" s="178"/>
      <c r="D1273" s="178"/>
      <c r="E1273" s="227"/>
      <c r="F1273" s="180"/>
      <c r="G1273" s="181"/>
      <c r="H1273" s="182"/>
      <c r="I1273" s="182"/>
      <c r="J1273" s="182"/>
      <c r="K1273" s="183"/>
      <c r="L1273" s="182"/>
      <c r="M1273" s="182"/>
      <c r="N1273" s="182"/>
      <c r="O1273" s="183"/>
      <c r="P1273" s="183"/>
      <c r="Q1273" s="183"/>
      <c r="R1273" s="183"/>
      <c r="S1273" s="183"/>
      <c r="T1273" s="183"/>
      <c r="U1273" s="183"/>
      <c r="V1273" s="183"/>
      <c r="W1273" s="183"/>
      <c r="X1273" s="183"/>
      <c r="Y1273" s="274"/>
      <c r="Z1273" s="183"/>
      <c r="AA1273" s="185"/>
      <c r="AB1273" s="185"/>
      <c r="AC1273" s="185"/>
      <c r="AD1273" s="649"/>
      <c r="AE1273" s="182"/>
      <c r="AF1273" s="332"/>
      <c r="AG1273" s="182"/>
      <c r="AH1273" s="182"/>
      <c r="AI1273" s="182"/>
      <c r="AJ1273" s="640"/>
      <c r="AK1273" s="182"/>
      <c r="AL1273" s="496"/>
      <c r="AM1273" s="496"/>
      <c r="AN1273" s="626"/>
      <c r="AO1273" s="182"/>
      <c r="AP1273" s="182"/>
      <c r="AQ1273" s="332" t="str">
        <f>UPPER(RIGHT(Journal_Live[[#This Row],[DURATION ]]))</f>
        <v/>
      </c>
      <c r="AR1273" s="182"/>
      <c r="AS1273" s="189"/>
      <c r="AT1273" s="189"/>
      <c r="AU1273" s="187"/>
      <c r="AV1273" s="190"/>
      <c r="AW1273" s="191"/>
      <c r="AX1273" s="407"/>
      <c r="AY1273" s="407"/>
      <c r="AZ1273" s="407"/>
      <c r="BA1273" s="407"/>
      <c r="BB1273" s="407"/>
      <c r="BC1273" s="407"/>
      <c r="BD1273" s="407"/>
      <c r="BE1273" s="407"/>
      <c r="BF1273" s="422"/>
      <c r="BG1273" s="391"/>
      <c r="BH1273" s="392">
        <f>SUM($AU$134:AU1273)</f>
        <v>24667.727333333703</v>
      </c>
      <c r="BI1273" s="318">
        <f>SUMIFS($AU$134:AU1274,$Q$134:Q1274,"F")</f>
        <v>10853.466666666667</v>
      </c>
      <c r="BJ1273" s="318">
        <f>SUMIFS($AU$134:AU1274,$Q$134:Q1274,"S")</f>
        <v>15935.642</v>
      </c>
      <c r="BK1273" s="343">
        <f>SUMIFS($AU$134:AU1274,$P$134:P1274,"W")</f>
        <v>13662.941999999943</v>
      </c>
      <c r="BL1273" s="343">
        <f>SUMIFS($AU$134:AU1274,$P$134:P1274,"R")</f>
        <v>12931.606666666656</v>
      </c>
      <c r="BM1273" s="343">
        <f>SUMIFS($AU$134:AU1274,$AQ$134:AQ1274,"M")</f>
        <v>2910.0300000001498</v>
      </c>
      <c r="BN1273" s="343">
        <f>SUMIFS($AU$134:AU1274,$AQ$134:AQ1274,"H")</f>
        <v>9961.3420000000642</v>
      </c>
      <c r="BO1273" s="343">
        <f>SUMIFS($AU$134:AU1274,$AQ$134:AQ1274,"D")</f>
        <v>5186.236666666764</v>
      </c>
      <c r="BP1273" s="343">
        <f>SUMIFS($AU$134:AU1276,$AQ$134:AQ1276,"W")</f>
        <v>5158.6966666665357</v>
      </c>
      <c r="BQ1273" s="343">
        <f>SUMIFS($AU$134:AU1274,$Q$134:Q1274,"O")</f>
        <v>-2016.5813333329609</v>
      </c>
      <c r="BR1273" s="343">
        <f>SUMIFS($AU$134:AU1274,$AA$134:AA1274,"*")</f>
        <v>22478.905333333463</v>
      </c>
      <c r="BS1273" s="343">
        <f>SUMIFS($AU$134:AU1274,$AB$134:AB1274,"*")</f>
        <v>3053.9886666669622</v>
      </c>
      <c r="BT1273" s="343">
        <f>SUMIFS($AU$134:AU1274,$AC$134:AC1274,"*")</f>
        <v>14397.016666666666</v>
      </c>
      <c r="BU1273" s="343">
        <f>SUMIFS($AU$134:AU1274,$AA$134:AA1274,"*",$AB$134:AB1274,"*")</f>
        <v>2490.0000000000546</v>
      </c>
      <c r="BV1273" s="343">
        <f>SUMIFS($AU$134:AU1274,$AA$134:AA1274,"*",$AC$134:AC1274,"*")</f>
        <v>11004.783333333333</v>
      </c>
      <c r="BW1273" s="343">
        <f>SUMIFS($AU$134:AU1274,$AB$134:AB1274,"*",$AC$134:AC1274,"*")</f>
        <v>6206.6</v>
      </c>
      <c r="BX1273" s="343">
        <f>SUMIFS($AU1274:AU$1388,$Q1274:Q$1388,"F")</f>
        <v>3587.2</v>
      </c>
      <c r="BY1273" s="343">
        <f>SUMIFS($AU1274:AU$1388,$Q1274:Q$1388,"S")</f>
        <v>4736.0000000000009</v>
      </c>
      <c r="BZ1273" s="343">
        <f>SUMIFS($AU1274:AU$1388,$Q1274:Q$1388,"O")</f>
        <v>367.72333333316226</v>
      </c>
    </row>
    <row r="1274" spans="1:78" ht="15.75" customHeight="1">
      <c r="A1274" s="221" t="s">
        <v>4220</v>
      </c>
      <c r="B1274" s="177">
        <v>45245</v>
      </c>
      <c r="C1274" s="178" t="s">
        <v>682</v>
      </c>
      <c r="D1274" s="178" t="s">
        <v>151</v>
      </c>
      <c r="E1274" s="227"/>
      <c r="F1274" s="180"/>
      <c r="G1274" s="181" t="s">
        <v>4304</v>
      </c>
      <c r="H1274" s="182"/>
      <c r="I1274" s="182"/>
      <c r="J1274" s="182"/>
      <c r="K1274" s="183"/>
      <c r="L1274" s="182"/>
      <c r="M1274" s="182"/>
      <c r="N1274" s="182"/>
      <c r="O1274" s="183"/>
      <c r="P1274" s="183"/>
      <c r="Q1274" s="183"/>
      <c r="R1274" s="183"/>
      <c r="S1274" s="183"/>
      <c r="T1274" s="183"/>
      <c r="U1274" s="183"/>
      <c r="V1274" s="183"/>
      <c r="W1274" s="183"/>
      <c r="X1274" s="183"/>
      <c r="Y1274" s="184"/>
      <c r="Z1274" s="185"/>
      <c r="AA1274" s="185"/>
      <c r="AB1274" s="185"/>
      <c r="AC1274" s="185"/>
      <c r="AD1274" s="649"/>
      <c r="AE1274" s="182"/>
      <c r="AF1274" s="332"/>
      <c r="AG1274" s="182"/>
      <c r="AH1274" s="182"/>
      <c r="AI1274" s="182"/>
      <c r="AJ1274" s="640"/>
      <c r="AK1274" s="182"/>
      <c r="AL1274" s="496">
        <f t="shared" ref="AL1274" si="373">-0.03*Z1274</f>
        <v>0</v>
      </c>
      <c r="AM1274" s="496">
        <f>AL1274*(R1274-S1274)</f>
        <v>0</v>
      </c>
      <c r="AN1274" s="626"/>
      <c r="AO1274" s="182"/>
      <c r="AP1274" s="182"/>
      <c r="AQ1274" s="332" t="str">
        <f>UPPER(RIGHT(Journal_Live[[#This Row],[DURATION ]]))</f>
        <v/>
      </c>
      <c r="AR1274" s="182"/>
      <c r="AS1274" s="189"/>
      <c r="AT1274" s="189"/>
      <c r="AU1274" s="187"/>
      <c r="AV1274" s="190"/>
      <c r="AW1274" s="191"/>
      <c r="AX1274" s="407"/>
      <c r="AY1274" s="407"/>
      <c r="AZ1274" s="407"/>
      <c r="BA1274" s="407"/>
      <c r="BB1274" s="407"/>
      <c r="BC1274" s="407"/>
      <c r="BD1274" s="407"/>
      <c r="BE1274" s="407"/>
      <c r="BF1274" s="422"/>
      <c r="BG1274" s="391">
        <f>SUM($AV$4:AV1274)</f>
        <v>4483.4152133074131</v>
      </c>
      <c r="BH1274" s="392">
        <f>SUM($AU$134:AU1274)</f>
        <v>24667.727333333703</v>
      </c>
      <c r="BI1274" s="318">
        <f>SUMIFS($AU$134:AU1275,$Q$134:Q1275,"F")</f>
        <v>10853.466666666667</v>
      </c>
      <c r="BJ1274" s="318">
        <f>SUMIFS($AU$134:AU1275,$Q$134:Q1275,"S")</f>
        <v>15935.642</v>
      </c>
      <c r="BK1274" s="343">
        <f>SUMIFS($AU$134:AU1275,$P$134:P1275,"W")</f>
        <v>13662.941999999943</v>
      </c>
      <c r="BL1274" s="343">
        <f>SUMIFS($AU$134:AU1275,$P$134:P1275,"R")</f>
        <v>12931.606666666656</v>
      </c>
      <c r="BM1274" s="343">
        <f>SUMIFS($AU$134:AU1275,$AQ$134:AQ1275,"M")</f>
        <v>2910.0300000001498</v>
      </c>
      <c r="BN1274" s="343">
        <f>SUMIFS($AU$134:AU1275,$AQ$134:AQ1275,"H")</f>
        <v>9961.3420000000642</v>
      </c>
      <c r="BO1274" s="343">
        <f>SUMIFS($AU$134:AU1275,$AQ$134:AQ1275,"D")</f>
        <v>5186.236666666764</v>
      </c>
      <c r="BP1274" s="343">
        <f>SUMIFS($AU$134:AU1277,$AQ$134:AQ1277,"W")</f>
        <v>5158.6966666665357</v>
      </c>
      <c r="BQ1274" s="343">
        <f>SUMIFS($AU$134:AU1275,$Q$134:Q1275,"O")</f>
        <v>-2016.5813333329609</v>
      </c>
      <c r="BR1274" s="343">
        <f>SUMIFS($AU$134:AU1275,$AA$134:AA1275,"*")</f>
        <v>22478.905333333463</v>
      </c>
      <c r="BS1274" s="343">
        <f>SUMIFS($AU$134:AU1275,$AB$134:AB1275,"*")</f>
        <v>3053.9886666669622</v>
      </c>
      <c r="BT1274" s="343">
        <f>SUMIFS($AU$134:AU1275,$AC$134:AC1275,"*")</f>
        <v>14397.016666666666</v>
      </c>
      <c r="BU1274" s="343">
        <f>SUMIFS($AU$134:AU1275,$AA$134:AA1275,"*",$AB$134:AB1275,"*")</f>
        <v>2490.0000000000546</v>
      </c>
      <c r="BV1274" s="343">
        <f>SUMIFS($AU$134:AU1275,$AA$134:AA1275,"*",$AC$134:AC1275,"*")</f>
        <v>11004.783333333333</v>
      </c>
      <c r="BW1274" s="343">
        <f>SUMIFS($AU$134:AU1275,$AB$134:AB1275,"*",$AC$134:AC1275,"*")</f>
        <v>6206.6</v>
      </c>
      <c r="BX1274" s="343">
        <f>SUMIFS($AU1275:AU$1388,$Q1275:Q$1388,"F")</f>
        <v>3587.2</v>
      </c>
      <c r="BY1274" s="343">
        <f>SUMIFS($AU1275:AU$1388,$Q1275:Q$1388,"S")</f>
        <v>4736.0000000000009</v>
      </c>
      <c r="BZ1274" s="343">
        <f>SUMIFS($AU1275:AU$1388,$Q1275:Q$1388,"O")</f>
        <v>367.72333333316226</v>
      </c>
    </row>
    <row r="1275" spans="1:78" ht="15.75" customHeight="1">
      <c r="A1275" s="221" t="s">
        <v>4220</v>
      </c>
      <c r="B1275" s="177">
        <v>45245</v>
      </c>
      <c r="C1275" s="178" t="s">
        <v>1474</v>
      </c>
      <c r="D1275" s="178" t="s">
        <v>151</v>
      </c>
      <c r="E1275" s="227" t="s">
        <v>4437</v>
      </c>
      <c r="F1275" s="180" t="s">
        <v>4438</v>
      </c>
      <c r="G1275" s="181"/>
      <c r="H1275" s="182"/>
      <c r="I1275" s="182"/>
      <c r="J1275" s="182">
        <v>1</v>
      </c>
      <c r="K1275" s="183" t="s">
        <v>115</v>
      </c>
      <c r="L1275" s="182"/>
      <c r="M1275" s="182"/>
      <c r="N1275" s="182"/>
      <c r="O1275" s="183"/>
      <c r="P1275" s="183"/>
      <c r="Q1275" s="183"/>
      <c r="R1275" s="183"/>
      <c r="S1275" s="183"/>
      <c r="T1275" s="183"/>
      <c r="U1275" s="183"/>
      <c r="V1275" s="183"/>
      <c r="W1275" s="183"/>
      <c r="X1275" s="183"/>
      <c r="Y1275" s="184" t="str">
        <f t="shared" ref="Y1275:Y1287" si="374">IF(ISBLANK(O1275),"",(IF(O1275=UPPER("IB"),0.005,0.01)))</f>
        <v/>
      </c>
      <c r="Z1275" s="185" t="str">
        <f t="shared" ref="Z1275:Z1282" si="375">IF(ISBLANK(O1275),"",IF(O1275="IB",8.63*200,IF(O1275="IR",16*100,IF(O1275="YT",20*100,IF(O1275="YT-XT",24*200,IF(O1275="TED",80*100))))))</f>
        <v/>
      </c>
      <c r="AA1275" s="185"/>
      <c r="AB1275" s="185"/>
      <c r="AC1275" s="185"/>
      <c r="AD1275" s="649"/>
      <c r="AE1275" s="182"/>
      <c r="AF1275" s="332"/>
      <c r="AG1275" s="182"/>
      <c r="AH1275" s="182"/>
      <c r="AI1275" s="182"/>
      <c r="AJ1275" s="640"/>
      <c r="AK1275" s="182"/>
      <c r="AL1275" s="496"/>
      <c r="AM1275" s="496"/>
      <c r="AN1275" s="626"/>
      <c r="AO1275" s="182"/>
      <c r="AP1275" s="182"/>
      <c r="AQ1275" s="332" t="str">
        <f>UPPER(RIGHT(Journal_Live[[#This Row],[DURATION ]]))</f>
        <v/>
      </c>
      <c r="AR1275" s="182"/>
      <c r="AS1275" s="189"/>
      <c r="AT1275" s="189"/>
      <c r="AU1275" s="187"/>
      <c r="AV1275" s="190"/>
      <c r="AW1275" s="191"/>
      <c r="AX1275" s="407" t="s">
        <v>4439</v>
      </c>
      <c r="AY1275" s="407"/>
      <c r="AZ1275" s="407"/>
      <c r="BA1275" s="407"/>
      <c r="BB1275" s="407"/>
      <c r="BC1275" s="407"/>
      <c r="BD1275" s="407"/>
      <c r="BE1275" s="407"/>
      <c r="BF1275" s="422"/>
      <c r="BG1275" s="391">
        <f>SUM($AV$4:AV1275)</f>
        <v>4483.4152133074131</v>
      </c>
      <c r="BH1275" s="392">
        <f>SUM($AU$134:AU1275)</f>
        <v>24667.727333333703</v>
      </c>
      <c r="BI1275" s="318">
        <f>SUMIFS($AU$134:AU1276,$Q$134:Q1276,"F")</f>
        <v>10853.466666666667</v>
      </c>
      <c r="BJ1275" s="318">
        <f>SUMIFS($AU$134:AU1276,$Q$134:Q1276,"S")</f>
        <v>15935.642</v>
      </c>
      <c r="BK1275" s="343">
        <f>SUMIFS($AU$134:AU1276,$P$134:P1276,"W")</f>
        <v>13662.941999999943</v>
      </c>
      <c r="BL1275" s="343">
        <f>SUMIFS($AU$134:AU1276,$P$134:P1276,"R")</f>
        <v>12931.606666666656</v>
      </c>
      <c r="BM1275" s="343">
        <f>SUMIFS($AU$134:AU1276,$AQ$134:AQ1276,"M")</f>
        <v>2910.0300000001498</v>
      </c>
      <c r="BN1275" s="343">
        <f>SUMIFS($AU$134:AU1276,$AQ$134:AQ1276,"H")</f>
        <v>9961.3420000000642</v>
      </c>
      <c r="BO1275" s="343">
        <f>SUMIFS($AU$134:AU1276,$AQ$134:AQ1276,"D")</f>
        <v>5186.236666666764</v>
      </c>
      <c r="BP1275" s="343">
        <f>SUMIFS($AU$134:AU1278,$AQ$134:AQ1278,"W")</f>
        <v>5158.6966666665357</v>
      </c>
      <c r="BQ1275" s="343">
        <f>SUMIFS($AU$134:AU1276,$Q$134:Q1276,"O")</f>
        <v>-2016.5813333329609</v>
      </c>
      <c r="BR1275" s="343">
        <f>SUMIFS($AU$134:AU1276,$AA$134:AA1276,"*")</f>
        <v>22478.905333333463</v>
      </c>
      <c r="BS1275" s="343">
        <f>SUMIFS($AU$134:AU1276,$AB$134:AB1276,"*")</f>
        <v>3053.9886666669622</v>
      </c>
      <c r="BT1275" s="343">
        <f>SUMIFS($AU$134:AU1276,$AC$134:AC1276,"*")</f>
        <v>14397.016666666666</v>
      </c>
      <c r="BU1275" s="343">
        <f>SUMIFS($AU$134:AU1276,$AA$134:AA1276,"*",$AB$134:AB1276,"*")</f>
        <v>2490.0000000000546</v>
      </c>
      <c r="BV1275" s="343">
        <f>SUMIFS($AU$134:AU1276,$AA$134:AA1276,"*",$AC$134:AC1276,"*")</f>
        <v>11004.783333333333</v>
      </c>
      <c r="BW1275" s="343">
        <f>SUMIFS($AU$134:AU1276,$AB$134:AB1276,"*",$AC$134:AC1276,"*")</f>
        <v>6206.6</v>
      </c>
      <c r="BX1275" s="343">
        <f>SUMIFS($AU1276:AU$1388,$Q1276:Q$1388,"F")</f>
        <v>3587.2</v>
      </c>
      <c r="BY1275" s="343">
        <f>SUMIFS($AU1276:AU$1388,$Q1276:Q$1388,"S")</f>
        <v>4736.0000000000009</v>
      </c>
      <c r="BZ1275" s="343">
        <f>SUMIFS($AU1276:AU$1388,$Q1276:Q$1388,"O")</f>
        <v>367.72333333316226</v>
      </c>
    </row>
    <row r="1276" spans="1:78" ht="15.75" customHeight="1">
      <c r="A1276" s="221" t="s">
        <v>4220</v>
      </c>
      <c r="B1276" s="177"/>
      <c r="C1276" s="178"/>
      <c r="D1276" s="178"/>
      <c r="E1276" s="227" t="s">
        <v>4440</v>
      </c>
      <c r="F1276" s="180"/>
      <c r="G1276" s="181"/>
      <c r="H1276" s="182">
        <v>1</v>
      </c>
      <c r="I1276" s="182"/>
      <c r="J1276" s="182"/>
      <c r="K1276" s="183" t="s">
        <v>372</v>
      </c>
      <c r="L1276" s="182"/>
      <c r="M1276" s="182"/>
      <c r="N1276" s="182"/>
      <c r="O1276" s="183"/>
      <c r="P1276" s="183"/>
      <c r="Q1276" s="183"/>
      <c r="R1276" s="183"/>
      <c r="S1276" s="183"/>
      <c r="T1276" s="183"/>
      <c r="U1276" s="183"/>
      <c r="V1276" s="183"/>
      <c r="W1276" s="183"/>
      <c r="X1276" s="183"/>
      <c r="Y1276" s="184" t="str">
        <f t="shared" si="374"/>
        <v/>
      </c>
      <c r="Z1276" s="185" t="str">
        <f t="shared" si="375"/>
        <v/>
      </c>
      <c r="AA1276" s="185"/>
      <c r="AB1276" s="185"/>
      <c r="AC1276" s="185"/>
      <c r="AD1276" s="649"/>
      <c r="AE1276" s="182"/>
      <c r="AF1276" s="332"/>
      <c r="AG1276" s="182"/>
      <c r="AH1276" s="182"/>
      <c r="AI1276" s="182"/>
      <c r="AJ1276" s="640"/>
      <c r="AK1276" s="182"/>
      <c r="AL1276" s="496"/>
      <c r="AM1276" s="496"/>
      <c r="AN1276" s="626"/>
      <c r="AO1276" s="182"/>
      <c r="AP1276" s="182"/>
      <c r="AQ1276" s="332" t="str">
        <f>UPPER(RIGHT(Journal_Live[[#This Row],[DURATION ]]))</f>
        <v/>
      </c>
      <c r="AR1276" s="182"/>
      <c r="AS1276" s="189"/>
      <c r="AT1276" s="189"/>
      <c r="AU1276" s="187"/>
      <c r="AV1276" s="190"/>
      <c r="AW1276" s="191"/>
      <c r="AX1276" s="407"/>
      <c r="AY1276" s="407"/>
      <c r="AZ1276" s="407"/>
      <c r="BA1276" s="407"/>
      <c r="BB1276" s="407"/>
      <c r="BC1276" s="407"/>
      <c r="BD1276" s="407"/>
      <c r="BE1276" s="407"/>
      <c r="BF1276" s="422"/>
      <c r="BG1276" s="391">
        <f>SUM($AV$4:AV1276)</f>
        <v>4483.4152133074131</v>
      </c>
      <c r="BH1276" s="392">
        <f>SUM($AU$134:AU1276)</f>
        <v>24667.727333333703</v>
      </c>
      <c r="BI1276" s="318">
        <f>SUMIFS($AU$134:AU1277,$Q$134:Q1277,"F")</f>
        <v>10853.466666666667</v>
      </c>
      <c r="BJ1276" s="318">
        <f>SUMIFS($AU$134:AU1277,$Q$134:Q1277,"S")</f>
        <v>15935.642</v>
      </c>
      <c r="BK1276" s="343">
        <f>SUMIFS($AU$134:AU1277,$P$134:P1277,"W")</f>
        <v>13662.941999999943</v>
      </c>
      <c r="BL1276" s="343">
        <f>SUMIFS($AU$134:AU1277,$P$134:P1277,"R")</f>
        <v>12931.606666666656</v>
      </c>
      <c r="BM1276" s="343">
        <f>SUMIFS($AU$134:AU1277,$AQ$134:AQ1277,"M")</f>
        <v>2910.0300000001498</v>
      </c>
      <c r="BN1276" s="343">
        <f>SUMIFS($AU$134:AU1277,$AQ$134:AQ1277,"H")</f>
        <v>9961.3420000000642</v>
      </c>
      <c r="BO1276" s="343">
        <f>SUMIFS($AU$134:AU1277,$AQ$134:AQ1277,"D")</f>
        <v>5186.236666666764</v>
      </c>
      <c r="BP1276" s="343">
        <f>SUMIFS($AU$134:AU1279,$AQ$134:AQ1279,"W")</f>
        <v>5158.6966666665357</v>
      </c>
      <c r="BQ1276" s="343">
        <f>SUMIFS($AU$134:AU1277,$Q$134:Q1277,"O")</f>
        <v>-2016.5813333329609</v>
      </c>
      <c r="BR1276" s="343">
        <f>SUMIFS($AU$134:AU1277,$AA$134:AA1277,"*")</f>
        <v>22478.905333333463</v>
      </c>
      <c r="BS1276" s="343">
        <f>SUMIFS($AU$134:AU1277,$AB$134:AB1277,"*")</f>
        <v>3053.9886666669622</v>
      </c>
      <c r="BT1276" s="343">
        <f>SUMIFS($AU$134:AU1277,$AC$134:AC1277,"*")</f>
        <v>14397.016666666666</v>
      </c>
      <c r="BU1276" s="343">
        <f>SUMIFS($AU$134:AU1277,$AA$134:AA1277,"*",$AB$134:AB1277,"*")</f>
        <v>2490.0000000000546</v>
      </c>
      <c r="BV1276" s="343">
        <f>SUMIFS($AU$134:AU1277,$AA$134:AA1277,"*",$AC$134:AC1277,"*")</f>
        <v>11004.783333333333</v>
      </c>
      <c r="BW1276" s="343">
        <f>SUMIFS($AU$134:AU1277,$AB$134:AB1277,"*",$AC$134:AC1277,"*")</f>
        <v>6206.6</v>
      </c>
      <c r="BX1276" s="343">
        <f>SUMIFS($AU1277:AU$1388,$Q1277:Q$1388,"F")</f>
        <v>3587.2</v>
      </c>
      <c r="BY1276" s="343">
        <f>SUMIFS($AU1277:AU$1388,$Q1277:Q$1388,"S")</f>
        <v>4736.0000000000009</v>
      </c>
      <c r="BZ1276" s="343">
        <f>SUMIFS($AU1277:AU$1388,$Q1277:Q$1388,"O")</f>
        <v>367.72333333316226</v>
      </c>
    </row>
    <row r="1277" spans="1:78" ht="15.75" customHeight="1">
      <c r="A1277" s="221" t="s">
        <v>4220</v>
      </c>
      <c r="B1277" s="177"/>
      <c r="C1277" s="178"/>
      <c r="D1277" s="178"/>
      <c r="E1277" s="227" t="s">
        <v>4441</v>
      </c>
      <c r="F1277" s="180"/>
      <c r="G1277" s="181"/>
      <c r="H1277" s="182"/>
      <c r="I1277" s="182"/>
      <c r="J1277" s="182">
        <v>1</v>
      </c>
      <c r="K1277" s="183" t="s">
        <v>115</v>
      </c>
      <c r="L1277" s="182"/>
      <c r="M1277" s="182"/>
      <c r="N1277" s="182"/>
      <c r="O1277" s="183"/>
      <c r="P1277" s="183"/>
      <c r="Q1277" s="183"/>
      <c r="R1277" s="183"/>
      <c r="S1277" s="183"/>
      <c r="T1277" s="183"/>
      <c r="U1277" s="183"/>
      <c r="V1277" s="183"/>
      <c r="W1277" s="183"/>
      <c r="X1277" s="183"/>
      <c r="Y1277" s="184" t="str">
        <f t="shared" si="374"/>
        <v/>
      </c>
      <c r="Z1277" s="185" t="str">
        <f t="shared" si="375"/>
        <v/>
      </c>
      <c r="AA1277" s="185"/>
      <c r="AB1277" s="185"/>
      <c r="AC1277" s="185"/>
      <c r="AD1277" s="649"/>
      <c r="AE1277" s="182"/>
      <c r="AF1277" s="332"/>
      <c r="AG1277" s="182"/>
      <c r="AH1277" s="182"/>
      <c r="AI1277" s="182"/>
      <c r="AJ1277" s="640"/>
      <c r="AK1277" s="182"/>
      <c r="AL1277" s="496"/>
      <c r="AM1277" s="496"/>
      <c r="AN1277" s="626"/>
      <c r="AO1277" s="182"/>
      <c r="AP1277" s="182"/>
      <c r="AQ1277" s="332" t="str">
        <f>UPPER(RIGHT(Journal_Live[[#This Row],[DURATION ]]))</f>
        <v/>
      </c>
      <c r="AR1277" s="182"/>
      <c r="AS1277" s="189"/>
      <c r="AT1277" s="189"/>
      <c r="AU1277" s="187"/>
      <c r="AV1277" s="190"/>
      <c r="AW1277" s="191"/>
      <c r="AX1277" s="407"/>
      <c r="AY1277" s="407"/>
      <c r="AZ1277" s="407"/>
      <c r="BA1277" s="407"/>
      <c r="BB1277" s="407"/>
      <c r="BC1277" s="407"/>
      <c r="BD1277" s="407"/>
      <c r="BE1277" s="407"/>
      <c r="BF1277" s="422"/>
      <c r="BG1277" s="391">
        <f>SUM($AV$4:AV1277)</f>
        <v>4483.4152133074131</v>
      </c>
      <c r="BH1277" s="392">
        <f>SUM($AU$134:AU1277)</f>
        <v>24667.727333333703</v>
      </c>
      <c r="BI1277" s="318">
        <f>SUMIFS($AU$134:AU1278,$Q$134:Q1278,"F")</f>
        <v>10853.466666666667</v>
      </c>
      <c r="BJ1277" s="318">
        <f>SUMIFS($AU$134:AU1278,$Q$134:Q1278,"S")</f>
        <v>15935.642</v>
      </c>
      <c r="BK1277" s="343">
        <f>SUMIFS($AU$134:AU1278,$P$134:P1278,"W")</f>
        <v>13662.941999999943</v>
      </c>
      <c r="BL1277" s="343">
        <f>SUMIFS($AU$134:AU1278,$P$134:P1278,"R")</f>
        <v>12931.606666666656</v>
      </c>
      <c r="BM1277" s="343">
        <f>SUMIFS($AU$134:AU1278,$AQ$134:AQ1278,"M")</f>
        <v>2910.0300000001498</v>
      </c>
      <c r="BN1277" s="343">
        <f>SUMIFS($AU$134:AU1278,$AQ$134:AQ1278,"H")</f>
        <v>9961.3420000000642</v>
      </c>
      <c r="BO1277" s="343">
        <f>SUMIFS($AU$134:AU1278,$AQ$134:AQ1278,"D")</f>
        <v>5186.236666666764</v>
      </c>
      <c r="BP1277" s="343">
        <f>SUMIFS($AU$134:AU1280,$AQ$134:AQ1280,"W")</f>
        <v>5158.6966666665357</v>
      </c>
      <c r="BQ1277" s="343">
        <f>SUMIFS($AU$134:AU1278,$Q$134:Q1278,"O")</f>
        <v>-2016.5813333329609</v>
      </c>
      <c r="BR1277" s="343">
        <f>SUMIFS($AU$134:AU1278,$AA$134:AA1278,"*")</f>
        <v>22478.905333333463</v>
      </c>
      <c r="BS1277" s="343">
        <f>SUMIFS($AU$134:AU1278,$AB$134:AB1278,"*")</f>
        <v>3053.9886666669622</v>
      </c>
      <c r="BT1277" s="343">
        <f>SUMIFS($AU$134:AU1278,$AC$134:AC1278,"*")</f>
        <v>14397.016666666666</v>
      </c>
      <c r="BU1277" s="343">
        <f>SUMIFS($AU$134:AU1278,$AA$134:AA1278,"*",$AB$134:AB1278,"*")</f>
        <v>2490.0000000000546</v>
      </c>
      <c r="BV1277" s="343">
        <f>SUMIFS($AU$134:AU1278,$AA$134:AA1278,"*",$AC$134:AC1278,"*")</f>
        <v>11004.783333333333</v>
      </c>
      <c r="BW1277" s="343">
        <f>SUMIFS($AU$134:AU1278,$AB$134:AB1278,"*",$AC$134:AC1278,"*")</f>
        <v>6206.6</v>
      </c>
      <c r="BX1277" s="343">
        <f>SUMIFS($AU1278:AU$1388,$Q1278:Q$1388,"F")</f>
        <v>3587.2</v>
      </c>
      <c r="BY1277" s="343">
        <f>SUMIFS($AU1278:AU$1388,$Q1278:Q$1388,"S")</f>
        <v>4736.0000000000009</v>
      </c>
      <c r="BZ1277" s="343">
        <f>SUMIFS($AU1278:AU$1388,$Q1278:Q$1388,"O")</f>
        <v>367.72333333316226</v>
      </c>
    </row>
    <row r="1278" spans="1:78" ht="15.75" customHeight="1">
      <c r="A1278" s="221" t="s">
        <v>4220</v>
      </c>
      <c r="B1278" s="177">
        <v>45246</v>
      </c>
      <c r="C1278" s="178" t="s">
        <v>1437</v>
      </c>
      <c r="D1278" s="178" t="s">
        <v>93</v>
      </c>
      <c r="E1278" s="227" t="s">
        <v>4442</v>
      </c>
      <c r="F1278" s="180"/>
      <c r="G1278" s="181"/>
      <c r="H1278" s="182"/>
      <c r="I1278" s="182">
        <v>1</v>
      </c>
      <c r="J1278" s="182"/>
      <c r="K1278" s="183"/>
      <c r="L1278" s="182"/>
      <c r="M1278" s="182"/>
      <c r="N1278" s="182"/>
      <c r="O1278" s="183"/>
      <c r="P1278" s="183"/>
      <c r="Q1278" s="183"/>
      <c r="R1278" s="183"/>
      <c r="S1278" s="183"/>
      <c r="T1278" s="183"/>
      <c r="U1278" s="183"/>
      <c r="V1278" s="183"/>
      <c r="W1278" s="183"/>
      <c r="X1278" s="183"/>
      <c r="Y1278" s="184" t="str">
        <f t="shared" si="374"/>
        <v/>
      </c>
      <c r="Z1278" s="185" t="str">
        <f t="shared" si="375"/>
        <v/>
      </c>
      <c r="AA1278" s="185"/>
      <c r="AB1278" s="185"/>
      <c r="AC1278" s="185"/>
      <c r="AD1278" s="649"/>
      <c r="AE1278" s="182"/>
      <c r="AF1278" s="332"/>
      <c r="AG1278" s="182"/>
      <c r="AH1278" s="182"/>
      <c r="AI1278" s="182"/>
      <c r="AJ1278" s="640"/>
      <c r="AK1278" s="182"/>
      <c r="AL1278" s="496"/>
      <c r="AM1278" s="496"/>
      <c r="AN1278" s="626"/>
      <c r="AO1278" s="182"/>
      <c r="AP1278" s="182"/>
      <c r="AQ1278" s="332" t="str">
        <f>UPPER(RIGHT(Journal_Live[[#This Row],[DURATION ]]))</f>
        <v/>
      </c>
      <c r="AR1278" s="182"/>
      <c r="AS1278" s="189"/>
      <c r="AT1278" s="189"/>
      <c r="AU1278" s="187"/>
      <c r="AV1278" s="190"/>
      <c r="AW1278" s="191"/>
      <c r="AX1278" s="407"/>
      <c r="AY1278" s="407"/>
      <c r="AZ1278" s="407"/>
      <c r="BA1278" s="407"/>
      <c r="BB1278" s="407"/>
      <c r="BC1278" s="407"/>
      <c r="BD1278" s="407"/>
      <c r="BE1278" s="407"/>
      <c r="BF1278" s="422"/>
      <c r="BG1278" s="391">
        <f>SUM($AV$4:AV1278)</f>
        <v>4483.4152133074131</v>
      </c>
      <c r="BH1278" s="392">
        <f>SUM($AU$134:AU1278)</f>
        <v>24667.727333333703</v>
      </c>
      <c r="BI1278" s="318">
        <f>SUMIFS($AU$134:AU1279,$Q$134:Q1279,"F")</f>
        <v>10853.466666666667</v>
      </c>
      <c r="BJ1278" s="318">
        <f>SUMIFS($AU$134:AU1279,$Q$134:Q1279,"S")</f>
        <v>15935.642</v>
      </c>
      <c r="BK1278" s="343">
        <f>SUMIFS($AU$134:AU1279,$P$134:P1279,"W")</f>
        <v>13662.941999999943</v>
      </c>
      <c r="BL1278" s="343">
        <f>SUMIFS($AU$134:AU1279,$P$134:P1279,"R")</f>
        <v>12931.606666666656</v>
      </c>
      <c r="BM1278" s="343">
        <f>SUMIFS($AU$134:AU1279,$AQ$134:AQ1279,"M")</f>
        <v>2910.0300000001498</v>
      </c>
      <c r="BN1278" s="343">
        <f>SUMIFS($AU$134:AU1279,$AQ$134:AQ1279,"H")</f>
        <v>9961.3420000000642</v>
      </c>
      <c r="BO1278" s="343">
        <f>SUMIFS($AU$134:AU1279,$AQ$134:AQ1279,"D")</f>
        <v>5186.236666666764</v>
      </c>
      <c r="BP1278" s="343">
        <f>SUMIFS($AU$134:AU1281,$AQ$134:AQ1281,"W")</f>
        <v>5158.6966666665357</v>
      </c>
      <c r="BQ1278" s="343">
        <f>SUMIFS($AU$134:AU1279,$Q$134:Q1279,"O")</f>
        <v>-2016.5813333329609</v>
      </c>
      <c r="BR1278" s="343">
        <f>SUMIFS($AU$134:AU1279,$AA$134:AA1279,"*")</f>
        <v>22478.905333333463</v>
      </c>
      <c r="BS1278" s="343">
        <f>SUMIFS($AU$134:AU1279,$AB$134:AB1279,"*")</f>
        <v>3053.9886666669622</v>
      </c>
      <c r="BT1278" s="343">
        <f>SUMIFS($AU$134:AU1279,$AC$134:AC1279,"*")</f>
        <v>14397.016666666666</v>
      </c>
      <c r="BU1278" s="343">
        <f>SUMIFS($AU$134:AU1279,$AA$134:AA1279,"*",$AB$134:AB1279,"*")</f>
        <v>2490.0000000000546</v>
      </c>
      <c r="BV1278" s="343">
        <f>SUMIFS($AU$134:AU1279,$AA$134:AA1279,"*",$AC$134:AC1279,"*")</f>
        <v>11004.783333333333</v>
      </c>
      <c r="BW1278" s="343">
        <f>SUMIFS($AU$134:AU1279,$AB$134:AB1279,"*",$AC$134:AC1279,"*")</f>
        <v>6206.6</v>
      </c>
      <c r="BX1278" s="343">
        <f>SUMIFS($AU1279:AU$1388,$Q1279:Q$1388,"F")</f>
        <v>3587.2</v>
      </c>
      <c r="BY1278" s="343">
        <f>SUMIFS($AU1279:AU$1388,$Q1279:Q$1388,"S")</f>
        <v>4736.0000000000009</v>
      </c>
      <c r="BZ1278" s="343">
        <f>SUMIFS($AU1279:AU$1388,$Q1279:Q$1388,"O")</f>
        <v>367.72333333316226</v>
      </c>
    </row>
    <row r="1279" spans="1:78" ht="15.75" customHeight="1">
      <c r="A1279" s="221" t="s">
        <v>4220</v>
      </c>
      <c r="B1279" s="177"/>
      <c r="C1279" s="178"/>
      <c r="D1279" s="178"/>
      <c r="E1279" s="227" t="s">
        <v>4443</v>
      </c>
      <c r="F1279" s="180" t="s">
        <v>4444</v>
      </c>
      <c r="G1279" s="181"/>
      <c r="H1279" s="182">
        <v>1</v>
      </c>
      <c r="I1279" s="182"/>
      <c r="J1279" s="182"/>
      <c r="K1279" s="183" t="s">
        <v>372</v>
      </c>
      <c r="L1279" s="182"/>
      <c r="M1279" s="182"/>
      <c r="N1279" s="182"/>
      <c r="O1279" s="183"/>
      <c r="P1279" s="183"/>
      <c r="Q1279" s="183"/>
      <c r="R1279" s="183"/>
      <c r="S1279" s="183"/>
      <c r="T1279" s="183"/>
      <c r="U1279" s="183"/>
      <c r="V1279" s="183"/>
      <c r="W1279" s="183"/>
      <c r="X1279" s="183"/>
      <c r="Y1279" s="184" t="str">
        <f t="shared" si="374"/>
        <v/>
      </c>
      <c r="Z1279" s="185" t="str">
        <f t="shared" si="375"/>
        <v/>
      </c>
      <c r="AA1279" s="185"/>
      <c r="AB1279" s="185"/>
      <c r="AC1279" s="185"/>
      <c r="AD1279" s="649"/>
      <c r="AE1279" s="182"/>
      <c r="AF1279" s="332"/>
      <c r="AG1279" s="182"/>
      <c r="AH1279" s="182"/>
      <c r="AI1279" s="182"/>
      <c r="AJ1279" s="640"/>
      <c r="AK1279" s="182"/>
      <c r="AL1279" s="496"/>
      <c r="AM1279" s="496"/>
      <c r="AN1279" s="626"/>
      <c r="AO1279" s="182"/>
      <c r="AP1279" s="182"/>
      <c r="AQ1279" s="332" t="str">
        <f>UPPER(RIGHT(Journal_Live[[#This Row],[DURATION ]]))</f>
        <v/>
      </c>
      <c r="AR1279" s="182"/>
      <c r="AS1279" s="189"/>
      <c r="AT1279" s="189"/>
      <c r="AU1279" s="187"/>
      <c r="AV1279" s="190"/>
      <c r="AW1279" s="191"/>
      <c r="AX1279" s="407"/>
      <c r="AY1279" s="407"/>
      <c r="AZ1279" s="407"/>
      <c r="BA1279" s="407"/>
      <c r="BB1279" s="407"/>
      <c r="BC1279" s="407"/>
      <c r="BD1279" s="407"/>
      <c r="BE1279" s="407"/>
      <c r="BF1279" s="422"/>
      <c r="BG1279" s="391">
        <f>SUM($AV$4:AV1279)</f>
        <v>4483.4152133074131</v>
      </c>
      <c r="BH1279" s="392">
        <f>SUM($AU$134:AU1279)</f>
        <v>24667.727333333703</v>
      </c>
      <c r="BI1279" s="318">
        <f>SUMIFS($AU$134:AU1280,$Q$134:Q1280,"F")</f>
        <v>10853.466666666667</v>
      </c>
      <c r="BJ1279" s="318">
        <f>SUMIFS($AU$134:AU1280,$Q$134:Q1280,"S")</f>
        <v>15935.642</v>
      </c>
      <c r="BK1279" s="343">
        <f>SUMIFS($AU$134:AU1280,$P$134:P1280,"W")</f>
        <v>13630.941999999926</v>
      </c>
      <c r="BL1279" s="343">
        <f>SUMIFS($AU$134:AU1280,$P$134:P1280,"R")</f>
        <v>12931.606666666656</v>
      </c>
      <c r="BM1279" s="343">
        <f>SUMIFS($AU$134:AU1280,$AQ$134:AQ1280,"M")</f>
        <v>2878.0300000001334</v>
      </c>
      <c r="BN1279" s="343">
        <f>SUMIFS($AU$134:AU1280,$AQ$134:AQ1280,"H")</f>
        <v>9961.3420000000642</v>
      </c>
      <c r="BO1279" s="343">
        <f>SUMIFS($AU$134:AU1280,$AQ$134:AQ1280,"D")</f>
        <v>5186.236666666764</v>
      </c>
      <c r="BP1279" s="343">
        <f>SUMIFS($AU$134:AU1282,$AQ$134:AQ1282,"W")</f>
        <v>5158.6966666665357</v>
      </c>
      <c r="BQ1279" s="343">
        <f>SUMIFS($AU$134:AU1280,$Q$134:Q1280,"O")</f>
        <v>-2048.581333332977</v>
      </c>
      <c r="BR1279" s="343">
        <f>SUMIFS($AU$134:AU1280,$AA$134:AA1280,"*")</f>
        <v>22478.905333333463</v>
      </c>
      <c r="BS1279" s="343">
        <f>SUMIFS($AU$134:AU1280,$AB$134:AB1280,"*")</f>
        <v>3021.9886666669458</v>
      </c>
      <c r="BT1279" s="343">
        <f>SUMIFS($AU$134:AU1280,$AC$134:AC1280,"*")</f>
        <v>14397.016666666666</v>
      </c>
      <c r="BU1279" s="343">
        <f>SUMIFS($AU$134:AU1280,$AA$134:AA1280,"*",$AB$134:AB1280,"*")</f>
        <v>2490.0000000000546</v>
      </c>
      <c r="BV1279" s="343">
        <f>SUMIFS($AU$134:AU1280,$AA$134:AA1280,"*",$AC$134:AC1280,"*")</f>
        <v>11004.783333333333</v>
      </c>
      <c r="BW1279" s="343">
        <f>SUMIFS($AU$134:AU1280,$AB$134:AB1280,"*",$AC$134:AC1280,"*")</f>
        <v>6206.6</v>
      </c>
      <c r="BX1279" s="343">
        <f>SUMIFS($AU1280:AU$1388,$Q1280:Q$1388,"F")</f>
        <v>3587.2</v>
      </c>
      <c r="BY1279" s="343">
        <f>SUMIFS($AU1280:AU$1388,$Q1280:Q$1388,"S")</f>
        <v>4736.0000000000009</v>
      </c>
      <c r="BZ1279" s="343">
        <f>SUMIFS($AU1280:AU$1388,$Q1280:Q$1388,"O")</f>
        <v>367.72333333316226</v>
      </c>
    </row>
    <row r="1280" spans="1:78" ht="15.75" customHeight="1">
      <c r="A1280" s="221" t="s">
        <v>4220</v>
      </c>
      <c r="B1280" s="177">
        <v>45246</v>
      </c>
      <c r="C1280" s="178" t="s">
        <v>682</v>
      </c>
      <c r="D1280" s="178" t="s">
        <v>93</v>
      </c>
      <c r="E1280" s="227"/>
      <c r="F1280" s="180"/>
      <c r="G1280" s="181" t="s">
        <v>1203</v>
      </c>
      <c r="H1280" s="182"/>
      <c r="I1280" s="182"/>
      <c r="J1280" s="182"/>
      <c r="K1280" s="183"/>
      <c r="L1280" s="182">
        <v>1</v>
      </c>
      <c r="M1280" s="182"/>
      <c r="N1280" s="182"/>
      <c r="O1280" s="183" t="s">
        <v>95</v>
      </c>
      <c r="P1280" s="183" t="s">
        <v>96</v>
      </c>
      <c r="Q1280" s="183" t="s">
        <v>684</v>
      </c>
      <c r="R1280" s="183">
        <v>1</v>
      </c>
      <c r="S1280" s="183">
        <v>0</v>
      </c>
      <c r="T1280" s="183">
        <v>1</v>
      </c>
      <c r="U1280" s="183" t="s">
        <v>97</v>
      </c>
      <c r="V1280" s="183"/>
      <c r="W1280" s="183"/>
      <c r="X1280" s="183"/>
      <c r="Y1280" s="184">
        <f t="shared" si="374"/>
        <v>0.01</v>
      </c>
      <c r="Z1280" s="185">
        <f t="shared" si="375"/>
        <v>1600</v>
      </c>
      <c r="AA1280" s="185"/>
      <c r="AB1280" s="185" t="s">
        <v>4445</v>
      </c>
      <c r="AC1280" s="185"/>
      <c r="AD1280" s="649">
        <v>95.41</v>
      </c>
      <c r="AE1280" s="182"/>
      <c r="AF1280" s="332"/>
      <c r="AG1280" s="182"/>
      <c r="AH1280" s="182"/>
      <c r="AI1280" s="182"/>
      <c r="AJ1280" s="640"/>
      <c r="AK1280" s="182"/>
      <c r="AL1280" s="496"/>
      <c r="AM1280" s="496"/>
      <c r="AN1280" s="626"/>
      <c r="AO1280" s="182"/>
      <c r="AP1280" s="182" t="s">
        <v>3143</v>
      </c>
      <c r="AQ1280" s="332" t="str">
        <f>UPPER(RIGHT(Journal_Live[[#This Row],[DURATION ]]))</f>
        <v>M</v>
      </c>
      <c r="AR1280" s="182" t="s">
        <v>1972</v>
      </c>
      <c r="AS1280" s="189">
        <v>95.43</v>
      </c>
      <c r="AT1280" s="189">
        <f t="shared" ref="AT1280:AT1287" si="376">IF(ISBLANK(AS1280),,IF(U1280="S",AD1280-AS1280,AS1280-AD1280))</f>
        <v>-2.0000000000010232E-2</v>
      </c>
      <c r="AU1280" s="187">
        <f t="shared" ref="AU1280:AU1287" si="377">AV1280*R1280</f>
        <v>-32.000000000016371</v>
      </c>
      <c r="AV1280" s="190">
        <f t="shared" ref="AV1280:AV1287" si="378">IF(ISBLANK(AS1280),,(AT1280*Z1280))</f>
        <v>-32.000000000016371</v>
      </c>
      <c r="AW1280" s="191" t="s">
        <v>229</v>
      </c>
      <c r="AX1280" s="407"/>
      <c r="AY1280" s="407"/>
      <c r="AZ1280" s="407"/>
      <c r="BA1280" s="407"/>
      <c r="BB1280" s="407"/>
      <c r="BC1280" s="407"/>
      <c r="BD1280" s="407"/>
      <c r="BE1280" s="407"/>
      <c r="BF1280" s="422"/>
      <c r="BG1280" s="391">
        <f>SUM($AV$4:AV1280)</f>
        <v>4451.4152133073967</v>
      </c>
      <c r="BH1280" s="392">
        <f>SUM($AU$134:AU1280)</f>
        <v>24635.727333333685</v>
      </c>
      <c r="BI1280" s="318">
        <f>SUMIFS($AU$134:AU1281,$Q$134:Q1281,"F")</f>
        <v>10853.466666666667</v>
      </c>
      <c r="BJ1280" s="318">
        <f>SUMIFS($AU$134:AU1281,$Q$134:Q1281,"S")</f>
        <v>15935.642</v>
      </c>
      <c r="BK1280" s="343">
        <f>SUMIFS($AU$134:AU1281,$P$134:P1281,"W")</f>
        <v>13630.941999999926</v>
      </c>
      <c r="BL1280" s="343">
        <f>SUMIFS($AU$134:AU1281,$P$134:P1281,"R")</f>
        <v>12931.606666666656</v>
      </c>
      <c r="BM1280" s="343">
        <f>SUMIFS($AU$134:AU1281,$AQ$134:AQ1281,"M")</f>
        <v>2878.0300000001334</v>
      </c>
      <c r="BN1280" s="343">
        <f>SUMIFS($AU$134:AU1281,$AQ$134:AQ1281,"H")</f>
        <v>9961.3420000000642</v>
      </c>
      <c r="BO1280" s="343">
        <f>SUMIFS($AU$134:AU1281,$AQ$134:AQ1281,"D")</f>
        <v>5186.236666666764</v>
      </c>
      <c r="BP1280" s="343">
        <f>SUMIFS($AU$134:AU1283,$AQ$134:AQ1283,"W")</f>
        <v>5328.4199999996163</v>
      </c>
      <c r="BQ1280" s="343">
        <f>SUMIFS($AU$134:AU1281,$Q$134:Q1281,"O")</f>
        <v>-2048.581333332977</v>
      </c>
      <c r="BR1280" s="343">
        <f>SUMIFS($AU$134:AU1281,$AA$134:AA1281,"*")</f>
        <v>22478.905333333463</v>
      </c>
      <c r="BS1280" s="343">
        <f>SUMIFS($AU$134:AU1281,$AB$134:AB1281,"*")</f>
        <v>3021.9886666669458</v>
      </c>
      <c r="BT1280" s="343">
        <f>SUMIFS($AU$134:AU1281,$AC$134:AC1281,"*")</f>
        <v>14397.016666666666</v>
      </c>
      <c r="BU1280" s="343">
        <f>SUMIFS($AU$134:AU1281,$AA$134:AA1281,"*",$AB$134:AB1281,"*")</f>
        <v>2490.0000000000546</v>
      </c>
      <c r="BV1280" s="343">
        <f>SUMIFS($AU$134:AU1281,$AA$134:AA1281,"*",$AC$134:AC1281,"*")</f>
        <v>11004.783333333333</v>
      </c>
      <c r="BW1280" s="343">
        <f>SUMIFS($AU$134:AU1281,$AB$134:AB1281,"*",$AC$134:AC1281,"*")</f>
        <v>6206.6</v>
      </c>
      <c r="BX1280" s="343">
        <f>SUMIFS($AU1281:AU$1388,$Q1281:Q$1388,"F")</f>
        <v>3587.2</v>
      </c>
      <c r="BY1280" s="343">
        <f>SUMIFS($AU1281:AU$1388,$Q1281:Q$1388,"S")</f>
        <v>4736.0000000000009</v>
      </c>
      <c r="BZ1280" s="343">
        <f>SUMIFS($AU1281:AU$1388,$Q1281:Q$1388,"O")</f>
        <v>399.72333333317863</v>
      </c>
    </row>
    <row r="1281" spans="1:78" ht="15.75" customHeight="1">
      <c r="A1281" s="221" t="s">
        <v>4220</v>
      </c>
      <c r="B1281" s="177">
        <v>45246</v>
      </c>
      <c r="C1281" s="178" t="s">
        <v>682</v>
      </c>
      <c r="D1281" s="178" t="s">
        <v>93</v>
      </c>
      <c r="E1281" s="227"/>
      <c r="F1281" s="180"/>
      <c r="G1281" s="281" t="s">
        <v>4147</v>
      </c>
      <c r="H1281" s="182"/>
      <c r="I1281" s="182"/>
      <c r="J1281" s="182"/>
      <c r="K1281" s="183"/>
      <c r="L1281" s="182">
        <v>1</v>
      </c>
      <c r="M1281" s="182"/>
      <c r="N1281" s="182"/>
      <c r="O1281" s="183" t="s">
        <v>95</v>
      </c>
      <c r="P1281" s="183" t="s">
        <v>137</v>
      </c>
      <c r="Q1281" s="183" t="s">
        <v>97</v>
      </c>
      <c r="R1281" s="183">
        <v>5</v>
      </c>
      <c r="S1281" s="183">
        <v>5</v>
      </c>
      <c r="T1281" s="183">
        <v>5</v>
      </c>
      <c r="U1281" s="183" t="s">
        <v>97</v>
      </c>
      <c r="V1281" s="183"/>
      <c r="W1281" s="183"/>
      <c r="X1281" s="183"/>
      <c r="Y1281" s="184">
        <f t="shared" si="374"/>
        <v>0.01</v>
      </c>
      <c r="Z1281" s="185">
        <f t="shared" si="375"/>
        <v>1600</v>
      </c>
      <c r="AA1281" s="185" t="s">
        <v>4446</v>
      </c>
      <c r="AB1281" s="185"/>
      <c r="AC1281" s="185" t="s">
        <v>4447</v>
      </c>
      <c r="AD1281" s="649">
        <v>-0.03</v>
      </c>
      <c r="AE1281" s="182"/>
      <c r="AF1281" s="332"/>
      <c r="AG1281" s="182"/>
      <c r="AH1281" s="182"/>
      <c r="AI1281" s="182"/>
      <c r="AJ1281" s="640"/>
      <c r="AK1281" s="182"/>
      <c r="AL1281" s="496"/>
      <c r="AM1281" s="496"/>
      <c r="AN1281" s="626"/>
      <c r="AO1281" s="182"/>
      <c r="AP1281" s="182" t="s">
        <v>589</v>
      </c>
      <c r="AQ1281" s="332" t="str">
        <f>UPPER(RIGHT(Journal_Live[[#This Row],[DURATION ]]))</f>
        <v>D</v>
      </c>
      <c r="AR1281" s="182" t="s">
        <v>4448</v>
      </c>
      <c r="AS1281" s="189">
        <v>-0.03</v>
      </c>
      <c r="AT1281" s="189">
        <f t="shared" si="376"/>
        <v>0</v>
      </c>
      <c r="AU1281" s="187">
        <f t="shared" si="377"/>
        <v>0</v>
      </c>
      <c r="AV1281" s="190">
        <f t="shared" si="378"/>
        <v>0</v>
      </c>
      <c r="AW1281" s="191" t="s">
        <v>115</v>
      </c>
      <c r="AX1281" s="409" t="s">
        <v>4449</v>
      </c>
      <c r="AY1281" s="409" t="s">
        <v>4450</v>
      </c>
      <c r="AZ1281" s="407"/>
      <c r="BA1281" s="407"/>
      <c r="BB1281" s="407"/>
      <c r="BC1281" s="407"/>
      <c r="BD1281" s="407"/>
      <c r="BE1281" s="407"/>
      <c r="BF1281" s="422"/>
      <c r="BG1281" s="391">
        <f>SUM($AV$4:AV1281)</f>
        <v>4451.4152133073967</v>
      </c>
      <c r="BH1281" s="392">
        <f>SUM($AU$134:AU1281)</f>
        <v>24635.727333333685</v>
      </c>
      <c r="BI1281" s="318">
        <f>SUMIFS($AU$134:AU1282,$Q$134:Q1282,"F")</f>
        <v>10853.466666666667</v>
      </c>
      <c r="BJ1281" s="318">
        <f>SUMIFS($AU$134:AU1282,$Q$134:Q1282,"S")</f>
        <v>16175.642</v>
      </c>
      <c r="BK1281" s="343">
        <f>SUMIFS($AU$134:AU1282,$P$134:P1282,"W")</f>
        <v>13870.941999999926</v>
      </c>
      <c r="BL1281" s="343">
        <f>SUMIFS($AU$134:AU1282,$P$134:P1282,"R")</f>
        <v>12931.606666666656</v>
      </c>
      <c r="BM1281" s="343">
        <f>SUMIFS($AU$134:AU1282,$AQ$134:AQ1282,"M")</f>
        <v>3118.0300000001334</v>
      </c>
      <c r="BN1281" s="343">
        <f>SUMIFS($AU$134:AU1282,$AQ$134:AQ1282,"H")</f>
        <v>9961.3420000000642</v>
      </c>
      <c r="BO1281" s="343">
        <f>SUMIFS($AU$134:AU1282,$AQ$134:AQ1282,"D")</f>
        <v>5186.236666666764</v>
      </c>
      <c r="BP1281" s="343">
        <f>SUMIFS($AU$134:AU1284,$AQ$134:AQ1284,"W")</f>
        <v>5328.4199999996163</v>
      </c>
      <c r="BQ1281" s="343">
        <f>SUMIFS($AU$134:AU1282,$Q$134:Q1282,"O")</f>
        <v>-2048.581333332977</v>
      </c>
      <c r="BR1281" s="343">
        <f>SUMIFS($AU$134:AU1282,$AA$134:AA1282,"*")</f>
        <v>22718.905333333463</v>
      </c>
      <c r="BS1281" s="343">
        <f>SUMIFS($AU$134:AU1282,$AB$134:AB1282,"*")</f>
        <v>3021.9886666669458</v>
      </c>
      <c r="BT1281" s="343">
        <f>SUMIFS($AU$134:AU1282,$AC$134:AC1282,"*")</f>
        <v>14397.016666666666</v>
      </c>
      <c r="BU1281" s="343">
        <f>SUMIFS($AU$134:AU1282,$AA$134:AA1282,"*",$AB$134:AB1282,"*")</f>
        <v>2490.0000000000546</v>
      </c>
      <c r="BV1281" s="343">
        <f>SUMIFS($AU$134:AU1282,$AA$134:AA1282,"*",$AC$134:AC1282,"*")</f>
        <v>11004.783333333333</v>
      </c>
      <c r="BW1281" s="343">
        <f>SUMIFS($AU$134:AU1282,$AB$134:AB1282,"*",$AC$134:AC1282,"*")</f>
        <v>6206.6</v>
      </c>
      <c r="BX1281" s="343">
        <f>SUMIFS($AU1282:AU$1388,$Q1282:Q$1388,"F")</f>
        <v>3587.2</v>
      </c>
      <c r="BY1281" s="343">
        <f>SUMIFS($AU1282:AU$1388,$Q1282:Q$1388,"S")</f>
        <v>4736.0000000000009</v>
      </c>
      <c r="BZ1281" s="343">
        <f>SUMIFS($AU1282:AU$1388,$Q1282:Q$1388,"O")</f>
        <v>399.72333333317863</v>
      </c>
    </row>
    <row r="1282" spans="1:78" ht="15.75" customHeight="1">
      <c r="A1282" s="221" t="s">
        <v>4220</v>
      </c>
      <c r="B1282" s="177">
        <v>45246</v>
      </c>
      <c r="C1282" s="178" t="s">
        <v>4451</v>
      </c>
      <c r="D1282" s="178" t="s">
        <v>111</v>
      </c>
      <c r="E1282" s="227"/>
      <c r="F1282" s="180"/>
      <c r="G1282" s="281" t="s">
        <v>2016</v>
      </c>
      <c r="H1282" s="182"/>
      <c r="I1282" s="182"/>
      <c r="J1282" s="182"/>
      <c r="K1282" s="183"/>
      <c r="L1282" s="182">
        <v>1</v>
      </c>
      <c r="M1282" s="182"/>
      <c r="N1282" s="182"/>
      <c r="O1282" s="183" t="s">
        <v>95</v>
      </c>
      <c r="P1282" s="183" t="s">
        <v>96</v>
      </c>
      <c r="Q1282" s="183" t="s">
        <v>97</v>
      </c>
      <c r="R1282" s="183">
        <v>15</v>
      </c>
      <c r="S1282" s="183">
        <v>0</v>
      </c>
      <c r="T1282" s="183">
        <v>15</v>
      </c>
      <c r="U1282" s="183" t="s">
        <v>22</v>
      </c>
      <c r="V1282" s="183"/>
      <c r="W1282" s="183"/>
      <c r="X1282" s="183"/>
      <c r="Y1282" s="184">
        <f t="shared" si="374"/>
        <v>0.01</v>
      </c>
      <c r="Z1282" s="185">
        <f t="shared" si="375"/>
        <v>1600</v>
      </c>
      <c r="AA1282" s="185" t="s">
        <v>4452</v>
      </c>
      <c r="AB1282" s="185"/>
      <c r="AC1282" s="185"/>
      <c r="AD1282" s="649">
        <v>-0.1</v>
      </c>
      <c r="AE1282" s="182"/>
      <c r="AF1282" s="332"/>
      <c r="AG1282" s="182"/>
      <c r="AH1282" s="182"/>
      <c r="AI1282" s="182"/>
      <c r="AJ1282" s="640"/>
      <c r="AK1282" s="182"/>
      <c r="AL1282" s="496"/>
      <c r="AM1282" s="496"/>
      <c r="AN1282" s="626"/>
      <c r="AO1282" s="182"/>
      <c r="AP1282" s="182" t="s">
        <v>4453</v>
      </c>
      <c r="AQ1282" s="332" t="str">
        <f>UPPER(RIGHT(Journal_Live[[#This Row],[DURATION ]]))</f>
        <v>M</v>
      </c>
      <c r="AR1282" s="182" t="s">
        <v>4454</v>
      </c>
      <c r="AS1282" s="189">
        <v>-0.09</v>
      </c>
      <c r="AT1282" s="189">
        <f t="shared" si="376"/>
        <v>1.0000000000000009E-2</v>
      </c>
      <c r="AU1282" s="187">
        <f t="shared" si="377"/>
        <v>240.00000000000023</v>
      </c>
      <c r="AV1282" s="190">
        <f t="shared" si="378"/>
        <v>16.000000000000014</v>
      </c>
      <c r="AW1282" s="191" t="s">
        <v>96</v>
      </c>
      <c r="AX1282" s="407"/>
      <c r="AY1282" s="407"/>
      <c r="AZ1282" s="407"/>
      <c r="BA1282" s="407"/>
      <c r="BB1282" s="407"/>
      <c r="BC1282" s="407"/>
      <c r="BD1282" s="407"/>
      <c r="BE1282" s="407"/>
      <c r="BF1282" s="422"/>
      <c r="BG1282" s="391">
        <f>SUM($AV$4:AV1282)</f>
        <v>4467.4152133073967</v>
      </c>
      <c r="BH1282" s="392">
        <f>SUM($AU$134:AU1282)</f>
        <v>24875.727333333685</v>
      </c>
      <c r="BI1282" s="318">
        <f>SUMIFS($AU$134:AU1283,$Q$134:Q1283,"F")</f>
        <v>10853.466666666667</v>
      </c>
      <c r="BJ1282" s="318">
        <f>SUMIFS($AU$134:AU1283,$Q$134:Q1283,"S")</f>
        <v>16175.642</v>
      </c>
      <c r="BK1282" s="343">
        <f>SUMIFS($AU$134:AU1283,$P$134:P1283,"W")</f>
        <v>13870.941999999926</v>
      </c>
      <c r="BL1282" s="343">
        <f>SUMIFS($AU$134:AU1283,$P$134:P1283,"R")</f>
        <v>12931.606666666656</v>
      </c>
      <c r="BM1282" s="343">
        <f>SUMIFS($AU$134:AU1283,$AQ$134:AQ1283,"M")</f>
        <v>3118.0300000001334</v>
      </c>
      <c r="BN1282" s="343">
        <f>SUMIFS($AU$134:AU1283,$AQ$134:AQ1283,"H")</f>
        <v>9961.3420000000642</v>
      </c>
      <c r="BO1282" s="343">
        <f>SUMIFS($AU$134:AU1283,$AQ$134:AQ1283,"D")</f>
        <v>5186.236666666764</v>
      </c>
      <c r="BP1282" s="343">
        <f>SUMIFS($AU$134:AU1285,$AQ$134:AQ1285,"W")</f>
        <v>5328.4199999996163</v>
      </c>
      <c r="BQ1282" s="343">
        <f>SUMIFS($AU$134:AU1283,$Q$134:Q1283,"O")</f>
        <v>-1878.857999999896</v>
      </c>
      <c r="BR1282" s="343">
        <f>SUMIFS($AU$134:AU1283,$AA$134:AA1283,"*")</f>
        <v>22718.905333333463</v>
      </c>
      <c r="BS1282" s="343">
        <f>SUMIFS($AU$134:AU1283,$AB$134:AB1283,"*")</f>
        <v>3191.7120000000268</v>
      </c>
      <c r="BT1282" s="343">
        <f>SUMIFS($AU$134:AU1283,$AC$134:AC1283,"*")</f>
        <v>14397.016666666666</v>
      </c>
      <c r="BU1282" s="343">
        <f>SUMIFS($AU$134:AU1283,$AA$134:AA1283,"*",$AB$134:AB1283,"*")</f>
        <v>2490.0000000000546</v>
      </c>
      <c r="BV1282" s="343">
        <f>SUMIFS($AU$134:AU1283,$AA$134:AA1283,"*",$AC$134:AC1283,"*")</f>
        <v>11004.783333333333</v>
      </c>
      <c r="BW1282" s="343">
        <f>SUMIFS($AU$134:AU1283,$AB$134:AB1283,"*",$AC$134:AC1283,"*")</f>
        <v>6206.6</v>
      </c>
      <c r="BX1282" s="343">
        <f>SUMIFS($AU1283:AU$1388,$Q1283:Q$1388,"F")</f>
        <v>3587.2</v>
      </c>
      <c r="BY1282" s="343">
        <f>SUMIFS($AU1283:AU$1388,$Q1283:Q$1388,"S")</f>
        <v>4496.0000000000009</v>
      </c>
      <c r="BZ1282" s="343">
        <f>SUMIFS($AU1283:AU$1388,$Q1283:Q$1388,"O")</f>
        <v>399.72333333317863</v>
      </c>
    </row>
    <row r="1283" spans="1:78" ht="15.75" customHeight="1">
      <c r="A1283" s="221" t="s">
        <v>4220</v>
      </c>
      <c r="B1283" s="177">
        <v>45247</v>
      </c>
      <c r="C1283" s="178" t="s">
        <v>4455</v>
      </c>
      <c r="D1283" s="178" t="s">
        <v>111</v>
      </c>
      <c r="E1283" s="227"/>
      <c r="F1283" s="180"/>
      <c r="G1283" s="491" t="s">
        <v>4304</v>
      </c>
      <c r="H1283" s="182"/>
      <c r="I1283" s="182"/>
      <c r="J1283" s="182"/>
      <c r="K1283" s="183"/>
      <c r="L1283" s="182">
        <v>3</v>
      </c>
      <c r="M1283" s="182">
        <v>2</v>
      </c>
      <c r="N1283" s="182"/>
      <c r="O1283" s="183" t="s">
        <v>1057</v>
      </c>
      <c r="P1283" s="183"/>
      <c r="Q1283" s="183" t="s">
        <v>684</v>
      </c>
      <c r="R1283" s="183">
        <v>20</v>
      </c>
      <c r="S1283" s="183">
        <v>1</v>
      </c>
      <c r="T1283" s="183">
        <v>9</v>
      </c>
      <c r="U1283" s="183" t="s">
        <v>97</v>
      </c>
      <c r="V1283" s="183"/>
      <c r="W1283" s="183"/>
      <c r="X1283" s="183"/>
      <c r="Y1283" s="184">
        <f t="shared" si="374"/>
        <v>5.0000000000000001E-3</v>
      </c>
      <c r="Z1283" s="185">
        <f>IF(ISBLANK(O1283),"",IF(O1283="IB",8.63*200,IF(O1283="IR",16*100,IF(O1283="YT",20*100,IF(O1283="YT-XT",24*200,IF(O1283="TED",80*100,IF(O1283="XT",36*200)))))))</f>
        <v>1726.0000000000002</v>
      </c>
      <c r="AA1283" s="185"/>
      <c r="AB1283" s="185" t="s">
        <v>4456</v>
      </c>
      <c r="AC1283" s="185"/>
      <c r="AD1283" s="649">
        <f>(95.673*9+95.67*2+95.675*10)/21</f>
        <v>95.673666666666662</v>
      </c>
      <c r="AE1283" s="182"/>
      <c r="AF1283" s="332"/>
      <c r="AG1283" s="182"/>
      <c r="AH1283" s="182"/>
      <c r="AI1283" s="182"/>
      <c r="AJ1283" s="640"/>
      <c r="AK1283" s="182"/>
      <c r="AL1283" s="496">
        <f t="shared" ref="AL1283" si="379">-0.03*Z1283</f>
        <v>-51.780000000000008</v>
      </c>
      <c r="AM1283" s="496">
        <f>AL1283*(R1283-S1283)</f>
        <v>-983.82000000000016</v>
      </c>
      <c r="AN1283" s="626"/>
      <c r="AO1283" s="182"/>
      <c r="AP1283" s="182" t="s">
        <v>902</v>
      </c>
      <c r="AQ1283" s="332" t="str">
        <f>UPPER(RIGHT(Journal_Live[[#This Row],[DURATION ]]))</f>
        <v>W</v>
      </c>
      <c r="AR1283" s="182" t="s">
        <v>4457</v>
      </c>
      <c r="AS1283" s="189">
        <f>(95.67*15+95.665*5)/20</f>
        <v>95.668750000000003</v>
      </c>
      <c r="AT1283" s="189">
        <f t="shared" si="376"/>
        <v>4.9166666666593528E-3</v>
      </c>
      <c r="AU1283" s="187">
        <f t="shared" si="377"/>
        <v>169.72333333308089</v>
      </c>
      <c r="AV1283" s="190">
        <f t="shared" si="378"/>
        <v>8.4861666666540447</v>
      </c>
      <c r="AW1283" s="191" t="s">
        <v>96</v>
      </c>
      <c r="AX1283" s="407"/>
      <c r="AY1283" s="407"/>
      <c r="AZ1283" s="407"/>
      <c r="BA1283" s="407" t="s">
        <v>195</v>
      </c>
      <c r="BB1283" s="407"/>
      <c r="BC1283" s="407"/>
      <c r="BD1283" s="407"/>
      <c r="BE1283" s="407"/>
      <c r="BF1283" s="422"/>
      <c r="BG1283" s="391">
        <f>SUM($AV$4:AV1283)</f>
        <v>4475.9013799740505</v>
      </c>
      <c r="BH1283" s="392">
        <f>SUM($AU$134:AU1283)</f>
        <v>25045.450666666766</v>
      </c>
      <c r="BI1283" s="318">
        <f>SUMIFS($AU$134:AU1284,$Q$134:Q1284,"F")</f>
        <v>10853.466666666667</v>
      </c>
      <c r="BJ1283" s="318">
        <f>SUMIFS($AU$134:AU1284,$Q$134:Q1284,"S")</f>
        <v>16367.642</v>
      </c>
      <c r="BK1283" s="343">
        <f>SUMIFS($AU$134:AU1284,$P$134:P1284,"W")</f>
        <v>14062.941999999926</v>
      </c>
      <c r="BL1283" s="343">
        <f>SUMIFS($AU$134:AU1284,$P$134:P1284,"R")</f>
        <v>12931.606666666656</v>
      </c>
      <c r="BM1283" s="343">
        <f>SUMIFS($AU$134:AU1284,$AQ$134:AQ1284,"M")</f>
        <v>3310.0300000001334</v>
      </c>
      <c r="BN1283" s="343">
        <f>SUMIFS($AU$134:AU1284,$AQ$134:AQ1284,"H")</f>
        <v>9961.3420000000642</v>
      </c>
      <c r="BO1283" s="343">
        <f>SUMIFS($AU$134:AU1284,$AQ$134:AQ1284,"D")</f>
        <v>5186.236666666764</v>
      </c>
      <c r="BP1283" s="343">
        <f>SUMIFS($AU$134:AU1286,$AQ$134:AQ1286,"W")</f>
        <v>5328.4199999996163</v>
      </c>
      <c r="BQ1283" s="343">
        <f>SUMIFS($AU$134:AU1284,$Q$134:Q1284,"O")</f>
        <v>-1878.857999999896</v>
      </c>
      <c r="BR1283" s="343">
        <f>SUMIFS($AU$134:AU1284,$AA$134:AA1284,"*")</f>
        <v>22910.905333333463</v>
      </c>
      <c r="BS1283" s="343">
        <f>SUMIFS($AU$134:AU1284,$AB$134:AB1284,"*")</f>
        <v>3191.7120000000268</v>
      </c>
      <c r="BT1283" s="343">
        <f>SUMIFS($AU$134:AU1284,$AC$134:AC1284,"*")</f>
        <v>14589.016666666666</v>
      </c>
      <c r="BU1283" s="343">
        <f>SUMIFS($AU$134:AU1284,$AA$134:AA1284,"*",$AB$134:AB1284,"*")</f>
        <v>2490.0000000000546</v>
      </c>
      <c r="BV1283" s="343">
        <f>SUMIFS($AU$134:AU1284,$AA$134:AA1284,"*",$AC$134:AC1284,"*")</f>
        <v>11196.783333333333</v>
      </c>
      <c r="BW1283" s="343">
        <f>SUMIFS($AU$134:AU1284,$AB$134:AB1284,"*",$AC$134:AC1284,"*")</f>
        <v>6206.6</v>
      </c>
      <c r="BX1283" s="343">
        <f>SUMIFS($AU1284:AU$1388,$Q1284:Q$1388,"F")</f>
        <v>3587.2</v>
      </c>
      <c r="BY1283" s="343">
        <f>SUMIFS($AU1284:AU$1388,$Q1284:Q$1388,"S")</f>
        <v>4496.0000000000009</v>
      </c>
      <c r="BZ1283" s="343">
        <f>SUMIFS($AU1284:AU$1388,$Q1284:Q$1388,"O")</f>
        <v>230.00000000009777</v>
      </c>
    </row>
    <row r="1284" spans="1:78" ht="15.75" customHeight="1">
      <c r="A1284" s="221" t="s">
        <v>4220</v>
      </c>
      <c r="B1284" s="177">
        <v>45247</v>
      </c>
      <c r="C1284" s="178" t="s">
        <v>4458</v>
      </c>
      <c r="D1284" s="178" t="s">
        <v>111</v>
      </c>
      <c r="E1284" s="227"/>
      <c r="F1284" s="180"/>
      <c r="G1284" s="281" t="s">
        <v>181</v>
      </c>
      <c r="H1284" s="182"/>
      <c r="I1284" s="182"/>
      <c r="J1284" s="182"/>
      <c r="K1284" s="183"/>
      <c r="L1284" s="182">
        <v>1</v>
      </c>
      <c r="M1284" s="182"/>
      <c r="N1284" s="182"/>
      <c r="O1284" s="183" t="s">
        <v>95</v>
      </c>
      <c r="P1284" s="183" t="s">
        <v>96</v>
      </c>
      <c r="Q1284" s="183" t="s">
        <v>97</v>
      </c>
      <c r="R1284" s="183">
        <v>12</v>
      </c>
      <c r="S1284" s="183">
        <v>0</v>
      </c>
      <c r="T1284" s="183">
        <v>12</v>
      </c>
      <c r="U1284" s="183" t="s">
        <v>22</v>
      </c>
      <c r="V1284" s="183"/>
      <c r="W1284" s="183"/>
      <c r="X1284" s="183"/>
      <c r="Y1284" s="184">
        <f t="shared" si="374"/>
        <v>0.01</v>
      </c>
      <c r="Z1284" s="185">
        <f>IF(ISBLANK(O1284),"",IF(O1284="IB",8.63*200,IF(O1284="IR",16*100,IF(O1284="YT",20*100,IF(O1284="YT-XT",24*200,IF(O1284="TED",80*100))))))</f>
        <v>1600</v>
      </c>
      <c r="AA1284" s="185" t="s">
        <v>4459</v>
      </c>
      <c r="AB1284" s="185"/>
      <c r="AC1284" s="185" t="s">
        <v>4460</v>
      </c>
      <c r="AD1284" s="649">
        <v>0.01</v>
      </c>
      <c r="AE1284" s="182"/>
      <c r="AF1284" s="332"/>
      <c r="AG1284" s="182"/>
      <c r="AH1284" s="182"/>
      <c r="AI1284" s="182" t="s">
        <v>4461</v>
      </c>
      <c r="AJ1284" s="640"/>
      <c r="AK1284" s="182"/>
      <c r="AL1284" s="496"/>
      <c r="AM1284" s="496"/>
      <c r="AN1284" s="626"/>
      <c r="AO1284" s="182"/>
      <c r="AP1284" s="182" t="s">
        <v>3143</v>
      </c>
      <c r="AQ1284" s="332" t="str">
        <f>UPPER(RIGHT(Journal_Live[[#This Row],[DURATION ]]))</f>
        <v>M</v>
      </c>
      <c r="AR1284" s="182" t="s">
        <v>4462</v>
      </c>
      <c r="AS1284" s="189">
        <v>0.02</v>
      </c>
      <c r="AT1284" s="189">
        <f t="shared" si="376"/>
        <v>0.01</v>
      </c>
      <c r="AU1284" s="187">
        <f t="shared" si="377"/>
        <v>192</v>
      </c>
      <c r="AV1284" s="190">
        <f t="shared" si="378"/>
        <v>16</v>
      </c>
      <c r="AW1284" s="191" t="s">
        <v>96</v>
      </c>
      <c r="AX1284" s="407"/>
      <c r="AY1284" s="407"/>
      <c r="AZ1284" s="407"/>
      <c r="BA1284" s="407"/>
      <c r="BB1284" s="407"/>
      <c r="BC1284" s="407"/>
      <c r="BD1284" s="407"/>
      <c r="BE1284" s="407"/>
      <c r="BF1284" s="422"/>
      <c r="BG1284" s="391">
        <f>SUM($AV$4:AV1284)</f>
        <v>4491.9013799740505</v>
      </c>
      <c r="BH1284" s="392">
        <f>SUM($AU$134:AU1284)</f>
        <v>25237.450666666766</v>
      </c>
      <c r="BI1284" s="318">
        <f>SUMIFS($AU$134:AU1285,$Q$134:Q1285,"F")</f>
        <v>10853.466666666667</v>
      </c>
      <c r="BJ1284" s="318">
        <f>SUMIFS($AU$134:AU1285,$Q$134:Q1285,"S")</f>
        <v>16783.642</v>
      </c>
      <c r="BK1284" s="343">
        <f>SUMIFS($AU$134:AU1285,$P$134:P1285,"W")</f>
        <v>14478.941999999926</v>
      </c>
      <c r="BL1284" s="343">
        <f>SUMIFS($AU$134:AU1285,$P$134:P1285,"R")</f>
        <v>12931.606666666656</v>
      </c>
      <c r="BM1284" s="343">
        <f>SUMIFS($AU$134:AU1285,$AQ$134:AQ1285,"M")</f>
        <v>3310.0300000001334</v>
      </c>
      <c r="BN1284" s="343">
        <f>SUMIFS($AU$134:AU1285,$AQ$134:AQ1285,"H")</f>
        <v>9961.3420000000642</v>
      </c>
      <c r="BO1284" s="343">
        <f>SUMIFS($AU$134:AU1285,$AQ$134:AQ1285,"D")</f>
        <v>5602.236666666764</v>
      </c>
      <c r="BP1284" s="343">
        <f>SUMIFS($AU$134:AU1287,$AQ$134:AQ1287,"W")</f>
        <v>5328.4199999996163</v>
      </c>
      <c r="BQ1284" s="343">
        <f>SUMIFS($AU$134:AU1285,$Q$134:Q1285,"O")</f>
        <v>-1878.857999999896</v>
      </c>
      <c r="BR1284" s="343">
        <f>SUMIFS($AU$134:AU1285,$AA$134:AA1285,"*")</f>
        <v>23326.905333333463</v>
      </c>
      <c r="BS1284" s="343">
        <f>SUMIFS($AU$134:AU1285,$AB$134:AB1285,"*")</f>
        <v>3191.7120000000268</v>
      </c>
      <c r="BT1284" s="343">
        <f>SUMIFS($AU$134:AU1285,$AC$134:AC1285,"*")</f>
        <v>14589.016666666666</v>
      </c>
      <c r="BU1284" s="343">
        <f>SUMIFS($AU$134:AU1285,$AA$134:AA1285,"*",$AB$134:AB1285,"*")</f>
        <v>2490.0000000000546</v>
      </c>
      <c r="BV1284" s="343">
        <f>SUMIFS($AU$134:AU1285,$AA$134:AA1285,"*",$AC$134:AC1285,"*")</f>
        <v>11196.783333333333</v>
      </c>
      <c r="BW1284" s="343">
        <f>SUMIFS($AU$134:AU1285,$AB$134:AB1285,"*",$AC$134:AC1285,"*")</f>
        <v>6206.6</v>
      </c>
      <c r="BX1284" s="343">
        <f>SUMIFS($AU1285:AU$1388,$Q1285:Q$1388,"F")</f>
        <v>3587.2</v>
      </c>
      <c r="BY1284" s="343">
        <f>SUMIFS($AU1285:AU$1388,$Q1285:Q$1388,"S")</f>
        <v>4304.0000000000009</v>
      </c>
      <c r="BZ1284" s="343">
        <f>SUMIFS($AU1285:AU$1388,$Q1285:Q$1388,"O")</f>
        <v>230.00000000009777</v>
      </c>
    </row>
    <row r="1285" spans="1:78" ht="15.75" customHeight="1">
      <c r="A1285" s="221" t="s">
        <v>4220</v>
      </c>
      <c r="B1285" s="177">
        <v>45247</v>
      </c>
      <c r="C1285" s="178" t="s">
        <v>4463</v>
      </c>
      <c r="D1285" s="178" t="s">
        <v>111</v>
      </c>
      <c r="E1285" s="227"/>
      <c r="F1285" s="180"/>
      <c r="G1285" s="281" t="s">
        <v>2145</v>
      </c>
      <c r="H1285" s="182"/>
      <c r="I1285" s="182"/>
      <c r="J1285" s="182"/>
      <c r="K1285" s="183"/>
      <c r="L1285" s="182">
        <v>1</v>
      </c>
      <c r="M1285" s="182"/>
      <c r="N1285" s="182"/>
      <c r="O1285" s="183" t="s">
        <v>95</v>
      </c>
      <c r="P1285" s="183" t="s">
        <v>96</v>
      </c>
      <c r="Q1285" s="183" t="s">
        <v>97</v>
      </c>
      <c r="R1285" s="183">
        <v>14</v>
      </c>
      <c r="S1285" s="183">
        <v>4</v>
      </c>
      <c r="T1285" s="183">
        <v>10</v>
      </c>
      <c r="U1285" s="183" t="s">
        <v>22</v>
      </c>
      <c r="V1285" s="183"/>
      <c r="W1285" s="183"/>
      <c r="X1285" s="183"/>
      <c r="Y1285" s="184">
        <f t="shared" si="374"/>
        <v>0.01</v>
      </c>
      <c r="Z1285" s="185">
        <f>IF(ISBLANK(O1285),"",IF(O1285="IB",8.63*200,IF(O1285="IR",16*100,IF(O1285="YT",20*100,IF(O1285="YT-XT",24*200,IF(O1285="TED",80*100))))))</f>
        <v>1600</v>
      </c>
      <c r="AA1285" s="185" t="s">
        <v>4464</v>
      </c>
      <c r="AB1285" s="185"/>
      <c r="AC1285" s="185"/>
      <c r="AD1285" s="649">
        <v>0.08</v>
      </c>
      <c r="AE1285" s="182"/>
      <c r="AF1285" s="332"/>
      <c r="AG1285" s="182"/>
      <c r="AH1285" s="182">
        <v>0.1</v>
      </c>
      <c r="AI1285" s="182"/>
      <c r="AJ1285" s="640"/>
      <c r="AK1285" s="182"/>
      <c r="AL1285" s="496"/>
      <c r="AM1285" s="496"/>
      <c r="AN1285" s="626"/>
      <c r="AO1285" s="182"/>
      <c r="AP1285" s="182" t="s">
        <v>4465</v>
      </c>
      <c r="AQ1285" s="332" t="str">
        <f>UPPER(RIGHT(Journal_Live[[#This Row],[DURATION ]]))</f>
        <v>D</v>
      </c>
      <c r="AR1285" s="298">
        <v>45247</v>
      </c>
      <c r="AS1285" s="189">
        <f>(0.09*2+0.1*2+0.1*10)/14</f>
        <v>9.857142857142856E-2</v>
      </c>
      <c r="AT1285" s="189">
        <f t="shared" si="376"/>
        <v>1.8571428571428558E-2</v>
      </c>
      <c r="AU1285" s="187">
        <f t="shared" si="377"/>
        <v>415.99999999999972</v>
      </c>
      <c r="AV1285" s="190">
        <f t="shared" si="378"/>
        <v>29.714285714285694</v>
      </c>
      <c r="AW1285" s="191" t="s">
        <v>96</v>
      </c>
      <c r="AX1285" s="407" t="s">
        <v>4466</v>
      </c>
      <c r="AY1285" s="407"/>
      <c r="AZ1285" s="407"/>
      <c r="BA1285" s="407"/>
      <c r="BB1285" s="407"/>
      <c r="BC1285" s="407"/>
      <c r="BD1285" s="407"/>
      <c r="BE1285" s="407"/>
      <c r="BF1285" s="422"/>
      <c r="BG1285" s="391">
        <f>SUM($AV$4:AV1285)</f>
        <v>4521.6156656883359</v>
      </c>
      <c r="BH1285" s="392">
        <f>SUM($AU$134:AU1285)</f>
        <v>25653.450666666766</v>
      </c>
      <c r="BI1285" s="318">
        <f>SUMIFS($AU$134:AU1286,$Q$134:Q1286,"F")</f>
        <v>10853.466666666667</v>
      </c>
      <c r="BJ1285" s="318">
        <f>SUMIFS($AU$134:AU1286,$Q$134:Q1286,"S")</f>
        <v>16783.642</v>
      </c>
      <c r="BK1285" s="343">
        <f>SUMIFS($AU$134:AU1286,$P$134:P1286,"W")</f>
        <v>14478.941999999926</v>
      </c>
      <c r="BL1285" s="343">
        <f>SUMIFS($AU$134:AU1286,$P$134:P1286,"R")</f>
        <v>12931.606666666656</v>
      </c>
      <c r="BM1285" s="343">
        <f>SUMIFS($AU$134:AU1286,$AQ$134:AQ1286,"M")</f>
        <v>3310.0300000001334</v>
      </c>
      <c r="BN1285" s="343">
        <f>SUMIFS($AU$134:AU1286,$AQ$134:AQ1286,"H")</f>
        <v>9961.3420000000642</v>
      </c>
      <c r="BO1285" s="343">
        <f>SUMIFS($AU$134:AU1286,$AQ$134:AQ1286,"D")</f>
        <v>5602.236666666764</v>
      </c>
      <c r="BP1285" s="343">
        <f>SUMIFS($AU$134:AU1288,$AQ$134:AQ1288,"W")</f>
        <v>5328.4199999996163</v>
      </c>
      <c r="BQ1285" s="343">
        <f>SUMIFS($AU$134:AU1286,$Q$134:Q1286,"O")</f>
        <v>-1878.857999999896</v>
      </c>
      <c r="BR1285" s="343">
        <f>SUMIFS($AU$134:AU1286,$AA$134:AA1286,"*")</f>
        <v>23326.905333333463</v>
      </c>
      <c r="BS1285" s="343">
        <f>SUMIFS($AU$134:AU1286,$AB$134:AB1286,"*")</f>
        <v>3191.7120000000268</v>
      </c>
      <c r="BT1285" s="343">
        <f>SUMIFS($AU$134:AU1286,$AC$134:AC1286,"*")</f>
        <v>14589.016666666666</v>
      </c>
      <c r="BU1285" s="343">
        <f>SUMIFS($AU$134:AU1286,$AA$134:AA1286,"*",$AB$134:AB1286,"*")</f>
        <v>2490.0000000000546</v>
      </c>
      <c r="BV1285" s="343">
        <f>SUMIFS($AU$134:AU1286,$AA$134:AA1286,"*",$AC$134:AC1286,"*")</f>
        <v>11196.783333333333</v>
      </c>
      <c r="BW1285" s="343">
        <f>SUMIFS($AU$134:AU1286,$AB$134:AB1286,"*",$AC$134:AC1286,"*")</f>
        <v>6206.6</v>
      </c>
      <c r="BX1285" s="343">
        <f>SUMIFS($AU1286:AU$1388,$Q1286:Q$1388,"F")</f>
        <v>3587.2</v>
      </c>
      <c r="BY1285" s="343">
        <f>SUMIFS($AU1286:AU$1388,$Q1286:Q$1388,"S")</f>
        <v>3888.0000000000009</v>
      </c>
      <c r="BZ1285" s="343">
        <f>SUMIFS($AU1286:AU$1388,$Q1286:Q$1388,"O")</f>
        <v>230.00000000009777</v>
      </c>
    </row>
    <row r="1286" spans="1:78" ht="15.75" customHeight="1">
      <c r="A1286" s="221" t="s">
        <v>4220</v>
      </c>
      <c r="B1286" s="177">
        <v>45247</v>
      </c>
      <c r="C1286" s="178" t="s">
        <v>4467</v>
      </c>
      <c r="D1286" s="178" t="s">
        <v>111</v>
      </c>
      <c r="E1286" s="227"/>
      <c r="F1286" s="180"/>
      <c r="G1286" s="281" t="s">
        <v>2942</v>
      </c>
      <c r="H1286" s="182"/>
      <c r="I1286" s="182"/>
      <c r="J1286" s="182"/>
      <c r="K1286" s="183"/>
      <c r="L1286" s="182">
        <v>1</v>
      </c>
      <c r="M1286" s="182"/>
      <c r="N1286" s="182"/>
      <c r="O1286" s="183" t="s">
        <v>95</v>
      </c>
      <c r="P1286" s="183" t="s">
        <v>137</v>
      </c>
      <c r="Q1286" s="183" t="s">
        <v>97</v>
      </c>
      <c r="R1286" s="183">
        <v>14</v>
      </c>
      <c r="S1286" s="183">
        <v>14</v>
      </c>
      <c r="T1286" s="183">
        <v>14</v>
      </c>
      <c r="U1286" s="183" t="s">
        <v>97</v>
      </c>
      <c r="V1286" s="183"/>
      <c r="W1286" s="183"/>
      <c r="X1286" s="183"/>
      <c r="Y1286" s="184">
        <f t="shared" si="374"/>
        <v>0.01</v>
      </c>
      <c r="Z1286" s="185">
        <f>IF(ISBLANK(O1286),"",IF(O1286="IB",8.63*200,IF(O1286="IR",16*100,IF(O1286="YT",20*100,IF(O1286="YT-XT",24*200,IF(O1286="TED",80*100))))))</f>
        <v>1600</v>
      </c>
      <c r="AA1286" s="185" t="s">
        <v>99</v>
      </c>
      <c r="AB1286" s="185"/>
      <c r="AC1286" s="185" t="s">
        <v>4468</v>
      </c>
      <c r="AD1286" s="649">
        <v>-7.0000000000000007E-2</v>
      </c>
      <c r="AE1286" s="182"/>
      <c r="AF1286" s="332"/>
      <c r="AG1286" s="182"/>
      <c r="AH1286" s="182"/>
      <c r="AI1286" s="182"/>
      <c r="AJ1286" s="640"/>
      <c r="AK1286" s="182"/>
      <c r="AL1286" s="496">
        <f>-0.02*Z1286</f>
        <v>-32</v>
      </c>
      <c r="AM1286" s="496">
        <f>AL1286*(R1286-S1286)</f>
        <v>0</v>
      </c>
      <c r="AN1286" s="626"/>
      <c r="AO1286" s="182"/>
      <c r="AP1286" s="182" t="s">
        <v>770</v>
      </c>
      <c r="AQ1286" s="332" t="str">
        <f>UPPER(RIGHT(Journal_Live[[#This Row],[DURATION ]]))</f>
        <v>D</v>
      </c>
      <c r="AR1286" s="182" t="s">
        <v>4469</v>
      </c>
      <c r="AS1286" s="189">
        <f>((-0.07*7)+(-0.07*7))/14</f>
        <v>-7.0000000000000007E-2</v>
      </c>
      <c r="AT1286" s="189">
        <f t="shared" si="376"/>
        <v>0</v>
      </c>
      <c r="AU1286" s="187">
        <f t="shared" si="377"/>
        <v>0</v>
      </c>
      <c r="AV1286" s="190">
        <f t="shared" si="378"/>
        <v>0</v>
      </c>
      <c r="AW1286" s="191" t="s">
        <v>115</v>
      </c>
      <c r="AX1286" s="407"/>
      <c r="AY1286" s="407"/>
      <c r="AZ1286" s="407"/>
      <c r="BA1286" s="407"/>
      <c r="BB1286" s="407"/>
      <c r="BC1286" s="407"/>
      <c r="BD1286" s="407"/>
      <c r="BE1286" s="407"/>
      <c r="BF1286" s="422"/>
      <c r="BG1286" s="391">
        <f>SUM($AV$4:AV1286)</f>
        <v>4521.6156656883359</v>
      </c>
      <c r="BH1286" s="392">
        <f>SUM($AU$134:AU1286)</f>
        <v>25653.450666666766</v>
      </c>
      <c r="BI1286" s="318">
        <f>SUMIFS($AU$134:AU1287,$Q$134:Q1287,"F")</f>
        <v>10853.466666666667</v>
      </c>
      <c r="BJ1286" s="318">
        <f>SUMIFS($AU$134:AU1287,$Q$134:Q1287,"S")</f>
        <v>17055.642</v>
      </c>
      <c r="BK1286" s="343">
        <f>SUMIFS($AU$134:AU1287,$P$134:P1287,"W")</f>
        <v>14750.941999999926</v>
      </c>
      <c r="BL1286" s="343">
        <f>SUMIFS($AU$134:AU1287,$P$134:P1287,"R")</f>
        <v>12931.606666666656</v>
      </c>
      <c r="BM1286" s="343">
        <f>SUMIFS($AU$134:AU1287,$AQ$134:AQ1287,"M")</f>
        <v>3310.0300000001334</v>
      </c>
      <c r="BN1286" s="343">
        <f>SUMIFS($AU$134:AU1287,$AQ$134:AQ1287,"H")</f>
        <v>9961.3420000000642</v>
      </c>
      <c r="BO1286" s="343">
        <f>SUMIFS($AU$134:AU1287,$AQ$134:AQ1287,"D")</f>
        <v>5874.236666666764</v>
      </c>
      <c r="BP1286" s="343">
        <f>SUMIFS($AU$134:AU1289,$AQ$134:AQ1289,"W")</f>
        <v>5328.4199999996163</v>
      </c>
      <c r="BQ1286" s="343">
        <f>SUMIFS($AU$134:AU1287,$Q$134:Q1287,"O")</f>
        <v>-1878.857999999896</v>
      </c>
      <c r="BR1286" s="343">
        <f>SUMIFS($AU$134:AU1287,$AA$134:AA1287,"*")</f>
        <v>23598.905333333463</v>
      </c>
      <c r="BS1286" s="343">
        <f>SUMIFS($AU$134:AU1287,$AB$134:AB1287,"*")</f>
        <v>3191.7120000000268</v>
      </c>
      <c r="BT1286" s="343">
        <f>SUMIFS($AU$134:AU1287,$AC$134:AC1287,"*")</f>
        <v>14589.016666666666</v>
      </c>
      <c r="BU1286" s="343">
        <f>SUMIFS($AU$134:AU1287,$AA$134:AA1287,"*",$AB$134:AB1287,"*")</f>
        <v>2490.0000000000546</v>
      </c>
      <c r="BV1286" s="343">
        <f>SUMIFS($AU$134:AU1287,$AA$134:AA1287,"*",$AC$134:AC1287,"*")</f>
        <v>11196.783333333333</v>
      </c>
      <c r="BW1286" s="343">
        <f>SUMIFS($AU$134:AU1287,$AB$134:AB1287,"*",$AC$134:AC1287,"*")</f>
        <v>6206.6</v>
      </c>
      <c r="BX1286" s="343">
        <f>SUMIFS($AU1287:AU$1388,$Q1287:Q$1388,"F")</f>
        <v>3587.2</v>
      </c>
      <c r="BY1286" s="343">
        <f>SUMIFS($AU1287:AU$1388,$Q1287:Q$1388,"S")</f>
        <v>3888.0000000000009</v>
      </c>
      <c r="BZ1286" s="343">
        <f>SUMIFS($AU1287:AU$1388,$Q1287:Q$1388,"O")</f>
        <v>230.00000000009777</v>
      </c>
    </row>
    <row r="1287" spans="1:78" ht="15.75" customHeight="1">
      <c r="A1287" s="221" t="s">
        <v>4220</v>
      </c>
      <c r="B1287" s="177">
        <v>45247</v>
      </c>
      <c r="C1287" s="178"/>
      <c r="D1287" s="178" t="s">
        <v>111</v>
      </c>
      <c r="E1287" s="227"/>
      <c r="F1287" s="180"/>
      <c r="G1287" s="281" t="s">
        <v>181</v>
      </c>
      <c r="H1287" s="182"/>
      <c r="I1287" s="182"/>
      <c r="J1287" s="182"/>
      <c r="K1287" s="183"/>
      <c r="L1287" s="182">
        <v>1</v>
      </c>
      <c r="M1287" s="182"/>
      <c r="N1287" s="182"/>
      <c r="O1287" s="183" t="s">
        <v>95</v>
      </c>
      <c r="P1287" s="183" t="s">
        <v>96</v>
      </c>
      <c r="Q1287" s="183" t="s">
        <v>97</v>
      </c>
      <c r="R1287" s="183">
        <v>24</v>
      </c>
      <c r="S1287" s="183">
        <v>7</v>
      </c>
      <c r="T1287" s="183">
        <v>14</v>
      </c>
      <c r="U1287" s="183" t="s">
        <v>22</v>
      </c>
      <c r="V1287" s="183"/>
      <c r="W1287" s="183"/>
      <c r="X1287" s="183"/>
      <c r="Y1287" s="184">
        <f t="shared" si="374"/>
        <v>0.01</v>
      </c>
      <c r="Z1287" s="185">
        <f>IF(ISBLANK(O1287),"",IF(O1287="IB",8.63*200,IF(O1287="IR",16*100,IF(O1287="YT",20*100,IF(O1287="YT-XT",24*200,IF(O1287="TED",80*100))))))</f>
        <v>1600</v>
      </c>
      <c r="AA1287" s="185" t="s">
        <v>4470</v>
      </c>
      <c r="AB1287" s="185"/>
      <c r="AC1287" s="185"/>
      <c r="AD1287" s="649">
        <f>(0.01*14+0*10)/24</f>
        <v>5.8333333333333336E-3</v>
      </c>
      <c r="AE1287" s="182"/>
      <c r="AF1287" s="332"/>
      <c r="AG1287" s="182"/>
      <c r="AH1287" s="182"/>
      <c r="AI1287" s="182"/>
      <c r="AJ1287" s="640"/>
      <c r="AK1287" s="182"/>
      <c r="AL1287" s="496"/>
      <c r="AM1287" s="496"/>
      <c r="AN1287" s="626"/>
      <c r="AO1287" s="182"/>
      <c r="AP1287" s="182" t="s">
        <v>770</v>
      </c>
      <c r="AQ1287" s="332" t="str">
        <f>UPPER(RIGHT(Journal_Live[[#This Row],[DURATION ]]))</f>
        <v>D</v>
      </c>
      <c r="AR1287" s="182" t="s">
        <v>4471</v>
      </c>
      <c r="AS1287" s="189">
        <f>(0.01*17+0.02*7)/24</f>
        <v>1.2916666666666668E-2</v>
      </c>
      <c r="AT1287" s="189">
        <f t="shared" si="376"/>
        <v>7.0833333333333347E-3</v>
      </c>
      <c r="AU1287" s="187">
        <f t="shared" si="377"/>
        <v>272.00000000000006</v>
      </c>
      <c r="AV1287" s="190">
        <f t="shared" si="378"/>
        <v>11.333333333333336</v>
      </c>
      <c r="AW1287" s="191" t="s">
        <v>96</v>
      </c>
      <c r="AX1287" s="407"/>
      <c r="AY1287" s="407"/>
      <c r="AZ1287" s="407"/>
      <c r="BA1287" s="407"/>
      <c r="BB1287" s="407"/>
      <c r="BC1287" s="407"/>
      <c r="BD1287" s="407"/>
      <c r="BE1287" s="407"/>
      <c r="BF1287" s="422"/>
      <c r="BG1287" s="391">
        <f>SUM($AV$4:AV1287)</f>
        <v>4532.9489990216689</v>
      </c>
      <c r="BH1287" s="392">
        <f>SUM($AU$134:AU1287)</f>
        <v>25925.450666666766</v>
      </c>
      <c r="BI1287" s="318">
        <f>SUMIFS($AU$134:AU1288,$Q$134:Q1288,"F")</f>
        <v>10853.466666666667</v>
      </c>
      <c r="BJ1287" s="318">
        <f>SUMIFS($AU$134:AU1288,$Q$134:Q1288,"S")</f>
        <v>17055.642</v>
      </c>
      <c r="BK1287" s="343">
        <f>SUMIFS($AU$134:AU1288,$P$134:P1288,"W")</f>
        <v>14750.941999999926</v>
      </c>
      <c r="BL1287" s="343">
        <f>SUMIFS($AU$134:AU1288,$P$134:P1288,"R")</f>
        <v>12931.606666666656</v>
      </c>
      <c r="BM1287" s="343">
        <f>SUMIFS($AU$134:AU1288,$AQ$134:AQ1288,"M")</f>
        <v>3310.0300000001334</v>
      </c>
      <c r="BN1287" s="343">
        <f>SUMIFS($AU$134:AU1288,$AQ$134:AQ1288,"H")</f>
        <v>9961.3420000000642</v>
      </c>
      <c r="BO1287" s="343">
        <f>SUMIFS($AU$134:AU1288,$AQ$134:AQ1288,"D")</f>
        <v>5874.236666666764</v>
      </c>
      <c r="BP1287" s="343">
        <f>SUMIFS($AU$134:AU1290,$AQ$134:AQ1290,"W")</f>
        <v>5395.6199999996161</v>
      </c>
      <c r="BQ1287" s="343">
        <f>SUMIFS($AU$134:AU1288,$Q$134:Q1288,"O")</f>
        <v>-1878.857999999896</v>
      </c>
      <c r="BR1287" s="343">
        <f>SUMIFS($AU$134:AU1288,$AA$134:AA1288,"*")</f>
        <v>23598.905333333463</v>
      </c>
      <c r="BS1287" s="343">
        <f>SUMIFS($AU$134:AU1288,$AB$134:AB1288,"*")</f>
        <v>3191.7120000000268</v>
      </c>
      <c r="BT1287" s="343">
        <f>SUMIFS($AU$134:AU1288,$AC$134:AC1288,"*")</f>
        <v>14589.016666666666</v>
      </c>
      <c r="BU1287" s="343">
        <f>SUMIFS($AU$134:AU1288,$AA$134:AA1288,"*",$AB$134:AB1288,"*")</f>
        <v>2490.0000000000546</v>
      </c>
      <c r="BV1287" s="343">
        <f>SUMIFS($AU$134:AU1288,$AA$134:AA1288,"*",$AC$134:AC1288,"*")</f>
        <v>11196.783333333333</v>
      </c>
      <c r="BW1287" s="343">
        <f>SUMIFS($AU$134:AU1288,$AB$134:AB1288,"*",$AC$134:AC1288,"*")</f>
        <v>6206.6</v>
      </c>
      <c r="BX1287" s="343">
        <f>SUMIFS($AU1288:AU$1388,$Q1288:Q$1388,"F")</f>
        <v>3587.2</v>
      </c>
      <c r="BY1287" s="343">
        <f>SUMIFS($AU1288:AU$1388,$Q1288:Q$1388,"S")</f>
        <v>3616.0000000000009</v>
      </c>
      <c r="BZ1287" s="343">
        <f>SUMIFS($AU1288:AU$1388,$Q1288:Q$1388,"O")</f>
        <v>230.00000000009777</v>
      </c>
    </row>
    <row r="1288" spans="1:78" ht="15.75" customHeight="1">
      <c r="A1288" s="221" t="s">
        <v>4220</v>
      </c>
      <c r="B1288" s="177">
        <v>45250</v>
      </c>
      <c r="C1288" s="178" t="s">
        <v>4472</v>
      </c>
      <c r="D1288" s="178" t="s">
        <v>132</v>
      </c>
      <c r="E1288" s="227"/>
      <c r="F1288" s="180"/>
      <c r="G1288" s="181" t="s">
        <v>2016</v>
      </c>
      <c r="H1288" s="182"/>
      <c r="I1288" s="182"/>
      <c r="J1288" s="182"/>
      <c r="K1288" s="183"/>
      <c r="L1288" s="182"/>
      <c r="M1288" s="182"/>
      <c r="N1288" s="182"/>
      <c r="O1288" s="183"/>
      <c r="P1288" s="183"/>
      <c r="Q1288" s="183"/>
      <c r="R1288" s="183"/>
      <c r="S1288" s="183"/>
      <c r="T1288" s="183"/>
      <c r="U1288" s="183"/>
      <c r="V1288" s="183"/>
      <c r="W1288" s="183"/>
      <c r="X1288" s="183"/>
      <c r="Y1288" s="184"/>
      <c r="Z1288" s="185"/>
      <c r="AA1288" s="185"/>
      <c r="AB1288" s="185"/>
      <c r="AC1288" s="185"/>
      <c r="AD1288" s="649"/>
      <c r="AE1288" s="182"/>
      <c r="AF1288" s="332"/>
      <c r="AG1288" s="182"/>
      <c r="AH1288" s="182"/>
      <c r="AI1288" s="182"/>
      <c r="AJ1288" s="644" t="s">
        <v>4473</v>
      </c>
      <c r="AK1288" s="182"/>
      <c r="AL1288" s="496"/>
      <c r="AM1288" s="496"/>
      <c r="AN1288" s="626"/>
      <c r="AO1288" s="182"/>
      <c r="AP1288" s="182"/>
      <c r="AQ1288" s="332" t="str">
        <f>UPPER(RIGHT(Journal_Live[[#This Row],[DURATION ]]))</f>
        <v/>
      </c>
      <c r="AR1288" s="182"/>
      <c r="AS1288" s="189"/>
      <c r="AT1288" s="189"/>
      <c r="AU1288" s="187"/>
      <c r="AV1288" s="190"/>
      <c r="AW1288" s="191"/>
      <c r="AX1288" s="407" t="s">
        <v>4474</v>
      </c>
      <c r="AY1288" s="407"/>
      <c r="AZ1288" s="407"/>
      <c r="BA1288" s="407"/>
      <c r="BB1288" s="407"/>
      <c r="BC1288" s="407"/>
      <c r="BD1288" s="407"/>
      <c r="BE1288" s="407"/>
      <c r="BF1288" s="422"/>
      <c r="BG1288" s="391">
        <f>SUM($AV$4:AV1288)</f>
        <v>4532.9489990216689</v>
      </c>
      <c r="BH1288" s="392">
        <f>SUM($AU$134:AU1288)</f>
        <v>25925.450666666766</v>
      </c>
      <c r="BI1288" s="318">
        <f>SUMIFS($AU$134:AU1289,$Q$134:Q1289,"F")</f>
        <v>11157.466666666667</v>
      </c>
      <c r="BJ1288" s="318">
        <f>SUMIFS($AU$134:AU1289,$Q$134:Q1289,"S")</f>
        <v>17055.642</v>
      </c>
      <c r="BK1288" s="343">
        <f>SUMIFS($AU$134:AU1289,$P$134:P1289,"W")</f>
        <v>15054.941999999926</v>
      </c>
      <c r="BL1288" s="343">
        <f>SUMIFS($AU$134:AU1289,$P$134:P1289,"R")</f>
        <v>12931.606666666656</v>
      </c>
      <c r="BM1288" s="343">
        <f>SUMIFS($AU$134:AU1289,$AQ$134:AQ1289,"M")</f>
        <v>3310.0300000001334</v>
      </c>
      <c r="BN1288" s="343">
        <f>SUMIFS($AU$134:AU1289,$AQ$134:AQ1289,"H")</f>
        <v>9961.3420000000642</v>
      </c>
      <c r="BO1288" s="343">
        <f>SUMIFS($AU$134:AU1289,$AQ$134:AQ1289,"D")</f>
        <v>6178.236666666764</v>
      </c>
      <c r="BP1288" s="343">
        <f>SUMIFS($AU$134:AU1291,$AQ$134:AQ1291,"W")</f>
        <v>5395.6199999996161</v>
      </c>
      <c r="BQ1288" s="343">
        <f>SUMIFS($AU$134:AU1289,$Q$134:Q1289,"O")</f>
        <v>-1878.857999999896</v>
      </c>
      <c r="BR1288" s="343">
        <f>SUMIFS($AU$134:AU1289,$AA$134:AA1289,"*")</f>
        <v>23902.905333333463</v>
      </c>
      <c r="BS1288" s="343">
        <f>SUMIFS($AU$134:AU1289,$AB$134:AB1289,"*")</f>
        <v>3191.7120000000268</v>
      </c>
      <c r="BT1288" s="343">
        <f>SUMIFS($AU$134:AU1289,$AC$134:AC1289,"*")</f>
        <v>14893.016666666666</v>
      </c>
      <c r="BU1288" s="343">
        <f>SUMIFS($AU$134:AU1289,$AA$134:AA1289,"*",$AB$134:AB1289,"*")</f>
        <v>2490.0000000000546</v>
      </c>
      <c r="BV1288" s="343">
        <f>SUMIFS($AU$134:AU1289,$AA$134:AA1289,"*",$AC$134:AC1289,"*")</f>
        <v>11500.783333333333</v>
      </c>
      <c r="BW1288" s="343">
        <f>SUMIFS($AU$134:AU1289,$AB$134:AB1289,"*",$AC$134:AC1289,"*")</f>
        <v>6206.6</v>
      </c>
      <c r="BX1288" s="343">
        <f>SUMIFS($AU1289:AU$1388,$Q1289:Q$1388,"F")</f>
        <v>3587.2</v>
      </c>
      <c r="BY1288" s="343">
        <f>SUMIFS($AU1289:AU$1388,$Q1289:Q$1388,"S")</f>
        <v>3616.0000000000009</v>
      </c>
      <c r="BZ1288" s="343">
        <f>SUMIFS($AU1289:AU$1388,$Q1289:Q$1388,"O")</f>
        <v>230.00000000009777</v>
      </c>
    </row>
    <row r="1289" spans="1:78" ht="15.75" customHeight="1">
      <c r="A1289" s="221" t="s">
        <v>4220</v>
      </c>
      <c r="B1289" s="177">
        <v>45250</v>
      </c>
      <c r="C1289" s="178" t="s">
        <v>733</v>
      </c>
      <c r="D1289" s="178" t="s">
        <v>132</v>
      </c>
      <c r="E1289" s="227"/>
      <c r="F1289" s="180"/>
      <c r="G1289" s="281" t="s">
        <v>4475</v>
      </c>
      <c r="H1289" s="182"/>
      <c r="I1289" s="182"/>
      <c r="J1289" s="182"/>
      <c r="K1289" s="183"/>
      <c r="L1289" s="182">
        <v>1</v>
      </c>
      <c r="M1289" s="182"/>
      <c r="N1289" s="182"/>
      <c r="O1289" s="183" t="s">
        <v>95</v>
      </c>
      <c r="P1289" s="183" t="s">
        <v>96</v>
      </c>
      <c r="Q1289" s="183" t="s">
        <v>256</v>
      </c>
      <c r="R1289" s="183">
        <v>15</v>
      </c>
      <c r="S1289" s="183">
        <v>15</v>
      </c>
      <c r="T1289" s="183">
        <v>12</v>
      </c>
      <c r="U1289" s="183" t="s">
        <v>22</v>
      </c>
      <c r="V1289" s="183"/>
      <c r="W1289" s="183"/>
      <c r="X1289" s="183"/>
      <c r="Y1289" s="184">
        <f>IF(ISBLANK(O1289),"",(IF(O1289=UPPER("IB"),0.005,0.01)))</f>
        <v>0.01</v>
      </c>
      <c r="Z1289" s="185">
        <f>IF(ISBLANK(O1289),"",IF(O1289="IB",8.63*200,IF(O1289="IR",16*100,IF(O1289="YT",20*100,IF(O1289="YT-XT",24*200,IF(O1289="TED",80*100))))))</f>
        <v>1600</v>
      </c>
      <c r="AA1289" s="185" t="s">
        <v>4476</v>
      </c>
      <c r="AB1289" s="185"/>
      <c r="AC1289" s="185" t="s">
        <v>4477</v>
      </c>
      <c r="AD1289" s="649">
        <v>3.4000000000000002E-2</v>
      </c>
      <c r="AE1289" s="182"/>
      <c r="AF1289" s="332"/>
      <c r="AG1289" s="182"/>
      <c r="AH1289" s="182" t="s">
        <v>1289</v>
      </c>
      <c r="AI1289" s="182"/>
      <c r="AJ1289" s="644" t="s">
        <v>4478</v>
      </c>
      <c r="AK1289" s="182"/>
      <c r="AL1289" s="496">
        <f t="shared" ref="AL1289:AL1300" si="380">-0.02*Z1289</f>
        <v>-32</v>
      </c>
      <c r="AM1289" s="496">
        <f>AL1289*(R1289-S1289)</f>
        <v>0</v>
      </c>
      <c r="AN1289" s="626"/>
      <c r="AO1289" s="182"/>
      <c r="AP1289" s="182" t="s">
        <v>589</v>
      </c>
      <c r="AQ1289" s="332" t="str">
        <f>UPPER(RIGHT(Journal_Live[[#This Row],[DURATION ]]))</f>
        <v>D</v>
      </c>
      <c r="AR1289" s="182" t="s">
        <v>4479</v>
      </c>
      <c r="AS1289" s="189">
        <f>(0.05*10+0.04*5)/15</f>
        <v>4.6666666666666662E-2</v>
      </c>
      <c r="AT1289" s="189">
        <f>IF(ISBLANK(AS1289),,IF(U1289="S",AD1289-AS1289,AS1289-AD1289))</f>
        <v>1.2666666666666659E-2</v>
      </c>
      <c r="AU1289" s="187">
        <f>AV1289*R1289</f>
        <v>303.99999999999983</v>
      </c>
      <c r="AV1289" s="190">
        <f>IF(ISBLANK(AS1289),,(AT1289*Z1289))</f>
        <v>20.266666666666655</v>
      </c>
      <c r="AW1289" s="191" t="s">
        <v>96</v>
      </c>
      <c r="AX1289" s="407" t="s">
        <v>4480</v>
      </c>
      <c r="AY1289" s="407" t="s">
        <v>4481</v>
      </c>
      <c r="AZ1289" s="407" t="s">
        <v>4482</v>
      </c>
      <c r="BA1289" s="407" t="s">
        <v>4483</v>
      </c>
      <c r="BB1289" s="407" t="s">
        <v>4484</v>
      </c>
      <c r="BC1289" s="407"/>
      <c r="BD1289" s="407" t="s">
        <v>4485</v>
      </c>
      <c r="BE1289" s="407" t="s">
        <v>4486</v>
      </c>
      <c r="BF1289" s="422"/>
      <c r="BG1289" s="391">
        <f>SUM($AV$4:AV1289)</f>
        <v>4553.2156656883353</v>
      </c>
      <c r="BH1289" s="392">
        <f>SUM($AU$134:AU1289)</f>
        <v>26229.450666666766</v>
      </c>
      <c r="BI1289" s="318">
        <f>SUMIFS($AU$134:AU1290,$Q$134:Q1290,"F")</f>
        <v>11224.666666666668</v>
      </c>
      <c r="BJ1289" s="318">
        <f>SUMIFS($AU$134:AU1290,$Q$134:Q1290,"S")</f>
        <v>17055.642</v>
      </c>
      <c r="BK1289" s="343">
        <f>SUMIFS($AU$134:AU1290,$P$134:P1290,"W")</f>
        <v>15122.141999999927</v>
      </c>
      <c r="BL1289" s="343">
        <f>SUMIFS($AU$134:AU1290,$P$134:P1290,"R")</f>
        <v>12931.606666666656</v>
      </c>
      <c r="BM1289" s="343">
        <f>SUMIFS($AU$134:AU1290,$AQ$134:AQ1290,"M")</f>
        <v>3310.0300000001334</v>
      </c>
      <c r="BN1289" s="343">
        <f>SUMIFS($AU$134:AU1290,$AQ$134:AQ1290,"H")</f>
        <v>9961.3420000000642</v>
      </c>
      <c r="BO1289" s="343">
        <f>SUMIFS($AU$134:AU1290,$AQ$134:AQ1290,"D")</f>
        <v>6178.236666666764</v>
      </c>
      <c r="BP1289" s="343">
        <f>SUMIFS($AU$134:AU1292,$AQ$134:AQ1292,"W")</f>
        <v>5395.6199999996161</v>
      </c>
      <c r="BQ1289" s="343">
        <f>SUMIFS($AU$134:AU1290,$Q$134:Q1290,"O")</f>
        <v>-1878.857999999896</v>
      </c>
      <c r="BR1289" s="343">
        <f>SUMIFS($AU$134:AU1290,$AA$134:AA1290,"*")</f>
        <v>23970.105333333464</v>
      </c>
      <c r="BS1289" s="343">
        <f>SUMIFS($AU$134:AU1290,$AB$134:AB1290,"*")</f>
        <v>3191.7120000000268</v>
      </c>
      <c r="BT1289" s="343">
        <f>SUMIFS($AU$134:AU1290,$AC$134:AC1290,"*")</f>
        <v>14960.216666666667</v>
      </c>
      <c r="BU1289" s="343">
        <f>SUMIFS($AU$134:AU1290,$AA$134:AA1290,"*",$AB$134:AB1290,"*")</f>
        <v>2490.0000000000546</v>
      </c>
      <c r="BV1289" s="343">
        <f>SUMIFS($AU$134:AU1290,$AA$134:AA1290,"*",$AC$134:AC1290,"*")</f>
        <v>11567.983333333334</v>
      </c>
      <c r="BW1289" s="343">
        <f>SUMIFS($AU$134:AU1290,$AB$134:AB1290,"*",$AC$134:AC1290,"*")</f>
        <v>6206.6</v>
      </c>
      <c r="BX1289" s="343">
        <f>SUMIFS($AU1290:AU$1388,$Q1290:Q$1388,"F")</f>
        <v>3283.2</v>
      </c>
      <c r="BY1289" s="343">
        <f>SUMIFS($AU1290:AU$1388,$Q1290:Q$1388,"S")</f>
        <v>3616.0000000000009</v>
      </c>
      <c r="BZ1289" s="343">
        <f>SUMIFS($AU1290:AU$1388,$Q1290:Q$1388,"O")</f>
        <v>230.00000000009777</v>
      </c>
    </row>
    <row r="1290" spans="1:78" ht="15.75" customHeight="1">
      <c r="A1290" s="221" t="s">
        <v>4220</v>
      </c>
      <c r="B1290" s="177">
        <v>45250</v>
      </c>
      <c r="C1290" s="178" t="s">
        <v>733</v>
      </c>
      <c r="D1290" s="178" t="s">
        <v>132</v>
      </c>
      <c r="E1290" s="227"/>
      <c r="F1290" s="180"/>
      <c r="G1290" s="281" t="s">
        <v>4475</v>
      </c>
      <c r="H1290" s="182"/>
      <c r="I1290" s="182"/>
      <c r="J1290" s="182"/>
      <c r="K1290" s="183"/>
      <c r="L1290" s="182">
        <v>1</v>
      </c>
      <c r="M1290" s="182"/>
      <c r="N1290" s="182"/>
      <c r="O1290" s="183" t="s">
        <v>95</v>
      </c>
      <c r="P1290" s="183" t="s">
        <v>96</v>
      </c>
      <c r="Q1290" s="183" t="s">
        <v>256</v>
      </c>
      <c r="R1290" s="183">
        <v>12</v>
      </c>
      <c r="S1290" s="183">
        <v>9</v>
      </c>
      <c r="T1290" s="183">
        <v>12</v>
      </c>
      <c r="U1290" s="183" t="s">
        <v>22</v>
      </c>
      <c r="V1290" s="183"/>
      <c r="W1290" s="183"/>
      <c r="X1290" s="183"/>
      <c r="Y1290" s="184">
        <f>IF(ISBLANK(O1290),"",(IF(O1290=UPPER("IB"),0.005,0.01)))</f>
        <v>0.01</v>
      </c>
      <c r="Z1290" s="185">
        <f>IF(ISBLANK(O1290),"",IF(O1290="IB",8.63*200,IF(O1290="IR",16*100,IF(O1290="YT",20*100,IF(O1290="YT-XT",24*200,IF(O1290="TED",80*100))))))</f>
        <v>1600</v>
      </c>
      <c r="AA1290" s="185" t="s">
        <v>4476</v>
      </c>
      <c r="AB1290" s="185"/>
      <c r="AC1290" s="185" t="s">
        <v>4477</v>
      </c>
      <c r="AD1290" s="649">
        <v>3.4000000000000002E-2</v>
      </c>
      <c r="AE1290" s="182"/>
      <c r="AF1290" s="332"/>
      <c r="AG1290" s="182"/>
      <c r="AH1290" s="182" t="s">
        <v>1310</v>
      </c>
      <c r="AI1290" s="182"/>
      <c r="AJ1290" s="644" t="s">
        <v>4487</v>
      </c>
      <c r="AK1290" s="182"/>
      <c r="AL1290" s="496">
        <f t="shared" ref="AL1290" si="381">-0.02*Z1290</f>
        <v>-32</v>
      </c>
      <c r="AM1290" s="496">
        <f>AL1290*(R1290-S1290)</f>
        <v>-96</v>
      </c>
      <c r="AN1290" s="626"/>
      <c r="AO1290" s="182"/>
      <c r="AP1290" s="182" t="s">
        <v>902</v>
      </c>
      <c r="AQ1290" s="332" t="str">
        <f>UPPER(RIGHT(Journal_Live[[#This Row],[DURATION ]]))</f>
        <v>W</v>
      </c>
      <c r="AR1290" s="182" t="s">
        <v>4488</v>
      </c>
      <c r="AS1290" s="189">
        <f>(0.04*9+0.03*3)/12</f>
        <v>3.7499999999999999E-2</v>
      </c>
      <c r="AT1290" s="189">
        <f>IF(ISBLANK(AS1290),,IF(U1290="S",AD1290-AS1290,AS1290-AD1290))</f>
        <v>3.4999999999999962E-3</v>
      </c>
      <c r="AU1290" s="187">
        <f>AV1290*R1290</f>
        <v>67.199999999999932</v>
      </c>
      <c r="AV1290" s="190">
        <f>IF(ISBLANK(AS1290),,(AT1290*Z1290))</f>
        <v>5.5999999999999943</v>
      </c>
      <c r="AW1290" s="191" t="s">
        <v>96</v>
      </c>
      <c r="AX1290" s="407" t="s">
        <v>4489</v>
      </c>
      <c r="AY1290" s="407" t="s">
        <v>4490</v>
      </c>
      <c r="AZ1290" s="407"/>
      <c r="BA1290" s="407"/>
      <c r="BB1290" s="407"/>
      <c r="BC1290" s="407"/>
      <c r="BD1290" s="407"/>
      <c r="BE1290" s="407"/>
      <c r="BF1290" s="422"/>
      <c r="BG1290" s="391">
        <f>SUM($AV$4:AV1290)</f>
        <v>4558.8156656883357</v>
      </c>
      <c r="BH1290" s="392">
        <f>SUM($AU$134:AU1290)</f>
        <v>26296.650666666766</v>
      </c>
      <c r="BI1290" s="318">
        <f>SUMIFS($AU$134:AU1291,$Q$134:Q1291,"F")</f>
        <v>11224.666666666668</v>
      </c>
      <c r="BJ1290" s="318">
        <f>SUMIFS($AU$134:AU1291,$Q$134:Q1291,"S")</f>
        <v>17087.642</v>
      </c>
      <c r="BK1290" s="343">
        <f>SUMIFS($AU$134:AU1291,$P$134:P1291,"W")</f>
        <v>15154.141999999927</v>
      </c>
      <c r="BL1290" s="343">
        <f>SUMIFS($AU$134:AU1291,$P$134:P1291,"R")</f>
        <v>12931.606666666656</v>
      </c>
      <c r="BM1290" s="343">
        <f>SUMIFS($AU$134:AU1291,$AQ$134:AQ1291,"M")</f>
        <v>3342.0300000001334</v>
      </c>
      <c r="BN1290" s="343">
        <f>SUMIFS($AU$134:AU1291,$AQ$134:AQ1291,"H")</f>
        <v>9961.3420000000642</v>
      </c>
      <c r="BO1290" s="343">
        <f>SUMIFS($AU$134:AU1291,$AQ$134:AQ1291,"D")</f>
        <v>6178.236666666764</v>
      </c>
      <c r="BP1290" s="343">
        <f>SUMIFS($AU$134:AU1293,$AQ$134:AQ1293,"W")</f>
        <v>5395.6199999996161</v>
      </c>
      <c r="BQ1290" s="343">
        <f>SUMIFS($AU$134:AU1291,$Q$134:Q1291,"O")</f>
        <v>-1878.857999999896</v>
      </c>
      <c r="BR1290" s="343">
        <f>SUMIFS($AU$134:AU1291,$AA$134:AA1291,"*")</f>
        <v>24002.105333333464</v>
      </c>
      <c r="BS1290" s="343">
        <f>SUMIFS($AU$134:AU1291,$AB$134:AB1291,"*")</f>
        <v>3191.7120000000268</v>
      </c>
      <c r="BT1290" s="343">
        <f>SUMIFS($AU$134:AU1291,$AC$134:AC1291,"*")</f>
        <v>14960.216666666667</v>
      </c>
      <c r="BU1290" s="343">
        <f>SUMIFS($AU$134:AU1291,$AA$134:AA1291,"*",$AB$134:AB1291,"*")</f>
        <v>2490.0000000000546</v>
      </c>
      <c r="BV1290" s="343">
        <f>SUMIFS($AU$134:AU1291,$AA$134:AA1291,"*",$AC$134:AC1291,"*")</f>
        <v>11567.983333333334</v>
      </c>
      <c r="BW1290" s="343">
        <f>SUMIFS($AU$134:AU1291,$AB$134:AB1291,"*",$AC$134:AC1291,"*")</f>
        <v>6206.6</v>
      </c>
      <c r="BX1290" s="343">
        <f>SUMIFS($AU1291:AU$1388,$Q1291:Q$1388,"F")</f>
        <v>3216</v>
      </c>
      <c r="BY1290" s="343">
        <f>SUMIFS($AU1291:AU$1388,$Q1291:Q$1388,"S")</f>
        <v>3616.0000000000009</v>
      </c>
      <c r="BZ1290" s="343">
        <f>SUMIFS($AU1291:AU$1388,$Q1291:Q$1388,"O")</f>
        <v>230.00000000009777</v>
      </c>
    </row>
    <row r="1291" spans="1:78" ht="15.75" customHeight="1">
      <c r="A1291" s="221" t="s">
        <v>4220</v>
      </c>
      <c r="B1291" s="177">
        <v>45250</v>
      </c>
      <c r="C1291" s="178" t="s">
        <v>4154</v>
      </c>
      <c r="D1291" s="178" t="s">
        <v>132</v>
      </c>
      <c r="E1291" s="227"/>
      <c r="F1291" s="180"/>
      <c r="G1291" s="281" t="s">
        <v>136</v>
      </c>
      <c r="H1291" s="182"/>
      <c r="I1291" s="182"/>
      <c r="J1291" s="182"/>
      <c r="K1291" s="183"/>
      <c r="L1291" s="182">
        <v>1</v>
      </c>
      <c r="M1291" s="182"/>
      <c r="N1291" s="182"/>
      <c r="O1291" s="183" t="s">
        <v>95</v>
      </c>
      <c r="P1291" s="183" t="s">
        <v>96</v>
      </c>
      <c r="Q1291" s="183" t="s">
        <v>97</v>
      </c>
      <c r="R1291" s="183">
        <v>2</v>
      </c>
      <c r="S1291" s="183">
        <v>0</v>
      </c>
      <c r="T1291" s="183">
        <v>2</v>
      </c>
      <c r="U1291" s="183" t="s">
        <v>97</v>
      </c>
      <c r="V1291" s="183"/>
      <c r="W1291" s="183"/>
      <c r="X1291" s="183"/>
      <c r="Y1291" s="184">
        <f>IF(ISBLANK(O1291),"",(IF(O1291=UPPER("IB"),0.005,0.01)))</f>
        <v>0.01</v>
      </c>
      <c r="Z1291" s="185">
        <f>IF(ISBLANK(O1291),"",IF(O1291="IB",8.63*200,IF(O1291="IR",16*100,IF(O1291="YT",20*100,IF(O1291="YT-XT",24*200,IF(O1291="TED",80*100))))))</f>
        <v>1600</v>
      </c>
      <c r="AA1291" s="185" t="s">
        <v>99</v>
      </c>
      <c r="AB1291" s="185"/>
      <c r="AC1291" s="185"/>
      <c r="AD1291" s="649">
        <v>-0.03</v>
      </c>
      <c r="AE1291" s="182"/>
      <c r="AF1291" s="332"/>
      <c r="AG1291" s="182"/>
      <c r="AH1291" s="182"/>
      <c r="AI1291" s="182"/>
      <c r="AJ1291" s="640"/>
      <c r="AK1291" s="182"/>
      <c r="AL1291" s="496"/>
      <c r="AM1291" s="496"/>
      <c r="AN1291" s="626"/>
      <c r="AO1291" s="182"/>
      <c r="AP1291" s="182" t="s">
        <v>1953</v>
      </c>
      <c r="AQ1291" s="332" t="str">
        <f>UPPER(RIGHT(Journal_Live[[#This Row],[DURATION ]]))</f>
        <v>M</v>
      </c>
      <c r="AR1291" s="182" t="s">
        <v>4491</v>
      </c>
      <c r="AS1291" s="189">
        <v>-0.04</v>
      </c>
      <c r="AT1291" s="189">
        <f>IF(ISBLANK(AS1291),,IF(U1291="S",AD1291-AS1291,AS1291-AD1291))</f>
        <v>1.0000000000000002E-2</v>
      </c>
      <c r="AU1291" s="187">
        <f>AV1291*R1291</f>
        <v>32.000000000000007</v>
      </c>
      <c r="AV1291" s="190">
        <f>IF(ISBLANK(AS1291),,(AT1291*Z1291))</f>
        <v>16.000000000000004</v>
      </c>
      <c r="AW1291" s="191" t="s">
        <v>96</v>
      </c>
      <c r="AX1291" s="407"/>
      <c r="AY1291" s="407"/>
      <c r="AZ1291" s="407"/>
      <c r="BA1291" s="407"/>
      <c r="BB1291" s="407"/>
      <c r="BC1291" s="407"/>
      <c r="BD1291" s="407"/>
      <c r="BE1291" s="407"/>
      <c r="BF1291" s="422"/>
      <c r="BG1291" s="391">
        <f>SUM($AV$4:AV1291)</f>
        <v>4574.8156656883357</v>
      </c>
      <c r="BH1291" s="392">
        <f>SUM($AU$134:AU1291)</f>
        <v>26328.650666666766</v>
      </c>
      <c r="BI1291" s="318">
        <f>SUMIFS($AU$134:AU1292,$Q$134:Q1292,"F")</f>
        <v>11224.666666666668</v>
      </c>
      <c r="BJ1291" s="318">
        <f>SUMIFS($AU$134:AU1292,$Q$134:Q1292,"S")</f>
        <v>17087.642</v>
      </c>
      <c r="BK1291" s="343">
        <f>SUMIFS($AU$134:AU1292,$P$134:P1292,"W")</f>
        <v>15154.141999999927</v>
      </c>
      <c r="BL1291" s="343">
        <f>SUMIFS($AU$134:AU1292,$P$134:P1292,"R")</f>
        <v>12931.606666666656</v>
      </c>
      <c r="BM1291" s="343">
        <f>SUMIFS($AU$134:AU1292,$AQ$134:AQ1292,"M")</f>
        <v>3342.0300000001334</v>
      </c>
      <c r="BN1291" s="343">
        <f>SUMIFS($AU$134:AU1292,$AQ$134:AQ1292,"H")</f>
        <v>9961.3420000000642</v>
      </c>
      <c r="BO1291" s="343">
        <f>SUMIFS($AU$134:AU1292,$AQ$134:AQ1292,"D")</f>
        <v>6178.236666666764</v>
      </c>
      <c r="BP1291" s="343">
        <f>SUMIFS($AU$134:AU1294,$AQ$134:AQ1294,"W")</f>
        <v>5395.6199999996161</v>
      </c>
      <c r="BQ1291" s="343">
        <f>SUMIFS($AU$134:AU1292,$Q$134:Q1292,"O")</f>
        <v>-1878.857999999896</v>
      </c>
      <c r="BR1291" s="343">
        <f>SUMIFS($AU$134:AU1292,$AA$134:AA1292,"*")</f>
        <v>24002.105333333464</v>
      </c>
      <c r="BS1291" s="343">
        <f>SUMIFS($AU$134:AU1292,$AB$134:AB1292,"*")</f>
        <v>3191.7120000000268</v>
      </c>
      <c r="BT1291" s="343">
        <f>SUMIFS($AU$134:AU1292,$AC$134:AC1292,"*")</f>
        <v>14960.216666666667</v>
      </c>
      <c r="BU1291" s="343">
        <f>SUMIFS($AU$134:AU1292,$AA$134:AA1292,"*",$AB$134:AB1292,"*")</f>
        <v>2490.0000000000546</v>
      </c>
      <c r="BV1291" s="343">
        <f>SUMIFS($AU$134:AU1292,$AA$134:AA1292,"*",$AC$134:AC1292,"*")</f>
        <v>11567.983333333334</v>
      </c>
      <c r="BW1291" s="343">
        <f>SUMIFS($AU$134:AU1292,$AB$134:AB1292,"*",$AC$134:AC1292,"*")</f>
        <v>6206.6</v>
      </c>
      <c r="BX1291" s="343">
        <f>SUMIFS($AU1292:AU$1388,$Q1292:Q$1388,"F")</f>
        <v>3216</v>
      </c>
      <c r="BY1291" s="343">
        <f>SUMIFS($AU1292:AU$1388,$Q1292:Q$1388,"S")</f>
        <v>3584.0000000000009</v>
      </c>
      <c r="BZ1291" s="343">
        <f>SUMIFS($AU1292:AU$1388,$Q1292:Q$1388,"O")</f>
        <v>230.00000000009777</v>
      </c>
    </row>
    <row r="1292" spans="1:78" ht="15.75" customHeight="1">
      <c r="A1292" s="221" t="s">
        <v>4220</v>
      </c>
      <c r="B1292" s="177">
        <v>45250</v>
      </c>
      <c r="C1292" s="178" t="s">
        <v>4492</v>
      </c>
      <c r="D1292" s="178" t="s">
        <v>132</v>
      </c>
      <c r="E1292" s="227"/>
      <c r="F1292" s="180"/>
      <c r="G1292" s="181" t="s">
        <v>2016</v>
      </c>
      <c r="H1292" s="182"/>
      <c r="I1292" s="182"/>
      <c r="J1292" s="182"/>
      <c r="K1292" s="183"/>
      <c r="L1292" s="182"/>
      <c r="M1292" s="182"/>
      <c r="N1292" s="182"/>
      <c r="O1292" s="183"/>
      <c r="P1292" s="183"/>
      <c r="Q1292" s="183"/>
      <c r="R1292" s="183"/>
      <c r="S1292" s="183"/>
      <c r="T1292" s="183"/>
      <c r="U1292" s="183"/>
      <c r="V1292" s="183"/>
      <c r="W1292" s="183"/>
      <c r="X1292" s="183"/>
      <c r="Y1292" s="184"/>
      <c r="Z1292" s="185"/>
      <c r="AA1292" s="185"/>
      <c r="AB1292" s="185"/>
      <c r="AC1292" s="185"/>
      <c r="AD1292" s="649"/>
      <c r="AE1292" s="182"/>
      <c r="AF1292" s="332"/>
      <c r="AG1292" s="182"/>
      <c r="AH1292" s="182"/>
      <c r="AI1292" s="182"/>
      <c r="AJ1292" s="640"/>
      <c r="AK1292" s="182"/>
      <c r="AL1292" s="496"/>
      <c r="AM1292" s="496"/>
      <c r="AN1292" s="626"/>
      <c r="AO1292" s="182"/>
      <c r="AP1292" s="182"/>
      <c r="AQ1292" s="332" t="str">
        <f>UPPER(RIGHT(Journal_Live[[#This Row],[DURATION ]]))</f>
        <v/>
      </c>
      <c r="AR1292" s="182"/>
      <c r="AS1292" s="189"/>
      <c r="AT1292" s="182"/>
      <c r="AU1292" s="187"/>
      <c r="AV1292" s="320"/>
      <c r="AW1292" s="191"/>
      <c r="AX1292" s="407"/>
      <c r="AY1292" s="407"/>
      <c r="AZ1292" s="407"/>
      <c r="BA1292" s="407"/>
      <c r="BB1292" s="407"/>
      <c r="BC1292" s="407"/>
      <c r="BD1292" s="407"/>
      <c r="BE1292" s="407"/>
      <c r="BF1292" s="422"/>
      <c r="BG1292" s="391">
        <f>SUM($AV$4:AV1292)</f>
        <v>4574.8156656883357</v>
      </c>
      <c r="BH1292" s="392">
        <f>SUM($AU$134:AU1292)</f>
        <v>26328.650666666766</v>
      </c>
      <c r="BI1292" s="318">
        <f>SUMIFS($AU$134:AU1293,$Q$134:Q1293,"F")</f>
        <v>11224.666666666668</v>
      </c>
      <c r="BJ1292" s="318">
        <f>SUMIFS($AU$134:AU1293,$Q$134:Q1293,"S")</f>
        <v>17119.642</v>
      </c>
      <c r="BK1292" s="343">
        <f>SUMIFS($AU$134:AU1293,$P$134:P1293,"W")</f>
        <v>15186.141999999927</v>
      </c>
      <c r="BL1292" s="343">
        <f>SUMIFS($AU$134:AU1293,$P$134:P1293,"R")</f>
        <v>12931.606666666656</v>
      </c>
      <c r="BM1292" s="343">
        <f>SUMIFS($AU$134:AU1293,$AQ$134:AQ1293,"M")</f>
        <v>3342.0300000001334</v>
      </c>
      <c r="BN1292" s="343">
        <f>SUMIFS($AU$134:AU1293,$AQ$134:AQ1293,"H")</f>
        <v>9993.3420000000642</v>
      </c>
      <c r="BO1292" s="343">
        <f>SUMIFS($AU$134:AU1293,$AQ$134:AQ1293,"D")</f>
        <v>6178.236666666764</v>
      </c>
      <c r="BP1292" s="343">
        <f>SUMIFS($AU$134:AU1295,$AQ$134:AQ1295,"W")</f>
        <v>5395.6199999996161</v>
      </c>
      <c r="BQ1292" s="343">
        <f>SUMIFS($AU$134:AU1293,$Q$134:Q1293,"O")</f>
        <v>-1878.857999999896</v>
      </c>
      <c r="BR1292" s="343">
        <f>SUMIFS($AU$134:AU1293,$AA$134:AA1293,"*")</f>
        <v>24034.105333333464</v>
      </c>
      <c r="BS1292" s="343">
        <f>SUMIFS($AU$134:AU1293,$AB$134:AB1293,"*")</f>
        <v>3191.7120000000268</v>
      </c>
      <c r="BT1292" s="343">
        <f>SUMIFS($AU$134:AU1293,$AC$134:AC1293,"*")</f>
        <v>14960.216666666667</v>
      </c>
      <c r="BU1292" s="343">
        <f>SUMIFS($AU$134:AU1293,$AA$134:AA1293,"*",$AB$134:AB1293,"*")</f>
        <v>2490.0000000000546</v>
      </c>
      <c r="BV1292" s="343">
        <f>SUMIFS($AU$134:AU1293,$AA$134:AA1293,"*",$AC$134:AC1293,"*")</f>
        <v>11567.983333333334</v>
      </c>
      <c r="BW1292" s="343">
        <f>SUMIFS($AU$134:AU1293,$AB$134:AB1293,"*",$AC$134:AC1293,"*")</f>
        <v>6206.6</v>
      </c>
      <c r="BX1292" s="343">
        <f>SUMIFS($AU1293:AU$1388,$Q1293:Q$1388,"F")</f>
        <v>3216</v>
      </c>
      <c r="BY1292" s="343">
        <f>SUMIFS($AU1293:AU$1388,$Q1293:Q$1388,"S")</f>
        <v>3584.0000000000009</v>
      </c>
      <c r="BZ1292" s="343">
        <f>SUMIFS($AU1293:AU$1388,$Q1293:Q$1388,"O")</f>
        <v>230.00000000009777</v>
      </c>
    </row>
    <row r="1293" spans="1:78" ht="15.75" customHeight="1">
      <c r="A1293" s="221" t="s">
        <v>4220</v>
      </c>
      <c r="B1293" s="177">
        <v>45250</v>
      </c>
      <c r="C1293" s="178" t="s">
        <v>4493</v>
      </c>
      <c r="D1293" s="178" t="s">
        <v>132</v>
      </c>
      <c r="E1293" s="227"/>
      <c r="F1293" s="180"/>
      <c r="G1293" s="281" t="s">
        <v>136</v>
      </c>
      <c r="H1293" s="182"/>
      <c r="I1293" s="182"/>
      <c r="J1293" s="182"/>
      <c r="K1293" s="183"/>
      <c r="L1293" s="182">
        <v>1</v>
      </c>
      <c r="M1293" s="182"/>
      <c r="N1293" s="182"/>
      <c r="O1293" s="183" t="s">
        <v>95</v>
      </c>
      <c r="P1293" s="183" t="s">
        <v>96</v>
      </c>
      <c r="Q1293" s="183" t="s">
        <v>97</v>
      </c>
      <c r="R1293" s="183">
        <v>2</v>
      </c>
      <c r="S1293" s="183">
        <v>0</v>
      </c>
      <c r="T1293" s="183">
        <v>2</v>
      </c>
      <c r="U1293" s="183" t="s">
        <v>97</v>
      </c>
      <c r="V1293" s="183"/>
      <c r="W1293" s="183"/>
      <c r="X1293" s="183"/>
      <c r="Y1293" s="184">
        <f>IF(ISBLANK(O1293),"",(IF(O1293=UPPER("IB"),0.005,0.01)))</f>
        <v>0.01</v>
      </c>
      <c r="Z1293" s="185">
        <f>IF(ISBLANK(O1293),"",IF(O1293="IB",8.63*200,IF(O1293="IR",16*100,IF(O1293="YT",20*100,IF(O1293="YT-XT",24*200,IF(O1293="TED",80*100))))))</f>
        <v>1600</v>
      </c>
      <c r="AA1293" s="185" t="s">
        <v>99</v>
      </c>
      <c r="AB1293" s="185"/>
      <c r="AC1293" s="185"/>
      <c r="AD1293" s="649">
        <v>-0.03</v>
      </c>
      <c r="AE1293" s="182"/>
      <c r="AF1293" s="332"/>
      <c r="AG1293" s="182"/>
      <c r="AH1293" s="182"/>
      <c r="AI1293" s="182"/>
      <c r="AJ1293" s="640"/>
      <c r="AK1293" s="182"/>
      <c r="AL1293" s="496"/>
      <c r="AM1293" s="496"/>
      <c r="AN1293" s="626"/>
      <c r="AO1293" s="182"/>
      <c r="AP1293" s="182" t="s">
        <v>3509</v>
      </c>
      <c r="AQ1293" s="332" t="str">
        <f>UPPER(RIGHT(Journal_Live[[#This Row],[DURATION ]]))</f>
        <v>H</v>
      </c>
      <c r="AR1293" s="182" t="s">
        <v>4494</v>
      </c>
      <c r="AS1293" s="189">
        <v>-0.04</v>
      </c>
      <c r="AT1293" s="189">
        <f>IF(ISBLANK(AS1293),,IF(U1293="S",AD1293-AS1293,AS1293-AD1293))</f>
        <v>1.0000000000000002E-2</v>
      </c>
      <c r="AU1293" s="187">
        <f>AV1293*R1293</f>
        <v>32.000000000000007</v>
      </c>
      <c r="AV1293" s="190">
        <f>IF(ISBLANK(AS1293),,(AT1293*Z1293))</f>
        <v>16.000000000000004</v>
      </c>
      <c r="AW1293" s="191" t="s">
        <v>96</v>
      </c>
      <c r="AX1293" s="407"/>
      <c r="AY1293" s="407"/>
      <c r="AZ1293" s="407"/>
      <c r="BA1293" s="407"/>
      <c r="BB1293" s="407"/>
      <c r="BC1293" s="407"/>
      <c r="BD1293" s="407"/>
      <c r="BE1293" s="407"/>
      <c r="BF1293" s="422"/>
      <c r="BG1293" s="391">
        <f>SUM($AV$4:AV1293)</f>
        <v>4590.8156656883357</v>
      </c>
      <c r="BH1293" s="392">
        <f>SUM($AU$134:AU1293)</f>
        <v>26360.650666666766</v>
      </c>
      <c r="BI1293" s="318">
        <f>SUMIFS($AU$134:AU1294,$Q$134:Q1294,"F")</f>
        <v>11416.666666666668</v>
      </c>
      <c r="BJ1293" s="318">
        <f>SUMIFS($AU$134:AU1294,$Q$134:Q1294,"S")</f>
        <v>17119.642</v>
      </c>
      <c r="BK1293" s="343">
        <f>SUMIFS($AU$134:AU1294,$P$134:P1294,"W")</f>
        <v>15186.141999999927</v>
      </c>
      <c r="BL1293" s="343">
        <f>SUMIFS($AU$134:AU1294,$P$134:P1294,"R")</f>
        <v>13123.606666666656</v>
      </c>
      <c r="BM1293" s="343">
        <f>SUMIFS($AU$134:AU1294,$AQ$134:AQ1294,"M")</f>
        <v>3342.0300000001334</v>
      </c>
      <c r="BN1293" s="343">
        <f>SUMIFS($AU$134:AU1294,$AQ$134:AQ1294,"H")</f>
        <v>9993.3420000000642</v>
      </c>
      <c r="BO1293" s="343">
        <f>SUMIFS($AU$134:AU1294,$AQ$134:AQ1294,"D")</f>
        <v>6370.236666666764</v>
      </c>
      <c r="BP1293" s="343">
        <f>SUMIFS($AU$134:AU1296,$AQ$134:AQ1296,"W")</f>
        <v>5395.6199999996161</v>
      </c>
      <c r="BQ1293" s="343">
        <f>SUMIFS($AU$134:AU1294,$Q$134:Q1294,"O")</f>
        <v>-1878.857999999896</v>
      </c>
      <c r="BR1293" s="343">
        <f>SUMIFS($AU$134:AU1294,$AA$134:AA1294,"*")</f>
        <v>24226.105333333464</v>
      </c>
      <c r="BS1293" s="343">
        <f>SUMIFS($AU$134:AU1294,$AB$134:AB1294,"*")</f>
        <v>3191.7120000000268</v>
      </c>
      <c r="BT1293" s="343">
        <f>SUMIFS($AU$134:AU1294,$AC$134:AC1294,"*")</f>
        <v>15152.216666666667</v>
      </c>
      <c r="BU1293" s="343">
        <f>SUMIFS($AU$134:AU1294,$AA$134:AA1294,"*",$AB$134:AB1294,"*")</f>
        <v>2490.0000000000546</v>
      </c>
      <c r="BV1293" s="343">
        <f>SUMIFS($AU$134:AU1294,$AA$134:AA1294,"*",$AC$134:AC1294,"*")</f>
        <v>11759.983333333334</v>
      </c>
      <c r="BW1293" s="343">
        <f>SUMIFS($AU$134:AU1294,$AB$134:AB1294,"*",$AC$134:AC1294,"*")</f>
        <v>6206.6</v>
      </c>
      <c r="BX1293" s="343">
        <f>SUMIFS($AU1294:AU$1388,$Q1294:Q$1388,"F")</f>
        <v>3216</v>
      </c>
      <c r="BY1293" s="343">
        <f>SUMIFS($AU1294:AU$1388,$Q1294:Q$1388,"S")</f>
        <v>3552.0000000000009</v>
      </c>
      <c r="BZ1293" s="343">
        <f>SUMIFS($AU1294:AU$1388,$Q1294:Q$1388,"O")</f>
        <v>230.00000000009777</v>
      </c>
    </row>
    <row r="1294" spans="1:78" ht="15.75" customHeight="1">
      <c r="A1294" s="221" t="s">
        <v>4220</v>
      </c>
      <c r="B1294" s="177">
        <v>45250</v>
      </c>
      <c r="C1294" s="178" t="s">
        <v>4495</v>
      </c>
      <c r="D1294" s="178" t="s">
        <v>132</v>
      </c>
      <c r="E1294" s="227"/>
      <c r="F1294" s="180"/>
      <c r="G1294" s="281" t="s">
        <v>3485</v>
      </c>
      <c r="H1294" s="182"/>
      <c r="I1294" s="182"/>
      <c r="J1294" s="182"/>
      <c r="K1294" s="183"/>
      <c r="L1294" s="182">
        <v>1</v>
      </c>
      <c r="M1294" s="182"/>
      <c r="N1294" s="182"/>
      <c r="O1294" s="183" t="s">
        <v>95</v>
      </c>
      <c r="P1294" s="183" t="s">
        <v>137</v>
      </c>
      <c r="Q1294" s="183" t="s">
        <v>256</v>
      </c>
      <c r="R1294" s="183">
        <v>12</v>
      </c>
      <c r="S1294" s="183">
        <v>0</v>
      </c>
      <c r="T1294" s="183">
        <v>12</v>
      </c>
      <c r="U1294" s="183" t="s">
        <v>97</v>
      </c>
      <c r="V1294" s="183"/>
      <c r="W1294" s="183"/>
      <c r="X1294" s="183"/>
      <c r="Y1294" s="184">
        <f>IF(ISBLANK(O1294),"",(IF(O1294=UPPER("IB"),0.005,0.01)))</f>
        <v>0.01</v>
      </c>
      <c r="Z1294" s="185">
        <f>IF(ISBLANK(O1294),"",IF(O1294="IB",8.63*200,IF(O1294="IR",16*100,IF(O1294="YT",20*100,IF(O1294="YT-XT",24*200,IF(O1294="TED",80*100))))))</f>
        <v>1600</v>
      </c>
      <c r="AA1294" s="185" t="s">
        <v>4496</v>
      </c>
      <c r="AB1294" s="185"/>
      <c r="AC1294" s="185" t="s">
        <v>4477</v>
      </c>
      <c r="AD1294" s="649">
        <v>0</v>
      </c>
      <c r="AE1294" s="182"/>
      <c r="AF1294" s="332"/>
      <c r="AG1294" s="182"/>
      <c r="AH1294" s="182">
        <v>-1</v>
      </c>
      <c r="AI1294" s="182"/>
      <c r="AJ1294" s="640"/>
      <c r="AK1294" s="182"/>
      <c r="AL1294" s="496">
        <f t="shared" si="380"/>
        <v>-32</v>
      </c>
      <c r="AM1294" s="496">
        <f>AL1294*(R1294-S1294)</f>
        <v>-384</v>
      </c>
      <c r="AN1294" s="626"/>
      <c r="AO1294" s="182"/>
      <c r="AP1294" s="182" t="s">
        <v>1261</v>
      </c>
      <c r="AQ1294" s="332" t="str">
        <f>UPPER(RIGHT(Journal_Live[[#This Row],[DURATION ]]))</f>
        <v>D</v>
      </c>
      <c r="AR1294" s="182" t="s">
        <v>4497</v>
      </c>
      <c r="AS1294" s="189">
        <v>-0.01</v>
      </c>
      <c r="AT1294" s="189">
        <f>IF(ISBLANK(AS1294),,IF(U1294="S",AD1294-AS1294,AS1294-AD1294))</f>
        <v>0.01</v>
      </c>
      <c r="AU1294" s="187">
        <f>AV1294*R1294</f>
        <v>192</v>
      </c>
      <c r="AV1294" s="190">
        <f>IF(ISBLANK(AS1294),,(AT1294*Z1294))</f>
        <v>16</v>
      </c>
      <c r="AW1294" s="191" t="s">
        <v>96</v>
      </c>
      <c r="AX1294" s="407"/>
      <c r="AY1294" s="407"/>
      <c r="AZ1294" s="407"/>
      <c r="BA1294" s="407"/>
      <c r="BB1294" s="407"/>
      <c r="BC1294" s="407"/>
      <c r="BD1294" s="407"/>
      <c r="BE1294" s="407"/>
      <c r="BF1294" s="422"/>
      <c r="BG1294" s="391">
        <f>SUM($AV$4:AV1294)</f>
        <v>4606.8156656883357</v>
      </c>
      <c r="BH1294" s="392">
        <f>SUM($AU$134:AU1294)</f>
        <v>26552.650666666766</v>
      </c>
      <c r="BI1294" s="318">
        <f>SUMIFS($AU$134:AU1295,$Q$134:Q1295,"F")</f>
        <v>11416.666666666668</v>
      </c>
      <c r="BJ1294" s="318">
        <f>SUMIFS($AU$134:AU1295,$Q$134:Q1295,"S")</f>
        <v>17119.642</v>
      </c>
      <c r="BK1294" s="343">
        <f>SUMIFS($AU$134:AU1295,$P$134:P1295,"W")</f>
        <v>15186.141999999927</v>
      </c>
      <c r="BL1294" s="343">
        <f>SUMIFS($AU$134:AU1295,$P$134:P1295,"R")</f>
        <v>13123.606666666656</v>
      </c>
      <c r="BM1294" s="343">
        <f>SUMIFS($AU$134:AU1295,$AQ$134:AQ1295,"M")</f>
        <v>3342.0300000001334</v>
      </c>
      <c r="BN1294" s="343">
        <f>SUMIFS($AU$134:AU1295,$AQ$134:AQ1295,"H")</f>
        <v>10065.341999999999</v>
      </c>
      <c r="BO1294" s="343">
        <f>SUMIFS($AU$134:AU1295,$AQ$134:AQ1295,"D")</f>
        <v>6370.236666666764</v>
      </c>
      <c r="BP1294" s="343">
        <f>SUMIFS($AU$134:AU1297,$AQ$134:AQ1297,"W")</f>
        <v>5395.6199999996161</v>
      </c>
      <c r="BQ1294" s="343">
        <f>SUMIFS($AU$134:AU1295,$Q$134:Q1295,"O")</f>
        <v>-1806.8579999999615</v>
      </c>
      <c r="BR1294" s="343">
        <f>SUMIFS($AU$134:AU1295,$AA$134:AA1295,"*")</f>
        <v>24298.105333333398</v>
      </c>
      <c r="BS1294" s="343">
        <f>SUMIFS($AU$134:AU1295,$AB$134:AB1295,"*")</f>
        <v>3191.7120000000268</v>
      </c>
      <c r="BT1294" s="343">
        <f>SUMIFS($AU$134:AU1295,$AC$134:AC1295,"*")</f>
        <v>15152.216666666667</v>
      </c>
      <c r="BU1294" s="343">
        <f>SUMIFS($AU$134:AU1295,$AA$134:AA1295,"*",$AB$134:AB1295,"*")</f>
        <v>2490.0000000000546</v>
      </c>
      <c r="BV1294" s="343">
        <f>SUMIFS($AU$134:AU1295,$AA$134:AA1295,"*",$AC$134:AC1295,"*")</f>
        <v>11759.983333333334</v>
      </c>
      <c r="BW1294" s="343">
        <f>SUMIFS($AU$134:AU1295,$AB$134:AB1295,"*",$AC$134:AC1295,"*")</f>
        <v>6206.6</v>
      </c>
      <c r="BX1294" s="343">
        <f>SUMIFS($AU1295:AU$1388,$Q1295:Q$1388,"F")</f>
        <v>3024</v>
      </c>
      <c r="BY1294" s="343">
        <f>SUMIFS($AU1295:AU$1388,$Q1295:Q$1388,"S")</f>
        <v>3552.0000000000009</v>
      </c>
      <c r="BZ1294" s="343">
        <f>SUMIFS($AU1295:AU$1388,$Q1295:Q$1388,"O")</f>
        <v>230.00000000009777</v>
      </c>
    </row>
    <row r="1295" spans="1:78" ht="15.75" customHeight="1">
      <c r="A1295" s="221" t="s">
        <v>4220</v>
      </c>
      <c r="B1295" s="177">
        <v>45250</v>
      </c>
      <c r="C1295" s="178" t="s">
        <v>2100</v>
      </c>
      <c r="D1295" s="178" t="s">
        <v>132</v>
      </c>
      <c r="E1295" s="227"/>
      <c r="F1295" s="180"/>
      <c r="G1295" s="281" t="s">
        <v>3924</v>
      </c>
      <c r="H1295" s="182"/>
      <c r="I1295" s="182"/>
      <c r="J1295" s="182"/>
      <c r="K1295" s="183"/>
      <c r="L1295" s="182"/>
      <c r="M1295" s="182">
        <v>1</v>
      </c>
      <c r="N1295" s="182"/>
      <c r="O1295" s="183" t="s">
        <v>3618</v>
      </c>
      <c r="P1295" s="183" t="s">
        <v>2260</v>
      </c>
      <c r="Q1295" s="183" t="s">
        <v>684</v>
      </c>
      <c r="R1295" s="183">
        <v>2</v>
      </c>
      <c r="S1295" s="183">
        <v>0</v>
      </c>
      <c r="T1295" s="183">
        <v>1</v>
      </c>
      <c r="U1295" s="183" t="s">
        <v>97</v>
      </c>
      <c r="V1295" s="183"/>
      <c r="W1295" s="183"/>
      <c r="X1295" s="183"/>
      <c r="Y1295" s="184">
        <f>IF(ISBLANK(O1295),"",(IF(O1295=UPPER("IB"),0.005,0.01)))</f>
        <v>0.01</v>
      </c>
      <c r="Z1295" s="185">
        <f>IF(ISBLANK(O1295),"",IF(O1295="IB",8.63*200,IF(O1295="IR",16*100,IF(O1295="YT",20*100,IF(O1295="YT-XT",24*200,IF(O1295="TED",80*100,IF(O1295="XT",36*200)))))))</f>
        <v>7200</v>
      </c>
      <c r="AA1295" s="409" t="s">
        <v>4498</v>
      </c>
      <c r="AB1295" s="185"/>
      <c r="AC1295" s="185"/>
      <c r="AD1295" s="649">
        <v>95.484999999999999</v>
      </c>
      <c r="AE1295" s="182"/>
      <c r="AF1295" s="332" t="s">
        <v>4499</v>
      </c>
      <c r="AG1295" s="182" t="s">
        <v>4500</v>
      </c>
      <c r="AH1295" s="407" t="s">
        <v>4501</v>
      </c>
      <c r="AI1295" s="182"/>
      <c r="AJ1295" s="640"/>
      <c r="AK1295" s="182"/>
      <c r="AL1295" s="496"/>
      <c r="AM1295" s="496"/>
      <c r="AN1295" s="626"/>
      <c r="AO1295" s="182"/>
      <c r="AP1295" s="182" t="s">
        <v>1026</v>
      </c>
      <c r="AQ1295" s="332" t="str">
        <f>UPPER(RIGHT(Journal_Live[[#This Row],[DURATION ]]))</f>
        <v>H</v>
      </c>
      <c r="AR1295" s="182" t="s">
        <v>4502</v>
      </c>
      <c r="AS1295" s="189">
        <v>95.48</v>
      </c>
      <c r="AT1295" s="189">
        <f>IF(ISBLANK(AS1295),,IF(U1295="S",AD1295-AS1295,AS1295-AD1295))</f>
        <v>4.9999999999954525E-3</v>
      </c>
      <c r="AU1295" s="187">
        <f>AV1295*R1295</f>
        <v>71.999999999934516</v>
      </c>
      <c r="AV1295" s="190">
        <f>IF(ISBLANK(AS1295),,(AT1295*Z1295))</f>
        <v>35.999999999967258</v>
      </c>
      <c r="AW1295" s="191" t="s">
        <v>96</v>
      </c>
      <c r="AX1295" s="407" t="s">
        <v>4503</v>
      </c>
      <c r="AY1295" s="407" t="s">
        <v>4504</v>
      </c>
      <c r="AZ1295" s="407" t="s">
        <v>4505</v>
      </c>
      <c r="BA1295" s="407" t="s">
        <v>4506</v>
      </c>
      <c r="BB1295" s="407"/>
      <c r="BC1295" s="407"/>
      <c r="BD1295" s="407" t="s">
        <v>4507</v>
      </c>
      <c r="BE1295" s="407" t="s">
        <v>4508</v>
      </c>
      <c r="BF1295" s="422"/>
      <c r="BG1295" s="391">
        <f>SUM($AV$4:AV1295)</f>
        <v>4642.8156656883029</v>
      </c>
      <c r="BH1295" s="392">
        <f>SUM($AU$134:AU1295)</f>
        <v>26624.650666666701</v>
      </c>
      <c r="BI1295" s="318">
        <f>SUMIFS($AU$134:AU1296,$Q$134:Q1296,"F")</f>
        <v>11416.666666666668</v>
      </c>
      <c r="BJ1295" s="318">
        <f>SUMIFS($AU$134:AU1296,$Q$134:Q1296,"S")</f>
        <v>17119.642</v>
      </c>
      <c r="BK1295" s="343">
        <f>SUMIFS($AU$134:AU1296,$P$134:P1296,"W")</f>
        <v>15186.141999999927</v>
      </c>
      <c r="BL1295" s="343">
        <f>SUMIFS($AU$134:AU1296,$P$134:P1296,"R")</f>
        <v>13123.606666666656</v>
      </c>
      <c r="BM1295" s="343">
        <f>SUMIFS($AU$134:AU1296,$AQ$134:AQ1296,"M")</f>
        <v>3342.0300000001334</v>
      </c>
      <c r="BN1295" s="343">
        <f>SUMIFS($AU$134:AU1296,$AQ$134:AQ1296,"H")</f>
        <v>10065.341999999999</v>
      </c>
      <c r="BO1295" s="343">
        <f>SUMIFS($AU$134:AU1296,$AQ$134:AQ1296,"D")</f>
        <v>6370.236666666764</v>
      </c>
      <c r="BP1295" s="343">
        <f>SUMIFS($AU$134:AU1298,$AQ$134:AQ1298,"W")</f>
        <v>5395.6199999996161</v>
      </c>
      <c r="BQ1295" s="343">
        <f>SUMIFS($AU$134:AU1296,$Q$134:Q1296,"O")</f>
        <v>-1806.8579999999615</v>
      </c>
      <c r="BR1295" s="343">
        <f>SUMIFS($AU$134:AU1296,$AA$134:AA1296,"*")</f>
        <v>24298.105333333398</v>
      </c>
      <c r="BS1295" s="343">
        <f>SUMIFS($AU$134:AU1296,$AB$134:AB1296,"*")</f>
        <v>3191.7120000000268</v>
      </c>
      <c r="BT1295" s="343">
        <f>SUMIFS($AU$134:AU1296,$AC$134:AC1296,"*")</f>
        <v>15152.216666666667</v>
      </c>
      <c r="BU1295" s="343">
        <f>SUMIFS($AU$134:AU1296,$AA$134:AA1296,"*",$AB$134:AB1296,"*")</f>
        <v>2490.0000000000546</v>
      </c>
      <c r="BV1295" s="343">
        <f>SUMIFS($AU$134:AU1296,$AA$134:AA1296,"*",$AC$134:AC1296,"*")</f>
        <v>11759.983333333334</v>
      </c>
      <c r="BW1295" s="343">
        <f>SUMIFS($AU$134:AU1296,$AB$134:AB1296,"*",$AC$134:AC1296,"*")</f>
        <v>6206.6</v>
      </c>
      <c r="BX1295" s="343">
        <f>SUMIFS($AU1296:AU$1388,$Q1296:Q$1388,"F")</f>
        <v>3024</v>
      </c>
      <c r="BY1295" s="343">
        <f>SUMIFS($AU1296:AU$1388,$Q1296:Q$1388,"S")</f>
        <v>3552.0000000000009</v>
      </c>
      <c r="BZ1295" s="343">
        <f>SUMIFS($AU1296:AU$1388,$Q1296:Q$1388,"O")</f>
        <v>158.00000000016325</v>
      </c>
    </row>
    <row r="1296" spans="1:78" ht="15.75" customHeight="1">
      <c r="A1296" s="221" t="s">
        <v>4220</v>
      </c>
      <c r="B1296" s="177"/>
      <c r="C1296" s="178"/>
      <c r="D1296" s="178"/>
      <c r="E1296" s="227"/>
      <c r="F1296" s="180"/>
      <c r="G1296" s="181"/>
      <c r="H1296" s="182"/>
      <c r="I1296" s="182"/>
      <c r="J1296" s="182"/>
      <c r="K1296" s="183"/>
      <c r="L1296" s="182"/>
      <c r="M1296" s="182"/>
      <c r="N1296" s="182"/>
      <c r="O1296" s="183"/>
      <c r="P1296" s="183"/>
      <c r="Q1296" s="183"/>
      <c r="R1296" s="183"/>
      <c r="S1296" s="183"/>
      <c r="T1296" s="183"/>
      <c r="U1296" s="183"/>
      <c r="V1296" s="183"/>
      <c r="W1296" s="183"/>
      <c r="X1296" s="183"/>
      <c r="Y1296" s="183"/>
      <c r="Z1296" s="185" t="str">
        <f>IF(ISBLANK(O1296),"",IF(O1296="IB",8.63*200,IF(O1296="IR",16*100,IF(O1296="YT",20*100,IF(O1296="YT-XT",24*200,IF(O1296="TED",80*100))))))</f>
        <v/>
      </c>
      <c r="AA1296" s="185"/>
      <c r="AB1296" s="185"/>
      <c r="AC1296" s="185"/>
      <c r="AD1296" s="649"/>
      <c r="AE1296" s="182"/>
      <c r="AF1296" s="332"/>
      <c r="AG1296" s="182"/>
      <c r="AH1296" s="182"/>
      <c r="AI1296" s="182"/>
      <c r="AJ1296" s="640"/>
      <c r="AK1296" s="182"/>
      <c r="AL1296" s="496"/>
      <c r="AM1296" s="496"/>
      <c r="AN1296" s="626"/>
      <c r="AO1296" s="182"/>
      <c r="AP1296" s="182"/>
      <c r="AQ1296" s="332" t="str">
        <f>UPPER(RIGHT(Journal_Live[[#This Row],[DURATION ]]))</f>
        <v/>
      </c>
      <c r="AR1296" s="182"/>
      <c r="AS1296" s="189"/>
      <c r="AT1296" s="189"/>
      <c r="AU1296" s="187"/>
      <c r="AV1296" s="190"/>
      <c r="AW1296" s="191"/>
      <c r="AX1296" s="407" t="s">
        <v>4509</v>
      </c>
      <c r="AY1296" s="407" t="s">
        <v>4510</v>
      </c>
      <c r="AZ1296" s="407" t="s">
        <v>4511</v>
      </c>
      <c r="BA1296" s="407" t="s">
        <v>4512</v>
      </c>
      <c r="BB1296" s="407" t="s">
        <v>4513</v>
      </c>
      <c r="BC1296" s="407"/>
      <c r="BD1296" s="407"/>
      <c r="BE1296" s="407"/>
      <c r="BF1296" s="422"/>
      <c r="BG1296" s="391">
        <f>SUM($AV$4:AV1296)</f>
        <v>4642.8156656883029</v>
      </c>
      <c r="BH1296" s="392">
        <f>SUM($AU$134:AU1296)</f>
        <v>26624.650666666701</v>
      </c>
      <c r="BI1296" s="318">
        <f>SUMIFS($AU$134:AU1297,$Q$134:Q1297,"F")</f>
        <v>11416.666666666668</v>
      </c>
      <c r="BJ1296" s="318">
        <f>SUMIFS($AU$134:AU1297,$Q$134:Q1297,"S")</f>
        <v>17119.642</v>
      </c>
      <c r="BK1296" s="343">
        <f>SUMIFS($AU$134:AU1297,$P$134:P1297,"W")</f>
        <v>15186.141999999927</v>
      </c>
      <c r="BL1296" s="343">
        <f>SUMIFS($AU$134:AU1297,$P$134:P1297,"R")</f>
        <v>13123.606666666656</v>
      </c>
      <c r="BM1296" s="343">
        <f>SUMIFS($AU$134:AU1297,$AQ$134:AQ1297,"M")</f>
        <v>3342.0300000001334</v>
      </c>
      <c r="BN1296" s="343">
        <f>SUMIFS($AU$134:AU1297,$AQ$134:AQ1297,"H")</f>
        <v>10065.341999999999</v>
      </c>
      <c r="BO1296" s="343">
        <f>SUMIFS($AU$134:AU1297,$AQ$134:AQ1297,"D")</f>
        <v>6370.236666666764</v>
      </c>
      <c r="BP1296" s="343">
        <f>SUMIFS($AU$134:AU1299,$AQ$134:AQ1299,"W")</f>
        <v>5395.6199999996161</v>
      </c>
      <c r="BQ1296" s="343">
        <f>SUMIFS($AU$134:AU1297,$Q$134:Q1297,"O")</f>
        <v>-1806.8579999999615</v>
      </c>
      <c r="BR1296" s="343">
        <f>SUMIFS($AU$134:AU1297,$AA$134:AA1297,"*")</f>
        <v>24298.105333333398</v>
      </c>
      <c r="BS1296" s="343">
        <f>SUMIFS($AU$134:AU1297,$AB$134:AB1297,"*")</f>
        <v>3191.7120000000268</v>
      </c>
      <c r="BT1296" s="343">
        <f>SUMIFS($AU$134:AU1297,$AC$134:AC1297,"*")</f>
        <v>15152.216666666667</v>
      </c>
      <c r="BU1296" s="343">
        <f>SUMIFS($AU$134:AU1297,$AA$134:AA1297,"*",$AB$134:AB1297,"*")</f>
        <v>2490.0000000000546</v>
      </c>
      <c r="BV1296" s="343">
        <f>SUMIFS($AU$134:AU1297,$AA$134:AA1297,"*",$AC$134:AC1297,"*")</f>
        <v>11759.983333333334</v>
      </c>
      <c r="BW1296" s="343">
        <f>SUMIFS($AU$134:AU1297,$AB$134:AB1297,"*",$AC$134:AC1297,"*")</f>
        <v>6206.6</v>
      </c>
      <c r="BX1296" s="343">
        <f>SUMIFS($AU1297:AU$1388,$Q1297:Q$1388,"F")</f>
        <v>3024</v>
      </c>
      <c r="BY1296" s="343">
        <f>SUMIFS($AU1297:AU$1388,$Q1297:Q$1388,"S")</f>
        <v>3552.0000000000009</v>
      </c>
      <c r="BZ1296" s="343">
        <f>SUMIFS($AU1297:AU$1388,$Q1297:Q$1388,"O")</f>
        <v>158.00000000016325</v>
      </c>
    </row>
    <row r="1297" spans="1:78" ht="15.75" customHeight="1">
      <c r="A1297" s="221" t="s">
        <v>4220</v>
      </c>
      <c r="B1297" s="177"/>
      <c r="C1297" s="178"/>
      <c r="D1297" s="178"/>
      <c r="E1297" s="227"/>
      <c r="F1297" s="180"/>
      <c r="G1297" s="181"/>
      <c r="H1297" s="182"/>
      <c r="I1297" s="182"/>
      <c r="J1297" s="182"/>
      <c r="K1297" s="183"/>
      <c r="L1297" s="182"/>
      <c r="M1297" s="182"/>
      <c r="N1297" s="182"/>
      <c r="O1297" s="183"/>
      <c r="P1297" s="183"/>
      <c r="Q1297" s="183"/>
      <c r="R1297" s="183"/>
      <c r="S1297" s="183"/>
      <c r="T1297" s="183"/>
      <c r="U1297" s="183"/>
      <c r="V1297" s="183"/>
      <c r="W1297" s="183"/>
      <c r="X1297" s="183"/>
      <c r="Y1297" s="183"/>
      <c r="Z1297" s="185" t="str">
        <f>IF(ISBLANK(O1297),"",IF(O1297="IB",8.63*200,IF(O1297="IR",16*100,IF(O1297="YT",20*100,IF(O1297="YT-XT",24*200,IF(O1297="TED",80*100))))))</f>
        <v/>
      </c>
      <c r="AA1297" s="185"/>
      <c r="AB1297" s="185"/>
      <c r="AC1297" s="185"/>
      <c r="AD1297" s="649"/>
      <c r="AE1297" s="182"/>
      <c r="AF1297" s="332"/>
      <c r="AG1297" s="182"/>
      <c r="AH1297" s="182"/>
      <c r="AI1297" s="182"/>
      <c r="AJ1297" s="640"/>
      <c r="AK1297" s="182"/>
      <c r="AL1297" s="496"/>
      <c r="AM1297" s="496"/>
      <c r="AN1297" s="626"/>
      <c r="AO1297" s="182"/>
      <c r="AP1297" s="182"/>
      <c r="AQ1297" s="332" t="str">
        <f>UPPER(RIGHT(Journal_Live[[#This Row],[DURATION ]]))</f>
        <v/>
      </c>
      <c r="AR1297" s="182"/>
      <c r="AS1297" s="189"/>
      <c r="AT1297" s="189"/>
      <c r="AU1297" s="187"/>
      <c r="AV1297" s="190"/>
      <c r="AW1297" s="191"/>
      <c r="AX1297" s="407" t="s">
        <v>4514</v>
      </c>
      <c r="AY1297" s="409" t="s">
        <v>4515</v>
      </c>
      <c r="AZ1297" s="409" t="s">
        <v>4516</v>
      </c>
      <c r="BA1297" s="407" t="s">
        <v>4517</v>
      </c>
      <c r="BB1297" s="407" t="s">
        <v>4518</v>
      </c>
      <c r="BC1297" s="407" t="s">
        <v>4519</v>
      </c>
      <c r="BD1297" s="407"/>
      <c r="BE1297" s="407"/>
      <c r="BF1297" s="422"/>
      <c r="BG1297" s="391">
        <f>SUM($AV$4:AV1297)</f>
        <v>4642.8156656883029</v>
      </c>
      <c r="BH1297" s="392">
        <f>SUM($AU$134:AU1297)</f>
        <v>26624.650666666701</v>
      </c>
      <c r="BI1297" s="318">
        <f>SUMIFS($AU$134:AU1298,$Q$134:Q1298,"F")</f>
        <v>11416.666666666668</v>
      </c>
      <c r="BJ1297" s="318">
        <f>SUMIFS($AU$134:AU1298,$Q$134:Q1298,"S")</f>
        <v>17119.642</v>
      </c>
      <c r="BK1297" s="343">
        <f>SUMIFS($AU$134:AU1298,$P$134:P1298,"W")</f>
        <v>15186.141999999927</v>
      </c>
      <c r="BL1297" s="343">
        <f>SUMIFS($AU$134:AU1298,$P$134:P1298,"R")</f>
        <v>13123.606666666656</v>
      </c>
      <c r="BM1297" s="343">
        <f>SUMIFS($AU$134:AU1298,$AQ$134:AQ1298,"M")</f>
        <v>3342.0300000001334</v>
      </c>
      <c r="BN1297" s="343">
        <f>SUMIFS($AU$134:AU1298,$AQ$134:AQ1298,"H")</f>
        <v>10065.341999999999</v>
      </c>
      <c r="BO1297" s="343">
        <f>SUMIFS($AU$134:AU1298,$AQ$134:AQ1298,"D")</f>
        <v>6370.236666666764</v>
      </c>
      <c r="BP1297" s="343">
        <f>SUMIFS($AU$134:AU1300,$AQ$134:AQ1300,"W")</f>
        <v>5395.6199999996161</v>
      </c>
      <c r="BQ1297" s="343">
        <f>SUMIFS($AU$134:AU1298,$Q$134:Q1298,"O")</f>
        <v>-1806.8579999999615</v>
      </c>
      <c r="BR1297" s="343">
        <f>SUMIFS($AU$134:AU1298,$AA$134:AA1298,"*")</f>
        <v>24298.105333333398</v>
      </c>
      <c r="BS1297" s="343">
        <f>SUMIFS($AU$134:AU1298,$AB$134:AB1298,"*")</f>
        <v>3191.7120000000268</v>
      </c>
      <c r="BT1297" s="343">
        <f>SUMIFS($AU$134:AU1298,$AC$134:AC1298,"*")</f>
        <v>15152.216666666667</v>
      </c>
      <c r="BU1297" s="343">
        <f>SUMIFS($AU$134:AU1298,$AA$134:AA1298,"*",$AB$134:AB1298,"*")</f>
        <v>2490.0000000000546</v>
      </c>
      <c r="BV1297" s="343">
        <f>SUMIFS($AU$134:AU1298,$AA$134:AA1298,"*",$AC$134:AC1298,"*")</f>
        <v>11759.983333333334</v>
      </c>
      <c r="BW1297" s="343">
        <f>SUMIFS($AU$134:AU1298,$AB$134:AB1298,"*",$AC$134:AC1298,"*")</f>
        <v>6206.6</v>
      </c>
      <c r="BX1297" s="343">
        <f>SUMIFS($AU1298:AU$1388,$Q1298:Q$1388,"F")</f>
        <v>3024</v>
      </c>
      <c r="BY1297" s="343">
        <f>SUMIFS($AU1298:AU$1388,$Q1298:Q$1388,"S")</f>
        <v>3552.0000000000009</v>
      </c>
      <c r="BZ1297" s="343">
        <f>SUMIFS($AU1298:AU$1388,$Q1298:Q$1388,"O")</f>
        <v>158.00000000016325</v>
      </c>
    </row>
    <row r="1298" spans="1:78" ht="15.75" customHeight="1">
      <c r="A1298" s="221" t="s">
        <v>4220</v>
      </c>
      <c r="B1298" s="177">
        <v>45251</v>
      </c>
      <c r="C1298" s="178" t="s">
        <v>4520</v>
      </c>
      <c r="D1298" s="178" t="s">
        <v>146</v>
      </c>
      <c r="E1298" s="227"/>
      <c r="F1298" s="180"/>
      <c r="G1298" s="181" t="s">
        <v>3334</v>
      </c>
      <c r="H1298" s="182"/>
      <c r="I1298" s="182"/>
      <c r="J1298" s="182"/>
      <c r="K1298" s="183"/>
      <c r="L1298" s="182"/>
      <c r="M1298" s="182"/>
      <c r="N1298" s="182"/>
      <c r="O1298" s="183"/>
      <c r="P1298" s="183"/>
      <c r="Q1298" s="183"/>
      <c r="R1298" s="183"/>
      <c r="S1298" s="183"/>
      <c r="T1298" s="183"/>
      <c r="U1298" s="183"/>
      <c r="V1298" s="183"/>
      <c r="W1298" s="183"/>
      <c r="X1298" s="183"/>
      <c r="Y1298" s="184"/>
      <c r="Z1298" s="185"/>
      <c r="AA1298" s="185"/>
      <c r="AB1298" s="185"/>
      <c r="AC1298" s="185"/>
      <c r="AD1298" s="649"/>
      <c r="AE1298" s="182"/>
      <c r="AF1298" s="332"/>
      <c r="AG1298" s="182"/>
      <c r="AH1298" s="182"/>
      <c r="AI1298" s="182"/>
      <c r="AJ1298" s="640"/>
      <c r="AK1298" s="182"/>
      <c r="AL1298" s="496"/>
      <c r="AM1298" s="496"/>
      <c r="AN1298" s="626"/>
      <c r="AO1298" s="182"/>
      <c r="AP1298" s="182"/>
      <c r="AQ1298" s="332" t="str">
        <f>UPPER(RIGHT(Journal_Live[[#This Row],[DURATION ]]))</f>
        <v/>
      </c>
      <c r="AR1298" s="182"/>
      <c r="AS1298" s="189"/>
      <c r="AT1298" s="189"/>
      <c r="AU1298" s="187"/>
      <c r="AV1298" s="190"/>
      <c r="AW1298" s="191"/>
      <c r="AX1298" s="407"/>
      <c r="AY1298" s="407"/>
      <c r="AZ1298" s="407"/>
      <c r="BA1298" s="407"/>
      <c r="BB1298" s="407"/>
      <c r="BC1298" s="407"/>
      <c r="BD1298" s="407"/>
      <c r="BE1298" s="407"/>
      <c r="BF1298" s="422"/>
      <c r="BG1298" s="391">
        <f>SUM($AV$4:AV1298)</f>
        <v>4642.8156656883029</v>
      </c>
      <c r="BH1298" s="392">
        <f>SUM($AU$134:AU1298)</f>
        <v>26624.650666666701</v>
      </c>
      <c r="BI1298" s="318">
        <f>SUMIFS($AU$134:AU1299,$Q$134:Q1299,"F")</f>
        <v>11416.666666666668</v>
      </c>
      <c r="BJ1298" s="318">
        <f>SUMIFS($AU$134:AU1299,$Q$134:Q1299,"S")</f>
        <v>17119.642</v>
      </c>
      <c r="BK1298" s="343">
        <f>SUMIFS($AU$134:AU1299,$P$134:P1299,"W")</f>
        <v>15186.141999999927</v>
      </c>
      <c r="BL1298" s="343">
        <f>SUMIFS($AU$134:AU1299,$P$134:P1299,"R")</f>
        <v>13123.606666666656</v>
      </c>
      <c r="BM1298" s="343">
        <f>SUMIFS($AU$134:AU1299,$AQ$134:AQ1299,"M")</f>
        <v>3342.0300000001334</v>
      </c>
      <c r="BN1298" s="343">
        <f>SUMIFS($AU$134:AU1299,$AQ$134:AQ1299,"H")</f>
        <v>10065.341999999999</v>
      </c>
      <c r="BO1298" s="343">
        <f>SUMIFS($AU$134:AU1299,$AQ$134:AQ1299,"D")</f>
        <v>6370.236666666764</v>
      </c>
      <c r="BP1298" s="343">
        <f>SUMIFS($AU$134:AU1301,$AQ$134:AQ1301,"W")</f>
        <v>5395.6199999996161</v>
      </c>
      <c r="BQ1298" s="343">
        <f>SUMIFS($AU$134:AU1299,$Q$134:Q1299,"O")</f>
        <v>-1806.8579999999615</v>
      </c>
      <c r="BR1298" s="343">
        <f>SUMIFS($AU$134:AU1299,$AA$134:AA1299,"*")</f>
        <v>24298.105333333398</v>
      </c>
      <c r="BS1298" s="343">
        <f>SUMIFS($AU$134:AU1299,$AB$134:AB1299,"*")</f>
        <v>3191.7120000000268</v>
      </c>
      <c r="BT1298" s="343">
        <f>SUMIFS($AU$134:AU1299,$AC$134:AC1299,"*")</f>
        <v>15152.216666666667</v>
      </c>
      <c r="BU1298" s="343">
        <f>SUMIFS($AU$134:AU1299,$AA$134:AA1299,"*",$AB$134:AB1299,"*")</f>
        <v>2490.0000000000546</v>
      </c>
      <c r="BV1298" s="343">
        <f>SUMIFS($AU$134:AU1299,$AA$134:AA1299,"*",$AC$134:AC1299,"*")</f>
        <v>11759.983333333334</v>
      </c>
      <c r="BW1298" s="343">
        <f>SUMIFS($AU$134:AU1299,$AB$134:AB1299,"*",$AC$134:AC1299,"*")</f>
        <v>6206.6</v>
      </c>
      <c r="BX1298" s="343">
        <f>SUMIFS($AU1299:AU$1388,$Q1299:Q$1388,"F")</f>
        <v>3024</v>
      </c>
      <c r="BY1298" s="343">
        <f>SUMIFS($AU1299:AU$1388,$Q1299:Q$1388,"S")</f>
        <v>3552.0000000000009</v>
      </c>
      <c r="BZ1298" s="343">
        <f>SUMIFS($AU1299:AU$1388,$Q1299:Q$1388,"O")</f>
        <v>158.00000000016325</v>
      </c>
    </row>
    <row r="1299" spans="1:78" ht="15.75" customHeight="1">
      <c r="A1299" s="221" t="s">
        <v>4220</v>
      </c>
      <c r="B1299" s="177">
        <v>45251</v>
      </c>
      <c r="C1299" s="178" t="s">
        <v>4521</v>
      </c>
      <c r="D1299" s="178" t="s">
        <v>146</v>
      </c>
      <c r="E1299" s="227"/>
      <c r="F1299" s="180"/>
      <c r="G1299" s="181" t="s">
        <v>4147</v>
      </c>
      <c r="H1299" s="182"/>
      <c r="I1299" s="182"/>
      <c r="J1299" s="182"/>
      <c r="K1299" s="183"/>
      <c r="L1299" s="182"/>
      <c r="M1299" s="182"/>
      <c r="N1299" s="182"/>
      <c r="O1299" s="183"/>
      <c r="P1299" s="183"/>
      <c r="Q1299" s="183"/>
      <c r="R1299" s="183"/>
      <c r="S1299" s="183"/>
      <c r="T1299" s="183"/>
      <c r="U1299" s="183"/>
      <c r="V1299" s="183"/>
      <c r="W1299" s="183"/>
      <c r="X1299" s="183"/>
      <c r="Y1299" s="184"/>
      <c r="Z1299" s="185"/>
      <c r="AA1299" s="185"/>
      <c r="AB1299" s="185"/>
      <c r="AC1299" s="185"/>
      <c r="AD1299" s="649"/>
      <c r="AE1299" s="182"/>
      <c r="AF1299" s="332"/>
      <c r="AG1299" s="182"/>
      <c r="AH1299" s="182"/>
      <c r="AI1299" s="182"/>
      <c r="AJ1299" s="640"/>
      <c r="AK1299" s="182"/>
      <c r="AL1299" s="496"/>
      <c r="AM1299" s="496"/>
      <c r="AN1299" s="626"/>
      <c r="AO1299" s="182"/>
      <c r="AP1299" s="182"/>
      <c r="AQ1299" s="332" t="str">
        <f>UPPER(RIGHT(Journal_Live[[#This Row],[DURATION ]]))</f>
        <v/>
      </c>
      <c r="AR1299" s="182"/>
      <c r="AS1299" s="189"/>
      <c r="AT1299" s="189"/>
      <c r="AU1299" s="187"/>
      <c r="AV1299" s="190"/>
      <c r="AW1299" s="191"/>
      <c r="AX1299" s="407"/>
      <c r="AY1299" s="407"/>
      <c r="AZ1299" s="407"/>
      <c r="BA1299" s="407"/>
      <c r="BB1299" s="407"/>
      <c r="BC1299" s="407"/>
      <c r="BD1299" s="407"/>
      <c r="BE1299" s="407"/>
      <c r="BF1299" s="422"/>
      <c r="BG1299" s="391">
        <f>SUM($AV$4:AV1299)</f>
        <v>4642.8156656883029</v>
      </c>
      <c r="BH1299" s="392">
        <f>SUM($AU$134:AU1299)</f>
        <v>26624.650666666701</v>
      </c>
      <c r="BI1299" s="318">
        <f>SUMIFS($AU$134:AU1300,$Q$134:Q1300,"F")</f>
        <v>11416.666666666668</v>
      </c>
      <c r="BJ1299" s="318">
        <f>SUMIFS($AU$134:AU1300,$Q$134:Q1300,"S")</f>
        <v>17119.642</v>
      </c>
      <c r="BK1299" s="343">
        <f>SUMIFS($AU$134:AU1300,$P$134:P1300,"W")</f>
        <v>15186.141999999927</v>
      </c>
      <c r="BL1299" s="343">
        <f>SUMIFS($AU$134:AU1300,$P$134:P1300,"R")</f>
        <v>13123.606666666656</v>
      </c>
      <c r="BM1299" s="343">
        <f>SUMIFS($AU$134:AU1300,$AQ$134:AQ1300,"M")</f>
        <v>3342.0300000001334</v>
      </c>
      <c r="BN1299" s="343">
        <f>SUMIFS($AU$134:AU1300,$AQ$134:AQ1300,"H")</f>
        <v>10065.341999999999</v>
      </c>
      <c r="BO1299" s="343">
        <f>SUMIFS($AU$134:AU1300,$AQ$134:AQ1300,"D")</f>
        <v>6370.236666666764</v>
      </c>
      <c r="BP1299" s="343">
        <f>SUMIFS($AU$134:AU1302,$AQ$134:AQ1302,"W")</f>
        <v>5395.6199999996161</v>
      </c>
      <c r="BQ1299" s="343">
        <f>SUMIFS($AU$134:AU1300,$Q$134:Q1300,"O")</f>
        <v>-1806.8579999999615</v>
      </c>
      <c r="BR1299" s="343">
        <f>SUMIFS($AU$134:AU1300,$AA$134:AA1300,"*")</f>
        <v>24298.105333333398</v>
      </c>
      <c r="BS1299" s="343">
        <f>SUMIFS($AU$134:AU1300,$AB$134:AB1300,"*")</f>
        <v>3191.7120000000268</v>
      </c>
      <c r="BT1299" s="343">
        <f>SUMIFS($AU$134:AU1300,$AC$134:AC1300,"*")</f>
        <v>15152.216666666667</v>
      </c>
      <c r="BU1299" s="343">
        <f>SUMIFS($AU$134:AU1300,$AA$134:AA1300,"*",$AB$134:AB1300,"*")</f>
        <v>2490.0000000000546</v>
      </c>
      <c r="BV1299" s="343">
        <f>SUMIFS($AU$134:AU1300,$AA$134:AA1300,"*",$AC$134:AC1300,"*")</f>
        <v>11759.983333333334</v>
      </c>
      <c r="BW1299" s="343">
        <f>SUMIFS($AU$134:AU1300,$AB$134:AB1300,"*",$AC$134:AC1300,"*")</f>
        <v>6206.6</v>
      </c>
      <c r="BX1299" s="343">
        <f>SUMIFS($AU1300:AU$1388,$Q1300:Q$1388,"F")</f>
        <v>3024</v>
      </c>
      <c r="BY1299" s="343">
        <f>SUMIFS($AU1300:AU$1388,$Q1300:Q$1388,"S")</f>
        <v>3552.0000000000009</v>
      </c>
      <c r="BZ1299" s="343">
        <f>SUMIFS($AU1300:AU$1388,$Q1300:Q$1388,"O")</f>
        <v>158.00000000016325</v>
      </c>
    </row>
    <row r="1300" spans="1:78" ht="15.75" customHeight="1">
      <c r="A1300" s="221" t="s">
        <v>4220</v>
      </c>
      <c r="B1300" s="177">
        <v>45251</v>
      </c>
      <c r="C1300" s="178" t="s">
        <v>2355</v>
      </c>
      <c r="D1300" s="178" t="s">
        <v>146</v>
      </c>
      <c r="E1300" s="227"/>
      <c r="F1300" s="180"/>
      <c r="G1300" s="281" t="s">
        <v>2942</v>
      </c>
      <c r="H1300" s="182"/>
      <c r="I1300" s="182"/>
      <c r="J1300" s="182"/>
      <c r="K1300" s="183"/>
      <c r="L1300" s="182">
        <v>1</v>
      </c>
      <c r="M1300" s="182"/>
      <c r="N1300" s="182"/>
      <c r="O1300" s="183" t="s">
        <v>95</v>
      </c>
      <c r="P1300" s="183" t="s">
        <v>137</v>
      </c>
      <c r="Q1300" s="183" t="s">
        <v>97</v>
      </c>
      <c r="R1300" s="183">
        <v>14</v>
      </c>
      <c r="S1300" s="183">
        <v>7</v>
      </c>
      <c r="T1300" s="183">
        <v>14</v>
      </c>
      <c r="U1300" s="183" t="s">
        <v>22</v>
      </c>
      <c r="V1300" s="183"/>
      <c r="W1300" s="183"/>
      <c r="X1300" s="183"/>
      <c r="Y1300" s="184">
        <f>IF(ISBLANK(O1300),"",(IF(O1300=UPPER("IB"),0.005,0.01)))</f>
        <v>0.01</v>
      </c>
      <c r="Z1300" s="185">
        <f>IF(ISBLANK(O1300),"",IF(O1300="IB",8.63*200,IF(O1300="IR",16*100,IF(O1300="YT",20*100,IF(O1300="YT-XT",24*200,IF(O1300="TED",80*100))))))</f>
        <v>1600</v>
      </c>
      <c r="AA1300" s="185" t="s">
        <v>99</v>
      </c>
      <c r="AB1300" s="185"/>
      <c r="AC1300" s="185" t="s">
        <v>4522</v>
      </c>
      <c r="AD1300" s="649">
        <v>-0.09</v>
      </c>
      <c r="AE1300" s="182"/>
      <c r="AF1300" s="332"/>
      <c r="AG1300" s="182"/>
      <c r="AH1300" s="182"/>
      <c r="AI1300" s="182"/>
      <c r="AJ1300" s="640"/>
      <c r="AK1300" s="182"/>
      <c r="AL1300" s="496">
        <f t="shared" si="380"/>
        <v>-32</v>
      </c>
      <c r="AM1300" s="496">
        <f>AL1300*(R1300-S1300)</f>
        <v>-224</v>
      </c>
      <c r="AN1300" s="626"/>
      <c r="AO1300" s="182"/>
      <c r="AP1300" s="182" t="s">
        <v>1005</v>
      </c>
      <c r="AQ1300" s="332" t="str">
        <f>UPPER(RIGHT(Journal_Live[[#This Row],[DURATION ]]))</f>
        <v>H</v>
      </c>
      <c r="AR1300" s="182" t="s">
        <v>4497</v>
      </c>
      <c r="AS1300" s="189">
        <v>-0.09</v>
      </c>
      <c r="AT1300" s="189">
        <f>IF(ISBLANK(AS1300),,IF(U1300="S",AD1300-AS1300,AS1300-AD1300))</f>
        <v>0</v>
      </c>
      <c r="AU1300" s="187">
        <f>AV1300*R1300</f>
        <v>0</v>
      </c>
      <c r="AV1300" s="190">
        <f>IF(ISBLANK(AS1300),,(AT1300*Z1300))</f>
        <v>0</v>
      </c>
      <c r="AW1300" s="191" t="s">
        <v>115</v>
      </c>
      <c r="AX1300" s="407"/>
      <c r="AY1300" s="407"/>
      <c r="AZ1300" s="407"/>
      <c r="BA1300" s="407"/>
      <c r="BB1300" s="407"/>
      <c r="BC1300" s="407"/>
      <c r="BD1300" s="407"/>
      <c r="BE1300" s="407"/>
      <c r="BF1300" s="422"/>
      <c r="BG1300" s="391">
        <f>SUM($AV$4:AV1300)</f>
        <v>4642.8156656883029</v>
      </c>
      <c r="BH1300" s="392">
        <f>SUM($AU$134:AU1300)</f>
        <v>26624.650666666701</v>
      </c>
      <c r="BI1300" s="318">
        <f>SUMIFS($AU$134:AU1301,$Q$134:Q1301,"F")</f>
        <v>11416.666666666668</v>
      </c>
      <c r="BJ1300" s="318">
        <f>SUMIFS($AU$134:AU1301,$Q$134:Q1301,"S")</f>
        <v>17119.642</v>
      </c>
      <c r="BK1300" s="343">
        <f>SUMIFS($AU$134:AU1301,$P$134:P1301,"W")</f>
        <v>15186.141999999927</v>
      </c>
      <c r="BL1300" s="343">
        <f>SUMIFS($AU$134:AU1301,$P$134:P1301,"R")</f>
        <v>13123.606666666656</v>
      </c>
      <c r="BM1300" s="343">
        <f>SUMIFS($AU$134:AU1301,$AQ$134:AQ1301,"M")</f>
        <v>3342.0300000001334</v>
      </c>
      <c r="BN1300" s="343">
        <f>SUMIFS($AU$134:AU1301,$AQ$134:AQ1301,"H")</f>
        <v>10065.341999999999</v>
      </c>
      <c r="BO1300" s="343">
        <f>SUMIFS($AU$134:AU1301,$AQ$134:AQ1301,"D")</f>
        <v>6370.236666666764</v>
      </c>
      <c r="BP1300" s="343">
        <f>SUMIFS($AU$134:AU1303,$AQ$134:AQ1303,"W")</f>
        <v>5395.6199999996161</v>
      </c>
      <c r="BQ1300" s="343">
        <f>SUMIFS($AU$134:AU1301,$Q$134:Q1301,"O")</f>
        <v>-1806.8579999999615</v>
      </c>
      <c r="BR1300" s="343">
        <f>SUMIFS($AU$134:AU1301,$AA$134:AA1301,"*")</f>
        <v>24298.105333333398</v>
      </c>
      <c r="BS1300" s="343">
        <f>SUMIFS($AU$134:AU1301,$AB$134:AB1301,"*")</f>
        <v>3191.7120000000268</v>
      </c>
      <c r="BT1300" s="343">
        <f>SUMIFS($AU$134:AU1301,$AC$134:AC1301,"*")</f>
        <v>15152.216666666667</v>
      </c>
      <c r="BU1300" s="343">
        <f>SUMIFS($AU$134:AU1301,$AA$134:AA1301,"*",$AB$134:AB1301,"*")</f>
        <v>2490.0000000000546</v>
      </c>
      <c r="BV1300" s="343">
        <f>SUMIFS($AU$134:AU1301,$AA$134:AA1301,"*",$AC$134:AC1301,"*")</f>
        <v>11759.983333333334</v>
      </c>
      <c r="BW1300" s="343">
        <f>SUMIFS($AU$134:AU1301,$AB$134:AB1301,"*",$AC$134:AC1301,"*")</f>
        <v>6206.6</v>
      </c>
      <c r="BX1300" s="343">
        <f>SUMIFS($AU1301:AU$1388,$Q1301:Q$1388,"F")</f>
        <v>3024</v>
      </c>
      <c r="BY1300" s="343">
        <f>SUMIFS($AU1301:AU$1388,$Q1301:Q$1388,"S")</f>
        <v>3552.0000000000009</v>
      </c>
      <c r="BZ1300" s="343">
        <f>SUMIFS($AU1301:AU$1388,$Q1301:Q$1388,"O")</f>
        <v>158.00000000016325</v>
      </c>
    </row>
    <row r="1301" spans="1:78" ht="15.75" customHeight="1">
      <c r="A1301" s="221" t="s">
        <v>4220</v>
      </c>
      <c r="B1301" s="177">
        <v>45252</v>
      </c>
      <c r="C1301" s="178" t="s">
        <v>745</v>
      </c>
      <c r="D1301" s="178" t="s">
        <v>151</v>
      </c>
      <c r="E1301" s="227" t="s">
        <v>4523</v>
      </c>
      <c r="F1301" s="180"/>
      <c r="G1301" s="181"/>
      <c r="H1301" s="182"/>
      <c r="I1301" s="182"/>
      <c r="J1301" s="182"/>
      <c r="K1301" s="183"/>
      <c r="L1301" s="182"/>
      <c r="M1301" s="182"/>
      <c r="N1301" s="182"/>
      <c r="O1301" s="183"/>
      <c r="P1301" s="183"/>
      <c r="Q1301" s="183"/>
      <c r="R1301" s="183"/>
      <c r="S1301" s="183"/>
      <c r="T1301" s="183"/>
      <c r="U1301" s="183"/>
      <c r="V1301" s="183"/>
      <c r="W1301" s="183"/>
      <c r="X1301" s="183"/>
      <c r="Y1301" s="183"/>
      <c r="Z1301" s="185" t="str">
        <f>IF(ISBLANK(O1301),"",IF(O1301="IB",8.63*200,IF(O1301="IR",16*100,IF(O1301="YT",20*100,IF(O1301="YT-XT",24*200,IF(O1301="TED",80*100))))))</f>
        <v/>
      </c>
      <c r="AA1301" s="185"/>
      <c r="AB1301" s="185"/>
      <c r="AC1301" s="185"/>
      <c r="AD1301" s="649"/>
      <c r="AE1301" s="182"/>
      <c r="AF1301" s="332"/>
      <c r="AG1301" s="182"/>
      <c r="AH1301" s="182"/>
      <c r="AI1301" s="182"/>
      <c r="AJ1301" s="640"/>
      <c r="AK1301" s="182"/>
      <c r="AL1301" s="496"/>
      <c r="AM1301" s="496"/>
      <c r="AN1301" s="626"/>
      <c r="AO1301" s="182"/>
      <c r="AP1301" s="182"/>
      <c r="AQ1301" s="332" t="str">
        <f>UPPER(RIGHT(Journal_Live[[#This Row],[DURATION ]]))</f>
        <v/>
      </c>
      <c r="AR1301" s="182"/>
      <c r="AS1301" s="189"/>
      <c r="AT1301" s="189"/>
      <c r="AU1301" s="187"/>
      <c r="AV1301" s="190"/>
      <c r="AW1301" s="191"/>
      <c r="AX1301" s="407" t="s">
        <v>4524</v>
      </c>
      <c r="AY1301" s="407" t="s">
        <v>4525</v>
      </c>
      <c r="AZ1301" s="407"/>
      <c r="BA1301" s="407"/>
      <c r="BB1301" s="407"/>
      <c r="BC1301" s="407"/>
      <c r="BD1301" s="407"/>
      <c r="BE1301" s="407"/>
      <c r="BF1301" s="422"/>
      <c r="BG1301" s="391">
        <f>SUM($AV$4:AV1301)</f>
        <v>4642.8156656883029</v>
      </c>
      <c r="BH1301" s="392">
        <f>SUM($AU$134:AU1301)</f>
        <v>26624.650666666701</v>
      </c>
      <c r="BI1301" s="318">
        <f>SUMIFS($AU$134:AU1302,$Q$134:Q1302,"F")</f>
        <v>11416.666666666668</v>
      </c>
      <c r="BJ1301" s="318">
        <f>SUMIFS($AU$134:AU1302,$Q$134:Q1302,"S")</f>
        <v>17119.642</v>
      </c>
      <c r="BK1301" s="343">
        <f>SUMIFS($AU$134:AU1302,$P$134:P1302,"W")</f>
        <v>15186.141999999927</v>
      </c>
      <c r="BL1301" s="343">
        <f>SUMIFS($AU$134:AU1302,$P$134:P1302,"R")</f>
        <v>13123.606666666656</v>
      </c>
      <c r="BM1301" s="343">
        <f>SUMIFS($AU$134:AU1302,$AQ$134:AQ1302,"M")</f>
        <v>3342.0300000001334</v>
      </c>
      <c r="BN1301" s="343">
        <f>SUMIFS($AU$134:AU1302,$AQ$134:AQ1302,"H")</f>
        <v>10065.341999999999</v>
      </c>
      <c r="BO1301" s="343">
        <f>SUMIFS($AU$134:AU1302,$AQ$134:AQ1302,"D")</f>
        <v>6370.236666666764</v>
      </c>
      <c r="BP1301" s="343">
        <f>SUMIFS($AU$134:AU1304,$AQ$134:AQ1304,"W")</f>
        <v>5395.6199999996161</v>
      </c>
      <c r="BQ1301" s="343">
        <f>SUMIFS($AU$134:AU1302,$Q$134:Q1302,"O")</f>
        <v>-1806.8579999999615</v>
      </c>
      <c r="BR1301" s="343">
        <f>SUMIFS($AU$134:AU1302,$AA$134:AA1302,"*")</f>
        <v>24298.105333333398</v>
      </c>
      <c r="BS1301" s="343">
        <f>SUMIFS($AU$134:AU1302,$AB$134:AB1302,"*")</f>
        <v>3191.7120000000268</v>
      </c>
      <c r="BT1301" s="343">
        <f>SUMIFS($AU$134:AU1302,$AC$134:AC1302,"*")</f>
        <v>15152.216666666667</v>
      </c>
      <c r="BU1301" s="343">
        <f>SUMIFS($AU$134:AU1302,$AA$134:AA1302,"*",$AB$134:AB1302,"*")</f>
        <v>2490.0000000000546</v>
      </c>
      <c r="BV1301" s="343">
        <f>SUMIFS($AU$134:AU1302,$AA$134:AA1302,"*",$AC$134:AC1302,"*")</f>
        <v>11759.983333333334</v>
      </c>
      <c r="BW1301" s="343">
        <f>SUMIFS($AU$134:AU1302,$AB$134:AB1302,"*",$AC$134:AC1302,"*")</f>
        <v>6206.6</v>
      </c>
      <c r="BX1301" s="343">
        <f>SUMIFS($AU1302:AU$1388,$Q1302:Q$1388,"F")</f>
        <v>3024</v>
      </c>
      <c r="BY1301" s="343">
        <f>SUMIFS($AU1302:AU$1388,$Q1302:Q$1388,"S")</f>
        <v>3552.0000000000009</v>
      </c>
      <c r="BZ1301" s="343">
        <f>SUMIFS($AU1302:AU$1388,$Q1302:Q$1388,"O")</f>
        <v>158.00000000016325</v>
      </c>
    </row>
    <row r="1302" spans="1:78" ht="15.75" customHeight="1">
      <c r="A1302" s="221" t="s">
        <v>4220</v>
      </c>
      <c r="B1302" s="177">
        <v>45252</v>
      </c>
      <c r="C1302" s="178" t="s">
        <v>327</v>
      </c>
      <c r="D1302" s="178" t="s">
        <v>151</v>
      </c>
      <c r="E1302" s="227"/>
      <c r="F1302" s="180"/>
      <c r="G1302" s="181" t="s">
        <v>2016</v>
      </c>
      <c r="H1302" s="182"/>
      <c r="I1302" s="182"/>
      <c r="J1302" s="182"/>
      <c r="K1302" s="183"/>
      <c r="L1302" s="182"/>
      <c r="M1302" s="182"/>
      <c r="N1302" s="182"/>
      <c r="O1302" s="183"/>
      <c r="P1302" s="183"/>
      <c r="Q1302" s="183"/>
      <c r="R1302" s="183"/>
      <c r="S1302" s="183"/>
      <c r="T1302" s="183"/>
      <c r="U1302" s="183"/>
      <c r="V1302" s="183"/>
      <c r="W1302" s="183"/>
      <c r="X1302" s="183"/>
      <c r="Y1302" s="184"/>
      <c r="Z1302" s="185"/>
      <c r="AA1302" s="185"/>
      <c r="AB1302" s="185"/>
      <c r="AC1302" s="185"/>
      <c r="AD1302" s="649"/>
      <c r="AE1302" s="182"/>
      <c r="AF1302" s="332"/>
      <c r="AG1302" s="182"/>
      <c r="AH1302" s="182"/>
      <c r="AI1302" s="182"/>
      <c r="AJ1302" s="640"/>
      <c r="AK1302" s="182"/>
      <c r="AL1302" s="496"/>
      <c r="AM1302" s="496"/>
      <c r="AN1302" s="626"/>
      <c r="AO1302" s="182"/>
      <c r="AP1302" s="182"/>
      <c r="AQ1302" s="332" t="str">
        <f>UPPER(RIGHT(Journal_Live[[#This Row],[DURATION ]]))</f>
        <v/>
      </c>
      <c r="AR1302" s="182"/>
      <c r="AS1302" s="189"/>
      <c r="AT1302" s="189"/>
      <c r="AU1302" s="187"/>
      <c r="AV1302" s="190"/>
      <c r="AW1302" s="191"/>
      <c r="AX1302" s="407"/>
      <c r="AY1302" s="407"/>
      <c r="AZ1302" s="407"/>
      <c r="BA1302" s="407"/>
      <c r="BB1302" s="407"/>
      <c r="BC1302" s="407"/>
      <c r="BD1302" s="407"/>
      <c r="BE1302" s="407"/>
      <c r="BF1302" s="422"/>
      <c r="BG1302" s="391">
        <f>SUM($AV$4:AV1302)</f>
        <v>4642.8156656883029</v>
      </c>
      <c r="BH1302" s="392">
        <f>SUM($AU$134:AU1302)</f>
        <v>26624.650666666701</v>
      </c>
      <c r="BI1302" s="318">
        <f>SUMIFS($AU$134:AU1303,$Q$134:Q1303,"F")</f>
        <v>11416.666666666668</v>
      </c>
      <c r="BJ1302" s="318">
        <f>SUMIFS($AU$134:AU1303,$Q$134:Q1303,"S")</f>
        <v>17119.642</v>
      </c>
      <c r="BK1302" s="343">
        <f>SUMIFS($AU$134:AU1303,$P$134:P1303,"W")</f>
        <v>15186.141999999927</v>
      </c>
      <c r="BL1302" s="343">
        <f>SUMIFS($AU$134:AU1303,$P$134:P1303,"R")</f>
        <v>13123.606666666656</v>
      </c>
      <c r="BM1302" s="343">
        <f>SUMIFS($AU$134:AU1303,$AQ$134:AQ1303,"M")</f>
        <v>3342.0300000001334</v>
      </c>
      <c r="BN1302" s="343">
        <f>SUMIFS($AU$134:AU1303,$AQ$134:AQ1303,"H")</f>
        <v>10065.341999999999</v>
      </c>
      <c r="BO1302" s="343">
        <f>SUMIFS($AU$134:AU1303,$AQ$134:AQ1303,"D")</f>
        <v>6370.236666666764</v>
      </c>
      <c r="BP1302" s="343">
        <f>SUMIFS($AU$134:AU1305,$AQ$134:AQ1305,"W")</f>
        <v>5395.6199999996161</v>
      </c>
      <c r="BQ1302" s="343">
        <f>SUMIFS($AU$134:AU1303,$Q$134:Q1303,"O")</f>
        <v>-1806.8579999999615</v>
      </c>
      <c r="BR1302" s="343">
        <f>SUMIFS($AU$134:AU1303,$AA$134:AA1303,"*")</f>
        <v>24298.105333333398</v>
      </c>
      <c r="BS1302" s="343">
        <f>SUMIFS($AU$134:AU1303,$AB$134:AB1303,"*")</f>
        <v>3191.7120000000268</v>
      </c>
      <c r="BT1302" s="343">
        <f>SUMIFS($AU$134:AU1303,$AC$134:AC1303,"*")</f>
        <v>15152.216666666667</v>
      </c>
      <c r="BU1302" s="343">
        <f>SUMIFS($AU$134:AU1303,$AA$134:AA1303,"*",$AB$134:AB1303,"*")</f>
        <v>2490.0000000000546</v>
      </c>
      <c r="BV1302" s="343">
        <f>SUMIFS($AU$134:AU1303,$AA$134:AA1303,"*",$AC$134:AC1303,"*")</f>
        <v>11759.983333333334</v>
      </c>
      <c r="BW1302" s="343">
        <f>SUMIFS($AU$134:AU1303,$AB$134:AB1303,"*",$AC$134:AC1303,"*")</f>
        <v>6206.6</v>
      </c>
      <c r="BX1302" s="343">
        <f>SUMIFS($AU1303:AU$1388,$Q1303:Q$1388,"F")</f>
        <v>3024</v>
      </c>
      <c r="BY1302" s="343">
        <f>SUMIFS($AU1303:AU$1388,$Q1303:Q$1388,"S")</f>
        <v>3552.0000000000009</v>
      </c>
      <c r="BZ1302" s="343">
        <f>SUMIFS($AU1303:AU$1388,$Q1303:Q$1388,"O")</f>
        <v>158.00000000016325</v>
      </c>
    </row>
    <row r="1303" spans="1:78" ht="15.75" customHeight="1">
      <c r="A1303" s="221" t="s">
        <v>4220</v>
      </c>
      <c r="B1303" s="177">
        <v>45252</v>
      </c>
      <c r="C1303" s="178" t="s">
        <v>4526</v>
      </c>
      <c r="D1303" s="178" t="s">
        <v>151</v>
      </c>
      <c r="E1303" s="227" t="s">
        <v>4527</v>
      </c>
      <c r="F1303" s="180"/>
      <c r="G1303" s="181"/>
      <c r="H1303" s="182"/>
      <c r="I1303" s="182"/>
      <c r="J1303" s="182"/>
      <c r="K1303" s="183"/>
      <c r="L1303" s="182"/>
      <c r="M1303" s="182"/>
      <c r="N1303" s="182"/>
      <c r="O1303" s="183"/>
      <c r="P1303" s="183"/>
      <c r="Q1303" s="183"/>
      <c r="R1303" s="183"/>
      <c r="S1303" s="183"/>
      <c r="T1303" s="183"/>
      <c r="U1303" s="183"/>
      <c r="V1303" s="183"/>
      <c r="W1303" s="183"/>
      <c r="X1303" s="183"/>
      <c r="Y1303" s="183"/>
      <c r="Z1303" s="185" t="str">
        <f>IF(ISBLANK(O1303),"",IF(O1303="IB",8.63*200,IF(O1303="IR",16*100,IF(O1303="YT",20*100,IF(O1303="YT-XT",24*200,IF(O1303="TED",80*100))))))</f>
        <v/>
      </c>
      <c r="AA1303" s="185"/>
      <c r="AB1303" s="185"/>
      <c r="AC1303" s="185"/>
      <c r="AD1303" s="649"/>
      <c r="AE1303" s="182"/>
      <c r="AF1303" s="332"/>
      <c r="AG1303" s="182"/>
      <c r="AH1303" s="182"/>
      <c r="AI1303" s="182"/>
      <c r="AJ1303" s="640"/>
      <c r="AK1303" s="182"/>
      <c r="AL1303" s="496"/>
      <c r="AM1303" s="496"/>
      <c r="AN1303" s="626"/>
      <c r="AO1303" s="182"/>
      <c r="AP1303" s="182"/>
      <c r="AQ1303" s="332" t="str">
        <f>UPPER(RIGHT(Journal_Live[[#This Row],[DURATION ]]))</f>
        <v/>
      </c>
      <c r="AR1303" s="182"/>
      <c r="AS1303" s="189"/>
      <c r="AT1303" s="189"/>
      <c r="AU1303" s="187"/>
      <c r="AV1303" s="190"/>
      <c r="AW1303" s="191"/>
      <c r="AX1303" s="407"/>
      <c r="AY1303" s="407"/>
      <c r="AZ1303" s="407"/>
      <c r="BA1303" s="407"/>
      <c r="BB1303" s="407"/>
      <c r="BC1303" s="407"/>
      <c r="BD1303" s="407"/>
      <c r="BE1303" s="407"/>
      <c r="BF1303" s="422"/>
      <c r="BG1303" s="391">
        <f>SUM($AV$4:AV1303)</f>
        <v>4642.8156656883029</v>
      </c>
      <c r="BH1303" s="392">
        <f>SUM($AU$134:AU1303)</f>
        <v>26624.650666666701</v>
      </c>
      <c r="BI1303" s="318">
        <f>SUMIFS($AU$134:AU1304,$Q$134:Q1304,"F")</f>
        <v>11416.666666666668</v>
      </c>
      <c r="BJ1303" s="318">
        <f>SUMIFS($AU$134:AU1304,$Q$134:Q1304,"S")</f>
        <v>17343.642</v>
      </c>
      <c r="BK1303" s="343">
        <f>SUMIFS($AU$134:AU1304,$P$134:P1304,"W")</f>
        <v>15186.141999999927</v>
      </c>
      <c r="BL1303" s="343">
        <f>SUMIFS($AU$134:AU1304,$P$134:P1304,"R")</f>
        <v>13347.606666666656</v>
      </c>
      <c r="BM1303" s="343">
        <f>SUMIFS($AU$134:AU1304,$AQ$134:AQ1304,"M")</f>
        <v>3342.0300000001334</v>
      </c>
      <c r="BN1303" s="343">
        <f>SUMIFS($AU$134:AU1304,$AQ$134:AQ1304,"H")</f>
        <v>10065.341999999999</v>
      </c>
      <c r="BO1303" s="343">
        <f>SUMIFS($AU$134:AU1304,$AQ$134:AQ1304,"D")</f>
        <v>6594.236666666764</v>
      </c>
      <c r="BP1303" s="343">
        <f>SUMIFS($AU$134:AU1306,$AQ$134:AQ1306,"W")</f>
        <v>5395.6199999996161</v>
      </c>
      <c r="BQ1303" s="343">
        <f>SUMIFS($AU$134:AU1304,$Q$134:Q1304,"O")</f>
        <v>-1806.8579999999615</v>
      </c>
      <c r="BR1303" s="343">
        <f>SUMIFS($AU$134:AU1304,$AA$134:AA1304,"*")</f>
        <v>24522.105333333398</v>
      </c>
      <c r="BS1303" s="343">
        <f>SUMIFS($AU$134:AU1304,$AB$134:AB1304,"*")</f>
        <v>3191.7120000000268</v>
      </c>
      <c r="BT1303" s="343">
        <f>SUMIFS($AU$134:AU1304,$AC$134:AC1304,"*")</f>
        <v>15152.216666666667</v>
      </c>
      <c r="BU1303" s="343">
        <f>SUMIFS($AU$134:AU1304,$AA$134:AA1304,"*",$AB$134:AB1304,"*")</f>
        <v>2490.0000000000546</v>
      </c>
      <c r="BV1303" s="343">
        <f>SUMIFS($AU$134:AU1304,$AA$134:AA1304,"*",$AC$134:AC1304,"*")</f>
        <v>11759.983333333334</v>
      </c>
      <c r="BW1303" s="343">
        <f>SUMIFS($AU$134:AU1304,$AB$134:AB1304,"*",$AC$134:AC1304,"*")</f>
        <v>6206.6</v>
      </c>
      <c r="BX1303" s="343">
        <f>SUMIFS($AU1304:AU$1388,$Q1304:Q$1388,"F")</f>
        <v>3024</v>
      </c>
      <c r="BY1303" s="343">
        <f>SUMIFS($AU1304:AU$1388,$Q1304:Q$1388,"S")</f>
        <v>3552.0000000000009</v>
      </c>
      <c r="BZ1303" s="343">
        <f>SUMIFS($AU1304:AU$1388,$Q1304:Q$1388,"O")</f>
        <v>158.00000000016325</v>
      </c>
    </row>
    <row r="1304" spans="1:78" ht="15.75" customHeight="1">
      <c r="A1304" s="221" t="s">
        <v>4220</v>
      </c>
      <c r="B1304" s="177">
        <v>45252</v>
      </c>
      <c r="C1304" s="178" t="s">
        <v>4528</v>
      </c>
      <c r="D1304" s="178" t="s">
        <v>151</v>
      </c>
      <c r="E1304" s="227"/>
      <c r="F1304" s="180"/>
      <c r="G1304" s="281" t="s">
        <v>2070</v>
      </c>
      <c r="H1304" s="182"/>
      <c r="I1304" s="182"/>
      <c r="J1304" s="182"/>
      <c r="K1304" s="183"/>
      <c r="L1304" s="182">
        <v>1</v>
      </c>
      <c r="M1304" s="182">
        <v>1</v>
      </c>
      <c r="N1304" s="182"/>
      <c r="O1304" s="183" t="s">
        <v>95</v>
      </c>
      <c r="P1304" s="183" t="s">
        <v>137</v>
      </c>
      <c r="Q1304" s="183" t="s">
        <v>97</v>
      </c>
      <c r="R1304" s="183">
        <v>16</v>
      </c>
      <c r="S1304" s="183">
        <v>4</v>
      </c>
      <c r="T1304" s="183">
        <v>9</v>
      </c>
      <c r="U1304" s="183" t="s">
        <v>22</v>
      </c>
      <c r="V1304" s="183"/>
      <c r="W1304" s="183"/>
      <c r="X1304" s="183"/>
      <c r="Y1304" s="184">
        <f>IF(ISBLANK(O1304),"",(IF(O1304=UPPER("IB"),0.005,0.01)))</f>
        <v>0.01</v>
      </c>
      <c r="Z1304" s="185">
        <f>IF(ISBLANK(O1304),"",IF(O1304="IB",8.63*200,IF(O1304="IR",16*100,IF(O1304="YT",20*100,IF(O1304="YT-XT",24*200,IF(O1304="TED",80*100))))))</f>
        <v>1600</v>
      </c>
      <c r="AA1304" s="185" t="s">
        <v>99</v>
      </c>
      <c r="AB1304" s="185"/>
      <c r="AC1304" s="185"/>
      <c r="AD1304" s="649">
        <v>-0.1</v>
      </c>
      <c r="AE1304" s="182"/>
      <c r="AF1304" s="332"/>
      <c r="AG1304" s="182"/>
      <c r="AH1304" s="182"/>
      <c r="AI1304" s="182"/>
      <c r="AJ1304" s="640"/>
      <c r="AK1304" s="182"/>
      <c r="AL1304" s="496"/>
      <c r="AM1304" s="496"/>
      <c r="AN1304" s="626"/>
      <c r="AO1304" s="182"/>
      <c r="AP1304" s="182" t="s">
        <v>864</v>
      </c>
      <c r="AQ1304" s="332" t="str">
        <f>UPPER(RIGHT(Journal_Live[[#This Row],[DURATION ]]))</f>
        <v>D</v>
      </c>
      <c r="AR1304" s="182" t="s">
        <v>4529</v>
      </c>
      <c r="AS1304" s="189">
        <f>((-0.1*2)+(-0.09*2)+(-0.09*12))/16</f>
        <v>-9.1249999999999998E-2</v>
      </c>
      <c r="AT1304" s="189">
        <f t="shared" ref="AT1304:AT1324" si="382">IF(ISBLANK(AS1304),,IF(U1304="S",AD1304-AS1304,AS1304-AD1304))</f>
        <v>8.7500000000000078E-3</v>
      </c>
      <c r="AU1304" s="187">
        <f t="shared" ref="AU1304:AU1324" si="383">AV1304*R1304</f>
        <v>224.0000000000002</v>
      </c>
      <c r="AV1304" s="190">
        <f t="shared" ref="AV1304:AV1324" si="384">IF(ISBLANK(AS1304),,(AT1304*Z1304))</f>
        <v>14.000000000000012</v>
      </c>
      <c r="AW1304" s="191" t="s">
        <v>96</v>
      </c>
      <c r="AX1304" s="407"/>
      <c r="AY1304" s="407"/>
      <c r="AZ1304" s="407"/>
      <c r="BA1304" s="407"/>
      <c r="BB1304" s="407"/>
      <c r="BC1304" s="407"/>
      <c r="BD1304" s="407"/>
      <c r="BE1304" s="407"/>
      <c r="BF1304" s="422"/>
      <c r="BG1304" s="391">
        <f>SUM($AV$4:AV1304)</f>
        <v>4656.8156656883029</v>
      </c>
      <c r="BH1304" s="392">
        <f>SUM($AU$134:AU1304)</f>
        <v>26848.650666666701</v>
      </c>
      <c r="BI1304" s="318">
        <f>SUMIFS($AU$134:AU1305,$Q$134:Q1305,"F")</f>
        <v>11416.666666666668</v>
      </c>
      <c r="BJ1304" s="318">
        <f>SUMIFS($AU$134:AU1305,$Q$134:Q1305,"S")</f>
        <v>17503.642</v>
      </c>
      <c r="BK1304" s="343">
        <f>SUMIFS($AU$134:AU1305,$P$134:P1305,"W")</f>
        <v>15186.141999999927</v>
      </c>
      <c r="BL1304" s="343">
        <f>SUMIFS($AU$134:AU1305,$P$134:P1305,"R")</f>
        <v>13507.606666666656</v>
      </c>
      <c r="BM1304" s="343">
        <f>SUMIFS($AU$134:AU1305,$AQ$134:AQ1305,"M")</f>
        <v>3342.0300000001334</v>
      </c>
      <c r="BN1304" s="343">
        <f>SUMIFS($AU$134:AU1305,$AQ$134:AQ1305,"H")</f>
        <v>10065.341999999999</v>
      </c>
      <c r="BO1304" s="343">
        <f>SUMIFS($AU$134:AU1305,$AQ$134:AQ1305,"D")</f>
        <v>6754.236666666764</v>
      </c>
      <c r="BP1304" s="343">
        <f>SUMIFS($AU$134:AU1307,$AQ$134:AQ1307,"W")</f>
        <v>5395.6199999996161</v>
      </c>
      <c r="BQ1304" s="343">
        <f>SUMIFS($AU$134:AU1305,$Q$134:Q1305,"O")</f>
        <v>-1806.8579999999615</v>
      </c>
      <c r="BR1304" s="343">
        <f>SUMIFS($AU$134:AU1305,$AA$134:AA1305,"*")</f>
        <v>24682.105333333398</v>
      </c>
      <c r="BS1304" s="343">
        <f>SUMIFS($AU$134:AU1305,$AB$134:AB1305,"*")</f>
        <v>3191.7120000000268</v>
      </c>
      <c r="BT1304" s="343">
        <f>SUMIFS($AU$134:AU1305,$AC$134:AC1305,"*")</f>
        <v>15152.216666666667</v>
      </c>
      <c r="BU1304" s="343">
        <f>SUMIFS($AU$134:AU1305,$AA$134:AA1305,"*",$AB$134:AB1305,"*")</f>
        <v>2490.0000000000546</v>
      </c>
      <c r="BV1304" s="343">
        <f>SUMIFS($AU$134:AU1305,$AA$134:AA1305,"*",$AC$134:AC1305,"*")</f>
        <v>11759.983333333334</v>
      </c>
      <c r="BW1304" s="343">
        <f>SUMIFS($AU$134:AU1305,$AB$134:AB1305,"*",$AC$134:AC1305,"*")</f>
        <v>6206.6</v>
      </c>
      <c r="BX1304" s="343">
        <f>SUMIFS($AU1305:AU$1388,$Q1305:Q$1388,"F")</f>
        <v>3024</v>
      </c>
      <c r="BY1304" s="343">
        <f>SUMIFS($AU1305:AU$1388,$Q1305:Q$1388,"S")</f>
        <v>3328.0000000000005</v>
      </c>
      <c r="BZ1304" s="343">
        <f>SUMIFS($AU1305:AU$1388,$Q1305:Q$1388,"O")</f>
        <v>158.00000000016325</v>
      </c>
    </row>
    <row r="1305" spans="1:78" ht="15.75" customHeight="1">
      <c r="A1305" s="221" t="s">
        <v>4220</v>
      </c>
      <c r="B1305" s="177">
        <v>45252</v>
      </c>
      <c r="C1305" s="178" t="s">
        <v>4060</v>
      </c>
      <c r="D1305" s="178" t="s">
        <v>151</v>
      </c>
      <c r="E1305" s="227"/>
      <c r="F1305" s="180"/>
      <c r="G1305" s="281" t="s">
        <v>4147</v>
      </c>
      <c r="H1305" s="182"/>
      <c r="I1305" s="182"/>
      <c r="J1305" s="182"/>
      <c r="K1305" s="183"/>
      <c r="L1305" s="182">
        <v>1</v>
      </c>
      <c r="M1305" s="182"/>
      <c r="N1305" s="182"/>
      <c r="O1305" s="183" t="s">
        <v>95</v>
      </c>
      <c r="P1305" s="183" t="s">
        <v>137</v>
      </c>
      <c r="Q1305" s="183" t="s">
        <v>97</v>
      </c>
      <c r="R1305" s="183">
        <v>10</v>
      </c>
      <c r="S1305" s="183">
        <v>3</v>
      </c>
      <c r="T1305" s="183">
        <v>10</v>
      </c>
      <c r="U1305" s="183" t="s">
        <v>22</v>
      </c>
      <c r="V1305" s="183"/>
      <c r="W1305" s="183"/>
      <c r="X1305" s="183"/>
      <c r="Y1305" s="184">
        <f>IF(ISBLANK(O1305),"",(IF(O1305=UPPER("IB"),0.005,0.01)))</f>
        <v>0.01</v>
      </c>
      <c r="Z1305" s="185">
        <f>IF(ISBLANK(O1305),"",IF(O1305="IB",8.63*200,IF(O1305="IR",16*100,IF(O1305="YT",20*100,IF(O1305="YT-XT",24*200,IF(O1305="TED",80*100))))))</f>
        <v>1600</v>
      </c>
      <c r="AA1305" s="185" t="s">
        <v>99</v>
      </c>
      <c r="AB1305" s="185"/>
      <c r="AC1305" s="185"/>
      <c r="AD1305" s="649">
        <v>-0.04</v>
      </c>
      <c r="AE1305" s="182"/>
      <c r="AF1305" s="332"/>
      <c r="AG1305" s="182"/>
      <c r="AH1305" s="182"/>
      <c r="AI1305" s="182"/>
      <c r="AJ1305" s="640"/>
      <c r="AK1305" s="182"/>
      <c r="AL1305" s="496"/>
      <c r="AM1305" s="496"/>
      <c r="AN1305" s="626"/>
      <c r="AO1305" s="182"/>
      <c r="AP1305" s="182" t="s">
        <v>804</v>
      </c>
      <c r="AQ1305" s="332" t="str">
        <f>UPPER(RIGHT(Journal_Live[[#This Row],[DURATION ]]))</f>
        <v>D</v>
      </c>
      <c r="AR1305" s="298">
        <v>45253</v>
      </c>
      <c r="AS1305" s="189">
        <v>-0.03</v>
      </c>
      <c r="AT1305" s="189">
        <f t="shared" si="382"/>
        <v>1.0000000000000002E-2</v>
      </c>
      <c r="AU1305" s="187">
        <f t="shared" si="383"/>
        <v>160.00000000000003</v>
      </c>
      <c r="AV1305" s="190">
        <f t="shared" si="384"/>
        <v>16.000000000000004</v>
      </c>
      <c r="AW1305" s="191" t="s">
        <v>96</v>
      </c>
      <c r="AX1305" s="407"/>
      <c r="AY1305" s="407"/>
      <c r="AZ1305" s="407"/>
      <c r="BA1305" s="407"/>
      <c r="BB1305" s="407"/>
      <c r="BC1305" s="407"/>
      <c r="BD1305" s="407"/>
      <c r="BE1305" s="407"/>
      <c r="BF1305" s="422"/>
      <c r="BG1305" s="391">
        <f>SUM($AV$4:AV1305)</f>
        <v>4672.8156656883029</v>
      </c>
      <c r="BH1305" s="392">
        <f>SUM($AU$134:AU1305)</f>
        <v>27008.650666666701</v>
      </c>
      <c r="BI1305" s="318">
        <f>SUMIFS($AU$134:AU1306,$Q$134:Q1306,"F")</f>
        <v>11416.666666666668</v>
      </c>
      <c r="BJ1305" s="318">
        <f>SUMIFS($AU$134:AU1306,$Q$134:Q1306,"S")</f>
        <v>17695.642</v>
      </c>
      <c r="BK1305" s="343">
        <f>SUMIFS($AU$134:AU1306,$P$134:P1306,"W")</f>
        <v>15186.141999999927</v>
      </c>
      <c r="BL1305" s="343">
        <f>SUMIFS($AU$134:AU1306,$P$134:P1306,"R")</f>
        <v>13699.606666666656</v>
      </c>
      <c r="BM1305" s="343">
        <f>SUMIFS($AU$134:AU1306,$AQ$134:AQ1306,"M")</f>
        <v>3342.0300000001334</v>
      </c>
      <c r="BN1305" s="343">
        <f>SUMIFS($AU$134:AU1306,$AQ$134:AQ1306,"H")</f>
        <v>10065.341999999999</v>
      </c>
      <c r="BO1305" s="343">
        <f>SUMIFS($AU$134:AU1306,$AQ$134:AQ1306,"D")</f>
        <v>6946.236666666764</v>
      </c>
      <c r="BP1305" s="343">
        <f>SUMIFS($AU$134:AU1308,$AQ$134:AQ1308,"W")</f>
        <v>5395.6199999996161</v>
      </c>
      <c r="BQ1305" s="343">
        <f>SUMIFS($AU$134:AU1306,$Q$134:Q1306,"O")</f>
        <v>-1806.8579999999615</v>
      </c>
      <c r="BR1305" s="343">
        <f>SUMIFS($AU$134:AU1306,$AA$134:AA1306,"*")</f>
        <v>24874.105333333398</v>
      </c>
      <c r="BS1305" s="343">
        <f>SUMIFS($AU$134:AU1306,$AB$134:AB1306,"*")</f>
        <v>3191.7120000000268</v>
      </c>
      <c r="BT1305" s="343">
        <f>SUMIFS($AU$134:AU1306,$AC$134:AC1306,"*")</f>
        <v>15152.216666666667</v>
      </c>
      <c r="BU1305" s="343">
        <f>SUMIFS($AU$134:AU1306,$AA$134:AA1306,"*",$AB$134:AB1306,"*")</f>
        <v>2490.0000000000546</v>
      </c>
      <c r="BV1305" s="343">
        <f>SUMIFS($AU$134:AU1306,$AA$134:AA1306,"*",$AC$134:AC1306,"*")</f>
        <v>11759.983333333334</v>
      </c>
      <c r="BW1305" s="343">
        <f>SUMIFS($AU$134:AU1306,$AB$134:AB1306,"*",$AC$134:AC1306,"*")</f>
        <v>6206.6</v>
      </c>
      <c r="BX1305" s="343">
        <f>SUMIFS($AU1306:AU$1388,$Q1306:Q$1388,"F")</f>
        <v>3024</v>
      </c>
      <c r="BY1305" s="343">
        <f>SUMIFS($AU1306:AU$1388,$Q1306:Q$1388,"S")</f>
        <v>3168.0000000000005</v>
      </c>
      <c r="BZ1305" s="343">
        <f>SUMIFS($AU1306:AU$1388,$Q1306:Q$1388,"O")</f>
        <v>158.00000000016325</v>
      </c>
    </row>
    <row r="1306" spans="1:78" ht="15.75" customHeight="1">
      <c r="A1306" s="221" t="s">
        <v>4220</v>
      </c>
      <c r="B1306" s="177">
        <v>45254</v>
      </c>
      <c r="C1306" s="178" t="s">
        <v>4530</v>
      </c>
      <c r="D1306" s="178" t="s">
        <v>111</v>
      </c>
      <c r="E1306" s="227"/>
      <c r="F1306" s="180"/>
      <c r="G1306" s="281" t="s">
        <v>4147</v>
      </c>
      <c r="H1306" s="182"/>
      <c r="I1306" s="182"/>
      <c r="J1306" s="182"/>
      <c r="K1306" s="183"/>
      <c r="L1306" s="182">
        <v>1</v>
      </c>
      <c r="M1306" s="182"/>
      <c r="N1306" s="182"/>
      <c r="O1306" s="183" t="s">
        <v>95</v>
      </c>
      <c r="P1306" s="183" t="s">
        <v>137</v>
      </c>
      <c r="Q1306" s="183" t="s">
        <v>97</v>
      </c>
      <c r="R1306" s="183">
        <v>12</v>
      </c>
      <c r="S1306" s="183">
        <v>0</v>
      </c>
      <c r="T1306" s="183">
        <v>12</v>
      </c>
      <c r="U1306" s="183" t="s">
        <v>22</v>
      </c>
      <c r="V1306" s="183"/>
      <c r="W1306" s="183"/>
      <c r="X1306" s="183"/>
      <c r="Y1306" s="184">
        <f>IF(ISBLANK(O1306),"",(IF(O1306=UPPER("IB"),0.005,0.01)))</f>
        <v>0.01</v>
      </c>
      <c r="Z1306" s="185">
        <f>IF(ISBLANK(O1306),"",IF(O1306="IB",8.63*200,IF(O1306="IR",16*100,IF(O1306="YT",20*100,IF(O1306="YT-XT",24*200,IF(O1306="TED",80*100))))))</f>
        <v>1600</v>
      </c>
      <c r="AA1306" s="185" t="s">
        <v>99</v>
      </c>
      <c r="AB1306" s="185"/>
      <c r="AC1306" s="185"/>
      <c r="AD1306" s="649">
        <v>-0.04</v>
      </c>
      <c r="AE1306" s="182"/>
      <c r="AF1306" s="332"/>
      <c r="AG1306" s="182"/>
      <c r="AH1306" s="182"/>
      <c r="AI1306" s="182"/>
      <c r="AJ1306" s="640"/>
      <c r="AK1306" s="182"/>
      <c r="AL1306" s="496"/>
      <c r="AM1306" s="496"/>
      <c r="AN1306" s="626"/>
      <c r="AO1306" s="182"/>
      <c r="AP1306" s="182" t="s">
        <v>804</v>
      </c>
      <c r="AQ1306" s="332" t="str">
        <f>UPPER(RIGHT(Journal_Live[[#This Row],[DURATION ]]))</f>
        <v>D</v>
      </c>
      <c r="AR1306" s="182" t="s">
        <v>4529</v>
      </c>
      <c r="AS1306" s="189">
        <v>-0.03</v>
      </c>
      <c r="AT1306" s="189">
        <f t="shared" si="382"/>
        <v>1.0000000000000002E-2</v>
      </c>
      <c r="AU1306" s="187">
        <f t="shared" si="383"/>
        <v>192.00000000000006</v>
      </c>
      <c r="AV1306" s="190">
        <f t="shared" si="384"/>
        <v>16.000000000000004</v>
      </c>
      <c r="AW1306" s="191" t="s">
        <v>96</v>
      </c>
      <c r="AX1306" s="407" t="s">
        <v>4531</v>
      </c>
      <c r="AY1306" s="407" t="s">
        <v>4532</v>
      </c>
      <c r="AZ1306" s="407"/>
      <c r="BA1306" s="407"/>
      <c r="BB1306" s="407"/>
      <c r="BC1306" s="407"/>
      <c r="BD1306" s="407"/>
      <c r="BE1306" s="407"/>
      <c r="BF1306" s="422"/>
      <c r="BG1306" s="391">
        <f>SUM($AV$4:AV1306)</f>
        <v>4688.8156656883029</v>
      </c>
      <c r="BH1306" s="392">
        <f>SUM($AU$134:AU1306)</f>
        <v>27200.650666666701</v>
      </c>
      <c r="BI1306" s="318">
        <f>SUMIFS($AU$134:AU1307,$Q$134:Q1307,"F")</f>
        <v>11416.666666666668</v>
      </c>
      <c r="BJ1306" s="318">
        <f>SUMIFS($AU$134:AU1307,$Q$134:Q1307,"S")</f>
        <v>17695.642</v>
      </c>
      <c r="BK1306" s="343">
        <f>SUMIFS($AU$134:AU1307,$P$134:P1307,"W")</f>
        <v>15186.141999999927</v>
      </c>
      <c r="BL1306" s="343">
        <f>SUMIFS($AU$134:AU1307,$P$134:P1307,"R")</f>
        <v>13699.606666666656</v>
      </c>
      <c r="BM1306" s="343">
        <f>SUMIFS($AU$134:AU1307,$AQ$134:AQ1307,"M")</f>
        <v>3342.0300000001334</v>
      </c>
      <c r="BN1306" s="343">
        <f>SUMIFS($AU$134:AU1307,$AQ$134:AQ1307,"H")</f>
        <v>10065.341999999999</v>
      </c>
      <c r="BO1306" s="343">
        <f>SUMIFS($AU$134:AU1307,$AQ$134:AQ1307,"D")</f>
        <v>6946.236666666764</v>
      </c>
      <c r="BP1306" s="343">
        <f>SUMIFS($AU$134:AU1309,$AQ$134:AQ1309,"W")</f>
        <v>5395.6199999996161</v>
      </c>
      <c r="BQ1306" s="343">
        <f>SUMIFS($AU$134:AU1307,$Q$134:Q1307,"O")</f>
        <v>-1806.8579999999615</v>
      </c>
      <c r="BR1306" s="343">
        <f>SUMIFS($AU$134:AU1307,$AA$134:AA1307,"*")</f>
        <v>24874.105333333398</v>
      </c>
      <c r="BS1306" s="343">
        <f>SUMIFS($AU$134:AU1307,$AB$134:AB1307,"*")</f>
        <v>3191.7120000000268</v>
      </c>
      <c r="BT1306" s="343">
        <f>SUMIFS($AU$134:AU1307,$AC$134:AC1307,"*")</f>
        <v>15152.216666666667</v>
      </c>
      <c r="BU1306" s="343">
        <f>SUMIFS($AU$134:AU1307,$AA$134:AA1307,"*",$AB$134:AB1307,"*")</f>
        <v>2490.0000000000546</v>
      </c>
      <c r="BV1306" s="343">
        <f>SUMIFS($AU$134:AU1307,$AA$134:AA1307,"*",$AC$134:AC1307,"*")</f>
        <v>11759.983333333334</v>
      </c>
      <c r="BW1306" s="343">
        <f>SUMIFS($AU$134:AU1307,$AB$134:AB1307,"*",$AC$134:AC1307,"*")</f>
        <v>6206.6</v>
      </c>
      <c r="BX1306" s="343">
        <f>SUMIFS($AU1307:AU$1388,$Q1307:Q$1388,"F")</f>
        <v>3024</v>
      </c>
      <c r="BY1306" s="343">
        <f>SUMIFS($AU1307:AU$1388,$Q1307:Q$1388,"S")</f>
        <v>2976.0000000000005</v>
      </c>
      <c r="BZ1306" s="343">
        <f>SUMIFS($AU1307:AU$1388,$Q1307:Q$1388,"O")</f>
        <v>158.00000000016325</v>
      </c>
    </row>
    <row r="1307" spans="1:78" ht="15.75" customHeight="1">
      <c r="A1307" s="221" t="s">
        <v>4220</v>
      </c>
      <c r="B1307" s="177">
        <v>45257</v>
      </c>
      <c r="C1307" s="178" t="s">
        <v>4533</v>
      </c>
      <c r="D1307" s="178" t="s">
        <v>132</v>
      </c>
      <c r="E1307" s="227"/>
      <c r="F1307" s="180"/>
      <c r="G1307" s="181" t="s">
        <v>2016</v>
      </c>
      <c r="H1307" s="182"/>
      <c r="I1307" s="182"/>
      <c r="J1307" s="182"/>
      <c r="K1307" s="183"/>
      <c r="L1307" s="182"/>
      <c r="M1307" s="182"/>
      <c r="N1307" s="182"/>
      <c r="O1307" s="183"/>
      <c r="P1307" s="183"/>
      <c r="Q1307" s="183"/>
      <c r="R1307" s="183"/>
      <c r="S1307" s="183"/>
      <c r="T1307" s="183"/>
      <c r="U1307" s="183"/>
      <c r="V1307" s="183"/>
      <c r="W1307" s="183"/>
      <c r="X1307" s="183"/>
      <c r="Y1307" s="184"/>
      <c r="Z1307" s="185"/>
      <c r="AA1307" s="185"/>
      <c r="AB1307" s="185"/>
      <c r="AC1307" s="185"/>
      <c r="AD1307" s="649"/>
      <c r="AE1307" s="182"/>
      <c r="AF1307" s="332"/>
      <c r="AG1307" s="182"/>
      <c r="AH1307" s="182"/>
      <c r="AI1307" s="182"/>
      <c r="AJ1307" s="640"/>
      <c r="AK1307" s="182"/>
      <c r="AL1307" s="496">
        <f t="shared" ref="AL1307:AL1312" si="385">-0.02*Z1307</f>
        <v>0</v>
      </c>
      <c r="AM1307" s="496">
        <f t="shared" ref="AM1307:AM1314" si="386">AL1307*(R1307-S1307)</f>
        <v>0</v>
      </c>
      <c r="AN1307" s="626"/>
      <c r="AO1307" s="182"/>
      <c r="AP1307" s="182"/>
      <c r="AQ1307" s="332" t="str">
        <f>UPPER(RIGHT(Journal_Live[[#This Row],[DURATION ]]))</f>
        <v/>
      </c>
      <c r="AR1307" s="182"/>
      <c r="AS1307" s="189"/>
      <c r="AT1307" s="189">
        <f t="shared" si="382"/>
        <v>0</v>
      </c>
      <c r="AU1307" s="187">
        <f t="shared" si="383"/>
        <v>0</v>
      </c>
      <c r="AV1307" s="190">
        <f t="shared" si="384"/>
        <v>0</v>
      </c>
      <c r="AW1307" s="191"/>
      <c r="AX1307" s="407"/>
      <c r="AY1307" s="407"/>
      <c r="AZ1307" s="407"/>
      <c r="BA1307" s="407"/>
      <c r="BB1307" s="407"/>
      <c r="BC1307" s="407"/>
      <c r="BD1307" s="407"/>
      <c r="BE1307" s="407"/>
      <c r="BF1307" s="422"/>
      <c r="BG1307" s="391">
        <f>SUM($AV$4:AV1307)</f>
        <v>4688.8156656883029</v>
      </c>
      <c r="BH1307" s="392">
        <f>SUM($AU$134:AU1307)</f>
        <v>27200.650666666701</v>
      </c>
      <c r="BI1307" s="318">
        <f>SUMIFS($AU$134:AU1308,$Q$134:Q1308,"F")</f>
        <v>11416.666666666668</v>
      </c>
      <c r="BJ1307" s="318">
        <f>SUMIFS($AU$134:AU1308,$Q$134:Q1308,"S")</f>
        <v>17695.642</v>
      </c>
      <c r="BK1307" s="343">
        <f>SUMIFS($AU$134:AU1308,$P$134:P1308,"W")</f>
        <v>15186.141999999927</v>
      </c>
      <c r="BL1307" s="343">
        <f>SUMIFS($AU$134:AU1308,$P$134:P1308,"R")</f>
        <v>13699.606666666656</v>
      </c>
      <c r="BM1307" s="343">
        <f>SUMIFS($AU$134:AU1308,$AQ$134:AQ1308,"M")</f>
        <v>3342.0300000001334</v>
      </c>
      <c r="BN1307" s="343">
        <f>SUMIFS($AU$134:AU1308,$AQ$134:AQ1308,"H")</f>
        <v>10065.341999999999</v>
      </c>
      <c r="BO1307" s="343">
        <f>SUMIFS($AU$134:AU1308,$AQ$134:AQ1308,"D")</f>
        <v>6946.236666666764</v>
      </c>
      <c r="BP1307" s="343">
        <f>SUMIFS($AU$134:AU1310,$AQ$134:AQ1310,"W")</f>
        <v>5395.6199999996161</v>
      </c>
      <c r="BQ1307" s="343">
        <f>SUMIFS($AU$134:AU1308,$Q$134:Q1308,"O")</f>
        <v>-1806.8579999999615</v>
      </c>
      <c r="BR1307" s="343">
        <f>SUMIFS($AU$134:AU1308,$AA$134:AA1308,"*")</f>
        <v>24874.105333333398</v>
      </c>
      <c r="BS1307" s="343">
        <f>SUMIFS($AU$134:AU1308,$AB$134:AB1308,"*")</f>
        <v>3191.7120000000268</v>
      </c>
      <c r="BT1307" s="343">
        <f>SUMIFS($AU$134:AU1308,$AC$134:AC1308,"*")</f>
        <v>15152.216666666667</v>
      </c>
      <c r="BU1307" s="343">
        <f>SUMIFS($AU$134:AU1308,$AA$134:AA1308,"*",$AB$134:AB1308,"*")</f>
        <v>2490.0000000000546</v>
      </c>
      <c r="BV1307" s="343">
        <f>SUMIFS($AU$134:AU1308,$AA$134:AA1308,"*",$AC$134:AC1308,"*")</f>
        <v>11759.983333333334</v>
      </c>
      <c r="BW1307" s="343">
        <f>SUMIFS($AU$134:AU1308,$AB$134:AB1308,"*",$AC$134:AC1308,"*")</f>
        <v>6206.6</v>
      </c>
      <c r="BX1307" s="343">
        <f>SUMIFS($AU1308:AU$1388,$Q1308:Q$1388,"F")</f>
        <v>3024</v>
      </c>
      <c r="BY1307" s="343">
        <f>SUMIFS($AU1308:AU$1388,$Q1308:Q$1388,"S")</f>
        <v>2976.0000000000005</v>
      </c>
      <c r="BZ1307" s="343">
        <f>SUMIFS($AU1308:AU$1388,$Q1308:Q$1388,"O")</f>
        <v>158.00000000016325</v>
      </c>
    </row>
    <row r="1308" spans="1:78" ht="15.75" customHeight="1">
      <c r="A1308" s="221" t="s">
        <v>4220</v>
      </c>
      <c r="B1308" s="177">
        <v>45257</v>
      </c>
      <c r="C1308" s="178" t="s">
        <v>4534</v>
      </c>
      <c r="D1308" s="178" t="s">
        <v>132</v>
      </c>
      <c r="E1308" s="227"/>
      <c r="F1308" s="180"/>
      <c r="G1308" s="181" t="s">
        <v>2070</v>
      </c>
      <c r="H1308" s="182"/>
      <c r="I1308" s="182"/>
      <c r="J1308" s="182"/>
      <c r="K1308" s="183"/>
      <c r="L1308" s="182"/>
      <c r="M1308" s="182"/>
      <c r="N1308" s="182"/>
      <c r="O1308" s="183"/>
      <c r="P1308" s="183"/>
      <c r="Q1308" s="183"/>
      <c r="R1308" s="183"/>
      <c r="S1308" s="183"/>
      <c r="T1308" s="183"/>
      <c r="U1308" s="183"/>
      <c r="V1308" s="183"/>
      <c r="W1308" s="183"/>
      <c r="X1308" s="183"/>
      <c r="Y1308" s="184"/>
      <c r="Z1308" s="185"/>
      <c r="AA1308" s="185"/>
      <c r="AB1308" s="185"/>
      <c r="AC1308" s="185"/>
      <c r="AD1308" s="649"/>
      <c r="AE1308" s="182"/>
      <c r="AF1308" s="332"/>
      <c r="AG1308" s="182"/>
      <c r="AH1308" s="182"/>
      <c r="AI1308" s="182"/>
      <c r="AJ1308" s="640"/>
      <c r="AK1308" s="182"/>
      <c r="AL1308" s="496">
        <f t="shared" si="385"/>
        <v>0</v>
      </c>
      <c r="AM1308" s="496">
        <f t="shared" si="386"/>
        <v>0</v>
      </c>
      <c r="AN1308" s="626"/>
      <c r="AO1308" s="182"/>
      <c r="AP1308" s="182"/>
      <c r="AQ1308" s="332" t="str">
        <f>UPPER(RIGHT(Journal_Live[[#This Row],[DURATION ]]))</f>
        <v/>
      </c>
      <c r="AR1308" s="182"/>
      <c r="AS1308" s="189"/>
      <c r="AT1308" s="189">
        <f t="shared" si="382"/>
        <v>0</v>
      </c>
      <c r="AU1308" s="187">
        <f t="shared" si="383"/>
        <v>0</v>
      </c>
      <c r="AV1308" s="190">
        <f t="shared" si="384"/>
        <v>0</v>
      </c>
      <c r="AW1308" s="191"/>
      <c r="AX1308" s="407"/>
      <c r="AY1308" s="407"/>
      <c r="AZ1308" s="407"/>
      <c r="BA1308" s="407"/>
      <c r="BB1308" s="407"/>
      <c r="BC1308" s="407"/>
      <c r="BD1308" s="407"/>
      <c r="BE1308" s="407"/>
      <c r="BF1308" s="422"/>
      <c r="BG1308" s="391">
        <f>SUM($AV$4:AV1308)</f>
        <v>4688.8156656883029</v>
      </c>
      <c r="BH1308" s="392">
        <f>SUM($AU$134:AU1308)</f>
        <v>27200.650666666701</v>
      </c>
      <c r="BI1308" s="318">
        <f>SUMIFS($AU$134:AU1309,$Q$134:Q1309,"F")</f>
        <v>11416.666666666668</v>
      </c>
      <c r="BJ1308" s="318">
        <f>SUMIFS($AU$134:AU1309,$Q$134:Q1309,"S")</f>
        <v>17839.642</v>
      </c>
      <c r="BK1308" s="343">
        <f>SUMIFS($AU$134:AU1309,$P$134:P1309,"W")</f>
        <v>15186.141999999927</v>
      </c>
      <c r="BL1308" s="343">
        <f>SUMIFS($AU$134:AU1309,$P$134:P1309,"R")</f>
        <v>13843.606666666656</v>
      </c>
      <c r="BM1308" s="343">
        <f>SUMIFS($AU$134:AU1309,$AQ$134:AQ1309,"M")</f>
        <v>3342.0300000001334</v>
      </c>
      <c r="BN1308" s="343">
        <f>SUMIFS($AU$134:AU1309,$AQ$134:AQ1309,"H")</f>
        <v>10065.341999999999</v>
      </c>
      <c r="BO1308" s="343">
        <f>SUMIFS($AU$134:AU1309,$AQ$134:AQ1309,"D")</f>
        <v>7090.236666666764</v>
      </c>
      <c r="BP1308" s="343">
        <f>SUMIFS($AU$134:AU1311,$AQ$134:AQ1311,"W")</f>
        <v>5395.6199999996161</v>
      </c>
      <c r="BQ1308" s="343">
        <f>SUMIFS($AU$134:AU1309,$Q$134:Q1309,"O")</f>
        <v>-1806.8579999999615</v>
      </c>
      <c r="BR1308" s="343">
        <f>SUMIFS($AU$134:AU1309,$AA$134:AA1309,"*")</f>
        <v>25018.105333333398</v>
      </c>
      <c r="BS1308" s="343">
        <f>SUMIFS($AU$134:AU1309,$AB$134:AB1309,"*")</f>
        <v>3191.7120000000268</v>
      </c>
      <c r="BT1308" s="343">
        <f>SUMIFS($AU$134:AU1309,$AC$134:AC1309,"*")</f>
        <v>15152.216666666667</v>
      </c>
      <c r="BU1308" s="343">
        <f>SUMIFS($AU$134:AU1309,$AA$134:AA1309,"*",$AB$134:AB1309,"*")</f>
        <v>2490.0000000000546</v>
      </c>
      <c r="BV1308" s="343">
        <f>SUMIFS($AU$134:AU1309,$AA$134:AA1309,"*",$AC$134:AC1309,"*")</f>
        <v>11759.983333333334</v>
      </c>
      <c r="BW1308" s="343">
        <f>SUMIFS($AU$134:AU1309,$AB$134:AB1309,"*",$AC$134:AC1309,"*")</f>
        <v>6206.6</v>
      </c>
      <c r="BX1308" s="343">
        <f>SUMIFS($AU1309:AU$1388,$Q1309:Q$1388,"F")</f>
        <v>3024</v>
      </c>
      <c r="BY1308" s="343">
        <f>SUMIFS($AU1309:AU$1388,$Q1309:Q$1388,"S")</f>
        <v>2976.0000000000005</v>
      </c>
      <c r="BZ1308" s="343">
        <f>SUMIFS($AU1309:AU$1388,$Q1309:Q$1388,"O")</f>
        <v>158.00000000016325</v>
      </c>
    </row>
    <row r="1309" spans="1:78" ht="15.75" customHeight="1">
      <c r="A1309" s="221" t="s">
        <v>4220</v>
      </c>
      <c r="B1309" s="177">
        <v>45257</v>
      </c>
      <c r="C1309" s="178" t="s">
        <v>4535</v>
      </c>
      <c r="D1309" s="178" t="s">
        <v>132</v>
      </c>
      <c r="E1309" s="227"/>
      <c r="F1309" s="180"/>
      <c r="G1309" s="281" t="s">
        <v>4147</v>
      </c>
      <c r="H1309" s="182"/>
      <c r="I1309" s="182"/>
      <c r="J1309" s="182"/>
      <c r="K1309" s="183"/>
      <c r="L1309" s="182">
        <v>1</v>
      </c>
      <c r="M1309" s="182"/>
      <c r="N1309" s="182"/>
      <c r="O1309" s="183" t="s">
        <v>95</v>
      </c>
      <c r="P1309" s="183" t="s">
        <v>137</v>
      </c>
      <c r="Q1309" s="183" t="s">
        <v>97</v>
      </c>
      <c r="R1309" s="183">
        <v>12</v>
      </c>
      <c r="S1309" s="183">
        <v>9</v>
      </c>
      <c r="T1309" s="183">
        <v>12</v>
      </c>
      <c r="U1309" s="183" t="s">
        <v>22</v>
      </c>
      <c r="V1309" s="183"/>
      <c r="W1309" s="183"/>
      <c r="X1309" s="183"/>
      <c r="Y1309" s="184">
        <f>IF(ISBLANK(O1309),"",(IF(O1309=UPPER("IB"),0.005,0.01)))</f>
        <v>0.01</v>
      </c>
      <c r="Z1309" s="185">
        <f>IF(ISBLANK(O1309),"",IF(O1309="IB",8.63*200,IF(O1309="IR",16*100,IF(O1309="YT",20*100,IF(O1309="YT-XT",24*200,IF(O1309="TED",80*100))))))</f>
        <v>1600</v>
      </c>
      <c r="AA1309" s="185" t="s">
        <v>99</v>
      </c>
      <c r="AB1309" s="185"/>
      <c r="AC1309" s="185"/>
      <c r="AD1309" s="649">
        <v>-0.04</v>
      </c>
      <c r="AE1309" s="182"/>
      <c r="AF1309" s="332"/>
      <c r="AG1309" s="182"/>
      <c r="AH1309" s="182"/>
      <c r="AI1309" s="182"/>
      <c r="AJ1309" s="640"/>
      <c r="AK1309" s="182"/>
      <c r="AL1309" s="496">
        <f t="shared" si="385"/>
        <v>-32</v>
      </c>
      <c r="AM1309" s="496">
        <f t="shared" si="386"/>
        <v>-96</v>
      </c>
      <c r="AN1309" s="626"/>
      <c r="AO1309" s="182"/>
      <c r="AP1309" s="182" t="s">
        <v>589</v>
      </c>
      <c r="AQ1309" s="332" t="str">
        <f>UPPER(RIGHT(Journal_Live[[#This Row],[DURATION ]]))</f>
        <v>D</v>
      </c>
      <c r="AR1309" s="298">
        <v>45259</v>
      </c>
      <c r="AS1309" s="189">
        <f>((-0.03*9)+(-0.04*3))/12</f>
        <v>-3.2500000000000001E-2</v>
      </c>
      <c r="AT1309" s="189">
        <f t="shared" si="382"/>
        <v>7.4999999999999997E-3</v>
      </c>
      <c r="AU1309" s="187">
        <f t="shared" si="383"/>
        <v>144</v>
      </c>
      <c r="AV1309" s="190">
        <f t="shared" si="384"/>
        <v>12</v>
      </c>
      <c r="AW1309" s="191" t="s">
        <v>96</v>
      </c>
      <c r="AX1309" s="407"/>
      <c r="AY1309" s="407"/>
      <c r="AZ1309" s="407"/>
      <c r="BA1309" s="407"/>
      <c r="BB1309" s="407"/>
      <c r="BC1309" s="407"/>
      <c r="BD1309" s="407"/>
      <c r="BE1309" s="407"/>
      <c r="BF1309" s="422"/>
      <c r="BG1309" s="391">
        <f>SUM($AV$4:AV1309)</f>
        <v>4700.8156656883029</v>
      </c>
      <c r="BH1309" s="392">
        <f>SUM($AU$134:AU1309)</f>
        <v>27344.650666666701</v>
      </c>
      <c r="BI1309" s="318">
        <f>SUMIFS($AU$134:AU1310,$Q$134:Q1310,"F")</f>
        <v>11416.666666666668</v>
      </c>
      <c r="BJ1309" s="318">
        <f>SUMIFS($AU$134:AU1310,$Q$134:Q1310,"S")</f>
        <v>18031.642</v>
      </c>
      <c r="BK1309" s="343">
        <f>SUMIFS($AU$134:AU1310,$P$134:P1310,"W")</f>
        <v>15186.141999999927</v>
      </c>
      <c r="BL1309" s="343">
        <f>SUMIFS($AU$134:AU1310,$P$134:P1310,"R")</f>
        <v>14035.606666666656</v>
      </c>
      <c r="BM1309" s="343">
        <f>SUMIFS($AU$134:AU1310,$AQ$134:AQ1310,"M")</f>
        <v>3342.0300000001334</v>
      </c>
      <c r="BN1309" s="343">
        <f>SUMIFS($AU$134:AU1310,$AQ$134:AQ1310,"H")</f>
        <v>10257.341999999999</v>
      </c>
      <c r="BO1309" s="343">
        <f>SUMIFS($AU$134:AU1310,$AQ$134:AQ1310,"D")</f>
        <v>7090.236666666764</v>
      </c>
      <c r="BP1309" s="343">
        <f>SUMIFS($AU$134:AU1312,$AQ$134:AQ1312,"W")</f>
        <v>5395.6199999996161</v>
      </c>
      <c r="BQ1309" s="343">
        <f>SUMIFS($AU$134:AU1310,$Q$134:Q1310,"O")</f>
        <v>-1806.8579999999615</v>
      </c>
      <c r="BR1309" s="343">
        <f>SUMIFS($AU$134:AU1310,$AA$134:AA1310,"*")</f>
        <v>25210.105333333398</v>
      </c>
      <c r="BS1309" s="343">
        <f>SUMIFS($AU$134:AU1310,$AB$134:AB1310,"*")</f>
        <v>3191.7120000000268</v>
      </c>
      <c r="BT1309" s="343">
        <f>SUMIFS($AU$134:AU1310,$AC$134:AC1310,"*")</f>
        <v>15152.216666666667</v>
      </c>
      <c r="BU1309" s="343">
        <f>SUMIFS($AU$134:AU1310,$AA$134:AA1310,"*",$AB$134:AB1310,"*")</f>
        <v>2490.0000000000546</v>
      </c>
      <c r="BV1309" s="343">
        <f>SUMIFS($AU$134:AU1310,$AA$134:AA1310,"*",$AC$134:AC1310,"*")</f>
        <v>11759.983333333334</v>
      </c>
      <c r="BW1309" s="343">
        <f>SUMIFS($AU$134:AU1310,$AB$134:AB1310,"*",$AC$134:AC1310,"*")</f>
        <v>6206.6</v>
      </c>
      <c r="BX1309" s="343">
        <f>SUMIFS($AU1310:AU$1388,$Q1310:Q$1388,"F")</f>
        <v>3024</v>
      </c>
      <c r="BY1309" s="343">
        <f>SUMIFS($AU1310:AU$1388,$Q1310:Q$1388,"S")</f>
        <v>2832.0000000000005</v>
      </c>
      <c r="BZ1309" s="343">
        <f>SUMIFS($AU1310:AU$1388,$Q1310:Q$1388,"O")</f>
        <v>158.00000000016325</v>
      </c>
    </row>
    <row r="1310" spans="1:78" ht="15.75" customHeight="1">
      <c r="A1310" s="221" t="s">
        <v>4220</v>
      </c>
      <c r="B1310" s="177">
        <v>45257</v>
      </c>
      <c r="C1310" s="178" t="s">
        <v>4536</v>
      </c>
      <c r="D1310" s="178" t="s">
        <v>132</v>
      </c>
      <c r="E1310" s="227"/>
      <c r="F1310" s="180"/>
      <c r="G1310" s="281" t="s">
        <v>2942</v>
      </c>
      <c r="H1310" s="182"/>
      <c r="I1310" s="182"/>
      <c r="J1310" s="182"/>
      <c r="K1310" s="183"/>
      <c r="L1310" s="182">
        <v>1</v>
      </c>
      <c r="M1310" s="182"/>
      <c r="N1310" s="182"/>
      <c r="O1310" s="183" t="s">
        <v>95</v>
      </c>
      <c r="P1310" s="183" t="s">
        <v>137</v>
      </c>
      <c r="Q1310" s="183" t="s">
        <v>97</v>
      </c>
      <c r="R1310" s="183">
        <v>12</v>
      </c>
      <c r="S1310" s="183">
        <v>0</v>
      </c>
      <c r="T1310" s="183">
        <v>12</v>
      </c>
      <c r="U1310" s="183" t="s">
        <v>22</v>
      </c>
      <c r="V1310" s="183"/>
      <c r="W1310" s="183"/>
      <c r="X1310" s="183"/>
      <c r="Y1310" s="184">
        <f>IF(ISBLANK(O1310),"",(IF(O1310=UPPER("IB"),0.005,0.01)))</f>
        <v>0.01</v>
      </c>
      <c r="Z1310" s="185">
        <f>IF(ISBLANK(O1310),"",IF(O1310="IB",8.63*200,IF(O1310="IR",16*100,IF(O1310="YT",20*100,IF(O1310="YT-XT",24*200,IF(O1310="TED",80*100))))))</f>
        <v>1600</v>
      </c>
      <c r="AA1310" s="185" t="s">
        <v>99</v>
      </c>
      <c r="AB1310" s="185"/>
      <c r="AC1310" s="185"/>
      <c r="AD1310" s="649">
        <v>-0.09</v>
      </c>
      <c r="AE1310" s="182"/>
      <c r="AF1310" s="332"/>
      <c r="AG1310" s="182"/>
      <c r="AH1310" s="182"/>
      <c r="AI1310" s="182"/>
      <c r="AJ1310" s="640"/>
      <c r="AK1310" s="182"/>
      <c r="AL1310" s="496">
        <f t="shared" si="385"/>
        <v>-32</v>
      </c>
      <c r="AM1310" s="496">
        <f t="shared" si="386"/>
        <v>-384</v>
      </c>
      <c r="AN1310" s="626"/>
      <c r="AO1310" s="182"/>
      <c r="AP1310" s="182" t="s">
        <v>1084</v>
      </c>
      <c r="AQ1310" s="332" t="str">
        <f>UPPER(RIGHT(Journal_Live[[#This Row],[DURATION ]]))</f>
        <v>H</v>
      </c>
      <c r="AR1310" s="182" t="s">
        <v>4537</v>
      </c>
      <c r="AS1310" s="189">
        <v>-0.08</v>
      </c>
      <c r="AT1310" s="189">
        <f t="shared" si="382"/>
        <v>9.999999999999995E-3</v>
      </c>
      <c r="AU1310" s="187">
        <f t="shared" si="383"/>
        <v>191.99999999999991</v>
      </c>
      <c r="AV1310" s="190">
        <f t="shared" si="384"/>
        <v>15.999999999999993</v>
      </c>
      <c r="AW1310" s="191" t="s">
        <v>96</v>
      </c>
      <c r="AX1310" s="407"/>
      <c r="AY1310" s="407"/>
      <c r="AZ1310" s="407"/>
      <c r="BA1310" s="407"/>
      <c r="BB1310" s="407"/>
      <c r="BC1310" s="407"/>
      <c r="BD1310" s="407"/>
      <c r="BE1310" s="407"/>
      <c r="BF1310" s="422"/>
      <c r="BG1310" s="391">
        <f>SUM($AV$4:AV1310)</f>
        <v>4716.8156656883029</v>
      </c>
      <c r="BH1310" s="392">
        <f>SUM($AU$134:AU1310)</f>
        <v>27536.650666666701</v>
      </c>
      <c r="BI1310" s="318">
        <f>SUMIFS($AU$134:AU1311,$Q$134:Q1311,"F")</f>
        <v>11416.666666666668</v>
      </c>
      <c r="BJ1310" s="318">
        <f>SUMIFS($AU$134:AU1311,$Q$134:Q1311,"S")</f>
        <v>18031.642</v>
      </c>
      <c r="BK1310" s="343">
        <f>SUMIFS($AU$134:AU1311,$P$134:P1311,"W")</f>
        <v>15186.141999999927</v>
      </c>
      <c r="BL1310" s="343">
        <f>SUMIFS($AU$134:AU1311,$P$134:P1311,"R")</f>
        <v>14035.606666666656</v>
      </c>
      <c r="BM1310" s="343">
        <f>SUMIFS($AU$134:AU1311,$AQ$134:AQ1311,"M")</f>
        <v>3342.0300000001334</v>
      </c>
      <c r="BN1310" s="343">
        <f>SUMIFS($AU$134:AU1311,$AQ$134:AQ1311,"H")</f>
        <v>10257.341999999999</v>
      </c>
      <c r="BO1310" s="343">
        <f>SUMIFS($AU$134:AU1311,$AQ$134:AQ1311,"D")</f>
        <v>7090.236666666764</v>
      </c>
      <c r="BP1310" s="343">
        <f>SUMIFS($AU$134:AU1313,$AQ$134:AQ1313,"W")</f>
        <v>5395.6199999996161</v>
      </c>
      <c r="BQ1310" s="343">
        <f>SUMIFS($AU$134:AU1311,$Q$134:Q1311,"O")</f>
        <v>-1806.8579999999615</v>
      </c>
      <c r="BR1310" s="343">
        <f>SUMIFS($AU$134:AU1311,$AA$134:AA1311,"*")</f>
        <v>25210.105333333398</v>
      </c>
      <c r="BS1310" s="343">
        <f>SUMIFS($AU$134:AU1311,$AB$134:AB1311,"*")</f>
        <v>3191.7120000000268</v>
      </c>
      <c r="BT1310" s="343">
        <f>SUMIFS($AU$134:AU1311,$AC$134:AC1311,"*")</f>
        <v>15152.216666666667</v>
      </c>
      <c r="BU1310" s="343">
        <f>SUMIFS($AU$134:AU1311,$AA$134:AA1311,"*",$AB$134:AB1311,"*")</f>
        <v>2490.0000000000546</v>
      </c>
      <c r="BV1310" s="343">
        <f>SUMIFS($AU$134:AU1311,$AA$134:AA1311,"*",$AC$134:AC1311,"*")</f>
        <v>11759.983333333334</v>
      </c>
      <c r="BW1310" s="343">
        <f>SUMIFS($AU$134:AU1311,$AB$134:AB1311,"*",$AC$134:AC1311,"*")</f>
        <v>6206.6</v>
      </c>
      <c r="BX1310" s="343">
        <f>SUMIFS($AU1311:AU$1388,$Q1311:Q$1388,"F")</f>
        <v>3024</v>
      </c>
      <c r="BY1310" s="343">
        <f>SUMIFS($AU1311:AU$1388,$Q1311:Q$1388,"S")</f>
        <v>2640.0000000000005</v>
      </c>
      <c r="BZ1310" s="343">
        <f>SUMIFS($AU1311:AU$1388,$Q1311:Q$1388,"O")</f>
        <v>158.00000000016325</v>
      </c>
    </row>
    <row r="1311" spans="1:78" ht="15.75" customHeight="1">
      <c r="A1311" s="221" t="s">
        <v>4220</v>
      </c>
      <c r="B1311" s="177">
        <v>45258</v>
      </c>
      <c r="C1311" s="178" t="s">
        <v>4538</v>
      </c>
      <c r="D1311" s="178" t="s">
        <v>146</v>
      </c>
      <c r="E1311" s="227"/>
      <c r="F1311" s="180"/>
      <c r="G1311" s="181" t="s">
        <v>3334</v>
      </c>
      <c r="H1311" s="182"/>
      <c r="I1311" s="182"/>
      <c r="J1311" s="182"/>
      <c r="K1311" s="183"/>
      <c r="L1311" s="182"/>
      <c r="M1311" s="182"/>
      <c r="N1311" s="182"/>
      <c r="O1311" s="183"/>
      <c r="P1311" s="183"/>
      <c r="Q1311" s="183"/>
      <c r="R1311" s="183"/>
      <c r="S1311" s="183"/>
      <c r="T1311" s="183"/>
      <c r="U1311" s="183"/>
      <c r="V1311" s="183"/>
      <c r="W1311" s="183"/>
      <c r="X1311" s="183"/>
      <c r="Y1311" s="184"/>
      <c r="Z1311" s="185"/>
      <c r="AA1311" s="185"/>
      <c r="AB1311" s="185"/>
      <c r="AC1311" s="185"/>
      <c r="AD1311" s="649"/>
      <c r="AE1311" s="182"/>
      <c r="AF1311" s="332"/>
      <c r="AG1311" s="182"/>
      <c r="AH1311" s="182"/>
      <c r="AI1311" s="182"/>
      <c r="AJ1311" s="640"/>
      <c r="AK1311" s="182"/>
      <c r="AL1311" s="496">
        <f t="shared" si="385"/>
        <v>0</v>
      </c>
      <c r="AM1311" s="496">
        <f t="shared" si="386"/>
        <v>0</v>
      </c>
      <c r="AN1311" s="626"/>
      <c r="AO1311" s="182"/>
      <c r="AP1311" s="182"/>
      <c r="AQ1311" s="332" t="str">
        <f>UPPER(RIGHT(Journal_Live[[#This Row],[DURATION ]]))</f>
        <v/>
      </c>
      <c r="AR1311" s="182"/>
      <c r="AS1311" s="189"/>
      <c r="AT1311" s="189">
        <f t="shared" si="382"/>
        <v>0</v>
      </c>
      <c r="AU1311" s="187">
        <f t="shared" si="383"/>
        <v>0</v>
      </c>
      <c r="AV1311" s="190">
        <f t="shared" si="384"/>
        <v>0</v>
      </c>
      <c r="AW1311" s="191"/>
      <c r="AX1311" s="407"/>
      <c r="AY1311" s="407"/>
      <c r="AZ1311" s="407"/>
      <c r="BA1311" s="407"/>
      <c r="BB1311" s="407"/>
      <c r="BC1311" s="407"/>
      <c r="BD1311" s="407"/>
      <c r="BE1311" s="407"/>
      <c r="BF1311" s="422"/>
      <c r="BG1311" s="391">
        <f>SUM($AV$4:AV1311)</f>
        <v>4716.8156656883029</v>
      </c>
      <c r="BH1311" s="392">
        <f>SUM($AU$134:AU1311)</f>
        <v>27536.650666666701</v>
      </c>
      <c r="BI1311" s="318">
        <f>SUMIFS($AU$134:AU1312,$Q$134:Q1312,"F")</f>
        <v>11416.666666666668</v>
      </c>
      <c r="BJ1311" s="318">
        <f>SUMIFS($AU$134:AU1312,$Q$134:Q1312,"S")</f>
        <v>18143.642</v>
      </c>
      <c r="BK1311" s="343">
        <f>SUMIFS($AU$134:AU1312,$P$134:P1312,"W")</f>
        <v>15298.141999999927</v>
      </c>
      <c r="BL1311" s="343">
        <f>SUMIFS($AU$134:AU1312,$P$134:P1312,"R")</f>
        <v>14035.606666666656</v>
      </c>
      <c r="BM1311" s="343">
        <f>SUMIFS($AU$134:AU1312,$AQ$134:AQ1312,"M")</f>
        <v>3342.0300000001334</v>
      </c>
      <c r="BN1311" s="343">
        <f>SUMIFS($AU$134:AU1312,$AQ$134:AQ1312,"H")</f>
        <v>10369.341999999999</v>
      </c>
      <c r="BO1311" s="343">
        <f>SUMIFS($AU$134:AU1312,$AQ$134:AQ1312,"D")</f>
        <v>7090.236666666764</v>
      </c>
      <c r="BP1311" s="343">
        <f>SUMIFS($AU$134:AU1314,$AQ$134:AQ1314,"W")</f>
        <v>5395.6199999996161</v>
      </c>
      <c r="BQ1311" s="343">
        <f>SUMIFS($AU$134:AU1312,$Q$134:Q1312,"O")</f>
        <v>-1806.8579999999615</v>
      </c>
      <c r="BR1311" s="343">
        <f>SUMIFS($AU$134:AU1312,$AA$134:AA1312,"*")</f>
        <v>25322.105333333398</v>
      </c>
      <c r="BS1311" s="343">
        <f>SUMIFS($AU$134:AU1312,$AB$134:AB1312,"*")</f>
        <v>3191.7120000000268</v>
      </c>
      <c r="BT1311" s="343">
        <f>SUMIFS($AU$134:AU1312,$AC$134:AC1312,"*")</f>
        <v>15152.216666666667</v>
      </c>
      <c r="BU1311" s="343">
        <f>SUMIFS($AU$134:AU1312,$AA$134:AA1312,"*",$AB$134:AB1312,"*")</f>
        <v>2490.0000000000546</v>
      </c>
      <c r="BV1311" s="343">
        <f>SUMIFS($AU$134:AU1312,$AA$134:AA1312,"*",$AC$134:AC1312,"*")</f>
        <v>11759.983333333334</v>
      </c>
      <c r="BW1311" s="343">
        <f>SUMIFS($AU$134:AU1312,$AB$134:AB1312,"*",$AC$134:AC1312,"*")</f>
        <v>6206.6</v>
      </c>
      <c r="BX1311" s="343">
        <f>SUMIFS($AU1312:AU$1388,$Q1312:Q$1388,"F")</f>
        <v>3024</v>
      </c>
      <c r="BY1311" s="343">
        <f>SUMIFS($AU1312:AU$1388,$Q1312:Q$1388,"S")</f>
        <v>2640.0000000000005</v>
      </c>
      <c r="BZ1311" s="343">
        <f>SUMIFS($AU1312:AU$1388,$Q1312:Q$1388,"O")</f>
        <v>158.00000000016325</v>
      </c>
    </row>
    <row r="1312" spans="1:78" ht="15.75" customHeight="1">
      <c r="A1312" s="221" t="s">
        <v>4220</v>
      </c>
      <c r="B1312" s="177">
        <v>45258</v>
      </c>
      <c r="C1312" s="178" t="s">
        <v>4539</v>
      </c>
      <c r="D1312" s="178" t="s">
        <v>146</v>
      </c>
      <c r="E1312" s="227"/>
      <c r="F1312" s="180"/>
      <c r="G1312" s="281" t="s">
        <v>136</v>
      </c>
      <c r="H1312" s="182"/>
      <c r="I1312" s="182"/>
      <c r="J1312" s="182"/>
      <c r="K1312" s="183"/>
      <c r="L1312" s="182">
        <v>1</v>
      </c>
      <c r="M1312" s="182"/>
      <c r="N1312" s="182"/>
      <c r="O1312" s="183" t="s">
        <v>95</v>
      </c>
      <c r="P1312" s="183" t="s">
        <v>96</v>
      </c>
      <c r="Q1312" s="183" t="s">
        <v>97</v>
      </c>
      <c r="R1312" s="183">
        <v>7</v>
      </c>
      <c r="S1312" s="183">
        <v>0</v>
      </c>
      <c r="T1312" s="183">
        <v>7</v>
      </c>
      <c r="U1312" s="183" t="s">
        <v>22</v>
      </c>
      <c r="V1312" s="183"/>
      <c r="W1312" s="183"/>
      <c r="X1312" s="183"/>
      <c r="Y1312" s="184">
        <f>IF(ISBLANK(O1312),"",(IF(O1312=UPPER("IB"),0.005,0.01)))</f>
        <v>0.01</v>
      </c>
      <c r="Z1312" s="185">
        <f>IF(ISBLANK(O1312),"",IF(O1312="IB",8.63*200,IF(O1312="IR",16*100,IF(O1312="YT",20*100,IF(O1312="YT-XT",24*200,IF(O1312="TED",80*100))))))</f>
        <v>1600</v>
      </c>
      <c r="AA1312" s="185" t="s">
        <v>99</v>
      </c>
      <c r="AB1312" s="185"/>
      <c r="AC1312" s="185"/>
      <c r="AD1312" s="649">
        <v>-0.05</v>
      </c>
      <c r="AE1312" s="182"/>
      <c r="AF1312" s="332"/>
      <c r="AG1312" s="182"/>
      <c r="AH1312" s="182"/>
      <c r="AI1312" s="182"/>
      <c r="AJ1312" s="640"/>
      <c r="AK1312" s="182"/>
      <c r="AL1312" s="496">
        <f t="shared" si="385"/>
        <v>-32</v>
      </c>
      <c r="AM1312" s="496">
        <f t="shared" si="386"/>
        <v>-224</v>
      </c>
      <c r="AN1312" s="626"/>
      <c r="AO1312" s="182"/>
      <c r="AP1312" s="182" t="s">
        <v>1433</v>
      </c>
      <c r="AQ1312" s="332" t="str">
        <f>UPPER(RIGHT(Journal_Live[[#This Row],[DURATION ]]))</f>
        <v>H</v>
      </c>
      <c r="AR1312" s="182" t="s">
        <v>4540</v>
      </c>
      <c r="AS1312" s="189">
        <v>-0.04</v>
      </c>
      <c r="AT1312" s="189">
        <f t="shared" si="382"/>
        <v>1.0000000000000002E-2</v>
      </c>
      <c r="AU1312" s="187">
        <f t="shared" si="383"/>
        <v>112.00000000000003</v>
      </c>
      <c r="AV1312" s="190">
        <f t="shared" si="384"/>
        <v>16.000000000000004</v>
      </c>
      <c r="AW1312" s="191" t="s">
        <v>96</v>
      </c>
      <c r="AX1312" s="407"/>
      <c r="AY1312" s="407"/>
      <c r="AZ1312" s="407"/>
      <c r="BA1312" s="407"/>
      <c r="BB1312" s="407"/>
      <c r="BC1312" s="407"/>
      <c r="BD1312" s="407"/>
      <c r="BE1312" s="407"/>
      <c r="BF1312" s="422"/>
      <c r="BG1312" s="391">
        <f>SUM($AV$4:AV1312)</f>
        <v>4732.8156656883029</v>
      </c>
      <c r="BH1312" s="392">
        <f>SUM($AU$134:AU1312)</f>
        <v>27648.650666666701</v>
      </c>
      <c r="BI1312" s="318">
        <f>SUMIFS($AU$134:AU1313,$Q$134:Q1313,"F")</f>
        <v>11416.666666666668</v>
      </c>
      <c r="BJ1312" s="318">
        <f>SUMIFS($AU$134:AU1313,$Q$134:Q1313,"S")</f>
        <v>17567.642</v>
      </c>
      <c r="BK1312" s="343">
        <f>SUMIFS($AU$134:AU1313,$P$134:P1313,"W")</f>
        <v>15298.141999999927</v>
      </c>
      <c r="BL1312" s="343">
        <f>SUMIFS($AU$134:AU1313,$P$134:P1313,"R")</f>
        <v>13459.606666666656</v>
      </c>
      <c r="BM1312" s="343">
        <f>SUMIFS($AU$134:AU1313,$AQ$134:AQ1313,"M")</f>
        <v>3342.0300000001334</v>
      </c>
      <c r="BN1312" s="343">
        <f>SUMIFS($AU$134:AU1313,$AQ$134:AQ1313,"H")</f>
        <v>10369.341999999999</v>
      </c>
      <c r="BO1312" s="343">
        <f>SUMIFS($AU$134:AU1313,$AQ$134:AQ1313,"D")</f>
        <v>6514.236666666764</v>
      </c>
      <c r="BP1312" s="343">
        <f>SUMIFS($AU$134:AU1315,$AQ$134:AQ1315,"W")</f>
        <v>5395.6199999996161</v>
      </c>
      <c r="BQ1312" s="343">
        <f>SUMIFS($AU$134:AU1313,$Q$134:Q1313,"O")</f>
        <v>-1806.8579999999615</v>
      </c>
      <c r="BR1312" s="343">
        <f>SUMIFS($AU$134:AU1313,$AA$134:AA1313,"*")</f>
        <v>24746.105333333398</v>
      </c>
      <c r="BS1312" s="343">
        <f>SUMIFS($AU$134:AU1313,$AB$134:AB1313,"*")</f>
        <v>3191.7120000000268</v>
      </c>
      <c r="BT1312" s="343">
        <f>SUMIFS($AU$134:AU1313,$AC$134:AC1313,"*")</f>
        <v>15152.216666666667</v>
      </c>
      <c r="BU1312" s="343">
        <f>SUMIFS($AU$134:AU1313,$AA$134:AA1313,"*",$AB$134:AB1313,"*")</f>
        <v>2490.0000000000546</v>
      </c>
      <c r="BV1312" s="343">
        <f>SUMIFS($AU$134:AU1313,$AA$134:AA1313,"*",$AC$134:AC1313,"*")</f>
        <v>11759.983333333334</v>
      </c>
      <c r="BW1312" s="343">
        <f>SUMIFS($AU$134:AU1313,$AB$134:AB1313,"*",$AC$134:AC1313,"*")</f>
        <v>6206.6</v>
      </c>
      <c r="BX1312" s="343">
        <f>SUMIFS($AU1313:AU$1388,$Q1313:Q$1388,"F")</f>
        <v>3024</v>
      </c>
      <c r="BY1312" s="343">
        <f>SUMIFS($AU1313:AU$1388,$Q1313:Q$1388,"S")</f>
        <v>2528.0000000000005</v>
      </c>
      <c r="BZ1312" s="343">
        <f>SUMIFS($AU1313:AU$1388,$Q1313:Q$1388,"O")</f>
        <v>158.00000000016325</v>
      </c>
    </row>
    <row r="1313" spans="1:78" ht="15.75" customHeight="1">
      <c r="A1313" s="221" t="s">
        <v>4220</v>
      </c>
      <c r="B1313" s="177">
        <v>45258</v>
      </c>
      <c r="C1313" s="178" t="s">
        <v>4541</v>
      </c>
      <c r="D1313" s="178" t="s">
        <v>146</v>
      </c>
      <c r="E1313" s="227"/>
      <c r="F1313" s="180"/>
      <c r="G1313" s="281" t="s">
        <v>2070</v>
      </c>
      <c r="H1313" s="182"/>
      <c r="I1313" s="182"/>
      <c r="J1313" s="182"/>
      <c r="K1313" s="183"/>
      <c r="L1313" s="182">
        <v>1</v>
      </c>
      <c r="M1313" s="182"/>
      <c r="N1313" s="182"/>
      <c r="O1313" s="183" t="s">
        <v>95</v>
      </c>
      <c r="P1313" s="183" t="s">
        <v>137</v>
      </c>
      <c r="Q1313" s="183" t="s">
        <v>97</v>
      </c>
      <c r="R1313" s="183">
        <v>18</v>
      </c>
      <c r="S1313" s="183">
        <v>9</v>
      </c>
      <c r="T1313" s="183">
        <v>18</v>
      </c>
      <c r="U1313" s="183" t="s">
        <v>22</v>
      </c>
      <c r="V1313" s="183"/>
      <c r="W1313" s="183"/>
      <c r="X1313" s="183"/>
      <c r="Y1313" s="184">
        <f>IF(ISBLANK(O1313),"",(IF(O1313=UPPER("IB"),0.005,0.01)))</f>
        <v>0.01</v>
      </c>
      <c r="Z1313" s="185">
        <f>IF(ISBLANK(O1313),"",IF(O1313="IB",8.63*200,IF(O1313="IR",16*100,IF(O1313="YT",20*100,IF(O1313="YT-XT",24*200,IF(O1313="TED",80*100))))))</f>
        <v>1600</v>
      </c>
      <c r="AA1313" s="185" t="s">
        <v>99</v>
      </c>
      <c r="AB1313" s="185"/>
      <c r="AC1313" s="185"/>
      <c r="AD1313" s="649">
        <v>-0.1</v>
      </c>
      <c r="AE1313" s="182"/>
      <c r="AF1313" s="332"/>
      <c r="AG1313" s="182"/>
      <c r="AH1313" s="182"/>
      <c r="AI1313" s="182"/>
      <c r="AJ1313" s="644" t="s">
        <v>4542</v>
      </c>
      <c r="AK1313" s="182"/>
      <c r="AL1313" s="496">
        <f>-0.03*Z1313</f>
        <v>-48</v>
      </c>
      <c r="AM1313" s="496">
        <f t="shared" si="386"/>
        <v>-432</v>
      </c>
      <c r="AN1313" s="626"/>
      <c r="AO1313" s="182"/>
      <c r="AP1313" s="182" t="s">
        <v>804</v>
      </c>
      <c r="AQ1313" s="332" t="str">
        <f>UPPER(RIGHT(Journal_Live[[#This Row],[DURATION ]]))</f>
        <v>D</v>
      </c>
      <c r="AR1313" s="298">
        <v>45260</v>
      </c>
      <c r="AS1313" s="189">
        <v>-0.12</v>
      </c>
      <c r="AT1313" s="189">
        <f t="shared" si="382"/>
        <v>-1.999999999999999E-2</v>
      </c>
      <c r="AU1313" s="187">
        <f t="shared" si="383"/>
        <v>-575.99999999999977</v>
      </c>
      <c r="AV1313" s="190">
        <f t="shared" si="384"/>
        <v>-31.999999999999986</v>
      </c>
      <c r="AW1313" s="191" t="s">
        <v>229</v>
      </c>
      <c r="AX1313" s="407" t="s">
        <v>4543</v>
      </c>
      <c r="AY1313" s="407" t="s">
        <v>4544</v>
      </c>
      <c r="AZ1313" s="407" t="s">
        <v>4545</v>
      </c>
      <c r="BA1313" s="407" t="s">
        <v>4546</v>
      </c>
      <c r="BB1313" s="407"/>
      <c r="BC1313" s="407"/>
      <c r="BD1313" s="407"/>
      <c r="BE1313" s="407"/>
      <c r="BF1313" s="422"/>
      <c r="BG1313" s="391">
        <f>SUM($AV$4:AV1313)</f>
        <v>4700.8156656883029</v>
      </c>
      <c r="BH1313" s="392">
        <f>SUM($AU$134:AU1313)</f>
        <v>27072.650666666701</v>
      </c>
      <c r="BI1313" s="318">
        <f>SUMIFS($AU$134:AU1314,$Q$134:Q1314,"F")</f>
        <v>11416.666666666668</v>
      </c>
      <c r="BJ1313" s="318">
        <f>SUMIFS($AU$134:AU1314,$Q$134:Q1314,"S")</f>
        <v>17455.642</v>
      </c>
      <c r="BK1313" s="343">
        <f>SUMIFS($AU$134:AU1314,$P$134:P1314,"W")</f>
        <v>15186.141999999927</v>
      </c>
      <c r="BL1313" s="343">
        <f>SUMIFS($AU$134:AU1314,$P$134:P1314,"R")</f>
        <v>13459.606666666656</v>
      </c>
      <c r="BM1313" s="343">
        <f>SUMIFS($AU$134:AU1314,$AQ$134:AQ1314,"M")</f>
        <v>3342.0300000001334</v>
      </c>
      <c r="BN1313" s="343">
        <f>SUMIFS($AU$134:AU1314,$AQ$134:AQ1314,"H")</f>
        <v>10257.341999999999</v>
      </c>
      <c r="BO1313" s="343">
        <f>SUMIFS($AU$134:AU1314,$AQ$134:AQ1314,"D")</f>
        <v>6514.236666666764</v>
      </c>
      <c r="BP1313" s="343">
        <f>SUMIFS($AU$134:AU1316,$AQ$134:AQ1316,"W")</f>
        <v>5395.6199999996161</v>
      </c>
      <c r="BQ1313" s="343">
        <f>SUMIFS($AU$134:AU1314,$Q$134:Q1314,"O")</f>
        <v>-1806.8579999999615</v>
      </c>
      <c r="BR1313" s="343">
        <f>SUMIFS($AU$134:AU1314,$AA$134:AA1314,"*")</f>
        <v>24634.105333333398</v>
      </c>
      <c r="BS1313" s="343">
        <f>SUMIFS($AU$134:AU1314,$AB$134:AB1314,"*")</f>
        <v>3191.7120000000268</v>
      </c>
      <c r="BT1313" s="343">
        <f>SUMIFS($AU$134:AU1314,$AC$134:AC1314,"*")</f>
        <v>15152.216666666667</v>
      </c>
      <c r="BU1313" s="343">
        <f>SUMIFS($AU$134:AU1314,$AA$134:AA1314,"*",$AB$134:AB1314,"*")</f>
        <v>2490.0000000000546</v>
      </c>
      <c r="BV1313" s="343">
        <f>SUMIFS($AU$134:AU1314,$AA$134:AA1314,"*",$AC$134:AC1314,"*")</f>
        <v>11759.983333333334</v>
      </c>
      <c r="BW1313" s="343">
        <f>SUMIFS($AU$134:AU1314,$AB$134:AB1314,"*",$AC$134:AC1314,"*")</f>
        <v>6206.6</v>
      </c>
      <c r="BX1313" s="343">
        <f>SUMIFS($AU1314:AU$1388,$Q1314:Q$1388,"F")</f>
        <v>3024</v>
      </c>
      <c r="BY1313" s="343">
        <f>SUMIFS($AU1314:AU$1388,$Q1314:Q$1388,"S")</f>
        <v>3104.0000000000005</v>
      </c>
      <c r="BZ1313" s="343">
        <f>SUMIFS($AU1314:AU$1388,$Q1314:Q$1388,"O")</f>
        <v>158.00000000016325</v>
      </c>
    </row>
    <row r="1314" spans="1:78" ht="15.75" customHeight="1">
      <c r="A1314" s="221" t="s">
        <v>4220</v>
      </c>
      <c r="B1314" s="177">
        <v>45258</v>
      </c>
      <c r="C1314" s="178" t="s">
        <v>4547</v>
      </c>
      <c r="D1314" s="178" t="s">
        <v>146</v>
      </c>
      <c r="E1314" s="227"/>
      <c r="F1314" s="180"/>
      <c r="G1314" s="281" t="s">
        <v>2016</v>
      </c>
      <c r="H1314" s="182"/>
      <c r="I1314" s="182"/>
      <c r="J1314" s="182"/>
      <c r="K1314" s="183"/>
      <c r="L1314" s="182">
        <v>1</v>
      </c>
      <c r="M1314" s="182"/>
      <c r="N1314" s="182"/>
      <c r="O1314" s="183" t="s">
        <v>95</v>
      </c>
      <c r="P1314" s="183" t="s">
        <v>96</v>
      </c>
      <c r="Q1314" s="183" t="s">
        <v>97</v>
      </c>
      <c r="R1314" s="183">
        <v>16</v>
      </c>
      <c r="S1314" s="183">
        <v>16</v>
      </c>
      <c r="T1314" s="183">
        <v>7</v>
      </c>
      <c r="U1314" s="183" t="s">
        <v>22</v>
      </c>
      <c r="V1314" s="183"/>
      <c r="W1314" s="183"/>
      <c r="X1314" s="183"/>
      <c r="Y1314" s="184">
        <f>IF(ISBLANK(O1314),"",(IF(O1314=UPPER("IB"),0.005,0.01)))</f>
        <v>0.01</v>
      </c>
      <c r="Z1314" s="185">
        <f>IF(ISBLANK(O1314),"",IF(O1314="IB",8.63*200,IF(O1314="IR",16*100,IF(O1314="YT",20*100,IF(O1314="YT-XT",24*200,IF(O1314="TED",80*100))))))</f>
        <v>1600</v>
      </c>
      <c r="AA1314" s="185" t="s">
        <v>99</v>
      </c>
      <c r="AB1314" s="185"/>
      <c r="AC1314" s="185"/>
      <c r="AD1314" s="649">
        <f>((-0.09*7)+(-0.1*9))/16</f>
        <v>-9.5625000000000002E-2</v>
      </c>
      <c r="AE1314" s="182"/>
      <c r="AF1314" s="332"/>
      <c r="AG1314" s="182"/>
      <c r="AH1314" s="182"/>
      <c r="AI1314" s="182"/>
      <c r="AJ1314" s="640"/>
      <c r="AK1314" s="182"/>
      <c r="AL1314" s="496">
        <f>-0.03*Z1314</f>
        <v>-48</v>
      </c>
      <c r="AM1314" s="496">
        <f t="shared" si="386"/>
        <v>0</v>
      </c>
      <c r="AN1314" s="626"/>
      <c r="AO1314" s="182"/>
      <c r="AP1314" s="182" t="s">
        <v>1084</v>
      </c>
      <c r="AQ1314" s="332" t="str">
        <f>UPPER(RIGHT(Journal_Live[[#This Row],[DURATION ]]))</f>
        <v>H</v>
      </c>
      <c r="AR1314" s="182" t="s">
        <v>3342</v>
      </c>
      <c r="AS1314" s="189">
        <v>-0.1</v>
      </c>
      <c r="AT1314" s="189">
        <f t="shared" si="382"/>
        <v>-4.3750000000000039E-3</v>
      </c>
      <c r="AU1314" s="187">
        <f t="shared" si="383"/>
        <v>-112.0000000000001</v>
      </c>
      <c r="AV1314" s="190">
        <f t="shared" si="384"/>
        <v>-7.0000000000000062</v>
      </c>
      <c r="AW1314" s="191" t="s">
        <v>229</v>
      </c>
      <c r="AX1314" s="407"/>
      <c r="AY1314" s="407"/>
      <c r="AZ1314" s="407"/>
      <c r="BA1314" s="407"/>
      <c r="BB1314" s="407"/>
      <c r="BC1314" s="407"/>
      <c r="BD1314" s="407"/>
      <c r="BE1314" s="407"/>
      <c r="BF1314" s="422"/>
      <c r="BG1314" s="391">
        <f>SUM($AV$4:AV1314)</f>
        <v>4693.8156656883029</v>
      </c>
      <c r="BH1314" s="392">
        <f>SUM($AU$134:AU1314)</f>
        <v>26960.650666666701</v>
      </c>
      <c r="BI1314" s="318">
        <f>SUMIFS($AU$134:AU1315,$Q$134:Q1315,"F")</f>
        <v>11416.666666666668</v>
      </c>
      <c r="BJ1314" s="318">
        <f>SUMIFS($AU$134:AU1315,$Q$134:Q1315,"S")</f>
        <v>17455.642</v>
      </c>
      <c r="BK1314" s="343">
        <f>SUMIFS($AU$134:AU1315,$P$134:P1315,"W")</f>
        <v>15186.141999999927</v>
      </c>
      <c r="BL1314" s="343">
        <f>SUMIFS($AU$134:AU1315,$P$134:P1315,"R")</f>
        <v>13459.606666666656</v>
      </c>
      <c r="BM1314" s="343">
        <f>SUMIFS($AU$134:AU1315,$AQ$134:AQ1315,"M")</f>
        <v>3342.0300000001334</v>
      </c>
      <c r="BN1314" s="343">
        <f>SUMIFS($AU$134:AU1315,$AQ$134:AQ1315,"H")</f>
        <v>10257.341999999999</v>
      </c>
      <c r="BO1314" s="343">
        <f>SUMIFS($AU$134:AU1315,$AQ$134:AQ1315,"D")</f>
        <v>6514.236666666764</v>
      </c>
      <c r="BP1314" s="343">
        <f>SUMIFS($AU$134:AU1317,$AQ$134:AQ1317,"W")</f>
        <v>5395.6199999996161</v>
      </c>
      <c r="BQ1314" s="343">
        <f>SUMIFS($AU$134:AU1315,$Q$134:Q1315,"O")</f>
        <v>-1806.8579999999615</v>
      </c>
      <c r="BR1314" s="343">
        <f>SUMIFS($AU$134:AU1315,$AA$134:AA1315,"*")</f>
        <v>24634.105333333398</v>
      </c>
      <c r="BS1314" s="343">
        <f>SUMIFS($AU$134:AU1315,$AB$134:AB1315,"*")</f>
        <v>3191.7120000000268</v>
      </c>
      <c r="BT1314" s="343">
        <f>SUMIFS($AU$134:AU1315,$AC$134:AC1315,"*")</f>
        <v>15152.216666666667</v>
      </c>
      <c r="BU1314" s="343">
        <f>SUMIFS($AU$134:AU1315,$AA$134:AA1315,"*",$AB$134:AB1315,"*")</f>
        <v>2490.0000000000546</v>
      </c>
      <c r="BV1314" s="343">
        <f>SUMIFS($AU$134:AU1315,$AA$134:AA1315,"*",$AC$134:AC1315,"*")</f>
        <v>11759.983333333334</v>
      </c>
      <c r="BW1314" s="343">
        <f>SUMIFS($AU$134:AU1315,$AB$134:AB1315,"*",$AC$134:AC1315,"*")</f>
        <v>6206.6</v>
      </c>
      <c r="BX1314" s="343">
        <f>SUMIFS($AU1315:AU$1388,$Q1315:Q$1388,"F")</f>
        <v>3024</v>
      </c>
      <c r="BY1314" s="343">
        <f>SUMIFS($AU1315:AU$1388,$Q1315:Q$1388,"S")</f>
        <v>3216.0000000000005</v>
      </c>
      <c r="BZ1314" s="343">
        <f>SUMIFS($AU1315:AU$1388,$Q1315:Q$1388,"O")</f>
        <v>158.00000000016325</v>
      </c>
    </row>
    <row r="1315" spans="1:78" ht="15.75" customHeight="1">
      <c r="A1315" s="221" t="s">
        <v>4220</v>
      </c>
      <c r="B1315" s="177">
        <v>45258</v>
      </c>
      <c r="C1315" s="178" t="s">
        <v>4547</v>
      </c>
      <c r="D1315" s="178" t="s">
        <v>146</v>
      </c>
      <c r="E1315" s="227"/>
      <c r="F1315" s="180"/>
      <c r="G1315" s="181" t="s">
        <v>2016</v>
      </c>
      <c r="H1315" s="182"/>
      <c r="I1315" s="182"/>
      <c r="J1315" s="182"/>
      <c r="K1315" s="183"/>
      <c r="L1315" s="182"/>
      <c r="M1315" s="182"/>
      <c r="N1315" s="182"/>
      <c r="O1315" s="183"/>
      <c r="P1315" s="183"/>
      <c r="Q1315" s="183"/>
      <c r="R1315" s="183"/>
      <c r="S1315" s="183"/>
      <c r="T1315" s="183"/>
      <c r="U1315" s="183"/>
      <c r="V1315" s="183"/>
      <c r="W1315" s="183"/>
      <c r="X1315" s="183"/>
      <c r="Y1315" s="184"/>
      <c r="Z1315" s="185"/>
      <c r="AA1315" s="185"/>
      <c r="AB1315" s="185"/>
      <c r="AC1315" s="185"/>
      <c r="AD1315" s="649"/>
      <c r="AE1315" s="182"/>
      <c r="AF1315" s="332"/>
      <c r="AG1315" s="182"/>
      <c r="AH1315" s="182"/>
      <c r="AI1315" s="182"/>
      <c r="AJ1315" s="640"/>
      <c r="AK1315" s="182"/>
      <c r="AL1315" s="496"/>
      <c r="AM1315" s="496"/>
      <c r="AN1315" s="626"/>
      <c r="AO1315" s="182"/>
      <c r="AP1315" s="182"/>
      <c r="AQ1315" s="332" t="str">
        <f>UPPER(RIGHT(Journal_Live[[#This Row],[DURATION ]]))</f>
        <v/>
      </c>
      <c r="AR1315" s="182"/>
      <c r="AS1315" s="189"/>
      <c r="AT1315" s="189">
        <f t="shared" si="382"/>
        <v>0</v>
      </c>
      <c r="AU1315" s="187">
        <f t="shared" si="383"/>
        <v>0</v>
      </c>
      <c r="AV1315" s="190">
        <f t="shared" si="384"/>
        <v>0</v>
      </c>
      <c r="AW1315" s="191"/>
      <c r="AX1315" s="407"/>
      <c r="AY1315" s="407"/>
      <c r="AZ1315" s="407"/>
      <c r="BA1315" s="407"/>
      <c r="BB1315" s="407"/>
      <c r="BC1315" s="407"/>
      <c r="BD1315" s="407"/>
      <c r="BE1315" s="407"/>
      <c r="BF1315" s="422"/>
      <c r="BG1315" s="391">
        <f>SUM($AV$4:AV1315)</f>
        <v>4693.8156656883029</v>
      </c>
      <c r="BH1315" s="392">
        <f>SUM($AU$134:AU1315)</f>
        <v>26960.650666666701</v>
      </c>
      <c r="BI1315" s="318">
        <f>SUMIFS($AU$134:AU1316,$Q$134:Q1316,"F")</f>
        <v>11416.666666666668</v>
      </c>
      <c r="BJ1315" s="318">
        <f>SUMIFS($AU$134:AU1316,$Q$134:Q1316,"S")</f>
        <v>17455.642</v>
      </c>
      <c r="BK1315" s="343">
        <f>SUMIFS($AU$134:AU1316,$P$134:P1316,"W")</f>
        <v>15186.141999999927</v>
      </c>
      <c r="BL1315" s="343">
        <f>SUMIFS($AU$134:AU1316,$P$134:P1316,"R")</f>
        <v>13459.606666666656</v>
      </c>
      <c r="BM1315" s="343">
        <f>SUMIFS($AU$134:AU1316,$AQ$134:AQ1316,"M")</f>
        <v>3342.0300000001334</v>
      </c>
      <c r="BN1315" s="343">
        <f>SUMIFS($AU$134:AU1316,$AQ$134:AQ1316,"H")</f>
        <v>10257.341999999999</v>
      </c>
      <c r="BO1315" s="343">
        <f>SUMIFS($AU$134:AU1316,$AQ$134:AQ1316,"D")</f>
        <v>6514.236666666764</v>
      </c>
      <c r="BP1315" s="343">
        <f>SUMIFS($AU$134:AU1318,$AQ$134:AQ1318,"W")</f>
        <v>5395.6199999996161</v>
      </c>
      <c r="BQ1315" s="343">
        <f>SUMIFS($AU$134:AU1316,$Q$134:Q1316,"O")</f>
        <v>-1806.8579999999615</v>
      </c>
      <c r="BR1315" s="343">
        <f>SUMIFS($AU$134:AU1316,$AA$134:AA1316,"*")</f>
        <v>24634.105333333398</v>
      </c>
      <c r="BS1315" s="343">
        <f>SUMIFS($AU$134:AU1316,$AB$134:AB1316,"*")</f>
        <v>3191.7120000000268</v>
      </c>
      <c r="BT1315" s="343">
        <f>SUMIFS($AU$134:AU1316,$AC$134:AC1316,"*")</f>
        <v>15152.216666666667</v>
      </c>
      <c r="BU1315" s="343">
        <f>SUMIFS($AU$134:AU1316,$AA$134:AA1316,"*",$AB$134:AB1316,"*")</f>
        <v>2490.0000000000546</v>
      </c>
      <c r="BV1315" s="343">
        <f>SUMIFS($AU$134:AU1316,$AA$134:AA1316,"*",$AC$134:AC1316,"*")</f>
        <v>11759.983333333334</v>
      </c>
      <c r="BW1315" s="343">
        <f>SUMIFS($AU$134:AU1316,$AB$134:AB1316,"*",$AC$134:AC1316,"*")</f>
        <v>6206.6</v>
      </c>
      <c r="BX1315" s="343">
        <f>SUMIFS($AU1316:AU$1388,$Q1316:Q$1388,"F")</f>
        <v>3024</v>
      </c>
      <c r="BY1315" s="343">
        <f>SUMIFS($AU1316:AU$1388,$Q1316:Q$1388,"S")</f>
        <v>3216.0000000000005</v>
      </c>
      <c r="BZ1315" s="343">
        <f>SUMIFS($AU1316:AU$1388,$Q1316:Q$1388,"O")</f>
        <v>158.00000000016325</v>
      </c>
    </row>
    <row r="1316" spans="1:78" ht="15.75" customHeight="1">
      <c r="A1316" s="221" t="s">
        <v>4220</v>
      </c>
      <c r="B1316" s="177">
        <v>45259</v>
      </c>
      <c r="C1316" s="178" t="s">
        <v>1255</v>
      </c>
      <c r="D1316" s="178" t="s">
        <v>151</v>
      </c>
      <c r="E1316" s="227" t="s">
        <v>4548</v>
      </c>
      <c r="F1316" s="180" t="s">
        <v>4549</v>
      </c>
      <c r="G1316" s="181"/>
      <c r="H1316" s="182"/>
      <c r="I1316" s="182"/>
      <c r="J1316" s="182">
        <v>1</v>
      </c>
      <c r="K1316" s="183" t="s">
        <v>115</v>
      </c>
      <c r="L1316" s="182"/>
      <c r="M1316" s="182"/>
      <c r="N1316" s="182"/>
      <c r="O1316" s="183"/>
      <c r="P1316" s="183"/>
      <c r="Q1316" s="183"/>
      <c r="R1316" s="183"/>
      <c r="S1316" s="183"/>
      <c r="T1316" s="183"/>
      <c r="U1316" s="183"/>
      <c r="V1316" s="183"/>
      <c r="W1316" s="183"/>
      <c r="X1316" s="183"/>
      <c r="Y1316" s="183"/>
      <c r="Z1316" s="185" t="str">
        <f>IF(ISBLANK(O1316),"",IF(O1316="IB",8.63*200,IF(O1316="IR",16*100,IF(O1316="YT",20*100,IF(O1316="YT-XT",24*200,IF(O1316="TED",80*100))))))</f>
        <v/>
      </c>
      <c r="AA1316" s="185"/>
      <c r="AB1316" s="185"/>
      <c r="AC1316" s="185"/>
      <c r="AD1316" s="649"/>
      <c r="AE1316" s="182"/>
      <c r="AF1316" s="332"/>
      <c r="AG1316" s="182"/>
      <c r="AH1316" s="182"/>
      <c r="AI1316" s="182"/>
      <c r="AJ1316" s="640"/>
      <c r="AK1316" s="182"/>
      <c r="AL1316" s="496"/>
      <c r="AM1316" s="496"/>
      <c r="AN1316" s="626"/>
      <c r="AO1316" s="182"/>
      <c r="AP1316" s="182"/>
      <c r="AQ1316" s="332" t="str">
        <f>UPPER(RIGHT(Journal_Live[[#This Row],[DURATION ]]))</f>
        <v/>
      </c>
      <c r="AR1316" s="182"/>
      <c r="AS1316" s="189"/>
      <c r="AT1316" s="189">
        <f t="shared" si="382"/>
        <v>0</v>
      </c>
      <c r="AU1316" s="187">
        <f t="shared" si="383"/>
        <v>0</v>
      </c>
      <c r="AV1316" s="190">
        <f t="shared" si="384"/>
        <v>0</v>
      </c>
      <c r="AW1316" s="191"/>
      <c r="AX1316" s="407" t="s">
        <v>4550</v>
      </c>
      <c r="AY1316" s="407" t="s">
        <v>4551</v>
      </c>
      <c r="AZ1316" s="407" t="s">
        <v>4552</v>
      </c>
      <c r="BA1316" s="407" t="s">
        <v>4553</v>
      </c>
      <c r="BB1316" s="407" t="s">
        <v>4554</v>
      </c>
      <c r="BC1316" s="407"/>
      <c r="BD1316" s="407"/>
      <c r="BE1316" s="407"/>
      <c r="BF1316" s="422"/>
      <c r="BG1316" s="391">
        <f>SUM($AV$4:AV1316)</f>
        <v>4693.8156656883029</v>
      </c>
      <c r="BH1316" s="392">
        <f>SUM($AU$134:AU1316)</f>
        <v>26960.650666666701</v>
      </c>
      <c r="BI1316" s="318">
        <f>SUMIFS($AU$134:AU1317,$Q$134:Q1317,"F")</f>
        <v>11416.666666666668</v>
      </c>
      <c r="BJ1316" s="318">
        <f>SUMIFS($AU$134:AU1317,$Q$134:Q1317,"S")</f>
        <v>17455.642</v>
      </c>
      <c r="BK1316" s="343">
        <f>SUMIFS($AU$134:AU1317,$P$134:P1317,"W")</f>
        <v>15186.141999999927</v>
      </c>
      <c r="BL1316" s="343">
        <f>SUMIFS($AU$134:AU1317,$P$134:P1317,"R")</f>
        <v>13459.606666666656</v>
      </c>
      <c r="BM1316" s="343">
        <f>SUMIFS($AU$134:AU1317,$AQ$134:AQ1317,"M")</f>
        <v>3342.0300000001334</v>
      </c>
      <c r="BN1316" s="343">
        <f>SUMIFS($AU$134:AU1317,$AQ$134:AQ1317,"H")</f>
        <v>10257.341999999999</v>
      </c>
      <c r="BO1316" s="343">
        <f>SUMIFS($AU$134:AU1317,$AQ$134:AQ1317,"D")</f>
        <v>6514.236666666764</v>
      </c>
      <c r="BP1316" s="343">
        <f>SUMIFS($AU$134:AU1319,$AQ$134:AQ1319,"W")</f>
        <v>5395.6199999996161</v>
      </c>
      <c r="BQ1316" s="343">
        <f>SUMIFS($AU$134:AU1317,$Q$134:Q1317,"O")</f>
        <v>-1806.8579999999615</v>
      </c>
      <c r="BR1316" s="343">
        <f>SUMIFS($AU$134:AU1317,$AA$134:AA1317,"*")</f>
        <v>24634.105333333398</v>
      </c>
      <c r="BS1316" s="343">
        <f>SUMIFS($AU$134:AU1317,$AB$134:AB1317,"*")</f>
        <v>3191.7120000000268</v>
      </c>
      <c r="BT1316" s="343">
        <f>SUMIFS($AU$134:AU1317,$AC$134:AC1317,"*")</f>
        <v>15152.216666666667</v>
      </c>
      <c r="BU1316" s="343">
        <f>SUMIFS($AU$134:AU1317,$AA$134:AA1317,"*",$AB$134:AB1317,"*")</f>
        <v>2490.0000000000546</v>
      </c>
      <c r="BV1316" s="343">
        <f>SUMIFS($AU$134:AU1317,$AA$134:AA1317,"*",$AC$134:AC1317,"*")</f>
        <v>11759.983333333334</v>
      </c>
      <c r="BW1316" s="343">
        <f>SUMIFS($AU$134:AU1317,$AB$134:AB1317,"*",$AC$134:AC1317,"*")</f>
        <v>6206.6</v>
      </c>
      <c r="BX1316" s="343">
        <f>SUMIFS($AU1317:AU$1388,$Q1317:Q$1388,"F")</f>
        <v>3024</v>
      </c>
      <c r="BY1316" s="343">
        <f>SUMIFS($AU1317:AU$1388,$Q1317:Q$1388,"S")</f>
        <v>3216.0000000000005</v>
      </c>
      <c r="BZ1316" s="343">
        <f>SUMIFS($AU1317:AU$1388,$Q1317:Q$1388,"O")</f>
        <v>158.00000000016325</v>
      </c>
    </row>
    <row r="1317" spans="1:78" ht="15.75" customHeight="1">
      <c r="A1317" s="221" t="s">
        <v>4220</v>
      </c>
      <c r="B1317" s="177">
        <v>45259</v>
      </c>
      <c r="C1317" s="178" t="s">
        <v>728</v>
      </c>
      <c r="D1317" s="178" t="s">
        <v>151</v>
      </c>
      <c r="E1317" s="227"/>
      <c r="F1317" s="180"/>
      <c r="G1317" s="281" t="s">
        <v>181</v>
      </c>
      <c r="H1317" s="182"/>
      <c r="I1317" s="182"/>
      <c r="J1317" s="182"/>
      <c r="K1317" s="183"/>
      <c r="L1317" s="182">
        <v>1</v>
      </c>
      <c r="M1317" s="182"/>
      <c r="N1317" s="182"/>
      <c r="O1317" s="183" t="s">
        <v>95</v>
      </c>
      <c r="P1317" s="183" t="s">
        <v>96</v>
      </c>
      <c r="Q1317" s="183" t="s">
        <v>97</v>
      </c>
      <c r="R1317" s="183">
        <v>7</v>
      </c>
      <c r="S1317" s="183">
        <v>0</v>
      </c>
      <c r="T1317" s="183">
        <v>7</v>
      </c>
      <c r="U1317" s="183" t="s">
        <v>22</v>
      </c>
      <c r="V1317" s="183"/>
      <c r="W1317" s="183"/>
      <c r="X1317" s="183"/>
      <c r="Y1317" s="184">
        <f>IF(ISBLANK(O1317),"",(IF(O1317=UPPER("IB"),0.005,0.01)))</f>
        <v>0.01</v>
      </c>
      <c r="Z1317" s="185">
        <f>IF(ISBLANK(O1317),"",IF(O1317="IB",8.63*200,IF(O1317="IR",16*100,IF(O1317="YT",20*100,IF(O1317="YT-XT",24*200,IF(O1317="TED",80*100))))))</f>
        <v>1600</v>
      </c>
      <c r="AA1317" s="185" t="s">
        <v>4555</v>
      </c>
      <c r="AB1317" s="185"/>
      <c r="AC1317" s="185"/>
      <c r="AD1317" s="649">
        <v>0.01</v>
      </c>
      <c r="AE1317" s="182"/>
      <c r="AF1317" s="332"/>
      <c r="AG1317" s="182"/>
      <c r="AH1317" s="182"/>
      <c r="AI1317" s="182"/>
      <c r="AJ1317" s="640"/>
      <c r="AK1317" s="182"/>
      <c r="AL1317" s="496">
        <f t="shared" ref="AL1317:AL1318" si="387">-0.03*Z1317</f>
        <v>-48</v>
      </c>
      <c r="AM1317" s="496">
        <f>AL1317*(R1317-S1317)</f>
        <v>-336</v>
      </c>
      <c r="AN1317" s="626"/>
      <c r="AO1317" s="182"/>
      <c r="AP1317" s="182" t="s">
        <v>942</v>
      </c>
      <c r="AQ1317" s="332" t="str">
        <f>UPPER(RIGHT(Journal_Live[[#This Row],[DURATION ]]))</f>
        <v>H</v>
      </c>
      <c r="AR1317" s="182" t="s">
        <v>4556</v>
      </c>
      <c r="AS1317" s="189">
        <v>0.01</v>
      </c>
      <c r="AT1317" s="189">
        <f t="shared" si="382"/>
        <v>0</v>
      </c>
      <c r="AU1317" s="187">
        <f t="shared" si="383"/>
        <v>0</v>
      </c>
      <c r="AV1317" s="190">
        <f t="shared" si="384"/>
        <v>0</v>
      </c>
      <c r="AW1317" s="191" t="s">
        <v>115</v>
      </c>
      <c r="AX1317" s="407" t="s">
        <v>4557</v>
      </c>
      <c r="AY1317" s="407"/>
      <c r="AZ1317" s="407"/>
      <c r="BA1317" s="407"/>
      <c r="BB1317" s="407"/>
      <c r="BC1317" s="407"/>
      <c r="BD1317" s="407"/>
      <c r="BE1317" s="407"/>
      <c r="BF1317" s="422"/>
      <c r="BG1317" s="391">
        <f>SUM($AV$4:AV1317)</f>
        <v>4693.8156656883029</v>
      </c>
      <c r="BH1317" s="392">
        <f>SUM($AU$134:AU1317)</f>
        <v>26960.650666666701</v>
      </c>
      <c r="BI1317" s="318">
        <f>SUMIFS($AU$134:AU1318,$Q$134:Q1318,"F")</f>
        <v>11416.666666666668</v>
      </c>
      <c r="BJ1317" s="318">
        <f>SUMIFS($AU$134:AU1318,$Q$134:Q1318,"S")</f>
        <v>17455.642</v>
      </c>
      <c r="BK1317" s="343">
        <f>SUMIFS($AU$134:AU1318,$P$134:P1318,"W")</f>
        <v>15186.141999999927</v>
      </c>
      <c r="BL1317" s="343">
        <f>SUMIFS($AU$134:AU1318,$P$134:P1318,"R")</f>
        <v>13459.606666666656</v>
      </c>
      <c r="BM1317" s="343">
        <f>SUMIFS($AU$134:AU1318,$AQ$134:AQ1318,"M")</f>
        <v>3342.0300000001334</v>
      </c>
      <c r="BN1317" s="343">
        <f>SUMIFS($AU$134:AU1318,$AQ$134:AQ1318,"H")</f>
        <v>10257.341999999999</v>
      </c>
      <c r="BO1317" s="343">
        <f>SUMIFS($AU$134:AU1318,$AQ$134:AQ1318,"D")</f>
        <v>6514.236666666764</v>
      </c>
      <c r="BP1317" s="343">
        <f>SUMIFS($AU$134:AU1320,$AQ$134:AQ1320,"W")</f>
        <v>5395.6199999996161</v>
      </c>
      <c r="BQ1317" s="343">
        <f>SUMIFS($AU$134:AU1318,$Q$134:Q1318,"O")</f>
        <v>-1806.8579999999615</v>
      </c>
      <c r="BR1317" s="343">
        <f>SUMIFS($AU$134:AU1318,$AA$134:AA1318,"*")</f>
        <v>24634.105333333398</v>
      </c>
      <c r="BS1317" s="343">
        <f>SUMIFS($AU$134:AU1318,$AB$134:AB1318,"*")</f>
        <v>3191.7120000000268</v>
      </c>
      <c r="BT1317" s="343">
        <f>SUMIFS($AU$134:AU1318,$AC$134:AC1318,"*")</f>
        <v>15152.216666666667</v>
      </c>
      <c r="BU1317" s="343">
        <f>SUMIFS($AU$134:AU1318,$AA$134:AA1318,"*",$AB$134:AB1318,"*")</f>
        <v>2490.0000000000546</v>
      </c>
      <c r="BV1317" s="343">
        <f>SUMIFS($AU$134:AU1318,$AA$134:AA1318,"*",$AC$134:AC1318,"*")</f>
        <v>11759.983333333334</v>
      </c>
      <c r="BW1317" s="343">
        <f>SUMIFS($AU$134:AU1318,$AB$134:AB1318,"*",$AC$134:AC1318,"*")</f>
        <v>6206.6</v>
      </c>
      <c r="BX1317" s="343">
        <f>SUMIFS($AU1318:AU$1388,$Q1318:Q$1388,"F")</f>
        <v>3024</v>
      </c>
      <c r="BY1317" s="343">
        <f>SUMIFS($AU1318:AU$1388,$Q1318:Q$1388,"S")</f>
        <v>3216.0000000000005</v>
      </c>
      <c r="BZ1317" s="343">
        <f>SUMIFS($AU1318:AU$1388,$Q1318:Q$1388,"O")</f>
        <v>158.00000000016325</v>
      </c>
    </row>
    <row r="1318" spans="1:78" ht="15.75" customHeight="1">
      <c r="A1318" s="221" t="s">
        <v>4220</v>
      </c>
      <c r="B1318" s="177">
        <v>45259</v>
      </c>
      <c r="C1318" s="178" t="s">
        <v>2754</v>
      </c>
      <c r="D1318" s="178" t="s">
        <v>151</v>
      </c>
      <c r="E1318" s="227"/>
      <c r="F1318" s="180"/>
      <c r="G1318" s="281" t="s">
        <v>3555</v>
      </c>
      <c r="H1318" s="182"/>
      <c r="I1318" s="182"/>
      <c r="J1318" s="182"/>
      <c r="K1318" s="183"/>
      <c r="L1318" s="182">
        <v>1</v>
      </c>
      <c r="M1318" s="182"/>
      <c r="N1318" s="182"/>
      <c r="O1318" s="183" t="s">
        <v>95</v>
      </c>
      <c r="P1318" s="183" t="s">
        <v>96</v>
      </c>
      <c r="Q1318" s="183" t="s">
        <v>97</v>
      </c>
      <c r="R1318" s="183">
        <v>18</v>
      </c>
      <c r="S1318" s="183">
        <v>0</v>
      </c>
      <c r="T1318" s="183">
        <v>18</v>
      </c>
      <c r="U1318" s="183" t="s">
        <v>97</v>
      </c>
      <c r="V1318" s="183"/>
      <c r="W1318" s="183"/>
      <c r="X1318" s="183"/>
      <c r="Y1318" s="184">
        <f>IF(ISBLANK(O1318),"",(IF(O1318=UPPER("IB"),0.005,0.01)))</f>
        <v>0.01</v>
      </c>
      <c r="Z1318" s="185">
        <f>IF(ISBLANK(O1318),"",IF(O1318="IB",8.63*200,IF(O1318="IR",16*100,IF(O1318="YT",20*100,IF(O1318="YT-XT",24*200,IF(O1318="TED",80*100))))))</f>
        <v>1600</v>
      </c>
      <c r="AA1318" s="185" t="s">
        <v>4558</v>
      </c>
      <c r="AB1318" s="185" t="s">
        <v>4559</v>
      </c>
      <c r="AC1318" s="185" t="s">
        <v>4560</v>
      </c>
      <c r="AD1318" s="649">
        <v>0.01</v>
      </c>
      <c r="AE1318" s="182"/>
      <c r="AF1318" s="332"/>
      <c r="AG1318" s="182"/>
      <c r="AH1318" s="182" t="s">
        <v>2472</v>
      </c>
      <c r="AI1318" s="182" t="s">
        <v>4561</v>
      </c>
      <c r="AJ1318" s="640" t="s">
        <v>4562</v>
      </c>
      <c r="AK1318" s="182"/>
      <c r="AL1318" s="496">
        <f t="shared" si="387"/>
        <v>-48</v>
      </c>
      <c r="AM1318" s="496">
        <f>AL1318*(R1318-S1318)</f>
        <v>-864</v>
      </c>
      <c r="AN1318" s="626"/>
      <c r="AO1318" s="182"/>
      <c r="AP1318" s="182" t="s">
        <v>1261</v>
      </c>
      <c r="AQ1318" s="332" t="str">
        <f>UPPER(RIGHT(Journal_Live[[#This Row],[DURATION ]]))</f>
        <v>D</v>
      </c>
      <c r="AR1318" s="182" t="s">
        <v>4563</v>
      </c>
      <c r="AS1318" s="189">
        <v>0.01</v>
      </c>
      <c r="AT1318" s="189">
        <f t="shared" si="382"/>
        <v>0</v>
      </c>
      <c r="AU1318" s="187">
        <f t="shared" si="383"/>
        <v>0</v>
      </c>
      <c r="AV1318" s="190">
        <f t="shared" si="384"/>
        <v>0</v>
      </c>
      <c r="AW1318" s="191" t="s">
        <v>115</v>
      </c>
      <c r="AX1318" s="407" t="s">
        <v>4564</v>
      </c>
      <c r="AY1318" s="407"/>
      <c r="AZ1318" s="407"/>
      <c r="BA1318" s="407"/>
      <c r="BB1318" s="407"/>
      <c r="BC1318" s="407"/>
      <c r="BD1318" s="407"/>
      <c r="BE1318" s="407"/>
      <c r="BF1318" s="422"/>
      <c r="BG1318" s="391">
        <f>SUM($AV$4:AV1318)</f>
        <v>4693.8156656883029</v>
      </c>
      <c r="BH1318" s="392">
        <f>SUM($AU$134:AU1318)</f>
        <v>26960.650666666701</v>
      </c>
      <c r="BI1318" s="318">
        <f>SUMIFS($AU$134:AU1319,$Q$134:Q1319,"F")</f>
        <v>11416.666666666668</v>
      </c>
      <c r="BJ1318" s="318">
        <f>SUMIFS($AU$134:AU1319,$Q$134:Q1319,"S")</f>
        <v>17455.642</v>
      </c>
      <c r="BK1318" s="343">
        <f>SUMIFS($AU$134:AU1319,$P$134:P1319,"W")</f>
        <v>15186.141999999927</v>
      </c>
      <c r="BL1318" s="343">
        <f>SUMIFS($AU$134:AU1319,$P$134:P1319,"R")</f>
        <v>13459.606666666656</v>
      </c>
      <c r="BM1318" s="343">
        <f>SUMIFS($AU$134:AU1319,$AQ$134:AQ1319,"M")</f>
        <v>3342.0300000001334</v>
      </c>
      <c r="BN1318" s="343">
        <f>SUMIFS($AU$134:AU1319,$AQ$134:AQ1319,"H")</f>
        <v>10257.341999999999</v>
      </c>
      <c r="BO1318" s="343">
        <f>SUMIFS($AU$134:AU1319,$AQ$134:AQ1319,"D")</f>
        <v>6514.236666666764</v>
      </c>
      <c r="BP1318" s="343">
        <f>SUMIFS($AU$134:AU1321,$AQ$134:AQ1321,"W")</f>
        <v>5395.6199999996161</v>
      </c>
      <c r="BQ1318" s="343">
        <f>SUMIFS($AU$134:AU1319,$Q$134:Q1319,"O")</f>
        <v>-1806.8579999999615</v>
      </c>
      <c r="BR1318" s="343">
        <f>SUMIFS($AU$134:AU1319,$AA$134:AA1319,"*")</f>
        <v>24634.105333333398</v>
      </c>
      <c r="BS1318" s="343">
        <f>SUMIFS($AU$134:AU1319,$AB$134:AB1319,"*")</f>
        <v>3191.7120000000268</v>
      </c>
      <c r="BT1318" s="343">
        <f>SUMIFS($AU$134:AU1319,$AC$134:AC1319,"*")</f>
        <v>15152.216666666667</v>
      </c>
      <c r="BU1318" s="343">
        <f>SUMIFS($AU$134:AU1319,$AA$134:AA1319,"*",$AB$134:AB1319,"*")</f>
        <v>2490.0000000000546</v>
      </c>
      <c r="BV1318" s="343">
        <f>SUMIFS($AU$134:AU1319,$AA$134:AA1319,"*",$AC$134:AC1319,"*")</f>
        <v>11759.983333333334</v>
      </c>
      <c r="BW1318" s="343">
        <f>SUMIFS($AU$134:AU1319,$AB$134:AB1319,"*",$AC$134:AC1319,"*")</f>
        <v>6206.6</v>
      </c>
      <c r="BX1318" s="343">
        <f>SUMIFS($AU1319:AU$1388,$Q1319:Q$1388,"F")</f>
        <v>3024</v>
      </c>
      <c r="BY1318" s="343">
        <f>SUMIFS($AU1319:AU$1388,$Q1319:Q$1388,"S")</f>
        <v>3216.0000000000005</v>
      </c>
      <c r="BZ1318" s="343">
        <f>SUMIFS($AU1319:AU$1388,$Q1319:Q$1388,"O")</f>
        <v>158.00000000016325</v>
      </c>
    </row>
    <row r="1319" spans="1:78" ht="15.75" customHeight="1">
      <c r="A1319" s="221" t="s">
        <v>4220</v>
      </c>
      <c r="B1319" s="177">
        <v>45259</v>
      </c>
      <c r="C1319" s="178" t="s">
        <v>1474</v>
      </c>
      <c r="D1319" s="178" t="s">
        <v>151</v>
      </c>
      <c r="E1319" s="227" t="s">
        <v>4565</v>
      </c>
      <c r="F1319" s="180"/>
      <c r="G1319" s="181"/>
      <c r="H1319" s="182">
        <v>1</v>
      </c>
      <c r="I1319" s="182"/>
      <c r="J1319" s="182"/>
      <c r="K1319" s="183" t="s">
        <v>372</v>
      </c>
      <c r="L1319" s="182"/>
      <c r="M1319" s="182"/>
      <c r="N1319" s="182"/>
      <c r="O1319" s="183"/>
      <c r="P1319" s="183"/>
      <c r="Q1319" s="183"/>
      <c r="R1319" s="183"/>
      <c r="S1319" s="183"/>
      <c r="T1319" s="183"/>
      <c r="U1319" s="183"/>
      <c r="V1319" s="183"/>
      <c r="W1319" s="183"/>
      <c r="X1319" s="183"/>
      <c r="Y1319" s="183"/>
      <c r="Z1319" s="185" t="str">
        <f>IF(ISBLANK(O1319),"",IF(O1319="IB",8.63*200,IF(O1319="IR",16*100,IF(O1319="YT",20*100,IF(O1319="YT-XT",24*200,IF(O1319="TED",80*100))))))</f>
        <v/>
      </c>
      <c r="AA1319" s="185"/>
      <c r="AB1319" s="185"/>
      <c r="AC1319" s="185"/>
      <c r="AD1319" s="649"/>
      <c r="AE1319" s="182"/>
      <c r="AF1319" s="332"/>
      <c r="AG1319" s="182"/>
      <c r="AH1319" s="182"/>
      <c r="AI1319" s="182"/>
      <c r="AJ1319" s="640"/>
      <c r="AK1319" s="182"/>
      <c r="AL1319" s="496"/>
      <c r="AM1319" s="496"/>
      <c r="AN1319" s="626"/>
      <c r="AO1319" s="182"/>
      <c r="AP1319" s="182"/>
      <c r="AQ1319" s="332" t="str">
        <f>UPPER(RIGHT(Journal_Live[[#This Row],[DURATION ]]))</f>
        <v/>
      </c>
      <c r="AR1319" s="182"/>
      <c r="AS1319" s="189"/>
      <c r="AT1319" s="189">
        <f t="shared" si="382"/>
        <v>0</v>
      </c>
      <c r="AU1319" s="187">
        <f t="shared" si="383"/>
        <v>0</v>
      </c>
      <c r="AV1319" s="190">
        <f t="shared" si="384"/>
        <v>0</v>
      </c>
      <c r="AW1319" s="191"/>
      <c r="AX1319" s="407"/>
      <c r="AY1319" s="407"/>
      <c r="AZ1319" s="407"/>
      <c r="BA1319" s="407"/>
      <c r="BB1319" s="407"/>
      <c r="BC1319" s="407"/>
      <c r="BD1319" s="407"/>
      <c r="BE1319" s="407"/>
      <c r="BF1319" s="422"/>
      <c r="BG1319" s="391">
        <f>SUM($AV$4:AV1319)</f>
        <v>4693.8156656883029</v>
      </c>
      <c r="BH1319" s="392">
        <f>SUM($AU$134:AU1319)</f>
        <v>26960.650666666701</v>
      </c>
      <c r="BI1319" s="318">
        <f>SUMIFS($AU$134:AU1320,$Q$134:Q1320,"F")</f>
        <v>11416.666666666668</v>
      </c>
      <c r="BJ1319" s="318">
        <f>SUMIFS($AU$134:AU1320,$Q$134:Q1320,"S")</f>
        <v>17455.642</v>
      </c>
      <c r="BK1319" s="343">
        <f>SUMIFS($AU$134:AU1320,$P$134:P1320,"W")</f>
        <v>15186.141999999927</v>
      </c>
      <c r="BL1319" s="343">
        <f>SUMIFS($AU$134:AU1320,$P$134:P1320,"R")</f>
        <v>13459.606666666656</v>
      </c>
      <c r="BM1319" s="343">
        <f>SUMIFS($AU$134:AU1320,$AQ$134:AQ1320,"M")</f>
        <v>3342.0300000001334</v>
      </c>
      <c r="BN1319" s="343">
        <f>SUMIFS($AU$134:AU1320,$AQ$134:AQ1320,"H")</f>
        <v>10257.341999999999</v>
      </c>
      <c r="BO1319" s="343">
        <f>SUMIFS($AU$134:AU1320,$AQ$134:AQ1320,"D")</f>
        <v>6514.236666666764</v>
      </c>
      <c r="BP1319" s="343">
        <f>SUMIFS($AU$134:AU1322,$AQ$134:AQ1322,"W")</f>
        <v>5395.6199999996161</v>
      </c>
      <c r="BQ1319" s="343">
        <f>SUMIFS($AU$134:AU1320,$Q$134:Q1320,"O")</f>
        <v>-1878.8579999999984</v>
      </c>
      <c r="BR1319" s="343">
        <f>SUMIFS($AU$134:AU1320,$AA$134:AA1320,"*")</f>
        <v>24562.105333333362</v>
      </c>
      <c r="BS1319" s="343">
        <f>SUMIFS($AU$134:AU1320,$AB$134:AB1320,"*")</f>
        <v>3191.7120000000268</v>
      </c>
      <c r="BT1319" s="343">
        <f>SUMIFS($AU$134:AU1320,$AC$134:AC1320,"*")</f>
        <v>15152.216666666667</v>
      </c>
      <c r="BU1319" s="343">
        <f>SUMIFS($AU$134:AU1320,$AA$134:AA1320,"*",$AB$134:AB1320,"*")</f>
        <v>2490.0000000000546</v>
      </c>
      <c r="BV1319" s="343">
        <f>SUMIFS($AU$134:AU1320,$AA$134:AA1320,"*",$AC$134:AC1320,"*")</f>
        <v>11759.983333333334</v>
      </c>
      <c r="BW1319" s="343">
        <f>SUMIFS($AU$134:AU1320,$AB$134:AB1320,"*",$AC$134:AC1320,"*")</f>
        <v>6206.6</v>
      </c>
      <c r="BX1319" s="343">
        <f>SUMIFS($AU1320:AU$1388,$Q1320:Q$1388,"F")</f>
        <v>3024</v>
      </c>
      <c r="BY1319" s="343">
        <f>SUMIFS($AU1320:AU$1388,$Q1320:Q$1388,"S")</f>
        <v>3216.0000000000005</v>
      </c>
      <c r="BZ1319" s="343">
        <f>SUMIFS($AU1320:AU$1388,$Q1320:Q$1388,"O")</f>
        <v>158.00000000016325</v>
      </c>
    </row>
    <row r="1320" spans="1:78" ht="15.75" customHeight="1">
      <c r="A1320" s="221" t="s">
        <v>4220</v>
      </c>
      <c r="B1320" s="177">
        <v>45259</v>
      </c>
      <c r="C1320" s="178" t="s">
        <v>1344</v>
      </c>
      <c r="D1320" s="178" t="s">
        <v>151</v>
      </c>
      <c r="E1320" s="227"/>
      <c r="F1320" s="180"/>
      <c r="G1320" s="281" t="s">
        <v>3924</v>
      </c>
      <c r="H1320" s="182"/>
      <c r="I1320" s="182"/>
      <c r="J1320" s="182"/>
      <c r="K1320" s="183"/>
      <c r="L1320" s="182">
        <v>1</v>
      </c>
      <c r="M1320" s="182"/>
      <c r="N1320" s="182"/>
      <c r="O1320" s="183" t="s">
        <v>3618</v>
      </c>
      <c r="P1320" s="183" t="s">
        <v>2260</v>
      </c>
      <c r="Q1320" s="183" t="s">
        <v>684</v>
      </c>
      <c r="R1320" s="183">
        <v>1</v>
      </c>
      <c r="S1320" s="183">
        <v>0</v>
      </c>
      <c r="T1320" s="183">
        <v>1</v>
      </c>
      <c r="U1320" s="183" t="s">
        <v>22</v>
      </c>
      <c r="V1320" s="183"/>
      <c r="W1320" s="183"/>
      <c r="X1320" s="183"/>
      <c r="Y1320" s="184">
        <f>IF(ISBLANK(O1320),"",(IF(O1320=UPPER("IB"),0.005,0.01)))</f>
        <v>0.01</v>
      </c>
      <c r="Z1320" s="185">
        <f>IF(ISBLANK(O1320),"",IF(O1320="IB",8.63*200,IF(O1320="IR",16*100,IF(O1320="YT",20*100,IF(O1320="YT-XT",24*200,IF(O1320="TED",80*100,IF(O1320="XT",36*200)))))))</f>
        <v>7200</v>
      </c>
      <c r="AA1320" s="185" t="s">
        <v>3980</v>
      </c>
      <c r="AB1320" s="185"/>
      <c r="AC1320" s="185"/>
      <c r="AD1320" s="649">
        <v>95.64</v>
      </c>
      <c r="AE1320" s="182"/>
      <c r="AF1320" s="332"/>
      <c r="AG1320" s="182"/>
      <c r="AH1320" s="182"/>
      <c r="AI1320" s="182"/>
      <c r="AJ1320" s="640"/>
      <c r="AK1320" s="182"/>
      <c r="AL1320" s="496"/>
      <c r="AM1320" s="496"/>
      <c r="AN1320" s="626"/>
      <c r="AO1320" s="182"/>
      <c r="AP1320" s="182" t="s">
        <v>1455</v>
      </c>
      <c r="AQ1320" s="332" t="str">
        <f>UPPER(RIGHT(Journal_Live[[#This Row],[DURATION ]]))</f>
        <v>S</v>
      </c>
      <c r="AR1320" s="182" t="s">
        <v>682</v>
      </c>
      <c r="AS1320" s="189">
        <v>95.63</v>
      </c>
      <c r="AT1320" s="189">
        <f t="shared" si="382"/>
        <v>-1.0000000000005116E-2</v>
      </c>
      <c r="AU1320" s="187">
        <f t="shared" si="383"/>
        <v>-72.000000000036835</v>
      </c>
      <c r="AV1320" s="190">
        <f t="shared" si="384"/>
        <v>-72.000000000036835</v>
      </c>
      <c r="AW1320" s="191" t="s">
        <v>229</v>
      </c>
      <c r="AX1320" s="407"/>
      <c r="AY1320" s="407"/>
      <c r="AZ1320" s="407"/>
      <c r="BA1320" s="407"/>
      <c r="BB1320" s="407"/>
      <c r="BC1320" s="407"/>
      <c r="BD1320" s="407" t="s">
        <v>4566</v>
      </c>
      <c r="BE1320" s="407" t="s">
        <v>4567</v>
      </c>
      <c r="BF1320" s="422" t="s">
        <v>4568</v>
      </c>
      <c r="BG1320" s="391">
        <f>SUM($AV$4:AV1320)</f>
        <v>4621.8156656882657</v>
      </c>
      <c r="BH1320" s="392">
        <f>SUM($AU$134:AU1320)</f>
        <v>26888.650666666665</v>
      </c>
      <c r="BI1320" s="318">
        <f>SUMIFS($AU$134:AU1321,$Q$134:Q1321,"F")</f>
        <v>11416.666666666668</v>
      </c>
      <c r="BJ1320" s="318">
        <f>SUMIFS($AU$134:AU1321,$Q$134:Q1321,"S")</f>
        <v>17455.642</v>
      </c>
      <c r="BK1320" s="343">
        <f>SUMIFS($AU$134:AU1321,$P$134:P1321,"W")</f>
        <v>15186.141999999927</v>
      </c>
      <c r="BL1320" s="343">
        <f>SUMIFS($AU$134:AU1321,$P$134:P1321,"R")</f>
        <v>13459.606666666656</v>
      </c>
      <c r="BM1320" s="343">
        <f>SUMIFS($AU$134:AU1321,$AQ$134:AQ1321,"M")</f>
        <v>3342.0300000001334</v>
      </c>
      <c r="BN1320" s="343">
        <f>SUMIFS($AU$134:AU1321,$AQ$134:AQ1321,"H")</f>
        <v>10257.341999999999</v>
      </c>
      <c r="BO1320" s="343">
        <f>SUMIFS($AU$134:AU1321,$AQ$134:AQ1321,"D")</f>
        <v>6514.236666666764</v>
      </c>
      <c r="BP1320" s="343">
        <f>SUMIFS($AU$134:AU1323,$AQ$134:AQ1323,"W")</f>
        <v>5395.6199999996161</v>
      </c>
      <c r="BQ1320" s="343">
        <f>SUMIFS($AU$134:AU1321,$Q$134:Q1321,"O")</f>
        <v>-1878.8579999999984</v>
      </c>
      <c r="BR1320" s="343">
        <f>SUMIFS($AU$134:AU1321,$AA$134:AA1321,"*")</f>
        <v>24562.105333333362</v>
      </c>
      <c r="BS1320" s="343">
        <f>SUMIFS($AU$134:AU1321,$AB$134:AB1321,"*")</f>
        <v>3191.7120000000268</v>
      </c>
      <c r="BT1320" s="343">
        <f>SUMIFS($AU$134:AU1321,$AC$134:AC1321,"*")</f>
        <v>15152.216666666667</v>
      </c>
      <c r="BU1320" s="343">
        <f>SUMIFS($AU$134:AU1321,$AA$134:AA1321,"*",$AB$134:AB1321,"*")</f>
        <v>2490.0000000000546</v>
      </c>
      <c r="BV1320" s="343">
        <f>SUMIFS($AU$134:AU1321,$AA$134:AA1321,"*",$AC$134:AC1321,"*")</f>
        <v>11759.983333333334</v>
      </c>
      <c r="BW1320" s="343">
        <f>SUMIFS($AU$134:AU1321,$AB$134:AB1321,"*",$AC$134:AC1321,"*")</f>
        <v>6206.6</v>
      </c>
      <c r="BX1320" s="343">
        <f>SUMIFS($AU1321:AU$1388,$Q1321:Q$1388,"F")</f>
        <v>3024</v>
      </c>
      <c r="BY1320" s="343">
        <f>SUMIFS($AU1321:AU$1388,$Q1321:Q$1388,"S")</f>
        <v>3216.0000000000005</v>
      </c>
      <c r="BZ1320" s="343">
        <f>SUMIFS($AU1321:AU$1388,$Q1321:Q$1388,"O")</f>
        <v>230.00000000020009</v>
      </c>
    </row>
    <row r="1321" spans="1:78" ht="15.75" customHeight="1">
      <c r="A1321" s="221" t="s">
        <v>4220</v>
      </c>
      <c r="B1321" s="177">
        <v>45260</v>
      </c>
      <c r="C1321" s="178" t="s">
        <v>4569</v>
      </c>
      <c r="D1321" s="178" t="s">
        <v>93</v>
      </c>
      <c r="E1321" s="227"/>
      <c r="F1321" s="180"/>
      <c r="G1321" s="281" t="s">
        <v>4570</v>
      </c>
      <c r="H1321" s="182"/>
      <c r="I1321" s="182"/>
      <c r="J1321" s="182"/>
      <c r="K1321" s="183"/>
      <c r="L1321" s="182">
        <v>1</v>
      </c>
      <c r="M1321" s="182"/>
      <c r="N1321" s="182"/>
      <c r="O1321" s="183" t="s">
        <v>95</v>
      </c>
      <c r="P1321" s="183" t="s">
        <v>96</v>
      </c>
      <c r="Q1321" s="183" t="s">
        <v>256</v>
      </c>
      <c r="R1321" s="183">
        <v>18</v>
      </c>
      <c r="S1321" s="183">
        <v>0</v>
      </c>
      <c r="T1321" s="183">
        <v>18</v>
      </c>
      <c r="U1321" s="183" t="s">
        <v>22</v>
      </c>
      <c r="V1321" s="183"/>
      <c r="W1321" s="183"/>
      <c r="X1321" s="183"/>
      <c r="Y1321" s="184">
        <f>IF(ISBLANK(O1321),"",(IF(O1321=UPPER("IB"),0.005,0.01)))</f>
        <v>0.01</v>
      </c>
      <c r="Z1321" s="185">
        <f>IF(ISBLANK(O1321),"",IF(O1321="IB",8.63*200,IF(O1321="IR",16*100,IF(O1321="YT",20*100,IF(O1321="YT-XT",24*200,IF(O1321="TED",80*100))))))</f>
        <v>1600</v>
      </c>
      <c r="AA1321" s="185" t="s">
        <v>4571</v>
      </c>
      <c r="AB1321" s="185"/>
      <c r="AC1321" s="185" t="s">
        <v>4572</v>
      </c>
      <c r="AD1321" s="649">
        <v>0.1</v>
      </c>
      <c r="AE1321" s="182"/>
      <c r="AF1321" s="332"/>
      <c r="AG1321" s="182"/>
      <c r="AH1321" s="182" t="s">
        <v>4573</v>
      </c>
      <c r="AI1321" s="182"/>
      <c r="AJ1321" s="640"/>
      <c r="AK1321" s="182"/>
      <c r="AL1321" s="496">
        <f t="shared" ref="AL1321" si="388">-0.03*Z1321</f>
        <v>-48</v>
      </c>
      <c r="AM1321" s="496">
        <f>AL1321*(R1321-S1321)</f>
        <v>-864</v>
      </c>
      <c r="AN1321" s="626"/>
      <c r="AO1321" s="182"/>
      <c r="AP1321" s="182" t="s">
        <v>804</v>
      </c>
      <c r="AQ1321" s="332" t="str">
        <f>UPPER(RIGHT(Journal_Live[[#This Row],[DURATION ]]))</f>
        <v>D</v>
      </c>
      <c r="AR1321" s="182" t="s">
        <v>4574</v>
      </c>
      <c r="AS1321" s="189">
        <v>0.1</v>
      </c>
      <c r="AT1321" s="189">
        <f t="shared" si="382"/>
        <v>0</v>
      </c>
      <c r="AU1321" s="187">
        <f t="shared" si="383"/>
        <v>0</v>
      </c>
      <c r="AV1321" s="190">
        <f t="shared" si="384"/>
        <v>0</v>
      </c>
      <c r="AW1321" s="191" t="s">
        <v>115</v>
      </c>
      <c r="AX1321" s="407"/>
      <c r="AY1321" s="407"/>
      <c r="AZ1321" s="407"/>
      <c r="BA1321" s="407"/>
      <c r="BB1321" s="407"/>
      <c r="BC1321" s="407"/>
      <c r="BD1321" s="407"/>
      <c r="BE1321" s="407"/>
      <c r="BF1321" s="422"/>
      <c r="BG1321" s="391">
        <f>SUM($AV$4:AV1321)</f>
        <v>4621.8156656882657</v>
      </c>
      <c r="BH1321" s="392">
        <f>SUM($AU$134:AU1321)</f>
        <v>26888.650666666665</v>
      </c>
      <c r="BI1321" s="318">
        <f>SUMIFS($AU$134:AU1322,$Q$134:Q1322,"F")</f>
        <v>11416.666666666668</v>
      </c>
      <c r="BJ1321" s="318">
        <f>SUMIFS($AU$134:AU1322,$Q$134:Q1322,"S")</f>
        <v>17455.642</v>
      </c>
      <c r="BK1321" s="343">
        <f>SUMIFS($AU$134:AU1322,$P$134:P1322,"W")</f>
        <v>15186.141999999927</v>
      </c>
      <c r="BL1321" s="343">
        <f>SUMIFS($AU$134:AU1322,$P$134:P1322,"R")</f>
        <v>13459.606666666656</v>
      </c>
      <c r="BM1321" s="343">
        <f>SUMIFS($AU$134:AU1322,$AQ$134:AQ1322,"M")</f>
        <v>3342.0300000001334</v>
      </c>
      <c r="BN1321" s="343">
        <f>SUMIFS($AU$134:AU1322,$AQ$134:AQ1322,"H")</f>
        <v>10257.341999999999</v>
      </c>
      <c r="BO1321" s="343">
        <f>SUMIFS($AU$134:AU1322,$AQ$134:AQ1322,"D")</f>
        <v>6514.236666666764</v>
      </c>
      <c r="BP1321" s="343">
        <f>SUMIFS($AU$134:AU1324,$AQ$134:AQ1324,"W")</f>
        <v>5395.6199999996161</v>
      </c>
      <c r="BQ1321" s="343">
        <f>SUMIFS($AU$134:AU1322,$Q$134:Q1322,"O")</f>
        <v>-1878.8579999999984</v>
      </c>
      <c r="BR1321" s="343">
        <f>SUMIFS($AU$134:AU1322,$AA$134:AA1322,"*")</f>
        <v>24562.105333333362</v>
      </c>
      <c r="BS1321" s="343">
        <f>SUMIFS($AU$134:AU1322,$AB$134:AB1322,"*")</f>
        <v>3191.7120000000268</v>
      </c>
      <c r="BT1321" s="343">
        <f>SUMIFS($AU$134:AU1322,$AC$134:AC1322,"*")</f>
        <v>15152.216666666667</v>
      </c>
      <c r="BU1321" s="343">
        <f>SUMIFS($AU$134:AU1322,$AA$134:AA1322,"*",$AB$134:AB1322,"*")</f>
        <v>2490.0000000000546</v>
      </c>
      <c r="BV1321" s="343">
        <f>SUMIFS($AU$134:AU1322,$AA$134:AA1322,"*",$AC$134:AC1322,"*")</f>
        <v>11759.983333333334</v>
      </c>
      <c r="BW1321" s="343">
        <f>SUMIFS($AU$134:AU1322,$AB$134:AB1322,"*",$AC$134:AC1322,"*")</f>
        <v>6206.6</v>
      </c>
      <c r="BX1321" s="343">
        <f>SUMIFS($AU1322:AU$1388,$Q1322:Q$1388,"F")</f>
        <v>3024</v>
      </c>
      <c r="BY1321" s="343">
        <f>SUMIFS($AU1322:AU$1388,$Q1322:Q$1388,"S")</f>
        <v>3216.0000000000005</v>
      </c>
      <c r="BZ1321" s="343">
        <f>SUMIFS($AU1322:AU$1388,$Q1322:Q$1388,"O")</f>
        <v>230.00000000020009</v>
      </c>
    </row>
    <row r="1322" spans="1:78" ht="15.75" customHeight="1">
      <c r="A1322" s="221" t="s">
        <v>4220</v>
      </c>
      <c r="B1322" s="177">
        <v>45260</v>
      </c>
      <c r="C1322" s="178" t="s">
        <v>4575</v>
      </c>
      <c r="D1322" s="178" t="s">
        <v>93</v>
      </c>
      <c r="E1322" s="227"/>
      <c r="F1322" s="180"/>
      <c r="G1322" s="181" t="s">
        <v>3334</v>
      </c>
      <c r="H1322" s="182"/>
      <c r="I1322" s="182"/>
      <c r="J1322" s="182"/>
      <c r="K1322" s="183"/>
      <c r="L1322" s="182"/>
      <c r="M1322" s="182"/>
      <c r="N1322" s="182"/>
      <c r="O1322" s="183"/>
      <c r="P1322" s="183"/>
      <c r="Q1322" s="183"/>
      <c r="R1322" s="183"/>
      <c r="S1322" s="183"/>
      <c r="T1322" s="183"/>
      <c r="U1322" s="183"/>
      <c r="V1322" s="183"/>
      <c r="W1322" s="183"/>
      <c r="X1322" s="183"/>
      <c r="Y1322" s="184"/>
      <c r="Z1322" s="185"/>
      <c r="AA1322" s="185"/>
      <c r="AB1322" s="185"/>
      <c r="AC1322" s="185"/>
      <c r="AD1322" s="649"/>
      <c r="AE1322" s="182"/>
      <c r="AF1322" s="332"/>
      <c r="AG1322" s="182"/>
      <c r="AH1322" s="182"/>
      <c r="AI1322" s="182"/>
      <c r="AJ1322" s="640"/>
      <c r="AK1322" s="182"/>
      <c r="AL1322" s="496">
        <f t="shared" ref="AL1322:AL1328" si="389">-0.03*Z1322</f>
        <v>0</v>
      </c>
      <c r="AM1322" s="496">
        <f>AL1322*(R1322-S1322)</f>
        <v>0</v>
      </c>
      <c r="AN1322" s="626"/>
      <c r="AO1322" s="182"/>
      <c r="AP1322" s="182"/>
      <c r="AQ1322" s="332" t="str">
        <f>UPPER(RIGHT(Journal_Live[[#This Row],[DURATION ]]))</f>
        <v/>
      </c>
      <c r="AR1322" s="182"/>
      <c r="AS1322" s="189"/>
      <c r="AT1322" s="189">
        <f t="shared" si="382"/>
        <v>0</v>
      </c>
      <c r="AU1322" s="187">
        <f t="shared" si="383"/>
        <v>0</v>
      </c>
      <c r="AV1322" s="190">
        <f t="shared" si="384"/>
        <v>0</v>
      </c>
      <c r="AW1322" s="191"/>
      <c r="AX1322" s="407"/>
      <c r="AY1322" s="407"/>
      <c r="AZ1322" s="407"/>
      <c r="BA1322" s="407"/>
      <c r="BB1322" s="407"/>
      <c r="BC1322" s="407"/>
      <c r="BD1322" s="407"/>
      <c r="BE1322" s="407"/>
      <c r="BF1322" s="422"/>
      <c r="BG1322" s="391">
        <f>SUM($AV$4:AV1322)</f>
        <v>4621.8156656882657</v>
      </c>
      <c r="BH1322" s="392">
        <f>SUM($AU$134:AU1322)</f>
        <v>26888.650666666665</v>
      </c>
      <c r="BI1322" s="318">
        <f>SUMIFS($AU$134:AU1323,$Q$134:Q1323,"F")</f>
        <v>11416.666666666668</v>
      </c>
      <c r="BJ1322" s="318">
        <f>SUMIFS($AU$134:AU1323,$Q$134:Q1323,"S")</f>
        <v>17455.642</v>
      </c>
      <c r="BK1322" s="343">
        <f>SUMIFS($AU$134:AU1323,$P$134:P1323,"W")</f>
        <v>15186.141999999927</v>
      </c>
      <c r="BL1322" s="343">
        <f>SUMIFS($AU$134:AU1323,$P$134:P1323,"R")</f>
        <v>13459.606666666656</v>
      </c>
      <c r="BM1322" s="343">
        <f>SUMIFS($AU$134:AU1323,$AQ$134:AQ1323,"M")</f>
        <v>3342.0300000001334</v>
      </c>
      <c r="BN1322" s="343">
        <f>SUMIFS($AU$134:AU1323,$AQ$134:AQ1323,"H")</f>
        <v>10257.341999999999</v>
      </c>
      <c r="BO1322" s="343">
        <f>SUMIFS($AU$134:AU1323,$AQ$134:AQ1323,"D")</f>
        <v>6514.236666666764</v>
      </c>
      <c r="BP1322" s="343">
        <f>SUMIFS($AU$134:AU1325,$AQ$134:AQ1325,"W")</f>
        <v>5395.6199999996161</v>
      </c>
      <c r="BQ1322" s="343">
        <f>SUMIFS($AU$134:AU1323,$Q$134:Q1323,"O")</f>
        <v>-1878.8579999999984</v>
      </c>
      <c r="BR1322" s="343">
        <f>SUMIFS($AU$134:AU1323,$AA$134:AA1323,"*")</f>
        <v>24562.105333333362</v>
      </c>
      <c r="BS1322" s="343">
        <f>SUMIFS($AU$134:AU1323,$AB$134:AB1323,"*")</f>
        <v>3191.7120000000268</v>
      </c>
      <c r="BT1322" s="343">
        <f>SUMIFS($AU$134:AU1323,$AC$134:AC1323,"*")</f>
        <v>15152.216666666667</v>
      </c>
      <c r="BU1322" s="343">
        <f>SUMIFS($AU$134:AU1323,$AA$134:AA1323,"*",$AB$134:AB1323,"*")</f>
        <v>2490.0000000000546</v>
      </c>
      <c r="BV1322" s="343">
        <f>SUMIFS($AU$134:AU1323,$AA$134:AA1323,"*",$AC$134:AC1323,"*")</f>
        <v>11759.983333333334</v>
      </c>
      <c r="BW1322" s="343">
        <f>SUMIFS($AU$134:AU1323,$AB$134:AB1323,"*",$AC$134:AC1323,"*")</f>
        <v>6206.6</v>
      </c>
      <c r="BX1322" s="343">
        <f>SUMIFS($AU1323:AU$1388,$Q1323:Q$1388,"F")</f>
        <v>3024</v>
      </c>
      <c r="BY1322" s="343">
        <f>SUMIFS($AU1323:AU$1388,$Q1323:Q$1388,"S")</f>
        <v>3216.0000000000005</v>
      </c>
      <c r="BZ1322" s="343">
        <f>SUMIFS($AU1323:AU$1388,$Q1323:Q$1388,"O")</f>
        <v>230.00000000020009</v>
      </c>
    </row>
    <row r="1323" spans="1:78" ht="15.75" customHeight="1">
      <c r="A1323" s="221" t="s">
        <v>4220</v>
      </c>
      <c r="B1323" s="177">
        <v>45260</v>
      </c>
      <c r="C1323" s="178" t="s">
        <v>2020</v>
      </c>
      <c r="D1323" s="178" t="s">
        <v>93</v>
      </c>
      <c r="E1323" s="227"/>
      <c r="F1323" s="180"/>
      <c r="G1323" s="181" t="s">
        <v>3772</v>
      </c>
      <c r="H1323" s="182"/>
      <c r="I1323" s="182"/>
      <c r="J1323" s="182"/>
      <c r="K1323" s="183"/>
      <c r="L1323" s="182"/>
      <c r="M1323" s="182"/>
      <c r="N1323" s="182"/>
      <c r="O1323" s="183"/>
      <c r="P1323" s="183"/>
      <c r="Q1323" s="183"/>
      <c r="R1323" s="183"/>
      <c r="S1323" s="183"/>
      <c r="T1323" s="183"/>
      <c r="U1323" s="183"/>
      <c r="V1323" s="183"/>
      <c r="W1323" s="183"/>
      <c r="X1323" s="183"/>
      <c r="Y1323" s="184"/>
      <c r="Z1323" s="185"/>
      <c r="AA1323" s="185"/>
      <c r="AB1323" s="185"/>
      <c r="AC1323" s="185"/>
      <c r="AD1323" s="649"/>
      <c r="AE1323" s="182"/>
      <c r="AF1323" s="332"/>
      <c r="AG1323" s="182"/>
      <c r="AH1323" s="182" t="s">
        <v>4576</v>
      </c>
      <c r="AI1323" s="182"/>
      <c r="AJ1323" s="640"/>
      <c r="AK1323" s="182"/>
      <c r="AL1323" s="496">
        <f t="shared" si="389"/>
        <v>0</v>
      </c>
      <c r="AM1323" s="496">
        <f>AL1323*(R1323-S1323)</f>
        <v>0</v>
      </c>
      <c r="AN1323" s="626"/>
      <c r="AO1323" s="182"/>
      <c r="AP1323" s="182"/>
      <c r="AQ1323" s="332" t="str">
        <f>UPPER(RIGHT(Journal_Live[[#This Row],[DURATION ]]))</f>
        <v/>
      </c>
      <c r="AR1323" s="182"/>
      <c r="AS1323" s="189"/>
      <c r="AT1323" s="189">
        <f t="shared" si="382"/>
        <v>0</v>
      </c>
      <c r="AU1323" s="187">
        <f t="shared" si="383"/>
        <v>0</v>
      </c>
      <c r="AV1323" s="190">
        <f t="shared" si="384"/>
        <v>0</v>
      </c>
      <c r="AW1323" s="191"/>
      <c r="AX1323" s="407" t="s">
        <v>4577</v>
      </c>
      <c r="AY1323" s="407" t="s">
        <v>1415</v>
      </c>
      <c r="AZ1323" s="409" t="s">
        <v>4578</v>
      </c>
      <c r="BA1323" s="407"/>
      <c r="BB1323" s="407"/>
      <c r="BC1323" s="407"/>
      <c r="BD1323" s="407"/>
      <c r="BE1323" s="407"/>
      <c r="BF1323" s="422"/>
      <c r="BG1323" s="391">
        <f>SUM($AV$4:AV1323)</f>
        <v>4621.8156656882657</v>
      </c>
      <c r="BH1323" s="392">
        <f>SUM($AU$134:AU1323)</f>
        <v>26888.650666666665</v>
      </c>
      <c r="BI1323" s="318">
        <f>SUMIFS($AU$134:AU1324,$Q$134:Q1324,"F")</f>
        <v>11416.666666666668</v>
      </c>
      <c r="BJ1323" s="318">
        <f>SUMIFS($AU$134:AU1324,$Q$134:Q1324,"S")</f>
        <v>17455.642</v>
      </c>
      <c r="BK1323" s="343">
        <f>SUMIFS($AU$134:AU1324,$P$134:P1324,"W")</f>
        <v>15186.141999999927</v>
      </c>
      <c r="BL1323" s="343">
        <f>SUMIFS($AU$134:AU1324,$P$134:P1324,"R")</f>
        <v>13459.606666666656</v>
      </c>
      <c r="BM1323" s="343">
        <f>SUMIFS($AU$134:AU1324,$AQ$134:AQ1324,"M")</f>
        <v>3342.0300000001334</v>
      </c>
      <c r="BN1323" s="343">
        <f>SUMIFS($AU$134:AU1324,$AQ$134:AQ1324,"H")</f>
        <v>10257.341999999999</v>
      </c>
      <c r="BO1323" s="343">
        <f>SUMIFS($AU$134:AU1324,$AQ$134:AQ1324,"D")</f>
        <v>6514.236666666764</v>
      </c>
      <c r="BP1323" s="343">
        <f>SUMIFS($AU$134:AU1326,$AQ$134:AQ1326,"W")</f>
        <v>5395.6199999996161</v>
      </c>
      <c r="BQ1323" s="343">
        <f>SUMIFS($AU$134:AU1324,$Q$134:Q1324,"O")</f>
        <v>-1878.8579999999984</v>
      </c>
      <c r="BR1323" s="343">
        <f>SUMIFS($AU$134:AU1324,$AA$134:AA1324,"*")</f>
        <v>24562.105333333362</v>
      </c>
      <c r="BS1323" s="343">
        <f>SUMIFS($AU$134:AU1324,$AB$134:AB1324,"*")</f>
        <v>3191.7120000000268</v>
      </c>
      <c r="BT1323" s="343">
        <f>SUMIFS($AU$134:AU1324,$AC$134:AC1324,"*")</f>
        <v>15152.216666666667</v>
      </c>
      <c r="BU1323" s="343">
        <f>SUMIFS($AU$134:AU1324,$AA$134:AA1324,"*",$AB$134:AB1324,"*")</f>
        <v>2490.0000000000546</v>
      </c>
      <c r="BV1323" s="343">
        <f>SUMIFS($AU$134:AU1324,$AA$134:AA1324,"*",$AC$134:AC1324,"*")</f>
        <v>11759.983333333334</v>
      </c>
      <c r="BW1323" s="343">
        <f>SUMIFS($AU$134:AU1324,$AB$134:AB1324,"*",$AC$134:AC1324,"*")</f>
        <v>6206.6</v>
      </c>
      <c r="BX1323" s="343">
        <f>SUMIFS($AU1324:AU$1388,$Q1324:Q$1388,"F")</f>
        <v>3024</v>
      </c>
      <c r="BY1323" s="343">
        <f>SUMIFS($AU1324:AU$1388,$Q1324:Q$1388,"S")</f>
        <v>3216.0000000000005</v>
      </c>
      <c r="BZ1323" s="343">
        <f>SUMIFS($AU1324:AU$1388,$Q1324:Q$1388,"O")</f>
        <v>230.00000000020009</v>
      </c>
    </row>
    <row r="1324" spans="1:78" ht="15.75" customHeight="1">
      <c r="A1324" s="221" t="s">
        <v>4220</v>
      </c>
      <c r="B1324" s="177">
        <v>45260</v>
      </c>
      <c r="C1324" s="178" t="s">
        <v>4579</v>
      </c>
      <c r="D1324" s="178" t="s">
        <v>93</v>
      </c>
      <c r="E1324" s="227"/>
      <c r="F1324" s="180"/>
      <c r="G1324" s="181"/>
      <c r="H1324" s="182"/>
      <c r="I1324" s="182"/>
      <c r="J1324" s="182"/>
      <c r="K1324" s="183"/>
      <c r="L1324" s="182"/>
      <c r="M1324" s="182"/>
      <c r="N1324" s="182"/>
      <c r="O1324" s="183"/>
      <c r="P1324" s="183"/>
      <c r="Q1324" s="183"/>
      <c r="R1324" s="183"/>
      <c r="S1324" s="183"/>
      <c r="T1324" s="183"/>
      <c r="U1324" s="183"/>
      <c r="V1324" s="183"/>
      <c r="W1324" s="183"/>
      <c r="X1324" s="183"/>
      <c r="Y1324" s="184"/>
      <c r="Z1324" s="185"/>
      <c r="AA1324" s="185"/>
      <c r="AB1324" s="185"/>
      <c r="AC1324" s="185"/>
      <c r="AD1324" s="649"/>
      <c r="AE1324" s="182"/>
      <c r="AF1324" s="332"/>
      <c r="AG1324" s="182"/>
      <c r="AH1324" s="182"/>
      <c r="AI1324" s="182"/>
      <c r="AJ1324" s="640"/>
      <c r="AK1324" s="182"/>
      <c r="AL1324" s="496"/>
      <c r="AM1324" s="496"/>
      <c r="AN1324" s="626"/>
      <c r="AO1324" s="182"/>
      <c r="AP1324" s="182"/>
      <c r="AQ1324" s="332" t="str">
        <f>UPPER(RIGHT(Journal_Live[[#This Row],[DURATION ]]))</f>
        <v/>
      </c>
      <c r="AR1324" s="182"/>
      <c r="AS1324" s="189"/>
      <c r="AT1324" s="189">
        <f t="shared" si="382"/>
        <v>0</v>
      </c>
      <c r="AU1324" s="187">
        <f t="shared" si="383"/>
        <v>0</v>
      </c>
      <c r="AV1324" s="190">
        <f t="shared" si="384"/>
        <v>0</v>
      </c>
      <c r="AW1324" s="191"/>
      <c r="AX1324" s="407"/>
      <c r="AY1324" s="407"/>
      <c r="AZ1324" s="407"/>
      <c r="BA1324" s="407"/>
      <c r="BB1324" s="407"/>
      <c r="BC1324" s="407"/>
      <c r="BD1324" s="407"/>
      <c r="BE1324" s="407"/>
      <c r="BF1324" s="422"/>
      <c r="BG1324" s="391">
        <f>SUM($AV$4:AV1324)</f>
        <v>4621.8156656882657</v>
      </c>
      <c r="BH1324" s="392">
        <f>SUM($AU$134:AU1324)</f>
        <v>26888.650666666665</v>
      </c>
      <c r="BI1324" s="318">
        <f>SUMIFS($AU$134:AU1325,$Q$134:Q1325,"F")</f>
        <v>11416.666666666668</v>
      </c>
      <c r="BJ1324" s="318">
        <f>SUMIFS($AU$134:AU1325,$Q$134:Q1325,"S")</f>
        <v>17455.642</v>
      </c>
      <c r="BK1324" s="343">
        <f>SUMIFS($AU$134:AU1325,$P$134:P1325,"W")</f>
        <v>15186.141999999927</v>
      </c>
      <c r="BL1324" s="343">
        <f>SUMIFS($AU$134:AU1325,$P$134:P1325,"R")</f>
        <v>13459.606666666656</v>
      </c>
      <c r="BM1324" s="343">
        <f>SUMIFS($AU$134:AU1325,$AQ$134:AQ1325,"M")</f>
        <v>3342.0300000001334</v>
      </c>
      <c r="BN1324" s="343">
        <f>SUMIFS($AU$134:AU1325,$AQ$134:AQ1325,"H")</f>
        <v>10257.341999999999</v>
      </c>
      <c r="BO1324" s="343">
        <f>SUMIFS($AU$134:AU1325,$AQ$134:AQ1325,"D")</f>
        <v>6514.236666666764</v>
      </c>
      <c r="BP1324" s="343">
        <f>SUMIFS($AU$134:AU1327,$AQ$134:AQ1327,"W")</f>
        <v>5395.6199999996161</v>
      </c>
      <c r="BQ1324" s="343">
        <f>SUMIFS($AU$134:AU1325,$Q$134:Q1325,"O")</f>
        <v>-1878.8579999999984</v>
      </c>
      <c r="BR1324" s="343">
        <f>SUMIFS($AU$134:AU1325,$AA$134:AA1325,"*")</f>
        <v>24562.105333333362</v>
      </c>
      <c r="BS1324" s="343">
        <f>SUMIFS($AU$134:AU1325,$AB$134:AB1325,"*")</f>
        <v>3191.7120000000268</v>
      </c>
      <c r="BT1324" s="343">
        <f>SUMIFS($AU$134:AU1325,$AC$134:AC1325,"*")</f>
        <v>15152.216666666667</v>
      </c>
      <c r="BU1324" s="343">
        <f>SUMIFS($AU$134:AU1325,$AA$134:AA1325,"*",$AB$134:AB1325,"*")</f>
        <v>2490.0000000000546</v>
      </c>
      <c r="BV1324" s="343">
        <f>SUMIFS($AU$134:AU1325,$AA$134:AA1325,"*",$AC$134:AC1325,"*")</f>
        <v>11759.983333333334</v>
      </c>
      <c r="BW1324" s="343">
        <f>SUMIFS($AU$134:AU1325,$AB$134:AB1325,"*",$AC$134:AC1325,"*")</f>
        <v>6206.6</v>
      </c>
      <c r="BX1324" s="343">
        <f>SUMIFS($AU1325:AU$1388,$Q1325:Q$1388,"F")</f>
        <v>3024</v>
      </c>
      <c r="BY1324" s="343">
        <f>SUMIFS($AU1325:AU$1388,$Q1325:Q$1388,"S")</f>
        <v>3216.0000000000005</v>
      </c>
      <c r="BZ1324" s="343">
        <f>SUMIFS($AU1325:AU$1388,$Q1325:Q$1388,"O")</f>
        <v>230.00000000020009</v>
      </c>
    </row>
    <row r="1325" spans="1:78" ht="15.75" customHeight="1">
      <c r="A1325" s="221" t="s">
        <v>4220</v>
      </c>
      <c r="B1325" s="177">
        <v>45260</v>
      </c>
      <c r="C1325" s="178" t="s">
        <v>1344</v>
      </c>
      <c r="D1325" s="178" t="s">
        <v>93</v>
      </c>
      <c r="E1325" s="227" t="s">
        <v>4580</v>
      </c>
      <c r="F1325" s="180"/>
      <c r="G1325" s="181"/>
      <c r="H1325" s="182"/>
      <c r="I1325" s="182"/>
      <c r="J1325" s="182"/>
      <c r="K1325" s="183"/>
      <c r="L1325" s="182"/>
      <c r="M1325" s="182"/>
      <c r="N1325" s="182"/>
      <c r="O1325" s="183"/>
      <c r="P1325" s="183"/>
      <c r="Q1325" s="183"/>
      <c r="R1325" s="183"/>
      <c r="S1325" s="183"/>
      <c r="T1325" s="183"/>
      <c r="U1325" s="183"/>
      <c r="V1325" s="183"/>
      <c r="W1325" s="183"/>
      <c r="X1325" s="183"/>
      <c r="Y1325" s="183"/>
      <c r="Z1325" s="185" t="str">
        <f>IF(ISBLANK(O1325),"",IF(O1325="IB",8.63*200,IF(O1325="IR",16*100,IF(O1325="YT",20*100,IF(O1325="YT-XT",24*200,IF(O1325="TED",80*100))))))</f>
        <v/>
      </c>
      <c r="AA1325" s="185"/>
      <c r="AB1325" s="185"/>
      <c r="AC1325" s="185"/>
      <c r="AD1325" s="649"/>
      <c r="AE1325" s="182"/>
      <c r="AF1325" s="332"/>
      <c r="AG1325" s="182"/>
      <c r="AH1325" s="182"/>
      <c r="AI1325" s="182"/>
      <c r="AJ1325" s="640"/>
      <c r="AK1325" s="182"/>
      <c r="AL1325" s="496"/>
      <c r="AM1325" s="496"/>
      <c r="AN1325" s="626"/>
      <c r="AO1325" s="182"/>
      <c r="AP1325" s="182"/>
      <c r="AQ1325" s="332" t="str">
        <f>UPPER(RIGHT(Journal_Live[[#This Row],[DURATION ]]))</f>
        <v/>
      </c>
      <c r="AR1325" s="182"/>
      <c r="AS1325" s="189"/>
      <c r="AT1325" s="189"/>
      <c r="AU1325" s="187"/>
      <c r="AV1325" s="190"/>
      <c r="AW1325" s="191"/>
      <c r="AX1325" s="407"/>
      <c r="AY1325" s="407"/>
      <c r="AZ1325" s="407"/>
      <c r="BA1325" s="407"/>
      <c r="BB1325" s="407"/>
      <c r="BC1325" s="407"/>
      <c r="BD1325" s="407"/>
      <c r="BE1325" s="407"/>
      <c r="BF1325" s="422"/>
      <c r="BG1325" s="391">
        <f>SUM($AV$4:AV1325)</f>
        <v>4621.8156656882657</v>
      </c>
      <c r="BH1325" s="392">
        <f>SUM($AU$134:AU1325)</f>
        <v>26888.650666666665</v>
      </c>
      <c r="BI1325" s="318">
        <f>SUMIFS($AU$134:AU1326,$Q$134:Q1326,"F")</f>
        <v>11416.666666666668</v>
      </c>
      <c r="BJ1325" s="318">
        <f>SUMIFS($AU$134:AU1326,$Q$134:Q1326,"S")</f>
        <v>17455.642</v>
      </c>
      <c r="BK1325" s="343">
        <f>SUMIFS($AU$134:AU1326,$P$134:P1326,"W")</f>
        <v>15186.141999999927</v>
      </c>
      <c r="BL1325" s="343">
        <f>SUMIFS($AU$134:AU1326,$P$134:P1326,"R")</f>
        <v>13459.606666666656</v>
      </c>
      <c r="BM1325" s="343">
        <f>SUMIFS($AU$134:AU1326,$AQ$134:AQ1326,"M")</f>
        <v>3398.0300000001621</v>
      </c>
      <c r="BN1325" s="343">
        <f>SUMIFS($AU$134:AU1326,$AQ$134:AQ1326,"H")</f>
        <v>10257.341999999999</v>
      </c>
      <c r="BO1325" s="343">
        <f>SUMIFS($AU$134:AU1326,$AQ$134:AQ1326,"D")</f>
        <v>6514.236666666764</v>
      </c>
      <c r="BP1325" s="343">
        <f>SUMIFS($AU$134:AU1328,$AQ$134:AQ1328,"W")</f>
        <v>5395.6199999996161</v>
      </c>
      <c r="BQ1325" s="343">
        <f>SUMIFS($AU$134:AU1326,$Q$134:Q1326,"O")</f>
        <v>-1822.8579999999697</v>
      </c>
      <c r="BR1325" s="343">
        <f>SUMIFS($AU$134:AU1326,$AA$134:AA1326,"*")</f>
        <v>24618.105333333391</v>
      </c>
      <c r="BS1325" s="343">
        <f>SUMIFS($AU$134:AU1326,$AB$134:AB1326,"*")</f>
        <v>3191.7120000000268</v>
      </c>
      <c r="BT1325" s="343">
        <f>SUMIFS($AU$134:AU1326,$AC$134:AC1326,"*")</f>
        <v>15152.216666666667</v>
      </c>
      <c r="BU1325" s="343">
        <f>SUMIFS($AU$134:AU1326,$AA$134:AA1326,"*",$AB$134:AB1326,"*")</f>
        <v>2490.0000000000546</v>
      </c>
      <c r="BV1325" s="343">
        <f>SUMIFS($AU$134:AU1326,$AA$134:AA1326,"*",$AC$134:AC1326,"*")</f>
        <v>11759.983333333334</v>
      </c>
      <c r="BW1325" s="343">
        <f>SUMIFS($AU$134:AU1326,$AB$134:AB1326,"*",$AC$134:AC1326,"*")</f>
        <v>6206.6</v>
      </c>
      <c r="BX1325" s="343">
        <f>SUMIFS($AU1326:AU$1388,$Q1326:Q$1388,"F")</f>
        <v>3024</v>
      </c>
      <c r="BY1325" s="343">
        <f>SUMIFS($AU1326:AU$1388,$Q1326:Q$1388,"S")</f>
        <v>3216.0000000000005</v>
      </c>
      <c r="BZ1325" s="343">
        <f>SUMIFS($AU1326:AU$1388,$Q1326:Q$1388,"O")</f>
        <v>230.00000000020009</v>
      </c>
    </row>
    <row r="1326" spans="1:78" ht="15.75" customHeight="1">
      <c r="A1326" s="221" t="s">
        <v>4220</v>
      </c>
      <c r="B1326" s="177">
        <v>45260</v>
      </c>
      <c r="C1326" s="178" t="s">
        <v>682</v>
      </c>
      <c r="D1326" s="178" t="s">
        <v>93</v>
      </c>
      <c r="E1326" s="227"/>
      <c r="F1326" s="180"/>
      <c r="G1326" s="281" t="s">
        <v>3924</v>
      </c>
      <c r="H1326" s="182"/>
      <c r="I1326" s="182"/>
      <c r="J1326" s="182"/>
      <c r="K1326" s="183"/>
      <c r="L1326" s="182">
        <v>1</v>
      </c>
      <c r="M1326" s="182"/>
      <c r="N1326" s="182"/>
      <c r="O1326" s="183" t="s">
        <v>3618</v>
      </c>
      <c r="P1326" s="183" t="s">
        <v>2260</v>
      </c>
      <c r="Q1326" s="183" t="s">
        <v>684</v>
      </c>
      <c r="R1326" s="183">
        <v>1</v>
      </c>
      <c r="S1326" s="183">
        <v>0</v>
      </c>
      <c r="T1326" s="183">
        <v>1</v>
      </c>
      <c r="U1326" s="183" t="s">
        <v>97</v>
      </c>
      <c r="V1326" s="183"/>
      <c r="W1326" s="183"/>
      <c r="X1326" s="183"/>
      <c r="Y1326" s="184">
        <f>IF(ISBLANK(O1326),"",(IF(O1326=UPPER("IB"),0.005,0.01)))</f>
        <v>0.01</v>
      </c>
      <c r="Z1326" s="185">
        <f>IF(ISBLANK(O1326),"",IF(O1326="IB",8.63*200,IF(O1326="IR",16*100,IF(O1326="YT",20*100,IF(O1326="YT-XT",24*200,IF(O1326="TED",80*100,IF(O1326="XT",28*200)))))))</f>
        <v>5600</v>
      </c>
      <c r="AA1326" s="185" t="s">
        <v>3980</v>
      </c>
      <c r="AB1326" s="185"/>
      <c r="AC1326" s="185"/>
      <c r="AD1326" s="649">
        <v>95.56</v>
      </c>
      <c r="AE1326" s="182"/>
      <c r="AF1326" s="332"/>
      <c r="AG1326" s="182"/>
      <c r="AH1326" s="182"/>
      <c r="AI1326" s="182"/>
      <c r="AJ1326" s="640"/>
      <c r="AK1326" s="182"/>
      <c r="AL1326" s="496"/>
      <c r="AM1326" s="496"/>
      <c r="AN1326" s="626"/>
      <c r="AO1326" s="182"/>
      <c r="AP1326" s="182" t="s">
        <v>4007</v>
      </c>
      <c r="AQ1326" s="332" t="str">
        <f>UPPER(RIGHT(Journal_Live[[#This Row],[DURATION ]]))</f>
        <v>M</v>
      </c>
      <c r="AR1326" s="182" t="s">
        <v>4581</v>
      </c>
      <c r="AS1326" s="189">
        <v>95.55</v>
      </c>
      <c r="AT1326" s="189">
        <f>IF(ISBLANK(AS1326),,IF(U1326="S",AD1326-AS1326,AS1326-AD1326))</f>
        <v>1.0000000000005116E-2</v>
      </c>
      <c r="AU1326" s="187">
        <f>AV1326*R1326</f>
        <v>56.000000000028649</v>
      </c>
      <c r="AV1326" s="190">
        <f>IF(ISBLANK(AS1326),,(AT1326*Z1326))</f>
        <v>56.000000000028649</v>
      </c>
      <c r="AW1326" s="191" t="s">
        <v>96</v>
      </c>
      <c r="AX1326" s="407" t="s">
        <v>4582</v>
      </c>
      <c r="AY1326" s="407" t="s">
        <v>4583</v>
      </c>
      <c r="AZ1326" s="407" t="s">
        <v>4584</v>
      </c>
      <c r="BA1326" s="407"/>
      <c r="BB1326" s="407"/>
      <c r="BC1326" s="407"/>
      <c r="BD1326" s="407" t="s">
        <v>4585</v>
      </c>
      <c r="BE1326" s="407"/>
      <c r="BF1326" s="422"/>
      <c r="BG1326" s="391">
        <f>SUM($AV$4:AV1326)</f>
        <v>4677.8156656882948</v>
      </c>
      <c r="BH1326" s="392">
        <f>SUM($AU$134:AU1326)</f>
        <v>26944.650666666694</v>
      </c>
      <c r="BI1326" s="318">
        <f>SUMIFS($AU$134:AU1327,$Q$134:Q1327,"F")</f>
        <v>11416.666666666668</v>
      </c>
      <c r="BJ1326" s="318">
        <f>SUMIFS($AU$134:AU1327,$Q$134:Q1327,"S")</f>
        <v>17167.642</v>
      </c>
      <c r="BK1326" s="343">
        <f>SUMIFS($AU$134:AU1327,$P$134:P1327,"W")</f>
        <v>15186.141999999927</v>
      </c>
      <c r="BL1326" s="343">
        <f>SUMIFS($AU$134:AU1327,$P$134:P1327,"R")</f>
        <v>13171.606666666656</v>
      </c>
      <c r="BM1326" s="343">
        <f>SUMIFS($AU$134:AU1327,$AQ$134:AQ1327,"M")</f>
        <v>3398.0300000001621</v>
      </c>
      <c r="BN1326" s="343">
        <f>SUMIFS($AU$134:AU1327,$AQ$134:AQ1327,"H")</f>
        <v>10257.341999999999</v>
      </c>
      <c r="BO1326" s="343">
        <f>SUMIFS($AU$134:AU1327,$AQ$134:AQ1327,"D")</f>
        <v>6226.236666666764</v>
      </c>
      <c r="BP1326" s="343">
        <f>SUMIFS($AU$134:AU1329,$AQ$134:AQ1329,"W")</f>
        <v>5395.6199999996161</v>
      </c>
      <c r="BQ1326" s="343">
        <f>SUMIFS($AU$134:AU1327,$Q$134:Q1327,"O")</f>
        <v>-1822.8579999999697</v>
      </c>
      <c r="BR1326" s="343">
        <f>SUMIFS($AU$134:AU1327,$AA$134:AA1327,"*")</f>
        <v>24330.105333333391</v>
      </c>
      <c r="BS1326" s="343">
        <f>SUMIFS($AU$134:AU1327,$AB$134:AB1327,"*")</f>
        <v>3191.7120000000268</v>
      </c>
      <c r="BT1326" s="343">
        <f>SUMIFS($AU$134:AU1327,$AC$134:AC1327,"*")</f>
        <v>15152.216666666667</v>
      </c>
      <c r="BU1326" s="343">
        <f>SUMIFS($AU$134:AU1327,$AA$134:AA1327,"*",$AB$134:AB1327,"*")</f>
        <v>2490.0000000000546</v>
      </c>
      <c r="BV1326" s="343">
        <f>SUMIFS($AU$134:AU1327,$AA$134:AA1327,"*",$AC$134:AC1327,"*")</f>
        <v>11759.983333333334</v>
      </c>
      <c r="BW1326" s="343">
        <f>SUMIFS($AU$134:AU1327,$AB$134:AB1327,"*",$AC$134:AC1327,"*")</f>
        <v>6206.6</v>
      </c>
      <c r="BX1326" s="343">
        <f>SUMIFS($AU1327:AU$1388,$Q1327:Q$1388,"F")</f>
        <v>3024</v>
      </c>
      <c r="BY1326" s="343">
        <f>SUMIFS($AU1327:AU$1388,$Q1327:Q$1388,"S")</f>
        <v>3216.0000000000005</v>
      </c>
      <c r="BZ1326" s="343">
        <f>SUMIFS($AU1327:AU$1388,$Q1327:Q$1388,"O")</f>
        <v>174.00000000017144</v>
      </c>
    </row>
    <row r="1327" spans="1:78" ht="15.75" customHeight="1">
      <c r="A1327" s="221" t="s">
        <v>4220</v>
      </c>
      <c r="B1327" s="177">
        <v>45260</v>
      </c>
      <c r="C1327" s="178" t="s">
        <v>1833</v>
      </c>
      <c r="D1327" s="178" t="s">
        <v>93</v>
      </c>
      <c r="E1327" s="227"/>
      <c r="F1327" s="180"/>
      <c r="G1327" s="281" t="s">
        <v>2070</v>
      </c>
      <c r="H1327" s="182"/>
      <c r="I1327" s="182"/>
      <c r="J1327" s="182"/>
      <c r="K1327" s="183"/>
      <c r="L1327" s="182">
        <v>1</v>
      </c>
      <c r="M1327" s="182"/>
      <c r="N1327" s="182"/>
      <c r="O1327" s="183" t="s">
        <v>95</v>
      </c>
      <c r="P1327" s="183" t="s">
        <v>137</v>
      </c>
      <c r="Q1327" s="183" t="s">
        <v>97</v>
      </c>
      <c r="R1327" s="183">
        <v>18</v>
      </c>
      <c r="S1327" s="183">
        <v>0</v>
      </c>
      <c r="T1327" s="183">
        <v>18</v>
      </c>
      <c r="U1327" s="183" t="s">
        <v>97</v>
      </c>
      <c r="V1327" s="183"/>
      <c r="W1327" s="183"/>
      <c r="X1327" s="183"/>
      <c r="Y1327" s="184">
        <f>IF(ISBLANK(O1327),"",(IF(O1327=UPPER("IB"),0.005,0.01)))</f>
        <v>0.01</v>
      </c>
      <c r="Z1327" s="185">
        <f>IF(ISBLANK(O1327),"",IF(O1327="IB",8.63*200,IF(O1327="IR",16*100,IF(O1327="YT",20*100,IF(O1327="YT-XT",24*200,IF(O1327="TED",80*100))))))</f>
        <v>1600</v>
      </c>
      <c r="AA1327" s="185" t="s">
        <v>99</v>
      </c>
      <c r="AB1327" s="185"/>
      <c r="AC1327" s="185"/>
      <c r="AD1327" s="649">
        <v>-0.11</v>
      </c>
      <c r="AE1327" s="182"/>
      <c r="AF1327" s="332"/>
      <c r="AG1327" s="182"/>
      <c r="AH1327" s="182">
        <v>-20</v>
      </c>
      <c r="AI1327" s="407" t="s">
        <v>4586</v>
      </c>
      <c r="AJ1327" s="640"/>
      <c r="AK1327" s="182"/>
      <c r="AL1327" s="496">
        <f t="shared" si="389"/>
        <v>-48</v>
      </c>
      <c r="AM1327" s="496">
        <f>AL1327*(R1327-S1327)</f>
        <v>-864</v>
      </c>
      <c r="AN1327" s="626"/>
      <c r="AO1327" s="182"/>
      <c r="AP1327" s="182" t="s">
        <v>804</v>
      </c>
      <c r="AQ1327" s="332" t="str">
        <f>UPPER(RIGHT(Journal_Live[[#This Row],[DURATION ]]))</f>
        <v>D</v>
      </c>
      <c r="AR1327" s="182" t="s">
        <v>4587</v>
      </c>
      <c r="AS1327" s="189">
        <v>-0.1</v>
      </c>
      <c r="AT1327" s="189">
        <f>IF(ISBLANK(AS1327),,IF(U1327="S",AD1327-AS1327,AS1327-AD1327))</f>
        <v>-9.999999999999995E-3</v>
      </c>
      <c r="AU1327" s="187">
        <f>AV1327*R1327</f>
        <v>-287.99999999999989</v>
      </c>
      <c r="AV1327" s="190">
        <f>IF(ISBLANK(AS1327),,(AT1327*Z1327))</f>
        <v>-15.999999999999993</v>
      </c>
      <c r="AW1327" s="191" t="s">
        <v>229</v>
      </c>
      <c r="AX1327" s="407" t="s">
        <v>4588</v>
      </c>
      <c r="AY1327" s="407"/>
      <c r="AZ1327" s="407"/>
      <c r="BA1327" s="407"/>
      <c r="BB1327" s="407"/>
      <c r="BC1327" s="407"/>
      <c r="BD1327" s="407"/>
      <c r="BE1327" s="407"/>
      <c r="BF1327" s="422"/>
      <c r="BG1327" s="391">
        <f>SUM($AV$4:AV1327)</f>
        <v>4661.8156656882948</v>
      </c>
      <c r="BH1327" s="392">
        <f>SUM($AU$134:AU1327)</f>
        <v>26656.650666666694</v>
      </c>
      <c r="BI1327" s="318">
        <f>SUMIFS($AU$134:AU1328,$Q$134:Q1328,"F")</f>
        <v>11416.666666666668</v>
      </c>
      <c r="BJ1327" s="318">
        <f>SUMIFS($AU$134:AU1328,$Q$134:Q1328,"S")</f>
        <v>17167.642</v>
      </c>
      <c r="BK1327" s="343">
        <f>SUMIFS($AU$134:AU1328,$P$134:P1328,"W")</f>
        <v>15186.141999999927</v>
      </c>
      <c r="BL1327" s="343">
        <f>SUMIFS($AU$134:AU1328,$P$134:P1328,"R")</f>
        <v>13171.606666666656</v>
      </c>
      <c r="BM1327" s="343">
        <f>SUMIFS($AU$134:AU1328,$AQ$134:AQ1328,"M")</f>
        <v>3398.0300000001621</v>
      </c>
      <c r="BN1327" s="343">
        <f>SUMIFS($AU$134:AU1328,$AQ$134:AQ1328,"H")</f>
        <v>10257.341999999999</v>
      </c>
      <c r="BO1327" s="343">
        <f>SUMIFS($AU$134:AU1328,$AQ$134:AQ1328,"D")</f>
        <v>6226.236666666764</v>
      </c>
      <c r="BP1327" s="343">
        <f>SUMIFS($AU$134:AU1330,$AQ$134:AQ1330,"W")</f>
        <v>5395.6199999996161</v>
      </c>
      <c r="BQ1327" s="343">
        <f>SUMIFS($AU$134:AU1328,$Q$134:Q1328,"O")</f>
        <v>-1822.8579999999697</v>
      </c>
      <c r="BR1327" s="343">
        <f>SUMIFS($AU$134:AU1328,$AA$134:AA1328,"*")</f>
        <v>24330.105333333391</v>
      </c>
      <c r="BS1327" s="343">
        <f>SUMIFS($AU$134:AU1328,$AB$134:AB1328,"*")</f>
        <v>3191.7120000000268</v>
      </c>
      <c r="BT1327" s="343">
        <f>SUMIFS($AU$134:AU1328,$AC$134:AC1328,"*")</f>
        <v>15152.216666666667</v>
      </c>
      <c r="BU1327" s="343">
        <f>SUMIFS($AU$134:AU1328,$AA$134:AA1328,"*",$AB$134:AB1328,"*")</f>
        <v>2490.0000000000546</v>
      </c>
      <c r="BV1327" s="343">
        <f>SUMIFS($AU$134:AU1328,$AA$134:AA1328,"*",$AC$134:AC1328,"*")</f>
        <v>11759.983333333334</v>
      </c>
      <c r="BW1327" s="343">
        <f>SUMIFS($AU$134:AU1328,$AB$134:AB1328,"*",$AC$134:AC1328,"*")</f>
        <v>6206.6</v>
      </c>
      <c r="BX1327" s="343">
        <f>SUMIFS($AU1328:AU$1388,$Q1328:Q$1388,"F")</f>
        <v>3024</v>
      </c>
      <c r="BY1327" s="343">
        <f>SUMIFS($AU1328:AU$1388,$Q1328:Q$1388,"S")</f>
        <v>3504.0000000000005</v>
      </c>
      <c r="BZ1327" s="343">
        <f>SUMIFS($AU1328:AU$1388,$Q1328:Q$1388,"O")</f>
        <v>174.00000000017144</v>
      </c>
    </row>
    <row r="1328" spans="1:78" ht="15.75" customHeight="1">
      <c r="A1328" s="221" t="s">
        <v>4220</v>
      </c>
      <c r="B1328" s="177">
        <v>45260</v>
      </c>
      <c r="C1328" s="178" t="s">
        <v>682</v>
      </c>
      <c r="D1328" s="178" t="s">
        <v>93</v>
      </c>
      <c r="E1328" s="227"/>
      <c r="F1328" s="180"/>
      <c r="G1328" s="281" t="s">
        <v>2016</v>
      </c>
      <c r="H1328" s="182"/>
      <c r="I1328" s="182"/>
      <c r="J1328" s="182"/>
      <c r="K1328" s="183"/>
      <c r="L1328" s="182">
        <v>1</v>
      </c>
      <c r="M1328" s="182"/>
      <c r="N1328" s="182"/>
      <c r="O1328" s="183" t="s">
        <v>95</v>
      </c>
      <c r="P1328" s="183" t="s">
        <v>96</v>
      </c>
      <c r="Q1328" s="183" t="s">
        <v>97</v>
      </c>
      <c r="R1328" s="183">
        <v>36</v>
      </c>
      <c r="S1328" s="183">
        <v>0</v>
      </c>
      <c r="T1328" s="183">
        <v>18</v>
      </c>
      <c r="U1328" s="183" t="s">
        <v>97</v>
      </c>
      <c r="V1328" s="183"/>
      <c r="W1328" s="183"/>
      <c r="X1328" s="183"/>
      <c r="Y1328" s="184">
        <f>IF(ISBLANK(O1328),"",(IF(O1328=UPPER("IB"),0.005,0.01)))</f>
        <v>0.01</v>
      </c>
      <c r="Z1328" s="185">
        <f>IF(ISBLANK(O1328),"",IF(O1328="IB",8.63*200,IF(O1328="IR",16*100,IF(O1328="YT",20*100,IF(O1328="YT-XT",24*200,IF(O1328="TED",80*100))))))</f>
        <v>1600</v>
      </c>
      <c r="AA1328" s="185" t="s">
        <v>99</v>
      </c>
      <c r="AB1328" s="185"/>
      <c r="AC1328" s="185" t="s">
        <v>4589</v>
      </c>
      <c r="AD1328" s="649">
        <v>-0.09</v>
      </c>
      <c r="AE1328" s="182"/>
      <c r="AF1328" s="332"/>
      <c r="AG1328" s="182"/>
      <c r="AH1328" s="182"/>
      <c r="AI1328" s="182"/>
      <c r="AJ1328" s="640"/>
      <c r="AK1328" s="182"/>
      <c r="AL1328" s="496">
        <f t="shared" si="389"/>
        <v>-48</v>
      </c>
      <c r="AM1328" s="496">
        <f>AL1328*(R1328-S1328)</f>
        <v>-1728</v>
      </c>
      <c r="AN1328" s="626"/>
      <c r="AO1328" s="182"/>
      <c r="AP1328" s="182" t="s">
        <v>1005</v>
      </c>
      <c r="AQ1328" s="332" t="str">
        <f>UPPER(RIGHT(Journal_Live[[#This Row],[DURATION ]]))</f>
        <v>H</v>
      </c>
      <c r="AR1328" s="182" t="s">
        <v>4563</v>
      </c>
      <c r="AS1328" s="189">
        <v>-0.09</v>
      </c>
      <c r="AT1328" s="189">
        <f>IF(ISBLANK(AS1328),,IF(U1328="S",AD1328-AS1328,AS1328-AD1328))</f>
        <v>0</v>
      </c>
      <c r="AU1328" s="187">
        <f>AV1328*R1328</f>
        <v>0</v>
      </c>
      <c r="AV1328" s="190">
        <f>IF(ISBLANK(AS1328),,(AT1328*Z1328))</f>
        <v>0</v>
      </c>
      <c r="AW1328" s="191" t="s">
        <v>115</v>
      </c>
      <c r="AX1328" s="407" t="s">
        <v>4590</v>
      </c>
      <c r="AY1328" s="407" t="s">
        <v>4591</v>
      </c>
      <c r="AZ1328" s="407" t="s">
        <v>4592</v>
      </c>
      <c r="BA1328" s="407" t="s">
        <v>4593</v>
      </c>
      <c r="BB1328" s="407" t="s">
        <v>4594</v>
      </c>
      <c r="BC1328" s="407" t="s">
        <v>4595</v>
      </c>
      <c r="BD1328" s="407" t="s">
        <v>4596</v>
      </c>
      <c r="BE1328" s="407"/>
      <c r="BF1328" s="422"/>
      <c r="BG1328" s="391">
        <f>SUM($AV$4:AV1328)</f>
        <v>4661.8156656882948</v>
      </c>
      <c r="BH1328" s="392">
        <f>SUM($AU$134:AU1328)</f>
        <v>26656.650666666694</v>
      </c>
      <c r="BI1328" s="318">
        <f>SUMIFS($AU$134:AU1329,$Q$134:Q1329,"F")</f>
        <v>11416.666666666668</v>
      </c>
      <c r="BJ1328" s="318">
        <f>SUMIFS($AU$134:AU1329,$Q$134:Q1329,"S")</f>
        <v>17167.642</v>
      </c>
      <c r="BK1328" s="343">
        <f>SUMIFS($AU$134:AU1329,$P$134:P1329,"W")</f>
        <v>15186.141999999927</v>
      </c>
      <c r="BL1328" s="343">
        <f>SUMIFS($AU$134:AU1329,$P$134:P1329,"R")</f>
        <v>13171.606666666656</v>
      </c>
      <c r="BM1328" s="343">
        <f>SUMIFS($AU$134:AU1329,$AQ$134:AQ1329,"M")</f>
        <v>3398.0300000001621</v>
      </c>
      <c r="BN1328" s="343">
        <f>SUMIFS($AU$134:AU1329,$AQ$134:AQ1329,"H")</f>
        <v>10257.341999999999</v>
      </c>
      <c r="BO1328" s="343">
        <f>SUMIFS($AU$134:AU1329,$AQ$134:AQ1329,"D")</f>
        <v>6226.236666666764</v>
      </c>
      <c r="BP1328" s="343">
        <f>SUMIFS($AU$134:AU1331,$AQ$134:AQ1331,"W")</f>
        <v>5395.6199999996161</v>
      </c>
      <c r="BQ1328" s="343">
        <f>SUMIFS($AU$134:AU1329,$Q$134:Q1329,"O")</f>
        <v>-1822.8579999999697</v>
      </c>
      <c r="BR1328" s="343">
        <f>SUMIFS($AU$134:AU1329,$AA$134:AA1329,"*")</f>
        <v>24330.105333333391</v>
      </c>
      <c r="BS1328" s="343">
        <f>SUMIFS($AU$134:AU1329,$AB$134:AB1329,"*")</f>
        <v>3191.7120000000268</v>
      </c>
      <c r="BT1328" s="343">
        <f>SUMIFS($AU$134:AU1329,$AC$134:AC1329,"*")</f>
        <v>15152.216666666667</v>
      </c>
      <c r="BU1328" s="343">
        <f>SUMIFS($AU$134:AU1329,$AA$134:AA1329,"*",$AB$134:AB1329,"*")</f>
        <v>2490.0000000000546</v>
      </c>
      <c r="BV1328" s="343">
        <f>SUMIFS($AU$134:AU1329,$AA$134:AA1329,"*",$AC$134:AC1329,"*")</f>
        <v>11759.983333333334</v>
      </c>
      <c r="BW1328" s="343">
        <f>SUMIFS($AU$134:AU1329,$AB$134:AB1329,"*",$AC$134:AC1329,"*")</f>
        <v>6206.6</v>
      </c>
      <c r="BX1328" s="343">
        <f>SUMIFS($AU1329:AU$1388,$Q1329:Q$1388,"F")</f>
        <v>3024</v>
      </c>
      <c r="BY1328" s="343">
        <f>SUMIFS($AU1329:AU$1388,$Q1329:Q$1388,"S")</f>
        <v>3504.0000000000005</v>
      </c>
      <c r="BZ1328" s="343">
        <f>SUMIFS($AU1329:AU$1388,$Q1329:Q$1388,"O")</f>
        <v>174.00000000017144</v>
      </c>
    </row>
    <row r="1329" spans="1:78" ht="15.75" customHeight="1">
      <c r="A1329" s="221" t="s">
        <v>4220</v>
      </c>
      <c r="B1329" s="177"/>
      <c r="C1329" s="178"/>
      <c r="D1329" s="178"/>
      <c r="E1329" s="227"/>
      <c r="F1329" s="180"/>
      <c r="G1329" s="181"/>
      <c r="H1329" s="182"/>
      <c r="I1329" s="182"/>
      <c r="J1329" s="182"/>
      <c r="K1329" s="183"/>
      <c r="L1329" s="182"/>
      <c r="M1329" s="182"/>
      <c r="N1329" s="182"/>
      <c r="O1329" s="183"/>
      <c r="P1329" s="183"/>
      <c r="Q1329" s="183"/>
      <c r="R1329" s="183"/>
      <c r="S1329" s="183"/>
      <c r="T1329" s="183"/>
      <c r="U1329" s="183"/>
      <c r="V1329" s="183"/>
      <c r="W1329" s="183"/>
      <c r="X1329" s="183"/>
      <c r="Y1329" s="183"/>
      <c r="Z1329" s="185" t="str">
        <f>IF(ISBLANK(O1329),"",IF(O1329="IB",8.63*200,IF(O1329="IR",16*100,IF(O1329="YT",20*100,IF(O1329="YT-XT",24*200,IF(O1329="TED",80*100))))))</f>
        <v/>
      </c>
      <c r="AA1329" s="185"/>
      <c r="AB1329" s="185"/>
      <c r="AC1329" s="185"/>
      <c r="AD1329" s="649"/>
      <c r="AE1329" s="182"/>
      <c r="AF1329" s="332"/>
      <c r="AG1329" s="182"/>
      <c r="AH1329" s="182"/>
      <c r="AI1329" s="182"/>
      <c r="AJ1329" s="640"/>
      <c r="AK1329" s="182"/>
      <c r="AL1329" s="496"/>
      <c r="AM1329" s="496"/>
      <c r="AN1329" s="626"/>
      <c r="AO1329" s="182"/>
      <c r="AP1329" s="182"/>
      <c r="AQ1329" s="332" t="str">
        <f>UPPER(RIGHT(Journal_Live[[#This Row],[DURATION ]]))</f>
        <v/>
      </c>
      <c r="AR1329" s="182"/>
      <c r="AS1329" s="189"/>
      <c r="AT1329" s="189"/>
      <c r="AU1329" s="187"/>
      <c r="AV1329" s="190"/>
      <c r="AW1329" s="191"/>
      <c r="AX1329" s="407"/>
      <c r="AY1329" s="407"/>
      <c r="AZ1329" s="407"/>
      <c r="BA1329" s="407"/>
      <c r="BB1329" s="407"/>
      <c r="BC1329" s="407"/>
      <c r="BD1329" s="407"/>
      <c r="BE1329" s="407"/>
      <c r="BF1329" s="422"/>
      <c r="BG1329" s="391">
        <f>SUM($AV$4:AV1329)</f>
        <v>4661.8156656882948</v>
      </c>
      <c r="BH1329" s="392">
        <f>SUM($AU$134:AU1329)</f>
        <v>26656.650666666694</v>
      </c>
      <c r="BI1329" s="318">
        <f>SUMIFS($AU$134:AU1330,$Q$134:Q1330,"F")</f>
        <v>11416.666666666668</v>
      </c>
      <c r="BJ1329" s="318">
        <f>SUMIFS($AU$134:AU1330,$Q$134:Q1330,"S")</f>
        <v>17167.642</v>
      </c>
      <c r="BK1329" s="343">
        <f>SUMIFS($AU$134:AU1330,$P$134:P1330,"W")</f>
        <v>15186.141999999927</v>
      </c>
      <c r="BL1329" s="343">
        <f>SUMIFS($AU$134:AU1330,$P$134:P1330,"R")</f>
        <v>13171.606666666656</v>
      </c>
      <c r="BM1329" s="343">
        <f>SUMIFS($AU$134:AU1330,$AQ$134:AQ1330,"M")</f>
        <v>3398.0300000001621</v>
      </c>
      <c r="BN1329" s="343">
        <f>SUMIFS($AU$134:AU1330,$AQ$134:AQ1330,"H")</f>
        <v>10257.341999999999</v>
      </c>
      <c r="BO1329" s="343">
        <f>SUMIFS($AU$134:AU1330,$AQ$134:AQ1330,"D")</f>
        <v>6226.236666666764</v>
      </c>
      <c r="BP1329" s="343">
        <f>SUMIFS($AU$134:AU1332,$AQ$134:AQ1332,"W")</f>
        <v>5395.6199999996161</v>
      </c>
      <c r="BQ1329" s="343">
        <f>SUMIFS($AU$134:AU1330,$Q$134:Q1330,"O")</f>
        <v>-1822.8579999999697</v>
      </c>
      <c r="BR1329" s="343">
        <f>SUMIFS($AU$134:AU1330,$AA$134:AA1330,"*")</f>
        <v>24330.105333333391</v>
      </c>
      <c r="BS1329" s="343">
        <f>SUMIFS($AU$134:AU1330,$AB$134:AB1330,"*")</f>
        <v>3191.7120000000268</v>
      </c>
      <c r="BT1329" s="343">
        <f>SUMIFS($AU$134:AU1330,$AC$134:AC1330,"*")</f>
        <v>15152.216666666667</v>
      </c>
      <c r="BU1329" s="343">
        <f>SUMIFS($AU$134:AU1330,$AA$134:AA1330,"*",$AB$134:AB1330,"*")</f>
        <v>2490.0000000000546</v>
      </c>
      <c r="BV1329" s="343">
        <f>SUMIFS($AU$134:AU1330,$AA$134:AA1330,"*",$AC$134:AC1330,"*")</f>
        <v>11759.983333333334</v>
      </c>
      <c r="BW1329" s="343">
        <f>SUMIFS($AU$134:AU1330,$AB$134:AB1330,"*",$AC$134:AC1330,"*")</f>
        <v>6206.6</v>
      </c>
      <c r="BX1329" s="343">
        <f>SUMIFS($AU1330:AU$1388,$Q1330:Q$1388,"F")</f>
        <v>3024</v>
      </c>
      <c r="BY1329" s="343">
        <f>SUMIFS($AU1330:AU$1388,$Q1330:Q$1388,"S")</f>
        <v>3504.0000000000005</v>
      </c>
      <c r="BZ1329" s="343">
        <f>SUMIFS($AU1330:AU$1388,$Q1330:Q$1388,"O")</f>
        <v>174.00000000017144</v>
      </c>
    </row>
    <row r="1330" spans="1:78" ht="15.75" customHeight="1">
      <c r="A1330" s="221" t="s">
        <v>4220</v>
      </c>
      <c r="B1330" s="177"/>
      <c r="C1330" s="178"/>
      <c r="D1330" s="178"/>
      <c r="E1330" s="227"/>
      <c r="F1330" s="180"/>
      <c r="G1330" s="181"/>
      <c r="H1330" s="182"/>
      <c r="I1330" s="182"/>
      <c r="J1330" s="182"/>
      <c r="K1330" s="183"/>
      <c r="L1330" s="182"/>
      <c r="M1330" s="182"/>
      <c r="N1330" s="182"/>
      <c r="O1330" s="183"/>
      <c r="P1330" s="183"/>
      <c r="Q1330" s="183"/>
      <c r="R1330" s="183"/>
      <c r="S1330" s="183"/>
      <c r="T1330" s="183"/>
      <c r="U1330" s="183"/>
      <c r="V1330" s="183"/>
      <c r="W1330" s="183"/>
      <c r="X1330" s="183"/>
      <c r="Y1330" s="183"/>
      <c r="Z1330" s="185" t="str">
        <f>IF(ISBLANK(O1330),"",IF(O1330="IB",8.63*200,IF(O1330="IR",16*100,IF(O1330="YT",20*100,IF(O1330="YT-XT",24*200,IF(O1330="TED",80*100))))))</f>
        <v/>
      </c>
      <c r="AA1330" s="185"/>
      <c r="AB1330" s="185"/>
      <c r="AC1330" s="185"/>
      <c r="AD1330" s="649"/>
      <c r="AE1330" s="182"/>
      <c r="AF1330" s="332"/>
      <c r="AG1330" s="182"/>
      <c r="AH1330" s="182"/>
      <c r="AI1330" s="182"/>
      <c r="AJ1330" s="640"/>
      <c r="AK1330" s="182"/>
      <c r="AL1330" s="496"/>
      <c r="AM1330" s="496"/>
      <c r="AN1330" s="626"/>
      <c r="AO1330" s="182"/>
      <c r="AP1330" s="182"/>
      <c r="AQ1330" s="332" t="str">
        <f>UPPER(RIGHT(Journal_Live[[#This Row],[DURATION ]]))</f>
        <v/>
      </c>
      <c r="AR1330" s="182"/>
      <c r="AS1330" s="189"/>
      <c r="AT1330" s="189"/>
      <c r="AU1330" s="187"/>
      <c r="AV1330" s="190"/>
      <c r="AW1330" s="191"/>
      <c r="AX1330" s="417" t="s">
        <v>4303</v>
      </c>
      <c r="AY1330" s="417" t="s">
        <v>4340</v>
      </c>
      <c r="AZ1330" s="417" t="s">
        <v>4597</v>
      </c>
      <c r="BA1330" s="417" t="s">
        <v>4598</v>
      </c>
      <c r="BB1330" s="417" t="s">
        <v>4599</v>
      </c>
      <c r="BC1330" s="417" t="s">
        <v>4600</v>
      </c>
      <c r="BD1330" s="417" t="s">
        <v>4601</v>
      </c>
      <c r="BE1330" s="417" t="s">
        <v>4602</v>
      </c>
      <c r="BF1330" s="417" t="s">
        <v>4603</v>
      </c>
      <c r="BG1330" s="391">
        <f>SUM($AV$4:AV1330)</f>
        <v>4661.8156656882948</v>
      </c>
      <c r="BH1330" s="392">
        <f>SUM($AU$134:AU1330)</f>
        <v>26656.650666666694</v>
      </c>
      <c r="BI1330" s="318">
        <f>SUMIFS($AU$134:AU1331,$Q$134:Q1331,"F")</f>
        <v>11416.666666666668</v>
      </c>
      <c r="BJ1330" s="318">
        <f>SUMIFS($AU$134:AU1331,$Q$134:Q1331,"S")</f>
        <v>17167.642</v>
      </c>
      <c r="BK1330" s="343">
        <f>SUMIFS($AU$134:AU1331,$P$134:P1331,"W")</f>
        <v>15186.141999999927</v>
      </c>
      <c r="BL1330" s="343">
        <f>SUMIFS($AU$134:AU1331,$P$134:P1331,"R")</f>
        <v>13171.606666666656</v>
      </c>
      <c r="BM1330" s="343">
        <f>SUMIFS($AU$134:AU1331,$AQ$134:AQ1331,"M")</f>
        <v>3398.0300000001621</v>
      </c>
      <c r="BN1330" s="343">
        <f>SUMIFS($AU$134:AU1331,$AQ$134:AQ1331,"H")</f>
        <v>10257.341999999999</v>
      </c>
      <c r="BO1330" s="343">
        <f>SUMIFS($AU$134:AU1331,$AQ$134:AQ1331,"D")</f>
        <v>6226.236666666764</v>
      </c>
      <c r="BP1330" s="343">
        <f>SUMIFS($AU$134:AU1333,$AQ$134:AQ1333,"W")</f>
        <v>5395.6199999996161</v>
      </c>
      <c r="BQ1330" s="343">
        <f>SUMIFS($AU$134:AU1331,$Q$134:Q1331,"O")</f>
        <v>-1822.8579999999697</v>
      </c>
      <c r="BR1330" s="343">
        <f>SUMIFS($AU$134:AU1331,$AA$134:AA1331,"*")</f>
        <v>24330.105333333391</v>
      </c>
      <c r="BS1330" s="343">
        <f>SUMIFS($AU$134:AU1331,$AB$134:AB1331,"*")</f>
        <v>3191.7120000000268</v>
      </c>
      <c r="BT1330" s="343">
        <f>SUMIFS($AU$134:AU1331,$AC$134:AC1331,"*")</f>
        <v>15152.216666666667</v>
      </c>
      <c r="BU1330" s="343">
        <f>SUMIFS($AU$134:AU1331,$AA$134:AA1331,"*",$AB$134:AB1331,"*")</f>
        <v>2490.0000000000546</v>
      </c>
      <c r="BV1330" s="343">
        <f>SUMIFS($AU$134:AU1331,$AA$134:AA1331,"*",$AC$134:AC1331,"*")</f>
        <v>11759.983333333334</v>
      </c>
      <c r="BW1330" s="343">
        <f>SUMIFS($AU$134:AU1331,$AB$134:AB1331,"*",$AC$134:AC1331,"*")</f>
        <v>6206.6</v>
      </c>
      <c r="BX1330" s="343">
        <f>SUMIFS($AU1331:AU$1388,$Q1331:Q$1388,"F")</f>
        <v>3024</v>
      </c>
      <c r="BY1330" s="343">
        <f>SUMIFS($AU1331:AU$1388,$Q1331:Q$1388,"S")</f>
        <v>3504.0000000000005</v>
      </c>
      <c r="BZ1330" s="343">
        <f>SUMIFS($AU1331:AU$1388,$Q1331:Q$1388,"O")</f>
        <v>174.00000000017144</v>
      </c>
    </row>
    <row r="1331" spans="1:78" ht="15.75" customHeight="1">
      <c r="A1331" s="221" t="s">
        <v>4220</v>
      </c>
      <c r="B1331" s="200"/>
      <c r="C1331" s="178"/>
      <c r="D1331" s="178"/>
      <c r="E1331" s="227"/>
      <c r="F1331" s="180"/>
      <c r="G1331" s="181"/>
      <c r="H1331" s="182"/>
      <c r="I1331" s="182"/>
      <c r="J1331" s="182"/>
      <c r="K1331" s="183"/>
      <c r="L1331" s="182"/>
      <c r="M1331" s="182"/>
      <c r="N1331" s="182"/>
      <c r="O1331" s="183"/>
      <c r="P1331" s="183"/>
      <c r="Q1331" s="183"/>
      <c r="R1331" s="183"/>
      <c r="S1331" s="183"/>
      <c r="T1331" s="183"/>
      <c r="U1331" s="183"/>
      <c r="V1331" s="183"/>
      <c r="W1331" s="183"/>
      <c r="X1331" s="183"/>
      <c r="Y1331" s="183"/>
      <c r="Z1331" s="183"/>
      <c r="AA1331" s="185"/>
      <c r="AB1331" s="185"/>
      <c r="AC1331" s="185"/>
      <c r="AD1331" s="649"/>
      <c r="AE1331" s="182"/>
      <c r="AF1331" s="332"/>
      <c r="AG1331" s="182"/>
      <c r="AH1331" s="182"/>
      <c r="AI1331" s="182"/>
      <c r="AJ1331" s="640"/>
      <c r="AK1331" s="182"/>
      <c r="AL1331" s="496"/>
      <c r="AM1331" s="496"/>
      <c r="AN1331" s="626"/>
      <c r="AO1331" s="182"/>
      <c r="AP1331" s="182"/>
      <c r="AQ1331" s="332" t="str">
        <f>UPPER(RIGHT(Journal_Live[[#This Row],[DURATION ]]))</f>
        <v/>
      </c>
      <c r="AR1331" s="182"/>
      <c r="AS1331" s="189"/>
      <c r="AT1331" s="189"/>
      <c r="AU1331" s="187"/>
      <c r="AV1331" s="190"/>
      <c r="AW1331" s="191"/>
      <c r="AX1331" s="417" t="s">
        <v>4604</v>
      </c>
      <c r="AY1331" s="417" t="s">
        <v>4605</v>
      </c>
      <c r="AZ1331" s="417" t="s">
        <v>4606</v>
      </c>
      <c r="BA1331" s="417" t="s">
        <v>4607</v>
      </c>
      <c r="BB1331" s="417" t="s">
        <v>4608</v>
      </c>
      <c r="BC1331" s="417" t="s">
        <v>4609</v>
      </c>
      <c r="BD1331" s="417" t="s">
        <v>4610</v>
      </c>
      <c r="BE1331" s="417" t="s">
        <v>4611</v>
      </c>
      <c r="BF1331" s="417" t="s">
        <v>4612</v>
      </c>
      <c r="BG1331" s="391">
        <f>SUM($AV$4:AV1331)</f>
        <v>4661.8156656882948</v>
      </c>
      <c r="BH1331" s="392">
        <f>SUM($AU$134:AU1331)</f>
        <v>26656.650666666694</v>
      </c>
      <c r="BI1331" s="318">
        <f>SUMIFS($AU$134:AU1332,$Q$134:Q1332,"F")</f>
        <v>11416.666666666668</v>
      </c>
      <c r="BJ1331" s="318">
        <f>SUMIFS($AU$134:AU1332,$Q$134:Q1332,"S")</f>
        <v>17167.642</v>
      </c>
      <c r="BK1331" s="343">
        <f>SUMIFS($AU$134:AU1332,$P$134:P1332,"W")</f>
        <v>15186.141999999927</v>
      </c>
      <c r="BL1331" s="343">
        <f>SUMIFS($AU$134:AU1332,$P$134:P1332,"R")</f>
        <v>13171.606666666656</v>
      </c>
      <c r="BM1331" s="343">
        <f>SUMIFS($AU$134:AU1332,$AQ$134:AQ1332,"M")</f>
        <v>3398.0300000001621</v>
      </c>
      <c r="BN1331" s="343">
        <f>SUMIFS($AU$134:AU1332,$AQ$134:AQ1332,"H")</f>
        <v>10257.341999999999</v>
      </c>
      <c r="BO1331" s="343">
        <f>SUMIFS($AU$134:AU1332,$AQ$134:AQ1332,"D")</f>
        <v>6226.236666666764</v>
      </c>
      <c r="BP1331" s="343">
        <f>SUMIFS($AU$134:AU1334,$AQ$134:AQ1334,"W")</f>
        <v>5395.6199999996161</v>
      </c>
      <c r="BQ1331" s="343">
        <f>SUMIFS($AU$134:AU1332,$Q$134:Q1332,"O")</f>
        <v>-1822.8579999999697</v>
      </c>
      <c r="BR1331" s="343">
        <f>SUMIFS($AU$134:AU1332,$AA$134:AA1332,"*")</f>
        <v>24330.105333333391</v>
      </c>
      <c r="BS1331" s="343">
        <f>SUMIFS($AU$134:AU1332,$AB$134:AB1332,"*")</f>
        <v>3191.7120000000268</v>
      </c>
      <c r="BT1331" s="343">
        <f>SUMIFS($AU$134:AU1332,$AC$134:AC1332,"*")</f>
        <v>15152.216666666667</v>
      </c>
      <c r="BU1331" s="343">
        <f>SUMIFS($AU$134:AU1332,$AA$134:AA1332,"*",$AB$134:AB1332,"*")</f>
        <v>2490.0000000000546</v>
      </c>
      <c r="BV1331" s="343">
        <f>SUMIFS($AU$134:AU1332,$AA$134:AA1332,"*",$AC$134:AC1332,"*")</f>
        <v>11759.983333333334</v>
      </c>
      <c r="BW1331" s="343">
        <f>SUMIFS($AU$134:AU1332,$AB$134:AB1332,"*",$AC$134:AC1332,"*")</f>
        <v>6206.6</v>
      </c>
      <c r="BX1331" s="343">
        <f>SUMIFS($AU1332:AU$1388,$Q1332:Q$1388,"F")</f>
        <v>3024</v>
      </c>
      <c r="BY1331" s="343">
        <f>SUMIFS($AU1332:AU$1388,$Q1332:Q$1388,"S")</f>
        <v>3504.0000000000005</v>
      </c>
      <c r="BZ1331" s="343">
        <f>SUMIFS($AU1332:AU$1388,$Q1332:Q$1388,"O")</f>
        <v>174.00000000017144</v>
      </c>
    </row>
    <row r="1332" spans="1:78" ht="15.75" customHeight="1">
      <c r="A1332" s="221" t="s">
        <v>4220</v>
      </c>
      <c r="B1332" s="200"/>
      <c r="C1332" s="178"/>
      <c r="D1332" s="178"/>
      <c r="E1332" s="227"/>
      <c r="F1332" s="180"/>
      <c r="G1332" s="181"/>
      <c r="H1332" s="182"/>
      <c r="I1332" s="182"/>
      <c r="J1332" s="182"/>
      <c r="K1332" s="183"/>
      <c r="L1332" s="182"/>
      <c r="M1332" s="182"/>
      <c r="N1332" s="182"/>
      <c r="O1332" s="183"/>
      <c r="P1332" s="183"/>
      <c r="Q1332" s="183"/>
      <c r="R1332" s="183"/>
      <c r="S1332" s="183"/>
      <c r="T1332" s="183"/>
      <c r="U1332" s="183"/>
      <c r="V1332" s="183"/>
      <c r="W1332" s="183"/>
      <c r="X1332" s="183"/>
      <c r="Y1332" s="183"/>
      <c r="Z1332" s="183"/>
      <c r="AA1332" s="185"/>
      <c r="AB1332" s="185"/>
      <c r="AC1332" s="185"/>
      <c r="AD1332" s="649"/>
      <c r="AE1332" s="182"/>
      <c r="AF1332" s="332"/>
      <c r="AG1332" s="182"/>
      <c r="AH1332" s="182"/>
      <c r="AI1332" s="182"/>
      <c r="AJ1332" s="640"/>
      <c r="AK1332" s="182"/>
      <c r="AL1332" s="496"/>
      <c r="AM1332" s="496"/>
      <c r="AN1332" s="626"/>
      <c r="AO1332" s="182"/>
      <c r="AP1332" s="182"/>
      <c r="AQ1332" s="332" t="str">
        <f>UPPER(RIGHT(Journal_Live[[#This Row],[DURATION ]]))</f>
        <v/>
      </c>
      <c r="AR1332" s="182"/>
      <c r="AS1332" s="189"/>
      <c r="AT1332" s="189"/>
      <c r="AU1332" s="187"/>
      <c r="AV1332" s="190"/>
      <c r="AW1332" s="191"/>
      <c r="AX1332" s="417" t="s">
        <v>4613</v>
      </c>
      <c r="AY1332" s="417" t="s">
        <v>4614</v>
      </c>
      <c r="AZ1332" s="417" t="s">
        <v>4615</v>
      </c>
      <c r="BA1332" s="417" t="s">
        <v>4616</v>
      </c>
      <c r="BB1332" s="417" t="s">
        <v>4617</v>
      </c>
      <c r="BC1332" s="417" t="s">
        <v>4618</v>
      </c>
      <c r="BD1332" s="417"/>
      <c r="BE1332" s="417" t="s">
        <v>4619</v>
      </c>
      <c r="BF1332" s="417" t="s">
        <v>4620</v>
      </c>
      <c r="BG1332" s="391">
        <f>SUM($AV$4:AV1332)</f>
        <v>4661.8156656882948</v>
      </c>
      <c r="BH1332" s="392">
        <f>SUM($AU$134:AU1332)</f>
        <v>26656.650666666694</v>
      </c>
      <c r="BI1332" s="318">
        <f>SUMIFS($AU$134:AU1333,$Q$134:Q1333,"F")</f>
        <v>11416.666666666668</v>
      </c>
      <c r="BJ1332" s="318">
        <f>SUMIFS($AU$134:AU1333,$Q$134:Q1333,"S")</f>
        <v>17167.642</v>
      </c>
      <c r="BK1332" s="343">
        <f>SUMIFS($AU$134:AU1333,$P$134:P1333,"W")</f>
        <v>15186.141999999927</v>
      </c>
      <c r="BL1332" s="343">
        <f>SUMIFS($AU$134:AU1333,$P$134:P1333,"R")</f>
        <v>13171.606666666656</v>
      </c>
      <c r="BM1332" s="343">
        <f>SUMIFS($AU$134:AU1333,$AQ$134:AQ1333,"M")</f>
        <v>3398.0300000001621</v>
      </c>
      <c r="BN1332" s="343">
        <f>SUMIFS($AU$134:AU1333,$AQ$134:AQ1333,"H")</f>
        <v>10257.341999999999</v>
      </c>
      <c r="BO1332" s="343">
        <f>SUMIFS($AU$134:AU1333,$AQ$134:AQ1333,"D")</f>
        <v>6226.236666666764</v>
      </c>
      <c r="BP1332" s="343">
        <f>SUMIFS($AU$134:AU1335,$AQ$134:AQ1335,"W")</f>
        <v>5395.6199999996161</v>
      </c>
      <c r="BQ1332" s="343">
        <f>SUMIFS($AU$134:AU1333,$Q$134:Q1333,"O")</f>
        <v>-1822.8579999999697</v>
      </c>
      <c r="BR1332" s="343">
        <f>SUMIFS($AU$134:AU1333,$AA$134:AA1333,"*")</f>
        <v>24330.105333333391</v>
      </c>
      <c r="BS1332" s="343">
        <f>SUMIFS($AU$134:AU1333,$AB$134:AB1333,"*")</f>
        <v>3191.7120000000268</v>
      </c>
      <c r="BT1332" s="343">
        <f>SUMIFS($AU$134:AU1333,$AC$134:AC1333,"*")</f>
        <v>15152.216666666667</v>
      </c>
      <c r="BU1332" s="343">
        <f>SUMIFS($AU$134:AU1333,$AA$134:AA1333,"*",$AB$134:AB1333,"*")</f>
        <v>2490.0000000000546</v>
      </c>
      <c r="BV1332" s="343">
        <f>SUMIFS($AU$134:AU1333,$AA$134:AA1333,"*",$AC$134:AC1333,"*")</f>
        <v>11759.983333333334</v>
      </c>
      <c r="BW1332" s="343">
        <f>SUMIFS($AU$134:AU1333,$AB$134:AB1333,"*",$AC$134:AC1333,"*")</f>
        <v>6206.6</v>
      </c>
      <c r="BX1332" s="343">
        <f>SUMIFS($AU1333:AU$1388,$Q1333:Q$1388,"F")</f>
        <v>3024</v>
      </c>
      <c r="BY1332" s="343">
        <f>SUMIFS($AU1333:AU$1388,$Q1333:Q$1388,"S")</f>
        <v>3504.0000000000005</v>
      </c>
      <c r="BZ1332" s="343">
        <f>SUMIFS($AU1333:AU$1388,$Q1333:Q$1388,"O")</f>
        <v>174.00000000017144</v>
      </c>
    </row>
    <row r="1333" spans="1:78" ht="15.75" customHeight="1">
      <c r="A1333" s="492" t="s">
        <v>4621</v>
      </c>
      <c r="B1333" s="273"/>
      <c r="C1333" s="214"/>
      <c r="D1333" s="214"/>
      <c r="E1333" s="215"/>
      <c r="F1333" s="216"/>
      <c r="G1333" s="214"/>
      <c r="H1333" s="214"/>
      <c r="I1333" s="214"/>
      <c r="J1333" s="214"/>
      <c r="K1333" s="217"/>
      <c r="L1333" s="214"/>
      <c r="M1333" s="214"/>
      <c r="N1333" s="214"/>
      <c r="O1333" s="217"/>
      <c r="P1333" s="217"/>
      <c r="Q1333" s="217"/>
      <c r="R1333" s="217"/>
      <c r="S1333" s="217"/>
      <c r="T1333" s="217"/>
      <c r="U1333" s="217"/>
      <c r="V1333" s="217"/>
      <c r="W1333" s="217"/>
      <c r="X1333" s="217"/>
      <c r="Y1333" s="217"/>
      <c r="Z1333" s="218" t="str">
        <f>IF(ISBLANK(O1333),"",IF(O1333="IB",8.63*200,IF(O1333="IR",16*100,IF(O1333="YT",20*100,IF(O1333="YT-XT",24*200,IF(O1333="TED",80*100))))))</f>
        <v/>
      </c>
      <c r="AA1333" s="218"/>
      <c r="AB1333" s="218"/>
      <c r="AC1333" s="218"/>
      <c r="AD1333" s="651"/>
      <c r="AE1333" s="214"/>
      <c r="AF1333" s="347"/>
      <c r="AG1333" s="343"/>
      <c r="AH1333" s="214"/>
      <c r="AI1333" s="214"/>
      <c r="AJ1333" s="642"/>
      <c r="AK1333" s="214"/>
      <c r="AL1333" s="502"/>
      <c r="AM1333" s="502"/>
      <c r="AN1333" s="628"/>
      <c r="AO1333" s="214"/>
      <c r="AP1333" s="214"/>
      <c r="AQ1333" s="334" t="str">
        <f>UPPER(RIGHT(Journal_Live[[#This Row],[DURATION ]]))</f>
        <v/>
      </c>
      <c r="AR1333" s="214"/>
      <c r="AS1333" s="214"/>
      <c r="AT1333" s="214"/>
      <c r="AU1333" s="214"/>
      <c r="AV1333" s="214"/>
      <c r="AW1333" s="220"/>
      <c r="AX1333" s="417"/>
      <c r="AY1333" s="414"/>
      <c r="AZ1333" s="414"/>
      <c r="BA1333" s="414"/>
      <c r="BB1333" s="414"/>
      <c r="BC1333" s="414"/>
      <c r="BD1333" s="414"/>
      <c r="BE1333" s="414"/>
      <c r="BF1333" s="414"/>
      <c r="BG1333" s="391">
        <f>SUM($AV$4:AV1333)</f>
        <v>4661.8156656882948</v>
      </c>
      <c r="BH1333" s="392">
        <f>SUM($AU$134:AU1333)</f>
        <v>26656.650666666694</v>
      </c>
      <c r="BI1333" s="318">
        <f>SUMIFS($AU$134:AU1334,$Q$134:Q1334,"F")</f>
        <v>11416.666666666668</v>
      </c>
      <c r="BJ1333" s="318">
        <f>SUMIFS($AU$134:AU1334,$Q$134:Q1334,"S")</f>
        <v>17167.642</v>
      </c>
      <c r="BK1333" s="343">
        <f>SUMIFS($AU$134:AU1334,$P$134:P1334,"W")</f>
        <v>15186.141999999927</v>
      </c>
      <c r="BL1333" s="343">
        <f>SUMIFS($AU$134:AU1334,$P$134:P1334,"R")</f>
        <v>13171.606666666656</v>
      </c>
      <c r="BM1333" s="343">
        <f>SUMIFS($AU$134:AU1334,$AQ$134:AQ1334,"M")</f>
        <v>3398.0300000001621</v>
      </c>
      <c r="BN1333" s="343">
        <f>SUMIFS($AU$134:AU1334,$AQ$134:AQ1334,"H")</f>
        <v>10257.341999999999</v>
      </c>
      <c r="BO1333" s="343">
        <f>SUMIFS($AU$134:AU1334,$AQ$134:AQ1334,"D")</f>
        <v>6226.236666666764</v>
      </c>
      <c r="BP1333" s="343">
        <f>SUMIFS($AU$134:AU1336,$AQ$134:AQ1336,"W")</f>
        <v>5395.6199999996161</v>
      </c>
      <c r="BQ1333" s="343">
        <f>SUMIFS($AU$134:AU1334,$Q$134:Q1334,"O")</f>
        <v>-1822.8579999999697</v>
      </c>
      <c r="BR1333" s="343">
        <f>SUMIFS($AU$134:AU1334,$AA$134:AA1334,"*")</f>
        <v>24330.105333333391</v>
      </c>
      <c r="BS1333" s="343">
        <f>SUMIFS($AU$134:AU1334,$AB$134:AB1334,"*")</f>
        <v>3191.7120000000268</v>
      </c>
      <c r="BT1333" s="343">
        <f>SUMIFS($AU$134:AU1334,$AC$134:AC1334,"*")</f>
        <v>15152.216666666667</v>
      </c>
      <c r="BU1333" s="343">
        <f>SUMIFS($AU$134:AU1334,$AA$134:AA1334,"*",$AB$134:AB1334,"*")</f>
        <v>2490.0000000000546</v>
      </c>
      <c r="BV1333" s="343">
        <f>SUMIFS($AU$134:AU1334,$AA$134:AA1334,"*",$AC$134:AC1334,"*")</f>
        <v>11759.983333333334</v>
      </c>
      <c r="BW1333" s="343">
        <f>SUMIFS($AU$134:AU1334,$AB$134:AB1334,"*",$AC$134:AC1334,"*")</f>
        <v>6206.6</v>
      </c>
      <c r="BX1333" s="343">
        <f>SUMIFS($AU1334:AU$1388,$Q1334:Q$1388,"F")</f>
        <v>3024</v>
      </c>
      <c r="BY1333" s="343">
        <f>SUMIFS($AU1334:AU$1388,$Q1334:Q$1388,"S")</f>
        <v>3504.0000000000005</v>
      </c>
      <c r="BZ1333" s="343">
        <f>SUMIFS($AU1334:AU$1388,$Q1334:Q$1388,"O")</f>
        <v>174.00000000017144</v>
      </c>
    </row>
    <row r="1334" spans="1:78" ht="15.75" customHeight="1">
      <c r="A1334" s="221" t="s">
        <v>4622</v>
      </c>
      <c r="B1334" s="177">
        <v>45261</v>
      </c>
      <c r="C1334" s="178" t="s">
        <v>4623</v>
      </c>
      <c r="D1334" s="178" t="s">
        <v>111</v>
      </c>
      <c r="E1334" s="227"/>
      <c r="F1334" s="180"/>
      <c r="G1334" s="181" t="s">
        <v>2942</v>
      </c>
      <c r="H1334" s="182"/>
      <c r="I1334" s="182"/>
      <c r="J1334" s="182"/>
      <c r="K1334" s="183"/>
      <c r="L1334" s="182"/>
      <c r="M1334" s="182"/>
      <c r="N1334" s="182"/>
      <c r="O1334" s="183"/>
      <c r="P1334" s="183"/>
      <c r="Q1334" s="183"/>
      <c r="R1334" s="183"/>
      <c r="S1334" s="183"/>
      <c r="T1334" s="183"/>
      <c r="U1334" s="183"/>
      <c r="V1334" s="183"/>
      <c r="W1334" s="183"/>
      <c r="X1334" s="183"/>
      <c r="Y1334" s="184"/>
      <c r="Z1334" s="185"/>
      <c r="AA1334" s="185"/>
      <c r="AB1334" s="185"/>
      <c r="AC1334" s="185"/>
      <c r="AD1334" s="649"/>
      <c r="AE1334" s="182"/>
      <c r="AF1334" s="332"/>
      <c r="AG1334" s="182"/>
      <c r="AH1334" s="182"/>
      <c r="AI1334" s="182"/>
      <c r="AJ1334" s="640"/>
      <c r="AK1334" s="182"/>
      <c r="AL1334" s="496">
        <f t="shared" ref="AL1334" si="390">-0.03*Z1334</f>
        <v>0</v>
      </c>
      <c r="AM1334" s="496">
        <f>AL1334*(R1334-S1334)</f>
        <v>0</v>
      </c>
      <c r="AN1334" s="626"/>
      <c r="AO1334" s="182"/>
      <c r="AP1334" s="182"/>
      <c r="AQ1334" s="332" t="str">
        <f>UPPER(RIGHT(Journal_Live[[#This Row],[DURATION ]]))</f>
        <v/>
      </c>
      <c r="AR1334" s="182"/>
      <c r="AS1334" s="189"/>
      <c r="AT1334" s="189"/>
      <c r="AU1334" s="187"/>
      <c r="AV1334" s="190"/>
      <c r="AW1334" s="191"/>
      <c r="AX1334" s="407"/>
      <c r="AY1334" s="407"/>
      <c r="AZ1334" s="407"/>
      <c r="BA1334" s="407"/>
      <c r="BB1334" s="407"/>
      <c r="BC1334" s="407"/>
      <c r="BD1334" s="407"/>
      <c r="BE1334" s="407"/>
      <c r="BF1334" s="422"/>
      <c r="BG1334" s="391">
        <f>SUM($AV$4:AV1334)</f>
        <v>4661.8156656882948</v>
      </c>
      <c r="BH1334" s="392">
        <f>SUM($AU$134:AU1334)</f>
        <v>26656.650666666694</v>
      </c>
      <c r="BI1334" s="318">
        <f>SUMIFS($AU$134:AU1335,$Q$134:Q1335,"F")</f>
        <v>11416.666666666668</v>
      </c>
      <c r="BJ1334" s="318">
        <f>SUMIFS($AU$134:AU1335,$Q$134:Q1335,"S")</f>
        <v>17167.642</v>
      </c>
      <c r="BK1334" s="343">
        <f>SUMIFS($AU$134:AU1335,$P$134:P1335,"W")</f>
        <v>15186.141999999927</v>
      </c>
      <c r="BL1334" s="343">
        <f>SUMIFS($AU$134:AU1335,$P$134:P1335,"R")</f>
        <v>13171.606666666656</v>
      </c>
      <c r="BM1334" s="343">
        <f>SUMIFS($AU$134:AU1335,$AQ$134:AQ1335,"M")</f>
        <v>3398.0300000001621</v>
      </c>
      <c r="BN1334" s="343">
        <f>SUMIFS($AU$134:AU1335,$AQ$134:AQ1335,"H")</f>
        <v>10257.341999999999</v>
      </c>
      <c r="BO1334" s="343">
        <f>SUMIFS($AU$134:AU1335,$AQ$134:AQ1335,"D")</f>
        <v>6226.236666666764</v>
      </c>
      <c r="BP1334" s="343">
        <f>SUMIFS($AU$134:AU1337,$AQ$134:AQ1337,"W")</f>
        <v>5395.6199999996161</v>
      </c>
      <c r="BQ1334" s="343">
        <f>SUMIFS($AU$134:AU1335,$Q$134:Q1335,"O")</f>
        <v>-1822.8579999999697</v>
      </c>
      <c r="BR1334" s="343">
        <f>SUMIFS($AU$134:AU1335,$AA$134:AA1335,"*")</f>
        <v>24330.105333333391</v>
      </c>
      <c r="BS1334" s="343">
        <f>SUMIFS($AU$134:AU1335,$AB$134:AB1335,"*")</f>
        <v>3191.7120000000268</v>
      </c>
      <c r="BT1334" s="343">
        <f>SUMIFS($AU$134:AU1335,$AC$134:AC1335,"*")</f>
        <v>15152.216666666667</v>
      </c>
      <c r="BU1334" s="343">
        <f>SUMIFS($AU$134:AU1335,$AA$134:AA1335,"*",$AB$134:AB1335,"*")</f>
        <v>2490.0000000000546</v>
      </c>
      <c r="BV1334" s="343">
        <f>SUMIFS($AU$134:AU1335,$AA$134:AA1335,"*",$AC$134:AC1335,"*")</f>
        <v>11759.983333333334</v>
      </c>
      <c r="BW1334" s="343">
        <f>SUMIFS($AU$134:AU1335,$AB$134:AB1335,"*",$AC$134:AC1335,"*")</f>
        <v>6206.6</v>
      </c>
      <c r="BX1334" s="343">
        <f>SUMIFS($AU1335:AU$1388,$Q1335:Q$1388,"F")</f>
        <v>3024</v>
      </c>
      <c r="BY1334" s="343">
        <f>SUMIFS($AU1335:AU$1388,$Q1335:Q$1388,"S")</f>
        <v>3504.0000000000005</v>
      </c>
      <c r="BZ1334" s="343">
        <f>SUMIFS($AU1335:AU$1388,$Q1335:Q$1388,"O")</f>
        <v>174.00000000017144</v>
      </c>
    </row>
    <row r="1335" spans="1:78" ht="15.75" customHeight="1">
      <c r="A1335" s="221" t="s">
        <v>4622</v>
      </c>
      <c r="B1335" s="177">
        <v>45261</v>
      </c>
      <c r="C1335" s="178" t="s">
        <v>1014</v>
      </c>
      <c r="D1335" s="178" t="s">
        <v>111</v>
      </c>
      <c r="E1335" s="227" t="s">
        <v>4624</v>
      </c>
      <c r="F1335" s="180"/>
      <c r="G1335" s="181"/>
      <c r="H1335" s="182"/>
      <c r="I1335" s="182"/>
      <c r="J1335" s="182"/>
      <c r="K1335" s="183"/>
      <c r="L1335" s="182"/>
      <c r="M1335" s="182"/>
      <c r="N1335" s="182"/>
      <c r="O1335" s="183"/>
      <c r="P1335" s="183"/>
      <c r="Q1335" s="183"/>
      <c r="R1335" s="183"/>
      <c r="S1335" s="183"/>
      <c r="T1335" s="183"/>
      <c r="U1335" s="183"/>
      <c r="V1335" s="183"/>
      <c r="W1335" s="183"/>
      <c r="X1335" s="183"/>
      <c r="Y1335" s="183"/>
      <c r="Z1335" s="185" t="str">
        <f>IF(ISBLANK(O1335),"",IF(O1335="IB",8.63*200,IF(O1335="IR",16*100,IF(O1335="YT",20*100,IF(O1335="YT-XT",24*200,IF(O1335="TED",80*100))))))</f>
        <v/>
      </c>
      <c r="AA1335" s="185"/>
      <c r="AB1335" s="185"/>
      <c r="AC1335" s="185"/>
      <c r="AD1335" s="649"/>
      <c r="AE1335" s="182"/>
      <c r="AF1335" s="332"/>
      <c r="AG1335" s="182"/>
      <c r="AH1335" s="182"/>
      <c r="AI1335" s="182"/>
      <c r="AJ1335" s="640"/>
      <c r="AK1335" s="182"/>
      <c r="AL1335" s="496"/>
      <c r="AM1335" s="496"/>
      <c r="AN1335" s="626"/>
      <c r="AO1335" s="182"/>
      <c r="AP1335" s="182"/>
      <c r="AQ1335" s="332" t="str">
        <f>UPPER(RIGHT(Journal_Live[[#This Row],[DURATION ]]))</f>
        <v/>
      </c>
      <c r="AR1335" s="182"/>
      <c r="AS1335" s="189"/>
      <c r="AT1335" s="189"/>
      <c r="AU1335" s="187"/>
      <c r="AV1335" s="190"/>
      <c r="AW1335" s="191"/>
      <c r="AX1335" s="407"/>
      <c r="AY1335" s="407"/>
      <c r="AZ1335" s="407"/>
      <c r="BA1335" s="407"/>
      <c r="BB1335" s="407"/>
      <c r="BC1335" s="407"/>
      <c r="BD1335" s="407"/>
      <c r="BE1335" s="407"/>
      <c r="BF1335" s="422"/>
      <c r="BG1335" s="391">
        <f>SUM($AV$4:AV1335)</f>
        <v>4661.8156656882948</v>
      </c>
      <c r="BH1335" s="392">
        <f>SUM($AU$134:AU1335)</f>
        <v>26656.650666666694</v>
      </c>
      <c r="BI1335" s="318">
        <f>SUMIFS($AU$134:AU1336,$Q$134:Q1336,"F")</f>
        <v>11416.666666666668</v>
      </c>
      <c r="BJ1335" s="318">
        <f>SUMIFS($AU$134:AU1336,$Q$134:Q1336,"S")</f>
        <v>17167.642</v>
      </c>
      <c r="BK1335" s="343">
        <f>SUMIFS($AU$134:AU1336,$P$134:P1336,"W")</f>
        <v>15186.141999999927</v>
      </c>
      <c r="BL1335" s="343">
        <f>SUMIFS($AU$134:AU1336,$P$134:P1336,"R")</f>
        <v>13171.606666666656</v>
      </c>
      <c r="BM1335" s="343">
        <f>SUMIFS($AU$134:AU1336,$AQ$134:AQ1336,"M")</f>
        <v>3398.0300000001621</v>
      </c>
      <c r="BN1335" s="343">
        <f>SUMIFS($AU$134:AU1336,$AQ$134:AQ1336,"H")</f>
        <v>10257.341999999999</v>
      </c>
      <c r="BO1335" s="343">
        <f>SUMIFS($AU$134:AU1336,$AQ$134:AQ1336,"D")</f>
        <v>6226.236666666764</v>
      </c>
      <c r="BP1335" s="343">
        <f>SUMIFS($AU$134:AU1338,$AQ$134:AQ1338,"W")</f>
        <v>5395.6199999996161</v>
      </c>
      <c r="BQ1335" s="343">
        <f>SUMIFS($AU$134:AU1336,$Q$134:Q1336,"O")</f>
        <v>-1822.8579999999697</v>
      </c>
      <c r="BR1335" s="343">
        <f>SUMIFS($AU$134:AU1336,$AA$134:AA1336,"*")</f>
        <v>24330.105333333391</v>
      </c>
      <c r="BS1335" s="343">
        <f>SUMIFS($AU$134:AU1336,$AB$134:AB1336,"*")</f>
        <v>3191.7120000000268</v>
      </c>
      <c r="BT1335" s="343">
        <f>SUMIFS($AU$134:AU1336,$AC$134:AC1336,"*")</f>
        <v>15152.216666666667</v>
      </c>
      <c r="BU1335" s="343">
        <f>SUMIFS($AU$134:AU1336,$AA$134:AA1336,"*",$AB$134:AB1336,"*")</f>
        <v>2490.0000000000546</v>
      </c>
      <c r="BV1335" s="343">
        <f>SUMIFS($AU$134:AU1336,$AA$134:AA1336,"*",$AC$134:AC1336,"*")</f>
        <v>11759.983333333334</v>
      </c>
      <c r="BW1335" s="343">
        <f>SUMIFS($AU$134:AU1336,$AB$134:AB1336,"*",$AC$134:AC1336,"*")</f>
        <v>6206.6</v>
      </c>
      <c r="BX1335" s="343">
        <f>SUMIFS($AU1336:AU$1388,$Q1336:Q$1388,"F")</f>
        <v>3024</v>
      </c>
      <c r="BY1335" s="343">
        <f>SUMIFS($AU1336:AU$1388,$Q1336:Q$1388,"S")</f>
        <v>3504.0000000000005</v>
      </c>
      <c r="BZ1335" s="343">
        <f>SUMIFS($AU1336:AU$1388,$Q1336:Q$1388,"O")</f>
        <v>174.00000000017144</v>
      </c>
    </row>
    <row r="1336" spans="1:78" ht="15.75" customHeight="1">
      <c r="A1336" s="221" t="s">
        <v>4622</v>
      </c>
      <c r="B1336" s="177">
        <v>45261</v>
      </c>
      <c r="C1336" s="178" t="s">
        <v>1806</v>
      </c>
      <c r="D1336" s="178" t="s">
        <v>111</v>
      </c>
      <c r="E1336" s="227"/>
      <c r="F1336" s="180"/>
      <c r="G1336" s="181" t="s">
        <v>3766</v>
      </c>
      <c r="H1336" s="182"/>
      <c r="I1336" s="182"/>
      <c r="J1336" s="182"/>
      <c r="K1336" s="183"/>
      <c r="L1336" s="182"/>
      <c r="M1336" s="182"/>
      <c r="N1336" s="182"/>
      <c r="O1336" s="183"/>
      <c r="P1336" s="183"/>
      <c r="Q1336" s="183"/>
      <c r="R1336" s="183"/>
      <c r="S1336" s="183"/>
      <c r="T1336" s="183"/>
      <c r="U1336" s="183"/>
      <c r="V1336" s="183"/>
      <c r="W1336" s="183"/>
      <c r="X1336" s="183"/>
      <c r="Y1336" s="184"/>
      <c r="Z1336" s="185"/>
      <c r="AA1336" s="185"/>
      <c r="AB1336" s="185"/>
      <c r="AC1336" s="185"/>
      <c r="AD1336" s="649"/>
      <c r="AE1336" s="182"/>
      <c r="AF1336" s="332"/>
      <c r="AG1336" s="182"/>
      <c r="AH1336" s="182"/>
      <c r="AI1336" s="182"/>
      <c r="AJ1336" s="640"/>
      <c r="AK1336" s="182"/>
      <c r="AL1336" s="496">
        <f t="shared" ref="AL1336" si="391">-0.03*Z1336</f>
        <v>0</v>
      </c>
      <c r="AM1336" s="496">
        <f>AL1336*(R1336-S1336)</f>
        <v>0</v>
      </c>
      <c r="AN1336" s="626"/>
      <c r="AO1336" s="182"/>
      <c r="AP1336" s="182"/>
      <c r="AQ1336" s="332" t="str">
        <f>UPPER(RIGHT(Journal_Live[[#This Row],[DURATION ]]))</f>
        <v/>
      </c>
      <c r="AR1336" s="182"/>
      <c r="AS1336" s="189"/>
      <c r="AT1336" s="189">
        <f>IF(ISBLANK(AS1336),,IF(U1336="S",AD1336-AS1336,AS1336-AD1336))</f>
        <v>0</v>
      </c>
      <c r="AU1336" s="187">
        <f>AV1336*R1336</f>
        <v>0</v>
      </c>
      <c r="AV1336" s="190">
        <f>IF(ISBLANK(AS1336),,(AT1336*Z1336))</f>
        <v>0</v>
      </c>
      <c r="AW1336" s="191"/>
      <c r="AX1336" s="407" t="s">
        <v>4625</v>
      </c>
      <c r="AY1336" s="407"/>
      <c r="AZ1336" s="407"/>
      <c r="BA1336" s="407"/>
      <c r="BB1336" s="407"/>
      <c r="BC1336" s="407"/>
      <c r="BD1336" s="407"/>
      <c r="BE1336" s="407"/>
      <c r="BF1336" s="422"/>
      <c r="BG1336" s="391">
        <f>SUM($AV$4:AV1336)</f>
        <v>4661.8156656882948</v>
      </c>
      <c r="BH1336" s="392">
        <f>SUM($AU$134:AU1336)</f>
        <v>26656.650666666694</v>
      </c>
      <c r="BI1336" s="318">
        <f>SUMIFS($AU$134:AU1337,$Q$134:Q1337,"F")</f>
        <v>11416.666666666668</v>
      </c>
      <c r="BJ1336" s="318">
        <f>SUMIFS($AU$134:AU1337,$Q$134:Q1337,"S")</f>
        <v>17167.642</v>
      </c>
      <c r="BK1336" s="343">
        <f>SUMIFS($AU$134:AU1337,$P$134:P1337,"W")</f>
        <v>15186.141999999927</v>
      </c>
      <c r="BL1336" s="343">
        <f>SUMIFS($AU$134:AU1337,$P$134:P1337,"R")</f>
        <v>13171.606666666656</v>
      </c>
      <c r="BM1336" s="343">
        <f>SUMIFS($AU$134:AU1337,$AQ$134:AQ1337,"M")</f>
        <v>3398.0300000001621</v>
      </c>
      <c r="BN1336" s="343">
        <f>SUMIFS($AU$134:AU1337,$AQ$134:AQ1337,"H")</f>
        <v>10257.341999999999</v>
      </c>
      <c r="BO1336" s="343">
        <f>SUMIFS($AU$134:AU1337,$AQ$134:AQ1337,"D")</f>
        <v>6226.236666666764</v>
      </c>
      <c r="BP1336" s="343">
        <f>SUMIFS($AU$134:AU1339,$AQ$134:AQ1339,"W")</f>
        <v>5395.6199999996161</v>
      </c>
      <c r="BQ1336" s="343">
        <f>SUMIFS($AU$134:AU1337,$Q$134:Q1337,"O")</f>
        <v>-1822.8579999999697</v>
      </c>
      <c r="BR1336" s="343">
        <f>SUMIFS($AU$134:AU1337,$AA$134:AA1337,"*")</f>
        <v>24330.105333333391</v>
      </c>
      <c r="BS1336" s="343">
        <f>SUMIFS($AU$134:AU1337,$AB$134:AB1337,"*")</f>
        <v>3191.7120000000268</v>
      </c>
      <c r="BT1336" s="343">
        <f>SUMIFS($AU$134:AU1337,$AC$134:AC1337,"*")</f>
        <v>15152.216666666667</v>
      </c>
      <c r="BU1336" s="343">
        <f>SUMIFS($AU$134:AU1337,$AA$134:AA1337,"*",$AB$134:AB1337,"*")</f>
        <v>2490.0000000000546</v>
      </c>
      <c r="BV1336" s="343">
        <f>SUMIFS($AU$134:AU1337,$AA$134:AA1337,"*",$AC$134:AC1337,"*")</f>
        <v>11759.983333333334</v>
      </c>
      <c r="BW1336" s="343">
        <f>SUMIFS($AU$134:AU1337,$AB$134:AB1337,"*",$AC$134:AC1337,"*")</f>
        <v>6206.6</v>
      </c>
      <c r="BX1336" s="343">
        <f>SUMIFS($AU1337:AU$1388,$Q1337:Q$1388,"F")</f>
        <v>3024</v>
      </c>
      <c r="BY1336" s="343">
        <f>SUMIFS($AU1337:AU$1388,$Q1337:Q$1388,"S")</f>
        <v>3504.0000000000005</v>
      </c>
      <c r="BZ1336" s="343">
        <f>SUMIFS($AU1337:AU$1388,$Q1337:Q$1388,"O")</f>
        <v>174.00000000017144</v>
      </c>
    </row>
    <row r="1337" spans="1:78" ht="15.75" customHeight="1">
      <c r="A1337" s="221" t="s">
        <v>4622</v>
      </c>
      <c r="B1337" s="177">
        <v>45261</v>
      </c>
      <c r="C1337" s="178" t="s">
        <v>3193</v>
      </c>
      <c r="D1337" s="178" t="s">
        <v>111</v>
      </c>
      <c r="E1337" s="227" t="s">
        <v>4626</v>
      </c>
      <c r="F1337" s="180"/>
      <c r="G1337" s="181"/>
      <c r="H1337" s="182"/>
      <c r="I1337" s="182"/>
      <c r="J1337" s="182"/>
      <c r="K1337" s="183"/>
      <c r="L1337" s="182"/>
      <c r="M1337" s="182"/>
      <c r="N1337" s="182"/>
      <c r="O1337" s="183"/>
      <c r="P1337" s="183"/>
      <c r="Q1337" s="183"/>
      <c r="R1337" s="183"/>
      <c r="S1337" s="183"/>
      <c r="T1337" s="183"/>
      <c r="U1337" s="183"/>
      <c r="V1337" s="183"/>
      <c r="W1337" s="183"/>
      <c r="X1337" s="183"/>
      <c r="Y1337" s="183"/>
      <c r="Z1337" s="185" t="str">
        <f>IF(ISBLANK(O1337),"",IF(O1337="IB",8.63*200,IF(O1337="IR",16*100,IF(O1337="YT",20*100,IF(O1337="YT-XT",24*200,IF(O1337="TED",80*100))))))</f>
        <v/>
      </c>
      <c r="AA1337" s="185"/>
      <c r="AB1337" s="185"/>
      <c r="AC1337" s="185"/>
      <c r="AD1337" s="649"/>
      <c r="AE1337" s="182"/>
      <c r="AF1337" s="332"/>
      <c r="AG1337" s="182"/>
      <c r="AH1337" s="182"/>
      <c r="AI1337" s="182"/>
      <c r="AJ1337" s="640"/>
      <c r="AK1337" s="182"/>
      <c r="AL1337" s="496"/>
      <c r="AM1337" s="496"/>
      <c r="AN1337" s="626"/>
      <c r="AO1337" s="182"/>
      <c r="AP1337" s="182"/>
      <c r="AQ1337" s="332" t="str">
        <f>UPPER(RIGHT(Journal_Live[[#This Row],[DURATION ]]))</f>
        <v/>
      </c>
      <c r="AR1337" s="182"/>
      <c r="AS1337" s="189"/>
      <c r="AT1337" s="189"/>
      <c r="AU1337" s="187"/>
      <c r="AV1337" s="190"/>
      <c r="AW1337" s="191"/>
      <c r="AX1337" s="407" t="s">
        <v>4627</v>
      </c>
      <c r="AY1337" s="407" t="s">
        <v>4628</v>
      </c>
      <c r="AZ1337" s="407" t="s">
        <v>4629</v>
      </c>
      <c r="BA1337" s="407" t="s">
        <v>4630</v>
      </c>
      <c r="BB1337" s="407"/>
      <c r="BC1337" s="407"/>
      <c r="BD1337" s="407"/>
      <c r="BE1337" s="407"/>
      <c r="BF1337" s="422"/>
      <c r="BG1337" s="391">
        <f>SUM($AV$4:AV1337)</f>
        <v>4661.8156656882948</v>
      </c>
      <c r="BH1337" s="392">
        <f>SUM($AU$134:AU1337)</f>
        <v>26656.650666666694</v>
      </c>
      <c r="BI1337" s="318">
        <f>SUMIFS($AU$134:AU1338,$Q$134:Q1338,"F")</f>
        <v>11416.666666666668</v>
      </c>
      <c r="BJ1337" s="318">
        <f>SUMIFS($AU$134:AU1338,$Q$134:Q1338,"S")</f>
        <v>17167.642</v>
      </c>
      <c r="BK1337" s="343">
        <f>SUMIFS($AU$134:AU1338,$P$134:P1338,"W")</f>
        <v>15186.141999999927</v>
      </c>
      <c r="BL1337" s="343">
        <f>SUMIFS($AU$134:AU1338,$P$134:P1338,"R")</f>
        <v>13171.606666666656</v>
      </c>
      <c r="BM1337" s="343">
        <f>SUMIFS($AU$134:AU1338,$AQ$134:AQ1338,"M")</f>
        <v>3398.0300000001621</v>
      </c>
      <c r="BN1337" s="343">
        <f>SUMIFS($AU$134:AU1338,$AQ$134:AQ1338,"H")</f>
        <v>10257.341999999999</v>
      </c>
      <c r="BO1337" s="343">
        <f>SUMIFS($AU$134:AU1338,$AQ$134:AQ1338,"D")</f>
        <v>6226.236666666764</v>
      </c>
      <c r="BP1337" s="343">
        <f>SUMIFS($AU$134:AU1340,$AQ$134:AQ1340,"W")</f>
        <v>5395.6199999996161</v>
      </c>
      <c r="BQ1337" s="343">
        <f>SUMIFS($AU$134:AU1338,$Q$134:Q1338,"O")</f>
        <v>-1996.8579999998115</v>
      </c>
      <c r="BR1337" s="343">
        <f>SUMIFS($AU$134:AU1338,$AA$134:AA1338,"*")</f>
        <v>24156.105333333551</v>
      </c>
      <c r="BS1337" s="343">
        <f>SUMIFS($AU$134:AU1338,$AB$134:AB1338,"*")</f>
        <v>3191.7120000000268</v>
      </c>
      <c r="BT1337" s="343">
        <f>SUMIFS($AU$134:AU1338,$AC$134:AC1338,"*")</f>
        <v>15152.216666666667</v>
      </c>
      <c r="BU1337" s="343">
        <f>SUMIFS($AU$134:AU1338,$AA$134:AA1338,"*",$AB$134:AB1338,"*")</f>
        <v>2490.0000000000546</v>
      </c>
      <c r="BV1337" s="343">
        <f>SUMIFS($AU$134:AU1338,$AA$134:AA1338,"*",$AC$134:AC1338,"*")</f>
        <v>11759.983333333334</v>
      </c>
      <c r="BW1337" s="343">
        <f>SUMIFS($AU$134:AU1338,$AB$134:AB1338,"*",$AC$134:AC1338,"*")</f>
        <v>6206.6</v>
      </c>
      <c r="BX1337" s="343">
        <f>SUMIFS($AU1338:AU$1388,$Q1338:Q$1388,"F")</f>
        <v>3024</v>
      </c>
      <c r="BY1337" s="343">
        <f>SUMIFS($AU1338:AU$1388,$Q1338:Q$1388,"S")</f>
        <v>3504.0000000000005</v>
      </c>
      <c r="BZ1337" s="343">
        <f>SUMIFS($AU1338:AU$1388,$Q1338:Q$1388,"O")</f>
        <v>174.00000000017144</v>
      </c>
    </row>
    <row r="1338" spans="1:78" ht="15.75" customHeight="1">
      <c r="A1338" s="221" t="s">
        <v>4622</v>
      </c>
      <c r="B1338" s="177">
        <v>45261</v>
      </c>
      <c r="C1338" s="178" t="s">
        <v>4631</v>
      </c>
      <c r="D1338" s="178" t="s">
        <v>111</v>
      </c>
      <c r="E1338" s="227"/>
      <c r="F1338" s="180"/>
      <c r="G1338" s="281" t="s">
        <v>3924</v>
      </c>
      <c r="H1338" s="182"/>
      <c r="I1338" s="182"/>
      <c r="J1338" s="182"/>
      <c r="K1338" s="183"/>
      <c r="L1338" s="182">
        <v>1</v>
      </c>
      <c r="M1338" s="182"/>
      <c r="N1338" s="182"/>
      <c r="O1338" s="183" t="s">
        <v>3618</v>
      </c>
      <c r="P1338" s="183" t="s">
        <v>2260</v>
      </c>
      <c r="Q1338" s="183" t="s">
        <v>684</v>
      </c>
      <c r="R1338" s="183">
        <v>3</v>
      </c>
      <c r="S1338" s="183">
        <v>0</v>
      </c>
      <c r="T1338" s="183">
        <v>3</v>
      </c>
      <c r="U1338" s="183" t="s">
        <v>22</v>
      </c>
      <c r="V1338" s="183"/>
      <c r="W1338" s="183"/>
      <c r="X1338" s="183"/>
      <c r="Y1338" s="184">
        <f>IF(ISBLANK(O1338),"",(IF(O1338=UPPER("IB"),0.005,0.01)))</f>
        <v>0.01</v>
      </c>
      <c r="Z1338" s="185">
        <f>IF(ISBLANK(O1338),"",IF(O1338="IB",8.63*200,IF(O1338="IR",16*100,IF(O1338="YT",20*100,IF(O1338="YT-XT",24*200,IF(O1338="TED",80*100,IF(O1338="XT",29*200)))))))</f>
        <v>5800</v>
      </c>
      <c r="AA1338" s="185" t="s">
        <v>4632</v>
      </c>
      <c r="AB1338" s="185"/>
      <c r="AC1338" s="185"/>
      <c r="AD1338" s="649">
        <v>95.534999999999997</v>
      </c>
      <c r="AE1338" s="182"/>
      <c r="AF1338" s="332"/>
      <c r="AG1338" s="182"/>
      <c r="AH1338" s="182"/>
      <c r="AI1338" s="182"/>
      <c r="AJ1338" s="640"/>
      <c r="AK1338" s="182"/>
      <c r="AL1338" s="496"/>
      <c r="AM1338" s="496"/>
      <c r="AN1338" s="626"/>
      <c r="AO1338" s="182"/>
      <c r="AP1338" s="182"/>
      <c r="AQ1338" s="332" t="str">
        <f>UPPER(RIGHT(Journal_Live[[#This Row],[DURATION ]]))</f>
        <v/>
      </c>
      <c r="AR1338" s="182" t="s">
        <v>4633</v>
      </c>
      <c r="AS1338" s="189">
        <v>95.525000000000006</v>
      </c>
      <c r="AT1338" s="189">
        <f>IF(ISBLANK(AS1338),,IF(U1338="S",AD1338-AS1338,AS1338-AD1338))</f>
        <v>-9.9999999999909051E-3</v>
      </c>
      <c r="AU1338" s="187">
        <f>AV1338*R1338</f>
        <v>-173.99999999984175</v>
      </c>
      <c r="AV1338" s="190">
        <f>IF(ISBLANK(AS1338),,(AT1338*Z1338))</f>
        <v>-57.999999999947249</v>
      </c>
      <c r="AW1338" s="191" t="s">
        <v>229</v>
      </c>
      <c r="AX1338" s="407" t="s">
        <v>4634</v>
      </c>
      <c r="AY1338" s="407" t="s">
        <v>4635</v>
      </c>
      <c r="AZ1338" s="407" t="s">
        <v>4636</v>
      </c>
      <c r="BA1338" s="407" t="s">
        <v>4637</v>
      </c>
      <c r="BB1338" s="407" t="s">
        <v>4638</v>
      </c>
      <c r="BC1338" s="407"/>
      <c r="BD1338" s="407" t="s">
        <v>4639</v>
      </c>
      <c r="BE1338" s="407"/>
      <c r="BF1338" s="422"/>
      <c r="BG1338" s="391">
        <f>SUM($AV$4:AV1338)</f>
        <v>4603.8156656883475</v>
      </c>
      <c r="BH1338" s="392">
        <f>SUM($AU$134:AU1338)</f>
        <v>26482.65066666685</v>
      </c>
      <c r="BI1338" s="318">
        <f>SUMIFS($AU$134:AU1339,$Q$134:Q1339,"F")</f>
        <v>11416.666666666668</v>
      </c>
      <c r="BJ1338" s="318">
        <f>SUMIFS($AU$134:AU1339,$Q$134:Q1339,"S")</f>
        <v>16943.642</v>
      </c>
      <c r="BK1338" s="343">
        <f>SUMIFS($AU$134:AU1339,$P$134:P1339,"W")</f>
        <v>14962.141999999927</v>
      </c>
      <c r="BL1338" s="343">
        <f>SUMIFS($AU$134:AU1339,$P$134:P1339,"R")</f>
        <v>13171.606666666656</v>
      </c>
      <c r="BM1338" s="343">
        <f>SUMIFS($AU$134:AU1339,$AQ$134:AQ1339,"M")</f>
        <v>3398.0300000001621</v>
      </c>
      <c r="BN1338" s="343">
        <f>SUMIFS($AU$134:AU1339,$AQ$134:AQ1339,"H")</f>
        <v>10257.341999999999</v>
      </c>
      <c r="BO1338" s="343">
        <f>SUMIFS($AU$134:AU1339,$AQ$134:AQ1339,"D")</f>
        <v>6226.236666666764</v>
      </c>
      <c r="BP1338" s="343">
        <f>SUMIFS($AU$134:AU1341,$AQ$134:AQ1341,"W")</f>
        <v>5395.6199999996161</v>
      </c>
      <c r="BQ1338" s="343">
        <f>SUMIFS($AU$134:AU1339,$Q$134:Q1339,"O")</f>
        <v>-1996.8579999998115</v>
      </c>
      <c r="BR1338" s="343">
        <f>SUMIFS($AU$134:AU1339,$AA$134:AA1339,"*")</f>
        <v>23932.105333333551</v>
      </c>
      <c r="BS1338" s="343">
        <f>SUMIFS($AU$134:AU1339,$AB$134:AB1339,"*")</f>
        <v>3191.7120000000268</v>
      </c>
      <c r="BT1338" s="343">
        <f>SUMIFS($AU$134:AU1339,$AC$134:AC1339,"*")</f>
        <v>15152.216666666667</v>
      </c>
      <c r="BU1338" s="343">
        <f>SUMIFS($AU$134:AU1339,$AA$134:AA1339,"*",$AB$134:AB1339,"*")</f>
        <v>2490.0000000000546</v>
      </c>
      <c r="BV1338" s="343">
        <f>SUMIFS($AU$134:AU1339,$AA$134:AA1339,"*",$AC$134:AC1339,"*")</f>
        <v>11759.983333333334</v>
      </c>
      <c r="BW1338" s="343">
        <f>SUMIFS($AU$134:AU1339,$AB$134:AB1339,"*",$AC$134:AC1339,"*")</f>
        <v>6206.6</v>
      </c>
      <c r="BX1338" s="343">
        <f>SUMIFS($AU1339:AU$1388,$Q1339:Q$1388,"F")</f>
        <v>3024</v>
      </c>
      <c r="BY1338" s="343">
        <f>SUMIFS($AU1339:AU$1388,$Q1339:Q$1388,"S")</f>
        <v>3504.0000000000005</v>
      </c>
      <c r="BZ1338" s="343">
        <f>SUMIFS($AU1339:AU$1388,$Q1339:Q$1388,"O")</f>
        <v>348.00000000001319</v>
      </c>
    </row>
    <row r="1339" spans="1:78" ht="15.75" customHeight="1">
      <c r="A1339" s="221" t="s">
        <v>4622</v>
      </c>
      <c r="B1339" s="177">
        <v>45261</v>
      </c>
      <c r="C1339" s="178" t="s">
        <v>1341</v>
      </c>
      <c r="D1339" s="178" t="s">
        <v>111</v>
      </c>
      <c r="E1339" s="227"/>
      <c r="F1339" s="180"/>
      <c r="G1339" s="281" t="s">
        <v>181</v>
      </c>
      <c r="H1339" s="182"/>
      <c r="I1339" s="182"/>
      <c r="J1339" s="182"/>
      <c r="K1339" s="183"/>
      <c r="L1339" s="182">
        <v>1</v>
      </c>
      <c r="M1339" s="182"/>
      <c r="N1339" s="182"/>
      <c r="O1339" s="183" t="s">
        <v>95</v>
      </c>
      <c r="P1339" s="183" t="s">
        <v>96</v>
      </c>
      <c r="Q1339" s="183" t="s">
        <v>97</v>
      </c>
      <c r="R1339" s="183">
        <v>14</v>
      </c>
      <c r="S1339" s="183">
        <v>0</v>
      </c>
      <c r="T1339" s="183">
        <v>14</v>
      </c>
      <c r="U1339" s="183" t="s">
        <v>22</v>
      </c>
      <c r="V1339" s="183"/>
      <c r="W1339" s="183"/>
      <c r="X1339" s="183"/>
      <c r="Y1339" s="184">
        <f>IF(ISBLANK(O1339),"",(IF(O1339=UPPER("IB"),0.005,0.01)))</f>
        <v>0.01</v>
      </c>
      <c r="Z1339" s="185">
        <f>IF(ISBLANK(O1339),"",IF(O1339="IB",8.63*200,IF(O1339="IR",16*100,IF(O1339="YT",20*100,IF(O1339="YT-XT",24*200,IF(O1339="TED",80*100))))))</f>
        <v>1600</v>
      </c>
      <c r="AA1339" s="185" t="s">
        <v>4640</v>
      </c>
      <c r="AB1339" s="185"/>
      <c r="AC1339" s="185"/>
      <c r="AD1339" s="649">
        <v>-0.01</v>
      </c>
      <c r="AE1339" s="182"/>
      <c r="AF1339" s="332"/>
      <c r="AG1339" s="182"/>
      <c r="AH1339" s="182"/>
      <c r="AI1339" s="182"/>
      <c r="AJ1339" s="640"/>
      <c r="AK1339" s="182"/>
      <c r="AL1339" s="496"/>
      <c r="AM1339" s="496"/>
      <c r="AN1339" s="626"/>
      <c r="AO1339" s="182"/>
      <c r="AP1339" s="182"/>
      <c r="AQ1339" s="332" t="str">
        <f>UPPER(RIGHT(Journal_Live[[#This Row],[DURATION ]]))</f>
        <v/>
      </c>
      <c r="AR1339" s="182" t="s">
        <v>4641</v>
      </c>
      <c r="AS1339" s="189">
        <v>-0.02</v>
      </c>
      <c r="AT1339" s="189">
        <f>IF(ISBLANK(AS1339),,IF(U1339="S",AD1339-AS1339,AS1339-AD1339))</f>
        <v>-0.01</v>
      </c>
      <c r="AU1339" s="187">
        <f>AV1339*R1339</f>
        <v>-224</v>
      </c>
      <c r="AV1339" s="190">
        <f>IF(ISBLANK(AS1339),,(AT1339*Z1339))</f>
        <v>-16</v>
      </c>
      <c r="AW1339" s="191" t="s">
        <v>229</v>
      </c>
      <c r="AX1339" s="407" t="s">
        <v>4642</v>
      </c>
      <c r="AY1339" s="407" t="s">
        <v>4643</v>
      </c>
      <c r="AZ1339" s="407" t="s">
        <v>4644</v>
      </c>
      <c r="BA1339" s="407" t="s">
        <v>4645</v>
      </c>
      <c r="BB1339" s="407" t="s">
        <v>4646</v>
      </c>
      <c r="BC1339" s="407" t="s">
        <v>4647</v>
      </c>
      <c r="BD1339" s="407"/>
      <c r="BE1339" s="407"/>
      <c r="BF1339" s="422"/>
      <c r="BG1339" s="391">
        <f>SUM($AV$4:AV1339)</f>
        <v>4587.8156656883475</v>
      </c>
      <c r="BH1339" s="392">
        <f>SUM($AU$134:AU1339)</f>
        <v>26258.65066666685</v>
      </c>
      <c r="BI1339" s="318">
        <f>SUMIFS($AU$134:AU1340,$Q$134:Q1340,"F")</f>
        <v>11416.666666666668</v>
      </c>
      <c r="BJ1339" s="318">
        <f>SUMIFS($AU$134:AU1340,$Q$134:Q1340,"S")</f>
        <v>16943.642</v>
      </c>
      <c r="BK1339" s="343">
        <f>SUMIFS($AU$134:AU1340,$P$134:P1340,"W")</f>
        <v>14962.141999999927</v>
      </c>
      <c r="BL1339" s="343">
        <f>SUMIFS($AU$134:AU1340,$P$134:P1340,"R")</f>
        <v>13171.606666666656</v>
      </c>
      <c r="BM1339" s="343">
        <f>SUMIFS($AU$134:AU1340,$AQ$134:AQ1340,"M")</f>
        <v>3398.0300000001621</v>
      </c>
      <c r="BN1339" s="343">
        <f>SUMIFS($AU$134:AU1340,$AQ$134:AQ1340,"H")</f>
        <v>10257.341999999999</v>
      </c>
      <c r="BO1339" s="343">
        <f>SUMIFS($AU$134:AU1340,$AQ$134:AQ1340,"D")</f>
        <v>6226.236666666764</v>
      </c>
      <c r="BP1339" s="343">
        <f>SUMIFS($AU$134:AU1342,$AQ$134:AQ1342,"W")</f>
        <v>5395.6199999996161</v>
      </c>
      <c r="BQ1339" s="343">
        <f>SUMIFS($AU$134:AU1340,$Q$134:Q1340,"O")</f>
        <v>-1996.8579999998115</v>
      </c>
      <c r="BR1339" s="343">
        <f>SUMIFS($AU$134:AU1340,$AA$134:AA1340,"*")</f>
        <v>23932.105333333551</v>
      </c>
      <c r="BS1339" s="343">
        <f>SUMIFS($AU$134:AU1340,$AB$134:AB1340,"*")</f>
        <v>3191.7120000000268</v>
      </c>
      <c r="BT1339" s="343">
        <f>SUMIFS($AU$134:AU1340,$AC$134:AC1340,"*")</f>
        <v>15152.216666666667</v>
      </c>
      <c r="BU1339" s="343">
        <f>SUMIFS($AU$134:AU1340,$AA$134:AA1340,"*",$AB$134:AB1340,"*")</f>
        <v>2490.0000000000546</v>
      </c>
      <c r="BV1339" s="343">
        <f>SUMIFS($AU$134:AU1340,$AA$134:AA1340,"*",$AC$134:AC1340,"*")</f>
        <v>11759.983333333334</v>
      </c>
      <c r="BW1339" s="343">
        <f>SUMIFS($AU$134:AU1340,$AB$134:AB1340,"*",$AC$134:AC1340,"*")</f>
        <v>6206.6</v>
      </c>
      <c r="BX1339" s="343">
        <f>SUMIFS($AU1340:AU$1388,$Q1340:Q$1388,"F")</f>
        <v>3024</v>
      </c>
      <c r="BY1339" s="343">
        <f>SUMIFS($AU1340:AU$1388,$Q1340:Q$1388,"S")</f>
        <v>3728.0000000000005</v>
      </c>
      <c r="BZ1339" s="343">
        <f>SUMIFS($AU1340:AU$1388,$Q1340:Q$1388,"O")</f>
        <v>348.00000000001319</v>
      </c>
    </row>
    <row r="1340" spans="1:78" ht="15.75" customHeight="1">
      <c r="A1340" s="221" t="s">
        <v>4622</v>
      </c>
      <c r="B1340" s="177">
        <v>45262</v>
      </c>
      <c r="C1340" s="178" t="s">
        <v>4648</v>
      </c>
      <c r="D1340" s="178" t="s">
        <v>1676</v>
      </c>
      <c r="E1340" s="227"/>
      <c r="F1340" s="180"/>
      <c r="G1340" s="181" t="s">
        <v>136</v>
      </c>
      <c r="H1340" s="182"/>
      <c r="I1340" s="182"/>
      <c r="J1340" s="182"/>
      <c r="K1340" s="183"/>
      <c r="L1340" s="182"/>
      <c r="M1340" s="182"/>
      <c r="N1340" s="182"/>
      <c r="O1340" s="183"/>
      <c r="P1340" s="183"/>
      <c r="Q1340" s="183"/>
      <c r="R1340" s="183"/>
      <c r="S1340" s="183"/>
      <c r="T1340" s="183"/>
      <c r="U1340" s="183"/>
      <c r="V1340" s="183"/>
      <c r="W1340" s="183"/>
      <c r="X1340" s="183"/>
      <c r="Y1340" s="184"/>
      <c r="Z1340" s="185"/>
      <c r="AA1340" s="185"/>
      <c r="AB1340" s="185"/>
      <c r="AC1340" s="185"/>
      <c r="AD1340" s="649"/>
      <c r="AE1340" s="182"/>
      <c r="AF1340" s="332"/>
      <c r="AG1340" s="182"/>
      <c r="AH1340" s="182"/>
      <c r="AI1340" s="182"/>
      <c r="AJ1340" s="640"/>
      <c r="AK1340" s="182"/>
      <c r="AL1340" s="496"/>
      <c r="AM1340" s="496"/>
      <c r="AN1340" s="626"/>
      <c r="AO1340" s="182"/>
      <c r="AP1340" s="182"/>
      <c r="AQ1340" s="332" t="str">
        <f>UPPER(RIGHT(Journal_Live[[#This Row],[DURATION ]]))</f>
        <v/>
      </c>
      <c r="AR1340" s="182"/>
      <c r="AS1340" s="189"/>
      <c r="AT1340" s="189"/>
      <c r="AU1340" s="187"/>
      <c r="AV1340" s="190"/>
      <c r="AW1340" s="191"/>
      <c r="AX1340" s="407" t="s">
        <v>4649</v>
      </c>
      <c r="AY1340" s="409" t="s">
        <v>4650</v>
      </c>
      <c r="AZ1340" s="407" t="s">
        <v>4651</v>
      </c>
      <c r="BA1340" s="407"/>
      <c r="BB1340" s="407"/>
      <c r="BC1340" s="407"/>
      <c r="BD1340" s="407"/>
      <c r="BE1340" s="407"/>
      <c r="BF1340" s="422"/>
      <c r="BG1340" s="391">
        <f>SUM($AV$4:AV1340)</f>
        <v>4587.8156656883475</v>
      </c>
      <c r="BH1340" s="392">
        <f>SUM($AU$134:AU1340)</f>
        <v>26258.65066666685</v>
      </c>
      <c r="BI1340" s="318">
        <f>SUMIFS($AU$134:AU1341,$Q$134:Q1341,"F")</f>
        <v>12976.666666666668</v>
      </c>
      <c r="BJ1340" s="318">
        <f>SUMIFS($AU$134:AU1341,$Q$134:Q1341,"S")</f>
        <v>16943.642</v>
      </c>
      <c r="BK1340" s="343">
        <f>SUMIFS($AU$134:AU1341,$P$134:P1341,"W")</f>
        <v>16522.141999999927</v>
      </c>
      <c r="BL1340" s="343">
        <f>SUMIFS($AU$134:AU1341,$P$134:P1341,"R")</f>
        <v>13171.606666666656</v>
      </c>
      <c r="BM1340" s="343">
        <f>SUMIFS($AU$134:AU1341,$AQ$134:AQ1341,"M")</f>
        <v>3398.0300000001621</v>
      </c>
      <c r="BN1340" s="343">
        <f>SUMIFS($AU$134:AU1341,$AQ$134:AQ1341,"H")</f>
        <v>10257.341999999999</v>
      </c>
      <c r="BO1340" s="343">
        <f>SUMIFS($AU$134:AU1341,$AQ$134:AQ1341,"D")</f>
        <v>7786.236666666764</v>
      </c>
      <c r="BP1340" s="343">
        <f>SUMIFS($AU$134:AU1343,$AQ$134:AQ1343,"W")</f>
        <v>5395.6199999996161</v>
      </c>
      <c r="BQ1340" s="343">
        <f>SUMIFS($AU$134:AU1341,$Q$134:Q1341,"O")</f>
        <v>-1996.8579999998115</v>
      </c>
      <c r="BR1340" s="343">
        <f>SUMIFS($AU$134:AU1341,$AA$134:AA1341,"*")</f>
        <v>23932.105333333551</v>
      </c>
      <c r="BS1340" s="343">
        <f>SUMIFS($AU$134:AU1341,$AB$134:AB1341,"*")</f>
        <v>4751.7120000000268</v>
      </c>
      <c r="BT1340" s="343">
        <f>SUMIFS($AU$134:AU1341,$AC$134:AC1341,"*")</f>
        <v>16712.216666666667</v>
      </c>
      <c r="BU1340" s="343">
        <f>SUMIFS($AU$134:AU1341,$AA$134:AA1341,"*",$AB$134:AB1341,"*")</f>
        <v>2490.0000000000546</v>
      </c>
      <c r="BV1340" s="343">
        <f>SUMIFS($AU$134:AU1341,$AA$134:AA1341,"*",$AC$134:AC1341,"*")</f>
        <v>11759.983333333334</v>
      </c>
      <c r="BW1340" s="343">
        <f>SUMIFS($AU$134:AU1341,$AB$134:AB1341,"*",$AC$134:AC1341,"*")</f>
        <v>7766.6</v>
      </c>
      <c r="BX1340" s="343">
        <f>SUMIFS($AU1341:AU$1388,$Q1341:Q$1388,"F")</f>
        <v>3024</v>
      </c>
      <c r="BY1340" s="343">
        <f>SUMIFS($AU1341:AU$1388,$Q1341:Q$1388,"S")</f>
        <v>3728.0000000000005</v>
      </c>
      <c r="BZ1340" s="343">
        <f>SUMIFS($AU1341:AU$1388,$Q1341:Q$1388,"O")</f>
        <v>348.00000000001319</v>
      </c>
    </row>
    <row r="1341" spans="1:78" ht="15.75" customHeight="1">
      <c r="A1341" s="221" t="s">
        <v>4622</v>
      </c>
      <c r="B1341" s="177">
        <v>45264</v>
      </c>
      <c r="C1341" s="178" t="s">
        <v>4652</v>
      </c>
      <c r="D1341" s="178" t="s">
        <v>132</v>
      </c>
      <c r="E1341" s="227"/>
      <c r="F1341" s="180"/>
      <c r="G1341" s="281" t="s">
        <v>2568</v>
      </c>
      <c r="H1341" s="182"/>
      <c r="I1341" s="182"/>
      <c r="J1341" s="182"/>
      <c r="K1341" s="183"/>
      <c r="L1341" s="182">
        <v>2</v>
      </c>
      <c r="M1341" s="182"/>
      <c r="N1341" s="182"/>
      <c r="O1341" s="183" t="s">
        <v>95</v>
      </c>
      <c r="P1341" s="183" t="s">
        <v>96</v>
      </c>
      <c r="Q1341" s="183" t="s">
        <v>256</v>
      </c>
      <c r="R1341" s="183">
        <v>29</v>
      </c>
      <c r="S1341" s="183">
        <v>23</v>
      </c>
      <c r="T1341" s="183">
        <v>17</v>
      </c>
      <c r="U1341" s="183" t="s">
        <v>97</v>
      </c>
      <c r="V1341" s="183"/>
      <c r="W1341" s="183"/>
      <c r="X1341" s="183"/>
      <c r="Y1341" s="184">
        <f>IF(ISBLANK(O1341),"",(IF(O1341=UPPER("IB"),0.005,0.01)))</f>
        <v>0.01</v>
      </c>
      <c r="Z1341" s="185">
        <f>IF(ISBLANK(O1341),"",IF(O1341="IB",8.63*200,IF(O1341="IR",16*100,IF(O1341="YT",20*100,IF(O1341="YT-XT",24*200,IF(O1341="TED",80*100))))))</f>
        <v>1600</v>
      </c>
      <c r="AA1341" s="185"/>
      <c r="AB1341" s="185" t="s">
        <v>4653</v>
      </c>
      <c r="AC1341" s="185" t="s">
        <v>4654</v>
      </c>
      <c r="AD1341" s="649">
        <f>(0.055*17+0.06*12)/29</f>
        <v>5.7068965517241381E-2</v>
      </c>
      <c r="AE1341" s="182"/>
      <c r="AF1341" s="332"/>
      <c r="AG1341" s="182"/>
      <c r="AH1341" s="182" t="s">
        <v>4655</v>
      </c>
      <c r="AI1341" s="182"/>
      <c r="AJ1341" s="640" t="s">
        <v>4656</v>
      </c>
      <c r="AK1341" s="182"/>
      <c r="AL1341" s="496">
        <f t="shared" ref="AL1341" si="392">-0.03*Z1341</f>
        <v>-48</v>
      </c>
      <c r="AM1341" s="496">
        <f>AL1341*(R1341-S1341)</f>
        <v>-288</v>
      </c>
      <c r="AN1341" s="626"/>
      <c r="AO1341" s="182"/>
      <c r="AP1341" s="182" t="s">
        <v>864</v>
      </c>
      <c r="AQ1341" s="332" t="str">
        <f>UPPER(RIGHT(Journal_Live[[#This Row],[DURATION ]]))</f>
        <v>D</v>
      </c>
      <c r="AR1341" s="182" t="s">
        <v>4657</v>
      </c>
      <c r="AS1341" s="189">
        <f>(0.03*4+0.02*5+0.02*4+0.02*4+0.03*6+0.02*6)/29</f>
        <v>2.3448275862068966E-2</v>
      </c>
      <c r="AT1341" s="189">
        <f>IF(ISBLANK(AS1341),,IF(U1341="S",AD1341-AS1341,AS1341-AD1341))</f>
        <v>3.3620689655172412E-2</v>
      </c>
      <c r="AU1341" s="187">
        <f>AV1341*R1341</f>
        <v>1559.9999999999998</v>
      </c>
      <c r="AV1341" s="190">
        <f>IF(ISBLANK(AS1341),,(AT1341*Z1341))</f>
        <v>53.793103448275858</v>
      </c>
      <c r="AW1341" s="191" t="s">
        <v>96</v>
      </c>
      <c r="AX1341" s="407" t="s">
        <v>4658</v>
      </c>
      <c r="AY1341" s="407" t="s">
        <v>4659</v>
      </c>
      <c r="AZ1341" s="407" t="s">
        <v>4660</v>
      </c>
      <c r="BA1341" s="407"/>
      <c r="BB1341" s="407"/>
      <c r="BC1341" s="407"/>
      <c r="BD1341" s="407"/>
      <c r="BE1341" s="407"/>
      <c r="BF1341" s="422"/>
      <c r="BG1341" s="391">
        <f>SUM($AV$4:AV1341)</f>
        <v>4641.6087691366238</v>
      </c>
      <c r="BH1341" s="392">
        <f>SUM($AU$134:AU1341)</f>
        <v>27818.65066666685</v>
      </c>
      <c r="BI1341" s="318">
        <f>SUMIFS($AU$134:AU1342,$Q$134:Q1342,"F")</f>
        <v>13736.666666666668</v>
      </c>
      <c r="BJ1341" s="318">
        <f>SUMIFS($AU$134:AU1342,$Q$134:Q1342,"S")</f>
        <v>16943.642</v>
      </c>
      <c r="BK1341" s="343">
        <f>SUMIFS($AU$134:AU1342,$P$134:P1342,"W")</f>
        <v>17282.141999999927</v>
      </c>
      <c r="BL1341" s="343">
        <f>SUMIFS($AU$134:AU1342,$P$134:P1342,"R")</f>
        <v>13171.606666666656</v>
      </c>
      <c r="BM1341" s="343">
        <f>SUMIFS($AU$134:AU1342,$AQ$134:AQ1342,"M")</f>
        <v>3398.0300000001621</v>
      </c>
      <c r="BN1341" s="343">
        <f>SUMIFS($AU$134:AU1342,$AQ$134:AQ1342,"H")</f>
        <v>10257.341999999999</v>
      </c>
      <c r="BO1341" s="343">
        <f>SUMIFS($AU$134:AU1342,$AQ$134:AQ1342,"D")</f>
        <v>8546.236666666764</v>
      </c>
      <c r="BP1341" s="343">
        <f>SUMIFS($AU$134:AU1344,$AQ$134:AQ1344,"W")</f>
        <v>6099.6199999996161</v>
      </c>
      <c r="BQ1341" s="343">
        <f>SUMIFS($AU$134:AU1342,$Q$134:Q1342,"O")</f>
        <v>-1996.8579999998115</v>
      </c>
      <c r="BR1341" s="343">
        <f>SUMIFS($AU$134:AU1342,$AA$134:AA1342,"*")</f>
        <v>24692.105333333551</v>
      </c>
      <c r="BS1341" s="343">
        <f>SUMIFS($AU$134:AU1342,$AB$134:AB1342,"*")</f>
        <v>5511.7120000000268</v>
      </c>
      <c r="BT1341" s="343">
        <f>SUMIFS($AU$134:AU1342,$AC$134:AC1342,"*")</f>
        <v>17472.216666666667</v>
      </c>
      <c r="BU1341" s="343">
        <f>SUMIFS($AU$134:AU1342,$AA$134:AA1342,"*",$AB$134:AB1342,"*")</f>
        <v>3250.0000000000546</v>
      </c>
      <c r="BV1341" s="343">
        <f>SUMIFS($AU$134:AU1342,$AA$134:AA1342,"*",$AC$134:AC1342,"*")</f>
        <v>12519.983333333334</v>
      </c>
      <c r="BW1341" s="343">
        <f>SUMIFS($AU$134:AU1342,$AB$134:AB1342,"*",$AC$134:AC1342,"*")</f>
        <v>8526.6</v>
      </c>
      <c r="BX1341" s="343">
        <f>SUMIFS($AU1342:AU$1388,$Q1342:Q$1388,"F")</f>
        <v>1464.0000000000002</v>
      </c>
      <c r="BY1341" s="343">
        <f>SUMIFS($AU1342:AU$1388,$Q1342:Q$1388,"S")</f>
        <v>3728.0000000000005</v>
      </c>
      <c r="BZ1341" s="343">
        <f>SUMIFS($AU1342:AU$1388,$Q1342:Q$1388,"O")</f>
        <v>348.00000000001319</v>
      </c>
    </row>
    <row r="1342" spans="1:78" ht="15.75" customHeight="1">
      <c r="A1342" s="221" t="s">
        <v>4622</v>
      </c>
      <c r="B1342" s="177">
        <v>45264</v>
      </c>
      <c r="C1342" s="178" t="s">
        <v>1064</v>
      </c>
      <c r="D1342" s="178" t="s">
        <v>132</v>
      </c>
      <c r="E1342" s="227"/>
      <c r="F1342" s="180"/>
      <c r="G1342" s="281" t="s">
        <v>4661</v>
      </c>
      <c r="H1342" s="182"/>
      <c r="I1342" s="182"/>
      <c r="J1342" s="182"/>
      <c r="K1342" s="183"/>
      <c r="L1342" s="182">
        <v>1</v>
      </c>
      <c r="M1342" s="182"/>
      <c r="N1342" s="182"/>
      <c r="O1342" s="183" t="s">
        <v>95</v>
      </c>
      <c r="P1342" s="183" t="s">
        <v>96</v>
      </c>
      <c r="Q1342" s="183" t="s">
        <v>256</v>
      </c>
      <c r="R1342" s="183">
        <v>15</v>
      </c>
      <c r="S1342" s="183">
        <v>10</v>
      </c>
      <c r="T1342" s="183">
        <v>15</v>
      </c>
      <c r="U1342" s="183" t="s">
        <v>97</v>
      </c>
      <c r="V1342" s="183"/>
      <c r="W1342" s="183"/>
      <c r="X1342" s="183"/>
      <c r="Y1342" s="184">
        <f>IF(ISBLANK(O1342),"",(IF(O1342=UPPER("IB"),0.005,0.01)))</f>
        <v>0.01</v>
      </c>
      <c r="Z1342" s="185">
        <f>IF(ISBLANK(O1342),"",IF(O1342="IB",8.63*200,IF(O1342="IR",16*100,IF(O1342="YT",20*100,IF(O1342="YT-XT",24*200,IF(O1342="TED",80*100))))))</f>
        <v>1600</v>
      </c>
      <c r="AA1342" s="185" t="s">
        <v>4662</v>
      </c>
      <c r="AB1342" s="185" t="s">
        <v>4663</v>
      </c>
      <c r="AC1342" s="185" t="s">
        <v>4664</v>
      </c>
      <c r="AD1342" s="649">
        <v>2.5000000000000001E-2</v>
      </c>
      <c r="AE1342" s="182"/>
      <c r="AF1342" s="332"/>
      <c r="AG1342" s="182"/>
      <c r="AH1342" s="182" t="s">
        <v>4665</v>
      </c>
      <c r="AI1342" s="182"/>
      <c r="AJ1342" s="640"/>
      <c r="AK1342" s="182"/>
      <c r="AL1342" s="496">
        <f>-0.025*Z1342</f>
        <v>-40</v>
      </c>
      <c r="AM1342" s="496">
        <f>AL1342*(R1342-S1342)</f>
        <v>-200</v>
      </c>
      <c r="AN1342" s="626"/>
      <c r="AO1342" s="182"/>
      <c r="AP1342" s="182" t="s">
        <v>804</v>
      </c>
      <c r="AQ1342" s="332" t="str">
        <f>UPPER(RIGHT(Journal_Live[[#This Row],[DURATION ]]))</f>
        <v>D</v>
      </c>
      <c r="AR1342" s="298" t="s">
        <v>4666</v>
      </c>
      <c r="AS1342" s="189">
        <f>((-0.02*5)+(0*5)+(0*5))/15</f>
        <v>-6.6666666666666671E-3</v>
      </c>
      <c r="AT1342" s="189">
        <f>IF(ISBLANK(AS1342),,IF(U1342="S",AD1342-AS1342,AS1342-AD1342))</f>
        <v>3.1666666666666669E-2</v>
      </c>
      <c r="AU1342" s="187">
        <f>AV1342*R1342</f>
        <v>760.00000000000011</v>
      </c>
      <c r="AV1342" s="190">
        <f>IF(ISBLANK(AS1342),,(AT1342*Z1342))</f>
        <v>50.666666666666671</v>
      </c>
      <c r="AW1342" s="191" t="s">
        <v>96</v>
      </c>
      <c r="AX1342" s="407" t="s">
        <v>4667</v>
      </c>
      <c r="AY1342" s="407" t="s">
        <v>4668</v>
      </c>
      <c r="AZ1342" s="407"/>
      <c r="BA1342" s="407"/>
      <c r="BB1342" s="407"/>
      <c r="BC1342" s="407"/>
      <c r="BD1342" s="407"/>
      <c r="BE1342" s="407"/>
      <c r="BF1342" s="422"/>
      <c r="BG1342" s="391">
        <f>SUM($AV$4:AV1342)</f>
        <v>4692.2754358032907</v>
      </c>
      <c r="BH1342" s="392">
        <f>SUM($AU$134:AU1342)</f>
        <v>28578.65066666685</v>
      </c>
      <c r="BI1342" s="318">
        <f>SUMIFS($AU$134:AU1343,$Q$134:Q1343,"F")</f>
        <v>13736.666666666668</v>
      </c>
      <c r="BJ1342" s="318">
        <f>SUMIFS($AU$134:AU1343,$Q$134:Q1343,"S")</f>
        <v>16943.642</v>
      </c>
      <c r="BK1342" s="343">
        <f>SUMIFS($AU$134:AU1343,$P$134:P1343,"W")</f>
        <v>17282.141999999927</v>
      </c>
      <c r="BL1342" s="343">
        <f>SUMIFS($AU$134:AU1343,$P$134:P1343,"R")</f>
        <v>13171.606666666656</v>
      </c>
      <c r="BM1342" s="343">
        <f>SUMIFS($AU$134:AU1343,$AQ$134:AQ1343,"M")</f>
        <v>3398.0300000001621</v>
      </c>
      <c r="BN1342" s="343">
        <f>SUMIFS($AU$134:AU1343,$AQ$134:AQ1343,"H")</f>
        <v>10257.341999999999</v>
      </c>
      <c r="BO1342" s="343">
        <f>SUMIFS($AU$134:AU1343,$AQ$134:AQ1343,"D")</f>
        <v>8546.236666666764</v>
      </c>
      <c r="BP1342" s="343">
        <f>SUMIFS($AU$134:AU1345,$AQ$134:AQ1345,"W")</f>
        <v>6099.6199999996161</v>
      </c>
      <c r="BQ1342" s="343">
        <f>SUMIFS($AU$134:AU1343,$Q$134:Q1343,"O")</f>
        <v>-1996.8579999998115</v>
      </c>
      <c r="BR1342" s="343">
        <f>SUMIFS($AU$134:AU1343,$AA$134:AA1343,"*")</f>
        <v>24692.105333333551</v>
      </c>
      <c r="BS1342" s="343">
        <f>SUMIFS($AU$134:AU1343,$AB$134:AB1343,"*")</f>
        <v>5511.7120000000268</v>
      </c>
      <c r="BT1342" s="343">
        <f>SUMIFS($AU$134:AU1343,$AC$134:AC1343,"*")</f>
        <v>17472.216666666667</v>
      </c>
      <c r="BU1342" s="343">
        <f>SUMIFS($AU$134:AU1343,$AA$134:AA1343,"*",$AB$134:AB1343,"*")</f>
        <v>3250.0000000000546</v>
      </c>
      <c r="BV1342" s="343">
        <f>SUMIFS($AU$134:AU1343,$AA$134:AA1343,"*",$AC$134:AC1343,"*")</f>
        <v>12519.983333333334</v>
      </c>
      <c r="BW1342" s="343">
        <f>SUMIFS($AU$134:AU1343,$AB$134:AB1343,"*",$AC$134:AC1343,"*")</f>
        <v>8526.6</v>
      </c>
      <c r="BX1342" s="343">
        <f>SUMIFS($AU1343:AU$1388,$Q1343:Q$1388,"F")</f>
        <v>704.00000000000011</v>
      </c>
      <c r="BY1342" s="343">
        <f>SUMIFS($AU1343:AU$1388,$Q1343:Q$1388,"S")</f>
        <v>3728.0000000000005</v>
      </c>
      <c r="BZ1342" s="343">
        <f>SUMIFS($AU1343:AU$1388,$Q1343:Q$1388,"O")</f>
        <v>348.00000000001319</v>
      </c>
    </row>
    <row r="1343" spans="1:78" ht="15.75" customHeight="1">
      <c r="A1343" s="221" t="s">
        <v>4622</v>
      </c>
      <c r="B1343" s="177">
        <v>45264</v>
      </c>
      <c r="C1343" s="178" t="s">
        <v>4462</v>
      </c>
      <c r="D1343" s="178" t="s">
        <v>132</v>
      </c>
      <c r="E1343" s="227"/>
      <c r="F1343" s="180"/>
      <c r="G1343" s="181" t="s">
        <v>181</v>
      </c>
      <c r="H1343" s="182"/>
      <c r="I1343" s="182"/>
      <c r="J1343" s="182"/>
      <c r="K1343" s="183"/>
      <c r="L1343" s="182"/>
      <c r="M1343" s="182"/>
      <c r="N1343" s="182"/>
      <c r="O1343" s="183"/>
      <c r="P1343" s="183"/>
      <c r="Q1343" s="183"/>
      <c r="R1343" s="183"/>
      <c r="S1343" s="183"/>
      <c r="T1343" s="183"/>
      <c r="U1343" s="183"/>
      <c r="V1343" s="183"/>
      <c r="W1343" s="183"/>
      <c r="X1343" s="183"/>
      <c r="Y1343" s="184"/>
      <c r="Z1343" s="185"/>
      <c r="AA1343" s="185"/>
      <c r="AB1343" s="409"/>
      <c r="AC1343" s="185"/>
      <c r="AD1343" s="649"/>
      <c r="AE1343" s="182"/>
      <c r="AF1343" s="332"/>
      <c r="AG1343" s="182"/>
      <c r="AH1343" s="182"/>
      <c r="AI1343" s="182"/>
      <c r="AJ1343" s="640"/>
      <c r="AK1343" s="182"/>
      <c r="AL1343" s="496">
        <f>-0.025*Z1343</f>
        <v>0</v>
      </c>
      <c r="AM1343" s="496">
        <f>AL1343*(R1343-S1343)</f>
        <v>0</v>
      </c>
      <c r="AN1343" s="626"/>
      <c r="AO1343" s="182"/>
      <c r="AP1343" s="182"/>
      <c r="AQ1343" s="332" t="str">
        <f>UPPER(RIGHT(Journal_Live[[#This Row],[DURATION ]]))</f>
        <v/>
      </c>
      <c r="AR1343" s="182"/>
      <c r="AS1343" s="189"/>
      <c r="AT1343" s="189"/>
      <c r="AU1343" s="187"/>
      <c r="AV1343" s="190"/>
      <c r="AW1343" s="191"/>
      <c r="AX1343" s="407" t="s">
        <v>4669</v>
      </c>
      <c r="AY1343" s="409" t="s">
        <v>4670</v>
      </c>
      <c r="AZ1343" s="407" t="s">
        <v>4671</v>
      </c>
      <c r="BA1343" s="407"/>
      <c r="BB1343" s="407"/>
      <c r="BC1343" s="407"/>
      <c r="BD1343" s="407"/>
      <c r="BE1343" s="407"/>
      <c r="BF1343" s="422"/>
      <c r="BG1343" s="391">
        <f>SUM($AV$4:AV1343)</f>
        <v>4692.2754358032907</v>
      </c>
      <c r="BH1343" s="392">
        <f>SUM($AU$134:AU1343)</f>
        <v>28578.65066666685</v>
      </c>
      <c r="BI1343" s="318">
        <f>SUMIFS($AU$134:AU1344,$Q$134:Q1344,"F")</f>
        <v>14440.666666666668</v>
      </c>
      <c r="BJ1343" s="318">
        <f>SUMIFS($AU$134:AU1344,$Q$134:Q1344,"S")</f>
        <v>16943.642</v>
      </c>
      <c r="BK1343" s="343">
        <f>SUMIFS($AU$134:AU1344,$P$134:P1344,"W")</f>
        <v>17282.141999999927</v>
      </c>
      <c r="BL1343" s="343">
        <f>SUMIFS($AU$134:AU1344,$P$134:P1344,"R")</f>
        <v>13875.606666666656</v>
      </c>
      <c r="BM1343" s="343">
        <f>SUMIFS($AU$134:AU1344,$AQ$134:AQ1344,"M")</f>
        <v>3398.0300000001621</v>
      </c>
      <c r="BN1343" s="343">
        <f>SUMIFS($AU$134:AU1344,$AQ$134:AQ1344,"H")</f>
        <v>10257.341999999999</v>
      </c>
      <c r="BO1343" s="343">
        <f>SUMIFS($AU$134:AU1344,$AQ$134:AQ1344,"D")</f>
        <v>8546.236666666764</v>
      </c>
      <c r="BP1343" s="343">
        <f>SUMIFS($AU$134:AU1346,$AQ$134:AQ1346,"W")</f>
        <v>6099.6199999996161</v>
      </c>
      <c r="BQ1343" s="343">
        <f>SUMIFS($AU$134:AU1344,$Q$134:Q1344,"O")</f>
        <v>-1996.8579999998115</v>
      </c>
      <c r="BR1343" s="343">
        <f>SUMIFS($AU$134:AU1344,$AA$134:AA1344,"*")</f>
        <v>24692.105333333551</v>
      </c>
      <c r="BS1343" s="343">
        <f>SUMIFS($AU$134:AU1344,$AB$134:AB1344,"*")</f>
        <v>6215.7120000000268</v>
      </c>
      <c r="BT1343" s="343">
        <f>SUMIFS($AU$134:AU1344,$AC$134:AC1344,"*")</f>
        <v>18176.216666666667</v>
      </c>
      <c r="BU1343" s="343">
        <f>SUMIFS($AU$134:AU1344,$AA$134:AA1344,"*",$AB$134:AB1344,"*")</f>
        <v>3250.0000000000546</v>
      </c>
      <c r="BV1343" s="343">
        <f>SUMIFS($AU$134:AU1344,$AA$134:AA1344,"*",$AC$134:AC1344,"*")</f>
        <v>12519.983333333334</v>
      </c>
      <c r="BW1343" s="343">
        <f>SUMIFS($AU$134:AU1344,$AB$134:AB1344,"*",$AC$134:AC1344,"*")</f>
        <v>9230.6</v>
      </c>
      <c r="BX1343" s="343">
        <f>SUMIFS($AU1344:AU$1388,$Q1344:Q$1388,"F")</f>
        <v>704.00000000000011</v>
      </c>
      <c r="BY1343" s="343">
        <f>SUMIFS($AU1344:AU$1388,$Q1344:Q$1388,"S")</f>
        <v>3728.0000000000005</v>
      </c>
      <c r="BZ1343" s="343">
        <f>SUMIFS($AU1344:AU$1388,$Q1344:Q$1388,"O")</f>
        <v>348.00000000001319</v>
      </c>
    </row>
    <row r="1344" spans="1:78" ht="15.75" customHeight="1">
      <c r="A1344" s="221" t="s">
        <v>4622</v>
      </c>
      <c r="B1344" s="177">
        <v>45264</v>
      </c>
      <c r="C1344" s="178" t="s">
        <v>4672</v>
      </c>
      <c r="D1344" s="178" t="s">
        <v>132</v>
      </c>
      <c r="E1344" s="227"/>
      <c r="F1344" s="180"/>
      <c r="G1344" s="281" t="s">
        <v>3766</v>
      </c>
      <c r="H1344" s="182"/>
      <c r="I1344" s="182"/>
      <c r="J1344" s="182"/>
      <c r="K1344" s="183"/>
      <c r="L1344" s="182">
        <v>1</v>
      </c>
      <c r="M1344" s="182"/>
      <c r="N1344" s="182"/>
      <c r="O1344" s="183" t="s">
        <v>95</v>
      </c>
      <c r="P1344" s="183" t="s">
        <v>137</v>
      </c>
      <c r="Q1344" s="183" t="s">
        <v>256</v>
      </c>
      <c r="R1344" s="183">
        <v>52</v>
      </c>
      <c r="S1344" s="183">
        <v>37</v>
      </c>
      <c r="T1344" s="183">
        <v>20</v>
      </c>
      <c r="U1344" s="183" t="s">
        <v>97</v>
      </c>
      <c r="V1344" s="183"/>
      <c r="W1344" s="183"/>
      <c r="X1344" s="183"/>
      <c r="Y1344" s="184">
        <f>IF(ISBLANK(O1344),"",(IF(O1344=UPPER("IB"),0.005,0.01)))</f>
        <v>0.01</v>
      </c>
      <c r="Z1344" s="185">
        <f>IF(ISBLANK(O1344),"",IF(O1344="IB",8.63*200,IF(O1344="IR",16*100,IF(O1344="YT",20*100,IF(O1344="YT-XT",24*200,IF(O1344="TED",80*100))))))</f>
        <v>1600</v>
      </c>
      <c r="AA1344" s="185"/>
      <c r="AB1344" s="185" t="s">
        <v>4673</v>
      </c>
      <c r="AC1344" s="185" t="s">
        <v>4674</v>
      </c>
      <c r="AD1344" s="649">
        <f>((-0.01*25)+(-0.02*5)+(-0.02*5)+(-0.01*14)+(-0.01*3))/52</f>
        <v>-1.1923076923076923E-2</v>
      </c>
      <c r="AE1344" s="182"/>
      <c r="AF1344" s="332"/>
      <c r="AG1344" s="182"/>
      <c r="AH1344" s="182" t="s">
        <v>4675</v>
      </c>
      <c r="AI1344" s="182"/>
      <c r="AJ1344" s="640"/>
      <c r="AK1344" s="182"/>
      <c r="AL1344" s="496">
        <f t="shared" ref="AL1344:AL1350" si="393">-0.025*Z1344</f>
        <v>-40</v>
      </c>
      <c r="AM1344" s="496">
        <f>AL1344*(R1344-S1344)</f>
        <v>-600</v>
      </c>
      <c r="AN1344" s="626"/>
      <c r="AO1344" s="182"/>
      <c r="AP1344" s="182" t="s">
        <v>925</v>
      </c>
      <c r="AQ1344" s="332" t="str">
        <f>UPPER(RIGHT(Journal_Live[[#This Row],[DURATION ]]))</f>
        <v>W</v>
      </c>
      <c r="AR1344" s="182" t="s">
        <v>4676</v>
      </c>
      <c r="AS1344" s="189">
        <f>((-0.02*2)+(-0.03*17)+(-0.02*3)+(-0.02*15)+(-0.01*15))/52</f>
        <v>-2.0384615384615386E-2</v>
      </c>
      <c r="AT1344" s="189">
        <f>IF(ISBLANK(AS1344),,IF(U1344="S",AD1344-AS1344,AS1344-AD1344))</f>
        <v>8.461538461538463E-3</v>
      </c>
      <c r="AU1344" s="187">
        <f>AV1344*R1344</f>
        <v>704.00000000000011</v>
      </c>
      <c r="AV1344" s="190">
        <f>IF(ISBLANK(AS1344),,(AT1344*Z1344))</f>
        <v>13.53846153846154</v>
      </c>
      <c r="AW1344" s="191" t="s">
        <v>96</v>
      </c>
      <c r="AX1344" s="407" t="s">
        <v>4677</v>
      </c>
      <c r="AY1344" s="409" t="s">
        <v>4678</v>
      </c>
      <c r="AZ1344" s="407">
        <v>-2</v>
      </c>
      <c r="BA1344" s="409"/>
      <c r="BB1344" s="409"/>
      <c r="BC1344" s="407"/>
      <c r="BD1344" s="407"/>
      <c r="BE1344" s="407"/>
      <c r="BF1344" s="422"/>
      <c r="BG1344" s="391">
        <f>SUM($AV$4:AV1344)</f>
        <v>4705.8138973417526</v>
      </c>
      <c r="BH1344" s="392">
        <f>SUM($AU$134:AU1344)</f>
        <v>29282.65066666685</v>
      </c>
      <c r="BI1344" s="318">
        <f>SUMIFS($AU$134:AU1345,$Q$134:Q1345,"F")</f>
        <v>14440.666666666668</v>
      </c>
      <c r="BJ1344" s="318">
        <f>SUMIFS($AU$134:AU1345,$Q$134:Q1345,"S")</f>
        <v>16943.642</v>
      </c>
      <c r="BK1344" s="343">
        <f>SUMIFS($AU$134:AU1345,$P$134:P1345,"W")</f>
        <v>17282.141999999927</v>
      </c>
      <c r="BL1344" s="343">
        <f>SUMIFS($AU$134:AU1345,$P$134:P1345,"R")</f>
        <v>13875.606666666656</v>
      </c>
      <c r="BM1344" s="343">
        <f>SUMIFS($AU$134:AU1345,$AQ$134:AQ1345,"M")</f>
        <v>3398.0300000001621</v>
      </c>
      <c r="BN1344" s="343">
        <f>SUMIFS($AU$134:AU1345,$AQ$134:AQ1345,"H")</f>
        <v>10257.341999999999</v>
      </c>
      <c r="BO1344" s="343">
        <f>SUMIFS($AU$134:AU1345,$AQ$134:AQ1345,"D")</f>
        <v>8546.236666666764</v>
      </c>
      <c r="BP1344" s="343">
        <f>SUMIFS($AU$134:AU1347,$AQ$134:AQ1347,"W")</f>
        <v>6099.6199999996161</v>
      </c>
      <c r="BQ1344" s="343">
        <f>SUMIFS($AU$134:AU1345,$Q$134:Q1345,"O")</f>
        <v>-1996.8579999998115</v>
      </c>
      <c r="BR1344" s="343">
        <f>SUMIFS($AU$134:AU1345,$AA$134:AA1345,"*")</f>
        <v>24692.105333333551</v>
      </c>
      <c r="BS1344" s="343">
        <f>SUMIFS($AU$134:AU1345,$AB$134:AB1345,"*")</f>
        <v>6215.7120000000268</v>
      </c>
      <c r="BT1344" s="343">
        <f>SUMIFS($AU$134:AU1345,$AC$134:AC1345,"*")</f>
        <v>18176.216666666667</v>
      </c>
      <c r="BU1344" s="343">
        <f>SUMIFS($AU$134:AU1345,$AA$134:AA1345,"*",$AB$134:AB1345,"*")</f>
        <v>3250.0000000000546</v>
      </c>
      <c r="BV1344" s="343">
        <f>SUMIFS($AU$134:AU1345,$AA$134:AA1345,"*",$AC$134:AC1345,"*")</f>
        <v>12519.983333333334</v>
      </c>
      <c r="BW1344" s="343">
        <f>SUMIFS($AU$134:AU1345,$AB$134:AB1345,"*",$AC$134:AC1345,"*")</f>
        <v>9230.6</v>
      </c>
      <c r="BX1344" s="343">
        <f>SUMIFS($AU1345:AU$1388,$Q1345:Q$1388,"F")</f>
        <v>0</v>
      </c>
      <c r="BY1344" s="343">
        <f>SUMIFS($AU1345:AU$1388,$Q1345:Q$1388,"S")</f>
        <v>3728.0000000000005</v>
      </c>
      <c r="BZ1344" s="343">
        <f>SUMIFS($AU1345:AU$1388,$Q1345:Q$1388,"O")</f>
        <v>348.00000000001319</v>
      </c>
    </row>
    <row r="1345" spans="1:78" ht="15.75" customHeight="1">
      <c r="A1345" s="221" t="s">
        <v>4622</v>
      </c>
      <c r="B1345" s="177"/>
      <c r="C1345" s="178"/>
      <c r="D1345" s="178"/>
      <c r="E1345" s="227"/>
      <c r="F1345" s="180"/>
      <c r="G1345" s="181"/>
      <c r="H1345" s="182"/>
      <c r="I1345" s="182"/>
      <c r="J1345" s="182"/>
      <c r="K1345" s="183"/>
      <c r="L1345" s="182"/>
      <c r="M1345" s="182"/>
      <c r="N1345" s="182"/>
      <c r="O1345" s="183"/>
      <c r="P1345" s="183"/>
      <c r="Q1345" s="183"/>
      <c r="R1345" s="183"/>
      <c r="S1345" s="183"/>
      <c r="T1345" s="183"/>
      <c r="U1345" s="183"/>
      <c r="V1345" s="183"/>
      <c r="W1345" s="183"/>
      <c r="X1345" s="183"/>
      <c r="Y1345" s="183"/>
      <c r="Z1345" s="185" t="str">
        <f>IF(ISBLANK(O1345),"",IF(O1345="IB",8.63*200,IF(O1345="IR",16*100,IF(O1345="YT",20*100,IF(O1345="YT-XT",24*200,IF(O1345="TED",80*100))))))</f>
        <v/>
      </c>
      <c r="AA1345" s="185"/>
      <c r="AB1345" s="185"/>
      <c r="AC1345" s="185"/>
      <c r="AD1345" s="649"/>
      <c r="AE1345" s="182"/>
      <c r="AF1345" s="332"/>
      <c r="AG1345" s="182"/>
      <c r="AH1345" s="182"/>
      <c r="AI1345" s="182"/>
      <c r="AJ1345" s="640"/>
      <c r="AK1345" s="182"/>
      <c r="AL1345" s="496"/>
      <c r="AM1345" s="496"/>
      <c r="AN1345" s="626"/>
      <c r="AO1345" s="182"/>
      <c r="AP1345" s="182"/>
      <c r="AQ1345" s="332" t="str">
        <f>UPPER(RIGHT(Journal_Live[[#This Row],[DURATION ]]))</f>
        <v/>
      </c>
      <c r="AR1345" s="182"/>
      <c r="AS1345" s="189"/>
      <c r="AT1345" s="189"/>
      <c r="AU1345" s="187"/>
      <c r="AV1345" s="190"/>
      <c r="AW1345" s="191"/>
      <c r="AX1345" s="407" t="s">
        <v>4679</v>
      </c>
      <c r="AY1345" s="409" t="s">
        <v>4680</v>
      </c>
      <c r="AZ1345" s="407" t="s">
        <v>4681</v>
      </c>
      <c r="BA1345" s="409" t="s">
        <v>4682</v>
      </c>
      <c r="BB1345" s="409" t="s">
        <v>4683</v>
      </c>
      <c r="BC1345" s="407" t="s">
        <v>4684</v>
      </c>
      <c r="BD1345" s="407" t="s">
        <v>4685</v>
      </c>
      <c r="BE1345" s="407" t="s">
        <v>4686</v>
      </c>
      <c r="BF1345" s="422"/>
      <c r="BG1345" s="391">
        <f>SUM($AV$4:AV1345)</f>
        <v>4705.8138973417526</v>
      </c>
      <c r="BH1345" s="392">
        <f>SUM($AU$134:AU1345)</f>
        <v>29282.65066666685</v>
      </c>
      <c r="BI1345" s="318">
        <f>SUMIFS($AU$134:AU1346,$Q$134:Q1346,"F")</f>
        <v>14440.666666666668</v>
      </c>
      <c r="BJ1345" s="318">
        <f>SUMIFS($AU$134:AU1346,$Q$134:Q1346,"S")</f>
        <v>16943.642</v>
      </c>
      <c r="BK1345" s="343">
        <f>SUMIFS($AU$134:AU1346,$P$134:P1346,"W")</f>
        <v>17282.141999999927</v>
      </c>
      <c r="BL1345" s="343">
        <f>SUMIFS($AU$134:AU1346,$P$134:P1346,"R")</f>
        <v>13875.606666666656</v>
      </c>
      <c r="BM1345" s="343">
        <f>SUMIFS($AU$134:AU1346,$AQ$134:AQ1346,"M")</f>
        <v>3398.0300000001621</v>
      </c>
      <c r="BN1345" s="343">
        <f>SUMIFS($AU$134:AU1346,$AQ$134:AQ1346,"H")</f>
        <v>10257.341999999999</v>
      </c>
      <c r="BO1345" s="343">
        <f>SUMIFS($AU$134:AU1346,$AQ$134:AQ1346,"D")</f>
        <v>8546.236666666764</v>
      </c>
      <c r="BP1345" s="343">
        <f>SUMIFS($AU$134:AU1348,$AQ$134:AQ1348,"W")</f>
        <v>6099.6199999996161</v>
      </c>
      <c r="BQ1345" s="343">
        <f>SUMIFS($AU$134:AU1346,$Q$134:Q1346,"O")</f>
        <v>-1996.8579999998115</v>
      </c>
      <c r="BR1345" s="343">
        <f>SUMIFS($AU$134:AU1346,$AA$134:AA1346,"*")</f>
        <v>24692.105333333551</v>
      </c>
      <c r="BS1345" s="343">
        <f>SUMIFS($AU$134:AU1346,$AB$134:AB1346,"*")</f>
        <v>6215.7120000000268</v>
      </c>
      <c r="BT1345" s="343">
        <f>SUMIFS($AU$134:AU1346,$AC$134:AC1346,"*")</f>
        <v>18176.216666666667</v>
      </c>
      <c r="BU1345" s="343">
        <f>SUMIFS($AU$134:AU1346,$AA$134:AA1346,"*",$AB$134:AB1346,"*")</f>
        <v>3250.0000000000546</v>
      </c>
      <c r="BV1345" s="343">
        <f>SUMIFS($AU$134:AU1346,$AA$134:AA1346,"*",$AC$134:AC1346,"*")</f>
        <v>12519.983333333334</v>
      </c>
      <c r="BW1345" s="343">
        <f>SUMIFS($AU$134:AU1346,$AB$134:AB1346,"*",$AC$134:AC1346,"*")</f>
        <v>9230.6</v>
      </c>
      <c r="BX1345" s="343">
        <f>SUMIFS($AU1346:AU$1388,$Q1346:Q$1388,"F")</f>
        <v>0</v>
      </c>
      <c r="BY1345" s="343">
        <f>SUMIFS($AU1346:AU$1388,$Q1346:Q$1388,"S")</f>
        <v>3728.0000000000005</v>
      </c>
      <c r="BZ1345" s="343">
        <f>SUMIFS($AU1346:AU$1388,$Q1346:Q$1388,"O")</f>
        <v>348.00000000001319</v>
      </c>
    </row>
    <row r="1346" spans="1:78" ht="15.75" customHeight="1">
      <c r="A1346" s="221" t="s">
        <v>4622</v>
      </c>
      <c r="B1346" s="177"/>
      <c r="C1346" s="178"/>
      <c r="D1346" s="178"/>
      <c r="E1346" s="227"/>
      <c r="F1346" s="180"/>
      <c r="G1346" s="181"/>
      <c r="H1346" s="182"/>
      <c r="I1346" s="182"/>
      <c r="J1346" s="182">
        <v>1</v>
      </c>
      <c r="K1346" s="183" t="s">
        <v>115</v>
      </c>
      <c r="L1346" s="182"/>
      <c r="M1346" s="182"/>
      <c r="N1346" s="182"/>
      <c r="O1346" s="183"/>
      <c r="P1346" s="183"/>
      <c r="Q1346" s="183"/>
      <c r="R1346" s="183"/>
      <c r="S1346" s="183"/>
      <c r="T1346" s="183"/>
      <c r="U1346" s="183"/>
      <c r="V1346" s="183"/>
      <c r="W1346" s="183"/>
      <c r="X1346" s="183"/>
      <c r="Y1346" s="183"/>
      <c r="Z1346" s="185" t="str">
        <f>IF(ISBLANK(O1346),"",IF(O1346="IB",8.63*200,IF(O1346="IR",16*100,IF(O1346="YT",20*100,IF(O1346="YT-XT",24*200,IF(O1346="TED",80*100))))))</f>
        <v/>
      </c>
      <c r="AA1346" s="185"/>
      <c r="AB1346" s="185"/>
      <c r="AC1346" s="185"/>
      <c r="AD1346" s="649"/>
      <c r="AE1346" s="182"/>
      <c r="AF1346" s="332"/>
      <c r="AG1346" s="182"/>
      <c r="AH1346" s="182"/>
      <c r="AI1346" s="182"/>
      <c r="AJ1346" s="640"/>
      <c r="AK1346" s="182"/>
      <c r="AL1346" s="496"/>
      <c r="AM1346" s="496"/>
      <c r="AN1346" s="626"/>
      <c r="AO1346" s="182"/>
      <c r="AP1346" s="182"/>
      <c r="AQ1346" s="332" t="str">
        <f>UPPER(RIGHT(Journal_Live[[#This Row],[DURATION ]]))</f>
        <v/>
      </c>
      <c r="AR1346" s="182"/>
      <c r="AS1346" s="189"/>
      <c r="AT1346" s="189"/>
      <c r="AU1346" s="187"/>
      <c r="AV1346" s="190"/>
      <c r="AW1346" s="191"/>
      <c r="AX1346" s="407" t="s">
        <v>4687</v>
      </c>
      <c r="AY1346" s="407" t="s">
        <v>4688</v>
      </c>
      <c r="AZ1346" s="407" t="s">
        <v>4689</v>
      </c>
      <c r="BA1346" s="407" t="s">
        <v>4690</v>
      </c>
      <c r="BB1346" s="407" t="s">
        <v>4691</v>
      </c>
      <c r="BC1346" s="407"/>
      <c r="BD1346" s="407"/>
      <c r="BE1346" s="407"/>
      <c r="BF1346" s="422"/>
      <c r="BG1346" s="391">
        <f>SUM($AV$4:AV1346)</f>
        <v>4705.8138973417526</v>
      </c>
      <c r="BH1346" s="392">
        <f>SUM($AU$134:AU1346)</f>
        <v>29282.65066666685</v>
      </c>
      <c r="BI1346" s="318">
        <f>SUMIFS($AU$134:AU1347,$Q$134:Q1347,"F")</f>
        <v>14440.666666666668</v>
      </c>
      <c r="BJ1346" s="318">
        <f>SUMIFS($AU$134:AU1347,$Q$134:Q1347,"S")</f>
        <v>16943.642</v>
      </c>
      <c r="BK1346" s="343">
        <f>SUMIFS($AU$134:AU1347,$P$134:P1347,"W")</f>
        <v>17282.141999999927</v>
      </c>
      <c r="BL1346" s="343">
        <f>SUMIFS($AU$134:AU1347,$P$134:P1347,"R")</f>
        <v>13875.606666666656</v>
      </c>
      <c r="BM1346" s="343">
        <f>SUMIFS($AU$134:AU1347,$AQ$134:AQ1347,"M")</f>
        <v>3398.0300000001621</v>
      </c>
      <c r="BN1346" s="343">
        <f>SUMIFS($AU$134:AU1347,$AQ$134:AQ1347,"H")</f>
        <v>10257.341999999999</v>
      </c>
      <c r="BO1346" s="343">
        <f>SUMIFS($AU$134:AU1347,$AQ$134:AQ1347,"D")</f>
        <v>8546.236666666764</v>
      </c>
      <c r="BP1346" s="343">
        <f>SUMIFS($AU$134:AU1349,$AQ$134:AQ1349,"W")</f>
        <v>6099.6199999996161</v>
      </c>
      <c r="BQ1346" s="343">
        <f>SUMIFS($AU$134:AU1347,$Q$134:Q1347,"O")</f>
        <v>-1996.8579999998115</v>
      </c>
      <c r="BR1346" s="343">
        <f>SUMIFS($AU$134:AU1347,$AA$134:AA1347,"*")</f>
        <v>24692.105333333551</v>
      </c>
      <c r="BS1346" s="343">
        <f>SUMIFS($AU$134:AU1347,$AB$134:AB1347,"*")</f>
        <v>6215.7120000000268</v>
      </c>
      <c r="BT1346" s="343">
        <f>SUMIFS($AU$134:AU1347,$AC$134:AC1347,"*")</f>
        <v>18176.216666666667</v>
      </c>
      <c r="BU1346" s="343">
        <f>SUMIFS($AU$134:AU1347,$AA$134:AA1347,"*",$AB$134:AB1347,"*")</f>
        <v>3250.0000000000546</v>
      </c>
      <c r="BV1346" s="343">
        <f>SUMIFS($AU$134:AU1347,$AA$134:AA1347,"*",$AC$134:AC1347,"*")</f>
        <v>12519.983333333334</v>
      </c>
      <c r="BW1346" s="343">
        <f>SUMIFS($AU$134:AU1347,$AB$134:AB1347,"*",$AC$134:AC1347,"*")</f>
        <v>9230.6</v>
      </c>
      <c r="BX1346" s="343">
        <f>SUMIFS($AU1347:AU$1388,$Q1347:Q$1388,"F")</f>
        <v>0</v>
      </c>
      <c r="BY1346" s="343">
        <f>SUMIFS($AU1347:AU$1388,$Q1347:Q$1388,"S")</f>
        <v>3728.0000000000005</v>
      </c>
      <c r="BZ1346" s="343">
        <f>SUMIFS($AU1347:AU$1388,$Q1347:Q$1388,"O")</f>
        <v>348.00000000001319</v>
      </c>
    </row>
    <row r="1347" spans="1:78" ht="15.75" customHeight="1">
      <c r="A1347" s="221" t="s">
        <v>4622</v>
      </c>
      <c r="B1347" s="177">
        <v>45265</v>
      </c>
      <c r="C1347" s="178" t="s">
        <v>1304</v>
      </c>
      <c r="D1347" s="178" t="s">
        <v>146</v>
      </c>
      <c r="E1347" s="227" t="s">
        <v>4692</v>
      </c>
      <c r="F1347" s="180"/>
      <c r="G1347" s="181"/>
      <c r="H1347" s="182"/>
      <c r="I1347" s="182"/>
      <c r="J1347" s="182"/>
      <c r="K1347" s="183"/>
      <c r="L1347" s="182"/>
      <c r="M1347" s="182"/>
      <c r="N1347" s="182"/>
      <c r="O1347" s="183"/>
      <c r="P1347" s="183"/>
      <c r="Q1347" s="183"/>
      <c r="R1347" s="183"/>
      <c r="S1347" s="183"/>
      <c r="T1347" s="183"/>
      <c r="U1347" s="183"/>
      <c r="V1347" s="183"/>
      <c r="W1347" s="183"/>
      <c r="X1347" s="183"/>
      <c r="Y1347" s="183"/>
      <c r="Z1347" s="185" t="str">
        <f>IF(ISBLANK(O1347),"",IF(O1347="IB",8.63*200,IF(O1347="IR",16*100,IF(O1347="YT",20*100,IF(O1347="YT-XT",24*200,IF(O1347="TED",80*100))))))</f>
        <v/>
      </c>
      <c r="AA1347" s="185"/>
      <c r="AB1347" s="185"/>
      <c r="AC1347" s="185"/>
      <c r="AD1347" s="649"/>
      <c r="AE1347" s="182"/>
      <c r="AF1347" s="332"/>
      <c r="AG1347" s="182"/>
      <c r="AH1347" s="182"/>
      <c r="AI1347" s="182"/>
      <c r="AJ1347" s="640"/>
      <c r="AK1347" s="182"/>
      <c r="AL1347" s="496"/>
      <c r="AM1347" s="496"/>
      <c r="AN1347" s="626"/>
      <c r="AO1347" s="182"/>
      <c r="AP1347" s="182"/>
      <c r="AQ1347" s="332" t="str">
        <f>UPPER(RIGHT(Journal_Live[[#This Row],[DURATION ]]))</f>
        <v/>
      </c>
      <c r="AR1347" s="182"/>
      <c r="AS1347" s="189"/>
      <c r="AT1347" s="189"/>
      <c r="AU1347" s="187"/>
      <c r="AV1347" s="190"/>
      <c r="AW1347" s="191"/>
      <c r="AX1347" s="409" t="s">
        <v>4693</v>
      </c>
      <c r="AY1347" s="407" t="s">
        <v>4694</v>
      </c>
      <c r="AZ1347" s="407" t="s">
        <v>4695</v>
      </c>
      <c r="BA1347" s="407" t="s">
        <v>4696</v>
      </c>
      <c r="BB1347" s="407"/>
      <c r="BC1347" s="407"/>
      <c r="BD1347" s="407"/>
      <c r="BE1347" s="407"/>
      <c r="BF1347" s="422"/>
      <c r="BG1347" s="391">
        <f>SUM($AV$4:AV1347)</f>
        <v>4705.8138973417526</v>
      </c>
      <c r="BH1347" s="392">
        <f>SUM($AU$134:AU1347)</f>
        <v>29282.65066666685</v>
      </c>
      <c r="BI1347" s="318">
        <f>SUMIFS($AU$134:AU1348,$Q$134:Q1348,"F")</f>
        <v>14440.666666666668</v>
      </c>
      <c r="BJ1347" s="318">
        <f>SUMIFS($AU$134:AU1348,$Q$134:Q1348,"S")</f>
        <v>16943.642</v>
      </c>
      <c r="BK1347" s="343">
        <f>SUMIFS($AU$134:AU1348,$P$134:P1348,"W")</f>
        <v>17282.141999999927</v>
      </c>
      <c r="BL1347" s="343">
        <f>SUMIFS($AU$134:AU1348,$P$134:P1348,"R")</f>
        <v>13875.606666666656</v>
      </c>
      <c r="BM1347" s="343">
        <f>SUMIFS($AU$134:AU1348,$AQ$134:AQ1348,"M")</f>
        <v>3398.0300000001621</v>
      </c>
      <c r="BN1347" s="343">
        <f>SUMIFS($AU$134:AU1348,$AQ$134:AQ1348,"H")</f>
        <v>10605.342000000011</v>
      </c>
      <c r="BO1347" s="343">
        <f>SUMIFS($AU$134:AU1348,$AQ$134:AQ1348,"D")</f>
        <v>8546.236666666764</v>
      </c>
      <c r="BP1347" s="343">
        <f>SUMIFS($AU$134:AU1350,$AQ$134:AQ1350,"W")</f>
        <v>6099.6199999996161</v>
      </c>
      <c r="BQ1347" s="343">
        <f>SUMIFS($AU$134:AU1348,$Q$134:Q1348,"O")</f>
        <v>-1648.8579999997983</v>
      </c>
      <c r="BR1347" s="343">
        <f>SUMIFS($AU$134:AU1348,$AA$134:AA1348,"*")</f>
        <v>25040.105333333566</v>
      </c>
      <c r="BS1347" s="343">
        <f>SUMIFS($AU$134:AU1348,$AB$134:AB1348,"*")</f>
        <v>6215.7120000000268</v>
      </c>
      <c r="BT1347" s="343">
        <f>SUMIFS($AU$134:AU1348,$AC$134:AC1348,"*")</f>
        <v>18176.216666666667</v>
      </c>
      <c r="BU1347" s="343">
        <f>SUMIFS($AU$134:AU1348,$AA$134:AA1348,"*",$AB$134:AB1348,"*")</f>
        <v>3250.0000000000546</v>
      </c>
      <c r="BV1347" s="343">
        <f>SUMIFS($AU$134:AU1348,$AA$134:AA1348,"*",$AC$134:AC1348,"*")</f>
        <v>12519.983333333334</v>
      </c>
      <c r="BW1347" s="343">
        <f>SUMIFS($AU$134:AU1348,$AB$134:AB1348,"*",$AC$134:AC1348,"*")</f>
        <v>9230.6</v>
      </c>
      <c r="BX1347" s="343">
        <f>SUMIFS($AU1348:AU$1388,$Q1348:Q$1388,"F")</f>
        <v>0</v>
      </c>
      <c r="BY1347" s="343">
        <f>SUMIFS($AU1348:AU$1388,$Q1348:Q$1388,"S")</f>
        <v>3728.0000000000005</v>
      </c>
      <c r="BZ1347" s="343">
        <f>SUMIFS($AU1348:AU$1388,$Q1348:Q$1388,"O")</f>
        <v>348.00000000001319</v>
      </c>
    </row>
    <row r="1348" spans="1:78" ht="15.75" customHeight="1">
      <c r="A1348" s="221" t="s">
        <v>4622</v>
      </c>
      <c r="B1348" s="177">
        <v>45265</v>
      </c>
      <c r="C1348" s="178" t="s">
        <v>4116</v>
      </c>
      <c r="D1348" s="178" t="s">
        <v>146</v>
      </c>
      <c r="E1348" s="227"/>
      <c r="F1348" s="180"/>
      <c r="G1348" s="281" t="s">
        <v>3924</v>
      </c>
      <c r="H1348" s="182"/>
      <c r="I1348" s="182"/>
      <c r="J1348" s="182"/>
      <c r="K1348" s="183"/>
      <c r="L1348" s="182">
        <v>1</v>
      </c>
      <c r="M1348" s="182"/>
      <c r="N1348" s="182"/>
      <c r="O1348" s="183" t="s">
        <v>3618</v>
      </c>
      <c r="P1348" s="183" t="s">
        <v>2260</v>
      </c>
      <c r="Q1348" s="183" t="s">
        <v>684</v>
      </c>
      <c r="R1348" s="183">
        <v>1</v>
      </c>
      <c r="S1348" s="183">
        <v>0</v>
      </c>
      <c r="T1348" s="183">
        <v>1</v>
      </c>
      <c r="U1348" s="183" t="s">
        <v>22</v>
      </c>
      <c r="V1348" s="183"/>
      <c r="W1348" s="183"/>
      <c r="X1348" s="183"/>
      <c r="Y1348" s="184">
        <f>IF(ISBLANK(O1348),"",(IF(O1348=UPPER("IB"),0.005,0.01)))</f>
        <v>0.01</v>
      </c>
      <c r="Z1348" s="185">
        <f>IF(ISBLANK(O1348),"",IF(O1348="IB",8.63*200,IF(O1348="IR",16*100,IF(O1348="YT",20*100,IF(O1348="YT-XT",24*200,IF(O1348="TED",80*100,IF(O1348="XT",29*200)))))))</f>
        <v>5800</v>
      </c>
      <c r="AA1348" s="473" t="s">
        <v>4697</v>
      </c>
      <c r="AB1348" s="185"/>
      <c r="AC1348" s="185"/>
      <c r="AD1348" s="649">
        <v>95.534999999999997</v>
      </c>
      <c r="AE1348" s="182"/>
      <c r="AF1348" s="332"/>
      <c r="AG1348" s="182"/>
      <c r="AH1348" s="182"/>
      <c r="AI1348" s="182"/>
      <c r="AJ1348" s="640"/>
      <c r="AK1348" s="182"/>
      <c r="AL1348" s="496">
        <f t="shared" si="393"/>
        <v>-145</v>
      </c>
      <c r="AM1348" s="496">
        <f>AL1348*(R1348-S1348)</f>
        <v>-145</v>
      </c>
      <c r="AN1348" s="626"/>
      <c r="AO1348" s="182"/>
      <c r="AP1348" s="182" t="s">
        <v>1292</v>
      </c>
      <c r="AQ1348" s="332" t="str">
        <f>UPPER(RIGHT(Journal_Live[[#This Row],[DURATION ]]))</f>
        <v>H</v>
      </c>
      <c r="AR1348" s="182" t="s">
        <v>2860</v>
      </c>
      <c r="AS1348" s="189">
        <v>95.594999999999999</v>
      </c>
      <c r="AT1348" s="189">
        <f>IF(ISBLANK(AS1348),,IF(U1348="S",AD1348-AS1348,AS1348-AD1348))</f>
        <v>6.0000000000002274E-2</v>
      </c>
      <c r="AU1348" s="187">
        <f>AV1348*R1348</f>
        <v>348.00000000001319</v>
      </c>
      <c r="AV1348" s="190">
        <f>IF(ISBLANK(AS1348),,(AT1348*Z1348))</f>
        <v>348.00000000001319</v>
      </c>
      <c r="AW1348" s="191" t="s">
        <v>96</v>
      </c>
      <c r="AX1348" s="407" t="s">
        <v>4698</v>
      </c>
      <c r="AY1348" s="407" t="s">
        <v>1137</v>
      </c>
      <c r="AZ1348" s="407"/>
      <c r="BA1348" s="407"/>
      <c r="BB1348" s="407"/>
      <c r="BC1348" s="407"/>
      <c r="BD1348" s="407" t="s">
        <v>4699</v>
      </c>
      <c r="BE1348" s="407" t="s">
        <v>4700</v>
      </c>
      <c r="BF1348" s="422"/>
      <c r="BG1348" s="391">
        <f>SUM($AV$4:AV1348)</f>
        <v>5053.8138973417663</v>
      </c>
      <c r="BH1348" s="392">
        <f>SUM($AU$134:AU1348)</f>
        <v>29630.650666666865</v>
      </c>
      <c r="BI1348" s="318">
        <f>SUMIFS($AU$134:AU1349,$Q$134:Q1349,"F")</f>
        <v>14440.666666666668</v>
      </c>
      <c r="BJ1348" s="318">
        <f>SUMIFS($AU$134:AU1349,$Q$134:Q1349,"S")</f>
        <v>16943.642</v>
      </c>
      <c r="BK1348" s="343">
        <f>SUMIFS($AU$134:AU1349,$P$134:P1349,"W")</f>
        <v>17282.141999999927</v>
      </c>
      <c r="BL1348" s="343">
        <f>SUMIFS($AU$134:AU1349,$P$134:P1349,"R")</f>
        <v>13875.606666666656</v>
      </c>
      <c r="BM1348" s="343">
        <f>SUMIFS($AU$134:AU1349,$AQ$134:AQ1349,"M")</f>
        <v>3398.0300000001621</v>
      </c>
      <c r="BN1348" s="343">
        <f>SUMIFS($AU$134:AU1349,$AQ$134:AQ1349,"H")</f>
        <v>10605.342000000011</v>
      </c>
      <c r="BO1348" s="343">
        <f>SUMIFS($AU$134:AU1349,$AQ$134:AQ1349,"D")</f>
        <v>8546.236666666764</v>
      </c>
      <c r="BP1348" s="343">
        <f>SUMIFS($AU$134:AU1351,$AQ$134:AQ1351,"W")</f>
        <v>6099.6199999996161</v>
      </c>
      <c r="BQ1348" s="343">
        <f>SUMIFS($AU$134:AU1349,$Q$134:Q1349,"O")</f>
        <v>-1648.8579999997983</v>
      </c>
      <c r="BR1348" s="343">
        <f>SUMIFS($AU$134:AU1349,$AA$134:AA1349,"*")</f>
        <v>25040.105333333566</v>
      </c>
      <c r="BS1348" s="343">
        <f>SUMIFS($AU$134:AU1349,$AB$134:AB1349,"*")</f>
        <v>6215.7120000000268</v>
      </c>
      <c r="BT1348" s="343">
        <f>SUMIFS($AU$134:AU1349,$AC$134:AC1349,"*")</f>
        <v>18176.216666666667</v>
      </c>
      <c r="BU1348" s="343">
        <f>SUMIFS($AU$134:AU1349,$AA$134:AA1349,"*",$AB$134:AB1349,"*")</f>
        <v>3250.0000000000546</v>
      </c>
      <c r="BV1348" s="343">
        <f>SUMIFS($AU$134:AU1349,$AA$134:AA1349,"*",$AC$134:AC1349,"*")</f>
        <v>12519.983333333334</v>
      </c>
      <c r="BW1348" s="343">
        <f>SUMIFS($AU$134:AU1349,$AB$134:AB1349,"*",$AC$134:AC1349,"*")</f>
        <v>9230.6</v>
      </c>
      <c r="BX1348" s="343">
        <f>SUMIFS($AU1349:AU$1388,$Q1349:Q$1388,"F")</f>
        <v>0</v>
      </c>
      <c r="BY1348" s="343">
        <f>SUMIFS($AU1349:AU$1388,$Q1349:Q$1388,"S")</f>
        <v>3728.0000000000005</v>
      </c>
      <c r="BZ1348" s="343">
        <f>SUMIFS($AU1349:AU$1388,$Q1349:Q$1388,"O")</f>
        <v>0</v>
      </c>
    </row>
    <row r="1349" spans="1:78" ht="15.75" customHeight="1">
      <c r="A1349" s="221" t="s">
        <v>4622</v>
      </c>
      <c r="B1349" s="177">
        <v>45265</v>
      </c>
      <c r="C1349" s="178" t="s">
        <v>1629</v>
      </c>
      <c r="D1349" s="178" t="s">
        <v>146</v>
      </c>
      <c r="E1349" s="227" t="s">
        <v>4701</v>
      </c>
      <c r="F1349" s="180"/>
      <c r="G1349" s="181"/>
      <c r="H1349" s="182"/>
      <c r="I1349" s="182"/>
      <c r="J1349" s="182"/>
      <c r="K1349" s="183"/>
      <c r="L1349" s="182"/>
      <c r="M1349" s="182"/>
      <c r="N1349" s="182"/>
      <c r="O1349" s="183"/>
      <c r="P1349" s="183"/>
      <c r="Q1349" s="183"/>
      <c r="R1349" s="183"/>
      <c r="S1349" s="183"/>
      <c r="T1349" s="183"/>
      <c r="U1349" s="183"/>
      <c r="V1349" s="183"/>
      <c r="W1349" s="183"/>
      <c r="X1349" s="183"/>
      <c r="Y1349" s="183"/>
      <c r="Z1349" s="185" t="str">
        <f>IF(ISBLANK(O1349),"",IF(O1349="IB",8.63*200,IF(O1349="IR",16*100,IF(O1349="YT",20*100,IF(O1349="YT-XT",24*200,IF(O1349="TED",80*100))))))</f>
        <v/>
      </c>
      <c r="AA1349" s="185"/>
      <c r="AB1349" s="185"/>
      <c r="AC1349" s="185"/>
      <c r="AD1349" s="649"/>
      <c r="AE1349" s="182"/>
      <c r="AF1349" s="332"/>
      <c r="AG1349" s="182"/>
      <c r="AH1349" s="182"/>
      <c r="AI1349" s="182"/>
      <c r="AJ1349" s="640"/>
      <c r="AK1349" s="182"/>
      <c r="AL1349" s="496"/>
      <c r="AM1349" s="496"/>
      <c r="AN1349" s="626"/>
      <c r="AO1349" s="182"/>
      <c r="AP1349" s="182"/>
      <c r="AQ1349" s="332" t="str">
        <f>UPPER(RIGHT(Journal_Live[[#This Row],[DURATION ]]))</f>
        <v/>
      </c>
      <c r="AR1349" s="182"/>
      <c r="AS1349" s="189"/>
      <c r="AT1349" s="189"/>
      <c r="AU1349" s="187"/>
      <c r="AV1349" s="190"/>
      <c r="AW1349" s="191"/>
      <c r="AX1349" s="407"/>
      <c r="AY1349" s="407"/>
      <c r="AZ1349" s="407"/>
      <c r="BA1349" s="407"/>
      <c r="BB1349" s="407"/>
      <c r="BC1349" s="407"/>
      <c r="BD1349" s="407"/>
      <c r="BE1349" s="407"/>
      <c r="BF1349" s="422"/>
      <c r="BG1349" s="391">
        <f>SUM($AV$4:AV1349)</f>
        <v>5053.8138973417663</v>
      </c>
      <c r="BH1349" s="392">
        <f>SUM($AU$134:AU1349)</f>
        <v>29630.650666666865</v>
      </c>
      <c r="BI1349" s="318">
        <f>SUMIFS($AU$134:AU1350,$Q$134:Q1350,"F")</f>
        <v>14440.666666666668</v>
      </c>
      <c r="BJ1349" s="318">
        <f>SUMIFS($AU$134:AU1350,$Q$134:Q1350,"S")</f>
        <v>17279.642</v>
      </c>
      <c r="BK1349" s="343">
        <f>SUMIFS($AU$134:AU1350,$P$134:P1350,"W")</f>
        <v>17618.141999999927</v>
      </c>
      <c r="BL1349" s="343">
        <f>SUMIFS($AU$134:AU1350,$P$134:P1350,"R")</f>
        <v>13875.606666666656</v>
      </c>
      <c r="BM1349" s="343">
        <f>SUMIFS($AU$134:AU1350,$AQ$134:AQ1350,"M")</f>
        <v>3398.0300000001621</v>
      </c>
      <c r="BN1349" s="343">
        <f>SUMIFS($AU$134:AU1350,$AQ$134:AQ1350,"H")</f>
        <v>10941.342000000011</v>
      </c>
      <c r="BO1349" s="343">
        <f>SUMIFS($AU$134:AU1350,$AQ$134:AQ1350,"D")</f>
        <v>8546.236666666764</v>
      </c>
      <c r="BP1349" s="343">
        <f>SUMIFS($AU$134:AU1352,$AQ$134:AQ1352,"W")</f>
        <v>6099.6199999996161</v>
      </c>
      <c r="BQ1349" s="343">
        <f>SUMIFS($AU$134:AU1350,$Q$134:Q1350,"O")</f>
        <v>-1648.8579999997983</v>
      </c>
      <c r="BR1349" s="343">
        <f>SUMIFS($AU$134:AU1350,$AA$134:AA1350,"*")</f>
        <v>25376.105333333566</v>
      </c>
      <c r="BS1349" s="343">
        <f>SUMIFS($AU$134:AU1350,$AB$134:AB1350,"*")</f>
        <v>6551.7120000000268</v>
      </c>
      <c r="BT1349" s="343">
        <f>SUMIFS($AU$134:AU1350,$AC$134:AC1350,"*")</f>
        <v>18176.216666666667</v>
      </c>
      <c r="BU1349" s="343">
        <f>SUMIFS($AU$134:AU1350,$AA$134:AA1350,"*",$AB$134:AB1350,"*")</f>
        <v>3586.0000000000546</v>
      </c>
      <c r="BV1349" s="343">
        <f>SUMIFS($AU$134:AU1350,$AA$134:AA1350,"*",$AC$134:AC1350,"*")</f>
        <v>12519.983333333334</v>
      </c>
      <c r="BW1349" s="343">
        <f>SUMIFS($AU$134:AU1350,$AB$134:AB1350,"*",$AC$134:AC1350,"*")</f>
        <v>9230.6</v>
      </c>
      <c r="BX1349" s="343">
        <f>SUMIFS($AU1350:AU$1388,$Q1350:Q$1388,"F")</f>
        <v>0</v>
      </c>
      <c r="BY1349" s="343">
        <f>SUMIFS($AU1350:AU$1388,$Q1350:Q$1388,"S")</f>
        <v>3728.0000000000005</v>
      </c>
      <c r="BZ1349" s="343">
        <f>SUMIFS($AU1350:AU$1388,$Q1350:Q$1388,"O")</f>
        <v>0</v>
      </c>
    </row>
    <row r="1350" spans="1:78" ht="15.75" customHeight="1">
      <c r="A1350" s="221" t="s">
        <v>4622</v>
      </c>
      <c r="B1350" s="177">
        <v>45265</v>
      </c>
      <c r="C1350" s="178" t="s">
        <v>1142</v>
      </c>
      <c r="D1350" s="178" t="s">
        <v>146</v>
      </c>
      <c r="E1350" s="227"/>
      <c r="F1350" s="180"/>
      <c r="G1350" s="281" t="s">
        <v>181</v>
      </c>
      <c r="H1350" s="182"/>
      <c r="I1350" s="182"/>
      <c r="J1350" s="182"/>
      <c r="K1350" s="183"/>
      <c r="L1350" s="182">
        <v>1</v>
      </c>
      <c r="M1350" s="182"/>
      <c r="N1350" s="182"/>
      <c r="O1350" s="183" t="s">
        <v>95</v>
      </c>
      <c r="P1350" s="183" t="s">
        <v>96</v>
      </c>
      <c r="Q1350" s="183" t="s">
        <v>97</v>
      </c>
      <c r="R1350" s="183">
        <v>14</v>
      </c>
      <c r="S1350" s="183">
        <v>14</v>
      </c>
      <c r="T1350" s="183">
        <v>14</v>
      </c>
      <c r="U1350" s="183" t="s">
        <v>97</v>
      </c>
      <c r="V1350" s="183"/>
      <c r="W1350" s="183"/>
      <c r="X1350" s="183"/>
      <c r="Y1350" s="184">
        <f>IF(ISBLANK(O1350),"",(IF(O1350=UPPER("IB"),0.005,0.01)))</f>
        <v>0.01</v>
      </c>
      <c r="Z1350" s="185">
        <f>IF(ISBLANK(O1350),"",IF(O1350="IB",8.63*200,IF(O1350="IR",16*100,IF(O1350="YT",20*100,IF(O1350="YT-XT",24*200,IF(O1350="TED",80*100))))))</f>
        <v>1600</v>
      </c>
      <c r="AA1350" s="185" t="s">
        <v>4702</v>
      </c>
      <c r="AB1350" s="409" t="s">
        <v>4703</v>
      </c>
      <c r="AC1350" s="185"/>
      <c r="AD1350" s="649">
        <v>0</v>
      </c>
      <c r="AE1350" s="182"/>
      <c r="AF1350" s="332"/>
      <c r="AG1350" s="182"/>
      <c r="AH1350" s="182"/>
      <c r="AI1350" s="182"/>
      <c r="AJ1350" s="640"/>
      <c r="AK1350" s="182"/>
      <c r="AL1350" s="496">
        <f t="shared" si="393"/>
        <v>-40</v>
      </c>
      <c r="AM1350" s="496">
        <f>AL1350*(R1350-S1350)</f>
        <v>0</v>
      </c>
      <c r="AN1350" s="626"/>
      <c r="AO1350" s="182"/>
      <c r="AP1350" s="182" t="s">
        <v>4704</v>
      </c>
      <c r="AQ1350" s="332" t="str">
        <f>UPPER(RIGHT(Journal_Live[[#This Row],[DURATION ]]))</f>
        <v>H</v>
      </c>
      <c r="AR1350" s="182" t="s">
        <v>4705</v>
      </c>
      <c r="AS1350" s="189">
        <f>((-0.01*7)+(-0.02*7))/14</f>
        <v>-1.5000000000000001E-2</v>
      </c>
      <c r="AT1350" s="189">
        <f>IF(ISBLANK(AS1350),,IF(U1350="S",AD1350-AS1350,AS1350-AD1350))</f>
        <v>1.5000000000000001E-2</v>
      </c>
      <c r="AU1350" s="187">
        <f>AV1350*R1350</f>
        <v>336.00000000000006</v>
      </c>
      <c r="AV1350" s="190">
        <f>IF(ISBLANK(AS1350),,(AT1350*Z1350))</f>
        <v>24.000000000000004</v>
      </c>
      <c r="AW1350" s="191" t="s">
        <v>96</v>
      </c>
      <c r="AX1350" s="407"/>
      <c r="AY1350" s="407"/>
      <c r="AZ1350" s="407"/>
      <c r="BA1350" s="407"/>
      <c r="BB1350" s="407"/>
      <c r="BC1350" s="407"/>
      <c r="BD1350" s="407"/>
      <c r="BE1350" s="407"/>
      <c r="BF1350" s="422"/>
      <c r="BG1350" s="391">
        <f>SUM($AV$4:AV1350)</f>
        <v>5077.8138973417663</v>
      </c>
      <c r="BH1350" s="392">
        <f>SUM($AU$134:AU1350)</f>
        <v>29966.650666666865</v>
      </c>
      <c r="BI1350" s="318">
        <f>SUMIFS($AU$134:AU1351,$Q$134:Q1351,"F")</f>
        <v>14440.666666666668</v>
      </c>
      <c r="BJ1350" s="318">
        <f>SUMIFS($AU$134:AU1351,$Q$134:Q1351,"S")</f>
        <v>19247.642</v>
      </c>
      <c r="BK1350" s="343">
        <f>SUMIFS($AU$134:AU1351,$P$134:P1351,"W")</f>
        <v>19586.141999999927</v>
      </c>
      <c r="BL1350" s="343">
        <f>SUMIFS($AU$134:AU1351,$P$134:P1351,"R")</f>
        <v>13875.606666666656</v>
      </c>
      <c r="BM1350" s="343">
        <f>SUMIFS($AU$134:AU1351,$AQ$134:AQ1351,"M")</f>
        <v>3398.0300000001621</v>
      </c>
      <c r="BN1350" s="343">
        <f>SUMIFS($AU$134:AU1351,$AQ$134:AQ1351,"H")</f>
        <v>10941.342000000011</v>
      </c>
      <c r="BO1350" s="343">
        <f>SUMIFS($AU$134:AU1351,$AQ$134:AQ1351,"D")</f>
        <v>10514.236666666764</v>
      </c>
      <c r="BP1350" s="343">
        <f>SUMIFS($AU$134:AU1353,$AQ$134:AQ1353,"W")</f>
        <v>6099.6199999996161</v>
      </c>
      <c r="BQ1350" s="343">
        <f>SUMIFS($AU$134:AU1351,$Q$134:Q1351,"O")</f>
        <v>-1648.8579999997983</v>
      </c>
      <c r="BR1350" s="343">
        <f>SUMIFS($AU$134:AU1351,$AA$134:AA1351,"*")</f>
        <v>25376.105333333566</v>
      </c>
      <c r="BS1350" s="343">
        <f>SUMIFS($AU$134:AU1351,$AB$134:AB1351,"*")</f>
        <v>8519.7120000000268</v>
      </c>
      <c r="BT1350" s="343">
        <f>SUMIFS($AU$134:AU1351,$AC$134:AC1351,"*")</f>
        <v>18176.216666666667</v>
      </c>
      <c r="BU1350" s="343">
        <f>SUMIFS($AU$134:AU1351,$AA$134:AA1351,"*",$AB$134:AB1351,"*")</f>
        <v>3586.0000000000546</v>
      </c>
      <c r="BV1350" s="343">
        <f>SUMIFS($AU$134:AU1351,$AA$134:AA1351,"*",$AC$134:AC1351,"*")</f>
        <v>12519.983333333334</v>
      </c>
      <c r="BW1350" s="343">
        <f>SUMIFS($AU$134:AU1351,$AB$134:AB1351,"*",$AC$134:AC1351,"*")</f>
        <v>9230.6</v>
      </c>
      <c r="BX1350" s="343">
        <f>SUMIFS($AU1351:AU$1388,$Q1351:Q$1388,"F")</f>
        <v>0</v>
      </c>
      <c r="BY1350" s="343">
        <f>SUMIFS($AU1351:AU$1388,$Q1351:Q$1388,"S")</f>
        <v>3392</v>
      </c>
      <c r="BZ1350" s="343">
        <f>SUMIFS($AU1351:AU$1388,$Q1351:Q$1388,"O")</f>
        <v>0</v>
      </c>
    </row>
    <row r="1351" spans="1:78" ht="15.75" customHeight="1">
      <c r="A1351" s="221" t="s">
        <v>4622</v>
      </c>
      <c r="B1351" s="177">
        <v>45265</v>
      </c>
      <c r="C1351" s="178" t="s">
        <v>1142</v>
      </c>
      <c r="D1351" s="178" t="s">
        <v>146</v>
      </c>
      <c r="E1351" s="227"/>
      <c r="F1351" s="180"/>
      <c r="G1351" s="281" t="s">
        <v>181</v>
      </c>
      <c r="H1351" s="182"/>
      <c r="I1351" s="182"/>
      <c r="J1351" s="182"/>
      <c r="K1351" s="183"/>
      <c r="L1351" s="182">
        <v>1</v>
      </c>
      <c r="M1351" s="182"/>
      <c r="N1351" s="182"/>
      <c r="O1351" s="183" t="s">
        <v>95</v>
      </c>
      <c r="P1351" s="183" t="s">
        <v>96</v>
      </c>
      <c r="Q1351" s="183" t="s">
        <v>97</v>
      </c>
      <c r="R1351" s="183">
        <v>28</v>
      </c>
      <c r="S1351" s="183">
        <v>18</v>
      </c>
      <c r="T1351" s="183">
        <v>26</v>
      </c>
      <c r="U1351" s="183" t="s">
        <v>97</v>
      </c>
      <c r="V1351" s="183"/>
      <c r="W1351" s="183"/>
      <c r="X1351" s="183"/>
      <c r="Y1351" s="184">
        <f>IF(ISBLANK(O1351),"",(IF(O1351=UPPER("IB"),0.005,0.01)))</f>
        <v>0.01</v>
      </c>
      <c r="Z1351" s="185">
        <f>IF(ISBLANK(O1351),"",IF(O1351="IB",8.63*200,IF(O1351="IR",16*100,IF(O1351="YT",20*100,IF(O1351="YT-XT",24*200,IF(O1351="TED",80*100))))))</f>
        <v>1600</v>
      </c>
      <c r="AA1351" s="185"/>
      <c r="AB1351" s="409" t="s">
        <v>4706</v>
      </c>
      <c r="AC1351" s="185"/>
      <c r="AD1351" s="649">
        <f>(21*0+(-0.02*7))/28</f>
        <v>-5.0000000000000001E-3</v>
      </c>
      <c r="AE1351" s="182"/>
      <c r="AF1351" s="332"/>
      <c r="AG1351" s="182"/>
      <c r="AH1351" s="182" t="s">
        <v>4707</v>
      </c>
      <c r="AI1351" s="478" t="s">
        <v>4708</v>
      </c>
      <c r="AJ1351" s="640"/>
      <c r="AK1351" s="182"/>
      <c r="AL1351" s="496">
        <f t="shared" ref="AL1351" si="394">-0.025*Z1351</f>
        <v>-40</v>
      </c>
      <c r="AM1351" s="496">
        <f>AL1351*(R1351-S1351)</f>
        <v>-400</v>
      </c>
      <c r="AN1351" s="626"/>
      <c r="AO1351" s="182"/>
      <c r="AP1351" s="182" t="s">
        <v>4709</v>
      </c>
      <c r="AQ1351" s="332" t="str">
        <f>UPPER(RIGHT(Journal_Live[[#This Row],[DURATION ]]))</f>
        <v>D</v>
      </c>
      <c r="AR1351" s="298" t="s">
        <v>4710</v>
      </c>
      <c r="AS1351" s="189">
        <f>((-0.04*4)+(-0.06*4)+(-0.05*10)+(-0.04*3)+(-0.05*7))/28</f>
        <v>-4.8928571428571432E-2</v>
      </c>
      <c r="AT1351" s="189">
        <f>IF(ISBLANK(AS1351),,IF(U1351="S",AD1351-AS1351,AS1351-AD1351))</f>
        <v>4.3928571428571435E-2</v>
      </c>
      <c r="AU1351" s="187">
        <f>AV1351*R1351</f>
        <v>1968.0000000000002</v>
      </c>
      <c r="AV1351" s="190">
        <f>IF(ISBLANK(AS1351),,(AT1351*Z1351))</f>
        <v>70.285714285714292</v>
      </c>
      <c r="AW1351" s="191" t="s">
        <v>96</v>
      </c>
      <c r="AX1351" s="407" t="s">
        <v>4711</v>
      </c>
      <c r="AY1351" s="407" t="s">
        <v>4712</v>
      </c>
      <c r="AZ1351" s="407" t="s">
        <v>4678</v>
      </c>
      <c r="BA1351" s="407" t="s">
        <v>4713</v>
      </c>
      <c r="BB1351" s="407" t="s">
        <v>4714</v>
      </c>
      <c r="BC1351" s="407" t="s">
        <v>4715</v>
      </c>
      <c r="BD1351" s="407" t="s">
        <v>4716</v>
      </c>
      <c r="BE1351" s="407" t="s">
        <v>4717</v>
      </c>
      <c r="BF1351" s="422" t="s">
        <v>4718</v>
      </c>
      <c r="BG1351" s="391"/>
      <c r="BH1351" s="392">
        <f>SUM($AU$4:AU1351)</f>
        <v>33748.120666666888</v>
      </c>
      <c r="BI1351" s="318">
        <f>SUMIFS($AU$134:AU1352,$Q$134:Q1352,"F")</f>
        <v>14440.666666666668</v>
      </c>
      <c r="BJ1351" s="318">
        <f>SUMIFS($AU$134:AU1352,$Q$134:Q1352,"S")</f>
        <v>19247.642</v>
      </c>
      <c r="BK1351" s="343">
        <f>SUMIFS($AU$134:AU1352,$P$134:P1352,"W")</f>
        <v>19586.141999999927</v>
      </c>
      <c r="BL1351" s="343">
        <f>SUMIFS($AU$134:AU1352,$P$134:P1352,"R")</f>
        <v>13875.606666666656</v>
      </c>
      <c r="BM1351" s="343">
        <f>SUMIFS($AU$134:AU1352,$AQ$134:AQ1352,"M")</f>
        <v>3398.0300000001621</v>
      </c>
      <c r="BN1351" s="343">
        <f>SUMIFS($AU$134:AU1352,$AQ$134:AQ1352,"H")</f>
        <v>10941.342000000011</v>
      </c>
      <c r="BO1351" s="343">
        <f>SUMIFS($AU$134:AU1352,$AQ$134:AQ1352,"D")</f>
        <v>10514.236666666764</v>
      </c>
      <c r="BP1351" s="343">
        <f>SUMIFS($AU$134:AU1354,$AQ$134:AQ1354,"W")</f>
        <v>6099.6199999996161</v>
      </c>
      <c r="BQ1351" s="343">
        <f>SUMIFS($AU$134:AU1352,$Q$134:Q1352,"O")</f>
        <v>-1648.8579999997983</v>
      </c>
      <c r="BR1351" s="343">
        <f>SUMIFS($AU$134:AU1352,$AA$134:AA1352,"*")</f>
        <v>25376.105333333566</v>
      </c>
      <c r="BS1351" s="343">
        <f>SUMIFS($AU$134:AU1352,$AB$134:AB1352,"*")</f>
        <v>8519.7120000000268</v>
      </c>
      <c r="BT1351" s="343">
        <f>SUMIFS($AU$134:AU1352,$AC$134:AC1352,"*")</f>
        <v>18176.216666666667</v>
      </c>
      <c r="BU1351" s="343">
        <f>SUMIFS($AU$134:AU1352,$AA$134:AA1352,"*",$AB$134:AB1352,"*")</f>
        <v>3586.0000000000546</v>
      </c>
      <c r="BV1351" s="343">
        <f>SUMIFS($AU$134:AU1352,$AA$134:AA1352,"*",$AC$134:AC1352,"*")</f>
        <v>12519.983333333334</v>
      </c>
      <c r="BW1351" s="343">
        <f>SUMIFS($AU$134:AU1352,$AB$134:AB1352,"*",$AC$134:AC1352,"*")</f>
        <v>9230.6</v>
      </c>
      <c r="BX1351" s="343">
        <f>SUMIFS($AU1352:AU$1388,$Q1352:Q$1388,"F")</f>
        <v>0</v>
      </c>
      <c r="BY1351" s="343">
        <f>SUMIFS($AU1352:AU$1388,$Q1352:Q$1388,"S")</f>
        <v>1424</v>
      </c>
      <c r="BZ1351" s="343">
        <f>SUMIFS($AU1352:AU$1388,$Q1352:Q$1388,"O")</f>
        <v>0</v>
      </c>
    </row>
    <row r="1352" spans="1:78" ht="15.75" customHeight="1">
      <c r="A1352" s="221" t="s">
        <v>4622</v>
      </c>
      <c r="B1352" s="177">
        <v>45265</v>
      </c>
      <c r="C1352" s="178" t="s">
        <v>682</v>
      </c>
      <c r="D1352" s="178" t="s">
        <v>146</v>
      </c>
      <c r="E1352" s="227"/>
      <c r="F1352" s="180"/>
      <c r="G1352" s="181" t="s">
        <v>136</v>
      </c>
      <c r="H1352" s="182"/>
      <c r="I1352" s="182"/>
      <c r="J1352" s="182"/>
      <c r="K1352" s="183"/>
      <c r="L1352" s="182"/>
      <c r="M1352" s="182"/>
      <c r="N1352" s="182"/>
      <c r="O1352" s="183"/>
      <c r="P1352" s="183"/>
      <c r="Q1352" s="183"/>
      <c r="R1352" s="183"/>
      <c r="S1352" s="183"/>
      <c r="T1352" s="183"/>
      <c r="U1352" s="183"/>
      <c r="V1352" s="183"/>
      <c r="W1352" s="183"/>
      <c r="X1352" s="183"/>
      <c r="Y1352" s="184" t="str">
        <f>IF(ISBLANK(O1352),"",(IF(O1352=UPPER("IB"),0.005,0.01)))</f>
        <v/>
      </c>
      <c r="Z1352" s="185"/>
      <c r="AA1352" s="185"/>
      <c r="AB1352" s="185"/>
      <c r="AC1352" s="185"/>
      <c r="AD1352" s="649"/>
      <c r="AE1352" s="182"/>
      <c r="AF1352" s="332"/>
      <c r="AG1352" s="182"/>
      <c r="AH1352" s="182"/>
      <c r="AI1352" s="182"/>
      <c r="AJ1352" s="640"/>
      <c r="AK1352" s="182"/>
      <c r="AL1352" s="496"/>
      <c r="AM1352" s="496"/>
      <c r="AN1352" s="626"/>
      <c r="AO1352" s="182"/>
      <c r="AP1352" s="182"/>
      <c r="AQ1352" s="332" t="str">
        <f>UPPER(RIGHT(Journal_Live[[#This Row],[DURATION ]]))</f>
        <v/>
      </c>
      <c r="AR1352" s="182"/>
      <c r="AS1352" s="189"/>
      <c r="AT1352" s="189"/>
      <c r="AU1352" s="187"/>
      <c r="AV1352" s="190"/>
      <c r="AW1352" s="191"/>
      <c r="AX1352" s="407"/>
      <c r="AY1352" s="407"/>
      <c r="AZ1352" s="407"/>
      <c r="BA1352" s="407"/>
      <c r="BB1352" s="407"/>
      <c r="BC1352" s="407"/>
      <c r="BD1352" s="407"/>
      <c r="BE1352" s="407"/>
      <c r="BF1352" s="422"/>
      <c r="BG1352" s="391">
        <f>SUM($AV$4:AV1352)</f>
        <v>5148.099611627481</v>
      </c>
      <c r="BH1352" s="392">
        <f>SUM($AU$134:AU1352)</f>
        <v>31934.650666666865</v>
      </c>
      <c r="BI1352" s="318">
        <f>SUMIFS($AU$134:AU1353,$Q$134:Q1353,"F")</f>
        <v>14440.666666666668</v>
      </c>
      <c r="BJ1352" s="318">
        <f>SUMIFS($AU$134:AU1353,$Q$134:Q1353,"S")</f>
        <v>19247.642</v>
      </c>
      <c r="BK1352" s="343">
        <f>SUMIFS($AU$134:AU1353,$P$134:P1353,"W")</f>
        <v>19586.141999999927</v>
      </c>
      <c r="BL1352" s="343">
        <f>SUMIFS($AU$134:AU1353,$P$134:P1353,"R")</f>
        <v>13875.606666666656</v>
      </c>
      <c r="BM1352" s="343">
        <f>SUMIFS($AU$134:AU1353,$AQ$134:AQ1353,"M")</f>
        <v>3398.0300000001621</v>
      </c>
      <c r="BN1352" s="343">
        <f>SUMIFS($AU$134:AU1353,$AQ$134:AQ1353,"H")</f>
        <v>10941.342000000011</v>
      </c>
      <c r="BO1352" s="343">
        <f>SUMIFS($AU$134:AU1353,$AQ$134:AQ1353,"D")</f>
        <v>10514.236666666764</v>
      </c>
      <c r="BP1352" s="343">
        <f>SUMIFS($AU$134:AU1355,$AQ$134:AQ1355,"W")</f>
        <v>6099.6199999996161</v>
      </c>
      <c r="BQ1352" s="343">
        <f>SUMIFS($AU$134:AU1353,$Q$134:Q1353,"O")</f>
        <v>-1648.8579999997983</v>
      </c>
      <c r="BR1352" s="343">
        <f>SUMIFS($AU$134:AU1353,$AA$134:AA1353,"*")</f>
        <v>25376.105333333566</v>
      </c>
      <c r="BS1352" s="343">
        <f>SUMIFS($AU$134:AU1353,$AB$134:AB1353,"*")</f>
        <v>8519.7120000000268</v>
      </c>
      <c r="BT1352" s="343">
        <f>SUMIFS($AU$134:AU1353,$AC$134:AC1353,"*")</f>
        <v>18176.216666666667</v>
      </c>
      <c r="BU1352" s="343">
        <f>SUMIFS($AU$134:AU1353,$AA$134:AA1353,"*",$AB$134:AB1353,"*")</f>
        <v>3586.0000000000546</v>
      </c>
      <c r="BV1352" s="343">
        <f>SUMIFS($AU$134:AU1353,$AA$134:AA1353,"*",$AC$134:AC1353,"*")</f>
        <v>12519.983333333334</v>
      </c>
      <c r="BW1352" s="343">
        <f>SUMIFS($AU$134:AU1353,$AB$134:AB1353,"*",$AC$134:AC1353,"*")</f>
        <v>9230.6</v>
      </c>
      <c r="BX1352" s="343">
        <f>SUMIFS($AU1353:AU$1388,$Q1353:Q$1388,"F")</f>
        <v>0</v>
      </c>
      <c r="BY1352" s="343">
        <f>SUMIFS($AU1353:AU$1388,$Q1353:Q$1388,"S")</f>
        <v>1424</v>
      </c>
      <c r="BZ1352" s="343">
        <f>SUMIFS($AU1353:AU$1388,$Q1353:Q$1388,"O")</f>
        <v>0</v>
      </c>
    </row>
    <row r="1353" spans="1:78" ht="15.75" customHeight="1">
      <c r="A1353" s="221" t="s">
        <v>4622</v>
      </c>
      <c r="B1353" s="177">
        <v>45265</v>
      </c>
      <c r="C1353" s="178" t="s">
        <v>4719</v>
      </c>
      <c r="D1353" s="178" t="s">
        <v>146</v>
      </c>
      <c r="E1353" s="227"/>
      <c r="F1353" s="180"/>
      <c r="G1353" s="181" t="s">
        <v>3334</v>
      </c>
      <c r="H1353" s="182"/>
      <c r="I1353" s="182"/>
      <c r="J1353" s="182"/>
      <c r="K1353" s="183"/>
      <c r="L1353" s="182"/>
      <c r="M1353" s="182"/>
      <c r="N1353" s="182"/>
      <c r="O1353" s="183"/>
      <c r="P1353" s="183"/>
      <c r="Q1353" s="183"/>
      <c r="R1353" s="183"/>
      <c r="S1353" s="183"/>
      <c r="T1353" s="183"/>
      <c r="U1353" s="183"/>
      <c r="V1353" s="183"/>
      <c r="W1353" s="183"/>
      <c r="X1353" s="183"/>
      <c r="Y1353" s="184"/>
      <c r="Z1353" s="185"/>
      <c r="AA1353" s="185"/>
      <c r="AB1353" s="185"/>
      <c r="AC1353" s="185"/>
      <c r="AD1353" s="649"/>
      <c r="AE1353" s="182"/>
      <c r="AF1353" s="332"/>
      <c r="AG1353" s="182"/>
      <c r="AH1353" s="182"/>
      <c r="AI1353" s="182"/>
      <c r="AJ1353" s="640"/>
      <c r="AK1353" s="182"/>
      <c r="AL1353" s="496"/>
      <c r="AM1353" s="496"/>
      <c r="AN1353" s="626"/>
      <c r="AO1353" s="182"/>
      <c r="AP1353" s="182"/>
      <c r="AQ1353" s="332" t="str">
        <f>UPPER(RIGHT(Journal_Live[[#This Row],[DURATION ]]))</f>
        <v/>
      </c>
      <c r="AR1353" s="182"/>
      <c r="AS1353" s="189"/>
      <c r="AT1353" s="189"/>
      <c r="AU1353" s="187"/>
      <c r="AV1353" s="190"/>
      <c r="AW1353" s="191"/>
      <c r="AX1353" s="407" t="s">
        <v>4720</v>
      </c>
      <c r="AY1353" s="407"/>
      <c r="AZ1353" s="407"/>
      <c r="BA1353" s="407"/>
      <c r="BB1353" s="407"/>
      <c r="BC1353" s="407"/>
      <c r="BD1353" s="407"/>
      <c r="BE1353" s="407"/>
      <c r="BF1353" s="422"/>
      <c r="BG1353" s="391">
        <f>SUM($AV$4:AV1353)</f>
        <v>5148.099611627481</v>
      </c>
      <c r="BH1353" s="392">
        <f>SUM($AU$134:AU1353)</f>
        <v>31934.650666666865</v>
      </c>
      <c r="BI1353" s="318">
        <f>SUMIFS($AU$134:AU1354,$Q$134:Q1354,"F")</f>
        <v>14440.666666666668</v>
      </c>
      <c r="BJ1353" s="318">
        <f>SUMIFS($AU$134:AU1354,$Q$134:Q1354,"S")</f>
        <v>19247.642</v>
      </c>
      <c r="BK1353" s="343">
        <f>SUMIFS($AU$134:AU1354,$P$134:P1354,"W")</f>
        <v>19586.141999999927</v>
      </c>
      <c r="BL1353" s="343">
        <f>SUMIFS($AU$134:AU1354,$P$134:P1354,"R")</f>
        <v>13875.606666666656</v>
      </c>
      <c r="BM1353" s="343">
        <f>SUMIFS($AU$134:AU1354,$AQ$134:AQ1354,"M")</f>
        <v>3398.0300000001621</v>
      </c>
      <c r="BN1353" s="343">
        <f>SUMIFS($AU$134:AU1354,$AQ$134:AQ1354,"H")</f>
        <v>10941.342000000011</v>
      </c>
      <c r="BO1353" s="343">
        <f>SUMIFS($AU$134:AU1354,$AQ$134:AQ1354,"D")</f>
        <v>10514.236666666764</v>
      </c>
      <c r="BP1353" s="343">
        <f>SUMIFS($AU$134:AU1356,$AQ$134:AQ1356,"W")</f>
        <v>6099.6199999996161</v>
      </c>
      <c r="BQ1353" s="343">
        <f>SUMIFS($AU$134:AU1354,$Q$134:Q1354,"O")</f>
        <v>-1648.8579999997983</v>
      </c>
      <c r="BR1353" s="343">
        <f>SUMIFS($AU$134:AU1354,$AA$134:AA1354,"*")</f>
        <v>25376.105333333566</v>
      </c>
      <c r="BS1353" s="343">
        <f>SUMIFS($AU$134:AU1354,$AB$134:AB1354,"*")</f>
        <v>8519.7120000000268</v>
      </c>
      <c r="BT1353" s="343">
        <f>SUMIFS($AU$134:AU1354,$AC$134:AC1354,"*")</f>
        <v>18176.216666666667</v>
      </c>
      <c r="BU1353" s="343">
        <f>SUMIFS($AU$134:AU1354,$AA$134:AA1354,"*",$AB$134:AB1354,"*")</f>
        <v>3586.0000000000546</v>
      </c>
      <c r="BV1353" s="343">
        <f>SUMIFS($AU$134:AU1354,$AA$134:AA1354,"*",$AC$134:AC1354,"*")</f>
        <v>12519.983333333334</v>
      </c>
      <c r="BW1353" s="343">
        <f>SUMIFS($AU$134:AU1354,$AB$134:AB1354,"*",$AC$134:AC1354,"*")</f>
        <v>9230.6</v>
      </c>
      <c r="BX1353" s="343">
        <f>SUMIFS($AU1354:AU$1388,$Q1354:Q$1388,"F")</f>
        <v>0</v>
      </c>
      <c r="BY1353" s="343">
        <f>SUMIFS($AU1354:AU$1388,$Q1354:Q$1388,"S")</f>
        <v>1424</v>
      </c>
      <c r="BZ1353" s="343">
        <f>SUMIFS($AU1354:AU$1388,$Q1354:Q$1388,"O")</f>
        <v>0</v>
      </c>
    </row>
    <row r="1354" spans="1:78" ht="15.75" customHeight="1">
      <c r="A1354" s="221" t="s">
        <v>4622</v>
      </c>
      <c r="B1354" s="177">
        <v>45265</v>
      </c>
      <c r="C1354" s="178" t="s">
        <v>4721</v>
      </c>
      <c r="D1354" s="178" t="s">
        <v>146</v>
      </c>
      <c r="E1354" s="227"/>
      <c r="F1354" s="180"/>
      <c r="G1354" s="181" t="s">
        <v>136</v>
      </c>
      <c r="H1354" s="182"/>
      <c r="I1354" s="182"/>
      <c r="J1354" s="182"/>
      <c r="K1354" s="183"/>
      <c r="L1354" s="182"/>
      <c r="M1354" s="182"/>
      <c r="N1354" s="182"/>
      <c r="O1354" s="183"/>
      <c r="P1354" s="183"/>
      <c r="Q1354" s="183"/>
      <c r="R1354" s="183"/>
      <c r="S1354" s="183"/>
      <c r="T1354" s="183"/>
      <c r="U1354" s="183"/>
      <c r="V1354" s="183"/>
      <c r="W1354" s="183"/>
      <c r="X1354" s="183"/>
      <c r="Y1354" s="184"/>
      <c r="Z1354" s="185"/>
      <c r="AA1354" s="185"/>
      <c r="AB1354" s="185"/>
      <c r="AC1354" s="185"/>
      <c r="AD1354" s="649"/>
      <c r="AE1354" s="182"/>
      <c r="AF1354" s="332"/>
      <c r="AG1354" s="182"/>
      <c r="AH1354" s="182"/>
      <c r="AI1354" s="182"/>
      <c r="AJ1354" s="640"/>
      <c r="AK1354" s="182"/>
      <c r="AL1354" s="496"/>
      <c r="AM1354" s="496"/>
      <c r="AN1354" s="626"/>
      <c r="AO1354" s="182"/>
      <c r="AP1354" s="182"/>
      <c r="AQ1354" s="332" t="str">
        <f>UPPER(RIGHT(Journal_Live[[#This Row],[DURATION ]]))</f>
        <v/>
      </c>
      <c r="AR1354" s="182"/>
      <c r="AS1354" s="189"/>
      <c r="AT1354" s="189"/>
      <c r="AU1354" s="187"/>
      <c r="AV1354" s="190"/>
      <c r="AW1354" s="191"/>
      <c r="AX1354" s="407"/>
      <c r="AY1354" s="407"/>
      <c r="AZ1354" s="407"/>
      <c r="BA1354" s="407"/>
      <c r="BB1354" s="407"/>
      <c r="BC1354" s="407"/>
      <c r="BD1354" s="407"/>
      <c r="BE1354" s="407"/>
      <c r="BF1354" s="422"/>
      <c r="BG1354" s="391">
        <f>SUM($AV$4:AV1354)</f>
        <v>5148.099611627481</v>
      </c>
      <c r="BH1354" s="392">
        <f>SUM($AU$134:AU1354)</f>
        <v>31934.650666666865</v>
      </c>
      <c r="BI1354" s="318">
        <f>SUMIFS($AU$134:AU1355,$Q$134:Q1355,"F")</f>
        <v>14440.666666666668</v>
      </c>
      <c r="BJ1354" s="318">
        <f>SUMIFS($AU$134:AU1355,$Q$134:Q1355,"S")</f>
        <v>19247.642</v>
      </c>
      <c r="BK1354" s="343">
        <f>SUMIFS($AU$134:AU1355,$P$134:P1355,"W")</f>
        <v>19586.141999999927</v>
      </c>
      <c r="BL1354" s="343">
        <f>SUMIFS($AU$134:AU1355,$P$134:P1355,"R")</f>
        <v>13875.606666666656</v>
      </c>
      <c r="BM1354" s="343">
        <f>SUMIFS($AU$134:AU1355,$AQ$134:AQ1355,"M")</f>
        <v>3398.0300000001621</v>
      </c>
      <c r="BN1354" s="343">
        <f>SUMIFS($AU$134:AU1355,$AQ$134:AQ1355,"H")</f>
        <v>10941.342000000011</v>
      </c>
      <c r="BO1354" s="343">
        <f>SUMIFS($AU$134:AU1355,$AQ$134:AQ1355,"D")</f>
        <v>10514.236666666764</v>
      </c>
      <c r="BP1354" s="343">
        <f>SUMIFS($AU$134:AU1357,$AQ$134:AQ1357,"W")</f>
        <v>6099.6199999996161</v>
      </c>
      <c r="BQ1354" s="343">
        <f>SUMIFS($AU$134:AU1355,$Q$134:Q1355,"O")</f>
        <v>-1648.8579999997983</v>
      </c>
      <c r="BR1354" s="343">
        <f>SUMIFS($AU$134:AU1355,$AA$134:AA1355,"*")</f>
        <v>25376.105333333566</v>
      </c>
      <c r="BS1354" s="343">
        <f>SUMIFS($AU$134:AU1355,$AB$134:AB1355,"*")</f>
        <v>8519.7120000000268</v>
      </c>
      <c r="BT1354" s="343">
        <f>SUMIFS($AU$134:AU1355,$AC$134:AC1355,"*")</f>
        <v>18176.216666666667</v>
      </c>
      <c r="BU1354" s="343">
        <f>SUMIFS($AU$134:AU1355,$AA$134:AA1355,"*",$AB$134:AB1355,"*")</f>
        <v>3586.0000000000546</v>
      </c>
      <c r="BV1354" s="343">
        <f>SUMIFS($AU$134:AU1355,$AA$134:AA1355,"*",$AC$134:AC1355,"*")</f>
        <v>12519.983333333334</v>
      </c>
      <c r="BW1354" s="343">
        <f>SUMIFS($AU$134:AU1355,$AB$134:AB1355,"*",$AC$134:AC1355,"*")</f>
        <v>9230.6</v>
      </c>
      <c r="BX1354" s="343">
        <f>SUMIFS($AU1355:AU$1388,$Q1355:Q$1388,"F")</f>
        <v>0</v>
      </c>
      <c r="BY1354" s="343">
        <f>SUMIFS($AU1355:AU$1388,$Q1355:Q$1388,"S")</f>
        <v>1424</v>
      </c>
      <c r="BZ1354" s="343">
        <f>SUMIFS($AU1355:AU$1388,$Q1355:Q$1388,"O")</f>
        <v>0</v>
      </c>
    </row>
    <row r="1355" spans="1:78" ht="15.75" customHeight="1">
      <c r="A1355" s="221" t="s">
        <v>4622</v>
      </c>
      <c r="B1355" s="177">
        <v>45265</v>
      </c>
      <c r="C1355" s="178" t="s">
        <v>1014</v>
      </c>
      <c r="D1355" s="178" t="s">
        <v>146</v>
      </c>
      <c r="E1355" s="227" t="s">
        <v>4722</v>
      </c>
      <c r="F1355" s="180" t="s">
        <v>4723</v>
      </c>
      <c r="G1355" s="181"/>
      <c r="H1355" s="182"/>
      <c r="I1355" s="182"/>
      <c r="J1355" s="182">
        <v>1</v>
      </c>
      <c r="K1355" s="183" t="s">
        <v>115</v>
      </c>
      <c r="L1355" s="182"/>
      <c r="M1355" s="182"/>
      <c r="N1355" s="182"/>
      <c r="O1355" s="183"/>
      <c r="P1355" s="183"/>
      <c r="Q1355" s="183"/>
      <c r="R1355" s="183"/>
      <c r="S1355" s="183"/>
      <c r="T1355" s="183"/>
      <c r="U1355" s="183"/>
      <c r="V1355" s="183"/>
      <c r="W1355" s="183"/>
      <c r="X1355" s="183"/>
      <c r="Y1355" s="183"/>
      <c r="Z1355" s="185" t="str">
        <f>IF(ISBLANK(O1355),"",IF(O1355="IB",8.63*200,IF(O1355="IR",16*100,IF(O1355="YT",20*100,IF(O1355="YT-XT",24*200,IF(O1355="TED",80*100))))))</f>
        <v/>
      </c>
      <c r="AA1355" s="185"/>
      <c r="AB1355" s="185"/>
      <c r="AC1355" s="185"/>
      <c r="AD1355" s="649"/>
      <c r="AE1355" s="182"/>
      <c r="AF1355" s="332"/>
      <c r="AG1355" s="182"/>
      <c r="AH1355" s="182"/>
      <c r="AI1355" s="182"/>
      <c r="AJ1355" s="640"/>
      <c r="AK1355" s="182"/>
      <c r="AL1355" s="496"/>
      <c r="AM1355" s="496"/>
      <c r="AN1355" s="626"/>
      <c r="AO1355" s="182"/>
      <c r="AP1355" s="182"/>
      <c r="AQ1355" s="332" t="str">
        <f>UPPER(RIGHT(Journal_Live[[#This Row],[DURATION ]]))</f>
        <v/>
      </c>
      <c r="AR1355" s="182"/>
      <c r="AS1355" s="189"/>
      <c r="AT1355" s="189"/>
      <c r="AU1355" s="187"/>
      <c r="AV1355" s="190"/>
      <c r="AW1355" s="191"/>
      <c r="AX1355" s="407"/>
      <c r="AY1355" s="407"/>
      <c r="AZ1355" s="407"/>
      <c r="BA1355" s="407"/>
      <c r="BB1355" s="407"/>
      <c r="BC1355" s="407"/>
      <c r="BD1355" s="407"/>
      <c r="BE1355" s="407"/>
      <c r="BF1355" s="422"/>
      <c r="BG1355" s="391">
        <f>SUM($AV$4:AV1355)</f>
        <v>5148.099611627481</v>
      </c>
      <c r="BH1355" s="392">
        <f>SUM($AU$134:AU1355)</f>
        <v>31934.650666666865</v>
      </c>
      <c r="BI1355" s="318">
        <f>SUMIFS($AU$134:AU1356,$Q$134:Q1356,"F")</f>
        <v>14440.666666666668</v>
      </c>
      <c r="BJ1355" s="318">
        <f>SUMIFS($AU$134:AU1356,$Q$134:Q1356,"S")</f>
        <v>19247.642</v>
      </c>
      <c r="BK1355" s="343">
        <f>SUMIFS($AU$134:AU1356,$P$134:P1356,"W")</f>
        <v>19586.141999999927</v>
      </c>
      <c r="BL1355" s="343">
        <f>SUMIFS($AU$134:AU1356,$P$134:P1356,"R")</f>
        <v>13875.606666666656</v>
      </c>
      <c r="BM1355" s="343">
        <f>SUMIFS($AU$134:AU1356,$AQ$134:AQ1356,"M")</f>
        <v>3398.0300000001621</v>
      </c>
      <c r="BN1355" s="343">
        <f>SUMIFS($AU$134:AU1356,$AQ$134:AQ1356,"H")</f>
        <v>10941.342000000011</v>
      </c>
      <c r="BO1355" s="343">
        <f>SUMIFS($AU$134:AU1356,$AQ$134:AQ1356,"D")</f>
        <v>10514.236666666764</v>
      </c>
      <c r="BP1355" s="343">
        <f>SUMIFS($AU$134:AU1358,$AQ$134:AQ1358,"W")</f>
        <v>6099.6199999996161</v>
      </c>
      <c r="BQ1355" s="343">
        <f>SUMIFS($AU$134:AU1356,$Q$134:Q1356,"O")</f>
        <v>-1648.8579999997983</v>
      </c>
      <c r="BR1355" s="343">
        <f>SUMIFS($AU$134:AU1356,$AA$134:AA1356,"*")</f>
        <v>25376.105333333566</v>
      </c>
      <c r="BS1355" s="343">
        <f>SUMIFS($AU$134:AU1356,$AB$134:AB1356,"*")</f>
        <v>8519.7120000000268</v>
      </c>
      <c r="BT1355" s="343">
        <f>SUMIFS($AU$134:AU1356,$AC$134:AC1356,"*")</f>
        <v>18176.216666666667</v>
      </c>
      <c r="BU1355" s="343">
        <f>SUMIFS($AU$134:AU1356,$AA$134:AA1356,"*",$AB$134:AB1356,"*")</f>
        <v>3586.0000000000546</v>
      </c>
      <c r="BV1355" s="343">
        <f>SUMIFS($AU$134:AU1356,$AA$134:AA1356,"*",$AC$134:AC1356,"*")</f>
        <v>12519.983333333334</v>
      </c>
      <c r="BW1355" s="343">
        <f>SUMIFS($AU$134:AU1356,$AB$134:AB1356,"*",$AC$134:AC1356,"*")</f>
        <v>9230.6</v>
      </c>
      <c r="BX1355" s="343">
        <f>SUMIFS($AU1356:AU$1388,$Q1356:Q$1388,"F")</f>
        <v>0</v>
      </c>
      <c r="BY1355" s="343">
        <f>SUMIFS($AU1356:AU$1388,$Q1356:Q$1388,"S")</f>
        <v>1424</v>
      </c>
      <c r="BZ1355" s="343">
        <f>SUMIFS($AU1356:AU$1388,$Q1356:Q$1388,"O")</f>
        <v>0</v>
      </c>
    </row>
    <row r="1356" spans="1:78" ht="15.75" customHeight="1">
      <c r="A1356" s="221" t="s">
        <v>4622</v>
      </c>
      <c r="B1356" s="177">
        <v>45265</v>
      </c>
      <c r="C1356" s="178" t="s">
        <v>4724</v>
      </c>
      <c r="D1356" s="178" t="s">
        <v>146</v>
      </c>
      <c r="E1356" s="227"/>
      <c r="F1356" s="180"/>
      <c r="G1356" s="281" t="s">
        <v>4147</v>
      </c>
      <c r="H1356" s="182"/>
      <c r="I1356" s="182"/>
      <c r="J1356" s="182"/>
      <c r="K1356" s="183"/>
      <c r="L1356" s="182">
        <v>1</v>
      </c>
      <c r="M1356" s="182"/>
      <c r="N1356" s="182"/>
      <c r="O1356" s="183" t="s">
        <v>95</v>
      </c>
      <c r="P1356" s="183" t="s">
        <v>137</v>
      </c>
      <c r="Q1356" s="183" t="s">
        <v>97</v>
      </c>
      <c r="R1356" s="183">
        <v>20</v>
      </c>
      <c r="S1356" s="183">
        <v>10</v>
      </c>
      <c r="T1356" s="183">
        <v>20</v>
      </c>
      <c r="U1356" s="183" t="s">
        <v>22</v>
      </c>
      <c r="V1356" s="183"/>
      <c r="W1356" s="183"/>
      <c r="X1356" s="183"/>
      <c r="Y1356" s="184">
        <f>IF(ISBLANK(O1356),"",(IF(O1356=UPPER("IB"),0.005,0.01)))</f>
        <v>0.01</v>
      </c>
      <c r="Z1356" s="185">
        <f>IF(ISBLANK(O1356),"",IF(O1356="IB",8.63*200,IF(O1356="IR",16*100,IF(O1356="YT",20*100,IF(O1356="YT-XT",24*200,IF(O1356="TED",80*100))))))</f>
        <v>1600</v>
      </c>
      <c r="AA1356" s="473" t="s">
        <v>4725</v>
      </c>
      <c r="AB1356" s="185"/>
      <c r="AC1356" s="185"/>
      <c r="AD1356" s="649">
        <v>-0.04</v>
      </c>
      <c r="AE1356" s="182"/>
      <c r="AF1356" s="332"/>
      <c r="AG1356" s="182"/>
      <c r="AH1356" s="182"/>
      <c r="AI1356" s="182"/>
      <c r="AJ1356" s="640"/>
      <c r="AK1356" s="182"/>
      <c r="AL1356" s="496">
        <f t="shared" ref="AL1356" si="395">-0.025*Z1356</f>
        <v>-40</v>
      </c>
      <c r="AM1356" s="496">
        <f>AL1356*(R1356-S1356)</f>
        <v>-400</v>
      </c>
      <c r="AN1356" s="626"/>
      <c r="AO1356" s="182"/>
      <c r="AP1356" s="182" t="s">
        <v>4726</v>
      </c>
      <c r="AQ1356" s="332" t="str">
        <f>UPPER(RIGHT(Journal_Live[[#This Row],[DURATION ]]))</f>
        <v>D</v>
      </c>
      <c r="AR1356" s="182" t="s">
        <v>4727</v>
      </c>
      <c r="AS1356" s="189">
        <v>-0.04</v>
      </c>
      <c r="AT1356" s="189">
        <f>IF(ISBLANK(AS1356),,IF(U1356="S",AD1356-AS1356,AS1356-AD1356))</f>
        <v>0</v>
      </c>
      <c r="AU1356" s="187">
        <f>AV1356*R1356</f>
        <v>0</v>
      </c>
      <c r="AV1356" s="190">
        <f>IF(ISBLANK(AS1356),,(AT1356*Z1356))</f>
        <v>0</v>
      </c>
      <c r="AW1356" s="191" t="s">
        <v>115</v>
      </c>
      <c r="AX1356" s="407"/>
      <c r="AY1356" s="407"/>
      <c r="AZ1356" s="407"/>
      <c r="BA1356" s="407"/>
      <c r="BB1356" s="407"/>
      <c r="BC1356" s="407"/>
      <c r="BD1356" s="407"/>
      <c r="BE1356" s="407"/>
      <c r="BF1356" s="422"/>
      <c r="BG1356" s="391">
        <f>SUM($AV$4:AV1356)</f>
        <v>5148.099611627481</v>
      </c>
      <c r="BH1356" s="392">
        <f>SUM($AU$134:AU1356)</f>
        <v>31934.650666666865</v>
      </c>
      <c r="BI1356" s="318">
        <f>SUMIFS($AU$134:AU1357,$Q$134:Q1357,"F")</f>
        <v>14440.666666666668</v>
      </c>
      <c r="BJ1356" s="318">
        <f>SUMIFS($AU$134:AU1357,$Q$134:Q1357,"S")</f>
        <v>19439.642</v>
      </c>
      <c r="BK1356" s="343">
        <f>SUMIFS($AU$134:AU1357,$P$134:P1357,"W")</f>
        <v>19778.141999999927</v>
      </c>
      <c r="BL1356" s="343">
        <f>SUMIFS($AU$134:AU1357,$P$134:P1357,"R")</f>
        <v>13875.606666666656</v>
      </c>
      <c r="BM1356" s="343">
        <f>SUMIFS($AU$134:AU1357,$AQ$134:AQ1357,"M")</f>
        <v>3398.0300000001621</v>
      </c>
      <c r="BN1356" s="343">
        <f>SUMIFS($AU$134:AU1357,$AQ$134:AQ1357,"H")</f>
        <v>11133.342000000011</v>
      </c>
      <c r="BO1356" s="343">
        <f>SUMIFS($AU$134:AU1357,$AQ$134:AQ1357,"D")</f>
        <v>10514.236666666764</v>
      </c>
      <c r="BP1356" s="343">
        <f>SUMIFS($AU$134:AU1359,$AQ$134:AQ1359,"W")</f>
        <v>6099.6199999996161</v>
      </c>
      <c r="BQ1356" s="343">
        <f>SUMIFS($AU$134:AU1357,$Q$134:Q1357,"O")</f>
        <v>-1648.8579999997983</v>
      </c>
      <c r="BR1356" s="343">
        <f>SUMIFS($AU$134:AU1357,$AA$134:AA1357,"*")</f>
        <v>25568.105333333566</v>
      </c>
      <c r="BS1356" s="343">
        <f>SUMIFS($AU$134:AU1357,$AB$134:AB1357,"*")</f>
        <v>8519.7120000000268</v>
      </c>
      <c r="BT1356" s="343">
        <f>SUMIFS($AU$134:AU1357,$AC$134:AC1357,"*")</f>
        <v>18176.216666666667</v>
      </c>
      <c r="BU1356" s="343">
        <f>SUMIFS($AU$134:AU1357,$AA$134:AA1357,"*",$AB$134:AB1357,"*")</f>
        <v>3586.0000000000546</v>
      </c>
      <c r="BV1356" s="343">
        <f>SUMIFS($AU$134:AU1357,$AA$134:AA1357,"*",$AC$134:AC1357,"*")</f>
        <v>12519.983333333334</v>
      </c>
      <c r="BW1356" s="343">
        <f>SUMIFS($AU$134:AU1357,$AB$134:AB1357,"*",$AC$134:AC1357,"*")</f>
        <v>9230.6</v>
      </c>
      <c r="BX1356" s="343">
        <f>SUMIFS($AU1357:AU$1388,$Q1357:Q$1388,"F")</f>
        <v>0</v>
      </c>
      <c r="BY1356" s="343">
        <f>SUMIFS($AU1357:AU$1388,$Q1357:Q$1388,"S")</f>
        <v>1424</v>
      </c>
      <c r="BZ1356" s="343">
        <f>SUMIFS($AU1357:AU$1388,$Q1357:Q$1388,"O")</f>
        <v>0</v>
      </c>
    </row>
    <row r="1357" spans="1:78" ht="15.75" customHeight="1">
      <c r="A1357" s="221" t="s">
        <v>4622</v>
      </c>
      <c r="B1357" s="177">
        <v>45265</v>
      </c>
      <c r="C1357" s="178" t="s">
        <v>4728</v>
      </c>
      <c r="D1357" s="178" t="s">
        <v>146</v>
      </c>
      <c r="E1357" s="227"/>
      <c r="F1357" s="180"/>
      <c r="G1357" s="281" t="s">
        <v>2016</v>
      </c>
      <c r="H1357" s="182"/>
      <c r="I1357" s="182"/>
      <c r="J1357" s="182"/>
      <c r="K1357" s="183"/>
      <c r="L1357" s="182">
        <v>1</v>
      </c>
      <c r="M1357" s="182"/>
      <c r="N1357" s="182"/>
      <c r="O1357" s="183" t="s">
        <v>95</v>
      </c>
      <c r="P1357" s="183" t="s">
        <v>96</v>
      </c>
      <c r="Q1357" s="183" t="s">
        <v>97</v>
      </c>
      <c r="R1357" s="183">
        <v>12</v>
      </c>
      <c r="S1357" s="183">
        <v>5</v>
      </c>
      <c r="T1357" s="183">
        <v>12</v>
      </c>
      <c r="U1357" s="183" t="s">
        <v>22</v>
      </c>
      <c r="V1357" s="183"/>
      <c r="W1357" s="183"/>
      <c r="X1357" s="183"/>
      <c r="Y1357" s="184">
        <f>IF(ISBLANK(O1357),"",(IF(O1357=UPPER("IB"),0.005,0.01)))</f>
        <v>0.01</v>
      </c>
      <c r="Z1357" s="185">
        <f>IF(ISBLANK(O1357),"",IF(O1357="IB",8.63*200,IF(O1357="IR",16*100,IF(O1357="YT",20*100,IF(O1357="YT-XT",24*200,IF(O1357="TED",80*100))))))</f>
        <v>1600</v>
      </c>
      <c r="AA1357" s="185" t="s">
        <v>99</v>
      </c>
      <c r="AB1357" s="185"/>
      <c r="AC1357" s="185"/>
      <c r="AD1357" s="649">
        <v>-0.12</v>
      </c>
      <c r="AE1357" s="182"/>
      <c r="AF1357" s="332"/>
      <c r="AG1357" s="182"/>
      <c r="AH1357" s="182"/>
      <c r="AI1357" s="182"/>
      <c r="AJ1357" s="640"/>
      <c r="AK1357" s="182"/>
      <c r="AL1357" s="496"/>
      <c r="AM1357" s="496"/>
      <c r="AN1357" s="626"/>
      <c r="AO1357" s="182"/>
      <c r="AP1357" s="182" t="s">
        <v>1554</v>
      </c>
      <c r="AQ1357" s="332" t="str">
        <f>UPPER(RIGHT(Journal_Live[[#This Row],[DURATION ]]))</f>
        <v>H</v>
      </c>
      <c r="AR1357" s="182" t="s">
        <v>4727</v>
      </c>
      <c r="AS1357" s="189">
        <v>-0.11</v>
      </c>
      <c r="AT1357" s="189">
        <f>IF(ISBLANK(AS1357),,IF(U1357="S",AD1357-AS1357,AS1357-AD1357))</f>
        <v>9.999999999999995E-3</v>
      </c>
      <c r="AU1357" s="187">
        <f>AV1357*R1357</f>
        <v>191.99999999999991</v>
      </c>
      <c r="AV1357" s="190">
        <f>IF(ISBLANK(AS1357),,(AT1357*Z1357))</f>
        <v>15.999999999999993</v>
      </c>
      <c r="AW1357" s="191" t="s">
        <v>96</v>
      </c>
      <c r="AX1357" s="407"/>
      <c r="AY1357" s="407"/>
      <c r="AZ1357" s="407"/>
      <c r="BA1357" s="407"/>
      <c r="BB1357" s="407"/>
      <c r="BC1357" s="407"/>
      <c r="BD1357" s="407"/>
      <c r="BE1357" s="407"/>
      <c r="BF1357" s="422"/>
      <c r="BG1357" s="391">
        <f>SUM($AV$4:AV1357)</f>
        <v>5164.099611627481</v>
      </c>
      <c r="BH1357" s="392">
        <f>SUM($AU$134:AU1357)</f>
        <v>32126.650666666865</v>
      </c>
      <c r="BI1357" s="318">
        <f>SUMIFS($AU$134:AU1358,$Q$134:Q1358,"F")</f>
        <v>14440.666666666668</v>
      </c>
      <c r="BJ1357" s="318">
        <f>SUMIFS($AU$134:AU1358,$Q$134:Q1358,"S")</f>
        <v>19439.642</v>
      </c>
      <c r="BK1357" s="343">
        <f>SUMIFS($AU$134:AU1358,$P$134:P1358,"W")</f>
        <v>19778.141999999927</v>
      </c>
      <c r="BL1357" s="343">
        <f>SUMIFS($AU$134:AU1358,$P$134:P1358,"R")</f>
        <v>13875.606666666656</v>
      </c>
      <c r="BM1357" s="343">
        <f>SUMIFS($AU$134:AU1358,$AQ$134:AQ1358,"M")</f>
        <v>3398.0300000001621</v>
      </c>
      <c r="BN1357" s="343">
        <f>SUMIFS($AU$134:AU1358,$AQ$134:AQ1358,"H")</f>
        <v>11133.342000000011</v>
      </c>
      <c r="BO1357" s="343">
        <f>SUMIFS($AU$134:AU1358,$AQ$134:AQ1358,"D")</f>
        <v>10514.236666666764</v>
      </c>
      <c r="BP1357" s="343">
        <f>SUMIFS($AU$134:AU1360,$AQ$134:AQ1360,"W")</f>
        <v>6099.6199999996161</v>
      </c>
      <c r="BQ1357" s="343">
        <f>SUMIFS($AU$134:AU1358,$Q$134:Q1358,"O")</f>
        <v>-1648.8579999997983</v>
      </c>
      <c r="BR1357" s="343">
        <f>SUMIFS($AU$134:AU1358,$AA$134:AA1358,"*")</f>
        <v>25568.105333333566</v>
      </c>
      <c r="BS1357" s="343">
        <f>SUMIFS($AU$134:AU1358,$AB$134:AB1358,"*")</f>
        <v>8519.7120000000268</v>
      </c>
      <c r="BT1357" s="343">
        <f>SUMIFS($AU$134:AU1358,$AC$134:AC1358,"*")</f>
        <v>18176.216666666667</v>
      </c>
      <c r="BU1357" s="343">
        <f>SUMIFS($AU$134:AU1358,$AA$134:AA1358,"*",$AB$134:AB1358,"*")</f>
        <v>3586.0000000000546</v>
      </c>
      <c r="BV1357" s="343">
        <f>SUMIFS($AU$134:AU1358,$AA$134:AA1358,"*",$AC$134:AC1358,"*")</f>
        <v>12519.983333333334</v>
      </c>
      <c r="BW1357" s="343">
        <f>SUMIFS($AU$134:AU1358,$AB$134:AB1358,"*",$AC$134:AC1358,"*")</f>
        <v>9230.6</v>
      </c>
      <c r="BX1357" s="343">
        <f>SUMIFS($AU1358:AU$1388,$Q1358:Q$1388,"F")</f>
        <v>0</v>
      </c>
      <c r="BY1357" s="343">
        <f>SUMIFS($AU1358:AU$1388,$Q1358:Q$1388,"S")</f>
        <v>1231.9999999999998</v>
      </c>
      <c r="BZ1357" s="343">
        <f>SUMIFS($AU1358:AU$1388,$Q1358:Q$1388,"O")</f>
        <v>0</v>
      </c>
    </row>
    <row r="1358" spans="1:78" ht="15.75" customHeight="1">
      <c r="A1358" s="221" t="s">
        <v>4622</v>
      </c>
      <c r="B1358" s="177">
        <v>45266</v>
      </c>
      <c r="C1358" s="178" t="s">
        <v>1437</v>
      </c>
      <c r="D1358" s="178" t="s">
        <v>151</v>
      </c>
      <c r="E1358" s="227" t="s">
        <v>4729</v>
      </c>
      <c r="F1358" s="180" t="s">
        <v>4730</v>
      </c>
      <c r="G1358" s="181"/>
      <c r="H1358" s="182"/>
      <c r="I1358" s="182"/>
      <c r="J1358" s="182">
        <v>1</v>
      </c>
      <c r="K1358" s="183" t="s">
        <v>115</v>
      </c>
      <c r="L1358" s="182"/>
      <c r="M1358" s="182"/>
      <c r="N1358" s="182"/>
      <c r="O1358" s="183"/>
      <c r="P1358" s="183"/>
      <c r="Q1358" s="183"/>
      <c r="R1358" s="183"/>
      <c r="S1358" s="183"/>
      <c r="T1358" s="183"/>
      <c r="U1358" s="183"/>
      <c r="V1358" s="183"/>
      <c r="W1358" s="183"/>
      <c r="X1358" s="183"/>
      <c r="Y1358" s="183"/>
      <c r="Z1358" s="185" t="str">
        <f>IF(ISBLANK(O1358),"",IF(O1358="IB",8.63*200,IF(O1358="IR",16*100,IF(O1358="YT",20*100,IF(O1358="YT-XT",24*200,IF(O1358="TED",80*100))))))</f>
        <v/>
      </c>
      <c r="AA1358" s="185"/>
      <c r="AB1358" s="185"/>
      <c r="AC1358" s="185"/>
      <c r="AD1358" s="649"/>
      <c r="AE1358" s="182"/>
      <c r="AF1358" s="332"/>
      <c r="AG1358" s="182"/>
      <c r="AH1358" s="182"/>
      <c r="AI1358" s="182"/>
      <c r="AJ1358" s="640"/>
      <c r="AK1358" s="182"/>
      <c r="AL1358" s="496"/>
      <c r="AM1358" s="496"/>
      <c r="AN1358" s="626"/>
      <c r="AO1358" s="182"/>
      <c r="AP1358" s="182"/>
      <c r="AQ1358" s="332" t="str">
        <f>UPPER(RIGHT(Journal_Live[[#This Row],[DURATION ]]))</f>
        <v/>
      </c>
      <c r="AR1358" s="182"/>
      <c r="AS1358" s="189"/>
      <c r="AT1358" s="189"/>
      <c r="AU1358" s="187"/>
      <c r="AV1358" s="190"/>
      <c r="AW1358" s="191"/>
      <c r="AX1358" s="407" t="s">
        <v>4731</v>
      </c>
      <c r="AY1358" s="407"/>
      <c r="AZ1358" s="407"/>
      <c r="BA1358" s="407"/>
      <c r="BB1358" s="407"/>
      <c r="BC1358" s="407"/>
      <c r="BD1358" s="407"/>
      <c r="BE1358" s="407"/>
      <c r="BF1358" s="422"/>
      <c r="BG1358" s="391">
        <f>SUM($AV$4:AV1358)</f>
        <v>5164.099611627481</v>
      </c>
      <c r="BH1358" s="392">
        <f>SUM($AU$134:AU1358)</f>
        <v>32126.650666666865</v>
      </c>
      <c r="BI1358" s="318">
        <f>SUMIFS($AU$134:AU1359,$Q$134:Q1359,"F")</f>
        <v>14440.666666666668</v>
      </c>
      <c r="BJ1358" s="318">
        <f>SUMIFS($AU$134:AU1359,$Q$134:Q1359,"S")</f>
        <v>19439.642</v>
      </c>
      <c r="BK1358" s="343">
        <f>SUMIFS($AU$134:AU1359,$P$134:P1359,"W")</f>
        <v>19778.141999999927</v>
      </c>
      <c r="BL1358" s="343">
        <f>SUMIFS($AU$134:AU1359,$P$134:P1359,"R")</f>
        <v>13875.606666666656</v>
      </c>
      <c r="BM1358" s="343">
        <f>SUMIFS($AU$134:AU1359,$AQ$134:AQ1359,"M")</f>
        <v>3398.0300000001621</v>
      </c>
      <c r="BN1358" s="343">
        <f>SUMIFS($AU$134:AU1359,$AQ$134:AQ1359,"H")</f>
        <v>11133.342000000011</v>
      </c>
      <c r="BO1358" s="343">
        <f>SUMIFS($AU$134:AU1359,$AQ$134:AQ1359,"D")</f>
        <v>10514.236666666764</v>
      </c>
      <c r="BP1358" s="343">
        <f>SUMIFS($AU$134:AU1361,$AQ$134:AQ1361,"W")</f>
        <v>6099.6199999996161</v>
      </c>
      <c r="BQ1358" s="343">
        <f>SUMIFS($AU$134:AU1359,$Q$134:Q1359,"O")</f>
        <v>-1648.8579999997983</v>
      </c>
      <c r="BR1358" s="343">
        <f>SUMIFS($AU$134:AU1359,$AA$134:AA1359,"*")</f>
        <v>25568.105333333566</v>
      </c>
      <c r="BS1358" s="343">
        <f>SUMIFS($AU$134:AU1359,$AB$134:AB1359,"*")</f>
        <v>8519.7120000000268</v>
      </c>
      <c r="BT1358" s="343">
        <f>SUMIFS($AU$134:AU1359,$AC$134:AC1359,"*")</f>
        <v>18176.216666666667</v>
      </c>
      <c r="BU1358" s="343">
        <f>SUMIFS($AU$134:AU1359,$AA$134:AA1359,"*",$AB$134:AB1359,"*")</f>
        <v>3586.0000000000546</v>
      </c>
      <c r="BV1358" s="343">
        <f>SUMIFS($AU$134:AU1359,$AA$134:AA1359,"*",$AC$134:AC1359,"*")</f>
        <v>12519.983333333334</v>
      </c>
      <c r="BW1358" s="343">
        <f>SUMIFS($AU$134:AU1359,$AB$134:AB1359,"*",$AC$134:AC1359,"*")</f>
        <v>9230.6</v>
      </c>
      <c r="BX1358" s="343">
        <f>SUMIFS($AU1359:AU$1388,$Q1359:Q$1388,"F")</f>
        <v>0</v>
      </c>
      <c r="BY1358" s="343">
        <f>SUMIFS($AU1359:AU$1388,$Q1359:Q$1388,"S")</f>
        <v>1231.9999999999998</v>
      </c>
      <c r="BZ1358" s="343">
        <f>SUMIFS($AU1359:AU$1388,$Q1359:Q$1388,"O")</f>
        <v>0</v>
      </c>
    </row>
    <row r="1359" spans="1:78" ht="15.75" customHeight="1">
      <c r="A1359" s="221" t="s">
        <v>4622</v>
      </c>
      <c r="B1359" s="177"/>
      <c r="C1359" s="178"/>
      <c r="D1359" s="178"/>
      <c r="E1359" s="227" t="s">
        <v>4732</v>
      </c>
      <c r="F1359" s="180"/>
      <c r="G1359" s="181"/>
      <c r="H1359" s="182">
        <v>1</v>
      </c>
      <c r="I1359" s="182"/>
      <c r="J1359" s="182"/>
      <c r="K1359" s="183" t="s">
        <v>372</v>
      </c>
      <c r="L1359" s="182"/>
      <c r="M1359" s="182"/>
      <c r="N1359" s="182"/>
      <c r="O1359" s="183"/>
      <c r="P1359" s="183"/>
      <c r="Q1359" s="183"/>
      <c r="R1359" s="183"/>
      <c r="S1359" s="183"/>
      <c r="T1359" s="183"/>
      <c r="U1359" s="183"/>
      <c r="V1359" s="183"/>
      <c r="W1359" s="183"/>
      <c r="X1359" s="183"/>
      <c r="Y1359" s="183"/>
      <c r="Z1359" s="185" t="str">
        <f>IF(ISBLANK(O1359),"",IF(O1359="IB",8.63*200,IF(O1359="IR",16*100,IF(O1359="YT",20*100,IF(O1359="YT-XT",24*200,IF(O1359="TED",80*100))))))</f>
        <v/>
      </c>
      <c r="AA1359" s="185"/>
      <c r="AB1359" s="185"/>
      <c r="AC1359" s="185"/>
      <c r="AD1359" s="649"/>
      <c r="AE1359" s="182"/>
      <c r="AF1359" s="332"/>
      <c r="AG1359" s="182"/>
      <c r="AH1359" s="182"/>
      <c r="AI1359" s="182"/>
      <c r="AJ1359" s="640"/>
      <c r="AK1359" s="182"/>
      <c r="AL1359" s="496"/>
      <c r="AM1359" s="496"/>
      <c r="AN1359" s="626"/>
      <c r="AO1359" s="182"/>
      <c r="AP1359" s="182"/>
      <c r="AQ1359" s="332" t="str">
        <f>UPPER(RIGHT(Journal_Live[[#This Row],[DURATION ]]))</f>
        <v/>
      </c>
      <c r="AR1359" s="182"/>
      <c r="AS1359" s="189"/>
      <c r="AT1359" s="189"/>
      <c r="AU1359" s="187"/>
      <c r="AV1359" s="190"/>
      <c r="AW1359" s="191"/>
      <c r="AX1359" s="407"/>
      <c r="AY1359" s="407"/>
      <c r="AZ1359" s="407"/>
      <c r="BA1359" s="407"/>
      <c r="BB1359" s="407"/>
      <c r="BC1359" s="407"/>
      <c r="BD1359" s="407"/>
      <c r="BE1359" s="407"/>
      <c r="BF1359" s="422"/>
      <c r="BG1359" s="391">
        <f>SUM($AV$4:AV1359)</f>
        <v>5164.099611627481</v>
      </c>
      <c r="BH1359" s="392">
        <f>SUM($AU$134:AU1359)</f>
        <v>32126.650666666865</v>
      </c>
      <c r="BI1359" s="318">
        <f>SUMIFS($AU$134:AU1360,$Q$134:Q1360,"F")</f>
        <v>14440.666666666668</v>
      </c>
      <c r="BJ1359" s="318">
        <f>SUMIFS($AU$134:AU1360,$Q$134:Q1360,"S")</f>
        <v>19439.642</v>
      </c>
      <c r="BK1359" s="343">
        <f>SUMIFS($AU$134:AU1360,$P$134:P1360,"W")</f>
        <v>19778.141999999927</v>
      </c>
      <c r="BL1359" s="343">
        <f>SUMIFS($AU$134:AU1360,$P$134:P1360,"R")</f>
        <v>13875.606666666656</v>
      </c>
      <c r="BM1359" s="343">
        <f>SUMIFS($AU$134:AU1360,$AQ$134:AQ1360,"M")</f>
        <v>3398.0300000001621</v>
      </c>
      <c r="BN1359" s="343">
        <f>SUMIFS($AU$134:AU1360,$AQ$134:AQ1360,"H")</f>
        <v>11133.342000000011</v>
      </c>
      <c r="BO1359" s="343">
        <f>SUMIFS($AU$134:AU1360,$AQ$134:AQ1360,"D")</f>
        <v>10514.236666666764</v>
      </c>
      <c r="BP1359" s="343">
        <f>SUMIFS($AU$134:AU1362,$AQ$134:AQ1362,"W")</f>
        <v>6099.6199999996161</v>
      </c>
      <c r="BQ1359" s="343">
        <f>SUMIFS($AU$134:AU1360,$Q$134:Q1360,"O")</f>
        <v>-1648.8579999997983</v>
      </c>
      <c r="BR1359" s="343">
        <f>SUMIFS($AU$134:AU1360,$AA$134:AA1360,"*")</f>
        <v>25568.105333333566</v>
      </c>
      <c r="BS1359" s="343">
        <f>SUMIFS($AU$134:AU1360,$AB$134:AB1360,"*")</f>
        <v>8519.7120000000268</v>
      </c>
      <c r="BT1359" s="343">
        <f>SUMIFS($AU$134:AU1360,$AC$134:AC1360,"*")</f>
        <v>18176.216666666667</v>
      </c>
      <c r="BU1359" s="343">
        <f>SUMIFS($AU$134:AU1360,$AA$134:AA1360,"*",$AB$134:AB1360,"*")</f>
        <v>3586.0000000000546</v>
      </c>
      <c r="BV1359" s="343">
        <f>SUMIFS($AU$134:AU1360,$AA$134:AA1360,"*",$AC$134:AC1360,"*")</f>
        <v>12519.983333333334</v>
      </c>
      <c r="BW1359" s="343">
        <f>SUMIFS($AU$134:AU1360,$AB$134:AB1360,"*",$AC$134:AC1360,"*")</f>
        <v>9230.6</v>
      </c>
      <c r="BX1359" s="343">
        <f>SUMIFS($AU1360:AU$1388,$Q1360:Q$1388,"F")</f>
        <v>0</v>
      </c>
      <c r="BY1359" s="343">
        <f>SUMIFS($AU1360:AU$1388,$Q1360:Q$1388,"S")</f>
        <v>1231.9999999999998</v>
      </c>
      <c r="BZ1359" s="343">
        <f>SUMIFS($AU1360:AU$1388,$Q1360:Q$1388,"O")</f>
        <v>0</v>
      </c>
    </row>
    <row r="1360" spans="1:78" ht="15.75" customHeight="1">
      <c r="A1360" s="221" t="s">
        <v>4622</v>
      </c>
      <c r="B1360" s="177">
        <v>45266</v>
      </c>
      <c r="C1360" s="178" t="s">
        <v>4733</v>
      </c>
      <c r="D1360" s="178" t="s">
        <v>151</v>
      </c>
      <c r="E1360" s="227"/>
      <c r="F1360" s="180"/>
      <c r="G1360" s="181" t="s">
        <v>136</v>
      </c>
      <c r="H1360" s="182"/>
      <c r="I1360" s="182"/>
      <c r="J1360" s="182"/>
      <c r="K1360" s="183"/>
      <c r="L1360" s="182"/>
      <c r="M1360" s="182"/>
      <c r="N1360" s="182"/>
      <c r="O1360" s="183"/>
      <c r="P1360" s="183"/>
      <c r="Q1360" s="183"/>
      <c r="R1360" s="183"/>
      <c r="S1360" s="183"/>
      <c r="T1360" s="183"/>
      <c r="U1360" s="183"/>
      <c r="V1360" s="183"/>
      <c r="W1360" s="183"/>
      <c r="X1360" s="183"/>
      <c r="Y1360" s="184"/>
      <c r="Z1360" s="185"/>
      <c r="AA1360" s="185"/>
      <c r="AB1360" s="185"/>
      <c r="AC1360" s="185"/>
      <c r="AD1360" s="649"/>
      <c r="AE1360" s="182"/>
      <c r="AF1360" s="332"/>
      <c r="AG1360" s="182"/>
      <c r="AH1360" s="182"/>
      <c r="AI1360" s="182"/>
      <c r="AJ1360" s="640"/>
      <c r="AK1360" s="182"/>
      <c r="AL1360" s="496"/>
      <c r="AM1360" s="496"/>
      <c r="AN1360" s="626"/>
      <c r="AO1360" s="182"/>
      <c r="AP1360" s="182"/>
      <c r="AQ1360" s="332" t="str">
        <f>UPPER(RIGHT(Journal_Live[[#This Row],[DURATION ]]))</f>
        <v/>
      </c>
      <c r="AR1360" s="182"/>
      <c r="AS1360" s="189"/>
      <c r="AT1360" s="189"/>
      <c r="AU1360" s="187"/>
      <c r="AV1360" s="190"/>
      <c r="AW1360" s="191"/>
      <c r="AX1360" s="407"/>
      <c r="AY1360" s="407"/>
      <c r="AZ1360" s="407"/>
      <c r="BA1360" s="407"/>
      <c r="BB1360" s="407"/>
      <c r="BC1360" s="407"/>
      <c r="BD1360" s="407"/>
      <c r="BE1360" s="407"/>
      <c r="BF1360" s="422"/>
      <c r="BG1360" s="391">
        <f>SUM($AV$4:AV1360)</f>
        <v>5164.099611627481</v>
      </c>
      <c r="BH1360" s="392">
        <f>SUM($AU$134:AU1360)</f>
        <v>32126.650666666865</v>
      </c>
      <c r="BI1360" s="318">
        <f>SUMIFS($AU$134:AU1361,$Q$134:Q1361,"F")</f>
        <v>14440.666666666668</v>
      </c>
      <c r="BJ1360" s="318">
        <f>SUMIFS($AU$134:AU1361,$Q$134:Q1361,"S")</f>
        <v>19663.642</v>
      </c>
      <c r="BK1360" s="343">
        <f>SUMIFS($AU$134:AU1361,$P$134:P1361,"W")</f>
        <v>20002.141999999927</v>
      </c>
      <c r="BL1360" s="343">
        <f>SUMIFS($AU$134:AU1361,$P$134:P1361,"R")</f>
        <v>13875.606666666656</v>
      </c>
      <c r="BM1360" s="343">
        <f>SUMIFS($AU$134:AU1361,$AQ$134:AQ1361,"M")</f>
        <v>3398.0300000001621</v>
      </c>
      <c r="BN1360" s="343">
        <f>SUMIFS($AU$134:AU1361,$AQ$134:AQ1361,"H")</f>
        <v>11357.342000000011</v>
      </c>
      <c r="BO1360" s="343">
        <f>SUMIFS($AU$134:AU1361,$AQ$134:AQ1361,"D")</f>
        <v>10514.236666666764</v>
      </c>
      <c r="BP1360" s="343">
        <f>SUMIFS($AU$134:AU1363,$AQ$134:AQ1363,"W")</f>
        <v>6099.6199999996161</v>
      </c>
      <c r="BQ1360" s="343">
        <f>SUMIFS($AU$134:AU1361,$Q$134:Q1361,"O")</f>
        <v>-1648.8579999997983</v>
      </c>
      <c r="BR1360" s="343">
        <f>SUMIFS($AU$134:AU1361,$AA$134:AA1361,"*")</f>
        <v>25792.105333333566</v>
      </c>
      <c r="BS1360" s="343">
        <f>SUMIFS($AU$134:AU1361,$AB$134:AB1361,"*")</f>
        <v>8743.7120000000268</v>
      </c>
      <c r="BT1360" s="343">
        <f>SUMIFS($AU$134:AU1361,$AC$134:AC1361,"*")</f>
        <v>18176.216666666667</v>
      </c>
      <c r="BU1360" s="343">
        <f>SUMIFS($AU$134:AU1361,$AA$134:AA1361,"*",$AB$134:AB1361,"*")</f>
        <v>3810.0000000000546</v>
      </c>
      <c r="BV1360" s="343">
        <f>SUMIFS($AU$134:AU1361,$AA$134:AA1361,"*",$AC$134:AC1361,"*")</f>
        <v>12519.983333333334</v>
      </c>
      <c r="BW1360" s="343">
        <f>SUMIFS($AU$134:AU1361,$AB$134:AB1361,"*",$AC$134:AC1361,"*")</f>
        <v>9230.6</v>
      </c>
      <c r="BX1360" s="343">
        <f>SUMIFS($AU1361:AU$1388,$Q1361:Q$1388,"F")</f>
        <v>0</v>
      </c>
      <c r="BY1360" s="343">
        <f>SUMIFS($AU1361:AU$1388,$Q1361:Q$1388,"S")</f>
        <v>1231.9999999999998</v>
      </c>
      <c r="BZ1360" s="343">
        <f>SUMIFS($AU1361:AU$1388,$Q1361:Q$1388,"O")</f>
        <v>0</v>
      </c>
    </row>
    <row r="1361" spans="1:78" ht="15.75" customHeight="1">
      <c r="A1361" s="221" t="s">
        <v>4622</v>
      </c>
      <c r="B1361" s="177">
        <v>45266</v>
      </c>
      <c r="C1361" s="178" t="s">
        <v>4734</v>
      </c>
      <c r="D1361" s="178" t="s">
        <v>151</v>
      </c>
      <c r="E1361" s="227"/>
      <c r="F1361" s="180"/>
      <c r="G1361" s="281" t="s">
        <v>181</v>
      </c>
      <c r="H1361" s="182"/>
      <c r="I1361" s="182"/>
      <c r="J1361" s="182"/>
      <c r="K1361" s="183"/>
      <c r="L1361" s="182">
        <v>1</v>
      </c>
      <c r="M1361" s="182"/>
      <c r="N1361" s="182"/>
      <c r="O1361" s="183" t="s">
        <v>95</v>
      </c>
      <c r="P1361" s="183" t="s">
        <v>96</v>
      </c>
      <c r="Q1361" s="183" t="s">
        <v>97</v>
      </c>
      <c r="R1361" s="183">
        <v>7</v>
      </c>
      <c r="S1361" s="183">
        <v>0</v>
      </c>
      <c r="T1361" s="183">
        <v>7</v>
      </c>
      <c r="U1361" s="183" t="s">
        <v>97</v>
      </c>
      <c r="V1361" s="183"/>
      <c r="W1361" s="183"/>
      <c r="X1361" s="183"/>
      <c r="Y1361" s="184">
        <f>IF(ISBLANK(O1361),"",(IF(O1361=UPPER("IB"),0.005,0.01)))</f>
        <v>0.01</v>
      </c>
      <c r="Z1361" s="185">
        <f>IF(ISBLANK(O1361),"",IF(O1361="IB",8.63*200,IF(O1361="IR",16*100,IF(O1361="YT",20*100,IF(O1361="YT-XT",24*200,IF(O1361="TED",80*100))))))</f>
        <v>1600</v>
      </c>
      <c r="AA1361" s="185" t="s">
        <v>4735</v>
      </c>
      <c r="AB1361" s="185" t="s">
        <v>4736</v>
      </c>
      <c r="AC1361" s="185"/>
      <c r="AD1361" s="649">
        <v>-0.03</v>
      </c>
      <c r="AE1361" s="182"/>
      <c r="AF1361" s="332"/>
      <c r="AG1361" s="182"/>
      <c r="AH1361" s="182"/>
      <c r="AI1361" s="182"/>
      <c r="AJ1361" s="640" t="s">
        <v>4737</v>
      </c>
      <c r="AK1361" s="182"/>
      <c r="AL1361" s="496"/>
      <c r="AM1361" s="496"/>
      <c r="AN1361" s="626" t="s">
        <v>4738</v>
      </c>
      <c r="AO1361" s="182"/>
      <c r="AP1361" s="182" t="s">
        <v>1017</v>
      </c>
      <c r="AQ1361" s="332" t="str">
        <f>UPPER(RIGHT(Journal_Live[[#This Row],[DURATION ]]))</f>
        <v>H</v>
      </c>
      <c r="AR1361" s="182" t="s">
        <v>1474</v>
      </c>
      <c r="AS1361" s="189">
        <v>-0.05</v>
      </c>
      <c r="AT1361" s="189">
        <f>IF(ISBLANK(AS1361),,IF(U1361="S",AD1361-AS1361,AS1361-AD1361))</f>
        <v>2.0000000000000004E-2</v>
      </c>
      <c r="AU1361" s="187">
        <f>AV1361*R1361</f>
        <v>224.00000000000006</v>
      </c>
      <c r="AV1361" s="190">
        <f>IF(ISBLANK(AS1361),,(AT1361*Z1361))</f>
        <v>32.000000000000007</v>
      </c>
      <c r="AW1361" s="191" t="s">
        <v>96</v>
      </c>
      <c r="AX1361" s="407"/>
      <c r="AY1361" s="407"/>
      <c r="AZ1361" s="407"/>
      <c r="BA1361" s="407"/>
      <c r="BB1361" s="407"/>
      <c r="BC1361" s="407"/>
      <c r="BD1361" s="407"/>
      <c r="BE1361" s="407"/>
      <c r="BF1361" s="422"/>
      <c r="BG1361" s="391">
        <f>SUM($AV$4:AV1361)</f>
        <v>5196.099611627481</v>
      </c>
      <c r="BH1361" s="392">
        <f>SUM($AU$134:AU1361)</f>
        <v>32350.650666666865</v>
      </c>
      <c r="BI1361" s="318">
        <f>SUMIFS($AU$134:AU1362,$Q$134:Q1362,"F")</f>
        <v>14440.666666666668</v>
      </c>
      <c r="BJ1361" s="318">
        <f>SUMIFS($AU$134:AU1362,$Q$134:Q1362,"S")</f>
        <v>19663.642</v>
      </c>
      <c r="BK1361" s="343">
        <f>SUMIFS($AU$134:AU1362,$P$134:P1362,"W")</f>
        <v>20002.141999999927</v>
      </c>
      <c r="BL1361" s="343">
        <f>SUMIFS($AU$134:AU1362,$P$134:P1362,"R")</f>
        <v>13875.606666666656</v>
      </c>
      <c r="BM1361" s="343">
        <f>SUMIFS($AU$134:AU1362,$AQ$134:AQ1362,"M")</f>
        <v>3398.0300000001621</v>
      </c>
      <c r="BN1361" s="343">
        <f>SUMIFS($AU$134:AU1362,$AQ$134:AQ1362,"H")</f>
        <v>11357.342000000011</v>
      </c>
      <c r="BO1361" s="343">
        <f>SUMIFS($AU$134:AU1362,$AQ$134:AQ1362,"D")</f>
        <v>10514.236666666764</v>
      </c>
      <c r="BP1361" s="343">
        <f>SUMIFS($AU$134:AU1364,$AQ$134:AQ1364,"W")</f>
        <v>6099.6199999996161</v>
      </c>
      <c r="BQ1361" s="343">
        <f>SUMIFS($AU$134:AU1362,$Q$134:Q1362,"O")</f>
        <v>-1648.8579999997983</v>
      </c>
      <c r="BR1361" s="343">
        <f>SUMIFS($AU$134:AU1362,$AA$134:AA1362,"*")</f>
        <v>25792.105333333566</v>
      </c>
      <c r="BS1361" s="343">
        <f>SUMIFS($AU$134:AU1362,$AB$134:AB1362,"*")</f>
        <v>8743.7120000000268</v>
      </c>
      <c r="BT1361" s="343">
        <f>SUMIFS($AU$134:AU1362,$AC$134:AC1362,"*")</f>
        <v>18176.216666666667</v>
      </c>
      <c r="BU1361" s="343">
        <f>SUMIFS($AU$134:AU1362,$AA$134:AA1362,"*",$AB$134:AB1362,"*")</f>
        <v>3810.0000000000546</v>
      </c>
      <c r="BV1361" s="343">
        <f>SUMIFS($AU$134:AU1362,$AA$134:AA1362,"*",$AC$134:AC1362,"*")</f>
        <v>12519.983333333334</v>
      </c>
      <c r="BW1361" s="343">
        <f>SUMIFS($AU$134:AU1362,$AB$134:AB1362,"*",$AC$134:AC1362,"*")</f>
        <v>9230.6</v>
      </c>
      <c r="BX1361" s="343">
        <f>SUMIFS($AU1362:AU$1388,$Q1362:Q$1388,"F")</f>
        <v>0</v>
      </c>
      <c r="BY1361" s="343">
        <f>SUMIFS($AU1362:AU$1388,$Q1362:Q$1388,"S")</f>
        <v>1007.9999999999999</v>
      </c>
      <c r="BZ1361" s="343">
        <f>SUMIFS($AU1362:AU$1388,$Q1362:Q$1388,"O")</f>
        <v>0</v>
      </c>
    </row>
    <row r="1362" spans="1:78" ht="15.75" customHeight="1">
      <c r="A1362" s="221" t="s">
        <v>4622</v>
      </c>
      <c r="B1362" s="177">
        <v>45267</v>
      </c>
      <c r="C1362" s="178" t="s">
        <v>1255</v>
      </c>
      <c r="D1362" s="178" t="s">
        <v>93</v>
      </c>
      <c r="E1362" s="227"/>
      <c r="F1362" s="180"/>
      <c r="G1362" s="181"/>
      <c r="H1362" s="182"/>
      <c r="I1362" s="182"/>
      <c r="J1362" s="182"/>
      <c r="K1362" s="183"/>
      <c r="L1362" s="182"/>
      <c r="M1362" s="182"/>
      <c r="N1362" s="182"/>
      <c r="O1362" s="183"/>
      <c r="P1362" s="183"/>
      <c r="Q1362" s="183"/>
      <c r="R1362" s="183"/>
      <c r="S1362" s="183"/>
      <c r="T1362" s="183"/>
      <c r="U1362" s="183"/>
      <c r="V1362" s="183"/>
      <c r="W1362" s="183"/>
      <c r="X1362" s="183"/>
      <c r="Y1362" s="274"/>
      <c r="Z1362" s="183"/>
      <c r="AA1362" s="185"/>
      <c r="AB1362" s="185"/>
      <c r="AC1362" s="185"/>
      <c r="AD1362" s="649"/>
      <c r="AE1362" s="182"/>
      <c r="AF1362" s="332"/>
      <c r="AG1362" s="182"/>
      <c r="AH1362" s="182"/>
      <c r="AI1362" s="182"/>
      <c r="AJ1362" s="640"/>
      <c r="AK1362" s="182"/>
      <c r="AL1362" s="496"/>
      <c r="AM1362" s="496"/>
      <c r="AN1362" s="626"/>
      <c r="AO1362" s="182"/>
      <c r="AP1362" s="182"/>
      <c r="AQ1362" s="332" t="str">
        <f>UPPER(RIGHT(Journal_Live[[#This Row],[DURATION ]]))</f>
        <v/>
      </c>
      <c r="AR1362" s="182"/>
      <c r="AS1362" s="189"/>
      <c r="AT1362" s="189"/>
      <c r="AU1362" s="187"/>
      <c r="AV1362" s="190"/>
      <c r="AW1362" s="191"/>
      <c r="AX1362" s="409" t="s">
        <v>4739</v>
      </c>
      <c r="AY1362" s="407" t="s">
        <v>4740</v>
      </c>
      <c r="AZ1362" s="407" t="s">
        <v>4741</v>
      </c>
      <c r="BA1362" s="407"/>
      <c r="BB1362" s="407"/>
      <c r="BC1362" s="407"/>
      <c r="BD1362" s="407"/>
      <c r="BE1362" s="407"/>
      <c r="BF1362" s="422"/>
      <c r="BG1362" s="391"/>
      <c r="BH1362" s="392">
        <f>SUM($AU$4:AU1362)</f>
        <v>34164.120666666888</v>
      </c>
      <c r="BI1362" s="318">
        <f>SUMIFS($AU$134:AU1363,$Q$134:Q1363,"F")</f>
        <v>14440.666666666668</v>
      </c>
      <c r="BJ1362" s="318">
        <f>SUMIFS($AU$134:AU1363,$Q$134:Q1363,"S")</f>
        <v>19663.642</v>
      </c>
      <c r="BK1362" s="343">
        <f>SUMIFS($AU$134:AU1363,$P$134:P1363,"W")</f>
        <v>20002.141999999927</v>
      </c>
      <c r="BL1362" s="343">
        <f>SUMIFS($AU$134:AU1363,$P$134:P1363,"R")</f>
        <v>13875.606666666656</v>
      </c>
      <c r="BM1362" s="343">
        <f>SUMIFS($AU$134:AU1363,$AQ$134:AQ1363,"M")</f>
        <v>3398.0300000001621</v>
      </c>
      <c r="BN1362" s="343">
        <f>SUMIFS($AU$134:AU1363,$AQ$134:AQ1363,"H")</f>
        <v>11357.342000000011</v>
      </c>
      <c r="BO1362" s="343">
        <f>SUMIFS($AU$134:AU1363,$AQ$134:AQ1363,"D")</f>
        <v>10514.236666666764</v>
      </c>
      <c r="BP1362" s="343">
        <f>SUMIFS($AU$134:AU1365,$AQ$134:AQ1365,"W")</f>
        <v>6099.6199999996161</v>
      </c>
      <c r="BQ1362" s="343">
        <f>SUMIFS($AU$134:AU1363,$Q$134:Q1363,"O")</f>
        <v>-1648.8579999997983</v>
      </c>
      <c r="BR1362" s="343">
        <f>SUMIFS($AU$134:AU1363,$AA$134:AA1363,"*")</f>
        <v>25792.105333333566</v>
      </c>
      <c r="BS1362" s="343">
        <f>SUMIFS($AU$134:AU1363,$AB$134:AB1363,"*")</f>
        <v>8743.7120000000268</v>
      </c>
      <c r="BT1362" s="343">
        <f>SUMIFS($AU$134:AU1363,$AC$134:AC1363,"*")</f>
        <v>18176.216666666667</v>
      </c>
      <c r="BU1362" s="343">
        <f>SUMIFS($AU$134:AU1363,$AA$134:AA1363,"*",$AB$134:AB1363,"*")</f>
        <v>3810.0000000000546</v>
      </c>
      <c r="BV1362" s="343">
        <f>SUMIFS($AU$134:AU1363,$AA$134:AA1363,"*",$AC$134:AC1363,"*")</f>
        <v>12519.983333333334</v>
      </c>
      <c r="BW1362" s="343">
        <f>SUMIFS($AU$134:AU1363,$AB$134:AB1363,"*",$AC$134:AC1363,"*")</f>
        <v>9230.6</v>
      </c>
      <c r="BX1362" s="343">
        <f>SUMIFS($AU1363:AU$1388,$Q1363:Q$1388,"F")</f>
        <v>0</v>
      </c>
      <c r="BY1362" s="343">
        <f>SUMIFS($AU1363:AU$1388,$Q1363:Q$1388,"S")</f>
        <v>1007.9999999999999</v>
      </c>
      <c r="BZ1362" s="343">
        <f>SUMIFS($AU1363:AU$1388,$Q1363:Q$1388,"O")</f>
        <v>0</v>
      </c>
    </row>
    <row r="1363" spans="1:78" ht="15.75" customHeight="1">
      <c r="A1363" s="221" t="s">
        <v>4622</v>
      </c>
      <c r="B1363" s="177">
        <v>45267</v>
      </c>
      <c r="C1363" s="178" t="s">
        <v>1255</v>
      </c>
      <c r="D1363" s="178" t="s">
        <v>93</v>
      </c>
      <c r="E1363" s="227"/>
      <c r="F1363" s="180"/>
      <c r="G1363" s="181" t="s">
        <v>136</v>
      </c>
      <c r="H1363" s="182"/>
      <c r="I1363" s="182"/>
      <c r="J1363" s="182"/>
      <c r="K1363" s="183"/>
      <c r="L1363" s="182"/>
      <c r="M1363" s="182"/>
      <c r="N1363" s="182"/>
      <c r="O1363" s="183"/>
      <c r="P1363" s="183"/>
      <c r="Q1363" s="183"/>
      <c r="R1363" s="183"/>
      <c r="S1363" s="183"/>
      <c r="T1363" s="183"/>
      <c r="U1363" s="183"/>
      <c r="V1363" s="183"/>
      <c r="W1363" s="183"/>
      <c r="X1363" s="183"/>
      <c r="Y1363" s="184"/>
      <c r="Z1363" s="185"/>
      <c r="AA1363" s="185"/>
      <c r="AB1363" s="185"/>
      <c r="AC1363" s="185"/>
      <c r="AD1363" s="649"/>
      <c r="AE1363" s="182"/>
      <c r="AF1363" s="332"/>
      <c r="AG1363" s="182"/>
      <c r="AH1363" s="182"/>
      <c r="AI1363" s="182"/>
      <c r="AJ1363" s="640"/>
      <c r="AK1363" s="182"/>
      <c r="AL1363" s="496"/>
      <c r="AM1363" s="496"/>
      <c r="AN1363" s="626"/>
      <c r="AO1363" s="182"/>
      <c r="AP1363" s="182"/>
      <c r="AQ1363" s="332" t="str">
        <f>UPPER(RIGHT(Journal_Live[[#This Row],[DURATION ]]))</f>
        <v/>
      </c>
      <c r="AR1363" s="182"/>
      <c r="AS1363" s="189"/>
      <c r="AT1363" s="189">
        <f>IF(ISBLANK(AS1363),,IF(U1363="S",AD1363-AS1363,AS1363-AD1363))</f>
        <v>0</v>
      </c>
      <c r="AU1363" s="187">
        <f>AV1363*R1363</f>
        <v>0</v>
      </c>
      <c r="AV1363" s="190">
        <f>IF(ISBLANK(AS1363),,(AT1363*Z1363))</f>
        <v>0</v>
      </c>
      <c r="AW1363" s="191"/>
      <c r="AX1363" s="407" t="s">
        <v>4742</v>
      </c>
      <c r="AY1363" s="407"/>
      <c r="AZ1363" s="407"/>
      <c r="BA1363" s="407"/>
      <c r="BB1363" s="407"/>
      <c r="BC1363" s="407"/>
      <c r="BD1363" s="407"/>
      <c r="BE1363" s="407"/>
      <c r="BF1363" s="422"/>
      <c r="BG1363" s="391">
        <f>SUM($AV$4:AV1363)</f>
        <v>5196.099611627481</v>
      </c>
      <c r="BH1363" s="392">
        <f>SUM($AU$134:AU1363)</f>
        <v>32350.650666666865</v>
      </c>
      <c r="BI1363" s="318">
        <f>SUMIFS($AU$134:AU1364,$Q$134:Q1364,"F")</f>
        <v>14440.666666666668</v>
      </c>
      <c r="BJ1363" s="318">
        <f>SUMIFS($AU$134:AU1364,$Q$134:Q1364,"S")</f>
        <v>19919.642</v>
      </c>
      <c r="BK1363" s="343">
        <f>SUMIFS($AU$134:AU1364,$P$134:P1364,"W")</f>
        <v>20258.141999999927</v>
      </c>
      <c r="BL1363" s="343">
        <f>SUMIFS($AU$134:AU1364,$P$134:P1364,"R")</f>
        <v>13875.606666666656</v>
      </c>
      <c r="BM1363" s="343">
        <f>SUMIFS($AU$134:AU1364,$AQ$134:AQ1364,"M")</f>
        <v>3398.0300000001621</v>
      </c>
      <c r="BN1363" s="343">
        <f>SUMIFS($AU$134:AU1364,$AQ$134:AQ1364,"H")</f>
        <v>11613.342000000011</v>
      </c>
      <c r="BO1363" s="343">
        <f>SUMIFS($AU$134:AU1364,$AQ$134:AQ1364,"D")</f>
        <v>10514.236666666764</v>
      </c>
      <c r="BP1363" s="343">
        <f>SUMIFS($AU$134:AU1366,$AQ$134:AQ1366,"W")</f>
        <v>6099.6199999996161</v>
      </c>
      <c r="BQ1363" s="343">
        <f>SUMIFS($AU$134:AU1364,$Q$134:Q1364,"O")</f>
        <v>-1648.8579999997983</v>
      </c>
      <c r="BR1363" s="343">
        <f>SUMIFS($AU$134:AU1364,$AA$134:AA1364,"*")</f>
        <v>26048.105333333566</v>
      </c>
      <c r="BS1363" s="343">
        <f>SUMIFS($AU$134:AU1364,$AB$134:AB1364,"*")</f>
        <v>8999.7120000000268</v>
      </c>
      <c r="BT1363" s="343">
        <f>SUMIFS($AU$134:AU1364,$AC$134:AC1364,"*")</f>
        <v>18176.216666666667</v>
      </c>
      <c r="BU1363" s="343">
        <f>SUMIFS($AU$134:AU1364,$AA$134:AA1364,"*",$AB$134:AB1364,"*")</f>
        <v>4066.0000000000546</v>
      </c>
      <c r="BV1363" s="343">
        <f>SUMIFS($AU$134:AU1364,$AA$134:AA1364,"*",$AC$134:AC1364,"*")</f>
        <v>12519.983333333334</v>
      </c>
      <c r="BW1363" s="343">
        <f>SUMIFS($AU$134:AU1364,$AB$134:AB1364,"*",$AC$134:AC1364,"*")</f>
        <v>9230.6</v>
      </c>
      <c r="BX1363" s="343">
        <f>SUMIFS($AU1364:AU$1388,$Q1364:Q$1388,"F")</f>
        <v>0</v>
      </c>
      <c r="BY1363" s="343">
        <f>SUMIFS($AU1364:AU$1388,$Q1364:Q$1388,"S")</f>
        <v>1007.9999999999999</v>
      </c>
      <c r="BZ1363" s="343">
        <f>SUMIFS($AU1364:AU$1388,$Q1364:Q$1388,"O")</f>
        <v>0</v>
      </c>
    </row>
    <row r="1364" spans="1:78" ht="15.75" customHeight="1">
      <c r="A1364" s="221" t="s">
        <v>4622</v>
      </c>
      <c r="B1364" s="177">
        <v>45267</v>
      </c>
      <c r="C1364" s="178" t="s">
        <v>3003</v>
      </c>
      <c r="D1364" s="178" t="s">
        <v>93</v>
      </c>
      <c r="E1364" s="227"/>
      <c r="F1364" s="180"/>
      <c r="G1364" s="281" t="s">
        <v>181</v>
      </c>
      <c r="H1364" s="182"/>
      <c r="I1364" s="182"/>
      <c r="J1364" s="182"/>
      <c r="K1364" s="183"/>
      <c r="L1364" s="182">
        <v>1</v>
      </c>
      <c r="M1364" s="182"/>
      <c r="N1364" s="182"/>
      <c r="O1364" s="183" t="s">
        <v>95</v>
      </c>
      <c r="P1364" s="183" t="s">
        <v>96</v>
      </c>
      <c r="Q1364" s="183" t="s">
        <v>97</v>
      </c>
      <c r="R1364" s="183">
        <v>16</v>
      </c>
      <c r="S1364" s="183">
        <v>0</v>
      </c>
      <c r="T1364" s="183">
        <v>7</v>
      </c>
      <c r="U1364" s="183" t="s">
        <v>97</v>
      </c>
      <c r="V1364" s="183"/>
      <c r="W1364" s="183"/>
      <c r="X1364" s="183"/>
      <c r="Y1364" s="184">
        <f>IF(ISBLANK(O1364),"",(IF(O1364=UPPER("IB"),0.005,0.01)))</f>
        <v>0.01</v>
      </c>
      <c r="Z1364" s="185">
        <f>IF(ISBLANK(O1364),"",IF(O1364="IB",8.63*200,IF(O1364="IR",16*100,IF(O1364="YT",20*100,IF(O1364="YT-XT",24*200,IF(O1364="TED",80*100))))))</f>
        <v>1600</v>
      </c>
      <c r="AA1364" s="185" t="s">
        <v>4743</v>
      </c>
      <c r="AB1364" s="185" t="s">
        <v>4736</v>
      </c>
      <c r="AC1364" s="185"/>
      <c r="AD1364" s="649">
        <v>-0.05</v>
      </c>
      <c r="AE1364" s="182"/>
      <c r="AF1364" s="332"/>
      <c r="AG1364" s="182"/>
      <c r="AH1364" s="182"/>
      <c r="AI1364" s="182"/>
      <c r="AJ1364" s="640" t="s">
        <v>4737</v>
      </c>
      <c r="AK1364" s="182"/>
      <c r="AL1364" s="496"/>
      <c r="AM1364" s="496"/>
      <c r="AN1364" s="626" t="s">
        <v>4738</v>
      </c>
      <c r="AO1364" s="182"/>
      <c r="AP1364" s="182" t="s">
        <v>964</v>
      </c>
      <c r="AQ1364" s="332" t="str">
        <f>UPPER(RIGHT(Journal_Live[[#This Row],[DURATION ]]))</f>
        <v>H</v>
      </c>
      <c r="AR1364" s="182" t="s">
        <v>1288</v>
      </c>
      <c r="AS1364" s="189">
        <v>-0.06</v>
      </c>
      <c r="AT1364" s="189">
        <f>IF(ISBLANK(AS1364),,IF(U1364="S",AD1364-AS1364,AS1364-AD1364))</f>
        <v>9.999999999999995E-3</v>
      </c>
      <c r="AU1364" s="187">
        <f>AV1364*R1364</f>
        <v>255.99999999999989</v>
      </c>
      <c r="AV1364" s="190">
        <f>IF(ISBLANK(AS1364),,(AT1364*Z1364))</f>
        <v>15.999999999999993</v>
      </c>
      <c r="AW1364" s="191" t="s">
        <v>96</v>
      </c>
      <c r="AX1364" s="407" t="s">
        <v>4744</v>
      </c>
      <c r="AY1364" s="407"/>
      <c r="AZ1364" s="407"/>
      <c r="BA1364" s="407"/>
      <c r="BB1364" s="407"/>
      <c r="BC1364" s="407"/>
      <c r="BD1364" s="407"/>
      <c r="BE1364" s="407"/>
      <c r="BF1364" s="422"/>
      <c r="BG1364" s="391">
        <f>SUM($AV$4:AV1364)</f>
        <v>5212.099611627481</v>
      </c>
      <c r="BH1364" s="392">
        <f>SUM($AU$134:AU1364)</f>
        <v>32606.650666666865</v>
      </c>
      <c r="BI1364" s="318">
        <f>SUMIFS($AU$134:AU1365,$Q$134:Q1365,"F")</f>
        <v>14440.666666666668</v>
      </c>
      <c r="BJ1364" s="318">
        <f>SUMIFS($AU$134:AU1365,$Q$134:Q1365,"S")</f>
        <v>19919.642</v>
      </c>
      <c r="BK1364" s="343">
        <f>SUMIFS($AU$134:AU1365,$P$134:P1365,"W")</f>
        <v>20258.141999999927</v>
      </c>
      <c r="BL1364" s="343">
        <f>SUMIFS($AU$134:AU1365,$P$134:P1365,"R")</f>
        <v>13875.606666666656</v>
      </c>
      <c r="BM1364" s="343">
        <f>SUMIFS($AU$134:AU1365,$AQ$134:AQ1365,"M")</f>
        <v>3398.0300000001621</v>
      </c>
      <c r="BN1364" s="343">
        <f>SUMIFS($AU$134:AU1365,$AQ$134:AQ1365,"H")</f>
        <v>11613.342000000011</v>
      </c>
      <c r="BO1364" s="343">
        <f>SUMIFS($AU$134:AU1365,$AQ$134:AQ1365,"D")</f>
        <v>10514.236666666764</v>
      </c>
      <c r="BP1364" s="343">
        <f>SUMIFS($AU$134:AU1367,$AQ$134:AQ1367,"W")</f>
        <v>6099.6199999996161</v>
      </c>
      <c r="BQ1364" s="343">
        <f>SUMIFS($AU$134:AU1365,$Q$134:Q1365,"O")</f>
        <v>-1648.8579999997983</v>
      </c>
      <c r="BR1364" s="343">
        <f>SUMIFS($AU$134:AU1365,$AA$134:AA1365,"*")</f>
        <v>26048.105333333566</v>
      </c>
      <c r="BS1364" s="343">
        <f>SUMIFS($AU$134:AU1365,$AB$134:AB1365,"*")</f>
        <v>8999.7120000000268</v>
      </c>
      <c r="BT1364" s="343">
        <f>SUMIFS($AU$134:AU1365,$AC$134:AC1365,"*")</f>
        <v>18176.216666666667</v>
      </c>
      <c r="BU1364" s="343">
        <f>SUMIFS($AU$134:AU1365,$AA$134:AA1365,"*",$AB$134:AB1365,"*")</f>
        <v>4066.0000000000546</v>
      </c>
      <c r="BV1364" s="343">
        <f>SUMIFS($AU$134:AU1365,$AA$134:AA1365,"*",$AC$134:AC1365,"*")</f>
        <v>12519.983333333334</v>
      </c>
      <c r="BW1364" s="343">
        <f>SUMIFS($AU$134:AU1365,$AB$134:AB1365,"*",$AC$134:AC1365,"*")</f>
        <v>9230.6</v>
      </c>
      <c r="BX1364" s="343">
        <f>SUMIFS($AU1365:AU$1388,$Q1365:Q$1388,"F")</f>
        <v>0</v>
      </c>
      <c r="BY1364" s="343">
        <f>SUMIFS($AU1365:AU$1388,$Q1365:Q$1388,"S")</f>
        <v>751.99999999999989</v>
      </c>
      <c r="BZ1364" s="343">
        <f>SUMIFS($AU1365:AU$1388,$Q1365:Q$1388,"O")</f>
        <v>0</v>
      </c>
    </row>
    <row r="1365" spans="1:78" ht="15.75" customHeight="1">
      <c r="A1365" s="221" t="s">
        <v>4622</v>
      </c>
      <c r="B1365" s="177">
        <v>45267</v>
      </c>
      <c r="C1365" s="178" t="s">
        <v>1242</v>
      </c>
      <c r="D1365" s="178" t="s">
        <v>93</v>
      </c>
      <c r="E1365" s="227"/>
      <c r="F1365" s="180"/>
      <c r="G1365" s="181" t="s">
        <v>2942</v>
      </c>
      <c r="H1365" s="182"/>
      <c r="I1365" s="182"/>
      <c r="J1365" s="182"/>
      <c r="K1365" s="183"/>
      <c r="L1365" s="182"/>
      <c r="M1365" s="182"/>
      <c r="N1365" s="182"/>
      <c r="O1365" s="183"/>
      <c r="P1365" s="183"/>
      <c r="Q1365" s="183"/>
      <c r="R1365" s="183"/>
      <c r="S1365" s="183"/>
      <c r="T1365" s="183"/>
      <c r="U1365" s="183"/>
      <c r="V1365" s="183"/>
      <c r="W1365" s="183"/>
      <c r="X1365" s="183"/>
      <c r="Y1365" s="184"/>
      <c r="Z1365" s="185"/>
      <c r="AA1365" s="185"/>
      <c r="AB1365" s="185"/>
      <c r="AC1365" s="185"/>
      <c r="AD1365" s="649"/>
      <c r="AE1365" s="182"/>
      <c r="AF1365" s="332"/>
      <c r="AG1365" s="182"/>
      <c r="AH1365" s="182"/>
      <c r="AI1365" s="182"/>
      <c r="AJ1365" s="640"/>
      <c r="AK1365" s="182"/>
      <c r="AL1365" s="496"/>
      <c r="AM1365" s="496"/>
      <c r="AN1365" s="626"/>
      <c r="AO1365" s="182"/>
      <c r="AP1365" s="182"/>
      <c r="AQ1365" s="332" t="str">
        <f>UPPER(RIGHT(Journal_Live[[#This Row],[DURATION ]]))</f>
        <v/>
      </c>
      <c r="AR1365" s="182"/>
      <c r="AS1365" s="189"/>
      <c r="AT1365" s="189"/>
      <c r="AU1365" s="187"/>
      <c r="AV1365" s="190"/>
      <c r="AW1365" s="191"/>
      <c r="AX1365" s="407"/>
      <c r="AY1365" s="407"/>
      <c r="AZ1365" s="407"/>
      <c r="BA1365" s="407"/>
      <c r="BB1365" s="407"/>
      <c r="BC1365" s="407"/>
      <c r="BD1365" s="407"/>
      <c r="BE1365" s="407"/>
      <c r="BF1365" s="422"/>
      <c r="BG1365" s="391">
        <f>SUM($AV$4:AV1365)</f>
        <v>5212.099611627481</v>
      </c>
      <c r="BH1365" s="392">
        <f>SUM($AU$134:AU1365)</f>
        <v>32606.650666666865</v>
      </c>
      <c r="BI1365" s="318">
        <f>SUMIFS($AU$134:AU1366,$Q$134:Q1366,"F")</f>
        <v>14440.666666666668</v>
      </c>
      <c r="BJ1365" s="318">
        <f>SUMIFS($AU$134:AU1366,$Q$134:Q1366,"S")</f>
        <v>20159.642</v>
      </c>
      <c r="BK1365" s="343">
        <f>SUMIFS($AU$134:AU1366,$P$134:P1366,"W")</f>
        <v>20498.141999999927</v>
      </c>
      <c r="BL1365" s="343">
        <f>SUMIFS($AU$134:AU1366,$P$134:P1366,"R")</f>
        <v>13875.606666666656</v>
      </c>
      <c r="BM1365" s="343">
        <f>SUMIFS($AU$134:AU1366,$AQ$134:AQ1366,"M")</f>
        <v>3638.0300000001621</v>
      </c>
      <c r="BN1365" s="343">
        <f>SUMIFS($AU$134:AU1366,$AQ$134:AQ1366,"H")</f>
        <v>11613.342000000011</v>
      </c>
      <c r="BO1365" s="343">
        <f>SUMIFS($AU$134:AU1366,$AQ$134:AQ1366,"D")</f>
        <v>10514.236666666764</v>
      </c>
      <c r="BP1365" s="343">
        <f>SUMIFS($AU$134:AU1368,$AQ$134:AQ1368,"W")</f>
        <v>6099.6199999996161</v>
      </c>
      <c r="BQ1365" s="343">
        <f>SUMIFS($AU$134:AU1366,$Q$134:Q1366,"O")</f>
        <v>-1648.8579999997983</v>
      </c>
      <c r="BR1365" s="343">
        <f>SUMIFS($AU$134:AU1366,$AA$134:AA1366,"*")</f>
        <v>26288.105333333566</v>
      </c>
      <c r="BS1365" s="343">
        <f>SUMIFS($AU$134:AU1366,$AB$134:AB1366,"*")</f>
        <v>8999.7120000000268</v>
      </c>
      <c r="BT1365" s="343">
        <f>SUMIFS($AU$134:AU1366,$AC$134:AC1366,"*")</f>
        <v>18176.216666666667</v>
      </c>
      <c r="BU1365" s="343">
        <f>SUMIFS($AU$134:AU1366,$AA$134:AA1366,"*",$AB$134:AB1366,"*")</f>
        <v>4066.0000000000546</v>
      </c>
      <c r="BV1365" s="343">
        <f>SUMIFS($AU$134:AU1366,$AA$134:AA1366,"*",$AC$134:AC1366,"*")</f>
        <v>12519.983333333334</v>
      </c>
      <c r="BW1365" s="343">
        <f>SUMIFS($AU$134:AU1366,$AB$134:AB1366,"*",$AC$134:AC1366,"*")</f>
        <v>9230.6</v>
      </c>
      <c r="BX1365" s="343">
        <f>SUMIFS($AU1366:AU$1388,$Q1366:Q$1388,"F")</f>
        <v>0</v>
      </c>
      <c r="BY1365" s="343">
        <f>SUMIFS($AU1366:AU$1388,$Q1366:Q$1388,"S")</f>
        <v>751.99999999999989</v>
      </c>
      <c r="BZ1365" s="343">
        <f>SUMIFS($AU1366:AU$1388,$Q1366:Q$1388,"O")</f>
        <v>0</v>
      </c>
    </row>
    <row r="1366" spans="1:78" ht="15.75" customHeight="1">
      <c r="A1366" s="221" t="s">
        <v>4622</v>
      </c>
      <c r="B1366" s="177">
        <v>45267</v>
      </c>
      <c r="C1366" s="178" t="s">
        <v>4745</v>
      </c>
      <c r="D1366" s="178" t="s">
        <v>93</v>
      </c>
      <c r="E1366" s="227"/>
      <c r="F1366" s="180"/>
      <c r="G1366" s="281" t="s">
        <v>4147</v>
      </c>
      <c r="H1366" s="182"/>
      <c r="I1366" s="182"/>
      <c r="J1366" s="182"/>
      <c r="K1366" s="183"/>
      <c r="L1366" s="182">
        <v>1</v>
      </c>
      <c r="M1366" s="182"/>
      <c r="N1366" s="182"/>
      <c r="O1366" s="183" t="s">
        <v>95</v>
      </c>
      <c r="P1366" s="183" t="s">
        <v>96</v>
      </c>
      <c r="Q1366" s="183" t="s">
        <v>97</v>
      </c>
      <c r="R1366" s="183">
        <v>15</v>
      </c>
      <c r="S1366" s="183">
        <v>0</v>
      </c>
      <c r="T1366" s="183">
        <v>15</v>
      </c>
      <c r="U1366" s="183" t="s">
        <v>97</v>
      </c>
      <c r="V1366" s="183"/>
      <c r="W1366" s="183"/>
      <c r="X1366" s="183"/>
      <c r="Y1366" s="184">
        <f>IF(ISBLANK(O1366),"",(IF(O1366=UPPER("IB"),0.005,0.01)))</f>
        <v>0.01</v>
      </c>
      <c r="Z1366" s="185">
        <f t="shared" ref="Z1366:Z1377" si="396">IF(ISBLANK(O1366),"",IF(O1366="IB",8.63*200,IF(O1366="IR",16*100,IF(O1366="YT",20*100,IF(O1366="YT-XT",24*200,IF(O1366="TED",80*100))))))</f>
        <v>1600</v>
      </c>
      <c r="AA1366" s="185" t="s">
        <v>99</v>
      </c>
      <c r="AB1366" s="185"/>
      <c r="AC1366" s="185"/>
      <c r="AD1366" s="649">
        <v>-0.03</v>
      </c>
      <c r="AE1366" s="182"/>
      <c r="AF1366" s="332"/>
      <c r="AG1366" s="182"/>
      <c r="AH1366" s="182"/>
      <c r="AI1366" s="182"/>
      <c r="AJ1366" s="640"/>
      <c r="AK1366" s="182"/>
      <c r="AL1366" s="496"/>
      <c r="AM1366" s="496"/>
      <c r="AN1366" s="626"/>
      <c r="AO1366" s="182"/>
      <c r="AP1366" s="182" t="s">
        <v>3286</v>
      </c>
      <c r="AQ1366" s="332" t="str">
        <f>UPPER(RIGHT(Journal_Live[[#This Row],[DURATION ]]))</f>
        <v>M</v>
      </c>
      <c r="AR1366" s="182" t="s">
        <v>4746</v>
      </c>
      <c r="AS1366" s="189">
        <v>-0.04</v>
      </c>
      <c r="AT1366" s="189">
        <f>IF(ISBLANK(AS1366),,IF(U1366="S",AD1366-AS1366,AS1366-AD1366))</f>
        <v>1.0000000000000002E-2</v>
      </c>
      <c r="AU1366" s="187">
        <f>AV1366*R1366</f>
        <v>240.00000000000006</v>
      </c>
      <c r="AV1366" s="190">
        <f>IF(ISBLANK(AS1366),,(AT1366*Z1366))</f>
        <v>16.000000000000004</v>
      </c>
      <c r="AW1366" s="191" t="s">
        <v>96</v>
      </c>
      <c r="AX1366" s="407"/>
      <c r="AY1366" s="407"/>
      <c r="AZ1366" s="407"/>
      <c r="BA1366" s="407"/>
      <c r="BB1366" s="407"/>
      <c r="BC1366" s="407"/>
      <c r="BD1366" s="407"/>
      <c r="BE1366" s="407"/>
      <c r="BF1366" s="422"/>
      <c r="BG1366" s="391">
        <f>SUM($AV$4:AV1366)</f>
        <v>5228.099611627481</v>
      </c>
      <c r="BH1366" s="392">
        <f>SUM($AU$134:AU1366)</f>
        <v>32846.650666666865</v>
      </c>
      <c r="BI1366" s="318">
        <f>SUMIFS($AU$134:AU1367,$Q$134:Q1367,"F")</f>
        <v>14440.666666666668</v>
      </c>
      <c r="BJ1366" s="318">
        <f>SUMIFS($AU$134:AU1367,$Q$134:Q1367,"S")</f>
        <v>20159.642</v>
      </c>
      <c r="BK1366" s="343">
        <f>SUMIFS($AU$134:AU1367,$P$134:P1367,"W")</f>
        <v>20498.141999999927</v>
      </c>
      <c r="BL1366" s="343">
        <f>SUMIFS($AU$134:AU1367,$P$134:P1367,"R")</f>
        <v>13875.606666666656</v>
      </c>
      <c r="BM1366" s="343">
        <f>SUMIFS($AU$134:AU1367,$AQ$134:AQ1367,"M")</f>
        <v>3638.0300000001621</v>
      </c>
      <c r="BN1366" s="343">
        <f>SUMIFS($AU$134:AU1367,$AQ$134:AQ1367,"H")</f>
        <v>11613.342000000011</v>
      </c>
      <c r="BO1366" s="343">
        <f>SUMIFS($AU$134:AU1367,$AQ$134:AQ1367,"D")</f>
        <v>10514.236666666764</v>
      </c>
      <c r="BP1366" s="343">
        <f>SUMIFS($AU$134:AU1369,$AQ$134:AQ1369,"W")</f>
        <v>6099.6199999996161</v>
      </c>
      <c r="BQ1366" s="343">
        <f>SUMIFS($AU$134:AU1367,$Q$134:Q1367,"O")</f>
        <v>-1648.8579999997983</v>
      </c>
      <c r="BR1366" s="343">
        <f>SUMIFS($AU$134:AU1367,$AA$134:AA1367,"*")</f>
        <v>26288.105333333566</v>
      </c>
      <c r="BS1366" s="343">
        <f>SUMIFS($AU$134:AU1367,$AB$134:AB1367,"*")</f>
        <v>8999.7120000000268</v>
      </c>
      <c r="BT1366" s="343">
        <f>SUMIFS($AU$134:AU1367,$AC$134:AC1367,"*")</f>
        <v>18176.216666666667</v>
      </c>
      <c r="BU1366" s="343">
        <f>SUMIFS($AU$134:AU1367,$AA$134:AA1367,"*",$AB$134:AB1367,"*")</f>
        <v>4066.0000000000546</v>
      </c>
      <c r="BV1366" s="343">
        <f>SUMIFS($AU$134:AU1367,$AA$134:AA1367,"*",$AC$134:AC1367,"*")</f>
        <v>12519.983333333334</v>
      </c>
      <c r="BW1366" s="343">
        <f>SUMIFS($AU$134:AU1367,$AB$134:AB1367,"*",$AC$134:AC1367,"*")</f>
        <v>9230.6</v>
      </c>
      <c r="BX1366" s="343">
        <f>SUMIFS($AU1367:AU$1388,$Q1367:Q$1388,"F")</f>
        <v>0</v>
      </c>
      <c r="BY1366" s="343">
        <f>SUMIFS($AU1367:AU$1388,$Q1367:Q$1388,"S")</f>
        <v>511.99999999999989</v>
      </c>
      <c r="BZ1366" s="343">
        <f>SUMIFS($AU1367:AU$1388,$Q1367:Q$1388,"O")</f>
        <v>0</v>
      </c>
    </row>
    <row r="1367" spans="1:78" ht="15.75" customHeight="1">
      <c r="A1367" s="221" t="s">
        <v>4622</v>
      </c>
      <c r="B1367" s="177">
        <v>45267</v>
      </c>
      <c r="C1367" s="178" t="s">
        <v>4747</v>
      </c>
      <c r="D1367" s="178" t="s">
        <v>93</v>
      </c>
      <c r="E1367" s="227"/>
      <c r="F1367" s="180"/>
      <c r="G1367" s="281" t="s">
        <v>2070</v>
      </c>
      <c r="H1367" s="182"/>
      <c r="I1367" s="182"/>
      <c r="J1367" s="182"/>
      <c r="K1367" s="183"/>
      <c r="L1367" s="182">
        <v>1</v>
      </c>
      <c r="M1367" s="182"/>
      <c r="N1367" s="182"/>
      <c r="O1367" s="183" t="s">
        <v>95</v>
      </c>
      <c r="P1367" s="183" t="s">
        <v>96</v>
      </c>
      <c r="Q1367" s="183" t="s">
        <v>97</v>
      </c>
      <c r="R1367" s="183">
        <v>7</v>
      </c>
      <c r="S1367" s="183">
        <v>0</v>
      </c>
      <c r="T1367" s="183">
        <v>7</v>
      </c>
      <c r="U1367" s="183" t="s">
        <v>22</v>
      </c>
      <c r="V1367" s="183"/>
      <c r="W1367" s="183"/>
      <c r="X1367" s="183"/>
      <c r="Y1367" s="184">
        <f>IF(ISBLANK(O1367),"",(IF(O1367=UPPER("IB"),0.005,0.01)))</f>
        <v>0.01</v>
      </c>
      <c r="Z1367" s="185">
        <f t="shared" si="396"/>
        <v>1600</v>
      </c>
      <c r="AA1367" s="185"/>
      <c r="AB1367" s="185"/>
      <c r="AC1367" s="185" t="s">
        <v>4589</v>
      </c>
      <c r="AD1367" s="649">
        <v>-0.09</v>
      </c>
      <c r="AE1367" s="182"/>
      <c r="AF1367" s="332"/>
      <c r="AG1367" s="182"/>
      <c r="AH1367" s="182"/>
      <c r="AI1367" s="182"/>
      <c r="AJ1367" s="640"/>
      <c r="AK1367" s="182"/>
      <c r="AL1367" s="496"/>
      <c r="AM1367" s="496"/>
      <c r="AN1367" s="626"/>
      <c r="AO1367" s="182"/>
      <c r="AP1367" s="182" t="s">
        <v>4748</v>
      </c>
      <c r="AQ1367" s="332" t="str">
        <f>UPPER(RIGHT(Journal_Live[[#This Row],[DURATION ]]))</f>
        <v>M</v>
      </c>
      <c r="AR1367" s="182" t="s">
        <v>4749</v>
      </c>
      <c r="AS1367" s="189">
        <v>-0.09</v>
      </c>
      <c r="AT1367" s="189">
        <f>IF(ISBLANK(AS1367),,IF(U1367="S",AD1367-AS1367,AS1367-AD1367))</f>
        <v>0</v>
      </c>
      <c r="AU1367" s="187">
        <f>AV1367*R1367</f>
        <v>0</v>
      </c>
      <c r="AV1367" s="190">
        <f>IF(ISBLANK(AS1367),,(AT1367*Z1367))</f>
        <v>0</v>
      </c>
      <c r="AW1367" s="191" t="s">
        <v>115</v>
      </c>
      <c r="AX1367" s="407" t="s">
        <v>4750</v>
      </c>
      <c r="AY1367" s="407" t="s">
        <v>4751</v>
      </c>
      <c r="AZ1367" s="407" t="s">
        <v>4752</v>
      </c>
      <c r="BA1367" s="407"/>
      <c r="BB1367" s="407"/>
      <c r="BC1367" s="407"/>
      <c r="BD1367" s="407"/>
      <c r="BE1367" s="407"/>
      <c r="BF1367" s="422"/>
      <c r="BG1367" s="391">
        <f>SUM($AV$4:AV1367)</f>
        <v>5228.099611627481</v>
      </c>
      <c r="BH1367" s="392">
        <f>SUM($AU$134:AU1367)</f>
        <v>32846.650666666865</v>
      </c>
      <c r="BI1367" s="318">
        <f>SUMIFS($AU$134:AU1368,$Q$134:Q1368,"F")</f>
        <v>14440.666666666668</v>
      </c>
      <c r="BJ1367" s="318">
        <f>SUMIFS($AU$134:AU1368,$Q$134:Q1368,"S")</f>
        <v>20271.642</v>
      </c>
      <c r="BK1367" s="343">
        <f>SUMIFS($AU$134:AU1368,$P$134:P1368,"W")</f>
        <v>20610.141999999927</v>
      </c>
      <c r="BL1367" s="343">
        <f>SUMIFS($AU$134:AU1368,$P$134:P1368,"R")</f>
        <v>13875.606666666656</v>
      </c>
      <c r="BM1367" s="343">
        <f>SUMIFS($AU$134:AU1368,$AQ$134:AQ1368,"M")</f>
        <v>3638.0300000001621</v>
      </c>
      <c r="BN1367" s="343">
        <f>SUMIFS($AU$134:AU1368,$AQ$134:AQ1368,"H")</f>
        <v>11613.342000000011</v>
      </c>
      <c r="BO1367" s="343">
        <f>SUMIFS($AU$134:AU1368,$AQ$134:AQ1368,"D")</f>
        <v>10514.236666666764</v>
      </c>
      <c r="BP1367" s="343">
        <f>SUMIFS($AU$134:AU1370,$AQ$134:AQ1370,"W")</f>
        <v>6099.6199999996161</v>
      </c>
      <c r="BQ1367" s="343">
        <f>SUMIFS($AU$134:AU1368,$Q$134:Q1368,"O")</f>
        <v>-1648.8579999997983</v>
      </c>
      <c r="BR1367" s="343">
        <f>SUMIFS($AU$134:AU1368,$AA$134:AA1368,"*")</f>
        <v>26400.105333333566</v>
      </c>
      <c r="BS1367" s="343">
        <f>SUMIFS($AU$134:AU1368,$AB$134:AB1368,"*")</f>
        <v>8999.7120000000268</v>
      </c>
      <c r="BT1367" s="343">
        <f>SUMIFS($AU$134:AU1368,$AC$134:AC1368,"*")</f>
        <v>18176.216666666667</v>
      </c>
      <c r="BU1367" s="343">
        <f>SUMIFS($AU$134:AU1368,$AA$134:AA1368,"*",$AB$134:AB1368,"*")</f>
        <v>4066.0000000000546</v>
      </c>
      <c r="BV1367" s="343">
        <f>SUMIFS($AU$134:AU1368,$AA$134:AA1368,"*",$AC$134:AC1368,"*")</f>
        <v>12519.983333333334</v>
      </c>
      <c r="BW1367" s="343">
        <f>SUMIFS($AU$134:AU1368,$AB$134:AB1368,"*",$AC$134:AC1368,"*")</f>
        <v>9230.6</v>
      </c>
      <c r="BX1367" s="343">
        <f>SUMIFS($AU1368:AU$1388,$Q1368:Q$1388,"F")</f>
        <v>0</v>
      </c>
      <c r="BY1367" s="343">
        <f>SUMIFS($AU1368:AU$1388,$Q1368:Q$1388,"S")</f>
        <v>511.99999999999989</v>
      </c>
      <c r="BZ1367" s="343">
        <f>SUMIFS($AU1368:AU$1388,$Q1368:Q$1388,"O")</f>
        <v>0</v>
      </c>
    </row>
    <row r="1368" spans="1:78" ht="15.75" customHeight="1">
      <c r="A1368" s="221" t="s">
        <v>4622</v>
      </c>
      <c r="B1368" s="177">
        <v>45267</v>
      </c>
      <c r="C1368" s="178" t="s">
        <v>1833</v>
      </c>
      <c r="D1368" s="178" t="s">
        <v>93</v>
      </c>
      <c r="E1368" s="227"/>
      <c r="F1368" s="180"/>
      <c r="G1368" s="281" t="s">
        <v>181</v>
      </c>
      <c r="H1368" s="182"/>
      <c r="I1368" s="182"/>
      <c r="J1368" s="182"/>
      <c r="K1368" s="183"/>
      <c r="L1368" s="182">
        <v>1</v>
      </c>
      <c r="M1368" s="182"/>
      <c r="N1368" s="182"/>
      <c r="O1368" s="183" t="s">
        <v>95</v>
      </c>
      <c r="P1368" s="183" t="s">
        <v>96</v>
      </c>
      <c r="Q1368" s="183" t="s">
        <v>97</v>
      </c>
      <c r="R1368" s="183">
        <v>7</v>
      </c>
      <c r="S1368" s="183">
        <v>7</v>
      </c>
      <c r="T1368" s="183">
        <v>7</v>
      </c>
      <c r="U1368" s="183" t="s">
        <v>97</v>
      </c>
      <c r="V1368" s="183"/>
      <c r="W1368" s="183"/>
      <c r="X1368" s="183"/>
      <c r="Y1368" s="184">
        <f>IF(ISBLANK(O1368),"",(IF(O1368=UPPER("IB"),0.005,0.01)))</f>
        <v>0.01</v>
      </c>
      <c r="Z1368" s="185">
        <f t="shared" si="396"/>
        <v>1600</v>
      </c>
      <c r="AA1368" s="185" t="s">
        <v>4753</v>
      </c>
      <c r="AB1368" s="185"/>
      <c r="AC1368" s="185"/>
      <c r="AD1368" s="649">
        <v>-0.05</v>
      </c>
      <c r="AE1368" s="182"/>
      <c r="AF1368" s="332"/>
      <c r="AG1368" s="182"/>
      <c r="AH1368" s="182">
        <v>-6</v>
      </c>
      <c r="AI1368" s="182" t="s">
        <v>4754</v>
      </c>
      <c r="AJ1368" s="640"/>
      <c r="AK1368" s="182"/>
      <c r="AL1368" s="496"/>
      <c r="AM1368" s="496"/>
      <c r="AN1368" s="626"/>
      <c r="AO1368" s="182"/>
      <c r="AP1368" s="182"/>
      <c r="AQ1368" s="332" t="str">
        <f>UPPER(RIGHT(Journal_Live[[#This Row],[DURATION ]]))</f>
        <v/>
      </c>
      <c r="AR1368" s="182" t="s">
        <v>4755</v>
      </c>
      <c r="AS1368" s="189">
        <f>((-0.06*7))/7</f>
        <v>-0.06</v>
      </c>
      <c r="AT1368" s="189">
        <f>IF(ISBLANK(AS1368),,IF(U1368="S",AD1368-AS1368,AS1368-AD1368))</f>
        <v>9.999999999999995E-3</v>
      </c>
      <c r="AU1368" s="187">
        <f>AV1368*R1368</f>
        <v>111.99999999999994</v>
      </c>
      <c r="AV1368" s="190">
        <f>IF(ISBLANK(AS1368),,(AT1368*Z1368))</f>
        <v>15.999999999999993</v>
      </c>
      <c r="AW1368" s="191" t="s">
        <v>96</v>
      </c>
      <c r="AX1368" s="407" t="s">
        <v>4756</v>
      </c>
      <c r="AY1368" s="407"/>
      <c r="AZ1368" s="407"/>
      <c r="BA1368" s="407"/>
      <c r="BB1368" s="407"/>
      <c r="BC1368" s="407"/>
      <c r="BD1368" s="407"/>
      <c r="BE1368" s="407"/>
      <c r="BF1368" s="422"/>
      <c r="BG1368" s="391">
        <f>SUM($AV$4:AV1368)</f>
        <v>5244.099611627481</v>
      </c>
      <c r="BH1368" s="392">
        <f>SUM($AU$134:AU1368)</f>
        <v>32958.650666666865</v>
      </c>
      <c r="BI1368" s="318">
        <f>SUMIFS($AU$134:AU1369,$Q$134:Q1369,"F")</f>
        <v>14440.666666666668</v>
      </c>
      <c r="BJ1368" s="318">
        <f>SUMIFS($AU$134:AU1369,$Q$134:Q1369,"S")</f>
        <v>20463.642</v>
      </c>
      <c r="BK1368" s="343">
        <f>SUMIFS($AU$134:AU1369,$P$134:P1369,"W")</f>
        <v>20802.141999999927</v>
      </c>
      <c r="BL1368" s="343">
        <f>SUMIFS($AU$134:AU1369,$P$134:P1369,"R")</f>
        <v>13875.606666666656</v>
      </c>
      <c r="BM1368" s="343">
        <f>SUMIFS($AU$134:AU1369,$AQ$134:AQ1369,"M")</f>
        <v>3638.0300000001621</v>
      </c>
      <c r="BN1368" s="343">
        <f>SUMIFS($AU$134:AU1369,$AQ$134:AQ1369,"H")</f>
        <v>11805.342000000011</v>
      </c>
      <c r="BO1368" s="343">
        <f>SUMIFS($AU$134:AU1369,$AQ$134:AQ1369,"D")</f>
        <v>10514.236666666764</v>
      </c>
      <c r="BP1368" s="343">
        <f>SUMIFS($AU$134:AU1371,$AQ$134:AQ1371,"W")</f>
        <v>6099.6199999996161</v>
      </c>
      <c r="BQ1368" s="343">
        <f>SUMIFS($AU$134:AU1369,$Q$134:Q1369,"O")</f>
        <v>-1648.8579999997983</v>
      </c>
      <c r="BR1368" s="343">
        <f>SUMIFS($AU$134:AU1369,$AA$134:AA1369,"*")</f>
        <v>26592.105333333566</v>
      </c>
      <c r="BS1368" s="343">
        <f>SUMIFS($AU$134:AU1369,$AB$134:AB1369,"*")</f>
        <v>8999.7120000000268</v>
      </c>
      <c r="BT1368" s="343">
        <f>SUMIFS($AU$134:AU1369,$AC$134:AC1369,"*")</f>
        <v>18176.216666666667</v>
      </c>
      <c r="BU1368" s="343">
        <f>SUMIFS($AU$134:AU1369,$AA$134:AA1369,"*",$AB$134:AB1369,"*")</f>
        <v>4066.0000000000546</v>
      </c>
      <c r="BV1368" s="343">
        <f>SUMIFS($AU$134:AU1369,$AA$134:AA1369,"*",$AC$134:AC1369,"*")</f>
        <v>12519.983333333334</v>
      </c>
      <c r="BW1368" s="343">
        <f>SUMIFS($AU$134:AU1369,$AB$134:AB1369,"*",$AC$134:AC1369,"*")</f>
        <v>9230.6</v>
      </c>
      <c r="BX1368" s="343">
        <f>SUMIFS($AU1369:AU$1388,$Q1369:Q$1388,"F")</f>
        <v>0</v>
      </c>
      <c r="BY1368" s="343">
        <f>SUMIFS($AU1369:AU$1388,$Q1369:Q$1388,"S")</f>
        <v>400</v>
      </c>
      <c r="BZ1368" s="343">
        <f>SUMIFS($AU1369:AU$1388,$Q1369:Q$1388,"O")</f>
        <v>0</v>
      </c>
    </row>
    <row r="1369" spans="1:78" ht="15.75" customHeight="1">
      <c r="A1369" s="221" t="s">
        <v>4622</v>
      </c>
      <c r="B1369" s="177">
        <v>45268</v>
      </c>
      <c r="C1369" s="178" t="s">
        <v>587</v>
      </c>
      <c r="D1369" s="178" t="s">
        <v>111</v>
      </c>
      <c r="E1369" s="227"/>
      <c r="F1369" s="180"/>
      <c r="G1369" s="281" t="s">
        <v>136</v>
      </c>
      <c r="H1369" s="182"/>
      <c r="I1369" s="182"/>
      <c r="J1369" s="182"/>
      <c r="K1369" s="183"/>
      <c r="L1369" s="182">
        <v>1</v>
      </c>
      <c r="M1369" s="182"/>
      <c r="N1369" s="182"/>
      <c r="O1369" s="183" t="s">
        <v>95</v>
      </c>
      <c r="P1369" s="183" t="s">
        <v>96</v>
      </c>
      <c r="Q1369" s="183" t="s">
        <v>97</v>
      </c>
      <c r="R1369" s="183">
        <v>12</v>
      </c>
      <c r="S1369" s="183">
        <v>0</v>
      </c>
      <c r="T1369" s="183">
        <v>12</v>
      </c>
      <c r="U1369" s="183" t="s">
        <v>97</v>
      </c>
      <c r="V1369" s="183"/>
      <c r="W1369" s="183"/>
      <c r="X1369" s="183"/>
      <c r="Y1369" s="184">
        <f>IF(ISBLANK(O1369),"",(IF(O1369=UPPER("IB"),0.005,0.01)))</f>
        <v>0.01</v>
      </c>
      <c r="Z1369" s="185">
        <f t="shared" si="396"/>
        <v>1600</v>
      </c>
      <c r="AA1369" s="185" t="s">
        <v>4757</v>
      </c>
      <c r="AB1369" s="185"/>
      <c r="AC1369" s="185"/>
      <c r="AD1369" s="649">
        <v>-7.0000000000000007E-2</v>
      </c>
      <c r="AE1369" s="182"/>
      <c r="AF1369" s="332"/>
      <c r="AG1369" s="182"/>
      <c r="AH1369" s="182"/>
      <c r="AI1369" s="182"/>
      <c r="AJ1369" s="640"/>
      <c r="AK1369" s="182"/>
      <c r="AL1369" s="496"/>
      <c r="AM1369" s="496"/>
      <c r="AN1369" s="626"/>
      <c r="AO1369" s="182"/>
      <c r="AP1369" s="182" t="s">
        <v>1800</v>
      </c>
      <c r="AQ1369" s="332" t="str">
        <f>UPPER(RIGHT(Journal_Live[[#This Row],[DURATION ]]))</f>
        <v>H</v>
      </c>
      <c r="AR1369" s="182" t="s">
        <v>4758</v>
      </c>
      <c r="AS1369" s="189">
        <v>-0.08</v>
      </c>
      <c r="AT1369" s="189">
        <f>IF(ISBLANK(AS1369),,IF(U1369="S",AD1369-AS1369,AS1369-AD1369))</f>
        <v>9.999999999999995E-3</v>
      </c>
      <c r="AU1369" s="187">
        <f>AV1369*R1369</f>
        <v>191.99999999999991</v>
      </c>
      <c r="AV1369" s="190">
        <f>IF(ISBLANK(AS1369),,(AT1369*Z1369))</f>
        <v>15.999999999999993</v>
      </c>
      <c r="AW1369" s="191" t="s">
        <v>96</v>
      </c>
      <c r="AX1369" s="407"/>
      <c r="AY1369" s="407"/>
      <c r="AZ1369" s="407"/>
      <c r="BA1369" s="407"/>
      <c r="BB1369" s="407"/>
      <c r="BC1369" s="407"/>
      <c r="BD1369" s="407"/>
      <c r="BE1369" s="407"/>
      <c r="BF1369" s="422"/>
      <c r="BG1369" s="391">
        <f>SUM($AV$4:AV1369)</f>
        <v>5260.099611627481</v>
      </c>
      <c r="BH1369" s="392">
        <f>SUM($AU$134:AU1369)</f>
        <v>33150.650666666865</v>
      </c>
      <c r="BI1369" s="318">
        <f>SUMIFS($AU$134:AU1370,$Q$134:Q1370,"F")</f>
        <v>14440.666666666668</v>
      </c>
      <c r="BJ1369" s="318">
        <f>SUMIFS($AU$134:AU1370,$Q$134:Q1370,"S")</f>
        <v>20463.642</v>
      </c>
      <c r="BK1369" s="343">
        <f>SUMIFS($AU$134:AU1370,$P$134:P1370,"W")</f>
        <v>20802.141999999927</v>
      </c>
      <c r="BL1369" s="343">
        <f>SUMIFS($AU$134:AU1370,$P$134:P1370,"R")</f>
        <v>13875.606666666656</v>
      </c>
      <c r="BM1369" s="343">
        <f>SUMIFS($AU$134:AU1370,$AQ$134:AQ1370,"M")</f>
        <v>3638.0300000001621</v>
      </c>
      <c r="BN1369" s="343">
        <f>SUMIFS($AU$134:AU1370,$AQ$134:AQ1370,"H")</f>
        <v>11805.342000000011</v>
      </c>
      <c r="BO1369" s="343">
        <f>SUMIFS($AU$134:AU1370,$AQ$134:AQ1370,"D")</f>
        <v>10514.236666666764</v>
      </c>
      <c r="BP1369" s="343">
        <f>SUMIFS($AU$134:AU1372,$AQ$134:AQ1372,"W")</f>
        <v>6099.6199999996161</v>
      </c>
      <c r="BQ1369" s="343">
        <f>SUMIFS($AU$134:AU1370,$Q$134:Q1370,"O")</f>
        <v>-1648.8579999997983</v>
      </c>
      <c r="BR1369" s="343">
        <f>SUMIFS($AU$134:AU1370,$AA$134:AA1370,"*")</f>
        <v>26592.105333333566</v>
      </c>
      <c r="BS1369" s="343">
        <f>SUMIFS($AU$134:AU1370,$AB$134:AB1370,"*")</f>
        <v>8999.7120000000268</v>
      </c>
      <c r="BT1369" s="343">
        <f>SUMIFS($AU$134:AU1370,$AC$134:AC1370,"*")</f>
        <v>18176.216666666667</v>
      </c>
      <c r="BU1369" s="343">
        <f>SUMIFS($AU$134:AU1370,$AA$134:AA1370,"*",$AB$134:AB1370,"*")</f>
        <v>4066.0000000000546</v>
      </c>
      <c r="BV1369" s="343">
        <f>SUMIFS($AU$134:AU1370,$AA$134:AA1370,"*",$AC$134:AC1370,"*")</f>
        <v>12519.983333333334</v>
      </c>
      <c r="BW1369" s="343">
        <f>SUMIFS($AU$134:AU1370,$AB$134:AB1370,"*",$AC$134:AC1370,"*")</f>
        <v>9230.6</v>
      </c>
      <c r="BX1369" s="343">
        <f>SUMIFS($AU1370:AU$1388,$Q1370:Q$1388,"F")</f>
        <v>0</v>
      </c>
      <c r="BY1369" s="343">
        <f>SUMIFS($AU1370:AU$1388,$Q1370:Q$1388,"S")</f>
        <v>208.00000000000003</v>
      </c>
      <c r="BZ1369" s="343">
        <f>SUMIFS($AU1370:AU$1388,$Q1370:Q$1388,"O")</f>
        <v>0</v>
      </c>
    </row>
    <row r="1370" spans="1:78" ht="15.75" customHeight="1">
      <c r="A1370" s="221" t="s">
        <v>4622</v>
      </c>
      <c r="B1370" s="177">
        <v>45268</v>
      </c>
      <c r="C1370" s="178" t="s">
        <v>4759</v>
      </c>
      <c r="D1370" s="178" t="s">
        <v>111</v>
      </c>
      <c r="E1370" s="227" t="s">
        <v>4760</v>
      </c>
      <c r="F1370" s="180"/>
      <c r="G1370" s="181"/>
      <c r="H1370" s="182"/>
      <c r="I1370" s="182"/>
      <c r="J1370" s="182">
        <v>1</v>
      </c>
      <c r="K1370" s="183" t="s">
        <v>115</v>
      </c>
      <c r="L1370" s="182"/>
      <c r="M1370" s="182"/>
      <c r="N1370" s="182"/>
      <c r="O1370" s="183"/>
      <c r="P1370" s="183"/>
      <c r="Q1370" s="183"/>
      <c r="R1370" s="183"/>
      <c r="S1370" s="183"/>
      <c r="T1370" s="183"/>
      <c r="U1370" s="183"/>
      <c r="V1370" s="183"/>
      <c r="W1370" s="183"/>
      <c r="X1370" s="183"/>
      <c r="Y1370" s="183"/>
      <c r="Z1370" s="185" t="str">
        <f t="shared" si="396"/>
        <v/>
      </c>
      <c r="AA1370" s="185"/>
      <c r="AB1370" s="185"/>
      <c r="AC1370" s="185"/>
      <c r="AD1370" s="649"/>
      <c r="AE1370" s="182"/>
      <c r="AF1370" s="332"/>
      <c r="AG1370" s="182"/>
      <c r="AH1370" s="182"/>
      <c r="AI1370" s="182"/>
      <c r="AJ1370" s="640"/>
      <c r="AK1370" s="182"/>
      <c r="AL1370" s="496"/>
      <c r="AM1370" s="496"/>
      <c r="AN1370" s="626"/>
      <c r="AO1370" s="182"/>
      <c r="AP1370" s="182"/>
      <c r="AQ1370" s="332" t="str">
        <f>UPPER(RIGHT(Journal_Live[[#This Row],[DURATION ]]))</f>
        <v/>
      </c>
      <c r="AR1370" s="182"/>
      <c r="AS1370" s="189"/>
      <c r="AT1370" s="189"/>
      <c r="AU1370" s="187"/>
      <c r="AV1370" s="190"/>
      <c r="AW1370" s="191"/>
      <c r="AX1370" s="407" t="s">
        <v>4761</v>
      </c>
      <c r="AY1370" s="407" t="s">
        <v>4762</v>
      </c>
      <c r="AZ1370" s="409" t="s">
        <v>4763</v>
      </c>
      <c r="BA1370" s="409" t="s">
        <v>4764</v>
      </c>
      <c r="BB1370" s="493">
        <v>45279</v>
      </c>
      <c r="BC1370" s="407" t="s">
        <v>4765</v>
      </c>
      <c r="BD1370" s="407"/>
      <c r="BE1370" s="407"/>
      <c r="BF1370" s="422"/>
      <c r="BG1370" s="391">
        <f>SUM($AV$4:AV1370)</f>
        <v>5260.099611627481</v>
      </c>
      <c r="BH1370" s="392">
        <f>SUM($AU$134:AU1370)</f>
        <v>33150.650666666865</v>
      </c>
      <c r="BI1370" s="318">
        <f>SUMIFS($AU$134:AU1371,$Q$134:Q1371,"F")</f>
        <v>14440.666666666668</v>
      </c>
      <c r="BJ1370" s="318">
        <f>SUMIFS($AU$134:AU1371,$Q$134:Q1371,"S")</f>
        <v>20463.642</v>
      </c>
      <c r="BK1370" s="343">
        <f>SUMIFS($AU$134:AU1371,$P$134:P1371,"W")</f>
        <v>20802.141999999927</v>
      </c>
      <c r="BL1370" s="343">
        <f>SUMIFS($AU$134:AU1371,$P$134:P1371,"R")</f>
        <v>13875.606666666656</v>
      </c>
      <c r="BM1370" s="343">
        <f>SUMIFS($AU$134:AU1371,$AQ$134:AQ1371,"M")</f>
        <v>3638.0300000001621</v>
      </c>
      <c r="BN1370" s="343">
        <f>SUMIFS($AU$134:AU1371,$AQ$134:AQ1371,"H")</f>
        <v>11805.342000000011</v>
      </c>
      <c r="BO1370" s="343">
        <f>SUMIFS($AU$134:AU1371,$AQ$134:AQ1371,"D")</f>
        <v>10514.236666666764</v>
      </c>
      <c r="BP1370" s="343">
        <f>SUMIFS($AU$134:AU1373,$AQ$134:AQ1373,"W")</f>
        <v>6099.6199999996161</v>
      </c>
      <c r="BQ1370" s="343">
        <f>SUMIFS($AU$134:AU1371,$Q$134:Q1371,"O")</f>
        <v>-1648.8579999997983</v>
      </c>
      <c r="BR1370" s="343">
        <f>SUMIFS($AU$134:AU1371,$AA$134:AA1371,"*")</f>
        <v>26592.105333333566</v>
      </c>
      <c r="BS1370" s="343">
        <f>SUMIFS($AU$134:AU1371,$AB$134:AB1371,"*")</f>
        <v>8999.7120000000268</v>
      </c>
      <c r="BT1370" s="343">
        <f>SUMIFS($AU$134:AU1371,$AC$134:AC1371,"*")</f>
        <v>18176.216666666667</v>
      </c>
      <c r="BU1370" s="343">
        <f>SUMIFS($AU$134:AU1371,$AA$134:AA1371,"*",$AB$134:AB1371,"*")</f>
        <v>4066.0000000000546</v>
      </c>
      <c r="BV1370" s="343">
        <f>SUMIFS($AU$134:AU1371,$AA$134:AA1371,"*",$AC$134:AC1371,"*")</f>
        <v>12519.983333333334</v>
      </c>
      <c r="BW1370" s="343">
        <f>SUMIFS($AU$134:AU1371,$AB$134:AB1371,"*",$AC$134:AC1371,"*")</f>
        <v>9230.6</v>
      </c>
      <c r="BX1370" s="343">
        <f>SUMIFS($AU1371:AU$1388,$Q1371:Q$1388,"F")</f>
        <v>0</v>
      </c>
      <c r="BY1370" s="343">
        <f>SUMIFS($AU1371:AU$1388,$Q1371:Q$1388,"S")</f>
        <v>208.00000000000003</v>
      </c>
      <c r="BZ1370" s="343">
        <f>SUMIFS($AU1371:AU$1388,$Q1371:Q$1388,"O")</f>
        <v>0</v>
      </c>
    </row>
    <row r="1371" spans="1:78" ht="15.75" customHeight="1">
      <c r="A1371" s="221" t="s">
        <v>4622</v>
      </c>
      <c r="B1371" s="177"/>
      <c r="C1371" s="178"/>
      <c r="D1371" s="178"/>
      <c r="E1371" s="227" t="s">
        <v>4766</v>
      </c>
      <c r="F1371" s="180"/>
      <c r="G1371" s="181"/>
      <c r="H1371" s="182"/>
      <c r="I1371" s="182"/>
      <c r="J1371" s="182">
        <v>1</v>
      </c>
      <c r="K1371" s="183" t="s">
        <v>115</v>
      </c>
      <c r="L1371" s="182"/>
      <c r="M1371" s="182"/>
      <c r="N1371" s="182"/>
      <c r="O1371" s="183"/>
      <c r="P1371" s="183"/>
      <c r="Q1371" s="183"/>
      <c r="R1371" s="183"/>
      <c r="S1371" s="183"/>
      <c r="T1371" s="183"/>
      <c r="U1371" s="183"/>
      <c r="V1371" s="183"/>
      <c r="W1371" s="183"/>
      <c r="X1371" s="183"/>
      <c r="Y1371" s="183"/>
      <c r="Z1371" s="185" t="str">
        <f t="shared" si="396"/>
        <v/>
      </c>
      <c r="AA1371" s="185"/>
      <c r="AB1371" s="185"/>
      <c r="AC1371" s="185"/>
      <c r="AD1371" s="649"/>
      <c r="AE1371" s="182"/>
      <c r="AF1371" s="332"/>
      <c r="AG1371" s="182"/>
      <c r="AH1371" s="182"/>
      <c r="AI1371" s="182"/>
      <c r="AJ1371" s="640"/>
      <c r="AK1371" s="182"/>
      <c r="AL1371" s="496"/>
      <c r="AM1371" s="496"/>
      <c r="AN1371" s="626"/>
      <c r="AO1371" s="182"/>
      <c r="AP1371" s="182"/>
      <c r="AQ1371" s="332" t="str">
        <f>UPPER(RIGHT(Journal_Live[[#This Row],[DURATION ]]))</f>
        <v/>
      </c>
      <c r="AR1371" s="182"/>
      <c r="AS1371" s="189"/>
      <c r="AT1371" s="189"/>
      <c r="AU1371" s="187"/>
      <c r="AV1371" s="190"/>
      <c r="AW1371" s="191"/>
      <c r="AX1371" s="407"/>
      <c r="AY1371" s="407"/>
      <c r="AZ1371" s="407"/>
      <c r="BA1371" s="407"/>
      <c r="BB1371" s="407"/>
      <c r="BC1371" s="407"/>
      <c r="BD1371" s="407"/>
      <c r="BE1371" s="407"/>
      <c r="BF1371" s="422"/>
      <c r="BG1371" s="391">
        <f>SUM($AV$4:AV1371)</f>
        <v>5260.099611627481</v>
      </c>
      <c r="BH1371" s="392">
        <f>SUM($AU$134:AU1371)</f>
        <v>33150.650666666865</v>
      </c>
      <c r="BI1371" s="318">
        <f>SUMIFS($AU$134:AU1372,$Q$134:Q1372,"F")</f>
        <v>14440.666666666668</v>
      </c>
      <c r="BJ1371" s="318">
        <f>SUMIFS($AU$134:AU1372,$Q$134:Q1372,"S")</f>
        <v>20463.642</v>
      </c>
      <c r="BK1371" s="343">
        <f>SUMIFS($AU$134:AU1372,$P$134:P1372,"W")</f>
        <v>20802.141999999927</v>
      </c>
      <c r="BL1371" s="343">
        <f>SUMIFS($AU$134:AU1372,$P$134:P1372,"R")</f>
        <v>13875.606666666656</v>
      </c>
      <c r="BM1371" s="343">
        <f>SUMIFS($AU$134:AU1372,$AQ$134:AQ1372,"M")</f>
        <v>3638.0300000001621</v>
      </c>
      <c r="BN1371" s="343">
        <f>SUMIFS($AU$134:AU1372,$AQ$134:AQ1372,"H")</f>
        <v>11805.342000000011</v>
      </c>
      <c r="BO1371" s="343">
        <f>SUMIFS($AU$134:AU1372,$AQ$134:AQ1372,"D")</f>
        <v>10514.236666666764</v>
      </c>
      <c r="BP1371" s="343">
        <f>SUMIFS($AU$134:AU1374,$AQ$134:AQ1374,"W")</f>
        <v>6099.6199999996161</v>
      </c>
      <c r="BQ1371" s="343">
        <f>SUMIFS($AU$134:AU1372,$Q$134:Q1372,"O")</f>
        <v>-1648.8579999997983</v>
      </c>
      <c r="BR1371" s="343">
        <f>SUMIFS($AU$134:AU1372,$AA$134:AA1372,"*")</f>
        <v>26592.105333333566</v>
      </c>
      <c r="BS1371" s="343">
        <f>SUMIFS($AU$134:AU1372,$AB$134:AB1372,"*")</f>
        <v>8999.7120000000268</v>
      </c>
      <c r="BT1371" s="343">
        <f>SUMIFS($AU$134:AU1372,$AC$134:AC1372,"*")</f>
        <v>18176.216666666667</v>
      </c>
      <c r="BU1371" s="343">
        <f>SUMIFS($AU$134:AU1372,$AA$134:AA1372,"*",$AB$134:AB1372,"*")</f>
        <v>4066.0000000000546</v>
      </c>
      <c r="BV1371" s="343">
        <f>SUMIFS($AU$134:AU1372,$AA$134:AA1372,"*",$AC$134:AC1372,"*")</f>
        <v>12519.983333333334</v>
      </c>
      <c r="BW1371" s="343">
        <f>SUMIFS($AU$134:AU1372,$AB$134:AB1372,"*",$AC$134:AC1372,"*")</f>
        <v>9230.6</v>
      </c>
      <c r="BX1371" s="343">
        <f>SUMIFS($AU1372:AU$1388,$Q1372:Q$1388,"F")</f>
        <v>0</v>
      </c>
      <c r="BY1371" s="343">
        <f>SUMIFS($AU1372:AU$1388,$Q1372:Q$1388,"S")</f>
        <v>208.00000000000003</v>
      </c>
      <c r="BZ1371" s="343">
        <f>SUMIFS($AU1372:AU$1388,$Q1372:Q$1388,"O")</f>
        <v>0</v>
      </c>
    </row>
    <row r="1372" spans="1:78" ht="15.75" customHeight="1">
      <c r="A1372" s="221" t="s">
        <v>4622</v>
      </c>
      <c r="B1372" s="177">
        <v>45268</v>
      </c>
      <c r="C1372" s="178" t="s">
        <v>1344</v>
      </c>
      <c r="D1372" s="178" t="s">
        <v>111</v>
      </c>
      <c r="E1372" s="227" t="s">
        <v>4767</v>
      </c>
      <c r="F1372" s="180"/>
      <c r="G1372" s="181"/>
      <c r="H1372" s="182">
        <v>1</v>
      </c>
      <c r="I1372" s="182"/>
      <c r="J1372" s="182"/>
      <c r="K1372" s="183" t="s">
        <v>372</v>
      </c>
      <c r="L1372" s="182"/>
      <c r="M1372" s="182"/>
      <c r="N1372" s="182"/>
      <c r="O1372" s="183"/>
      <c r="P1372" s="183"/>
      <c r="Q1372" s="183"/>
      <c r="R1372" s="183"/>
      <c r="S1372" s="183"/>
      <c r="T1372" s="183"/>
      <c r="U1372" s="183"/>
      <c r="V1372" s="183"/>
      <c r="W1372" s="183"/>
      <c r="X1372" s="183"/>
      <c r="Y1372" s="183"/>
      <c r="Z1372" s="185" t="str">
        <f t="shared" si="396"/>
        <v/>
      </c>
      <c r="AA1372" s="185"/>
      <c r="AB1372" s="185"/>
      <c r="AC1372" s="185"/>
      <c r="AD1372" s="649"/>
      <c r="AE1372" s="182"/>
      <c r="AF1372" s="332"/>
      <c r="AG1372" s="182"/>
      <c r="AH1372" s="182"/>
      <c r="AI1372" s="182"/>
      <c r="AJ1372" s="640"/>
      <c r="AK1372" s="182"/>
      <c r="AL1372" s="496"/>
      <c r="AM1372" s="496"/>
      <c r="AN1372" s="626"/>
      <c r="AO1372" s="182"/>
      <c r="AP1372" s="182"/>
      <c r="AQ1372" s="332" t="str">
        <f>UPPER(RIGHT(Journal_Live[[#This Row],[DURATION ]]))</f>
        <v/>
      </c>
      <c r="AR1372" s="182"/>
      <c r="AS1372" s="189"/>
      <c r="AT1372" s="189"/>
      <c r="AU1372" s="187"/>
      <c r="AV1372" s="190"/>
      <c r="AW1372" s="191"/>
      <c r="AX1372" s="407" t="s">
        <v>4768</v>
      </c>
      <c r="AY1372" s="407" t="s">
        <v>4769</v>
      </c>
      <c r="AZ1372" s="407" t="s">
        <v>4770</v>
      </c>
      <c r="BA1372" s="407" t="s">
        <v>4771</v>
      </c>
      <c r="BB1372" s="407"/>
      <c r="BC1372" s="407"/>
      <c r="BD1372" s="407"/>
      <c r="BE1372" s="407"/>
      <c r="BF1372" s="422"/>
      <c r="BG1372" s="391">
        <f>SUM($AV$4:AV1372)</f>
        <v>5260.099611627481</v>
      </c>
      <c r="BH1372" s="392">
        <f>SUM($AU$134:AU1372)</f>
        <v>33150.650666666865</v>
      </c>
      <c r="BI1372" s="318">
        <f>SUMIFS($AU$134:AU1373,$Q$134:Q1373,"F")</f>
        <v>14440.666666666668</v>
      </c>
      <c r="BJ1372" s="318">
        <f>SUMIFS($AU$134:AU1373,$Q$134:Q1373,"S")</f>
        <v>20463.642</v>
      </c>
      <c r="BK1372" s="343">
        <f>SUMIFS($AU$134:AU1373,$P$134:P1373,"W")</f>
        <v>20802.141999999927</v>
      </c>
      <c r="BL1372" s="343">
        <f>SUMIFS($AU$134:AU1373,$P$134:P1373,"R")</f>
        <v>13875.606666666656</v>
      </c>
      <c r="BM1372" s="343">
        <f>SUMIFS($AU$134:AU1373,$AQ$134:AQ1373,"M")</f>
        <v>3638.0300000001621</v>
      </c>
      <c r="BN1372" s="343">
        <f>SUMIFS($AU$134:AU1373,$AQ$134:AQ1373,"H")</f>
        <v>11805.342000000011</v>
      </c>
      <c r="BO1372" s="343">
        <f>SUMIFS($AU$134:AU1373,$AQ$134:AQ1373,"D")</f>
        <v>10514.236666666764</v>
      </c>
      <c r="BP1372" s="343">
        <f>SUMIFS($AU$134:AU1375,$AQ$134:AQ1375,"W")</f>
        <v>6099.6199999996161</v>
      </c>
      <c r="BQ1372" s="343">
        <f>SUMIFS($AU$134:AU1373,$Q$134:Q1373,"O")</f>
        <v>-1648.8579999997983</v>
      </c>
      <c r="BR1372" s="343">
        <f>SUMIFS($AU$134:AU1373,$AA$134:AA1373,"*")</f>
        <v>26592.105333333566</v>
      </c>
      <c r="BS1372" s="343">
        <f>SUMIFS($AU$134:AU1373,$AB$134:AB1373,"*")</f>
        <v>8999.7120000000268</v>
      </c>
      <c r="BT1372" s="343">
        <f>SUMIFS($AU$134:AU1373,$AC$134:AC1373,"*")</f>
        <v>18176.216666666667</v>
      </c>
      <c r="BU1372" s="343">
        <f>SUMIFS($AU$134:AU1373,$AA$134:AA1373,"*",$AB$134:AB1373,"*")</f>
        <v>4066.0000000000546</v>
      </c>
      <c r="BV1372" s="343">
        <f>SUMIFS($AU$134:AU1373,$AA$134:AA1373,"*",$AC$134:AC1373,"*")</f>
        <v>12519.983333333334</v>
      </c>
      <c r="BW1372" s="343">
        <f>SUMIFS($AU$134:AU1373,$AB$134:AB1373,"*",$AC$134:AC1373,"*")</f>
        <v>9230.6</v>
      </c>
      <c r="BX1372" s="343">
        <f>SUMIFS($AU1373:AU$1388,$Q1373:Q$1388,"F")</f>
        <v>0</v>
      </c>
      <c r="BY1372" s="343">
        <f>SUMIFS($AU1373:AU$1388,$Q1373:Q$1388,"S")</f>
        <v>208.00000000000003</v>
      </c>
      <c r="BZ1372" s="343">
        <f>SUMIFS($AU1373:AU$1388,$Q1373:Q$1388,"O")</f>
        <v>0</v>
      </c>
    </row>
    <row r="1373" spans="1:78" ht="15.75" customHeight="1">
      <c r="A1373" s="221" t="s">
        <v>4622</v>
      </c>
      <c r="B1373" s="177"/>
      <c r="C1373" s="178"/>
      <c r="D1373" s="178"/>
      <c r="E1373" s="227" t="s">
        <v>4772</v>
      </c>
      <c r="F1373" s="180"/>
      <c r="G1373" s="181"/>
      <c r="H1373" s="182"/>
      <c r="I1373" s="182"/>
      <c r="J1373" s="182">
        <v>1</v>
      </c>
      <c r="K1373" s="183" t="s">
        <v>372</v>
      </c>
      <c r="L1373" s="182"/>
      <c r="M1373" s="182"/>
      <c r="N1373" s="182"/>
      <c r="O1373" s="183"/>
      <c r="P1373" s="183"/>
      <c r="Q1373" s="183"/>
      <c r="R1373" s="183"/>
      <c r="S1373" s="183"/>
      <c r="T1373" s="183"/>
      <c r="U1373" s="183"/>
      <c r="V1373" s="183"/>
      <c r="W1373" s="183"/>
      <c r="X1373" s="183"/>
      <c r="Y1373" s="183"/>
      <c r="Z1373" s="185" t="str">
        <f t="shared" si="396"/>
        <v/>
      </c>
      <c r="AA1373" s="185"/>
      <c r="AB1373" s="185"/>
      <c r="AC1373" s="185"/>
      <c r="AD1373" s="649"/>
      <c r="AE1373" s="182"/>
      <c r="AF1373" s="332"/>
      <c r="AG1373" s="182"/>
      <c r="AH1373" s="182"/>
      <c r="AI1373" s="182"/>
      <c r="AJ1373" s="640"/>
      <c r="AK1373" s="182"/>
      <c r="AL1373" s="496"/>
      <c r="AM1373" s="496"/>
      <c r="AN1373" s="626"/>
      <c r="AO1373" s="182"/>
      <c r="AP1373" s="182"/>
      <c r="AQ1373" s="332" t="str">
        <f>UPPER(RIGHT(Journal_Live[[#This Row],[DURATION ]]))</f>
        <v/>
      </c>
      <c r="AR1373" s="182"/>
      <c r="AS1373" s="189"/>
      <c r="AT1373" s="189"/>
      <c r="AU1373" s="187"/>
      <c r="AV1373" s="190"/>
      <c r="AW1373" s="191"/>
      <c r="AX1373" s="407"/>
      <c r="AY1373" s="407"/>
      <c r="AZ1373" s="407"/>
      <c r="BA1373" s="407"/>
      <c r="BB1373" s="407"/>
      <c r="BC1373" s="407"/>
      <c r="BD1373" s="407"/>
      <c r="BE1373" s="407"/>
      <c r="BF1373" s="422"/>
      <c r="BG1373" s="391">
        <f>SUM($AV$4:AV1373)</f>
        <v>5260.099611627481</v>
      </c>
      <c r="BH1373" s="392">
        <f>SUM($AU$134:AU1373)</f>
        <v>33150.650666666865</v>
      </c>
      <c r="BI1373" s="318">
        <f>SUMIFS($AU$134:AU1374,$Q$134:Q1374,"F")</f>
        <v>14440.666666666668</v>
      </c>
      <c r="BJ1373" s="318">
        <f>SUMIFS($AU$134:AU1374,$Q$134:Q1374,"S")</f>
        <v>20463.642</v>
      </c>
      <c r="BK1373" s="343">
        <f>SUMIFS($AU$134:AU1374,$P$134:P1374,"W")</f>
        <v>20802.141999999927</v>
      </c>
      <c r="BL1373" s="343">
        <f>SUMIFS($AU$134:AU1374,$P$134:P1374,"R")</f>
        <v>13875.606666666656</v>
      </c>
      <c r="BM1373" s="343">
        <f>SUMIFS($AU$134:AU1374,$AQ$134:AQ1374,"M")</f>
        <v>3638.0300000001621</v>
      </c>
      <c r="BN1373" s="343">
        <f>SUMIFS($AU$134:AU1374,$AQ$134:AQ1374,"H")</f>
        <v>11805.342000000011</v>
      </c>
      <c r="BO1373" s="343">
        <f>SUMIFS($AU$134:AU1374,$AQ$134:AQ1374,"D")</f>
        <v>10514.236666666764</v>
      </c>
      <c r="BP1373" s="343">
        <f>SUMIFS($AU$134:AU1376,$AQ$134:AQ1376,"W")</f>
        <v>6099.6199999996161</v>
      </c>
      <c r="BQ1373" s="343">
        <f>SUMIFS($AU$134:AU1374,$Q$134:Q1374,"O")</f>
        <v>-1648.8579999997983</v>
      </c>
      <c r="BR1373" s="343">
        <f>SUMIFS($AU$134:AU1374,$AA$134:AA1374,"*")</f>
        <v>26592.105333333566</v>
      </c>
      <c r="BS1373" s="343">
        <f>SUMIFS($AU$134:AU1374,$AB$134:AB1374,"*")</f>
        <v>8999.7120000000268</v>
      </c>
      <c r="BT1373" s="343">
        <f>SUMIFS($AU$134:AU1374,$AC$134:AC1374,"*")</f>
        <v>18176.216666666667</v>
      </c>
      <c r="BU1373" s="343">
        <f>SUMIFS($AU$134:AU1374,$AA$134:AA1374,"*",$AB$134:AB1374,"*")</f>
        <v>4066.0000000000546</v>
      </c>
      <c r="BV1373" s="343">
        <f>SUMIFS($AU$134:AU1374,$AA$134:AA1374,"*",$AC$134:AC1374,"*")</f>
        <v>12519.983333333334</v>
      </c>
      <c r="BW1373" s="343">
        <f>SUMIFS($AU$134:AU1374,$AB$134:AB1374,"*",$AC$134:AC1374,"*")</f>
        <v>9230.6</v>
      </c>
      <c r="BX1373" s="343">
        <f>SUMIFS($AU1374:AU$1388,$Q1374:Q$1388,"F")</f>
        <v>0</v>
      </c>
      <c r="BY1373" s="343">
        <f>SUMIFS($AU1374:AU$1388,$Q1374:Q$1388,"S")</f>
        <v>208.00000000000003</v>
      </c>
      <c r="BZ1373" s="343">
        <f>SUMIFS($AU1374:AU$1388,$Q1374:Q$1388,"O")</f>
        <v>0</v>
      </c>
    </row>
    <row r="1374" spans="1:78" ht="15.75" customHeight="1">
      <c r="A1374" s="221" t="s">
        <v>4622</v>
      </c>
      <c r="B1374" s="177">
        <v>45268</v>
      </c>
      <c r="C1374" s="178" t="s">
        <v>682</v>
      </c>
      <c r="D1374" s="178" t="s">
        <v>111</v>
      </c>
      <c r="E1374" s="227"/>
      <c r="F1374" s="180"/>
      <c r="G1374" s="281" t="s">
        <v>181</v>
      </c>
      <c r="H1374" s="182"/>
      <c r="I1374" s="182"/>
      <c r="J1374" s="182"/>
      <c r="K1374" s="183"/>
      <c r="L1374" s="182">
        <v>1</v>
      </c>
      <c r="M1374" s="182"/>
      <c r="N1374" s="182"/>
      <c r="O1374" s="183" t="s">
        <v>95</v>
      </c>
      <c r="P1374" s="183" t="s">
        <v>96</v>
      </c>
      <c r="Q1374" s="183" t="s">
        <v>97</v>
      </c>
      <c r="R1374" s="183">
        <v>7</v>
      </c>
      <c r="S1374" s="183">
        <v>0</v>
      </c>
      <c r="T1374" s="183">
        <v>6</v>
      </c>
      <c r="U1374" s="183" t="s">
        <v>97</v>
      </c>
      <c r="V1374" s="183"/>
      <c r="W1374" s="183"/>
      <c r="X1374" s="183"/>
      <c r="Y1374" s="184">
        <f>IF(ISBLANK(O1374),"",(IF(O1374=UPPER("IB"),0.005,0.01)))</f>
        <v>0.01</v>
      </c>
      <c r="Z1374" s="185">
        <f t="shared" si="396"/>
        <v>1600</v>
      </c>
      <c r="AA1374" s="185" t="s">
        <v>99</v>
      </c>
      <c r="AB1374" s="185"/>
      <c r="AC1374" s="185"/>
      <c r="AD1374" s="649">
        <v>-0.04</v>
      </c>
      <c r="AE1374" s="182"/>
      <c r="AF1374" s="332"/>
      <c r="AG1374" s="182"/>
      <c r="AH1374" s="182"/>
      <c r="AI1374" s="182"/>
      <c r="AJ1374" s="640"/>
      <c r="AK1374" s="182"/>
      <c r="AL1374" s="496"/>
      <c r="AM1374" s="496"/>
      <c r="AN1374" s="626"/>
      <c r="AO1374" s="182"/>
      <c r="AP1374" s="182" t="s">
        <v>967</v>
      </c>
      <c r="AQ1374" s="332" t="str">
        <f>UPPER(RIGHT(Journal_Live[[#This Row],[DURATION ]]))</f>
        <v>H</v>
      </c>
      <c r="AR1374" s="182" t="s">
        <v>1919</v>
      </c>
      <c r="AS1374" s="189">
        <v>-0.04</v>
      </c>
      <c r="AT1374" s="189">
        <f>IF(ISBLANK(AS1374),,IF(U1374="S",AD1374-AS1374,AS1374-AD1374))</f>
        <v>0</v>
      </c>
      <c r="AU1374" s="187">
        <f>AV1374*R1374</f>
        <v>0</v>
      </c>
      <c r="AV1374" s="190">
        <f>IF(ISBLANK(AS1374),,(AT1374*Z1374))</f>
        <v>0</v>
      </c>
      <c r="AW1374" s="191" t="s">
        <v>115</v>
      </c>
      <c r="AX1374" s="407" t="s">
        <v>4773</v>
      </c>
      <c r="AY1374" s="407" t="s">
        <v>4774</v>
      </c>
      <c r="AZ1374" s="407" t="s">
        <v>4775</v>
      </c>
      <c r="BA1374" s="407" t="s">
        <v>4776</v>
      </c>
      <c r="BB1374" s="407" t="s">
        <v>4777</v>
      </c>
      <c r="BC1374" s="407"/>
      <c r="BD1374" s="407"/>
      <c r="BE1374" s="407"/>
      <c r="BF1374" s="422"/>
      <c r="BG1374" s="391">
        <f>SUM($AV$4:AV1374)</f>
        <v>5260.099611627481</v>
      </c>
      <c r="BH1374" s="392">
        <f>SUM($AU$134:AU1374)</f>
        <v>33150.650666666865</v>
      </c>
      <c r="BI1374" s="318">
        <f>SUMIFS($AU$134:AU1375,$Q$134:Q1375,"F")</f>
        <v>14440.666666666668</v>
      </c>
      <c r="BJ1374" s="318">
        <f>SUMIFS($AU$134:AU1375,$Q$134:Q1375,"S")</f>
        <v>20655.642</v>
      </c>
      <c r="BK1374" s="343">
        <f>SUMIFS($AU$134:AU1375,$P$134:P1375,"W")</f>
        <v>20994.141999999927</v>
      </c>
      <c r="BL1374" s="343">
        <f>SUMIFS($AU$134:AU1375,$P$134:P1375,"R")</f>
        <v>13875.606666666656</v>
      </c>
      <c r="BM1374" s="343">
        <f>SUMIFS($AU$134:AU1375,$AQ$134:AQ1375,"M")</f>
        <v>3638.0300000001621</v>
      </c>
      <c r="BN1374" s="343">
        <f>SUMIFS($AU$134:AU1375,$AQ$134:AQ1375,"H")</f>
        <v>11805.342000000011</v>
      </c>
      <c r="BO1374" s="343">
        <f>SUMIFS($AU$134:AU1375,$AQ$134:AQ1375,"D")</f>
        <v>10706.236666666764</v>
      </c>
      <c r="BP1374" s="343">
        <f>SUMIFS($AU$134:AU1377,$AQ$134:AQ1377,"W")</f>
        <v>6099.6199999996161</v>
      </c>
      <c r="BQ1374" s="343">
        <f>SUMIFS($AU$134:AU1375,$Q$134:Q1375,"O")</f>
        <v>-1648.8579999997983</v>
      </c>
      <c r="BR1374" s="343">
        <f>SUMIFS($AU$134:AU1375,$AA$134:AA1375,"*")</f>
        <v>26784.105333333566</v>
      </c>
      <c r="BS1374" s="343">
        <f>SUMIFS($AU$134:AU1375,$AB$134:AB1375,"*")</f>
        <v>8999.7120000000268</v>
      </c>
      <c r="BT1374" s="343">
        <f>SUMIFS($AU$134:AU1375,$AC$134:AC1375,"*")</f>
        <v>18368.216666666667</v>
      </c>
      <c r="BU1374" s="343">
        <f>SUMIFS($AU$134:AU1375,$AA$134:AA1375,"*",$AB$134:AB1375,"*")</f>
        <v>4066.0000000000546</v>
      </c>
      <c r="BV1374" s="343">
        <f>SUMIFS($AU$134:AU1375,$AA$134:AA1375,"*",$AC$134:AC1375,"*")</f>
        <v>12711.983333333334</v>
      </c>
      <c r="BW1374" s="343">
        <f>SUMIFS($AU$134:AU1375,$AB$134:AB1375,"*",$AC$134:AC1375,"*")</f>
        <v>9230.6</v>
      </c>
      <c r="BX1374" s="343">
        <f>SUMIFS($AU1375:AU$1388,$Q1375:Q$1388,"F")</f>
        <v>0</v>
      </c>
      <c r="BY1374" s="343">
        <f>SUMIFS($AU1375:AU$1388,$Q1375:Q$1388,"S")</f>
        <v>208.00000000000003</v>
      </c>
      <c r="BZ1374" s="343">
        <f>SUMIFS($AU1375:AU$1388,$Q1375:Q$1388,"O")</f>
        <v>0</v>
      </c>
    </row>
    <row r="1375" spans="1:78" ht="15.75" customHeight="1">
      <c r="A1375" s="221" t="s">
        <v>4622</v>
      </c>
      <c r="B1375" s="177">
        <v>45268</v>
      </c>
      <c r="C1375" s="178" t="s">
        <v>682</v>
      </c>
      <c r="D1375" s="178" t="s">
        <v>111</v>
      </c>
      <c r="E1375" s="227"/>
      <c r="F1375" s="180"/>
      <c r="G1375" s="281" t="s">
        <v>2016</v>
      </c>
      <c r="H1375" s="182"/>
      <c r="I1375" s="182"/>
      <c r="J1375" s="182"/>
      <c r="K1375" s="183"/>
      <c r="L1375" s="182">
        <v>1</v>
      </c>
      <c r="M1375" s="182"/>
      <c r="N1375" s="182"/>
      <c r="O1375" s="183" t="s">
        <v>95</v>
      </c>
      <c r="P1375" s="183" t="s">
        <v>96</v>
      </c>
      <c r="Q1375" s="183" t="s">
        <v>97</v>
      </c>
      <c r="R1375" s="183">
        <v>12</v>
      </c>
      <c r="S1375" s="183">
        <v>0</v>
      </c>
      <c r="T1375" s="183">
        <v>12</v>
      </c>
      <c r="U1375" s="183" t="s">
        <v>22</v>
      </c>
      <c r="V1375" s="183"/>
      <c r="W1375" s="183"/>
      <c r="X1375" s="183"/>
      <c r="Y1375" s="184">
        <f>IF(ISBLANK(O1375),"",(IF(O1375=UPPER("IB"),0.005,0.01)))</f>
        <v>0.01</v>
      </c>
      <c r="Z1375" s="185">
        <f t="shared" si="396"/>
        <v>1600</v>
      </c>
      <c r="AA1375" s="185" t="s">
        <v>4778</v>
      </c>
      <c r="AB1375" s="185"/>
      <c r="AC1375" s="185" t="s">
        <v>4779</v>
      </c>
      <c r="AD1375" s="649">
        <v>-0.1</v>
      </c>
      <c r="AE1375" s="182"/>
      <c r="AF1375" s="332"/>
      <c r="AG1375" s="182"/>
      <c r="AH1375" s="182"/>
      <c r="AI1375" s="182"/>
      <c r="AJ1375" s="640"/>
      <c r="AK1375" s="182"/>
      <c r="AL1375" s="496"/>
      <c r="AM1375" s="496"/>
      <c r="AN1375" s="626"/>
      <c r="AO1375" s="182"/>
      <c r="AP1375" s="182" t="s">
        <v>804</v>
      </c>
      <c r="AQ1375" s="332" t="str">
        <f>UPPER(RIGHT(Journal_Live[[#This Row],[DURATION ]]))</f>
        <v>D</v>
      </c>
      <c r="AR1375" s="182" t="s">
        <v>4780</v>
      </c>
      <c r="AS1375" s="189">
        <v>-0.09</v>
      </c>
      <c r="AT1375" s="189">
        <f>IF(ISBLANK(AS1375),,IF(U1375="S",AD1375-AS1375,AS1375-AD1375))</f>
        <v>1.0000000000000009E-2</v>
      </c>
      <c r="AU1375" s="187">
        <f>AV1375*R1375</f>
        <v>192.00000000000017</v>
      </c>
      <c r="AV1375" s="190">
        <f>IF(ISBLANK(AS1375),,(AT1375*Z1375))</f>
        <v>16.000000000000014</v>
      </c>
      <c r="AW1375" s="191" t="s">
        <v>96</v>
      </c>
      <c r="AX1375" s="407"/>
      <c r="AY1375" s="407"/>
      <c r="AZ1375" s="407"/>
      <c r="BA1375" s="407"/>
      <c r="BB1375" s="407"/>
      <c r="BC1375" s="407"/>
      <c r="BD1375" s="407"/>
      <c r="BE1375" s="407"/>
      <c r="BF1375" s="422"/>
      <c r="BG1375" s="391">
        <f>SUM($AV$4:AV1375)</f>
        <v>5276.099611627481</v>
      </c>
      <c r="BH1375" s="392">
        <f>SUM($AU$134:AU1375)</f>
        <v>33342.650666666865</v>
      </c>
      <c r="BI1375" s="318">
        <f>SUMIFS($AU$134:AU1376,$Q$134:Q1376,"F")</f>
        <v>14440.666666666668</v>
      </c>
      <c r="BJ1375" s="318">
        <f>SUMIFS($AU$134:AU1376,$Q$134:Q1376,"S")</f>
        <v>20655.642</v>
      </c>
      <c r="BK1375" s="343">
        <f>SUMIFS($AU$134:AU1376,$P$134:P1376,"W")</f>
        <v>20994.141999999927</v>
      </c>
      <c r="BL1375" s="343">
        <f>SUMIFS($AU$134:AU1376,$P$134:P1376,"R")</f>
        <v>13875.606666666656</v>
      </c>
      <c r="BM1375" s="343">
        <f>SUMIFS($AU$134:AU1376,$AQ$134:AQ1376,"M")</f>
        <v>3638.0300000001621</v>
      </c>
      <c r="BN1375" s="343">
        <f>SUMIFS($AU$134:AU1376,$AQ$134:AQ1376,"H")</f>
        <v>11805.342000000011</v>
      </c>
      <c r="BO1375" s="343">
        <f>SUMIFS($AU$134:AU1376,$AQ$134:AQ1376,"D")</f>
        <v>10706.236666666764</v>
      </c>
      <c r="BP1375" s="343">
        <f>SUMIFS($AU$134:AU1378,$AQ$134:AQ1378,"W")</f>
        <v>6099.6199999996161</v>
      </c>
      <c r="BQ1375" s="343">
        <f>SUMIFS($AU$134:AU1376,$Q$134:Q1376,"O")</f>
        <v>-1648.8579999997983</v>
      </c>
      <c r="BR1375" s="343">
        <f>SUMIFS($AU$134:AU1376,$AA$134:AA1376,"*")</f>
        <v>26784.105333333566</v>
      </c>
      <c r="BS1375" s="343">
        <f>SUMIFS($AU$134:AU1376,$AB$134:AB1376,"*")</f>
        <v>8999.7120000000268</v>
      </c>
      <c r="BT1375" s="343">
        <f>SUMIFS($AU$134:AU1376,$AC$134:AC1376,"*")</f>
        <v>18368.216666666667</v>
      </c>
      <c r="BU1375" s="343">
        <f>SUMIFS($AU$134:AU1376,$AA$134:AA1376,"*",$AB$134:AB1376,"*")</f>
        <v>4066.0000000000546</v>
      </c>
      <c r="BV1375" s="343">
        <f>SUMIFS($AU$134:AU1376,$AA$134:AA1376,"*",$AC$134:AC1376,"*")</f>
        <v>12711.983333333334</v>
      </c>
      <c r="BW1375" s="343">
        <f>SUMIFS($AU$134:AU1376,$AB$134:AB1376,"*",$AC$134:AC1376,"*")</f>
        <v>9230.6</v>
      </c>
      <c r="BX1375" s="343">
        <f>SUMIFS($AU1376:AU$1388,$Q1376:Q$1388,"F")</f>
        <v>0</v>
      </c>
      <c r="BY1375" s="343">
        <f>SUMIFS($AU1376:AU$1388,$Q1376:Q$1388,"S")</f>
        <v>15.999999999999858</v>
      </c>
      <c r="BZ1375" s="343">
        <f>SUMIFS($AU1376:AU$1388,$Q1376:Q$1388,"O")</f>
        <v>0</v>
      </c>
    </row>
    <row r="1376" spans="1:78" ht="15.75" customHeight="1">
      <c r="A1376" s="221" t="s">
        <v>4622</v>
      </c>
      <c r="B1376" s="177">
        <v>45268</v>
      </c>
      <c r="C1376" s="178" t="s">
        <v>4781</v>
      </c>
      <c r="D1376" s="178" t="s">
        <v>111</v>
      </c>
      <c r="E1376" s="227"/>
      <c r="F1376" s="180"/>
      <c r="G1376" s="281" t="s">
        <v>2070</v>
      </c>
      <c r="H1376" s="182"/>
      <c r="I1376" s="182"/>
      <c r="J1376" s="182"/>
      <c r="K1376" s="183"/>
      <c r="L1376" s="182">
        <v>1</v>
      </c>
      <c r="M1376" s="182"/>
      <c r="N1376" s="182"/>
      <c r="O1376" s="183" t="s">
        <v>95</v>
      </c>
      <c r="P1376" s="183" t="s">
        <v>96</v>
      </c>
      <c r="Q1376" s="183" t="s">
        <v>97</v>
      </c>
      <c r="R1376" s="183">
        <v>12</v>
      </c>
      <c r="S1376" s="183">
        <v>0</v>
      </c>
      <c r="T1376" s="183">
        <v>12</v>
      </c>
      <c r="U1376" s="183" t="s">
        <v>97</v>
      </c>
      <c r="V1376" s="183"/>
      <c r="W1376" s="183"/>
      <c r="X1376" s="183"/>
      <c r="Y1376" s="184">
        <f>IF(ISBLANK(O1376),"",(IF(O1376=UPPER("IB"),0.005,0.01)))</f>
        <v>0.01</v>
      </c>
      <c r="Z1376" s="185">
        <f t="shared" si="396"/>
        <v>1600</v>
      </c>
      <c r="AA1376" s="185" t="s">
        <v>99</v>
      </c>
      <c r="AB1376" s="185"/>
      <c r="AC1376" s="185" t="s">
        <v>4779</v>
      </c>
      <c r="AD1376" s="649">
        <v>-7.0000000000000007E-2</v>
      </c>
      <c r="AE1376" s="182"/>
      <c r="AF1376" s="332"/>
      <c r="AG1376" s="182"/>
      <c r="AH1376" s="182"/>
      <c r="AI1376" s="182"/>
      <c r="AJ1376" s="640"/>
      <c r="AK1376" s="182"/>
      <c r="AL1376" s="496"/>
      <c r="AM1376" s="496"/>
      <c r="AN1376" s="626"/>
      <c r="AO1376" s="182"/>
      <c r="AP1376" s="182" t="s">
        <v>804</v>
      </c>
      <c r="AQ1376" s="332" t="str">
        <f>UPPER(RIGHT(Journal_Live[[#This Row],[DURATION ]]))</f>
        <v>D</v>
      </c>
      <c r="AR1376" s="182" t="s">
        <v>4782</v>
      </c>
      <c r="AS1376" s="189">
        <v>-7.0000000000000007E-2</v>
      </c>
      <c r="AT1376" s="189">
        <f>IF(ISBLANK(AS1376),,IF(U1376="S",AD1376-AS1376,AS1376-AD1376))</f>
        <v>0</v>
      </c>
      <c r="AU1376" s="187">
        <f>AV1376*R1376</f>
        <v>0</v>
      </c>
      <c r="AV1376" s="190">
        <f>IF(ISBLANK(AS1376),,(AT1376*Z1376))</f>
        <v>0</v>
      </c>
      <c r="AW1376" s="191" t="s">
        <v>115</v>
      </c>
      <c r="AX1376" s="407" t="s">
        <v>4783</v>
      </c>
      <c r="AY1376" s="407"/>
      <c r="AZ1376" s="407"/>
      <c r="BA1376" s="407"/>
      <c r="BB1376" s="407"/>
      <c r="BC1376" s="407"/>
      <c r="BD1376" s="407"/>
      <c r="BE1376" s="407"/>
      <c r="BF1376" s="422"/>
      <c r="BG1376" s="391">
        <f>SUM($AV$4:AV1376)</f>
        <v>5276.099611627481</v>
      </c>
      <c r="BH1376" s="392">
        <f>SUM($AU$134:AU1376)</f>
        <v>33342.650666666865</v>
      </c>
      <c r="BI1376" s="318">
        <f>SUMIFS($AU$134:AU1377,$Q$134:Q1377,"F")</f>
        <v>14440.666666666668</v>
      </c>
      <c r="BJ1376" s="318">
        <f>SUMIFS($AU$134:AU1377,$Q$134:Q1377,"S")</f>
        <v>20671.642</v>
      </c>
      <c r="BK1376" s="343">
        <f>SUMIFS($AU$134:AU1377,$P$134:P1377,"W")</f>
        <v>21010.141999999927</v>
      </c>
      <c r="BL1376" s="343">
        <f>SUMIFS($AU$134:AU1377,$P$134:P1377,"R")</f>
        <v>13875.606666666656</v>
      </c>
      <c r="BM1376" s="343">
        <f>SUMIFS($AU$134:AU1377,$AQ$134:AQ1377,"M")</f>
        <v>3638.0300000001621</v>
      </c>
      <c r="BN1376" s="343">
        <f>SUMIFS($AU$134:AU1377,$AQ$134:AQ1377,"H")</f>
        <v>11821.342000000011</v>
      </c>
      <c r="BO1376" s="343">
        <f>SUMIFS($AU$134:AU1377,$AQ$134:AQ1377,"D")</f>
        <v>10706.236666666764</v>
      </c>
      <c r="BP1376" s="343">
        <f>SUMIFS($AU$134:AU1379,$AQ$134:AQ1379,"W")</f>
        <v>6099.6199999996161</v>
      </c>
      <c r="BQ1376" s="343">
        <f>SUMIFS($AU$134:AU1377,$Q$134:Q1377,"O")</f>
        <v>-1648.8579999997983</v>
      </c>
      <c r="BR1376" s="343">
        <f>SUMIFS($AU$134:AU1377,$AA$134:AA1377,"*")</f>
        <v>26800.105333333566</v>
      </c>
      <c r="BS1376" s="343">
        <f>SUMIFS($AU$134:AU1377,$AB$134:AB1377,"*")</f>
        <v>8999.7120000000268</v>
      </c>
      <c r="BT1376" s="343">
        <f>SUMIFS($AU$134:AU1377,$AC$134:AC1377,"*")</f>
        <v>18368.216666666667</v>
      </c>
      <c r="BU1376" s="343">
        <f>SUMIFS($AU$134:AU1377,$AA$134:AA1377,"*",$AB$134:AB1377,"*")</f>
        <v>4066.0000000000546</v>
      </c>
      <c r="BV1376" s="343">
        <f>SUMIFS($AU$134:AU1377,$AA$134:AA1377,"*",$AC$134:AC1377,"*")</f>
        <v>12711.983333333334</v>
      </c>
      <c r="BW1376" s="343">
        <f>SUMIFS($AU$134:AU1377,$AB$134:AB1377,"*",$AC$134:AC1377,"*")</f>
        <v>9230.6</v>
      </c>
      <c r="BX1376" s="343">
        <f>SUMIFS($AU1377:AU$1388,$Q1377:Q$1388,"F")</f>
        <v>0</v>
      </c>
      <c r="BY1376" s="343">
        <f>SUMIFS($AU1377:AU$1388,$Q1377:Q$1388,"S")</f>
        <v>15.999999999999858</v>
      </c>
      <c r="BZ1376" s="343">
        <f>SUMIFS($AU1377:AU$1388,$Q1377:Q$1388,"O")</f>
        <v>0</v>
      </c>
    </row>
    <row r="1377" spans="1:78" ht="15.75" customHeight="1">
      <c r="A1377" s="221" t="s">
        <v>4622</v>
      </c>
      <c r="B1377" s="177">
        <v>45271</v>
      </c>
      <c r="C1377" s="178" t="s">
        <v>4784</v>
      </c>
      <c r="D1377" s="178" t="s">
        <v>132</v>
      </c>
      <c r="E1377" s="227"/>
      <c r="F1377" s="180"/>
      <c r="G1377" s="281" t="s">
        <v>181</v>
      </c>
      <c r="H1377" s="182"/>
      <c r="I1377" s="182"/>
      <c r="J1377" s="182"/>
      <c r="K1377" s="183"/>
      <c r="L1377" s="182">
        <v>1</v>
      </c>
      <c r="M1377" s="182"/>
      <c r="N1377" s="182"/>
      <c r="O1377" s="183" t="s">
        <v>95</v>
      </c>
      <c r="P1377" s="183" t="s">
        <v>96</v>
      </c>
      <c r="Q1377" s="183" t="s">
        <v>97</v>
      </c>
      <c r="R1377" s="183">
        <v>22</v>
      </c>
      <c r="S1377" s="183">
        <v>0</v>
      </c>
      <c r="T1377" s="183">
        <v>15</v>
      </c>
      <c r="U1377" s="183" t="s">
        <v>97</v>
      </c>
      <c r="V1377" s="183"/>
      <c r="W1377" s="183"/>
      <c r="X1377" s="183"/>
      <c r="Y1377" s="184">
        <f>IF(ISBLANK(O1377),"",(IF(O1377=UPPER("IB"),0.005,0.01)))</f>
        <v>0.01</v>
      </c>
      <c r="Z1377" s="185">
        <f t="shared" si="396"/>
        <v>1600</v>
      </c>
      <c r="AA1377" s="185" t="s">
        <v>4555</v>
      </c>
      <c r="AB1377" s="185"/>
      <c r="AC1377" s="185"/>
      <c r="AD1377" s="649">
        <f>((-0.05*7)+(-0.02*15))/22</f>
        <v>-2.9545454545454545E-2</v>
      </c>
      <c r="AE1377" s="182"/>
      <c r="AF1377" s="332"/>
      <c r="AG1377" s="182"/>
      <c r="AH1377" s="182"/>
      <c r="AI1377" s="182"/>
      <c r="AJ1377" s="640"/>
      <c r="AK1377" s="182"/>
      <c r="AL1377" s="496"/>
      <c r="AM1377" s="496"/>
      <c r="AN1377" s="626"/>
      <c r="AO1377" s="182"/>
      <c r="AP1377" s="182" t="s">
        <v>1026</v>
      </c>
      <c r="AQ1377" s="332" t="str">
        <f>UPPER(RIGHT(Journal_Live[[#This Row],[DURATION ]]))</f>
        <v>H</v>
      </c>
      <c r="AR1377" s="182" t="s">
        <v>4785</v>
      </c>
      <c r="AS1377" s="189">
        <f>((-0.03*15)+(-0.03*7))/22</f>
        <v>-2.9999999999999995E-2</v>
      </c>
      <c r="AT1377" s="189">
        <f>IF(ISBLANK(AS1377),,IF(U1377="S",AD1377-AS1377,AS1377-AD1377))</f>
        <v>4.5454545454545053E-4</v>
      </c>
      <c r="AU1377" s="187">
        <f>AV1377*R1377</f>
        <v>15.999999999999858</v>
      </c>
      <c r="AV1377" s="190">
        <f>IF(ISBLANK(AS1377),,(AT1377*Z1377))</f>
        <v>0.72727272727272085</v>
      </c>
      <c r="AW1377" s="191" t="s">
        <v>96</v>
      </c>
      <c r="AX1377" s="407" t="s">
        <v>4786</v>
      </c>
      <c r="AY1377" s="407"/>
      <c r="AZ1377" s="407"/>
      <c r="BA1377" s="407"/>
      <c r="BB1377" s="407"/>
      <c r="BC1377" s="407"/>
      <c r="BD1377" s="407"/>
      <c r="BE1377" s="407"/>
      <c r="BF1377" s="422"/>
      <c r="BG1377" s="391">
        <f>SUM($AV$4:AV1377)</f>
        <v>5276.8268843547539</v>
      </c>
      <c r="BH1377" s="392">
        <f>SUM($AU$134:AU1377)</f>
        <v>33358.650666666865</v>
      </c>
      <c r="BI1377" s="318">
        <f>SUMIFS($AU$134:AU1378,$Q$134:Q1378,"F")</f>
        <v>14440.666666666668</v>
      </c>
      <c r="BJ1377" s="318">
        <f>SUMIFS($AU$134:AU1378,$Q$134:Q1378,"S")</f>
        <v>20671.642</v>
      </c>
      <c r="BK1377" s="343">
        <f>SUMIFS($AU$134:AU1378,$P$134:P1378,"W")</f>
        <v>21010.141999999927</v>
      </c>
      <c r="BL1377" s="343">
        <f>SUMIFS($AU$134:AU1378,$P$134:P1378,"R")</f>
        <v>13875.606666666656</v>
      </c>
      <c r="BM1377" s="343">
        <f>SUMIFS($AU$134:AU1378,$AQ$134:AQ1378,"M")</f>
        <v>3638.0300000001621</v>
      </c>
      <c r="BN1377" s="343">
        <f>SUMIFS($AU$134:AU1378,$AQ$134:AQ1378,"H")</f>
        <v>11821.342000000011</v>
      </c>
      <c r="BO1377" s="343">
        <f>SUMIFS($AU$134:AU1378,$AQ$134:AQ1378,"D")</f>
        <v>10706.236666666764</v>
      </c>
      <c r="BP1377" s="343">
        <f>SUMIFS($AU$134:AU1380,$AQ$134:AQ1380,"W")</f>
        <v>6099.6199999996161</v>
      </c>
      <c r="BQ1377" s="343">
        <f>SUMIFS($AU$134:AU1378,$Q$134:Q1378,"O")</f>
        <v>-1648.8579999997983</v>
      </c>
      <c r="BR1377" s="343">
        <f>SUMIFS($AU$134:AU1378,$AA$134:AA1378,"*")</f>
        <v>26800.105333333566</v>
      </c>
      <c r="BS1377" s="343">
        <f>SUMIFS($AU$134:AU1378,$AB$134:AB1378,"*")</f>
        <v>8999.7120000000268</v>
      </c>
      <c r="BT1377" s="343">
        <f>SUMIFS($AU$134:AU1378,$AC$134:AC1378,"*")</f>
        <v>18368.216666666667</v>
      </c>
      <c r="BU1377" s="343">
        <f>SUMIFS($AU$134:AU1378,$AA$134:AA1378,"*",$AB$134:AB1378,"*")</f>
        <v>4066.0000000000546</v>
      </c>
      <c r="BV1377" s="343">
        <f>SUMIFS($AU$134:AU1378,$AA$134:AA1378,"*",$AC$134:AC1378,"*")</f>
        <v>12711.983333333334</v>
      </c>
      <c r="BW1377" s="343">
        <f>SUMIFS($AU$134:AU1378,$AB$134:AB1378,"*",$AC$134:AC1378,"*")</f>
        <v>9230.6</v>
      </c>
      <c r="BX1377" s="343">
        <f>SUMIFS($AU1378:AU$1388,$Q1378:Q$1388,"F")</f>
        <v>0</v>
      </c>
      <c r="BY1377" s="343">
        <f>SUMIFS($AU1378:AU$1388,$Q1378:Q$1388,"S")</f>
        <v>0</v>
      </c>
      <c r="BZ1377" s="343">
        <f>SUMIFS($AU1378:AU$1388,$Q1378:Q$1388,"O")</f>
        <v>0</v>
      </c>
    </row>
    <row r="1378" spans="1:78" ht="15.75" customHeight="1">
      <c r="A1378" s="221" t="s">
        <v>4622</v>
      </c>
      <c r="B1378" s="200"/>
      <c r="C1378" s="178"/>
      <c r="D1378" s="178"/>
      <c r="E1378" s="227"/>
      <c r="F1378" s="180"/>
      <c r="G1378" s="181"/>
      <c r="H1378" s="182"/>
      <c r="I1378" s="182"/>
      <c r="J1378" s="182"/>
      <c r="K1378" s="183"/>
      <c r="L1378" s="182"/>
      <c r="M1378" s="182"/>
      <c r="N1378" s="182"/>
      <c r="O1378" s="183"/>
      <c r="P1378" s="183"/>
      <c r="Q1378" s="183"/>
      <c r="R1378" s="183"/>
      <c r="S1378" s="183"/>
      <c r="T1378" s="183"/>
      <c r="U1378" s="183"/>
      <c r="V1378" s="183"/>
      <c r="W1378" s="183"/>
      <c r="X1378" s="183"/>
      <c r="Y1378" s="274"/>
      <c r="Z1378" s="183"/>
      <c r="AA1378" s="185"/>
      <c r="AB1378" s="185"/>
      <c r="AC1378" s="185"/>
      <c r="AD1378" s="649"/>
      <c r="AE1378" s="182"/>
      <c r="AF1378" s="332"/>
      <c r="AG1378" s="182"/>
      <c r="AH1378" s="182"/>
      <c r="AI1378" s="182"/>
      <c r="AJ1378" s="640"/>
      <c r="AK1378" s="182"/>
      <c r="AL1378" s="496"/>
      <c r="AM1378" s="496"/>
      <c r="AN1378" s="626"/>
      <c r="AO1378" s="182"/>
      <c r="AP1378" s="182"/>
      <c r="AQ1378" s="332" t="str">
        <f>UPPER(RIGHT(Journal_Live[[#This Row],[DURATION ]]))</f>
        <v/>
      </c>
      <c r="AR1378" s="182"/>
      <c r="AS1378" s="189"/>
      <c r="AT1378" s="189"/>
      <c r="AU1378" s="187"/>
      <c r="AV1378" s="190"/>
      <c r="AW1378" s="191"/>
      <c r="AX1378" s="407" t="s">
        <v>4787</v>
      </c>
      <c r="AY1378" s="407" t="s">
        <v>4788</v>
      </c>
      <c r="AZ1378" s="407" t="s">
        <v>4789</v>
      </c>
      <c r="BA1378" s="407" t="s">
        <v>4790</v>
      </c>
      <c r="BB1378" s="407" t="s">
        <v>4791</v>
      </c>
      <c r="BC1378" s="407" t="s">
        <v>4792</v>
      </c>
      <c r="BD1378" s="407" t="s">
        <v>4793</v>
      </c>
      <c r="BE1378" s="407" t="s">
        <v>4794</v>
      </c>
      <c r="BF1378" s="422"/>
      <c r="BG1378" s="391">
        <f>SUM($AV$4:AV1378)</f>
        <v>5276.8268843547539</v>
      </c>
      <c r="BH1378" s="392">
        <f>SUM($AU$134:AU1378)</f>
        <v>33358.650666666865</v>
      </c>
      <c r="BI1378" s="318">
        <f>SUMIFS($AU$134:AU1379,$Q$134:Q1379,"F")</f>
        <v>14440.666666666668</v>
      </c>
      <c r="BJ1378" s="318">
        <f>SUMIFS($AU$134:AU1379,$Q$134:Q1379,"S")</f>
        <v>20671.642</v>
      </c>
      <c r="BK1378" s="343">
        <f>SUMIFS($AU$134:AU1379,$P$134:P1379,"W")</f>
        <v>21010.141999999927</v>
      </c>
      <c r="BL1378" s="343">
        <f>SUMIFS($AU$134:AU1379,$P$134:P1379,"R")</f>
        <v>13875.606666666656</v>
      </c>
      <c r="BM1378" s="343">
        <f>SUMIFS($AU$134:AU1379,$AQ$134:AQ1379,"M")</f>
        <v>3638.0300000001621</v>
      </c>
      <c r="BN1378" s="343">
        <f>SUMIFS($AU$134:AU1379,$AQ$134:AQ1379,"H")</f>
        <v>11821.342000000011</v>
      </c>
      <c r="BO1378" s="343">
        <f>SUMIFS($AU$134:AU1379,$AQ$134:AQ1379,"D")</f>
        <v>10706.236666666764</v>
      </c>
      <c r="BP1378" s="343">
        <f>SUMIFS($AU$134:AU1381,$AQ$134:AQ1381,"W")</f>
        <v>6099.6199999996161</v>
      </c>
      <c r="BQ1378" s="343">
        <f>SUMIFS($AU$134:AU1379,$Q$134:Q1379,"O")</f>
        <v>-1648.8579999997983</v>
      </c>
      <c r="BR1378" s="343">
        <f>SUMIFS($AU$134:AU1379,$AA$134:AA1379,"*")</f>
        <v>26800.105333333566</v>
      </c>
      <c r="BS1378" s="343">
        <f>SUMIFS($AU$134:AU1379,$AB$134:AB1379,"*")</f>
        <v>8999.7120000000268</v>
      </c>
      <c r="BT1378" s="343">
        <f>SUMIFS($AU$134:AU1379,$AC$134:AC1379,"*")</f>
        <v>18368.216666666667</v>
      </c>
      <c r="BU1378" s="343">
        <f>SUMIFS($AU$134:AU1379,$AA$134:AA1379,"*",$AB$134:AB1379,"*")</f>
        <v>4066.0000000000546</v>
      </c>
      <c r="BV1378" s="343">
        <f>SUMIFS($AU$134:AU1379,$AA$134:AA1379,"*",$AC$134:AC1379,"*")</f>
        <v>12711.983333333334</v>
      </c>
      <c r="BW1378" s="343">
        <f>SUMIFS($AU$134:AU1379,$AB$134:AB1379,"*",$AC$134:AC1379,"*")</f>
        <v>9230.6</v>
      </c>
      <c r="BX1378" s="343">
        <f>SUMIFS($AU1379:AU$1388,$Q1379:Q$1388,"F")</f>
        <v>0</v>
      </c>
      <c r="BY1378" s="343">
        <f>SUMIFS($AU1379:AU$1388,$Q1379:Q$1388,"S")</f>
        <v>0</v>
      </c>
      <c r="BZ1378" s="343">
        <f>SUMIFS($AU1379:AU$1388,$Q1379:Q$1388,"O")</f>
        <v>0</v>
      </c>
    </row>
    <row r="1379" spans="1:78" ht="15.75" customHeight="1">
      <c r="A1379" s="221" t="s">
        <v>4622</v>
      </c>
      <c r="B1379" s="177"/>
      <c r="C1379" s="178"/>
      <c r="D1379" s="178"/>
      <c r="E1379" s="227"/>
      <c r="F1379" s="180"/>
      <c r="G1379" s="181"/>
      <c r="H1379" s="182"/>
      <c r="I1379" s="182"/>
      <c r="J1379" s="182"/>
      <c r="K1379" s="183"/>
      <c r="L1379" s="182"/>
      <c r="M1379" s="182"/>
      <c r="N1379" s="182"/>
      <c r="O1379" s="183"/>
      <c r="P1379" s="183"/>
      <c r="Q1379" s="183"/>
      <c r="R1379" s="183"/>
      <c r="S1379" s="183"/>
      <c r="T1379" s="183"/>
      <c r="U1379" s="183"/>
      <c r="V1379" s="183"/>
      <c r="W1379" s="183"/>
      <c r="X1379" s="183"/>
      <c r="Y1379" s="183"/>
      <c r="Z1379" s="185" t="str">
        <f>IF(ISBLANK(O1379),"",IF(O1379="IB",8.63*200,IF(O1379="IR",16*100,IF(O1379="YT",20*100,IF(O1379="YT-XT",24*200,IF(O1379="TED",80*100))))))</f>
        <v/>
      </c>
      <c r="AA1379" s="185"/>
      <c r="AB1379" s="185"/>
      <c r="AC1379" s="185"/>
      <c r="AD1379" s="649"/>
      <c r="AE1379" s="182"/>
      <c r="AF1379" s="332"/>
      <c r="AG1379" s="182"/>
      <c r="AH1379" s="182"/>
      <c r="AI1379" s="182"/>
      <c r="AJ1379" s="640"/>
      <c r="AK1379" s="182"/>
      <c r="AL1379" s="496"/>
      <c r="AM1379" s="496"/>
      <c r="AN1379" s="626"/>
      <c r="AO1379" s="182"/>
      <c r="AP1379" s="182"/>
      <c r="AQ1379" s="332" t="str">
        <f>UPPER(RIGHT(Journal_Live[[#This Row],[DURATION ]]))</f>
        <v/>
      </c>
      <c r="AR1379" s="182"/>
      <c r="AS1379" s="189"/>
      <c r="AT1379" s="189"/>
      <c r="AU1379" s="187"/>
      <c r="AV1379" s="190"/>
      <c r="AW1379" s="191"/>
      <c r="AX1379" s="407" t="s">
        <v>4795</v>
      </c>
      <c r="AY1379" s="407" t="s">
        <v>4796</v>
      </c>
      <c r="AZ1379" s="407" t="s">
        <v>4797</v>
      </c>
      <c r="BA1379" s="407"/>
      <c r="BB1379" s="407"/>
      <c r="BC1379" s="407"/>
      <c r="BD1379" s="407"/>
      <c r="BE1379" s="407"/>
      <c r="BF1379" s="422"/>
      <c r="BG1379" s="391">
        <f>SUM($AV$4:AV1379)</f>
        <v>5276.8268843547539</v>
      </c>
      <c r="BH1379" s="392">
        <f>SUM($AU$134:AU1379)</f>
        <v>33358.650666666865</v>
      </c>
      <c r="BI1379" s="318">
        <f>SUMIFS($AU$134:AU1380,$Q$134:Q1380,"F")</f>
        <v>14440.666666666668</v>
      </c>
      <c r="BJ1379" s="318">
        <f>SUMIFS($AU$134:AU1380,$Q$134:Q1380,"S")</f>
        <v>20671.642</v>
      </c>
      <c r="BK1379" s="343">
        <f>SUMIFS($AU$134:AU1380,$P$134:P1380,"W")</f>
        <v>21010.141999999927</v>
      </c>
      <c r="BL1379" s="343">
        <f>SUMIFS($AU$134:AU1380,$P$134:P1380,"R")</f>
        <v>13875.606666666656</v>
      </c>
      <c r="BM1379" s="343">
        <f>SUMIFS($AU$134:AU1380,$AQ$134:AQ1380,"M")</f>
        <v>3638.0300000001621</v>
      </c>
      <c r="BN1379" s="343">
        <f>SUMIFS($AU$134:AU1380,$AQ$134:AQ1380,"H")</f>
        <v>11821.342000000011</v>
      </c>
      <c r="BO1379" s="343">
        <f>SUMIFS($AU$134:AU1380,$AQ$134:AQ1380,"D")</f>
        <v>10706.236666666764</v>
      </c>
      <c r="BP1379" s="343">
        <f>SUMIFS($AU$134:AU1382,$AQ$134:AQ1382,"W")</f>
        <v>6099.6199999996161</v>
      </c>
      <c r="BQ1379" s="343">
        <f>SUMIFS($AU$134:AU1380,$Q$134:Q1380,"O")</f>
        <v>-1648.8579999997983</v>
      </c>
      <c r="BR1379" s="343">
        <f>SUMIFS($AU$134:AU1380,$AA$134:AA1380,"*")</f>
        <v>26800.105333333566</v>
      </c>
      <c r="BS1379" s="343">
        <f>SUMIFS($AU$134:AU1380,$AB$134:AB1380,"*")</f>
        <v>8999.7120000000268</v>
      </c>
      <c r="BT1379" s="343">
        <f>SUMIFS($AU$134:AU1380,$AC$134:AC1380,"*")</f>
        <v>18368.216666666667</v>
      </c>
      <c r="BU1379" s="343">
        <f>SUMIFS($AU$134:AU1380,$AA$134:AA1380,"*",$AB$134:AB1380,"*")</f>
        <v>4066.0000000000546</v>
      </c>
      <c r="BV1379" s="343">
        <f>SUMIFS($AU$134:AU1380,$AA$134:AA1380,"*",$AC$134:AC1380,"*")</f>
        <v>12711.983333333334</v>
      </c>
      <c r="BW1379" s="343">
        <f>SUMIFS($AU$134:AU1380,$AB$134:AB1380,"*",$AC$134:AC1380,"*")</f>
        <v>9230.6</v>
      </c>
      <c r="BX1379" s="343">
        <f>SUMIFS($AU1380:AU$1388,$Q1380:Q$1388,"F")</f>
        <v>0</v>
      </c>
      <c r="BY1379" s="343">
        <f>SUMIFS($AU1380:AU$1388,$Q1380:Q$1388,"S")</f>
        <v>0</v>
      </c>
      <c r="BZ1379" s="343">
        <f>SUMIFS($AU1380:AU$1388,$Q1380:Q$1388,"O")</f>
        <v>0</v>
      </c>
    </row>
    <row r="1380" spans="1:78" ht="15.75" customHeight="1">
      <c r="A1380" s="221" t="s">
        <v>4622</v>
      </c>
      <c r="B1380" s="177">
        <v>45272</v>
      </c>
      <c r="C1380" s="178" t="s">
        <v>1344</v>
      </c>
      <c r="D1380" s="178" t="s">
        <v>146</v>
      </c>
      <c r="E1380" s="227" t="s">
        <v>4798</v>
      </c>
      <c r="F1380" s="180" t="s">
        <v>4799</v>
      </c>
      <c r="G1380" s="181"/>
      <c r="H1380" s="182"/>
      <c r="I1380" s="182">
        <v>1</v>
      </c>
      <c r="J1380" s="182"/>
      <c r="K1380" s="183"/>
      <c r="L1380" s="182"/>
      <c r="M1380" s="182"/>
      <c r="N1380" s="182"/>
      <c r="O1380" s="183"/>
      <c r="P1380" s="183"/>
      <c r="Q1380" s="183"/>
      <c r="R1380" s="183"/>
      <c r="S1380" s="183"/>
      <c r="T1380" s="183"/>
      <c r="U1380" s="183"/>
      <c r="V1380" s="183"/>
      <c r="W1380" s="183"/>
      <c r="X1380" s="183"/>
      <c r="Y1380" s="183"/>
      <c r="Z1380" s="185" t="str">
        <f>IF(ISBLANK(O1380),"",IF(O1380="IB",8.63*200,IF(O1380="IR",16*100,IF(O1380="YT",20*100,IF(O1380="YT-XT",24*200,IF(O1380="TED",80*100))))))</f>
        <v/>
      </c>
      <c r="AA1380" s="185"/>
      <c r="AB1380" s="185"/>
      <c r="AC1380" s="185"/>
      <c r="AD1380" s="649"/>
      <c r="AE1380" s="182"/>
      <c r="AF1380" s="332"/>
      <c r="AG1380" s="182"/>
      <c r="AH1380" s="182"/>
      <c r="AI1380" s="182"/>
      <c r="AJ1380" s="640"/>
      <c r="AK1380" s="182"/>
      <c r="AL1380" s="496"/>
      <c r="AM1380" s="496"/>
      <c r="AN1380" s="626"/>
      <c r="AO1380" s="182"/>
      <c r="AP1380" s="182"/>
      <c r="AQ1380" s="332" t="str">
        <f>UPPER(RIGHT(Journal_Live[[#This Row],[DURATION ]]))</f>
        <v/>
      </c>
      <c r="AR1380" s="182"/>
      <c r="AS1380" s="189"/>
      <c r="AT1380" s="189"/>
      <c r="AU1380" s="187"/>
      <c r="AV1380" s="190"/>
      <c r="AW1380" s="191"/>
      <c r="AX1380" s="407"/>
      <c r="AY1380" s="407"/>
      <c r="AZ1380" s="407"/>
      <c r="BA1380" s="407"/>
      <c r="BB1380" s="407"/>
      <c r="BC1380" s="407"/>
      <c r="BD1380" s="407"/>
      <c r="BE1380" s="407"/>
      <c r="BF1380" s="422"/>
      <c r="BG1380" s="391">
        <f>SUM($AV$4:AV1380)</f>
        <v>5276.8268843547539</v>
      </c>
      <c r="BH1380" s="392">
        <f>SUM($AU$134:AU1380)</f>
        <v>33358.650666666865</v>
      </c>
      <c r="BI1380" s="318">
        <f>SUMIFS($AU$134:AU1381,$Q$134:Q1381,"F")</f>
        <v>14440.666666666668</v>
      </c>
      <c r="BJ1380" s="318">
        <f>SUMIFS($AU$134:AU1381,$Q$134:Q1381,"S")</f>
        <v>20671.642</v>
      </c>
      <c r="BK1380" s="343">
        <f>SUMIFS($AU$134:AU1381,$P$134:P1381,"W")</f>
        <v>21010.141999999927</v>
      </c>
      <c r="BL1380" s="343">
        <f>SUMIFS($AU$134:AU1381,$P$134:P1381,"R")</f>
        <v>13875.606666666656</v>
      </c>
      <c r="BM1380" s="343">
        <f>SUMIFS($AU$134:AU1381,$AQ$134:AQ1381,"M")</f>
        <v>3638.0300000001621</v>
      </c>
      <c r="BN1380" s="343">
        <f>SUMIFS($AU$134:AU1381,$AQ$134:AQ1381,"H")</f>
        <v>11821.342000000011</v>
      </c>
      <c r="BO1380" s="343">
        <f>SUMIFS($AU$134:AU1381,$AQ$134:AQ1381,"D")</f>
        <v>10706.236666666764</v>
      </c>
      <c r="BP1380" s="343">
        <f>SUMIFS($AU$134:AU1383,$AQ$134:AQ1383,"W")</f>
        <v>6099.6199999996161</v>
      </c>
      <c r="BQ1380" s="343">
        <f>SUMIFS($AU$134:AU1381,$Q$134:Q1381,"O")</f>
        <v>-1648.8579999997983</v>
      </c>
      <c r="BR1380" s="343">
        <f>SUMIFS($AU$134:AU1381,$AA$134:AA1381,"*")</f>
        <v>26800.105333333566</v>
      </c>
      <c r="BS1380" s="343">
        <f>SUMIFS($AU$134:AU1381,$AB$134:AB1381,"*")</f>
        <v>8999.7120000000268</v>
      </c>
      <c r="BT1380" s="343">
        <f>SUMIFS($AU$134:AU1381,$AC$134:AC1381,"*")</f>
        <v>18368.216666666667</v>
      </c>
      <c r="BU1380" s="343">
        <f>SUMIFS($AU$134:AU1381,$AA$134:AA1381,"*",$AB$134:AB1381,"*")</f>
        <v>4066.0000000000546</v>
      </c>
      <c r="BV1380" s="343">
        <f>SUMIFS($AU$134:AU1381,$AA$134:AA1381,"*",$AC$134:AC1381,"*")</f>
        <v>12711.983333333334</v>
      </c>
      <c r="BW1380" s="343">
        <f>SUMIFS($AU$134:AU1381,$AB$134:AB1381,"*",$AC$134:AC1381,"*")</f>
        <v>9230.6</v>
      </c>
      <c r="BX1380" s="343">
        <f>SUMIFS($AU1381:AU$1388,$Q1381:Q$1388,"F")</f>
        <v>0</v>
      </c>
      <c r="BY1380" s="343">
        <f>SUMIFS($AU1381:AU$1388,$Q1381:Q$1388,"S")</f>
        <v>0</v>
      </c>
      <c r="BZ1380" s="343">
        <f>SUMIFS($AU1381:AU$1388,$Q1381:Q$1388,"O")</f>
        <v>0</v>
      </c>
    </row>
    <row r="1381" spans="1:78" ht="15.75" customHeight="1">
      <c r="A1381" s="221" t="s">
        <v>4622</v>
      </c>
      <c r="B1381" s="177"/>
      <c r="C1381" s="178"/>
      <c r="D1381" s="178"/>
      <c r="E1381" s="227" t="s">
        <v>4800</v>
      </c>
      <c r="F1381" s="180"/>
      <c r="G1381" s="181"/>
      <c r="H1381" s="182"/>
      <c r="I1381" s="182">
        <v>1</v>
      </c>
      <c r="J1381" s="182"/>
      <c r="K1381" s="183"/>
      <c r="L1381" s="182"/>
      <c r="M1381" s="182"/>
      <c r="N1381" s="182"/>
      <c r="O1381" s="183"/>
      <c r="P1381" s="183"/>
      <c r="Q1381" s="183"/>
      <c r="R1381" s="183"/>
      <c r="S1381" s="183"/>
      <c r="T1381" s="183"/>
      <c r="U1381" s="183"/>
      <c r="V1381" s="183"/>
      <c r="W1381" s="183"/>
      <c r="X1381" s="183"/>
      <c r="Y1381" s="183"/>
      <c r="Z1381" s="185" t="str">
        <f>IF(ISBLANK(O1381),"",IF(O1381="IB",8.63*200,IF(O1381="IR",16*100,IF(O1381="YT",20*100,IF(O1381="YT-XT",24*200,IF(O1381="TED",80*100))))))</f>
        <v/>
      </c>
      <c r="AA1381" s="185"/>
      <c r="AB1381" s="185"/>
      <c r="AC1381" s="185"/>
      <c r="AD1381" s="649"/>
      <c r="AE1381" s="182"/>
      <c r="AF1381" s="332"/>
      <c r="AG1381" s="182"/>
      <c r="AH1381" s="182"/>
      <c r="AI1381" s="182"/>
      <c r="AJ1381" s="640"/>
      <c r="AK1381" s="182"/>
      <c r="AL1381" s="496"/>
      <c r="AM1381" s="496"/>
      <c r="AN1381" s="626"/>
      <c r="AO1381" s="182"/>
      <c r="AP1381" s="182"/>
      <c r="AQ1381" s="332" t="str">
        <f>UPPER(RIGHT(Journal_Live[[#This Row],[DURATION ]]))</f>
        <v/>
      </c>
      <c r="AR1381" s="182"/>
      <c r="AS1381" s="189"/>
      <c r="AT1381" s="189"/>
      <c r="AU1381" s="187"/>
      <c r="AV1381" s="190"/>
      <c r="AW1381" s="191"/>
      <c r="AX1381" s="407"/>
      <c r="AY1381" s="407"/>
      <c r="AZ1381" s="407"/>
      <c r="BA1381" s="407"/>
      <c r="BB1381" s="407"/>
      <c r="BC1381" s="407"/>
      <c r="BD1381" s="407"/>
      <c r="BE1381" s="407"/>
      <c r="BF1381" s="422"/>
      <c r="BG1381" s="391">
        <f>SUM($AV$4:AV1381)</f>
        <v>5276.8268843547539</v>
      </c>
      <c r="BH1381" s="392">
        <f>SUM($AU$134:AU1381)</f>
        <v>33358.650666666865</v>
      </c>
      <c r="BI1381" s="318">
        <f>SUMIFS($AU$134:AU1382,$Q$134:Q1382,"F")</f>
        <v>14440.666666666668</v>
      </c>
      <c r="BJ1381" s="318">
        <f>SUMIFS($AU$134:AU1382,$Q$134:Q1382,"S")</f>
        <v>20671.642</v>
      </c>
      <c r="BK1381" s="343">
        <f>SUMIFS($AU$134:AU1382,$P$134:P1382,"W")</f>
        <v>21010.141999999927</v>
      </c>
      <c r="BL1381" s="343">
        <f>SUMIFS($AU$134:AU1382,$P$134:P1382,"R")</f>
        <v>13875.606666666656</v>
      </c>
      <c r="BM1381" s="343">
        <f>SUMIFS($AU$134:AU1382,$AQ$134:AQ1382,"M")</f>
        <v>3638.0300000001621</v>
      </c>
      <c r="BN1381" s="343">
        <f>SUMIFS($AU$134:AU1382,$AQ$134:AQ1382,"H")</f>
        <v>11821.342000000011</v>
      </c>
      <c r="BO1381" s="343">
        <f>SUMIFS($AU$134:AU1382,$AQ$134:AQ1382,"D")</f>
        <v>10706.236666666764</v>
      </c>
      <c r="BP1381" s="343">
        <f>SUMIFS($AU$134:AU1384,$AQ$134:AQ1384,"W")</f>
        <v>6099.6199999996161</v>
      </c>
      <c r="BQ1381" s="343">
        <f>SUMIFS($AU$134:AU1382,$Q$134:Q1382,"O")</f>
        <v>-1648.8579999997983</v>
      </c>
      <c r="BR1381" s="343">
        <f>SUMIFS($AU$134:AU1382,$AA$134:AA1382,"*")</f>
        <v>26800.105333333566</v>
      </c>
      <c r="BS1381" s="343">
        <f>SUMIFS($AU$134:AU1382,$AB$134:AB1382,"*")</f>
        <v>8999.7120000000268</v>
      </c>
      <c r="BT1381" s="343">
        <f>SUMIFS($AU$134:AU1382,$AC$134:AC1382,"*")</f>
        <v>18368.216666666667</v>
      </c>
      <c r="BU1381" s="343">
        <f>SUMIFS($AU$134:AU1382,$AA$134:AA1382,"*",$AB$134:AB1382,"*")</f>
        <v>4066.0000000000546</v>
      </c>
      <c r="BV1381" s="343">
        <f>SUMIFS($AU$134:AU1382,$AA$134:AA1382,"*",$AC$134:AC1382,"*")</f>
        <v>12711.983333333334</v>
      </c>
      <c r="BW1381" s="343">
        <f>SUMIFS($AU$134:AU1382,$AB$134:AB1382,"*",$AC$134:AC1382,"*")</f>
        <v>9230.6</v>
      </c>
      <c r="BX1381" s="343">
        <f>SUMIFS($AU1382:AU$1388,$Q1382:Q$1388,"F")</f>
        <v>0</v>
      </c>
      <c r="BY1381" s="343">
        <f>SUMIFS($AU1382:AU$1388,$Q1382:Q$1388,"S")</f>
        <v>0</v>
      </c>
      <c r="BZ1381" s="343">
        <f>SUMIFS($AU1382:AU$1388,$Q1382:Q$1388,"O")</f>
        <v>0</v>
      </c>
    </row>
    <row r="1382" spans="1:78" ht="15.75" customHeight="1">
      <c r="A1382" s="221" t="s">
        <v>4622</v>
      </c>
      <c r="B1382" s="177"/>
      <c r="C1382" s="178"/>
      <c r="D1382" s="178"/>
      <c r="E1382" s="227" t="s">
        <v>4801</v>
      </c>
      <c r="F1382" s="180"/>
      <c r="G1382" s="181"/>
      <c r="H1382" s="182">
        <v>1</v>
      </c>
      <c r="I1382" s="182"/>
      <c r="J1382" s="182"/>
      <c r="K1382" s="183" t="s">
        <v>372</v>
      </c>
      <c r="L1382" s="182"/>
      <c r="M1382" s="182"/>
      <c r="N1382" s="182"/>
      <c r="O1382" s="183"/>
      <c r="P1382" s="183"/>
      <c r="Q1382" s="183"/>
      <c r="R1382" s="183"/>
      <c r="S1382" s="183"/>
      <c r="T1382" s="183"/>
      <c r="U1382" s="183"/>
      <c r="V1382" s="183"/>
      <c r="W1382" s="183"/>
      <c r="X1382" s="183"/>
      <c r="Y1382" s="183"/>
      <c r="Z1382" s="185" t="str">
        <f>IF(ISBLANK(O1382),"",IF(O1382="IB",8.63*200,IF(O1382="IR",16*100,IF(O1382="YT",20*100,IF(O1382="YT-XT",24*200,IF(O1382="TED",80*100))))))</f>
        <v/>
      </c>
      <c r="AA1382" s="185"/>
      <c r="AB1382" s="185"/>
      <c r="AC1382" s="185"/>
      <c r="AD1382" s="649"/>
      <c r="AE1382" s="182"/>
      <c r="AF1382" s="332"/>
      <c r="AG1382" s="182"/>
      <c r="AH1382" s="182"/>
      <c r="AI1382" s="182"/>
      <c r="AJ1382" s="640"/>
      <c r="AK1382" s="182"/>
      <c r="AL1382" s="496"/>
      <c r="AM1382" s="496"/>
      <c r="AN1382" s="626"/>
      <c r="AO1382" s="182"/>
      <c r="AP1382" s="182"/>
      <c r="AQ1382" s="332" t="str">
        <f>UPPER(RIGHT(Journal_Live[[#This Row],[DURATION ]]))</f>
        <v/>
      </c>
      <c r="AR1382" s="182"/>
      <c r="AS1382" s="189"/>
      <c r="AT1382" s="189"/>
      <c r="AU1382" s="187"/>
      <c r="AV1382" s="190"/>
      <c r="AW1382" s="191"/>
      <c r="AX1382" s="407"/>
      <c r="AY1382" s="407"/>
      <c r="AZ1382" s="407"/>
      <c r="BA1382" s="407"/>
      <c r="BB1382" s="407"/>
      <c r="BC1382" s="407"/>
      <c r="BD1382" s="407"/>
      <c r="BE1382" s="407"/>
      <c r="BF1382" s="422"/>
      <c r="BG1382" s="391">
        <f>SUM($AV$4:AV1382)</f>
        <v>5276.8268843547539</v>
      </c>
      <c r="BH1382" s="392">
        <f>SUM($AU$134:AU1382)</f>
        <v>33358.650666666865</v>
      </c>
      <c r="BI1382" s="318">
        <f>SUMIFS($AU$134:AU1383,$Q$134:Q1383,"F")</f>
        <v>14440.666666666668</v>
      </c>
      <c r="BJ1382" s="318">
        <f>SUMIFS($AU$134:AU1383,$Q$134:Q1383,"S")</f>
        <v>20671.642</v>
      </c>
      <c r="BK1382" s="343">
        <f>SUMIFS($AU$134:AU1383,$P$134:P1383,"W")</f>
        <v>21010.141999999927</v>
      </c>
      <c r="BL1382" s="343">
        <f>SUMIFS($AU$134:AU1383,$P$134:P1383,"R")</f>
        <v>13875.606666666656</v>
      </c>
      <c r="BM1382" s="343">
        <f>SUMIFS($AU$134:AU1383,$AQ$134:AQ1383,"M")</f>
        <v>3638.0300000001621</v>
      </c>
      <c r="BN1382" s="343">
        <f>SUMIFS($AU$134:AU1383,$AQ$134:AQ1383,"H")</f>
        <v>11821.342000000011</v>
      </c>
      <c r="BO1382" s="343">
        <f>SUMIFS($AU$134:AU1383,$AQ$134:AQ1383,"D")</f>
        <v>10706.236666666764</v>
      </c>
      <c r="BP1382" s="343">
        <f>SUMIFS($AU$134:AU1385,$AQ$134:AQ1385,"W")</f>
        <v>6099.6199999996161</v>
      </c>
      <c r="BQ1382" s="343">
        <f>SUMIFS($AU$134:AU1383,$Q$134:Q1383,"O")</f>
        <v>-1648.8579999997983</v>
      </c>
      <c r="BR1382" s="343">
        <f>SUMIFS($AU$134:AU1383,$AA$134:AA1383,"*")</f>
        <v>26800.105333333566</v>
      </c>
      <c r="BS1382" s="343">
        <f>SUMIFS($AU$134:AU1383,$AB$134:AB1383,"*")</f>
        <v>8999.7120000000268</v>
      </c>
      <c r="BT1382" s="343">
        <f>SUMIFS($AU$134:AU1383,$AC$134:AC1383,"*")</f>
        <v>18368.216666666667</v>
      </c>
      <c r="BU1382" s="343">
        <f>SUMIFS($AU$134:AU1383,$AA$134:AA1383,"*",$AB$134:AB1383,"*")</f>
        <v>4066.0000000000546</v>
      </c>
      <c r="BV1382" s="343">
        <f>SUMIFS($AU$134:AU1383,$AA$134:AA1383,"*",$AC$134:AC1383,"*")</f>
        <v>12711.983333333334</v>
      </c>
      <c r="BW1382" s="343">
        <f>SUMIFS($AU$134:AU1383,$AB$134:AB1383,"*",$AC$134:AC1383,"*")</f>
        <v>9230.6</v>
      </c>
      <c r="BX1382" s="343">
        <f>SUMIFS($AU1383:AU$1388,$Q1383:Q$1388,"F")</f>
        <v>0</v>
      </c>
      <c r="BY1382" s="343">
        <f>SUMIFS($AU1383:AU$1388,$Q1383:Q$1388,"S")</f>
        <v>0</v>
      </c>
      <c r="BZ1382" s="343">
        <f>SUMIFS($AU1383:AU$1388,$Q1383:Q$1388,"O")</f>
        <v>0</v>
      </c>
    </row>
    <row r="1383" spans="1:78" ht="15.75" customHeight="1">
      <c r="A1383" s="221" t="s">
        <v>4622</v>
      </c>
      <c r="B1383" s="200">
        <v>45274</v>
      </c>
      <c r="C1383" s="178" t="s">
        <v>1637</v>
      </c>
      <c r="D1383" s="178" t="s">
        <v>93</v>
      </c>
      <c r="E1383" s="227" t="s">
        <v>4802</v>
      </c>
      <c r="F1383" s="180" t="s">
        <v>4803</v>
      </c>
      <c r="G1383" s="181"/>
      <c r="H1383" s="182"/>
      <c r="I1383" s="182"/>
      <c r="J1383" s="182"/>
      <c r="K1383" s="183"/>
      <c r="L1383" s="182"/>
      <c r="M1383" s="182"/>
      <c r="N1383" s="182"/>
      <c r="O1383" s="183"/>
      <c r="P1383" s="183"/>
      <c r="Q1383" s="183"/>
      <c r="R1383" s="183"/>
      <c r="S1383" s="183"/>
      <c r="T1383" s="183"/>
      <c r="U1383" s="183"/>
      <c r="V1383" s="183"/>
      <c r="W1383" s="183"/>
      <c r="X1383" s="183"/>
      <c r="Y1383" s="183"/>
      <c r="Z1383" s="183"/>
      <c r="AA1383" s="185"/>
      <c r="AB1383" s="185"/>
      <c r="AC1383" s="185"/>
      <c r="AD1383" s="649"/>
      <c r="AE1383" s="182"/>
      <c r="AF1383" s="332"/>
      <c r="AG1383" s="182"/>
      <c r="AH1383" s="182"/>
      <c r="AI1383" s="182"/>
      <c r="AJ1383" s="640"/>
      <c r="AK1383" s="182"/>
      <c r="AL1383" s="496"/>
      <c r="AM1383" s="496"/>
      <c r="AN1383" s="626"/>
      <c r="AO1383" s="182"/>
      <c r="AP1383" s="182"/>
      <c r="AQ1383" s="332" t="str">
        <f>UPPER(RIGHT(Journal_Live[[#This Row],[DURATION ]]))</f>
        <v/>
      </c>
      <c r="AR1383" s="182"/>
      <c r="AS1383" s="189"/>
      <c r="AT1383" s="189"/>
      <c r="AU1383" s="187"/>
      <c r="AV1383" s="190"/>
      <c r="AW1383" s="191"/>
      <c r="AX1383" s="407" t="s">
        <v>4804</v>
      </c>
      <c r="AY1383" s="407" t="s">
        <v>4805</v>
      </c>
      <c r="AZ1383" s="407"/>
      <c r="BA1383" s="407"/>
      <c r="BB1383" s="407"/>
      <c r="BC1383" s="407"/>
      <c r="BD1383" s="407"/>
      <c r="BE1383" s="407"/>
      <c r="BF1383" s="422"/>
      <c r="BG1383" s="391">
        <f>SUM($AV$4:AV1383)</f>
        <v>5276.8268843547539</v>
      </c>
      <c r="BH1383" s="392">
        <f>SUM($AU$134:AU1383)</f>
        <v>33358.650666666865</v>
      </c>
      <c r="BI1383" s="318">
        <f>SUMIFS($AU$134:AU1384,$Q$134:Q1384,"F")</f>
        <v>14440.666666666668</v>
      </c>
      <c r="BJ1383" s="318">
        <f>SUMIFS($AU$134:AU1384,$Q$134:Q1384,"S")</f>
        <v>20671.642</v>
      </c>
      <c r="BK1383" s="343">
        <f>SUMIFS($AU$134:AU1384,$P$134:P1384,"W")</f>
        <v>21010.141999999927</v>
      </c>
      <c r="BL1383" s="343">
        <f>SUMIFS($AU$134:AU1384,$P$134:P1384,"R")</f>
        <v>13875.606666666656</v>
      </c>
      <c r="BM1383" s="343">
        <f>SUMIFS($AU$134:AU1384,$AQ$134:AQ1384,"M")</f>
        <v>3638.0300000001621</v>
      </c>
      <c r="BN1383" s="343">
        <f>SUMIFS($AU$134:AU1384,$AQ$134:AQ1384,"H")</f>
        <v>11821.342000000011</v>
      </c>
      <c r="BO1383" s="343">
        <f>SUMIFS($AU$134:AU1384,$AQ$134:AQ1384,"D")</f>
        <v>10706.236666666764</v>
      </c>
      <c r="BP1383" s="343">
        <f>SUMIFS($AU$134:AU1386,$AQ$134:AQ1386,"W")</f>
        <v>6099.6199999996161</v>
      </c>
      <c r="BQ1383" s="343">
        <f>SUMIFS($AU$134:AU1384,$Q$134:Q1384,"O")</f>
        <v>-1648.8579999997983</v>
      </c>
      <c r="BR1383" s="343">
        <f>SUMIFS($AU$134:AU1384,$AA$134:AA1384,"*")</f>
        <v>26800.105333333566</v>
      </c>
      <c r="BS1383" s="343">
        <f>SUMIFS($AU$134:AU1384,$AB$134:AB1384,"*")</f>
        <v>8999.7120000000268</v>
      </c>
      <c r="BT1383" s="343">
        <f>SUMIFS($AU$134:AU1384,$AC$134:AC1384,"*")</f>
        <v>18368.216666666667</v>
      </c>
      <c r="BU1383" s="343">
        <f>SUMIFS($AU$134:AU1384,$AA$134:AA1384,"*",$AB$134:AB1384,"*")</f>
        <v>4066.0000000000546</v>
      </c>
      <c r="BV1383" s="343">
        <f>SUMIFS($AU$134:AU1384,$AA$134:AA1384,"*",$AC$134:AC1384,"*")</f>
        <v>12711.983333333334</v>
      </c>
      <c r="BW1383" s="343">
        <f>SUMIFS($AU$134:AU1384,$AB$134:AB1384,"*",$AC$134:AC1384,"*")</f>
        <v>9230.6</v>
      </c>
      <c r="BX1383" s="343">
        <f>SUMIFS($AU1384:AU$1388,$Q1384:Q$1388,"F")</f>
        <v>0</v>
      </c>
      <c r="BY1383" s="343">
        <f>SUMIFS($AU1384:AU$1388,$Q1384:Q$1388,"S")</f>
        <v>0</v>
      </c>
      <c r="BZ1383" s="343">
        <f>SUMIFS($AU1384:AU$1388,$Q1384:Q$1388,"O")</f>
        <v>0</v>
      </c>
    </row>
    <row r="1384" spans="1:78" ht="15.75" customHeight="1">
      <c r="A1384" s="221" t="s">
        <v>4622</v>
      </c>
      <c r="B1384" s="177"/>
      <c r="C1384" s="178"/>
      <c r="D1384" s="178"/>
      <c r="E1384" s="227"/>
      <c r="F1384" s="180"/>
      <c r="G1384" s="181"/>
      <c r="H1384" s="182"/>
      <c r="I1384" s="182"/>
      <c r="J1384" s="182"/>
      <c r="K1384" s="183"/>
      <c r="L1384" s="182"/>
      <c r="M1384" s="182"/>
      <c r="N1384" s="182"/>
      <c r="O1384" s="183"/>
      <c r="P1384" s="183"/>
      <c r="Q1384" s="183"/>
      <c r="R1384" s="183"/>
      <c r="S1384" s="183"/>
      <c r="T1384" s="183"/>
      <c r="U1384" s="183"/>
      <c r="V1384" s="183"/>
      <c r="W1384" s="183"/>
      <c r="X1384" s="183"/>
      <c r="Y1384" s="183"/>
      <c r="Z1384" s="185" t="str">
        <f>IF(ISBLANK(O1384),"",IF(O1384="IB",8.63*200,IF(O1384="IR",16*100,IF(O1384="YT",20*100,IF(O1384="YT-XT",24*200,IF(O1384="TED",80*100))))))</f>
        <v/>
      </c>
      <c r="AA1384" s="185"/>
      <c r="AB1384" s="185"/>
      <c r="AC1384" s="185"/>
      <c r="AD1384" s="649"/>
      <c r="AE1384" s="182"/>
      <c r="AF1384" s="332"/>
      <c r="AG1384" s="182"/>
      <c r="AH1384" s="182"/>
      <c r="AI1384" s="182"/>
      <c r="AJ1384" s="640"/>
      <c r="AK1384" s="182"/>
      <c r="AL1384" s="496"/>
      <c r="AM1384" s="496"/>
      <c r="AN1384" s="626"/>
      <c r="AO1384" s="182"/>
      <c r="AP1384" s="182"/>
      <c r="AQ1384" s="332" t="str">
        <f>UPPER(RIGHT(Journal_Live[[#This Row],[DURATION ]]))</f>
        <v/>
      </c>
      <c r="AR1384" s="182"/>
      <c r="AS1384" s="189"/>
      <c r="AT1384" s="189"/>
      <c r="AU1384" s="187"/>
      <c r="AV1384" s="190"/>
      <c r="AW1384" s="191"/>
      <c r="AX1384" s="407" t="s">
        <v>4806</v>
      </c>
      <c r="AY1384" s="407"/>
      <c r="AZ1384" s="407"/>
      <c r="BA1384" s="407"/>
      <c r="BB1384" s="407"/>
      <c r="BC1384" s="407"/>
      <c r="BD1384" s="407"/>
      <c r="BE1384" s="407"/>
      <c r="BF1384" s="422"/>
      <c r="BG1384" s="391">
        <f>SUM($AV$4:AV1384)</f>
        <v>5276.8268843547539</v>
      </c>
      <c r="BH1384" s="392">
        <f>SUM($AU$134:AU1384)</f>
        <v>33358.650666666865</v>
      </c>
      <c r="BI1384" s="318">
        <f>SUMIFS($AU$134:AU1385,$Q$134:Q1385,"F")</f>
        <v>14440.666666666668</v>
      </c>
      <c r="BJ1384" s="318">
        <f>SUMIFS($AU$134:AU1385,$Q$134:Q1385,"S")</f>
        <v>20671.642</v>
      </c>
      <c r="BK1384" s="343">
        <f>SUMIFS($AU$134:AU1385,$P$134:P1385,"W")</f>
        <v>21010.141999999927</v>
      </c>
      <c r="BL1384" s="343">
        <f>SUMIFS($AU$134:AU1385,$P$134:P1385,"R")</f>
        <v>13875.606666666656</v>
      </c>
      <c r="BM1384" s="343">
        <f>SUMIFS($AU$134:AU1385,$AQ$134:AQ1385,"M")</f>
        <v>3638.0300000001621</v>
      </c>
      <c r="BN1384" s="343">
        <f>SUMIFS($AU$134:AU1385,$AQ$134:AQ1385,"H")</f>
        <v>11821.342000000011</v>
      </c>
      <c r="BO1384" s="343">
        <f>SUMIFS($AU$134:AU1385,$AQ$134:AQ1385,"D")</f>
        <v>10706.236666666764</v>
      </c>
      <c r="BP1384" s="343">
        <f>SUMIFS($AU$134:AU1387,$AQ$134:AQ1387,"W")</f>
        <v>6099.6199999996161</v>
      </c>
      <c r="BQ1384" s="343">
        <f>SUMIFS($AU$134:AU1385,$Q$134:Q1385,"O")</f>
        <v>-1648.8579999997983</v>
      </c>
      <c r="BR1384" s="343">
        <f>SUMIFS($AU$134:AU1385,$AA$134:AA1385,"*")</f>
        <v>26800.105333333566</v>
      </c>
      <c r="BS1384" s="343">
        <f>SUMIFS($AU$134:AU1385,$AB$134:AB1385,"*")</f>
        <v>8999.7120000000268</v>
      </c>
      <c r="BT1384" s="343">
        <f>SUMIFS($AU$134:AU1385,$AC$134:AC1385,"*")</f>
        <v>18368.216666666667</v>
      </c>
      <c r="BU1384" s="343">
        <f>SUMIFS($AU$134:AU1385,$AA$134:AA1385,"*",$AB$134:AB1385,"*")</f>
        <v>4066.0000000000546</v>
      </c>
      <c r="BV1384" s="343">
        <f>SUMIFS($AU$134:AU1385,$AA$134:AA1385,"*",$AC$134:AC1385,"*")</f>
        <v>12711.983333333334</v>
      </c>
      <c r="BW1384" s="343">
        <f>SUMIFS($AU$134:AU1385,$AB$134:AB1385,"*",$AC$134:AC1385,"*")</f>
        <v>9230.6</v>
      </c>
      <c r="BX1384" s="343">
        <f>SUMIFS($AU1385:AU$1388,$Q1385:Q$1388,"F")</f>
        <v>0</v>
      </c>
      <c r="BY1384" s="343">
        <f>SUMIFS($AU1385:AU$1388,$Q1385:Q$1388,"S")</f>
        <v>0</v>
      </c>
      <c r="BZ1384" s="343">
        <f>SUMIFS($AU1385:AU$1388,$Q1385:Q$1388,"O")</f>
        <v>0</v>
      </c>
    </row>
    <row r="1385" spans="1:78" ht="15.75" customHeight="1">
      <c r="A1385" s="221" t="s">
        <v>4622</v>
      </c>
      <c r="B1385" s="177"/>
      <c r="C1385" s="178"/>
      <c r="D1385" s="178"/>
      <c r="E1385" s="227"/>
      <c r="F1385" s="180"/>
      <c r="G1385" s="181"/>
      <c r="H1385" s="182"/>
      <c r="I1385" s="182"/>
      <c r="J1385" s="182"/>
      <c r="K1385" s="183"/>
      <c r="L1385" s="182"/>
      <c r="M1385" s="182"/>
      <c r="N1385" s="182"/>
      <c r="O1385" s="183"/>
      <c r="P1385" s="183"/>
      <c r="Q1385" s="183"/>
      <c r="R1385" s="183"/>
      <c r="S1385" s="183"/>
      <c r="T1385" s="183"/>
      <c r="U1385" s="183"/>
      <c r="V1385" s="183"/>
      <c r="W1385" s="183"/>
      <c r="X1385" s="183"/>
      <c r="Y1385" s="183"/>
      <c r="Z1385" s="185" t="str">
        <f>IF(ISBLANK(O1385),"",IF(O1385="IB",8.63*200,IF(O1385="IR",16*100,IF(O1385="YT",20*100,IF(O1385="YT-XT",24*200,IF(O1385="TED",80*100))))))</f>
        <v/>
      </c>
      <c r="AA1385" s="185"/>
      <c r="AB1385" s="185"/>
      <c r="AC1385" s="185"/>
      <c r="AD1385" s="649"/>
      <c r="AE1385" s="182"/>
      <c r="AF1385" s="332"/>
      <c r="AG1385" s="182"/>
      <c r="AH1385" s="182"/>
      <c r="AI1385" s="182"/>
      <c r="AJ1385" s="640"/>
      <c r="AK1385" s="182"/>
      <c r="AL1385" s="496"/>
      <c r="AM1385" s="496"/>
      <c r="AN1385" s="626"/>
      <c r="AO1385" s="182"/>
      <c r="AP1385" s="182"/>
      <c r="AQ1385" s="332" t="str">
        <f>UPPER(RIGHT(Journal_Live[[#This Row],[DURATION ]]))</f>
        <v/>
      </c>
      <c r="AR1385" s="182"/>
      <c r="AS1385" s="189"/>
      <c r="AT1385" s="189"/>
      <c r="AU1385" s="187"/>
      <c r="AV1385" s="190"/>
      <c r="AW1385" s="191"/>
      <c r="AX1385" s="417" t="s">
        <v>4807</v>
      </c>
      <c r="AY1385" s="417" t="s">
        <v>4808</v>
      </c>
      <c r="AZ1385" s="417" t="s">
        <v>4809</v>
      </c>
      <c r="BA1385" s="417" t="s">
        <v>4810</v>
      </c>
      <c r="BB1385" s="417" t="s">
        <v>4811</v>
      </c>
      <c r="BC1385" s="417" t="s">
        <v>4812</v>
      </c>
      <c r="BD1385" s="417" t="s">
        <v>4813</v>
      </c>
      <c r="BE1385" s="417" t="s">
        <v>4814</v>
      </c>
      <c r="BF1385" s="417" t="s">
        <v>4815</v>
      </c>
      <c r="BG1385" s="391"/>
      <c r="BH1385" s="392"/>
      <c r="BI1385" s="318"/>
      <c r="BJ1385" s="319"/>
      <c r="BK1385" s="343"/>
      <c r="BL1385" s="343"/>
      <c r="BM1385" s="343"/>
      <c r="BN1385" s="343"/>
      <c r="BO1385" s="343"/>
      <c r="BP1385" s="343"/>
      <c r="BQ1385" s="343"/>
      <c r="BR1385" s="343"/>
      <c r="BS1385" s="343"/>
      <c r="BT1385" s="343"/>
      <c r="BU1385" s="343"/>
      <c r="BV1385" s="343"/>
      <c r="BW1385" s="343"/>
      <c r="BX1385" s="343"/>
      <c r="BY1385" s="343"/>
      <c r="BZ1385" s="343"/>
    </row>
    <row r="1386" spans="1:78" ht="15.75" customHeight="1">
      <c r="A1386" s="221" t="s">
        <v>4622</v>
      </c>
      <c r="B1386" s="177"/>
      <c r="C1386" s="178"/>
      <c r="D1386" s="178"/>
      <c r="E1386" s="227"/>
      <c r="F1386" s="180"/>
      <c r="G1386" s="181"/>
      <c r="H1386" s="182"/>
      <c r="I1386" s="182"/>
      <c r="J1386" s="182"/>
      <c r="K1386" s="183"/>
      <c r="L1386" s="182"/>
      <c r="M1386" s="182"/>
      <c r="N1386" s="182"/>
      <c r="O1386" s="183"/>
      <c r="P1386" s="183"/>
      <c r="Q1386" s="183"/>
      <c r="R1386" s="183"/>
      <c r="S1386" s="183"/>
      <c r="T1386" s="183"/>
      <c r="U1386" s="183"/>
      <c r="V1386" s="183"/>
      <c r="W1386" s="183"/>
      <c r="X1386" s="183"/>
      <c r="Y1386" s="183"/>
      <c r="Z1386" s="185" t="str">
        <f>IF(ISBLANK(O1386),"",IF(O1386="IB",8.63*200,IF(O1386="IR",16*100,IF(O1386="YT",20*100,IF(O1386="YT-XT",24*200,IF(O1386="TED",80*100))))))</f>
        <v/>
      </c>
      <c r="AA1386" s="185"/>
      <c r="AB1386" s="185"/>
      <c r="AC1386" s="185"/>
      <c r="AD1386" s="649"/>
      <c r="AE1386" s="182"/>
      <c r="AF1386" s="332"/>
      <c r="AG1386" s="182"/>
      <c r="AH1386" s="182"/>
      <c r="AI1386" s="182"/>
      <c r="AJ1386" s="640"/>
      <c r="AK1386" s="182"/>
      <c r="AL1386" s="496"/>
      <c r="AM1386" s="496"/>
      <c r="AN1386" s="626"/>
      <c r="AO1386" s="182"/>
      <c r="AP1386" s="182"/>
      <c r="AQ1386" s="332" t="str">
        <f>UPPER(RIGHT(Journal_Live[[#This Row],[DURATION ]]))</f>
        <v/>
      </c>
      <c r="AR1386" s="182"/>
      <c r="AS1386" s="189"/>
      <c r="AT1386" s="189"/>
      <c r="AU1386" s="187"/>
      <c r="AV1386" s="190"/>
      <c r="AW1386" s="191"/>
      <c r="AX1386" s="417" t="s">
        <v>4816</v>
      </c>
      <c r="AY1386" s="417" t="s">
        <v>4817</v>
      </c>
      <c r="AZ1386" s="417"/>
      <c r="BA1386" s="417"/>
      <c r="BB1386" s="417"/>
      <c r="BC1386" s="417"/>
      <c r="BD1386" s="417"/>
      <c r="BE1386" s="417"/>
      <c r="BF1386" s="417"/>
      <c r="BG1386" s="391"/>
      <c r="BH1386" s="392"/>
      <c r="BI1386" s="318"/>
      <c r="BJ1386" s="319"/>
      <c r="BK1386" s="343"/>
      <c r="BL1386" s="343"/>
      <c r="BM1386" s="343"/>
      <c r="BN1386" s="343"/>
      <c r="BO1386" s="343"/>
      <c r="BP1386" s="343"/>
      <c r="BQ1386" s="343"/>
      <c r="BR1386" s="343"/>
      <c r="BS1386" s="343"/>
      <c r="BT1386" s="343"/>
      <c r="BU1386" s="343"/>
      <c r="BV1386" s="343"/>
      <c r="BW1386" s="343"/>
      <c r="BX1386" s="343"/>
      <c r="BY1386" s="343"/>
      <c r="BZ1386" s="343"/>
    </row>
    <row r="1387" spans="1:78" ht="15.75" customHeight="1">
      <c r="A1387" s="492" t="s">
        <v>4818</v>
      </c>
      <c r="B1387" s="273"/>
      <c r="C1387" s="214"/>
      <c r="D1387" s="214"/>
      <c r="E1387" s="215"/>
      <c r="F1387" s="216"/>
      <c r="G1387" s="214"/>
      <c r="H1387" s="214"/>
      <c r="I1387" s="214"/>
      <c r="J1387" s="214"/>
      <c r="K1387" s="217"/>
      <c r="L1387" s="214"/>
      <c r="M1387" s="214"/>
      <c r="N1387" s="214"/>
      <c r="O1387" s="217"/>
      <c r="P1387" s="217"/>
      <c r="Q1387" s="217"/>
      <c r="R1387" s="217"/>
      <c r="S1387" s="217"/>
      <c r="T1387" s="217"/>
      <c r="U1387" s="217"/>
      <c r="V1387" s="217"/>
      <c r="W1387" s="217"/>
      <c r="X1387" s="217"/>
      <c r="Y1387" s="217"/>
      <c r="Z1387" s="218" t="str">
        <f>IF(ISBLANK(O1387),"",IF(O1387="IB",8.63*200,IF(O1387="IR",16*100,IF(O1387="YT",20*100,IF(O1387="YT-XT",24*200,IF(O1387="TED",80*100))))))</f>
        <v/>
      </c>
      <c r="AA1387" s="218"/>
      <c r="AB1387" s="218"/>
      <c r="AC1387" s="218"/>
      <c r="AD1387" s="651"/>
      <c r="AE1387" s="214"/>
      <c r="AF1387" s="347"/>
      <c r="AG1387" s="343"/>
      <c r="AH1387" s="214"/>
      <c r="AI1387" s="214"/>
      <c r="AJ1387" s="642"/>
      <c r="AK1387" s="214"/>
      <c r="AL1387" s="214"/>
      <c r="AM1387" s="214"/>
      <c r="AN1387" s="628"/>
      <c r="AO1387" s="214"/>
      <c r="AP1387" s="214"/>
      <c r="AQ1387" s="334" t="str">
        <f>UPPER(RIGHT(Journal_Live[[#This Row],[DURATION ]]))</f>
        <v/>
      </c>
      <c r="AR1387" s="214"/>
      <c r="AS1387" s="214"/>
      <c r="AT1387" s="214"/>
      <c r="AU1387" s="214"/>
      <c r="AV1387" s="214"/>
      <c r="AW1387" s="220"/>
      <c r="AX1387" s="417"/>
      <c r="AY1387" s="414"/>
      <c r="AZ1387" s="414"/>
      <c r="BA1387" s="414"/>
      <c r="BB1387" s="414"/>
      <c r="BC1387" s="414"/>
      <c r="BD1387" s="414"/>
      <c r="BE1387" s="414"/>
      <c r="BF1387" s="414"/>
      <c r="BG1387" s="391"/>
      <c r="BH1387" s="392"/>
      <c r="BI1387" s="318"/>
      <c r="BJ1387" s="318"/>
      <c r="BK1387" s="343"/>
      <c r="BL1387" s="343"/>
      <c r="BM1387" s="343"/>
      <c r="BN1387" s="343"/>
      <c r="BO1387" s="343"/>
      <c r="BP1387" s="343"/>
      <c r="BQ1387" s="343"/>
      <c r="BR1387" s="343"/>
      <c r="BS1387" s="343"/>
      <c r="BT1387" s="343"/>
      <c r="BU1387" s="343"/>
      <c r="BV1387" s="343"/>
      <c r="BW1387" s="343"/>
      <c r="BX1387" s="343"/>
      <c r="BY1387" s="343"/>
      <c r="BZ1387" s="343"/>
    </row>
    <row r="1388" spans="1:78" ht="15.75" customHeight="1">
      <c r="A1388" s="177"/>
      <c r="B1388" s="200"/>
      <c r="C1388" s="178"/>
      <c r="D1388" s="178"/>
      <c r="E1388" s="227"/>
      <c r="F1388" s="180"/>
      <c r="G1388" s="181"/>
      <c r="H1388" s="181"/>
      <c r="I1388" s="181"/>
      <c r="J1388" s="181"/>
      <c r="K1388" s="181"/>
      <c r="L1388" s="181"/>
      <c r="M1388" s="181"/>
      <c r="N1388" s="181"/>
      <c r="O1388" s="181"/>
      <c r="P1388" s="181"/>
      <c r="Q1388" s="181"/>
      <c r="R1388" s="181"/>
      <c r="S1388" s="181"/>
      <c r="T1388" s="181"/>
      <c r="U1388" s="181"/>
      <c r="V1388" s="181"/>
      <c r="W1388" s="181"/>
      <c r="X1388" s="181"/>
      <c r="Y1388" s="181"/>
      <c r="Z1388" s="181"/>
      <c r="AA1388" s="181"/>
      <c r="AB1388" s="181"/>
      <c r="AC1388" s="181"/>
      <c r="AD1388" s="653"/>
      <c r="AE1388" s="181"/>
      <c r="AF1388" s="183"/>
      <c r="AG1388" s="183"/>
      <c r="AH1388" s="181"/>
      <c r="AI1388" s="181"/>
      <c r="AJ1388" s="640"/>
      <c r="AK1388" s="181"/>
      <c r="AL1388" s="497"/>
      <c r="AM1388" s="497"/>
      <c r="AN1388" s="632"/>
      <c r="AO1388" s="181"/>
      <c r="AP1388" s="181"/>
      <c r="AQ1388" s="181" t="str">
        <f>UPPER(RIGHT(Journal_Live[[#This Row],[DURATION ]]))</f>
        <v/>
      </c>
      <c r="AR1388" s="181"/>
      <c r="AS1388" s="181"/>
      <c r="AT1388" s="181"/>
      <c r="AU1388" s="181"/>
      <c r="AV1388" s="181"/>
      <c r="AW1388" s="181"/>
      <c r="AX1388" s="407" t="s">
        <v>4819</v>
      </c>
      <c r="AY1388" s="407" t="s">
        <v>4820</v>
      </c>
      <c r="AZ1388" s="407" t="s">
        <v>4821</v>
      </c>
      <c r="BA1388" s="407" t="s">
        <v>4822</v>
      </c>
      <c r="BB1388" s="407" t="s">
        <v>4823</v>
      </c>
      <c r="BC1388" s="181" t="s">
        <v>529</v>
      </c>
      <c r="BD1388" s="181"/>
      <c r="BE1388" s="181"/>
      <c r="BF1388" s="181"/>
      <c r="BG1388" s="391">
        <f>SUM($AV1388:AV$1389)</f>
        <v>35.200000000000031</v>
      </c>
      <c r="BH1388" s="392">
        <f>SUM($AU1388:AU$1389)</f>
        <v>176.00000000000017</v>
      </c>
      <c r="BI1388" s="318">
        <f>SUMIFS($AU$1388:AU1389,$Q$1388:Q1389,"F")</f>
        <v>0</v>
      </c>
      <c r="BJ1388" s="318">
        <f>SUMIFS($AU$1388:AU1389,$Q$1388:Q1389,"S")</f>
        <v>176.00000000000017</v>
      </c>
      <c r="BK1388" s="343">
        <f>SUMIFS($AU$1388:AU1389,$P$1388:P1389,"W")</f>
        <v>176.00000000000017</v>
      </c>
      <c r="BL1388" s="343">
        <f>SUMIFS($AU$1388:AU1389,$P$1388:P1389,"R")</f>
        <v>0</v>
      </c>
      <c r="BM1388" s="343">
        <f>SUMIFS($AU$1388:AU1389,$AQ$1388:AQ1389,"M")</f>
        <v>0</v>
      </c>
      <c r="BN1388" s="343">
        <f>SUMIFS($AU$1388:AU1389,$AQ$1388:AQ1389,"H")</f>
        <v>176.00000000000017</v>
      </c>
      <c r="BO1388" s="343">
        <f>SUMIFS($AU$1388:AU1389,$AQ$1388:AQ1389,"D")</f>
        <v>0</v>
      </c>
      <c r="BP1388" s="343">
        <f>SUMIFS($AU$1388:AU1391,$AQ$1388:AQ1391,"W")</f>
        <v>0</v>
      </c>
      <c r="BQ1388" s="343">
        <f>SUMIFS($AU$1388:AU1389,$Q$1388:Q1389,"O")</f>
        <v>0</v>
      </c>
      <c r="BR1388" s="343">
        <f>SUMIFS($AU$1388:AU1389,$AA$1388:AA1389,"*")</f>
        <v>176.00000000000017</v>
      </c>
      <c r="BS1388" s="343">
        <f>SUMIFS($AU$1388:AU1389,$AB$1388:AB1389,"*")</f>
        <v>0</v>
      </c>
      <c r="BT1388" s="343">
        <f>SUMIFS($AU$1388:AU1389,$AC$1388:AC1389,"*")</f>
        <v>0</v>
      </c>
      <c r="BU1388" s="343">
        <f>SUMIFS($AU$1388:AU1389,$AA$1388:AA1389,"*",$AB$1388:AB1389,"*")</f>
        <v>0</v>
      </c>
      <c r="BV1388" s="343">
        <f>SUMIFS($AU$1388:AU1389,$AA$1388:AA1389,"*",$AC$1388:AC1389,"*")</f>
        <v>0</v>
      </c>
      <c r="BW1388" s="343">
        <f>SUMIFS($AU$1388:AU1389,$AB$1388:AB1389,"*",$AC$1388:AC1389,"*")</f>
        <v>0</v>
      </c>
      <c r="BX1388" s="343">
        <f>SUMIFS($AV$1388:AV1389,$Q$1388:Q1389,"F")</f>
        <v>0</v>
      </c>
      <c r="BY1388" s="343">
        <f>SUMIFS($AV$1388:AV1389,$Q$1388:Q1389,"S")</f>
        <v>35.200000000000031</v>
      </c>
      <c r="BZ1388" s="343">
        <f>SUMIFS($AV$1388:AV1389,$Q$1388:Q1389,"O")</f>
        <v>0</v>
      </c>
    </row>
    <row r="1389" spans="1:78" ht="15.75" customHeight="1">
      <c r="A1389" s="177" t="s">
        <v>4824</v>
      </c>
      <c r="B1389" s="200">
        <v>45293</v>
      </c>
      <c r="C1389" s="178" t="s">
        <v>500</v>
      </c>
      <c r="D1389" s="178" t="s">
        <v>146</v>
      </c>
      <c r="E1389" s="227"/>
      <c r="F1389" s="180"/>
      <c r="G1389" s="281" t="s">
        <v>181</v>
      </c>
      <c r="H1389" s="182"/>
      <c r="I1389" s="182"/>
      <c r="J1389" s="182"/>
      <c r="K1389" s="183"/>
      <c r="L1389" s="182">
        <v>1</v>
      </c>
      <c r="M1389" s="182"/>
      <c r="N1389" s="182"/>
      <c r="O1389" s="183" t="s">
        <v>95</v>
      </c>
      <c r="P1389" s="183" t="s">
        <v>96</v>
      </c>
      <c r="Q1389" s="183" t="s">
        <v>97</v>
      </c>
      <c r="R1389" s="183">
        <v>5</v>
      </c>
      <c r="S1389" s="183">
        <v>0</v>
      </c>
      <c r="T1389" s="183">
        <v>3</v>
      </c>
      <c r="U1389" s="183" t="s">
        <v>22</v>
      </c>
      <c r="V1389" s="183"/>
      <c r="W1389" s="183"/>
      <c r="X1389" s="183"/>
      <c r="Y1389" s="184">
        <f>IF(ISBLANK(O1389),"",(IF(O1389=UPPER("IB"),0.005,0.01)))</f>
        <v>0.01</v>
      </c>
      <c r="Z1389" s="185">
        <f>IF(ISBLANK(O1389),"",IF(O1389="IB",8.63*200,IF(O1389="IR",16*100,IF(O1389="YT",20*100,IF(O1389="YT-XT",24*200,IF(O1389="TED",80*100))))))</f>
        <v>1600</v>
      </c>
      <c r="AA1389" s="185" t="s">
        <v>4825</v>
      </c>
      <c r="AB1389" s="185"/>
      <c r="AC1389" s="185"/>
      <c r="AD1389" s="649">
        <f>((-0.18*3)+(-0.17*2))/5</f>
        <v>-0.17600000000000002</v>
      </c>
      <c r="AE1389" s="182"/>
      <c r="AF1389" s="332"/>
      <c r="AG1389" s="182"/>
      <c r="AH1389" s="182"/>
      <c r="AI1389" s="182"/>
      <c r="AJ1389" s="640"/>
      <c r="AK1389" s="182"/>
      <c r="AL1389" s="496">
        <f t="shared" ref="AL1389" si="397">-0.025*Z1389</f>
        <v>-40</v>
      </c>
      <c r="AM1389" s="496">
        <f>AL1389*(R1389-S1389)</f>
        <v>-200</v>
      </c>
      <c r="AN1389" s="626"/>
      <c r="AO1389" s="182"/>
      <c r="AP1389" s="182" t="s">
        <v>1639</v>
      </c>
      <c r="AQ1389" s="332" t="str">
        <f>UPPER(RIGHT(Journal_Live[[#This Row],[DURATION ]]))</f>
        <v>H</v>
      </c>
      <c r="AR1389" s="182" t="s">
        <v>4826</v>
      </c>
      <c r="AS1389" s="189">
        <f>((-0.16*2)+(-0.15*3))/5</f>
        <v>-0.154</v>
      </c>
      <c r="AT1389" s="189">
        <f>IF(ISBLANK(AS1389),,IF(U1389="S",AD1389-AS1389,AS1389-AD1389))</f>
        <v>2.200000000000002E-2</v>
      </c>
      <c r="AU1389" s="187">
        <f>AV1389*R1389</f>
        <v>176.00000000000017</v>
      </c>
      <c r="AV1389" s="190">
        <f>IF(ISBLANK(AS1389),,(AT1389*Z1389))</f>
        <v>35.200000000000031</v>
      </c>
      <c r="AW1389" s="191" t="s">
        <v>96</v>
      </c>
      <c r="AX1389" s="407"/>
      <c r="AY1389" s="407"/>
      <c r="AZ1389" s="407"/>
      <c r="BA1389" s="407"/>
      <c r="BB1389" s="407"/>
      <c r="BC1389" s="407"/>
      <c r="BD1389" s="407"/>
      <c r="BE1389" s="407"/>
      <c r="BF1389" s="422"/>
      <c r="BG1389" s="391">
        <f>SUM($AV$1389:AV1389)</f>
        <v>35.200000000000031</v>
      </c>
      <c r="BH1389" s="392">
        <f>SUM($AU$1389:AU1389)</f>
        <v>176.00000000000017</v>
      </c>
      <c r="BI1389" s="318">
        <f>SUMIFS($AU$1388:AU1390,$Q$1388:Q1390,"F")</f>
        <v>0</v>
      </c>
      <c r="BJ1389" s="318">
        <f>SUMIFS($AU$1388:AU1390,$Q$1388:Q1390,"S")</f>
        <v>176.00000000000017</v>
      </c>
      <c r="BK1389" s="343">
        <f>SUMIFS($AU$1388:AU1390,$P$1388:P1390,"W")</f>
        <v>176.00000000000017</v>
      </c>
      <c r="BL1389" s="343">
        <f>SUMIFS($AU$1388:AU1390,$P$1388:P1390,"R")</f>
        <v>0</v>
      </c>
      <c r="BM1389" s="343">
        <f>SUMIFS($AU$1388:AU1390,$AQ$1388:AQ1390,"M")</f>
        <v>0</v>
      </c>
      <c r="BN1389" s="343">
        <f>SUMIFS($AU$1388:AU1390,$AQ$1388:AQ1390,"H")</f>
        <v>176.00000000000017</v>
      </c>
      <c r="BO1389" s="343">
        <f>SUMIFS($AU$1388:AU1390,$AQ$1388:AQ1390,"D")</f>
        <v>0</v>
      </c>
      <c r="BP1389" s="343">
        <f>SUMIFS($AU$1388:AU1392,$AQ$1388:AQ1392,"W")</f>
        <v>0</v>
      </c>
      <c r="BQ1389" s="343">
        <f>SUMIFS($AU$1388:AU1390,$Q$1388:Q1390,"O")</f>
        <v>0</v>
      </c>
      <c r="BR1389" s="343">
        <f>SUMIFS($AU$1388:AU1390,$AA$1388:AA1390,"*")</f>
        <v>176.00000000000017</v>
      </c>
      <c r="BS1389" s="343">
        <f>SUMIFS($AU$1388:AU1390,$AB$1388:AB1390,"*")</f>
        <v>0</v>
      </c>
      <c r="BT1389" s="343">
        <f>SUMIFS($AU$1388:AU1390,$AC$1388:AC1390,"*")</f>
        <v>0</v>
      </c>
      <c r="BU1389" s="343">
        <f>SUMIFS($AU$1388:AU1390,$AA$1388:AA1390,"*",$AB$1388:AB1390,"*")</f>
        <v>0</v>
      </c>
      <c r="BV1389" s="343">
        <f>SUMIFS($AU$1388:AU1390,$AA$1388:AA1390,"*",$AC$1388:AC1390,"*")</f>
        <v>0</v>
      </c>
      <c r="BW1389" s="343">
        <f>SUMIFS($AU$1388:AU1390,$AB$1388:AB1390,"*",$AC$1388:AC1390,"*")</f>
        <v>0</v>
      </c>
      <c r="BX1389" s="343">
        <f>SUMIFS($AV$1388:AV1390,$Q$1388:Q1390,"F")</f>
        <v>0</v>
      </c>
      <c r="BY1389" s="343">
        <f>SUMIFS($AV$1388:AV1390,$Q$1388:Q1390,"S")</f>
        <v>35.200000000000031</v>
      </c>
      <c r="BZ1389" s="343">
        <f>SUMIFS($AV$1388:AV1390,$Q$1388:Q1390,"O")</f>
        <v>0</v>
      </c>
    </row>
    <row r="1390" spans="1:78" ht="15.75" customHeight="1">
      <c r="A1390" s="177" t="s">
        <v>4824</v>
      </c>
      <c r="B1390" s="200">
        <v>45295</v>
      </c>
      <c r="C1390" s="178" t="s">
        <v>4827</v>
      </c>
      <c r="D1390" s="178" t="s">
        <v>93</v>
      </c>
      <c r="E1390" s="227"/>
      <c r="F1390" s="180"/>
      <c r="G1390" s="181" t="s">
        <v>3962</v>
      </c>
      <c r="H1390" s="182"/>
      <c r="I1390" s="182"/>
      <c r="J1390" s="182"/>
      <c r="K1390" s="183"/>
      <c r="L1390" s="182"/>
      <c r="M1390" s="182"/>
      <c r="N1390" s="182"/>
      <c r="O1390" s="183"/>
      <c r="P1390" s="183"/>
      <c r="Q1390" s="183"/>
      <c r="R1390" s="183"/>
      <c r="S1390" s="183"/>
      <c r="T1390" s="183"/>
      <c r="U1390" s="183"/>
      <c r="V1390" s="183"/>
      <c r="W1390" s="183"/>
      <c r="X1390" s="183"/>
      <c r="Y1390" s="184"/>
      <c r="Z1390" s="185"/>
      <c r="AA1390" s="185"/>
      <c r="AB1390" s="185"/>
      <c r="AC1390" s="185"/>
      <c r="AD1390" s="649"/>
      <c r="AE1390" s="182"/>
      <c r="AF1390" s="332"/>
      <c r="AG1390" s="182"/>
      <c r="AH1390" s="182">
        <v>-3</v>
      </c>
      <c r="AI1390" s="182"/>
      <c r="AJ1390" s="640"/>
      <c r="AK1390" s="182"/>
      <c r="AL1390" s="496">
        <f>-0.025*Z1390</f>
        <v>0</v>
      </c>
      <c r="AM1390" s="496">
        <f>AL1390*(R1390-S1390)</f>
        <v>0</v>
      </c>
      <c r="AN1390" s="626"/>
      <c r="AO1390" s="182"/>
      <c r="AP1390" s="182"/>
      <c r="AQ1390" s="332" t="str">
        <f>UPPER(RIGHT(Journal_Live[[#This Row],[DURATION ]]))</f>
        <v/>
      </c>
      <c r="AR1390" s="182"/>
      <c r="AS1390" s="189"/>
      <c r="AT1390" s="189"/>
      <c r="AU1390" s="187"/>
      <c r="AV1390" s="190"/>
      <c r="AW1390" s="191"/>
      <c r="AX1390" s="407" t="s">
        <v>4828</v>
      </c>
      <c r="AY1390" s="407"/>
      <c r="AZ1390" s="407"/>
      <c r="BA1390" s="407"/>
      <c r="BB1390" s="407"/>
      <c r="BC1390" s="407"/>
      <c r="BD1390" s="407"/>
      <c r="BE1390" s="407"/>
      <c r="BF1390" s="422"/>
      <c r="BG1390" s="391">
        <f>SUM($AV$1389:AV1390)</f>
        <v>35.200000000000031</v>
      </c>
      <c r="BH1390" s="392">
        <f>SUM($AU$1389:AU1390)</f>
        <v>176.00000000000017</v>
      </c>
      <c r="BI1390" s="318">
        <f>SUMIFS($AU$1388:AU1391,$Q$1388:Q1391,"F")</f>
        <v>0</v>
      </c>
      <c r="BJ1390" s="318">
        <f>SUMIFS($AU$1388:AU1391,$Q$1388:Q1391,"S")</f>
        <v>176.00000000000017</v>
      </c>
      <c r="BK1390" s="343">
        <f>SUMIFS($AU$1388:AU1391,$P$1388:P1391,"W")</f>
        <v>176.00000000000017</v>
      </c>
      <c r="BL1390" s="343">
        <f>SUMIFS($AU$1388:AU1391,$P$1388:P1391,"R")</f>
        <v>0</v>
      </c>
      <c r="BM1390" s="343">
        <f>SUMIFS($AU$1388:AU1391,$AQ$1388:AQ1391,"M")</f>
        <v>0</v>
      </c>
      <c r="BN1390" s="343">
        <f>SUMIFS($AU$1388:AU1391,$AQ$1388:AQ1391,"H")</f>
        <v>176.00000000000017</v>
      </c>
      <c r="BO1390" s="343">
        <f>SUMIFS($AU$1388:AU1391,$AQ$1388:AQ1391,"D")</f>
        <v>0</v>
      </c>
      <c r="BP1390" s="343">
        <f>SUMIFS($AU$1388:AU1393,$AQ$1388:AQ1393,"W")</f>
        <v>0</v>
      </c>
      <c r="BQ1390" s="343">
        <f>SUMIFS($AU$1388:AU1391,$Q$1388:Q1391,"O")</f>
        <v>0</v>
      </c>
      <c r="BR1390" s="343">
        <f>SUMIFS($AU$1388:AU1391,$AA$1388:AA1391,"*")</f>
        <v>176.00000000000017</v>
      </c>
      <c r="BS1390" s="343">
        <f>SUMIFS($AU$1388:AU1391,$AB$1388:AB1391,"*")</f>
        <v>0</v>
      </c>
      <c r="BT1390" s="343">
        <f>SUMIFS($AU$1388:AU1391,$AC$1388:AC1391,"*")</f>
        <v>0</v>
      </c>
      <c r="BU1390" s="343">
        <f>SUMIFS($AU$1388:AU1391,$AA$1388:AA1391,"*",$AB$1388:AB1391,"*")</f>
        <v>0</v>
      </c>
      <c r="BV1390" s="343">
        <f>SUMIFS($AU$1388:AU1391,$AA$1388:AA1391,"*",$AC$1388:AC1391,"*")</f>
        <v>0</v>
      </c>
      <c r="BW1390" s="343">
        <f>SUMIFS($AU$1388:AU1391,$AB$1388:AB1391,"*",$AC$1388:AC1391,"*")</f>
        <v>0</v>
      </c>
      <c r="BX1390" s="343">
        <f>SUMIFS($AV$1388:AV1391,$Q$1388:Q1391,"F")</f>
        <v>0</v>
      </c>
      <c r="BY1390" s="343">
        <f>SUMIFS($AV$1388:AV1391,$Q$1388:Q1391,"S")</f>
        <v>35.200000000000031</v>
      </c>
      <c r="BZ1390" s="343">
        <f>SUMIFS($AV$1388:AV1391,$Q$1388:Q1391,"O")</f>
        <v>0</v>
      </c>
    </row>
    <row r="1391" spans="1:78" ht="15.75" customHeight="1">
      <c r="A1391" s="177" t="s">
        <v>4824</v>
      </c>
      <c r="B1391" s="200">
        <v>45295</v>
      </c>
      <c r="C1391" s="178" t="s">
        <v>3476</v>
      </c>
      <c r="D1391" s="178" t="s">
        <v>93</v>
      </c>
      <c r="E1391" s="227"/>
      <c r="F1391" s="180"/>
      <c r="G1391" s="181" t="s">
        <v>136</v>
      </c>
      <c r="H1391" s="182"/>
      <c r="I1391" s="182"/>
      <c r="J1391" s="182"/>
      <c r="K1391" s="183"/>
      <c r="L1391" s="182"/>
      <c r="M1391" s="182"/>
      <c r="N1391" s="182"/>
      <c r="O1391" s="183"/>
      <c r="P1391" s="183"/>
      <c r="Q1391" s="183"/>
      <c r="R1391" s="183"/>
      <c r="S1391" s="183"/>
      <c r="T1391" s="183"/>
      <c r="U1391" s="183"/>
      <c r="V1391" s="183"/>
      <c r="W1391" s="183"/>
      <c r="X1391" s="183"/>
      <c r="Y1391" s="184"/>
      <c r="Z1391" s="185"/>
      <c r="AA1391" s="185"/>
      <c r="AB1391" s="185"/>
      <c r="AC1391" s="185"/>
      <c r="AD1391" s="649"/>
      <c r="AE1391" s="182"/>
      <c r="AF1391" s="332"/>
      <c r="AG1391" s="182"/>
      <c r="AH1391" s="182"/>
      <c r="AI1391" s="182"/>
      <c r="AJ1391" s="640"/>
      <c r="AK1391" s="182"/>
      <c r="AL1391" s="496"/>
      <c r="AM1391" s="496"/>
      <c r="AN1391" s="626"/>
      <c r="AO1391" s="182"/>
      <c r="AP1391" s="182"/>
      <c r="AQ1391" s="332" t="str">
        <f>UPPER(RIGHT(Journal_Live[[#This Row],[DURATION ]]))</f>
        <v/>
      </c>
      <c r="AR1391" s="182"/>
      <c r="AS1391" s="189"/>
      <c r="AT1391" s="189"/>
      <c r="AU1391" s="187"/>
      <c r="AV1391" s="190"/>
      <c r="AW1391" s="191"/>
      <c r="AX1391" s="407"/>
      <c r="AY1391" s="407"/>
      <c r="AZ1391" s="407"/>
      <c r="BA1391" s="407"/>
      <c r="BB1391" s="407"/>
      <c r="BC1391" s="407"/>
      <c r="BD1391" s="407"/>
      <c r="BE1391" s="407"/>
      <c r="BF1391" s="422"/>
      <c r="BG1391" s="391">
        <f>SUM($AV$1389:AV1391)</f>
        <v>35.200000000000031</v>
      </c>
      <c r="BH1391" s="392">
        <f>SUM($AU$1389:AU1391)</f>
        <v>176.00000000000017</v>
      </c>
      <c r="BI1391" s="318">
        <f>SUMIFS($AU$1388:AU1392,$Q$1388:Q1392,"F")</f>
        <v>0</v>
      </c>
      <c r="BJ1391" s="318">
        <f>SUMIFS($AU$1388:AU1392,$Q$1388:Q1392,"S")</f>
        <v>176.00000000000017</v>
      </c>
      <c r="BK1391" s="343">
        <f>SUMIFS($AU$1388:AU1392,$P$1388:P1392,"W")</f>
        <v>176.00000000000017</v>
      </c>
      <c r="BL1391" s="343">
        <f>SUMIFS($AU$1388:AU1392,$P$1388:P1392,"R")</f>
        <v>0</v>
      </c>
      <c r="BM1391" s="343">
        <f>SUMIFS($AU$1388:AU1392,$AQ$1388:AQ1392,"M")</f>
        <v>0</v>
      </c>
      <c r="BN1391" s="343">
        <f>SUMIFS($AU$1388:AU1392,$AQ$1388:AQ1392,"H")</f>
        <v>176.00000000000017</v>
      </c>
      <c r="BO1391" s="343">
        <f>SUMIFS($AU$1388:AU1392,$AQ$1388:AQ1392,"D")</f>
        <v>0</v>
      </c>
      <c r="BP1391" s="343">
        <f>SUMIFS($AU$1388:AU1394,$AQ$1388:AQ1394,"W")</f>
        <v>256</v>
      </c>
      <c r="BQ1391" s="343">
        <f>SUMIFS($AU$1388:AU1392,$Q$1388:Q1392,"O")</f>
        <v>0</v>
      </c>
      <c r="BR1391" s="343">
        <f>SUMIFS($AU$1388:AU1392,$AA$1388:AA1392,"*")</f>
        <v>176.00000000000017</v>
      </c>
      <c r="BS1391" s="343">
        <f>SUMIFS($AU$1388:AU1392,$AB$1388:AB1392,"*")</f>
        <v>0</v>
      </c>
      <c r="BT1391" s="343">
        <f>SUMIFS($AU$1388:AU1392,$AC$1388:AC1392,"*")</f>
        <v>0</v>
      </c>
      <c r="BU1391" s="343">
        <f>SUMIFS($AU$1388:AU1392,$AA$1388:AA1392,"*",$AB$1388:AB1392,"*")</f>
        <v>0</v>
      </c>
      <c r="BV1391" s="343">
        <f>SUMIFS($AU$1388:AU1392,$AA$1388:AA1392,"*",$AC$1388:AC1392,"*")</f>
        <v>0</v>
      </c>
      <c r="BW1391" s="343">
        <f>SUMIFS($AU$1388:AU1392,$AB$1388:AB1392,"*",$AC$1388:AC1392,"*")</f>
        <v>0</v>
      </c>
      <c r="BX1391" s="343">
        <f>SUMIFS($AV$1388:AV1392,$Q$1388:Q1392,"F")</f>
        <v>0</v>
      </c>
      <c r="BY1391" s="343">
        <f>SUMIFS($AV$1388:AV1392,$Q$1388:Q1392,"S")</f>
        <v>35.200000000000031</v>
      </c>
      <c r="BZ1391" s="343">
        <f>SUMIFS($AV$1388:AV1392,$Q$1388:Q1392,"O")</f>
        <v>0</v>
      </c>
    </row>
    <row r="1392" spans="1:78" ht="15.75" customHeight="1">
      <c r="A1392" s="177" t="s">
        <v>4824</v>
      </c>
      <c r="B1392" s="200">
        <v>45295</v>
      </c>
      <c r="C1392" s="178" t="s">
        <v>4829</v>
      </c>
      <c r="D1392" s="178" t="s">
        <v>93</v>
      </c>
      <c r="E1392" s="227"/>
      <c r="F1392" s="180"/>
      <c r="G1392" s="181" t="s">
        <v>4147</v>
      </c>
      <c r="H1392" s="182"/>
      <c r="I1392" s="182"/>
      <c r="J1392" s="182"/>
      <c r="K1392" s="183"/>
      <c r="L1392" s="182"/>
      <c r="M1392" s="182"/>
      <c r="N1392" s="182"/>
      <c r="O1392" s="183"/>
      <c r="P1392" s="183"/>
      <c r="Q1392" s="183"/>
      <c r="R1392" s="183"/>
      <c r="S1392" s="183"/>
      <c r="T1392" s="183"/>
      <c r="U1392" s="183"/>
      <c r="V1392" s="183"/>
      <c r="W1392" s="183"/>
      <c r="X1392" s="183"/>
      <c r="Y1392" s="184"/>
      <c r="Z1392" s="185"/>
      <c r="AA1392" s="185"/>
      <c r="AB1392" s="185"/>
      <c r="AC1392" s="185"/>
      <c r="AD1392" s="649"/>
      <c r="AE1392" s="182"/>
      <c r="AF1392" s="332"/>
      <c r="AG1392" s="182"/>
      <c r="AH1392" s="182"/>
      <c r="AI1392" s="182"/>
      <c r="AJ1392" s="640"/>
      <c r="AK1392" s="182"/>
      <c r="AL1392" s="496">
        <f>-0.02*Z1392</f>
        <v>0</v>
      </c>
      <c r="AM1392" s="496">
        <f>AL1392*(R1392-S1392)</f>
        <v>0</v>
      </c>
      <c r="AN1392" s="626"/>
      <c r="AO1392" s="182"/>
      <c r="AP1392" s="182"/>
      <c r="AQ1392" s="332" t="str">
        <f>UPPER(RIGHT(Journal_Live[[#This Row],[DURATION ]]))</f>
        <v/>
      </c>
      <c r="AR1392" s="182"/>
      <c r="AS1392" s="189"/>
      <c r="AT1392" s="189"/>
      <c r="AU1392" s="187"/>
      <c r="AV1392" s="190"/>
      <c r="AW1392" s="191"/>
      <c r="AX1392" s="407"/>
      <c r="AY1392" s="407"/>
      <c r="AZ1392" s="407"/>
      <c r="BA1392" s="407"/>
      <c r="BB1392" s="407"/>
      <c r="BC1392" s="407"/>
      <c r="BD1392" s="407"/>
      <c r="BE1392" s="407"/>
      <c r="BF1392" s="422"/>
      <c r="BG1392" s="391">
        <f>SUM($AV$1389:AV1392)</f>
        <v>35.200000000000031</v>
      </c>
      <c r="BH1392" s="392">
        <f>SUM($AU$1389:AU1392)</f>
        <v>176.00000000000017</v>
      </c>
      <c r="BI1392" s="318">
        <f>SUMIFS($AU$1388:AU1393,$Q$1388:Q1393,"F")</f>
        <v>0</v>
      </c>
      <c r="BJ1392" s="318">
        <f>SUMIFS($AU$1388:AU1393,$Q$1388:Q1393,"S")</f>
        <v>-159.99999999999983</v>
      </c>
      <c r="BK1392" s="343">
        <f>SUMIFS($AU$1388:AU1393,$P$1388:P1393,"W")</f>
        <v>-159.99999999999983</v>
      </c>
      <c r="BL1392" s="343">
        <f>SUMIFS($AU$1388:AU1393,$P$1388:P1393,"R")</f>
        <v>0</v>
      </c>
      <c r="BM1392" s="343">
        <f>SUMIFS($AU$1388:AU1393,$AQ$1388:AQ1393,"M")</f>
        <v>0</v>
      </c>
      <c r="BN1392" s="343">
        <f>SUMIFS($AU$1388:AU1393,$AQ$1388:AQ1393,"H")</f>
        <v>-159.99999999999983</v>
      </c>
      <c r="BO1392" s="343">
        <f>SUMIFS($AU$1388:AU1393,$AQ$1388:AQ1393,"D")</f>
        <v>0</v>
      </c>
      <c r="BP1392" s="343">
        <f>SUMIFS($AU$1388:AU1395,$AQ$1388:AQ1395,"W")</f>
        <v>256</v>
      </c>
      <c r="BQ1392" s="343">
        <f>SUMIFS($AU$1388:AU1393,$Q$1388:Q1393,"O")</f>
        <v>0</v>
      </c>
      <c r="BR1392" s="343">
        <f>SUMIFS($AU$1388:AU1393,$AA$1388:AA1393,"*")</f>
        <v>176.00000000000017</v>
      </c>
      <c r="BS1392" s="343">
        <f>SUMIFS($AU$1388:AU1393,$AB$1388:AB1393,"*")</f>
        <v>0</v>
      </c>
      <c r="BT1392" s="343">
        <f>SUMIFS($AU$1388:AU1393,$AC$1388:AC1393,"*")</f>
        <v>-336</v>
      </c>
      <c r="BU1392" s="343">
        <f>SUMIFS($AU$1388:AU1393,$AA$1388:AA1393,"*",$AB$1388:AB1393,"*")</f>
        <v>0</v>
      </c>
      <c r="BV1392" s="343">
        <f>SUMIFS($AU$1388:AU1393,$AA$1388:AA1393,"*",$AC$1388:AC1393,"*")</f>
        <v>0</v>
      </c>
      <c r="BW1392" s="343">
        <f>SUMIFS($AU$1388:AU1393,$AB$1388:AB1393,"*",$AC$1388:AC1393,"*")</f>
        <v>0</v>
      </c>
      <c r="BX1392" s="343">
        <f>SUMIFS($AV$1388:AV1393,$Q$1388:Q1393,"F")</f>
        <v>0</v>
      </c>
      <c r="BY1392" s="343">
        <f>SUMIFS($AV$1388:AV1393,$Q$1388:Q1393,"S")</f>
        <v>23.200000000000031</v>
      </c>
      <c r="BZ1392" s="343">
        <f>SUMIFS($AV$1388:AV1393,$Q$1388:Q1393,"O")</f>
        <v>0</v>
      </c>
    </row>
    <row r="1393" spans="1:78" ht="15.75" customHeight="1">
      <c r="A1393" s="177" t="s">
        <v>4824</v>
      </c>
      <c r="B1393" s="200">
        <v>45296</v>
      </c>
      <c r="C1393" s="178" t="s">
        <v>2429</v>
      </c>
      <c r="D1393" s="178" t="s">
        <v>111</v>
      </c>
      <c r="E1393" s="227"/>
      <c r="F1393" s="180"/>
      <c r="G1393" s="281" t="s">
        <v>3772</v>
      </c>
      <c r="H1393" s="182"/>
      <c r="I1393" s="182"/>
      <c r="J1393" s="182"/>
      <c r="K1393" s="183"/>
      <c r="L1393" s="182">
        <v>1</v>
      </c>
      <c r="M1393" s="182"/>
      <c r="N1393" s="182"/>
      <c r="O1393" s="183" t="s">
        <v>95</v>
      </c>
      <c r="P1393" s="183" t="s">
        <v>96</v>
      </c>
      <c r="Q1393" s="183" t="s">
        <v>97</v>
      </c>
      <c r="R1393" s="183">
        <v>28</v>
      </c>
      <c r="S1393" s="183">
        <v>12</v>
      </c>
      <c r="T1393" s="183">
        <v>5</v>
      </c>
      <c r="U1393" s="183" t="s">
        <v>97</v>
      </c>
      <c r="V1393" s="183"/>
      <c r="W1393" s="183"/>
      <c r="X1393" s="183"/>
      <c r="Y1393" s="184">
        <f>IF(ISBLANK(O1393),"",(IF(O1393=UPPER("IB"),0.005,0.01)))</f>
        <v>0.01</v>
      </c>
      <c r="Z1393" s="185">
        <f>IF(ISBLANK(O1393),"",IF(O1393="IB",8.63*200,IF(O1393="IR",16*100,IF(O1393="YT",20*100,IF(O1393="YT-XT",24*200,IF(O1393="TED",80*100))))))</f>
        <v>1600</v>
      </c>
      <c r="AA1393" s="185"/>
      <c r="AB1393" s="185"/>
      <c r="AC1393" s="185" t="s">
        <v>4830</v>
      </c>
      <c r="AD1393" s="649">
        <f>((-0.01*5)+(0*23))/28</f>
        <v>-1.7857142857142859E-3</v>
      </c>
      <c r="AE1393" s="182"/>
      <c r="AF1393" s="332"/>
      <c r="AG1393" s="182"/>
      <c r="AH1393" s="182" t="s">
        <v>4831</v>
      </c>
      <c r="AI1393" s="182"/>
      <c r="AJ1393" s="640"/>
      <c r="AK1393" s="182"/>
      <c r="AL1393" s="496">
        <f>-0.03*Z1393</f>
        <v>-48</v>
      </c>
      <c r="AM1393" s="496">
        <f>AL1393*(R1393-S1393)</f>
        <v>-768</v>
      </c>
      <c r="AN1393" s="626"/>
      <c r="AO1393" s="182"/>
      <c r="AP1393" s="182" t="s">
        <v>4832</v>
      </c>
      <c r="AQ1393" s="332" t="str">
        <f>UPPER(RIGHT(Journal_Live[[#This Row],[DURATION ]]))</f>
        <v>H</v>
      </c>
      <c r="AR1393" s="182" t="s">
        <v>4833</v>
      </c>
      <c r="AS1393" s="189">
        <f>((0*12)+(0.01*7)+(0.01*9))/28</f>
        <v>5.7142857142857143E-3</v>
      </c>
      <c r="AT1393" s="189">
        <f>IF(ISBLANK(AS1393),,IF(U1393="S",AD1393-AS1393,AS1393-AD1393))</f>
        <v>-7.4999999999999997E-3</v>
      </c>
      <c r="AU1393" s="187">
        <f>AV1393*R1393</f>
        <v>-336</v>
      </c>
      <c r="AV1393" s="190">
        <f>IF(ISBLANK(AS1393),,(AT1393*Z1393))</f>
        <v>-12</v>
      </c>
      <c r="AW1393" s="191" t="s">
        <v>229</v>
      </c>
      <c r="AX1393" s="407" t="s">
        <v>4834</v>
      </c>
      <c r="AY1393" s="407" t="s">
        <v>4835</v>
      </c>
      <c r="AZ1393" s="407"/>
      <c r="BA1393" s="407"/>
      <c r="BB1393" s="407"/>
      <c r="BC1393" s="407"/>
      <c r="BD1393" s="407"/>
      <c r="BE1393" s="407"/>
      <c r="BF1393" s="422"/>
      <c r="BG1393" s="391">
        <f>SUM($AV$1389:AV1393)</f>
        <v>23.200000000000031</v>
      </c>
      <c r="BH1393" s="392">
        <f>SUM($AU$1389:AU1393)</f>
        <v>-159.99999999999983</v>
      </c>
      <c r="BI1393" s="318">
        <f>SUMIFS($AU$1388:AU1394,$Q$1388:Q1394,"F")</f>
        <v>256</v>
      </c>
      <c r="BJ1393" s="318">
        <f>SUMIFS($AU$1388:AU1394,$Q$1388:Q1394,"S")</f>
        <v>-159.99999999999983</v>
      </c>
      <c r="BK1393" s="343">
        <f>SUMIFS($AU$1388:AU1394,$P$1388:P1394,"W")</f>
        <v>-159.99999999999983</v>
      </c>
      <c r="BL1393" s="343">
        <f>SUMIFS($AU$1388:AU1394,$P$1388:P1394,"R")</f>
        <v>256</v>
      </c>
      <c r="BM1393" s="343">
        <f>SUMIFS($AU$1388:AU1394,$AQ$1388:AQ1394,"M")</f>
        <v>0</v>
      </c>
      <c r="BN1393" s="343">
        <f>SUMIFS($AU$1388:AU1394,$AQ$1388:AQ1394,"H")</f>
        <v>-159.99999999999983</v>
      </c>
      <c r="BO1393" s="343">
        <f>SUMIFS($AU$1388:AU1394,$AQ$1388:AQ1394,"D")</f>
        <v>0</v>
      </c>
      <c r="BP1393" s="343">
        <f>SUMIFS($AU$1388:AU1396,$AQ$1388:AQ1396,"W")</f>
        <v>256</v>
      </c>
      <c r="BQ1393" s="343">
        <f>SUMIFS($AU$1388:AU1394,$Q$1388:Q1394,"O")</f>
        <v>0</v>
      </c>
      <c r="BR1393" s="343">
        <f>SUMIFS($AU$1388:AU1394,$AA$1388:AA1394,"*")</f>
        <v>432.00000000000017</v>
      </c>
      <c r="BS1393" s="343">
        <f>SUMIFS($AU$1388:AU1394,$AB$1388:AB1394,"*")</f>
        <v>0</v>
      </c>
      <c r="BT1393" s="343">
        <f>SUMIFS($AU$1388:AU1394,$AC$1388:AC1394,"*")</f>
        <v>-336</v>
      </c>
      <c r="BU1393" s="343">
        <f>SUMIFS($AU$1388:AU1394,$AA$1388:AA1394,"*",$AB$1388:AB1394,"*")</f>
        <v>0</v>
      </c>
      <c r="BV1393" s="343">
        <f>SUMIFS($AU$1388:AU1394,$AA$1388:AA1394,"*",$AC$1388:AC1394,"*")</f>
        <v>0</v>
      </c>
      <c r="BW1393" s="343">
        <f>SUMIFS($AU$1388:AU1394,$AB$1388:AB1394,"*",$AC$1388:AC1394,"*")</f>
        <v>0</v>
      </c>
      <c r="BX1393" s="343">
        <f>SUMIFS($AV$1388:AV1394,$Q$1388:Q1394,"F")</f>
        <v>7.3142857142857149</v>
      </c>
      <c r="BY1393" s="343">
        <f>SUMIFS($AV$1388:AV1394,$Q$1388:Q1394,"S")</f>
        <v>23.200000000000031</v>
      </c>
      <c r="BZ1393" s="343">
        <f>SUMIFS($AV$1388:AV1394,$Q$1388:Q1394,"O")</f>
        <v>0</v>
      </c>
    </row>
    <row r="1394" spans="1:78" ht="15.75" customHeight="1">
      <c r="A1394" s="177" t="s">
        <v>4824</v>
      </c>
      <c r="B1394" s="200">
        <v>45296</v>
      </c>
      <c r="C1394" s="178" t="s">
        <v>4836</v>
      </c>
      <c r="D1394" s="178" t="s">
        <v>111</v>
      </c>
      <c r="E1394" s="227"/>
      <c r="F1394" s="180"/>
      <c r="G1394" s="281" t="s">
        <v>4837</v>
      </c>
      <c r="H1394" s="182"/>
      <c r="I1394" s="182"/>
      <c r="J1394" s="182"/>
      <c r="K1394" s="183"/>
      <c r="L1394" s="182">
        <v>1</v>
      </c>
      <c r="M1394" s="182"/>
      <c r="N1394" s="182"/>
      <c r="O1394" s="183" t="s">
        <v>95</v>
      </c>
      <c r="P1394" s="183" t="s">
        <v>137</v>
      </c>
      <c r="Q1394" s="183" t="s">
        <v>256</v>
      </c>
      <c r="R1394" s="183">
        <v>35</v>
      </c>
      <c r="S1394" s="183">
        <v>31</v>
      </c>
      <c r="T1394" s="183">
        <v>14</v>
      </c>
      <c r="U1394" s="183" t="s">
        <v>97</v>
      </c>
      <c r="V1394" s="183"/>
      <c r="W1394" s="183"/>
      <c r="X1394" s="183"/>
      <c r="Y1394" s="184">
        <f>IF(ISBLANK(O1394),"",(IF(O1394=UPPER("IB"),0.005,0.01)))</f>
        <v>0.01</v>
      </c>
      <c r="Z1394" s="185">
        <f>IF(ISBLANK(O1394),"",IF(O1394="IB",8.63*200,IF(O1394="IR",16*100,IF(O1394="YT",20*100,IF(O1394="YT-XT",24*200,IF(O1394="TED",80*100))))))</f>
        <v>1600</v>
      </c>
      <c r="AA1394" s="185" t="s">
        <v>4838</v>
      </c>
      <c r="AB1394" s="185"/>
      <c r="AC1394" s="185"/>
      <c r="AD1394" s="649">
        <f>((-0.02*14)+(-0.01*21))/35</f>
        <v>-1.4E-2</v>
      </c>
      <c r="AE1394" s="182"/>
      <c r="AF1394" s="332"/>
      <c r="AG1394" s="182"/>
      <c r="AH1394" s="182"/>
      <c r="AI1394" s="182"/>
      <c r="AJ1394" s="640"/>
      <c r="AK1394" s="182"/>
      <c r="AL1394" s="496">
        <f>-0.025*Z1394</f>
        <v>-40</v>
      </c>
      <c r="AM1394" s="496">
        <f>AL1394*(R1394-S1394)</f>
        <v>-160</v>
      </c>
      <c r="AN1394" s="626"/>
      <c r="AO1394" s="182"/>
      <c r="AP1394" s="182" t="s">
        <v>4839</v>
      </c>
      <c r="AQ1394" s="332" t="s">
        <v>96</v>
      </c>
      <c r="AR1394" s="182" t="s">
        <v>4840</v>
      </c>
      <c r="AS1394" s="189">
        <f>((-0.02*7)+(-0.01*5)+(-0.02*19)+(-0.02*4))/35</f>
        <v>-1.8571428571428572E-2</v>
      </c>
      <c r="AT1394" s="189">
        <f>IF(ISBLANK(AS1394),,IF(U1394="S",AD1394-AS1394,AS1394-AD1394))</f>
        <v>4.5714285714285718E-3</v>
      </c>
      <c r="AU1394" s="187">
        <f>AV1394*R1394</f>
        <v>256</v>
      </c>
      <c r="AV1394" s="190">
        <f>IF(ISBLANK(AS1394),,(AT1394*Z1394))</f>
        <v>7.3142857142857149</v>
      </c>
      <c r="AW1394" s="191" t="s">
        <v>96</v>
      </c>
      <c r="AX1394" s="407" t="s">
        <v>4841</v>
      </c>
      <c r="AY1394" s="407" t="s">
        <v>4842</v>
      </c>
      <c r="AZ1394" s="407" t="s">
        <v>4843</v>
      </c>
      <c r="BA1394" s="407"/>
      <c r="BB1394" s="407"/>
      <c r="BC1394" s="407"/>
      <c r="BD1394" s="407"/>
      <c r="BE1394" s="407"/>
      <c r="BF1394" s="422"/>
      <c r="BG1394" s="391">
        <f>SUM($AV$1389:AV1394)</f>
        <v>30.514285714285748</v>
      </c>
      <c r="BH1394" s="392">
        <f>SUM($AU$1389:AU1394)</f>
        <v>96.000000000000171</v>
      </c>
      <c r="BI1394" s="318">
        <f>SUMIFS($AU$1388:AU1395,$Q$1388:Q1395,"F")</f>
        <v>256</v>
      </c>
      <c r="BJ1394" s="318">
        <f>SUMIFS($AU$1388:AU1395,$Q$1388:Q1395,"S")</f>
        <v>-255.99999999999986</v>
      </c>
      <c r="BK1394" s="343">
        <f>SUMIFS($AU$1388:AU1395,$P$1388:P1395,"W")</f>
        <v>-255.99999999999986</v>
      </c>
      <c r="BL1394" s="343">
        <f>SUMIFS($AU$1388:AU1395,$P$1388:P1395,"R")</f>
        <v>256</v>
      </c>
      <c r="BM1394" s="343">
        <f>SUMIFS($AU$1388:AU1395,$AQ$1388:AQ1395,"M")</f>
        <v>0</v>
      </c>
      <c r="BN1394" s="343">
        <f>SUMIFS($AU$1388:AU1395,$AQ$1388:AQ1395,"H")</f>
        <v>-255.99999999999986</v>
      </c>
      <c r="BO1394" s="343">
        <f>SUMIFS($AU$1388:AU1395,$AQ$1388:AQ1395,"D")</f>
        <v>0</v>
      </c>
      <c r="BP1394" s="343">
        <f>SUMIFS($AU$1388:AU1397,$AQ$1388:AQ1397,"W")</f>
        <v>256</v>
      </c>
      <c r="BQ1394" s="343">
        <f>SUMIFS($AU$1388:AU1395,$Q$1388:Q1395,"O")</f>
        <v>0</v>
      </c>
      <c r="BR1394" s="343">
        <f>SUMIFS($AU$1388:AU1395,$AA$1388:AA1395,"*")</f>
        <v>336.00000000000011</v>
      </c>
      <c r="BS1394" s="343">
        <f>SUMIFS($AU$1388:AU1395,$AB$1388:AB1395,"*")</f>
        <v>0</v>
      </c>
      <c r="BT1394" s="343">
        <f>SUMIFS($AU$1388:AU1395,$AC$1388:AC1395,"*")</f>
        <v>-336</v>
      </c>
      <c r="BU1394" s="343">
        <f>SUMIFS($AU$1388:AU1395,$AA$1388:AA1395,"*",$AB$1388:AB1395,"*")</f>
        <v>0</v>
      </c>
      <c r="BV1394" s="343">
        <f>SUMIFS($AU$1388:AU1395,$AA$1388:AA1395,"*",$AC$1388:AC1395,"*")</f>
        <v>0</v>
      </c>
      <c r="BW1394" s="343">
        <f>SUMIFS($AU$1388:AU1395,$AB$1388:AB1395,"*",$AC$1388:AC1395,"*")</f>
        <v>0</v>
      </c>
      <c r="BX1394" s="343">
        <f>SUMIFS($AV$1388:AV1395,$Q$1388:Q1395,"F")</f>
        <v>7.3142857142857149</v>
      </c>
      <c r="BY1394" s="343">
        <f>SUMIFS($AV$1388:AV1395,$Q$1388:Q1395,"S")</f>
        <v>-8.7999999999999758</v>
      </c>
      <c r="BZ1394" s="343">
        <f>SUMIFS($AV$1388:AV1395,$Q$1388:Q1395,"O")</f>
        <v>0</v>
      </c>
    </row>
    <row r="1395" spans="1:78" ht="15.75" customHeight="1">
      <c r="A1395" s="177" t="s">
        <v>4824</v>
      </c>
      <c r="B1395" s="200">
        <v>45296</v>
      </c>
      <c r="C1395" s="178" t="s">
        <v>415</v>
      </c>
      <c r="D1395" s="178" t="s">
        <v>111</v>
      </c>
      <c r="E1395" s="227"/>
      <c r="F1395" s="180"/>
      <c r="G1395" s="281" t="s">
        <v>181</v>
      </c>
      <c r="H1395" s="182"/>
      <c r="I1395" s="182"/>
      <c r="J1395" s="182"/>
      <c r="K1395" s="183"/>
      <c r="L1395" s="182">
        <v>1</v>
      </c>
      <c r="M1395" s="182"/>
      <c r="N1395" s="182"/>
      <c r="O1395" s="183" t="s">
        <v>95</v>
      </c>
      <c r="P1395" s="183" t="s">
        <v>96</v>
      </c>
      <c r="Q1395" s="183" t="s">
        <v>97</v>
      </c>
      <c r="R1395" s="183">
        <v>3</v>
      </c>
      <c r="S1395" s="183">
        <v>0</v>
      </c>
      <c r="T1395" s="183">
        <v>3</v>
      </c>
      <c r="U1395" s="183" t="s">
        <v>97</v>
      </c>
      <c r="V1395" s="183"/>
      <c r="W1395" s="183"/>
      <c r="X1395" s="183"/>
      <c r="Y1395" s="184">
        <f>IF(ISBLANK(O1395),"",(IF(O1395=UPPER("IB"),0.005,0.01)))</f>
        <v>0.01</v>
      </c>
      <c r="Z1395" s="185">
        <f>IF(ISBLANK(O1395),"",IF(O1395="IB",8.63*200,IF(O1395="IR",16*100,IF(O1395="YT",20*100,IF(O1395="YT-XT",24*200,IF(O1395="TED",80*100))))))</f>
        <v>1600</v>
      </c>
      <c r="AA1395" s="185" t="s">
        <v>4844</v>
      </c>
      <c r="AB1395" s="185"/>
      <c r="AC1395" s="185"/>
      <c r="AD1395" s="649">
        <v>-0.08</v>
      </c>
      <c r="AE1395" s="182"/>
      <c r="AF1395" s="332"/>
      <c r="AG1395" s="182"/>
      <c r="AH1395" s="182"/>
      <c r="AI1395" s="182"/>
      <c r="AJ1395" s="640"/>
      <c r="AK1395" s="182"/>
      <c r="AL1395" s="496"/>
      <c r="AM1395" s="496"/>
      <c r="AN1395" s="626"/>
      <c r="AO1395" s="182"/>
      <c r="AP1395" s="182" t="s">
        <v>1700</v>
      </c>
      <c r="AQ1395" s="332" t="str">
        <f>UPPER(RIGHT(Journal_Live[[#This Row],[DURATION ]]))</f>
        <v>H</v>
      </c>
      <c r="AR1395" s="182" t="s">
        <v>2221</v>
      </c>
      <c r="AS1395" s="189">
        <v>-0.06</v>
      </c>
      <c r="AT1395" s="189">
        <f>IF(ISBLANK(AS1395),,IF(U1395="S",AD1395-AS1395,AS1395-AD1395))</f>
        <v>-2.0000000000000004E-2</v>
      </c>
      <c r="AU1395" s="187">
        <f>AV1395*R1395</f>
        <v>-96.000000000000028</v>
      </c>
      <c r="AV1395" s="190">
        <f>IF(ISBLANK(AS1395),,(AT1395*Z1395))</f>
        <v>-32.000000000000007</v>
      </c>
      <c r="AW1395" s="191" t="s">
        <v>229</v>
      </c>
      <c r="AX1395" s="407" t="s">
        <v>4845</v>
      </c>
      <c r="AY1395" s="407"/>
      <c r="AZ1395" s="407"/>
      <c r="BA1395" s="407"/>
      <c r="BB1395" s="407"/>
      <c r="BC1395" s="407"/>
      <c r="BD1395" s="407"/>
      <c r="BE1395" s="407"/>
      <c r="BF1395" s="422"/>
      <c r="BG1395" s="391">
        <f>SUM($AV$1389:AV1395)</f>
        <v>-1.4857142857142591</v>
      </c>
      <c r="BH1395" s="392">
        <f>SUM($AU$1389:AU1395)</f>
        <v>1.4210854715202004E-13</v>
      </c>
      <c r="BI1395" s="318">
        <f>SUMIFS($AU$1388:AU1396,$Q$1388:Q1396,"F")</f>
        <v>256</v>
      </c>
      <c r="BJ1395" s="318">
        <f>SUMIFS($AU$1388:AU1396,$Q$1388:Q1396,"S")</f>
        <v>-255.99999999999986</v>
      </c>
      <c r="BK1395" s="343">
        <f>SUMIFS($AU$1388:AU1396,$P$1388:P1396,"W")</f>
        <v>-255.99999999999986</v>
      </c>
      <c r="BL1395" s="343">
        <f>SUMIFS($AU$1388:AU1396,$P$1388:P1396,"R")</f>
        <v>256</v>
      </c>
      <c r="BM1395" s="343">
        <f>SUMIFS($AU$1388:AU1396,$AQ$1388:AQ1396,"M")</f>
        <v>0</v>
      </c>
      <c r="BN1395" s="343">
        <f>SUMIFS($AU$1388:AU1396,$AQ$1388:AQ1396,"H")</f>
        <v>-255.99999999999986</v>
      </c>
      <c r="BO1395" s="343">
        <f>SUMIFS($AU$1388:AU1396,$AQ$1388:AQ1396,"D")</f>
        <v>0</v>
      </c>
      <c r="BP1395" s="343">
        <f>SUMIFS($AU$1388:AU1398,$AQ$1388:AQ1398,"W")</f>
        <v>256</v>
      </c>
      <c r="BQ1395" s="343">
        <f>SUMIFS($AU$1388:AU1396,$Q$1388:Q1396,"O")</f>
        <v>0</v>
      </c>
      <c r="BR1395" s="343">
        <f>SUMIFS($AU$1388:AU1396,$AA$1388:AA1396,"*")</f>
        <v>336.00000000000011</v>
      </c>
      <c r="BS1395" s="343">
        <f>SUMIFS($AU$1388:AU1396,$AB$1388:AB1396,"*")</f>
        <v>0</v>
      </c>
      <c r="BT1395" s="343">
        <f>SUMIFS($AU$1388:AU1396,$AC$1388:AC1396,"*")</f>
        <v>-336</v>
      </c>
      <c r="BU1395" s="343">
        <f>SUMIFS($AU$1388:AU1396,$AA$1388:AA1396,"*",$AB$1388:AB1396,"*")</f>
        <v>0</v>
      </c>
      <c r="BV1395" s="343">
        <f>SUMIFS($AU$1388:AU1396,$AA$1388:AA1396,"*",$AC$1388:AC1396,"*")</f>
        <v>0</v>
      </c>
      <c r="BW1395" s="343">
        <f>SUMIFS($AU$1388:AU1396,$AB$1388:AB1396,"*",$AC$1388:AC1396,"*")</f>
        <v>0</v>
      </c>
      <c r="BX1395" s="343">
        <f>SUMIFS($AV$1388:AV1396,$Q$1388:Q1396,"F")</f>
        <v>7.3142857142857149</v>
      </c>
      <c r="BY1395" s="343">
        <f>SUMIFS($AV$1388:AV1396,$Q$1388:Q1396,"S")</f>
        <v>-8.7999999999999758</v>
      </c>
      <c r="BZ1395" s="343">
        <f>SUMIFS($AV$1388:AV1396,$Q$1388:Q1396,"O")</f>
        <v>0</v>
      </c>
    </row>
    <row r="1396" spans="1:78" ht="15.75" customHeight="1">
      <c r="A1396" s="177" t="s">
        <v>4824</v>
      </c>
      <c r="B1396" s="200">
        <v>45296</v>
      </c>
      <c r="C1396" s="178" t="s">
        <v>1344</v>
      </c>
      <c r="D1396" s="178" t="s">
        <v>111</v>
      </c>
      <c r="E1396" s="227" t="s">
        <v>4846</v>
      </c>
      <c r="F1396" s="180" t="s">
        <v>4847</v>
      </c>
      <c r="G1396" s="181"/>
      <c r="H1396" s="182">
        <v>1</v>
      </c>
      <c r="I1396" s="182"/>
      <c r="J1396" s="182"/>
      <c r="K1396" s="183" t="s">
        <v>372</v>
      </c>
      <c r="L1396" s="182"/>
      <c r="M1396" s="182"/>
      <c r="N1396" s="182"/>
      <c r="O1396" s="183"/>
      <c r="P1396" s="183"/>
      <c r="Q1396" s="183"/>
      <c r="R1396" s="183"/>
      <c r="S1396" s="183"/>
      <c r="T1396" s="183"/>
      <c r="U1396" s="183"/>
      <c r="V1396" s="183"/>
      <c r="W1396" s="183"/>
      <c r="X1396" s="183"/>
      <c r="Y1396" s="183"/>
      <c r="Z1396" s="183"/>
      <c r="AA1396" s="185"/>
      <c r="AB1396" s="185"/>
      <c r="AC1396" s="185"/>
      <c r="AD1396" s="649"/>
      <c r="AE1396" s="182"/>
      <c r="AF1396" s="332"/>
      <c r="AG1396" s="182"/>
      <c r="AH1396" s="182"/>
      <c r="AI1396" s="182"/>
      <c r="AJ1396" s="640"/>
      <c r="AK1396" s="182"/>
      <c r="AL1396" s="496"/>
      <c r="AM1396" s="496"/>
      <c r="AN1396" s="626"/>
      <c r="AO1396" s="182"/>
      <c r="AP1396" s="182"/>
      <c r="AQ1396" s="332" t="str">
        <f>UPPER(RIGHT(Journal_Live[[#This Row],[DURATION ]]))</f>
        <v/>
      </c>
      <c r="AR1396" s="182"/>
      <c r="AS1396" s="189"/>
      <c r="AT1396" s="189"/>
      <c r="AU1396" s="187"/>
      <c r="AV1396" s="190"/>
      <c r="AW1396" s="191"/>
      <c r="AX1396" s="407" t="s">
        <v>4848</v>
      </c>
      <c r="AY1396" s="407" t="s">
        <v>4849</v>
      </c>
      <c r="AZ1396" s="407" t="s">
        <v>4850</v>
      </c>
      <c r="BA1396" s="407"/>
      <c r="BB1396" s="407"/>
      <c r="BC1396" s="407"/>
      <c r="BD1396" s="407"/>
      <c r="BE1396" s="407"/>
      <c r="BF1396" s="422"/>
      <c r="BG1396" s="391">
        <f>SUM($AV$1389:AV1396)</f>
        <v>-1.4857142857142591</v>
      </c>
      <c r="BH1396" s="392">
        <f>SUM($AU$1389:AU1396)</f>
        <v>1.4210854715202004E-13</v>
      </c>
      <c r="BI1396" s="318">
        <f>SUMIFS($AU$1388:AU1397,$Q$1388:Q1397,"F")</f>
        <v>256</v>
      </c>
      <c r="BJ1396" s="318">
        <f>SUMIFS($AU$1388:AU1397,$Q$1388:Q1397,"S")</f>
        <v>-255.99999999999986</v>
      </c>
      <c r="BK1396" s="343">
        <f>SUMIFS($AU$1388:AU1397,$P$1388:P1397,"W")</f>
        <v>-255.99999999999986</v>
      </c>
      <c r="BL1396" s="343">
        <f>SUMIFS($AU$1388:AU1397,$P$1388:P1397,"R")</f>
        <v>256</v>
      </c>
      <c r="BM1396" s="343">
        <f>SUMIFS($AU$1388:AU1397,$AQ$1388:AQ1397,"M")</f>
        <v>0</v>
      </c>
      <c r="BN1396" s="343">
        <f>SUMIFS($AU$1388:AU1397,$AQ$1388:AQ1397,"H")</f>
        <v>-255.99999999999986</v>
      </c>
      <c r="BO1396" s="343">
        <f>SUMIFS($AU$1388:AU1397,$AQ$1388:AQ1397,"D")</f>
        <v>0</v>
      </c>
      <c r="BP1396" s="343">
        <f>SUMIFS($AU$1388:AU1399,$AQ$1388:AQ1399,"W")</f>
        <v>256</v>
      </c>
      <c r="BQ1396" s="343">
        <f>SUMIFS($AU$1388:AU1397,$Q$1388:Q1397,"O")</f>
        <v>0</v>
      </c>
      <c r="BR1396" s="343">
        <f>SUMIFS($AU$1388:AU1397,$AA$1388:AA1397,"*")</f>
        <v>336.00000000000011</v>
      </c>
      <c r="BS1396" s="343">
        <f>SUMIFS($AU$1388:AU1397,$AB$1388:AB1397,"*")</f>
        <v>0</v>
      </c>
      <c r="BT1396" s="343">
        <f>SUMIFS($AU$1388:AU1397,$AC$1388:AC1397,"*")</f>
        <v>-336</v>
      </c>
      <c r="BU1396" s="343">
        <f>SUMIFS($AU$1388:AU1397,$AA$1388:AA1397,"*",$AB$1388:AB1397,"*")</f>
        <v>0</v>
      </c>
      <c r="BV1396" s="343">
        <f>SUMIFS($AU$1388:AU1397,$AA$1388:AA1397,"*",$AC$1388:AC1397,"*")</f>
        <v>0</v>
      </c>
      <c r="BW1396" s="343">
        <f>SUMIFS($AU$1388:AU1397,$AB$1388:AB1397,"*",$AC$1388:AC1397,"*")</f>
        <v>0</v>
      </c>
      <c r="BX1396" s="343">
        <f>SUMIFS($AV$1388:AV1397,$Q$1388:Q1397,"F")</f>
        <v>7.3142857142857149</v>
      </c>
      <c r="BY1396" s="343">
        <f>SUMIFS($AV$1388:AV1397,$Q$1388:Q1397,"S")</f>
        <v>-8.7999999999999758</v>
      </c>
      <c r="BZ1396" s="343">
        <f>SUMIFS($AV$1388:AV1397,$Q$1388:Q1397,"O")</f>
        <v>0</v>
      </c>
    </row>
    <row r="1397" spans="1:78" ht="15.75" customHeight="1">
      <c r="A1397" s="177" t="s">
        <v>4824</v>
      </c>
      <c r="B1397" s="200"/>
      <c r="C1397" s="178"/>
      <c r="D1397" s="178"/>
      <c r="E1397" s="227" t="s">
        <v>4851</v>
      </c>
      <c r="F1397" s="180"/>
      <c r="G1397" s="181"/>
      <c r="H1397" s="182"/>
      <c r="I1397" s="182"/>
      <c r="J1397" s="182">
        <v>1</v>
      </c>
      <c r="K1397" s="183" t="s">
        <v>372</v>
      </c>
      <c r="L1397" s="182"/>
      <c r="M1397" s="182"/>
      <c r="N1397" s="182"/>
      <c r="O1397" s="183"/>
      <c r="P1397" s="183"/>
      <c r="Q1397" s="183"/>
      <c r="R1397" s="183"/>
      <c r="S1397" s="183"/>
      <c r="T1397" s="183"/>
      <c r="U1397" s="183"/>
      <c r="V1397" s="183"/>
      <c r="W1397" s="183"/>
      <c r="X1397" s="183"/>
      <c r="Y1397" s="183"/>
      <c r="Z1397" s="183"/>
      <c r="AA1397" s="185"/>
      <c r="AB1397" s="185"/>
      <c r="AC1397" s="185"/>
      <c r="AD1397" s="649"/>
      <c r="AE1397" s="182"/>
      <c r="AF1397" s="332"/>
      <c r="AG1397" s="182"/>
      <c r="AH1397" s="182"/>
      <c r="AI1397" s="182"/>
      <c r="AJ1397" s="640"/>
      <c r="AK1397" s="182"/>
      <c r="AL1397" s="496"/>
      <c r="AM1397" s="496"/>
      <c r="AN1397" s="626"/>
      <c r="AO1397" s="182"/>
      <c r="AP1397" s="182"/>
      <c r="AQ1397" s="332" t="str">
        <f>UPPER(RIGHT(Journal_Live[[#This Row],[DURATION ]]))</f>
        <v/>
      </c>
      <c r="AR1397" s="182"/>
      <c r="AS1397" s="189"/>
      <c r="AT1397" s="189"/>
      <c r="AU1397" s="187"/>
      <c r="AV1397" s="190"/>
      <c r="AW1397" s="191"/>
      <c r="AX1397" s="407"/>
      <c r="AY1397" s="407"/>
      <c r="AZ1397" s="407"/>
      <c r="BA1397" s="407"/>
      <c r="BB1397" s="407"/>
      <c r="BC1397" s="407"/>
      <c r="BD1397" s="407"/>
      <c r="BE1397" s="407"/>
      <c r="BF1397" s="422"/>
      <c r="BG1397" s="391">
        <f>SUM($AV$1389:AV1397)</f>
        <v>-1.4857142857142591</v>
      </c>
      <c r="BH1397" s="392">
        <f>SUM($AU$1389:AU1397)</f>
        <v>1.4210854715202004E-13</v>
      </c>
      <c r="BI1397" s="318">
        <f>SUMIFS($AU$1388:AU1398,$Q$1388:Q1398,"F")</f>
        <v>256</v>
      </c>
      <c r="BJ1397" s="318">
        <f>SUMIFS($AU$1388:AU1398,$Q$1388:Q1398,"S")</f>
        <v>16.000000000000028</v>
      </c>
      <c r="BK1397" s="343">
        <f>SUMIFS($AU$1388:AU1398,$P$1388:P1398,"W")</f>
        <v>16.000000000000028</v>
      </c>
      <c r="BL1397" s="343">
        <f>SUMIFS($AU$1388:AU1398,$P$1388:P1398,"R")</f>
        <v>256</v>
      </c>
      <c r="BM1397" s="343">
        <f>SUMIFS($AU$1388:AU1398,$AQ$1388:AQ1398,"M")</f>
        <v>271.99999999999989</v>
      </c>
      <c r="BN1397" s="343">
        <f>SUMIFS($AU$1388:AU1398,$AQ$1388:AQ1398,"H")</f>
        <v>-255.99999999999986</v>
      </c>
      <c r="BO1397" s="343">
        <f>SUMIFS($AU$1388:AU1398,$AQ$1388:AQ1398,"D")</f>
        <v>0</v>
      </c>
      <c r="BP1397" s="343">
        <f>SUMIFS($AU$1388:AU1400,$AQ$1388:AQ1400,"W")</f>
        <v>256</v>
      </c>
      <c r="BQ1397" s="343">
        <f>SUMIFS($AU$1388:AU1398,$Q$1388:Q1398,"O")</f>
        <v>0</v>
      </c>
      <c r="BR1397" s="343">
        <f>SUMIFS($AU$1388:AU1398,$AA$1388:AA1398,"*")</f>
        <v>608</v>
      </c>
      <c r="BS1397" s="343">
        <f>SUMIFS($AU$1388:AU1398,$AB$1388:AB1398,"*")</f>
        <v>0</v>
      </c>
      <c r="BT1397" s="343">
        <f>SUMIFS($AU$1388:AU1398,$AC$1388:AC1398,"*")</f>
        <v>-336</v>
      </c>
      <c r="BU1397" s="343">
        <f>SUMIFS($AU$1388:AU1398,$AA$1388:AA1398,"*",$AB$1388:AB1398,"*")</f>
        <v>0</v>
      </c>
      <c r="BV1397" s="343">
        <f>SUMIFS($AU$1388:AU1398,$AA$1388:AA1398,"*",$AC$1388:AC1398,"*")</f>
        <v>0</v>
      </c>
      <c r="BW1397" s="343">
        <f>SUMIFS($AU$1388:AU1398,$AB$1388:AB1398,"*",$AC$1388:AC1398,"*")</f>
        <v>0</v>
      </c>
      <c r="BX1397" s="343">
        <f>SUMIFS($AV$1388:AV1398,$Q$1388:Q1398,"F")</f>
        <v>7.3142857142857149</v>
      </c>
      <c r="BY1397" s="343">
        <f>SUMIFS($AV$1388:AV1398,$Q$1388:Q1398,"S")</f>
        <v>13.866666666666681</v>
      </c>
      <c r="BZ1397" s="343">
        <f>SUMIFS($AV$1388:AV1398,$Q$1388:Q1398,"O")</f>
        <v>0</v>
      </c>
    </row>
    <row r="1398" spans="1:78" ht="15.75" customHeight="1">
      <c r="A1398" s="177" t="s">
        <v>4824</v>
      </c>
      <c r="B1398" s="200">
        <v>45296</v>
      </c>
      <c r="C1398" s="178" t="s">
        <v>682</v>
      </c>
      <c r="D1398" s="178" t="s">
        <v>111</v>
      </c>
      <c r="E1398" s="227"/>
      <c r="F1398" s="180"/>
      <c r="G1398" s="281" t="s">
        <v>181</v>
      </c>
      <c r="H1398" s="182"/>
      <c r="I1398" s="182"/>
      <c r="J1398" s="182"/>
      <c r="K1398" s="183"/>
      <c r="L1398" s="182">
        <v>1</v>
      </c>
      <c r="M1398" s="182"/>
      <c r="N1398" s="182"/>
      <c r="O1398" s="183" t="s">
        <v>95</v>
      </c>
      <c r="P1398" s="183" t="s">
        <v>96</v>
      </c>
      <c r="Q1398" s="183" t="s">
        <v>97</v>
      </c>
      <c r="R1398" s="183">
        <v>12</v>
      </c>
      <c r="S1398" s="183">
        <v>0</v>
      </c>
      <c r="T1398" s="183">
        <v>12</v>
      </c>
      <c r="U1398" s="183" t="s">
        <v>97</v>
      </c>
      <c r="V1398" s="183"/>
      <c r="W1398" s="183"/>
      <c r="X1398" s="183"/>
      <c r="Y1398" s="184">
        <f>IF(ISBLANK(O1398),"",(IF(O1398=UPPER("IB"),0.005,0.01)))</f>
        <v>0.01</v>
      </c>
      <c r="Z1398" s="185">
        <f>IF(ISBLANK(O1398),"",IF(O1398="IB",8.63*200,IF(O1398="IR",16*100,IF(O1398="YT",20*100,IF(O1398="YT-XT",24*200,IF(O1398="TED",80*100))))))</f>
        <v>1600</v>
      </c>
      <c r="AA1398" s="185" t="s">
        <v>4852</v>
      </c>
      <c r="AB1398" s="185"/>
      <c r="AC1398" s="185"/>
      <c r="AD1398" s="649">
        <v>-0.05</v>
      </c>
      <c r="AE1398" s="182"/>
      <c r="AF1398" s="332"/>
      <c r="AG1398" s="182"/>
      <c r="AH1398" s="182"/>
      <c r="AI1398" s="182"/>
      <c r="AJ1398" s="640"/>
      <c r="AK1398" s="182"/>
      <c r="AL1398" s="496"/>
      <c r="AM1398" s="496"/>
      <c r="AN1398" s="626"/>
      <c r="AO1398" s="182"/>
      <c r="AP1398" s="182" t="s">
        <v>4853</v>
      </c>
      <c r="AQ1398" s="332" t="str">
        <f>UPPER(RIGHT(Journal_Live[[#This Row],[DURATION ]]))</f>
        <v>M</v>
      </c>
      <c r="AR1398" s="182" t="s">
        <v>4854</v>
      </c>
      <c r="AS1398" s="189">
        <f>((-0.06*7)+(-0.07*5))/12</f>
        <v>-6.4166666666666664E-2</v>
      </c>
      <c r="AT1398" s="189">
        <f>IF(ISBLANK(AS1398),,IF(U1398="S",AD1398-AS1398,AS1398-AD1398))</f>
        <v>1.4166666666666661E-2</v>
      </c>
      <c r="AU1398" s="187">
        <f>AV1398*R1398</f>
        <v>271.99999999999989</v>
      </c>
      <c r="AV1398" s="190">
        <f>IF(ISBLANK(AS1398),,(AT1398*Z1398))</f>
        <v>22.666666666666657</v>
      </c>
      <c r="AW1398" s="191" t="s">
        <v>96</v>
      </c>
      <c r="AX1398" s="407" t="s">
        <v>4855</v>
      </c>
      <c r="AY1398" s="407"/>
      <c r="AZ1398" s="407"/>
      <c r="BA1398" s="407"/>
      <c r="BB1398" s="407"/>
      <c r="BC1398" s="407"/>
      <c r="BD1398" s="407"/>
      <c r="BE1398" s="407"/>
      <c r="BF1398" s="422"/>
      <c r="BG1398" s="391">
        <f>SUM($AV$1389:AV1398)</f>
        <v>21.180952380952398</v>
      </c>
      <c r="BH1398" s="392">
        <f>SUM($AU$1389:AU1398)</f>
        <v>272</v>
      </c>
      <c r="BI1398" s="318">
        <f>SUMIFS($AU$1388:AU1399,$Q$1388:Q1399,"F")</f>
        <v>256</v>
      </c>
      <c r="BJ1398" s="318">
        <f>SUMIFS($AU$1388:AU1399,$Q$1388:Q1399,"S")</f>
        <v>16.000000000000028</v>
      </c>
      <c r="BK1398" s="343">
        <f>SUMIFS($AU$1388:AU1399,$P$1388:P1399,"W")</f>
        <v>16.000000000000028</v>
      </c>
      <c r="BL1398" s="343">
        <f>SUMIFS($AU$1388:AU1399,$P$1388:P1399,"R")</f>
        <v>256</v>
      </c>
      <c r="BM1398" s="343">
        <f>SUMIFS($AU$1388:AU1399,$AQ$1388:AQ1399,"M")</f>
        <v>271.99999999999989</v>
      </c>
      <c r="BN1398" s="343">
        <f>SUMIFS($AU$1388:AU1399,$AQ$1388:AQ1399,"H")</f>
        <v>-255.99999999999986</v>
      </c>
      <c r="BO1398" s="343">
        <f>SUMIFS($AU$1388:AU1399,$AQ$1388:AQ1399,"D")</f>
        <v>0</v>
      </c>
      <c r="BP1398" s="343">
        <f>SUMIFS($AU$1388:AU1401,$AQ$1388:AQ1401,"W")</f>
        <v>256</v>
      </c>
      <c r="BQ1398" s="343">
        <f>SUMIFS($AU$1388:AU1399,$Q$1388:Q1399,"O")</f>
        <v>0</v>
      </c>
      <c r="BR1398" s="343">
        <f>SUMIFS($AU$1388:AU1399,$AA$1388:AA1399,"*")</f>
        <v>608</v>
      </c>
      <c r="BS1398" s="343">
        <f>SUMIFS($AU$1388:AU1399,$AB$1388:AB1399,"*")</f>
        <v>0</v>
      </c>
      <c r="BT1398" s="343">
        <f>SUMIFS($AU$1388:AU1399,$AC$1388:AC1399,"*")</f>
        <v>-336</v>
      </c>
      <c r="BU1398" s="343">
        <f>SUMIFS($AU$1388:AU1399,$AA$1388:AA1399,"*",$AB$1388:AB1399,"*")</f>
        <v>0</v>
      </c>
      <c r="BV1398" s="343">
        <f>SUMIFS($AU$1388:AU1399,$AA$1388:AA1399,"*",$AC$1388:AC1399,"*")</f>
        <v>0</v>
      </c>
      <c r="BW1398" s="343">
        <f>SUMIFS($AU$1388:AU1399,$AB$1388:AB1399,"*",$AC$1388:AC1399,"*")</f>
        <v>0</v>
      </c>
      <c r="BX1398" s="343">
        <f>SUMIFS($AV$1388:AV1399,$Q$1388:Q1399,"F")</f>
        <v>7.3142857142857149</v>
      </c>
      <c r="BY1398" s="343">
        <f>SUMIFS($AV$1388:AV1399,$Q$1388:Q1399,"S")</f>
        <v>13.866666666666681</v>
      </c>
      <c r="BZ1398" s="343">
        <f>SUMIFS($AV$1388:AV1399,$Q$1388:Q1399,"O")</f>
        <v>0</v>
      </c>
    </row>
    <row r="1399" spans="1:78" ht="15.75" customHeight="1">
      <c r="A1399" s="177" t="s">
        <v>4824</v>
      </c>
      <c r="B1399" s="200">
        <v>45296</v>
      </c>
      <c r="C1399" s="178" t="s">
        <v>1014</v>
      </c>
      <c r="D1399" s="178" t="s">
        <v>111</v>
      </c>
      <c r="E1399" s="227" t="s">
        <v>4856</v>
      </c>
      <c r="F1399" s="180" t="s">
        <v>4857</v>
      </c>
      <c r="G1399" s="181"/>
      <c r="H1399" s="182"/>
      <c r="I1399" s="182"/>
      <c r="J1399" s="182">
        <v>1</v>
      </c>
      <c r="K1399" s="183" t="s">
        <v>115</v>
      </c>
      <c r="L1399" s="182"/>
      <c r="M1399" s="182"/>
      <c r="N1399" s="182"/>
      <c r="O1399" s="183"/>
      <c r="P1399" s="183"/>
      <c r="Q1399" s="183"/>
      <c r="R1399" s="183"/>
      <c r="S1399" s="183"/>
      <c r="T1399" s="183"/>
      <c r="U1399" s="183"/>
      <c r="V1399" s="183"/>
      <c r="W1399" s="183"/>
      <c r="X1399" s="183"/>
      <c r="Y1399" s="183"/>
      <c r="Z1399" s="183"/>
      <c r="AA1399" s="185"/>
      <c r="AB1399" s="185"/>
      <c r="AC1399" s="185"/>
      <c r="AD1399" s="649"/>
      <c r="AE1399" s="182"/>
      <c r="AF1399" s="332"/>
      <c r="AG1399" s="182"/>
      <c r="AH1399" s="182"/>
      <c r="AI1399" s="182"/>
      <c r="AJ1399" s="640"/>
      <c r="AK1399" s="182"/>
      <c r="AL1399" s="496"/>
      <c r="AM1399" s="496"/>
      <c r="AN1399" s="626"/>
      <c r="AO1399" s="182"/>
      <c r="AP1399" s="182"/>
      <c r="AQ1399" s="332" t="str">
        <f>UPPER(RIGHT(Journal_Live[[#This Row],[DURATION ]]))</f>
        <v/>
      </c>
      <c r="AR1399" s="182"/>
      <c r="AS1399" s="189"/>
      <c r="AT1399" s="189"/>
      <c r="AU1399" s="187"/>
      <c r="AV1399" s="190"/>
      <c r="AW1399" s="191"/>
      <c r="AX1399" s="407" t="s">
        <v>4858</v>
      </c>
      <c r="AY1399" s="407" t="s">
        <v>4859</v>
      </c>
      <c r="AZ1399" s="407"/>
      <c r="BA1399" s="407"/>
      <c r="BB1399" s="407"/>
      <c r="BC1399" s="407"/>
      <c r="BD1399" s="407"/>
      <c r="BE1399" s="407"/>
      <c r="BF1399" s="422"/>
      <c r="BG1399" s="391">
        <f>SUM($AV$1389:AV1399)</f>
        <v>21.180952380952398</v>
      </c>
      <c r="BH1399" s="392">
        <f>SUM($AU$1389:AU1399)</f>
        <v>272</v>
      </c>
      <c r="BI1399" s="318">
        <f>SUMIFS($AU$1388:AU1400,$Q$1388:Q1400,"F")</f>
        <v>256</v>
      </c>
      <c r="BJ1399" s="318">
        <f>SUMIFS($AU$1388:AU1400,$Q$1388:Q1400,"S")</f>
        <v>16.000000000000028</v>
      </c>
      <c r="BK1399" s="343">
        <f>SUMIFS($AU$1388:AU1400,$P$1388:P1400,"W")</f>
        <v>16.000000000000028</v>
      </c>
      <c r="BL1399" s="343">
        <f>SUMIFS($AU$1388:AU1400,$P$1388:P1400,"R")</f>
        <v>256</v>
      </c>
      <c r="BM1399" s="343">
        <f>SUMIFS($AU$1388:AU1400,$AQ$1388:AQ1400,"M")</f>
        <v>271.99999999999989</v>
      </c>
      <c r="BN1399" s="343">
        <f>SUMIFS($AU$1388:AU1400,$AQ$1388:AQ1400,"H")</f>
        <v>-255.99999999999986</v>
      </c>
      <c r="BO1399" s="343">
        <f>SUMIFS($AU$1388:AU1400,$AQ$1388:AQ1400,"D")</f>
        <v>0</v>
      </c>
      <c r="BP1399" s="343">
        <f>SUMIFS($AU$1388:AU1402,$AQ$1388:AQ1402,"W")</f>
        <v>256</v>
      </c>
      <c r="BQ1399" s="343">
        <f>SUMIFS($AU$1388:AU1400,$Q$1388:Q1400,"O")</f>
        <v>0</v>
      </c>
      <c r="BR1399" s="343">
        <f>SUMIFS($AU$1388:AU1400,$AA$1388:AA1400,"*")</f>
        <v>608</v>
      </c>
      <c r="BS1399" s="343">
        <f>SUMIFS($AU$1388:AU1400,$AB$1388:AB1400,"*")</f>
        <v>0</v>
      </c>
      <c r="BT1399" s="343">
        <f>SUMIFS($AU$1388:AU1400,$AC$1388:AC1400,"*")</f>
        <v>-336</v>
      </c>
      <c r="BU1399" s="343">
        <f>SUMIFS($AU$1388:AU1400,$AA$1388:AA1400,"*",$AB$1388:AB1400,"*")</f>
        <v>0</v>
      </c>
      <c r="BV1399" s="343">
        <f>SUMIFS($AU$1388:AU1400,$AA$1388:AA1400,"*",$AC$1388:AC1400,"*")</f>
        <v>0</v>
      </c>
      <c r="BW1399" s="343">
        <f>SUMIFS($AU$1388:AU1400,$AB$1388:AB1400,"*",$AC$1388:AC1400,"*")</f>
        <v>0</v>
      </c>
      <c r="BX1399" s="343">
        <f>SUMIFS($AV$1388:AV1400,$Q$1388:Q1400,"F")</f>
        <v>7.3142857142857149</v>
      </c>
      <c r="BY1399" s="343">
        <f>SUMIFS($AV$1388:AV1400,$Q$1388:Q1400,"S")</f>
        <v>13.866666666666681</v>
      </c>
      <c r="BZ1399" s="343">
        <f>SUMIFS($AV$1388:AV1400,$Q$1388:Q1400,"O")</f>
        <v>0</v>
      </c>
    </row>
    <row r="1400" spans="1:78" ht="15.75" customHeight="1">
      <c r="A1400" s="177" t="s">
        <v>4824</v>
      </c>
      <c r="B1400" s="200"/>
      <c r="C1400" s="178"/>
      <c r="D1400" s="178"/>
      <c r="E1400" s="227" t="s">
        <v>4860</v>
      </c>
      <c r="F1400" s="180" t="s">
        <v>4861</v>
      </c>
      <c r="G1400" s="181"/>
      <c r="H1400" s="182">
        <v>1</v>
      </c>
      <c r="I1400" s="182"/>
      <c r="J1400" s="182"/>
      <c r="K1400" s="183" t="s">
        <v>372</v>
      </c>
      <c r="L1400" s="182"/>
      <c r="M1400" s="182"/>
      <c r="N1400" s="182"/>
      <c r="O1400" s="183"/>
      <c r="P1400" s="183"/>
      <c r="Q1400" s="183"/>
      <c r="R1400" s="183"/>
      <c r="S1400" s="183"/>
      <c r="T1400" s="183"/>
      <c r="U1400" s="183"/>
      <c r="V1400" s="183"/>
      <c r="W1400" s="183"/>
      <c r="X1400" s="183"/>
      <c r="Y1400" s="183"/>
      <c r="Z1400" s="183"/>
      <c r="AA1400" s="185"/>
      <c r="AB1400" s="185"/>
      <c r="AC1400" s="185"/>
      <c r="AD1400" s="649"/>
      <c r="AE1400" s="182"/>
      <c r="AF1400" s="332"/>
      <c r="AG1400" s="182"/>
      <c r="AH1400" s="182"/>
      <c r="AI1400" s="182"/>
      <c r="AJ1400" s="640"/>
      <c r="AK1400" s="182"/>
      <c r="AL1400" s="496"/>
      <c r="AM1400" s="496"/>
      <c r="AN1400" s="626"/>
      <c r="AO1400" s="182"/>
      <c r="AP1400" s="182"/>
      <c r="AQ1400" s="332" t="str">
        <f>UPPER(RIGHT(Journal_Live[[#This Row],[DURATION ]]))</f>
        <v/>
      </c>
      <c r="AR1400" s="182"/>
      <c r="AS1400" s="189"/>
      <c r="AT1400" s="189"/>
      <c r="AU1400" s="187"/>
      <c r="AV1400" s="190"/>
      <c r="AW1400" s="191"/>
      <c r="AX1400" s="407" t="s">
        <v>4862</v>
      </c>
      <c r="AY1400" s="407" t="s">
        <v>4863</v>
      </c>
      <c r="AZ1400" s="407" t="s">
        <v>4864</v>
      </c>
      <c r="BA1400" s="407"/>
      <c r="BB1400" s="407"/>
      <c r="BC1400" s="407"/>
      <c r="BD1400" s="407"/>
      <c r="BE1400" s="407"/>
      <c r="BF1400" s="422"/>
      <c r="BG1400" s="391">
        <f>SUM($AV$1389:AV1400)</f>
        <v>21.180952380952398</v>
      </c>
      <c r="BH1400" s="392">
        <f>SUM($AU$1389:AU1400)</f>
        <v>272</v>
      </c>
      <c r="BI1400" s="318">
        <f>SUMIFS($AU$1388:AU1401,$Q$1388:Q1401,"F")</f>
        <v>256</v>
      </c>
      <c r="BJ1400" s="318">
        <f>SUMIFS($AU$1388:AU1401,$Q$1388:Q1401,"S")</f>
        <v>208.0000000000002</v>
      </c>
      <c r="BK1400" s="343">
        <f>SUMIFS($AU$1388:AU1401,$P$1388:P1401,"W")</f>
        <v>208.0000000000002</v>
      </c>
      <c r="BL1400" s="343">
        <f>SUMIFS($AU$1388:AU1401,$P$1388:P1401,"R")</f>
        <v>256</v>
      </c>
      <c r="BM1400" s="343">
        <f>SUMIFS($AU$1388:AU1401,$AQ$1388:AQ1401,"M")</f>
        <v>271.99999999999989</v>
      </c>
      <c r="BN1400" s="343">
        <f>SUMIFS($AU$1388:AU1401,$AQ$1388:AQ1401,"H")</f>
        <v>-63.999999999999687</v>
      </c>
      <c r="BO1400" s="343">
        <f>SUMIFS($AU$1388:AU1401,$AQ$1388:AQ1401,"D")</f>
        <v>0</v>
      </c>
      <c r="BP1400" s="343">
        <f>SUMIFS($AU$1388:AU1403,$AQ$1388:AQ1403,"W")</f>
        <v>256</v>
      </c>
      <c r="BQ1400" s="343">
        <f>SUMIFS($AU$1388:AU1401,$Q$1388:Q1401,"O")</f>
        <v>0</v>
      </c>
      <c r="BR1400" s="343">
        <f>SUMIFS($AU$1388:AU1401,$AA$1388:AA1401,"*")</f>
        <v>800.00000000000023</v>
      </c>
      <c r="BS1400" s="343">
        <f>SUMIFS($AU$1388:AU1401,$AB$1388:AB1401,"*")</f>
        <v>0</v>
      </c>
      <c r="BT1400" s="343">
        <f>SUMIFS($AU$1388:AU1401,$AC$1388:AC1401,"*")</f>
        <v>-336</v>
      </c>
      <c r="BU1400" s="343">
        <f>SUMIFS($AU$1388:AU1401,$AA$1388:AA1401,"*",$AB$1388:AB1401,"*")</f>
        <v>0</v>
      </c>
      <c r="BV1400" s="343">
        <f>SUMIFS($AU$1388:AU1401,$AA$1388:AA1401,"*",$AC$1388:AC1401,"*")</f>
        <v>0</v>
      </c>
      <c r="BW1400" s="343">
        <f>SUMIFS($AU$1388:AU1401,$AB$1388:AB1401,"*",$AC$1388:AC1401,"*")</f>
        <v>0</v>
      </c>
      <c r="BX1400" s="343">
        <f>SUMIFS($AV$1388:AV1401,$Q$1388:Q1401,"F")</f>
        <v>7.3142857142857149</v>
      </c>
      <c r="BY1400" s="343">
        <f>SUMIFS($AV$1388:AV1401,$Q$1388:Q1401,"S")</f>
        <v>29.866666666666696</v>
      </c>
      <c r="BZ1400" s="343">
        <f>SUMIFS($AV$1388:AV1401,$Q$1388:Q1401,"O")</f>
        <v>0</v>
      </c>
    </row>
    <row r="1401" spans="1:78" ht="15.75" customHeight="1">
      <c r="A1401" s="177" t="s">
        <v>4824</v>
      </c>
      <c r="B1401" s="200">
        <v>45296</v>
      </c>
      <c r="C1401" s="178" t="s">
        <v>4865</v>
      </c>
      <c r="D1401" s="178" t="s">
        <v>111</v>
      </c>
      <c r="E1401" s="227"/>
      <c r="F1401" s="180"/>
      <c r="G1401" s="281" t="s">
        <v>181</v>
      </c>
      <c r="H1401" s="182"/>
      <c r="I1401" s="182"/>
      <c r="J1401" s="182"/>
      <c r="K1401" s="183"/>
      <c r="L1401" s="182">
        <v>1</v>
      </c>
      <c r="M1401" s="182"/>
      <c r="N1401" s="182"/>
      <c r="O1401" s="183" t="s">
        <v>95</v>
      </c>
      <c r="P1401" s="183" t="s">
        <v>96</v>
      </c>
      <c r="Q1401" s="183" t="s">
        <v>97</v>
      </c>
      <c r="R1401" s="183">
        <v>12</v>
      </c>
      <c r="S1401" s="183">
        <v>0</v>
      </c>
      <c r="T1401" s="183">
        <v>12</v>
      </c>
      <c r="U1401" s="183" t="s">
        <v>22</v>
      </c>
      <c r="V1401" s="183"/>
      <c r="W1401" s="183"/>
      <c r="X1401" s="183"/>
      <c r="Y1401" s="184">
        <f>IF(ISBLANK(O1401),"",(IF(O1401=UPPER("IB"),0.005,0.01)))</f>
        <v>0.01</v>
      </c>
      <c r="Z1401" s="185">
        <f>IF(ISBLANK(O1401),"",IF(O1401="IB",8.63*200,IF(O1401="IR",16*100,IF(O1401="YT",20*100,IF(O1401="YT-XT",24*200,IF(O1401="TED",80*100))))))</f>
        <v>1600</v>
      </c>
      <c r="AA1401" s="185" t="s">
        <v>4866</v>
      </c>
      <c r="AB1401" s="185"/>
      <c r="AC1401" s="185"/>
      <c r="AD1401" s="649">
        <v>-0.1</v>
      </c>
      <c r="AE1401" s="182"/>
      <c r="AF1401" s="332"/>
      <c r="AG1401" s="182"/>
      <c r="AH1401" s="182"/>
      <c r="AI1401" s="182"/>
      <c r="AJ1401" s="640"/>
      <c r="AK1401" s="182"/>
      <c r="AL1401" s="496"/>
      <c r="AM1401" s="496"/>
      <c r="AN1401" s="626"/>
      <c r="AO1401" s="182"/>
      <c r="AP1401" s="182" t="s">
        <v>967</v>
      </c>
      <c r="AQ1401" s="332" t="str">
        <f>UPPER(RIGHT(Journal_Live[[#This Row],[DURATION ]]))</f>
        <v>H</v>
      </c>
      <c r="AR1401" s="182" t="s">
        <v>277</v>
      </c>
      <c r="AS1401" s="189">
        <v>-0.09</v>
      </c>
      <c r="AT1401" s="189">
        <f>IF(ISBLANK(AS1401),,IF(U1401="S",AD1401-AS1401,AS1401-AD1401))</f>
        <v>1.0000000000000009E-2</v>
      </c>
      <c r="AU1401" s="187">
        <f>AV1401*R1401</f>
        <v>192.00000000000017</v>
      </c>
      <c r="AV1401" s="190">
        <f>IF(ISBLANK(AS1401),,(AT1401*Z1401))</f>
        <v>16.000000000000014</v>
      </c>
      <c r="AW1401" s="191" t="s">
        <v>96</v>
      </c>
      <c r="AX1401" s="407"/>
      <c r="AY1401" s="407"/>
      <c r="AZ1401" s="407"/>
      <c r="BA1401" s="407"/>
      <c r="BB1401" s="407"/>
      <c r="BC1401" s="407"/>
      <c r="BD1401" s="407"/>
      <c r="BE1401" s="407"/>
      <c r="BF1401" s="422"/>
      <c r="BG1401" s="391">
        <f>SUM($AV$1389:AV1401)</f>
        <v>37.180952380952412</v>
      </c>
      <c r="BH1401" s="392">
        <f>SUM($AU$1389:AU1401)</f>
        <v>464.00000000000017</v>
      </c>
      <c r="BI1401" s="318">
        <f>SUMIFS($AU$1388:AU1402,$Q$1388:Q1402,"F")</f>
        <v>256</v>
      </c>
      <c r="BJ1401" s="318">
        <f>SUMIFS($AU$1388:AU1402,$Q$1388:Q1402,"S")</f>
        <v>208.0000000000002</v>
      </c>
      <c r="BK1401" s="343">
        <f>SUMIFS($AU$1388:AU1402,$P$1388:P1402,"W")</f>
        <v>208.0000000000002</v>
      </c>
      <c r="BL1401" s="343">
        <f>SUMIFS($AU$1388:AU1402,$P$1388:P1402,"R")</f>
        <v>256</v>
      </c>
      <c r="BM1401" s="343">
        <f>SUMIFS($AU$1388:AU1402,$AQ$1388:AQ1402,"M")</f>
        <v>271.99999999999989</v>
      </c>
      <c r="BN1401" s="343">
        <f>SUMIFS($AU$1388:AU1402,$AQ$1388:AQ1402,"H")</f>
        <v>-63.999999999999687</v>
      </c>
      <c r="BO1401" s="343">
        <f>SUMIFS($AU$1388:AU1402,$AQ$1388:AQ1402,"D")</f>
        <v>0</v>
      </c>
      <c r="BP1401" s="343">
        <f>SUMIFS($AU$1388:AU1404,$AQ$1388:AQ1404,"W")</f>
        <v>256</v>
      </c>
      <c r="BQ1401" s="343">
        <f>SUMIFS($AU$1388:AU1402,$Q$1388:Q1402,"O")</f>
        <v>0</v>
      </c>
      <c r="BR1401" s="343">
        <f>SUMIFS($AU$1388:AU1402,$AA$1388:AA1402,"*")</f>
        <v>800.00000000000023</v>
      </c>
      <c r="BS1401" s="343">
        <f>SUMIFS($AU$1388:AU1402,$AB$1388:AB1402,"*")</f>
        <v>0</v>
      </c>
      <c r="BT1401" s="343">
        <f>SUMIFS($AU$1388:AU1402,$AC$1388:AC1402,"*")</f>
        <v>-336</v>
      </c>
      <c r="BU1401" s="343">
        <f>SUMIFS($AU$1388:AU1402,$AA$1388:AA1402,"*",$AB$1388:AB1402,"*")</f>
        <v>0</v>
      </c>
      <c r="BV1401" s="343">
        <f>SUMIFS($AU$1388:AU1402,$AA$1388:AA1402,"*",$AC$1388:AC1402,"*")</f>
        <v>0</v>
      </c>
      <c r="BW1401" s="343">
        <f>SUMIFS($AU$1388:AU1402,$AB$1388:AB1402,"*",$AC$1388:AC1402,"*")</f>
        <v>0</v>
      </c>
      <c r="BX1401" s="343">
        <f>SUMIFS($AV$1388:AV1402,$Q$1388:Q1402,"F")</f>
        <v>7.3142857142857149</v>
      </c>
      <c r="BY1401" s="343">
        <f>SUMIFS($AV$1388:AV1402,$Q$1388:Q1402,"S")</f>
        <v>29.866666666666696</v>
      </c>
      <c r="BZ1401" s="343">
        <f>SUMIFS($AV$1388:AV1402,$Q$1388:Q1402,"O")</f>
        <v>0</v>
      </c>
    </row>
    <row r="1402" spans="1:78" ht="15.75" customHeight="1">
      <c r="A1402" s="177" t="s">
        <v>4824</v>
      </c>
      <c r="B1402" s="200"/>
      <c r="C1402" s="178"/>
      <c r="D1402" s="178"/>
      <c r="E1402" s="227"/>
      <c r="F1402" s="180"/>
      <c r="G1402" s="181"/>
      <c r="H1402" s="182"/>
      <c r="I1402" s="182"/>
      <c r="J1402" s="182"/>
      <c r="K1402" s="183"/>
      <c r="L1402" s="182"/>
      <c r="M1402" s="182"/>
      <c r="N1402" s="182"/>
      <c r="O1402" s="183"/>
      <c r="P1402" s="183"/>
      <c r="Q1402" s="183"/>
      <c r="R1402" s="183"/>
      <c r="S1402" s="183"/>
      <c r="T1402" s="183"/>
      <c r="U1402" s="183"/>
      <c r="V1402" s="183"/>
      <c r="W1402" s="183"/>
      <c r="X1402" s="183"/>
      <c r="Y1402" s="183"/>
      <c r="Z1402" s="183"/>
      <c r="AA1402" s="185"/>
      <c r="AB1402" s="185"/>
      <c r="AC1402" s="185"/>
      <c r="AD1402" s="649"/>
      <c r="AE1402" s="182"/>
      <c r="AF1402" s="332"/>
      <c r="AG1402" s="182"/>
      <c r="AH1402" s="182"/>
      <c r="AI1402" s="182"/>
      <c r="AJ1402" s="640"/>
      <c r="AK1402" s="182"/>
      <c r="AL1402" s="496"/>
      <c r="AM1402" s="496"/>
      <c r="AN1402" s="626"/>
      <c r="AO1402" s="182"/>
      <c r="AP1402" s="182"/>
      <c r="AQ1402" s="332" t="str">
        <f>UPPER(RIGHT(Journal_Live[[#This Row],[DURATION ]]))</f>
        <v/>
      </c>
      <c r="AR1402" s="182"/>
      <c r="AS1402" s="189"/>
      <c r="AT1402" s="189"/>
      <c r="AU1402" s="187"/>
      <c r="AV1402" s="190"/>
      <c r="AW1402" s="191"/>
      <c r="AX1402" s="407" t="s">
        <v>4867</v>
      </c>
      <c r="AY1402" s="407" t="s">
        <v>4868</v>
      </c>
      <c r="AZ1402" s="407"/>
      <c r="BA1402" s="407"/>
      <c r="BB1402" s="407"/>
      <c r="BC1402" s="407"/>
      <c r="BD1402" s="407"/>
      <c r="BE1402" s="407"/>
      <c r="BF1402" s="422"/>
      <c r="BG1402" s="391">
        <f>SUM($AV$1389:AV1402)</f>
        <v>37.180952380952412</v>
      </c>
      <c r="BH1402" s="392">
        <f>SUM($AU$1389:AU1402)</f>
        <v>464.00000000000017</v>
      </c>
      <c r="BI1402" s="318">
        <f>SUMIFS($AU$1388:AU1403,$Q$1388:Q1403,"F")</f>
        <v>256</v>
      </c>
      <c r="BJ1402" s="318">
        <f>SUMIFS($AU$1388:AU1403,$Q$1388:Q1403,"S")</f>
        <v>208.0000000000002</v>
      </c>
      <c r="BK1402" s="343">
        <f>SUMIFS($AU$1388:AU1403,$P$1388:P1403,"W")</f>
        <v>208.0000000000002</v>
      </c>
      <c r="BL1402" s="343">
        <f>SUMIFS($AU$1388:AU1403,$P$1388:P1403,"R")</f>
        <v>256</v>
      </c>
      <c r="BM1402" s="343">
        <f>SUMIFS($AU$1388:AU1403,$AQ$1388:AQ1403,"M")</f>
        <v>271.99999999999989</v>
      </c>
      <c r="BN1402" s="343">
        <f>SUMIFS($AU$1388:AU1403,$AQ$1388:AQ1403,"H")</f>
        <v>-63.999999999999687</v>
      </c>
      <c r="BO1402" s="343">
        <f>SUMIFS($AU$1388:AU1403,$AQ$1388:AQ1403,"D")</f>
        <v>0</v>
      </c>
      <c r="BP1402" s="343">
        <f>SUMIFS($AU$1388:AU1405,$AQ$1388:AQ1405,"W")</f>
        <v>256</v>
      </c>
      <c r="BQ1402" s="343">
        <f>SUMIFS($AU$1388:AU1403,$Q$1388:Q1403,"O")</f>
        <v>0</v>
      </c>
      <c r="BR1402" s="343">
        <f>SUMIFS($AU$1388:AU1403,$AA$1388:AA1403,"*")</f>
        <v>800.00000000000023</v>
      </c>
      <c r="BS1402" s="343">
        <f>SUMIFS($AU$1388:AU1403,$AB$1388:AB1403,"*")</f>
        <v>0</v>
      </c>
      <c r="BT1402" s="343">
        <f>SUMIFS($AU$1388:AU1403,$AC$1388:AC1403,"*")</f>
        <v>-336</v>
      </c>
      <c r="BU1402" s="343">
        <f>SUMIFS($AU$1388:AU1403,$AA$1388:AA1403,"*",$AB$1388:AB1403,"*")</f>
        <v>0</v>
      </c>
      <c r="BV1402" s="343">
        <f>SUMIFS($AU$1388:AU1403,$AA$1388:AA1403,"*",$AC$1388:AC1403,"*")</f>
        <v>0</v>
      </c>
      <c r="BW1402" s="343">
        <f>SUMIFS($AU$1388:AU1403,$AB$1388:AB1403,"*",$AC$1388:AC1403,"*")</f>
        <v>0</v>
      </c>
      <c r="BX1402" s="343">
        <f>SUMIFS($AV$1388:AV1403,$Q$1388:Q1403,"F")</f>
        <v>7.3142857142857149</v>
      </c>
      <c r="BY1402" s="343">
        <f>SUMIFS($AV$1388:AV1403,$Q$1388:Q1403,"S")</f>
        <v>29.866666666666696</v>
      </c>
      <c r="BZ1402" s="343">
        <f>SUMIFS($AV$1388:AV1403,$Q$1388:Q1403,"O")</f>
        <v>0</v>
      </c>
    </row>
    <row r="1403" spans="1:78" ht="15.75" customHeight="1">
      <c r="A1403" s="177" t="s">
        <v>4824</v>
      </c>
      <c r="B1403" s="200"/>
      <c r="C1403" s="178"/>
      <c r="D1403" s="178"/>
      <c r="E1403" s="227"/>
      <c r="F1403" s="180"/>
      <c r="G1403" s="181"/>
      <c r="H1403" s="182"/>
      <c r="I1403" s="182"/>
      <c r="J1403" s="182"/>
      <c r="K1403" s="183"/>
      <c r="L1403" s="182"/>
      <c r="M1403" s="182"/>
      <c r="N1403" s="182"/>
      <c r="O1403" s="183"/>
      <c r="P1403" s="183"/>
      <c r="Q1403" s="183"/>
      <c r="R1403" s="183"/>
      <c r="S1403" s="183"/>
      <c r="T1403" s="183"/>
      <c r="U1403" s="183"/>
      <c r="V1403" s="183"/>
      <c r="W1403" s="183"/>
      <c r="X1403" s="183"/>
      <c r="Y1403" s="183"/>
      <c r="Z1403" s="183"/>
      <c r="AA1403" s="185"/>
      <c r="AB1403" s="185"/>
      <c r="AC1403" s="185"/>
      <c r="AD1403" s="649"/>
      <c r="AE1403" s="182"/>
      <c r="AF1403" s="332"/>
      <c r="AG1403" s="182"/>
      <c r="AH1403" s="182"/>
      <c r="AI1403" s="182"/>
      <c r="AJ1403" s="640"/>
      <c r="AK1403" s="182"/>
      <c r="AL1403" s="496"/>
      <c r="AM1403" s="496"/>
      <c r="AN1403" s="626"/>
      <c r="AO1403" s="182"/>
      <c r="AP1403" s="182"/>
      <c r="AQ1403" s="332" t="str">
        <f>UPPER(RIGHT(Journal_Live[[#This Row],[DURATION ]]))</f>
        <v/>
      </c>
      <c r="AR1403" s="182"/>
      <c r="AS1403" s="189"/>
      <c r="AT1403" s="189"/>
      <c r="AU1403" s="187"/>
      <c r="AV1403" s="190"/>
      <c r="AW1403" s="191"/>
      <c r="AX1403" s="409" t="s">
        <v>4869</v>
      </c>
      <c r="AY1403" s="409" t="s">
        <v>4870</v>
      </c>
      <c r="AZ1403" s="409" t="s">
        <v>4871</v>
      </c>
      <c r="BA1403" s="409" t="s">
        <v>4872</v>
      </c>
      <c r="BB1403" s="409" t="s">
        <v>4873</v>
      </c>
      <c r="BC1403" s="409" t="s">
        <v>4874</v>
      </c>
      <c r="BD1403" s="407"/>
      <c r="BE1403" s="407"/>
      <c r="BF1403" s="422"/>
      <c r="BG1403" s="391">
        <f>SUM($AV$1389:AV1403)</f>
        <v>37.180952380952412</v>
      </c>
      <c r="BH1403" s="392">
        <f>SUM($AU$1389:AU1403)</f>
        <v>464.00000000000017</v>
      </c>
      <c r="BI1403" s="318">
        <f>SUMIFS($AU$1388:AU1404,$Q$1388:Q1404,"F")</f>
        <v>256</v>
      </c>
      <c r="BJ1403" s="318">
        <f>SUMIFS($AU$1388:AU1404,$Q$1388:Q1404,"S")</f>
        <v>784.00000000000023</v>
      </c>
      <c r="BK1403" s="343">
        <f>SUMIFS($AU$1388:AU1404,$P$1388:P1404,"W")</f>
        <v>784.00000000000023</v>
      </c>
      <c r="BL1403" s="343">
        <f>SUMIFS($AU$1388:AU1404,$P$1388:P1404,"R")</f>
        <v>256</v>
      </c>
      <c r="BM1403" s="343">
        <f>SUMIFS($AU$1388:AU1404,$AQ$1388:AQ1404,"M")</f>
        <v>271.99999999999989</v>
      </c>
      <c r="BN1403" s="343">
        <f>SUMIFS($AU$1388:AU1404,$AQ$1388:AQ1404,"H")</f>
        <v>512.00000000000034</v>
      </c>
      <c r="BO1403" s="343">
        <f>SUMIFS($AU$1388:AU1404,$AQ$1388:AQ1404,"D")</f>
        <v>0</v>
      </c>
      <c r="BP1403" s="343">
        <f>SUMIFS($AU$1388:AU1406,$AQ$1388:AQ1406,"W")</f>
        <v>256</v>
      </c>
      <c r="BQ1403" s="343">
        <f>SUMIFS($AU$1388:AU1404,$Q$1388:Q1404,"O")</f>
        <v>0</v>
      </c>
      <c r="BR1403" s="343">
        <f>SUMIFS($AU$1388:AU1404,$AA$1388:AA1404,"*")</f>
        <v>1376.0000000000002</v>
      </c>
      <c r="BS1403" s="343">
        <f>SUMIFS($AU$1388:AU1404,$AB$1388:AB1404,"*")</f>
        <v>0</v>
      </c>
      <c r="BT1403" s="343">
        <f>SUMIFS($AU$1388:AU1404,$AC$1388:AC1404,"*")</f>
        <v>-336</v>
      </c>
      <c r="BU1403" s="343">
        <f>SUMIFS($AU$1388:AU1404,$AA$1388:AA1404,"*",$AB$1388:AB1404,"*")</f>
        <v>0</v>
      </c>
      <c r="BV1403" s="343">
        <f>SUMIFS($AU$1388:AU1404,$AA$1388:AA1404,"*",$AC$1388:AC1404,"*")</f>
        <v>0</v>
      </c>
      <c r="BW1403" s="343">
        <f>SUMIFS($AU$1388:AU1404,$AB$1388:AB1404,"*",$AC$1388:AC1404,"*")</f>
        <v>0</v>
      </c>
      <c r="BX1403" s="343">
        <f>SUMIFS($AV$1388:AV1404,$Q$1388:Q1404,"F")</f>
        <v>7.3142857142857149</v>
      </c>
      <c r="BY1403" s="343">
        <f>SUMIFS($AV$1388:AV1404,$Q$1388:Q1404,"S")</f>
        <v>53.866666666666696</v>
      </c>
      <c r="BZ1403" s="343">
        <f>SUMIFS($AV$1388:AV1404,$Q$1388:Q1404,"O")</f>
        <v>0</v>
      </c>
    </row>
    <row r="1404" spans="1:78" ht="15.75" customHeight="1">
      <c r="A1404" s="177" t="s">
        <v>4824</v>
      </c>
      <c r="B1404" s="200">
        <v>45299</v>
      </c>
      <c r="C1404" s="178" t="s">
        <v>4875</v>
      </c>
      <c r="D1404" s="178" t="s">
        <v>132</v>
      </c>
      <c r="E1404" s="227"/>
      <c r="F1404" s="180"/>
      <c r="G1404" s="281" t="s">
        <v>136</v>
      </c>
      <c r="H1404" s="182"/>
      <c r="I1404" s="182"/>
      <c r="J1404" s="182"/>
      <c r="K1404" s="183"/>
      <c r="L1404" s="182">
        <v>1</v>
      </c>
      <c r="M1404" s="182"/>
      <c r="N1404" s="182"/>
      <c r="O1404" s="183" t="s">
        <v>95</v>
      </c>
      <c r="P1404" s="183" t="s">
        <v>96</v>
      </c>
      <c r="Q1404" s="183" t="s">
        <v>97</v>
      </c>
      <c r="R1404" s="183">
        <v>24</v>
      </c>
      <c r="S1404" s="183">
        <v>0</v>
      </c>
      <c r="T1404" s="183">
        <v>12</v>
      </c>
      <c r="U1404" s="183" t="s">
        <v>22</v>
      </c>
      <c r="V1404" s="183"/>
      <c r="W1404" s="183"/>
      <c r="X1404" s="183"/>
      <c r="Y1404" s="184">
        <f>IF(ISBLANK(O1404),"",(IF(O1404=UPPER("IB"),0.005,0.01)))</f>
        <v>0.01</v>
      </c>
      <c r="Z1404" s="185">
        <f>IF(ISBLANK(O1404),"",IF(O1404="IB",8.63*200,IF(O1404="IR",16*100,IF(O1404="YT",20*100,IF(O1404="YT-XT",24*200,IF(O1404="TED",80*100))))))</f>
        <v>1600</v>
      </c>
      <c r="AA1404" s="185" t="s">
        <v>99</v>
      </c>
      <c r="AB1404" s="185"/>
      <c r="AC1404" s="185"/>
      <c r="AD1404" s="649">
        <v>-0.125</v>
      </c>
      <c r="AE1404" s="182"/>
      <c r="AF1404" s="332"/>
      <c r="AG1404" s="182"/>
      <c r="AH1404" s="182"/>
      <c r="AI1404" s="182"/>
      <c r="AJ1404" s="640"/>
      <c r="AK1404" s="182"/>
      <c r="AL1404" s="496"/>
      <c r="AM1404" s="496"/>
      <c r="AN1404" s="626"/>
      <c r="AO1404" s="182"/>
      <c r="AP1404" s="182" t="s">
        <v>1585</v>
      </c>
      <c r="AQ1404" s="332" t="str">
        <f>UPPER(RIGHT(Journal_Live[[#This Row],[DURATION ]]))</f>
        <v>H</v>
      </c>
      <c r="AR1404" s="182" t="s">
        <v>1437</v>
      </c>
      <c r="AS1404" s="189">
        <v>-0.11</v>
      </c>
      <c r="AT1404" s="189">
        <f>IF(ISBLANK(AS1404),,IF(U1404="S",AD1404-AS1404,AS1404-AD1404))</f>
        <v>1.4999999999999999E-2</v>
      </c>
      <c r="AU1404" s="187">
        <f>AV1404*R1404</f>
        <v>576</v>
      </c>
      <c r="AV1404" s="190">
        <f>IF(ISBLANK(AS1404),,(AT1404*Z1404))</f>
        <v>24</v>
      </c>
      <c r="AW1404" s="191" t="s">
        <v>96</v>
      </c>
      <c r="AX1404" s="407"/>
      <c r="AY1404" s="407"/>
      <c r="AZ1404" s="407"/>
      <c r="BA1404" s="407"/>
      <c r="BB1404" s="407"/>
      <c r="BC1404" s="407"/>
      <c r="BD1404" s="407"/>
      <c r="BE1404" s="407"/>
      <c r="BF1404" s="422"/>
      <c r="BG1404" s="391">
        <f>SUM($AV$1389:AV1404)</f>
        <v>61.180952380952412</v>
      </c>
      <c r="BH1404" s="392">
        <f>SUM($AU$1389:AU1404)</f>
        <v>1040.0000000000002</v>
      </c>
      <c r="BI1404" s="318">
        <f>SUMIFS($AU$1388:AU1405,$Q$1388:Q1405,"F")</f>
        <v>256</v>
      </c>
      <c r="BJ1404" s="318">
        <f>SUMIFS($AU$1388:AU1405,$Q$1388:Q1405,"S")</f>
        <v>624.00000000000068</v>
      </c>
      <c r="BK1404" s="343">
        <f>SUMIFS($AU$1388:AU1405,$P$1388:P1405,"W")</f>
        <v>624.00000000000068</v>
      </c>
      <c r="BL1404" s="343">
        <f>SUMIFS($AU$1388:AU1405,$P$1388:P1405,"R")</f>
        <v>256</v>
      </c>
      <c r="BM1404" s="343">
        <f>SUMIFS($AU$1388:AU1405,$AQ$1388:AQ1405,"M")</f>
        <v>271.99999999999989</v>
      </c>
      <c r="BN1404" s="343">
        <f>SUMIFS($AU$1388:AU1405,$AQ$1388:AQ1405,"H")</f>
        <v>512.00000000000034</v>
      </c>
      <c r="BO1404" s="343">
        <f>SUMIFS($AU$1388:AU1405,$AQ$1388:AQ1405,"D")</f>
        <v>-159.99999999999957</v>
      </c>
      <c r="BP1404" s="343">
        <f>SUMIFS($AU$1388:AU1407,$AQ$1388:AQ1407,"W")</f>
        <v>256</v>
      </c>
      <c r="BQ1404" s="343">
        <f>SUMIFS($AU$1388:AU1405,$Q$1388:Q1405,"O")</f>
        <v>0</v>
      </c>
      <c r="BR1404" s="343">
        <f>SUMIFS($AU$1388:AU1405,$AA$1388:AA1405,"*")</f>
        <v>1376.0000000000002</v>
      </c>
      <c r="BS1404" s="343">
        <f>SUMIFS($AU$1388:AU1405,$AB$1388:AB1405,"*")</f>
        <v>-159.99999999999957</v>
      </c>
      <c r="BT1404" s="343">
        <f>SUMIFS($AU$1388:AU1405,$AC$1388:AC1405,"*")</f>
        <v>-336</v>
      </c>
      <c r="BU1404" s="343">
        <f>SUMIFS($AU$1388:AU1405,$AA$1388:AA1405,"*",$AB$1388:AB1405,"*")</f>
        <v>0</v>
      </c>
      <c r="BV1404" s="343">
        <f>SUMIFS($AU$1388:AU1405,$AA$1388:AA1405,"*",$AC$1388:AC1405,"*")</f>
        <v>0</v>
      </c>
      <c r="BW1404" s="343">
        <f>SUMIFS($AU$1388:AU1405,$AB$1388:AB1405,"*",$AC$1388:AC1405,"*")</f>
        <v>0</v>
      </c>
      <c r="BX1404" s="343">
        <f>SUMIFS($AV$1388:AV1405,$Q$1388:Q1405,"F")</f>
        <v>7.3142857142857149</v>
      </c>
      <c r="BY1404" s="343">
        <f>SUMIFS($AV$1388:AV1405,$Q$1388:Q1405,"S")</f>
        <v>46.593939393939444</v>
      </c>
      <c r="BZ1404" s="343">
        <f>SUMIFS($AV$1388:AV1405,$Q$1388:Q1405,"O")</f>
        <v>0</v>
      </c>
    </row>
    <row r="1405" spans="1:78" ht="15.75" customHeight="1">
      <c r="A1405" s="177" t="s">
        <v>4824</v>
      </c>
      <c r="B1405" s="200">
        <v>45299</v>
      </c>
      <c r="C1405" s="178" t="s">
        <v>4876</v>
      </c>
      <c r="D1405" s="178" t="s">
        <v>132</v>
      </c>
      <c r="E1405" s="227"/>
      <c r="F1405" s="180"/>
      <c r="G1405" s="281" t="s">
        <v>2070</v>
      </c>
      <c r="H1405" s="182"/>
      <c r="I1405" s="182"/>
      <c r="J1405" s="182"/>
      <c r="K1405" s="183"/>
      <c r="L1405" s="182">
        <v>1</v>
      </c>
      <c r="M1405" s="182"/>
      <c r="N1405" s="182"/>
      <c r="O1405" s="183" t="s">
        <v>95</v>
      </c>
      <c r="P1405" s="183" t="s">
        <v>96</v>
      </c>
      <c r="Q1405" s="183" t="s">
        <v>97</v>
      </c>
      <c r="R1405" s="183">
        <v>22</v>
      </c>
      <c r="S1405" s="183">
        <v>0</v>
      </c>
      <c r="T1405" s="183">
        <v>10</v>
      </c>
      <c r="U1405" s="183" t="s">
        <v>22</v>
      </c>
      <c r="V1405" s="183"/>
      <c r="W1405" s="183"/>
      <c r="X1405" s="183"/>
      <c r="Y1405" s="184">
        <f>IF(ISBLANK(O1405),"",(IF(O1405=UPPER("IB"),0.005,0.01)))</f>
        <v>0.01</v>
      </c>
      <c r="Z1405" s="185">
        <f>IF(ISBLANK(O1405),"",IF(O1405="IB",8.63*200,IF(O1405="IR",16*100,IF(O1405="YT",20*100,IF(O1405="YT-XT",24*200,IF(O1405="TED",80*100))))))</f>
        <v>1600</v>
      </c>
      <c r="AA1405" s="185"/>
      <c r="AB1405" s="477" t="s">
        <v>4877</v>
      </c>
      <c r="AC1405" s="185"/>
      <c r="AD1405" s="649">
        <f>((-0.11*12)+(-0.1*10))/22</f>
        <v>-0.10545454545454547</v>
      </c>
      <c r="AE1405" s="182"/>
      <c r="AF1405" s="332"/>
      <c r="AG1405" s="182"/>
      <c r="AH1405" s="182"/>
      <c r="AI1405" s="182"/>
      <c r="AJ1405" s="640"/>
      <c r="AK1405" s="182"/>
      <c r="AL1405" s="496"/>
      <c r="AM1405" s="496"/>
      <c r="AN1405" s="626"/>
      <c r="AO1405" s="182"/>
      <c r="AP1405" s="182" t="s">
        <v>589</v>
      </c>
      <c r="AQ1405" s="332" t="str">
        <f>UPPER(RIGHT(Journal_Live[[#This Row],[DURATION ]]))</f>
        <v>D</v>
      </c>
      <c r="AR1405" s="182" t="s">
        <v>4878</v>
      </c>
      <c r="AS1405" s="189">
        <v>-0.11</v>
      </c>
      <c r="AT1405" s="189">
        <f>IF(ISBLANK(AS1405),,IF(U1405="S",AD1405-AS1405,AS1405-AD1405))</f>
        <v>-4.5454545454545331E-3</v>
      </c>
      <c r="AU1405" s="187">
        <f>AV1405*R1405</f>
        <v>-159.99999999999957</v>
      </c>
      <c r="AV1405" s="190">
        <f>IF(ISBLANK(AS1405),,(AT1405*Z1405))</f>
        <v>-7.2727272727272529</v>
      </c>
      <c r="AW1405" s="191" t="s">
        <v>229</v>
      </c>
      <c r="AX1405" s="407"/>
      <c r="AY1405" s="407"/>
      <c r="AZ1405" s="407"/>
      <c r="BA1405" s="407"/>
      <c r="BB1405" s="407"/>
      <c r="BC1405" s="407"/>
      <c r="BD1405" s="407"/>
      <c r="BE1405" s="407"/>
      <c r="BF1405" s="422"/>
      <c r="BG1405" s="391">
        <f>SUM($AV$1389:AV1405)</f>
        <v>53.90822510822516</v>
      </c>
      <c r="BH1405" s="392">
        <f>SUM($AU$1389:AU1405)</f>
        <v>880.00000000000068</v>
      </c>
      <c r="BI1405" s="318">
        <f>SUMIFS($AU$1388:AU1406,$Q$1388:Q1406,"F")</f>
        <v>256</v>
      </c>
      <c r="BJ1405" s="318">
        <f>SUMIFS($AU$1388:AU1406,$Q$1388:Q1406,"S")</f>
        <v>624.00000000000068</v>
      </c>
      <c r="BK1405" s="343">
        <f>SUMIFS($AU$1388:AU1406,$P$1388:P1406,"W")</f>
        <v>624.00000000000068</v>
      </c>
      <c r="BL1405" s="343">
        <f>SUMIFS($AU$1388:AU1406,$P$1388:P1406,"R")</f>
        <v>256</v>
      </c>
      <c r="BM1405" s="343">
        <f>SUMIFS($AU$1388:AU1406,$AQ$1388:AQ1406,"M")</f>
        <v>271.99999999999989</v>
      </c>
      <c r="BN1405" s="343">
        <f>SUMIFS($AU$1388:AU1406,$AQ$1388:AQ1406,"H")</f>
        <v>512.00000000000034</v>
      </c>
      <c r="BO1405" s="343">
        <f>SUMIFS($AU$1388:AU1406,$AQ$1388:AQ1406,"D")</f>
        <v>-159.99999999999957</v>
      </c>
      <c r="BP1405" s="343">
        <f>SUMIFS($AU$1388:AU1408,$AQ$1388:AQ1408,"W")</f>
        <v>256</v>
      </c>
      <c r="BQ1405" s="343">
        <f>SUMIFS($AU$1388:AU1406,$Q$1388:Q1406,"O")</f>
        <v>0</v>
      </c>
      <c r="BR1405" s="343">
        <f>SUMIFS($AU$1388:AU1406,$AA$1388:AA1406,"*")</f>
        <v>1376.0000000000002</v>
      </c>
      <c r="BS1405" s="343">
        <f>SUMIFS($AU$1388:AU1406,$AB$1388:AB1406,"*")</f>
        <v>-159.99999999999957</v>
      </c>
      <c r="BT1405" s="343">
        <f>SUMIFS($AU$1388:AU1406,$AC$1388:AC1406,"*")</f>
        <v>-336</v>
      </c>
      <c r="BU1405" s="343">
        <f>SUMIFS($AU$1388:AU1406,$AA$1388:AA1406,"*",$AB$1388:AB1406,"*")</f>
        <v>0</v>
      </c>
      <c r="BV1405" s="343">
        <f>SUMIFS($AU$1388:AU1406,$AA$1388:AA1406,"*",$AC$1388:AC1406,"*")</f>
        <v>0</v>
      </c>
      <c r="BW1405" s="343">
        <f>SUMIFS($AU$1388:AU1406,$AB$1388:AB1406,"*",$AC$1388:AC1406,"*")</f>
        <v>0</v>
      </c>
      <c r="BX1405" s="343">
        <f>SUMIFS($AV$1388:AV1406,$Q$1388:Q1406,"F")</f>
        <v>7.3142857142857149</v>
      </c>
      <c r="BY1405" s="343">
        <f>SUMIFS($AV$1388:AV1406,$Q$1388:Q1406,"S")</f>
        <v>46.593939393939444</v>
      </c>
      <c r="BZ1405" s="343">
        <f>SUMIFS($AV$1388:AV1406,$Q$1388:Q1406,"O")</f>
        <v>0</v>
      </c>
    </row>
    <row r="1406" spans="1:78" ht="15.75" customHeight="1">
      <c r="A1406" s="177" t="s">
        <v>4824</v>
      </c>
      <c r="B1406" s="200">
        <v>45300</v>
      </c>
      <c r="C1406" s="178" t="s">
        <v>1437</v>
      </c>
      <c r="D1406" s="178" t="s">
        <v>146</v>
      </c>
      <c r="E1406" s="227" t="s">
        <v>4879</v>
      </c>
      <c r="F1406" s="180"/>
      <c r="G1406" s="181"/>
      <c r="H1406" s="182">
        <v>1</v>
      </c>
      <c r="I1406" s="182"/>
      <c r="J1406" s="182"/>
      <c r="K1406" s="183" t="s">
        <v>372</v>
      </c>
      <c r="L1406" s="182"/>
      <c r="M1406" s="182"/>
      <c r="N1406" s="182"/>
      <c r="O1406" s="183"/>
      <c r="P1406" s="183"/>
      <c r="Q1406" s="183"/>
      <c r="R1406" s="183"/>
      <c r="S1406" s="183"/>
      <c r="T1406" s="183"/>
      <c r="U1406" s="183"/>
      <c r="V1406" s="183"/>
      <c r="W1406" s="183"/>
      <c r="X1406" s="183"/>
      <c r="Y1406" s="183"/>
      <c r="Z1406" s="183"/>
      <c r="AA1406" s="185"/>
      <c r="AB1406" s="185"/>
      <c r="AC1406" s="185"/>
      <c r="AD1406" s="649"/>
      <c r="AE1406" s="182"/>
      <c r="AF1406" s="332"/>
      <c r="AG1406" s="182"/>
      <c r="AH1406" s="182"/>
      <c r="AI1406" s="182"/>
      <c r="AJ1406" s="640"/>
      <c r="AK1406" s="182"/>
      <c r="AL1406" s="496"/>
      <c r="AM1406" s="496"/>
      <c r="AN1406" s="626"/>
      <c r="AO1406" s="182"/>
      <c r="AP1406" s="182"/>
      <c r="AQ1406" s="332" t="str">
        <f>UPPER(RIGHT(Journal_Live[[#This Row],[DURATION ]]))</f>
        <v/>
      </c>
      <c r="AR1406" s="182"/>
      <c r="AS1406" s="189"/>
      <c r="AT1406" s="189"/>
      <c r="AU1406" s="187"/>
      <c r="AV1406" s="190"/>
      <c r="AW1406" s="191"/>
      <c r="AX1406" s="407"/>
      <c r="AY1406" s="407"/>
      <c r="AZ1406" s="407"/>
      <c r="BA1406" s="407"/>
      <c r="BB1406" s="407"/>
      <c r="BC1406" s="407"/>
      <c r="BD1406" s="407"/>
      <c r="BE1406" s="407"/>
      <c r="BF1406" s="422"/>
      <c r="BG1406" s="391">
        <f>SUM($AV$1389:AV1406)</f>
        <v>53.90822510822516</v>
      </c>
      <c r="BH1406" s="392">
        <f>SUM($AU$1389:AU1406)</f>
        <v>880.00000000000068</v>
      </c>
      <c r="BI1406" s="318">
        <f>SUMIFS($AU$1388:AU1407,$Q$1388:Q1407,"F")</f>
        <v>256</v>
      </c>
      <c r="BJ1406" s="318">
        <f>SUMIFS($AU$1388:AU1407,$Q$1388:Q1407,"S")</f>
        <v>624.00000000000068</v>
      </c>
      <c r="BK1406" s="343">
        <f>SUMIFS($AU$1388:AU1407,$P$1388:P1407,"W")</f>
        <v>624.00000000000068</v>
      </c>
      <c r="BL1406" s="343">
        <f>SUMIFS($AU$1388:AU1407,$P$1388:P1407,"R")</f>
        <v>256</v>
      </c>
      <c r="BM1406" s="343">
        <f>SUMIFS($AU$1388:AU1407,$AQ$1388:AQ1407,"M")</f>
        <v>271.99999999999989</v>
      </c>
      <c r="BN1406" s="343">
        <f>SUMIFS($AU$1388:AU1407,$AQ$1388:AQ1407,"H")</f>
        <v>512.00000000000034</v>
      </c>
      <c r="BO1406" s="343">
        <f>SUMIFS($AU$1388:AU1407,$AQ$1388:AQ1407,"D")</f>
        <v>-159.99999999999957</v>
      </c>
      <c r="BP1406" s="343">
        <f>SUMIFS($AU$1388:AU1409,$AQ$1388:AQ1409,"W")</f>
        <v>256</v>
      </c>
      <c r="BQ1406" s="343">
        <f>SUMIFS($AU$1388:AU1407,$Q$1388:Q1407,"O")</f>
        <v>0</v>
      </c>
      <c r="BR1406" s="343">
        <f>SUMIFS($AU$1388:AU1407,$AA$1388:AA1407,"*")</f>
        <v>1376.0000000000002</v>
      </c>
      <c r="BS1406" s="343">
        <f>SUMIFS($AU$1388:AU1407,$AB$1388:AB1407,"*")</f>
        <v>-159.99999999999957</v>
      </c>
      <c r="BT1406" s="343">
        <f>SUMIFS($AU$1388:AU1407,$AC$1388:AC1407,"*")</f>
        <v>-336</v>
      </c>
      <c r="BU1406" s="343">
        <f>SUMIFS($AU$1388:AU1407,$AA$1388:AA1407,"*",$AB$1388:AB1407,"*")</f>
        <v>0</v>
      </c>
      <c r="BV1406" s="343">
        <f>SUMIFS($AU$1388:AU1407,$AA$1388:AA1407,"*",$AC$1388:AC1407,"*")</f>
        <v>0</v>
      </c>
      <c r="BW1406" s="343">
        <f>SUMIFS($AU$1388:AU1407,$AB$1388:AB1407,"*",$AC$1388:AC1407,"*")</f>
        <v>0</v>
      </c>
      <c r="BX1406" s="343">
        <f>SUMIFS($AV$1388:AV1407,$Q$1388:Q1407,"F")</f>
        <v>7.3142857142857149</v>
      </c>
      <c r="BY1406" s="343">
        <f>SUMIFS($AV$1388:AV1407,$Q$1388:Q1407,"S")</f>
        <v>46.593939393939444</v>
      </c>
      <c r="BZ1406" s="343">
        <f>SUMIFS($AV$1388:AV1407,$Q$1388:Q1407,"O")</f>
        <v>0</v>
      </c>
    </row>
    <row r="1407" spans="1:78" ht="15.75" customHeight="1">
      <c r="A1407" s="177" t="s">
        <v>4824</v>
      </c>
      <c r="B1407" s="200">
        <v>45301</v>
      </c>
      <c r="C1407" s="178" t="s">
        <v>682</v>
      </c>
      <c r="D1407" s="178" t="s">
        <v>151</v>
      </c>
      <c r="E1407" s="227" t="s">
        <v>4880</v>
      </c>
      <c r="F1407" s="180"/>
      <c r="G1407" s="181"/>
      <c r="H1407" s="182"/>
      <c r="I1407" s="182"/>
      <c r="J1407" s="182">
        <v>1</v>
      </c>
      <c r="K1407" s="183" t="s">
        <v>115</v>
      </c>
      <c r="L1407" s="182"/>
      <c r="M1407" s="182"/>
      <c r="N1407" s="182"/>
      <c r="O1407" s="183"/>
      <c r="P1407" s="183"/>
      <c r="Q1407" s="183"/>
      <c r="R1407" s="183"/>
      <c r="S1407" s="183"/>
      <c r="T1407" s="183"/>
      <c r="U1407" s="183"/>
      <c r="V1407" s="183"/>
      <c r="W1407" s="183"/>
      <c r="X1407" s="183"/>
      <c r="Y1407" s="183"/>
      <c r="Z1407" s="183"/>
      <c r="AA1407" s="185"/>
      <c r="AB1407" s="185"/>
      <c r="AC1407" s="185"/>
      <c r="AD1407" s="649"/>
      <c r="AE1407" s="182"/>
      <c r="AF1407" s="332"/>
      <c r="AG1407" s="182"/>
      <c r="AH1407" s="182"/>
      <c r="AI1407" s="182"/>
      <c r="AJ1407" s="640"/>
      <c r="AK1407" s="182"/>
      <c r="AL1407" s="496"/>
      <c r="AM1407" s="496"/>
      <c r="AN1407" s="626"/>
      <c r="AO1407" s="182"/>
      <c r="AP1407" s="182"/>
      <c r="AQ1407" s="332" t="str">
        <f>UPPER(RIGHT(Journal_Live[[#This Row],[DURATION ]]))</f>
        <v/>
      </c>
      <c r="AR1407" s="182"/>
      <c r="AS1407" s="189"/>
      <c r="AT1407" s="189"/>
      <c r="AU1407" s="187"/>
      <c r="AV1407" s="190"/>
      <c r="AW1407" s="191"/>
      <c r="AX1407" s="407" t="s">
        <v>4881</v>
      </c>
      <c r="AY1407" s="407" t="s">
        <v>4882</v>
      </c>
      <c r="AZ1407" s="407" t="s">
        <v>4883</v>
      </c>
      <c r="BA1407" s="407" t="s">
        <v>4884</v>
      </c>
      <c r="BB1407" s="407" t="s">
        <v>4885</v>
      </c>
      <c r="BC1407" s="407" t="s">
        <v>4886</v>
      </c>
      <c r="BD1407" s="407"/>
      <c r="BE1407" s="407"/>
      <c r="BF1407" s="422"/>
      <c r="BG1407" s="391">
        <f>SUM($AV$1389:AV1407)</f>
        <v>53.90822510822516</v>
      </c>
      <c r="BH1407" s="392">
        <f>SUM($AU$1389:AU1407)</f>
        <v>880.00000000000068</v>
      </c>
      <c r="BI1407" s="318">
        <f>SUMIFS($AU$1388:AU1408,$Q$1388:Q1408,"F")</f>
        <v>256</v>
      </c>
      <c r="BJ1407" s="318">
        <f>SUMIFS($AU$1388:AU1408,$Q$1388:Q1408,"S")</f>
        <v>624.00000000000068</v>
      </c>
      <c r="BK1407" s="343">
        <f>SUMIFS($AU$1388:AU1408,$P$1388:P1408,"W")</f>
        <v>624.00000000000068</v>
      </c>
      <c r="BL1407" s="343">
        <f>SUMIFS($AU$1388:AU1408,$P$1388:P1408,"R")</f>
        <v>256</v>
      </c>
      <c r="BM1407" s="343">
        <f>SUMIFS($AU$1388:AU1408,$AQ$1388:AQ1408,"M")</f>
        <v>271.99999999999989</v>
      </c>
      <c r="BN1407" s="343">
        <f>SUMIFS($AU$1388:AU1408,$AQ$1388:AQ1408,"H")</f>
        <v>512.00000000000034</v>
      </c>
      <c r="BO1407" s="343">
        <f>SUMIFS($AU$1388:AU1408,$AQ$1388:AQ1408,"D")</f>
        <v>-159.99999999999957</v>
      </c>
      <c r="BP1407" s="343">
        <f>SUMIFS($AU$1388:AU1410,$AQ$1388:AQ1410,"W")</f>
        <v>256</v>
      </c>
      <c r="BQ1407" s="343">
        <f>SUMIFS($AU$1388:AU1408,$Q$1388:Q1408,"O")</f>
        <v>0</v>
      </c>
      <c r="BR1407" s="343">
        <f>SUMIFS($AU$1388:AU1408,$AA$1388:AA1408,"*")</f>
        <v>1376.0000000000002</v>
      </c>
      <c r="BS1407" s="343">
        <f>SUMIFS($AU$1388:AU1408,$AB$1388:AB1408,"*")</f>
        <v>-159.99999999999957</v>
      </c>
      <c r="BT1407" s="343">
        <f>SUMIFS($AU$1388:AU1408,$AC$1388:AC1408,"*")</f>
        <v>-336</v>
      </c>
      <c r="BU1407" s="343">
        <f>SUMIFS($AU$1388:AU1408,$AA$1388:AA1408,"*",$AB$1388:AB1408,"*")</f>
        <v>0</v>
      </c>
      <c r="BV1407" s="343">
        <f>SUMIFS($AU$1388:AU1408,$AA$1388:AA1408,"*",$AC$1388:AC1408,"*")</f>
        <v>0</v>
      </c>
      <c r="BW1407" s="343">
        <f>SUMIFS($AU$1388:AU1408,$AB$1388:AB1408,"*",$AC$1388:AC1408,"*")</f>
        <v>0</v>
      </c>
      <c r="BX1407" s="343">
        <f>SUMIFS($AV$1388:AV1408,$Q$1388:Q1408,"F")</f>
        <v>7.3142857142857149</v>
      </c>
      <c r="BY1407" s="343">
        <f>SUMIFS($AV$1388:AV1408,$Q$1388:Q1408,"S")</f>
        <v>46.593939393939444</v>
      </c>
      <c r="BZ1407" s="343">
        <f>SUMIFS($AV$1388:AV1408,$Q$1388:Q1408,"O")</f>
        <v>0</v>
      </c>
    </row>
    <row r="1408" spans="1:78" ht="15.75" customHeight="1">
      <c r="A1408" s="177" t="s">
        <v>4824</v>
      </c>
      <c r="B1408" s="200">
        <v>45301</v>
      </c>
      <c r="C1408" s="178" t="s">
        <v>2081</v>
      </c>
      <c r="D1408" s="178" t="s">
        <v>151</v>
      </c>
      <c r="E1408" s="227"/>
      <c r="F1408" s="180"/>
      <c r="G1408" s="281" t="s">
        <v>4887</v>
      </c>
      <c r="H1408" s="182"/>
      <c r="I1408" s="182"/>
      <c r="J1408" s="182"/>
      <c r="K1408" s="183"/>
      <c r="L1408" s="182">
        <v>1</v>
      </c>
      <c r="M1408" s="182"/>
      <c r="N1408" s="182"/>
      <c r="O1408" s="183" t="s">
        <v>3618</v>
      </c>
      <c r="P1408" s="183" t="s">
        <v>2260</v>
      </c>
      <c r="Q1408" s="183" t="s">
        <v>684</v>
      </c>
      <c r="R1408" s="183">
        <v>1</v>
      </c>
      <c r="S1408" s="183">
        <v>0</v>
      </c>
      <c r="T1408" s="183">
        <v>1</v>
      </c>
      <c r="U1408" s="183" t="s">
        <v>22</v>
      </c>
      <c r="V1408" s="183"/>
      <c r="W1408" s="183"/>
      <c r="X1408" s="183"/>
      <c r="Y1408" s="184">
        <f>IF(ISBLANK(O1408),"",(IF(O1408=UPPER("IB"),0.005,0.01)))</f>
        <v>0.01</v>
      </c>
      <c r="Z1408" s="185">
        <f>IF(ISBLANK(O1408),"",IF(O1408="IB",8.63*200,IF(O1408="IR",16*100,IF(O1408="YT",20*100,IF(O1408="YT-XT",24*200,IF(O1408="TED",80*100,IF(O1408="XT",29*200)))))))</f>
        <v>5800</v>
      </c>
      <c r="AA1408" s="185" t="s">
        <v>4888</v>
      </c>
      <c r="AB1408" s="185" t="s">
        <v>4889</v>
      </c>
      <c r="AC1408" s="185"/>
      <c r="AD1408" s="649">
        <v>95.875</v>
      </c>
      <c r="AE1408" s="182"/>
      <c r="AF1408" s="332"/>
      <c r="AG1408" s="182"/>
      <c r="AH1408" s="182"/>
      <c r="AI1408" s="182"/>
      <c r="AJ1408" s="640"/>
      <c r="AK1408" s="182"/>
      <c r="AL1408" s="496"/>
      <c r="AM1408" s="496"/>
      <c r="AN1408" s="626"/>
      <c r="AO1408" s="182"/>
      <c r="AP1408" s="182" t="s">
        <v>4890</v>
      </c>
      <c r="AQ1408" s="332" t="str">
        <f>UPPER(RIGHT(Journal_Live[[#This Row],[DURATION ]]))</f>
        <v>M</v>
      </c>
      <c r="AR1408" s="182" t="s">
        <v>4891</v>
      </c>
      <c r="AS1408" s="186">
        <v>95.875</v>
      </c>
      <c r="AT1408" s="189">
        <f>IF(ISBLANK(AS1408),,IF(U1408="S",AD1408-AS1408,AS1408-AD1408))</f>
        <v>0</v>
      </c>
      <c r="AU1408" s="187">
        <f>AV1408*R1408</f>
        <v>0</v>
      </c>
      <c r="AV1408" s="190">
        <f>IF(ISBLANK(AS1408),,(AT1408*Z1408))</f>
        <v>0</v>
      </c>
      <c r="AW1408" s="191" t="s">
        <v>115</v>
      </c>
      <c r="AX1408" s="407" t="s">
        <v>4892</v>
      </c>
      <c r="AY1408" s="407" t="s">
        <v>4893</v>
      </c>
      <c r="AZ1408" s="407"/>
      <c r="BA1408" s="407"/>
      <c r="BB1408" s="407"/>
      <c r="BC1408" s="407"/>
      <c r="BD1408" s="407"/>
      <c r="BE1408" s="407"/>
      <c r="BF1408" s="422"/>
      <c r="BG1408" s="391">
        <f>SUM($AV$1389:AV1408)</f>
        <v>53.90822510822516</v>
      </c>
      <c r="BH1408" s="392">
        <f>SUM($AU$1389:AU1408)</f>
        <v>880.00000000000068</v>
      </c>
      <c r="BI1408" s="318">
        <f>SUMIFS($AU$1388:AU1409,$Q$1388:Q1409,"F")</f>
        <v>256</v>
      </c>
      <c r="BJ1408" s="318">
        <f>SUMIFS($AU$1388:AU1409,$Q$1388:Q1409,"S")</f>
        <v>624.00000000000068</v>
      </c>
      <c r="BK1408" s="343">
        <f>SUMIFS($AU$1388:AU1409,$P$1388:P1409,"W")</f>
        <v>624.00000000000068</v>
      </c>
      <c r="BL1408" s="343">
        <f>SUMIFS($AU$1388:AU1409,$P$1388:P1409,"R")</f>
        <v>256</v>
      </c>
      <c r="BM1408" s="343">
        <f>SUMIFS($AU$1388:AU1409,$AQ$1388:AQ1409,"M")</f>
        <v>271.99999999999989</v>
      </c>
      <c r="BN1408" s="343">
        <f>SUMIFS($AU$1388:AU1409,$AQ$1388:AQ1409,"H")</f>
        <v>512.00000000000034</v>
      </c>
      <c r="BO1408" s="343">
        <f>SUMIFS($AU$1388:AU1409,$AQ$1388:AQ1409,"D")</f>
        <v>-159.99999999999957</v>
      </c>
      <c r="BP1408" s="343">
        <f>SUMIFS($AU$1388:AU1411,$AQ$1388:AQ1411,"W")</f>
        <v>256</v>
      </c>
      <c r="BQ1408" s="343">
        <f>SUMIFS($AU$1388:AU1409,$Q$1388:Q1409,"O")</f>
        <v>0</v>
      </c>
      <c r="BR1408" s="343">
        <f>SUMIFS($AU$1388:AU1409,$AA$1388:AA1409,"*")</f>
        <v>1376.0000000000002</v>
      </c>
      <c r="BS1408" s="343">
        <f>SUMIFS($AU$1388:AU1409,$AB$1388:AB1409,"*")</f>
        <v>-159.99999999999957</v>
      </c>
      <c r="BT1408" s="343">
        <f>SUMIFS($AU$1388:AU1409,$AC$1388:AC1409,"*")</f>
        <v>-336</v>
      </c>
      <c r="BU1408" s="343">
        <f>SUMIFS($AU$1388:AU1409,$AA$1388:AA1409,"*",$AB$1388:AB1409,"*")</f>
        <v>0</v>
      </c>
      <c r="BV1408" s="343">
        <f>SUMIFS($AU$1388:AU1409,$AA$1388:AA1409,"*",$AC$1388:AC1409,"*")</f>
        <v>0</v>
      </c>
      <c r="BW1408" s="343">
        <f>SUMIFS($AU$1388:AU1409,$AB$1388:AB1409,"*",$AC$1388:AC1409,"*")</f>
        <v>0</v>
      </c>
      <c r="BX1408" s="343">
        <f>SUMIFS($AV$1388:AV1409,$Q$1388:Q1409,"F")</f>
        <v>7.3142857142857149</v>
      </c>
      <c r="BY1408" s="343">
        <f>SUMIFS($AV$1388:AV1409,$Q$1388:Q1409,"S")</f>
        <v>46.593939393939444</v>
      </c>
      <c r="BZ1408" s="343">
        <f>SUMIFS($AV$1388:AV1409,$Q$1388:Q1409,"O")</f>
        <v>0</v>
      </c>
    </row>
    <row r="1409" spans="1:78" ht="15.75" customHeight="1">
      <c r="A1409" s="177" t="s">
        <v>4824</v>
      </c>
      <c r="B1409" s="200"/>
      <c r="C1409" s="178"/>
      <c r="D1409" s="178"/>
      <c r="E1409" s="227"/>
      <c r="F1409" s="180"/>
      <c r="G1409" s="181"/>
      <c r="H1409" s="182"/>
      <c r="I1409" s="182"/>
      <c r="J1409" s="182"/>
      <c r="K1409" s="183"/>
      <c r="L1409" s="182"/>
      <c r="M1409" s="182"/>
      <c r="N1409" s="182"/>
      <c r="O1409" s="183"/>
      <c r="P1409" s="183"/>
      <c r="Q1409" s="183"/>
      <c r="R1409" s="183"/>
      <c r="S1409" s="183"/>
      <c r="T1409" s="183"/>
      <c r="U1409" s="183"/>
      <c r="V1409" s="183"/>
      <c r="W1409" s="183"/>
      <c r="X1409" s="183"/>
      <c r="Y1409" s="183"/>
      <c r="Z1409" s="183"/>
      <c r="AA1409" s="185"/>
      <c r="AB1409" s="185"/>
      <c r="AC1409" s="185"/>
      <c r="AD1409" s="649"/>
      <c r="AE1409" s="182"/>
      <c r="AF1409" s="332"/>
      <c r="AG1409" s="182"/>
      <c r="AH1409" s="182"/>
      <c r="AI1409" s="182"/>
      <c r="AJ1409" s="640"/>
      <c r="AK1409" s="182"/>
      <c r="AL1409" s="496"/>
      <c r="AM1409" s="496"/>
      <c r="AN1409" s="626"/>
      <c r="AO1409" s="182"/>
      <c r="AP1409" s="182"/>
      <c r="AQ1409" s="332" t="str">
        <f>UPPER(RIGHT(Journal_Live[[#This Row],[DURATION ]]))</f>
        <v/>
      </c>
      <c r="AR1409" s="182"/>
      <c r="AS1409" s="189"/>
      <c r="AT1409" s="189"/>
      <c r="AU1409" s="187"/>
      <c r="AV1409" s="190"/>
      <c r="AW1409" s="191"/>
      <c r="AX1409" s="407" t="s">
        <v>4894</v>
      </c>
      <c r="AY1409" s="407" t="s">
        <v>4895</v>
      </c>
      <c r="AZ1409" s="407"/>
      <c r="BA1409" s="407"/>
      <c r="BB1409" s="407"/>
      <c r="BC1409" s="407"/>
      <c r="BD1409" s="407"/>
      <c r="BE1409" s="407"/>
      <c r="BF1409" s="422"/>
      <c r="BG1409" s="391">
        <f>SUM($AV$1389:AV1409)</f>
        <v>53.90822510822516</v>
      </c>
      <c r="BH1409" s="392">
        <f>SUM($AU$1389:AU1409)</f>
        <v>880.00000000000068</v>
      </c>
      <c r="BI1409" s="318">
        <f>SUMIFS($AU$1388:AU1410,$Q$1388:Q1410,"F")</f>
        <v>256</v>
      </c>
      <c r="BJ1409" s="318">
        <f>SUMIFS($AU$1388:AU1410,$Q$1388:Q1410,"S")</f>
        <v>624.00000000000068</v>
      </c>
      <c r="BK1409" s="343">
        <f>SUMIFS($AU$1388:AU1410,$P$1388:P1410,"W")</f>
        <v>624.00000000000068</v>
      </c>
      <c r="BL1409" s="343">
        <f>SUMIFS($AU$1388:AU1410,$P$1388:P1410,"R")</f>
        <v>256</v>
      </c>
      <c r="BM1409" s="343">
        <f>SUMIFS($AU$1388:AU1410,$AQ$1388:AQ1410,"M")</f>
        <v>271.99999999999989</v>
      </c>
      <c r="BN1409" s="343">
        <f>SUMIFS($AU$1388:AU1410,$AQ$1388:AQ1410,"H")</f>
        <v>512.00000000000034</v>
      </c>
      <c r="BO1409" s="343">
        <f>SUMIFS($AU$1388:AU1410,$AQ$1388:AQ1410,"D")</f>
        <v>-159.99999999999957</v>
      </c>
      <c r="BP1409" s="343">
        <f>SUMIFS($AU$1388:AU1412,$AQ$1388:AQ1412,"W")</f>
        <v>256</v>
      </c>
      <c r="BQ1409" s="343">
        <f>SUMIFS($AU$1388:AU1410,$Q$1388:Q1410,"O")</f>
        <v>0</v>
      </c>
      <c r="BR1409" s="343">
        <f>SUMIFS($AU$1388:AU1410,$AA$1388:AA1410,"*")</f>
        <v>1376.0000000000002</v>
      </c>
      <c r="BS1409" s="343">
        <f>SUMIFS($AU$1388:AU1410,$AB$1388:AB1410,"*")</f>
        <v>-159.99999999999957</v>
      </c>
      <c r="BT1409" s="343">
        <f>SUMIFS($AU$1388:AU1410,$AC$1388:AC1410,"*")</f>
        <v>-336</v>
      </c>
      <c r="BU1409" s="343">
        <f>SUMIFS($AU$1388:AU1410,$AA$1388:AA1410,"*",$AB$1388:AB1410,"*")</f>
        <v>0</v>
      </c>
      <c r="BV1409" s="343">
        <f>SUMIFS($AU$1388:AU1410,$AA$1388:AA1410,"*",$AC$1388:AC1410,"*")</f>
        <v>0</v>
      </c>
      <c r="BW1409" s="343">
        <f>SUMIFS($AU$1388:AU1410,$AB$1388:AB1410,"*",$AC$1388:AC1410,"*")</f>
        <v>0</v>
      </c>
      <c r="BX1409" s="343">
        <f>SUMIFS($AV$1388:AV1410,$Q$1388:Q1410,"F")</f>
        <v>7.3142857142857149</v>
      </c>
      <c r="BY1409" s="343">
        <f>SUMIFS($AV$1388:AV1410,$Q$1388:Q1410,"S")</f>
        <v>46.593939393939444</v>
      </c>
      <c r="BZ1409" s="343">
        <f>SUMIFS($AV$1388:AV1410,$Q$1388:Q1410,"O")</f>
        <v>0</v>
      </c>
    </row>
    <row r="1410" spans="1:78" ht="15.75" customHeight="1">
      <c r="A1410" s="177" t="s">
        <v>4824</v>
      </c>
      <c r="B1410" s="200"/>
      <c r="C1410" s="178"/>
      <c r="D1410" s="178"/>
      <c r="E1410" s="227"/>
      <c r="F1410" s="180"/>
      <c r="G1410" s="181"/>
      <c r="H1410" s="182"/>
      <c r="I1410" s="182"/>
      <c r="J1410" s="182"/>
      <c r="K1410" s="183"/>
      <c r="L1410" s="182"/>
      <c r="M1410" s="182"/>
      <c r="N1410" s="182"/>
      <c r="O1410" s="183"/>
      <c r="P1410" s="183"/>
      <c r="Q1410" s="183"/>
      <c r="R1410" s="183"/>
      <c r="S1410" s="183"/>
      <c r="T1410" s="183"/>
      <c r="U1410" s="183"/>
      <c r="V1410" s="183"/>
      <c r="W1410" s="183"/>
      <c r="X1410" s="183"/>
      <c r="Y1410" s="183"/>
      <c r="Z1410" s="183"/>
      <c r="AA1410" s="185"/>
      <c r="AB1410" s="185"/>
      <c r="AC1410" s="185"/>
      <c r="AD1410" s="649"/>
      <c r="AE1410" s="182"/>
      <c r="AF1410" s="332"/>
      <c r="AG1410" s="182"/>
      <c r="AH1410" s="182"/>
      <c r="AI1410" s="182"/>
      <c r="AJ1410" s="640"/>
      <c r="AK1410" s="182"/>
      <c r="AL1410" s="496"/>
      <c r="AM1410" s="496"/>
      <c r="AN1410" s="626"/>
      <c r="AO1410" s="182"/>
      <c r="AP1410" s="182"/>
      <c r="AQ1410" s="332" t="str">
        <f>UPPER(RIGHT(Journal_Live[[#This Row],[DURATION ]]))</f>
        <v/>
      </c>
      <c r="AR1410" s="182"/>
      <c r="AS1410" s="189"/>
      <c r="AT1410" s="189"/>
      <c r="AU1410" s="187"/>
      <c r="AV1410" s="190"/>
      <c r="AW1410" s="191"/>
      <c r="AX1410" s="494" t="s">
        <v>4896</v>
      </c>
      <c r="AY1410" s="494" t="s">
        <v>4897</v>
      </c>
      <c r="AZ1410" s="494" t="s">
        <v>4869</v>
      </c>
      <c r="BA1410" s="407"/>
      <c r="BB1410" s="407"/>
      <c r="BC1410" s="407"/>
      <c r="BD1410" s="407"/>
      <c r="BE1410" s="407"/>
      <c r="BF1410" s="422"/>
      <c r="BG1410" s="391">
        <f>SUM($AV$1389:AV1410)</f>
        <v>53.90822510822516</v>
      </c>
      <c r="BH1410" s="392">
        <f>SUM($AU$1389:AU1410)</f>
        <v>880.00000000000068</v>
      </c>
      <c r="BI1410" s="318">
        <f>SUMIFS($AU$1388:AU1411,$Q$1388:Q1411,"F")</f>
        <v>256</v>
      </c>
      <c r="BJ1410" s="318">
        <f>SUMIFS($AU$1388:AU1411,$Q$1388:Q1411,"S")</f>
        <v>624.00000000000068</v>
      </c>
      <c r="BK1410" s="343">
        <f>SUMIFS($AU$1388:AU1411,$P$1388:P1411,"W")</f>
        <v>624.00000000000068</v>
      </c>
      <c r="BL1410" s="343">
        <f>SUMIFS($AU$1388:AU1411,$P$1388:P1411,"R")</f>
        <v>256</v>
      </c>
      <c r="BM1410" s="343">
        <f>SUMIFS($AU$1388:AU1411,$AQ$1388:AQ1411,"M")</f>
        <v>271.99999999999989</v>
      </c>
      <c r="BN1410" s="343">
        <f>SUMIFS($AU$1388:AU1411,$AQ$1388:AQ1411,"H")</f>
        <v>512.00000000000034</v>
      </c>
      <c r="BO1410" s="343">
        <f>SUMIFS($AU$1388:AU1411,$AQ$1388:AQ1411,"D")</f>
        <v>-159.99999999999957</v>
      </c>
      <c r="BP1410" s="343">
        <f>SUMIFS($AU$1388:AU1413,$AQ$1388:AQ1413,"W")</f>
        <v>256</v>
      </c>
      <c r="BQ1410" s="343">
        <f>SUMIFS($AU$1388:AU1411,$Q$1388:Q1411,"O")</f>
        <v>0</v>
      </c>
      <c r="BR1410" s="343">
        <f>SUMIFS($AU$1388:AU1411,$AA$1388:AA1411,"*")</f>
        <v>1376.0000000000002</v>
      </c>
      <c r="BS1410" s="343">
        <f>SUMIFS($AU$1388:AU1411,$AB$1388:AB1411,"*")</f>
        <v>-159.99999999999957</v>
      </c>
      <c r="BT1410" s="343">
        <f>SUMIFS($AU$1388:AU1411,$AC$1388:AC1411,"*")</f>
        <v>-336</v>
      </c>
      <c r="BU1410" s="343">
        <f>SUMIFS($AU$1388:AU1411,$AA$1388:AA1411,"*",$AB$1388:AB1411,"*")</f>
        <v>0</v>
      </c>
      <c r="BV1410" s="343">
        <f>SUMIFS($AU$1388:AU1411,$AA$1388:AA1411,"*",$AC$1388:AC1411,"*")</f>
        <v>0</v>
      </c>
      <c r="BW1410" s="343">
        <f>SUMIFS($AU$1388:AU1411,$AB$1388:AB1411,"*",$AC$1388:AC1411,"*")</f>
        <v>0</v>
      </c>
      <c r="BX1410" s="343">
        <f>SUMIFS($AV$1388:AV1411,$Q$1388:Q1411,"F")</f>
        <v>7.3142857142857149</v>
      </c>
      <c r="BY1410" s="343">
        <f>SUMIFS($AV$1388:AV1411,$Q$1388:Q1411,"S")</f>
        <v>46.593939393939444</v>
      </c>
      <c r="BZ1410" s="343">
        <f>SUMIFS($AV$1388:AV1411,$Q$1388:Q1411,"O")</f>
        <v>0</v>
      </c>
    </row>
    <row r="1411" spans="1:78" ht="15.75" customHeight="1">
      <c r="A1411" s="177" t="s">
        <v>4824</v>
      </c>
      <c r="B1411" s="200">
        <v>45302</v>
      </c>
      <c r="C1411" s="178" t="s">
        <v>1474</v>
      </c>
      <c r="D1411" s="178" t="s">
        <v>93</v>
      </c>
      <c r="E1411" s="227" t="s">
        <v>4898</v>
      </c>
      <c r="F1411" s="180"/>
      <c r="G1411" s="181"/>
      <c r="H1411" s="182"/>
      <c r="I1411" s="182">
        <v>1</v>
      </c>
      <c r="J1411" s="182"/>
      <c r="K1411" s="183"/>
      <c r="L1411" s="182"/>
      <c r="M1411" s="182"/>
      <c r="N1411" s="182"/>
      <c r="O1411" s="183"/>
      <c r="P1411" s="183"/>
      <c r="Q1411" s="183"/>
      <c r="R1411" s="183"/>
      <c r="S1411" s="183"/>
      <c r="T1411" s="183"/>
      <c r="U1411" s="183"/>
      <c r="V1411" s="183"/>
      <c r="W1411" s="183"/>
      <c r="X1411" s="183"/>
      <c r="Y1411" s="183"/>
      <c r="Z1411" s="183"/>
      <c r="AA1411" s="185"/>
      <c r="AB1411" s="185"/>
      <c r="AC1411" s="185"/>
      <c r="AD1411" s="649"/>
      <c r="AE1411" s="182"/>
      <c r="AF1411" s="332"/>
      <c r="AG1411" s="182"/>
      <c r="AH1411" s="182"/>
      <c r="AI1411" s="182"/>
      <c r="AJ1411" s="640"/>
      <c r="AK1411" s="182"/>
      <c r="AL1411" s="496"/>
      <c r="AM1411" s="496"/>
      <c r="AN1411" s="626"/>
      <c r="AO1411" s="182"/>
      <c r="AP1411" s="182"/>
      <c r="AQ1411" s="332" t="str">
        <f>UPPER(RIGHT(Journal_Live[[#This Row],[DURATION ]]))</f>
        <v/>
      </c>
      <c r="AR1411" s="182"/>
      <c r="AS1411" s="189"/>
      <c r="AT1411" s="189"/>
      <c r="AU1411" s="187"/>
      <c r="AV1411" s="190"/>
      <c r="AW1411" s="191"/>
      <c r="AX1411" s="407" t="s">
        <v>4899</v>
      </c>
      <c r="AY1411" s="407" t="s">
        <v>4900</v>
      </c>
      <c r="AZ1411" s="407" t="s">
        <v>4901</v>
      </c>
      <c r="BA1411" s="407"/>
      <c r="BB1411" s="407"/>
      <c r="BC1411" s="407"/>
      <c r="BD1411" s="407"/>
      <c r="BE1411" s="407"/>
      <c r="BF1411" s="422"/>
      <c r="BG1411" s="391">
        <f>SUM($AV$1389:AV1411)</f>
        <v>53.90822510822516</v>
      </c>
      <c r="BH1411" s="392">
        <f>SUM($AU$1389:AU1411)</f>
        <v>880.00000000000068</v>
      </c>
      <c r="BI1411" s="318">
        <f>SUMIFS($AU$1388:AU1412,$Q$1388:Q1412,"F")</f>
        <v>256</v>
      </c>
      <c r="BJ1411" s="318">
        <f>SUMIFS($AU$1388:AU1412,$Q$1388:Q1412,"S")</f>
        <v>624.00000000000068</v>
      </c>
      <c r="BK1411" s="343">
        <f>SUMIFS($AU$1388:AU1412,$P$1388:P1412,"W")</f>
        <v>624.00000000000068</v>
      </c>
      <c r="BL1411" s="343">
        <f>SUMIFS($AU$1388:AU1412,$P$1388:P1412,"R")</f>
        <v>256</v>
      </c>
      <c r="BM1411" s="343">
        <f>SUMIFS($AU$1388:AU1412,$AQ$1388:AQ1412,"M")</f>
        <v>271.99999999999989</v>
      </c>
      <c r="BN1411" s="343">
        <f>SUMIFS($AU$1388:AU1412,$AQ$1388:AQ1412,"H")</f>
        <v>512.00000000000034</v>
      </c>
      <c r="BO1411" s="343">
        <f>SUMIFS($AU$1388:AU1412,$AQ$1388:AQ1412,"D")</f>
        <v>-159.99999999999957</v>
      </c>
      <c r="BP1411" s="343">
        <f>SUMIFS($AU$1388:AU1414,$AQ$1388:AQ1414,"W")</f>
        <v>256</v>
      </c>
      <c r="BQ1411" s="343">
        <f>SUMIFS($AU$1388:AU1412,$Q$1388:Q1412,"O")</f>
        <v>0</v>
      </c>
      <c r="BR1411" s="343">
        <f>SUMIFS($AU$1388:AU1412,$AA$1388:AA1412,"*")</f>
        <v>1376.0000000000002</v>
      </c>
      <c r="BS1411" s="343">
        <f>SUMIFS($AU$1388:AU1412,$AB$1388:AB1412,"*")</f>
        <v>-159.99999999999957</v>
      </c>
      <c r="BT1411" s="343">
        <f>SUMIFS($AU$1388:AU1412,$AC$1388:AC1412,"*")</f>
        <v>-336</v>
      </c>
      <c r="BU1411" s="343">
        <f>SUMIFS($AU$1388:AU1412,$AA$1388:AA1412,"*",$AB$1388:AB1412,"*")</f>
        <v>0</v>
      </c>
      <c r="BV1411" s="343">
        <f>SUMIFS($AU$1388:AU1412,$AA$1388:AA1412,"*",$AC$1388:AC1412,"*")</f>
        <v>0</v>
      </c>
      <c r="BW1411" s="343">
        <f>SUMIFS($AU$1388:AU1412,$AB$1388:AB1412,"*",$AC$1388:AC1412,"*")</f>
        <v>0</v>
      </c>
      <c r="BX1411" s="343">
        <f>SUMIFS($AV$1388:AV1412,$Q$1388:Q1412,"F")</f>
        <v>7.3142857142857149</v>
      </c>
      <c r="BY1411" s="343">
        <f>SUMIFS($AV$1388:AV1412,$Q$1388:Q1412,"S")</f>
        <v>46.593939393939444</v>
      </c>
      <c r="BZ1411" s="343">
        <f>SUMIFS($AV$1388:AV1412,$Q$1388:Q1412,"O")</f>
        <v>0</v>
      </c>
    </row>
    <row r="1412" spans="1:78" ht="15.75" customHeight="1">
      <c r="A1412" s="177" t="s">
        <v>4824</v>
      </c>
      <c r="B1412" s="200"/>
      <c r="C1412" s="178"/>
      <c r="D1412" s="178"/>
      <c r="E1412" s="227" t="s">
        <v>4902</v>
      </c>
      <c r="F1412" s="180"/>
      <c r="G1412" s="181"/>
      <c r="H1412" s="182">
        <v>1</v>
      </c>
      <c r="I1412" s="182"/>
      <c r="J1412" s="182"/>
      <c r="K1412" s="183" t="s">
        <v>372</v>
      </c>
      <c r="L1412" s="182"/>
      <c r="M1412" s="182"/>
      <c r="N1412" s="182"/>
      <c r="O1412" s="183"/>
      <c r="P1412" s="183"/>
      <c r="Q1412" s="183"/>
      <c r="R1412" s="183"/>
      <c r="S1412" s="183"/>
      <c r="T1412" s="183"/>
      <c r="U1412" s="183"/>
      <c r="V1412" s="183"/>
      <c r="W1412" s="183"/>
      <c r="X1412" s="183"/>
      <c r="Y1412" s="183"/>
      <c r="Z1412" s="183"/>
      <c r="AA1412" s="185"/>
      <c r="AB1412" s="185"/>
      <c r="AC1412" s="185"/>
      <c r="AD1412" s="649"/>
      <c r="AE1412" s="182"/>
      <c r="AF1412" s="332"/>
      <c r="AG1412" s="182"/>
      <c r="AH1412" s="182"/>
      <c r="AI1412" s="182"/>
      <c r="AJ1412" s="640"/>
      <c r="AK1412" s="182"/>
      <c r="AL1412" s="496"/>
      <c r="AM1412" s="496"/>
      <c r="AN1412" s="626"/>
      <c r="AO1412" s="182"/>
      <c r="AP1412" s="182"/>
      <c r="AQ1412" s="332" t="str">
        <f>UPPER(RIGHT(Journal_Live[[#This Row],[DURATION ]]))</f>
        <v/>
      </c>
      <c r="AR1412" s="182"/>
      <c r="AS1412" s="189"/>
      <c r="AT1412" s="189"/>
      <c r="AU1412" s="187"/>
      <c r="AV1412" s="190"/>
      <c r="AW1412" s="191"/>
      <c r="AX1412" s="407"/>
      <c r="AY1412" s="407"/>
      <c r="AZ1412" s="407"/>
      <c r="BA1412" s="407"/>
      <c r="BB1412" s="407"/>
      <c r="BC1412" s="407"/>
      <c r="BD1412" s="407"/>
      <c r="BE1412" s="407"/>
      <c r="BF1412" s="422"/>
      <c r="BG1412" s="391">
        <f>SUM($AV$1389:AV1412)</f>
        <v>53.90822510822516</v>
      </c>
      <c r="BH1412" s="392">
        <f>SUM($AU$1389:AU1412)</f>
        <v>880.00000000000068</v>
      </c>
      <c r="BI1412" s="318">
        <f>SUMIFS($AU$1388:AU1413,$Q$1388:Q1413,"F")</f>
        <v>256</v>
      </c>
      <c r="BJ1412" s="318">
        <f>SUMIFS($AU$1388:AU1413,$Q$1388:Q1413,"S")</f>
        <v>624.00000000000068</v>
      </c>
      <c r="BK1412" s="343">
        <f>SUMIFS($AU$1388:AU1413,$P$1388:P1413,"W")</f>
        <v>624.00000000000068</v>
      </c>
      <c r="BL1412" s="343">
        <f>SUMIFS($AU$1388:AU1413,$P$1388:P1413,"R")</f>
        <v>256</v>
      </c>
      <c r="BM1412" s="343">
        <f>SUMIFS($AU$1388:AU1413,$AQ$1388:AQ1413,"M")</f>
        <v>271.99999999999989</v>
      </c>
      <c r="BN1412" s="343">
        <f>SUMIFS($AU$1388:AU1413,$AQ$1388:AQ1413,"H")</f>
        <v>512.00000000000034</v>
      </c>
      <c r="BO1412" s="343">
        <f>SUMIFS($AU$1388:AU1413,$AQ$1388:AQ1413,"D")</f>
        <v>-159.99999999999957</v>
      </c>
      <c r="BP1412" s="343">
        <f>SUMIFS($AU$1388:AU1415,$AQ$1388:AQ1415,"W")</f>
        <v>256</v>
      </c>
      <c r="BQ1412" s="343">
        <f>SUMIFS($AU$1388:AU1413,$Q$1388:Q1413,"O")</f>
        <v>0</v>
      </c>
      <c r="BR1412" s="343">
        <f>SUMIFS($AU$1388:AU1413,$AA$1388:AA1413,"*")</f>
        <v>1376.0000000000002</v>
      </c>
      <c r="BS1412" s="343">
        <f>SUMIFS($AU$1388:AU1413,$AB$1388:AB1413,"*")</f>
        <v>-159.99999999999957</v>
      </c>
      <c r="BT1412" s="343">
        <f>SUMIFS($AU$1388:AU1413,$AC$1388:AC1413,"*")</f>
        <v>-336</v>
      </c>
      <c r="BU1412" s="343">
        <f>SUMIFS($AU$1388:AU1413,$AA$1388:AA1413,"*",$AB$1388:AB1413,"*")</f>
        <v>0</v>
      </c>
      <c r="BV1412" s="343">
        <f>SUMIFS($AU$1388:AU1413,$AA$1388:AA1413,"*",$AC$1388:AC1413,"*")</f>
        <v>0</v>
      </c>
      <c r="BW1412" s="343">
        <f>SUMIFS($AU$1388:AU1413,$AB$1388:AB1413,"*",$AC$1388:AC1413,"*")</f>
        <v>0</v>
      </c>
      <c r="BX1412" s="343">
        <f>SUMIFS($AV$1388:AV1413,$Q$1388:Q1413,"F")</f>
        <v>7.3142857142857149</v>
      </c>
      <c r="BY1412" s="343">
        <f>SUMIFS($AV$1388:AV1413,$Q$1388:Q1413,"S")</f>
        <v>46.593939393939444</v>
      </c>
      <c r="BZ1412" s="343">
        <f>SUMIFS($AV$1388:AV1413,$Q$1388:Q1413,"O")</f>
        <v>0</v>
      </c>
    </row>
    <row r="1413" spans="1:78" ht="15.75" customHeight="1">
      <c r="A1413" s="177" t="s">
        <v>4824</v>
      </c>
      <c r="B1413" s="200"/>
      <c r="C1413" s="178"/>
      <c r="D1413" s="178"/>
      <c r="E1413" s="227" t="s">
        <v>4903</v>
      </c>
      <c r="F1413" s="180"/>
      <c r="G1413" s="181"/>
      <c r="H1413" s="182">
        <v>1</v>
      </c>
      <c r="I1413" s="182"/>
      <c r="J1413" s="182"/>
      <c r="K1413" s="183" t="s">
        <v>372</v>
      </c>
      <c r="L1413" s="182"/>
      <c r="M1413" s="182"/>
      <c r="N1413" s="182"/>
      <c r="O1413" s="183"/>
      <c r="P1413" s="183"/>
      <c r="Q1413" s="183"/>
      <c r="R1413" s="183"/>
      <c r="S1413" s="183"/>
      <c r="T1413" s="183"/>
      <c r="U1413" s="183"/>
      <c r="V1413" s="183"/>
      <c r="W1413" s="183"/>
      <c r="X1413" s="183"/>
      <c r="Y1413" s="183"/>
      <c r="Z1413" s="183"/>
      <c r="AA1413" s="185"/>
      <c r="AB1413" s="185"/>
      <c r="AC1413" s="185"/>
      <c r="AD1413" s="649"/>
      <c r="AE1413" s="182"/>
      <c r="AF1413" s="332"/>
      <c r="AG1413" s="182"/>
      <c r="AH1413" s="182"/>
      <c r="AI1413" s="182"/>
      <c r="AJ1413" s="640"/>
      <c r="AK1413" s="182"/>
      <c r="AL1413" s="496"/>
      <c r="AM1413" s="496"/>
      <c r="AN1413" s="626"/>
      <c r="AO1413" s="182"/>
      <c r="AP1413" s="182"/>
      <c r="AQ1413" s="332" t="str">
        <f>UPPER(RIGHT(Journal_Live[[#This Row],[DURATION ]]))</f>
        <v/>
      </c>
      <c r="AR1413" s="182"/>
      <c r="AS1413" s="189"/>
      <c r="AT1413" s="189"/>
      <c r="AU1413" s="187"/>
      <c r="AV1413" s="190"/>
      <c r="AW1413" s="191"/>
      <c r="AX1413" s="407" t="s">
        <v>4904</v>
      </c>
      <c r="AY1413" s="407"/>
      <c r="AZ1413" s="407"/>
      <c r="BA1413" s="407"/>
      <c r="BB1413" s="407"/>
      <c r="BC1413" s="407"/>
      <c r="BD1413" s="407"/>
      <c r="BE1413" s="407"/>
      <c r="BF1413" s="422"/>
      <c r="BG1413" s="391">
        <f>SUM($AV$1389:AV1413)</f>
        <v>53.90822510822516</v>
      </c>
      <c r="BH1413" s="392">
        <f>SUM($AU$1389:AU1413)</f>
        <v>880.00000000000068</v>
      </c>
      <c r="BI1413" s="318">
        <f>SUMIFS($AU$1388:AU1414,$Q$1388:Q1414,"F")</f>
        <v>256</v>
      </c>
      <c r="BJ1413" s="318">
        <f>SUMIFS($AU$1388:AU1414,$Q$1388:Q1414,"S")</f>
        <v>752.00000000000068</v>
      </c>
      <c r="BK1413" s="343">
        <f>SUMIFS($AU$1388:AU1414,$P$1388:P1414,"W")</f>
        <v>752.00000000000068</v>
      </c>
      <c r="BL1413" s="343">
        <f>SUMIFS($AU$1388:AU1414,$P$1388:P1414,"R")</f>
        <v>256</v>
      </c>
      <c r="BM1413" s="343">
        <f>SUMIFS($AU$1388:AU1414,$AQ$1388:AQ1414,"M")</f>
        <v>399.99999999999983</v>
      </c>
      <c r="BN1413" s="343">
        <f>SUMIFS($AU$1388:AU1414,$AQ$1388:AQ1414,"H")</f>
        <v>512.00000000000034</v>
      </c>
      <c r="BO1413" s="343">
        <f>SUMIFS($AU$1388:AU1414,$AQ$1388:AQ1414,"D")</f>
        <v>-159.99999999999957</v>
      </c>
      <c r="BP1413" s="343">
        <f>SUMIFS($AU$1388:AU1416,$AQ$1388:AQ1416,"W")</f>
        <v>256</v>
      </c>
      <c r="BQ1413" s="343">
        <f>SUMIFS($AU$1388:AU1414,$Q$1388:Q1414,"O")</f>
        <v>0</v>
      </c>
      <c r="BR1413" s="343">
        <f>SUMIFS($AU$1388:AU1414,$AA$1388:AA1414,"*")</f>
        <v>1504.0000000000002</v>
      </c>
      <c r="BS1413" s="343">
        <f>SUMIFS($AU$1388:AU1414,$AB$1388:AB1414,"*")</f>
        <v>-159.99999999999957</v>
      </c>
      <c r="BT1413" s="343">
        <f>SUMIFS($AU$1388:AU1414,$AC$1388:AC1414,"*")</f>
        <v>-336</v>
      </c>
      <c r="BU1413" s="343">
        <f>SUMIFS($AU$1388:AU1414,$AA$1388:AA1414,"*",$AB$1388:AB1414,"*")</f>
        <v>0</v>
      </c>
      <c r="BV1413" s="343">
        <f>SUMIFS($AU$1388:AU1414,$AA$1388:AA1414,"*",$AC$1388:AC1414,"*")</f>
        <v>0</v>
      </c>
      <c r="BW1413" s="343">
        <f>SUMIFS($AU$1388:AU1414,$AB$1388:AB1414,"*",$AC$1388:AC1414,"*")</f>
        <v>0</v>
      </c>
      <c r="BX1413" s="343">
        <f>SUMIFS($AV$1388:AV1414,$Q$1388:Q1414,"F")</f>
        <v>7.3142857142857149</v>
      </c>
      <c r="BY1413" s="343">
        <f>SUMIFS($AV$1388:AV1414,$Q$1388:Q1414,"S")</f>
        <v>62.593939393939436</v>
      </c>
      <c r="BZ1413" s="343">
        <f>SUMIFS($AV$1388:AV1414,$Q$1388:Q1414,"O")</f>
        <v>0</v>
      </c>
    </row>
    <row r="1414" spans="1:78" ht="15.75" customHeight="1">
      <c r="A1414" s="177" t="s">
        <v>4824</v>
      </c>
      <c r="B1414" s="200">
        <v>45302</v>
      </c>
      <c r="C1414" s="178" t="s">
        <v>4905</v>
      </c>
      <c r="D1414" s="178" t="s">
        <v>93</v>
      </c>
      <c r="E1414" s="227"/>
      <c r="F1414" s="180"/>
      <c r="G1414" s="181" t="s">
        <v>136</v>
      </c>
      <c r="H1414" s="182"/>
      <c r="I1414" s="182"/>
      <c r="J1414" s="182"/>
      <c r="K1414" s="183"/>
      <c r="L1414" s="182">
        <v>1</v>
      </c>
      <c r="M1414" s="182"/>
      <c r="N1414" s="182"/>
      <c r="O1414" s="183" t="s">
        <v>95</v>
      </c>
      <c r="P1414" s="183" t="s">
        <v>96</v>
      </c>
      <c r="Q1414" s="183" t="s">
        <v>97</v>
      </c>
      <c r="R1414" s="183">
        <v>8</v>
      </c>
      <c r="S1414" s="183">
        <v>0</v>
      </c>
      <c r="T1414" s="183">
        <v>8</v>
      </c>
      <c r="U1414" s="183" t="s">
        <v>22</v>
      </c>
      <c r="V1414" s="183"/>
      <c r="W1414" s="183"/>
      <c r="X1414" s="183"/>
      <c r="Y1414" s="184">
        <f>IF(ISBLANK(O1414),"",(IF(O1414=UPPER("IB"),0.005,0.01)))</f>
        <v>0.01</v>
      </c>
      <c r="Z1414" s="185">
        <f>IF(ISBLANK(O1414),"",IF(O1414="IB",8.63*200,IF(O1414="IR",16*100,IF(O1414="YT",20*100,IF(O1414="YT-XT",24*200,IF(O1414="TED",80*100))))))</f>
        <v>1600</v>
      </c>
      <c r="AA1414" s="185" t="s">
        <v>99</v>
      </c>
      <c r="AB1414" s="185"/>
      <c r="AC1414" s="185"/>
      <c r="AD1414" s="649">
        <v>-0.12</v>
      </c>
      <c r="AE1414" s="182"/>
      <c r="AF1414" s="332"/>
      <c r="AG1414" s="182"/>
      <c r="AH1414" s="182"/>
      <c r="AI1414" s="182"/>
      <c r="AJ1414" s="640"/>
      <c r="AK1414" s="182"/>
      <c r="AL1414" s="496"/>
      <c r="AM1414" s="496"/>
      <c r="AN1414" s="626"/>
      <c r="AO1414" s="182"/>
      <c r="AP1414" s="182" t="s">
        <v>4214</v>
      </c>
      <c r="AQ1414" s="332" t="str">
        <f>UPPER(RIGHT(Journal_Live[[#This Row],[DURATION ]]))</f>
        <v>M</v>
      </c>
      <c r="AR1414" s="182" t="s">
        <v>682</v>
      </c>
      <c r="AS1414" s="189">
        <v>-0.11</v>
      </c>
      <c r="AT1414" s="189">
        <f>IF(ISBLANK(AS1414),,IF(U1414="S",AD1414-AS1414,AS1414-AD1414))</f>
        <v>9.999999999999995E-3</v>
      </c>
      <c r="AU1414" s="187">
        <f>AV1414*R1414</f>
        <v>127.99999999999994</v>
      </c>
      <c r="AV1414" s="190">
        <f>IF(ISBLANK(AS1414),,(AT1414*Z1414))</f>
        <v>15.999999999999993</v>
      </c>
      <c r="AW1414" s="191" t="s">
        <v>96</v>
      </c>
      <c r="AX1414" s="407"/>
      <c r="AY1414" s="407"/>
      <c r="AZ1414" s="407"/>
      <c r="BA1414" s="407"/>
      <c r="BB1414" s="407"/>
      <c r="BC1414" s="407"/>
      <c r="BD1414" s="407"/>
      <c r="BE1414" s="407"/>
      <c r="BF1414" s="422"/>
      <c r="BG1414" s="391">
        <f>SUM($AV$1389:AV1414)</f>
        <v>69.908225108225153</v>
      </c>
      <c r="BH1414" s="392">
        <f>SUM($AU$1389:AU1414)</f>
        <v>1008.0000000000007</v>
      </c>
      <c r="BI1414" s="318">
        <f>SUMIFS($AU$1388:AU1415,$Q$1388:Q1415,"F")</f>
        <v>256</v>
      </c>
      <c r="BJ1414" s="318">
        <f>SUMIFS($AU$1388:AU1415,$Q$1388:Q1415,"S")</f>
        <v>1024.0000000000007</v>
      </c>
      <c r="BK1414" s="343">
        <f>SUMIFS($AU$1388:AU1415,$P$1388:P1415,"W")</f>
        <v>1024.0000000000007</v>
      </c>
      <c r="BL1414" s="343">
        <f>SUMIFS($AU$1388:AU1415,$P$1388:P1415,"R")</f>
        <v>256</v>
      </c>
      <c r="BM1414" s="343">
        <f>SUMIFS($AU$1388:AU1415,$AQ$1388:AQ1415,"M")</f>
        <v>399.99999999999983</v>
      </c>
      <c r="BN1414" s="343">
        <f>SUMIFS($AU$1388:AU1415,$AQ$1388:AQ1415,"H")</f>
        <v>784.00000000000045</v>
      </c>
      <c r="BO1414" s="343">
        <f>SUMIFS($AU$1388:AU1415,$AQ$1388:AQ1415,"D")</f>
        <v>-159.99999999999957</v>
      </c>
      <c r="BP1414" s="343">
        <f>SUMIFS($AU$1388:AU1417,$AQ$1388:AQ1417,"W")</f>
        <v>256</v>
      </c>
      <c r="BQ1414" s="343">
        <f>SUMIFS($AU$1388:AU1415,$Q$1388:Q1415,"O")</f>
        <v>0</v>
      </c>
      <c r="BR1414" s="343">
        <f>SUMIFS($AU$1388:AU1415,$AA$1388:AA1415,"*")</f>
        <v>1776.0000000000002</v>
      </c>
      <c r="BS1414" s="343">
        <f>SUMIFS($AU$1388:AU1415,$AB$1388:AB1415,"*")</f>
        <v>112.00000000000048</v>
      </c>
      <c r="BT1414" s="343">
        <f>SUMIFS($AU$1388:AU1415,$AC$1388:AC1415,"*")</f>
        <v>-63.999999999999943</v>
      </c>
      <c r="BU1414" s="343">
        <f>SUMIFS($AU$1388:AU1415,$AA$1388:AA1415,"*",$AB$1388:AB1415,"*")</f>
        <v>272.00000000000006</v>
      </c>
      <c r="BV1414" s="343">
        <f>SUMIFS($AU$1388:AU1415,$AA$1388:AA1415,"*",$AC$1388:AC1415,"*")</f>
        <v>272.00000000000006</v>
      </c>
      <c r="BW1414" s="343">
        <f>SUMIFS($AU$1388:AU1415,$AB$1388:AB1415,"*",$AC$1388:AC1415,"*")</f>
        <v>272.00000000000006</v>
      </c>
      <c r="BX1414" s="343">
        <f>SUMIFS($AV$1388:AV1415,$Q$1388:Q1415,"F")</f>
        <v>7.3142857142857149</v>
      </c>
      <c r="BY1414" s="343">
        <f>SUMIFS($AV$1388:AV1415,$Q$1388:Q1415,"S")</f>
        <v>96.593939393939451</v>
      </c>
      <c r="BZ1414" s="343">
        <f>SUMIFS($AV$1388:AV1415,$Q$1388:Q1415,"O")</f>
        <v>0</v>
      </c>
    </row>
    <row r="1415" spans="1:78" ht="15.75" customHeight="1">
      <c r="A1415" s="177" t="s">
        <v>4824</v>
      </c>
      <c r="B1415" s="200">
        <v>45302</v>
      </c>
      <c r="C1415" s="178" t="s">
        <v>4906</v>
      </c>
      <c r="D1415" s="178" t="s">
        <v>93</v>
      </c>
      <c r="E1415" s="227"/>
      <c r="F1415" s="180"/>
      <c r="G1415" s="281" t="s">
        <v>181</v>
      </c>
      <c r="H1415" s="182"/>
      <c r="I1415" s="182"/>
      <c r="J1415" s="182"/>
      <c r="K1415" s="183"/>
      <c r="L1415" s="182">
        <v>1</v>
      </c>
      <c r="M1415" s="182"/>
      <c r="N1415" s="182"/>
      <c r="O1415" s="183" t="s">
        <v>95</v>
      </c>
      <c r="P1415" s="183" t="s">
        <v>96</v>
      </c>
      <c r="Q1415" s="183" t="s">
        <v>97</v>
      </c>
      <c r="R1415" s="183">
        <v>8</v>
      </c>
      <c r="S1415" s="183">
        <v>6</v>
      </c>
      <c r="T1415" s="183">
        <v>10</v>
      </c>
      <c r="U1415" s="183" t="s">
        <v>97</v>
      </c>
      <c r="V1415" s="183"/>
      <c r="W1415" s="183"/>
      <c r="X1415" s="183"/>
      <c r="Y1415" s="184">
        <f>IF(ISBLANK(O1415),"",(IF(O1415=UPPER("IB"),0.005,0.01)))</f>
        <v>0.01</v>
      </c>
      <c r="Z1415" s="185">
        <f>IF(ISBLANK(O1415),"",IF(O1415="IB",8.63*200,IF(O1415="IR",16*100,IF(O1415="YT",20*100,IF(O1415="YT-XT",24*200,IF(O1415="TED",80*100))))))</f>
        <v>1600</v>
      </c>
      <c r="AA1415" s="185" t="s">
        <v>4907</v>
      </c>
      <c r="AB1415" s="409" t="s">
        <v>4908</v>
      </c>
      <c r="AC1415" s="185" t="s">
        <v>529</v>
      </c>
      <c r="AD1415" s="649">
        <v>-0.08</v>
      </c>
      <c r="AE1415" s="182"/>
      <c r="AF1415" s="332"/>
      <c r="AG1415" s="182"/>
      <c r="AH1415" s="182"/>
      <c r="AI1415" s="182"/>
      <c r="AJ1415" s="640"/>
      <c r="AK1415" s="182"/>
      <c r="AL1415" s="496"/>
      <c r="AM1415" s="496"/>
      <c r="AN1415" s="626"/>
      <c r="AO1415" s="182"/>
      <c r="AP1415" s="182" t="s">
        <v>2423</v>
      </c>
      <c r="AQ1415" s="332" t="str">
        <f>UPPER(RIGHT(Journal_Live[[#This Row],[DURATION ]]))</f>
        <v>H</v>
      </c>
      <c r="AR1415" s="182" t="s">
        <v>4909</v>
      </c>
      <c r="AS1415" s="189">
        <f>((-0.09*3)+(-0.1*2)+(-0.11*2)+(-0.12*1))/8</f>
        <v>-0.10125000000000001</v>
      </c>
      <c r="AT1415" s="189">
        <f>IF(ISBLANK(AS1415),,IF(U1415="S",AD1415-AS1415,AS1415-AD1415))</f>
        <v>2.1250000000000005E-2</v>
      </c>
      <c r="AU1415" s="187">
        <f>AV1415*R1415</f>
        <v>272.00000000000006</v>
      </c>
      <c r="AV1415" s="190">
        <f>IF(ISBLANK(AS1415),,(AT1415*Z1415))</f>
        <v>34.000000000000007</v>
      </c>
      <c r="AW1415" s="191" t="s">
        <v>96</v>
      </c>
      <c r="AX1415" s="407"/>
      <c r="AY1415" s="407"/>
      <c r="AZ1415" s="407"/>
      <c r="BA1415" s="407"/>
      <c r="BB1415" s="407"/>
      <c r="BC1415" s="407"/>
      <c r="BD1415" s="407"/>
      <c r="BE1415" s="407"/>
      <c r="BF1415" s="422"/>
      <c r="BG1415" s="391">
        <f>SUM($AV$1389:AV1415)</f>
        <v>103.90822510822517</v>
      </c>
      <c r="BH1415" s="392">
        <f>SUM($AU$1389:AU1415)</f>
        <v>1280.0000000000007</v>
      </c>
      <c r="BI1415" s="318">
        <f>SUMIFS($AU$1388:AU1416,$Q$1388:Q1416,"F")</f>
        <v>256</v>
      </c>
      <c r="BJ1415" s="318">
        <f>SUMIFS($AU$1388:AU1416,$Q$1388:Q1416,"S")</f>
        <v>1360.0000000000005</v>
      </c>
      <c r="BK1415" s="343">
        <f>SUMIFS($AU$1388:AU1416,$P$1388:P1416,"W")</f>
        <v>1360.0000000000005</v>
      </c>
      <c r="BL1415" s="343">
        <f>SUMIFS($AU$1388:AU1416,$P$1388:P1416,"R")</f>
        <v>256</v>
      </c>
      <c r="BM1415" s="343">
        <f>SUMIFS($AU$1388:AU1416,$AQ$1388:AQ1416,"M")</f>
        <v>399.99999999999983</v>
      </c>
      <c r="BN1415" s="343">
        <f>SUMIFS($AU$1388:AU1416,$AQ$1388:AQ1416,"H")</f>
        <v>1120.0000000000002</v>
      </c>
      <c r="BO1415" s="343">
        <f>SUMIFS($AU$1388:AU1416,$AQ$1388:AQ1416,"D")</f>
        <v>-159.99999999999957</v>
      </c>
      <c r="BP1415" s="343">
        <f>SUMIFS($AU$1388:AU1418,$AQ$1388:AQ1418,"W")</f>
        <v>256</v>
      </c>
      <c r="BQ1415" s="343">
        <f>SUMIFS($AU$1388:AU1416,$Q$1388:Q1416,"O")</f>
        <v>0</v>
      </c>
      <c r="BR1415" s="343">
        <f>SUMIFS($AU$1388:AU1416,$AA$1388:AA1416,"*")</f>
        <v>1776.0000000000002</v>
      </c>
      <c r="BS1415" s="343">
        <f>SUMIFS($AU$1388:AU1416,$AB$1388:AB1416,"*")</f>
        <v>448.00000000000034</v>
      </c>
      <c r="BT1415" s="343">
        <f>SUMIFS($AU$1388:AU1416,$AC$1388:AC1416,"*")</f>
        <v>-63.999999999999943</v>
      </c>
      <c r="BU1415" s="343">
        <f>SUMIFS($AU$1388:AU1416,$AA$1388:AA1416,"*",$AB$1388:AB1416,"*")</f>
        <v>272.00000000000006</v>
      </c>
      <c r="BV1415" s="343">
        <f>SUMIFS($AU$1388:AU1416,$AA$1388:AA1416,"*",$AC$1388:AC1416,"*")</f>
        <v>272.00000000000006</v>
      </c>
      <c r="BW1415" s="343">
        <f>SUMIFS($AU$1388:AU1416,$AB$1388:AB1416,"*",$AC$1388:AC1416,"*")</f>
        <v>272.00000000000006</v>
      </c>
      <c r="BX1415" s="343">
        <f>SUMIFS($AV$1388:AV1416,$Q$1388:Q1416,"F")</f>
        <v>7.3142857142857149</v>
      </c>
      <c r="BY1415" s="343">
        <f>SUMIFS($AV$1388:AV1416,$Q$1388:Q1416,"S")</f>
        <v>112.59393939393945</v>
      </c>
      <c r="BZ1415" s="343">
        <f>SUMIFS($AV$1388:AV1416,$Q$1388:Q1416,"O")</f>
        <v>0</v>
      </c>
    </row>
    <row r="1416" spans="1:78" ht="15.75" customHeight="1">
      <c r="A1416" s="177" t="s">
        <v>4824</v>
      </c>
      <c r="B1416" s="200">
        <v>45302</v>
      </c>
      <c r="C1416" s="178" t="s">
        <v>4910</v>
      </c>
      <c r="D1416" s="178" t="s">
        <v>93</v>
      </c>
      <c r="E1416" s="227"/>
      <c r="F1416" s="180"/>
      <c r="G1416" s="281" t="s">
        <v>2070</v>
      </c>
      <c r="H1416" s="182"/>
      <c r="I1416" s="182"/>
      <c r="J1416" s="182"/>
      <c r="K1416" s="183"/>
      <c r="L1416" s="182">
        <v>1</v>
      </c>
      <c r="M1416" s="182"/>
      <c r="N1416" s="182"/>
      <c r="O1416" s="183" t="s">
        <v>95</v>
      </c>
      <c r="P1416" s="183" t="s">
        <v>96</v>
      </c>
      <c r="Q1416" s="183" t="s">
        <v>97</v>
      </c>
      <c r="R1416" s="183">
        <v>21</v>
      </c>
      <c r="S1416" s="183">
        <v>0</v>
      </c>
      <c r="T1416" s="183">
        <v>10</v>
      </c>
      <c r="U1416" s="183" t="s">
        <v>97</v>
      </c>
      <c r="V1416" s="183"/>
      <c r="W1416" s="183"/>
      <c r="X1416" s="183"/>
      <c r="Y1416" s="184">
        <f>IF(ISBLANK(O1416),"",(IF(O1416=UPPER("IB"),0.005,0.01)))</f>
        <v>0.01</v>
      </c>
      <c r="Z1416" s="185">
        <f>IF(ISBLANK(O1416),"",IF(O1416="IB",8.63*200,IF(O1416="IR",16*100,IF(O1416="YT",20*100,IF(O1416="YT-XT",24*200,IF(O1416="TED",80*100))))))</f>
        <v>1600</v>
      </c>
      <c r="AA1416" s="185"/>
      <c r="AB1416" s="185" t="s">
        <v>4911</v>
      </c>
      <c r="AC1416" s="185"/>
      <c r="AD1416" s="649">
        <v>-0.11</v>
      </c>
      <c r="AE1416" s="182"/>
      <c r="AF1416" s="332"/>
      <c r="AG1416" s="182"/>
      <c r="AH1416" s="182"/>
      <c r="AI1416" s="182"/>
      <c r="AJ1416" s="640"/>
      <c r="AK1416" s="182"/>
      <c r="AL1416" s="496"/>
      <c r="AM1416" s="496"/>
      <c r="AN1416" s="626"/>
      <c r="AO1416" s="182"/>
      <c r="AP1416" s="182" t="s">
        <v>1782</v>
      </c>
      <c r="AQ1416" s="332" t="str">
        <f>UPPER(RIGHT(Journal_Live[[#This Row],[DURATION ]]))</f>
        <v>H</v>
      </c>
      <c r="AR1416" s="182" t="s">
        <v>4909</v>
      </c>
      <c r="AS1416" s="189">
        <v>-0.12</v>
      </c>
      <c r="AT1416" s="189">
        <f>IF(ISBLANK(AS1416),,IF(U1416="S",AD1416-AS1416,AS1416-AD1416))</f>
        <v>9.999999999999995E-3</v>
      </c>
      <c r="AU1416" s="187">
        <f>AV1416*R1416</f>
        <v>335.99999999999983</v>
      </c>
      <c r="AV1416" s="190">
        <f>IF(ISBLANK(AS1416),,(AT1416*Z1416))</f>
        <v>15.999999999999993</v>
      </c>
      <c r="AW1416" s="191" t="s">
        <v>96</v>
      </c>
      <c r="AX1416" s="407"/>
      <c r="AY1416" s="407"/>
      <c r="AZ1416" s="407"/>
      <c r="BA1416" s="407"/>
      <c r="BB1416" s="407"/>
      <c r="BC1416" s="407"/>
      <c r="BD1416" s="407"/>
      <c r="BE1416" s="407"/>
      <c r="BF1416" s="422"/>
      <c r="BG1416" s="391">
        <f>SUM($AV$1389:AV1416)</f>
        <v>119.90822510822517</v>
      </c>
      <c r="BH1416" s="392">
        <f>SUM($AU$1389:AU1416)</f>
        <v>1616.0000000000005</v>
      </c>
      <c r="BI1416" s="318">
        <f>SUMIFS($AU$1388:AU1417,$Q$1388:Q1417,"F")</f>
        <v>256</v>
      </c>
      <c r="BJ1416" s="318">
        <f>SUMIFS($AU$1388:AU1417,$Q$1388:Q1417,"S")</f>
        <v>1360.0000000000005</v>
      </c>
      <c r="BK1416" s="343">
        <f>SUMIFS($AU$1388:AU1417,$P$1388:P1417,"W")</f>
        <v>1360.0000000000005</v>
      </c>
      <c r="BL1416" s="343">
        <f>SUMIFS($AU$1388:AU1417,$P$1388:P1417,"R")</f>
        <v>256</v>
      </c>
      <c r="BM1416" s="343">
        <f>SUMIFS($AU$1388:AU1417,$AQ$1388:AQ1417,"M")</f>
        <v>399.99999999999983</v>
      </c>
      <c r="BN1416" s="343">
        <f>SUMIFS($AU$1388:AU1417,$AQ$1388:AQ1417,"H")</f>
        <v>1120.0000000000002</v>
      </c>
      <c r="BO1416" s="343">
        <f>SUMIFS($AU$1388:AU1417,$AQ$1388:AQ1417,"D")</f>
        <v>-159.99999999999957</v>
      </c>
      <c r="BP1416" s="343">
        <f>SUMIFS($AU$1388:AU1419,$AQ$1388:AQ1419,"W")</f>
        <v>256</v>
      </c>
      <c r="BQ1416" s="343">
        <f>SUMIFS($AU$1388:AU1417,$Q$1388:Q1417,"O")</f>
        <v>0</v>
      </c>
      <c r="BR1416" s="343">
        <f>SUMIFS($AU$1388:AU1417,$AA$1388:AA1417,"*")</f>
        <v>1776.0000000000002</v>
      </c>
      <c r="BS1416" s="343">
        <f>SUMIFS($AU$1388:AU1417,$AB$1388:AB1417,"*")</f>
        <v>448.00000000000034</v>
      </c>
      <c r="BT1416" s="343">
        <f>SUMIFS($AU$1388:AU1417,$AC$1388:AC1417,"*")</f>
        <v>-63.999999999999943</v>
      </c>
      <c r="BU1416" s="343">
        <f>SUMIFS($AU$1388:AU1417,$AA$1388:AA1417,"*",$AB$1388:AB1417,"*")</f>
        <v>272.00000000000006</v>
      </c>
      <c r="BV1416" s="343">
        <f>SUMIFS($AU$1388:AU1417,$AA$1388:AA1417,"*",$AC$1388:AC1417,"*")</f>
        <v>272.00000000000006</v>
      </c>
      <c r="BW1416" s="343">
        <f>SUMIFS($AU$1388:AU1417,$AB$1388:AB1417,"*",$AC$1388:AC1417,"*")</f>
        <v>272.00000000000006</v>
      </c>
      <c r="BX1416" s="343">
        <f>SUMIFS($AV$1388:AV1417,$Q$1388:Q1417,"F")</f>
        <v>7.3142857142857149</v>
      </c>
      <c r="BY1416" s="343">
        <f>SUMIFS($AV$1388:AV1417,$Q$1388:Q1417,"S")</f>
        <v>112.59393939393945</v>
      </c>
      <c r="BZ1416" s="343">
        <f>SUMIFS($AV$1388:AV1417,$Q$1388:Q1417,"O")</f>
        <v>0</v>
      </c>
    </row>
    <row r="1417" spans="1:78" ht="15.75" customHeight="1">
      <c r="A1417" s="177" t="s">
        <v>4824</v>
      </c>
      <c r="B1417" s="200">
        <v>45303</v>
      </c>
      <c r="C1417" s="178" t="s">
        <v>4909</v>
      </c>
      <c r="D1417" s="178" t="s">
        <v>111</v>
      </c>
      <c r="E1417" s="227"/>
      <c r="F1417" s="180"/>
      <c r="G1417" s="281" t="s">
        <v>2016</v>
      </c>
      <c r="H1417" s="182"/>
      <c r="I1417" s="182"/>
      <c r="J1417" s="182"/>
      <c r="K1417" s="183"/>
      <c r="L1417" s="182">
        <v>1</v>
      </c>
      <c r="M1417" s="182"/>
      <c r="N1417" s="182"/>
      <c r="O1417" s="183" t="s">
        <v>95</v>
      </c>
      <c r="P1417" s="183" t="s">
        <v>96</v>
      </c>
      <c r="Q1417" s="183" t="s">
        <v>97</v>
      </c>
      <c r="R1417" s="183">
        <v>21</v>
      </c>
      <c r="S1417" s="183">
        <v>5</v>
      </c>
      <c r="T1417" s="183">
        <v>10</v>
      </c>
      <c r="U1417" s="183" t="s">
        <v>22</v>
      </c>
      <c r="V1417" s="183"/>
      <c r="W1417" s="183"/>
      <c r="X1417" s="183"/>
      <c r="Y1417" s="184">
        <f>IF(ISBLANK(O1417),"",(IF(O1417=UPPER("IB"),0.005,0.01)))</f>
        <v>0.01</v>
      </c>
      <c r="Z1417" s="185">
        <f>IF(ISBLANK(O1417),"",IF(O1417="IB",8.63*200,IF(O1417="IR",16*100,IF(O1417="YT",20*100,IF(O1417="YT-XT",24*200,IF(O1417="TED",80*100))))))</f>
        <v>1600</v>
      </c>
      <c r="AA1417" s="185" t="s">
        <v>4912</v>
      </c>
      <c r="AB1417" s="185"/>
      <c r="AC1417" s="185"/>
      <c r="AD1417" s="649">
        <v>-0.14000000000000001</v>
      </c>
      <c r="AE1417" s="182"/>
      <c r="AF1417" s="332"/>
      <c r="AG1417" s="182"/>
      <c r="AH1417" s="182"/>
      <c r="AI1417" s="182"/>
      <c r="AJ1417" s="640"/>
      <c r="AK1417" s="182"/>
      <c r="AL1417" s="496"/>
      <c r="AM1417" s="496"/>
      <c r="AN1417" s="626"/>
      <c r="AO1417" s="182"/>
      <c r="AP1417" s="182" t="s">
        <v>1700</v>
      </c>
      <c r="AQ1417" s="332" t="str">
        <f>UPPER(RIGHT(Journal_Live[[#This Row],[DURATION ]]))</f>
        <v>H</v>
      </c>
      <c r="AR1417" s="182" t="s">
        <v>1064</v>
      </c>
      <c r="AS1417" s="189">
        <v>-0.14000000000000001</v>
      </c>
      <c r="AT1417" s="189">
        <f>IF(ISBLANK(AS1417),,IF(U1417="S",AD1417-AS1417,AS1417-AD1417))</f>
        <v>0</v>
      </c>
      <c r="AU1417" s="187">
        <f>AV1417*R1417</f>
        <v>0</v>
      </c>
      <c r="AV1417" s="190">
        <f>IF(ISBLANK(AS1417),,(AT1417*Z1417))</f>
        <v>0</v>
      </c>
      <c r="AW1417" s="191" t="s">
        <v>115</v>
      </c>
      <c r="AX1417" s="407" t="s">
        <v>4913</v>
      </c>
      <c r="AY1417" s="407" t="s">
        <v>4914</v>
      </c>
      <c r="AZ1417" s="407"/>
      <c r="BA1417" s="407"/>
      <c r="BB1417" s="407"/>
      <c r="BC1417" s="407"/>
      <c r="BD1417" s="407"/>
      <c r="BE1417" s="407"/>
      <c r="BF1417" s="422"/>
      <c r="BG1417" s="391">
        <f>SUM($AV$1389:AV1417)</f>
        <v>119.90822510822517</v>
      </c>
      <c r="BH1417" s="392">
        <f>SUM($AU$1389:AU1417)</f>
        <v>1616.0000000000005</v>
      </c>
      <c r="BI1417" s="318">
        <f>SUMIFS($AU$1388:AU1418,$Q$1388:Q1418,"F")</f>
        <v>256</v>
      </c>
      <c r="BJ1417" s="318">
        <f>SUMIFS($AU$1388:AU1418,$Q$1388:Q1418,"S")</f>
        <v>1360.0000000000005</v>
      </c>
      <c r="BK1417" s="343">
        <f>SUMIFS($AU$1388:AU1418,$P$1388:P1418,"W")</f>
        <v>1360.0000000000005</v>
      </c>
      <c r="BL1417" s="343">
        <f>SUMIFS($AU$1388:AU1418,$P$1388:P1418,"R")</f>
        <v>256</v>
      </c>
      <c r="BM1417" s="343">
        <f>SUMIFS($AU$1388:AU1418,$AQ$1388:AQ1418,"M")</f>
        <v>399.99999999999983</v>
      </c>
      <c r="BN1417" s="343">
        <f>SUMIFS($AU$1388:AU1418,$AQ$1388:AQ1418,"H")</f>
        <v>1120.0000000000002</v>
      </c>
      <c r="BO1417" s="343">
        <f>SUMIFS($AU$1388:AU1418,$AQ$1388:AQ1418,"D")</f>
        <v>-159.99999999999957</v>
      </c>
      <c r="BP1417" s="343">
        <f>SUMIFS($AU$1388:AU1420,$AQ$1388:AQ1420,"W")</f>
        <v>256</v>
      </c>
      <c r="BQ1417" s="343">
        <f>SUMIFS($AU$1388:AU1418,$Q$1388:Q1418,"O")</f>
        <v>0</v>
      </c>
      <c r="BR1417" s="343">
        <f>SUMIFS($AU$1388:AU1418,$AA$1388:AA1418,"*")</f>
        <v>1776.0000000000002</v>
      </c>
      <c r="BS1417" s="343">
        <f>SUMIFS($AU$1388:AU1418,$AB$1388:AB1418,"*")</f>
        <v>448.00000000000034</v>
      </c>
      <c r="BT1417" s="343">
        <f>SUMIFS($AU$1388:AU1418,$AC$1388:AC1418,"*")</f>
        <v>-63.999999999999943</v>
      </c>
      <c r="BU1417" s="343">
        <f>SUMIFS($AU$1388:AU1418,$AA$1388:AA1418,"*",$AB$1388:AB1418,"*")</f>
        <v>272.00000000000006</v>
      </c>
      <c r="BV1417" s="343">
        <f>SUMIFS($AU$1388:AU1418,$AA$1388:AA1418,"*",$AC$1388:AC1418,"*")</f>
        <v>272.00000000000006</v>
      </c>
      <c r="BW1417" s="343">
        <f>SUMIFS($AU$1388:AU1418,$AB$1388:AB1418,"*",$AC$1388:AC1418,"*")</f>
        <v>272.00000000000006</v>
      </c>
      <c r="BX1417" s="343">
        <f>SUMIFS($AV$1388:AV1418,$Q$1388:Q1418,"F")</f>
        <v>7.3142857142857149</v>
      </c>
      <c r="BY1417" s="343">
        <f>SUMIFS($AV$1388:AV1418,$Q$1388:Q1418,"S")</f>
        <v>112.59393939393945</v>
      </c>
      <c r="BZ1417" s="343">
        <f>SUMIFS($AV$1388:AV1418,$Q$1388:Q1418,"O")</f>
        <v>0</v>
      </c>
    </row>
    <row r="1418" spans="1:78" ht="15.75" customHeight="1">
      <c r="A1418" s="177" t="s">
        <v>4824</v>
      </c>
      <c r="B1418" s="200">
        <v>45303</v>
      </c>
      <c r="C1418" s="178" t="s">
        <v>4915</v>
      </c>
      <c r="D1418" s="178" t="s">
        <v>111</v>
      </c>
      <c r="E1418" s="227"/>
      <c r="F1418" s="180"/>
      <c r="G1418" s="281" t="s">
        <v>136</v>
      </c>
      <c r="H1418" s="182"/>
      <c r="I1418" s="182"/>
      <c r="J1418" s="182"/>
      <c r="K1418" s="183"/>
      <c r="L1418" s="182">
        <v>1</v>
      </c>
      <c r="M1418" s="182"/>
      <c r="N1418" s="182"/>
      <c r="O1418" s="183" t="s">
        <v>95</v>
      </c>
      <c r="P1418" s="183" t="s">
        <v>96</v>
      </c>
      <c r="Q1418" s="183" t="s">
        <v>97</v>
      </c>
      <c r="R1418" s="183">
        <v>16</v>
      </c>
      <c r="S1418" s="183">
        <v>5</v>
      </c>
      <c r="T1418" s="183">
        <v>16</v>
      </c>
      <c r="U1418" s="183" t="s">
        <v>22</v>
      </c>
      <c r="V1418" s="183"/>
      <c r="W1418" s="183"/>
      <c r="X1418" s="183"/>
      <c r="Y1418" s="184">
        <f>IF(ISBLANK(O1418),"",(IF(O1418=UPPER("IB"),0.005,0.01)))</f>
        <v>0.01</v>
      </c>
      <c r="Z1418" s="185">
        <f>IF(ISBLANK(O1418),"",IF(O1418="IB",8.63*200,IF(O1418="IR",16*100,IF(O1418="YT",20*100,IF(O1418="YT-XT",24*200,IF(O1418="TED",80*100))))))</f>
        <v>1600</v>
      </c>
      <c r="AA1418" s="185" t="s">
        <v>99</v>
      </c>
      <c r="AB1418" s="185"/>
      <c r="AC1418" s="185"/>
      <c r="AD1418" s="649">
        <v>-0.14000000000000001</v>
      </c>
      <c r="AE1418" s="182"/>
      <c r="AF1418" s="332"/>
      <c r="AG1418" s="182"/>
      <c r="AH1418" s="182"/>
      <c r="AI1418" s="182"/>
      <c r="AJ1418" s="640"/>
      <c r="AK1418" s="182"/>
      <c r="AL1418" s="496"/>
      <c r="AM1418" s="496"/>
      <c r="AN1418" s="626"/>
      <c r="AO1418" s="182"/>
      <c r="AP1418" s="182" t="s">
        <v>1843</v>
      </c>
      <c r="AQ1418" s="332" t="str">
        <f>UPPER(RIGHT(Journal_Live[[#This Row],[DURATION ]]))</f>
        <v>M</v>
      </c>
      <c r="AR1418" s="182" t="s">
        <v>4916</v>
      </c>
      <c r="AS1418" s="189">
        <v>-0.14000000000000001</v>
      </c>
      <c r="AT1418" s="189">
        <f>IF(ISBLANK(AS1418),,IF(U1418="S",AD1418-AS1418,AS1418-AD1418))</f>
        <v>0</v>
      </c>
      <c r="AU1418" s="187">
        <f>AV1418*R1418</f>
        <v>0</v>
      </c>
      <c r="AV1418" s="190">
        <f>IF(ISBLANK(AS1418),,(AT1418*Z1418))</f>
        <v>0</v>
      </c>
      <c r="AW1418" s="191" t="s">
        <v>115</v>
      </c>
      <c r="AX1418" s="407"/>
      <c r="AY1418" s="407"/>
      <c r="AZ1418" s="407"/>
      <c r="BA1418" s="407"/>
      <c r="BB1418" s="407"/>
      <c r="BC1418" s="407"/>
      <c r="BD1418" s="407"/>
      <c r="BE1418" s="407"/>
      <c r="BF1418" s="422"/>
      <c r="BG1418" s="391">
        <f>SUM($AV$1389:AV1418)</f>
        <v>119.90822510822517</v>
      </c>
      <c r="BH1418" s="392">
        <f>SUM($AU$1389:AU1418)</f>
        <v>1616.0000000000005</v>
      </c>
      <c r="BI1418" s="318">
        <f>SUMIFS($AU$1388:AU1419,$Q$1388:Q1419,"F")</f>
        <v>256</v>
      </c>
      <c r="BJ1418" s="318">
        <f>SUMIFS($AU$1388:AU1419,$Q$1388:Q1419,"S")</f>
        <v>1360.0000000000005</v>
      </c>
      <c r="BK1418" s="343">
        <f>SUMIFS($AU$1388:AU1419,$P$1388:P1419,"W")</f>
        <v>1360.0000000000005</v>
      </c>
      <c r="BL1418" s="343">
        <f>SUMIFS($AU$1388:AU1419,$P$1388:P1419,"R")</f>
        <v>256</v>
      </c>
      <c r="BM1418" s="343">
        <f>SUMIFS($AU$1388:AU1419,$AQ$1388:AQ1419,"M")</f>
        <v>399.99999999999983</v>
      </c>
      <c r="BN1418" s="343">
        <f>SUMIFS($AU$1388:AU1419,$AQ$1388:AQ1419,"H")</f>
        <v>1120.0000000000002</v>
      </c>
      <c r="BO1418" s="343">
        <f>SUMIFS($AU$1388:AU1419,$AQ$1388:AQ1419,"D")</f>
        <v>-159.99999999999957</v>
      </c>
      <c r="BP1418" s="343">
        <f>SUMIFS($AU$1388:AU1421,$AQ$1388:AQ1421,"W")</f>
        <v>256</v>
      </c>
      <c r="BQ1418" s="343">
        <f>SUMIFS($AU$1388:AU1419,$Q$1388:Q1419,"O")</f>
        <v>0</v>
      </c>
      <c r="BR1418" s="343">
        <f>SUMIFS($AU$1388:AU1419,$AA$1388:AA1419,"*")</f>
        <v>1776.0000000000002</v>
      </c>
      <c r="BS1418" s="343">
        <f>SUMIFS($AU$1388:AU1419,$AB$1388:AB1419,"*")</f>
        <v>448.00000000000034</v>
      </c>
      <c r="BT1418" s="343">
        <f>SUMIFS($AU$1388:AU1419,$AC$1388:AC1419,"*")</f>
        <v>-63.999999999999943</v>
      </c>
      <c r="BU1418" s="343">
        <f>SUMIFS($AU$1388:AU1419,$AA$1388:AA1419,"*",$AB$1388:AB1419,"*")</f>
        <v>272.00000000000006</v>
      </c>
      <c r="BV1418" s="343">
        <f>SUMIFS($AU$1388:AU1419,$AA$1388:AA1419,"*",$AC$1388:AC1419,"*")</f>
        <v>272.00000000000006</v>
      </c>
      <c r="BW1418" s="343">
        <f>SUMIFS($AU$1388:AU1419,$AB$1388:AB1419,"*",$AC$1388:AC1419,"*")</f>
        <v>272.00000000000006</v>
      </c>
      <c r="BX1418" s="343">
        <f>SUMIFS($AV$1388:AV1419,$Q$1388:Q1419,"F")</f>
        <v>7.3142857142857149</v>
      </c>
      <c r="BY1418" s="343">
        <f>SUMIFS($AV$1388:AV1419,$Q$1388:Q1419,"S")</f>
        <v>112.59393939393945</v>
      </c>
      <c r="BZ1418" s="343">
        <f>SUMIFS($AV$1388:AV1419,$Q$1388:Q1419,"O")</f>
        <v>0</v>
      </c>
    </row>
    <row r="1419" spans="1:78" ht="15.75" customHeight="1">
      <c r="A1419" s="177" t="s">
        <v>4824</v>
      </c>
      <c r="B1419" s="200">
        <v>45303</v>
      </c>
      <c r="C1419" s="178" t="s">
        <v>4917</v>
      </c>
      <c r="D1419" s="178" t="s">
        <v>111</v>
      </c>
      <c r="E1419" s="227"/>
      <c r="F1419" s="180"/>
      <c r="G1419" s="181" t="s">
        <v>3450</v>
      </c>
      <c r="H1419" s="182"/>
      <c r="I1419" s="182"/>
      <c r="J1419" s="182"/>
      <c r="K1419" s="183"/>
      <c r="L1419" s="182"/>
      <c r="M1419" s="182"/>
      <c r="N1419" s="182"/>
      <c r="O1419" s="183"/>
      <c r="P1419" s="183"/>
      <c r="Q1419" s="183"/>
      <c r="R1419" s="183"/>
      <c r="S1419" s="183"/>
      <c r="T1419" s="183"/>
      <c r="U1419" s="183"/>
      <c r="V1419" s="183"/>
      <c r="W1419" s="183"/>
      <c r="X1419" s="183"/>
      <c r="Y1419" s="184"/>
      <c r="Z1419" s="185"/>
      <c r="AA1419" s="185"/>
      <c r="AB1419" s="185"/>
      <c r="AC1419" s="185"/>
      <c r="AD1419" s="649"/>
      <c r="AE1419" s="182"/>
      <c r="AF1419" s="332"/>
      <c r="AG1419" s="182"/>
      <c r="AH1419" s="182"/>
      <c r="AI1419" s="182"/>
      <c r="AJ1419" s="640"/>
      <c r="AK1419" s="182"/>
      <c r="AL1419" s="496"/>
      <c r="AM1419" s="496"/>
      <c r="AN1419" s="626"/>
      <c r="AO1419" s="182"/>
      <c r="AP1419" s="182"/>
      <c r="AQ1419" s="332" t="str">
        <f>UPPER(RIGHT(Journal_Live[[#This Row],[DURATION ]]))</f>
        <v/>
      </c>
      <c r="AR1419" s="182"/>
      <c r="AS1419" s="189"/>
      <c r="AT1419" s="189"/>
      <c r="AU1419" s="187"/>
      <c r="AV1419" s="190"/>
      <c r="AW1419" s="191"/>
      <c r="AX1419" s="407" t="s">
        <v>4918</v>
      </c>
      <c r="AY1419" s="407" t="s">
        <v>4919</v>
      </c>
      <c r="AZ1419" s="407"/>
      <c r="BA1419" s="407"/>
      <c r="BB1419" s="407"/>
      <c r="BC1419" s="407"/>
      <c r="BD1419" s="407"/>
      <c r="BE1419" s="407"/>
      <c r="BF1419" s="422"/>
      <c r="BG1419" s="391">
        <f>SUM($AV$1389:AV1419)</f>
        <v>119.90822510822517</v>
      </c>
      <c r="BH1419" s="392">
        <f>SUM($AU$1389:AU1419)</f>
        <v>1616.0000000000005</v>
      </c>
      <c r="BI1419" s="318">
        <f>SUMIFS($AU$1388:AU1420,$Q$1388:Q1420,"F")</f>
        <v>256</v>
      </c>
      <c r="BJ1419" s="318">
        <f>SUMIFS($AU$1388:AU1420,$Q$1388:Q1420,"S")</f>
        <v>1360.0000000000005</v>
      </c>
      <c r="BK1419" s="343">
        <f>SUMIFS($AU$1388:AU1420,$P$1388:P1420,"W")</f>
        <v>1360.0000000000005</v>
      </c>
      <c r="BL1419" s="343">
        <f>SUMIFS($AU$1388:AU1420,$P$1388:P1420,"R")</f>
        <v>256</v>
      </c>
      <c r="BM1419" s="343">
        <f>SUMIFS($AU$1388:AU1420,$AQ$1388:AQ1420,"M")</f>
        <v>399.99999999999983</v>
      </c>
      <c r="BN1419" s="343">
        <f>SUMIFS($AU$1388:AU1420,$AQ$1388:AQ1420,"H")</f>
        <v>1120.0000000000002</v>
      </c>
      <c r="BO1419" s="343">
        <f>SUMIFS($AU$1388:AU1420,$AQ$1388:AQ1420,"D")</f>
        <v>-159.99999999999957</v>
      </c>
      <c r="BP1419" s="343">
        <f>SUMIFS($AU$1388:AU1422,$AQ$1388:AQ1422,"W")</f>
        <v>256</v>
      </c>
      <c r="BQ1419" s="343">
        <f>SUMIFS($AU$1388:AU1420,$Q$1388:Q1420,"O")</f>
        <v>0</v>
      </c>
      <c r="BR1419" s="343">
        <f>SUMIFS($AU$1388:AU1420,$AA$1388:AA1420,"*")</f>
        <v>1776.0000000000002</v>
      </c>
      <c r="BS1419" s="343">
        <f>SUMIFS($AU$1388:AU1420,$AB$1388:AB1420,"*")</f>
        <v>448.00000000000034</v>
      </c>
      <c r="BT1419" s="343">
        <f>SUMIFS($AU$1388:AU1420,$AC$1388:AC1420,"*")</f>
        <v>-63.999999999999943</v>
      </c>
      <c r="BU1419" s="343">
        <f>SUMIFS($AU$1388:AU1420,$AA$1388:AA1420,"*",$AB$1388:AB1420,"*")</f>
        <v>272.00000000000006</v>
      </c>
      <c r="BV1419" s="343">
        <f>SUMIFS($AU$1388:AU1420,$AA$1388:AA1420,"*",$AC$1388:AC1420,"*")</f>
        <v>272.00000000000006</v>
      </c>
      <c r="BW1419" s="343">
        <f>SUMIFS($AU$1388:AU1420,$AB$1388:AB1420,"*",$AC$1388:AC1420,"*")</f>
        <v>272.00000000000006</v>
      </c>
      <c r="BX1419" s="343">
        <f>SUMIFS($AV$1388:AV1420,$Q$1388:Q1420,"F")</f>
        <v>7.3142857142857149</v>
      </c>
      <c r="BY1419" s="343">
        <f>SUMIFS($AV$1388:AV1420,$Q$1388:Q1420,"S")</f>
        <v>112.59393939393945</v>
      </c>
      <c r="BZ1419" s="343">
        <f>SUMIFS($AV$1388:AV1420,$Q$1388:Q1420,"O")</f>
        <v>0</v>
      </c>
    </row>
    <row r="1420" spans="1:78" ht="15.75" customHeight="1">
      <c r="A1420" s="177" t="s">
        <v>4824</v>
      </c>
      <c r="B1420" s="200">
        <v>45303</v>
      </c>
      <c r="C1420" s="178" t="s">
        <v>4917</v>
      </c>
      <c r="D1420" s="178" t="s">
        <v>111</v>
      </c>
      <c r="E1420" s="227"/>
      <c r="F1420" s="180"/>
      <c r="G1420" s="181"/>
      <c r="H1420" s="182"/>
      <c r="I1420" s="182"/>
      <c r="J1420" s="182"/>
      <c r="K1420" s="183"/>
      <c r="L1420" s="182"/>
      <c r="M1420" s="182"/>
      <c r="N1420" s="182"/>
      <c r="O1420" s="183"/>
      <c r="P1420" s="183"/>
      <c r="Q1420" s="183"/>
      <c r="R1420" s="183"/>
      <c r="S1420" s="183"/>
      <c r="T1420" s="183"/>
      <c r="U1420" s="183"/>
      <c r="V1420" s="183"/>
      <c r="W1420" s="183"/>
      <c r="X1420" s="183"/>
      <c r="Y1420" s="184"/>
      <c r="Z1420" s="185"/>
      <c r="AA1420" s="185"/>
      <c r="AB1420" s="185"/>
      <c r="AC1420" s="185"/>
      <c r="AD1420" s="649"/>
      <c r="AE1420" s="182"/>
      <c r="AF1420" s="332"/>
      <c r="AG1420" s="182"/>
      <c r="AH1420" s="182"/>
      <c r="AI1420" s="182"/>
      <c r="AJ1420" s="640"/>
      <c r="AK1420" s="182"/>
      <c r="AL1420" s="496"/>
      <c r="AM1420" s="496"/>
      <c r="AN1420" s="626"/>
      <c r="AO1420" s="182"/>
      <c r="AP1420" s="182"/>
      <c r="AQ1420" s="332" t="str">
        <f>UPPER(RIGHT(Journal_Live[[#This Row],[DURATION ]]))</f>
        <v/>
      </c>
      <c r="AR1420" s="182"/>
      <c r="AS1420" s="189"/>
      <c r="AT1420" s="189"/>
      <c r="AU1420" s="187"/>
      <c r="AV1420" s="190"/>
      <c r="AW1420" s="191"/>
      <c r="AX1420" s="407"/>
      <c r="AY1420" s="407"/>
      <c r="AZ1420" s="407"/>
      <c r="BA1420" s="407"/>
      <c r="BB1420" s="407"/>
      <c r="BC1420" s="407"/>
      <c r="BD1420" s="407"/>
      <c r="BE1420" s="407"/>
      <c r="BF1420" s="422"/>
      <c r="BG1420" s="391">
        <f>SUM($AV$1389:AV1420)</f>
        <v>119.90822510822517</v>
      </c>
      <c r="BH1420" s="392">
        <f>SUM($AU$1389:AU1420)</f>
        <v>1616.0000000000005</v>
      </c>
      <c r="BI1420" s="318">
        <f>SUMIFS($AU$1388:AU1421,$Q$1388:Q1421,"F")</f>
        <v>256</v>
      </c>
      <c r="BJ1420" s="318">
        <f>SUMIFS($AU$1388:AU1421,$Q$1388:Q1421,"S")</f>
        <v>1360.0000000000005</v>
      </c>
      <c r="BK1420" s="343">
        <f>SUMIFS($AU$1388:AU1421,$P$1388:P1421,"W")</f>
        <v>1360.0000000000005</v>
      </c>
      <c r="BL1420" s="343">
        <f>SUMIFS($AU$1388:AU1421,$P$1388:P1421,"R")</f>
        <v>256</v>
      </c>
      <c r="BM1420" s="343">
        <f>SUMIFS($AU$1388:AU1421,$AQ$1388:AQ1421,"M")</f>
        <v>399.99999999999983</v>
      </c>
      <c r="BN1420" s="343">
        <f>SUMIFS($AU$1388:AU1421,$AQ$1388:AQ1421,"H")</f>
        <v>1120.0000000000002</v>
      </c>
      <c r="BO1420" s="343">
        <f>SUMIFS($AU$1388:AU1421,$AQ$1388:AQ1421,"D")</f>
        <v>-159.99999999999957</v>
      </c>
      <c r="BP1420" s="343">
        <f>SUMIFS($AU$1388:AU1423,$AQ$1388:AQ1423,"W")</f>
        <v>256</v>
      </c>
      <c r="BQ1420" s="343">
        <f>SUMIFS($AU$1388:AU1421,$Q$1388:Q1421,"O")</f>
        <v>0</v>
      </c>
      <c r="BR1420" s="343">
        <f>SUMIFS($AU$1388:AU1421,$AA$1388:AA1421,"*")</f>
        <v>1776.0000000000002</v>
      </c>
      <c r="BS1420" s="343">
        <f>SUMIFS($AU$1388:AU1421,$AB$1388:AB1421,"*")</f>
        <v>448.00000000000034</v>
      </c>
      <c r="BT1420" s="343">
        <f>SUMIFS($AU$1388:AU1421,$AC$1388:AC1421,"*")</f>
        <v>-63.999999999999943</v>
      </c>
      <c r="BU1420" s="343">
        <f>SUMIFS($AU$1388:AU1421,$AA$1388:AA1421,"*",$AB$1388:AB1421,"*")</f>
        <v>272.00000000000006</v>
      </c>
      <c r="BV1420" s="343">
        <f>SUMIFS($AU$1388:AU1421,$AA$1388:AA1421,"*",$AC$1388:AC1421,"*")</f>
        <v>272.00000000000006</v>
      </c>
      <c r="BW1420" s="343">
        <f>SUMIFS($AU$1388:AU1421,$AB$1388:AB1421,"*",$AC$1388:AC1421,"*")</f>
        <v>272.00000000000006</v>
      </c>
      <c r="BX1420" s="343">
        <f>SUMIFS($AV$1388:AV1421,$Q$1388:Q1421,"F")</f>
        <v>7.3142857142857149</v>
      </c>
      <c r="BY1420" s="343">
        <f>SUMIFS($AV$1388:AV1421,$Q$1388:Q1421,"S")</f>
        <v>112.59393939393945</v>
      </c>
      <c r="BZ1420" s="343">
        <f>SUMIFS($AV$1388:AV1421,$Q$1388:Q1421,"O")</f>
        <v>0</v>
      </c>
    </row>
    <row r="1421" spans="1:78" ht="15.75" customHeight="1">
      <c r="A1421" s="177" t="s">
        <v>4824</v>
      </c>
      <c r="B1421" s="200">
        <v>45303</v>
      </c>
      <c r="C1421" s="178" t="s">
        <v>3034</v>
      </c>
      <c r="D1421" s="178" t="s">
        <v>111</v>
      </c>
      <c r="E1421" s="227"/>
      <c r="F1421" s="180"/>
      <c r="G1421" s="181" t="s">
        <v>2568</v>
      </c>
      <c r="H1421" s="182"/>
      <c r="I1421" s="182"/>
      <c r="J1421" s="182"/>
      <c r="K1421" s="183"/>
      <c r="L1421" s="182"/>
      <c r="M1421" s="182"/>
      <c r="N1421" s="182"/>
      <c r="O1421" s="183"/>
      <c r="P1421" s="183"/>
      <c r="Q1421" s="183"/>
      <c r="R1421" s="183"/>
      <c r="S1421" s="183"/>
      <c r="T1421" s="183"/>
      <c r="U1421" s="183"/>
      <c r="V1421" s="183"/>
      <c r="W1421" s="183"/>
      <c r="X1421" s="183"/>
      <c r="Y1421" s="184"/>
      <c r="Z1421" s="185"/>
      <c r="AA1421" s="185"/>
      <c r="AB1421" s="185"/>
      <c r="AC1421" s="185"/>
      <c r="AD1421" s="649"/>
      <c r="AE1421" s="182"/>
      <c r="AF1421" s="332"/>
      <c r="AG1421" s="182"/>
      <c r="AH1421" s="407" t="s">
        <v>4920</v>
      </c>
      <c r="AI1421" s="182"/>
      <c r="AJ1421" s="640"/>
      <c r="AK1421" s="182"/>
      <c r="AL1421" s="496"/>
      <c r="AM1421" s="496"/>
      <c r="AN1421" s="626"/>
      <c r="AO1421" s="182"/>
      <c r="AP1421" s="182"/>
      <c r="AQ1421" s="332" t="str">
        <f>UPPER(RIGHT(Journal_Live[[#This Row],[DURATION ]]))</f>
        <v/>
      </c>
      <c r="AR1421" s="182"/>
      <c r="AS1421" s="189"/>
      <c r="AT1421" s="189"/>
      <c r="AU1421" s="187"/>
      <c r="AV1421" s="190"/>
      <c r="AW1421" s="191"/>
      <c r="AX1421" s="407"/>
      <c r="AY1421" s="407"/>
      <c r="AZ1421" s="407"/>
      <c r="BA1421" s="407"/>
      <c r="BB1421" s="407"/>
      <c r="BC1421" s="407"/>
      <c r="BD1421" s="407"/>
      <c r="BE1421" s="407"/>
      <c r="BF1421" s="422"/>
      <c r="BG1421" s="391">
        <f>SUM($AV$1389:AV1421)</f>
        <v>119.90822510822517</v>
      </c>
      <c r="BH1421" s="392">
        <f>SUM($AU$1389:AU1421)</f>
        <v>1616.0000000000005</v>
      </c>
      <c r="BI1421" s="318">
        <f>SUMIFS($AU$1388:AU1422,$Q$1388:Q1422,"F")</f>
        <v>256</v>
      </c>
      <c r="BJ1421" s="318">
        <f>SUMIFS($AU$1388:AU1422,$Q$1388:Q1422,"S")</f>
        <v>1360.0000000000005</v>
      </c>
      <c r="BK1421" s="343">
        <f>SUMIFS($AU$1388:AU1422,$P$1388:P1422,"W")</f>
        <v>1360.0000000000005</v>
      </c>
      <c r="BL1421" s="343">
        <f>SUMIFS($AU$1388:AU1422,$P$1388:P1422,"R")</f>
        <v>256</v>
      </c>
      <c r="BM1421" s="343">
        <f>SUMIFS($AU$1388:AU1422,$AQ$1388:AQ1422,"M")</f>
        <v>399.99999999999983</v>
      </c>
      <c r="BN1421" s="343">
        <f>SUMIFS($AU$1388:AU1422,$AQ$1388:AQ1422,"H")</f>
        <v>1120.0000000000002</v>
      </c>
      <c r="BO1421" s="343">
        <f>SUMIFS($AU$1388:AU1422,$AQ$1388:AQ1422,"D")</f>
        <v>-159.99999999999957</v>
      </c>
      <c r="BP1421" s="343">
        <f>SUMIFS($AU$1388:AU1424,$AQ$1388:AQ1424,"W")</f>
        <v>256</v>
      </c>
      <c r="BQ1421" s="343">
        <f>SUMIFS($AU$1388:AU1422,$Q$1388:Q1422,"O")</f>
        <v>0</v>
      </c>
      <c r="BR1421" s="343">
        <f>SUMIFS($AU$1388:AU1422,$AA$1388:AA1422,"*")</f>
        <v>1776.0000000000002</v>
      </c>
      <c r="BS1421" s="343">
        <f>SUMIFS($AU$1388:AU1422,$AB$1388:AB1422,"*")</f>
        <v>448.00000000000034</v>
      </c>
      <c r="BT1421" s="343">
        <f>SUMIFS($AU$1388:AU1422,$AC$1388:AC1422,"*")</f>
        <v>-63.999999999999943</v>
      </c>
      <c r="BU1421" s="343">
        <f>SUMIFS($AU$1388:AU1422,$AA$1388:AA1422,"*",$AB$1388:AB1422,"*")</f>
        <v>272.00000000000006</v>
      </c>
      <c r="BV1421" s="343">
        <f>SUMIFS($AU$1388:AU1422,$AA$1388:AA1422,"*",$AC$1388:AC1422,"*")</f>
        <v>272.00000000000006</v>
      </c>
      <c r="BW1421" s="343">
        <f>SUMIFS($AU$1388:AU1422,$AB$1388:AB1422,"*",$AC$1388:AC1422,"*")</f>
        <v>272.00000000000006</v>
      </c>
      <c r="BX1421" s="343">
        <f>SUMIFS($AV$1388:AV1422,$Q$1388:Q1422,"F")</f>
        <v>7.3142857142857149</v>
      </c>
      <c r="BY1421" s="343">
        <f>SUMIFS($AV$1388:AV1422,$Q$1388:Q1422,"S")</f>
        <v>112.59393939393945</v>
      </c>
      <c r="BZ1421" s="343">
        <f>SUMIFS($AV$1388:AV1422,$Q$1388:Q1422,"O")</f>
        <v>0</v>
      </c>
    </row>
    <row r="1422" spans="1:78" ht="15.75" customHeight="1">
      <c r="A1422" s="177" t="s">
        <v>4824</v>
      </c>
      <c r="B1422" s="200">
        <v>45303</v>
      </c>
      <c r="C1422" s="178" t="s">
        <v>1474</v>
      </c>
      <c r="D1422" s="178" t="s">
        <v>111</v>
      </c>
      <c r="E1422" s="227" t="s">
        <v>4921</v>
      </c>
      <c r="F1422" s="180"/>
      <c r="G1422" s="181"/>
      <c r="H1422" s="182"/>
      <c r="I1422" s="182"/>
      <c r="J1422" s="182">
        <v>1</v>
      </c>
      <c r="K1422" s="183" t="s">
        <v>115</v>
      </c>
      <c r="L1422" s="182"/>
      <c r="M1422" s="182"/>
      <c r="N1422" s="182"/>
      <c r="O1422" s="183"/>
      <c r="P1422" s="183"/>
      <c r="Q1422" s="183"/>
      <c r="R1422" s="183"/>
      <c r="S1422" s="183"/>
      <c r="T1422" s="183"/>
      <c r="U1422" s="183"/>
      <c r="V1422" s="183"/>
      <c r="W1422" s="183"/>
      <c r="X1422" s="183"/>
      <c r="Y1422" s="183"/>
      <c r="Z1422" s="183"/>
      <c r="AA1422" s="185"/>
      <c r="AB1422" s="185"/>
      <c r="AC1422" s="185"/>
      <c r="AD1422" s="649"/>
      <c r="AE1422" s="182"/>
      <c r="AF1422" s="332"/>
      <c r="AG1422" s="182"/>
      <c r="AH1422" s="407"/>
      <c r="AI1422" s="182"/>
      <c r="AJ1422" s="640"/>
      <c r="AK1422" s="182"/>
      <c r="AL1422" s="496">
        <f t="shared" ref="AL1422:AL1423" si="398">-0.03*Z1422</f>
        <v>0</v>
      </c>
      <c r="AM1422" s="496">
        <f>AL1422*(R1422-S1422)</f>
        <v>0</v>
      </c>
      <c r="AN1422" s="626"/>
      <c r="AO1422" s="182"/>
      <c r="AP1422" s="182"/>
      <c r="AQ1422" s="332" t="str">
        <f>UPPER(RIGHT(Journal_Live[[#This Row],[DURATION ]]))</f>
        <v/>
      </c>
      <c r="AR1422" s="182"/>
      <c r="AS1422" s="189"/>
      <c r="AT1422" s="189"/>
      <c r="AU1422" s="187"/>
      <c r="AV1422" s="190"/>
      <c r="AW1422" s="191"/>
      <c r="AX1422" s="407" t="s">
        <v>4922</v>
      </c>
      <c r="AY1422" s="407" t="s">
        <v>4923</v>
      </c>
      <c r="AZ1422" s="407" t="s">
        <v>4924</v>
      </c>
      <c r="BA1422" s="407"/>
      <c r="BB1422" s="407"/>
      <c r="BC1422" s="407"/>
      <c r="BD1422" s="407"/>
      <c r="BE1422" s="407"/>
      <c r="BF1422" s="422"/>
      <c r="BG1422" s="391">
        <f>SUM($AV$1389:AV1422)</f>
        <v>119.90822510822517</v>
      </c>
      <c r="BH1422" s="392">
        <f>SUM($AU$1389:AU1422)</f>
        <v>1616.0000000000005</v>
      </c>
      <c r="BI1422" s="318">
        <f>SUMIFS($AU$1388:AU1423,$Q$1388:Q1423,"F")</f>
        <v>256</v>
      </c>
      <c r="BJ1422" s="318">
        <f>SUMIFS($AU$1388:AU1423,$Q$1388:Q1423,"S")</f>
        <v>1456</v>
      </c>
      <c r="BK1422" s="343">
        <f>SUMIFS($AU$1388:AU1423,$P$1388:P1423,"W")</f>
        <v>1456</v>
      </c>
      <c r="BL1422" s="343">
        <f>SUMIFS($AU$1388:AU1423,$P$1388:P1423,"R")</f>
        <v>256</v>
      </c>
      <c r="BM1422" s="343">
        <f>SUMIFS($AU$1388:AU1423,$AQ$1388:AQ1423,"M")</f>
        <v>399.99999999999983</v>
      </c>
      <c r="BN1422" s="343">
        <f>SUMIFS($AU$1388:AU1423,$AQ$1388:AQ1423,"H")</f>
        <v>1120.0000000000002</v>
      </c>
      <c r="BO1422" s="343">
        <f>SUMIFS($AU$1388:AU1423,$AQ$1388:AQ1423,"D")</f>
        <v>-64.000000000000071</v>
      </c>
      <c r="BP1422" s="343">
        <f>SUMIFS($AU$1388:AU1425,$AQ$1388:AQ1425,"W")</f>
        <v>256</v>
      </c>
      <c r="BQ1422" s="343">
        <f>SUMIFS($AU$1388:AU1423,$Q$1388:Q1423,"O")</f>
        <v>0</v>
      </c>
      <c r="BR1422" s="343">
        <f>SUMIFS($AU$1388:AU1423,$AA$1388:AA1423,"*")</f>
        <v>1776.0000000000002</v>
      </c>
      <c r="BS1422" s="343">
        <f>SUMIFS($AU$1388:AU1423,$AB$1388:AB1423,"*")</f>
        <v>543.99999999999989</v>
      </c>
      <c r="BT1422" s="343">
        <f>SUMIFS($AU$1388:AU1423,$AC$1388:AC1423,"*")</f>
        <v>-63.999999999999943</v>
      </c>
      <c r="BU1422" s="343">
        <f>SUMIFS($AU$1388:AU1423,$AA$1388:AA1423,"*",$AB$1388:AB1423,"*")</f>
        <v>272.00000000000006</v>
      </c>
      <c r="BV1422" s="343">
        <f>SUMIFS($AU$1388:AU1423,$AA$1388:AA1423,"*",$AC$1388:AC1423,"*")</f>
        <v>272.00000000000006</v>
      </c>
      <c r="BW1422" s="343">
        <f>SUMIFS($AU$1388:AU1423,$AB$1388:AB1423,"*",$AC$1388:AC1423,"*")</f>
        <v>272.00000000000006</v>
      </c>
      <c r="BX1422" s="343">
        <f>SUMIFS($AV$1388:AV1423,$Q$1388:Q1423,"F")</f>
        <v>7.3142857142857149</v>
      </c>
      <c r="BY1422" s="343">
        <f>SUMIFS($AV$1388:AV1423,$Q$1388:Q1423,"S")</f>
        <v>118.24099821746883</v>
      </c>
      <c r="BZ1422" s="343">
        <f>SUMIFS($AV$1388:AV1423,$Q$1388:Q1423,"O")</f>
        <v>0</v>
      </c>
    </row>
    <row r="1423" spans="1:78" ht="15.75" customHeight="1">
      <c r="A1423" s="177" t="s">
        <v>4824</v>
      </c>
      <c r="B1423" s="200">
        <v>45303</v>
      </c>
      <c r="C1423" s="178" t="s">
        <v>682</v>
      </c>
      <c r="D1423" s="178" t="s">
        <v>111</v>
      </c>
      <c r="E1423" s="227"/>
      <c r="F1423" s="180"/>
      <c r="G1423" s="281" t="s">
        <v>181</v>
      </c>
      <c r="H1423" s="182"/>
      <c r="I1423" s="182"/>
      <c r="J1423" s="182"/>
      <c r="K1423" s="183"/>
      <c r="L1423" s="182">
        <v>1</v>
      </c>
      <c r="M1423" s="182"/>
      <c r="N1423" s="182"/>
      <c r="O1423" s="183" t="s">
        <v>95</v>
      </c>
      <c r="P1423" s="183" t="s">
        <v>96</v>
      </c>
      <c r="Q1423" s="183" t="s">
        <v>97</v>
      </c>
      <c r="R1423" s="183">
        <v>17</v>
      </c>
      <c r="S1423" s="183">
        <v>10</v>
      </c>
      <c r="T1423" s="183">
        <v>7</v>
      </c>
      <c r="U1423" s="183" t="s">
        <v>97</v>
      </c>
      <c r="V1423" s="183"/>
      <c r="W1423" s="183"/>
      <c r="X1423" s="183"/>
      <c r="Y1423" s="184">
        <f>IF(ISBLANK(O1423),"",(IF(O1423=UPPER("IB"),0.005,0.01)))</f>
        <v>0.01</v>
      </c>
      <c r="Z1423" s="185">
        <f>IF(ISBLANK(O1423),"",IF(O1423="IB",8.63*200,IF(O1423="IR",16*100,IF(O1423="YT",20*100,IF(O1423="YT-XT",24*200,IF(O1423="TED",80*100))))))</f>
        <v>1600</v>
      </c>
      <c r="AA1423" s="185"/>
      <c r="AB1423" s="409" t="s">
        <v>4908</v>
      </c>
      <c r="AC1423" s="185"/>
      <c r="AD1423" s="649">
        <f>((-0.08*7)+(-0.11*2)+(-0.12*8))/17</f>
        <v>-0.10235294117647059</v>
      </c>
      <c r="AE1423" s="182"/>
      <c r="AF1423" s="332"/>
      <c r="AG1423" s="182"/>
      <c r="AH1423" s="182" t="s">
        <v>4925</v>
      </c>
      <c r="AI1423" s="182"/>
      <c r="AJ1423" s="640"/>
      <c r="AK1423" s="182"/>
      <c r="AL1423" s="496">
        <f t="shared" si="398"/>
        <v>-48</v>
      </c>
      <c r="AM1423" s="496">
        <f>AL1423*(R1423-S1423)</f>
        <v>-336</v>
      </c>
      <c r="AN1423" s="626"/>
      <c r="AO1423" s="182"/>
      <c r="AP1423" s="182" t="s">
        <v>1261</v>
      </c>
      <c r="AQ1423" s="332" t="str">
        <f>UPPER(RIGHT(Journal_Live[[#This Row],[DURATION ]]))</f>
        <v>D</v>
      </c>
      <c r="AR1423" s="182" t="s">
        <v>4926</v>
      </c>
      <c r="AS1423" s="189">
        <f>((-0.12*7)+(-0.11*3)+(-0.09*7))/17</f>
        <v>-0.10588235294117646</v>
      </c>
      <c r="AT1423" s="189">
        <f>IF(ISBLANK(AS1423),,IF(U1423="S",AD1423-AS1423,AS1423-AD1423))</f>
        <v>3.5294117647058643E-3</v>
      </c>
      <c r="AU1423" s="187">
        <f>AV1423*R1423</f>
        <v>95.999999999999503</v>
      </c>
      <c r="AV1423" s="190">
        <f>IF(ISBLANK(AS1423),,(AT1423*Z1423))</f>
        <v>5.6470588235293828</v>
      </c>
      <c r="AW1423" s="191" t="s">
        <v>96</v>
      </c>
      <c r="AX1423" s="407" t="s">
        <v>4927</v>
      </c>
      <c r="AY1423" s="407" t="s">
        <v>4928</v>
      </c>
      <c r="AZ1423" s="407" t="s">
        <v>4929</v>
      </c>
      <c r="BA1423" s="407" t="s">
        <v>4930</v>
      </c>
      <c r="BB1423" s="407" t="s">
        <v>4931</v>
      </c>
      <c r="BC1423" s="407"/>
      <c r="BD1423" s="407"/>
      <c r="BE1423" s="407"/>
      <c r="BF1423" s="422"/>
      <c r="BG1423" s="391">
        <f>SUM($AV$1389:AV1423)</f>
        <v>125.55528393175454</v>
      </c>
      <c r="BH1423" s="392">
        <f>SUM($AU$1389:AU1423)</f>
        <v>1712</v>
      </c>
      <c r="BI1423" s="318">
        <f>SUMIFS($AU$1388:AU1424,$Q$1388:Q1424,"F")</f>
        <v>544</v>
      </c>
      <c r="BJ1423" s="318">
        <f>SUMIFS($AU$1388:AU1424,$Q$1388:Q1424,"S")</f>
        <v>1456</v>
      </c>
      <c r="BK1423" s="343">
        <f>SUMIFS($AU$1388:AU1424,$P$1388:P1424,"W")</f>
        <v>1456</v>
      </c>
      <c r="BL1423" s="343">
        <f>SUMIFS($AU$1388:AU1424,$P$1388:P1424,"R")</f>
        <v>544</v>
      </c>
      <c r="BM1423" s="343">
        <f>SUMIFS($AU$1388:AU1424,$AQ$1388:AQ1424,"M")</f>
        <v>399.99999999999983</v>
      </c>
      <c r="BN1423" s="343">
        <f>SUMIFS($AU$1388:AU1424,$AQ$1388:AQ1424,"H")</f>
        <v>1120.0000000000002</v>
      </c>
      <c r="BO1423" s="343">
        <f>SUMIFS($AU$1388:AU1424,$AQ$1388:AQ1424,"D")</f>
        <v>224</v>
      </c>
      <c r="BP1423" s="343">
        <f>SUMIFS($AU$1388:AU1426,$AQ$1388:AQ1426,"W")</f>
        <v>256</v>
      </c>
      <c r="BQ1423" s="343">
        <f>SUMIFS($AU$1388:AU1424,$Q$1388:Q1424,"O")</f>
        <v>0</v>
      </c>
      <c r="BR1423" s="343">
        <f>SUMIFS($AU$1388:AU1424,$AA$1388:AA1424,"*")</f>
        <v>2064.0000000000005</v>
      </c>
      <c r="BS1423" s="343">
        <f>SUMIFS($AU$1388:AU1424,$AB$1388:AB1424,"*")</f>
        <v>543.99999999999989</v>
      </c>
      <c r="BT1423" s="343">
        <f>SUMIFS($AU$1388:AU1424,$AC$1388:AC1424,"*")</f>
        <v>224.00000000000011</v>
      </c>
      <c r="BU1423" s="343">
        <f>SUMIFS($AU$1388:AU1424,$AA$1388:AA1424,"*",$AB$1388:AB1424,"*")</f>
        <v>272.00000000000006</v>
      </c>
      <c r="BV1423" s="343">
        <f>SUMIFS($AU$1388:AU1424,$AA$1388:AA1424,"*",$AC$1388:AC1424,"*")</f>
        <v>560.00000000000011</v>
      </c>
      <c r="BW1423" s="343">
        <f>SUMIFS($AU$1388:AU1424,$AB$1388:AB1424,"*",$AC$1388:AC1424,"*")</f>
        <v>272.00000000000006</v>
      </c>
      <c r="BX1423" s="343">
        <f>SUMIFS($AV$1388:AV1424,$Q$1388:Q1424,"F")</f>
        <v>23.314285714285717</v>
      </c>
      <c r="BY1423" s="343">
        <f>SUMIFS($AV$1388:AV1424,$Q$1388:Q1424,"S")</f>
        <v>118.24099821746883</v>
      </c>
      <c r="BZ1423" s="343">
        <f>SUMIFS($AV$1388:AV1424,$Q$1388:Q1424,"O")</f>
        <v>0</v>
      </c>
    </row>
    <row r="1424" spans="1:78" ht="15.75" customHeight="1">
      <c r="A1424" s="177" t="s">
        <v>4824</v>
      </c>
      <c r="B1424" s="200">
        <v>45303</v>
      </c>
      <c r="C1424" s="178" t="s">
        <v>2636</v>
      </c>
      <c r="D1424" s="178" t="s">
        <v>111</v>
      </c>
      <c r="E1424" s="227"/>
      <c r="F1424" s="180"/>
      <c r="G1424" s="281" t="s">
        <v>3885</v>
      </c>
      <c r="H1424" s="182"/>
      <c r="I1424" s="182"/>
      <c r="J1424" s="182"/>
      <c r="K1424" s="183"/>
      <c r="L1424" s="182">
        <v>1</v>
      </c>
      <c r="M1424" s="182"/>
      <c r="N1424" s="182"/>
      <c r="O1424" s="183" t="s">
        <v>95</v>
      </c>
      <c r="P1424" s="183" t="s">
        <v>137</v>
      </c>
      <c r="Q1424" s="183" t="s">
        <v>256</v>
      </c>
      <c r="R1424" s="183">
        <v>18</v>
      </c>
      <c r="S1424" s="183">
        <v>18</v>
      </c>
      <c r="T1424" s="183">
        <v>33</v>
      </c>
      <c r="U1424" s="183" t="s">
        <v>22</v>
      </c>
      <c r="V1424" s="183"/>
      <c r="W1424" s="183"/>
      <c r="X1424" s="183"/>
      <c r="Y1424" s="184">
        <f>IF(ISBLANK(O1424),"",(IF(O1424=UPPER("IB"),0.005,0.01)))</f>
        <v>0.01</v>
      </c>
      <c r="Z1424" s="185">
        <f>IF(ISBLANK(O1424),"",IF(O1424="IB",8.63*200,IF(O1424="IR",16*100,IF(O1424="YT",20*100,IF(O1424="YT-XT",24*200,IF(O1424="TED",80*100))))))</f>
        <v>1600</v>
      </c>
      <c r="AA1424" s="185" t="s">
        <v>4932</v>
      </c>
      <c r="AB1424" s="185"/>
      <c r="AC1424" s="185" t="s">
        <v>4933</v>
      </c>
      <c r="AD1424" s="649">
        <v>-0.04</v>
      </c>
      <c r="AE1424" s="182"/>
      <c r="AF1424" s="332"/>
      <c r="AG1424" s="182"/>
      <c r="AH1424" s="407" t="s">
        <v>4934</v>
      </c>
      <c r="AI1424" s="182"/>
      <c r="AJ1424" s="640"/>
      <c r="AK1424" s="182"/>
      <c r="AL1424" s="496">
        <f>-0.025*Z1424</f>
        <v>-40</v>
      </c>
      <c r="AM1424" s="496">
        <f>AL1424*(R1424-S1424)</f>
        <v>0</v>
      </c>
      <c r="AN1424" s="626"/>
      <c r="AO1424" s="182"/>
      <c r="AP1424" s="182" t="s">
        <v>2494</v>
      </c>
      <c r="AQ1424" s="332" t="s">
        <v>115</v>
      </c>
      <c r="AR1424" s="182" t="s">
        <v>4935</v>
      </c>
      <c r="AS1424" s="189">
        <v>-0.03</v>
      </c>
      <c r="AT1424" s="189">
        <f>IF(ISBLANK(AS1424),,IF(U1424="S",AD1424-AS1424,AS1424-AD1424))</f>
        <v>1.0000000000000002E-2</v>
      </c>
      <c r="AU1424" s="187">
        <f>AV1424*R1424</f>
        <v>288.00000000000006</v>
      </c>
      <c r="AV1424" s="190">
        <f>IF(ISBLANK(AS1424),,(AT1424*Z1424))</f>
        <v>16.000000000000004</v>
      </c>
      <c r="AW1424" s="191" t="s">
        <v>96</v>
      </c>
      <c r="AX1424" s="407" t="s">
        <v>4936</v>
      </c>
      <c r="AY1424" s="407"/>
      <c r="AZ1424" s="407"/>
      <c r="BA1424" s="407"/>
      <c r="BB1424" s="407"/>
      <c r="BC1424" s="407"/>
      <c r="BD1424" s="407"/>
      <c r="BE1424" s="407"/>
      <c r="BF1424" s="422"/>
      <c r="BG1424" s="391">
        <f>SUM($AV$1389:AV1424)</f>
        <v>141.55528393175456</v>
      </c>
      <c r="BH1424" s="392">
        <f>SUM($AU$1389:AU1424)</f>
        <v>2000</v>
      </c>
      <c r="BI1424" s="318">
        <f>SUMIFS($AU$1388:AU1425,$Q$1388:Q1425,"F")</f>
        <v>544</v>
      </c>
      <c r="BJ1424" s="318">
        <f>SUMIFS($AU$1388:AU1425,$Q$1388:Q1425,"S")</f>
        <v>1456</v>
      </c>
      <c r="BK1424" s="343">
        <f>SUMIFS($AU$1388:AU1425,$P$1388:P1425,"W")</f>
        <v>1456</v>
      </c>
      <c r="BL1424" s="343">
        <f>SUMIFS($AU$1388:AU1425,$P$1388:P1425,"R")</f>
        <v>544</v>
      </c>
      <c r="BM1424" s="343">
        <f>SUMIFS($AU$1388:AU1425,$AQ$1388:AQ1425,"M")</f>
        <v>399.99999999999983</v>
      </c>
      <c r="BN1424" s="343">
        <f>SUMIFS($AU$1388:AU1425,$AQ$1388:AQ1425,"H")</f>
        <v>1120.0000000000002</v>
      </c>
      <c r="BO1424" s="343">
        <f>SUMIFS($AU$1388:AU1425,$AQ$1388:AQ1425,"D")</f>
        <v>224</v>
      </c>
      <c r="BP1424" s="343">
        <f>SUMIFS($AU$1388:AU1427,$AQ$1388:AQ1427,"W")</f>
        <v>256</v>
      </c>
      <c r="BQ1424" s="343">
        <f>SUMIFS($AU$1388:AU1425,$Q$1388:Q1425,"O")</f>
        <v>0</v>
      </c>
      <c r="BR1424" s="343">
        <f>SUMIFS($AU$1388:AU1425,$AA$1388:AA1425,"*")</f>
        <v>2064.0000000000005</v>
      </c>
      <c r="BS1424" s="343">
        <f>SUMIFS($AU$1388:AU1425,$AB$1388:AB1425,"*")</f>
        <v>543.99999999999989</v>
      </c>
      <c r="BT1424" s="343">
        <f>SUMIFS($AU$1388:AU1425,$AC$1388:AC1425,"*")</f>
        <v>224.00000000000011</v>
      </c>
      <c r="BU1424" s="343">
        <f>SUMIFS($AU$1388:AU1425,$AA$1388:AA1425,"*",$AB$1388:AB1425,"*")</f>
        <v>272.00000000000006</v>
      </c>
      <c r="BV1424" s="343">
        <f>SUMIFS($AU$1388:AU1425,$AA$1388:AA1425,"*",$AC$1388:AC1425,"*")</f>
        <v>560.00000000000011</v>
      </c>
      <c r="BW1424" s="343">
        <f>SUMIFS($AU$1388:AU1425,$AB$1388:AB1425,"*",$AC$1388:AC1425,"*")</f>
        <v>272.00000000000006</v>
      </c>
      <c r="BX1424" s="343">
        <f>SUMIFS($AV$1388:AV1425,$Q$1388:Q1425,"F")</f>
        <v>23.314285714285717</v>
      </c>
      <c r="BY1424" s="343">
        <f>SUMIFS($AV$1388:AV1425,$Q$1388:Q1425,"S")</f>
        <v>118.24099821746883</v>
      </c>
      <c r="BZ1424" s="343">
        <f>SUMIFS($AV$1388:AV1425,$Q$1388:Q1425,"O")</f>
        <v>0</v>
      </c>
    </row>
    <row r="1425" spans="1:78" ht="15.75" customHeight="1">
      <c r="A1425" s="177" t="s">
        <v>4824</v>
      </c>
      <c r="B1425" s="200">
        <v>45303</v>
      </c>
      <c r="C1425" s="178" t="s">
        <v>4937</v>
      </c>
      <c r="D1425" s="178" t="s">
        <v>111</v>
      </c>
      <c r="E1425" s="227"/>
      <c r="F1425" s="180"/>
      <c r="G1425" s="281" t="s">
        <v>4147</v>
      </c>
      <c r="H1425" s="182"/>
      <c r="I1425" s="182"/>
      <c r="J1425" s="182"/>
      <c r="K1425" s="183"/>
      <c r="L1425" s="182">
        <v>1</v>
      </c>
      <c r="M1425" s="182"/>
      <c r="N1425" s="182"/>
      <c r="O1425" s="183" t="s">
        <v>95</v>
      </c>
      <c r="P1425" s="183" t="s">
        <v>137</v>
      </c>
      <c r="Q1425" s="183" t="s">
        <v>97</v>
      </c>
      <c r="R1425" s="183">
        <v>35</v>
      </c>
      <c r="S1425" s="183">
        <v>20</v>
      </c>
      <c r="T1425" s="183">
        <v>33</v>
      </c>
      <c r="U1425" s="183" t="s">
        <v>97</v>
      </c>
      <c r="V1425" s="183"/>
      <c r="W1425" s="183"/>
      <c r="X1425" s="183"/>
      <c r="Y1425" s="184">
        <f>IF(ISBLANK(O1425),"",(IF(O1425=UPPER("IB"),0.005,0.01)))</f>
        <v>0.01</v>
      </c>
      <c r="Z1425" s="185">
        <f>IF(ISBLANK(O1425),"",IF(O1425="IB",8.63*200,IF(O1425="IR",16*100,IF(O1425="YT",20*100,IF(O1425="YT-XT",24*200,IF(O1425="TED",80*100))))))</f>
        <v>1600</v>
      </c>
      <c r="AA1425" s="185" t="s">
        <v>4938</v>
      </c>
      <c r="AB1425" s="185"/>
      <c r="AC1425" s="185" t="s">
        <v>4323</v>
      </c>
      <c r="AD1425" s="649">
        <v>-0.04</v>
      </c>
      <c r="AE1425" s="182"/>
      <c r="AF1425" s="332"/>
      <c r="AG1425" s="182"/>
      <c r="AH1425" s="182"/>
      <c r="AI1425" s="182"/>
      <c r="AJ1425" s="640"/>
      <c r="AK1425" s="182"/>
      <c r="AL1425" s="496">
        <f>-0.02*Z1425</f>
        <v>-32</v>
      </c>
      <c r="AM1425" s="496">
        <f>AL1425*(R1425-S1425)</f>
        <v>-480</v>
      </c>
      <c r="AN1425" s="626"/>
      <c r="AO1425" s="182"/>
      <c r="AP1425" s="182" t="s">
        <v>999</v>
      </c>
      <c r="AQ1425" s="332" t="s">
        <v>115</v>
      </c>
      <c r="AR1425" s="182" t="s">
        <v>4939</v>
      </c>
      <c r="AS1425" s="189">
        <v>-0.04</v>
      </c>
      <c r="AT1425" s="189">
        <f>IF(ISBLANK(AS1425),,IF(U1425="S",AD1425-AS1425,AS1425-AD1425))</f>
        <v>0</v>
      </c>
      <c r="AU1425" s="187">
        <f>AV1425*R1425</f>
        <v>0</v>
      </c>
      <c r="AV1425" s="190">
        <f>IF(ISBLANK(AS1425),,(AT1425*Z1425))</f>
        <v>0</v>
      </c>
      <c r="AW1425" s="191" t="s">
        <v>115</v>
      </c>
      <c r="AX1425" s="407" t="s">
        <v>4940</v>
      </c>
      <c r="AY1425" s="407"/>
      <c r="AZ1425" s="407"/>
      <c r="BA1425" s="407"/>
      <c r="BB1425" s="407"/>
      <c r="BC1425" s="407"/>
      <c r="BD1425" s="407"/>
      <c r="BE1425" s="407"/>
      <c r="BF1425" s="422"/>
      <c r="BG1425" s="391">
        <f>SUM($AV$1389:AV1425)</f>
        <v>141.55528393175456</v>
      </c>
      <c r="BH1425" s="392">
        <f>SUM($AU$1389:AU1425)</f>
        <v>2000</v>
      </c>
      <c r="BI1425" s="318">
        <f>SUMIFS($AU$1388:AU1426,$Q$1388:Q1426,"F")</f>
        <v>544</v>
      </c>
      <c r="BJ1425" s="318">
        <f>SUMIFS($AU$1388:AU1426,$Q$1388:Q1426,"S")</f>
        <v>1840.0000000000005</v>
      </c>
      <c r="BK1425" s="343">
        <f>SUMIFS($AU$1388:AU1426,$P$1388:P1426,"W")</f>
        <v>1840.0000000000005</v>
      </c>
      <c r="BL1425" s="343">
        <f>SUMIFS($AU$1388:AU1426,$P$1388:P1426,"R")</f>
        <v>544</v>
      </c>
      <c r="BM1425" s="343">
        <f>SUMIFS($AU$1388:AU1426,$AQ$1388:AQ1426,"M")</f>
        <v>784.00000000000023</v>
      </c>
      <c r="BN1425" s="343">
        <f>SUMIFS($AU$1388:AU1426,$AQ$1388:AQ1426,"H")</f>
        <v>1120.0000000000002</v>
      </c>
      <c r="BO1425" s="343">
        <f>SUMIFS($AU$1388:AU1426,$AQ$1388:AQ1426,"D")</f>
        <v>224</v>
      </c>
      <c r="BP1425" s="343">
        <f>SUMIFS($AU$1388:AU1428,$AQ$1388:AQ1428,"W")</f>
        <v>256</v>
      </c>
      <c r="BQ1425" s="343">
        <f>SUMIFS($AU$1388:AU1426,$Q$1388:Q1426,"O")</f>
        <v>0</v>
      </c>
      <c r="BR1425" s="343">
        <f>SUMIFS($AU$1388:AU1426,$AA$1388:AA1426,"*")</f>
        <v>2448.0000000000009</v>
      </c>
      <c r="BS1425" s="343">
        <f>SUMIFS($AU$1388:AU1426,$AB$1388:AB1426,"*")</f>
        <v>543.99999999999989</v>
      </c>
      <c r="BT1425" s="343">
        <f>SUMIFS($AU$1388:AU1426,$AC$1388:AC1426,"*")</f>
        <v>224.00000000000011</v>
      </c>
      <c r="BU1425" s="343">
        <f>SUMIFS($AU$1388:AU1426,$AA$1388:AA1426,"*",$AB$1388:AB1426,"*")</f>
        <v>272.00000000000006</v>
      </c>
      <c r="BV1425" s="343">
        <f>SUMIFS($AU$1388:AU1426,$AA$1388:AA1426,"*",$AC$1388:AC1426,"*")</f>
        <v>560.00000000000011</v>
      </c>
      <c r="BW1425" s="343">
        <f>SUMIFS($AU$1388:AU1426,$AB$1388:AB1426,"*",$AC$1388:AC1426,"*")</f>
        <v>272.00000000000006</v>
      </c>
      <c r="BX1425" s="343">
        <f>SUMIFS($AV$1388:AV1426,$Q$1388:Q1426,"F")</f>
        <v>23.314285714285717</v>
      </c>
      <c r="BY1425" s="343">
        <f>SUMIFS($AV$1388:AV1426,$Q$1388:Q1426,"S")</f>
        <v>134.24099821746884</v>
      </c>
      <c r="BZ1425" s="343">
        <f>SUMIFS($AV$1388:AV1426,$Q$1388:Q1426,"O")</f>
        <v>0</v>
      </c>
    </row>
    <row r="1426" spans="1:78" ht="15.75" customHeight="1">
      <c r="A1426" s="177" t="s">
        <v>4824</v>
      </c>
      <c r="B1426" s="200">
        <v>45303</v>
      </c>
      <c r="C1426" s="178" t="s">
        <v>3424</v>
      </c>
      <c r="D1426" s="178" t="s">
        <v>111</v>
      </c>
      <c r="E1426" s="227"/>
      <c r="F1426" s="180"/>
      <c r="G1426" s="281" t="s">
        <v>4941</v>
      </c>
      <c r="H1426" s="182"/>
      <c r="I1426" s="182"/>
      <c r="J1426" s="182"/>
      <c r="K1426" s="183"/>
      <c r="L1426" s="182">
        <v>1</v>
      </c>
      <c r="M1426" s="182"/>
      <c r="N1426" s="182"/>
      <c r="O1426" s="183" t="s">
        <v>95</v>
      </c>
      <c r="P1426" s="183" t="s">
        <v>96</v>
      </c>
      <c r="Q1426" s="183" t="s">
        <v>97</v>
      </c>
      <c r="R1426" s="183">
        <v>24</v>
      </c>
      <c r="S1426" s="183">
        <v>0</v>
      </c>
      <c r="T1426" s="183">
        <v>24</v>
      </c>
      <c r="U1426" s="183" t="s">
        <v>22</v>
      </c>
      <c r="V1426" s="183"/>
      <c r="W1426" s="183"/>
      <c r="X1426" s="183"/>
      <c r="Y1426" s="184">
        <f>IF(ISBLANK(O1426),"",(IF(O1426=UPPER("IB"),0.005,0.01)))</f>
        <v>0.01</v>
      </c>
      <c r="Z1426" s="185">
        <f>IF(ISBLANK(O1426),"",IF(O1426="IB",8.63*200,IF(O1426="IR",16*100,IF(O1426="YT",20*100,IF(O1426="YT-XT",24*200,IF(O1426="TED",80*100))))))</f>
        <v>1600</v>
      </c>
      <c r="AA1426" s="185" t="s">
        <v>4942</v>
      </c>
      <c r="AB1426" s="185"/>
      <c r="AC1426" s="185"/>
      <c r="AD1426" s="649">
        <v>-0.14000000000000001</v>
      </c>
      <c r="AE1426" s="182"/>
      <c r="AF1426" s="332"/>
      <c r="AG1426" s="182"/>
      <c r="AH1426" s="182"/>
      <c r="AI1426" s="182"/>
      <c r="AJ1426" s="640"/>
      <c r="AK1426" s="182"/>
      <c r="AL1426" s="496"/>
      <c r="AM1426" s="496"/>
      <c r="AN1426" s="626"/>
      <c r="AO1426" s="182"/>
      <c r="AP1426" s="182" t="s">
        <v>4943</v>
      </c>
      <c r="AQ1426" s="332" t="str">
        <f>UPPER(RIGHT(Journal_Live[[#This Row],[DURATION ]]))</f>
        <v>M</v>
      </c>
      <c r="AR1426" s="182" t="s">
        <v>2705</v>
      </c>
      <c r="AS1426" s="189">
        <v>-0.13</v>
      </c>
      <c r="AT1426" s="189">
        <f>IF(ISBLANK(AS1426),,IF(U1426="S",AD1426-AS1426,AS1426-AD1426))</f>
        <v>1.0000000000000009E-2</v>
      </c>
      <c r="AU1426" s="187">
        <f>AV1426*R1426</f>
        <v>384.00000000000034</v>
      </c>
      <c r="AV1426" s="190">
        <f>IF(ISBLANK(AS1426),,(AT1426*Z1426))</f>
        <v>16.000000000000014</v>
      </c>
      <c r="AW1426" s="191" t="s">
        <v>96</v>
      </c>
      <c r="AX1426" s="407"/>
      <c r="AY1426" s="407"/>
      <c r="AZ1426" s="407"/>
      <c r="BA1426" s="407"/>
      <c r="BB1426" s="407"/>
      <c r="BC1426" s="407"/>
      <c r="BD1426" s="407"/>
      <c r="BE1426" s="407"/>
      <c r="BF1426" s="422"/>
      <c r="BG1426" s="391">
        <f>SUM($AV$1389:AV1426)</f>
        <v>157.55528393175456</v>
      </c>
      <c r="BH1426" s="392">
        <f>SUM($AU$1389:AU1426)</f>
        <v>2384.0000000000005</v>
      </c>
      <c r="BI1426" s="318">
        <f>SUMIFS($AU$1388:AU1427,$Q$1388:Q1427,"F")</f>
        <v>544</v>
      </c>
      <c r="BJ1426" s="318">
        <f>SUMIFS($AU$1388:AU1427,$Q$1388:Q1427,"S")</f>
        <v>1840.0000000000005</v>
      </c>
      <c r="BK1426" s="343">
        <f>SUMIFS($AU$1388:AU1427,$P$1388:P1427,"W")</f>
        <v>1840.0000000000005</v>
      </c>
      <c r="BL1426" s="343">
        <f>SUMIFS($AU$1388:AU1427,$P$1388:P1427,"R")</f>
        <v>544</v>
      </c>
      <c r="BM1426" s="343">
        <f>SUMIFS($AU$1388:AU1427,$AQ$1388:AQ1427,"M")</f>
        <v>784.00000000000023</v>
      </c>
      <c r="BN1426" s="343">
        <f>SUMIFS($AU$1388:AU1427,$AQ$1388:AQ1427,"H")</f>
        <v>1120.0000000000002</v>
      </c>
      <c r="BO1426" s="343">
        <f>SUMIFS($AU$1388:AU1427,$AQ$1388:AQ1427,"D")</f>
        <v>224</v>
      </c>
      <c r="BP1426" s="343">
        <f>SUMIFS($AU$1388:AU1429,$AQ$1388:AQ1429,"W")</f>
        <v>256</v>
      </c>
      <c r="BQ1426" s="343">
        <f>SUMIFS($AU$1388:AU1427,$Q$1388:Q1427,"O")</f>
        <v>0</v>
      </c>
      <c r="BR1426" s="343">
        <f>SUMIFS($AU$1388:AU1427,$AA$1388:AA1427,"*")</f>
        <v>2448.0000000000009</v>
      </c>
      <c r="BS1426" s="343">
        <f>SUMIFS($AU$1388:AU1427,$AB$1388:AB1427,"*")</f>
        <v>543.99999999999989</v>
      </c>
      <c r="BT1426" s="343">
        <f>SUMIFS($AU$1388:AU1427,$AC$1388:AC1427,"*")</f>
        <v>224.00000000000011</v>
      </c>
      <c r="BU1426" s="343">
        <f>SUMIFS($AU$1388:AU1427,$AA$1388:AA1427,"*",$AB$1388:AB1427,"*")</f>
        <v>272.00000000000006</v>
      </c>
      <c r="BV1426" s="343">
        <f>SUMIFS($AU$1388:AU1427,$AA$1388:AA1427,"*",$AC$1388:AC1427,"*")</f>
        <v>560.00000000000011</v>
      </c>
      <c r="BW1426" s="343">
        <f>SUMIFS($AU$1388:AU1427,$AB$1388:AB1427,"*",$AC$1388:AC1427,"*")</f>
        <v>272.00000000000006</v>
      </c>
      <c r="BX1426" s="343">
        <f>SUMIFS($AV$1388:AV1427,$Q$1388:Q1427,"F")</f>
        <v>23.314285714285717</v>
      </c>
      <c r="BY1426" s="343">
        <f>SUMIFS($AV$1388:AV1427,$Q$1388:Q1427,"S")</f>
        <v>134.24099821746884</v>
      </c>
      <c r="BZ1426" s="343">
        <f>SUMIFS($AV$1388:AV1427,$Q$1388:Q1427,"O")</f>
        <v>0</v>
      </c>
    </row>
    <row r="1427" spans="1:78" ht="15.75" customHeight="1">
      <c r="A1427" s="177" t="s">
        <v>4824</v>
      </c>
      <c r="B1427" s="200">
        <v>45303</v>
      </c>
      <c r="C1427" s="178" t="s">
        <v>3193</v>
      </c>
      <c r="D1427" s="178" t="s">
        <v>111</v>
      </c>
      <c r="E1427" s="227"/>
      <c r="F1427" s="180"/>
      <c r="G1427" s="181" t="s">
        <v>181</v>
      </c>
      <c r="H1427" s="182"/>
      <c r="I1427" s="182"/>
      <c r="J1427" s="182"/>
      <c r="K1427" s="183"/>
      <c r="L1427" s="182"/>
      <c r="M1427" s="182"/>
      <c r="N1427" s="182"/>
      <c r="O1427" s="183"/>
      <c r="P1427" s="183"/>
      <c r="Q1427" s="183"/>
      <c r="R1427" s="183"/>
      <c r="S1427" s="183"/>
      <c r="T1427" s="183"/>
      <c r="U1427" s="183"/>
      <c r="V1427" s="183"/>
      <c r="W1427" s="183"/>
      <c r="X1427" s="183"/>
      <c r="Y1427" s="184"/>
      <c r="Z1427" s="185"/>
      <c r="AA1427" s="185"/>
      <c r="AB1427" s="185"/>
      <c r="AC1427" s="185"/>
      <c r="AD1427" s="649"/>
      <c r="AE1427" s="182"/>
      <c r="AF1427" s="332"/>
      <c r="AG1427" s="182"/>
      <c r="AH1427" s="182"/>
      <c r="AI1427" s="182"/>
      <c r="AJ1427" s="640"/>
      <c r="AK1427" s="182"/>
      <c r="AL1427" s="496"/>
      <c r="AM1427" s="496"/>
      <c r="AN1427" s="626"/>
      <c r="AO1427" s="182"/>
      <c r="AP1427" s="182"/>
      <c r="AQ1427" s="332" t="str">
        <f>UPPER(RIGHT(Journal_Live[[#This Row],[DURATION ]]))</f>
        <v/>
      </c>
      <c r="AR1427" s="182"/>
      <c r="AS1427" s="189"/>
      <c r="AT1427" s="189"/>
      <c r="AU1427" s="187"/>
      <c r="AV1427" s="190"/>
      <c r="AW1427" s="191"/>
      <c r="AX1427" s="407" t="s">
        <v>4944</v>
      </c>
      <c r="AY1427" s="407"/>
      <c r="AZ1427" s="407"/>
      <c r="BA1427" s="407"/>
      <c r="BB1427" s="407"/>
      <c r="BC1427" s="407"/>
      <c r="BD1427" s="407"/>
      <c r="BE1427" s="407"/>
      <c r="BF1427" s="422"/>
      <c r="BG1427" s="391">
        <f>SUM($AV$1389:AV1427)</f>
        <v>157.55528393175456</v>
      </c>
      <c r="BH1427" s="392">
        <f>SUM($AU$1389:AU1427)</f>
        <v>2384.0000000000005</v>
      </c>
      <c r="BI1427" s="318">
        <f>SUMIFS($AU$1388:AU1428,$Q$1388:Q1428,"F")</f>
        <v>544</v>
      </c>
      <c r="BJ1427" s="318">
        <f>SUMIFS($AU$1388:AU1428,$Q$1388:Q1428,"S")</f>
        <v>1840.0000000000005</v>
      </c>
      <c r="BK1427" s="343">
        <f>SUMIFS($AU$1388:AU1428,$P$1388:P1428,"W")</f>
        <v>1840.0000000000005</v>
      </c>
      <c r="BL1427" s="343">
        <f>SUMIFS($AU$1388:AU1428,$P$1388:P1428,"R")</f>
        <v>544</v>
      </c>
      <c r="BM1427" s="343">
        <f>SUMIFS($AU$1388:AU1428,$AQ$1388:AQ1428,"M")</f>
        <v>784.00000000000023</v>
      </c>
      <c r="BN1427" s="343">
        <f>SUMIFS($AU$1388:AU1428,$AQ$1388:AQ1428,"H")</f>
        <v>1120.0000000000002</v>
      </c>
      <c r="BO1427" s="343">
        <f>SUMIFS($AU$1388:AU1428,$AQ$1388:AQ1428,"D")</f>
        <v>224</v>
      </c>
      <c r="BP1427" s="343">
        <f>SUMIFS($AU$1388:AU1430,$AQ$1388:AQ1430,"W")</f>
        <v>256</v>
      </c>
      <c r="BQ1427" s="343">
        <f>SUMIFS($AU$1388:AU1428,$Q$1388:Q1428,"O")</f>
        <v>0</v>
      </c>
      <c r="BR1427" s="343">
        <f>SUMIFS($AU$1388:AU1428,$AA$1388:AA1428,"*")</f>
        <v>2448.0000000000009</v>
      </c>
      <c r="BS1427" s="343">
        <f>SUMIFS($AU$1388:AU1428,$AB$1388:AB1428,"*")</f>
        <v>543.99999999999989</v>
      </c>
      <c r="BT1427" s="343">
        <f>SUMIFS($AU$1388:AU1428,$AC$1388:AC1428,"*")</f>
        <v>224.00000000000011</v>
      </c>
      <c r="BU1427" s="343">
        <f>SUMIFS($AU$1388:AU1428,$AA$1388:AA1428,"*",$AB$1388:AB1428,"*")</f>
        <v>272.00000000000006</v>
      </c>
      <c r="BV1427" s="343">
        <f>SUMIFS($AU$1388:AU1428,$AA$1388:AA1428,"*",$AC$1388:AC1428,"*")</f>
        <v>560.00000000000011</v>
      </c>
      <c r="BW1427" s="343">
        <f>SUMIFS($AU$1388:AU1428,$AB$1388:AB1428,"*",$AC$1388:AC1428,"*")</f>
        <v>272.00000000000006</v>
      </c>
      <c r="BX1427" s="343">
        <f>SUMIFS($AV$1388:AV1428,$Q$1388:Q1428,"F")</f>
        <v>23.314285714285717</v>
      </c>
      <c r="BY1427" s="343">
        <f>SUMIFS($AV$1388:AV1428,$Q$1388:Q1428,"S")</f>
        <v>134.24099821746884</v>
      </c>
      <c r="BZ1427" s="343">
        <f>SUMIFS($AV$1388:AV1428,$Q$1388:Q1428,"O")</f>
        <v>0</v>
      </c>
    </row>
    <row r="1428" spans="1:78" ht="15.75" customHeight="1">
      <c r="A1428" s="177" t="s">
        <v>4824</v>
      </c>
      <c r="B1428" s="200">
        <v>45306</v>
      </c>
      <c r="C1428" s="178" t="s">
        <v>4945</v>
      </c>
      <c r="D1428" s="178" t="s">
        <v>132</v>
      </c>
      <c r="E1428" s="227"/>
      <c r="F1428" s="180"/>
      <c r="G1428" s="181" t="s">
        <v>2942</v>
      </c>
      <c r="H1428" s="182"/>
      <c r="I1428" s="182"/>
      <c r="J1428" s="182"/>
      <c r="K1428" s="183"/>
      <c r="L1428" s="182">
        <v>1</v>
      </c>
      <c r="M1428" s="182"/>
      <c r="N1428" s="182"/>
      <c r="O1428" s="183" t="s">
        <v>95</v>
      </c>
      <c r="P1428" s="183" t="s">
        <v>137</v>
      </c>
      <c r="Q1428" s="183" t="s">
        <v>97</v>
      </c>
      <c r="R1428" s="183">
        <v>4</v>
      </c>
      <c r="S1428" s="183">
        <v>0</v>
      </c>
      <c r="T1428" s="183">
        <v>4</v>
      </c>
      <c r="U1428" s="183" t="s">
        <v>97</v>
      </c>
      <c r="V1428" s="183"/>
      <c r="W1428" s="183"/>
      <c r="X1428" s="183"/>
      <c r="Y1428" s="184">
        <f t="shared" ref="Y1428:Y1434" si="399">IF(ISBLANK(O1428),"",(IF(O1428=UPPER("IB"),0.005,0.01)))</f>
        <v>0.01</v>
      </c>
      <c r="Z1428" s="185">
        <f t="shared" ref="Z1428:Z1434" si="400">IF(ISBLANK(O1428),"",IF(O1428="IB",8.63*200,IF(O1428="IR",16*100,IF(O1428="YT",20*100,IF(O1428="YT-XT",24*200,IF(O1428="TED",80*100))))))</f>
        <v>1600</v>
      </c>
      <c r="AA1428" s="185" t="s">
        <v>1361</v>
      </c>
      <c r="AB1428" s="185"/>
      <c r="AC1428" s="185" t="s">
        <v>4946</v>
      </c>
      <c r="AD1428" s="649">
        <v>-0.08</v>
      </c>
      <c r="AE1428" s="182"/>
      <c r="AF1428" s="332"/>
      <c r="AG1428" s="182"/>
      <c r="AH1428" s="182"/>
      <c r="AI1428" s="182"/>
      <c r="AJ1428" s="640"/>
      <c r="AK1428" s="182"/>
      <c r="AL1428" s="496">
        <f>-0.02*Z1428</f>
        <v>-32</v>
      </c>
      <c r="AM1428" s="496">
        <f>AL1428*(R1428-S1428)</f>
        <v>-128</v>
      </c>
      <c r="AN1428" s="626"/>
      <c r="AO1428" s="182"/>
      <c r="AP1428" s="182" t="s">
        <v>804</v>
      </c>
      <c r="AQ1428" s="332" t="str">
        <f>UPPER(RIGHT(Journal_Live[[#This Row],[DURATION ]]))</f>
        <v>D</v>
      </c>
      <c r="AR1428" s="182" t="s">
        <v>4947</v>
      </c>
      <c r="AS1428" s="189">
        <v>-0.08</v>
      </c>
      <c r="AT1428" s="189">
        <f t="shared" ref="AT1428:AT1434" si="401">IF(ISBLANK(AS1428),,IF(U1428="S",AD1428-AS1428,AS1428-AD1428))</f>
        <v>0</v>
      </c>
      <c r="AU1428" s="187">
        <f t="shared" ref="AU1428:AU1434" si="402">AV1428*R1428</f>
        <v>0</v>
      </c>
      <c r="AV1428" s="190">
        <f t="shared" ref="AV1428:AV1434" si="403">IF(ISBLANK(AS1428),,(AT1428*Z1428))</f>
        <v>0</v>
      </c>
      <c r="AW1428" s="191" t="s">
        <v>115</v>
      </c>
      <c r="AX1428" s="407"/>
      <c r="AY1428" s="407"/>
      <c r="AZ1428" s="407"/>
      <c r="BA1428" s="407"/>
      <c r="BB1428" s="407"/>
      <c r="BC1428" s="407"/>
      <c r="BD1428" s="407"/>
      <c r="BE1428" s="407"/>
      <c r="BF1428" s="422"/>
      <c r="BG1428" s="391">
        <f>SUM($AV$1389:AV1428)</f>
        <v>157.55528393175456</v>
      </c>
      <c r="BH1428" s="392">
        <f>SUM($AU$1389:AU1428)</f>
        <v>2384.0000000000005</v>
      </c>
      <c r="BI1428" s="318">
        <f>SUMIFS($AU$1388:AU1429,$Q$1388:Q1429,"F")</f>
        <v>544</v>
      </c>
      <c r="BJ1428" s="318">
        <f>SUMIFS($AU$1388:AU1429,$Q$1388:Q1429,"S")</f>
        <v>400.00000000000068</v>
      </c>
      <c r="BK1428" s="343">
        <f>SUMIFS($AU$1388:AU1429,$P$1388:P1429,"W")</f>
        <v>400.00000000000068</v>
      </c>
      <c r="BL1428" s="343">
        <f>SUMIFS($AU$1388:AU1429,$P$1388:P1429,"R")</f>
        <v>544</v>
      </c>
      <c r="BM1428" s="343">
        <f>SUMIFS($AU$1388:AU1429,$AQ$1388:AQ1429,"M")</f>
        <v>784.00000000000023</v>
      </c>
      <c r="BN1428" s="343">
        <f>SUMIFS($AU$1388:AU1429,$AQ$1388:AQ1429,"H")</f>
        <v>-319.99999999999955</v>
      </c>
      <c r="BO1428" s="343">
        <f>SUMIFS($AU$1388:AU1429,$AQ$1388:AQ1429,"D")</f>
        <v>224</v>
      </c>
      <c r="BP1428" s="343">
        <f>SUMIFS($AU$1388:AU1431,$AQ$1388:AQ1431,"W")</f>
        <v>256</v>
      </c>
      <c r="BQ1428" s="343">
        <f>SUMIFS($AU$1388:AU1429,$Q$1388:Q1429,"O")</f>
        <v>0</v>
      </c>
      <c r="BR1428" s="343">
        <f>SUMIFS($AU$1388:AU1429,$AA$1388:AA1429,"*")</f>
        <v>1008.0000000000011</v>
      </c>
      <c r="BS1428" s="343">
        <f>SUMIFS($AU$1388:AU1429,$AB$1388:AB1429,"*")</f>
        <v>543.99999999999989</v>
      </c>
      <c r="BT1428" s="343">
        <f>SUMIFS($AU$1388:AU1429,$AC$1388:AC1429,"*")</f>
        <v>224.00000000000011</v>
      </c>
      <c r="BU1428" s="343">
        <f>SUMIFS($AU$1388:AU1429,$AA$1388:AA1429,"*",$AB$1388:AB1429,"*")</f>
        <v>272.00000000000006</v>
      </c>
      <c r="BV1428" s="343">
        <f>SUMIFS($AU$1388:AU1429,$AA$1388:AA1429,"*",$AC$1388:AC1429,"*")</f>
        <v>560.00000000000011</v>
      </c>
      <c r="BW1428" s="343">
        <f>SUMIFS($AU$1388:AU1429,$AB$1388:AB1429,"*",$AC$1388:AC1429,"*")</f>
        <v>272.00000000000006</v>
      </c>
      <c r="BX1428" s="343">
        <f>SUMIFS($AV$1388:AV1429,$Q$1388:Q1429,"F")</f>
        <v>23.314285714285717</v>
      </c>
      <c r="BY1428" s="343">
        <f>SUMIFS($AV$1388:AV1429,$Q$1388:Q1429,"S")</f>
        <v>71.632302565294935</v>
      </c>
      <c r="BZ1428" s="343">
        <f>SUMIFS($AV$1388:AV1429,$Q$1388:Q1429,"O")</f>
        <v>0</v>
      </c>
    </row>
    <row r="1429" spans="1:78" ht="15.75" customHeight="1">
      <c r="A1429" s="177" t="s">
        <v>4824</v>
      </c>
      <c r="B1429" s="200">
        <v>45307</v>
      </c>
      <c r="C1429" s="178" t="s">
        <v>4948</v>
      </c>
      <c r="D1429" s="178" t="s">
        <v>146</v>
      </c>
      <c r="E1429" s="227"/>
      <c r="F1429" s="180"/>
      <c r="G1429" s="489" t="s">
        <v>181</v>
      </c>
      <c r="H1429" s="182"/>
      <c r="I1429" s="182"/>
      <c r="J1429" s="182"/>
      <c r="K1429" s="183"/>
      <c r="L1429" s="182">
        <v>1</v>
      </c>
      <c r="M1429" s="182"/>
      <c r="N1429" s="182"/>
      <c r="O1429" s="183" t="s">
        <v>95</v>
      </c>
      <c r="P1429" s="183" t="s">
        <v>96</v>
      </c>
      <c r="Q1429" s="183" t="s">
        <v>97</v>
      </c>
      <c r="R1429" s="183">
        <v>23</v>
      </c>
      <c r="S1429" s="183">
        <v>14</v>
      </c>
      <c r="T1429" s="183">
        <v>7</v>
      </c>
      <c r="U1429" s="183" t="s">
        <v>97</v>
      </c>
      <c r="V1429" s="183"/>
      <c r="W1429" s="183"/>
      <c r="X1429" s="183"/>
      <c r="Y1429" s="184">
        <f t="shared" si="399"/>
        <v>0.01</v>
      </c>
      <c r="Z1429" s="185">
        <f t="shared" si="400"/>
        <v>1600</v>
      </c>
      <c r="AA1429" s="185" t="s">
        <v>4949</v>
      </c>
      <c r="AB1429" s="185"/>
      <c r="AC1429" s="185"/>
      <c r="AD1429" s="649">
        <f>((-0.12*7)+(-0.09*16))/23</f>
        <v>-9.913043478260869E-2</v>
      </c>
      <c r="AE1429" s="182"/>
      <c r="AF1429" s="332"/>
      <c r="AG1429" s="182"/>
      <c r="AH1429" s="182"/>
      <c r="AI1429" s="182"/>
      <c r="AJ1429" s="640"/>
      <c r="AK1429" s="182"/>
      <c r="AL1429" s="496">
        <f t="shared" ref="AL1429" si="404">-0.03*Z1429</f>
        <v>-48</v>
      </c>
      <c r="AM1429" s="496">
        <f>AL1429*(R1429-S1429)</f>
        <v>-432</v>
      </c>
      <c r="AN1429" s="626"/>
      <c r="AO1429" s="182"/>
      <c r="AP1429" s="182" t="s">
        <v>4950</v>
      </c>
      <c r="AQ1429" s="332" t="s">
        <v>372</v>
      </c>
      <c r="AR1429" s="182" t="s">
        <v>4951</v>
      </c>
      <c r="AS1429" s="189">
        <v>-0.06</v>
      </c>
      <c r="AT1429" s="189">
        <f t="shared" si="401"/>
        <v>-3.9130434782608692E-2</v>
      </c>
      <c r="AU1429" s="187">
        <f t="shared" si="402"/>
        <v>-1439.9999999999998</v>
      </c>
      <c r="AV1429" s="190">
        <f t="shared" si="403"/>
        <v>-62.608695652173907</v>
      </c>
      <c r="AW1429" s="191" t="s">
        <v>229</v>
      </c>
      <c r="AX1429" s="407" t="s">
        <v>4944</v>
      </c>
      <c r="AY1429" s="407" t="s">
        <v>4952</v>
      </c>
      <c r="AZ1429" s="407"/>
      <c r="BA1429" s="407"/>
      <c r="BB1429" s="407"/>
      <c r="BC1429" s="407"/>
      <c r="BD1429" s="407"/>
      <c r="BE1429" s="407"/>
      <c r="BF1429" s="422"/>
      <c r="BG1429" s="391">
        <f>SUM($AV$1389:AV1429)</f>
        <v>94.946588279580652</v>
      </c>
      <c r="BH1429" s="392">
        <f>SUM($AU$1389:AU1429)</f>
        <v>944.00000000000068</v>
      </c>
      <c r="BI1429" s="318">
        <f>SUMIFS($AU$1388:AU1430,$Q$1388:Q1430,"F")</f>
        <v>544</v>
      </c>
      <c r="BJ1429" s="318">
        <f>SUMIFS($AU$1388:AU1430,$Q$1388:Q1430,"S")</f>
        <v>400.00000000000068</v>
      </c>
      <c r="BK1429" s="343">
        <f>SUMIFS($AU$1388:AU1430,$P$1388:P1430,"W")</f>
        <v>400.00000000000068</v>
      </c>
      <c r="BL1429" s="343">
        <f>SUMIFS($AU$1388:AU1430,$P$1388:P1430,"R")</f>
        <v>544</v>
      </c>
      <c r="BM1429" s="343">
        <f>SUMIFS($AU$1388:AU1430,$AQ$1388:AQ1430,"M")</f>
        <v>784.00000000000023</v>
      </c>
      <c r="BN1429" s="343">
        <f>SUMIFS($AU$1388:AU1430,$AQ$1388:AQ1430,"H")</f>
        <v>-224</v>
      </c>
      <c r="BO1429" s="343">
        <f>SUMIFS($AU$1388:AU1430,$AQ$1388:AQ1430,"D")</f>
        <v>224</v>
      </c>
      <c r="BP1429" s="343">
        <f>SUMIFS($AU$1388:AU1432,$AQ$1388:AQ1432,"W")</f>
        <v>256</v>
      </c>
      <c r="BQ1429" s="343">
        <f>SUMIFS($AU$1388:AU1430,$Q$1388:Q1430,"O")</f>
        <v>0</v>
      </c>
      <c r="BR1429" s="343">
        <f>SUMIFS($AU$1388:AU1430,$AA$1388:AA1430,"*")</f>
        <v>1104.0000000000007</v>
      </c>
      <c r="BS1429" s="343">
        <f>SUMIFS($AU$1388:AU1430,$AB$1388:AB1430,"*")</f>
        <v>639.99999999999943</v>
      </c>
      <c r="BT1429" s="343">
        <f>SUMIFS($AU$1388:AU1430,$AC$1388:AC1430,"*")</f>
        <v>224.00000000000011</v>
      </c>
      <c r="BU1429" s="343">
        <f>SUMIFS($AU$1388:AU1430,$AA$1388:AA1430,"*",$AB$1388:AB1430,"*")</f>
        <v>367.9999999999996</v>
      </c>
      <c r="BV1429" s="343">
        <f>SUMIFS($AU$1388:AU1430,$AA$1388:AA1430,"*",$AC$1388:AC1430,"*")</f>
        <v>560.00000000000011</v>
      </c>
      <c r="BW1429" s="343">
        <f>SUMIFS($AU$1388:AU1430,$AB$1388:AB1430,"*",$AC$1388:AC1430,"*")</f>
        <v>272.00000000000006</v>
      </c>
      <c r="BX1429" s="343">
        <f>SUMIFS($AV$1388:AV1430,$Q$1388:Q1430,"F")</f>
        <v>23.314285714285717</v>
      </c>
      <c r="BY1429" s="343">
        <f>SUMIFS($AV$1388:AV1430,$Q$1388:Q1430,"S")</f>
        <v>71.632302565294935</v>
      </c>
      <c r="BZ1429" s="343">
        <f>SUMIFS($AV$1388:AV1430,$Q$1388:Q1430,"O")</f>
        <v>0</v>
      </c>
    </row>
    <row r="1430" spans="1:78" ht="15.75" customHeight="1">
      <c r="A1430" s="177" t="s">
        <v>4824</v>
      </c>
      <c r="B1430" s="200">
        <v>45307</v>
      </c>
      <c r="C1430" s="178" t="s">
        <v>4953</v>
      </c>
      <c r="D1430" s="178" t="s">
        <v>146</v>
      </c>
      <c r="E1430" s="227"/>
      <c r="F1430" s="180"/>
      <c r="G1430" s="281" t="s">
        <v>2545</v>
      </c>
      <c r="H1430" s="182"/>
      <c r="I1430" s="182"/>
      <c r="J1430" s="182"/>
      <c r="K1430" s="183"/>
      <c r="L1430" s="182">
        <v>1</v>
      </c>
      <c r="M1430" s="182">
        <v>1</v>
      </c>
      <c r="N1430" s="182"/>
      <c r="O1430" s="183" t="s">
        <v>2259</v>
      </c>
      <c r="P1430" s="183" t="s">
        <v>2260</v>
      </c>
      <c r="Q1430" s="183"/>
      <c r="R1430" s="183">
        <v>2</v>
      </c>
      <c r="S1430" s="183">
        <v>1</v>
      </c>
      <c r="T1430" s="183">
        <v>1</v>
      </c>
      <c r="U1430" s="183" t="s">
        <v>97</v>
      </c>
      <c r="V1430" s="183"/>
      <c r="W1430" s="183"/>
      <c r="X1430" s="183"/>
      <c r="Y1430" s="184">
        <f t="shared" si="399"/>
        <v>0.01</v>
      </c>
      <c r="Z1430" s="185">
        <f t="shared" si="400"/>
        <v>4800</v>
      </c>
      <c r="AA1430" s="185" t="s">
        <v>4954</v>
      </c>
      <c r="AB1430" s="185" t="s">
        <v>4955</v>
      </c>
      <c r="AC1430" s="185"/>
      <c r="AD1430" s="649">
        <f>(0.475+0.48)/2</f>
        <v>0.47749999999999998</v>
      </c>
      <c r="AE1430" s="182"/>
      <c r="AF1430" s="332"/>
      <c r="AG1430" s="182"/>
      <c r="AH1430" s="182">
        <v>43</v>
      </c>
      <c r="AI1430" s="182"/>
      <c r="AJ1430" s="640"/>
      <c r="AK1430" s="182"/>
      <c r="AL1430" s="496">
        <f>-0.05*Z1430</f>
        <v>-240</v>
      </c>
      <c r="AM1430" s="496">
        <f>AL1430*(R1430-S1430)</f>
        <v>-240</v>
      </c>
      <c r="AN1430" s="626"/>
      <c r="AO1430" s="182"/>
      <c r="AP1430" s="182" t="s">
        <v>4950</v>
      </c>
      <c r="AQ1430" s="332" t="s">
        <v>372</v>
      </c>
      <c r="AR1430" s="182" t="s">
        <v>4956</v>
      </c>
      <c r="AS1430" s="189">
        <f>(0.46+0.475)/2</f>
        <v>0.46750000000000003</v>
      </c>
      <c r="AT1430" s="189">
        <f t="shared" si="401"/>
        <v>9.9999999999999534E-3</v>
      </c>
      <c r="AU1430" s="187">
        <f t="shared" si="402"/>
        <v>95.999999999999545</v>
      </c>
      <c r="AV1430" s="190">
        <f t="shared" si="403"/>
        <v>47.999999999999773</v>
      </c>
      <c r="AW1430" s="191" t="s">
        <v>96</v>
      </c>
      <c r="AX1430" s="407" t="s">
        <v>4957</v>
      </c>
      <c r="AY1430" s="407"/>
      <c r="AZ1430" s="407"/>
      <c r="BA1430" s="407"/>
      <c r="BB1430" s="407"/>
      <c r="BC1430" s="407"/>
      <c r="BD1430" s="407"/>
      <c r="BE1430" s="407"/>
      <c r="BF1430" s="422"/>
      <c r="BG1430" s="391">
        <f>SUM($AV$1389:AV1430)</f>
        <v>142.94658827958042</v>
      </c>
      <c r="BH1430" s="392">
        <f>SUM($AU$1389:AU1430)</f>
        <v>1040.0000000000002</v>
      </c>
      <c r="BI1430" s="318">
        <f>SUMIFS($AU$1388:AU1431,$Q$1388:Q1431,"F")</f>
        <v>544</v>
      </c>
      <c r="BJ1430" s="318">
        <f>SUMIFS($AU$1388:AU1431,$Q$1388:Q1431,"S")</f>
        <v>496.00000000000063</v>
      </c>
      <c r="BK1430" s="343">
        <f>SUMIFS($AU$1388:AU1431,$P$1388:P1431,"W")</f>
        <v>496.00000000000063</v>
      </c>
      <c r="BL1430" s="343">
        <f>SUMIFS($AU$1388:AU1431,$P$1388:P1431,"R")</f>
        <v>544</v>
      </c>
      <c r="BM1430" s="343">
        <f>SUMIFS($AU$1388:AU1431,$AQ$1388:AQ1431,"M")</f>
        <v>784.00000000000023</v>
      </c>
      <c r="BN1430" s="343">
        <f>SUMIFS($AU$1388:AU1431,$AQ$1388:AQ1431,"H")</f>
        <v>-128.00000000000006</v>
      </c>
      <c r="BO1430" s="343">
        <f>SUMIFS($AU$1388:AU1431,$AQ$1388:AQ1431,"D")</f>
        <v>224</v>
      </c>
      <c r="BP1430" s="343">
        <f>SUMIFS($AU$1388:AU1433,$AQ$1388:AQ1433,"W")</f>
        <v>256</v>
      </c>
      <c r="BQ1430" s="343">
        <f>SUMIFS($AU$1388:AU1431,$Q$1388:Q1431,"O")</f>
        <v>0</v>
      </c>
      <c r="BR1430" s="343">
        <f>SUMIFS($AU$1388:AU1431,$AA$1388:AA1431,"*")</f>
        <v>1200.0000000000007</v>
      </c>
      <c r="BS1430" s="343">
        <f>SUMIFS($AU$1388:AU1431,$AB$1388:AB1431,"*")</f>
        <v>639.99999999999943</v>
      </c>
      <c r="BT1430" s="343">
        <f>SUMIFS($AU$1388:AU1431,$AC$1388:AC1431,"*")</f>
        <v>224.00000000000011</v>
      </c>
      <c r="BU1430" s="343">
        <f>SUMIFS($AU$1388:AU1431,$AA$1388:AA1431,"*",$AB$1388:AB1431,"*")</f>
        <v>367.9999999999996</v>
      </c>
      <c r="BV1430" s="343">
        <f>SUMIFS($AU$1388:AU1431,$AA$1388:AA1431,"*",$AC$1388:AC1431,"*")</f>
        <v>560.00000000000011</v>
      </c>
      <c r="BW1430" s="343">
        <f>SUMIFS($AU$1388:AU1431,$AB$1388:AB1431,"*",$AC$1388:AC1431,"*")</f>
        <v>272.00000000000006</v>
      </c>
      <c r="BX1430" s="343">
        <f>SUMIFS($AV$1388:AV1431,$Q$1388:Q1431,"F")</f>
        <v>23.314285714285717</v>
      </c>
      <c r="BY1430" s="343">
        <f>SUMIFS($AV$1388:AV1431,$Q$1388:Q1431,"S")</f>
        <v>87.632302565294935</v>
      </c>
      <c r="BZ1430" s="343">
        <f>SUMIFS($AV$1388:AV1431,$Q$1388:Q1431,"O")</f>
        <v>0</v>
      </c>
    </row>
    <row r="1431" spans="1:78" ht="15.75" customHeight="1">
      <c r="A1431" s="177" t="s">
        <v>4824</v>
      </c>
      <c r="B1431" s="200">
        <v>45307</v>
      </c>
      <c r="C1431" s="178" t="s">
        <v>2235</v>
      </c>
      <c r="D1431" s="178" t="s">
        <v>146</v>
      </c>
      <c r="E1431" s="227"/>
      <c r="F1431" s="180"/>
      <c r="G1431" s="281" t="s">
        <v>2070</v>
      </c>
      <c r="H1431" s="182"/>
      <c r="I1431" s="182"/>
      <c r="J1431" s="182"/>
      <c r="K1431" s="183"/>
      <c r="L1431" s="182">
        <v>1</v>
      </c>
      <c r="M1431" s="182"/>
      <c r="N1431" s="182"/>
      <c r="O1431" s="183" t="s">
        <v>95</v>
      </c>
      <c r="P1431" s="183" t="s">
        <v>96</v>
      </c>
      <c r="Q1431" s="183" t="s">
        <v>97</v>
      </c>
      <c r="R1431" s="183">
        <v>6</v>
      </c>
      <c r="S1431" s="183">
        <v>0</v>
      </c>
      <c r="T1431" s="183">
        <v>1</v>
      </c>
      <c r="U1431" s="183" t="s">
        <v>97</v>
      </c>
      <c r="V1431" s="183"/>
      <c r="W1431" s="183"/>
      <c r="X1431" s="183"/>
      <c r="Y1431" s="184">
        <f t="shared" si="399"/>
        <v>0.01</v>
      </c>
      <c r="Z1431" s="185">
        <f t="shared" si="400"/>
        <v>1600</v>
      </c>
      <c r="AA1431" s="185" t="s">
        <v>4949</v>
      </c>
      <c r="AB1431" s="185"/>
      <c r="AC1431" s="185"/>
      <c r="AD1431" s="649">
        <v>-0.11</v>
      </c>
      <c r="AE1431" s="182"/>
      <c r="AF1431" s="332"/>
      <c r="AG1431" s="182"/>
      <c r="AH1431" s="182"/>
      <c r="AI1431" s="182"/>
      <c r="AJ1431" s="640"/>
      <c r="AK1431" s="182"/>
      <c r="AL1431" s="496"/>
      <c r="AM1431" s="496"/>
      <c r="AN1431" s="626"/>
      <c r="AO1431" s="182"/>
      <c r="AP1431" s="182"/>
      <c r="AQ1431" s="332" t="s">
        <v>372</v>
      </c>
      <c r="AR1431" s="182"/>
      <c r="AS1431" s="189">
        <v>-0.12</v>
      </c>
      <c r="AT1431" s="189">
        <f t="shared" si="401"/>
        <v>9.999999999999995E-3</v>
      </c>
      <c r="AU1431" s="187">
        <f t="shared" si="402"/>
        <v>95.999999999999957</v>
      </c>
      <c r="AV1431" s="190">
        <f t="shared" si="403"/>
        <v>15.999999999999993</v>
      </c>
      <c r="AW1431" s="191" t="s">
        <v>96</v>
      </c>
      <c r="AX1431" s="407"/>
      <c r="AY1431" s="407"/>
      <c r="AZ1431" s="407"/>
      <c r="BA1431" s="407"/>
      <c r="BB1431" s="407"/>
      <c r="BC1431" s="407"/>
      <c r="BD1431" s="407"/>
      <c r="BE1431" s="407"/>
      <c r="BF1431" s="422"/>
      <c r="BG1431" s="391">
        <f>SUM($AV$1389:AV1431)</f>
        <v>158.94658827958042</v>
      </c>
      <c r="BH1431" s="392">
        <f>SUM($AU$1389:AU1431)</f>
        <v>1136.0000000000002</v>
      </c>
      <c r="BI1431" s="318">
        <f>SUMIFS($AU$1388:AU1432,$Q$1388:Q1432,"F")</f>
        <v>544</v>
      </c>
      <c r="BJ1431" s="318">
        <f>SUMIFS($AU$1388:AU1432,$Q$1388:Q1432,"S")</f>
        <v>496.00000000000063</v>
      </c>
      <c r="BK1431" s="343">
        <f>SUMIFS($AU$1388:AU1432,$P$1388:P1432,"W")</f>
        <v>496.00000000000063</v>
      </c>
      <c r="BL1431" s="343">
        <f>SUMIFS($AU$1388:AU1432,$P$1388:P1432,"R")</f>
        <v>544</v>
      </c>
      <c r="BM1431" s="343">
        <f>SUMIFS($AU$1388:AU1432,$AQ$1388:AQ1432,"M")</f>
        <v>784.00000000000023</v>
      </c>
      <c r="BN1431" s="343">
        <f>SUMIFS($AU$1388:AU1432,$AQ$1388:AQ1432,"H")</f>
        <v>-128.00000000000006</v>
      </c>
      <c r="BO1431" s="343">
        <f>SUMIFS($AU$1388:AU1432,$AQ$1388:AQ1432,"D")</f>
        <v>224</v>
      </c>
      <c r="BP1431" s="343">
        <f>SUMIFS($AU$1388:AU1434,$AQ$1388:AQ1434,"W")</f>
        <v>447.99999999999989</v>
      </c>
      <c r="BQ1431" s="343">
        <f>SUMIFS($AU$1388:AU1432,$Q$1388:Q1432,"O")</f>
        <v>0</v>
      </c>
      <c r="BR1431" s="343">
        <f>SUMIFS($AU$1388:AU1432,$AA$1388:AA1432,"*")</f>
        <v>1200.0000000000007</v>
      </c>
      <c r="BS1431" s="343">
        <f>SUMIFS($AU$1388:AU1432,$AB$1388:AB1432,"*")</f>
        <v>639.99999999999943</v>
      </c>
      <c r="BT1431" s="343">
        <f>SUMIFS($AU$1388:AU1432,$AC$1388:AC1432,"*")</f>
        <v>224.00000000000011</v>
      </c>
      <c r="BU1431" s="343">
        <f>SUMIFS($AU$1388:AU1432,$AA$1388:AA1432,"*",$AB$1388:AB1432,"*")</f>
        <v>367.9999999999996</v>
      </c>
      <c r="BV1431" s="343">
        <f>SUMIFS($AU$1388:AU1432,$AA$1388:AA1432,"*",$AC$1388:AC1432,"*")</f>
        <v>560.00000000000011</v>
      </c>
      <c r="BW1431" s="343">
        <f>SUMIFS($AU$1388:AU1432,$AB$1388:AB1432,"*",$AC$1388:AC1432,"*")</f>
        <v>272.00000000000006</v>
      </c>
      <c r="BX1431" s="343">
        <f>SUMIFS($AV$1388:AV1432,$Q$1388:Q1432,"F")</f>
        <v>23.314285714285717</v>
      </c>
      <c r="BY1431" s="343">
        <f>SUMIFS($AV$1388:AV1432,$Q$1388:Q1432,"S")</f>
        <v>87.632302565294935</v>
      </c>
      <c r="BZ1431" s="343">
        <f>SUMIFS($AV$1388:AV1432,$Q$1388:Q1432,"O")</f>
        <v>0</v>
      </c>
    </row>
    <row r="1432" spans="1:78" ht="15.75" customHeight="1">
      <c r="A1432" s="177" t="s">
        <v>4824</v>
      </c>
      <c r="B1432" s="200">
        <v>45307</v>
      </c>
      <c r="C1432" s="178" t="s">
        <v>4958</v>
      </c>
      <c r="D1432" s="178" t="s">
        <v>146</v>
      </c>
      <c r="E1432" s="227"/>
      <c r="F1432" s="180"/>
      <c r="G1432" s="281" t="s">
        <v>3334</v>
      </c>
      <c r="H1432" s="182"/>
      <c r="I1432" s="182"/>
      <c r="J1432" s="182"/>
      <c r="K1432" s="183"/>
      <c r="L1432" s="182">
        <v>1</v>
      </c>
      <c r="M1432" s="182"/>
      <c r="N1432" s="182"/>
      <c r="O1432" s="183" t="s">
        <v>95</v>
      </c>
      <c r="P1432" s="183" t="s">
        <v>96</v>
      </c>
      <c r="Q1432" s="183" t="s">
        <v>97</v>
      </c>
      <c r="R1432" s="183">
        <v>5</v>
      </c>
      <c r="S1432" s="183">
        <v>0</v>
      </c>
      <c r="T1432" s="183">
        <v>5</v>
      </c>
      <c r="U1432" s="183" t="s">
        <v>22</v>
      </c>
      <c r="V1432" s="183"/>
      <c r="W1432" s="183"/>
      <c r="X1432" s="183"/>
      <c r="Y1432" s="184">
        <f t="shared" si="399"/>
        <v>0.01</v>
      </c>
      <c r="Z1432" s="185">
        <f t="shared" si="400"/>
        <v>1600</v>
      </c>
      <c r="AA1432" s="185" t="s">
        <v>4949</v>
      </c>
      <c r="AB1432" s="185"/>
      <c r="AC1432" s="185" t="s">
        <v>4959</v>
      </c>
      <c r="AD1432" s="649">
        <v>-0.05</v>
      </c>
      <c r="AE1432" s="182"/>
      <c r="AF1432" s="332"/>
      <c r="AG1432" s="182"/>
      <c r="AH1432" s="182"/>
      <c r="AI1432" s="182"/>
      <c r="AJ1432" s="640"/>
      <c r="AK1432" s="182"/>
      <c r="AL1432" s="496">
        <f>-0.025*Z1432</f>
        <v>-40</v>
      </c>
      <c r="AM1432" s="496">
        <f>AL1432*(R1432-S1432)</f>
        <v>-200</v>
      </c>
      <c r="AN1432" s="626"/>
      <c r="AO1432" s="182"/>
      <c r="AP1432" s="182" t="s">
        <v>770</v>
      </c>
      <c r="AQ1432" s="332" t="s">
        <v>115</v>
      </c>
      <c r="AR1432" s="182" t="s">
        <v>4960</v>
      </c>
      <c r="AS1432" s="189">
        <v>-0.05</v>
      </c>
      <c r="AT1432" s="189">
        <f t="shared" si="401"/>
        <v>0</v>
      </c>
      <c r="AU1432" s="187">
        <f t="shared" si="402"/>
        <v>0</v>
      </c>
      <c r="AV1432" s="190">
        <f t="shared" si="403"/>
        <v>0</v>
      </c>
      <c r="AW1432" s="191" t="s">
        <v>115</v>
      </c>
      <c r="AX1432" s="407"/>
      <c r="AY1432" s="407"/>
      <c r="AZ1432" s="407"/>
      <c r="BA1432" s="407"/>
      <c r="BB1432" s="407"/>
      <c r="BC1432" s="407"/>
      <c r="BD1432" s="407"/>
      <c r="BE1432" s="407"/>
      <c r="BF1432" s="422"/>
      <c r="BG1432" s="391">
        <f>SUM($AV$1389:AV1432)</f>
        <v>158.94658827958042</v>
      </c>
      <c r="BH1432" s="392">
        <f>SUM($AU$1389:AU1432)</f>
        <v>1136.0000000000002</v>
      </c>
      <c r="BI1432" s="318">
        <f>SUMIFS($AU$1388:AU1433,$Q$1388:Q1433,"F")</f>
        <v>544</v>
      </c>
      <c r="BJ1432" s="318">
        <f>SUMIFS($AU$1388:AU1433,$Q$1388:Q1433,"S")</f>
        <v>496.00000000000063</v>
      </c>
      <c r="BK1432" s="343">
        <f>SUMIFS($AU$1388:AU1433,$P$1388:P1433,"W")</f>
        <v>496.00000000000063</v>
      </c>
      <c r="BL1432" s="343">
        <f>SUMIFS($AU$1388:AU1433,$P$1388:P1433,"R")</f>
        <v>544</v>
      </c>
      <c r="BM1432" s="343">
        <f>SUMIFS($AU$1388:AU1433,$AQ$1388:AQ1433,"M")</f>
        <v>784.00000000000023</v>
      </c>
      <c r="BN1432" s="343">
        <f>SUMIFS($AU$1388:AU1433,$AQ$1388:AQ1433,"H")</f>
        <v>-128.00000000000006</v>
      </c>
      <c r="BO1432" s="343">
        <f>SUMIFS($AU$1388:AU1433,$AQ$1388:AQ1433,"D")</f>
        <v>224</v>
      </c>
      <c r="BP1432" s="343">
        <f>SUMIFS($AU$1388:AU1435,$AQ$1388:AQ1435,"W")</f>
        <v>447.99999999999989</v>
      </c>
      <c r="BQ1432" s="343">
        <f>SUMIFS($AU$1388:AU1433,$Q$1388:Q1433,"O")</f>
        <v>0</v>
      </c>
      <c r="BR1432" s="343">
        <f>SUMIFS($AU$1388:AU1433,$AA$1388:AA1433,"*")</f>
        <v>1200.0000000000007</v>
      </c>
      <c r="BS1432" s="343">
        <f>SUMIFS($AU$1388:AU1433,$AB$1388:AB1433,"*")</f>
        <v>639.99999999999943</v>
      </c>
      <c r="BT1432" s="343">
        <f>SUMIFS($AU$1388:AU1433,$AC$1388:AC1433,"*")</f>
        <v>224.00000000000011</v>
      </c>
      <c r="BU1432" s="343">
        <f>SUMIFS($AU$1388:AU1433,$AA$1388:AA1433,"*",$AB$1388:AB1433,"*")</f>
        <v>367.9999999999996</v>
      </c>
      <c r="BV1432" s="343">
        <f>SUMIFS($AU$1388:AU1433,$AA$1388:AA1433,"*",$AC$1388:AC1433,"*")</f>
        <v>560.00000000000011</v>
      </c>
      <c r="BW1432" s="343">
        <f>SUMIFS($AU$1388:AU1433,$AB$1388:AB1433,"*",$AC$1388:AC1433,"*")</f>
        <v>272.00000000000006</v>
      </c>
      <c r="BX1432" s="343">
        <f>SUMIFS($AV$1388:AV1433,$Q$1388:Q1433,"F")</f>
        <v>23.314285714285717</v>
      </c>
      <c r="BY1432" s="343">
        <f>SUMIFS($AV$1388:AV1433,$Q$1388:Q1433,"S")</f>
        <v>87.632302565294935</v>
      </c>
      <c r="BZ1432" s="343">
        <f>SUMIFS($AV$1388:AV1433,$Q$1388:Q1433,"O")</f>
        <v>0</v>
      </c>
    </row>
    <row r="1433" spans="1:78" ht="15.75" customHeight="1">
      <c r="A1433" s="177" t="s">
        <v>4824</v>
      </c>
      <c r="B1433" s="200">
        <v>45307</v>
      </c>
      <c r="C1433" s="178" t="s">
        <v>4961</v>
      </c>
      <c r="D1433" s="178" t="s">
        <v>146</v>
      </c>
      <c r="E1433" s="227"/>
      <c r="F1433" s="180"/>
      <c r="G1433" s="489" t="s">
        <v>181</v>
      </c>
      <c r="H1433" s="182"/>
      <c r="I1433" s="182"/>
      <c r="J1433" s="182"/>
      <c r="K1433" s="183"/>
      <c r="L1433" s="182">
        <v>1</v>
      </c>
      <c r="M1433" s="182"/>
      <c r="N1433" s="182"/>
      <c r="O1433" s="183" t="s">
        <v>95</v>
      </c>
      <c r="P1433" s="183" t="s">
        <v>96</v>
      </c>
      <c r="Q1433" s="183" t="s">
        <v>97</v>
      </c>
      <c r="R1433" s="183">
        <v>32</v>
      </c>
      <c r="S1433" s="183">
        <v>10</v>
      </c>
      <c r="T1433" s="183">
        <v>22</v>
      </c>
      <c r="U1433" s="183" t="s">
        <v>97</v>
      </c>
      <c r="V1433" s="183"/>
      <c r="W1433" s="183"/>
      <c r="X1433" s="183"/>
      <c r="Y1433" s="184">
        <f t="shared" si="399"/>
        <v>0.01</v>
      </c>
      <c r="Z1433" s="185">
        <f t="shared" si="400"/>
        <v>1600</v>
      </c>
      <c r="AA1433" s="185" t="s">
        <v>4962</v>
      </c>
      <c r="AB1433" s="185"/>
      <c r="AC1433" s="185"/>
      <c r="AD1433" s="649">
        <f>((-0.06*22)+(-0.07*10))/32</f>
        <v>-6.3125000000000001E-2</v>
      </c>
      <c r="AE1433" s="182"/>
      <c r="AF1433" s="332"/>
      <c r="AG1433" s="182"/>
      <c r="AH1433" s="182"/>
      <c r="AI1433" s="182"/>
      <c r="AJ1433" s="640"/>
      <c r="AK1433" s="182"/>
      <c r="AL1433" s="496">
        <f>-0.03*Z1433</f>
        <v>-48</v>
      </c>
      <c r="AM1433" s="496">
        <f>AL1433*(R1433-S1433)</f>
        <v>-1056</v>
      </c>
      <c r="AN1433" s="626"/>
      <c r="AO1433" s="182"/>
      <c r="AP1433" s="182" t="s">
        <v>1897</v>
      </c>
      <c r="AQ1433" s="332" t="str">
        <f>UPPER(RIGHT(Journal_Live[[#This Row],[DURATION ]]))</f>
        <v>H</v>
      </c>
      <c r="AR1433" s="182" t="s">
        <v>4963</v>
      </c>
      <c r="AS1433" s="189">
        <f>((-0.07*10)+(-0.06*22))/32</f>
        <v>-6.3125000000000001E-2</v>
      </c>
      <c r="AT1433" s="189">
        <f t="shared" si="401"/>
        <v>0</v>
      </c>
      <c r="AU1433" s="187">
        <f t="shared" si="402"/>
        <v>0</v>
      </c>
      <c r="AV1433" s="190">
        <f t="shared" si="403"/>
        <v>0</v>
      </c>
      <c r="AW1433" s="191" t="s">
        <v>115</v>
      </c>
      <c r="AX1433" s="407" t="s">
        <v>4964</v>
      </c>
      <c r="AY1433" s="409" t="s">
        <v>4965</v>
      </c>
      <c r="AZ1433" s="407" t="s">
        <v>4966</v>
      </c>
      <c r="BA1433" s="407" t="s">
        <v>4967</v>
      </c>
      <c r="BB1433" s="407" t="s">
        <v>4968</v>
      </c>
      <c r="BC1433" s="407"/>
      <c r="BD1433" s="407"/>
      <c r="BE1433" s="407"/>
      <c r="BF1433" s="422"/>
      <c r="BG1433" s="391">
        <f>SUM($AV$1389:AV1433)</f>
        <v>158.94658827958042</v>
      </c>
      <c r="BH1433" s="392">
        <f>SUM($AU$1389:AU1433)</f>
        <v>1136.0000000000002</v>
      </c>
      <c r="BI1433" s="318">
        <f>SUMIFS($AU$1388:AU1434,$Q$1388:Q1434,"F")</f>
        <v>735.99999999999989</v>
      </c>
      <c r="BJ1433" s="318">
        <f>SUMIFS($AU$1388:AU1434,$Q$1388:Q1434,"S")</f>
        <v>496.00000000000063</v>
      </c>
      <c r="BK1433" s="343">
        <f>SUMIFS($AU$1388:AU1434,$P$1388:P1434,"W")</f>
        <v>688.00000000000045</v>
      </c>
      <c r="BL1433" s="343">
        <f>SUMIFS($AU$1388:AU1434,$P$1388:P1434,"R")</f>
        <v>544</v>
      </c>
      <c r="BM1433" s="343">
        <f>SUMIFS($AU$1388:AU1434,$AQ$1388:AQ1434,"M")</f>
        <v>784.00000000000023</v>
      </c>
      <c r="BN1433" s="343">
        <f>SUMIFS($AU$1388:AU1434,$AQ$1388:AQ1434,"H")</f>
        <v>-128.00000000000006</v>
      </c>
      <c r="BO1433" s="343">
        <f>SUMIFS($AU$1388:AU1434,$AQ$1388:AQ1434,"D")</f>
        <v>224</v>
      </c>
      <c r="BP1433" s="343">
        <f>SUMIFS($AU$1388:AU1436,$AQ$1388:AQ1436,"W")</f>
        <v>1062.3999999999999</v>
      </c>
      <c r="BQ1433" s="343">
        <f>SUMIFS($AU$1388:AU1434,$Q$1388:Q1434,"O")</f>
        <v>0</v>
      </c>
      <c r="BR1433" s="343">
        <f>SUMIFS($AU$1388:AU1434,$AA$1388:AA1434,"*")</f>
        <v>1200.0000000000007</v>
      </c>
      <c r="BS1433" s="343">
        <f>SUMIFS($AU$1388:AU1434,$AB$1388:AB1434,"*")</f>
        <v>639.99999999999943</v>
      </c>
      <c r="BT1433" s="343">
        <f>SUMIFS($AU$1388:AU1434,$AC$1388:AC1434,"*")</f>
        <v>416</v>
      </c>
      <c r="BU1433" s="343">
        <f>SUMIFS($AU$1388:AU1434,$AA$1388:AA1434,"*",$AB$1388:AB1434,"*")</f>
        <v>367.9999999999996</v>
      </c>
      <c r="BV1433" s="343">
        <f>SUMIFS($AU$1388:AU1434,$AA$1388:AA1434,"*",$AC$1388:AC1434,"*")</f>
        <v>560.00000000000011</v>
      </c>
      <c r="BW1433" s="343">
        <f>SUMIFS($AU$1388:AU1434,$AB$1388:AB1434,"*",$AC$1388:AC1434,"*")</f>
        <v>272.00000000000006</v>
      </c>
      <c r="BX1433" s="343">
        <f>SUMIFS($AV$1388:AV1434,$Q$1388:Q1434,"F")</f>
        <v>29.714285714285712</v>
      </c>
      <c r="BY1433" s="343">
        <f>SUMIFS($AV$1388:AV1434,$Q$1388:Q1434,"S")</f>
        <v>87.632302565294935</v>
      </c>
      <c r="BZ1433" s="343">
        <f>SUMIFS($AV$1388:AV1434,$Q$1388:Q1434,"O")</f>
        <v>0</v>
      </c>
    </row>
    <row r="1434" spans="1:78" ht="15.75" customHeight="1">
      <c r="A1434" s="177" t="s">
        <v>4824</v>
      </c>
      <c r="B1434" s="200">
        <v>45307</v>
      </c>
      <c r="C1434" s="178" t="s">
        <v>1341</v>
      </c>
      <c r="D1434" s="178" t="s">
        <v>146</v>
      </c>
      <c r="E1434" s="227"/>
      <c r="F1434" s="180"/>
      <c r="G1434" s="281" t="s">
        <v>2568</v>
      </c>
      <c r="H1434" s="182"/>
      <c r="I1434" s="182"/>
      <c r="J1434" s="182"/>
      <c r="K1434" s="183"/>
      <c r="L1434" s="182">
        <v>1</v>
      </c>
      <c r="M1434" s="182"/>
      <c r="N1434" s="182"/>
      <c r="O1434" s="183" t="s">
        <v>95</v>
      </c>
      <c r="P1434" s="183" t="s">
        <v>96</v>
      </c>
      <c r="Q1434" s="183" t="s">
        <v>256</v>
      </c>
      <c r="R1434" s="183">
        <v>30</v>
      </c>
      <c r="S1434" s="183">
        <v>24</v>
      </c>
      <c r="T1434" s="183">
        <v>10</v>
      </c>
      <c r="U1434" s="183" t="s">
        <v>97</v>
      </c>
      <c r="V1434" s="183"/>
      <c r="W1434" s="183"/>
      <c r="X1434" s="183"/>
      <c r="Y1434" s="184">
        <f t="shared" si="399"/>
        <v>0.01</v>
      </c>
      <c r="Z1434" s="185">
        <f t="shared" si="400"/>
        <v>1600</v>
      </c>
      <c r="AA1434" s="185"/>
      <c r="AB1434" s="185"/>
      <c r="AC1434" s="185" t="s">
        <v>4969</v>
      </c>
      <c r="AD1434" s="649">
        <v>5.3999999999999999E-2</v>
      </c>
      <c r="AE1434" s="182"/>
      <c r="AF1434" s="332"/>
      <c r="AG1434" s="182"/>
      <c r="AH1434" s="182"/>
      <c r="AI1434" s="182"/>
      <c r="AJ1434" s="640"/>
      <c r="AK1434" s="182"/>
      <c r="AL1434" s="496">
        <f>-0.04*Z1434</f>
        <v>-64</v>
      </c>
      <c r="AM1434" s="496">
        <f>AL1434*(R1434-S1434)</f>
        <v>-384</v>
      </c>
      <c r="AN1434" s="626"/>
      <c r="AO1434" s="182"/>
      <c r="AP1434" s="182" t="s">
        <v>925</v>
      </c>
      <c r="AQ1434" s="332" t="s">
        <v>96</v>
      </c>
      <c r="AR1434" s="182" t="s">
        <v>4970</v>
      </c>
      <c r="AS1434" s="189">
        <f>((0.05*21+0.05*9))/30</f>
        <v>0.05</v>
      </c>
      <c r="AT1434" s="189">
        <f t="shared" si="401"/>
        <v>3.9999999999999966E-3</v>
      </c>
      <c r="AU1434" s="187">
        <f t="shared" si="402"/>
        <v>191.99999999999986</v>
      </c>
      <c r="AV1434" s="190">
        <f t="shared" si="403"/>
        <v>6.399999999999995</v>
      </c>
      <c r="AW1434" s="191" t="s">
        <v>96</v>
      </c>
      <c r="AX1434" s="407" t="s">
        <v>4971</v>
      </c>
      <c r="AY1434" s="407" t="s">
        <v>4972</v>
      </c>
      <c r="AZ1434" s="407" t="s">
        <v>4973</v>
      </c>
      <c r="BA1434" s="407" t="s">
        <v>4974</v>
      </c>
      <c r="BB1434" s="407"/>
      <c r="BC1434" s="407"/>
      <c r="BD1434" s="407"/>
      <c r="BE1434" s="407"/>
      <c r="BF1434" s="422"/>
      <c r="BG1434" s="391">
        <f>SUM($AV$1389:AV1434)</f>
        <v>165.34658827958043</v>
      </c>
      <c r="BH1434" s="392">
        <f>SUM($AU$1389:AU1434)</f>
        <v>1328</v>
      </c>
      <c r="BI1434" s="318">
        <f>SUMIFS($AU$1388:AU1435,$Q$1388:Q1435,"F")</f>
        <v>735.99999999999989</v>
      </c>
      <c r="BJ1434" s="318">
        <f>SUMIFS($AU$1388:AU1435,$Q$1388:Q1435,"S")</f>
        <v>496.00000000000063</v>
      </c>
      <c r="BK1434" s="343">
        <f>SUMIFS($AU$1388:AU1435,$P$1388:P1435,"W")</f>
        <v>688.00000000000045</v>
      </c>
      <c r="BL1434" s="343">
        <f>SUMIFS($AU$1388:AU1435,$P$1388:P1435,"R")</f>
        <v>544</v>
      </c>
      <c r="BM1434" s="343">
        <f>SUMIFS($AU$1388:AU1435,$AQ$1388:AQ1435,"M")</f>
        <v>784.00000000000023</v>
      </c>
      <c r="BN1434" s="343">
        <f>SUMIFS($AU$1388:AU1435,$AQ$1388:AQ1435,"H")</f>
        <v>-128.00000000000006</v>
      </c>
      <c r="BO1434" s="343">
        <f>SUMIFS($AU$1388:AU1435,$AQ$1388:AQ1435,"D")</f>
        <v>224</v>
      </c>
      <c r="BP1434" s="343">
        <f>SUMIFS($AU$1388:AU1437,$AQ$1388:AQ1437,"W")</f>
        <v>1062.3999999999999</v>
      </c>
      <c r="BQ1434" s="343">
        <f>SUMIFS($AU$1388:AU1435,$Q$1388:Q1435,"O")</f>
        <v>0</v>
      </c>
      <c r="BR1434" s="343">
        <f>SUMIFS($AU$1388:AU1435,$AA$1388:AA1435,"*")</f>
        <v>1200.0000000000007</v>
      </c>
      <c r="BS1434" s="343">
        <f>SUMIFS($AU$1388:AU1435,$AB$1388:AB1435,"*")</f>
        <v>639.99999999999943</v>
      </c>
      <c r="BT1434" s="343">
        <f>SUMIFS($AU$1388:AU1435,$AC$1388:AC1435,"*")</f>
        <v>416</v>
      </c>
      <c r="BU1434" s="343">
        <f>SUMIFS($AU$1388:AU1435,$AA$1388:AA1435,"*",$AB$1388:AB1435,"*")</f>
        <v>367.9999999999996</v>
      </c>
      <c r="BV1434" s="343">
        <f>SUMIFS($AU$1388:AU1435,$AA$1388:AA1435,"*",$AC$1388:AC1435,"*")</f>
        <v>560.00000000000011</v>
      </c>
      <c r="BW1434" s="343">
        <f>SUMIFS($AU$1388:AU1435,$AB$1388:AB1435,"*",$AC$1388:AC1435,"*")</f>
        <v>272.00000000000006</v>
      </c>
      <c r="BX1434" s="343">
        <f>SUMIFS($AV$1388:AV1435,$Q$1388:Q1435,"F")</f>
        <v>29.714285714285712</v>
      </c>
      <c r="BY1434" s="343">
        <f>SUMIFS($AV$1388:AV1435,$Q$1388:Q1435,"S")</f>
        <v>87.632302565294935</v>
      </c>
      <c r="BZ1434" s="343">
        <f>SUMIFS($AV$1388:AV1435,$Q$1388:Q1435,"O")</f>
        <v>0</v>
      </c>
    </row>
    <row r="1435" spans="1:78" ht="15.75" customHeight="1">
      <c r="A1435" s="177" t="s">
        <v>4824</v>
      </c>
      <c r="B1435" s="200">
        <v>45307</v>
      </c>
      <c r="C1435" s="178" t="s">
        <v>1341</v>
      </c>
      <c r="D1435" s="178" t="s">
        <v>146</v>
      </c>
      <c r="E1435" s="227"/>
      <c r="F1435" s="180"/>
      <c r="G1435" s="181" t="s">
        <v>2942</v>
      </c>
      <c r="H1435" s="182"/>
      <c r="I1435" s="182"/>
      <c r="J1435" s="182"/>
      <c r="K1435" s="183"/>
      <c r="L1435" s="182"/>
      <c r="M1435" s="182"/>
      <c r="N1435" s="182"/>
      <c r="O1435" s="183"/>
      <c r="P1435" s="183"/>
      <c r="Q1435" s="183"/>
      <c r="R1435" s="183"/>
      <c r="S1435" s="183"/>
      <c r="T1435" s="183"/>
      <c r="U1435" s="183"/>
      <c r="V1435" s="183"/>
      <c r="W1435" s="183"/>
      <c r="X1435" s="183"/>
      <c r="Y1435" s="184"/>
      <c r="Z1435" s="185"/>
      <c r="AA1435" s="185"/>
      <c r="AB1435" s="185"/>
      <c r="AC1435" s="185"/>
      <c r="AD1435" s="649"/>
      <c r="AE1435" s="182"/>
      <c r="AF1435" s="332"/>
      <c r="AG1435" s="182"/>
      <c r="AH1435" s="182"/>
      <c r="AI1435" s="182"/>
      <c r="AJ1435" s="640"/>
      <c r="AK1435" s="182"/>
      <c r="AL1435" s="496">
        <f>-0.02*Z1435</f>
        <v>0</v>
      </c>
      <c r="AM1435" s="496">
        <f>AL1435*(R1435-S1435)</f>
        <v>0</v>
      </c>
      <c r="AN1435" s="626"/>
      <c r="AO1435" s="182"/>
      <c r="AP1435" s="182"/>
      <c r="AQ1435" s="332" t="str">
        <f>UPPER(RIGHT(Journal_Live[[#This Row],[DURATION ]]))</f>
        <v/>
      </c>
      <c r="AR1435" s="182"/>
      <c r="AS1435" s="189"/>
      <c r="AT1435" s="189"/>
      <c r="AU1435" s="187"/>
      <c r="AV1435" s="190"/>
      <c r="AW1435" s="191"/>
      <c r="AX1435" s="407" t="s">
        <v>4975</v>
      </c>
      <c r="AY1435" s="407"/>
      <c r="AZ1435" s="407"/>
      <c r="BA1435" s="407"/>
      <c r="BB1435" s="407"/>
      <c r="BC1435" s="407"/>
      <c r="BD1435" s="407"/>
      <c r="BE1435" s="407"/>
      <c r="BF1435" s="422"/>
      <c r="BG1435" s="391">
        <f>SUM($AV$1389:AV1435)</f>
        <v>165.34658827958043</v>
      </c>
      <c r="BH1435" s="392">
        <f>SUM($AU$1389:AU1435)</f>
        <v>1328</v>
      </c>
      <c r="BI1435" s="318">
        <f>SUMIFS($AU$1388:AU1436,$Q$1388:Q1436,"F")</f>
        <v>1350.3999999999999</v>
      </c>
      <c r="BJ1435" s="318">
        <f>SUMIFS($AU$1388:AU1436,$Q$1388:Q1436,"S")</f>
        <v>496.00000000000063</v>
      </c>
      <c r="BK1435" s="343">
        <f>SUMIFS($AU$1388:AU1436,$P$1388:P1436,"W")</f>
        <v>1302.4000000000005</v>
      </c>
      <c r="BL1435" s="343">
        <f>SUMIFS($AU$1388:AU1436,$P$1388:P1436,"R")</f>
        <v>544</v>
      </c>
      <c r="BM1435" s="343">
        <f>SUMIFS($AU$1388:AU1436,$AQ$1388:AQ1436,"M")</f>
        <v>784.00000000000023</v>
      </c>
      <c r="BN1435" s="343">
        <f>SUMIFS($AU$1388:AU1436,$AQ$1388:AQ1436,"H")</f>
        <v>-128.00000000000006</v>
      </c>
      <c r="BO1435" s="343">
        <f>SUMIFS($AU$1388:AU1436,$AQ$1388:AQ1436,"D")</f>
        <v>224</v>
      </c>
      <c r="BP1435" s="343">
        <f>SUMIFS($AU$1388:AU1438,$AQ$1388:AQ1438,"W")</f>
        <v>1062.3999999999999</v>
      </c>
      <c r="BQ1435" s="343">
        <f>SUMIFS($AU$1388:AU1436,$Q$1388:Q1436,"O")</f>
        <v>0</v>
      </c>
      <c r="BR1435" s="343">
        <f>SUMIFS($AU$1388:AU1436,$AA$1388:AA1436,"*")</f>
        <v>1814.4000000000005</v>
      </c>
      <c r="BS1435" s="343">
        <f>SUMIFS($AU$1388:AU1436,$AB$1388:AB1436,"*")</f>
        <v>639.99999999999943</v>
      </c>
      <c r="BT1435" s="343">
        <f>SUMIFS($AU$1388:AU1436,$AC$1388:AC1436,"*")</f>
        <v>1030.4000000000001</v>
      </c>
      <c r="BU1435" s="343">
        <f>SUMIFS($AU$1388:AU1436,$AA$1388:AA1436,"*",$AB$1388:AB1436,"*")</f>
        <v>367.9999999999996</v>
      </c>
      <c r="BV1435" s="343">
        <f>SUMIFS($AU$1388:AU1436,$AA$1388:AA1436,"*",$AC$1388:AC1436,"*")</f>
        <v>1174.4000000000001</v>
      </c>
      <c r="BW1435" s="343">
        <f>SUMIFS($AU$1388:AU1436,$AB$1388:AB1436,"*",$AC$1388:AC1436,"*")</f>
        <v>272.00000000000006</v>
      </c>
      <c r="BX1435" s="343">
        <f>SUMIFS($AV$1388:AV1436,$Q$1388:Q1436,"F")</f>
        <v>68.114285714285714</v>
      </c>
      <c r="BY1435" s="343">
        <f>SUMIFS($AV$1388:AV1436,$Q$1388:Q1436,"S")</f>
        <v>87.632302565294935</v>
      </c>
      <c r="BZ1435" s="343">
        <f>SUMIFS($AV$1388:AV1436,$Q$1388:Q1436,"O")</f>
        <v>0</v>
      </c>
    </row>
    <row r="1436" spans="1:78" ht="15.75" customHeight="1">
      <c r="A1436" s="177" t="s">
        <v>4824</v>
      </c>
      <c r="B1436" s="200">
        <v>45307</v>
      </c>
      <c r="C1436" s="178"/>
      <c r="D1436" s="178"/>
      <c r="E1436" s="227"/>
      <c r="F1436" s="180"/>
      <c r="G1436" s="484" t="s">
        <v>4661</v>
      </c>
      <c r="H1436" s="182"/>
      <c r="I1436" s="182"/>
      <c r="J1436" s="182"/>
      <c r="K1436" s="183"/>
      <c r="L1436" s="182">
        <v>1</v>
      </c>
      <c r="M1436" s="182"/>
      <c r="N1436" s="182"/>
      <c r="O1436" s="183" t="s">
        <v>95</v>
      </c>
      <c r="P1436" s="183" t="s">
        <v>96</v>
      </c>
      <c r="Q1436" s="183" t="s">
        <v>256</v>
      </c>
      <c r="R1436" s="183">
        <v>16</v>
      </c>
      <c r="S1436" s="183">
        <v>7</v>
      </c>
      <c r="T1436" s="183">
        <v>5</v>
      </c>
      <c r="U1436" s="183" t="s">
        <v>97</v>
      </c>
      <c r="V1436" s="183"/>
      <c r="W1436" s="183"/>
      <c r="X1436" s="183"/>
      <c r="Y1436" s="184">
        <f>IF(ISBLANK(O1436),"",(IF(O1436=UPPER("IB"),0.005,0.01)))</f>
        <v>0.01</v>
      </c>
      <c r="Z1436" s="185">
        <f>IF(ISBLANK(O1436),"",IF(O1436="IB",8.63*200,IF(O1436="IR",16*100,IF(O1436="YT",20*100,IF(O1436="YT-XT",24*200,IF(O1436="TED",80*100))))))</f>
        <v>1600</v>
      </c>
      <c r="AA1436" s="185" t="s">
        <v>4976</v>
      </c>
      <c r="AB1436" s="185"/>
      <c r="AC1436" s="185" t="s">
        <v>4977</v>
      </c>
      <c r="AD1436" s="649">
        <v>4.3999999999999997E-2</v>
      </c>
      <c r="AE1436" s="182"/>
      <c r="AF1436" s="332"/>
      <c r="AG1436" s="182"/>
      <c r="AH1436" s="182"/>
      <c r="AI1436" s="182"/>
      <c r="AJ1436" s="640"/>
      <c r="AK1436" s="182"/>
      <c r="AL1436" s="496">
        <f>-0.03*Z1436</f>
        <v>-48</v>
      </c>
      <c r="AM1436" s="496">
        <f>AL1436*(R1436-S1436)</f>
        <v>-432</v>
      </c>
      <c r="AN1436" s="626" t="s">
        <v>4978</v>
      </c>
      <c r="AO1436" s="182"/>
      <c r="AP1436" s="182" t="s">
        <v>925</v>
      </c>
      <c r="AQ1436" s="332" t="s">
        <v>96</v>
      </c>
      <c r="AR1436" s="298">
        <v>45314</v>
      </c>
      <c r="AS1436" s="189">
        <v>0.02</v>
      </c>
      <c r="AT1436" s="189">
        <f>IF(ISBLANK(AS1436),,IF(U1436="S",AD1436-AS1436,AS1436-AD1436))</f>
        <v>2.3999999999999997E-2</v>
      </c>
      <c r="AU1436" s="187">
        <f>AV1436*R1436</f>
        <v>614.4</v>
      </c>
      <c r="AV1436" s="190">
        <f>IF(ISBLANK(AS1436),,(AT1436*Z1436))</f>
        <v>38.4</v>
      </c>
      <c r="AW1436" s="191" t="s">
        <v>96</v>
      </c>
      <c r="AX1436" s="409" t="s">
        <v>4979</v>
      </c>
      <c r="AY1436" s="409" t="s">
        <v>4980</v>
      </c>
      <c r="AZ1436" s="407" t="s">
        <v>4981</v>
      </c>
      <c r="BA1436" s="407" t="s">
        <v>4982</v>
      </c>
      <c r="BB1436" s="409" t="s">
        <v>4983</v>
      </c>
      <c r="BC1436" s="407"/>
      <c r="BD1436" s="407"/>
      <c r="BE1436" s="407"/>
      <c r="BF1436" s="422"/>
      <c r="BG1436" s="391">
        <f>SUM($AV$1389:AV1436)</f>
        <v>203.74658827958044</v>
      </c>
      <c r="BH1436" s="392">
        <f>SUM($AU$1389:AU1436)</f>
        <v>1942.4</v>
      </c>
      <c r="BI1436" s="318">
        <f>SUMIFS($AU$1388:AU1437,$Q$1388:Q1437,"F")</f>
        <v>1350.3999999999999</v>
      </c>
      <c r="BJ1436" s="318">
        <f>SUMIFS($AU$1388:AU1437,$Q$1388:Q1437,"S")</f>
        <v>496.00000000000063</v>
      </c>
      <c r="BK1436" s="343">
        <f>SUMIFS($AU$1388:AU1437,$P$1388:P1437,"W")</f>
        <v>1302.4000000000005</v>
      </c>
      <c r="BL1436" s="343">
        <f>SUMIFS($AU$1388:AU1437,$P$1388:P1437,"R")</f>
        <v>544</v>
      </c>
      <c r="BM1436" s="343">
        <f>SUMIFS($AU$1388:AU1437,$AQ$1388:AQ1437,"M")</f>
        <v>784.00000000000023</v>
      </c>
      <c r="BN1436" s="343">
        <f>SUMIFS($AU$1388:AU1437,$AQ$1388:AQ1437,"H")</f>
        <v>-128.00000000000006</v>
      </c>
      <c r="BO1436" s="343">
        <f>SUMIFS($AU$1388:AU1437,$AQ$1388:AQ1437,"D")</f>
        <v>224</v>
      </c>
      <c r="BP1436" s="343">
        <f>SUMIFS($AU$1388:AU1439,$AQ$1388:AQ1439,"W")</f>
        <v>1062.3999999999999</v>
      </c>
      <c r="BQ1436" s="343">
        <f>SUMIFS($AU$1388:AU1437,$Q$1388:Q1437,"O")</f>
        <v>0</v>
      </c>
      <c r="BR1436" s="343">
        <f>SUMIFS($AU$1388:AU1437,$AA$1388:AA1437,"*")</f>
        <v>1814.4000000000005</v>
      </c>
      <c r="BS1436" s="343">
        <f>SUMIFS($AU$1388:AU1437,$AB$1388:AB1437,"*")</f>
        <v>639.99999999999943</v>
      </c>
      <c r="BT1436" s="343">
        <f>SUMIFS($AU$1388:AU1437,$AC$1388:AC1437,"*")</f>
        <v>1030.4000000000001</v>
      </c>
      <c r="BU1436" s="343">
        <f>SUMIFS($AU$1388:AU1437,$AA$1388:AA1437,"*",$AB$1388:AB1437,"*")</f>
        <v>367.9999999999996</v>
      </c>
      <c r="BV1436" s="343">
        <f>SUMIFS($AU$1388:AU1437,$AA$1388:AA1437,"*",$AC$1388:AC1437,"*")</f>
        <v>1174.4000000000001</v>
      </c>
      <c r="BW1436" s="343">
        <f>SUMIFS($AU$1388:AU1437,$AB$1388:AB1437,"*",$AC$1388:AC1437,"*")</f>
        <v>272.00000000000006</v>
      </c>
      <c r="BX1436" s="343">
        <f>SUMIFS($AV$1388:AV1437,$Q$1388:Q1437,"F")</f>
        <v>68.114285714285714</v>
      </c>
      <c r="BY1436" s="343">
        <f>SUMIFS($AV$1388:AV1437,$Q$1388:Q1437,"S")</f>
        <v>87.632302565294935</v>
      </c>
      <c r="BZ1436" s="343">
        <f>SUMIFS($AV$1388:AV1437,$Q$1388:Q1437,"O")</f>
        <v>0</v>
      </c>
    </row>
    <row r="1437" spans="1:78" ht="15.75" customHeight="1">
      <c r="A1437" s="177" t="s">
        <v>4824</v>
      </c>
      <c r="B1437" s="200"/>
      <c r="C1437" s="178"/>
      <c r="D1437" s="178"/>
      <c r="E1437" s="227"/>
      <c r="F1437" s="180"/>
      <c r="G1437" s="181"/>
      <c r="H1437" s="182"/>
      <c r="I1437" s="182"/>
      <c r="J1437" s="182"/>
      <c r="K1437" s="183"/>
      <c r="L1437" s="182"/>
      <c r="M1437" s="182"/>
      <c r="N1437" s="182"/>
      <c r="O1437" s="183"/>
      <c r="P1437" s="183"/>
      <c r="Q1437" s="183"/>
      <c r="R1437" s="183"/>
      <c r="S1437" s="183"/>
      <c r="T1437" s="183"/>
      <c r="U1437" s="183"/>
      <c r="V1437" s="183"/>
      <c r="W1437" s="183"/>
      <c r="X1437" s="183"/>
      <c r="Y1437" s="183"/>
      <c r="Z1437" s="183"/>
      <c r="AA1437" s="185"/>
      <c r="AB1437" s="185"/>
      <c r="AC1437" s="185"/>
      <c r="AD1437" s="649"/>
      <c r="AE1437" s="182"/>
      <c r="AF1437" s="332"/>
      <c r="AG1437" s="182"/>
      <c r="AH1437" s="182"/>
      <c r="AI1437" s="182"/>
      <c r="AJ1437" s="640"/>
      <c r="AK1437" s="182"/>
      <c r="AL1437" s="496"/>
      <c r="AM1437" s="496"/>
      <c r="AN1437" s="626"/>
      <c r="AO1437" s="182"/>
      <c r="AP1437" s="182"/>
      <c r="AQ1437" s="332" t="str">
        <f>UPPER(RIGHT(Journal_Live[[#This Row],[DURATION ]]))</f>
        <v/>
      </c>
      <c r="AR1437" s="182"/>
      <c r="AS1437" s="189"/>
      <c r="AT1437" s="189"/>
      <c r="AU1437" s="187"/>
      <c r="AV1437" s="190"/>
      <c r="AW1437" s="191"/>
      <c r="AX1437" s="409" t="s">
        <v>4984</v>
      </c>
      <c r="AY1437" s="407" t="s">
        <v>4985</v>
      </c>
      <c r="AZ1437" s="407" t="s">
        <v>4986</v>
      </c>
      <c r="BA1437" s="407" t="s">
        <v>4987</v>
      </c>
      <c r="BB1437" s="409" t="s">
        <v>4988</v>
      </c>
      <c r="BC1437" s="409" t="s">
        <v>4989</v>
      </c>
      <c r="BD1437" s="407" t="s">
        <v>4990</v>
      </c>
      <c r="BE1437" s="407"/>
      <c r="BF1437" s="422"/>
      <c r="BG1437" s="391">
        <f>SUM($AV$1389:AV1437)</f>
        <v>203.74658827958044</v>
      </c>
      <c r="BH1437" s="392">
        <f>SUM($AU$1389:AU1437)</f>
        <v>1942.4</v>
      </c>
      <c r="BI1437" s="318">
        <f>SUMIFS($AU$1388:AU1438,$Q$1388:Q1438,"F")</f>
        <v>2134.4</v>
      </c>
      <c r="BJ1437" s="318">
        <f>SUMIFS($AU$1388:AU1438,$Q$1388:Q1438,"S")</f>
        <v>496.00000000000063</v>
      </c>
      <c r="BK1437" s="343">
        <f>SUMIFS($AU$1388:AU1438,$P$1388:P1438,"W")</f>
        <v>1302.4000000000005</v>
      </c>
      <c r="BL1437" s="343">
        <f>SUMIFS($AU$1388:AU1438,$P$1388:P1438,"R")</f>
        <v>1328.0000000000002</v>
      </c>
      <c r="BM1437" s="343">
        <f>SUMIFS($AU$1388:AU1438,$AQ$1388:AQ1438,"M")</f>
        <v>784.00000000000023</v>
      </c>
      <c r="BN1437" s="343">
        <f>SUMIFS($AU$1388:AU1438,$AQ$1388:AQ1438,"H")</f>
        <v>-128.00000000000006</v>
      </c>
      <c r="BO1437" s="343">
        <f>SUMIFS($AU$1388:AU1438,$AQ$1388:AQ1438,"D")</f>
        <v>1008.0000000000002</v>
      </c>
      <c r="BP1437" s="343">
        <f>SUMIFS($AU$1388:AU1440,$AQ$1388:AQ1440,"W")</f>
        <v>1062.3999999999999</v>
      </c>
      <c r="BQ1437" s="343">
        <f>SUMIFS($AU$1388:AU1438,$Q$1388:Q1438,"O")</f>
        <v>0</v>
      </c>
      <c r="BR1437" s="343">
        <f>SUMIFS($AU$1388:AU1438,$AA$1388:AA1438,"*")</f>
        <v>2598.4000000000005</v>
      </c>
      <c r="BS1437" s="343">
        <f>SUMIFS($AU$1388:AU1438,$AB$1388:AB1438,"*")</f>
        <v>639.99999999999943</v>
      </c>
      <c r="BT1437" s="343">
        <f>SUMIFS($AU$1388:AU1438,$AC$1388:AC1438,"*")</f>
        <v>1030.4000000000001</v>
      </c>
      <c r="BU1437" s="343">
        <f>SUMIFS($AU$1388:AU1438,$AA$1388:AA1438,"*",$AB$1388:AB1438,"*")</f>
        <v>367.9999999999996</v>
      </c>
      <c r="BV1437" s="343">
        <f>SUMIFS($AU$1388:AU1438,$AA$1388:AA1438,"*",$AC$1388:AC1438,"*")</f>
        <v>1174.4000000000001</v>
      </c>
      <c r="BW1437" s="343">
        <f>SUMIFS($AU$1388:AU1438,$AB$1388:AB1438,"*",$AC$1388:AC1438,"*")</f>
        <v>272.00000000000006</v>
      </c>
      <c r="BX1437" s="343">
        <f>SUMIFS($AV$1388:AV1438,$Q$1388:Q1438,"F")</f>
        <v>84.114285714285714</v>
      </c>
      <c r="BY1437" s="343">
        <f>SUMIFS($AV$1388:AV1438,$Q$1388:Q1438,"S")</f>
        <v>87.632302565294935</v>
      </c>
      <c r="BZ1437" s="343">
        <f>SUMIFS($AV$1388:AV1438,$Q$1388:Q1438,"O")</f>
        <v>0</v>
      </c>
    </row>
    <row r="1438" spans="1:78" ht="15.75" customHeight="1">
      <c r="A1438" s="177" t="s">
        <v>4824</v>
      </c>
      <c r="B1438" s="200">
        <v>45308</v>
      </c>
      <c r="C1438" s="178" t="s">
        <v>629</v>
      </c>
      <c r="D1438" s="178" t="s">
        <v>151</v>
      </c>
      <c r="E1438" s="227"/>
      <c r="F1438" s="180"/>
      <c r="G1438" s="281" t="s">
        <v>3885</v>
      </c>
      <c r="H1438" s="182"/>
      <c r="I1438" s="182"/>
      <c r="J1438" s="182"/>
      <c r="K1438" s="183"/>
      <c r="L1438" s="182">
        <v>1</v>
      </c>
      <c r="M1438" s="182"/>
      <c r="N1438" s="182"/>
      <c r="O1438" s="183" t="s">
        <v>95</v>
      </c>
      <c r="P1438" s="183" t="s">
        <v>137</v>
      </c>
      <c r="Q1438" s="183" t="s">
        <v>256</v>
      </c>
      <c r="R1438" s="183">
        <v>49</v>
      </c>
      <c r="S1438" s="183">
        <v>31</v>
      </c>
      <c r="T1438" s="183">
        <v>33</v>
      </c>
      <c r="U1438" s="183" t="s">
        <v>22</v>
      </c>
      <c r="V1438" s="183"/>
      <c r="W1438" s="183"/>
      <c r="X1438" s="183"/>
      <c r="Y1438" s="184">
        <f>IF(ISBLANK(O1438),"",(IF(O1438=UPPER("IB"),0.005,0.01)))</f>
        <v>0.01</v>
      </c>
      <c r="Z1438" s="185">
        <f>IF(ISBLANK(O1438),"",IF(O1438="IB",8.63*200,IF(O1438="IR",16*100,IF(O1438="YT",20*100,IF(O1438="YT-XT",24*200,IF(O1438="TED",80*100))))))</f>
        <v>1600</v>
      </c>
      <c r="AA1438" s="185" t="s">
        <v>4932</v>
      </c>
      <c r="AB1438" s="185"/>
      <c r="AC1438" s="185"/>
      <c r="AD1438" s="649">
        <v>-0.04</v>
      </c>
      <c r="AE1438" s="182"/>
      <c r="AF1438" s="332"/>
      <c r="AG1438" s="182"/>
      <c r="AH1438" s="182"/>
      <c r="AI1438" s="182"/>
      <c r="AJ1438" s="640"/>
      <c r="AK1438" s="182"/>
      <c r="AL1438" s="496">
        <f>-0.02*Z1438</f>
        <v>-32</v>
      </c>
      <c r="AM1438" s="496">
        <f>AL1438*(R1438-S1438)</f>
        <v>-576</v>
      </c>
      <c r="AN1438" s="626"/>
      <c r="AO1438" s="182"/>
      <c r="AP1438" s="182" t="s">
        <v>770</v>
      </c>
      <c r="AQ1438" s="332" t="s">
        <v>115</v>
      </c>
      <c r="AR1438" s="182" t="s">
        <v>4991</v>
      </c>
      <c r="AS1438" s="189">
        <f>-0.03</f>
        <v>-0.03</v>
      </c>
      <c r="AT1438" s="189">
        <f>IF(ISBLANK(AS1438),,IF(U1438="S",AD1438-AS1438,AS1438-AD1438))</f>
        <v>1.0000000000000002E-2</v>
      </c>
      <c r="AU1438" s="187">
        <f>AV1438*R1438</f>
        <v>784.00000000000023</v>
      </c>
      <c r="AV1438" s="190">
        <f>IF(ISBLANK(AS1438),,(AT1438*Z1438))</f>
        <v>16.000000000000004</v>
      </c>
      <c r="AW1438" s="191" t="s">
        <v>96</v>
      </c>
      <c r="AX1438" s="407"/>
      <c r="AY1438" s="407"/>
      <c r="AZ1438" s="407"/>
      <c r="BA1438" s="407"/>
      <c r="BB1438" s="407"/>
      <c r="BC1438" s="407"/>
      <c r="BD1438" s="407"/>
      <c r="BE1438" s="407"/>
      <c r="BF1438" s="422"/>
      <c r="BG1438" s="391">
        <f>SUM($AV$1389:AV1438)</f>
        <v>219.74658827958044</v>
      </c>
      <c r="BH1438" s="392">
        <f>SUM($AU$1389:AU1438)</f>
        <v>2726.4000000000005</v>
      </c>
      <c r="BI1438" s="318">
        <f>SUMIFS($AU$1388:AU1439,$Q$1388:Q1439,"F")</f>
        <v>2134.4</v>
      </c>
      <c r="BJ1438" s="318">
        <f>SUMIFS($AU$1388:AU1439,$Q$1388:Q1439,"S")</f>
        <v>496.00000000000063</v>
      </c>
      <c r="BK1438" s="343">
        <f>SUMIFS($AU$1388:AU1439,$P$1388:P1439,"W")</f>
        <v>1302.4000000000005</v>
      </c>
      <c r="BL1438" s="343">
        <f>SUMIFS($AU$1388:AU1439,$P$1388:P1439,"R")</f>
        <v>1328.0000000000002</v>
      </c>
      <c r="BM1438" s="343">
        <f>SUMIFS($AU$1388:AU1439,$AQ$1388:AQ1439,"M")</f>
        <v>784.00000000000023</v>
      </c>
      <c r="BN1438" s="343">
        <f>SUMIFS($AU$1388:AU1439,$AQ$1388:AQ1439,"H")</f>
        <v>-128.00000000000006</v>
      </c>
      <c r="BO1438" s="343">
        <f>SUMIFS($AU$1388:AU1439,$AQ$1388:AQ1439,"D")</f>
        <v>1008.0000000000002</v>
      </c>
      <c r="BP1438" s="343">
        <f>SUMIFS($AU$1388:AU1441,$AQ$1388:AQ1441,"W")</f>
        <v>1062.3999999999999</v>
      </c>
      <c r="BQ1438" s="343">
        <f>SUMIFS($AU$1388:AU1439,$Q$1388:Q1439,"O")</f>
        <v>0</v>
      </c>
      <c r="BR1438" s="343">
        <f>SUMIFS($AU$1388:AU1439,$AA$1388:AA1439,"*")</f>
        <v>2598.4000000000005</v>
      </c>
      <c r="BS1438" s="343">
        <f>SUMIFS($AU$1388:AU1439,$AB$1388:AB1439,"*")</f>
        <v>639.99999999999943</v>
      </c>
      <c r="BT1438" s="343">
        <f>SUMIFS($AU$1388:AU1439,$AC$1388:AC1439,"*")</f>
        <v>1030.4000000000001</v>
      </c>
      <c r="BU1438" s="343">
        <f>SUMIFS($AU$1388:AU1439,$AA$1388:AA1439,"*",$AB$1388:AB1439,"*")</f>
        <v>367.9999999999996</v>
      </c>
      <c r="BV1438" s="343">
        <f>SUMIFS($AU$1388:AU1439,$AA$1388:AA1439,"*",$AC$1388:AC1439,"*")</f>
        <v>1174.4000000000001</v>
      </c>
      <c r="BW1438" s="343">
        <f>SUMIFS($AU$1388:AU1439,$AB$1388:AB1439,"*",$AC$1388:AC1439,"*")</f>
        <v>272.00000000000006</v>
      </c>
      <c r="BX1438" s="343">
        <f>SUMIFS($AV$1388:AV1439,$Q$1388:Q1439,"F")</f>
        <v>84.114285714285714</v>
      </c>
      <c r="BY1438" s="343">
        <f>SUMIFS($AV$1388:AV1439,$Q$1388:Q1439,"S")</f>
        <v>87.632302565294935</v>
      </c>
      <c r="BZ1438" s="343">
        <f>SUMIFS($AV$1388:AV1439,$Q$1388:Q1439,"O")</f>
        <v>0</v>
      </c>
    </row>
    <row r="1439" spans="1:78" ht="15.75" customHeight="1">
      <c r="A1439" s="177" t="s">
        <v>4824</v>
      </c>
      <c r="B1439" s="200">
        <v>45308</v>
      </c>
      <c r="C1439" s="178" t="s">
        <v>1344</v>
      </c>
      <c r="D1439" s="178" t="s">
        <v>151</v>
      </c>
      <c r="E1439" s="227" t="s">
        <v>4992</v>
      </c>
      <c r="F1439" s="180" t="s">
        <v>4993</v>
      </c>
      <c r="G1439" s="181"/>
      <c r="H1439" s="182">
        <v>1</v>
      </c>
      <c r="I1439" s="182"/>
      <c r="J1439" s="182"/>
      <c r="K1439" s="183" t="s">
        <v>372</v>
      </c>
      <c r="L1439" s="182"/>
      <c r="M1439" s="182"/>
      <c r="N1439" s="182"/>
      <c r="O1439" s="183"/>
      <c r="P1439" s="183"/>
      <c r="Q1439" s="183"/>
      <c r="R1439" s="183"/>
      <c r="S1439" s="183"/>
      <c r="T1439" s="183"/>
      <c r="U1439" s="183"/>
      <c r="V1439" s="183"/>
      <c r="W1439" s="183"/>
      <c r="X1439" s="183"/>
      <c r="Y1439" s="183"/>
      <c r="Z1439" s="183"/>
      <c r="AA1439" s="185"/>
      <c r="AB1439" s="185"/>
      <c r="AC1439" s="185"/>
      <c r="AD1439" s="649"/>
      <c r="AE1439" s="182"/>
      <c r="AF1439" s="332"/>
      <c r="AG1439" s="182"/>
      <c r="AH1439" s="182"/>
      <c r="AI1439" s="182"/>
      <c r="AJ1439" s="640"/>
      <c r="AK1439" s="182"/>
      <c r="AL1439" s="496"/>
      <c r="AM1439" s="496"/>
      <c r="AN1439" s="626"/>
      <c r="AO1439" s="182"/>
      <c r="AP1439" s="182"/>
      <c r="AQ1439" s="332" t="str">
        <f>UPPER(RIGHT(Journal_Live[[#This Row],[DURATION ]]))</f>
        <v/>
      </c>
      <c r="AR1439" s="182"/>
      <c r="AS1439" s="189"/>
      <c r="AT1439" s="189"/>
      <c r="AU1439" s="187"/>
      <c r="AV1439" s="190"/>
      <c r="AW1439" s="191"/>
      <c r="AX1439" s="407" t="s">
        <v>4994</v>
      </c>
      <c r="AY1439" s="407" t="s">
        <v>4995</v>
      </c>
      <c r="AZ1439" s="407"/>
      <c r="BA1439" s="407"/>
      <c r="BB1439" s="407"/>
      <c r="BC1439" s="407"/>
      <c r="BD1439" s="407"/>
      <c r="BE1439" s="407"/>
      <c r="BF1439" s="422"/>
      <c r="BG1439" s="391">
        <f>SUM($AV$1389:AV1439)</f>
        <v>219.74658827958044</v>
      </c>
      <c r="BH1439" s="392">
        <f>SUM($AU$1389:AU1439)</f>
        <v>2726.4000000000005</v>
      </c>
      <c r="BI1439" s="318">
        <f>SUMIFS($AU$1388:AU1440,$Q$1388:Q1440,"F")</f>
        <v>2134.4</v>
      </c>
      <c r="BJ1439" s="318">
        <f>SUMIFS($AU$1388:AU1440,$Q$1388:Q1440,"S")</f>
        <v>496.00000000000063</v>
      </c>
      <c r="BK1439" s="343">
        <f>SUMIFS($AU$1388:AU1440,$P$1388:P1440,"W")</f>
        <v>1302.4000000000005</v>
      </c>
      <c r="BL1439" s="343">
        <f>SUMIFS($AU$1388:AU1440,$P$1388:P1440,"R")</f>
        <v>1328.0000000000002</v>
      </c>
      <c r="BM1439" s="343">
        <f>SUMIFS($AU$1388:AU1440,$AQ$1388:AQ1440,"M")</f>
        <v>784.00000000000023</v>
      </c>
      <c r="BN1439" s="343">
        <f>SUMIFS($AU$1388:AU1440,$AQ$1388:AQ1440,"H")</f>
        <v>-128.00000000000006</v>
      </c>
      <c r="BO1439" s="343">
        <f>SUMIFS($AU$1388:AU1440,$AQ$1388:AQ1440,"D")</f>
        <v>1008.0000000000002</v>
      </c>
      <c r="BP1439" s="343">
        <f>SUMIFS($AU$1388:AU1442,$AQ$1388:AQ1442,"W")</f>
        <v>1062.3999999999999</v>
      </c>
      <c r="BQ1439" s="343">
        <f>SUMIFS($AU$1388:AU1440,$Q$1388:Q1440,"O")</f>
        <v>0</v>
      </c>
      <c r="BR1439" s="343">
        <f>SUMIFS($AU$1388:AU1440,$AA$1388:AA1440,"*")</f>
        <v>2598.4000000000005</v>
      </c>
      <c r="BS1439" s="343">
        <f>SUMIFS($AU$1388:AU1440,$AB$1388:AB1440,"*")</f>
        <v>639.99999999999943</v>
      </c>
      <c r="BT1439" s="343">
        <f>SUMIFS($AU$1388:AU1440,$AC$1388:AC1440,"*")</f>
        <v>1030.4000000000001</v>
      </c>
      <c r="BU1439" s="343">
        <f>SUMIFS($AU$1388:AU1440,$AA$1388:AA1440,"*",$AB$1388:AB1440,"*")</f>
        <v>367.9999999999996</v>
      </c>
      <c r="BV1439" s="343">
        <f>SUMIFS($AU$1388:AU1440,$AA$1388:AA1440,"*",$AC$1388:AC1440,"*")</f>
        <v>1174.4000000000001</v>
      </c>
      <c r="BW1439" s="343">
        <f>SUMIFS($AU$1388:AU1440,$AB$1388:AB1440,"*",$AC$1388:AC1440,"*")</f>
        <v>272.00000000000006</v>
      </c>
      <c r="BX1439" s="343">
        <f>SUMIFS($AV$1388:AV1440,$Q$1388:Q1440,"F")</f>
        <v>84.114285714285714</v>
      </c>
      <c r="BY1439" s="343">
        <f>SUMIFS($AV$1388:AV1440,$Q$1388:Q1440,"S")</f>
        <v>87.632302565294935</v>
      </c>
      <c r="BZ1439" s="343">
        <f>SUMIFS($AV$1388:AV1440,$Q$1388:Q1440,"O")</f>
        <v>0</v>
      </c>
    </row>
    <row r="1440" spans="1:78" ht="15.75" customHeight="1">
      <c r="A1440" s="177" t="s">
        <v>4824</v>
      </c>
      <c r="B1440" s="200">
        <v>45308</v>
      </c>
      <c r="C1440" s="178" t="s">
        <v>877</v>
      </c>
      <c r="D1440" s="178" t="s">
        <v>151</v>
      </c>
      <c r="E1440" s="227"/>
      <c r="F1440" s="180"/>
      <c r="G1440" s="281" t="s">
        <v>181</v>
      </c>
      <c r="H1440" s="182"/>
      <c r="I1440" s="182"/>
      <c r="J1440" s="182"/>
      <c r="K1440" s="183"/>
      <c r="L1440" s="182">
        <v>1</v>
      </c>
      <c r="M1440" s="182">
        <v>1</v>
      </c>
      <c r="N1440" s="182"/>
      <c r="O1440" s="183" t="s">
        <v>95</v>
      </c>
      <c r="P1440" s="183" t="s">
        <v>96</v>
      </c>
      <c r="Q1440" s="183" t="s">
        <v>97</v>
      </c>
      <c r="R1440" s="183">
        <v>24</v>
      </c>
      <c r="S1440" s="183">
        <v>0</v>
      </c>
      <c r="T1440" s="183">
        <v>24</v>
      </c>
      <c r="U1440" s="183" t="s">
        <v>97</v>
      </c>
      <c r="V1440" s="183"/>
      <c r="W1440" s="183"/>
      <c r="X1440" s="183"/>
      <c r="Y1440" s="184">
        <f>IF(ISBLANK(O1440),"",(IF(O1440=UPPER("IB"),0.005,0.01)))</f>
        <v>0.01</v>
      </c>
      <c r="Z1440" s="185">
        <f>IF(ISBLANK(O1440),"",IF(O1440="IB",8.63*200,IF(O1440="IR",16*100,IF(O1440="YT",20*100,IF(O1440="YT-XT",24*200,IF(O1440="TED",80*100))))))</f>
        <v>1600</v>
      </c>
      <c r="AA1440" s="185" t="s">
        <v>4962</v>
      </c>
      <c r="AB1440" s="185"/>
      <c r="AC1440" s="185"/>
      <c r="AD1440" s="649">
        <v>-0.02</v>
      </c>
      <c r="AE1440" s="182"/>
      <c r="AF1440" s="332"/>
      <c r="AG1440" s="182"/>
      <c r="AH1440" s="182"/>
      <c r="AI1440" s="182"/>
      <c r="AJ1440" s="640"/>
      <c r="AK1440" s="182"/>
      <c r="AL1440" s="496">
        <f t="shared" ref="AL1440:AL1446" si="405">-0.02*Z1440</f>
        <v>-32</v>
      </c>
      <c r="AM1440" s="496">
        <f>AL1440*(R1440-S1440)</f>
        <v>-768</v>
      </c>
      <c r="AN1440" s="626"/>
      <c r="AO1440" s="182"/>
      <c r="AP1440" s="182"/>
      <c r="AQ1440" s="332" t="s">
        <v>372</v>
      </c>
      <c r="AR1440" s="182" t="s">
        <v>4996</v>
      </c>
      <c r="AS1440" s="189">
        <v>-0.02</v>
      </c>
      <c r="AT1440" s="189">
        <f>IF(ISBLANK(AS1440),,IF(U1440="S",AD1440-AS1440,AS1440-AD1440))</f>
        <v>0</v>
      </c>
      <c r="AU1440" s="187">
        <f>AV1440*R1440</f>
        <v>0</v>
      </c>
      <c r="AV1440" s="190">
        <f>IF(ISBLANK(AS1440),,(AT1440*Z1440))</f>
        <v>0</v>
      </c>
      <c r="AW1440" s="191" t="s">
        <v>115</v>
      </c>
      <c r="AX1440" s="407" t="s">
        <v>4997</v>
      </c>
      <c r="AY1440" s="407" t="s">
        <v>4998</v>
      </c>
      <c r="AZ1440" s="407"/>
      <c r="BA1440" s="407"/>
      <c r="BB1440" s="407"/>
      <c r="BC1440" s="407"/>
      <c r="BD1440" s="407"/>
      <c r="BE1440" s="407"/>
      <c r="BF1440" s="422"/>
      <c r="BG1440" s="391">
        <f>SUM($AV$1389:AV1440)</f>
        <v>219.74658827958044</v>
      </c>
      <c r="BH1440" s="392">
        <f>SUM($AU$1389:AU1440)</f>
        <v>2726.4000000000005</v>
      </c>
      <c r="BI1440" s="318">
        <f>SUMIFS($AU$1388:AU1441,$Q$1388:Q1441,"F")</f>
        <v>2134.4</v>
      </c>
      <c r="BJ1440" s="318">
        <f>SUMIFS($AU$1388:AU1441,$Q$1388:Q1441,"S")</f>
        <v>848.00000000000091</v>
      </c>
      <c r="BK1440" s="343">
        <f>SUMIFS($AU$1388:AU1441,$P$1388:P1441,"W")</f>
        <v>1654.400000000001</v>
      </c>
      <c r="BL1440" s="343">
        <f>SUMIFS($AU$1388:AU1441,$P$1388:P1441,"R")</f>
        <v>1328.0000000000002</v>
      </c>
      <c r="BM1440" s="343">
        <f>SUMIFS($AU$1388:AU1441,$AQ$1388:AQ1441,"M")</f>
        <v>784.00000000000023</v>
      </c>
      <c r="BN1440" s="343">
        <f>SUMIFS($AU$1388:AU1441,$AQ$1388:AQ1441,"H")</f>
        <v>-128.00000000000006</v>
      </c>
      <c r="BO1440" s="343">
        <f>SUMIFS($AU$1388:AU1441,$AQ$1388:AQ1441,"D")</f>
        <v>1360.0000000000005</v>
      </c>
      <c r="BP1440" s="343">
        <f>SUMIFS($AU$1388:AU1443,$AQ$1388:AQ1443,"W")</f>
        <v>1062.3999999999999</v>
      </c>
      <c r="BQ1440" s="343">
        <f>SUMIFS($AU$1388:AU1441,$Q$1388:Q1441,"O")</f>
        <v>0</v>
      </c>
      <c r="BR1440" s="343">
        <f>SUMIFS($AU$1388:AU1441,$AA$1388:AA1441,"*")</f>
        <v>2950.400000000001</v>
      </c>
      <c r="BS1440" s="343">
        <f>SUMIFS($AU$1388:AU1441,$AB$1388:AB1441,"*")</f>
        <v>639.99999999999943</v>
      </c>
      <c r="BT1440" s="343">
        <f>SUMIFS($AU$1388:AU1441,$AC$1388:AC1441,"*")</f>
        <v>1030.4000000000001</v>
      </c>
      <c r="BU1440" s="343">
        <f>SUMIFS($AU$1388:AU1441,$AA$1388:AA1441,"*",$AB$1388:AB1441,"*")</f>
        <v>367.9999999999996</v>
      </c>
      <c r="BV1440" s="343">
        <f>SUMIFS($AU$1388:AU1441,$AA$1388:AA1441,"*",$AC$1388:AC1441,"*")</f>
        <v>1174.4000000000001</v>
      </c>
      <c r="BW1440" s="343">
        <f>SUMIFS($AU$1388:AU1441,$AB$1388:AB1441,"*",$AC$1388:AC1441,"*")</f>
        <v>272.00000000000006</v>
      </c>
      <c r="BX1440" s="343">
        <f>SUMIFS($AV$1388:AV1441,$Q$1388:Q1441,"F")</f>
        <v>84.114285714285714</v>
      </c>
      <c r="BY1440" s="343">
        <f>SUMIFS($AV$1388:AV1441,$Q$1388:Q1441,"S")</f>
        <v>103.63230256529495</v>
      </c>
      <c r="BZ1440" s="343">
        <f>SUMIFS($AV$1388:AV1441,$Q$1388:Q1441,"O")</f>
        <v>0</v>
      </c>
    </row>
    <row r="1441" spans="1:78" ht="15.75" customHeight="1">
      <c r="A1441" s="177" t="s">
        <v>4824</v>
      </c>
      <c r="B1441" s="200">
        <v>45308</v>
      </c>
      <c r="C1441" s="178" t="s">
        <v>4999</v>
      </c>
      <c r="D1441" s="178" t="s">
        <v>151</v>
      </c>
      <c r="E1441" s="227"/>
      <c r="F1441" s="180"/>
      <c r="G1441" s="281" t="s">
        <v>2016</v>
      </c>
      <c r="H1441" s="182"/>
      <c r="I1441" s="182"/>
      <c r="J1441" s="182"/>
      <c r="K1441" s="183"/>
      <c r="L1441" s="182">
        <v>1</v>
      </c>
      <c r="M1441" s="182">
        <v>1</v>
      </c>
      <c r="N1441" s="182"/>
      <c r="O1441" s="183" t="s">
        <v>95</v>
      </c>
      <c r="P1441" s="183" t="s">
        <v>96</v>
      </c>
      <c r="Q1441" s="183" t="s">
        <v>97</v>
      </c>
      <c r="R1441" s="183">
        <v>22</v>
      </c>
      <c r="S1441" s="183">
        <v>0</v>
      </c>
      <c r="T1441" s="183">
        <v>22</v>
      </c>
      <c r="U1441" s="183" t="s">
        <v>97</v>
      </c>
      <c r="V1441" s="183"/>
      <c r="W1441" s="183"/>
      <c r="X1441" s="183"/>
      <c r="Y1441" s="184">
        <f>IF(ISBLANK(O1441),"",(IF(O1441=UPPER("IB"),0.005,0.01)))</f>
        <v>0.01</v>
      </c>
      <c r="Z1441" s="185">
        <f>IF(ISBLANK(O1441),"",IF(O1441="IB",8.63*200,IF(O1441="IR",16*100,IF(O1441="YT",20*100,IF(O1441="YT-XT",24*200,IF(O1441="TED",80*100))))))</f>
        <v>1600</v>
      </c>
      <c r="AA1441" s="185" t="s">
        <v>5000</v>
      </c>
      <c r="AB1441" s="185"/>
      <c r="AC1441" s="185"/>
      <c r="AD1441" s="649">
        <v>-0.12</v>
      </c>
      <c r="AE1441" s="182"/>
      <c r="AF1441" s="332"/>
      <c r="AG1441" s="182"/>
      <c r="AH1441" s="182"/>
      <c r="AI1441" s="182"/>
      <c r="AJ1441" s="640"/>
      <c r="AK1441" s="182"/>
      <c r="AL1441" s="496">
        <f t="shared" si="405"/>
        <v>-32</v>
      </c>
      <c r="AM1441" s="496">
        <f>AL1441*(R1441-S1441)</f>
        <v>-704</v>
      </c>
      <c r="AN1441" s="626"/>
      <c r="AO1441" s="182"/>
      <c r="AP1441" s="182" t="s">
        <v>770</v>
      </c>
      <c r="AQ1441" s="332" t="s">
        <v>115</v>
      </c>
      <c r="AR1441" s="182" t="s">
        <v>682</v>
      </c>
      <c r="AS1441" s="189">
        <v>-0.13</v>
      </c>
      <c r="AT1441" s="189">
        <f>IF(ISBLANK(AS1441),,IF(U1441="S",AD1441-AS1441,AS1441-AD1441))</f>
        <v>1.0000000000000009E-2</v>
      </c>
      <c r="AU1441" s="187">
        <f>AV1441*R1441</f>
        <v>352.00000000000034</v>
      </c>
      <c r="AV1441" s="190">
        <f>IF(ISBLANK(AS1441),,(AT1441*Z1441))</f>
        <v>16.000000000000014</v>
      </c>
      <c r="AW1441" s="191" t="s">
        <v>96</v>
      </c>
      <c r="AX1441" s="407"/>
      <c r="AY1441" s="407"/>
      <c r="AZ1441" s="407"/>
      <c r="BA1441" s="407"/>
      <c r="BB1441" s="407"/>
      <c r="BC1441" s="407"/>
      <c r="BD1441" s="407"/>
      <c r="BE1441" s="407"/>
      <c r="BF1441" s="422"/>
      <c r="BG1441" s="391">
        <f>SUM($AV$1389:AV1441)</f>
        <v>235.74658827958046</v>
      </c>
      <c r="BH1441" s="392">
        <f>SUM($AU$1389:AU1441)</f>
        <v>3078.400000000001</v>
      </c>
      <c r="BI1441" s="318">
        <f>SUMIFS($AU$1388:AU1442,$Q$1388:Q1442,"F")</f>
        <v>2134.4</v>
      </c>
      <c r="BJ1441" s="318">
        <f>SUMIFS($AU$1388:AU1442,$Q$1388:Q1442,"S")</f>
        <v>848.00000000000091</v>
      </c>
      <c r="BK1441" s="343">
        <f>SUMIFS($AU$1388:AU1442,$P$1388:P1442,"W")</f>
        <v>1654.400000000001</v>
      </c>
      <c r="BL1441" s="343">
        <f>SUMIFS($AU$1388:AU1442,$P$1388:P1442,"R")</f>
        <v>1328.0000000000002</v>
      </c>
      <c r="BM1441" s="343">
        <f>SUMIFS($AU$1388:AU1442,$AQ$1388:AQ1442,"M")</f>
        <v>784.00000000000023</v>
      </c>
      <c r="BN1441" s="343">
        <f>SUMIFS($AU$1388:AU1442,$AQ$1388:AQ1442,"H")</f>
        <v>-128.00000000000006</v>
      </c>
      <c r="BO1441" s="343">
        <f>SUMIFS($AU$1388:AU1442,$AQ$1388:AQ1442,"D")</f>
        <v>1360.0000000000005</v>
      </c>
      <c r="BP1441" s="343">
        <f>SUMIFS($AU$1388:AU1444,$AQ$1388:AQ1444,"W")</f>
        <v>1062.3999999999999</v>
      </c>
      <c r="BQ1441" s="343">
        <f>SUMIFS($AU$1388:AU1442,$Q$1388:Q1442,"O")</f>
        <v>0</v>
      </c>
      <c r="BR1441" s="343">
        <f>SUMIFS($AU$1388:AU1442,$AA$1388:AA1442,"*")</f>
        <v>2950.400000000001</v>
      </c>
      <c r="BS1441" s="343">
        <f>SUMIFS($AU$1388:AU1442,$AB$1388:AB1442,"*")</f>
        <v>639.99999999999943</v>
      </c>
      <c r="BT1441" s="343">
        <f>SUMIFS($AU$1388:AU1442,$AC$1388:AC1442,"*")</f>
        <v>1030.4000000000001</v>
      </c>
      <c r="BU1441" s="343">
        <f>SUMIFS($AU$1388:AU1442,$AA$1388:AA1442,"*",$AB$1388:AB1442,"*")</f>
        <v>367.9999999999996</v>
      </c>
      <c r="BV1441" s="343">
        <f>SUMIFS($AU$1388:AU1442,$AA$1388:AA1442,"*",$AC$1388:AC1442,"*")</f>
        <v>1174.4000000000001</v>
      </c>
      <c r="BW1441" s="343">
        <f>SUMIFS($AU$1388:AU1442,$AB$1388:AB1442,"*",$AC$1388:AC1442,"*")</f>
        <v>272.00000000000006</v>
      </c>
      <c r="BX1441" s="343">
        <f>SUMIFS($AV$1388:AV1442,$Q$1388:Q1442,"F")</f>
        <v>84.114285714285714</v>
      </c>
      <c r="BY1441" s="343">
        <f>SUMIFS($AV$1388:AV1442,$Q$1388:Q1442,"S")</f>
        <v>103.63230256529495</v>
      </c>
      <c r="BZ1441" s="343">
        <f>SUMIFS($AV$1388:AV1442,$Q$1388:Q1442,"O")</f>
        <v>0</v>
      </c>
    </row>
    <row r="1442" spans="1:78" ht="15.75" customHeight="1">
      <c r="A1442" s="177" t="s">
        <v>4824</v>
      </c>
      <c r="B1442" s="200">
        <v>45308</v>
      </c>
      <c r="C1442" s="178" t="s">
        <v>3345</v>
      </c>
      <c r="D1442" s="178" t="s">
        <v>151</v>
      </c>
      <c r="E1442" s="227"/>
      <c r="F1442" s="180"/>
      <c r="G1442" s="181" t="s">
        <v>3334</v>
      </c>
      <c r="H1442" s="182"/>
      <c r="I1442" s="182"/>
      <c r="J1442" s="182"/>
      <c r="K1442" s="183"/>
      <c r="L1442" s="182"/>
      <c r="M1442" s="182"/>
      <c r="N1442" s="182"/>
      <c r="O1442" s="183"/>
      <c r="P1442" s="183"/>
      <c r="Q1442" s="183"/>
      <c r="R1442" s="183"/>
      <c r="S1442" s="183"/>
      <c r="T1442" s="183"/>
      <c r="U1442" s="183"/>
      <c r="V1442" s="183"/>
      <c r="W1442" s="183"/>
      <c r="X1442" s="183"/>
      <c r="Y1442" s="184"/>
      <c r="Z1442" s="185"/>
      <c r="AA1442" s="185"/>
      <c r="AB1442" s="185"/>
      <c r="AC1442" s="185"/>
      <c r="AD1442" s="649"/>
      <c r="AE1442" s="182"/>
      <c r="AF1442" s="332"/>
      <c r="AG1442" s="182"/>
      <c r="AH1442" s="182"/>
      <c r="AI1442" s="182"/>
      <c r="AJ1442" s="640"/>
      <c r="AK1442" s="182"/>
      <c r="AL1442" s="496">
        <f t="shared" si="405"/>
        <v>0</v>
      </c>
      <c r="AM1442" s="496">
        <f>AL1442*(R1442-S1442)</f>
        <v>0</v>
      </c>
      <c r="AN1442" s="626"/>
      <c r="AO1442" s="182"/>
      <c r="AP1442" s="182"/>
      <c r="AQ1442" s="332" t="str">
        <f>UPPER(RIGHT(Journal_Live[[#This Row],[DURATION ]]))</f>
        <v/>
      </c>
      <c r="AR1442" s="182"/>
      <c r="AS1442" s="189"/>
      <c r="AT1442" s="189"/>
      <c r="AU1442" s="187"/>
      <c r="AV1442" s="190"/>
      <c r="AW1442" s="191"/>
      <c r="AX1442" s="407"/>
      <c r="AY1442" s="407"/>
      <c r="AZ1442" s="407"/>
      <c r="BA1442" s="407"/>
      <c r="BB1442" s="407"/>
      <c r="BC1442" s="407"/>
      <c r="BD1442" s="407"/>
      <c r="BE1442" s="407"/>
      <c r="BF1442" s="422"/>
      <c r="BG1442" s="391">
        <f>SUM($AV$1389:AV1442)</f>
        <v>235.74658827958046</v>
      </c>
      <c r="BH1442" s="392">
        <f>SUM($AU$1389:AU1442)</f>
        <v>3078.400000000001</v>
      </c>
      <c r="BI1442" s="318">
        <f>SUMIFS($AU$1388:AU1443,$Q$1388:Q1443,"F")</f>
        <v>2134.4</v>
      </c>
      <c r="BJ1442" s="318">
        <f>SUMIFS($AU$1388:AU1443,$Q$1388:Q1443,"S")</f>
        <v>848.00000000000091</v>
      </c>
      <c r="BK1442" s="343">
        <f>SUMIFS($AU$1388:AU1443,$P$1388:P1443,"W")</f>
        <v>1654.400000000001</v>
      </c>
      <c r="BL1442" s="343">
        <f>SUMIFS($AU$1388:AU1443,$P$1388:P1443,"R")</f>
        <v>1328.0000000000002</v>
      </c>
      <c r="BM1442" s="343">
        <f>SUMIFS($AU$1388:AU1443,$AQ$1388:AQ1443,"M")</f>
        <v>784.00000000000023</v>
      </c>
      <c r="BN1442" s="343">
        <f>SUMIFS($AU$1388:AU1443,$AQ$1388:AQ1443,"H")</f>
        <v>-128.00000000000006</v>
      </c>
      <c r="BO1442" s="343">
        <f>SUMIFS($AU$1388:AU1443,$AQ$1388:AQ1443,"D")</f>
        <v>1360.0000000000005</v>
      </c>
      <c r="BP1442" s="343">
        <f>SUMIFS($AU$1388:AU1445,$AQ$1388:AQ1445,"W")</f>
        <v>1062.3999999999999</v>
      </c>
      <c r="BQ1442" s="343">
        <f>SUMIFS($AU$1388:AU1443,$Q$1388:Q1443,"O")</f>
        <v>0</v>
      </c>
      <c r="BR1442" s="343">
        <f>SUMIFS($AU$1388:AU1443,$AA$1388:AA1443,"*")</f>
        <v>2950.400000000001</v>
      </c>
      <c r="BS1442" s="343">
        <f>SUMIFS($AU$1388:AU1443,$AB$1388:AB1443,"*")</f>
        <v>639.99999999999943</v>
      </c>
      <c r="BT1442" s="343">
        <f>SUMIFS($AU$1388:AU1443,$AC$1388:AC1443,"*")</f>
        <v>1030.4000000000001</v>
      </c>
      <c r="BU1442" s="343">
        <f>SUMIFS($AU$1388:AU1443,$AA$1388:AA1443,"*",$AB$1388:AB1443,"*")</f>
        <v>367.9999999999996</v>
      </c>
      <c r="BV1442" s="343">
        <f>SUMIFS($AU$1388:AU1443,$AA$1388:AA1443,"*",$AC$1388:AC1443,"*")</f>
        <v>1174.4000000000001</v>
      </c>
      <c r="BW1442" s="343">
        <f>SUMIFS($AU$1388:AU1443,$AB$1388:AB1443,"*",$AC$1388:AC1443,"*")</f>
        <v>272.00000000000006</v>
      </c>
      <c r="BX1442" s="343">
        <f>SUMIFS($AV$1388:AV1443,$Q$1388:Q1443,"F")</f>
        <v>84.114285714285714</v>
      </c>
      <c r="BY1442" s="343">
        <f>SUMIFS($AV$1388:AV1443,$Q$1388:Q1443,"S")</f>
        <v>103.63230256529495</v>
      </c>
      <c r="BZ1442" s="343">
        <f>SUMIFS($AV$1388:AV1443,$Q$1388:Q1443,"O")</f>
        <v>0</v>
      </c>
    </row>
    <row r="1443" spans="1:78" ht="15.75" customHeight="1">
      <c r="A1443" s="177" t="s">
        <v>4824</v>
      </c>
      <c r="B1443" s="200">
        <v>45309</v>
      </c>
      <c r="C1443" s="178" t="s">
        <v>1437</v>
      </c>
      <c r="D1443" s="178" t="s">
        <v>93</v>
      </c>
      <c r="E1443" s="227" t="s">
        <v>5001</v>
      </c>
      <c r="F1443" s="180"/>
      <c r="G1443" s="181"/>
      <c r="H1443" s="182"/>
      <c r="I1443" s="182">
        <v>1</v>
      </c>
      <c r="J1443" s="182"/>
      <c r="K1443" s="183"/>
      <c r="L1443" s="182"/>
      <c r="M1443" s="182"/>
      <c r="N1443" s="182"/>
      <c r="O1443" s="183"/>
      <c r="P1443" s="183"/>
      <c r="Q1443" s="183"/>
      <c r="R1443" s="183"/>
      <c r="S1443" s="183"/>
      <c r="T1443" s="183"/>
      <c r="U1443" s="183"/>
      <c r="V1443" s="183"/>
      <c r="W1443" s="183"/>
      <c r="X1443" s="183"/>
      <c r="Y1443" s="184" t="str">
        <f>IF(ISBLANK(O1443),"",(IF(O1443=UPPER("IB"),0.005,0.01)))</f>
        <v/>
      </c>
      <c r="Z1443" s="185" t="str">
        <f>IF(ISBLANK(O1443),"",IF(O1443="IB",8.63*200,IF(O1443="IR",16*100,IF(O1443="YT",20*100,IF(O1443="YT-XT",24*200,IF(O1443="TED",80*100))))))</f>
        <v/>
      </c>
      <c r="AA1443" s="185"/>
      <c r="AB1443" s="185"/>
      <c r="AC1443" s="185"/>
      <c r="AD1443" s="649"/>
      <c r="AE1443" s="182"/>
      <c r="AF1443" s="332"/>
      <c r="AG1443" s="182"/>
      <c r="AH1443" s="182"/>
      <c r="AI1443" s="182"/>
      <c r="AJ1443" s="640"/>
      <c r="AK1443" s="182"/>
      <c r="AL1443" s="496"/>
      <c r="AM1443" s="496"/>
      <c r="AN1443" s="626"/>
      <c r="AO1443" s="182"/>
      <c r="AP1443" s="182"/>
      <c r="AQ1443" s="332" t="str">
        <f>UPPER(RIGHT(Journal_Live[[#This Row],[DURATION ]]))</f>
        <v/>
      </c>
      <c r="AR1443" s="182"/>
      <c r="AS1443" s="189"/>
      <c r="AT1443" s="189"/>
      <c r="AU1443" s="187"/>
      <c r="AV1443" s="190"/>
      <c r="AW1443" s="191"/>
      <c r="AX1443" s="407"/>
      <c r="AY1443" s="407"/>
      <c r="AZ1443" s="407"/>
      <c r="BA1443" s="407"/>
      <c r="BB1443" s="407"/>
      <c r="BC1443" s="407"/>
      <c r="BD1443" s="407"/>
      <c r="BE1443" s="407"/>
      <c r="BF1443" s="422"/>
      <c r="BG1443" s="391">
        <f>SUM($AV$1389:AV1443)</f>
        <v>235.74658827958046</v>
      </c>
      <c r="BH1443" s="392">
        <f>SUM($AU$1389:AU1443)</f>
        <v>3078.400000000001</v>
      </c>
      <c r="BI1443" s="318">
        <f>SUMIFS($AU$1388:AU1444,$Q$1388:Q1444,"F")</f>
        <v>2134.4</v>
      </c>
      <c r="BJ1443" s="318">
        <f>SUMIFS($AU$1388:AU1444,$Q$1388:Q1444,"S")</f>
        <v>848.00000000000091</v>
      </c>
      <c r="BK1443" s="343">
        <f>SUMIFS($AU$1388:AU1444,$P$1388:P1444,"W")</f>
        <v>1654.400000000001</v>
      </c>
      <c r="BL1443" s="343">
        <f>SUMIFS($AU$1388:AU1444,$P$1388:P1444,"R")</f>
        <v>1328.0000000000002</v>
      </c>
      <c r="BM1443" s="343">
        <f>SUMIFS($AU$1388:AU1444,$AQ$1388:AQ1444,"M")</f>
        <v>784.00000000000023</v>
      </c>
      <c r="BN1443" s="343">
        <f>SUMIFS($AU$1388:AU1444,$AQ$1388:AQ1444,"H")</f>
        <v>-128.00000000000006</v>
      </c>
      <c r="BO1443" s="343">
        <f>SUMIFS($AU$1388:AU1444,$AQ$1388:AQ1444,"D")</f>
        <v>1360.0000000000005</v>
      </c>
      <c r="BP1443" s="343">
        <f>SUMIFS($AU$1388:AU1446,$AQ$1388:AQ1446,"W")</f>
        <v>1062.3999999999999</v>
      </c>
      <c r="BQ1443" s="343">
        <f>SUMIFS($AU$1388:AU1444,$Q$1388:Q1444,"O")</f>
        <v>0</v>
      </c>
      <c r="BR1443" s="343">
        <f>SUMIFS($AU$1388:AU1444,$AA$1388:AA1444,"*")</f>
        <v>2950.400000000001</v>
      </c>
      <c r="BS1443" s="343">
        <f>SUMIFS($AU$1388:AU1444,$AB$1388:AB1444,"*")</f>
        <v>639.99999999999943</v>
      </c>
      <c r="BT1443" s="343">
        <f>SUMIFS($AU$1388:AU1444,$AC$1388:AC1444,"*")</f>
        <v>1030.4000000000001</v>
      </c>
      <c r="BU1443" s="343">
        <f>SUMIFS($AU$1388:AU1444,$AA$1388:AA1444,"*",$AB$1388:AB1444,"*")</f>
        <v>367.9999999999996</v>
      </c>
      <c r="BV1443" s="343">
        <f>SUMIFS($AU$1388:AU1444,$AA$1388:AA1444,"*",$AC$1388:AC1444,"*")</f>
        <v>1174.4000000000001</v>
      </c>
      <c r="BW1443" s="343">
        <f>SUMIFS($AU$1388:AU1444,$AB$1388:AB1444,"*",$AC$1388:AC1444,"*")</f>
        <v>272.00000000000006</v>
      </c>
      <c r="BX1443" s="343">
        <f>SUMIFS($AV$1388:AV1444,$Q$1388:Q1444,"F")</f>
        <v>84.114285714285714</v>
      </c>
      <c r="BY1443" s="343">
        <f>SUMIFS($AV$1388:AV1444,$Q$1388:Q1444,"S")</f>
        <v>103.63230256529495</v>
      </c>
      <c r="BZ1443" s="343">
        <f>SUMIFS($AV$1388:AV1444,$Q$1388:Q1444,"O")</f>
        <v>0</v>
      </c>
    </row>
    <row r="1444" spans="1:78" ht="15.75" customHeight="1">
      <c r="A1444" s="177" t="s">
        <v>4824</v>
      </c>
      <c r="B1444" s="200"/>
      <c r="C1444" s="178"/>
      <c r="D1444" s="178"/>
      <c r="E1444" s="227" t="s">
        <v>5002</v>
      </c>
      <c r="F1444" s="180"/>
      <c r="G1444" s="181"/>
      <c r="H1444" s="182"/>
      <c r="I1444" s="182"/>
      <c r="J1444" s="182">
        <v>1</v>
      </c>
      <c r="K1444" s="183" t="s">
        <v>115</v>
      </c>
      <c r="L1444" s="182"/>
      <c r="M1444" s="182"/>
      <c r="N1444" s="182"/>
      <c r="O1444" s="183"/>
      <c r="P1444" s="183"/>
      <c r="Q1444" s="183"/>
      <c r="R1444" s="183"/>
      <c r="S1444" s="183"/>
      <c r="T1444" s="183"/>
      <c r="U1444" s="183"/>
      <c r="V1444" s="183"/>
      <c r="W1444" s="183"/>
      <c r="X1444" s="183"/>
      <c r="Y1444" s="184" t="str">
        <f>IF(ISBLANK(O1444),"",(IF(O1444=UPPER("IB"),0.005,0.01)))</f>
        <v/>
      </c>
      <c r="Z1444" s="185" t="str">
        <f>IF(ISBLANK(O1444),"",IF(O1444="IB",8.63*200,IF(O1444="IR",16*100,IF(O1444="YT",20*100,IF(O1444="YT-XT",24*200,IF(O1444="TED",80*100))))))</f>
        <v/>
      </c>
      <c r="AA1444" s="185"/>
      <c r="AB1444" s="185"/>
      <c r="AC1444" s="185"/>
      <c r="AD1444" s="649"/>
      <c r="AE1444" s="182"/>
      <c r="AF1444" s="332"/>
      <c r="AG1444" s="182"/>
      <c r="AH1444" s="182"/>
      <c r="AI1444" s="182"/>
      <c r="AJ1444" s="640"/>
      <c r="AK1444" s="182"/>
      <c r="AL1444" s="496"/>
      <c r="AM1444" s="496"/>
      <c r="AN1444" s="626"/>
      <c r="AO1444" s="182"/>
      <c r="AP1444" s="182"/>
      <c r="AQ1444" s="332" t="str">
        <f>UPPER(RIGHT(Journal_Live[[#This Row],[DURATION ]]))</f>
        <v/>
      </c>
      <c r="AR1444" s="182"/>
      <c r="AS1444" s="189"/>
      <c r="AT1444" s="189"/>
      <c r="AU1444" s="187"/>
      <c r="AV1444" s="190"/>
      <c r="AW1444" s="191"/>
      <c r="AX1444" s="407"/>
      <c r="AY1444" s="407"/>
      <c r="AZ1444" s="407"/>
      <c r="BA1444" s="407"/>
      <c r="BB1444" s="407"/>
      <c r="BC1444" s="407"/>
      <c r="BD1444" s="407"/>
      <c r="BE1444" s="407"/>
      <c r="BF1444" s="422"/>
      <c r="BG1444" s="391">
        <f>SUM($AV$1389:AV1444)</f>
        <v>235.74658827958046</v>
      </c>
      <c r="BH1444" s="392">
        <f>SUM($AU$1389:AU1444)</f>
        <v>3078.400000000001</v>
      </c>
      <c r="BI1444" s="318">
        <f>SUMIFS($AU$1388:AU1445,$Q$1388:Q1445,"F")</f>
        <v>2134.4</v>
      </c>
      <c r="BJ1444" s="318">
        <f>SUMIFS($AU$1388:AU1445,$Q$1388:Q1445,"S")</f>
        <v>848.00000000000091</v>
      </c>
      <c r="BK1444" s="343">
        <f>SUMIFS($AU$1388:AU1445,$P$1388:P1445,"W")</f>
        <v>1654.400000000001</v>
      </c>
      <c r="BL1444" s="343">
        <f>SUMIFS($AU$1388:AU1445,$P$1388:P1445,"R")</f>
        <v>1328.0000000000002</v>
      </c>
      <c r="BM1444" s="343">
        <f>SUMIFS($AU$1388:AU1445,$AQ$1388:AQ1445,"M")</f>
        <v>784.00000000000023</v>
      </c>
      <c r="BN1444" s="343">
        <f>SUMIFS($AU$1388:AU1445,$AQ$1388:AQ1445,"H")</f>
        <v>-128.00000000000006</v>
      </c>
      <c r="BO1444" s="343">
        <f>SUMIFS($AU$1388:AU1445,$AQ$1388:AQ1445,"D")</f>
        <v>1360.0000000000005</v>
      </c>
      <c r="BP1444" s="343">
        <f>SUMIFS($AU$1388:AU1447,$AQ$1388:AQ1447,"W")</f>
        <v>1062.3999999999999</v>
      </c>
      <c r="BQ1444" s="343">
        <f>SUMIFS($AU$1388:AU1445,$Q$1388:Q1445,"O")</f>
        <v>0</v>
      </c>
      <c r="BR1444" s="343">
        <f>SUMIFS($AU$1388:AU1445,$AA$1388:AA1445,"*")</f>
        <v>2950.400000000001</v>
      </c>
      <c r="BS1444" s="343">
        <f>SUMIFS($AU$1388:AU1445,$AB$1388:AB1445,"*")</f>
        <v>639.99999999999943</v>
      </c>
      <c r="BT1444" s="343">
        <f>SUMIFS($AU$1388:AU1445,$AC$1388:AC1445,"*")</f>
        <v>1030.4000000000001</v>
      </c>
      <c r="BU1444" s="343">
        <f>SUMIFS($AU$1388:AU1445,$AA$1388:AA1445,"*",$AB$1388:AB1445,"*")</f>
        <v>367.9999999999996</v>
      </c>
      <c r="BV1444" s="343">
        <f>SUMIFS($AU$1388:AU1445,$AA$1388:AA1445,"*",$AC$1388:AC1445,"*")</f>
        <v>1174.4000000000001</v>
      </c>
      <c r="BW1444" s="343">
        <f>SUMIFS($AU$1388:AU1445,$AB$1388:AB1445,"*",$AC$1388:AC1445,"*")</f>
        <v>272.00000000000006</v>
      </c>
      <c r="BX1444" s="343">
        <f>SUMIFS($AV$1388:AV1445,$Q$1388:Q1445,"F")</f>
        <v>84.114285714285714</v>
      </c>
      <c r="BY1444" s="343">
        <f>SUMIFS($AV$1388:AV1445,$Q$1388:Q1445,"S")</f>
        <v>103.63230256529495</v>
      </c>
      <c r="BZ1444" s="343">
        <f>SUMIFS($AV$1388:AV1445,$Q$1388:Q1445,"O")</f>
        <v>0</v>
      </c>
    </row>
    <row r="1445" spans="1:78" ht="15.75" customHeight="1">
      <c r="A1445" s="177" t="s">
        <v>4824</v>
      </c>
      <c r="B1445" s="200">
        <v>45309</v>
      </c>
      <c r="C1445" s="178" t="s">
        <v>682</v>
      </c>
      <c r="D1445" s="178" t="s">
        <v>93</v>
      </c>
      <c r="E1445" s="227"/>
      <c r="F1445" s="180"/>
      <c r="G1445" s="281" t="s">
        <v>3992</v>
      </c>
      <c r="H1445" s="182"/>
      <c r="I1445" s="182"/>
      <c r="J1445" s="182"/>
      <c r="K1445" s="183"/>
      <c r="L1445" s="182">
        <v>2</v>
      </c>
      <c r="M1445" s="182"/>
      <c r="N1445" s="182"/>
      <c r="O1445" s="183" t="s">
        <v>95</v>
      </c>
      <c r="P1445" s="183" t="s">
        <v>137</v>
      </c>
      <c r="Q1445" s="183" t="s">
        <v>684</v>
      </c>
      <c r="R1445" s="183">
        <v>4</v>
      </c>
      <c r="S1445" s="183">
        <v>0</v>
      </c>
      <c r="T1445" s="183">
        <v>4</v>
      </c>
      <c r="U1445" s="183" t="s">
        <v>22</v>
      </c>
      <c r="V1445" s="183"/>
      <c r="W1445" s="183"/>
      <c r="X1445" s="183"/>
      <c r="Y1445" s="184">
        <f>IF(ISBLANK(O1445),"",(IF(O1445=UPPER("IB"),0.005,0.01)))</f>
        <v>0.01</v>
      </c>
      <c r="Z1445" s="185">
        <f>IF(ISBLANK(O1445),"",IF(O1445="IB",8.63*200,IF(O1445="IR",16*100,IF(O1445="YT",20*100,IF(O1445="YT-XT",24*200,IF(O1445="TED",80*100))))))</f>
        <v>1600</v>
      </c>
      <c r="AA1445" s="185" t="s">
        <v>5003</v>
      </c>
      <c r="AB1445" s="185"/>
      <c r="AC1445" s="185"/>
      <c r="AD1445" s="649">
        <v>96.12</v>
      </c>
      <c r="AE1445" s="182"/>
      <c r="AF1445" s="332"/>
      <c r="AG1445" s="182"/>
      <c r="AH1445" s="182"/>
      <c r="AI1445" s="182"/>
      <c r="AJ1445" s="640"/>
      <c r="AK1445" s="182"/>
      <c r="AL1445" s="496"/>
      <c r="AM1445" s="496"/>
      <c r="AN1445" s="626"/>
      <c r="AO1445" s="182"/>
      <c r="AP1445" s="182" t="s">
        <v>4214</v>
      </c>
      <c r="AQ1445" s="332" t="s">
        <v>1259</v>
      </c>
      <c r="AR1445" s="182" t="s">
        <v>327</v>
      </c>
      <c r="AS1445" s="189">
        <v>96.12</v>
      </c>
      <c r="AT1445" s="189">
        <f>IF(ISBLANK(AS1445),,IF(U1445="S",AD1445-AS1445,AS1445-AD1445))</f>
        <v>0</v>
      </c>
      <c r="AU1445" s="187">
        <f>AV1445*R1445</f>
        <v>0</v>
      </c>
      <c r="AV1445" s="190">
        <f>IF(ISBLANK(AS1445),,(AT1445*Z1445))</f>
        <v>0</v>
      </c>
      <c r="AW1445" s="191" t="s">
        <v>115</v>
      </c>
      <c r="AX1445" s="407" t="s">
        <v>340</v>
      </c>
      <c r="AY1445" s="407"/>
      <c r="AZ1445" s="407"/>
      <c r="BA1445" s="407"/>
      <c r="BB1445" s="407"/>
      <c r="BC1445" s="407"/>
      <c r="BD1445" s="407"/>
      <c r="BE1445" s="407"/>
      <c r="BF1445" s="422"/>
      <c r="BG1445" s="391">
        <f>SUM($AV$1389:AV1445)</f>
        <v>235.74658827958046</v>
      </c>
      <c r="BH1445" s="392">
        <f>SUM($AU$1389:AU1445)</f>
        <v>3078.400000000001</v>
      </c>
      <c r="BI1445" s="318">
        <f>SUMIFS($AU$1388:AU1446,$Q$1388:Q1446,"F")</f>
        <v>2134.4</v>
      </c>
      <c r="BJ1445" s="318">
        <f>SUMIFS($AU$1388:AU1446,$Q$1388:Q1446,"S")</f>
        <v>848.00000000000091</v>
      </c>
      <c r="BK1445" s="343">
        <f>SUMIFS($AU$1388:AU1446,$P$1388:P1446,"W")</f>
        <v>1654.400000000001</v>
      </c>
      <c r="BL1445" s="343">
        <f>SUMIFS($AU$1388:AU1446,$P$1388:P1446,"R")</f>
        <v>1328.0000000000002</v>
      </c>
      <c r="BM1445" s="343">
        <f>SUMIFS($AU$1388:AU1446,$AQ$1388:AQ1446,"M")</f>
        <v>784.00000000000023</v>
      </c>
      <c r="BN1445" s="343">
        <f>SUMIFS($AU$1388:AU1446,$AQ$1388:AQ1446,"H")</f>
        <v>-128.00000000000006</v>
      </c>
      <c r="BO1445" s="343">
        <f>SUMIFS($AU$1388:AU1446,$AQ$1388:AQ1446,"D")</f>
        <v>1360.0000000000005</v>
      </c>
      <c r="BP1445" s="343">
        <f>SUMIFS($AU$1388:AU1448,$AQ$1388:AQ1448,"W")</f>
        <v>1062.3999999999999</v>
      </c>
      <c r="BQ1445" s="343">
        <f>SUMIFS($AU$1388:AU1446,$Q$1388:Q1446,"O")</f>
        <v>0</v>
      </c>
      <c r="BR1445" s="343">
        <f>SUMIFS($AU$1388:AU1446,$AA$1388:AA1446,"*")</f>
        <v>2950.400000000001</v>
      </c>
      <c r="BS1445" s="343">
        <f>SUMIFS($AU$1388:AU1446,$AB$1388:AB1446,"*")</f>
        <v>639.99999999999943</v>
      </c>
      <c r="BT1445" s="343">
        <f>SUMIFS($AU$1388:AU1446,$AC$1388:AC1446,"*")</f>
        <v>1030.4000000000001</v>
      </c>
      <c r="BU1445" s="343">
        <f>SUMIFS($AU$1388:AU1446,$AA$1388:AA1446,"*",$AB$1388:AB1446,"*")</f>
        <v>367.9999999999996</v>
      </c>
      <c r="BV1445" s="343">
        <f>SUMIFS($AU$1388:AU1446,$AA$1388:AA1446,"*",$AC$1388:AC1446,"*")</f>
        <v>1174.4000000000001</v>
      </c>
      <c r="BW1445" s="343">
        <f>SUMIFS($AU$1388:AU1446,$AB$1388:AB1446,"*",$AC$1388:AC1446,"*")</f>
        <v>272.00000000000006</v>
      </c>
      <c r="BX1445" s="343">
        <f>SUMIFS($AV$1388:AV1446,$Q$1388:Q1446,"F")</f>
        <v>84.114285714285714</v>
      </c>
      <c r="BY1445" s="343">
        <f>SUMIFS($AV$1388:AV1446,$Q$1388:Q1446,"S")</f>
        <v>103.63230256529495</v>
      </c>
      <c r="BZ1445" s="343">
        <f>SUMIFS($AV$1388:AV1446,$Q$1388:Q1446,"O")</f>
        <v>0</v>
      </c>
    </row>
    <row r="1446" spans="1:78" ht="15.75" customHeight="1">
      <c r="A1446" s="177" t="s">
        <v>4824</v>
      </c>
      <c r="B1446" s="200">
        <v>45309</v>
      </c>
      <c r="C1446" s="178" t="s">
        <v>682</v>
      </c>
      <c r="D1446" s="178" t="s">
        <v>93</v>
      </c>
      <c r="E1446" s="227"/>
      <c r="F1446" s="180"/>
      <c r="G1446" s="281" t="s">
        <v>136</v>
      </c>
      <c r="H1446" s="182"/>
      <c r="I1446" s="182"/>
      <c r="J1446" s="182"/>
      <c r="K1446" s="183"/>
      <c r="L1446" s="182">
        <v>1</v>
      </c>
      <c r="M1446" s="182">
        <v>1</v>
      </c>
      <c r="N1446" s="182"/>
      <c r="O1446" s="183" t="s">
        <v>95</v>
      </c>
      <c r="P1446" s="183" t="s">
        <v>96</v>
      </c>
      <c r="Q1446" s="183" t="s">
        <v>97</v>
      </c>
      <c r="R1446" s="183">
        <v>22</v>
      </c>
      <c r="S1446" s="183">
        <v>0</v>
      </c>
      <c r="T1446" s="183">
        <v>22</v>
      </c>
      <c r="U1446" s="183" t="s">
        <v>22</v>
      </c>
      <c r="V1446" s="183"/>
      <c r="W1446" s="183"/>
      <c r="X1446" s="183"/>
      <c r="Y1446" s="184">
        <f>IF(ISBLANK(O1446),"",(IF(O1446=UPPER("IB"),0.005,0.01)))</f>
        <v>0.01</v>
      </c>
      <c r="Z1446" s="185">
        <f>IF(ISBLANK(O1446),"",IF(O1446="IB",8.63*200,IF(O1446="IR",16*100,IF(O1446="YT",20*100,IF(O1446="YT-XT",24*200,IF(O1446="TED",80*100))))))</f>
        <v>1600</v>
      </c>
      <c r="AA1446" s="185" t="s">
        <v>5004</v>
      </c>
      <c r="AB1446" s="185"/>
      <c r="AC1446" s="185" t="s">
        <v>5005</v>
      </c>
      <c r="AD1446" s="649">
        <v>-0.1</v>
      </c>
      <c r="AE1446" s="182"/>
      <c r="AF1446" s="332"/>
      <c r="AG1446" s="182"/>
      <c r="AH1446" s="182"/>
      <c r="AI1446" s="182"/>
      <c r="AJ1446" s="640"/>
      <c r="AK1446" s="182"/>
      <c r="AL1446" s="496">
        <f t="shared" si="405"/>
        <v>-32</v>
      </c>
      <c r="AM1446" s="496">
        <f>AL1446*(R1446-S1446)</f>
        <v>-704</v>
      </c>
      <c r="AN1446" s="626"/>
      <c r="AO1446" s="182"/>
      <c r="AP1446" s="182"/>
      <c r="AQ1446" s="332" t="s">
        <v>372</v>
      </c>
      <c r="AR1446" s="182" t="s">
        <v>5006</v>
      </c>
      <c r="AS1446" s="189">
        <v>-0.1</v>
      </c>
      <c r="AT1446" s="189">
        <f>IF(ISBLANK(AS1446),,IF(U1446="S",AD1446-AS1446,AS1446-AD1446))</f>
        <v>0</v>
      </c>
      <c r="AU1446" s="187">
        <f>AV1446*R1446</f>
        <v>0</v>
      </c>
      <c r="AV1446" s="190">
        <f>IF(ISBLANK(AS1446),,(AT1446*Z1446))</f>
        <v>0</v>
      </c>
      <c r="AW1446" s="191" t="s">
        <v>115</v>
      </c>
      <c r="AX1446" s="407" t="s">
        <v>5007</v>
      </c>
      <c r="AY1446" s="407"/>
      <c r="AZ1446" s="407"/>
      <c r="BA1446" s="407"/>
      <c r="BB1446" s="407"/>
      <c r="BC1446" s="407"/>
      <c r="BD1446" s="407"/>
      <c r="BE1446" s="407"/>
      <c r="BF1446" s="422"/>
      <c r="BG1446" s="391">
        <f>SUM($AV$1389:AV1446)</f>
        <v>235.74658827958046</v>
      </c>
      <c r="BH1446" s="392">
        <f>SUM($AU$1389:AU1446)</f>
        <v>3078.400000000001</v>
      </c>
      <c r="BI1446" s="318">
        <f>SUMIFS($AU$1388:AU1447,$Q$1388:Q1447,"F")</f>
        <v>2134.4</v>
      </c>
      <c r="BJ1446" s="318">
        <f>SUMIFS($AU$1388:AU1447,$Q$1388:Q1447,"S")</f>
        <v>848.00000000000091</v>
      </c>
      <c r="BK1446" s="343">
        <f>SUMIFS($AU$1388:AU1447,$P$1388:P1447,"W")</f>
        <v>1654.400000000001</v>
      </c>
      <c r="BL1446" s="343">
        <f>SUMIFS($AU$1388:AU1447,$P$1388:P1447,"R")</f>
        <v>1328.0000000000002</v>
      </c>
      <c r="BM1446" s="343">
        <f>SUMIFS($AU$1388:AU1447,$AQ$1388:AQ1447,"M")</f>
        <v>784.00000000000023</v>
      </c>
      <c r="BN1446" s="343">
        <f>SUMIFS($AU$1388:AU1447,$AQ$1388:AQ1447,"H")</f>
        <v>-128.00000000000006</v>
      </c>
      <c r="BO1446" s="343">
        <f>SUMIFS($AU$1388:AU1447,$AQ$1388:AQ1447,"D")</f>
        <v>1360.0000000000005</v>
      </c>
      <c r="BP1446" s="343">
        <f>SUMIFS($AU$1388:AU1449,$AQ$1388:AQ1449,"W")</f>
        <v>1062.3999999999999</v>
      </c>
      <c r="BQ1446" s="343">
        <f>SUMIFS($AU$1388:AU1447,$Q$1388:Q1447,"O")</f>
        <v>0</v>
      </c>
      <c r="BR1446" s="343">
        <f>SUMIFS($AU$1388:AU1447,$AA$1388:AA1447,"*")</f>
        <v>2950.400000000001</v>
      </c>
      <c r="BS1446" s="343">
        <f>SUMIFS($AU$1388:AU1447,$AB$1388:AB1447,"*")</f>
        <v>639.99999999999943</v>
      </c>
      <c r="BT1446" s="343">
        <f>SUMIFS($AU$1388:AU1447,$AC$1388:AC1447,"*")</f>
        <v>1030.4000000000001</v>
      </c>
      <c r="BU1446" s="343">
        <f>SUMIFS($AU$1388:AU1447,$AA$1388:AA1447,"*",$AB$1388:AB1447,"*")</f>
        <v>367.9999999999996</v>
      </c>
      <c r="BV1446" s="343">
        <f>SUMIFS($AU$1388:AU1447,$AA$1388:AA1447,"*",$AC$1388:AC1447,"*")</f>
        <v>1174.4000000000001</v>
      </c>
      <c r="BW1446" s="343">
        <f>SUMIFS($AU$1388:AU1447,$AB$1388:AB1447,"*",$AC$1388:AC1447,"*")</f>
        <v>272.00000000000006</v>
      </c>
      <c r="BX1446" s="343">
        <f>SUMIFS($AV$1388:AV1447,$Q$1388:Q1447,"F")</f>
        <v>84.114285714285714</v>
      </c>
      <c r="BY1446" s="343">
        <f>SUMIFS($AV$1388:AV1447,$Q$1388:Q1447,"S")</f>
        <v>103.63230256529495</v>
      </c>
      <c r="BZ1446" s="343">
        <f>SUMIFS($AV$1388:AV1447,$Q$1388:Q1447,"O")</f>
        <v>0</v>
      </c>
    </row>
    <row r="1447" spans="1:78" ht="15.75" customHeight="1">
      <c r="A1447" s="177" t="s">
        <v>4824</v>
      </c>
      <c r="B1447" s="200"/>
      <c r="C1447" s="178"/>
      <c r="D1447" s="178"/>
      <c r="E1447" s="227"/>
      <c r="F1447" s="180"/>
      <c r="G1447" s="181"/>
      <c r="H1447" s="182"/>
      <c r="I1447" s="182"/>
      <c r="J1447" s="182"/>
      <c r="K1447" s="183"/>
      <c r="L1447" s="182"/>
      <c r="M1447" s="182"/>
      <c r="N1447" s="182"/>
      <c r="O1447" s="183"/>
      <c r="P1447" s="183"/>
      <c r="Q1447" s="183"/>
      <c r="R1447" s="183"/>
      <c r="S1447" s="183"/>
      <c r="T1447" s="183"/>
      <c r="U1447" s="183"/>
      <c r="V1447" s="183"/>
      <c r="W1447" s="183"/>
      <c r="X1447" s="183"/>
      <c r="Y1447" s="184"/>
      <c r="Z1447" s="185"/>
      <c r="AA1447" s="409"/>
      <c r="AB1447" s="185"/>
      <c r="AC1447" s="185"/>
      <c r="AD1447" s="649"/>
      <c r="AE1447" s="182"/>
      <c r="AF1447" s="332"/>
      <c r="AG1447" s="182"/>
      <c r="AH1447" s="478" t="s">
        <v>5008</v>
      </c>
      <c r="AI1447" s="182"/>
      <c r="AJ1447" s="640"/>
      <c r="AK1447" s="182"/>
      <c r="AL1447" s="496"/>
      <c r="AM1447" s="496"/>
      <c r="AN1447" s="626"/>
      <c r="AO1447" s="182"/>
      <c r="AP1447" s="182"/>
      <c r="AQ1447" s="332" t="str">
        <f>UPPER(RIGHT(Journal_Live[[#This Row],[DURATION ]]))</f>
        <v/>
      </c>
      <c r="AR1447" s="182"/>
      <c r="AS1447" s="189"/>
      <c r="AT1447" s="189"/>
      <c r="AU1447" s="187"/>
      <c r="AV1447" s="190"/>
      <c r="AW1447" s="191"/>
      <c r="AX1447" s="407"/>
      <c r="AY1447" s="407"/>
      <c r="AZ1447" s="407"/>
      <c r="BA1447" s="407"/>
      <c r="BB1447" s="407"/>
      <c r="BC1447" s="407"/>
      <c r="BD1447" s="407"/>
      <c r="BE1447" s="407"/>
      <c r="BF1447" s="422"/>
      <c r="BG1447" s="391">
        <f>SUM($AV$1389:AV1447)</f>
        <v>235.74658827958046</v>
      </c>
      <c r="BH1447" s="392">
        <f>SUM($AU$1389:AU1447)</f>
        <v>3078.400000000001</v>
      </c>
      <c r="BI1447" s="318">
        <f>SUMIFS($AU$1388:AU1448,$Q$1388:Q1448,"F")</f>
        <v>2134.4</v>
      </c>
      <c r="BJ1447" s="318">
        <f>SUMIFS($AU$1388:AU1448,$Q$1388:Q1448,"S")</f>
        <v>848.00000000000091</v>
      </c>
      <c r="BK1447" s="343">
        <f>SUMIFS($AU$1388:AU1448,$P$1388:P1448,"W")</f>
        <v>1654.400000000001</v>
      </c>
      <c r="BL1447" s="343">
        <f>SUMIFS($AU$1388:AU1448,$P$1388:P1448,"R")</f>
        <v>1328.0000000000002</v>
      </c>
      <c r="BM1447" s="343">
        <f>SUMIFS($AU$1388:AU1448,$AQ$1388:AQ1448,"M")</f>
        <v>784.00000000000023</v>
      </c>
      <c r="BN1447" s="343">
        <f>SUMIFS($AU$1388:AU1448,$AQ$1388:AQ1448,"H")</f>
        <v>-128.00000000000006</v>
      </c>
      <c r="BO1447" s="343">
        <f>SUMIFS($AU$1388:AU1448,$AQ$1388:AQ1448,"D")</f>
        <v>1360.0000000000005</v>
      </c>
      <c r="BP1447" s="343">
        <f>SUMIFS($AU$1388:AU1450,$AQ$1388:AQ1450,"W")</f>
        <v>1062.3999999999999</v>
      </c>
      <c r="BQ1447" s="343">
        <f>SUMIFS($AU$1388:AU1448,$Q$1388:Q1448,"O")</f>
        <v>0</v>
      </c>
      <c r="BR1447" s="343">
        <f>SUMIFS($AU$1388:AU1448,$AA$1388:AA1448,"*")</f>
        <v>2950.400000000001</v>
      </c>
      <c r="BS1447" s="343">
        <f>SUMIFS($AU$1388:AU1448,$AB$1388:AB1448,"*")</f>
        <v>639.99999999999943</v>
      </c>
      <c r="BT1447" s="343">
        <f>SUMIFS($AU$1388:AU1448,$AC$1388:AC1448,"*")</f>
        <v>1030.4000000000001</v>
      </c>
      <c r="BU1447" s="343">
        <f>SUMIFS($AU$1388:AU1448,$AA$1388:AA1448,"*",$AB$1388:AB1448,"*")</f>
        <v>367.9999999999996</v>
      </c>
      <c r="BV1447" s="343">
        <f>SUMIFS($AU$1388:AU1448,$AA$1388:AA1448,"*",$AC$1388:AC1448,"*")</f>
        <v>1174.4000000000001</v>
      </c>
      <c r="BW1447" s="343">
        <f>SUMIFS($AU$1388:AU1448,$AB$1388:AB1448,"*",$AC$1388:AC1448,"*")</f>
        <v>272.00000000000006</v>
      </c>
      <c r="BX1447" s="343">
        <f>SUMIFS($AV$1388:AV1448,$Q$1388:Q1448,"F")</f>
        <v>84.114285714285714</v>
      </c>
      <c r="BY1447" s="343">
        <f>SUMIFS($AV$1388:AV1448,$Q$1388:Q1448,"S")</f>
        <v>103.63230256529495</v>
      </c>
      <c r="BZ1447" s="343">
        <f>SUMIFS($AV$1388:AV1448,$Q$1388:Q1448,"O")</f>
        <v>0</v>
      </c>
    </row>
    <row r="1448" spans="1:78" ht="15.75" customHeight="1">
      <c r="A1448" s="177" t="s">
        <v>4824</v>
      </c>
      <c r="B1448" s="200"/>
      <c r="C1448" s="178"/>
      <c r="D1448" s="178"/>
      <c r="E1448" s="227"/>
      <c r="F1448" s="180"/>
      <c r="G1448" s="181"/>
      <c r="H1448" s="182"/>
      <c r="I1448" s="182"/>
      <c r="J1448" s="182"/>
      <c r="K1448" s="183"/>
      <c r="L1448" s="182"/>
      <c r="M1448" s="182"/>
      <c r="N1448" s="182"/>
      <c r="O1448" s="183"/>
      <c r="P1448" s="183"/>
      <c r="Q1448" s="183"/>
      <c r="R1448" s="183"/>
      <c r="S1448" s="183"/>
      <c r="T1448" s="183"/>
      <c r="U1448" s="183"/>
      <c r="V1448" s="183"/>
      <c r="W1448" s="183"/>
      <c r="X1448" s="183"/>
      <c r="Y1448" s="183"/>
      <c r="Z1448" s="183"/>
      <c r="AA1448" s="185"/>
      <c r="AB1448" s="185"/>
      <c r="AC1448" s="185"/>
      <c r="AD1448" s="649"/>
      <c r="AE1448" s="182"/>
      <c r="AF1448" s="332"/>
      <c r="AG1448" s="182"/>
      <c r="AH1448" s="182"/>
      <c r="AI1448" s="182"/>
      <c r="AJ1448" s="640"/>
      <c r="AK1448" s="182"/>
      <c r="AL1448" s="496"/>
      <c r="AM1448" s="496"/>
      <c r="AN1448" s="626"/>
      <c r="AO1448" s="182"/>
      <c r="AP1448" s="182"/>
      <c r="AQ1448" s="332" t="str">
        <f>UPPER(RIGHT(Journal_Live[[#This Row],[DURATION ]]))</f>
        <v/>
      </c>
      <c r="AR1448" s="182"/>
      <c r="AS1448" s="189"/>
      <c r="AT1448" s="189"/>
      <c r="AU1448" s="187"/>
      <c r="AV1448" s="190"/>
      <c r="AW1448" s="191"/>
      <c r="AX1448" s="407" t="s">
        <v>5009</v>
      </c>
      <c r="AY1448" s="407" t="s">
        <v>5010</v>
      </c>
      <c r="AZ1448" s="407" t="s">
        <v>5011</v>
      </c>
      <c r="BA1448" s="407"/>
      <c r="BB1448" s="407"/>
      <c r="BC1448" s="407"/>
      <c r="BD1448" s="407"/>
      <c r="BE1448" s="407"/>
      <c r="BF1448" s="422"/>
      <c r="BG1448" s="391">
        <f>SUM($AV$1389:AV1448)</f>
        <v>235.74658827958046</v>
      </c>
      <c r="BH1448" s="392">
        <f>SUM($AU$1389:AU1448)</f>
        <v>3078.400000000001</v>
      </c>
      <c r="BI1448" s="318">
        <f>SUMIFS($AU$1388:AU1449,$Q$1388:Q1449,"F")</f>
        <v>2134.4</v>
      </c>
      <c r="BJ1448" s="318">
        <f>SUMIFS($AU$1388:AU1449,$Q$1388:Q1449,"S")</f>
        <v>848.00000000000091</v>
      </c>
      <c r="BK1448" s="343">
        <f>SUMIFS($AU$1388:AU1449,$P$1388:P1449,"W")</f>
        <v>1654.400000000001</v>
      </c>
      <c r="BL1448" s="343">
        <f>SUMIFS($AU$1388:AU1449,$P$1388:P1449,"R")</f>
        <v>1408.0000000000002</v>
      </c>
      <c r="BM1448" s="343">
        <f>SUMIFS($AU$1388:AU1449,$AQ$1388:AQ1449,"M")</f>
        <v>784.00000000000023</v>
      </c>
      <c r="BN1448" s="343">
        <f>SUMIFS($AU$1388:AU1449,$AQ$1388:AQ1449,"H")</f>
        <v>-48.000000000000057</v>
      </c>
      <c r="BO1448" s="343">
        <f>SUMIFS($AU$1388:AU1449,$AQ$1388:AQ1449,"D")</f>
        <v>1360.0000000000005</v>
      </c>
      <c r="BP1448" s="343">
        <f>SUMIFS($AU$1388:AU1451,$AQ$1388:AQ1451,"W")</f>
        <v>1062.3999999999999</v>
      </c>
      <c r="BQ1448" s="343">
        <f>SUMIFS($AU$1388:AU1449,$Q$1388:Q1449,"O")</f>
        <v>0</v>
      </c>
      <c r="BR1448" s="343">
        <f>SUMIFS($AU$1388:AU1449,$AA$1388:AA1449,"*")</f>
        <v>3030.400000000001</v>
      </c>
      <c r="BS1448" s="343">
        <f>SUMIFS($AU$1388:AU1449,$AB$1388:AB1449,"*")</f>
        <v>639.99999999999943</v>
      </c>
      <c r="BT1448" s="343">
        <f>SUMIFS($AU$1388:AU1449,$AC$1388:AC1449,"*")</f>
        <v>1030.4000000000001</v>
      </c>
      <c r="BU1448" s="343">
        <f>SUMIFS($AU$1388:AU1449,$AA$1388:AA1449,"*",$AB$1388:AB1449,"*")</f>
        <v>367.9999999999996</v>
      </c>
      <c r="BV1448" s="343">
        <f>SUMIFS($AU$1388:AU1449,$AA$1388:AA1449,"*",$AC$1388:AC1449,"*")</f>
        <v>1174.4000000000001</v>
      </c>
      <c r="BW1448" s="343">
        <f>SUMIFS($AU$1388:AU1449,$AB$1388:AB1449,"*",$AC$1388:AC1449,"*")</f>
        <v>272.00000000000006</v>
      </c>
      <c r="BX1448" s="343">
        <f>SUMIFS($AV$1388:AV1449,$Q$1388:Q1449,"F")</f>
        <v>84.114285714285714</v>
      </c>
      <c r="BY1448" s="343">
        <f>SUMIFS($AV$1388:AV1449,$Q$1388:Q1449,"S")</f>
        <v>103.63230256529495</v>
      </c>
      <c r="BZ1448" s="343">
        <f>SUMIFS($AV$1388:AV1449,$Q$1388:Q1449,"O")</f>
        <v>0</v>
      </c>
    </row>
    <row r="1449" spans="1:78" ht="15.75" customHeight="1">
      <c r="A1449" s="177" t="s">
        <v>4824</v>
      </c>
      <c r="B1449" s="200">
        <v>45309</v>
      </c>
      <c r="C1449" s="178" t="s">
        <v>3968</v>
      </c>
      <c r="D1449" s="178" t="s">
        <v>93</v>
      </c>
      <c r="E1449" s="227"/>
      <c r="F1449" s="180"/>
      <c r="G1449" s="281" t="s">
        <v>5012</v>
      </c>
      <c r="H1449" s="182"/>
      <c r="I1449" s="182"/>
      <c r="J1449" s="182"/>
      <c r="K1449" s="183"/>
      <c r="L1449" s="182">
        <v>1</v>
      </c>
      <c r="M1449" s="182">
        <v>1</v>
      </c>
      <c r="N1449" s="182"/>
      <c r="O1449" s="183" t="s">
        <v>2652</v>
      </c>
      <c r="P1449" s="183" t="s">
        <v>137</v>
      </c>
      <c r="Q1449" s="183"/>
      <c r="R1449" s="183">
        <v>1</v>
      </c>
      <c r="S1449" s="183">
        <v>0</v>
      </c>
      <c r="T1449" s="183">
        <v>1</v>
      </c>
      <c r="U1449" s="183" t="s">
        <v>22</v>
      </c>
      <c r="V1449" s="183"/>
      <c r="W1449" s="183"/>
      <c r="X1449" s="183"/>
      <c r="Y1449" s="184">
        <f>IF(ISBLANK(O1449),"",(IF(O1449=UPPER("IB"),0.005,0.01)))</f>
        <v>0.01</v>
      </c>
      <c r="Z1449" s="185">
        <f>IF(ISBLANK(O1449),"",IF(O1449="IB",8.63*200,IF(O1449="IR",16*100,IF(O1449="YT",20*100,IF(O1449="YT-XT",24*200,IF(O1449="TED",80*100))))))</f>
        <v>8000</v>
      </c>
      <c r="AA1449" s="185" t="s">
        <v>5013</v>
      </c>
      <c r="AB1449" s="185"/>
      <c r="AC1449" s="185"/>
      <c r="AD1449" s="649">
        <v>-0.01</v>
      </c>
      <c r="AE1449" s="182"/>
      <c r="AF1449" s="332"/>
      <c r="AG1449" s="182"/>
      <c r="AH1449" s="182"/>
      <c r="AI1449" s="182"/>
      <c r="AJ1449" s="640"/>
      <c r="AK1449" s="182"/>
      <c r="AL1449" s="496">
        <f t="shared" ref="AL1449" si="406">-0.02*Z1449</f>
        <v>-160</v>
      </c>
      <c r="AM1449" s="496">
        <f>AL1449*(R1449-S1449)</f>
        <v>-160</v>
      </c>
      <c r="AN1449" s="626"/>
      <c r="AO1449" s="182"/>
      <c r="AP1449" s="182" t="s">
        <v>5014</v>
      </c>
      <c r="AQ1449" s="332" t="s">
        <v>372</v>
      </c>
      <c r="AR1449" s="182" t="s">
        <v>5015</v>
      </c>
      <c r="AS1449" s="189">
        <v>0</v>
      </c>
      <c r="AT1449" s="189">
        <f>IF(ISBLANK(AS1449),,IF(U1449="S",AD1449-AS1449,AS1449-AD1449))</f>
        <v>0.01</v>
      </c>
      <c r="AU1449" s="187">
        <f>AV1449*R1449</f>
        <v>80</v>
      </c>
      <c r="AV1449" s="190">
        <f>IF(ISBLANK(AS1449),,(AT1449*Z1449))</f>
        <v>80</v>
      </c>
      <c r="AW1449" s="191" t="s">
        <v>96</v>
      </c>
      <c r="AX1449" s="407"/>
      <c r="AY1449" s="407"/>
      <c r="AZ1449" s="407"/>
      <c r="BA1449" s="407"/>
      <c r="BB1449" s="407"/>
      <c r="BC1449" s="407"/>
      <c r="BD1449" s="407"/>
      <c r="BE1449" s="407"/>
      <c r="BF1449" s="422"/>
      <c r="BG1449" s="391">
        <f>SUM($AV$1389:AV1449)</f>
        <v>315.74658827958046</v>
      </c>
      <c r="BH1449" s="392">
        <f>SUM($AU$1389:AU1449)</f>
        <v>3158.400000000001</v>
      </c>
      <c r="BI1449" s="318">
        <f>SUMIFS($AU$1388:AU1450,$Q$1388:Q1450,"F")</f>
        <v>2134.4</v>
      </c>
      <c r="BJ1449" s="318">
        <f>SUMIFS($AU$1388:AU1450,$Q$1388:Q1450,"S")</f>
        <v>1040.0000000000009</v>
      </c>
      <c r="BK1449" s="343">
        <f>SUMIFS($AU$1388:AU1450,$P$1388:P1450,"W")</f>
        <v>1846.400000000001</v>
      </c>
      <c r="BL1449" s="343">
        <f>SUMIFS($AU$1388:AU1450,$P$1388:P1450,"R")</f>
        <v>1408.0000000000002</v>
      </c>
      <c r="BM1449" s="343">
        <f>SUMIFS($AU$1388:AU1450,$AQ$1388:AQ1450,"M")</f>
        <v>976.00000000000023</v>
      </c>
      <c r="BN1449" s="343">
        <f>SUMIFS($AU$1388:AU1450,$AQ$1388:AQ1450,"H")</f>
        <v>-48.000000000000057</v>
      </c>
      <c r="BO1449" s="343">
        <f>SUMIFS($AU$1388:AU1450,$AQ$1388:AQ1450,"D")</f>
        <v>1360.0000000000005</v>
      </c>
      <c r="BP1449" s="343">
        <f>SUMIFS($AU$1388:AU1452,$AQ$1388:AQ1452,"W")</f>
        <v>1062.3999999999999</v>
      </c>
      <c r="BQ1449" s="343">
        <f>SUMIFS($AU$1388:AU1450,$Q$1388:Q1450,"O")</f>
        <v>0</v>
      </c>
      <c r="BR1449" s="343">
        <f>SUMIFS($AU$1388:AU1450,$AA$1388:AA1450,"*")</f>
        <v>3222.400000000001</v>
      </c>
      <c r="BS1449" s="343">
        <f>SUMIFS($AU$1388:AU1450,$AB$1388:AB1450,"*")</f>
        <v>639.99999999999943</v>
      </c>
      <c r="BT1449" s="343">
        <f>SUMIFS($AU$1388:AU1450,$AC$1388:AC1450,"*")</f>
        <v>1030.4000000000001</v>
      </c>
      <c r="BU1449" s="343">
        <f>SUMIFS($AU$1388:AU1450,$AA$1388:AA1450,"*",$AB$1388:AB1450,"*")</f>
        <v>367.9999999999996</v>
      </c>
      <c r="BV1449" s="343">
        <f>SUMIFS($AU$1388:AU1450,$AA$1388:AA1450,"*",$AC$1388:AC1450,"*")</f>
        <v>1174.4000000000001</v>
      </c>
      <c r="BW1449" s="343">
        <f>SUMIFS($AU$1388:AU1450,$AB$1388:AB1450,"*",$AC$1388:AC1450,"*")</f>
        <v>272.00000000000006</v>
      </c>
      <c r="BX1449" s="343">
        <f>SUMIFS($AV$1388:AV1450,$Q$1388:Q1450,"F")</f>
        <v>84.114285714285714</v>
      </c>
      <c r="BY1449" s="343">
        <f>SUMIFS($AV$1388:AV1450,$Q$1388:Q1450,"S")</f>
        <v>119.63230256529495</v>
      </c>
      <c r="BZ1449" s="343">
        <f>SUMIFS($AV$1388:AV1450,$Q$1388:Q1450,"O")</f>
        <v>0</v>
      </c>
    </row>
    <row r="1450" spans="1:78" ht="15.75" customHeight="1">
      <c r="A1450" s="177" t="s">
        <v>4824</v>
      </c>
      <c r="B1450" s="200">
        <v>45310</v>
      </c>
      <c r="C1450" s="178" t="s">
        <v>5016</v>
      </c>
      <c r="D1450" s="178" t="s">
        <v>111</v>
      </c>
      <c r="E1450" s="227"/>
      <c r="F1450" s="180"/>
      <c r="G1450" s="181" t="s">
        <v>181</v>
      </c>
      <c r="H1450" s="182"/>
      <c r="I1450" s="182"/>
      <c r="J1450" s="182"/>
      <c r="K1450" s="183"/>
      <c r="L1450" s="182">
        <v>1</v>
      </c>
      <c r="M1450" s="182">
        <v>1</v>
      </c>
      <c r="N1450" s="182"/>
      <c r="O1450" s="183" t="s">
        <v>95</v>
      </c>
      <c r="P1450" s="183" t="s">
        <v>96</v>
      </c>
      <c r="Q1450" s="183" t="s">
        <v>97</v>
      </c>
      <c r="R1450" s="183">
        <v>12</v>
      </c>
      <c r="S1450" s="183">
        <v>0</v>
      </c>
      <c r="T1450" s="183">
        <v>12</v>
      </c>
      <c r="U1450" s="183" t="s">
        <v>97</v>
      </c>
      <c r="V1450" s="183"/>
      <c r="W1450" s="183"/>
      <c r="X1450" s="183"/>
      <c r="Y1450" s="184">
        <f>IF(ISBLANK(O1450),"",(IF(O1450=UPPER("IB"),0.005,0.01)))</f>
        <v>0.01</v>
      </c>
      <c r="Z1450" s="185">
        <f>IF(ISBLANK(O1450),"",IF(O1450="IB",8.63*200,IF(O1450="IR",16*100,IF(O1450="YT",20*100,IF(O1450="YT-XT",24*200,IF(O1450="TED",80*100))))))</f>
        <v>1600</v>
      </c>
      <c r="AA1450" s="185" t="s">
        <v>5017</v>
      </c>
      <c r="AB1450" s="185"/>
      <c r="AC1450" s="185"/>
      <c r="AD1450" s="649">
        <v>-0.02</v>
      </c>
      <c r="AE1450" s="182"/>
      <c r="AF1450" s="332"/>
      <c r="AG1450" s="182"/>
      <c r="AH1450" s="182"/>
      <c r="AI1450" s="182"/>
      <c r="AJ1450" s="640"/>
      <c r="AK1450" s="182"/>
      <c r="AL1450" s="496">
        <f t="shared" ref="AL1450:AL1524" si="407">-0.02*Z1450</f>
        <v>-32</v>
      </c>
      <c r="AM1450" s="496">
        <f>AL1450*(R1450-S1450)</f>
        <v>-384</v>
      </c>
      <c r="AN1450" s="626"/>
      <c r="AO1450" s="182"/>
      <c r="AP1450" s="182" t="s">
        <v>3286</v>
      </c>
      <c r="AQ1450" s="332" t="s">
        <v>1259</v>
      </c>
      <c r="AR1450" s="182" t="s">
        <v>5018</v>
      </c>
      <c r="AS1450" s="189">
        <v>-0.03</v>
      </c>
      <c r="AT1450" s="189">
        <f>IF(ISBLANK(AS1450),,IF(U1450="S",AD1450-AS1450,AS1450-AD1450))</f>
        <v>9.9999999999999985E-3</v>
      </c>
      <c r="AU1450" s="187">
        <f>AV1450*R1450</f>
        <v>191.99999999999997</v>
      </c>
      <c r="AV1450" s="190">
        <f>IF(ISBLANK(AS1450),,(AT1450*Z1450))</f>
        <v>15.999999999999998</v>
      </c>
      <c r="AW1450" s="191" t="s">
        <v>96</v>
      </c>
      <c r="AX1450" s="407"/>
      <c r="AY1450" s="407"/>
      <c r="AZ1450" s="407"/>
      <c r="BA1450" s="407"/>
      <c r="BB1450" s="407"/>
      <c r="BC1450" s="407"/>
      <c r="BD1450" s="407"/>
      <c r="BE1450" s="407"/>
      <c r="BF1450" s="422"/>
      <c r="BG1450" s="391">
        <f>SUM($AV$1389:AV1450)</f>
        <v>331.74658827958046</v>
      </c>
      <c r="BH1450" s="392">
        <f>SUM($AU$1389:AU1450)</f>
        <v>3350.400000000001</v>
      </c>
      <c r="BI1450" s="318">
        <f>SUMIFS($AU$1388:AU1451,$Q$1388:Q1451,"F")</f>
        <v>2134.4</v>
      </c>
      <c r="BJ1450" s="318">
        <f>SUMIFS($AU$1388:AU1451,$Q$1388:Q1451,"S")</f>
        <v>1296.0000000000009</v>
      </c>
      <c r="BK1450" s="343">
        <f>SUMIFS($AU$1388:AU1451,$P$1388:P1451,"W")</f>
        <v>2102.400000000001</v>
      </c>
      <c r="BL1450" s="343">
        <f>SUMIFS($AU$1388:AU1451,$P$1388:P1451,"R")</f>
        <v>1408.0000000000002</v>
      </c>
      <c r="BM1450" s="343">
        <f>SUMIFS($AU$1388:AU1451,$AQ$1388:AQ1451,"M")</f>
        <v>976.00000000000023</v>
      </c>
      <c r="BN1450" s="343">
        <f>SUMIFS($AU$1388:AU1451,$AQ$1388:AQ1451,"H")</f>
        <v>-48.000000000000057</v>
      </c>
      <c r="BO1450" s="343">
        <f>SUMIFS($AU$1388:AU1451,$AQ$1388:AQ1451,"D")</f>
        <v>1616.0000000000005</v>
      </c>
      <c r="BP1450" s="343">
        <f>SUMIFS($AU$1388:AU1453,$AQ$1388:AQ1453,"W")</f>
        <v>1062.3999999999999</v>
      </c>
      <c r="BQ1450" s="343">
        <f>SUMIFS($AU$1388:AU1451,$Q$1388:Q1451,"O")</f>
        <v>0</v>
      </c>
      <c r="BR1450" s="343">
        <f>SUMIFS($AU$1388:AU1451,$AA$1388:AA1451,"*")</f>
        <v>3478.400000000001</v>
      </c>
      <c r="BS1450" s="343">
        <f>SUMIFS($AU$1388:AU1451,$AB$1388:AB1451,"*")</f>
        <v>639.99999999999943</v>
      </c>
      <c r="BT1450" s="343">
        <f>SUMIFS($AU$1388:AU1451,$AC$1388:AC1451,"*")</f>
        <v>1030.4000000000001</v>
      </c>
      <c r="BU1450" s="343">
        <f>SUMIFS($AU$1388:AU1451,$AA$1388:AA1451,"*",$AB$1388:AB1451,"*")</f>
        <v>367.9999999999996</v>
      </c>
      <c r="BV1450" s="343">
        <f>SUMIFS($AU$1388:AU1451,$AA$1388:AA1451,"*",$AC$1388:AC1451,"*")</f>
        <v>1174.4000000000001</v>
      </c>
      <c r="BW1450" s="343">
        <f>SUMIFS($AU$1388:AU1451,$AB$1388:AB1451,"*",$AC$1388:AC1451,"*")</f>
        <v>272.00000000000006</v>
      </c>
      <c r="BX1450" s="343">
        <f>SUMIFS($AV$1388:AV1451,$Q$1388:Q1451,"F")</f>
        <v>84.114285714285714</v>
      </c>
      <c r="BY1450" s="343">
        <f>SUMIFS($AV$1388:AV1451,$Q$1388:Q1451,"S")</f>
        <v>135.63230256529494</v>
      </c>
      <c r="BZ1450" s="343">
        <f>SUMIFS($AV$1388:AV1451,$Q$1388:Q1451,"O")</f>
        <v>0</v>
      </c>
    </row>
    <row r="1451" spans="1:78" ht="15.75" customHeight="1">
      <c r="A1451" s="177" t="s">
        <v>4824</v>
      </c>
      <c r="B1451" s="200">
        <v>45310</v>
      </c>
      <c r="C1451" s="178" t="s">
        <v>5019</v>
      </c>
      <c r="D1451" s="178" t="s">
        <v>111</v>
      </c>
      <c r="E1451" s="227"/>
      <c r="F1451" s="180"/>
      <c r="G1451" s="281" t="s">
        <v>2070</v>
      </c>
      <c r="H1451" s="182"/>
      <c r="I1451" s="182"/>
      <c r="J1451" s="182"/>
      <c r="K1451" s="183"/>
      <c r="L1451" s="182">
        <v>1</v>
      </c>
      <c r="M1451" s="182">
        <v>1</v>
      </c>
      <c r="N1451" s="182"/>
      <c r="O1451" s="183" t="s">
        <v>95</v>
      </c>
      <c r="P1451" s="183" t="s">
        <v>96</v>
      </c>
      <c r="Q1451" s="183" t="s">
        <v>97</v>
      </c>
      <c r="R1451" s="183">
        <v>16</v>
      </c>
      <c r="S1451" s="183">
        <v>0</v>
      </c>
      <c r="T1451" s="183">
        <v>16</v>
      </c>
      <c r="U1451" s="183" t="s">
        <v>97</v>
      </c>
      <c r="V1451" s="183"/>
      <c r="W1451" s="183"/>
      <c r="X1451" s="183"/>
      <c r="Y1451" s="184">
        <f>IF(ISBLANK(O1451),"",(IF(O1451=UPPER("IB"),0.005,0.01)))</f>
        <v>0.01</v>
      </c>
      <c r="Z1451" s="185">
        <f>IF(ISBLANK(O1451),"",IF(O1451="IB",8.63*200,IF(O1451="IR",16*100,IF(O1451="YT",20*100,IF(O1451="YT-XT",24*200,IF(O1451="TED",80*100))))))</f>
        <v>1600</v>
      </c>
      <c r="AA1451" s="185" t="s">
        <v>1361</v>
      </c>
      <c r="AB1451" s="185"/>
      <c r="AC1451" s="185"/>
      <c r="AD1451" s="649">
        <v>-0.1</v>
      </c>
      <c r="AE1451" s="182"/>
      <c r="AF1451" s="332"/>
      <c r="AG1451" s="182"/>
      <c r="AH1451" s="182"/>
      <c r="AI1451" s="182"/>
      <c r="AJ1451" s="640"/>
      <c r="AK1451" s="182"/>
      <c r="AL1451" s="496">
        <f t="shared" si="407"/>
        <v>-32</v>
      </c>
      <c r="AM1451" s="496">
        <f>AL1451*(R1451-S1451)</f>
        <v>-512</v>
      </c>
      <c r="AN1451" s="626"/>
      <c r="AO1451" s="182"/>
      <c r="AP1451" s="182" t="s">
        <v>770</v>
      </c>
      <c r="AQ1451" s="332" t="s">
        <v>115</v>
      </c>
      <c r="AR1451" s="182" t="s">
        <v>5020</v>
      </c>
      <c r="AS1451" s="189">
        <v>-0.11</v>
      </c>
      <c r="AT1451" s="189">
        <f>IF(ISBLANK(AS1451),,IF(U1451="S",AD1451-AS1451,AS1451-AD1451))</f>
        <v>9.999999999999995E-3</v>
      </c>
      <c r="AU1451" s="187">
        <f>AV1451*R1451</f>
        <v>255.99999999999989</v>
      </c>
      <c r="AV1451" s="190">
        <f>IF(ISBLANK(AS1451),,(AT1451*Z1451))</f>
        <v>15.999999999999993</v>
      </c>
      <c r="AW1451" s="191" t="s">
        <v>96</v>
      </c>
      <c r="AX1451" s="407"/>
      <c r="AY1451" s="407"/>
      <c r="AZ1451" s="407"/>
      <c r="BA1451" s="407"/>
      <c r="BB1451" s="407"/>
      <c r="BC1451" s="407"/>
      <c r="BD1451" s="407"/>
      <c r="BE1451" s="407"/>
      <c r="BF1451" s="422"/>
      <c r="BG1451" s="391">
        <f>SUM($AV$1389:AV1451)</f>
        <v>347.74658827958046</v>
      </c>
      <c r="BH1451" s="392">
        <f>SUM($AU$1389:AU1451)</f>
        <v>3606.400000000001</v>
      </c>
      <c r="BI1451" s="318">
        <f>SUMIFS($AU$1388:AU1452,$Q$1388:Q1452,"F")</f>
        <v>2134.4</v>
      </c>
      <c r="BJ1451" s="318">
        <f>SUMIFS($AU$1388:AU1452,$Q$1388:Q1452,"S")</f>
        <v>1808.0000000000007</v>
      </c>
      <c r="BK1451" s="343">
        <f>SUMIFS($AU$1388:AU1452,$P$1388:P1452,"W")</f>
        <v>2614.4000000000005</v>
      </c>
      <c r="BL1451" s="343">
        <f>SUMIFS($AU$1388:AU1452,$P$1388:P1452,"R")</f>
        <v>1408.0000000000002</v>
      </c>
      <c r="BM1451" s="343">
        <f>SUMIFS($AU$1388:AU1452,$AQ$1388:AQ1452,"M")</f>
        <v>976.00000000000023</v>
      </c>
      <c r="BN1451" s="343">
        <f>SUMIFS($AU$1388:AU1452,$AQ$1388:AQ1452,"H")</f>
        <v>463.99999999999972</v>
      </c>
      <c r="BO1451" s="343">
        <f>SUMIFS($AU$1388:AU1452,$AQ$1388:AQ1452,"D")</f>
        <v>1616.0000000000005</v>
      </c>
      <c r="BP1451" s="343">
        <f>SUMIFS($AU$1388:AU1454,$AQ$1388:AQ1454,"W")</f>
        <v>1062.3999999999999</v>
      </c>
      <c r="BQ1451" s="343">
        <f>SUMIFS($AU$1388:AU1452,$Q$1388:Q1452,"O")</f>
        <v>0</v>
      </c>
      <c r="BR1451" s="343">
        <f>SUMIFS($AU$1388:AU1452,$AA$1388:AA1452,"*")</f>
        <v>3990.4000000000005</v>
      </c>
      <c r="BS1451" s="343">
        <f>SUMIFS($AU$1388:AU1452,$AB$1388:AB1452,"*")</f>
        <v>639.99999999999943</v>
      </c>
      <c r="BT1451" s="343">
        <f>SUMIFS($AU$1388:AU1452,$AC$1388:AC1452,"*")</f>
        <v>1542.3999999999999</v>
      </c>
      <c r="BU1451" s="343">
        <f>SUMIFS($AU$1388:AU1452,$AA$1388:AA1452,"*",$AB$1388:AB1452,"*")</f>
        <v>367.9999999999996</v>
      </c>
      <c r="BV1451" s="343">
        <f>SUMIFS($AU$1388:AU1452,$AA$1388:AA1452,"*",$AC$1388:AC1452,"*")</f>
        <v>1686.3999999999999</v>
      </c>
      <c r="BW1451" s="343">
        <f>SUMIFS($AU$1388:AU1452,$AB$1388:AB1452,"*",$AC$1388:AC1452,"*")</f>
        <v>272.00000000000006</v>
      </c>
      <c r="BX1451" s="343">
        <f>SUMIFS($AV$1388:AV1452,$Q$1388:Q1452,"F")</f>
        <v>84.114285714285714</v>
      </c>
      <c r="BY1451" s="343">
        <f>SUMIFS($AV$1388:AV1452,$Q$1388:Q1452,"S")</f>
        <v>151.63230256529494</v>
      </c>
      <c r="BZ1451" s="343">
        <f>SUMIFS($AV$1388:AV1452,$Q$1388:Q1452,"O")</f>
        <v>0</v>
      </c>
    </row>
    <row r="1452" spans="1:78" ht="15.75" customHeight="1">
      <c r="A1452" s="177" t="s">
        <v>4824</v>
      </c>
      <c r="B1452" s="200">
        <v>45310</v>
      </c>
      <c r="C1452" s="178" t="s">
        <v>5021</v>
      </c>
      <c r="D1452" s="178" t="s">
        <v>111</v>
      </c>
      <c r="E1452" s="227"/>
      <c r="F1452" s="180"/>
      <c r="G1452" s="281" t="s">
        <v>2942</v>
      </c>
      <c r="H1452" s="182"/>
      <c r="I1452" s="182"/>
      <c r="J1452" s="182"/>
      <c r="K1452" s="183"/>
      <c r="L1452" s="182">
        <v>1</v>
      </c>
      <c r="M1452" s="182">
        <v>1</v>
      </c>
      <c r="N1452" s="182"/>
      <c r="O1452" s="183" t="s">
        <v>95</v>
      </c>
      <c r="P1452" s="183" t="s">
        <v>96</v>
      </c>
      <c r="Q1452" s="183" t="s">
        <v>97</v>
      </c>
      <c r="R1452" s="183">
        <v>32</v>
      </c>
      <c r="S1452" s="183">
        <v>0</v>
      </c>
      <c r="T1452" s="183">
        <v>32</v>
      </c>
      <c r="U1452" s="183" t="s">
        <v>97</v>
      </c>
      <c r="V1452" s="183"/>
      <c r="W1452" s="183"/>
      <c r="X1452" s="183"/>
      <c r="Y1452" s="184">
        <f>IF(ISBLANK(O1452),"",(IF(O1452=UPPER("IB"),0.005,0.01)))</f>
        <v>0.01</v>
      </c>
      <c r="Z1452" s="185">
        <f>IF(ISBLANK(O1452),"",IF(O1452="IB",8.63*200,IF(O1452="IR",16*100,IF(O1452="YT",20*100,IF(O1452="YT-XT",24*200,IF(O1452="TED",80*100))))))</f>
        <v>1600</v>
      </c>
      <c r="AA1452" s="185" t="s">
        <v>1361</v>
      </c>
      <c r="AB1452" s="185"/>
      <c r="AC1452" s="185" t="s">
        <v>5022</v>
      </c>
      <c r="AD1452" s="649">
        <v>-7.0000000000000007E-2</v>
      </c>
      <c r="AE1452" s="182"/>
      <c r="AF1452" s="332"/>
      <c r="AG1452" s="182"/>
      <c r="AH1452" s="182"/>
      <c r="AI1452" s="182"/>
      <c r="AJ1452" s="640"/>
      <c r="AK1452" s="182"/>
      <c r="AL1452" s="496">
        <f t="shared" si="407"/>
        <v>-32</v>
      </c>
      <c r="AM1452" s="496">
        <f>AL1452*(R1452-S1452)</f>
        <v>-1024</v>
      </c>
      <c r="AN1452" s="626"/>
      <c r="AO1452" s="182"/>
      <c r="AP1452" s="182" t="s">
        <v>1782</v>
      </c>
      <c r="AQ1452" s="332" t="s">
        <v>372</v>
      </c>
      <c r="AR1452" s="182" t="s">
        <v>5023</v>
      </c>
      <c r="AS1452" s="189">
        <v>-0.08</v>
      </c>
      <c r="AT1452" s="189">
        <f>IF(ISBLANK(AS1452),,IF(U1452="S",AD1452-AS1452,AS1452-AD1452))</f>
        <v>9.999999999999995E-3</v>
      </c>
      <c r="AU1452" s="187">
        <f>AV1452*R1452</f>
        <v>511.99999999999977</v>
      </c>
      <c r="AV1452" s="190">
        <f>IF(ISBLANK(AS1452),,(AT1452*Z1452))</f>
        <v>15.999999999999993</v>
      </c>
      <c r="AW1452" s="191" t="s">
        <v>96</v>
      </c>
      <c r="AX1452" s="407"/>
      <c r="AY1452" s="407"/>
      <c r="AZ1452" s="407"/>
      <c r="BA1452" s="407"/>
      <c r="BB1452" s="407"/>
      <c r="BC1452" s="407"/>
      <c r="BD1452" s="407"/>
      <c r="BE1452" s="407"/>
      <c r="BF1452" s="422"/>
      <c r="BG1452" s="391">
        <f>SUM($AV$1389:AV1452)</f>
        <v>363.74658827958046</v>
      </c>
      <c r="BH1452" s="392">
        <f>SUM($AU$1389:AU1452)</f>
        <v>4118.4000000000005</v>
      </c>
      <c r="BI1452" s="318">
        <f>SUMIFS($AU$1388:AU1453,$Q$1388:Q1453,"F")</f>
        <v>2134.4</v>
      </c>
      <c r="BJ1452" s="318">
        <f>SUMIFS($AU$1388:AU1453,$Q$1388:Q1453,"S")</f>
        <v>1808.0000000000007</v>
      </c>
      <c r="BK1452" s="343">
        <f>SUMIFS($AU$1388:AU1453,$P$1388:P1453,"W")</f>
        <v>2614.4000000000005</v>
      </c>
      <c r="BL1452" s="343">
        <f>SUMIFS($AU$1388:AU1453,$P$1388:P1453,"R")</f>
        <v>1408.0000000000002</v>
      </c>
      <c r="BM1452" s="343">
        <f>SUMIFS($AU$1388:AU1453,$AQ$1388:AQ1453,"M")</f>
        <v>976.00000000000023</v>
      </c>
      <c r="BN1452" s="343">
        <f>SUMIFS($AU$1388:AU1453,$AQ$1388:AQ1453,"H")</f>
        <v>463.99999999999972</v>
      </c>
      <c r="BO1452" s="343">
        <f>SUMIFS($AU$1388:AU1453,$AQ$1388:AQ1453,"D")</f>
        <v>1616.0000000000005</v>
      </c>
      <c r="BP1452" s="343">
        <f>SUMIFS($AU$1388:AU1455,$AQ$1388:AQ1455,"W")</f>
        <v>1062.3999999999999</v>
      </c>
      <c r="BQ1452" s="343">
        <f>SUMIFS($AU$1388:AU1453,$Q$1388:Q1453,"O")</f>
        <v>0</v>
      </c>
      <c r="BR1452" s="343">
        <f>SUMIFS($AU$1388:AU1453,$AA$1388:AA1453,"*")</f>
        <v>3990.4000000000005</v>
      </c>
      <c r="BS1452" s="343">
        <f>SUMIFS($AU$1388:AU1453,$AB$1388:AB1453,"*")</f>
        <v>639.99999999999943</v>
      </c>
      <c r="BT1452" s="343">
        <f>SUMIFS($AU$1388:AU1453,$AC$1388:AC1453,"*")</f>
        <v>1542.3999999999999</v>
      </c>
      <c r="BU1452" s="343">
        <f>SUMIFS($AU$1388:AU1453,$AA$1388:AA1453,"*",$AB$1388:AB1453,"*")</f>
        <v>367.9999999999996</v>
      </c>
      <c r="BV1452" s="343">
        <f>SUMIFS($AU$1388:AU1453,$AA$1388:AA1453,"*",$AC$1388:AC1453,"*")</f>
        <v>1686.3999999999999</v>
      </c>
      <c r="BW1452" s="343">
        <f>SUMIFS($AU$1388:AU1453,$AB$1388:AB1453,"*",$AC$1388:AC1453,"*")</f>
        <v>272.00000000000006</v>
      </c>
      <c r="BX1452" s="343">
        <f>SUMIFS($AV$1388:AV1453,$Q$1388:Q1453,"F")</f>
        <v>84.114285714285714</v>
      </c>
      <c r="BY1452" s="343">
        <f>SUMIFS($AV$1388:AV1453,$Q$1388:Q1453,"S")</f>
        <v>151.63230256529494</v>
      </c>
      <c r="BZ1452" s="343">
        <f>SUMIFS($AV$1388:AV1453,$Q$1388:Q1453,"O")</f>
        <v>0</v>
      </c>
    </row>
    <row r="1453" spans="1:78" ht="15.75" customHeight="1">
      <c r="A1453" s="177" t="s">
        <v>4824</v>
      </c>
      <c r="B1453" s="200">
        <v>45310</v>
      </c>
      <c r="C1453" s="178" t="s">
        <v>5024</v>
      </c>
      <c r="D1453" s="178" t="s">
        <v>111</v>
      </c>
      <c r="E1453" s="227"/>
      <c r="F1453" s="180"/>
      <c r="G1453" s="281" t="s">
        <v>5025</v>
      </c>
      <c r="H1453" s="182"/>
      <c r="I1453" s="182"/>
      <c r="J1453" s="182"/>
      <c r="K1453" s="183"/>
      <c r="L1453" s="182">
        <v>1</v>
      </c>
      <c r="M1453" s="182">
        <v>1</v>
      </c>
      <c r="N1453" s="182"/>
      <c r="O1453" s="183" t="s">
        <v>2652</v>
      </c>
      <c r="P1453" s="183" t="s">
        <v>137</v>
      </c>
      <c r="Q1453" s="183"/>
      <c r="R1453" s="183">
        <v>1</v>
      </c>
      <c r="S1453" s="183">
        <v>0</v>
      </c>
      <c r="T1453" s="183">
        <v>1</v>
      </c>
      <c r="U1453" s="183" t="s">
        <v>22</v>
      </c>
      <c r="V1453" s="183"/>
      <c r="W1453" s="183"/>
      <c r="X1453" s="183"/>
      <c r="Y1453" s="184">
        <f>IF(ISBLANK(O1453),"",(IF(O1453=UPPER("IB"),0.005,0.01)))</f>
        <v>0.01</v>
      </c>
      <c r="Z1453" s="185">
        <f>IF(ISBLANK(O1453),"",IF(O1453="IB",8.63*200,IF(O1453="IR",16*100,IF(O1453="YT",20*100,IF(O1453="YT-XT",24*200,IF(O1453="TED",80*100))))))</f>
        <v>8000</v>
      </c>
      <c r="AA1453" s="185" t="s">
        <v>5026</v>
      </c>
      <c r="AB1453" s="185"/>
      <c r="AC1453" s="185"/>
      <c r="AD1453" s="649">
        <v>-7.0000000000000007E-2</v>
      </c>
      <c r="AE1453" s="182"/>
      <c r="AF1453" s="332"/>
      <c r="AG1453" s="182"/>
      <c r="AH1453" s="182"/>
      <c r="AI1453" s="182"/>
      <c r="AJ1453" s="640"/>
      <c r="AK1453" s="182"/>
      <c r="AL1453" s="496">
        <f t="shared" si="407"/>
        <v>-160</v>
      </c>
      <c r="AM1453" s="496">
        <f>AL1453*(R1453-S1453)</f>
        <v>-160</v>
      </c>
      <c r="AN1453" s="626"/>
      <c r="AO1453" s="182"/>
      <c r="AP1453" s="182" t="s">
        <v>1930</v>
      </c>
      <c r="AQ1453" s="332" t="s">
        <v>372</v>
      </c>
      <c r="AR1453" s="182" t="s">
        <v>4144</v>
      </c>
      <c r="AS1453" s="189">
        <v>-7.0000000000000007E-2</v>
      </c>
      <c r="AT1453" s="189">
        <f>IF(ISBLANK(AS1453),,IF(U1453="S",AD1453-AS1453,AS1453-AD1453))</f>
        <v>0</v>
      </c>
      <c r="AU1453" s="187">
        <f>AV1453*R1453</f>
        <v>0</v>
      </c>
      <c r="AV1453" s="190">
        <f>IF(ISBLANK(AS1453),,(AT1453*Z1453))</f>
        <v>0</v>
      </c>
      <c r="AW1453" s="191" t="s">
        <v>115</v>
      </c>
      <c r="AX1453" s="407"/>
      <c r="AY1453" s="407"/>
      <c r="AZ1453" s="407"/>
      <c r="BA1453" s="407"/>
      <c r="BB1453" s="407"/>
      <c r="BC1453" s="407"/>
      <c r="BD1453" s="407"/>
      <c r="BE1453" s="407"/>
      <c r="BF1453" s="422"/>
      <c r="BG1453" s="391">
        <f>SUM($AV$1389:AV1453)</f>
        <v>363.74658827958046</v>
      </c>
      <c r="BH1453" s="392">
        <f>SUM($AU$1389:AU1453)</f>
        <v>4118.4000000000005</v>
      </c>
      <c r="BI1453" s="318">
        <f>SUMIFS($AU$1388:AU1521,$Q$1388:Q1521,"F")</f>
        <v>4438.3999999999996</v>
      </c>
      <c r="BJ1453" s="318">
        <f>SUMIFS($AU$1388:AU1521,$Q$1388:Q1521,"S")</f>
        <v>4144.0000000000009</v>
      </c>
      <c r="BK1453" s="343">
        <f>SUMIFS($AU$1388:AU1521,$P$1388:P1521,"W")</f>
        <v>6973.5799999999363</v>
      </c>
      <c r="BL1453" s="343">
        <f>SUMIFS($AU$1388:AU1521,$P$1388:P1521,"R")</f>
        <v>2000.0000000000002</v>
      </c>
      <c r="BM1453" s="343">
        <f>SUMIFS($AU$1388:AU1521,$AQ$1388:AQ1521,"M")</f>
        <v>2963.5799999997967</v>
      </c>
      <c r="BN1453" s="343">
        <f>SUMIFS($AU$1388:AU1521,$AQ$1388:AQ1521,"H")</f>
        <v>3599.9999999999991</v>
      </c>
      <c r="BO1453" s="343">
        <f>SUMIFS($AU$1388:AU1521,$AQ$1388:AQ1521,"D")</f>
        <v>1504.0000000000005</v>
      </c>
      <c r="BP1453" s="343">
        <f>SUMIFS($AU$1388:AU1456,$AQ$1388:AQ1456,"W")</f>
        <v>1062.3999999999999</v>
      </c>
      <c r="BQ1453" s="343">
        <f>SUMIFS($AU$1388:AU1454,$Q$1388:Q1454,"O")</f>
        <v>0</v>
      </c>
      <c r="BR1453" s="343">
        <f>SUMIFS($AU$1388:AU1454,$AA$1388:AA1454,"*")</f>
        <v>3990.4000000000005</v>
      </c>
      <c r="BS1453" s="343">
        <f>SUMIFS($AU$1388:AU1454,$AB$1388:AB1454,"*")</f>
        <v>639.99999999999943</v>
      </c>
      <c r="BT1453" s="343">
        <f>SUMIFS($AU$1388:AU1454,$AC$1388:AC1454,"*")</f>
        <v>1542.3999999999999</v>
      </c>
      <c r="BU1453" s="343">
        <f>SUMIFS($AU$1388:AU1454,$AA$1388:AA1454,"*",$AB$1388:AB1454,"*")</f>
        <v>367.9999999999996</v>
      </c>
      <c r="BV1453" s="343">
        <f>SUMIFS($AU$1388:AU1454,$AA$1388:AA1454,"*",$AC$1388:AC1454,"*")</f>
        <v>1686.3999999999999</v>
      </c>
      <c r="BW1453" s="343">
        <f>SUMIFS($AU$1388:AU1454,$AB$1388:AB1454,"*",$AC$1388:AC1454,"*")</f>
        <v>272.00000000000006</v>
      </c>
      <c r="BX1453" s="343">
        <f>SUMIFS($AV$1388:AV1454,$Q$1388:Q1454,"F")</f>
        <v>84.114285714285714</v>
      </c>
      <c r="BY1453" s="343">
        <f>SUMIFS($AV$1388:AV1454,$Q$1388:Q1454,"S")</f>
        <v>151.63230256529494</v>
      </c>
      <c r="BZ1453" s="343">
        <f>SUMIFS($AV$1388:AV1454,$Q$1388:Q1454,"O")</f>
        <v>0</v>
      </c>
    </row>
    <row r="1454" spans="1:78" ht="15.75" customHeight="1">
      <c r="A1454" s="177" t="s">
        <v>4824</v>
      </c>
      <c r="B1454" s="200"/>
      <c r="C1454" s="178"/>
      <c r="D1454" s="178"/>
      <c r="E1454" s="227"/>
      <c r="F1454" s="180"/>
      <c r="G1454" s="181"/>
      <c r="H1454" s="182"/>
      <c r="I1454" s="182"/>
      <c r="J1454" s="182"/>
      <c r="K1454" s="183"/>
      <c r="L1454" s="182"/>
      <c r="M1454" s="182"/>
      <c r="N1454" s="182"/>
      <c r="O1454" s="183"/>
      <c r="P1454" s="183"/>
      <c r="Q1454" s="183"/>
      <c r="R1454" s="183"/>
      <c r="S1454" s="183"/>
      <c r="T1454" s="183"/>
      <c r="U1454" s="183"/>
      <c r="V1454" s="183"/>
      <c r="W1454" s="183"/>
      <c r="X1454" s="183"/>
      <c r="Y1454" s="274"/>
      <c r="Z1454" s="183"/>
      <c r="AA1454" s="185"/>
      <c r="AB1454" s="185"/>
      <c r="AC1454" s="185"/>
      <c r="AD1454" s="649"/>
      <c r="AE1454" s="182"/>
      <c r="AF1454" s="332"/>
      <c r="AG1454" s="182"/>
      <c r="AH1454" s="182"/>
      <c r="AI1454" s="182"/>
      <c r="AJ1454" s="640"/>
      <c r="AK1454" s="182"/>
      <c r="AL1454" s="496"/>
      <c r="AM1454" s="496"/>
      <c r="AN1454" s="626"/>
      <c r="AO1454" s="182"/>
      <c r="AP1454" s="182"/>
      <c r="AQ1454" s="332" t="str">
        <f>UPPER(RIGHT(Journal_Live[[#This Row],[DURATION ]]))</f>
        <v/>
      </c>
      <c r="AR1454" s="182"/>
      <c r="AS1454" s="189"/>
      <c r="AT1454" s="189"/>
      <c r="AU1454" s="187"/>
      <c r="AV1454" s="190"/>
      <c r="AW1454" s="191"/>
      <c r="AX1454" s="407" t="s">
        <v>5027</v>
      </c>
      <c r="AY1454" s="407" t="s">
        <v>5028</v>
      </c>
      <c r="AZ1454" s="407" t="s">
        <v>5029</v>
      </c>
      <c r="BA1454" s="409" t="s">
        <v>5030</v>
      </c>
      <c r="BB1454" s="409" t="s">
        <v>5031</v>
      </c>
      <c r="BC1454" s="409" t="s">
        <v>5032</v>
      </c>
      <c r="BD1454" s="407"/>
      <c r="BE1454" s="407"/>
      <c r="BF1454" s="422"/>
      <c r="BG1454" s="391">
        <f>SUM($AV$1389:AV1454)</f>
        <v>363.74658827958046</v>
      </c>
      <c r="BH1454" s="392">
        <f>SUM($AU$1389:AU1454)</f>
        <v>4118.4000000000005</v>
      </c>
      <c r="BI1454" s="318">
        <f>SUMIFS($AU$1388:AU1522,$Q$1388:Q1522,"F")</f>
        <v>4438.3999999999996</v>
      </c>
      <c r="BJ1454" s="318">
        <f>SUMIFS($AU$1388:AU1522,$Q$1388:Q1522,"S")</f>
        <v>4144.0000000000009</v>
      </c>
      <c r="BK1454" s="343">
        <f>SUMIFS($AU$1388:AU1522,$P$1388:P1522,"W")</f>
        <v>6973.5799999999363</v>
      </c>
      <c r="BL1454" s="343">
        <f>SUMIFS($AU$1388:AU1522,$P$1388:P1522,"R")</f>
        <v>2000.0000000000002</v>
      </c>
      <c r="BM1454" s="343">
        <f>SUMIFS($AU$1388:AU1522,$AQ$1388:AQ1522,"M")</f>
        <v>2963.5799999997967</v>
      </c>
      <c r="BN1454" s="343">
        <f>SUMIFS($AU$1388:AU1522,$AQ$1388:AQ1522,"H")</f>
        <v>3599.9999999999991</v>
      </c>
      <c r="BO1454" s="343">
        <f>SUMIFS($AU$1388:AU1522,$AQ$1388:AQ1522,"D")</f>
        <v>1504.0000000000005</v>
      </c>
      <c r="BP1454" s="343">
        <f>SUMIFS($AU$1388:AU1457,$AQ$1388:AQ1457,"W")</f>
        <v>1062.3999999999999</v>
      </c>
      <c r="BQ1454" s="343">
        <f>SUMIFS($AU$1388:AU1455,$Q$1388:Q1455,"O")</f>
        <v>0</v>
      </c>
      <c r="BR1454" s="343">
        <f>SUMIFS($AU$1388:AU1455,$AA$1388:AA1455,"*")</f>
        <v>3990.4000000000005</v>
      </c>
      <c r="BS1454" s="343">
        <f>SUMIFS($AU$1388:AU1455,$AB$1388:AB1455,"*")</f>
        <v>639.99999999999943</v>
      </c>
      <c r="BT1454" s="343">
        <f>SUMIFS($AU$1388:AU1455,$AC$1388:AC1455,"*")</f>
        <v>1542.3999999999999</v>
      </c>
      <c r="BU1454" s="343">
        <f>SUMIFS($AU$1388:AU1455,$AA$1388:AA1455,"*",$AB$1388:AB1455,"*")</f>
        <v>367.9999999999996</v>
      </c>
      <c r="BV1454" s="343">
        <f>SUMIFS($AU$1388:AU1455,$AA$1388:AA1455,"*",$AC$1388:AC1455,"*")</f>
        <v>1686.3999999999999</v>
      </c>
      <c r="BW1454" s="343">
        <f>SUMIFS($AU$1388:AU1455,$AB$1388:AB1455,"*",$AC$1388:AC1455,"*")</f>
        <v>272.00000000000006</v>
      </c>
      <c r="BX1454" s="343">
        <f>SUMIFS($AV$1388:AV1455,$Q$1388:Q1455,"F")</f>
        <v>84.114285714285714</v>
      </c>
      <c r="BY1454" s="343">
        <f>SUMIFS($AV$1388:AV1455,$Q$1388:Q1455,"S")</f>
        <v>151.63230256529494</v>
      </c>
      <c r="BZ1454" s="343">
        <f>SUMIFS($AV$1388:AV1455,$Q$1388:Q1455,"O")</f>
        <v>0</v>
      </c>
    </row>
    <row r="1455" spans="1:78" ht="15.75" customHeight="1">
      <c r="A1455" s="177" t="s">
        <v>4824</v>
      </c>
      <c r="B1455" s="200">
        <v>45310</v>
      </c>
      <c r="C1455" s="178" t="s">
        <v>3208</v>
      </c>
      <c r="D1455" s="178" t="s">
        <v>111</v>
      </c>
      <c r="E1455" s="227"/>
      <c r="F1455" s="180"/>
      <c r="G1455" s="281" t="s">
        <v>5012</v>
      </c>
      <c r="H1455" s="182"/>
      <c r="I1455" s="182"/>
      <c r="J1455" s="182"/>
      <c r="K1455" s="183"/>
      <c r="L1455" s="182">
        <v>1</v>
      </c>
      <c r="M1455" s="182">
        <v>1</v>
      </c>
      <c r="N1455" s="182"/>
      <c r="O1455" s="183" t="s">
        <v>2652</v>
      </c>
      <c r="P1455" s="183" t="s">
        <v>137</v>
      </c>
      <c r="Q1455" s="183"/>
      <c r="R1455" s="183">
        <v>1</v>
      </c>
      <c r="S1455" s="183">
        <v>0</v>
      </c>
      <c r="T1455" s="183">
        <v>1</v>
      </c>
      <c r="U1455" s="183" t="s">
        <v>22</v>
      </c>
      <c r="V1455" s="183"/>
      <c r="W1455" s="183"/>
      <c r="X1455" s="183"/>
      <c r="Y1455" s="184">
        <f>IF(ISBLANK(O1455),"",(IF(O1455=UPPER("IB"),0.005,0.01)))</f>
        <v>0.01</v>
      </c>
      <c r="Z1455" s="185">
        <f>IF(ISBLANK(O1455),"",IF(O1455="IB",8.63*200,IF(O1455="IR",16*100,IF(O1455="YT",20*100,IF(O1455="YT-XT",24*200,IF(O1455="TED",80*100))))))</f>
        <v>8000</v>
      </c>
      <c r="AA1455" s="185" t="s">
        <v>5033</v>
      </c>
      <c r="AB1455" s="185"/>
      <c r="AC1455" s="185"/>
      <c r="AD1455" s="649">
        <v>-0.02</v>
      </c>
      <c r="AE1455" s="182"/>
      <c r="AF1455" s="332"/>
      <c r="AG1455" s="182"/>
      <c r="AH1455" s="182"/>
      <c r="AI1455" s="182"/>
      <c r="AJ1455" s="640"/>
      <c r="AK1455" s="182"/>
      <c r="AL1455" s="496">
        <f t="shared" si="407"/>
        <v>-160</v>
      </c>
      <c r="AM1455" s="496">
        <f t="shared" ref="AM1455:AM1496" si="408">AL1455*(R1455-S1455)</f>
        <v>-160</v>
      </c>
      <c r="AN1455" s="626"/>
      <c r="AO1455" s="182"/>
      <c r="AP1455" s="182" t="s">
        <v>770</v>
      </c>
      <c r="AQ1455" s="332" t="s">
        <v>115</v>
      </c>
      <c r="AR1455" s="182" t="s">
        <v>5034</v>
      </c>
      <c r="AS1455" s="189">
        <v>-0.02</v>
      </c>
      <c r="AT1455" s="189">
        <f>IF(ISBLANK(AS1455),,IF(U1455="S",AD1455-AS1455,AS1455-AD1455))</f>
        <v>0</v>
      </c>
      <c r="AU1455" s="187">
        <f>AV1455*R1455</f>
        <v>0</v>
      </c>
      <c r="AV1455" s="190">
        <f>IF(ISBLANK(AS1455),,(AT1455*Z1455))</f>
        <v>0</v>
      </c>
      <c r="AW1455" s="191" t="s">
        <v>115</v>
      </c>
      <c r="AX1455" s="407" t="s">
        <v>5035</v>
      </c>
      <c r="AY1455" s="407"/>
      <c r="AZ1455" s="407"/>
      <c r="BA1455" s="407"/>
      <c r="BB1455" s="407"/>
      <c r="BC1455" s="407"/>
      <c r="BD1455" s="407"/>
      <c r="BE1455" s="407"/>
      <c r="BF1455" s="422"/>
      <c r="BG1455" s="391">
        <f>SUM($AV$1389:AV1455)</f>
        <v>363.74658827958046</v>
      </c>
      <c r="BH1455" s="392">
        <f>SUM($AU$1389:AU1455)</f>
        <v>4118.4000000000005</v>
      </c>
      <c r="BI1455" s="318">
        <f>SUMIFS($AU$1388:AU1456,$Q$1388:Q1456,"F")</f>
        <v>2134.4</v>
      </c>
      <c r="BJ1455" s="318">
        <f>SUMIFS($AU$1388:AU1456,$Q$1388:Q1456,"S")</f>
        <v>1808.0000000000007</v>
      </c>
      <c r="BK1455" s="343">
        <f>SUMIFS($AU$1388:AU1456,$P$1388:P1456,"W")</f>
        <v>2614.4000000000005</v>
      </c>
      <c r="BL1455" s="343">
        <f>SUMIFS($AU$1388:AU1456,$P$1388:P1456,"R")</f>
        <v>1408.0000000000002</v>
      </c>
      <c r="BM1455" s="343">
        <f>SUMIFS($AU$1388:AU1456,$AQ$1388:AQ1456,"M")</f>
        <v>976.00000000000023</v>
      </c>
      <c r="BN1455" s="343">
        <f>SUMIFS($AU$1388:AU1456,$AQ$1388:AQ1456,"H")</f>
        <v>463.99999999999972</v>
      </c>
      <c r="BO1455" s="343">
        <f>SUMIFS($AU$1388:AU1456,$AQ$1388:AQ1456,"D")</f>
        <v>1616.0000000000005</v>
      </c>
      <c r="BP1455" s="343">
        <f>SUMIFS($AU$1388:AU1458,$AQ$1388:AQ1458,"W")</f>
        <v>1062.3999999999999</v>
      </c>
      <c r="BQ1455" s="343">
        <f>SUMIFS($AU$1388:AU1456,$Q$1388:Q1456,"O")</f>
        <v>0</v>
      </c>
      <c r="BR1455" s="343">
        <f>SUMIFS($AU$1388:AU1456,$AA$1388:AA1456,"*")</f>
        <v>3990.4000000000005</v>
      </c>
      <c r="BS1455" s="343">
        <f>SUMIFS($AU$1388:AU1456,$AB$1388:AB1456,"*")</f>
        <v>639.99999999999943</v>
      </c>
      <c r="BT1455" s="343">
        <f>SUMIFS($AU$1388:AU1456,$AC$1388:AC1456,"*")</f>
        <v>1542.3999999999999</v>
      </c>
      <c r="BU1455" s="343">
        <f>SUMIFS($AU$1388:AU1456,$AA$1388:AA1456,"*",$AB$1388:AB1456,"*")</f>
        <v>367.9999999999996</v>
      </c>
      <c r="BV1455" s="343">
        <f>SUMIFS($AU$1388:AU1456,$AA$1388:AA1456,"*",$AC$1388:AC1456,"*")</f>
        <v>1686.3999999999999</v>
      </c>
      <c r="BW1455" s="343">
        <f>SUMIFS($AU$1388:AU1456,$AB$1388:AB1456,"*",$AC$1388:AC1456,"*")</f>
        <v>272.00000000000006</v>
      </c>
      <c r="BX1455" s="343">
        <f>SUMIFS($AV$1388:AV1456,$Q$1388:Q1456,"F")</f>
        <v>84.114285714285714</v>
      </c>
      <c r="BY1455" s="343">
        <f>SUMIFS($AV$1388:AV1456,$Q$1388:Q1456,"S")</f>
        <v>151.63230256529494</v>
      </c>
      <c r="BZ1455" s="343">
        <f>SUMIFS($AV$1388:AV1456,$Q$1388:Q1456,"O")</f>
        <v>0</v>
      </c>
    </row>
    <row r="1456" spans="1:78" ht="15.75" customHeight="1">
      <c r="A1456" s="177" t="s">
        <v>4824</v>
      </c>
      <c r="B1456" s="200">
        <v>45310</v>
      </c>
      <c r="C1456" s="283" t="s">
        <v>5036</v>
      </c>
      <c r="D1456" s="178" t="s">
        <v>111</v>
      </c>
      <c r="E1456" s="227"/>
      <c r="F1456" s="180"/>
      <c r="G1456" s="181" t="s">
        <v>3334</v>
      </c>
      <c r="H1456" s="182"/>
      <c r="I1456" s="182"/>
      <c r="J1456" s="182"/>
      <c r="K1456" s="183"/>
      <c r="L1456" s="182"/>
      <c r="M1456" s="182"/>
      <c r="N1456" s="182"/>
      <c r="O1456" s="183"/>
      <c r="P1456" s="183"/>
      <c r="Q1456" s="183"/>
      <c r="R1456" s="183"/>
      <c r="S1456" s="183"/>
      <c r="T1456" s="183"/>
      <c r="U1456" s="183"/>
      <c r="V1456" s="183"/>
      <c r="W1456" s="183"/>
      <c r="X1456" s="183"/>
      <c r="Y1456" s="184"/>
      <c r="Z1456" s="185"/>
      <c r="AA1456" s="185"/>
      <c r="AB1456" s="185"/>
      <c r="AC1456" s="185"/>
      <c r="AD1456" s="649"/>
      <c r="AE1456" s="182"/>
      <c r="AF1456" s="332"/>
      <c r="AG1456" s="182"/>
      <c r="AH1456" s="182"/>
      <c r="AI1456" s="182"/>
      <c r="AJ1456" s="644" t="s">
        <v>5037</v>
      </c>
      <c r="AK1456" s="182"/>
      <c r="AL1456" s="496">
        <f>-0.03*Z1456</f>
        <v>0</v>
      </c>
      <c r="AM1456" s="496">
        <f t="shared" si="408"/>
        <v>0</v>
      </c>
      <c r="AN1456" s="626"/>
      <c r="AO1456" s="182"/>
      <c r="AP1456" s="182"/>
      <c r="AQ1456" s="332" t="str">
        <f>UPPER(RIGHT(Journal_Live[[#This Row],[DURATION ]]))</f>
        <v/>
      </c>
      <c r="AR1456" s="182"/>
      <c r="AS1456" s="189"/>
      <c r="AT1456" s="189">
        <f>IF(ISBLANK(AS1456),,IF(U1456="S",AD1456-AS1456,AS1456-AD1456))</f>
        <v>0</v>
      </c>
      <c r="AU1456" s="187">
        <f>AV1456*R1456</f>
        <v>0</v>
      </c>
      <c r="AV1456" s="190">
        <f>IF(ISBLANK(AS1456),,(AT1456*Z1456))</f>
        <v>0</v>
      </c>
      <c r="AW1456" s="191"/>
      <c r="AX1456" s="407" t="s">
        <v>5038</v>
      </c>
      <c r="AY1456" s="407" t="s">
        <v>5039</v>
      </c>
      <c r="AZ1456" s="407" t="s">
        <v>5040</v>
      </c>
      <c r="BA1456" s="407" t="s">
        <v>5041</v>
      </c>
      <c r="BB1456" s="407"/>
      <c r="BC1456" s="407"/>
      <c r="BD1456" s="407"/>
      <c r="BE1456" s="407"/>
      <c r="BF1456" s="422"/>
      <c r="BG1456" s="391">
        <f>SUM($AV$1389:AV1456)</f>
        <v>363.74658827958046</v>
      </c>
      <c r="BH1456" s="392">
        <f>SUM($AU$1389:AU1456)</f>
        <v>4118.4000000000005</v>
      </c>
      <c r="BI1456" s="318">
        <f>SUMIFS($AU$1388:AU1516,$Q$1388:Q1516,"F")</f>
        <v>4438.3999999999996</v>
      </c>
      <c r="BJ1456" s="318">
        <f>SUMIFS($AU$1388:AU1516,$Q$1388:Q1516,"S")</f>
        <v>4144.0000000000009</v>
      </c>
      <c r="BK1456" s="343">
        <f>SUMIFS($AU$1388:AU1516,$P$1388:P1516,"W")</f>
        <v>6973.5799999999363</v>
      </c>
      <c r="BL1456" s="343">
        <f>SUMIFS($AU$1388:AU1516,$P$1388:P1516,"R")</f>
        <v>2000.0000000000002</v>
      </c>
      <c r="BM1456" s="343">
        <f>SUMIFS($AU$1388:AU1516,$AQ$1388:AQ1516,"M")</f>
        <v>2963.5799999997967</v>
      </c>
      <c r="BN1456" s="343">
        <f>SUMIFS($AU$1388:AU1516,$AQ$1388:AQ1516,"H")</f>
        <v>3599.9999999999991</v>
      </c>
      <c r="BO1456" s="343">
        <f>SUMIFS($AU$1388:AU1516,$AQ$1388:AQ1516,"D")</f>
        <v>1504.0000000000005</v>
      </c>
      <c r="BP1456" s="343">
        <f>SUMIFS($AU$1388:AU1459,$AQ$1388:AQ1459,"W")</f>
        <v>1414.3999999999999</v>
      </c>
      <c r="BQ1456" s="343">
        <f>SUMIFS($AU$1388:AU1457,$Q$1388:Q1457,"O")</f>
        <v>0</v>
      </c>
      <c r="BR1456" s="343">
        <f>SUMIFS($AU$1388:AU1457,$AA$1388:AA1457,"*")</f>
        <v>3990.4000000000005</v>
      </c>
      <c r="BS1456" s="343">
        <f>SUMIFS($AU$1388:AU1457,$AB$1388:AB1457,"*")</f>
        <v>639.99999999999943</v>
      </c>
      <c r="BT1456" s="343">
        <f>SUMIFS($AU$1388:AU1457,$AC$1388:AC1457,"*")</f>
        <v>1542.3999999999999</v>
      </c>
      <c r="BU1456" s="343">
        <f>SUMIFS($AU$1388:AU1457,$AA$1388:AA1457,"*",$AB$1388:AB1457,"*")</f>
        <v>367.9999999999996</v>
      </c>
      <c r="BV1456" s="343">
        <f>SUMIFS($AU$1388:AU1457,$AA$1388:AA1457,"*",$AC$1388:AC1457,"*")</f>
        <v>1686.3999999999999</v>
      </c>
      <c r="BW1456" s="343">
        <f>SUMIFS($AU$1388:AU1457,$AB$1388:AB1457,"*",$AC$1388:AC1457,"*")</f>
        <v>272.00000000000006</v>
      </c>
      <c r="BX1456" s="343">
        <f>SUMIFS($AV$1388:AV1457,$Q$1388:Q1457,"F")</f>
        <v>84.114285714285714</v>
      </c>
      <c r="BY1456" s="343">
        <f>SUMIFS($AV$1388:AV1457,$Q$1388:Q1457,"S")</f>
        <v>151.63230256529494</v>
      </c>
      <c r="BZ1456" s="343">
        <f>SUMIFS($AV$1388:AV1457,$Q$1388:Q1457,"O")</f>
        <v>0</v>
      </c>
    </row>
    <row r="1457" spans="1:78" ht="15.75" customHeight="1">
      <c r="A1457" s="177" t="s">
        <v>4824</v>
      </c>
      <c r="B1457" s="200">
        <v>45313</v>
      </c>
      <c r="C1457" s="178" t="s">
        <v>5042</v>
      </c>
      <c r="D1457" s="178" t="s">
        <v>132</v>
      </c>
      <c r="E1457" s="227"/>
      <c r="F1457" s="180"/>
      <c r="G1457" s="181" t="s">
        <v>181</v>
      </c>
      <c r="H1457" s="182"/>
      <c r="I1457" s="182"/>
      <c r="J1457" s="182"/>
      <c r="K1457" s="183"/>
      <c r="L1457" s="182"/>
      <c r="M1457" s="182"/>
      <c r="N1457" s="182"/>
      <c r="O1457" s="183"/>
      <c r="P1457" s="183"/>
      <c r="Q1457" s="183"/>
      <c r="R1457" s="183"/>
      <c r="S1457" s="183"/>
      <c r="T1457" s="183"/>
      <c r="U1457" s="183"/>
      <c r="V1457" s="183"/>
      <c r="W1457" s="183"/>
      <c r="X1457" s="183"/>
      <c r="Y1457" s="184" t="str">
        <f>IF(ISBLANK(O1457),"",(IF(O1457=UPPER("IB"),0.005,0.01)))</f>
        <v/>
      </c>
      <c r="Z1457" s="185" t="str">
        <f>IF(ISBLANK(O1457),"",IF(O1457="IB",8.63*200,IF(O1457="IR",16*100,IF(O1457="YT",20*100,IF(O1457="YT-XT",24*200,IF(O1457="TED",80*100))))))</f>
        <v/>
      </c>
      <c r="AA1457" s="185"/>
      <c r="AB1457" s="185"/>
      <c r="AC1457" s="185"/>
      <c r="AD1457" s="649"/>
      <c r="AE1457" s="182"/>
      <c r="AF1457" s="332"/>
      <c r="AG1457" s="182"/>
      <c r="AH1457" s="182"/>
      <c r="AI1457" s="182"/>
      <c r="AJ1457" s="640"/>
      <c r="AK1457" s="182"/>
      <c r="AL1457" s="496"/>
      <c r="AM1457" s="496">
        <f t="shared" si="408"/>
        <v>0</v>
      </c>
      <c r="AN1457" s="626"/>
      <c r="AO1457" s="182"/>
      <c r="AP1457" s="182"/>
      <c r="AQ1457" s="332" t="str">
        <f>UPPER(RIGHT(Journal_Live[[#This Row],[DURATION ]]))</f>
        <v/>
      </c>
      <c r="AR1457" s="182"/>
      <c r="AS1457" s="189"/>
      <c r="AT1457" s="189"/>
      <c r="AU1457" s="187"/>
      <c r="AV1457" s="190"/>
      <c r="AW1457" s="191"/>
      <c r="AX1457" s="407" t="s">
        <v>5043</v>
      </c>
      <c r="AY1457" s="407" t="s">
        <v>5044</v>
      </c>
      <c r="AZ1457" s="407" t="s">
        <v>5045</v>
      </c>
      <c r="BA1457" s="407"/>
      <c r="BB1457" s="407"/>
      <c r="BC1457" s="407"/>
      <c r="BD1457" s="409" t="s">
        <v>5046</v>
      </c>
      <c r="BE1457" s="409" t="s">
        <v>5047</v>
      </c>
      <c r="BF1457" s="409" t="s">
        <v>5048</v>
      </c>
      <c r="BG1457" s="391">
        <f>SUM($AV$1389:AV1457)</f>
        <v>363.74658827958046</v>
      </c>
      <c r="BH1457" s="392">
        <f>SUM($AU$1389:AU1457)</f>
        <v>4118.4000000000005</v>
      </c>
      <c r="BI1457" s="318">
        <f>SUMIFS($AU$1388:AU1458,$Q$1388:Q1458,"F")</f>
        <v>2134.4</v>
      </c>
      <c r="BJ1457" s="318">
        <f>SUMIFS($AU$1388:AU1458,$Q$1388:Q1458,"S")</f>
        <v>1696.0000000000007</v>
      </c>
      <c r="BK1457" s="343">
        <f>SUMIFS($AU$1388:AU1458,$P$1388:P1458,"W")</f>
        <v>2502.4000000000005</v>
      </c>
      <c r="BL1457" s="343">
        <f>SUMIFS($AU$1388:AU1458,$P$1388:P1458,"R")</f>
        <v>1408.0000000000002</v>
      </c>
      <c r="BM1457" s="343">
        <f>SUMIFS($AU$1388:AU1458,$AQ$1388:AQ1458,"M")</f>
        <v>976.00000000000023</v>
      </c>
      <c r="BN1457" s="343">
        <f>SUMIFS($AU$1388:AU1458,$AQ$1388:AQ1458,"H")</f>
        <v>463.99999999999972</v>
      </c>
      <c r="BO1457" s="343">
        <f>SUMIFS($AU$1388:AU1458,$AQ$1388:AQ1458,"D")</f>
        <v>1504.0000000000005</v>
      </c>
      <c r="BP1457" s="343">
        <f>SUMIFS($AU$1388:AU1460,$AQ$1388:AQ1460,"W")</f>
        <v>1414.3999999999999</v>
      </c>
      <c r="BQ1457" s="343">
        <f>SUMIFS($AU$1388:AU1458,$Q$1388:Q1458,"O")</f>
        <v>0</v>
      </c>
      <c r="BR1457" s="343">
        <f>SUMIFS($AU$1388:AU1458,$AA$1388:AA1458,"*")</f>
        <v>3990.4000000000005</v>
      </c>
      <c r="BS1457" s="343">
        <f>SUMIFS($AU$1388:AU1458,$AB$1388:AB1458,"*")</f>
        <v>639.99999999999943</v>
      </c>
      <c r="BT1457" s="343">
        <f>SUMIFS($AU$1388:AU1458,$AC$1388:AC1458,"*")</f>
        <v>1430.3999999999999</v>
      </c>
      <c r="BU1457" s="343">
        <f>SUMIFS($AU$1388:AU1458,$AA$1388:AA1458,"*",$AB$1388:AB1458,"*")</f>
        <v>367.9999999999996</v>
      </c>
      <c r="BV1457" s="343">
        <f>SUMIFS($AU$1388:AU1458,$AA$1388:AA1458,"*",$AC$1388:AC1458,"*")</f>
        <v>1686.3999999999999</v>
      </c>
      <c r="BW1457" s="343">
        <f>SUMIFS($AU$1388:AU1458,$AB$1388:AB1458,"*",$AC$1388:AC1458,"*")</f>
        <v>272.00000000000006</v>
      </c>
      <c r="BX1457" s="343">
        <f>SUMIFS($AV$1388:AV1458,$Q$1388:Q1458,"F")</f>
        <v>84.114285714285714</v>
      </c>
      <c r="BY1457" s="343">
        <f>SUMIFS($AV$1388:AV1458,$Q$1388:Q1458,"S")</f>
        <v>143.63230256529494</v>
      </c>
      <c r="BZ1457" s="343">
        <f>SUMIFS($AV$1388:AV1458,$Q$1388:Q1458,"O")</f>
        <v>0</v>
      </c>
    </row>
    <row r="1458" spans="1:78" ht="15.75" customHeight="1">
      <c r="A1458" s="177" t="s">
        <v>4824</v>
      </c>
      <c r="B1458" s="200">
        <v>45313</v>
      </c>
      <c r="C1458" s="178" t="s">
        <v>5049</v>
      </c>
      <c r="D1458" s="178" t="s">
        <v>132</v>
      </c>
      <c r="E1458" s="227"/>
      <c r="F1458" s="180"/>
      <c r="G1458" s="281" t="s">
        <v>181</v>
      </c>
      <c r="H1458" s="182"/>
      <c r="I1458" s="182"/>
      <c r="J1458" s="182"/>
      <c r="K1458" s="183"/>
      <c r="L1458" s="182">
        <v>1</v>
      </c>
      <c r="M1458" s="182"/>
      <c r="N1458" s="182"/>
      <c r="O1458" s="183" t="s">
        <v>95</v>
      </c>
      <c r="P1458" s="183" t="s">
        <v>96</v>
      </c>
      <c r="Q1458" s="183" t="s">
        <v>97</v>
      </c>
      <c r="R1458" s="183">
        <v>14</v>
      </c>
      <c r="S1458" s="183">
        <v>7</v>
      </c>
      <c r="T1458" s="183">
        <v>7</v>
      </c>
      <c r="U1458" s="183" t="s">
        <v>22</v>
      </c>
      <c r="V1458" s="183"/>
      <c r="W1458" s="183"/>
      <c r="X1458" s="183"/>
      <c r="Y1458" s="184">
        <f>IF(ISBLANK(O1458),"",(IF(O1458=UPPER("IB"),0.005,0.01)))</f>
        <v>0.01</v>
      </c>
      <c r="Z1458" s="185">
        <f>IF(ISBLANK(O1458),"",IF(O1458="IB",8.63*200,IF(O1458="IR",16*100,IF(O1458="YT",20*100,IF(O1458="YT-XT",24*200,IF(O1458="TED",80*100))))))</f>
        <v>1600</v>
      </c>
      <c r="AA1458" s="185"/>
      <c r="AB1458" s="185"/>
      <c r="AC1458" s="185" t="s">
        <v>4589</v>
      </c>
      <c r="AD1458" s="649">
        <v>-3.5000000000000003E-2</v>
      </c>
      <c r="AE1458" s="182"/>
      <c r="AF1458" s="332"/>
      <c r="AG1458" s="182"/>
      <c r="AH1458" s="182"/>
      <c r="AI1458" s="182"/>
      <c r="AJ1458" s="640"/>
      <c r="AK1458" s="182"/>
      <c r="AL1458" s="496">
        <f t="shared" ref="AL1458" si="409">-0.03*Z1458</f>
        <v>-48</v>
      </c>
      <c r="AM1458" s="496">
        <f t="shared" si="408"/>
        <v>-336</v>
      </c>
      <c r="AN1458" s="626"/>
      <c r="AO1458" s="182"/>
      <c r="AP1458" s="182" t="s">
        <v>770</v>
      </c>
      <c r="AQ1458" s="332" t="s">
        <v>115</v>
      </c>
      <c r="AR1458" s="298">
        <v>45314</v>
      </c>
      <c r="AS1458" s="189">
        <v>-0.04</v>
      </c>
      <c r="AT1458" s="189">
        <f>IF(ISBLANK(AS1458),,IF(U1458="S",AD1458-AS1458,AS1458-AD1458))</f>
        <v>-4.9999999999999975E-3</v>
      </c>
      <c r="AU1458" s="187">
        <f>AV1458*R1458</f>
        <v>-111.99999999999994</v>
      </c>
      <c r="AV1458" s="190">
        <f>IF(ISBLANK(AS1458),,(AT1458*Z1458))</f>
        <v>-7.9999999999999964</v>
      </c>
      <c r="AW1458" s="191" t="s">
        <v>229</v>
      </c>
      <c r="AX1458" s="409" t="s">
        <v>5046</v>
      </c>
      <c r="AY1458" s="409" t="s">
        <v>5047</v>
      </c>
      <c r="AZ1458" s="409" t="s">
        <v>5048</v>
      </c>
      <c r="BA1458" s="407"/>
      <c r="BB1458" s="407"/>
      <c r="BC1458" s="407"/>
      <c r="BD1458" s="409"/>
      <c r="BE1458" s="409"/>
      <c r="BF1458" s="409"/>
      <c r="BG1458" s="391">
        <f>SUM($AV$1389:AV1458)</f>
        <v>355.74658827958046</v>
      </c>
      <c r="BH1458" s="392">
        <f>SUM($AU$1389:AU1458)</f>
        <v>4006.4000000000005</v>
      </c>
      <c r="BI1458" s="318">
        <f>SUMIFS($AU$1388:AU1459,$Q$1388:Q1459,"F")</f>
        <v>2486.4</v>
      </c>
      <c r="BJ1458" s="318">
        <f>SUMIFS($AU$1388:AU1459,$Q$1388:Q1459,"S")</f>
        <v>1696.0000000000007</v>
      </c>
      <c r="BK1458" s="343">
        <f>SUMIFS($AU$1388:AU1459,$P$1388:P1459,"W")</f>
        <v>2502.4000000000005</v>
      </c>
      <c r="BL1458" s="343">
        <f>SUMIFS($AU$1388:AU1459,$P$1388:P1459,"R")</f>
        <v>1760.0000000000002</v>
      </c>
      <c r="BM1458" s="343">
        <f>SUMIFS($AU$1388:AU1459,$AQ$1388:AQ1459,"M")</f>
        <v>976.00000000000023</v>
      </c>
      <c r="BN1458" s="343">
        <f>SUMIFS($AU$1388:AU1459,$AQ$1388:AQ1459,"H")</f>
        <v>463.99999999999972</v>
      </c>
      <c r="BO1458" s="343">
        <f>SUMIFS($AU$1388:AU1459,$AQ$1388:AQ1459,"D")</f>
        <v>1504.0000000000005</v>
      </c>
      <c r="BP1458" s="343">
        <f>SUMIFS($AU$1388:AU1461,$AQ$1388:AQ1461,"W")</f>
        <v>1414.3999999999999</v>
      </c>
      <c r="BQ1458" s="343">
        <f>SUMIFS($AU$1388:AU1459,$Q$1388:Q1459,"O")</f>
        <v>0</v>
      </c>
      <c r="BR1458" s="343">
        <f>SUMIFS($AU$1388:AU1459,$AA$1388:AA1459,"*")</f>
        <v>4342.4000000000005</v>
      </c>
      <c r="BS1458" s="343">
        <f>SUMIFS($AU$1388:AU1459,$AB$1388:AB1459,"*")</f>
        <v>639.99999999999943</v>
      </c>
      <c r="BT1458" s="343">
        <f>SUMIFS($AU$1388:AU1459,$AC$1388:AC1459,"*")</f>
        <v>1782.3999999999999</v>
      </c>
      <c r="BU1458" s="343">
        <f>SUMIFS($AU$1388:AU1459,$AA$1388:AA1459,"*",$AB$1388:AB1459,"*")</f>
        <v>367.9999999999996</v>
      </c>
      <c r="BV1458" s="343">
        <f>SUMIFS($AU$1388:AU1459,$AA$1388:AA1459,"*",$AC$1388:AC1459,"*")</f>
        <v>2038.3999999999999</v>
      </c>
      <c r="BW1458" s="343">
        <f>SUMIFS($AU$1388:AU1459,$AB$1388:AB1459,"*",$AC$1388:AC1459,"*")</f>
        <v>272.00000000000006</v>
      </c>
      <c r="BX1458" s="343">
        <f>SUMIFS($AV$1388:AV1459,$Q$1388:Q1459,"F")</f>
        <v>100.11428571428571</v>
      </c>
      <c r="BY1458" s="343">
        <f>SUMIFS($AV$1388:AV1459,$Q$1388:Q1459,"S")</f>
        <v>143.63230256529494</v>
      </c>
      <c r="BZ1458" s="343">
        <f>SUMIFS($AV$1388:AV1459,$Q$1388:Q1459,"O")</f>
        <v>0</v>
      </c>
    </row>
    <row r="1459" spans="1:78" ht="15.75" customHeight="1">
      <c r="A1459" s="177" t="s">
        <v>4824</v>
      </c>
      <c r="B1459" s="200">
        <v>45313</v>
      </c>
      <c r="C1459" s="178" t="s">
        <v>1663</v>
      </c>
      <c r="D1459" s="178" t="s">
        <v>132</v>
      </c>
      <c r="E1459" s="227"/>
      <c r="F1459" s="180"/>
      <c r="G1459" s="484" t="s">
        <v>5050</v>
      </c>
      <c r="H1459" s="182"/>
      <c r="I1459" s="182"/>
      <c r="J1459" s="182"/>
      <c r="K1459" s="183"/>
      <c r="L1459" s="182">
        <v>1</v>
      </c>
      <c r="M1459" s="182"/>
      <c r="N1459" s="182"/>
      <c r="O1459" s="183" t="s">
        <v>95</v>
      </c>
      <c r="P1459" s="183" t="s">
        <v>137</v>
      </c>
      <c r="Q1459" s="183" t="s">
        <v>256</v>
      </c>
      <c r="R1459" s="183">
        <v>22</v>
      </c>
      <c r="S1459" s="183">
        <v>22</v>
      </c>
      <c r="T1459" s="183">
        <v>22</v>
      </c>
      <c r="U1459" s="183" t="s">
        <v>22</v>
      </c>
      <c r="V1459" s="183"/>
      <c r="W1459" s="183"/>
      <c r="X1459" s="183"/>
      <c r="Y1459" s="184">
        <f>IF(ISBLANK(O1459),"",(IF(O1459=UPPER("IB"),0.005,0.01)))</f>
        <v>0.01</v>
      </c>
      <c r="Z1459" s="185">
        <f>IF(ISBLANK(O1459),"",IF(O1459="IB",8.63*200,IF(O1459="IR",16*100,IF(O1459="YT",20*100,IF(O1459="YT-XT",24*200,IF(O1459="TED",80*100))))))</f>
        <v>1600</v>
      </c>
      <c r="AA1459" s="185" t="s">
        <v>4932</v>
      </c>
      <c r="AB1459" s="185"/>
      <c r="AC1459" s="185" t="s">
        <v>5051</v>
      </c>
      <c r="AD1459" s="649">
        <v>-0.04</v>
      </c>
      <c r="AE1459" s="182"/>
      <c r="AF1459" s="332"/>
      <c r="AG1459" s="182"/>
      <c r="AH1459" s="182"/>
      <c r="AI1459" s="182"/>
      <c r="AJ1459" s="640"/>
      <c r="AK1459" s="182"/>
      <c r="AL1459" s="496">
        <f t="shared" ref="AL1459:AL1462" si="410">-0.02*Z1459</f>
        <v>-32</v>
      </c>
      <c r="AM1459" s="496">
        <f t="shared" si="408"/>
        <v>0</v>
      </c>
      <c r="AN1459" s="626"/>
      <c r="AO1459" s="182"/>
      <c r="AP1459" s="182" t="s">
        <v>925</v>
      </c>
      <c r="AQ1459" s="332" t="s">
        <v>96</v>
      </c>
      <c r="AR1459" s="298">
        <v>45321</v>
      </c>
      <c r="AS1459" s="189">
        <v>-0.03</v>
      </c>
      <c r="AT1459" s="189">
        <f>IF(ISBLANK(AS1459),,IF(U1459="S",AD1459-AS1459,AS1459-AD1459))</f>
        <v>1.0000000000000002E-2</v>
      </c>
      <c r="AU1459" s="187">
        <f>AV1459*R1459</f>
        <v>352.00000000000006</v>
      </c>
      <c r="AV1459" s="190">
        <f>IF(ISBLANK(AS1459),,(AT1459*Z1459))</f>
        <v>16.000000000000004</v>
      </c>
      <c r="AW1459" s="191" t="s">
        <v>96</v>
      </c>
      <c r="AX1459" s="407"/>
      <c r="AY1459" s="407"/>
      <c r="AZ1459" s="407"/>
      <c r="BA1459" s="407"/>
      <c r="BB1459" s="407"/>
      <c r="BC1459" s="407"/>
      <c r="BD1459" s="407"/>
      <c r="BE1459" s="407"/>
      <c r="BF1459" s="422"/>
      <c r="BG1459" s="391">
        <f>SUM($AV$1389:AV1459)</f>
        <v>371.74658827958046</v>
      </c>
      <c r="BH1459" s="392">
        <f>SUM($AU$1389:AU1459)</f>
        <v>4358.4000000000005</v>
      </c>
      <c r="BI1459" s="318">
        <f>SUMIFS($AU$1388:AU1460,$Q$1388:Q1460,"F")</f>
        <v>2486.4</v>
      </c>
      <c r="BJ1459" s="318">
        <f>SUMIFS($AU$1388:AU1460,$Q$1388:Q1460,"S")</f>
        <v>1696.0000000000007</v>
      </c>
      <c r="BK1459" s="343">
        <f>SUMIFS($AU$1388:AU1460,$P$1388:P1460,"W")</f>
        <v>2502.4000000000005</v>
      </c>
      <c r="BL1459" s="343">
        <f>SUMIFS($AU$1388:AU1460,$P$1388:P1460,"R")</f>
        <v>1840.0000000000002</v>
      </c>
      <c r="BM1459" s="343">
        <f>SUMIFS($AU$1388:AU1460,$AQ$1388:AQ1460,"M")</f>
        <v>976.00000000000023</v>
      </c>
      <c r="BN1459" s="343">
        <f>SUMIFS($AU$1388:AU1460,$AQ$1388:AQ1460,"H")</f>
        <v>543.99999999999977</v>
      </c>
      <c r="BO1459" s="343">
        <f>SUMIFS($AU$1388:AU1460,$AQ$1388:AQ1460,"D")</f>
        <v>1504.0000000000005</v>
      </c>
      <c r="BP1459" s="343">
        <f>SUMIFS($AU$1388:AU1462,$AQ$1388:AQ1462,"W")</f>
        <v>1414.3999999999999</v>
      </c>
      <c r="BQ1459" s="343">
        <f>SUMIFS($AU$1388:AU1460,$Q$1388:Q1460,"O")</f>
        <v>0</v>
      </c>
      <c r="BR1459" s="343">
        <f>SUMIFS($AU$1388:AU1460,$AA$1388:AA1460,"*")</f>
        <v>4422.4000000000005</v>
      </c>
      <c r="BS1459" s="343">
        <f>SUMIFS($AU$1388:AU1460,$AB$1388:AB1460,"*")</f>
        <v>639.99999999999943</v>
      </c>
      <c r="BT1459" s="343">
        <f>SUMIFS($AU$1388:AU1460,$AC$1388:AC1460,"*")</f>
        <v>1782.3999999999999</v>
      </c>
      <c r="BU1459" s="343">
        <f>SUMIFS($AU$1388:AU1460,$AA$1388:AA1460,"*",$AB$1388:AB1460,"*")</f>
        <v>367.9999999999996</v>
      </c>
      <c r="BV1459" s="343">
        <f>SUMIFS($AU$1388:AU1460,$AA$1388:AA1460,"*",$AC$1388:AC1460,"*")</f>
        <v>2038.3999999999999</v>
      </c>
      <c r="BW1459" s="343">
        <f>SUMIFS($AU$1388:AU1460,$AB$1388:AB1460,"*",$AC$1388:AC1460,"*")</f>
        <v>272.00000000000006</v>
      </c>
      <c r="BX1459" s="343">
        <f>SUMIFS($AV$1388:AV1460,$Q$1388:Q1460,"F")</f>
        <v>100.11428571428571</v>
      </c>
      <c r="BY1459" s="343">
        <f>SUMIFS($AV$1388:AV1460,$Q$1388:Q1460,"S")</f>
        <v>143.63230256529494</v>
      </c>
      <c r="BZ1459" s="343">
        <f>SUMIFS($AV$1388:AV1460,$Q$1388:Q1460,"O")</f>
        <v>0</v>
      </c>
    </row>
    <row r="1460" spans="1:78" ht="15.75" customHeight="1">
      <c r="A1460" s="177" t="s">
        <v>4824</v>
      </c>
      <c r="B1460" s="200">
        <v>45313</v>
      </c>
      <c r="C1460" s="178" t="s">
        <v>4865</v>
      </c>
      <c r="D1460" s="178" t="s">
        <v>132</v>
      </c>
      <c r="E1460" s="227"/>
      <c r="F1460" s="180"/>
      <c r="G1460" s="281" t="s">
        <v>5012</v>
      </c>
      <c r="H1460" s="182"/>
      <c r="I1460" s="182"/>
      <c r="J1460" s="182"/>
      <c r="K1460" s="183"/>
      <c r="L1460" s="182">
        <v>1</v>
      </c>
      <c r="M1460" s="182">
        <v>1</v>
      </c>
      <c r="N1460" s="182"/>
      <c r="O1460" s="183" t="s">
        <v>2652</v>
      </c>
      <c r="P1460" s="183" t="s">
        <v>137</v>
      </c>
      <c r="Q1460" s="183"/>
      <c r="R1460" s="183">
        <v>1</v>
      </c>
      <c r="S1460" s="183">
        <v>0</v>
      </c>
      <c r="T1460" s="183">
        <v>1</v>
      </c>
      <c r="U1460" s="183" t="s">
        <v>97</v>
      </c>
      <c r="V1460" s="183"/>
      <c r="W1460" s="183"/>
      <c r="X1460" s="183"/>
      <c r="Y1460" s="184">
        <f>IF(ISBLANK(O1460),"",(IF(O1460=UPPER("IB"),0.005,0.01)))</f>
        <v>0.01</v>
      </c>
      <c r="Z1460" s="185">
        <f>IF(ISBLANK(O1460),"",IF(O1460="IB",8.63*200,IF(O1460="IR",16*100,IF(O1460="YT",20*100,IF(O1460="YT-XT",24*200,IF(O1460="TED",80*100))))))</f>
        <v>8000</v>
      </c>
      <c r="AA1460" s="185" t="s">
        <v>99</v>
      </c>
      <c r="AB1460" s="185"/>
      <c r="AC1460" s="185"/>
      <c r="AD1460" s="649">
        <v>-0.01</v>
      </c>
      <c r="AE1460" s="182"/>
      <c r="AF1460" s="332"/>
      <c r="AG1460" s="182"/>
      <c r="AH1460" s="182"/>
      <c r="AI1460" s="182"/>
      <c r="AJ1460" s="640"/>
      <c r="AK1460" s="182"/>
      <c r="AL1460" s="496">
        <f t="shared" si="410"/>
        <v>-160</v>
      </c>
      <c r="AM1460" s="496">
        <f t="shared" si="408"/>
        <v>-160</v>
      </c>
      <c r="AN1460" s="626"/>
      <c r="AO1460" s="182"/>
      <c r="AP1460" s="182" t="s">
        <v>5052</v>
      </c>
      <c r="AQ1460" s="332" t="s">
        <v>372</v>
      </c>
      <c r="AR1460" s="182" t="s">
        <v>5053</v>
      </c>
      <c r="AS1460" s="189">
        <v>-0.02</v>
      </c>
      <c r="AT1460" s="189">
        <f>IF(ISBLANK(AS1460),,IF(U1460="S",AD1460-AS1460,AS1460-AD1460))</f>
        <v>0.01</v>
      </c>
      <c r="AU1460" s="187">
        <f>AV1460*R1460</f>
        <v>80</v>
      </c>
      <c r="AV1460" s="190">
        <f>IF(ISBLANK(AS1460),,(AT1460*Z1460))</f>
        <v>80</v>
      </c>
      <c r="AW1460" s="191" t="s">
        <v>96</v>
      </c>
      <c r="AX1460" s="407" t="s">
        <v>5054</v>
      </c>
      <c r="AY1460" s="407" t="s">
        <v>5055</v>
      </c>
      <c r="AZ1460" s="407"/>
      <c r="BA1460" s="407"/>
      <c r="BB1460" s="407"/>
      <c r="BC1460" s="407"/>
      <c r="BD1460" s="407" t="s">
        <v>5054</v>
      </c>
      <c r="BE1460" s="407" t="s">
        <v>5055</v>
      </c>
      <c r="BF1460" s="422" t="s">
        <v>5056</v>
      </c>
      <c r="BG1460" s="391">
        <f>SUM($AV$1389:AV1460)</f>
        <v>451.74658827958046</v>
      </c>
      <c r="BH1460" s="392">
        <f>SUM($AU$1389:AU1460)</f>
        <v>4438.4000000000005</v>
      </c>
      <c r="BI1460" s="318">
        <f>SUMIFS($AU$1388:AU1461,$Q$1388:Q1461,"F")</f>
        <v>2486.4</v>
      </c>
      <c r="BJ1460" s="318">
        <f>SUMIFS($AU$1388:AU1461,$Q$1388:Q1461,"S")</f>
        <v>1696.0000000000007</v>
      </c>
      <c r="BK1460" s="343">
        <f>SUMIFS($AU$1388:AU1461,$P$1388:P1461,"W")</f>
        <v>2502.4000000000005</v>
      </c>
      <c r="BL1460" s="343">
        <f>SUMIFS($AU$1388:AU1461,$P$1388:P1461,"R")</f>
        <v>1840.0000000000002</v>
      </c>
      <c r="BM1460" s="343">
        <f>SUMIFS($AU$1388:AU1461,$AQ$1388:AQ1461,"M")</f>
        <v>976.00000000000023</v>
      </c>
      <c r="BN1460" s="343">
        <f>SUMIFS($AU$1388:AU1461,$AQ$1388:AQ1461,"H")</f>
        <v>543.99999999999977</v>
      </c>
      <c r="BO1460" s="343">
        <f>SUMIFS($AU$1388:AU1461,$AQ$1388:AQ1461,"D")</f>
        <v>1504.0000000000005</v>
      </c>
      <c r="BP1460" s="343">
        <f>SUMIFS($AU$1388:AU1463,$AQ$1388:AQ1463,"W")</f>
        <v>1414.3999999999999</v>
      </c>
      <c r="BQ1460" s="343">
        <f>SUMIFS($AU$1388:AU1461,$Q$1388:Q1461,"O")</f>
        <v>0</v>
      </c>
      <c r="BR1460" s="343">
        <f>SUMIFS($AU$1388:AU1461,$AA$1388:AA1461,"*")</f>
        <v>4422.4000000000005</v>
      </c>
      <c r="BS1460" s="343">
        <f>SUMIFS($AU$1388:AU1461,$AB$1388:AB1461,"*")</f>
        <v>639.99999999999943</v>
      </c>
      <c r="BT1460" s="343">
        <f>SUMIFS($AU$1388:AU1461,$AC$1388:AC1461,"*")</f>
        <v>1782.3999999999999</v>
      </c>
      <c r="BU1460" s="343">
        <f>SUMIFS($AU$1388:AU1461,$AA$1388:AA1461,"*",$AB$1388:AB1461,"*")</f>
        <v>367.9999999999996</v>
      </c>
      <c r="BV1460" s="343">
        <f>SUMIFS($AU$1388:AU1461,$AA$1388:AA1461,"*",$AC$1388:AC1461,"*")</f>
        <v>2038.3999999999999</v>
      </c>
      <c r="BW1460" s="343">
        <f>SUMIFS($AU$1388:AU1461,$AB$1388:AB1461,"*",$AC$1388:AC1461,"*")</f>
        <v>272.00000000000006</v>
      </c>
      <c r="BX1460" s="343">
        <f>SUMIFS($AV$1388:AV1461,$Q$1388:Q1461,"F")</f>
        <v>100.11428571428571</v>
      </c>
      <c r="BY1460" s="343">
        <f>SUMIFS($AV$1388:AV1461,$Q$1388:Q1461,"S")</f>
        <v>143.63230256529494</v>
      </c>
      <c r="BZ1460" s="343">
        <f>SUMIFS($AV$1388:AV1461,$Q$1388:Q1461,"O")</f>
        <v>0</v>
      </c>
    </row>
    <row r="1461" spans="1:78" ht="15.75" customHeight="1">
      <c r="A1461" s="177" t="s">
        <v>4824</v>
      </c>
      <c r="B1461" s="200">
        <v>45313</v>
      </c>
      <c r="C1461" s="178" t="s">
        <v>5057</v>
      </c>
      <c r="D1461" s="178" t="s">
        <v>132</v>
      </c>
      <c r="E1461" s="227"/>
      <c r="F1461" s="180"/>
      <c r="G1461" s="281" t="s">
        <v>2016</v>
      </c>
      <c r="H1461" s="182"/>
      <c r="I1461" s="182"/>
      <c r="J1461" s="182"/>
      <c r="K1461" s="183"/>
      <c r="L1461" s="182">
        <v>1</v>
      </c>
      <c r="M1461" s="182"/>
      <c r="N1461" s="182"/>
      <c r="O1461" s="183" t="s">
        <v>95</v>
      </c>
      <c r="P1461" s="183" t="s">
        <v>96</v>
      </c>
      <c r="Q1461" s="183" t="s">
        <v>97</v>
      </c>
      <c r="R1461" s="183">
        <v>12</v>
      </c>
      <c r="S1461" s="183">
        <v>0</v>
      </c>
      <c r="T1461" s="183">
        <v>12</v>
      </c>
      <c r="U1461" s="183" t="s">
        <v>22</v>
      </c>
      <c r="V1461" s="183"/>
      <c r="W1461" s="183"/>
      <c r="X1461" s="183"/>
      <c r="Y1461" s="184">
        <f>IF(ISBLANK(O1461),"",(IF(O1461=UPPER("IB"),0.005,0.01)))</f>
        <v>0.01</v>
      </c>
      <c r="Z1461" s="185">
        <f>IF(ISBLANK(O1461),"",IF(O1461="IB",8.63*200,IF(O1461="IR",16*100,IF(O1461="YT",20*100,IF(O1461="YT-XT",24*200,IF(O1461="TED",80*100))))))</f>
        <v>1600</v>
      </c>
      <c r="AA1461" s="185"/>
      <c r="AB1461" s="185"/>
      <c r="AC1461" s="185" t="s">
        <v>5058</v>
      </c>
      <c r="AD1461" s="649">
        <v>-0.12</v>
      </c>
      <c r="AE1461" s="182"/>
      <c r="AF1461" s="332"/>
      <c r="AG1461" s="182"/>
      <c r="AH1461" s="182"/>
      <c r="AI1461" s="182"/>
      <c r="AJ1461" s="640"/>
      <c r="AK1461" s="182"/>
      <c r="AL1461" s="496">
        <f t="shared" si="410"/>
        <v>-32</v>
      </c>
      <c r="AM1461" s="496">
        <f t="shared" si="408"/>
        <v>-384</v>
      </c>
      <c r="AN1461" s="626"/>
      <c r="AO1461" s="182"/>
      <c r="AP1461" s="182" t="s">
        <v>770</v>
      </c>
      <c r="AQ1461" s="332" t="s">
        <v>115</v>
      </c>
      <c r="AR1461" s="182" t="s">
        <v>5059</v>
      </c>
      <c r="AS1461" s="189">
        <v>-0.12</v>
      </c>
      <c r="AT1461" s="189">
        <f>IF(ISBLANK(AS1461),,IF(U1461="S",AD1461-AS1461,AS1461-AD1461))</f>
        <v>0</v>
      </c>
      <c r="AU1461" s="187">
        <f>AV1461*R1461</f>
        <v>0</v>
      </c>
      <c r="AV1461" s="190">
        <f>IF(ISBLANK(AS1461),,(AT1461*Z1461))</f>
        <v>0</v>
      </c>
      <c r="AW1461" s="191" t="s">
        <v>115</v>
      </c>
      <c r="AX1461" s="407"/>
      <c r="AY1461" s="407"/>
      <c r="AZ1461" s="407"/>
      <c r="BA1461" s="407"/>
      <c r="BB1461" s="407"/>
      <c r="BC1461" s="407"/>
      <c r="BD1461" s="407"/>
      <c r="BE1461" s="407"/>
      <c r="BF1461" s="422"/>
      <c r="BG1461" s="391">
        <f>SUM($AV$1389:AV1461)</f>
        <v>451.74658827958046</v>
      </c>
      <c r="BH1461" s="392">
        <f>SUM($AU$1389:AU1461)</f>
        <v>4438.4000000000005</v>
      </c>
      <c r="BI1461" s="318">
        <f>SUMIFS($AU$1388:AU1462,$Q$1388:Q1462,"F")</f>
        <v>2486.4</v>
      </c>
      <c r="BJ1461" s="318">
        <f>SUMIFS($AU$1388:AU1462,$Q$1388:Q1462,"S")</f>
        <v>1696.0000000000007</v>
      </c>
      <c r="BK1461" s="343">
        <f>SUMIFS($AU$1388:AU1462,$P$1388:P1462,"W")</f>
        <v>2502.4000000000005</v>
      </c>
      <c r="BL1461" s="343">
        <f>SUMIFS($AU$1388:AU1462,$P$1388:P1462,"R")</f>
        <v>1840.0000000000002</v>
      </c>
      <c r="BM1461" s="343">
        <f>SUMIFS($AU$1388:AU1462,$AQ$1388:AQ1462,"M")</f>
        <v>976.00000000000023</v>
      </c>
      <c r="BN1461" s="343">
        <f>SUMIFS($AU$1388:AU1462,$AQ$1388:AQ1462,"H")</f>
        <v>543.99999999999977</v>
      </c>
      <c r="BO1461" s="343">
        <f>SUMIFS($AU$1388:AU1462,$AQ$1388:AQ1462,"D")</f>
        <v>1504.0000000000005</v>
      </c>
      <c r="BP1461" s="343">
        <f>SUMIFS($AU$1388:AU1464,$AQ$1388:AQ1464,"W")</f>
        <v>1414.3999999999999</v>
      </c>
      <c r="BQ1461" s="343">
        <f>SUMIFS($AU$1388:AU1462,$Q$1388:Q1462,"O")</f>
        <v>0</v>
      </c>
      <c r="BR1461" s="343">
        <f>SUMIFS($AU$1388:AU1462,$AA$1388:AA1462,"*")</f>
        <v>4422.4000000000005</v>
      </c>
      <c r="BS1461" s="343">
        <f>SUMIFS($AU$1388:AU1462,$AB$1388:AB1462,"*")</f>
        <v>639.99999999999943</v>
      </c>
      <c r="BT1461" s="343">
        <f>SUMIFS($AU$1388:AU1462,$AC$1388:AC1462,"*")</f>
        <v>1782.3999999999999</v>
      </c>
      <c r="BU1461" s="343">
        <f>SUMIFS($AU$1388:AU1462,$AA$1388:AA1462,"*",$AB$1388:AB1462,"*")</f>
        <v>367.9999999999996</v>
      </c>
      <c r="BV1461" s="343">
        <f>SUMIFS($AU$1388:AU1462,$AA$1388:AA1462,"*",$AC$1388:AC1462,"*")</f>
        <v>2038.3999999999999</v>
      </c>
      <c r="BW1461" s="343">
        <f>SUMIFS($AU$1388:AU1462,$AB$1388:AB1462,"*",$AC$1388:AC1462,"*")</f>
        <v>272.00000000000006</v>
      </c>
      <c r="BX1461" s="343">
        <f>SUMIFS($AV$1388:AV1462,$Q$1388:Q1462,"F")</f>
        <v>100.11428571428571</v>
      </c>
      <c r="BY1461" s="343">
        <f>SUMIFS($AV$1388:AV1462,$Q$1388:Q1462,"S")</f>
        <v>143.63230256529494</v>
      </c>
      <c r="BZ1461" s="343">
        <f>SUMIFS($AV$1388:AV1462,$Q$1388:Q1462,"O")</f>
        <v>0</v>
      </c>
    </row>
    <row r="1462" spans="1:78" ht="15.75" customHeight="1">
      <c r="A1462" s="177" t="s">
        <v>4824</v>
      </c>
      <c r="B1462" s="200">
        <v>45313</v>
      </c>
      <c r="C1462" s="178" t="s">
        <v>5057</v>
      </c>
      <c r="D1462" s="178" t="s">
        <v>132</v>
      </c>
      <c r="E1462" s="227"/>
      <c r="F1462" s="180"/>
      <c r="G1462" s="181" t="s">
        <v>2942</v>
      </c>
      <c r="H1462" s="182"/>
      <c r="I1462" s="182"/>
      <c r="J1462" s="182"/>
      <c r="K1462" s="183"/>
      <c r="L1462" s="182"/>
      <c r="M1462" s="182"/>
      <c r="N1462" s="182"/>
      <c r="O1462" s="183"/>
      <c r="P1462" s="183"/>
      <c r="Q1462" s="183"/>
      <c r="R1462" s="183"/>
      <c r="S1462" s="183"/>
      <c r="T1462" s="183"/>
      <c r="U1462" s="183"/>
      <c r="V1462" s="183"/>
      <c r="W1462" s="183"/>
      <c r="X1462" s="183"/>
      <c r="Y1462" s="184"/>
      <c r="Z1462" s="185"/>
      <c r="AA1462" s="185"/>
      <c r="AB1462" s="185"/>
      <c r="AC1462" s="185"/>
      <c r="AD1462" s="649"/>
      <c r="AE1462" s="182"/>
      <c r="AF1462" s="332"/>
      <c r="AG1462" s="182"/>
      <c r="AH1462" s="182"/>
      <c r="AI1462" s="182"/>
      <c r="AJ1462" s="640"/>
      <c r="AK1462" s="182"/>
      <c r="AL1462" s="496">
        <f t="shared" si="410"/>
        <v>0</v>
      </c>
      <c r="AM1462" s="496">
        <f t="shared" si="408"/>
        <v>0</v>
      </c>
      <c r="AN1462" s="626"/>
      <c r="AO1462" s="182"/>
      <c r="AP1462" s="182"/>
      <c r="AQ1462" s="332" t="str">
        <f>UPPER(RIGHT(Journal_Live[[#This Row],[DURATION ]]))</f>
        <v/>
      </c>
      <c r="AR1462" s="182"/>
      <c r="AS1462" s="189"/>
      <c r="AT1462" s="189"/>
      <c r="AU1462" s="187"/>
      <c r="AV1462" s="190"/>
      <c r="AW1462" s="191"/>
      <c r="AX1462" s="407"/>
      <c r="AY1462" s="407"/>
      <c r="AZ1462" s="407"/>
      <c r="BA1462" s="407"/>
      <c r="BB1462" s="407"/>
      <c r="BC1462" s="407"/>
      <c r="BD1462" s="407"/>
      <c r="BE1462" s="407"/>
      <c r="BF1462" s="422"/>
      <c r="BG1462" s="391">
        <f>SUM($AV$1389:AV1462)</f>
        <v>451.74658827958046</v>
      </c>
      <c r="BH1462" s="392">
        <f>SUM($AU$1389:AU1462)</f>
        <v>4438.4000000000005</v>
      </c>
      <c r="BI1462" s="318">
        <f>SUMIFS($AU$1388:AU1463,$Q$1388:Q1463,"F")</f>
        <v>2486.4</v>
      </c>
      <c r="BJ1462" s="318">
        <f>SUMIFS($AU$1388:AU1463,$Q$1388:Q1463,"S")</f>
        <v>1696.0000000000007</v>
      </c>
      <c r="BK1462" s="343">
        <f>SUMIFS($AU$1388:AU1463,$P$1388:P1463,"W")</f>
        <v>2502.4000000000005</v>
      </c>
      <c r="BL1462" s="343">
        <f>SUMIFS($AU$1388:AU1463,$P$1388:P1463,"R")</f>
        <v>1840.0000000000002</v>
      </c>
      <c r="BM1462" s="343">
        <f>SUMIFS($AU$1388:AU1463,$AQ$1388:AQ1463,"M")</f>
        <v>976.00000000000023</v>
      </c>
      <c r="BN1462" s="343">
        <f>SUMIFS($AU$1388:AU1463,$AQ$1388:AQ1463,"H")</f>
        <v>543.99999999999977</v>
      </c>
      <c r="BO1462" s="343">
        <f>SUMIFS($AU$1388:AU1463,$AQ$1388:AQ1463,"D")</f>
        <v>1504.0000000000005</v>
      </c>
      <c r="BP1462" s="343">
        <f>SUMIFS($AU$1388:AU1465,$AQ$1388:AQ1465,"W")</f>
        <v>1414.3999999999999</v>
      </c>
      <c r="BQ1462" s="343">
        <f>SUMIFS($AU$1388:AU1463,$Q$1388:Q1463,"O")</f>
        <v>0</v>
      </c>
      <c r="BR1462" s="343">
        <f>SUMIFS($AU$1388:AU1463,$AA$1388:AA1463,"*")</f>
        <v>4422.4000000000005</v>
      </c>
      <c r="BS1462" s="343">
        <f>SUMIFS($AU$1388:AU1463,$AB$1388:AB1463,"*")</f>
        <v>639.99999999999943</v>
      </c>
      <c r="BT1462" s="343">
        <f>SUMIFS($AU$1388:AU1463,$AC$1388:AC1463,"*")</f>
        <v>1782.3999999999999</v>
      </c>
      <c r="BU1462" s="343">
        <f>SUMIFS($AU$1388:AU1463,$AA$1388:AA1463,"*",$AB$1388:AB1463,"*")</f>
        <v>367.9999999999996</v>
      </c>
      <c r="BV1462" s="343">
        <f>SUMIFS($AU$1388:AU1463,$AA$1388:AA1463,"*",$AC$1388:AC1463,"*")</f>
        <v>2038.3999999999999</v>
      </c>
      <c r="BW1462" s="343">
        <f>SUMIFS($AU$1388:AU1463,$AB$1388:AB1463,"*",$AC$1388:AC1463,"*")</f>
        <v>272.00000000000006</v>
      </c>
      <c r="BX1462" s="343">
        <f>SUMIFS($AV$1388:AV1463,$Q$1388:Q1463,"F")</f>
        <v>100.11428571428571</v>
      </c>
      <c r="BY1462" s="343">
        <f>SUMIFS($AV$1388:AV1463,$Q$1388:Q1463,"S")</f>
        <v>143.63230256529494</v>
      </c>
      <c r="BZ1462" s="343">
        <f>SUMIFS($AV$1388:AV1463,$Q$1388:Q1463,"O")</f>
        <v>0</v>
      </c>
    </row>
    <row r="1463" spans="1:78" ht="15.75" customHeight="1">
      <c r="A1463" s="177" t="s">
        <v>4824</v>
      </c>
      <c r="B1463" s="200">
        <v>45315</v>
      </c>
      <c r="C1463" s="178" t="s">
        <v>5060</v>
      </c>
      <c r="D1463" s="178" t="s">
        <v>151</v>
      </c>
      <c r="E1463" s="227"/>
      <c r="F1463" s="180"/>
      <c r="G1463" s="281" t="s">
        <v>5012</v>
      </c>
      <c r="H1463" s="182"/>
      <c r="I1463" s="182"/>
      <c r="J1463" s="182"/>
      <c r="K1463" s="183"/>
      <c r="L1463" s="182">
        <v>1</v>
      </c>
      <c r="M1463" s="182">
        <v>1</v>
      </c>
      <c r="N1463" s="182"/>
      <c r="O1463" s="183" t="s">
        <v>2652</v>
      </c>
      <c r="P1463" s="183" t="s">
        <v>137</v>
      </c>
      <c r="Q1463" s="183"/>
      <c r="R1463" s="183">
        <v>2</v>
      </c>
      <c r="S1463" s="183">
        <v>0</v>
      </c>
      <c r="T1463" s="183">
        <v>1</v>
      </c>
      <c r="U1463" s="183" t="s">
        <v>97</v>
      </c>
      <c r="V1463" s="183"/>
      <c r="W1463" s="183"/>
      <c r="X1463" s="183"/>
      <c r="Y1463" s="184">
        <f>IF(ISBLANK(O1463),"",(IF(O1463=UPPER("IB"),0.005,0.01)))</f>
        <v>0.01</v>
      </c>
      <c r="Z1463" s="185">
        <f>IF(ISBLANK(O1463),"",IF(O1463="IB",8.63*200,IF(O1463="IR",16*100,IF(O1463="YT",20*100,IF(O1463="YT-XT",24*200,IF(O1463="TED",80*100))))))</f>
        <v>8000</v>
      </c>
      <c r="AA1463" s="185" t="s">
        <v>99</v>
      </c>
      <c r="AB1463" s="185"/>
      <c r="AC1463" s="185"/>
      <c r="AD1463" s="649">
        <v>-5.0000000000000001E-3</v>
      </c>
      <c r="AE1463" s="182"/>
      <c r="AF1463" s="332"/>
      <c r="AG1463" s="182"/>
      <c r="AH1463" s="182"/>
      <c r="AI1463" s="182"/>
      <c r="AJ1463" s="640"/>
      <c r="AK1463" s="182"/>
      <c r="AL1463" s="496">
        <f t="shared" ref="AL1463:AL1508" si="411">-0.02*Z1463</f>
        <v>-160</v>
      </c>
      <c r="AM1463" s="496">
        <f t="shared" si="408"/>
        <v>-320</v>
      </c>
      <c r="AN1463" s="626"/>
      <c r="AO1463" s="182"/>
      <c r="AP1463" s="182"/>
      <c r="AQ1463" s="332" t="s">
        <v>372</v>
      </c>
      <c r="AR1463" s="182" t="s">
        <v>5061</v>
      </c>
      <c r="AS1463" s="189">
        <f>(0*1+(-0.01*1))/2</f>
        <v>-5.0000000000000001E-3</v>
      </c>
      <c r="AT1463" s="189">
        <f>IF(ISBLANK(AS1463),,IF(U1463="S",AD1463-AS1463,AS1463-AD1463))</f>
        <v>0</v>
      </c>
      <c r="AU1463" s="187">
        <f>AV1463*R1463</f>
        <v>0</v>
      </c>
      <c r="AV1463" s="190">
        <f>IF(ISBLANK(AS1463),,(AT1463*Z1463))</f>
        <v>0</v>
      </c>
      <c r="AW1463" s="191" t="s">
        <v>115</v>
      </c>
      <c r="AX1463" s="407" t="s">
        <v>5062</v>
      </c>
      <c r="AY1463" s="407"/>
      <c r="AZ1463" s="407"/>
      <c r="BA1463" s="407"/>
      <c r="BB1463" s="407"/>
      <c r="BC1463" s="407"/>
      <c r="BD1463" s="407"/>
      <c r="BE1463" s="407"/>
      <c r="BF1463" s="422"/>
      <c r="BG1463" s="391">
        <f>SUM($AV$1389:AV1463)</f>
        <v>451.74658827958046</v>
      </c>
      <c r="BH1463" s="392">
        <f>SUM($AU$1389:AU1463)</f>
        <v>4438.4000000000005</v>
      </c>
      <c r="BI1463" s="318">
        <f>SUMIFS($AU$1388:AU1486,$Q$1388:Q1486,"F")</f>
        <v>2486.4</v>
      </c>
      <c r="BJ1463" s="318">
        <f>SUMIFS($AU$1388:AU1486,$Q$1388:Q1486,"S")</f>
        <v>1776.0000000000018</v>
      </c>
      <c r="BK1463" s="343">
        <f>SUMIFS($AU$1388:AU1486,$P$1388:P1486,"W")</f>
        <v>2582.4000000000015</v>
      </c>
      <c r="BL1463" s="343">
        <f>SUMIFS($AU$1388:AU1486,$P$1388:P1486,"R")</f>
        <v>2000.0000000000002</v>
      </c>
      <c r="BM1463" s="343">
        <f>SUMIFS($AU$1388:AU1486,$AQ$1388:AQ1486,"M")</f>
        <v>1341.9999999999686</v>
      </c>
      <c r="BN1463" s="343">
        <f>SUMIFS($AU$1388:AU1486,$AQ$1388:AQ1486,"H")</f>
        <v>784.00000000000102</v>
      </c>
      <c r="BO1463" s="343">
        <f>SUMIFS($AU$1388:AU1486,$AQ$1388:AQ1486,"D")</f>
        <v>1504.0000000000005</v>
      </c>
      <c r="BP1463" s="343">
        <f>SUMIFS($AU$1388:AU1466,$AQ$1388:AQ1466,"W")</f>
        <v>1414.3999999999999</v>
      </c>
      <c r="BQ1463" s="343">
        <f>SUMIFS($AU$1388:AU1464,$Q$1388:Q1464,"O")</f>
        <v>0</v>
      </c>
      <c r="BR1463" s="343">
        <f>SUMIFS($AU$1388:AU1464,$AA$1388:AA1464,"*")</f>
        <v>4422.4000000000005</v>
      </c>
      <c r="BS1463" s="343">
        <f>SUMIFS($AU$1388:AU1464,$AB$1388:AB1464,"*")</f>
        <v>639.99999999999943</v>
      </c>
      <c r="BT1463" s="343">
        <f>SUMIFS($AU$1388:AU1464,$AC$1388:AC1464,"*")</f>
        <v>1782.3999999999999</v>
      </c>
      <c r="BU1463" s="343">
        <f>SUMIFS($AU$1388:AU1464,$AA$1388:AA1464,"*",$AB$1388:AB1464,"*")</f>
        <v>367.9999999999996</v>
      </c>
      <c r="BV1463" s="343">
        <f>SUMIFS($AU$1388:AU1464,$AA$1388:AA1464,"*",$AC$1388:AC1464,"*")</f>
        <v>2038.3999999999999</v>
      </c>
      <c r="BW1463" s="343">
        <f>SUMIFS($AU$1388:AU1464,$AB$1388:AB1464,"*",$AC$1388:AC1464,"*")</f>
        <v>272.00000000000006</v>
      </c>
      <c r="BX1463" s="343">
        <f>SUMIFS($AV$1388:AV1464,$Q$1388:Q1464,"F")</f>
        <v>100.11428571428571</v>
      </c>
      <c r="BY1463" s="343">
        <f>SUMIFS($AV$1388:AV1464,$Q$1388:Q1464,"S")</f>
        <v>143.63230256529494</v>
      </c>
      <c r="BZ1463" s="343">
        <f>SUMIFS($AV$1388:AV1464,$Q$1388:Q1464,"O")</f>
        <v>0</v>
      </c>
    </row>
    <row r="1464" spans="1:78" ht="15.75" customHeight="1">
      <c r="A1464" s="177" t="s">
        <v>4824</v>
      </c>
      <c r="B1464" s="200">
        <v>45315</v>
      </c>
      <c r="C1464" s="178" t="s">
        <v>5063</v>
      </c>
      <c r="D1464" s="178" t="s">
        <v>151</v>
      </c>
      <c r="E1464" s="227" t="s">
        <v>5064</v>
      </c>
      <c r="F1464" s="180"/>
      <c r="G1464" s="281" t="s">
        <v>5012</v>
      </c>
      <c r="H1464" s="182"/>
      <c r="I1464" s="182"/>
      <c r="J1464" s="182"/>
      <c r="K1464" s="183"/>
      <c r="L1464" s="182">
        <v>1</v>
      </c>
      <c r="M1464" s="182">
        <v>1</v>
      </c>
      <c r="N1464" s="182"/>
      <c r="O1464" s="183" t="s">
        <v>2652</v>
      </c>
      <c r="P1464" s="183" t="s">
        <v>137</v>
      </c>
      <c r="Q1464" s="183"/>
      <c r="R1464" s="183">
        <v>1</v>
      </c>
      <c r="S1464" s="183">
        <v>0</v>
      </c>
      <c r="T1464" s="183">
        <v>1</v>
      </c>
      <c r="U1464" s="183" t="s">
        <v>97</v>
      </c>
      <c r="V1464" s="183"/>
      <c r="W1464" s="183"/>
      <c r="X1464" s="183"/>
      <c r="Y1464" s="184">
        <f>IF(ISBLANK(O1464),"",(IF(O1464=UPPER("IB"),0.005,0.01)))</f>
        <v>0.01</v>
      </c>
      <c r="Z1464" s="185">
        <f>IF(ISBLANK(O1464),"",IF(O1464="IB",8.63*200,IF(O1464="IR",16*100,IF(O1464="YT",20*100,IF(O1464="YT-XT",24*200,IF(O1464="TED",80*100))))))</f>
        <v>8000</v>
      </c>
      <c r="AA1464" s="185" t="s">
        <v>99</v>
      </c>
      <c r="AB1464" s="185"/>
      <c r="AC1464" s="185"/>
      <c r="AD1464" s="649">
        <v>0</v>
      </c>
      <c r="AE1464" s="182"/>
      <c r="AF1464" s="332"/>
      <c r="AG1464" s="182"/>
      <c r="AH1464" s="182"/>
      <c r="AI1464" s="182"/>
      <c r="AJ1464" s="640"/>
      <c r="AK1464" s="182"/>
      <c r="AL1464" s="496">
        <f>-0.03*Z1464</f>
        <v>-240</v>
      </c>
      <c r="AM1464" s="496">
        <f t="shared" si="408"/>
        <v>-240</v>
      </c>
      <c r="AN1464" s="626"/>
      <c r="AO1464" s="182"/>
      <c r="AP1464" s="182" t="s">
        <v>1005</v>
      </c>
      <c r="AQ1464" s="332" t="s">
        <v>372</v>
      </c>
      <c r="AR1464" s="298" t="s">
        <v>5065</v>
      </c>
      <c r="AS1464" s="189">
        <v>0</v>
      </c>
      <c r="AT1464" s="189">
        <f>IF(ISBLANK(AS1464),,IF(U1464="S",AD1464-AS1464,AS1464-AD1464))</f>
        <v>0</v>
      </c>
      <c r="AU1464" s="187">
        <f>AV1464*R1464</f>
        <v>0</v>
      </c>
      <c r="AV1464" s="190">
        <f>IF(ISBLANK(AS1464),,(AT1464*Z1464))</f>
        <v>0</v>
      </c>
      <c r="AW1464" s="191" t="s">
        <v>115</v>
      </c>
      <c r="AX1464" s="407" t="s">
        <v>5066</v>
      </c>
      <c r="AY1464" s="407" t="s">
        <v>5067</v>
      </c>
      <c r="AZ1464" s="407"/>
      <c r="BA1464" s="407"/>
      <c r="BB1464" s="407"/>
      <c r="BC1464" s="407"/>
      <c r="BD1464" s="407"/>
      <c r="BE1464" s="407"/>
      <c r="BF1464" s="422"/>
      <c r="BG1464" s="391">
        <f>SUM($AV$1389:AV1464)</f>
        <v>451.74658827958046</v>
      </c>
      <c r="BH1464" s="392">
        <f>SUM($AU$1389:AU1464)</f>
        <v>4438.4000000000005</v>
      </c>
      <c r="BI1464" s="318">
        <f>SUMIFS($AU$1388:AU1465,$Q$1388:Q1465,"F")</f>
        <v>2486.4</v>
      </c>
      <c r="BJ1464" s="318">
        <f>SUMIFS($AU$1388:AU1465,$Q$1388:Q1465,"S")</f>
        <v>1696.0000000000007</v>
      </c>
      <c r="BK1464" s="343">
        <f>SUMIFS($AU$1388:AU1465,$P$1388:P1465,"W")</f>
        <v>2502.4000000000005</v>
      </c>
      <c r="BL1464" s="343">
        <f>SUMIFS($AU$1388:AU1465,$P$1388:P1465,"R")</f>
        <v>1840.0000000000002</v>
      </c>
      <c r="BM1464" s="343">
        <f>SUMIFS($AU$1388:AU1465,$AQ$1388:AQ1465,"M")</f>
        <v>976.00000000000023</v>
      </c>
      <c r="BN1464" s="343">
        <f>SUMIFS($AU$1388:AU1465,$AQ$1388:AQ1465,"H")</f>
        <v>543.99999999999977</v>
      </c>
      <c r="BO1464" s="343">
        <f>SUMIFS($AU$1388:AU1465,$AQ$1388:AQ1465,"D")</f>
        <v>1504.0000000000005</v>
      </c>
      <c r="BP1464" s="343">
        <f>SUMIFS($AU$1388:AU1467,$AQ$1388:AQ1467,"W")</f>
        <v>1414.3999999999999</v>
      </c>
      <c r="BQ1464" s="343">
        <f>SUMIFS($AU$1388:AU1465,$Q$1388:Q1465,"O")</f>
        <v>0</v>
      </c>
      <c r="BR1464" s="343">
        <f>SUMIFS($AU$1388:AU1465,$AA$1388:AA1465,"*")</f>
        <v>4422.4000000000005</v>
      </c>
      <c r="BS1464" s="343">
        <f>SUMIFS($AU$1388:AU1465,$AB$1388:AB1465,"*")</f>
        <v>639.99999999999943</v>
      </c>
      <c r="BT1464" s="343">
        <f>SUMIFS($AU$1388:AU1465,$AC$1388:AC1465,"*")</f>
        <v>1782.3999999999999</v>
      </c>
      <c r="BU1464" s="343">
        <f>SUMIFS($AU$1388:AU1465,$AA$1388:AA1465,"*",$AB$1388:AB1465,"*")</f>
        <v>367.9999999999996</v>
      </c>
      <c r="BV1464" s="343">
        <f>SUMIFS($AU$1388:AU1465,$AA$1388:AA1465,"*",$AC$1388:AC1465,"*")</f>
        <v>2038.3999999999999</v>
      </c>
      <c r="BW1464" s="343">
        <f>SUMIFS($AU$1388:AU1465,$AB$1388:AB1465,"*",$AC$1388:AC1465,"*")</f>
        <v>272.00000000000006</v>
      </c>
      <c r="BX1464" s="343">
        <f>SUMIFS($AV$1388:AV1465,$Q$1388:Q1465,"F")</f>
        <v>100.11428571428571</v>
      </c>
      <c r="BY1464" s="343">
        <f>SUMIFS($AV$1388:AV1465,$Q$1388:Q1465,"S")</f>
        <v>143.63230256529494</v>
      </c>
      <c r="BZ1464" s="343">
        <f>SUMIFS($AV$1388:AV1465,$Q$1388:Q1465,"O")</f>
        <v>0</v>
      </c>
    </row>
    <row r="1465" spans="1:78" ht="15.75" customHeight="1">
      <c r="A1465" s="177" t="s">
        <v>4824</v>
      </c>
      <c r="B1465" s="200">
        <v>45315</v>
      </c>
      <c r="C1465" s="178" t="s">
        <v>5068</v>
      </c>
      <c r="D1465" s="178" t="s">
        <v>151</v>
      </c>
      <c r="E1465" s="227"/>
      <c r="F1465" s="180"/>
      <c r="G1465" s="181"/>
      <c r="H1465" s="182"/>
      <c r="I1465" s="182"/>
      <c r="J1465" s="182"/>
      <c r="K1465" s="183"/>
      <c r="L1465" s="182"/>
      <c r="M1465" s="182"/>
      <c r="N1465" s="182"/>
      <c r="O1465" s="183"/>
      <c r="P1465" s="183"/>
      <c r="Q1465" s="183"/>
      <c r="R1465" s="183"/>
      <c r="S1465" s="183"/>
      <c r="T1465" s="183"/>
      <c r="U1465" s="183"/>
      <c r="V1465" s="183"/>
      <c r="W1465" s="183"/>
      <c r="X1465" s="183"/>
      <c r="Y1465" s="183"/>
      <c r="Z1465" s="183"/>
      <c r="AA1465" s="185"/>
      <c r="AB1465" s="185"/>
      <c r="AC1465" s="185"/>
      <c r="AD1465" s="649"/>
      <c r="AE1465" s="182"/>
      <c r="AF1465" s="332"/>
      <c r="AG1465" s="182"/>
      <c r="AH1465" s="182"/>
      <c r="AI1465" s="182"/>
      <c r="AJ1465" s="640"/>
      <c r="AK1465" s="182"/>
      <c r="AL1465" s="496">
        <f t="shared" ref="AL1465:AL1485" si="412">-0.02*Z1465</f>
        <v>0</v>
      </c>
      <c r="AM1465" s="496">
        <f t="shared" si="408"/>
        <v>0</v>
      </c>
      <c r="AN1465" s="626"/>
      <c r="AO1465" s="182"/>
      <c r="AP1465" s="182"/>
      <c r="AQ1465" s="332" t="str">
        <f>UPPER(RIGHT(Journal_Live[[#This Row],[DURATION ]]))</f>
        <v/>
      </c>
      <c r="AR1465" s="182"/>
      <c r="AS1465" s="189"/>
      <c r="AT1465" s="189"/>
      <c r="AU1465" s="187"/>
      <c r="AV1465" s="190"/>
      <c r="AW1465" s="191"/>
      <c r="AX1465" s="407"/>
      <c r="AY1465" s="407"/>
      <c r="AZ1465" s="407"/>
      <c r="BA1465" s="407"/>
      <c r="BB1465" s="407"/>
      <c r="BC1465" s="407"/>
      <c r="BD1465" s="407"/>
      <c r="BE1465" s="407"/>
      <c r="BF1465" s="422"/>
      <c r="BG1465" s="391">
        <f>SUM($AV$1389:AV1465)</f>
        <v>451.74658827958046</v>
      </c>
      <c r="BH1465" s="392">
        <f>SUM($AU$1389:AU1465)</f>
        <v>4438.4000000000005</v>
      </c>
      <c r="BI1465" s="318">
        <f>SUMIFS($AU$1388:AU1466,$Q$1388:Q1466,"F")</f>
        <v>2486.4</v>
      </c>
      <c r="BJ1465" s="318">
        <f>SUMIFS($AU$1388:AU1466,$Q$1388:Q1466,"S")</f>
        <v>1696.0000000000007</v>
      </c>
      <c r="BK1465" s="343">
        <f>SUMIFS($AU$1388:AU1466,$P$1388:P1466,"W")</f>
        <v>2502.4000000000005</v>
      </c>
      <c r="BL1465" s="343">
        <f>SUMIFS($AU$1388:AU1466,$P$1388:P1466,"R")</f>
        <v>1840.0000000000002</v>
      </c>
      <c r="BM1465" s="343">
        <f>SUMIFS($AU$1388:AU1466,$AQ$1388:AQ1466,"M")</f>
        <v>976.00000000000023</v>
      </c>
      <c r="BN1465" s="343">
        <f>SUMIFS($AU$1388:AU1466,$AQ$1388:AQ1466,"H")</f>
        <v>543.99999999999977</v>
      </c>
      <c r="BO1465" s="343">
        <f>SUMIFS($AU$1388:AU1466,$AQ$1388:AQ1466,"D")</f>
        <v>1504.0000000000005</v>
      </c>
      <c r="BP1465" s="343">
        <f>SUMIFS($AU$1388:AU1468,$AQ$1388:AQ1468,"W")</f>
        <v>1414.3999999999999</v>
      </c>
      <c r="BQ1465" s="343">
        <f>SUMIFS($AU$1388:AU1466,$Q$1388:Q1466,"O")</f>
        <v>0</v>
      </c>
      <c r="BR1465" s="343">
        <f>SUMIFS($AU$1388:AU1466,$AA$1388:AA1466,"*")</f>
        <v>4422.4000000000005</v>
      </c>
      <c r="BS1465" s="343">
        <f>SUMIFS($AU$1388:AU1466,$AB$1388:AB1466,"*")</f>
        <v>639.99999999999943</v>
      </c>
      <c r="BT1465" s="343">
        <f>SUMIFS($AU$1388:AU1466,$AC$1388:AC1466,"*")</f>
        <v>1782.3999999999999</v>
      </c>
      <c r="BU1465" s="343">
        <f>SUMIFS($AU$1388:AU1466,$AA$1388:AA1466,"*",$AB$1388:AB1466,"*")</f>
        <v>367.9999999999996</v>
      </c>
      <c r="BV1465" s="343">
        <f>SUMIFS($AU$1388:AU1466,$AA$1388:AA1466,"*",$AC$1388:AC1466,"*")</f>
        <v>2038.3999999999999</v>
      </c>
      <c r="BW1465" s="343">
        <f>SUMIFS($AU$1388:AU1466,$AB$1388:AB1466,"*",$AC$1388:AC1466,"*")</f>
        <v>272.00000000000006</v>
      </c>
      <c r="BX1465" s="343">
        <f>SUMIFS($AV$1388:AV1466,$Q$1388:Q1466,"F")</f>
        <v>100.11428571428571</v>
      </c>
      <c r="BY1465" s="343">
        <f>SUMIFS($AV$1388:AV1466,$Q$1388:Q1466,"S")</f>
        <v>143.63230256529494</v>
      </c>
      <c r="BZ1465" s="343">
        <f>SUMIFS($AV$1388:AV1466,$Q$1388:Q1466,"O")</f>
        <v>0</v>
      </c>
    </row>
    <row r="1466" spans="1:78" ht="15.75" customHeight="1">
      <c r="A1466" s="177" t="s">
        <v>4824</v>
      </c>
      <c r="B1466" s="200">
        <v>45315</v>
      </c>
      <c r="C1466" s="178" t="s">
        <v>1014</v>
      </c>
      <c r="D1466" s="178" t="s">
        <v>151</v>
      </c>
      <c r="E1466" s="227"/>
      <c r="F1466" s="180"/>
      <c r="G1466" s="181" t="s">
        <v>4147</v>
      </c>
      <c r="H1466" s="182"/>
      <c r="I1466" s="182"/>
      <c r="J1466" s="182"/>
      <c r="K1466" s="183"/>
      <c r="L1466" s="182"/>
      <c r="M1466" s="182"/>
      <c r="N1466" s="182"/>
      <c r="O1466" s="183"/>
      <c r="P1466" s="183"/>
      <c r="Q1466" s="183"/>
      <c r="R1466" s="183"/>
      <c r="S1466" s="183"/>
      <c r="T1466" s="183"/>
      <c r="U1466" s="183"/>
      <c r="V1466" s="183"/>
      <c r="W1466" s="183"/>
      <c r="X1466" s="183"/>
      <c r="Y1466" s="184"/>
      <c r="Z1466" s="185"/>
      <c r="AA1466" s="185"/>
      <c r="AB1466" s="185"/>
      <c r="AC1466" s="185"/>
      <c r="AD1466" s="649"/>
      <c r="AE1466" s="182"/>
      <c r="AF1466" s="332"/>
      <c r="AG1466" s="182"/>
      <c r="AH1466" s="182"/>
      <c r="AI1466" s="182"/>
      <c r="AJ1466" s="640"/>
      <c r="AK1466" s="182"/>
      <c r="AL1466" s="496">
        <f>-0.015*Z1466</f>
        <v>0</v>
      </c>
      <c r="AM1466" s="496">
        <f t="shared" si="408"/>
        <v>0</v>
      </c>
      <c r="AN1466" s="626"/>
      <c r="AO1466" s="182"/>
      <c r="AP1466" s="182"/>
      <c r="AQ1466" s="332" t="str">
        <f>UPPER(RIGHT(Journal_Live[[#This Row],[DURATION ]]))</f>
        <v/>
      </c>
      <c r="AR1466" s="182"/>
      <c r="AS1466" s="189"/>
      <c r="AT1466" s="189"/>
      <c r="AU1466" s="187"/>
      <c r="AV1466" s="190"/>
      <c r="AW1466" s="191"/>
      <c r="AX1466" s="407" t="s">
        <v>5069</v>
      </c>
      <c r="AY1466" s="407"/>
      <c r="AZ1466" s="407"/>
      <c r="BA1466" s="407"/>
      <c r="BB1466" s="407"/>
      <c r="BC1466" s="407"/>
      <c r="BD1466" s="407"/>
      <c r="BE1466" s="407"/>
      <c r="BF1466" s="422"/>
      <c r="BG1466" s="391">
        <f>SUM($AV$1389:AV1466)</f>
        <v>451.74658827958046</v>
      </c>
      <c r="BH1466" s="392">
        <f>SUM($AU$1389:AU1466)</f>
        <v>4438.4000000000005</v>
      </c>
      <c r="BI1466" s="318">
        <f>SUMIFS($AU$1388:AU1485,$Q$1388:Q1485,"F")</f>
        <v>2486.4</v>
      </c>
      <c r="BJ1466" s="318">
        <f>SUMIFS($AU$1388:AU1485,$Q$1388:Q1485,"S")</f>
        <v>1776.0000000000018</v>
      </c>
      <c r="BK1466" s="343">
        <f>SUMIFS($AU$1388:AU1485,$P$1388:P1485,"W")</f>
        <v>2582.4000000000015</v>
      </c>
      <c r="BL1466" s="343">
        <f>SUMIFS($AU$1388:AU1485,$P$1388:P1485,"R")</f>
        <v>2000.0000000000002</v>
      </c>
      <c r="BM1466" s="343">
        <f>SUMIFS($AU$1388:AU1485,$AQ$1388:AQ1485,"M")</f>
        <v>1381.9999999999607</v>
      </c>
      <c r="BN1466" s="343">
        <f>SUMIFS($AU$1388:AU1485,$AQ$1388:AQ1485,"H")</f>
        <v>784.00000000000102</v>
      </c>
      <c r="BO1466" s="343">
        <f>SUMIFS($AU$1388:AU1485,$AQ$1388:AQ1485,"D")</f>
        <v>1504.0000000000005</v>
      </c>
      <c r="BP1466" s="343">
        <f>SUMIFS($AU$1388:AU1469,$AQ$1388:AQ1469,"W")</f>
        <v>1414.3999999999999</v>
      </c>
      <c r="BQ1466" s="343">
        <f>SUMIFS($AU$1388:AU1467,$Q$1388:Q1467,"O")</f>
        <v>0</v>
      </c>
      <c r="BR1466" s="343">
        <f>SUMIFS($AU$1388:AU1467,$AA$1388:AA1467,"*")</f>
        <v>4422.4000000000005</v>
      </c>
      <c r="BS1466" s="343">
        <f>SUMIFS($AU$1388:AU1467,$AB$1388:AB1467,"*")</f>
        <v>639.99999999999943</v>
      </c>
      <c r="BT1466" s="343">
        <f>SUMIFS($AU$1388:AU1467,$AC$1388:AC1467,"*")</f>
        <v>1782.3999999999999</v>
      </c>
      <c r="BU1466" s="343">
        <f>SUMIFS($AU$1388:AU1467,$AA$1388:AA1467,"*",$AB$1388:AB1467,"*")</f>
        <v>367.9999999999996</v>
      </c>
      <c r="BV1466" s="343">
        <f>SUMIFS($AU$1388:AU1467,$AA$1388:AA1467,"*",$AC$1388:AC1467,"*")</f>
        <v>2038.3999999999999</v>
      </c>
      <c r="BW1466" s="343">
        <f>SUMIFS($AU$1388:AU1467,$AB$1388:AB1467,"*",$AC$1388:AC1467,"*")</f>
        <v>272.00000000000006</v>
      </c>
      <c r="BX1466" s="343">
        <f>SUMIFS($AV$1388:AV1467,$Q$1388:Q1467,"F")</f>
        <v>100.11428571428571</v>
      </c>
      <c r="BY1466" s="343">
        <f>SUMIFS($AV$1388:AV1467,$Q$1388:Q1467,"S")</f>
        <v>143.63230256529494</v>
      </c>
      <c r="BZ1466" s="343">
        <f>SUMIFS($AV$1388:AV1467,$Q$1388:Q1467,"O")</f>
        <v>0</v>
      </c>
    </row>
    <row r="1467" spans="1:78" ht="15.75" customHeight="1">
      <c r="A1467" s="177" t="s">
        <v>4824</v>
      </c>
      <c r="B1467" s="200">
        <v>45316</v>
      </c>
      <c r="C1467" s="178" t="s">
        <v>1344</v>
      </c>
      <c r="D1467" s="178" t="s">
        <v>93</v>
      </c>
      <c r="E1467" s="227" t="s">
        <v>5070</v>
      </c>
      <c r="F1467" s="180" t="s">
        <v>5071</v>
      </c>
      <c r="G1467" s="181"/>
      <c r="H1467" s="182"/>
      <c r="I1467" s="182"/>
      <c r="J1467" s="182"/>
      <c r="K1467" s="183"/>
      <c r="L1467" s="182"/>
      <c r="M1467" s="182"/>
      <c r="N1467" s="182"/>
      <c r="O1467" s="183"/>
      <c r="P1467" s="183"/>
      <c r="Q1467" s="183"/>
      <c r="R1467" s="183"/>
      <c r="S1467" s="183"/>
      <c r="T1467" s="183"/>
      <c r="U1467" s="183"/>
      <c r="V1467" s="183"/>
      <c r="W1467" s="183"/>
      <c r="X1467" s="183"/>
      <c r="Y1467" s="183"/>
      <c r="Z1467" s="183"/>
      <c r="AA1467" s="185"/>
      <c r="AB1467" s="185"/>
      <c r="AC1467" s="185"/>
      <c r="AD1467" s="649"/>
      <c r="AE1467" s="182"/>
      <c r="AF1467" s="332"/>
      <c r="AG1467" s="182"/>
      <c r="AH1467" s="182"/>
      <c r="AI1467" s="182"/>
      <c r="AJ1467" s="640"/>
      <c r="AK1467" s="182"/>
      <c r="AL1467" s="496">
        <f>-0.02*Z1467</f>
        <v>0</v>
      </c>
      <c r="AM1467" s="496">
        <f t="shared" si="408"/>
        <v>0</v>
      </c>
      <c r="AN1467" s="626"/>
      <c r="AO1467" s="182"/>
      <c r="AP1467" s="182"/>
      <c r="AQ1467" s="332" t="str">
        <f>UPPER(RIGHT(Journal_Live[[#This Row],[DURATION ]]))</f>
        <v/>
      </c>
      <c r="AR1467" s="182"/>
      <c r="AS1467" s="189"/>
      <c r="AT1467" s="189"/>
      <c r="AU1467" s="187"/>
      <c r="AV1467" s="190"/>
      <c r="AW1467" s="191"/>
      <c r="AX1467" s="407"/>
      <c r="AY1467" s="407"/>
      <c r="AZ1467" s="407"/>
      <c r="BA1467" s="407"/>
      <c r="BB1467" s="407"/>
      <c r="BC1467" s="407"/>
      <c r="BD1467" s="407"/>
      <c r="BE1467" s="407"/>
      <c r="BF1467" s="422"/>
      <c r="BG1467" s="391">
        <f>SUM($AV$1389:AV1467)</f>
        <v>451.74658827958046</v>
      </c>
      <c r="BH1467" s="392">
        <f>SUM($AU$1389:AU1467)</f>
        <v>4438.4000000000005</v>
      </c>
      <c r="BI1467" s="318">
        <f>SUMIFS($AU$1388:AU1468,$Q$1388:Q1468,"F")</f>
        <v>2486.4</v>
      </c>
      <c r="BJ1467" s="318">
        <f>SUMIFS($AU$1388:AU1468,$Q$1388:Q1468,"S")</f>
        <v>1696.0000000000007</v>
      </c>
      <c r="BK1467" s="343">
        <f>SUMIFS($AU$1388:AU1468,$P$1388:P1468,"W")</f>
        <v>2502.4000000000005</v>
      </c>
      <c r="BL1467" s="343">
        <f>SUMIFS($AU$1388:AU1468,$P$1388:P1468,"R")</f>
        <v>1840.0000000000002</v>
      </c>
      <c r="BM1467" s="343">
        <f>SUMIFS($AU$1388:AU1468,$AQ$1388:AQ1468,"M")</f>
        <v>976.00000000000023</v>
      </c>
      <c r="BN1467" s="343">
        <f>SUMIFS($AU$1388:AU1468,$AQ$1388:AQ1468,"H")</f>
        <v>543.99999999999977</v>
      </c>
      <c r="BO1467" s="343">
        <f>SUMIFS($AU$1388:AU1468,$AQ$1388:AQ1468,"D")</f>
        <v>1504.0000000000005</v>
      </c>
      <c r="BP1467" s="343">
        <f>SUMIFS($AU$1388:AU1470,$AQ$1388:AQ1470,"W")</f>
        <v>1414.3999999999999</v>
      </c>
      <c r="BQ1467" s="343">
        <f>SUMIFS($AU$1388:AU1468,$Q$1388:Q1468,"O")</f>
        <v>0</v>
      </c>
      <c r="BR1467" s="343">
        <f>SUMIFS($AU$1388:AU1468,$AA$1388:AA1468,"*")</f>
        <v>4422.4000000000005</v>
      </c>
      <c r="BS1467" s="343">
        <f>SUMIFS($AU$1388:AU1468,$AB$1388:AB1468,"*")</f>
        <v>639.99999999999943</v>
      </c>
      <c r="BT1467" s="343">
        <f>SUMIFS($AU$1388:AU1468,$AC$1388:AC1468,"*")</f>
        <v>1782.3999999999999</v>
      </c>
      <c r="BU1467" s="343">
        <f>SUMIFS($AU$1388:AU1468,$AA$1388:AA1468,"*",$AB$1388:AB1468,"*")</f>
        <v>367.9999999999996</v>
      </c>
      <c r="BV1467" s="343">
        <f>SUMIFS($AU$1388:AU1468,$AA$1388:AA1468,"*",$AC$1388:AC1468,"*")</f>
        <v>2038.3999999999999</v>
      </c>
      <c r="BW1467" s="343">
        <f>SUMIFS($AU$1388:AU1468,$AB$1388:AB1468,"*",$AC$1388:AC1468,"*")</f>
        <v>272.00000000000006</v>
      </c>
      <c r="BX1467" s="343">
        <f>SUMIFS($AV$1388:AV1468,$Q$1388:Q1468,"F")</f>
        <v>100.11428571428571</v>
      </c>
      <c r="BY1467" s="343">
        <f>SUMIFS($AV$1388:AV1468,$Q$1388:Q1468,"S")</f>
        <v>143.63230256529494</v>
      </c>
      <c r="BZ1467" s="343">
        <f>SUMIFS($AV$1388:AV1468,$Q$1388:Q1468,"O")</f>
        <v>0</v>
      </c>
    </row>
    <row r="1468" spans="1:78" ht="15.75" customHeight="1">
      <c r="A1468" s="177" t="s">
        <v>4824</v>
      </c>
      <c r="B1468" s="200"/>
      <c r="C1468" s="178"/>
      <c r="D1468" s="178"/>
      <c r="E1468" s="227" t="s">
        <v>5072</v>
      </c>
      <c r="F1468" s="180" t="s">
        <v>5073</v>
      </c>
      <c r="G1468" s="181"/>
      <c r="H1468" s="182"/>
      <c r="I1468" s="182"/>
      <c r="J1468" s="182"/>
      <c r="K1468" s="183"/>
      <c r="L1468" s="182"/>
      <c r="M1468" s="182"/>
      <c r="N1468" s="182"/>
      <c r="O1468" s="183"/>
      <c r="P1468" s="183"/>
      <c r="Q1468" s="183"/>
      <c r="R1468" s="183"/>
      <c r="S1468" s="183"/>
      <c r="T1468" s="183"/>
      <c r="U1468" s="183"/>
      <c r="V1468" s="183"/>
      <c r="W1468" s="183"/>
      <c r="X1468" s="183"/>
      <c r="Y1468" s="183"/>
      <c r="Z1468" s="183"/>
      <c r="AA1468" s="185"/>
      <c r="AB1468" s="185"/>
      <c r="AC1468" s="185"/>
      <c r="AD1468" s="649"/>
      <c r="AE1468" s="182"/>
      <c r="AF1468" s="332"/>
      <c r="AG1468" s="182"/>
      <c r="AH1468" s="182"/>
      <c r="AI1468" s="182"/>
      <c r="AJ1468" s="640"/>
      <c r="AK1468" s="182"/>
      <c r="AL1468" s="496">
        <f>-0.02*Z1468</f>
        <v>0</v>
      </c>
      <c r="AM1468" s="496">
        <f t="shared" si="408"/>
        <v>0</v>
      </c>
      <c r="AN1468" s="626"/>
      <c r="AO1468" s="182"/>
      <c r="AP1468" s="182"/>
      <c r="AQ1468" s="332" t="str">
        <f>UPPER(RIGHT(Journal_Live[[#This Row],[DURATION ]]))</f>
        <v/>
      </c>
      <c r="AR1468" s="182"/>
      <c r="AS1468" s="189"/>
      <c r="AT1468" s="189"/>
      <c r="AU1468" s="187"/>
      <c r="AV1468" s="190"/>
      <c r="AW1468" s="191"/>
      <c r="AX1468" s="407"/>
      <c r="AY1468" s="407"/>
      <c r="AZ1468" s="407"/>
      <c r="BA1468" s="407"/>
      <c r="BB1468" s="407"/>
      <c r="BC1468" s="407"/>
      <c r="BD1468" s="407"/>
      <c r="BE1468" s="407"/>
      <c r="BF1468" s="422"/>
      <c r="BG1468" s="391">
        <f>SUM($AV$1389:AV1468)</f>
        <v>451.74658827958046</v>
      </c>
      <c r="BH1468" s="392">
        <f>SUM($AU$1389:AU1468)</f>
        <v>4438.4000000000005</v>
      </c>
      <c r="BI1468" s="318">
        <f>SUMIFS($AU$1388:AU1469,$Q$1388:Q1469,"F")</f>
        <v>2486.4</v>
      </c>
      <c r="BJ1468" s="318">
        <f>SUMIFS($AU$1388:AU1469,$Q$1388:Q1469,"S")</f>
        <v>1696.0000000000007</v>
      </c>
      <c r="BK1468" s="343">
        <f>SUMIFS($AU$1388:AU1469,$P$1388:P1469,"W")</f>
        <v>2502.4000000000005</v>
      </c>
      <c r="BL1468" s="343">
        <f>SUMIFS($AU$1388:AU1469,$P$1388:P1469,"R")</f>
        <v>1840.0000000000002</v>
      </c>
      <c r="BM1468" s="343">
        <f>SUMIFS($AU$1388:AU1469,$AQ$1388:AQ1469,"M")</f>
        <v>1381.9999999999607</v>
      </c>
      <c r="BN1468" s="343">
        <f>SUMIFS($AU$1388:AU1469,$AQ$1388:AQ1469,"H")</f>
        <v>543.99999999999977</v>
      </c>
      <c r="BO1468" s="343">
        <f>SUMIFS($AU$1388:AU1469,$AQ$1388:AQ1469,"D")</f>
        <v>1504.0000000000005</v>
      </c>
      <c r="BP1468" s="343">
        <f>SUMIFS($AU$1388:AU1471,$AQ$1388:AQ1471,"W")</f>
        <v>1414.3999999999999</v>
      </c>
      <c r="BQ1468" s="343">
        <f>SUMIFS($AU$1388:AU1469,$Q$1388:Q1469,"O")</f>
        <v>405.99999999996044</v>
      </c>
      <c r="BR1468" s="343">
        <f>SUMIFS($AU$1388:AU1469,$AA$1388:AA1469,"*")</f>
        <v>4828.3999999999614</v>
      </c>
      <c r="BS1468" s="343">
        <f>SUMIFS($AU$1388:AU1469,$AB$1388:AB1469,"*")</f>
        <v>639.99999999999943</v>
      </c>
      <c r="BT1468" s="343">
        <f>SUMIFS($AU$1388:AU1469,$AC$1388:AC1469,"*")</f>
        <v>1782.3999999999999</v>
      </c>
      <c r="BU1468" s="343">
        <f>SUMIFS($AU$1388:AU1469,$AA$1388:AA1469,"*",$AB$1388:AB1469,"*")</f>
        <v>367.9999999999996</v>
      </c>
      <c r="BV1468" s="343">
        <f>SUMIFS($AU$1388:AU1469,$AA$1388:AA1469,"*",$AC$1388:AC1469,"*")</f>
        <v>2038.3999999999999</v>
      </c>
      <c r="BW1468" s="343">
        <f>SUMIFS($AU$1388:AU1469,$AB$1388:AB1469,"*",$AC$1388:AC1469,"*")</f>
        <v>272.00000000000006</v>
      </c>
      <c r="BX1468" s="343">
        <f>SUMIFS($AV$1388:AV1469,$Q$1388:Q1469,"F")</f>
        <v>100.11428571428571</v>
      </c>
      <c r="BY1468" s="343">
        <f>SUMIFS($AV$1388:AV1469,$Q$1388:Q1469,"S")</f>
        <v>143.63230256529494</v>
      </c>
      <c r="BZ1468" s="343">
        <f>SUMIFS($AV$1388:AV1469,$Q$1388:Q1469,"O")</f>
        <v>202.99999999998022</v>
      </c>
    </row>
    <row r="1469" spans="1:78" ht="15.75" customHeight="1">
      <c r="A1469" s="177" t="s">
        <v>4824</v>
      </c>
      <c r="B1469" s="200">
        <v>45316</v>
      </c>
      <c r="C1469" s="178" t="s">
        <v>5074</v>
      </c>
      <c r="D1469" s="178" t="s">
        <v>93</v>
      </c>
      <c r="E1469" s="227"/>
      <c r="F1469" s="180"/>
      <c r="G1469" s="281" t="s">
        <v>4887</v>
      </c>
      <c r="H1469" s="182"/>
      <c r="I1469" s="182"/>
      <c r="J1469" s="182"/>
      <c r="K1469" s="183"/>
      <c r="L1469" s="182">
        <v>1</v>
      </c>
      <c r="M1469" s="182"/>
      <c r="N1469" s="182"/>
      <c r="O1469" s="183" t="s">
        <v>3618</v>
      </c>
      <c r="P1469" s="183" t="s">
        <v>2260</v>
      </c>
      <c r="Q1469" s="183" t="s">
        <v>684</v>
      </c>
      <c r="R1469" s="183">
        <v>2</v>
      </c>
      <c r="S1469" s="183">
        <v>0</v>
      </c>
      <c r="T1469" s="183">
        <v>1</v>
      </c>
      <c r="U1469" s="183" t="s">
        <v>22</v>
      </c>
      <c r="V1469" s="183"/>
      <c r="W1469" s="183"/>
      <c r="X1469" s="183"/>
      <c r="Y1469" s="184">
        <f>IF(ISBLANK(O1469),"",(IF(O1469=UPPER("IB"),0.005,0.01)))</f>
        <v>0.01</v>
      </c>
      <c r="Z1469" s="185">
        <f>IF(ISBLANK(O1469),"",IF(O1469="IB",8.63*200,IF(O1469="IR",16*100,IF(O1469="YT",20*100,IF(O1469="YT-XT",24*200,IF(O1469="TED",80*100,IF(O1469="XT",29*200)))))))</f>
        <v>5800</v>
      </c>
      <c r="AA1469" s="409" t="s">
        <v>5075</v>
      </c>
      <c r="AB1469" s="185"/>
      <c r="AC1469" s="185"/>
      <c r="AD1469" s="649">
        <v>95.704999999999998</v>
      </c>
      <c r="AE1469" s="182"/>
      <c r="AF1469" s="332"/>
      <c r="AG1469" s="182"/>
      <c r="AH1469" s="182"/>
      <c r="AI1469" s="182"/>
      <c r="AJ1469" s="640"/>
      <c r="AK1469" s="182"/>
      <c r="AL1469" s="496">
        <f>-0.02*Z1469</f>
        <v>-116</v>
      </c>
      <c r="AM1469" s="496">
        <f t="shared" si="408"/>
        <v>-232</v>
      </c>
      <c r="AN1469" s="626"/>
      <c r="AO1469" s="182"/>
      <c r="AP1469" s="182" t="s">
        <v>4092</v>
      </c>
      <c r="AQ1469" s="332" t="s">
        <v>1259</v>
      </c>
      <c r="AR1469" s="182" t="s">
        <v>3234</v>
      </c>
      <c r="AS1469" s="189">
        <v>95.74</v>
      </c>
      <c r="AT1469" s="189">
        <f>IF(ISBLANK(AS1469),,IF(U1469="S",AD1469-AS1469,AS1469-AD1469))</f>
        <v>3.4999999999996589E-2</v>
      </c>
      <c r="AU1469" s="187">
        <f>AV1469*R1469</f>
        <v>405.99999999996044</v>
      </c>
      <c r="AV1469" s="190">
        <f>IF(ISBLANK(AS1469),,(AT1469*Z1469))</f>
        <v>202.99999999998022</v>
      </c>
      <c r="AW1469" s="191" t="s">
        <v>96</v>
      </c>
      <c r="AX1469" s="407" t="s">
        <v>5076</v>
      </c>
      <c r="AY1469" s="407" t="s">
        <v>5077</v>
      </c>
      <c r="AZ1469" s="407"/>
      <c r="BA1469" s="407"/>
      <c r="BB1469" s="407"/>
      <c r="BC1469" s="407"/>
      <c r="BD1469" s="407"/>
      <c r="BE1469" s="407"/>
      <c r="BF1469" s="422"/>
      <c r="BG1469" s="391">
        <f>SUM($AV$1389:AV1469)</f>
        <v>654.74658827956068</v>
      </c>
      <c r="BH1469" s="392">
        <f>SUM($AU$1389:AU1469)</f>
        <v>4844.3999999999614</v>
      </c>
      <c r="BI1469" s="318">
        <f>SUMIFS($AU$1388:AU1470,$Q$1388:Q1470,"F")</f>
        <v>2486.4</v>
      </c>
      <c r="BJ1469" s="318">
        <f>SUMIFS($AU$1388:AU1470,$Q$1388:Q1470,"S")</f>
        <v>1696.0000000000007</v>
      </c>
      <c r="BK1469" s="343">
        <f>SUMIFS($AU$1388:AU1470,$P$1388:P1470,"W")</f>
        <v>2502.4000000000005</v>
      </c>
      <c r="BL1469" s="343">
        <f>SUMIFS($AU$1388:AU1470,$P$1388:P1470,"R")</f>
        <v>1840.0000000000002</v>
      </c>
      <c r="BM1469" s="343">
        <f>SUMIFS($AU$1388:AU1470,$AQ$1388:AQ1470,"M")</f>
        <v>1381.9999999999607</v>
      </c>
      <c r="BN1469" s="343">
        <f>SUMIFS($AU$1388:AU1470,$AQ$1388:AQ1470,"H")</f>
        <v>543.99999999999977</v>
      </c>
      <c r="BO1469" s="343">
        <f>SUMIFS($AU$1388:AU1470,$AQ$1388:AQ1470,"D")</f>
        <v>1504.0000000000005</v>
      </c>
      <c r="BP1469" s="343">
        <f>SUMIFS($AU$1388:AU1472,$AQ$1388:AQ1472,"W")</f>
        <v>1414.3999999999999</v>
      </c>
      <c r="BQ1469" s="343">
        <f>SUMIFS($AU$1388:AU1470,$Q$1388:Q1470,"O")</f>
        <v>405.99999999996044</v>
      </c>
      <c r="BR1469" s="343">
        <f>SUMIFS($AU$1388:AU1470,$AA$1388:AA1470,"*")</f>
        <v>4828.3999999999614</v>
      </c>
      <c r="BS1469" s="343">
        <f>SUMIFS($AU$1388:AU1470,$AB$1388:AB1470,"*")</f>
        <v>639.99999999999943</v>
      </c>
      <c r="BT1469" s="343">
        <f>SUMIFS($AU$1388:AU1470,$AC$1388:AC1470,"*")</f>
        <v>1782.3999999999999</v>
      </c>
      <c r="BU1469" s="343">
        <f>SUMIFS($AU$1388:AU1470,$AA$1388:AA1470,"*",$AB$1388:AB1470,"*")</f>
        <v>367.9999999999996</v>
      </c>
      <c r="BV1469" s="343">
        <f>SUMIFS($AU$1388:AU1470,$AA$1388:AA1470,"*",$AC$1388:AC1470,"*")</f>
        <v>2038.3999999999999</v>
      </c>
      <c r="BW1469" s="343">
        <f>SUMIFS($AU$1388:AU1470,$AB$1388:AB1470,"*",$AC$1388:AC1470,"*")</f>
        <v>272.00000000000006</v>
      </c>
      <c r="BX1469" s="343">
        <f>SUMIFS($AV$1388:AV1470,$Q$1388:Q1470,"F")</f>
        <v>100.11428571428571</v>
      </c>
      <c r="BY1469" s="343">
        <f>SUMIFS($AV$1388:AV1470,$Q$1388:Q1470,"S")</f>
        <v>143.63230256529494</v>
      </c>
      <c r="BZ1469" s="343">
        <f>SUMIFS($AV$1388:AV1470,$Q$1388:Q1470,"O")</f>
        <v>202.99999999998022</v>
      </c>
    </row>
    <row r="1470" spans="1:78" ht="15.75" customHeight="1">
      <c r="A1470" s="177" t="s">
        <v>4824</v>
      </c>
      <c r="B1470" s="200">
        <v>45320</v>
      </c>
      <c r="C1470" s="178" t="s">
        <v>5078</v>
      </c>
      <c r="D1470" s="178" t="s">
        <v>132</v>
      </c>
      <c r="E1470" s="227"/>
      <c r="F1470" s="180"/>
      <c r="G1470" s="181" t="s">
        <v>2070</v>
      </c>
      <c r="H1470" s="182"/>
      <c r="I1470" s="182"/>
      <c r="J1470" s="182"/>
      <c r="K1470" s="183"/>
      <c r="L1470" s="182"/>
      <c r="M1470" s="182"/>
      <c r="N1470" s="182"/>
      <c r="O1470" s="183"/>
      <c r="P1470" s="183"/>
      <c r="Q1470" s="183"/>
      <c r="R1470" s="183"/>
      <c r="S1470" s="183"/>
      <c r="T1470" s="183"/>
      <c r="U1470" s="183"/>
      <c r="V1470" s="183"/>
      <c r="W1470" s="183"/>
      <c r="X1470" s="183"/>
      <c r="Y1470" s="184"/>
      <c r="Z1470" s="185"/>
      <c r="AA1470" s="185"/>
      <c r="AB1470" s="185"/>
      <c r="AC1470" s="185"/>
      <c r="AD1470" s="649"/>
      <c r="AE1470" s="182"/>
      <c r="AF1470" s="332"/>
      <c r="AG1470" s="182"/>
      <c r="AH1470" s="182"/>
      <c r="AI1470" s="182"/>
      <c r="AJ1470" s="640"/>
      <c r="AK1470" s="182"/>
      <c r="AL1470" s="496">
        <f>-0.02*Z1470</f>
        <v>0</v>
      </c>
      <c r="AM1470" s="496">
        <f t="shared" si="408"/>
        <v>0</v>
      </c>
      <c r="AN1470" s="626"/>
      <c r="AO1470" s="182"/>
      <c r="AP1470" s="182"/>
      <c r="AQ1470" s="332" t="str">
        <f>UPPER(RIGHT(Journal_Live[[#This Row],[DURATION ]]))</f>
        <v/>
      </c>
      <c r="AR1470" s="182"/>
      <c r="AS1470" s="189"/>
      <c r="AT1470" s="189"/>
      <c r="AU1470" s="187"/>
      <c r="AV1470" s="190"/>
      <c r="AW1470" s="191"/>
      <c r="AX1470" s="407"/>
      <c r="AY1470" s="407"/>
      <c r="AZ1470" s="407"/>
      <c r="BA1470" s="407"/>
      <c r="BB1470" s="407"/>
      <c r="BC1470" s="407"/>
      <c r="BD1470" s="407"/>
      <c r="BE1470" s="407"/>
      <c r="BF1470" s="422"/>
      <c r="BG1470" s="391">
        <f>SUM($AV$1389:AV1470)</f>
        <v>654.74658827956068</v>
      </c>
      <c r="BH1470" s="392">
        <f>SUM($AU$1389:AU1470)</f>
        <v>4844.3999999999614</v>
      </c>
      <c r="BI1470" s="318">
        <f>SUMIFS($AU$1388:AU1471,$Q$1388:Q1471,"F")</f>
        <v>2486.4</v>
      </c>
      <c r="BJ1470" s="318">
        <f>SUMIFS($AU$1388:AU1471,$Q$1388:Q1471,"S")</f>
        <v>1696.0000000000007</v>
      </c>
      <c r="BK1470" s="343">
        <f>SUMIFS($AU$1388:AU1471,$P$1388:P1471,"W")</f>
        <v>2502.4000000000005</v>
      </c>
      <c r="BL1470" s="343">
        <f>SUMIFS($AU$1388:AU1471,$P$1388:P1471,"R")</f>
        <v>1920.0000000000002</v>
      </c>
      <c r="BM1470" s="343">
        <f>SUMIFS($AU$1388:AU1471,$AQ$1388:AQ1471,"M")</f>
        <v>1381.9999999999607</v>
      </c>
      <c r="BN1470" s="343">
        <f>SUMIFS($AU$1388:AU1471,$AQ$1388:AQ1471,"H")</f>
        <v>623.99999999999989</v>
      </c>
      <c r="BO1470" s="343">
        <f>SUMIFS($AU$1388:AU1471,$AQ$1388:AQ1471,"D")</f>
        <v>1504.0000000000005</v>
      </c>
      <c r="BP1470" s="343">
        <f>SUMIFS($AU$1388:AU1473,$AQ$1388:AQ1473,"W")</f>
        <v>1414.3999999999999</v>
      </c>
      <c r="BQ1470" s="343">
        <f>SUMIFS($AU$1388:AU1471,$Q$1388:Q1471,"O")</f>
        <v>405.99999999996044</v>
      </c>
      <c r="BR1470" s="343">
        <f>SUMIFS($AU$1388:AU1471,$AA$1388:AA1471,"*")</f>
        <v>4908.3999999999614</v>
      </c>
      <c r="BS1470" s="343">
        <f>SUMIFS($AU$1388:AU1471,$AB$1388:AB1471,"*")</f>
        <v>639.99999999999943</v>
      </c>
      <c r="BT1470" s="343">
        <f>SUMIFS($AU$1388:AU1471,$AC$1388:AC1471,"*")</f>
        <v>1782.3999999999999</v>
      </c>
      <c r="BU1470" s="343">
        <f>SUMIFS($AU$1388:AU1471,$AA$1388:AA1471,"*",$AB$1388:AB1471,"*")</f>
        <v>367.9999999999996</v>
      </c>
      <c r="BV1470" s="343">
        <f>SUMIFS($AU$1388:AU1471,$AA$1388:AA1471,"*",$AC$1388:AC1471,"*")</f>
        <v>2038.3999999999999</v>
      </c>
      <c r="BW1470" s="343">
        <f>SUMIFS($AU$1388:AU1471,$AB$1388:AB1471,"*",$AC$1388:AC1471,"*")</f>
        <v>272.00000000000006</v>
      </c>
      <c r="BX1470" s="343">
        <f>SUMIFS($AV$1388:AV1471,$Q$1388:Q1471,"F")</f>
        <v>100.11428571428571</v>
      </c>
      <c r="BY1470" s="343">
        <f>SUMIFS($AV$1388:AV1471,$Q$1388:Q1471,"S")</f>
        <v>143.63230256529494</v>
      </c>
      <c r="BZ1470" s="343">
        <f>SUMIFS($AV$1388:AV1471,$Q$1388:Q1471,"O")</f>
        <v>202.99999999998022</v>
      </c>
    </row>
    <row r="1471" spans="1:78" ht="15.75" customHeight="1">
      <c r="A1471" s="177" t="s">
        <v>4824</v>
      </c>
      <c r="B1471" s="200">
        <v>45320</v>
      </c>
      <c r="C1471" s="178" t="s">
        <v>3341</v>
      </c>
      <c r="D1471" s="178" t="s">
        <v>132</v>
      </c>
      <c r="E1471" s="227"/>
      <c r="F1471" s="180"/>
      <c r="G1471" s="281" t="s">
        <v>5025</v>
      </c>
      <c r="H1471" s="182"/>
      <c r="I1471" s="182"/>
      <c r="J1471" s="182"/>
      <c r="K1471" s="183"/>
      <c r="L1471" s="182">
        <v>1</v>
      </c>
      <c r="M1471" s="182"/>
      <c r="N1471" s="182"/>
      <c r="O1471" s="183" t="s">
        <v>2652</v>
      </c>
      <c r="P1471" s="183" t="s">
        <v>137</v>
      </c>
      <c r="Q1471" s="183"/>
      <c r="R1471" s="183">
        <v>1</v>
      </c>
      <c r="S1471" s="183">
        <v>0</v>
      </c>
      <c r="T1471" s="183">
        <v>1</v>
      </c>
      <c r="U1471" s="183" t="s">
        <v>22</v>
      </c>
      <c r="V1471" s="183"/>
      <c r="W1471" s="183"/>
      <c r="X1471" s="183"/>
      <c r="Y1471" s="184">
        <f>IF(ISBLANK(O1471),"",(IF(O1471=UPPER("IB"),0.005,0.01)))</f>
        <v>0.01</v>
      </c>
      <c r="Z1471" s="185">
        <f>IF(ISBLANK(O1471),"",IF(O1471="IB",8.63*200,IF(O1471="IR",16*100,IF(O1471="YT",20*100,IF(O1471="YT-XT",24*200,IF(O1471="TED",80*100))))))</f>
        <v>8000</v>
      </c>
      <c r="AA1471" s="409" t="s">
        <v>5079</v>
      </c>
      <c r="AB1471" s="185"/>
      <c r="AC1471" s="185"/>
      <c r="AD1471" s="649">
        <v>-7.0000000000000007E-2</v>
      </c>
      <c r="AE1471" s="182"/>
      <c r="AF1471" s="332"/>
      <c r="AG1471" s="182"/>
      <c r="AH1471" s="182"/>
      <c r="AI1471" s="182"/>
      <c r="AJ1471" s="640"/>
      <c r="AK1471" s="182"/>
      <c r="AL1471" s="496">
        <f>-0.03*Z1471</f>
        <v>-240</v>
      </c>
      <c r="AM1471" s="496">
        <f t="shared" si="408"/>
        <v>-240</v>
      </c>
      <c r="AN1471" s="626"/>
      <c r="AO1471" s="182"/>
      <c r="AP1471" s="182" t="s">
        <v>1700</v>
      </c>
      <c r="AQ1471" s="332" t="s">
        <v>372</v>
      </c>
      <c r="AR1471" s="182" t="s">
        <v>5080</v>
      </c>
      <c r="AS1471" s="189">
        <v>-0.06</v>
      </c>
      <c r="AT1471" s="189">
        <f t="shared" ref="AT1471:AT1478" si="413">IF(ISBLANK(AS1471),,IF(U1471="S",AD1471-AS1471,AS1471-AD1471))</f>
        <v>1.0000000000000009E-2</v>
      </c>
      <c r="AU1471" s="187">
        <f t="shared" ref="AU1471:AU1478" si="414">AV1471*R1471</f>
        <v>80.000000000000071</v>
      </c>
      <c r="AV1471" s="190">
        <f t="shared" ref="AV1471:AV1478" si="415">IF(ISBLANK(AS1471),,(AT1471*Z1471))</f>
        <v>80.000000000000071</v>
      </c>
      <c r="AW1471" s="191" t="s">
        <v>96</v>
      </c>
      <c r="AX1471" s="407" t="s">
        <v>5081</v>
      </c>
      <c r="AY1471" s="407" t="s">
        <v>2182</v>
      </c>
      <c r="AZ1471" s="407"/>
      <c r="BA1471" s="407"/>
      <c r="BB1471" s="407"/>
      <c r="BC1471" s="407"/>
      <c r="BD1471" s="407"/>
      <c r="BE1471" s="407"/>
      <c r="BF1471" s="422"/>
      <c r="BG1471" s="391">
        <f>SUM($AV$1389:AV1471)</f>
        <v>734.7465882795608</v>
      </c>
      <c r="BH1471" s="392">
        <f>SUM($AU$1389:AU1471)</f>
        <v>4924.3999999999614</v>
      </c>
      <c r="BI1471" s="318">
        <f>SUMIFS($AU$1388:AU1472,$Q$1388:Q1472,"F")</f>
        <v>2486.4</v>
      </c>
      <c r="BJ1471" s="318">
        <f>SUMIFS($AU$1388:AU1472,$Q$1388:Q1472,"S")</f>
        <v>1696.0000000000007</v>
      </c>
      <c r="BK1471" s="343">
        <f>SUMIFS($AU$1388:AU1472,$P$1388:P1472,"W")</f>
        <v>2502.4000000000005</v>
      </c>
      <c r="BL1471" s="343">
        <f>SUMIFS($AU$1388:AU1472,$P$1388:P1472,"R")</f>
        <v>1920.0000000000002</v>
      </c>
      <c r="BM1471" s="343">
        <f>SUMIFS($AU$1388:AU1472,$AQ$1388:AQ1472,"M")</f>
        <v>1381.9999999999607</v>
      </c>
      <c r="BN1471" s="343">
        <f>SUMIFS($AU$1388:AU1472,$AQ$1388:AQ1472,"H")</f>
        <v>623.99999999999989</v>
      </c>
      <c r="BO1471" s="343">
        <f>SUMIFS($AU$1388:AU1472,$AQ$1388:AQ1472,"D")</f>
        <v>1504.0000000000005</v>
      </c>
      <c r="BP1471" s="343">
        <f>SUMIFS($AU$1388:AU1474,$AQ$1388:AQ1474,"W")</f>
        <v>1414.3999999999999</v>
      </c>
      <c r="BQ1471" s="343">
        <f>SUMIFS($AU$1388:AU1472,$Q$1388:Q1472,"O")</f>
        <v>405.99999999996044</v>
      </c>
      <c r="BR1471" s="343">
        <f>SUMIFS($AU$1388:AU1472,$AA$1388:AA1472,"*")</f>
        <v>4908.3999999999614</v>
      </c>
      <c r="BS1471" s="343">
        <f>SUMIFS($AU$1388:AU1472,$AB$1388:AB1472,"*")</f>
        <v>639.99999999999943</v>
      </c>
      <c r="BT1471" s="343">
        <f>SUMIFS($AU$1388:AU1472,$AC$1388:AC1472,"*")</f>
        <v>1782.3999999999999</v>
      </c>
      <c r="BU1471" s="343">
        <f>SUMIFS($AU$1388:AU1472,$AA$1388:AA1472,"*",$AB$1388:AB1472,"*")</f>
        <v>367.9999999999996</v>
      </c>
      <c r="BV1471" s="343">
        <f>SUMIFS($AU$1388:AU1472,$AA$1388:AA1472,"*",$AC$1388:AC1472,"*")</f>
        <v>2038.3999999999999</v>
      </c>
      <c r="BW1471" s="343">
        <f>SUMIFS($AU$1388:AU1472,$AB$1388:AB1472,"*",$AC$1388:AC1472,"*")</f>
        <v>272.00000000000006</v>
      </c>
      <c r="BX1471" s="343">
        <f>SUMIFS($AV$1388:AV1472,$Q$1388:Q1472,"F")</f>
        <v>100.11428571428571</v>
      </c>
      <c r="BY1471" s="343">
        <f>SUMIFS($AV$1388:AV1472,$Q$1388:Q1472,"S")</f>
        <v>143.63230256529494</v>
      </c>
      <c r="BZ1471" s="343">
        <f>SUMIFS($AV$1388:AV1472,$Q$1388:Q1472,"O")</f>
        <v>202.99999999998022</v>
      </c>
    </row>
    <row r="1472" spans="1:78" ht="15.75" hidden="1" customHeight="1">
      <c r="A1472" s="177" t="s">
        <v>4824</v>
      </c>
      <c r="B1472" s="200"/>
      <c r="C1472" s="178"/>
      <c r="D1472" s="178"/>
      <c r="E1472" s="227"/>
      <c r="F1472" s="180"/>
      <c r="G1472" s="181"/>
      <c r="H1472" s="182"/>
      <c r="I1472" s="182"/>
      <c r="J1472" s="182"/>
      <c r="K1472" s="183"/>
      <c r="L1472" s="182"/>
      <c r="M1472" s="182"/>
      <c r="N1472" s="182"/>
      <c r="O1472" s="183"/>
      <c r="P1472" s="183"/>
      <c r="Q1472" s="183"/>
      <c r="R1472" s="183"/>
      <c r="S1472" s="183"/>
      <c r="T1472" s="183"/>
      <c r="U1472" s="183"/>
      <c r="V1472" s="183"/>
      <c r="W1472" s="183"/>
      <c r="X1472" s="183"/>
      <c r="Y1472" s="183"/>
      <c r="Z1472" s="183"/>
      <c r="AA1472" s="185"/>
      <c r="AB1472" s="185"/>
      <c r="AC1472" s="185"/>
      <c r="AD1472" s="649"/>
      <c r="AE1472" s="182"/>
      <c r="AF1472" s="332"/>
      <c r="AG1472" s="182"/>
      <c r="AH1472" s="182"/>
      <c r="AI1472" s="182"/>
      <c r="AJ1472" s="640"/>
      <c r="AK1472" s="182"/>
      <c r="AL1472" s="496">
        <f t="shared" ref="AL1472:AL1484" si="416">-0.02*Z1472</f>
        <v>0</v>
      </c>
      <c r="AM1472" s="496">
        <f t="shared" si="408"/>
        <v>0</v>
      </c>
      <c r="AN1472" s="626"/>
      <c r="AO1472" s="182"/>
      <c r="AP1472" s="182"/>
      <c r="AQ1472" s="332" t="str">
        <f>UPPER(RIGHT(Journal_Live[[#This Row],[DURATION ]]))</f>
        <v/>
      </c>
      <c r="AR1472" s="182"/>
      <c r="AS1472" s="189"/>
      <c r="AT1472" s="189">
        <f t="shared" si="413"/>
        <v>0</v>
      </c>
      <c r="AU1472" s="187">
        <f t="shared" si="414"/>
        <v>0</v>
      </c>
      <c r="AV1472" s="190">
        <f t="shared" si="415"/>
        <v>0</v>
      </c>
      <c r="AW1472" s="191"/>
      <c r="AX1472" s="407"/>
      <c r="AY1472" s="407"/>
      <c r="AZ1472" s="407"/>
      <c r="BA1472" s="407"/>
      <c r="BB1472" s="407"/>
      <c r="BC1472" s="407"/>
      <c r="BD1472" s="407"/>
      <c r="BE1472" s="407"/>
      <c r="BF1472" s="422"/>
      <c r="BG1472" s="391">
        <f>SUM($AV$1389:AV1472)</f>
        <v>734.7465882795608</v>
      </c>
      <c r="BH1472" s="392">
        <f>SUM($AU$1389:AU1472)</f>
        <v>4924.3999999999614</v>
      </c>
      <c r="BI1472" s="318">
        <f>SUMIFS($AU$1388:AU1473,$Q$1388:Q1473,"F")</f>
        <v>2486.4</v>
      </c>
      <c r="BJ1472" s="318">
        <f>SUMIFS($AU$1388:AU1473,$Q$1388:Q1473,"S")</f>
        <v>1696.0000000000007</v>
      </c>
      <c r="BK1472" s="343">
        <f>SUMIFS($AU$1388:AU1473,$P$1388:P1473,"W")</f>
        <v>2502.4000000000005</v>
      </c>
      <c r="BL1472" s="343">
        <f>SUMIFS($AU$1388:AU1473,$P$1388:P1473,"R")</f>
        <v>1920.0000000000002</v>
      </c>
      <c r="BM1472" s="343">
        <f>SUMIFS($AU$1388:AU1473,$AQ$1388:AQ1473,"M")</f>
        <v>1381.9999999999607</v>
      </c>
      <c r="BN1472" s="343">
        <f>SUMIFS($AU$1388:AU1473,$AQ$1388:AQ1473,"H")</f>
        <v>623.99999999999989</v>
      </c>
      <c r="BO1472" s="343">
        <f>SUMIFS($AU$1388:AU1473,$AQ$1388:AQ1473,"D")</f>
        <v>1504.0000000000005</v>
      </c>
      <c r="BP1472" s="343">
        <f>SUMIFS($AU$1388:AU1475,$AQ$1388:AQ1475,"W")</f>
        <v>1414.3999999999999</v>
      </c>
      <c r="BQ1472" s="343">
        <f>SUMIFS($AU$1388:AU1473,$Q$1388:Q1473,"O")</f>
        <v>405.99999999996044</v>
      </c>
      <c r="BR1472" s="343">
        <f>SUMIFS($AU$1388:AU1473,$AA$1388:AA1473,"*")</f>
        <v>4908.3999999999614</v>
      </c>
      <c r="BS1472" s="343">
        <f>SUMIFS($AU$1388:AU1473,$AB$1388:AB1473,"*")</f>
        <v>639.99999999999943</v>
      </c>
      <c r="BT1472" s="343">
        <f>SUMIFS($AU$1388:AU1473,$AC$1388:AC1473,"*")</f>
        <v>1782.3999999999999</v>
      </c>
      <c r="BU1472" s="343">
        <f>SUMIFS($AU$1388:AU1473,$AA$1388:AA1473,"*",$AB$1388:AB1473,"*")</f>
        <v>367.9999999999996</v>
      </c>
      <c r="BV1472" s="343">
        <f>SUMIFS($AU$1388:AU1473,$AA$1388:AA1473,"*",$AC$1388:AC1473,"*")</f>
        <v>2038.3999999999999</v>
      </c>
      <c r="BW1472" s="343">
        <f>SUMIFS($AU$1388:AU1473,$AB$1388:AB1473,"*",$AC$1388:AC1473,"*")</f>
        <v>272.00000000000006</v>
      </c>
      <c r="BX1472" s="343">
        <f>SUMIFS($AV$1388:AV1473,$Q$1388:Q1473,"F")</f>
        <v>100.11428571428571</v>
      </c>
      <c r="BY1472" s="343">
        <f>SUMIFS($AV$1388:AV1473,$Q$1388:Q1473,"S")</f>
        <v>143.63230256529494</v>
      </c>
      <c r="BZ1472" s="343">
        <f>SUMIFS($AV$1388:AV1473,$Q$1388:Q1473,"O")</f>
        <v>202.99999999998022</v>
      </c>
    </row>
    <row r="1473" spans="1:78" ht="15.75" hidden="1" customHeight="1">
      <c r="A1473" s="177" t="s">
        <v>4824</v>
      </c>
      <c r="B1473" s="200"/>
      <c r="C1473" s="178"/>
      <c r="D1473" s="178"/>
      <c r="E1473" s="227"/>
      <c r="F1473" s="180"/>
      <c r="G1473" s="181"/>
      <c r="H1473" s="182"/>
      <c r="I1473" s="182"/>
      <c r="J1473" s="182"/>
      <c r="K1473" s="183"/>
      <c r="L1473" s="182"/>
      <c r="M1473" s="182"/>
      <c r="N1473" s="182"/>
      <c r="O1473" s="183"/>
      <c r="P1473" s="183"/>
      <c r="Q1473" s="183"/>
      <c r="R1473" s="183"/>
      <c r="S1473" s="183"/>
      <c r="T1473" s="183"/>
      <c r="U1473" s="183"/>
      <c r="V1473" s="183"/>
      <c r="W1473" s="183"/>
      <c r="X1473" s="183"/>
      <c r="Y1473" s="183"/>
      <c r="Z1473" s="183"/>
      <c r="AA1473" s="185"/>
      <c r="AB1473" s="185"/>
      <c r="AC1473" s="185"/>
      <c r="AD1473" s="649"/>
      <c r="AE1473" s="182"/>
      <c r="AF1473" s="332"/>
      <c r="AG1473" s="182"/>
      <c r="AH1473" s="182"/>
      <c r="AI1473" s="182"/>
      <c r="AJ1473" s="640"/>
      <c r="AK1473" s="182"/>
      <c r="AL1473" s="496">
        <f t="shared" si="416"/>
        <v>0</v>
      </c>
      <c r="AM1473" s="496">
        <f t="shared" si="408"/>
        <v>0</v>
      </c>
      <c r="AN1473" s="626"/>
      <c r="AO1473" s="182"/>
      <c r="AP1473" s="182"/>
      <c r="AQ1473" s="332" t="str">
        <f>UPPER(RIGHT(Journal_Live[[#This Row],[DURATION ]]))</f>
        <v/>
      </c>
      <c r="AR1473" s="182"/>
      <c r="AS1473" s="189"/>
      <c r="AT1473" s="189">
        <f t="shared" si="413"/>
        <v>0</v>
      </c>
      <c r="AU1473" s="187">
        <f t="shared" si="414"/>
        <v>0</v>
      </c>
      <c r="AV1473" s="190">
        <f t="shared" si="415"/>
        <v>0</v>
      </c>
      <c r="AW1473" s="191"/>
      <c r="AX1473" s="407"/>
      <c r="AY1473" s="407"/>
      <c r="AZ1473" s="407"/>
      <c r="BA1473" s="407"/>
      <c r="BB1473" s="407"/>
      <c r="BC1473" s="407"/>
      <c r="BD1473" s="407"/>
      <c r="BE1473" s="407"/>
      <c r="BF1473" s="422"/>
      <c r="BG1473" s="391">
        <f>SUM($AV$1389:AV1473)</f>
        <v>734.7465882795608</v>
      </c>
      <c r="BH1473" s="392">
        <f>SUM($AU$1389:AU1473)</f>
        <v>4924.3999999999614</v>
      </c>
      <c r="BI1473" s="318">
        <f>SUMIFS($AU$1388:AU1474,$Q$1388:Q1474,"F")</f>
        <v>2486.4</v>
      </c>
      <c r="BJ1473" s="318">
        <f>SUMIFS($AU$1388:AU1474,$Q$1388:Q1474,"S")</f>
        <v>1696.0000000000007</v>
      </c>
      <c r="BK1473" s="343">
        <f>SUMIFS($AU$1388:AU1474,$P$1388:P1474,"W")</f>
        <v>2502.4000000000005</v>
      </c>
      <c r="BL1473" s="343">
        <f>SUMIFS($AU$1388:AU1474,$P$1388:P1474,"R")</f>
        <v>1920.0000000000002</v>
      </c>
      <c r="BM1473" s="343">
        <f>SUMIFS($AU$1388:AU1474,$AQ$1388:AQ1474,"M")</f>
        <v>1381.9999999999607</v>
      </c>
      <c r="BN1473" s="343">
        <f>SUMIFS($AU$1388:AU1474,$AQ$1388:AQ1474,"H")</f>
        <v>623.99999999999989</v>
      </c>
      <c r="BO1473" s="343">
        <f>SUMIFS($AU$1388:AU1474,$AQ$1388:AQ1474,"D")</f>
        <v>1504.0000000000005</v>
      </c>
      <c r="BP1473" s="343">
        <f>SUMIFS($AU$1388:AU1476,$AQ$1388:AQ1476,"W")</f>
        <v>1414.3999999999999</v>
      </c>
      <c r="BQ1473" s="343">
        <f>SUMIFS($AU$1388:AU1474,$Q$1388:Q1474,"O")</f>
        <v>405.99999999996044</v>
      </c>
      <c r="BR1473" s="343">
        <f>SUMIFS($AU$1388:AU1474,$AA$1388:AA1474,"*")</f>
        <v>4908.3999999999614</v>
      </c>
      <c r="BS1473" s="343">
        <f>SUMIFS($AU$1388:AU1474,$AB$1388:AB1474,"*")</f>
        <v>639.99999999999943</v>
      </c>
      <c r="BT1473" s="343">
        <f>SUMIFS($AU$1388:AU1474,$AC$1388:AC1474,"*")</f>
        <v>1782.3999999999999</v>
      </c>
      <c r="BU1473" s="343">
        <f>SUMIFS($AU$1388:AU1474,$AA$1388:AA1474,"*",$AB$1388:AB1474,"*")</f>
        <v>367.9999999999996</v>
      </c>
      <c r="BV1473" s="343">
        <f>SUMIFS($AU$1388:AU1474,$AA$1388:AA1474,"*",$AC$1388:AC1474,"*")</f>
        <v>2038.3999999999999</v>
      </c>
      <c r="BW1473" s="343">
        <f>SUMIFS($AU$1388:AU1474,$AB$1388:AB1474,"*",$AC$1388:AC1474,"*")</f>
        <v>272.00000000000006</v>
      </c>
      <c r="BX1473" s="343">
        <f>SUMIFS($AV$1388:AV1474,$Q$1388:Q1474,"F")</f>
        <v>100.11428571428571</v>
      </c>
      <c r="BY1473" s="343">
        <f>SUMIFS($AV$1388:AV1474,$Q$1388:Q1474,"S")</f>
        <v>143.63230256529494</v>
      </c>
      <c r="BZ1473" s="343">
        <f>SUMIFS($AV$1388:AV1474,$Q$1388:Q1474,"O")</f>
        <v>202.99999999998022</v>
      </c>
    </row>
    <row r="1474" spans="1:78" ht="15.75" hidden="1" customHeight="1">
      <c r="A1474" s="177" t="s">
        <v>4824</v>
      </c>
      <c r="B1474" s="200"/>
      <c r="C1474" s="178"/>
      <c r="D1474" s="178"/>
      <c r="E1474" s="227"/>
      <c r="F1474" s="180"/>
      <c r="G1474" s="181"/>
      <c r="H1474" s="182"/>
      <c r="I1474" s="182"/>
      <c r="J1474" s="182"/>
      <c r="K1474" s="183"/>
      <c r="L1474" s="182"/>
      <c r="M1474" s="182"/>
      <c r="N1474" s="182"/>
      <c r="O1474" s="183"/>
      <c r="P1474" s="183"/>
      <c r="Q1474" s="183"/>
      <c r="R1474" s="183"/>
      <c r="S1474" s="183"/>
      <c r="T1474" s="183"/>
      <c r="U1474" s="183"/>
      <c r="V1474" s="183"/>
      <c r="W1474" s="183"/>
      <c r="X1474" s="183"/>
      <c r="Y1474" s="183"/>
      <c r="Z1474" s="183"/>
      <c r="AA1474" s="185"/>
      <c r="AB1474" s="185"/>
      <c r="AC1474" s="185"/>
      <c r="AD1474" s="649"/>
      <c r="AE1474" s="182"/>
      <c r="AF1474" s="332"/>
      <c r="AG1474" s="182"/>
      <c r="AH1474" s="182"/>
      <c r="AI1474" s="182"/>
      <c r="AJ1474" s="640"/>
      <c r="AK1474" s="182"/>
      <c r="AL1474" s="496">
        <f t="shared" si="416"/>
        <v>0</v>
      </c>
      <c r="AM1474" s="496">
        <f t="shared" si="408"/>
        <v>0</v>
      </c>
      <c r="AN1474" s="626"/>
      <c r="AO1474" s="182"/>
      <c r="AP1474" s="182"/>
      <c r="AQ1474" s="332" t="str">
        <f>UPPER(RIGHT(Journal_Live[[#This Row],[DURATION ]]))</f>
        <v/>
      </c>
      <c r="AR1474" s="182"/>
      <c r="AS1474" s="189"/>
      <c r="AT1474" s="189">
        <f t="shared" si="413"/>
        <v>0</v>
      </c>
      <c r="AU1474" s="187">
        <f t="shared" si="414"/>
        <v>0</v>
      </c>
      <c r="AV1474" s="190">
        <f t="shared" si="415"/>
        <v>0</v>
      </c>
      <c r="AW1474" s="191"/>
      <c r="AX1474" s="407"/>
      <c r="AY1474" s="407"/>
      <c r="AZ1474" s="407"/>
      <c r="BA1474" s="407"/>
      <c r="BB1474" s="407"/>
      <c r="BC1474" s="407"/>
      <c r="BD1474" s="407"/>
      <c r="BE1474" s="407"/>
      <c r="BF1474" s="422"/>
      <c r="BG1474" s="391">
        <f>SUM($AV$1389:AV1474)</f>
        <v>734.7465882795608</v>
      </c>
      <c r="BH1474" s="392">
        <f>SUM($AU$1389:AU1474)</f>
        <v>4924.3999999999614</v>
      </c>
      <c r="BI1474" s="318">
        <f>SUMIFS($AU$1388:AU1475,$Q$1388:Q1475,"F")</f>
        <v>2486.4</v>
      </c>
      <c r="BJ1474" s="318">
        <f>SUMIFS($AU$1388:AU1475,$Q$1388:Q1475,"S")</f>
        <v>1696.0000000000007</v>
      </c>
      <c r="BK1474" s="343">
        <f>SUMIFS($AU$1388:AU1475,$P$1388:P1475,"W")</f>
        <v>2502.4000000000005</v>
      </c>
      <c r="BL1474" s="343">
        <f>SUMIFS($AU$1388:AU1475,$P$1388:P1475,"R")</f>
        <v>1920.0000000000002</v>
      </c>
      <c r="BM1474" s="343">
        <f>SUMIFS($AU$1388:AU1475,$AQ$1388:AQ1475,"M")</f>
        <v>1381.9999999999607</v>
      </c>
      <c r="BN1474" s="343">
        <f>SUMIFS($AU$1388:AU1475,$AQ$1388:AQ1475,"H")</f>
        <v>623.99999999999989</v>
      </c>
      <c r="BO1474" s="343">
        <f>SUMIFS($AU$1388:AU1475,$AQ$1388:AQ1475,"D")</f>
        <v>1504.0000000000005</v>
      </c>
      <c r="BP1474" s="343">
        <f>SUMIFS($AU$1388:AU1477,$AQ$1388:AQ1477,"W")</f>
        <v>1414.3999999999999</v>
      </c>
      <c r="BQ1474" s="343">
        <f>SUMIFS($AU$1388:AU1475,$Q$1388:Q1475,"O")</f>
        <v>405.99999999996044</v>
      </c>
      <c r="BR1474" s="343">
        <f>SUMIFS($AU$1388:AU1475,$AA$1388:AA1475,"*")</f>
        <v>4908.3999999999614</v>
      </c>
      <c r="BS1474" s="343">
        <f>SUMIFS($AU$1388:AU1475,$AB$1388:AB1475,"*")</f>
        <v>639.99999999999943</v>
      </c>
      <c r="BT1474" s="343">
        <f>SUMIFS($AU$1388:AU1475,$AC$1388:AC1475,"*")</f>
        <v>1782.3999999999999</v>
      </c>
      <c r="BU1474" s="343">
        <f>SUMIFS($AU$1388:AU1475,$AA$1388:AA1475,"*",$AB$1388:AB1475,"*")</f>
        <v>367.9999999999996</v>
      </c>
      <c r="BV1474" s="343">
        <f>SUMIFS($AU$1388:AU1475,$AA$1388:AA1475,"*",$AC$1388:AC1475,"*")</f>
        <v>2038.3999999999999</v>
      </c>
      <c r="BW1474" s="343">
        <f>SUMIFS($AU$1388:AU1475,$AB$1388:AB1475,"*",$AC$1388:AC1475,"*")</f>
        <v>272.00000000000006</v>
      </c>
      <c r="BX1474" s="343">
        <f>SUMIFS($AV$1388:AV1475,$Q$1388:Q1475,"F")</f>
        <v>100.11428571428571</v>
      </c>
      <c r="BY1474" s="343">
        <f>SUMIFS($AV$1388:AV1475,$Q$1388:Q1475,"S")</f>
        <v>143.63230256529494</v>
      </c>
      <c r="BZ1474" s="343">
        <f>SUMIFS($AV$1388:AV1475,$Q$1388:Q1475,"O")</f>
        <v>202.99999999998022</v>
      </c>
    </row>
    <row r="1475" spans="1:78" ht="15.75" hidden="1" customHeight="1">
      <c r="A1475" s="177" t="s">
        <v>4824</v>
      </c>
      <c r="B1475" s="200"/>
      <c r="C1475" s="178"/>
      <c r="D1475" s="178"/>
      <c r="E1475" s="227"/>
      <c r="F1475" s="180"/>
      <c r="G1475" s="181"/>
      <c r="H1475" s="182"/>
      <c r="I1475" s="182"/>
      <c r="J1475" s="182"/>
      <c r="K1475" s="183"/>
      <c r="L1475" s="182"/>
      <c r="M1475" s="182"/>
      <c r="N1475" s="182"/>
      <c r="O1475" s="183"/>
      <c r="P1475" s="183"/>
      <c r="Q1475" s="183"/>
      <c r="R1475" s="183"/>
      <c r="S1475" s="183"/>
      <c r="T1475" s="183"/>
      <c r="U1475" s="183"/>
      <c r="V1475" s="183"/>
      <c r="W1475" s="183"/>
      <c r="X1475" s="183"/>
      <c r="Y1475" s="183"/>
      <c r="Z1475" s="183"/>
      <c r="AA1475" s="185"/>
      <c r="AB1475" s="185"/>
      <c r="AC1475" s="185"/>
      <c r="AD1475" s="649"/>
      <c r="AE1475" s="182"/>
      <c r="AF1475" s="332"/>
      <c r="AG1475" s="182"/>
      <c r="AH1475" s="182"/>
      <c r="AI1475" s="182"/>
      <c r="AJ1475" s="640"/>
      <c r="AK1475" s="182"/>
      <c r="AL1475" s="496">
        <f t="shared" si="416"/>
        <v>0</v>
      </c>
      <c r="AM1475" s="496">
        <f t="shared" si="408"/>
        <v>0</v>
      </c>
      <c r="AN1475" s="626"/>
      <c r="AO1475" s="182"/>
      <c r="AP1475" s="182"/>
      <c r="AQ1475" s="332" t="str">
        <f>UPPER(RIGHT(Journal_Live[[#This Row],[DURATION ]]))</f>
        <v/>
      </c>
      <c r="AR1475" s="182"/>
      <c r="AS1475" s="189"/>
      <c r="AT1475" s="189">
        <f t="shared" si="413"/>
        <v>0</v>
      </c>
      <c r="AU1475" s="187">
        <f t="shared" si="414"/>
        <v>0</v>
      </c>
      <c r="AV1475" s="190">
        <f t="shared" si="415"/>
        <v>0</v>
      </c>
      <c r="AW1475" s="191"/>
      <c r="AX1475" s="407"/>
      <c r="AY1475" s="407"/>
      <c r="AZ1475" s="407"/>
      <c r="BA1475" s="407"/>
      <c r="BB1475" s="407"/>
      <c r="BC1475" s="407"/>
      <c r="BD1475" s="407"/>
      <c r="BE1475" s="407"/>
      <c r="BF1475" s="422"/>
      <c r="BG1475" s="391">
        <f>SUM($AV$1389:AV1475)</f>
        <v>734.7465882795608</v>
      </c>
      <c r="BH1475" s="392">
        <f>SUM($AU$1389:AU1475)</f>
        <v>4924.3999999999614</v>
      </c>
      <c r="BI1475" s="318">
        <f>SUMIFS($AU$1388:AU1476,$Q$1388:Q1476,"F")</f>
        <v>2486.4</v>
      </c>
      <c r="BJ1475" s="318">
        <f>SUMIFS($AU$1388:AU1476,$Q$1388:Q1476,"S")</f>
        <v>1696.0000000000007</v>
      </c>
      <c r="BK1475" s="343">
        <f>SUMIFS($AU$1388:AU1476,$P$1388:P1476,"W")</f>
        <v>2502.4000000000005</v>
      </c>
      <c r="BL1475" s="343">
        <f>SUMIFS($AU$1388:AU1476,$P$1388:P1476,"R")</f>
        <v>1920.0000000000002</v>
      </c>
      <c r="BM1475" s="343">
        <f>SUMIFS($AU$1388:AU1476,$AQ$1388:AQ1476,"M")</f>
        <v>1381.9999999999607</v>
      </c>
      <c r="BN1475" s="343">
        <f>SUMIFS($AU$1388:AU1476,$AQ$1388:AQ1476,"H")</f>
        <v>623.99999999999989</v>
      </c>
      <c r="BO1475" s="343">
        <f>SUMIFS($AU$1388:AU1476,$AQ$1388:AQ1476,"D")</f>
        <v>1504.0000000000005</v>
      </c>
      <c r="BP1475" s="343">
        <f>SUMIFS($AU$1388:AU1478,$AQ$1388:AQ1478,"W")</f>
        <v>1414.3999999999999</v>
      </c>
      <c r="BQ1475" s="343">
        <f>SUMIFS($AU$1388:AU1476,$Q$1388:Q1476,"O")</f>
        <v>405.99999999996044</v>
      </c>
      <c r="BR1475" s="343">
        <f>SUMIFS($AU$1388:AU1476,$AA$1388:AA1476,"*")</f>
        <v>4908.3999999999614</v>
      </c>
      <c r="BS1475" s="343">
        <f>SUMIFS($AU$1388:AU1476,$AB$1388:AB1476,"*")</f>
        <v>639.99999999999943</v>
      </c>
      <c r="BT1475" s="343">
        <f>SUMIFS($AU$1388:AU1476,$AC$1388:AC1476,"*")</f>
        <v>1782.3999999999999</v>
      </c>
      <c r="BU1475" s="343">
        <f>SUMIFS($AU$1388:AU1476,$AA$1388:AA1476,"*",$AB$1388:AB1476,"*")</f>
        <v>367.9999999999996</v>
      </c>
      <c r="BV1475" s="343">
        <f>SUMIFS($AU$1388:AU1476,$AA$1388:AA1476,"*",$AC$1388:AC1476,"*")</f>
        <v>2038.3999999999999</v>
      </c>
      <c r="BW1475" s="343">
        <f>SUMIFS($AU$1388:AU1476,$AB$1388:AB1476,"*",$AC$1388:AC1476,"*")</f>
        <v>272.00000000000006</v>
      </c>
      <c r="BX1475" s="343">
        <f>SUMIFS($AV$1388:AV1476,$Q$1388:Q1476,"F")</f>
        <v>100.11428571428571</v>
      </c>
      <c r="BY1475" s="343">
        <f>SUMIFS($AV$1388:AV1476,$Q$1388:Q1476,"S")</f>
        <v>143.63230256529494</v>
      </c>
      <c r="BZ1475" s="343">
        <f>SUMIFS($AV$1388:AV1476,$Q$1388:Q1476,"O")</f>
        <v>202.99999999998022</v>
      </c>
    </row>
    <row r="1476" spans="1:78" ht="15.75" hidden="1" customHeight="1">
      <c r="A1476" s="177" t="s">
        <v>4824</v>
      </c>
      <c r="B1476" s="200"/>
      <c r="C1476" s="178"/>
      <c r="D1476" s="178"/>
      <c r="E1476" s="227"/>
      <c r="F1476" s="180"/>
      <c r="G1476" s="181"/>
      <c r="H1476" s="182"/>
      <c r="I1476" s="182"/>
      <c r="J1476" s="182"/>
      <c r="K1476" s="183"/>
      <c r="L1476" s="182"/>
      <c r="M1476" s="182"/>
      <c r="N1476" s="182"/>
      <c r="O1476" s="183"/>
      <c r="P1476" s="183"/>
      <c r="Q1476" s="183"/>
      <c r="R1476" s="183"/>
      <c r="S1476" s="183"/>
      <c r="T1476" s="183"/>
      <c r="U1476" s="183"/>
      <c r="V1476" s="183"/>
      <c r="W1476" s="183"/>
      <c r="X1476" s="183"/>
      <c r="Y1476" s="183"/>
      <c r="Z1476" s="183"/>
      <c r="AA1476" s="185"/>
      <c r="AB1476" s="185"/>
      <c r="AC1476" s="185"/>
      <c r="AD1476" s="649"/>
      <c r="AE1476" s="182"/>
      <c r="AF1476" s="332"/>
      <c r="AG1476" s="182"/>
      <c r="AH1476" s="182"/>
      <c r="AI1476" s="182"/>
      <c r="AJ1476" s="640"/>
      <c r="AK1476" s="182"/>
      <c r="AL1476" s="496">
        <f t="shared" si="416"/>
        <v>0</v>
      </c>
      <c r="AM1476" s="496">
        <f t="shared" si="408"/>
        <v>0</v>
      </c>
      <c r="AN1476" s="626"/>
      <c r="AO1476" s="182"/>
      <c r="AP1476" s="182"/>
      <c r="AQ1476" s="332" t="str">
        <f>UPPER(RIGHT(Journal_Live[[#This Row],[DURATION ]]))</f>
        <v/>
      </c>
      <c r="AR1476" s="182"/>
      <c r="AS1476" s="189"/>
      <c r="AT1476" s="189">
        <f t="shared" si="413"/>
        <v>0</v>
      </c>
      <c r="AU1476" s="187">
        <f t="shared" si="414"/>
        <v>0</v>
      </c>
      <c r="AV1476" s="190">
        <f t="shared" si="415"/>
        <v>0</v>
      </c>
      <c r="AW1476" s="191"/>
      <c r="AX1476" s="407"/>
      <c r="AY1476" s="407"/>
      <c r="AZ1476" s="407"/>
      <c r="BA1476" s="407"/>
      <c r="BB1476" s="407"/>
      <c r="BC1476" s="407"/>
      <c r="BD1476" s="407"/>
      <c r="BE1476" s="407"/>
      <c r="BF1476" s="422"/>
      <c r="BG1476" s="391">
        <f>SUM($AV$1389:AV1476)</f>
        <v>734.7465882795608</v>
      </c>
      <c r="BH1476" s="392">
        <f>SUM($AU$1389:AU1476)</f>
        <v>4924.3999999999614</v>
      </c>
      <c r="BI1476" s="318">
        <f>SUMIFS($AU$1388:AU1477,$Q$1388:Q1477,"F")</f>
        <v>2486.4</v>
      </c>
      <c r="BJ1476" s="318">
        <f>SUMIFS($AU$1388:AU1477,$Q$1388:Q1477,"S")</f>
        <v>1776.0000000000018</v>
      </c>
      <c r="BK1476" s="343">
        <f>SUMIFS($AU$1388:AU1477,$P$1388:P1477,"W")</f>
        <v>2582.4000000000015</v>
      </c>
      <c r="BL1476" s="343">
        <f>SUMIFS($AU$1388:AU1477,$P$1388:P1477,"R")</f>
        <v>1920.0000000000002</v>
      </c>
      <c r="BM1476" s="343">
        <f>SUMIFS($AU$1388:AU1477,$AQ$1388:AQ1477,"M")</f>
        <v>1381.9999999999607</v>
      </c>
      <c r="BN1476" s="343">
        <f>SUMIFS($AU$1388:AU1477,$AQ$1388:AQ1477,"H")</f>
        <v>704.00000000000102</v>
      </c>
      <c r="BO1476" s="343">
        <f>SUMIFS($AU$1388:AU1477,$AQ$1388:AQ1477,"D")</f>
        <v>1504.0000000000005</v>
      </c>
      <c r="BP1476" s="343">
        <f>SUMIFS($AU$1388:AU1479,$AQ$1388:AQ1479,"W")</f>
        <v>1414.3999999999999</v>
      </c>
      <c r="BQ1476" s="343">
        <f>SUMIFS($AU$1388:AU1477,$Q$1388:Q1477,"O")</f>
        <v>405.99999999996044</v>
      </c>
      <c r="BR1476" s="343">
        <f>SUMIFS($AU$1388:AU1477,$AA$1388:AA1477,"*")</f>
        <v>4988.3999999999623</v>
      </c>
      <c r="BS1476" s="343">
        <f>SUMIFS($AU$1388:AU1477,$AB$1388:AB1477,"*")</f>
        <v>639.99999999999943</v>
      </c>
      <c r="BT1476" s="343">
        <f>SUMIFS($AU$1388:AU1477,$AC$1388:AC1477,"*")</f>
        <v>1782.3999999999999</v>
      </c>
      <c r="BU1476" s="343">
        <f>SUMIFS($AU$1388:AU1477,$AA$1388:AA1477,"*",$AB$1388:AB1477,"*")</f>
        <v>367.9999999999996</v>
      </c>
      <c r="BV1476" s="343">
        <f>SUMIFS($AU$1388:AU1477,$AA$1388:AA1477,"*",$AC$1388:AC1477,"*")</f>
        <v>2038.3999999999999</v>
      </c>
      <c r="BW1476" s="343">
        <f>SUMIFS($AU$1388:AU1477,$AB$1388:AB1477,"*",$AC$1388:AC1477,"*")</f>
        <v>272.00000000000006</v>
      </c>
      <c r="BX1476" s="343">
        <f>SUMIFS($AV$1388:AV1477,$Q$1388:Q1477,"F")</f>
        <v>100.11428571428571</v>
      </c>
      <c r="BY1476" s="343">
        <f>SUMIFS($AV$1388:AV1477,$Q$1388:Q1477,"S")</f>
        <v>144.88230256529496</v>
      </c>
      <c r="BZ1476" s="343">
        <f>SUMIFS($AV$1388:AV1477,$Q$1388:Q1477,"O")</f>
        <v>202.99999999998022</v>
      </c>
    </row>
    <row r="1477" spans="1:78" ht="15.75" customHeight="1">
      <c r="A1477" s="177" t="s">
        <v>4824</v>
      </c>
      <c r="B1477" s="200">
        <v>45320</v>
      </c>
      <c r="C1477" s="178" t="s">
        <v>5082</v>
      </c>
      <c r="D1477" s="178" t="s">
        <v>132</v>
      </c>
      <c r="E1477" s="227"/>
      <c r="F1477" s="180"/>
      <c r="G1477" s="281" t="s">
        <v>181</v>
      </c>
      <c r="H1477" s="182"/>
      <c r="I1477" s="182"/>
      <c r="J1477" s="182"/>
      <c r="K1477" s="183"/>
      <c r="L1477" s="182">
        <v>1</v>
      </c>
      <c r="M1477" s="182"/>
      <c r="N1477" s="182"/>
      <c r="O1477" s="183" t="s">
        <v>95</v>
      </c>
      <c r="P1477" s="183" t="s">
        <v>96</v>
      </c>
      <c r="Q1477" s="183" t="s">
        <v>97</v>
      </c>
      <c r="R1477" s="183">
        <v>64</v>
      </c>
      <c r="S1477" s="183">
        <v>42</v>
      </c>
      <c r="T1477" s="183">
        <v>32</v>
      </c>
      <c r="U1477" s="183" t="s">
        <v>22</v>
      </c>
      <c r="V1477" s="183"/>
      <c r="W1477" s="183"/>
      <c r="X1477" s="183"/>
      <c r="Y1477" s="184">
        <f>IF(ISBLANK(O1477),"",(IF(O1477=UPPER("IB"),0.005,0.01)))</f>
        <v>0.01</v>
      </c>
      <c r="Z1477" s="185">
        <f>IF(ISBLANK(O1477),"",IF(O1477="IB",8.63*200,IF(O1477="IR",16*100,IF(O1477="YT",20*100,IF(O1477="YT-XT",24*200,IF(O1477="TED",80*100))))))</f>
        <v>1600</v>
      </c>
      <c r="AA1477" s="185" t="s">
        <v>5083</v>
      </c>
      <c r="AB1477" s="185"/>
      <c r="AC1477" s="185"/>
      <c r="AD1477" s="649">
        <v>-6.5000000000000002E-2</v>
      </c>
      <c r="AE1477" s="182"/>
      <c r="AF1477" s="332"/>
      <c r="AG1477" s="182"/>
      <c r="AH1477" s="182"/>
      <c r="AI1477" s="182"/>
      <c r="AJ1477" s="640"/>
      <c r="AK1477" s="182"/>
      <c r="AL1477" s="496">
        <f>-0.025*Z1477</f>
        <v>-40</v>
      </c>
      <c r="AM1477" s="496">
        <f t="shared" si="408"/>
        <v>-880</v>
      </c>
      <c r="AN1477" s="626"/>
      <c r="AO1477" s="182"/>
      <c r="AP1477" s="182" t="s">
        <v>5084</v>
      </c>
      <c r="AQ1477" s="332" t="s">
        <v>372</v>
      </c>
      <c r="AR1477" s="182" t="s">
        <v>5085</v>
      </c>
      <c r="AS1477" s="189">
        <f>((-0.06*10)+(-0.06*27)+(-0.07*5)+(-0.07*22))/64</f>
        <v>-6.4218749999999991E-2</v>
      </c>
      <c r="AT1477" s="189">
        <f t="shared" si="413"/>
        <v>7.812500000000111E-4</v>
      </c>
      <c r="AU1477" s="187">
        <f t="shared" si="414"/>
        <v>80.000000000001137</v>
      </c>
      <c r="AV1477" s="190">
        <f t="shared" si="415"/>
        <v>1.2500000000000178</v>
      </c>
      <c r="AW1477" s="191" t="s">
        <v>96</v>
      </c>
      <c r="AX1477" s="407" t="s">
        <v>5086</v>
      </c>
      <c r="AY1477" s="407" t="s">
        <v>5087</v>
      </c>
      <c r="AZ1477" s="407"/>
      <c r="BA1477" s="407"/>
      <c r="BB1477" s="407"/>
      <c r="BC1477" s="407"/>
      <c r="BD1477" s="407"/>
      <c r="BE1477" s="407"/>
      <c r="BF1477" s="422"/>
      <c r="BG1477" s="391">
        <f>SUM($AV$1389:AV1477)</f>
        <v>735.9965882795608</v>
      </c>
      <c r="BH1477" s="392">
        <f>SUM($AU$1389:AU1477)</f>
        <v>5004.3999999999623</v>
      </c>
      <c r="BI1477" s="318">
        <f>SUMIFS($AU$1388:AU1478,$Q$1388:Q1478,"F")</f>
        <v>2486.4</v>
      </c>
      <c r="BJ1477" s="318">
        <f>SUMIFS($AU$1388:AU1478,$Q$1388:Q1478,"S")</f>
        <v>1776.0000000000018</v>
      </c>
      <c r="BK1477" s="343">
        <f>SUMIFS($AU$1388:AU1478,$P$1388:P1478,"W")</f>
        <v>2582.4000000000015</v>
      </c>
      <c r="BL1477" s="343">
        <f>SUMIFS($AU$1388:AU1478,$P$1388:P1478,"R")</f>
        <v>1920.0000000000002</v>
      </c>
      <c r="BM1477" s="343">
        <f>SUMIFS($AU$1388:AU1478,$AQ$1388:AQ1478,"M")</f>
        <v>1381.9999999999607</v>
      </c>
      <c r="BN1477" s="343">
        <f>SUMIFS($AU$1388:AU1478,$AQ$1388:AQ1478,"H")</f>
        <v>704.00000000000102</v>
      </c>
      <c r="BO1477" s="343">
        <f>SUMIFS($AU$1388:AU1478,$AQ$1388:AQ1478,"D")</f>
        <v>1504.0000000000005</v>
      </c>
      <c r="BP1477" s="343">
        <f>SUMIFS($AU$1388:AU1480,$AQ$1388:AQ1480,"W")</f>
        <v>1414.3999999999999</v>
      </c>
      <c r="BQ1477" s="343">
        <f>SUMIFS($AU$1388:AU1478,$Q$1388:Q1478,"O")</f>
        <v>405.99999999996044</v>
      </c>
      <c r="BR1477" s="343">
        <f>SUMIFS($AU$1388:AU1478,$AA$1388:AA1478,"*")</f>
        <v>4988.3999999999623</v>
      </c>
      <c r="BS1477" s="343">
        <f>SUMIFS($AU$1388:AU1478,$AB$1388:AB1478,"*")</f>
        <v>639.99999999999943</v>
      </c>
      <c r="BT1477" s="343">
        <f>SUMIFS($AU$1388:AU1478,$AC$1388:AC1478,"*")</f>
        <v>1782.3999999999999</v>
      </c>
      <c r="BU1477" s="343">
        <f>SUMIFS($AU$1388:AU1478,$AA$1388:AA1478,"*",$AB$1388:AB1478,"*")</f>
        <v>367.9999999999996</v>
      </c>
      <c r="BV1477" s="343">
        <f>SUMIFS($AU$1388:AU1478,$AA$1388:AA1478,"*",$AC$1388:AC1478,"*")</f>
        <v>2038.3999999999999</v>
      </c>
      <c r="BW1477" s="343">
        <f>SUMIFS($AU$1388:AU1478,$AB$1388:AB1478,"*",$AC$1388:AC1478,"*")</f>
        <v>272.00000000000006</v>
      </c>
      <c r="BX1477" s="343">
        <f>SUMIFS($AV$1388:AV1478,$Q$1388:Q1478,"F")</f>
        <v>100.11428571428571</v>
      </c>
      <c r="BY1477" s="343">
        <f>SUMIFS($AV$1388:AV1478,$Q$1388:Q1478,"S")</f>
        <v>144.88230256529496</v>
      </c>
      <c r="BZ1477" s="343">
        <f>SUMIFS($AV$1388:AV1478,$Q$1388:Q1478,"O")</f>
        <v>202.99999999998022</v>
      </c>
    </row>
    <row r="1478" spans="1:78" ht="15.75" customHeight="1">
      <c r="A1478" s="177" t="s">
        <v>4824</v>
      </c>
      <c r="B1478" s="200">
        <v>45320</v>
      </c>
      <c r="C1478" s="178" t="s">
        <v>2093</v>
      </c>
      <c r="D1478" s="178" t="s">
        <v>132</v>
      </c>
      <c r="E1478" s="227"/>
      <c r="F1478" s="180"/>
      <c r="G1478" s="281" t="s">
        <v>136</v>
      </c>
      <c r="H1478" s="182"/>
      <c r="I1478" s="182"/>
      <c r="J1478" s="182"/>
      <c r="K1478" s="183"/>
      <c r="L1478" s="182">
        <v>1</v>
      </c>
      <c r="M1478" s="182"/>
      <c r="N1478" s="182"/>
      <c r="O1478" s="183" t="s">
        <v>95</v>
      </c>
      <c r="P1478" s="183" t="s">
        <v>96</v>
      </c>
      <c r="Q1478" s="183" t="s">
        <v>97</v>
      </c>
      <c r="R1478" s="183">
        <v>32</v>
      </c>
      <c r="S1478" s="183">
        <v>22</v>
      </c>
      <c r="T1478" s="183">
        <v>32</v>
      </c>
      <c r="U1478" s="183" t="s">
        <v>22</v>
      </c>
      <c r="V1478" s="183"/>
      <c r="W1478" s="183"/>
      <c r="X1478" s="183"/>
      <c r="Y1478" s="184">
        <f>IF(ISBLANK(O1478),"",(IF(O1478=UPPER("IB"),0.005,0.01)))</f>
        <v>0.01</v>
      </c>
      <c r="Z1478" s="185">
        <f>IF(ISBLANK(O1478),"",IF(O1478="IB",8.63*200,IF(O1478="IR",16*100,IF(O1478="YT",20*100,IF(O1478="YT-XT",24*200,IF(O1478="TED",80*100))))))</f>
        <v>1600</v>
      </c>
      <c r="AA1478" s="185" t="s">
        <v>5083</v>
      </c>
      <c r="AB1478" s="185"/>
      <c r="AC1478" s="185"/>
      <c r="AD1478" s="649">
        <v>-0.11</v>
      </c>
      <c r="AE1478" s="182"/>
      <c r="AF1478" s="332"/>
      <c r="AG1478" s="182"/>
      <c r="AH1478" s="182"/>
      <c r="AI1478" s="182"/>
      <c r="AJ1478" s="640"/>
      <c r="AK1478" s="182"/>
      <c r="AL1478" s="496">
        <f t="shared" si="416"/>
        <v>-32</v>
      </c>
      <c r="AM1478" s="496">
        <f t="shared" si="408"/>
        <v>-320</v>
      </c>
      <c r="AN1478" s="626"/>
      <c r="AO1478" s="182"/>
      <c r="AP1478" s="182" t="s">
        <v>5088</v>
      </c>
      <c r="AQ1478" s="332" t="s">
        <v>1259</v>
      </c>
      <c r="AR1478" s="182" t="s">
        <v>5089</v>
      </c>
      <c r="AS1478" s="189">
        <v>-0.11</v>
      </c>
      <c r="AT1478" s="189">
        <f t="shared" si="413"/>
        <v>0</v>
      </c>
      <c r="AU1478" s="187">
        <f t="shared" si="414"/>
        <v>0</v>
      </c>
      <c r="AV1478" s="190">
        <f t="shared" si="415"/>
        <v>0</v>
      </c>
      <c r="AW1478" s="191" t="s">
        <v>115</v>
      </c>
      <c r="AX1478" s="407" t="s">
        <v>5062</v>
      </c>
      <c r="AY1478" s="407"/>
      <c r="AZ1478" s="407"/>
      <c r="BA1478" s="407"/>
      <c r="BB1478" s="407"/>
      <c r="BC1478" s="407"/>
      <c r="BD1478" s="407"/>
      <c r="BE1478" s="407"/>
      <c r="BF1478" s="422"/>
      <c r="BG1478" s="391">
        <f>SUM($AV$1389:AV1478)</f>
        <v>735.9965882795608</v>
      </c>
      <c r="BH1478" s="392">
        <f>SUM($AU$1389:AU1478)</f>
        <v>5004.3999999999623</v>
      </c>
      <c r="BI1478" s="318">
        <f>SUMIFS($AU$1388:AU1481,$Q$1388:Q1481,"F")</f>
        <v>2486.4</v>
      </c>
      <c r="BJ1478" s="318">
        <f>SUMIFS($AU$1388:AU1481,$Q$1388:Q1481,"S")</f>
        <v>1776.0000000000018</v>
      </c>
      <c r="BK1478" s="343">
        <f>SUMIFS($AU$1388:AU1481,$P$1388:P1481,"W")</f>
        <v>2582.4000000000015</v>
      </c>
      <c r="BL1478" s="343">
        <f>SUMIFS($AU$1388:AU1481,$P$1388:P1481,"R")</f>
        <v>1920.0000000000002</v>
      </c>
      <c r="BM1478" s="343">
        <f>SUMIFS($AU$1388:AU1481,$AQ$1388:AQ1481,"M")</f>
        <v>1381.9999999999607</v>
      </c>
      <c r="BN1478" s="343">
        <f>SUMIFS($AU$1388:AU1481,$AQ$1388:AQ1481,"H")</f>
        <v>704.00000000000102</v>
      </c>
      <c r="BO1478" s="343">
        <f>SUMIFS($AU$1388:AU1481,$AQ$1388:AQ1481,"D")</f>
        <v>1504.0000000000005</v>
      </c>
      <c r="BP1478" s="343">
        <f>SUMIFS($AU$1388:AU1481,$AQ$1388:AQ1481,"W")</f>
        <v>1414.3999999999999</v>
      </c>
      <c r="BQ1478" s="343">
        <f>SUMIFS($AU$1388:AU1481,$Q$1388:Q1481,"O")</f>
        <v>405.99999999996044</v>
      </c>
      <c r="BR1478" s="343">
        <f>SUMIFS($AU$1388:AU1479,$AA$1388:AA1479,"*")</f>
        <v>4988.3999999999623</v>
      </c>
      <c r="BS1478" s="343">
        <f>SUMIFS($AU$1388:AU1479,$AB$1388:AB1479,"*")</f>
        <v>639.99999999999943</v>
      </c>
      <c r="BT1478" s="343">
        <f>SUMIFS($AU$1388:AU1479,$AC$1388:AC1479,"*")</f>
        <v>1782.3999999999999</v>
      </c>
      <c r="BU1478" s="343">
        <f>SUMIFS($AU$1388:AU1479,$AA$1388:AA1479,"*",$AB$1388:AB1479,"*")</f>
        <v>367.9999999999996</v>
      </c>
      <c r="BV1478" s="343">
        <f>SUMIFS($AU$1388:AU1479,$AA$1388:AA1479,"*",$AC$1388:AC1479,"*")</f>
        <v>2038.3999999999999</v>
      </c>
      <c r="BW1478" s="343">
        <f>SUMIFS($AU$1388:AU1479,$AB$1388:AB1479,"*",$AC$1388:AC1479,"*")</f>
        <v>272.00000000000006</v>
      </c>
      <c r="BX1478" s="343">
        <f>SUMIFS($AV$1388:AV1479,$Q$1388:Q1479,"F")</f>
        <v>100.11428571428571</v>
      </c>
      <c r="BY1478" s="343">
        <f>SUMIFS($AV$1388:AV1479,$Q$1388:Q1479,"S")</f>
        <v>144.88230256529496</v>
      </c>
      <c r="BZ1478" s="343">
        <f>SUMIFS($AV$1388:AV1479,$Q$1388:Q1479,"O")</f>
        <v>202.99999999998022</v>
      </c>
    </row>
    <row r="1479" spans="1:78" ht="15.75" customHeight="1">
      <c r="A1479" s="177" t="s">
        <v>4824</v>
      </c>
      <c r="B1479" s="200"/>
      <c r="C1479" s="178"/>
      <c r="D1479" s="178"/>
      <c r="E1479" s="227"/>
      <c r="F1479" s="180"/>
      <c r="G1479" s="181"/>
      <c r="H1479" s="182"/>
      <c r="I1479" s="182"/>
      <c r="J1479" s="182"/>
      <c r="K1479" s="183"/>
      <c r="L1479" s="182"/>
      <c r="M1479" s="182"/>
      <c r="N1479" s="182"/>
      <c r="O1479" s="183"/>
      <c r="P1479" s="183"/>
      <c r="Q1479" s="183"/>
      <c r="R1479" s="183"/>
      <c r="S1479" s="183"/>
      <c r="T1479" s="183"/>
      <c r="U1479" s="183"/>
      <c r="V1479" s="183"/>
      <c r="W1479" s="183"/>
      <c r="X1479" s="183"/>
      <c r="Y1479" s="183"/>
      <c r="Z1479" s="183"/>
      <c r="AA1479" s="185"/>
      <c r="AB1479" s="185"/>
      <c r="AC1479" s="185"/>
      <c r="AD1479" s="649"/>
      <c r="AE1479" s="182"/>
      <c r="AF1479" s="332"/>
      <c r="AG1479" s="182"/>
      <c r="AH1479" s="182"/>
      <c r="AI1479" s="182"/>
      <c r="AJ1479" s="640"/>
      <c r="AK1479" s="182"/>
      <c r="AL1479" s="496">
        <f t="shared" ref="AL1479" si="417">-0.02*Z1479</f>
        <v>0</v>
      </c>
      <c r="AM1479" s="496">
        <f t="shared" si="408"/>
        <v>0</v>
      </c>
      <c r="AN1479" s="626"/>
      <c r="AO1479" s="182"/>
      <c r="AP1479" s="182"/>
      <c r="AQ1479" s="332" t="str">
        <f>UPPER(RIGHT(Journal_Live[[#This Row],[DURATION ]]))</f>
        <v/>
      </c>
      <c r="AR1479" s="182"/>
      <c r="AS1479" s="189"/>
      <c r="AT1479" s="189"/>
      <c r="AU1479" s="187"/>
      <c r="AV1479" s="190"/>
      <c r="AW1479" s="191"/>
      <c r="AX1479" s="407" t="s">
        <v>5090</v>
      </c>
      <c r="AY1479" s="407" t="s">
        <v>5091</v>
      </c>
      <c r="AZ1479" s="407" t="s">
        <v>5092</v>
      </c>
      <c r="BA1479" s="407" t="s">
        <v>5093</v>
      </c>
      <c r="BB1479" s="407"/>
      <c r="BC1479" s="407"/>
      <c r="BD1479" s="407"/>
      <c r="BE1479" s="407"/>
      <c r="BF1479" s="422"/>
      <c r="BG1479" s="391">
        <f>SUM($AV$1389:AV1479)</f>
        <v>735.9965882795608</v>
      </c>
      <c r="BH1479" s="392">
        <f>SUM($AU$1389:AU1479)</f>
        <v>5004.3999999999623</v>
      </c>
      <c r="BI1479" s="318">
        <f>SUMIFS($AU$1388:AU1480,$Q$1388:Q1480,"F")</f>
        <v>2486.4</v>
      </c>
      <c r="BJ1479" s="318">
        <f>SUMIFS($AU$1388:AU1480,$Q$1388:Q1480,"S")</f>
        <v>1776.0000000000018</v>
      </c>
      <c r="BK1479" s="343">
        <f>SUMIFS($AU$1388:AU1480,$P$1388:P1480,"W")</f>
        <v>2582.4000000000015</v>
      </c>
      <c r="BL1479" s="343">
        <f>SUMIFS($AU$1388:AU1480,$P$1388:P1480,"R")</f>
        <v>1920.0000000000002</v>
      </c>
      <c r="BM1479" s="343">
        <f>SUMIFS($AU$1388:AU1480,$AQ$1388:AQ1480,"M")</f>
        <v>1381.9999999999607</v>
      </c>
      <c r="BN1479" s="343">
        <f>SUMIFS($AU$1388:AU1480,$AQ$1388:AQ1480,"H")</f>
        <v>704.00000000000102</v>
      </c>
      <c r="BO1479" s="343">
        <f>SUMIFS($AU$1388:AU1480,$AQ$1388:AQ1480,"D")</f>
        <v>1504.0000000000005</v>
      </c>
      <c r="BP1479" s="343">
        <f>SUMIFS($AU$1388:AU1482,$AQ$1388:AQ1482,"W")</f>
        <v>1414.3999999999999</v>
      </c>
      <c r="BQ1479" s="343">
        <f>SUMIFS($AU$1388:AU1480,$Q$1388:Q1480,"O")</f>
        <v>405.99999999996044</v>
      </c>
      <c r="BR1479" s="343">
        <f>SUMIFS($AU$1388:AU1480,$AA$1388:AA1480,"*")</f>
        <v>4988.3999999999623</v>
      </c>
      <c r="BS1479" s="343">
        <f>SUMIFS($AU$1388:AU1480,$AB$1388:AB1480,"*")</f>
        <v>639.99999999999943</v>
      </c>
      <c r="BT1479" s="343">
        <f>SUMIFS($AU$1388:AU1480,$AC$1388:AC1480,"*")</f>
        <v>1782.3999999999999</v>
      </c>
      <c r="BU1479" s="343">
        <f>SUMIFS($AU$1388:AU1480,$AA$1388:AA1480,"*",$AB$1388:AB1480,"*")</f>
        <v>367.9999999999996</v>
      </c>
      <c r="BV1479" s="343">
        <f>SUMIFS($AU$1388:AU1480,$AA$1388:AA1480,"*",$AC$1388:AC1480,"*")</f>
        <v>2038.3999999999999</v>
      </c>
      <c r="BW1479" s="343">
        <f>SUMIFS($AU$1388:AU1480,$AB$1388:AB1480,"*",$AC$1388:AC1480,"*")</f>
        <v>272.00000000000006</v>
      </c>
      <c r="BX1479" s="343">
        <f>SUMIFS($AV$1388:AV1480,$Q$1388:Q1480,"F")</f>
        <v>100.11428571428571</v>
      </c>
      <c r="BY1479" s="343">
        <f>SUMIFS($AV$1388:AV1480,$Q$1388:Q1480,"S")</f>
        <v>144.88230256529496</v>
      </c>
      <c r="BZ1479" s="343">
        <f>SUMIFS($AV$1388:AV1480,$Q$1388:Q1480,"O")</f>
        <v>202.99999999998022</v>
      </c>
    </row>
    <row r="1480" spans="1:78" ht="15.75" customHeight="1">
      <c r="A1480" s="177" t="s">
        <v>4824</v>
      </c>
      <c r="B1480" s="200"/>
      <c r="C1480" s="178"/>
      <c r="D1480" s="178"/>
      <c r="E1480" s="227"/>
      <c r="F1480" s="180"/>
      <c r="G1480" s="181"/>
      <c r="H1480" s="182"/>
      <c r="I1480" s="182"/>
      <c r="J1480" s="182"/>
      <c r="K1480" s="183"/>
      <c r="L1480" s="182"/>
      <c r="M1480" s="182"/>
      <c r="N1480" s="182"/>
      <c r="O1480" s="183"/>
      <c r="P1480" s="183"/>
      <c r="Q1480" s="183"/>
      <c r="R1480" s="183"/>
      <c r="S1480" s="183"/>
      <c r="T1480" s="183"/>
      <c r="U1480" s="183"/>
      <c r="V1480" s="183"/>
      <c r="W1480" s="183"/>
      <c r="X1480" s="183"/>
      <c r="Y1480" s="183"/>
      <c r="Z1480" s="183"/>
      <c r="AA1480" s="185"/>
      <c r="AB1480" s="185"/>
      <c r="AC1480" s="185"/>
      <c r="AD1480" s="649"/>
      <c r="AE1480" s="182"/>
      <c r="AF1480" s="332"/>
      <c r="AG1480" s="182"/>
      <c r="AH1480" s="182"/>
      <c r="AI1480" s="182"/>
      <c r="AJ1480" s="640"/>
      <c r="AK1480" s="182"/>
      <c r="AL1480" s="496">
        <f t="shared" ref="AL1480" si="418">-0.02*Z1480</f>
        <v>0</v>
      </c>
      <c r="AM1480" s="496">
        <f t="shared" si="408"/>
        <v>0</v>
      </c>
      <c r="AN1480" s="626"/>
      <c r="AO1480" s="182"/>
      <c r="AP1480" s="182"/>
      <c r="AQ1480" s="332" t="str">
        <f>UPPER(RIGHT(Journal_Live[[#This Row],[DURATION ]]))</f>
        <v/>
      </c>
      <c r="AR1480" s="182"/>
      <c r="AS1480" s="189"/>
      <c r="AT1480" s="189"/>
      <c r="AU1480" s="187"/>
      <c r="AV1480" s="190"/>
      <c r="AW1480" s="191"/>
      <c r="AX1480" s="407" t="s">
        <v>5094</v>
      </c>
      <c r="AY1480" s="407" t="s">
        <v>5095</v>
      </c>
      <c r="AZ1480" s="407"/>
      <c r="BA1480" s="407"/>
      <c r="BB1480" s="407"/>
      <c r="BC1480" s="407"/>
      <c r="BD1480" s="407"/>
      <c r="BE1480" s="407"/>
      <c r="BF1480" s="422"/>
      <c r="BG1480" s="391">
        <f>SUM($AV$1389:AV1480)</f>
        <v>735.9965882795608</v>
      </c>
      <c r="BH1480" s="392">
        <f>SUM($AU$1389:AU1480)</f>
        <v>5004.3999999999623</v>
      </c>
      <c r="BI1480" s="318">
        <f>SUMIFS($AU$1388:AU1481,$Q$1388:Q1481,"F")</f>
        <v>2486.4</v>
      </c>
      <c r="BJ1480" s="318">
        <f>SUMIFS($AU$1388:AU1481,$Q$1388:Q1481,"S")</f>
        <v>1776.0000000000018</v>
      </c>
      <c r="BK1480" s="343">
        <f>SUMIFS($AU$1388:AU1481,$P$1388:P1481,"W")</f>
        <v>2582.4000000000015</v>
      </c>
      <c r="BL1480" s="343">
        <f>SUMIFS($AU$1388:AU1481,$P$1388:P1481,"R")</f>
        <v>1920.0000000000002</v>
      </c>
      <c r="BM1480" s="343">
        <f>SUMIFS($AU$1388:AU1481,$AQ$1388:AQ1481,"M")</f>
        <v>1381.9999999999607</v>
      </c>
      <c r="BN1480" s="343">
        <f>SUMIFS($AU$1388:AU1481,$AQ$1388:AQ1481,"H")</f>
        <v>704.00000000000102</v>
      </c>
      <c r="BO1480" s="343">
        <f>SUMIFS($AU$1388:AU1481,$AQ$1388:AQ1481,"D")</f>
        <v>1504.0000000000005</v>
      </c>
      <c r="BP1480" s="343">
        <f>SUMIFS($AU$1388:AU1483,$AQ$1388:AQ1483,"W")</f>
        <v>1414.3999999999999</v>
      </c>
      <c r="BQ1480" s="343">
        <f>SUMIFS($AU$1388:AU1481,$Q$1388:Q1481,"O")</f>
        <v>405.99999999996044</v>
      </c>
      <c r="BR1480" s="343">
        <f>SUMIFS($AU$1388:AU1481,$AA$1388:AA1481,"*")</f>
        <v>4988.3999999999623</v>
      </c>
      <c r="BS1480" s="343">
        <f>SUMIFS($AU$1388:AU1481,$AB$1388:AB1481,"*")</f>
        <v>639.99999999999943</v>
      </c>
      <c r="BT1480" s="343">
        <f>SUMIFS($AU$1388:AU1481,$AC$1388:AC1481,"*")</f>
        <v>1782.3999999999999</v>
      </c>
      <c r="BU1480" s="343">
        <f>SUMIFS($AU$1388:AU1481,$AA$1388:AA1481,"*",$AB$1388:AB1481,"*")</f>
        <v>367.9999999999996</v>
      </c>
      <c r="BV1480" s="343">
        <f>SUMIFS($AU$1388:AU1481,$AA$1388:AA1481,"*",$AC$1388:AC1481,"*")</f>
        <v>2038.3999999999999</v>
      </c>
      <c r="BW1480" s="343">
        <f>SUMIFS($AU$1388:AU1481,$AB$1388:AB1481,"*",$AC$1388:AC1481,"*")</f>
        <v>272.00000000000006</v>
      </c>
      <c r="BX1480" s="343">
        <f>SUMIFS($AV$1388:AV1481,$Q$1388:Q1481,"F")</f>
        <v>100.11428571428571</v>
      </c>
      <c r="BY1480" s="343">
        <f>SUMIFS($AV$1388:AV1481,$Q$1388:Q1481,"S")</f>
        <v>144.88230256529496</v>
      </c>
      <c r="BZ1480" s="343">
        <f>SUMIFS($AV$1388:AV1481,$Q$1388:Q1481,"O")</f>
        <v>202.99999999998022</v>
      </c>
    </row>
    <row r="1481" spans="1:78" ht="15.75" customHeight="1">
      <c r="A1481" s="177" t="s">
        <v>4824</v>
      </c>
      <c r="B1481" s="200">
        <v>45320</v>
      </c>
      <c r="C1481" s="178" t="s">
        <v>1344</v>
      </c>
      <c r="D1481" s="178" t="s">
        <v>132</v>
      </c>
      <c r="E1481" s="227"/>
      <c r="F1481" s="180"/>
      <c r="G1481" s="281" t="s">
        <v>3990</v>
      </c>
      <c r="H1481" s="182"/>
      <c r="I1481" s="182"/>
      <c r="J1481" s="182"/>
      <c r="K1481" s="183"/>
      <c r="L1481" s="182">
        <v>1</v>
      </c>
      <c r="M1481" s="182"/>
      <c r="N1481" s="182"/>
      <c r="O1481" s="183" t="s">
        <v>95</v>
      </c>
      <c r="P1481" s="183" t="s">
        <v>96</v>
      </c>
      <c r="Q1481" s="183" t="s">
        <v>97</v>
      </c>
      <c r="R1481" s="183">
        <v>32</v>
      </c>
      <c r="S1481" s="183">
        <v>0</v>
      </c>
      <c r="T1481" s="183">
        <v>32</v>
      </c>
      <c r="U1481" s="183" t="s">
        <v>22</v>
      </c>
      <c r="V1481" s="183"/>
      <c r="W1481" s="183"/>
      <c r="X1481" s="183"/>
      <c r="Y1481" s="184">
        <f>IF(ISBLANK(O1481),"",(IF(O1481=UPPER("IB"),0.005,0.01)))</f>
        <v>0.01</v>
      </c>
      <c r="Z1481" s="185">
        <f>IF(ISBLANK(O1481),"",IF(O1481="IB",8.63*200,IF(O1481="IR",16*100,IF(O1481="YT",20*100,IF(O1481="YT-XT",24*200,IF(O1481="TED",80*100))))))</f>
        <v>1600</v>
      </c>
      <c r="AA1481" s="409" t="s">
        <v>5096</v>
      </c>
      <c r="AB1481" s="185"/>
      <c r="AC1481" s="185"/>
      <c r="AD1481" s="649">
        <v>-0.25</v>
      </c>
      <c r="AE1481" s="182"/>
      <c r="AF1481" s="332"/>
      <c r="AG1481" s="182"/>
      <c r="AH1481" s="182"/>
      <c r="AI1481" s="182"/>
      <c r="AJ1481" s="640"/>
      <c r="AK1481" s="182"/>
      <c r="AL1481" s="496">
        <f t="shared" si="416"/>
        <v>-32</v>
      </c>
      <c r="AM1481" s="496">
        <f t="shared" si="408"/>
        <v>-1024</v>
      </c>
      <c r="AN1481" s="626"/>
      <c r="AO1481" s="182"/>
      <c r="AP1481" s="182" t="s">
        <v>2985</v>
      </c>
      <c r="AQ1481" s="332" t="s">
        <v>372</v>
      </c>
      <c r="AR1481" s="298" t="s">
        <v>5097</v>
      </c>
      <c r="AS1481" s="189">
        <v>-0.25</v>
      </c>
      <c r="AT1481" s="189">
        <f>IF(ISBLANK(AS1481),,IF(U1481="S",AD1481-AS1481,AS1481-AD1481))</f>
        <v>0</v>
      </c>
      <c r="AU1481" s="187">
        <f>AV1481*R1481</f>
        <v>0</v>
      </c>
      <c r="AV1481" s="190">
        <f>IF(ISBLANK(AS1481),,(AT1481*Z1481))</f>
        <v>0</v>
      </c>
      <c r="AW1481" s="191" t="s">
        <v>115</v>
      </c>
      <c r="AX1481" s="407"/>
      <c r="AY1481" s="407"/>
      <c r="AZ1481" s="407"/>
      <c r="BA1481" s="407"/>
      <c r="BB1481" s="407"/>
      <c r="BC1481" s="407"/>
      <c r="BD1481" s="407"/>
      <c r="BE1481" s="407"/>
      <c r="BF1481" s="422"/>
      <c r="BG1481" s="391">
        <f>SUM($AV$1389:AV1481)</f>
        <v>735.9965882795608</v>
      </c>
      <c r="BH1481" s="392">
        <f>SUM($AU$1389:AU1481)</f>
        <v>5004.3999999999623</v>
      </c>
      <c r="BI1481" s="318">
        <f>SUMIFS($AU$1388:AU1482,$Q$1388:Q1482,"F")</f>
        <v>2486.4</v>
      </c>
      <c r="BJ1481" s="318">
        <f>SUMIFS($AU$1388:AU1482,$Q$1388:Q1482,"S")</f>
        <v>1776.0000000000018</v>
      </c>
      <c r="BK1481" s="343">
        <f>SUMIFS($AU$1388:AU1482,$P$1388:P1482,"W")</f>
        <v>2582.4000000000015</v>
      </c>
      <c r="BL1481" s="343">
        <f>SUMIFS($AU$1388:AU1482,$P$1388:P1482,"R")</f>
        <v>1920.0000000000002</v>
      </c>
      <c r="BM1481" s="343">
        <f>SUMIFS($AU$1388:AU1482,$AQ$1388:AQ1482,"M")</f>
        <v>1381.9999999999607</v>
      </c>
      <c r="BN1481" s="343">
        <f>SUMIFS($AU$1388:AU1482,$AQ$1388:AQ1482,"H")</f>
        <v>704.00000000000102</v>
      </c>
      <c r="BO1481" s="343">
        <f>SUMIFS($AU$1388:AU1482,$AQ$1388:AQ1482,"D")</f>
        <v>1504.0000000000005</v>
      </c>
      <c r="BP1481" s="343">
        <f>SUMIFS($AU$1388:AU1484,$AQ$1388:AQ1484,"W")</f>
        <v>1414.3999999999999</v>
      </c>
      <c r="BQ1481" s="343">
        <f>SUMIFS($AU$1388:AU1482,$Q$1388:Q1482,"O")</f>
        <v>405.99999999996044</v>
      </c>
      <c r="BR1481" s="343">
        <f>SUMIFS($AU$1388:AU1482,$AA$1388:AA1482,"*")</f>
        <v>4988.3999999999623</v>
      </c>
      <c r="BS1481" s="343">
        <f>SUMIFS($AU$1388:AU1482,$AB$1388:AB1482,"*")</f>
        <v>639.99999999999943</v>
      </c>
      <c r="BT1481" s="343">
        <f>SUMIFS($AU$1388:AU1482,$AC$1388:AC1482,"*")</f>
        <v>1782.3999999999999</v>
      </c>
      <c r="BU1481" s="343">
        <f>SUMIFS($AU$1388:AU1482,$AA$1388:AA1482,"*",$AB$1388:AB1482,"*")</f>
        <v>367.9999999999996</v>
      </c>
      <c r="BV1481" s="343">
        <f>SUMIFS($AU$1388:AU1482,$AA$1388:AA1482,"*",$AC$1388:AC1482,"*")</f>
        <v>2038.3999999999999</v>
      </c>
      <c r="BW1481" s="343">
        <f>SUMIFS($AU$1388:AU1482,$AB$1388:AB1482,"*",$AC$1388:AC1482,"*")</f>
        <v>272.00000000000006</v>
      </c>
      <c r="BX1481" s="343">
        <f>SUMIFS($AV$1388:AV1482,$Q$1388:Q1482,"F")</f>
        <v>100.11428571428571</v>
      </c>
      <c r="BY1481" s="343">
        <f>SUMIFS($AV$1388:AV1482,$Q$1388:Q1482,"S")</f>
        <v>144.88230256529496</v>
      </c>
      <c r="BZ1481" s="343">
        <f>SUMIFS($AV$1388:AV1482,$Q$1388:Q1482,"O")</f>
        <v>202.99999999998022</v>
      </c>
    </row>
    <row r="1482" spans="1:78" ht="15.75" customHeight="1">
      <c r="A1482" s="177" t="s">
        <v>4824</v>
      </c>
      <c r="B1482" s="200">
        <v>45320</v>
      </c>
      <c r="C1482" s="178" t="s">
        <v>4910</v>
      </c>
      <c r="D1482" s="178" t="s">
        <v>132</v>
      </c>
      <c r="E1482" s="227"/>
      <c r="F1482" s="180"/>
      <c r="G1482" s="181" t="s">
        <v>5098</v>
      </c>
      <c r="H1482" s="182"/>
      <c r="I1482" s="182"/>
      <c r="J1482" s="182"/>
      <c r="K1482" s="183"/>
      <c r="L1482" s="182"/>
      <c r="M1482" s="182"/>
      <c r="N1482" s="182"/>
      <c r="O1482" s="183"/>
      <c r="P1482" s="183"/>
      <c r="Q1482" s="183"/>
      <c r="R1482" s="183"/>
      <c r="S1482" s="183"/>
      <c r="T1482" s="183"/>
      <c r="U1482" s="183"/>
      <c r="V1482" s="183"/>
      <c r="W1482" s="183"/>
      <c r="X1482" s="183"/>
      <c r="Y1482" s="184"/>
      <c r="Z1482" s="185"/>
      <c r="AA1482" s="185"/>
      <c r="AB1482" s="185"/>
      <c r="AC1482" s="185"/>
      <c r="AD1482" s="649"/>
      <c r="AE1482" s="182"/>
      <c r="AF1482" s="332"/>
      <c r="AG1482" s="182"/>
      <c r="AH1482" s="182"/>
      <c r="AI1482" s="182"/>
      <c r="AJ1482" s="640"/>
      <c r="AK1482" s="182"/>
      <c r="AL1482" s="496">
        <f t="shared" si="416"/>
        <v>0</v>
      </c>
      <c r="AM1482" s="496">
        <f t="shared" si="408"/>
        <v>0</v>
      </c>
      <c r="AN1482" s="626"/>
      <c r="AO1482" s="182"/>
      <c r="AP1482" s="182"/>
      <c r="AQ1482" s="332" t="str">
        <f>UPPER(RIGHT(Journal_Live[[#This Row],[DURATION ]]))</f>
        <v/>
      </c>
      <c r="AR1482" s="182"/>
      <c r="AS1482" s="189"/>
      <c r="AT1482" s="189"/>
      <c r="AU1482" s="187"/>
      <c r="AV1482" s="190"/>
      <c r="AW1482" s="191"/>
      <c r="AX1482" s="407" t="s">
        <v>5099</v>
      </c>
      <c r="AY1482" s="407"/>
      <c r="AZ1482" s="407"/>
      <c r="BA1482" s="407"/>
      <c r="BB1482" s="407"/>
      <c r="BC1482" s="407"/>
      <c r="BD1482" s="407"/>
      <c r="BE1482" s="407"/>
      <c r="BF1482" s="422"/>
      <c r="BG1482" s="391">
        <f>SUM($AV$1389:AV1482)</f>
        <v>735.9965882795608</v>
      </c>
      <c r="BH1482" s="392">
        <f>SUM($AU$1389:AU1482)</f>
        <v>5004.3999999999623</v>
      </c>
      <c r="BI1482" s="318">
        <f>SUMIFS($AU$1388:AU1483,$Q$1388:Q1483,"F")</f>
        <v>2486.4</v>
      </c>
      <c r="BJ1482" s="318">
        <f>SUMIFS($AU$1388:AU1483,$Q$1388:Q1483,"S")</f>
        <v>1776.0000000000018</v>
      </c>
      <c r="BK1482" s="343">
        <f>SUMIFS($AU$1388:AU1483,$P$1388:P1483,"W")</f>
        <v>2582.4000000000015</v>
      </c>
      <c r="BL1482" s="343">
        <f>SUMIFS($AU$1388:AU1483,$P$1388:P1483,"R")</f>
        <v>1920.0000000000002</v>
      </c>
      <c r="BM1482" s="343">
        <f>SUMIFS($AU$1388:AU1483,$AQ$1388:AQ1483,"M")</f>
        <v>1381.9999999999607</v>
      </c>
      <c r="BN1482" s="343">
        <f>SUMIFS($AU$1388:AU1483,$AQ$1388:AQ1483,"H")</f>
        <v>704.00000000000102</v>
      </c>
      <c r="BO1482" s="343">
        <f>SUMIFS($AU$1388:AU1483,$AQ$1388:AQ1483,"D")</f>
        <v>1504.0000000000005</v>
      </c>
      <c r="BP1482" s="343">
        <f>SUMIFS($AU$1388:AU1485,$AQ$1388:AQ1485,"W")</f>
        <v>1414.3999999999999</v>
      </c>
      <c r="BQ1482" s="343">
        <f>SUMIFS($AU$1388:AU1483,$Q$1388:Q1483,"O")</f>
        <v>405.99999999996044</v>
      </c>
      <c r="BR1482" s="343">
        <f>SUMIFS($AU$1388:AU1483,$AA$1388:AA1483,"*")</f>
        <v>4988.3999999999623</v>
      </c>
      <c r="BS1482" s="343">
        <f>SUMIFS($AU$1388:AU1483,$AB$1388:AB1483,"*")</f>
        <v>639.99999999999943</v>
      </c>
      <c r="BT1482" s="343">
        <f>SUMIFS($AU$1388:AU1483,$AC$1388:AC1483,"*")</f>
        <v>1782.3999999999999</v>
      </c>
      <c r="BU1482" s="343">
        <f>SUMIFS($AU$1388:AU1483,$AA$1388:AA1483,"*",$AB$1388:AB1483,"*")</f>
        <v>367.9999999999996</v>
      </c>
      <c r="BV1482" s="343">
        <f>SUMIFS($AU$1388:AU1483,$AA$1388:AA1483,"*",$AC$1388:AC1483,"*")</f>
        <v>2038.3999999999999</v>
      </c>
      <c r="BW1482" s="343">
        <f>SUMIFS($AU$1388:AU1483,$AB$1388:AB1483,"*",$AC$1388:AC1483,"*")</f>
        <v>272.00000000000006</v>
      </c>
      <c r="BX1482" s="343">
        <f>SUMIFS($AV$1388:AV1483,$Q$1388:Q1483,"F")</f>
        <v>100.11428571428571</v>
      </c>
      <c r="BY1482" s="343">
        <f>SUMIFS($AV$1388:AV1483,$Q$1388:Q1483,"S")</f>
        <v>144.88230256529496</v>
      </c>
      <c r="BZ1482" s="343">
        <f>SUMIFS($AV$1388:AV1483,$Q$1388:Q1483,"O")</f>
        <v>202.99999999998022</v>
      </c>
    </row>
    <row r="1483" spans="1:78" ht="15.75" customHeight="1">
      <c r="A1483" s="177" t="s">
        <v>4824</v>
      </c>
      <c r="B1483" s="200">
        <v>45320</v>
      </c>
      <c r="C1483" s="178" t="s">
        <v>5100</v>
      </c>
      <c r="D1483" s="178" t="s">
        <v>132</v>
      </c>
      <c r="E1483" s="227"/>
      <c r="F1483" s="180"/>
      <c r="G1483" s="281" t="s">
        <v>2991</v>
      </c>
      <c r="H1483" s="182"/>
      <c r="I1483" s="182"/>
      <c r="J1483" s="182"/>
      <c r="K1483" s="183"/>
      <c r="L1483" s="182">
        <v>1</v>
      </c>
      <c r="M1483" s="182"/>
      <c r="N1483" s="182"/>
      <c r="O1483" s="183" t="s">
        <v>95</v>
      </c>
      <c r="P1483" s="183" t="s">
        <v>96</v>
      </c>
      <c r="Q1483" s="183" t="s">
        <v>97</v>
      </c>
      <c r="R1483" s="183">
        <v>32</v>
      </c>
      <c r="S1483" s="183">
        <v>0</v>
      </c>
      <c r="T1483" s="183">
        <v>32</v>
      </c>
      <c r="U1483" s="183" t="s">
        <v>22</v>
      </c>
      <c r="V1483" s="183"/>
      <c r="W1483" s="183"/>
      <c r="X1483" s="183"/>
      <c r="Y1483" s="184">
        <f>IF(ISBLANK(O1483),"",(IF(O1483=UPPER("IB"),0.005,0.01)))</f>
        <v>0.01</v>
      </c>
      <c r="Z1483" s="185">
        <f>IF(ISBLANK(O1483),"",IF(O1483="IB",8.63*200,IF(O1483="IR",16*100,IF(O1483="YT",20*100,IF(O1483="YT-XT",24*200,IF(O1483="TED",80*100))))))</f>
        <v>1600</v>
      </c>
      <c r="AA1483" s="185" t="s">
        <v>5101</v>
      </c>
      <c r="AB1483" s="185"/>
      <c r="AC1483" s="185"/>
      <c r="AD1483" s="649">
        <v>-0.26</v>
      </c>
      <c r="AE1483" s="182"/>
      <c r="AF1483" s="332"/>
      <c r="AG1483" s="182"/>
      <c r="AH1483" s="182"/>
      <c r="AI1483" s="182"/>
      <c r="AJ1483" s="640"/>
      <c r="AK1483" s="182"/>
      <c r="AL1483" s="496">
        <f t="shared" si="416"/>
        <v>-32</v>
      </c>
      <c r="AM1483" s="496">
        <f t="shared" si="408"/>
        <v>-1024</v>
      </c>
      <c r="AN1483" s="626"/>
      <c r="AO1483" s="182"/>
      <c r="AP1483" s="182" t="s">
        <v>1084</v>
      </c>
      <c r="AQ1483" s="332" t="s">
        <v>372</v>
      </c>
      <c r="AR1483" s="182" t="s">
        <v>5102</v>
      </c>
      <c r="AS1483" s="189">
        <v>-0.26</v>
      </c>
      <c r="AT1483" s="189">
        <f>IF(ISBLANK(AS1483),,IF(U1483="S",AD1483-AS1483,AS1483-AD1483))</f>
        <v>0</v>
      </c>
      <c r="AU1483" s="187">
        <f>AV1483*R1483</f>
        <v>0</v>
      </c>
      <c r="AV1483" s="190">
        <f>IF(ISBLANK(AS1483),,(AT1483*Z1483))</f>
        <v>0</v>
      </c>
      <c r="AW1483" s="191" t="s">
        <v>115</v>
      </c>
      <c r="AX1483" s="407"/>
      <c r="AY1483" s="407"/>
      <c r="AZ1483" s="407"/>
      <c r="BA1483" s="407"/>
      <c r="BB1483" s="407"/>
      <c r="BC1483" s="407"/>
      <c r="BD1483" s="407"/>
      <c r="BE1483" s="407"/>
      <c r="BF1483" s="422"/>
      <c r="BG1483" s="391">
        <f>SUM($AV$1389:AV1483)</f>
        <v>735.9965882795608</v>
      </c>
      <c r="BH1483" s="392">
        <f>SUM($AU$1389:AU1483)</f>
        <v>5004.3999999999623</v>
      </c>
      <c r="BI1483" s="318">
        <f>SUMIFS($AU$1388:AU1484,$Q$1388:Q1484,"F")</f>
        <v>2486.4</v>
      </c>
      <c r="BJ1483" s="318">
        <f>SUMIFS($AU$1388:AU1484,$Q$1388:Q1484,"S")</f>
        <v>1776.0000000000018</v>
      </c>
      <c r="BK1483" s="343">
        <f>SUMIFS($AU$1388:AU1484,$P$1388:P1484,"W")</f>
        <v>2582.4000000000015</v>
      </c>
      <c r="BL1483" s="343">
        <f>SUMIFS($AU$1388:AU1484,$P$1388:P1484,"R")</f>
        <v>1920.0000000000002</v>
      </c>
      <c r="BM1483" s="343">
        <f>SUMIFS($AU$1388:AU1484,$AQ$1388:AQ1484,"M")</f>
        <v>1381.9999999999607</v>
      </c>
      <c r="BN1483" s="343">
        <f>SUMIFS($AU$1388:AU1484,$AQ$1388:AQ1484,"H")</f>
        <v>704.00000000000102</v>
      </c>
      <c r="BO1483" s="343">
        <f>SUMIFS($AU$1388:AU1484,$AQ$1388:AQ1484,"D")</f>
        <v>1504.0000000000005</v>
      </c>
      <c r="BP1483" s="343">
        <f>SUMIFS($AU$1388:AU1486,$AQ$1388:AQ1486,"W")</f>
        <v>1414.3999999999999</v>
      </c>
      <c r="BQ1483" s="343">
        <f>SUMIFS($AU$1388:AU1484,$Q$1388:Q1484,"O")</f>
        <v>405.99999999996044</v>
      </c>
      <c r="BR1483" s="343">
        <f>SUMIFS($AU$1388:AU1484,$AA$1388:AA1484,"*")</f>
        <v>4988.3999999999623</v>
      </c>
      <c r="BS1483" s="343">
        <f>SUMIFS($AU$1388:AU1484,$AB$1388:AB1484,"*")</f>
        <v>639.99999999999943</v>
      </c>
      <c r="BT1483" s="343">
        <f>SUMIFS($AU$1388:AU1484,$AC$1388:AC1484,"*")</f>
        <v>1782.3999999999999</v>
      </c>
      <c r="BU1483" s="343">
        <f>SUMIFS($AU$1388:AU1484,$AA$1388:AA1484,"*",$AB$1388:AB1484,"*")</f>
        <v>367.9999999999996</v>
      </c>
      <c r="BV1483" s="343">
        <f>SUMIFS($AU$1388:AU1484,$AA$1388:AA1484,"*",$AC$1388:AC1484,"*")</f>
        <v>2038.3999999999999</v>
      </c>
      <c r="BW1483" s="343">
        <f>SUMIFS($AU$1388:AU1484,$AB$1388:AB1484,"*",$AC$1388:AC1484,"*")</f>
        <v>272.00000000000006</v>
      </c>
      <c r="BX1483" s="343">
        <f>SUMIFS($AV$1388:AV1484,$Q$1388:Q1484,"F")</f>
        <v>100.11428571428571</v>
      </c>
      <c r="BY1483" s="343">
        <f>SUMIFS($AV$1388:AV1484,$Q$1388:Q1484,"S")</f>
        <v>144.88230256529496</v>
      </c>
      <c r="BZ1483" s="343">
        <f>SUMIFS($AV$1388:AV1484,$Q$1388:Q1484,"O")</f>
        <v>202.99999999998022</v>
      </c>
    </row>
    <row r="1484" spans="1:78" ht="15.75" customHeight="1">
      <c r="A1484" s="177" t="s">
        <v>4824</v>
      </c>
      <c r="B1484" s="200">
        <v>45321</v>
      </c>
      <c r="C1484" s="178" t="s">
        <v>1255</v>
      </c>
      <c r="D1484" s="178" t="s">
        <v>146</v>
      </c>
      <c r="E1484" s="227" t="s">
        <v>5103</v>
      </c>
      <c r="F1484" s="180"/>
      <c r="G1484" s="181"/>
      <c r="H1484" s="182"/>
      <c r="I1484" s="182"/>
      <c r="J1484" s="182">
        <v>1</v>
      </c>
      <c r="K1484" s="183" t="s">
        <v>115</v>
      </c>
      <c r="L1484" s="182"/>
      <c r="M1484" s="182"/>
      <c r="N1484" s="182"/>
      <c r="O1484" s="183"/>
      <c r="P1484" s="183"/>
      <c r="Q1484" s="183"/>
      <c r="R1484" s="183"/>
      <c r="S1484" s="183"/>
      <c r="T1484" s="183"/>
      <c r="U1484" s="183"/>
      <c r="V1484" s="183"/>
      <c r="W1484" s="183"/>
      <c r="X1484" s="183"/>
      <c r="Y1484" s="183"/>
      <c r="Z1484" s="183"/>
      <c r="AA1484" s="185"/>
      <c r="AB1484" s="185"/>
      <c r="AC1484" s="185"/>
      <c r="AD1484" s="649"/>
      <c r="AE1484" s="182"/>
      <c r="AF1484" s="332"/>
      <c r="AG1484" s="182"/>
      <c r="AH1484" s="182"/>
      <c r="AI1484" s="182"/>
      <c r="AJ1484" s="640"/>
      <c r="AK1484" s="182"/>
      <c r="AL1484" s="496">
        <f t="shared" si="416"/>
        <v>0</v>
      </c>
      <c r="AM1484" s="496">
        <f t="shared" si="408"/>
        <v>0</v>
      </c>
      <c r="AN1484" s="626"/>
      <c r="AO1484" s="182"/>
      <c r="AP1484" s="182"/>
      <c r="AQ1484" s="332" t="str">
        <f>UPPER(RIGHT(Journal_Live[[#This Row],[DURATION ]]))</f>
        <v/>
      </c>
      <c r="AR1484" s="182"/>
      <c r="AS1484" s="189"/>
      <c r="AT1484" s="189"/>
      <c r="AU1484" s="187"/>
      <c r="AV1484" s="190"/>
      <c r="AW1484" s="191"/>
      <c r="AX1484" s="407"/>
      <c r="AY1484" s="407"/>
      <c r="AZ1484" s="407"/>
      <c r="BA1484" s="407"/>
      <c r="BB1484" s="407"/>
      <c r="BC1484" s="407"/>
      <c r="BD1484" s="407"/>
      <c r="BE1484" s="407"/>
      <c r="BF1484" s="422"/>
      <c r="BG1484" s="391">
        <f>SUM($AV$1389:AV1484)</f>
        <v>735.9965882795608</v>
      </c>
      <c r="BH1484" s="392">
        <f>SUM($AU$1389:AU1484)</f>
        <v>5004.3999999999623</v>
      </c>
      <c r="BI1484" s="318">
        <f>SUMIFS($AU$1388:AU1485,$Q$1388:Q1485,"F")</f>
        <v>2486.4</v>
      </c>
      <c r="BJ1484" s="318">
        <f>SUMIFS($AU$1388:AU1485,$Q$1388:Q1485,"S")</f>
        <v>1776.0000000000018</v>
      </c>
      <c r="BK1484" s="343">
        <f>SUMIFS($AU$1388:AU1485,$P$1388:P1485,"W")</f>
        <v>2582.4000000000015</v>
      </c>
      <c r="BL1484" s="343">
        <f>SUMIFS($AU$1388:AU1485,$P$1388:P1485,"R")</f>
        <v>2000.0000000000002</v>
      </c>
      <c r="BM1484" s="343">
        <f>SUMIFS($AU$1388:AU1485,$AQ$1388:AQ1485,"M")</f>
        <v>1381.9999999999607</v>
      </c>
      <c r="BN1484" s="343">
        <f>SUMIFS($AU$1388:AU1485,$AQ$1388:AQ1485,"H")</f>
        <v>784.00000000000102</v>
      </c>
      <c r="BO1484" s="343">
        <f>SUMIFS($AU$1388:AU1485,$AQ$1388:AQ1485,"D")</f>
        <v>1504.0000000000005</v>
      </c>
      <c r="BP1484" s="343">
        <f>SUMIFS($AU$1388:AU1487,$AQ$1388:AQ1487,"W")</f>
        <v>1414.3999999999999</v>
      </c>
      <c r="BQ1484" s="343">
        <f>SUMIFS($AU$1388:AU1485,$Q$1388:Q1485,"O")</f>
        <v>405.99999999996044</v>
      </c>
      <c r="BR1484" s="343">
        <f>SUMIFS($AU$1388:AU1485,$AA$1388:AA1485,"*")</f>
        <v>5068.3999999999623</v>
      </c>
      <c r="BS1484" s="343">
        <f>SUMIFS($AU$1388:AU1485,$AB$1388:AB1485,"*")</f>
        <v>639.99999999999943</v>
      </c>
      <c r="BT1484" s="343">
        <f>SUMIFS($AU$1388:AU1485,$AC$1388:AC1485,"*")</f>
        <v>1782.3999999999999</v>
      </c>
      <c r="BU1484" s="343">
        <f>SUMIFS($AU$1388:AU1485,$AA$1388:AA1485,"*",$AB$1388:AB1485,"*")</f>
        <v>367.9999999999996</v>
      </c>
      <c r="BV1484" s="343">
        <f>SUMIFS($AU$1388:AU1485,$AA$1388:AA1485,"*",$AC$1388:AC1485,"*")</f>
        <v>2038.3999999999999</v>
      </c>
      <c r="BW1484" s="343">
        <f>SUMIFS($AU$1388:AU1485,$AB$1388:AB1485,"*",$AC$1388:AC1485,"*")</f>
        <v>272.00000000000006</v>
      </c>
      <c r="BX1484" s="343">
        <f>SUMIFS($AV$1388:AV1485,$Q$1388:Q1485,"F")</f>
        <v>100.11428571428571</v>
      </c>
      <c r="BY1484" s="343">
        <f>SUMIFS($AV$1388:AV1485,$Q$1388:Q1485,"S")</f>
        <v>144.88230256529496</v>
      </c>
      <c r="BZ1484" s="343">
        <f>SUMIFS($AV$1388:AV1485,$Q$1388:Q1485,"O")</f>
        <v>202.99999999998022</v>
      </c>
    </row>
    <row r="1485" spans="1:78" ht="15.75" customHeight="1">
      <c r="A1485" s="177" t="s">
        <v>4824</v>
      </c>
      <c r="B1485" s="200">
        <v>45321</v>
      </c>
      <c r="C1485" s="178" t="s">
        <v>682</v>
      </c>
      <c r="D1485" s="178" t="s">
        <v>146</v>
      </c>
      <c r="E1485" s="227"/>
      <c r="F1485" s="180"/>
      <c r="G1485" s="281" t="s">
        <v>5025</v>
      </c>
      <c r="H1485" s="182"/>
      <c r="I1485" s="182"/>
      <c r="J1485" s="182"/>
      <c r="K1485" s="183"/>
      <c r="L1485" s="182">
        <v>1</v>
      </c>
      <c r="M1485" s="182"/>
      <c r="N1485" s="182"/>
      <c r="O1485" s="183" t="s">
        <v>2652</v>
      </c>
      <c r="P1485" s="183" t="s">
        <v>137</v>
      </c>
      <c r="Q1485" s="183"/>
      <c r="R1485" s="183">
        <v>1</v>
      </c>
      <c r="S1485" s="183">
        <v>0</v>
      </c>
      <c r="T1485" s="183">
        <v>1</v>
      </c>
      <c r="U1485" s="183" t="s">
        <v>22</v>
      </c>
      <c r="V1485" s="183"/>
      <c r="W1485" s="183"/>
      <c r="X1485" s="183"/>
      <c r="Y1485" s="184">
        <f>IF(ISBLANK(O1485),"",(IF(O1485=UPPER("IB"),0.005,0.01)))</f>
        <v>0.01</v>
      </c>
      <c r="Z1485" s="185">
        <f>IF(ISBLANK(O1485),"",IF(O1485="IB",8.63*200,IF(O1485="IR",16*100,IF(O1485="YT",20*100,IF(O1485="YT-XT",24*200,IF(O1485="TED",80*100))))))</f>
        <v>8000</v>
      </c>
      <c r="AA1485" s="185" t="s">
        <v>99</v>
      </c>
      <c r="AB1485" s="185"/>
      <c r="AC1485" s="185"/>
      <c r="AD1485" s="649">
        <v>-0.08</v>
      </c>
      <c r="AE1485" s="182"/>
      <c r="AF1485" s="332"/>
      <c r="AG1485" s="182"/>
      <c r="AH1485" s="182"/>
      <c r="AI1485" s="182"/>
      <c r="AJ1485" s="640"/>
      <c r="AK1485" s="182"/>
      <c r="AL1485" s="496">
        <f t="shared" si="412"/>
        <v>-160</v>
      </c>
      <c r="AM1485" s="496">
        <f t="shared" si="408"/>
        <v>-160</v>
      </c>
      <c r="AN1485" s="626"/>
      <c r="AO1485" s="182"/>
      <c r="AP1485" s="182" t="s">
        <v>937</v>
      </c>
      <c r="AQ1485" s="332" t="s">
        <v>372</v>
      </c>
      <c r="AR1485" s="182" t="s">
        <v>4116</v>
      </c>
      <c r="AS1485" s="189">
        <v>-7.0000000000000007E-2</v>
      </c>
      <c r="AT1485" s="189">
        <f>IF(ISBLANK(AS1485),,IF(U1485="S",AD1485-AS1485,AS1485-AD1485))</f>
        <v>9.999999999999995E-3</v>
      </c>
      <c r="AU1485" s="187">
        <f>AV1485*R1485</f>
        <v>79.999999999999957</v>
      </c>
      <c r="AV1485" s="190">
        <f>IF(ISBLANK(AS1485),,(AT1485*Z1485))</f>
        <v>79.999999999999957</v>
      </c>
      <c r="AW1485" s="191" t="s">
        <v>96</v>
      </c>
      <c r="AX1485" s="407" t="s">
        <v>5104</v>
      </c>
      <c r="AY1485" s="407"/>
      <c r="AZ1485" s="407"/>
      <c r="BA1485" s="407"/>
      <c r="BB1485" s="407"/>
      <c r="BC1485" s="407"/>
      <c r="BD1485" s="407"/>
      <c r="BE1485" s="407"/>
      <c r="BF1485" s="422"/>
      <c r="BG1485" s="391">
        <f>SUM($AV$1389:AV1485)</f>
        <v>815.9965882795608</v>
      </c>
      <c r="BH1485" s="392">
        <f>SUM($AU$1389:AU1485)</f>
        <v>5084.3999999999623</v>
      </c>
      <c r="BI1485" s="318">
        <f>SUMIFS($AU$1388:AU1486,$Q$1388:Q1486,"F")</f>
        <v>2486.4</v>
      </c>
      <c r="BJ1485" s="318">
        <f>SUMIFS($AU$1388:AU1486,$Q$1388:Q1486,"S")</f>
        <v>1776.0000000000018</v>
      </c>
      <c r="BK1485" s="343">
        <f>SUMIFS($AU$1388:AU1486,$P$1388:P1486,"W")</f>
        <v>2582.4000000000015</v>
      </c>
      <c r="BL1485" s="343">
        <f>SUMIFS($AU$1388:AU1486,$P$1388:P1486,"R")</f>
        <v>2000.0000000000002</v>
      </c>
      <c r="BM1485" s="343">
        <f>SUMIFS($AU$1388:AU1486,$AQ$1388:AQ1486,"M")</f>
        <v>1341.9999999999686</v>
      </c>
      <c r="BN1485" s="343">
        <f>SUMIFS($AU$1388:AU1486,$AQ$1388:AQ1486,"H")</f>
        <v>784.00000000000102</v>
      </c>
      <c r="BO1485" s="343">
        <f>SUMIFS($AU$1388:AU1486,$AQ$1388:AQ1486,"D")</f>
        <v>1504.0000000000005</v>
      </c>
      <c r="BP1485" s="343">
        <f>SUMIFS($AU$1388:AU1488,$AQ$1388:AQ1488,"W")</f>
        <v>1414.3999999999999</v>
      </c>
      <c r="BQ1485" s="343">
        <f>SUMIFS($AU$1388:AU1486,$Q$1388:Q1486,"O")</f>
        <v>405.99999999996044</v>
      </c>
      <c r="BR1485" s="343">
        <f>SUMIFS($AU$1388:AU1486,$AA$1388:AA1486,"*")</f>
        <v>5028.3999999999705</v>
      </c>
      <c r="BS1485" s="343">
        <f>SUMIFS($AU$1388:AU1486,$AB$1388:AB1486,"*")</f>
        <v>639.99999999999943</v>
      </c>
      <c r="BT1485" s="343">
        <f>SUMIFS($AU$1388:AU1486,$AC$1388:AC1486,"*")</f>
        <v>1782.3999999999999</v>
      </c>
      <c r="BU1485" s="343">
        <f>SUMIFS($AU$1388:AU1486,$AA$1388:AA1486,"*",$AB$1388:AB1486,"*")</f>
        <v>367.9999999999996</v>
      </c>
      <c r="BV1485" s="343">
        <f>SUMIFS($AU$1388:AU1486,$AA$1388:AA1486,"*",$AC$1388:AC1486,"*")</f>
        <v>2038.3999999999999</v>
      </c>
      <c r="BW1485" s="343">
        <f>SUMIFS($AU$1388:AU1486,$AB$1388:AB1486,"*",$AC$1388:AC1486,"*")</f>
        <v>272.00000000000006</v>
      </c>
      <c r="BX1485" s="343">
        <f>SUMIFS($AV$1388:AV1486,$Q$1388:Q1486,"F")</f>
        <v>100.11428571428571</v>
      </c>
      <c r="BY1485" s="343">
        <f>SUMIFS($AV$1388:AV1486,$Q$1388:Q1486,"S")</f>
        <v>144.88230256529496</v>
      </c>
      <c r="BZ1485" s="343">
        <f>SUMIFS($AV$1388:AV1486,$Q$1388:Q1486,"O")</f>
        <v>202.99999999998022</v>
      </c>
    </row>
    <row r="1486" spans="1:78" ht="15.75" customHeight="1">
      <c r="A1486" s="177" t="s">
        <v>4824</v>
      </c>
      <c r="B1486" s="200">
        <v>45321</v>
      </c>
      <c r="C1486" s="178" t="s">
        <v>682</v>
      </c>
      <c r="D1486" s="178" t="s">
        <v>146</v>
      </c>
      <c r="E1486" s="227"/>
      <c r="F1486" s="180"/>
      <c r="G1486" s="281" t="s">
        <v>5105</v>
      </c>
      <c r="H1486" s="182"/>
      <c r="I1486" s="182"/>
      <c r="J1486" s="182"/>
      <c r="K1486" s="183"/>
      <c r="L1486" s="182">
        <v>1</v>
      </c>
      <c r="M1486" s="182"/>
      <c r="N1486" s="182"/>
      <c r="O1486" s="183" t="s">
        <v>2432</v>
      </c>
      <c r="P1486" s="183" t="s">
        <v>2260</v>
      </c>
      <c r="Q1486" s="183"/>
      <c r="R1486" s="183">
        <v>1</v>
      </c>
      <c r="S1486" s="183">
        <v>0</v>
      </c>
      <c r="T1486" s="183">
        <v>1</v>
      </c>
      <c r="U1486" s="183" t="s">
        <v>22</v>
      </c>
      <c r="V1486" s="183"/>
      <c r="W1486" s="183"/>
      <c r="X1486" s="183"/>
      <c r="Y1486" s="184">
        <f>IF(ISBLANK(O1486),"",(IF(O1486=UPPER("IB"),0.005,0.01)))</f>
        <v>0.01</v>
      </c>
      <c r="Z1486" s="185">
        <f>IF(ISBLANK(O1486),"",IF(O1486="IB",8.63*200,IF(O1486="IR",16*100,IF(O1486="YT",20*100,IF(O1486="YT-XT",24*200,IF(O1486="TED",80*100,IF(O1486="XT",29*200)))))))</f>
        <v>2000</v>
      </c>
      <c r="AA1486" s="185" t="s">
        <v>395</v>
      </c>
      <c r="AB1486" s="185"/>
      <c r="AC1486" s="185"/>
      <c r="AD1486" s="649">
        <v>96.31</v>
      </c>
      <c r="AE1486" s="182"/>
      <c r="AF1486" s="332"/>
      <c r="AG1486" s="182"/>
      <c r="AH1486" s="182"/>
      <c r="AI1486" s="182"/>
      <c r="AJ1486" s="640"/>
      <c r="AK1486" s="182"/>
      <c r="AL1486" s="496">
        <f t="shared" si="411"/>
        <v>-40</v>
      </c>
      <c r="AM1486" s="496">
        <f t="shared" si="408"/>
        <v>-40</v>
      </c>
      <c r="AN1486" s="626"/>
      <c r="AO1486" s="182"/>
      <c r="AP1486" s="182"/>
      <c r="AQ1486" s="332" t="s">
        <v>1259</v>
      </c>
      <c r="AR1486" s="182" t="s">
        <v>682</v>
      </c>
      <c r="AS1486" s="189">
        <v>96.29</v>
      </c>
      <c r="AT1486" s="189">
        <f>IF(ISBLANK(AS1486),,IF(U1486="S",AD1486-AS1486,AS1486-AD1486))</f>
        <v>-1.9999999999996021E-2</v>
      </c>
      <c r="AU1486" s="187">
        <f>AV1486*R1486</f>
        <v>-39.999999999992042</v>
      </c>
      <c r="AV1486" s="190">
        <f>IF(ISBLANK(AS1486),,(AT1486*Z1486))</f>
        <v>-39.999999999992042</v>
      </c>
      <c r="AW1486" s="191" t="s">
        <v>229</v>
      </c>
      <c r="AX1486" s="407" t="s">
        <v>5106</v>
      </c>
      <c r="AY1486" s="407"/>
      <c r="AZ1486" s="407"/>
      <c r="BA1486" s="407"/>
      <c r="BB1486" s="407"/>
      <c r="BC1486" s="407"/>
      <c r="BD1486" s="407"/>
      <c r="BE1486" s="407"/>
      <c r="BF1486" s="422"/>
      <c r="BG1486" s="391">
        <f>SUM($AV$1389:AV1486)</f>
        <v>775.99658827956875</v>
      </c>
      <c r="BH1486" s="392">
        <f>SUM($AU$1389:AU1486)</f>
        <v>5044.3999999999705</v>
      </c>
      <c r="BI1486" s="318">
        <f>SUMIFS($AU$1388:AU1487,$Q$1388:Q1487,"F")</f>
        <v>2486.4</v>
      </c>
      <c r="BJ1486" s="318">
        <f>SUMIFS($AU$1388:AU1487,$Q$1388:Q1487,"S")</f>
        <v>1776.0000000000018</v>
      </c>
      <c r="BK1486" s="343">
        <f>SUMIFS($AU$1388:AU1487,$P$1388:P1487,"W")</f>
        <v>2582.4000000000015</v>
      </c>
      <c r="BL1486" s="343">
        <f>SUMIFS($AU$1388:AU1487,$P$1388:P1487,"R")</f>
        <v>2000.0000000000002</v>
      </c>
      <c r="BM1486" s="343">
        <f>SUMIFS($AU$1388:AU1487,$AQ$1388:AQ1487,"M")</f>
        <v>1341.9999999999686</v>
      </c>
      <c r="BN1486" s="343">
        <f>SUMIFS($AU$1388:AU1487,$AQ$1388:AQ1487,"H")</f>
        <v>784.00000000000102</v>
      </c>
      <c r="BO1486" s="343">
        <f>SUMIFS($AU$1388:AU1487,$AQ$1388:AQ1487,"D")</f>
        <v>1504.0000000000005</v>
      </c>
      <c r="BP1486" s="343">
        <f>SUMIFS($AU$1388:AU1489,$AQ$1388:AQ1489,"W")</f>
        <v>1414.3999999999999</v>
      </c>
      <c r="BQ1486" s="343">
        <f>SUMIFS($AU$1388:AU1487,$Q$1388:Q1487,"O")</f>
        <v>405.99999999996044</v>
      </c>
      <c r="BR1486" s="343">
        <f>SUMIFS($AU$1388:AU1487,$AA$1388:AA1487,"*")</f>
        <v>5028.3999999999705</v>
      </c>
      <c r="BS1486" s="343">
        <f>SUMIFS($AU$1388:AU1487,$AB$1388:AB1487,"*")</f>
        <v>639.99999999999943</v>
      </c>
      <c r="BT1486" s="343">
        <f>SUMIFS($AU$1388:AU1487,$AC$1388:AC1487,"*")</f>
        <v>1782.3999999999999</v>
      </c>
      <c r="BU1486" s="343">
        <f>SUMIFS($AU$1388:AU1487,$AA$1388:AA1487,"*",$AB$1388:AB1487,"*")</f>
        <v>367.9999999999996</v>
      </c>
      <c r="BV1486" s="343">
        <f>SUMIFS($AU$1388:AU1487,$AA$1388:AA1487,"*",$AC$1388:AC1487,"*")</f>
        <v>2038.3999999999999</v>
      </c>
      <c r="BW1486" s="343">
        <f>SUMIFS($AU$1388:AU1487,$AB$1388:AB1487,"*",$AC$1388:AC1487,"*")</f>
        <v>272.00000000000006</v>
      </c>
      <c r="BX1486" s="343">
        <f>SUMIFS($AV$1388:AV1487,$Q$1388:Q1487,"F")</f>
        <v>100.11428571428571</v>
      </c>
      <c r="BY1486" s="343">
        <f>SUMIFS($AV$1388:AV1487,$Q$1388:Q1487,"S")</f>
        <v>144.88230256529496</v>
      </c>
      <c r="BZ1486" s="343">
        <f>SUMIFS($AV$1388:AV1487,$Q$1388:Q1487,"O")</f>
        <v>202.99999999998022</v>
      </c>
    </row>
    <row r="1487" spans="1:78" ht="15.75" customHeight="1">
      <c r="A1487" s="177" t="s">
        <v>4824</v>
      </c>
      <c r="B1487" s="200">
        <v>45321</v>
      </c>
      <c r="C1487" s="178" t="s">
        <v>3342</v>
      </c>
      <c r="D1487" s="178" t="s">
        <v>146</v>
      </c>
      <c r="E1487" s="227"/>
      <c r="F1487" s="180"/>
      <c r="G1487" s="181" t="s">
        <v>2942</v>
      </c>
      <c r="H1487" s="182"/>
      <c r="I1487" s="182"/>
      <c r="J1487" s="182"/>
      <c r="K1487" s="183"/>
      <c r="L1487" s="182"/>
      <c r="M1487" s="182"/>
      <c r="N1487" s="182"/>
      <c r="O1487" s="183"/>
      <c r="P1487" s="183"/>
      <c r="Q1487" s="183"/>
      <c r="R1487" s="183"/>
      <c r="S1487" s="183"/>
      <c r="T1487" s="183"/>
      <c r="U1487" s="183"/>
      <c r="V1487" s="183"/>
      <c r="W1487" s="183"/>
      <c r="X1487" s="183"/>
      <c r="Y1487" s="184"/>
      <c r="Z1487" s="185"/>
      <c r="AA1487" s="185"/>
      <c r="AB1487" s="185"/>
      <c r="AC1487" s="185"/>
      <c r="AD1487" s="649"/>
      <c r="AE1487" s="182"/>
      <c r="AF1487" s="332"/>
      <c r="AG1487" s="182"/>
      <c r="AH1487" s="182"/>
      <c r="AI1487" s="182"/>
      <c r="AJ1487" s="640"/>
      <c r="AK1487" s="182"/>
      <c r="AL1487" s="496">
        <f t="shared" si="411"/>
        <v>0</v>
      </c>
      <c r="AM1487" s="496">
        <f t="shared" si="408"/>
        <v>0</v>
      </c>
      <c r="AN1487" s="626"/>
      <c r="AO1487" s="182"/>
      <c r="AP1487" s="182"/>
      <c r="AQ1487" s="332" t="str">
        <f>UPPER(RIGHT(Journal_Live[[#This Row],[DURATION ]]))</f>
        <v/>
      </c>
      <c r="AR1487" s="182"/>
      <c r="AS1487" s="189"/>
      <c r="AT1487" s="189"/>
      <c r="AU1487" s="187"/>
      <c r="AV1487" s="190"/>
      <c r="AW1487" s="191"/>
      <c r="AX1487" s="407"/>
      <c r="AY1487" s="407"/>
      <c r="AZ1487" s="407"/>
      <c r="BA1487" s="407"/>
      <c r="BB1487" s="407"/>
      <c r="BC1487" s="407"/>
      <c r="BD1487" s="407"/>
      <c r="BE1487" s="407"/>
      <c r="BF1487" s="422"/>
      <c r="BG1487" s="391">
        <f>SUM($AV$1389:AV1487)</f>
        <v>775.99658827956875</v>
      </c>
      <c r="BH1487" s="392">
        <f>SUM($AU$1389:AU1487)</f>
        <v>5044.3999999999705</v>
      </c>
      <c r="BI1487" s="318">
        <f>SUMIFS($AU$1388:AU1488,$Q$1388:Q1488,"F")</f>
        <v>2486.4</v>
      </c>
      <c r="BJ1487" s="318">
        <f>SUMIFS($AU$1388:AU1488,$Q$1388:Q1488,"S")</f>
        <v>1776.0000000000018</v>
      </c>
      <c r="BK1487" s="343">
        <f>SUMIFS($AU$1388:AU1488,$P$1388:P1488,"W")</f>
        <v>2582.4000000000015</v>
      </c>
      <c r="BL1487" s="343">
        <f>SUMIFS($AU$1388:AU1488,$P$1388:P1488,"R")</f>
        <v>2000.0000000000002</v>
      </c>
      <c r="BM1487" s="343">
        <f>SUMIFS($AU$1388:AU1488,$AQ$1388:AQ1488,"M")</f>
        <v>1341.9999999999686</v>
      </c>
      <c r="BN1487" s="343">
        <f>SUMIFS($AU$1388:AU1488,$AQ$1388:AQ1488,"H")</f>
        <v>784.00000000000102</v>
      </c>
      <c r="BO1487" s="343">
        <f>SUMIFS($AU$1388:AU1488,$AQ$1388:AQ1488,"D")</f>
        <v>1504.0000000000005</v>
      </c>
      <c r="BP1487" s="343">
        <f>SUMIFS($AU$1388:AU1490,$AQ$1388:AQ1490,"W")</f>
        <v>1414.3999999999999</v>
      </c>
      <c r="BQ1487" s="343">
        <f>SUMIFS($AU$1388:AU1488,$Q$1388:Q1488,"O")</f>
        <v>405.99999999996044</v>
      </c>
      <c r="BR1487" s="343">
        <f>SUMIFS($AU$1388:AU1488,$AA$1388:AA1488,"*")</f>
        <v>5028.3999999999705</v>
      </c>
      <c r="BS1487" s="343">
        <f>SUMIFS($AU$1388:AU1488,$AB$1388:AB1488,"*")</f>
        <v>639.99999999999943</v>
      </c>
      <c r="BT1487" s="343">
        <f>SUMIFS($AU$1388:AU1488,$AC$1388:AC1488,"*")</f>
        <v>1782.3999999999999</v>
      </c>
      <c r="BU1487" s="343">
        <f>SUMIFS($AU$1388:AU1488,$AA$1388:AA1488,"*",$AB$1388:AB1488,"*")</f>
        <v>367.9999999999996</v>
      </c>
      <c r="BV1487" s="343">
        <f>SUMIFS($AU$1388:AU1488,$AA$1388:AA1488,"*",$AC$1388:AC1488,"*")</f>
        <v>2038.3999999999999</v>
      </c>
      <c r="BW1487" s="343">
        <f>SUMIFS($AU$1388:AU1488,$AB$1388:AB1488,"*",$AC$1388:AC1488,"*")</f>
        <v>272.00000000000006</v>
      </c>
      <c r="BX1487" s="343">
        <f>SUMIFS($AV$1388:AV1488,$Q$1388:Q1488,"F")</f>
        <v>100.11428571428571</v>
      </c>
      <c r="BY1487" s="343">
        <f>SUMIFS($AV$1388:AV1488,$Q$1388:Q1488,"S")</f>
        <v>144.88230256529496</v>
      </c>
      <c r="BZ1487" s="343">
        <f>SUMIFS($AV$1388:AV1488,$Q$1388:Q1488,"O")</f>
        <v>202.99999999998022</v>
      </c>
    </row>
    <row r="1488" spans="1:78" ht="15.75" customHeight="1">
      <c r="A1488" s="177" t="s">
        <v>4824</v>
      </c>
      <c r="B1488" s="200">
        <v>45321</v>
      </c>
      <c r="C1488" s="178" t="s">
        <v>3342</v>
      </c>
      <c r="D1488" s="178" t="s">
        <v>146</v>
      </c>
      <c r="E1488" s="227"/>
      <c r="F1488" s="180"/>
      <c r="G1488" s="181" t="s">
        <v>136</v>
      </c>
      <c r="H1488" s="182"/>
      <c r="I1488" s="182"/>
      <c r="J1488" s="182"/>
      <c r="K1488" s="183"/>
      <c r="L1488" s="182"/>
      <c r="M1488" s="182"/>
      <c r="N1488" s="182"/>
      <c r="O1488" s="183"/>
      <c r="P1488" s="183"/>
      <c r="Q1488" s="183"/>
      <c r="R1488" s="183"/>
      <c r="S1488" s="183"/>
      <c r="T1488" s="183"/>
      <c r="U1488" s="183"/>
      <c r="V1488" s="183"/>
      <c r="W1488" s="183"/>
      <c r="X1488" s="183"/>
      <c r="Y1488" s="184"/>
      <c r="Z1488" s="185"/>
      <c r="AA1488" s="185"/>
      <c r="AB1488" s="185"/>
      <c r="AC1488" s="185"/>
      <c r="AD1488" s="649"/>
      <c r="AE1488" s="182"/>
      <c r="AF1488" s="332"/>
      <c r="AG1488" s="182"/>
      <c r="AH1488" s="182" t="s">
        <v>5107</v>
      </c>
      <c r="AI1488" s="182"/>
      <c r="AJ1488" s="640" t="s">
        <v>5108</v>
      </c>
      <c r="AK1488" s="182"/>
      <c r="AL1488" s="496">
        <f t="shared" si="411"/>
        <v>0</v>
      </c>
      <c r="AM1488" s="496">
        <f t="shared" si="408"/>
        <v>0</v>
      </c>
      <c r="AN1488" s="626"/>
      <c r="AO1488" s="182"/>
      <c r="AP1488" s="182"/>
      <c r="AQ1488" s="332" t="str">
        <f>UPPER(RIGHT(Journal_Live[[#This Row],[DURATION ]]))</f>
        <v/>
      </c>
      <c r="AR1488" s="182"/>
      <c r="AS1488" s="189"/>
      <c r="AT1488" s="189"/>
      <c r="AU1488" s="187"/>
      <c r="AV1488" s="190"/>
      <c r="AW1488" s="191"/>
      <c r="AX1488" s="407"/>
      <c r="AY1488" s="407"/>
      <c r="AZ1488" s="407"/>
      <c r="BA1488" s="407"/>
      <c r="BB1488" s="407"/>
      <c r="BC1488" s="407"/>
      <c r="BD1488" s="407"/>
      <c r="BE1488" s="407"/>
      <c r="BF1488" s="422"/>
      <c r="BG1488" s="391">
        <f>SUM($AV$1389:AV1488)</f>
        <v>775.99658827956875</v>
      </c>
      <c r="BH1488" s="392">
        <f>SUM($AU$1389:AU1488)</f>
        <v>5044.3999999999705</v>
      </c>
      <c r="BI1488" s="318">
        <f>SUMIFS($AU$1388:AU1516,$Q$1388:Q1516,"F")</f>
        <v>4438.3999999999996</v>
      </c>
      <c r="BJ1488" s="318">
        <f>SUMIFS($AU$1388:AU1516,$Q$1388:Q1516,"S")</f>
        <v>4144.0000000000009</v>
      </c>
      <c r="BK1488" s="343">
        <f>SUMIFS($AU$1388:AU1516,$P$1388:P1516,"W")</f>
        <v>6973.5799999999363</v>
      </c>
      <c r="BL1488" s="343">
        <f>SUMIFS($AU$1388:AU1516,$P$1388:P1516,"R")</f>
        <v>2000.0000000000002</v>
      </c>
      <c r="BM1488" s="343">
        <f>SUMIFS($AU$1388:AU1516,$AQ$1388:AQ1516,"M")</f>
        <v>2963.5799999997967</v>
      </c>
      <c r="BN1488" s="343">
        <f>SUMIFS($AU$1388:AU1516,$AQ$1388:AQ1516,"H")</f>
        <v>3599.9999999999991</v>
      </c>
      <c r="BO1488" s="343">
        <f>SUMIFS($AU$1388:AU1516,$AQ$1388:AQ1516,"D")</f>
        <v>1504.0000000000005</v>
      </c>
      <c r="BP1488" s="343">
        <f>SUMIFS($AU$1388:AU1491,$AQ$1388:AQ1491,"W")</f>
        <v>1414.3999999999999</v>
      </c>
      <c r="BQ1488" s="343">
        <f>SUMIFS($AU$1388:AU1516,$Q$1388:Q1516,"O")</f>
        <v>523.57999999978756</v>
      </c>
      <c r="BR1488" s="343">
        <f>SUMIFS($AU$1388:AU1489,$AA$1388:AA1489,"*")</f>
        <v>6980.3999999999705</v>
      </c>
      <c r="BS1488" s="343">
        <f>SUMIFS($AU$1388:AU1489,$AB$1388:AB1489,"*")</f>
        <v>2591.9999999999991</v>
      </c>
      <c r="BT1488" s="343">
        <f>SUMIFS($AU$1388:AU1489,$AC$1388:AC1489,"*")</f>
        <v>3734.3999999999996</v>
      </c>
      <c r="BU1488" s="343">
        <f>SUMIFS($AU$1388:AU1489,$AA$1388:AA1489,"*",$AB$1388:AB1489,"*")</f>
        <v>2319.9999999999991</v>
      </c>
      <c r="BV1488" s="343">
        <f>SUMIFS($AU$1388:AU1489,$AA$1388:AA1489,"*",$AC$1388:AC1489,"*")</f>
        <v>3990.3999999999996</v>
      </c>
      <c r="BW1488" s="343">
        <f>SUMIFS($AU$1388:AU1489,$AB$1388:AB1489,"*",$AC$1388:AC1489,"*")</f>
        <v>2223.9999999999995</v>
      </c>
      <c r="BX1488" s="343">
        <f>SUMIFS($AV$1388:AV1489,$Q$1388:Q1489,"F")</f>
        <v>142.54906832298136</v>
      </c>
      <c r="BY1488" s="343">
        <f>SUMIFS($AV$1388:AV1489,$Q$1388:Q1489,"S")</f>
        <v>144.88230256529496</v>
      </c>
      <c r="BZ1488" s="343">
        <f>SUMIFS($AV$1388:AV1489,$Q$1388:Q1489,"O")</f>
        <v>202.99999999998022</v>
      </c>
    </row>
    <row r="1489" spans="1:78" ht="15.75" customHeight="1">
      <c r="A1489" s="177" t="s">
        <v>4824</v>
      </c>
      <c r="B1489" s="200">
        <v>45321</v>
      </c>
      <c r="C1489" s="178" t="s">
        <v>2440</v>
      </c>
      <c r="D1489" s="178" t="s">
        <v>146</v>
      </c>
      <c r="E1489" s="227"/>
      <c r="F1489" s="180"/>
      <c r="G1489" s="281" t="s">
        <v>5109</v>
      </c>
      <c r="H1489" s="182"/>
      <c r="I1489" s="182"/>
      <c r="J1489" s="182"/>
      <c r="K1489" s="183"/>
      <c r="L1489" s="182">
        <v>1</v>
      </c>
      <c r="M1489" s="182">
        <v>1</v>
      </c>
      <c r="N1489" s="182"/>
      <c r="O1489" s="183" t="s">
        <v>95</v>
      </c>
      <c r="P1489" s="183" t="s">
        <v>96</v>
      </c>
      <c r="Q1489" s="183" t="s">
        <v>256</v>
      </c>
      <c r="R1489" s="183">
        <v>46</v>
      </c>
      <c r="S1489" s="183">
        <v>26</v>
      </c>
      <c r="T1489" s="183">
        <v>32</v>
      </c>
      <c r="U1489" s="183" t="s">
        <v>97</v>
      </c>
      <c r="V1489" s="183"/>
      <c r="W1489" s="183"/>
      <c r="X1489" s="183"/>
      <c r="Y1489" s="184">
        <f>IF(ISBLANK(O1489),"",(IF(O1489=UPPER("IB"),0.005,0.01)))</f>
        <v>0.01</v>
      </c>
      <c r="Z1489" s="185">
        <f>IF(ISBLANK(O1489),"",IF(O1489="IB",8.63*200,IF(O1489="IR",16*100,IF(O1489="YT",20*100,IF(O1489="YT-XT",24*200,IF(O1489="TED",80*100))))))</f>
        <v>1600</v>
      </c>
      <c r="AA1489" s="185" t="s">
        <v>4976</v>
      </c>
      <c r="AB1489" s="185" t="s">
        <v>5110</v>
      </c>
      <c r="AC1489" s="185" t="s">
        <v>5111</v>
      </c>
      <c r="AD1489" s="649">
        <f>(0.05*36+0.06*10)/46</f>
        <v>5.2173913043478258E-2</v>
      </c>
      <c r="AE1489" s="182"/>
      <c r="AF1489" s="332"/>
      <c r="AG1489" s="182"/>
      <c r="AH1489" s="182"/>
      <c r="AI1489" s="182"/>
      <c r="AJ1489" s="640"/>
      <c r="AK1489" s="182"/>
      <c r="AL1489" s="496">
        <f>-0.03*Z1489</f>
        <v>-48</v>
      </c>
      <c r="AM1489" s="496">
        <f t="shared" si="408"/>
        <v>-960</v>
      </c>
      <c r="AN1489" s="626"/>
      <c r="AO1489" s="182"/>
      <c r="AP1489" s="182" t="s">
        <v>5112</v>
      </c>
      <c r="AQ1489" s="332" t="s">
        <v>372</v>
      </c>
      <c r="AR1489" s="182" t="s">
        <v>5113</v>
      </c>
      <c r="AS1489" s="189">
        <f>(0.03*26+0.02*20)/46</f>
        <v>2.5652173913043481E-2</v>
      </c>
      <c r="AT1489" s="189">
        <f>IF(ISBLANK(AS1489),,IF(U1489="S",AD1489-AS1489,AS1489-AD1489))</f>
        <v>2.6521739130434777E-2</v>
      </c>
      <c r="AU1489" s="187">
        <f>AV1489*R1489</f>
        <v>1951.9999999999995</v>
      </c>
      <c r="AV1489" s="190">
        <f>IF(ISBLANK(AS1489),,(AT1489*Z1489))</f>
        <v>42.434782608695642</v>
      </c>
      <c r="AW1489" s="191" t="s">
        <v>96</v>
      </c>
      <c r="AX1489" s="407" t="s">
        <v>5114</v>
      </c>
      <c r="AY1489" s="407"/>
      <c r="AZ1489" s="407"/>
      <c r="BA1489" s="407" t="s">
        <v>782</v>
      </c>
      <c r="BB1489" s="407"/>
      <c r="BC1489" s="407"/>
      <c r="BD1489" s="407"/>
      <c r="BE1489" s="407"/>
      <c r="BF1489" s="422"/>
      <c r="BG1489" s="391">
        <f>SUM($AV$1389:AV1489)</f>
        <v>818.43137088826438</v>
      </c>
      <c r="BH1489" s="392">
        <f>SUM($AU$1389:AU1489)</f>
        <v>6996.3999999999705</v>
      </c>
      <c r="BI1489" s="318">
        <f>SUMIFS($AU$1388:AU1490,$Q$1388:Q1490,"F")</f>
        <v>4438.3999999999996</v>
      </c>
      <c r="BJ1489" s="318">
        <f>SUMIFS($AU$1388:AU1490,$Q$1388:Q1490,"S")</f>
        <v>1776.0000000000018</v>
      </c>
      <c r="BK1489" s="343">
        <f>SUMIFS($AU$1388:AU1490,$P$1388:P1490,"W")</f>
        <v>4534.4000000000015</v>
      </c>
      <c r="BL1489" s="343">
        <f>SUMIFS($AU$1388:AU1490,$P$1388:P1490,"R")</f>
        <v>2000.0000000000002</v>
      </c>
      <c r="BM1489" s="343">
        <f>SUMIFS($AU$1388:AU1490,$AQ$1388:AQ1490,"M")</f>
        <v>1341.9999999999686</v>
      </c>
      <c r="BN1489" s="343">
        <f>SUMIFS($AU$1388:AU1490,$AQ$1388:AQ1490,"H")</f>
        <v>2736.0000000000005</v>
      </c>
      <c r="BO1489" s="343">
        <f>SUMIFS($AU$1388:AU1490,$AQ$1388:AQ1490,"D")</f>
        <v>1504.0000000000005</v>
      </c>
      <c r="BP1489" s="343">
        <f>SUMIFS($AU$1388:AU1492,$AQ$1388:AQ1492,"W")</f>
        <v>1414.3999999999999</v>
      </c>
      <c r="BQ1489" s="343">
        <f>SUMIFS($AU$1388:AU1490,$Q$1388:Q1490,"O")</f>
        <v>405.99999999996044</v>
      </c>
      <c r="BR1489" s="343">
        <f>SUMIFS($AU$1388:AU1490,$AA$1388:AA1490,"*")</f>
        <v>6980.3999999999705</v>
      </c>
      <c r="BS1489" s="343">
        <f>SUMIFS($AU$1388:AU1490,$AB$1388:AB1490,"*")</f>
        <v>2591.9999999999991</v>
      </c>
      <c r="BT1489" s="343">
        <f>SUMIFS($AU$1388:AU1490,$AC$1388:AC1490,"*")</f>
        <v>3734.3999999999996</v>
      </c>
      <c r="BU1489" s="343">
        <f>SUMIFS($AU$1388:AU1490,$AA$1388:AA1490,"*",$AB$1388:AB1490,"*")</f>
        <v>2319.9999999999991</v>
      </c>
      <c r="BV1489" s="343">
        <f>SUMIFS($AU$1388:AU1490,$AA$1388:AA1490,"*",$AC$1388:AC1490,"*")</f>
        <v>3990.3999999999996</v>
      </c>
      <c r="BW1489" s="343">
        <f>SUMIFS($AU$1388:AU1490,$AB$1388:AB1490,"*",$AC$1388:AC1490,"*")</f>
        <v>2223.9999999999995</v>
      </c>
      <c r="BX1489" s="343">
        <f>SUMIFS($AV$1388:AV1490,$Q$1388:Q1490,"F")</f>
        <v>142.54906832298136</v>
      </c>
      <c r="BY1489" s="343">
        <f>SUMIFS($AV$1388:AV1490,$Q$1388:Q1490,"S")</f>
        <v>144.88230256529496</v>
      </c>
      <c r="BZ1489" s="343">
        <f>SUMIFS($AV$1388:AV1490,$Q$1388:Q1490,"O")</f>
        <v>202.99999999998022</v>
      </c>
    </row>
    <row r="1490" spans="1:78" ht="15.75" customHeight="1">
      <c r="A1490" s="177" t="s">
        <v>4824</v>
      </c>
      <c r="B1490" s="200">
        <v>45321</v>
      </c>
      <c r="C1490" s="178" t="s">
        <v>3092</v>
      </c>
      <c r="D1490" s="178" t="s">
        <v>146</v>
      </c>
      <c r="E1490" s="227"/>
      <c r="F1490" s="180"/>
      <c r="G1490" s="181" t="s">
        <v>2016</v>
      </c>
      <c r="H1490" s="182"/>
      <c r="I1490" s="182"/>
      <c r="J1490" s="182"/>
      <c r="K1490" s="183"/>
      <c r="L1490" s="182"/>
      <c r="M1490" s="182"/>
      <c r="N1490" s="182"/>
      <c r="O1490" s="183"/>
      <c r="P1490" s="183"/>
      <c r="Q1490" s="183"/>
      <c r="R1490" s="183"/>
      <c r="S1490" s="183"/>
      <c r="T1490" s="183"/>
      <c r="U1490" s="183"/>
      <c r="V1490" s="183"/>
      <c r="W1490" s="183"/>
      <c r="X1490" s="183"/>
      <c r="Y1490" s="184"/>
      <c r="Z1490" s="185"/>
      <c r="AA1490" s="185"/>
      <c r="AB1490" s="185"/>
      <c r="AC1490" s="185"/>
      <c r="AD1490" s="649"/>
      <c r="AE1490" s="182"/>
      <c r="AF1490" s="332"/>
      <c r="AG1490" s="182"/>
      <c r="AH1490" s="182"/>
      <c r="AI1490" s="182"/>
      <c r="AJ1490" s="640"/>
      <c r="AK1490" s="182"/>
      <c r="AL1490" s="496">
        <f t="shared" ref="AL1490:AL1493" si="419">-0.02*Z1490</f>
        <v>0</v>
      </c>
      <c r="AM1490" s="496">
        <f t="shared" si="408"/>
        <v>0</v>
      </c>
      <c r="AN1490" s="626"/>
      <c r="AO1490" s="182"/>
      <c r="AP1490" s="182"/>
      <c r="AQ1490" s="332" t="str">
        <f>UPPER(RIGHT(Journal_Live[[#This Row],[DURATION ]]))</f>
        <v/>
      </c>
      <c r="AR1490" s="182"/>
      <c r="AS1490" s="189"/>
      <c r="AT1490" s="189"/>
      <c r="AU1490" s="187"/>
      <c r="AV1490" s="190"/>
      <c r="AW1490" s="191"/>
      <c r="AX1490" s="407"/>
      <c r="AY1490" s="407"/>
      <c r="AZ1490" s="407"/>
      <c r="BA1490" s="407"/>
      <c r="BB1490" s="407"/>
      <c r="BC1490" s="407"/>
      <c r="BD1490" s="407"/>
      <c r="BE1490" s="407"/>
      <c r="BF1490" s="422"/>
      <c r="BG1490" s="391">
        <f>SUM($AV$1389:AV1490)</f>
        <v>818.43137088826438</v>
      </c>
      <c r="BH1490" s="392">
        <f>SUM($AU$1389:AU1490)</f>
        <v>6996.3999999999705</v>
      </c>
      <c r="BI1490" s="318">
        <f>SUMIFS($AU$1388:AU1491,$Q$1388:Q1491,"F")</f>
        <v>4438.3999999999996</v>
      </c>
      <c r="BJ1490" s="318">
        <f>SUMIFS($AU$1388:AU1491,$Q$1388:Q1491,"S")</f>
        <v>1776.0000000000018</v>
      </c>
      <c r="BK1490" s="343">
        <f>SUMIFS($AU$1388:AU1491,$P$1388:P1491,"W")</f>
        <v>4534.4000000000015</v>
      </c>
      <c r="BL1490" s="343">
        <f>SUMIFS($AU$1388:AU1491,$P$1388:P1491,"R")</f>
        <v>2000.0000000000002</v>
      </c>
      <c r="BM1490" s="343">
        <f>SUMIFS($AU$1388:AU1491,$AQ$1388:AQ1491,"M")</f>
        <v>1341.9999999999686</v>
      </c>
      <c r="BN1490" s="343">
        <f>SUMIFS($AU$1388:AU1491,$AQ$1388:AQ1491,"H")</f>
        <v>2736.0000000000005</v>
      </c>
      <c r="BO1490" s="343">
        <f>SUMIFS($AU$1388:AU1491,$AQ$1388:AQ1491,"D")</f>
        <v>1504.0000000000005</v>
      </c>
      <c r="BP1490" s="343">
        <f>SUMIFS($AU$1388:AU1493,$AQ$1388:AQ1493,"W")</f>
        <v>1414.3999999999999</v>
      </c>
      <c r="BQ1490" s="343">
        <f>SUMIFS($AU$1388:AU1491,$Q$1388:Q1491,"O")</f>
        <v>405.99999999996044</v>
      </c>
      <c r="BR1490" s="343">
        <f>SUMIFS($AU$1388:AU1491,$AA$1388:AA1491,"*")</f>
        <v>6980.3999999999705</v>
      </c>
      <c r="BS1490" s="343">
        <f>SUMIFS($AU$1388:AU1491,$AB$1388:AB1491,"*")</f>
        <v>2591.9999999999991</v>
      </c>
      <c r="BT1490" s="343">
        <f>SUMIFS($AU$1388:AU1491,$AC$1388:AC1491,"*")</f>
        <v>3734.3999999999996</v>
      </c>
      <c r="BU1490" s="343">
        <f>SUMIFS($AU$1388:AU1491,$AA$1388:AA1491,"*",$AB$1388:AB1491,"*")</f>
        <v>2319.9999999999991</v>
      </c>
      <c r="BV1490" s="343">
        <f>SUMIFS($AU$1388:AU1491,$AA$1388:AA1491,"*",$AC$1388:AC1491,"*")</f>
        <v>3990.3999999999996</v>
      </c>
      <c r="BW1490" s="343">
        <f>SUMIFS($AU$1388:AU1491,$AB$1388:AB1491,"*",$AC$1388:AC1491,"*")</f>
        <v>2223.9999999999995</v>
      </c>
      <c r="BX1490" s="343">
        <f>SUMIFS($AV$1388:AV1491,$Q$1388:Q1491,"F")</f>
        <v>142.54906832298136</v>
      </c>
      <c r="BY1490" s="343">
        <f>SUMIFS($AV$1388:AV1491,$Q$1388:Q1491,"S")</f>
        <v>144.88230256529496</v>
      </c>
      <c r="BZ1490" s="343">
        <f>SUMIFS($AV$1388:AV1491,$Q$1388:Q1491,"O")</f>
        <v>202.99999999998022</v>
      </c>
    </row>
    <row r="1491" spans="1:78" ht="15.75" customHeight="1">
      <c r="A1491" s="177" t="s">
        <v>4824</v>
      </c>
      <c r="B1491" s="200">
        <v>45321</v>
      </c>
      <c r="C1491" s="178" t="s">
        <v>2952</v>
      </c>
      <c r="D1491" s="178" t="s">
        <v>146</v>
      </c>
      <c r="E1491" s="227"/>
      <c r="F1491" s="180"/>
      <c r="G1491" s="181" t="s">
        <v>136</v>
      </c>
      <c r="H1491" s="182"/>
      <c r="I1491" s="182"/>
      <c r="J1491" s="182"/>
      <c r="K1491" s="183"/>
      <c r="L1491" s="182"/>
      <c r="M1491" s="182"/>
      <c r="N1491" s="182"/>
      <c r="O1491" s="183"/>
      <c r="P1491" s="183"/>
      <c r="Q1491" s="183"/>
      <c r="R1491" s="183"/>
      <c r="S1491" s="183"/>
      <c r="T1491" s="183"/>
      <c r="U1491" s="183"/>
      <c r="V1491" s="183"/>
      <c r="W1491" s="183"/>
      <c r="X1491" s="183"/>
      <c r="Y1491" s="184"/>
      <c r="Z1491" s="185"/>
      <c r="AA1491" s="185"/>
      <c r="AB1491" s="185"/>
      <c r="AC1491" s="185"/>
      <c r="AD1491" s="649"/>
      <c r="AE1491" s="182"/>
      <c r="AF1491" s="332"/>
      <c r="AG1491" s="182"/>
      <c r="AH1491" s="182"/>
      <c r="AI1491" s="182"/>
      <c r="AJ1491" s="640"/>
      <c r="AK1491" s="182"/>
      <c r="AL1491" s="496">
        <f t="shared" si="419"/>
        <v>0</v>
      </c>
      <c r="AM1491" s="496">
        <f t="shared" si="408"/>
        <v>0</v>
      </c>
      <c r="AN1491" s="626"/>
      <c r="AO1491" s="182"/>
      <c r="AP1491" s="182"/>
      <c r="AQ1491" s="332" t="str">
        <f>UPPER(RIGHT(Journal_Live[[#This Row],[DURATION ]]))</f>
        <v/>
      </c>
      <c r="AR1491" s="182"/>
      <c r="AS1491" s="189"/>
      <c r="AT1491" s="189"/>
      <c r="AU1491" s="187"/>
      <c r="AV1491" s="190"/>
      <c r="AW1491" s="191"/>
      <c r="AX1491" s="407" t="s">
        <v>5115</v>
      </c>
      <c r="AY1491" s="407"/>
      <c r="AZ1491" s="407"/>
      <c r="BA1491" s="407"/>
      <c r="BB1491" s="407"/>
      <c r="BC1491" s="407"/>
      <c r="BD1491" s="407"/>
      <c r="BE1491" s="407"/>
      <c r="BF1491" s="422"/>
      <c r="BG1491" s="391">
        <f>SUM($AV$1389:AV1491)</f>
        <v>818.43137088826438</v>
      </c>
      <c r="BH1491" s="392">
        <f>SUM($AU$1389:AU1491)</f>
        <v>6996.3999999999705</v>
      </c>
      <c r="BI1491" s="318">
        <f>SUMIFS($AU$1388:AU1492,$Q$1388:Q1492,"F")</f>
        <v>4438.3999999999996</v>
      </c>
      <c r="BJ1491" s="318">
        <f>SUMIFS($AU$1388:AU1492,$Q$1388:Q1492,"S")</f>
        <v>1776.0000000000018</v>
      </c>
      <c r="BK1491" s="343">
        <f>SUMIFS($AU$1388:AU1492,$P$1388:P1492,"W")</f>
        <v>4534.4000000000015</v>
      </c>
      <c r="BL1491" s="343">
        <f>SUMIFS($AU$1388:AU1492,$P$1388:P1492,"R")</f>
        <v>2000.0000000000002</v>
      </c>
      <c r="BM1491" s="343">
        <f>SUMIFS($AU$1388:AU1492,$AQ$1388:AQ1492,"M")</f>
        <v>1341.9999999999686</v>
      </c>
      <c r="BN1491" s="343">
        <f>SUMIFS($AU$1388:AU1492,$AQ$1388:AQ1492,"H")</f>
        <v>2736.0000000000005</v>
      </c>
      <c r="BO1491" s="343">
        <f>SUMIFS($AU$1388:AU1492,$AQ$1388:AQ1492,"D")</f>
        <v>1504.0000000000005</v>
      </c>
      <c r="BP1491" s="343">
        <f>SUMIFS($AU$1388:AU1494,$AQ$1388:AQ1494,"W")</f>
        <v>1414.3999999999999</v>
      </c>
      <c r="BQ1491" s="343">
        <f>SUMIFS($AU$1388:AU1492,$Q$1388:Q1492,"O")</f>
        <v>405.99999999996044</v>
      </c>
      <c r="BR1491" s="343">
        <f>SUMIFS($AU$1388:AU1492,$AA$1388:AA1492,"*")</f>
        <v>6980.3999999999705</v>
      </c>
      <c r="BS1491" s="343">
        <f>SUMIFS($AU$1388:AU1492,$AB$1388:AB1492,"*")</f>
        <v>2591.9999999999991</v>
      </c>
      <c r="BT1491" s="343">
        <f>SUMIFS($AU$1388:AU1492,$AC$1388:AC1492,"*")</f>
        <v>3734.3999999999996</v>
      </c>
      <c r="BU1491" s="343">
        <f>SUMIFS($AU$1388:AU1492,$AA$1388:AA1492,"*",$AB$1388:AB1492,"*")</f>
        <v>2319.9999999999991</v>
      </c>
      <c r="BV1491" s="343">
        <f>SUMIFS($AU$1388:AU1492,$AA$1388:AA1492,"*",$AC$1388:AC1492,"*")</f>
        <v>3990.3999999999996</v>
      </c>
      <c r="BW1491" s="343">
        <f>SUMIFS($AU$1388:AU1492,$AB$1388:AB1492,"*",$AC$1388:AC1492,"*")</f>
        <v>2223.9999999999995</v>
      </c>
      <c r="BX1491" s="343">
        <f>SUMIFS($AV$1388:AV1492,$Q$1388:Q1492,"F")</f>
        <v>142.54906832298136</v>
      </c>
      <c r="BY1491" s="343">
        <f>SUMIFS($AV$1388:AV1492,$Q$1388:Q1492,"S")</f>
        <v>144.88230256529496</v>
      </c>
      <c r="BZ1491" s="343">
        <f>SUMIFS($AV$1388:AV1492,$Q$1388:Q1492,"O")</f>
        <v>202.99999999998022</v>
      </c>
    </row>
    <row r="1492" spans="1:78" ht="15.75" customHeight="1">
      <c r="A1492" s="177" t="s">
        <v>4824</v>
      </c>
      <c r="B1492" s="200">
        <v>45321</v>
      </c>
      <c r="C1492" s="178" t="s">
        <v>3137</v>
      </c>
      <c r="D1492" s="178" t="s">
        <v>146</v>
      </c>
      <c r="E1492" s="227" t="s">
        <v>5116</v>
      </c>
      <c r="F1492" s="180"/>
      <c r="G1492" s="181"/>
      <c r="H1492" s="182"/>
      <c r="I1492" s="182"/>
      <c r="J1492" s="182"/>
      <c r="K1492" s="183"/>
      <c r="L1492" s="182"/>
      <c r="M1492" s="182"/>
      <c r="N1492" s="182"/>
      <c r="O1492" s="183"/>
      <c r="P1492" s="183"/>
      <c r="Q1492" s="183"/>
      <c r="R1492" s="183"/>
      <c r="S1492" s="183"/>
      <c r="T1492" s="183"/>
      <c r="U1492" s="183"/>
      <c r="V1492" s="183"/>
      <c r="W1492" s="183"/>
      <c r="X1492" s="183"/>
      <c r="Y1492" s="183"/>
      <c r="Z1492" s="183"/>
      <c r="AA1492" s="185"/>
      <c r="AB1492" s="185"/>
      <c r="AC1492" s="185"/>
      <c r="AD1492" s="649"/>
      <c r="AE1492" s="182"/>
      <c r="AF1492" s="332"/>
      <c r="AG1492" s="182"/>
      <c r="AH1492" s="182"/>
      <c r="AI1492" s="182"/>
      <c r="AJ1492" s="640"/>
      <c r="AK1492" s="182"/>
      <c r="AL1492" s="496">
        <f t="shared" si="419"/>
        <v>0</v>
      </c>
      <c r="AM1492" s="496">
        <f t="shared" si="408"/>
        <v>0</v>
      </c>
      <c r="AN1492" s="626"/>
      <c r="AO1492" s="182"/>
      <c r="AP1492" s="182"/>
      <c r="AQ1492" s="332" t="str">
        <f>UPPER(RIGHT(Journal_Live[[#This Row],[DURATION ]]))</f>
        <v/>
      </c>
      <c r="AR1492" s="182"/>
      <c r="AS1492" s="189"/>
      <c r="AT1492" s="189"/>
      <c r="AU1492" s="187"/>
      <c r="AV1492" s="190"/>
      <c r="AW1492" s="191"/>
      <c r="AX1492" s="407" t="s">
        <v>5117</v>
      </c>
      <c r="AY1492" s="407"/>
      <c r="AZ1492" s="407"/>
      <c r="BA1492" s="407"/>
      <c r="BB1492" s="407"/>
      <c r="BC1492" s="407"/>
      <c r="BD1492" s="407"/>
      <c r="BE1492" s="407"/>
      <c r="BF1492" s="422"/>
      <c r="BG1492" s="391">
        <f>SUM($AV$1389:AV1492)</f>
        <v>818.43137088826438</v>
      </c>
      <c r="BH1492" s="392">
        <f>SUM($AU$1389:AU1492)</f>
        <v>6996.3999999999705</v>
      </c>
      <c r="BI1492" s="318">
        <f>SUMIFS($AU$1388:AU1493,$Q$1388:Q1493,"F")</f>
        <v>4438.3999999999996</v>
      </c>
      <c r="BJ1492" s="318">
        <f>SUMIFS($AU$1388:AU1493,$Q$1388:Q1493,"S")</f>
        <v>1776.0000000000018</v>
      </c>
      <c r="BK1492" s="343">
        <f>SUMIFS($AU$1388:AU1493,$P$1388:P1493,"W")</f>
        <v>4534.4000000000015</v>
      </c>
      <c r="BL1492" s="343">
        <f>SUMIFS($AU$1388:AU1493,$P$1388:P1493,"R")</f>
        <v>2000.0000000000002</v>
      </c>
      <c r="BM1492" s="343">
        <f>SUMIFS($AU$1388:AU1493,$AQ$1388:AQ1493,"M")</f>
        <v>1388.3999999998605</v>
      </c>
      <c r="BN1492" s="343">
        <f>SUMIFS($AU$1388:AU1493,$AQ$1388:AQ1493,"H")</f>
        <v>2736.0000000000005</v>
      </c>
      <c r="BO1492" s="343">
        <f>SUMIFS($AU$1388:AU1493,$AQ$1388:AQ1493,"D")</f>
        <v>1504.0000000000005</v>
      </c>
      <c r="BP1492" s="343">
        <f>SUMIFS($AU$1388:AU1495,$AQ$1388:AQ1495,"W")</f>
        <v>1414.3999999999999</v>
      </c>
      <c r="BQ1492" s="343">
        <f>SUMIFS($AU$1388:AU1493,$Q$1388:Q1493,"O")</f>
        <v>452.3999999998523</v>
      </c>
      <c r="BR1492" s="343">
        <f>SUMIFS($AU$1388:AU1493,$AA$1388:AA1493,"*")</f>
        <v>7026.7999999998628</v>
      </c>
      <c r="BS1492" s="343">
        <f>SUMIFS($AU$1388:AU1493,$AB$1388:AB1493,"*")</f>
        <v>2591.9999999999991</v>
      </c>
      <c r="BT1492" s="343">
        <f>SUMIFS($AU$1388:AU1493,$AC$1388:AC1493,"*")</f>
        <v>3734.3999999999996</v>
      </c>
      <c r="BU1492" s="343">
        <f>SUMIFS($AU$1388:AU1493,$AA$1388:AA1493,"*",$AB$1388:AB1493,"*")</f>
        <v>2319.9999999999991</v>
      </c>
      <c r="BV1492" s="343">
        <f>SUMIFS($AU$1388:AU1493,$AA$1388:AA1493,"*",$AC$1388:AC1493,"*")</f>
        <v>3990.3999999999996</v>
      </c>
      <c r="BW1492" s="343">
        <f>SUMIFS($AU$1388:AU1493,$AB$1388:AB1493,"*",$AC$1388:AC1493,"*")</f>
        <v>2223.9999999999995</v>
      </c>
      <c r="BX1492" s="343">
        <f>SUMIFS($AV$1388:AV1493,$Q$1388:Q1493,"F")</f>
        <v>142.54906832298136</v>
      </c>
      <c r="BY1492" s="343">
        <f>SUMIFS($AV$1388:AV1493,$Q$1388:Q1493,"S")</f>
        <v>144.88230256529496</v>
      </c>
      <c r="BZ1492" s="343">
        <f>SUMIFS($AV$1388:AV1493,$Q$1388:Q1493,"O")</f>
        <v>226.19999999992615</v>
      </c>
    </row>
    <row r="1493" spans="1:78" ht="15.75" customHeight="1">
      <c r="A1493" s="177" t="s">
        <v>4824</v>
      </c>
      <c r="B1493" s="200">
        <v>45321</v>
      </c>
      <c r="C1493" s="178" t="s">
        <v>682</v>
      </c>
      <c r="D1493" s="178" t="s">
        <v>146</v>
      </c>
      <c r="E1493" s="227"/>
      <c r="F1493" s="180"/>
      <c r="G1493" s="281" t="s">
        <v>4887</v>
      </c>
      <c r="H1493" s="182"/>
      <c r="I1493" s="182"/>
      <c r="J1493" s="182"/>
      <c r="K1493" s="183"/>
      <c r="L1493" s="182">
        <v>1</v>
      </c>
      <c r="M1493" s="182"/>
      <c r="N1493" s="182"/>
      <c r="O1493" s="183" t="s">
        <v>3618</v>
      </c>
      <c r="P1493" s="183" t="s">
        <v>2260</v>
      </c>
      <c r="Q1493" s="183" t="s">
        <v>684</v>
      </c>
      <c r="R1493" s="183">
        <v>2</v>
      </c>
      <c r="S1493" s="183">
        <v>0</v>
      </c>
      <c r="T1493" s="183">
        <v>1</v>
      </c>
      <c r="U1493" s="183" t="s">
        <v>97</v>
      </c>
      <c r="V1493" s="183"/>
      <c r="W1493" s="183"/>
      <c r="X1493" s="183"/>
      <c r="Y1493" s="184">
        <f>IF(ISBLANK(O1493),"",(IF(O1493=UPPER("IB"),0.005,0.01)))</f>
        <v>0.01</v>
      </c>
      <c r="Z1493" s="185">
        <f>IF(ISBLANK(O1493),"",IF(O1493="IB",8.63*200,IF(O1493="IR",16*100,IF(O1493="YT",20*100,IF(O1493="YT-XT",24*200,IF(O1493="TED",80*100,IF(O1493="XT",29*200)))))))</f>
        <v>5800</v>
      </c>
      <c r="AA1493" s="185" t="s">
        <v>5118</v>
      </c>
      <c r="AB1493" s="185"/>
      <c r="AC1493" s="185"/>
      <c r="AD1493" s="649">
        <v>95.816999999999993</v>
      </c>
      <c r="AE1493" s="182"/>
      <c r="AF1493" s="332"/>
      <c r="AG1493" s="182"/>
      <c r="AH1493" s="182"/>
      <c r="AI1493" s="182"/>
      <c r="AJ1493" s="640"/>
      <c r="AK1493" s="182"/>
      <c r="AL1493" s="496">
        <f t="shared" si="419"/>
        <v>-116</v>
      </c>
      <c r="AM1493" s="496">
        <f t="shared" si="408"/>
        <v>-232</v>
      </c>
      <c r="AN1493" s="626"/>
      <c r="AO1493" s="182"/>
      <c r="AP1493" s="182" t="s">
        <v>5119</v>
      </c>
      <c r="AQ1493" s="332" t="s">
        <v>1259</v>
      </c>
      <c r="AR1493" s="182" t="s">
        <v>5120</v>
      </c>
      <c r="AS1493" s="189">
        <v>95.813000000000002</v>
      </c>
      <c r="AT1493" s="189">
        <f>IF(ISBLANK(AS1493),,IF(U1493="S",AD1493-AS1493,AS1493-AD1493))</f>
        <v>3.9999999999906777E-3</v>
      </c>
      <c r="AU1493" s="187">
        <f>AV1493*R1493</f>
        <v>46.399999999891861</v>
      </c>
      <c r="AV1493" s="190">
        <f>IF(ISBLANK(AS1493),,(AT1493*Z1493))</f>
        <v>23.199999999945931</v>
      </c>
      <c r="AW1493" s="191" t="s">
        <v>96</v>
      </c>
      <c r="AX1493" s="407" t="s">
        <v>5121</v>
      </c>
      <c r="AY1493" s="407"/>
      <c r="AZ1493" s="407"/>
      <c r="BA1493" s="407"/>
      <c r="BB1493" s="407"/>
      <c r="BC1493" s="407"/>
      <c r="BD1493" s="407"/>
      <c r="BE1493" s="407"/>
      <c r="BF1493" s="422"/>
      <c r="BG1493" s="391">
        <f>SUM($AV$1389:AV1493)</f>
        <v>841.63137088821031</v>
      </c>
      <c r="BH1493" s="392">
        <f>SUM($AU$1389:AU1493)</f>
        <v>7042.7999999998628</v>
      </c>
      <c r="BI1493" s="318">
        <f>SUMIFS($AU$1388:AU1494,$Q$1388:Q1494,"F")</f>
        <v>4438.3999999999996</v>
      </c>
      <c r="BJ1493" s="318">
        <f>SUMIFS($AU$1388:AU1494,$Q$1388:Q1494,"S")</f>
        <v>2128.0000000000014</v>
      </c>
      <c r="BK1493" s="343">
        <f>SUMIFS($AU$1388:AU1494,$P$1388:P1494,"W")</f>
        <v>4886.4000000000015</v>
      </c>
      <c r="BL1493" s="343">
        <f>SUMIFS($AU$1388:AU1494,$P$1388:P1494,"R")</f>
        <v>2000.0000000000002</v>
      </c>
      <c r="BM1493" s="343">
        <f>SUMIFS($AU$1388:AU1494,$AQ$1388:AQ1494,"M")</f>
        <v>1388.3999999998605</v>
      </c>
      <c r="BN1493" s="343">
        <f>SUMIFS($AU$1388:AU1494,$AQ$1388:AQ1494,"H")</f>
        <v>3088</v>
      </c>
      <c r="BO1493" s="343">
        <f>SUMIFS($AU$1388:AU1494,$AQ$1388:AQ1494,"D")</f>
        <v>1504.0000000000005</v>
      </c>
      <c r="BP1493" s="343">
        <f>SUMIFS($AU$1388:AU1496,$AQ$1388:AQ1496,"W")</f>
        <v>1414.3999999999999</v>
      </c>
      <c r="BQ1493" s="343">
        <f>SUMIFS($AU$1388:AU1494,$Q$1388:Q1494,"O")</f>
        <v>452.3999999998523</v>
      </c>
      <c r="BR1493" s="343">
        <f>SUMIFS($AU$1388:AU1494,$AA$1388:AA1494,"*")</f>
        <v>7378.7999999998628</v>
      </c>
      <c r="BS1493" s="343">
        <f>SUMIFS($AU$1388:AU1494,$AB$1388:AB1494,"*")</f>
        <v>2591.9999999999991</v>
      </c>
      <c r="BT1493" s="343">
        <f>SUMIFS($AU$1388:AU1494,$AC$1388:AC1494,"*")</f>
        <v>3734.3999999999996</v>
      </c>
      <c r="BU1493" s="343">
        <f>SUMIFS($AU$1388:AU1494,$AA$1388:AA1494,"*",$AB$1388:AB1494,"*")</f>
        <v>2319.9999999999991</v>
      </c>
      <c r="BV1493" s="343">
        <f>SUMIFS($AU$1388:AU1494,$AA$1388:AA1494,"*",$AC$1388:AC1494,"*")</f>
        <v>3990.3999999999996</v>
      </c>
      <c r="BW1493" s="343">
        <f>SUMIFS($AU$1388:AU1494,$AB$1388:AB1494,"*",$AC$1388:AC1494,"*")</f>
        <v>2223.9999999999995</v>
      </c>
      <c r="BX1493" s="343">
        <f>SUMIFS($AV$1388:AV1494,$Q$1388:Q1494,"F")</f>
        <v>142.54906832298136</v>
      </c>
      <c r="BY1493" s="343">
        <f>SUMIFS($AV$1388:AV1494,$Q$1388:Q1494,"S")</f>
        <v>163.40861835476863</v>
      </c>
      <c r="BZ1493" s="343">
        <f>SUMIFS($AV$1388:AV1494,$Q$1388:Q1494,"O")</f>
        <v>226.19999999992615</v>
      </c>
    </row>
    <row r="1494" spans="1:78" ht="15.75" customHeight="1">
      <c r="A1494" s="177" t="s">
        <v>4824</v>
      </c>
      <c r="B1494" s="200">
        <v>45321</v>
      </c>
      <c r="C1494" s="178" t="s">
        <v>5122</v>
      </c>
      <c r="D1494" s="178" t="s">
        <v>146</v>
      </c>
      <c r="E1494" s="227"/>
      <c r="F1494" s="180"/>
      <c r="G1494" s="281" t="s">
        <v>181</v>
      </c>
      <c r="H1494" s="182"/>
      <c r="I1494" s="182"/>
      <c r="J1494" s="182"/>
      <c r="K1494" s="183"/>
      <c r="L1494" s="182">
        <v>1</v>
      </c>
      <c r="M1494" s="182"/>
      <c r="N1494" s="182"/>
      <c r="O1494" s="183" t="s">
        <v>95</v>
      </c>
      <c r="P1494" s="183" t="s">
        <v>96</v>
      </c>
      <c r="Q1494" s="183" t="s">
        <v>97</v>
      </c>
      <c r="R1494" s="183">
        <v>19</v>
      </c>
      <c r="S1494" s="183">
        <v>16</v>
      </c>
      <c r="T1494" s="183">
        <v>16</v>
      </c>
      <c r="U1494" s="183" t="s">
        <v>97</v>
      </c>
      <c r="V1494" s="183"/>
      <c r="W1494" s="183"/>
      <c r="X1494" s="183"/>
      <c r="Y1494" s="184">
        <f>IF(ISBLANK(O1494),"",(IF(O1494=UPPER("IB"),0.005,0.01)))</f>
        <v>0.01</v>
      </c>
      <c r="Z1494" s="185">
        <f>IF(ISBLANK(O1494),"",IF(O1494="IB",8.63*200,IF(O1494="IR",16*100,IF(O1494="YT",20*100,IF(O1494="YT-XT",24*200,IF(O1494="TED",80*100))))))</f>
        <v>1600</v>
      </c>
      <c r="AA1494" s="185" t="s">
        <v>5123</v>
      </c>
      <c r="AB1494" s="185"/>
      <c r="AC1494" s="185"/>
      <c r="AD1494" s="649">
        <v>-0.05</v>
      </c>
      <c r="AE1494" s="182"/>
      <c r="AF1494" s="332"/>
      <c r="AG1494" s="182"/>
      <c r="AH1494" s="182"/>
      <c r="AI1494" s="182"/>
      <c r="AJ1494" s="640"/>
      <c r="AK1494" s="182"/>
      <c r="AL1494" s="496">
        <f t="shared" si="411"/>
        <v>-32</v>
      </c>
      <c r="AM1494" s="496">
        <f t="shared" si="408"/>
        <v>-96</v>
      </c>
      <c r="AN1494" s="626"/>
      <c r="AO1494" s="182"/>
      <c r="AP1494" s="182" t="s">
        <v>1639</v>
      </c>
      <c r="AQ1494" s="332" t="s">
        <v>372</v>
      </c>
      <c r="AR1494" s="182" t="s">
        <v>3949</v>
      </c>
      <c r="AS1494" s="189">
        <f>((-0.06*16)+(-0.07*3))/19</f>
        <v>-6.1578947368421046E-2</v>
      </c>
      <c r="AT1494" s="189">
        <f>IF(ISBLANK(AS1494),,IF(U1494="S",AD1494-AS1494,AS1494-AD1494))</f>
        <v>1.1578947368421043E-2</v>
      </c>
      <c r="AU1494" s="187">
        <f>AV1494*R1494</f>
        <v>351.99999999999966</v>
      </c>
      <c r="AV1494" s="190">
        <f>IF(ISBLANK(AS1494),,(AT1494*Z1494))</f>
        <v>18.526315789473667</v>
      </c>
      <c r="AW1494" s="191" t="s">
        <v>96</v>
      </c>
      <c r="AX1494" s="407"/>
      <c r="AY1494" s="407"/>
      <c r="AZ1494" s="407"/>
      <c r="BA1494" s="407"/>
      <c r="BB1494" s="407"/>
      <c r="BC1494" s="407"/>
      <c r="BD1494" s="407"/>
      <c r="BE1494" s="407"/>
      <c r="BF1494" s="422"/>
      <c r="BG1494" s="391">
        <f>SUM($AV$1389:AV1494)</f>
        <v>860.15768667768396</v>
      </c>
      <c r="BH1494" s="392">
        <f>SUM($AU$1389:AU1494)</f>
        <v>7394.7999999998628</v>
      </c>
      <c r="BI1494" s="318">
        <f>SUMIFS($AU$1388:AU1495,$Q$1388:Q1495,"F")</f>
        <v>4438.3999999999996</v>
      </c>
      <c r="BJ1494" s="318">
        <f>SUMIFS($AU$1388:AU1495,$Q$1388:Q1495,"S")</f>
        <v>2128.0000000000014</v>
      </c>
      <c r="BK1494" s="343">
        <f>SUMIFS($AU$1388:AU1495,$P$1388:P1495,"W")</f>
        <v>4886.4000000000015</v>
      </c>
      <c r="BL1494" s="343">
        <f>SUMIFS($AU$1388:AU1495,$P$1388:P1495,"R")</f>
        <v>2000.0000000000002</v>
      </c>
      <c r="BM1494" s="343">
        <f>SUMIFS($AU$1388:AU1495,$AQ$1388:AQ1495,"M")</f>
        <v>1388.3999999998605</v>
      </c>
      <c r="BN1494" s="343">
        <f>SUMIFS($AU$1388:AU1495,$AQ$1388:AQ1495,"H")</f>
        <v>3088</v>
      </c>
      <c r="BO1494" s="343">
        <f>SUMIFS($AU$1388:AU1495,$AQ$1388:AQ1495,"D")</f>
        <v>1504.0000000000005</v>
      </c>
      <c r="BP1494" s="343">
        <f>SUMIFS($AU$1388:AU1497,$AQ$1388:AQ1497,"W")</f>
        <v>1414.3999999999999</v>
      </c>
      <c r="BQ1494" s="343">
        <f>SUMIFS($AU$1388:AU1495,$Q$1388:Q1495,"O")</f>
        <v>452.3999999998523</v>
      </c>
      <c r="BR1494" s="343">
        <f>SUMIFS($AU$1388:AU1495,$AA$1388:AA1495,"*")</f>
        <v>7378.7999999998628</v>
      </c>
      <c r="BS1494" s="343">
        <f>SUMIFS($AU$1388:AU1495,$AB$1388:AB1495,"*")</f>
        <v>2591.9999999999991</v>
      </c>
      <c r="BT1494" s="343">
        <f>SUMIFS($AU$1388:AU1495,$AC$1388:AC1495,"*")</f>
        <v>3734.3999999999996</v>
      </c>
      <c r="BU1494" s="343">
        <f>SUMIFS($AU$1388:AU1495,$AA$1388:AA1495,"*",$AB$1388:AB1495,"*")</f>
        <v>2319.9999999999991</v>
      </c>
      <c r="BV1494" s="343">
        <f>SUMIFS($AU$1388:AU1495,$AA$1388:AA1495,"*",$AC$1388:AC1495,"*")</f>
        <v>3990.3999999999996</v>
      </c>
      <c r="BW1494" s="343">
        <f>SUMIFS($AU$1388:AU1495,$AB$1388:AB1495,"*",$AC$1388:AC1495,"*")</f>
        <v>2223.9999999999995</v>
      </c>
      <c r="BX1494" s="343">
        <f>SUMIFS($AV$1388:AV1495,$Q$1388:Q1495,"F")</f>
        <v>142.54906832298136</v>
      </c>
      <c r="BY1494" s="343">
        <f>SUMIFS($AV$1388:AV1495,$Q$1388:Q1495,"S")</f>
        <v>163.40861835476863</v>
      </c>
      <c r="BZ1494" s="343">
        <f>SUMIFS($AV$1388:AV1495,$Q$1388:Q1495,"O")</f>
        <v>226.19999999992615</v>
      </c>
    </row>
    <row r="1495" spans="1:78" ht="15.75" customHeight="1">
      <c r="A1495" s="177" t="s">
        <v>4824</v>
      </c>
      <c r="B1495" s="200">
        <v>45321</v>
      </c>
      <c r="C1495" s="178" t="s">
        <v>5124</v>
      </c>
      <c r="D1495" s="178" t="s">
        <v>146</v>
      </c>
      <c r="E1495" s="227"/>
      <c r="F1495" s="180"/>
      <c r="G1495" s="181" t="s">
        <v>136</v>
      </c>
      <c r="H1495" s="182"/>
      <c r="I1495" s="182"/>
      <c r="J1495" s="182"/>
      <c r="K1495" s="183"/>
      <c r="L1495" s="182"/>
      <c r="M1495" s="182"/>
      <c r="N1495" s="182"/>
      <c r="O1495" s="183"/>
      <c r="P1495" s="183"/>
      <c r="Q1495" s="183"/>
      <c r="R1495" s="183"/>
      <c r="S1495" s="183"/>
      <c r="T1495" s="183"/>
      <c r="U1495" s="183"/>
      <c r="V1495" s="183"/>
      <c r="W1495" s="183"/>
      <c r="X1495" s="183"/>
      <c r="Y1495" s="184"/>
      <c r="Z1495" s="185"/>
      <c r="AA1495" s="185"/>
      <c r="AB1495" s="185"/>
      <c r="AC1495" s="185"/>
      <c r="AD1495" s="649"/>
      <c r="AE1495" s="182"/>
      <c r="AF1495" s="332"/>
      <c r="AG1495" s="182"/>
      <c r="AH1495" s="182"/>
      <c r="AI1495" s="182"/>
      <c r="AJ1495" s="640"/>
      <c r="AK1495" s="182"/>
      <c r="AL1495" s="496">
        <f t="shared" si="411"/>
        <v>0</v>
      </c>
      <c r="AM1495" s="496">
        <f t="shared" si="408"/>
        <v>0</v>
      </c>
      <c r="AN1495" s="626"/>
      <c r="AO1495" s="182"/>
      <c r="AP1495" s="182"/>
      <c r="AQ1495" s="332" t="str">
        <f>UPPER(RIGHT(Journal_Live[[#This Row],[DURATION ]]))</f>
        <v/>
      </c>
      <c r="AR1495" s="182"/>
      <c r="AS1495" s="189"/>
      <c r="AT1495" s="189"/>
      <c r="AU1495" s="187"/>
      <c r="AV1495" s="190"/>
      <c r="AW1495" s="191"/>
      <c r="AX1495" s="407"/>
      <c r="AY1495" s="407"/>
      <c r="AZ1495" s="407"/>
      <c r="BA1495" s="407"/>
      <c r="BB1495" s="407"/>
      <c r="BC1495" s="407"/>
      <c r="BD1495" s="407"/>
      <c r="BE1495" s="407"/>
      <c r="BF1495" s="422"/>
      <c r="BG1495" s="391">
        <f>SUM($AV$1389:AV1495)</f>
        <v>860.15768667768396</v>
      </c>
      <c r="BH1495" s="392">
        <f>SUM($AU$1389:AU1495)</f>
        <v>7394.7999999998628</v>
      </c>
      <c r="BI1495" s="318">
        <f>SUMIFS($AU$1388:AU1496,$Q$1388:Q1496,"F")</f>
        <v>4438.3999999999996</v>
      </c>
      <c r="BJ1495" s="318">
        <f>SUMIFS($AU$1388:AU1496,$Q$1388:Q1496,"S")</f>
        <v>2128.0000000000014</v>
      </c>
      <c r="BK1495" s="343">
        <f>SUMIFS($AU$1388:AU1496,$P$1388:P1496,"W")</f>
        <v>4886.4000000000015</v>
      </c>
      <c r="BL1495" s="343">
        <f>SUMIFS($AU$1388:AU1496,$P$1388:P1496,"R")</f>
        <v>2000.0000000000002</v>
      </c>
      <c r="BM1495" s="343">
        <f>SUMIFS($AU$1388:AU1496,$AQ$1388:AQ1496,"M")</f>
        <v>1388.3999999998605</v>
      </c>
      <c r="BN1495" s="343">
        <f>SUMIFS($AU$1388:AU1496,$AQ$1388:AQ1496,"H")</f>
        <v>3088</v>
      </c>
      <c r="BO1495" s="343">
        <f>SUMIFS($AU$1388:AU1496,$AQ$1388:AQ1496,"D")</f>
        <v>1504.0000000000005</v>
      </c>
      <c r="BP1495" s="343">
        <f>SUMIFS($AU$1388:AU1498,$AQ$1388:AQ1498,"W")</f>
        <v>1414.3999999999999</v>
      </c>
      <c r="BQ1495" s="343">
        <f>SUMIFS($AU$1388:AU1496,$Q$1388:Q1496,"O")</f>
        <v>452.3999999998523</v>
      </c>
      <c r="BR1495" s="343">
        <f>SUMIFS($AU$1388:AU1496,$AA$1388:AA1496,"*")</f>
        <v>7378.7999999998628</v>
      </c>
      <c r="BS1495" s="343">
        <f>SUMIFS($AU$1388:AU1496,$AB$1388:AB1496,"*")</f>
        <v>2591.9999999999991</v>
      </c>
      <c r="BT1495" s="343">
        <f>SUMIFS($AU$1388:AU1496,$AC$1388:AC1496,"*")</f>
        <v>3734.3999999999996</v>
      </c>
      <c r="BU1495" s="343">
        <f>SUMIFS($AU$1388:AU1496,$AA$1388:AA1496,"*",$AB$1388:AB1496,"*")</f>
        <v>2319.9999999999991</v>
      </c>
      <c r="BV1495" s="343">
        <f>SUMIFS($AU$1388:AU1496,$AA$1388:AA1496,"*",$AC$1388:AC1496,"*")</f>
        <v>3990.3999999999996</v>
      </c>
      <c r="BW1495" s="343">
        <f>SUMIFS($AU$1388:AU1496,$AB$1388:AB1496,"*",$AC$1388:AC1496,"*")</f>
        <v>2223.9999999999995</v>
      </c>
      <c r="BX1495" s="343">
        <f>SUMIFS($AV$1388:AV1496,$Q$1388:Q1496,"F")</f>
        <v>142.54906832298136</v>
      </c>
      <c r="BY1495" s="343">
        <f>SUMIFS($AV$1388:AV1496,$Q$1388:Q1496,"S")</f>
        <v>163.40861835476863</v>
      </c>
      <c r="BZ1495" s="343">
        <f>SUMIFS($AV$1388:AV1496,$Q$1388:Q1496,"O")</f>
        <v>226.19999999992615</v>
      </c>
    </row>
    <row r="1496" spans="1:78" ht="15.75" customHeight="1">
      <c r="A1496" s="177" t="s">
        <v>4824</v>
      </c>
      <c r="B1496" s="200">
        <v>45322</v>
      </c>
      <c r="C1496" s="178" t="s">
        <v>1304</v>
      </c>
      <c r="D1496" s="178" t="s">
        <v>151</v>
      </c>
      <c r="E1496" s="227"/>
      <c r="F1496" s="180"/>
      <c r="G1496" s="181" t="s">
        <v>2016</v>
      </c>
      <c r="H1496" s="182"/>
      <c r="I1496" s="182"/>
      <c r="J1496" s="182"/>
      <c r="K1496" s="183"/>
      <c r="L1496" s="182"/>
      <c r="M1496" s="182"/>
      <c r="N1496" s="182"/>
      <c r="O1496" s="183"/>
      <c r="P1496" s="183"/>
      <c r="Q1496" s="183"/>
      <c r="R1496" s="183"/>
      <c r="S1496" s="183"/>
      <c r="T1496" s="183"/>
      <c r="U1496" s="183"/>
      <c r="V1496" s="183"/>
      <c r="W1496" s="183"/>
      <c r="X1496" s="183"/>
      <c r="Y1496" s="184"/>
      <c r="Z1496" s="185"/>
      <c r="AA1496" s="185"/>
      <c r="AB1496" s="185"/>
      <c r="AC1496" s="185"/>
      <c r="AD1496" s="649"/>
      <c r="AE1496" s="182"/>
      <c r="AF1496" s="332"/>
      <c r="AG1496" s="182"/>
      <c r="AH1496" s="182"/>
      <c r="AI1496" s="182"/>
      <c r="AJ1496" s="640"/>
      <c r="AK1496" s="182"/>
      <c r="AL1496" s="496">
        <f t="shared" si="411"/>
        <v>0</v>
      </c>
      <c r="AM1496" s="496">
        <f t="shared" si="408"/>
        <v>0</v>
      </c>
      <c r="AN1496" s="626"/>
      <c r="AO1496" s="182"/>
      <c r="AP1496" s="182"/>
      <c r="AQ1496" s="332" t="str">
        <f>UPPER(RIGHT(Journal_Live[[#This Row],[DURATION ]]))</f>
        <v/>
      </c>
      <c r="AR1496" s="182"/>
      <c r="AS1496" s="189"/>
      <c r="AT1496" s="189"/>
      <c r="AU1496" s="187"/>
      <c r="AV1496" s="190"/>
      <c r="AW1496" s="191"/>
      <c r="AX1496" s="407"/>
      <c r="AY1496" s="407"/>
      <c r="AZ1496" s="407"/>
      <c r="BA1496" s="407"/>
      <c r="BB1496" s="407"/>
      <c r="BC1496" s="407"/>
      <c r="BD1496" s="407"/>
      <c r="BE1496" s="407"/>
      <c r="BF1496" s="422"/>
      <c r="BG1496" s="391">
        <f>SUM($AV$1389:AV1496)</f>
        <v>860.15768667768396</v>
      </c>
      <c r="BH1496" s="392">
        <f>SUM($AU$1389:AU1496)</f>
        <v>7394.7999999998628</v>
      </c>
      <c r="BI1496" s="318">
        <f>SUMIFS($AU$1388:AU1497,$Q$1388:Q1497,"F")</f>
        <v>4438.3999999999996</v>
      </c>
      <c r="BJ1496" s="318">
        <f>SUMIFS($AU$1388:AU1497,$Q$1388:Q1497,"S")</f>
        <v>2128.0000000000014</v>
      </c>
      <c r="BK1496" s="343">
        <f>SUMIFS($AU$1388:AU1497,$P$1388:P1497,"W")</f>
        <v>4886.4000000000015</v>
      </c>
      <c r="BL1496" s="343">
        <f>SUMIFS($AU$1388:AU1497,$P$1388:P1497,"R")</f>
        <v>2000.0000000000002</v>
      </c>
      <c r="BM1496" s="343">
        <f>SUMIFS($AU$1388:AU1497,$AQ$1388:AQ1497,"M")</f>
        <v>1388.3999999998605</v>
      </c>
      <c r="BN1496" s="343">
        <f>SUMIFS($AU$1388:AU1497,$AQ$1388:AQ1497,"H")</f>
        <v>3088</v>
      </c>
      <c r="BO1496" s="343">
        <f>SUMIFS($AU$1388:AU1497,$AQ$1388:AQ1497,"D")</f>
        <v>1504.0000000000005</v>
      </c>
      <c r="BP1496" s="343">
        <f>SUMIFS($AU$1388:AU1499,$AQ$1388:AQ1499,"W")</f>
        <v>1414.3999999999999</v>
      </c>
      <c r="BQ1496" s="343">
        <f>SUMIFS($AU$1388:AU1497,$Q$1388:Q1497,"O")</f>
        <v>452.3999999998523</v>
      </c>
      <c r="BR1496" s="343">
        <f>SUMIFS($AU$1388:AU1497,$AA$1388:AA1497,"*")</f>
        <v>7378.7999999998628</v>
      </c>
      <c r="BS1496" s="343">
        <f>SUMIFS($AU$1388:AU1497,$AB$1388:AB1497,"*")</f>
        <v>2591.9999999999991</v>
      </c>
      <c r="BT1496" s="343">
        <f>SUMIFS($AU$1388:AU1497,$AC$1388:AC1497,"*")</f>
        <v>3734.3999999999996</v>
      </c>
      <c r="BU1496" s="343">
        <f>SUMIFS($AU$1388:AU1497,$AA$1388:AA1497,"*",$AB$1388:AB1497,"*")</f>
        <v>2319.9999999999991</v>
      </c>
      <c r="BV1496" s="343">
        <f>SUMIFS($AU$1388:AU1497,$AA$1388:AA1497,"*",$AC$1388:AC1497,"*")</f>
        <v>3990.3999999999996</v>
      </c>
      <c r="BW1496" s="343">
        <f>SUMIFS($AU$1388:AU1497,$AB$1388:AB1497,"*",$AC$1388:AC1497,"*")</f>
        <v>2223.9999999999995</v>
      </c>
      <c r="BX1496" s="343">
        <f>SUMIFS($AV$1388:AV1497,$Q$1388:Q1497,"F")</f>
        <v>142.54906832298136</v>
      </c>
      <c r="BY1496" s="343">
        <f>SUMIFS($AV$1388:AV1497,$Q$1388:Q1497,"S")</f>
        <v>163.40861835476863</v>
      </c>
      <c r="BZ1496" s="343">
        <f>SUMIFS($AV$1388:AV1497,$Q$1388:Q1497,"O")</f>
        <v>226.19999999992615</v>
      </c>
    </row>
    <row r="1497" spans="1:78" ht="15.75" customHeight="1">
      <c r="A1497" s="177" t="s">
        <v>4824</v>
      </c>
      <c r="B1497" s="200">
        <v>45322</v>
      </c>
      <c r="C1497" s="178" t="s">
        <v>1255</v>
      </c>
      <c r="D1497" s="178" t="s">
        <v>151</v>
      </c>
      <c r="E1497" s="227" t="s">
        <v>5125</v>
      </c>
      <c r="F1497" s="180" t="s">
        <v>5126</v>
      </c>
      <c r="G1497" s="181"/>
      <c r="H1497" s="182"/>
      <c r="I1497" s="182"/>
      <c r="J1497" s="182">
        <v>1</v>
      </c>
      <c r="K1497" s="183" t="s">
        <v>115</v>
      </c>
      <c r="L1497" s="182"/>
      <c r="M1497" s="182"/>
      <c r="N1497" s="182"/>
      <c r="O1497" s="183"/>
      <c r="P1497" s="183"/>
      <c r="Q1497" s="183"/>
      <c r="R1497" s="183"/>
      <c r="S1497" s="183"/>
      <c r="T1497" s="183"/>
      <c r="U1497" s="183"/>
      <c r="V1497" s="183"/>
      <c r="W1497" s="183"/>
      <c r="X1497" s="183"/>
      <c r="Y1497" s="184" t="str">
        <f t="shared" ref="Y1497:Y1504" si="420">IF(ISBLANK(O1497),"",(IF(O1497=UPPER("IB"),0.005,0.01)))</f>
        <v/>
      </c>
      <c r="Z1497" s="185" t="str">
        <f t="shared" ref="Z1497:Z1504" si="421">IF(ISBLANK(O1497),"",IF(O1497="IB",8.63*200,IF(O1497="IR",16*100,IF(O1497="YT",20*100,IF(O1497="YT-XT",24*200,IF(O1497="TED",80*100))))))</f>
        <v/>
      </c>
      <c r="AA1497" s="185"/>
      <c r="AB1497" s="185"/>
      <c r="AC1497" s="185"/>
      <c r="AD1497" s="649"/>
      <c r="AE1497" s="182"/>
      <c r="AF1497" s="332"/>
      <c r="AG1497" s="182"/>
      <c r="AH1497" s="182"/>
      <c r="AI1497" s="182"/>
      <c r="AJ1497" s="640"/>
      <c r="AK1497" s="182"/>
      <c r="AL1497" s="496"/>
      <c r="AM1497" s="496"/>
      <c r="AN1497" s="626"/>
      <c r="AO1497" s="182"/>
      <c r="AP1497" s="182"/>
      <c r="AQ1497" s="332" t="str">
        <f>UPPER(RIGHT(Journal_Live[[#This Row],[DURATION ]]))</f>
        <v/>
      </c>
      <c r="AR1497" s="182"/>
      <c r="AS1497" s="189"/>
      <c r="AT1497" s="189"/>
      <c r="AU1497" s="187"/>
      <c r="AV1497" s="190"/>
      <c r="AW1497" s="191"/>
      <c r="AX1497" s="407"/>
      <c r="AY1497" s="407"/>
      <c r="AZ1497" s="407"/>
      <c r="BA1497" s="407"/>
      <c r="BB1497" s="407"/>
      <c r="BC1497" s="407"/>
      <c r="BD1497" s="407"/>
      <c r="BE1497" s="407"/>
      <c r="BF1497" s="422"/>
      <c r="BG1497" s="391">
        <f>SUM($AV$1389:AV1497)</f>
        <v>860.15768667768396</v>
      </c>
      <c r="BH1497" s="392">
        <f>SUM($AU$1389:AU1497)</f>
        <v>7394.7999999998628</v>
      </c>
      <c r="BI1497" s="318">
        <f>SUMIFS($AU$1388:AU1498,$Q$1388:Q1498,"F")</f>
        <v>4438.3999999999996</v>
      </c>
      <c r="BJ1497" s="318">
        <f>SUMIFS($AU$1388:AU1498,$Q$1388:Q1498,"S")</f>
        <v>2128.0000000000014</v>
      </c>
      <c r="BK1497" s="343">
        <f>SUMIFS($AU$1388:AU1498,$P$1388:P1498,"W")</f>
        <v>4886.4000000000015</v>
      </c>
      <c r="BL1497" s="343">
        <f>SUMIFS($AU$1388:AU1498,$P$1388:P1498,"R")</f>
        <v>2000.0000000000002</v>
      </c>
      <c r="BM1497" s="343">
        <f>SUMIFS($AU$1388:AU1498,$AQ$1388:AQ1498,"M")</f>
        <v>1388.3999999998605</v>
      </c>
      <c r="BN1497" s="343">
        <f>SUMIFS($AU$1388:AU1498,$AQ$1388:AQ1498,"H")</f>
        <v>3088</v>
      </c>
      <c r="BO1497" s="343">
        <f>SUMIFS($AU$1388:AU1498,$AQ$1388:AQ1498,"D")</f>
        <v>1504.0000000000005</v>
      </c>
      <c r="BP1497" s="343">
        <f>SUMIFS($AU$1388:AU1500,$AQ$1388:AQ1500,"W")</f>
        <v>1414.3999999999999</v>
      </c>
      <c r="BQ1497" s="343">
        <f>SUMIFS($AU$1388:AU1498,$Q$1388:Q1498,"O")</f>
        <v>452.3999999998523</v>
      </c>
      <c r="BR1497" s="343">
        <f>SUMIFS($AU$1388:AU1498,$AA$1388:AA1498,"*")</f>
        <v>7378.7999999998628</v>
      </c>
      <c r="BS1497" s="343">
        <f>SUMIFS($AU$1388:AU1498,$AB$1388:AB1498,"*")</f>
        <v>2591.9999999999991</v>
      </c>
      <c r="BT1497" s="343">
        <f>SUMIFS($AU$1388:AU1498,$AC$1388:AC1498,"*")</f>
        <v>3734.3999999999996</v>
      </c>
      <c r="BU1497" s="343">
        <f>SUMIFS($AU$1388:AU1498,$AA$1388:AA1498,"*",$AB$1388:AB1498,"*")</f>
        <v>2319.9999999999991</v>
      </c>
      <c r="BV1497" s="343">
        <f>SUMIFS($AU$1388:AU1498,$AA$1388:AA1498,"*",$AC$1388:AC1498,"*")</f>
        <v>3990.3999999999996</v>
      </c>
      <c r="BW1497" s="343">
        <f>SUMIFS($AU$1388:AU1498,$AB$1388:AB1498,"*",$AC$1388:AC1498,"*")</f>
        <v>2223.9999999999995</v>
      </c>
      <c r="BX1497" s="343">
        <f>SUMIFS($AV$1388:AV1498,$Q$1388:Q1498,"F")</f>
        <v>142.54906832298136</v>
      </c>
      <c r="BY1497" s="343">
        <f>SUMIFS($AV$1388:AV1498,$Q$1388:Q1498,"S")</f>
        <v>163.40861835476863</v>
      </c>
      <c r="BZ1497" s="343">
        <f>SUMIFS($AV$1388:AV1498,$Q$1388:Q1498,"O")</f>
        <v>226.19999999992615</v>
      </c>
    </row>
    <row r="1498" spans="1:78" ht="15.75" customHeight="1">
      <c r="A1498" s="177" t="s">
        <v>4824</v>
      </c>
      <c r="B1498" s="200"/>
      <c r="C1498" s="178"/>
      <c r="D1498" s="178"/>
      <c r="E1498" s="227" t="s">
        <v>5127</v>
      </c>
      <c r="F1498" s="180"/>
      <c r="G1498" s="181"/>
      <c r="H1498" s="182"/>
      <c r="I1498" s="182"/>
      <c r="J1498" s="182">
        <v>1</v>
      </c>
      <c r="K1498" s="183" t="s">
        <v>115</v>
      </c>
      <c r="L1498" s="182"/>
      <c r="M1498" s="182"/>
      <c r="N1498" s="182"/>
      <c r="O1498" s="183"/>
      <c r="P1498" s="183"/>
      <c r="Q1498" s="183"/>
      <c r="R1498" s="183"/>
      <c r="S1498" s="183"/>
      <c r="T1498" s="183"/>
      <c r="U1498" s="183"/>
      <c r="V1498" s="183"/>
      <c r="W1498" s="183"/>
      <c r="X1498" s="183"/>
      <c r="Y1498" s="184" t="str">
        <f t="shared" si="420"/>
        <v/>
      </c>
      <c r="Z1498" s="185" t="str">
        <f t="shared" si="421"/>
        <v/>
      </c>
      <c r="AA1498" s="185"/>
      <c r="AB1498" s="185"/>
      <c r="AC1498" s="185"/>
      <c r="AD1498" s="649"/>
      <c r="AE1498" s="182"/>
      <c r="AF1498" s="332"/>
      <c r="AG1498" s="182"/>
      <c r="AH1498" s="182"/>
      <c r="AI1498" s="182"/>
      <c r="AJ1498" s="640"/>
      <c r="AK1498" s="182"/>
      <c r="AL1498" s="496"/>
      <c r="AM1498" s="496"/>
      <c r="AN1498" s="626"/>
      <c r="AO1498" s="182"/>
      <c r="AP1498" s="182"/>
      <c r="AQ1498" s="332" t="str">
        <f>UPPER(RIGHT(Journal_Live[[#This Row],[DURATION ]]))</f>
        <v/>
      </c>
      <c r="AR1498" s="182"/>
      <c r="AS1498" s="189"/>
      <c r="AT1498" s="189"/>
      <c r="AU1498" s="187"/>
      <c r="AV1498" s="190"/>
      <c r="AW1498" s="191"/>
      <c r="AX1498" s="407" t="s">
        <v>5128</v>
      </c>
      <c r="AY1498" s="407" t="s">
        <v>5129</v>
      </c>
      <c r="AZ1498" s="407" t="s">
        <v>5130</v>
      </c>
      <c r="BA1498" s="407" t="s">
        <v>5131</v>
      </c>
      <c r="BB1498" s="407" t="s">
        <v>5132</v>
      </c>
      <c r="BC1498" s="407"/>
      <c r="BD1498" s="407"/>
      <c r="BE1498" s="407"/>
      <c r="BF1498" s="422"/>
      <c r="BG1498" s="391">
        <f>SUM($AV$1389:AV1498)</f>
        <v>860.15768667768396</v>
      </c>
      <c r="BH1498" s="392">
        <f>SUM($AU$1389:AU1498)</f>
        <v>7394.7999999998628</v>
      </c>
      <c r="BI1498" s="318">
        <f>SUMIFS($AU$1388:AU1499,$Q$1388:Q1499,"F")</f>
        <v>4438.3999999999996</v>
      </c>
      <c r="BJ1498" s="318">
        <f>SUMIFS($AU$1388:AU1499,$Q$1388:Q1499,"S")</f>
        <v>2128.0000000000014</v>
      </c>
      <c r="BK1498" s="343">
        <f>SUMIFS($AU$1388:AU1499,$P$1388:P1499,"W")</f>
        <v>4886.4000000000015</v>
      </c>
      <c r="BL1498" s="343">
        <f>SUMIFS($AU$1388:AU1499,$P$1388:P1499,"R")</f>
        <v>2000.0000000000002</v>
      </c>
      <c r="BM1498" s="343">
        <f>SUMIFS($AU$1388:AU1499,$AQ$1388:AQ1499,"M")</f>
        <v>1388.3999999998605</v>
      </c>
      <c r="BN1498" s="343">
        <f>SUMIFS($AU$1388:AU1499,$AQ$1388:AQ1499,"H")</f>
        <v>3088</v>
      </c>
      <c r="BO1498" s="343">
        <f>SUMIFS($AU$1388:AU1499,$AQ$1388:AQ1499,"D")</f>
        <v>1504.0000000000005</v>
      </c>
      <c r="BP1498" s="343">
        <f>SUMIFS($AU$1388:AU1501,$AQ$1388:AQ1501,"W")</f>
        <v>1414.3999999999999</v>
      </c>
      <c r="BQ1498" s="343">
        <f>SUMIFS($AU$1388:AU1499,$Q$1388:Q1499,"O")</f>
        <v>452.3999999998523</v>
      </c>
      <c r="BR1498" s="343">
        <f>SUMIFS($AU$1388:AU1499,$AA$1388:AA1499,"*")</f>
        <v>7378.7999999998628</v>
      </c>
      <c r="BS1498" s="343">
        <f>SUMIFS($AU$1388:AU1499,$AB$1388:AB1499,"*")</f>
        <v>2591.9999999999991</v>
      </c>
      <c r="BT1498" s="343">
        <f>SUMIFS($AU$1388:AU1499,$AC$1388:AC1499,"*")</f>
        <v>3734.3999999999996</v>
      </c>
      <c r="BU1498" s="343">
        <f>SUMIFS($AU$1388:AU1499,$AA$1388:AA1499,"*",$AB$1388:AB1499,"*")</f>
        <v>2319.9999999999991</v>
      </c>
      <c r="BV1498" s="343">
        <f>SUMIFS($AU$1388:AU1499,$AA$1388:AA1499,"*",$AC$1388:AC1499,"*")</f>
        <v>3990.3999999999996</v>
      </c>
      <c r="BW1498" s="343">
        <f>SUMIFS($AU$1388:AU1499,$AB$1388:AB1499,"*",$AC$1388:AC1499,"*")</f>
        <v>2223.9999999999995</v>
      </c>
      <c r="BX1498" s="343">
        <f>SUMIFS($AV$1388:AV1499,$Q$1388:Q1499,"F")</f>
        <v>142.54906832298136</v>
      </c>
      <c r="BY1498" s="343">
        <f>SUMIFS($AV$1388:AV1499,$Q$1388:Q1499,"S")</f>
        <v>163.40861835476863</v>
      </c>
      <c r="BZ1498" s="343">
        <f>SUMIFS($AV$1388:AV1499,$Q$1388:Q1499,"O")</f>
        <v>226.19999999992615</v>
      </c>
    </row>
    <row r="1499" spans="1:78" ht="15.75" customHeight="1">
      <c r="A1499" s="177" t="s">
        <v>4824</v>
      </c>
      <c r="B1499" s="200"/>
      <c r="C1499" s="178"/>
      <c r="D1499" s="178"/>
      <c r="E1499" s="227" t="s">
        <v>5133</v>
      </c>
      <c r="F1499" s="180"/>
      <c r="G1499" s="181"/>
      <c r="H1499" s="182"/>
      <c r="I1499" s="182"/>
      <c r="J1499" s="182">
        <v>1</v>
      </c>
      <c r="K1499" s="183" t="s">
        <v>115</v>
      </c>
      <c r="L1499" s="182"/>
      <c r="M1499" s="182"/>
      <c r="N1499" s="182"/>
      <c r="O1499" s="183"/>
      <c r="P1499" s="183"/>
      <c r="Q1499" s="183"/>
      <c r="R1499" s="183"/>
      <c r="S1499" s="183"/>
      <c r="T1499" s="183"/>
      <c r="U1499" s="183"/>
      <c r="V1499" s="183"/>
      <c r="W1499" s="183"/>
      <c r="X1499" s="183"/>
      <c r="Y1499" s="184" t="str">
        <f t="shared" si="420"/>
        <v/>
      </c>
      <c r="Z1499" s="185" t="str">
        <f t="shared" si="421"/>
        <v/>
      </c>
      <c r="AA1499" s="185"/>
      <c r="AB1499" s="185"/>
      <c r="AC1499" s="185"/>
      <c r="AD1499" s="649"/>
      <c r="AE1499" s="182"/>
      <c r="AF1499" s="332"/>
      <c r="AG1499" s="182"/>
      <c r="AH1499" s="182"/>
      <c r="AI1499" s="182"/>
      <c r="AJ1499" s="640"/>
      <c r="AK1499" s="182"/>
      <c r="AL1499" s="496"/>
      <c r="AM1499" s="496"/>
      <c r="AN1499" s="626"/>
      <c r="AO1499" s="182"/>
      <c r="AP1499" s="182"/>
      <c r="AQ1499" s="332" t="str">
        <f>UPPER(RIGHT(Journal_Live[[#This Row],[DURATION ]]))</f>
        <v/>
      </c>
      <c r="AR1499" s="182"/>
      <c r="AS1499" s="189"/>
      <c r="AT1499" s="189"/>
      <c r="AU1499" s="187"/>
      <c r="AV1499" s="190"/>
      <c r="AW1499" s="191"/>
      <c r="AX1499" s="407"/>
      <c r="AY1499" s="407"/>
      <c r="AZ1499" s="407"/>
      <c r="BA1499" s="407"/>
      <c r="BB1499" s="407"/>
      <c r="BC1499" s="407"/>
      <c r="BD1499" s="407"/>
      <c r="BE1499" s="407"/>
      <c r="BF1499" s="422"/>
      <c r="BG1499" s="391">
        <f>SUM($AV$1389:AV1499)</f>
        <v>860.15768667768396</v>
      </c>
      <c r="BH1499" s="392">
        <f>SUM($AU$1389:AU1499)</f>
        <v>7394.7999999998628</v>
      </c>
      <c r="BI1499" s="318">
        <f>SUMIFS($AU$1388:AU1516,$Q$1388:Q1516,"F")</f>
        <v>4438.3999999999996</v>
      </c>
      <c r="BJ1499" s="318">
        <f>SUMIFS($AU$1388:AU1516,$Q$1388:Q1516,"S")</f>
        <v>4144.0000000000009</v>
      </c>
      <c r="BK1499" s="343">
        <f>SUMIFS($AU$1388:AU1516,$P$1388:P1516,"W")</f>
        <v>6973.5799999999363</v>
      </c>
      <c r="BL1499" s="343">
        <f>SUMIFS($AU$1388:AU1516,$P$1388:P1516,"R")</f>
        <v>2000.0000000000002</v>
      </c>
      <c r="BM1499" s="343">
        <f>SUMIFS($AU$1388:AU1516,$AQ$1388:AQ1516,"M")</f>
        <v>2963.5799999997967</v>
      </c>
      <c r="BN1499" s="343">
        <f>SUMIFS($AU$1388:AU1516,$AQ$1388:AQ1516,"H")</f>
        <v>3599.9999999999991</v>
      </c>
      <c r="BO1499" s="343">
        <f>SUMIFS($AU$1388:AU1516,$AQ$1388:AQ1516,"D")</f>
        <v>1504.0000000000005</v>
      </c>
      <c r="BP1499" s="343">
        <f>SUMIFS($AU$1388:AU1502,$AQ$1388:AQ1502,"W")</f>
        <v>1414.3999999999999</v>
      </c>
      <c r="BQ1499" s="343">
        <f>SUMIFS($AU$1388:AU1516,$Q$1388:Q1516,"O")</f>
        <v>523.57999999978756</v>
      </c>
      <c r="BR1499" s="343">
        <f>SUMIFS($AU$1388:AU1500,$AA$1388:AA1500,"*")</f>
        <v>7570.7999999996882</v>
      </c>
      <c r="BS1499" s="343">
        <f>SUMIFS($AU$1388:AU1500,$AB$1388:AB1500,"*")</f>
        <v>2783.9999999998245</v>
      </c>
      <c r="BT1499" s="343">
        <f>SUMIFS($AU$1388:AU1500,$AC$1388:AC1500,"*")</f>
        <v>3734.3999999999996</v>
      </c>
      <c r="BU1499" s="343">
        <f>SUMIFS($AU$1388:AU1500,$AA$1388:AA1500,"*",$AB$1388:AB1500,"*")</f>
        <v>2511.9999999998245</v>
      </c>
      <c r="BV1499" s="343">
        <f>SUMIFS($AU$1388:AU1500,$AA$1388:AA1500,"*",$AC$1388:AC1500,"*")</f>
        <v>3990.3999999999996</v>
      </c>
      <c r="BW1499" s="343">
        <f>SUMIFS($AU$1388:AU1500,$AB$1388:AB1500,"*",$AC$1388:AC1500,"*")</f>
        <v>2223.9999999999995</v>
      </c>
      <c r="BX1499" s="343">
        <f>SUMIFS($AV$1388:AV1500,$Q$1388:Q1500,"F")</f>
        <v>142.54906832298136</v>
      </c>
      <c r="BY1499" s="343">
        <f>SUMIFS($AV$1388:AV1500,$Q$1388:Q1500,"S")</f>
        <v>163.40861835476863</v>
      </c>
      <c r="BZ1499" s="343">
        <f>SUMIFS($AV$1388:AV1500,$Q$1388:Q1500,"O")</f>
        <v>242.1999999999116</v>
      </c>
    </row>
    <row r="1500" spans="1:78" ht="15.75" customHeight="1">
      <c r="A1500" s="177" t="s">
        <v>4824</v>
      </c>
      <c r="B1500" s="200">
        <v>45322</v>
      </c>
      <c r="C1500" s="178" t="s">
        <v>682</v>
      </c>
      <c r="D1500" s="178" t="s">
        <v>151</v>
      </c>
      <c r="E1500" s="227"/>
      <c r="F1500" s="180"/>
      <c r="G1500" s="181" t="s">
        <v>831</v>
      </c>
      <c r="H1500" s="182"/>
      <c r="I1500" s="182"/>
      <c r="J1500" s="182"/>
      <c r="K1500" s="183"/>
      <c r="L1500" s="182"/>
      <c r="M1500" s="182">
        <v>2</v>
      </c>
      <c r="N1500" s="182"/>
      <c r="O1500" s="183" t="s">
        <v>95</v>
      </c>
      <c r="P1500" s="183" t="s">
        <v>96</v>
      </c>
      <c r="Q1500" s="183" t="s">
        <v>684</v>
      </c>
      <c r="R1500" s="183">
        <v>12</v>
      </c>
      <c r="S1500" s="183">
        <v>0</v>
      </c>
      <c r="T1500" s="183">
        <v>12</v>
      </c>
      <c r="U1500" s="183" t="s">
        <v>97</v>
      </c>
      <c r="V1500" s="183"/>
      <c r="W1500" s="183"/>
      <c r="X1500" s="183"/>
      <c r="Y1500" s="184">
        <f t="shared" si="420"/>
        <v>0.01</v>
      </c>
      <c r="Z1500" s="185">
        <f t="shared" si="421"/>
        <v>1600</v>
      </c>
      <c r="AA1500" s="185" t="s">
        <v>3801</v>
      </c>
      <c r="AB1500" s="185" t="s">
        <v>5134</v>
      </c>
      <c r="AC1500" s="185"/>
      <c r="AD1500" s="649">
        <f>(95.73*5+95.74*7)/12</f>
        <v>95.735833333333332</v>
      </c>
      <c r="AE1500" s="182"/>
      <c r="AF1500" s="332"/>
      <c r="AG1500" s="182"/>
      <c r="AH1500" s="182"/>
      <c r="AI1500" s="182"/>
      <c r="AJ1500" s="640"/>
      <c r="AK1500" s="182"/>
      <c r="AL1500" s="496">
        <f t="shared" ref="AL1500:AL1505" si="422">-0.02*Z1500</f>
        <v>-32</v>
      </c>
      <c r="AM1500" s="496">
        <f t="shared" ref="AM1500:AM1505" si="423">AL1500*(R1500-S1500)</f>
        <v>-384</v>
      </c>
      <c r="AN1500" s="626"/>
      <c r="AO1500" s="182"/>
      <c r="AP1500" s="182" t="s">
        <v>5135</v>
      </c>
      <c r="AQ1500" s="332" t="s">
        <v>1259</v>
      </c>
      <c r="AR1500" s="182"/>
      <c r="AS1500" s="189">
        <f>(95.73*7+95.72*5)/12</f>
        <v>95.725833333333341</v>
      </c>
      <c r="AT1500" s="189">
        <f t="shared" ref="AT1500:AT1505" si="424">IF(ISBLANK(AS1500),,IF(U1500="S",AD1500-AS1500,AS1500-AD1500))</f>
        <v>9.9999999999909051E-3</v>
      </c>
      <c r="AU1500" s="187">
        <f t="shared" ref="AU1500:AU1505" si="425">AV1500*R1500</f>
        <v>191.99999999982538</v>
      </c>
      <c r="AV1500" s="190">
        <f t="shared" ref="AV1500:AV1505" si="426">IF(ISBLANK(AS1500),,(AT1500*Z1500))</f>
        <v>15.999999999985448</v>
      </c>
      <c r="AW1500" s="191" t="s">
        <v>96</v>
      </c>
      <c r="AX1500" s="407"/>
      <c r="AY1500" s="407"/>
      <c r="AZ1500" s="407"/>
      <c r="BA1500" s="407"/>
      <c r="BB1500" s="407"/>
      <c r="BC1500" s="407"/>
      <c r="BD1500" s="407"/>
      <c r="BE1500" s="407"/>
      <c r="BF1500" s="422"/>
      <c r="BG1500" s="391">
        <f>SUM($AV$1389:AV1500)</f>
        <v>876.1576866776694</v>
      </c>
      <c r="BH1500" s="392">
        <f>SUM($AU$1389:AU1500)</f>
        <v>7586.7999999996882</v>
      </c>
      <c r="BI1500" s="318">
        <f>SUMIFS($AU$1388:AU1501,$Q$1388:Q1501,"F")</f>
        <v>4438.3999999999996</v>
      </c>
      <c r="BJ1500" s="318">
        <f>SUMIFS($AU$1388:AU1501,$Q$1388:Q1501,"S")</f>
        <v>2384.0000000000014</v>
      </c>
      <c r="BK1500" s="343">
        <f>SUMIFS($AU$1388:AU1501,$P$1388:P1501,"W")</f>
        <v>5334.3999999998268</v>
      </c>
      <c r="BL1500" s="343">
        <f>SUMIFS($AU$1388:AU1501,$P$1388:P1501,"R")</f>
        <v>2000.0000000000002</v>
      </c>
      <c r="BM1500" s="343">
        <f>SUMIFS($AU$1388:AU1501,$AQ$1388:AQ1501,"M")</f>
        <v>1836.3999999996859</v>
      </c>
      <c r="BN1500" s="343">
        <f>SUMIFS($AU$1388:AU1501,$AQ$1388:AQ1501,"H")</f>
        <v>3088</v>
      </c>
      <c r="BO1500" s="343">
        <f>SUMIFS($AU$1388:AU1501,$AQ$1388:AQ1501,"D")</f>
        <v>1504.0000000000005</v>
      </c>
      <c r="BP1500" s="343">
        <f>SUMIFS($AU$1388:AU1503,$AQ$1388:AQ1503,"W")</f>
        <v>1414.3999999999999</v>
      </c>
      <c r="BQ1500" s="343">
        <f>SUMIFS($AU$1388:AU1501,$Q$1388:Q1501,"O")</f>
        <v>644.39999999967768</v>
      </c>
      <c r="BR1500" s="343">
        <f>SUMIFS($AU$1388:AU1501,$AA$1388:AA1501,"*")</f>
        <v>7826.7999999996882</v>
      </c>
      <c r="BS1500" s="343">
        <f>SUMIFS($AU$1388:AU1501,$AB$1388:AB1501,"*")</f>
        <v>2783.9999999998245</v>
      </c>
      <c r="BT1500" s="343">
        <f>SUMIFS($AU$1388:AU1501,$AC$1388:AC1501,"*")</f>
        <v>3734.3999999999996</v>
      </c>
      <c r="BU1500" s="343">
        <f>SUMIFS($AU$1388:AU1501,$AA$1388:AA1501,"*",$AB$1388:AB1501,"*")</f>
        <v>2511.9999999998245</v>
      </c>
      <c r="BV1500" s="343">
        <f>SUMIFS($AU$1388:AU1501,$AA$1388:AA1501,"*",$AC$1388:AC1501,"*")</f>
        <v>3990.3999999999996</v>
      </c>
      <c r="BW1500" s="343">
        <f>SUMIFS($AU$1388:AU1501,$AB$1388:AB1501,"*",$AC$1388:AC1501,"*")</f>
        <v>2223.9999999999995</v>
      </c>
      <c r="BX1500" s="343">
        <f>SUMIFS($AV$1388:AV1501,$Q$1388:Q1501,"F")</f>
        <v>142.54906832298136</v>
      </c>
      <c r="BY1500" s="343">
        <f>SUMIFS($AV$1388:AV1501,$Q$1388:Q1501,"S")</f>
        <v>179.40861835476863</v>
      </c>
      <c r="BZ1500" s="343">
        <f>SUMIFS($AV$1388:AV1501,$Q$1388:Q1501,"O")</f>
        <v>242.1999999999116</v>
      </c>
    </row>
    <row r="1501" spans="1:78" ht="15.75" customHeight="1">
      <c r="A1501" s="177" t="s">
        <v>4824</v>
      </c>
      <c r="B1501" s="200">
        <v>45322</v>
      </c>
      <c r="C1501" s="178" t="s">
        <v>682</v>
      </c>
      <c r="D1501" s="178" t="s">
        <v>151</v>
      </c>
      <c r="E1501" s="227"/>
      <c r="F1501" s="180"/>
      <c r="G1501" s="181" t="s">
        <v>181</v>
      </c>
      <c r="H1501" s="182"/>
      <c r="I1501" s="182"/>
      <c r="J1501" s="182"/>
      <c r="K1501" s="183"/>
      <c r="L1501" s="182"/>
      <c r="M1501" s="182">
        <v>2</v>
      </c>
      <c r="N1501" s="182"/>
      <c r="O1501" s="183" t="s">
        <v>95</v>
      </c>
      <c r="P1501" s="183" t="s">
        <v>96</v>
      </c>
      <c r="Q1501" s="183" t="s">
        <v>97</v>
      </c>
      <c r="R1501" s="183">
        <v>16</v>
      </c>
      <c r="S1501" s="183">
        <v>0</v>
      </c>
      <c r="T1501" s="183">
        <v>16</v>
      </c>
      <c r="U1501" s="183" t="s">
        <v>22</v>
      </c>
      <c r="V1501" s="183"/>
      <c r="W1501" s="183"/>
      <c r="X1501" s="183"/>
      <c r="Y1501" s="184">
        <f t="shared" si="420"/>
        <v>0.01</v>
      </c>
      <c r="Z1501" s="185">
        <f t="shared" si="421"/>
        <v>1600</v>
      </c>
      <c r="AA1501" s="185" t="s">
        <v>5136</v>
      </c>
      <c r="AB1501" s="185"/>
      <c r="AC1501" s="185"/>
      <c r="AD1501" s="649">
        <v>-0.09</v>
      </c>
      <c r="AE1501" s="182"/>
      <c r="AF1501" s="332"/>
      <c r="AG1501" s="182"/>
      <c r="AH1501" s="182"/>
      <c r="AI1501" s="182"/>
      <c r="AJ1501" s="640"/>
      <c r="AK1501" s="182"/>
      <c r="AL1501" s="496">
        <f t="shared" si="422"/>
        <v>-32</v>
      </c>
      <c r="AM1501" s="496">
        <f t="shared" si="423"/>
        <v>-512</v>
      </c>
      <c r="AN1501" s="626"/>
      <c r="AO1501" s="182"/>
      <c r="AP1501" s="182" t="s">
        <v>5137</v>
      </c>
      <c r="AQ1501" s="332" t="s">
        <v>1259</v>
      </c>
      <c r="AR1501" s="182"/>
      <c r="AS1501" s="189">
        <v>-0.08</v>
      </c>
      <c r="AT1501" s="189">
        <f t="shared" si="424"/>
        <v>9.999999999999995E-3</v>
      </c>
      <c r="AU1501" s="187">
        <f t="shared" si="425"/>
        <v>255.99999999999989</v>
      </c>
      <c r="AV1501" s="190">
        <f t="shared" si="426"/>
        <v>15.999999999999993</v>
      </c>
      <c r="AW1501" s="191" t="s">
        <v>96</v>
      </c>
      <c r="AX1501" s="407" t="s">
        <v>5138</v>
      </c>
      <c r="AY1501" s="407"/>
      <c r="AZ1501" s="407"/>
      <c r="BA1501" s="407"/>
      <c r="BB1501" s="407"/>
      <c r="BC1501" s="407"/>
      <c r="BD1501" s="407"/>
      <c r="BE1501" s="407"/>
      <c r="BF1501" s="422"/>
      <c r="BG1501" s="391">
        <f>SUM($AV$1389:AV1501)</f>
        <v>892.1576866776694</v>
      </c>
      <c r="BH1501" s="392">
        <f>SUM($AU$1389:AU1501)</f>
        <v>7842.7999999996882</v>
      </c>
      <c r="BI1501" s="318">
        <f>SUMIFS($AU$1388:AU1502,$Q$1388:Q1502,"F")</f>
        <v>4438.3999999999996</v>
      </c>
      <c r="BJ1501" s="318">
        <f>SUMIFS($AU$1388:AU1502,$Q$1388:Q1502,"S")</f>
        <v>2704.0000000000014</v>
      </c>
      <c r="BK1501" s="343">
        <f>SUMIFS($AU$1388:AU1502,$P$1388:P1502,"W")</f>
        <v>5654.3999999998268</v>
      </c>
      <c r="BL1501" s="343">
        <f>SUMIFS($AU$1388:AU1502,$P$1388:P1502,"R")</f>
        <v>2000.0000000000002</v>
      </c>
      <c r="BM1501" s="343">
        <f>SUMIFS($AU$1388:AU1502,$AQ$1388:AQ1502,"M")</f>
        <v>2156.3999999996859</v>
      </c>
      <c r="BN1501" s="343">
        <f>SUMIFS($AU$1388:AU1502,$AQ$1388:AQ1502,"H")</f>
        <v>3088</v>
      </c>
      <c r="BO1501" s="343">
        <f>SUMIFS($AU$1388:AU1502,$AQ$1388:AQ1502,"D")</f>
        <v>1504.0000000000005</v>
      </c>
      <c r="BP1501" s="343">
        <f>SUMIFS($AU$1388:AU1504,$AQ$1388:AQ1504,"W")</f>
        <v>1414.3999999999999</v>
      </c>
      <c r="BQ1501" s="343">
        <f>SUMIFS($AU$1388:AU1502,$Q$1388:Q1502,"O")</f>
        <v>644.39999999967768</v>
      </c>
      <c r="BR1501" s="343">
        <f>SUMIFS($AU$1388:AU1502,$AA$1388:AA1502,"*")</f>
        <v>7826.7999999996882</v>
      </c>
      <c r="BS1501" s="343">
        <f>SUMIFS($AU$1388:AU1502,$AB$1388:AB1502,"*")</f>
        <v>2783.9999999998245</v>
      </c>
      <c r="BT1501" s="343">
        <f>SUMIFS($AU$1388:AU1502,$AC$1388:AC1502,"*")</f>
        <v>4054.3999999999996</v>
      </c>
      <c r="BU1501" s="343">
        <f>SUMIFS($AU$1388:AU1502,$AA$1388:AA1502,"*",$AB$1388:AB1502,"*")</f>
        <v>2511.9999999998245</v>
      </c>
      <c r="BV1501" s="343">
        <f>SUMIFS($AU$1388:AU1502,$AA$1388:AA1502,"*",$AC$1388:AC1502,"*")</f>
        <v>3990.3999999999996</v>
      </c>
      <c r="BW1501" s="343">
        <f>SUMIFS($AU$1388:AU1502,$AB$1388:AB1502,"*",$AC$1388:AC1502,"*")</f>
        <v>2223.9999999999995</v>
      </c>
      <c r="BX1501" s="343">
        <f>SUMIFS($AV$1388:AV1502,$Q$1388:Q1502,"F")</f>
        <v>142.54906832298136</v>
      </c>
      <c r="BY1501" s="343">
        <f>SUMIFS($AV$1388:AV1502,$Q$1388:Q1502,"S")</f>
        <v>211.40861835476863</v>
      </c>
      <c r="BZ1501" s="343">
        <f>SUMIFS($AV$1388:AV1502,$Q$1388:Q1502,"O")</f>
        <v>242.1999999999116</v>
      </c>
    </row>
    <row r="1502" spans="1:78" ht="15.75" customHeight="1">
      <c r="A1502" s="177" t="s">
        <v>4824</v>
      </c>
      <c r="B1502" s="200">
        <v>45322</v>
      </c>
      <c r="C1502" s="178" t="s">
        <v>682</v>
      </c>
      <c r="D1502" s="178" t="s">
        <v>151</v>
      </c>
      <c r="E1502" s="227"/>
      <c r="F1502" s="180"/>
      <c r="G1502" s="181" t="s">
        <v>136</v>
      </c>
      <c r="H1502" s="182"/>
      <c r="I1502" s="182"/>
      <c r="J1502" s="182"/>
      <c r="K1502" s="183"/>
      <c r="L1502" s="182"/>
      <c r="M1502" s="182">
        <v>2</v>
      </c>
      <c r="N1502" s="182"/>
      <c r="O1502" s="183" t="s">
        <v>95</v>
      </c>
      <c r="P1502" s="183" t="s">
        <v>96</v>
      </c>
      <c r="Q1502" s="183" t="s">
        <v>97</v>
      </c>
      <c r="R1502" s="183">
        <v>10</v>
      </c>
      <c r="S1502" s="183">
        <v>0</v>
      </c>
      <c r="T1502" s="183">
        <v>10</v>
      </c>
      <c r="U1502" s="183" t="s">
        <v>97</v>
      </c>
      <c r="V1502" s="183"/>
      <c r="W1502" s="183"/>
      <c r="X1502" s="183"/>
      <c r="Y1502" s="184">
        <f t="shared" si="420"/>
        <v>0.01</v>
      </c>
      <c r="Z1502" s="185">
        <f t="shared" si="421"/>
        <v>1600</v>
      </c>
      <c r="AA1502" s="185"/>
      <c r="AB1502" s="185"/>
      <c r="AC1502" s="185" t="s">
        <v>5139</v>
      </c>
      <c r="AD1502" s="649">
        <v>-0.1</v>
      </c>
      <c r="AE1502" s="182"/>
      <c r="AF1502" s="332"/>
      <c r="AG1502" s="182"/>
      <c r="AH1502" s="182"/>
      <c r="AI1502" s="182"/>
      <c r="AJ1502" s="640"/>
      <c r="AK1502" s="182"/>
      <c r="AL1502" s="496">
        <f t="shared" si="422"/>
        <v>-32</v>
      </c>
      <c r="AM1502" s="496">
        <f t="shared" si="423"/>
        <v>-320</v>
      </c>
      <c r="AN1502" s="626"/>
      <c r="AO1502" s="182"/>
      <c r="AP1502" s="182" t="s">
        <v>5140</v>
      </c>
      <c r="AQ1502" s="332" t="s">
        <v>1259</v>
      </c>
      <c r="AR1502" s="182"/>
      <c r="AS1502" s="189">
        <v>-0.12</v>
      </c>
      <c r="AT1502" s="189">
        <f t="shared" si="424"/>
        <v>1.999999999999999E-2</v>
      </c>
      <c r="AU1502" s="187">
        <f t="shared" si="425"/>
        <v>319.99999999999989</v>
      </c>
      <c r="AV1502" s="190">
        <f t="shared" si="426"/>
        <v>31.999999999999986</v>
      </c>
      <c r="AW1502" s="191" t="s">
        <v>96</v>
      </c>
      <c r="AX1502" s="407"/>
      <c r="AY1502" s="407"/>
      <c r="AZ1502" s="407"/>
      <c r="BA1502" s="407"/>
      <c r="BB1502" s="407"/>
      <c r="BC1502" s="407"/>
      <c r="BD1502" s="407"/>
      <c r="BE1502" s="407"/>
      <c r="BF1502" s="422"/>
      <c r="BG1502" s="391">
        <f>SUM($AV$1389:AV1502)</f>
        <v>924.1576866776694</v>
      </c>
      <c r="BH1502" s="392">
        <f>SUM($AU$1389:AU1502)</f>
        <v>8162.7999999996882</v>
      </c>
      <c r="BI1502" s="318">
        <f>SUMIFS($AU$1388:AU1503,$Q$1388:Q1503,"F")</f>
        <v>4438.3999999999996</v>
      </c>
      <c r="BJ1502" s="318">
        <f>SUMIFS($AU$1388:AU1503,$Q$1388:Q1503,"S")</f>
        <v>3408.0000000000018</v>
      </c>
      <c r="BK1502" s="343">
        <f>SUMIFS($AU$1388:AU1503,$P$1388:P1503,"W")</f>
        <v>6358.3999999998277</v>
      </c>
      <c r="BL1502" s="343">
        <f>SUMIFS($AU$1388:AU1503,$P$1388:P1503,"R")</f>
        <v>2000.0000000000002</v>
      </c>
      <c r="BM1502" s="343">
        <f>SUMIFS($AU$1388:AU1503,$AQ$1388:AQ1503,"M")</f>
        <v>2860.3999999996868</v>
      </c>
      <c r="BN1502" s="343">
        <f>SUMIFS($AU$1388:AU1503,$AQ$1388:AQ1503,"H")</f>
        <v>3088</v>
      </c>
      <c r="BO1502" s="343">
        <f>SUMIFS($AU$1388:AU1503,$AQ$1388:AQ1503,"D")</f>
        <v>1504.0000000000005</v>
      </c>
      <c r="BP1502" s="343">
        <f>SUMIFS($AU$1388:AU1505,$AQ$1388:AQ1505,"W")</f>
        <v>1414.3999999999999</v>
      </c>
      <c r="BQ1502" s="343">
        <f>SUMIFS($AU$1388:AU1503,$Q$1388:Q1503,"O")</f>
        <v>644.39999999967768</v>
      </c>
      <c r="BR1502" s="343">
        <f>SUMIFS($AU$1388:AU1503,$AA$1388:AA1503,"*")</f>
        <v>8530.7999999996882</v>
      </c>
      <c r="BS1502" s="343">
        <f>SUMIFS($AU$1388:AU1503,$AB$1388:AB1503,"*")</f>
        <v>2783.9999999998245</v>
      </c>
      <c r="BT1502" s="343">
        <f>SUMIFS($AU$1388:AU1503,$AC$1388:AC1503,"*")</f>
        <v>4054.3999999999996</v>
      </c>
      <c r="BU1502" s="343">
        <f>SUMIFS($AU$1388:AU1503,$AA$1388:AA1503,"*",$AB$1388:AB1503,"*")</f>
        <v>2511.9999999998245</v>
      </c>
      <c r="BV1502" s="343">
        <f>SUMIFS($AU$1388:AU1503,$AA$1388:AA1503,"*",$AC$1388:AC1503,"*")</f>
        <v>3990.3999999999996</v>
      </c>
      <c r="BW1502" s="343">
        <f>SUMIFS($AU$1388:AU1503,$AB$1388:AB1503,"*",$AC$1388:AC1503,"*")</f>
        <v>2223.9999999999995</v>
      </c>
      <c r="BX1502" s="343">
        <f>SUMIFS($AV$1388:AV1503,$Q$1388:Q1503,"F")</f>
        <v>142.54906832298136</v>
      </c>
      <c r="BY1502" s="343">
        <f>SUMIFS($AV$1388:AV1503,$Q$1388:Q1503,"S")</f>
        <v>227.40861835476863</v>
      </c>
      <c r="BZ1502" s="343">
        <f>SUMIFS($AV$1388:AV1503,$Q$1388:Q1503,"O")</f>
        <v>242.1999999999116</v>
      </c>
    </row>
    <row r="1503" spans="1:78" ht="15.75" customHeight="1">
      <c r="A1503" s="177" t="s">
        <v>4824</v>
      </c>
      <c r="B1503" s="200">
        <v>45322</v>
      </c>
      <c r="C1503" s="178" t="s">
        <v>682</v>
      </c>
      <c r="D1503" s="178" t="s">
        <v>151</v>
      </c>
      <c r="E1503" s="227"/>
      <c r="F1503" s="180"/>
      <c r="G1503" s="181" t="s">
        <v>181</v>
      </c>
      <c r="H1503" s="182"/>
      <c r="I1503" s="182"/>
      <c r="J1503" s="182"/>
      <c r="K1503" s="183"/>
      <c r="L1503" s="182"/>
      <c r="M1503" s="182">
        <v>2</v>
      </c>
      <c r="N1503" s="182"/>
      <c r="O1503" s="183" t="s">
        <v>95</v>
      </c>
      <c r="P1503" s="183" t="s">
        <v>96</v>
      </c>
      <c r="Q1503" s="183" t="s">
        <v>97</v>
      </c>
      <c r="R1503" s="183">
        <v>44</v>
      </c>
      <c r="S1503" s="183">
        <v>0</v>
      </c>
      <c r="T1503" s="183">
        <v>44</v>
      </c>
      <c r="U1503" s="183" t="s">
        <v>22</v>
      </c>
      <c r="V1503" s="183"/>
      <c r="W1503" s="183"/>
      <c r="X1503" s="183"/>
      <c r="Y1503" s="184">
        <f t="shared" si="420"/>
        <v>0.01</v>
      </c>
      <c r="Z1503" s="185">
        <f t="shared" si="421"/>
        <v>1600</v>
      </c>
      <c r="AA1503" s="185" t="s">
        <v>5141</v>
      </c>
      <c r="AB1503" s="185"/>
      <c r="AC1503" s="185"/>
      <c r="AD1503" s="649">
        <v>-0.1</v>
      </c>
      <c r="AE1503" s="182"/>
      <c r="AF1503" s="332"/>
      <c r="AG1503" s="182"/>
      <c r="AH1503" s="182"/>
      <c r="AI1503" s="182"/>
      <c r="AJ1503" s="640"/>
      <c r="AK1503" s="182"/>
      <c r="AL1503" s="496">
        <f t="shared" si="422"/>
        <v>-32</v>
      </c>
      <c r="AM1503" s="496">
        <f t="shared" si="423"/>
        <v>-1408</v>
      </c>
      <c r="AN1503" s="626"/>
      <c r="AO1503" s="182"/>
      <c r="AP1503" s="182" t="s">
        <v>5140</v>
      </c>
      <c r="AQ1503" s="332" t="s">
        <v>1259</v>
      </c>
      <c r="AR1503" s="182"/>
      <c r="AS1503" s="189">
        <v>-0.09</v>
      </c>
      <c r="AT1503" s="189">
        <f t="shared" si="424"/>
        <v>1.0000000000000009E-2</v>
      </c>
      <c r="AU1503" s="187">
        <f t="shared" si="425"/>
        <v>704.00000000000068</v>
      </c>
      <c r="AV1503" s="190">
        <f t="shared" si="426"/>
        <v>16.000000000000014</v>
      </c>
      <c r="AW1503" s="191" t="s">
        <v>96</v>
      </c>
      <c r="AX1503" s="407"/>
      <c r="AY1503" s="407"/>
      <c r="AZ1503" s="407"/>
      <c r="BA1503" s="407" t="s">
        <v>782</v>
      </c>
      <c r="BB1503" s="407"/>
      <c r="BC1503" s="407"/>
      <c r="BD1503" s="407"/>
      <c r="BE1503" s="407"/>
      <c r="BF1503" s="422"/>
      <c r="BG1503" s="391">
        <f>SUM($AV$1389:AV1503)</f>
        <v>940.1576866776694</v>
      </c>
      <c r="BH1503" s="392">
        <f>SUM($AU$1389:AU1503)</f>
        <v>8866.7999999996882</v>
      </c>
      <c r="BI1503" s="318">
        <f>SUMIFS($AU$1388:AU1504,$Q$1388:Q1504,"F")</f>
        <v>4438.3999999999996</v>
      </c>
      <c r="BJ1503" s="318">
        <f>SUMIFS($AU$1388:AU1504,$Q$1388:Q1504,"S")</f>
        <v>3920.0000000000009</v>
      </c>
      <c r="BK1503" s="343">
        <f>SUMIFS($AU$1388:AU1504,$P$1388:P1504,"W")</f>
        <v>6870.3999999998268</v>
      </c>
      <c r="BL1503" s="343">
        <f>SUMIFS($AU$1388:AU1504,$P$1388:P1504,"R")</f>
        <v>2000.0000000000002</v>
      </c>
      <c r="BM1503" s="343">
        <f>SUMIFS($AU$1388:AU1504,$AQ$1388:AQ1504,"M")</f>
        <v>2860.3999999996868</v>
      </c>
      <c r="BN1503" s="343">
        <f>SUMIFS($AU$1388:AU1504,$AQ$1388:AQ1504,"H")</f>
        <v>3599.9999999999991</v>
      </c>
      <c r="BO1503" s="343">
        <f>SUMIFS($AU$1388:AU1504,$AQ$1388:AQ1504,"D")</f>
        <v>1504.0000000000005</v>
      </c>
      <c r="BP1503" s="343">
        <f>SUMIFS($AU$1388:AU1506,$AQ$1388:AQ1506,"W")</f>
        <v>1414.3999999999999</v>
      </c>
      <c r="BQ1503" s="343">
        <f>SUMIFS($AU$1388:AU1504,$Q$1388:Q1504,"O")</f>
        <v>644.39999999967768</v>
      </c>
      <c r="BR1503" s="343">
        <f>SUMIFS($AU$1388:AU1504,$AA$1388:AA1504,"*")</f>
        <v>9042.7999999996882</v>
      </c>
      <c r="BS1503" s="343">
        <f>SUMIFS($AU$1388:AU1504,$AB$1388:AB1504,"*")</f>
        <v>2783.9999999998245</v>
      </c>
      <c r="BT1503" s="343">
        <f>SUMIFS($AU$1388:AU1504,$AC$1388:AC1504,"*")</f>
        <v>4054.3999999999996</v>
      </c>
      <c r="BU1503" s="343">
        <f>SUMIFS($AU$1388:AU1504,$AA$1388:AA1504,"*",$AB$1388:AB1504,"*")</f>
        <v>2511.9999999998245</v>
      </c>
      <c r="BV1503" s="343">
        <f>SUMIFS($AU$1388:AU1504,$AA$1388:AA1504,"*",$AC$1388:AC1504,"*")</f>
        <v>3990.3999999999996</v>
      </c>
      <c r="BW1503" s="343">
        <f>SUMIFS($AU$1388:AU1504,$AB$1388:AB1504,"*",$AC$1388:AC1504,"*")</f>
        <v>2223.9999999999995</v>
      </c>
      <c r="BX1503" s="343">
        <f>SUMIFS($AV$1388:AV1504,$Q$1388:Q1504,"F")</f>
        <v>142.54906832298136</v>
      </c>
      <c r="BY1503" s="343">
        <f>SUMIFS($AV$1388:AV1504,$Q$1388:Q1504,"S")</f>
        <v>239.59909454524481</v>
      </c>
      <c r="BZ1503" s="343">
        <f>SUMIFS($AV$1388:AV1504,$Q$1388:Q1504,"O")</f>
        <v>242.1999999999116</v>
      </c>
    </row>
    <row r="1504" spans="1:78" ht="15.75" customHeight="1">
      <c r="A1504" s="177" t="s">
        <v>4824</v>
      </c>
      <c r="B1504" s="200">
        <v>45322</v>
      </c>
      <c r="C1504" s="178" t="s">
        <v>682</v>
      </c>
      <c r="D1504" s="178" t="s">
        <v>151</v>
      </c>
      <c r="E1504" s="227"/>
      <c r="F1504" s="180"/>
      <c r="G1504" s="281" t="s">
        <v>2016</v>
      </c>
      <c r="H1504" s="182"/>
      <c r="I1504" s="182"/>
      <c r="J1504" s="182"/>
      <c r="K1504" s="183"/>
      <c r="L1504" s="182"/>
      <c r="M1504" s="182">
        <v>2</v>
      </c>
      <c r="N1504" s="182"/>
      <c r="O1504" s="183" t="s">
        <v>95</v>
      </c>
      <c r="P1504" s="183" t="s">
        <v>96</v>
      </c>
      <c r="Q1504" s="183" t="s">
        <v>97</v>
      </c>
      <c r="R1504" s="183">
        <v>42</v>
      </c>
      <c r="S1504" s="183">
        <v>0</v>
      </c>
      <c r="T1504" s="183">
        <v>32</v>
      </c>
      <c r="U1504" s="183" t="s">
        <v>22</v>
      </c>
      <c r="V1504" s="183"/>
      <c r="W1504" s="183"/>
      <c r="X1504" s="183"/>
      <c r="Y1504" s="184">
        <f t="shared" si="420"/>
        <v>0.01</v>
      </c>
      <c r="Z1504" s="185">
        <f t="shared" si="421"/>
        <v>1600</v>
      </c>
      <c r="AA1504" s="185" t="s">
        <v>5142</v>
      </c>
      <c r="AB1504" s="185"/>
      <c r="AC1504" s="185"/>
      <c r="AD1504" s="649">
        <f>((-0.14*10)+(-0.15*32))/42</f>
        <v>-0.14761904761904762</v>
      </c>
      <c r="AE1504" s="182"/>
      <c r="AF1504" s="332"/>
      <c r="AG1504" s="182"/>
      <c r="AH1504" s="182"/>
      <c r="AI1504" s="182"/>
      <c r="AJ1504" s="640"/>
      <c r="AK1504" s="182"/>
      <c r="AL1504" s="496">
        <f>-0.03*Z1504</f>
        <v>-48</v>
      </c>
      <c r="AM1504" s="496">
        <f t="shared" si="423"/>
        <v>-2016</v>
      </c>
      <c r="AN1504" s="626"/>
      <c r="AO1504" s="182"/>
      <c r="AP1504" s="182" t="s">
        <v>937</v>
      </c>
      <c r="AQ1504" s="332" t="s">
        <v>372</v>
      </c>
      <c r="AR1504" s="182" t="s">
        <v>5143</v>
      </c>
      <c r="AS1504" s="189">
        <v>-0.14000000000000001</v>
      </c>
      <c r="AT1504" s="189">
        <f t="shared" si="424"/>
        <v>7.6190476190476086E-3</v>
      </c>
      <c r="AU1504" s="187">
        <f t="shared" si="425"/>
        <v>511.99999999999932</v>
      </c>
      <c r="AV1504" s="190">
        <f t="shared" si="426"/>
        <v>12.190476190476174</v>
      </c>
      <c r="AW1504" s="191" t="s">
        <v>96</v>
      </c>
      <c r="AX1504" s="407"/>
      <c r="AY1504" s="407"/>
      <c r="AZ1504" s="407"/>
      <c r="BA1504" s="407" t="s">
        <v>5144</v>
      </c>
      <c r="BB1504" s="407"/>
      <c r="BC1504" s="407"/>
      <c r="BD1504" s="407"/>
      <c r="BE1504" s="407"/>
      <c r="BF1504" s="422"/>
      <c r="BG1504" s="391">
        <f>SUM($AV$1389:AV1504)</f>
        <v>952.34816286814555</v>
      </c>
      <c r="BH1504" s="392">
        <f>SUM($AU$1389:AU1504)</f>
        <v>9378.7999999996882</v>
      </c>
      <c r="BI1504" s="318">
        <f>SUMIFS($AU$1388:AU1505,$Q$1388:Q1505,"F")</f>
        <v>4438.3999999999996</v>
      </c>
      <c r="BJ1504" s="318">
        <f>SUMIFS($AU$1388:AU1505,$Q$1388:Q1505,"S")</f>
        <v>3920.0000000000009</v>
      </c>
      <c r="BK1504" s="343">
        <f>SUMIFS($AU$1388:AU1505,$P$1388:P1505,"W")</f>
        <v>6870.3999999998268</v>
      </c>
      <c r="BL1504" s="343">
        <f>SUMIFS($AU$1388:AU1505,$P$1388:P1505,"R")</f>
        <v>2000.0000000000002</v>
      </c>
      <c r="BM1504" s="343">
        <f>SUMIFS($AU$1388:AU1505,$AQ$1388:AQ1505,"M")</f>
        <v>2860.3999999996868</v>
      </c>
      <c r="BN1504" s="343">
        <f>SUMIFS($AU$1388:AU1505,$AQ$1388:AQ1505,"H")</f>
        <v>3599.9999999999991</v>
      </c>
      <c r="BO1504" s="343">
        <f>SUMIFS($AU$1388:AU1505,$AQ$1388:AQ1505,"D")</f>
        <v>1504.0000000000005</v>
      </c>
      <c r="BP1504" s="343">
        <f>SUMIFS($AU$1388:AU1507,$AQ$1388:AQ1507,"W")</f>
        <v>1414.3999999999999</v>
      </c>
      <c r="BQ1504" s="343">
        <f>SUMIFS($AU$1388:AU1505,$Q$1388:Q1505,"O")</f>
        <v>644.39999999967768</v>
      </c>
      <c r="BR1504" s="343">
        <f>SUMIFS($AU$1388:AU1505,$AA$1388:AA1505,"*")</f>
        <v>9042.7999999996882</v>
      </c>
      <c r="BS1504" s="343">
        <f>SUMIFS($AU$1388:AU1505,$AB$1388:AB1505,"*")</f>
        <v>2783.9999999998245</v>
      </c>
      <c r="BT1504" s="343">
        <f>SUMIFS($AU$1388:AU1505,$AC$1388:AC1505,"*")</f>
        <v>4054.3999999999996</v>
      </c>
      <c r="BU1504" s="343">
        <f>SUMIFS($AU$1388:AU1505,$AA$1388:AA1505,"*",$AB$1388:AB1505,"*")</f>
        <v>2511.9999999998245</v>
      </c>
      <c r="BV1504" s="343">
        <f>SUMIFS($AU$1388:AU1505,$AA$1388:AA1505,"*",$AC$1388:AC1505,"*")</f>
        <v>3990.3999999999996</v>
      </c>
      <c r="BW1504" s="343">
        <f>SUMIFS($AU$1388:AU1505,$AB$1388:AB1505,"*",$AC$1388:AC1505,"*")</f>
        <v>2223.9999999999995</v>
      </c>
      <c r="BX1504" s="343">
        <f>SUMIFS($AV$1388:AV1505,$Q$1388:Q1505,"F")</f>
        <v>142.54906832298136</v>
      </c>
      <c r="BY1504" s="343">
        <f>SUMIFS($AV$1388:AV1505,$Q$1388:Q1505,"S")</f>
        <v>239.59909454524481</v>
      </c>
      <c r="BZ1504" s="343">
        <f>SUMIFS($AV$1388:AV1505,$Q$1388:Q1505,"O")</f>
        <v>242.1999999999116</v>
      </c>
    </row>
    <row r="1505" spans="1:78" ht="15.75" customHeight="1">
      <c r="A1505" s="177" t="s">
        <v>4824</v>
      </c>
      <c r="B1505" s="200">
        <v>45322</v>
      </c>
      <c r="C1505" s="178" t="s">
        <v>682</v>
      </c>
      <c r="D1505" s="178" t="s">
        <v>151</v>
      </c>
      <c r="E1505" s="227"/>
      <c r="F1505" s="180"/>
      <c r="G1505" s="181" t="s">
        <v>2807</v>
      </c>
      <c r="H1505" s="182"/>
      <c r="I1505" s="182"/>
      <c r="J1505" s="182"/>
      <c r="K1505" s="183"/>
      <c r="L1505" s="182"/>
      <c r="M1505" s="182"/>
      <c r="N1505" s="182"/>
      <c r="O1505" s="183"/>
      <c r="P1505" s="183"/>
      <c r="Q1505" s="183"/>
      <c r="R1505" s="183"/>
      <c r="S1505" s="183"/>
      <c r="T1505" s="183"/>
      <c r="U1505" s="183"/>
      <c r="V1505" s="183"/>
      <c r="W1505" s="183"/>
      <c r="X1505" s="183"/>
      <c r="Y1505" s="184"/>
      <c r="Z1505" s="185"/>
      <c r="AA1505" s="185"/>
      <c r="AB1505" s="185"/>
      <c r="AC1505" s="185"/>
      <c r="AD1505" s="649"/>
      <c r="AE1505" s="182"/>
      <c r="AF1505" s="332"/>
      <c r="AG1505" s="182"/>
      <c r="AH1505" s="182"/>
      <c r="AI1505" s="182"/>
      <c r="AJ1505" s="640"/>
      <c r="AK1505" s="182"/>
      <c r="AL1505" s="496">
        <f t="shared" si="422"/>
        <v>0</v>
      </c>
      <c r="AM1505" s="496">
        <f t="shared" si="423"/>
        <v>0</v>
      </c>
      <c r="AN1505" s="626"/>
      <c r="AO1505" s="182"/>
      <c r="AP1505" s="182"/>
      <c r="AQ1505" s="332" t="str">
        <f>UPPER(RIGHT(Journal_Live[[#This Row],[DURATION ]]))</f>
        <v/>
      </c>
      <c r="AR1505" s="182"/>
      <c r="AS1505" s="189"/>
      <c r="AT1505" s="189">
        <f t="shared" si="424"/>
        <v>0</v>
      </c>
      <c r="AU1505" s="187">
        <f t="shared" si="425"/>
        <v>0</v>
      </c>
      <c r="AV1505" s="190">
        <f t="shared" si="426"/>
        <v>0</v>
      </c>
      <c r="AW1505" s="191"/>
      <c r="AX1505" s="407"/>
      <c r="AY1505" s="407"/>
      <c r="AZ1505" s="407"/>
      <c r="BA1505" s="407"/>
      <c r="BB1505" s="407"/>
      <c r="BC1505" s="407"/>
      <c r="BD1505" s="407"/>
      <c r="BE1505" s="407"/>
      <c r="BF1505" s="422"/>
      <c r="BG1505" s="391">
        <f>SUM($AV$1389:AV1505)</f>
        <v>952.34816286814555</v>
      </c>
      <c r="BH1505" s="392">
        <f>SUM($AU$1389:AU1505)</f>
        <v>9378.7999999996882</v>
      </c>
      <c r="BI1505" s="318">
        <f>SUMIFS($AU$1388:AU1506,$Q$1388:Q1506,"F")</f>
        <v>4438.3999999999996</v>
      </c>
      <c r="BJ1505" s="318">
        <f>SUMIFS($AU$1388:AU1506,$Q$1388:Q1506,"S")</f>
        <v>3920.0000000000009</v>
      </c>
      <c r="BK1505" s="343">
        <f>SUMIFS($AU$1388:AU1506,$P$1388:P1506,"W")</f>
        <v>6870.3999999998268</v>
      </c>
      <c r="BL1505" s="343">
        <f>SUMIFS($AU$1388:AU1506,$P$1388:P1506,"R")</f>
        <v>2000.0000000000002</v>
      </c>
      <c r="BM1505" s="343">
        <f>SUMIFS($AU$1388:AU1506,$AQ$1388:AQ1506,"M")</f>
        <v>2860.3999999996868</v>
      </c>
      <c r="BN1505" s="343">
        <f>SUMIFS($AU$1388:AU1506,$AQ$1388:AQ1506,"H")</f>
        <v>3599.9999999999991</v>
      </c>
      <c r="BO1505" s="343">
        <f>SUMIFS($AU$1388:AU1506,$AQ$1388:AQ1506,"D")</f>
        <v>1504.0000000000005</v>
      </c>
      <c r="BP1505" s="343">
        <f>SUMIFS($AU$1388:AU1508,$AQ$1388:AQ1508,"W")</f>
        <v>1414.3999999999999</v>
      </c>
      <c r="BQ1505" s="343">
        <f>SUMIFS($AU$1388:AU1506,$Q$1388:Q1506,"O")</f>
        <v>644.39999999967768</v>
      </c>
      <c r="BR1505" s="343">
        <f>SUMIFS($AU$1388:AU1506,$AA$1388:AA1506,"*")</f>
        <v>9042.7999999996882</v>
      </c>
      <c r="BS1505" s="343">
        <f>SUMIFS($AU$1388:AU1506,$AB$1388:AB1506,"*")</f>
        <v>2783.9999999998245</v>
      </c>
      <c r="BT1505" s="343">
        <f>SUMIFS($AU$1388:AU1506,$AC$1388:AC1506,"*")</f>
        <v>4054.3999999999996</v>
      </c>
      <c r="BU1505" s="343">
        <f>SUMIFS($AU$1388:AU1506,$AA$1388:AA1506,"*",$AB$1388:AB1506,"*")</f>
        <v>2511.9999999998245</v>
      </c>
      <c r="BV1505" s="343">
        <f>SUMIFS($AU$1388:AU1506,$AA$1388:AA1506,"*",$AC$1388:AC1506,"*")</f>
        <v>3990.3999999999996</v>
      </c>
      <c r="BW1505" s="343">
        <f>SUMIFS($AU$1388:AU1506,$AB$1388:AB1506,"*",$AC$1388:AC1506,"*")</f>
        <v>2223.9999999999995</v>
      </c>
      <c r="BX1505" s="343">
        <f>SUMIFS($AV$1388:AV1506,$Q$1388:Q1506,"F")</f>
        <v>142.54906832298136</v>
      </c>
      <c r="BY1505" s="343">
        <f>SUMIFS($AV$1388:AV1506,$Q$1388:Q1506,"S")</f>
        <v>239.59909454524481</v>
      </c>
      <c r="BZ1505" s="343">
        <f>SUMIFS($AV$1388:AV1506,$Q$1388:Q1506,"O")</f>
        <v>242.1999999999116</v>
      </c>
    </row>
    <row r="1506" spans="1:78" ht="15.75" customHeight="1">
      <c r="A1506" s="177" t="s">
        <v>4824</v>
      </c>
      <c r="B1506" s="200">
        <v>45322</v>
      </c>
      <c r="C1506" s="178" t="s">
        <v>5145</v>
      </c>
      <c r="D1506" s="178" t="s">
        <v>151</v>
      </c>
      <c r="E1506" s="227"/>
      <c r="F1506" s="180"/>
      <c r="G1506" s="181" t="s">
        <v>136</v>
      </c>
      <c r="H1506" s="182"/>
      <c r="I1506" s="182"/>
      <c r="J1506" s="182"/>
      <c r="K1506" s="183"/>
      <c r="L1506" s="182"/>
      <c r="M1506" s="182"/>
      <c r="N1506" s="182"/>
      <c r="O1506" s="183"/>
      <c r="P1506" s="183"/>
      <c r="Q1506" s="183"/>
      <c r="R1506" s="183"/>
      <c r="S1506" s="183"/>
      <c r="T1506" s="183"/>
      <c r="U1506" s="183"/>
      <c r="V1506" s="183"/>
      <c r="W1506" s="183"/>
      <c r="X1506" s="183"/>
      <c r="Y1506" s="184" t="str">
        <f>IF(ISBLANK(O1506),"",(IF(O1506=UPPER("IB"),0.005,0.01)))</f>
        <v/>
      </c>
      <c r="Z1506" s="185" t="str">
        <f>IF(ISBLANK(O1506),"",IF(O1506="IB",8.63*200,IF(O1506="IR",16*100,IF(O1506="YT",20*100,IF(O1506="YT-XT",24*200,IF(O1506="TED",80*100))))))</f>
        <v/>
      </c>
      <c r="AA1506" s="185"/>
      <c r="AB1506" s="185"/>
      <c r="AC1506" s="185"/>
      <c r="AD1506" s="649"/>
      <c r="AE1506" s="182"/>
      <c r="AF1506" s="332"/>
      <c r="AG1506" s="182"/>
      <c r="AH1506" s="182"/>
      <c r="AI1506" s="182"/>
      <c r="AJ1506" s="640"/>
      <c r="AK1506" s="182"/>
      <c r="AL1506" s="496"/>
      <c r="AM1506" s="496"/>
      <c r="AN1506" s="626"/>
      <c r="AO1506" s="182"/>
      <c r="AP1506" s="182"/>
      <c r="AQ1506" s="332" t="str">
        <f>UPPER(RIGHT(Journal_Live[[#This Row],[DURATION ]]))</f>
        <v/>
      </c>
      <c r="AR1506" s="182"/>
      <c r="AS1506" s="189"/>
      <c r="AT1506" s="189"/>
      <c r="AU1506" s="187"/>
      <c r="AV1506" s="190"/>
      <c r="AW1506" s="191"/>
      <c r="AX1506" s="407"/>
      <c r="AY1506" s="407"/>
      <c r="AZ1506" s="407"/>
      <c r="BA1506" s="407"/>
      <c r="BB1506" s="407"/>
      <c r="BC1506" s="407"/>
      <c r="BD1506" s="407"/>
      <c r="BE1506" s="407"/>
      <c r="BF1506" s="422"/>
      <c r="BG1506" s="391">
        <f>SUM($AV$1389:AV1506)</f>
        <v>952.34816286814555</v>
      </c>
      <c r="BH1506" s="392">
        <f>SUM($AU$1389:AU1506)</f>
        <v>9378.7999999996882</v>
      </c>
      <c r="BI1506" s="318">
        <f>SUMIFS($AU$1388:AU1507,$Q$1388:Q1507,"F")</f>
        <v>4438.3999999999996</v>
      </c>
      <c r="BJ1506" s="318">
        <f>SUMIFS($AU$1388:AU1507,$Q$1388:Q1507,"S")</f>
        <v>3920.0000000000009</v>
      </c>
      <c r="BK1506" s="343">
        <f>SUMIFS($AU$1388:AU1507,$P$1388:P1507,"W")</f>
        <v>6870.3999999998268</v>
      </c>
      <c r="BL1506" s="343">
        <f>SUMIFS($AU$1388:AU1507,$P$1388:P1507,"R")</f>
        <v>2000.0000000000002</v>
      </c>
      <c r="BM1506" s="343">
        <f>SUMIFS($AU$1388:AU1507,$AQ$1388:AQ1507,"M")</f>
        <v>2860.3999999996868</v>
      </c>
      <c r="BN1506" s="343">
        <f>SUMIFS($AU$1388:AU1507,$AQ$1388:AQ1507,"H")</f>
        <v>3599.9999999999991</v>
      </c>
      <c r="BO1506" s="343">
        <f>SUMIFS($AU$1388:AU1507,$AQ$1388:AQ1507,"D")</f>
        <v>1504.0000000000005</v>
      </c>
      <c r="BP1506" s="343">
        <f>SUMIFS($AU$1388:AU1509,$AQ$1388:AQ1509,"W")</f>
        <v>1414.3999999999999</v>
      </c>
      <c r="BQ1506" s="343">
        <f>SUMIFS($AU$1388:AU1507,$Q$1388:Q1507,"O")</f>
        <v>644.39999999967768</v>
      </c>
      <c r="BR1506" s="343">
        <f>SUMIFS($AU$1388:AU1507,$AA$1388:AA1507,"*")</f>
        <v>9042.7999999996882</v>
      </c>
      <c r="BS1506" s="343">
        <f>SUMIFS($AU$1388:AU1507,$AB$1388:AB1507,"*")</f>
        <v>2783.9999999998245</v>
      </c>
      <c r="BT1506" s="343">
        <f>SUMIFS($AU$1388:AU1507,$AC$1388:AC1507,"*")</f>
        <v>4054.3999999999996</v>
      </c>
      <c r="BU1506" s="343">
        <f>SUMIFS($AU$1388:AU1507,$AA$1388:AA1507,"*",$AB$1388:AB1507,"*")</f>
        <v>2511.9999999998245</v>
      </c>
      <c r="BV1506" s="343">
        <f>SUMIFS($AU$1388:AU1507,$AA$1388:AA1507,"*",$AC$1388:AC1507,"*")</f>
        <v>3990.3999999999996</v>
      </c>
      <c r="BW1506" s="343">
        <f>SUMIFS($AU$1388:AU1507,$AB$1388:AB1507,"*",$AC$1388:AC1507,"*")</f>
        <v>2223.9999999999995</v>
      </c>
      <c r="BX1506" s="343">
        <f>SUMIFS($AV$1388:AV1507,$Q$1388:Q1507,"F")</f>
        <v>142.54906832298136</v>
      </c>
      <c r="BY1506" s="343">
        <f>SUMIFS($AV$1388:AV1507,$Q$1388:Q1507,"S")</f>
        <v>239.59909454524481</v>
      </c>
      <c r="BZ1506" s="343">
        <f>SUMIFS($AV$1388:AV1507,$Q$1388:Q1507,"O")</f>
        <v>242.1999999999116</v>
      </c>
    </row>
    <row r="1507" spans="1:78" ht="15.75" customHeight="1">
      <c r="A1507" s="177" t="s">
        <v>4824</v>
      </c>
      <c r="B1507" s="200">
        <v>45322</v>
      </c>
      <c r="C1507" s="178" t="s">
        <v>5146</v>
      </c>
      <c r="D1507" s="178" t="s">
        <v>151</v>
      </c>
      <c r="E1507" s="227"/>
      <c r="F1507" s="180"/>
      <c r="G1507" s="181" t="s">
        <v>136</v>
      </c>
      <c r="H1507" s="182"/>
      <c r="I1507" s="182"/>
      <c r="J1507" s="182"/>
      <c r="K1507" s="183"/>
      <c r="L1507" s="182"/>
      <c r="M1507" s="182"/>
      <c r="N1507" s="182"/>
      <c r="O1507" s="183"/>
      <c r="P1507" s="183"/>
      <c r="Q1507" s="183"/>
      <c r="R1507" s="183"/>
      <c r="S1507" s="183"/>
      <c r="T1507" s="183"/>
      <c r="U1507" s="183"/>
      <c r="V1507" s="183"/>
      <c r="W1507" s="183"/>
      <c r="X1507" s="183"/>
      <c r="Y1507" s="184"/>
      <c r="Z1507" s="185"/>
      <c r="AA1507" s="185"/>
      <c r="AB1507" s="185"/>
      <c r="AC1507" s="185"/>
      <c r="AD1507" s="649"/>
      <c r="AE1507" s="182"/>
      <c r="AF1507" s="332"/>
      <c r="AG1507" s="182"/>
      <c r="AH1507" s="182"/>
      <c r="AI1507" s="182"/>
      <c r="AJ1507" s="640"/>
      <c r="AK1507" s="182"/>
      <c r="AL1507" s="496">
        <f t="shared" si="411"/>
        <v>0</v>
      </c>
      <c r="AM1507" s="496">
        <f t="shared" ref="AM1507:AM1524" si="427">AL1507*(R1507-S1507)</f>
        <v>0</v>
      </c>
      <c r="AN1507" s="626"/>
      <c r="AO1507" s="182"/>
      <c r="AP1507" s="182"/>
      <c r="AQ1507" s="332" t="str">
        <f>UPPER(RIGHT(Journal_Live[[#This Row],[DURATION ]]))</f>
        <v/>
      </c>
      <c r="AR1507" s="182"/>
      <c r="AS1507" s="189"/>
      <c r="AT1507" s="189"/>
      <c r="AU1507" s="187"/>
      <c r="AV1507" s="190"/>
      <c r="AW1507" s="191"/>
      <c r="AX1507" s="407"/>
      <c r="AY1507" s="407"/>
      <c r="AZ1507" s="407"/>
      <c r="BA1507" s="407"/>
      <c r="BB1507" s="407"/>
      <c r="BC1507" s="407"/>
      <c r="BD1507" s="407"/>
      <c r="BE1507" s="407"/>
      <c r="BF1507" s="422"/>
      <c r="BG1507" s="391">
        <f>SUM($AV$1389:AV1507)</f>
        <v>952.34816286814555</v>
      </c>
      <c r="BH1507" s="392">
        <f>SUM($AU$1389:AU1507)</f>
        <v>9378.7999999996882</v>
      </c>
      <c r="BI1507" s="318">
        <f>SUMIFS($AU$1388:AU1508,$Q$1388:Q1508,"F")</f>
        <v>4438.3999999999996</v>
      </c>
      <c r="BJ1507" s="318">
        <f>SUMIFS($AU$1388:AU1508,$Q$1388:Q1508,"S")</f>
        <v>3920.0000000000009</v>
      </c>
      <c r="BK1507" s="343">
        <f>SUMIFS($AU$1388:AU1508,$P$1388:P1508,"W")</f>
        <v>6870.3999999998268</v>
      </c>
      <c r="BL1507" s="343">
        <f>SUMIFS($AU$1388:AU1508,$P$1388:P1508,"R")</f>
        <v>2000.0000000000002</v>
      </c>
      <c r="BM1507" s="343">
        <f>SUMIFS($AU$1388:AU1508,$AQ$1388:AQ1508,"M")</f>
        <v>2860.3999999996868</v>
      </c>
      <c r="BN1507" s="343">
        <f>SUMIFS($AU$1388:AU1508,$AQ$1388:AQ1508,"H")</f>
        <v>3599.9999999999991</v>
      </c>
      <c r="BO1507" s="343">
        <f>SUMIFS($AU$1388:AU1508,$AQ$1388:AQ1508,"D")</f>
        <v>1504.0000000000005</v>
      </c>
      <c r="BP1507" s="343">
        <f>SUMIFS($AU$1388:AU1510,$AQ$1388:AQ1510,"W")</f>
        <v>1414.3999999999999</v>
      </c>
      <c r="BQ1507" s="343">
        <f>SUMIFS($AU$1388:AU1508,$Q$1388:Q1508,"O")</f>
        <v>644.39999999967768</v>
      </c>
      <c r="BR1507" s="343">
        <f>SUMIFS($AU$1388:AU1508,$AA$1388:AA1508,"*")</f>
        <v>9042.7999999996882</v>
      </c>
      <c r="BS1507" s="343">
        <f>SUMIFS($AU$1388:AU1508,$AB$1388:AB1508,"*")</f>
        <v>2783.9999999998245</v>
      </c>
      <c r="BT1507" s="343">
        <f>SUMIFS($AU$1388:AU1508,$AC$1388:AC1508,"*")</f>
        <v>4054.3999999999996</v>
      </c>
      <c r="BU1507" s="343">
        <f>SUMIFS($AU$1388:AU1508,$AA$1388:AA1508,"*",$AB$1388:AB1508,"*")</f>
        <v>2511.9999999998245</v>
      </c>
      <c r="BV1507" s="343">
        <f>SUMIFS($AU$1388:AU1508,$AA$1388:AA1508,"*",$AC$1388:AC1508,"*")</f>
        <v>3990.3999999999996</v>
      </c>
      <c r="BW1507" s="343">
        <f>SUMIFS($AU$1388:AU1508,$AB$1388:AB1508,"*",$AC$1388:AC1508,"*")</f>
        <v>2223.9999999999995</v>
      </c>
      <c r="BX1507" s="343">
        <f>SUMIFS($AV$1388:AV1508,$Q$1388:Q1508,"F")</f>
        <v>142.54906832298136</v>
      </c>
      <c r="BY1507" s="343">
        <f>SUMIFS($AV$1388:AV1508,$Q$1388:Q1508,"S")</f>
        <v>239.59909454524481</v>
      </c>
      <c r="BZ1507" s="343">
        <f>SUMIFS($AV$1388:AV1508,$Q$1388:Q1508,"O")</f>
        <v>242.1999999999116</v>
      </c>
    </row>
    <row r="1508" spans="1:78" ht="15.75" customHeight="1">
      <c r="A1508" s="177" t="s">
        <v>4824</v>
      </c>
      <c r="B1508" s="200">
        <v>45322</v>
      </c>
      <c r="C1508" s="178" t="s">
        <v>5147</v>
      </c>
      <c r="D1508" s="178" t="s">
        <v>151</v>
      </c>
      <c r="E1508" s="227"/>
      <c r="F1508" s="180"/>
      <c r="G1508" s="281" t="s">
        <v>181</v>
      </c>
      <c r="H1508" s="182"/>
      <c r="I1508" s="182"/>
      <c r="J1508" s="182"/>
      <c r="K1508" s="183"/>
      <c r="L1508" s="182">
        <v>1</v>
      </c>
      <c r="M1508" s="182"/>
      <c r="N1508" s="182"/>
      <c r="O1508" s="183" t="s">
        <v>95</v>
      </c>
      <c r="P1508" s="183" t="s">
        <v>96</v>
      </c>
      <c r="Q1508" s="183" t="s">
        <v>97</v>
      </c>
      <c r="R1508" s="183">
        <v>22</v>
      </c>
      <c r="S1508" s="183">
        <v>0</v>
      </c>
      <c r="T1508" s="183">
        <v>22</v>
      </c>
      <c r="U1508" s="183" t="s">
        <v>22</v>
      </c>
      <c r="V1508" s="183"/>
      <c r="W1508" s="183"/>
      <c r="X1508" s="183"/>
      <c r="Y1508" s="184">
        <f>IF(ISBLANK(O1508),"",(IF(O1508=UPPER("IB"),0.005,0.01)))</f>
        <v>0.01</v>
      </c>
      <c r="Z1508" s="185">
        <f>IF(ISBLANK(O1508),"",IF(O1508="IB",8.63*200,IF(O1508="IR",16*100,IF(O1508="YT",20*100,IF(O1508="YT-XT",24*200,IF(O1508="TED",80*100))))))</f>
        <v>1600</v>
      </c>
      <c r="AA1508" s="185" t="s">
        <v>5148</v>
      </c>
      <c r="AB1508" s="185"/>
      <c r="AC1508" s="185"/>
      <c r="AD1508" s="649">
        <v>-0.12</v>
      </c>
      <c r="AE1508" s="182"/>
      <c r="AF1508" s="332"/>
      <c r="AG1508" s="182"/>
      <c r="AH1508" s="182"/>
      <c r="AI1508" s="182"/>
      <c r="AJ1508" s="640"/>
      <c r="AK1508" s="182"/>
      <c r="AL1508" s="496">
        <f t="shared" si="411"/>
        <v>-32</v>
      </c>
      <c r="AM1508" s="496">
        <f t="shared" si="427"/>
        <v>-704</v>
      </c>
      <c r="AN1508" s="626"/>
      <c r="AO1508" s="182"/>
      <c r="AP1508" s="182" t="s">
        <v>4007</v>
      </c>
      <c r="AQ1508" s="332" t="s">
        <v>1259</v>
      </c>
      <c r="AR1508" s="182" t="s">
        <v>5149</v>
      </c>
      <c r="AS1508" s="189">
        <v>-0.12</v>
      </c>
      <c r="AT1508" s="189">
        <f>IF(ISBLANK(AS1508),,IF(U1508="S",AD1508-AS1508,AS1508-AD1508))</f>
        <v>0</v>
      </c>
      <c r="AU1508" s="187">
        <f>AV1508*R1508</f>
        <v>0</v>
      </c>
      <c r="AV1508" s="190">
        <f>IF(ISBLANK(AS1508),,(AT1508*Z1508))</f>
        <v>0</v>
      </c>
      <c r="AW1508" s="191" t="s">
        <v>115</v>
      </c>
      <c r="AX1508" s="407" t="s">
        <v>5150</v>
      </c>
      <c r="AY1508" s="407" t="s">
        <v>5151</v>
      </c>
      <c r="AZ1508" s="407" t="s">
        <v>5152</v>
      </c>
      <c r="BA1508" s="407"/>
      <c r="BB1508" s="407"/>
      <c r="BC1508" s="407"/>
      <c r="BD1508" s="407"/>
      <c r="BE1508" s="407"/>
      <c r="BF1508" s="422"/>
      <c r="BG1508" s="391">
        <f>SUM($AV$1389:AV1508)</f>
        <v>952.34816286814555</v>
      </c>
      <c r="BH1508" s="392">
        <f>SUM($AU$1389:AU1508)</f>
        <v>9378.7999999996882</v>
      </c>
      <c r="BI1508" s="318">
        <f>SUMIFS($AU$1388:AU1509,$Q$1388:Q1509,"F")</f>
        <v>4438.3999999999996</v>
      </c>
      <c r="BJ1508" s="318">
        <f>SUMIFS($AU$1388:AU1509,$Q$1388:Q1509,"S")</f>
        <v>3920.0000000000009</v>
      </c>
      <c r="BK1508" s="343">
        <f>SUMIFS($AU$1388:AU1509,$P$1388:P1509,"W")</f>
        <v>6870.3999999998268</v>
      </c>
      <c r="BL1508" s="343">
        <f>SUMIFS($AU$1388:AU1509,$P$1388:P1509,"R")</f>
        <v>2000.0000000000002</v>
      </c>
      <c r="BM1508" s="343">
        <f>SUMIFS($AU$1388:AU1509,$AQ$1388:AQ1509,"M")</f>
        <v>2860.3999999996868</v>
      </c>
      <c r="BN1508" s="343">
        <f>SUMIFS($AU$1388:AU1509,$AQ$1388:AQ1509,"H")</f>
        <v>3599.9999999999991</v>
      </c>
      <c r="BO1508" s="343">
        <f>SUMIFS($AU$1388:AU1509,$AQ$1388:AQ1509,"D")</f>
        <v>1504.0000000000005</v>
      </c>
      <c r="BP1508" s="343">
        <f>SUMIFS($AU$1388:AU1511,$AQ$1388:AQ1511,"W")</f>
        <v>1414.3999999999999</v>
      </c>
      <c r="BQ1508" s="343">
        <f>SUMIFS($AU$1388:AU1509,$Q$1388:Q1509,"O")</f>
        <v>644.39999999967768</v>
      </c>
      <c r="BR1508" s="343">
        <f>SUMIFS($AU$1388:AU1509,$AA$1388:AA1509,"*")</f>
        <v>9042.7999999996882</v>
      </c>
      <c r="BS1508" s="343">
        <f>SUMIFS($AU$1388:AU1509,$AB$1388:AB1509,"*")</f>
        <v>2783.9999999998245</v>
      </c>
      <c r="BT1508" s="343">
        <f>SUMIFS($AU$1388:AU1509,$AC$1388:AC1509,"*")</f>
        <v>4054.3999999999996</v>
      </c>
      <c r="BU1508" s="343">
        <f>SUMIFS($AU$1388:AU1509,$AA$1388:AA1509,"*",$AB$1388:AB1509,"*")</f>
        <v>2511.9999999998245</v>
      </c>
      <c r="BV1508" s="343">
        <f>SUMIFS($AU$1388:AU1509,$AA$1388:AA1509,"*",$AC$1388:AC1509,"*")</f>
        <v>3990.3999999999996</v>
      </c>
      <c r="BW1508" s="343">
        <f>SUMIFS($AU$1388:AU1509,$AB$1388:AB1509,"*",$AC$1388:AC1509,"*")</f>
        <v>2223.9999999999995</v>
      </c>
      <c r="BX1508" s="343">
        <f>SUMIFS($AV$1388:AV1509,$Q$1388:Q1509,"F")</f>
        <v>142.54906832298136</v>
      </c>
      <c r="BY1508" s="343">
        <f>SUMIFS($AV$1388:AV1509,$Q$1388:Q1509,"S")</f>
        <v>239.59909454524481</v>
      </c>
      <c r="BZ1508" s="343">
        <f>SUMIFS($AV$1388:AV1509,$Q$1388:Q1509,"O")</f>
        <v>242.1999999999116</v>
      </c>
    </row>
    <row r="1509" spans="1:78" ht="15.75" customHeight="1">
      <c r="A1509" s="177" t="s">
        <v>4824</v>
      </c>
      <c r="B1509" s="200"/>
      <c r="C1509" s="178"/>
      <c r="D1509" s="178"/>
      <c r="E1509" s="227"/>
      <c r="F1509" s="180"/>
      <c r="G1509" s="181"/>
      <c r="H1509" s="182"/>
      <c r="I1509" s="182"/>
      <c r="J1509" s="182"/>
      <c r="K1509" s="183"/>
      <c r="L1509" s="182"/>
      <c r="M1509" s="182"/>
      <c r="N1509" s="182"/>
      <c r="O1509" s="183"/>
      <c r="P1509" s="183"/>
      <c r="Q1509" s="183"/>
      <c r="R1509" s="183"/>
      <c r="S1509" s="183"/>
      <c r="T1509" s="183"/>
      <c r="U1509" s="183"/>
      <c r="V1509" s="183"/>
      <c r="W1509" s="183"/>
      <c r="X1509" s="183"/>
      <c r="Y1509" s="184"/>
      <c r="Z1509" s="185"/>
      <c r="AA1509" s="185"/>
      <c r="AB1509" s="185"/>
      <c r="AC1509" s="185"/>
      <c r="AD1509" s="649"/>
      <c r="AE1509" s="182"/>
      <c r="AF1509" s="332"/>
      <c r="AG1509" s="182"/>
      <c r="AH1509" s="182"/>
      <c r="AI1509" s="182"/>
      <c r="AJ1509" s="640"/>
      <c r="AK1509" s="182"/>
      <c r="AL1509" s="496">
        <f t="shared" ref="AL1509:AL1510" si="428">-0.02*Z1509</f>
        <v>0</v>
      </c>
      <c r="AM1509" s="496">
        <f t="shared" si="427"/>
        <v>0</v>
      </c>
      <c r="AN1509" s="626"/>
      <c r="AO1509" s="182"/>
      <c r="AP1509" s="182"/>
      <c r="AQ1509" s="332" t="str">
        <f>UPPER(RIGHT(Journal_Live[[#This Row],[DURATION ]]))</f>
        <v/>
      </c>
      <c r="AR1509" s="182"/>
      <c r="AS1509" s="189"/>
      <c r="AT1509" s="189"/>
      <c r="AU1509" s="187"/>
      <c r="AV1509" s="190"/>
      <c r="AW1509" s="191"/>
      <c r="AX1509" s="407" t="s">
        <v>5153</v>
      </c>
      <c r="AY1509" s="407" t="s">
        <v>5154</v>
      </c>
      <c r="AZ1509" s="407" t="s">
        <v>987</v>
      </c>
      <c r="BA1509" s="407" t="s">
        <v>5155</v>
      </c>
      <c r="BB1509" s="407" t="s">
        <v>782</v>
      </c>
      <c r="BC1509" s="407" t="s">
        <v>5156</v>
      </c>
      <c r="BD1509" s="407" t="s">
        <v>5157</v>
      </c>
      <c r="BE1509" s="407" t="s">
        <v>5158</v>
      </c>
      <c r="BF1509" s="422" t="s">
        <v>5159</v>
      </c>
      <c r="BG1509" s="391">
        <f>SUM($AV$1389:AV1509)</f>
        <v>952.34816286814555</v>
      </c>
      <c r="BH1509" s="392">
        <f>SUM($AU$1389:AU1509)</f>
        <v>9378.7999999996882</v>
      </c>
      <c r="BI1509" s="318">
        <f>SUMIFS($AU$1388:AU1514,$Q$1388:Q1514,"F")</f>
        <v>4438.3999999999996</v>
      </c>
      <c r="BJ1509" s="318">
        <f>SUMIFS($AU$1388:AU1514,$Q$1388:Q1514,"S")</f>
        <v>4144.0000000000009</v>
      </c>
      <c r="BK1509" s="343">
        <f>SUMIFS($AU$1388:AU1514,$P$1388:P1514,"W")</f>
        <v>6973.5799999999363</v>
      </c>
      <c r="BL1509" s="343">
        <f>SUMIFS($AU$1388:AU1514,$P$1388:P1514,"R")</f>
        <v>2000.0000000000002</v>
      </c>
      <c r="BM1509" s="343">
        <f>SUMIFS($AU$1388:AU1514,$AQ$1388:AQ1514,"M")</f>
        <v>2963.5799999997967</v>
      </c>
      <c r="BN1509" s="343">
        <f>SUMIFS($AU$1388:AU1514,$AQ$1388:AQ1514,"H")</f>
        <v>3599.9999999999991</v>
      </c>
      <c r="BO1509" s="343">
        <f>SUMIFS($AU$1388:AU1514,$AQ$1388:AQ1514,"D")</f>
        <v>1504.0000000000005</v>
      </c>
      <c r="BP1509" s="343">
        <f>SUMIFS($AU$1388:AU1512,$AQ$1388:AQ1512,"W")</f>
        <v>1414.3999999999999</v>
      </c>
      <c r="BQ1509" s="343">
        <f>SUMIFS($AU$1388:AU1514,$Q$1388:Q1514,"O")</f>
        <v>523.57999999978756</v>
      </c>
      <c r="BR1509" s="343">
        <f>SUMIFS($AU$1388:AU1510,$AA$1388:AA1510,"*")</f>
        <v>9042.7999999996882</v>
      </c>
      <c r="BS1509" s="343">
        <f>SUMIFS($AU$1388:AU1510,$AB$1388:AB1510,"*")</f>
        <v>2783.9999999998245</v>
      </c>
      <c r="BT1509" s="343">
        <f>SUMIFS($AU$1388:AU1510,$AC$1388:AC1510,"*")</f>
        <v>4054.3999999999996</v>
      </c>
      <c r="BU1509" s="343">
        <f>SUMIFS($AU$1388:AU1510,$AA$1388:AA1510,"*",$AB$1388:AB1510,"*")</f>
        <v>2511.9999999998245</v>
      </c>
      <c r="BV1509" s="343">
        <f>SUMIFS($AU$1388:AU1510,$AA$1388:AA1510,"*",$AC$1388:AC1510,"*")</f>
        <v>3990.3999999999996</v>
      </c>
      <c r="BW1509" s="343">
        <f>SUMIFS($AU$1388:AU1510,$AB$1388:AB1510,"*",$AC$1388:AC1510,"*")</f>
        <v>2223.9999999999995</v>
      </c>
      <c r="BX1509" s="343">
        <f>SUMIFS($AV$1388:AV1510,$Q$1388:Q1510,"F")</f>
        <v>142.54906832298136</v>
      </c>
      <c r="BY1509" s="343">
        <f>SUMIFS($AV$1388:AV1510,$Q$1388:Q1510,"S")</f>
        <v>239.59909454524481</v>
      </c>
      <c r="BZ1509" s="343">
        <f>SUMIFS($AV$1388:AV1510,$Q$1388:Q1510,"O")</f>
        <v>242.1999999999116</v>
      </c>
    </row>
    <row r="1510" spans="1:78" ht="15.75" customHeight="1">
      <c r="A1510" s="177" t="s">
        <v>4824</v>
      </c>
      <c r="B1510" s="200">
        <v>45322</v>
      </c>
      <c r="C1510" s="178" t="s">
        <v>5160</v>
      </c>
      <c r="D1510" s="178" t="s">
        <v>151</v>
      </c>
      <c r="E1510" s="227"/>
      <c r="F1510" s="180"/>
      <c r="G1510" s="181" t="s">
        <v>3334</v>
      </c>
      <c r="H1510" s="182"/>
      <c r="I1510" s="182"/>
      <c r="J1510" s="182"/>
      <c r="K1510" s="183"/>
      <c r="L1510" s="182"/>
      <c r="M1510" s="182"/>
      <c r="N1510" s="182"/>
      <c r="O1510" s="183"/>
      <c r="P1510" s="183"/>
      <c r="Q1510" s="183"/>
      <c r="R1510" s="183"/>
      <c r="S1510" s="183"/>
      <c r="T1510" s="183"/>
      <c r="U1510" s="183"/>
      <c r="V1510" s="183"/>
      <c r="W1510" s="183"/>
      <c r="X1510" s="183"/>
      <c r="Y1510" s="184"/>
      <c r="Z1510" s="185"/>
      <c r="AA1510" s="185"/>
      <c r="AB1510" s="185"/>
      <c r="AC1510" s="185"/>
      <c r="AD1510" s="649"/>
      <c r="AE1510" s="182"/>
      <c r="AF1510" s="332"/>
      <c r="AG1510" s="182"/>
      <c r="AH1510" s="182"/>
      <c r="AI1510" s="182"/>
      <c r="AJ1510" s="640"/>
      <c r="AK1510" s="182"/>
      <c r="AL1510" s="496">
        <f t="shared" si="428"/>
        <v>0</v>
      </c>
      <c r="AM1510" s="496">
        <f t="shared" si="427"/>
        <v>0</v>
      </c>
      <c r="AN1510" s="626"/>
      <c r="AO1510" s="182"/>
      <c r="AP1510" s="182"/>
      <c r="AQ1510" s="332" t="str">
        <f>UPPER(RIGHT(Journal_Live[[#This Row],[DURATION ]]))</f>
        <v/>
      </c>
      <c r="AR1510" s="182"/>
      <c r="AS1510" s="189"/>
      <c r="AT1510" s="189"/>
      <c r="AU1510" s="187"/>
      <c r="AV1510" s="190"/>
      <c r="AW1510" s="191"/>
      <c r="AX1510" s="407"/>
      <c r="AY1510" s="407"/>
      <c r="AZ1510" s="407"/>
      <c r="BA1510" s="407"/>
      <c r="BB1510" s="407"/>
      <c r="BC1510" s="407"/>
      <c r="BD1510" s="407"/>
      <c r="BE1510" s="407"/>
      <c r="BF1510" s="422"/>
      <c r="BG1510" s="391">
        <f>SUM($AV$1389:AV1510)</f>
        <v>952.34816286814555</v>
      </c>
      <c r="BH1510" s="392">
        <f>SUM($AU$1389:AU1510)</f>
        <v>9378.7999999996882</v>
      </c>
      <c r="BI1510" s="318">
        <f>SUMIFS($AU$1388:AU1514,$Q$1388:Q1514,"F")</f>
        <v>4438.3999999999996</v>
      </c>
      <c r="BJ1510" s="318">
        <f>SUMIFS($AU$1388:AU1514,$Q$1388:Q1514,"S")</f>
        <v>4144.0000000000009</v>
      </c>
      <c r="BK1510" s="343">
        <f>SUMIFS($AU$1388:AU1514,$P$1388:P1514,"W")</f>
        <v>6973.5799999999363</v>
      </c>
      <c r="BL1510" s="343">
        <f>SUMIFS($AU$1388:AU1514,$P$1388:P1514,"R")</f>
        <v>2000.0000000000002</v>
      </c>
      <c r="BM1510" s="343">
        <f>SUMIFS($AU$1388:AU1514,$AQ$1388:AQ1514,"M")</f>
        <v>2963.5799999997967</v>
      </c>
      <c r="BN1510" s="343">
        <f>SUMIFS($AU$1388:AU1514,$AQ$1388:AQ1514,"H")</f>
        <v>3599.9999999999991</v>
      </c>
      <c r="BO1510" s="343">
        <f>SUMIFS($AU$1388:AU1514,$AQ$1388:AQ1514,"D")</f>
        <v>1504.0000000000005</v>
      </c>
      <c r="BP1510" s="343">
        <f>SUMIFS($AU$1388:AU1513,$AQ$1388:AQ1513,"W")</f>
        <v>1414.3999999999999</v>
      </c>
      <c r="BQ1510" s="343">
        <f>SUMIFS($AU$1388:AU1514,$Q$1388:Q1514,"O")</f>
        <v>523.57999999978756</v>
      </c>
      <c r="BR1510" s="343">
        <f>SUMIFS($AU$1388:AU1511,$AA$1388:AA1511,"*")</f>
        <v>9042.7999999996882</v>
      </c>
      <c r="BS1510" s="343">
        <f>SUMIFS($AU$1388:AU1511,$AB$1388:AB1511,"*")</f>
        <v>3007.9999999998245</v>
      </c>
      <c r="BT1510" s="343">
        <f>SUMIFS($AU$1388:AU1511,$AC$1388:AC1511,"*")</f>
        <v>4054.3999999999996</v>
      </c>
      <c r="BU1510" s="343">
        <f>SUMIFS($AU$1388:AU1511,$AA$1388:AA1511,"*",$AB$1388:AB1511,"*")</f>
        <v>2511.9999999998245</v>
      </c>
      <c r="BV1510" s="343">
        <f>SUMIFS($AU$1388:AU1511,$AA$1388:AA1511,"*",$AC$1388:AC1511,"*")</f>
        <v>3990.3999999999996</v>
      </c>
      <c r="BW1510" s="343">
        <f>SUMIFS($AU$1388:AU1511,$AB$1388:AB1511,"*",$AC$1388:AC1511,"*")</f>
        <v>2223.9999999999995</v>
      </c>
      <c r="BX1510" s="343">
        <f>SUMIFS($AV$1388:AV1511,$Q$1388:Q1511,"F")</f>
        <v>142.54906832298136</v>
      </c>
      <c r="BY1510" s="343">
        <f>SUMIFS($AV$1388:AV1511,$Q$1388:Q1511,"S")</f>
        <v>271.59909454524484</v>
      </c>
      <c r="BZ1510" s="343">
        <f>SUMIFS($AV$1388:AV1511,$Q$1388:Q1511,"O")</f>
        <v>242.1999999999116</v>
      </c>
    </row>
    <row r="1511" spans="1:78" ht="15.75" customHeight="1">
      <c r="A1511" s="177" t="s">
        <v>4824</v>
      </c>
      <c r="B1511" s="200">
        <v>45322</v>
      </c>
      <c r="C1511" s="178" t="s">
        <v>3443</v>
      </c>
      <c r="D1511" s="178" t="s">
        <v>151</v>
      </c>
      <c r="E1511" s="227"/>
      <c r="F1511" s="180"/>
      <c r="G1511" s="281" t="s">
        <v>181</v>
      </c>
      <c r="H1511" s="182"/>
      <c r="I1511" s="182"/>
      <c r="J1511" s="182"/>
      <c r="K1511" s="183"/>
      <c r="L1511" s="182">
        <v>1</v>
      </c>
      <c r="M1511" s="182"/>
      <c r="N1511" s="182"/>
      <c r="O1511" s="183" t="s">
        <v>95</v>
      </c>
      <c r="P1511" s="183" t="s">
        <v>96</v>
      </c>
      <c r="Q1511" s="183" t="s">
        <v>97</v>
      </c>
      <c r="R1511" s="183">
        <v>7</v>
      </c>
      <c r="S1511" s="183">
        <v>0</v>
      </c>
      <c r="T1511" s="183">
        <v>7</v>
      </c>
      <c r="U1511" s="183" t="s">
        <v>97</v>
      </c>
      <c r="V1511" s="183"/>
      <c r="W1511" s="183"/>
      <c r="X1511" s="183"/>
      <c r="Y1511" s="184">
        <f>IF(ISBLANK(O1511),"",(IF(O1511=UPPER("IB"),0.005,0.01)))</f>
        <v>0.01</v>
      </c>
      <c r="Z1511" s="185">
        <f>IF(ISBLANK(O1511),"",IF(O1511="IB",8.63*200,IF(O1511="IR",16*100,IF(O1511="YT",20*100,IF(O1511="YT-XT",24*200,IF(O1511="TED",80*100))))))</f>
        <v>1600</v>
      </c>
      <c r="AA1511" s="185"/>
      <c r="AB1511" s="473" t="s">
        <v>5161</v>
      </c>
      <c r="AC1511" s="185"/>
      <c r="AD1511" s="649">
        <v>-0.12</v>
      </c>
      <c r="AE1511" s="182"/>
      <c r="AF1511" s="332"/>
      <c r="AG1511" s="182"/>
      <c r="AH1511" s="182"/>
      <c r="AI1511" s="182"/>
      <c r="AJ1511" s="640"/>
      <c r="AK1511" s="182"/>
      <c r="AL1511" s="496">
        <f t="shared" ref="AL1511:AL1513" si="429">-0.02*Z1511</f>
        <v>-32</v>
      </c>
      <c r="AM1511" s="496">
        <f t="shared" si="427"/>
        <v>-224</v>
      </c>
      <c r="AN1511" s="626"/>
      <c r="AO1511" s="182"/>
      <c r="AP1511" s="182" t="s">
        <v>1843</v>
      </c>
      <c r="AQ1511" s="332" t="s">
        <v>1259</v>
      </c>
      <c r="AR1511" s="182" t="s">
        <v>5162</v>
      </c>
      <c r="AS1511" s="189">
        <v>-0.14000000000000001</v>
      </c>
      <c r="AT1511" s="189">
        <f>IF(ISBLANK(AS1511),,IF(U1511="S",AD1511-AS1511,AS1511-AD1511))</f>
        <v>2.0000000000000018E-2</v>
      </c>
      <c r="AU1511" s="187">
        <f>AV1511*R1511</f>
        <v>224.0000000000002</v>
      </c>
      <c r="AV1511" s="190">
        <f>IF(ISBLANK(AS1511),,(AT1511*Z1511))</f>
        <v>32.000000000000028</v>
      </c>
      <c r="AW1511" s="191" t="s">
        <v>96</v>
      </c>
      <c r="AX1511" s="407"/>
      <c r="AY1511" s="407"/>
      <c r="AZ1511" s="407"/>
      <c r="BA1511" s="407"/>
      <c r="BB1511" s="407"/>
      <c r="BC1511" s="407"/>
      <c r="BD1511" s="407"/>
      <c r="BE1511" s="407"/>
      <c r="BF1511" s="422"/>
      <c r="BG1511" s="391">
        <f>SUM($AV$1389:AV1511)</f>
        <v>984.34816286814555</v>
      </c>
      <c r="BH1511" s="392">
        <f>SUM($AU$1389:AU1511)</f>
        <v>9602.7999999996882</v>
      </c>
      <c r="BI1511" s="318">
        <f>SUMIFS($AU$1388:AU1512,$Q$1388:Q1512,"F")</f>
        <v>4438.3999999999996</v>
      </c>
      <c r="BJ1511" s="318">
        <f>SUMIFS($AU$1388:AU1512,$Q$1388:Q1512,"S")</f>
        <v>4144.0000000000009</v>
      </c>
      <c r="BK1511" s="343">
        <f>SUMIFS($AU$1388:AU1512,$P$1388:P1512,"W")</f>
        <v>7094.3999999998268</v>
      </c>
      <c r="BL1511" s="343">
        <f>SUMIFS($AU$1388:AU1512,$P$1388:P1512,"R")</f>
        <v>2000.0000000000002</v>
      </c>
      <c r="BM1511" s="343">
        <f>SUMIFS($AU$1388:AU1512,$AQ$1388:AQ1512,"M")</f>
        <v>3084.3999999996868</v>
      </c>
      <c r="BN1511" s="343">
        <f>SUMIFS($AU$1388:AU1512,$AQ$1388:AQ1512,"H")</f>
        <v>3599.9999999999991</v>
      </c>
      <c r="BO1511" s="343">
        <f>SUMIFS($AU$1388:AU1512,$AQ$1388:AQ1512,"D")</f>
        <v>1504.0000000000005</v>
      </c>
      <c r="BP1511" s="343">
        <f>SUMIFS($AU$1388:AU1514,$AQ$1388:AQ1514,"W")</f>
        <v>1414.3999999999999</v>
      </c>
      <c r="BQ1511" s="343">
        <f>SUMIFS($AU$1388:AU1512,$Q$1388:Q1512,"O")</f>
        <v>644.39999999967768</v>
      </c>
      <c r="BR1511" s="343">
        <f>SUMIFS($AU$1388:AU1512,$AA$1388:AA1512,"*")</f>
        <v>9042.7999999996882</v>
      </c>
      <c r="BS1511" s="343">
        <f>SUMIFS($AU$1388:AU1512,$AB$1388:AB1512,"*")</f>
        <v>3007.9999999998245</v>
      </c>
      <c r="BT1511" s="343">
        <f>SUMIFS($AU$1388:AU1512,$AC$1388:AC1512,"*")</f>
        <v>4054.3999999999996</v>
      </c>
      <c r="BU1511" s="343">
        <f>SUMIFS($AU$1388:AU1512,$AA$1388:AA1512,"*",$AB$1388:AB1512,"*")</f>
        <v>2511.9999999998245</v>
      </c>
      <c r="BV1511" s="343">
        <f>SUMIFS($AU$1388:AU1512,$AA$1388:AA1512,"*",$AC$1388:AC1512,"*")</f>
        <v>3990.3999999999996</v>
      </c>
      <c r="BW1511" s="343">
        <f>SUMIFS($AU$1388:AU1512,$AB$1388:AB1512,"*",$AC$1388:AC1512,"*")</f>
        <v>2223.9999999999995</v>
      </c>
      <c r="BX1511" s="343">
        <f>SUMIFS($AV$1388:AV1512,$Q$1388:Q1512,"F")</f>
        <v>142.54906832298136</v>
      </c>
      <c r="BY1511" s="343">
        <f>SUMIFS($AV$1388:AV1512,$Q$1388:Q1512,"S")</f>
        <v>271.59909454524484</v>
      </c>
      <c r="BZ1511" s="343">
        <f>SUMIFS($AV$1388:AV1512,$Q$1388:Q1512,"O")</f>
        <v>242.1999999999116</v>
      </c>
    </row>
    <row r="1512" spans="1:78" ht="15.75" customHeight="1">
      <c r="A1512" s="177" t="s">
        <v>4824</v>
      </c>
      <c r="B1512" s="200">
        <v>45322</v>
      </c>
      <c r="C1512" s="178" t="s">
        <v>5163</v>
      </c>
      <c r="D1512" s="178" t="s">
        <v>151</v>
      </c>
      <c r="E1512" s="227" t="s">
        <v>5164</v>
      </c>
      <c r="F1512" s="180"/>
      <c r="G1512" s="181" t="s">
        <v>181</v>
      </c>
      <c r="H1512" s="182"/>
      <c r="I1512" s="182"/>
      <c r="J1512" s="182"/>
      <c r="K1512" s="183"/>
      <c r="L1512" s="182">
        <v>1</v>
      </c>
      <c r="M1512" s="182"/>
      <c r="N1512" s="182"/>
      <c r="O1512" s="183" t="s">
        <v>95</v>
      </c>
      <c r="P1512" s="183" t="s">
        <v>96</v>
      </c>
      <c r="Q1512" s="183" t="s">
        <v>97</v>
      </c>
      <c r="R1512" s="183">
        <v>16</v>
      </c>
      <c r="S1512" s="183">
        <v>0</v>
      </c>
      <c r="T1512" s="183">
        <v>16</v>
      </c>
      <c r="U1512" s="183" t="s">
        <v>22</v>
      </c>
      <c r="V1512" s="183"/>
      <c r="W1512" s="183"/>
      <c r="X1512" s="183"/>
      <c r="Y1512" s="184">
        <f>IF(ISBLANK(O1512),"",(IF(O1512=UPPER("IB"),0.005,0.01)))</f>
        <v>0.01</v>
      </c>
      <c r="Z1512" s="185">
        <f>IF(ISBLANK(O1512),"",IF(O1512="IB",8.63*200,IF(O1512="IR",16*100,IF(O1512="YT",20*100,IF(O1512="YT-XT",24*200,IF(O1512="TED",80*100))))))</f>
        <v>1600</v>
      </c>
      <c r="AA1512" s="185" t="s">
        <v>5165</v>
      </c>
      <c r="AB1512" s="185"/>
      <c r="AC1512" s="185"/>
      <c r="AD1512" s="649">
        <v>-0.16</v>
      </c>
      <c r="AE1512" s="182"/>
      <c r="AF1512" s="332"/>
      <c r="AG1512" s="182"/>
      <c r="AH1512" s="182"/>
      <c r="AI1512" s="182"/>
      <c r="AJ1512" s="640"/>
      <c r="AK1512" s="182"/>
      <c r="AL1512" s="496">
        <f t="shared" si="429"/>
        <v>-32</v>
      </c>
      <c r="AM1512" s="496">
        <f t="shared" si="427"/>
        <v>-512</v>
      </c>
      <c r="AN1512" s="626"/>
      <c r="AO1512" s="182"/>
      <c r="AP1512" s="182" t="s">
        <v>4943</v>
      </c>
      <c r="AQ1512" s="332" t="s">
        <v>1259</v>
      </c>
      <c r="AR1512" s="182" t="s">
        <v>5166</v>
      </c>
      <c r="AS1512" s="189">
        <v>-0.16</v>
      </c>
      <c r="AT1512" s="189">
        <f>IF(ISBLANK(AS1512),,IF(U1512="S",AD1512-AS1512,AS1512-AD1512))</f>
        <v>0</v>
      </c>
      <c r="AU1512" s="187">
        <f>AV1512*R1512</f>
        <v>0</v>
      </c>
      <c r="AV1512" s="190">
        <f>IF(ISBLANK(AS1512),,(AT1512*Z1512))</f>
        <v>0</v>
      </c>
      <c r="AW1512" s="191" t="s">
        <v>115</v>
      </c>
      <c r="AX1512" s="407" t="s">
        <v>5167</v>
      </c>
      <c r="AY1512" s="407" t="s">
        <v>5168</v>
      </c>
      <c r="AZ1512" s="407" t="s">
        <v>5169</v>
      </c>
      <c r="BA1512" s="407" t="s">
        <v>5170</v>
      </c>
      <c r="BB1512" s="407" t="s">
        <v>5171</v>
      </c>
      <c r="BC1512" s="407"/>
      <c r="BD1512" s="407"/>
      <c r="BE1512" s="407"/>
      <c r="BF1512" s="422"/>
      <c r="BG1512" s="391">
        <f>SUM($AV$1389:AV1512)</f>
        <v>984.34816286814555</v>
      </c>
      <c r="BH1512" s="392">
        <f>SUM($AU$1389:AU1512)</f>
        <v>9602.7999999996882</v>
      </c>
      <c r="BI1512" s="318">
        <f>SUMIFS($AU$1388:AU1513,$Q$1388:Q1513,"F")</f>
        <v>4438.3999999999996</v>
      </c>
      <c r="BJ1512" s="318">
        <f>SUMIFS($AU$1388:AU1513,$Q$1388:Q1513,"S")</f>
        <v>4144.0000000000009</v>
      </c>
      <c r="BK1512" s="343">
        <f>SUMIFS($AU$1388:AU1513,$P$1388:P1513,"W")</f>
        <v>6973.5799999999363</v>
      </c>
      <c r="BL1512" s="343">
        <f>SUMIFS($AU$1388:AU1513,$P$1388:P1513,"R")</f>
        <v>2000.0000000000002</v>
      </c>
      <c r="BM1512" s="343">
        <f>SUMIFS($AU$1388:AU1513,$AQ$1388:AQ1513,"M")</f>
        <v>2963.5799999997967</v>
      </c>
      <c r="BN1512" s="343">
        <f>SUMIFS($AU$1388:AU1513,$AQ$1388:AQ1513,"H")</f>
        <v>3599.9999999999991</v>
      </c>
      <c r="BO1512" s="343">
        <f>SUMIFS($AU$1388:AU1513,$AQ$1388:AQ1513,"D")</f>
        <v>1504.0000000000005</v>
      </c>
      <c r="BP1512" s="343">
        <f>SUMIFS($AU$1388:AU1515,$AQ$1388:AQ1515,"W")</f>
        <v>1414.3999999999999</v>
      </c>
      <c r="BQ1512" s="343">
        <f>SUMIFS($AU$1388:AU1513,$Q$1388:Q1513,"O")</f>
        <v>523.57999999978756</v>
      </c>
      <c r="BR1512" s="343">
        <f>SUMIFS($AU$1388:AU1513,$AA$1388:AA1513,"*")</f>
        <v>9042.7999999996882</v>
      </c>
      <c r="BS1512" s="343">
        <f>SUMIFS($AU$1388:AU1513,$AB$1388:AB1513,"*")</f>
        <v>2887.1799999999344</v>
      </c>
      <c r="BT1512" s="343">
        <f>SUMIFS($AU$1388:AU1513,$AC$1388:AC1513,"*")</f>
        <v>4054.3999999999996</v>
      </c>
      <c r="BU1512" s="343">
        <f>SUMIFS($AU$1388:AU1513,$AA$1388:AA1513,"*",$AB$1388:AB1513,"*")</f>
        <v>2511.9999999998245</v>
      </c>
      <c r="BV1512" s="343">
        <f>SUMIFS($AU$1388:AU1513,$AA$1388:AA1513,"*",$AC$1388:AC1513,"*")</f>
        <v>3990.3999999999996</v>
      </c>
      <c r="BW1512" s="343">
        <f>SUMIFS($AU$1388:AU1513,$AB$1388:AB1513,"*",$AC$1388:AC1513,"*")</f>
        <v>2223.9999999999995</v>
      </c>
      <c r="BX1512" s="343">
        <f>SUMIFS($AV$1388:AV1513,$Q$1388:Q1513,"F")</f>
        <v>142.54906832298136</v>
      </c>
      <c r="BY1512" s="343">
        <f>SUMIFS($AV$1388:AV1513,$Q$1388:Q1513,"S")</f>
        <v>271.59909454524484</v>
      </c>
      <c r="BZ1512" s="343">
        <f>SUMIFS($AV$1388:AV1513,$Q$1388:Q1513,"O")</f>
        <v>224.93999999992729</v>
      </c>
    </row>
    <row r="1513" spans="1:78" ht="15.75" customHeight="1">
      <c r="A1513" s="177" t="s">
        <v>4824</v>
      </c>
      <c r="B1513" s="200">
        <v>45322</v>
      </c>
      <c r="C1513" s="178" t="s">
        <v>5120</v>
      </c>
      <c r="D1513" s="178" t="s">
        <v>151</v>
      </c>
      <c r="E1513" s="227"/>
      <c r="F1513" s="180"/>
      <c r="G1513" s="281" t="s">
        <v>5172</v>
      </c>
      <c r="H1513" s="182"/>
      <c r="I1513" s="182"/>
      <c r="J1513" s="182"/>
      <c r="K1513" s="183"/>
      <c r="L1513" s="182">
        <v>1</v>
      </c>
      <c r="M1513" s="182"/>
      <c r="N1513" s="182"/>
      <c r="O1513" s="183" t="s">
        <v>1057</v>
      </c>
      <c r="P1513" s="183" t="s">
        <v>96</v>
      </c>
      <c r="Q1513" s="183" t="s">
        <v>684</v>
      </c>
      <c r="R1513" s="183">
        <v>7</v>
      </c>
      <c r="S1513" s="183">
        <v>0</v>
      </c>
      <c r="T1513" s="183">
        <v>7</v>
      </c>
      <c r="U1513" s="183" t="s">
        <v>97</v>
      </c>
      <c r="V1513" s="183"/>
      <c r="W1513" s="183"/>
      <c r="X1513" s="183"/>
      <c r="Y1513" s="184">
        <f>IF(ISBLANK(O1513),"",(IF(O1513=UPPER("IB"),0.005,0.01)))</f>
        <v>5.0000000000000001E-3</v>
      </c>
      <c r="Z1513" s="185">
        <f>IF(ISBLANK(O1513),"",IF(O1513="IB",8.63*200,IF(O1513="IR",16*100,IF(O1513="YT",20*100,IF(O1513="YT-XT",24*200,IF(O1513="TED",80*100))))))</f>
        <v>1726.0000000000002</v>
      </c>
      <c r="AA1513" s="185"/>
      <c r="AB1513" s="473" t="s">
        <v>5173</v>
      </c>
      <c r="AC1513" s="185"/>
      <c r="AD1513" s="649">
        <v>95.7</v>
      </c>
      <c r="AE1513" s="182"/>
      <c r="AF1513" s="332"/>
      <c r="AG1513" s="182"/>
      <c r="AH1513" s="182"/>
      <c r="AI1513" s="182"/>
      <c r="AJ1513" s="640"/>
      <c r="AK1513" s="182"/>
      <c r="AL1513" s="496">
        <f t="shared" si="429"/>
        <v>-34.520000000000003</v>
      </c>
      <c r="AM1513" s="496">
        <f t="shared" si="427"/>
        <v>-241.64000000000001</v>
      </c>
      <c r="AN1513" s="626"/>
      <c r="AO1513" s="182"/>
      <c r="AP1513" s="182"/>
      <c r="AQ1513" s="332" t="s">
        <v>1259</v>
      </c>
      <c r="AR1513" s="182"/>
      <c r="AS1513" s="189">
        <v>95.71</v>
      </c>
      <c r="AT1513" s="189">
        <f>IF(ISBLANK(AS1513),,IF(U1513="S",AD1513-AS1513,AS1513-AD1513))</f>
        <v>-9.9999999999909051E-3</v>
      </c>
      <c r="AU1513" s="187">
        <f>AV1513*R1513</f>
        <v>-120.81999999989014</v>
      </c>
      <c r="AV1513" s="190">
        <f>IF(ISBLANK(AS1513),,(AT1513*Z1513))</f>
        <v>-17.259999999984306</v>
      </c>
      <c r="AW1513" s="191" t="s">
        <v>229</v>
      </c>
      <c r="AX1513" s="407" t="s">
        <v>5174</v>
      </c>
      <c r="AY1513" s="407" t="s">
        <v>5175</v>
      </c>
      <c r="AZ1513" s="407" t="s">
        <v>5176</v>
      </c>
      <c r="BA1513" s="407" t="s">
        <v>5177</v>
      </c>
      <c r="BB1513" s="407"/>
      <c r="BC1513" s="407"/>
      <c r="BD1513" s="407"/>
      <c r="BE1513" s="407"/>
      <c r="BF1513" s="422"/>
      <c r="BG1513" s="391">
        <f>SUM($AV$1389:AV1513)</f>
        <v>967.08816286816125</v>
      </c>
      <c r="BH1513" s="392">
        <f>SUM($AU$1389:AU1513)</f>
        <v>9481.9799999997977</v>
      </c>
      <c r="BI1513" s="318">
        <f>SUMIFS($AU$1388:AU1514,$Q$1388:Q1514,"F")</f>
        <v>4438.3999999999996</v>
      </c>
      <c r="BJ1513" s="318">
        <f>SUMIFS($AU$1388:AU1514,$Q$1388:Q1514,"S")</f>
        <v>4144.0000000000009</v>
      </c>
      <c r="BK1513" s="343">
        <f>SUMIFS($AU$1388:AU1514,$P$1388:P1514,"W")</f>
        <v>6973.5799999999363</v>
      </c>
      <c r="BL1513" s="343">
        <f>SUMIFS($AU$1388:AU1514,$P$1388:P1514,"R")</f>
        <v>2000.0000000000002</v>
      </c>
      <c r="BM1513" s="343">
        <f>SUMIFS($AU$1388:AU1514,$AQ$1388:AQ1514,"M")</f>
        <v>2963.5799999997967</v>
      </c>
      <c r="BN1513" s="343">
        <f>SUMIFS($AU$1388:AU1514,$AQ$1388:AQ1514,"H")</f>
        <v>3599.9999999999991</v>
      </c>
      <c r="BO1513" s="343">
        <f>SUMIFS($AU$1388:AU1514,$AQ$1388:AQ1514,"D")</f>
        <v>1504.0000000000005</v>
      </c>
      <c r="BP1513" s="343">
        <f>SUMIFS($AU$1388:AU1516,$AQ$1388:AQ1516,"W")</f>
        <v>1414.3999999999999</v>
      </c>
      <c r="BQ1513" s="343">
        <f>SUMIFS($AU$1388:AU1514,$Q$1388:Q1514,"O")</f>
        <v>523.57999999978756</v>
      </c>
      <c r="BR1513" s="343">
        <f>SUMIFS($AU$1388:AU1514,$AA$1388:AA1514,"*")</f>
        <v>9042.7999999996882</v>
      </c>
      <c r="BS1513" s="343">
        <f>SUMIFS($AU$1388:AU1514,$AB$1388:AB1514,"*")</f>
        <v>2887.1799999999344</v>
      </c>
      <c r="BT1513" s="343">
        <f>SUMIFS($AU$1388:AU1514,$AC$1388:AC1514,"*")</f>
        <v>4054.3999999999996</v>
      </c>
      <c r="BU1513" s="343">
        <f>SUMIFS($AU$1388:AU1514,$AA$1388:AA1514,"*",$AB$1388:AB1514,"*")</f>
        <v>2511.9999999998245</v>
      </c>
      <c r="BV1513" s="343">
        <f>SUMIFS($AU$1388:AU1514,$AA$1388:AA1514,"*",$AC$1388:AC1514,"*")</f>
        <v>3990.3999999999996</v>
      </c>
      <c r="BW1513" s="343">
        <f>SUMIFS($AU$1388:AU1514,$AB$1388:AB1514,"*",$AC$1388:AC1514,"*")</f>
        <v>2223.9999999999995</v>
      </c>
      <c r="BX1513" s="343">
        <f>SUMIFS($AV$1388:AV1514,$Q$1388:Q1514,"F")</f>
        <v>142.54906832298136</v>
      </c>
      <c r="BY1513" s="343">
        <f>SUMIFS($AV$1388:AV1514,$Q$1388:Q1514,"S")</f>
        <v>271.59909454524484</v>
      </c>
      <c r="BZ1513" s="343">
        <f>SUMIFS($AV$1388:AV1514,$Q$1388:Q1514,"O")</f>
        <v>224.93999999992729</v>
      </c>
    </row>
    <row r="1514" spans="1:78" ht="15.75" customHeight="1">
      <c r="A1514" s="177" t="s">
        <v>4824</v>
      </c>
      <c r="B1514" s="200">
        <v>45322</v>
      </c>
      <c r="C1514" s="178" t="s">
        <v>5178</v>
      </c>
      <c r="D1514" s="178" t="s">
        <v>151</v>
      </c>
      <c r="E1514" s="227"/>
      <c r="F1514" s="180"/>
      <c r="G1514" s="181" t="s">
        <v>2807</v>
      </c>
      <c r="H1514" s="182"/>
      <c r="I1514" s="182"/>
      <c r="J1514" s="182"/>
      <c r="K1514" s="183"/>
      <c r="L1514" s="182">
        <v>1</v>
      </c>
      <c r="M1514" s="182">
        <v>1</v>
      </c>
      <c r="N1514" s="182"/>
      <c r="O1514" s="183"/>
      <c r="P1514" s="183"/>
      <c r="Q1514" s="183"/>
      <c r="R1514" s="183"/>
      <c r="S1514" s="183"/>
      <c r="T1514" s="183"/>
      <c r="U1514" s="183"/>
      <c r="V1514" s="183"/>
      <c r="W1514" s="183"/>
      <c r="X1514" s="183"/>
      <c r="Y1514" s="184"/>
      <c r="Z1514" s="185"/>
      <c r="AA1514" s="185"/>
      <c r="AB1514" s="185"/>
      <c r="AC1514" s="185"/>
      <c r="AD1514" s="649"/>
      <c r="AE1514" s="182"/>
      <c r="AF1514" s="332"/>
      <c r="AG1514" s="182"/>
      <c r="AH1514" s="182">
        <v>-2</v>
      </c>
      <c r="AI1514" s="182"/>
      <c r="AJ1514" s="640"/>
      <c r="AK1514" s="182"/>
      <c r="AL1514" s="496">
        <f t="shared" ref="AL1514:AL1515" si="430">-0.02*Z1514</f>
        <v>0</v>
      </c>
      <c r="AM1514" s="496">
        <f t="shared" si="427"/>
        <v>0</v>
      </c>
      <c r="AN1514" s="626"/>
      <c r="AO1514" s="182"/>
      <c r="AP1514" s="182"/>
      <c r="AQ1514" s="332" t="str">
        <f>UPPER(RIGHT(Journal_Live[[#This Row],[DURATION ]]))</f>
        <v/>
      </c>
      <c r="AR1514" s="182"/>
      <c r="AS1514" s="189"/>
      <c r="AT1514" s="189"/>
      <c r="AU1514" s="187"/>
      <c r="AV1514" s="190"/>
      <c r="AW1514" s="191"/>
      <c r="AX1514" s="407"/>
      <c r="AY1514" s="407"/>
      <c r="AZ1514" s="407"/>
      <c r="BA1514" s="407"/>
      <c r="BB1514" s="407"/>
      <c r="BC1514" s="407"/>
      <c r="BD1514" s="407"/>
      <c r="BE1514" s="407"/>
      <c r="BF1514" s="422"/>
      <c r="BG1514" s="391">
        <f>SUM($AV$1389:AV1514)</f>
        <v>967.08816286816125</v>
      </c>
      <c r="BH1514" s="392">
        <f>SUM($AU$1389:AU1514)</f>
        <v>9481.9799999997977</v>
      </c>
      <c r="BI1514" s="318">
        <f>SUMIFS($AU$1388:AU1514,$Q$1388:Q1514,"F")</f>
        <v>4438.3999999999996</v>
      </c>
      <c r="BJ1514" s="318">
        <f>SUMIFS($AU$1388:AU1514,$Q$1388:Q1514,"S")</f>
        <v>4144.0000000000009</v>
      </c>
      <c r="BK1514" s="343">
        <f>SUMIFS($AU$1388:AU1514,$P$1388:P1514,"W")</f>
        <v>6973.5799999999363</v>
      </c>
      <c r="BL1514" s="343">
        <f>SUMIFS($AU$1388:AU1514,$P$1388:P1514,"R")</f>
        <v>2000.0000000000002</v>
      </c>
      <c r="BM1514" s="343">
        <f>SUMIFS($AU$1388:AU1514,$AQ$1388:AQ1514,"M")</f>
        <v>2963.5799999997967</v>
      </c>
      <c r="BN1514" s="343">
        <f>SUMIFS($AU$1388:AU1514,$AQ$1388:AQ1514,"H")</f>
        <v>3599.9999999999991</v>
      </c>
      <c r="BO1514" s="343">
        <f>SUMIFS($AU$1388:AU1514,$AQ$1388:AQ1514,"D")</f>
        <v>1504.0000000000005</v>
      </c>
      <c r="BP1514" s="343">
        <f>SUMIFS($AU$1388:AU1517,$AQ$1388:AQ1517,"W")</f>
        <v>1414.3999999999999</v>
      </c>
      <c r="BQ1514" s="343">
        <f>SUMIFS($AU$1388:AU1514,$Q$1388:Q1514,"O")</f>
        <v>523.57999999978756</v>
      </c>
      <c r="BR1514" s="343">
        <f>SUMIFS($AU$1388:AU1515,$AA$1388:AA1515,"*")</f>
        <v>9042.7999999996882</v>
      </c>
      <c r="BS1514" s="343">
        <f>SUMIFS($AU$1388:AU1515,$AB$1388:AB1515,"*")</f>
        <v>2887.1799999999344</v>
      </c>
      <c r="BT1514" s="343">
        <f>SUMIFS($AU$1388:AU1515,$AC$1388:AC1515,"*")</f>
        <v>4054.3999999999996</v>
      </c>
      <c r="BU1514" s="343">
        <f>SUMIFS($AU$1388:AU1515,$AA$1388:AA1515,"*",$AB$1388:AB1515,"*")</f>
        <v>2511.9999999998245</v>
      </c>
      <c r="BV1514" s="343">
        <f>SUMIFS($AU$1388:AU1515,$AA$1388:AA1515,"*",$AC$1388:AC1515,"*")</f>
        <v>3990.3999999999996</v>
      </c>
      <c r="BW1514" s="343">
        <f>SUMIFS($AU$1388:AU1515,$AB$1388:AB1515,"*",$AC$1388:AC1515,"*")</f>
        <v>2223.9999999999995</v>
      </c>
      <c r="BX1514" s="343">
        <f>SUMIFS($AV$1388:AV1515,$Q$1388:Q1515,"F")</f>
        <v>142.54906832298136</v>
      </c>
      <c r="BY1514" s="343">
        <f>SUMIFS($AV$1388:AV1515,$Q$1388:Q1515,"S")</f>
        <v>271.59909454524484</v>
      </c>
      <c r="BZ1514" s="343">
        <f>SUMIFS($AV$1388:AV1515,$Q$1388:Q1515,"O")</f>
        <v>224.93999999992729</v>
      </c>
    </row>
    <row r="1515" spans="1:78" ht="15.75" customHeight="1">
      <c r="A1515" s="177" t="s">
        <v>4824</v>
      </c>
      <c r="B1515" s="200"/>
      <c r="C1515" s="178"/>
      <c r="D1515" s="178"/>
      <c r="E1515" s="227"/>
      <c r="F1515" s="180"/>
      <c r="G1515" s="181"/>
      <c r="H1515" s="182"/>
      <c r="I1515" s="182"/>
      <c r="J1515" s="182"/>
      <c r="K1515" s="183"/>
      <c r="L1515" s="182"/>
      <c r="M1515" s="182"/>
      <c r="N1515" s="182"/>
      <c r="O1515" s="183"/>
      <c r="P1515" s="183"/>
      <c r="Q1515" s="183"/>
      <c r="R1515" s="183"/>
      <c r="S1515" s="183"/>
      <c r="T1515" s="183"/>
      <c r="U1515" s="183"/>
      <c r="V1515" s="183"/>
      <c r="W1515" s="183"/>
      <c r="X1515" s="183"/>
      <c r="Y1515" s="183"/>
      <c r="Z1515" s="183"/>
      <c r="AA1515" s="185"/>
      <c r="AB1515" s="185"/>
      <c r="AC1515" s="185"/>
      <c r="AD1515" s="649"/>
      <c r="AE1515" s="182"/>
      <c r="AF1515" s="332"/>
      <c r="AG1515" s="182"/>
      <c r="AH1515" s="182"/>
      <c r="AI1515" s="182"/>
      <c r="AJ1515" s="640"/>
      <c r="AK1515" s="182"/>
      <c r="AL1515" s="496">
        <f t="shared" si="430"/>
        <v>0</v>
      </c>
      <c r="AM1515" s="496">
        <f t="shared" si="427"/>
        <v>0</v>
      </c>
      <c r="AN1515" s="626"/>
      <c r="AO1515" s="182"/>
      <c r="AP1515" s="182"/>
      <c r="AQ1515" s="332" t="str">
        <f>UPPER(RIGHT(Journal_Live[[#This Row],[DURATION ]]))</f>
        <v/>
      </c>
      <c r="AR1515" s="182"/>
      <c r="AS1515" s="189"/>
      <c r="AT1515" s="189"/>
      <c r="AU1515" s="187"/>
      <c r="AV1515" s="190"/>
      <c r="AW1515" s="191"/>
      <c r="AX1515" s="407"/>
      <c r="AY1515" s="407"/>
      <c r="AZ1515" s="407"/>
      <c r="BA1515" s="407"/>
      <c r="BB1515" s="407"/>
      <c r="BC1515" s="407"/>
      <c r="BD1515" s="407"/>
      <c r="BE1515" s="407"/>
      <c r="BF1515" s="422"/>
      <c r="BG1515" s="391">
        <f>SUM($AV$1389:AV1515)</f>
        <v>967.08816286816125</v>
      </c>
      <c r="BH1515" s="392">
        <f>SUM($AU$1389:AU1515)</f>
        <v>9481.9799999997977</v>
      </c>
      <c r="BI1515" s="318">
        <f>SUMIFS($AU$1388:AU1515,$Q$1388:Q1515,"F")</f>
        <v>4438.3999999999996</v>
      </c>
      <c r="BJ1515" s="318">
        <f>SUMIFS($AU$1388:AU1515,$Q$1388:Q1515,"S")</f>
        <v>4144.0000000000009</v>
      </c>
      <c r="BK1515" s="343">
        <f>SUMIFS($AU$1388:AU1515,$P$1388:P1515,"W")</f>
        <v>6973.5799999999363</v>
      </c>
      <c r="BL1515" s="343">
        <f>SUMIFS($AU$1388:AU1515,$P$1388:P1515,"R")</f>
        <v>2000.0000000000002</v>
      </c>
      <c r="BM1515" s="343">
        <f>SUMIFS($AU$1388:AU1515,$AQ$1388:AQ1515,"M")</f>
        <v>2963.5799999997967</v>
      </c>
      <c r="BN1515" s="343">
        <f>SUMIFS($AU$1388:AU1515,$AQ$1388:AQ1515,"H")</f>
        <v>3599.9999999999991</v>
      </c>
      <c r="BO1515" s="343">
        <f>SUMIFS($AU$1388:AU1515,$AQ$1388:AQ1515,"D")</f>
        <v>1504.0000000000005</v>
      </c>
      <c r="BP1515" s="343">
        <f>SUMIFS($AU$1388:AU1518,$AQ$1388:AQ1518,"W")</f>
        <v>1414.3999999999999</v>
      </c>
      <c r="BQ1515" s="343">
        <f>SUMIFS($AU$1388:AU1515,$Q$1388:Q1515,"O")</f>
        <v>523.57999999978756</v>
      </c>
      <c r="BR1515" s="343">
        <f>SUMIFS($AU$1388:AU1516,$AA$1388:AA1516,"*")</f>
        <v>9042.7999999996882</v>
      </c>
      <c r="BS1515" s="343">
        <f>SUMIFS($AU$1388:AU1516,$AB$1388:AB1516,"*")</f>
        <v>2887.1799999999344</v>
      </c>
      <c r="BT1515" s="343">
        <f>SUMIFS($AU$1388:AU1516,$AC$1388:AC1516,"*")</f>
        <v>4054.3999999999996</v>
      </c>
      <c r="BU1515" s="343">
        <f>SUMIFS($AU$1388:AU1516,$AA$1388:AA1516,"*",$AB$1388:AB1516,"*")</f>
        <v>2511.9999999998245</v>
      </c>
      <c r="BV1515" s="343">
        <f>SUMIFS($AU$1388:AU1516,$AA$1388:AA1516,"*",$AC$1388:AC1516,"*")</f>
        <v>3990.3999999999996</v>
      </c>
      <c r="BW1515" s="343">
        <f>SUMIFS($AU$1388:AU1516,$AB$1388:AB1516,"*",$AC$1388:AC1516,"*")</f>
        <v>2223.9999999999995</v>
      </c>
      <c r="BX1515" s="343">
        <f>SUMIFS($AV$1388:AV1516,$Q$1388:Q1516,"F")</f>
        <v>142.54906832298136</v>
      </c>
      <c r="BY1515" s="343">
        <f>SUMIFS($AV$1388:AV1516,$Q$1388:Q1516,"S")</f>
        <v>271.59909454524484</v>
      </c>
      <c r="BZ1515" s="343">
        <f>SUMIFS($AV$1388:AV1516,$Q$1388:Q1516,"O")</f>
        <v>224.93999999992729</v>
      </c>
    </row>
    <row r="1516" spans="1:78" ht="15.75" customHeight="1">
      <c r="A1516" s="177" t="s">
        <v>4824</v>
      </c>
      <c r="B1516" s="200"/>
      <c r="C1516" s="178"/>
      <c r="D1516" s="178"/>
      <c r="E1516" s="227"/>
      <c r="F1516" s="180"/>
      <c r="G1516" s="181"/>
      <c r="H1516" s="182"/>
      <c r="I1516" s="182"/>
      <c r="J1516" s="182"/>
      <c r="K1516" s="183"/>
      <c r="L1516" s="182"/>
      <c r="M1516" s="182"/>
      <c r="N1516" s="182"/>
      <c r="O1516" s="183"/>
      <c r="P1516" s="183"/>
      <c r="Q1516" s="183"/>
      <c r="R1516" s="183"/>
      <c r="S1516" s="183"/>
      <c r="T1516" s="183"/>
      <c r="U1516" s="183"/>
      <c r="V1516" s="183"/>
      <c r="W1516" s="183"/>
      <c r="X1516" s="183"/>
      <c r="Y1516" s="183"/>
      <c r="Z1516" s="183"/>
      <c r="AA1516" s="185"/>
      <c r="AB1516" s="185"/>
      <c r="AC1516" s="185"/>
      <c r="AD1516" s="649"/>
      <c r="AE1516" s="182"/>
      <c r="AF1516" s="332"/>
      <c r="AG1516" s="182"/>
      <c r="AH1516" s="182"/>
      <c r="AI1516" s="182"/>
      <c r="AJ1516" s="640"/>
      <c r="AK1516" s="182"/>
      <c r="AL1516" s="496">
        <f t="shared" si="407"/>
        <v>0</v>
      </c>
      <c r="AM1516" s="496">
        <f t="shared" si="427"/>
        <v>0</v>
      </c>
      <c r="AN1516" s="626"/>
      <c r="AO1516" s="182"/>
      <c r="AP1516" s="182"/>
      <c r="AQ1516" s="332" t="str">
        <f>UPPER(RIGHT(Journal_Live[[#This Row],[DURATION ]]))</f>
        <v/>
      </c>
      <c r="AR1516" s="182"/>
      <c r="AS1516" s="189"/>
      <c r="AT1516" s="189"/>
      <c r="AU1516" s="187"/>
      <c r="AV1516" s="190"/>
      <c r="AW1516" s="191"/>
      <c r="AX1516" s="407"/>
      <c r="AY1516" s="407"/>
      <c r="AZ1516" s="407"/>
      <c r="BA1516" s="407"/>
      <c r="BB1516" s="407"/>
      <c r="BC1516" s="407"/>
      <c r="BD1516" s="407"/>
      <c r="BE1516" s="407"/>
      <c r="BF1516" s="422"/>
      <c r="BG1516" s="391">
        <f>SUM($AV$1389:AV1516)</f>
        <v>967.08816286816125</v>
      </c>
      <c r="BH1516" s="392">
        <f>SUM($AU$1389:AU1516)</f>
        <v>9481.9799999997977</v>
      </c>
      <c r="BI1516" s="318">
        <f>SUMIFS($AU$1388:AU1517,$Q$1388:Q1517,"F")</f>
        <v>4438.3999999999996</v>
      </c>
      <c r="BJ1516" s="318">
        <f>SUMIFS($AU$1388:AU1517,$Q$1388:Q1517,"S")</f>
        <v>4144.0000000000009</v>
      </c>
      <c r="BK1516" s="343">
        <f>SUMIFS($AU$1388:AU1517,$P$1388:P1517,"W")</f>
        <v>6973.5799999999363</v>
      </c>
      <c r="BL1516" s="343">
        <f>SUMIFS($AU$1388:AU1517,$P$1388:P1517,"R")</f>
        <v>2000.0000000000002</v>
      </c>
      <c r="BM1516" s="343">
        <f>SUMIFS($AU$1388:AU1517,$AQ$1388:AQ1517,"M")</f>
        <v>2963.5799999997967</v>
      </c>
      <c r="BN1516" s="343">
        <f>SUMIFS($AU$1388:AU1517,$AQ$1388:AQ1517,"H")</f>
        <v>3599.9999999999991</v>
      </c>
      <c r="BO1516" s="343">
        <f>SUMIFS($AU$1388:AU1517,$AQ$1388:AQ1517,"D")</f>
        <v>1504.0000000000005</v>
      </c>
      <c r="BP1516" s="343">
        <f>SUMIFS($AU$1388:AU1519,$AQ$1388:AQ1519,"W")</f>
        <v>1414.3999999999999</v>
      </c>
      <c r="BQ1516" s="343">
        <f>SUMIFS($AU$1388:AU1517,$Q$1388:Q1517,"O")</f>
        <v>523.57999999978756</v>
      </c>
      <c r="BR1516" s="343">
        <f>SUMIFS($AU$1388:AU1517,$AA$1388:AA1517,"*")</f>
        <v>9042.7999999996882</v>
      </c>
      <c r="BS1516" s="343">
        <f>SUMIFS($AU$1388:AU1517,$AB$1388:AB1517,"*")</f>
        <v>2887.1799999999344</v>
      </c>
      <c r="BT1516" s="343">
        <f>SUMIFS($AU$1388:AU1517,$AC$1388:AC1517,"*")</f>
        <v>4054.3999999999996</v>
      </c>
      <c r="BU1516" s="343">
        <f>SUMIFS($AU$1388:AU1517,$AA$1388:AA1517,"*",$AB$1388:AB1517,"*")</f>
        <v>2511.9999999998245</v>
      </c>
      <c r="BV1516" s="343">
        <f>SUMIFS($AU$1388:AU1517,$AA$1388:AA1517,"*",$AC$1388:AC1517,"*")</f>
        <v>3990.3999999999996</v>
      </c>
      <c r="BW1516" s="343">
        <f>SUMIFS($AU$1388:AU1517,$AB$1388:AB1517,"*",$AC$1388:AC1517,"*")</f>
        <v>2223.9999999999995</v>
      </c>
      <c r="BX1516" s="343">
        <f>SUMIFS($AV$1388:AV1517,$Q$1388:Q1517,"F")</f>
        <v>142.54906832298136</v>
      </c>
      <c r="BY1516" s="343">
        <f>SUMIFS($AV$1388:AV1517,$Q$1388:Q1517,"S")</f>
        <v>271.59909454524484</v>
      </c>
      <c r="BZ1516" s="343">
        <f>SUMIFS($AV$1388:AV1517,$Q$1388:Q1517,"O")</f>
        <v>224.93999999992729</v>
      </c>
    </row>
    <row r="1517" spans="1:78" ht="15.75" customHeight="1">
      <c r="A1517" s="177" t="s">
        <v>4824</v>
      </c>
      <c r="B1517" s="200"/>
      <c r="C1517" s="178"/>
      <c r="D1517" s="178"/>
      <c r="E1517" s="227"/>
      <c r="F1517" s="180"/>
      <c r="G1517" s="181"/>
      <c r="H1517" s="182"/>
      <c r="I1517" s="182"/>
      <c r="J1517" s="182"/>
      <c r="K1517" s="183"/>
      <c r="L1517" s="182"/>
      <c r="M1517" s="182"/>
      <c r="N1517" s="182"/>
      <c r="O1517" s="183"/>
      <c r="P1517" s="183"/>
      <c r="Q1517" s="183"/>
      <c r="R1517" s="183"/>
      <c r="S1517" s="183"/>
      <c r="T1517" s="183"/>
      <c r="U1517" s="183"/>
      <c r="V1517" s="183"/>
      <c r="W1517" s="183"/>
      <c r="X1517" s="183"/>
      <c r="Y1517" s="183"/>
      <c r="Z1517" s="183"/>
      <c r="AA1517" s="185"/>
      <c r="AB1517" s="185"/>
      <c r="AC1517" s="185"/>
      <c r="AD1517" s="649"/>
      <c r="AE1517" s="182"/>
      <c r="AF1517" s="332"/>
      <c r="AG1517" s="182"/>
      <c r="AH1517" s="182"/>
      <c r="AI1517" s="182"/>
      <c r="AJ1517" s="640"/>
      <c r="AK1517" s="182"/>
      <c r="AL1517" s="496">
        <f t="shared" si="407"/>
        <v>0</v>
      </c>
      <c r="AM1517" s="496">
        <f t="shared" si="427"/>
        <v>0</v>
      </c>
      <c r="AN1517" s="626"/>
      <c r="AO1517" s="182"/>
      <c r="AP1517" s="182"/>
      <c r="AQ1517" s="332" t="str">
        <f>UPPER(RIGHT(Journal_Live[[#This Row],[DURATION ]]))</f>
        <v/>
      </c>
      <c r="AR1517" s="182"/>
      <c r="AS1517" s="189"/>
      <c r="AT1517" s="189"/>
      <c r="AU1517" s="187"/>
      <c r="AV1517" s="190"/>
      <c r="AW1517" s="191"/>
      <c r="AX1517" s="417"/>
      <c r="AY1517" s="417"/>
      <c r="AZ1517" s="417"/>
      <c r="BA1517" s="417"/>
      <c r="BB1517" s="407"/>
      <c r="BC1517" s="407"/>
      <c r="BD1517" s="407"/>
      <c r="BE1517" s="407"/>
      <c r="BF1517" s="422"/>
      <c r="BG1517" s="391">
        <f>SUM($AV$1389:AV1517)</f>
        <v>967.08816286816125</v>
      </c>
      <c r="BH1517" s="392">
        <f>SUM($AU$1389:AU1517)</f>
        <v>9481.9799999997977</v>
      </c>
      <c r="BI1517" s="318">
        <f>SUMIFS($AU$1388:AU1518,$Q$1388:Q1518,"F")</f>
        <v>4438.3999999999996</v>
      </c>
      <c r="BJ1517" s="318">
        <f>SUMIFS($AU$1388:AU1518,$Q$1388:Q1518,"S")</f>
        <v>4144.0000000000009</v>
      </c>
      <c r="BK1517" s="343">
        <f>SUMIFS($AU$1388:AU1518,$P$1388:P1518,"W")</f>
        <v>6973.5799999999363</v>
      </c>
      <c r="BL1517" s="343">
        <f>SUMIFS($AU$1388:AU1518,$P$1388:P1518,"R")</f>
        <v>2000.0000000000002</v>
      </c>
      <c r="BM1517" s="343">
        <f>SUMIFS($AU$1388:AU1518,$AQ$1388:AQ1518,"M")</f>
        <v>2963.5799999997967</v>
      </c>
      <c r="BN1517" s="343">
        <f>SUMIFS($AU$1388:AU1518,$AQ$1388:AQ1518,"H")</f>
        <v>3599.9999999999991</v>
      </c>
      <c r="BO1517" s="343">
        <f>SUMIFS($AU$1388:AU1518,$AQ$1388:AQ1518,"D")</f>
        <v>1504.0000000000005</v>
      </c>
      <c r="BP1517" s="343">
        <f>SUMIFS($AU$1388:AU1520,$AQ$1388:AQ1520,"W")</f>
        <v>1414.3999999999999</v>
      </c>
      <c r="BQ1517" s="343">
        <f>SUMIFS($AU$1388:AU1518,$Q$1388:Q1518,"O")</f>
        <v>523.57999999978756</v>
      </c>
      <c r="BR1517" s="343">
        <f>SUMIFS($AU$1388:AU1518,$AA$1388:AA1518,"*")</f>
        <v>9042.7999999996882</v>
      </c>
      <c r="BS1517" s="343">
        <f>SUMIFS($AU$1388:AU1518,$AB$1388:AB1518,"*")</f>
        <v>2887.1799999999344</v>
      </c>
      <c r="BT1517" s="343">
        <f>SUMIFS($AU$1388:AU1518,$AC$1388:AC1518,"*")</f>
        <v>4054.3999999999996</v>
      </c>
      <c r="BU1517" s="343">
        <f>SUMIFS($AU$1388:AU1518,$AA$1388:AA1518,"*",$AB$1388:AB1518,"*")</f>
        <v>2511.9999999998245</v>
      </c>
      <c r="BV1517" s="343">
        <f>SUMIFS($AU$1388:AU1518,$AA$1388:AA1518,"*",$AC$1388:AC1518,"*")</f>
        <v>3990.3999999999996</v>
      </c>
      <c r="BW1517" s="343">
        <f>SUMIFS($AU$1388:AU1518,$AB$1388:AB1518,"*",$AC$1388:AC1518,"*")</f>
        <v>2223.9999999999995</v>
      </c>
      <c r="BX1517" s="343">
        <f>SUMIFS($AV$1388:AV1518,$Q$1388:Q1518,"F")</f>
        <v>142.54906832298136</v>
      </c>
      <c r="BY1517" s="343">
        <f>SUMIFS($AV$1388:AV1518,$Q$1388:Q1518,"S")</f>
        <v>271.59909454524484</v>
      </c>
      <c r="BZ1517" s="343">
        <f>SUMIFS($AV$1388:AV1518,$Q$1388:Q1518,"O")</f>
        <v>224.93999999992729</v>
      </c>
    </row>
    <row r="1518" spans="1:78" ht="15.75" customHeight="1">
      <c r="A1518" s="177" t="s">
        <v>4824</v>
      </c>
      <c r="B1518" s="200"/>
      <c r="C1518" s="178"/>
      <c r="D1518" s="178"/>
      <c r="E1518" s="227"/>
      <c r="F1518" s="180"/>
      <c r="G1518" s="181"/>
      <c r="H1518" s="182"/>
      <c r="I1518" s="182"/>
      <c r="J1518" s="182"/>
      <c r="K1518" s="183"/>
      <c r="L1518" s="182"/>
      <c r="M1518" s="182"/>
      <c r="N1518" s="182"/>
      <c r="O1518" s="183"/>
      <c r="P1518" s="183"/>
      <c r="Q1518" s="183"/>
      <c r="R1518" s="183"/>
      <c r="S1518" s="183"/>
      <c r="T1518" s="183"/>
      <c r="U1518" s="183"/>
      <c r="V1518" s="183"/>
      <c r="W1518" s="183"/>
      <c r="X1518" s="183"/>
      <c r="Y1518" s="183"/>
      <c r="Z1518" s="183"/>
      <c r="AA1518" s="185"/>
      <c r="AB1518" s="185"/>
      <c r="AC1518" s="185"/>
      <c r="AD1518" s="649"/>
      <c r="AE1518" s="182"/>
      <c r="AF1518" s="332"/>
      <c r="AG1518" s="182"/>
      <c r="AH1518" s="182"/>
      <c r="AI1518" s="182"/>
      <c r="AJ1518" s="640"/>
      <c r="AK1518" s="182"/>
      <c r="AL1518" s="496">
        <f t="shared" si="407"/>
        <v>0</v>
      </c>
      <c r="AM1518" s="496">
        <f t="shared" si="427"/>
        <v>0</v>
      </c>
      <c r="AN1518" s="626"/>
      <c r="AO1518" s="182"/>
      <c r="AP1518" s="182"/>
      <c r="AQ1518" s="332" t="str">
        <f>UPPER(RIGHT(Journal_Live[[#This Row],[DURATION ]]))</f>
        <v/>
      </c>
      <c r="AR1518" s="182"/>
      <c r="AS1518" s="189"/>
      <c r="AT1518" s="189"/>
      <c r="AU1518" s="187"/>
      <c r="AV1518" s="190"/>
      <c r="AW1518" s="191"/>
      <c r="AX1518" s="417"/>
      <c r="AY1518" s="417"/>
      <c r="AZ1518" s="417"/>
      <c r="BA1518" s="417"/>
      <c r="BB1518" s="417"/>
      <c r="BC1518" s="407"/>
      <c r="BD1518" s="407"/>
      <c r="BE1518" s="407"/>
      <c r="BF1518" s="422"/>
      <c r="BG1518" s="391">
        <f>SUM($AV$1389:AV1518)</f>
        <v>967.08816286816125</v>
      </c>
      <c r="BH1518" s="392">
        <f>SUM($AU$1389:AU1518)</f>
        <v>9481.9799999997977</v>
      </c>
      <c r="BI1518" s="318">
        <f>SUMIFS($AU$1388:AU1519,$Q$1388:Q1519,"F")</f>
        <v>4438.3999999999996</v>
      </c>
      <c r="BJ1518" s="318">
        <f>SUMIFS($AU$1388:AU1519,$Q$1388:Q1519,"S")</f>
        <v>4144.0000000000009</v>
      </c>
      <c r="BK1518" s="343">
        <f>SUMIFS($AU$1388:AU1519,$P$1388:P1519,"W")</f>
        <v>6973.5799999999363</v>
      </c>
      <c r="BL1518" s="343">
        <f>SUMIFS($AU$1388:AU1519,$P$1388:P1519,"R")</f>
        <v>2000.0000000000002</v>
      </c>
      <c r="BM1518" s="343">
        <f>SUMIFS($AU$1388:AU1519,$AQ$1388:AQ1519,"M")</f>
        <v>2963.5799999997967</v>
      </c>
      <c r="BN1518" s="343">
        <f>SUMIFS($AU$1388:AU1519,$AQ$1388:AQ1519,"H")</f>
        <v>3599.9999999999991</v>
      </c>
      <c r="BO1518" s="343">
        <f>SUMIFS($AU$1388:AU1519,$AQ$1388:AQ1519,"D")</f>
        <v>1504.0000000000005</v>
      </c>
      <c r="BP1518" s="343">
        <f>SUMIFS($AU$1388:AU1521,$AQ$1388:AQ1521,"W")</f>
        <v>1414.3999999999999</v>
      </c>
      <c r="BQ1518" s="343">
        <f>SUMIFS($AU$1388:AU1519,$Q$1388:Q1519,"O")</f>
        <v>523.57999999978756</v>
      </c>
      <c r="BR1518" s="343">
        <f>SUMIFS($AU$1388:AU1519,$AA$1388:AA1519,"*")</f>
        <v>9042.7999999996882</v>
      </c>
      <c r="BS1518" s="343">
        <f>SUMIFS($AU$1388:AU1519,$AB$1388:AB1519,"*")</f>
        <v>2887.1799999999344</v>
      </c>
      <c r="BT1518" s="343">
        <f>SUMIFS($AU$1388:AU1519,$AC$1388:AC1519,"*")</f>
        <v>4054.3999999999996</v>
      </c>
      <c r="BU1518" s="343">
        <f>SUMIFS($AU$1388:AU1519,$AA$1388:AA1519,"*",$AB$1388:AB1519,"*")</f>
        <v>2511.9999999998245</v>
      </c>
      <c r="BV1518" s="343">
        <f>SUMIFS($AU$1388:AU1519,$AA$1388:AA1519,"*",$AC$1388:AC1519,"*")</f>
        <v>3990.3999999999996</v>
      </c>
      <c r="BW1518" s="343">
        <f>SUMIFS($AU$1388:AU1519,$AB$1388:AB1519,"*",$AC$1388:AC1519,"*")</f>
        <v>2223.9999999999995</v>
      </c>
      <c r="BX1518" s="343">
        <f>SUMIFS($AV$1388:AV1519,$Q$1388:Q1519,"F")</f>
        <v>142.54906832298136</v>
      </c>
      <c r="BY1518" s="343">
        <f>SUMIFS($AV$1388:AV1519,$Q$1388:Q1519,"S")</f>
        <v>271.59909454524484</v>
      </c>
      <c r="BZ1518" s="343">
        <f>SUMIFS($AV$1388:AV1519,$Q$1388:Q1519,"O")</f>
        <v>224.93999999992729</v>
      </c>
    </row>
    <row r="1519" spans="1:78" ht="15.75" customHeight="1">
      <c r="A1519" s="177" t="s">
        <v>4824</v>
      </c>
      <c r="B1519" s="200"/>
      <c r="C1519" s="178"/>
      <c r="D1519" s="178"/>
      <c r="E1519" s="227"/>
      <c r="F1519" s="180"/>
      <c r="G1519" s="181"/>
      <c r="H1519" s="182"/>
      <c r="I1519" s="182"/>
      <c r="J1519" s="182"/>
      <c r="K1519" s="183"/>
      <c r="L1519" s="182"/>
      <c r="M1519" s="182"/>
      <c r="N1519" s="182"/>
      <c r="O1519" s="183"/>
      <c r="P1519" s="183"/>
      <c r="Q1519" s="183"/>
      <c r="R1519" s="183"/>
      <c r="S1519" s="183"/>
      <c r="T1519" s="183"/>
      <c r="U1519" s="183"/>
      <c r="V1519" s="183"/>
      <c r="W1519" s="183"/>
      <c r="X1519" s="183"/>
      <c r="Y1519" s="183"/>
      <c r="Z1519" s="183"/>
      <c r="AA1519" s="185"/>
      <c r="AB1519" s="185"/>
      <c r="AC1519" s="185"/>
      <c r="AD1519" s="649"/>
      <c r="AE1519" s="182"/>
      <c r="AF1519" s="332"/>
      <c r="AG1519" s="182"/>
      <c r="AH1519" s="182"/>
      <c r="AI1519" s="182"/>
      <c r="AJ1519" s="640"/>
      <c r="AK1519" s="182"/>
      <c r="AL1519" s="496">
        <f t="shared" ref="AL1519:AL1520" si="431">-0.02*Z1519</f>
        <v>0</v>
      </c>
      <c r="AM1519" s="496">
        <f t="shared" si="427"/>
        <v>0</v>
      </c>
      <c r="AN1519" s="626"/>
      <c r="AO1519" s="182"/>
      <c r="AP1519" s="182"/>
      <c r="AQ1519" s="332" t="str">
        <f>UPPER(RIGHT(Journal_Live[[#This Row],[DURATION ]]))</f>
        <v/>
      </c>
      <c r="AR1519" s="182"/>
      <c r="AS1519" s="189"/>
      <c r="AT1519" s="189"/>
      <c r="AU1519" s="187"/>
      <c r="AV1519" s="190"/>
      <c r="AW1519" s="191"/>
      <c r="AX1519" s="417"/>
      <c r="AY1519" s="417"/>
      <c r="AZ1519" s="515"/>
      <c r="BA1519" s="515"/>
      <c r="BB1519" s="417"/>
      <c r="BC1519" s="407"/>
      <c r="BD1519" s="407"/>
      <c r="BE1519" s="407"/>
      <c r="BF1519" s="422"/>
      <c r="BG1519" s="391">
        <f>SUM($AV$1389:AV1519)</f>
        <v>967.08816286816125</v>
      </c>
      <c r="BH1519" s="392">
        <f>SUM($AU$1389:AU1519)</f>
        <v>9481.9799999997977</v>
      </c>
      <c r="BI1519" s="318">
        <f>SUMIFS($AU$1388:AU1520,$Q$1388:Q1520,"F")</f>
        <v>4438.3999999999996</v>
      </c>
      <c r="BJ1519" s="318">
        <f>SUMIFS($AU$1388:AU1520,$Q$1388:Q1520,"S")</f>
        <v>4144.0000000000009</v>
      </c>
      <c r="BK1519" s="343">
        <f>SUMIFS($AU$1388:AU1520,$P$1388:P1520,"W")</f>
        <v>6973.5799999999363</v>
      </c>
      <c r="BL1519" s="343">
        <f>SUMIFS($AU$1388:AU1520,$P$1388:P1520,"R")</f>
        <v>2000.0000000000002</v>
      </c>
      <c r="BM1519" s="343">
        <f>SUMIFS($AU$1388:AU1520,$AQ$1388:AQ1520,"M")</f>
        <v>2963.5799999997967</v>
      </c>
      <c r="BN1519" s="343">
        <f>SUMIFS($AU$1388:AU1520,$AQ$1388:AQ1520,"H")</f>
        <v>3599.9999999999991</v>
      </c>
      <c r="BO1519" s="343">
        <f>SUMIFS($AU$1388:AU1520,$AQ$1388:AQ1520,"D")</f>
        <v>1504.0000000000005</v>
      </c>
      <c r="BP1519" s="343">
        <f>SUMIFS($AU$1388:AU1522,$AQ$1388:AQ1522,"W")</f>
        <v>1414.3999999999999</v>
      </c>
      <c r="BQ1519" s="343">
        <f>SUMIFS($AU$1388:AU1520,$Q$1388:Q1520,"O")</f>
        <v>523.57999999978756</v>
      </c>
      <c r="BR1519" s="343">
        <f>SUMIFS($AU$1388:AU1520,$AA$1388:AA1520,"*")</f>
        <v>9042.7999999996882</v>
      </c>
      <c r="BS1519" s="343">
        <f>SUMIFS($AU$1388:AU1520,$AB$1388:AB1520,"*")</f>
        <v>2887.1799999999344</v>
      </c>
      <c r="BT1519" s="343">
        <f>SUMIFS($AU$1388:AU1520,$AC$1388:AC1520,"*")</f>
        <v>4054.3999999999996</v>
      </c>
      <c r="BU1519" s="343">
        <f>SUMIFS($AU$1388:AU1520,$AA$1388:AA1520,"*",$AB$1388:AB1520,"*")</f>
        <v>2511.9999999998245</v>
      </c>
      <c r="BV1519" s="343">
        <f>SUMIFS($AU$1388:AU1520,$AA$1388:AA1520,"*",$AC$1388:AC1520,"*")</f>
        <v>3990.3999999999996</v>
      </c>
      <c r="BW1519" s="343">
        <f>SUMIFS($AU$1388:AU1520,$AB$1388:AB1520,"*",$AC$1388:AC1520,"*")</f>
        <v>2223.9999999999995</v>
      </c>
      <c r="BX1519" s="343">
        <f>SUMIFS($AV$1388:AV1520,$Q$1388:Q1520,"F")</f>
        <v>142.54906832298136</v>
      </c>
      <c r="BY1519" s="343">
        <f>SUMIFS($AV$1388:AV1520,$Q$1388:Q1520,"S")</f>
        <v>271.59909454524484</v>
      </c>
      <c r="BZ1519" s="343">
        <f>SUMIFS($AV$1388:AV1520,$Q$1388:Q1520,"O")</f>
        <v>224.93999999992729</v>
      </c>
    </row>
    <row r="1520" spans="1:78" ht="15.75" customHeight="1">
      <c r="A1520" s="177" t="s">
        <v>4824</v>
      </c>
      <c r="B1520" s="200"/>
      <c r="C1520" s="178"/>
      <c r="D1520" s="178"/>
      <c r="E1520" s="227"/>
      <c r="F1520" s="180"/>
      <c r="G1520" s="181"/>
      <c r="H1520" s="182"/>
      <c r="I1520" s="182"/>
      <c r="J1520" s="182"/>
      <c r="K1520" s="183"/>
      <c r="L1520" s="182"/>
      <c r="M1520" s="182"/>
      <c r="N1520" s="182"/>
      <c r="O1520" s="183"/>
      <c r="P1520" s="183"/>
      <c r="Q1520" s="183"/>
      <c r="R1520" s="183"/>
      <c r="S1520" s="183"/>
      <c r="T1520" s="183"/>
      <c r="U1520" s="183"/>
      <c r="V1520" s="183"/>
      <c r="W1520" s="183"/>
      <c r="X1520" s="183"/>
      <c r="Y1520" s="183"/>
      <c r="Z1520" s="183"/>
      <c r="AA1520" s="185"/>
      <c r="AB1520" s="185"/>
      <c r="AC1520" s="185"/>
      <c r="AD1520" s="649"/>
      <c r="AE1520" s="182"/>
      <c r="AF1520" s="332"/>
      <c r="AG1520" s="182"/>
      <c r="AH1520" s="182"/>
      <c r="AI1520" s="182"/>
      <c r="AJ1520" s="640"/>
      <c r="AK1520" s="182"/>
      <c r="AL1520" s="496">
        <f t="shared" si="431"/>
        <v>0</v>
      </c>
      <c r="AM1520" s="496">
        <f t="shared" si="427"/>
        <v>0</v>
      </c>
      <c r="AN1520" s="626"/>
      <c r="AO1520" s="182"/>
      <c r="AP1520" s="182"/>
      <c r="AQ1520" s="332" t="str">
        <f>UPPER(RIGHT(Journal_Live[[#This Row],[DURATION ]]))</f>
        <v/>
      </c>
      <c r="AR1520" s="182"/>
      <c r="AS1520" s="189"/>
      <c r="AT1520" s="189"/>
      <c r="AU1520" s="187"/>
      <c r="AV1520" s="190"/>
      <c r="AW1520" s="191"/>
      <c r="AX1520" s="523"/>
      <c r="AY1520" s="519"/>
      <c r="AZ1520" s="521"/>
      <c r="BA1520" s="521"/>
      <c r="BB1520" s="520"/>
      <c r="BC1520" s="417"/>
      <c r="BD1520" s="417"/>
      <c r="BE1520" s="407"/>
      <c r="BF1520" s="422"/>
      <c r="BG1520" s="391">
        <f>SUM($AV$1389:AV1520)</f>
        <v>967.08816286816125</v>
      </c>
      <c r="BH1520" s="392">
        <f>SUM($AU$1389:AU1520)</f>
        <v>9481.9799999997977</v>
      </c>
      <c r="BI1520" s="318">
        <f>SUMIFS($AU$1388:AU1521,$Q$1388:Q1521,"F")</f>
        <v>4438.3999999999996</v>
      </c>
      <c r="BJ1520" s="318">
        <f>SUMIFS($AU$1388:AU1521,$Q$1388:Q1521,"S")</f>
        <v>4144.0000000000009</v>
      </c>
      <c r="BK1520" s="343">
        <f>SUMIFS($AU$1388:AU1521,$P$1388:P1521,"W")</f>
        <v>6973.5799999999363</v>
      </c>
      <c r="BL1520" s="343">
        <f>SUMIFS($AU$1388:AU1521,$P$1388:P1521,"R")</f>
        <v>2000.0000000000002</v>
      </c>
      <c r="BM1520" s="343">
        <f>SUMIFS($AU$1388:AU1521,$AQ$1388:AQ1521,"M")</f>
        <v>2963.5799999997967</v>
      </c>
      <c r="BN1520" s="343">
        <f>SUMIFS($AU$1388:AU1521,$AQ$1388:AQ1521,"H")</f>
        <v>3599.9999999999991</v>
      </c>
      <c r="BO1520" s="343">
        <f>SUMIFS($AU$1388:AU1521,$AQ$1388:AQ1521,"D")</f>
        <v>1504.0000000000005</v>
      </c>
      <c r="BP1520" s="343">
        <f>SUMIFS($AU$1388:AU1523,$AQ$1388:AQ1523,"W")</f>
        <v>1414.3999999999999</v>
      </c>
      <c r="BQ1520" s="343">
        <f>SUMIFS($AU$1388:AU1521,$Q$1388:Q1521,"O")</f>
        <v>523.57999999978756</v>
      </c>
      <c r="BR1520" s="343">
        <f>SUMIFS($AU$1388:AU1521,$AA$1388:AA1521,"*")</f>
        <v>9042.7999999996882</v>
      </c>
      <c r="BS1520" s="343">
        <f>SUMIFS($AU$1388:AU1521,$AB$1388:AB1521,"*")</f>
        <v>2887.1799999999344</v>
      </c>
      <c r="BT1520" s="343">
        <f>SUMIFS($AU$1388:AU1521,$AC$1388:AC1521,"*")</f>
        <v>4054.3999999999996</v>
      </c>
      <c r="BU1520" s="343">
        <f>SUMIFS($AU$1388:AU1521,$AA$1388:AA1521,"*",$AB$1388:AB1521,"*")</f>
        <v>2511.9999999998245</v>
      </c>
      <c r="BV1520" s="343">
        <f>SUMIFS($AU$1388:AU1521,$AA$1388:AA1521,"*",$AC$1388:AC1521,"*")</f>
        <v>3990.3999999999996</v>
      </c>
      <c r="BW1520" s="343">
        <f>SUMIFS($AU$1388:AU1521,$AB$1388:AB1521,"*",$AC$1388:AC1521,"*")</f>
        <v>2223.9999999999995</v>
      </c>
      <c r="BX1520" s="343">
        <f>SUMIFS($AV$1388:AV1521,$Q$1388:Q1521,"F")</f>
        <v>142.54906832298136</v>
      </c>
      <c r="BY1520" s="343">
        <f>SUMIFS($AV$1388:AV1521,$Q$1388:Q1521,"S")</f>
        <v>271.59909454524484</v>
      </c>
      <c r="BZ1520" s="343">
        <f>SUMIFS($AV$1388:AV1521,$Q$1388:Q1521,"O")</f>
        <v>224.93999999992729</v>
      </c>
    </row>
    <row r="1521" spans="1:78" ht="15.75" customHeight="1">
      <c r="A1521" s="177" t="s">
        <v>4824</v>
      </c>
      <c r="B1521" s="200"/>
      <c r="C1521" s="178"/>
      <c r="D1521" s="178"/>
      <c r="E1521" s="227"/>
      <c r="F1521" s="180"/>
      <c r="G1521" s="181"/>
      <c r="H1521" s="182"/>
      <c r="I1521" s="182"/>
      <c r="J1521" s="182"/>
      <c r="K1521" s="183"/>
      <c r="L1521" s="182"/>
      <c r="M1521" s="182"/>
      <c r="N1521" s="182"/>
      <c r="O1521" s="183"/>
      <c r="P1521" s="183"/>
      <c r="Q1521" s="183"/>
      <c r="R1521" s="183"/>
      <c r="S1521" s="183"/>
      <c r="T1521" s="183"/>
      <c r="U1521" s="183"/>
      <c r="V1521" s="183"/>
      <c r="W1521" s="183"/>
      <c r="X1521" s="183"/>
      <c r="Y1521" s="183"/>
      <c r="Z1521" s="183"/>
      <c r="AA1521" s="185"/>
      <c r="AB1521" s="185"/>
      <c r="AC1521" s="185"/>
      <c r="AD1521" s="649"/>
      <c r="AE1521" s="182"/>
      <c r="AF1521" s="332"/>
      <c r="AG1521" s="182"/>
      <c r="AH1521" s="182"/>
      <c r="AI1521" s="182"/>
      <c r="AJ1521" s="640"/>
      <c r="AK1521" s="182"/>
      <c r="AL1521" s="496">
        <f t="shared" si="407"/>
        <v>0</v>
      </c>
      <c r="AM1521" s="496">
        <f t="shared" si="427"/>
        <v>0</v>
      </c>
      <c r="AN1521" s="626"/>
      <c r="AO1521" s="182"/>
      <c r="AP1521" s="182"/>
      <c r="AQ1521" s="332" t="str">
        <f>UPPER(RIGHT(Journal_Live[[#This Row],[DURATION ]]))</f>
        <v/>
      </c>
      <c r="AR1521" s="182"/>
      <c r="AS1521" s="189"/>
      <c r="AT1521" s="189"/>
      <c r="AU1521" s="187"/>
      <c r="AV1521" s="190"/>
      <c r="AW1521" s="191"/>
      <c r="AX1521" s="524"/>
      <c r="AY1521" s="519"/>
      <c r="AZ1521" s="522"/>
      <c r="BA1521" s="521"/>
      <c r="BB1521" s="520"/>
      <c r="BC1521" s="417"/>
      <c r="BD1521" s="417"/>
      <c r="BE1521" s="407"/>
      <c r="BF1521" s="422"/>
      <c r="BG1521" s="391">
        <f>SUM($AV$1389:AV1521)</f>
        <v>967.08816286816125</v>
      </c>
      <c r="BH1521" s="392">
        <f>SUM($AU$1389:AU1521)</f>
        <v>9481.9799999997977</v>
      </c>
      <c r="BI1521" s="318">
        <f>SUMIFS($AU$1388:AU1522,$Q$1388:Q1522,"F")</f>
        <v>4438.3999999999996</v>
      </c>
      <c r="BJ1521" s="318">
        <f>SUMIFS($AU$1388:AU1522,$Q$1388:Q1522,"S")</f>
        <v>4144.0000000000009</v>
      </c>
      <c r="BK1521" s="343">
        <f>SUMIFS($AU$1388:AU1522,$P$1388:P1522,"W")</f>
        <v>6973.5799999999363</v>
      </c>
      <c r="BL1521" s="343">
        <f>SUMIFS($AU$1388:AU1522,$P$1388:P1522,"R")</f>
        <v>2000.0000000000002</v>
      </c>
      <c r="BM1521" s="343">
        <f>SUMIFS($AU$1388:AU1522,$AQ$1388:AQ1522,"M")</f>
        <v>2963.5799999997967</v>
      </c>
      <c r="BN1521" s="343">
        <f>SUMIFS($AU$1388:AU1522,$AQ$1388:AQ1522,"H")</f>
        <v>3599.9999999999991</v>
      </c>
      <c r="BO1521" s="343">
        <f>SUMIFS($AU$1388:AU1522,$AQ$1388:AQ1522,"D")</f>
        <v>1504.0000000000005</v>
      </c>
      <c r="BP1521" s="343">
        <f>SUMIFS($AU$1388:AU1524,$AQ$1388:AQ1524,"W")</f>
        <v>1414.3999999999999</v>
      </c>
      <c r="BQ1521" s="343">
        <f>SUMIFS($AU$1388:AU1522,$Q$1388:Q1522,"O")</f>
        <v>523.57999999978756</v>
      </c>
      <c r="BR1521" s="343">
        <f>SUMIFS($AU$1388:AU1522,$AA$1388:AA1522,"*")</f>
        <v>9042.7999999996882</v>
      </c>
      <c r="BS1521" s="343">
        <f>SUMIFS($AU$1388:AU1522,$AB$1388:AB1522,"*")</f>
        <v>2887.1799999999344</v>
      </c>
      <c r="BT1521" s="343">
        <f>SUMIFS($AU$1388:AU1522,$AC$1388:AC1522,"*")</f>
        <v>4054.3999999999996</v>
      </c>
      <c r="BU1521" s="343">
        <f>SUMIFS($AU$1388:AU1522,$AA$1388:AA1522,"*",$AB$1388:AB1522,"*")</f>
        <v>2511.9999999998245</v>
      </c>
      <c r="BV1521" s="343">
        <f>SUMIFS($AU$1388:AU1522,$AA$1388:AA1522,"*",$AC$1388:AC1522,"*")</f>
        <v>3990.3999999999996</v>
      </c>
      <c r="BW1521" s="343">
        <f>SUMIFS($AU$1388:AU1522,$AB$1388:AB1522,"*",$AC$1388:AC1522,"*")</f>
        <v>2223.9999999999995</v>
      </c>
      <c r="BX1521" s="343">
        <f>SUMIFS($AV$1388:AV1522,$Q$1388:Q1522,"F")</f>
        <v>142.54906832298136</v>
      </c>
      <c r="BY1521" s="343">
        <f>SUMIFS($AV$1388:AV1522,$Q$1388:Q1522,"S")</f>
        <v>271.59909454524484</v>
      </c>
      <c r="BZ1521" s="343">
        <f>SUMIFS($AV$1388:AV1522,$Q$1388:Q1522,"O")</f>
        <v>224.93999999992729</v>
      </c>
    </row>
    <row r="1522" spans="1:78" ht="15.75" customHeight="1">
      <c r="A1522" s="177" t="s">
        <v>4824</v>
      </c>
      <c r="B1522" s="200"/>
      <c r="C1522" s="178"/>
      <c r="D1522" s="178"/>
      <c r="E1522" s="227"/>
      <c r="F1522" s="180"/>
      <c r="G1522" s="181"/>
      <c r="H1522" s="182"/>
      <c r="I1522" s="182"/>
      <c r="J1522" s="182"/>
      <c r="K1522" s="183"/>
      <c r="L1522" s="182"/>
      <c r="M1522" s="182"/>
      <c r="N1522" s="182"/>
      <c r="O1522" s="183"/>
      <c r="P1522" s="183"/>
      <c r="Q1522" s="183"/>
      <c r="R1522" s="183"/>
      <c r="S1522" s="183"/>
      <c r="T1522" s="183"/>
      <c r="U1522" s="183"/>
      <c r="V1522" s="183"/>
      <c r="W1522" s="183"/>
      <c r="X1522" s="183"/>
      <c r="Y1522" s="183"/>
      <c r="Z1522" s="183"/>
      <c r="AA1522" s="185"/>
      <c r="AB1522" s="185"/>
      <c r="AC1522" s="185"/>
      <c r="AD1522" s="649"/>
      <c r="AE1522" s="182"/>
      <c r="AF1522" s="332"/>
      <c r="AG1522" s="182"/>
      <c r="AH1522" s="182"/>
      <c r="AI1522" s="182"/>
      <c r="AJ1522" s="640"/>
      <c r="AK1522" s="182"/>
      <c r="AL1522" s="496">
        <f t="shared" si="407"/>
        <v>0</v>
      </c>
      <c r="AM1522" s="496">
        <f t="shared" si="427"/>
        <v>0</v>
      </c>
      <c r="AN1522" s="626"/>
      <c r="AO1522" s="182"/>
      <c r="AP1522" s="182"/>
      <c r="AQ1522" s="332" t="str">
        <f>UPPER(RIGHT(Journal_Live[[#This Row],[DURATION ]]))</f>
        <v/>
      </c>
      <c r="AR1522" s="182"/>
      <c r="AS1522" s="189"/>
      <c r="AT1522" s="189"/>
      <c r="AU1522" s="187"/>
      <c r="AV1522" s="190"/>
      <c r="AW1522" s="191"/>
      <c r="AX1522" s="417"/>
      <c r="AY1522" s="417"/>
      <c r="AZ1522" s="417"/>
      <c r="BA1522" s="417"/>
      <c r="BB1522" s="417"/>
      <c r="BC1522" s="417"/>
      <c r="BD1522" s="514"/>
      <c r="BE1522" s="407"/>
      <c r="BF1522" s="422"/>
      <c r="BG1522" s="391">
        <f>SUM($AV$1389:AV1522)</f>
        <v>967.08816286816125</v>
      </c>
      <c r="BH1522" s="392">
        <f>SUM($AU$1389:AU1522)</f>
        <v>9481.9799999997977</v>
      </c>
      <c r="BI1522" s="318">
        <f>SUMIFS($AU$1388:AU1523,$Q$1388:Q1523,"F")</f>
        <v>4438.3999999999996</v>
      </c>
      <c r="BJ1522" s="318">
        <f>SUMIFS($AU$1388:AU1523,$Q$1388:Q1523,"S")</f>
        <v>4144.0000000000009</v>
      </c>
      <c r="BK1522" s="343">
        <f>SUMIFS($AU$1388:AU1523,$P$1388:P1523,"W")</f>
        <v>6973.5799999999363</v>
      </c>
      <c r="BL1522" s="343">
        <f>SUMIFS($AU$1388:AU1523,$P$1388:P1523,"R")</f>
        <v>2000.0000000000002</v>
      </c>
      <c r="BM1522" s="343">
        <f>SUMIFS($AU$1388:AU1523,$AQ$1388:AQ1523,"M")</f>
        <v>2963.5799999997967</v>
      </c>
      <c r="BN1522" s="343">
        <f>SUMIFS($AU$1388:AU1523,$AQ$1388:AQ1523,"H")</f>
        <v>3599.9999999999991</v>
      </c>
      <c r="BO1522" s="343">
        <f>SUMIFS($AU$1388:AU1523,$AQ$1388:AQ1523,"D")</f>
        <v>1504.0000000000005</v>
      </c>
      <c r="BP1522" s="343">
        <f>SUMIFS($AU$1388:AU1525,$AQ$1388:AQ1525,"W")</f>
        <v>1414.3999999999999</v>
      </c>
      <c r="BQ1522" s="343">
        <f>SUMIFS($AU$1388:AU1523,$Q$1388:Q1523,"O")</f>
        <v>523.57999999978756</v>
      </c>
      <c r="BR1522" s="343">
        <f>SUMIFS($AU$1388:AU1523,$AA$1388:AA1523,"*")</f>
        <v>9042.7999999996882</v>
      </c>
      <c r="BS1522" s="343">
        <f>SUMIFS($AU$1388:AU1523,$AB$1388:AB1523,"*")</f>
        <v>2887.1799999999344</v>
      </c>
      <c r="BT1522" s="343">
        <f>SUMIFS($AU$1388:AU1523,$AC$1388:AC1523,"*")</f>
        <v>4054.3999999999996</v>
      </c>
      <c r="BU1522" s="343">
        <f>SUMIFS($AU$1388:AU1523,$AA$1388:AA1523,"*",$AB$1388:AB1523,"*")</f>
        <v>2511.9999999998245</v>
      </c>
      <c r="BV1522" s="343">
        <f>SUMIFS($AU$1388:AU1523,$AA$1388:AA1523,"*",$AC$1388:AC1523,"*")</f>
        <v>3990.3999999999996</v>
      </c>
      <c r="BW1522" s="343">
        <f>SUMIFS($AU$1388:AU1523,$AB$1388:AB1523,"*",$AC$1388:AC1523,"*")</f>
        <v>2223.9999999999995</v>
      </c>
      <c r="BX1522" s="343">
        <f>SUMIFS($AV$1388:AV1523,$Q$1388:Q1523,"F")</f>
        <v>142.54906832298136</v>
      </c>
      <c r="BY1522" s="343">
        <f>SUMIFS($AV$1388:AV1523,$Q$1388:Q1523,"S")</f>
        <v>271.59909454524484</v>
      </c>
      <c r="BZ1522" s="343">
        <f>SUMIFS($AV$1388:AV1523,$Q$1388:Q1523,"O")</f>
        <v>224.93999999992729</v>
      </c>
    </row>
    <row r="1523" spans="1:78" ht="15.75" customHeight="1">
      <c r="A1523" s="177" t="s">
        <v>4824</v>
      </c>
      <c r="B1523" s="200"/>
      <c r="C1523" s="178"/>
      <c r="D1523" s="178"/>
      <c r="E1523" s="227"/>
      <c r="F1523" s="180"/>
      <c r="G1523" s="181"/>
      <c r="H1523" s="182"/>
      <c r="I1523" s="182"/>
      <c r="J1523" s="182"/>
      <c r="K1523" s="183"/>
      <c r="L1523" s="182"/>
      <c r="M1523" s="182"/>
      <c r="N1523" s="182"/>
      <c r="O1523" s="183"/>
      <c r="P1523" s="183"/>
      <c r="Q1523" s="183"/>
      <c r="R1523" s="183"/>
      <c r="S1523" s="183"/>
      <c r="T1523" s="183"/>
      <c r="U1523" s="183"/>
      <c r="V1523" s="183"/>
      <c r="W1523" s="183"/>
      <c r="X1523" s="183"/>
      <c r="Y1523" s="183"/>
      <c r="Z1523" s="183"/>
      <c r="AA1523" s="185"/>
      <c r="AB1523" s="185"/>
      <c r="AC1523" s="185"/>
      <c r="AD1523" s="649"/>
      <c r="AE1523" s="182"/>
      <c r="AF1523" s="332"/>
      <c r="AG1523" s="182"/>
      <c r="AH1523" s="182"/>
      <c r="AI1523" s="182"/>
      <c r="AJ1523" s="640"/>
      <c r="AK1523" s="182"/>
      <c r="AL1523" s="496">
        <f t="shared" si="407"/>
        <v>0</v>
      </c>
      <c r="AM1523" s="496">
        <f t="shared" si="427"/>
        <v>0</v>
      </c>
      <c r="AN1523" s="626"/>
      <c r="AO1523" s="182"/>
      <c r="AP1523" s="182"/>
      <c r="AQ1523" s="332" t="str">
        <f>UPPER(RIGHT(Journal_Live[[#This Row],[DURATION ]]))</f>
        <v/>
      </c>
      <c r="AR1523" s="182"/>
      <c r="AS1523" s="189"/>
      <c r="AT1523" s="189"/>
      <c r="AU1523" s="187"/>
      <c r="AV1523" s="190"/>
      <c r="AW1523" s="191"/>
      <c r="AX1523" s="515"/>
      <c r="AY1523" s="417"/>
      <c r="AZ1523" s="417"/>
      <c r="BA1523" s="514"/>
      <c r="BB1523" s="417"/>
      <c r="BC1523" s="514"/>
      <c r="BD1523" s="514"/>
      <c r="BE1523" s="417"/>
      <c r="BF1523" s="422"/>
      <c r="BG1523" s="391">
        <f>SUM($AV$1389:AV1523)</f>
        <v>967.08816286816125</v>
      </c>
      <c r="BH1523" s="392">
        <f>SUM($AU$1389:AU1523)</f>
        <v>9481.9799999997977</v>
      </c>
      <c r="BI1523" s="318">
        <f>SUMIFS($AU$1388:AU1524,$Q$1388:Q1524,"F")</f>
        <v>4438.3999999999996</v>
      </c>
      <c r="BJ1523" s="318">
        <f>SUMIFS($AU$1388:AU1524,$Q$1388:Q1524,"S")</f>
        <v>4144.0000000000009</v>
      </c>
      <c r="BK1523" s="343">
        <f>SUMIFS($AU$1388:AU1524,$P$1388:P1524,"W")</f>
        <v>6973.5799999999363</v>
      </c>
      <c r="BL1523" s="343">
        <f>SUMIFS($AU$1388:AU1524,$P$1388:P1524,"R")</f>
        <v>2000.0000000000002</v>
      </c>
      <c r="BM1523" s="343">
        <f>SUMIFS($AU$1388:AU1524,$AQ$1388:AQ1524,"M")</f>
        <v>2963.5799999997967</v>
      </c>
      <c r="BN1523" s="343">
        <f>SUMIFS($AU$1388:AU1524,$AQ$1388:AQ1524,"H")</f>
        <v>3599.9999999999991</v>
      </c>
      <c r="BO1523" s="343">
        <f>SUMIFS($AU$1388:AU1524,$AQ$1388:AQ1524,"D")</f>
        <v>1504.0000000000005</v>
      </c>
      <c r="BP1523" s="343">
        <f>SUMIFS($AU$1388:AU1526,$AQ$1388:AQ1526,"W")</f>
        <v>1414.3999999999999</v>
      </c>
      <c r="BQ1523" s="343">
        <f>SUMIFS($AU$1388:AU1524,$Q$1388:Q1524,"O")</f>
        <v>523.57999999978756</v>
      </c>
      <c r="BR1523" s="343">
        <f>SUMIFS($AU$1388:AU1524,$AA$1388:AA1524,"*")</f>
        <v>9042.7999999996882</v>
      </c>
      <c r="BS1523" s="343">
        <f>SUMIFS($AU$1388:AU1524,$AB$1388:AB1524,"*")</f>
        <v>2887.1799999999344</v>
      </c>
      <c r="BT1523" s="343">
        <f>SUMIFS($AU$1388:AU1524,$AC$1388:AC1524,"*")</f>
        <v>4054.3999999999996</v>
      </c>
      <c r="BU1523" s="343">
        <f>SUMIFS($AU$1388:AU1524,$AA$1388:AA1524,"*",$AB$1388:AB1524,"*")</f>
        <v>2511.9999999998245</v>
      </c>
      <c r="BV1523" s="343">
        <f>SUMIFS($AU$1388:AU1524,$AA$1388:AA1524,"*",$AC$1388:AC1524,"*")</f>
        <v>3990.3999999999996</v>
      </c>
      <c r="BW1523" s="343">
        <f>SUMIFS($AU$1388:AU1524,$AB$1388:AB1524,"*",$AC$1388:AC1524,"*")</f>
        <v>2223.9999999999995</v>
      </c>
      <c r="BX1523" s="343">
        <f>SUMIFS($AV$1388:AV1524,$Q$1388:Q1524,"F")</f>
        <v>142.54906832298136</v>
      </c>
      <c r="BY1523" s="343">
        <f>SUMIFS($AV$1388:AV1524,$Q$1388:Q1524,"S")</f>
        <v>271.59909454524484</v>
      </c>
      <c r="BZ1523" s="343">
        <f>SUMIFS($AV$1388:AV1524,$Q$1388:Q1524,"O")</f>
        <v>224.93999999992729</v>
      </c>
    </row>
    <row r="1524" spans="1:78" ht="15.75" customHeight="1">
      <c r="A1524" s="177" t="s">
        <v>4824</v>
      </c>
      <c r="B1524" s="200"/>
      <c r="C1524" s="178"/>
      <c r="D1524" s="178"/>
      <c r="E1524" s="227"/>
      <c r="F1524" s="180"/>
      <c r="G1524" s="181"/>
      <c r="H1524" s="182"/>
      <c r="I1524" s="182"/>
      <c r="J1524" s="182"/>
      <c r="K1524" s="183"/>
      <c r="L1524" s="182"/>
      <c r="M1524" s="182"/>
      <c r="N1524" s="182"/>
      <c r="O1524" s="183"/>
      <c r="P1524" s="183"/>
      <c r="Q1524" s="183"/>
      <c r="R1524" s="183"/>
      <c r="S1524" s="183"/>
      <c r="T1524" s="183"/>
      <c r="U1524" s="183"/>
      <c r="V1524" s="183"/>
      <c r="W1524" s="183"/>
      <c r="X1524" s="183"/>
      <c r="Y1524" s="183"/>
      <c r="Z1524" s="183"/>
      <c r="AA1524" s="185"/>
      <c r="AB1524" s="185"/>
      <c r="AC1524" s="185"/>
      <c r="AD1524" s="649"/>
      <c r="AE1524" s="182"/>
      <c r="AF1524" s="332"/>
      <c r="AG1524" s="182"/>
      <c r="AH1524" s="182"/>
      <c r="AI1524" s="182"/>
      <c r="AJ1524" s="640"/>
      <c r="AK1524" s="182"/>
      <c r="AL1524" s="496">
        <f t="shared" si="407"/>
        <v>0</v>
      </c>
      <c r="AM1524" s="496">
        <f t="shared" si="427"/>
        <v>0</v>
      </c>
      <c r="AN1524" s="626"/>
      <c r="AO1524" s="182"/>
      <c r="AP1524" s="182"/>
      <c r="AQ1524" s="332" t="str">
        <f>UPPER(RIGHT(Journal_Live[[#This Row],[DURATION ]]))</f>
        <v/>
      </c>
      <c r="AR1524" s="182"/>
      <c r="AS1524" s="189"/>
      <c r="AT1524" s="189"/>
      <c r="AU1524" s="187"/>
      <c r="AV1524" s="190"/>
      <c r="AW1524" s="191"/>
      <c r="AX1524" s="417"/>
      <c r="AY1524" s="417"/>
      <c r="AZ1524" s="417"/>
      <c r="BA1524" s="417"/>
      <c r="BB1524" s="417"/>
      <c r="BC1524" s="516"/>
      <c r="BD1524" s="417"/>
      <c r="BE1524" s="417"/>
      <c r="BF1524" s="417"/>
      <c r="BG1524" s="391">
        <f>SUM($AV$1389:AV1524)</f>
        <v>967.08816286816125</v>
      </c>
      <c r="BH1524" s="392">
        <f>SUM($AU$1389:AU1524)</f>
        <v>9481.9799999997977</v>
      </c>
      <c r="BI1524" s="318">
        <f>SUMIFS($AU$1388:AU2628,$Q$1388:Q2628,"F")</f>
        <v>27110.758121878131</v>
      </c>
      <c r="BJ1524" s="318">
        <f>SUMIFS($AU$1388:AU2628,$Q$1388:Q2628,"S")</f>
        <v>15906.285714285719</v>
      </c>
      <c r="BK1524" s="343">
        <f>SUMIFS($AU$1388:AU2628,$P$1388:P2628,"W")</f>
        <v>14245.423836163525</v>
      </c>
      <c r="BL1524" s="343">
        <f>SUMIFS($AU$1388:AU2628,$P$1388:P2628,"R")</f>
        <v>21038.800000000316</v>
      </c>
      <c r="BM1524" s="343">
        <f>SUMIFS($AU$1388:AU2628,$AQ$1388:AQ2628,"M")</f>
        <v>8785.3799999984803</v>
      </c>
      <c r="BN1524" s="343">
        <f>SUMIFS($AU$1388:AU2628,$AQ$1388:AQ2628,"H")</f>
        <v>14526.200000000817</v>
      </c>
      <c r="BO1524" s="343">
        <f>SUMIFS($AU$1388:AU2628,$AQ$1388:AQ2628,"D")</f>
        <v>5755.5774725271895</v>
      </c>
      <c r="BP1524" s="343">
        <f>SUMIFS($AU$1388:AU1527,$AQ$1388:AQ1527,"W")</f>
        <v>1414.3999999999999</v>
      </c>
      <c r="BQ1524" s="343">
        <f>SUMIFS($AU$1388:AU1525,$Q$1388:Q1525,"O")</f>
        <v>523.57999999978756</v>
      </c>
      <c r="BR1524" s="343">
        <f>SUMIFS($AU$1388:AU1525,$AA$1388:AA1525,"*")</f>
        <v>9042.7999999996882</v>
      </c>
      <c r="BS1524" s="343">
        <f>SUMIFS($AU$1388:AU1525,$AB$1388:AB1525,"*")</f>
        <v>2887.1799999999344</v>
      </c>
      <c r="BT1524" s="343">
        <f>SUMIFS($AU$1388:AU1525,$AC$1388:AC1525,"*")</f>
        <v>4054.3999999999996</v>
      </c>
      <c r="BU1524" s="343">
        <f>SUMIFS($AU$1388:AU1525,$AA$1388:AA1525,"*",$AB$1388:AB1525,"*")</f>
        <v>2511.9999999998245</v>
      </c>
      <c r="BV1524" s="343">
        <f>SUMIFS($AU$1388:AU1525,$AA$1388:AA1525,"*",$AC$1388:AC1525,"*")</f>
        <v>3990.3999999999996</v>
      </c>
      <c r="BW1524" s="343">
        <f>SUMIFS($AU$1388:AU1525,$AB$1388:AB1525,"*",$AC$1388:AC1525,"*")</f>
        <v>2223.9999999999995</v>
      </c>
      <c r="BX1524" s="343">
        <f>SUMIFS($AV$1388:AV1525,$Q$1388:Q1525,"F")</f>
        <v>142.54906832298136</v>
      </c>
      <c r="BY1524" s="343">
        <f>SUMIFS($AV$1388:AV1525,$Q$1388:Q1525,"S")</f>
        <v>271.59909454524484</v>
      </c>
      <c r="BZ1524" s="343">
        <f>SUMIFS($AV$1388:AV1525,$Q$1388:Q1525,"O")</f>
        <v>224.93999999992729</v>
      </c>
    </row>
    <row r="1525" spans="1:78" ht="15.75" customHeight="1">
      <c r="A1525" s="492" t="s">
        <v>5179</v>
      </c>
      <c r="B1525" s="273"/>
      <c r="C1525" s="214"/>
      <c r="D1525" s="214"/>
      <c r="E1525" s="215"/>
      <c r="F1525" s="216"/>
      <c r="G1525" s="214"/>
      <c r="H1525" s="214"/>
      <c r="I1525" s="214"/>
      <c r="J1525" s="214"/>
      <c r="K1525" s="217"/>
      <c r="L1525" s="214"/>
      <c r="M1525" s="214"/>
      <c r="N1525" s="214"/>
      <c r="O1525" s="217"/>
      <c r="P1525" s="217"/>
      <c r="Q1525" s="217"/>
      <c r="R1525" s="217"/>
      <c r="S1525" s="217"/>
      <c r="T1525" s="217"/>
      <c r="U1525" s="217"/>
      <c r="V1525" s="217"/>
      <c r="W1525" s="217"/>
      <c r="X1525" s="217"/>
      <c r="Y1525" s="217"/>
      <c r="Z1525" s="218" t="str">
        <f>IF(ISBLANK(O1525),"",IF(O1525="IB",8.63*200,IF(O1525="IR",16*100,IF(O1525="YT",20*100,IF(O1525="YT-XT",24*200,IF(O1525="TED",80*100))))))</f>
        <v/>
      </c>
      <c r="AA1525" s="218"/>
      <c r="AB1525" s="218"/>
      <c r="AC1525" s="218"/>
      <c r="AD1525" s="651"/>
      <c r="AE1525" s="214"/>
      <c r="AF1525" s="347"/>
      <c r="AG1525" s="343"/>
      <c r="AH1525" s="214"/>
      <c r="AI1525" s="214"/>
      <c r="AJ1525" s="642"/>
      <c r="AK1525" s="214"/>
      <c r="AL1525" s="214"/>
      <c r="AM1525" s="214"/>
      <c r="AN1525" s="628"/>
      <c r="AO1525" s="214"/>
      <c r="AP1525" s="214"/>
      <c r="AQ1525" s="334" t="str">
        <f>UPPER(RIGHT(Journal_Live[[#This Row],[DURATION ]]))</f>
        <v/>
      </c>
      <c r="AR1525" s="214"/>
      <c r="AS1525" s="214"/>
      <c r="AT1525" s="214"/>
      <c r="AU1525" s="214"/>
      <c r="AV1525" s="214"/>
      <c r="AW1525" s="220"/>
      <c r="AX1525" s="417"/>
      <c r="AY1525" s="414"/>
      <c r="AZ1525" s="414"/>
      <c r="BA1525" s="414"/>
      <c r="BB1525" s="414"/>
      <c r="BC1525" s="414"/>
      <c r="BD1525" s="414"/>
      <c r="BE1525" s="414"/>
      <c r="BF1525" s="414"/>
      <c r="BG1525" s="391">
        <f>SUM($AV$1389:AV1525)</f>
        <v>967.08816286816125</v>
      </c>
      <c r="BH1525" s="392">
        <f>SUM($AU$1389:AU1525)</f>
        <v>9481.9799999997977</v>
      </c>
      <c r="BI1525" s="318">
        <f>SUMIFS($AU$1388:AU1526,$Q$1388:Q1526,"F")</f>
        <v>4438.3999999999996</v>
      </c>
      <c r="BJ1525" s="318">
        <f>SUMIFS($AU$1388:AU1526,$Q$1388:Q1526,"S")</f>
        <v>4144.0000000000009</v>
      </c>
      <c r="BK1525" s="343">
        <f>SUMIFS($AU$1388:AU1526,$P$1388:P1526,"W")</f>
        <v>6973.5799999999363</v>
      </c>
      <c r="BL1525" s="343">
        <f>SUMIFS($AU$1388:AU1526,$P$1388:P1526,"R")</f>
        <v>2000.0000000000002</v>
      </c>
      <c r="BM1525" s="343">
        <f>SUMIFS($AU$1388:AU1526,$AQ$1388:AQ1526,"M")</f>
        <v>2963.5799999997967</v>
      </c>
      <c r="BN1525" s="343">
        <f>SUMIFS($AU$1388:AU1526,$AQ$1388:AQ1526,"H")</f>
        <v>3599.9999999999991</v>
      </c>
      <c r="BO1525" s="343">
        <f>SUMIFS($AU$1388:AU1526,$AQ$1388:AQ1526,"D")</f>
        <v>1504.0000000000005</v>
      </c>
      <c r="BP1525" s="343">
        <f>SUMIFS($AU$1388:AU1528,$AQ$1388:AQ1528,"W")</f>
        <v>1414.3999999999999</v>
      </c>
      <c r="BQ1525" s="343">
        <f>SUMIFS($AU$1388:AU1526,$Q$1388:Q1526,"O")</f>
        <v>523.57999999978756</v>
      </c>
      <c r="BR1525" s="343">
        <f>SUMIFS($AU$1388:AU1526,$AA$1388:AA1526,"*")</f>
        <v>9042.7999999996882</v>
      </c>
      <c r="BS1525" s="343">
        <f>SUMIFS($AU$1388:AU1526,$AB$1388:AB1526,"*")</f>
        <v>2887.1799999999344</v>
      </c>
      <c r="BT1525" s="343">
        <f>SUMIFS($AU$1388:AU1526,$AC$1388:AC1526,"*")</f>
        <v>4054.3999999999996</v>
      </c>
      <c r="BU1525" s="343">
        <f>SUMIFS($AU$1388:AU1526,$AA$1388:AA1526,"*",$AB$1388:AB1526,"*")</f>
        <v>2511.9999999998245</v>
      </c>
      <c r="BV1525" s="343">
        <f>SUMIFS($AU$1388:AU1526,$AA$1388:AA1526,"*",$AC$1388:AC1526,"*")</f>
        <v>3990.3999999999996</v>
      </c>
      <c r="BW1525" s="343">
        <f>SUMIFS($AU$1388:AU1526,$AB$1388:AB1526,"*",$AC$1388:AC1526,"*")</f>
        <v>2223.9999999999995</v>
      </c>
      <c r="BX1525" s="343">
        <f>SUMIFS($AV$1388:AV1526,$Q$1388:Q1526,"F")</f>
        <v>142.54906832298136</v>
      </c>
      <c r="BY1525" s="343">
        <f>SUMIFS($AV$1388:AV1526,$Q$1388:Q1526,"S")</f>
        <v>271.59909454524484</v>
      </c>
      <c r="BZ1525" s="343">
        <f>SUMIFS($AV$1388:AV1526,$Q$1388:Q1526,"O")</f>
        <v>224.93999999992729</v>
      </c>
    </row>
    <row r="1526" spans="1:78" ht="15.75" customHeight="1">
      <c r="A1526" s="177" t="s">
        <v>5180</v>
      </c>
      <c r="B1526" s="200">
        <v>45323</v>
      </c>
      <c r="C1526" s="178" t="s">
        <v>1157</v>
      </c>
      <c r="D1526" s="178" t="s">
        <v>93</v>
      </c>
      <c r="E1526" s="227" t="s">
        <v>5181</v>
      </c>
      <c r="F1526" s="180"/>
      <c r="G1526" s="181"/>
      <c r="H1526" s="182"/>
      <c r="I1526" s="182"/>
      <c r="J1526" s="182"/>
      <c r="K1526" s="183"/>
      <c r="L1526" s="182"/>
      <c r="M1526" s="182"/>
      <c r="N1526" s="182"/>
      <c r="O1526" s="183"/>
      <c r="P1526" s="183"/>
      <c r="Q1526" s="183"/>
      <c r="R1526" s="183"/>
      <c r="S1526" s="183"/>
      <c r="T1526" s="183"/>
      <c r="U1526" s="183"/>
      <c r="V1526" s="183"/>
      <c r="W1526" s="183"/>
      <c r="X1526" s="183"/>
      <c r="Y1526" s="183"/>
      <c r="Z1526" s="183"/>
      <c r="AA1526" s="185"/>
      <c r="AB1526" s="185"/>
      <c r="AC1526" s="185"/>
      <c r="AD1526" s="649"/>
      <c r="AE1526" s="182"/>
      <c r="AF1526" s="332"/>
      <c r="AG1526" s="182"/>
      <c r="AH1526" s="182"/>
      <c r="AI1526" s="182"/>
      <c r="AJ1526" s="640"/>
      <c r="AK1526" s="182"/>
      <c r="AL1526" s="496">
        <f t="shared" ref="AL1526:AL1527" si="432">-0.02*Z1526</f>
        <v>0</v>
      </c>
      <c r="AM1526" s="496">
        <f t="shared" ref="AM1526:AM1557" si="433">AL1526*(R1526-S1526)</f>
        <v>0</v>
      </c>
      <c r="AN1526" s="626"/>
      <c r="AO1526" s="182"/>
      <c r="AP1526" s="182"/>
      <c r="AQ1526" s="332" t="str">
        <f>UPPER(RIGHT(Journal_Live[[#This Row],[DURATION ]]))</f>
        <v/>
      </c>
      <c r="AR1526" s="182"/>
      <c r="AS1526" s="189"/>
      <c r="AT1526" s="189"/>
      <c r="AU1526" s="187"/>
      <c r="AV1526" s="190"/>
      <c r="AW1526" s="191"/>
      <c r="AX1526" s="407" t="s">
        <v>5182</v>
      </c>
      <c r="AY1526" s="407" t="s">
        <v>5183</v>
      </c>
      <c r="AZ1526" s="407" t="s">
        <v>5184</v>
      </c>
      <c r="BA1526" s="407"/>
      <c r="BB1526" s="407"/>
      <c r="BC1526" s="407"/>
      <c r="BD1526" s="407"/>
      <c r="BE1526" s="407"/>
      <c r="BF1526" s="422"/>
      <c r="BG1526" s="391">
        <f>SUM($AV$1389:AV1526)</f>
        <v>967.08816286816125</v>
      </c>
      <c r="BH1526" s="392">
        <f>SUM($AU$1389:AU1526)</f>
        <v>9481.9799999997977</v>
      </c>
      <c r="BI1526" s="318">
        <f>SUMIFS($AU$1388:AU1645,$Q$1388:Q1645,"F")</f>
        <v>9348.4000000000015</v>
      </c>
      <c r="BJ1526" s="318">
        <f>SUMIFS($AU$1388:AU1645,$Q$1388:Q1645,"S")</f>
        <v>3279.9999999999918</v>
      </c>
      <c r="BK1526" s="343">
        <f>SUMIFS($AU$1388:AU1645,$P$1388:P1645,"W")</f>
        <v>8717.579999999929</v>
      </c>
      <c r="BL1526" s="343">
        <f>SUMIFS($AU$1388:AU1645,$P$1388:P1645,"R")</f>
        <v>4181.9999999999991</v>
      </c>
      <c r="BM1526" s="343">
        <f>SUMIFS($AU$1388:AU1645,$AQ$1388:AQ1645,"M")</f>
        <v>5219.3799999995472</v>
      </c>
      <c r="BN1526" s="343">
        <f>SUMIFS($AU$1388:AU1645,$AQ$1388:AQ1645,"H")</f>
        <v>2931.2000000002599</v>
      </c>
      <c r="BO1526" s="343">
        <f>SUMIFS($AU$1388:AU1645,$AQ$1388:AQ1645,"D")</f>
        <v>1266.0000000000005</v>
      </c>
      <c r="BP1526" s="343">
        <f>SUMIFS($AU$1388:AU1529,$AQ$1388:AQ1529,"W")</f>
        <v>1414.3999999999999</v>
      </c>
      <c r="BQ1526" s="343">
        <f>SUMIFS($AU$1388:AU1527,$Q$1388:Q1527,"O")</f>
        <v>366.97999999978163</v>
      </c>
      <c r="BR1526" s="343">
        <f>SUMIFS($AU$1388:AU1527,$AA$1388:AA1527,"*")</f>
        <v>8886.1999999996824</v>
      </c>
      <c r="BS1526" s="343">
        <f>SUMIFS($AU$1388:AU1527,$AB$1388:AB1527,"*")</f>
        <v>2887.1799999999344</v>
      </c>
      <c r="BT1526" s="343">
        <f>SUMIFS($AU$1388:AU1527,$AC$1388:AC1527,"*")</f>
        <v>4054.3999999999996</v>
      </c>
      <c r="BU1526" s="343">
        <f>SUMIFS($AU$1388:AU1527,$AA$1388:AA1527,"*",$AB$1388:AB1527,"*")</f>
        <v>2511.9999999998245</v>
      </c>
      <c r="BV1526" s="343">
        <f>SUMIFS($AU$1388:AU1527,$AA$1388:AA1527,"*",$AC$1388:AC1527,"*")</f>
        <v>3990.3999999999996</v>
      </c>
      <c r="BW1526" s="343">
        <f>SUMIFS($AU$1388:AU1527,$AB$1388:AB1527,"*",$AC$1388:AC1527,"*")</f>
        <v>2223.9999999999995</v>
      </c>
      <c r="BX1526" s="343">
        <f>SUMIFS($AV$1388:AV1527,$Q$1388:Q1527,"F")</f>
        <v>142.54906832298136</v>
      </c>
      <c r="BY1526" s="343">
        <f>SUMIFS($AV$1388:AV1527,$Q$1388:Q1527,"S")</f>
        <v>271.59909454524484</v>
      </c>
      <c r="BZ1526" s="343">
        <f>SUMIFS($AV$1388:AV1527,$Q$1388:Q1527,"O")</f>
        <v>172.73999999992532</v>
      </c>
    </row>
    <row r="1527" spans="1:78" ht="15.75" customHeight="1">
      <c r="A1527" s="177" t="s">
        <v>5180</v>
      </c>
      <c r="B1527" s="200">
        <v>45323</v>
      </c>
      <c r="C1527" s="178" t="s">
        <v>5185</v>
      </c>
      <c r="D1527" s="178" t="s">
        <v>93</v>
      </c>
      <c r="E1527" s="227"/>
      <c r="F1527" s="180"/>
      <c r="G1527" s="181" t="s">
        <v>4887</v>
      </c>
      <c r="H1527" s="182"/>
      <c r="I1527" s="182"/>
      <c r="J1527" s="182"/>
      <c r="K1527" s="183"/>
      <c r="L1527" s="182">
        <v>1</v>
      </c>
      <c r="M1527" s="182"/>
      <c r="N1527" s="182"/>
      <c r="O1527" s="183" t="s">
        <v>3618</v>
      </c>
      <c r="P1527" s="183" t="s">
        <v>2260</v>
      </c>
      <c r="Q1527" s="183" t="s">
        <v>684</v>
      </c>
      <c r="R1527" s="183">
        <v>3</v>
      </c>
      <c r="S1527" s="183">
        <v>0</v>
      </c>
      <c r="T1527" s="183">
        <v>1</v>
      </c>
      <c r="U1527" s="183" t="s">
        <v>22</v>
      </c>
      <c r="V1527" s="183"/>
      <c r="W1527" s="183"/>
      <c r="X1527" s="183"/>
      <c r="Y1527" s="184">
        <f>IF(ISBLANK(O1527),"",(IF(O1527=UPPER("IB"),0.005,0.01)))</f>
        <v>0.01</v>
      </c>
      <c r="Z1527" s="185">
        <f>IF(ISBLANK(O1527),"",IF(O1527="IB",8.63*200,IF(O1527="IR",16*100,IF(O1527="YT",20*100,IF(O1527="YT-XT",24*200,IF(O1527="TED",80*100,IF(O1527="XT",29*200)))))))</f>
        <v>5800</v>
      </c>
      <c r="AA1527" s="185" t="s">
        <v>5186</v>
      </c>
      <c r="AB1527" s="185"/>
      <c r="AC1527" s="185"/>
      <c r="AD1527" s="649">
        <v>95.992000000000004</v>
      </c>
      <c r="AE1527" s="182"/>
      <c r="AF1527" s="332"/>
      <c r="AG1527" s="182"/>
      <c r="AH1527" s="182"/>
      <c r="AI1527" s="182"/>
      <c r="AJ1527" s="640"/>
      <c r="AK1527" s="182"/>
      <c r="AL1527" s="496">
        <f t="shared" si="432"/>
        <v>-116</v>
      </c>
      <c r="AM1527" s="496">
        <f t="shared" si="433"/>
        <v>-348</v>
      </c>
      <c r="AN1527" s="626"/>
      <c r="AO1527" s="182"/>
      <c r="AP1527" s="182" t="s">
        <v>5187</v>
      </c>
      <c r="AQ1527" s="332" t="s">
        <v>1259</v>
      </c>
      <c r="AR1527" s="182"/>
      <c r="AS1527" s="189">
        <v>95.983000000000004</v>
      </c>
      <c r="AT1527" s="189">
        <f>IF(ISBLANK(AS1527),,IF(U1527="S",AD1527-AS1527,AS1527-AD1527))</f>
        <v>-9.0000000000003411E-3</v>
      </c>
      <c r="AU1527" s="187">
        <f>AV1527*R1527</f>
        <v>-156.60000000000593</v>
      </c>
      <c r="AV1527" s="190">
        <f>IF(ISBLANK(AS1527),,(AT1527*Z1527))</f>
        <v>-52.200000000001978</v>
      </c>
      <c r="AW1527" s="191" t="s">
        <v>229</v>
      </c>
      <c r="AX1527" s="407" t="s">
        <v>5188</v>
      </c>
      <c r="AY1527" s="407" t="s">
        <v>5189</v>
      </c>
      <c r="AZ1527" s="407" t="s">
        <v>5190</v>
      </c>
      <c r="BA1527" s="407" t="s">
        <v>5191</v>
      </c>
      <c r="BB1527" s="407" t="s">
        <v>256</v>
      </c>
      <c r="BC1527" s="407"/>
      <c r="BD1527" s="407"/>
      <c r="BE1527" s="407"/>
      <c r="BF1527" s="422"/>
      <c r="BG1527" s="391">
        <f>SUM($AV$1389:AV1527)</f>
        <v>914.88816286815927</v>
      </c>
      <c r="BH1527" s="392">
        <f>SUM($AU$1389:AU1527)</f>
        <v>9325.3799999997918</v>
      </c>
      <c r="BI1527" s="318">
        <f>SUMIFS($AU$1388:AU1645,$Q$1388:Q1645,"F")</f>
        <v>9348.4000000000015</v>
      </c>
      <c r="BJ1527" s="318">
        <f>SUMIFS($AU$1388:AU1645,$Q$1388:Q1645,"S")</f>
        <v>3279.9999999999918</v>
      </c>
      <c r="BK1527" s="343">
        <f>SUMIFS($AU$1388:AU1645,$P$1388:P1645,"W")</f>
        <v>8717.579999999929</v>
      </c>
      <c r="BL1527" s="343">
        <f>SUMIFS($AU$1388:AU1645,$P$1388:P1645,"R")</f>
        <v>4181.9999999999991</v>
      </c>
      <c r="BM1527" s="343">
        <f>SUMIFS($AU$1388:AU1645,$AQ$1388:AQ1645,"M")</f>
        <v>5219.3799999995472</v>
      </c>
      <c r="BN1527" s="343">
        <f>SUMIFS($AU$1388:AU1645,$AQ$1388:AQ1645,"H")</f>
        <v>2931.2000000002599</v>
      </c>
      <c r="BO1527" s="343">
        <f>SUMIFS($AU$1388:AU1645,$AQ$1388:AQ1645,"D")</f>
        <v>1266.0000000000005</v>
      </c>
      <c r="BP1527" s="343">
        <f>SUMIFS($AU$1388:AU1530,$AQ$1388:AQ1530,"W")</f>
        <v>1414.3999999999999</v>
      </c>
      <c r="BQ1527" s="343">
        <f>SUMIFS($AU$1388:AU1645,$Q$1388:Q1645,"O")</f>
        <v>1770.5799999998073</v>
      </c>
      <c r="BR1527" s="343">
        <f>SUMIFS($AU$1388:AU1528,$AA$1388:AA1528,"*")</f>
        <v>8886.1999999996824</v>
      </c>
      <c r="BS1527" s="343">
        <f>SUMIFS($AU$1388:AU1528,$AB$1388:AB1528,"*")</f>
        <v>2887.1799999999344</v>
      </c>
      <c r="BT1527" s="343">
        <f>SUMIFS($AU$1388:AU1528,$AC$1388:AC1528,"*")</f>
        <v>4054.3999999999996</v>
      </c>
      <c r="BU1527" s="343">
        <f>SUMIFS($AU$1388:AU1528,$AA$1388:AA1528,"*",$AB$1388:AB1528,"*")</f>
        <v>2511.9999999998245</v>
      </c>
      <c r="BV1527" s="343">
        <f>SUMIFS($AU$1388:AU1528,$AA$1388:AA1528,"*",$AC$1388:AC1528,"*")</f>
        <v>3990.3999999999996</v>
      </c>
      <c r="BW1527" s="343">
        <f>SUMIFS($AU$1388:AU1528,$AB$1388:AB1528,"*",$AC$1388:AC1528,"*")</f>
        <v>2223.9999999999995</v>
      </c>
      <c r="BX1527" s="343">
        <f>SUMIFS($AV$1388:AV1528,$Q$1388:Q1528,"F")</f>
        <v>142.54906832298136</v>
      </c>
      <c r="BY1527" s="343">
        <f>SUMIFS($AV$1388:AV1528,$Q$1388:Q1528,"S")</f>
        <v>271.59909454524484</v>
      </c>
      <c r="BZ1527" s="343">
        <f>SUMIFS($AV$1388:AV1528,$Q$1388:Q1528,"O")</f>
        <v>172.73999999992532</v>
      </c>
    </row>
    <row r="1528" spans="1:78" ht="15.75" customHeight="1">
      <c r="A1528" s="177" t="s">
        <v>5180</v>
      </c>
      <c r="B1528" s="200">
        <v>45323</v>
      </c>
      <c r="C1528" s="178" t="s">
        <v>1064</v>
      </c>
      <c r="D1528" s="178" t="s">
        <v>93</v>
      </c>
      <c r="E1528" s="227"/>
      <c r="F1528" s="180"/>
      <c r="G1528" s="181" t="s">
        <v>2016</v>
      </c>
      <c r="H1528" s="182"/>
      <c r="I1528" s="182"/>
      <c r="J1528" s="182"/>
      <c r="K1528" s="183"/>
      <c r="L1528" s="182"/>
      <c r="M1528" s="182">
        <v>1</v>
      </c>
      <c r="N1528" s="182"/>
      <c r="O1528" s="183"/>
      <c r="P1528" s="183"/>
      <c r="Q1528" s="183"/>
      <c r="R1528" s="183"/>
      <c r="S1528" s="183"/>
      <c r="T1528" s="183"/>
      <c r="U1528" s="183"/>
      <c r="V1528" s="183"/>
      <c r="W1528" s="183"/>
      <c r="X1528" s="183"/>
      <c r="Y1528" s="184"/>
      <c r="Z1528" s="185"/>
      <c r="AA1528" s="185"/>
      <c r="AB1528" s="185"/>
      <c r="AC1528" s="185"/>
      <c r="AD1528" s="649"/>
      <c r="AE1528" s="182"/>
      <c r="AF1528" s="332"/>
      <c r="AG1528" s="182"/>
      <c r="AH1528" s="182"/>
      <c r="AI1528" s="182"/>
      <c r="AJ1528" s="640"/>
      <c r="AK1528" s="182"/>
      <c r="AL1528" s="496">
        <f t="shared" ref="AL1528:AL1530" si="434">-0.02*Z1528</f>
        <v>0</v>
      </c>
      <c r="AM1528" s="496">
        <f t="shared" si="433"/>
        <v>0</v>
      </c>
      <c r="AN1528" s="626"/>
      <c r="AO1528" s="182"/>
      <c r="AP1528" s="182"/>
      <c r="AQ1528" s="332" t="str">
        <f>UPPER(RIGHT(Journal_Live[[#This Row],[DURATION ]]))</f>
        <v/>
      </c>
      <c r="AR1528" s="182"/>
      <c r="AS1528" s="189"/>
      <c r="AT1528" s="189"/>
      <c r="AU1528" s="187"/>
      <c r="AV1528" s="190"/>
      <c r="AW1528" s="191"/>
      <c r="AX1528" s="407"/>
      <c r="AY1528" s="407"/>
      <c r="AZ1528" s="407"/>
      <c r="BA1528" s="407"/>
      <c r="BB1528" s="407"/>
      <c r="BC1528" s="407"/>
      <c r="BD1528" s="407"/>
      <c r="BE1528" s="407"/>
      <c r="BF1528" s="422"/>
      <c r="BG1528" s="391">
        <f>SUM($AV$1389:AV1528)</f>
        <v>914.88816286815927</v>
      </c>
      <c r="BH1528" s="392">
        <f>SUM($AU$1389:AU1528)</f>
        <v>9325.3799999997918</v>
      </c>
      <c r="BI1528" s="318">
        <f>SUMIFS($AU$1388:AU1529,$Q$1388:Q1529,"F")</f>
        <v>4438.3999999999996</v>
      </c>
      <c r="BJ1528" s="318">
        <f>SUMIFS($AU$1388:AU1529,$Q$1388:Q1529,"S")</f>
        <v>4144.0000000000009</v>
      </c>
      <c r="BK1528" s="343">
        <f>SUMIFS($AU$1388:AU1529,$P$1388:P1529,"W")</f>
        <v>6973.5799999999363</v>
      </c>
      <c r="BL1528" s="343">
        <f>SUMIFS($AU$1388:AU1529,$P$1388:P1529,"R")</f>
        <v>2000.0000000000002</v>
      </c>
      <c r="BM1528" s="343">
        <f>SUMIFS($AU$1388:AU1529,$AQ$1388:AQ1529,"M")</f>
        <v>2806.9799999997908</v>
      </c>
      <c r="BN1528" s="343">
        <f>SUMIFS($AU$1388:AU1529,$AQ$1388:AQ1529,"H")</f>
        <v>3599.9999999999991</v>
      </c>
      <c r="BO1528" s="343">
        <f>SUMIFS($AU$1388:AU1529,$AQ$1388:AQ1529,"D")</f>
        <v>1504.0000000000005</v>
      </c>
      <c r="BP1528" s="343">
        <f>SUMIFS($AU$1388:AU1531,$AQ$1388:AQ1531,"W")</f>
        <v>1414.3999999999999</v>
      </c>
      <c r="BQ1528" s="343">
        <f>SUMIFS($AU$1388:AU1529,$Q$1388:Q1529,"O")</f>
        <v>366.97999999978163</v>
      </c>
      <c r="BR1528" s="343">
        <f>SUMIFS($AU$1388:AU1529,$AA$1388:AA1529,"*")</f>
        <v>8886.1999999996824</v>
      </c>
      <c r="BS1528" s="343">
        <f>SUMIFS($AU$1388:AU1529,$AB$1388:AB1529,"*")</f>
        <v>2887.1799999999344</v>
      </c>
      <c r="BT1528" s="343">
        <f>SUMIFS($AU$1388:AU1529,$AC$1388:AC1529,"*")</f>
        <v>4054.3999999999996</v>
      </c>
      <c r="BU1528" s="343">
        <f>SUMIFS($AU$1388:AU1529,$AA$1388:AA1529,"*",$AB$1388:AB1529,"*")</f>
        <v>2511.9999999998245</v>
      </c>
      <c r="BV1528" s="343">
        <f>SUMIFS($AU$1388:AU1529,$AA$1388:AA1529,"*",$AC$1388:AC1529,"*")</f>
        <v>3990.3999999999996</v>
      </c>
      <c r="BW1528" s="343">
        <f>SUMIFS($AU$1388:AU1529,$AB$1388:AB1529,"*",$AC$1388:AC1529,"*")</f>
        <v>2223.9999999999995</v>
      </c>
      <c r="BX1528" s="343">
        <f>SUMIFS($AV$1388:AV1529,$Q$1388:Q1529,"F")</f>
        <v>142.54906832298136</v>
      </c>
      <c r="BY1528" s="343">
        <f>SUMIFS($AV$1388:AV1529,$Q$1388:Q1529,"S")</f>
        <v>271.59909454524484</v>
      </c>
      <c r="BZ1528" s="343">
        <f>SUMIFS($AV$1388:AV1529,$Q$1388:Q1529,"O")</f>
        <v>172.73999999992532</v>
      </c>
    </row>
    <row r="1529" spans="1:78" ht="15.75" customHeight="1">
      <c r="A1529" s="177" t="s">
        <v>5180</v>
      </c>
      <c r="B1529" s="200">
        <v>45323</v>
      </c>
      <c r="C1529" s="178" t="s">
        <v>1064</v>
      </c>
      <c r="D1529" s="178" t="s">
        <v>93</v>
      </c>
      <c r="E1529" s="227"/>
      <c r="F1529" s="180"/>
      <c r="G1529" s="281" t="s">
        <v>3334</v>
      </c>
      <c r="H1529" s="182"/>
      <c r="I1529" s="182"/>
      <c r="J1529" s="182"/>
      <c r="K1529" s="183"/>
      <c r="L1529" s="182"/>
      <c r="M1529" s="182">
        <v>1</v>
      </c>
      <c r="N1529" s="182"/>
      <c r="O1529" s="183" t="s">
        <v>95</v>
      </c>
      <c r="P1529" s="183" t="s">
        <v>96</v>
      </c>
      <c r="Q1529" s="183" t="s">
        <v>97</v>
      </c>
      <c r="R1529" s="183">
        <v>22</v>
      </c>
      <c r="S1529" s="183">
        <v>0</v>
      </c>
      <c r="T1529" s="183">
        <v>22</v>
      </c>
      <c r="U1529" s="183" t="s">
        <v>22</v>
      </c>
      <c r="V1529" s="183"/>
      <c r="W1529" s="183"/>
      <c r="X1529" s="183"/>
      <c r="Y1529" s="184">
        <f>IF(ISBLANK(O1529),"",(IF(O1529=UPPER("IB"),0.005,0.01)))</f>
        <v>0.01</v>
      </c>
      <c r="Z1529" s="185">
        <f>IF(ISBLANK(O1529),"",IF(O1529="IB",8.63*200,IF(O1529="IR",16*100,IF(O1529="YT",20*100,IF(O1529="YT-XT",24*200,IF(O1529="TED",80*100))))))</f>
        <v>1600</v>
      </c>
      <c r="AA1529" s="185" t="s">
        <v>998</v>
      </c>
      <c r="AB1529" s="185"/>
      <c r="AC1529" s="185" t="s">
        <v>4589</v>
      </c>
      <c r="AD1529" s="649">
        <v>-0.06</v>
      </c>
      <c r="AE1529" s="182"/>
      <c r="AF1529" s="332"/>
      <c r="AG1529" s="182"/>
      <c r="AH1529" s="182"/>
      <c r="AI1529" s="182"/>
      <c r="AJ1529" s="640"/>
      <c r="AK1529" s="182"/>
      <c r="AL1529" s="496">
        <f t="shared" si="434"/>
        <v>-32</v>
      </c>
      <c r="AM1529" s="496">
        <f t="shared" si="433"/>
        <v>-704</v>
      </c>
      <c r="AN1529" s="626"/>
      <c r="AO1529" s="182"/>
      <c r="AP1529" s="182" t="s">
        <v>804</v>
      </c>
      <c r="AQ1529" s="332" t="s">
        <v>115</v>
      </c>
      <c r="AR1529" s="182" t="s">
        <v>5192</v>
      </c>
      <c r="AS1529" s="189">
        <v>-0.06</v>
      </c>
      <c r="AT1529" s="189">
        <f>IF(ISBLANK(AS1529),,IF(U1529="S",AD1529-AS1529,AS1529-AD1529))</f>
        <v>0</v>
      </c>
      <c r="AU1529" s="187">
        <f>AV1529*R1529</f>
        <v>0</v>
      </c>
      <c r="AV1529" s="190">
        <f>IF(ISBLANK(AS1529),,(AT1529*Z1529))</f>
        <v>0</v>
      </c>
      <c r="AW1529" s="191" t="s">
        <v>115</v>
      </c>
      <c r="AX1529" s="407" t="s">
        <v>2564</v>
      </c>
      <c r="AY1529" s="407"/>
      <c r="AZ1529" s="407"/>
      <c r="BA1529" s="407"/>
      <c r="BB1529" s="407"/>
      <c r="BC1529" s="407"/>
      <c r="BD1529" s="407"/>
      <c r="BE1529" s="407"/>
      <c r="BF1529" s="422"/>
      <c r="BG1529" s="391">
        <f>SUM($AV$1389:AV1529)</f>
        <v>914.88816286815927</v>
      </c>
      <c r="BH1529" s="392">
        <f>SUM($AU$1389:AU1529)</f>
        <v>9325.3799999997918</v>
      </c>
      <c r="BI1529" s="318">
        <f>SUMIFS($AU$1388:AU1530,$Q$1388:Q1530,"F")</f>
        <v>4438.3999999999996</v>
      </c>
      <c r="BJ1529" s="318">
        <f>SUMIFS($AU$1388:AU1530,$Q$1388:Q1530,"S")</f>
        <v>4144.0000000000009</v>
      </c>
      <c r="BK1529" s="343">
        <f>SUMIFS($AU$1388:AU1530,$P$1388:P1530,"W")</f>
        <v>6973.5799999999363</v>
      </c>
      <c r="BL1529" s="343">
        <f>SUMIFS($AU$1388:AU1530,$P$1388:P1530,"R")</f>
        <v>2000.0000000000002</v>
      </c>
      <c r="BM1529" s="343">
        <f>SUMIFS($AU$1388:AU1530,$AQ$1388:AQ1530,"M")</f>
        <v>2806.9799999997908</v>
      </c>
      <c r="BN1529" s="343">
        <f>SUMIFS($AU$1388:AU1530,$AQ$1388:AQ1530,"H")</f>
        <v>3599.9999999999991</v>
      </c>
      <c r="BO1529" s="343">
        <f>SUMIFS($AU$1388:AU1530,$AQ$1388:AQ1530,"D")</f>
        <v>1504.0000000000005</v>
      </c>
      <c r="BP1529" s="343">
        <f>SUMIFS($AU$1388:AU1532,$AQ$1388:AQ1532,"W")</f>
        <v>1414.3999999999999</v>
      </c>
      <c r="BQ1529" s="343">
        <f>SUMIFS($AU$1388:AU1530,$Q$1388:Q1530,"O")</f>
        <v>366.97999999978163</v>
      </c>
      <c r="BR1529" s="343">
        <f>SUMIFS($AU$1388:AU1530,$AA$1388:AA1530,"*")</f>
        <v>8886.1999999996824</v>
      </c>
      <c r="BS1529" s="343">
        <f>SUMIFS($AU$1388:AU1530,$AB$1388:AB1530,"*")</f>
        <v>2887.1799999999344</v>
      </c>
      <c r="BT1529" s="343">
        <f>SUMIFS($AU$1388:AU1530,$AC$1388:AC1530,"*")</f>
        <v>4054.3999999999996</v>
      </c>
      <c r="BU1529" s="343">
        <f>SUMIFS($AU$1388:AU1530,$AA$1388:AA1530,"*",$AB$1388:AB1530,"*")</f>
        <v>2511.9999999998245</v>
      </c>
      <c r="BV1529" s="343">
        <f>SUMIFS($AU$1388:AU1530,$AA$1388:AA1530,"*",$AC$1388:AC1530,"*")</f>
        <v>3990.3999999999996</v>
      </c>
      <c r="BW1529" s="343">
        <f>SUMIFS($AU$1388:AU1530,$AB$1388:AB1530,"*",$AC$1388:AC1530,"*")</f>
        <v>2223.9999999999995</v>
      </c>
      <c r="BX1529" s="343">
        <f>SUMIFS($AV$1388:AV1530,$Q$1388:Q1530,"F")</f>
        <v>142.54906832298136</v>
      </c>
      <c r="BY1529" s="343">
        <f>SUMIFS($AV$1388:AV1530,$Q$1388:Q1530,"S")</f>
        <v>271.59909454524484</v>
      </c>
      <c r="BZ1529" s="343">
        <f>SUMIFS($AV$1388:AV1530,$Q$1388:Q1530,"O")</f>
        <v>172.73999999992532</v>
      </c>
    </row>
    <row r="1530" spans="1:78" ht="15.75" customHeight="1">
      <c r="A1530" s="177" t="s">
        <v>5180</v>
      </c>
      <c r="B1530" s="200">
        <v>45323</v>
      </c>
      <c r="C1530" s="178" t="s">
        <v>5193</v>
      </c>
      <c r="D1530" s="178" t="s">
        <v>93</v>
      </c>
      <c r="E1530" s="227"/>
      <c r="F1530" s="180"/>
      <c r="G1530" s="181" t="s">
        <v>2942</v>
      </c>
      <c r="H1530" s="182"/>
      <c r="I1530" s="182"/>
      <c r="J1530" s="182"/>
      <c r="K1530" s="183"/>
      <c r="L1530" s="182"/>
      <c r="M1530" s="182"/>
      <c r="N1530" s="182"/>
      <c r="O1530" s="183"/>
      <c r="P1530" s="183"/>
      <c r="Q1530" s="183"/>
      <c r="R1530" s="183"/>
      <c r="S1530" s="183"/>
      <c r="T1530" s="183"/>
      <c r="U1530" s="183"/>
      <c r="V1530" s="183"/>
      <c r="W1530" s="183"/>
      <c r="X1530" s="183"/>
      <c r="Y1530" s="184"/>
      <c r="Z1530" s="185"/>
      <c r="AA1530" s="185"/>
      <c r="AB1530" s="185"/>
      <c r="AC1530" s="185"/>
      <c r="AD1530" s="649"/>
      <c r="AE1530" s="182"/>
      <c r="AF1530" s="332"/>
      <c r="AG1530" s="182"/>
      <c r="AH1530" s="182"/>
      <c r="AI1530" s="182"/>
      <c r="AJ1530" s="640"/>
      <c r="AK1530" s="182"/>
      <c r="AL1530" s="496">
        <f t="shared" si="434"/>
        <v>0</v>
      </c>
      <c r="AM1530" s="496">
        <f t="shared" si="433"/>
        <v>0</v>
      </c>
      <c r="AN1530" s="626"/>
      <c r="AO1530" s="182"/>
      <c r="AP1530" s="182"/>
      <c r="AQ1530" s="332" t="str">
        <f>UPPER(RIGHT(Journal_Live[[#This Row],[DURATION ]]))</f>
        <v/>
      </c>
      <c r="AR1530" s="182"/>
      <c r="AS1530" s="189"/>
      <c r="AT1530" s="189"/>
      <c r="AU1530" s="187"/>
      <c r="AV1530" s="190"/>
      <c r="AW1530" s="191"/>
      <c r="AX1530" s="407"/>
      <c r="AY1530" s="407"/>
      <c r="AZ1530" s="407"/>
      <c r="BA1530" s="407"/>
      <c r="BB1530" s="407"/>
      <c r="BC1530" s="407"/>
      <c r="BD1530" s="407"/>
      <c r="BE1530" s="407"/>
      <c r="BF1530" s="422"/>
      <c r="BG1530" s="391">
        <f>SUM($AV$1389:AV1530)</f>
        <v>914.88816286815927</v>
      </c>
      <c r="BH1530" s="392">
        <f>SUM($AU$1389:AU1530)</f>
        <v>9325.3799999997918</v>
      </c>
      <c r="BI1530" s="318">
        <f>SUMIFS($AU$1388:AU1531,$Q$1388:Q1531,"F")</f>
        <v>4134.3999999999996</v>
      </c>
      <c r="BJ1530" s="318">
        <f>SUMIFS($AU$1388:AU1531,$Q$1388:Q1531,"S")</f>
        <v>4144.0000000000009</v>
      </c>
      <c r="BK1530" s="343">
        <f>SUMIFS($AU$1388:AU1531,$P$1388:P1531,"W")</f>
        <v>6669.5799999999363</v>
      </c>
      <c r="BL1530" s="343">
        <f>SUMIFS($AU$1388:AU1531,$P$1388:P1531,"R")</f>
        <v>2000.0000000000002</v>
      </c>
      <c r="BM1530" s="343">
        <f>SUMIFS($AU$1388:AU1531,$AQ$1388:AQ1531,"M")</f>
        <v>2806.9799999997908</v>
      </c>
      <c r="BN1530" s="343">
        <f>SUMIFS($AU$1388:AU1531,$AQ$1388:AQ1531,"H")</f>
        <v>3599.9999999999991</v>
      </c>
      <c r="BO1530" s="343">
        <f>SUMIFS($AU$1388:AU1531,$AQ$1388:AQ1531,"D")</f>
        <v>1504.0000000000005</v>
      </c>
      <c r="BP1530" s="343">
        <f>SUMIFS($AU$1388:AU1533,$AQ$1388:AQ1533,"W")</f>
        <v>1414.3999999999999</v>
      </c>
      <c r="BQ1530" s="343">
        <f>SUMIFS($AU$1388:AU1531,$Q$1388:Q1531,"O")</f>
        <v>366.97999999978163</v>
      </c>
      <c r="BR1530" s="343">
        <f>SUMIFS($AU$1388:AU1531,$AA$1388:AA1531,"*")</f>
        <v>8582.1999999996824</v>
      </c>
      <c r="BS1530" s="343">
        <f>SUMIFS($AU$1388:AU1531,$AB$1388:AB1531,"*")</f>
        <v>2583.1799999999344</v>
      </c>
      <c r="BT1530" s="343">
        <f>SUMIFS($AU$1388:AU1531,$AC$1388:AC1531,"*")</f>
        <v>3750.3999999999996</v>
      </c>
      <c r="BU1530" s="343">
        <f>SUMIFS($AU$1388:AU1531,$AA$1388:AA1531,"*",$AB$1388:AB1531,"*")</f>
        <v>2207.9999999998245</v>
      </c>
      <c r="BV1530" s="343">
        <f>SUMIFS($AU$1388:AU1531,$AA$1388:AA1531,"*",$AC$1388:AC1531,"*")</f>
        <v>3686.3999999999996</v>
      </c>
      <c r="BW1530" s="343">
        <f>SUMIFS($AU$1388:AU1531,$AB$1388:AB1531,"*",$AC$1388:AC1531,"*")</f>
        <v>1919.9999999999995</v>
      </c>
      <c r="BX1530" s="343">
        <f>SUMIFS($AV$1388:AV1531,$Q$1388:Q1531,"F")</f>
        <v>126.54906832298136</v>
      </c>
      <c r="BY1530" s="343">
        <f>SUMIFS($AV$1388:AV1531,$Q$1388:Q1531,"S")</f>
        <v>271.59909454524484</v>
      </c>
      <c r="BZ1530" s="343">
        <f>SUMIFS($AV$1388:AV1531,$Q$1388:Q1531,"O")</f>
        <v>172.73999999992532</v>
      </c>
    </row>
    <row r="1531" spans="1:78" ht="15.75" customHeight="1">
      <c r="A1531" s="177" t="s">
        <v>5180</v>
      </c>
      <c r="B1531" s="200">
        <v>45323</v>
      </c>
      <c r="C1531" s="178" t="s">
        <v>1612</v>
      </c>
      <c r="D1531" s="178" t="s">
        <v>93</v>
      </c>
      <c r="E1531" s="227"/>
      <c r="F1531" s="180"/>
      <c r="G1531" s="281" t="s">
        <v>2568</v>
      </c>
      <c r="H1531" s="182"/>
      <c r="I1531" s="182"/>
      <c r="J1531" s="182"/>
      <c r="K1531" s="183"/>
      <c r="L1531" s="182"/>
      <c r="M1531" s="182">
        <v>1</v>
      </c>
      <c r="N1531" s="182"/>
      <c r="O1531" s="183" t="s">
        <v>95</v>
      </c>
      <c r="P1531" s="183" t="s">
        <v>96</v>
      </c>
      <c r="Q1531" s="183" t="s">
        <v>256</v>
      </c>
      <c r="R1531" s="183">
        <v>19</v>
      </c>
      <c r="S1531" s="183">
        <v>0</v>
      </c>
      <c r="T1531" s="183">
        <v>9</v>
      </c>
      <c r="U1531" s="183" t="s">
        <v>97</v>
      </c>
      <c r="V1531" s="183"/>
      <c r="W1531" s="183"/>
      <c r="X1531" s="183"/>
      <c r="Y1531" s="184">
        <f>IF(ISBLANK(O1531),"",(IF(O1531=UPPER("IB"),0.005,0.01)))</f>
        <v>0.01</v>
      </c>
      <c r="Z1531" s="185">
        <f>IF(ISBLANK(O1531),"",IF(O1531="IB",8.63*200,IF(O1531="IR",16*100,IF(O1531="YT",20*100,IF(O1531="YT-XT",24*200,IF(O1531="TED",80*100))))))</f>
        <v>1600</v>
      </c>
      <c r="AA1531" s="185" t="s">
        <v>5194</v>
      </c>
      <c r="AB1531" s="185" t="s">
        <v>5195</v>
      </c>
      <c r="AC1531" s="185" t="s">
        <v>5196</v>
      </c>
      <c r="AD1531" s="649">
        <v>0.03</v>
      </c>
      <c r="AE1531" s="182"/>
      <c r="AF1531" s="332"/>
      <c r="AG1531" s="182"/>
      <c r="AH1531" s="182"/>
      <c r="AI1531" s="182"/>
      <c r="AJ1531" s="640"/>
      <c r="AK1531" s="182"/>
      <c r="AL1531" s="496">
        <f>-0.04*Z1531</f>
        <v>-64</v>
      </c>
      <c r="AM1531" s="496">
        <f t="shared" si="433"/>
        <v>-1216</v>
      </c>
      <c r="AN1531" s="626"/>
      <c r="AO1531" s="182"/>
      <c r="AP1531" s="182"/>
      <c r="AQ1531" s="332" t="str">
        <f>UPPER(RIGHT(Journal_Live[[#This Row],[DURATION ]]))</f>
        <v/>
      </c>
      <c r="AR1531" s="182" t="s">
        <v>4154</v>
      </c>
      <c r="AS1531" s="189">
        <v>0.04</v>
      </c>
      <c r="AT1531" s="189">
        <f>IF(ISBLANK(AS1531),,IF(U1531="S",AD1531-AS1531,AS1531-AD1531))</f>
        <v>-1.0000000000000002E-2</v>
      </c>
      <c r="AU1531" s="187">
        <f>AV1531*R1531</f>
        <v>-304.00000000000006</v>
      </c>
      <c r="AV1531" s="190">
        <f>IF(ISBLANK(AS1531),,(AT1531*Z1531))</f>
        <v>-16.000000000000004</v>
      </c>
      <c r="AW1531" s="191" t="s">
        <v>229</v>
      </c>
      <c r="AX1531" s="407" t="s">
        <v>5197</v>
      </c>
      <c r="AY1531" s="407" t="s">
        <v>5198</v>
      </c>
      <c r="AZ1531" s="407" t="s">
        <v>4944</v>
      </c>
      <c r="BA1531" s="407" t="s">
        <v>5199</v>
      </c>
      <c r="BB1531" s="407"/>
      <c r="BC1531" s="407"/>
      <c r="BD1531" s="407"/>
      <c r="BE1531" s="407"/>
      <c r="BF1531" s="422"/>
      <c r="BG1531" s="391">
        <f>SUM($AV$1389:AV1531)</f>
        <v>898.88816286815927</v>
      </c>
      <c r="BH1531" s="392">
        <f>SUM($AU$1389:AU1531)</f>
        <v>9021.3799999997918</v>
      </c>
      <c r="BI1531" s="318">
        <f>SUMIFS($AU$1388:AU1644,$Q$1388:Q1644,"F")</f>
        <v>9348.4000000000015</v>
      </c>
      <c r="BJ1531" s="318">
        <f>SUMIFS($AU$1388:AU1644,$Q$1388:Q1644,"S")</f>
        <v>3279.9999999999918</v>
      </c>
      <c r="BK1531" s="343">
        <f>SUMIFS($AU$1388:AU1644,$P$1388:P1644,"W")</f>
        <v>8717.579999999929</v>
      </c>
      <c r="BL1531" s="343">
        <f>SUMIFS($AU$1388:AU1644,$P$1388:P1644,"R")</f>
        <v>4181.9999999999991</v>
      </c>
      <c r="BM1531" s="343">
        <f>SUMIFS($AU$1388:AU1644,$AQ$1388:AQ1644,"M")</f>
        <v>5219.3799999995472</v>
      </c>
      <c r="BN1531" s="343">
        <f>SUMIFS($AU$1388:AU1644,$AQ$1388:AQ1644,"H")</f>
        <v>2931.2000000002599</v>
      </c>
      <c r="BO1531" s="343">
        <f>SUMIFS($AU$1388:AU1644,$AQ$1388:AQ1644,"D")</f>
        <v>1266.0000000000005</v>
      </c>
      <c r="BP1531" s="343">
        <f>SUMIFS($AU$1388:AU1534,$AQ$1388:AQ1534,"W")</f>
        <v>1414.3999999999999</v>
      </c>
      <c r="BQ1531" s="343">
        <f>SUMIFS($AU$1388:AU1644,$Q$1388:Q1644,"O")</f>
        <v>1770.5799999998073</v>
      </c>
      <c r="BR1531" s="343">
        <f>SUMIFS($AU$1388:AU1532,$AA$1388:AA1532,"*")</f>
        <v>8582.1999999996824</v>
      </c>
      <c r="BS1531" s="343">
        <f>SUMIFS($AU$1388:AU1532,$AB$1388:AB1532,"*")</f>
        <v>2583.1799999999344</v>
      </c>
      <c r="BT1531" s="343">
        <f>SUMIFS($AU$1388:AU1532,$AC$1388:AC1532,"*")</f>
        <v>3750.3999999999996</v>
      </c>
      <c r="BU1531" s="343">
        <f>SUMIFS($AU$1388:AU1532,$AA$1388:AA1532,"*",$AB$1388:AB1532,"*")</f>
        <v>2207.9999999998245</v>
      </c>
      <c r="BV1531" s="343">
        <f>SUMIFS($AU$1388:AU1532,$AA$1388:AA1532,"*",$AC$1388:AC1532,"*")</f>
        <v>3686.3999999999996</v>
      </c>
      <c r="BW1531" s="343">
        <f>SUMIFS($AU$1388:AU1532,$AB$1388:AB1532,"*",$AC$1388:AC1532,"*")</f>
        <v>1919.9999999999995</v>
      </c>
      <c r="BX1531" s="343">
        <f>SUMIFS($AV$1388:AV1532,$Q$1388:Q1532,"F")</f>
        <v>126.54906832298136</v>
      </c>
      <c r="BY1531" s="343">
        <f>SUMIFS($AV$1388:AV1532,$Q$1388:Q1532,"S")</f>
        <v>271.59909454524484</v>
      </c>
      <c r="BZ1531" s="343">
        <f>SUMIFS($AV$1388:AV1532,$Q$1388:Q1532,"O")</f>
        <v>172.73999999992532</v>
      </c>
    </row>
    <row r="1532" spans="1:78" ht="15.75" customHeight="1">
      <c r="A1532" s="177" t="s">
        <v>5180</v>
      </c>
      <c r="B1532" s="200">
        <v>45323</v>
      </c>
      <c r="C1532" s="178" t="s">
        <v>2144</v>
      </c>
      <c r="D1532" s="178" t="s">
        <v>93</v>
      </c>
      <c r="E1532" s="227"/>
      <c r="F1532" s="180"/>
      <c r="G1532" s="281" t="s">
        <v>5012</v>
      </c>
      <c r="H1532" s="182"/>
      <c r="I1532" s="182"/>
      <c r="J1532" s="182"/>
      <c r="K1532" s="183"/>
      <c r="L1532" s="182">
        <v>1</v>
      </c>
      <c r="M1532" s="182"/>
      <c r="N1532" s="182"/>
      <c r="O1532" s="183" t="s">
        <v>2652</v>
      </c>
      <c r="P1532" s="183" t="s">
        <v>137</v>
      </c>
      <c r="Q1532" s="183"/>
      <c r="R1532" s="183">
        <v>1</v>
      </c>
      <c r="S1532" s="183">
        <v>0</v>
      </c>
      <c r="T1532" s="183">
        <v>1</v>
      </c>
      <c r="U1532" s="183" t="s">
        <v>97</v>
      </c>
      <c r="V1532" s="183"/>
      <c r="W1532" s="183"/>
      <c r="X1532" s="183"/>
      <c r="Y1532" s="184">
        <f>IF(ISBLANK(O1532),"",(IF(O1532=UPPER("IB"),0.005,0.01)))</f>
        <v>0.01</v>
      </c>
      <c r="Z1532" s="185">
        <f>IF(ISBLANK(O1532),"",IF(O1532="IB",8.63*200,IF(O1532="IR",16*100,IF(O1532="YT",20*100,IF(O1532="YT-XT",24*200,IF(O1532="TED",80*100))))))</f>
        <v>8000</v>
      </c>
      <c r="AA1532" s="185" t="s">
        <v>99</v>
      </c>
      <c r="AB1532" s="185"/>
      <c r="AC1532" s="185"/>
      <c r="AD1532" s="649">
        <v>0</v>
      </c>
      <c r="AE1532" s="182"/>
      <c r="AF1532" s="332"/>
      <c r="AG1532" s="182"/>
      <c r="AH1532" s="182"/>
      <c r="AI1532" s="182"/>
      <c r="AJ1532" s="640"/>
      <c r="AK1532" s="182"/>
      <c r="AL1532" s="496">
        <f t="shared" ref="AL1532:AL1545" si="435">-0.02*Z1532</f>
        <v>-160</v>
      </c>
      <c r="AM1532" s="496">
        <f t="shared" si="433"/>
        <v>-160</v>
      </c>
      <c r="AN1532" s="626"/>
      <c r="AO1532" s="182"/>
      <c r="AP1532" s="182" t="s">
        <v>2709</v>
      </c>
      <c r="AQ1532" s="332" t="s">
        <v>372</v>
      </c>
      <c r="AR1532" s="182" t="s">
        <v>5200</v>
      </c>
      <c r="AS1532" s="189">
        <v>0</v>
      </c>
      <c r="AT1532" s="189">
        <f>IF(ISBLANK(AS1532),,IF(U1532="S",AD1532-AS1532,AS1532-AD1532))</f>
        <v>0</v>
      </c>
      <c r="AU1532" s="187">
        <f>AV1532*R1532</f>
        <v>0</v>
      </c>
      <c r="AV1532" s="190">
        <f>IF(ISBLANK(AS1532),,(AT1532*Z1532))</f>
        <v>0</v>
      </c>
      <c r="AW1532" s="191" t="s">
        <v>115</v>
      </c>
      <c r="AX1532" s="407"/>
      <c r="AY1532" s="407"/>
      <c r="AZ1532" s="407"/>
      <c r="BA1532" s="407"/>
      <c r="BB1532" s="407"/>
      <c r="BC1532" s="407"/>
      <c r="BD1532" s="407" t="s">
        <v>5054</v>
      </c>
      <c r="BE1532" s="407" t="s">
        <v>5055</v>
      </c>
      <c r="BF1532" s="422" t="s">
        <v>5056</v>
      </c>
      <c r="BG1532" s="391">
        <f>SUM($AV$1389:AV1532)</f>
        <v>898.88816286815927</v>
      </c>
      <c r="BH1532" s="392">
        <f>SUM($AU$1389:AU1532)</f>
        <v>9021.3799999997918</v>
      </c>
      <c r="BI1532" s="318">
        <f>SUMIFS($AU$1388:AU1533,$Q$1388:Q1533,"F")</f>
        <v>4326.4000000000005</v>
      </c>
      <c r="BJ1532" s="318">
        <f>SUMIFS($AU$1388:AU1533,$Q$1388:Q1533,"S")</f>
        <v>4144.0000000000009</v>
      </c>
      <c r="BK1532" s="343">
        <f>SUMIFS($AU$1388:AU1533,$P$1388:P1533,"W")</f>
        <v>6861.5799999999372</v>
      </c>
      <c r="BL1532" s="343">
        <f>SUMIFS($AU$1388:AU1533,$P$1388:P1533,"R")</f>
        <v>2000.0000000000002</v>
      </c>
      <c r="BM1532" s="343">
        <f>SUMIFS($AU$1388:AU1533,$AQ$1388:AQ1533,"M")</f>
        <v>2806.9799999997908</v>
      </c>
      <c r="BN1532" s="343">
        <f>SUMIFS($AU$1388:AU1533,$AQ$1388:AQ1533,"H")</f>
        <v>3599.9999999999991</v>
      </c>
      <c r="BO1532" s="343">
        <f>SUMIFS($AU$1388:AU1533,$AQ$1388:AQ1533,"D")</f>
        <v>1696.0000000000009</v>
      </c>
      <c r="BP1532" s="343">
        <f>SUMIFS($AU$1388:AU1535,$AQ$1388:AQ1535,"W")</f>
        <v>1414.3999999999999</v>
      </c>
      <c r="BQ1532" s="343">
        <f>SUMIFS($AU$1388:AU1533,$Q$1388:Q1533,"O")</f>
        <v>366.97999999978163</v>
      </c>
      <c r="BR1532" s="343">
        <f>SUMIFS($AU$1388:AU1533,$AA$1388:AA1533,"*")</f>
        <v>8774.1999999996824</v>
      </c>
      <c r="BS1532" s="343">
        <f>SUMIFS($AU$1388:AU1533,$AB$1388:AB1533,"*")</f>
        <v>2583.1799999999344</v>
      </c>
      <c r="BT1532" s="343">
        <f>SUMIFS($AU$1388:AU1533,$AC$1388:AC1533,"*")</f>
        <v>3750.3999999999996</v>
      </c>
      <c r="BU1532" s="343">
        <f>SUMIFS($AU$1388:AU1533,$AA$1388:AA1533,"*",$AB$1388:AB1533,"*")</f>
        <v>2207.9999999998245</v>
      </c>
      <c r="BV1532" s="343">
        <f>SUMIFS($AU$1388:AU1533,$AA$1388:AA1533,"*",$AC$1388:AC1533,"*")</f>
        <v>3686.3999999999996</v>
      </c>
      <c r="BW1532" s="343">
        <f>SUMIFS($AU$1388:AU1533,$AB$1388:AB1533,"*",$AC$1388:AC1533,"*")</f>
        <v>1919.9999999999995</v>
      </c>
      <c r="BX1532" s="343">
        <f>SUMIFS($AV$1388:AV1533,$Q$1388:Q1533,"F")</f>
        <v>130.38906832298136</v>
      </c>
      <c r="BY1532" s="343">
        <f>SUMIFS($AV$1388:AV1533,$Q$1388:Q1533,"S")</f>
        <v>271.59909454524484</v>
      </c>
      <c r="BZ1532" s="343">
        <f>SUMIFS($AV$1388:AV1533,$Q$1388:Q1533,"O")</f>
        <v>172.73999999992532</v>
      </c>
    </row>
    <row r="1533" spans="1:78" ht="15.75" customHeight="1">
      <c r="A1533" s="177" t="s">
        <v>5180</v>
      </c>
      <c r="B1533" s="200">
        <v>45323</v>
      </c>
      <c r="C1533" s="178" t="s">
        <v>5201</v>
      </c>
      <c r="D1533" s="178" t="s">
        <v>93</v>
      </c>
      <c r="E1533" s="227"/>
      <c r="F1533" s="180"/>
      <c r="G1533" s="490" t="s">
        <v>2807</v>
      </c>
      <c r="H1533" s="182"/>
      <c r="I1533" s="182"/>
      <c r="J1533" s="182"/>
      <c r="K1533" s="183"/>
      <c r="L1533" s="182">
        <v>1</v>
      </c>
      <c r="M1533" s="182">
        <v>1</v>
      </c>
      <c r="N1533" s="182"/>
      <c r="O1533" s="183" t="s">
        <v>95</v>
      </c>
      <c r="P1533" s="183" t="s">
        <v>96</v>
      </c>
      <c r="Q1533" s="183" t="s">
        <v>256</v>
      </c>
      <c r="R1533" s="183">
        <v>50</v>
      </c>
      <c r="S1533" s="183">
        <v>50</v>
      </c>
      <c r="T1533" s="183">
        <v>16</v>
      </c>
      <c r="U1533" s="183" t="s">
        <v>22</v>
      </c>
      <c r="V1533" s="183"/>
      <c r="W1533" s="183"/>
      <c r="X1533" s="183"/>
      <c r="Y1533" s="184">
        <f>IF(ISBLANK(O1533),"",(IF(O1533=UPPER("IB"),0.005,0.01)))</f>
        <v>0.01</v>
      </c>
      <c r="Z1533" s="185">
        <f>IF(ISBLANK(O1533),"",IF(O1533="IB",8.63*200,IF(O1533="IR",16*100,IF(O1533="YT",20*100,IF(O1533="YT-XT",24*200,IF(O1533="TED",80*100))))))</f>
        <v>1600</v>
      </c>
      <c r="AA1533" s="185" t="s">
        <v>5202</v>
      </c>
      <c r="AB1533" s="185"/>
      <c r="AC1533" s="185"/>
      <c r="AD1533" s="649">
        <f>((-0.04*32)+(-0.03*8)+(-0.01*10))/50</f>
        <v>-3.2400000000000005E-2</v>
      </c>
      <c r="AE1533" s="182"/>
      <c r="AF1533" s="332"/>
      <c r="AG1533" s="182"/>
      <c r="AH1533" s="182">
        <v>-2</v>
      </c>
      <c r="AI1533" s="182"/>
      <c r="AJ1533" s="640"/>
      <c r="AK1533" s="182"/>
      <c r="AL1533" s="496">
        <f t="shared" si="435"/>
        <v>-32</v>
      </c>
      <c r="AM1533" s="496">
        <f t="shared" si="433"/>
        <v>0</v>
      </c>
      <c r="AN1533" s="626"/>
      <c r="AO1533" s="182"/>
      <c r="AP1533" s="182" t="s">
        <v>999</v>
      </c>
      <c r="AQ1533" s="332" t="s">
        <v>115</v>
      </c>
      <c r="AR1533" s="182" t="s">
        <v>5203</v>
      </c>
      <c r="AS1533" s="189">
        <v>-0.03</v>
      </c>
      <c r="AT1533" s="189">
        <f>IF(ISBLANK(AS1533),,IF(U1533="S",AD1533-AS1533,AS1533-AD1533))</f>
        <v>2.4000000000000063E-3</v>
      </c>
      <c r="AU1533" s="187">
        <f>AV1533*R1533</f>
        <v>192.00000000000051</v>
      </c>
      <c r="AV1533" s="190">
        <f>IF(ISBLANK(AS1533),,(AT1533*Z1533))</f>
        <v>3.8400000000000101</v>
      </c>
      <c r="AW1533" s="191" t="s">
        <v>96</v>
      </c>
      <c r="AX1533" s="407" t="s">
        <v>5204</v>
      </c>
      <c r="AY1533" s="407"/>
      <c r="AZ1533" s="407"/>
      <c r="BA1533" s="407"/>
      <c r="BB1533" s="407"/>
      <c r="BC1533" s="407"/>
      <c r="BD1533" s="407"/>
      <c r="BE1533" s="407"/>
      <c r="BF1533" s="422"/>
      <c r="BG1533" s="391">
        <f>SUM($AV$1389:AV1533)</f>
        <v>902.7281628681593</v>
      </c>
      <c r="BH1533" s="392">
        <f>SUM($AU$1389:AU1533)</f>
        <v>9213.3799999997918</v>
      </c>
      <c r="BI1533" s="318">
        <f>SUMIFS($AU$1388:AU1533,$Q$1388:Q1533,"F")</f>
        <v>4326.4000000000005</v>
      </c>
      <c r="BJ1533" s="318">
        <f>SUMIFS($AU$1388:AU1533,$Q$1388:Q1533,"S")</f>
        <v>4144.0000000000009</v>
      </c>
      <c r="BK1533" s="343">
        <f>SUMIFS($AU$1388:AU1533,$P$1388:P1533,"W")</f>
        <v>6861.5799999999372</v>
      </c>
      <c r="BL1533" s="343">
        <f>SUMIFS($AU$1388:AU1533,$P$1388:P1533,"R")</f>
        <v>2000.0000000000002</v>
      </c>
      <c r="BM1533" s="343">
        <f>SUMIFS($AU$1388:AU1533,$AQ$1388:AQ1533,"M")</f>
        <v>2806.9799999997908</v>
      </c>
      <c r="BN1533" s="343">
        <f>SUMIFS($AU$1388:AU1533,$AQ$1388:AQ1533,"H")</f>
        <v>3599.9999999999991</v>
      </c>
      <c r="BO1533" s="343">
        <f>SUMIFS($AU$1388:AU1533,$AQ$1388:AQ1533,"D")</f>
        <v>1696.0000000000009</v>
      </c>
      <c r="BP1533" s="343">
        <f>SUMIFS($AU$1388:AU1536,$AQ$1388:AQ1536,"W")</f>
        <v>1414.3999999999999</v>
      </c>
      <c r="BQ1533" s="343">
        <f>SUMIFS($AU$1388:AU1533,$Q$1388:Q1533,"O")</f>
        <v>366.97999999978163</v>
      </c>
      <c r="BR1533" s="343">
        <f>SUMIFS($AU$1388:AU1534,$AA$1388:AA1534,"*")</f>
        <v>9668.1999999996824</v>
      </c>
      <c r="BS1533" s="343">
        <f>SUMIFS($AU$1388:AU1534,$AB$1388:AB1534,"*")</f>
        <v>2583.1799999999344</v>
      </c>
      <c r="BT1533" s="343">
        <f>SUMIFS($AU$1388:AU1534,$AC$1388:AC1534,"*")</f>
        <v>4644.3999999999996</v>
      </c>
      <c r="BU1533" s="343">
        <f>SUMIFS($AU$1388:AU1534,$AA$1388:AA1534,"*",$AB$1388:AB1534,"*")</f>
        <v>2207.9999999998245</v>
      </c>
      <c r="BV1533" s="343">
        <f>SUMIFS($AU$1388:AU1534,$AA$1388:AA1534,"*",$AC$1388:AC1534,"*")</f>
        <v>4580.3999999999996</v>
      </c>
      <c r="BW1533" s="343">
        <f>SUMIFS($AU$1388:AU1534,$AB$1388:AB1534,"*",$AC$1388:AC1534,"*")</f>
        <v>1919.9999999999995</v>
      </c>
      <c r="BX1533" s="343">
        <f>SUMIFS($AV$1388:AV1534,$Q$1388:Q1534,"F")</f>
        <v>145.15829909221213</v>
      </c>
      <c r="BY1533" s="343">
        <f>SUMIFS($AV$1388:AV1534,$Q$1388:Q1534,"S")</f>
        <v>271.59909454524484</v>
      </c>
      <c r="BZ1533" s="343">
        <f>SUMIFS($AV$1388:AV1534,$Q$1388:Q1534,"O")</f>
        <v>172.73999999992532</v>
      </c>
    </row>
    <row r="1534" spans="1:78" ht="15.75" customHeight="1">
      <c r="A1534" s="177" t="s">
        <v>5180</v>
      </c>
      <c r="B1534" s="200">
        <v>45324</v>
      </c>
      <c r="C1534" s="178" t="s">
        <v>5205</v>
      </c>
      <c r="D1534" s="178" t="s">
        <v>111</v>
      </c>
      <c r="E1534" s="227"/>
      <c r="F1534" s="180"/>
      <c r="G1534" s="490" t="s">
        <v>5206</v>
      </c>
      <c r="H1534" s="182"/>
      <c r="I1534" s="182"/>
      <c r="J1534" s="182"/>
      <c r="K1534" s="183"/>
      <c r="L1534" s="182">
        <v>1</v>
      </c>
      <c r="M1534" s="182"/>
      <c r="N1534" s="182"/>
      <c r="O1534" s="183" t="s">
        <v>95</v>
      </c>
      <c r="P1534" s="183" t="s">
        <v>137</v>
      </c>
      <c r="Q1534" s="183" t="s">
        <v>256</v>
      </c>
      <c r="R1534" s="183">
        <v>65</v>
      </c>
      <c r="S1534" s="183">
        <v>32</v>
      </c>
      <c r="T1534" s="183">
        <v>33</v>
      </c>
      <c r="U1534" s="183" t="s">
        <v>22</v>
      </c>
      <c r="V1534" s="183"/>
      <c r="W1534" s="183"/>
      <c r="X1534" s="183"/>
      <c r="Y1534" s="184">
        <f>IF(ISBLANK(O1534),"",(IF(O1534=UPPER("IB"),0.005,0.01)))</f>
        <v>0.01</v>
      </c>
      <c r="Z1534" s="185">
        <f>IF(ISBLANK(O1534),"",IF(O1534="IB",8.63*200,IF(O1534="IR",16*100,IF(O1534="YT",20*100,IF(O1534="YT-XT",24*200,IF(O1534="TED",80*100))))))</f>
        <v>1600</v>
      </c>
      <c r="AA1534" s="185" t="s">
        <v>4932</v>
      </c>
      <c r="AB1534" s="185"/>
      <c r="AC1534" s="185" t="s">
        <v>5051</v>
      </c>
      <c r="AD1534" s="649">
        <v>-0.04</v>
      </c>
      <c r="AE1534" s="182"/>
      <c r="AF1534" s="332"/>
      <c r="AG1534" s="182"/>
      <c r="AH1534" s="182"/>
      <c r="AI1534" s="182"/>
      <c r="AJ1534" s="640"/>
      <c r="AK1534" s="182"/>
      <c r="AL1534" s="496">
        <f t="shared" si="435"/>
        <v>-32</v>
      </c>
      <c r="AM1534" s="496">
        <f t="shared" si="433"/>
        <v>-1056</v>
      </c>
      <c r="AN1534" s="626"/>
      <c r="AO1534" s="182"/>
      <c r="AP1534" s="182" t="s">
        <v>770</v>
      </c>
      <c r="AQ1534" s="332" t="s">
        <v>115</v>
      </c>
      <c r="AR1534" s="182" t="s">
        <v>5207</v>
      </c>
      <c r="AS1534" s="189">
        <f>((-0.03*60)+(-0.04*5))/65</f>
        <v>-3.0769230769230767E-2</v>
      </c>
      <c r="AT1534" s="189">
        <f>IF(ISBLANK(AS1534),,IF(U1534="S",AD1534-AS1534,AS1534-AD1534))</f>
        <v>9.2307692307692334E-3</v>
      </c>
      <c r="AU1534" s="187">
        <f>AV1534*R1534-66</f>
        <v>894.00000000000023</v>
      </c>
      <c r="AV1534" s="190">
        <f>IF(ISBLANK(AS1534),,(AT1534*Z1534))</f>
        <v>14.769230769230774</v>
      </c>
      <c r="AW1534" s="191" t="s">
        <v>96</v>
      </c>
      <c r="AX1534" s="407" t="s">
        <v>5208</v>
      </c>
      <c r="AY1534" s="407"/>
      <c r="AZ1534" s="407"/>
      <c r="BA1534" s="407" t="s">
        <v>452</v>
      </c>
      <c r="BB1534" s="407" t="s">
        <v>5209</v>
      </c>
      <c r="BC1534" s="407"/>
      <c r="BD1534" s="407"/>
      <c r="BE1534" s="407"/>
      <c r="BF1534" s="422"/>
      <c r="BG1534" s="391">
        <f>SUM($AV$1389:AV1534)</f>
        <v>917.49739363739013</v>
      </c>
      <c r="BH1534" s="392">
        <f>SUM($AU$1389:AU1534)</f>
        <v>10107.379999999792</v>
      </c>
      <c r="BI1534" s="318">
        <f>SUMIFS($AU$1388:AU1535,$Q$1388:Q1535,"F")</f>
        <v>5220.4000000000005</v>
      </c>
      <c r="BJ1534" s="318">
        <f>SUMIFS($AU$1388:AU1535,$Q$1388:Q1535,"S")</f>
        <v>4432</v>
      </c>
      <c r="BK1534" s="343">
        <f>SUMIFS($AU$1388:AU1535,$P$1388:P1535,"W")</f>
        <v>7149.5799999999363</v>
      </c>
      <c r="BL1534" s="343">
        <f>SUMIFS($AU$1388:AU1535,$P$1388:P1535,"R")</f>
        <v>2894.0000000000005</v>
      </c>
      <c r="BM1534" s="343">
        <f>SUMIFS($AU$1388:AU1535,$AQ$1388:AQ1535,"M")</f>
        <v>2806.9799999997908</v>
      </c>
      <c r="BN1534" s="343">
        <f>SUMIFS($AU$1388:AU1535,$AQ$1388:AQ1535,"H")</f>
        <v>3887.9999999999986</v>
      </c>
      <c r="BO1534" s="343">
        <f>SUMIFS($AU$1388:AU1535,$AQ$1388:AQ1535,"D")</f>
        <v>2590.0000000000009</v>
      </c>
      <c r="BP1534" s="343">
        <f>SUMIFS($AU$1388:AU1537,$AQ$1388:AQ1537,"W")</f>
        <v>1414.3999999999999</v>
      </c>
      <c r="BQ1534" s="343">
        <f>SUMIFS($AU$1388:AU1535,$Q$1388:Q1535,"O")</f>
        <v>366.97999999978163</v>
      </c>
      <c r="BR1534" s="343">
        <f>SUMIFS($AU$1388:AU1535,$AA$1388:AA1535,"*")</f>
        <v>9956.1999999996824</v>
      </c>
      <c r="BS1534" s="343">
        <f>SUMIFS($AU$1388:AU1535,$AB$1388:AB1535,"*")</f>
        <v>2871.1799999999339</v>
      </c>
      <c r="BT1534" s="343">
        <f>SUMIFS($AU$1388:AU1535,$AC$1388:AC1535,"*")</f>
        <v>4644.3999999999996</v>
      </c>
      <c r="BU1534" s="343">
        <f>SUMIFS($AU$1388:AU1535,$AA$1388:AA1535,"*",$AB$1388:AB1535,"*")</f>
        <v>2495.999999999824</v>
      </c>
      <c r="BV1534" s="343">
        <f>SUMIFS($AU$1388:AU1535,$AA$1388:AA1535,"*",$AC$1388:AC1535,"*")</f>
        <v>4580.3999999999996</v>
      </c>
      <c r="BW1534" s="343">
        <f>SUMIFS($AU$1388:AU1535,$AB$1388:AB1535,"*",$AC$1388:AC1535,"*")</f>
        <v>1919.9999999999995</v>
      </c>
      <c r="BX1534" s="343">
        <f>SUMIFS($AV$1388:AV1535,$Q$1388:Q1535,"F")</f>
        <v>145.15829909221213</v>
      </c>
      <c r="BY1534" s="343">
        <f>SUMIFS($AV$1388:AV1535,$Q$1388:Q1535,"S")</f>
        <v>287.59909454524478</v>
      </c>
      <c r="BZ1534" s="343">
        <f>SUMIFS($AV$1388:AV1535,$Q$1388:Q1535,"O")</f>
        <v>172.73999999992532</v>
      </c>
    </row>
    <row r="1535" spans="1:78" ht="15.75" customHeight="1">
      <c r="A1535" s="177" t="s">
        <v>5180</v>
      </c>
      <c r="B1535" s="200">
        <v>45324</v>
      </c>
      <c r="C1535" s="178" t="s">
        <v>1589</v>
      </c>
      <c r="D1535" s="178" t="s">
        <v>111</v>
      </c>
      <c r="E1535" s="227"/>
      <c r="F1535" s="180"/>
      <c r="G1535" s="281" t="s">
        <v>136</v>
      </c>
      <c r="H1535" s="182"/>
      <c r="I1535" s="182"/>
      <c r="J1535" s="182"/>
      <c r="K1535" s="183"/>
      <c r="L1535" s="182">
        <v>1</v>
      </c>
      <c r="M1535" s="182">
        <v>1</v>
      </c>
      <c r="N1535" s="182"/>
      <c r="O1535" s="183" t="s">
        <v>95</v>
      </c>
      <c r="P1535" s="183" t="s">
        <v>96</v>
      </c>
      <c r="Q1535" s="183" t="s">
        <v>97</v>
      </c>
      <c r="R1535" s="183">
        <v>18</v>
      </c>
      <c r="S1535" s="183">
        <v>0</v>
      </c>
      <c r="T1535" s="183">
        <v>18</v>
      </c>
      <c r="U1535" s="183" t="s">
        <v>97</v>
      </c>
      <c r="V1535" s="183"/>
      <c r="W1535" s="183"/>
      <c r="X1535" s="183"/>
      <c r="Y1535" s="184">
        <f>IF(ISBLANK(O1535),"",(IF(O1535=UPPER("IB"),0.005,0.01)))</f>
        <v>0.01</v>
      </c>
      <c r="Z1535" s="185">
        <f>IF(ISBLANK(O1535),"",IF(O1535="IB",8.63*200,IF(O1535="IR",16*100,IF(O1535="YT",20*100,IF(O1535="YT-XT",24*200,IF(O1535="TED",80*100))))))</f>
        <v>1600</v>
      </c>
      <c r="AA1535" s="185" t="s">
        <v>998</v>
      </c>
      <c r="AB1535" s="409" t="s">
        <v>5210</v>
      </c>
      <c r="AC1535" s="185"/>
      <c r="AD1535" s="649">
        <v>-0.17</v>
      </c>
      <c r="AE1535" s="182"/>
      <c r="AF1535" s="332"/>
      <c r="AG1535" s="182"/>
      <c r="AH1535" s="182"/>
      <c r="AI1535" s="182"/>
      <c r="AJ1535" s="640"/>
      <c r="AK1535" s="182"/>
      <c r="AL1535" s="496">
        <f t="shared" si="435"/>
        <v>-32</v>
      </c>
      <c r="AM1535" s="496">
        <f t="shared" si="433"/>
        <v>-576</v>
      </c>
      <c r="AN1535" s="626"/>
      <c r="AO1535" s="182"/>
      <c r="AP1535" s="182" t="s">
        <v>5211</v>
      </c>
      <c r="AQ1535" s="332" t="s">
        <v>372</v>
      </c>
      <c r="AR1535" s="182" t="s">
        <v>3344</v>
      </c>
      <c r="AS1535" s="189">
        <v>-0.18</v>
      </c>
      <c r="AT1535" s="189">
        <f>IF(ISBLANK(AS1535),,IF(U1535="S",AD1535-AS1535,AS1535-AD1535))</f>
        <v>9.9999999999999811E-3</v>
      </c>
      <c r="AU1535" s="187">
        <f>AV1535*R1535</f>
        <v>287.99999999999943</v>
      </c>
      <c r="AV1535" s="190">
        <f>IF(ISBLANK(AS1535),,(AT1535*Z1535))</f>
        <v>15.99999999999997</v>
      </c>
      <c r="AW1535" s="191" t="s">
        <v>96</v>
      </c>
      <c r="AX1535" s="407"/>
      <c r="AY1535" s="407"/>
      <c r="AZ1535" s="407"/>
      <c r="BA1535" s="407"/>
      <c r="BB1535" s="407"/>
      <c r="BC1535" s="407"/>
      <c r="BD1535" s="407"/>
      <c r="BE1535" s="407"/>
      <c r="BF1535" s="422"/>
      <c r="BG1535" s="391">
        <f>SUM($AV$1389:AV1535)</f>
        <v>933.49739363739013</v>
      </c>
      <c r="BH1535" s="392">
        <f>SUM($AU$1389:AU1535)</f>
        <v>10395.379999999792</v>
      </c>
      <c r="BI1535" s="318">
        <f>SUMIFS($AU$1388:AU1536,$Q$1388:Q1536,"F")</f>
        <v>5220.4000000000005</v>
      </c>
      <c r="BJ1535" s="318">
        <f>SUMIFS($AU$1388:AU1536,$Q$1388:Q1536,"S")</f>
        <v>4432</v>
      </c>
      <c r="BK1535" s="343">
        <f>SUMIFS($AU$1388:AU1536,$P$1388:P1536,"W")</f>
        <v>7149.5799999999363</v>
      </c>
      <c r="BL1535" s="343">
        <f>SUMIFS($AU$1388:AU1536,$P$1388:P1536,"R")</f>
        <v>2894.0000000000005</v>
      </c>
      <c r="BM1535" s="343">
        <f>SUMIFS($AU$1388:AU1536,$AQ$1388:AQ1536,"M")</f>
        <v>2806.9799999997908</v>
      </c>
      <c r="BN1535" s="343">
        <f>SUMIFS($AU$1388:AU1536,$AQ$1388:AQ1536,"H")</f>
        <v>3887.9999999999986</v>
      </c>
      <c r="BO1535" s="343">
        <f>SUMIFS($AU$1388:AU1536,$AQ$1388:AQ1536,"D")</f>
        <v>2590.0000000000009</v>
      </c>
      <c r="BP1535" s="343">
        <f>SUMIFS($AU$1388:AU1538,$AQ$1388:AQ1538,"W")</f>
        <v>1414.3999999999999</v>
      </c>
      <c r="BQ1535" s="343">
        <f>SUMIFS($AU$1388:AU1536,$Q$1388:Q1536,"O")</f>
        <v>366.97999999978163</v>
      </c>
      <c r="BR1535" s="343">
        <f>SUMIFS($AU$1388:AU1536,$AA$1388:AA1536,"*")</f>
        <v>9956.1999999996824</v>
      </c>
      <c r="BS1535" s="343">
        <f>SUMIFS($AU$1388:AU1536,$AB$1388:AB1536,"*")</f>
        <v>2871.1799999999339</v>
      </c>
      <c r="BT1535" s="343">
        <f>SUMIFS($AU$1388:AU1536,$AC$1388:AC1536,"*")</f>
        <v>4644.3999999999996</v>
      </c>
      <c r="BU1535" s="343">
        <f>SUMIFS($AU$1388:AU1536,$AA$1388:AA1536,"*",$AB$1388:AB1536,"*")</f>
        <v>2495.999999999824</v>
      </c>
      <c r="BV1535" s="343">
        <f>SUMIFS($AU$1388:AU1536,$AA$1388:AA1536,"*",$AC$1388:AC1536,"*")</f>
        <v>4580.3999999999996</v>
      </c>
      <c r="BW1535" s="343">
        <f>SUMIFS($AU$1388:AU1536,$AB$1388:AB1536,"*",$AC$1388:AC1536,"*")</f>
        <v>1919.9999999999995</v>
      </c>
      <c r="BX1535" s="343">
        <f>SUMIFS($AV$1388:AV1536,$Q$1388:Q1536,"F")</f>
        <v>145.15829909221213</v>
      </c>
      <c r="BY1535" s="343">
        <f>SUMIFS($AV$1388:AV1536,$Q$1388:Q1536,"S")</f>
        <v>287.59909454524478</v>
      </c>
      <c r="BZ1535" s="343">
        <f>SUMIFS($AV$1388:AV1536,$Q$1388:Q1536,"O")</f>
        <v>172.73999999992532</v>
      </c>
    </row>
    <row r="1536" spans="1:78" ht="15.75" customHeight="1">
      <c r="A1536" s="177" t="s">
        <v>5180</v>
      </c>
      <c r="B1536" s="200"/>
      <c r="C1536" s="178"/>
      <c r="D1536" s="178"/>
      <c r="E1536" s="227"/>
      <c r="F1536" s="180"/>
      <c r="G1536" s="181"/>
      <c r="H1536" s="182"/>
      <c r="I1536" s="182"/>
      <c r="J1536" s="182"/>
      <c r="K1536" s="183"/>
      <c r="L1536" s="182"/>
      <c r="M1536" s="182"/>
      <c r="N1536" s="182"/>
      <c r="O1536" s="183"/>
      <c r="P1536" s="183"/>
      <c r="Q1536" s="183"/>
      <c r="R1536" s="183"/>
      <c r="S1536" s="183"/>
      <c r="T1536" s="183"/>
      <c r="U1536" s="183"/>
      <c r="V1536" s="183"/>
      <c r="W1536" s="183"/>
      <c r="X1536" s="183"/>
      <c r="Y1536" s="183"/>
      <c r="Z1536" s="183"/>
      <c r="AA1536" s="185"/>
      <c r="AB1536" s="185"/>
      <c r="AC1536" s="185"/>
      <c r="AD1536" s="649"/>
      <c r="AE1536" s="182"/>
      <c r="AF1536" s="332"/>
      <c r="AG1536" s="182"/>
      <c r="AH1536" s="182"/>
      <c r="AI1536" s="182"/>
      <c r="AJ1536" s="640"/>
      <c r="AK1536" s="182"/>
      <c r="AL1536" s="496">
        <f t="shared" si="435"/>
        <v>0</v>
      </c>
      <c r="AM1536" s="496">
        <f t="shared" si="433"/>
        <v>0</v>
      </c>
      <c r="AN1536" s="626"/>
      <c r="AO1536" s="182"/>
      <c r="AP1536" s="182"/>
      <c r="AQ1536" s="332" t="str">
        <f>UPPER(RIGHT(Journal_Live[[#This Row],[DURATION ]]))</f>
        <v/>
      </c>
      <c r="AR1536" s="182"/>
      <c r="AS1536" s="189"/>
      <c r="AT1536" s="189"/>
      <c r="AU1536" s="187"/>
      <c r="AV1536" s="190"/>
      <c r="AW1536" s="191"/>
      <c r="AX1536" s="407" t="s">
        <v>5212</v>
      </c>
      <c r="AY1536" s="407" t="s">
        <v>5213</v>
      </c>
      <c r="AZ1536" s="531" t="s">
        <v>5214</v>
      </c>
      <c r="BA1536" s="531" t="s">
        <v>5215</v>
      </c>
      <c r="BB1536" s="531" t="s">
        <v>5216</v>
      </c>
      <c r="BC1536" s="531"/>
      <c r="BD1536" s="407"/>
      <c r="BE1536" s="407"/>
      <c r="BF1536" s="422"/>
      <c r="BG1536" s="391">
        <f>SUM($AV$1389:AV1536)</f>
        <v>933.49739363739013</v>
      </c>
      <c r="BH1536" s="392">
        <f>SUM($AU$1389:AU1536)</f>
        <v>10395.379999999792</v>
      </c>
      <c r="BI1536" s="318">
        <f>SUMIFS($AU$1388:AU1537,$Q$1388:Q1537,"F")</f>
        <v>5220.4000000000005</v>
      </c>
      <c r="BJ1536" s="318">
        <f>SUMIFS($AU$1388:AU1537,$Q$1388:Q1537,"S")</f>
        <v>4432</v>
      </c>
      <c r="BK1536" s="343">
        <f>SUMIFS($AU$1388:AU1537,$P$1388:P1537,"W")</f>
        <v>7149.5799999999363</v>
      </c>
      <c r="BL1536" s="343">
        <f>SUMIFS($AU$1388:AU1537,$P$1388:P1537,"R")</f>
        <v>2894.0000000000005</v>
      </c>
      <c r="BM1536" s="343">
        <f>SUMIFS($AU$1388:AU1537,$AQ$1388:AQ1537,"M")</f>
        <v>2806.9799999997908</v>
      </c>
      <c r="BN1536" s="343">
        <f>SUMIFS($AU$1388:AU1537,$AQ$1388:AQ1537,"H")</f>
        <v>3887.9999999999986</v>
      </c>
      <c r="BO1536" s="343">
        <f>SUMIFS($AU$1388:AU1537,$AQ$1388:AQ1537,"D")</f>
        <v>2590.0000000000009</v>
      </c>
      <c r="BP1536" s="343">
        <f>SUMIFS($AU$1388:AU1539,$AQ$1388:AQ1539,"W")</f>
        <v>1414.3999999999999</v>
      </c>
      <c r="BQ1536" s="343">
        <f>SUMIFS($AU$1388:AU1537,$Q$1388:Q1537,"O")</f>
        <v>366.97999999978163</v>
      </c>
      <c r="BR1536" s="343">
        <f>SUMIFS($AU$1388:AU1537,$AA$1388:AA1537,"*")</f>
        <v>9956.1999999996824</v>
      </c>
      <c r="BS1536" s="343">
        <f>SUMIFS($AU$1388:AU1537,$AB$1388:AB1537,"*")</f>
        <v>2871.1799999999339</v>
      </c>
      <c r="BT1536" s="343">
        <f>SUMIFS($AU$1388:AU1537,$AC$1388:AC1537,"*")</f>
        <v>4644.3999999999996</v>
      </c>
      <c r="BU1536" s="343">
        <f>SUMIFS($AU$1388:AU1537,$AA$1388:AA1537,"*",$AB$1388:AB1537,"*")</f>
        <v>2495.999999999824</v>
      </c>
      <c r="BV1536" s="343">
        <f>SUMIFS($AU$1388:AU1537,$AA$1388:AA1537,"*",$AC$1388:AC1537,"*")</f>
        <v>4580.3999999999996</v>
      </c>
      <c r="BW1536" s="343">
        <f>SUMIFS($AU$1388:AU1537,$AB$1388:AB1537,"*",$AC$1388:AC1537,"*")</f>
        <v>1919.9999999999995</v>
      </c>
      <c r="BX1536" s="343">
        <f>SUMIFS($AV$1388:AV1537,$Q$1388:Q1537,"F")</f>
        <v>145.15829909221213</v>
      </c>
      <c r="BY1536" s="343">
        <f>SUMIFS($AV$1388:AV1537,$Q$1388:Q1537,"S")</f>
        <v>287.59909454524478</v>
      </c>
      <c r="BZ1536" s="343">
        <f>SUMIFS($AV$1388:AV1537,$Q$1388:Q1537,"O")</f>
        <v>172.73999999992532</v>
      </c>
    </row>
    <row r="1537" spans="1:78" ht="15.75" customHeight="1">
      <c r="A1537" s="177" t="s">
        <v>5180</v>
      </c>
      <c r="B1537" s="200"/>
      <c r="C1537" s="178"/>
      <c r="D1537" s="178"/>
      <c r="E1537" s="227"/>
      <c r="F1537" s="180"/>
      <c r="G1537" s="181"/>
      <c r="H1537" s="182"/>
      <c r="I1537" s="182"/>
      <c r="J1537" s="182"/>
      <c r="K1537" s="183"/>
      <c r="L1537" s="182"/>
      <c r="M1537" s="182"/>
      <c r="N1537" s="182"/>
      <c r="O1537" s="183"/>
      <c r="P1537" s="183"/>
      <c r="Q1537" s="183"/>
      <c r="R1537" s="183"/>
      <c r="S1537" s="183"/>
      <c r="T1537" s="183"/>
      <c r="U1537" s="183"/>
      <c r="V1537" s="183"/>
      <c r="W1537" s="183"/>
      <c r="X1537" s="183"/>
      <c r="Y1537" s="183"/>
      <c r="Z1537" s="183"/>
      <c r="AA1537" s="185"/>
      <c r="AB1537" s="185"/>
      <c r="AC1537" s="185"/>
      <c r="AD1537" s="649"/>
      <c r="AE1537" s="182"/>
      <c r="AF1537" s="332"/>
      <c r="AG1537" s="182"/>
      <c r="AH1537" s="182"/>
      <c r="AI1537" s="182"/>
      <c r="AJ1537" s="640"/>
      <c r="AK1537" s="182"/>
      <c r="AL1537" s="496">
        <f t="shared" si="435"/>
        <v>0</v>
      </c>
      <c r="AM1537" s="496">
        <f t="shared" si="433"/>
        <v>0</v>
      </c>
      <c r="AN1537" s="626"/>
      <c r="AO1537" s="182"/>
      <c r="AP1537" s="182"/>
      <c r="AQ1537" s="332" t="str">
        <f>UPPER(RIGHT(Journal_Live[[#This Row],[DURATION ]]))</f>
        <v/>
      </c>
      <c r="AR1537" s="182"/>
      <c r="AS1537" s="189"/>
      <c r="AT1537" s="189"/>
      <c r="AU1537" s="187"/>
      <c r="AV1537" s="190"/>
      <c r="AW1537" s="191"/>
      <c r="AX1537" s="407" t="s">
        <v>5217</v>
      </c>
      <c r="AY1537" s="407" t="s">
        <v>5218</v>
      </c>
      <c r="AZ1537" s="531" t="s">
        <v>5219</v>
      </c>
      <c r="BA1537" s="531" t="s">
        <v>5220</v>
      </c>
      <c r="BB1537" s="531"/>
      <c r="BC1537" s="531"/>
      <c r="BD1537" s="417" t="s">
        <v>5221</v>
      </c>
      <c r="BE1537" s="407"/>
      <c r="BF1537" s="422"/>
      <c r="BG1537" s="391">
        <f>SUM($AV$1389:AV1537)</f>
        <v>933.49739363739013</v>
      </c>
      <c r="BH1537" s="392">
        <f>SUM($AU$1389:AU1537)</f>
        <v>10395.379999999792</v>
      </c>
      <c r="BI1537" s="318">
        <f>SUMIFS($AU$1388:AU1538,$Q$1388:Q1538,"F")</f>
        <v>5220.4000000000005</v>
      </c>
      <c r="BJ1537" s="318">
        <f>SUMIFS($AU$1388:AU1538,$Q$1388:Q1538,"S")</f>
        <v>4432</v>
      </c>
      <c r="BK1537" s="343">
        <f>SUMIFS($AU$1388:AU1538,$P$1388:P1538,"W")</f>
        <v>7149.5799999999363</v>
      </c>
      <c r="BL1537" s="343">
        <f>SUMIFS($AU$1388:AU1538,$P$1388:P1538,"R")</f>
        <v>2894.0000000000005</v>
      </c>
      <c r="BM1537" s="343">
        <f>SUMIFS($AU$1388:AU1538,$AQ$1388:AQ1538,"M")</f>
        <v>2806.9799999997908</v>
      </c>
      <c r="BN1537" s="343">
        <f>SUMIFS($AU$1388:AU1538,$AQ$1388:AQ1538,"H")</f>
        <v>3887.9999999999986</v>
      </c>
      <c r="BO1537" s="343">
        <f>SUMIFS($AU$1388:AU1538,$AQ$1388:AQ1538,"D")</f>
        <v>2590.0000000000009</v>
      </c>
      <c r="BP1537" s="343">
        <f>SUMIFS($AU$1388:AU1540,$AQ$1388:AQ1540,"W")</f>
        <v>1414.3999999999999</v>
      </c>
      <c r="BQ1537" s="343">
        <f>SUMIFS($AU$1388:AU1538,$Q$1388:Q1538,"O")</f>
        <v>366.97999999978163</v>
      </c>
      <c r="BR1537" s="343">
        <f>SUMIFS($AU$1388:AU1538,$AA$1388:AA1538,"*")</f>
        <v>9956.1999999996824</v>
      </c>
      <c r="BS1537" s="343">
        <f>SUMIFS($AU$1388:AU1538,$AB$1388:AB1538,"*")</f>
        <v>2871.1799999999339</v>
      </c>
      <c r="BT1537" s="343">
        <f>SUMIFS($AU$1388:AU1538,$AC$1388:AC1538,"*")</f>
        <v>4644.3999999999996</v>
      </c>
      <c r="BU1537" s="343">
        <f>SUMIFS($AU$1388:AU1538,$AA$1388:AA1538,"*",$AB$1388:AB1538,"*")</f>
        <v>2495.999999999824</v>
      </c>
      <c r="BV1537" s="343">
        <f>SUMIFS($AU$1388:AU1538,$AA$1388:AA1538,"*",$AC$1388:AC1538,"*")</f>
        <v>4580.3999999999996</v>
      </c>
      <c r="BW1537" s="343">
        <f>SUMIFS($AU$1388:AU1538,$AB$1388:AB1538,"*",$AC$1388:AC1538,"*")</f>
        <v>1919.9999999999995</v>
      </c>
      <c r="BX1537" s="343">
        <f>SUMIFS($AV$1388:AV1538,$Q$1388:Q1538,"F")</f>
        <v>145.15829909221213</v>
      </c>
      <c r="BY1537" s="343">
        <f>SUMIFS($AV$1388:AV1538,$Q$1388:Q1538,"S")</f>
        <v>287.59909454524478</v>
      </c>
      <c r="BZ1537" s="343">
        <f>SUMIFS($AV$1388:AV1538,$Q$1388:Q1538,"O")</f>
        <v>172.73999999992532</v>
      </c>
    </row>
    <row r="1538" spans="1:78" ht="15.75" customHeight="1">
      <c r="A1538" s="177" t="s">
        <v>5180</v>
      </c>
      <c r="B1538" s="200">
        <v>45324</v>
      </c>
      <c r="C1538" s="178" t="s">
        <v>1437</v>
      </c>
      <c r="D1538" s="178" t="s">
        <v>111</v>
      </c>
      <c r="E1538" s="227" t="s">
        <v>5222</v>
      </c>
      <c r="F1538" s="180"/>
      <c r="G1538" s="181"/>
      <c r="H1538" s="182"/>
      <c r="I1538" s="182"/>
      <c r="J1538" s="182">
        <v>1</v>
      </c>
      <c r="K1538" s="183" t="s">
        <v>115</v>
      </c>
      <c r="L1538" s="182"/>
      <c r="M1538" s="182"/>
      <c r="N1538" s="182"/>
      <c r="O1538" s="183"/>
      <c r="P1538" s="183"/>
      <c r="Q1538" s="183"/>
      <c r="R1538" s="183"/>
      <c r="S1538" s="183"/>
      <c r="T1538" s="183"/>
      <c r="U1538" s="183"/>
      <c r="V1538" s="183"/>
      <c r="W1538" s="183"/>
      <c r="X1538" s="183"/>
      <c r="Y1538" s="183"/>
      <c r="Z1538" s="183"/>
      <c r="AA1538" s="185"/>
      <c r="AB1538" s="185"/>
      <c r="AC1538" s="185"/>
      <c r="AD1538" s="649"/>
      <c r="AE1538" s="182"/>
      <c r="AF1538" s="332"/>
      <c r="AG1538" s="182"/>
      <c r="AH1538" s="182"/>
      <c r="AI1538" s="182"/>
      <c r="AJ1538" s="640"/>
      <c r="AK1538" s="182"/>
      <c r="AL1538" s="496">
        <f t="shared" si="435"/>
        <v>0</v>
      </c>
      <c r="AM1538" s="496">
        <f t="shared" si="433"/>
        <v>0</v>
      </c>
      <c r="AN1538" s="626"/>
      <c r="AO1538" s="182"/>
      <c r="AP1538" s="182"/>
      <c r="AQ1538" s="332" t="str">
        <f>UPPER(RIGHT(Journal_Live[[#This Row],[DURATION ]]))</f>
        <v/>
      </c>
      <c r="AR1538" s="182"/>
      <c r="AS1538" s="189"/>
      <c r="AT1538" s="189"/>
      <c r="AU1538" s="187"/>
      <c r="AV1538" s="190"/>
      <c r="AW1538" s="191"/>
      <c r="AX1538" s="407"/>
      <c r="AY1538" s="407"/>
      <c r="AZ1538" s="531"/>
      <c r="BA1538" s="531"/>
      <c r="BB1538" s="531"/>
      <c r="BC1538" s="531"/>
      <c r="BD1538" s="407"/>
      <c r="BE1538" s="407"/>
      <c r="BF1538" s="422"/>
      <c r="BG1538" s="391">
        <f>SUM($AV$1389:AV1538)</f>
        <v>933.49739363739013</v>
      </c>
      <c r="BH1538" s="392">
        <f>SUM($AU$1389:AU1538)</f>
        <v>10395.379999999792</v>
      </c>
      <c r="BI1538" s="318">
        <f>SUMIFS($AU$1388:AU1539,$Q$1388:Q1539,"F")</f>
        <v>5220.4000000000005</v>
      </c>
      <c r="BJ1538" s="318">
        <f>SUMIFS($AU$1388:AU1539,$Q$1388:Q1539,"S")</f>
        <v>4944</v>
      </c>
      <c r="BK1538" s="343">
        <f>SUMIFS($AU$1388:AU1539,$P$1388:P1539,"W")</f>
        <v>7661.5799999999363</v>
      </c>
      <c r="BL1538" s="343">
        <f>SUMIFS($AU$1388:AU1539,$P$1388:P1539,"R")</f>
        <v>2894.0000000000005</v>
      </c>
      <c r="BM1538" s="343">
        <f>SUMIFS($AU$1388:AU1539,$AQ$1388:AQ1539,"M")</f>
        <v>2806.9799999997908</v>
      </c>
      <c r="BN1538" s="343">
        <f>SUMIFS($AU$1388:AU1539,$AQ$1388:AQ1539,"H")</f>
        <v>4399.9999999999982</v>
      </c>
      <c r="BO1538" s="343">
        <f>SUMIFS($AU$1388:AU1539,$AQ$1388:AQ1539,"D")</f>
        <v>2590.0000000000009</v>
      </c>
      <c r="BP1538" s="343">
        <f>SUMIFS($AU$1388:AU1541,$AQ$1388:AQ1541,"W")</f>
        <v>1414.3999999999999</v>
      </c>
      <c r="BQ1538" s="343">
        <f>SUMIFS($AU$1388:AU1539,$Q$1388:Q1539,"O")</f>
        <v>366.97999999978163</v>
      </c>
      <c r="BR1538" s="343">
        <f>SUMIFS($AU$1388:AU1539,$AA$1388:AA1539,"*")</f>
        <v>9956.1999999996824</v>
      </c>
      <c r="BS1538" s="343">
        <f>SUMIFS($AU$1388:AU1539,$AB$1388:AB1539,"*")</f>
        <v>3383.1799999999339</v>
      </c>
      <c r="BT1538" s="343">
        <f>SUMIFS($AU$1388:AU1539,$AC$1388:AC1539,"*")</f>
        <v>4644.3999999999996</v>
      </c>
      <c r="BU1538" s="343">
        <f>SUMIFS($AU$1388:AU1539,$AA$1388:AA1539,"*",$AB$1388:AB1539,"*")</f>
        <v>2495.999999999824</v>
      </c>
      <c r="BV1538" s="343">
        <f>SUMIFS($AU$1388:AU1539,$AA$1388:AA1539,"*",$AC$1388:AC1539,"*")</f>
        <v>4580.3999999999996</v>
      </c>
      <c r="BW1538" s="343">
        <f>SUMIFS($AU$1388:AU1539,$AB$1388:AB1539,"*",$AC$1388:AC1539,"*")</f>
        <v>1919.9999999999995</v>
      </c>
      <c r="BX1538" s="343">
        <f>SUMIFS($AV$1388:AV1539,$Q$1388:Q1539,"F")</f>
        <v>145.15829909221213</v>
      </c>
      <c r="BY1538" s="343">
        <f>SUMIFS($AV$1388:AV1539,$Q$1388:Q1539,"S")</f>
        <v>308.9324278785781</v>
      </c>
      <c r="BZ1538" s="343">
        <f>SUMIFS($AV$1388:AV1539,$Q$1388:Q1539,"O")</f>
        <v>172.73999999992532</v>
      </c>
    </row>
    <row r="1539" spans="1:78" ht="15.75" customHeight="1">
      <c r="A1539" s="177" t="s">
        <v>5180</v>
      </c>
      <c r="B1539" s="200">
        <v>45324</v>
      </c>
      <c r="C1539" s="178" t="s">
        <v>2126</v>
      </c>
      <c r="D1539" s="178" t="s">
        <v>111</v>
      </c>
      <c r="E1539" s="227"/>
      <c r="F1539" s="180"/>
      <c r="G1539" s="484" t="s">
        <v>181</v>
      </c>
      <c r="H1539" s="182"/>
      <c r="I1539" s="182"/>
      <c r="J1539" s="182"/>
      <c r="K1539" s="183"/>
      <c r="L1539" s="182">
        <v>1</v>
      </c>
      <c r="M1539" s="182">
        <v>1</v>
      </c>
      <c r="N1539" s="182"/>
      <c r="O1539" s="183" t="s">
        <v>95</v>
      </c>
      <c r="P1539" s="183" t="s">
        <v>96</v>
      </c>
      <c r="Q1539" s="183" t="s">
        <v>97</v>
      </c>
      <c r="R1539" s="183">
        <v>24</v>
      </c>
      <c r="S1539" s="183">
        <v>0</v>
      </c>
      <c r="T1539" s="183">
        <v>24</v>
      </c>
      <c r="U1539" s="183" t="s">
        <v>22</v>
      </c>
      <c r="V1539" s="183"/>
      <c r="W1539" s="183"/>
      <c r="X1539" s="183"/>
      <c r="Y1539" s="184">
        <f>IF(ISBLANK(O1539),"",(IF(O1539=UPPER("IB"),0.005,0.01)))</f>
        <v>0.01</v>
      </c>
      <c r="Z1539" s="185">
        <f>IF(ISBLANK(O1539),"",IF(O1539="IB",8.63*200,IF(O1539="IR",16*100,IF(O1539="YT",20*100,IF(O1539="YT-XT",24*200,IF(O1539="TED",80*100))))))</f>
        <v>1600</v>
      </c>
      <c r="AA1539" s="185"/>
      <c r="AB1539" s="409" t="s">
        <v>5223</v>
      </c>
      <c r="AC1539" s="185"/>
      <c r="AD1539" s="649">
        <v>-0.14000000000000001</v>
      </c>
      <c r="AE1539" s="182"/>
      <c r="AF1539" s="332"/>
      <c r="AG1539" s="182"/>
      <c r="AH1539" s="182"/>
      <c r="AI1539" s="182"/>
      <c r="AJ1539" s="640"/>
      <c r="AK1539" s="182"/>
      <c r="AL1539" s="496">
        <f t="shared" si="435"/>
        <v>-32</v>
      </c>
      <c r="AM1539" s="496">
        <f t="shared" si="433"/>
        <v>-768</v>
      </c>
      <c r="AN1539" s="626"/>
      <c r="AO1539" s="182"/>
      <c r="AP1539" s="182" t="s">
        <v>2150</v>
      </c>
      <c r="AQ1539" s="332" t="s">
        <v>372</v>
      </c>
      <c r="AR1539" s="182" t="s">
        <v>682</v>
      </c>
      <c r="AS1539" s="189">
        <f>((-0.13*8)+(-0.12*8)+(-0.13*8))/24</f>
        <v>-0.12666666666666668</v>
      </c>
      <c r="AT1539" s="189">
        <f>IF(ISBLANK(AS1539),,IF(U1539="S",AD1539-AS1539,AS1539-AD1539))</f>
        <v>1.3333333333333336E-2</v>
      </c>
      <c r="AU1539" s="187">
        <f>AV1539*R1539</f>
        <v>512</v>
      </c>
      <c r="AV1539" s="190">
        <f>IF(ISBLANK(AS1539),,(AT1539*Z1539))</f>
        <v>21.333333333333336</v>
      </c>
      <c r="AW1539" s="191" t="s">
        <v>96</v>
      </c>
      <c r="AX1539" s="407"/>
      <c r="AY1539" s="407"/>
      <c r="AZ1539" s="407"/>
      <c r="BA1539" s="407"/>
      <c r="BB1539" s="407"/>
      <c r="BC1539" s="407"/>
      <c r="BD1539" s="407"/>
      <c r="BE1539" s="407"/>
      <c r="BF1539" s="422"/>
      <c r="BG1539" s="391">
        <f>SUM($AV$1389:AV1539)</f>
        <v>954.8307269707235</v>
      </c>
      <c r="BH1539" s="392">
        <f>SUM($AU$1389:AU1539)</f>
        <v>10907.379999999792</v>
      </c>
      <c r="BI1539" s="318">
        <f>SUMIFS($AU$1388:AU1540,$Q$1388:Q1540,"F")</f>
        <v>5220.4000000000005</v>
      </c>
      <c r="BJ1539" s="318">
        <f>SUMIFS($AU$1388:AU1540,$Q$1388:Q1540,"S")</f>
        <v>5807.9999999999991</v>
      </c>
      <c r="BK1539" s="343">
        <f>SUMIFS($AU$1388:AU1540,$P$1388:P1540,"W")</f>
        <v>8525.5799999999363</v>
      </c>
      <c r="BL1539" s="343">
        <f>SUMIFS($AU$1388:AU1540,$P$1388:P1540,"R")</f>
        <v>2894.0000000000005</v>
      </c>
      <c r="BM1539" s="343">
        <f>SUMIFS($AU$1388:AU1540,$AQ$1388:AQ1540,"M")</f>
        <v>2806.9799999997908</v>
      </c>
      <c r="BN1539" s="343">
        <f>SUMIFS($AU$1388:AU1540,$AQ$1388:AQ1540,"H")</f>
        <v>5263.9999999999973</v>
      </c>
      <c r="BO1539" s="343">
        <f>SUMIFS($AU$1388:AU1540,$AQ$1388:AQ1540,"D")</f>
        <v>2590.0000000000009</v>
      </c>
      <c r="BP1539" s="343">
        <f>SUMIFS($AU$1388:AU1542,$AQ$1388:AQ1542,"W")</f>
        <v>1414.3999999999999</v>
      </c>
      <c r="BQ1539" s="343">
        <f>SUMIFS($AU$1388:AU1540,$Q$1388:Q1540,"O")</f>
        <v>366.97999999978163</v>
      </c>
      <c r="BR1539" s="343">
        <f>SUMIFS($AU$1388:AU1540,$AA$1388:AA1540,"*")</f>
        <v>9956.1999999996824</v>
      </c>
      <c r="BS1539" s="343">
        <f>SUMIFS($AU$1388:AU1540,$AB$1388:AB1540,"*")</f>
        <v>4247.179999999933</v>
      </c>
      <c r="BT1539" s="343">
        <f>SUMIFS($AU$1388:AU1540,$AC$1388:AC1540,"*")</f>
        <v>4644.3999999999996</v>
      </c>
      <c r="BU1539" s="343">
        <f>SUMIFS($AU$1388:AU1540,$AA$1388:AA1540,"*",$AB$1388:AB1540,"*")</f>
        <v>2495.999999999824</v>
      </c>
      <c r="BV1539" s="343">
        <f>SUMIFS($AU$1388:AU1540,$AA$1388:AA1540,"*",$AC$1388:AC1540,"*")</f>
        <v>4580.3999999999996</v>
      </c>
      <c r="BW1539" s="343">
        <f>SUMIFS($AU$1388:AU1540,$AB$1388:AB1540,"*",$AC$1388:AC1540,"*")</f>
        <v>1919.9999999999995</v>
      </c>
      <c r="BX1539" s="343">
        <f>SUMIFS($AV$1388:AV1540,$Q$1388:Q1540,"F")</f>
        <v>145.15829909221213</v>
      </c>
      <c r="BY1539" s="343">
        <f>SUMIFS($AV$1388:AV1540,$Q$1388:Q1540,"S")</f>
        <v>332.9324278785781</v>
      </c>
      <c r="BZ1539" s="343">
        <f>SUMIFS($AV$1388:AV1540,$Q$1388:Q1540,"O")</f>
        <v>172.73999999992532</v>
      </c>
    </row>
    <row r="1540" spans="1:78" ht="15.75" customHeight="1">
      <c r="A1540" s="177" t="s">
        <v>5180</v>
      </c>
      <c r="B1540" s="200">
        <v>45324</v>
      </c>
      <c r="C1540" s="178" t="s">
        <v>5224</v>
      </c>
      <c r="D1540" s="178" t="s">
        <v>111</v>
      </c>
      <c r="E1540" s="227"/>
      <c r="F1540" s="180"/>
      <c r="G1540" s="484" t="s">
        <v>136</v>
      </c>
      <c r="H1540" s="182"/>
      <c r="I1540" s="182"/>
      <c r="J1540" s="182"/>
      <c r="K1540" s="183"/>
      <c r="L1540" s="182">
        <v>1</v>
      </c>
      <c r="M1540" s="182">
        <v>1</v>
      </c>
      <c r="N1540" s="182"/>
      <c r="O1540" s="183" t="s">
        <v>95</v>
      </c>
      <c r="P1540" s="183" t="s">
        <v>96</v>
      </c>
      <c r="Q1540" s="183" t="s">
        <v>97</v>
      </c>
      <c r="R1540" s="183">
        <v>36</v>
      </c>
      <c r="S1540" s="183">
        <v>0</v>
      </c>
      <c r="T1540" s="183">
        <v>18</v>
      </c>
      <c r="U1540" s="183" t="s">
        <v>22</v>
      </c>
      <c r="V1540" s="183"/>
      <c r="W1540" s="183"/>
      <c r="X1540" s="183"/>
      <c r="Y1540" s="184">
        <f>IF(ISBLANK(O1540),"",(IF(O1540=UPPER("IB"),0.005,0.01)))</f>
        <v>0.01</v>
      </c>
      <c r="Z1540" s="185">
        <f>IF(ISBLANK(O1540),"",IF(O1540="IB",8.63*200,IF(O1540="IR",16*100,IF(O1540="YT",20*100,IF(O1540="YT-XT",24*200,IF(O1540="TED",80*100))))))</f>
        <v>1600</v>
      </c>
      <c r="AA1540" s="185"/>
      <c r="AB1540" s="185" t="s">
        <v>5225</v>
      </c>
      <c r="AC1540" s="185"/>
      <c r="AD1540" s="649">
        <v>-0.18</v>
      </c>
      <c r="AE1540" s="182"/>
      <c r="AF1540" s="332"/>
      <c r="AG1540" s="182"/>
      <c r="AH1540" s="182"/>
      <c r="AI1540" s="182"/>
      <c r="AJ1540" s="640"/>
      <c r="AK1540" s="182"/>
      <c r="AL1540" s="496">
        <f t="shared" si="435"/>
        <v>-32</v>
      </c>
      <c r="AM1540" s="496">
        <f t="shared" si="433"/>
        <v>-1152</v>
      </c>
      <c r="AN1540" s="626"/>
      <c r="AO1540" s="182"/>
      <c r="AP1540" s="182" t="s">
        <v>2150</v>
      </c>
      <c r="AQ1540" s="332" t="s">
        <v>372</v>
      </c>
      <c r="AR1540" s="182" t="s">
        <v>682</v>
      </c>
      <c r="AS1540" s="189">
        <f>((-0.16)+(-0.17))/2</f>
        <v>-0.16500000000000001</v>
      </c>
      <c r="AT1540" s="189">
        <f>IF(ISBLANK(AS1540),,IF(U1540="S",AD1540-AS1540,AS1540-AD1540))</f>
        <v>1.4999999999999986E-2</v>
      </c>
      <c r="AU1540" s="187">
        <f>AV1540*R1540</f>
        <v>863.9999999999992</v>
      </c>
      <c r="AV1540" s="190">
        <f>IF(ISBLANK(AS1540),,(AT1540*Z1540))</f>
        <v>23.999999999999979</v>
      </c>
      <c r="AW1540" s="191" t="s">
        <v>96</v>
      </c>
      <c r="AX1540" s="407"/>
      <c r="AY1540" s="407"/>
      <c r="AZ1540" s="407"/>
      <c r="BA1540" s="407"/>
      <c r="BB1540" s="407"/>
      <c r="BC1540" s="407"/>
      <c r="BD1540" s="407"/>
      <c r="BE1540" s="407"/>
      <c r="BF1540" s="422"/>
      <c r="BG1540" s="391">
        <f>SUM($AV$1389:AV1540)</f>
        <v>978.8307269707235</v>
      </c>
      <c r="BH1540" s="392">
        <f>SUM($AU$1389:AU1540)</f>
        <v>11771.379999999792</v>
      </c>
      <c r="BI1540" s="318">
        <f>SUMIFS($AU$1388:AU1541,$Q$1388:Q1541,"F")</f>
        <v>5220.4000000000005</v>
      </c>
      <c r="BJ1540" s="318">
        <f>SUMIFS($AU$1388:AU1541,$Q$1388:Q1541,"S")</f>
        <v>5807.9999999999991</v>
      </c>
      <c r="BK1540" s="343">
        <f>SUMIFS($AU$1388:AU1541,$P$1388:P1541,"W")</f>
        <v>8525.5799999999363</v>
      </c>
      <c r="BL1540" s="343">
        <f>SUMIFS($AU$1388:AU1541,$P$1388:P1541,"R")</f>
        <v>2894.0000000000005</v>
      </c>
      <c r="BM1540" s="343">
        <f>SUMIFS($AU$1388:AU1541,$AQ$1388:AQ1541,"M")</f>
        <v>2806.9799999997908</v>
      </c>
      <c r="BN1540" s="343">
        <f>SUMIFS($AU$1388:AU1541,$AQ$1388:AQ1541,"H")</f>
        <v>5263.9999999999973</v>
      </c>
      <c r="BO1540" s="343">
        <f>SUMIFS($AU$1388:AU1541,$AQ$1388:AQ1541,"D")</f>
        <v>2590.0000000000009</v>
      </c>
      <c r="BP1540" s="343">
        <f>SUMIFS($AU$1388:AU1543,$AQ$1388:AQ1543,"W")</f>
        <v>1414.3999999999999</v>
      </c>
      <c r="BQ1540" s="343">
        <f>SUMIFS($AU$1388:AU1541,$Q$1388:Q1541,"O")</f>
        <v>366.97999999978163</v>
      </c>
      <c r="BR1540" s="343">
        <f>SUMIFS($AU$1388:AU1541,$AA$1388:AA1541,"*")</f>
        <v>9956.1999999996824</v>
      </c>
      <c r="BS1540" s="343">
        <f>SUMIFS($AU$1388:AU1541,$AB$1388:AB1541,"*")</f>
        <v>4247.179999999933</v>
      </c>
      <c r="BT1540" s="343">
        <f>SUMIFS($AU$1388:AU1541,$AC$1388:AC1541,"*")</f>
        <v>4644.3999999999996</v>
      </c>
      <c r="BU1540" s="343">
        <f>SUMIFS($AU$1388:AU1541,$AA$1388:AA1541,"*",$AB$1388:AB1541,"*")</f>
        <v>2495.999999999824</v>
      </c>
      <c r="BV1540" s="343">
        <f>SUMIFS($AU$1388:AU1541,$AA$1388:AA1541,"*",$AC$1388:AC1541,"*")</f>
        <v>4580.3999999999996</v>
      </c>
      <c r="BW1540" s="343">
        <f>SUMIFS($AU$1388:AU1541,$AB$1388:AB1541,"*",$AC$1388:AC1541,"*")</f>
        <v>1919.9999999999995</v>
      </c>
      <c r="BX1540" s="343">
        <f>SUMIFS($AV$1388:AV1541,$Q$1388:Q1541,"F")</f>
        <v>145.15829909221213</v>
      </c>
      <c r="BY1540" s="343">
        <f>SUMIFS($AV$1388:AV1541,$Q$1388:Q1541,"S")</f>
        <v>332.9324278785781</v>
      </c>
      <c r="BZ1540" s="343">
        <f>SUMIFS($AV$1388:AV1541,$Q$1388:Q1541,"O")</f>
        <v>172.73999999992532</v>
      </c>
    </row>
    <row r="1541" spans="1:78" ht="15.75" customHeight="1">
      <c r="A1541" s="177" t="s">
        <v>5180</v>
      </c>
      <c r="B1541" s="200">
        <v>45324</v>
      </c>
      <c r="C1541" s="178" t="s">
        <v>1344</v>
      </c>
      <c r="D1541" s="178" t="s">
        <v>111</v>
      </c>
      <c r="E1541" s="227" t="s">
        <v>5226</v>
      </c>
      <c r="F1541" s="180" t="s">
        <v>5227</v>
      </c>
      <c r="G1541" s="181"/>
      <c r="H1541" s="182">
        <v>1</v>
      </c>
      <c r="I1541" s="182"/>
      <c r="J1541" s="182"/>
      <c r="K1541" s="183" t="s">
        <v>372</v>
      </c>
      <c r="L1541" s="182"/>
      <c r="M1541" s="182"/>
      <c r="N1541" s="182"/>
      <c r="O1541" s="183"/>
      <c r="P1541" s="183"/>
      <c r="Q1541" s="183"/>
      <c r="R1541" s="183"/>
      <c r="S1541" s="183"/>
      <c r="T1541" s="183"/>
      <c r="U1541" s="183"/>
      <c r="V1541" s="183"/>
      <c r="W1541" s="183"/>
      <c r="X1541" s="183"/>
      <c r="Y1541" s="183"/>
      <c r="Z1541" s="183"/>
      <c r="AA1541" s="185"/>
      <c r="AB1541" s="185"/>
      <c r="AC1541" s="185"/>
      <c r="AD1541" s="649"/>
      <c r="AE1541" s="182"/>
      <c r="AF1541" s="332"/>
      <c r="AG1541" s="182"/>
      <c r="AH1541" s="182"/>
      <c r="AI1541" s="182"/>
      <c r="AJ1541" s="640"/>
      <c r="AK1541" s="182"/>
      <c r="AL1541" s="496">
        <f t="shared" ref="AL1541:AL1544" si="436">-0.02*Z1541</f>
        <v>0</v>
      </c>
      <c r="AM1541" s="496">
        <f t="shared" si="433"/>
        <v>0</v>
      </c>
      <c r="AN1541" s="626"/>
      <c r="AO1541" s="182"/>
      <c r="AP1541" s="182"/>
      <c r="AQ1541" s="332" t="str">
        <f>UPPER(RIGHT(Journal_Live[[#This Row],[DURATION ]]))</f>
        <v/>
      </c>
      <c r="AR1541" s="182"/>
      <c r="AS1541" s="189"/>
      <c r="AT1541" s="189"/>
      <c r="AU1541" s="187"/>
      <c r="AV1541" s="190"/>
      <c r="AW1541" s="191"/>
      <c r="AX1541" s="407"/>
      <c r="AY1541" s="407"/>
      <c r="AZ1541" s="407"/>
      <c r="BA1541" s="407"/>
      <c r="BB1541" s="407"/>
      <c r="BC1541" s="407"/>
      <c r="BD1541" s="407"/>
      <c r="BE1541" s="407"/>
      <c r="BF1541" s="422"/>
      <c r="BG1541" s="391">
        <f>SUM($AV$1389:AV1541)</f>
        <v>978.8307269707235</v>
      </c>
      <c r="BH1541" s="392">
        <f>SUM($AU$1389:AU1541)</f>
        <v>11771.379999999792</v>
      </c>
      <c r="BI1541" s="318">
        <f>SUMIFS($AU$1388:AU1542,$Q$1388:Q1542,"F")</f>
        <v>5220.4000000000005</v>
      </c>
      <c r="BJ1541" s="318">
        <f>SUMIFS($AU$1388:AU1542,$Q$1388:Q1542,"S")</f>
        <v>5807.9999999999991</v>
      </c>
      <c r="BK1541" s="343">
        <f>SUMIFS($AU$1388:AU1542,$P$1388:P1542,"W")</f>
        <v>8525.5799999999363</v>
      </c>
      <c r="BL1541" s="343">
        <f>SUMIFS($AU$1388:AU1542,$P$1388:P1542,"R")</f>
        <v>2894.0000000000005</v>
      </c>
      <c r="BM1541" s="343">
        <f>SUMIFS($AU$1388:AU1542,$AQ$1388:AQ1542,"M")</f>
        <v>2806.9799999997908</v>
      </c>
      <c r="BN1541" s="343">
        <f>SUMIFS($AU$1388:AU1542,$AQ$1388:AQ1542,"H")</f>
        <v>5263.9999999999973</v>
      </c>
      <c r="BO1541" s="343">
        <f>SUMIFS($AU$1388:AU1542,$AQ$1388:AQ1542,"D")</f>
        <v>2590.0000000000009</v>
      </c>
      <c r="BP1541" s="343">
        <f>SUMIFS($AU$1388:AU1544,$AQ$1388:AQ1544,"W")</f>
        <v>1414.3999999999999</v>
      </c>
      <c r="BQ1541" s="343">
        <f>SUMIFS($AU$1388:AU1542,$Q$1388:Q1542,"O")</f>
        <v>366.97999999978163</v>
      </c>
      <c r="BR1541" s="343">
        <f>SUMIFS($AU$1388:AU1542,$AA$1388:AA1542,"*")</f>
        <v>9956.1999999996824</v>
      </c>
      <c r="BS1541" s="343">
        <f>SUMIFS($AU$1388:AU1542,$AB$1388:AB1542,"*")</f>
        <v>4247.179999999933</v>
      </c>
      <c r="BT1541" s="343">
        <f>SUMIFS($AU$1388:AU1542,$AC$1388:AC1542,"*")</f>
        <v>4644.3999999999996</v>
      </c>
      <c r="BU1541" s="343">
        <f>SUMIFS($AU$1388:AU1542,$AA$1388:AA1542,"*",$AB$1388:AB1542,"*")</f>
        <v>2495.999999999824</v>
      </c>
      <c r="BV1541" s="343">
        <f>SUMIFS($AU$1388:AU1542,$AA$1388:AA1542,"*",$AC$1388:AC1542,"*")</f>
        <v>4580.3999999999996</v>
      </c>
      <c r="BW1541" s="343">
        <f>SUMIFS($AU$1388:AU1542,$AB$1388:AB1542,"*",$AC$1388:AC1542,"*")</f>
        <v>1919.9999999999995</v>
      </c>
      <c r="BX1541" s="343">
        <f>SUMIFS($AV$1388:AV1542,$Q$1388:Q1542,"F")</f>
        <v>145.15829909221213</v>
      </c>
      <c r="BY1541" s="343">
        <f>SUMIFS($AV$1388:AV1542,$Q$1388:Q1542,"S")</f>
        <v>332.9324278785781</v>
      </c>
      <c r="BZ1541" s="343">
        <f>SUMIFS($AV$1388:AV1542,$Q$1388:Q1542,"O")</f>
        <v>172.73999999992532</v>
      </c>
    </row>
    <row r="1542" spans="1:78" ht="15.75" customHeight="1">
      <c r="A1542" s="177" t="s">
        <v>5180</v>
      </c>
      <c r="B1542" s="200"/>
      <c r="C1542" s="178"/>
      <c r="D1542" s="178"/>
      <c r="E1542" s="227" t="s">
        <v>5228</v>
      </c>
      <c r="F1542" s="180" t="s">
        <v>5229</v>
      </c>
      <c r="G1542" s="181"/>
      <c r="H1542" s="182">
        <v>1</v>
      </c>
      <c r="I1542" s="182"/>
      <c r="J1542" s="182"/>
      <c r="K1542" s="183" t="s">
        <v>372</v>
      </c>
      <c r="L1542" s="182"/>
      <c r="M1542" s="182"/>
      <c r="N1542" s="182"/>
      <c r="O1542" s="183"/>
      <c r="P1542" s="183"/>
      <c r="Q1542" s="183"/>
      <c r="R1542" s="183"/>
      <c r="S1542" s="183"/>
      <c r="T1542" s="183"/>
      <c r="U1542" s="183"/>
      <c r="V1542" s="183"/>
      <c r="W1542" s="183"/>
      <c r="X1542" s="183"/>
      <c r="Y1542" s="183"/>
      <c r="Z1542" s="183"/>
      <c r="AA1542" s="185"/>
      <c r="AB1542" s="185"/>
      <c r="AC1542" s="185"/>
      <c r="AD1542" s="649"/>
      <c r="AE1542" s="182"/>
      <c r="AF1542" s="332"/>
      <c r="AG1542" s="182"/>
      <c r="AH1542" s="182"/>
      <c r="AI1542" s="182"/>
      <c r="AJ1542" s="640"/>
      <c r="AK1542" s="182"/>
      <c r="AL1542" s="496">
        <f t="shared" si="436"/>
        <v>0</v>
      </c>
      <c r="AM1542" s="496">
        <f t="shared" si="433"/>
        <v>0</v>
      </c>
      <c r="AN1542" s="626"/>
      <c r="AO1542" s="182"/>
      <c r="AP1542" s="182"/>
      <c r="AQ1542" s="332" t="str">
        <f>UPPER(RIGHT(Journal_Live[[#This Row],[DURATION ]]))</f>
        <v/>
      </c>
      <c r="AR1542" s="182"/>
      <c r="AS1542" s="189"/>
      <c r="AT1542" s="189"/>
      <c r="AU1542" s="187"/>
      <c r="AV1542" s="190"/>
      <c r="AW1542" s="191"/>
      <c r="AX1542" s="407"/>
      <c r="AY1542" s="407"/>
      <c r="AZ1542" s="407"/>
      <c r="BA1542" s="407"/>
      <c r="BB1542" s="407"/>
      <c r="BC1542" s="407"/>
      <c r="BD1542" s="407"/>
      <c r="BE1542" s="407"/>
      <c r="BF1542" s="422"/>
      <c r="BG1542" s="391">
        <f>SUM($AV$1389:AV1542)</f>
        <v>978.8307269707235</v>
      </c>
      <c r="BH1542" s="392">
        <f>SUM($AU$1389:AU1542)</f>
        <v>11771.379999999792</v>
      </c>
      <c r="BI1542" s="318">
        <f>SUMIFS($AU$1388:AU1543,$Q$1388:Q1543,"F")</f>
        <v>5220.4000000000005</v>
      </c>
      <c r="BJ1542" s="318">
        <f>SUMIFS($AU$1388:AU1543,$Q$1388:Q1543,"S")</f>
        <v>5807.9999999999991</v>
      </c>
      <c r="BK1542" s="343">
        <f>SUMIFS($AU$1388:AU1543,$P$1388:P1543,"W")</f>
        <v>8525.5799999999363</v>
      </c>
      <c r="BL1542" s="343">
        <f>SUMIFS($AU$1388:AU1543,$P$1388:P1543,"R")</f>
        <v>2894.0000000000005</v>
      </c>
      <c r="BM1542" s="343">
        <f>SUMIFS($AU$1388:AU1543,$AQ$1388:AQ1543,"M")</f>
        <v>2806.9799999997908</v>
      </c>
      <c r="BN1542" s="343">
        <f>SUMIFS($AU$1388:AU1543,$AQ$1388:AQ1543,"H")</f>
        <v>5263.9999999999973</v>
      </c>
      <c r="BO1542" s="343">
        <f>SUMIFS($AU$1388:AU1543,$AQ$1388:AQ1543,"D")</f>
        <v>2590.0000000000009</v>
      </c>
      <c r="BP1542" s="343">
        <f>SUMIFS($AU$1388:AU1545,$AQ$1388:AQ1545,"W")</f>
        <v>1414.3999999999999</v>
      </c>
      <c r="BQ1542" s="343">
        <f>SUMIFS($AU$1388:AU1543,$Q$1388:Q1543,"O")</f>
        <v>366.97999999978163</v>
      </c>
      <c r="BR1542" s="343">
        <f>SUMIFS($AU$1388:AU1543,$AA$1388:AA1543,"*")</f>
        <v>9956.1999999996824</v>
      </c>
      <c r="BS1542" s="343">
        <f>SUMIFS($AU$1388:AU1543,$AB$1388:AB1543,"*")</f>
        <v>4247.179999999933</v>
      </c>
      <c r="BT1542" s="343">
        <f>SUMIFS($AU$1388:AU1543,$AC$1388:AC1543,"*")</f>
        <v>4644.3999999999996</v>
      </c>
      <c r="BU1542" s="343">
        <f>SUMIFS($AU$1388:AU1543,$AA$1388:AA1543,"*",$AB$1388:AB1543,"*")</f>
        <v>2495.999999999824</v>
      </c>
      <c r="BV1542" s="343">
        <f>SUMIFS($AU$1388:AU1543,$AA$1388:AA1543,"*",$AC$1388:AC1543,"*")</f>
        <v>4580.3999999999996</v>
      </c>
      <c r="BW1542" s="343">
        <f>SUMIFS($AU$1388:AU1543,$AB$1388:AB1543,"*",$AC$1388:AC1543,"*")</f>
        <v>1919.9999999999995</v>
      </c>
      <c r="BX1542" s="343">
        <f>SUMIFS($AV$1388:AV1543,$Q$1388:Q1543,"F")</f>
        <v>145.15829909221213</v>
      </c>
      <c r="BY1542" s="343">
        <f>SUMIFS($AV$1388:AV1543,$Q$1388:Q1543,"S")</f>
        <v>332.9324278785781</v>
      </c>
      <c r="BZ1542" s="343">
        <f>SUMIFS($AV$1388:AV1543,$Q$1388:Q1543,"O")</f>
        <v>172.73999999992532</v>
      </c>
    </row>
    <row r="1543" spans="1:78" ht="15.75" customHeight="1">
      <c r="A1543" s="177" t="s">
        <v>5180</v>
      </c>
      <c r="B1543" s="200"/>
      <c r="C1543" s="178"/>
      <c r="D1543" s="178"/>
      <c r="E1543" s="227" t="s">
        <v>5230</v>
      </c>
      <c r="F1543" s="180"/>
      <c r="G1543" s="181"/>
      <c r="H1543" s="182"/>
      <c r="I1543" s="182"/>
      <c r="J1543" s="182">
        <v>1</v>
      </c>
      <c r="K1543" s="183" t="s">
        <v>372</v>
      </c>
      <c r="L1543" s="182"/>
      <c r="M1543" s="182"/>
      <c r="N1543" s="182"/>
      <c r="O1543" s="183"/>
      <c r="P1543" s="183"/>
      <c r="Q1543" s="183"/>
      <c r="R1543" s="183"/>
      <c r="S1543" s="183"/>
      <c r="T1543" s="183"/>
      <c r="U1543" s="183"/>
      <c r="V1543" s="183"/>
      <c r="W1543" s="183"/>
      <c r="X1543" s="183"/>
      <c r="Y1543" s="183"/>
      <c r="Z1543" s="183"/>
      <c r="AA1543" s="185"/>
      <c r="AB1543" s="185"/>
      <c r="AC1543" s="185"/>
      <c r="AD1543" s="649"/>
      <c r="AE1543" s="182"/>
      <c r="AF1543" s="332"/>
      <c r="AG1543" s="182"/>
      <c r="AH1543" s="182"/>
      <c r="AI1543" s="182"/>
      <c r="AJ1543" s="640"/>
      <c r="AK1543" s="182"/>
      <c r="AL1543" s="496">
        <f t="shared" si="436"/>
        <v>0</v>
      </c>
      <c r="AM1543" s="496">
        <f t="shared" si="433"/>
        <v>0</v>
      </c>
      <c r="AN1543" s="626"/>
      <c r="AO1543" s="182"/>
      <c r="AP1543" s="182"/>
      <c r="AQ1543" s="332" t="str">
        <f>UPPER(RIGHT(Journal_Live[[#This Row],[DURATION ]]))</f>
        <v/>
      </c>
      <c r="AR1543" s="182"/>
      <c r="AS1543" s="189"/>
      <c r="AT1543" s="189"/>
      <c r="AU1543" s="187"/>
      <c r="AV1543" s="190"/>
      <c r="AW1543" s="191"/>
      <c r="AX1543" s="407"/>
      <c r="AY1543" s="407"/>
      <c r="AZ1543" s="407"/>
      <c r="BA1543" s="407"/>
      <c r="BB1543" s="407"/>
      <c r="BC1543" s="407"/>
      <c r="BD1543" s="407"/>
      <c r="BE1543" s="407"/>
      <c r="BF1543" s="422"/>
      <c r="BG1543" s="391">
        <f>SUM($AV$1389:AV1543)</f>
        <v>978.8307269707235</v>
      </c>
      <c r="BH1543" s="392">
        <f>SUM($AU$1389:AU1543)</f>
        <v>11771.379999999792</v>
      </c>
      <c r="BI1543" s="318">
        <f>SUMIFS($AU$1388:AU1544,$Q$1388:Q1544,"F")</f>
        <v>5220.4000000000005</v>
      </c>
      <c r="BJ1543" s="318">
        <f>SUMIFS($AU$1388:AU1544,$Q$1388:Q1544,"S")</f>
        <v>5807.9999999999991</v>
      </c>
      <c r="BK1543" s="343">
        <f>SUMIFS($AU$1388:AU1544,$P$1388:P1544,"W")</f>
        <v>8525.5799999999363</v>
      </c>
      <c r="BL1543" s="343">
        <f>SUMIFS($AU$1388:AU1544,$P$1388:P1544,"R")</f>
        <v>2894.0000000000005</v>
      </c>
      <c r="BM1543" s="343">
        <f>SUMIFS($AU$1388:AU1544,$AQ$1388:AQ1544,"M")</f>
        <v>2835.9799999997645</v>
      </c>
      <c r="BN1543" s="343">
        <f>SUMIFS($AU$1388:AU1544,$AQ$1388:AQ1544,"H")</f>
        <v>5263.9999999999973</v>
      </c>
      <c r="BO1543" s="343">
        <f>SUMIFS($AU$1388:AU1544,$AQ$1388:AQ1544,"D")</f>
        <v>2590.0000000000009</v>
      </c>
      <c r="BP1543" s="343">
        <f>SUMIFS($AU$1388:AU1546,$AQ$1388:AQ1546,"W")</f>
        <v>1414.3999999999999</v>
      </c>
      <c r="BQ1543" s="343">
        <f>SUMIFS($AU$1388:AU1544,$Q$1388:Q1544,"O")</f>
        <v>395.97999999975525</v>
      </c>
      <c r="BR1543" s="343">
        <f>SUMIFS($AU$1388:AU1544,$AA$1388:AA1544,"*")</f>
        <v>9985.1999999996551</v>
      </c>
      <c r="BS1543" s="343">
        <f>SUMIFS($AU$1388:AU1544,$AB$1388:AB1544,"*")</f>
        <v>4247.179999999933</v>
      </c>
      <c r="BT1543" s="343">
        <f>SUMIFS($AU$1388:AU1544,$AC$1388:AC1544,"*")</f>
        <v>4644.3999999999996</v>
      </c>
      <c r="BU1543" s="343">
        <f>SUMIFS($AU$1388:AU1544,$AA$1388:AA1544,"*",$AB$1388:AB1544,"*")</f>
        <v>2495.999999999824</v>
      </c>
      <c r="BV1543" s="343">
        <f>SUMIFS($AU$1388:AU1544,$AA$1388:AA1544,"*",$AC$1388:AC1544,"*")</f>
        <v>4580.3999999999996</v>
      </c>
      <c r="BW1543" s="343">
        <f>SUMIFS($AU$1388:AU1544,$AB$1388:AB1544,"*",$AC$1388:AC1544,"*")</f>
        <v>1919.9999999999995</v>
      </c>
      <c r="BX1543" s="343">
        <f>SUMIFS($AV$1388:AV1544,$Q$1388:Q1544,"F")</f>
        <v>145.15829909221213</v>
      </c>
      <c r="BY1543" s="343">
        <f>SUMIFS($AV$1388:AV1544,$Q$1388:Q1544,"S")</f>
        <v>332.9324278785781</v>
      </c>
      <c r="BZ1543" s="343">
        <f>SUMIFS($AV$1388:AV1544,$Q$1388:Q1544,"O")</f>
        <v>201.73999999989894</v>
      </c>
    </row>
    <row r="1544" spans="1:78" ht="15.75" customHeight="1">
      <c r="A1544" s="177" t="s">
        <v>5180</v>
      </c>
      <c r="B1544" s="200">
        <v>45324</v>
      </c>
      <c r="C1544" s="178" t="s">
        <v>682</v>
      </c>
      <c r="D1544" s="178" t="s">
        <v>111</v>
      </c>
      <c r="E1544" s="227"/>
      <c r="F1544" s="180"/>
      <c r="G1544" s="484" t="s">
        <v>4887</v>
      </c>
      <c r="H1544" s="182"/>
      <c r="I1544" s="182"/>
      <c r="J1544" s="182"/>
      <c r="K1544" s="183"/>
      <c r="L1544" s="182">
        <v>2</v>
      </c>
      <c r="M1544" s="182"/>
      <c r="N1544" s="182"/>
      <c r="O1544" s="183" t="s">
        <v>3618</v>
      </c>
      <c r="P1544" s="183" t="s">
        <v>2260</v>
      </c>
      <c r="Q1544" s="183" t="s">
        <v>684</v>
      </c>
      <c r="R1544" s="183">
        <v>1</v>
      </c>
      <c r="S1544" s="183">
        <v>0</v>
      </c>
      <c r="T1544" s="183">
        <v>1</v>
      </c>
      <c r="U1544" s="183" t="s">
        <v>97</v>
      </c>
      <c r="V1544" s="183"/>
      <c r="W1544" s="183"/>
      <c r="X1544" s="183"/>
      <c r="Y1544" s="184">
        <f t="shared" ref="Y1544:Y1549" si="437">IF(ISBLANK(O1544),"",(IF(O1544=UPPER("IB"),0.005,0.01)))</f>
        <v>0.01</v>
      </c>
      <c r="Z1544" s="185">
        <f>IF(ISBLANK(O1544),"",IF(O1544="IB",8.63*200,IF(O1544="IR",16*100,IF(O1544="YT",20*100,IF(O1544="YT-XT",24*200,IF(O1544="TED",80*100,IF(O1544="XT",29*200)))))))</f>
        <v>5800</v>
      </c>
      <c r="AA1544" s="185" t="s">
        <v>5231</v>
      </c>
      <c r="AB1544" s="185"/>
      <c r="AC1544" s="185"/>
      <c r="AD1544" s="649">
        <v>95.954999999999998</v>
      </c>
      <c r="AE1544" s="182"/>
      <c r="AF1544" s="332"/>
      <c r="AG1544" s="182"/>
      <c r="AH1544" s="182"/>
      <c r="AI1544" s="182"/>
      <c r="AJ1544" s="640"/>
      <c r="AK1544" s="182"/>
      <c r="AL1544" s="496">
        <f t="shared" si="436"/>
        <v>-116</v>
      </c>
      <c r="AM1544" s="496">
        <f t="shared" si="433"/>
        <v>-116</v>
      </c>
      <c r="AN1544" s="626"/>
      <c r="AO1544" s="182"/>
      <c r="AP1544" s="182" t="s">
        <v>1750</v>
      </c>
      <c r="AQ1544" s="332" t="s">
        <v>1259</v>
      </c>
      <c r="AR1544" s="182" t="s">
        <v>5232</v>
      </c>
      <c r="AS1544" s="189">
        <v>95.95</v>
      </c>
      <c r="AT1544" s="189">
        <f t="shared" ref="AT1544:AT1549" si="438">IF(ISBLANK(AS1544),,IF(U1544="S",AD1544-AS1544,AS1544-AD1544))</f>
        <v>4.9999999999954525E-3</v>
      </c>
      <c r="AU1544" s="187">
        <f t="shared" ref="AU1544:AU1549" si="439">AV1544*R1544</f>
        <v>28.999999999973625</v>
      </c>
      <c r="AV1544" s="190">
        <f t="shared" ref="AV1544:AV1549" si="440">IF(ISBLANK(AS1544),,(AT1544*Z1544))</f>
        <v>28.999999999973625</v>
      </c>
      <c r="AW1544" s="191" t="s">
        <v>96</v>
      </c>
      <c r="AX1544" s="407" t="s">
        <v>5233</v>
      </c>
      <c r="AY1544" s="407" t="s">
        <v>5234</v>
      </c>
      <c r="AZ1544" s="407"/>
      <c r="BA1544" s="407"/>
      <c r="BB1544" s="407"/>
      <c r="BC1544" s="407"/>
      <c r="BD1544" s="417" t="s">
        <v>5234</v>
      </c>
      <c r="BE1544" s="407"/>
      <c r="BF1544" s="422"/>
      <c r="BG1544" s="391">
        <f>SUM($AV$1389:AV1544)</f>
        <v>1007.8307269706971</v>
      </c>
      <c r="BH1544" s="392">
        <f>SUM($AU$1389:AU1544)</f>
        <v>11800.379999999765</v>
      </c>
      <c r="BI1544" s="318">
        <f>SUMIFS($AU$1388:AU1545,$Q$1388:Q1545,"F")</f>
        <v>5220.4000000000005</v>
      </c>
      <c r="BJ1544" s="318">
        <f>SUMIFS($AU$1388:AU1545,$Q$1388:Q1545,"S")</f>
        <v>5807.9999999999991</v>
      </c>
      <c r="BK1544" s="343">
        <f>SUMIFS($AU$1388:AU1545,$P$1388:P1545,"W")</f>
        <v>8525.5799999999363</v>
      </c>
      <c r="BL1544" s="343">
        <f>SUMIFS($AU$1388:AU1545,$P$1388:P1545,"R")</f>
        <v>2894.0000000000005</v>
      </c>
      <c r="BM1544" s="343">
        <f>SUMIFS($AU$1388:AU1545,$AQ$1388:AQ1545,"M")</f>
        <v>2748.9799999997613</v>
      </c>
      <c r="BN1544" s="343">
        <f>SUMIFS($AU$1388:AU1545,$AQ$1388:AQ1545,"H")</f>
        <v>5263.9999999999973</v>
      </c>
      <c r="BO1544" s="343">
        <f>SUMIFS($AU$1388:AU1545,$AQ$1388:AQ1545,"D")</f>
        <v>2590.0000000000009</v>
      </c>
      <c r="BP1544" s="343">
        <f>SUMIFS($AU$1388:AU1547,$AQ$1388:AQ1547,"W")</f>
        <v>1414.3999999999999</v>
      </c>
      <c r="BQ1544" s="343">
        <f>SUMIFS($AU$1388:AU1545,$Q$1388:Q1545,"O")</f>
        <v>308.97999999975195</v>
      </c>
      <c r="BR1544" s="343">
        <f>SUMIFS($AU$1388:AU1545,$AA$1388:AA1545,"*")</f>
        <v>9898.1999999996515</v>
      </c>
      <c r="BS1544" s="343">
        <f>SUMIFS($AU$1388:AU1545,$AB$1388:AB1545,"*")</f>
        <v>4247.179999999933</v>
      </c>
      <c r="BT1544" s="343">
        <f>SUMIFS($AU$1388:AU1545,$AC$1388:AC1545,"*")</f>
        <v>4644.3999999999996</v>
      </c>
      <c r="BU1544" s="343">
        <f>SUMIFS($AU$1388:AU1545,$AA$1388:AA1545,"*",$AB$1388:AB1545,"*")</f>
        <v>2495.999999999824</v>
      </c>
      <c r="BV1544" s="343">
        <f>SUMIFS($AU$1388:AU1545,$AA$1388:AA1545,"*",$AC$1388:AC1545,"*")</f>
        <v>4580.3999999999996</v>
      </c>
      <c r="BW1544" s="343">
        <f>SUMIFS($AU$1388:AU1545,$AB$1388:AB1545,"*",$AC$1388:AC1545,"*")</f>
        <v>1919.9999999999995</v>
      </c>
      <c r="BX1544" s="343">
        <f>SUMIFS($AV$1388:AV1545,$Q$1388:Q1545,"F")</f>
        <v>145.15829909221213</v>
      </c>
      <c r="BY1544" s="343">
        <f>SUMIFS($AV$1388:AV1545,$Q$1388:Q1545,"S")</f>
        <v>332.9324278785781</v>
      </c>
      <c r="BZ1544" s="343">
        <f>SUMIFS($AV$1388:AV1545,$Q$1388:Q1545,"O")</f>
        <v>114.73999999989564</v>
      </c>
    </row>
    <row r="1545" spans="1:78" ht="15.75" customHeight="1">
      <c r="A1545" s="177" t="s">
        <v>5180</v>
      </c>
      <c r="B1545" s="200">
        <v>45324</v>
      </c>
      <c r="C1545" s="178" t="s">
        <v>5235</v>
      </c>
      <c r="D1545" s="178" t="s">
        <v>111</v>
      </c>
      <c r="E1545" s="227"/>
      <c r="F1545" s="180"/>
      <c r="G1545" s="484" t="s">
        <v>4887</v>
      </c>
      <c r="H1545" s="182"/>
      <c r="I1545" s="182"/>
      <c r="J1545" s="182"/>
      <c r="K1545" s="183"/>
      <c r="L1545" s="182">
        <v>1</v>
      </c>
      <c r="M1545" s="182"/>
      <c r="N1545" s="182"/>
      <c r="O1545" s="183" t="s">
        <v>3618</v>
      </c>
      <c r="P1545" s="183" t="s">
        <v>2260</v>
      </c>
      <c r="Q1545" s="183" t="s">
        <v>684</v>
      </c>
      <c r="R1545" s="183">
        <v>1</v>
      </c>
      <c r="S1545" s="183">
        <v>0</v>
      </c>
      <c r="T1545" s="183">
        <v>1</v>
      </c>
      <c r="U1545" s="183" t="s">
        <v>22</v>
      </c>
      <c r="V1545" s="183"/>
      <c r="W1545" s="183"/>
      <c r="X1545" s="183"/>
      <c r="Y1545" s="184">
        <f t="shared" si="437"/>
        <v>0.01</v>
      </c>
      <c r="Z1545" s="185">
        <f>IF(ISBLANK(O1545),"",IF(O1545="IB",8.63*200,IF(O1545="IR",16*100,IF(O1545="YT",20*100,IF(O1545="YT-XT",24*200,IF(O1545="TED",80*100,IF(O1545="XT",29*200)))))))</f>
        <v>5800</v>
      </c>
      <c r="AA1545" s="185" t="s">
        <v>5236</v>
      </c>
      <c r="AB1545" s="185"/>
      <c r="AC1545" s="185"/>
      <c r="AD1545" s="649">
        <v>95.935000000000002</v>
      </c>
      <c r="AE1545" s="182"/>
      <c r="AF1545" s="332"/>
      <c r="AG1545" s="182"/>
      <c r="AH1545" s="182"/>
      <c r="AI1545" s="182"/>
      <c r="AJ1545" s="640"/>
      <c r="AK1545" s="182"/>
      <c r="AL1545" s="496">
        <f t="shared" si="435"/>
        <v>-116</v>
      </c>
      <c r="AM1545" s="496">
        <f t="shared" si="433"/>
        <v>-116</v>
      </c>
      <c r="AN1545" s="626"/>
      <c r="AO1545" s="182"/>
      <c r="AP1545" s="182" t="s">
        <v>5237</v>
      </c>
      <c r="AQ1545" s="332" t="s">
        <v>1259</v>
      </c>
      <c r="AR1545" s="182" t="s">
        <v>5238</v>
      </c>
      <c r="AS1545" s="189">
        <v>95.92</v>
      </c>
      <c r="AT1545" s="189">
        <f t="shared" si="438"/>
        <v>-1.5000000000000568E-2</v>
      </c>
      <c r="AU1545" s="187">
        <f t="shared" si="439"/>
        <v>-87.000000000003297</v>
      </c>
      <c r="AV1545" s="190">
        <f t="shared" si="440"/>
        <v>-87.000000000003297</v>
      </c>
      <c r="AW1545" s="191" t="s">
        <v>229</v>
      </c>
      <c r="AX1545" s="407" t="s">
        <v>5239</v>
      </c>
      <c r="AY1545" s="407" t="s">
        <v>5240</v>
      </c>
      <c r="AZ1545" s="407" t="s">
        <v>5241</v>
      </c>
      <c r="BA1545" s="407"/>
      <c r="BB1545" s="407"/>
      <c r="BC1545" s="407"/>
      <c r="BD1545" s="407"/>
      <c r="BE1545" s="407"/>
      <c r="BF1545" s="422"/>
      <c r="BG1545" s="391">
        <f>SUM($AV$1389:AV1545)</f>
        <v>920.83072697069383</v>
      </c>
      <c r="BH1545" s="392">
        <f>SUM($AU$1389:AU1545)</f>
        <v>11713.379999999761</v>
      </c>
      <c r="BI1545" s="318">
        <f>SUMIFS($AU$1388:AU1644,$Q$1388:Q1644,"F")</f>
        <v>9348.4000000000015</v>
      </c>
      <c r="BJ1545" s="318">
        <f>SUMIFS($AU$1388:AU1644,$Q$1388:Q1644,"S")</f>
        <v>3279.9999999999918</v>
      </c>
      <c r="BK1545" s="343">
        <f>SUMIFS($AU$1388:AU1644,$P$1388:P1644,"W")</f>
        <v>8717.579999999929</v>
      </c>
      <c r="BL1545" s="343">
        <f>SUMIFS($AU$1388:AU1644,$P$1388:P1644,"R")</f>
        <v>4181.9999999999991</v>
      </c>
      <c r="BM1545" s="343">
        <f>SUMIFS($AU$1388:AU1644,$AQ$1388:AQ1644,"M")</f>
        <v>5219.3799999995472</v>
      </c>
      <c r="BN1545" s="343">
        <f>SUMIFS($AU$1388:AU1644,$AQ$1388:AQ1644,"H")</f>
        <v>2931.2000000002599</v>
      </c>
      <c r="BO1545" s="343">
        <f>SUMIFS($AU$1388:AU1644,$AQ$1388:AQ1644,"D")</f>
        <v>1266.0000000000005</v>
      </c>
      <c r="BP1545" s="343">
        <f>SUMIFS($AU$1388:AU1548,$AQ$1388:AQ1548,"W")</f>
        <v>1414.3999999999999</v>
      </c>
      <c r="BQ1545" s="343">
        <f>SUMIFS($AU$1388:AU1644,$Q$1388:Q1644,"O")</f>
        <v>1770.5799999998073</v>
      </c>
      <c r="BR1545" s="343">
        <f>SUMIFS($AU$1388:AU1546,$AA$1388:AA1546,"*")</f>
        <v>10186.199999999651</v>
      </c>
      <c r="BS1545" s="343">
        <f>SUMIFS($AU$1388:AU1546,$AB$1388:AB1546,"*")</f>
        <v>4247.179999999933</v>
      </c>
      <c r="BT1545" s="343">
        <f>SUMIFS($AU$1388:AU1546,$AC$1388:AC1546,"*")</f>
        <v>4644.3999999999996</v>
      </c>
      <c r="BU1545" s="343">
        <f>SUMIFS($AU$1388:AU1546,$AA$1388:AA1546,"*",$AB$1388:AB1546,"*")</f>
        <v>2495.999999999824</v>
      </c>
      <c r="BV1545" s="343">
        <f>SUMIFS($AU$1388:AU1546,$AA$1388:AA1546,"*",$AC$1388:AC1546,"*")</f>
        <v>4580.3999999999996</v>
      </c>
      <c r="BW1545" s="343">
        <f>SUMIFS($AU$1388:AU1546,$AB$1388:AB1546,"*",$AC$1388:AC1546,"*")</f>
        <v>1919.9999999999995</v>
      </c>
      <c r="BX1545" s="343">
        <f>SUMIFS($AV$1388:AV1546,$Q$1388:Q1546,"F")</f>
        <v>145.15829909221213</v>
      </c>
      <c r="BY1545" s="343">
        <f>SUMIFS($AV$1388:AV1546,$Q$1388:Q1546,"S")</f>
        <v>348.9324278785781</v>
      </c>
      <c r="BZ1545" s="343">
        <f>SUMIFS($AV$1388:AV1546,$Q$1388:Q1546,"O")</f>
        <v>114.73999999989564</v>
      </c>
    </row>
    <row r="1546" spans="1:78" ht="15.75" customHeight="1">
      <c r="A1546" s="177" t="s">
        <v>5180</v>
      </c>
      <c r="B1546" s="200">
        <v>45324</v>
      </c>
      <c r="C1546" s="178" t="s">
        <v>682</v>
      </c>
      <c r="D1546" s="178" t="s">
        <v>111</v>
      </c>
      <c r="E1546" s="227"/>
      <c r="F1546" s="180"/>
      <c r="G1546" s="484" t="s">
        <v>136</v>
      </c>
      <c r="H1546" s="182"/>
      <c r="I1546" s="182"/>
      <c r="J1546" s="182"/>
      <c r="K1546" s="183"/>
      <c r="L1546" s="182"/>
      <c r="M1546" s="182">
        <v>1</v>
      </c>
      <c r="N1546" s="182"/>
      <c r="O1546" s="183" t="s">
        <v>95</v>
      </c>
      <c r="P1546" s="183" t="s">
        <v>96</v>
      </c>
      <c r="Q1546" s="183" t="s">
        <v>97</v>
      </c>
      <c r="R1546" s="183">
        <v>18</v>
      </c>
      <c r="S1546" s="183">
        <v>0</v>
      </c>
      <c r="T1546" s="183">
        <v>18</v>
      </c>
      <c r="U1546" s="183" t="s">
        <v>97</v>
      </c>
      <c r="V1546" s="183"/>
      <c r="W1546" s="183"/>
      <c r="X1546" s="183"/>
      <c r="Y1546" s="184">
        <f t="shared" si="437"/>
        <v>0.01</v>
      </c>
      <c r="Z1546" s="185">
        <f>IF(ISBLANK(O1546),"",IF(O1546="IB",8.63*200,IF(O1546="IR",16*100,IF(O1546="YT",20*100,IF(O1546="YT-XT",24*200,IF(O1546="TED",80*100))))))</f>
        <v>1600</v>
      </c>
      <c r="AA1546" s="185" t="s">
        <v>5242</v>
      </c>
      <c r="AB1546" s="185"/>
      <c r="AC1546" s="185"/>
      <c r="AD1546" s="649">
        <v>-0.16</v>
      </c>
      <c r="AE1546" s="182"/>
      <c r="AF1546" s="332"/>
      <c r="AG1546" s="182"/>
      <c r="AH1546" s="182"/>
      <c r="AI1546" s="182"/>
      <c r="AJ1546" s="640"/>
      <c r="AK1546" s="182"/>
      <c r="AL1546" s="496">
        <f t="shared" ref="AL1546:AL1552" si="441">-0.02*Z1546</f>
        <v>-32</v>
      </c>
      <c r="AM1546" s="496">
        <f t="shared" si="433"/>
        <v>-576</v>
      </c>
      <c r="AN1546" s="626"/>
      <c r="AO1546" s="182"/>
      <c r="AP1546" s="182" t="s">
        <v>5243</v>
      </c>
      <c r="AQ1546" s="332" t="s">
        <v>1259</v>
      </c>
      <c r="AR1546" s="182" t="s">
        <v>5244</v>
      </c>
      <c r="AS1546" s="189">
        <v>-0.17</v>
      </c>
      <c r="AT1546" s="189">
        <f t="shared" si="438"/>
        <v>1.0000000000000009E-2</v>
      </c>
      <c r="AU1546" s="187">
        <f t="shared" si="439"/>
        <v>288.00000000000023</v>
      </c>
      <c r="AV1546" s="190">
        <f t="shared" si="440"/>
        <v>16.000000000000014</v>
      </c>
      <c r="AW1546" s="191" t="s">
        <v>96</v>
      </c>
      <c r="AX1546" s="407"/>
      <c r="AY1546" s="407"/>
      <c r="AZ1546" s="407"/>
      <c r="BA1546" s="407"/>
      <c r="BB1546" s="407"/>
      <c r="BC1546" s="407"/>
      <c r="BD1546" s="407"/>
      <c r="BE1546" s="407"/>
      <c r="BF1546" s="422"/>
      <c r="BG1546" s="391">
        <f>SUM($AV$1389:AV1546)</f>
        <v>936.83072697069383</v>
      </c>
      <c r="BH1546" s="392">
        <f>SUM($AU$1389:AU1546)</f>
        <v>12001.379999999761</v>
      </c>
      <c r="BI1546" s="318">
        <f>SUMIFS($AU$1388:AU1547,$Q$1388:Q1547,"F")</f>
        <v>5220.4000000000005</v>
      </c>
      <c r="BJ1546" s="318">
        <f>SUMIFS($AU$1388:AU1547,$Q$1388:Q1547,"S")</f>
        <v>6431.9999999999991</v>
      </c>
      <c r="BK1546" s="343">
        <f>SUMIFS($AU$1388:AU1547,$P$1388:P1547,"W")</f>
        <v>9149.5799999999363</v>
      </c>
      <c r="BL1546" s="343">
        <f>SUMIFS($AU$1388:AU1547,$P$1388:P1547,"R")</f>
        <v>2894.0000000000005</v>
      </c>
      <c r="BM1546" s="343">
        <f>SUMIFS($AU$1388:AU1547,$AQ$1388:AQ1547,"M")</f>
        <v>3372.9799999997613</v>
      </c>
      <c r="BN1546" s="343">
        <f>SUMIFS($AU$1388:AU1547,$AQ$1388:AQ1547,"H")</f>
        <v>5263.9999999999973</v>
      </c>
      <c r="BO1546" s="343">
        <f>SUMIFS($AU$1388:AU1547,$AQ$1388:AQ1547,"D")</f>
        <v>2590.0000000000009</v>
      </c>
      <c r="BP1546" s="343">
        <f>SUMIFS($AU$1388:AU1549,$AQ$1388:AQ1549,"W")</f>
        <v>1414.3999999999999</v>
      </c>
      <c r="BQ1546" s="343">
        <f>SUMIFS($AU$1388:AU1547,$Q$1388:Q1547,"O")</f>
        <v>308.97999999975195</v>
      </c>
      <c r="BR1546" s="343">
        <f>SUMIFS($AU$1388:AU1547,$AA$1388:AA1547,"*")</f>
        <v>10522.199999999651</v>
      </c>
      <c r="BS1546" s="343">
        <f>SUMIFS($AU$1388:AU1547,$AB$1388:AB1547,"*")</f>
        <v>4247.179999999933</v>
      </c>
      <c r="BT1546" s="343">
        <f>SUMIFS($AU$1388:AU1547,$AC$1388:AC1547,"*")</f>
        <v>4644.3999999999996</v>
      </c>
      <c r="BU1546" s="343">
        <f>SUMIFS($AU$1388:AU1547,$AA$1388:AA1547,"*",$AB$1388:AB1547,"*")</f>
        <v>2495.999999999824</v>
      </c>
      <c r="BV1546" s="343">
        <f>SUMIFS($AU$1388:AU1547,$AA$1388:AA1547,"*",$AC$1388:AC1547,"*")</f>
        <v>4580.3999999999996</v>
      </c>
      <c r="BW1546" s="343">
        <f>SUMIFS($AU$1388:AU1547,$AB$1388:AB1547,"*",$AC$1388:AC1547,"*")</f>
        <v>1919.9999999999995</v>
      </c>
      <c r="BX1546" s="343">
        <f>SUMIFS($AV$1388:AV1547,$Q$1388:Q1547,"F")</f>
        <v>145.15829909221213</v>
      </c>
      <c r="BY1546" s="343">
        <f>SUMIFS($AV$1388:AV1547,$Q$1388:Q1547,"S")</f>
        <v>364.9324278785781</v>
      </c>
      <c r="BZ1546" s="343">
        <f>SUMIFS($AV$1388:AV1547,$Q$1388:Q1547,"O")</f>
        <v>114.73999999989564</v>
      </c>
    </row>
    <row r="1547" spans="1:78" ht="15.75" customHeight="1">
      <c r="A1547" s="177" t="s">
        <v>5180</v>
      </c>
      <c r="B1547" s="200">
        <v>45324</v>
      </c>
      <c r="C1547" s="178" t="s">
        <v>682</v>
      </c>
      <c r="D1547" s="178" t="s">
        <v>111</v>
      </c>
      <c r="E1547" s="227"/>
      <c r="F1547" s="180"/>
      <c r="G1547" s="484" t="s">
        <v>181</v>
      </c>
      <c r="H1547" s="182"/>
      <c r="I1547" s="182"/>
      <c r="J1547" s="182"/>
      <c r="K1547" s="183"/>
      <c r="L1547" s="182"/>
      <c r="M1547" s="182">
        <v>2</v>
      </c>
      <c r="N1547" s="182"/>
      <c r="O1547" s="183" t="s">
        <v>95</v>
      </c>
      <c r="P1547" s="183" t="s">
        <v>96</v>
      </c>
      <c r="Q1547" s="183" t="s">
        <v>97</v>
      </c>
      <c r="R1547" s="183">
        <v>21</v>
      </c>
      <c r="S1547" s="183">
        <v>21</v>
      </c>
      <c r="T1547" s="183">
        <v>21</v>
      </c>
      <c r="U1547" s="183" t="s">
        <v>97</v>
      </c>
      <c r="V1547" s="183"/>
      <c r="W1547" s="183"/>
      <c r="X1547" s="183"/>
      <c r="Y1547" s="184">
        <f t="shared" si="437"/>
        <v>0.01</v>
      </c>
      <c r="Z1547" s="185">
        <f>IF(ISBLANK(O1547),"",IF(O1547="IB",8.63*200,IF(O1547="IR",16*100,IF(O1547="YT",20*100,IF(O1547="YT-XT",24*200,IF(O1547="TED",80*100))))))</f>
        <v>1600</v>
      </c>
      <c r="AA1547" s="185" t="s">
        <v>5245</v>
      </c>
      <c r="AB1547" s="185"/>
      <c r="AC1547" s="185"/>
      <c r="AD1547" s="649">
        <v>-0.1</v>
      </c>
      <c r="AE1547" s="182"/>
      <c r="AF1547" s="332"/>
      <c r="AG1547" s="182"/>
      <c r="AH1547" s="182"/>
      <c r="AI1547" s="182"/>
      <c r="AJ1547" s="640"/>
      <c r="AK1547" s="182"/>
      <c r="AL1547" s="496">
        <f t="shared" si="441"/>
        <v>-32</v>
      </c>
      <c r="AM1547" s="496">
        <f t="shared" si="433"/>
        <v>0</v>
      </c>
      <c r="AN1547" s="626"/>
      <c r="AO1547" s="182"/>
      <c r="AP1547" s="182"/>
      <c r="AQ1547" s="332" t="s">
        <v>1259</v>
      </c>
      <c r="AR1547" s="182" t="s">
        <v>682</v>
      </c>
      <c r="AS1547" s="189">
        <v>-0.11</v>
      </c>
      <c r="AT1547" s="189">
        <f t="shared" si="438"/>
        <v>9.999999999999995E-3</v>
      </c>
      <c r="AU1547" s="187">
        <f t="shared" si="439"/>
        <v>335.99999999999983</v>
      </c>
      <c r="AV1547" s="190">
        <f t="shared" si="440"/>
        <v>15.999999999999993</v>
      </c>
      <c r="AW1547" s="191" t="s">
        <v>96</v>
      </c>
      <c r="AX1547" s="407" t="s">
        <v>5246</v>
      </c>
      <c r="AY1547" s="407" t="s">
        <v>5247</v>
      </c>
      <c r="AZ1547" s="407"/>
      <c r="BA1547" s="407"/>
      <c r="BB1547" s="407"/>
      <c r="BC1547" s="407"/>
      <c r="BD1547" s="407"/>
      <c r="BE1547" s="407"/>
      <c r="BF1547" s="422"/>
      <c r="BG1547" s="391">
        <f>SUM($AV$1389:AV1547)</f>
        <v>952.83072697069383</v>
      </c>
      <c r="BH1547" s="392">
        <f>SUM($AU$1389:AU1547)</f>
        <v>12337.379999999761</v>
      </c>
      <c r="BI1547" s="318">
        <f>SUMIFS($AU$1388:AU1548,$Q$1388:Q1548,"F")</f>
        <v>5220.4000000000005</v>
      </c>
      <c r="BJ1547" s="318">
        <f>SUMIFS($AU$1388:AU1548,$Q$1388:Q1548,"S")</f>
        <v>6431.9999999999991</v>
      </c>
      <c r="BK1547" s="343">
        <f>SUMIFS($AU$1388:AU1548,$P$1388:P1548,"W")</f>
        <v>9149.5799999999363</v>
      </c>
      <c r="BL1547" s="343">
        <f>SUMIFS($AU$1388:AU1548,$P$1388:P1548,"R")</f>
        <v>2894.0000000000005</v>
      </c>
      <c r="BM1547" s="343">
        <f>SUMIFS($AU$1388:AU1548,$AQ$1388:AQ1548,"M")</f>
        <v>3372.9799999997613</v>
      </c>
      <c r="BN1547" s="343">
        <f>SUMIFS($AU$1388:AU1548,$AQ$1388:AQ1548,"H")</f>
        <v>5263.9999999999973</v>
      </c>
      <c r="BO1547" s="343">
        <f>SUMIFS($AU$1388:AU1548,$AQ$1388:AQ1548,"D")</f>
        <v>2590.0000000000009</v>
      </c>
      <c r="BP1547" s="343">
        <f>SUMIFS($AU$1388:AU1550,$AQ$1388:AQ1550,"W")</f>
        <v>1414.3999999999999</v>
      </c>
      <c r="BQ1547" s="343">
        <f>SUMIFS($AU$1388:AU1548,$Q$1388:Q1548,"O")</f>
        <v>308.97999999975195</v>
      </c>
      <c r="BR1547" s="343">
        <f>SUMIFS($AU$1388:AU1548,$AA$1388:AA1548,"*")</f>
        <v>10522.199999999651</v>
      </c>
      <c r="BS1547" s="343">
        <f>SUMIFS($AU$1388:AU1548,$AB$1388:AB1548,"*")</f>
        <v>4247.179999999933</v>
      </c>
      <c r="BT1547" s="343">
        <f>SUMIFS($AU$1388:AU1548,$AC$1388:AC1548,"*")</f>
        <v>4644.3999999999996</v>
      </c>
      <c r="BU1547" s="343">
        <f>SUMIFS($AU$1388:AU1548,$AA$1388:AA1548,"*",$AB$1388:AB1548,"*")</f>
        <v>2495.999999999824</v>
      </c>
      <c r="BV1547" s="343">
        <f>SUMIFS($AU$1388:AU1548,$AA$1388:AA1548,"*",$AC$1388:AC1548,"*")</f>
        <v>4580.3999999999996</v>
      </c>
      <c r="BW1547" s="343">
        <f>SUMIFS($AU$1388:AU1548,$AB$1388:AB1548,"*",$AC$1388:AC1548,"*")</f>
        <v>1919.9999999999995</v>
      </c>
      <c r="BX1547" s="343">
        <f>SUMIFS($AV$1388:AV1548,$Q$1388:Q1548,"F")</f>
        <v>145.15829909221213</v>
      </c>
      <c r="BY1547" s="343">
        <f>SUMIFS($AV$1388:AV1548,$Q$1388:Q1548,"S")</f>
        <v>364.9324278785781</v>
      </c>
      <c r="BZ1547" s="343">
        <f>SUMIFS($AV$1388:AV1548,$Q$1388:Q1548,"O")</f>
        <v>114.73999999989564</v>
      </c>
    </row>
    <row r="1548" spans="1:78" ht="15.75" customHeight="1">
      <c r="A1548" s="177" t="s">
        <v>5180</v>
      </c>
      <c r="B1548" s="200">
        <v>45324</v>
      </c>
      <c r="C1548" s="178" t="s">
        <v>1663</v>
      </c>
      <c r="D1548" s="178" t="s">
        <v>111</v>
      </c>
      <c r="E1548" s="227"/>
      <c r="F1548" s="180"/>
      <c r="G1548" s="484" t="s">
        <v>2016</v>
      </c>
      <c r="H1548" s="182"/>
      <c r="I1548" s="182"/>
      <c r="J1548" s="182"/>
      <c r="K1548" s="183"/>
      <c r="L1548" s="182">
        <v>2</v>
      </c>
      <c r="M1548" s="182"/>
      <c r="N1548" s="182"/>
      <c r="O1548" s="183" t="s">
        <v>95</v>
      </c>
      <c r="P1548" s="183" t="s">
        <v>96</v>
      </c>
      <c r="Q1548" s="183" t="s">
        <v>97</v>
      </c>
      <c r="R1548" s="183">
        <v>40</v>
      </c>
      <c r="S1548" s="183">
        <v>0</v>
      </c>
      <c r="T1548" s="183">
        <v>50</v>
      </c>
      <c r="U1548" s="183" t="s">
        <v>97</v>
      </c>
      <c r="V1548" s="183"/>
      <c r="W1548" s="183"/>
      <c r="X1548" s="183"/>
      <c r="Y1548" s="184">
        <f t="shared" si="437"/>
        <v>0.01</v>
      </c>
      <c r="Z1548" s="185">
        <f>IF(ISBLANK(O1548),"",IF(O1548="IB",8.63*200,IF(O1548="IR",16*100,IF(O1548="YT",20*100,IF(O1548="YT-XT",24*200,IF(O1548="TED",80*100))))))</f>
        <v>1600</v>
      </c>
      <c r="AA1548" s="185" t="s">
        <v>1361</v>
      </c>
      <c r="AB1548" s="185"/>
      <c r="AC1548" s="185" t="s">
        <v>5248</v>
      </c>
      <c r="AD1548" s="649">
        <v>-0.15</v>
      </c>
      <c r="AE1548" s="182"/>
      <c r="AF1548" s="332"/>
      <c r="AG1548" s="182"/>
      <c r="AH1548" s="182"/>
      <c r="AI1548" s="182"/>
      <c r="AJ1548" s="640"/>
      <c r="AK1548" s="182"/>
      <c r="AL1548" s="496">
        <f t="shared" si="441"/>
        <v>-32</v>
      </c>
      <c r="AM1548" s="496">
        <f t="shared" si="433"/>
        <v>-1280</v>
      </c>
      <c r="AN1548" s="626"/>
      <c r="AO1548" s="182"/>
      <c r="AP1548" s="182"/>
      <c r="AQ1548" s="332" t="s">
        <v>372</v>
      </c>
      <c r="AR1548" s="182" t="s">
        <v>5249</v>
      </c>
      <c r="AS1548" s="189">
        <v>-0.15</v>
      </c>
      <c r="AT1548" s="189">
        <f t="shared" si="438"/>
        <v>0</v>
      </c>
      <c r="AU1548" s="187">
        <f t="shared" si="439"/>
        <v>0</v>
      </c>
      <c r="AV1548" s="190">
        <f t="shared" si="440"/>
        <v>0</v>
      </c>
      <c r="AW1548" s="191" t="s">
        <v>115</v>
      </c>
      <c r="AX1548" s="407" t="s">
        <v>5250</v>
      </c>
      <c r="AY1548" s="407" t="s">
        <v>5251</v>
      </c>
      <c r="AZ1548" s="407"/>
      <c r="BA1548" s="407"/>
      <c r="BB1548" s="407"/>
      <c r="BC1548" s="407"/>
      <c r="BD1548" s="407"/>
      <c r="BE1548" s="407"/>
      <c r="BF1548" s="422"/>
      <c r="BG1548" s="391">
        <f>SUM($AV$1389:AV1548)</f>
        <v>952.83072697069383</v>
      </c>
      <c r="BH1548" s="392">
        <f>SUM($AU$1389:AU1548)</f>
        <v>12337.379999999761</v>
      </c>
      <c r="BI1548" s="318">
        <f>SUMIFS($AU$1388:AU1549,$Q$1388:Q1549,"F")</f>
        <v>5220.4000000000005</v>
      </c>
      <c r="BJ1548" s="318">
        <f>SUMIFS($AU$1388:AU1549,$Q$1388:Q1549,"S")</f>
        <v>6431.9999999999991</v>
      </c>
      <c r="BK1548" s="343">
        <f>SUMIFS($AU$1388:AU1549,$P$1388:P1549,"W")</f>
        <v>9149.5799999999363</v>
      </c>
      <c r="BL1548" s="343">
        <f>SUMIFS($AU$1388:AU1549,$P$1388:P1549,"R")</f>
        <v>2974.0000000000005</v>
      </c>
      <c r="BM1548" s="343">
        <f>SUMIFS($AU$1388:AU1549,$AQ$1388:AQ1549,"M")</f>
        <v>3372.9799999997613</v>
      </c>
      <c r="BN1548" s="343">
        <f>SUMIFS($AU$1388:AU1549,$AQ$1388:AQ1549,"H")</f>
        <v>5343.9999999999973</v>
      </c>
      <c r="BO1548" s="343">
        <f>SUMIFS($AU$1388:AU1549,$AQ$1388:AQ1549,"D")</f>
        <v>2590.0000000000009</v>
      </c>
      <c r="BP1548" s="343">
        <f>SUMIFS($AU$1388:AU1551,$AQ$1388:AQ1551,"W")</f>
        <v>3846.4000000000005</v>
      </c>
      <c r="BQ1548" s="343">
        <f>SUMIFS($AU$1388:AU1549,$Q$1388:Q1549,"O")</f>
        <v>308.97999999975195</v>
      </c>
      <c r="BR1548" s="343">
        <f>SUMIFS($AU$1388:AU1549,$AA$1388:AA1549,"*")</f>
        <v>10602.199999999651</v>
      </c>
      <c r="BS1548" s="343">
        <f>SUMIFS($AU$1388:AU1549,$AB$1388:AB1549,"*")</f>
        <v>4247.179999999933</v>
      </c>
      <c r="BT1548" s="343">
        <f>SUMIFS($AU$1388:AU1549,$AC$1388:AC1549,"*")</f>
        <v>4644.3999999999996</v>
      </c>
      <c r="BU1548" s="343">
        <f>SUMIFS($AU$1388:AU1549,$AA$1388:AA1549,"*",$AB$1388:AB1549,"*")</f>
        <v>2495.999999999824</v>
      </c>
      <c r="BV1548" s="343">
        <f>SUMIFS($AU$1388:AU1549,$AA$1388:AA1549,"*",$AC$1388:AC1549,"*")</f>
        <v>4580.3999999999996</v>
      </c>
      <c r="BW1548" s="343">
        <f>SUMIFS($AU$1388:AU1549,$AB$1388:AB1549,"*",$AC$1388:AC1549,"*")</f>
        <v>1919.9999999999995</v>
      </c>
      <c r="BX1548" s="343">
        <f>SUMIFS($AV$1388:AV1549,$Q$1388:Q1549,"F")</f>
        <v>145.15829909221213</v>
      </c>
      <c r="BY1548" s="343">
        <f>SUMIFS($AV$1388:AV1549,$Q$1388:Q1549,"S")</f>
        <v>364.9324278785781</v>
      </c>
      <c r="BZ1548" s="343">
        <f>SUMIFS($AV$1388:AV1549,$Q$1388:Q1549,"O")</f>
        <v>114.73999999989564</v>
      </c>
    </row>
    <row r="1549" spans="1:78" ht="15.75" customHeight="1">
      <c r="A1549" s="177" t="s">
        <v>5180</v>
      </c>
      <c r="B1549" s="200">
        <v>45327</v>
      </c>
      <c r="C1549" s="178" t="s">
        <v>3374</v>
      </c>
      <c r="D1549" s="178" t="s">
        <v>132</v>
      </c>
      <c r="E1549" s="227"/>
      <c r="F1549" s="180"/>
      <c r="G1549" s="484" t="s">
        <v>5012</v>
      </c>
      <c r="H1549" s="182"/>
      <c r="I1549" s="182"/>
      <c r="J1549" s="182"/>
      <c r="K1549" s="183"/>
      <c r="L1549" s="182">
        <v>1</v>
      </c>
      <c r="M1549" s="182"/>
      <c r="N1549" s="182"/>
      <c r="O1549" s="183" t="s">
        <v>2652</v>
      </c>
      <c r="P1549" s="183" t="s">
        <v>137</v>
      </c>
      <c r="Q1549" s="183"/>
      <c r="R1549" s="183">
        <v>1</v>
      </c>
      <c r="S1549" s="183">
        <v>0</v>
      </c>
      <c r="T1549" s="183">
        <v>1</v>
      </c>
      <c r="U1549" s="183" t="s">
        <v>97</v>
      </c>
      <c r="V1549" s="183"/>
      <c r="W1549" s="183"/>
      <c r="X1549" s="183"/>
      <c r="Y1549" s="184">
        <f t="shared" si="437"/>
        <v>0.01</v>
      </c>
      <c r="Z1549" s="185">
        <f>IF(ISBLANK(O1549),"",IF(O1549="IB",8.63*200,IF(O1549="IR",16*100,IF(O1549="YT",20*100,IF(O1549="YT-XT",24*200,IF(O1549="TED",80*100))))))</f>
        <v>8000</v>
      </c>
      <c r="AA1549" s="185" t="s">
        <v>99</v>
      </c>
      <c r="AB1549" s="185"/>
      <c r="AC1549" s="185"/>
      <c r="AD1549" s="649">
        <v>0.01</v>
      </c>
      <c r="AE1549" s="182"/>
      <c r="AF1549" s="332"/>
      <c r="AG1549" s="182"/>
      <c r="AH1549" s="182"/>
      <c r="AI1549" s="182"/>
      <c r="AJ1549" s="640"/>
      <c r="AK1549" s="182"/>
      <c r="AL1549" s="496">
        <f t="shared" si="441"/>
        <v>-160</v>
      </c>
      <c r="AM1549" s="496">
        <f t="shared" si="433"/>
        <v>-160</v>
      </c>
      <c r="AN1549" s="626"/>
      <c r="AO1549" s="182"/>
      <c r="AP1549" s="182" t="s">
        <v>1700</v>
      </c>
      <c r="AQ1549" s="332" t="s">
        <v>372</v>
      </c>
      <c r="AR1549" s="182" t="s">
        <v>5252</v>
      </c>
      <c r="AS1549" s="189">
        <v>0</v>
      </c>
      <c r="AT1549" s="189">
        <f t="shared" si="438"/>
        <v>0.01</v>
      </c>
      <c r="AU1549" s="187">
        <f t="shared" si="439"/>
        <v>80</v>
      </c>
      <c r="AV1549" s="190">
        <f t="shared" si="440"/>
        <v>80</v>
      </c>
      <c r="AW1549" s="191" t="s">
        <v>96</v>
      </c>
      <c r="AX1549" s="407" t="s">
        <v>5253</v>
      </c>
      <c r="AY1549" s="407"/>
      <c r="AZ1549" s="407"/>
      <c r="BA1549" s="407"/>
      <c r="BB1549" s="407"/>
      <c r="BC1549" s="407"/>
      <c r="BD1549" s="407"/>
      <c r="BE1549" s="407"/>
      <c r="BF1549" s="422"/>
      <c r="BG1549" s="391">
        <f>SUM($AV$1389:AV1549)</f>
        <v>1032.8307269706938</v>
      </c>
      <c r="BH1549" s="392">
        <f>SUM($AU$1389:AU1549)</f>
        <v>12417.379999999761</v>
      </c>
      <c r="BI1549" s="318">
        <f>SUMIFS($AU$1388:AU1642,$Q$1388:Q1642,"F")</f>
        <v>9348.4000000000015</v>
      </c>
      <c r="BJ1549" s="318">
        <f>SUMIFS($AU$1388:AU1642,$Q$1388:Q1642,"S")</f>
        <v>3279.9999999999918</v>
      </c>
      <c r="BK1549" s="343">
        <f>SUMIFS($AU$1388:AU1642,$P$1388:P1642,"W")</f>
        <v>8717.579999999929</v>
      </c>
      <c r="BL1549" s="343">
        <f>SUMIFS($AU$1388:AU1642,$P$1388:P1642,"R")</f>
        <v>4181.9999999999991</v>
      </c>
      <c r="BM1549" s="343">
        <f>SUMIFS($AU$1388:AU1642,$AQ$1388:AQ1642,"M")</f>
        <v>5219.3799999995472</v>
      </c>
      <c r="BN1549" s="343">
        <f>SUMIFS($AU$1388:AU1642,$AQ$1388:AQ1642,"H")</f>
        <v>2931.2000000002599</v>
      </c>
      <c r="BO1549" s="343">
        <f>SUMIFS($AU$1388:AU1642,$AQ$1388:AQ1642,"D")</f>
        <v>1266.0000000000005</v>
      </c>
      <c r="BP1549" s="343">
        <f>SUMIFS($AU$1388:AU1552,$AQ$1388:AQ1552,"W")</f>
        <v>3846.4000000000005</v>
      </c>
      <c r="BQ1549" s="343">
        <f>SUMIFS($AU$1388:AU1642,$Q$1388:Q1642,"O")</f>
        <v>1770.5799999998073</v>
      </c>
      <c r="BR1549" s="343">
        <f>SUMIFS($AU$1388:AU1550,$AA$1388:AA1550,"*")</f>
        <v>10602.199999999651</v>
      </c>
      <c r="BS1549" s="343">
        <f>SUMIFS($AU$1388:AU1550,$AB$1388:AB1550,"*")</f>
        <v>4247.179999999933</v>
      </c>
      <c r="BT1549" s="343">
        <f>SUMIFS($AU$1388:AU1550,$AC$1388:AC1550,"*")</f>
        <v>4644.3999999999996</v>
      </c>
      <c r="BU1549" s="343">
        <f>SUMIFS($AU$1388:AU1550,$AA$1388:AA1550,"*",$AB$1388:AB1550,"*")</f>
        <v>2495.999999999824</v>
      </c>
      <c r="BV1549" s="343">
        <f>SUMIFS($AU$1388:AU1550,$AA$1388:AA1550,"*",$AC$1388:AC1550,"*")</f>
        <v>4580.3999999999996</v>
      </c>
      <c r="BW1549" s="343">
        <f>SUMIFS($AU$1388:AU1550,$AB$1388:AB1550,"*",$AC$1388:AC1550,"*")</f>
        <v>1919.9999999999995</v>
      </c>
      <c r="BX1549" s="343">
        <f>SUMIFS($AV$1388:AV1550,$Q$1388:Q1550,"F")</f>
        <v>145.15829909221213</v>
      </c>
      <c r="BY1549" s="343">
        <f>SUMIFS($AV$1388:AV1550,$Q$1388:Q1550,"S")</f>
        <v>364.9324278785781</v>
      </c>
      <c r="BZ1549" s="343">
        <f>SUMIFS($AV$1388:AV1550,$Q$1388:Q1550,"O")</f>
        <v>114.73999999989564</v>
      </c>
    </row>
    <row r="1550" spans="1:78" ht="15.75" customHeight="1">
      <c r="A1550" s="177" t="s">
        <v>5180</v>
      </c>
      <c r="B1550" s="200">
        <v>45327</v>
      </c>
      <c r="C1550" s="178" t="s">
        <v>1437</v>
      </c>
      <c r="D1550" s="178" t="s">
        <v>132</v>
      </c>
      <c r="E1550" s="227"/>
      <c r="F1550" s="180"/>
      <c r="G1550" s="181" t="s">
        <v>5254</v>
      </c>
      <c r="H1550" s="182"/>
      <c r="I1550" s="182"/>
      <c r="J1550" s="182"/>
      <c r="K1550" s="183"/>
      <c r="L1550" s="182"/>
      <c r="M1550" s="182"/>
      <c r="N1550" s="182"/>
      <c r="O1550" s="183"/>
      <c r="P1550" s="183"/>
      <c r="Q1550" s="183"/>
      <c r="R1550" s="183"/>
      <c r="S1550" s="183"/>
      <c r="T1550" s="183"/>
      <c r="U1550" s="183"/>
      <c r="V1550" s="183"/>
      <c r="W1550" s="183"/>
      <c r="X1550" s="183"/>
      <c r="Y1550" s="184"/>
      <c r="Z1550" s="185"/>
      <c r="AA1550" s="185"/>
      <c r="AB1550" s="185"/>
      <c r="AC1550" s="185"/>
      <c r="AD1550" s="649"/>
      <c r="AE1550" s="182"/>
      <c r="AF1550" s="332"/>
      <c r="AG1550" s="182"/>
      <c r="AH1550" s="182"/>
      <c r="AI1550" s="182"/>
      <c r="AJ1550" s="640"/>
      <c r="AK1550" s="182"/>
      <c r="AL1550" s="496">
        <f t="shared" si="441"/>
        <v>0</v>
      </c>
      <c r="AM1550" s="496">
        <f t="shared" si="433"/>
        <v>0</v>
      </c>
      <c r="AN1550" s="626"/>
      <c r="AO1550" s="182"/>
      <c r="AP1550" s="182"/>
      <c r="AQ1550" s="332" t="str">
        <f>UPPER(RIGHT(Journal_Live[[#This Row],[DURATION ]]))</f>
        <v/>
      </c>
      <c r="AR1550" s="182"/>
      <c r="AS1550" s="189"/>
      <c r="AT1550" s="189"/>
      <c r="AU1550" s="187"/>
      <c r="AV1550" s="190"/>
      <c r="AW1550" s="191"/>
      <c r="AX1550" s="409" t="s">
        <v>5255</v>
      </c>
      <c r="AY1550" s="409" t="s">
        <v>3756</v>
      </c>
      <c r="AZ1550" s="409" t="s">
        <v>5256</v>
      </c>
      <c r="BA1550" s="409" t="s">
        <v>5257</v>
      </c>
      <c r="BB1550" s="407"/>
      <c r="BC1550" s="407"/>
      <c r="BD1550" s="417" t="s">
        <v>5258</v>
      </c>
      <c r="BE1550" s="417" t="s">
        <v>5259</v>
      </c>
      <c r="BF1550" s="417" t="s">
        <v>5260</v>
      </c>
      <c r="BG1550" s="391">
        <f>SUM($AV$1389:AV1550)</f>
        <v>1032.8307269706938</v>
      </c>
      <c r="BH1550" s="392">
        <f>SUM($AU$1389:AU1550)</f>
        <v>12417.379999999761</v>
      </c>
      <c r="BI1550" s="318">
        <f>SUMIFS($AU$1388:AU1551,$Q$1388:Q1551,"F")</f>
        <v>7652.4000000000015</v>
      </c>
      <c r="BJ1550" s="318">
        <f>SUMIFS($AU$1388:AU1551,$Q$1388:Q1551,"S")</f>
        <v>6431.9999999999991</v>
      </c>
      <c r="BK1550" s="343">
        <f>SUMIFS($AU$1388:AU1551,$P$1388:P1551,"W")</f>
        <v>11581.579999999936</v>
      </c>
      <c r="BL1550" s="343">
        <f>SUMIFS($AU$1388:AU1551,$P$1388:P1551,"R")</f>
        <v>2974.0000000000005</v>
      </c>
      <c r="BM1550" s="343">
        <f>SUMIFS($AU$1388:AU1551,$AQ$1388:AQ1551,"M")</f>
        <v>3372.9799999997613</v>
      </c>
      <c r="BN1550" s="343">
        <f>SUMIFS($AU$1388:AU1551,$AQ$1388:AQ1551,"H")</f>
        <v>5343.9999999999973</v>
      </c>
      <c r="BO1550" s="343">
        <f>SUMIFS($AU$1388:AU1551,$AQ$1388:AQ1551,"D")</f>
        <v>2590.0000000000009</v>
      </c>
      <c r="BP1550" s="343">
        <f>SUMIFS($AU$1388:AU1553,$AQ$1388:AQ1553,"W")</f>
        <v>3846.4000000000005</v>
      </c>
      <c r="BQ1550" s="343">
        <f>SUMIFS($AU$1388:AU1551,$Q$1388:Q1551,"O")</f>
        <v>308.97999999975195</v>
      </c>
      <c r="BR1550" s="343">
        <f>SUMIFS($AU$1388:AU1551,$AA$1388:AA1551,"*")</f>
        <v>13034.199999999651</v>
      </c>
      <c r="BS1550" s="343">
        <f>SUMIFS($AU$1388:AU1551,$AB$1388:AB1551,"*")</f>
        <v>4247.179999999933</v>
      </c>
      <c r="BT1550" s="343">
        <f>SUMIFS($AU$1388:AU1551,$AC$1388:AC1551,"*")</f>
        <v>7076.4000000000005</v>
      </c>
      <c r="BU1550" s="343">
        <f>SUMIFS($AU$1388:AU1551,$AA$1388:AA1551,"*",$AB$1388:AB1551,"*")</f>
        <v>2495.999999999824</v>
      </c>
      <c r="BV1550" s="343">
        <f>SUMIFS($AU$1388:AU1551,$AA$1388:AA1551,"*",$AC$1388:AC1551,"*")</f>
        <v>7012.4000000000005</v>
      </c>
      <c r="BW1550" s="343">
        <f>SUMIFS($AU$1388:AU1551,$AB$1388:AB1551,"*",$AC$1388:AC1551,"*")</f>
        <v>1919.9999999999995</v>
      </c>
      <c r="BX1550" s="343">
        <f>SUMIFS($AV$1388:AV1551,$Q$1388:Q1551,"F")</f>
        <v>198.02786430960344</v>
      </c>
      <c r="BY1550" s="343">
        <f>SUMIFS($AV$1388:AV1551,$Q$1388:Q1551,"S")</f>
        <v>364.9324278785781</v>
      </c>
      <c r="BZ1550" s="343">
        <f>SUMIFS($AV$1388:AV1551,$Q$1388:Q1551,"O")</f>
        <v>114.73999999989564</v>
      </c>
    </row>
    <row r="1551" spans="1:78" ht="15.75" customHeight="1">
      <c r="A1551" s="177" t="s">
        <v>5180</v>
      </c>
      <c r="B1551" s="200">
        <v>45327</v>
      </c>
      <c r="C1551" s="178" t="s">
        <v>3336</v>
      </c>
      <c r="D1551" s="178" t="s">
        <v>132</v>
      </c>
      <c r="E1551" s="227"/>
      <c r="F1551" s="180"/>
      <c r="G1551" s="484" t="s">
        <v>5261</v>
      </c>
      <c r="H1551" s="182"/>
      <c r="I1551" s="182"/>
      <c r="J1551" s="182"/>
      <c r="K1551" s="183"/>
      <c r="L1551" s="182"/>
      <c r="M1551" s="182">
        <v>1</v>
      </c>
      <c r="N1551" s="182"/>
      <c r="O1551" s="183" t="s">
        <v>95</v>
      </c>
      <c r="P1551" s="183" t="s">
        <v>96</v>
      </c>
      <c r="Q1551" s="183" t="s">
        <v>256</v>
      </c>
      <c r="R1551" s="183">
        <v>46</v>
      </c>
      <c r="S1551" s="183">
        <v>30</v>
      </c>
      <c r="T1551" s="183">
        <v>41</v>
      </c>
      <c r="U1551" s="183" t="s">
        <v>97</v>
      </c>
      <c r="V1551" s="183"/>
      <c r="W1551" s="183"/>
      <c r="X1551" s="183"/>
      <c r="Y1551" s="184">
        <f>IF(ISBLANK(O1551),"",(IF(O1551=UPPER("IB"),0.005,0.01)))</f>
        <v>0.01</v>
      </c>
      <c r="Z1551" s="185">
        <f>IF(ISBLANK(O1551),"",IF(O1551="IB",8.63*200,IF(O1551="IR",16*100,IF(O1551="YT",20*100,IF(O1551="YT-XT",24*200,IF(O1551="TED",80*100))))))</f>
        <v>1600</v>
      </c>
      <c r="AA1551" s="185" t="s">
        <v>5262</v>
      </c>
      <c r="AB1551" s="185"/>
      <c r="AC1551" s="185" t="s">
        <v>5263</v>
      </c>
      <c r="AD1551" s="649">
        <f>(0.05*41+0.07*5)/46</f>
        <v>5.2173913043478272E-2</v>
      </c>
      <c r="AE1551" s="182"/>
      <c r="AF1551" s="332"/>
      <c r="AG1551" s="182"/>
      <c r="AH1551" s="182"/>
      <c r="AI1551" s="182"/>
      <c r="AJ1551" s="640" t="s">
        <v>5264</v>
      </c>
      <c r="AK1551" s="182"/>
      <c r="AL1551" s="496">
        <f>-0.035*Z1551</f>
        <v>-56.000000000000007</v>
      </c>
      <c r="AM1551" s="496">
        <f t="shared" si="433"/>
        <v>-896.00000000000011</v>
      </c>
      <c r="AN1551" s="626" t="s">
        <v>5265</v>
      </c>
      <c r="AO1551" s="407" t="s">
        <v>5266</v>
      </c>
      <c r="AP1551" s="182" t="s">
        <v>902</v>
      </c>
      <c r="AQ1551" s="332" t="s">
        <v>96</v>
      </c>
      <c r="AR1551" s="298">
        <v>45335</v>
      </c>
      <c r="AS1551" s="189">
        <f>((0.02*30)+(0.01*10)+(0.03*6))/46</f>
        <v>1.9130434782608695E-2</v>
      </c>
      <c r="AT1551" s="189">
        <f>IF(ISBLANK(AS1551),,IF(U1551="S",AD1551-AS1551,AS1551-AD1551))</f>
        <v>3.3043478260869577E-2</v>
      </c>
      <c r="AU1551" s="187">
        <f>AV1551*R1551</f>
        <v>2432.0000000000009</v>
      </c>
      <c r="AV1551" s="190">
        <f>IF(ISBLANK(AS1551),,(AT1551*Z1551))</f>
        <v>52.869565217391326</v>
      </c>
      <c r="AW1551" s="191" t="s">
        <v>96</v>
      </c>
      <c r="AX1551" s="407" t="s">
        <v>5267</v>
      </c>
      <c r="AY1551" s="407" t="s">
        <v>5268</v>
      </c>
      <c r="AZ1551" s="407" t="s">
        <v>5269</v>
      </c>
      <c r="BA1551" s="407" t="s">
        <v>5270</v>
      </c>
      <c r="BB1551" s="407" t="s">
        <v>5271</v>
      </c>
      <c r="BC1551" s="407" t="s">
        <v>452</v>
      </c>
      <c r="BD1551" s="407" t="s">
        <v>5272</v>
      </c>
      <c r="BE1551" s="407"/>
      <c r="BF1551" s="422"/>
      <c r="BG1551" s="391">
        <f>SUM($AV$1389:AV1551)</f>
        <v>1085.7002921880851</v>
      </c>
      <c r="BH1551" s="392">
        <f>SUM($AU$1389:AU1551)</f>
        <v>14849.379999999761</v>
      </c>
      <c r="BI1551" s="318">
        <f>SUMIFS($AU$1388:AU1552,$Q$1388:Q1552,"F")</f>
        <v>7652.4000000000015</v>
      </c>
      <c r="BJ1551" s="318">
        <f>SUMIFS($AU$1388:AU1552,$Q$1388:Q1552,"S")</f>
        <v>6431.9999999999991</v>
      </c>
      <c r="BK1551" s="343">
        <f>SUMIFS($AU$1388:AU1552,$P$1388:P1552,"W")</f>
        <v>11581.579999999936</v>
      </c>
      <c r="BL1551" s="343">
        <f>SUMIFS($AU$1388:AU1552,$P$1388:P1552,"R")</f>
        <v>2974.0000000000005</v>
      </c>
      <c r="BM1551" s="343">
        <f>SUMIFS($AU$1388:AU1552,$AQ$1388:AQ1552,"M")</f>
        <v>3372.9799999997613</v>
      </c>
      <c r="BN1551" s="343">
        <f>SUMIFS($AU$1388:AU1552,$AQ$1388:AQ1552,"H")</f>
        <v>5343.9999999999973</v>
      </c>
      <c r="BO1551" s="343">
        <f>SUMIFS($AU$1388:AU1552,$AQ$1388:AQ1552,"D")</f>
        <v>2590.0000000000009</v>
      </c>
      <c r="BP1551" s="343">
        <f>SUMIFS($AU$1388:AU1554,$AQ$1388:AQ1554,"W")</f>
        <v>3846.4000000000005</v>
      </c>
      <c r="BQ1551" s="343">
        <f>SUMIFS($AU$1388:AU1552,$Q$1388:Q1552,"O")</f>
        <v>308.97999999975195</v>
      </c>
      <c r="BR1551" s="343">
        <f>SUMIFS($AU$1388:AU1552,$AA$1388:AA1552,"*")</f>
        <v>13034.199999999651</v>
      </c>
      <c r="BS1551" s="343">
        <f>SUMIFS($AU$1388:AU1552,$AB$1388:AB1552,"*")</f>
        <v>4247.179999999933</v>
      </c>
      <c r="BT1551" s="343">
        <f>SUMIFS($AU$1388:AU1552,$AC$1388:AC1552,"*")</f>
        <v>7076.4000000000005</v>
      </c>
      <c r="BU1551" s="343">
        <f>SUMIFS($AU$1388:AU1552,$AA$1388:AA1552,"*",$AB$1388:AB1552,"*")</f>
        <v>2495.999999999824</v>
      </c>
      <c r="BV1551" s="343">
        <f>SUMIFS($AU$1388:AU1552,$AA$1388:AA1552,"*",$AC$1388:AC1552,"*")</f>
        <v>7012.4000000000005</v>
      </c>
      <c r="BW1551" s="343">
        <f>SUMIFS($AU$1388:AU1552,$AB$1388:AB1552,"*",$AC$1388:AC1552,"*")</f>
        <v>1919.9999999999995</v>
      </c>
      <c r="BX1551" s="343">
        <f>SUMIFS($AV$1388:AV1552,$Q$1388:Q1552,"F")</f>
        <v>198.02786430960344</v>
      </c>
      <c r="BY1551" s="343">
        <f>SUMIFS($AV$1388:AV1552,$Q$1388:Q1552,"S")</f>
        <v>364.9324278785781</v>
      </c>
      <c r="BZ1551" s="343">
        <f>SUMIFS($AV$1388:AV1552,$Q$1388:Q1552,"O")</f>
        <v>114.73999999989564</v>
      </c>
    </row>
    <row r="1552" spans="1:78" ht="15.75" customHeight="1">
      <c r="A1552" s="177" t="s">
        <v>5180</v>
      </c>
      <c r="B1552" s="200">
        <v>45327</v>
      </c>
      <c r="C1552" s="178" t="s">
        <v>4917</v>
      </c>
      <c r="D1552" s="178" t="s">
        <v>132</v>
      </c>
      <c r="E1552" s="227"/>
      <c r="F1552" s="180"/>
      <c r="G1552" s="181" t="s">
        <v>2942</v>
      </c>
      <c r="H1552" s="182"/>
      <c r="I1552" s="182"/>
      <c r="J1552" s="182"/>
      <c r="K1552" s="183"/>
      <c r="L1552" s="182"/>
      <c r="M1552" s="182"/>
      <c r="N1552" s="182"/>
      <c r="O1552" s="183"/>
      <c r="P1552" s="183"/>
      <c r="Q1552" s="183"/>
      <c r="R1552" s="183"/>
      <c r="S1552" s="183"/>
      <c r="T1552" s="183"/>
      <c r="U1552" s="183"/>
      <c r="V1552" s="183"/>
      <c r="W1552" s="183"/>
      <c r="X1552" s="183"/>
      <c r="Y1552" s="184"/>
      <c r="Z1552" s="185"/>
      <c r="AA1552" s="185"/>
      <c r="AB1552" s="185"/>
      <c r="AC1552" s="185"/>
      <c r="AD1552" s="649"/>
      <c r="AE1552" s="182"/>
      <c r="AF1552" s="332"/>
      <c r="AG1552" s="182"/>
      <c r="AH1552" s="182"/>
      <c r="AI1552" s="182"/>
      <c r="AJ1552" s="640"/>
      <c r="AK1552" s="182"/>
      <c r="AL1552" s="496">
        <f t="shared" si="441"/>
        <v>0</v>
      </c>
      <c r="AM1552" s="496">
        <f t="shared" si="433"/>
        <v>0</v>
      </c>
      <c r="AN1552" s="626"/>
      <c r="AO1552" s="182"/>
      <c r="AP1552" s="182"/>
      <c r="AQ1552" s="332" t="str">
        <f>UPPER(RIGHT(Journal_Live[[#This Row],[DURATION ]]))</f>
        <v/>
      </c>
      <c r="AR1552" s="182"/>
      <c r="AS1552" s="189"/>
      <c r="AT1552" s="189"/>
      <c r="AU1552" s="187"/>
      <c r="AV1552" s="190"/>
      <c r="AW1552" s="191"/>
      <c r="AX1552" s="407"/>
      <c r="AY1552" s="407"/>
      <c r="AZ1552" s="407"/>
      <c r="BA1552" s="407"/>
      <c r="BB1552" s="407"/>
      <c r="BC1552" s="407"/>
      <c r="BD1552" s="407"/>
      <c r="BE1552" s="407"/>
      <c r="BF1552" s="422"/>
      <c r="BG1552" s="391">
        <f>SUM($AV$1389:AV1552)</f>
        <v>1085.7002921880851</v>
      </c>
      <c r="BH1552" s="392">
        <f>SUM($AU$1389:AU1552)</f>
        <v>14849.379999999761</v>
      </c>
      <c r="BI1552" s="318">
        <f>SUMIFS($AU$1388:AU1642,$Q$1388:Q1642,"F")</f>
        <v>9348.4000000000015</v>
      </c>
      <c r="BJ1552" s="318">
        <f>SUMIFS($AU$1388:AU1642,$Q$1388:Q1642,"S")</f>
        <v>3279.9999999999918</v>
      </c>
      <c r="BK1552" s="343">
        <f>SUMIFS($AU$1388:AU1642,$P$1388:P1642,"W")</f>
        <v>8717.579999999929</v>
      </c>
      <c r="BL1552" s="343">
        <f>SUMIFS($AU$1388:AU1642,$P$1388:P1642,"R")</f>
        <v>4181.9999999999991</v>
      </c>
      <c r="BM1552" s="343">
        <f>SUMIFS($AU$1388:AU1642,$AQ$1388:AQ1642,"M")</f>
        <v>5219.3799999995472</v>
      </c>
      <c r="BN1552" s="343">
        <f>SUMIFS($AU$1388:AU1642,$AQ$1388:AQ1642,"H")</f>
        <v>2931.2000000002599</v>
      </c>
      <c r="BO1552" s="343">
        <f>SUMIFS($AU$1388:AU1642,$AQ$1388:AQ1642,"D")</f>
        <v>1266.0000000000005</v>
      </c>
      <c r="BP1552" s="343">
        <f>SUMIFS($AU$1388:AU1555,$AQ$1388:AQ1555,"W")</f>
        <v>3846.4000000000005</v>
      </c>
      <c r="BQ1552" s="343">
        <f>SUMIFS($AU$1388:AU1642,$Q$1388:Q1642,"O")</f>
        <v>1770.5799999998073</v>
      </c>
      <c r="BR1552" s="343">
        <f>SUMIFS($AU$1388:AU1553,$AA$1388:AA1553,"*")</f>
        <v>13034.199999999651</v>
      </c>
      <c r="BS1552" s="343">
        <f>SUMIFS($AU$1388:AU1553,$AB$1388:AB1553,"*")</f>
        <v>4247.179999999933</v>
      </c>
      <c r="BT1552" s="343">
        <f>SUMIFS($AU$1388:AU1553,$AC$1388:AC1553,"*")</f>
        <v>7076.4000000000005</v>
      </c>
      <c r="BU1552" s="343">
        <f>SUMIFS($AU$1388:AU1553,$AA$1388:AA1553,"*",$AB$1388:AB1553,"*")</f>
        <v>2495.999999999824</v>
      </c>
      <c r="BV1552" s="343">
        <f>SUMIFS($AU$1388:AU1553,$AA$1388:AA1553,"*",$AC$1388:AC1553,"*")</f>
        <v>7012.4000000000005</v>
      </c>
      <c r="BW1552" s="343">
        <f>SUMIFS($AU$1388:AU1553,$AB$1388:AB1553,"*",$AC$1388:AC1553,"*")</f>
        <v>1919.9999999999995</v>
      </c>
      <c r="BX1552" s="343">
        <f>SUMIFS($AV$1388:AV1553,$Q$1388:Q1553,"F")</f>
        <v>198.02786430960344</v>
      </c>
      <c r="BY1552" s="343">
        <f>SUMIFS($AV$1388:AV1553,$Q$1388:Q1553,"S")</f>
        <v>364.9324278785781</v>
      </c>
      <c r="BZ1552" s="343">
        <f>SUMIFS($AV$1388:AV1553,$Q$1388:Q1553,"O")</f>
        <v>114.73999999989564</v>
      </c>
    </row>
    <row r="1553" spans="1:78" ht="15.75" customHeight="1">
      <c r="A1553" s="177" t="s">
        <v>5180</v>
      </c>
      <c r="B1553" s="200">
        <v>45327</v>
      </c>
      <c r="C1553" s="178" t="s">
        <v>5273</v>
      </c>
      <c r="D1553" s="178" t="s">
        <v>132</v>
      </c>
      <c r="E1553" s="227"/>
      <c r="F1553" s="180"/>
      <c r="G1553" s="484" t="s">
        <v>181</v>
      </c>
      <c r="H1553" s="182"/>
      <c r="I1553" s="182"/>
      <c r="J1553" s="182"/>
      <c r="K1553" s="183"/>
      <c r="L1553" s="182"/>
      <c r="M1553" s="182">
        <v>1</v>
      </c>
      <c r="N1553" s="182"/>
      <c r="O1553" s="183" t="s">
        <v>95</v>
      </c>
      <c r="P1553" s="183" t="s">
        <v>96</v>
      </c>
      <c r="Q1553" s="183" t="s">
        <v>97</v>
      </c>
      <c r="R1553" s="183">
        <v>21</v>
      </c>
      <c r="S1553" s="183">
        <v>11</v>
      </c>
      <c r="T1553" s="183">
        <v>21</v>
      </c>
      <c r="U1553" s="183" t="s">
        <v>97</v>
      </c>
      <c r="V1553" s="183"/>
      <c r="W1553" s="183"/>
      <c r="X1553" s="183"/>
      <c r="Y1553" s="184">
        <f>IF(ISBLANK(O1553),"",(IF(O1553=UPPER("IB"),0.005,0.01)))</f>
        <v>0.01</v>
      </c>
      <c r="Z1553" s="185">
        <f>IF(ISBLANK(O1553),"",IF(O1553="IB",8.63*200,IF(O1553="IR",16*100,IF(O1553="YT",20*100,IF(O1553="YT-XT",24*200,IF(O1553="TED",80*100))))))</f>
        <v>1600</v>
      </c>
      <c r="AA1553" s="185" t="s">
        <v>5274</v>
      </c>
      <c r="AB1553" s="409" t="s">
        <v>5275</v>
      </c>
      <c r="AC1553" s="185"/>
      <c r="AD1553" s="649">
        <v>-0.08</v>
      </c>
      <c r="AE1553" s="182"/>
      <c r="AF1553" s="332"/>
      <c r="AG1553" s="182"/>
      <c r="AH1553" s="182"/>
      <c r="AI1553" s="182"/>
      <c r="AJ1553" s="640"/>
      <c r="AK1553" s="182"/>
      <c r="AL1553" s="496">
        <f t="shared" ref="AL1553" si="442">-0.02*Z1553</f>
        <v>-32</v>
      </c>
      <c r="AM1553" s="496">
        <f t="shared" si="433"/>
        <v>-320</v>
      </c>
      <c r="AN1553" s="626"/>
      <c r="AO1553" s="182"/>
      <c r="AP1553" s="182" t="s">
        <v>5276</v>
      </c>
      <c r="AQ1553" s="332" t="s">
        <v>1259</v>
      </c>
      <c r="AR1553" s="182" t="s">
        <v>2616</v>
      </c>
      <c r="AS1553" s="189">
        <v>-0.08</v>
      </c>
      <c r="AT1553" s="189">
        <f>IF(ISBLANK(AS1553),,IF(U1553="S",AD1553-AS1553,AS1553-AD1553))</f>
        <v>0</v>
      </c>
      <c r="AU1553" s="187">
        <f>AV1553*R1553</f>
        <v>0</v>
      </c>
      <c r="AV1553" s="190">
        <f>IF(ISBLANK(AS1553),,(AT1553*Z1553))</f>
        <v>0</v>
      </c>
      <c r="AW1553" s="191" t="s">
        <v>115</v>
      </c>
      <c r="AX1553" s="407" t="s">
        <v>5277</v>
      </c>
      <c r="AY1553" s="407" t="s">
        <v>5278</v>
      </c>
      <c r="AZ1553" s="407" t="s">
        <v>5279</v>
      </c>
      <c r="BA1553" s="407" t="s">
        <v>5280</v>
      </c>
      <c r="BB1553" s="407" t="s">
        <v>5281</v>
      </c>
      <c r="BC1553" s="407"/>
      <c r="BD1553" s="407"/>
      <c r="BE1553" s="407"/>
      <c r="BF1553" s="422"/>
      <c r="BG1553" s="391">
        <f>SUM($AV$1389:AV1553)</f>
        <v>1085.7002921880851</v>
      </c>
      <c r="BH1553" s="392">
        <f>SUM($AU$1389:AU1553)</f>
        <v>14849.379999999761</v>
      </c>
      <c r="BI1553" s="318">
        <f>SUMIFS($AU$1388:AU1562,$Q$1388:Q1562,"F")</f>
        <v>7652.4000000000015</v>
      </c>
      <c r="BJ1553" s="318">
        <f>SUMIFS($AU$1388:AU1562,$Q$1388:Q1562,"S")</f>
        <v>7423.9999999999991</v>
      </c>
      <c r="BK1553" s="343">
        <f>SUMIFS($AU$1388:AU1562,$P$1388:P1562,"W")</f>
        <v>12573.579999999936</v>
      </c>
      <c r="BL1553" s="343">
        <f>SUMIFS($AU$1388:AU1562,$P$1388:P1562,"R")</f>
        <v>2974.0000000000005</v>
      </c>
      <c r="BM1553" s="343">
        <f>SUMIFS($AU$1388:AU1562,$AQ$1388:AQ1562,"M")</f>
        <v>4411.3799999996527</v>
      </c>
      <c r="BN1553" s="343">
        <f>SUMIFS($AU$1388:AU1562,$AQ$1388:AQ1562,"H")</f>
        <v>5343.9999999999973</v>
      </c>
      <c r="BO1553" s="343">
        <f>SUMIFS($AU$1388:AU1562,$AQ$1388:AQ1562,"D")</f>
        <v>2590.0000000000009</v>
      </c>
      <c r="BP1553" s="343">
        <f>SUMIFS($AU$1388:AU1556,$AQ$1388:AQ1556,"W")</f>
        <v>3846.4000000000005</v>
      </c>
      <c r="BQ1553" s="343">
        <f>SUMIFS($AU$1388:AU1562,$Q$1388:Q1562,"O")</f>
        <v>355.37999999964381</v>
      </c>
      <c r="BR1553" s="343">
        <f>SUMIFS($AU$1388:AU1554,$AA$1388:AA1554,"*")</f>
        <v>13034.199999999651</v>
      </c>
      <c r="BS1553" s="343">
        <f>SUMIFS($AU$1388:AU1554,$AB$1388:AB1554,"*")</f>
        <v>4247.179999999933</v>
      </c>
      <c r="BT1553" s="343">
        <f>SUMIFS($AU$1388:AU1554,$AC$1388:AC1554,"*")</f>
        <v>7076.4000000000005</v>
      </c>
      <c r="BU1553" s="343">
        <f>SUMIFS($AU$1388:AU1554,$AA$1388:AA1554,"*",$AB$1388:AB1554,"*")</f>
        <v>2495.999999999824</v>
      </c>
      <c r="BV1553" s="343">
        <f>SUMIFS($AU$1388:AU1554,$AA$1388:AA1554,"*",$AC$1388:AC1554,"*")</f>
        <v>7012.4000000000005</v>
      </c>
      <c r="BW1553" s="343">
        <f>SUMIFS($AU$1388:AU1554,$AB$1388:AB1554,"*",$AC$1388:AC1554,"*")</f>
        <v>1919.9999999999995</v>
      </c>
      <c r="BX1553" s="343">
        <f>SUMIFS($AV$1388:AV1554,$Q$1388:Q1554,"F")</f>
        <v>198.02786430960344</v>
      </c>
      <c r="BY1553" s="343">
        <f>SUMIFS($AV$1388:AV1554,$Q$1388:Q1554,"S")</f>
        <v>364.9324278785781</v>
      </c>
      <c r="BZ1553" s="343">
        <f>SUMIFS($AV$1388:AV1554,$Q$1388:Q1554,"O")</f>
        <v>114.73999999989564</v>
      </c>
    </row>
    <row r="1554" spans="1:78" ht="15.75" customHeight="1">
      <c r="A1554" s="177" t="s">
        <v>5180</v>
      </c>
      <c r="B1554" s="200">
        <v>45327</v>
      </c>
      <c r="C1554" s="178" t="s">
        <v>2060</v>
      </c>
      <c r="D1554" s="178" t="s">
        <v>132</v>
      </c>
      <c r="E1554" s="227"/>
      <c r="F1554" s="180"/>
      <c r="G1554" s="181" t="s">
        <v>5282</v>
      </c>
      <c r="H1554" s="182"/>
      <c r="I1554" s="182"/>
      <c r="J1554" s="182"/>
      <c r="K1554" s="183"/>
      <c r="L1554" s="182"/>
      <c r="M1554" s="182"/>
      <c r="N1554" s="182"/>
      <c r="O1554" s="183"/>
      <c r="P1554" s="183"/>
      <c r="Q1554" s="183"/>
      <c r="R1554" s="183"/>
      <c r="S1554" s="183"/>
      <c r="T1554" s="183"/>
      <c r="U1554" s="183"/>
      <c r="V1554" s="183"/>
      <c r="W1554" s="183"/>
      <c r="X1554" s="183"/>
      <c r="Y1554" s="184"/>
      <c r="Z1554" s="185"/>
      <c r="AA1554" s="185"/>
      <c r="AB1554" s="185"/>
      <c r="AC1554" s="185"/>
      <c r="AD1554" s="649"/>
      <c r="AE1554" s="182"/>
      <c r="AF1554" s="332"/>
      <c r="AG1554" s="182"/>
      <c r="AH1554" s="182"/>
      <c r="AI1554" s="182"/>
      <c r="AJ1554" s="640"/>
      <c r="AK1554" s="182"/>
      <c r="AL1554" s="496">
        <f>-0.02*Z1554</f>
        <v>0</v>
      </c>
      <c r="AM1554" s="496">
        <f t="shared" si="433"/>
        <v>0</v>
      </c>
      <c r="AN1554" s="626"/>
      <c r="AO1554" s="182"/>
      <c r="AP1554" s="182"/>
      <c r="AQ1554" s="332" t="str">
        <f>UPPER(RIGHT(Journal_Live[[#This Row],[DURATION ]]))</f>
        <v/>
      </c>
      <c r="AR1554" s="182"/>
      <c r="AS1554" s="189"/>
      <c r="AT1554" s="189"/>
      <c r="AU1554" s="187"/>
      <c r="AV1554" s="190"/>
      <c r="AW1554" s="191"/>
      <c r="AX1554" s="409" t="s">
        <v>5283</v>
      </c>
      <c r="AY1554" s="407" t="s">
        <v>5284</v>
      </c>
      <c r="AZ1554" s="407" t="s">
        <v>5285</v>
      </c>
      <c r="BA1554" s="407" t="s">
        <v>5286</v>
      </c>
      <c r="BB1554" s="409" t="s">
        <v>5287</v>
      </c>
      <c r="BC1554" s="407"/>
      <c r="BD1554" s="407"/>
      <c r="BE1554" s="407"/>
      <c r="BF1554" s="422"/>
      <c r="BG1554" s="391">
        <f>SUM($AV$1389:AV1554)</f>
        <v>1085.7002921880851</v>
      </c>
      <c r="BH1554" s="392">
        <f>SUM($AU$1389:AU1554)</f>
        <v>14849.379999999761</v>
      </c>
      <c r="BI1554" s="318">
        <f>SUMIFS($AU$1388:AU1556,$Q$1388:Q1556,"F")</f>
        <v>7652.4000000000015</v>
      </c>
      <c r="BJ1554" s="318">
        <f>SUMIFS($AU$1388:AU1556,$Q$1388:Q1556,"S")</f>
        <v>6431.9999999999991</v>
      </c>
      <c r="BK1554" s="343">
        <f>SUMIFS($AU$1388:AU1556,$P$1388:P1556,"W")</f>
        <v>11581.579999999936</v>
      </c>
      <c r="BL1554" s="343">
        <f>SUMIFS($AU$1388:AU1556,$P$1388:P1556,"R")</f>
        <v>2974.0000000000005</v>
      </c>
      <c r="BM1554" s="343">
        <f>SUMIFS($AU$1388:AU1556,$AQ$1388:AQ1556,"M")</f>
        <v>3372.9799999997613</v>
      </c>
      <c r="BN1554" s="343">
        <f>SUMIFS($AU$1388:AU1556,$AQ$1388:AQ1556,"H")</f>
        <v>5343.9999999999973</v>
      </c>
      <c r="BO1554" s="343">
        <f>SUMIFS($AU$1388:AU1556,$AQ$1388:AQ1556,"D")</f>
        <v>2590.0000000000009</v>
      </c>
      <c r="BP1554" s="343">
        <f>SUMIFS($AU$1388:AU1557,$AQ$1388:AQ1557,"W")</f>
        <v>3846.4000000000005</v>
      </c>
      <c r="BQ1554" s="343">
        <f>SUMIFS($AU$1388:AU1556,$Q$1388:Q1556,"O")</f>
        <v>308.97999999975195</v>
      </c>
      <c r="BR1554" s="343">
        <f>SUMIFS($AU$1388:AU1555,$AA$1388:AA1555,"*")</f>
        <v>13034.199999999651</v>
      </c>
      <c r="BS1554" s="343">
        <f>SUMIFS($AU$1388:AU1555,$AB$1388:AB1555,"*")</f>
        <v>4247.179999999933</v>
      </c>
      <c r="BT1554" s="343">
        <f>SUMIFS($AU$1388:AU1555,$AC$1388:AC1555,"*")</f>
        <v>7076.4000000000005</v>
      </c>
      <c r="BU1554" s="343">
        <f>SUMIFS($AU$1388:AU1555,$AA$1388:AA1555,"*",$AB$1388:AB1555,"*")</f>
        <v>2495.999999999824</v>
      </c>
      <c r="BV1554" s="343">
        <f>SUMIFS($AU$1388:AU1555,$AA$1388:AA1555,"*",$AC$1388:AC1555,"*")</f>
        <v>7012.4000000000005</v>
      </c>
      <c r="BW1554" s="343">
        <f>SUMIFS($AU$1388:AU1555,$AB$1388:AB1555,"*",$AC$1388:AC1555,"*")</f>
        <v>1919.9999999999995</v>
      </c>
      <c r="BX1554" s="343">
        <f>SUMIFS($AV$1388:AV1555,$Q$1388:Q1555,"F")</f>
        <v>198.02786430960344</v>
      </c>
      <c r="BY1554" s="343">
        <f>SUMIFS($AV$1388:AV1555,$Q$1388:Q1555,"S")</f>
        <v>364.9324278785781</v>
      </c>
      <c r="BZ1554" s="343">
        <f>SUMIFS($AV$1388:AV1555,$Q$1388:Q1555,"O")</f>
        <v>114.73999999989564</v>
      </c>
    </row>
    <row r="1555" spans="1:78" ht="15.75" customHeight="1">
      <c r="A1555" s="177" t="s">
        <v>5180</v>
      </c>
      <c r="B1555" s="200">
        <v>45327</v>
      </c>
      <c r="C1555" s="178" t="s">
        <v>4917</v>
      </c>
      <c r="D1555" s="178" t="s">
        <v>132</v>
      </c>
      <c r="E1555" s="227"/>
      <c r="F1555" s="180"/>
      <c r="G1555" s="181" t="s">
        <v>2942</v>
      </c>
      <c r="H1555" s="182"/>
      <c r="I1555" s="182"/>
      <c r="J1555" s="182"/>
      <c r="K1555" s="183"/>
      <c r="L1555" s="182"/>
      <c r="M1555" s="182"/>
      <c r="N1555" s="182"/>
      <c r="O1555" s="183"/>
      <c r="P1555" s="183"/>
      <c r="Q1555" s="183"/>
      <c r="R1555" s="183"/>
      <c r="S1555" s="183"/>
      <c r="T1555" s="183"/>
      <c r="U1555" s="183"/>
      <c r="V1555" s="183"/>
      <c r="W1555" s="183"/>
      <c r="X1555" s="183"/>
      <c r="Y1555" s="184"/>
      <c r="Z1555" s="185"/>
      <c r="AA1555" s="185"/>
      <c r="AB1555" s="185"/>
      <c r="AC1555" s="185"/>
      <c r="AD1555" s="649"/>
      <c r="AE1555" s="182"/>
      <c r="AF1555" s="332"/>
      <c r="AG1555" s="182"/>
      <c r="AH1555" s="182"/>
      <c r="AI1555" s="182"/>
      <c r="AJ1555" s="640"/>
      <c r="AK1555" s="182"/>
      <c r="AL1555" s="496">
        <f t="shared" ref="AL1555" si="443">-0.02*Z1555</f>
        <v>0</v>
      </c>
      <c r="AM1555" s="496">
        <f t="shared" si="433"/>
        <v>0</v>
      </c>
      <c r="AN1555" s="626"/>
      <c r="AO1555" s="182"/>
      <c r="AP1555" s="182"/>
      <c r="AQ1555" s="332" t="str">
        <f>UPPER(RIGHT(Journal_Live[[#This Row],[DURATION ]]))</f>
        <v/>
      </c>
      <c r="AR1555" s="182"/>
      <c r="AS1555" s="189"/>
      <c r="AT1555" s="189"/>
      <c r="AU1555" s="187"/>
      <c r="AV1555" s="190"/>
      <c r="AW1555" s="191"/>
      <c r="AX1555" s="407"/>
      <c r="AY1555" s="407"/>
      <c r="AZ1555" s="407"/>
      <c r="BA1555" s="407"/>
      <c r="BB1555" s="407"/>
      <c r="BC1555" s="407"/>
      <c r="BD1555" s="407"/>
      <c r="BE1555" s="407"/>
      <c r="BF1555" s="422"/>
      <c r="BG1555" s="391">
        <f>SUM($AV$1389:AV1555)</f>
        <v>1085.7002921880851</v>
      </c>
      <c r="BH1555" s="392">
        <f>SUM($AU$1389:AU1555)</f>
        <v>14849.379999999761</v>
      </c>
      <c r="BI1555" s="318">
        <f>SUMIFS($AU$1388:AU1645,$Q$1388:Q1645,"F")</f>
        <v>9348.4000000000015</v>
      </c>
      <c r="BJ1555" s="318">
        <f>SUMIFS($AU$1388:AU1645,$Q$1388:Q1645,"S")</f>
        <v>3279.9999999999918</v>
      </c>
      <c r="BK1555" s="343">
        <f>SUMIFS($AU$1388:AU1645,$P$1388:P1645,"W")</f>
        <v>8717.579999999929</v>
      </c>
      <c r="BL1555" s="343">
        <f>SUMIFS($AU$1388:AU1645,$P$1388:P1645,"R")</f>
        <v>4181.9999999999991</v>
      </c>
      <c r="BM1555" s="343">
        <f>SUMIFS($AU$1388:AU1645,$AQ$1388:AQ1645,"M")</f>
        <v>5219.3799999995472</v>
      </c>
      <c r="BN1555" s="343">
        <f>SUMIFS($AU$1388:AU1645,$AQ$1388:AQ1645,"H")</f>
        <v>2931.2000000002599</v>
      </c>
      <c r="BO1555" s="343">
        <f>SUMIFS($AU$1388:AU1645,$AQ$1388:AQ1645,"D")</f>
        <v>1266.0000000000005</v>
      </c>
      <c r="BP1555" s="343">
        <f>SUMIFS($AU$1388:AU1558,$AQ$1388:AQ1558,"W")</f>
        <v>3846.4000000000005</v>
      </c>
      <c r="BQ1555" s="343">
        <f>SUMIFS($AU$1388:AU1645,$Q$1388:Q1645,"O")</f>
        <v>1770.5799999998073</v>
      </c>
      <c r="BR1555" s="343">
        <f>SUMIFS($AU$1388:AU1556,$AA$1388:AA1556,"*")</f>
        <v>13034.199999999651</v>
      </c>
      <c r="BS1555" s="343">
        <f>SUMIFS($AU$1388:AU1556,$AB$1388:AB1556,"*")</f>
        <v>4247.179999999933</v>
      </c>
      <c r="BT1555" s="343">
        <f>SUMIFS($AU$1388:AU1556,$AC$1388:AC1556,"*")</f>
        <v>7076.4000000000005</v>
      </c>
      <c r="BU1555" s="343">
        <f>SUMIFS($AU$1388:AU1556,$AA$1388:AA1556,"*",$AB$1388:AB1556,"*")</f>
        <v>2495.999999999824</v>
      </c>
      <c r="BV1555" s="343">
        <f>SUMIFS($AU$1388:AU1556,$AA$1388:AA1556,"*",$AC$1388:AC1556,"*")</f>
        <v>7012.4000000000005</v>
      </c>
      <c r="BW1555" s="343">
        <f>SUMIFS($AU$1388:AU1556,$AB$1388:AB1556,"*",$AC$1388:AC1556,"*")</f>
        <v>1919.9999999999995</v>
      </c>
      <c r="BX1555" s="343">
        <f>SUMIFS($AV$1388:AV1556,$Q$1388:Q1556,"F")</f>
        <v>198.02786430960344</v>
      </c>
      <c r="BY1555" s="343">
        <f>SUMIFS($AV$1388:AV1556,$Q$1388:Q1556,"S")</f>
        <v>364.9324278785781</v>
      </c>
      <c r="BZ1555" s="343">
        <f>SUMIFS($AV$1388:AV1556,$Q$1388:Q1556,"O")</f>
        <v>114.73999999989564</v>
      </c>
    </row>
    <row r="1556" spans="1:78" ht="15.75" customHeight="1">
      <c r="A1556" s="177" t="s">
        <v>5180</v>
      </c>
      <c r="B1556" s="200">
        <v>45327</v>
      </c>
      <c r="C1556" s="178" t="s">
        <v>3137</v>
      </c>
      <c r="D1556" s="178" t="s">
        <v>132</v>
      </c>
      <c r="E1556" s="227" t="s">
        <v>5288</v>
      </c>
      <c r="F1556" s="180"/>
      <c r="G1556" s="181"/>
      <c r="H1556" s="182">
        <v>1</v>
      </c>
      <c r="I1556" s="182"/>
      <c r="J1556" s="182"/>
      <c r="K1556" s="183" t="s">
        <v>372</v>
      </c>
      <c r="L1556" s="182"/>
      <c r="M1556" s="182"/>
      <c r="N1556" s="182"/>
      <c r="O1556" s="183"/>
      <c r="P1556" s="183"/>
      <c r="Q1556" s="183"/>
      <c r="R1556" s="183"/>
      <c r="S1556" s="183"/>
      <c r="T1556" s="183"/>
      <c r="U1556" s="183"/>
      <c r="V1556" s="183"/>
      <c r="W1556" s="183"/>
      <c r="X1556" s="183"/>
      <c r="Y1556" s="184"/>
      <c r="Z1556" s="185"/>
      <c r="AA1556" s="185"/>
      <c r="AB1556" s="185"/>
      <c r="AC1556" s="185"/>
      <c r="AD1556" s="649"/>
      <c r="AE1556" s="182"/>
      <c r="AF1556" s="332"/>
      <c r="AG1556" s="182"/>
      <c r="AH1556" s="182"/>
      <c r="AI1556" s="182"/>
      <c r="AJ1556" s="640"/>
      <c r="AK1556" s="182"/>
      <c r="AL1556" s="496">
        <f t="shared" ref="AL1556:AL2630" si="444">-0.02*Z1556</f>
        <v>0</v>
      </c>
      <c r="AM1556" s="496">
        <f t="shared" si="433"/>
        <v>0</v>
      </c>
      <c r="AN1556" s="626"/>
      <c r="AO1556" s="182"/>
      <c r="AP1556" s="182"/>
      <c r="AQ1556" s="332" t="str">
        <f>UPPER(RIGHT(Journal_Live[[#This Row],[DURATION ]]))</f>
        <v/>
      </c>
      <c r="AR1556" s="182"/>
      <c r="AS1556" s="189"/>
      <c r="AT1556" s="189"/>
      <c r="AU1556" s="187"/>
      <c r="AV1556" s="190"/>
      <c r="AW1556" s="191"/>
      <c r="AX1556" s="409" t="s">
        <v>5289</v>
      </c>
      <c r="AY1556" s="407" t="s">
        <v>5290</v>
      </c>
      <c r="AZ1556" s="407"/>
      <c r="BA1556" s="407"/>
      <c r="BB1556" s="407"/>
      <c r="BC1556" s="407"/>
      <c r="BD1556" s="407"/>
      <c r="BE1556" s="407"/>
      <c r="BF1556" s="422"/>
      <c r="BG1556" s="391">
        <f>SUM($AV$1389:AV1556)</f>
        <v>1085.7002921880851</v>
      </c>
      <c r="BH1556" s="392">
        <f>SUM($AU$1389:AU1556)</f>
        <v>14849.379999999761</v>
      </c>
      <c r="BI1556" s="318">
        <f>SUMIFS($AU$1388:AU1557,$Q$1388:Q1557,"F")</f>
        <v>7652.4000000000015</v>
      </c>
      <c r="BJ1556" s="318">
        <f>SUMIFS($AU$1388:AU1557,$Q$1388:Q1557,"S")</f>
        <v>6431.9999999999991</v>
      </c>
      <c r="BK1556" s="343">
        <f>SUMIFS($AU$1388:AU1557,$P$1388:P1557,"W")</f>
        <v>11581.579999999936</v>
      </c>
      <c r="BL1556" s="343">
        <f>SUMIFS($AU$1388:AU1557,$P$1388:P1557,"R")</f>
        <v>2974.0000000000005</v>
      </c>
      <c r="BM1556" s="343">
        <f>SUMIFS($AU$1388:AU1557,$AQ$1388:AQ1557,"M")</f>
        <v>3419.3799999996531</v>
      </c>
      <c r="BN1556" s="343">
        <f>SUMIFS($AU$1388:AU1557,$AQ$1388:AQ1557,"H")</f>
        <v>5343.9999999999973</v>
      </c>
      <c r="BO1556" s="343">
        <f>SUMIFS($AU$1388:AU1557,$AQ$1388:AQ1557,"D")</f>
        <v>2590.0000000000009</v>
      </c>
      <c r="BP1556" s="343">
        <f>SUMIFS($AU$1388:AU1559,$AQ$1388:AQ1559,"W")</f>
        <v>3846.4000000000005</v>
      </c>
      <c r="BQ1556" s="343">
        <f>SUMIFS($AU$1388:AU1557,$Q$1388:Q1557,"O")</f>
        <v>355.37999999964381</v>
      </c>
      <c r="BR1556" s="343">
        <f>SUMIFS($AU$1388:AU1557,$AA$1388:AA1557,"*")</f>
        <v>13080.599999999544</v>
      </c>
      <c r="BS1556" s="343">
        <f>SUMIFS($AU$1388:AU1557,$AB$1388:AB1557,"*")</f>
        <v>4247.179999999933</v>
      </c>
      <c r="BT1556" s="343">
        <f>SUMIFS($AU$1388:AU1557,$AC$1388:AC1557,"*")</f>
        <v>7076.4000000000005</v>
      </c>
      <c r="BU1556" s="343">
        <f>SUMIFS($AU$1388:AU1557,$AA$1388:AA1557,"*",$AB$1388:AB1557,"*")</f>
        <v>2495.999999999824</v>
      </c>
      <c r="BV1556" s="343">
        <f>SUMIFS($AU$1388:AU1557,$AA$1388:AA1557,"*",$AC$1388:AC1557,"*")</f>
        <v>7012.4000000000005</v>
      </c>
      <c r="BW1556" s="343">
        <f>SUMIFS($AU$1388:AU1557,$AB$1388:AB1557,"*",$AC$1388:AC1557,"*")</f>
        <v>1919.9999999999995</v>
      </c>
      <c r="BX1556" s="343">
        <f>SUMIFS($AV$1388:AV1557,$Q$1388:Q1557,"F")</f>
        <v>198.02786430960344</v>
      </c>
      <c r="BY1556" s="343">
        <f>SUMIFS($AV$1388:AV1557,$Q$1388:Q1557,"S")</f>
        <v>364.9324278785781</v>
      </c>
      <c r="BZ1556" s="343">
        <f>SUMIFS($AV$1388:AV1557,$Q$1388:Q1557,"O")</f>
        <v>137.93999999984158</v>
      </c>
    </row>
    <row r="1557" spans="1:78" ht="15.75" customHeight="1">
      <c r="A1557" s="177" t="s">
        <v>5180</v>
      </c>
      <c r="B1557" s="200">
        <v>45327</v>
      </c>
      <c r="C1557" s="178" t="s">
        <v>682</v>
      </c>
      <c r="D1557" s="178" t="s">
        <v>132</v>
      </c>
      <c r="E1557" s="227" t="s">
        <v>5291</v>
      </c>
      <c r="F1557" s="180"/>
      <c r="G1557" s="181" t="s">
        <v>4887</v>
      </c>
      <c r="H1557" s="182"/>
      <c r="I1557" s="182"/>
      <c r="J1557" s="182"/>
      <c r="K1557" s="183"/>
      <c r="L1557" s="182">
        <v>2</v>
      </c>
      <c r="M1557" s="182"/>
      <c r="N1557" s="182"/>
      <c r="O1557" s="183" t="s">
        <v>3618</v>
      </c>
      <c r="P1557" s="183" t="s">
        <v>2260</v>
      </c>
      <c r="Q1557" s="183" t="s">
        <v>684</v>
      </c>
      <c r="R1557" s="183">
        <v>2</v>
      </c>
      <c r="S1557" s="183">
        <v>0</v>
      </c>
      <c r="T1557" s="183">
        <v>1</v>
      </c>
      <c r="U1557" s="183" t="s">
        <v>97</v>
      </c>
      <c r="V1557" s="183"/>
      <c r="W1557" s="183"/>
      <c r="X1557" s="183"/>
      <c r="Y1557" s="184">
        <f t="shared" ref="Y1557:Y1566" si="445">IF(ISBLANK(O1557),"",(IF(O1557=UPPER("IB"),0.005,0.01)))</f>
        <v>0.01</v>
      </c>
      <c r="Z1557" s="185">
        <f>IF(ISBLANK(O1557),"",IF(O1557="IB",8.63*200,IF(O1557="IR",16*100,IF(O1557="YT",20*100,IF(O1557="YT-XT",24*200,IF(O1557="TED",80*100,IF(O1557="XT",29*200)))))))</f>
        <v>5800</v>
      </c>
      <c r="AA1557" s="185" t="s">
        <v>5231</v>
      </c>
      <c r="AB1557" s="185"/>
      <c r="AC1557" s="185"/>
      <c r="AD1557" s="649">
        <v>95.816999999999993</v>
      </c>
      <c r="AE1557" s="182"/>
      <c r="AF1557" s="332"/>
      <c r="AG1557" s="182"/>
      <c r="AH1557" s="182"/>
      <c r="AI1557" s="182"/>
      <c r="AJ1557" s="640"/>
      <c r="AK1557" s="182"/>
      <c r="AL1557" s="496">
        <f>-0.04*Z1557</f>
        <v>-232</v>
      </c>
      <c r="AM1557" s="496">
        <f t="shared" si="433"/>
        <v>-464</v>
      </c>
      <c r="AN1557" s="626"/>
      <c r="AO1557" s="182"/>
      <c r="AP1557" s="182" t="s">
        <v>2523</v>
      </c>
      <c r="AQ1557" s="332" t="s">
        <v>1259</v>
      </c>
      <c r="AR1557" s="182" t="s">
        <v>5036</v>
      </c>
      <c r="AS1557" s="189">
        <v>95.813000000000002</v>
      </c>
      <c r="AT1557" s="189">
        <f>IF(ISBLANK(AS1557),,IF(U1557="S",AD1557-AS1557,AS1557-AD1557))</f>
        <v>3.9999999999906777E-3</v>
      </c>
      <c r="AU1557" s="187">
        <f>AV1557*R1557</f>
        <v>46.399999999891861</v>
      </c>
      <c r="AV1557" s="190">
        <f>IF(ISBLANK(AS1557),,(AT1557*Z1557))</f>
        <v>23.199999999945931</v>
      </c>
      <c r="AW1557" s="191" t="s">
        <v>96</v>
      </c>
      <c r="AX1557" s="407" t="s">
        <v>5292</v>
      </c>
      <c r="AY1557" s="407" t="s">
        <v>5293</v>
      </c>
      <c r="AZ1557" s="407" t="s">
        <v>5294</v>
      </c>
      <c r="BA1557" s="407" t="s">
        <v>5295</v>
      </c>
      <c r="BB1557" s="407"/>
      <c r="BC1557" s="407"/>
      <c r="BD1557" s="407" t="s">
        <v>5296</v>
      </c>
      <c r="BE1557" s="407" t="s">
        <v>5297</v>
      </c>
      <c r="BF1557" s="422"/>
      <c r="BG1557" s="391">
        <f>SUM($AV$1389:AV1557)</f>
        <v>1108.900292188031</v>
      </c>
      <c r="BH1557" s="392">
        <f>SUM($AU$1389:AU1557)</f>
        <v>14895.779999999653</v>
      </c>
      <c r="BI1557" s="318">
        <f>SUMIFS($AU$1388:AU1558,$Q$1388:Q1558,"F")</f>
        <v>7652.4000000000015</v>
      </c>
      <c r="BJ1557" s="318">
        <f>SUMIFS($AU$1388:AU1558,$Q$1388:Q1558,"S")</f>
        <v>6431.9999999999991</v>
      </c>
      <c r="BK1557" s="343">
        <f>SUMIFS($AU$1388:AU1558,$P$1388:P1558,"W")</f>
        <v>11581.579999999936</v>
      </c>
      <c r="BL1557" s="343">
        <f>SUMIFS($AU$1388:AU1558,$P$1388:P1558,"R")</f>
        <v>2974.0000000000005</v>
      </c>
      <c r="BM1557" s="343">
        <f>SUMIFS($AU$1388:AU1558,$AQ$1388:AQ1558,"M")</f>
        <v>3419.3799999996531</v>
      </c>
      <c r="BN1557" s="343">
        <f>SUMIFS($AU$1388:AU1558,$AQ$1388:AQ1558,"H")</f>
        <v>5343.9999999999973</v>
      </c>
      <c r="BO1557" s="343">
        <f>SUMIFS($AU$1388:AU1558,$AQ$1388:AQ1558,"D")</f>
        <v>2590.0000000000009</v>
      </c>
      <c r="BP1557" s="343">
        <f>SUMIFS($AU$1388:AU1560,$AQ$1388:AQ1560,"W")</f>
        <v>3846.4000000000005</v>
      </c>
      <c r="BQ1557" s="343">
        <f>SUMIFS($AU$1388:AU1558,$Q$1388:Q1558,"O")</f>
        <v>355.37999999964381</v>
      </c>
      <c r="BR1557" s="343">
        <f>SUMIFS($AU$1388:AU1558,$AA$1388:AA1558,"*")</f>
        <v>13080.599999999544</v>
      </c>
      <c r="BS1557" s="343">
        <f>SUMIFS($AU$1388:AU1558,$AB$1388:AB1558,"*")</f>
        <v>4247.179999999933</v>
      </c>
      <c r="BT1557" s="343">
        <f>SUMIFS($AU$1388:AU1558,$AC$1388:AC1558,"*")</f>
        <v>7076.4000000000005</v>
      </c>
      <c r="BU1557" s="343">
        <f>SUMIFS($AU$1388:AU1558,$AA$1388:AA1558,"*",$AB$1388:AB1558,"*")</f>
        <v>2495.999999999824</v>
      </c>
      <c r="BV1557" s="343">
        <f>SUMIFS($AU$1388:AU1558,$AA$1388:AA1558,"*",$AC$1388:AC1558,"*")</f>
        <v>7012.4000000000005</v>
      </c>
      <c r="BW1557" s="343">
        <f>SUMIFS($AU$1388:AU1558,$AB$1388:AB1558,"*",$AC$1388:AC1558,"*")</f>
        <v>1919.9999999999995</v>
      </c>
      <c r="BX1557" s="343">
        <f>SUMIFS($AV$1388:AV1558,$Q$1388:Q1558,"F")</f>
        <v>198.02786430960344</v>
      </c>
      <c r="BY1557" s="343">
        <f>SUMIFS($AV$1388:AV1558,$Q$1388:Q1558,"S")</f>
        <v>364.9324278785781</v>
      </c>
      <c r="BZ1557" s="343">
        <f>SUMIFS($AV$1388:AV1558,$Q$1388:Q1558,"O")</f>
        <v>137.93999999984158</v>
      </c>
    </row>
    <row r="1558" spans="1:78" ht="15.75" customHeight="1">
      <c r="A1558" s="177" t="s">
        <v>5180</v>
      </c>
      <c r="B1558" s="200">
        <v>45328</v>
      </c>
      <c r="C1558" s="178" t="s">
        <v>3368</v>
      </c>
      <c r="D1558" s="178" t="s">
        <v>146</v>
      </c>
      <c r="E1558" s="227" t="s">
        <v>5298</v>
      </c>
      <c r="F1558" s="180" t="s">
        <v>5299</v>
      </c>
      <c r="G1558" s="181"/>
      <c r="H1558" s="182"/>
      <c r="I1558" s="182">
        <v>1</v>
      </c>
      <c r="J1558" s="182"/>
      <c r="K1558" s="183"/>
      <c r="L1558" s="182"/>
      <c r="M1558" s="182"/>
      <c r="N1558" s="182"/>
      <c r="O1558" s="183"/>
      <c r="P1558" s="183"/>
      <c r="Q1558" s="183"/>
      <c r="R1558" s="183"/>
      <c r="S1558" s="183"/>
      <c r="T1558" s="183"/>
      <c r="U1558" s="183"/>
      <c r="V1558" s="183"/>
      <c r="W1558" s="183"/>
      <c r="X1558" s="183"/>
      <c r="Y1558" s="184" t="str">
        <f t="shared" si="445"/>
        <v/>
      </c>
      <c r="Z1558" s="185" t="str">
        <f>IF(ISBLANK(O1558),"",IF(O1558="IB",8.63*200,IF(O1558="IR",16*100,IF(O1558="YT",20*100,IF(O1558="YT-XT",24*200,IF(O1558="TED",80*100,IF(O1558="XT",29*200)))))))</f>
        <v/>
      </c>
      <c r="AA1558" s="185"/>
      <c r="AB1558" s="185"/>
      <c r="AC1558" s="185"/>
      <c r="AD1558" s="649"/>
      <c r="AE1558" s="182"/>
      <c r="AF1558" s="332"/>
      <c r="AG1558" s="182"/>
      <c r="AH1558" s="182"/>
      <c r="AI1558" s="182"/>
      <c r="AJ1558" s="640"/>
      <c r="AK1558" s="182"/>
      <c r="AL1558" s="496"/>
      <c r="AM1558" s="496"/>
      <c r="AN1558" s="626"/>
      <c r="AO1558" s="182"/>
      <c r="AP1558" s="182"/>
      <c r="AQ1558" s="332" t="str">
        <f>UPPER(RIGHT(Journal_Live[[#This Row],[DURATION ]]))</f>
        <v/>
      </c>
      <c r="AR1558" s="182"/>
      <c r="AS1558" s="189"/>
      <c r="AT1558" s="189"/>
      <c r="AU1558" s="187"/>
      <c r="AV1558" s="190"/>
      <c r="AW1558" s="191"/>
      <c r="AX1558" s="407" t="s">
        <v>5300</v>
      </c>
      <c r="AY1558" s="407" t="s">
        <v>5301</v>
      </c>
      <c r="AZ1558" s="407"/>
      <c r="BA1558" s="407"/>
      <c r="BB1558" s="407"/>
      <c r="BC1558" s="407"/>
      <c r="BD1558" s="407"/>
      <c r="BE1558" s="407"/>
      <c r="BF1558" s="422"/>
      <c r="BG1558" s="391">
        <f>SUM($AV$1389:AV1558)</f>
        <v>1108.900292188031</v>
      </c>
      <c r="BH1558" s="392">
        <f>SUM($AU$1389:AU1558)</f>
        <v>14895.779999999653</v>
      </c>
      <c r="BI1558" s="318">
        <f>SUMIFS($AU$1388:AU1559,$Q$1388:Q1559,"F")</f>
        <v>7652.4000000000015</v>
      </c>
      <c r="BJ1558" s="318">
        <f>SUMIFS($AU$1388:AU1559,$Q$1388:Q1559,"S")</f>
        <v>7103.9999999999991</v>
      </c>
      <c r="BK1558" s="343">
        <f>SUMIFS($AU$1388:AU1559,$P$1388:P1559,"W")</f>
        <v>12253.579999999936</v>
      </c>
      <c r="BL1558" s="343">
        <f>SUMIFS($AU$1388:AU1559,$P$1388:P1559,"R")</f>
        <v>2974.0000000000005</v>
      </c>
      <c r="BM1558" s="343">
        <f>SUMIFS($AU$1388:AU1559,$AQ$1388:AQ1559,"M")</f>
        <v>4091.3799999996531</v>
      </c>
      <c r="BN1558" s="343">
        <f>SUMIFS($AU$1388:AU1559,$AQ$1388:AQ1559,"H")</f>
        <v>5343.9999999999973</v>
      </c>
      <c r="BO1558" s="343">
        <f>SUMIFS($AU$1388:AU1559,$AQ$1388:AQ1559,"D")</f>
        <v>2590.0000000000009</v>
      </c>
      <c r="BP1558" s="343">
        <f>SUMIFS($AU$1388:AU1561,$AQ$1388:AQ1561,"W")</f>
        <v>3846.4000000000005</v>
      </c>
      <c r="BQ1558" s="343">
        <f>SUMIFS($AU$1388:AU1559,$Q$1388:Q1559,"O")</f>
        <v>355.37999999964381</v>
      </c>
      <c r="BR1558" s="343">
        <f>SUMIFS($AU$1388:AU1559,$AA$1388:AA1559,"*")</f>
        <v>13752.599999999544</v>
      </c>
      <c r="BS1558" s="343">
        <f>SUMIFS($AU$1388:AU1559,$AB$1388:AB1559,"*")</f>
        <v>4919.179999999933</v>
      </c>
      <c r="BT1558" s="343">
        <f>SUMIFS($AU$1388:AU1559,$AC$1388:AC1559,"*")</f>
        <v>7076.4000000000005</v>
      </c>
      <c r="BU1558" s="343">
        <f>SUMIFS($AU$1388:AU1559,$AA$1388:AA1559,"*",$AB$1388:AB1559,"*")</f>
        <v>3167.999999999824</v>
      </c>
      <c r="BV1558" s="343">
        <f>SUMIFS($AU$1388:AU1559,$AA$1388:AA1559,"*",$AC$1388:AC1559,"*")</f>
        <v>7012.4000000000005</v>
      </c>
      <c r="BW1558" s="343">
        <f>SUMIFS($AU$1388:AU1559,$AB$1388:AB1559,"*",$AC$1388:AC1559,"*")</f>
        <v>1919.9999999999995</v>
      </c>
      <c r="BX1558" s="343">
        <f>SUMIFS($AV$1388:AV1559,$Q$1388:Q1559,"F")</f>
        <v>198.02786430960344</v>
      </c>
      <c r="BY1558" s="343">
        <f>SUMIFS($AV$1388:AV1559,$Q$1388:Q1559,"S")</f>
        <v>380.9324278785781</v>
      </c>
      <c r="BZ1558" s="343">
        <f>SUMIFS($AV$1388:AV1559,$Q$1388:Q1559,"O")</f>
        <v>137.93999999984158</v>
      </c>
    </row>
    <row r="1559" spans="1:78" ht="15.75" customHeight="1">
      <c r="A1559" s="177" t="s">
        <v>5180</v>
      </c>
      <c r="B1559" s="200">
        <v>45328</v>
      </c>
      <c r="C1559" s="178" t="s">
        <v>682</v>
      </c>
      <c r="D1559" s="178" t="s">
        <v>146</v>
      </c>
      <c r="E1559" s="227"/>
      <c r="F1559" s="180"/>
      <c r="G1559" s="484" t="s">
        <v>181</v>
      </c>
      <c r="H1559" s="182"/>
      <c r="I1559" s="182"/>
      <c r="J1559" s="182"/>
      <c r="K1559" s="183"/>
      <c r="L1559" s="182"/>
      <c r="M1559" s="182">
        <v>2</v>
      </c>
      <c r="N1559" s="182"/>
      <c r="O1559" s="183" t="s">
        <v>95</v>
      </c>
      <c r="P1559" s="183" t="s">
        <v>96</v>
      </c>
      <c r="Q1559" s="183" t="s">
        <v>97</v>
      </c>
      <c r="R1559" s="183">
        <v>42</v>
      </c>
      <c r="S1559" s="183">
        <v>0</v>
      </c>
      <c r="T1559" s="183">
        <v>21</v>
      </c>
      <c r="U1559" s="183" t="s">
        <v>97</v>
      </c>
      <c r="V1559" s="183"/>
      <c r="W1559" s="183"/>
      <c r="X1559" s="183"/>
      <c r="Y1559" s="184">
        <f t="shared" si="445"/>
        <v>0.01</v>
      </c>
      <c r="Z1559" s="185">
        <f>IF(ISBLANK(O1559),"",IF(O1559="IB",8.63*200,IF(O1559="IR",16*100,IF(O1559="YT",20*100,IF(O1559="YT-XT",24*200,IF(O1559="TED",80*100))))))</f>
        <v>1600</v>
      </c>
      <c r="AA1559" s="185" t="s">
        <v>5302</v>
      </c>
      <c r="AB1559" s="185" t="s">
        <v>5303</v>
      </c>
      <c r="AC1559" s="185"/>
      <c r="AD1559" s="649">
        <v>-0.03</v>
      </c>
      <c r="AE1559" s="182"/>
      <c r="AF1559" s="332"/>
      <c r="AG1559" s="182"/>
      <c r="AH1559" s="182"/>
      <c r="AI1559" s="182"/>
      <c r="AJ1559" s="640"/>
      <c r="AK1559" s="182"/>
      <c r="AL1559" s="496">
        <f t="shared" si="444"/>
        <v>-32</v>
      </c>
      <c r="AM1559" s="496">
        <f t="shared" ref="AM1559:AM1583" si="446">AL1559*(R1559-S1559)</f>
        <v>-1344</v>
      </c>
      <c r="AN1559" s="626"/>
      <c r="AO1559" s="182"/>
      <c r="AP1559" s="182" t="s">
        <v>5304</v>
      </c>
      <c r="AQ1559" s="332" t="s">
        <v>1259</v>
      </c>
      <c r="AR1559" s="182" t="s">
        <v>682</v>
      </c>
      <c r="AS1559" s="189">
        <v>-0.04</v>
      </c>
      <c r="AT1559" s="189">
        <f t="shared" ref="AT1559:AT1566" si="447">IF(ISBLANK(AS1559),,IF(U1559="S",AD1559-AS1559,AS1559-AD1559))</f>
        <v>1.0000000000000002E-2</v>
      </c>
      <c r="AU1559" s="187">
        <f t="shared" ref="AU1559:AU1566" si="448">AV1559*R1559</f>
        <v>672.00000000000011</v>
      </c>
      <c r="AV1559" s="190">
        <f t="shared" ref="AV1559:AV1566" si="449">IF(ISBLANK(AS1559),,(AT1559*Z1559))</f>
        <v>16.000000000000004</v>
      </c>
      <c r="AW1559" s="191" t="s">
        <v>96</v>
      </c>
      <c r="AX1559" s="407"/>
      <c r="AY1559" s="407"/>
      <c r="AZ1559" s="407"/>
      <c r="BA1559" s="407" t="s">
        <v>782</v>
      </c>
      <c r="BB1559" s="407"/>
      <c r="BC1559" s="407"/>
      <c r="BD1559" s="407"/>
      <c r="BE1559" s="407"/>
      <c r="BF1559" s="422"/>
      <c r="BG1559" s="391">
        <f>SUM($AV$1389:AV1559)</f>
        <v>1124.900292188031</v>
      </c>
      <c r="BH1559" s="392">
        <f>SUM($AU$1389:AU1559)</f>
        <v>15567.779999999653</v>
      </c>
      <c r="BI1559" s="318">
        <f>SUMIFS($AU$1388:AU1560,$Q$1388:Q1560,"F")</f>
        <v>7652.4000000000015</v>
      </c>
      <c r="BJ1559" s="318">
        <f>SUMIFS($AU$1388:AU1560,$Q$1388:Q1560,"S")</f>
        <v>7423.9999999999991</v>
      </c>
      <c r="BK1559" s="343">
        <f>SUMIFS($AU$1388:AU1560,$P$1388:P1560,"W")</f>
        <v>12573.579999999936</v>
      </c>
      <c r="BL1559" s="343">
        <f>SUMIFS($AU$1388:AU1560,$P$1388:P1560,"R")</f>
        <v>2974.0000000000005</v>
      </c>
      <c r="BM1559" s="343">
        <f>SUMIFS($AU$1388:AU1560,$AQ$1388:AQ1560,"M")</f>
        <v>4411.3799999996527</v>
      </c>
      <c r="BN1559" s="343">
        <f>SUMIFS($AU$1388:AU1560,$AQ$1388:AQ1560,"H")</f>
        <v>5343.9999999999973</v>
      </c>
      <c r="BO1559" s="343">
        <f>SUMIFS($AU$1388:AU1560,$AQ$1388:AQ1560,"D")</f>
        <v>2590.0000000000009</v>
      </c>
      <c r="BP1559" s="343">
        <f>SUMIFS($AU$1388:AU1562,$AQ$1388:AQ1562,"W")</f>
        <v>3846.4000000000005</v>
      </c>
      <c r="BQ1559" s="343">
        <f>SUMIFS($AU$1388:AU1560,$Q$1388:Q1560,"O")</f>
        <v>355.37999999964381</v>
      </c>
      <c r="BR1559" s="343">
        <f>SUMIFS($AU$1388:AU1560,$AA$1388:AA1560,"*")</f>
        <v>14072.599999999544</v>
      </c>
      <c r="BS1559" s="343">
        <f>SUMIFS($AU$1388:AU1560,$AB$1388:AB1560,"*")</f>
        <v>4919.179999999933</v>
      </c>
      <c r="BT1559" s="343">
        <f>SUMIFS($AU$1388:AU1560,$AC$1388:AC1560,"*")</f>
        <v>7076.4000000000005</v>
      </c>
      <c r="BU1559" s="343">
        <f>SUMIFS($AU$1388:AU1560,$AA$1388:AA1560,"*",$AB$1388:AB1560,"*")</f>
        <v>3167.999999999824</v>
      </c>
      <c r="BV1559" s="343">
        <f>SUMIFS($AU$1388:AU1560,$AA$1388:AA1560,"*",$AC$1388:AC1560,"*")</f>
        <v>7012.4000000000005</v>
      </c>
      <c r="BW1559" s="343">
        <f>SUMIFS($AU$1388:AU1560,$AB$1388:AB1560,"*",$AC$1388:AC1560,"*")</f>
        <v>1919.9999999999995</v>
      </c>
      <c r="BX1559" s="343">
        <f>SUMIFS($AV$1388:AV1560,$Q$1388:Q1560,"F")</f>
        <v>198.02786430960344</v>
      </c>
      <c r="BY1559" s="343">
        <f>SUMIFS($AV$1388:AV1560,$Q$1388:Q1560,"S")</f>
        <v>396.9324278785781</v>
      </c>
      <c r="BZ1559" s="343">
        <f>SUMIFS($AV$1388:AV1560,$Q$1388:Q1560,"O")</f>
        <v>137.93999999984158</v>
      </c>
    </row>
    <row r="1560" spans="1:78" ht="15.75" customHeight="1">
      <c r="A1560" s="177" t="s">
        <v>5180</v>
      </c>
      <c r="B1560" s="200">
        <v>45328</v>
      </c>
      <c r="C1560" s="178" t="s">
        <v>682</v>
      </c>
      <c r="D1560" s="178" t="s">
        <v>146</v>
      </c>
      <c r="E1560" s="227"/>
      <c r="F1560" s="180"/>
      <c r="G1560" s="484" t="s">
        <v>181</v>
      </c>
      <c r="H1560" s="182"/>
      <c r="I1560" s="182"/>
      <c r="J1560" s="182"/>
      <c r="K1560" s="183"/>
      <c r="L1560" s="182"/>
      <c r="M1560" s="182">
        <v>2</v>
      </c>
      <c r="N1560" s="182"/>
      <c r="O1560" s="183" t="s">
        <v>95</v>
      </c>
      <c r="P1560" s="183" t="s">
        <v>96</v>
      </c>
      <c r="Q1560" s="183" t="s">
        <v>97</v>
      </c>
      <c r="R1560" s="183">
        <v>20</v>
      </c>
      <c r="S1560" s="183">
        <v>0</v>
      </c>
      <c r="T1560" s="183">
        <v>20</v>
      </c>
      <c r="U1560" s="183" t="s">
        <v>97</v>
      </c>
      <c r="V1560" s="183"/>
      <c r="W1560" s="183"/>
      <c r="X1560" s="183"/>
      <c r="Y1560" s="184">
        <f t="shared" si="445"/>
        <v>0.01</v>
      </c>
      <c r="Z1560" s="185">
        <f>IF(ISBLANK(O1560),"",IF(O1560="IB",8.63*200,IF(O1560="IR",16*100,IF(O1560="YT",20*100,IF(O1560="YT-XT",24*200,IF(O1560="TED",80*100))))))</f>
        <v>1600</v>
      </c>
      <c r="AA1560" s="185" t="s">
        <v>5305</v>
      </c>
      <c r="AB1560" s="185"/>
      <c r="AC1560" s="185"/>
      <c r="AD1560" s="649">
        <v>-0.05</v>
      </c>
      <c r="AE1560" s="182"/>
      <c r="AF1560" s="332"/>
      <c r="AG1560" s="182"/>
      <c r="AH1560" s="182"/>
      <c r="AI1560" s="182"/>
      <c r="AJ1560" s="640"/>
      <c r="AK1560" s="182"/>
      <c r="AL1560" s="496">
        <f t="shared" si="444"/>
        <v>-32</v>
      </c>
      <c r="AM1560" s="496">
        <f t="shared" si="446"/>
        <v>-640</v>
      </c>
      <c r="AN1560" s="626"/>
      <c r="AO1560" s="182"/>
      <c r="AP1560" s="182" t="s">
        <v>5304</v>
      </c>
      <c r="AQ1560" s="332" t="s">
        <v>1259</v>
      </c>
      <c r="AR1560" s="182" t="s">
        <v>682</v>
      </c>
      <c r="AS1560" s="189">
        <v>-0.06</v>
      </c>
      <c r="AT1560" s="189">
        <f t="shared" si="447"/>
        <v>9.999999999999995E-3</v>
      </c>
      <c r="AU1560" s="187">
        <f t="shared" si="448"/>
        <v>319.99999999999989</v>
      </c>
      <c r="AV1560" s="190">
        <f t="shared" si="449"/>
        <v>15.999999999999993</v>
      </c>
      <c r="AW1560" s="191" t="s">
        <v>96</v>
      </c>
      <c r="AX1560" s="407" t="s">
        <v>5306</v>
      </c>
      <c r="AY1560" s="407" t="s">
        <v>5307</v>
      </c>
      <c r="AZ1560" s="407"/>
      <c r="BA1560" s="407" t="s">
        <v>195</v>
      </c>
      <c r="BB1560" s="407" t="s">
        <v>5308</v>
      </c>
      <c r="BC1560" s="407"/>
      <c r="BD1560" s="407"/>
      <c r="BE1560" s="407"/>
      <c r="BF1560" s="422"/>
      <c r="BG1560" s="391">
        <f>SUM($AV$1389:AV1560)</f>
        <v>1140.900292188031</v>
      </c>
      <c r="BH1560" s="392">
        <f>SUM($AU$1389:AU1560)</f>
        <v>15887.779999999653</v>
      </c>
      <c r="BI1560" s="318">
        <f>SUMIFS($AU$1388:AU1561,$Q$1388:Q1561,"F")</f>
        <v>7652.4000000000015</v>
      </c>
      <c r="BJ1560" s="318">
        <f>SUMIFS($AU$1388:AU1561,$Q$1388:Q1561,"S")</f>
        <v>7423.9999999999991</v>
      </c>
      <c r="BK1560" s="343">
        <f>SUMIFS($AU$1388:AU1561,$P$1388:P1561,"W")</f>
        <v>12573.579999999936</v>
      </c>
      <c r="BL1560" s="343">
        <f>SUMIFS($AU$1388:AU1561,$P$1388:P1561,"R")</f>
        <v>2974.0000000000005</v>
      </c>
      <c r="BM1560" s="343">
        <f>SUMIFS($AU$1388:AU1561,$AQ$1388:AQ1561,"M")</f>
        <v>4411.3799999996527</v>
      </c>
      <c r="BN1560" s="343">
        <f>SUMIFS($AU$1388:AU1561,$AQ$1388:AQ1561,"H")</f>
        <v>5343.9999999999973</v>
      </c>
      <c r="BO1560" s="343">
        <f>SUMIFS($AU$1388:AU1561,$AQ$1388:AQ1561,"D")</f>
        <v>2590.0000000000009</v>
      </c>
      <c r="BP1560" s="343">
        <f>SUMIFS($AU$1388:AU1563,$AQ$1388:AQ1563,"W")</f>
        <v>3846.4000000000005</v>
      </c>
      <c r="BQ1560" s="343">
        <f>SUMIFS($AU$1388:AU1561,$Q$1388:Q1561,"O")</f>
        <v>355.37999999964381</v>
      </c>
      <c r="BR1560" s="343">
        <f>SUMIFS($AU$1388:AU1561,$AA$1388:AA1561,"*")</f>
        <v>14072.599999999544</v>
      </c>
      <c r="BS1560" s="343">
        <f>SUMIFS($AU$1388:AU1561,$AB$1388:AB1561,"*")</f>
        <v>4919.179999999933</v>
      </c>
      <c r="BT1560" s="343">
        <f>SUMIFS($AU$1388:AU1561,$AC$1388:AC1561,"*")</f>
        <v>7076.4000000000005</v>
      </c>
      <c r="BU1560" s="343">
        <f>SUMIFS($AU$1388:AU1561,$AA$1388:AA1561,"*",$AB$1388:AB1561,"*")</f>
        <v>3167.999999999824</v>
      </c>
      <c r="BV1560" s="343">
        <f>SUMIFS($AU$1388:AU1561,$AA$1388:AA1561,"*",$AC$1388:AC1561,"*")</f>
        <v>7012.4000000000005</v>
      </c>
      <c r="BW1560" s="343">
        <f>SUMIFS($AU$1388:AU1561,$AB$1388:AB1561,"*",$AC$1388:AC1561,"*")</f>
        <v>1919.9999999999995</v>
      </c>
      <c r="BX1560" s="343">
        <f>SUMIFS($AV$1388:AV1561,$Q$1388:Q1561,"F")</f>
        <v>198.02786430960344</v>
      </c>
      <c r="BY1560" s="343">
        <f>SUMIFS($AV$1388:AV1561,$Q$1388:Q1561,"S")</f>
        <v>396.9324278785781</v>
      </c>
      <c r="BZ1560" s="343">
        <f>SUMIFS($AV$1388:AV1561,$Q$1388:Q1561,"O")</f>
        <v>137.93999999984158</v>
      </c>
    </row>
    <row r="1561" spans="1:78" ht="15.75" customHeight="1">
      <c r="A1561" s="177" t="s">
        <v>5180</v>
      </c>
      <c r="B1561" s="200">
        <v>45328</v>
      </c>
      <c r="C1561" s="178" t="s">
        <v>276</v>
      </c>
      <c r="D1561" s="178" t="s">
        <v>146</v>
      </c>
      <c r="E1561" s="227"/>
      <c r="F1561" s="180"/>
      <c r="G1561" s="484" t="s">
        <v>3990</v>
      </c>
      <c r="H1561" s="182"/>
      <c r="I1561" s="182"/>
      <c r="J1561" s="182"/>
      <c r="K1561" s="183"/>
      <c r="L1561" s="182">
        <v>1</v>
      </c>
      <c r="M1561" s="182"/>
      <c r="N1561" s="182"/>
      <c r="O1561" s="183" t="s">
        <v>95</v>
      </c>
      <c r="P1561" s="183" t="s">
        <v>96</v>
      </c>
      <c r="Q1561" s="183" t="s">
        <v>97</v>
      </c>
      <c r="R1561" s="183">
        <v>24</v>
      </c>
      <c r="S1561" s="183">
        <v>0</v>
      </c>
      <c r="T1561" s="183">
        <v>24</v>
      </c>
      <c r="U1561" s="183" t="s">
        <v>22</v>
      </c>
      <c r="V1561" s="183"/>
      <c r="W1561" s="183"/>
      <c r="X1561" s="183"/>
      <c r="Y1561" s="184">
        <f t="shared" si="445"/>
        <v>0.01</v>
      </c>
      <c r="Z1561" s="185">
        <f>IF(ISBLANK(O1561),"",IF(O1561="IB",8.63*200,IF(O1561="IR",16*100,IF(O1561="YT",20*100,IF(O1561="YT-XT",24*200,IF(O1561="TED",80*100))))))</f>
        <v>1600</v>
      </c>
      <c r="AA1561" s="409" t="s">
        <v>5309</v>
      </c>
      <c r="AB1561" s="185"/>
      <c r="AC1561" s="185"/>
      <c r="AD1561" s="649">
        <v>-0.28000000000000003</v>
      </c>
      <c r="AE1561" s="182"/>
      <c r="AF1561" s="332"/>
      <c r="AG1561" s="182"/>
      <c r="AH1561" s="182"/>
      <c r="AI1561" s="182"/>
      <c r="AJ1561" s="644" t="s">
        <v>5310</v>
      </c>
      <c r="AK1561" s="182"/>
      <c r="AL1561" s="496">
        <f t="shared" si="444"/>
        <v>-32</v>
      </c>
      <c r="AM1561" s="496">
        <f t="shared" si="446"/>
        <v>-768</v>
      </c>
      <c r="AN1561" s="626"/>
      <c r="AO1561" s="182"/>
      <c r="AP1561" s="182" t="s">
        <v>1700</v>
      </c>
      <c r="AQ1561" s="332" t="s">
        <v>372</v>
      </c>
      <c r="AR1561" s="182" t="s">
        <v>1788</v>
      </c>
      <c r="AS1561" s="189">
        <v>-0.28000000000000003</v>
      </c>
      <c r="AT1561" s="189">
        <f t="shared" si="447"/>
        <v>0</v>
      </c>
      <c r="AU1561" s="187">
        <f t="shared" si="448"/>
        <v>0</v>
      </c>
      <c r="AV1561" s="190">
        <f t="shared" si="449"/>
        <v>0</v>
      </c>
      <c r="AW1561" s="191" t="s">
        <v>115</v>
      </c>
      <c r="AX1561" s="407" t="s">
        <v>5311</v>
      </c>
      <c r="AY1561" s="407" t="s">
        <v>5312</v>
      </c>
      <c r="AZ1561" s="407" t="s">
        <v>5313</v>
      </c>
      <c r="BA1561" s="407"/>
      <c r="BB1561" s="407"/>
      <c r="BC1561" s="407"/>
      <c r="BD1561" s="407"/>
      <c r="BE1561" s="407"/>
      <c r="BF1561" s="422"/>
      <c r="BG1561" s="391">
        <f>SUM($AV$1389:AV1561)</f>
        <v>1140.900292188031</v>
      </c>
      <c r="BH1561" s="392">
        <f>SUM($AU$1389:AU1561)</f>
        <v>15887.779999999653</v>
      </c>
      <c r="BI1561" s="318">
        <f>SUMIFS($AU$1388:AU1562,$Q$1388:Q1562,"F")</f>
        <v>7652.4000000000015</v>
      </c>
      <c r="BJ1561" s="318">
        <f>SUMIFS($AU$1388:AU1562,$Q$1388:Q1562,"S")</f>
        <v>7423.9999999999991</v>
      </c>
      <c r="BK1561" s="343">
        <f>SUMIFS($AU$1388:AU1562,$P$1388:P1562,"W")</f>
        <v>12573.579999999936</v>
      </c>
      <c r="BL1561" s="343">
        <f>SUMIFS($AU$1388:AU1562,$P$1388:P1562,"R")</f>
        <v>2974.0000000000005</v>
      </c>
      <c r="BM1561" s="343">
        <f>SUMIFS($AU$1388:AU1562,$AQ$1388:AQ1562,"M")</f>
        <v>4411.3799999996527</v>
      </c>
      <c r="BN1561" s="343">
        <f>SUMIFS($AU$1388:AU1562,$AQ$1388:AQ1562,"H")</f>
        <v>5343.9999999999973</v>
      </c>
      <c r="BO1561" s="343">
        <f>SUMIFS($AU$1388:AU1562,$AQ$1388:AQ1562,"D")</f>
        <v>2590.0000000000009</v>
      </c>
      <c r="BP1561" s="343">
        <f>SUMIFS($AU$1388:AU1564,$AQ$1388:AQ1564,"W")</f>
        <v>3846.4000000000005</v>
      </c>
      <c r="BQ1561" s="343">
        <f>SUMIFS($AU$1388:AU1562,$Q$1388:Q1562,"O")</f>
        <v>355.37999999964381</v>
      </c>
      <c r="BR1561" s="343">
        <f>SUMIFS($AU$1388:AU1562,$AA$1388:AA1562,"*")</f>
        <v>14072.599999999544</v>
      </c>
      <c r="BS1561" s="343">
        <f>SUMIFS($AU$1388:AU1562,$AB$1388:AB1562,"*")</f>
        <v>4919.179999999933</v>
      </c>
      <c r="BT1561" s="343">
        <f>SUMIFS($AU$1388:AU1562,$AC$1388:AC1562,"*")</f>
        <v>7076.4000000000005</v>
      </c>
      <c r="BU1561" s="343">
        <f>SUMIFS($AU$1388:AU1562,$AA$1388:AA1562,"*",$AB$1388:AB1562,"*")</f>
        <v>3167.999999999824</v>
      </c>
      <c r="BV1561" s="343">
        <f>SUMIFS($AU$1388:AU1562,$AA$1388:AA1562,"*",$AC$1388:AC1562,"*")</f>
        <v>7012.4000000000005</v>
      </c>
      <c r="BW1561" s="343">
        <f>SUMIFS($AU$1388:AU1562,$AB$1388:AB1562,"*",$AC$1388:AC1562,"*")</f>
        <v>1919.9999999999995</v>
      </c>
      <c r="BX1561" s="343">
        <f>SUMIFS($AV$1388:AV1562,$Q$1388:Q1562,"F")</f>
        <v>198.02786430960344</v>
      </c>
      <c r="BY1561" s="343">
        <f>SUMIFS($AV$1388:AV1562,$Q$1388:Q1562,"S")</f>
        <v>396.9324278785781</v>
      </c>
      <c r="BZ1561" s="343">
        <f>SUMIFS($AV$1388:AV1562,$Q$1388:Q1562,"O")</f>
        <v>137.93999999984158</v>
      </c>
    </row>
    <row r="1562" spans="1:78" ht="15.75" customHeight="1">
      <c r="A1562" s="177" t="s">
        <v>5180</v>
      </c>
      <c r="B1562" s="200">
        <v>45329</v>
      </c>
      <c r="C1562" s="178" t="s">
        <v>3069</v>
      </c>
      <c r="D1562" s="178" t="s">
        <v>151</v>
      </c>
      <c r="E1562" s="227"/>
      <c r="F1562" s="180"/>
      <c r="G1562" s="484" t="s">
        <v>5025</v>
      </c>
      <c r="H1562" s="182"/>
      <c r="I1562" s="182"/>
      <c r="J1562" s="182"/>
      <c r="K1562" s="183"/>
      <c r="L1562" s="182">
        <v>1</v>
      </c>
      <c r="M1562" s="182"/>
      <c r="N1562" s="182"/>
      <c r="O1562" s="183" t="s">
        <v>2652</v>
      </c>
      <c r="P1562" s="183" t="s">
        <v>137</v>
      </c>
      <c r="Q1562" s="183"/>
      <c r="R1562" s="183">
        <v>1</v>
      </c>
      <c r="S1562" s="183">
        <v>0</v>
      </c>
      <c r="T1562" s="183">
        <v>1</v>
      </c>
      <c r="U1562" s="183" t="s">
        <v>22</v>
      </c>
      <c r="V1562" s="183"/>
      <c r="W1562" s="183"/>
      <c r="X1562" s="183"/>
      <c r="Y1562" s="184">
        <f t="shared" si="445"/>
        <v>0.01</v>
      </c>
      <c r="Z1562" s="185">
        <f>IF(ISBLANK(O1562),"",IF(O1562="IB",8.63*200,IF(O1562="IR",16*100,IF(O1562="YT",20*100,IF(O1562="YT-XT",24*200,IF(O1562="TED",80*100))))))</f>
        <v>8000</v>
      </c>
      <c r="AA1562" s="185" t="s">
        <v>99</v>
      </c>
      <c r="AB1562" s="185"/>
      <c r="AC1562" s="185"/>
      <c r="AD1562" s="649">
        <v>-0.08</v>
      </c>
      <c r="AE1562" s="182"/>
      <c r="AF1562" s="332"/>
      <c r="AG1562" s="182"/>
      <c r="AH1562" s="182"/>
      <c r="AI1562" s="182"/>
      <c r="AJ1562" s="640"/>
      <c r="AK1562" s="182"/>
      <c r="AL1562" s="496">
        <f t="shared" si="444"/>
        <v>-160</v>
      </c>
      <c r="AM1562" s="496">
        <f t="shared" si="446"/>
        <v>-160</v>
      </c>
      <c r="AN1562" s="626"/>
      <c r="AO1562" s="182"/>
      <c r="AP1562" s="182"/>
      <c r="AQ1562" s="332" t="s">
        <v>372</v>
      </c>
      <c r="AR1562" s="182" t="s">
        <v>5314</v>
      </c>
      <c r="AS1562" s="189">
        <v>-0.08</v>
      </c>
      <c r="AT1562" s="189">
        <f t="shared" si="447"/>
        <v>0</v>
      </c>
      <c r="AU1562" s="187">
        <f t="shared" si="448"/>
        <v>0</v>
      </c>
      <c r="AV1562" s="190">
        <f t="shared" si="449"/>
        <v>0</v>
      </c>
      <c r="AW1562" s="191" t="s">
        <v>115</v>
      </c>
      <c r="AX1562" s="407"/>
      <c r="AY1562" s="407"/>
      <c r="AZ1562" s="407"/>
      <c r="BA1562" s="407"/>
      <c r="BB1562" s="407"/>
      <c r="BC1562" s="407"/>
      <c r="BD1562" s="407"/>
      <c r="BE1562" s="407"/>
      <c r="BF1562" s="422"/>
      <c r="BG1562" s="391">
        <f>SUM($AV$1389:AV1562)</f>
        <v>1140.900292188031</v>
      </c>
      <c r="BH1562" s="392">
        <f>SUM($AU$1389:AU1562)</f>
        <v>15887.779999999653</v>
      </c>
      <c r="BI1562" s="318">
        <f>SUMIFS($AU$1388:AU1638,$Q$1388:Q1638,"F")</f>
        <v>9348.4000000000015</v>
      </c>
      <c r="BJ1562" s="318">
        <f>SUMIFS($AU$1388:AU1638,$Q$1388:Q1638,"S")</f>
        <v>3279.9999999999918</v>
      </c>
      <c r="BK1562" s="343">
        <f>SUMIFS($AU$1388:AU1638,$P$1388:P1638,"W")</f>
        <v>8717.579999999929</v>
      </c>
      <c r="BL1562" s="343">
        <f>SUMIFS($AU$1388:AU1638,$P$1388:P1638,"R")</f>
        <v>4181.9999999999991</v>
      </c>
      <c r="BM1562" s="343">
        <f>SUMIFS($AU$1388:AU1638,$AQ$1388:AQ1638,"M")</f>
        <v>5219.3799999995472</v>
      </c>
      <c r="BN1562" s="343">
        <f>SUMIFS($AU$1388:AU1638,$AQ$1388:AQ1638,"H")</f>
        <v>2931.2000000002599</v>
      </c>
      <c r="BO1562" s="343">
        <f>SUMIFS($AU$1388:AU1638,$AQ$1388:AQ1638,"D")</f>
        <v>1266.0000000000005</v>
      </c>
      <c r="BP1562" s="343">
        <f>SUMIFS($AU$1388:AU1565,$AQ$1388:AQ1565,"W")</f>
        <v>3846.4000000000005</v>
      </c>
      <c r="BQ1562" s="343">
        <f>SUMIFS($AU$1388:AU1638,$Q$1388:Q1638,"O")</f>
        <v>1770.5799999998073</v>
      </c>
      <c r="BR1562" s="343">
        <f>SUMIFS($AU$1388:AU1563,$AA$1388:AA1563,"*")</f>
        <v>14072.599999999544</v>
      </c>
      <c r="BS1562" s="343">
        <f>SUMIFS($AU$1388:AU1563,$AB$1388:AB1563,"*")</f>
        <v>5319.1799999999321</v>
      </c>
      <c r="BT1562" s="343">
        <f>SUMIFS($AU$1388:AU1563,$AC$1388:AC1563,"*")</f>
        <v>7476.4</v>
      </c>
      <c r="BU1562" s="343">
        <f>SUMIFS($AU$1388:AU1563,$AA$1388:AA1563,"*",$AB$1388:AB1563,"*")</f>
        <v>3167.999999999824</v>
      </c>
      <c r="BV1562" s="343">
        <f>SUMIFS($AU$1388:AU1563,$AA$1388:AA1563,"*",$AC$1388:AC1563,"*")</f>
        <v>7012.4000000000005</v>
      </c>
      <c r="BW1562" s="343">
        <f>SUMIFS($AU$1388:AU1563,$AB$1388:AB1563,"*",$AC$1388:AC1563,"*")</f>
        <v>2319.9999999999986</v>
      </c>
      <c r="BX1562" s="343">
        <f>SUMIFS($AV$1388:AV1563,$Q$1388:Q1563,"F")</f>
        <v>198.02786430960344</v>
      </c>
      <c r="BY1562" s="343">
        <f>SUMIFS($AV$1388:AV1563,$Q$1388:Q1563,"S")</f>
        <v>412.93242787857804</v>
      </c>
      <c r="BZ1562" s="343">
        <f>SUMIFS($AV$1388:AV1563,$Q$1388:Q1563,"O")</f>
        <v>137.93999999984158</v>
      </c>
    </row>
    <row r="1563" spans="1:78" ht="15.75" customHeight="1">
      <c r="A1563" s="177" t="s">
        <v>5180</v>
      </c>
      <c r="B1563" s="200">
        <v>45329</v>
      </c>
      <c r="C1563" s="178" t="s">
        <v>5315</v>
      </c>
      <c r="D1563" s="178" t="s">
        <v>151</v>
      </c>
      <c r="E1563" s="227"/>
      <c r="F1563" s="180"/>
      <c r="G1563" s="484" t="s">
        <v>136</v>
      </c>
      <c r="H1563" s="182"/>
      <c r="I1563" s="182"/>
      <c r="J1563" s="182"/>
      <c r="K1563" s="183"/>
      <c r="L1563" s="182">
        <v>1</v>
      </c>
      <c r="M1563" s="182"/>
      <c r="N1563" s="182"/>
      <c r="O1563" s="183" t="s">
        <v>95</v>
      </c>
      <c r="P1563" s="183" t="s">
        <v>96</v>
      </c>
      <c r="Q1563" s="183" t="s">
        <v>97</v>
      </c>
      <c r="R1563" s="183">
        <v>25</v>
      </c>
      <c r="S1563" s="183">
        <v>0</v>
      </c>
      <c r="T1563" s="183">
        <v>21</v>
      </c>
      <c r="U1563" s="183" t="s">
        <v>22</v>
      </c>
      <c r="V1563" s="183"/>
      <c r="W1563" s="183"/>
      <c r="X1563" s="183"/>
      <c r="Y1563" s="184">
        <f t="shared" si="445"/>
        <v>0.01</v>
      </c>
      <c r="Z1563" s="185">
        <f>IF(ISBLANK(O1563),"",IF(O1563="IB",8.63*200,IF(O1563="IR",16*100,IF(O1563="YT",20*100,IF(O1563="YT-XT",24*200,IF(O1563="TED",80*100))))))</f>
        <v>1600</v>
      </c>
      <c r="AA1563" s="185"/>
      <c r="AB1563" s="185" t="s">
        <v>5316</v>
      </c>
      <c r="AC1563" s="185" t="s">
        <v>5317</v>
      </c>
      <c r="AD1563" s="649">
        <v>-0.15</v>
      </c>
      <c r="AE1563" s="182"/>
      <c r="AF1563" s="332"/>
      <c r="AG1563" s="182"/>
      <c r="AH1563" s="182"/>
      <c r="AI1563" s="182"/>
      <c r="AJ1563" s="640" t="s">
        <v>5318</v>
      </c>
      <c r="AK1563" s="182"/>
      <c r="AL1563" s="496">
        <f t="shared" si="444"/>
        <v>-32</v>
      </c>
      <c r="AM1563" s="496">
        <f t="shared" si="446"/>
        <v>-800</v>
      </c>
      <c r="AN1563" s="626"/>
      <c r="AO1563" s="182"/>
      <c r="AP1563" s="182" t="s">
        <v>1005</v>
      </c>
      <c r="AQ1563" s="332" t="s">
        <v>372</v>
      </c>
      <c r="AR1563" s="182" t="s">
        <v>1010</v>
      </c>
      <c r="AS1563" s="189">
        <v>-0.14000000000000001</v>
      </c>
      <c r="AT1563" s="189">
        <f t="shared" si="447"/>
        <v>9.9999999999999811E-3</v>
      </c>
      <c r="AU1563" s="187">
        <f t="shared" si="448"/>
        <v>399.99999999999926</v>
      </c>
      <c r="AV1563" s="190">
        <f t="shared" si="449"/>
        <v>15.99999999999997</v>
      </c>
      <c r="AW1563" s="191" t="s">
        <v>96</v>
      </c>
      <c r="AX1563" s="407"/>
      <c r="AY1563" s="407"/>
      <c r="AZ1563" s="407"/>
      <c r="BA1563" s="407"/>
      <c r="BB1563" s="407"/>
      <c r="BC1563" s="407"/>
      <c r="BD1563" s="407"/>
      <c r="BE1563" s="407"/>
      <c r="BF1563" s="422"/>
      <c r="BG1563" s="391">
        <f>SUM($AV$1389:AV1563)</f>
        <v>1156.900292188031</v>
      </c>
      <c r="BH1563" s="392">
        <f>SUM($AU$1389:AU1563)</f>
        <v>16287.779999999653</v>
      </c>
      <c r="BI1563" s="318">
        <f>SUMIFS($AU$1388:AU1564,$Q$1388:Q1564,"F")</f>
        <v>7652.4000000000015</v>
      </c>
      <c r="BJ1563" s="318">
        <f>SUMIFS($AU$1388:AU1564,$Q$1388:Q1564,"S")</f>
        <v>7823.9999999999982</v>
      </c>
      <c r="BK1563" s="343">
        <f>SUMIFS($AU$1388:AU1564,$P$1388:P1564,"W")</f>
        <v>12973.579999999936</v>
      </c>
      <c r="BL1563" s="343">
        <f>SUMIFS($AU$1388:AU1564,$P$1388:P1564,"R")</f>
        <v>2974.0000000000005</v>
      </c>
      <c r="BM1563" s="343">
        <f>SUMIFS($AU$1388:AU1564,$AQ$1388:AQ1564,"M")</f>
        <v>4440.3799999996263</v>
      </c>
      <c r="BN1563" s="343">
        <f>SUMIFS($AU$1388:AU1564,$AQ$1388:AQ1564,"H")</f>
        <v>5743.9999999999964</v>
      </c>
      <c r="BO1563" s="343">
        <f>SUMIFS($AU$1388:AU1564,$AQ$1388:AQ1564,"D")</f>
        <v>2590.0000000000009</v>
      </c>
      <c r="BP1563" s="343">
        <f>SUMIFS($AU$1388:AU1566,$AQ$1388:AQ1566,"W")</f>
        <v>3846.4000000000005</v>
      </c>
      <c r="BQ1563" s="343">
        <f>SUMIFS($AU$1388:AU1564,$Q$1388:Q1564,"O")</f>
        <v>384.37999999961744</v>
      </c>
      <c r="BR1563" s="343">
        <f>SUMIFS($AU$1388:AU1564,$AA$1388:AA1564,"*")</f>
        <v>14101.599999999518</v>
      </c>
      <c r="BS1563" s="343">
        <f>SUMIFS($AU$1388:AU1564,$AB$1388:AB1564,"*")</f>
        <v>5319.1799999999321</v>
      </c>
      <c r="BT1563" s="343">
        <f>SUMIFS($AU$1388:AU1564,$AC$1388:AC1564,"*")</f>
        <v>7476.4</v>
      </c>
      <c r="BU1563" s="343">
        <f>SUMIFS($AU$1388:AU1564,$AA$1388:AA1564,"*",$AB$1388:AB1564,"*")</f>
        <v>3167.999999999824</v>
      </c>
      <c r="BV1563" s="343">
        <f>SUMIFS($AU$1388:AU1564,$AA$1388:AA1564,"*",$AC$1388:AC1564,"*")</f>
        <v>7012.4000000000005</v>
      </c>
      <c r="BW1563" s="343">
        <f>SUMIFS($AU$1388:AU1564,$AB$1388:AB1564,"*",$AC$1388:AC1564,"*")</f>
        <v>2319.9999999999986</v>
      </c>
      <c r="BX1563" s="343">
        <f>SUMIFS($AV$1388:AV1564,$Q$1388:Q1564,"F")</f>
        <v>198.02786430960344</v>
      </c>
      <c r="BY1563" s="343">
        <f>SUMIFS($AV$1388:AV1564,$Q$1388:Q1564,"S")</f>
        <v>412.93242787857804</v>
      </c>
      <c r="BZ1563" s="343">
        <f>SUMIFS($AV$1388:AV1564,$Q$1388:Q1564,"O")</f>
        <v>166.9399999998152</v>
      </c>
    </row>
    <row r="1564" spans="1:78" ht="15.75" customHeight="1">
      <c r="A1564" s="177" t="s">
        <v>5180</v>
      </c>
      <c r="B1564" s="200">
        <v>45329</v>
      </c>
      <c r="C1564" s="178" t="s">
        <v>5319</v>
      </c>
      <c r="D1564" s="178" t="s">
        <v>151</v>
      </c>
      <c r="E1564" s="227"/>
      <c r="F1564" s="180"/>
      <c r="G1564" s="181" t="s">
        <v>4887</v>
      </c>
      <c r="H1564" s="182"/>
      <c r="I1564" s="182"/>
      <c r="J1564" s="182"/>
      <c r="K1564" s="183"/>
      <c r="L1564" s="182">
        <v>2</v>
      </c>
      <c r="M1564" s="182"/>
      <c r="N1564" s="182"/>
      <c r="O1564" s="183" t="s">
        <v>3618</v>
      </c>
      <c r="P1564" s="183" t="s">
        <v>2260</v>
      </c>
      <c r="Q1564" s="183" t="s">
        <v>684</v>
      </c>
      <c r="R1564" s="183">
        <v>1</v>
      </c>
      <c r="S1564" s="183">
        <v>0</v>
      </c>
      <c r="T1564" s="183">
        <v>1</v>
      </c>
      <c r="U1564" s="183" t="s">
        <v>22</v>
      </c>
      <c r="V1564" s="183"/>
      <c r="W1564" s="183"/>
      <c r="X1564" s="183"/>
      <c r="Y1564" s="184">
        <f t="shared" si="445"/>
        <v>0.01</v>
      </c>
      <c r="Z1564" s="185">
        <f>IF(ISBLANK(O1564),"",IF(O1564="IB",8.63*200,IF(O1564="IR",16*100,IF(O1564="YT",20*100,IF(O1564="YT-XT",24*200,IF(O1564="TED",80*100,IF(O1564="XT",29*200)))))))</f>
        <v>5800</v>
      </c>
      <c r="AA1564" s="185" t="s">
        <v>5320</v>
      </c>
      <c r="AB1564" s="185"/>
      <c r="AC1564" s="185"/>
      <c r="AD1564" s="649">
        <v>95.86</v>
      </c>
      <c r="AE1564" s="182"/>
      <c r="AF1564" s="332"/>
      <c r="AG1564" s="182"/>
      <c r="AH1564" s="182"/>
      <c r="AI1564" s="182"/>
      <c r="AJ1564" s="640"/>
      <c r="AK1564" s="182"/>
      <c r="AL1564" s="496">
        <f>-0.04*Z1564</f>
        <v>-232</v>
      </c>
      <c r="AM1564" s="496">
        <f t="shared" si="446"/>
        <v>-232</v>
      </c>
      <c r="AN1564" s="626"/>
      <c r="AO1564" s="182"/>
      <c r="AP1564" s="182" t="s">
        <v>4007</v>
      </c>
      <c r="AQ1564" s="332" t="s">
        <v>1259</v>
      </c>
      <c r="AR1564" s="182" t="s">
        <v>2636</v>
      </c>
      <c r="AS1564" s="189">
        <v>95.864999999999995</v>
      </c>
      <c r="AT1564" s="189">
        <f t="shared" si="447"/>
        <v>4.9999999999954525E-3</v>
      </c>
      <c r="AU1564" s="187">
        <f t="shared" si="448"/>
        <v>28.999999999973625</v>
      </c>
      <c r="AV1564" s="190">
        <f t="shared" si="449"/>
        <v>28.999999999973625</v>
      </c>
      <c r="AW1564" s="191" t="s">
        <v>96</v>
      </c>
      <c r="AX1564" s="407"/>
      <c r="AY1564" s="407"/>
      <c r="AZ1564" s="407"/>
      <c r="BA1564" s="407"/>
      <c r="BB1564" s="407"/>
      <c r="BC1564" s="407"/>
      <c r="BD1564" s="407"/>
      <c r="BE1564" s="407"/>
      <c r="BF1564" s="422"/>
      <c r="BG1564" s="391">
        <f>SUM($AV$1389:AV1564)</f>
        <v>1185.9002921880046</v>
      </c>
      <c r="BH1564" s="392">
        <f>SUM($AU$1389:AU1564)</f>
        <v>16316.779999999628</v>
      </c>
      <c r="BI1564" s="318">
        <f>SUMIFS($AU$1388:AU1565,$Q$1388:Q1565,"F")</f>
        <v>7652.4000000000015</v>
      </c>
      <c r="BJ1564" s="318">
        <f>SUMIFS($AU$1388:AU1565,$Q$1388:Q1565,"S")</f>
        <v>7823.9999999999982</v>
      </c>
      <c r="BK1564" s="343">
        <f>SUMIFS($AU$1388:AU1565,$P$1388:P1565,"W")</f>
        <v>12973.579999999936</v>
      </c>
      <c r="BL1564" s="343">
        <f>SUMIFS($AU$1388:AU1565,$P$1388:P1565,"R")</f>
        <v>3054.0000000000005</v>
      </c>
      <c r="BM1564" s="343">
        <f>SUMIFS($AU$1388:AU1565,$AQ$1388:AQ1565,"M")</f>
        <v>4440.3799999996263</v>
      </c>
      <c r="BN1564" s="343">
        <f>SUMIFS($AU$1388:AU1565,$AQ$1388:AQ1565,"H")</f>
        <v>5743.9999999999964</v>
      </c>
      <c r="BO1564" s="343">
        <f>SUMIFS($AU$1388:AU1565,$AQ$1388:AQ1565,"D")</f>
        <v>2670.0000000000009</v>
      </c>
      <c r="BP1564" s="343">
        <f>SUMIFS($AU$1388:AU1567,$AQ$1388:AQ1567,"W")</f>
        <v>3846.4000000000005</v>
      </c>
      <c r="BQ1564" s="343">
        <f>SUMIFS($AU$1388:AU1565,$Q$1388:Q1565,"O")</f>
        <v>384.37999999961744</v>
      </c>
      <c r="BR1564" s="343">
        <f>SUMIFS($AU$1388:AU1565,$AA$1388:AA1565,"*")</f>
        <v>14181.599999999518</v>
      </c>
      <c r="BS1564" s="343">
        <f>SUMIFS($AU$1388:AU1565,$AB$1388:AB1565,"*")</f>
        <v>5319.1799999999321</v>
      </c>
      <c r="BT1564" s="343">
        <f>SUMIFS($AU$1388:AU1565,$AC$1388:AC1565,"*")</f>
        <v>7476.4</v>
      </c>
      <c r="BU1564" s="343">
        <f>SUMIFS($AU$1388:AU1565,$AA$1388:AA1565,"*",$AB$1388:AB1565,"*")</f>
        <v>3167.999999999824</v>
      </c>
      <c r="BV1564" s="343">
        <f>SUMIFS($AU$1388:AU1565,$AA$1388:AA1565,"*",$AC$1388:AC1565,"*")</f>
        <v>7012.4000000000005</v>
      </c>
      <c r="BW1564" s="343">
        <f>SUMIFS($AU$1388:AU1565,$AB$1388:AB1565,"*",$AC$1388:AC1565,"*")</f>
        <v>2319.9999999999986</v>
      </c>
      <c r="BX1564" s="343">
        <f>SUMIFS($AV$1388:AV1565,$Q$1388:Q1565,"F")</f>
        <v>198.02786430960344</v>
      </c>
      <c r="BY1564" s="343">
        <f>SUMIFS($AV$1388:AV1565,$Q$1388:Q1565,"S")</f>
        <v>412.93242787857804</v>
      </c>
      <c r="BZ1564" s="343">
        <f>SUMIFS($AV$1388:AV1565,$Q$1388:Q1565,"O")</f>
        <v>166.9399999998152</v>
      </c>
    </row>
    <row r="1565" spans="1:78" ht="15.75" customHeight="1">
      <c r="A1565" s="177" t="s">
        <v>5180</v>
      </c>
      <c r="B1565" s="200">
        <v>45330</v>
      </c>
      <c r="C1565" s="178" t="s">
        <v>4289</v>
      </c>
      <c r="D1565" s="178" t="s">
        <v>93</v>
      </c>
      <c r="E1565" s="227"/>
      <c r="F1565" s="180"/>
      <c r="G1565" s="484" t="s">
        <v>5321</v>
      </c>
      <c r="H1565" s="182"/>
      <c r="I1565" s="182"/>
      <c r="J1565" s="182"/>
      <c r="K1565" s="183"/>
      <c r="L1565" s="182">
        <v>1</v>
      </c>
      <c r="M1565" s="182"/>
      <c r="N1565" s="182"/>
      <c r="O1565" s="183" t="s">
        <v>2652</v>
      </c>
      <c r="P1565" s="183" t="s">
        <v>137</v>
      </c>
      <c r="Q1565" s="183"/>
      <c r="R1565" s="183">
        <v>1</v>
      </c>
      <c r="S1565" s="183">
        <v>0</v>
      </c>
      <c r="T1565" s="183">
        <v>1</v>
      </c>
      <c r="U1565" s="183" t="s">
        <v>22</v>
      </c>
      <c r="V1565" s="183"/>
      <c r="W1565" s="183"/>
      <c r="X1565" s="183"/>
      <c r="Y1565" s="184">
        <f t="shared" si="445"/>
        <v>0.01</v>
      </c>
      <c r="Z1565" s="185">
        <f>IF(ISBLANK(O1565),"",IF(O1565="IB",8.63*200,IF(O1565="IR",16*100,IF(O1565="YT",20*100,IF(O1565="YT-XT",24*200,IF(O1565="TED",80*100))))))</f>
        <v>8000</v>
      </c>
      <c r="AA1565" s="185" t="s">
        <v>99</v>
      </c>
      <c r="AB1565" s="185"/>
      <c r="AC1565" s="185"/>
      <c r="AD1565" s="649">
        <v>-0.18</v>
      </c>
      <c r="AE1565" s="182"/>
      <c r="AF1565" s="332"/>
      <c r="AG1565" s="182"/>
      <c r="AH1565" s="182"/>
      <c r="AI1565" s="182"/>
      <c r="AJ1565" s="640"/>
      <c r="AK1565" s="182"/>
      <c r="AL1565" s="496">
        <f t="shared" si="444"/>
        <v>-160</v>
      </c>
      <c r="AM1565" s="496">
        <f t="shared" si="446"/>
        <v>-160</v>
      </c>
      <c r="AN1565" s="626"/>
      <c r="AO1565" s="182"/>
      <c r="AP1565" s="182" t="s">
        <v>770</v>
      </c>
      <c r="AQ1565" s="332" t="s">
        <v>115</v>
      </c>
      <c r="AR1565" s="182" t="s">
        <v>5322</v>
      </c>
      <c r="AS1565" s="189">
        <v>-0.17</v>
      </c>
      <c r="AT1565" s="189">
        <f t="shared" si="447"/>
        <v>9.9999999999999811E-3</v>
      </c>
      <c r="AU1565" s="187">
        <f t="shared" si="448"/>
        <v>79.999999999999844</v>
      </c>
      <c r="AV1565" s="190">
        <f t="shared" si="449"/>
        <v>79.999999999999844</v>
      </c>
      <c r="AW1565" s="191" t="s">
        <v>96</v>
      </c>
      <c r="AX1565" s="407"/>
      <c r="AY1565" s="407"/>
      <c r="AZ1565" s="407"/>
      <c r="BA1565" s="407"/>
      <c r="BB1565" s="407"/>
      <c r="BC1565" s="407"/>
      <c r="BD1565" s="407"/>
      <c r="BE1565" s="407"/>
      <c r="BF1565" s="422"/>
      <c r="BG1565" s="391">
        <f>SUM($AV$1389:AV1565)</f>
        <v>1265.9002921880044</v>
      </c>
      <c r="BH1565" s="392">
        <f>SUM($AU$1389:AU1565)</f>
        <v>16396.779999999628</v>
      </c>
      <c r="BI1565" s="318">
        <f>SUMIFS($AU$1388:AU1566,$Q$1388:Q1566,"F")</f>
        <v>7652.4000000000015</v>
      </c>
      <c r="BJ1565" s="318">
        <f>SUMIFS($AU$1388:AU1566,$Q$1388:Q1566,"S")</f>
        <v>8111.9999999999973</v>
      </c>
      <c r="BK1565" s="343">
        <f>SUMIFS($AU$1388:AU1566,$P$1388:P1566,"W")</f>
        <v>13261.579999999934</v>
      </c>
      <c r="BL1565" s="343">
        <f>SUMIFS($AU$1388:AU1566,$P$1388:P1566,"R")</f>
        <v>3054.0000000000005</v>
      </c>
      <c r="BM1565" s="343">
        <f>SUMIFS($AU$1388:AU1566,$AQ$1388:AQ1566,"M")</f>
        <v>4440.3799999996263</v>
      </c>
      <c r="BN1565" s="343">
        <f>SUMIFS($AU$1388:AU1566,$AQ$1388:AQ1566,"H")</f>
        <v>6031.9999999999955</v>
      </c>
      <c r="BO1565" s="343">
        <f>SUMIFS($AU$1388:AU1566,$AQ$1388:AQ1566,"D")</f>
        <v>2670.0000000000009</v>
      </c>
      <c r="BP1565" s="343">
        <f>SUMIFS($AU$1388:AU1568,$AQ$1388:AQ1568,"W")</f>
        <v>3846.4000000000005</v>
      </c>
      <c r="BQ1565" s="343">
        <f>SUMIFS($AU$1388:AU1566,$Q$1388:Q1566,"O")</f>
        <v>384.37999999961744</v>
      </c>
      <c r="BR1565" s="343">
        <f>SUMIFS($AU$1388:AU1566,$AA$1388:AA1566,"*")</f>
        <v>14469.599999999517</v>
      </c>
      <c r="BS1565" s="343">
        <f>SUMIFS($AU$1388:AU1566,$AB$1388:AB1566,"*")</f>
        <v>5607.1799999999312</v>
      </c>
      <c r="BT1565" s="343">
        <f>SUMIFS($AU$1388:AU1566,$AC$1388:AC1566,"*")</f>
        <v>7476.4</v>
      </c>
      <c r="BU1565" s="343">
        <f>SUMIFS($AU$1388:AU1566,$AA$1388:AA1566,"*",$AB$1388:AB1566,"*")</f>
        <v>3455.9999999998226</v>
      </c>
      <c r="BV1565" s="343">
        <f>SUMIFS($AU$1388:AU1566,$AA$1388:AA1566,"*",$AC$1388:AC1566,"*")</f>
        <v>7012.4000000000005</v>
      </c>
      <c r="BW1565" s="343">
        <f>SUMIFS($AU$1388:AU1566,$AB$1388:AB1566,"*",$AC$1388:AC1566,"*")</f>
        <v>2319.9999999999986</v>
      </c>
      <c r="BX1565" s="343">
        <f>SUMIFS($AV$1388:AV1566,$Q$1388:Q1566,"F")</f>
        <v>198.02786430960344</v>
      </c>
      <c r="BY1565" s="343">
        <f>SUMIFS($AV$1388:AV1566,$Q$1388:Q1566,"S")</f>
        <v>424.00935095550108</v>
      </c>
      <c r="BZ1565" s="343">
        <f>SUMIFS($AV$1388:AV1566,$Q$1388:Q1566,"O")</f>
        <v>166.9399999998152</v>
      </c>
    </row>
    <row r="1566" spans="1:78" ht="15.75" customHeight="1">
      <c r="A1566" s="177" t="s">
        <v>5180</v>
      </c>
      <c r="B1566" s="200">
        <v>45330</v>
      </c>
      <c r="C1566" s="178" t="s">
        <v>5323</v>
      </c>
      <c r="D1566" s="178" t="s">
        <v>93</v>
      </c>
      <c r="E1566" s="227"/>
      <c r="F1566" s="180"/>
      <c r="G1566" s="484" t="s">
        <v>136</v>
      </c>
      <c r="H1566" s="182"/>
      <c r="I1566" s="182"/>
      <c r="J1566" s="182"/>
      <c r="K1566" s="183"/>
      <c r="L1566" s="182">
        <v>1</v>
      </c>
      <c r="M1566" s="182"/>
      <c r="N1566" s="182"/>
      <c r="O1566" s="183" t="s">
        <v>95</v>
      </c>
      <c r="P1566" s="183" t="s">
        <v>96</v>
      </c>
      <c r="Q1566" s="183" t="s">
        <v>97</v>
      </c>
      <c r="R1566" s="183">
        <v>26</v>
      </c>
      <c r="S1566" s="183">
        <v>0</v>
      </c>
      <c r="T1566" s="183">
        <v>18</v>
      </c>
      <c r="U1566" s="183" t="s">
        <v>22</v>
      </c>
      <c r="V1566" s="183"/>
      <c r="W1566" s="183"/>
      <c r="X1566" s="183"/>
      <c r="Y1566" s="184">
        <f t="shared" si="445"/>
        <v>0.01</v>
      </c>
      <c r="Z1566" s="185">
        <f>IF(ISBLANK(O1566),"",IF(O1566="IB",8.63*200,IF(O1566="IR",16*100,IF(O1566="YT",20*100,IF(O1566="YT-XT",24*200,IF(O1566="TED",80*100))))))</f>
        <v>1600</v>
      </c>
      <c r="AA1566" s="185" t="s">
        <v>99</v>
      </c>
      <c r="AB1566" s="473" t="s">
        <v>5316</v>
      </c>
      <c r="AC1566" s="185"/>
      <c r="AD1566" s="649">
        <f>((-0.15*18)+(-0.14*8))/26</f>
        <v>-0.14692307692307691</v>
      </c>
      <c r="AE1566" s="182"/>
      <c r="AF1566" s="332"/>
      <c r="AG1566" s="182"/>
      <c r="AH1566" s="182"/>
      <c r="AI1566" s="182"/>
      <c r="AJ1566" s="640"/>
      <c r="AK1566" s="182"/>
      <c r="AL1566" s="496">
        <f t="shared" si="444"/>
        <v>-32</v>
      </c>
      <c r="AM1566" s="496">
        <f t="shared" si="446"/>
        <v>-832</v>
      </c>
      <c r="AN1566" s="626"/>
      <c r="AO1566" s="182"/>
      <c r="AP1566" s="182" t="s">
        <v>1700</v>
      </c>
      <c r="AQ1566" s="332" t="s">
        <v>372</v>
      </c>
      <c r="AR1566" s="182" t="s">
        <v>5324</v>
      </c>
      <c r="AS1566" s="189">
        <v>-0.14000000000000001</v>
      </c>
      <c r="AT1566" s="189">
        <f t="shared" si="447"/>
        <v>6.9230769230768929E-3</v>
      </c>
      <c r="AU1566" s="187">
        <f t="shared" si="448"/>
        <v>287.99999999999875</v>
      </c>
      <c r="AV1566" s="190">
        <f t="shared" si="449"/>
        <v>11.076923076923029</v>
      </c>
      <c r="AW1566" s="191" t="s">
        <v>96</v>
      </c>
      <c r="AX1566" s="407"/>
      <c r="AY1566" s="407"/>
      <c r="AZ1566" s="407"/>
      <c r="BA1566" s="407"/>
      <c r="BB1566" s="407"/>
      <c r="BC1566" s="407"/>
      <c r="BD1566" s="407"/>
      <c r="BE1566" s="407"/>
      <c r="BF1566" s="422"/>
      <c r="BG1566" s="391">
        <f>SUM($AV$1389:AV1566)</f>
        <v>1276.9772152649275</v>
      </c>
      <c r="BH1566" s="392">
        <f>SUM($AU$1389:AU1566)</f>
        <v>16684.779999999628</v>
      </c>
      <c r="BI1566" s="318">
        <f>SUMIFS($AU$1388:AU1567,$Q$1388:Q1567,"F")</f>
        <v>7652.4000000000015</v>
      </c>
      <c r="BJ1566" s="318">
        <f>SUMIFS($AU$1388:AU1567,$Q$1388:Q1567,"S")</f>
        <v>8111.9999999999973</v>
      </c>
      <c r="BK1566" s="343">
        <f>SUMIFS($AU$1388:AU1567,$P$1388:P1567,"W")</f>
        <v>13261.579999999934</v>
      </c>
      <c r="BL1566" s="343">
        <f>SUMIFS($AU$1388:AU1567,$P$1388:P1567,"R")</f>
        <v>3054.0000000000005</v>
      </c>
      <c r="BM1566" s="343">
        <f>SUMIFS($AU$1388:AU1567,$AQ$1388:AQ1567,"M")</f>
        <v>4440.3799999996263</v>
      </c>
      <c r="BN1566" s="343">
        <f>SUMIFS($AU$1388:AU1567,$AQ$1388:AQ1567,"H")</f>
        <v>6031.9999999999955</v>
      </c>
      <c r="BO1566" s="343">
        <f>SUMIFS($AU$1388:AU1567,$AQ$1388:AQ1567,"D")</f>
        <v>2670.0000000000009</v>
      </c>
      <c r="BP1566" s="343">
        <f>SUMIFS($AU$1388:AU1569,$AQ$1388:AQ1569,"W")</f>
        <v>3846.4000000000005</v>
      </c>
      <c r="BQ1566" s="343">
        <f>SUMIFS($AU$1388:AU1567,$Q$1388:Q1567,"O")</f>
        <v>384.37999999961744</v>
      </c>
      <c r="BR1566" s="343">
        <f>SUMIFS($AU$1388:AU1567,$AA$1388:AA1567,"*")</f>
        <v>14469.599999999517</v>
      </c>
      <c r="BS1566" s="343">
        <f>SUMIFS($AU$1388:AU1567,$AB$1388:AB1567,"*")</f>
        <v>5607.1799999999312</v>
      </c>
      <c r="BT1566" s="343">
        <f>SUMIFS($AU$1388:AU1567,$AC$1388:AC1567,"*")</f>
        <v>7476.4</v>
      </c>
      <c r="BU1566" s="343">
        <f>SUMIFS($AU$1388:AU1567,$AA$1388:AA1567,"*",$AB$1388:AB1567,"*")</f>
        <v>3455.9999999998226</v>
      </c>
      <c r="BV1566" s="343">
        <f>SUMIFS($AU$1388:AU1567,$AA$1388:AA1567,"*",$AC$1388:AC1567,"*")</f>
        <v>7012.4000000000005</v>
      </c>
      <c r="BW1566" s="343">
        <f>SUMIFS($AU$1388:AU1567,$AB$1388:AB1567,"*",$AC$1388:AC1567,"*")</f>
        <v>2319.9999999999986</v>
      </c>
      <c r="BX1566" s="343">
        <f>SUMIFS($AV$1388:AV1567,$Q$1388:Q1567,"F")</f>
        <v>198.02786430960344</v>
      </c>
      <c r="BY1566" s="343">
        <f>SUMIFS($AV$1388:AV1567,$Q$1388:Q1567,"S")</f>
        <v>424.00935095550108</v>
      </c>
      <c r="BZ1566" s="343">
        <f>SUMIFS($AV$1388:AV1567,$Q$1388:Q1567,"O")</f>
        <v>166.9399999998152</v>
      </c>
    </row>
    <row r="1567" spans="1:78" ht="15.75" customHeight="1">
      <c r="A1567" s="177" t="s">
        <v>5180</v>
      </c>
      <c r="B1567" s="200">
        <v>45330</v>
      </c>
      <c r="C1567" s="178" t="s">
        <v>5323</v>
      </c>
      <c r="D1567" s="178" t="s">
        <v>93</v>
      </c>
      <c r="E1567" s="227"/>
      <c r="F1567" s="180"/>
      <c r="G1567" s="181" t="s">
        <v>136</v>
      </c>
      <c r="H1567" s="182"/>
      <c r="I1567" s="182"/>
      <c r="J1567" s="182"/>
      <c r="K1567" s="183"/>
      <c r="L1567" s="182"/>
      <c r="M1567" s="182"/>
      <c r="N1567" s="182"/>
      <c r="O1567" s="183"/>
      <c r="P1567" s="183"/>
      <c r="Q1567" s="183"/>
      <c r="R1567" s="183"/>
      <c r="S1567" s="183"/>
      <c r="T1567" s="183"/>
      <c r="U1567" s="183"/>
      <c r="V1567" s="183"/>
      <c r="W1567" s="183"/>
      <c r="X1567" s="183"/>
      <c r="Y1567" s="184"/>
      <c r="Z1567" s="185"/>
      <c r="AA1567" s="185"/>
      <c r="AB1567" s="473"/>
      <c r="AC1567" s="185"/>
      <c r="AD1567" s="649"/>
      <c r="AE1567" s="182"/>
      <c r="AF1567" s="332"/>
      <c r="AG1567" s="182"/>
      <c r="AH1567" s="182"/>
      <c r="AI1567" s="182"/>
      <c r="AJ1567" s="640"/>
      <c r="AK1567" s="182"/>
      <c r="AL1567" s="496">
        <f t="shared" si="444"/>
        <v>0</v>
      </c>
      <c r="AM1567" s="496">
        <f t="shared" si="446"/>
        <v>0</v>
      </c>
      <c r="AN1567" s="626"/>
      <c r="AO1567" s="182"/>
      <c r="AP1567" s="182"/>
      <c r="AQ1567" s="332" t="str">
        <f>UPPER(RIGHT(Journal_Live[[#This Row],[DURATION ]]))</f>
        <v/>
      </c>
      <c r="AR1567" s="182"/>
      <c r="AS1567" s="189"/>
      <c r="AT1567" s="189"/>
      <c r="AU1567" s="187"/>
      <c r="AV1567" s="190"/>
      <c r="AW1567" s="191"/>
      <c r="AX1567" s="407"/>
      <c r="AY1567" s="407"/>
      <c r="AZ1567" s="407"/>
      <c r="BA1567" s="407"/>
      <c r="BB1567" s="407"/>
      <c r="BC1567" s="407"/>
      <c r="BD1567" s="407"/>
      <c r="BE1567" s="407"/>
      <c r="BF1567" s="422"/>
      <c r="BG1567" s="391">
        <f>SUM($AV$1389:AV1567)</f>
        <v>1276.9772152649275</v>
      </c>
      <c r="BH1567" s="392">
        <f>SUM($AU$1389:AU1567)</f>
        <v>16684.779999999628</v>
      </c>
      <c r="BI1567" s="318">
        <f>SUMIFS($AU$1388:AU1568,$Q$1388:Q1568,"F")</f>
        <v>7652.4000000000015</v>
      </c>
      <c r="BJ1567" s="318">
        <f>SUMIFS($AU$1388:AU1568,$Q$1388:Q1568,"S")</f>
        <v>8111.9999999999973</v>
      </c>
      <c r="BK1567" s="343">
        <f>SUMIFS($AU$1388:AU1568,$P$1388:P1568,"W")</f>
        <v>13261.579999999934</v>
      </c>
      <c r="BL1567" s="343">
        <f>SUMIFS($AU$1388:AU1568,$P$1388:P1568,"R")</f>
        <v>3054.0000000000005</v>
      </c>
      <c r="BM1567" s="343">
        <f>SUMIFS($AU$1388:AU1568,$AQ$1388:AQ1568,"M")</f>
        <v>4440.3799999996263</v>
      </c>
      <c r="BN1567" s="343">
        <f>SUMIFS($AU$1388:AU1568,$AQ$1388:AQ1568,"H")</f>
        <v>6031.9999999999955</v>
      </c>
      <c r="BO1567" s="343">
        <f>SUMIFS($AU$1388:AU1568,$AQ$1388:AQ1568,"D")</f>
        <v>2670.0000000000009</v>
      </c>
      <c r="BP1567" s="343">
        <f>SUMIFS($AU$1388:AU1570,$AQ$1388:AQ1570,"W")</f>
        <v>3846.4000000000005</v>
      </c>
      <c r="BQ1567" s="343">
        <f>SUMIFS($AU$1388:AU1568,$Q$1388:Q1568,"O")</f>
        <v>384.37999999961744</v>
      </c>
      <c r="BR1567" s="343">
        <f>SUMIFS($AU$1388:AU1568,$AA$1388:AA1568,"*")</f>
        <v>14469.599999999517</v>
      </c>
      <c r="BS1567" s="343">
        <f>SUMIFS($AU$1388:AU1568,$AB$1388:AB1568,"*")</f>
        <v>5607.1799999999312</v>
      </c>
      <c r="BT1567" s="343">
        <f>SUMIFS($AU$1388:AU1568,$AC$1388:AC1568,"*")</f>
        <v>7476.4</v>
      </c>
      <c r="BU1567" s="343">
        <f>SUMIFS($AU$1388:AU1568,$AA$1388:AA1568,"*",$AB$1388:AB1568,"*")</f>
        <v>3455.9999999998226</v>
      </c>
      <c r="BV1567" s="343">
        <f>SUMIFS($AU$1388:AU1568,$AA$1388:AA1568,"*",$AC$1388:AC1568,"*")</f>
        <v>7012.4000000000005</v>
      </c>
      <c r="BW1567" s="343">
        <f>SUMIFS($AU$1388:AU1568,$AB$1388:AB1568,"*",$AC$1388:AC1568,"*")</f>
        <v>2319.9999999999986</v>
      </c>
      <c r="BX1567" s="343">
        <f>SUMIFS($AV$1388:AV1568,$Q$1388:Q1568,"F")</f>
        <v>198.02786430960344</v>
      </c>
      <c r="BY1567" s="343">
        <f>SUMIFS($AV$1388:AV1568,$Q$1388:Q1568,"S")</f>
        <v>424.00935095550108</v>
      </c>
      <c r="BZ1567" s="343">
        <f>SUMIFS($AV$1388:AV1568,$Q$1388:Q1568,"O")</f>
        <v>166.9399999998152</v>
      </c>
    </row>
    <row r="1568" spans="1:78" ht="15.75" customHeight="1">
      <c r="A1568" s="177" t="s">
        <v>5180</v>
      </c>
      <c r="B1568" s="200">
        <v>45330</v>
      </c>
      <c r="C1568" s="178" t="s">
        <v>4093</v>
      </c>
      <c r="D1568" s="178" t="s">
        <v>93</v>
      </c>
      <c r="E1568" s="227"/>
      <c r="F1568" s="180"/>
      <c r="G1568" s="484" t="s">
        <v>5025</v>
      </c>
      <c r="H1568" s="182"/>
      <c r="I1568" s="182"/>
      <c r="J1568" s="182"/>
      <c r="K1568" s="183"/>
      <c r="L1568" s="182">
        <v>1</v>
      </c>
      <c r="M1568" s="182"/>
      <c r="N1568" s="182"/>
      <c r="O1568" s="183" t="s">
        <v>5325</v>
      </c>
      <c r="P1568" s="183" t="s">
        <v>137</v>
      </c>
      <c r="Q1568" s="183"/>
      <c r="R1568" s="183">
        <v>1</v>
      </c>
      <c r="S1568" s="183">
        <v>0</v>
      </c>
      <c r="T1568" s="183">
        <v>1</v>
      </c>
      <c r="U1568" s="183" t="s">
        <v>22</v>
      </c>
      <c r="V1568" s="183"/>
      <c r="W1568" s="183"/>
      <c r="X1568" s="183"/>
      <c r="Y1568" s="184">
        <f>IF(ISBLANK(O1568),"",(IF(O1568=UPPER("IB"),0.005,0.01)))</f>
        <v>0.01</v>
      </c>
      <c r="Z1568" s="185">
        <f>IF(ISBLANK(O1568),"",IF(O1568="IB",8.63*200,IF(O1568="IR",16*100,IF(O1568="YT",20*100,IF(O1568="YT-XT",24*200,IF(O1568="TED",80*100,IF(O1568="IR|YT",300*100)))))))</f>
        <v>30000</v>
      </c>
      <c r="AA1568" s="185" t="s">
        <v>5326</v>
      </c>
      <c r="AB1568" s="185"/>
      <c r="AC1568" s="185"/>
      <c r="AD1568" s="649">
        <v>-0.08</v>
      </c>
      <c r="AE1568" s="182"/>
      <c r="AF1568" s="332"/>
      <c r="AG1568" s="182"/>
      <c r="AH1568" s="182"/>
      <c r="AI1568" s="182"/>
      <c r="AJ1568" s="640"/>
      <c r="AK1568" s="182"/>
      <c r="AL1568" s="496">
        <f t="shared" si="444"/>
        <v>-600</v>
      </c>
      <c r="AM1568" s="496">
        <f t="shared" si="446"/>
        <v>-600</v>
      </c>
      <c r="AN1568" s="626"/>
      <c r="AO1568" s="182"/>
      <c r="AP1568" s="182" t="s">
        <v>770</v>
      </c>
      <c r="AQ1568" s="332" t="s">
        <v>115</v>
      </c>
      <c r="AR1568" s="298">
        <v>45331</v>
      </c>
      <c r="AS1568" s="189">
        <v>-0.08</v>
      </c>
      <c r="AT1568" s="189">
        <f>IF(ISBLANK(AS1568),,IF(U1568="S",AD1568-AS1568,AS1568-AD1568))</f>
        <v>0</v>
      </c>
      <c r="AU1568" s="187">
        <f>AV1568*R1568</f>
        <v>0</v>
      </c>
      <c r="AV1568" s="190">
        <f>IF(ISBLANK(AS1568),,(AT1568*Z1568))</f>
        <v>0</v>
      </c>
      <c r="AW1568" s="191" t="s">
        <v>115</v>
      </c>
      <c r="AX1568" s="407"/>
      <c r="AY1568" s="407"/>
      <c r="AZ1568" s="407"/>
      <c r="BA1568" s="407"/>
      <c r="BB1568" s="407"/>
      <c r="BC1568" s="407"/>
      <c r="BD1568" s="407"/>
      <c r="BE1568" s="407"/>
      <c r="BF1568" s="422"/>
      <c r="BG1568" s="391">
        <f>SUM($AV$1389:AV1568)</f>
        <v>1276.9772152649275</v>
      </c>
      <c r="BH1568" s="392">
        <f>SUM($AU$1389:AU1568)</f>
        <v>16684.779999999628</v>
      </c>
      <c r="BI1568" s="318">
        <f>SUMIFS($AU$1388:AU1569,$Q$1388:Q1569,"F")</f>
        <v>7652.4000000000015</v>
      </c>
      <c r="BJ1568" s="318">
        <f>SUMIFS($AU$1388:AU1569,$Q$1388:Q1569,"S")</f>
        <v>8111.9999999999973</v>
      </c>
      <c r="BK1568" s="343">
        <f>SUMIFS($AU$1388:AU1569,$P$1388:P1569,"W")</f>
        <v>13261.579999999934</v>
      </c>
      <c r="BL1568" s="343">
        <f>SUMIFS($AU$1388:AU1569,$P$1388:P1569,"R")</f>
        <v>3054.0000000000005</v>
      </c>
      <c r="BM1568" s="343">
        <f>SUMIFS($AU$1388:AU1569,$AQ$1388:AQ1569,"M")</f>
        <v>4440.3799999996263</v>
      </c>
      <c r="BN1568" s="343">
        <f>SUMIFS($AU$1388:AU1569,$AQ$1388:AQ1569,"H")</f>
        <v>6031.9999999999955</v>
      </c>
      <c r="BO1568" s="343">
        <f>SUMIFS($AU$1388:AU1569,$AQ$1388:AQ1569,"D")</f>
        <v>2670.0000000000009</v>
      </c>
      <c r="BP1568" s="343">
        <f>SUMIFS($AU$1388:AU1571,$AQ$1388:AQ1571,"W")</f>
        <v>4998.4000000000005</v>
      </c>
      <c r="BQ1568" s="343">
        <f>SUMIFS($AU$1388:AU1569,$Q$1388:Q1569,"O")</f>
        <v>384.37999999961744</v>
      </c>
      <c r="BR1568" s="343">
        <f>SUMIFS($AU$1388:AU1569,$AA$1388:AA1569,"*")</f>
        <v>14469.599999999517</v>
      </c>
      <c r="BS1568" s="343">
        <f>SUMIFS($AU$1388:AU1569,$AB$1388:AB1569,"*")</f>
        <v>5607.1799999999312</v>
      </c>
      <c r="BT1568" s="343">
        <f>SUMIFS($AU$1388:AU1569,$AC$1388:AC1569,"*")</f>
        <v>7476.4</v>
      </c>
      <c r="BU1568" s="343">
        <f>SUMIFS($AU$1388:AU1569,$AA$1388:AA1569,"*",$AB$1388:AB1569,"*")</f>
        <v>3455.9999999998226</v>
      </c>
      <c r="BV1568" s="343">
        <f>SUMIFS($AU$1388:AU1569,$AA$1388:AA1569,"*",$AC$1388:AC1569,"*")</f>
        <v>7012.4000000000005</v>
      </c>
      <c r="BW1568" s="343">
        <f>SUMIFS($AU$1388:AU1569,$AB$1388:AB1569,"*",$AC$1388:AC1569,"*")</f>
        <v>2319.9999999999986</v>
      </c>
      <c r="BX1568" s="343">
        <f>SUMIFS($AV$1388:AV1569,$Q$1388:Q1569,"F")</f>
        <v>198.02786430960344</v>
      </c>
      <c r="BY1568" s="343">
        <f>SUMIFS($AV$1388:AV1569,$Q$1388:Q1569,"S")</f>
        <v>424.00935095550108</v>
      </c>
      <c r="BZ1568" s="343">
        <f>SUMIFS($AV$1388:AV1569,$Q$1388:Q1569,"O")</f>
        <v>166.9399999998152</v>
      </c>
    </row>
    <row r="1569" spans="1:78" ht="15.75" customHeight="1">
      <c r="A1569" s="177" t="s">
        <v>5180</v>
      </c>
      <c r="B1569" s="200">
        <v>45330</v>
      </c>
      <c r="C1569" s="178" t="s">
        <v>3965</v>
      </c>
      <c r="D1569" s="178" t="s">
        <v>93</v>
      </c>
      <c r="E1569" s="227"/>
      <c r="F1569" s="180"/>
      <c r="G1569" s="484" t="s">
        <v>181</v>
      </c>
      <c r="H1569" s="182"/>
      <c r="I1569" s="182"/>
      <c r="J1569" s="182"/>
      <c r="K1569" s="183"/>
      <c r="L1569" s="182">
        <v>1</v>
      </c>
      <c r="M1569" s="182"/>
      <c r="N1569" s="182"/>
      <c r="O1569" s="183" t="s">
        <v>95</v>
      </c>
      <c r="P1569" s="183" t="s">
        <v>96</v>
      </c>
      <c r="Q1569" s="183" t="s">
        <v>97</v>
      </c>
      <c r="R1569" s="183">
        <v>10</v>
      </c>
      <c r="S1569" s="183">
        <v>0</v>
      </c>
      <c r="T1569" s="183">
        <v>10</v>
      </c>
      <c r="U1569" s="183" t="s">
        <v>97</v>
      </c>
      <c r="V1569" s="183"/>
      <c r="W1569" s="183"/>
      <c r="X1569" s="183"/>
      <c r="Y1569" s="184">
        <f>IF(ISBLANK(O1569),"",(IF(O1569=UPPER("IB"),0.005,0.01)))</f>
        <v>0.01</v>
      </c>
      <c r="Z1569" s="185">
        <f>IF(ISBLANK(O1569),"",IF(O1569="IB",8.63*200,IF(O1569="IR",16*100,IF(O1569="YT",20*100,IF(O1569="YT-XT",24*200,IF(O1569="TED",80*100))))))</f>
        <v>1600</v>
      </c>
      <c r="AA1569" s="185" t="s">
        <v>99</v>
      </c>
      <c r="AB1569" s="185"/>
      <c r="AC1569" s="185"/>
      <c r="AD1569" s="649">
        <v>-0.06</v>
      </c>
      <c r="AE1569" s="182"/>
      <c r="AF1569" s="332"/>
      <c r="AG1569" s="182"/>
      <c r="AH1569" s="182"/>
      <c r="AI1569" s="182"/>
      <c r="AJ1569" s="640"/>
      <c r="AK1569" s="182"/>
      <c r="AL1569" s="496">
        <f t="shared" si="444"/>
        <v>-32</v>
      </c>
      <c r="AM1569" s="496">
        <f t="shared" si="446"/>
        <v>-320</v>
      </c>
      <c r="AN1569" s="626"/>
      <c r="AO1569" s="182"/>
      <c r="AP1569" s="182" t="s">
        <v>5327</v>
      </c>
      <c r="AQ1569" s="332" t="s">
        <v>372</v>
      </c>
      <c r="AR1569" s="182" t="s">
        <v>5328</v>
      </c>
      <c r="AS1569" s="189">
        <v>-0.06</v>
      </c>
      <c r="AT1569" s="189">
        <f>IF(ISBLANK(AS1569),,IF(U1569="S",AD1569-AS1569,AS1569-AD1569))</f>
        <v>0</v>
      </c>
      <c r="AU1569" s="187">
        <f>AV1569*R1569</f>
        <v>0</v>
      </c>
      <c r="AV1569" s="190">
        <f>IF(ISBLANK(AS1569),,(AT1569*Z1569))</f>
        <v>0</v>
      </c>
      <c r="AW1569" s="191" t="s">
        <v>115</v>
      </c>
      <c r="AX1569" s="407"/>
      <c r="AY1569" s="407"/>
      <c r="AZ1569" s="407"/>
      <c r="BA1569" s="407"/>
      <c r="BB1569" s="407"/>
      <c r="BC1569" s="407"/>
      <c r="BD1569" s="407"/>
      <c r="BE1569" s="407"/>
      <c r="BF1569" s="422"/>
      <c r="BG1569" s="391">
        <f>SUM($AV$1389:AV1569)</f>
        <v>1276.9772152649275</v>
      </c>
      <c r="BH1569" s="392">
        <f>SUM($AU$1389:AU1569)</f>
        <v>16684.779999999628</v>
      </c>
      <c r="BI1569" s="318">
        <f>SUMIFS($AU$1388:AU1570,$Q$1388:Q1570,"F")</f>
        <v>7652.4000000000015</v>
      </c>
      <c r="BJ1569" s="318">
        <f>SUMIFS($AU$1388:AU1570,$Q$1388:Q1570,"S")</f>
        <v>8111.9999999999973</v>
      </c>
      <c r="BK1569" s="343">
        <f>SUMIFS($AU$1388:AU1570,$P$1388:P1570,"W")</f>
        <v>13261.579999999934</v>
      </c>
      <c r="BL1569" s="343">
        <f>SUMIFS($AU$1388:AU1570,$P$1388:P1570,"R")</f>
        <v>3054.0000000000005</v>
      </c>
      <c r="BM1569" s="343">
        <f>SUMIFS($AU$1388:AU1570,$AQ$1388:AQ1570,"M")</f>
        <v>4440.3799999996263</v>
      </c>
      <c r="BN1569" s="343">
        <f>SUMIFS($AU$1388:AU1570,$AQ$1388:AQ1570,"H")</f>
        <v>6031.9999999999955</v>
      </c>
      <c r="BO1569" s="343">
        <f>SUMIFS($AU$1388:AU1570,$AQ$1388:AQ1570,"D")</f>
        <v>2670.0000000000009</v>
      </c>
      <c r="BP1569" s="343">
        <f>SUMIFS($AU$1388:AU1572,$AQ$1388:AQ1572,"W")</f>
        <v>4998.4000000000005</v>
      </c>
      <c r="BQ1569" s="343">
        <f>SUMIFS($AU$1388:AU1570,$Q$1388:Q1570,"O")</f>
        <v>384.37999999961744</v>
      </c>
      <c r="BR1569" s="343">
        <f>SUMIFS($AU$1388:AU1570,$AA$1388:AA1570,"*")</f>
        <v>14469.599999999517</v>
      </c>
      <c r="BS1569" s="343">
        <f>SUMIFS($AU$1388:AU1570,$AB$1388:AB1570,"*")</f>
        <v>5607.1799999999312</v>
      </c>
      <c r="BT1569" s="343">
        <f>SUMIFS($AU$1388:AU1570,$AC$1388:AC1570,"*")</f>
        <v>7476.4</v>
      </c>
      <c r="BU1569" s="343">
        <f>SUMIFS($AU$1388:AU1570,$AA$1388:AA1570,"*",$AB$1388:AB1570,"*")</f>
        <v>3455.9999999998226</v>
      </c>
      <c r="BV1569" s="343">
        <f>SUMIFS($AU$1388:AU1570,$AA$1388:AA1570,"*",$AC$1388:AC1570,"*")</f>
        <v>7012.4000000000005</v>
      </c>
      <c r="BW1569" s="343">
        <f>SUMIFS($AU$1388:AU1570,$AB$1388:AB1570,"*",$AC$1388:AC1570,"*")</f>
        <v>2319.9999999999986</v>
      </c>
      <c r="BX1569" s="343">
        <f>SUMIFS($AV$1388:AV1570,$Q$1388:Q1570,"F")</f>
        <v>198.02786430960344</v>
      </c>
      <c r="BY1569" s="343">
        <f>SUMIFS($AV$1388:AV1570,$Q$1388:Q1570,"S")</f>
        <v>424.00935095550108</v>
      </c>
      <c r="BZ1569" s="343">
        <f>SUMIFS($AV$1388:AV1570,$Q$1388:Q1570,"O")</f>
        <v>166.9399999998152</v>
      </c>
    </row>
    <row r="1570" spans="1:78" ht="15.75" customHeight="1">
      <c r="A1570" s="177" t="s">
        <v>5180</v>
      </c>
      <c r="B1570" s="200">
        <v>45331</v>
      </c>
      <c r="C1570" s="178" t="s">
        <v>1640</v>
      </c>
      <c r="D1570" s="178" t="s">
        <v>111</v>
      </c>
      <c r="E1570" s="227"/>
      <c r="F1570" s="180"/>
      <c r="G1570" s="484" t="s">
        <v>5282</v>
      </c>
      <c r="H1570" s="182"/>
      <c r="I1570" s="182"/>
      <c r="J1570" s="182"/>
      <c r="K1570" s="183"/>
      <c r="L1570" s="182">
        <v>1</v>
      </c>
      <c r="M1570" s="182"/>
      <c r="N1570" s="182"/>
      <c r="O1570" s="183" t="s">
        <v>95</v>
      </c>
      <c r="P1570" s="183" t="s">
        <v>96</v>
      </c>
      <c r="Q1570" s="183" t="s">
        <v>97</v>
      </c>
      <c r="R1570" s="183">
        <v>35</v>
      </c>
      <c r="S1570" s="183">
        <v>0</v>
      </c>
      <c r="T1570" s="183">
        <v>35</v>
      </c>
      <c r="U1570" s="183" t="s">
        <v>97</v>
      </c>
      <c r="V1570" s="183"/>
      <c r="W1570" s="183"/>
      <c r="X1570" s="183"/>
      <c r="Y1570" s="184">
        <f>IF(ISBLANK(O1570),"",(IF(O1570=UPPER("IB"),0.005,0.01)))</f>
        <v>0.01</v>
      </c>
      <c r="Z1570" s="185">
        <f>IF(ISBLANK(O1570),"",IF(O1570="IB",8.63*200,IF(O1570="IR",16*100,IF(O1570="YT",20*100,IF(O1570="YT-XT",24*200,IF(O1570="TED",80*100))))))</f>
        <v>1600</v>
      </c>
      <c r="AA1570" s="185" t="s">
        <v>99</v>
      </c>
      <c r="AB1570" s="185"/>
      <c r="AC1570" s="185"/>
      <c r="AD1570" s="649">
        <v>-0.15</v>
      </c>
      <c r="AE1570" s="182"/>
      <c r="AF1570" s="332"/>
      <c r="AG1570" s="182"/>
      <c r="AH1570" s="182"/>
      <c r="AI1570" s="182"/>
      <c r="AJ1570" s="640"/>
      <c r="AK1570" s="182"/>
      <c r="AL1570" s="496">
        <f t="shared" ref="AL1570:AL1637" si="450">-0.02*Z1570</f>
        <v>-32</v>
      </c>
      <c r="AM1570" s="496">
        <f t="shared" si="446"/>
        <v>-1120</v>
      </c>
      <c r="AN1570" s="626"/>
      <c r="AO1570" s="182"/>
      <c r="AP1570" s="182" t="s">
        <v>4184</v>
      </c>
      <c r="AQ1570" s="332" t="s">
        <v>1259</v>
      </c>
      <c r="AR1570" s="182" t="s">
        <v>3430</v>
      </c>
      <c r="AS1570" s="189">
        <v>-0.15</v>
      </c>
      <c r="AT1570" s="189">
        <f>IF(ISBLANK(AS1570),,IF(U1570="S",AD1570-AS1570,AS1570-AD1570))</f>
        <v>0</v>
      </c>
      <c r="AU1570" s="187">
        <f>AV1570*R1570</f>
        <v>0</v>
      </c>
      <c r="AV1570" s="190">
        <f>IF(ISBLANK(AS1570),,(AT1570*Z1570))</f>
        <v>0</v>
      </c>
      <c r="AW1570" s="191" t="s">
        <v>115</v>
      </c>
      <c r="AX1570" s="407" t="s">
        <v>5329</v>
      </c>
      <c r="AY1570" s="407"/>
      <c r="AZ1570" s="407"/>
      <c r="BA1570" s="407"/>
      <c r="BB1570" s="407"/>
      <c r="BC1570" s="407"/>
      <c r="BD1570" s="407"/>
      <c r="BE1570" s="407"/>
      <c r="BF1570" s="422"/>
      <c r="BG1570" s="391">
        <f>SUM($AV$1389:AV1570)</f>
        <v>1276.9772152649275</v>
      </c>
      <c r="BH1570" s="392">
        <f>SUM($AU$1389:AU1570)</f>
        <v>16684.779999999628</v>
      </c>
      <c r="BI1570" s="318">
        <f>SUMIFS($AU$1388:AU1571,$Q$1388:Q1571,"F")</f>
        <v>8804.4000000000015</v>
      </c>
      <c r="BJ1570" s="318">
        <f>SUMIFS($AU$1388:AU1571,$Q$1388:Q1571,"S")</f>
        <v>8111.9999999999973</v>
      </c>
      <c r="BK1570" s="343">
        <f>SUMIFS($AU$1388:AU1571,$P$1388:P1571,"W")</f>
        <v>13261.579999999934</v>
      </c>
      <c r="BL1570" s="343">
        <f>SUMIFS($AU$1388:AU1571,$P$1388:P1571,"R")</f>
        <v>4206</v>
      </c>
      <c r="BM1570" s="343">
        <f>SUMIFS($AU$1388:AU1571,$AQ$1388:AQ1571,"M")</f>
        <v>4440.3799999996263</v>
      </c>
      <c r="BN1570" s="343">
        <f>SUMIFS($AU$1388:AU1571,$AQ$1388:AQ1571,"H")</f>
        <v>6031.9999999999955</v>
      </c>
      <c r="BO1570" s="343">
        <f>SUMIFS($AU$1388:AU1571,$AQ$1388:AQ1571,"D")</f>
        <v>2670.0000000000009</v>
      </c>
      <c r="BP1570" s="343">
        <f>SUMIFS($AU$1388:AU1573,$AQ$1388:AQ1573,"W")</f>
        <v>4998.4000000000005</v>
      </c>
      <c r="BQ1570" s="343">
        <f>SUMIFS($AU$1388:AU1571,$Q$1388:Q1571,"O")</f>
        <v>384.37999999961744</v>
      </c>
      <c r="BR1570" s="343">
        <f>SUMIFS($AU$1388:AU1571,$AA$1388:AA1571,"*")</f>
        <v>15621.599999999517</v>
      </c>
      <c r="BS1570" s="343">
        <f>SUMIFS($AU$1388:AU1571,$AB$1388:AB1571,"*")</f>
        <v>5607.1799999999312</v>
      </c>
      <c r="BT1570" s="343">
        <f>SUMIFS($AU$1388:AU1571,$AC$1388:AC1571,"*")</f>
        <v>8628.4</v>
      </c>
      <c r="BU1570" s="343">
        <f>SUMIFS($AU$1388:AU1571,$AA$1388:AA1571,"*",$AB$1388:AB1571,"*")</f>
        <v>3455.9999999998226</v>
      </c>
      <c r="BV1570" s="343">
        <f>SUMIFS($AU$1388:AU1571,$AA$1388:AA1571,"*",$AC$1388:AC1571,"*")</f>
        <v>8164.4000000000005</v>
      </c>
      <c r="BW1570" s="343">
        <f>SUMIFS($AU$1388:AU1571,$AB$1388:AB1571,"*",$AC$1388:AC1571,"*")</f>
        <v>2319.9999999999986</v>
      </c>
      <c r="BX1570" s="343">
        <f>SUMIFS($AV$1388:AV1571,$Q$1388:Q1571,"F")</f>
        <v>214.02786430960344</v>
      </c>
      <c r="BY1570" s="343">
        <f>SUMIFS($AV$1388:AV1571,$Q$1388:Q1571,"S")</f>
        <v>424.00935095550108</v>
      </c>
      <c r="BZ1570" s="343">
        <f>SUMIFS($AV$1388:AV1571,$Q$1388:Q1571,"O")</f>
        <v>166.9399999998152</v>
      </c>
    </row>
    <row r="1571" spans="1:78" ht="15.75" customHeight="1">
      <c r="A1571" s="177" t="s">
        <v>5180</v>
      </c>
      <c r="B1571" s="200">
        <v>45331</v>
      </c>
      <c r="C1571" s="178" t="s">
        <v>1121</v>
      </c>
      <c r="D1571" s="178" t="s">
        <v>111</v>
      </c>
      <c r="E1571" s="227"/>
      <c r="F1571" s="180"/>
      <c r="G1571" s="484" t="s">
        <v>4409</v>
      </c>
      <c r="H1571" s="182"/>
      <c r="I1571" s="182"/>
      <c r="J1571" s="182"/>
      <c r="K1571" s="183"/>
      <c r="L1571" s="182">
        <v>1</v>
      </c>
      <c r="M1571" s="182"/>
      <c r="N1571" s="182"/>
      <c r="O1571" s="183" t="s">
        <v>95</v>
      </c>
      <c r="P1571" s="183" t="s">
        <v>137</v>
      </c>
      <c r="Q1571" s="183" t="s">
        <v>256</v>
      </c>
      <c r="R1571" s="183">
        <v>72</v>
      </c>
      <c r="S1571" s="183">
        <v>0</v>
      </c>
      <c r="T1571" s="183">
        <v>72</v>
      </c>
      <c r="U1571" s="183" t="s">
        <v>22</v>
      </c>
      <c r="V1571" s="183"/>
      <c r="W1571" s="183"/>
      <c r="X1571" s="183"/>
      <c r="Y1571" s="184">
        <f>IF(ISBLANK(O1571),"",(IF(O1571=UPPER("IB"),0.005,0.01)))</f>
        <v>0.01</v>
      </c>
      <c r="Z1571" s="185">
        <f>IF(ISBLANK(O1571),"",IF(O1571="IB",8.63*200,IF(O1571="IR",16*100,IF(O1571="YT",20*100,IF(O1571="YT-XT",24*200,IF(O1571="TED",80*100))))))</f>
        <v>1600</v>
      </c>
      <c r="AA1571" s="185" t="s">
        <v>5330</v>
      </c>
      <c r="AB1571" s="185"/>
      <c r="AC1571" s="185" t="s">
        <v>5331</v>
      </c>
      <c r="AD1571" s="649">
        <v>-0.02</v>
      </c>
      <c r="AE1571" s="182"/>
      <c r="AF1571" s="332"/>
      <c r="AG1571" s="182"/>
      <c r="AH1571" s="182"/>
      <c r="AI1571" s="182"/>
      <c r="AJ1571" s="640"/>
      <c r="AK1571" s="182"/>
      <c r="AL1571" s="496">
        <f t="shared" si="450"/>
        <v>-32</v>
      </c>
      <c r="AM1571" s="496">
        <f t="shared" si="446"/>
        <v>-2304</v>
      </c>
      <c r="AN1571" s="626"/>
      <c r="AO1571" s="182"/>
      <c r="AP1571" s="182" t="s">
        <v>902</v>
      </c>
      <c r="AQ1571" s="332" t="s">
        <v>96</v>
      </c>
      <c r="AR1571" s="298">
        <v>45338</v>
      </c>
      <c r="AS1571" s="189">
        <v>-0.01</v>
      </c>
      <c r="AT1571" s="189">
        <f>IF(ISBLANK(AS1571),,IF(U1571="S",AD1571-AS1571,AS1571-AD1571))</f>
        <v>0.01</v>
      </c>
      <c r="AU1571" s="187">
        <f>AV1571*R1571</f>
        <v>1152</v>
      </c>
      <c r="AV1571" s="190">
        <f>IF(ISBLANK(AS1571),,(AT1571*Z1571))</f>
        <v>16</v>
      </c>
      <c r="AW1571" s="191" t="s">
        <v>96</v>
      </c>
      <c r="AX1571" s="407"/>
      <c r="AY1571" s="407"/>
      <c r="AZ1571" s="407"/>
      <c r="BA1571" s="407"/>
      <c r="BB1571" s="407"/>
      <c r="BC1571" s="407"/>
      <c r="BD1571" s="407"/>
      <c r="BE1571" s="407"/>
      <c r="BF1571" s="422"/>
      <c r="BG1571" s="391">
        <f>SUM($AV$1389:AV1571)</f>
        <v>1292.9772152649275</v>
      </c>
      <c r="BH1571" s="392">
        <f>SUM($AU$1389:AU1571)</f>
        <v>17836.779999999628</v>
      </c>
      <c r="BI1571" s="318">
        <f>SUMIFS($AU$1388:AU1572,$Q$1388:Q1572,"F")</f>
        <v>8804.4000000000015</v>
      </c>
      <c r="BJ1571" s="318">
        <f>SUMIFS($AU$1388:AU1572,$Q$1388:Q1572,"S")</f>
        <v>8111.9999999999973</v>
      </c>
      <c r="BK1571" s="343">
        <f>SUMIFS($AU$1388:AU1572,$P$1388:P1572,"W")</f>
        <v>13261.579999999934</v>
      </c>
      <c r="BL1571" s="343">
        <f>SUMIFS($AU$1388:AU1572,$P$1388:P1572,"R")</f>
        <v>4206</v>
      </c>
      <c r="BM1571" s="343">
        <f>SUMIFS($AU$1388:AU1572,$AQ$1388:AQ1572,"M")</f>
        <v>4440.3799999996263</v>
      </c>
      <c r="BN1571" s="343">
        <f>SUMIFS($AU$1388:AU1572,$AQ$1388:AQ1572,"H")</f>
        <v>6031.9999999999955</v>
      </c>
      <c r="BO1571" s="343">
        <f>SUMIFS($AU$1388:AU1572,$AQ$1388:AQ1572,"D")</f>
        <v>2670.0000000000009</v>
      </c>
      <c r="BP1571" s="343">
        <f>SUMIFS($AU$1388:AU1574,$AQ$1388:AQ1574,"W")</f>
        <v>4998.4000000000005</v>
      </c>
      <c r="BQ1571" s="343">
        <f>SUMIFS($AU$1388:AU1572,$Q$1388:Q1572,"O")</f>
        <v>384.37999999961744</v>
      </c>
      <c r="BR1571" s="343">
        <f>SUMIFS($AU$1388:AU1572,$AA$1388:AA1572,"*")</f>
        <v>15621.599999999517</v>
      </c>
      <c r="BS1571" s="343">
        <f>SUMIFS($AU$1388:AU1572,$AB$1388:AB1572,"*")</f>
        <v>5607.1799999999312</v>
      </c>
      <c r="BT1571" s="343">
        <f>SUMIFS($AU$1388:AU1572,$AC$1388:AC1572,"*")</f>
        <v>8628.4</v>
      </c>
      <c r="BU1571" s="343">
        <f>SUMIFS($AU$1388:AU1572,$AA$1388:AA1572,"*",$AB$1388:AB1572,"*")</f>
        <v>3455.9999999998226</v>
      </c>
      <c r="BV1571" s="343">
        <f>SUMIFS($AU$1388:AU1572,$AA$1388:AA1572,"*",$AC$1388:AC1572,"*")</f>
        <v>8164.4000000000005</v>
      </c>
      <c r="BW1571" s="343">
        <f>SUMIFS($AU$1388:AU1572,$AB$1388:AB1572,"*",$AC$1388:AC1572,"*")</f>
        <v>2319.9999999999986</v>
      </c>
      <c r="BX1571" s="343">
        <f>SUMIFS($AV$1388:AV1572,$Q$1388:Q1572,"F")</f>
        <v>214.02786430960344</v>
      </c>
      <c r="BY1571" s="343">
        <f>SUMIFS($AV$1388:AV1572,$Q$1388:Q1572,"S")</f>
        <v>424.00935095550108</v>
      </c>
      <c r="BZ1571" s="343">
        <f>SUMIFS($AV$1388:AV1572,$Q$1388:Q1572,"O")</f>
        <v>166.9399999998152</v>
      </c>
    </row>
    <row r="1572" spans="1:78" ht="15.75" customHeight="1">
      <c r="A1572" s="177" t="s">
        <v>5180</v>
      </c>
      <c r="B1572" s="200">
        <v>45331</v>
      </c>
      <c r="C1572" s="178" t="s">
        <v>1121</v>
      </c>
      <c r="D1572" s="178" t="s">
        <v>111</v>
      </c>
      <c r="E1572" s="227"/>
      <c r="F1572" s="180"/>
      <c r="G1572" s="181" t="s">
        <v>3334</v>
      </c>
      <c r="H1572" s="182"/>
      <c r="I1572" s="182"/>
      <c r="J1572" s="182"/>
      <c r="K1572" s="183"/>
      <c r="L1572" s="182"/>
      <c r="M1572" s="182"/>
      <c r="N1572" s="182"/>
      <c r="O1572" s="183"/>
      <c r="P1572" s="183"/>
      <c r="Q1572" s="183"/>
      <c r="R1572" s="183"/>
      <c r="S1572" s="183"/>
      <c r="T1572" s="183"/>
      <c r="U1572" s="183"/>
      <c r="V1572" s="183"/>
      <c r="W1572" s="183"/>
      <c r="X1572" s="183"/>
      <c r="Y1572" s="184"/>
      <c r="Z1572" s="185"/>
      <c r="AA1572" s="185"/>
      <c r="AB1572" s="185"/>
      <c r="AC1572" s="185"/>
      <c r="AD1572" s="649"/>
      <c r="AE1572" s="182"/>
      <c r="AF1572" s="332"/>
      <c r="AG1572" s="182"/>
      <c r="AH1572" s="182"/>
      <c r="AI1572" s="182"/>
      <c r="AJ1572" s="640"/>
      <c r="AK1572" s="182"/>
      <c r="AL1572" s="496">
        <f>-0.03*Z1572</f>
        <v>0</v>
      </c>
      <c r="AM1572" s="496">
        <f t="shared" si="446"/>
        <v>0</v>
      </c>
      <c r="AN1572" s="626"/>
      <c r="AO1572" s="182"/>
      <c r="AP1572" s="182"/>
      <c r="AQ1572" s="332" t="str">
        <f>UPPER(RIGHT(Journal_Live[[#This Row],[DURATION ]]))</f>
        <v/>
      </c>
      <c r="AR1572" s="182"/>
      <c r="AS1572" s="189"/>
      <c r="AT1572" s="189"/>
      <c r="AU1572" s="187"/>
      <c r="AV1572" s="190"/>
      <c r="AW1572" s="191"/>
      <c r="AX1572" s="407"/>
      <c r="AY1572" s="407"/>
      <c r="AZ1572" s="407"/>
      <c r="BA1572" s="407"/>
      <c r="BB1572" s="407"/>
      <c r="BC1572" s="407"/>
      <c r="BD1572" s="407"/>
      <c r="BE1572" s="407"/>
      <c r="BF1572" s="422"/>
      <c r="BG1572" s="391">
        <f>SUM($AV$1389:AV1572)</f>
        <v>1292.9772152649275</v>
      </c>
      <c r="BH1572" s="392">
        <f>SUM($AU$1389:AU1572)</f>
        <v>17836.779999999628</v>
      </c>
      <c r="BI1572" s="318">
        <f>SUMIFS($AU$1388:AU1637,$Q$1388:Q1637,"F")</f>
        <v>9348.4000000000015</v>
      </c>
      <c r="BJ1572" s="318">
        <f>SUMIFS($AU$1388:AU1637,$Q$1388:Q1637,"S")</f>
        <v>3279.9999999999918</v>
      </c>
      <c r="BK1572" s="343">
        <f>SUMIFS($AU$1388:AU1637,$P$1388:P1637,"W")</f>
        <v>8717.579999999929</v>
      </c>
      <c r="BL1572" s="343">
        <f>SUMIFS($AU$1388:AU1637,$P$1388:P1637,"R")</f>
        <v>4181.9999999999991</v>
      </c>
      <c r="BM1572" s="343">
        <f>SUMIFS($AU$1388:AU1637,$AQ$1388:AQ1637,"M")</f>
        <v>5219.3799999995472</v>
      </c>
      <c r="BN1572" s="343">
        <f>SUMIFS($AU$1388:AU1637,$AQ$1388:AQ1637,"H")</f>
        <v>2931.2000000002599</v>
      </c>
      <c r="BO1572" s="343">
        <f>SUMIFS($AU$1388:AU1637,$AQ$1388:AQ1637,"D")</f>
        <v>1266.0000000000005</v>
      </c>
      <c r="BP1572" s="343">
        <f>SUMIFS($AU$1388:AU1575,$AQ$1388:AQ1575,"W")</f>
        <v>4998.4000000000005</v>
      </c>
      <c r="BQ1572" s="343">
        <f>SUMIFS($AU$1388:AU1637,$Q$1388:Q1637,"O")</f>
        <v>1770.5799999998073</v>
      </c>
      <c r="BR1572" s="343">
        <f>SUMIFS($AU$1388:AU1637,$AA$1388:AA1637,"*")</f>
        <v>12439.799999999701</v>
      </c>
      <c r="BS1572" s="343">
        <f>SUMIFS($AU$1388:AU1637,$AB$1388:AB1637,"*")</f>
        <v>4007.1799999999307</v>
      </c>
      <c r="BT1572" s="343">
        <f>SUMIFS($AU$1388:AU1637,$AC$1388:AC1637,"*")</f>
        <v>7028.4</v>
      </c>
      <c r="BU1572" s="343">
        <f>SUMIFS($AU$1388:AU1637,$AA$1388:AA1637,"*",$AB$1388:AB1637,"*")</f>
        <v>1855.9999999998222</v>
      </c>
      <c r="BV1572" s="343">
        <f>SUMIFS($AU$1388:AU1637,$AA$1388:AA1637,"*",$AC$1388:AC1637,"*")</f>
        <v>6564.4</v>
      </c>
      <c r="BW1572" s="343">
        <f>SUMIFS($AU$1388:AU1637,$AB$1388:AB1637,"*",$AC$1388:AC1637,"*")</f>
        <v>719.99999999999818</v>
      </c>
      <c r="BX1572" s="343">
        <f>SUMIFS($AV$1388:AV1573,$Q$1388:Q1573,"F")</f>
        <v>214.02786430960344</v>
      </c>
      <c r="BY1572" s="343">
        <f>SUMIFS($AV$1388:AV1573,$Q$1388:Q1573,"S")</f>
        <v>424.00935095550108</v>
      </c>
      <c r="BZ1572" s="343">
        <f>SUMIFS($AV$1388:AV1573,$Q$1388:Q1573,"O")</f>
        <v>166.9399999998152</v>
      </c>
    </row>
    <row r="1573" spans="1:78" ht="15.75" customHeight="1">
      <c r="A1573" s="177" t="s">
        <v>5180</v>
      </c>
      <c r="B1573" s="200">
        <v>45335</v>
      </c>
      <c r="C1573" s="178" t="s">
        <v>2081</v>
      </c>
      <c r="D1573" s="178" t="s">
        <v>146</v>
      </c>
      <c r="E1573" s="227"/>
      <c r="F1573" s="180"/>
      <c r="G1573" s="181" t="s">
        <v>181</v>
      </c>
      <c r="H1573" s="182"/>
      <c r="I1573" s="182"/>
      <c r="J1573" s="182"/>
      <c r="K1573" s="183"/>
      <c r="L1573" s="182"/>
      <c r="M1573" s="182"/>
      <c r="N1573" s="182"/>
      <c r="O1573" s="183"/>
      <c r="P1573" s="183"/>
      <c r="Q1573" s="183"/>
      <c r="R1573" s="183"/>
      <c r="S1573" s="183"/>
      <c r="T1573" s="183"/>
      <c r="U1573" s="183"/>
      <c r="V1573" s="183"/>
      <c r="W1573" s="183"/>
      <c r="X1573" s="183"/>
      <c r="Y1573" s="184"/>
      <c r="Z1573" s="185"/>
      <c r="AA1573" s="185"/>
      <c r="AB1573" s="185"/>
      <c r="AC1573" s="185"/>
      <c r="AD1573" s="649"/>
      <c r="AE1573" s="182"/>
      <c r="AF1573" s="332"/>
      <c r="AG1573" s="182"/>
      <c r="AH1573" s="182"/>
      <c r="AI1573" s="182"/>
      <c r="AJ1573" s="640"/>
      <c r="AK1573" s="182"/>
      <c r="AL1573" s="496">
        <f t="shared" ref="AL1573:AL1580" si="451">-0.02*Z1573</f>
        <v>0</v>
      </c>
      <c r="AM1573" s="496">
        <f t="shared" si="446"/>
        <v>0</v>
      </c>
      <c r="AN1573" s="626"/>
      <c r="AO1573" s="182"/>
      <c r="AP1573" s="182"/>
      <c r="AQ1573" s="332" t="str">
        <f>UPPER(RIGHT(Journal_Live[[#This Row],[DURATION ]]))</f>
        <v/>
      </c>
      <c r="AR1573" s="182"/>
      <c r="AS1573" s="189"/>
      <c r="AT1573" s="189"/>
      <c r="AU1573" s="187"/>
      <c r="AV1573" s="190"/>
      <c r="AW1573" s="191"/>
      <c r="AX1573" s="407" t="s">
        <v>5332</v>
      </c>
      <c r="AY1573" s="407" t="s">
        <v>5333</v>
      </c>
      <c r="AZ1573" s="407" t="s">
        <v>5334</v>
      </c>
      <c r="BA1573" s="407" t="s">
        <v>5335</v>
      </c>
      <c r="BB1573" s="407" t="s">
        <v>5336</v>
      </c>
      <c r="BC1573" s="407" t="s">
        <v>5337</v>
      </c>
      <c r="BD1573" s="407" t="s">
        <v>5338</v>
      </c>
      <c r="BE1573" s="407"/>
      <c r="BF1573" s="422"/>
      <c r="BG1573" s="391">
        <f>SUM($AV$1389:AV1573)</f>
        <v>1292.9772152649275</v>
      </c>
      <c r="BH1573" s="392">
        <f>SUM($AU$1389:AU1573)</f>
        <v>17836.779999999628</v>
      </c>
      <c r="BI1573" s="318">
        <f>SUMIFS($AU$1388:AU1574,$Q$1388:Q1574,"F")</f>
        <v>8804.4000000000015</v>
      </c>
      <c r="BJ1573" s="318">
        <f>SUMIFS($AU$1388:AU1574,$Q$1388:Q1574,"S")</f>
        <v>8111.9999999999973</v>
      </c>
      <c r="BK1573" s="343">
        <f>SUMIFS($AU$1388:AU1574,$P$1388:P1574,"W")</f>
        <v>13261.579999999934</v>
      </c>
      <c r="BL1573" s="343">
        <f>SUMIFS($AU$1388:AU1574,$P$1388:P1574,"R")</f>
        <v>4206</v>
      </c>
      <c r="BM1573" s="343">
        <f>SUMIFS($AU$1388:AU1574,$AQ$1388:AQ1574,"M")</f>
        <v>4440.3799999996263</v>
      </c>
      <c r="BN1573" s="343">
        <f>SUMIFS($AU$1388:AU1574,$AQ$1388:AQ1574,"H")</f>
        <v>6031.9999999999955</v>
      </c>
      <c r="BO1573" s="343">
        <f>SUMIFS($AU$1388:AU1574,$AQ$1388:AQ1574,"D")</f>
        <v>2670.0000000000009</v>
      </c>
      <c r="BP1573" s="343">
        <f>SUMIFS($AU$1388:AU1576,$AQ$1388:AQ1576,"W")</f>
        <v>4998.4000000000005</v>
      </c>
      <c r="BQ1573" s="343">
        <f>SUMIFS($AU$1388:AU1574,$Q$1388:Q1574,"O")</f>
        <v>384.37999999961744</v>
      </c>
      <c r="BR1573" s="343">
        <f>SUMIFS($AU$1388:AU1574,$AA$1388:AA1574,"*")</f>
        <v>15621.599999999517</v>
      </c>
      <c r="BS1573" s="343">
        <f>SUMIFS($AU$1388:AU1574,$AB$1388:AB1574,"*")</f>
        <v>5607.1799999999312</v>
      </c>
      <c r="BT1573" s="343">
        <f>SUMIFS($AU$1388:AU1574,$AC$1388:AC1574,"*")</f>
        <v>8628.4</v>
      </c>
      <c r="BU1573" s="343">
        <f>SUMIFS($AU$1388:AU1574,$AA$1388:AA1574,"*",$AB$1388:AB1574,"*")</f>
        <v>3455.9999999998226</v>
      </c>
      <c r="BV1573" s="343">
        <f>SUMIFS($AU$1388:AU1574,$AA$1388:AA1574,"*",$AC$1388:AC1574,"*")</f>
        <v>8164.4000000000005</v>
      </c>
      <c r="BW1573" s="343">
        <f>SUMIFS($AU$1388:AU1574,$AB$1388:AB1574,"*",$AC$1388:AC1574,"*")</f>
        <v>2319.9999999999986</v>
      </c>
      <c r="BX1573" s="343">
        <f>SUMIFS($AV$1388:AV1574,$Q$1388:Q1574,"F")</f>
        <v>214.02786430960344</v>
      </c>
      <c r="BY1573" s="343">
        <f>SUMIFS($AV$1388:AV1574,$Q$1388:Q1574,"S")</f>
        <v>424.00935095550108</v>
      </c>
      <c r="BZ1573" s="343">
        <f>SUMIFS($AV$1388:AV1574,$Q$1388:Q1574,"O")</f>
        <v>166.9399999998152</v>
      </c>
    </row>
    <row r="1574" spans="1:78" ht="15.75" customHeight="1">
      <c r="A1574" s="177" t="s">
        <v>5180</v>
      </c>
      <c r="B1574" s="200"/>
      <c r="C1574" s="178"/>
      <c r="D1574" s="178"/>
      <c r="E1574" s="227"/>
      <c r="F1574" s="180"/>
      <c r="G1574" s="181"/>
      <c r="H1574" s="182"/>
      <c r="I1574" s="182"/>
      <c r="J1574" s="182"/>
      <c r="K1574" s="183"/>
      <c r="L1574" s="182"/>
      <c r="M1574" s="182"/>
      <c r="N1574" s="182"/>
      <c r="O1574" s="183"/>
      <c r="P1574" s="183"/>
      <c r="Q1574" s="183"/>
      <c r="R1574" s="183"/>
      <c r="S1574" s="183"/>
      <c r="T1574" s="183"/>
      <c r="U1574" s="183"/>
      <c r="V1574" s="183"/>
      <c r="W1574" s="183"/>
      <c r="X1574" s="183"/>
      <c r="Y1574" s="184"/>
      <c r="Z1574" s="185"/>
      <c r="AA1574" s="185"/>
      <c r="AB1574" s="185"/>
      <c r="AC1574" s="185"/>
      <c r="AD1574" s="649"/>
      <c r="AE1574" s="182"/>
      <c r="AF1574" s="332"/>
      <c r="AG1574" s="182"/>
      <c r="AH1574" s="182"/>
      <c r="AI1574" s="182"/>
      <c r="AJ1574" s="640"/>
      <c r="AK1574" s="182"/>
      <c r="AL1574" s="496">
        <f t="shared" si="451"/>
        <v>0</v>
      </c>
      <c r="AM1574" s="496">
        <f t="shared" si="446"/>
        <v>0</v>
      </c>
      <c r="AN1574" s="626"/>
      <c r="AO1574" s="182"/>
      <c r="AP1574" s="182"/>
      <c r="AQ1574" s="332" t="str">
        <f>UPPER(RIGHT(Journal_Live[[#This Row],[DURATION ]]))</f>
        <v/>
      </c>
      <c r="AR1574" s="182"/>
      <c r="AS1574" s="189"/>
      <c r="AT1574" s="189"/>
      <c r="AU1574" s="187"/>
      <c r="AV1574" s="190"/>
      <c r="AW1574" s="191"/>
      <c r="AX1574" s="407" t="s">
        <v>5339</v>
      </c>
      <c r="AY1574" s="407" t="s">
        <v>5340</v>
      </c>
      <c r="AZ1574" s="407"/>
      <c r="BA1574" s="407"/>
      <c r="BB1574" s="407"/>
      <c r="BC1574" s="407"/>
      <c r="BD1574" s="407"/>
      <c r="BE1574" s="407"/>
      <c r="BF1574" s="422"/>
      <c r="BG1574" s="391">
        <f>SUM($AV$1389:AV1574)</f>
        <v>1292.9772152649275</v>
      </c>
      <c r="BH1574" s="392">
        <f>SUM($AU$1389:AU1574)</f>
        <v>17836.779999999628</v>
      </c>
      <c r="BI1574" s="318">
        <f>SUMIFS($AU$1388:AU1575,$Q$1388:Q1575,"F")</f>
        <v>8804.4000000000015</v>
      </c>
      <c r="BJ1574" s="318">
        <f>SUMIFS($AU$1388:AU1575,$Q$1388:Q1575,"S")</f>
        <v>8111.9999999999973</v>
      </c>
      <c r="BK1574" s="343">
        <f>SUMIFS($AU$1388:AU1575,$P$1388:P1575,"W")</f>
        <v>13261.579999999934</v>
      </c>
      <c r="BL1574" s="343">
        <f>SUMIFS($AU$1388:AU1575,$P$1388:P1575,"R")</f>
        <v>4206</v>
      </c>
      <c r="BM1574" s="343">
        <f>SUMIFS($AU$1388:AU1575,$AQ$1388:AQ1575,"M")</f>
        <v>4440.3799999996263</v>
      </c>
      <c r="BN1574" s="343">
        <f>SUMIFS($AU$1388:AU1575,$AQ$1388:AQ1575,"H")</f>
        <v>6031.9999999999955</v>
      </c>
      <c r="BO1574" s="343">
        <f>SUMIFS($AU$1388:AU1575,$AQ$1388:AQ1575,"D")</f>
        <v>2670.0000000000009</v>
      </c>
      <c r="BP1574" s="343">
        <f>SUMIFS($AU$1388:AU1577,$AQ$1388:AQ1577,"W")</f>
        <v>4998.4000000000005</v>
      </c>
      <c r="BQ1574" s="343">
        <f>SUMIFS($AU$1388:AU1575,$Q$1388:Q1575,"O")</f>
        <v>384.37999999961744</v>
      </c>
      <c r="BR1574" s="343">
        <f>SUMIFS($AU$1388:AU1575,$AA$1388:AA1575,"*")</f>
        <v>15621.599999999517</v>
      </c>
      <c r="BS1574" s="343">
        <f>SUMIFS($AU$1388:AU1575,$AB$1388:AB1575,"*")</f>
        <v>5607.1799999999312</v>
      </c>
      <c r="BT1574" s="343">
        <f>SUMIFS($AU$1388:AU1575,$AC$1388:AC1575,"*")</f>
        <v>8628.4</v>
      </c>
      <c r="BU1574" s="343">
        <f>SUMIFS($AU$1388:AU1575,$AA$1388:AA1575,"*",$AB$1388:AB1575,"*")</f>
        <v>3455.9999999998226</v>
      </c>
      <c r="BV1574" s="343">
        <f>SUMIFS($AU$1388:AU1575,$AA$1388:AA1575,"*",$AC$1388:AC1575,"*")</f>
        <v>8164.4000000000005</v>
      </c>
      <c r="BW1574" s="343">
        <f>SUMIFS($AU$1388:AU1575,$AB$1388:AB1575,"*",$AC$1388:AC1575,"*")</f>
        <v>2319.9999999999986</v>
      </c>
      <c r="BX1574" s="343">
        <f>SUMIFS($AV$1388:AV1575,$Q$1388:Q1575,"F")</f>
        <v>214.02786430960344</v>
      </c>
      <c r="BY1574" s="343">
        <f>SUMIFS($AV$1388:AV1575,$Q$1388:Q1575,"S")</f>
        <v>424.00935095550108</v>
      </c>
      <c r="BZ1574" s="343">
        <f>SUMIFS($AV$1388:AV1575,$Q$1388:Q1575,"O")</f>
        <v>166.9399999998152</v>
      </c>
    </row>
    <row r="1575" spans="1:78" ht="15.75" customHeight="1">
      <c r="A1575" s="177" t="s">
        <v>5180</v>
      </c>
      <c r="B1575" s="200">
        <v>45335</v>
      </c>
      <c r="C1575" s="178" t="s">
        <v>1344</v>
      </c>
      <c r="D1575" s="178" t="s">
        <v>146</v>
      </c>
      <c r="E1575" s="227" t="s">
        <v>5341</v>
      </c>
      <c r="F1575" s="180" t="s">
        <v>5342</v>
      </c>
      <c r="G1575" s="181"/>
      <c r="H1575" s="182">
        <v>1</v>
      </c>
      <c r="I1575" s="182"/>
      <c r="J1575" s="182"/>
      <c r="K1575" s="183" t="s">
        <v>372</v>
      </c>
      <c r="L1575" s="182"/>
      <c r="M1575" s="182"/>
      <c r="N1575" s="182"/>
      <c r="O1575" s="183"/>
      <c r="P1575" s="183"/>
      <c r="Q1575" s="183"/>
      <c r="R1575" s="183"/>
      <c r="S1575" s="183"/>
      <c r="T1575" s="183"/>
      <c r="U1575" s="183"/>
      <c r="V1575" s="183"/>
      <c r="W1575" s="183"/>
      <c r="X1575" s="183"/>
      <c r="Y1575" s="184"/>
      <c r="Z1575" s="185"/>
      <c r="AA1575" s="185"/>
      <c r="AB1575" s="185"/>
      <c r="AC1575" s="185"/>
      <c r="AD1575" s="649"/>
      <c r="AE1575" s="182"/>
      <c r="AF1575" s="332"/>
      <c r="AG1575" s="182"/>
      <c r="AH1575" s="182"/>
      <c r="AI1575" s="182"/>
      <c r="AJ1575" s="640"/>
      <c r="AK1575" s="182"/>
      <c r="AL1575" s="496">
        <f t="shared" si="451"/>
        <v>0</v>
      </c>
      <c r="AM1575" s="496">
        <f t="shared" si="446"/>
        <v>0</v>
      </c>
      <c r="AN1575" s="626"/>
      <c r="AO1575" s="182"/>
      <c r="AP1575" s="182"/>
      <c r="AQ1575" s="332" t="str">
        <f>UPPER(RIGHT(Journal_Live[[#This Row],[DURATION ]]))</f>
        <v/>
      </c>
      <c r="AR1575" s="182"/>
      <c r="AS1575" s="189"/>
      <c r="AT1575" s="189"/>
      <c r="AU1575" s="187"/>
      <c r="AV1575" s="190"/>
      <c r="AW1575" s="191"/>
      <c r="AX1575" s="407" t="s">
        <v>5343</v>
      </c>
      <c r="AY1575" s="407" t="s">
        <v>5344</v>
      </c>
      <c r="AZ1575" s="407"/>
      <c r="BA1575" s="407"/>
      <c r="BB1575" s="407"/>
      <c r="BC1575" s="407"/>
      <c r="BD1575" s="407"/>
      <c r="BE1575" s="407"/>
      <c r="BF1575" s="422"/>
      <c r="BG1575" s="391">
        <f>SUM($AV$1389:AV1575)</f>
        <v>1292.9772152649275</v>
      </c>
      <c r="BH1575" s="392">
        <f>SUM($AU$1389:AU1575)</f>
        <v>17836.779999999628</v>
      </c>
      <c r="BI1575" s="318">
        <f>SUMIFS($AU$1388:AU1576,$Q$1388:Q1576,"F")</f>
        <v>8804.4000000000015</v>
      </c>
      <c r="BJ1575" s="318">
        <f>SUMIFS($AU$1388:AU1576,$Q$1388:Q1576,"S")</f>
        <v>8111.9999999999973</v>
      </c>
      <c r="BK1575" s="343">
        <f>SUMIFS($AU$1388:AU1576,$P$1388:P1576,"W")</f>
        <v>13261.579999999934</v>
      </c>
      <c r="BL1575" s="343">
        <f>SUMIFS($AU$1388:AU1576,$P$1388:P1576,"R")</f>
        <v>4206</v>
      </c>
      <c r="BM1575" s="343">
        <f>SUMIFS($AU$1388:AU1576,$AQ$1388:AQ1576,"M")</f>
        <v>4440.3799999996263</v>
      </c>
      <c r="BN1575" s="343">
        <f>SUMIFS($AU$1388:AU1576,$AQ$1388:AQ1576,"H")</f>
        <v>6031.9999999999955</v>
      </c>
      <c r="BO1575" s="343">
        <f>SUMIFS($AU$1388:AU1576,$AQ$1388:AQ1576,"D")</f>
        <v>2670.0000000000009</v>
      </c>
      <c r="BP1575" s="343">
        <f>SUMIFS($AU$1388:AU1578,$AQ$1388:AQ1578,"W")</f>
        <v>4998.4000000000005</v>
      </c>
      <c r="BQ1575" s="343">
        <f>SUMIFS($AU$1388:AU1576,$Q$1388:Q1576,"O")</f>
        <v>384.37999999961744</v>
      </c>
      <c r="BR1575" s="343">
        <f>SUMIFS($AU$1388:AU1576,$AA$1388:AA1576,"*")</f>
        <v>15621.599999999517</v>
      </c>
      <c r="BS1575" s="343">
        <f>SUMIFS($AU$1388:AU1576,$AB$1388:AB1576,"*")</f>
        <v>5607.1799999999312</v>
      </c>
      <c r="BT1575" s="343">
        <f>SUMIFS($AU$1388:AU1576,$AC$1388:AC1576,"*")</f>
        <v>8628.4</v>
      </c>
      <c r="BU1575" s="343">
        <f>SUMIFS($AU$1388:AU1576,$AA$1388:AA1576,"*",$AB$1388:AB1576,"*")</f>
        <v>3455.9999999998226</v>
      </c>
      <c r="BV1575" s="343">
        <f>SUMIFS($AU$1388:AU1576,$AA$1388:AA1576,"*",$AC$1388:AC1576,"*")</f>
        <v>8164.4000000000005</v>
      </c>
      <c r="BW1575" s="343">
        <f>SUMIFS($AU$1388:AU1576,$AB$1388:AB1576,"*",$AC$1388:AC1576,"*")</f>
        <v>2319.9999999999986</v>
      </c>
      <c r="BX1575" s="343">
        <f>SUMIFS($AV$1388:AV1576,$Q$1388:Q1576,"F")</f>
        <v>214.02786430960344</v>
      </c>
      <c r="BY1575" s="343">
        <f>SUMIFS($AV$1388:AV1576,$Q$1388:Q1576,"S")</f>
        <v>424.00935095550108</v>
      </c>
      <c r="BZ1575" s="343">
        <f>SUMIFS($AV$1388:AV1576,$Q$1388:Q1576,"O")</f>
        <v>166.9399999998152</v>
      </c>
    </row>
    <row r="1576" spans="1:78" ht="15.75" customHeight="1">
      <c r="A1576" s="177" t="s">
        <v>5180</v>
      </c>
      <c r="B1576" s="200"/>
      <c r="C1576" s="178"/>
      <c r="D1576" s="178"/>
      <c r="E1576" s="227" t="s">
        <v>5345</v>
      </c>
      <c r="F1576" s="180"/>
      <c r="G1576" s="181"/>
      <c r="H1576" s="182">
        <v>1</v>
      </c>
      <c r="I1576" s="182"/>
      <c r="J1576" s="182"/>
      <c r="K1576" s="183" t="s">
        <v>372</v>
      </c>
      <c r="L1576" s="182"/>
      <c r="M1576" s="182"/>
      <c r="N1576" s="182"/>
      <c r="O1576" s="183"/>
      <c r="P1576" s="183"/>
      <c r="Q1576" s="183"/>
      <c r="R1576" s="183"/>
      <c r="S1576" s="183"/>
      <c r="T1576" s="183"/>
      <c r="U1576" s="183"/>
      <c r="V1576" s="183"/>
      <c r="W1576" s="183"/>
      <c r="X1576" s="183"/>
      <c r="Y1576" s="184"/>
      <c r="Z1576" s="185"/>
      <c r="AA1576" s="185"/>
      <c r="AB1576" s="185"/>
      <c r="AC1576" s="185"/>
      <c r="AD1576" s="649"/>
      <c r="AE1576" s="182"/>
      <c r="AF1576" s="332"/>
      <c r="AG1576" s="182"/>
      <c r="AH1576" s="182"/>
      <c r="AI1576" s="182"/>
      <c r="AJ1576" s="640"/>
      <c r="AK1576" s="182"/>
      <c r="AL1576" s="496">
        <f t="shared" si="451"/>
        <v>0</v>
      </c>
      <c r="AM1576" s="496">
        <f t="shared" si="446"/>
        <v>0</v>
      </c>
      <c r="AN1576" s="626"/>
      <c r="AO1576" s="182"/>
      <c r="AP1576" s="182"/>
      <c r="AQ1576" s="332" t="str">
        <f>UPPER(RIGHT(Journal_Live[[#This Row],[DURATION ]]))</f>
        <v/>
      </c>
      <c r="AR1576" s="182"/>
      <c r="AS1576" s="189"/>
      <c r="AT1576" s="189"/>
      <c r="AU1576" s="187"/>
      <c r="AV1576" s="190"/>
      <c r="AW1576" s="191"/>
      <c r="AX1576" s="407" t="s">
        <v>5343</v>
      </c>
      <c r="AY1576" s="407"/>
      <c r="AZ1576" s="407"/>
      <c r="BA1576" s="407"/>
      <c r="BB1576" s="407"/>
      <c r="BC1576" s="407"/>
      <c r="BD1576" s="407"/>
      <c r="BE1576" s="407"/>
      <c r="BF1576" s="422"/>
      <c r="BG1576" s="391">
        <f>SUM($AV$1389:AV1576)</f>
        <v>1292.9772152649275</v>
      </c>
      <c r="BH1576" s="392">
        <f>SUM($AU$1389:AU1576)</f>
        <v>17836.779999999628</v>
      </c>
      <c r="BI1576" s="318">
        <f>SUMIFS($AU$1388:AU1577,$Q$1388:Q1577,"F")</f>
        <v>8804.4000000000015</v>
      </c>
      <c r="BJ1576" s="318">
        <f>SUMIFS($AU$1388:AU1577,$Q$1388:Q1577,"S")</f>
        <v>8111.9999999999973</v>
      </c>
      <c r="BK1576" s="343">
        <f>SUMIFS($AU$1388:AU1577,$P$1388:P1577,"W")</f>
        <v>13261.579999999934</v>
      </c>
      <c r="BL1576" s="343">
        <f>SUMIFS($AU$1388:AU1577,$P$1388:P1577,"R")</f>
        <v>4206</v>
      </c>
      <c r="BM1576" s="343">
        <f>SUMIFS($AU$1388:AU1577,$AQ$1388:AQ1577,"M")</f>
        <v>4440.3799999996263</v>
      </c>
      <c r="BN1576" s="343">
        <f>SUMIFS($AU$1388:AU1577,$AQ$1388:AQ1577,"H")</f>
        <v>6031.9999999999955</v>
      </c>
      <c r="BO1576" s="343">
        <f>SUMIFS($AU$1388:AU1577,$AQ$1388:AQ1577,"D")</f>
        <v>2670.0000000000009</v>
      </c>
      <c r="BP1576" s="343">
        <f>SUMIFS($AU$1388:AU1579,$AQ$1388:AQ1579,"W")</f>
        <v>4998.4000000000005</v>
      </c>
      <c r="BQ1576" s="343">
        <f>SUMIFS($AU$1388:AU1577,$Q$1388:Q1577,"O")</f>
        <v>384.37999999961744</v>
      </c>
      <c r="BR1576" s="343">
        <f>SUMIFS($AU$1388:AU1577,$AA$1388:AA1577,"*")</f>
        <v>15621.599999999517</v>
      </c>
      <c r="BS1576" s="343">
        <f>SUMIFS($AU$1388:AU1577,$AB$1388:AB1577,"*")</f>
        <v>5607.1799999999312</v>
      </c>
      <c r="BT1576" s="343">
        <f>SUMIFS($AU$1388:AU1577,$AC$1388:AC1577,"*")</f>
        <v>8628.4</v>
      </c>
      <c r="BU1576" s="343">
        <f>SUMIFS($AU$1388:AU1577,$AA$1388:AA1577,"*",$AB$1388:AB1577,"*")</f>
        <v>3455.9999999998226</v>
      </c>
      <c r="BV1576" s="343">
        <f>SUMIFS($AU$1388:AU1577,$AA$1388:AA1577,"*",$AC$1388:AC1577,"*")</f>
        <v>8164.4000000000005</v>
      </c>
      <c r="BW1576" s="343">
        <f>SUMIFS($AU$1388:AU1577,$AB$1388:AB1577,"*",$AC$1388:AC1577,"*")</f>
        <v>2319.9999999999986</v>
      </c>
      <c r="BX1576" s="343">
        <f>SUMIFS($AV$1388:AV1577,$Q$1388:Q1577,"F")</f>
        <v>214.02786430960344</v>
      </c>
      <c r="BY1576" s="343">
        <f>SUMIFS($AV$1388:AV1577,$Q$1388:Q1577,"S")</f>
        <v>424.00935095550108</v>
      </c>
      <c r="BZ1576" s="343">
        <f>SUMIFS($AV$1388:AV1577,$Q$1388:Q1577,"O")</f>
        <v>166.9399999998152</v>
      </c>
    </row>
    <row r="1577" spans="1:78" ht="15.75" customHeight="1">
      <c r="A1577" s="177" t="s">
        <v>5180</v>
      </c>
      <c r="B1577" s="200"/>
      <c r="C1577" s="178"/>
      <c r="D1577" s="178"/>
      <c r="E1577" s="227" t="s">
        <v>5346</v>
      </c>
      <c r="F1577" s="180"/>
      <c r="G1577" s="181"/>
      <c r="H1577" s="182">
        <v>1</v>
      </c>
      <c r="I1577" s="182"/>
      <c r="J1577" s="182"/>
      <c r="K1577" s="183" t="s">
        <v>372</v>
      </c>
      <c r="L1577" s="182"/>
      <c r="M1577" s="182"/>
      <c r="N1577" s="182"/>
      <c r="O1577" s="183"/>
      <c r="P1577" s="183"/>
      <c r="Q1577" s="183"/>
      <c r="R1577" s="183"/>
      <c r="S1577" s="183"/>
      <c r="T1577" s="183"/>
      <c r="U1577" s="183"/>
      <c r="V1577" s="183"/>
      <c r="W1577" s="183"/>
      <c r="X1577" s="183"/>
      <c r="Y1577" s="184"/>
      <c r="Z1577" s="185"/>
      <c r="AA1577" s="185"/>
      <c r="AB1577" s="185"/>
      <c r="AC1577" s="185"/>
      <c r="AD1577" s="649"/>
      <c r="AE1577" s="182"/>
      <c r="AF1577" s="332"/>
      <c r="AG1577" s="182"/>
      <c r="AH1577" s="182"/>
      <c r="AI1577" s="182"/>
      <c r="AJ1577" s="640"/>
      <c r="AK1577" s="182"/>
      <c r="AL1577" s="496">
        <f t="shared" si="451"/>
        <v>0</v>
      </c>
      <c r="AM1577" s="496">
        <f t="shared" si="446"/>
        <v>0</v>
      </c>
      <c r="AN1577" s="626"/>
      <c r="AO1577" s="182"/>
      <c r="AP1577" s="182"/>
      <c r="AQ1577" s="332" t="str">
        <f>UPPER(RIGHT(Journal_Live[[#This Row],[DURATION ]]))</f>
        <v/>
      </c>
      <c r="AR1577" s="182"/>
      <c r="AS1577" s="189"/>
      <c r="AT1577" s="189"/>
      <c r="AU1577" s="187"/>
      <c r="AV1577" s="190"/>
      <c r="AW1577" s="191"/>
      <c r="AX1577" s="407" t="s">
        <v>5343</v>
      </c>
      <c r="AY1577" s="407"/>
      <c r="AZ1577" s="407"/>
      <c r="BA1577" s="407"/>
      <c r="BB1577" s="407"/>
      <c r="BC1577" s="407"/>
      <c r="BD1577" s="407"/>
      <c r="BE1577" s="407"/>
      <c r="BF1577" s="422"/>
      <c r="BG1577" s="391">
        <f>SUM($AV$1389:AV1577)</f>
        <v>1292.9772152649275</v>
      </c>
      <c r="BH1577" s="392">
        <f>SUM($AU$1389:AU1577)</f>
        <v>17836.779999999628</v>
      </c>
      <c r="BI1577" s="318">
        <f>SUMIFS($AU$1388:AU1578,$Q$1388:Q1578,"F")</f>
        <v>8804.4000000000015</v>
      </c>
      <c r="BJ1577" s="318">
        <f>SUMIFS($AU$1388:AU1578,$Q$1388:Q1578,"S")</f>
        <v>8111.9999999999973</v>
      </c>
      <c r="BK1577" s="343">
        <f>SUMIFS($AU$1388:AU1578,$P$1388:P1578,"W")</f>
        <v>13261.579999999934</v>
      </c>
      <c r="BL1577" s="343">
        <f>SUMIFS($AU$1388:AU1578,$P$1388:P1578,"R")</f>
        <v>4206</v>
      </c>
      <c r="BM1577" s="343">
        <f>SUMIFS($AU$1388:AU1578,$AQ$1388:AQ1578,"M")</f>
        <v>4440.3799999996263</v>
      </c>
      <c r="BN1577" s="343">
        <f>SUMIFS($AU$1388:AU1578,$AQ$1388:AQ1578,"H")</f>
        <v>7331.2000000002645</v>
      </c>
      <c r="BO1577" s="343">
        <f>SUMIFS($AU$1388:AU1578,$AQ$1388:AQ1578,"D")</f>
        <v>2670.0000000000009</v>
      </c>
      <c r="BP1577" s="343">
        <f>SUMIFS($AU$1388:AU1580,$AQ$1388:AQ1580,"W")</f>
        <v>4998.4000000000005</v>
      </c>
      <c r="BQ1577" s="343">
        <f>SUMIFS($AU$1388:AU1578,$Q$1388:Q1578,"O")</f>
        <v>1683.5799999998865</v>
      </c>
      <c r="BR1577" s="343">
        <f>SUMIFS($AU$1388:AU1578,$AA$1388:AA1578,"*")</f>
        <v>16920.799999999785</v>
      </c>
      <c r="BS1577" s="343">
        <f>SUMIFS($AU$1388:AU1578,$AB$1388:AB1578,"*")</f>
        <v>5607.1799999999312</v>
      </c>
      <c r="BT1577" s="343">
        <f>SUMIFS($AU$1388:AU1578,$AC$1388:AC1578,"*")</f>
        <v>8628.4</v>
      </c>
      <c r="BU1577" s="343">
        <f>SUMIFS($AU$1388:AU1578,$AA$1388:AA1578,"*",$AB$1388:AB1578,"*")</f>
        <v>3455.9999999998226</v>
      </c>
      <c r="BV1577" s="343">
        <f>SUMIFS($AU$1388:AU1578,$AA$1388:AA1578,"*",$AC$1388:AC1578,"*")</f>
        <v>8164.4000000000005</v>
      </c>
      <c r="BW1577" s="343">
        <f>SUMIFS($AU$1388:AU1578,$AB$1388:AB1578,"*",$AC$1388:AC1578,"*")</f>
        <v>2319.9999999999986</v>
      </c>
      <c r="BX1577" s="343">
        <f>SUMIFS($AV$1388:AV1578,$Q$1388:Q1578,"F")</f>
        <v>214.02786430960344</v>
      </c>
      <c r="BY1577" s="343">
        <f>SUMIFS($AV$1388:AV1578,$Q$1388:Q1578,"S")</f>
        <v>424.00935095550108</v>
      </c>
      <c r="BZ1577" s="343">
        <f>SUMIFS($AV$1388:AV1578,$Q$1388:Q1578,"O")</f>
        <v>491.73999999988246</v>
      </c>
    </row>
    <row r="1578" spans="1:78" ht="15.75" customHeight="1">
      <c r="A1578" s="177" t="s">
        <v>5180</v>
      </c>
      <c r="B1578" s="200">
        <v>45335</v>
      </c>
      <c r="C1578" s="178" t="s">
        <v>682</v>
      </c>
      <c r="D1578" s="178" t="s">
        <v>146</v>
      </c>
      <c r="E1578" s="227"/>
      <c r="F1578" s="180"/>
      <c r="G1578" s="484" t="s">
        <v>4887</v>
      </c>
      <c r="H1578" s="182"/>
      <c r="I1578" s="182"/>
      <c r="J1578" s="182"/>
      <c r="K1578" s="183"/>
      <c r="L1578" s="182">
        <v>2</v>
      </c>
      <c r="M1578" s="182"/>
      <c r="N1578" s="182"/>
      <c r="O1578" s="183" t="s">
        <v>3618</v>
      </c>
      <c r="P1578" s="183" t="s">
        <v>2260</v>
      </c>
      <c r="Q1578" s="183" t="s">
        <v>684</v>
      </c>
      <c r="R1578" s="183">
        <v>4</v>
      </c>
      <c r="S1578" s="183">
        <v>0</v>
      </c>
      <c r="T1578" s="183">
        <v>2</v>
      </c>
      <c r="U1578" s="183" t="s">
        <v>97</v>
      </c>
      <c r="V1578" s="183"/>
      <c r="W1578" s="183"/>
      <c r="X1578" s="183"/>
      <c r="Y1578" s="184">
        <f>IF(ISBLANK(O1578),"",(IF(O1578=UPPER("IB"),0.005,0.01)))</f>
        <v>0.01</v>
      </c>
      <c r="Z1578" s="185">
        <f>IF(ISBLANK(O1578),"",IF(O1578="IB",8.63*200,IF(O1578="IR",16*100,IF(O1578="YT",20*100,IF(O1578="YT-XT",24*200,IF(O1578="TED",80*100,IF(O1578="XT",29*200)))))))</f>
        <v>5800</v>
      </c>
      <c r="AA1578" s="185" t="s">
        <v>5231</v>
      </c>
      <c r="AB1578" s="185"/>
      <c r="AC1578" s="185"/>
      <c r="AD1578" s="649">
        <v>95.778000000000006</v>
      </c>
      <c r="AE1578" s="182"/>
      <c r="AF1578" s="332"/>
      <c r="AG1578" s="182"/>
      <c r="AH1578" s="182"/>
      <c r="AI1578" s="182"/>
      <c r="AJ1578" s="640"/>
      <c r="AK1578" s="182"/>
      <c r="AL1578" s="496">
        <f>-0.04*Z1578</f>
        <v>-232</v>
      </c>
      <c r="AM1578" s="496">
        <f t="shared" si="446"/>
        <v>-928</v>
      </c>
      <c r="AN1578" s="626"/>
      <c r="AO1578" s="182"/>
      <c r="AP1578" s="182"/>
      <c r="AQ1578" s="332" t="s">
        <v>372</v>
      </c>
      <c r="AR1578" s="182"/>
      <c r="AS1578" s="189">
        <v>95.721999999999994</v>
      </c>
      <c r="AT1578" s="189">
        <f>IF(ISBLANK(AS1578),,IF(U1578="S",AD1578-AS1578,AS1578-AD1578))</f>
        <v>5.6000000000011596E-2</v>
      </c>
      <c r="AU1578" s="187">
        <f>AV1578*R1578</f>
        <v>1299.200000000269</v>
      </c>
      <c r="AV1578" s="190">
        <f t="shared" ref="AV1578:AV1599" si="452">IF(ISBLANK(AS1578),,(AT1578*Z1578))</f>
        <v>324.80000000006726</v>
      </c>
      <c r="AW1578" s="191" t="s">
        <v>96</v>
      </c>
      <c r="AX1578" s="407" t="s">
        <v>782</v>
      </c>
      <c r="AY1578" s="407" t="s">
        <v>2182</v>
      </c>
      <c r="AZ1578" s="407"/>
      <c r="BA1578" s="407"/>
      <c r="BB1578" s="407"/>
      <c r="BC1578" s="407"/>
      <c r="BD1578" s="407"/>
      <c r="BE1578" s="407"/>
      <c r="BF1578" s="422"/>
      <c r="BG1578" s="391">
        <f>SUM($AV$1389:AV1578)</f>
        <v>1617.7772152649948</v>
      </c>
      <c r="BH1578" s="392">
        <f>SUM($AU$1389:AU1578)</f>
        <v>19135.979999999898</v>
      </c>
      <c r="BI1578" s="318">
        <f>SUMIFS($AU$1388:AU1579,$Q$1388:Q1579,"F")</f>
        <v>8804.4000000000015</v>
      </c>
      <c r="BJ1578" s="318">
        <f>SUMIFS($AU$1388:AU1579,$Q$1388:Q1579,"S")</f>
        <v>6319.9999999999964</v>
      </c>
      <c r="BK1578" s="343">
        <f>SUMIFS($AU$1388:AU1579,$P$1388:P1579,"W")</f>
        <v>11469.579999999934</v>
      </c>
      <c r="BL1578" s="343">
        <f>SUMIFS($AU$1388:AU1579,$P$1388:P1579,"R")</f>
        <v>4206</v>
      </c>
      <c r="BM1578" s="343">
        <f>SUMIFS($AU$1388:AU1579,$AQ$1388:AQ1579,"M")</f>
        <v>4440.3799999996263</v>
      </c>
      <c r="BN1578" s="343">
        <f>SUMIFS($AU$1388:AU1579,$AQ$1388:AQ1579,"H")</f>
        <v>5539.2000000002645</v>
      </c>
      <c r="BO1578" s="343">
        <f>SUMIFS($AU$1388:AU1579,$AQ$1388:AQ1579,"D")</f>
        <v>2670.0000000000009</v>
      </c>
      <c r="BP1578" s="343">
        <f>SUMIFS($AU$1388:AU1581,$AQ$1388:AQ1581,"W")</f>
        <v>4998.4000000000005</v>
      </c>
      <c r="BQ1578" s="343">
        <f>SUMIFS($AU$1388:AU1579,$Q$1388:Q1579,"O")</f>
        <v>1683.5799999998865</v>
      </c>
      <c r="BR1578" s="343">
        <f>SUMIFS($AU$1388:AU1579,$AA$1388:AA1579,"*")</f>
        <v>15128.799999999785</v>
      </c>
      <c r="BS1578" s="343">
        <f>SUMIFS($AU$1388:AU1579,$AB$1388:AB1579,"*")</f>
        <v>5607.1799999999312</v>
      </c>
      <c r="BT1578" s="343">
        <f>SUMIFS($AU$1388:AU1579,$AC$1388:AC1579,"*")</f>
        <v>8628.4</v>
      </c>
      <c r="BU1578" s="343">
        <f>SUMIFS($AU$1388:AU1579,$AA$1388:AA1579,"*",$AB$1388:AB1579,"*")</f>
        <v>3455.9999999998226</v>
      </c>
      <c r="BV1578" s="343">
        <f>SUMIFS($AU$1388:AU1579,$AA$1388:AA1579,"*",$AC$1388:AC1579,"*")</f>
        <v>8164.4000000000005</v>
      </c>
      <c r="BW1578" s="343">
        <f>SUMIFS($AU$1388:AU1579,$AB$1388:AB1579,"*",$AC$1388:AC1579,"*")</f>
        <v>2319.9999999999986</v>
      </c>
      <c r="BX1578" s="343">
        <f>SUMIFS($AV$1388:AV1579,$Q$1388:Q1579,"F")</f>
        <v>214.02786430960344</v>
      </c>
      <c r="BY1578" s="343">
        <f>SUMIFS($AV$1388:AV1579,$Q$1388:Q1579,"S")</f>
        <v>392.00935095550108</v>
      </c>
      <c r="BZ1578" s="343">
        <f>SUMIFS($AV$1388:AV1579,$Q$1388:Q1579,"O")</f>
        <v>491.73999999988246</v>
      </c>
    </row>
    <row r="1579" spans="1:78" ht="15.75" customHeight="1">
      <c r="A1579" s="177" t="s">
        <v>5180</v>
      </c>
      <c r="B1579" s="200">
        <v>45335</v>
      </c>
      <c r="C1579" s="178" t="s">
        <v>682</v>
      </c>
      <c r="D1579" s="178" t="s">
        <v>146</v>
      </c>
      <c r="E1579" s="227"/>
      <c r="F1579" s="180"/>
      <c r="G1579" s="484" t="s">
        <v>2016</v>
      </c>
      <c r="H1579" s="182"/>
      <c r="I1579" s="182"/>
      <c r="J1579" s="182"/>
      <c r="K1579" s="183"/>
      <c r="L1579" s="182"/>
      <c r="M1579" s="182">
        <v>2</v>
      </c>
      <c r="N1579" s="182"/>
      <c r="O1579" s="183" t="s">
        <v>95</v>
      </c>
      <c r="P1579" s="183" t="s">
        <v>96</v>
      </c>
      <c r="Q1579" s="183" t="s">
        <v>97</v>
      </c>
      <c r="R1579" s="183">
        <v>56</v>
      </c>
      <c r="S1579" s="183">
        <v>0</v>
      </c>
      <c r="T1579" s="183">
        <v>56</v>
      </c>
      <c r="U1579" s="183" t="s">
        <v>97</v>
      </c>
      <c r="V1579" s="183"/>
      <c r="W1579" s="183"/>
      <c r="X1579" s="183"/>
      <c r="Y1579" s="184">
        <f>IF(ISBLANK(O1579),"",(IF(O1579=UPPER("IB"),0.005,0.01)))</f>
        <v>0.01</v>
      </c>
      <c r="Z1579" s="185">
        <f>IF(ISBLANK(O1579),"",IF(O1579="IB",8.63*200,IF(O1579="IR",16*100,IF(O1579="YT",20*100,IF(O1579="YT-XT",24*200,IF(O1579="TED",80*100))))))</f>
        <v>1600</v>
      </c>
      <c r="AA1579" s="185" t="s">
        <v>5347</v>
      </c>
      <c r="AB1579" s="185"/>
      <c r="AC1579" s="185"/>
      <c r="AD1579" s="649">
        <v>-0.1</v>
      </c>
      <c r="AE1579" s="182"/>
      <c r="AF1579" s="332"/>
      <c r="AG1579" s="182"/>
      <c r="AH1579" s="182"/>
      <c r="AI1579" s="182"/>
      <c r="AJ1579" s="640"/>
      <c r="AK1579" s="182"/>
      <c r="AL1579" s="496">
        <f t="shared" si="451"/>
        <v>-32</v>
      </c>
      <c r="AM1579" s="496">
        <f t="shared" si="446"/>
        <v>-1792</v>
      </c>
      <c r="AN1579" s="626"/>
      <c r="AO1579" s="182"/>
      <c r="AP1579" s="182"/>
      <c r="AQ1579" s="332" t="s">
        <v>372</v>
      </c>
      <c r="AR1579" s="182"/>
      <c r="AS1579" s="189">
        <v>-0.08</v>
      </c>
      <c r="AT1579" s="189">
        <f>IF(ISBLANK(AS1579),,IF(U1579="S",AD1579-AS1579,AS1579-AD1579))</f>
        <v>-2.0000000000000004E-2</v>
      </c>
      <c r="AU1579" s="187">
        <f>AV1579*R1579</f>
        <v>-1792.0000000000005</v>
      </c>
      <c r="AV1579" s="190">
        <f t="shared" si="452"/>
        <v>-32.000000000000007</v>
      </c>
      <c r="AW1579" s="191" t="s">
        <v>229</v>
      </c>
      <c r="AX1579" s="407" t="s">
        <v>5348</v>
      </c>
      <c r="AY1579" s="407" t="s">
        <v>5349</v>
      </c>
      <c r="AZ1579" s="407"/>
      <c r="BA1579" s="407"/>
      <c r="BB1579" s="407"/>
      <c r="BC1579" s="407"/>
      <c r="BD1579" s="407"/>
      <c r="BE1579" s="407"/>
      <c r="BF1579" s="422"/>
      <c r="BG1579" s="391">
        <f>SUM($AV$1389:AV1579)</f>
        <v>1585.7772152649948</v>
      </c>
      <c r="BH1579" s="392">
        <f>SUM($AU$1389:AU1579)</f>
        <v>17343.979999999898</v>
      </c>
      <c r="BI1579" s="318">
        <f>SUMIFS($AU$1388:AU1580,$Q$1388:Q1580,"F")</f>
        <v>8804.4000000000015</v>
      </c>
      <c r="BJ1579" s="318">
        <f>SUMIFS($AU$1388:AU1580,$Q$1388:Q1580,"S")</f>
        <v>6415.9999999999927</v>
      </c>
      <c r="BK1579" s="343">
        <f>SUMIFS($AU$1388:AU1580,$P$1388:P1580,"W")</f>
        <v>11565.579999999931</v>
      </c>
      <c r="BL1579" s="343">
        <f>SUMIFS($AU$1388:AU1580,$P$1388:P1580,"R")</f>
        <v>4206</v>
      </c>
      <c r="BM1579" s="343">
        <f>SUMIFS($AU$1388:AU1580,$AQ$1388:AQ1580,"M")</f>
        <v>4440.3799999996263</v>
      </c>
      <c r="BN1579" s="343">
        <f>SUMIFS($AU$1388:AU1580,$AQ$1388:AQ1580,"H")</f>
        <v>5635.2000000002608</v>
      </c>
      <c r="BO1579" s="343">
        <f>SUMIFS($AU$1388:AU1580,$AQ$1388:AQ1580,"D")</f>
        <v>2670.0000000000009</v>
      </c>
      <c r="BP1579" s="343">
        <f>SUMIFS($AU$1388:AU1582,$AQ$1388:AQ1582,"W")</f>
        <v>4998.4000000000005</v>
      </c>
      <c r="BQ1579" s="343">
        <f>SUMIFS($AU$1388:AU1580,$Q$1388:Q1580,"O")</f>
        <v>1683.5799999998865</v>
      </c>
      <c r="BR1579" s="343">
        <f>SUMIFS($AU$1388:AU1580,$AA$1388:AA1580,"*")</f>
        <v>15224.799999999781</v>
      </c>
      <c r="BS1579" s="343">
        <f>SUMIFS($AU$1388:AU1580,$AB$1388:AB1580,"*")</f>
        <v>5607.1799999999312</v>
      </c>
      <c r="BT1579" s="343">
        <f>SUMIFS($AU$1388:AU1580,$AC$1388:AC1580,"*")</f>
        <v>8628.4</v>
      </c>
      <c r="BU1579" s="343">
        <f>SUMIFS($AU$1388:AU1580,$AA$1388:AA1580,"*",$AB$1388:AB1580,"*")</f>
        <v>3455.9999999998226</v>
      </c>
      <c r="BV1579" s="343">
        <f>SUMIFS($AU$1388:AU1580,$AA$1388:AA1580,"*",$AC$1388:AC1580,"*")</f>
        <v>8164.4000000000005</v>
      </c>
      <c r="BW1579" s="343">
        <f>SUMIFS($AU$1388:AU1580,$AB$1388:AB1580,"*",$AC$1388:AC1580,"*")</f>
        <v>2319.9999999999986</v>
      </c>
      <c r="BX1579" s="343">
        <f>SUMIFS($AV$1388:AV1580,$Q$1388:Q1580,"F")</f>
        <v>214.02786430960344</v>
      </c>
      <c r="BY1579" s="343">
        <f>SUMIFS($AV$1388:AV1580,$Q$1388:Q1580,"S")</f>
        <v>392.74781249396261</v>
      </c>
      <c r="BZ1579" s="343">
        <f>SUMIFS($AV$1388:AV1580,$Q$1388:Q1580,"O")</f>
        <v>491.73999999988246</v>
      </c>
    </row>
    <row r="1580" spans="1:78" ht="15.75" customHeight="1">
      <c r="A1580" s="177" t="s">
        <v>5180</v>
      </c>
      <c r="B1580" s="200">
        <v>45335</v>
      </c>
      <c r="C1580" s="178" t="s">
        <v>682</v>
      </c>
      <c r="D1580" s="178" t="s">
        <v>146</v>
      </c>
      <c r="E1580" s="227"/>
      <c r="F1580" s="180"/>
      <c r="G1580" s="484" t="s">
        <v>136</v>
      </c>
      <c r="H1580" s="182"/>
      <c r="I1580" s="182"/>
      <c r="J1580" s="182"/>
      <c r="K1580" s="183"/>
      <c r="L1580" s="182"/>
      <c r="M1580" s="182">
        <v>2</v>
      </c>
      <c r="N1580" s="182"/>
      <c r="O1580" s="183" t="s">
        <v>95</v>
      </c>
      <c r="P1580" s="183" t="s">
        <v>96</v>
      </c>
      <c r="Q1580" s="183" t="s">
        <v>97</v>
      </c>
      <c r="R1580" s="183">
        <v>130</v>
      </c>
      <c r="S1580" s="183">
        <v>74</v>
      </c>
      <c r="T1580" s="183">
        <v>68</v>
      </c>
      <c r="U1580" s="183" t="s">
        <v>97</v>
      </c>
      <c r="V1580" s="183"/>
      <c r="W1580" s="183"/>
      <c r="X1580" s="183"/>
      <c r="Y1580" s="184">
        <f>IF(ISBLANK(O1580),"",(IF(O1580=UPPER("IB"),0.005,0.01)))</f>
        <v>0.01</v>
      </c>
      <c r="Z1580" s="185">
        <f>IF(ISBLANK(O1580),"",IF(O1580="IB",8.63*200,IF(O1580="IR",16*100,IF(O1580="YT",20*100,IF(O1580="YT-XT",24*200,IF(O1580="TED",80*100))))))</f>
        <v>1600</v>
      </c>
      <c r="AA1580" s="185" t="s">
        <v>5350</v>
      </c>
      <c r="AB1580" s="185"/>
      <c r="AC1580" s="185"/>
      <c r="AD1580" s="649">
        <f>((-0.07*62)+(-0.05*68))/130</f>
        <v>-5.9538461538461547E-2</v>
      </c>
      <c r="AE1580" s="182"/>
      <c r="AF1580" s="332"/>
      <c r="AG1580" s="182"/>
      <c r="AH1580" s="182"/>
      <c r="AI1580" s="182"/>
      <c r="AJ1580" s="640"/>
      <c r="AK1580" s="182"/>
      <c r="AL1580" s="496">
        <f t="shared" si="451"/>
        <v>-32</v>
      </c>
      <c r="AM1580" s="496">
        <f t="shared" si="446"/>
        <v>-1792</v>
      </c>
      <c r="AN1580" s="626"/>
      <c r="AO1580" s="182"/>
      <c r="AP1580" s="182"/>
      <c r="AQ1580" s="332" t="s">
        <v>372</v>
      </c>
      <c r="AR1580" s="182" t="s">
        <v>5351</v>
      </c>
      <c r="AS1580" s="189">
        <f>((-0.06*74)+(-0.06*56))/130</f>
        <v>-5.9999999999999991E-2</v>
      </c>
      <c r="AT1580" s="189">
        <f>IF(ISBLANK(AS1580),,IF(U1580="S",AD1580-AS1580,AS1580-AD1580))</f>
        <v>4.615384615384438E-4</v>
      </c>
      <c r="AU1580" s="187">
        <f>AV1580*R1580</f>
        <v>95.999999999996305</v>
      </c>
      <c r="AV1580" s="190">
        <f t="shared" si="452"/>
        <v>0.73846153846151008</v>
      </c>
      <c r="AW1580" s="191" t="s">
        <v>96</v>
      </c>
      <c r="AX1580" s="407" t="s">
        <v>5352</v>
      </c>
      <c r="AY1580" s="407" t="s">
        <v>5353</v>
      </c>
      <c r="AZ1580" s="407" t="s">
        <v>5354</v>
      </c>
      <c r="BA1580" s="407" t="s">
        <v>5355</v>
      </c>
      <c r="BB1580" s="407" t="s">
        <v>5356</v>
      </c>
      <c r="BC1580" s="407" t="s">
        <v>5357</v>
      </c>
      <c r="BD1580" s="407"/>
      <c r="BE1580" s="407"/>
      <c r="BF1580" s="422"/>
      <c r="BG1580" s="391">
        <f>SUM($AV$1389:AV1580)</f>
        <v>1586.5156768034562</v>
      </c>
      <c r="BH1580" s="392">
        <f>SUM($AU$1389:AU1580)</f>
        <v>17439.979999999894</v>
      </c>
      <c r="BI1580" s="318">
        <f>SUMIFS($AU$1388:AU1581,$Q$1388:Q1581,"F")</f>
        <v>8804.4000000000015</v>
      </c>
      <c r="BJ1580" s="318">
        <f>SUMIFS($AU$1388:AU1581,$Q$1388:Q1581,"S")</f>
        <v>6415.9999999999927</v>
      </c>
      <c r="BK1580" s="343">
        <f>SUMIFS($AU$1388:AU1581,$P$1388:P1581,"W")</f>
        <v>11565.579999999931</v>
      </c>
      <c r="BL1580" s="343">
        <f>SUMIFS($AU$1388:AU1581,$P$1388:P1581,"R")</f>
        <v>4206</v>
      </c>
      <c r="BM1580" s="343">
        <f>SUMIFS($AU$1388:AU1581,$AQ$1388:AQ1581,"M")</f>
        <v>4440.3799999996263</v>
      </c>
      <c r="BN1580" s="343">
        <f>SUMIFS($AU$1388:AU1581,$AQ$1388:AQ1581,"H")</f>
        <v>5635.2000000002608</v>
      </c>
      <c r="BO1580" s="343">
        <f>SUMIFS($AU$1388:AU1581,$AQ$1388:AQ1581,"D")</f>
        <v>2670.0000000000009</v>
      </c>
      <c r="BP1580" s="343">
        <f>SUMIFS($AU$1388:AU1583,$AQ$1388:AQ1583,"W")</f>
        <v>4998.4000000000005</v>
      </c>
      <c r="BQ1580" s="343">
        <f>SUMIFS($AU$1388:AU1581,$Q$1388:Q1581,"O")</f>
        <v>1683.5799999998865</v>
      </c>
      <c r="BR1580" s="343">
        <f>SUMIFS($AU$1388:AU1581,$AA$1388:AA1581,"*")</f>
        <v>15224.799999999781</v>
      </c>
      <c r="BS1580" s="343">
        <f>SUMIFS($AU$1388:AU1581,$AB$1388:AB1581,"*")</f>
        <v>5607.1799999999312</v>
      </c>
      <c r="BT1580" s="343">
        <f>SUMIFS($AU$1388:AU1581,$AC$1388:AC1581,"*")</f>
        <v>8628.4</v>
      </c>
      <c r="BU1580" s="343">
        <f>SUMIFS($AU$1388:AU1581,$AA$1388:AA1581,"*",$AB$1388:AB1581,"*")</f>
        <v>3455.9999999998226</v>
      </c>
      <c r="BV1580" s="343">
        <f>SUMIFS($AU$1388:AU1581,$AA$1388:AA1581,"*",$AC$1388:AC1581,"*")</f>
        <v>8164.4000000000005</v>
      </c>
      <c r="BW1580" s="343">
        <f>SUMIFS($AU$1388:AU1581,$AB$1388:AB1581,"*",$AC$1388:AC1581,"*")</f>
        <v>2319.9999999999986</v>
      </c>
      <c r="BX1580" s="343">
        <f>SUMIFS($AV$1388:AV1581,$Q$1388:Q1581,"F")</f>
        <v>214.02786430960344</v>
      </c>
      <c r="BY1580" s="343">
        <f>SUMIFS($AV$1388:AV1581,$Q$1388:Q1581,"S")</f>
        <v>392.74781249396261</v>
      </c>
      <c r="BZ1580" s="343">
        <f>SUMIFS($AV$1388:AV1581,$Q$1388:Q1581,"O")</f>
        <v>491.73999999988246</v>
      </c>
    </row>
    <row r="1581" spans="1:78" ht="15.75" customHeight="1">
      <c r="A1581" s="177" t="s">
        <v>5180</v>
      </c>
      <c r="B1581" s="200"/>
      <c r="C1581" s="178"/>
      <c r="D1581" s="178"/>
      <c r="E1581" s="227"/>
      <c r="F1581" s="180"/>
      <c r="G1581" s="181"/>
      <c r="H1581" s="182"/>
      <c r="I1581" s="182"/>
      <c r="J1581" s="182"/>
      <c r="K1581" s="183"/>
      <c r="L1581" s="182"/>
      <c r="M1581" s="182"/>
      <c r="N1581" s="182"/>
      <c r="O1581" s="183"/>
      <c r="P1581" s="183"/>
      <c r="Q1581" s="183"/>
      <c r="R1581" s="183"/>
      <c r="S1581" s="183"/>
      <c r="T1581" s="183"/>
      <c r="U1581" s="183"/>
      <c r="V1581" s="183"/>
      <c r="W1581" s="183"/>
      <c r="X1581" s="183"/>
      <c r="Y1581" s="184"/>
      <c r="Z1581" s="185"/>
      <c r="AA1581" s="185"/>
      <c r="AB1581" s="185"/>
      <c r="AC1581" s="185"/>
      <c r="AD1581" s="649"/>
      <c r="AE1581" s="182"/>
      <c r="AF1581" s="332"/>
      <c r="AG1581" s="182"/>
      <c r="AH1581" s="182"/>
      <c r="AI1581" s="182"/>
      <c r="AJ1581" s="640"/>
      <c r="AK1581" s="182"/>
      <c r="AL1581" s="496">
        <f t="shared" ref="AL1581:AL1600" si="453">-0.02*Z1581</f>
        <v>0</v>
      </c>
      <c r="AM1581" s="496">
        <f t="shared" si="446"/>
        <v>0</v>
      </c>
      <c r="AN1581" s="626"/>
      <c r="AO1581" s="182"/>
      <c r="AP1581" s="182"/>
      <c r="AQ1581" s="332" t="str">
        <f>UPPER(RIGHT(Journal_Live[[#This Row],[DURATION ]]))</f>
        <v/>
      </c>
      <c r="AR1581" s="182"/>
      <c r="AS1581" s="189"/>
      <c r="AT1581" s="189"/>
      <c r="AU1581" s="187"/>
      <c r="AV1581" s="190"/>
      <c r="AW1581" s="191"/>
      <c r="AX1581" s="407" t="s">
        <v>5358</v>
      </c>
      <c r="AY1581" s="407" t="s">
        <v>5359</v>
      </c>
      <c r="AZ1581" s="407" t="s">
        <v>5360</v>
      </c>
      <c r="BA1581" s="409" t="s">
        <v>5361</v>
      </c>
      <c r="BB1581" s="407" t="s">
        <v>5362</v>
      </c>
      <c r="BC1581" s="407" t="s">
        <v>5363</v>
      </c>
      <c r="BD1581" s="407" t="s">
        <v>5364</v>
      </c>
      <c r="BE1581" s="407"/>
      <c r="BF1581" s="422"/>
      <c r="BG1581" s="391">
        <f>SUM($AV$1389:AV1581)</f>
        <v>1586.5156768034562</v>
      </c>
      <c r="BH1581" s="392">
        <f>SUM($AU$1389:AU1581)</f>
        <v>17439.979999999894</v>
      </c>
      <c r="BI1581" s="318">
        <f>SUMIFS($AU$1388:AU1582,$Q$1388:Q1582,"F")</f>
        <v>8804.4000000000015</v>
      </c>
      <c r="BJ1581" s="318">
        <f>SUMIFS($AU$1388:AU1582,$Q$1388:Q1582,"S")</f>
        <v>6415.9999999999927</v>
      </c>
      <c r="BK1581" s="343">
        <f>SUMIFS($AU$1388:AU1582,$P$1388:P1582,"W")</f>
        <v>11565.579999999931</v>
      </c>
      <c r="BL1581" s="343">
        <f>SUMIFS($AU$1388:AU1582,$P$1388:P1582,"R")</f>
        <v>4206</v>
      </c>
      <c r="BM1581" s="343">
        <f>SUMIFS($AU$1388:AU1582,$AQ$1388:AQ1582,"M")</f>
        <v>4440.3799999996263</v>
      </c>
      <c r="BN1581" s="343">
        <f>SUMIFS($AU$1388:AU1582,$AQ$1388:AQ1582,"H")</f>
        <v>5635.2000000002608</v>
      </c>
      <c r="BO1581" s="343">
        <f>SUMIFS($AU$1388:AU1582,$AQ$1388:AQ1582,"D")</f>
        <v>2670.0000000000009</v>
      </c>
      <c r="BP1581" s="343">
        <f>SUMIFS($AU$1388:AU1584,$AQ$1388:AQ1584,"W")</f>
        <v>4998.4000000000005</v>
      </c>
      <c r="BQ1581" s="343">
        <f>SUMIFS($AU$1388:AU1582,$Q$1388:Q1582,"O")</f>
        <v>1683.5799999998865</v>
      </c>
      <c r="BR1581" s="343">
        <f>SUMIFS($AU$1388:AU1582,$AA$1388:AA1582,"*")</f>
        <v>15224.799999999781</v>
      </c>
      <c r="BS1581" s="343">
        <f>SUMIFS($AU$1388:AU1582,$AB$1388:AB1582,"*")</f>
        <v>5607.1799999999312</v>
      </c>
      <c r="BT1581" s="343">
        <f>SUMIFS($AU$1388:AU1582,$AC$1388:AC1582,"*")</f>
        <v>8628.4</v>
      </c>
      <c r="BU1581" s="343">
        <f>SUMIFS($AU$1388:AU1582,$AA$1388:AA1582,"*",$AB$1388:AB1582,"*")</f>
        <v>3455.9999999998226</v>
      </c>
      <c r="BV1581" s="343">
        <f>SUMIFS($AU$1388:AU1582,$AA$1388:AA1582,"*",$AC$1388:AC1582,"*")</f>
        <v>8164.4000000000005</v>
      </c>
      <c r="BW1581" s="343">
        <f>SUMIFS($AU$1388:AU1582,$AB$1388:AB1582,"*",$AC$1388:AC1582,"*")</f>
        <v>2319.9999999999986</v>
      </c>
      <c r="BX1581" s="343">
        <f>SUMIFS($AV$1388:AV1582,$Q$1388:Q1582,"F")</f>
        <v>214.02786430960344</v>
      </c>
      <c r="BY1581" s="343">
        <f>SUMIFS($AV$1388:AV1582,$Q$1388:Q1582,"S")</f>
        <v>392.74781249396261</v>
      </c>
      <c r="BZ1581" s="343">
        <f>SUMIFS($AV$1388:AV1582,$Q$1388:Q1582,"O")</f>
        <v>491.73999999988246</v>
      </c>
    </row>
    <row r="1582" spans="1:78" ht="15.75" customHeight="1">
      <c r="A1582" s="177" t="s">
        <v>5180</v>
      </c>
      <c r="B1582" s="200"/>
      <c r="C1582" s="178"/>
      <c r="D1582" s="178"/>
      <c r="E1582" s="227"/>
      <c r="F1582" s="180"/>
      <c r="G1582" s="181"/>
      <c r="H1582" s="182"/>
      <c r="I1582" s="182"/>
      <c r="J1582" s="182"/>
      <c r="K1582" s="183"/>
      <c r="L1582" s="182"/>
      <c r="M1582" s="182"/>
      <c r="N1582" s="182"/>
      <c r="O1582" s="183"/>
      <c r="P1582" s="183"/>
      <c r="Q1582" s="183"/>
      <c r="R1582" s="183"/>
      <c r="S1582" s="183"/>
      <c r="T1582" s="183"/>
      <c r="U1582" s="183"/>
      <c r="V1582" s="183"/>
      <c r="W1582" s="183"/>
      <c r="X1582" s="183"/>
      <c r="Y1582" s="184"/>
      <c r="Z1582" s="185"/>
      <c r="AA1582" s="185"/>
      <c r="AB1582" s="185"/>
      <c r="AC1582" s="185"/>
      <c r="AD1582" s="649"/>
      <c r="AE1582" s="182"/>
      <c r="AF1582" s="332"/>
      <c r="AG1582" s="182"/>
      <c r="AH1582" s="182"/>
      <c r="AI1582" s="182"/>
      <c r="AJ1582" s="640"/>
      <c r="AK1582" s="182"/>
      <c r="AL1582" s="496">
        <f t="shared" si="453"/>
        <v>0</v>
      </c>
      <c r="AM1582" s="496">
        <f t="shared" si="446"/>
        <v>0</v>
      </c>
      <c r="AN1582" s="626"/>
      <c r="AO1582" s="182"/>
      <c r="AP1582" s="182"/>
      <c r="AQ1582" s="332" t="str">
        <f>UPPER(RIGHT(Journal_Live[[#This Row],[DURATION ]]))</f>
        <v/>
      </c>
      <c r="AR1582" s="182"/>
      <c r="AS1582" s="189"/>
      <c r="AT1582" s="189"/>
      <c r="AU1582" s="187"/>
      <c r="AV1582" s="190"/>
      <c r="AW1582" s="191"/>
      <c r="AX1582" s="538" t="s">
        <v>5365</v>
      </c>
      <c r="AY1582" s="540" t="s">
        <v>5366</v>
      </c>
      <c r="AZ1582" s="541">
        <v>52</v>
      </c>
      <c r="BA1582" s="409" t="s">
        <v>5367</v>
      </c>
      <c r="BB1582" s="409" t="s">
        <v>5368</v>
      </c>
      <c r="BC1582" s="407" t="s">
        <v>5369</v>
      </c>
      <c r="BD1582" s="409" t="s">
        <v>5370</v>
      </c>
      <c r="BE1582" s="407"/>
      <c r="BF1582" s="422"/>
      <c r="BG1582" s="391">
        <f>SUM($AV$1389:AV1582)</f>
        <v>1586.5156768034562</v>
      </c>
      <c r="BH1582" s="392">
        <f>SUM($AU$1389:AU1582)</f>
        <v>17439.979999999894</v>
      </c>
      <c r="BI1582" s="318">
        <f>SUMIFS($AU$1388:AU1583,$Q$1388:Q1583,"F")</f>
        <v>8804.4000000000015</v>
      </c>
      <c r="BJ1582" s="318">
        <f>SUMIFS($AU$1388:AU1583,$Q$1388:Q1583,"S")</f>
        <v>6415.9999999999927</v>
      </c>
      <c r="BK1582" s="343">
        <f>SUMIFS($AU$1388:AU1583,$P$1388:P1583,"W")</f>
        <v>11565.579999999931</v>
      </c>
      <c r="BL1582" s="343">
        <f>SUMIFS($AU$1388:AU1583,$P$1388:P1583,"R")</f>
        <v>4206</v>
      </c>
      <c r="BM1582" s="343">
        <f>SUMIFS($AU$1388:AU1583,$AQ$1388:AQ1583,"M")</f>
        <v>4440.3799999996263</v>
      </c>
      <c r="BN1582" s="343">
        <f>SUMIFS($AU$1388:AU1583,$AQ$1388:AQ1583,"H")</f>
        <v>5635.2000000002608</v>
      </c>
      <c r="BO1582" s="343">
        <f>SUMIFS($AU$1388:AU1583,$AQ$1388:AQ1583,"D")</f>
        <v>2670.0000000000009</v>
      </c>
      <c r="BP1582" s="343">
        <f>SUMIFS($AU$1388:AU1585,$AQ$1388:AQ1585,"W")</f>
        <v>4998.4000000000005</v>
      </c>
      <c r="BQ1582" s="343">
        <f>SUMIFS($AU$1388:AU1583,$Q$1388:Q1583,"O")</f>
        <v>1683.5799999998865</v>
      </c>
      <c r="BR1582" s="343">
        <f>SUMIFS($AU$1388:AU1583,$AA$1388:AA1583,"*")</f>
        <v>15224.799999999781</v>
      </c>
      <c r="BS1582" s="343">
        <f>SUMIFS($AU$1388:AU1583,$AB$1388:AB1583,"*")</f>
        <v>5607.1799999999312</v>
      </c>
      <c r="BT1582" s="343">
        <f>SUMIFS($AU$1388:AU1583,$AC$1388:AC1583,"*")</f>
        <v>8628.4</v>
      </c>
      <c r="BU1582" s="343">
        <f>SUMIFS($AU$1388:AU1583,$AA$1388:AA1583,"*",$AB$1388:AB1583,"*")</f>
        <v>3455.9999999998226</v>
      </c>
      <c r="BV1582" s="343">
        <f>SUMIFS($AU$1388:AU1583,$AA$1388:AA1583,"*",$AC$1388:AC1583,"*")</f>
        <v>8164.4000000000005</v>
      </c>
      <c r="BW1582" s="343">
        <f>SUMIFS($AU$1388:AU1583,$AB$1388:AB1583,"*",$AC$1388:AC1583,"*")</f>
        <v>2319.9999999999986</v>
      </c>
      <c r="BX1582" s="343">
        <f>SUMIFS($AV$1388:AV1583,$Q$1388:Q1583,"F")</f>
        <v>214.02786430960344</v>
      </c>
      <c r="BY1582" s="343">
        <f>SUMIFS($AV$1388:AV1583,$Q$1388:Q1583,"S")</f>
        <v>392.74781249396261</v>
      </c>
      <c r="BZ1582" s="343">
        <f>SUMIFS($AV$1388:AV1583,$Q$1388:Q1583,"O")</f>
        <v>491.73999999988246</v>
      </c>
    </row>
    <row r="1583" spans="1:78" ht="15.75" customHeight="1">
      <c r="A1583" s="177" t="s">
        <v>5180</v>
      </c>
      <c r="B1583" s="200"/>
      <c r="C1583" s="178"/>
      <c r="D1583" s="178"/>
      <c r="E1583" s="227"/>
      <c r="F1583" s="180"/>
      <c r="G1583" s="181"/>
      <c r="H1583" s="182"/>
      <c r="I1583" s="182"/>
      <c r="J1583" s="182"/>
      <c r="K1583" s="183"/>
      <c r="L1583" s="182"/>
      <c r="M1583" s="182"/>
      <c r="N1583" s="182"/>
      <c r="O1583" s="183"/>
      <c r="P1583" s="183"/>
      <c r="Q1583" s="183"/>
      <c r="R1583" s="183"/>
      <c r="S1583" s="183"/>
      <c r="T1583" s="183"/>
      <c r="U1583" s="183"/>
      <c r="V1583" s="183"/>
      <c r="W1583" s="183"/>
      <c r="X1583" s="183"/>
      <c r="Y1583" s="184"/>
      <c r="Z1583" s="185"/>
      <c r="AA1583" s="185"/>
      <c r="AB1583" s="185"/>
      <c r="AC1583" s="185"/>
      <c r="AD1583" s="649"/>
      <c r="AE1583" s="182"/>
      <c r="AF1583" s="332"/>
      <c r="AG1583" s="182"/>
      <c r="AH1583" s="182"/>
      <c r="AI1583" s="182"/>
      <c r="AJ1583" s="640"/>
      <c r="AK1583" s="182"/>
      <c r="AL1583" s="496">
        <f t="shared" si="453"/>
        <v>0</v>
      </c>
      <c r="AM1583" s="496">
        <f t="shared" si="446"/>
        <v>0</v>
      </c>
      <c r="AN1583" s="626"/>
      <c r="AO1583" s="182"/>
      <c r="AP1583" s="182"/>
      <c r="AQ1583" s="332" t="str">
        <f>UPPER(RIGHT(Journal_Live[[#This Row],[DURATION ]]))</f>
        <v/>
      </c>
      <c r="AR1583" s="182"/>
      <c r="AS1583" s="189"/>
      <c r="AT1583" s="189"/>
      <c r="AU1583" s="187"/>
      <c r="AV1583" s="190"/>
      <c r="AW1583" s="191"/>
      <c r="AX1583" s="542" t="s">
        <v>5371</v>
      </c>
      <c r="AY1583" s="542" t="s">
        <v>5372</v>
      </c>
      <c r="AZ1583" s="543">
        <v>103</v>
      </c>
      <c r="BA1583" s="409" t="s">
        <v>5373</v>
      </c>
      <c r="BB1583" s="407"/>
      <c r="BC1583" s="407"/>
      <c r="BD1583" s="407"/>
      <c r="BE1583" s="407"/>
      <c r="BF1583" s="422"/>
      <c r="BG1583" s="391">
        <f>SUM($AV$1389:AV1583)</f>
        <v>1586.5156768034562</v>
      </c>
      <c r="BH1583" s="392">
        <f>SUM($AU$1389:AU1583)</f>
        <v>17439.979999999894</v>
      </c>
      <c r="BI1583" s="318">
        <f>SUMIFS($AU$1388:AU1585,$Q$1388:Q1585,"F")</f>
        <v>8804.4000000000015</v>
      </c>
      <c r="BJ1583" s="318">
        <f>SUMIFS($AU$1388:AU1585,$Q$1388:Q1585,"S")</f>
        <v>6415.9999999999927</v>
      </c>
      <c r="BK1583" s="343">
        <f>SUMIFS($AU$1388:AU1585,$P$1388:P1585,"W")</f>
        <v>11565.579999999931</v>
      </c>
      <c r="BL1583" s="343">
        <f>SUMIFS($AU$1388:AU1585,$P$1388:P1585,"R")</f>
        <v>4206</v>
      </c>
      <c r="BM1583" s="343">
        <f>SUMIFS($AU$1388:AU1585,$AQ$1388:AQ1585,"M")</f>
        <v>4440.3799999996263</v>
      </c>
      <c r="BN1583" s="343">
        <f>SUMIFS($AU$1388:AU1585,$AQ$1388:AQ1585,"H")</f>
        <v>5635.2000000002608</v>
      </c>
      <c r="BO1583" s="343">
        <f>SUMIFS($AU$1388:AU1585,$AQ$1388:AQ1585,"D")</f>
        <v>2670.0000000000009</v>
      </c>
      <c r="BP1583" s="343">
        <f>SUMIFS($AU$1388:AU1586,$AQ$1388:AQ1586,"W")</f>
        <v>4998.4000000000005</v>
      </c>
      <c r="BQ1583" s="343">
        <f>SUMIFS($AU$1388:AU1585,$Q$1388:Q1585,"O")</f>
        <v>1683.5799999998865</v>
      </c>
      <c r="BR1583" s="343">
        <f>SUMIFS($AU$1388:AU1585,$AA$1388:AA1585,"*")</f>
        <v>15224.799999999781</v>
      </c>
      <c r="BS1583" s="343">
        <f>SUMIFS($AU$1388:AU1585,$AB$1388:AB1585,"*")</f>
        <v>5607.1799999999312</v>
      </c>
      <c r="BT1583" s="343">
        <f>SUMIFS($AU$1388:AU1585,$AC$1388:AC1585,"*")</f>
        <v>8628.4</v>
      </c>
      <c r="BU1583" s="343">
        <f>SUMIFS($AU$1388:AU1585,$AA$1388:AA1585,"*",$AB$1388:AB1585,"*")</f>
        <v>3455.9999999998226</v>
      </c>
      <c r="BV1583" s="343">
        <f>SUMIFS($AU$1388:AU1585,$AA$1388:AA1585,"*",$AC$1388:AC1585,"*")</f>
        <v>8164.4000000000005</v>
      </c>
      <c r="BW1583" s="343">
        <f>SUMIFS($AU$1388:AU1585,$AB$1388:AB1585,"*",$AC$1388:AC1585,"*")</f>
        <v>2319.9999999999986</v>
      </c>
      <c r="BX1583" s="343">
        <f>SUMIFS($AV$1388:AV1584,$Q$1388:Q1584,"F")</f>
        <v>214.02786430960344</v>
      </c>
      <c r="BY1583" s="343">
        <f>SUMIFS($AV$1388:AV1584,$Q$1388:Q1584,"S")</f>
        <v>392.74781249396261</v>
      </c>
      <c r="BZ1583" s="343">
        <f>SUMIFS($AV$1388:AV1584,$Q$1388:Q1584,"O")</f>
        <v>491.73999999988246</v>
      </c>
    </row>
    <row r="1584" spans="1:78" ht="15.75" customHeight="1">
      <c r="A1584" s="177" t="s">
        <v>5180</v>
      </c>
      <c r="B1584" s="200"/>
      <c r="C1584" s="178"/>
      <c r="D1584" s="178"/>
      <c r="E1584" s="227"/>
      <c r="F1584" s="180"/>
      <c r="G1584" s="181"/>
      <c r="H1584" s="182"/>
      <c r="I1584" s="182"/>
      <c r="J1584" s="182"/>
      <c r="K1584" s="183"/>
      <c r="L1584" s="182"/>
      <c r="M1584" s="182"/>
      <c r="N1584" s="182"/>
      <c r="O1584" s="183"/>
      <c r="P1584" s="183"/>
      <c r="Q1584" s="183"/>
      <c r="R1584" s="183"/>
      <c r="S1584" s="183"/>
      <c r="T1584" s="183"/>
      <c r="U1584" s="183"/>
      <c r="V1584" s="183"/>
      <c r="W1584" s="183"/>
      <c r="X1584" s="183"/>
      <c r="Y1584" s="274"/>
      <c r="Z1584" s="183"/>
      <c r="AA1584" s="185"/>
      <c r="AB1584" s="185"/>
      <c r="AC1584" s="185"/>
      <c r="AD1584" s="649"/>
      <c r="AE1584" s="182"/>
      <c r="AF1584" s="332"/>
      <c r="AG1584" s="182"/>
      <c r="AH1584" s="182"/>
      <c r="AI1584" s="182"/>
      <c r="AJ1584" s="640"/>
      <c r="AK1584" s="182"/>
      <c r="AL1584" s="496"/>
      <c r="AM1584" s="496"/>
      <c r="AN1584" s="626"/>
      <c r="AO1584" s="182"/>
      <c r="AP1584" s="182"/>
      <c r="AQ1584" s="332" t="str">
        <f>UPPER(RIGHT(Journal_Live[[#This Row],[DURATION ]]))</f>
        <v/>
      </c>
      <c r="AR1584" s="182"/>
      <c r="AS1584" s="189"/>
      <c r="AT1584" s="189"/>
      <c r="AU1584" s="187"/>
      <c r="AV1584" s="190"/>
      <c r="AW1584" s="191"/>
      <c r="AX1584" s="542" t="s">
        <v>5374</v>
      </c>
      <c r="AY1584" s="542" t="s">
        <v>22</v>
      </c>
      <c r="AZ1584" s="545">
        <v>53</v>
      </c>
      <c r="BA1584" s="544"/>
      <c r="BB1584" s="407"/>
      <c r="BC1584" s="546"/>
      <c r="BD1584" s="407"/>
      <c r="BE1584" s="407"/>
      <c r="BF1584" s="422"/>
      <c r="BG1584" s="391">
        <f>SUM($AV$1389:AV1584)</f>
        <v>1586.5156768034562</v>
      </c>
      <c r="BH1584" s="392">
        <f>SUM($AU$1389:AU1584)</f>
        <v>17439.979999999894</v>
      </c>
      <c r="BI1584" s="318">
        <f>SUMIFS($AU$1388:AU1586,$Q$1388:Q1586,"F")</f>
        <v>8804.4000000000015</v>
      </c>
      <c r="BJ1584" s="318">
        <f>SUMIFS($AU$1388:AU1586,$Q$1388:Q1586,"S")</f>
        <v>6415.9999999999927</v>
      </c>
      <c r="BK1584" s="343">
        <f>SUMIFS($AU$1388:AU1586,$P$1388:P1586,"W")</f>
        <v>11565.579999999931</v>
      </c>
      <c r="BL1584" s="343">
        <f>SUMIFS($AU$1388:AU1586,$P$1388:P1586,"R")</f>
        <v>4206</v>
      </c>
      <c r="BM1584" s="343">
        <f>SUMIFS($AU$1388:AU1586,$AQ$1388:AQ1586,"M")</f>
        <v>4440.3799999996263</v>
      </c>
      <c r="BN1584" s="343">
        <f>SUMIFS($AU$1388:AU1586,$AQ$1388:AQ1586,"H")</f>
        <v>5635.2000000002608</v>
      </c>
      <c r="BO1584" s="343">
        <f>SUMIFS($AU$1388:AU1586,$AQ$1388:AQ1586,"D")</f>
        <v>2670.0000000000009</v>
      </c>
      <c r="BP1584" s="343">
        <f>SUMIFS($AU$1388:AU1587,$AQ$1388:AQ1587,"W")</f>
        <v>4998.4000000000005</v>
      </c>
      <c r="BQ1584" s="343">
        <f>SUMIFS($AU$1388:AU1586,$Q$1388:Q1586,"O")</f>
        <v>1683.5799999998865</v>
      </c>
      <c r="BR1584" s="343">
        <f>SUMIFS($AU$1388:AU1586,$AA$1388:AA1586,"*")</f>
        <v>15224.799999999781</v>
      </c>
      <c r="BS1584" s="343">
        <f>SUMIFS($AU$1388:AU1586,$AB$1388:AB1586,"*")</f>
        <v>5607.1799999999312</v>
      </c>
      <c r="BT1584" s="343">
        <f>SUMIFS($AU$1388:AU1586,$AC$1388:AC1586,"*")</f>
        <v>8628.4</v>
      </c>
      <c r="BU1584" s="343">
        <f>SUMIFS($AU$1388:AU1586,$AA$1388:AA1586,"*",$AB$1388:AB1586,"*")</f>
        <v>3455.9999999998226</v>
      </c>
      <c r="BV1584" s="343">
        <f>SUMIFS($AU$1388:AU1586,$AA$1388:AA1586,"*",$AC$1388:AC1586,"*")</f>
        <v>8164.4000000000005</v>
      </c>
      <c r="BW1584" s="343">
        <f>SUMIFS($AU$1388:AU1586,$AB$1388:AB1586,"*",$AC$1388:AC1586,"*")</f>
        <v>2319.9999999999986</v>
      </c>
      <c r="BX1584" s="343">
        <f>SUMIFS($AV$1388:AV1585,$Q$1388:Q1585,"F")</f>
        <v>214.02786430960344</v>
      </c>
      <c r="BY1584" s="343">
        <f>SUMIFS($AV$1388:AV1585,$Q$1388:Q1585,"S")</f>
        <v>392.74781249396261</v>
      </c>
      <c r="BZ1584" s="343">
        <f>SUMIFS($AV$1388:AV1585,$Q$1388:Q1585,"O")</f>
        <v>491.73999999988246</v>
      </c>
    </row>
    <row r="1585" spans="1:78" ht="15.75" customHeight="1">
      <c r="A1585" s="177" t="s">
        <v>5180</v>
      </c>
      <c r="B1585" s="200">
        <v>45336</v>
      </c>
      <c r="C1585" s="178" t="s">
        <v>5375</v>
      </c>
      <c r="D1585" s="178" t="s">
        <v>151</v>
      </c>
      <c r="E1585" s="227" t="s">
        <v>5376</v>
      </c>
      <c r="F1585" s="180"/>
      <c r="G1585" s="181"/>
      <c r="H1585" s="182"/>
      <c r="I1585" s="182"/>
      <c r="J1585" s="182">
        <v>1</v>
      </c>
      <c r="K1585" s="183" t="s">
        <v>115</v>
      </c>
      <c r="L1585" s="182"/>
      <c r="M1585" s="182"/>
      <c r="N1585" s="182"/>
      <c r="O1585" s="183"/>
      <c r="P1585" s="183"/>
      <c r="Q1585" s="183"/>
      <c r="R1585" s="183"/>
      <c r="S1585" s="183"/>
      <c r="T1585" s="183"/>
      <c r="U1585" s="183"/>
      <c r="V1585" s="183"/>
      <c r="W1585" s="183"/>
      <c r="X1585" s="183"/>
      <c r="Y1585" s="184"/>
      <c r="Z1585" s="185"/>
      <c r="AA1585" s="185"/>
      <c r="AB1585" s="185"/>
      <c r="AC1585" s="185"/>
      <c r="AD1585" s="649"/>
      <c r="AE1585" s="182"/>
      <c r="AF1585" s="332"/>
      <c r="AG1585" s="182"/>
      <c r="AH1585" s="182"/>
      <c r="AI1585" s="182"/>
      <c r="AJ1585" s="640"/>
      <c r="AK1585" s="182"/>
      <c r="AL1585" s="496">
        <f t="shared" si="453"/>
        <v>0</v>
      </c>
      <c r="AM1585" s="496">
        <f t="shared" ref="AM1585:AM1616" si="454">AL1585*(R1585-S1585)</f>
        <v>0</v>
      </c>
      <c r="AN1585" s="626"/>
      <c r="AO1585" s="182"/>
      <c r="AP1585" s="182"/>
      <c r="AQ1585" s="332" t="str">
        <f>UPPER(RIGHT(Journal_Live[[#This Row],[DURATION ]]))</f>
        <v/>
      </c>
      <c r="AR1585" s="182"/>
      <c r="AS1585" s="189"/>
      <c r="AT1585" s="189"/>
      <c r="AU1585" s="187"/>
      <c r="AV1585" s="190"/>
      <c r="AW1585" s="191"/>
      <c r="AX1585" s="407" t="s">
        <v>5377</v>
      </c>
      <c r="AY1585" s="409" t="s">
        <v>5378</v>
      </c>
      <c r="AZ1585" s="407" t="s">
        <v>5379</v>
      </c>
      <c r="BA1585" s="417" t="s">
        <v>5380</v>
      </c>
      <c r="BB1585" s="407" t="s">
        <v>5381</v>
      </c>
      <c r="BC1585" s="407"/>
      <c r="BD1585" s="407"/>
      <c r="BE1585" s="407"/>
      <c r="BF1585" s="422"/>
      <c r="BG1585" s="391">
        <f>SUM($AV$1389:AV1585)</f>
        <v>1586.5156768034562</v>
      </c>
      <c r="BH1585" s="392">
        <f>SUM($AU$1389:AU1585)</f>
        <v>17439.979999999894</v>
      </c>
      <c r="BI1585" s="318">
        <f>SUMIFS($AU$1388:AU1600,$Q$1388:Q1600,"F")</f>
        <v>9348.4000000000015</v>
      </c>
      <c r="BJ1585" s="318">
        <f>SUMIFS($AU$1388:AU1600,$Q$1388:Q1600,"S")</f>
        <v>3503.9999999999918</v>
      </c>
      <c r="BK1585" s="343">
        <f>SUMIFS($AU$1388:AU1600,$P$1388:P1600,"W")</f>
        <v>9197.579999999929</v>
      </c>
      <c r="BL1585" s="343">
        <f>SUMIFS($AU$1388:AU1600,$P$1388:P1600,"R")</f>
        <v>5106</v>
      </c>
      <c r="BM1585" s="343">
        <f>SUMIFS($AU$1388:AU1600,$AQ$1388:AQ1600,"M")</f>
        <v>5139.3799999995472</v>
      </c>
      <c r="BN1585" s="343">
        <f>SUMIFS($AU$1388:AU1600,$AQ$1388:AQ1600,"H")</f>
        <v>3011.2000000002595</v>
      </c>
      <c r="BO1585" s="343">
        <f>SUMIFS($AU$1388:AU1600,$AQ$1388:AQ1600,"D")</f>
        <v>2670.0000000000009</v>
      </c>
      <c r="BP1585" s="343">
        <f>SUMIFS($AU$1388:AU1588,$AQ$1388:AQ1588,"W")</f>
        <v>4998.4000000000005</v>
      </c>
      <c r="BQ1585" s="343">
        <f>SUMIFS($AU$1388:AU1600,$Q$1388:Q1600,"O")</f>
        <v>1770.5799999998073</v>
      </c>
      <c r="BR1585" s="343">
        <f>SUMIFS($AU$1388:AU1600,$AA$1388:AA1600,"*")</f>
        <v>13843.799999999701</v>
      </c>
      <c r="BS1585" s="343">
        <f>SUMIFS($AU$1388:AU1600,$AB$1388:AB1600,"*")</f>
        <v>4007.1799999999307</v>
      </c>
      <c r="BT1585" s="343">
        <f>SUMIFS($AU$1388:AU1600,$AC$1388:AC1600,"*")</f>
        <v>7028.4</v>
      </c>
      <c r="BU1585" s="343">
        <f>SUMIFS($AU$1388:AU1600,$AA$1388:AA1600,"*",$AB$1388:AB1600,"*")</f>
        <v>1855.9999999998222</v>
      </c>
      <c r="BV1585" s="343">
        <f>SUMIFS($AU$1388:AU1600,$AA$1388:AA1600,"*",$AC$1388:AC1600,"*")</f>
        <v>6564.4</v>
      </c>
      <c r="BW1585" s="343">
        <f>SUMIFS($AU$1388:AU1600,$AB$1388:AB1600,"*",$AC$1388:AC1600,"*")</f>
        <v>719.99999999999818</v>
      </c>
      <c r="BX1585" s="343">
        <f>SUMIFS($AV$1388:AV1586,$Q$1388:Q1586,"F")</f>
        <v>214.02786430960344</v>
      </c>
      <c r="BY1585" s="343">
        <f>SUMIFS($AV$1388:AV1586,$Q$1388:Q1586,"S")</f>
        <v>392.74781249396261</v>
      </c>
      <c r="BZ1585" s="343">
        <f>SUMIFS($AV$1388:AV1586,$Q$1388:Q1586,"O")</f>
        <v>491.73999999988246</v>
      </c>
    </row>
    <row r="1586" spans="1:78" ht="15.75" customHeight="1">
      <c r="A1586" s="177" t="s">
        <v>5180</v>
      </c>
      <c r="B1586" s="200">
        <v>45336</v>
      </c>
      <c r="C1586" s="178" t="s">
        <v>5382</v>
      </c>
      <c r="D1586" s="178" t="s">
        <v>151</v>
      </c>
      <c r="E1586" s="227"/>
      <c r="F1586" s="180"/>
      <c r="G1586" s="181" t="s">
        <v>3467</v>
      </c>
      <c r="H1586" s="182"/>
      <c r="I1586" s="182"/>
      <c r="J1586" s="182"/>
      <c r="K1586" s="183"/>
      <c r="L1586" s="182"/>
      <c r="M1586" s="182"/>
      <c r="N1586" s="182"/>
      <c r="O1586" s="183"/>
      <c r="P1586" s="183"/>
      <c r="Q1586" s="183"/>
      <c r="R1586" s="183"/>
      <c r="S1586" s="183"/>
      <c r="T1586" s="183"/>
      <c r="U1586" s="183"/>
      <c r="V1586" s="183"/>
      <c r="W1586" s="183"/>
      <c r="X1586" s="183"/>
      <c r="Y1586" s="184"/>
      <c r="Z1586" s="185"/>
      <c r="AA1586" s="185"/>
      <c r="AB1586" s="185"/>
      <c r="AC1586" s="185"/>
      <c r="AD1586" s="649"/>
      <c r="AE1586" s="182"/>
      <c r="AF1586" s="332"/>
      <c r="AG1586" s="182"/>
      <c r="AH1586" s="182"/>
      <c r="AI1586" s="182"/>
      <c r="AJ1586" s="640"/>
      <c r="AK1586" s="182"/>
      <c r="AL1586" s="496">
        <f t="shared" ref="AL1586:AL1599" si="455">-0.02*Z1586</f>
        <v>0</v>
      </c>
      <c r="AM1586" s="496">
        <f t="shared" si="454"/>
        <v>0</v>
      </c>
      <c r="AN1586" s="626"/>
      <c r="AO1586" s="182"/>
      <c r="AP1586" s="182"/>
      <c r="AQ1586" s="332" t="str">
        <f>UPPER(RIGHT(Journal_Live[[#This Row],[DURATION ]]))</f>
        <v/>
      </c>
      <c r="AR1586" s="182"/>
      <c r="AS1586" s="189"/>
      <c r="AT1586" s="189"/>
      <c r="AU1586" s="187"/>
      <c r="AV1586" s="190"/>
      <c r="AW1586" s="191"/>
      <c r="AX1586" s="407" t="s">
        <v>5383</v>
      </c>
      <c r="AY1586" s="407"/>
      <c r="AZ1586" s="407"/>
      <c r="BA1586" s="407"/>
      <c r="BB1586" s="407"/>
      <c r="BC1586" s="407"/>
      <c r="BD1586" s="407"/>
      <c r="BE1586" s="407"/>
      <c r="BF1586" s="422"/>
      <c r="BG1586" s="391">
        <f>SUM($AV$1389:AV1586)</f>
        <v>1586.5156768034562</v>
      </c>
      <c r="BH1586" s="392">
        <f>SUM($AU$1389:AU1586)</f>
        <v>17439.979999999894</v>
      </c>
      <c r="BI1586" s="318">
        <f>SUMIFS($AU$1388:AU1587,$Q$1388:Q1587,"F")</f>
        <v>8804.4000000000015</v>
      </c>
      <c r="BJ1586" s="318">
        <f>SUMIFS($AU$1388:AU1587,$Q$1388:Q1587,"S")</f>
        <v>6415.9999999999927</v>
      </c>
      <c r="BK1586" s="343">
        <f>SUMIFS($AU$1388:AU1587,$P$1388:P1587,"W")</f>
        <v>11565.579999999931</v>
      </c>
      <c r="BL1586" s="343">
        <f>SUMIFS($AU$1388:AU1587,$P$1388:P1587,"R")</f>
        <v>4206</v>
      </c>
      <c r="BM1586" s="343">
        <f>SUMIFS($AU$1388:AU1587,$AQ$1388:AQ1587,"M")</f>
        <v>4440.3799999996263</v>
      </c>
      <c r="BN1586" s="343">
        <f>SUMIFS($AU$1388:AU1587,$AQ$1388:AQ1587,"H")</f>
        <v>5635.2000000002608</v>
      </c>
      <c r="BO1586" s="343">
        <f>SUMIFS($AU$1388:AU1587,$AQ$1388:AQ1587,"D")</f>
        <v>2670.0000000000009</v>
      </c>
      <c r="BP1586" s="343">
        <f>SUMIFS($AU$1388:AU1589,$AQ$1388:AQ1589,"W")</f>
        <v>4998.4000000000005</v>
      </c>
      <c r="BQ1586" s="343">
        <f>SUMIFS($AU$1388:AU1587,$Q$1388:Q1587,"O")</f>
        <v>1683.5799999998865</v>
      </c>
      <c r="BR1586" s="343">
        <f>SUMIFS($AU$1388:AU1587,$AA$1388:AA1587,"*")</f>
        <v>15224.799999999781</v>
      </c>
      <c r="BS1586" s="343">
        <f>SUMIFS($AU$1388:AU1587,$AB$1388:AB1587,"*")</f>
        <v>5607.1799999999312</v>
      </c>
      <c r="BT1586" s="343">
        <f>SUMIFS($AU$1388:AU1587,$AC$1388:AC1587,"*")</f>
        <v>8628.4</v>
      </c>
      <c r="BU1586" s="343">
        <f>SUMIFS($AU$1388:AU1587,$AA$1388:AA1587,"*",$AB$1388:AB1587,"*")</f>
        <v>3455.9999999998226</v>
      </c>
      <c r="BV1586" s="343">
        <f>SUMIFS($AU$1388:AU1587,$AA$1388:AA1587,"*",$AC$1388:AC1587,"*")</f>
        <v>8164.4000000000005</v>
      </c>
      <c r="BW1586" s="343">
        <f>SUMIFS($AU$1388:AU1587,$AB$1388:AB1587,"*",$AC$1388:AC1587,"*")</f>
        <v>2319.9999999999986</v>
      </c>
      <c r="BX1586" s="343">
        <f>SUMIFS($AV$1388:AV1587,$Q$1388:Q1587,"F")</f>
        <v>214.02786430960344</v>
      </c>
      <c r="BY1586" s="343">
        <f>SUMIFS($AV$1388:AV1587,$Q$1388:Q1587,"S")</f>
        <v>392.74781249396261</v>
      </c>
      <c r="BZ1586" s="343">
        <f>SUMIFS($AV$1388:AV1587,$Q$1388:Q1587,"O")</f>
        <v>491.73999999988246</v>
      </c>
    </row>
    <row r="1587" spans="1:78" ht="15.75" customHeight="1">
      <c r="A1587" s="177" t="s">
        <v>5180</v>
      </c>
      <c r="B1587" s="200">
        <v>45336</v>
      </c>
      <c r="C1587" s="178" t="s">
        <v>5382</v>
      </c>
      <c r="D1587" s="178" t="s">
        <v>151</v>
      </c>
      <c r="E1587" s="227"/>
      <c r="F1587" s="180"/>
      <c r="G1587" s="181" t="s">
        <v>2070</v>
      </c>
      <c r="H1587" s="182"/>
      <c r="I1587" s="182"/>
      <c r="J1587" s="182"/>
      <c r="K1587" s="183"/>
      <c r="L1587" s="182"/>
      <c r="M1587" s="182"/>
      <c r="N1587" s="182"/>
      <c r="O1587" s="183"/>
      <c r="P1587" s="183"/>
      <c r="Q1587" s="183"/>
      <c r="R1587" s="183"/>
      <c r="S1587" s="183"/>
      <c r="T1587" s="183"/>
      <c r="U1587" s="183"/>
      <c r="V1587" s="183"/>
      <c r="W1587" s="183"/>
      <c r="X1587" s="183"/>
      <c r="Y1587" s="184"/>
      <c r="Z1587" s="185"/>
      <c r="AA1587" s="185"/>
      <c r="AB1587" s="185"/>
      <c r="AC1587" s="185"/>
      <c r="AD1587" s="649"/>
      <c r="AE1587" s="182"/>
      <c r="AF1587" s="332"/>
      <c r="AG1587" s="182"/>
      <c r="AH1587" s="182"/>
      <c r="AI1587" s="182"/>
      <c r="AJ1587" s="640"/>
      <c r="AK1587" s="182"/>
      <c r="AL1587" s="496">
        <f t="shared" si="455"/>
        <v>0</v>
      </c>
      <c r="AM1587" s="496">
        <f t="shared" si="454"/>
        <v>0</v>
      </c>
      <c r="AN1587" s="626"/>
      <c r="AO1587" s="182"/>
      <c r="AP1587" s="182"/>
      <c r="AQ1587" s="332" t="str">
        <f>UPPER(RIGHT(Journal_Live[[#This Row],[DURATION ]]))</f>
        <v/>
      </c>
      <c r="AR1587" s="182"/>
      <c r="AS1587" s="189"/>
      <c r="AT1587" s="189"/>
      <c r="AU1587" s="187"/>
      <c r="AV1587" s="190"/>
      <c r="AW1587" s="191"/>
      <c r="AX1587" s="409" t="s">
        <v>5384</v>
      </c>
      <c r="AY1587" s="407"/>
      <c r="AZ1587" s="407"/>
      <c r="BA1587" s="407"/>
      <c r="BB1587" s="407"/>
      <c r="BC1587" s="407"/>
      <c r="BD1587" s="407"/>
      <c r="BE1587" s="407"/>
      <c r="BF1587" s="422"/>
      <c r="BG1587" s="391">
        <f>SUM($AV$1389:AV1587)</f>
        <v>1586.5156768034562</v>
      </c>
      <c r="BH1587" s="392">
        <f>SUM($AU$1389:AU1587)</f>
        <v>17439.979999999894</v>
      </c>
      <c r="BI1587" s="318">
        <f>SUMIFS($AU$1388:AU1588,$Q$1388:Q1588,"F")</f>
        <v>8804.4000000000015</v>
      </c>
      <c r="BJ1587" s="318">
        <f>SUMIFS($AU$1388:AU1588,$Q$1388:Q1588,"S")</f>
        <v>6415.9999999999927</v>
      </c>
      <c r="BK1587" s="343">
        <f>SUMIFS($AU$1388:AU1588,$P$1388:P1588,"W")</f>
        <v>11565.579999999931</v>
      </c>
      <c r="BL1587" s="343">
        <f>SUMIFS($AU$1388:AU1588,$P$1388:P1588,"R")</f>
        <v>4206</v>
      </c>
      <c r="BM1587" s="343">
        <f>SUMIFS($AU$1388:AU1588,$AQ$1388:AQ1588,"M")</f>
        <v>4440.3799999996263</v>
      </c>
      <c r="BN1587" s="343">
        <f>SUMIFS($AU$1388:AU1588,$AQ$1388:AQ1588,"H")</f>
        <v>5635.2000000002608</v>
      </c>
      <c r="BO1587" s="343">
        <f>SUMIFS($AU$1388:AU1588,$AQ$1388:AQ1588,"D")</f>
        <v>2670.0000000000009</v>
      </c>
      <c r="BP1587" s="343">
        <f>SUMIFS($AU$1388:AU1590,$AQ$1388:AQ1590,"W")</f>
        <v>4998.4000000000005</v>
      </c>
      <c r="BQ1587" s="343">
        <f>SUMIFS($AU$1388:AU1588,$Q$1388:Q1588,"O")</f>
        <v>1683.5799999998865</v>
      </c>
      <c r="BR1587" s="343">
        <f>SUMIFS($AU$1388:AU1588,$AA$1388:AA1588,"*")</f>
        <v>15224.799999999781</v>
      </c>
      <c r="BS1587" s="343">
        <f>SUMIFS($AU$1388:AU1588,$AB$1388:AB1588,"*")</f>
        <v>5607.1799999999312</v>
      </c>
      <c r="BT1587" s="343">
        <f>SUMIFS($AU$1388:AU1588,$AC$1388:AC1588,"*")</f>
        <v>8628.4</v>
      </c>
      <c r="BU1587" s="343">
        <f>SUMIFS($AU$1388:AU1588,$AA$1388:AA1588,"*",$AB$1388:AB1588,"*")</f>
        <v>3455.9999999998226</v>
      </c>
      <c r="BV1587" s="343">
        <f>SUMIFS($AU$1388:AU1588,$AA$1388:AA1588,"*",$AC$1388:AC1588,"*")</f>
        <v>8164.4000000000005</v>
      </c>
      <c r="BW1587" s="343">
        <f>SUMIFS($AU$1388:AU1588,$AB$1388:AB1588,"*",$AC$1388:AC1588,"*")</f>
        <v>2319.9999999999986</v>
      </c>
      <c r="BX1587" s="343">
        <f>SUMIFS($AV$1388:AV1588,$Q$1388:Q1588,"F")</f>
        <v>214.02786430960344</v>
      </c>
      <c r="BY1587" s="343">
        <f>SUMIFS($AV$1388:AV1588,$Q$1388:Q1588,"S")</f>
        <v>392.74781249396261</v>
      </c>
      <c r="BZ1587" s="343">
        <f>SUMIFS($AV$1388:AV1588,$Q$1388:Q1588,"O")</f>
        <v>491.73999999988246</v>
      </c>
    </row>
    <row r="1588" spans="1:78" ht="15.75" customHeight="1">
      <c r="A1588" s="177" t="s">
        <v>5180</v>
      </c>
      <c r="B1588" s="200">
        <v>45336</v>
      </c>
      <c r="C1588" s="178" t="s">
        <v>5385</v>
      </c>
      <c r="D1588" s="178" t="s">
        <v>151</v>
      </c>
      <c r="E1588" s="227"/>
      <c r="F1588" s="180"/>
      <c r="G1588" s="181" t="s">
        <v>2070</v>
      </c>
      <c r="H1588" s="182"/>
      <c r="I1588" s="182"/>
      <c r="J1588" s="182"/>
      <c r="K1588" s="183"/>
      <c r="L1588" s="182"/>
      <c r="M1588" s="182"/>
      <c r="N1588" s="182"/>
      <c r="O1588" s="183"/>
      <c r="P1588" s="183"/>
      <c r="Q1588" s="183"/>
      <c r="R1588" s="183"/>
      <c r="S1588" s="183"/>
      <c r="T1588" s="183"/>
      <c r="U1588" s="183"/>
      <c r="V1588" s="183"/>
      <c r="W1588" s="183"/>
      <c r="X1588" s="183"/>
      <c r="Y1588" s="184"/>
      <c r="Z1588" s="185"/>
      <c r="AA1588" s="185"/>
      <c r="AB1588" s="185"/>
      <c r="AC1588" s="185"/>
      <c r="AD1588" s="649"/>
      <c r="AE1588" s="182"/>
      <c r="AF1588" s="332"/>
      <c r="AG1588" s="182"/>
      <c r="AH1588" s="182"/>
      <c r="AI1588" s="182"/>
      <c r="AJ1588" s="640"/>
      <c r="AK1588" s="182"/>
      <c r="AL1588" s="496">
        <f t="shared" si="455"/>
        <v>0</v>
      </c>
      <c r="AM1588" s="496">
        <f t="shared" si="454"/>
        <v>0</v>
      </c>
      <c r="AN1588" s="626"/>
      <c r="AO1588" s="182"/>
      <c r="AP1588" s="182"/>
      <c r="AQ1588" s="332" t="str">
        <f>UPPER(RIGHT(Journal_Live[[#This Row],[DURATION ]]))</f>
        <v/>
      </c>
      <c r="AR1588" s="182"/>
      <c r="AS1588" s="189"/>
      <c r="AT1588" s="189"/>
      <c r="AU1588" s="187"/>
      <c r="AV1588" s="190"/>
      <c r="AW1588" s="191"/>
      <c r="AX1588" s="407"/>
      <c r="AY1588" s="407"/>
      <c r="AZ1588" s="407"/>
      <c r="BA1588" s="407"/>
      <c r="BB1588" s="407"/>
      <c r="BC1588" s="407"/>
      <c r="BD1588" s="407"/>
      <c r="BE1588" s="407"/>
      <c r="BF1588" s="422"/>
      <c r="BG1588" s="391">
        <f>SUM($AV$1389:AV1588)</f>
        <v>1586.5156768034562</v>
      </c>
      <c r="BH1588" s="392">
        <f>SUM($AU$1389:AU1588)</f>
        <v>17439.979999999894</v>
      </c>
      <c r="BI1588" s="318">
        <f>SUMIFS($AU$1388:AU1589,$Q$1388:Q1589,"F")</f>
        <v>8804.4000000000015</v>
      </c>
      <c r="BJ1588" s="318">
        <f>SUMIFS($AU$1388:AU1589,$Q$1388:Q1589,"S")</f>
        <v>4815.9999999999927</v>
      </c>
      <c r="BK1588" s="343">
        <f>SUMIFS($AU$1388:AU1589,$P$1388:P1589,"W")</f>
        <v>9965.5799999999308</v>
      </c>
      <c r="BL1588" s="343">
        <f>SUMIFS($AU$1388:AU1589,$P$1388:P1589,"R")</f>
        <v>4206</v>
      </c>
      <c r="BM1588" s="343">
        <f>SUMIFS($AU$1388:AU1589,$AQ$1388:AQ1589,"M")</f>
        <v>4440.3799999996263</v>
      </c>
      <c r="BN1588" s="343">
        <f>SUMIFS($AU$1388:AU1589,$AQ$1388:AQ1589,"H")</f>
        <v>4035.2000000002604</v>
      </c>
      <c r="BO1588" s="343">
        <f>SUMIFS($AU$1388:AU1589,$AQ$1388:AQ1589,"D")</f>
        <v>2670.0000000000009</v>
      </c>
      <c r="BP1588" s="343">
        <f>SUMIFS($AU$1388:AU1591,$AQ$1388:AQ1591,"W")</f>
        <v>4998.4000000000005</v>
      </c>
      <c r="BQ1588" s="343">
        <f>SUMIFS($AU$1388:AU1589,$Q$1388:Q1589,"O")</f>
        <v>1683.5799999998865</v>
      </c>
      <c r="BR1588" s="343">
        <f>SUMIFS($AU$1388:AU1589,$AA$1388:AA1589,"*")</f>
        <v>13624.799999999781</v>
      </c>
      <c r="BS1588" s="343">
        <f>SUMIFS($AU$1388:AU1589,$AB$1388:AB1589,"*")</f>
        <v>4007.1799999999307</v>
      </c>
      <c r="BT1588" s="343">
        <f>SUMIFS($AU$1388:AU1589,$AC$1388:AC1589,"*")</f>
        <v>7028.4</v>
      </c>
      <c r="BU1588" s="343">
        <f>SUMIFS($AU$1388:AU1589,$AA$1388:AA1589,"*",$AB$1388:AB1589,"*")</f>
        <v>1855.9999999998222</v>
      </c>
      <c r="BV1588" s="343">
        <f>SUMIFS($AU$1388:AU1589,$AA$1388:AA1589,"*",$AC$1388:AC1589,"*")</f>
        <v>6564.4</v>
      </c>
      <c r="BW1588" s="343">
        <f>SUMIFS($AU$1388:AU1589,$AB$1388:AB1589,"*",$AC$1388:AC1589,"*")</f>
        <v>719.99999999999818</v>
      </c>
      <c r="BX1588" s="343">
        <f>SUMIFS($AV$1388:AV1589,$Q$1388:Q1589,"F")</f>
        <v>214.02786430960344</v>
      </c>
      <c r="BY1588" s="343">
        <f>SUMIFS($AV$1388:AV1589,$Q$1388:Q1589,"S")</f>
        <v>328.74781249396261</v>
      </c>
      <c r="BZ1588" s="343">
        <f>SUMIFS($AV$1388:AV1589,$Q$1388:Q1589,"O")</f>
        <v>491.73999999988246</v>
      </c>
    </row>
    <row r="1589" spans="1:78" ht="15.75" customHeight="1">
      <c r="A1589" s="177" t="s">
        <v>5180</v>
      </c>
      <c r="B1589" s="200">
        <v>45336</v>
      </c>
      <c r="C1589" s="178" t="s">
        <v>5386</v>
      </c>
      <c r="D1589" s="178" t="s">
        <v>151</v>
      </c>
      <c r="E1589" s="227"/>
      <c r="F1589" s="180"/>
      <c r="G1589" s="484" t="s">
        <v>136</v>
      </c>
      <c r="H1589" s="182"/>
      <c r="I1589" s="182"/>
      <c r="J1589" s="182"/>
      <c r="K1589" s="183"/>
      <c r="L1589" s="182">
        <v>1</v>
      </c>
      <c r="M1589" s="182"/>
      <c r="N1589" s="182"/>
      <c r="O1589" s="183" t="s">
        <v>95</v>
      </c>
      <c r="P1589" s="183" t="s">
        <v>96</v>
      </c>
      <c r="Q1589" s="183" t="s">
        <v>97</v>
      </c>
      <c r="R1589" s="183">
        <v>25</v>
      </c>
      <c r="S1589" s="183">
        <v>0</v>
      </c>
      <c r="T1589" s="183">
        <v>25</v>
      </c>
      <c r="U1589" s="183" t="s">
        <v>22</v>
      </c>
      <c r="V1589" s="183"/>
      <c r="W1589" s="183"/>
      <c r="X1589" s="183"/>
      <c r="Y1589" s="184">
        <f>IF(ISBLANK(O1589),"",(IF(O1589=UPPER("IB"),0.005,0.01)))</f>
        <v>0.01</v>
      </c>
      <c r="Z1589" s="185">
        <f>IF(ISBLANK(O1589),"",IF(O1589="IB",8.63*200,IF(O1589="IR",16*100,IF(O1589="YT",20*100,IF(O1589="YT-XT",24*200,IF(O1589="TED",80*100))))))</f>
        <v>1600</v>
      </c>
      <c r="AA1589" s="185" t="s">
        <v>99</v>
      </c>
      <c r="AB1589" s="185" t="s">
        <v>5387</v>
      </c>
      <c r="AC1589" s="185" t="s">
        <v>5388</v>
      </c>
      <c r="AD1589" s="649">
        <v>-0.06</v>
      </c>
      <c r="AE1589" s="182"/>
      <c r="AF1589" s="332"/>
      <c r="AG1589" s="182"/>
      <c r="AH1589" s="182"/>
      <c r="AI1589" s="182"/>
      <c r="AJ1589" s="640"/>
      <c r="AK1589" s="182"/>
      <c r="AL1589" s="496">
        <f>-0.02*Z1589</f>
        <v>-32</v>
      </c>
      <c r="AM1589" s="496">
        <f t="shared" si="454"/>
        <v>-800</v>
      </c>
      <c r="AN1589" s="626"/>
      <c r="AO1589" s="182"/>
      <c r="AP1589" s="182"/>
      <c r="AQ1589" s="332" t="s">
        <v>372</v>
      </c>
      <c r="AR1589" s="182" t="s">
        <v>5389</v>
      </c>
      <c r="AS1589" s="189">
        <v>-0.1</v>
      </c>
      <c r="AT1589" s="189">
        <f>IF(ISBLANK(AS1589),,IF(U1589="S",AD1589-AS1589,AS1589-AD1589))</f>
        <v>-4.0000000000000008E-2</v>
      </c>
      <c r="AU1589" s="187">
        <f>AV1589*R1589</f>
        <v>-1600.0000000000005</v>
      </c>
      <c r="AV1589" s="190">
        <f t="shared" si="452"/>
        <v>-64.000000000000014</v>
      </c>
      <c r="AW1589" s="191" t="s">
        <v>229</v>
      </c>
      <c r="AX1589" s="407" t="s">
        <v>5390</v>
      </c>
      <c r="AY1589" s="407" t="s">
        <v>5391</v>
      </c>
      <c r="AZ1589" s="407" t="s">
        <v>5392</v>
      </c>
      <c r="BA1589" s="407"/>
      <c r="BB1589" s="407"/>
      <c r="BC1589" s="407"/>
      <c r="BD1589" s="407" t="s">
        <v>5393</v>
      </c>
      <c r="BE1589" s="407"/>
      <c r="BF1589" s="422"/>
      <c r="BG1589" s="391">
        <f>SUM($AV$1389:AV1589)</f>
        <v>1522.5156768034562</v>
      </c>
      <c r="BH1589" s="392">
        <f>SUM($AU$1389:AU1589)</f>
        <v>15839.979999999894</v>
      </c>
      <c r="BI1589" s="318">
        <f>SUMIFS($AU$1388:AU1590,$Q$1388:Q1590,"F")</f>
        <v>8804.4000000000015</v>
      </c>
      <c r="BJ1589" s="318">
        <f>SUMIFS($AU$1388:AU1590,$Q$1388:Q1590,"S")</f>
        <v>4815.9999999999927</v>
      </c>
      <c r="BK1589" s="343">
        <f>SUMIFS($AU$1388:AU1590,$P$1388:P1590,"W")</f>
        <v>9965.5799999999308</v>
      </c>
      <c r="BL1589" s="343">
        <f>SUMIFS($AU$1388:AU1590,$P$1388:P1590,"R")</f>
        <v>4206</v>
      </c>
      <c r="BM1589" s="343">
        <f>SUMIFS($AU$1388:AU1590,$AQ$1388:AQ1590,"M")</f>
        <v>4440.3799999996263</v>
      </c>
      <c r="BN1589" s="343">
        <f>SUMIFS($AU$1388:AU1590,$AQ$1388:AQ1590,"H")</f>
        <v>4035.2000000002604</v>
      </c>
      <c r="BO1589" s="343">
        <f>SUMIFS($AU$1388:AU1590,$AQ$1388:AQ1590,"D")</f>
        <v>2670.0000000000009</v>
      </c>
      <c r="BP1589" s="343">
        <f>SUMIFS($AU$1388:AU1592,$AQ$1388:AQ1592,"W")</f>
        <v>4998.4000000000005</v>
      </c>
      <c r="BQ1589" s="343">
        <f>SUMIFS($AU$1388:AU1590,$Q$1388:Q1590,"O")</f>
        <v>1683.5799999998865</v>
      </c>
      <c r="BR1589" s="343">
        <f>SUMIFS($AU$1388:AU1590,$AA$1388:AA1590,"*")</f>
        <v>13624.799999999781</v>
      </c>
      <c r="BS1589" s="343">
        <f>SUMIFS($AU$1388:AU1590,$AB$1388:AB1590,"*")</f>
        <v>4007.1799999999307</v>
      </c>
      <c r="BT1589" s="343">
        <f>SUMIFS($AU$1388:AU1590,$AC$1388:AC1590,"*")</f>
        <v>7028.4</v>
      </c>
      <c r="BU1589" s="343">
        <f>SUMIFS($AU$1388:AU1590,$AA$1388:AA1590,"*",$AB$1388:AB1590,"*")</f>
        <v>1855.9999999998222</v>
      </c>
      <c r="BV1589" s="343">
        <f>SUMIFS($AU$1388:AU1590,$AA$1388:AA1590,"*",$AC$1388:AC1590,"*")</f>
        <v>6564.4</v>
      </c>
      <c r="BW1589" s="343">
        <f>SUMIFS($AU$1388:AU1590,$AB$1388:AB1590,"*",$AC$1388:AC1590,"*")</f>
        <v>719.99999999999818</v>
      </c>
      <c r="BX1589" s="343">
        <f>SUMIFS($AV$1388:AV1590,$Q$1388:Q1590,"F")</f>
        <v>214.02786430960344</v>
      </c>
      <c r="BY1589" s="343">
        <f>SUMIFS($AV$1388:AV1590,$Q$1388:Q1590,"S")</f>
        <v>328.74781249396261</v>
      </c>
      <c r="BZ1589" s="343">
        <f>SUMIFS($AV$1388:AV1590,$Q$1388:Q1590,"O")</f>
        <v>491.73999999988246</v>
      </c>
    </row>
    <row r="1590" spans="1:78" ht="15.75" customHeight="1">
      <c r="A1590" s="177" t="s">
        <v>5180</v>
      </c>
      <c r="B1590" s="200">
        <v>45337</v>
      </c>
      <c r="C1590" s="178" t="s">
        <v>5394</v>
      </c>
      <c r="D1590" s="178" t="s">
        <v>93</v>
      </c>
      <c r="E1590" s="227" t="s">
        <v>5395</v>
      </c>
      <c r="F1590" s="180" t="s">
        <v>5396</v>
      </c>
      <c r="G1590" s="181"/>
      <c r="H1590" s="182"/>
      <c r="I1590" s="182"/>
      <c r="J1590" s="182"/>
      <c r="K1590" s="183"/>
      <c r="L1590" s="182"/>
      <c r="M1590" s="182"/>
      <c r="N1590" s="182"/>
      <c r="O1590" s="183"/>
      <c r="P1590" s="183"/>
      <c r="Q1590" s="183"/>
      <c r="R1590" s="183"/>
      <c r="S1590" s="183"/>
      <c r="T1590" s="183"/>
      <c r="U1590" s="183"/>
      <c r="V1590" s="183"/>
      <c r="W1590" s="183"/>
      <c r="X1590" s="183"/>
      <c r="Y1590" s="184"/>
      <c r="Z1590" s="185"/>
      <c r="AA1590" s="185"/>
      <c r="AB1590" s="185"/>
      <c r="AC1590" s="185"/>
      <c r="AD1590" s="649"/>
      <c r="AE1590" s="182"/>
      <c r="AF1590" s="332"/>
      <c r="AG1590" s="182"/>
      <c r="AH1590" s="182"/>
      <c r="AI1590" s="182"/>
      <c r="AJ1590" s="640"/>
      <c r="AK1590" s="182"/>
      <c r="AL1590" s="496">
        <f t="shared" si="455"/>
        <v>0</v>
      </c>
      <c r="AM1590" s="496">
        <f t="shared" si="454"/>
        <v>0</v>
      </c>
      <c r="AN1590" s="626"/>
      <c r="AO1590" s="182"/>
      <c r="AP1590" s="182"/>
      <c r="AQ1590" s="332" t="str">
        <f>UPPER(RIGHT(Journal_Live[[#This Row],[DURATION ]]))</f>
        <v/>
      </c>
      <c r="AR1590" s="182"/>
      <c r="AS1590" s="189"/>
      <c r="AT1590" s="189"/>
      <c r="AU1590" s="187"/>
      <c r="AV1590" s="190"/>
      <c r="AW1590" s="191"/>
      <c r="AX1590" s="407" t="s">
        <v>5397</v>
      </c>
      <c r="AY1590" s="407" t="s">
        <v>5398</v>
      </c>
      <c r="AZ1590" s="407" t="s">
        <v>5399</v>
      </c>
      <c r="BA1590" s="407" t="s">
        <v>5400</v>
      </c>
      <c r="BB1590" s="407"/>
      <c r="BC1590" s="407"/>
      <c r="BD1590" s="407"/>
      <c r="BE1590" s="407"/>
      <c r="BF1590" s="422"/>
      <c r="BG1590" s="391">
        <f>SUM($AV$1389:AV1590)</f>
        <v>1522.5156768034562</v>
      </c>
      <c r="BH1590" s="392">
        <f>SUM($AU$1389:AU1590)</f>
        <v>15839.979999999894</v>
      </c>
      <c r="BI1590" s="318">
        <f>SUMIFS($AU$1388:AU1591,$Q$1388:Q1591,"F")</f>
        <v>8804.4000000000015</v>
      </c>
      <c r="BJ1590" s="318">
        <f>SUMIFS($AU$1388:AU1591,$Q$1388:Q1591,"S")</f>
        <v>4815.9999999999927</v>
      </c>
      <c r="BK1590" s="343">
        <f>SUMIFS($AU$1388:AU1591,$P$1388:P1591,"W")</f>
        <v>9965.5799999999308</v>
      </c>
      <c r="BL1590" s="343">
        <f>SUMIFS($AU$1388:AU1591,$P$1388:P1591,"R")</f>
        <v>4206</v>
      </c>
      <c r="BM1590" s="343">
        <f>SUMIFS($AU$1388:AU1591,$AQ$1388:AQ1591,"M")</f>
        <v>4440.3799999996263</v>
      </c>
      <c r="BN1590" s="343">
        <f>SUMIFS($AU$1388:AU1591,$AQ$1388:AQ1591,"H")</f>
        <v>4035.2000000002604</v>
      </c>
      <c r="BO1590" s="343">
        <f>SUMIFS($AU$1388:AU1591,$AQ$1388:AQ1591,"D")</f>
        <v>2670.0000000000009</v>
      </c>
      <c r="BP1590" s="343">
        <f>SUMIFS($AU$1388:AU1593,$AQ$1388:AQ1593,"W")</f>
        <v>4998.4000000000005</v>
      </c>
      <c r="BQ1590" s="343">
        <f>SUMIFS($AU$1388:AU1591,$Q$1388:Q1591,"O")</f>
        <v>1683.5799999998865</v>
      </c>
      <c r="BR1590" s="343">
        <f>SUMIFS($AU$1388:AU1591,$AA$1388:AA1591,"*")</f>
        <v>13624.799999999781</v>
      </c>
      <c r="BS1590" s="343">
        <f>SUMIFS($AU$1388:AU1591,$AB$1388:AB1591,"*")</f>
        <v>4007.1799999999307</v>
      </c>
      <c r="BT1590" s="343">
        <f>SUMIFS($AU$1388:AU1591,$AC$1388:AC1591,"*")</f>
        <v>7028.4</v>
      </c>
      <c r="BU1590" s="343">
        <f>SUMIFS($AU$1388:AU1591,$AA$1388:AA1591,"*",$AB$1388:AB1591,"*")</f>
        <v>1855.9999999998222</v>
      </c>
      <c r="BV1590" s="343">
        <f>SUMIFS($AU$1388:AU1591,$AA$1388:AA1591,"*",$AC$1388:AC1591,"*")</f>
        <v>6564.4</v>
      </c>
      <c r="BW1590" s="343">
        <f>SUMIFS($AU$1388:AU1591,$AB$1388:AB1591,"*",$AC$1388:AC1591,"*")</f>
        <v>719.99999999999818</v>
      </c>
      <c r="BX1590" s="343">
        <f>SUMIFS($AV$1388:AV1591,$Q$1388:Q1591,"F")</f>
        <v>214.02786430960344</v>
      </c>
      <c r="BY1590" s="343">
        <f>SUMIFS($AV$1388:AV1591,$Q$1388:Q1591,"S")</f>
        <v>328.74781249396261</v>
      </c>
      <c r="BZ1590" s="343">
        <f>SUMIFS($AV$1388:AV1591,$Q$1388:Q1591,"O")</f>
        <v>491.73999999988246</v>
      </c>
    </row>
    <row r="1591" spans="1:78" ht="15.75" customHeight="1">
      <c r="A1591" s="177" t="s">
        <v>5180</v>
      </c>
      <c r="B1591" s="200">
        <v>45337</v>
      </c>
      <c r="C1591" s="178" t="s">
        <v>1255</v>
      </c>
      <c r="D1591" s="178" t="s">
        <v>93</v>
      </c>
      <c r="E1591" s="227" t="s">
        <v>5401</v>
      </c>
      <c r="F1591" s="180" t="s">
        <v>5402</v>
      </c>
      <c r="G1591" s="181"/>
      <c r="H1591" s="182"/>
      <c r="I1591" s="182"/>
      <c r="J1591" s="182">
        <v>1</v>
      </c>
      <c r="K1591" s="183" t="s">
        <v>115</v>
      </c>
      <c r="L1591" s="182"/>
      <c r="M1591" s="182"/>
      <c r="N1591" s="182"/>
      <c r="O1591" s="183"/>
      <c r="P1591" s="183"/>
      <c r="Q1591" s="183"/>
      <c r="R1591" s="183"/>
      <c r="S1591" s="183"/>
      <c r="T1591" s="183"/>
      <c r="U1591" s="183"/>
      <c r="V1591" s="183"/>
      <c r="W1591" s="183"/>
      <c r="X1591" s="183"/>
      <c r="Y1591" s="184"/>
      <c r="Z1591" s="185"/>
      <c r="AA1591" s="185"/>
      <c r="AB1591" s="185"/>
      <c r="AC1591" s="185"/>
      <c r="AD1591" s="649"/>
      <c r="AE1591" s="182"/>
      <c r="AF1591" s="332"/>
      <c r="AG1591" s="182"/>
      <c r="AH1591" s="182"/>
      <c r="AI1591" s="182"/>
      <c r="AJ1591" s="640"/>
      <c r="AK1591" s="182"/>
      <c r="AL1591" s="496">
        <f t="shared" si="455"/>
        <v>0</v>
      </c>
      <c r="AM1591" s="496">
        <f t="shared" si="454"/>
        <v>0</v>
      </c>
      <c r="AN1591" s="626"/>
      <c r="AO1591" s="182"/>
      <c r="AP1591" s="182"/>
      <c r="AQ1591" s="332" t="str">
        <f>UPPER(RIGHT(Journal_Live[[#This Row],[DURATION ]]))</f>
        <v/>
      </c>
      <c r="AR1591" s="182"/>
      <c r="AS1591" s="189"/>
      <c r="AT1591" s="189"/>
      <c r="AU1591" s="187"/>
      <c r="AV1591" s="190"/>
      <c r="AW1591" s="191"/>
      <c r="AX1591" s="407"/>
      <c r="AY1591" s="407"/>
      <c r="AZ1591" s="407"/>
      <c r="BA1591" s="407"/>
      <c r="BB1591" s="407"/>
      <c r="BC1591" s="407"/>
      <c r="BD1591" s="407"/>
      <c r="BE1591" s="407"/>
      <c r="BF1591" s="422"/>
      <c r="BG1591" s="391">
        <f>SUM($AV$1389:AV1591)</f>
        <v>1522.5156768034562</v>
      </c>
      <c r="BH1591" s="392">
        <f>SUM($AU$1389:AU1591)</f>
        <v>15839.979999999894</v>
      </c>
      <c r="BI1591" s="318">
        <f>SUMIFS($AU$1388:AU1599,$Q$1388:Q1599,"F")</f>
        <v>9348.4000000000015</v>
      </c>
      <c r="BJ1591" s="318">
        <f>SUMIFS($AU$1388:AU1599,$Q$1388:Q1599,"S")</f>
        <v>3503.9999999999918</v>
      </c>
      <c r="BK1591" s="343">
        <f>SUMIFS($AU$1388:AU1599,$P$1388:P1599,"W")</f>
        <v>9197.579999999929</v>
      </c>
      <c r="BL1591" s="343">
        <f>SUMIFS($AU$1388:AU1599,$P$1388:P1599,"R")</f>
        <v>5106</v>
      </c>
      <c r="BM1591" s="343">
        <f>SUMIFS($AU$1388:AU1599,$AQ$1388:AQ1599,"M")</f>
        <v>5139.3799999995472</v>
      </c>
      <c r="BN1591" s="343">
        <f>SUMIFS($AU$1388:AU1599,$AQ$1388:AQ1599,"H")</f>
        <v>3011.2000000002595</v>
      </c>
      <c r="BO1591" s="343">
        <f>SUMIFS($AU$1388:AU1599,$AQ$1388:AQ1599,"D")</f>
        <v>2670.0000000000009</v>
      </c>
      <c r="BP1591" s="343">
        <f>SUMIFS($AU$1388:AU1594,$AQ$1388:AQ1594,"W")</f>
        <v>4998.4000000000005</v>
      </c>
      <c r="BQ1591" s="343">
        <f>SUMIFS($AU$1388:AU1599,$Q$1388:Q1599,"O")</f>
        <v>1770.5799999998073</v>
      </c>
      <c r="BR1591" s="343">
        <f>SUMIFS($AU$1388:AU1599,$AA$1388:AA1599,"*")</f>
        <v>13843.799999999701</v>
      </c>
      <c r="BS1591" s="343">
        <f>SUMIFS($AU$1388:AU1599,$AB$1388:AB1599,"*")</f>
        <v>4007.1799999999307</v>
      </c>
      <c r="BT1591" s="343">
        <f>SUMIFS($AU$1388:AU1599,$AC$1388:AC1599,"*")</f>
        <v>7028.4</v>
      </c>
      <c r="BU1591" s="343">
        <f>SUMIFS($AU$1388:AU1599,$AA$1388:AA1599,"*",$AB$1388:AB1599,"*")</f>
        <v>1855.9999999998222</v>
      </c>
      <c r="BV1591" s="343">
        <f>SUMIFS($AU$1388:AU1599,$AA$1388:AA1599,"*",$AC$1388:AC1599,"*")</f>
        <v>6564.4</v>
      </c>
      <c r="BW1591" s="343">
        <f>SUMIFS($AU$1388:AU1599,$AB$1388:AB1599,"*",$AC$1388:AC1599,"*")</f>
        <v>719.99999999999818</v>
      </c>
      <c r="BX1591" s="343">
        <f>SUMIFS($AV$1388:AV1592,$Q$1388:Q1592,"F")</f>
        <v>214.02786430960344</v>
      </c>
      <c r="BY1591" s="343">
        <f>SUMIFS($AV$1388:AV1592,$Q$1388:Q1592,"S")</f>
        <v>328.74781249396261</v>
      </c>
      <c r="BZ1591" s="343">
        <f>SUMIFS($AV$1388:AV1592,$Q$1388:Q1592,"O")</f>
        <v>491.73999999988246</v>
      </c>
    </row>
    <row r="1592" spans="1:78" ht="15.75" customHeight="1">
      <c r="A1592" s="177" t="s">
        <v>5180</v>
      </c>
      <c r="B1592" s="200"/>
      <c r="C1592" s="178"/>
      <c r="D1592" s="178"/>
      <c r="E1592" s="227" t="s">
        <v>5403</v>
      </c>
      <c r="F1592" s="180" t="s">
        <v>5404</v>
      </c>
      <c r="G1592" s="181"/>
      <c r="H1592" s="182">
        <v>1</v>
      </c>
      <c r="I1592" s="182"/>
      <c r="J1592" s="182"/>
      <c r="K1592" s="183" t="s">
        <v>115</v>
      </c>
      <c r="L1592" s="182"/>
      <c r="M1592" s="182"/>
      <c r="N1592" s="182"/>
      <c r="O1592" s="183"/>
      <c r="P1592" s="183"/>
      <c r="Q1592" s="183"/>
      <c r="R1592" s="183"/>
      <c r="S1592" s="183"/>
      <c r="T1592" s="183"/>
      <c r="U1592" s="183"/>
      <c r="V1592" s="183"/>
      <c r="W1592" s="183"/>
      <c r="X1592" s="183"/>
      <c r="Y1592" s="184"/>
      <c r="Z1592" s="185"/>
      <c r="AA1592" s="185"/>
      <c r="AB1592" s="185"/>
      <c r="AC1592" s="185"/>
      <c r="AD1592" s="649"/>
      <c r="AE1592" s="182"/>
      <c r="AF1592" s="332"/>
      <c r="AG1592" s="182"/>
      <c r="AH1592" s="182"/>
      <c r="AI1592" s="182"/>
      <c r="AJ1592" s="640"/>
      <c r="AK1592" s="182"/>
      <c r="AL1592" s="496">
        <f t="shared" ref="AL1592:AL1596" si="456">-0.02*Z1592</f>
        <v>0</v>
      </c>
      <c r="AM1592" s="496">
        <f t="shared" si="454"/>
        <v>0</v>
      </c>
      <c r="AN1592" s="626"/>
      <c r="AO1592" s="182"/>
      <c r="AP1592" s="182"/>
      <c r="AQ1592" s="332" t="str">
        <f>UPPER(RIGHT(Journal_Live[[#This Row],[DURATION ]]))</f>
        <v/>
      </c>
      <c r="AR1592" s="182"/>
      <c r="AS1592" s="189"/>
      <c r="AT1592" s="189"/>
      <c r="AU1592" s="187"/>
      <c r="AV1592" s="190"/>
      <c r="AW1592" s="191"/>
      <c r="AX1592" s="407"/>
      <c r="AY1592" s="407"/>
      <c r="AZ1592" s="407"/>
      <c r="BA1592" s="407"/>
      <c r="BB1592" s="407"/>
      <c r="BC1592" s="407"/>
      <c r="BD1592" s="407"/>
      <c r="BE1592" s="407"/>
      <c r="BF1592" s="422"/>
      <c r="BG1592" s="391">
        <f>SUM($AV$1389:AV1592)</f>
        <v>1522.5156768034562</v>
      </c>
      <c r="BH1592" s="392">
        <f>SUM($AU$1389:AU1592)</f>
        <v>15839.979999999894</v>
      </c>
      <c r="BI1592" s="318">
        <f>SUMIFS($AU$1388:AU1593,$Q$1388:Q1593,"F")</f>
        <v>8804.4000000000015</v>
      </c>
      <c r="BJ1592" s="318">
        <f>SUMIFS($AU$1388:AU1593,$Q$1388:Q1593,"S")</f>
        <v>4527.9999999999927</v>
      </c>
      <c r="BK1592" s="343">
        <f>SUMIFS($AU$1388:AU1593,$P$1388:P1593,"W")</f>
        <v>9677.5799999999308</v>
      </c>
      <c r="BL1592" s="343">
        <f>SUMIFS($AU$1388:AU1593,$P$1388:P1593,"R")</f>
        <v>4206</v>
      </c>
      <c r="BM1592" s="343">
        <f>SUMIFS($AU$1388:AU1593,$AQ$1388:AQ1593,"M")</f>
        <v>4152.3799999996263</v>
      </c>
      <c r="BN1592" s="343">
        <f>SUMIFS($AU$1388:AU1593,$AQ$1388:AQ1593,"H")</f>
        <v>4035.2000000002604</v>
      </c>
      <c r="BO1592" s="343">
        <f>SUMIFS($AU$1388:AU1593,$AQ$1388:AQ1593,"D")</f>
        <v>2670.0000000000009</v>
      </c>
      <c r="BP1592" s="343">
        <f>SUMIFS($AU$1388:AU1595,$AQ$1388:AQ1595,"W")</f>
        <v>4998.4000000000005</v>
      </c>
      <c r="BQ1592" s="343">
        <f>SUMIFS($AU$1388:AU1593,$Q$1388:Q1593,"O")</f>
        <v>1683.5799999998865</v>
      </c>
      <c r="BR1592" s="343">
        <f>SUMIFS($AU$1388:AU1593,$AA$1388:AA1593,"*")</f>
        <v>13336.799999999781</v>
      </c>
      <c r="BS1592" s="343">
        <f>SUMIFS($AU$1388:AU1593,$AB$1388:AB1593,"*")</f>
        <v>4007.1799999999307</v>
      </c>
      <c r="BT1592" s="343">
        <f>SUMIFS($AU$1388:AU1593,$AC$1388:AC1593,"*")</f>
        <v>7028.4</v>
      </c>
      <c r="BU1592" s="343">
        <f>SUMIFS($AU$1388:AU1593,$AA$1388:AA1593,"*",$AB$1388:AB1593,"*")</f>
        <v>1855.9999999998222</v>
      </c>
      <c r="BV1592" s="343">
        <f>SUMIFS($AU$1388:AU1593,$AA$1388:AA1593,"*",$AC$1388:AC1593,"*")</f>
        <v>6564.4</v>
      </c>
      <c r="BW1592" s="343">
        <f>SUMIFS($AU$1388:AU1593,$AB$1388:AB1593,"*",$AC$1388:AC1593,"*")</f>
        <v>719.99999999999818</v>
      </c>
      <c r="BX1592" s="343">
        <f>SUMIFS($AV$1388:AV1593,$Q$1388:Q1593,"F")</f>
        <v>214.02786430960344</v>
      </c>
      <c r="BY1592" s="343">
        <f>SUMIFS($AV$1388:AV1593,$Q$1388:Q1593,"S")</f>
        <v>312.74781249396261</v>
      </c>
      <c r="BZ1592" s="343">
        <f>SUMIFS($AV$1388:AV1593,$Q$1388:Q1593,"O")</f>
        <v>491.73999999988246</v>
      </c>
    </row>
    <row r="1593" spans="1:78" ht="15.75" customHeight="1">
      <c r="A1593" s="177" t="s">
        <v>5180</v>
      </c>
      <c r="B1593" s="200">
        <v>45337</v>
      </c>
      <c r="C1593" s="178" t="s">
        <v>682</v>
      </c>
      <c r="D1593" s="178" t="s">
        <v>93</v>
      </c>
      <c r="E1593" s="227"/>
      <c r="F1593" s="180"/>
      <c r="G1593" s="484" t="s">
        <v>136</v>
      </c>
      <c r="H1593" s="182"/>
      <c r="I1593" s="182"/>
      <c r="J1593" s="182"/>
      <c r="K1593" s="183"/>
      <c r="L1593" s="182">
        <v>1</v>
      </c>
      <c r="M1593" s="182"/>
      <c r="N1593" s="182"/>
      <c r="O1593" s="183" t="s">
        <v>95</v>
      </c>
      <c r="P1593" s="183" t="s">
        <v>96</v>
      </c>
      <c r="Q1593" s="183" t="s">
        <v>97</v>
      </c>
      <c r="R1593" s="183">
        <v>18</v>
      </c>
      <c r="S1593" s="183">
        <v>0</v>
      </c>
      <c r="T1593" s="183">
        <v>18</v>
      </c>
      <c r="U1593" s="183" t="s">
        <v>22</v>
      </c>
      <c r="V1593" s="183"/>
      <c r="W1593" s="183"/>
      <c r="X1593" s="183"/>
      <c r="Y1593" s="184">
        <f t="shared" ref="Y1593:Y1599" si="457">IF(ISBLANK(O1593),"",(IF(O1593=UPPER("IB"),0.005,0.01)))</f>
        <v>0.01</v>
      </c>
      <c r="Z1593" s="185">
        <f>IF(ISBLANK(O1593),"",IF(O1593="IB",8.63*200,IF(O1593="IR",16*100,IF(O1593="YT",20*100,IF(O1593="YT-XT",24*200,IF(O1593="TED",80*100))))))</f>
        <v>1600</v>
      </c>
      <c r="AA1593" s="185" t="s">
        <v>5242</v>
      </c>
      <c r="AB1593" s="185"/>
      <c r="AC1593" s="185"/>
      <c r="AD1593" s="649">
        <v>-0.09</v>
      </c>
      <c r="AE1593" s="182"/>
      <c r="AF1593" s="332"/>
      <c r="AG1593" s="182"/>
      <c r="AH1593" s="182"/>
      <c r="AI1593" s="182"/>
      <c r="AJ1593" s="640"/>
      <c r="AK1593" s="182"/>
      <c r="AL1593" s="496">
        <f t="shared" si="456"/>
        <v>-32</v>
      </c>
      <c r="AM1593" s="496">
        <f t="shared" si="454"/>
        <v>-576</v>
      </c>
      <c r="AN1593" s="626"/>
      <c r="AO1593" s="182"/>
      <c r="AP1593" s="182"/>
      <c r="AQ1593" s="332" t="s">
        <v>1259</v>
      </c>
      <c r="AR1593" s="182" t="s">
        <v>5405</v>
      </c>
      <c r="AS1593" s="189">
        <v>-0.1</v>
      </c>
      <c r="AT1593" s="189">
        <f t="shared" ref="AT1593:AT1599" si="458">IF(ISBLANK(AS1593),,IF(U1593="S",AD1593-AS1593,AS1593-AD1593))</f>
        <v>-1.0000000000000009E-2</v>
      </c>
      <c r="AU1593" s="187">
        <f t="shared" ref="AU1593:AU1599" si="459">AV1593*R1593</f>
        <v>-288.00000000000023</v>
      </c>
      <c r="AV1593" s="190">
        <f t="shared" si="452"/>
        <v>-16.000000000000014</v>
      </c>
      <c r="AW1593" s="191" t="s">
        <v>229</v>
      </c>
      <c r="AX1593" s="407" t="s">
        <v>5406</v>
      </c>
      <c r="AY1593" s="407"/>
      <c r="AZ1593" s="407"/>
      <c r="BA1593" s="407"/>
      <c r="BB1593" s="407"/>
      <c r="BC1593" s="407"/>
      <c r="BD1593" s="407"/>
      <c r="BE1593" s="407"/>
      <c r="BF1593" s="422"/>
      <c r="BG1593" s="391">
        <f>SUM($AV$1389:AV1593)</f>
        <v>1506.5156768034562</v>
      </c>
      <c r="BH1593" s="392">
        <f>SUM($AU$1389:AU1593)</f>
        <v>15551.979999999894</v>
      </c>
      <c r="BI1593" s="318">
        <f>SUMIFS($AU$1388:AU1594,$Q$1388:Q1594,"F")</f>
        <v>8804.4000000000015</v>
      </c>
      <c r="BJ1593" s="318">
        <f>SUMIFS($AU$1388:AU1594,$Q$1388:Q1594,"S")</f>
        <v>4527.9999999999927</v>
      </c>
      <c r="BK1593" s="343">
        <f>SUMIFS($AU$1388:AU1594,$P$1388:P1594,"W")</f>
        <v>9677.5799999999308</v>
      </c>
      <c r="BL1593" s="343">
        <f>SUMIFS($AU$1388:AU1594,$P$1388:P1594,"R")</f>
        <v>4206</v>
      </c>
      <c r="BM1593" s="343">
        <f>SUMIFS($AU$1388:AU1594,$AQ$1388:AQ1594,"M")</f>
        <v>4239.3799999995472</v>
      </c>
      <c r="BN1593" s="343">
        <f>SUMIFS($AU$1388:AU1594,$AQ$1388:AQ1594,"H")</f>
        <v>4035.2000000002604</v>
      </c>
      <c r="BO1593" s="343">
        <f>SUMIFS($AU$1388:AU1594,$AQ$1388:AQ1594,"D")</f>
        <v>2670.0000000000009</v>
      </c>
      <c r="BP1593" s="343">
        <f>SUMIFS($AU$1388:AU1596,$AQ$1388:AQ1596,"W")</f>
        <v>4998.4000000000005</v>
      </c>
      <c r="BQ1593" s="343">
        <f>SUMIFS($AU$1388:AU1594,$Q$1388:Q1594,"O")</f>
        <v>1770.5799999998073</v>
      </c>
      <c r="BR1593" s="343">
        <f>SUMIFS($AU$1388:AU1594,$AA$1388:AA1594,"*")</f>
        <v>13423.799999999701</v>
      </c>
      <c r="BS1593" s="343">
        <f>SUMIFS($AU$1388:AU1594,$AB$1388:AB1594,"*")</f>
        <v>4007.1799999999307</v>
      </c>
      <c r="BT1593" s="343">
        <f>SUMIFS($AU$1388:AU1594,$AC$1388:AC1594,"*")</f>
        <v>7028.4</v>
      </c>
      <c r="BU1593" s="343">
        <f>SUMIFS($AU$1388:AU1594,$AA$1388:AA1594,"*",$AB$1388:AB1594,"*")</f>
        <v>1855.9999999998222</v>
      </c>
      <c r="BV1593" s="343">
        <f>SUMIFS($AU$1388:AU1594,$AA$1388:AA1594,"*",$AC$1388:AC1594,"*")</f>
        <v>6564.4</v>
      </c>
      <c r="BW1593" s="343">
        <f>SUMIFS($AU$1388:AU1594,$AB$1388:AB1594,"*",$AC$1388:AC1594,"*")</f>
        <v>719.99999999999818</v>
      </c>
      <c r="BX1593" s="343">
        <f>SUMIFS($AV$1388:AV1594,$Q$1388:Q1594,"F")</f>
        <v>214.02786430960344</v>
      </c>
      <c r="BY1593" s="343">
        <f>SUMIFS($AV$1388:AV1594,$Q$1388:Q1594,"S")</f>
        <v>312.74781249396261</v>
      </c>
      <c r="BZ1593" s="343">
        <f>SUMIFS($AV$1388:AV1594,$Q$1388:Q1594,"O")</f>
        <v>520.73999999985608</v>
      </c>
    </row>
    <row r="1594" spans="1:78" ht="15.75" customHeight="1">
      <c r="A1594" s="177" t="s">
        <v>5180</v>
      </c>
      <c r="B1594" s="200">
        <v>45337</v>
      </c>
      <c r="C1594" s="178" t="s">
        <v>682</v>
      </c>
      <c r="D1594" s="178" t="s">
        <v>93</v>
      </c>
      <c r="E1594" s="227"/>
      <c r="F1594" s="180"/>
      <c r="G1594" s="484" t="s">
        <v>4887</v>
      </c>
      <c r="H1594" s="182"/>
      <c r="I1594" s="182"/>
      <c r="J1594" s="182"/>
      <c r="K1594" s="183"/>
      <c r="L1594" s="182">
        <v>2</v>
      </c>
      <c r="M1594" s="182"/>
      <c r="N1594" s="182"/>
      <c r="O1594" s="183" t="s">
        <v>3618</v>
      </c>
      <c r="P1594" s="183" t="s">
        <v>2260</v>
      </c>
      <c r="Q1594" s="183" t="s">
        <v>684</v>
      </c>
      <c r="R1594" s="183">
        <v>3</v>
      </c>
      <c r="S1594" s="183">
        <v>0</v>
      </c>
      <c r="T1594" s="183">
        <v>1</v>
      </c>
      <c r="U1594" s="183" t="s">
        <v>22</v>
      </c>
      <c r="V1594" s="183"/>
      <c r="W1594" s="183"/>
      <c r="X1594" s="183"/>
      <c r="Y1594" s="184">
        <f t="shared" si="457"/>
        <v>0.01</v>
      </c>
      <c r="Z1594" s="185">
        <f>IF(ISBLANK(O1594),"",IF(O1594="IB",8.63*200,IF(O1594="IR",16*100,IF(O1594="YT",20*100,IF(O1594="YT-XT",24*200,IF(O1594="TED",80*100,IF(O1594="XT",29*200)))))))</f>
        <v>5800</v>
      </c>
      <c r="AA1594" s="185" t="s">
        <v>5231</v>
      </c>
      <c r="AB1594" s="185"/>
      <c r="AC1594" s="185"/>
      <c r="AD1594" s="649">
        <v>95.798000000000002</v>
      </c>
      <c r="AE1594" s="182"/>
      <c r="AF1594" s="332"/>
      <c r="AG1594" s="182"/>
      <c r="AH1594" s="182"/>
      <c r="AI1594" s="182"/>
      <c r="AJ1594" s="640"/>
      <c r="AK1594" s="182"/>
      <c r="AL1594" s="496">
        <f>-0.04*Z1594</f>
        <v>-232</v>
      </c>
      <c r="AM1594" s="496">
        <f t="shared" si="454"/>
        <v>-696</v>
      </c>
      <c r="AN1594" s="626"/>
      <c r="AO1594" s="182"/>
      <c r="AP1594" s="182" t="s">
        <v>1740</v>
      </c>
      <c r="AQ1594" s="332" t="s">
        <v>1259</v>
      </c>
      <c r="AR1594" s="182"/>
      <c r="AS1594" s="189">
        <v>95.802999999999997</v>
      </c>
      <c r="AT1594" s="189">
        <f t="shared" si="458"/>
        <v>4.9999999999954525E-3</v>
      </c>
      <c r="AU1594" s="187">
        <f t="shared" si="459"/>
        <v>86.999999999920874</v>
      </c>
      <c r="AV1594" s="190">
        <f t="shared" si="452"/>
        <v>28.999999999973625</v>
      </c>
      <c r="AW1594" s="191" t="s">
        <v>96</v>
      </c>
      <c r="AX1594" s="407" t="s">
        <v>5407</v>
      </c>
      <c r="AY1594" s="407" t="s">
        <v>5408</v>
      </c>
      <c r="AZ1594" s="407" t="s">
        <v>5409</v>
      </c>
      <c r="BA1594" s="407" t="s">
        <v>5410</v>
      </c>
      <c r="BB1594" s="407"/>
      <c r="BC1594" s="407"/>
      <c r="BD1594" s="407" t="s">
        <v>5409</v>
      </c>
      <c r="BE1594" s="407" t="s">
        <v>5411</v>
      </c>
      <c r="BF1594" s="422" t="s">
        <v>5412</v>
      </c>
      <c r="BG1594" s="391">
        <f>SUM($AV$1389:AV1594)</f>
        <v>1535.5156768034299</v>
      </c>
      <c r="BH1594" s="392">
        <f>SUM($AU$1389:AU1594)</f>
        <v>15638.979999999814</v>
      </c>
      <c r="BI1594" s="318">
        <f>SUMIFS($AU$1388:AU1595,$Q$1388:Q1595,"F")</f>
        <v>8804.4000000000015</v>
      </c>
      <c r="BJ1594" s="318">
        <f>SUMIFS($AU$1388:AU1595,$Q$1388:Q1595,"S")</f>
        <v>4527.9999999999927</v>
      </c>
      <c r="BK1594" s="343">
        <f>SUMIFS($AU$1388:AU1595,$P$1388:P1595,"W")</f>
        <v>9677.5799999999308</v>
      </c>
      <c r="BL1594" s="343">
        <f>SUMIFS($AU$1388:AU1595,$P$1388:P1595,"R")</f>
        <v>4506</v>
      </c>
      <c r="BM1594" s="343">
        <f>SUMIFS($AU$1388:AU1595,$AQ$1388:AQ1595,"M")</f>
        <v>4539.3799999995472</v>
      </c>
      <c r="BN1594" s="343">
        <f>SUMIFS($AU$1388:AU1595,$AQ$1388:AQ1595,"H")</f>
        <v>4035.2000000002604</v>
      </c>
      <c r="BO1594" s="343">
        <f>SUMIFS($AU$1388:AU1595,$AQ$1388:AQ1595,"D")</f>
        <v>2670.0000000000009</v>
      </c>
      <c r="BP1594" s="343">
        <f>SUMIFS($AU$1388:AU1597,$AQ$1388:AQ1597,"W")</f>
        <v>5542.4000000000005</v>
      </c>
      <c r="BQ1594" s="343">
        <f>SUMIFS($AU$1388:AU1595,$Q$1388:Q1595,"O")</f>
        <v>1770.5799999998073</v>
      </c>
      <c r="BR1594" s="343">
        <f>SUMIFS($AU$1388:AU1595,$AA$1388:AA1595,"*")</f>
        <v>13723.799999999701</v>
      </c>
      <c r="BS1594" s="343">
        <f>SUMIFS($AU$1388:AU1595,$AB$1388:AB1595,"*")</f>
        <v>4007.1799999999307</v>
      </c>
      <c r="BT1594" s="343">
        <f>SUMIFS($AU$1388:AU1595,$AC$1388:AC1595,"*")</f>
        <v>7028.4</v>
      </c>
      <c r="BU1594" s="343">
        <f>SUMIFS($AU$1388:AU1595,$AA$1388:AA1595,"*",$AB$1388:AB1595,"*")</f>
        <v>1855.9999999998222</v>
      </c>
      <c r="BV1594" s="343">
        <f>SUMIFS($AU$1388:AU1595,$AA$1388:AA1595,"*",$AC$1388:AC1595,"*")</f>
        <v>6564.4</v>
      </c>
      <c r="BW1594" s="343">
        <f>SUMIFS($AU$1388:AU1595,$AB$1388:AB1595,"*",$AC$1388:AC1595,"*")</f>
        <v>719.99999999999818</v>
      </c>
      <c r="BX1594" s="343">
        <f>SUMIFS($AV$1388:AV1595,$Q$1388:Q1595,"F")</f>
        <v>214.02786430960344</v>
      </c>
      <c r="BY1594" s="343">
        <f>SUMIFS($AV$1388:AV1595,$Q$1388:Q1595,"S")</f>
        <v>312.74781249396261</v>
      </c>
      <c r="BZ1594" s="343">
        <f>SUMIFS($AV$1388:AV1595,$Q$1388:Q1595,"O")</f>
        <v>520.73999999985608</v>
      </c>
    </row>
    <row r="1595" spans="1:78" ht="15.75" customHeight="1">
      <c r="A1595" s="177" t="s">
        <v>5180</v>
      </c>
      <c r="B1595" s="200">
        <v>45337</v>
      </c>
      <c r="C1595" s="178" t="s">
        <v>682</v>
      </c>
      <c r="D1595" s="178" t="s">
        <v>93</v>
      </c>
      <c r="E1595" s="227"/>
      <c r="F1595" s="180"/>
      <c r="G1595" s="181" t="s">
        <v>5025</v>
      </c>
      <c r="H1595" s="182"/>
      <c r="I1595" s="182"/>
      <c r="J1595" s="182"/>
      <c r="K1595" s="183"/>
      <c r="L1595" s="182">
        <v>1</v>
      </c>
      <c r="M1595" s="182"/>
      <c r="N1595" s="182"/>
      <c r="O1595" s="183" t="s">
        <v>5325</v>
      </c>
      <c r="P1595" s="183" t="s">
        <v>137</v>
      </c>
      <c r="Q1595" s="183"/>
      <c r="R1595" s="183">
        <v>1</v>
      </c>
      <c r="S1595" s="183">
        <v>0</v>
      </c>
      <c r="T1595" s="183">
        <v>1</v>
      </c>
      <c r="U1595" s="183" t="s">
        <v>22</v>
      </c>
      <c r="V1595" s="183"/>
      <c r="W1595" s="183"/>
      <c r="X1595" s="183"/>
      <c r="Y1595" s="184">
        <f t="shared" si="457"/>
        <v>0.01</v>
      </c>
      <c r="Z1595" s="185">
        <f>IF(ISBLANK(O1595),"",IF(O1595="IB",8.63*200,IF(O1595="IR",16*100,IF(O1595="YT",20*100,IF(O1595="YT-XT",24*200,IF(O1595="TED",80*100,IF(O1595="IR|YT",300*100)))))))</f>
        <v>30000</v>
      </c>
      <c r="AA1595" s="185" t="s">
        <v>5413</v>
      </c>
      <c r="AB1595" s="185"/>
      <c r="AC1595" s="185"/>
      <c r="AD1595" s="649">
        <v>-0.13</v>
      </c>
      <c r="AE1595" s="182"/>
      <c r="AF1595" s="332"/>
      <c r="AG1595" s="182"/>
      <c r="AH1595" s="182"/>
      <c r="AI1595" s="182"/>
      <c r="AJ1595" s="640"/>
      <c r="AK1595" s="182"/>
      <c r="AL1595" s="496">
        <f t="shared" si="456"/>
        <v>-600</v>
      </c>
      <c r="AM1595" s="496">
        <f t="shared" si="454"/>
        <v>-600</v>
      </c>
      <c r="AN1595" s="626"/>
      <c r="AO1595" s="182"/>
      <c r="AP1595" s="182" t="s">
        <v>1750</v>
      </c>
      <c r="AQ1595" s="332" t="s">
        <v>1259</v>
      </c>
      <c r="AR1595" s="182"/>
      <c r="AS1595" s="189">
        <v>-0.12</v>
      </c>
      <c r="AT1595" s="189">
        <f t="shared" si="458"/>
        <v>1.0000000000000009E-2</v>
      </c>
      <c r="AU1595" s="187">
        <f t="shared" si="459"/>
        <v>300.00000000000028</v>
      </c>
      <c r="AV1595" s="190">
        <f t="shared" si="452"/>
        <v>300.00000000000028</v>
      </c>
      <c r="AW1595" s="191" t="s">
        <v>96</v>
      </c>
      <c r="AX1595" s="407"/>
      <c r="AY1595" s="407"/>
      <c r="AZ1595" s="407"/>
      <c r="BA1595" s="407"/>
      <c r="BB1595" s="407"/>
      <c r="BC1595" s="407"/>
      <c r="BD1595" s="407"/>
      <c r="BE1595" s="407"/>
      <c r="BF1595" s="422"/>
      <c r="BG1595" s="391">
        <f>SUM($AV$1389:AV1595)</f>
        <v>1835.5156768034301</v>
      </c>
      <c r="BH1595" s="392">
        <f>SUM($AU$1389:AU1595)</f>
        <v>15938.979999999814</v>
      </c>
      <c r="BI1595" s="318">
        <f>SUMIFS($AU$1388:AU1596,$Q$1388:Q1596,"F")</f>
        <v>8804.4000000000015</v>
      </c>
      <c r="BJ1595" s="318">
        <f>SUMIFS($AU$1388:AU1596,$Q$1388:Q1596,"S")</f>
        <v>4527.9999999999927</v>
      </c>
      <c r="BK1595" s="343">
        <f>SUMIFS($AU$1388:AU1596,$P$1388:P1596,"W")</f>
        <v>9677.5799999999308</v>
      </c>
      <c r="BL1595" s="343">
        <f>SUMIFS($AU$1388:AU1596,$P$1388:P1596,"R")</f>
        <v>5106</v>
      </c>
      <c r="BM1595" s="343">
        <f>SUMIFS($AU$1388:AU1596,$AQ$1388:AQ1596,"M")</f>
        <v>5139.3799999995472</v>
      </c>
      <c r="BN1595" s="343">
        <f>SUMIFS($AU$1388:AU1596,$AQ$1388:AQ1596,"H")</f>
        <v>4035.2000000002604</v>
      </c>
      <c r="BO1595" s="343">
        <f>SUMIFS($AU$1388:AU1596,$AQ$1388:AQ1596,"D")</f>
        <v>2670.0000000000009</v>
      </c>
      <c r="BP1595" s="343">
        <f>SUMIFS($AU$1388:AU1598,$AQ$1388:AQ1598,"W")</f>
        <v>5542.4000000000005</v>
      </c>
      <c r="BQ1595" s="343">
        <f>SUMIFS($AU$1388:AU1596,$Q$1388:Q1596,"O")</f>
        <v>1770.5799999998073</v>
      </c>
      <c r="BR1595" s="343">
        <f>SUMIFS($AU$1388:AU1596,$AA$1388:AA1596,"*")</f>
        <v>14323.799999999701</v>
      </c>
      <c r="BS1595" s="343">
        <f>SUMIFS($AU$1388:AU1596,$AB$1388:AB1596,"*")</f>
        <v>4007.1799999999307</v>
      </c>
      <c r="BT1595" s="343">
        <f>SUMIFS($AU$1388:AU1596,$AC$1388:AC1596,"*")</f>
        <v>7028.4</v>
      </c>
      <c r="BU1595" s="343">
        <f>SUMIFS($AU$1388:AU1596,$AA$1388:AA1596,"*",$AB$1388:AB1596,"*")</f>
        <v>1855.9999999998222</v>
      </c>
      <c r="BV1595" s="343">
        <f>SUMIFS($AU$1388:AU1596,$AA$1388:AA1596,"*",$AC$1388:AC1596,"*")</f>
        <v>6564.4</v>
      </c>
      <c r="BW1595" s="343">
        <f>SUMIFS($AU$1388:AU1596,$AB$1388:AB1596,"*",$AC$1388:AC1596,"*")</f>
        <v>719.99999999999818</v>
      </c>
      <c r="BX1595" s="343">
        <f>SUMIFS($AV$1388:AV1596,$Q$1388:Q1596,"F")</f>
        <v>214.02786430960344</v>
      </c>
      <c r="BY1595" s="343">
        <f>SUMIFS($AV$1388:AV1596,$Q$1388:Q1596,"S")</f>
        <v>312.74781249396261</v>
      </c>
      <c r="BZ1595" s="343">
        <f>SUMIFS($AV$1388:AV1596,$Q$1388:Q1596,"O")</f>
        <v>520.73999999985608</v>
      </c>
    </row>
    <row r="1596" spans="1:78" ht="15.75" customHeight="1">
      <c r="A1596" s="177" t="s">
        <v>5180</v>
      </c>
      <c r="B1596" s="200">
        <v>45337</v>
      </c>
      <c r="C1596" s="178" t="s">
        <v>682</v>
      </c>
      <c r="D1596" s="178" t="s">
        <v>93</v>
      </c>
      <c r="E1596" s="227"/>
      <c r="F1596" s="180"/>
      <c r="G1596" s="181" t="s">
        <v>5321</v>
      </c>
      <c r="H1596" s="182"/>
      <c r="I1596" s="182"/>
      <c r="J1596" s="182"/>
      <c r="K1596" s="183"/>
      <c r="L1596" s="182">
        <v>1</v>
      </c>
      <c r="M1596" s="182"/>
      <c r="N1596" s="182"/>
      <c r="O1596" s="183" t="s">
        <v>5325</v>
      </c>
      <c r="P1596" s="183" t="s">
        <v>137</v>
      </c>
      <c r="Q1596" s="183"/>
      <c r="R1596" s="183">
        <v>1</v>
      </c>
      <c r="S1596" s="183">
        <v>0</v>
      </c>
      <c r="T1596" s="183">
        <v>1</v>
      </c>
      <c r="U1596" s="183" t="s">
        <v>22</v>
      </c>
      <c r="V1596" s="183"/>
      <c r="W1596" s="183"/>
      <c r="X1596" s="183"/>
      <c r="Y1596" s="184">
        <f t="shared" si="457"/>
        <v>0.01</v>
      </c>
      <c r="Z1596" s="185">
        <f>IF(ISBLANK(O1596),"",IF(O1596="IB",8.63*200,IF(O1596="IR",16*100,IF(O1596="YT",20*100,IF(O1596="YT-XT",24*200,IF(O1596="TED",80*100,IF(O1596="IR|YT",300*100)))))))</f>
        <v>30000</v>
      </c>
      <c r="AA1596" s="185" t="s">
        <v>5413</v>
      </c>
      <c r="AB1596" s="185"/>
      <c r="AC1596" s="185"/>
      <c r="AD1596" s="649">
        <v>-0.22</v>
      </c>
      <c r="AE1596" s="182"/>
      <c r="AF1596" s="332"/>
      <c r="AG1596" s="182"/>
      <c r="AH1596" s="182"/>
      <c r="AI1596" s="182"/>
      <c r="AJ1596" s="640"/>
      <c r="AK1596" s="182"/>
      <c r="AL1596" s="496">
        <f t="shared" si="456"/>
        <v>-600</v>
      </c>
      <c r="AM1596" s="496">
        <f t="shared" si="454"/>
        <v>-600</v>
      </c>
      <c r="AN1596" s="626"/>
      <c r="AO1596" s="182"/>
      <c r="AP1596" s="182" t="s">
        <v>5414</v>
      </c>
      <c r="AQ1596" s="332" t="s">
        <v>1259</v>
      </c>
      <c r="AR1596" s="182"/>
      <c r="AS1596" s="189">
        <v>-0.2</v>
      </c>
      <c r="AT1596" s="189">
        <f t="shared" si="458"/>
        <v>1.999999999999999E-2</v>
      </c>
      <c r="AU1596" s="187">
        <f t="shared" si="459"/>
        <v>599.99999999999966</v>
      </c>
      <c r="AV1596" s="190">
        <f t="shared" si="452"/>
        <v>599.99999999999966</v>
      </c>
      <c r="AW1596" s="191" t="s">
        <v>96</v>
      </c>
      <c r="AX1596" s="407" t="s">
        <v>5415</v>
      </c>
      <c r="AY1596" s="407" t="s">
        <v>3808</v>
      </c>
      <c r="AZ1596" s="407"/>
      <c r="BA1596" s="407"/>
      <c r="BB1596" s="407"/>
      <c r="BC1596" s="407"/>
      <c r="BD1596" s="407"/>
      <c r="BE1596" s="407"/>
      <c r="BF1596" s="422"/>
      <c r="BG1596" s="391">
        <f>SUM($AV$1389:AV1596)</f>
        <v>2435.5156768034299</v>
      </c>
      <c r="BH1596" s="392">
        <f>SUM($AU$1389:AU1596)</f>
        <v>16538.979999999814</v>
      </c>
      <c r="BI1596" s="318">
        <f>SUMIFS($AU$1388:AU1597,$Q$1388:Q1597,"F")</f>
        <v>9348.4000000000015</v>
      </c>
      <c r="BJ1596" s="318">
        <f>SUMIFS($AU$1388:AU1597,$Q$1388:Q1597,"S")</f>
        <v>4527.9999999999927</v>
      </c>
      <c r="BK1596" s="343">
        <f>SUMIFS($AU$1388:AU1597,$P$1388:P1597,"W")</f>
        <v>10221.579999999931</v>
      </c>
      <c r="BL1596" s="343">
        <f>SUMIFS($AU$1388:AU1597,$P$1388:P1597,"R")</f>
        <v>5106</v>
      </c>
      <c r="BM1596" s="343">
        <f>SUMIFS($AU$1388:AU1597,$AQ$1388:AQ1597,"M")</f>
        <v>5139.3799999995472</v>
      </c>
      <c r="BN1596" s="343">
        <f>SUMIFS($AU$1388:AU1597,$AQ$1388:AQ1597,"H")</f>
        <v>4035.2000000002604</v>
      </c>
      <c r="BO1596" s="343">
        <f>SUMIFS($AU$1388:AU1597,$AQ$1388:AQ1597,"D")</f>
        <v>2670.0000000000009</v>
      </c>
      <c r="BP1596" s="343">
        <f>SUMIFS($AU$1388:AU1599,$AQ$1388:AQ1599,"W")</f>
        <v>5542.4000000000005</v>
      </c>
      <c r="BQ1596" s="343">
        <f>SUMIFS($AU$1388:AU1597,$Q$1388:Q1597,"O")</f>
        <v>1770.5799999998073</v>
      </c>
      <c r="BR1596" s="343">
        <f>SUMIFS($AU$1388:AU1597,$AA$1388:AA1597,"*")</f>
        <v>14867.799999999701</v>
      </c>
      <c r="BS1596" s="343">
        <f>SUMIFS($AU$1388:AU1597,$AB$1388:AB1597,"*")</f>
        <v>4007.1799999999307</v>
      </c>
      <c r="BT1596" s="343">
        <f>SUMIFS($AU$1388:AU1597,$AC$1388:AC1597,"*")</f>
        <v>7028.4</v>
      </c>
      <c r="BU1596" s="343">
        <f>SUMIFS($AU$1388:AU1597,$AA$1388:AA1597,"*",$AB$1388:AB1597,"*")</f>
        <v>1855.9999999998222</v>
      </c>
      <c r="BV1596" s="343">
        <f>SUMIFS($AU$1388:AU1597,$AA$1388:AA1597,"*",$AC$1388:AC1597,"*")</f>
        <v>6564.4</v>
      </c>
      <c r="BW1596" s="343">
        <f>SUMIFS($AU$1388:AU1597,$AB$1388:AB1597,"*",$AC$1388:AC1597,"*")</f>
        <v>719.99999999999818</v>
      </c>
      <c r="BX1596" s="343">
        <f>SUMIFS($AV$1388:AV1597,$Q$1388:Q1597,"F")</f>
        <v>221.28119764293677</v>
      </c>
      <c r="BY1596" s="343">
        <f>SUMIFS($AV$1388:AV1597,$Q$1388:Q1597,"S")</f>
        <v>312.74781249396261</v>
      </c>
      <c r="BZ1596" s="343">
        <f>SUMIFS($AV$1388:AV1597,$Q$1388:Q1597,"O")</f>
        <v>520.73999999985608</v>
      </c>
    </row>
    <row r="1597" spans="1:78" ht="15.75" customHeight="1">
      <c r="A1597" s="177" t="s">
        <v>5180</v>
      </c>
      <c r="B1597" s="200">
        <v>45337</v>
      </c>
      <c r="C1597" s="178" t="s">
        <v>916</v>
      </c>
      <c r="D1597" s="178" t="s">
        <v>93</v>
      </c>
      <c r="E1597" s="227"/>
      <c r="F1597" s="180"/>
      <c r="G1597" s="484" t="s">
        <v>3467</v>
      </c>
      <c r="H1597" s="182"/>
      <c r="I1597" s="182"/>
      <c r="J1597" s="182"/>
      <c r="K1597" s="183"/>
      <c r="L1597" s="182">
        <v>1</v>
      </c>
      <c r="M1597" s="182">
        <v>1</v>
      </c>
      <c r="N1597" s="182"/>
      <c r="O1597" s="183" t="s">
        <v>95</v>
      </c>
      <c r="P1597" s="183" t="s">
        <v>96</v>
      </c>
      <c r="Q1597" s="183" t="s">
        <v>256</v>
      </c>
      <c r="R1597" s="183">
        <v>75</v>
      </c>
      <c r="S1597" s="183">
        <v>20</v>
      </c>
      <c r="T1597" s="183">
        <v>25</v>
      </c>
      <c r="U1597" s="183" t="s">
        <v>22</v>
      </c>
      <c r="V1597" s="183"/>
      <c r="W1597" s="183"/>
      <c r="X1597" s="183"/>
      <c r="Y1597" s="184">
        <f t="shared" si="457"/>
        <v>0.01</v>
      </c>
      <c r="Z1597" s="185">
        <f>IF(ISBLANK(O1597),"",IF(O1597="IB",8.63*200,IF(O1597="IR",16*100,IF(O1597="YT",20*100,IF(O1597="YT-XT",24*200,IF(O1597="TED",80*100))))))</f>
        <v>1600</v>
      </c>
      <c r="AA1597" s="185" t="s">
        <v>5416</v>
      </c>
      <c r="AB1597" s="185"/>
      <c r="AC1597" s="185"/>
      <c r="AD1597" s="649">
        <f>(0.01*50+25*0.02)/75</f>
        <v>1.3333333333333334E-2</v>
      </c>
      <c r="AE1597" s="182"/>
      <c r="AF1597" s="332"/>
      <c r="AG1597" s="182"/>
      <c r="AH1597" s="182" t="s">
        <v>5417</v>
      </c>
      <c r="AI1597" s="182"/>
      <c r="AJ1597" s="640"/>
      <c r="AK1597" s="182"/>
      <c r="AL1597" s="496">
        <f>-0.03*Z1597</f>
        <v>-48</v>
      </c>
      <c r="AM1597" s="496">
        <f t="shared" si="454"/>
        <v>-2640</v>
      </c>
      <c r="AN1597" s="626"/>
      <c r="AO1597" s="182"/>
      <c r="AP1597" s="182" t="s">
        <v>3769</v>
      </c>
      <c r="AQ1597" s="332" t="s">
        <v>96</v>
      </c>
      <c r="AR1597" s="182" t="s">
        <v>5418</v>
      </c>
      <c r="AS1597" s="189">
        <f>((0.012*20)+(0.02*45)+(0.02*10))/75</f>
        <v>1.7866666666666666E-2</v>
      </c>
      <c r="AT1597" s="189">
        <f t="shared" si="458"/>
        <v>4.5333333333333319E-3</v>
      </c>
      <c r="AU1597" s="187">
        <f t="shared" si="459"/>
        <v>543.99999999999989</v>
      </c>
      <c r="AV1597" s="190">
        <f t="shared" si="452"/>
        <v>7.2533333333333312</v>
      </c>
      <c r="AW1597" s="191" t="s">
        <v>96</v>
      </c>
      <c r="AX1597" s="407" t="s">
        <v>5419</v>
      </c>
      <c r="AY1597" s="407" t="s">
        <v>5420</v>
      </c>
      <c r="AZ1597" s="407" t="s">
        <v>5421</v>
      </c>
      <c r="BA1597" s="407" t="s">
        <v>5422</v>
      </c>
      <c r="BB1597" s="407" t="s">
        <v>5423</v>
      </c>
      <c r="BC1597" s="409" t="s">
        <v>5424</v>
      </c>
      <c r="BD1597" s="407" t="s">
        <v>5425</v>
      </c>
      <c r="BE1597" s="409" t="s">
        <v>5426</v>
      </c>
      <c r="BF1597" s="422"/>
      <c r="BG1597" s="391">
        <f>SUM($AV$1389:AV1597)</f>
        <v>2442.7690101367634</v>
      </c>
      <c r="BH1597" s="392">
        <f>SUM($AU$1389:AU1597)</f>
        <v>17082.979999999814</v>
      </c>
      <c r="BI1597" s="318">
        <f>SUMIFS($AU$1388:AU1598,$Q$1388:Q1598,"F")</f>
        <v>9348.4000000000015</v>
      </c>
      <c r="BJ1597" s="318">
        <f>SUMIFS($AU$1388:AU1598,$Q$1388:Q1598,"S")</f>
        <v>3503.9999999999918</v>
      </c>
      <c r="BK1597" s="343">
        <f>SUMIFS($AU$1388:AU1598,$P$1388:P1598,"W")</f>
        <v>9197.579999999929</v>
      </c>
      <c r="BL1597" s="343">
        <f>SUMIFS($AU$1388:AU1598,$P$1388:P1598,"R")</f>
        <v>5106</v>
      </c>
      <c r="BM1597" s="343">
        <f>SUMIFS($AU$1388:AU1598,$AQ$1388:AQ1598,"M")</f>
        <v>5139.3799999995472</v>
      </c>
      <c r="BN1597" s="343">
        <f>SUMIFS($AU$1388:AU1598,$AQ$1388:AQ1598,"H")</f>
        <v>3011.2000000002595</v>
      </c>
      <c r="BO1597" s="343">
        <f>SUMIFS($AU$1388:AU1598,$AQ$1388:AQ1598,"D")</f>
        <v>2670.0000000000009</v>
      </c>
      <c r="BP1597" s="343">
        <f>SUMIFS($AU$1388:AU1600,$AQ$1388:AQ1600,"W")</f>
        <v>5542.4000000000005</v>
      </c>
      <c r="BQ1597" s="343">
        <f>SUMIFS($AU$1388:AU1598,$Q$1388:Q1598,"O")</f>
        <v>1770.5799999998073</v>
      </c>
      <c r="BR1597" s="343">
        <f>SUMIFS($AU$1388:AU1598,$AA$1388:AA1598,"*")</f>
        <v>13843.799999999701</v>
      </c>
      <c r="BS1597" s="343">
        <f>SUMIFS($AU$1388:AU1598,$AB$1388:AB1598,"*")</f>
        <v>4007.1799999999307</v>
      </c>
      <c r="BT1597" s="343">
        <f>SUMIFS($AU$1388:AU1598,$AC$1388:AC1598,"*")</f>
        <v>7028.4</v>
      </c>
      <c r="BU1597" s="343">
        <f>SUMIFS($AU$1388:AU1598,$AA$1388:AA1598,"*",$AB$1388:AB1598,"*")</f>
        <v>1855.9999999998222</v>
      </c>
      <c r="BV1597" s="343">
        <f>SUMIFS($AU$1388:AU1598,$AA$1388:AA1598,"*",$AC$1388:AC1598,"*")</f>
        <v>6564.4</v>
      </c>
      <c r="BW1597" s="343">
        <f>SUMIFS($AU$1388:AU1598,$AB$1388:AB1598,"*",$AC$1388:AC1598,"*")</f>
        <v>719.99999999999818</v>
      </c>
      <c r="BX1597" s="343">
        <f>SUMIFS($AV$1388:AV1598,$Q$1388:Q1598,"F")</f>
        <v>221.28119764293677</v>
      </c>
      <c r="BY1597" s="343">
        <f>SUMIFS($AV$1388:AV1598,$Q$1388:Q1598,"S")</f>
        <v>296.74781249396261</v>
      </c>
      <c r="BZ1597" s="343">
        <f>SUMIFS($AV$1388:AV1598,$Q$1388:Q1598,"O")</f>
        <v>520.73999999985608</v>
      </c>
    </row>
    <row r="1598" spans="1:78" ht="15.75" customHeight="1">
      <c r="A1598" s="177" t="s">
        <v>5180</v>
      </c>
      <c r="B1598" s="200">
        <v>45337</v>
      </c>
      <c r="C1598" s="178" t="s">
        <v>682</v>
      </c>
      <c r="D1598" s="178" t="s">
        <v>93</v>
      </c>
      <c r="E1598" s="227"/>
      <c r="F1598" s="180"/>
      <c r="G1598" s="484" t="s">
        <v>181</v>
      </c>
      <c r="H1598" s="182"/>
      <c r="I1598" s="182"/>
      <c r="J1598" s="182"/>
      <c r="K1598" s="183"/>
      <c r="L1598" s="182">
        <v>1</v>
      </c>
      <c r="M1598" s="182"/>
      <c r="N1598" s="182"/>
      <c r="O1598" s="183" t="s">
        <v>95</v>
      </c>
      <c r="P1598" s="183" t="s">
        <v>96</v>
      </c>
      <c r="Q1598" s="183" t="s">
        <v>97</v>
      </c>
      <c r="R1598" s="183">
        <v>64</v>
      </c>
      <c r="S1598" s="183">
        <v>32</v>
      </c>
      <c r="T1598" s="183">
        <v>64</v>
      </c>
      <c r="U1598" s="183" t="s">
        <v>22</v>
      </c>
      <c r="V1598" s="183"/>
      <c r="W1598" s="183"/>
      <c r="X1598" s="183"/>
      <c r="Y1598" s="184">
        <f t="shared" si="457"/>
        <v>0.01</v>
      </c>
      <c r="Z1598" s="185">
        <f>IF(ISBLANK(O1598),"",IF(O1598="IB",8.63*200,IF(O1598="IR",16*100,IF(O1598="YT",20*100,IF(O1598="YT-XT",24*200,IF(O1598="TED",80*100))))))</f>
        <v>1600</v>
      </c>
      <c r="AA1598" s="185" t="s">
        <v>5347</v>
      </c>
      <c r="AB1598" s="185"/>
      <c r="AC1598" s="185"/>
      <c r="AD1598" s="649">
        <v>-0.06</v>
      </c>
      <c r="AE1598" s="182"/>
      <c r="AF1598" s="332"/>
      <c r="AG1598" s="182"/>
      <c r="AH1598" s="182"/>
      <c r="AI1598" s="182"/>
      <c r="AJ1598" s="640"/>
      <c r="AK1598" s="182"/>
      <c r="AL1598" s="496">
        <f>-0.025*Z1598</f>
        <v>-40</v>
      </c>
      <c r="AM1598" s="496">
        <f t="shared" si="454"/>
        <v>-1280</v>
      </c>
      <c r="AN1598" s="626"/>
      <c r="AO1598" s="182"/>
      <c r="AP1598" s="182" t="s">
        <v>2423</v>
      </c>
      <c r="AQ1598" s="332" t="s">
        <v>372</v>
      </c>
      <c r="AR1598" s="182" t="s">
        <v>5427</v>
      </c>
      <c r="AS1598" s="189">
        <f>((-0.07*32)+(-0.07*32))/64</f>
        <v>-7.0000000000000007E-2</v>
      </c>
      <c r="AT1598" s="189">
        <f t="shared" si="458"/>
        <v>-1.0000000000000009E-2</v>
      </c>
      <c r="AU1598" s="187">
        <f t="shared" si="459"/>
        <v>-1024.0000000000009</v>
      </c>
      <c r="AV1598" s="190">
        <f t="shared" si="452"/>
        <v>-16.000000000000014</v>
      </c>
      <c r="AW1598" s="191" t="s">
        <v>229</v>
      </c>
      <c r="AX1598" s="407" t="s">
        <v>5428</v>
      </c>
      <c r="AY1598" s="407" t="s">
        <v>5429</v>
      </c>
      <c r="AZ1598" s="407"/>
      <c r="BA1598" s="407" t="s">
        <v>5430</v>
      </c>
      <c r="BB1598" s="407" t="s">
        <v>5431</v>
      </c>
      <c r="BC1598" s="407" t="s">
        <v>5432</v>
      </c>
      <c r="BD1598" s="407"/>
      <c r="BE1598" s="407"/>
      <c r="BF1598" s="422"/>
      <c r="BG1598" s="391">
        <f>SUM($AV$1389:AV1598)</f>
        <v>2426.7690101367634</v>
      </c>
      <c r="BH1598" s="392">
        <f>SUM($AU$1389:AU1598)</f>
        <v>16058.979999999814</v>
      </c>
      <c r="BI1598" s="318">
        <f>SUMIFS($AU$1388:AU1599,$Q$1388:Q1599,"F")</f>
        <v>9348.4000000000015</v>
      </c>
      <c r="BJ1598" s="318">
        <f>SUMIFS($AU$1388:AU1599,$Q$1388:Q1599,"S")</f>
        <v>3503.9999999999918</v>
      </c>
      <c r="BK1598" s="343">
        <f>SUMIFS($AU$1388:AU1599,$P$1388:P1599,"W")</f>
        <v>9197.579999999929</v>
      </c>
      <c r="BL1598" s="343">
        <f>SUMIFS($AU$1388:AU1599,$P$1388:P1599,"R")</f>
        <v>5106</v>
      </c>
      <c r="BM1598" s="343">
        <f>SUMIFS($AU$1388:AU1599,$AQ$1388:AQ1599,"M")</f>
        <v>5139.3799999995472</v>
      </c>
      <c r="BN1598" s="343">
        <f>SUMIFS($AU$1388:AU1599,$AQ$1388:AQ1599,"H")</f>
        <v>3011.2000000002595</v>
      </c>
      <c r="BO1598" s="343">
        <f>SUMIFS($AU$1388:AU1599,$AQ$1388:AQ1599,"D")</f>
        <v>2670.0000000000009</v>
      </c>
      <c r="BP1598" s="343">
        <f>SUMIFS($AU$1388:AU1601,$AQ$1388:AQ1601,"W")</f>
        <v>5542.4000000000005</v>
      </c>
      <c r="BQ1598" s="343">
        <f>SUMIFS($AU$1388:AU1599,$Q$1388:Q1599,"O")</f>
        <v>1770.5799999998073</v>
      </c>
      <c r="BR1598" s="343">
        <f>SUMIFS($AU$1388:AU1599,$AA$1388:AA1599,"*")</f>
        <v>13843.799999999701</v>
      </c>
      <c r="BS1598" s="343">
        <f>SUMIFS($AU$1388:AU1599,$AB$1388:AB1599,"*")</f>
        <v>4007.1799999999307</v>
      </c>
      <c r="BT1598" s="343">
        <f>SUMIFS($AU$1388:AU1599,$AC$1388:AC1599,"*")</f>
        <v>7028.4</v>
      </c>
      <c r="BU1598" s="343">
        <f>SUMIFS($AU$1388:AU1599,$AA$1388:AA1599,"*",$AB$1388:AB1599,"*")</f>
        <v>1855.9999999998222</v>
      </c>
      <c r="BV1598" s="343">
        <f>SUMIFS($AU$1388:AU1599,$AA$1388:AA1599,"*",$AC$1388:AC1599,"*")</f>
        <v>6564.4</v>
      </c>
      <c r="BW1598" s="343">
        <f>SUMIFS($AU$1388:AU1599,$AB$1388:AB1599,"*",$AC$1388:AC1599,"*")</f>
        <v>719.99999999999818</v>
      </c>
      <c r="BX1598" s="343">
        <f>SUMIFS($AV$1388:AV1599,$Q$1388:Q1599,"F")</f>
        <v>221.28119764293677</v>
      </c>
      <c r="BY1598" s="343">
        <f>SUMIFS($AV$1388:AV1599,$Q$1388:Q1599,"S")</f>
        <v>296.74781249396261</v>
      </c>
      <c r="BZ1598" s="343">
        <f>SUMIFS($AV$1388:AV1599,$Q$1388:Q1599,"O")</f>
        <v>520.73999999985608</v>
      </c>
    </row>
    <row r="1599" spans="1:78" ht="15.75" customHeight="1">
      <c r="A1599" s="177" t="s">
        <v>5180</v>
      </c>
      <c r="B1599" s="200">
        <v>45337</v>
      </c>
      <c r="C1599" s="178" t="s">
        <v>916</v>
      </c>
      <c r="D1599" s="178" t="s">
        <v>93</v>
      </c>
      <c r="E1599" s="227"/>
      <c r="F1599" s="180"/>
      <c r="G1599" s="484" t="s">
        <v>2016</v>
      </c>
      <c r="H1599" s="182"/>
      <c r="I1599" s="182"/>
      <c r="J1599" s="182"/>
      <c r="K1599" s="183"/>
      <c r="L1599" s="182">
        <v>1</v>
      </c>
      <c r="M1599" s="182"/>
      <c r="N1599" s="182"/>
      <c r="O1599" s="183" t="s">
        <v>95</v>
      </c>
      <c r="P1599" s="183" t="s">
        <v>96</v>
      </c>
      <c r="Q1599" s="183" t="s">
        <v>97</v>
      </c>
      <c r="R1599" s="183">
        <v>25</v>
      </c>
      <c r="S1599" s="183">
        <v>0</v>
      </c>
      <c r="T1599" s="183">
        <v>25</v>
      </c>
      <c r="U1599" s="183" t="s">
        <v>97</v>
      </c>
      <c r="V1599" s="183"/>
      <c r="W1599" s="183"/>
      <c r="X1599" s="183"/>
      <c r="Y1599" s="184">
        <f t="shared" si="457"/>
        <v>0.01</v>
      </c>
      <c r="Z1599" s="185">
        <f>IF(ISBLANK(O1599),"",IF(O1599="IB",8.63*200,IF(O1599="IR",16*100,IF(O1599="YT",20*100,IF(O1599="YT-XT",24*200,IF(O1599="TED",80*100))))))</f>
        <v>1600</v>
      </c>
      <c r="AA1599" s="185"/>
      <c r="AB1599" s="185"/>
      <c r="AC1599" s="185" t="s">
        <v>5433</v>
      </c>
      <c r="AD1599" s="649">
        <v>-0.11</v>
      </c>
      <c r="AE1599" s="182"/>
      <c r="AF1599" s="332"/>
      <c r="AG1599" s="182"/>
      <c r="AH1599" s="182"/>
      <c r="AI1599" s="182"/>
      <c r="AJ1599" s="640"/>
      <c r="AK1599" s="182"/>
      <c r="AL1599" s="496">
        <f t="shared" si="455"/>
        <v>-32</v>
      </c>
      <c r="AM1599" s="496">
        <f t="shared" si="454"/>
        <v>-800</v>
      </c>
      <c r="AN1599" s="626"/>
      <c r="AO1599" s="182"/>
      <c r="AP1599" s="182"/>
      <c r="AQ1599" s="332" t="s">
        <v>1259</v>
      </c>
      <c r="AR1599" s="182"/>
      <c r="AS1599" s="189">
        <v>-0.11</v>
      </c>
      <c r="AT1599" s="189">
        <f t="shared" si="458"/>
        <v>0</v>
      </c>
      <c r="AU1599" s="187">
        <f t="shared" si="459"/>
        <v>0</v>
      </c>
      <c r="AV1599" s="190">
        <f t="shared" si="452"/>
        <v>0</v>
      </c>
      <c r="AW1599" s="191" t="s">
        <v>115</v>
      </c>
      <c r="AX1599" s="407"/>
      <c r="AY1599" s="407"/>
      <c r="AZ1599" s="407"/>
      <c r="BA1599" s="407"/>
      <c r="BB1599" s="407"/>
      <c r="BC1599" s="407"/>
      <c r="BD1599" s="407"/>
      <c r="BE1599" s="407"/>
      <c r="BF1599" s="422"/>
      <c r="BG1599" s="391">
        <f>SUM($AV$1389:AV1599)</f>
        <v>2426.7690101367634</v>
      </c>
      <c r="BH1599" s="392">
        <f>SUM($AU$1389:AU1599)</f>
        <v>16058.979999999814</v>
      </c>
      <c r="BI1599" s="318">
        <f>SUMIFS($AU$1388:AU1600,$Q$1388:Q1600,"F")</f>
        <v>9348.4000000000015</v>
      </c>
      <c r="BJ1599" s="318">
        <f>SUMIFS($AU$1388:AU1600,$Q$1388:Q1600,"S")</f>
        <v>3503.9999999999918</v>
      </c>
      <c r="BK1599" s="343">
        <f>SUMIFS($AU$1388:AU1600,$P$1388:P1600,"W")</f>
        <v>9197.579999999929</v>
      </c>
      <c r="BL1599" s="343">
        <f>SUMIFS($AU$1388:AU1600,$P$1388:P1600,"R")</f>
        <v>5106</v>
      </c>
      <c r="BM1599" s="343">
        <f>SUMIFS($AU$1388:AU1600,$AQ$1388:AQ1600,"M")</f>
        <v>5139.3799999995472</v>
      </c>
      <c r="BN1599" s="343">
        <f>SUMIFS($AU$1388:AU1600,$AQ$1388:AQ1600,"H")</f>
        <v>3011.2000000002595</v>
      </c>
      <c r="BO1599" s="343">
        <f>SUMIFS($AU$1388:AU1600,$AQ$1388:AQ1600,"D")</f>
        <v>2670.0000000000009</v>
      </c>
      <c r="BP1599" s="343">
        <f>SUMIFS($AU$1388:AU1602,$AQ$1388:AQ1602,"W")</f>
        <v>5542.4000000000005</v>
      </c>
      <c r="BQ1599" s="343">
        <f>SUMIFS($AU$1388:AU1600,$Q$1388:Q1600,"O")</f>
        <v>1770.5799999998073</v>
      </c>
      <c r="BR1599" s="343">
        <f>SUMIFS($AU$1388:AU1600,$AA$1388:AA1600,"*")</f>
        <v>13843.799999999701</v>
      </c>
      <c r="BS1599" s="343">
        <f>SUMIFS($AU$1388:AU1600,$AB$1388:AB1600,"*")</f>
        <v>4007.1799999999307</v>
      </c>
      <c r="BT1599" s="343">
        <f>SUMIFS($AU$1388:AU1600,$AC$1388:AC1600,"*")</f>
        <v>7028.4</v>
      </c>
      <c r="BU1599" s="343">
        <f>SUMIFS($AU$1388:AU1600,$AA$1388:AA1600,"*",$AB$1388:AB1600,"*")</f>
        <v>1855.9999999998222</v>
      </c>
      <c r="BV1599" s="343">
        <f>SUMIFS($AU$1388:AU1600,$AA$1388:AA1600,"*",$AC$1388:AC1600,"*")</f>
        <v>6564.4</v>
      </c>
      <c r="BW1599" s="343">
        <f>SUMIFS($AU$1388:AU1600,$AB$1388:AB1600,"*",$AC$1388:AC1600,"*")</f>
        <v>719.99999999999818</v>
      </c>
      <c r="BX1599" s="343">
        <f>SUMIFS($AV$1388:AV1600,$Q$1388:Q1600,"F")</f>
        <v>221.28119764293677</v>
      </c>
      <c r="BY1599" s="343">
        <f>SUMIFS($AV$1388:AV1600,$Q$1388:Q1600,"S")</f>
        <v>296.74781249396261</v>
      </c>
      <c r="BZ1599" s="343">
        <f>SUMIFS($AV$1388:AV1600,$Q$1388:Q1600,"O")</f>
        <v>520.73999999985608</v>
      </c>
    </row>
    <row r="1600" spans="1:78" ht="15.75" customHeight="1">
      <c r="A1600" s="177" t="s">
        <v>5180</v>
      </c>
      <c r="B1600" s="200"/>
      <c r="C1600" s="178"/>
      <c r="D1600" s="178"/>
      <c r="E1600" s="227"/>
      <c r="F1600" s="180"/>
      <c r="G1600" s="181"/>
      <c r="H1600" s="182"/>
      <c r="I1600" s="182"/>
      <c r="J1600" s="182"/>
      <c r="K1600" s="183"/>
      <c r="L1600" s="182"/>
      <c r="M1600" s="182"/>
      <c r="N1600" s="182"/>
      <c r="O1600" s="183"/>
      <c r="P1600" s="183"/>
      <c r="Q1600" s="183"/>
      <c r="R1600" s="183"/>
      <c r="S1600" s="183"/>
      <c r="T1600" s="183"/>
      <c r="U1600" s="183"/>
      <c r="V1600" s="183"/>
      <c r="W1600" s="183"/>
      <c r="X1600" s="183"/>
      <c r="Y1600" s="184"/>
      <c r="Z1600" s="185"/>
      <c r="AA1600" s="185"/>
      <c r="AB1600" s="185"/>
      <c r="AC1600" s="185"/>
      <c r="AD1600" s="649"/>
      <c r="AE1600" s="182"/>
      <c r="AF1600" s="332"/>
      <c r="AG1600" s="182"/>
      <c r="AH1600" s="182"/>
      <c r="AI1600" s="182"/>
      <c r="AJ1600" s="640"/>
      <c r="AK1600" s="182"/>
      <c r="AL1600" s="496">
        <f t="shared" si="453"/>
        <v>0</v>
      </c>
      <c r="AM1600" s="496">
        <f t="shared" si="454"/>
        <v>0</v>
      </c>
      <c r="AN1600" s="626"/>
      <c r="AO1600" s="182"/>
      <c r="AP1600" s="182"/>
      <c r="AQ1600" s="332" t="str">
        <f>UPPER(RIGHT(Journal_Live[[#This Row],[DURATION ]]))</f>
        <v/>
      </c>
      <c r="AR1600" s="182"/>
      <c r="AS1600" s="189"/>
      <c r="AT1600" s="189"/>
      <c r="AU1600" s="187"/>
      <c r="AV1600" s="190"/>
      <c r="AW1600" s="191"/>
      <c r="AX1600" s="409" t="s">
        <v>5434</v>
      </c>
      <c r="AY1600" s="407" t="s">
        <v>5435</v>
      </c>
      <c r="AZ1600" s="407" t="s">
        <v>5436</v>
      </c>
      <c r="BA1600" s="407" t="s">
        <v>5437</v>
      </c>
      <c r="BB1600" s="407" t="s">
        <v>5438</v>
      </c>
      <c r="BC1600" s="407" t="s">
        <v>5439</v>
      </c>
      <c r="BD1600" s="407" t="s">
        <v>5440</v>
      </c>
      <c r="BE1600" s="407"/>
      <c r="BF1600" s="422"/>
      <c r="BG1600" s="391">
        <f>SUM($AV$1389:AV1600)</f>
        <v>2426.7690101367634</v>
      </c>
      <c r="BH1600" s="392">
        <f>SUM($AU$1389:AU1600)</f>
        <v>16058.979999999814</v>
      </c>
      <c r="BI1600" s="318">
        <f>SUMIFS($AU$1388:AU1601,$Q$1388:Q1601,"F")</f>
        <v>9348.4000000000015</v>
      </c>
      <c r="BJ1600" s="318">
        <f>SUMIFS($AU$1388:AU1601,$Q$1388:Q1601,"S")</f>
        <v>3503.9999999999918</v>
      </c>
      <c r="BK1600" s="343">
        <f>SUMIFS($AU$1388:AU1601,$P$1388:P1601,"W")</f>
        <v>9197.579999999929</v>
      </c>
      <c r="BL1600" s="343">
        <f>SUMIFS($AU$1388:AU1601,$P$1388:P1601,"R")</f>
        <v>5106</v>
      </c>
      <c r="BM1600" s="343">
        <f>SUMIFS($AU$1388:AU1601,$AQ$1388:AQ1601,"M")</f>
        <v>5139.3799999995472</v>
      </c>
      <c r="BN1600" s="343">
        <f>SUMIFS($AU$1388:AU1601,$AQ$1388:AQ1601,"H")</f>
        <v>3011.2000000002595</v>
      </c>
      <c r="BO1600" s="343">
        <f>SUMIFS($AU$1388:AU1601,$AQ$1388:AQ1601,"D")</f>
        <v>2670.0000000000009</v>
      </c>
      <c r="BP1600" s="343">
        <f>SUMIFS($AU$1388:AU1603,$AQ$1388:AQ1603,"W")</f>
        <v>5542.4000000000005</v>
      </c>
      <c r="BQ1600" s="343">
        <f>SUMIFS($AU$1388:AU1601,$Q$1388:Q1601,"O")</f>
        <v>1770.5799999998073</v>
      </c>
      <c r="BR1600" s="343">
        <f>SUMIFS($AU$1388:AU1601,$AA$1388:AA1601,"*")</f>
        <v>13843.799999999701</v>
      </c>
      <c r="BS1600" s="343">
        <f>SUMIFS($AU$1388:AU1601,$AB$1388:AB1601,"*")</f>
        <v>4007.1799999999307</v>
      </c>
      <c r="BT1600" s="343">
        <f>SUMIFS($AU$1388:AU1601,$AC$1388:AC1601,"*")</f>
        <v>7028.4</v>
      </c>
      <c r="BU1600" s="343">
        <f>SUMIFS($AU$1388:AU1601,$AA$1388:AA1601,"*",$AB$1388:AB1601,"*")</f>
        <v>1855.9999999998222</v>
      </c>
      <c r="BV1600" s="343">
        <f>SUMIFS($AU$1388:AU1601,$AA$1388:AA1601,"*",$AC$1388:AC1601,"*")</f>
        <v>6564.4</v>
      </c>
      <c r="BW1600" s="343">
        <f>SUMIFS($AU$1388:AU1601,$AB$1388:AB1601,"*",$AC$1388:AC1601,"*")</f>
        <v>719.99999999999818</v>
      </c>
      <c r="BX1600" s="343">
        <f>SUMIFS($AV$1388:AV1601,$Q$1388:Q1601,"F")</f>
        <v>221.28119764293677</v>
      </c>
      <c r="BY1600" s="343">
        <f>SUMIFS($AV$1388:AV1601,$Q$1388:Q1601,"S")</f>
        <v>296.74781249396261</v>
      </c>
      <c r="BZ1600" s="343">
        <f>SUMIFS($AV$1388:AV1601,$Q$1388:Q1601,"O")</f>
        <v>520.73999999985608</v>
      </c>
    </row>
    <row r="1601" spans="1:78" ht="15.75" customHeight="1">
      <c r="A1601" s="177" t="s">
        <v>5180</v>
      </c>
      <c r="B1601" s="200"/>
      <c r="C1601" s="178"/>
      <c r="D1601" s="178"/>
      <c r="E1601" s="227"/>
      <c r="F1601" s="180"/>
      <c r="G1601" s="181"/>
      <c r="H1601" s="182"/>
      <c r="I1601" s="182"/>
      <c r="J1601" s="182"/>
      <c r="K1601" s="183"/>
      <c r="L1601" s="182"/>
      <c r="M1601" s="182"/>
      <c r="N1601" s="182"/>
      <c r="O1601" s="183"/>
      <c r="P1601" s="183"/>
      <c r="Q1601" s="183"/>
      <c r="R1601" s="183"/>
      <c r="S1601" s="183"/>
      <c r="T1601" s="183"/>
      <c r="U1601" s="183"/>
      <c r="V1601" s="183"/>
      <c r="W1601" s="183"/>
      <c r="X1601" s="183"/>
      <c r="Y1601" s="184"/>
      <c r="Z1601" s="185"/>
      <c r="AA1601" s="185"/>
      <c r="AB1601" s="185"/>
      <c r="AC1601" s="185"/>
      <c r="AD1601" s="649"/>
      <c r="AE1601" s="182"/>
      <c r="AF1601" s="332"/>
      <c r="AG1601" s="182"/>
      <c r="AH1601" s="182"/>
      <c r="AI1601" s="182"/>
      <c r="AJ1601" s="640"/>
      <c r="AK1601" s="182"/>
      <c r="AL1601" s="496">
        <f t="shared" ref="AL1601:AL1636" si="460">-0.02*Z1601</f>
        <v>0</v>
      </c>
      <c r="AM1601" s="496">
        <f t="shared" si="454"/>
        <v>0</v>
      </c>
      <c r="AN1601" s="626"/>
      <c r="AO1601" s="182"/>
      <c r="AP1601" s="182"/>
      <c r="AQ1601" s="332" t="str">
        <f>UPPER(RIGHT(Journal_Live[[#This Row],[DURATION ]]))</f>
        <v/>
      </c>
      <c r="AR1601" s="182"/>
      <c r="AS1601" s="189"/>
      <c r="AT1601" s="189"/>
      <c r="AU1601" s="187"/>
      <c r="AV1601" s="190"/>
      <c r="AW1601" s="191"/>
      <c r="AX1601" s="409" t="s">
        <v>5441</v>
      </c>
      <c r="AY1601" s="409" t="s">
        <v>5442</v>
      </c>
      <c r="AZ1601" s="407" t="s">
        <v>5443</v>
      </c>
      <c r="BA1601" s="407" t="s">
        <v>5444</v>
      </c>
      <c r="BB1601" s="407"/>
      <c r="BC1601" s="407"/>
      <c r="BD1601" s="407"/>
      <c r="BE1601" s="407"/>
      <c r="BF1601" s="422"/>
      <c r="BG1601" s="391">
        <f>SUM($AV$1389:AV1601)</f>
        <v>2426.7690101367634</v>
      </c>
      <c r="BH1601" s="392">
        <f>SUM($AU$1389:AU1601)</f>
        <v>16058.979999999814</v>
      </c>
      <c r="BI1601" s="318">
        <f>SUMIFS($AU$1388:AU1619,$Q$1388:Q1619,"F")</f>
        <v>9348.4000000000015</v>
      </c>
      <c r="BJ1601" s="318">
        <f>SUMIFS($AU$1388:AU1619,$Q$1388:Q1619,"S")</f>
        <v>3503.9999999999918</v>
      </c>
      <c r="BK1601" s="343">
        <f>SUMIFS($AU$1388:AU1619,$P$1388:P1619,"W")</f>
        <v>9197.579999999929</v>
      </c>
      <c r="BL1601" s="343">
        <f>SUMIFS($AU$1388:AU1619,$P$1388:P1619,"R")</f>
        <v>4066</v>
      </c>
      <c r="BM1601" s="343">
        <f>SUMIFS($AU$1388:AU1619,$AQ$1388:AQ1619,"M")</f>
        <v>5219.3799999995472</v>
      </c>
      <c r="BN1601" s="343">
        <f>SUMIFS($AU$1388:AU1619,$AQ$1388:AQ1619,"H")</f>
        <v>3251.2000000002595</v>
      </c>
      <c r="BO1601" s="343">
        <f>SUMIFS($AU$1388:AU1619,$AQ$1388:AQ1619,"D")</f>
        <v>1310.0000000000011</v>
      </c>
      <c r="BP1601" s="343">
        <f>SUMIFS($AU$1388:AU1604,$AQ$1388:AQ1604,"W")</f>
        <v>5542.4000000000005</v>
      </c>
      <c r="BQ1601" s="343">
        <f>SUMIFS($AU$1388:AU1619,$Q$1388:Q1619,"O")</f>
        <v>1770.5799999998073</v>
      </c>
      <c r="BR1601" s="343">
        <f>SUMIFS($AU$1388:AU1619,$AA$1388:AA1619,"*")</f>
        <v>12803.799999999701</v>
      </c>
      <c r="BS1601" s="343">
        <f>SUMIFS($AU$1388:AU1619,$AB$1388:AB1619,"*")</f>
        <v>4007.1799999999307</v>
      </c>
      <c r="BT1601" s="343">
        <f>SUMIFS($AU$1388:AU1619,$AC$1388:AC1619,"*")</f>
        <v>7028.4</v>
      </c>
      <c r="BU1601" s="343">
        <f>SUMIFS($AU$1388:AU1619,$AA$1388:AA1619,"*",$AB$1388:AB1619,"*")</f>
        <v>1855.9999999998222</v>
      </c>
      <c r="BV1601" s="343">
        <f>SUMIFS($AU$1388:AU1619,$AA$1388:AA1619,"*",$AC$1388:AC1619,"*")</f>
        <v>6564.4</v>
      </c>
      <c r="BW1601" s="343">
        <f>SUMIFS($AU$1388:AU1619,$AB$1388:AB1619,"*",$AC$1388:AC1619,"*")</f>
        <v>719.99999999999818</v>
      </c>
      <c r="BX1601" s="343">
        <f>SUMIFS($AV$1388:AV1619,$Q$1388:Q1619,"F")</f>
        <v>221.28119764293677</v>
      </c>
      <c r="BY1601" s="343">
        <f>SUMIFS($AV$1388:AV1619,$Q$1388:Q1619,"S")</f>
        <v>296.74781249396261</v>
      </c>
      <c r="BZ1601" s="343">
        <f>SUMIFS($AV$1388:AV1619,$Q$1388:Q1619,"O")</f>
        <v>520.73999999985608</v>
      </c>
    </row>
    <row r="1602" spans="1:78" ht="15.75" customHeight="1">
      <c r="A1602" s="177" t="s">
        <v>5180</v>
      </c>
      <c r="B1602" s="200">
        <v>45338</v>
      </c>
      <c r="C1602" s="178" t="s">
        <v>1714</v>
      </c>
      <c r="D1602" s="178" t="s">
        <v>111</v>
      </c>
      <c r="E1602" s="227"/>
      <c r="F1602" s="180"/>
      <c r="G1602" s="484" t="s">
        <v>5012</v>
      </c>
      <c r="H1602" s="182"/>
      <c r="I1602" s="182"/>
      <c r="J1602" s="182"/>
      <c r="K1602" s="183"/>
      <c r="L1602" s="182">
        <v>1</v>
      </c>
      <c r="M1602" s="182"/>
      <c r="N1602" s="182"/>
      <c r="O1602" s="183" t="s">
        <v>2652</v>
      </c>
      <c r="P1602" s="183" t="s">
        <v>137</v>
      </c>
      <c r="Q1602" s="183"/>
      <c r="R1602" s="183">
        <v>1</v>
      </c>
      <c r="S1602" s="183">
        <v>0</v>
      </c>
      <c r="T1602" s="183">
        <v>1</v>
      </c>
      <c r="U1602" s="183" t="s">
        <v>22</v>
      </c>
      <c r="V1602" s="183"/>
      <c r="W1602" s="183"/>
      <c r="X1602" s="183"/>
      <c r="Y1602" s="184">
        <f>IF(ISBLANK(O1602),"",(IF(O1602=UPPER("IB"),0.005,0.01)))</f>
        <v>0.01</v>
      </c>
      <c r="Z1602" s="185">
        <f>IF(ISBLANK(O1602),"",IF(O1602="IB",8.63*200,IF(O1602="IR",16*100,IF(O1602="YT",20*100,IF(O1602="YT-XT",24*200,IF(O1602="TED",80*100))))))</f>
        <v>8000</v>
      </c>
      <c r="AA1602" s="185" t="s">
        <v>5445</v>
      </c>
      <c r="AB1602" s="185"/>
      <c r="AC1602" s="185"/>
      <c r="AD1602" s="649">
        <v>-0.06</v>
      </c>
      <c r="AE1602" s="182"/>
      <c r="AF1602" s="332"/>
      <c r="AG1602" s="182"/>
      <c r="AH1602" s="182"/>
      <c r="AI1602" s="182"/>
      <c r="AJ1602" s="640"/>
      <c r="AK1602" s="182"/>
      <c r="AL1602" s="496">
        <f t="shared" si="460"/>
        <v>-160</v>
      </c>
      <c r="AM1602" s="496">
        <f t="shared" si="454"/>
        <v>-160</v>
      </c>
      <c r="AN1602" s="626"/>
      <c r="AO1602" s="182"/>
      <c r="AP1602" s="182" t="s">
        <v>1897</v>
      </c>
      <c r="AQ1602" s="332" t="s">
        <v>372</v>
      </c>
      <c r="AR1602" s="182" t="s">
        <v>5446</v>
      </c>
      <c r="AS1602" s="189">
        <v>-0.05</v>
      </c>
      <c r="AT1602" s="189">
        <f>IF(ISBLANK(AS1602),,IF(U1602="S",AD1602-AS1602,AS1602-AD1602))</f>
        <v>9.999999999999995E-3</v>
      </c>
      <c r="AU1602" s="187">
        <f>AV1602*R1602</f>
        <v>79.999999999999957</v>
      </c>
      <c r="AV1602" s="190">
        <f>IF(ISBLANK(AS1602),,(AT1602*Z1602))</f>
        <v>79.999999999999957</v>
      </c>
      <c r="AW1602" s="191" t="s">
        <v>96</v>
      </c>
      <c r="AX1602" s="407" t="s">
        <v>5447</v>
      </c>
      <c r="AY1602" s="407" t="s">
        <v>5448</v>
      </c>
      <c r="AZ1602" s="407"/>
      <c r="BA1602" s="407"/>
      <c r="BB1602" s="407"/>
      <c r="BC1602" s="407"/>
      <c r="BD1602" s="407" t="s">
        <v>5054</v>
      </c>
      <c r="BE1602" s="407" t="s">
        <v>5055</v>
      </c>
      <c r="BF1602" s="422" t="s">
        <v>5056</v>
      </c>
      <c r="BG1602" s="391">
        <f>SUM($AV$1389:AV1602)</f>
        <v>2506.7690101367634</v>
      </c>
      <c r="BH1602" s="392">
        <f>SUM($AU$1389:AU1602)</f>
        <v>16138.979999999814</v>
      </c>
      <c r="BI1602" s="318">
        <f>SUMIFS($AU$1388:AU1603,$Q$1388:Q1603,"F")</f>
        <v>9348.4000000000015</v>
      </c>
      <c r="BJ1602" s="318">
        <f>SUMIFS($AU$1388:AU1603,$Q$1388:Q1603,"S")</f>
        <v>3503.9999999999918</v>
      </c>
      <c r="BK1602" s="343">
        <f>SUMIFS($AU$1388:AU1603,$P$1388:P1603,"W")</f>
        <v>9197.579999999929</v>
      </c>
      <c r="BL1602" s="343">
        <f>SUMIFS($AU$1388:AU1603,$P$1388:P1603,"R")</f>
        <v>5186</v>
      </c>
      <c r="BM1602" s="343">
        <f>SUMIFS($AU$1388:AU1603,$AQ$1388:AQ1603,"M")</f>
        <v>5139.3799999995472</v>
      </c>
      <c r="BN1602" s="343">
        <f>SUMIFS($AU$1388:AU1603,$AQ$1388:AQ1603,"H")</f>
        <v>3091.2000000002595</v>
      </c>
      <c r="BO1602" s="343">
        <f>SUMIFS($AU$1388:AU1603,$AQ$1388:AQ1603,"D")</f>
        <v>2670.0000000000009</v>
      </c>
      <c r="BP1602" s="343">
        <f>SUMIFS($AU$1388:AU1605,$AQ$1388:AQ1605,"W")</f>
        <v>5542.4000000000005</v>
      </c>
      <c r="BQ1602" s="343">
        <f>SUMIFS($AU$1388:AU1603,$Q$1388:Q1603,"O")</f>
        <v>1770.5799999998073</v>
      </c>
      <c r="BR1602" s="343">
        <f>SUMIFS($AU$1388:AU1603,$AA$1388:AA1603,"*")</f>
        <v>13923.799999999701</v>
      </c>
      <c r="BS1602" s="343">
        <f>SUMIFS($AU$1388:AU1603,$AB$1388:AB1603,"*")</f>
        <v>4007.1799999999307</v>
      </c>
      <c r="BT1602" s="343">
        <f>SUMIFS($AU$1388:AU1603,$AC$1388:AC1603,"*")</f>
        <v>7028.4</v>
      </c>
      <c r="BU1602" s="343">
        <f>SUMIFS($AU$1388:AU1603,$AA$1388:AA1603,"*",$AB$1388:AB1603,"*")</f>
        <v>1855.9999999998222</v>
      </c>
      <c r="BV1602" s="343">
        <f>SUMIFS($AU$1388:AU1603,$AA$1388:AA1603,"*",$AC$1388:AC1603,"*")</f>
        <v>6564.4</v>
      </c>
      <c r="BW1602" s="343">
        <f>SUMIFS($AU$1388:AU1603,$AB$1388:AB1603,"*",$AC$1388:AC1603,"*")</f>
        <v>719.99999999999818</v>
      </c>
      <c r="BX1602" s="343">
        <f>SUMIFS($AV$1388:AV1603,$Q$1388:Q1603,"F")</f>
        <v>221.28119764293677</v>
      </c>
      <c r="BY1602" s="343">
        <f>SUMIFS($AV$1388:AV1603,$Q$1388:Q1603,"S")</f>
        <v>296.74781249396261</v>
      </c>
      <c r="BZ1602" s="343">
        <f>SUMIFS($AV$1388:AV1603,$Q$1388:Q1603,"O")</f>
        <v>520.73999999985608</v>
      </c>
    </row>
    <row r="1603" spans="1:78" ht="15.75" customHeight="1">
      <c r="A1603" s="177" t="s">
        <v>5180</v>
      </c>
      <c r="B1603" s="200">
        <v>45338</v>
      </c>
      <c r="C1603" s="178" t="s">
        <v>1474</v>
      </c>
      <c r="D1603" s="178" t="s">
        <v>111</v>
      </c>
      <c r="E1603" s="227" t="s">
        <v>5449</v>
      </c>
      <c r="F1603" s="180" t="s">
        <v>5450</v>
      </c>
      <c r="G1603" s="181"/>
      <c r="H1603" s="182">
        <v>1</v>
      </c>
      <c r="I1603" s="182"/>
      <c r="J1603" s="182"/>
      <c r="K1603" s="183" t="s">
        <v>372</v>
      </c>
      <c r="L1603" s="182"/>
      <c r="M1603" s="182"/>
      <c r="N1603" s="182"/>
      <c r="O1603" s="183"/>
      <c r="P1603" s="183"/>
      <c r="Q1603" s="183"/>
      <c r="R1603" s="183"/>
      <c r="S1603" s="183"/>
      <c r="T1603" s="183"/>
      <c r="U1603" s="183"/>
      <c r="V1603" s="183"/>
      <c r="W1603" s="183"/>
      <c r="X1603" s="183"/>
      <c r="Y1603" s="184"/>
      <c r="Z1603" s="185"/>
      <c r="AA1603" s="185"/>
      <c r="AB1603" s="185"/>
      <c r="AC1603" s="185"/>
      <c r="AD1603" s="649"/>
      <c r="AE1603" s="182"/>
      <c r="AF1603" s="332"/>
      <c r="AG1603" s="182"/>
      <c r="AH1603" s="182"/>
      <c r="AI1603" s="182"/>
      <c r="AJ1603" s="640"/>
      <c r="AK1603" s="182"/>
      <c r="AL1603" s="496">
        <f t="shared" si="460"/>
        <v>0</v>
      </c>
      <c r="AM1603" s="496">
        <f t="shared" si="454"/>
        <v>0</v>
      </c>
      <c r="AN1603" s="626"/>
      <c r="AO1603" s="182"/>
      <c r="AP1603" s="182"/>
      <c r="AQ1603" s="332" t="str">
        <f>UPPER(RIGHT(Journal_Live[[#This Row],[DURATION ]]))</f>
        <v/>
      </c>
      <c r="AR1603" s="182"/>
      <c r="AS1603" s="189"/>
      <c r="AT1603" s="189"/>
      <c r="AU1603" s="187"/>
      <c r="AV1603" s="190"/>
      <c r="AW1603" s="191"/>
      <c r="AX1603" s="407"/>
      <c r="AY1603" s="407"/>
      <c r="AZ1603" s="407"/>
      <c r="BA1603" s="407"/>
      <c r="BB1603" s="407"/>
      <c r="BC1603" s="407"/>
      <c r="BD1603" s="407" t="s">
        <v>5451</v>
      </c>
      <c r="BE1603" s="407"/>
      <c r="BF1603" s="422"/>
      <c r="BG1603" s="391">
        <f>SUM($AV$1389:AV1603)</f>
        <v>2506.7690101367634</v>
      </c>
      <c r="BH1603" s="392">
        <f>SUM($AU$1389:AU1603)</f>
        <v>16138.979999999814</v>
      </c>
      <c r="BI1603" s="318">
        <f>SUMIFS($AU$1388:AU1604,$Q$1388:Q1604,"F")</f>
        <v>9348.4000000000015</v>
      </c>
      <c r="BJ1603" s="318">
        <f>SUMIFS($AU$1388:AU1604,$Q$1388:Q1604,"S")</f>
        <v>3503.9999999999918</v>
      </c>
      <c r="BK1603" s="343">
        <f>SUMIFS($AU$1388:AU1604,$P$1388:P1604,"W")</f>
        <v>9197.579999999929</v>
      </c>
      <c r="BL1603" s="343">
        <f>SUMIFS($AU$1388:AU1604,$P$1388:P1604,"R")</f>
        <v>5186</v>
      </c>
      <c r="BM1603" s="343">
        <f>SUMIFS($AU$1388:AU1604,$AQ$1388:AQ1604,"M")</f>
        <v>5139.3799999995472</v>
      </c>
      <c r="BN1603" s="343">
        <f>SUMIFS($AU$1388:AU1604,$AQ$1388:AQ1604,"H")</f>
        <v>3091.2000000002595</v>
      </c>
      <c r="BO1603" s="343">
        <f>SUMIFS($AU$1388:AU1604,$AQ$1388:AQ1604,"D")</f>
        <v>2670.0000000000009</v>
      </c>
      <c r="BP1603" s="343">
        <f>SUMIFS($AU$1388:AU1606,$AQ$1388:AQ1606,"W")</f>
        <v>5542.4000000000005</v>
      </c>
      <c r="BQ1603" s="343">
        <f>SUMIFS($AU$1388:AU1604,$Q$1388:Q1604,"O")</f>
        <v>1770.5799999998073</v>
      </c>
      <c r="BR1603" s="343">
        <f>SUMIFS($AU$1388:AU1604,$AA$1388:AA1604,"*")</f>
        <v>13923.799999999701</v>
      </c>
      <c r="BS1603" s="343">
        <f>SUMIFS($AU$1388:AU1604,$AB$1388:AB1604,"*")</f>
        <v>4007.1799999999307</v>
      </c>
      <c r="BT1603" s="343">
        <f>SUMIFS($AU$1388:AU1604,$AC$1388:AC1604,"*")</f>
        <v>7028.4</v>
      </c>
      <c r="BU1603" s="343">
        <f>SUMIFS($AU$1388:AU1604,$AA$1388:AA1604,"*",$AB$1388:AB1604,"*")</f>
        <v>1855.9999999998222</v>
      </c>
      <c r="BV1603" s="343">
        <f>SUMIFS($AU$1388:AU1604,$AA$1388:AA1604,"*",$AC$1388:AC1604,"*")</f>
        <v>6564.4</v>
      </c>
      <c r="BW1603" s="343">
        <f>SUMIFS($AU$1388:AU1604,$AB$1388:AB1604,"*",$AC$1388:AC1604,"*")</f>
        <v>719.99999999999818</v>
      </c>
      <c r="BX1603" s="343">
        <f>SUMIFS($AV$1388:AV1604,$Q$1388:Q1604,"F")</f>
        <v>221.28119764293677</v>
      </c>
      <c r="BY1603" s="343">
        <f>SUMIFS($AV$1388:AV1604,$Q$1388:Q1604,"S")</f>
        <v>296.74781249396261</v>
      </c>
      <c r="BZ1603" s="343">
        <f>SUMIFS($AV$1388:AV1604,$Q$1388:Q1604,"O")</f>
        <v>520.73999999985608</v>
      </c>
    </row>
    <row r="1604" spans="1:78" ht="15.75" customHeight="1">
      <c r="A1604" s="177" t="s">
        <v>5180</v>
      </c>
      <c r="B1604" s="200"/>
      <c r="C1604" s="178"/>
      <c r="D1604" s="178"/>
      <c r="E1604" s="227" t="s">
        <v>5452</v>
      </c>
      <c r="F1604" s="180"/>
      <c r="G1604" s="181"/>
      <c r="H1604" s="182">
        <v>1</v>
      </c>
      <c r="I1604" s="182"/>
      <c r="J1604" s="182"/>
      <c r="K1604" s="183" t="s">
        <v>372</v>
      </c>
      <c r="L1604" s="182"/>
      <c r="M1604" s="182"/>
      <c r="N1604" s="182"/>
      <c r="O1604" s="183"/>
      <c r="P1604" s="183"/>
      <c r="Q1604" s="183"/>
      <c r="R1604" s="183"/>
      <c r="S1604" s="183"/>
      <c r="T1604" s="183"/>
      <c r="U1604" s="183"/>
      <c r="V1604" s="183"/>
      <c r="W1604" s="183"/>
      <c r="X1604" s="183"/>
      <c r="Y1604" s="184"/>
      <c r="Z1604" s="185"/>
      <c r="AA1604" s="185"/>
      <c r="AB1604" s="185"/>
      <c r="AC1604" s="185"/>
      <c r="AD1604" s="649"/>
      <c r="AE1604" s="182"/>
      <c r="AF1604" s="332"/>
      <c r="AG1604" s="182"/>
      <c r="AH1604" s="182"/>
      <c r="AI1604" s="182"/>
      <c r="AJ1604" s="640"/>
      <c r="AK1604" s="182"/>
      <c r="AL1604" s="496">
        <f t="shared" si="460"/>
        <v>0</v>
      </c>
      <c r="AM1604" s="496">
        <f t="shared" si="454"/>
        <v>0</v>
      </c>
      <c r="AN1604" s="626"/>
      <c r="AO1604" s="182"/>
      <c r="AP1604" s="182"/>
      <c r="AQ1604" s="332" t="str">
        <f>UPPER(RIGHT(Journal_Live[[#This Row],[DURATION ]]))</f>
        <v/>
      </c>
      <c r="AR1604" s="182"/>
      <c r="AS1604" s="189"/>
      <c r="AT1604" s="189"/>
      <c r="AU1604" s="187"/>
      <c r="AV1604" s="190"/>
      <c r="AW1604" s="191"/>
      <c r="AX1604" s="407"/>
      <c r="AY1604" s="407"/>
      <c r="AZ1604" s="407"/>
      <c r="BA1604" s="407"/>
      <c r="BB1604" s="407"/>
      <c r="BC1604" s="407"/>
      <c r="BD1604" s="407"/>
      <c r="BE1604" s="407"/>
      <c r="BF1604" s="422"/>
      <c r="BG1604" s="391">
        <f>SUM($AV$1389:AV1604)</f>
        <v>2506.7690101367634</v>
      </c>
      <c r="BH1604" s="392">
        <f>SUM($AU$1389:AU1604)</f>
        <v>16138.979999999814</v>
      </c>
      <c r="BI1604" s="318">
        <f>SUMIFS($AU$1388:AU1605,$Q$1388:Q1605,"F")</f>
        <v>9348.4000000000015</v>
      </c>
      <c r="BJ1604" s="318">
        <f>SUMIFS($AU$1388:AU1605,$Q$1388:Q1605,"S")</f>
        <v>3503.9999999999918</v>
      </c>
      <c r="BK1604" s="343">
        <f>SUMIFS($AU$1388:AU1605,$P$1388:P1605,"W")</f>
        <v>9197.579999999929</v>
      </c>
      <c r="BL1604" s="343">
        <f>SUMIFS($AU$1388:AU1605,$P$1388:P1605,"R")</f>
        <v>5266</v>
      </c>
      <c r="BM1604" s="343">
        <f>SUMIFS($AU$1388:AU1605,$AQ$1388:AQ1605,"M")</f>
        <v>5219.3799999995472</v>
      </c>
      <c r="BN1604" s="343">
        <f>SUMIFS($AU$1388:AU1605,$AQ$1388:AQ1605,"H")</f>
        <v>3091.2000000002595</v>
      </c>
      <c r="BO1604" s="343">
        <f>SUMIFS($AU$1388:AU1605,$AQ$1388:AQ1605,"D")</f>
        <v>2670.0000000000009</v>
      </c>
      <c r="BP1604" s="343">
        <f>SUMIFS($AU$1388:AU1607,$AQ$1388:AQ1607,"W")</f>
        <v>5542.4000000000005</v>
      </c>
      <c r="BQ1604" s="343">
        <f>SUMIFS($AU$1388:AU1605,$Q$1388:Q1605,"O")</f>
        <v>1770.5799999998073</v>
      </c>
      <c r="BR1604" s="343">
        <f>SUMIFS($AU$1388:AU1605,$AA$1388:AA1605,"*")</f>
        <v>14003.799999999701</v>
      </c>
      <c r="BS1604" s="343">
        <f>SUMIFS($AU$1388:AU1605,$AB$1388:AB1605,"*")</f>
        <v>4007.1799999999307</v>
      </c>
      <c r="BT1604" s="343">
        <f>SUMIFS($AU$1388:AU1605,$AC$1388:AC1605,"*")</f>
        <v>7028.4</v>
      </c>
      <c r="BU1604" s="343">
        <f>SUMIFS($AU$1388:AU1605,$AA$1388:AA1605,"*",$AB$1388:AB1605,"*")</f>
        <v>1855.9999999998222</v>
      </c>
      <c r="BV1604" s="343">
        <f>SUMIFS($AU$1388:AU1605,$AA$1388:AA1605,"*",$AC$1388:AC1605,"*")</f>
        <v>6564.4</v>
      </c>
      <c r="BW1604" s="343">
        <f>SUMIFS($AU$1388:AU1605,$AB$1388:AB1605,"*",$AC$1388:AC1605,"*")</f>
        <v>719.99999999999818</v>
      </c>
      <c r="BX1604" s="343">
        <f>SUMIFS($AV$1388:AV1605,$Q$1388:Q1605,"F")</f>
        <v>221.28119764293677</v>
      </c>
      <c r="BY1604" s="343">
        <f>SUMIFS($AV$1388:AV1605,$Q$1388:Q1605,"S")</f>
        <v>296.74781249396261</v>
      </c>
      <c r="BZ1604" s="343">
        <f>SUMIFS($AV$1388:AV1605,$Q$1388:Q1605,"O")</f>
        <v>520.73999999985608</v>
      </c>
    </row>
    <row r="1605" spans="1:78" ht="15.75" customHeight="1">
      <c r="A1605" s="177" t="s">
        <v>5180</v>
      </c>
      <c r="B1605" s="200">
        <v>45341</v>
      </c>
      <c r="C1605" s="178" t="s">
        <v>4044</v>
      </c>
      <c r="D1605" s="178" t="s">
        <v>132</v>
      </c>
      <c r="E1605" s="227"/>
      <c r="F1605" s="180"/>
      <c r="G1605" s="484" t="s">
        <v>5025</v>
      </c>
      <c r="H1605" s="182"/>
      <c r="I1605" s="182"/>
      <c r="J1605" s="182"/>
      <c r="K1605" s="183"/>
      <c r="L1605" s="182">
        <v>1</v>
      </c>
      <c r="M1605" s="182"/>
      <c r="N1605" s="182"/>
      <c r="O1605" s="183" t="s">
        <v>2652</v>
      </c>
      <c r="P1605" s="183" t="s">
        <v>137</v>
      </c>
      <c r="Q1605" s="183"/>
      <c r="R1605" s="183">
        <v>1</v>
      </c>
      <c r="S1605" s="183">
        <v>0</v>
      </c>
      <c r="T1605" s="183">
        <v>1</v>
      </c>
      <c r="U1605" s="183" t="s">
        <v>22</v>
      </c>
      <c r="V1605" s="183"/>
      <c r="W1605" s="183"/>
      <c r="X1605" s="183"/>
      <c r="Y1605" s="184">
        <f>IF(ISBLANK(O1605),"",(IF(O1605=UPPER("IB"),0.005,0.01)))</f>
        <v>0.01</v>
      </c>
      <c r="Z1605" s="185">
        <f>IF(ISBLANK(O1605),"",IF(O1605="IB",8.63*200,IF(O1605="IR",16*100,IF(O1605="YT",20*100,IF(O1605="YT-XT",24*200,IF(O1605="TED",80*100))))))</f>
        <v>8000</v>
      </c>
      <c r="AA1605" s="185" t="s">
        <v>5445</v>
      </c>
      <c r="AB1605" s="185"/>
      <c r="AC1605" s="185"/>
      <c r="AD1605" s="649">
        <v>-0.12</v>
      </c>
      <c r="AE1605" s="182"/>
      <c r="AF1605" s="332"/>
      <c r="AG1605" s="182"/>
      <c r="AH1605" s="182"/>
      <c r="AI1605" s="182"/>
      <c r="AJ1605" s="640"/>
      <c r="AK1605" s="182"/>
      <c r="AL1605" s="496">
        <f t="shared" si="460"/>
        <v>-160</v>
      </c>
      <c r="AM1605" s="496">
        <f t="shared" si="454"/>
        <v>-160</v>
      </c>
      <c r="AN1605" s="626"/>
      <c r="AO1605" s="182"/>
      <c r="AP1605" s="182" t="s">
        <v>5276</v>
      </c>
      <c r="AQ1605" s="332" t="s">
        <v>1259</v>
      </c>
      <c r="AR1605" s="182" t="s">
        <v>3344</v>
      </c>
      <c r="AS1605" s="189">
        <v>-0.11</v>
      </c>
      <c r="AT1605" s="189">
        <f>IF(ISBLANK(AS1605),,IF(U1605="S",AD1605-AS1605,AS1605-AD1605))</f>
        <v>9.999999999999995E-3</v>
      </c>
      <c r="AU1605" s="187">
        <f>AV1605*R1605</f>
        <v>79.999999999999957</v>
      </c>
      <c r="AV1605" s="190">
        <f>IF(ISBLANK(AS1605),,(AT1605*Z1605))</f>
        <v>79.999999999999957</v>
      </c>
      <c r="AW1605" s="191" t="s">
        <v>96</v>
      </c>
      <c r="AX1605" s="407"/>
      <c r="AY1605" s="407"/>
      <c r="AZ1605" s="407"/>
      <c r="BA1605" s="407"/>
      <c r="BB1605" s="407"/>
      <c r="BC1605" s="407"/>
      <c r="BD1605" s="407" t="s">
        <v>5054</v>
      </c>
      <c r="BE1605" s="407" t="s">
        <v>5055</v>
      </c>
      <c r="BF1605" s="422" t="s">
        <v>5056</v>
      </c>
      <c r="BG1605" s="391">
        <f>SUM($AV$1389:AV1605)</f>
        <v>2586.7690101367634</v>
      </c>
      <c r="BH1605" s="392">
        <f>SUM($AU$1389:AU1605)</f>
        <v>16218.979999999814</v>
      </c>
      <c r="BI1605" s="318">
        <f>SUMIFS($AU$1388:AU1606,$Q$1388:Q1606,"F")</f>
        <v>9348.4000000000015</v>
      </c>
      <c r="BJ1605" s="318">
        <f>SUMIFS($AU$1388:AU1606,$Q$1388:Q1606,"S")</f>
        <v>3503.9999999999918</v>
      </c>
      <c r="BK1605" s="343">
        <f>SUMIFS($AU$1388:AU1606,$P$1388:P1606,"W")</f>
        <v>9197.579999999929</v>
      </c>
      <c r="BL1605" s="343">
        <f>SUMIFS($AU$1388:AU1606,$P$1388:P1606,"R")</f>
        <v>5346</v>
      </c>
      <c r="BM1605" s="343">
        <f>SUMIFS($AU$1388:AU1606,$AQ$1388:AQ1606,"M")</f>
        <v>5219.3799999995472</v>
      </c>
      <c r="BN1605" s="343">
        <f>SUMIFS($AU$1388:AU1606,$AQ$1388:AQ1606,"H")</f>
        <v>3171.2000000002595</v>
      </c>
      <c r="BO1605" s="343">
        <f>SUMIFS($AU$1388:AU1606,$AQ$1388:AQ1606,"D")</f>
        <v>2670.0000000000009</v>
      </c>
      <c r="BP1605" s="343">
        <f>SUMIFS($AU$1388:AU1608,$AQ$1388:AQ1608,"W")</f>
        <v>5542.4000000000005</v>
      </c>
      <c r="BQ1605" s="343">
        <f>SUMIFS($AU$1388:AU1606,$Q$1388:Q1606,"O")</f>
        <v>1770.5799999998073</v>
      </c>
      <c r="BR1605" s="343">
        <f>SUMIFS($AU$1388:AU1606,$AA$1388:AA1606,"*")</f>
        <v>14083.799999999701</v>
      </c>
      <c r="BS1605" s="343">
        <f>SUMIFS($AU$1388:AU1606,$AB$1388:AB1606,"*")</f>
        <v>4007.1799999999307</v>
      </c>
      <c r="BT1605" s="343">
        <f>SUMIFS($AU$1388:AU1606,$AC$1388:AC1606,"*")</f>
        <v>7028.4</v>
      </c>
      <c r="BU1605" s="343">
        <f>SUMIFS($AU$1388:AU1606,$AA$1388:AA1606,"*",$AB$1388:AB1606,"*")</f>
        <v>1855.9999999998222</v>
      </c>
      <c r="BV1605" s="343">
        <f>SUMIFS($AU$1388:AU1606,$AA$1388:AA1606,"*",$AC$1388:AC1606,"*")</f>
        <v>6564.4</v>
      </c>
      <c r="BW1605" s="343">
        <f>SUMIFS($AU$1388:AU1606,$AB$1388:AB1606,"*",$AC$1388:AC1606,"*")</f>
        <v>719.99999999999818</v>
      </c>
      <c r="BX1605" s="343">
        <f>SUMIFS($AV$1388:AV1606,$Q$1388:Q1606,"F")</f>
        <v>221.28119764293677</v>
      </c>
      <c r="BY1605" s="343">
        <f>SUMIFS($AV$1388:AV1606,$Q$1388:Q1606,"S")</f>
        <v>296.74781249396261</v>
      </c>
      <c r="BZ1605" s="343">
        <f>SUMIFS($AV$1388:AV1606,$Q$1388:Q1606,"O")</f>
        <v>520.73999999985608</v>
      </c>
    </row>
    <row r="1606" spans="1:78" ht="15.75" customHeight="1">
      <c r="A1606" s="177" t="s">
        <v>5180</v>
      </c>
      <c r="B1606" s="200">
        <v>45341</v>
      </c>
      <c r="C1606" s="178" t="s">
        <v>1853</v>
      </c>
      <c r="D1606" s="178" t="s">
        <v>132</v>
      </c>
      <c r="E1606" s="227"/>
      <c r="F1606" s="180"/>
      <c r="G1606" s="484" t="s">
        <v>5025</v>
      </c>
      <c r="H1606" s="182"/>
      <c r="I1606" s="182"/>
      <c r="J1606" s="182"/>
      <c r="K1606" s="183"/>
      <c r="L1606" s="182">
        <v>1</v>
      </c>
      <c r="M1606" s="182"/>
      <c r="N1606" s="182"/>
      <c r="O1606" s="183" t="s">
        <v>2652</v>
      </c>
      <c r="P1606" s="183" t="s">
        <v>137</v>
      </c>
      <c r="Q1606" s="183"/>
      <c r="R1606" s="183">
        <v>1</v>
      </c>
      <c r="S1606" s="183">
        <v>0</v>
      </c>
      <c r="T1606" s="183">
        <v>1</v>
      </c>
      <c r="U1606" s="183" t="s">
        <v>22</v>
      </c>
      <c r="V1606" s="183"/>
      <c r="W1606" s="183"/>
      <c r="X1606" s="183"/>
      <c r="Y1606" s="184">
        <f>IF(ISBLANK(O1606),"",(IF(O1606=UPPER("IB"),0.005,0.01)))</f>
        <v>0.01</v>
      </c>
      <c r="Z1606" s="185">
        <f>IF(ISBLANK(O1606),"",IF(O1606="IB",8.63*200,IF(O1606="IR",16*100,IF(O1606="YT",20*100,IF(O1606="YT-XT",24*200,IF(O1606="TED",80*100))))))</f>
        <v>8000</v>
      </c>
      <c r="AA1606" s="185" t="s">
        <v>5445</v>
      </c>
      <c r="AB1606" s="185"/>
      <c r="AC1606" s="185"/>
      <c r="AD1606" s="649">
        <v>-0.12</v>
      </c>
      <c r="AE1606" s="182"/>
      <c r="AF1606" s="332"/>
      <c r="AG1606" s="182"/>
      <c r="AH1606" s="182"/>
      <c r="AI1606" s="182"/>
      <c r="AJ1606" s="640"/>
      <c r="AK1606" s="182"/>
      <c r="AL1606" s="496">
        <f t="shared" si="460"/>
        <v>-160</v>
      </c>
      <c r="AM1606" s="496">
        <f t="shared" si="454"/>
        <v>-160</v>
      </c>
      <c r="AN1606" s="626"/>
      <c r="AO1606" s="182"/>
      <c r="AP1606" s="182" t="s">
        <v>2423</v>
      </c>
      <c r="AQ1606" s="332" t="s">
        <v>372</v>
      </c>
      <c r="AR1606" s="182" t="s">
        <v>5453</v>
      </c>
      <c r="AS1606" s="189">
        <v>-0.11</v>
      </c>
      <c r="AT1606" s="189">
        <f>IF(ISBLANK(AS1606),,IF(U1606="S",AD1606-AS1606,AS1606-AD1606))</f>
        <v>9.999999999999995E-3</v>
      </c>
      <c r="AU1606" s="187">
        <f>AV1606*R1606</f>
        <v>79.999999999999957</v>
      </c>
      <c r="AV1606" s="190">
        <f t="shared" ref="AV1606:AV1607" si="461">IF(ISBLANK(AS1606),,(AT1606*Z1606))</f>
        <v>79.999999999999957</v>
      </c>
      <c r="AW1606" s="191" t="s">
        <v>96</v>
      </c>
      <c r="AX1606" s="407"/>
      <c r="AY1606" s="407"/>
      <c r="AZ1606" s="407"/>
      <c r="BA1606" s="407"/>
      <c r="BB1606" s="407"/>
      <c r="BC1606" s="407"/>
      <c r="BD1606" s="407"/>
      <c r="BE1606" s="407"/>
      <c r="BF1606" s="422"/>
      <c r="BG1606" s="391">
        <f>SUM($AV$1389:AV1606)</f>
        <v>2666.7690101367634</v>
      </c>
      <c r="BH1606" s="392">
        <f>SUM($AU$1389:AU1606)</f>
        <v>16298.979999999814</v>
      </c>
      <c r="BI1606" s="318">
        <f>SUMIFS($AU$1388:AU1607,$Q$1388:Q1607,"F")</f>
        <v>9348.4000000000015</v>
      </c>
      <c r="BJ1606" s="318">
        <f>SUMIFS($AU$1388:AU1607,$Q$1388:Q1607,"S")</f>
        <v>3503.9999999999918</v>
      </c>
      <c r="BK1606" s="343">
        <f>SUMIFS($AU$1388:AU1607,$P$1388:P1607,"W")</f>
        <v>9197.579999999929</v>
      </c>
      <c r="BL1606" s="343">
        <f>SUMIFS($AU$1388:AU1607,$P$1388:P1607,"R")</f>
        <v>5346</v>
      </c>
      <c r="BM1606" s="343">
        <f>SUMIFS($AU$1388:AU1607,$AQ$1388:AQ1607,"M")</f>
        <v>5219.3799999995472</v>
      </c>
      <c r="BN1606" s="343">
        <f>SUMIFS($AU$1388:AU1607,$AQ$1388:AQ1607,"H")</f>
        <v>3171.2000000002595</v>
      </c>
      <c r="BO1606" s="343">
        <f>SUMIFS($AU$1388:AU1607,$AQ$1388:AQ1607,"D")</f>
        <v>2670.0000000000009</v>
      </c>
      <c r="BP1606" s="343">
        <f>SUMIFS($AU$1388:AU1609,$AQ$1388:AQ1609,"W")</f>
        <v>5542.4000000000005</v>
      </c>
      <c r="BQ1606" s="343">
        <f>SUMIFS($AU$1388:AU1607,$Q$1388:Q1607,"O")</f>
        <v>1770.5799999998073</v>
      </c>
      <c r="BR1606" s="343">
        <f>SUMIFS($AU$1388:AU1607,$AA$1388:AA1607,"*")</f>
        <v>14083.799999999701</v>
      </c>
      <c r="BS1606" s="343">
        <f>SUMIFS($AU$1388:AU1607,$AB$1388:AB1607,"*")</f>
        <v>4007.1799999999307</v>
      </c>
      <c r="BT1606" s="343">
        <f>SUMIFS($AU$1388:AU1607,$AC$1388:AC1607,"*")</f>
        <v>7028.4</v>
      </c>
      <c r="BU1606" s="343">
        <f>SUMIFS($AU$1388:AU1607,$AA$1388:AA1607,"*",$AB$1388:AB1607,"*")</f>
        <v>1855.9999999998222</v>
      </c>
      <c r="BV1606" s="343">
        <f>SUMIFS($AU$1388:AU1607,$AA$1388:AA1607,"*",$AC$1388:AC1607,"*")</f>
        <v>6564.4</v>
      </c>
      <c r="BW1606" s="343">
        <f>SUMIFS($AU$1388:AU1607,$AB$1388:AB1607,"*",$AC$1388:AC1607,"*")</f>
        <v>719.99999999999818</v>
      </c>
      <c r="BX1606" s="343">
        <f>SUMIFS($AV$1388:AV1607,$Q$1388:Q1607,"F")</f>
        <v>221.28119764293677</v>
      </c>
      <c r="BY1606" s="343">
        <f>SUMIFS($AV$1388:AV1607,$Q$1388:Q1607,"S")</f>
        <v>296.74781249396261</v>
      </c>
      <c r="BZ1606" s="343">
        <f>SUMIFS($AV$1388:AV1607,$Q$1388:Q1607,"O")</f>
        <v>520.73999999985608</v>
      </c>
    </row>
    <row r="1607" spans="1:78" ht="15.75" customHeight="1">
      <c r="A1607" s="177" t="s">
        <v>5180</v>
      </c>
      <c r="B1607" s="200">
        <v>45341</v>
      </c>
      <c r="C1607" s="178" t="s">
        <v>1038</v>
      </c>
      <c r="D1607" s="178" t="s">
        <v>132</v>
      </c>
      <c r="E1607" s="227"/>
      <c r="F1607" s="180"/>
      <c r="G1607" s="484" t="s">
        <v>4887</v>
      </c>
      <c r="H1607" s="182"/>
      <c r="I1607" s="182"/>
      <c r="J1607" s="182"/>
      <c r="K1607" s="183"/>
      <c r="L1607" s="182">
        <v>2</v>
      </c>
      <c r="M1607" s="182"/>
      <c r="N1607" s="182"/>
      <c r="O1607" s="183" t="s">
        <v>3618</v>
      </c>
      <c r="P1607" s="183" t="s">
        <v>2260</v>
      </c>
      <c r="Q1607" s="183" t="s">
        <v>684</v>
      </c>
      <c r="R1607" s="183">
        <v>3</v>
      </c>
      <c r="S1607" s="183">
        <v>0</v>
      </c>
      <c r="T1607" s="183">
        <v>1</v>
      </c>
      <c r="U1607" s="183" t="s">
        <v>97</v>
      </c>
      <c r="V1607" s="183"/>
      <c r="W1607" s="183"/>
      <c r="X1607" s="183"/>
      <c r="Y1607" s="184">
        <f>IF(ISBLANK(O1607),"",(IF(O1607=UPPER("IB"),0.005,0.01)))</f>
        <v>0.01</v>
      </c>
      <c r="Z1607" s="185">
        <f>IF(ISBLANK(O1607),"",IF(O1607="IB",8.63*200,IF(O1607="IR",16*100,IF(O1607="YT",20*100,IF(O1607="YT-XT",24*200,IF(O1607="TED",80*100,IF(O1607="XT",29*200)))))))</f>
        <v>5800</v>
      </c>
      <c r="AA1607" s="185" t="s">
        <v>5454</v>
      </c>
      <c r="AB1607" s="185"/>
      <c r="AC1607" s="185"/>
      <c r="AD1607" s="649">
        <v>95.805000000000007</v>
      </c>
      <c r="AE1607" s="182"/>
      <c r="AF1607" s="332"/>
      <c r="AG1607" s="182" t="s">
        <v>5455</v>
      </c>
      <c r="AH1607" s="182"/>
      <c r="AI1607" s="182"/>
      <c r="AJ1607" s="640" t="s">
        <v>5456</v>
      </c>
      <c r="AK1607" s="182"/>
      <c r="AL1607" s="496">
        <f>-0.04*Z1607</f>
        <v>-232</v>
      </c>
      <c r="AM1607" s="496">
        <f t="shared" si="454"/>
        <v>-696</v>
      </c>
      <c r="AN1607" s="626"/>
      <c r="AO1607" s="182"/>
      <c r="AP1607" s="182" t="s">
        <v>1960</v>
      </c>
      <c r="AQ1607" s="332" t="s">
        <v>1259</v>
      </c>
      <c r="AR1607" s="182" t="s">
        <v>2020</v>
      </c>
      <c r="AS1607" s="189">
        <v>95.805000000000007</v>
      </c>
      <c r="AT1607" s="189">
        <f>IF(ISBLANK(AS1607),,IF(U1607="S",AD1607-AS1607,AS1607-AD1607))</f>
        <v>0</v>
      </c>
      <c r="AU1607" s="187">
        <f>AV1607*R1607</f>
        <v>0</v>
      </c>
      <c r="AV1607" s="190">
        <f t="shared" si="461"/>
        <v>0</v>
      </c>
      <c r="AW1607" s="191" t="s">
        <v>115</v>
      </c>
      <c r="AX1607" s="407" t="s">
        <v>5457</v>
      </c>
      <c r="AY1607" s="407" t="s">
        <v>5458</v>
      </c>
      <c r="AZ1607" s="407"/>
      <c r="BA1607" s="407"/>
      <c r="BB1607" s="407"/>
      <c r="BC1607" s="407"/>
      <c r="BD1607" s="407"/>
      <c r="BE1607" s="407"/>
      <c r="BF1607" s="422"/>
      <c r="BG1607" s="391">
        <f>SUM($AV$1389:AV1607)</f>
        <v>2666.7690101367634</v>
      </c>
      <c r="BH1607" s="392">
        <f>SUM($AU$1389:AU1607)</f>
        <v>16298.979999999814</v>
      </c>
      <c r="BI1607" s="318">
        <f>SUMIFS($AU$1388:AU1608,$Q$1388:Q1608,"F")</f>
        <v>9348.4000000000015</v>
      </c>
      <c r="BJ1607" s="318">
        <f>SUMIFS($AU$1388:AU1608,$Q$1388:Q1608,"S")</f>
        <v>3503.9999999999918</v>
      </c>
      <c r="BK1607" s="343">
        <f>SUMIFS($AU$1388:AU1608,$P$1388:P1608,"W")</f>
        <v>9197.579999999929</v>
      </c>
      <c r="BL1607" s="343">
        <f>SUMIFS($AU$1388:AU1608,$P$1388:P1608,"R")</f>
        <v>5346</v>
      </c>
      <c r="BM1607" s="343">
        <f>SUMIFS($AU$1388:AU1608,$AQ$1388:AQ1608,"M")</f>
        <v>5219.3799999995472</v>
      </c>
      <c r="BN1607" s="343">
        <f>SUMIFS($AU$1388:AU1608,$AQ$1388:AQ1608,"H")</f>
        <v>3171.2000000002595</v>
      </c>
      <c r="BO1607" s="343">
        <f>SUMIFS($AU$1388:AU1608,$AQ$1388:AQ1608,"D")</f>
        <v>2670.0000000000009</v>
      </c>
      <c r="BP1607" s="343">
        <f>SUMIFS($AU$1388:AU1610,$AQ$1388:AQ1610,"W")</f>
        <v>5542.4000000000005</v>
      </c>
      <c r="BQ1607" s="343">
        <f>SUMIFS($AU$1388:AU1608,$Q$1388:Q1608,"O")</f>
        <v>1770.5799999998073</v>
      </c>
      <c r="BR1607" s="343">
        <f>SUMIFS($AU$1388:AU1608,$AA$1388:AA1608,"*")</f>
        <v>14083.799999999701</v>
      </c>
      <c r="BS1607" s="343">
        <f>SUMIFS($AU$1388:AU1608,$AB$1388:AB1608,"*")</f>
        <v>4007.1799999999307</v>
      </c>
      <c r="BT1607" s="343">
        <f>SUMIFS($AU$1388:AU1608,$AC$1388:AC1608,"*")</f>
        <v>7028.4</v>
      </c>
      <c r="BU1607" s="343">
        <f>SUMIFS($AU$1388:AU1608,$AA$1388:AA1608,"*",$AB$1388:AB1608,"*")</f>
        <v>1855.9999999998222</v>
      </c>
      <c r="BV1607" s="343">
        <f>SUMIFS($AU$1388:AU1608,$AA$1388:AA1608,"*",$AC$1388:AC1608,"*")</f>
        <v>6564.4</v>
      </c>
      <c r="BW1607" s="343">
        <f>SUMIFS($AU$1388:AU1608,$AB$1388:AB1608,"*",$AC$1388:AC1608,"*")</f>
        <v>719.99999999999818</v>
      </c>
      <c r="BX1607" s="343">
        <f>SUMIFS($AV$1388:AV1608,$Q$1388:Q1608,"F")</f>
        <v>221.28119764293677</v>
      </c>
      <c r="BY1607" s="343">
        <f>SUMIFS($AV$1388:AV1608,$Q$1388:Q1608,"S")</f>
        <v>296.74781249396261</v>
      </c>
      <c r="BZ1607" s="343">
        <f>SUMIFS($AV$1388:AV1608,$Q$1388:Q1608,"O")</f>
        <v>520.73999999985608</v>
      </c>
    </row>
    <row r="1608" spans="1:78" ht="15.75" customHeight="1">
      <c r="A1608" s="177" t="s">
        <v>5180</v>
      </c>
      <c r="B1608" s="200"/>
      <c r="C1608" s="178"/>
      <c r="D1608" s="178"/>
      <c r="E1608" s="227"/>
      <c r="F1608" s="180"/>
      <c r="G1608" s="181"/>
      <c r="H1608" s="182"/>
      <c r="I1608" s="182"/>
      <c r="J1608" s="182"/>
      <c r="K1608" s="183"/>
      <c r="L1608" s="182"/>
      <c r="M1608" s="182"/>
      <c r="N1608" s="182"/>
      <c r="O1608" s="183"/>
      <c r="P1608" s="183"/>
      <c r="Q1608" s="183"/>
      <c r="R1608" s="183"/>
      <c r="S1608" s="183"/>
      <c r="T1608" s="183"/>
      <c r="U1608" s="183"/>
      <c r="V1608" s="183"/>
      <c r="W1608" s="183"/>
      <c r="X1608" s="183"/>
      <c r="Y1608" s="184"/>
      <c r="Z1608" s="185"/>
      <c r="AA1608" s="185"/>
      <c r="AB1608" s="185"/>
      <c r="AC1608" s="185"/>
      <c r="AD1608" s="649"/>
      <c r="AE1608" s="182"/>
      <c r="AF1608" s="332"/>
      <c r="AG1608" s="182"/>
      <c r="AH1608" s="182"/>
      <c r="AI1608" s="182"/>
      <c r="AJ1608" s="640"/>
      <c r="AK1608" s="182"/>
      <c r="AL1608" s="496">
        <f t="shared" si="460"/>
        <v>0</v>
      </c>
      <c r="AM1608" s="496">
        <f t="shared" si="454"/>
        <v>0</v>
      </c>
      <c r="AN1608" s="626"/>
      <c r="AO1608" s="182"/>
      <c r="AP1608" s="182"/>
      <c r="AQ1608" s="332" t="str">
        <f>UPPER(RIGHT(Journal_Live[[#This Row],[DURATION ]]))</f>
        <v/>
      </c>
      <c r="AR1608" s="182"/>
      <c r="AS1608" s="189"/>
      <c r="AT1608" s="189"/>
      <c r="AU1608" s="187"/>
      <c r="AV1608" s="190"/>
      <c r="AW1608" s="191"/>
      <c r="AX1608" s="407" t="s">
        <v>5459</v>
      </c>
      <c r="AY1608" s="407" t="s">
        <v>5460</v>
      </c>
      <c r="AZ1608" s="407" t="s">
        <v>5461</v>
      </c>
      <c r="BA1608" s="407" t="s">
        <v>5462</v>
      </c>
      <c r="BB1608" s="409" t="s">
        <v>5463</v>
      </c>
      <c r="BC1608" s="409" t="s">
        <v>5464</v>
      </c>
      <c r="BD1608" s="417" t="s">
        <v>5465</v>
      </c>
      <c r="BE1608" s="407" t="s">
        <v>5466</v>
      </c>
      <c r="BF1608" s="422"/>
      <c r="BG1608" s="391">
        <f>SUM($AV$1389:AV1608)</f>
        <v>2666.7690101367634</v>
      </c>
      <c r="BH1608" s="392">
        <f>SUM($AU$1389:AU1608)</f>
        <v>16298.979999999814</v>
      </c>
      <c r="BI1608" s="318">
        <f>SUMIFS($AU$1388:AU1609,$Q$1388:Q1609,"F")</f>
        <v>9348.4000000000015</v>
      </c>
      <c r="BJ1608" s="318">
        <f>SUMIFS($AU$1388:AU1609,$Q$1388:Q1609,"S")</f>
        <v>3503.9999999999918</v>
      </c>
      <c r="BK1608" s="343">
        <f>SUMIFS($AU$1388:AU1609,$P$1388:P1609,"W")</f>
        <v>9197.579999999929</v>
      </c>
      <c r="BL1608" s="343">
        <f>SUMIFS($AU$1388:AU1609,$P$1388:P1609,"R")</f>
        <v>5346</v>
      </c>
      <c r="BM1608" s="343">
        <f>SUMIFS($AU$1388:AU1609,$AQ$1388:AQ1609,"M")</f>
        <v>5219.3799999995472</v>
      </c>
      <c r="BN1608" s="343">
        <f>SUMIFS($AU$1388:AU1609,$AQ$1388:AQ1609,"H")</f>
        <v>3171.2000000002595</v>
      </c>
      <c r="BO1608" s="343">
        <f>SUMIFS($AU$1388:AU1609,$AQ$1388:AQ1609,"D")</f>
        <v>2670.0000000000009</v>
      </c>
      <c r="BP1608" s="343">
        <f>SUMIFS($AU$1388:AU1611,$AQ$1388:AQ1611,"W")</f>
        <v>5542.4000000000005</v>
      </c>
      <c r="BQ1608" s="343">
        <f>SUMIFS($AU$1388:AU1609,$Q$1388:Q1609,"O")</f>
        <v>1770.5799999998073</v>
      </c>
      <c r="BR1608" s="343">
        <f>SUMIFS($AU$1388:AU1609,$AA$1388:AA1609,"*")</f>
        <v>14083.799999999701</v>
      </c>
      <c r="BS1608" s="343">
        <f>SUMIFS($AU$1388:AU1609,$AB$1388:AB1609,"*")</f>
        <v>4007.1799999999307</v>
      </c>
      <c r="BT1608" s="343">
        <f>SUMIFS($AU$1388:AU1609,$AC$1388:AC1609,"*")</f>
        <v>7028.4</v>
      </c>
      <c r="BU1608" s="343">
        <f>SUMIFS($AU$1388:AU1609,$AA$1388:AA1609,"*",$AB$1388:AB1609,"*")</f>
        <v>1855.9999999998222</v>
      </c>
      <c r="BV1608" s="343">
        <f>SUMIFS($AU$1388:AU1609,$AA$1388:AA1609,"*",$AC$1388:AC1609,"*")</f>
        <v>6564.4</v>
      </c>
      <c r="BW1608" s="343">
        <f>SUMIFS($AU$1388:AU1609,$AB$1388:AB1609,"*",$AC$1388:AC1609,"*")</f>
        <v>719.99999999999818</v>
      </c>
      <c r="BX1608" s="343">
        <f>SUMIFS($AV$1388:AV1609,$Q$1388:Q1609,"F")</f>
        <v>221.28119764293677</v>
      </c>
      <c r="BY1608" s="343">
        <f>SUMIFS($AV$1388:AV1609,$Q$1388:Q1609,"S")</f>
        <v>296.74781249396261</v>
      </c>
      <c r="BZ1608" s="343">
        <f>SUMIFS($AV$1388:AV1609,$Q$1388:Q1609,"O")</f>
        <v>520.73999999985608</v>
      </c>
    </row>
    <row r="1609" spans="1:78" ht="15.75" customHeight="1">
      <c r="A1609" s="177" t="s">
        <v>5180</v>
      </c>
      <c r="B1609" s="200"/>
      <c r="C1609" s="178"/>
      <c r="D1609" s="178"/>
      <c r="E1609" s="227"/>
      <c r="F1609" s="180"/>
      <c r="G1609" s="181"/>
      <c r="H1609" s="182"/>
      <c r="I1609" s="182"/>
      <c r="J1609" s="182"/>
      <c r="K1609" s="183"/>
      <c r="L1609" s="182"/>
      <c r="M1609" s="182"/>
      <c r="N1609" s="182"/>
      <c r="O1609" s="183"/>
      <c r="P1609" s="183"/>
      <c r="Q1609" s="183"/>
      <c r="R1609" s="183"/>
      <c r="S1609" s="183"/>
      <c r="T1609" s="183"/>
      <c r="U1609" s="183"/>
      <c r="V1609" s="183"/>
      <c r="W1609" s="183"/>
      <c r="X1609" s="183"/>
      <c r="Y1609" s="184"/>
      <c r="Z1609" s="185"/>
      <c r="AA1609" s="185"/>
      <c r="AB1609" s="185"/>
      <c r="AC1609" s="185"/>
      <c r="AD1609" s="649"/>
      <c r="AE1609" s="182"/>
      <c r="AF1609" s="332"/>
      <c r="AG1609" s="182"/>
      <c r="AH1609" s="182"/>
      <c r="AI1609" s="182"/>
      <c r="AJ1609" s="640"/>
      <c r="AK1609" s="182"/>
      <c r="AL1609" s="496">
        <f t="shared" si="460"/>
        <v>0</v>
      </c>
      <c r="AM1609" s="496">
        <f t="shared" si="454"/>
        <v>0</v>
      </c>
      <c r="AN1609" s="626"/>
      <c r="AO1609" s="182"/>
      <c r="AP1609" s="182"/>
      <c r="AQ1609" s="332" t="str">
        <f>UPPER(RIGHT(Journal_Live[[#This Row],[DURATION ]]))</f>
        <v/>
      </c>
      <c r="AR1609" s="182"/>
      <c r="AS1609" s="189"/>
      <c r="AT1609" s="189"/>
      <c r="AU1609" s="187"/>
      <c r="AV1609" s="190"/>
      <c r="AW1609" s="191"/>
      <c r="AX1609" s="407" t="s">
        <v>5467</v>
      </c>
      <c r="AY1609" s="407" t="s">
        <v>5468</v>
      </c>
      <c r="AZ1609" s="407" t="s">
        <v>5469</v>
      </c>
      <c r="BA1609" s="407" t="s">
        <v>5470</v>
      </c>
      <c r="BB1609" s="407"/>
      <c r="BC1609" s="407"/>
      <c r="BD1609" s="407"/>
      <c r="BE1609" s="407"/>
      <c r="BF1609" s="422"/>
      <c r="BG1609" s="391">
        <f>SUM($AV$1389:AV1609)</f>
        <v>2666.7690101367634</v>
      </c>
      <c r="BH1609" s="392">
        <f>SUM($AU$1389:AU1609)</f>
        <v>16298.979999999814</v>
      </c>
      <c r="BI1609" s="318">
        <f>SUMIFS($AU$1388:AU1610,$Q$1388:Q1610,"F")</f>
        <v>9348.4000000000015</v>
      </c>
      <c r="BJ1609" s="318">
        <f>SUMIFS($AU$1388:AU1610,$Q$1388:Q1610,"S")</f>
        <v>3503.9999999999918</v>
      </c>
      <c r="BK1609" s="343">
        <f>SUMIFS($AU$1388:AU1610,$P$1388:P1610,"W")</f>
        <v>9197.579999999929</v>
      </c>
      <c r="BL1609" s="343">
        <f>SUMIFS($AU$1388:AU1610,$P$1388:P1610,"R")</f>
        <v>5346</v>
      </c>
      <c r="BM1609" s="343">
        <f>SUMIFS($AU$1388:AU1610,$AQ$1388:AQ1610,"M")</f>
        <v>5219.3799999995472</v>
      </c>
      <c r="BN1609" s="343">
        <f>SUMIFS($AU$1388:AU1610,$AQ$1388:AQ1610,"H")</f>
        <v>3171.2000000002595</v>
      </c>
      <c r="BO1609" s="343">
        <f>SUMIFS($AU$1388:AU1610,$AQ$1388:AQ1610,"D")</f>
        <v>2670.0000000000009</v>
      </c>
      <c r="BP1609" s="343">
        <f>SUMIFS($AU$1388:AU1612,$AQ$1388:AQ1612,"W")</f>
        <v>5542.4000000000005</v>
      </c>
      <c r="BQ1609" s="343">
        <f>SUMIFS($AU$1388:AU1610,$Q$1388:Q1610,"O")</f>
        <v>1770.5799999998073</v>
      </c>
      <c r="BR1609" s="343">
        <f>SUMIFS($AU$1388:AU1610,$AA$1388:AA1610,"*")</f>
        <v>14083.799999999701</v>
      </c>
      <c r="BS1609" s="343">
        <f>SUMIFS($AU$1388:AU1610,$AB$1388:AB1610,"*")</f>
        <v>4007.1799999999307</v>
      </c>
      <c r="BT1609" s="343">
        <f>SUMIFS($AU$1388:AU1610,$AC$1388:AC1610,"*")</f>
        <v>7028.4</v>
      </c>
      <c r="BU1609" s="343">
        <f>SUMIFS($AU$1388:AU1610,$AA$1388:AA1610,"*",$AB$1388:AB1610,"*")</f>
        <v>1855.9999999998222</v>
      </c>
      <c r="BV1609" s="343">
        <f>SUMIFS($AU$1388:AU1610,$AA$1388:AA1610,"*",$AC$1388:AC1610,"*")</f>
        <v>6564.4</v>
      </c>
      <c r="BW1609" s="343">
        <f>SUMIFS($AU$1388:AU1610,$AB$1388:AB1610,"*",$AC$1388:AC1610,"*")</f>
        <v>719.99999999999818</v>
      </c>
      <c r="BX1609" s="343">
        <f>SUMIFS($AV$1388:AV1610,$Q$1388:Q1610,"F")</f>
        <v>221.28119764293677</v>
      </c>
      <c r="BY1609" s="343">
        <f>SUMIFS($AV$1388:AV1610,$Q$1388:Q1610,"S")</f>
        <v>296.74781249396261</v>
      </c>
      <c r="BZ1609" s="343">
        <f>SUMIFS($AV$1388:AV1610,$Q$1388:Q1610,"O")</f>
        <v>520.73999999985608</v>
      </c>
    </row>
    <row r="1610" spans="1:78" ht="15.75" customHeight="1">
      <c r="A1610" s="177" t="s">
        <v>5180</v>
      </c>
      <c r="B1610" s="200"/>
      <c r="C1610" s="178"/>
      <c r="D1610" s="178"/>
      <c r="E1610" s="227"/>
      <c r="F1610" s="180"/>
      <c r="G1610" s="181"/>
      <c r="H1610" s="182"/>
      <c r="I1610" s="182"/>
      <c r="J1610" s="182"/>
      <c r="K1610" s="183"/>
      <c r="L1610" s="182"/>
      <c r="M1610" s="182"/>
      <c r="N1610" s="182"/>
      <c r="O1610" s="183"/>
      <c r="P1610" s="183"/>
      <c r="Q1610" s="183"/>
      <c r="R1610" s="183"/>
      <c r="S1610" s="183"/>
      <c r="T1610" s="183"/>
      <c r="U1610" s="183"/>
      <c r="V1610" s="183"/>
      <c r="W1610" s="183"/>
      <c r="X1610" s="183"/>
      <c r="Y1610" s="184"/>
      <c r="Z1610" s="185"/>
      <c r="AA1610" s="185"/>
      <c r="AB1610" s="185"/>
      <c r="AC1610" s="185"/>
      <c r="AD1610" s="649"/>
      <c r="AE1610" s="182"/>
      <c r="AF1610" s="332"/>
      <c r="AG1610" s="182"/>
      <c r="AH1610" s="182"/>
      <c r="AI1610" s="182"/>
      <c r="AJ1610" s="640"/>
      <c r="AK1610" s="182"/>
      <c r="AL1610" s="496">
        <f t="shared" si="460"/>
        <v>0</v>
      </c>
      <c r="AM1610" s="496">
        <f t="shared" si="454"/>
        <v>0</v>
      </c>
      <c r="AN1610" s="626"/>
      <c r="AO1610" s="182"/>
      <c r="AP1610" s="182"/>
      <c r="AQ1610" s="332" t="str">
        <f>UPPER(RIGHT(Journal_Live[[#This Row],[DURATION ]]))</f>
        <v/>
      </c>
      <c r="AR1610" s="182"/>
      <c r="AS1610" s="189"/>
      <c r="AT1610" s="189"/>
      <c r="AU1610" s="187"/>
      <c r="AV1610" s="190"/>
      <c r="AW1610" s="191"/>
      <c r="AX1610" s="407" t="s">
        <v>5471</v>
      </c>
      <c r="AY1610" s="407" t="s">
        <v>5472</v>
      </c>
      <c r="AZ1610" s="407"/>
      <c r="BA1610" s="407"/>
      <c r="BB1610" s="407"/>
      <c r="BC1610" s="407"/>
      <c r="BD1610" s="407"/>
      <c r="BE1610" s="407"/>
      <c r="BF1610" s="422"/>
      <c r="BG1610" s="391">
        <f>SUM($AV$1389:AV1610)</f>
        <v>2666.7690101367634</v>
      </c>
      <c r="BH1610" s="392">
        <f>SUM($AU$1389:AU1610)</f>
        <v>16298.979999999814</v>
      </c>
      <c r="BI1610" s="318">
        <f>SUMIFS($AU$1388:AU1611,$Q$1388:Q1611,"F")</f>
        <v>9348.4000000000015</v>
      </c>
      <c r="BJ1610" s="318">
        <f>SUMIFS($AU$1388:AU1611,$Q$1388:Q1611,"S")</f>
        <v>3503.9999999999918</v>
      </c>
      <c r="BK1610" s="343">
        <f>SUMIFS($AU$1388:AU1611,$P$1388:P1611,"W")</f>
        <v>9197.579999999929</v>
      </c>
      <c r="BL1610" s="343">
        <f>SUMIFS($AU$1388:AU1611,$P$1388:P1611,"R")</f>
        <v>5346</v>
      </c>
      <c r="BM1610" s="343">
        <f>SUMIFS($AU$1388:AU1611,$AQ$1388:AQ1611,"M")</f>
        <v>5219.3799999995472</v>
      </c>
      <c r="BN1610" s="343">
        <f>SUMIFS($AU$1388:AU1611,$AQ$1388:AQ1611,"H")</f>
        <v>3171.2000000002595</v>
      </c>
      <c r="BO1610" s="343">
        <f>SUMIFS($AU$1388:AU1611,$AQ$1388:AQ1611,"D")</f>
        <v>2670.0000000000009</v>
      </c>
      <c r="BP1610" s="343">
        <f>SUMIFS($AU$1388:AU1613,$AQ$1388:AQ1613,"W")</f>
        <v>5542.4000000000005</v>
      </c>
      <c r="BQ1610" s="343">
        <f>SUMIFS($AU$1388:AU1611,$Q$1388:Q1611,"O")</f>
        <v>1770.5799999998073</v>
      </c>
      <c r="BR1610" s="343">
        <f>SUMIFS($AU$1388:AU1611,$AA$1388:AA1611,"*")</f>
        <v>14083.799999999701</v>
      </c>
      <c r="BS1610" s="343">
        <f>SUMIFS($AU$1388:AU1611,$AB$1388:AB1611,"*")</f>
        <v>4007.1799999999307</v>
      </c>
      <c r="BT1610" s="343">
        <f>SUMIFS($AU$1388:AU1611,$AC$1388:AC1611,"*")</f>
        <v>7028.4</v>
      </c>
      <c r="BU1610" s="343">
        <f>SUMIFS($AU$1388:AU1611,$AA$1388:AA1611,"*",$AB$1388:AB1611,"*")</f>
        <v>1855.9999999998222</v>
      </c>
      <c r="BV1610" s="343">
        <f>SUMIFS($AU$1388:AU1611,$AA$1388:AA1611,"*",$AC$1388:AC1611,"*")</f>
        <v>6564.4</v>
      </c>
      <c r="BW1610" s="343">
        <f>SUMIFS($AU$1388:AU1611,$AB$1388:AB1611,"*",$AC$1388:AC1611,"*")</f>
        <v>719.99999999999818</v>
      </c>
      <c r="BX1610" s="343">
        <f>SUMIFS($AV$1388:AV1611,$Q$1388:Q1611,"F")</f>
        <v>221.28119764293677</v>
      </c>
      <c r="BY1610" s="343">
        <f>SUMIFS($AV$1388:AV1611,$Q$1388:Q1611,"S")</f>
        <v>296.74781249396261</v>
      </c>
      <c r="BZ1610" s="343">
        <f>SUMIFS($AV$1388:AV1611,$Q$1388:Q1611,"O")</f>
        <v>520.73999999985608</v>
      </c>
    </row>
    <row r="1611" spans="1:78" ht="15.75" customHeight="1">
      <c r="A1611" s="177" t="s">
        <v>5180</v>
      </c>
      <c r="B1611" s="200">
        <v>45342</v>
      </c>
      <c r="C1611" s="178" t="s">
        <v>1474</v>
      </c>
      <c r="D1611" s="178" t="s">
        <v>146</v>
      </c>
      <c r="E1611" s="227" t="s">
        <v>5473</v>
      </c>
      <c r="F1611" s="180"/>
      <c r="G1611" s="181"/>
      <c r="H1611" s="182"/>
      <c r="I1611" s="182"/>
      <c r="J1611" s="182">
        <v>1</v>
      </c>
      <c r="K1611" s="183" t="s">
        <v>115</v>
      </c>
      <c r="L1611" s="182"/>
      <c r="M1611" s="182"/>
      <c r="N1611" s="182"/>
      <c r="O1611" s="183"/>
      <c r="P1611" s="183"/>
      <c r="Q1611" s="183"/>
      <c r="R1611" s="183"/>
      <c r="S1611" s="183"/>
      <c r="T1611" s="183"/>
      <c r="U1611" s="183"/>
      <c r="V1611" s="183"/>
      <c r="W1611" s="183"/>
      <c r="X1611" s="183"/>
      <c r="Y1611" s="184"/>
      <c r="Z1611" s="185"/>
      <c r="AA1611" s="185"/>
      <c r="AB1611" s="185"/>
      <c r="AC1611" s="185"/>
      <c r="AD1611" s="649"/>
      <c r="AE1611" s="182"/>
      <c r="AF1611" s="332"/>
      <c r="AG1611" s="182"/>
      <c r="AH1611" s="182"/>
      <c r="AI1611" s="182"/>
      <c r="AJ1611" s="640"/>
      <c r="AK1611" s="182"/>
      <c r="AL1611" s="496">
        <f t="shared" ref="AL1611:AL1618" si="462">-0.02*Z1611</f>
        <v>0</v>
      </c>
      <c r="AM1611" s="496">
        <f t="shared" si="454"/>
        <v>0</v>
      </c>
      <c r="AN1611" s="626"/>
      <c r="AO1611" s="182"/>
      <c r="AP1611" s="182"/>
      <c r="AQ1611" s="332" t="str">
        <f>UPPER(RIGHT(Journal_Live[[#This Row],[DURATION ]]))</f>
        <v/>
      </c>
      <c r="AR1611" s="182"/>
      <c r="AS1611" s="189"/>
      <c r="AT1611" s="189"/>
      <c r="AU1611" s="187"/>
      <c r="AV1611" s="190"/>
      <c r="AW1611" s="191"/>
      <c r="AX1611" s="407" t="s">
        <v>5474</v>
      </c>
      <c r="AY1611" s="407" t="s">
        <v>5475</v>
      </c>
      <c r="AZ1611" s="407"/>
      <c r="BA1611" s="407"/>
      <c r="BB1611" s="407"/>
      <c r="BC1611" s="407"/>
      <c r="BD1611" s="407"/>
      <c r="BE1611" s="407"/>
      <c r="BF1611" s="422"/>
      <c r="BG1611" s="391">
        <f>SUM($AV$1389:AV1611)</f>
        <v>2666.7690101367634</v>
      </c>
      <c r="BH1611" s="392">
        <f>SUM($AU$1389:AU1611)</f>
        <v>16298.979999999814</v>
      </c>
      <c r="BI1611" s="318">
        <f>SUMIFS($AU$1388:AU1612,$Q$1388:Q1612,"F")</f>
        <v>9348.4000000000015</v>
      </c>
      <c r="BJ1611" s="318">
        <f>SUMIFS($AU$1388:AU1612,$Q$1388:Q1612,"S")</f>
        <v>3503.9999999999918</v>
      </c>
      <c r="BK1611" s="343">
        <f>SUMIFS($AU$1388:AU1612,$P$1388:P1612,"W")</f>
        <v>9197.579999999929</v>
      </c>
      <c r="BL1611" s="343">
        <f>SUMIFS($AU$1388:AU1612,$P$1388:P1612,"R")</f>
        <v>5346</v>
      </c>
      <c r="BM1611" s="343">
        <f>SUMIFS($AU$1388:AU1612,$AQ$1388:AQ1612,"M")</f>
        <v>5219.3799999995472</v>
      </c>
      <c r="BN1611" s="343">
        <f>SUMIFS($AU$1388:AU1612,$AQ$1388:AQ1612,"H")</f>
        <v>3171.2000000002595</v>
      </c>
      <c r="BO1611" s="343">
        <f>SUMIFS($AU$1388:AU1612,$AQ$1388:AQ1612,"D")</f>
        <v>2670.0000000000009</v>
      </c>
      <c r="BP1611" s="343">
        <f>SUMIFS($AU$1388:AU1614,$AQ$1388:AQ1614,"W")</f>
        <v>5542.4000000000005</v>
      </c>
      <c r="BQ1611" s="343">
        <f>SUMIFS($AU$1388:AU1612,$Q$1388:Q1612,"O")</f>
        <v>1770.5799999998073</v>
      </c>
      <c r="BR1611" s="343">
        <f>SUMIFS($AU$1388:AU1612,$AA$1388:AA1612,"*")</f>
        <v>14083.799999999701</v>
      </c>
      <c r="BS1611" s="343">
        <f>SUMIFS($AU$1388:AU1612,$AB$1388:AB1612,"*")</f>
        <v>4007.1799999999307</v>
      </c>
      <c r="BT1611" s="343">
        <f>SUMIFS($AU$1388:AU1612,$AC$1388:AC1612,"*")</f>
        <v>7028.4</v>
      </c>
      <c r="BU1611" s="343">
        <f>SUMIFS($AU$1388:AU1612,$AA$1388:AA1612,"*",$AB$1388:AB1612,"*")</f>
        <v>1855.9999999998222</v>
      </c>
      <c r="BV1611" s="343">
        <f>SUMIFS($AU$1388:AU1612,$AA$1388:AA1612,"*",$AC$1388:AC1612,"*")</f>
        <v>6564.4</v>
      </c>
      <c r="BW1611" s="343">
        <f>SUMIFS($AU$1388:AU1612,$AB$1388:AB1612,"*",$AC$1388:AC1612,"*")</f>
        <v>719.99999999999818</v>
      </c>
      <c r="BX1611" s="343">
        <f>SUMIFS($AV$1388:AV1612,$Q$1388:Q1612,"F")</f>
        <v>221.28119764293677</v>
      </c>
      <c r="BY1611" s="343">
        <f>SUMIFS($AV$1388:AV1612,$Q$1388:Q1612,"S")</f>
        <v>296.74781249396261</v>
      </c>
      <c r="BZ1611" s="343">
        <f>SUMIFS($AV$1388:AV1612,$Q$1388:Q1612,"O")</f>
        <v>520.73999999985608</v>
      </c>
    </row>
    <row r="1612" spans="1:78" ht="15.75" customHeight="1">
      <c r="A1612" s="177" t="s">
        <v>5180</v>
      </c>
      <c r="B1612" s="200">
        <v>45342</v>
      </c>
      <c r="C1612" s="178" t="s">
        <v>682</v>
      </c>
      <c r="D1612" s="178" t="s">
        <v>146</v>
      </c>
      <c r="E1612" s="227"/>
      <c r="F1612" s="180"/>
      <c r="G1612" s="484" t="s">
        <v>4887</v>
      </c>
      <c r="H1612" s="182"/>
      <c r="I1612" s="182"/>
      <c r="J1612" s="182"/>
      <c r="K1612" s="183"/>
      <c r="L1612" s="182">
        <v>1</v>
      </c>
      <c r="M1612" s="182"/>
      <c r="N1612" s="182"/>
      <c r="O1612" s="183" t="s">
        <v>3618</v>
      </c>
      <c r="P1612" s="183" t="s">
        <v>2260</v>
      </c>
      <c r="Q1612" s="183" t="s">
        <v>684</v>
      </c>
      <c r="R1612" s="183">
        <v>1</v>
      </c>
      <c r="S1612" s="183">
        <v>0</v>
      </c>
      <c r="T1612" s="183">
        <v>1</v>
      </c>
      <c r="U1612" s="183" t="s">
        <v>22</v>
      </c>
      <c r="V1612" s="183"/>
      <c r="W1612" s="183"/>
      <c r="X1612" s="183"/>
      <c r="Y1612" s="184">
        <f>IF(ISBLANK(O1612),"",(IF(O1612=UPPER("IB"),0.005,0.01)))</f>
        <v>0.01</v>
      </c>
      <c r="Z1612" s="185">
        <f>IF(ISBLANK(O1612),"",IF(O1612="IB",8.63*200,IF(O1612="IR",16*100,IF(O1612="YT",20*100,IF(O1612="YT-XT",24*200,IF(O1612="TED",80*100,IF(O1612="XT",29*200)))))))</f>
        <v>5800</v>
      </c>
      <c r="AA1612" s="185" t="s">
        <v>5476</v>
      </c>
      <c r="AB1612" s="185"/>
      <c r="AC1612" s="185"/>
      <c r="AD1612" s="649">
        <v>95.81</v>
      </c>
      <c r="AE1612" s="182"/>
      <c r="AF1612" s="332"/>
      <c r="AG1612" s="182"/>
      <c r="AH1612" s="182"/>
      <c r="AI1612" s="182"/>
      <c r="AJ1612" s="640"/>
      <c r="AK1612" s="182"/>
      <c r="AL1612" s="496">
        <f>-0.04*Z1612</f>
        <v>-232</v>
      </c>
      <c r="AM1612" s="496">
        <f t="shared" si="454"/>
        <v>-232</v>
      </c>
      <c r="AN1612" s="626"/>
      <c r="AO1612" s="182"/>
      <c r="AP1612" s="182" t="s">
        <v>1496</v>
      </c>
      <c r="AQ1612" s="332" t="s">
        <v>1259</v>
      </c>
      <c r="AR1612" s="182"/>
      <c r="AS1612" s="189">
        <v>95.81</v>
      </c>
      <c r="AT1612" s="189">
        <f>IF(ISBLANK(AS1612),,IF(U1612="S",AD1612-AS1612,AS1612-AD1612))</f>
        <v>0</v>
      </c>
      <c r="AU1612" s="187">
        <f>AV1612*R1612</f>
        <v>0</v>
      </c>
      <c r="AV1612" s="190">
        <f t="shared" ref="AV1612" si="463">IF(ISBLANK(AS1612),,(AT1612*Z1612))</f>
        <v>0</v>
      </c>
      <c r="AW1612" s="191" t="s">
        <v>115</v>
      </c>
      <c r="AX1612" s="407" t="s">
        <v>5477</v>
      </c>
      <c r="AY1612" s="407" t="s">
        <v>5478</v>
      </c>
      <c r="AZ1612" s="407"/>
      <c r="BA1612" s="407"/>
      <c r="BB1612" s="407"/>
      <c r="BC1612" s="407"/>
      <c r="BD1612" s="407"/>
      <c r="BE1612" s="407"/>
      <c r="BF1612" s="422"/>
      <c r="BG1612" s="391">
        <f>SUM($AV$1389:AV1612)</f>
        <v>2666.7690101367634</v>
      </c>
      <c r="BH1612" s="392">
        <f>SUM($AU$1389:AU1612)</f>
        <v>16298.979999999814</v>
      </c>
      <c r="BI1612" s="318">
        <f>SUMIFS($AU$1388:AU1616,$Q$1388:Q1616,"F")</f>
        <v>9348.4000000000015</v>
      </c>
      <c r="BJ1612" s="318">
        <f>SUMIFS($AU$1388:AU1616,$Q$1388:Q1616,"S")</f>
        <v>3503.9999999999918</v>
      </c>
      <c r="BK1612" s="343">
        <f>SUMIFS($AU$1388:AU1616,$P$1388:P1616,"W")</f>
        <v>9197.579999999929</v>
      </c>
      <c r="BL1612" s="343">
        <f>SUMIFS($AU$1388:AU1616,$P$1388:P1616,"R")</f>
        <v>5346</v>
      </c>
      <c r="BM1612" s="343">
        <f>SUMIFS($AU$1388:AU1616,$AQ$1388:AQ1616,"M")</f>
        <v>5219.3799999995472</v>
      </c>
      <c r="BN1612" s="343">
        <f>SUMIFS($AU$1388:AU1616,$AQ$1388:AQ1616,"H")</f>
        <v>3171.2000000002595</v>
      </c>
      <c r="BO1612" s="343">
        <f>SUMIFS($AU$1388:AU1616,$AQ$1388:AQ1616,"D")</f>
        <v>2670.0000000000009</v>
      </c>
      <c r="BP1612" s="343">
        <f>SUMIFS($AU$1388:AU1615,$AQ$1388:AQ1615,"W")</f>
        <v>5542.4000000000005</v>
      </c>
      <c r="BQ1612" s="343">
        <f>SUMIFS($AU$1388:AU1616,$Q$1388:Q1616,"O")</f>
        <v>1770.5799999998073</v>
      </c>
      <c r="BR1612" s="343">
        <f>SUMIFS($AU$1388:AU1616,$AA$1388:AA1616,"*")</f>
        <v>14083.799999999701</v>
      </c>
      <c r="BS1612" s="343">
        <f>SUMIFS($AU$1388:AU1616,$AB$1388:AB1616,"*")</f>
        <v>4007.1799999999307</v>
      </c>
      <c r="BT1612" s="343">
        <f>SUMIFS($AU$1388:AU1616,$AC$1388:AC1616,"*")</f>
        <v>7028.4</v>
      </c>
      <c r="BU1612" s="343">
        <f>SUMIFS($AU$1388:AU1616,$AA$1388:AA1616,"*",$AB$1388:AB1616,"*")</f>
        <v>1855.9999999998222</v>
      </c>
      <c r="BV1612" s="343">
        <f>SUMIFS($AU$1388:AU1616,$AA$1388:AA1616,"*",$AC$1388:AC1616,"*")</f>
        <v>6564.4</v>
      </c>
      <c r="BW1612" s="343">
        <f>SUMIFS($AU$1388:AU1616,$AB$1388:AB1616,"*",$AC$1388:AC1616,"*")</f>
        <v>719.99999999999818</v>
      </c>
      <c r="BX1612" s="343">
        <f>SUMIFS($AV$1388:AV1616,$Q$1388:Q1616,"F")</f>
        <v>221.28119764293677</v>
      </c>
      <c r="BY1612" s="343">
        <f>SUMIFS($AV$1388:AV1616,$Q$1388:Q1616,"S")</f>
        <v>296.74781249396261</v>
      </c>
      <c r="BZ1612" s="343">
        <f>SUMIFS($AV$1388:AV1616,$Q$1388:Q1616,"O")</f>
        <v>520.73999999985608</v>
      </c>
    </row>
    <row r="1613" spans="1:78" ht="15.75" customHeight="1">
      <c r="A1613" s="177" t="s">
        <v>5180</v>
      </c>
      <c r="B1613" s="200"/>
      <c r="C1613" s="178"/>
      <c r="D1613" s="178"/>
      <c r="E1613" s="227"/>
      <c r="F1613" s="180"/>
      <c r="G1613" s="181"/>
      <c r="H1613" s="182"/>
      <c r="I1613" s="182"/>
      <c r="J1613" s="182"/>
      <c r="K1613" s="183"/>
      <c r="L1613" s="182"/>
      <c r="M1613" s="182"/>
      <c r="N1613" s="182"/>
      <c r="O1613" s="183"/>
      <c r="P1613" s="183"/>
      <c r="Q1613" s="183"/>
      <c r="R1613" s="183"/>
      <c r="S1613" s="183"/>
      <c r="T1613" s="183"/>
      <c r="U1613" s="183"/>
      <c r="V1613" s="183"/>
      <c r="W1613" s="183"/>
      <c r="X1613" s="183"/>
      <c r="Y1613" s="274"/>
      <c r="Z1613" s="183"/>
      <c r="AA1613" s="185"/>
      <c r="AB1613" s="185"/>
      <c r="AC1613" s="185"/>
      <c r="AD1613" s="649"/>
      <c r="AE1613" s="182"/>
      <c r="AF1613" s="332"/>
      <c r="AG1613" s="182"/>
      <c r="AH1613" s="182"/>
      <c r="AI1613" s="182"/>
      <c r="AJ1613" s="640"/>
      <c r="AK1613" s="182"/>
      <c r="AL1613" s="496">
        <f t="shared" ref="AL1613:AL1615" si="464">-0.04*Z1613</f>
        <v>0</v>
      </c>
      <c r="AM1613" s="496">
        <f t="shared" si="454"/>
        <v>0</v>
      </c>
      <c r="AN1613" s="626"/>
      <c r="AO1613" s="182"/>
      <c r="AP1613" s="182"/>
      <c r="AQ1613" s="332" t="str">
        <f>UPPER(RIGHT(Journal_Live[[#This Row],[DURATION ]]))</f>
        <v/>
      </c>
      <c r="AR1613" s="182"/>
      <c r="AS1613" s="189"/>
      <c r="AT1613" s="189"/>
      <c r="AU1613" s="187"/>
      <c r="AV1613" s="190"/>
      <c r="AW1613" s="191"/>
      <c r="AX1613" s="539" t="s">
        <v>5479</v>
      </c>
      <c r="AY1613" s="535" t="s">
        <v>4838</v>
      </c>
      <c r="AZ1613" s="538" t="s">
        <v>5365</v>
      </c>
      <c r="BA1613" s="537" t="s">
        <v>5480</v>
      </c>
      <c r="BB1613" s="407"/>
      <c r="BC1613" s="407"/>
      <c r="BD1613" s="407"/>
      <c r="BE1613" s="407"/>
      <c r="BF1613" s="422"/>
      <c r="BG1613" s="391">
        <f>SUM($AV$1389:AV1613)</f>
        <v>2666.7690101367634</v>
      </c>
      <c r="BH1613" s="392">
        <f>SUM($AU$1389:AU1613)</f>
        <v>16298.979999999814</v>
      </c>
      <c r="BI1613" s="318">
        <f>SUMIFS($AU$1388:AU1617,$Q$1388:Q1617,"F")</f>
        <v>9348.4000000000015</v>
      </c>
      <c r="BJ1613" s="318">
        <f>SUMIFS($AU$1388:AU1617,$Q$1388:Q1617,"S")</f>
        <v>3503.9999999999918</v>
      </c>
      <c r="BK1613" s="343">
        <f>SUMIFS($AU$1388:AU1617,$P$1388:P1617,"W")</f>
        <v>9197.579999999929</v>
      </c>
      <c r="BL1613" s="343">
        <f>SUMIFS($AU$1388:AU1617,$P$1388:P1617,"R")</f>
        <v>5426</v>
      </c>
      <c r="BM1613" s="343">
        <f>SUMIFS($AU$1388:AU1617,$AQ$1388:AQ1617,"M")</f>
        <v>5219.3799999995472</v>
      </c>
      <c r="BN1613" s="343">
        <f>SUMIFS($AU$1388:AU1617,$AQ$1388:AQ1617,"H")</f>
        <v>3251.2000000002595</v>
      </c>
      <c r="BO1613" s="343">
        <f>SUMIFS($AU$1388:AU1617,$AQ$1388:AQ1617,"D")</f>
        <v>2670.0000000000009</v>
      </c>
      <c r="BP1613" s="343">
        <f>SUMIFS($AU$1388:AU1616,$AQ$1388:AQ1616,"W")</f>
        <v>5542.4000000000005</v>
      </c>
      <c r="BQ1613" s="343">
        <f>SUMIFS($AU$1388:AU1617,$Q$1388:Q1617,"O")</f>
        <v>1770.5799999998073</v>
      </c>
      <c r="BR1613" s="343">
        <f>SUMIFS($AU$1388:AU1617,$AA$1388:AA1617,"*")</f>
        <v>14163.799999999701</v>
      </c>
      <c r="BS1613" s="343">
        <f>SUMIFS($AU$1388:AU1617,$AB$1388:AB1617,"*")</f>
        <v>4007.1799999999307</v>
      </c>
      <c r="BT1613" s="343">
        <f>SUMIFS($AU$1388:AU1617,$AC$1388:AC1617,"*")</f>
        <v>7028.4</v>
      </c>
      <c r="BU1613" s="343">
        <f>SUMIFS($AU$1388:AU1617,$AA$1388:AA1617,"*",$AB$1388:AB1617,"*")</f>
        <v>1855.9999999998222</v>
      </c>
      <c r="BV1613" s="343">
        <f>SUMIFS($AU$1388:AU1617,$AA$1388:AA1617,"*",$AC$1388:AC1617,"*")</f>
        <v>6564.4</v>
      </c>
      <c r="BW1613" s="343">
        <f>SUMIFS($AU$1388:AU1617,$AB$1388:AB1617,"*",$AC$1388:AC1617,"*")</f>
        <v>719.99999999999818</v>
      </c>
      <c r="BX1613" s="343">
        <f>SUMIFS($AV$1388:AV1617,$Q$1388:Q1617,"F")</f>
        <v>221.28119764293677</v>
      </c>
      <c r="BY1613" s="343">
        <f>SUMIFS($AV$1388:AV1617,$Q$1388:Q1617,"S")</f>
        <v>296.74781249396261</v>
      </c>
      <c r="BZ1613" s="343">
        <f>SUMIFS($AV$1388:AV1617,$Q$1388:Q1617,"O")</f>
        <v>520.73999999985608</v>
      </c>
    </row>
    <row r="1614" spans="1:78" ht="15.75" customHeight="1">
      <c r="A1614" s="177" t="s">
        <v>5180</v>
      </c>
      <c r="B1614" s="200"/>
      <c r="C1614" s="178"/>
      <c r="D1614" s="178"/>
      <c r="E1614" s="227"/>
      <c r="F1614" s="180"/>
      <c r="G1614" s="181"/>
      <c r="H1614" s="182"/>
      <c r="I1614" s="182"/>
      <c r="J1614" s="182"/>
      <c r="K1614" s="183"/>
      <c r="L1614" s="182"/>
      <c r="M1614" s="182"/>
      <c r="N1614" s="182"/>
      <c r="O1614" s="183"/>
      <c r="P1614" s="183"/>
      <c r="Q1614" s="183"/>
      <c r="R1614" s="183"/>
      <c r="S1614" s="183"/>
      <c r="T1614" s="183"/>
      <c r="U1614" s="183"/>
      <c r="V1614" s="183"/>
      <c r="W1614" s="183"/>
      <c r="X1614" s="183"/>
      <c r="Y1614" s="274"/>
      <c r="Z1614" s="183"/>
      <c r="AA1614" s="185"/>
      <c r="AB1614" s="185"/>
      <c r="AC1614" s="185"/>
      <c r="AD1614" s="649"/>
      <c r="AE1614" s="182"/>
      <c r="AF1614" s="332"/>
      <c r="AG1614" s="182"/>
      <c r="AH1614" s="182"/>
      <c r="AI1614" s="182"/>
      <c r="AJ1614" s="640"/>
      <c r="AK1614" s="182"/>
      <c r="AL1614" s="496">
        <f t="shared" si="464"/>
        <v>0</v>
      </c>
      <c r="AM1614" s="496">
        <f t="shared" si="454"/>
        <v>0</v>
      </c>
      <c r="AN1614" s="626"/>
      <c r="AO1614" s="182"/>
      <c r="AP1614" s="182"/>
      <c r="AQ1614" s="332" t="str">
        <f>UPPER(RIGHT(Journal_Live[[#This Row],[DURATION ]]))</f>
        <v/>
      </c>
      <c r="AR1614" s="182"/>
      <c r="AS1614" s="189"/>
      <c r="AT1614" s="189"/>
      <c r="AU1614" s="187"/>
      <c r="AV1614" s="190"/>
      <c r="AW1614" s="191"/>
      <c r="AX1614" s="534" t="s">
        <v>5481</v>
      </c>
      <c r="AY1614" s="535" t="s">
        <v>5482</v>
      </c>
      <c r="AZ1614" s="538" t="s">
        <v>5483</v>
      </c>
      <c r="BA1614" s="537" t="s">
        <v>5484</v>
      </c>
      <c r="BB1614" s="407"/>
      <c r="BC1614" s="407"/>
      <c r="BD1614" s="407"/>
      <c r="BE1614" s="407"/>
      <c r="BF1614" s="422"/>
      <c r="BG1614" s="391">
        <f>SUM($AV$1389:AV1614)</f>
        <v>2666.7690101367634</v>
      </c>
      <c r="BH1614" s="392">
        <f>SUM($AU$1389:AU1614)</f>
        <v>16298.979999999814</v>
      </c>
      <c r="BI1614" s="318">
        <f>SUMIFS($AU$1388:AU1618,$Q$1388:Q1618,"F")</f>
        <v>9348.4000000000015</v>
      </c>
      <c r="BJ1614" s="318">
        <f>SUMIFS($AU$1388:AU1618,$Q$1388:Q1618,"S")</f>
        <v>3503.9999999999918</v>
      </c>
      <c r="BK1614" s="343">
        <f>SUMIFS($AU$1388:AU1618,$P$1388:P1618,"W")</f>
        <v>9197.579999999929</v>
      </c>
      <c r="BL1614" s="343">
        <f>SUMIFS($AU$1388:AU1618,$P$1388:P1618,"R")</f>
        <v>5266</v>
      </c>
      <c r="BM1614" s="343">
        <f>SUMIFS($AU$1388:AU1618,$AQ$1388:AQ1618,"M")</f>
        <v>5219.3799999995472</v>
      </c>
      <c r="BN1614" s="343">
        <f>SUMIFS($AU$1388:AU1618,$AQ$1388:AQ1618,"H")</f>
        <v>3251.2000000002595</v>
      </c>
      <c r="BO1614" s="343">
        <f>SUMIFS($AU$1388:AU1618,$AQ$1388:AQ1618,"D")</f>
        <v>2510.0000000000009</v>
      </c>
      <c r="BP1614" s="343">
        <f>SUMIFS($AU$1388:AU1617,$AQ$1388:AQ1617,"W")</f>
        <v>5542.4000000000005</v>
      </c>
      <c r="BQ1614" s="343">
        <f>SUMIFS($AU$1388:AU1618,$Q$1388:Q1618,"O")</f>
        <v>1770.5799999998073</v>
      </c>
      <c r="BR1614" s="343">
        <f>SUMIFS($AU$1388:AU1618,$AA$1388:AA1618,"*")</f>
        <v>14003.799999999701</v>
      </c>
      <c r="BS1614" s="343">
        <f>SUMIFS($AU$1388:AU1618,$AB$1388:AB1618,"*")</f>
        <v>4007.1799999999307</v>
      </c>
      <c r="BT1614" s="343">
        <f>SUMIFS($AU$1388:AU1618,$AC$1388:AC1618,"*")</f>
        <v>7028.4</v>
      </c>
      <c r="BU1614" s="343">
        <f>SUMIFS($AU$1388:AU1618,$AA$1388:AA1618,"*",$AB$1388:AB1618,"*")</f>
        <v>1855.9999999998222</v>
      </c>
      <c r="BV1614" s="343">
        <f>SUMIFS($AU$1388:AU1618,$AA$1388:AA1618,"*",$AC$1388:AC1618,"*")</f>
        <v>6564.4</v>
      </c>
      <c r="BW1614" s="343">
        <f>SUMIFS($AU$1388:AU1618,$AB$1388:AB1618,"*",$AC$1388:AC1618,"*")</f>
        <v>719.99999999999818</v>
      </c>
      <c r="BX1614" s="343">
        <f>SUMIFS($AV$1388:AV1618,$Q$1388:Q1618,"F")</f>
        <v>221.28119764293677</v>
      </c>
      <c r="BY1614" s="343">
        <f>SUMIFS($AV$1388:AV1618,$Q$1388:Q1618,"S")</f>
        <v>296.74781249396261</v>
      </c>
      <c r="BZ1614" s="343">
        <f>SUMIFS($AV$1388:AV1618,$Q$1388:Q1618,"O")</f>
        <v>520.73999999985608</v>
      </c>
    </row>
    <row r="1615" spans="1:78" ht="15.75" customHeight="1">
      <c r="A1615" s="177" t="s">
        <v>5180</v>
      </c>
      <c r="B1615" s="200"/>
      <c r="C1615" s="178"/>
      <c r="D1615" s="178"/>
      <c r="E1615" s="227"/>
      <c r="F1615" s="180"/>
      <c r="G1615" s="181"/>
      <c r="H1615" s="182"/>
      <c r="I1615" s="182"/>
      <c r="J1615" s="182"/>
      <c r="K1615" s="183"/>
      <c r="L1615" s="182"/>
      <c r="M1615" s="182"/>
      <c r="N1615" s="182"/>
      <c r="O1615" s="183"/>
      <c r="P1615" s="183"/>
      <c r="Q1615" s="183"/>
      <c r="R1615" s="183"/>
      <c r="S1615" s="183"/>
      <c r="T1615" s="183"/>
      <c r="U1615" s="183"/>
      <c r="V1615" s="183"/>
      <c r="W1615" s="183"/>
      <c r="X1615" s="183"/>
      <c r="Y1615" s="274"/>
      <c r="Z1615" s="183"/>
      <c r="AA1615" s="185"/>
      <c r="AB1615" s="185"/>
      <c r="AC1615" s="185"/>
      <c r="AD1615" s="649"/>
      <c r="AE1615" s="182"/>
      <c r="AF1615" s="332"/>
      <c r="AG1615" s="182"/>
      <c r="AH1615" s="182"/>
      <c r="AI1615" s="182"/>
      <c r="AJ1615" s="640"/>
      <c r="AK1615" s="182"/>
      <c r="AL1615" s="496">
        <f t="shared" si="464"/>
        <v>0</v>
      </c>
      <c r="AM1615" s="496">
        <f t="shared" si="454"/>
        <v>0</v>
      </c>
      <c r="AN1615" s="626"/>
      <c r="AO1615" s="182"/>
      <c r="AP1615" s="182"/>
      <c r="AQ1615" s="332" t="str">
        <f>UPPER(RIGHT(Journal_Live[[#This Row],[DURATION ]]))</f>
        <v/>
      </c>
      <c r="AR1615" s="182"/>
      <c r="AS1615" s="189"/>
      <c r="AT1615" s="189"/>
      <c r="AU1615" s="187"/>
      <c r="AV1615" s="190"/>
      <c r="AW1615" s="191"/>
      <c r="AX1615" s="534" t="s">
        <v>5481</v>
      </c>
      <c r="AY1615" s="535" t="s">
        <v>5485</v>
      </c>
      <c r="AZ1615" s="536" t="s">
        <v>5486</v>
      </c>
      <c r="BA1615" s="537" t="s">
        <v>5487</v>
      </c>
      <c r="BB1615" s="407"/>
      <c r="BC1615" s="407"/>
      <c r="BD1615" s="407"/>
      <c r="BE1615" s="407"/>
      <c r="BF1615" s="422"/>
      <c r="BG1615" s="391">
        <f>SUM($AV$1389:AV1615)</f>
        <v>2666.7690101367634</v>
      </c>
      <c r="BH1615" s="392">
        <f>SUM($AU$1389:AU1615)</f>
        <v>16298.979999999814</v>
      </c>
      <c r="BI1615" s="318">
        <f>SUMIFS($AU$1388:AU1619,$Q$1388:Q1619,"F")</f>
        <v>9348.4000000000015</v>
      </c>
      <c r="BJ1615" s="318">
        <f>SUMIFS($AU$1388:AU1619,$Q$1388:Q1619,"S")</f>
        <v>3503.9999999999918</v>
      </c>
      <c r="BK1615" s="343">
        <f>SUMIFS($AU$1388:AU1619,$P$1388:P1619,"W")</f>
        <v>9197.579999999929</v>
      </c>
      <c r="BL1615" s="343">
        <f>SUMIFS($AU$1388:AU1619,$P$1388:P1619,"R")</f>
        <v>4066</v>
      </c>
      <c r="BM1615" s="343">
        <f>SUMIFS($AU$1388:AU1619,$AQ$1388:AQ1619,"M")</f>
        <v>5219.3799999995472</v>
      </c>
      <c r="BN1615" s="343">
        <f>SUMIFS($AU$1388:AU1619,$AQ$1388:AQ1619,"H")</f>
        <v>3251.2000000002595</v>
      </c>
      <c r="BO1615" s="343">
        <f>SUMIFS($AU$1388:AU1619,$AQ$1388:AQ1619,"D")</f>
        <v>1310.0000000000011</v>
      </c>
      <c r="BP1615" s="343">
        <f>SUMIFS($AU$1388:AU1618,$AQ$1388:AQ1618,"W")</f>
        <v>5542.4000000000005</v>
      </c>
      <c r="BQ1615" s="343">
        <f>SUMIFS($AU$1388:AU1619,$Q$1388:Q1619,"O")</f>
        <v>1770.5799999998073</v>
      </c>
      <c r="BR1615" s="343">
        <f>SUMIFS($AU$1388:AU1619,$AA$1388:AA1619,"*")</f>
        <v>12803.799999999701</v>
      </c>
      <c r="BS1615" s="343">
        <f>SUMIFS($AU$1388:AU1619,$AB$1388:AB1619,"*")</f>
        <v>4007.1799999999307</v>
      </c>
      <c r="BT1615" s="343">
        <f>SUMIFS($AU$1388:AU1619,$AC$1388:AC1619,"*")</f>
        <v>7028.4</v>
      </c>
      <c r="BU1615" s="343">
        <f>SUMIFS($AU$1388:AU1619,$AA$1388:AA1619,"*",$AB$1388:AB1619,"*")</f>
        <v>1855.9999999998222</v>
      </c>
      <c r="BV1615" s="343">
        <f>SUMIFS($AU$1388:AU1619,$AA$1388:AA1619,"*",$AC$1388:AC1619,"*")</f>
        <v>6564.4</v>
      </c>
      <c r="BW1615" s="343">
        <f>SUMIFS($AU$1388:AU1619,$AB$1388:AB1619,"*",$AC$1388:AC1619,"*")</f>
        <v>719.99999999999818</v>
      </c>
      <c r="BX1615" s="343">
        <f>SUMIFS($AV$1388:AV1619,$Q$1388:Q1619,"F")</f>
        <v>221.28119764293677</v>
      </c>
      <c r="BY1615" s="343">
        <f>SUMIFS($AV$1388:AV1619,$Q$1388:Q1619,"S")</f>
        <v>296.74781249396261</v>
      </c>
      <c r="BZ1615" s="343">
        <f>SUMIFS($AV$1388:AV1619,$Q$1388:Q1619,"O")</f>
        <v>520.73999999985608</v>
      </c>
    </row>
    <row r="1616" spans="1:78" ht="15.75" customHeight="1">
      <c r="A1616" s="177" t="s">
        <v>5180</v>
      </c>
      <c r="B1616" s="200">
        <v>45343</v>
      </c>
      <c r="C1616" s="178" t="s">
        <v>1255</v>
      </c>
      <c r="D1616" s="178" t="s">
        <v>151</v>
      </c>
      <c r="E1616" s="227" t="s">
        <v>5488</v>
      </c>
      <c r="F1616" s="180"/>
      <c r="G1616" s="181"/>
      <c r="H1616" s="182"/>
      <c r="I1616" s="182">
        <v>1</v>
      </c>
      <c r="J1616" s="182"/>
      <c r="K1616" s="183"/>
      <c r="L1616" s="182"/>
      <c r="M1616" s="182"/>
      <c r="N1616" s="182"/>
      <c r="O1616" s="183"/>
      <c r="P1616" s="183"/>
      <c r="Q1616" s="183"/>
      <c r="R1616" s="183"/>
      <c r="S1616" s="183"/>
      <c r="T1616" s="183"/>
      <c r="U1616" s="183"/>
      <c r="V1616" s="183"/>
      <c r="W1616" s="183"/>
      <c r="X1616" s="183"/>
      <c r="Y1616" s="184"/>
      <c r="Z1616" s="185"/>
      <c r="AA1616" s="185"/>
      <c r="AB1616" s="185"/>
      <c r="AC1616" s="185"/>
      <c r="AD1616" s="649"/>
      <c r="AE1616" s="182"/>
      <c r="AF1616" s="332"/>
      <c r="AG1616" s="182"/>
      <c r="AH1616" s="182"/>
      <c r="AI1616" s="182"/>
      <c r="AJ1616" s="640"/>
      <c r="AK1616" s="182"/>
      <c r="AL1616" s="496">
        <f t="shared" si="462"/>
        <v>0</v>
      </c>
      <c r="AM1616" s="496">
        <f t="shared" si="454"/>
        <v>0</v>
      </c>
      <c r="AN1616" s="626"/>
      <c r="AO1616" s="182"/>
      <c r="AP1616" s="182"/>
      <c r="AQ1616" s="332" t="str">
        <f>UPPER(RIGHT(Journal_Live[[#This Row],[DURATION ]]))</f>
        <v/>
      </c>
      <c r="AR1616" s="182"/>
      <c r="AS1616" s="189"/>
      <c r="AT1616" s="189"/>
      <c r="AU1616" s="187"/>
      <c r="AV1616" s="190"/>
      <c r="AW1616" s="191"/>
      <c r="AX1616" s="407" t="s">
        <v>5489</v>
      </c>
      <c r="AY1616" s="409" t="s">
        <v>5490</v>
      </c>
      <c r="AZ1616" s="407"/>
      <c r="BA1616" s="407"/>
      <c r="BB1616" s="407"/>
      <c r="BC1616" s="407"/>
      <c r="BD1616" s="407"/>
      <c r="BE1616" s="407"/>
      <c r="BF1616" s="422"/>
      <c r="BG1616" s="391">
        <f>SUM($AV$1389:AV1616)</f>
        <v>2666.7690101367634</v>
      </c>
      <c r="BH1616" s="392">
        <f>SUM($AU$1389:AU1616)</f>
        <v>16298.979999999814</v>
      </c>
      <c r="BI1616" s="318">
        <f>SUMIFS($AU$1388:AU1617,$Q$1388:Q1617,"F")</f>
        <v>9348.4000000000015</v>
      </c>
      <c r="BJ1616" s="318">
        <f>SUMIFS($AU$1388:AU1617,$Q$1388:Q1617,"S")</f>
        <v>3503.9999999999918</v>
      </c>
      <c r="BK1616" s="343">
        <f>SUMIFS($AU$1388:AU1617,$P$1388:P1617,"W")</f>
        <v>9197.579999999929</v>
      </c>
      <c r="BL1616" s="343">
        <f>SUMIFS($AU$1388:AU1617,$P$1388:P1617,"R")</f>
        <v>5426</v>
      </c>
      <c r="BM1616" s="343">
        <f>SUMIFS($AU$1388:AU1617,$AQ$1388:AQ1617,"M")</f>
        <v>5219.3799999995472</v>
      </c>
      <c r="BN1616" s="343">
        <f>SUMIFS($AU$1388:AU1617,$AQ$1388:AQ1617,"H")</f>
        <v>3251.2000000002595</v>
      </c>
      <c r="BO1616" s="343">
        <f>SUMIFS($AU$1388:AU1617,$AQ$1388:AQ1617,"D")</f>
        <v>2670.0000000000009</v>
      </c>
      <c r="BP1616" s="343">
        <f>SUMIFS($AU$1388:AU1619,$AQ$1388:AQ1619,"W")</f>
        <v>5542.4000000000005</v>
      </c>
      <c r="BQ1616" s="343">
        <f>SUMIFS($AU$1388:AU1617,$Q$1388:Q1617,"O")</f>
        <v>1770.5799999998073</v>
      </c>
      <c r="BR1616" s="343">
        <f>SUMIFS($AU$1388:AU1617,$AA$1388:AA1617,"*")</f>
        <v>14163.799999999701</v>
      </c>
      <c r="BS1616" s="343">
        <f>SUMIFS($AU$1388:AU1617,$AB$1388:AB1617,"*")</f>
        <v>4007.1799999999307</v>
      </c>
      <c r="BT1616" s="343">
        <f>SUMIFS($AU$1388:AU1617,$AC$1388:AC1617,"*")</f>
        <v>7028.4</v>
      </c>
      <c r="BU1616" s="343">
        <f>SUMIFS($AU$1388:AU1617,$AA$1388:AA1617,"*",$AB$1388:AB1617,"*")</f>
        <v>1855.9999999998222</v>
      </c>
      <c r="BV1616" s="343">
        <f>SUMIFS($AU$1388:AU1617,$AA$1388:AA1617,"*",$AC$1388:AC1617,"*")</f>
        <v>6564.4</v>
      </c>
      <c r="BW1616" s="343">
        <f>SUMIFS($AU$1388:AU1617,$AB$1388:AB1617,"*",$AC$1388:AC1617,"*")</f>
        <v>719.99999999999818</v>
      </c>
      <c r="BX1616" s="343">
        <f>SUMIFS($AV$1388:AV1617,$Q$1388:Q1617,"F")</f>
        <v>221.28119764293677</v>
      </c>
      <c r="BY1616" s="343">
        <f>SUMIFS($AV$1388:AV1617,$Q$1388:Q1617,"S")</f>
        <v>296.74781249396261</v>
      </c>
      <c r="BZ1616" s="343">
        <f>SUMIFS($AV$1388:AV1617,$Q$1388:Q1617,"O")</f>
        <v>520.73999999985608</v>
      </c>
    </row>
    <row r="1617" spans="1:78" ht="15.75" customHeight="1">
      <c r="A1617" s="177" t="s">
        <v>5180</v>
      </c>
      <c r="B1617" s="200">
        <v>45344</v>
      </c>
      <c r="C1617" s="178" t="s">
        <v>5491</v>
      </c>
      <c r="D1617" s="178" t="s">
        <v>93</v>
      </c>
      <c r="E1617" s="227"/>
      <c r="F1617" s="180"/>
      <c r="G1617" s="484" t="s">
        <v>5012</v>
      </c>
      <c r="H1617" s="182"/>
      <c r="I1617" s="182"/>
      <c r="J1617" s="182"/>
      <c r="K1617" s="183"/>
      <c r="L1617" s="182">
        <v>1</v>
      </c>
      <c r="M1617" s="182"/>
      <c r="N1617" s="182"/>
      <c r="O1617" s="183" t="s">
        <v>2652</v>
      </c>
      <c r="P1617" s="183" t="s">
        <v>137</v>
      </c>
      <c r="Q1617" s="183"/>
      <c r="R1617" s="183">
        <v>1</v>
      </c>
      <c r="S1617" s="183">
        <v>0</v>
      </c>
      <c r="T1617" s="183">
        <v>1</v>
      </c>
      <c r="U1617" s="183" t="s">
        <v>97</v>
      </c>
      <c r="V1617" s="183"/>
      <c r="W1617" s="183"/>
      <c r="X1617" s="183"/>
      <c r="Y1617" s="184">
        <f t="shared" ref="Y1617:Y1622" si="465">IF(ISBLANK(O1617),"",(IF(O1617=UPPER("IB"),0.005,0.01)))</f>
        <v>0.01</v>
      </c>
      <c r="Z1617" s="185">
        <f>IF(ISBLANK(O1617),"",IF(O1617="IB",8.63*200,IF(O1617="IR",16*100,IF(O1617="YT",20*100,IF(O1617="YT-XT",24*200,IF(O1617="TED",80*100))))))</f>
        <v>8000</v>
      </c>
      <c r="AA1617" s="185" t="s">
        <v>5492</v>
      </c>
      <c r="AB1617" s="185"/>
      <c r="AC1617" s="185"/>
      <c r="AD1617" s="649">
        <v>-0.18</v>
      </c>
      <c r="AE1617" s="182"/>
      <c r="AF1617" s="332"/>
      <c r="AG1617" s="182"/>
      <c r="AH1617" s="182"/>
      <c r="AI1617" s="182"/>
      <c r="AJ1617" s="640"/>
      <c r="AK1617" s="182"/>
      <c r="AL1617" s="496">
        <f t="shared" si="462"/>
        <v>-160</v>
      </c>
      <c r="AM1617" s="496">
        <f t="shared" ref="AM1617:AM1644" si="466">AL1617*(R1617-S1617)</f>
        <v>-160</v>
      </c>
      <c r="AN1617" s="626"/>
      <c r="AO1617" s="182"/>
      <c r="AP1617" s="182" t="s">
        <v>1897</v>
      </c>
      <c r="AQ1617" s="332" t="s">
        <v>372</v>
      </c>
      <c r="AR1617" s="182" t="s">
        <v>5493</v>
      </c>
      <c r="AS1617" s="189">
        <v>-0.19</v>
      </c>
      <c r="AT1617" s="189">
        <f t="shared" ref="AT1617:AT1622" si="467">IF(ISBLANK(AS1617),,IF(U1617="S",AD1617-AS1617,AS1617-AD1617))</f>
        <v>1.0000000000000009E-2</v>
      </c>
      <c r="AU1617" s="187">
        <f t="shared" ref="AU1617:AU1622" si="468">AV1617*R1617</f>
        <v>80.000000000000071</v>
      </c>
      <c r="AV1617" s="190">
        <f t="shared" ref="AV1617" si="469">IF(ISBLANK(AS1617),,(AT1617*Z1617))</f>
        <v>80.000000000000071</v>
      </c>
      <c r="AW1617" s="191" t="s">
        <v>96</v>
      </c>
      <c r="AX1617" s="407"/>
      <c r="AY1617" s="407"/>
      <c r="AZ1617" s="407"/>
      <c r="BA1617" s="407"/>
      <c r="BB1617" s="407"/>
      <c r="BC1617" s="407"/>
      <c r="BD1617" s="407"/>
      <c r="BE1617" s="407"/>
      <c r="BF1617" s="422"/>
      <c r="BG1617" s="391">
        <f>SUM($AV$1389:AV1617)</f>
        <v>2746.7690101367634</v>
      </c>
      <c r="BH1617" s="392">
        <f>SUM($AU$1389:AU1617)</f>
        <v>16378.979999999814</v>
      </c>
      <c r="BI1617" s="318">
        <f>SUMIFS($AU$1388:AU1618,$Q$1388:Q1618,"F")</f>
        <v>9348.4000000000015</v>
      </c>
      <c r="BJ1617" s="318">
        <f>SUMIFS($AU$1388:AU1618,$Q$1388:Q1618,"S")</f>
        <v>3503.9999999999918</v>
      </c>
      <c r="BK1617" s="343">
        <f>SUMIFS($AU$1388:AU1618,$P$1388:P1618,"W")</f>
        <v>9197.579999999929</v>
      </c>
      <c r="BL1617" s="343">
        <f>SUMIFS($AU$1388:AU1618,$P$1388:P1618,"R")</f>
        <v>5266</v>
      </c>
      <c r="BM1617" s="343">
        <f>SUMIFS($AU$1388:AU1618,$AQ$1388:AQ1618,"M")</f>
        <v>5219.3799999995472</v>
      </c>
      <c r="BN1617" s="343">
        <f>SUMIFS($AU$1388:AU1618,$AQ$1388:AQ1618,"H")</f>
        <v>3251.2000000002595</v>
      </c>
      <c r="BO1617" s="343">
        <f>SUMIFS($AU$1388:AU1618,$AQ$1388:AQ1618,"D")</f>
        <v>2510.0000000000009</v>
      </c>
      <c r="BP1617" s="343">
        <f>SUMIFS($AU$1388:AU1620,$AQ$1388:AQ1620,"W")</f>
        <v>5542.4000000000005</v>
      </c>
      <c r="BQ1617" s="343">
        <f>SUMIFS($AU$1388:AU1618,$Q$1388:Q1618,"O")</f>
        <v>1770.5799999998073</v>
      </c>
      <c r="BR1617" s="343">
        <f>SUMIFS($AU$1388:AU1618,$AA$1388:AA1618,"*")</f>
        <v>14003.799999999701</v>
      </c>
      <c r="BS1617" s="343">
        <f>SUMIFS($AU$1388:AU1618,$AB$1388:AB1618,"*")</f>
        <v>4007.1799999999307</v>
      </c>
      <c r="BT1617" s="343">
        <f>SUMIFS($AU$1388:AU1618,$AC$1388:AC1618,"*")</f>
        <v>7028.4</v>
      </c>
      <c r="BU1617" s="343">
        <f>SUMIFS($AU$1388:AU1618,$AA$1388:AA1618,"*",$AB$1388:AB1618,"*")</f>
        <v>1855.9999999998222</v>
      </c>
      <c r="BV1617" s="343">
        <f>SUMIFS($AU$1388:AU1618,$AA$1388:AA1618,"*",$AC$1388:AC1618,"*")</f>
        <v>6564.4</v>
      </c>
      <c r="BW1617" s="343">
        <f>SUMIFS($AU$1388:AU1618,$AB$1388:AB1618,"*",$AC$1388:AC1618,"*")</f>
        <v>719.99999999999818</v>
      </c>
      <c r="BX1617" s="343">
        <f>SUMIFS($AV$1388:AV1618,$Q$1388:Q1618,"F")</f>
        <v>221.28119764293677</v>
      </c>
      <c r="BY1617" s="343">
        <f>SUMIFS($AV$1388:AV1618,$Q$1388:Q1618,"S")</f>
        <v>296.74781249396261</v>
      </c>
      <c r="BZ1617" s="343">
        <f>SUMIFS($AV$1388:AV1618,$Q$1388:Q1618,"O")</f>
        <v>520.73999999985608</v>
      </c>
    </row>
    <row r="1618" spans="1:78" ht="15.75" customHeight="1">
      <c r="A1618" s="177" t="s">
        <v>5180</v>
      </c>
      <c r="B1618" s="200">
        <v>45344</v>
      </c>
      <c r="C1618" s="178" t="s">
        <v>5494</v>
      </c>
      <c r="D1618" s="178" t="s">
        <v>93</v>
      </c>
      <c r="E1618" s="227"/>
      <c r="F1618" s="180"/>
      <c r="G1618" s="484" t="s">
        <v>5025</v>
      </c>
      <c r="H1618" s="182"/>
      <c r="I1618" s="182"/>
      <c r="J1618" s="182"/>
      <c r="K1618" s="183"/>
      <c r="L1618" s="182">
        <v>1</v>
      </c>
      <c r="M1618" s="182"/>
      <c r="N1618" s="182"/>
      <c r="O1618" s="183" t="s">
        <v>2652</v>
      </c>
      <c r="P1618" s="183" t="s">
        <v>137</v>
      </c>
      <c r="Q1618" s="183"/>
      <c r="R1618" s="183">
        <v>2</v>
      </c>
      <c r="S1618" s="183">
        <v>2</v>
      </c>
      <c r="T1618" s="183">
        <v>1</v>
      </c>
      <c r="U1618" s="183" t="s">
        <v>22</v>
      </c>
      <c r="V1618" s="183"/>
      <c r="W1618" s="183"/>
      <c r="X1618" s="183"/>
      <c r="Y1618" s="184">
        <f t="shared" si="465"/>
        <v>0.01</v>
      </c>
      <c r="Z1618" s="185">
        <f>IF(ISBLANK(O1618),"",IF(O1618="IB",8.63*200,IF(O1618="IR",16*100,IF(O1618="YT",20*100,IF(O1618="YT-XT",24*200,IF(O1618="TED",80*100))))))</f>
        <v>8000</v>
      </c>
      <c r="AA1618" s="185" t="s">
        <v>99</v>
      </c>
      <c r="AB1618" s="185"/>
      <c r="AC1618" s="185"/>
      <c r="AD1618" s="649">
        <v>-0.11</v>
      </c>
      <c r="AE1618" s="182"/>
      <c r="AF1618" s="332"/>
      <c r="AG1618" s="182"/>
      <c r="AH1618" s="182"/>
      <c r="AI1618" s="182"/>
      <c r="AJ1618" s="640"/>
      <c r="AK1618" s="182"/>
      <c r="AL1618" s="496">
        <f t="shared" si="462"/>
        <v>-160</v>
      </c>
      <c r="AM1618" s="496">
        <f t="shared" si="466"/>
        <v>0</v>
      </c>
      <c r="AN1618" s="626"/>
      <c r="AO1618" s="182"/>
      <c r="AP1618" s="182" t="s">
        <v>770</v>
      </c>
      <c r="AQ1618" s="332" t="s">
        <v>115</v>
      </c>
      <c r="AR1618" s="182" t="s">
        <v>5495</v>
      </c>
      <c r="AS1618" s="189">
        <v>-0.12</v>
      </c>
      <c r="AT1618" s="189">
        <f t="shared" si="467"/>
        <v>-9.999999999999995E-3</v>
      </c>
      <c r="AU1618" s="187">
        <f t="shared" si="468"/>
        <v>-159.99999999999991</v>
      </c>
      <c r="AV1618" s="190">
        <f t="shared" ref="AV1618:AV1621" si="470">IF(ISBLANK(AS1618),,(AT1618*Z1618))</f>
        <v>-79.999999999999957</v>
      </c>
      <c r="AW1618" s="191" t="s">
        <v>229</v>
      </c>
      <c r="AX1618" s="407" t="s">
        <v>5496</v>
      </c>
      <c r="AY1618" s="407" t="s">
        <v>5497</v>
      </c>
      <c r="AZ1618" s="407"/>
      <c r="BA1618" s="407"/>
      <c r="BB1618" s="407"/>
      <c r="BC1618" s="407"/>
      <c r="BD1618" s="407"/>
      <c r="BE1618" s="407"/>
      <c r="BF1618" s="422"/>
      <c r="BG1618" s="391">
        <f>SUM($AV$1389:AV1618)</f>
        <v>2666.7690101367634</v>
      </c>
      <c r="BH1618" s="392">
        <f>SUM($AU$1389:AU1618)</f>
        <v>16218.979999999814</v>
      </c>
      <c r="BI1618" s="318">
        <f>SUMIFS($AU$1388:AU1619,$Q$1388:Q1619,"F")</f>
        <v>9348.4000000000015</v>
      </c>
      <c r="BJ1618" s="318">
        <f>SUMIFS($AU$1388:AU1619,$Q$1388:Q1619,"S")</f>
        <v>3503.9999999999918</v>
      </c>
      <c r="BK1618" s="343">
        <f>SUMIFS($AU$1388:AU1619,$P$1388:P1619,"W")</f>
        <v>9197.579999999929</v>
      </c>
      <c r="BL1618" s="343">
        <f>SUMIFS($AU$1388:AU1619,$P$1388:P1619,"R")</f>
        <v>4066</v>
      </c>
      <c r="BM1618" s="343">
        <f>SUMIFS($AU$1388:AU1619,$AQ$1388:AQ1619,"M")</f>
        <v>5219.3799999995472</v>
      </c>
      <c r="BN1618" s="343">
        <f>SUMIFS($AU$1388:AU1619,$AQ$1388:AQ1619,"H")</f>
        <v>3251.2000000002595</v>
      </c>
      <c r="BO1618" s="343">
        <f>SUMIFS($AU$1388:AU1619,$AQ$1388:AQ1619,"D")</f>
        <v>1310.0000000000011</v>
      </c>
      <c r="BP1618" s="343">
        <f>SUMIFS($AU$1388:AU1621,$AQ$1388:AQ1621,"W")</f>
        <v>5542.4000000000005</v>
      </c>
      <c r="BQ1618" s="343">
        <f>SUMIFS($AU$1388:AU1619,$Q$1388:Q1619,"O")</f>
        <v>1770.5799999998073</v>
      </c>
      <c r="BR1618" s="343">
        <f>SUMIFS($AU$1388:AU1619,$AA$1388:AA1619,"*")</f>
        <v>12803.799999999701</v>
      </c>
      <c r="BS1618" s="343">
        <f>SUMIFS($AU$1388:AU1619,$AB$1388:AB1619,"*")</f>
        <v>4007.1799999999307</v>
      </c>
      <c r="BT1618" s="343">
        <f>SUMIFS($AU$1388:AU1619,$AC$1388:AC1619,"*")</f>
        <v>7028.4</v>
      </c>
      <c r="BU1618" s="343">
        <f>SUMIFS($AU$1388:AU1619,$AA$1388:AA1619,"*",$AB$1388:AB1619,"*")</f>
        <v>1855.9999999998222</v>
      </c>
      <c r="BV1618" s="343">
        <f>SUMIFS($AU$1388:AU1619,$AA$1388:AA1619,"*",$AC$1388:AC1619,"*")</f>
        <v>6564.4</v>
      </c>
      <c r="BW1618" s="343">
        <f>SUMIFS($AU$1388:AU1619,$AB$1388:AB1619,"*",$AC$1388:AC1619,"*")</f>
        <v>719.99999999999818</v>
      </c>
      <c r="BX1618" s="343">
        <f>SUMIFS($AV$1388:AV1619,$Q$1388:Q1619,"F")</f>
        <v>221.28119764293677</v>
      </c>
      <c r="BY1618" s="343">
        <f>SUMIFS($AV$1388:AV1619,$Q$1388:Q1619,"S")</f>
        <v>296.74781249396261</v>
      </c>
      <c r="BZ1618" s="343">
        <f>SUMIFS($AV$1388:AV1619,$Q$1388:Q1619,"O")</f>
        <v>520.73999999985608</v>
      </c>
    </row>
    <row r="1619" spans="1:78" ht="15.75" customHeight="1">
      <c r="A1619" s="177" t="s">
        <v>5180</v>
      </c>
      <c r="B1619" s="200">
        <v>45344</v>
      </c>
      <c r="C1619" s="178" t="s">
        <v>5498</v>
      </c>
      <c r="D1619" s="178" t="s">
        <v>93</v>
      </c>
      <c r="E1619" s="227"/>
      <c r="F1619" s="180"/>
      <c r="G1619" s="484" t="s">
        <v>5025</v>
      </c>
      <c r="H1619" s="182"/>
      <c r="I1619" s="182"/>
      <c r="J1619" s="182"/>
      <c r="K1619" s="183"/>
      <c r="L1619" s="182">
        <v>1</v>
      </c>
      <c r="M1619" s="182"/>
      <c r="N1619" s="182"/>
      <c r="O1619" s="183" t="s">
        <v>5325</v>
      </c>
      <c r="P1619" s="183" t="s">
        <v>137</v>
      </c>
      <c r="Q1619" s="183"/>
      <c r="R1619" s="183">
        <v>1</v>
      </c>
      <c r="S1619" s="183">
        <v>0</v>
      </c>
      <c r="T1619" s="183">
        <v>1</v>
      </c>
      <c r="U1619" s="183" t="s">
        <v>22</v>
      </c>
      <c r="V1619" s="183"/>
      <c r="W1619" s="183"/>
      <c r="X1619" s="183"/>
      <c r="Y1619" s="184">
        <f t="shared" si="465"/>
        <v>0.01</v>
      </c>
      <c r="Z1619" s="185">
        <f>IF(ISBLANK(O1619),"",IF(O1619="IB",8.63*200,IF(O1619="IR",16*100,IF(O1619="YT",20*100,IF(O1619="YT-XT",24*200,IF(O1619="TED",80*100,IF(O1619="IR|YT",300*100)))))))</f>
        <v>30000</v>
      </c>
      <c r="AA1619" s="185" t="s">
        <v>5499</v>
      </c>
      <c r="AB1619" s="185"/>
      <c r="AC1619" s="185"/>
      <c r="AD1619" s="649">
        <v>-0.11</v>
      </c>
      <c r="AE1619" s="182"/>
      <c r="AF1619" s="332"/>
      <c r="AG1619" s="182"/>
      <c r="AH1619" s="182"/>
      <c r="AI1619" s="182"/>
      <c r="AJ1619" s="640"/>
      <c r="AK1619" s="182"/>
      <c r="AL1619" s="496">
        <f t="shared" si="460"/>
        <v>-600</v>
      </c>
      <c r="AM1619" s="496">
        <f t="shared" si="466"/>
        <v>-600</v>
      </c>
      <c r="AN1619" s="626"/>
      <c r="AO1619" s="182"/>
      <c r="AP1619" s="182" t="s">
        <v>770</v>
      </c>
      <c r="AQ1619" s="332" t="s">
        <v>115</v>
      </c>
      <c r="AR1619" s="182" t="s">
        <v>5500</v>
      </c>
      <c r="AS1619" s="189">
        <v>-0.15</v>
      </c>
      <c r="AT1619" s="189">
        <f t="shared" si="467"/>
        <v>-3.9999999999999994E-2</v>
      </c>
      <c r="AU1619" s="187">
        <f t="shared" si="468"/>
        <v>-1199.9999999999998</v>
      </c>
      <c r="AV1619" s="190">
        <f t="shared" si="470"/>
        <v>-1199.9999999999998</v>
      </c>
      <c r="AW1619" s="191" t="s">
        <v>229</v>
      </c>
      <c r="AX1619" s="407" t="s">
        <v>5501</v>
      </c>
      <c r="AY1619" s="407" t="s">
        <v>5502</v>
      </c>
      <c r="AZ1619" s="407" t="s">
        <v>5503</v>
      </c>
      <c r="BA1619" s="407"/>
      <c r="BB1619" s="407"/>
      <c r="BC1619" s="407"/>
      <c r="BD1619" s="407" t="s">
        <v>5504</v>
      </c>
      <c r="BE1619" s="407" t="s">
        <v>5505</v>
      </c>
      <c r="BF1619" s="422" t="s">
        <v>5506</v>
      </c>
      <c r="BG1619" s="391">
        <f>SUM($AV$1389:AV1619)</f>
        <v>1466.7690101367637</v>
      </c>
      <c r="BH1619" s="392">
        <f>SUM($AU$1389:AU1619)</f>
        <v>15018.979999999814</v>
      </c>
      <c r="BI1619" s="318">
        <f>SUMIFS($AU$1388:AU1623,$Q$1388:Q1623,"F")</f>
        <v>9348.4000000000015</v>
      </c>
      <c r="BJ1619" s="318">
        <f>SUMIFS($AU$1388:AU1623,$Q$1388:Q1623,"S")</f>
        <v>3759.9999999999914</v>
      </c>
      <c r="BK1619" s="343">
        <f>SUMIFS($AU$1388:AU1623,$P$1388:P1623,"W")</f>
        <v>9197.579999999929</v>
      </c>
      <c r="BL1619" s="343">
        <f>SUMIFS($AU$1388:AU1623,$P$1388:P1623,"R")</f>
        <v>4021.9999999999991</v>
      </c>
      <c r="BM1619" s="343">
        <f>SUMIFS($AU$1388:AU1623,$AQ$1388:AQ1623,"M")</f>
        <v>5219.3799999995472</v>
      </c>
      <c r="BN1619" s="343">
        <f>SUMIFS($AU$1388:AU1623,$AQ$1388:AQ1623,"H")</f>
        <v>3251.2000000002595</v>
      </c>
      <c r="BO1619" s="343">
        <f>SUMIFS($AU$1388:AU1623,$AQ$1388:AQ1623,"D")</f>
        <v>1266.0000000000005</v>
      </c>
      <c r="BP1619" s="343">
        <f>SUMIFS($AU$1388:AU1622,$AQ$1388:AQ1622,"W")</f>
        <v>5542.4000000000005</v>
      </c>
      <c r="BQ1619" s="343">
        <f>SUMIFS($AU$1388:AU1623,$Q$1388:Q1623,"O")</f>
        <v>1770.5799999998073</v>
      </c>
      <c r="BR1619" s="343">
        <f>SUMIFS($AU$1388:AU1623,$AA$1388:AA1623,"*")</f>
        <v>12759.799999999701</v>
      </c>
      <c r="BS1619" s="343">
        <f>SUMIFS($AU$1388:AU1623,$AB$1388:AB1623,"*")</f>
        <v>4007.1799999999307</v>
      </c>
      <c r="BT1619" s="343">
        <f>SUMIFS($AU$1388:AU1623,$AC$1388:AC1623,"*")</f>
        <v>7028.4</v>
      </c>
      <c r="BU1619" s="343">
        <f>SUMIFS($AU$1388:AU1623,$AA$1388:AA1623,"*",$AB$1388:AB1623,"*")</f>
        <v>1855.9999999998222</v>
      </c>
      <c r="BV1619" s="343">
        <f>SUMIFS($AU$1388:AU1623,$AA$1388:AA1623,"*",$AC$1388:AC1623,"*")</f>
        <v>6564.4</v>
      </c>
      <c r="BW1619" s="343">
        <f>SUMIFS($AU$1388:AU1623,$AB$1388:AB1623,"*",$AC$1388:AC1623,"*")</f>
        <v>719.99999999999818</v>
      </c>
      <c r="BX1619" s="343">
        <f>SUMIFS($AV$1388:AV1623,$Q$1388:Q1623,"F")</f>
        <v>221.28119764293677</v>
      </c>
      <c r="BY1619" s="343">
        <f>SUMIFS($AV$1388:AV1623,$Q$1388:Q1623,"S")</f>
        <v>312.74781249396256</v>
      </c>
      <c r="BZ1619" s="343">
        <f>SUMIFS($AV$1388:AV1623,$Q$1388:Q1623,"O")</f>
        <v>520.73999999985608</v>
      </c>
    </row>
    <row r="1620" spans="1:78" ht="15.75" customHeight="1">
      <c r="A1620" s="177" t="s">
        <v>5180</v>
      </c>
      <c r="B1620" s="200">
        <v>45344</v>
      </c>
      <c r="C1620" s="178" t="s">
        <v>4018</v>
      </c>
      <c r="D1620" s="178" t="s">
        <v>93</v>
      </c>
      <c r="E1620" s="227"/>
      <c r="F1620" s="180"/>
      <c r="G1620" s="484" t="s">
        <v>5012</v>
      </c>
      <c r="H1620" s="182"/>
      <c r="I1620" s="182"/>
      <c r="J1620" s="182"/>
      <c r="K1620" s="183"/>
      <c r="L1620" s="182">
        <v>1</v>
      </c>
      <c r="M1620" s="182"/>
      <c r="N1620" s="182"/>
      <c r="O1620" s="183" t="s">
        <v>5325</v>
      </c>
      <c r="P1620" s="183" t="s">
        <v>137</v>
      </c>
      <c r="Q1620" s="183"/>
      <c r="R1620" s="183">
        <v>1</v>
      </c>
      <c r="S1620" s="183">
        <v>0</v>
      </c>
      <c r="T1620" s="183">
        <v>1</v>
      </c>
      <c r="U1620" s="183" t="s">
        <v>22</v>
      </c>
      <c r="V1620" s="183"/>
      <c r="W1620" s="183"/>
      <c r="X1620" s="183"/>
      <c r="Y1620" s="184">
        <f t="shared" si="465"/>
        <v>0.01</v>
      </c>
      <c r="Z1620" s="185">
        <f>IF(ISBLANK(O1620),"",IF(O1620="IB",8.63*200,IF(O1620="IR",16*100,IF(O1620="YT",20*100,IF(O1620="YT-XT",24*200,IF(O1620="TED",80*100,IF(O1620="IR|YT",300*100)))))))</f>
        <v>30000</v>
      </c>
      <c r="AA1620" s="185" t="s">
        <v>5445</v>
      </c>
      <c r="AB1620" s="185"/>
      <c r="AC1620" s="185"/>
      <c r="AD1620" s="649">
        <v>-0.06</v>
      </c>
      <c r="AE1620" s="182"/>
      <c r="AF1620" s="332"/>
      <c r="AG1620" s="182"/>
      <c r="AH1620" s="182"/>
      <c r="AI1620" s="182"/>
      <c r="AJ1620" s="640"/>
      <c r="AK1620" s="182"/>
      <c r="AL1620" s="496">
        <f t="shared" si="460"/>
        <v>-600</v>
      </c>
      <c r="AM1620" s="496">
        <f t="shared" si="466"/>
        <v>-600</v>
      </c>
      <c r="AN1620" s="626"/>
      <c r="AO1620" s="182"/>
      <c r="AP1620" s="182" t="s">
        <v>770</v>
      </c>
      <c r="AQ1620" s="332" t="s">
        <v>115</v>
      </c>
      <c r="AR1620" s="182" t="s">
        <v>5507</v>
      </c>
      <c r="AS1620" s="189">
        <v>-7.0000000000000007E-2</v>
      </c>
      <c r="AT1620" s="189">
        <f t="shared" si="467"/>
        <v>-1.0000000000000009E-2</v>
      </c>
      <c r="AU1620" s="187">
        <f t="shared" si="468"/>
        <v>-300.00000000000028</v>
      </c>
      <c r="AV1620" s="190">
        <f t="shared" si="470"/>
        <v>-300.00000000000028</v>
      </c>
      <c r="AW1620" s="191" t="s">
        <v>229</v>
      </c>
      <c r="AX1620" s="407" t="s">
        <v>5508</v>
      </c>
      <c r="AY1620" s="407"/>
      <c r="AZ1620" s="407"/>
      <c r="BA1620" s="407"/>
      <c r="BB1620" s="407"/>
      <c r="BC1620" s="407"/>
      <c r="BD1620" s="407" t="s">
        <v>5509</v>
      </c>
      <c r="BE1620" s="407" t="s">
        <v>5510</v>
      </c>
      <c r="BF1620" s="422"/>
      <c r="BG1620" s="391">
        <f>SUM($AV$1389:AV1620)</f>
        <v>1166.7690101367634</v>
      </c>
      <c r="BH1620" s="392">
        <f>SUM($AU$1389:AU1620)</f>
        <v>14718.979999999814</v>
      </c>
      <c r="BI1620" s="318">
        <f>SUMIFS($AU$1388:AU1621,$Q$1388:Q1621,"F")</f>
        <v>9348.4000000000015</v>
      </c>
      <c r="BJ1620" s="318">
        <f>SUMIFS($AU$1388:AU1621,$Q$1388:Q1621,"S")</f>
        <v>3759.9999999999914</v>
      </c>
      <c r="BK1620" s="343">
        <f>SUMIFS($AU$1388:AU1621,$P$1388:P1621,"W")</f>
        <v>9197.579999999929</v>
      </c>
      <c r="BL1620" s="343">
        <f>SUMIFS($AU$1388:AU1621,$P$1388:P1621,"R")</f>
        <v>4021.9999999999991</v>
      </c>
      <c r="BM1620" s="343">
        <f>SUMIFS($AU$1388:AU1621,$AQ$1388:AQ1621,"M")</f>
        <v>5219.3799999995472</v>
      </c>
      <c r="BN1620" s="343">
        <f>SUMIFS($AU$1388:AU1621,$AQ$1388:AQ1621,"H")</f>
        <v>3251.2000000002595</v>
      </c>
      <c r="BO1620" s="343">
        <f>SUMIFS($AU$1388:AU1621,$AQ$1388:AQ1621,"D")</f>
        <v>1266.0000000000005</v>
      </c>
      <c r="BP1620" s="343">
        <f>SUMIFS($AU$1388:AU1623,$AQ$1388:AQ1623,"W")</f>
        <v>5542.4000000000005</v>
      </c>
      <c r="BQ1620" s="343">
        <f>SUMIFS($AU$1388:AU1621,$Q$1388:Q1621,"O")</f>
        <v>1770.5799999998073</v>
      </c>
      <c r="BR1620" s="343">
        <f>SUMIFS($AU$1388:AU1621,$AA$1388:AA1621,"*")</f>
        <v>12759.799999999701</v>
      </c>
      <c r="BS1620" s="343">
        <f>SUMIFS($AU$1388:AU1621,$AB$1388:AB1621,"*")</f>
        <v>4007.1799999999307</v>
      </c>
      <c r="BT1620" s="343">
        <f>SUMIFS($AU$1388:AU1621,$AC$1388:AC1621,"*")</f>
        <v>7028.4</v>
      </c>
      <c r="BU1620" s="343">
        <f>SUMIFS($AU$1388:AU1621,$AA$1388:AA1621,"*",$AB$1388:AB1621,"*")</f>
        <v>1855.9999999998222</v>
      </c>
      <c r="BV1620" s="343">
        <f>SUMIFS($AU$1388:AU1621,$AA$1388:AA1621,"*",$AC$1388:AC1621,"*")</f>
        <v>6564.4</v>
      </c>
      <c r="BW1620" s="343">
        <f>SUMIFS($AU$1388:AU1621,$AB$1388:AB1621,"*",$AC$1388:AC1621,"*")</f>
        <v>719.99999999999818</v>
      </c>
      <c r="BX1620" s="343">
        <f>SUMIFS($AV$1388:AV1621,$Q$1388:Q1621,"F")</f>
        <v>221.28119764293677</v>
      </c>
      <c r="BY1620" s="343">
        <f>SUMIFS($AV$1388:AV1621,$Q$1388:Q1621,"S")</f>
        <v>312.74781249396256</v>
      </c>
      <c r="BZ1620" s="343">
        <f>SUMIFS($AV$1388:AV1621,$Q$1388:Q1621,"O")</f>
        <v>520.73999999985608</v>
      </c>
    </row>
    <row r="1621" spans="1:78" ht="15.75" customHeight="1">
      <c r="A1621" s="177" t="s">
        <v>5180</v>
      </c>
      <c r="B1621" s="200">
        <v>45344</v>
      </c>
      <c r="C1621" s="178" t="s">
        <v>5511</v>
      </c>
      <c r="D1621" s="178" t="s">
        <v>93</v>
      </c>
      <c r="E1621" s="227"/>
      <c r="F1621" s="180"/>
      <c r="G1621" s="484" t="s">
        <v>5282</v>
      </c>
      <c r="H1621" s="182"/>
      <c r="I1621" s="182"/>
      <c r="J1621" s="182"/>
      <c r="K1621" s="183"/>
      <c r="L1621" s="182">
        <v>1</v>
      </c>
      <c r="M1621" s="182"/>
      <c r="N1621" s="182"/>
      <c r="O1621" s="183" t="s">
        <v>95</v>
      </c>
      <c r="P1621" s="183" t="s">
        <v>137</v>
      </c>
      <c r="Q1621" s="183" t="s">
        <v>97</v>
      </c>
      <c r="R1621" s="183">
        <v>16</v>
      </c>
      <c r="S1621" s="183">
        <v>0</v>
      </c>
      <c r="T1621" s="183">
        <v>16</v>
      </c>
      <c r="U1621" s="183" t="s">
        <v>22</v>
      </c>
      <c r="V1621" s="183"/>
      <c r="W1621" s="183"/>
      <c r="X1621" s="183"/>
      <c r="Y1621" s="184">
        <f t="shared" si="465"/>
        <v>0.01</v>
      </c>
      <c r="Z1621" s="185">
        <f>IF(ISBLANK(O1621),"",IF(O1621="IB",8.63*200,IF(O1621="IR",16*100,IF(O1621="YT",20*100,IF(O1621="YT-XT",24*200,IF(O1621="TED",80*100))))))</f>
        <v>1600</v>
      </c>
      <c r="AA1621" s="185" t="s">
        <v>4838</v>
      </c>
      <c r="AB1621" s="185"/>
      <c r="AC1621" s="185"/>
      <c r="AD1621" s="649">
        <v>-0.15</v>
      </c>
      <c r="AE1621" s="182"/>
      <c r="AF1621" s="332"/>
      <c r="AG1621" s="182"/>
      <c r="AH1621" s="182"/>
      <c r="AI1621" s="182"/>
      <c r="AJ1621" s="640"/>
      <c r="AK1621" s="182"/>
      <c r="AL1621" s="496">
        <f t="shared" si="460"/>
        <v>-32</v>
      </c>
      <c r="AM1621" s="496">
        <f t="shared" si="466"/>
        <v>-512</v>
      </c>
      <c r="AN1621" s="626"/>
      <c r="AO1621" s="182"/>
      <c r="AP1621" s="182" t="s">
        <v>770</v>
      </c>
      <c r="AQ1621" s="332" t="s">
        <v>115</v>
      </c>
      <c r="AR1621" s="298">
        <v>45345</v>
      </c>
      <c r="AS1621" s="189">
        <v>-0.14000000000000001</v>
      </c>
      <c r="AT1621" s="189">
        <f t="shared" si="467"/>
        <v>9.9999999999999811E-3</v>
      </c>
      <c r="AU1621" s="187">
        <f t="shared" si="468"/>
        <v>255.99999999999952</v>
      </c>
      <c r="AV1621" s="190">
        <f t="shared" si="470"/>
        <v>15.99999999999997</v>
      </c>
      <c r="AW1621" s="191" t="s">
        <v>96</v>
      </c>
      <c r="AX1621" s="407" t="s">
        <v>2182</v>
      </c>
      <c r="AY1621" s="407" t="s">
        <v>5512</v>
      </c>
      <c r="AZ1621" s="407">
        <f>800+600-256</f>
        <v>1144</v>
      </c>
      <c r="BA1621" s="407"/>
      <c r="BB1621" s="407"/>
      <c r="BC1621" s="407"/>
      <c r="BD1621" s="407"/>
      <c r="BE1621" s="407"/>
      <c r="BF1621" s="422"/>
      <c r="BG1621" s="391">
        <f>SUM($AV$1389:AV1621)</f>
        <v>1182.7690101367634</v>
      </c>
      <c r="BH1621" s="392">
        <f>SUM($AU$1389:AU1621)</f>
        <v>14974.979999999814</v>
      </c>
      <c r="BI1621" s="318">
        <f>SUMIFS($AU$1388:AU1622,$Q$1388:Q1622,"F")</f>
        <v>9348.4000000000015</v>
      </c>
      <c r="BJ1621" s="318">
        <f>SUMIFS($AU$1388:AU1622,$Q$1388:Q1622,"S")</f>
        <v>3759.9999999999914</v>
      </c>
      <c r="BK1621" s="343">
        <f>SUMIFS($AU$1388:AU1622,$P$1388:P1622,"W")</f>
        <v>9197.579999999929</v>
      </c>
      <c r="BL1621" s="343">
        <f>SUMIFS($AU$1388:AU1622,$P$1388:P1622,"R")</f>
        <v>4021.9999999999991</v>
      </c>
      <c r="BM1621" s="343">
        <f>SUMIFS($AU$1388:AU1622,$AQ$1388:AQ1622,"M")</f>
        <v>5219.3799999995472</v>
      </c>
      <c r="BN1621" s="343">
        <f>SUMIFS($AU$1388:AU1622,$AQ$1388:AQ1622,"H")</f>
        <v>3251.2000000002595</v>
      </c>
      <c r="BO1621" s="343">
        <f>SUMIFS($AU$1388:AU1622,$AQ$1388:AQ1622,"D")</f>
        <v>1266.0000000000005</v>
      </c>
      <c r="BP1621" s="343">
        <f>SUMIFS($AU$1388:AU1624,$AQ$1388:AQ1624,"W")</f>
        <v>5542.4000000000005</v>
      </c>
      <c r="BQ1621" s="343">
        <f>SUMIFS($AU$1388:AU1622,$Q$1388:Q1622,"O")</f>
        <v>1770.5799999998073</v>
      </c>
      <c r="BR1621" s="343">
        <f>SUMIFS($AU$1388:AU1622,$AA$1388:AA1622,"*")</f>
        <v>12759.799999999701</v>
      </c>
      <c r="BS1621" s="343">
        <f>SUMIFS($AU$1388:AU1622,$AB$1388:AB1622,"*")</f>
        <v>4007.1799999999307</v>
      </c>
      <c r="BT1621" s="343">
        <f>SUMIFS($AU$1388:AU1622,$AC$1388:AC1622,"*")</f>
        <v>7028.4</v>
      </c>
      <c r="BU1621" s="343">
        <f>SUMIFS($AU$1388:AU1622,$AA$1388:AA1622,"*",$AB$1388:AB1622,"*")</f>
        <v>1855.9999999998222</v>
      </c>
      <c r="BV1621" s="343">
        <f>SUMIFS($AU$1388:AU1622,$AA$1388:AA1622,"*",$AC$1388:AC1622,"*")</f>
        <v>6564.4</v>
      </c>
      <c r="BW1621" s="343">
        <f>SUMIFS($AU$1388:AU1622,$AB$1388:AB1622,"*",$AC$1388:AC1622,"*")</f>
        <v>719.99999999999818</v>
      </c>
      <c r="BX1621" s="343">
        <f>SUMIFS($AV$1388:AV1622,$Q$1388:Q1622,"F")</f>
        <v>221.28119764293677</v>
      </c>
      <c r="BY1621" s="343">
        <f>SUMIFS($AV$1388:AV1622,$Q$1388:Q1622,"S")</f>
        <v>312.74781249396256</v>
      </c>
      <c r="BZ1621" s="343">
        <f>SUMIFS($AV$1388:AV1622,$Q$1388:Q1622,"O")</f>
        <v>520.73999999985608</v>
      </c>
    </row>
    <row r="1622" spans="1:78" ht="15.75" customHeight="1">
      <c r="A1622" s="177" t="s">
        <v>5180</v>
      </c>
      <c r="B1622" s="200">
        <v>45344</v>
      </c>
      <c r="C1622" s="178" t="s">
        <v>5513</v>
      </c>
      <c r="D1622" s="178" t="s">
        <v>111</v>
      </c>
      <c r="E1622" s="227"/>
      <c r="F1622" s="180"/>
      <c r="G1622" s="484" t="s">
        <v>5012</v>
      </c>
      <c r="H1622" s="182"/>
      <c r="I1622" s="182"/>
      <c r="J1622" s="182"/>
      <c r="K1622" s="183"/>
      <c r="L1622" s="182">
        <v>1</v>
      </c>
      <c r="M1622" s="182"/>
      <c r="N1622" s="182"/>
      <c r="O1622" s="183" t="s">
        <v>2652</v>
      </c>
      <c r="P1622" s="183" t="s">
        <v>137</v>
      </c>
      <c r="Q1622" s="183"/>
      <c r="R1622" s="183">
        <v>2</v>
      </c>
      <c r="S1622" s="183">
        <v>0</v>
      </c>
      <c r="T1622" s="183">
        <v>2</v>
      </c>
      <c r="U1622" s="183" t="s">
        <v>97</v>
      </c>
      <c r="V1622" s="183"/>
      <c r="W1622" s="183"/>
      <c r="X1622" s="183"/>
      <c r="Y1622" s="184">
        <f t="shared" si="465"/>
        <v>0.01</v>
      </c>
      <c r="Z1622" s="185">
        <f>IF(ISBLANK(O1622),"",IF(O1622="IB",8.63*200,IF(O1622="IR",16*100,IF(O1622="YT",20*100,IF(O1622="YT-XT",24*200,IF(O1622="TED",80*100))))))</f>
        <v>8000</v>
      </c>
      <c r="AA1622" s="185" t="s">
        <v>5514</v>
      </c>
      <c r="AB1622" s="185"/>
      <c r="AC1622" s="185"/>
      <c r="AD1622" s="649">
        <v>-7.0000000000000007E-2</v>
      </c>
      <c r="AE1622" s="182"/>
      <c r="AF1622" s="332"/>
      <c r="AG1622" s="182"/>
      <c r="AH1622" s="182"/>
      <c r="AI1622" s="182"/>
      <c r="AJ1622" s="640"/>
      <c r="AK1622" s="182"/>
      <c r="AL1622" s="496">
        <f t="shared" si="460"/>
        <v>-160</v>
      </c>
      <c r="AM1622" s="496">
        <f t="shared" si="466"/>
        <v>-320</v>
      </c>
      <c r="AN1622" s="626"/>
      <c r="AO1622" s="182"/>
      <c r="AP1622" s="182" t="s">
        <v>1005</v>
      </c>
      <c r="AQ1622" s="332" t="s">
        <v>372</v>
      </c>
      <c r="AR1622" s="182" t="s">
        <v>5515</v>
      </c>
      <c r="AS1622" s="189">
        <v>-7.0000000000000007E-2</v>
      </c>
      <c r="AT1622" s="189">
        <f t="shared" si="467"/>
        <v>0</v>
      </c>
      <c r="AU1622" s="187">
        <f t="shared" si="468"/>
        <v>0</v>
      </c>
      <c r="AV1622" s="190">
        <f t="shared" ref="AV1622" si="471">IF(ISBLANK(AS1622),,(AT1622*Z1622))</f>
        <v>0</v>
      </c>
      <c r="AW1622" s="191" t="s">
        <v>115</v>
      </c>
      <c r="AX1622" s="407" t="s">
        <v>5516</v>
      </c>
      <c r="AY1622" s="407" t="s">
        <v>5517</v>
      </c>
      <c r="AZ1622" s="409" t="s">
        <v>5518</v>
      </c>
      <c r="BA1622" s="417" t="s">
        <v>5519</v>
      </c>
      <c r="BB1622" s="407" t="s">
        <v>5520</v>
      </c>
      <c r="BC1622" s="407" t="s">
        <v>5521</v>
      </c>
      <c r="BD1622" s="407" t="s">
        <v>5522</v>
      </c>
      <c r="BE1622" s="407" t="s">
        <v>5523</v>
      </c>
      <c r="BF1622" s="422" t="s">
        <v>5524</v>
      </c>
      <c r="BG1622" s="391">
        <f>SUM($AV$1389:AV1622)</f>
        <v>1182.7690101367634</v>
      </c>
      <c r="BH1622" s="392">
        <f>SUM($AU$1389:AU1622)</f>
        <v>14974.979999999814</v>
      </c>
      <c r="BI1622" s="318">
        <f>SUMIFS($AU$1388:AU1623,$Q$1388:Q1623,"F")</f>
        <v>9348.4000000000015</v>
      </c>
      <c r="BJ1622" s="318">
        <f>SUMIFS($AU$1388:AU1623,$Q$1388:Q1623,"S")</f>
        <v>3759.9999999999914</v>
      </c>
      <c r="BK1622" s="343">
        <f>SUMIFS($AU$1388:AU1623,$P$1388:P1623,"W")</f>
        <v>9197.579999999929</v>
      </c>
      <c r="BL1622" s="343">
        <f>SUMIFS($AU$1388:AU1623,$P$1388:P1623,"R")</f>
        <v>4021.9999999999991</v>
      </c>
      <c r="BM1622" s="343">
        <f>SUMIFS($AU$1388:AU1623,$AQ$1388:AQ1623,"M")</f>
        <v>5219.3799999995472</v>
      </c>
      <c r="BN1622" s="343">
        <f>SUMIFS($AU$1388:AU1623,$AQ$1388:AQ1623,"H")</f>
        <v>3251.2000000002595</v>
      </c>
      <c r="BO1622" s="343">
        <f>SUMIFS($AU$1388:AU1623,$AQ$1388:AQ1623,"D")</f>
        <v>1266.0000000000005</v>
      </c>
      <c r="BP1622" s="343">
        <f>SUMIFS($AU$1388:AU1625,$AQ$1388:AQ1625,"W")</f>
        <v>5542.4000000000005</v>
      </c>
      <c r="BQ1622" s="343">
        <f>SUMIFS($AU$1388:AU1623,$Q$1388:Q1623,"O")</f>
        <v>1770.5799999998073</v>
      </c>
      <c r="BR1622" s="343">
        <f>SUMIFS($AU$1388:AU1623,$AA$1388:AA1623,"*")</f>
        <v>12759.799999999701</v>
      </c>
      <c r="BS1622" s="343">
        <f>SUMIFS($AU$1388:AU1623,$AB$1388:AB1623,"*")</f>
        <v>4007.1799999999307</v>
      </c>
      <c r="BT1622" s="343">
        <f>SUMIFS($AU$1388:AU1623,$AC$1388:AC1623,"*")</f>
        <v>7028.4</v>
      </c>
      <c r="BU1622" s="343">
        <f>SUMIFS($AU$1388:AU1623,$AA$1388:AA1623,"*",$AB$1388:AB1623,"*")</f>
        <v>1855.9999999998222</v>
      </c>
      <c r="BV1622" s="343">
        <f>SUMIFS($AU$1388:AU1623,$AA$1388:AA1623,"*",$AC$1388:AC1623,"*")</f>
        <v>6564.4</v>
      </c>
      <c r="BW1622" s="343">
        <f>SUMIFS($AU$1388:AU1623,$AB$1388:AB1623,"*",$AC$1388:AC1623,"*")</f>
        <v>719.99999999999818</v>
      </c>
      <c r="BX1622" s="343">
        <f>SUMIFS($AV$1388:AV1623,$Q$1388:Q1623,"F")</f>
        <v>221.28119764293677</v>
      </c>
      <c r="BY1622" s="343">
        <f>SUMIFS($AV$1388:AV1623,$Q$1388:Q1623,"S")</f>
        <v>312.74781249396256</v>
      </c>
      <c r="BZ1622" s="343">
        <f>SUMIFS($AV$1388:AV1623,$Q$1388:Q1623,"O")</f>
        <v>520.73999999985608</v>
      </c>
    </row>
    <row r="1623" spans="1:78" ht="15.75" customHeight="1">
      <c r="A1623" s="177" t="s">
        <v>5180</v>
      </c>
      <c r="B1623" s="200"/>
      <c r="C1623" s="178"/>
      <c r="D1623" s="178"/>
      <c r="E1623" s="227"/>
      <c r="F1623" s="180"/>
      <c r="G1623" s="181"/>
      <c r="H1623" s="182"/>
      <c r="I1623" s="182"/>
      <c r="J1623" s="182"/>
      <c r="K1623" s="183"/>
      <c r="L1623" s="182"/>
      <c r="M1623" s="182"/>
      <c r="N1623" s="182"/>
      <c r="O1623" s="183"/>
      <c r="P1623" s="183"/>
      <c r="Q1623" s="183"/>
      <c r="R1623" s="183"/>
      <c r="S1623" s="183"/>
      <c r="T1623" s="183"/>
      <c r="U1623" s="183"/>
      <c r="V1623" s="183"/>
      <c r="W1623" s="183"/>
      <c r="X1623" s="183"/>
      <c r="Y1623" s="184"/>
      <c r="Z1623" s="185"/>
      <c r="AA1623" s="185"/>
      <c r="AB1623" s="185"/>
      <c r="AC1623" s="185"/>
      <c r="AD1623" s="649"/>
      <c r="AE1623" s="182"/>
      <c r="AF1623" s="332"/>
      <c r="AG1623" s="182"/>
      <c r="AH1623" s="182"/>
      <c r="AI1623" s="182"/>
      <c r="AJ1623" s="640"/>
      <c r="AK1623" s="182"/>
      <c r="AL1623" s="496">
        <f t="shared" si="460"/>
        <v>0</v>
      </c>
      <c r="AM1623" s="496">
        <f t="shared" si="466"/>
        <v>0</v>
      </c>
      <c r="AN1623" s="626"/>
      <c r="AO1623" s="182"/>
      <c r="AP1623" s="182"/>
      <c r="AQ1623" s="332" t="str">
        <f>UPPER(RIGHT(Journal_Live[[#This Row],[DURATION ]]))</f>
        <v/>
      </c>
      <c r="AR1623" s="182"/>
      <c r="AS1623" s="189"/>
      <c r="AT1623" s="189"/>
      <c r="AU1623" s="187"/>
      <c r="AV1623" s="190"/>
      <c r="AW1623" s="191"/>
      <c r="AX1623" s="407" t="s">
        <v>5525</v>
      </c>
      <c r="AY1623" s="407" t="s">
        <v>5526</v>
      </c>
      <c r="AZ1623" s="409" t="s">
        <v>5518</v>
      </c>
      <c r="BA1623" s="407" t="s">
        <v>5527</v>
      </c>
      <c r="BB1623" s="409" t="s">
        <v>5528</v>
      </c>
      <c r="BC1623" s="407"/>
      <c r="BD1623" s="407" t="s">
        <v>5529</v>
      </c>
      <c r="BE1623" s="407" t="s">
        <v>5530</v>
      </c>
      <c r="BF1623" s="548" t="s">
        <v>5531</v>
      </c>
      <c r="BG1623" s="391">
        <f>SUM($AV$1389:AV1623)</f>
        <v>1182.7690101367634</v>
      </c>
      <c r="BH1623" s="392">
        <f>SUM($AU$1389:AU1623)</f>
        <v>14974.979999999814</v>
      </c>
      <c r="BI1623" s="318">
        <f>SUMIFS($AU$1388:AU1637,$Q$1388:Q1637,"F")</f>
        <v>9348.4000000000015</v>
      </c>
      <c r="BJ1623" s="318">
        <f>SUMIFS($AU$1388:AU1637,$Q$1388:Q1637,"S")</f>
        <v>3279.9999999999918</v>
      </c>
      <c r="BK1623" s="343">
        <f>SUMIFS($AU$1388:AU1637,$P$1388:P1637,"W")</f>
        <v>8717.579999999929</v>
      </c>
      <c r="BL1623" s="343">
        <f>SUMIFS($AU$1388:AU1637,$P$1388:P1637,"R")</f>
        <v>4181.9999999999991</v>
      </c>
      <c r="BM1623" s="343">
        <f>SUMIFS($AU$1388:AU1637,$AQ$1388:AQ1637,"M")</f>
        <v>5219.3799999995472</v>
      </c>
      <c r="BN1623" s="343">
        <f>SUMIFS($AU$1388:AU1637,$AQ$1388:AQ1637,"H")</f>
        <v>2931.2000000002599</v>
      </c>
      <c r="BO1623" s="343">
        <f>SUMIFS($AU$1388:AU1637,$AQ$1388:AQ1637,"D")</f>
        <v>1266.0000000000005</v>
      </c>
      <c r="BP1623" s="343">
        <f>SUMIFS($AU$1388:AU1626,$AQ$1388:AQ1626,"W")</f>
        <v>5542.4000000000005</v>
      </c>
      <c r="BQ1623" s="343">
        <f>SUMIFS($AU$1388:AU1637,$Q$1388:Q1637,"O")</f>
        <v>1770.5799999998073</v>
      </c>
      <c r="BR1623" s="343">
        <f>SUMIFS($AU$1388:AU1637,$AA$1388:AA1637,"*")</f>
        <v>12439.799999999701</v>
      </c>
      <c r="BS1623" s="343">
        <f>SUMIFS($AU$1388:AU1637,$AB$1388:AB1637,"*")</f>
        <v>4007.1799999999307</v>
      </c>
      <c r="BT1623" s="343">
        <f>SUMIFS($AU$1388:AU1637,$AC$1388:AC1637,"*")</f>
        <v>7028.4</v>
      </c>
      <c r="BU1623" s="343">
        <f>SUMIFS($AU$1388:AU1637,$AA$1388:AA1637,"*",$AB$1388:AB1637,"*")</f>
        <v>1855.9999999998222</v>
      </c>
      <c r="BV1623" s="343">
        <f>SUMIFS($AU$1388:AU1637,$AA$1388:AA1637,"*",$AC$1388:AC1637,"*")</f>
        <v>6564.4</v>
      </c>
      <c r="BW1623" s="343">
        <f>SUMIFS($AU$1388:AU1637,$AB$1388:AB1637,"*",$AC$1388:AC1637,"*")</f>
        <v>719.99999999999818</v>
      </c>
      <c r="BX1623" s="343">
        <f>SUMIFS($AV$1388:AV1637,$Q$1388:Q1637,"F")</f>
        <v>221.28119764293677</v>
      </c>
      <c r="BY1623" s="343">
        <f>SUMIFS($AV$1388:AV1637,$Q$1388:Q1637,"S")</f>
        <v>280.74781249396256</v>
      </c>
      <c r="BZ1623" s="343">
        <f>SUMIFS($AV$1388:AV1637,$Q$1388:Q1637,"O")</f>
        <v>520.73999999985608</v>
      </c>
    </row>
    <row r="1624" spans="1:78" ht="15.75" customHeight="1">
      <c r="A1624" s="177" t="s">
        <v>5180</v>
      </c>
      <c r="B1624" s="200"/>
      <c r="C1624" s="178"/>
      <c r="D1624" s="178"/>
      <c r="E1624" s="227"/>
      <c r="F1624" s="180"/>
      <c r="G1624" s="181"/>
      <c r="H1624" s="182"/>
      <c r="I1624" s="182"/>
      <c r="J1624" s="182"/>
      <c r="K1624" s="183"/>
      <c r="L1624" s="182"/>
      <c r="M1624" s="182"/>
      <c r="N1624" s="182"/>
      <c r="O1624" s="183"/>
      <c r="P1624" s="183"/>
      <c r="Q1624" s="183"/>
      <c r="R1624" s="183"/>
      <c r="S1624" s="183"/>
      <c r="T1624" s="183"/>
      <c r="U1624" s="183"/>
      <c r="V1624" s="183"/>
      <c r="W1624" s="183"/>
      <c r="X1624" s="183"/>
      <c r="Y1624" s="184"/>
      <c r="Z1624" s="185"/>
      <c r="AA1624" s="185"/>
      <c r="AB1624" s="185"/>
      <c r="AC1624" s="185"/>
      <c r="AD1624" s="649"/>
      <c r="AE1624" s="182"/>
      <c r="AF1624" s="332"/>
      <c r="AG1624" s="182"/>
      <c r="AH1624" s="182"/>
      <c r="AI1624" s="182"/>
      <c r="AJ1624" s="640"/>
      <c r="AK1624" s="182"/>
      <c r="AL1624" s="496">
        <f t="shared" si="460"/>
        <v>0</v>
      </c>
      <c r="AM1624" s="496">
        <f t="shared" si="466"/>
        <v>0</v>
      </c>
      <c r="AN1624" s="626"/>
      <c r="AO1624" s="182"/>
      <c r="AP1624" s="182"/>
      <c r="AQ1624" s="332" t="str">
        <f>UPPER(RIGHT(Journal_Live[[#This Row],[DURATION ]]))</f>
        <v/>
      </c>
      <c r="AR1624" s="182"/>
      <c r="AS1624" s="189"/>
      <c r="AT1624" s="189"/>
      <c r="AU1624" s="187"/>
      <c r="AV1624" s="190"/>
      <c r="AW1624" s="191"/>
      <c r="AX1624" s="407" t="s">
        <v>5083</v>
      </c>
      <c r="AY1624" s="407" t="s">
        <v>5532</v>
      </c>
      <c r="AZ1624" s="407" t="s">
        <v>5533</v>
      </c>
      <c r="BA1624" s="409" t="s">
        <v>5534</v>
      </c>
      <c r="BB1624" s="409" t="s">
        <v>5535</v>
      </c>
      <c r="BC1624" s="407" t="s">
        <v>5536</v>
      </c>
      <c r="BD1624" s="409" t="s">
        <v>5537</v>
      </c>
      <c r="BE1624" s="409" t="s">
        <v>5538</v>
      </c>
      <c r="BF1624" s="422"/>
      <c r="BG1624" s="391">
        <f>SUM($AV$1389:AV1624)</f>
        <v>1182.7690101367634</v>
      </c>
      <c r="BH1624" s="392">
        <f>SUM($AU$1389:AU1624)</f>
        <v>14974.979999999814</v>
      </c>
      <c r="BI1624" s="318">
        <f>SUMIFS($AU$1388:AU1625,$Q$1388:Q1625,"F")</f>
        <v>9348.4000000000015</v>
      </c>
      <c r="BJ1624" s="318">
        <f>SUMIFS($AU$1388:AU1625,$Q$1388:Q1625,"S")</f>
        <v>3759.9999999999914</v>
      </c>
      <c r="BK1624" s="343">
        <f>SUMIFS($AU$1388:AU1625,$P$1388:P1625,"W")</f>
        <v>9197.579999999929</v>
      </c>
      <c r="BL1624" s="343">
        <f>SUMIFS($AU$1388:AU1625,$P$1388:P1625,"R")</f>
        <v>4021.9999999999991</v>
      </c>
      <c r="BM1624" s="343">
        <f>SUMIFS($AU$1388:AU1625,$AQ$1388:AQ1625,"M")</f>
        <v>5219.3799999995472</v>
      </c>
      <c r="BN1624" s="343">
        <f>SUMIFS($AU$1388:AU1625,$AQ$1388:AQ1625,"H")</f>
        <v>3251.2000000002595</v>
      </c>
      <c r="BO1624" s="343">
        <f>SUMIFS($AU$1388:AU1625,$AQ$1388:AQ1625,"D")</f>
        <v>1266.0000000000005</v>
      </c>
      <c r="BP1624" s="343">
        <f>SUMIFS($AU$1388:AU1627,$AQ$1388:AQ1627,"W")</f>
        <v>5542.4000000000005</v>
      </c>
      <c r="BQ1624" s="343">
        <f>SUMIFS($AU$1388:AU1625,$Q$1388:Q1625,"O")</f>
        <v>1770.5799999998073</v>
      </c>
      <c r="BR1624" s="343">
        <f>SUMIFS($AU$1388:AU1625,$AA$1388:AA1625,"*")</f>
        <v>12759.799999999701</v>
      </c>
      <c r="BS1624" s="343">
        <f>SUMIFS($AU$1388:AU1625,$AB$1388:AB1625,"*")</f>
        <v>4007.1799999999307</v>
      </c>
      <c r="BT1624" s="343">
        <f>SUMIFS($AU$1388:AU1625,$AC$1388:AC1625,"*")</f>
        <v>7028.4</v>
      </c>
      <c r="BU1624" s="343">
        <f>SUMIFS($AU$1388:AU1625,$AA$1388:AA1625,"*",$AB$1388:AB1625,"*")</f>
        <v>1855.9999999998222</v>
      </c>
      <c r="BV1624" s="343">
        <f>SUMIFS($AU$1388:AU1625,$AA$1388:AA1625,"*",$AC$1388:AC1625,"*")</f>
        <v>6564.4</v>
      </c>
      <c r="BW1624" s="343">
        <f>SUMIFS($AU$1388:AU1625,$AB$1388:AB1625,"*",$AC$1388:AC1625,"*")</f>
        <v>719.99999999999818</v>
      </c>
      <c r="BX1624" s="343">
        <f>SUMIFS($AV$1388:AV1625,$Q$1388:Q1625,"F")</f>
        <v>221.28119764293677</v>
      </c>
      <c r="BY1624" s="343">
        <f>SUMIFS($AV$1388:AV1625,$Q$1388:Q1625,"S")</f>
        <v>312.74781249396256</v>
      </c>
      <c r="BZ1624" s="343">
        <f>SUMIFS($AV$1388:AV1625,$Q$1388:Q1625,"O")</f>
        <v>520.73999999985608</v>
      </c>
    </row>
    <row r="1625" spans="1:78" ht="15.75" customHeight="1">
      <c r="A1625" s="177" t="s">
        <v>5180</v>
      </c>
      <c r="B1625" s="200"/>
      <c r="C1625" s="178"/>
      <c r="D1625" s="178"/>
      <c r="E1625" s="227"/>
      <c r="F1625" s="180"/>
      <c r="G1625" s="181"/>
      <c r="H1625" s="182"/>
      <c r="I1625" s="182"/>
      <c r="J1625" s="182"/>
      <c r="K1625" s="183"/>
      <c r="L1625" s="182"/>
      <c r="M1625" s="182"/>
      <c r="N1625" s="182"/>
      <c r="O1625" s="183"/>
      <c r="P1625" s="183"/>
      <c r="Q1625" s="183"/>
      <c r="R1625" s="183"/>
      <c r="S1625" s="183"/>
      <c r="T1625" s="183"/>
      <c r="U1625" s="183"/>
      <c r="V1625" s="183"/>
      <c r="W1625" s="183"/>
      <c r="X1625" s="183"/>
      <c r="Y1625" s="184"/>
      <c r="Z1625" s="185"/>
      <c r="AA1625" s="185"/>
      <c r="AB1625" s="185"/>
      <c r="AC1625" s="185"/>
      <c r="AD1625" s="649"/>
      <c r="AE1625" s="182"/>
      <c r="AF1625" s="332"/>
      <c r="AG1625" s="182"/>
      <c r="AH1625" s="182"/>
      <c r="AI1625" s="182"/>
      <c r="AJ1625" s="640"/>
      <c r="AK1625" s="182"/>
      <c r="AL1625" s="496">
        <f t="shared" si="460"/>
        <v>0</v>
      </c>
      <c r="AM1625" s="496">
        <f t="shared" si="466"/>
        <v>0</v>
      </c>
      <c r="AN1625" s="626"/>
      <c r="AO1625" s="182"/>
      <c r="AP1625" s="182"/>
      <c r="AQ1625" s="332" t="str">
        <f>UPPER(RIGHT(Journal_Live[[#This Row],[DURATION ]]))</f>
        <v/>
      </c>
      <c r="AR1625" s="182"/>
      <c r="AS1625" s="189"/>
      <c r="AT1625" s="189"/>
      <c r="AU1625" s="187"/>
      <c r="AV1625" s="190"/>
      <c r="AW1625" s="191"/>
      <c r="AX1625" s="409" t="s">
        <v>5539</v>
      </c>
      <c r="AY1625" s="409" t="s">
        <v>5540</v>
      </c>
      <c r="AZ1625" s="409" t="s">
        <v>5541</v>
      </c>
      <c r="BA1625" s="409" t="s">
        <v>5542</v>
      </c>
      <c r="BB1625" s="409" t="s">
        <v>5543</v>
      </c>
      <c r="BC1625" s="407"/>
      <c r="BD1625" s="409" t="s">
        <v>5544</v>
      </c>
      <c r="BE1625" s="407"/>
      <c r="BF1625" s="422"/>
      <c r="BG1625" s="391">
        <f>SUM($AV$1389:AV1625)</f>
        <v>1182.7690101367634</v>
      </c>
      <c r="BH1625" s="392">
        <f>SUM($AU$1389:AU1625)</f>
        <v>14974.979999999814</v>
      </c>
      <c r="BI1625" s="318">
        <f>SUMIFS($AU$1388:AU1636,$Q$1388:Q1636,"F")</f>
        <v>9348.4000000000015</v>
      </c>
      <c r="BJ1625" s="318">
        <f>SUMIFS($AU$1388:AU1636,$Q$1388:Q1636,"S")</f>
        <v>3279.9999999999918</v>
      </c>
      <c r="BK1625" s="343">
        <f>SUMIFS($AU$1388:AU1636,$P$1388:P1636,"W")</f>
        <v>8717.579999999929</v>
      </c>
      <c r="BL1625" s="343">
        <f>SUMIFS($AU$1388:AU1636,$P$1388:P1636,"R")</f>
        <v>4021.9999999999991</v>
      </c>
      <c r="BM1625" s="343">
        <f>SUMIFS($AU$1388:AU1636,$AQ$1388:AQ1636,"M")</f>
        <v>5219.3799999995472</v>
      </c>
      <c r="BN1625" s="343">
        <f>SUMIFS($AU$1388:AU1636,$AQ$1388:AQ1636,"H")</f>
        <v>2771.2000000002599</v>
      </c>
      <c r="BO1625" s="343">
        <f>SUMIFS($AU$1388:AU1636,$AQ$1388:AQ1636,"D")</f>
        <v>1266.0000000000005</v>
      </c>
      <c r="BP1625" s="343">
        <f>SUMIFS($AU$1388:AU1628,$AQ$1388:AQ1628,"W")</f>
        <v>5542.4000000000005</v>
      </c>
      <c r="BQ1625" s="343">
        <f>SUMIFS($AU$1388:AU1636,$Q$1388:Q1636,"O")</f>
        <v>1770.5799999998073</v>
      </c>
      <c r="BR1625" s="343">
        <f>SUMIFS($AU$1388:AU1636,$AA$1388:AA1636,"*")</f>
        <v>12279.799999999701</v>
      </c>
      <c r="BS1625" s="343">
        <f>SUMIFS($AU$1388:AU1636,$AB$1388:AB1636,"*")</f>
        <v>4007.1799999999307</v>
      </c>
      <c r="BT1625" s="343">
        <f>SUMIFS($AU$1388:AU1636,$AC$1388:AC1636,"*")</f>
        <v>7028.4</v>
      </c>
      <c r="BU1625" s="343">
        <f>SUMIFS($AU$1388:AU1636,$AA$1388:AA1636,"*",$AB$1388:AB1636,"*")</f>
        <v>1855.9999999998222</v>
      </c>
      <c r="BV1625" s="343">
        <f>SUMIFS($AU$1388:AU1636,$AA$1388:AA1636,"*",$AC$1388:AC1636,"*")</f>
        <v>6564.4</v>
      </c>
      <c r="BW1625" s="343">
        <f>SUMIFS($AU$1388:AU1636,$AB$1388:AB1636,"*",$AC$1388:AC1636,"*")</f>
        <v>719.99999999999818</v>
      </c>
      <c r="BX1625" s="343">
        <f>SUMIFS($AV$1388:AV1636,$Q$1388:Q1636,"F")</f>
        <v>221.28119764293677</v>
      </c>
      <c r="BY1625" s="343">
        <f>SUMIFS($AV$1388:AV1636,$Q$1388:Q1636,"S")</f>
        <v>280.74781249396256</v>
      </c>
      <c r="BZ1625" s="343">
        <f>SUMIFS($AV$1388:AV1636,$Q$1388:Q1636,"O")</f>
        <v>520.73999999985608</v>
      </c>
    </row>
    <row r="1626" spans="1:78" ht="15.75" customHeight="1">
      <c r="A1626" s="177" t="s">
        <v>5180</v>
      </c>
      <c r="B1626" s="200"/>
      <c r="C1626" s="178"/>
      <c r="D1626" s="178"/>
      <c r="E1626" s="227"/>
      <c r="F1626" s="180"/>
      <c r="G1626" s="181"/>
      <c r="H1626" s="182"/>
      <c r="I1626" s="182"/>
      <c r="J1626" s="182"/>
      <c r="K1626" s="183"/>
      <c r="L1626" s="182"/>
      <c r="M1626" s="182"/>
      <c r="N1626" s="182"/>
      <c r="O1626" s="183"/>
      <c r="P1626" s="183"/>
      <c r="Q1626" s="183"/>
      <c r="R1626" s="183"/>
      <c r="S1626" s="183"/>
      <c r="T1626" s="183"/>
      <c r="U1626" s="183"/>
      <c r="V1626" s="183"/>
      <c r="W1626" s="183"/>
      <c r="X1626" s="183"/>
      <c r="Y1626" s="184"/>
      <c r="Z1626" s="185"/>
      <c r="AA1626" s="185"/>
      <c r="AB1626" s="185"/>
      <c r="AC1626" s="185"/>
      <c r="AD1626" s="649"/>
      <c r="AE1626" s="182"/>
      <c r="AF1626" s="332"/>
      <c r="AG1626" s="182"/>
      <c r="AH1626" s="182"/>
      <c r="AI1626" s="182"/>
      <c r="AJ1626" s="640"/>
      <c r="AK1626" s="182"/>
      <c r="AL1626" s="496">
        <f t="shared" ref="AL1626:AL1635" si="472">-0.02*Z1626</f>
        <v>0</v>
      </c>
      <c r="AM1626" s="496">
        <f t="shared" si="466"/>
        <v>0</v>
      </c>
      <c r="AN1626" s="626"/>
      <c r="AO1626" s="182"/>
      <c r="AP1626" s="182"/>
      <c r="AQ1626" s="332" t="str">
        <f>UPPER(RIGHT(Journal_Live[[#This Row],[DURATION ]]))</f>
        <v/>
      </c>
      <c r="AR1626" s="182"/>
      <c r="AS1626" s="189"/>
      <c r="AT1626" s="189"/>
      <c r="AU1626" s="187"/>
      <c r="AV1626" s="190"/>
      <c r="AW1626" s="191"/>
      <c r="AX1626" s="409"/>
      <c r="AY1626" s="409"/>
      <c r="AZ1626" s="409"/>
      <c r="BA1626" s="409"/>
      <c r="BB1626" s="409"/>
      <c r="BC1626" s="409"/>
      <c r="BD1626" s="407"/>
      <c r="BE1626" s="407"/>
      <c r="BF1626" s="422"/>
      <c r="BG1626" s="391">
        <f>SUM($AV$1389:AV1626)</f>
        <v>1182.7690101367634</v>
      </c>
      <c r="BH1626" s="392">
        <f>SUM($AU$1389:AU1626)</f>
        <v>14974.979999999814</v>
      </c>
      <c r="BI1626" s="318">
        <f>SUMIFS($AU$1388:AU1627,$Q$1388:Q1627,"F")</f>
        <v>9348.4000000000015</v>
      </c>
      <c r="BJ1626" s="318">
        <f>SUMIFS($AU$1388:AU1627,$Q$1388:Q1627,"S")</f>
        <v>3759.9999999999914</v>
      </c>
      <c r="BK1626" s="343">
        <f>SUMIFS($AU$1388:AU1627,$P$1388:P1627,"W")</f>
        <v>9197.579999999929</v>
      </c>
      <c r="BL1626" s="343">
        <f>SUMIFS($AU$1388:AU1627,$P$1388:P1627,"R")</f>
        <v>4021.9999999999991</v>
      </c>
      <c r="BM1626" s="343">
        <f>SUMIFS($AU$1388:AU1627,$AQ$1388:AQ1627,"M")</f>
        <v>5219.3799999995472</v>
      </c>
      <c r="BN1626" s="343">
        <f>SUMIFS($AU$1388:AU1627,$AQ$1388:AQ1627,"H")</f>
        <v>3251.2000000002595</v>
      </c>
      <c r="BO1626" s="343">
        <f>SUMIFS($AU$1388:AU1627,$AQ$1388:AQ1627,"D")</f>
        <v>1266.0000000000005</v>
      </c>
      <c r="BP1626" s="343">
        <f>SUMIFS($AU$1388:AU1629,$AQ$1388:AQ1629,"W")</f>
        <v>5542.4000000000005</v>
      </c>
      <c r="BQ1626" s="343">
        <f>SUMIFS($AU$1388:AU1627,$Q$1388:Q1627,"O")</f>
        <v>1770.5799999998073</v>
      </c>
      <c r="BR1626" s="343">
        <f>SUMIFS($AU$1388:AU1627,$AA$1388:AA1627,"*")</f>
        <v>12759.799999999701</v>
      </c>
      <c r="BS1626" s="343">
        <f>SUMIFS($AU$1388:AU1627,$AB$1388:AB1627,"*")</f>
        <v>4007.1799999999307</v>
      </c>
      <c r="BT1626" s="343">
        <f>SUMIFS($AU$1388:AU1627,$AC$1388:AC1627,"*")</f>
        <v>7028.4</v>
      </c>
      <c r="BU1626" s="343">
        <f>SUMIFS($AU$1388:AU1627,$AA$1388:AA1627,"*",$AB$1388:AB1627,"*")</f>
        <v>1855.9999999998222</v>
      </c>
      <c r="BV1626" s="343">
        <f>SUMIFS($AU$1388:AU1627,$AA$1388:AA1627,"*",$AC$1388:AC1627,"*")</f>
        <v>6564.4</v>
      </c>
      <c r="BW1626" s="343">
        <f>SUMIFS($AU$1388:AU1627,$AB$1388:AB1627,"*",$AC$1388:AC1627,"*")</f>
        <v>719.99999999999818</v>
      </c>
      <c r="BX1626" s="343">
        <f>SUMIFS($AV$1388:AV1627,$Q$1388:Q1627,"F")</f>
        <v>221.28119764293677</v>
      </c>
      <c r="BY1626" s="343">
        <f>SUMIFS($AV$1388:AV1627,$Q$1388:Q1627,"S")</f>
        <v>312.74781249396256</v>
      </c>
      <c r="BZ1626" s="343">
        <f>SUMIFS($AV$1388:AV1627,$Q$1388:Q1627,"O")</f>
        <v>520.73999999985608</v>
      </c>
    </row>
    <row r="1627" spans="1:78" ht="15.75" customHeight="1">
      <c r="A1627" s="177" t="s">
        <v>5180</v>
      </c>
      <c r="B1627" s="200"/>
      <c r="C1627" s="178"/>
      <c r="D1627" s="178"/>
      <c r="E1627" s="227"/>
      <c r="F1627" s="180"/>
      <c r="G1627" s="181"/>
      <c r="H1627" s="182"/>
      <c r="I1627" s="182"/>
      <c r="J1627" s="182"/>
      <c r="K1627" s="183"/>
      <c r="L1627" s="182"/>
      <c r="M1627" s="182"/>
      <c r="N1627" s="182"/>
      <c r="O1627" s="183"/>
      <c r="P1627" s="183"/>
      <c r="Q1627" s="183"/>
      <c r="R1627" s="183"/>
      <c r="S1627" s="183"/>
      <c r="T1627" s="183"/>
      <c r="U1627" s="183"/>
      <c r="V1627" s="183"/>
      <c r="W1627" s="183"/>
      <c r="X1627" s="183"/>
      <c r="Y1627" s="184"/>
      <c r="Z1627" s="185"/>
      <c r="AA1627" s="185"/>
      <c r="AB1627" s="185"/>
      <c r="AC1627" s="185"/>
      <c r="AD1627" s="649"/>
      <c r="AE1627" s="182"/>
      <c r="AF1627" s="332"/>
      <c r="AG1627" s="182"/>
      <c r="AH1627" s="182"/>
      <c r="AI1627" s="182"/>
      <c r="AJ1627" s="640"/>
      <c r="AK1627" s="182"/>
      <c r="AL1627" s="496">
        <f t="shared" si="472"/>
        <v>0</v>
      </c>
      <c r="AM1627" s="496">
        <f t="shared" si="466"/>
        <v>0</v>
      </c>
      <c r="AN1627" s="626"/>
      <c r="AO1627" s="182"/>
      <c r="AP1627" s="182"/>
      <c r="AQ1627" s="332" t="str">
        <f>UPPER(RIGHT(Journal_Live[[#This Row],[DURATION ]]))</f>
        <v/>
      </c>
      <c r="AR1627" s="182"/>
      <c r="AS1627" s="189"/>
      <c r="AT1627" s="189"/>
      <c r="AU1627" s="187"/>
      <c r="AV1627" s="190"/>
      <c r="AW1627" s="191"/>
      <c r="AX1627" s="417" t="s">
        <v>5545</v>
      </c>
      <c r="AY1627" s="409" t="s">
        <v>5546</v>
      </c>
      <c r="AZ1627" s="538" t="s">
        <v>5547</v>
      </c>
      <c r="BA1627" s="538" t="s">
        <v>5548</v>
      </c>
      <c r="BB1627" s="538" t="s">
        <v>5549</v>
      </c>
      <c r="BC1627" s="409" t="s">
        <v>5550</v>
      </c>
      <c r="BD1627" s="407" t="s">
        <v>5551</v>
      </c>
      <c r="BE1627" s="407" t="s">
        <v>5552</v>
      </c>
      <c r="BF1627" s="422"/>
      <c r="BG1627" s="391">
        <f>SUM($AV$1389:AV1627)</f>
        <v>1182.7690101367634</v>
      </c>
      <c r="BH1627" s="392">
        <f>SUM($AU$1389:AU1627)</f>
        <v>14974.979999999814</v>
      </c>
      <c r="BI1627" s="318">
        <f>SUMIFS($AU$1388:AU1628,$Q$1388:Q1628,"F")</f>
        <v>9348.4000000000015</v>
      </c>
      <c r="BJ1627" s="318">
        <f>SUMIFS($AU$1388:AU1628,$Q$1388:Q1628,"S")</f>
        <v>3759.9999999999914</v>
      </c>
      <c r="BK1627" s="343">
        <f>SUMIFS($AU$1388:AU1628,$P$1388:P1628,"W")</f>
        <v>9197.579999999929</v>
      </c>
      <c r="BL1627" s="343">
        <f>SUMIFS($AU$1388:AU1628,$P$1388:P1628,"R")</f>
        <v>4021.9999999999991</v>
      </c>
      <c r="BM1627" s="343">
        <f>SUMIFS($AU$1388:AU1628,$AQ$1388:AQ1628,"M")</f>
        <v>5219.3799999995472</v>
      </c>
      <c r="BN1627" s="343">
        <f>SUMIFS($AU$1388:AU1628,$AQ$1388:AQ1628,"H")</f>
        <v>3251.2000000002595</v>
      </c>
      <c r="BO1627" s="343">
        <f>SUMIFS($AU$1388:AU1628,$AQ$1388:AQ1628,"D")</f>
        <v>1266.0000000000005</v>
      </c>
      <c r="BP1627" s="343">
        <f>SUMIFS($AU$1388:AU1630,$AQ$1388:AQ1630,"W")</f>
        <v>5542.4000000000005</v>
      </c>
      <c r="BQ1627" s="343">
        <f>SUMIFS($AU$1388:AU1628,$Q$1388:Q1628,"O")</f>
        <v>1770.5799999998073</v>
      </c>
      <c r="BR1627" s="343">
        <f>SUMIFS($AU$1388:AU1628,$AA$1388:AA1628,"*")</f>
        <v>12759.799999999701</v>
      </c>
      <c r="BS1627" s="343">
        <f>SUMIFS($AU$1388:AU1628,$AB$1388:AB1628,"*")</f>
        <v>4007.1799999999307</v>
      </c>
      <c r="BT1627" s="343">
        <f>SUMIFS($AU$1388:AU1628,$AC$1388:AC1628,"*")</f>
        <v>7028.4</v>
      </c>
      <c r="BU1627" s="343">
        <f>SUMIFS($AU$1388:AU1628,$AA$1388:AA1628,"*",$AB$1388:AB1628,"*")</f>
        <v>1855.9999999998222</v>
      </c>
      <c r="BV1627" s="343">
        <f>SUMIFS($AU$1388:AU1628,$AA$1388:AA1628,"*",$AC$1388:AC1628,"*")</f>
        <v>6564.4</v>
      </c>
      <c r="BW1627" s="343">
        <f>SUMIFS($AU$1388:AU1628,$AB$1388:AB1628,"*",$AC$1388:AC1628,"*")</f>
        <v>719.99999999999818</v>
      </c>
      <c r="BX1627" s="343">
        <f>SUMIFS($AV$1388:AV1628,$Q$1388:Q1628,"F")</f>
        <v>221.28119764293677</v>
      </c>
      <c r="BY1627" s="343">
        <f>SUMIFS($AV$1388:AV1628,$Q$1388:Q1628,"S")</f>
        <v>312.74781249396256</v>
      </c>
      <c r="BZ1627" s="343">
        <f>SUMIFS($AV$1388:AV1628,$Q$1388:Q1628,"O")</f>
        <v>520.73999999985608</v>
      </c>
    </row>
    <row r="1628" spans="1:78" ht="15.75" customHeight="1">
      <c r="A1628" s="177" t="s">
        <v>5180</v>
      </c>
      <c r="B1628" s="200"/>
      <c r="C1628" s="178"/>
      <c r="D1628" s="178"/>
      <c r="E1628" s="227"/>
      <c r="F1628" s="180"/>
      <c r="G1628" s="181"/>
      <c r="H1628" s="182"/>
      <c r="I1628" s="182"/>
      <c r="J1628" s="182"/>
      <c r="K1628" s="183"/>
      <c r="L1628" s="182"/>
      <c r="M1628" s="182"/>
      <c r="N1628" s="182"/>
      <c r="O1628" s="183"/>
      <c r="P1628" s="183"/>
      <c r="Q1628" s="183"/>
      <c r="R1628" s="183"/>
      <c r="S1628" s="183"/>
      <c r="T1628" s="183"/>
      <c r="U1628" s="183"/>
      <c r="V1628" s="183"/>
      <c r="W1628" s="183"/>
      <c r="X1628" s="183"/>
      <c r="Y1628" s="184"/>
      <c r="Z1628" s="185"/>
      <c r="AA1628" s="185"/>
      <c r="AB1628" s="185"/>
      <c r="AC1628" s="185"/>
      <c r="AD1628" s="649"/>
      <c r="AE1628" s="182"/>
      <c r="AF1628" s="332"/>
      <c r="AG1628" s="182"/>
      <c r="AH1628" s="182"/>
      <c r="AI1628" s="182"/>
      <c r="AJ1628" s="640"/>
      <c r="AK1628" s="182"/>
      <c r="AL1628" s="496">
        <f t="shared" si="472"/>
        <v>0</v>
      </c>
      <c r="AM1628" s="496">
        <f t="shared" si="466"/>
        <v>0</v>
      </c>
      <c r="AN1628" s="626"/>
      <c r="AO1628" s="182"/>
      <c r="AP1628" s="182"/>
      <c r="AQ1628" s="332" t="str">
        <f>UPPER(RIGHT(Journal_Live[[#This Row],[DURATION ]]))</f>
        <v/>
      </c>
      <c r="AR1628" s="182"/>
      <c r="AS1628" s="189"/>
      <c r="AT1628" s="189"/>
      <c r="AU1628" s="187"/>
      <c r="AV1628" s="190"/>
      <c r="AW1628" s="191"/>
      <c r="AX1628" s="417" t="s">
        <v>5553</v>
      </c>
      <c r="AY1628" s="409" t="s">
        <v>5554</v>
      </c>
      <c r="AZ1628" s="548" t="s">
        <v>5555</v>
      </c>
      <c r="BA1628" s="409" t="s">
        <v>5556</v>
      </c>
      <c r="BB1628" s="548" t="s">
        <v>5531</v>
      </c>
      <c r="BC1628" s="409" t="s">
        <v>5557</v>
      </c>
      <c r="BD1628" s="407"/>
      <c r="BE1628" s="407"/>
      <c r="BF1628" s="422"/>
      <c r="BG1628" s="391">
        <f>SUM($AV$1389:AV1628)</f>
        <v>1182.7690101367634</v>
      </c>
      <c r="BH1628" s="392">
        <f>SUM($AU$1389:AU1628)</f>
        <v>14974.979999999814</v>
      </c>
      <c r="BI1628" s="318">
        <f>SUMIFS($AU$1388:AU1635,$Q$1388:Q1635,"F")</f>
        <v>9348.4000000000015</v>
      </c>
      <c r="BJ1628" s="318">
        <f>SUMIFS($AU$1388:AU1635,$Q$1388:Q1635,"S")</f>
        <v>3759.9999999999914</v>
      </c>
      <c r="BK1628" s="343">
        <f>SUMIFS($AU$1388:AU1635,$P$1388:P1635,"W")</f>
        <v>9197.579999999929</v>
      </c>
      <c r="BL1628" s="343">
        <f>SUMIFS($AU$1388:AU1635,$P$1388:P1635,"R")</f>
        <v>4021.9999999999991</v>
      </c>
      <c r="BM1628" s="343">
        <f>SUMIFS($AU$1388:AU1635,$AQ$1388:AQ1635,"M")</f>
        <v>5219.3799999995472</v>
      </c>
      <c r="BN1628" s="343">
        <f>SUMIFS($AU$1388:AU1635,$AQ$1388:AQ1635,"H")</f>
        <v>3251.2000000002595</v>
      </c>
      <c r="BO1628" s="343">
        <f>SUMIFS($AU$1388:AU1635,$AQ$1388:AQ1635,"D")</f>
        <v>1266.0000000000005</v>
      </c>
      <c r="BP1628" s="343">
        <f>SUMIFS($AU$1388:AU1631,$AQ$1388:AQ1631,"W")</f>
        <v>5542.4000000000005</v>
      </c>
      <c r="BQ1628" s="343">
        <f>SUMIFS($AU$1388:AU1635,$Q$1388:Q1635,"O")</f>
        <v>1770.5799999998073</v>
      </c>
      <c r="BR1628" s="343">
        <f>SUMIFS($AU$1388:AU1635,$AA$1388:AA1635,"*")</f>
        <v>12759.799999999701</v>
      </c>
      <c r="BS1628" s="343">
        <f>SUMIFS($AU$1388:AU1635,$AB$1388:AB1635,"*")</f>
        <v>4007.1799999999307</v>
      </c>
      <c r="BT1628" s="343">
        <f>SUMIFS($AU$1388:AU1635,$AC$1388:AC1635,"*")</f>
        <v>7028.4</v>
      </c>
      <c r="BU1628" s="343">
        <f>SUMIFS($AU$1388:AU1635,$AA$1388:AA1635,"*",$AB$1388:AB1635,"*")</f>
        <v>1855.9999999998222</v>
      </c>
      <c r="BV1628" s="343">
        <f>SUMIFS($AU$1388:AU1635,$AA$1388:AA1635,"*",$AC$1388:AC1635,"*")</f>
        <v>6564.4</v>
      </c>
      <c r="BW1628" s="343">
        <f>SUMIFS($AU$1388:AU1635,$AB$1388:AB1635,"*",$AC$1388:AC1635,"*")</f>
        <v>719.99999999999818</v>
      </c>
      <c r="BX1628" s="343">
        <f>SUMIFS($AV$1388:AV1635,$Q$1388:Q1635,"F")</f>
        <v>221.28119764293677</v>
      </c>
      <c r="BY1628" s="343">
        <f>SUMIFS($AV$1388:AV1635,$Q$1388:Q1635,"S")</f>
        <v>312.74781249396256</v>
      </c>
      <c r="BZ1628" s="343">
        <f>SUMIFS($AV$1388:AV1635,$Q$1388:Q1635,"O")</f>
        <v>520.73999999985608</v>
      </c>
    </row>
    <row r="1629" spans="1:78" ht="15.75" customHeight="1">
      <c r="A1629" s="177" t="s">
        <v>5180</v>
      </c>
      <c r="B1629" s="200"/>
      <c r="C1629" s="178"/>
      <c r="D1629" s="178"/>
      <c r="E1629" s="227"/>
      <c r="F1629" s="180"/>
      <c r="G1629" s="181"/>
      <c r="H1629" s="182"/>
      <c r="I1629" s="182"/>
      <c r="J1629" s="182"/>
      <c r="K1629" s="183"/>
      <c r="L1629" s="182"/>
      <c r="M1629" s="182"/>
      <c r="N1629" s="182"/>
      <c r="O1629" s="183"/>
      <c r="P1629" s="183"/>
      <c r="Q1629" s="183"/>
      <c r="R1629" s="183"/>
      <c r="S1629" s="183"/>
      <c r="T1629" s="183"/>
      <c r="U1629" s="183"/>
      <c r="V1629" s="183"/>
      <c r="W1629" s="183"/>
      <c r="X1629" s="183"/>
      <c r="Y1629" s="184"/>
      <c r="Z1629" s="185"/>
      <c r="AA1629" s="185"/>
      <c r="AB1629" s="185"/>
      <c r="AC1629" s="185"/>
      <c r="AD1629" s="649"/>
      <c r="AE1629" s="182"/>
      <c r="AF1629" s="332"/>
      <c r="AG1629" s="182"/>
      <c r="AH1629" s="182"/>
      <c r="AI1629" s="182"/>
      <c r="AJ1629" s="640"/>
      <c r="AK1629" s="182"/>
      <c r="AL1629" s="496">
        <f t="shared" ref="AL1629:AL1634" si="473">-0.02*Z1629</f>
        <v>0</v>
      </c>
      <c r="AM1629" s="496">
        <f t="shared" si="466"/>
        <v>0</v>
      </c>
      <c r="AN1629" s="626"/>
      <c r="AO1629" s="182"/>
      <c r="AP1629" s="182"/>
      <c r="AQ1629" s="332" t="str">
        <f>UPPER(RIGHT(Journal_Live[[#This Row],[DURATION ]]))</f>
        <v/>
      </c>
      <c r="AR1629" s="182"/>
      <c r="AS1629" s="189"/>
      <c r="AT1629" s="189"/>
      <c r="AU1629" s="187"/>
      <c r="AV1629" s="190"/>
      <c r="AW1629" s="191"/>
      <c r="AX1629" s="417" t="s">
        <v>5558</v>
      </c>
      <c r="AY1629" s="409" t="s">
        <v>5559</v>
      </c>
      <c r="AZ1629" s="409" t="s">
        <v>5560</v>
      </c>
      <c r="BA1629" s="409" t="s">
        <v>5561</v>
      </c>
      <c r="BB1629" s="409" t="s">
        <v>5562</v>
      </c>
      <c r="BC1629" s="409" t="s">
        <v>5563</v>
      </c>
      <c r="BD1629" s="407" t="s">
        <v>5564</v>
      </c>
      <c r="BE1629" s="407"/>
      <c r="BF1629" s="422"/>
      <c r="BG1629" s="391">
        <f>SUM($AV$1389:AV1629)</f>
        <v>1182.7690101367634</v>
      </c>
      <c r="BH1629" s="392">
        <f>SUM($AU$1389:AU1629)</f>
        <v>14974.979999999814</v>
      </c>
      <c r="BI1629" s="318">
        <f>SUMIFS($AU$1388:AU1630,$Q$1388:Q1630,"F")</f>
        <v>9348.4000000000015</v>
      </c>
      <c r="BJ1629" s="318">
        <f>SUMIFS($AU$1388:AU1630,$Q$1388:Q1630,"S")</f>
        <v>3759.9999999999914</v>
      </c>
      <c r="BK1629" s="343">
        <f>SUMIFS($AU$1388:AU1630,$P$1388:P1630,"W")</f>
        <v>9197.579999999929</v>
      </c>
      <c r="BL1629" s="343">
        <f>SUMIFS($AU$1388:AU1630,$P$1388:P1630,"R")</f>
        <v>4021.9999999999991</v>
      </c>
      <c r="BM1629" s="343">
        <f>SUMIFS($AU$1388:AU1630,$AQ$1388:AQ1630,"M")</f>
        <v>5219.3799999995472</v>
      </c>
      <c r="BN1629" s="343">
        <f>SUMIFS($AU$1388:AU1630,$AQ$1388:AQ1630,"H")</f>
        <v>3251.2000000002595</v>
      </c>
      <c r="BO1629" s="343">
        <f>SUMIFS($AU$1388:AU1630,$AQ$1388:AQ1630,"D")</f>
        <v>1266.0000000000005</v>
      </c>
      <c r="BP1629" s="343">
        <f>SUMIFS($AU$1388:AU1632,$AQ$1388:AQ1632,"W")</f>
        <v>5542.4000000000005</v>
      </c>
      <c r="BQ1629" s="343">
        <f>SUMIFS($AU$1388:AU1630,$Q$1388:Q1630,"O")</f>
        <v>1770.5799999998073</v>
      </c>
      <c r="BR1629" s="343">
        <f>SUMIFS($AU$1388:AU1630,$AA$1388:AA1630,"*")</f>
        <v>12759.799999999701</v>
      </c>
      <c r="BS1629" s="343">
        <f>SUMIFS($AU$1388:AU1630,$AB$1388:AB1630,"*")</f>
        <v>4007.1799999999307</v>
      </c>
      <c r="BT1629" s="343">
        <f>SUMIFS($AU$1388:AU1630,$AC$1388:AC1630,"*")</f>
        <v>7028.4</v>
      </c>
      <c r="BU1629" s="343">
        <f>SUMIFS($AU$1388:AU1630,$AA$1388:AA1630,"*",$AB$1388:AB1630,"*")</f>
        <v>1855.9999999998222</v>
      </c>
      <c r="BV1629" s="343">
        <f>SUMIFS($AU$1388:AU1630,$AA$1388:AA1630,"*",$AC$1388:AC1630,"*")</f>
        <v>6564.4</v>
      </c>
      <c r="BW1629" s="343">
        <f>SUMIFS($AU$1388:AU1630,$AB$1388:AB1630,"*",$AC$1388:AC1630,"*")</f>
        <v>719.99999999999818</v>
      </c>
      <c r="BX1629" s="343">
        <f>SUMIFS($AV$1388:AV1630,$Q$1388:Q1630,"F")</f>
        <v>221.28119764293677</v>
      </c>
      <c r="BY1629" s="343">
        <f>SUMIFS($AV$1388:AV1630,$Q$1388:Q1630,"S")</f>
        <v>312.74781249396256</v>
      </c>
      <c r="BZ1629" s="343">
        <f>SUMIFS($AV$1388:AV1630,$Q$1388:Q1630,"O")</f>
        <v>520.73999999985608</v>
      </c>
    </row>
    <row r="1630" spans="1:78" ht="15.75" customHeight="1">
      <c r="A1630" s="177" t="s">
        <v>5180</v>
      </c>
      <c r="B1630" s="200"/>
      <c r="C1630" s="178"/>
      <c r="D1630" s="178"/>
      <c r="E1630" s="227"/>
      <c r="F1630" s="180"/>
      <c r="G1630" s="181"/>
      <c r="H1630" s="182"/>
      <c r="I1630" s="182"/>
      <c r="J1630" s="182"/>
      <c r="K1630" s="183"/>
      <c r="L1630" s="182"/>
      <c r="M1630" s="182"/>
      <c r="N1630" s="182"/>
      <c r="O1630" s="183"/>
      <c r="P1630" s="183"/>
      <c r="Q1630" s="183"/>
      <c r="R1630" s="183"/>
      <c r="S1630" s="183"/>
      <c r="T1630" s="183"/>
      <c r="U1630" s="183"/>
      <c r="V1630" s="183"/>
      <c r="W1630" s="183"/>
      <c r="X1630" s="183"/>
      <c r="Y1630" s="184"/>
      <c r="Z1630" s="185"/>
      <c r="AA1630" s="185"/>
      <c r="AB1630" s="185"/>
      <c r="AC1630" s="185"/>
      <c r="AD1630" s="649"/>
      <c r="AE1630" s="182"/>
      <c r="AF1630" s="332"/>
      <c r="AG1630" s="182"/>
      <c r="AH1630" s="182"/>
      <c r="AI1630" s="182"/>
      <c r="AJ1630" s="640"/>
      <c r="AK1630" s="182"/>
      <c r="AL1630" s="496">
        <f t="shared" si="473"/>
        <v>0</v>
      </c>
      <c r="AM1630" s="496">
        <f t="shared" si="466"/>
        <v>0</v>
      </c>
      <c r="AN1630" s="626"/>
      <c r="AO1630" s="182"/>
      <c r="AP1630" s="182"/>
      <c r="AQ1630" s="332" t="str">
        <f>UPPER(RIGHT(Journal_Live[[#This Row],[DURATION ]]))</f>
        <v/>
      </c>
      <c r="AR1630" s="182"/>
      <c r="AS1630" s="189"/>
      <c r="AT1630" s="189"/>
      <c r="AU1630" s="187"/>
      <c r="AV1630" s="190"/>
      <c r="AW1630" s="191"/>
      <c r="AX1630" s="407" t="s">
        <v>5565</v>
      </c>
      <c r="AY1630" s="407" t="s">
        <v>5566</v>
      </c>
      <c r="AZ1630" s="407" t="s">
        <v>5567</v>
      </c>
      <c r="BA1630" s="407" t="s">
        <v>5568</v>
      </c>
      <c r="BB1630" s="407"/>
      <c r="BC1630" s="407"/>
      <c r="BD1630" s="407" t="s">
        <v>5569</v>
      </c>
      <c r="BE1630" s="407"/>
      <c r="BF1630" s="422"/>
      <c r="BG1630" s="391">
        <f>SUM($AV$1389:AV1630)</f>
        <v>1182.7690101367634</v>
      </c>
      <c r="BH1630" s="392">
        <f>SUM($AU$1389:AU1630)</f>
        <v>14974.979999999814</v>
      </c>
      <c r="BI1630" s="318">
        <f>SUMIFS($AU$1388:AU1631,$Q$1388:Q1631,"F")</f>
        <v>9348.4000000000015</v>
      </c>
      <c r="BJ1630" s="318">
        <f>SUMIFS($AU$1388:AU1631,$Q$1388:Q1631,"S")</f>
        <v>3759.9999999999914</v>
      </c>
      <c r="BK1630" s="343">
        <f>SUMIFS($AU$1388:AU1631,$P$1388:P1631,"W")</f>
        <v>9197.579999999929</v>
      </c>
      <c r="BL1630" s="343">
        <f>SUMIFS($AU$1388:AU1631,$P$1388:P1631,"R")</f>
        <v>4021.9999999999991</v>
      </c>
      <c r="BM1630" s="343">
        <f>SUMIFS($AU$1388:AU1631,$AQ$1388:AQ1631,"M")</f>
        <v>5219.3799999995472</v>
      </c>
      <c r="BN1630" s="343">
        <f>SUMIFS($AU$1388:AU1631,$AQ$1388:AQ1631,"H")</f>
        <v>3251.2000000002595</v>
      </c>
      <c r="BO1630" s="343">
        <f>SUMIFS($AU$1388:AU1631,$AQ$1388:AQ1631,"D")</f>
        <v>1266.0000000000005</v>
      </c>
      <c r="BP1630" s="343">
        <f>SUMIFS($AU$1388:AU1633,$AQ$1388:AQ1633,"W")</f>
        <v>5542.4000000000005</v>
      </c>
      <c r="BQ1630" s="343">
        <f>SUMIFS($AU$1388:AU1631,$Q$1388:Q1631,"O")</f>
        <v>1770.5799999998073</v>
      </c>
      <c r="BR1630" s="343">
        <f>SUMIFS($AU$1388:AU1631,$AA$1388:AA1631,"*")</f>
        <v>12759.799999999701</v>
      </c>
      <c r="BS1630" s="343">
        <f>SUMIFS($AU$1388:AU1631,$AB$1388:AB1631,"*")</f>
        <v>4007.1799999999307</v>
      </c>
      <c r="BT1630" s="343">
        <f>SUMIFS($AU$1388:AU1631,$AC$1388:AC1631,"*")</f>
        <v>7028.4</v>
      </c>
      <c r="BU1630" s="343">
        <f>SUMIFS($AU$1388:AU1631,$AA$1388:AA1631,"*",$AB$1388:AB1631,"*")</f>
        <v>1855.9999999998222</v>
      </c>
      <c r="BV1630" s="343">
        <f>SUMIFS($AU$1388:AU1631,$AA$1388:AA1631,"*",$AC$1388:AC1631,"*")</f>
        <v>6564.4</v>
      </c>
      <c r="BW1630" s="343">
        <f>SUMIFS($AU$1388:AU1631,$AB$1388:AB1631,"*",$AC$1388:AC1631,"*")</f>
        <v>719.99999999999818</v>
      </c>
      <c r="BX1630" s="343">
        <f>SUMIFS($AV$1388:AV1631,$Q$1388:Q1631,"F")</f>
        <v>221.28119764293677</v>
      </c>
      <c r="BY1630" s="343">
        <f>SUMIFS($AV$1388:AV1631,$Q$1388:Q1631,"S")</f>
        <v>312.74781249396256</v>
      </c>
      <c r="BZ1630" s="343">
        <f>SUMIFS($AV$1388:AV1631,$Q$1388:Q1631,"O")</f>
        <v>520.73999999985608</v>
      </c>
    </row>
    <row r="1631" spans="1:78" ht="15.75" customHeight="1">
      <c r="A1631" s="177" t="s">
        <v>5180</v>
      </c>
      <c r="B1631" s="200"/>
      <c r="C1631" s="178"/>
      <c r="D1631" s="178"/>
      <c r="E1631" s="227"/>
      <c r="F1631" s="180"/>
      <c r="G1631" s="181"/>
      <c r="H1631" s="182"/>
      <c r="I1631" s="182"/>
      <c r="J1631" s="182"/>
      <c r="K1631" s="183"/>
      <c r="L1631" s="182"/>
      <c r="M1631" s="182"/>
      <c r="N1631" s="182"/>
      <c r="O1631" s="183"/>
      <c r="P1631" s="183"/>
      <c r="Q1631" s="183"/>
      <c r="R1631" s="183"/>
      <c r="S1631" s="183"/>
      <c r="T1631" s="183"/>
      <c r="U1631" s="183"/>
      <c r="V1631" s="183"/>
      <c r="W1631" s="183"/>
      <c r="X1631" s="183"/>
      <c r="Y1631" s="184"/>
      <c r="Z1631" s="185"/>
      <c r="AA1631" s="185"/>
      <c r="AB1631" s="185"/>
      <c r="AC1631" s="185"/>
      <c r="AD1631" s="649"/>
      <c r="AE1631" s="182"/>
      <c r="AF1631" s="332"/>
      <c r="AG1631" s="182"/>
      <c r="AH1631" s="182"/>
      <c r="AI1631" s="182"/>
      <c r="AJ1631" s="640"/>
      <c r="AK1631" s="182"/>
      <c r="AL1631" s="496">
        <f t="shared" si="473"/>
        <v>0</v>
      </c>
      <c r="AM1631" s="496">
        <f t="shared" si="466"/>
        <v>0</v>
      </c>
      <c r="AN1631" s="626"/>
      <c r="AO1631" s="182"/>
      <c r="AP1631" s="182"/>
      <c r="AQ1631" s="332" t="str">
        <f>UPPER(RIGHT(Journal_Live[[#This Row],[DURATION ]]))</f>
        <v/>
      </c>
      <c r="AR1631" s="182"/>
      <c r="AS1631" s="189"/>
      <c r="AT1631" s="189"/>
      <c r="AU1631" s="187"/>
      <c r="AV1631" s="190"/>
      <c r="AW1631" s="191"/>
      <c r="AX1631" s="409" t="s">
        <v>5570</v>
      </c>
      <c r="AY1631" s="409" t="s">
        <v>5571</v>
      </c>
      <c r="AZ1631" s="407" t="s">
        <v>5572</v>
      </c>
      <c r="BA1631" s="407"/>
      <c r="BB1631" s="407"/>
      <c r="BC1631" s="407"/>
      <c r="BD1631" s="407"/>
      <c r="BE1631" s="407"/>
      <c r="BF1631" s="422"/>
      <c r="BG1631" s="391">
        <f>SUM($AV$1389:AV1631)</f>
        <v>1182.7690101367634</v>
      </c>
      <c r="BH1631" s="392">
        <f>SUM($AU$1389:AU1631)</f>
        <v>14974.979999999814</v>
      </c>
      <c r="BI1631" s="318">
        <f>SUMIFS($AU$1388:AU1632,$Q$1388:Q1632,"F")</f>
        <v>9348.4000000000015</v>
      </c>
      <c r="BJ1631" s="318">
        <f>SUMIFS($AU$1388:AU1632,$Q$1388:Q1632,"S")</f>
        <v>3759.9999999999914</v>
      </c>
      <c r="BK1631" s="343">
        <f>SUMIFS($AU$1388:AU1632,$P$1388:P1632,"W")</f>
        <v>9197.579999999929</v>
      </c>
      <c r="BL1631" s="343">
        <f>SUMIFS($AU$1388:AU1632,$P$1388:P1632,"R")</f>
        <v>4021.9999999999991</v>
      </c>
      <c r="BM1631" s="343">
        <f>SUMIFS($AU$1388:AU1632,$AQ$1388:AQ1632,"M")</f>
        <v>5219.3799999995472</v>
      </c>
      <c r="BN1631" s="343">
        <f>SUMIFS($AU$1388:AU1632,$AQ$1388:AQ1632,"H")</f>
        <v>3251.2000000002595</v>
      </c>
      <c r="BO1631" s="343">
        <f>SUMIFS($AU$1388:AU1632,$AQ$1388:AQ1632,"D")</f>
        <v>1266.0000000000005</v>
      </c>
      <c r="BP1631" s="343">
        <f>SUMIFS($AU$1388:AU1634,$AQ$1388:AQ1634,"W")</f>
        <v>5542.4000000000005</v>
      </c>
      <c r="BQ1631" s="343">
        <f>SUMIFS($AU$1388:AU1632,$Q$1388:Q1632,"O")</f>
        <v>1770.5799999998073</v>
      </c>
      <c r="BR1631" s="343">
        <f>SUMIFS($AU$1388:AU1632,$AA$1388:AA1632,"*")</f>
        <v>12759.799999999701</v>
      </c>
      <c r="BS1631" s="343">
        <f>SUMIFS($AU$1388:AU1632,$AB$1388:AB1632,"*")</f>
        <v>4007.1799999999307</v>
      </c>
      <c r="BT1631" s="343">
        <f>SUMIFS($AU$1388:AU1632,$AC$1388:AC1632,"*")</f>
        <v>7028.4</v>
      </c>
      <c r="BU1631" s="343">
        <f>SUMIFS($AU$1388:AU1632,$AA$1388:AA1632,"*",$AB$1388:AB1632,"*")</f>
        <v>1855.9999999998222</v>
      </c>
      <c r="BV1631" s="343">
        <f>SUMIFS($AU$1388:AU1632,$AA$1388:AA1632,"*",$AC$1388:AC1632,"*")</f>
        <v>6564.4</v>
      </c>
      <c r="BW1631" s="343">
        <f>SUMIFS($AU$1388:AU1632,$AB$1388:AB1632,"*",$AC$1388:AC1632,"*")</f>
        <v>719.99999999999818</v>
      </c>
      <c r="BX1631" s="343">
        <f>SUMIFS($AV$1388:AV1632,$Q$1388:Q1632,"F")</f>
        <v>221.28119764293677</v>
      </c>
      <c r="BY1631" s="343">
        <f>SUMIFS($AV$1388:AV1632,$Q$1388:Q1632,"S")</f>
        <v>312.74781249396256</v>
      </c>
      <c r="BZ1631" s="343">
        <f>SUMIFS($AV$1388:AV1632,$Q$1388:Q1632,"O")</f>
        <v>520.73999999985608</v>
      </c>
    </row>
    <row r="1632" spans="1:78" ht="15.75" customHeight="1">
      <c r="A1632" s="177" t="s">
        <v>5180</v>
      </c>
      <c r="B1632" s="200">
        <v>45350</v>
      </c>
      <c r="C1632" s="178" t="s">
        <v>1437</v>
      </c>
      <c r="D1632" s="178" t="s">
        <v>151</v>
      </c>
      <c r="E1632" s="227" t="s">
        <v>5573</v>
      </c>
      <c r="F1632" s="180" t="s">
        <v>5574</v>
      </c>
      <c r="G1632" s="181"/>
      <c r="H1632" s="182"/>
      <c r="I1632" s="182"/>
      <c r="J1632" s="182">
        <v>1</v>
      </c>
      <c r="K1632" s="183" t="s">
        <v>115</v>
      </c>
      <c r="L1632" s="182"/>
      <c r="M1632" s="182"/>
      <c r="N1632" s="182"/>
      <c r="O1632" s="183"/>
      <c r="P1632" s="183"/>
      <c r="Q1632" s="183"/>
      <c r="R1632" s="183"/>
      <c r="S1632" s="183"/>
      <c r="T1632" s="183"/>
      <c r="U1632" s="183"/>
      <c r="V1632" s="183"/>
      <c r="W1632" s="183"/>
      <c r="X1632" s="183"/>
      <c r="Y1632" s="184"/>
      <c r="Z1632" s="185"/>
      <c r="AA1632" s="185"/>
      <c r="AB1632" s="185"/>
      <c r="AC1632" s="185"/>
      <c r="AD1632" s="649"/>
      <c r="AE1632" s="182"/>
      <c r="AF1632" s="332"/>
      <c r="AG1632" s="182"/>
      <c r="AH1632" s="182"/>
      <c r="AI1632" s="182"/>
      <c r="AJ1632" s="640"/>
      <c r="AK1632" s="182"/>
      <c r="AL1632" s="496">
        <f t="shared" si="473"/>
        <v>0</v>
      </c>
      <c r="AM1632" s="496">
        <f t="shared" si="466"/>
        <v>0</v>
      </c>
      <c r="AN1632" s="626"/>
      <c r="AO1632" s="182"/>
      <c r="AP1632" s="182"/>
      <c r="AQ1632" s="332" t="str">
        <f>UPPER(RIGHT(Journal_Live[[#This Row],[DURATION ]]))</f>
        <v/>
      </c>
      <c r="AR1632" s="182"/>
      <c r="AS1632" s="189"/>
      <c r="AT1632" s="189"/>
      <c r="AU1632" s="187"/>
      <c r="AV1632" s="190"/>
      <c r="AW1632" s="191"/>
      <c r="AX1632" s="409" t="s">
        <v>5575</v>
      </c>
      <c r="AY1632" s="407" t="s">
        <v>5576</v>
      </c>
      <c r="AZ1632" s="409" t="s">
        <v>5577</v>
      </c>
      <c r="BA1632" s="409" t="s">
        <v>5578</v>
      </c>
      <c r="BB1632" s="409" t="s">
        <v>5579</v>
      </c>
      <c r="BC1632" s="409" t="s">
        <v>5580</v>
      </c>
      <c r="BD1632" s="407" t="s">
        <v>5581</v>
      </c>
      <c r="BE1632" s="407"/>
      <c r="BF1632" s="422"/>
      <c r="BG1632" s="391">
        <f>SUM($AV$1389:AV1632)</f>
        <v>1182.7690101367634</v>
      </c>
      <c r="BH1632" s="392">
        <f>SUM($AU$1389:AU1632)</f>
        <v>14974.979999999814</v>
      </c>
      <c r="BI1632" s="318">
        <f>SUMIFS($AU$1388:AU1633,$Q$1388:Q1633,"F")</f>
        <v>9348.4000000000015</v>
      </c>
      <c r="BJ1632" s="318">
        <f>SUMIFS($AU$1388:AU1633,$Q$1388:Q1633,"S")</f>
        <v>3759.9999999999914</v>
      </c>
      <c r="BK1632" s="343">
        <f>SUMIFS($AU$1388:AU1633,$P$1388:P1633,"W")</f>
        <v>9197.579999999929</v>
      </c>
      <c r="BL1632" s="343">
        <f>SUMIFS($AU$1388:AU1633,$P$1388:P1633,"R")</f>
        <v>4021.9999999999991</v>
      </c>
      <c r="BM1632" s="343">
        <f>SUMIFS($AU$1388:AU1633,$AQ$1388:AQ1633,"M")</f>
        <v>5219.3799999995472</v>
      </c>
      <c r="BN1632" s="343">
        <f>SUMIFS($AU$1388:AU1633,$AQ$1388:AQ1633,"H")</f>
        <v>3251.2000000002595</v>
      </c>
      <c r="BO1632" s="343">
        <f>SUMIFS($AU$1388:AU1633,$AQ$1388:AQ1633,"D")</f>
        <v>1266.0000000000005</v>
      </c>
      <c r="BP1632" s="343">
        <f>SUMIFS($AU$1388:AU1635,$AQ$1388:AQ1635,"W")</f>
        <v>5542.4000000000005</v>
      </c>
      <c r="BQ1632" s="343">
        <f>SUMIFS($AU$1388:AU1633,$Q$1388:Q1633,"O")</f>
        <v>1770.5799999998073</v>
      </c>
      <c r="BR1632" s="343">
        <f>SUMIFS($AU$1388:AU1633,$AA$1388:AA1633,"*")</f>
        <v>12759.799999999701</v>
      </c>
      <c r="BS1632" s="343">
        <f>SUMIFS($AU$1388:AU1633,$AB$1388:AB1633,"*")</f>
        <v>4007.1799999999307</v>
      </c>
      <c r="BT1632" s="343">
        <f>SUMIFS($AU$1388:AU1633,$AC$1388:AC1633,"*")</f>
        <v>7028.4</v>
      </c>
      <c r="BU1632" s="343">
        <f>SUMIFS($AU$1388:AU1633,$AA$1388:AA1633,"*",$AB$1388:AB1633,"*")</f>
        <v>1855.9999999998222</v>
      </c>
      <c r="BV1632" s="343">
        <f>SUMIFS($AU$1388:AU1633,$AA$1388:AA1633,"*",$AC$1388:AC1633,"*")</f>
        <v>6564.4</v>
      </c>
      <c r="BW1632" s="343">
        <f>SUMIFS($AU$1388:AU1633,$AB$1388:AB1633,"*",$AC$1388:AC1633,"*")</f>
        <v>719.99999999999818</v>
      </c>
      <c r="BX1632" s="343">
        <f>SUMIFS($AV$1388:AV1633,$Q$1388:Q1633,"F")</f>
        <v>221.28119764293677</v>
      </c>
      <c r="BY1632" s="343">
        <f>SUMIFS($AV$1388:AV1633,$Q$1388:Q1633,"S")</f>
        <v>312.74781249396256</v>
      </c>
      <c r="BZ1632" s="343">
        <f>SUMIFS($AV$1388:AV1633,$Q$1388:Q1633,"O")</f>
        <v>520.73999999985608</v>
      </c>
    </row>
    <row r="1633" spans="1:78" ht="15.75" customHeight="1">
      <c r="A1633" s="177" t="s">
        <v>5180</v>
      </c>
      <c r="B1633" s="200"/>
      <c r="C1633" s="178" t="s">
        <v>327</v>
      </c>
      <c r="D1633" s="178" t="s">
        <v>151</v>
      </c>
      <c r="E1633" s="227" t="s">
        <v>5582</v>
      </c>
      <c r="F1633" s="180"/>
      <c r="G1633" s="181"/>
      <c r="H1633" s="182"/>
      <c r="I1633" s="182"/>
      <c r="J1633" s="182"/>
      <c r="K1633" s="183"/>
      <c r="L1633" s="182"/>
      <c r="M1633" s="182"/>
      <c r="N1633" s="182"/>
      <c r="O1633" s="183"/>
      <c r="P1633" s="183"/>
      <c r="Q1633" s="183"/>
      <c r="R1633" s="183"/>
      <c r="S1633" s="183"/>
      <c r="T1633" s="183"/>
      <c r="U1633" s="183"/>
      <c r="V1633" s="183"/>
      <c r="W1633" s="183"/>
      <c r="X1633" s="183"/>
      <c r="Y1633" s="184"/>
      <c r="Z1633" s="185"/>
      <c r="AA1633" s="185"/>
      <c r="AB1633" s="185"/>
      <c r="AC1633" s="185"/>
      <c r="AD1633" s="649"/>
      <c r="AE1633" s="182"/>
      <c r="AF1633" s="332"/>
      <c r="AG1633" s="182"/>
      <c r="AH1633" s="182"/>
      <c r="AI1633" s="182"/>
      <c r="AJ1633" s="640"/>
      <c r="AK1633" s="182"/>
      <c r="AL1633" s="496">
        <f t="shared" si="473"/>
        <v>0</v>
      </c>
      <c r="AM1633" s="496">
        <f t="shared" si="466"/>
        <v>0</v>
      </c>
      <c r="AN1633" s="626"/>
      <c r="AO1633" s="182"/>
      <c r="AP1633" s="182"/>
      <c r="AQ1633" s="332" t="str">
        <f>UPPER(RIGHT(Journal_Live[[#This Row],[DURATION ]]))</f>
        <v/>
      </c>
      <c r="AR1633" s="182"/>
      <c r="AS1633" s="189"/>
      <c r="AT1633" s="189"/>
      <c r="AU1633" s="187"/>
      <c r="AV1633" s="190"/>
      <c r="AW1633" s="191"/>
      <c r="AX1633" s="407"/>
      <c r="AY1633" s="407"/>
      <c r="AZ1633" s="407"/>
      <c r="BA1633" s="407"/>
      <c r="BB1633" s="407"/>
      <c r="BC1633" s="407"/>
      <c r="BD1633" s="407"/>
      <c r="BE1633" s="407"/>
      <c r="BF1633" s="422"/>
      <c r="BG1633" s="391">
        <f>SUM($AV$1389:AV1633)</f>
        <v>1182.7690101367634</v>
      </c>
      <c r="BH1633" s="392">
        <f>SUM($AU$1389:AU1633)</f>
        <v>14974.979999999814</v>
      </c>
      <c r="BI1633" s="318">
        <f>SUMIFS($AU$1388:AU1634,$Q$1388:Q1634,"F")</f>
        <v>9348.4000000000015</v>
      </c>
      <c r="BJ1633" s="318">
        <f>SUMIFS($AU$1388:AU1634,$Q$1388:Q1634,"S")</f>
        <v>3759.9999999999914</v>
      </c>
      <c r="BK1633" s="343">
        <f>SUMIFS($AU$1388:AU1634,$P$1388:P1634,"W")</f>
        <v>9197.579999999929</v>
      </c>
      <c r="BL1633" s="343">
        <f>SUMIFS($AU$1388:AU1634,$P$1388:P1634,"R")</f>
        <v>4021.9999999999991</v>
      </c>
      <c r="BM1633" s="343">
        <f>SUMIFS($AU$1388:AU1634,$AQ$1388:AQ1634,"M")</f>
        <v>5219.3799999995472</v>
      </c>
      <c r="BN1633" s="343">
        <f>SUMIFS($AU$1388:AU1634,$AQ$1388:AQ1634,"H")</f>
        <v>3251.2000000002595</v>
      </c>
      <c r="BO1633" s="343">
        <f>SUMIFS($AU$1388:AU1634,$AQ$1388:AQ1634,"D")</f>
        <v>1266.0000000000005</v>
      </c>
      <c r="BP1633" s="343">
        <f>SUMIFS($AU$1388:AU1636,$AQ$1388:AQ1636,"W")</f>
        <v>5542.4000000000005</v>
      </c>
      <c r="BQ1633" s="343">
        <f>SUMIFS($AU$1388:AU1634,$Q$1388:Q1634,"O")</f>
        <v>1770.5799999998073</v>
      </c>
      <c r="BR1633" s="343">
        <f>SUMIFS($AU$1388:AU1634,$AA$1388:AA1634,"*")</f>
        <v>12759.799999999701</v>
      </c>
      <c r="BS1633" s="343">
        <f>SUMIFS($AU$1388:AU1634,$AB$1388:AB1634,"*")</f>
        <v>4007.1799999999307</v>
      </c>
      <c r="BT1633" s="343">
        <f>SUMIFS($AU$1388:AU1634,$AC$1388:AC1634,"*")</f>
        <v>7028.4</v>
      </c>
      <c r="BU1633" s="343">
        <f>SUMIFS($AU$1388:AU1634,$AA$1388:AA1634,"*",$AB$1388:AB1634,"*")</f>
        <v>1855.9999999998222</v>
      </c>
      <c r="BV1633" s="343">
        <f>SUMIFS($AU$1388:AU1634,$AA$1388:AA1634,"*",$AC$1388:AC1634,"*")</f>
        <v>6564.4</v>
      </c>
      <c r="BW1633" s="343">
        <f>SUMIFS($AU$1388:AU1634,$AB$1388:AB1634,"*",$AC$1388:AC1634,"*")</f>
        <v>719.99999999999818</v>
      </c>
      <c r="BX1633" s="343">
        <f>SUMIFS($AV$1388:AV1634,$Q$1388:Q1634,"F")</f>
        <v>221.28119764293677</v>
      </c>
      <c r="BY1633" s="343">
        <f>SUMIFS($AV$1388:AV1634,$Q$1388:Q1634,"S")</f>
        <v>312.74781249396256</v>
      </c>
      <c r="BZ1633" s="343">
        <f>SUMIFS($AV$1388:AV1634,$Q$1388:Q1634,"O")</f>
        <v>520.73999999985608</v>
      </c>
    </row>
    <row r="1634" spans="1:78" ht="15.75" customHeight="1">
      <c r="A1634" s="177" t="s">
        <v>5180</v>
      </c>
      <c r="B1634" s="200">
        <v>45350</v>
      </c>
      <c r="C1634" s="178" t="s">
        <v>682</v>
      </c>
      <c r="D1634" s="178"/>
      <c r="E1634" s="227"/>
      <c r="F1634" s="180"/>
      <c r="G1634" s="484" t="s">
        <v>4887</v>
      </c>
      <c r="H1634" s="182"/>
      <c r="I1634" s="182"/>
      <c r="J1634" s="182"/>
      <c r="K1634" s="183"/>
      <c r="L1634" s="182">
        <v>1</v>
      </c>
      <c r="M1634" s="182"/>
      <c r="N1634" s="182"/>
      <c r="O1634" s="183" t="s">
        <v>3618</v>
      </c>
      <c r="P1634" s="183" t="s">
        <v>2260</v>
      </c>
      <c r="Q1634" s="183" t="s">
        <v>684</v>
      </c>
      <c r="R1634" s="183">
        <v>6</v>
      </c>
      <c r="S1634" s="183">
        <v>0</v>
      </c>
      <c r="T1634" s="183">
        <v>2</v>
      </c>
      <c r="U1634" s="183" t="s">
        <v>22</v>
      </c>
      <c r="V1634" s="183"/>
      <c r="W1634" s="183"/>
      <c r="X1634" s="183"/>
      <c r="Y1634" s="184">
        <f>IF(ISBLANK(O1634),"",(IF(O1634=UPPER("IB"),0.005,0.01)))</f>
        <v>0.01</v>
      </c>
      <c r="Z1634" s="185">
        <f>IF(ISBLANK(O1634),"",IF(O1634="IB",8.63*200,IF(O1634="IR",16*100,IF(O1634="YT",20*100,IF(O1634="YT-XT",24*200,IF(O1634="TED",80*100,IF(O1634="XT",29*200)))))))</f>
        <v>5800</v>
      </c>
      <c r="AA1634" s="185" t="s">
        <v>5583</v>
      </c>
      <c r="AB1634" s="185"/>
      <c r="AC1634" s="185"/>
      <c r="AD1634" s="649">
        <v>95.819000000000003</v>
      </c>
      <c r="AE1634" s="182"/>
      <c r="AF1634" s="332"/>
      <c r="AG1634" s="182"/>
      <c r="AH1634" s="182"/>
      <c r="AI1634" s="182"/>
      <c r="AJ1634" s="640"/>
      <c r="AK1634" s="182"/>
      <c r="AL1634" s="496">
        <f t="shared" si="473"/>
        <v>-116</v>
      </c>
      <c r="AM1634" s="496">
        <f t="shared" si="466"/>
        <v>-696</v>
      </c>
      <c r="AN1634" s="626"/>
      <c r="AO1634" s="182"/>
      <c r="AP1634" s="182" t="s">
        <v>1496</v>
      </c>
      <c r="AQ1634" s="332" t="s">
        <v>1259</v>
      </c>
      <c r="AR1634" s="182"/>
      <c r="AS1634" s="189">
        <v>95.819000000000003</v>
      </c>
      <c r="AT1634" s="189">
        <f>IF(ISBLANK(AS1634),,IF(U1634="S",AD1634-AS1634,AS1634-AD1634))</f>
        <v>0</v>
      </c>
      <c r="AU1634" s="187">
        <f>AV1634*R1634</f>
        <v>0</v>
      </c>
      <c r="AV1634" s="190">
        <f t="shared" ref="AV1634" si="474">IF(ISBLANK(AS1634),,(AT1634*Z1634))</f>
        <v>0</v>
      </c>
      <c r="AW1634" s="191" t="s">
        <v>115</v>
      </c>
      <c r="AX1634" s="407" t="s">
        <v>5584</v>
      </c>
      <c r="AY1634" s="407" t="s">
        <v>5585</v>
      </c>
      <c r="AZ1634" s="407" t="s">
        <v>5586</v>
      </c>
      <c r="BA1634" s="407" t="s">
        <v>5587</v>
      </c>
      <c r="BB1634" s="407" t="s">
        <v>5588</v>
      </c>
      <c r="BC1634" s="407"/>
      <c r="BD1634" s="407"/>
      <c r="BE1634" s="407"/>
      <c r="BF1634" s="422"/>
      <c r="BG1634" s="391">
        <f>SUM($AV$1389:AV1634)</f>
        <v>1182.7690101367634</v>
      </c>
      <c r="BH1634" s="392">
        <f>SUM($AU$1389:AU1634)</f>
        <v>14974.979999999814</v>
      </c>
      <c r="BI1634" s="318">
        <f>SUMIFS($AU$1388:AU1635,$Q$1388:Q1635,"F")</f>
        <v>9348.4000000000015</v>
      </c>
      <c r="BJ1634" s="318">
        <f>SUMIFS($AU$1388:AU1635,$Q$1388:Q1635,"S")</f>
        <v>3759.9999999999914</v>
      </c>
      <c r="BK1634" s="343">
        <f>SUMIFS($AU$1388:AU1635,$P$1388:P1635,"W")</f>
        <v>9197.579999999929</v>
      </c>
      <c r="BL1634" s="343">
        <f>SUMIFS($AU$1388:AU1635,$P$1388:P1635,"R")</f>
        <v>4021.9999999999991</v>
      </c>
      <c r="BM1634" s="343">
        <f>SUMIFS($AU$1388:AU1635,$AQ$1388:AQ1635,"M")</f>
        <v>5219.3799999995472</v>
      </c>
      <c r="BN1634" s="343">
        <f>SUMIFS($AU$1388:AU1635,$AQ$1388:AQ1635,"H")</f>
        <v>3251.2000000002595</v>
      </c>
      <c r="BO1634" s="343">
        <f>SUMIFS($AU$1388:AU1635,$AQ$1388:AQ1635,"D")</f>
        <v>1266.0000000000005</v>
      </c>
      <c r="BP1634" s="343">
        <f>SUMIFS($AU$1388:AU1637,$AQ$1388:AQ1637,"W")</f>
        <v>5542.4000000000005</v>
      </c>
      <c r="BQ1634" s="343">
        <f>SUMIFS($AU$1388:AU1635,$Q$1388:Q1635,"O")</f>
        <v>1770.5799999998073</v>
      </c>
      <c r="BR1634" s="343">
        <f>SUMIFS($AU$1388:AU1635,$AA$1388:AA1635,"*")</f>
        <v>12759.799999999701</v>
      </c>
      <c r="BS1634" s="343">
        <f>SUMIFS($AU$1388:AU1635,$AB$1388:AB1635,"*")</f>
        <v>4007.1799999999307</v>
      </c>
      <c r="BT1634" s="343">
        <f>SUMIFS($AU$1388:AU1635,$AC$1388:AC1635,"*")</f>
        <v>7028.4</v>
      </c>
      <c r="BU1634" s="343">
        <f>SUMIFS($AU$1388:AU1635,$AA$1388:AA1635,"*",$AB$1388:AB1635,"*")</f>
        <v>1855.9999999998222</v>
      </c>
      <c r="BV1634" s="343">
        <f>SUMIFS($AU$1388:AU1635,$AA$1388:AA1635,"*",$AC$1388:AC1635,"*")</f>
        <v>6564.4</v>
      </c>
      <c r="BW1634" s="343">
        <f>SUMIFS($AU$1388:AU1635,$AB$1388:AB1635,"*",$AC$1388:AC1635,"*")</f>
        <v>719.99999999999818</v>
      </c>
      <c r="BX1634" s="343">
        <f>SUMIFS($AV$1388:AV1635,$Q$1388:Q1635,"F")</f>
        <v>221.28119764293677</v>
      </c>
      <c r="BY1634" s="343">
        <f>SUMIFS($AV$1388:AV1635,$Q$1388:Q1635,"S")</f>
        <v>312.74781249396256</v>
      </c>
      <c r="BZ1634" s="343">
        <f>SUMIFS($AV$1388:AV1635,$Q$1388:Q1635,"O")</f>
        <v>520.73999999985608</v>
      </c>
    </row>
    <row r="1635" spans="1:78" ht="15.75" customHeight="1">
      <c r="A1635" s="177" t="s">
        <v>5180</v>
      </c>
      <c r="B1635" s="200"/>
      <c r="C1635" s="178"/>
      <c r="D1635" s="178"/>
      <c r="E1635" s="227"/>
      <c r="F1635" s="180"/>
      <c r="G1635" s="181"/>
      <c r="H1635" s="182"/>
      <c r="I1635" s="182"/>
      <c r="J1635" s="182"/>
      <c r="K1635" s="183"/>
      <c r="L1635" s="182"/>
      <c r="M1635" s="182"/>
      <c r="N1635" s="182"/>
      <c r="O1635" s="183"/>
      <c r="P1635" s="183"/>
      <c r="Q1635" s="183"/>
      <c r="R1635" s="183"/>
      <c r="S1635" s="183"/>
      <c r="T1635" s="183"/>
      <c r="U1635" s="183"/>
      <c r="V1635" s="183"/>
      <c r="W1635" s="183"/>
      <c r="X1635" s="183"/>
      <c r="Y1635" s="184"/>
      <c r="Z1635" s="185"/>
      <c r="AA1635" s="185"/>
      <c r="AB1635" s="185"/>
      <c r="AC1635" s="185"/>
      <c r="AD1635" s="649"/>
      <c r="AE1635" s="182"/>
      <c r="AF1635" s="332"/>
      <c r="AG1635" s="182"/>
      <c r="AH1635" s="182"/>
      <c r="AI1635" s="182"/>
      <c r="AJ1635" s="640"/>
      <c r="AK1635" s="182"/>
      <c r="AL1635" s="496">
        <f t="shared" si="472"/>
        <v>0</v>
      </c>
      <c r="AM1635" s="496">
        <f t="shared" si="466"/>
        <v>0</v>
      </c>
      <c r="AN1635" s="626"/>
      <c r="AO1635" s="182"/>
      <c r="AP1635" s="182"/>
      <c r="AQ1635" s="332" t="str">
        <f>UPPER(RIGHT(Journal_Live[[#This Row],[DURATION ]]))</f>
        <v/>
      </c>
      <c r="AR1635" s="182"/>
      <c r="AS1635" s="189"/>
      <c r="AT1635" s="189"/>
      <c r="AU1635" s="187"/>
      <c r="AV1635" s="190"/>
      <c r="AW1635" s="191"/>
      <c r="AX1635" s="409" t="s">
        <v>5589</v>
      </c>
      <c r="AY1635" s="409" t="s">
        <v>5590</v>
      </c>
      <c r="AZ1635" s="407" t="s">
        <v>5591</v>
      </c>
      <c r="BA1635" s="407" t="s">
        <v>5592</v>
      </c>
      <c r="BB1635" s="407" t="s">
        <v>5593</v>
      </c>
      <c r="BC1635" s="407"/>
      <c r="BD1635" s="407"/>
      <c r="BE1635" s="407"/>
      <c r="BF1635" s="422"/>
      <c r="BG1635" s="391">
        <f>SUM($AV$1389:AV1635)</f>
        <v>1182.7690101367634</v>
      </c>
      <c r="BH1635" s="392">
        <f>SUM($AU$1389:AU1635)</f>
        <v>14974.979999999814</v>
      </c>
      <c r="BI1635" s="318">
        <f>SUMIFS($AU$1388:AU1636,$Q$1388:Q1636,"F")</f>
        <v>9348.4000000000015</v>
      </c>
      <c r="BJ1635" s="318">
        <f>SUMIFS($AU$1388:AU1636,$Q$1388:Q1636,"S")</f>
        <v>3279.9999999999918</v>
      </c>
      <c r="BK1635" s="343">
        <f>SUMIFS($AU$1388:AU1636,$P$1388:P1636,"W")</f>
        <v>8717.579999999929</v>
      </c>
      <c r="BL1635" s="343">
        <f>SUMIFS($AU$1388:AU1636,$P$1388:P1636,"R")</f>
        <v>4021.9999999999991</v>
      </c>
      <c r="BM1635" s="343">
        <f>SUMIFS($AU$1388:AU1636,$AQ$1388:AQ1636,"M")</f>
        <v>5219.3799999995472</v>
      </c>
      <c r="BN1635" s="343">
        <f>SUMIFS($AU$1388:AU1636,$AQ$1388:AQ1636,"H")</f>
        <v>2771.2000000002599</v>
      </c>
      <c r="BO1635" s="343">
        <f>SUMIFS($AU$1388:AU1636,$AQ$1388:AQ1636,"D")</f>
        <v>1266.0000000000005</v>
      </c>
      <c r="BP1635" s="343">
        <f>SUMIFS($AU$1388:AU1638,$AQ$1388:AQ1638,"W")</f>
        <v>5542.4000000000005</v>
      </c>
      <c r="BQ1635" s="343">
        <f>SUMIFS($AU$1388:AU1636,$Q$1388:Q1636,"O")</f>
        <v>1770.5799999998073</v>
      </c>
      <c r="BR1635" s="343">
        <f>SUMIFS($AU$1388:AU1636,$AA$1388:AA1636,"*")</f>
        <v>12279.799999999701</v>
      </c>
      <c r="BS1635" s="343">
        <f>SUMIFS($AU$1388:AU1636,$AB$1388:AB1636,"*")</f>
        <v>4007.1799999999307</v>
      </c>
      <c r="BT1635" s="343">
        <f>SUMIFS($AU$1388:AU1636,$AC$1388:AC1636,"*")</f>
        <v>7028.4</v>
      </c>
      <c r="BU1635" s="343">
        <f>SUMIFS($AU$1388:AU1636,$AA$1388:AA1636,"*",$AB$1388:AB1636,"*")</f>
        <v>1855.9999999998222</v>
      </c>
      <c r="BV1635" s="343">
        <f>SUMIFS($AU$1388:AU1636,$AA$1388:AA1636,"*",$AC$1388:AC1636,"*")</f>
        <v>6564.4</v>
      </c>
      <c r="BW1635" s="343">
        <f>SUMIFS($AU$1388:AU1636,$AB$1388:AB1636,"*",$AC$1388:AC1636,"*")</f>
        <v>719.99999999999818</v>
      </c>
      <c r="BX1635" s="343">
        <f>SUMIFS($AV$1388:AV1636,$Q$1388:Q1636,"F")</f>
        <v>221.28119764293677</v>
      </c>
      <c r="BY1635" s="343">
        <f>SUMIFS($AV$1388:AV1636,$Q$1388:Q1636,"S")</f>
        <v>280.74781249396256</v>
      </c>
      <c r="BZ1635" s="343">
        <f>SUMIFS($AV$1388:AV1636,$Q$1388:Q1636,"O")</f>
        <v>520.73999999985608</v>
      </c>
    </row>
    <row r="1636" spans="1:78" ht="15.75" customHeight="1">
      <c r="A1636" s="177" t="s">
        <v>5180</v>
      </c>
      <c r="B1636" s="200">
        <v>45350</v>
      </c>
      <c r="C1636" s="178" t="s">
        <v>5594</v>
      </c>
      <c r="D1636" s="178" t="s">
        <v>151</v>
      </c>
      <c r="E1636" s="227"/>
      <c r="F1636" s="180"/>
      <c r="G1636" s="484" t="s">
        <v>136</v>
      </c>
      <c r="H1636" s="182"/>
      <c r="I1636" s="182"/>
      <c r="J1636" s="182"/>
      <c r="K1636" s="183"/>
      <c r="L1636" s="182">
        <v>1</v>
      </c>
      <c r="M1636" s="182"/>
      <c r="N1636" s="182"/>
      <c r="O1636" s="183" t="s">
        <v>95</v>
      </c>
      <c r="P1636" s="183" t="s">
        <v>96</v>
      </c>
      <c r="Q1636" s="183" t="s">
        <v>97</v>
      </c>
      <c r="R1636" s="183">
        <v>15</v>
      </c>
      <c r="S1636" s="183">
        <v>0</v>
      </c>
      <c r="T1636" s="183">
        <v>15</v>
      </c>
      <c r="U1636" s="183" t="s">
        <v>22</v>
      </c>
      <c r="V1636" s="183"/>
      <c r="W1636" s="183"/>
      <c r="X1636" s="183"/>
      <c r="Y1636" s="184">
        <f>IF(ISBLANK(O1636),"",(IF(O1636=UPPER("IB"),0.005,0.01)))</f>
        <v>0.01</v>
      </c>
      <c r="Z1636" s="185">
        <f>IF(ISBLANK(O1636),"",IF(O1636="IB",8.63*200,IF(O1636="IR",16*100,IF(O1636="YT",20*100,IF(O1636="YT-XT",24*200,IF(O1636="TED",80*100))))))</f>
        <v>1600</v>
      </c>
      <c r="AA1636" s="185" t="s">
        <v>5595</v>
      </c>
      <c r="AB1636" s="185"/>
      <c r="AC1636" s="185"/>
      <c r="AD1636" s="649">
        <v>-0.1</v>
      </c>
      <c r="AE1636" s="182"/>
      <c r="AF1636" s="332"/>
      <c r="AG1636" s="182"/>
      <c r="AH1636" s="182"/>
      <c r="AI1636" s="182"/>
      <c r="AJ1636" s="640" t="s">
        <v>5596</v>
      </c>
      <c r="AK1636" s="182"/>
      <c r="AL1636" s="496">
        <f t="shared" si="460"/>
        <v>-32</v>
      </c>
      <c r="AM1636" s="496">
        <f t="shared" si="466"/>
        <v>-480</v>
      </c>
      <c r="AN1636" s="626"/>
      <c r="AO1636" s="182"/>
      <c r="AP1636" s="182" t="s">
        <v>4950</v>
      </c>
      <c r="AQ1636" s="332" t="s">
        <v>372</v>
      </c>
      <c r="AR1636" s="182" t="s">
        <v>5597</v>
      </c>
      <c r="AS1636" s="189">
        <v>-0.12</v>
      </c>
      <c r="AT1636" s="189">
        <f>IF(ISBLANK(AS1636),,IF(U1636="S",AD1636-AS1636,AS1636-AD1636))</f>
        <v>-1.999999999999999E-2</v>
      </c>
      <c r="AU1636" s="187">
        <f>AV1636*R1636</f>
        <v>-479.99999999999977</v>
      </c>
      <c r="AV1636" s="190">
        <f t="shared" ref="AV1636:AV1637" si="475">IF(ISBLANK(AS1636),,(AT1636*Z1636))</f>
        <v>-31.999999999999986</v>
      </c>
      <c r="AW1636" s="191" t="s">
        <v>229</v>
      </c>
      <c r="AX1636" s="407" t="s">
        <v>5598</v>
      </c>
      <c r="AY1636" s="407" t="s">
        <v>5599</v>
      </c>
      <c r="AZ1636" s="407" t="s">
        <v>5600</v>
      </c>
      <c r="BA1636" s="407"/>
      <c r="BB1636" s="407"/>
      <c r="BC1636" s="407"/>
      <c r="BD1636" s="409" t="s">
        <v>5557</v>
      </c>
      <c r="BE1636" s="407"/>
      <c r="BF1636" s="422"/>
      <c r="BG1636" s="391">
        <f>SUM($AV$1389:AV1636)</f>
        <v>1150.7690101367634</v>
      </c>
      <c r="BH1636" s="392">
        <f>SUM($AU$1389:AU1636)</f>
        <v>14494.979999999814</v>
      </c>
      <c r="BI1636" s="318">
        <f>SUMIFS($AU$1388:AU1637,$Q$1388:Q1637,"F")</f>
        <v>9348.4000000000015</v>
      </c>
      <c r="BJ1636" s="318">
        <f>SUMIFS($AU$1388:AU1637,$Q$1388:Q1637,"S")</f>
        <v>3279.9999999999918</v>
      </c>
      <c r="BK1636" s="343">
        <f>SUMIFS($AU$1388:AU1637,$P$1388:P1637,"W")</f>
        <v>8717.579999999929</v>
      </c>
      <c r="BL1636" s="343">
        <f>SUMIFS($AU$1388:AU1637,$P$1388:P1637,"R")</f>
        <v>4181.9999999999991</v>
      </c>
      <c r="BM1636" s="343">
        <f>SUMIFS($AU$1388:AU1637,$AQ$1388:AQ1637,"M")</f>
        <v>5219.3799999995472</v>
      </c>
      <c r="BN1636" s="343">
        <f>SUMIFS($AU$1388:AU1637,$AQ$1388:AQ1637,"H")</f>
        <v>2931.2000000002599</v>
      </c>
      <c r="BO1636" s="343">
        <f>SUMIFS($AU$1388:AU1637,$AQ$1388:AQ1637,"D")</f>
        <v>1266.0000000000005</v>
      </c>
      <c r="BP1636" s="343">
        <f>SUMIFS($AU$1388:AU1640,$AQ$1388:AQ1640,"W")</f>
        <v>5542.4000000000005</v>
      </c>
      <c r="BQ1636" s="343">
        <f>SUMIFS($AU$1388:AU1637,$Q$1388:Q1637,"O")</f>
        <v>1770.5799999998073</v>
      </c>
      <c r="BR1636" s="343">
        <f>SUMIFS($AU$1388:AU1637,$AA$1388:AA1637,"*")</f>
        <v>12439.799999999701</v>
      </c>
      <c r="BS1636" s="343">
        <f>SUMIFS($AU$1388:AU1637,$AB$1388:AB1637,"*")</f>
        <v>4007.1799999999307</v>
      </c>
      <c r="BT1636" s="343">
        <f>SUMIFS($AU$1388:AU1637,$AC$1388:AC1637,"*")</f>
        <v>7028.4</v>
      </c>
      <c r="BU1636" s="343">
        <f>SUMIFS($AU$1388:AU1637,$AA$1388:AA1637,"*",$AB$1388:AB1637,"*")</f>
        <v>1855.9999999998222</v>
      </c>
      <c r="BV1636" s="343">
        <f>SUMIFS($AU$1388:AU1637,$AA$1388:AA1637,"*",$AC$1388:AC1637,"*")</f>
        <v>6564.4</v>
      </c>
      <c r="BW1636" s="343">
        <f>SUMIFS($AU$1388:AU1637,$AB$1388:AB1637,"*",$AC$1388:AC1637,"*")</f>
        <v>719.99999999999818</v>
      </c>
      <c r="BX1636" s="343">
        <f>SUMIFS($AV$1388:AV1637,$Q$1388:Q1637,"F")</f>
        <v>221.28119764293677</v>
      </c>
      <c r="BY1636" s="343">
        <f>SUMIFS($AV$1388:AV1637,$Q$1388:Q1637,"S")</f>
        <v>280.74781249396256</v>
      </c>
      <c r="BZ1636" s="343">
        <f>SUMIFS($AV$1388:AV1637,$Q$1388:Q1637,"O")</f>
        <v>520.73999999985608</v>
      </c>
    </row>
    <row r="1637" spans="1:78" ht="15.75" customHeight="1">
      <c r="A1637" s="177" t="s">
        <v>5180</v>
      </c>
      <c r="B1637" s="200">
        <v>45350</v>
      </c>
      <c r="C1637" s="178" t="s">
        <v>5601</v>
      </c>
      <c r="D1637" s="178" t="s">
        <v>151</v>
      </c>
      <c r="E1637" s="227"/>
      <c r="F1637" s="180"/>
      <c r="G1637" s="484" t="s">
        <v>5012</v>
      </c>
      <c r="H1637" s="182"/>
      <c r="I1637" s="182"/>
      <c r="J1637" s="182"/>
      <c r="K1637" s="183"/>
      <c r="L1637" s="182">
        <v>1</v>
      </c>
      <c r="M1637" s="182"/>
      <c r="N1637" s="182"/>
      <c r="O1637" s="183" t="s">
        <v>2652</v>
      </c>
      <c r="P1637" s="183" t="s">
        <v>137</v>
      </c>
      <c r="Q1637" s="183"/>
      <c r="R1637" s="183">
        <v>2</v>
      </c>
      <c r="S1637" s="183">
        <v>0</v>
      </c>
      <c r="T1637" s="183">
        <v>1</v>
      </c>
      <c r="U1637" s="183" t="s">
        <v>97</v>
      </c>
      <c r="V1637" s="183"/>
      <c r="W1637" s="183"/>
      <c r="X1637" s="183"/>
      <c r="Y1637" s="184">
        <f>IF(ISBLANK(O1637),"",(IF(O1637=UPPER("IB"),0.005,0.01)))</f>
        <v>0.01</v>
      </c>
      <c r="Z1637" s="185">
        <f>IF(ISBLANK(O1637),"",IF(O1637="IB",8.63*200,IF(O1637="IR",16*100,IF(O1637="YT",20*100,IF(O1637="YT-XT",24*200,IF(O1637="TED",80*100))))))</f>
        <v>8000</v>
      </c>
      <c r="AA1637" s="185" t="s">
        <v>5602</v>
      </c>
      <c r="AB1637" s="185"/>
      <c r="AC1637" s="185"/>
      <c r="AD1637" s="649">
        <v>-0.06</v>
      </c>
      <c r="AE1637" s="182"/>
      <c r="AF1637" s="332"/>
      <c r="AG1637" s="182"/>
      <c r="AH1637" s="182"/>
      <c r="AI1637" s="182"/>
      <c r="AJ1637" s="640"/>
      <c r="AK1637" s="182"/>
      <c r="AL1637" s="496">
        <f t="shared" si="450"/>
        <v>-160</v>
      </c>
      <c r="AM1637" s="496">
        <f t="shared" si="466"/>
        <v>-320</v>
      </c>
      <c r="AN1637" s="626"/>
      <c r="AO1637" s="182"/>
      <c r="AP1637" s="182" t="s">
        <v>5603</v>
      </c>
      <c r="AQ1637" s="332" t="s">
        <v>372</v>
      </c>
      <c r="AR1637" s="182" t="s">
        <v>5604</v>
      </c>
      <c r="AS1637" s="189">
        <v>-7.0000000000000007E-2</v>
      </c>
      <c r="AT1637" s="189">
        <f>IF(ISBLANK(AS1637),,IF(U1637="S",AD1637-AS1637,AS1637-AD1637))</f>
        <v>1.0000000000000009E-2</v>
      </c>
      <c r="AU1637" s="187">
        <f>AV1637*R1637</f>
        <v>160.00000000000014</v>
      </c>
      <c r="AV1637" s="190">
        <f t="shared" si="475"/>
        <v>80.000000000000071</v>
      </c>
      <c r="AW1637" s="191" t="s">
        <v>96</v>
      </c>
      <c r="AX1637" s="407" t="s">
        <v>5605</v>
      </c>
      <c r="AY1637" s="407" t="s">
        <v>1137</v>
      </c>
      <c r="AZ1637" s="407" t="s">
        <v>5606</v>
      </c>
      <c r="BA1637" s="407"/>
      <c r="BB1637" s="407"/>
      <c r="BC1637" s="407"/>
      <c r="BD1637" s="407" t="s">
        <v>5054</v>
      </c>
      <c r="BE1637" s="407" t="s">
        <v>5055</v>
      </c>
      <c r="BF1637" s="422" t="s">
        <v>5056</v>
      </c>
      <c r="BG1637" s="391">
        <f>SUM($AV$1389:AV1637)</f>
        <v>1230.7690101367634</v>
      </c>
      <c r="BH1637" s="392">
        <f>SUM($AU$1389:AU1637)</f>
        <v>14654.979999999814</v>
      </c>
      <c r="BI1637" s="318">
        <f>SUMIFS($AU$1388:AU1638,$Q$1388:Q1638,"F")</f>
        <v>9348.4000000000015</v>
      </c>
      <c r="BJ1637" s="318">
        <f>SUMIFS($AU$1388:AU1638,$Q$1388:Q1638,"S")</f>
        <v>3279.9999999999918</v>
      </c>
      <c r="BK1637" s="343">
        <f>SUMIFS($AU$1388:AU1638,$P$1388:P1638,"W")</f>
        <v>8717.579999999929</v>
      </c>
      <c r="BL1637" s="343">
        <f>SUMIFS($AU$1388:AU1638,$P$1388:P1638,"R")</f>
        <v>4181.9999999999991</v>
      </c>
      <c r="BM1637" s="343">
        <f>SUMIFS($AU$1388:AU1638,$AQ$1388:AQ1638,"M")</f>
        <v>5219.3799999995472</v>
      </c>
      <c r="BN1637" s="343">
        <f>SUMIFS($AU$1388:AU1638,$AQ$1388:AQ1638,"H")</f>
        <v>2931.2000000002599</v>
      </c>
      <c r="BO1637" s="343">
        <f>SUMIFS($AU$1388:AU1638,$AQ$1388:AQ1638,"D")</f>
        <v>1266.0000000000005</v>
      </c>
      <c r="BP1637" s="343">
        <f>SUMIFS($AU$1388:AU1641,$AQ$1388:AQ1641,"W")</f>
        <v>5542.4000000000005</v>
      </c>
      <c r="BQ1637" s="343">
        <f>SUMIFS($AU$1388:AU1638,$Q$1388:Q1638,"O")</f>
        <v>1770.5799999998073</v>
      </c>
      <c r="BR1637" s="343">
        <f>SUMIFS($AU$1388:AU1638,$AA$1388:AA1638,"*")</f>
        <v>12439.799999999701</v>
      </c>
      <c r="BS1637" s="343">
        <f>SUMIFS($AU$1388:AU1638,$AB$1388:AB1638,"*")</f>
        <v>4007.1799999999307</v>
      </c>
      <c r="BT1637" s="343">
        <f>SUMIFS($AU$1388:AU1638,$AC$1388:AC1638,"*")</f>
        <v>7028.4</v>
      </c>
      <c r="BU1637" s="343">
        <f>SUMIFS($AU$1388:AU1638,$AA$1388:AA1638,"*",$AB$1388:AB1638,"*")</f>
        <v>1855.9999999998222</v>
      </c>
      <c r="BV1637" s="343">
        <f>SUMIFS($AU$1388:AU1638,$AA$1388:AA1638,"*",$AC$1388:AC1638,"*")</f>
        <v>6564.4</v>
      </c>
      <c r="BW1637" s="343">
        <f>SUMIFS($AU$1388:AU1638,$AB$1388:AB1638,"*",$AC$1388:AC1638,"*")</f>
        <v>719.99999999999818</v>
      </c>
      <c r="BX1637" s="343">
        <f>SUMIFS($AV$1388:AV1638,$Q$1388:Q1638,"F")</f>
        <v>221.28119764293677</v>
      </c>
      <c r="BY1637" s="343">
        <f>SUMIFS($AV$1388:AV1638,$Q$1388:Q1638,"S")</f>
        <v>280.74781249396256</v>
      </c>
      <c r="BZ1637" s="343">
        <f>SUMIFS($AV$1388:AV1638,$Q$1388:Q1638,"O")</f>
        <v>520.73999999985608</v>
      </c>
    </row>
    <row r="1638" spans="1:78" ht="15.75" customHeight="1">
      <c r="A1638" s="177" t="s">
        <v>5180</v>
      </c>
      <c r="B1638" s="200"/>
      <c r="C1638" s="178"/>
      <c r="D1638" s="178"/>
      <c r="E1638" s="227"/>
      <c r="F1638" s="180"/>
      <c r="G1638" s="181"/>
      <c r="H1638" s="182"/>
      <c r="I1638" s="182"/>
      <c r="J1638" s="182"/>
      <c r="K1638" s="183"/>
      <c r="L1638" s="182"/>
      <c r="M1638" s="182"/>
      <c r="N1638" s="182"/>
      <c r="O1638" s="183"/>
      <c r="P1638" s="183"/>
      <c r="Q1638" s="183"/>
      <c r="R1638" s="183"/>
      <c r="S1638" s="183"/>
      <c r="T1638" s="183"/>
      <c r="U1638" s="183"/>
      <c r="V1638" s="183"/>
      <c r="W1638" s="183"/>
      <c r="X1638" s="183"/>
      <c r="Y1638" s="184"/>
      <c r="Z1638" s="185"/>
      <c r="AA1638" s="185"/>
      <c r="AB1638" s="185"/>
      <c r="AC1638" s="185"/>
      <c r="AD1638" s="649"/>
      <c r="AE1638" s="182"/>
      <c r="AF1638" s="332"/>
      <c r="AG1638" s="182"/>
      <c r="AH1638" s="182"/>
      <c r="AI1638" s="182"/>
      <c r="AJ1638" s="640"/>
      <c r="AK1638" s="182"/>
      <c r="AL1638" s="496">
        <f t="shared" si="444"/>
        <v>0</v>
      </c>
      <c r="AM1638" s="496">
        <f t="shared" si="466"/>
        <v>0</v>
      </c>
      <c r="AN1638" s="626"/>
      <c r="AO1638" s="182"/>
      <c r="AP1638" s="182"/>
      <c r="AQ1638" s="332" t="str">
        <f>UPPER(RIGHT(Journal_Live[[#This Row],[DURATION ]]))</f>
        <v/>
      </c>
      <c r="AR1638" s="182"/>
      <c r="AS1638" s="189"/>
      <c r="AT1638" s="189"/>
      <c r="AU1638" s="187"/>
      <c r="AV1638" s="190"/>
      <c r="AW1638" s="191"/>
      <c r="AX1638" s="407" t="s">
        <v>5607</v>
      </c>
      <c r="AY1638" s="407" t="s">
        <v>5608</v>
      </c>
      <c r="AZ1638" s="407" t="s">
        <v>5609</v>
      </c>
      <c r="BA1638" s="407"/>
      <c r="BB1638" s="407"/>
      <c r="BC1638" s="407"/>
      <c r="BD1638" s="409" t="s">
        <v>5610</v>
      </c>
      <c r="BE1638" s="407"/>
      <c r="BF1638" s="422"/>
      <c r="BG1638" s="391">
        <f>SUM($AV$1389:AV1638)</f>
        <v>1230.7690101367634</v>
      </c>
      <c r="BH1638" s="392">
        <f>SUM($AU$1389:AU1638)</f>
        <v>14654.979999999814</v>
      </c>
      <c r="BI1638" s="318">
        <f>SUMIFS($AU$1388:AU1640,$Q$1388:Q1640,"F")</f>
        <v>9348.4000000000015</v>
      </c>
      <c r="BJ1638" s="318">
        <f>SUMIFS($AU$1388:AU1640,$Q$1388:Q1640,"S")</f>
        <v>3279.9999999999918</v>
      </c>
      <c r="BK1638" s="343">
        <f>SUMIFS($AU$1388:AU1640,$P$1388:P1640,"W")</f>
        <v>8717.579999999929</v>
      </c>
      <c r="BL1638" s="343">
        <f>SUMIFS($AU$1388:AU1640,$P$1388:P1640,"R")</f>
        <v>4181.9999999999991</v>
      </c>
      <c r="BM1638" s="343">
        <f>SUMIFS($AU$1388:AU1640,$AQ$1388:AQ1640,"M")</f>
        <v>5219.3799999995472</v>
      </c>
      <c r="BN1638" s="343">
        <f>SUMIFS($AU$1388:AU1640,$AQ$1388:AQ1640,"H")</f>
        <v>2931.2000000002599</v>
      </c>
      <c r="BO1638" s="343">
        <f>SUMIFS($AU$1388:AU1640,$AQ$1388:AQ1640,"D")</f>
        <v>1266.0000000000005</v>
      </c>
      <c r="BP1638" s="343">
        <f>SUMIFS($AU$1388:AU1642,$AQ$1388:AQ1642,"W")</f>
        <v>5542.4000000000005</v>
      </c>
      <c r="BQ1638" s="343">
        <f>SUMIFS($AU$1388:AU1640,$Q$1388:Q1640,"O")</f>
        <v>1770.5799999998073</v>
      </c>
      <c r="BR1638" s="343">
        <f>SUMIFS($AU$1388:AU1640,$AA$1388:AA1640,"*")</f>
        <v>12439.799999999701</v>
      </c>
      <c r="BS1638" s="343">
        <f>SUMIFS($AU$1388:AU1640,$AB$1388:AB1640,"*")</f>
        <v>4007.1799999999307</v>
      </c>
      <c r="BT1638" s="343">
        <f>SUMIFS($AU$1388:AU1640,$AC$1388:AC1640,"*")</f>
        <v>7028.4</v>
      </c>
      <c r="BU1638" s="343">
        <f>SUMIFS($AU$1388:AU1640,$AA$1388:AA1640,"*",$AB$1388:AB1640,"*")</f>
        <v>1855.9999999998222</v>
      </c>
      <c r="BV1638" s="343">
        <f>SUMIFS($AU$1388:AU1640,$AA$1388:AA1640,"*",$AC$1388:AC1640,"*")</f>
        <v>6564.4</v>
      </c>
      <c r="BW1638" s="343">
        <f>SUMIFS($AU$1388:AU1640,$AB$1388:AB1640,"*",$AC$1388:AC1640,"*")</f>
        <v>719.99999999999818</v>
      </c>
      <c r="BX1638" s="343">
        <f>SUMIFS($AV$1388:AV1640,$Q$1388:Q1640,"F")</f>
        <v>221.28119764293677</v>
      </c>
      <c r="BY1638" s="343">
        <f>SUMIFS($AV$1388:AV1640,$Q$1388:Q1640,"S")</f>
        <v>280.74781249396256</v>
      </c>
      <c r="BZ1638" s="343">
        <f>SUMIFS($AV$1388:AV1640,$Q$1388:Q1640,"O")</f>
        <v>520.73999999985608</v>
      </c>
    </row>
    <row r="1639" spans="1:78" ht="15.75" customHeight="1">
      <c r="A1639" s="177" t="s">
        <v>5180</v>
      </c>
      <c r="B1639" s="200"/>
      <c r="C1639" s="178"/>
      <c r="D1639" s="178"/>
      <c r="E1639" s="227"/>
      <c r="F1639" s="180"/>
      <c r="G1639" s="181"/>
      <c r="H1639" s="182"/>
      <c r="I1639" s="182"/>
      <c r="J1639" s="182"/>
      <c r="K1639" s="183"/>
      <c r="L1639" s="182"/>
      <c r="M1639" s="182"/>
      <c r="N1639" s="182"/>
      <c r="O1639" s="183"/>
      <c r="P1639" s="183"/>
      <c r="Q1639" s="183"/>
      <c r="R1639" s="183"/>
      <c r="S1639" s="183"/>
      <c r="T1639" s="183"/>
      <c r="U1639" s="183"/>
      <c r="V1639" s="183"/>
      <c r="W1639" s="183"/>
      <c r="X1639" s="183"/>
      <c r="Y1639" s="184"/>
      <c r="Z1639" s="185"/>
      <c r="AA1639" s="185"/>
      <c r="AB1639" s="185"/>
      <c r="AC1639" s="185"/>
      <c r="AD1639" s="649"/>
      <c r="AE1639" s="182"/>
      <c r="AF1639" s="332"/>
      <c r="AG1639" s="182"/>
      <c r="AH1639" s="182"/>
      <c r="AI1639" s="182"/>
      <c r="AJ1639" s="640"/>
      <c r="AK1639" s="182"/>
      <c r="AL1639" s="496">
        <f t="shared" ref="AL1639" si="476">-0.02*Z1639</f>
        <v>0</v>
      </c>
      <c r="AM1639" s="496">
        <f t="shared" si="466"/>
        <v>0</v>
      </c>
      <c r="AN1639" s="626"/>
      <c r="AO1639" s="182"/>
      <c r="AP1639" s="182"/>
      <c r="AQ1639" s="332" t="str">
        <f>UPPER(RIGHT(Journal_Live[[#This Row],[DURATION ]]))</f>
        <v/>
      </c>
      <c r="AR1639" s="182"/>
      <c r="AS1639" s="189"/>
      <c r="AT1639" s="189"/>
      <c r="AU1639" s="187"/>
      <c r="AV1639" s="190"/>
      <c r="AW1639" s="191"/>
      <c r="AX1639" s="407" t="s">
        <v>987</v>
      </c>
      <c r="AY1639" s="407"/>
      <c r="AZ1639" s="407"/>
      <c r="BA1639" s="407"/>
      <c r="BB1639" s="407"/>
      <c r="BC1639" s="407"/>
      <c r="BD1639" s="407"/>
      <c r="BE1639" s="407"/>
      <c r="BF1639" s="422"/>
      <c r="BG1639" s="391">
        <f>SUM($AV$1389:AV1639)</f>
        <v>1230.7690101367634</v>
      </c>
      <c r="BH1639" s="392">
        <f>SUM($AU$1389:AU1639)</f>
        <v>14654.979999999814</v>
      </c>
      <c r="BI1639" s="318">
        <f>SUMIFS($AU$1388:AU1640,$Q$1388:Q1640,"F")</f>
        <v>9348.4000000000015</v>
      </c>
      <c r="BJ1639" s="318">
        <f>SUMIFS($AU$1388:AU1640,$Q$1388:Q1640,"S")</f>
        <v>3279.9999999999918</v>
      </c>
      <c r="BK1639" s="343">
        <f>SUMIFS($AU$1388:AU1640,$P$1388:P1640,"W")</f>
        <v>8717.579999999929</v>
      </c>
      <c r="BL1639" s="343">
        <f>SUMIFS($AU$1388:AU1640,$P$1388:P1640,"R")</f>
        <v>4181.9999999999991</v>
      </c>
      <c r="BM1639" s="343">
        <f>SUMIFS($AU$1388:AU1640,$AQ$1388:AQ1640,"M")</f>
        <v>5219.3799999995472</v>
      </c>
      <c r="BN1639" s="343">
        <f>SUMIFS($AU$1388:AU1640,$AQ$1388:AQ1640,"H")</f>
        <v>2931.2000000002599</v>
      </c>
      <c r="BO1639" s="343">
        <f>SUMIFS($AU$1388:AU1640,$AQ$1388:AQ1640,"D")</f>
        <v>1266.0000000000005</v>
      </c>
      <c r="BP1639" s="343">
        <f>SUMIFS($AU$1388:AU1642,$AQ$1388:AQ1642,"W")</f>
        <v>5542.4000000000005</v>
      </c>
      <c r="BQ1639" s="343">
        <f>SUMIFS($AU$1388:AU1640,$Q$1388:Q1640,"O")</f>
        <v>1770.5799999998073</v>
      </c>
      <c r="BR1639" s="343">
        <f>SUMIFS($AU$1388:AU1640,$AA$1388:AA1640,"*")</f>
        <v>12439.799999999701</v>
      </c>
      <c r="BS1639" s="343">
        <f>SUMIFS($AU$1388:AU1640,$AB$1388:AB1640,"*")</f>
        <v>4007.1799999999307</v>
      </c>
      <c r="BT1639" s="343">
        <f>SUMIFS($AU$1388:AU1640,$AC$1388:AC1640,"*")</f>
        <v>7028.4</v>
      </c>
      <c r="BU1639" s="343">
        <f>SUMIFS($AU$1388:AU1640,$AA$1388:AA1640,"*",$AB$1388:AB1640,"*")</f>
        <v>1855.9999999998222</v>
      </c>
      <c r="BV1639" s="343">
        <f>SUMIFS($AU$1388:AU1640,$AA$1388:AA1640,"*",$AC$1388:AC1640,"*")</f>
        <v>6564.4</v>
      </c>
      <c r="BW1639" s="343">
        <f>SUMIFS($AU$1388:AU1640,$AB$1388:AB1640,"*",$AC$1388:AC1640,"*")</f>
        <v>719.99999999999818</v>
      </c>
      <c r="BX1639" s="343">
        <f>SUMIFS($AV$1388:AV1640,$Q$1388:Q1640,"F")</f>
        <v>221.28119764293677</v>
      </c>
      <c r="BY1639" s="343">
        <f>SUMIFS($AV$1388:AV1640,$Q$1388:Q1640,"S")</f>
        <v>280.74781249396256</v>
      </c>
      <c r="BZ1639" s="343">
        <f>SUMIFS($AV$1388:AV1640,$Q$1388:Q1640,"O")</f>
        <v>520.73999999985608</v>
      </c>
    </row>
    <row r="1640" spans="1:78" ht="15.75" customHeight="1">
      <c r="A1640" s="177" t="s">
        <v>5180</v>
      </c>
      <c r="B1640" s="200"/>
      <c r="C1640" s="178"/>
      <c r="D1640" s="178"/>
      <c r="E1640" s="227"/>
      <c r="F1640" s="180"/>
      <c r="G1640" s="181"/>
      <c r="H1640" s="182"/>
      <c r="I1640" s="182"/>
      <c r="J1640" s="182"/>
      <c r="K1640" s="183"/>
      <c r="L1640" s="182"/>
      <c r="M1640" s="182"/>
      <c r="N1640" s="182"/>
      <c r="O1640" s="183"/>
      <c r="P1640" s="183"/>
      <c r="Q1640" s="183"/>
      <c r="R1640" s="183"/>
      <c r="S1640" s="183"/>
      <c r="T1640" s="183"/>
      <c r="U1640" s="183"/>
      <c r="V1640" s="183"/>
      <c r="W1640" s="183"/>
      <c r="X1640" s="183"/>
      <c r="Y1640" s="184"/>
      <c r="Z1640" s="185"/>
      <c r="AA1640" s="185"/>
      <c r="AB1640" s="185"/>
      <c r="AC1640" s="185"/>
      <c r="AD1640" s="649"/>
      <c r="AE1640" s="182"/>
      <c r="AF1640" s="332"/>
      <c r="AG1640" s="182"/>
      <c r="AH1640" s="182"/>
      <c r="AI1640" s="182"/>
      <c r="AJ1640" s="640"/>
      <c r="AK1640" s="182"/>
      <c r="AL1640" s="496">
        <f t="shared" si="444"/>
        <v>0</v>
      </c>
      <c r="AM1640" s="496">
        <f t="shared" si="466"/>
        <v>0</v>
      </c>
      <c r="AN1640" s="626"/>
      <c r="AO1640" s="182"/>
      <c r="AP1640" s="182"/>
      <c r="AQ1640" s="332" t="str">
        <f>UPPER(RIGHT(Journal_Live[[#This Row],[DURATION ]]))</f>
        <v/>
      </c>
      <c r="AR1640" s="182"/>
      <c r="AS1640" s="189"/>
      <c r="AT1640" s="189"/>
      <c r="AU1640" s="187"/>
      <c r="AV1640" s="190"/>
      <c r="AW1640" s="191"/>
      <c r="AX1640" s="407"/>
      <c r="AY1640" s="407"/>
      <c r="AZ1640" s="407"/>
      <c r="BA1640" s="407"/>
      <c r="BB1640" s="407"/>
      <c r="BC1640" s="407"/>
      <c r="BD1640" s="407"/>
      <c r="BE1640" s="407"/>
      <c r="BF1640" s="422"/>
      <c r="BG1640" s="391">
        <f>SUM($AV$1389:AV1640)</f>
        <v>1230.7690101367634</v>
      </c>
      <c r="BH1640" s="392">
        <f>SUM($AU$1389:AU1640)</f>
        <v>14654.979999999814</v>
      </c>
      <c r="BI1640" s="318">
        <f>SUMIFS($AU$1388:AU1641,$Q$1388:Q1641,"F")</f>
        <v>9348.4000000000015</v>
      </c>
      <c r="BJ1640" s="318">
        <f>SUMIFS($AU$1388:AU1641,$Q$1388:Q1641,"S")</f>
        <v>3279.9999999999918</v>
      </c>
      <c r="BK1640" s="343">
        <f>SUMIFS($AU$1388:AU1641,$P$1388:P1641,"W")</f>
        <v>8717.579999999929</v>
      </c>
      <c r="BL1640" s="343">
        <f>SUMIFS($AU$1388:AU1641,$P$1388:P1641,"R")</f>
        <v>4181.9999999999991</v>
      </c>
      <c r="BM1640" s="343">
        <f>SUMIFS($AU$1388:AU1641,$AQ$1388:AQ1641,"M")</f>
        <v>5219.3799999995472</v>
      </c>
      <c r="BN1640" s="343">
        <f>SUMIFS($AU$1388:AU1641,$AQ$1388:AQ1641,"H")</f>
        <v>2931.2000000002599</v>
      </c>
      <c r="BO1640" s="343">
        <f>SUMIFS($AU$1388:AU1641,$AQ$1388:AQ1641,"D")</f>
        <v>1266.0000000000005</v>
      </c>
      <c r="BP1640" s="343">
        <f>SUMIFS($AU$1388:AU1643,$AQ$1388:AQ1643,"W")</f>
        <v>5542.4000000000005</v>
      </c>
      <c r="BQ1640" s="343">
        <f>SUMIFS($AU$1388:AU1641,$Q$1388:Q1641,"O")</f>
        <v>1770.5799999998073</v>
      </c>
      <c r="BR1640" s="343">
        <f>SUMIFS($AU$1388:AU1641,$AA$1388:AA1641,"*")</f>
        <v>12439.799999999701</v>
      </c>
      <c r="BS1640" s="343">
        <f>SUMIFS($AU$1388:AU1641,$AB$1388:AB1641,"*")</f>
        <v>4007.1799999999307</v>
      </c>
      <c r="BT1640" s="343">
        <f>SUMIFS($AU$1388:AU1641,$AC$1388:AC1641,"*")</f>
        <v>7028.4</v>
      </c>
      <c r="BU1640" s="343">
        <f>SUMIFS($AU$1388:AU1641,$AA$1388:AA1641,"*",$AB$1388:AB1641,"*")</f>
        <v>1855.9999999998222</v>
      </c>
      <c r="BV1640" s="343">
        <f>SUMIFS($AU$1388:AU1641,$AA$1388:AA1641,"*",$AC$1388:AC1641,"*")</f>
        <v>6564.4</v>
      </c>
      <c r="BW1640" s="343">
        <f>SUMIFS($AU$1388:AU1641,$AB$1388:AB1641,"*",$AC$1388:AC1641,"*")</f>
        <v>719.99999999999818</v>
      </c>
      <c r="BX1640" s="343">
        <f>SUMIFS($AV$1388:AV1641,$Q$1388:Q1641,"F")</f>
        <v>221.28119764293677</v>
      </c>
      <c r="BY1640" s="343">
        <f>SUMIFS($AV$1388:AV1641,$Q$1388:Q1641,"S")</f>
        <v>280.74781249396256</v>
      </c>
      <c r="BZ1640" s="343">
        <f>SUMIFS($AV$1388:AV1641,$Q$1388:Q1641,"O")</f>
        <v>520.73999999985608</v>
      </c>
    </row>
    <row r="1641" spans="1:78" ht="15.75" customHeight="1">
      <c r="A1641" s="177" t="s">
        <v>5180</v>
      </c>
      <c r="B1641" s="200"/>
      <c r="C1641" s="178"/>
      <c r="D1641" s="178"/>
      <c r="E1641" s="227"/>
      <c r="F1641" s="180"/>
      <c r="G1641" s="181"/>
      <c r="H1641" s="182"/>
      <c r="I1641" s="182"/>
      <c r="J1641" s="182"/>
      <c r="K1641" s="183"/>
      <c r="L1641" s="182"/>
      <c r="M1641" s="182"/>
      <c r="N1641" s="182"/>
      <c r="O1641" s="183"/>
      <c r="P1641" s="183"/>
      <c r="Q1641" s="183"/>
      <c r="R1641" s="183"/>
      <c r="S1641" s="183"/>
      <c r="T1641" s="183"/>
      <c r="U1641" s="183"/>
      <c r="V1641" s="183"/>
      <c r="W1641" s="183"/>
      <c r="X1641" s="183"/>
      <c r="Y1641" s="184"/>
      <c r="Z1641" s="185"/>
      <c r="AA1641" s="185"/>
      <c r="AB1641" s="185"/>
      <c r="AC1641" s="185"/>
      <c r="AD1641" s="649"/>
      <c r="AE1641" s="182"/>
      <c r="AF1641" s="332"/>
      <c r="AG1641" s="182"/>
      <c r="AH1641" s="182"/>
      <c r="AI1641" s="182"/>
      <c r="AJ1641" s="640"/>
      <c r="AK1641" s="182"/>
      <c r="AL1641" s="496">
        <f t="shared" si="444"/>
        <v>0</v>
      </c>
      <c r="AM1641" s="496">
        <f t="shared" si="466"/>
        <v>0</v>
      </c>
      <c r="AN1641" s="626"/>
      <c r="AO1641" s="182"/>
      <c r="AP1641" s="182"/>
      <c r="AQ1641" s="332" t="str">
        <f>UPPER(RIGHT(Journal_Live[[#This Row],[DURATION ]]))</f>
        <v/>
      </c>
      <c r="AR1641" s="182"/>
      <c r="AS1641" s="189"/>
      <c r="AT1641" s="189"/>
      <c r="AU1641" s="187"/>
      <c r="AV1641" s="190"/>
      <c r="AW1641" s="191"/>
      <c r="AX1641" s="417"/>
      <c r="AY1641" s="532"/>
      <c r="AZ1641" s="417"/>
      <c r="BA1641" s="417"/>
      <c r="BB1641" s="532"/>
      <c r="BC1641" s="407"/>
      <c r="BD1641" s="407"/>
      <c r="BE1641" s="407"/>
      <c r="BF1641" s="422"/>
      <c r="BG1641" s="391">
        <f>SUM($AV$1389:AV1641)</f>
        <v>1230.7690101367634</v>
      </c>
      <c r="BH1641" s="392">
        <f>SUM($AU$1389:AU1641)</f>
        <v>14654.979999999814</v>
      </c>
      <c r="BI1641" s="318">
        <f>SUMIFS($AU$1388:AU1642,$Q$1388:Q1642,"F")</f>
        <v>9348.4000000000015</v>
      </c>
      <c r="BJ1641" s="318">
        <f>SUMIFS($AU$1388:AU1642,$Q$1388:Q1642,"S")</f>
        <v>3279.9999999999918</v>
      </c>
      <c r="BK1641" s="343">
        <f>SUMIFS($AU$1388:AU1642,$P$1388:P1642,"W")</f>
        <v>8717.579999999929</v>
      </c>
      <c r="BL1641" s="343">
        <f>SUMIFS($AU$1388:AU1642,$P$1388:P1642,"R")</f>
        <v>4181.9999999999991</v>
      </c>
      <c r="BM1641" s="343">
        <f>SUMIFS($AU$1388:AU1642,$AQ$1388:AQ1642,"M")</f>
        <v>5219.3799999995472</v>
      </c>
      <c r="BN1641" s="343">
        <f>SUMIFS($AU$1388:AU1642,$AQ$1388:AQ1642,"H")</f>
        <v>2931.2000000002599</v>
      </c>
      <c r="BO1641" s="343">
        <f>SUMIFS($AU$1388:AU1642,$AQ$1388:AQ1642,"D")</f>
        <v>1266.0000000000005</v>
      </c>
      <c r="BP1641" s="343">
        <f>SUMIFS($AU$1388:AU1644,$AQ$1388:AQ1644,"W")</f>
        <v>5542.4000000000005</v>
      </c>
      <c r="BQ1641" s="343">
        <f>SUMIFS($AU$1388:AU1642,$Q$1388:Q1642,"O")</f>
        <v>1770.5799999998073</v>
      </c>
      <c r="BR1641" s="343">
        <f>SUMIFS($AU$1388:AU1642,$AA$1388:AA1642,"*")</f>
        <v>12439.799999999701</v>
      </c>
      <c r="BS1641" s="343">
        <f>SUMIFS($AU$1388:AU1642,$AB$1388:AB1642,"*")</f>
        <v>4007.1799999999307</v>
      </c>
      <c r="BT1641" s="343">
        <f>SUMIFS($AU$1388:AU1642,$AC$1388:AC1642,"*")</f>
        <v>7028.4</v>
      </c>
      <c r="BU1641" s="343">
        <f>SUMIFS($AU$1388:AU1642,$AA$1388:AA1642,"*",$AB$1388:AB1642,"*")</f>
        <v>1855.9999999998222</v>
      </c>
      <c r="BV1641" s="343">
        <f>SUMIFS($AU$1388:AU1642,$AA$1388:AA1642,"*",$AC$1388:AC1642,"*")</f>
        <v>6564.4</v>
      </c>
      <c r="BW1641" s="343">
        <f>SUMIFS($AU$1388:AU1642,$AB$1388:AB1642,"*",$AC$1388:AC1642,"*")</f>
        <v>719.99999999999818</v>
      </c>
      <c r="BX1641" s="343">
        <f>SUMIFS($AV$1388:AV1642,$Q$1388:Q1642,"F")</f>
        <v>221.28119764293677</v>
      </c>
      <c r="BY1641" s="343">
        <f>SUMIFS($AV$1388:AV1642,$Q$1388:Q1642,"S")</f>
        <v>280.74781249396256</v>
      </c>
      <c r="BZ1641" s="343">
        <f>SUMIFS($AV$1388:AV1642,$Q$1388:Q1642,"O")</f>
        <v>520.73999999985608</v>
      </c>
    </row>
    <row r="1642" spans="1:78" ht="15.75" customHeight="1">
      <c r="A1642" s="177" t="s">
        <v>5180</v>
      </c>
      <c r="B1642" s="200"/>
      <c r="C1642" s="178"/>
      <c r="D1642" s="178"/>
      <c r="E1642" s="227"/>
      <c r="F1642" s="180"/>
      <c r="G1642" s="181"/>
      <c r="H1642" s="182"/>
      <c r="I1642" s="182"/>
      <c r="J1642" s="182"/>
      <c r="K1642" s="183"/>
      <c r="L1642" s="182"/>
      <c r="M1642" s="182"/>
      <c r="N1642" s="182"/>
      <c r="O1642" s="183"/>
      <c r="P1642" s="183"/>
      <c r="Q1642" s="183"/>
      <c r="R1642" s="183"/>
      <c r="S1642" s="183"/>
      <c r="T1642" s="183"/>
      <c r="U1642" s="183"/>
      <c r="V1642" s="183"/>
      <c r="W1642" s="183"/>
      <c r="X1642" s="183"/>
      <c r="Y1642" s="184"/>
      <c r="Z1642" s="185"/>
      <c r="AA1642" s="185"/>
      <c r="AB1642" s="185"/>
      <c r="AC1642" s="185"/>
      <c r="AD1642" s="649"/>
      <c r="AE1642" s="182"/>
      <c r="AF1642" s="332"/>
      <c r="AG1642" s="182"/>
      <c r="AH1642" s="182"/>
      <c r="AI1642" s="182"/>
      <c r="AJ1642" s="640"/>
      <c r="AK1642" s="182"/>
      <c r="AL1642" s="496">
        <f t="shared" si="444"/>
        <v>0</v>
      </c>
      <c r="AM1642" s="496">
        <f t="shared" si="466"/>
        <v>0</v>
      </c>
      <c r="AN1642" s="626"/>
      <c r="AO1642" s="182"/>
      <c r="AP1642" s="182"/>
      <c r="AQ1642" s="332" t="str">
        <f>UPPER(RIGHT(Journal_Live[[#This Row],[DURATION ]]))</f>
        <v/>
      </c>
      <c r="AR1642" s="182"/>
      <c r="AS1642" s="189"/>
      <c r="AT1642" s="189"/>
      <c r="AU1642" s="187"/>
      <c r="AV1642" s="190"/>
      <c r="AW1642" s="191"/>
      <c r="AX1642" s="417"/>
      <c r="AY1642" s="532"/>
      <c r="AZ1642" s="417"/>
      <c r="BA1642" s="532"/>
      <c r="BB1642" s="532"/>
      <c r="BC1642" s="417"/>
      <c r="BD1642" s="417"/>
      <c r="BE1642" s="417"/>
      <c r="BF1642" s="417"/>
      <c r="BG1642" s="391">
        <f>SUM($AV$1389:AV1642)</f>
        <v>1230.7690101367634</v>
      </c>
      <c r="BH1642" s="392">
        <f>SUM($AU$1389:AU1642)</f>
        <v>14654.979999999814</v>
      </c>
      <c r="BI1642" s="318">
        <f>SUMIFS($AU$1388:AU1643,$Q$1388:Q1643,"F")</f>
        <v>9348.4000000000015</v>
      </c>
      <c r="BJ1642" s="318">
        <f>SUMIFS($AU$1388:AU1643,$Q$1388:Q1643,"S")</f>
        <v>3279.9999999999918</v>
      </c>
      <c r="BK1642" s="343">
        <f>SUMIFS($AU$1388:AU1643,$P$1388:P1643,"W")</f>
        <v>8717.579999999929</v>
      </c>
      <c r="BL1642" s="343">
        <f>SUMIFS($AU$1388:AU1643,$P$1388:P1643,"R")</f>
        <v>4181.9999999999991</v>
      </c>
      <c r="BM1642" s="343">
        <f>SUMIFS($AU$1388:AU1643,$AQ$1388:AQ1643,"M")</f>
        <v>5219.3799999995472</v>
      </c>
      <c r="BN1642" s="343">
        <f>SUMIFS($AU$1388:AU1643,$AQ$1388:AQ1643,"H")</f>
        <v>2931.2000000002599</v>
      </c>
      <c r="BO1642" s="343">
        <f>SUMIFS($AU$1388:AU1643,$AQ$1388:AQ1643,"D")</f>
        <v>1266.0000000000005</v>
      </c>
      <c r="BP1642" s="343">
        <f>SUMIFS($AU$1388:AU1645,$AQ$1388:AQ1645,"W")</f>
        <v>5542.4000000000005</v>
      </c>
      <c r="BQ1642" s="343">
        <f>SUMIFS($AU$1388:AU1643,$Q$1388:Q1643,"O")</f>
        <v>1770.5799999998073</v>
      </c>
      <c r="BR1642" s="343">
        <f>SUMIFS($AU$1388:AU1643,$AA$1388:AA1643,"*")</f>
        <v>12439.799999999701</v>
      </c>
      <c r="BS1642" s="343">
        <f>SUMIFS($AU$1388:AU1643,$AB$1388:AB1643,"*")</f>
        <v>4007.1799999999307</v>
      </c>
      <c r="BT1642" s="343">
        <f>SUMIFS($AU$1388:AU1643,$AC$1388:AC1643,"*")</f>
        <v>7028.4</v>
      </c>
      <c r="BU1642" s="343">
        <f>SUMIFS($AU$1388:AU1643,$AA$1388:AA1643,"*",$AB$1388:AB1643,"*")</f>
        <v>1855.9999999998222</v>
      </c>
      <c r="BV1642" s="343">
        <f>SUMIFS($AU$1388:AU1643,$AA$1388:AA1643,"*",$AC$1388:AC1643,"*")</f>
        <v>6564.4</v>
      </c>
      <c r="BW1642" s="343">
        <f>SUMIFS($AU$1388:AU1643,$AB$1388:AB1643,"*",$AC$1388:AC1643,"*")</f>
        <v>719.99999999999818</v>
      </c>
      <c r="BX1642" s="343">
        <f>SUMIFS($AV$1388:AV1643,$Q$1388:Q1643,"F")</f>
        <v>221.28119764293677</v>
      </c>
      <c r="BY1642" s="343">
        <f>SUMIFS($AV$1388:AV1643,$Q$1388:Q1643,"S")</f>
        <v>280.74781249396256</v>
      </c>
      <c r="BZ1642" s="343">
        <f>SUMIFS($AV$1388:AV1643,$Q$1388:Q1643,"O")</f>
        <v>520.73999999985608</v>
      </c>
    </row>
    <row r="1643" spans="1:78" ht="15.75" customHeight="1">
      <c r="A1643" s="177" t="s">
        <v>5180</v>
      </c>
      <c r="B1643" s="200"/>
      <c r="C1643" s="178"/>
      <c r="D1643" s="178"/>
      <c r="E1643" s="227"/>
      <c r="F1643" s="180"/>
      <c r="G1643" s="181"/>
      <c r="H1643" s="182"/>
      <c r="I1643" s="182"/>
      <c r="J1643" s="182"/>
      <c r="K1643" s="183"/>
      <c r="L1643" s="182"/>
      <c r="M1643" s="182"/>
      <c r="N1643" s="182"/>
      <c r="O1643" s="183"/>
      <c r="P1643" s="183"/>
      <c r="Q1643" s="183"/>
      <c r="R1643" s="183"/>
      <c r="S1643" s="183"/>
      <c r="T1643" s="183"/>
      <c r="U1643" s="183"/>
      <c r="V1643" s="183"/>
      <c r="W1643" s="183"/>
      <c r="X1643" s="183"/>
      <c r="Y1643" s="183"/>
      <c r="Z1643" s="183"/>
      <c r="AA1643" s="185"/>
      <c r="AB1643" s="185"/>
      <c r="AC1643" s="185"/>
      <c r="AD1643" s="649"/>
      <c r="AE1643" s="182"/>
      <c r="AF1643" s="332"/>
      <c r="AG1643" s="182"/>
      <c r="AH1643" s="182"/>
      <c r="AI1643" s="182"/>
      <c r="AJ1643" s="640"/>
      <c r="AK1643" s="182"/>
      <c r="AL1643" s="496">
        <f t="shared" si="444"/>
        <v>0</v>
      </c>
      <c r="AM1643" s="496">
        <f t="shared" si="466"/>
        <v>0</v>
      </c>
      <c r="AN1643" s="626"/>
      <c r="AO1643" s="182"/>
      <c r="AP1643" s="182"/>
      <c r="AQ1643" s="332" t="str">
        <f>UPPER(RIGHT(Journal_Live[[#This Row],[DURATION ]]))</f>
        <v/>
      </c>
      <c r="AR1643" s="182"/>
      <c r="AS1643" s="189"/>
      <c r="AT1643" s="189"/>
      <c r="AU1643" s="187"/>
      <c r="AV1643" s="190"/>
      <c r="AW1643" s="191"/>
      <c r="AX1643" s="417"/>
      <c r="AY1643" s="532"/>
      <c r="AZ1643" s="417"/>
      <c r="BA1643" s="417"/>
      <c r="BB1643" s="532"/>
      <c r="BC1643" s="417"/>
      <c r="BD1643" s="417"/>
      <c r="BE1643" s="409"/>
      <c r="BF1643" s="417"/>
      <c r="BG1643" s="391">
        <f>SUM($AV$1389:AV1643)</f>
        <v>1230.7690101367634</v>
      </c>
      <c r="BH1643" s="392">
        <f>SUM($AU$1389:AU1643)</f>
        <v>14654.979999999814</v>
      </c>
      <c r="BI1643" s="318">
        <f>SUMIFS($AU$1388:AU1644,$Q$1388:Q1644,"F")</f>
        <v>9348.4000000000015</v>
      </c>
      <c r="BJ1643" s="318">
        <f>SUMIFS($AU$1388:AU1644,$Q$1388:Q1644,"S")</f>
        <v>3279.9999999999918</v>
      </c>
      <c r="BK1643" s="343">
        <f>SUMIFS($AU$1388:AU1644,$P$1388:P1644,"W")</f>
        <v>8717.579999999929</v>
      </c>
      <c r="BL1643" s="343">
        <f>SUMIFS($AU$1388:AU1644,$P$1388:P1644,"R")</f>
        <v>4181.9999999999991</v>
      </c>
      <c r="BM1643" s="343">
        <f>SUMIFS($AU$1388:AU1644,$AQ$1388:AQ1644,"M")</f>
        <v>5219.3799999995472</v>
      </c>
      <c r="BN1643" s="343">
        <f>SUMIFS($AU$1388:AU1644,$AQ$1388:AQ1644,"H")</f>
        <v>2931.2000000002599</v>
      </c>
      <c r="BO1643" s="343">
        <f>SUMIFS($AU$1388:AU1644,$AQ$1388:AQ1644,"D")</f>
        <v>1266.0000000000005</v>
      </c>
      <c r="BP1643" s="343">
        <f>SUMIFS($AU$1388:AU1646,$AQ$1388:AQ1646,"W")</f>
        <v>5542.4000000000005</v>
      </c>
      <c r="BQ1643" s="343">
        <f>SUMIFS($AU$1388:AU1644,$Q$1388:Q1644,"O")</f>
        <v>1770.5799999998073</v>
      </c>
      <c r="BR1643" s="343">
        <f>SUMIFS($AU$1388:AU1644,$AA$1388:AA1644,"*")</f>
        <v>12439.799999999701</v>
      </c>
      <c r="BS1643" s="343">
        <f>SUMIFS($AU$1388:AU1644,$AB$1388:AB1644,"*")</f>
        <v>4007.1799999999307</v>
      </c>
      <c r="BT1643" s="343">
        <f>SUMIFS($AU$1388:AU1644,$AC$1388:AC1644,"*")</f>
        <v>7028.4</v>
      </c>
      <c r="BU1643" s="343">
        <f>SUMIFS($AU$1388:AU1644,$AA$1388:AA1644,"*",$AB$1388:AB1644,"*")</f>
        <v>1855.9999999998222</v>
      </c>
      <c r="BV1643" s="343">
        <f>SUMIFS($AU$1388:AU1644,$AA$1388:AA1644,"*",$AC$1388:AC1644,"*")</f>
        <v>6564.4</v>
      </c>
      <c r="BW1643" s="343">
        <f>SUMIFS($AU$1388:AU1644,$AB$1388:AB1644,"*",$AC$1388:AC1644,"*")</f>
        <v>719.99999999999818</v>
      </c>
      <c r="BX1643" s="343">
        <f>SUMIFS($AV$1388:AV1644,$Q$1388:Q1644,"F")</f>
        <v>221.28119764293677</v>
      </c>
      <c r="BY1643" s="343">
        <f>SUMIFS($AV$1388:AV1644,$Q$1388:Q1644,"S")</f>
        <v>280.74781249396256</v>
      </c>
      <c r="BZ1643" s="343">
        <f>SUMIFS($AV$1388:AV1644,$Q$1388:Q1644,"O")</f>
        <v>520.73999999985608</v>
      </c>
    </row>
    <row r="1644" spans="1:78" ht="15.75" customHeight="1">
      <c r="A1644" s="177" t="s">
        <v>5180</v>
      </c>
      <c r="B1644" s="200"/>
      <c r="C1644" s="178"/>
      <c r="D1644" s="178"/>
      <c r="E1644" s="227"/>
      <c r="F1644" s="180"/>
      <c r="G1644" s="181"/>
      <c r="H1644" s="182"/>
      <c r="I1644" s="182"/>
      <c r="J1644" s="182"/>
      <c r="K1644" s="183"/>
      <c r="L1644" s="182"/>
      <c r="M1644" s="182"/>
      <c r="N1644" s="182"/>
      <c r="O1644" s="183"/>
      <c r="P1644" s="183"/>
      <c r="Q1644" s="183"/>
      <c r="R1644" s="183"/>
      <c r="S1644" s="183"/>
      <c r="T1644" s="183"/>
      <c r="U1644" s="183"/>
      <c r="V1644" s="183"/>
      <c r="W1644" s="183"/>
      <c r="X1644" s="183"/>
      <c r="Y1644" s="183"/>
      <c r="Z1644" s="183"/>
      <c r="AA1644" s="185"/>
      <c r="AB1644" s="185"/>
      <c r="AC1644" s="185"/>
      <c r="AD1644" s="649"/>
      <c r="AE1644" s="182"/>
      <c r="AF1644" s="332"/>
      <c r="AG1644" s="182"/>
      <c r="AH1644" s="182"/>
      <c r="AI1644" s="182"/>
      <c r="AJ1644" s="640"/>
      <c r="AK1644" s="182"/>
      <c r="AL1644" s="496">
        <f t="shared" si="444"/>
        <v>0</v>
      </c>
      <c r="AM1644" s="496">
        <f t="shared" si="466"/>
        <v>0</v>
      </c>
      <c r="AN1644" s="626"/>
      <c r="AO1644" s="182"/>
      <c r="AP1644" s="182"/>
      <c r="AQ1644" s="332" t="str">
        <f>UPPER(RIGHT(Journal_Live[[#This Row],[DURATION ]]))</f>
        <v/>
      </c>
      <c r="AR1644" s="182"/>
      <c r="AS1644" s="189"/>
      <c r="AT1644" s="189"/>
      <c r="AU1644" s="187"/>
      <c r="AV1644" s="190"/>
      <c r="AW1644" s="191"/>
      <c r="AX1644" s="417"/>
      <c r="AY1644" s="417"/>
      <c r="AZ1644" s="417"/>
      <c r="BA1644" s="417"/>
      <c r="BB1644" s="417"/>
      <c r="BC1644" s="417"/>
      <c r="BD1644" s="417"/>
      <c r="BE1644" s="417"/>
      <c r="BF1644" s="417"/>
      <c r="BG1644" s="391">
        <f>SUM($AV$1389:AV1644)</f>
        <v>1230.7690101367634</v>
      </c>
      <c r="BH1644" s="392">
        <f>SUM($AU$1389:AU1644)</f>
        <v>14654.979999999814</v>
      </c>
      <c r="BI1644" s="318">
        <f>SUMIFS($AU$1388:AU1645,$Q$1388:Q1645,"F")</f>
        <v>9348.4000000000015</v>
      </c>
      <c r="BJ1644" s="318">
        <f>SUMIFS($AU$1388:AU1645,$Q$1388:Q1645,"S")</f>
        <v>3279.9999999999918</v>
      </c>
      <c r="BK1644" s="343">
        <f>SUMIFS($AU$1388:AU1645,$P$1388:P1645,"W")</f>
        <v>8717.579999999929</v>
      </c>
      <c r="BL1644" s="343">
        <f>SUMIFS($AU$1388:AU1645,$P$1388:P1645,"R")</f>
        <v>4181.9999999999991</v>
      </c>
      <c r="BM1644" s="343">
        <f>SUMIFS($AU$1388:AU1645,$AQ$1388:AQ1645,"M")</f>
        <v>5219.3799999995472</v>
      </c>
      <c r="BN1644" s="343">
        <f>SUMIFS($AU$1388:AU1645,$AQ$1388:AQ1645,"H")</f>
        <v>2931.2000000002599</v>
      </c>
      <c r="BO1644" s="343">
        <f>SUMIFS($AU$1388:AU1645,$AQ$1388:AQ1645,"D")</f>
        <v>1266.0000000000005</v>
      </c>
      <c r="BP1644" s="343">
        <f>SUMIFS($AU$1388:AU1647,$AQ$1388:AQ1647,"W")</f>
        <v>5542.4000000000005</v>
      </c>
      <c r="BQ1644" s="343">
        <f>SUMIFS($AU$1388:AU1645,$Q$1388:Q1645,"O")</f>
        <v>1770.5799999998073</v>
      </c>
      <c r="BR1644" s="343">
        <f>SUMIFS($AU$1388:AU1645,$AA$1388:AA1645,"*")</f>
        <v>12439.799999999701</v>
      </c>
      <c r="BS1644" s="343">
        <f>SUMIFS($AU$1388:AU1645,$AB$1388:AB1645,"*")</f>
        <v>4007.1799999999307</v>
      </c>
      <c r="BT1644" s="343">
        <f>SUMIFS($AU$1388:AU1645,$AC$1388:AC1645,"*")</f>
        <v>7028.4</v>
      </c>
      <c r="BU1644" s="343">
        <f>SUMIFS($AU$1388:AU1645,$AA$1388:AA1645,"*",$AB$1388:AB1645,"*")</f>
        <v>1855.9999999998222</v>
      </c>
      <c r="BV1644" s="343">
        <f>SUMIFS($AU$1388:AU1645,$AA$1388:AA1645,"*",$AC$1388:AC1645,"*")</f>
        <v>6564.4</v>
      </c>
      <c r="BW1644" s="343">
        <f>SUMIFS($AU$1388:AU1645,$AB$1388:AB1645,"*",$AC$1388:AC1645,"*")</f>
        <v>719.99999999999818</v>
      </c>
      <c r="BX1644" s="343">
        <f>SUMIFS($AV$1388:AV1645,$Q$1388:Q1645,"F")</f>
        <v>221.28119764293677</v>
      </c>
      <c r="BY1644" s="343">
        <f>SUMIFS($AV$1388:AV1645,$Q$1388:Q1645,"S")</f>
        <v>280.74781249396256</v>
      </c>
      <c r="BZ1644" s="343">
        <f>SUMIFS($AV$1388:AV1645,$Q$1388:Q1645,"O")</f>
        <v>520.73999999985608</v>
      </c>
    </row>
    <row r="1645" spans="1:78" ht="15.75" customHeight="1">
      <c r="A1645" s="492" t="s">
        <v>5611</v>
      </c>
      <c r="B1645" s="273"/>
      <c r="C1645" s="214"/>
      <c r="D1645" s="214"/>
      <c r="E1645" s="215"/>
      <c r="F1645" s="216"/>
      <c r="G1645" s="214"/>
      <c r="H1645" s="214"/>
      <c r="I1645" s="214"/>
      <c r="J1645" s="214"/>
      <c r="K1645" s="217"/>
      <c r="L1645" s="214"/>
      <c r="M1645" s="214"/>
      <c r="N1645" s="214"/>
      <c r="O1645" s="217"/>
      <c r="P1645" s="217"/>
      <c r="Q1645" s="217"/>
      <c r="R1645" s="217"/>
      <c r="S1645" s="217"/>
      <c r="T1645" s="217"/>
      <c r="U1645" s="217"/>
      <c r="V1645" s="217"/>
      <c r="W1645" s="217"/>
      <c r="X1645" s="217"/>
      <c r="Y1645" s="217"/>
      <c r="Z1645" s="218" t="str">
        <f>IF(ISBLANK(O1645),"",IF(O1645="IB",8.63*200,IF(O1645="IR",16*100,IF(O1645="YT",20*100,IF(O1645="YT-XT",24*200,IF(O1645="TED",80*100))))))</f>
        <v/>
      </c>
      <c r="AA1645" s="218"/>
      <c r="AB1645" s="218"/>
      <c r="AC1645" s="218"/>
      <c r="AD1645" s="651"/>
      <c r="AE1645" s="214"/>
      <c r="AF1645" s="347"/>
      <c r="AG1645" s="343"/>
      <c r="AH1645" s="214"/>
      <c r="AI1645" s="214"/>
      <c r="AJ1645" s="642"/>
      <c r="AK1645" s="214"/>
      <c r="AL1645" s="214"/>
      <c r="AM1645" s="214"/>
      <c r="AN1645" s="628"/>
      <c r="AO1645" s="214"/>
      <c r="AP1645" s="214"/>
      <c r="AQ1645" s="334" t="str">
        <f>UPPER(RIGHT(Journal_Live[[#This Row],[DURATION ]]))</f>
        <v/>
      </c>
      <c r="AR1645" s="214"/>
      <c r="AS1645" s="214"/>
      <c r="AT1645" s="214"/>
      <c r="AU1645" s="214"/>
      <c r="AV1645" s="214"/>
      <c r="AW1645" s="220"/>
      <c r="AX1645" s="417"/>
      <c r="AY1645" s="414"/>
      <c r="AZ1645" s="414"/>
      <c r="BA1645" s="414"/>
      <c r="BB1645" s="414"/>
      <c r="BC1645" s="414"/>
      <c r="BD1645" s="414"/>
      <c r="BE1645" s="414"/>
      <c r="BF1645" s="414"/>
      <c r="BG1645" s="391">
        <f>SUM($AV$1389:AV1645)</f>
        <v>1230.7690101367634</v>
      </c>
      <c r="BH1645" s="392">
        <f>SUM($AU$1389:AU1645)</f>
        <v>14654.979999999814</v>
      </c>
      <c r="BI1645" s="318">
        <f>SUMIFS($AU$1388:AU1646,$Q$1388:Q1646,"F")</f>
        <v>9348.4000000000015</v>
      </c>
      <c r="BJ1645" s="318">
        <f>SUMIFS($AU$1388:AU1646,$Q$1388:Q1646,"S")</f>
        <v>3279.9999999999918</v>
      </c>
      <c r="BK1645" s="343">
        <f>SUMIFS($AU$1388:AU1646,$P$1388:P1646,"W")</f>
        <v>8717.579999999929</v>
      </c>
      <c r="BL1645" s="343">
        <f>SUMIFS($AU$1388:AU1646,$P$1388:P1646,"R")</f>
        <v>4181.9999999999991</v>
      </c>
      <c r="BM1645" s="343">
        <f>SUMIFS($AU$1388:AU1646,$AQ$1388:AQ1646,"M")</f>
        <v>5219.3799999995472</v>
      </c>
      <c r="BN1645" s="343">
        <f>SUMIFS($AU$1388:AU1646,$AQ$1388:AQ1646,"H")</f>
        <v>2931.2000000002599</v>
      </c>
      <c r="BO1645" s="343">
        <f>SUMIFS($AU$1388:AU1646,$AQ$1388:AQ1646,"D")</f>
        <v>1266.0000000000005</v>
      </c>
      <c r="BP1645" s="343">
        <f>SUMIFS($AU$1388:AU1648,$AQ$1388:AQ1648,"W")</f>
        <v>5542.4000000000005</v>
      </c>
      <c r="BQ1645" s="343">
        <f>SUMIFS($AU$1388:AU1646,$Q$1388:Q1646,"O")</f>
        <v>1770.5799999998073</v>
      </c>
      <c r="BR1645" s="343">
        <f>SUMIFS($AU$1388:AU1646,$AA$1388:AA1646,"*")</f>
        <v>12439.799999999701</v>
      </c>
      <c r="BS1645" s="343">
        <f>SUMIFS($AU$1388:AU1646,$AB$1388:AB1646,"*")</f>
        <v>4007.1799999999307</v>
      </c>
      <c r="BT1645" s="343">
        <f>SUMIFS($AU$1388:AU1646,$AC$1388:AC1646,"*")</f>
        <v>7028.4</v>
      </c>
      <c r="BU1645" s="343">
        <f>SUMIFS($AU$1388:AU1646,$AA$1388:AA1646,"*",$AB$1388:AB1646,"*")</f>
        <v>1855.9999999998222</v>
      </c>
      <c r="BV1645" s="343">
        <f>SUMIFS($AU$1388:AU1646,$AA$1388:AA1646,"*",$AC$1388:AC1646,"*")</f>
        <v>6564.4</v>
      </c>
      <c r="BW1645" s="343">
        <f>SUMIFS($AU$1388:AU1646,$AB$1388:AB1646,"*",$AC$1388:AC1646,"*")</f>
        <v>719.99999999999818</v>
      </c>
      <c r="BX1645" s="343">
        <f>SUMIFS($AV$1388:AV1646,$Q$1388:Q1646,"F")</f>
        <v>221.28119764293677</v>
      </c>
      <c r="BY1645" s="343">
        <f>SUMIFS($AV$1388:AV1646,$Q$1388:Q1646,"S")</f>
        <v>280.74781249396256</v>
      </c>
      <c r="BZ1645" s="343">
        <f>SUMIFS($AV$1388:AV1646,$Q$1388:Q1646,"O")</f>
        <v>520.73999999985608</v>
      </c>
    </row>
    <row r="1646" spans="1:78" ht="15.75" customHeight="1">
      <c r="A1646" s="177" t="s">
        <v>5612</v>
      </c>
      <c r="B1646" s="200"/>
      <c r="C1646" s="178"/>
      <c r="D1646" s="178"/>
      <c r="E1646" s="227"/>
      <c r="F1646" s="180"/>
      <c r="G1646" s="181"/>
      <c r="H1646" s="182"/>
      <c r="I1646" s="182"/>
      <c r="J1646" s="182"/>
      <c r="K1646" s="183"/>
      <c r="L1646" s="182"/>
      <c r="M1646" s="182"/>
      <c r="N1646" s="182"/>
      <c r="O1646" s="183"/>
      <c r="P1646" s="183"/>
      <c r="Q1646" s="183"/>
      <c r="R1646" s="183"/>
      <c r="S1646" s="183"/>
      <c r="T1646" s="183"/>
      <c r="U1646" s="183"/>
      <c r="V1646" s="183"/>
      <c r="W1646" s="183"/>
      <c r="X1646" s="183"/>
      <c r="Y1646" s="183"/>
      <c r="Z1646" s="183"/>
      <c r="AA1646" s="185"/>
      <c r="AB1646" s="185"/>
      <c r="AC1646" s="185"/>
      <c r="AD1646" s="649"/>
      <c r="AE1646" s="182"/>
      <c r="AF1646" s="332"/>
      <c r="AG1646" s="182"/>
      <c r="AH1646" s="182"/>
      <c r="AI1646" s="182"/>
      <c r="AJ1646" s="640"/>
      <c r="AK1646" s="182"/>
      <c r="AL1646" s="496">
        <f t="shared" ref="AL1646:AL1650" si="477">-0.02*Z1646</f>
        <v>0</v>
      </c>
      <c r="AM1646" s="496">
        <f t="shared" ref="AM1646:AM1677" si="478">AL1646*(R1646-S1646)</f>
        <v>0</v>
      </c>
      <c r="AN1646" s="626"/>
      <c r="AO1646" s="182"/>
      <c r="AP1646" s="182"/>
      <c r="AQ1646" s="332" t="str">
        <f>UPPER(RIGHT(Journal_Live[[#This Row],[DURATION ]]))</f>
        <v/>
      </c>
      <c r="AR1646" s="182"/>
      <c r="AS1646" s="189"/>
      <c r="AT1646" s="189"/>
      <c r="AU1646" s="187"/>
      <c r="AV1646" s="190"/>
      <c r="AW1646" s="191"/>
      <c r="AX1646" s="409" t="s">
        <v>5613</v>
      </c>
      <c r="AY1646" s="407" t="s">
        <v>5614</v>
      </c>
      <c r="AZ1646" s="407" t="s">
        <v>5615</v>
      </c>
      <c r="BA1646" s="407" t="s">
        <v>5616</v>
      </c>
      <c r="BB1646" s="407" t="s">
        <v>5617</v>
      </c>
      <c r="BC1646" s="407"/>
      <c r="BD1646" s="407"/>
      <c r="BE1646" s="407"/>
      <c r="BF1646" s="407"/>
      <c r="BG1646" s="391">
        <f>SUM($AV$1389:AV1646)</f>
        <v>1230.7690101367634</v>
      </c>
      <c r="BH1646" s="392">
        <f>SUM($AU$1389:AU1646)</f>
        <v>14654.979999999814</v>
      </c>
      <c r="BI1646" s="318">
        <f>SUMIFS($AU$1388:AU1647,$Q$1388:Q1647,"F")</f>
        <v>9348.4000000000015</v>
      </c>
      <c r="BJ1646" s="318">
        <f>SUMIFS($AU$1388:AU1647,$Q$1388:Q1647,"S")</f>
        <v>3279.9999999999918</v>
      </c>
      <c r="BK1646" s="343">
        <f>SUMIFS($AU$1388:AU1647,$P$1388:P1647,"W")</f>
        <v>8717.579999999929</v>
      </c>
      <c r="BL1646" s="343">
        <f>SUMIFS($AU$1388:AU1647,$P$1388:P1647,"R")</f>
        <v>4181.9999999999991</v>
      </c>
      <c r="BM1646" s="343">
        <f>SUMIFS($AU$1388:AU1647,$AQ$1388:AQ1647,"M")</f>
        <v>5219.3799999995472</v>
      </c>
      <c r="BN1646" s="343">
        <f>SUMIFS($AU$1388:AU1647,$AQ$1388:AQ1647,"H")</f>
        <v>2931.2000000002599</v>
      </c>
      <c r="BO1646" s="343">
        <f>SUMIFS($AU$1388:AU1647,$AQ$1388:AQ1647,"D")</f>
        <v>1266.0000000000005</v>
      </c>
      <c r="BP1646" s="343">
        <f>SUMIFS($AU$1388:AU1649,$AQ$1388:AQ1649,"W")</f>
        <v>5542.4000000000005</v>
      </c>
      <c r="BQ1646" s="343">
        <f>SUMIFS($AU$1388:AU1647,$Q$1388:Q1647,"O")</f>
        <v>1770.5799999998073</v>
      </c>
      <c r="BR1646" s="343">
        <f>SUMIFS($AU$1388:AU1647,$AA$1388:AA1647,"*")</f>
        <v>12439.799999999701</v>
      </c>
      <c r="BS1646" s="343">
        <f>SUMIFS($AU$1388:AU1647,$AB$1388:AB1647,"*")</f>
        <v>4007.1799999999307</v>
      </c>
      <c r="BT1646" s="343">
        <f>SUMIFS($AU$1388:AU1647,$AC$1388:AC1647,"*")</f>
        <v>7028.4</v>
      </c>
      <c r="BU1646" s="343">
        <f>SUMIFS($AU$1388:AU1647,$AA$1388:AA1647,"*",$AB$1388:AB1647,"*")</f>
        <v>1855.9999999998222</v>
      </c>
      <c r="BV1646" s="343">
        <f>SUMIFS($AU$1388:AU1647,$AA$1388:AA1647,"*",$AC$1388:AC1647,"*")</f>
        <v>6564.4</v>
      </c>
      <c r="BW1646" s="343">
        <f>SUMIFS($AU$1388:AU1647,$AB$1388:AB1647,"*",$AC$1388:AC1647,"*")</f>
        <v>719.99999999999818</v>
      </c>
      <c r="BX1646" s="343">
        <f>SUMIFS($AV$1388:AV1647,$Q$1388:Q1647,"F")</f>
        <v>221.28119764293677</v>
      </c>
      <c r="BY1646" s="343">
        <f>SUMIFS($AV$1388:AV1647,$Q$1388:Q1647,"S")</f>
        <v>280.74781249396256</v>
      </c>
      <c r="BZ1646" s="343">
        <f>SUMIFS($AV$1388:AV1647,$Q$1388:Q1647,"O")</f>
        <v>520.73999999985608</v>
      </c>
    </row>
    <row r="1647" spans="1:78" ht="15.75" customHeight="1">
      <c r="A1647" s="177" t="s">
        <v>5612</v>
      </c>
      <c r="B1647" s="200"/>
      <c r="C1647" s="178"/>
      <c r="D1647" s="178"/>
      <c r="E1647" s="227"/>
      <c r="F1647" s="180"/>
      <c r="G1647" s="181"/>
      <c r="H1647" s="182"/>
      <c r="I1647" s="182"/>
      <c r="J1647" s="182"/>
      <c r="K1647" s="183"/>
      <c r="L1647" s="182"/>
      <c r="M1647" s="182"/>
      <c r="N1647" s="182"/>
      <c r="O1647" s="183"/>
      <c r="P1647" s="183"/>
      <c r="Q1647" s="183"/>
      <c r="R1647" s="183"/>
      <c r="S1647" s="183"/>
      <c r="T1647" s="183"/>
      <c r="U1647" s="183"/>
      <c r="V1647" s="183"/>
      <c r="W1647" s="183"/>
      <c r="X1647" s="183"/>
      <c r="Y1647" s="183"/>
      <c r="Z1647" s="183"/>
      <c r="AA1647" s="185"/>
      <c r="AB1647" s="185"/>
      <c r="AC1647" s="185"/>
      <c r="AD1647" s="649"/>
      <c r="AE1647" s="182"/>
      <c r="AF1647" s="332"/>
      <c r="AG1647" s="182"/>
      <c r="AH1647" s="182"/>
      <c r="AI1647" s="182"/>
      <c r="AJ1647" s="640"/>
      <c r="AK1647" s="182"/>
      <c r="AL1647" s="496">
        <f t="shared" si="477"/>
        <v>0</v>
      </c>
      <c r="AM1647" s="496">
        <f t="shared" si="478"/>
        <v>0</v>
      </c>
      <c r="AN1647" s="626"/>
      <c r="AO1647" s="182"/>
      <c r="AP1647" s="182"/>
      <c r="AQ1647" s="332" t="str">
        <f>UPPER(RIGHT(Journal_Live[[#This Row],[DURATION ]]))</f>
        <v/>
      </c>
      <c r="AR1647" s="182"/>
      <c r="AS1647" s="189"/>
      <c r="AT1647" s="189"/>
      <c r="AU1647" s="187"/>
      <c r="AV1647" s="190"/>
      <c r="AW1647" s="191"/>
      <c r="AX1647" s="417" t="s">
        <v>5558</v>
      </c>
      <c r="AY1647" s="409" t="s">
        <v>5618</v>
      </c>
      <c r="AZ1647" s="409" t="s">
        <v>5619</v>
      </c>
      <c r="BA1647" s="409" t="s">
        <v>5620</v>
      </c>
      <c r="BB1647" s="549" t="s">
        <v>5621</v>
      </c>
      <c r="BC1647" s="549" t="s">
        <v>5622</v>
      </c>
      <c r="BD1647" s="549" t="s">
        <v>5623</v>
      </c>
      <c r="BE1647" s="550"/>
      <c r="BF1647" s="549"/>
      <c r="BG1647" s="391">
        <f>SUM($AV$1389:AV1647)</f>
        <v>1230.7690101367634</v>
      </c>
      <c r="BH1647" s="392">
        <f>SUM($AU$1389:AU1647)</f>
        <v>14654.979999999814</v>
      </c>
      <c r="BI1647" s="318">
        <f>SUMIFS($AU$1388:AU1648,$Q$1388:Q1648,"F")</f>
        <v>9348.4000000000015</v>
      </c>
      <c r="BJ1647" s="318">
        <f>SUMIFS($AU$1388:AU1648,$Q$1388:Q1648,"S")</f>
        <v>3279.9999999999918</v>
      </c>
      <c r="BK1647" s="343">
        <f>SUMIFS($AU$1388:AU1648,$P$1388:P1648,"W")</f>
        <v>8717.579999999929</v>
      </c>
      <c r="BL1647" s="343">
        <f>SUMIFS($AU$1388:AU1648,$P$1388:P1648,"R")</f>
        <v>4181.9999999999991</v>
      </c>
      <c r="BM1647" s="343">
        <f>SUMIFS($AU$1388:AU1648,$AQ$1388:AQ1648,"M")</f>
        <v>5219.3799999995472</v>
      </c>
      <c r="BN1647" s="343">
        <f>SUMIFS($AU$1388:AU1648,$AQ$1388:AQ1648,"H")</f>
        <v>2931.2000000002599</v>
      </c>
      <c r="BO1647" s="343">
        <f>SUMIFS($AU$1388:AU1648,$AQ$1388:AQ1648,"D")</f>
        <v>1266.0000000000005</v>
      </c>
      <c r="BP1647" s="343">
        <f>SUMIFS($AU$1388:AU1650,$AQ$1388:AQ1650,"W")</f>
        <v>5542.4000000000005</v>
      </c>
      <c r="BQ1647" s="343">
        <f>SUMIFS($AU$1388:AU1648,$Q$1388:Q1648,"O")</f>
        <v>1770.5799999998073</v>
      </c>
      <c r="BR1647" s="343">
        <f>SUMIFS($AU$1388:AU1648,$AA$1388:AA1648,"*")</f>
        <v>12439.799999999701</v>
      </c>
      <c r="BS1647" s="343">
        <f>SUMIFS($AU$1388:AU1648,$AB$1388:AB1648,"*")</f>
        <v>4007.1799999999307</v>
      </c>
      <c r="BT1647" s="343">
        <f>SUMIFS($AU$1388:AU1648,$AC$1388:AC1648,"*")</f>
        <v>7028.4</v>
      </c>
      <c r="BU1647" s="343">
        <f>SUMIFS($AU$1388:AU1648,$AA$1388:AA1648,"*",$AB$1388:AB1648,"*")</f>
        <v>1855.9999999998222</v>
      </c>
      <c r="BV1647" s="343">
        <f>SUMIFS($AU$1388:AU1648,$AA$1388:AA1648,"*",$AC$1388:AC1648,"*")</f>
        <v>6564.4</v>
      </c>
      <c r="BW1647" s="343">
        <f>SUMIFS($AU$1388:AU1648,$AB$1388:AB1648,"*",$AC$1388:AC1648,"*")</f>
        <v>719.99999999999818</v>
      </c>
      <c r="BX1647" s="343">
        <f>SUMIFS($AV$1388:AV1648,$Q$1388:Q1648,"F")</f>
        <v>221.28119764293677</v>
      </c>
      <c r="BY1647" s="343">
        <f>SUMIFS($AV$1388:AV1648,$Q$1388:Q1648,"S")</f>
        <v>280.74781249396256</v>
      </c>
      <c r="BZ1647" s="343">
        <f>SUMIFS($AV$1388:AV1648,$Q$1388:Q1648,"O")</f>
        <v>520.73999999985608</v>
      </c>
    </row>
    <row r="1648" spans="1:78" ht="15.75" customHeight="1">
      <c r="A1648" s="177" t="s">
        <v>5612</v>
      </c>
      <c r="B1648" s="200"/>
      <c r="C1648" s="178"/>
      <c r="D1648" s="178"/>
      <c r="E1648" s="227"/>
      <c r="F1648" s="180"/>
      <c r="G1648" s="181"/>
      <c r="H1648" s="182"/>
      <c r="I1648" s="182"/>
      <c r="J1648" s="182"/>
      <c r="K1648" s="183"/>
      <c r="L1648" s="182"/>
      <c r="M1648" s="182"/>
      <c r="N1648" s="182"/>
      <c r="O1648" s="183"/>
      <c r="P1648" s="183"/>
      <c r="Q1648" s="183"/>
      <c r="R1648" s="183"/>
      <c r="S1648" s="183"/>
      <c r="T1648" s="183"/>
      <c r="U1648" s="183"/>
      <c r="V1648" s="183"/>
      <c r="W1648" s="183"/>
      <c r="X1648" s="183"/>
      <c r="Y1648" s="183"/>
      <c r="Z1648" s="183"/>
      <c r="AA1648" s="185"/>
      <c r="AB1648" s="185"/>
      <c r="AC1648" s="185"/>
      <c r="AD1648" s="649"/>
      <c r="AE1648" s="182"/>
      <c r="AF1648" s="332"/>
      <c r="AG1648" s="182"/>
      <c r="AH1648" s="182"/>
      <c r="AI1648" s="182"/>
      <c r="AJ1648" s="640"/>
      <c r="AK1648" s="182"/>
      <c r="AL1648" s="496">
        <f t="shared" si="477"/>
        <v>0</v>
      </c>
      <c r="AM1648" s="496">
        <f t="shared" si="478"/>
        <v>0</v>
      </c>
      <c r="AN1648" s="626"/>
      <c r="AO1648" s="182"/>
      <c r="AP1648" s="182"/>
      <c r="AQ1648" s="332" t="str">
        <f>UPPER(RIGHT(Journal_Live[[#This Row],[DURATION ]]))</f>
        <v/>
      </c>
      <c r="AR1648" s="182"/>
      <c r="AS1648" s="189"/>
      <c r="AT1648" s="189"/>
      <c r="AU1648" s="187"/>
      <c r="AV1648" s="190"/>
      <c r="AW1648" s="191"/>
      <c r="AX1648" s="417" t="s">
        <v>5624</v>
      </c>
      <c r="AY1648" s="551" t="s">
        <v>5625</v>
      </c>
      <c r="AZ1648" s="551" t="s">
        <v>5626</v>
      </c>
      <c r="BA1648" s="551" t="s">
        <v>5627</v>
      </c>
      <c r="BB1648" s="551"/>
      <c r="BC1648" s="551"/>
      <c r="BD1648" s="549"/>
      <c r="BE1648" s="550"/>
      <c r="BF1648" s="549"/>
      <c r="BG1648" s="391">
        <f>SUM($AV$1389:AV1648)</f>
        <v>1230.7690101367634</v>
      </c>
      <c r="BH1648" s="392">
        <f>SUM($AU$1389:AU1648)</f>
        <v>14654.979999999814</v>
      </c>
      <c r="BI1648" s="318">
        <f>SUMIFS($AU$1388:AU1649,$Q$1388:Q1649,"F")</f>
        <v>9348.4000000000015</v>
      </c>
      <c r="BJ1648" s="318">
        <f>SUMIFS($AU$1388:AU1649,$Q$1388:Q1649,"S")</f>
        <v>3279.9999999999918</v>
      </c>
      <c r="BK1648" s="343">
        <f>SUMIFS($AU$1388:AU1649,$P$1388:P1649,"W")</f>
        <v>8717.579999999929</v>
      </c>
      <c r="BL1648" s="343">
        <f>SUMIFS($AU$1388:AU1649,$P$1388:P1649,"R")</f>
        <v>4181.9999999999991</v>
      </c>
      <c r="BM1648" s="343">
        <f>SUMIFS($AU$1388:AU1649,$AQ$1388:AQ1649,"M")</f>
        <v>5219.3799999995472</v>
      </c>
      <c r="BN1648" s="343">
        <f>SUMIFS($AU$1388:AU1649,$AQ$1388:AQ1649,"H")</f>
        <v>2931.2000000002599</v>
      </c>
      <c r="BO1648" s="343">
        <f>SUMIFS($AU$1388:AU1649,$AQ$1388:AQ1649,"D")</f>
        <v>1266.0000000000005</v>
      </c>
      <c r="BP1648" s="343">
        <f>SUMIFS($AU$1388:AU1651,$AQ$1388:AQ1651,"W")</f>
        <v>5542.4000000000005</v>
      </c>
      <c r="BQ1648" s="343">
        <f>SUMIFS($AU$1388:AU1649,$Q$1388:Q1649,"O")</f>
        <v>1770.5799999998073</v>
      </c>
      <c r="BR1648" s="343">
        <f>SUMIFS($AU$1388:AU1649,$AA$1388:AA1649,"*")</f>
        <v>12439.799999999701</v>
      </c>
      <c r="BS1648" s="343">
        <f>SUMIFS($AU$1388:AU1649,$AB$1388:AB1649,"*")</f>
        <v>4007.1799999999307</v>
      </c>
      <c r="BT1648" s="343">
        <f>SUMIFS($AU$1388:AU1649,$AC$1388:AC1649,"*")</f>
        <v>7028.4</v>
      </c>
      <c r="BU1648" s="343">
        <f>SUMIFS($AU$1388:AU1649,$AA$1388:AA1649,"*",$AB$1388:AB1649,"*")</f>
        <v>1855.9999999998222</v>
      </c>
      <c r="BV1648" s="343">
        <f>SUMIFS($AU$1388:AU1649,$AA$1388:AA1649,"*",$AC$1388:AC1649,"*")</f>
        <v>6564.4</v>
      </c>
      <c r="BW1648" s="343">
        <f>SUMIFS($AU$1388:AU1649,$AB$1388:AB1649,"*",$AC$1388:AC1649,"*")</f>
        <v>719.99999999999818</v>
      </c>
      <c r="BX1648" s="343">
        <f>SUMIFS($AV$1388:AV1649,$Q$1388:Q1649,"F")</f>
        <v>221.28119764293677</v>
      </c>
      <c r="BY1648" s="343">
        <f>SUMIFS($AV$1388:AV1649,$Q$1388:Q1649,"S")</f>
        <v>280.74781249396256</v>
      </c>
      <c r="BZ1648" s="343">
        <f>SUMIFS($AV$1388:AV1649,$Q$1388:Q1649,"O")</f>
        <v>520.73999999985608</v>
      </c>
    </row>
    <row r="1649" spans="1:78" ht="15.75" customHeight="1">
      <c r="A1649" s="177" t="s">
        <v>5612</v>
      </c>
      <c r="B1649" s="200">
        <v>45352</v>
      </c>
      <c r="C1649" s="178" t="s">
        <v>1437</v>
      </c>
      <c r="D1649" s="178" t="s">
        <v>111</v>
      </c>
      <c r="E1649" s="227"/>
      <c r="F1649" s="180"/>
      <c r="G1649" s="181" t="s">
        <v>3772</v>
      </c>
      <c r="H1649" s="182"/>
      <c r="I1649" s="182"/>
      <c r="J1649" s="182"/>
      <c r="K1649" s="183"/>
      <c r="L1649" s="182"/>
      <c r="M1649" s="182"/>
      <c r="N1649" s="182"/>
      <c r="O1649" s="183"/>
      <c r="P1649" s="183"/>
      <c r="Q1649" s="183"/>
      <c r="R1649" s="183"/>
      <c r="S1649" s="183"/>
      <c r="T1649" s="183"/>
      <c r="U1649" s="183"/>
      <c r="V1649" s="183"/>
      <c r="W1649" s="183"/>
      <c r="X1649" s="183"/>
      <c r="Y1649" s="184"/>
      <c r="Z1649" s="185"/>
      <c r="AA1649" s="185"/>
      <c r="AB1649" s="185"/>
      <c r="AC1649" s="185"/>
      <c r="AD1649" s="649"/>
      <c r="AE1649" s="182"/>
      <c r="AF1649" s="332"/>
      <c r="AG1649" s="182"/>
      <c r="AH1649" s="182"/>
      <c r="AI1649" s="182"/>
      <c r="AJ1649" s="640"/>
      <c r="AK1649" s="182"/>
      <c r="AL1649" s="496">
        <f t="shared" si="477"/>
        <v>0</v>
      </c>
      <c r="AM1649" s="496">
        <f t="shared" si="478"/>
        <v>0</v>
      </c>
      <c r="AN1649" s="626"/>
      <c r="AO1649" s="182"/>
      <c r="AP1649" s="182"/>
      <c r="AQ1649" s="332" t="str">
        <f>UPPER(RIGHT(Journal_Live[[#This Row],[DURATION ]]))</f>
        <v/>
      </c>
      <c r="AR1649" s="182"/>
      <c r="AS1649" s="189"/>
      <c r="AT1649" s="189"/>
      <c r="AU1649" s="187"/>
      <c r="AV1649" s="190"/>
      <c r="AW1649" s="191"/>
      <c r="AX1649" s="551" t="s">
        <v>5628</v>
      </c>
      <c r="AY1649" s="551" t="s">
        <v>5629</v>
      </c>
      <c r="AZ1649" s="551" t="s">
        <v>5630</v>
      </c>
      <c r="BA1649" s="551"/>
      <c r="BB1649" s="551"/>
      <c r="BC1649" s="551"/>
      <c r="BD1649" s="551" t="s">
        <v>5628</v>
      </c>
      <c r="BE1649" s="550"/>
      <c r="BF1649" s="549"/>
      <c r="BG1649" s="391">
        <f>SUM($AV$1389:AV1649)</f>
        <v>1230.7690101367634</v>
      </c>
      <c r="BH1649" s="392">
        <f>SUM($AU$1389:AU1649)</f>
        <v>14654.979999999814</v>
      </c>
      <c r="BI1649" s="318">
        <f>SUMIFS($AU$1388:AU1650,$Q$1388:Q1650,"F")</f>
        <v>9348.4000000000015</v>
      </c>
      <c r="BJ1649" s="318">
        <f>SUMIFS($AU$1388:AU1650,$Q$1388:Q1650,"S")</f>
        <v>3279.9999999999918</v>
      </c>
      <c r="BK1649" s="343">
        <f>SUMIFS($AU$1388:AU1650,$P$1388:P1650,"W")</f>
        <v>8717.579999999929</v>
      </c>
      <c r="BL1649" s="343">
        <f>SUMIFS($AU$1388:AU1650,$P$1388:P1650,"R")</f>
        <v>4181.9999999999991</v>
      </c>
      <c r="BM1649" s="343">
        <f>SUMIFS($AU$1388:AU1650,$AQ$1388:AQ1650,"M")</f>
        <v>5219.3799999995472</v>
      </c>
      <c r="BN1649" s="343">
        <f>SUMIFS($AU$1388:AU1650,$AQ$1388:AQ1650,"H")</f>
        <v>2931.2000000002599</v>
      </c>
      <c r="BO1649" s="343">
        <f>SUMIFS($AU$1388:AU1650,$AQ$1388:AQ1650,"D")</f>
        <v>1266.0000000000005</v>
      </c>
      <c r="BP1649" s="343">
        <f>SUMIFS($AU$1388:AU1652,$AQ$1388:AQ1652,"W")</f>
        <v>5542.4000000000005</v>
      </c>
      <c r="BQ1649" s="343">
        <f>SUMIFS($AU$1388:AU1650,$Q$1388:Q1650,"O")</f>
        <v>1770.5799999998073</v>
      </c>
      <c r="BR1649" s="343">
        <f>SUMIFS($AU$1388:AU1650,$AA$1388:AA1650,"*")</f>
        <v>12439.799999999701</v>
      </c>
      <c r="BS1649" s="343">
        <f>SUMIFS($AU$1388:AU1650,$AB$1388:AB1650,"*")</f>
        <v>4007.1799999999307</v>
      </c>
      <c r="BT1649" s="343">
        <f>SUMIFS($AU$1388:AU1650,$AC$1388:AC1650,"*")</f>
        <v>7028.4</v>
      </c>
      <c r="BU1649" s="343">
        <f>SUMIFS($AU$1388:AU1650,$AA$1388:AA1650,"*",$AB$1388:AB1650,"*")</f>
        <v>1855.9999999998222</v>
      </c>
      <c r="BV1649" s="343">
        <f>SUMIFS($AU$1388:AU1650,$AA$1388:AA1650,"*",$AC$1388:AC1650,"*")</f>
        <v>6564.4</v>
      </c>
      <c r="BW1649" s="343">
        <f>SUMIFS($AU$1388:AU1650,$AB$1388:AB1650,"*",$AC$1388:AC1650,"*")</f>
        <v>719.99999999999818</v>
      </c>
      <c r="BX1649" s="343">
        <f>SUMIFS($AV$1388:AV1650,$Q$1388:Q1650,"F")</f>
        <v>221.28119764293677</v>
      </c>
      <c r="BY1649" s="343">
        <f>SUMIFS($AV$1388:AV1650,$Q$1388:Q1650,"S")</f>
        <v>280.74781249396256</v>
      </c>
      <c r="BZ1649" s="343">
        <f>SUMIFS($AV$1388:AV1650,$Q$1388:Q1650,"O")</f>
        <v>520.73999999985608</v>
      </c>
    </row>
    <row r="1650" spans="1:78" ht="15.75" customHeight="1">
      <c r="A1650" s="177" t="s">
        <v>5612</v>
      </c>
      <c r="B1650" s="200">
        <v>45352</v>
      </c>
      <c r="C1650" s="178" t="s">
        <v>5631</v>
      </c>
      <c r="D1650" s="178" t="s">
        <v>111</v>
      </c>
      <c r="E1650" s="227"/>
      <c r="F1650" s="180"/>
      <c r="G1650" s="181" t="s">
        <v>4147</v>
      </c>
      <c r="H1650" s="182"/>
      <c r="I1650" s="182"/>
      <c r="J1650" s="182"/>
      <c r="K1650" s="183"/>
      <c r="L1650" s="182"/>
      <c r="M1650" s="182"/>
      <c r="N1650" s="182"/>
      <c r="O1650" s="183"/>
      <c r="P1650" s="183"/>
      <c r="Q1650" s="183"/>
      <c r="R1650" s="183"/>
      <c r="S1650" s="183"/>
      <c r="T1650" s="183"/>
      <c r="U1650" s="183"/>
      <c r="V1650" s="183"/>
      <c r="W1650" s="183"/>
      <c r="X1650" s="183"/>
      <c r="Y1650" s="184"/>
      <c r="Z1650" s="185"/>
      <c r="AA1650" s="185"/>
      <c r="AB1650" s="185"/>
      <c r="AC1650" s="185"/>
      <c r="AD1650" s="649"/>
      <c r="AE1650" s="182"/>
      <c r="AF1650" s="332"/>
      <c r="AG1650" s="182"/>
      <c r="AH1650" s="182"/>
      <c r="AI1650" s="182"/>
      <c r="AJ1650" s="640"/>
      <c r="AK1650" s="182"/>
      <c r="AL1650" s="496">
        <f t="shared" si="477"/>
        <v>0</v>
      </c>
      <c r="AM1650" s="496">
        <f t="shared" si="478"/>
        <v>0</v>
      </c>
      <c r="AN1650" s="626"/>
      <c r="AO1650" s="182"/>
      <c r="AP1650" s="182"/>
      <c r="AQ1650" s="332" t="str">
        <f>UPPER(RIGHT(Journal_Live[[#This Row],[DURATION ]]))</f>
        <v/>
      </c>
      <c r="AR1650" s="182"/>
      <c r="AS1650" s="189"/>
      <c r="AT1650" s="189"/>
      <c r="AU1650" s="187"/>
      <c r="AV1650" s="190"/>
      <c r="AW1650" s="191"/>
      <c r="AX1650" s="551"/>
      <c r="AY1650" s="551"/>
      <c r="AZ1650" s="551"/>
      <c r="BA1650" s="551"/>
      <c r="BB1650" s="551"/>
      <c r="BC1650" s="551"/>
      <c r="BD1650" s="549"/>
      <c r="BE1650" s="550"/>
      <c r="BF1650" s="549"/>
      <c r="BG1650" s="391">
        <f>SUM($AV$1389:AV1650)</f>
        <v>1230.7690101367634</v>
      </c>
      <c r="BH1650" s="392">
        <f>SUM($AU$1389:AU1650)</f>
        <v>14654.979999999814</v>
      </c>
      <c r="BI1650" s="318">
        <f>SUMIFS($AU$1388:AU1651,$Q$1388:Q1651,"F")</f>
        <v>9348.4000000000015</v>
      </c>
      <c r="BJ1650" s="318">
        <f>SUMIFS($AU$1388:AU1651,$Q$1388:Q1651,"S")</f>
        <v>3279.9999999999918</v>
      </c>
      <c r="BK1650" s="343">
        <f>SUMIFS($AU$1388:AU1651,$P$1388:P1651,"W")</f>
        <v>8717.579999999929</v>
      </c>
      <c r="BL1650" s="343">
        <f>SUMIFS($AU$1388:AU1651,$P$1388:P1651,"R")</f>
        <v>4181.9999999999991</v>
      </c>
      <c r="BM1650" s="343">
        <f>SUMIFS($AU$1388:AU1651,$AQ$1388:AQ1651,"M")</f>
        <v>5219.3799999995472</v>
      </c>
      <c r="BN1650" s="343">
        <f>SUMIFS($AU$1388:AU1651,$AQ$1388:AQ1651,"H")</f>
        <v>2931.2000000002599</v>
      </c>
      <c r="BO1650" s="343">
        <f>SUMIFS($AU$1388:AU1651,$AQ$1388:AQ1651,"D")</f>
        <v>1266.0000000000005</v>
      </c>
      <c r="BP1650" s="343">
        <f>SUMIFS($AU$1388:AU1738,$AQ$1388:AQ1738,"W")</f>
        <v>12022.400000000001</v>
      </c>
      <c r="BQ1650" s="343">
        <f>SUMIFS($AU$1388:AU1651,$Q$1388:Q1651,"O")</f>
        <v>1770.5799999998073</v>
      </c>
      <c r="BR1650" s="343">
        <f>SUMIFS($AU$1388:AU1651,$AA$1388:AA1651,"*")</f>
        <v>12439.799999999701</v>
      </c>
      <c r="BS1650" s="343">
        <f>SUMIFS($AU$1388:AU1651,$AB$1388:AB1651,"*")</f>
        <v>4007.1799999999307</v>
      </c>
      <c r="BT1650" s="343">
        <f>SUMIFS($AU$1388:AU1651,$AC$1388:AC1651,"*")</f>
        <v>7028.4</v>
      </c>
      <c r="BU1650" s="343">
        <f>SUMIFS($AU$1388:AU1651,$AA$1388:AA1651,"*",$AB$1388:AB1651,"*")</f>
        <v>1855.9999999998222</v>
      </c>
      <c r="BV1650" s="343">
        <f>SUMIFS($AU$1388:AU1651,$AA$1388:AA1651,"*",$AC$1388:AC1651,"*")</f>
        <v>6564.4</v>
      </c>
      <c r="BW1650" s="343">
        <f>SUMIFS($AU$1388:AU1651,$AB$1388:AB1651,"*",$AC$1388:AC1651,"*")</f>
        <v>719.99999999999818</v>
      </c>
      <c r="BX1650" s="343">
        <f>SUMIFS($AV$1388:AV1651,$Q$1388:Q1651,"F")</f>
        <v>221.28119764293677</v>
      </c>
      <c r="BY1650" s="343">
        <f>SUMIFS($AV$1388:AV1651,$Q$1388:Q1651,"S")</f>
        <v>280.74781249396256</v>
      </c>
      <c r="BZ1650" s="343">
        <f>SUMIFS($AV$1388:AV1651,$Q$1388:Q1651,"O")</f>
        <v>520.73999999985608</v>
      </c>
    </row>
    <row r="1651" spans="1:78" ht="15.75" customHeight="1">
      <c r="A1651" s="177" t="s">
        <v>5612</v>
      </c>
      <c r="B1651" s="200">
        <v>45352</v>
      </c>
      <c r="C1651" s="178" t="s">
        <v>3137</v>
      </c>
      <c r="D1651" s="178" t="s">
        <v>111</v>
      </c>
      <c r="E1651" s="227" t="s">
        <v>5632</v>
      </c>
      <c r="F1651" s="180"/>
      <c r="G1651" s="181"/>
      <c r="H1651" s="182"/>
      <c r="I1651" s="182"/>
      <c r="J1651" s="182">
        <v>1</v>
      </c>
      <c r="K1651" s="183" t="s">
        <v>115</v>
      </c>
      <c r="L1651" s="182"/>
      <c r="M1651" s="182"/>
      <c r="N1651" s="182"/>
      <c r="O1651" s="183"/>
      <c r="P1651" s="183"/>
      <c r="Q1651" s="183"/>
      <c r="R1651" s="183"/>
      <c r="S1651" s="183"/>
      <c r="T1651" s="183"/>
      <c r="U1651" s="183"/>
      <c r="V1651" s="183"/>
      <c r="W1651" s="183"/>
      <c r="X1651" s="183"/>
      <c r="Y1651" s="183"/>
      <c r="Z1651" s="183"/>
      <c r="AA1651" s="185"/>
      <c r="AB1651" s="185"/>
      <c r="AC1651" s="185"/>
      <c r="AD1651" s="649"/>
      <c r="AE1651" s="182"/>
      <c r="AF1651" s="332"/>
      <c r="AG1651" s="182"/>
      <c r="AH1651" s="182"/>
      <c r="AI1651" s="182"/>
      <c r="AJ1651" s="640"/>
      <c r="AK1651" s="182"/>
      <c r="AL1651" s="496">
        <f t="shared" ref="AL1651:AL1656" si="479">-0.02*Z1651</f>
        <v>0</v>
      </c>
      <c r="AM1651" s="496">
        <f t="shared" si="478"/>
        <v>0</v>
      </c>
      <c r="AN1651" s="626"/>
      <c r="AO1651" s="182"/>
      <c r="AP1651" s="182"/>
      <c r="AQ1651" s="332" t="str">
        <f>UPPER(RIGHT(Journal_Live[[#This Row],[DURATION ]]))</f>
        <v/>
      </c>
      <c r="AR1651" s="182"/>
      <c r="AS1651" s="189"/>
      <c r="AT1651" s="189"/>
      <c r="AU1651" s="187"/>
      <c r="AV1651" s="190"/>
      <c r="AW1651" s="191"/>
      <c r="AX1651" s="551"/>
      <c r="AY1651" s="551"/>
      <c r="AZ1651" s="551"/>
      <c r="BA1651" s="551"/>
      <c r="BB1651" s="551"/>
      <c r="BC1651" s="551"/>
      <c r="BD1651" s="549"/>
      <c r="BE1651" s="550"/>
      <c r="BF1651" s="549"/>
      <c r="BG1651" s="391">
        <f>SUM($AV$1389:AV1651)</f>
        <v>1230.7690101367634</v>
      </c>
      <c r="BH1651" s="392">
        <f>SUM($AU$1389:AU1651)</f>
        <v>14654.979999999814</v>
      </c>
      <c r="BI1651" s="318">
        <f>SUMIFS($AU$1388:AU1652,$Q$1388:Q1652,"F")</f>
        <v>9348.4000000000015</v>
      </c>
      <c r="BJ1651" s="318">
        <f>SUMIFS($AU$1388:AU1652,$Q$1388:Q1652,"S")</f>
        <v>3279.9999999999918</v>
      </c>
      <c r="BK1651" s="343">
        <f>SUMIFS($AU$1388:AU1652,$P$1388:P1652,"W")</f>
        <v>8717.579999999929</v>
      </c>
      <c r="BL1651" s="343">
        <f>SUMIFS($AU$1388:AU1652,$P$1388:P1652,"R")</f>
        <v>4181.9999999999991</v>
      </c>
      <c r="BM1651" s="343">
        <f>SUMIFS($AU$1388:AU1652,$AQ$1388:AQ1652,"M")</f>
        <v>5219.3799999995472</v>
      </c>
      <c r="BN1651" s="343">
        <f>SUMIFS($AU$1388:AU1652,$AQ$1388:AQ1652,"H")</f>
        <v>2931.2000000002599</v>
      </c>
      <c r="BO1651" s="343">
        <f>SUMIFS($AU$1388:AU1652,$AQ$1388:AQ1652,"D")</f>
        <v>1266.0000000000005</v>
      </c>
      <c r="BP1651" s="343">
        <f>SUMIFS($AU$1388:AU1739,$AQ$1388:AQ1739,"W")</f>
        <v>12022.400000000001</v>
      </c>
      <c r="BQ1651" s="343">
        <f>SUMIFS($AU$1388:AU1652,$Q$1388:Q1652,"O")</f>
        <v>1770.5799999998073</v>
      </c>
      <c r="BR1651" s="343">
        <f>SUMIFS($AU$1388:AU1652,$AA$1388:AA1652,"*")</f>
        <v>12439.799999999701</v>
      </c>
      <c r="BS1651" s="343">
        <f>SUMIFS($AU$1388:AU1652,$AB$1388:AB1652,"*")</f>
        <v>4007.1799999999307</v>
      </c>
      <c r="BT1651" s="343">
        <f>SUMIFS($AU$1388:AU1652,$AC$1388:AC1652,"*")</f>
        <v>7028.4</v>
      </c>
      <c r="BU1651" s="343">
        <f>SUMIFS($AU$1388:AU1652,$AA$1388:AA1652,"*",$AB$1388:AB1652,"*")</f>
        <v>1855.9999999998222</v>
      </c>
      <c r="BV1651" s="343">
        <f>SUMIFS($AU$1388:AU1652,$AA$1388:AA1652,"*",$AC$1388:AC1652,"*")</f>
        <v>6564.4</v>
      </c>
      <c r="BW1651" s="343">
        <f>SUMIFS($AU$1388:AU1652,$AB$1388:AB1652,"*",$AC$1388:AC1652,"*")</f>
        <v>719.99999999999818</v>
      </c>
      <c r="BX1651" s="343">
        <f>SUMIFS($AV$1388:AV1652,$Q$1388:Q1652,"F")</f>
        <v>221.28119764293677</v>
      </c>
      <c r="BY1651" s="343">
        <f>SUMIFS($AV$1388:AV1652,$Q$1388:Q1652,"S")</f>
        <v>280.74781249396256</v>
      </c>
      <c r="BZ1651" s="343">
        <f>SUMIFS($AV$1388:AV1652,$Q$1388:Q1652,"O")</f>
        <v>520.73999999985608</v>
      </c>
    </row>
    <row r="1652" spans="1:78" ht="15.75" customHeight="1">
      <c r="A1652" s="177" t="s">
        <v>5612</v>
      </c>
      <c r="B1652" s="200">
        <v>45352</v>
      </c>
      <c r="C1652" s="178" t="s">
        <v>682</v>
      </c>
      <c r="D1652" s="178" t="s">
        <v>111</v>
      </c>
      <c r="E1652" s="227"/>
      <c r="F1652" s="180"/>
      <c r="G1652" s="181" t="s">
        <v>2016</v>
      </c>
      <c r="H1652" s="182"/>
      <c r="I1652" s="182"/>
      <c r="J1652" s="182"/>
      <c r="K1652" s="183"/>
      <c r="L1652" s="182"/>
      <c r="M1652" s="182"/>
      <c r="N1652" s="182"/>
      <c r="O1652" s="183"/>
      <c r="P1652" s="183"/>
      <c r="Q1652" s="183"/>
      <c r="R1652" s="183"/>
      <c r="S1652" s="183"/>
      <c r="T1652" s="183"/>
      <c r="U1652" s="183"/>
      <c r="V1652" s="183"/>
      <c r="W1652" s="183"/>
      <c r="X1652" s="183"/>
      <c r="Y1652" s="184"/>
      <c r="Z1652" s="185"/>
      <c r="AA1652" s="185"/>
      <c r="AB1652" s="185"/>
      <c r="AC1652" s="185"/>
      <c r="AD1652" s="649"/>
      <c r="AE1652" s="182"/>
      <c r="AF1652" s="332"/>
      <c r="AG1652" s="182"/>
      <c r="AH1652" s="182"/>
      <c r="AI1652" s="182"/>
      <c r="AJ1652" s="640"/>
      <c r="AK1652" s="182"/>
      <c r="AL1652" s="496">
        <f t="shared" si="479"/>
        <v>0</v>
      </c>
      <c r="AM1652" s="496">
        <f t="shared" si="478"/>
        <v>0</v>
      </c>
      <c r="AN1652" s="626"/>
      <c r="AO1652" s="182"/>
      <c r="AP1652" s="182"/>
      <c r="AQ1652" s="332" t="str">
        <f>UPPER(RIGHT(Journal_Live[[#This Row],[DURATION ]]))</f>
        <v/>
      </c>
      <c r="AR1652" s="182"/>
      <c r="AS1652" s="189"/>
      <c r="AT1652" s="189"/>
      <c r="AU1652" s="187"/>
      <c r="AV1652" s="190"/>
      <c r="AW1652" s="191"/>
      <c r="AX1652" s="551"/>
      <c r="AY1652" s="551"/>
      <c r="AZ1652" s="551"/>
      <c r="BA1652" s="551"/>
      <c r="BB1652" s="551"/>
      <c r="BC1652" s="551"/>
      <c r="BD1652" s="549"/>
      <c r="BE1652" s="550"/>
      <c r="BF1652" s="549"/>
      <c r="BG1652" s="391">
        <f>SUM($AV$1389:AV1652)</f>
        <v>1230.7690101367634</v>
      </c>
      <c r="BH1652" s="392">
        <f>SUM($AU$1389:AU1652)</f>
        <v>14654.979999999814</v>
      </c>
      <c r="BI1652" s="318">
        <f>SUMIFS($AU$1388:AU1653,$Q$1388:Q1653,"F")</f>
        <v>9348.4000000000015</v>
      </c>
      <c r="BJ1652" s="318">
        <f>SUMIFS($AU$1388:AU1653,$Q$1388:Q1653,"S")</f>
        <v>3279.9999999999918</v>
      </c>
      <c r="BK1652" s="343">
        <f>SUMIFS($AU$1388:AU1653,$P$1388:P1653,"W")</f>
        <v>8717.579999999929</v>
      </c>
      <c r="BL1652" s="343">
        <f>SUMIFS($AU$1388:AU1653,$P$1388:P1653,"R")</f>
        <v>4181.9999999999991</v>
      </c>
      <c r="BM1652" s="343">
        <f>SUMIFS($AU$1388:AU1653,$AQ$1388:AQ1653,"M")</f>
        <v>5219.3799999995472</v>
      </c>
      <c r="BN1652" s="343">
        <f>SUMIFS($AU$1388:AU1653,$AQ$1388:AQ1653,"H")</f>
        <v>2931.2000000002599</v>
      </c>
      <c r="BO1652" s="343">
        <f>SUMIFS($AU$1388:AU1653,$AQ$1388:AQ1653,"D")</f>
        <v>1266.0000000000005</v>
      </c>
      <c r="BP1652" s="343">
        <f>SUMIFS($AU$1388:AU1740,$AQ$1388:AQ1740,"W")</f>
        <v>12022.400000000001</v>
      </c>
      <c r="BQ1652" s="343">
        <f>SUMIFS($AU$1388:AU1653,$Q$1388:Q1653,"O")</f>
        <v>1770.5799999998073</v>
      </c>
      <c r="BR1652" s="343">
        <f>SUMIFS($AU$1388:AU1653,$AA$1388:AA1653,"*")</f>
        <v>12439.799999999701</v>
      </c>
      <c r="BS1652" s="343">
        <f>SUMIFS($AU$1388:AU1653,$AB$1388:AB1653,"*")</f>
        <v>4007.1799999999307</v>
      </c>
      <c r="BT1652" s="343">
        <f>SUMIFS($AU$1388:AU1653,$AC$1388:AC1653,"*")</f>
        <v>7028.4</v>
      </c>
      <c r="BU1652" s="343">
        <f>SUMIFS($AU$1388:AU1653,$AA$1388:AA1653,"*",$AB$1388:AB1653,"*")</f>
        <v>1855.9999999998222</v>
      </c>
      <c r="BV1652" s="343">
        <f>SUMIFS($AU$1388:AU1653,$AA$1388:AA1653,"*",$AC$1388:AC1653,"*")</f>
        <v>6564.4</v>
      </c>
      <c r="BW1652" s="343">
        <f>SUMIFS($AU$1388:AU1653,$AB$1388:AB1653,"*",$AC$1388:AC1653,"*")</f>
        <v>719.99999999999818</v>
      </c>
      <c r="BX1652" s="343">
        <f>SUMIFS($AV$1388:AV1653,$Q$1388:Q1653,"F")</f>
        <v>221.28119764293677</v>
      </c>
      <c r="BY1652" s="343">
        <f>SUMIFS($AV$1388:AV1653,$Q$1388:Q1653,"S")</f>
        <v>280.74781249396256</v>
      </c>
      <c r="BZ1652" s="343">
        <f>SUMIFS($AV$1388:AV1653,$Q$1388:Q1653,"O")</f>
        <v>520.73999999985608</v>
      </c>
    </row>
    <row r="1653" spans="1:78" ht="15.75" customHeight="1">
      <c r="A1653" s="177" t="s">
        <v>5612</v>
      </c>
      <c r="B1653" s="200">
        <v>45355</v>
      </c>
      <c r="C1653" s="178" t="s">
        <v>3345</v>
      </c>
      <c r="D1653" s="178" t="s">
        <v>132</v>
      </c>
      <c r="E1653" s="227"/>
      <c r="F1653" s="180"/>
      <c r="G1653" s="181" t="s">
        <v>3467</v>
      </c>
      <c r="H1653" s="182"/>
      <c r="I1653" s="182"/>
      <c r="J1653" s="182"/>
      <c r="K1653" s="183"/>
      <c r="L1653" s="182"/>
      <c r="M1653" s="182"/>
      <c r="N1653" s="182"/>
      <c r="O1653" s="183"/>
      <c r="P1653" s="183"/>
      <c r="Q1653" s="183"/>
      <c r="R1653" s="183"/>
      <c r="S1653" s="183"/>
      <c r="T1653" s="183"/>
      <c r="U1653" s="183"/>
      <c r="V1653" s="183"/>
      <c r="W1653" s="183"/>
      <c r="X1653" s="183"/>
      <c r="Y1653" s="184"/>
      <c r="Z1653" s="185"/>
      <c r="AA1653" s="185"/>
      <c r="AB1653" s="185"/>
      <c r="AC1653" s="185"/>
      <c r="AD1653" s="649"/>
      <c r="AE1653" s="182"/>
      <c r="AF1653" s="332"/>
      <c r="AG1653" s="182"/>
      <c r="AH1653" s="182"/>
      <c r="AI1653" s="182"/>
      <c r="AJ1653" s="640"/>
      <c r="AK1653" s="182"/>
      <c r="AL1653" s="496">
        <f t="shared" si="479"/>
        <v>0</v>
      </c>
      <c r="AM1653" s="496">
        <f t="shared" si="478"/>
        <v>0</v>
      </c>
      <c r="AN1653" s="626"/>
      <c r="AO1653" s="182"/>
      <c r="AP1653" s="182"/>
      <c r="AQ1653" s="332" t="str">
        <f>UPPER(RIGHT(Journal_Live[[#This Row],[DURATION ]]))</f>
        <v/>
      </c>
      <c r="AR1653" s="182"/>
      <c r="AS1653" s="189"/>
      <c r="AT1653" s="189"/>
      <c r="AU1653" s="187"/>
      <c r="AV1653" s="190"/>
      <c r="AW1653" s="191"/>
      <c r="AX1653" s="551" t="s">
        <v>5628</v>
      </c>
      <c r="AY1653" s="551" t="s">
        <v>5629</v>
      </c>
      <c r="AZ1653" s="551" t="s">
        <v>5630</v>
      </c>
      <c r="BA1653" s="551"/>
      <c r="BB1653" s="551"/>
      <c r="BC1653" s="551"/>
      <c r="BD1653" s="549"/>
      <c r="BE1653" s="550"/>
      <c r="BF1653" s="549"/>
      <c r="BG1653" s="391">
        <f>SUM($AV$1389:AV1653)</f>
        <v>1230.7690101367634</v>
      </c>
      <c r="BH1653" s="392">
        <f>SUM($AU$1389:AU1653)</f>
        <v>14654.979999999814</v>
      </c>
      <c r="BI1653" s="318">
        <f>SUMIFS($AU$1388:AU1654,$Q$1388:Q1654,"F")</f>
        <v>10148.400000000001</v>
      </c>
      <c r="BJ1653" s="318">
        <f>SUMIFS($AU$1388:AU1654,$Q$1388:Q1654,"S")</f>
        <v>3279.9999999999918</v>
      </c>
      <c r="BK1653" s="343">
        <f>SUMIFS($AU$1388:AU1654,$P$1388:P1654,"W")</f>
        <v>8717.579999999929</v>
      </c>
      <c r="BL1653" s="343">
        <f>SUMIFS($AU$1388:AU1654,$P$1388:P1654,"R")</f>
        <v>4981.9999999999991</v>
      </c>
      <c r="BM1653" s="343">
        <f>SUMIFS($AU$1388:AU1654,$AQ$1388:AQ1654,"M")</f>
        <v>5219.3799999995472</v>
      </c>
      <c r="BN1653" s="343">
        <f>SUMIFS($AU$1388:AU1654,$AQ$1388:AQ1654,"H")</f>
        <v>2931.2000000002599</v>
      </c>
      <c r="BO1653" s="343">
        <f>SUMIFS($AU$1388:AU1654,$AQ$1388:AQ1654,"D")</f>
        <v>2066.0000000000009</v>
      </c>
      <c r="BP1653" s="343">
        <f>SUMIFS($AU$1388:AU1741,$AQ$1388:AQ1741,"W")</f>
        <v>12022.400000000001</v>
      </c>
      <c r="BQ1653" s="343">
        <f>SUMIFS($AU$1388:AU1654,$Q$1388:Q1654,"O")</f>
        <v>1770.5799999998073</v>
      </c>
      <c r="BR1653" s="343">
        <f>SUMIFS($AU$1388:AU1654,$AA$1388:AA1654,"*")</f>
        <v>13239.799999999701</v>
      </c>
      <c r="BS1653" s="343">
        <f>SUMIFS($AU$1388:AU1654,$AB$1388:AB1654,"*")</f>
        <v>4007.1799999999307</v>
      </c>
      <c r="BT1653" s="343">
        <f>SUMIFS($AU$1388:AU1654,$AC$1388:AC1654,"*")</f>
        <v>7028.4</v>
      </c>
      <c r="BU1653" s="343">
        <f>SUMIFS($AU$1388:AU1654,$AA$1388:AA1654,"*",$AB$1388:AB1654,"*")</f>
        <v>1855.9999999998222</v>
      </c>
      <c r="BV1653" s="343">
        <f>SUMIFS($AU$1388:AU1654,$AA$1388:AA1654,"*",$AC$1388:AC1654,"*")</f>
        <v>6564.4</v>
      </c>
      <c r="BW1653" s="343">
        <f>SUMIFS($AU$1388:AU1654,$AB$1388:AB1654,"*",$AC$1388:AC1654,"*")</f>
        <v>719.99999999999818</v>
      </c>
      <c r="BX1653" s="343">
        <f>SUMIFS($AV$1388:AV1654,$Q$1388:Q1654,"F")</f>
        <v>237.28119764293677</v>
      </c>
      <c r="BY1653" s="343">
        <f>SUMIFS($AV$1388:AV1654,$Q$1388:Q1654,"S")</f>
        <v>280.74781249396256</v>
      </c>
      <c r="BZ1653" s="343">
        <f>SUMIFS($AV$1388:AV1654,$Q$1388:Q1654,"O")</f>
        <v>520.73999999985608</v>
      </c>
    </row>
    <row r="1654" spans="1:78" ht="15.75" customHeight="1">
      <c r="A1654" s="177" t="s">
        <v>5612</v>
      </c>
      <c r="B1654" s="200">
        <v>45355</v>
      </c>
      <c r="C1654" s="178" t="s">
        <v>403</v>
      </c>
      <c r="D1654" s="178" t="s">
        <v>132</v>
      </c>
      <c r="E1654" s="227"/>
      <c r="F1654" s="180"/>
      <c r="G1654" s="553" t="s">
        <v>5633</v>
      </c>
      <c r="H1654" s="182"/>
      <c r="I1654" s="182"/>
      <c r="J1654" s="182"/>
      <c r="K1654" s="183"/>
      <c r="L1654" s="182">
        <v>1</v>
      </c>
      <c r="M1654" s="182"/>
      <c r="N1654" s="182"/>
      <c r="O1654" s="183" t="s">
        <v>95</v>
      </c>
      <c r="P1654" s="183" t="s">
        <v>137</v>
      </c>
      <c r="Q1654" s="183" t="s">
        <v>256</v>
      </c>
      <c r="R1654" s="183">
        <v>50</v>
      </c>
      <c r="S1654" s="183">
        <v>0</v>
      </c>
      <c r="T1654" s="183">
        <v>50</v>
      </c>
      <c r="U1654" s="183" t="s">
        <v>22</v>
      </c>
      <c r="V1654" s="183"/>
      <c r="W1654" s="183"/>
      <c r="X1654" s="183"/>
      <c r="Y1654" s="184">
        <f>IF(ISBLANK(O1654),"",(IF(O1654=UPPER("IB"),0.005,0.01)))</f>
        <v>0.01</v>
      </c>
      <c r="Z1654" s="185">
        <f>IF(ISBLANK(O1654),"",IF(O1654="IB",8.63*200,IF(O1654="IR",16*100,IF(O1654="YT",20*100,IF(O1654="YT-XT",24*200,IF(O1654="TED",80*100))))))</f>
        <v>1600</v>
      </c>
      <c r="AA1654" s="185" t="s">
        <v>5634</v>
      </c>
      <c r="AB1654" s="185"/>
      <c r="AC1654" s="185"/>
      <c r="AD1654" s="649">
        <v>-0.04</v>
      </c>
      <c r="AE1654" s="182"/>
      <c r="AF1654" s="332"/>
      <c r="AG1654" s="182"/>
      <c r="AH1654" s="182"/>
      <c r="AI1654" s="182"/>
      <c r="AJ1654" s="640"/>
      <c r="AK1654" s="182"/>
      <c r="AL1654" s="496">
        <f t="shared" si="479"/>
        <v>-32</v>
      </c>
      <c r="AM1654" s="496">
        <f t="shared" si="478"/>
        <v>-1600</v>
      </c>
      <c r="AN1654" s="626"/>
      <c r="AO1654" s="182"/>
      <c r="AP1654" s="182" t="s">
        <v>1261</v>
      </c>
      <c r="AQ1654" s="332" t="s">
        <v>115</v>
      </c>
      <c r="AR1654" s="182" t="s">
        <v>5635</v>
      </c>
      <c r="AS1654" s="189">
        <v>-0.03</v>
      </c>
      <c r="AT1654" s="189">
        <f>IF(ISBLANK(AS1654),,IF(U1654="S",AD1654-AS1654,AS1654-AD1654))</f>
        <v>1.0000000000000002E-2</v>
      </c>
      <c r="AU1654" s="187">
        <f>AV1654*R1654</f>
        <v>800.00000000000023</v>
      </c>
      <c r="AV1654" s="190">
        <f t="shared" ref="AV1654:AV1655" si="480">IF(ISBLANK(AS1654),,(AT1654*Z1654))</f>
        <v>16.000000000000004</v>
      </c>
      <c r="AW1654" s="191" t="s">
        <v>96</v>
      </c>
      <c r="AX1654" s="551"/>
      <c r="AY1654" s="551"/>
      <c r="AZ1654" s="551"/>
      <c r="BA1654" s="551"/>
      <c r="BB1654" s="551"/>
      <c r="BC1654" s="551"/>
      <c r="BD1654" s="549"/>
      <c r="BE1654" s="550"/>
      <c r="BF1654" s="549"/>
      <c r="BG1654" s="391">
        <f>SUM($AV$1389:AV1654)</f>
        <v>1246.7690101367634</v>
      </c>
      <c r="BH1654" s="392">
        <f>SUM($AU$1389:AU1654)</f>
        <v>15454.979999999814</v>
      </c>
      <c r="BI1654" s="318">
        <f>SUMIFS($AU$1388:AU1655,$Q$1388:Q1655,"F")</f>
        <v>10148.400000000001</v>
      </c>
      <c r="BJ1654" s="318">
        <f>SUMIFS($AU$1388:AU1655,$Q$1388:Q1655,"S")</f>
        <v>3279.9999999999918</v>
      </c>
      <c r="BK1654" s="343">
        <f>SUMIFS($AU$1388:AU1655,$P$1388:P1655,"W")</f>
        <v>8717.579999999929</v>
      </c>
      <c r="BL1654" s="343">
        <f>SUMIFS($AU$1388:AU1655,$P$1388:P1655,"R")</f>
        <v>4981.9999999999991</v>
      </c>
      <c r="BM1654" s="343">
        <f>SUMIFS($AU$1388:AU1655,$AQ$1388:AQ1655,"M")</f>
        <v>5219.3799999995472</v>
      </c>
      <c r="BN1654" s="343">
        <f>SUMIFS($AU$1388:AU1655,$AQ$1388:AQ1655,"H")</f>
        <v>2931.2000000002599</v>
      </c>
      <c r="BO1654" s="343">
        <f>SUMIFS($AU$1388:AU1655,$AQ$1388:AQ1655,"D")</f>
        <v>2066.0000000000009</v>
      </c>
      <c r="BP1654" s="343">
        <f>SUMIFS($AU$1388:AU1742,$AQ$1388:AQ1742,"W")</f>
        <v>12022.400000000001</v>
      </c>
      <c r="BQ1654" s="343">
        <f>SUMIFS($AU$1388:AU1655,$Q$1388:Q1655,"O")</f>
        <v>1770.5799999998073</v>
      </c>
      <c r="BR1654" s="343">
        <f>SUMIFS($AU$1388:AU1655,$AA$1388:AA1655,"*")</f>
        <v>13239.799999999701</v>
      </c>
      <c r="BS1654" s="343">
        <f>SUMIFS($AU$1388:AU1655,$AB$1388:AB1655,"*")</f>
        <v>4007.1799999999307</v>
      </c>
      <c r="BT1654" s="343">
        <f>SUMIFS($AU$1388:AU1655,$AC$1388:AC1655,"*")</f>
        <v>7028.4</v>
      </c>
      <c r="BU1654" s="343">
        <f>SUMIFS($AU$1388:AU1655,$AA$1388:AA1655,"*",$AB$1388:AB1655,"*")</f>
        <v>1855.9999999998222</v>
      </c>
      <c r="BV1654" s="343">
        <f>SUMIFS($AU$1388:AU1655,$AA$1388:AA1655,"*",$AC$1388:AC1655,"*")</f>
        <v>6564.4</v>
      </c>
      <c r="BW1654" s="343">
        <f>SUMIFS($AU$1388:AU1655,$AB$1388:AB1655,"*",$AC$1388:AC1655,"*")</f>
        <v>719.99999999999818</v>
      </c>
      <c r="BX1654" s="343">
        <f>SUMIFS($AV$1388:AV1655,$Q$1388:Q1655,"F")</f>
        <v>237.28119764293677</v>
      </c>
      <c r="BY1654" s="343">
        <f>SUMIFS($AV$1388:AV1655,$Q$1388:Q1655,"S")</f>
        <v>280.74781249396256</v>
      </c>
      <c r="BZ1654" s="343">
        <f>SUMIFS($AV$1388:AV1655,$Q$1388:Q1655,"O")</f>
        <v>520.73999999985608</v>
      </c>
    </row>
    <row r="1655" spans="1:78" ht="15.75" customHeight="1">
      <c r="A1655" s="177" t="s">
        <v>5612</v>
      </c>
      <c r="B1655" s="200">
        <v>45355</v>
      </c>
      <c r="C1655" s="178" t="s">
        <v>5636</v>
      </c>
      <c r="D1655" s="178" t="s">
        <v>132</v>
      </c>
      <c r="E1655" s="227"/>
      <c r="F1655" s="180"/>
      <c r="G1655" s="484" t="s">
        <v>5012</v>
      </c>
      <c r="H1655" s="182"/>
      <c r="I1655" s="182"/>
      <c r="J1655" s="182"/>
      <c r="K1655" s="183"/>
      <c r="L1655" s="182">
        <v>1</v>
      </c>
      <c r="M1655" s="182"/>
      <c r="N1655" s="182"/>
      <c r="O1655" s="183" t="s">
        <v>2652</v>
      </c>
      <c r="P1655" s="183" t="s">
        <v>137</v>
      </c>
      <c r="Q1655" s="183"/>
      <c r="R1655" s="183">
        <v>2</v>
      </c>
      <c r="S1655" s="183">
        <v>0</v>
      </c>
      <c r="T1655" s="183">
        <v>2</v>
      </c>
      <c r="U1655" s="183" t="s">
        <v>97</v>
      </c>
      <c r="V1655" s="183"/>
      <c r="W1655" s="183"/>
      <c r="X1655" s="183"/>
      <c r="Y1655" s="184">
        <f>IF(ISBLANK(O1655),"",(IF(O1655=UPPER("IB"),0.005,0.01)))</f>
        <v>0.01</v>
      </c>
      <c r="Z1655" s="185">
        <f>IF(ISBLANK(O1655),"",IF(O1655="IB",8.63*200,IF(O1655="IR",16*100,IF(O1655="YT",20*100,IF(O1655="YT-XT",24*200,IF(O1655="TED",80*100))))))</f>
        <v>8000</v>
      </c>
      <c r="AA1655" s="185" t="s">
        <v>99</v>
      </c>
      <c r="AB1655" s="185"/>
      <c r="AC1655" s="185"/>
      <c r="AD1655" s="649">
        <v>-0.06</v>
      </c>
      <c r="AE1655" s="182"/>
      <c r="AF1655" s="332"/>
      <c r="AG1655" s="182"/>
      <c r="AH1655" s="182"/>
      <c r="AI1655" s="182"/>
      <c r="AJ1655" s="640"/>
      <c r="AK1655" s="182"/>
      <c r="AL1655" s="496">
        <f t="shared" si="479"/>
        <v>-160</v>
      </c>
      <c r="AM1655" s="496">
        <f t="shared" si="478"/>
        <v>-320</v>
      </c>
      <c r="AN1655" s="626"/>
      <c r="AO1655" s="182"/>
      <c r="AP1655" s="182" t="s">
        <v>4832</v>
      </c>
      <c r="AQ1655" s="332" t="s">
        <v>372</v>
      </c>
      <c r="AR1655" s="182" t="s">
        <v>5637</v>
      </c>
      <c r="AS1655" s="189">
        <v>-0.06</v>
      </c>
      <c r="AT1655" s="189">
        <f>IF(ISBLANK(AS1655),,IF(U1655="S",AD1655-AS1655,AS1655-AD1655))</f>
        <v>0</v>
      </c>
      <c r="AU1655" s="187">
        <f>AV1655*R1655</f>
        <v>0</v>
      </c>
      <c r="AV1655" s="190">
        <f t="shared" si="480"/>
        <v>0</v>
      </c>
      <c r="AW1655" s="191" t="s">
        <v>115</v>
      </c>
      <c r="AX1655" s="549" t="s">
        <v>5638</v>
      </c>
      <c r="AY1655" s="549"/>
      <c r="AZ1655" s="551"/>
      <c r="BA1655" s="549"/>
      <c r="BB1655" s="551"/>
      <c r="BC1655" s="551"/>
      <c r="BD1655" s="549"/>
      <c r="BE1655" s="550"/>
      <c r="BF1655" s="549"/>
      <c r="BG1655" s="391">
        <f>SUM($AV$1389:AV1655)</f>
        <v>1246.7690101367634</v>
      </c>
      <c r="BH1655" s="392">
        <f>SUM($AU$1389:AU1655)</f>
        <v>15454.979999999814</v>
      </c>
      <c r="BI1655" s="318">
        <f>SUMIFS($AU$1388:AU1656,$Q$1388:Q1656,"F")</f>
        <v>10148.400000000001</v>
      </c>
      <c r="BJ1655" s="318">
        <f>SUMIFS($AU$1388:AU1656,$Q$1388:Q1656,"S")</f>
        <v>3279.9999999999918</v>
      </c>
      <c r="BK1655" s="343">
        <f>SUMIFS($AU$1388:AU1656,$P$1388:P1656,"W")</f>
        <v>8717.579999999929</v>
      </c>
      <c r="BL1655" s="343">
        <f>SUMIFS($AU$1388:AU1656,$P$1388:P1656,"R")</f>
        <v>4981.9999999999991</v>
      </c>
      <c r="BM1655" s="343">
        <f>SUMIFS($AU$1388:AU1656,$AQ$1388:AQ1656,"M")</f>
        <v>5219.3799999995472</v>
      </c>
      <c r="BN1655" s="343">
        <f>SUMIFS($AU$1388:AU1656,$AQ$1388:AQ1656,"H")</f>
        <v>2931.2000000002599</v>
      </c>
      <c r="BO1655" s="343">
        <f>SUMIFS($AU$1388:AU1656,$AQ$1388:AQ1656,"D")</f>
        <v>2066.0000000000009</v>
      </c>
      <c r="BP1655" s="343">
        <f>SUMIFS($AU$1388:AU1743,$AQ$1388:AQ1743,"W")</f>
        <v>12022.400000000001</v>
      </c>
      <c r="BQ1655" s="343">
        <f>SUMIFS($AU$1388:AU1656,$Q$1388:Q1656,"O")</f>
        <v>1770.5799999998073</v>
      </c>
      <c r="BR1655" s="343">
        <f>SUMIFS($AU$1388:AU1656,$AA$1388:AA1656,"*")</f>
        <v>13239.799999999701</v>
      </c>
      <c r="BS1655" s="343">
        <f>SUMIFS($AU$1388:AU1656,$AB$1388:AB1656,"*")</f>
        <v>4007.1799999999307</v>
      </c>
      <c r="BT1655" s="343">
        <f>SUMIFS($AU$1388:AU1656,$AC$1388:AC1656,"*")</f>
        <v>7028.4</v>
      </c>
      <c r="BU1655" s="343">
        <f>SUMIFS($AU$1388:AU1656,$AA$1388:AA1656,"*",$AB$1388:AB1656,"*")</f>
        <v>1855.9999999998222</v>
      </c>
      <c r="BV1655" s="343">
        <f>SUMIFS($AU$1388:AU1656,$AA$1388:AA1656,"*",$AC$1388:AC1656,"*")</f>
        <v>6564.4</v>
      </c>
      <c r="BW1655" s="343">
        <f>SUMIFS($AU$1388:AU1656,$AB$1388:AB1656,"*",$AC$1388:AC1656,"*")</f>
        <v>719.99999999999818</v>
      </c>
      <c r="BX1655" s="343">
        <f>SUMIFS($AV$1388:AV1656,$Q$1388:Q1656,"F")</f>
        <v>237.28119764293677</v>
      </c>
      <c r="BY1655" s="343">
        <f>SUMIFS($AV$1388:AV1656,$Q$1388:Q1656,"S")</f>
        <v>280.74781249396256</v>
      </c>
      <c r="BZ1655" s="343">
        <f>SUMIFS($AV$1388:AV1656,$Q$1388:Q1656,"O")</f>
        <v>520.73999999985608</v>
      </c>
    </row>
    <row r="1656" spans="1:78" ht="15.75" customHeight="1">
      <c r="A1656" s="177" t="s">
        <v>5612</v>
      </c>
      <c r="B1656" s="200"/>
      <c r="C1656" s="178"/>
      <c r="D1656" s="178"/>
      <c r="E1656" s="227"/>
      <c r="F1656" s="180"/>
      <c r="G1656" s="181"/>
      <c r="H1656" s="182"/>
      <c r="I1656" s="182"/>
      <c r="J1656" s="182"/>
      <c r="K1656" s="183"/>
      <c r="L1656" s="182"/>
      <c r="M1656" s="182"/>
      <c r="N1656" s="182"/>
      <c r="O1656" s="183"/>
      <c r="P1656" s="183"/>
      <c r="Q1656" s="183"/>
      <c r="R1656" s="183"/>
      <c r="S1656" s="183"/>
      <c r="T1656" s="183"/>
      <c r="U1656" s="183"/>
      <c r="V1656" s="183"/>
      <c r="W1656" s="183"/>
      <c r="X1656" s="183"/>
      <c r="Y1656" s="184"/>
      <c r="Z1656" s="185"/>
      <c r="AA1656" s="185"/>
      <c r="AB1656" s="185"/>
      <c r="AC1656" s="185"/>
      <c r="AD1656" s="649"/>
      <c r="AE1656" s="182"/>
      <c r="AF1656" s="332"/>
      <c r="AG1656" s="182"/>
      <c r="AH1656" s="182"/>
      <c r="AI1656" s="182"/>
      <c r="AJ1656" s="640"/>
      <c r="AK1656" s="182"/>
      <c r="AL1656" s="496">
        <f t="shared" si="479"/>
        <v>0</v>
      </c>
      <c r="AM1656" s="496">
        <f t="shared" si="478"/>
        <v>0</v>
      </c>
      <c r="AN1656" s="626"/>
      <c r="AO1656" s="182"/>
      <c r="AP1656" s="182"/>
      <c r="AQ1656" s="332"/>
      <c r="AR1656" s="182"/>
      <c r="AS1656" s="189"/>
      <c r="AT1656" s="189"/>
      <c r="AU1656" s="187"/>
      <c r="AV1656" s="190"/>
      <c r="AW1656" s="191"/>
      <c r="AX1656" s="549" t="s">
        <v>5639</v>
      </c>
      <c r="AY1656" s="549" t="s">
        <v>5640</v>
      </c>
      <c r="AZ1656" s="551" t="s">
        <v>5641</v>
      </c>
      <c r="BA1656" s="549" t="s">
        <v>5642</v>
      </c>
      <c r="BB1656" s="551"/>
      <c r="BC1656" s="551"/>
      <c r="BD1656" s="549" t="s">
        <v>5643</v>
      </c>
      <c r="BE1656" s="550" t="s">
        <v>5644</v>
      </c>
      <c r="BF1656" s="549"/>
      <c r="BG1656" s="391">
        <f>SUM($AV$1389:AV1656)</f>
        <v>1246.7690101367634</v>
      </c>
      <c r="BH1656" s="392">
        <f>SUM($AU$1389:AU1656)</f>
        <v>15454.979999999814</v>
      </c>
      <c r="BI1656" s="318">
        <f>SUMIFS($AU$1388:AU1657,$Q$1388:Q1657,"F")</f>
        <v>10148.400000000001</v>
      </c>
      <c r="BJ1656" s="318">
        <f>SUMIFS($AU$1388:AU1657,$Q$1388:Q1657,"S")</f>
        <v>3279.9999999999918</v>
      </c>
      <c r="BK1656" s="343">
        <f>SUMIFS($AU$1388:AU1657,$P$1388:P1657,"W")</f>
        <v>8717.579999999929</v>
      </c>
      <c r="BL1656" s="343">
        <f>SUMIFS($AU$1388:AU1657,$P$1388:P1657,"R")</f>
        <v>4981.9999999999991</v>
      </c>
      <c r="BM1656" s="343">
        <f>SUMIFS($AU$1388:AU1657,$AQ$1388:AQ1657,"M")</f>
        <v>5219.3799999995472</v>
      </c>
      <c r="BN1656" s="343">
        <f>SUMIFS($AU$1388:AU1657,$AQ$1388:AQ1657,"H")</f>
        <v>2931.2000000002599</v>
      </c>
      <c r="BO1656" s="343">
        <f>SUMIFS($AU$1388:AU1657,$AQ$1388:AQ1657,"D")</f>
        <v>2066.0000000000009</v>
      </c>
      <c r="BP1656" s="343">
        <f>SUMIFS($AU$1388:AU1744,$AQ$1388:AQ1744,"W")</f>
        <v>12022.400000000001</v>
      </c>
      <c r="BQ1656" s="343">
        <f>SUMIFS($AU$1388:AU1657,$Q$1388:Q1657,"O")</f>
        <v>1770.5799999998073</v>
      </c>
      <c r="BR1656" s="343">
        <f>SUMIFS($AU$1388:AU1657,$AA$1388:AA1657,"*")</f>
        <v>13239.799999999701</v>
      </c>
      <c r="BS1656" s="343">
        <f>SUMIFS($AU$1388:AU1657,$AB$1388:AB1657,"*")</f>
        <v>4007.1799999999307</v>
      </c>
      <c r="BT1656" s="343">
        <f>SUMIFS($AU$1388:AU1657,$AC$1388:AC1657,"*")</f>
        <v>7028.4</v>
      </c>
      <c r="BU1656" s="343">
        <f>SUMIFS($AU$1388:AU1657,$AA$1388:AA1657,"*",$AB$1388:AB1657,"*")</f>
        <v>1855.9999999998222</v>
      </c>
      <c r="BV1656" s="343">
        <f>SUMIFS($AU$1388:AU1657,$AA$1388:AA1657,"*",$AC$1388:AC1657,"*")</f>
        <v>6564.4</v>
      </c>
      <c r="BW1656" s="343">
        <f>SUMIFS($AU$1388:AU1657,$AB$1388:AB1657,"*",$AC$1388:AC1657,"*")</f>
        <v>719.99999999999818</v>
      </c>
      <c r="BX1656" s="343">
        <f>SUMIFS($AV$1388:AV1657,$Q$1388:Q1657,"F")</f>
        <v>237.28119764293677</v>
      </c>
      <c r="BY1656" s="343">
        <f>SUMIFS($AV$1388:AV1657,$Q$1388:Q1657,"S")</f>
        <v>280.74781249396256</v>
      </c>
      <c r="BZ1656" s="343">
        <f>SUMIFS($AV$1388:AV1657,$Q$1388:Q1657,"O")</f>
        <v>520.73999999985608</v>
      </c>
    </row>
    <row r="1657" spans="1:78" ht="15.75" customHeight="1">
      <c r="A1657" s="177" t="s">
        <v>5612</v>
      </c>
      <c r="B1657" s="200">
        <v>45356</v>
      </c>
      <c r="C1657" s="178" t="s">
        <v>5645</v>
      </c>
      <c r="D1657" s="178" t="s">
        <v>146</v>
      </c>
      <c r="E1657" s="227"/>
      <c r="F1657" s="180"/>
      <c r="G1657" s="481" t="s">
        <v>5012</v>
      </c>
      <c r="H1657" s="182"/>
      <c r="I1657" s="182"/>
      <c r="J1657" s="182"/>
      <c r="K1657" s="183"/>
      <c r="L1657" s="182">
        <v>1</v>
      </c>
      <c r="M1657" s="182"/>
      <c r="N1657" s="182"/>
      <c r="O1657" s="183" t="s">
        <v>2652</v>
      </c>
      <c r="P1657" s="183" t="s">
        <v>137</v>
      </c>
      <c r="Q1657" s="183"/>
      <c r="R1657" s="183">
        <v>2</v>
      </c>
      <c r="S1657" s="183">
        <v>0</v>
      </c>
      <c r="T1657" s="183">
        <v>1</v>
      </c>
      <c r="U1657" s="183" t="s">
        <v>22</v>
      </c>
      <c r="V1657" s="183"/>
      <c r="W1657" s="183"/>
      <c r="X1657" s="183"/>
      <c r="Y1657" s="184">
        <f>IF(ISBLANK(O1657),"",(IF(O1657=UPPER("IB"),0.005,0.01)))</f>
        <v>0.01</v>
      </c>
      <c r="Z1657" s="185">
        <f>IF(ISBLANK(O1657),"",IF(O1657="IB",8.63*200,IF(O1657="IR",16*100,IF(O1657="YT",20*100,IF(O1657="YT-XT",24*200,IF(O1657="TED",80*100))))))</f>
        <v>8000</v>
      </c>
      <c r="AA1657" s="185" t="s">
        <v>99</v>
      </c>
      <c r="AB1657" s="185"/>
      <c r="AC1657" s="185"/>
      <c r="AD1657" s="649">
        <v>-7.0000000000000007E-2</v>
      </c>
      <c r="AE1657" s="182"/>
      <c r="AF1657" s="332"/>
      <c r="AG1657" s="182"/>
      <c r="AH1657" s="182"/>
      <c r="AI1657" s="182"/>
      <c r="AJ1657" s="640"/>
      <c r="AK1657" s="182"/>
      <c r="AL1657" s="496">
        <f t="shared" ref="AL1657:AL1668" si="481">-0.02*Z1657</f>
        <v>-160</v>
      </c>
      <c r="AM1657" s="496">
        <f t="shared" si="478"/>
        <v>-320</v>
      </c>
      <c r="AN1657" s="626" t="s">
        <v>5646</v>
      </c>
      <c r="AO1657" s="182"/>
      <c r="AP1657" s="182" t="s">
        <v>5647</v>
      </c>
      <c r="AQ1657" s="332" t="s">
        <v>372</v>
      </c>
      <c r="AR1657" s="182" t="s">
        <v>5648</v>
      </c>
      <c r="AS1657" s="189">
        <v>-7.0000000000000007E-2</v>
      </c>
      <c r="AT1657" s="189">
        <f>IF(ISBLANK(AS1657),,IF(U1657="S",AD1657-AS1657,AS1657-AD1657))</f>
        <v>0</v>
      </c>
      <c r="AU1657" s="187">
        <f>AV1657*R1657</f>
        <v>0</v>
      </c>
      <c r="AV1657" s="190">
        <f t="shared" ref="AV1657" si="482">IF(ISBLANK(AS1657),,(AT1657*Z1657))</f>
        <v>0</v>
      </c>
      <c r="AW1657" s="191" t="s">
        <v>115</v>
      </c>
      <c r="AX1657" s="551" t="s">
        <v>5649</v>
      </c>
      <c r="AY1657" s="551"/>
      <c r="AZ1657" s="551"/>
      <c r="BA1657" s="551"/>
      <c r="BB1657" s="551"/>
      <c r="BC1657" s="551"/>
      <c r="BD1657" s="549"/>
      <c r="BE1657" s="550"/>
      <c r="BF1657" s="549"/>
      <c r="BG1657" s="391">
        <f>SUM($AV$1389:AV1657)</f>
        <v>1246.7690101367634</v>
      </c>
      <c r="BH1657" s="392">
        <f>SUM($AU$1389:AU1657)</f>
        <v>15454.979999999814</v>
      </c>
      <c r="BI1657" s="318">
        <f>SUMIFS($AU$1388:AU1658,$Q$1388:Q1658,"F")</f>
        <v>10148.400000000001</v>
      </c>
      <c r="BJ1657" s="318">
        <f>SUMIFS($AU$1388:AU1658,$Q$1388:Q1658,"S")</f>
        <v>3279.9999999999918</v>
      </c>
      <c r="BK1657" s="343">
        <f>SUMIFS($AU$1388:AU1658,$P$1388:P1658,"W")</f>
        <v>8717.579999999929</v>
      </c>
      <c r="BL1657" s="343">
        <f>SUMIFS($AU$1388:AU1658,$P$1388:P1658,"R")</f>
        <v>4981.9999999999991</v>
      </c>
      <c r="BM1657" s="343">
        <f>SUMIFS($AU$1388:AU1658,$AQ$1388:AQ1658,"M")</f>
        <v>5219.3799999995472</v>
      </c>
      <c r="BN1657" s="343">
        <f>SUMIFS($AU$1388:AU1658,$AQ$1388:AQ1658,"H")</f>
        <v>2931.2000000002599</v>
      </c>
      <c r="BO1657" s="343">
        <f>SUMIFS($AU$1388:AU1658,$AQ$1388:AQ1658,"D")</f>
        <v>2066.0000000000009</v>
      </c>
      <c r="BP1657" s="343">
        <f>SUMIFS($AU$1388:AU1745,$AQ$1388:AQ1745,"W")</f>
        <v>12022.400000000001</v>
      </c>
      <c r="BQ1657" s="343">
        <f>SUMIFS($AU$1388:AU1658,$Q$1388:Q1658,"O")</f>
        <v>1770.5799999998073</v>
      </c>
      <c r="BR1657" s="343">
        <f>SUMIFS($AU$1388:AU1658,$AA$1388:AA1658,"*")</f>
        <v>13239.799999999701</v>
      </c>
      <c r="BS1657" s="343">
        <f>SUMIFS($AU$1388:AU1658,$AB$1388:AB1658,"*")</f>
        <v>4007.1799999999307</v>
      </c>
      <c r="BT1657" s="343">
        <f>SUMIFS($AU$1388:AU1658,$AC$1388:AC1658,"*")</f>
        <v>7028.4</v>
      </c>
      <c r="BU1657" s="343">
        <f>SUMIFS($AU$1388:AU1658,$AA$1388:AA1658,"*",$AB$1388:AB1658,"*")</f>
        <v>1855.9999999998222</v>
      </c>
      <c r="BV1657" s="343">
        <f>SUMIFS($AU$1388:AU1658,$AA$1388:AA1658,"*",$AC$1388:AC1658,"*")</f>
        <v>6564.4</v>
      </c>
      <c r="BW1657" s="343">
        <f>SUMIFS($AU$1388:AU1658,$AB$1388:AB1658,"*",$AC$1388:AC1658,"*")</f>
        <v>719.99999999999818</v>
      </c>
      <c r="BX1657" s="343">
        <f>SUMIFS($AV$1388:AV1658,$Q$1388:Q1658,"F")</f>
        <v>237.28119764293677</v>
      </c>
      <c r="BY1657" s="343">
        <f>SUMIFS($AV$1388:AV1658,$Q$1388:Q1658,"S")</f>
        <v>280.74781249396256</v>
      </c>
      <c r="BZ1657" s="343">
        <f>SUMIFS($AV$1388:AV1658,$Q$1388:Q1658,"O")</f>
        <v>520.73999999985608</v>
      </c>
    </row>
    <row r="1658" spans="1:78" ht="15.75" customHeight="1">
      <c r="A1658" s="177" t="s">
        <v>5612</v>
      </c>
      <c r="B1658" s="200">
        <v>45356</v>
      </c>
      <c r="C1658" s="178" t="s">
        <v>1810</v>
      </c>
      <c r="D1658" s="178" t="s">
        <v>146</v>
      </c>
      <c r="E1658" s="227"/>
      <c r="F1658" s="180"/>
      <c r="G1658" s="481" t="s">
        <v>5321</v>
      </c>
      <c r="H1658" s="182"/>
      <c r="I1658" s="182"/>
      <c r="J1658" s="182"/>
      <c r="K1658" s="183"/>
      <c r="L1658" s="182">
        <v>1</v>
      </c>
      <c r="M1658" s="182"/>
      <c r="N1658" s="182"/>
      <c r="O1658" s="183" t="s">
        <v>2652</v>
      </c>
      <c r="P1658" s="183" t="s">
        <v>137</v>
      </c>
      <c r="Q1658" s="183"/>
      <c r="R1658" s="183">
        <v>2</v>
      </c>
      <c r="S1658" s="183">
        <v>0</v>
      </c>
      <c r="T1658" s="183">
        <v>2</v>
      </c>
      <c r="U1658" s="183" t="s">
        <v>22</v>
      </c>
      <c r="V1658" s="183"/>
      <c r="W1658" s="183"/>
      <c r="X1658" s="183"/>
      <c r="Y1658" s="184">
        <f>IF(ISBLANK(O1658),"",(IF(O1658=UPPER("IB"),0.005,0.01)))</f>
        <v>0.01</v>
      </c>
      <c r="Z1658" s="185">
        <f>IF(ISBLANK(O1658),"",IF(O1658="IB",8.63*200,IF(O1658="IR",16*100,IF(O1658="YT",20*100,IF(O1658="YT-XT",24*200,IF(O1658="TED",80*100))))))</f>
        <v>8000</v>
      </c>
      <c r="AA1658" s="185" t="s">
        <v>99</v>
      </c>
      <c r="AB1658" s="185"/>
      <c r="AC1658" s="185"/>
      <c r="AD1658" s="649">
        <v>-0.24</v>
      </c>
      <c r="AE1658" s="182"/>
      <c r="AF1658" s="332"/>
      <c r="AG1658" s="182"/>
      <c r="AH1658" s="182"/>
      <c r="AI1658" s="182"/>
      <c r="AJ1658" s="640"/>
      <c r="AK1658" s="182"/>
      <c r="AL1658" s="496">
        <f t="shared" si="481"/>
        <v>-160</v>
      </c>
      <c r="AM1658" s="496">
        <f t="shared" si="478"/>
        <v>-320</v>
      </c>
      <c r="AN1658" s="626"/>
      <c r="AO1658" s="182"/>
      <c r="AP1658" s="182" t="s">
        <v>1987</v>
      </c>
      <c r="AQ1658" s="332" t="s">
        <v>372</v>
      </c>
      <c r="AR1658" s="182" t="s">
        <v>5650</v>
      </c>
      <c r="AS1658" s="189">
        <v>-0.24</v>
      </c>
      <c r="AT1658" s="189">
        <f>IF(ISBLANK(AS1658),,IF(U1658="S",AD1658-AS1658,AS1658-AD1658))</f>
        <v>0</v>
      </c>
      <c r="AU1658" s="187">
        <f>AV1658*R1658</f>
        <v>0</v>
      </c>
      <c r="AV1658" s="190">
        <f t="shared" ref="AV1658" si="483">IF(ISBLANK(AS1658),,(AT1658*Z1658))</f>
        <v>0</v>
      </c>
      <c r="AW1658" s="191" t="s">
        <v>115</v>
      </c>
      <c r="AX1658" s="551"/>
      <c r="AY1658" s="551"/>
      <c r="AZ1658" s="551"/>
      <c r="BA1658" s="551"/>
      <c r="BB1658" s="551"/>
      <c r="BC1658" s="551"/>
      <c r="BD1658" s="549"/>
      <c r="BE1658" s="550"/>
      <c r="BF1658" s="549"/>
      <c r="BG1658" s="391">
        <f>SUM($AV$1389:AV1658)</f>
        <v>1246.7690101367634</v>
      </c>
      <c r="BH1658" s="392">
        <f>SUM($AU$1389:AU1658)</f>
        <v>15454.979999999814</v>
      </c>
      <c r="BI1658" s="318">
        <f>SUMIFS($AU$1388:AU1659,$Q$1388:Q1659,"F")</f>
        <v>10148.400000000001</v>
      </c>
      <c r="BJ1658" s="318">
        <f>SUMIFS($AU$1388:AU1659,$Q$1388:Q1659,"S")</f>
        <v>3279.9999999999918</v>
      </c>
      <c r="BK1658" s="343">
        <f>SUMIFS($AU$1388:AU1659,$P$1388:P1659,"W")</f>
        <v>8717.579999999929</v>
      </c>
      <c r="BL1658" s="343">
        <f>SUMIFS($AU$1388:AU1659,$P$1388:P1659,"R")</f>
        <v>4981.9999999999991</v>
      </c>
      <c r="BM1658" s="343">
        <f>SUMIFS($AU$1388:AU1659,$AQ$1388:AQ1659,"M")</f>
        <v>5219.3799999995472</v>
      </c>
      <c r="BN1658" s="343">
        <f>SUMIFS($AU$1388:AU1659,$AQ$1388:AQ1659,"H")</f>
        <v>2931.2000000002599</v>
      </c>
      <c r="BO1658" s="343">
        <f>SUMIFS($AU$1388:AU1659,$AQ$1388:AQ1659,"D")</f>
        <v>2066.0000000000009</v>
      </c>
      <c r="BP1658" s="343">
        <f>SUMIFS($AU$1388:AU1746,$AQ$1388:AQ1746,"W")</f>
        <v>12022.400000000001</v>
      </c>
      <c r="BQ1658" s="343">
        <f>SUMIFS($AU$1388:AU1659,$Q$1388:Q1659,"O")</f>
        <v>1770.5799999998073</v>
      </c>
      <c r="BR1658" s="343">
        <f>SUMIFS($AU$1388:AU1659,$AA$1388:AA1659,"*")</f>
        <v>13239.799999999701</v>
      </c>
      <c r="BS1658" s="343">
        <f>SUMIFS($AU$1388:AU1659,$AB$1388:AB1659,"*")</f>
        <v>4007.1799999999307</v>
      </c>
      <c r="BT1658" s="343">
        <f>SUMIFS($AU$1388:AU1659,$AC$1388:AC1659,"*")</f>
        <v>7028.4</v>
      </c>
      <c r="BU1658" s="343">
        <f>SUMIFS($AU$1388:AU1659,$AA$1388:AA1659,"*",$AB$1388:AB1659,"*")</f>
        <v>1855.9999999998222</v>
      </c>
      <c r="BV1658" s="343">
        <f>SUMIFS($AU$1388:AU1659,$AA$1388:AA1659,"*",$AC$1388:AC1659,"*")</f>
        <v>6564.4</v>
      </c>
      <c r="BW1658" s="343">
        <f>SUMIFS($AU$1388:AU1659,$AB$1388:AB1659,"*",$AC$1388:AC1659,"*")</f>
        <v>719.99999999999818</v>
      </c>
      <c r="BX1658" s="343">
        <f>SUMIFS($AV$1388:AV1659,$Q$1388:Q1659,"F")</f>
        <v>237.28119764293677</v>
      </c>
      <c r="BY1658" s="343">
        <f>SUMIFS($AV$1388:AV1659,$Q$1388:Q1659,"S")</f>
        <v>280.74781249396256</v>
      </c>
      <c r="BZ1658" s="343">
        <f>SUMIFS($AV$1388:AV1659,$Q$1388:Q1659,"O")</f>
        <v>520.73999999985608</v>
      </c>
    </row>
    <row r="1659" spans="1:78" ht="15.75" customHeight="1">
      <c r="A1659" s="177" t="s">
        <v>5612</v>
      </c>
      <c r="B1659" s="200">
        <v>45356</v>
      </c>
      <c r="C1659" s="178" t="s">
        <v>3137</v>
      </c>
      <c r="D1659" s="178" t="s">
        <v>146</v>
      </c>
      <c r="E1659" s="227" t="s">
        <v>5651</v>
      </c>
      <c r="F1659" s="180" t="s">
        <v>5236</v>
      </c>
      <c r="G1659" s="181"/>
      <c r="H1659" s="182"/>
      <c r="I1659" s="182"/>
      <c r="J1659" s="182">
        <v>1</v>
      </c>
      <c r="K1659" s="183" t="s">
        <v>115</v>
      </c>
      <c r="L1659" s="182"/>
      <c r="M1659" s="182"/>
      <c r="N1659" s="182"/>
      <c r="O1659" s="183"/>
      <c r="P1659" s="183"/>
      <c r="Q1659" s="183"/>
      <c r="R1659" s="183"/>
      <c r="S1659" s="183"/>
      <c r="T1659" s="183"/>
      <c r="U1659" s="183"/>
      <c r="V1659" s="183"/>
      <c r="W1659" s="183"/>
      <c r="X1659" s="183"/>
      <c r="Y1659" s="183"/>
      <c r="Z1659" s="183"/>
      <c r="AA1659" s="185"/>
      <c r="AB1659" s="185"/>
      <c r="AC1659" s="185"/>
      <c r="AD1659" s="649"/>
      <c r="AE1659" s="182"/>
      <c r="AF1659" s="332"/>
      <c r="AG1659" s="182"/>
      <c r="AH1659" s="182"/>
      <c r="AI1659" s="182"/>
      <c r="AJ1659" s="640"/>
      <c r="AK1659" s="182"/>
      <c r="AL1659" s="496">
        <f t="shared" si="481"/>
        <v>0</v>
      </c>
      <c r="AM1659" s="496">
        <f t="shared" si="478"/>
        <v>0</v>
      </c>
      <c r="AN1659" s="626"/>
      <c r="AO1659" s="182"/>
      <c r="AP1659" s="182"/>
      <c r="AQ1659" s="332" t="str">
        <f>UPPER(RIGHT(Journal_Live[[#This Row],[DURATION ]]))</f>
        <v/>
      </c>
      <c r="AR1659" s="182"/>
      <c r="AS1659" s="189"/>
      <c r="AT1659" s="189">
        <f>IF(ISBLANK(AS1659),,IF(U1659="S",AD1659-AS1659,AS1659-AD1659))</f>
        <v>0</v>
      </c>
      <c r="AU1659" s="187">
        <f>AV1659*R1659</f>
        <v>0</v>
      </c>
      <c r="AV1659" s="190">
        <f t="shared" ref="AV1659" si="484">IF(ISBLANK(AS1659),,(AT1659*Z1659))</f>
        <v>0</v>
      </c>
      <c r="AW1659" s="191"/>
      <c r="AX1659" s="551"/>
      <c r="AY1659" s="551"/>
      <c r="AZ1659" s="551"/>
      <c r="BA1659" s="551"/>
      <c r="BB1659" s="551"/>
      <c r="BC1659" s="551"/>
      <c r="BD1659" s="549"/>
      <c r="BE1659" s="550"/>
      <c r="BF1659" s="549"/>
      <c r="BG1659" s="391">
        <f>SUM($AV$1389:AV1659)</f>
        <v>1246.7690101367634</v>
      </c>
      <c r="BH1659" s="392">
        <f>SUM($AU$1389:AU1659)</f>
        <v>15454.979999999814</v>
      </c>
      <c r="BI1659" s="318">
        <f>SUMIFS($AU$1388:AU1660,$Q$1388:Q1660,"F")</f>
        <v>12708.400000000001</v>
      </c>
      <c r="BJ1659" s="318">
        <f>SUMIFS($AU$1388:AU1660,$Q$1388:Q1660,"S")</f>
        <v>3279.9999999999918</v>
      </c>
      <c r="BK1659" s="343">
        <f>SUMIFS($AU$1388:AU1660,$P$1388:P1660,"W")</f>
        <v>11277.579999999929</v>
      </c>
      <c r="BL1659" s="343">
        <f>SUMIFS($AU$1388:AU1660,$P$1388:P1660,"R")</f>
        <v>4981.9999999999991</v>
      </c>
      <c r="BM1659" s="343">
        <f>SUMIFS($AU$1388:AU1660,$AQ$1388:AQ1660,"M")</f>
        <v>5219.3799999995472</v>
      </c>
      <c r="BN1659" s="343">
        <f>SUMIFS($AU$1388:AU1660,$AQ$1388:AQ1660,"H")</f>
        <v>2931.2000000002599</v>
      </c>
      <c r="BO1659" s="343">
        <f>SUMIFS($AU$1388:AU1660,$AQ$1388:AQ1660,"D")</f>
        <v>4626.0000000000009</v>
      </c>
      <c r="BP1659" s="343">
        <f>SUMIFS($AU$1388:AU1747,$AQ$1388:AQ1747,"W")</f>
        <v>12022.400000000001</v>
      </c>
      <c r="BQ1659" s="343">
        <f>SUMIFS($AU$1388:AU1660,$Q$1388:Q1660,"O")</f>
        <v>1770.5799999998073</v>
      </c>
      <c r="BR1659" s="343">
        <f>SUMIFS($AU$1388:AU1660,$AA$1388:AA1660,"*")</f>
        <v>15799.799999999701</v>
      </c>
      <c r="BS1659" s="343">
        <f>SUMIFS($AU$1388:AU1660,$AB$1388:AB1660,"*")</f>
        <v>6567.1799999999312</v>
      </c>
      <c r="BT1659" s="343">
        <f>SUMIFS($AU$1388:AU1660,$AC$1388:AC1660,"*")</f>
        <v>9588.4</v>
      </c>
      <c r="BU1659" s="343">
        <f>SUMIFS($AU$1388:AU1660,$AA$1388:AA1660,"*",$AB$1388:AB1660,"*")</f>
        <v>4415.9999999998217</v>
      </c>
      <c r="BV1659" s="343">
        <f>SUMIFS($AU$1388:AU1660,$AA$1388:AA1660,"*",$AC$1388:AC1660,"*")</f>
        <v>9124.4</v>
      </c>
      <c r="BW1659" s="343">
        <f>SUMIFS($AU$1388:AU1660,$AB$1388:AB1660,"*",$AC$1388:AC1660,"*")</f>
        <v>3279.9999999999982</v>
      </c>
      <c r="BX1659" s="343">
        <f>SUMIFS($AV$1388:AV1660,$Q$1388:Q1660,"F")</f>
        <v>279.94786430960346</v>
      </c>
      <c r="BY1659" s="343">
        <f>SUMIFS($AV$1388:AV1660,$Q$1388:Q1660,"S")</f>
        <v>280.74781249396256</v>
      </c>
      <c r="BZ1659" s="343">
        <f>SUMIFS($AV$1388:AV1660,$Q$1388:Q1660,"O")</f>
        <v>520.73999999985608</v>
      </c>
    </row>
    <row r="1660" spans="1:78" ht="15.75" customHeight="1">
      <c r="A1660" s="177" t="s">
        <v>5612</v>
      </c>
      <c r="B1660" s="200">
        <v>45356</v>
      </c>
      <c r="C1660" s="178" t="s">
        <v>682</v>
      </c>
      <c r="D1660" s="178" t="s">
        <v>146</v>
      </c>
      <c r="E1660" s="227"/>
      <c r="F1660" s="180"/>
      <c r="G1660" s="553" t="s">
        <v>3467</v>
      </c>
      <c r="H1660" s="182"/>
      <c r="I1660" s="182"/>
      <c r="J1660" s="182"/>
      <c r="K1660" s="183"/>
      <c r="L1660" s="182">
        <v>1</v>
      </c>
      <c r="M1660" s="182">
        <v>1</v>
      </c>
      <c r="N1660" s="182"/>
      <c r="O1660" s="183" t="s">
        <v>95</v>
      </c>
      <c r="P1660" s="183" t="s">
        <v>96</v>
      </c>
      <c r="Q1660" s="183" t="s">
        <v>256</v>
      </c>
      <c r="R1660" s="183">
        <v>60</v>
      </c>
      <c r="S1660" s="183">
        <v>40</v>
      </c>
      <c r="T1660" s="183">
        <v>20</v>
      </c>
      <c r="U1660" s="183" t="s">
        <v>22</v>
      </c>
      <c r="V1660" s="183"/>
      <c r="W1660" s="183"/>
      <c r="X1660" s="183"/>
      <c r="Y1660" s="184">
        <f>IF(ISBLANK(O1660),"",(IF(O1660=UPPER("IB"),0.005,0.01)))</f>
        <v>0.01</v>
      </c>
      <c r="Z1660" s="185">
        <f>IF(ISBLANK(O1660),"",IF(O1660="IB",8.63*200,IF(O1660="IR",16*100,IF(O1660="YT",20*100,IF(O1660="YT-XT",24*200,IF(O1660="TED",80*100))))))</f>
        <v>1600</v>
      </c>
      <c r="AA1660" s="185" t="s">
        <v>5652</v>
      </c>
      <c r="AB1660" s="185" t="s">
        <v>5653</v>
      </c>
      <c r="AC1660" s="185" t="s">
        <v>5654</v>
      </c>
      <c r="AD1660" s="649">
        <f>(0*40+0.02*20)/60</f>
        <v>6.6666666666666671E-3</v>
      </c>
      <c r="AE1660" s="182"/>
      <c r="AF1660" s="332"/>
      <c r="AG1660" s="182"/>
      <c r="AH1660" s="182"/>
      <c r="AI1660" s="407" t="s">
        <v>5655</v>
      </c>
      <c r="AJ1660" s="640"/>
      <c r="AK1660" s="182"/>
      <c r="AL1660" s="496">
        <f t="shared" si="481"/>
        <v>-32</v>
      </c>
      <c r="AM1660" s="496">
        <f t="shared" si="478"/>
        <v>-640</v>
      </c>
      <c r="AN1660" s="626"/>
      <c r="AO1660" s="182"/>
      <c r="AP1660" s="182" t="s">
        <v>589</v>
      </c>
      <c r="AQ1660" s="332" t="s">
        <v>115</v>
      </c>
      <c r="AR1660" s="182" t="s">
        <v>5656</v>
      </c>
      <c r="AS1660" s="189">
        <f>(0.03*40+0.04*20)/60</f>
        <v>3.3333333333333333E-2</v>
      </c>
      <c r="AT1660" s="189">
        <f>IF(ISBLANK(AS1660),,IF(U1660="S",AD1660-AS1660,AS1660-AD1660))</f>
        <v>2.6666666666666665E-2</v>
      </c>
      <c r="AU1660" s="187">
        <f>AV1660*R1660</f>
        <v>2560</v>
      </c>
      <c r="AV1660" s="190">
        <f t="shared" ref="AV1660" si="485">IF(ISBLANK(AS1660),,(AT1660*Z1660))</f>
        <v>42.666666666666664</v>
      </c>
      <c r="AW1660" s="191" t="s">
        <v>96</v>
      </c>
      <c r="AX1660" s="551" t="s">
        <v>5657</v>
      </c>
      <c r="AY1660" s="551" t="s">
        <v>5658</v>
      </c>
      <c r="AZ1660" s="551" t="s">
        <v>5659</v>
      </c>
      <c r="BA1660" s="551" t="s">
        <v>3808</v>
      </c>
      <c r="BB1660" s="551" t="s">
        <v>782</v>
      </c>
      <c r="BC1660" s="551" t="s">
        <v>5660</v>
      </c>
      <c r="BD1660" s="549"/>
      <c r="BE1660" s="550"/>
      <c r="BF1660" s="549"/>
      <c r="BG1660" s="391">
        <f>SUM($AV$1389:AV1660)</f>
        <v>1289.4356768034302</v>
      </c>
      <c r="BH1660" s="392">
        <f>SUM($AU$1389:AU1660)</f>
        <v>18014.979999999814</v>
      </c>
      <c r="BI1660" s="318">
        <f>SUMIFS($AU$1388:AU1661,$Q$1388:Q1661,"F")</f>
        <v>12708.400000000001</v>
      </c>
      <c r="BJ1660" s="318">
        <f>SUMIFS($AU$1388:AU1661,$Q$1388:Q1661,"S")</f>
        <v>3279.9999999999918</v>
      </c>
      <c r="BK1660" s="343">
        <f>SUMIFS($AU$1388:AU1661,$P$1388:P1661,"W")</f>
        <v>11277.579999999929</v>
      </c>
      <c r="BL1660" s="343">
        <f>SUMIFS($AU$1388:AU1661,$P$1388:P1661,"R")</f>
        <v>4981.9999999999991</v>
      </c>
      <c r="BM1660" s="343">
        <f>SUMIFS($AU$1388:AU1661,$AQ$1388:AQ1661,"M")</f>
        <v>5219.3799999995472</v>
      </c>
      <c r="BN1660" s="343">
        <f>SUMIFS($AU$1388:AU1661,$AQ$1388:AQ1661,"H")</f>
        <v>2931.2000000002599</v>
      </c>
      <c r="BO1660" s="343">
        <f>SUMIFS($AU$1388:AU1661,$AQ$1388:AQ1661,"D")</f>
        <v>4626.0000000000009</v>
      </c>
      <c r="BP1660" s="343">
        <f>SUMIFS($AU$1388:AU1748,$AQ$1388:AQ1748,"W")</f>
        <v>12022.400000000001</v>
      </c>
      <c r="BQ1660" s="343">
        <f>SUMIFS($AU$1388:AU1661,$Q$1388:Q1661,"O")</f>
        <v>1770.5799999998073</v>
      </c>
      <c r="BR1660" s="343">
        <f>SUMIFS($AU$1388:AU1661,$AA$1388:AA1661,"*")</f>
        <v>15799.799999999701</v>
      </c>
      <c r="BS1660" s="343">
        <f>SUMIFS($AU$1388:AU1661,$AB$1388:AB1661,"*")</f>
        <v>6567.1799999999312</v>
      </c>
      <c r="BT1660" s="343">
        <f>SUMIFS($AU$1388:AU1661,$AC$1388:AC1661,"*")</f>
        <v>9588.4</v>
      </c>
      <c r="BU1660" s="343">
        <f>SUMIFS($AU$1388:AU1661,$AA$1388:AA1661,"*",$AB$1388:AB1661,"*")</f>
        <v>4415.9999999998217</v>
      </c>
      <c r="BV1660" s="343">
        <f>SUMIFS($AU$1388:AU1661,$AA$1388:AA1661,"*",$AC$1388:AC1661,"*")</f>
        <v>9124.4</v>
      </c>
      <c r="BW1660" s="343">
        <f>SUMIFS($AU$1388:AU1661,$AB$1388:AB1661,"*",$AC$1388:AC1661,"*")</f>
        <v>3279.9999999999982</v>
      </c>
      <c r="BX1660" s="343">
        <f>SUMIFS($AV$1388:AV1661,$Q$1388:Q1661,"F")</f>
        <v>279.94786430960346</v>
      </c>
      <c r="BY1660" s="343">
        <f>SUMIFS($AV$1388:AV1661,$Q$1388:Q1661,"S")</f>
        <v>280.74781249396256</v>
      </c>
      <c r="BZ1660" s="343">
        <f>SUMIFS($AV$1388:AV1661,$Q$1388:Q1661,"O")</f>
        <v>520.73999999985608</v>
      </c>
    </row>
    <row r="1661" spans="1:78" ht="15.75" customHeight="1">
      <c r="A1661" s="177" t="s">
        <v>5612</v>
      </c>
      <c r="B1661" s="200">
        <v>45357</v>
      </c>
      <c r="C1661" s="178" t="s">
        <v>2081</v>
      </c>
      <c r="D1661" s="178" t="s">
        <v>151</v>
      </c>
      <c r="E1661" s="227"/>
      <c r="F1661" s="180"/>
      <c r="G1661" s="181" t="s">
        <v>2545</v>
      </c>
      <c r="H1661" s="182"/>
      <c r="I1661" s="182"/>
      <c r="J1661" s="182"/>
      <c r="K1661" s="183"/>
      <c r="L1661" s="182"/>
      <c r="M1661" s="182"/>
      <c r="N1661" s="182"/>
      <c r="O1661" s="183"/>
      <c r="P1661" s="183"/>
      <c r="Q1661" s="183"/>
      <c r="R1661" s="183"/>
      <c r="S1661" s="183"/>
      <c r="T1661" s="183"/>
      <c r="U1661" s="183"/>
      <c r="V1661" s="183"/>
      <c r="W1661" s="183"/>
      <c r="X1661" s="183"/>
      <c r="Y1661" s="184"/>
      <c r="Z1661" s="185"/>
      <c r="AA1661" s="185"/>
      <c r="AB1661" s="185"/>
      <c r="AC1661" s="185"/>
      <c r="AD1661" s="649"/>
      <c r="AE1661" s="182"/>
      <c r="AF1661" s="332"/>
      <c r="AG1661" s="182"/>
      <c r="AH1661" s="182"/>
      <c r="AI1661" s="182"/>
      <c r="AJ1661" s="640"/>
      <c r="AK1661" s="182"/>
      <c r="AL1661" s="496">
        <f t="shared" si="481"/>
        <v>0</v>
      </c>
      <c r="AM1661" s="496">
        <f t="shared" si="478"/>
        <v>0</v>
      </c>
      <c r="AN1661" s="626"/>
      <c r="AO1661" s="182"/>
      <c r="AP1661" s="182"/>
      <c r="AQ1661" s="332" t="str">
        <f>UPPER(RIGHT(Journal_Live[[#This Row],[DURATION ]]))</f>
        <v/>
      </c>
      <c r="AR1661" s="182"/>
      <c r="AS1661" s="189"/>
      <c r="AT1661" s="189"/>
      <c r="AU1661" s="187"/>
      <c r="AV1661" s="190"/>
      <c r="AW1661" s="191"/>
      <c r="AX1661" s="551"/>
      <c r="AY1661" s="551"/>
      <c r="AZ1661" s="551"/>
      <c r="BA1661" s="551"/>
      <c r="BB1661" s="551"/>
      <c r="BC1661" s="551"/>
      <c r="BD1661" s="549"/>
      <c r="BE1661" s="550"/>
      <c r="BF1661" s="549"/>
      <c r="BG1661" s="391">
        <f>SUM($AV$1389:AV1661)</f>
        <v>1289.4356768034302</v>
      </c>
      <c r="BH1661" s="392">
        <f>SUM($AU$1389:AU1661)</f>
        <v>18014.979999999814</v>
      </c>
      <c r="BI1661" s="318">
        <f>SUMIFS($AU$1388:AU1662,$Q$1388:Q1662,"F")</f>
        <v>12708.400000000001</v>
      </c>
      <c r="BJ1661" s="318">
        <f>SUMIFS($AU$1388:AU1662,$Q$1388:Q1662,"S")</f>
        <v>3279.9999999999918</v>
      </c>
      <c r="BK1661" s="343">
        <f>SUMIFS($AU$1388:AU1662,$P$1388:P1662,"W")</f>
        <v>11277.579999999929</v>
      </c>
      <c r="BL1661" s="343">
        <f>SUMIFS($AU$1388:AU1662,$P$1388:P1662,"R")</f>
        <v>4981.9999999999991</v>
      </c>
      <c r="BM1661" s="343">
        <f>SUMIFS($AU$1388:AU1662,$AQ$1388:AQ1662,"M")</f>
        <v>5219.3799999995472</v>
      </c>
      <c r="BN1661" s="343">
        <f>SUMIFS($AU$1388:AU1662,$AQ$1388:AQ1662,"H")</f>
        <v>2931.2000000002599</v>
      </c>
      <c r="BO1661" s="343">
        <f>SUMIFS($AU$1388:AU1662,$AQ$1388:AQ1662,"D")</f>
        <v>4626.0000000000009</v>
      </c>
      <c r="BP1661" s="343">
        <f>SUMIFS($AU$1388:AU1749,$AQ$1388:AQ1749,"W")</f>
        <v>12022.400000000001</v>
      </c>
      <c r="BQ1661" s="343">
        <f>SUMIFS($AU$1388:AU1662,$Q$1388:Q1662,"O")</f>
        <v>1770.5799999998073</v>
      </c>
      <c r="BR1661" s="343">
        <f>SUMIFS($AU$1388:AU1662,$AA$1388:AA1662,"*")</f>
        <v>15799.799999999701</v>
      </c>
      <c r="BS1661" s="343">
        <f>SUMIFS($AU$1388:AU1662,$AB$1388:AB1662,"*")</f>
        <v>6567.1799999999312</v>
      </c>
      <c r="BT1661" s="343">
        <f>SUMIFS($AU$1388:AU1662,$AC$1388:AC1662,"*")</f>
        <v>9588.4</v>
      </c>
      <c r="BU1661" s="343">
        <f>SUMIFS($AU$1388:AU1662,$AA$1388:AA1662,"*",$AB$1388:AB1662,"*")</f>
        <v>4415.9999999998217</v>
      </c>
      <c r="BV1661" s="343">
        <f>SUMIFS($AU$1388:AU1662,$AA$1388:AA1662,"*",$AC$1388:AC1662,"*")</f>
        <v>9124.4</v>
      </c>
      <c r="BW1661" s="343">
        <f>SUMIFS($AU$1388:AU1662,$AB$1388:AB1662,"*",$AC$1388:AC1662,"*")</f>
        <v>3279.9999999999982</v>
      </c>
      <c r="BX1661" s="343">
        <f>SUMIFS($AV$1388:AV1662,$Q$1388:Q1662,"F")</f>
        <v>279.94786430960346</v>
      </c>
      <c r="BY1661" s="343">
        <f>SUMIFS($AV$1388:AV1662,$Q$1388:Q1662,"S")</f>
        <v>280.74781249396256</v>
      </c>
      <c r="BZ1661" s="343">
        <f>SUMIFS($AV$1388:AV1662,$Q$1388:Q1662,"O")</f>
        <v>520.73999999985608</v>
      </c>
    </row>
    <row r="1662" spans="1:78" ht="15.75" customHeight="1">
      <c r="A1662" s="177" t="s">
        <v>5612</v>
      </c>
      <c r="B1662" s="200">
        <v>45357</v>
      </c>
      <c r="C1662" s="178" t="s">
        <v>1255</v>
      </c>
      <c r="D1662" s="178" t="s">
        <v>151</v>
      </c>
      <c r="E1662" s="227" t="s">
        <v>5661</v>
      </c>
      <c r="F1662" s="180"/>
      <c r="G1662" s="181"/>
      <c r="H1662" s="182">
        <v>1</v>
      </c>
      <c r="I1662" s="182"/>
      <c r="J1662" s="182"/>
      <c r="K1662" s="183" t="s">
        <v>372</v>
      </c>
      <c r="L1662" s="182"/>
      <c r="M1662" s="182"/>
      <c r="N1662" s="182"/>
      <c r="O1662" s="183"/>
      <c r="P1662" s="183"/>
      <c r="Q1662" s="183"/>
      <c r="R1662" s="183"/>
      <c r="S1662" s="183"/>
      <c r="T1662" s="183"/>
      <c r="U1662" s="183"/>
      <c r="V1662" s="183"/>
      <c r="W1662" s="183"/>
      <c r="X1662" s="183"/>
      <c r="Y1662" s="183"/>
      <c r="Z1662" s="183"/>
      <c r="AA1662" s="185"/>
      <c r="AB1662" s="185"/>
      <c r="AC1662" s="185"/>
      <c r="AD1662" s="649"/>
      <c r="AE1662" s="182"/>
      <c r="AF1662" s="332"/>
      <c r="AG1662" s="182"/>
      <c r="AH1662" s="182"/>
      <c r="AI1662" s="182"/>
      <c r="AJ1662" s="640"/>
      <c r="AK1662" s="182"/>
      <c r="AL1662" s="496">
        <f t="shared" si="481"/>
        <v>0</v>
      </c>
      <c r="AM1662" s="496">
        <f t="shared" si="478"/>
        <v>0</v>
      </c>
      <c r="AN1662" s="626"/>
      <c r="AO1662" s="182"/>
      <c r="AP1662" s="182"/>
      <c r="AQ1662" s="332" t="str">
        <f>UPPER(RIGHT(Journal_Live[[#This Row],[DURATION ]]))</f>
        <v/>
      </c>
      <c r="AR1662" s="182"/>
      <c r="AS1662" s="189"/>
      <c r="AT1662" s="189"/>
      <c r="AU1662" s="187"/>
      <c r="AV1662" s="190"/>
      <c r="AW1662" s="191"/>
      <c r="AX1662" s="551"/>
      <c r="AY1662" s="551"/>
      <c r="AZ1662" s="551"/>
      <c r="BA1662" s="551"/>
      <c r="BB1662" s="551"/>
      <c r="BC1662" s="551"/>
      <c r="BD1662" s="549"/>
      <c r="BE1662" s="550"/>
      <c r="BF1662" s="549"/>
      <c r="BG1662" s="391">
        <f>SUM($AV$1389:AV1662)</f>
        <v>1289.4356768034302</v>
      </c>
      <c r="BH1662" s="392">
        <f>SUM($AU$1389:AU1662)</f>
        <v>18014.979999999814</v>
      </c>
      <c r="BI1662" s="318">
        <f>SUMIFS($AU$1388:AU1663,$Q$1388:Q1663,"F")</f>
        <v>12708.400000000001</v>
      </c>
      <c r="BJ1662" s="318">
        <f>SUMIFS($AU$1388:AU1663,$Q$1388:Q1663,"S")</f>
        <v>3279.9999999999918</v>
      </c>
      <c r="BK1662" s="343">
        <f>SUMIFS($AU$1388:AU1663,$P$1388:P1663,"W")</f>
        <v>11277.579999999929</v>
      </c>
      <c r="BL1662" s="343">
        <f>SUMIFS($AU$1388:AU1663,$P$1388:P1663,"R")</f>
        <v>4981.9999999999991</v>
      </c>
      <c r="BM1662" s="343">
        <f>SUMIFS($AU$1388:AU1663,$AQ$1388:AQ1663,"M")</f>
        <v>5219.3799999995472</v>
      </c>
      <c r="BN1662" s="343">
        <f>SUMIFS($AU$1388:AU1663,$AQ$1388:AQ1663,"H")</f>
        <v>2931.2000000002599</v>
      </c>
      <c r="BO1662" s="343">
        <f>SUMIFS($AU$1388:AU1663,$AQ$1388:AQ1663,"D")</f>
        <v>4626.0000000000009</v>
      </c>
      <c r="BP1662" s="343">
        <f>SUMIFS($AU$1388:AU1750,$AQ$1388:AQ1750,"W")</f>
        <v>12022.400000000001</v>
      </c>
      <c r="BQ1662" s="343">
        <f>SUMIFS($AU$1388:AU1663,$Q$1388:Q1663,"O")</f>
        <v>1770.5799999998073</v>
      </c>
      <c r="BR1662" s="343">
        <f>SUMIFS($AU$1388:AU1663,$AA$1388:AA1663,"*")</f>
        <v>15799.799999999701</v>
      </c>
      <c r="BS1662" s="343">
        <f>SUMIFS($AU$1388:AU1663,$AB$1388:AB1663,"*")</f>
        <v>6567.1799999999312</v>
      </c>
      <c r="BT1662" s="343">
        <f>SUMIFS($AU$1388:AU1663,$AC$1388:AC1663,"*")</f>
        <v>9588.4</v>
      </c>
      <c r="BU1662" s="343">
        <f>SUMIFS($AU$1388:AU1663,$AA$1388:AA1663,"*",$AB$1388:AB1663,"*")</f>
        <v>4415.9999999998217</v>
      </c>
      <c r="BV1662" s="343">
        <f>SUMIFS($AU$1388:AU1663,$AA$1388:AA1663,"*",$AC$1388:AC1663,"*")</f>
        <v>9124.4</v>
      </c>
      <c r="BW1662" s="343">
        <f>SUMIFS($AU$1388:AU1663,$AB$1388:AB1663,"*",$AC$1388:AC1663,"*")</f>
        <v>3279.9999999999982</v>
      </c>
      <c r="BX1662" s="343">
        <f>SUMIFS($AV$1388:AV1663,$Q$1388:Q1663,"F")</f>
        <v>279.94786430960346</v>
      </c>
      <c r="BY1662" s="343">
        <f>SUMIFS($AV$1388:AV1663,$Q$1388:Q1663,"S")</f>
        <v>280.74781249396256</v>
      </c>
      <c r="BZ1662" s="343">
        <f>SUMIFS($AV$1388:AV1663,$Q$1388:Q1663,"O")</f>
        <v>520.73999999985608</v>
      </c>
    </row>
    <row r="1663" spans="1:78" ht="15.75" customHeight="1">
      <c r="A1663" s="177" t="s">
        <v>5612</v>
      </c>
      <c r="B1663" s="200">
        <v>45357</v>
      </c>
      <c r="C1663" s="178" t="s">
        <v>1635</v>
      </c>
      <c r="D1663" s="178" t="s">
        <v>151</v>
      </c>
      <c r="E1663" s="227" t="s">
        <v>5662</v>
      </c>
      <c r="F1663" s="180"/>
      <c r="G1663" s="181"/>
      <c r="H1663" s="182"/>
      <c r="I1663" s="182"/>
      <c r="J1663" s="182">
        <v>1</v>
      </c>
      <c r="K1663" s="183" t="s">
        <v>115</v>
      </c>
      <c r="L1663" s="182"/>
      <c r="M1663" s="182"/>
      <c r="N1663" s="182"/>
      <c r="O1663" s="183"/>
      <c r="P1663" s="183"/>
      <c r="Q1663" s="183"/>
      <c r="R1663" s="183"/>
      <c r="S1663" s="183"/>
      <c r="T1663" s="183"/>
      <c r="U1663" s="183"/>
      <c r="V1663" s="183"/>
      <c r="W1663" s="183"/>
      <c r="X1663" s="183"/>
      <c r="Y1663" s="183"/>
      <c r="Z1663" s="183"/>
      <c r="AA1663" s="185"/>
      <c r="AB1663" s="185"/>
      <c r="AC1663" s="185"/>
      <c r="AD1663" s="649"/>
      <c r="AE1663" s="182"/>
      <c r="AF1663" s="332"/>
      <c r="AG1663" s="182"/>
      <c r="AH1663" s="182"/>
      <c r="AI1663" s="182"/>
      <c r="AJ1663" s="640"/>
      <c r="AK1663" s="182"/>
      <c r="AL1663" s="496">
        <f t="shared" si="481"/>
        <v>0</v>
      </c>
      <c r="AM1663" s="496">
        <f t="shared" si="478"/>
        <v>0</v>
      </c>
      <c r="AN1663" s="626"/>
      <c r="AO1663" s="182"/>
      <c r="AP1663" s="182"/>
      <c r="AQ1663" s="332" t="str">
        <f>UPPER(RIGHT(Journal_Live[[#This Row],[DURATION ]]))</f>
        <v/>
      </c>
      <c r="AR1663" s="182"/>
      <c r="AS1663" s="189"/>
      <c r="AT1663" s="189"/>
      <c r="AU1663" s="187"/>
      <c r="AV1663" s="190"/>
      <c r="AW1663" s="191"/>
      <c r="AX1663" s="551"/>
      <c r="AY1663" s="551"/>
      <c r="AZ1663" s="551"/>
      <c r="BA1663" s="551"/>
      <c r="BB1663" s="551"/>
      <c r="BC1663" s="551"/>
      <c r="BD1663" s="549"/>
      <c r="BE1663" s="550"/>
      <c r="BF1663" s="549"/>
      <c r="BG1663" s="391">
        <f>SUM($AV$1389:AV1663)</f>
        <v>1289.4356768034302</v>
      </c>
      <c r="BH1663" s="392">
        <f>SUM($AU$1389:AU1663)</f>
        <v>18014.979999999814</v>
      </c>
      <c r="BI1663" s="318">
        <f>SUMIFS($AU$1388:AU1664,$Q$1388:Q1664,"F")</f>
        <v>12708.400000000001</v>
      </c>
      <c r="BJ1663" s="318">
        <f>SUMIFS($AU$1388:AU1664,$Q$1388:Q1664,"S")</f>
        <v>3279.9999999999918</v>
      </c>
      <c r="BK1663" s="343">
        <f>SUMIFS($AU$1388:AU1664,$P$1388:P1664,"W")</f>
        <v>11277.579999999929</v>
      </c>
      <c r="BL1663" s="343">
        <f>SUMIFS($AU$1388:AU1664,$P$1388:P1664,"R")</f>
        <v>4981.9999999999991</v>
      </c>
      <c r="BM1663" s="343">
        <f>SUMIFS($AU$1388:AU1664,$AQ$1388:AQ1664,"M")</f>
        <v>5219.3799999995472</v>
      </c>
      <c r="BN1663" s="343">
        <f>SUMIFS($AU$1388:AU1664,$AQ$1388:AQ1664,"H")</f>
        <v>2931.2000000002599</v>
      </c>
      <c r="BO1663" s="343">
        <f>SUMIFS($AU$1388:AU1664,$AQ$1388:AQ1664,"D")</f>
        <v>4626.0000000000009</v>
      </c>
      <c r="BP1663" s="343">
        <f>SUMIFS($AU$1388:AU1751,$AQ$1388:AQ1751,"W")</f>
        <v>12022.400000000001</v>
      </c>
      <c r="BQ1663" s="343">
        <f>SUMIFS($AU$1388:AU1664,$Q$1388:Q1664,"O")</f>
        <v>1770.5799999998073</v>
      </c>
      <c r="BR1663" s="343">
        <f>SUMIFS($AU$1388:AU1664,$AA$1388:AA1664,"*")</f>
        <v>15799.799999999701</v>
      </c>
      <c r="BS1663" s="343">
        <f>SUMIFS($AU$1388:AU1664,$AB$1388:AB1664,"*")</f>
        <v>6567.1799999999312</v>
      </c>
      <c r="BT1663" s="343">
        <f>SUMIFS($AU$1388:AU1664,$AC$1388:AC1664,"*")</f>
        <v>9588.4</v>
      </c>
      <c r="BU1663" s="343">
        <f>SUMIFS($AU$1388:AU1664,$AA$1388:AA1664,"*",$AB$1388:AB1664,"*")</f>
        <v>4415.9999999998217</v>
      </c>
      <c r="BV1663" s="343">
        <f>SUMIFS($AU$1388:AU1664,$AA$1388:AA1664,"*",$AC$1388:AC1664,"*")</f>
        <v>9124.4</v>
      </c>
      <c r="BW1663" s="343">
        <f>SUMIFS($AU$1388:AU1664,$AB$1388:AB1664,"*",$AC$1388:AC1664,"*")</f>
        <v>3279.9999999999982</v>
      </c>
      <c r="BX1663" s="343">
        <f>SUMIFS($AV$1388:AV1664,$Q$1388:Q1664,"F")</f>
        <v>279.94786430960346</v>
      </c>
      <c r="BY1663" s="343">
        <f>SUMIFS($AV$1388:AV1664,$Q$1388:Q1664,"S")</f>
        <v>280.74781249396256</v>
      </c>
      <c r="BZ1663" s="343">
        <f>SUMIFS($AV$1388:AV1664,$Q$1388:Q1664,"O")</f>
        <v>520.73999999985608</v>
      </c>
    </row>
    <row r="1664" spans="1:78" ht="15.75" customHeight="1">
      <c r="A1664" s="177" t="s">
        <v>5612</v>
      </c>
      <c r="B1664" s="200">
        <v>45357</v>
      </c>
      <c r="C1664" s="178" t="s">
        <v>682</v>
      </c>
      <c r="D1664" s="178" t="s">
        <v>151</v>
      </c>
      <c r="E1664" s="227"/>
      <c r="F1664" s="180"/>
      <c r="G1664" s="181" t="s">
        <v>4887</v>
      </c>
      <c r="H1664" s="182"/>
      <c r="I1664" s="182"/>
      <c r="J1664" s="182"/>
      <c r="K1664" s="183"/>
      <c r="L1664" s="182">
        <v>1</v>
      </c>
      <c r="M1664" s="182"/>
      <c r="N1664" s="182"/>
      <c r="O1664" s="183" t="s">
        <v>3618</v>
      </c>
      <c r="P1664" s="183" t="s">
        <v>2260</v>
      </c>
      <c r="Q1664" s="183" t="s">
        <v>684</v>
      </c>
      <c r="R1664" s="183">
        <v>1</v>
      </c>
      <c r="S1664" s="183">
        <v>0</v>
      </c>
      <c r="T1664" s="183">
        <v>1</v>
      </c>
      <c r="U1664" s="183" t="s">
        <v>22</v>
      </c>
      <c r="V1664" s="183"/>
      <c r="W1664" s="183"/>
      <c r="X1664" s="183"/>
      <c r="Y1664" s="184">
        <f>IF(ISBLANK(O1664),"",(IF(O1664=UPPER("IB"),0.005,0.01)))</f>
        <v>0.01</v>
      </c>
      <c r="Z1664" s="185">
        <f>IF(ISBLANK(O1664),"",IF(O1664="IB",8.63*200,IF(O1664="IR",16*100,IF(O1664="YT",20*100,IF(O1664="YT-XT",24*200,IF(O1664="TED",80*100,IF(O1664="XT",29*200)))))))</f>
        <v>5800</v>
      </c>
      <c r="AA1664" s="185" t="s">
        <v>5663</v>
      </c>
      <c r="AB1664" s="185"/>
      <c r="AC1664" s="185"/>
      <c r="AD1664" s="649">
        <v>95.8</v>
      </c>
      <c r="AE1664" s="182"/>
      <c r="AF1664" s="332"/>
      <c r="AG1664" s="182"/>
      <c r="AH1664" s="182"/>
      <c r="AI1664" s="182"/>
      <c r="AJ1664" s="640"/>
      <c r="AK1664" s="182"/>
      <c r="AL1664" s="496">
        <f t="shared" si="481"/>
        <v>-116</v>
      </c>
      <c r="AM1664" s="496">
        <f t="shared" si="478"/>
        <v>-116</v>
      </c>
      <c r="AN1664" s="626"/>
      <c r="AO1664" s="182"/>
      <c r="AP1664" s="182" t="s">
        <v>5664</v>
      </c>
      <c r="AQ1664" s="332" t="s">
        <v>1259</v>
      </c>
      <c r="AR1664" s="182"/>
      <c r="AS1664" s="189">
        <v>95.8</v>
      </c>
      <c r="AT1664" s="189">
        <f>IF(ISBLANK(AS1664),,IF(U1664="S",AD1664-AS1664,AS1664-AD1664))</f>
        <v>0</v>
      </c>
      <c r="AU1664" s="187">
        <f>AV1664*R1664</f>
        <v>0</v>
      </c>
      <c r="AV1664" s="190">
        <f t="shared" ref="AV1664" si="486">IF(ISBLANK(AS1664),,(AT1664*Z1664))</f>
        <v>0</v>
      </c>
      <c r="AW1664" s="191" t="s">
        <v>115</v>
      </c>
      <c r="AX1664" s="551"/>
      <c r="AY1664" s="551"/>
      <c r="AZ1664" s="551"/>
      <c r="BA1664" s="551"/>
      <c r="BB1664" s="551"/>
      <c r="BC1664" s="551"/>
      <c r="BD1664" s="549"/>
      <c r="BE1664" s="550"/>
      <c r="BF1664" s="549"/>
      <c r="BG1664" s="391">
        <f>SUM($AV$1389:AV1664)</f>
        <v>1289.4356768034302</v>
      </c>
      <c r="BH1664" s="392">
        <f>SUM($AU$1389:AU1664)</f>
        <v>18014.979999999814</v>
      </c>
      <c r="BI1664" s="318">
        <f>SUMIFS($AU$1388:AU1665,$Q$1388:Q1665,"F")</f>
        <v>12708.400000000001</v>
      </c>
      <c r="BJ1664" s="318">
        <f>SUMIFS($AU$1388:AU1665,$Q$1388:Q1665,"S")</f>
        <v>3279.9999999999918</v>
      </c>
      <c r="BK1664" s="343">
        <f>SUMIFS($AU$1388:AU1665,$P$1388:P1665,"W")</f>
        <v>11277.579999999929</v>
      </c>
      <c r="BL1664" s="343">
        <f>SUMIFS($AU$1388:AU1665,$P$1388:P1665,"R")</f>
        <v>4981.9999999999991</v>
      </c>
      <c r="BM1664" s="343">
        <f>SUMIFS($AU$1388:AU1665,$AQ$1388:AQ1665,"M")</f>
        <v>5219.3799999995472</v>
      </c>
      <c r="BN1664" s="343">
        <f>SUMIFS($AU$1388:AU1665,$AQ$1388:AQ1665,"H")</f>
        <v>2931.2000000002599</v>
      </c>
      <c r="BO1664" s="343">
        <f>SUMIFS($AU$1388:AU1665,$AQ$1388:AQ1665,"D")</f>
        <v>4626.0000000000009</v>
      </c>
      <c r="BP1664" s="343">
        <f>SUMIFS($AU$1388:AU1752,$AQ$1388:AQ1752,"W")</f>
        <v>12022.400000000001</v>
      </c>
      <c r="BQ1664" s="343">
        <f>SUMIFS($AU$1388:AU1665,$Q$1388:Q1665,"O")</f>
        <v>1770.5799999998073</v>
      </c>
      <c r="BR1664" s="343">
        <f>SUMIFS($AU$1388:AU1665,$AA$1388:AA1665,"*")</f>
        <v>15799.799999999701</v>
      </c>
      <c r="BS1664" s="343">
        <f>SUMIFS($AU$1388:AU1665,$AB$1388:AB1665,"*")</f>
        <v>6567.1799999999312</v>
      </c>
      <c r="BT1664" s="343">
        <f>SUMIFS($AU$1388:AU1665,$AC$1388:AC1665,"*")</f>
        <v>9588.4</v>
      </c>
      <c r="BU1664" s="343">
        <f>SUMIFS($AU$1388:AU1665,$AA$1388:AA1665,"*",$AB$1388:AB1665,"*")</f>
        <v>4415.9999999998217</v>
      </c>
      <c r="BV1664" s="343">
        <f>SUMIFS($AU$1388:AU1665,$AA$1388:AA1665,"*",$AC$1388:AC1665,"*")</f>
        <v>9124.4</v>
      </c>
      <c r="BW1664" s="343">
        <f>SUMIFS($AU$1388:AU1665,$AB$1388:AB1665,"*",$AC$1388:AC1665,"*")</f>
        <v>3279.9999999999982</v>
      </c>
      <c r="BX1664" s="343">
        <f>SUMIFS($AV$1388:AV1665,$Q$1388:Q1665,"F")</f>
        <v>279.94786430960346</v>
      </c>
      <c r="BY1664" s="343">
        <f>SUMIFS($AV$1388:AV1665,$Q$1388:Q1665,"S")</f>
        <v>280.74781249396256</v>
      </c>
      <c r="BZ1664" s="343">
        <f>SUMIFS($AV$1388:AV1665,$Q$1388:Q1665,"O")</f>
        <v>520.73999999985608</v>
      </c>
    </row>
    <row r="1665" spans="1:78" ht="15.75" customHeight="1">
      <c r="A1665" s="177" t="s">
        <v>5612</v>
      </c>
      <c r="B1665" s="200">
        <v>45357</v>
      </c>
      <c r="C1665" s="178" t="s">
        <v>1474</v>
      </c>
      <c r="D1665" s="178" t="s">
        <v>151</v>
      </c>
      <c r="E1665" s="227"/>
      <c r="F1665" s="180"/>
      <c r="G1665" s="181" t="s">
        <v>3772</v>
      </c>
      <c r="H1665" s="182"/>
      <c r="I1665" s="182"/>
      <c r="J1665" s="182"/>
      <c r="K1665" s="183"/>
      <c r="L1665" s="182"/>
      <c r="M1665" s="182"/>
      <c r="N1665" s="182"/>
      <c r="O1665" s="183"/>
      <c r="P1665" s="183"/>
      <c r="Q1665" s="183"/>
      <c r="R1665" s="183"/>
      <c r="S1665" s="183"/>
      <c r="T1665" s="183"/>
      <c r="U1665" s="183"/>
      <c r="V1665" s="183"/>
      <c r="W1665" s="183"/>
      <c r="X1665" s="183"/>
      <c r="Y1665" s="184"/>
      <c r="Z1665" s="185"/>
      <c r="AA1665" s="185"/>
      <c r="AB1665" s="185"/>
      <c r="AC1665" s="185"/>
      <c r="AD1665" s="649"/>
      <c r="AE1665" s="182"/>
      <c r="AF1665" s="332"/>
      <c r="AG1665" s="182"/>
      <c r="AH1665" s="182"/>
      <c r="AI1665" s="182"/>
      <c r="AJ1665" s="640"/>
      <c r="AK1665" s="182"/>
      <c r="AL1665" s="496">
        <f t="shared" si="481"/>
        <v>0</v>
      </c>
      <c r="AM1665" s="496">
        <f t="shared" si="478"/>
        <v>0</v>
      </c>
      <c r="AN1665" s="626"/>
      <c r="AO1665" s="182"/>
      <c r="AP1665" s="182"/>
      <c r="AQ1665" s="332" t="str">
        <f>UPPER(RIGHT(Journal_Live[[#This Row],[DURATION ]]))</f>
        <v/>
      </c>
      <c r="AR1665" s="182"/>
      <c r="AS1665" s="189"/>
      <c r="AT1665" s="189"/>
      <c r="AU1665" s="187"/>
      <c r="AV1665" s="190"/>
      <c r="AW1665" s="191"/>
      <c r="AX1665" s="551"/>
      <c r="AY1665" s="551"/>
      <c r="AZ1665" s="551"/>
      <c r="BA1665" s="551"/>
      <c r="BB1665" s="551"/>
      <c r="BC1665" s="551"/>
      <c r="BD1665" s="549"/>
      <c r="BE1665" s="550"/>
      <c r="BF1665" s="549"/>
      <c r="BG1665" s="391">
        <f>SUM($AV$1389:AV1665)</f>
        <v>1289.4356768034302</v>
      </c>
      <c r="BH1665" s="392">
        <f>SUM($AU$1389:AU1665)</f>
        <v>18014.979999999814</v>
      </c>
      <c r="BI1665" s="318">
        <f>SUMIFS($AU$1388:AU1666,$Q$1388:Q1666,"F")</f>
        <v>12708.400000000001</v>
      </c>
      <c r="BJ1665" s="318">
        <f>SUMIFS($AU$1388:AU1666,$Q$1388:Q1666,"S")</f>
        <v>3279.9999999999918</v>
      </c>
      <c r="BK1665" s="343">
        <f>SUMIFS($AU$1388:AU1666,$P$1388:P1666,"W")</f>
        <v>11277.579999999929</v>
      </c>
      <c r="BL1665" s="343">
        <f>SUMIFS($AU$1388:AU1666,$P$1388:P1666,"R")</f>
        <v>4981.9999999999991</v>
      </c>
      <c r="BM1665" s="343">
        <f>SUMIFS($AU$1388:AU1666,$AQ$1388:AQ1666,"M")</f>
        <v>5219.3799999995472</v>
      </c>
      <c r="BN1665" s="343">
        <f>SUMIFS($AU$1388:AU1666,$AQ$1388:AQ1666,"H")</f>
        <v>2931.2000000002599</v>
      </c>
      <c r="BO1665" s="343">
        <f>SUMIFS($AU$1388:AU1666,$AQ$1388:AQ1666,"D")</f>
        <v>4626.0000000000009</v>
      </c>
      <c r="BP1665" s="343">
        <f>SUMIFS($AU$1388:AU1753,$AQ$1388:AQ1753,"W")</f>
        <v>12022.400000000001</v>
      </c>
      <c r="BQ1665" s="343">
        <f>SUMIFS($AU$1388:AU1666,$Q$1388:Q1666,"O")</f>
        <v>1770.5799999998073</v>
      </c>
      <c r="BR1665" s="343">
        <f>SUMIFS($AU$1388:AU1666,$AA$1388:AA1666,"*")</f>
        <v>15799.799999999701</v>
      </c>
      <c r="BS1665" s="343">
        <f>SUMIFS($AU$1388:AU1666,$AB$1388:AB1666,"*")</f>
        <v>6567.1799999999312</v>
      </c>
      <c r="BT1665" s="343">
        <f>SUMIFS($AU$1388:AU1666,$AC$1388:AC1666,"*")</f>
        <v>9588.4</v>
      </c>
      <c r="BU1665" s="343">
        <f>SUMIFS($AU$1388:AU1666,$AA$1388:AA1666,"*",$AB$1388:AB1666,"*")</f>
        <v>4415.9999999998217</v>
      </c>
      <c r="BV1665" s="343">
        <f>SUMIFS($AU$1388:AU1666,$AA$1388:AA1666,"*",$AC$1388:AC1666,"*")</f>
        <v>9124.4</v>
      </c>
      <c r="BW1665" s="343">
        <f>SUMIFS($AU$1388:AU1666,$AB$1388:AB1666,"*",$AC$1388:AC1666,"*")</f>
        <v>3279.9999999999982</v>
      </c>
      <c r="BX1665" s="343">
        <f>SUMIFS($AV$1388:AV1666,$Q$1388:Q1666,"F")</f>
        <v>279.94786430960346</v>
      </c>
      <c r="BY1665" s="343">
        <f>SUMIFS($AV$1388:AV1666,$Q$1388:Q1666,"S")</f>
        <v>280.74781249396256</v>
      </c>
      <c r="BZ1665" s="343">
        <f>SUMIFS($AV$1388:AV1666,$Q$1388:Q1666,"O")</f>
        <v>520.73999999985608</v>
      </c>
    </row>
    <row r="1666" spans="1:78" ht="15.75" customHeight="1">
      <c r="A1666" s="177" t="s">
        <v>5612</v>
      </c>
      <c r="B1666" s="200">
        <v>45357</v>
      </c>
      <c r="C1666" s="178" t="s">
        <v>1474</v>
      </c>
      <c r="D1666" s="178" t="s">
        <v>151</v>
      </c>
      <c r="E1666" s="227"/>
      <c r="F1666" s="180"/>
      <c r="G1666" s="181" t="s">
        <v>136</v>
      </c>
      <c r="H1666" s="182"/>
      <c r="I1666" s="182"/>
      <c r="J1666" s="182"/>
      <c r="K1666" s="183"/>
      <c r="L1666" s="182"/>
      <c r="M1666" s="182"/>
      <c r="N1666" s="182"/>
      <c r="O1666" s="183"/>
      <c r="P1666" s="183"/>
      <c r="Q1666" s="183"/>
      <c r="R1666" s="183"/>
      <c r="S1666" s="183"/>
      <c r="T1666" s="183"/>
      <c r="U1666" s="183"/>
      <c r="V1666" s="183"/>
      <c r="W1666" s="183"/>
      <c r="X1666" s="183"/>
      <c r="Y1666" s="184"/>
      <c r="Z1666" s="185"/>
      <c r="AA1666" s="185"/>
      <c r="AB1666" s="185"/>
      <c r="AC1666" s="185"/>
      <c r="AD1666" s="649"/>
      <c r="AE1666" s="182"/>
      <c r="AF1666" s="332"/>
      <c r="AG1666" s="182"/>
      <c r="AH1666" s="182"/>
      <c r="AI1666" s="182"/>
      <c r="AJ1666" s="640"/>
      <c r="AK1666" s="182"/>
      <c r="AL1666" s="496">
        <f t="shared" si="481"/>
        <v>0</v>
      </c>
      <c r="AM1666" s="496">
        <f t="shared" si="478"/>
        <v>0</v>
      </c>
      <c r="AN1666" s="626"/>
      <c r="AO1666" s="182"/>
      <c r="AP1666" s="182"/>
      <c r="AQ1666" s="332" t="str">
        <f>UPPER(RIGHT(Journal_Live[[#This Row],[DURATION ]]))</f>
        <v/>
      </c>
      <c r="AR1666" s="182"/>
      <c r="AS1666" s="189"/>
      <c r="AT1666" s="189"/>
      <c r="AU1666" s="187"/>
      <c r="AV1666" s="190"/>
      <c r="AW1666" s="191"/>
      <c r="AX1666" s="551"/>
      <c r="AY1666" s="551"/>
      <c r="AZ1666" s="551"/>
      <c r="BA1666" s="551"/>
      <c r="BB1666" s="551"/>
      <c r="BC1666" s="551"/>
      <c r="BD1666" s="549"/>
      <c r="BE1666" s="550"/>
      <c r="BF1666" s="549"/>
      <c r="BG1666" s="391">
        <f>SUM($AV$1389:AV1666)</f>
        <v>1289.4356768034302</v>
      </c>
      <c r="BH1666" s="392">
        <f>SUM($AU$1389:AU1666)</f>
        <v>18014.979999999814</v>
      </c>
      <c r="BI1666" s="318">
        <f>SUMIFS($AU$1388:AU1667,$Q$1388:Q1667,"F")</f>
        <v>12708.400000000001</v>
      </c>
      <c r="BJ1666" s="318">
        <f>SUMIFS($AU$1388:AU1667,$Q$1388:Q1667,"S")</f>
        <v>3279.9999999999918</v>
      </c>
      <c r="BK1666" s="343">
        <f>SUMIFS($AU$1388:AU1667,$P$1388:P1667,"W")</f>
        <v>11277.579999999929</v>
      </c>
      <c r="BL1666" s="343">
        <f>SUMIFS($AU$1388:AU1667,$P$1388:P1667,"R")</f>
        <v>4981.9999999999991</v>
      </c>
      <c r="BM1666" s="343">
        <f>SUMIFS($AU$1388:AU1667,$AQ$1388:AQ1667,"M")</f>
        <v>5219.3799999995472</v>
      </c>
      <c r="BN1666" s="343">
        <f>SUMIFS($AU$1388:AU1667,$AQ$1388:AQ1667,"H")</f>
        <v>2931.2000000002599</v>
      </c>
      <c r="BO1666" s="343">
        <f>SUMIFS($AU$1388:AU1667,$AQ$1388:AQ1667,"D")</f>
        <v>4626.0000000000009</v>
      </c>
      <c r="BP1666" s="343">
        <f>SUMIFS($AU$1388:AU1754,$AQ$1388:AQ1754,"W")</f>
        <v>12022.400000000001</v>
      </c>
      <c r="BQ1666" s="343">
        <f>SUMIFS($AU$1388:AU1667,$Q$1388:Q1667,"O")</f>
        <v>1770.5799999998073</v>
      </c>
      <c r="BR1666" s="343">
        <f>SUMIFS($AU$1388:AU1667,$AA$1388:AA1667,"*")</f>
        <v>15799.799999999701</v>
      </c>
      <c r="BS1666" s="343">
        <f>SUMIFS($AU$1388:AU1667,$AB$1388:AB1667,"*")</f>
        <v>6567.1799999999312</v>
      </c>
      <c r="BT1666" s="343">
        <f>SUMIFS($AU$1388:AU1667,$AC$1388:AC1667,"*")</f>
        <v>9588.4</v>
      </c>
      <c r="BU1666" s="343">
        <f>SUMIFS($AU$1388:AU1667,$AA$1388:AA1667,"*",$AB$1388:AB1667,"*")</f>
        <v>4415.9999999998217</v>
      </c>
      <c r="BV1666" s="343">
        <f>SUMIFS($AU$1388:AU1667,$AA$1388:AA1667,"*",$AC$1388:AC1667,"*")</f>
        <v>9124.4</v>
      </c>
      <c r="BW1666" s="343">
        <f>SUMIFS($AU$1388:AU1667,$AB$1388:AB1667,"*",$AC$1388:AC1667,"*")</f>
        <v>3279.9999999999982</v>
      </c>
      <c r="BX1666" s="343">
        <f>SUMIFS($AV$1388:AV1667,$Q$1388:Q1667,"F")</f>
        <v>279.94786430960346</v>
      </c>
      <c r="BY1666" s="343">
        <f>SUMIFS($AV$1388:AV1667,$Q$1388:Q1667,"S")</f>
        <v>280.74781249396256</v>
      </c>
      <c r="BZ1666" s="343">
        <f>SUMIFS($AV$1388:AV1667,$Q$1388:Q1667,"O")</f>
        <v>520.73999999985608</v>
      </c>
    </row>
    <row r="1667" spans="1:78" ht="15.75" customHeight="1">
      <c r="A1667" s="177" t="s">
        <v>5612</v>
      </c>
      <c r="B1667" s="200">
        <v>45357</v>
      </c>
      <c r="C1667" s="178" t="s">
        <v>1474</v>
      </c>
      <c r="D1667" s="178" t="s">
        <v>151</v>
      </c>
      <c r="E1667" s="227"/>
      <c r="F1667" s="180"/>
      <c r="G1667" s="181" t="s">
        <v>4147</v>
      </c>
      <c r="H1667" s="182"/>
      <c r="I1667" s="182"/>
      <c r="J1667" s="182"/>
      <c r="K1667" s="183"/>
      <c r="L1667" s="182"/>
      <c r="M1667" s="182"/>
      <c r="N1667" s="182"/>
      <c r="O1667" s="183"/>
      <c r="P1667" s="183"/>
      <c r="Q1667" s="183"/>
      <c r="R1667" s="183"/>
      <c r="S1667" s="183"/>
      <c r="T1667" s="183"/>
      <c r="U1667" s="183"/>
      <c r="V1667" s="183"/>
      <c r="W1667" s="183"/>
      <c r="X1667" s="183"/>
      <c r="Y1667" s="184"/>
      <c r="Z1667" s="185"/>
      <c r="AA1667" s="185"/>
      <c r="AB1667" s="185"/>
      <c r="AC1667" s="185"/>
      <c r="AD1667" s="649"/>
      <c r="AE1667" s="182"/>
      <c r="AF1667" s="332"/>
      <c r="AG1667" s="182"/>
      <c r="AH1667" s="182"/>
      <c r="AI1667" s="182"/>
      <c r="AJ1667" s="640"/>
      <c r="AK1667" s="182"/>
      <c r="AL1667" s="496">
        <f t="shared" si="481"/>
        <v>0</v>
      </c>
      <c r="AM1667" s="496">
        <f t="shared" si="478"/>
        <v>0</v>
      </c>
      <c r="AN1667" s="626"/>
      <c r="AO1667" s="182"/>
      <c r="AP1667" s="182"/>
      <c r="AQ1667" s="332" t="str">
        <f>UPPER(RIGHT(Journal_Live[[#This Row],[DURATION ]]))</f>
        <v/>
      </c>
      <c r="AR1667" s="182"/>
      <c r="AS1667" s="189"/>
      <c r="AT1667" s="189"/>
      <c r="AU1667" s="187"/>
      <c r="AV1667" s="190"/>
      <c r="AW1667" s="191"/>
      <c r="AX1667" s="551"/>
      <c r="AY1667" s="551"/>
      <c r="AZ1667" s="551"/>
      <c r="BA1667" s="551"/>
      <c r="BB1667" s="551"/>
      <c r="BC1667" s="551"/>
      <c r="BD1667" s="549"/>
      <c r="BE1667" s="550"/>
      <c r="BF1667" s="549"/>
      <c r="BG1667" s="391">
        <f>SUM($AV$1389:AV1667)</f>
        <v>1289.4356768034302</v>
      </c>
      <c r="BH1667" s="392">
        <f>SUM($AU$1389:AU1667)</f>
        <v>18014.979999999814</v>
      </c>
      <c r="BI1667" s="318">
        <f>SUMIFS($AU$1388:AU1668,$Q$1388:Q1668,"F")</f>
        <v>12708.400000000001</v>
      </c>
      <c r="BJ1667" s="318">
        <f>SUMIFS($AU$1388:AU1668,$Q$1388:Q1668,"S")</f>
        <v>3279.9999999999918</v>
      </c>
      <c r="BK1667" s="343">
        <f>SUMIFS($AU$1388:AU1668,$P$1388:P1668,"W")</f>
        <v>11277.579999999929</v>
      </c>
      <c r="BL1667" s="343">
        <f>SUMIFS($AU$1388:AU1668,$P$1388:P1668,"R")</f>
        <v>4981.9999999999991</v>
      </c>
      <c r="BM1667" s="343">
        <f>SUMIFS($AU$1388:AU1668,$AQ$1388:AQ1668,"M")</f>
        <v>5219.3799999995472</v>
      </c>
      <c r="BN1667" s="343">
        <f>SUMIFS($AU$1388:AU1668,$AQ$1388:AQ1668,"H")</f>
        <v>2931.2000000002599</v>
      </c>
      <c r="BO1667" s="343">
        <f>SUMIFS($AU$1388:AU1668,$AQ$1388:AQ1668,"D")</f>
        <v>4626.0000000000009</v>
      </c>
      <c r="BP1667" s="343">
        <f>SUMIFS($AU$1388:AU1755,$AQ$1388:AQ1755,"W")</f>
        <v>12022.400000000001</v>
      </c>
      <c r="BQ1667" s="343">
        <f>SUMIFS($AU$1388:AU1668,$Q$1388:Q1668,"O")</f>
        <v>1770.5799999998073</v>
      </c>
      <c r="BR1667" s="343">
        <f>SUMIFS($AU$1388:AU1668,$AA$1388:AA1668,"*")</f>
        <v>15799.799999999701</v>
      </c>
      <c r="BS1667" s="343">
        <f>SUMIFS($AU$1388:AU1668,$AB$1388:AB1668,"*")</f>
        <v>6567.1799999999312</v>
      </c>
      <c r="BT1667" s="343">
        <f>SUMIFS($AU$1388:AU1668,$AC$1388:AC1668,"*")</f>
        <v>9588.4</v>
      </c>
      <c r="BU1667" s="343">
        <f>SUMIFS($AU$1388:AU1668,$AA$1388:AA1668,"*",$AB$1388:AB1668,"*")</f>
        <v>4415.9999999998217</v>
      </c>
      <c r="BV1667" s="343">
        <f>SUMIFS($AU$1388:AU1668,$AA$1388:AA1668,"*",$AC$1388:AC1668,"*")</f>
        <v>9124.4</v>
      </c>
      <c r="BW1667" s="343">
        <f>SUMIFS($AU$1388:AU1668,$AB$1388:AB1668,"*",$AC$1388:AC1668,"*")</f>
        <v>3279.9999999999982</v>
      </c>
      <c r="BX1667" s="343">
        <f>SUMIFS($AV$1388:AV1668,$Q$1388:Q1668,"F")</f>
        <v>279.94786430960346</v>
      </c>
      <c r="BY1667" s="343">
        <f>SUMIFS($AV$1388:AV1668,$Q$1388:Q1668,"S")</f>
        <v>280.74781249396256</v>
      </c>
      <c r="BZ1667" s="343">
        <f>SUMIFS($AV$1388:AV1668,$Q$1388:Q1668,"O")</f>
        <v>520.73999999985608</v>
      </c>
    </row>
    <row r="1668" spans="1:78" ht="15.75" customHeight="1">
      <c r="A1668" s="177" t="s">
        <v>5612</v>
      </c>
      <c r="B1668" s="200">
        <v>45357</v>
      </c>
      <c r="C1668" s="178" t="s">
        <v>3137</v>
      </c>
      <c r="D1668" s="178" t="s">
        <v>151</v>
      </c>
      <c r="E1668" s="227" t="s">
        <v>5665</v>
      </c>
      <c r="F1668" s="180"/>
      <c r="G1668" s="181"/>
      <c r="H1668" s="182">
        <v>1</v>
      </c>
      <c r="I1668" s="182"/>
      <c r="J1668" s="182"/>
      <c r="K1668" s="183" t="s">
        <v>372</v>
      </c>
      <c r="L1668" s="182"/>
      <c r="M1668" s="182"/>
      <c r="N1668" s="182"/>
      <c r="O1668" s="183"/>
      <c r="P1668" s="183"/>
      <c r="Q1668" s="183"/>
      <c r="R1668" s="183"/>
      <c r="S1668" s="183"/>
      <c r="T1668" s="183"/>
      <c r="U1668" s="183"/>
      <c r="V1668" s="183"/>
      <c r="W1668" s="183"/>
      <c r="X1668" s="183"/>
      <c r="Y1668" s="184"/>
      <c r="Z1668" s="185"/>
      <c r="AA1668" s="185"/>
      <c r="AB1668" s="185"/>
      <c r="AC1668" s="185"/>
      <c r="AD1668" s="649"/>
      <c r="AE1668" s="182"/>
      <c r="AF1668" s="332"/>
      <c r="AG1668" s="182"/>
      <c r="AH1668" s="182"/>
      <c r="AI1668" s="182"/>
      <c r="AJ1668" s="640"/>
      <c r="AK1668" s="182"/>
      <c r="AL1668" s="496">
        <f t="shared" si="481"/>
        <v>0</v>
      </c>
      <c r="AM1668" s="496">
        <f t="shared" si="478"/>
        <v>0</v>
      </c>
      <c r="AN1668" s="626"/>
      <c r="AO1668" s="182"/>
      <c r="AP1668" s="182"/>
      <c r="AQ1668" s="332" t="str">
        <f>UPPER(RIGHT(Journal_Live[[#This Row],[DURATION ]]))</f>
        <v/>
      </c>
      <c r="AR1668" s="182"/>
      <c r="AS1668" s="189"/>
      <c r="AT1668" s="189"/>
      <c r="AU1668" s="187"/>
      <c r="AV1668" s="190"/>
      <c r="AW1668" s="191"/>
      <c r="AX1668" s="551"/>
      <c r="AY1668" s="551"/>
      <c r="AZ1668" s="551"/>
      <c r="BA1668" s="551"/>
      <c r="BB1668" s="551"/>
      <c r="BC1668" s="551"/>
      <c r="BD1668" s="549"/>
      <c r="BE1668" s="550"/>
      <c r="BF1668" s="549"/>
      <c r="BG1668" s="391">
        <f>SUM($AV$1389:AV1668)</f>
        <v>1289.4356768034302</v>
      </c>
      <c r="BH1668" s="392">
        <f>SUM($AU$1389:AU1668)</f>
        <v>18014.979999999814</v>
      </c>
      <c r="BI1668" s="318">
        <f>SUMIFS($AU$1388:AU1669,$Q$1388:Q1669,"F")</f>
        <v>12708.400000000001</v>
      </c>
      <c r="BJ1668" s="318">
        <f>SUMIFS($AU$1388:AU1669,$Q$1388:Q1669,"S")</f>
        <v>3279.9999999999918</v>
      </c>
      <c r="BK1668" s="343">
        <f>SUMIFS($AU$1388:AU1669,$P$1388:P1669,"W")</f>
        <v>11277.579999999929</v>
      </c>
      <c r="BL1668" s="343">
        <f>SUMIFS($AU$1388:AU1669,$P$1388:P1669,"R")</f>
        <v>4981.9999999999991</v>
      </c>
      <c r="BM1668" s="343">
        <f>SUMIFS($AU$1388:AU1669,$AQ$1388:AQ1669,"M")</f>
        <v>5219.3799999995472</v>
      </c>
      <c r="BN1668" s="343">
        <f>SUMIFS($AU$1388:AU1669,$AQ$1388:AQ1669,"H")</f>
        <v>2955.200000000259</v>
      </c>
      <c r="BO1668" s="343">
        <f>SUMIFS($AU$1388:AU1669,$AQ$1388:AQ1669,"D")</f>
        <v>4626.0000000000009</v>
      </c>
      <c r="BP1668" s="343">
        <f>SUMIFS($AU$1388:AU1756,$AQ$1388:AQ1756,"W")</f>
        <v>12022.400000000001</v>
      </c>
      <c r="BQ1668" s="343">
        <f>SUMIFS($AU$1388:AU1669,$Q$1388:Q1669,"O")</f>
        <v>1770.5799999998073</v>
      </c>
      <c r="BR1668" s="343">
        <f>SUMIFS($AU$1388:AU1669,$AA$1388:AA1669,"*")</f>
        <v>15823.799999999699</v>
      </c>
      <c r="BS1668" s="343">
        <f>SUMIFS($AU$1388:AU1669,$AB$1388:AB1669,"*")</f>
        <v>6567.1799999999312</v>
      </c>
      <c r="BT1668" s="343">
        <f>SUMIFS($AU$1388:AU1669,$AC$1388:AC1669,"*")</f>
        <v>9588.4</v>
      </c>
      <c r="BU1668" s="343">
        <f>SUMIFS($AU$1388:AU1669,$AA$1388:AA1669,"*",$AB$1388:AB1669,"*")</f>
        <v>4415.9999999998217</v>
      </c>
      <c r="BV1668" s="343">
        <f>SUMIFS($AU$1388:AU1669,$AA$1388:AA1669,"*",$AC$1388:AC1669,"*")</f>
        <v>9124.4</v>
      </c>
      <c r="BW1668" s="343">
        <f>SUMIFS($AU$1388:AU1669,$AB$1388:AB1669,"*",$AC$1388:AC1669,"*")</f>
        <v>3279.9999999999982</v>
      </c>
      <c r="BX1668" s="343">
        <f>SUMIFS($AV$1388:AV1669,$Q$1388:Q1669,"F")</f>
        <v>279.94786430960346</v>
      </c>
      <c r="BY1668" s="343">
        <f>SUMIFS($AV$1388:AV1669,$Q$1388:Q1669,"S")</f>
        <v>280.74781249396256</v>
      </c>
      <c r="BZ1668" s="343">
        <f>SUMIFS($AV$1388:AV1669,$Q$1388:Q1669,"O")</f>
        <v>520.73999999985608</v>
      </c>
    </row>
    <row r="1669" spans="1:78" ht="15.75" customHeight="1">
      <c r="A1669" s="177" t="s">
        <v>5612</v>
      </c>
      <c r="B1669" s="200">
        <v>45357</v>
      </c>
      <c r="C1669" s="178" t="s">
        <v>5666</v>
      </c>
      <c r="D1669" s="178" t="s">
        <v>151</v>
      </c>
      <c r="E1669" s="227"/>
      <c r="F1669" s="180"/>
      <c r="G1669" s="481" t="s">
        <v>2545</v>
      </c>
      <c r="H1669" s="182"/>
      <c r="I1669" s="182"/>
      <c r="J1669" s="182"/>
      <c r="K1669" s="183"/>
      <c r="L1669" s="182">
        <v>1</v>
      </c>
      <c r="M1669" s="182">
        <v>1</v>
      </c>
      <c r="N1669" s="182"/>
      <c r="O1669" s="183" t="s">
        <v>2259</v>
      </c>
      <c r="P1669" s="183" t="s">
        <v>2260</v>
      </c>
      <c r="Q1669" s="183"/>
      <c r="R1669" s="183">
        <v>3</v>
      </c>
      <c r="S1669" s="183">
        <v>1</v>
      </c>
      <c r="T1669" s="183">
        <v>1</v>
      </c>
      <c r="U1669" s="183" t="s">
        <v>22</v>
      </c>
      <c r="V1669" s="183"/>
      <c r="W1669" s="183"/>
      <c r="X1669" s="183"/>
      <c r="Y1669" s="184">
        <f>IF(ISBLANK(O1669),"",(IF(O1669=UPPER("IB"),0.005,0.01)))</f>
        <v>0.01</v>
      </c>
      <c r="Z1669" s="185">
        <f>IF(ISBLANK(O1669),"",IF(O1669="IB",8.63*200,IF(O1669="IR",16*100,IF(O1669="YT",20*100,IF(O1669="YT-XT",24*200,IF(O1669="TED",80*100))))))</f>
        <v>4800</v>
      </c>
      <c r="AA1669" s="185" t="s">
        <v>5667</v>
      </c>
      <c r="AB1669" s="185"/>
      <c r="AC1669" s="185"/>
      <c r="AD1669" s="649">
        <f>(0.405+0.39+0.37)/3</f>
        <v>0.38833333333333336</v>
      </c>
      <c r="AE1669" s="182"/>
      <c r="AF1669" s="332"/>
      <c r="AG1669" s="182"/>
      <c r="AH1669" s="182"/>
      <c r="AI1669" s="182"/>
      <c r="AJ1669" s="640"/>
      <c r="AK1669" s="182"/>
      <c r="AL1669" s="496">
        <f t="shared" ref="AL1669:AL1718" si="487">-0.02*Z1669</f>
        <v>-96</v>
      </c>
      <c r="AM1669" s="496">
        <f t="shared" si="478"/>
        <v>-192</v>
      </c>
      <c r="AN1669" s="626" t="s">
        <v>5668</v>
      </c>
      <c r="AO1669" s="407" t="s">
        <v>5669</v>
      </c>
      <c r="AP1669" s="182"/>
      <c r="AQ1669" s="332" t="s">
        <v>372</v>
      </c>
      <c r="AR1669" s="182" t="s">
        <v>5670</v>
      </c>
      <c r="AS1669" s="189">
        <f>(0.39*2+0.39)/3</f>
        <v>0.38999999999999996</v>
      </c>
      <c r="AT1669" s="189">
        <f>IF(ISBLANK(AS1669),,IF(U1669="S",AD1669-AS1669,AS1669-AD1669))</f>
        <v>1.6666666666665941E-3</v>
      </c>
      <c r="AU1669" s="187">
        <f>AV1669*R1669</f>
        <v>23.999999999998956</v>
      </c>
      <c r="AV1669" s="190">
        <f t="shared" ref="AV1669:AV1670" si="488">IF(ISBLANK(AS1669),,(AT1669*Z1669))</f>
        <v>7.9999999999996518</v>
      </c>
      <c r="AW1669" s="191" t="s">
        <v>96</v>
      </c>
      <c r="AX1669" s="551"/>
      <c r="AY1669" s="551"/>
      <c r="AZ1669" s="551"/>
      <c r="BA1669" s="551"/>
      <c r="BB1669" s="551"/>
      <c r="BC1669" s="551"/>
      <c r="BD1669" s="549"/>
      <c r="BE1669" s="550"/>
      <c r="BF1669" s="549"/>
      <c r="BG1669" s="391">
        <f>SUM($AV$1389:AV1669)</f>
        <v>1297.4356768034297</v>
      </c>
      <c r="BH1669" s="392">
        <f>SUM($AU$1389:AU1669)</f>
        <v>18038.979999999814</v>
      </c>
      <c r="BI1669" s="318">
        <f>SUMIFS($AU$1388:AU1670,$Q$1388:Q1670,"F")</f>
        <v>12708.400000000001</v>
      </c>
      <c r="BJ1669" s="318">
        <f>SUMIFS($AU$1388:AU1670,$Q$1388:Q1670,"S")</f>
        <v>3279.9999999999918</v>
      </c>
      <c r="BK1669" s="343">
        <f>SUMIFS($AU$1388:AU1670,$P$1388:P1670,"W")</f>
        <v>11277.579999999929</v>
      </c>
      <c r="BL1669" s="343">
        <f>SUMIFS($AU$1388:AU1670,$P$1388:P1670,"R")</f>
        <v>4981.9999999999991</v>
      </c>
      <c r="BM1669" s="343">
        <f>SUMIFS($AU$1388:AU1670,$AQ$1388:AQ1670,"M")</f>
        <v>5219.3799999995472</v>
      </c>
      <c r="BN1669" s="343">
        <f>SUMIFS($AU$1388:AU1670,$AQ$1388:AQ1670,"H")</f>
        <v>2955.200000000259</v>
      </c>
      <c r="BO1669" s="343">
        <f>SUMIFS($AU$1388:AU1670,$AQ$1388:AQ1670,"D")</f>
        <v>4626.0000000000009</v>
      </c>
      <c r="BP1669" s="343">
        <f>SUMIFS($AU$1388:AU1757,$AQ$1388:AQ1757,"W")</f>
        <v>12022.400000000001</v>
      </c>
      <c r="BQ1669" s="343">
        <f>SUMIFS($AU$1388:AU1670,$Q$1388:Q1670,"O")</f>
        <v>1770.5799999998073</v>
      </c>
      <c r="BR1669" s="343">
        <f>SUMIFS($AU$1388:AU1670,$AA$1388:AA1670,"*")</f>
        <v>15823.799999999699</v>
      </c>
      <c r="BS1669" s="343">
        <f>SUMIFS($AU$1388:AU1670,$AB$1388:AB1670,"*")</f>
        <v>6567.1799999999312</v>
      </c>
      <c r="BT1669" s="343">
        <f>SUMIFS($AU$1388:AU1670,$AC$1388:AC1670,"*")</f>
        <v>9588.4</v>
      </c>
      <c r="BU1669" s="343">
        <f>SUMIFS($AU$1388:AU1670,$AA$1388:AA1670,"*",$AB$1388:AB1670,"*")</f>
        <v>4415.9999999998217</v>
      </c>
      <c r="BV1669" s="343">
        <f>SUMIFS($AU$1388:AU1670,$AA$1388:AA1670,"*",$AC$1388:AC1670,"*")</f>
        <v>9124.4</v>
      </c>
      <c r="BW1669" s="343">
        <f>SUMIFS($AU$1388:AU1670,$AB$1388:AB1670,"*",$AC$1388:AC1670,"*")</f>
        <v>3279.9999999999982</v>
      </c>
      <c r="BX1669" s="343">
        <f>SUMIFS($AV$1388:AV1670,$Q$1388:Q1670,"F")</f>
        <v>279.94786430960346</v>
      </c>
      <c r="BY1669" s="343">
        <f>SUMIFS($AV$1388:AV1670,$Q$1388:Q1670,"S")</f>
        <v>280.74781249396256</v>
      </c>
      <c r="BZ1669" s="343">
        <f>SUMIFS($AV$1388:AV1670,$Q$1388:Q1670,"O")</f>
        <v>520.73999999985608</v>
      </c>
    </row>
    <row r="1670" spans="1:78" ht="15.75" customHeight="1">
      <c r="A1670" s="177" t="s">
        <v>5612</v>
      </c>
      <c r="B1670" s="200">
        <v>45359</v>
      </c>
      <c r="C1670" s="178" t="s">
        <v>5671</v>
      </c>
      <c r="D1670" s="178" t="s">
        <v>111</v>
      </c>
      <c r="E1670" s="227"/>
      <c r="F1670" s="180"/>
      <c r="G1670" s="481" t="s">
        <v>5672</v>
      </c>
      <c r="H1670" s="182"/>
      <c r="I1670" s="182"/>
      <c r="J1670" s="182"/>
      <c r="K1670" s="183"/>
      <c r="L1670" s="182">
        <v>1</v>
      </c>
      <c r="M1670" s="182"/>
      <c r="N1670" s="182"/>
      <c r="O1670" s="183" t="s">
        <v>2652</v>
      </c>
      <c r="P1670" s="183" t="s">
        <v>137</v>
      </c>
      <c r="Q1670" s="183"/>
      <c r="R1670" s="183">
        <v>2</v>
      </c>
      <c r="S1670" s="183">
        <v>0</v>
      </c>
      <c r="T1670" s="183">
        <v>2</v>
      </c>
      <c r="U1670" s="183" t="s">
        <v>97</v>
      </c>
      <c r="V1670" s="183"/>
      <c r="W1670" s="183"/>
      <c r="X1670" s="183"/>
      <c r="Y1670" s="184">
        <f>IF(ISBLANK(O1670),"",(IF(O1670=UPPER("IB"),0.005,0.01)))</f>
        <v>0.01</v>
      </c>
      <c r="Z1670" s="185">
        <f>IF(ISBLANK(O1670),"",IF(O1670="IB",8.63*200,IF(O1670="IR",16*100,IF(O1670="YT",20*100,IF(O1670="YT-XT",24*200,IF(O1670="TED",80*100))))))</f>
        <v>8000</v>
      </c>
      <c r="AA1670" s="185" t="s">
        <v>99</v>
      </c>
      <c r="AB1670" s="185"/>
      <c r="AC1670" s="185"/>
      <c r="AD1670" s="649">
        <v>0</v>
      </c>
      <c r="AE1670" s="182"/>
      <c r="AF1670" s="332"/>
      <c r="AG1670" s="182"/>
      <c r="AH1670" s="182"/>
      <c r="AI1670" s="182"/>
      <c r="AJ1670" s="640"/>
      <c r="AK1670" s="182"/>
      <c r="AL1670" s="496">
        <f t="shared" si="487"/>
        <v>-160</v>
      </c>
      <c r="AM1670" s="496">
        <f t="shared" si="478"/>
        <v>-320</v>
      </c>
      <c r="AN1670" s="626"/>
      <c r="AO1670" s="182"/>
      <c r="AP1670" s="182" t="s">
        <v>942</v>
      </c>
      <c r="AQ1670" s="332" t="s">
        <v>372</v>
      </c>
      <c r="AR1670" s="182" t="s">
        <v>5673</v>
      </c>
      <c r="AS1670" s="189">
        <v>0</v>
      </c>
      <c r="AT1670" s="189">
        <f>IF(ISBLANK(AS1670),,IF(U1670="S",AD1670-AS1670,AS1670-AD1670))</f>
        <v>0</v>
      </c>
      <c r="AU1670" s="187">
        <f>AV1670*R1670</f>
        <v>0</v>
      </c>
      <c r="AV1670" s="190">
        <f t="shared" si="488"/>
        <v>0</v>
      </c>
      <c r="AW1670" s="191" t="s">
        <v>115</v>
      </c>
      <c r="AX1670" s="551"/>
      <c r="AY1670" s="551"/>
      <c r="AZ1670" s="551"/>
      <c r="BA1670" s="551"/>
      <c r="BB1670" s="551"/>
      <c r="BC1670" s="551"/>
      <c r="BD1670" s="549"/>
      <c r="BE1670" s="550"/>
      <c r="BF1670" s="549"/>
      <c r="BG1670" s="391">
        <f>SUM($AV$1389:AV1670)</f>
        <v>1297.4356768034297</v>
      </c>
      <c r="BH1670" s="392">
        <f>SUM($AU$1389:AU1670)</f>
        <v>18038.979999999814</v>
      </c>
      <c r="BI1670" s="318">
        <f>SUMIFS($AU$1388:AU1671,$Q$1388:Q1671,"F")</f>
        <v>12708.400000000001</v>
      </c>
      <c r="BJ1670" s="318">
        <f>SUMIFS($AU$1388:AU1671,$Q$1388:Q1671,"S")</f>
        <v>3279.9999999999918</v>
      </c>
      <c r="BK1670" s="343">
        <f>SUMIFS($AU$1388:AU1671,$P$1388:P1671,"W")</f>
        <v>11277.579999999929</v>
      </c>
      <c r="BL1670" s="343">
        <f>SUMIFS($AU$1388:AU1671,$P$1388:P1671,"R")</f>
        <v>4981.9999999999991</v>
      </c>
      <c r="BM1670" s="343">
        <f>SUMIFS($AU$1388:AU1671,$AQ$1388:AQ1671,"M")</f>
        <v>5219.3799999995472</v>
      </c>
      <c r="BN1670" s="343">
        <f>SUMIFS($AU$1388:AU1671,$AQ$1388:AQ1671,"H")</f>
        <v>2955.200000000259</v>
      </c>
      <c r="BO1670" s="343">
        <f>SUMIFS($AU$1388:AU1671,$AQ$1388:AQ1671,"D")</f>
        <v>4626.0000000000009</v>
      </c>
      <c r="BP1670" s="343">
        <f>SUMIFS($AU$1388:AU1758,$AQ$1388:AQ1758,"W")</f>
        <v>12022.400000000001</v>
      </c>
      <c r="BQ1670" s="343">
        <f>SUMIFS($AU$1388:AU1671,$Q$1388:Q1671,"O")</f>
        <v>1770.5799999998073</v>
      </c>
      <c r="BR1670" s="343">
        <f>SUMIFS($AU$1388:AU1671,$AA$1388:AA1671,"*")</f>
        <v>15823.799999999699</v>
      </c>
      <c r="BS1670" s="343">
        <f>SUMIFS($AU$1388:AU1671,$AB$1388:AB1671,"*")</f>
        <v>6567.1799999999312</v>
      </c>
      <c r="BT1670" s="343">
        <f>SUMIFS($AU$1388:AU1671,$AC$1388:AC1671,"*")</f>
        <v>9588.4</v>
      </c>
      <c r="BU1670" s="343">
        <f>SUMIFS($AU$1388:AU1671,$AA$1388:AA1671,"*",$AB$1388:AB1671,"*")</f>
        <v>4415.9999999998217</v>
      </c>
      <c r="BV1670" s="343">
        <f>SUMIFS($AU$1388:AU1671,$AA$1388:AA1671,"*",$AC$1388:AC1671,"*")</f>
        <v>9124.4</v>
      </c>
      <c r="BW1670" s="343">
        <f>SUMIFS($AU$1388:AU1671,$AB$1388:AB1671,"*",$AC$1388:AC1671,"*")</f>
        <v>3279.9999999999982</v>
      </c>
      <c r="BX1670" s="343">
        <f>SUMIFS($AV$1388:AV1671,$Q$1388:Q1671,"F")</f>
        <v>279.94786430960346</v>
      </c>
      <c r="BY1670" s="343">
        <f>SUMIFS($AV$1388:AV1671,$Q$1388:Q1671,"S")</f>
        <v>280.74781249396256</v>
      </c>
      <c r="BZ1670" s="343">
        <f>SUMIFS($AV$1388:AV1671,$Q$1388:Q1671,"O")</f>
        <v>520.73999999985608</v>
      </c>
    </row>
    <row r="1671" spans="1:78" ht="15.75" customHeight="1">
      <c r="A1671" s="177" t="s">
        <v>5612</v>
      </c>
      <c r="B1671" s="200">
        <v>45359</v>
      </c>
      <c r="C1671" s="178" t="s">
        <v>5671</v>
      </c>
      <c r="D1671" s="178" t="s">
        <v>111</v>
      </c>
      <c r="E1671" s="227"/>
      <c r="F1671" s="180"/>
      <c r="G1671" s="481" t="s">
        <v>5321</v>
      </c>
      <c r="H1671" s="182"/>
      <c r="I1671" s="182"/>
      <c r="J1671" s="182"/>
      <c r="K1671" s="183"/>
      <c r="L1671" s="182">
        <v>1</v>
      </c>
      <c r="M1671" s="182"/>
      <c r="N1671" s="182"/>
      <c r="O1671" s="183" t="s">
        <v>2652</v>
      </c>
      <c r="P1671" s="183" t="s">
        <v>137</v>
      </c>
      <c r="Q1671" s="183"/>
      <c r="R1671" s="183">
        <v>2</v>
      </c>
      <c r="S1671" s="183">
        <v>0</v>
      </c>
      <c r="T1671" s="183">
        <v>2</v>
      </c>
      <c r="U1671" s="183" t="s">
        <v>97</v>
      </c>
      <c r="V1671" s="183"/>
      <c r="W1671" s="183"/>
      <c r="X1671" s="183"/>
      <c r="Y1671" s="184">
        <f>IF(ISBLANK(O1671),"",(IF(O1671=UPPER("IB"),0.005,0.01)))</f>
        <v>0.01</v>
      </c>
      <c r="Z1671" s="185">
        <f>IF(ISBLANK(O1671),"",IF(O1671="IB",8.63*200,IF(O1671="IR",16*100,IF(O1671="YT",20*100,IF(O1671="YT-XT",24*200,IF(O1671="TED",80*100))))))</f>
        <v>8000</v>
      </c>
      <c r="AA1671" s="185" t="s">
        <v>99</v>
      </c>
      <c r="AB1671" s="185"/>
      <c r="AC1671" s="185"/>
      <c r="AD1671" s="649">
        <v>-0.23</v>
      </c>
      <c r="AE1671" s="182"/>
      <c r="AF1671" s="332"/>
      <c r="AG1671" s="182"/>
      <c r="AH1671" s="182"/>
      <c r="AI1671" s="182"/>
      <c r="AJ1671" s="640"/>
      <c r="AK1671" s="182"/>
      <c r="AL1671" s="496">
        <f t="shared" si="487"/>
        <v>-160</v>
      </c>
      <c r="AM1671" s="496">
        <f t="shared" si="478"/>
        <v>-320</v>
      </c>
      <c r="AN1671" s="626"/>
      <c r="AO1671" s="182"/>
      <c r="AP1671" s="182"/>
      <c r="AQ1671" s="332"/>
      <c r="AR1671" s="182"/>
      <c r="AS1671" s="189">
        <v>-0.23</v>
      </c>
      <c r="AT1671" s="189">
        <f>IF(ISBLANK(AS1671),,IF(U1671="S",AD1671-AS1671,AS1671-AD1671))</f>
        <v>0</v>
      </c>
      <c r="AU1671" s="187">
        <f>AV1671*R1671</f>
        <v>0</v>
      </c>
      <c r="AV1671" s="190">
        <f t="shared" ref="AV1671" si="489">IF(ISBLANK(AS1671),,(AT1671*Z1671))</f>
        <v>0</v>
      </c>
      <c r="AW1671" s="191" t="s">
        <v>115</v>
      </c>
      <c r="AX1671" s="551"/>
      <c r="AY1671" s="551"/>
      <c r="AZ1671" s="551"/>
      <c r="BA1671" s="551"/>
      <c r="BB1671" s="551"/>
      <c r="BC1671" s="551"/>
      <c r="BD1671" s="549"/>
      <c r="BE1671" s="550"/>
      <c r="BF1671" s="549"/>
      <c r="BG1671" s="391">
        <f>SUM($AV$1389:AV1671)</f>
        <v>1297.4356768034297</v>
      </c>
      <c r="BH1671" s="392">
        <f>SUM($AU$1389:AU1671)</f>
        <v>18038.979999999814</v>
      </c>
      <c r="BI1671" s="318">
        <f>SUMIFS($AU$1388:AU1672,$Q$1388:Q1672,"F")</f>
        <v>12708.400000000001</v>
      </c>
      <c r="BJ1671" s="318">
        <f>SUMIFS($AU$1388:AU1672,$Q$1388:Q1672,"S")</f>
        <v>3279.9999999999918</v>
      </c>
      <c r="BK1671" s="343">
        <f>SUMIFS($AU$1388:AU1672,$P$1388:P1672,"W")</f>
        <v>11277.579999999929</v>
      </c>
      <c r="BL1671" s="343">
        <f>SUMIFS($AU$1388:AU1672,$P$1388:P1672,"R")</f>
        <v>4981.9999999999991</v>
      </c>
      <c r="BM1671" s="343">
        <f>SUMIFS($AU$1388:AU1672,$AQ$1388:AQ1672,"M")</f>
        <v>5219.3799999995472</v>
      </c>
      <c r="BN1671" s="343">
        <f>SUMIFS($AU$1388:AU1672,$AQ$1388:AQ1672,"H")</f>
        <v>2955.200000000259</v>
      </c>
      <c r="BO1671" s="343">
        <f>SUMIFS($AU$1388:AU1672,$AQ$1388:AQ1672,"D")</f>
        <v>4626.0000000000009</v>
      </c>
      <c r="BP1671" s="343">
        <f>SUMIFS($AU$1388:AU1759,$AQ$1388:AQ1759,"W")</f>
        <v>12022.400000000001</v>
      </c>
      <c r="BQ1671" s="343">
        <f>SUMIFS($AU$1388:AU1672,$Q$1388:Q1672,"O")</f>
        <v>1770.5799999998073</v>
      </c>
      <c r="BR1671" s="343">
        <f>SUMIFS($AU$1388:AU1672,$AA$1388:AA1672,"*")</f>
        <v>15823.799999999699</v>
      </c>
      <c r="BS1671" s="343">
        <f>SUMIFS($AU$1388:AU1672,$AB$1388:AB1672,"*")</f>
        <v>6567.1799999999312</v>
      </c>
      <c r="BT1671" s="343">
        <f>SUMIFS($AU$1388:AU1672,$AC$1388:AC1672,"*")</f>
        <v>9588.4</v>
      </c>
      <c r="BU1671" s="343">
        <f>SUMIFS($AU$1388:AU1672,$AA$1388:AA1672,"*",$AB$1388:AB1672,"*")</f>
        <v>4415.9999999998217</v>
      </c>
      <c r="BV1671" s="343">
        <f>SUMIFS($AU$1388:AU1672,$AA$1388:AA1672,"*",$AC$1388:AC1672,"*")</f>
        <v>9124.4</v>
      </c>
      <c r="BW1671" s="343">
        <f>SUMIFS($AU$1388:AU1672,$AB$1388:AB1672,"*",$AC$1388:AC1672,"*")</f>
        <v>3279.9999999999982</v>
      </c>
      <c r="BX1671" s="343">
        <f>SUMIFS($AV$1388:AV1672,$Q$1388:Q1672,"F")</f>
        <v>279.94786430960346</v>
      </c>
      <c r="BY1671" s="343">
        <f>SUMIFS($AV$1388:AV1672,$Q$1388:Q1672,"S")</f>
        <v>280.74781249396256</v>
      </c>
      <c r="BZ1671" s="343">
        <f>SUMIFS($AV$1388:AV1672,$Q$1388:Q1672,"O")</f>
        <v>520.73999999985608</v>
      </c>
    </row>
    <row r="1672" spans="1:78" ht="15.75" customHeight="1">
      <c r="A1672" s="177" t="s">
        <v>5612</v>
      </c>
      <c r="B1672" s="200"/>
      <c r="C1672" s="178"/>
      <c r="D1672" s="178"/>
      <c r="E1672" s="227"/>
      <c r="F1672" s="180"/>
      <c r="G1672" s="181"/>
      <c r="H1672" s="182"/>
      <c r="I1672" s="182"/>
      <c r="J1672" s="182"/>
      <c r="K1672" s="183"/>
      <c r="L1672" s="182"/>
      <c r="M1672" s="182"/>
      <c r="N1672" s="182"/>
      <c r="O1672" s="183"/>
      <c r="P1672" s="183"/>
      <c r="Q1672" s="183"/>
      <c r="R1672" s="183"/>
      <c r="S1672" s="183"/>
      <c r="T1672" s="183"/>
      <c r="U1672" s="183"/>
      <c r="V1672" s="183"/>
      <c r="W1672" s="183"/>
      <c r="X1672" s="183"/>
      <c r="Y1672" s="184"/>
      <c r="Z1672" s="185"/>
      <c r="AA1672" s="185"/>
      <c r="AB1672" s="185"/>
      <c r="AC1672" s="185"/>
      <c r="AD1672" s="649"/>
      <c r="AE1672" s="182"/>
      <c r="AF1672" s="332"/>
      <c r="AG1672" s="182"/>
      <c r="AH1672" s="182"/>
      <c r="AI1672" s="182"/>
      <c r="AJ1672" s="640"/>
      <c r="AK1672" s="182"/>
      <c r="AL1672" s="496">
        <f t="shared" si="487"/>
        <v>0</v>
      </c>
      <c r="AM1672" s="496">
        <f t="shared" si="478"/>
        <v>0</v>
      </c>
      <c r="AN1672" s="626"/>
      <c r="AO1672" s="182"/>
      <c r="AP1672" s="182"/>
      <c r="AQ1672" s="332" t="str">
        <f>UPPER(RIGHT(Journal_Live[[#This Row],[DURATION ]]))</f>
        <v/>
      </c>
      <c r="AR1672" s="182"/>
      <c r="AS1672" s="189"/>
      <c r="AT1672" s="189"/>
      <c r="AU1672" s="187"/>
      <c r="AV1672" s="190"/>
      <c r="AW1672" s="191"/>
      <c r="AX1672" s="417" t="s">
        <v>5674</v>
      </c>
      <c r="AY1672" s="551" t="s">
        <v>5675</v>
      </c>
      <c r="AZ1672" s="551" t="s">
        <v>5676</v>
      </c>
      <c r="BA1672" s="549" t="s">
        <v>5677</v>
      </c>
      <c r="BB1672" s="551" t="s">
        <v>5678</v>
      </c>
      <c r="BC1672" s="551"/>
      <c r="BD1672" s="549"/>
      <c r="BE1672" s="550"/>
      <c r="BF1672" s="549"/>
      <c r="BG1672" s="391">
        <f>SUM($AV$1389:AV1672)</f>
        <v>1297.4356768034297</v>
      </c>
      <c r="BH1672" s="392">
        <f>SUM($AU$1389:AU1672)</f>
        <v>18038.979999999814</v>
      </c>
      <c r="BI1672" s="318">
        <f>SUMIFS($AU$1388:AU1673,$Q$1388:Q1673,"F")</f>
        <v>12708.400000000001</v>
      </c>
      <c r="BJ1672" s="318">
        <f>SUMIFS($AU$1388:AU1673,$Q$1388:Q1673,"S")</f>
        <v>3279.9999999999918</v>
      </c>
      <c r="BK1672" s="343">
        <f>SUMIFS($AU$1388:AU1673,$P$1388:P1673,"W")</f>
        <v>11277.579999999929</v>
      </c>
      <c r="BL1672" s="343">
        <f>SUMIFS($AU$1388:AU1673,$P$1388:P1673,"R")</f>
        <v>4981.9999999999991</v>
      </c>
      <c r="BM1672" s="343">
        <f>SUMIFS($AU$1388:AU1673,$AQ$1388:AQ1673,"M")</f>
        <v>5219.3799999995472</v>
      </c>
      <c r="BN1672" s="343">
        <f>SUMIFS($AU$1388:AU1673,$AQ$1388:AQ1673,"H")</f>
        <v>2955.200000000259</v>
      </c>
      <c r="BO1672" s="343">
        <f>SUMIFS($AU$1388:AU1673,$AQ$1388:AQ1673,"D")</f>
        <v>4626.0000000000009</v>
      </c>
      <c r="BP1672" s="343">
        <f>SUMIFS($AU$1388:AU1760,$AQ$1388:AQ1760,"W")</f>
        <v>12022.400000000001</v>
      </c>
      <c r="BQ1672" s="343">
        <f>SUMIFS($AU$1388:AU1673,$Q$1388:Q1673,"O")</f>
        <v>1770.5799999998073</v>
      </c>
      <c r="BR1672" s="343">
        <f>SUMIFS($AU$1388:AU1673,$AA$1388:AA1673,"*")</f>
        <v>15823.799999999699</v>
      </c>
      <c r="BS1672" s="343">
        <f>SUMIFS($AU$1388:AU1673,$AB$1388:AB1673,"*")</f>
        <v>6567.1799999999312</v>
      </c>
      <c r="BT1672" s="343">
        <f>SUMIFS($AU$1388:AU1673,$AC$1388:AC1673,"*")</f>
        <v>9588.4</v>
      </c>
      <c r="BU1672" s="343">
        <f>SUMIFS($AU$1388:AU1673,$AA$1388:AA1673,"*",$AB$1388:AB1673,"*")</f>
        <v>4415.9999999998217</v>
      </c>
      <c r="BV1672" s="343">
        <f>SUMIFS($AU$1388:AU1673,$AA$1388:AA1673,"*",$AC$1388:AC1673,"*")</f>
        <v>9124.4</v>
      </c>
      <c r="BW1672" s="343">
        <f>SUMIFS($AU$1388:AU1673,$AB$1388:AB1673,"*",$AC$1388:AC1673,"*")</f>
        <v>3279.9999999999982</v>
      </c>
      <c r="BX1672" s="343">
        <f>SUMIFS($AV$1388:AV1673,$Q$1388:Q1673,"F")</f>
        <v>279.94786430960346</v>
      </c>
      <c r="BY1672" s="343">
        <f>SUMIFS($AV$1388:AV1673,$Q$1388:Q1673,"S")</f>
        <v>280.74781249396256</v>
      </c>
      <c r="BZ1672" s="343">
        <f>SUMIFS($AV$1388:AV1673,$Q$1388:Q1673,"O")</f>
        <v>520.73999999985608</v>
      </c>
    </row>
    <row r="1673" spans="1:78" ht="15.75" customHeight="1">
      <c r="A1673" s="177" t="s">
        <v>5612</v>
      </c>
      <c r="B1673" s="200"/>
      <c r="C1673" s="178"/>
      <c r="D1673" s="178"/>
      <c r="E1673" s="227"/>
      <c r="F1673" s="180"/>
      <c r="G1673" s="181"/>
      <c r="H1673" s="182"/>
      <c r="I1673" s="182"/>
      <c r="J1673" s="182"/>
      <c r="K1673" s="183"/>
      <c r="L1673" s="182"/>
      <c r="M1673" s="182"/>
      <c r="N1673" s="182"/>
      <c r="O1673" s="183"/>
      <c r="P1673" s="183"/>
      <c r="Q1673" s="183"/>
      <c r="R1673" s="183"/>
      <c r="S1673" s="183"/>
      <c r="T1673" s="183"/>
      <c r="U1673" s="183"/>
      <c r="V1673" s="183"/>
      <c r="W1673" s="183"/>
      <c r="X1673" s="183"/>
      <c r="Y1673" s="184"/>
      <c r="Z1673" s="185"/>
      <c r="AA1673" s="185"/>
      <c r="AB1673" s="185"/>
      <c r="AC1673" s="185"/>
      <c r="AD1673" s="649"/>
      <c r="AE1673" s="182"/>
      <c r="AF1673" s="332"/>
      <c r="AG1673" s="182"/>
      <c r="AH1673" s="182"/>
      <c r="AI1673" s="182"/>
      <c r="AJ1673" s="640"/>
      <c r="AK1673" s="182"/>
      <c r="AL1673" s="496">
        <f t="shared" si="487"/>
        <v>0</v>
      </c>
      <c r="AM1673" s="496">
        <f t="shared" si="478"/>
        <v>0</v>
      </c>
      <c r="AN1673" s="626"/>
      <c r="AO1673" s="182"/>
      <c r="AP1673" s="182"/>
      <c r="AQ1673" s="332" t="str">
        <f>UPPER(RIGHT(Journal_Live[[#This Row],[DURATION ]]))</f>
        <v/>
      </c>
      <c r="AR1673" s="182"/>
      <c r="AS1673" s="189"/>
      <c r="AT1673" s="189"/>
      <c r="AU1673" s="187"/>
      <c r="AV1673" s="190"/>
      <c r="AW1673" s="191"/>
      <c r="AX1673" s="551" t="s">
        <v>5679</v>
      </c>
      <c r="AY1673" s="551" t="s">
        <v>5680</v>
      </c>
      <c r="AZ1673" s="551" t="s">
        <v>5681</v>
      </c>
      <c r="BA1673" s="551" t="s">
        <v>5682</v>
      </c>
      <c r="BB1673" s="551" t="s">
        <v>5683</v>
      </c>
      <c r="BC1673" s="551"/>
      <c r="BD1673" s="549"/>
      <c r="BE1673" s="550"/>
      <c r="BF1673" s="549"/>
      <c r="BG1673" s="391">
        <f>SUM($AV$1389:AV1673)</f>
        <v>1297.4356768034297</v>
      </c>
      <c r="BH1673" s="392">
        <f>SUM($AU$1389:AU1673)</f>
        <v>18038.979999999814</v>
      </c>
      <c r="BI1673" s="318">
        <f>SUMIFS($AU$1388:AU1674,$Q$1388:Q1674,"F")</f>
        <v>12708.400000000001</v>
      </c>
      <c r="BJ1673" s="318">
        <f>SUMIFS($AU$1388:AU1674,$Q$1388:Q1674,"S")</f>
        <v>3759.9999999999932</v>
      </c>
      <c r="BK1673" s="343">
        <f>SUMIFS($AU$1388:AU1674,$P$1388:P1674,"W")</f>
        <v>11757.579999999931</v>
      </c>
      <c r="BL1673" s="343">
        <f>SUMIFS($AU$1388:AU1674,$P$1388:P1674,"R")</f>
        <v>4981.9999999999991</v>
      </c>
      <c r="BM1673" s="343">
        <f>SUMIFS($AU$1388:AU1674,$AQ$1388:AQ1674,"M")</f>
        <v>5219.3799999995472</v>
      </c>
      <c r="BN1673" s="343">
        <f>SUMIFS($AU$1388:AU1674,$AQ$1388:AQ1674,"H")</f>
        <v>3435.2000000002604</v>
      </c>
      <c r="BO1673" s="343">
        <f>SUMIFS($AU$1388:AU1674,$AQ$1388:AQ1674,"D")</f>
        <v>4626.0000000000009</v>
      </c>
      <c r="BP1673" s="343">
        <f>SUMIFS($AU$1388:AU1761,$AQ$1388:AQ1761,"W")</f>
        <v>12022.400000000001</v>
      </c>
      <c r="BQ1673" s="343">
        <f>SUMIFS($AU$1388:AU1674,$Q$1388:Q1674,"O")</f>
        <v>1770.5799999998073</v>
      </c>
      <c r="BR1673" s="343">
        <f>SUMIFS($AU$1388:AU1674,$AA$1388:AA1674,"*")</f>
        <v>16303.799999999701</v>
      </c>
      <c r="BS1673" s="343">
        <f>SUMIFS($AU$1388:AU1674,$AB$1388:AB1674,"*")</f>
        <v>6567.1799999999312</v>
      </c>
      <c r="BT1673" s="343">
        <f>SUMIFS($AU$1388:AU1674,$AC$1388:AC1674,"*")</f>
        <v>9588.4</v>
      </c>
      <c r="BU1673" s="343">
        <f>SUMIFS($AU$1388:AU1674,$AA$1388:AA1674,"*",$AB$1388:AB1674,"*")</f>
        <v>4415.9999999998217</v>
      </c>
      <c r="BV1673" s="343">
        <f>SUMIFS($AU$1388:AU1674,$AA$1388:AA1674,"*",$AC$1388:AC1674,"*")</f>
        <v>9124.4</v>
      </c>
      <c r="BW1673" s="343">
        <f>SUMIFS($AU$1388:AU1674,$AB$1388:AB1674,"*",$AC$1388:AC1674,"*")</f>
        <v>3279.9999999999982</v>
      </c>
      <c r="BX1673" s="343">
        <f>SUMIFS($AV$1388:AV1674,$Q$1388:Q1674,"F")</f>
        <v>279.94786430960346</v>
      </c>
      <c r="BY1673" s="343">
        <f>SUMIFS($AV$1388:AV1674,$Q$1388:Q1674,"S")</f>
        <v>290.34781249396258</v>
      </c>
      <c r="BZ1673" s="343">
        <f>SUMIFS($AV$1388:AV1674,$Q$1388:Q1674,"O")</f>
        <v>520.73999999985608</v>
      </c>
    </row>
    <row r="1674" spans="1:78" ht="15.75" customHeight="1">
      <c r="A1674" s="177" t="s">
        <v>5612</v>
      </c>
      <c r="B1674" s="200">
        <v>45359</v>
      </c>
      <c r="C1674" s="178" t="s">
        <v>341</v>
      </c>
      <c r="D1674" s="178" t="s">
        <v>111</v>
      </c>
      <c r="E1674" s="227"/>
      <c r="F1674" s="180"/>
      <c r="G1674" s="481" t="s">
        <v>2070</v>
      </c>
      <c r="H1674" s="182"/>
      <c r="I1674" s="182"/>
      <c r="J1674" s="182"/>
      <c r="K1674" s="183"/>
      <c r="L1674" s="182"/>
      <c r="M1674" s="182">
        <v>1</v>
      </c>
      <c r="N1674" s="182"/>
      <c r="O1674" s="183" t="s">
        <v>95</v>
      </c>
      <c r="P1674" s="183" t="s">
        <v>96</v>
      </c>
      <c r="Q1674" s="183" t="s">
        <v>97</v>
      </c>
      <c r="R1674" s="183">
        <v>50</v>
      </c>
      <c r="S1674" s="183">
        <v>0</v>
      </c>
      <c r="T1674" s="183">
        <v>30</v>
      </c>
      <c r="U1674" s="183" t="s">
        <v>97</v>
      </c>
      <c r="V1674" s="183"/>
      <c r="W1674" s="183"/>
      <c r="X1674" s="183"/>
      <c r="Y1674" s="184">
        <f>IF(ISBLANK(O1674),"",(IF(O1674=UPPER("IB"),0.005,0.01)))</f>
        <v>0.01</v>
      </c>
      <c r="Z1674" s="185">
        <f>IF(ISBLANK(O1674),"",IF(O1674="IB",8.63*200,IF(O1674="IR",16*100,IF(O1674="YT",20*100,IF(O1674="YT-XT",24*200,IF(O1674="TED",80*100))))))</f>
        <v>1600</v>
      </c>
      <c r="AA1674" s="185" t="s">
        <v>5492</v>
      </c>
      <c r="AB1674" s="185"/>
      <c r="AC1674" s="185"/>
      <c r="AD1674" s="649">
        <f>((-0.12*30)+(-0.13*20))/50</f>
        <v>-0.12399999999999999</v>
      </c>
      <c r="AE1674" s="182"/>
      <c r="AF1674" s="332"/>
      <c r="AG1674" s="182"/>
      <c r="AH1674" s="182"/>
      <c r="AI1674" s="182"/>
      <c r="AJ1674" s="640"/>
      <c r="AK1674" s="182"/>
      <c r="AL1674" s="496">
        <f t="shared" si="487"/>
        <v>-32</v>
      </c>
      <c r="AM1674" s="496">
        <f t="shared" si="478"/>
        <v>-1600</v>
      </c>
      <c r="AN1674" s="626"/>
      <c r="AO1674" s="182"/>
      <c r="AP1674" s="182" t="s">
        <v>1930</v>
      </c>
      <c r="AQ1674" s="332" t="s">
        <v>372</v>
      </c>
      <c r="AR1674" s="182" t="s">
        <v>5684</v>
      </c>
      <c r="AS1674" s="189">
        <v>-0.13</v>
      </c>
      <c r="AT1674" s="189">
        <f>IF(ISBLANK(AS1674),,IF(U1674="S",AD1674-AS1674,AS1674-AD1674))</f>
        <v>6.0000000000000192E-3</v>
      </c>
      <c r="AU1674" s="187">
        <f>AV1674*R1674</f>
        <v>480.00000000000148</v>
      </c>
      <c r="AV1674" s="190">
        <f t="shared" ref="AV1674:AV1677" si="490">IF(ISBLANK(AS1674),,(AT1674*Z1674))</f>
        <v>9.6000000000000298</v>
      </c>
      <c r="AW1674" s="191" t="s">
        <v>96</v>
      </c>
      <c r="AX1674" s="551" t="s">
        <v>2182</v>
      </c>
      <c r="AY1674" s="551"/>
      <c r="AZ1674" s="551">
        <f>1144-480</f>
        <v>664</v>
      </c>
      <c r="BA1674" s="551" t="s">
        <v>5685</v>
      </c>
      <c r="BB1674" s="551"/>
      <c r="BC1674" s="551"/>
      <c r="BD1674" s="549"/>
      <c r="BE1674" s="550"/>
      <c r="BF1674" s="549"/>
      <c r="BG1674" s="391">
        <f>SUM($AV$1389:AV1674)</f>
        <v>1307.0356768034299</v>
      </c>
      <c r="BH1674" s="392">
        <f>SUM($AU$1389:AU1674)</f>
        <v>18518.979999999814</v>
      </c>
      <c r="BI1674" s="318">
        <f>SUMIFS($AU$1388:AU1675,$Q$1388:Q1675,"F")</f>
        <v>12708.400000000001</v>
      </c>
      <c r="BJ1674" s="318">
        <f>SUMIFS($AU$1388:AU1675,$Q$1388:Q1675,"S")</f>
        <v>3759.9999999999932</v>
      </c>
      <c r="BK1674" s="343">
        <f>SUMIFS($AU$1388:AU1675,$P$1388:P1675,"W")</f>
        <v>11757.579999999931</v>
      </c>
      <c r="BL1674" s="343">
        <f>SUMIFS($AU$1388:AU1675,$P$1388:P1675,"R")</f>
        <v>4981.9999999999991</v>
      </c>
      <c r="BM1674" s="343">
        <f>SUMIFS($AU$1388:AU1675,$AQ$1388:AQ1675,"M")</f>
        <v>5219.3799999995472</v>
      </c>
      <c r="BN1674" s="343">
        <f>SUMIFS($AU$1388:AU1675,$AQ$1388:AQ1675,"H")</f>
        <v>3435.2000000002604</v>
      </c>
      <c r="BO1674" s="343">
        <f>SUMIFS($AU$1388:AU1675,$AQ$1388:AQ1675,"D")</f>
        <v>4626.0000000000009</v>
      </c>
      <c r="BP1674" s="343">
        <f>SUMIFS($AU$1388:AU1762,$AQ$1388:AQ1762,"W")</f>
        <v>12022.400000000001</v>
      </c>
      <c r="BQ1674" s="343">
        <f>SUMIFS($AU$1388:AU1675,$Q$1388:Q1675,"O")</f>
        <v>1770.5799999998073</v>
      </c>
      <c r="BR1674" s="343">
        <f>SUMIFS($AU$1388:AU1675,$AA$1388:AA1675,"*")</f>
        <v>16303.799999999701</v>
      </c>
      <c r="BS1674" s="343">
        <f>SUMIFS($AU$1388:AU1675,$AB$1388:AB1675,"*")</f>
        <v>6567.1799999999312</v>
      </c>
      <c r="BT1674" s="343">
        <f>SUMIFS($AU$1388:AU1675,$AC$1388:AC1675,"*")</f>
        <v>9588.4</v>
      </c>
      <c r="BU1674" s="343">
        <f>SUMIFS($AU$1388:AU1675,$AA$1388:AA1675,"*",$AB$1388:AB1675,"*")</f>
        <v>4415.9999999998217</v>
      </c>
      <c r="BV1674" s="343">
        <f>SUMIFS($AU$1388:AU1675,$AA$1388:AA1675,"*",$AC$1388:AC1675,"*")</f>
        <v>9124.4</v>
      </c>
      <c r="BW1674" s="343">
        <f>SUMIFS($AU$1388:AU1675,$AB$1388:AB1675,"*",$AC$1388:AC1675,"*")</f>
        <v>3279.9999999999982</v>
      </c>
      <c r="BX1674" s="343">
        <f>SUMIFS($AV$1388:AV1675,$Q$1388:Q1675,"F")</f>
        <v>279.94786430960346</v>
      </c>
      <c r="BY1674" s="343">
        <f>SUMIFS($AV$1388:AV1675,$Q$1388:Q1675,"S")</f>
        <v>290.34781249396258</v>
      </c>
      <c r="BZ1674" s="343">
        <f>SUMIFS($AV$1388:AV1675,$Q$1388:Q1675,"O")</f>
        <v>520.73999999985608</v>
      </c>
    </row>
    <row r="1675" spans="1:78" ht="15.75" customHeight="1">
      <c r="A1675" s="177" t="s">
        <v>5612</v>
      </c>
      <c r="B1675" s="200">
        <v>45359</v>
      </c>
      <c r="C1675" s="178" t="s">
        <v>1344</v>
      </c>
      <c r="D1675" s="178" t="s">
        <v>111</v>
      </c>
      <c r="E1675" s="227" t="s">
        <v>5686</v>
      </c>
      <c r="F1675" s="180" t="s">
        <v>5687</v>
      </c>
      <c r="G1675" s="181"/>
      <c r="H1675" s="182">
        <v>1</v>
      </c>
      <c r="I1675" s="182"/>
      <c r="J1675" s="182"/>
      <c r="K1675" s="183" t="s">
        <v>372</v>
      </c>
      <c r="L1675" s="182"/>
      <c r="M1675" s="182"/>
      <c r="N1675" s="182"/>
      <c r="O1675" s="183"/>
      <c r="P1675" s="183"/>
      <c r="Q1675" s="183"/>
      <c r="R1675" s="183"/>
      <c r="S1675" s="183"/>
      <c r="T1675" s="183"/>
      <c r="U1675" s="183"/>
      <c r="V1675" s="183"/>
      <c r="W1675" s="183"/>
      <c r="X1675" s="183"/>
      <c r="Y1675" s="184" t="str">
        <f>IF(ISBLANK(O1675),"",(IF(O1675=UPPER("IB"),0.005,0.01)))</f>
        <v/>
      </c>
      <c r="Z1675" s="185"/>
      <c r="AA1675" s="185"/>
      <c r="AB1675" s="185"/>
      <c r="AC1675" s="185"/>
      <c r="AD1675" s="649"/>
      <c r="AE1675" s="182"/>
      <c r="AF1675" s="332"/>
      <c r="AG1675" s="182"/>
      <c r="AH1675" s="182"/>
      <c r="AI1675" s="182"/>
      <c r="AJ1675" s="640"/>
      <c r="AK1675" s="182"/>
      <c r="AL1675" s="496">
        <f>-0.02*Z1675</f>
        <v>0</v>
      </c>
      <c r="AM1675" s="496">
        <f t="shared" si="478"/>
        <v>0</v>
      </c>
      <c r="AN1675" s="626"/>
      <c r="AO1675" s="182"/>
      <c r="AP1675" s="182"/>
      <c r="AQ1675" s="332" t="str">
        <f>UPPER(RIGHT(Journal_Live[[#This Row],[DURATION ]]))</f>
        <v/>
      </c>
      <c r="AR1675" s="182"/>
      <c r="AS1675" s="189"/>
      <c r="AT1675" s="189"/>
      <c r="AU1675" s="187"/>
      <c r="AV1675" s="190"/>
      <c r="AW1675" s="191"/>
      <c r="AX1675" s="551"/>
      <c r="AY1675" s="551"/>
      <c r="AZ1675" s="551"/>
      <c r="BA1675" s="551"/>
      <c r="BB1675" s="551"/>
      <c r="BC1675" s="551"/>
      <c r="BD1675" s="549"/>
      <c r="BE1675" s="550"/>
      <c r="BF1675" s="549"/>
      <c r="BG1675" s="391">
        <f>SUM($AV$1389:AV1675)</f>
        <v>1307.0356768034299</v>
      </c>
      <c r="BH1675" s="392">
        <f>SUM($AU$1389:AU1675)</f>
        <v>18518.979999999814</v>
      </c>
      <c r="BI1675" s="318">
        <f>SUMIFS($AU$1388:AU1676,$Q$1388:Q1676,"F")</f>
        <v>12708.400000000001</v>
      </c>
      <c r="BJ1675" s="318">
        <f>SUMIFS($AU$1388:AU1676,$Q$1388:Q1676,"S")</f>
        <v>3759.9999999999932</v>
      </c>
      <c r="BK1675" s="343">
        <f>SUMIFS($AU$1388:AU1676,$P$1388:P1676,"W")</f>
        <v>11757.579999999931</v>
      </c>
      <c r="BL1675" s="343">
        <f>SUMIFS($AU$1388:AU1676,$P$1388:P1676,"R")</f>
        <v>4981.9999999999991</v>
      </c>
      <c r="BM1675" s="343">
        <f>SUMIFS($AU$1388:AU1676,$AQ$1388:AQ1676,"M")</f>
        <v>5219.3799999995472</v>
      </c>
      <c r="BN1675" s="343">
        <f>SUMIFS($AU$1388:AU1676,$AQ$1388:AQ1676,"H")</f>
        <v>3435.2000000002604</v>
      </c>
      <c r="BO1675" s="343">
        <f>SUMIFS($AU$1388:AU1676,$AQ$1388:AQ1676,"D")</f>
        <v>4626.0000000000009</v>
      </c>
      <c r="BP1675" s="343">
        <f>SUMIFS($AU$1388:AU1763,$AQ$1388:AQ1763,"W")</f>
        <v>12022.400000000001</v>
      </c>
      <c r="BQ1675" s="343">
        <f>SUMIFS($AU$1388:AU1676,$Q$1388:Q1676,"O")</f>
        <v>1770.5799999998073</v>
      </c>
      <c r="BR1675" s="343">
        <f>SUMIFS($AU$1388:AU1676,$AA$1388:AA1676,"*")</f>
        <v>16303.799999999701</v>
      </c>
      <c r="BS1675" s="343">
        <f>SUMIFS($AU$1388:AU1676,$AB$1388:AB1676,"*")</f>
        <v>6567.1799999999312</v>
      </c>
      <c r="BT1675" s="343">
        <f>SUMIFS($AU$1388:AU1676,$AC$1388:AC1676,"*")</f>
        <v>9588.4</v>
      </c>
      <c r="BU1675" s="343">
        <f>SUMIFS($AU$1388:AU1676,$AA$1388:AA1676,"*",$AB$1388:AB1676,"*")</f>
        <v>4415.9999999998217</v>
      </c>
      <c r="BV1675" s="343">
        <f>SUMIFS($AU$1388:AU1676,$AA$1388:AA1676,"*",$AC$1388:AC1676,"*")</f>
        <v>9124.4</v>
      </c>
      <c r="BW1675" s="343">
        <f>SUMIFS($AU$1388:AU1676,$AB$1388:AB1676,"*",$AC$1388:AC1676,"*")</f>
        <v>3279.9999999999982</v>
      </c>
      <c r="BX1675" s="343">
        <f>SUMIFS($AV$1388:AV1676,$Q$1388:Q1676,"F")</f>
        <v>279.94786430960346</v>
      </c>
      <c r="BY1675" s="343">
        <f>SUMIFS($AV$1388:AV1676,$Q$1388:Q1676,"S")</f>
        <v>290.34781249396258</v>
      </c>
      <c r="BZ1675" s="343">
        <f>SUMIFS($AV$1388:AV1676,$Q$1388:Q1676,"O")</f>
        <v>520.73999999985608</v>
      </c>
    </row>
    <row r="1676" spans="1:78" ht="15.75" customHeight="1">
      <c r="A1676" s="177" t="s">
        <v>5612</v>
      </c>
      <c r="B1676" s="200"/>
      <c r="C1676" s="178"/>
      <c r="D1676" s="178"/>
      <c r="E1676" s="227" t="s">
        <v>5688</v>
      </c>
      <c r="F1676" s="180"/>
      <c r="G1676" s="181"/>
      <c r="H1676" s="182">
        <v>1</v>
      </c>
      <c r="I1676" s="182"/>
      <c r="J1676" s="182"/>
      <c r="K1676" s="183" t="s">
        <v>115</v>
      </c>
      <c r="L1676" s="182"/>
      <c r="M1676" s="182"/>
      <c r="N1676" s="182"/>
      <c r="O1676" s="183"/>
      <c r="P1676" s="183"/>
      <c r="Q1676" s="183"/>
      <c r="R1676" s="183"/>
      <c r="S1676" s="183"/>
      <c r="T1676" s="183"/>
      <c r="U1676" s="183"/>
      <c r="V1676" s="183"/>
      <c r="W1676" s="183"/>
      <c r="X1676" s="183"/>
      <c r="Y1676" s="183"/>
      <c r="Z1676" s="183"/>
      <c r="AA1676" s="185"/>
      <c r="AB1676" s="185"/>
      <c r="AC1676" s="185"/>
      <c r="AD1676" s="649"/>
      <c r="AE1676" s="182"/>
      <c r="AF1676" s="332"/>
      <c r="AG1676" s="182"/>
      <c r="AH1676" s="182"/>
      <c r="AI1676" s="182"/>
      <c r="AJ1676" s="640"/>
      <c r="AK1676" s="182"/>
      <c r="AL1676" s="496">
        <f t="shared" si="487"/>
        <v>0</v>
      </c>
      <c r="AM1676" s="496">
        <f t="shared" si="478"/>
        <v>0</v>
      </c>
      <c r="AN1676" s="626"/>
      <c r="AO1676" s="182"/>
      <c r="AP1676" s="182"/>
      <c r="AQ1676" s="332" t="str">
        <f>UPPER(RIGHT(Journal_Live[[#This Row],[DURATION ]]))</f>
        <v/>
      </c>
      <c r="AR1676" s="182"/>
      <c r="AS1676" s="189"/>
      <c r="AT1676" s="189"/>
      <c r="AU1676" s="187"/>
      <c r="AV1676" s="190"/>
      <c r="AW1676" s="191"/>
      <c r="AX1676" s="551"/>
      <c r="AY1676" s="551"/>
      <c r="AZ1676" s="551"/>
      <c r="BA1676" s="551"/>
      <c r="BB1676" s="551"/>
      <c r="BC1676" s="551"/>
      <c r="BD1676" s="549"/>
      <c r="BE1676" s="550"/>
      <c r="BF1676" s="549"/>
      <c r="BG1676" s="391">
        <f>SUM($AV$1389:AV1676)</f>
        <v>1307.0356768034299</v>
      </c>
      <c r="BH1676" s="392">
        <f>SUM($AU$1389:AU1676)</f>
        <v>18518.979999999814</v>
      </c>
      <c r="BI1676" s="318">
        <f>SUMIFS($AU$1388:AU1677,$Q$1388:Q1677,"F")</f>
        <v>12708.400000000001</v>
      </c>
      <c r="BJ1676" s="318">
        <f>SUMIFS($AU$1388:AU1677,$Q$1388:Q1677,"S")</f>
        <v>3759.9999999999932</v>
      </c>
      <c r="BK1676" s="343">
        <f>SUMIFS($AU$1388:AU1677,$P$1388:P1677,"W")</f>
        <v>11757.579999999931</v>
      </c>
      <c r="BL1676" s="343">
        <f>SUMIFS($AU$1388:AU1677,$P$1388:P1677,"R")</f>
        <v>4981.9999999999991</v>
      </c>
      <c r="BM1676" s="343">
        <f>SUMIFS($AU$1388:AU1677,$AQ$1388:AQ1677,"M")</f>
        <v>4848.1799999997529</v>
      </c>
      <c r="BN1676" s="343">
        <f>SUMIFS($AU$1388:AU1677,$AQ$1388:AQ1677,"H")</f>
        <v>3435.2000000002604</v>
      </c>
      <c r="BO1676" s="343">
        <f>SUMIFS($AU$1388:AU1677,$AQ$1388:AQ1677,"D")</f>
        <v>4626.0000000000009</v>
      </c>
      <c r="BP1676" s="343">
        <f>SUMIFS($AU$1388:AU1764,$AQ$1388:AQ1764,"W")</f>
        <v>12022.400000000001</v>
      </c>
      <c r="BQ1676" s="343">
        <f>SUMIFS($AU$1388:AU1677,$Q$1388:Q1677,"O")</f>
        <v>1399.3800000000131</v>
      </c>
      <c r="BR1676" s="343">
        <f>SUMIFS($AU$1388:AU1677,$AA$1388:AA1677,"*")</f>
        <v>15932.599999999908</v>
      </c>
      <c r="BS1676" s="343">
        <f>SUMIFS($AU$1388:AU1677,$AB$1388:AB1677,"*")</f>
        <v>6567.1799999999312</v>
      </c>
      <c r="BT1676" s="343">
        <f>SUMIFS($AU$1388:AU1677,$AC$1388:AC1677,"*")</f>
        <v>9588.4</v>
      </c>
      <c r="BU1676" s="343">
        <f>SUMIFS($AU$1388:AU1677,$AA$1388:AA1677,"*",$AB$1388:AB1677,"*")</f>
        <v>4415.9999999998217</v>
      </c>
      <c r="BV1676" s="343">
        <f>SUMIFS($AU$1388:AU1677,$AA$1388:AA1677,"*",$AC$1388:AC1677,"*")</f>
        <v>9124.4</v>
      </c>
      <c r="BW1676" s="343">
        <f>SUMIFS($AU$1388:AU1677,$AB$1388:AB1677,"*",$AC$1388:AC1677,"*")</f>
        <v>3279.9999999999982</v>
      </c>
      <c r="BX1676" s="343">
        <f>SUMIFS($AV$1388:AV1677,$Q$1388:Q1677,"F")</f>
        <v>279.94786430960346</v>
      </c>
      <c r="BY1676" s="343">
        <f>SUMIFS($AV$1388:AV1677,$Q$1388:Q1677,"S")</f>
        <v>290.34781249396258</v>
      </c>
      <c r="BZ1676" s="343">
        <f>SUMIFS($AV$1388:AV1677,$Q$1388:Q1677,"O")</f>
        <v>474.3399999998818</v>
      </c>
    </row>
    <row r="1677" spans="1:78" ht="15.75" customHeight="1">
      <c r="A1677" s="177" t="s">
        <v>5612</v>
      </c>
      <c r="B1677" s="200">
        <v>45359</v>
      </c>
      <c r="C1677" s="178" t="s">
        <v>682</v>
      </c>
      <c r="D1677" s="178" t="s">
        <v>111</v>
      </c>
      <c r="E1677" s="227"/>
      <c r="F1677" s="180"/>
      <c r="G1677" s="181" t="s">
        <v>4887</v>
      </c>
      <c r="H1677" s="182"/>
      <c r="I1677" s="182"/>
      <c r="J1677" s="182"/>
      <c r="K1677" s="183"/>
      <c r="L1677" s="182">
        <v>1</v>
      </c>
      <c r="M1677" s="182"/>
      <c r="N1677" s="182"/>
      <c r="O1677" s="183" t="s">
        <v>3618</v>
      </c>
      <c r="P1677" s="183" t="s">
        <v>2260</v>
      </c>
      <c r="Q1677" s="183" t="s">
        <v>684</v>
      </c>
      <c r="R1677" s="183">
        <v>8</v>
      </c>
      <c r="S1677" s="183">
        <v>0</v>
      </c>
      <c r="T1677" s="183">
        <v>3</v>
      </c>
      <c r="U1677" s="183" t="s">
        <v>97</v>
      </c>
      <c r="V1677" s="183"/>
      <c r="W1677" s="183"/>
      <c r="X1677" s="183"/>
      <c r="Y1677" s="184">
        <f>IF(ISBLANK(O1677),"",(IF(O1677=UPPER("IB"),0.005,0.01)))</f>
        <v>0.01</v>
      </c>
      <c r="Z1677" s="185">
        <f>IF(ISBLANK(O1677),"",IF(O1677="IB",8.63*200,IF(O1677="IR",16*100,IF(O1677="YT",20*100,IF(O1677="YT-XT",24*200,IF(O1677="TED",80*100,IF(O1677="XT",29*200)))))))</f>
        <v>5800</v>
      </c>
      <c r="AA1677" s="185" t="s">
        <v>5689</v>
      </c>
      <c r="AB1677" s="185"/>
      <c r="AC1677" s="185"/>
      <c r="AD1677" s="649">
        <v>96.01</v>
      </c>
      <c r="AE1677" s="182"/>
      <c r="AF1677" s="332"/>
      <c r="AG1677" s="182"/>
      <c r="AH1677" s="182"/>
      <c r="AI1677" s="182"/>
      <c r="AJ1677" s="640"/>
      <c r="AK1677" s="182"/>
      <c r="AL1677" s="496">
        <f t="shared" si="487"/>
        <v>-116</v>
      </c>
      <c r="AM1677" s="496">
        <f t="shared" si="478"/>
        <v>-928</v>
      </c>
      <c r="AN1677" s="626"/>
      <c r="AO1677" s="182"/>
      <c r="AP1677" s="182" t="s">
        <v>5690</v>
      </c>
      <c r="AQ1677" s="332" t="s">
        <v>1259</v>
      </c>
      <c r="AR1677" s="182"/>
      <c r="AS1677" s="189">
        <v>96.018000000000001</v>
      </c>
      <c r="AT1677" s="189">
        <f>IF(ISBLANK(AS1677),,IF(U1677="S",AD1677-AS1677,AS1677-AD1677))</f>
        <v>-7.9999999999955662E-3</v>
      </c>
      <c r="AU1677" s="187">
        <f>AV1677*R1677</f>
        <v>-371.19999999979427</v>
      </c>
      <c r="AV1677" s="190">
        <f t="shared" si="490"/>
        <v>-46.399999999974284</v>
      </c>
      <c r="AW1677" s="191" t="s">
        <v>229</v>
      </c>
      <c r="AX1677" s="551" t="s">
        <v>5691</v>
      </c>
      <c r="AY1677" s="551" t="s">
        <v>5692</v>
      </c>
      <c r="AZ1677" s="551" t="s">
        <v>5693</v>
      </c>
      <c r="BA1677" s="551"/>
      <c r="BB1677" s="551"/>
      <c r="BC1677" s="551"/>
      <c r="BD1677" s="549"/>
      <c r="BE1677" s="550" t="s">
        <v>5694</v>
      </c>
      <c r="BF1677" s="549" t="s">
        <v>5695</v>
      </c>
      <c r="BG1677" s="391">
        <f>SUM($AV$1389:AV1677)</f>
        <v>1260.6356768034557</v>
      </c>
      <c r="BH1677" s="392">
        <f>SUM($AU$1389:AU1677)</f>
        <v>18147.780000000021</v>
      </c>
      <c r="BI1677" s="318">
        <f>SUMIFS($AU$1388:AU1678,$Q$1388:Q1678,"F")</f>
        <v>12708.400000000001</v>
      </c>
      <c r="BJ1677" s="318">
        <f>SUMIFS($AU$1388:AU1678,$Q$1388:Q1678,"S")</f>
        <v>3759.9999999999932</v>
      </c>
      <c r="BK1677" s="343">
        <f>SUMIFS($AU$1388:AU1678,$P$1388:P1678,"W")</f>
        <v>11757.579999999931</v>
      </c>
      <c r="BL1677" s="343">
        <f>SUMIFS($AU$1388:AU1678,$P$1388:P1678,"R")</f>
        <v>4981.9999999999991</v>
      </c>
      <c r="BM1677" s="343">
        <f>SUMIFS($AU$1388:AU1678,$AQ$1388:AQ1678,"M")</f>
        <v>4830.7799999997524</v>
      </c>
      <c r="BN1677" s="343">
        <f>SUMIFS($AU$1388:AU1678,$AQ$1388:AQ1678,"H")</f>
        <v>3435.2000000002604</v>
      </c>
      <c r="BO1677" s="343">
        <f>SUMIFS($AU$1388:AU1678,$AQ$1388:AQ1678,"D")</f>
        <v>4626.0000000000009</v>
      </c>
      <c r="BP1677" s="343">
        <f>SUMIFS($AU$1388:AU1765,$AQ$1388:AQ1765,"W")</f>
        <v>12022.400000000001</v>
      </c>
      <c r="BQ1677" s="343">
        <f>SUMIFS($AU$1388:AU1678,$Q$1388:Q1678,"O")</f>
        <v>1381.9800000000123</v>
      </c>
      <c r="BR1677" s="343">
        <f>SUMIFS($AU$1388:AU1678,$AA$1388:AA1678,"*")</f>
        <v>15915.199999999906</v>
      </c>
      <c r="BS1677" s="343">
        <f>SUMIFS($AU$1388:AU1678,$AB$1388:AB1678,"*")</f>
        <v>6567.1799999999312</v>
      </c>
      <c r="BT1677" s="343">
        <f>SUMIFS($AU$1388:AU1678,$AC$1388:AC1678,"*")</f>
        <v>9588.4</v>
      </c>
      <c r="BU1677" s="343">
        <f>SUMIFS($AU$1388:AU1678,$AA$1388:AA1678,"*",$AB$1388:AB1678,"*")</f>
        <v>4415.9999999998217</v>
      </c>
      <c r="BV1677" s="343">
        <f>SUMIFS($AU$1388:AU1678,$AA$1388:AA1678,"*",$AC$1388:AC1678,"*")</f>
        <v>9124.4</v>
      </c>
      <c r="BW1677" s="343">
        <f>SUMIFS($AU$1388:AU1678,$AB$1388:AB1678,"*",$AC$1388:AC1678,"*")</f>
        <v>3279.9999999999982</v>
      </c>
      <c r="BX1677" s="343">
        <f>SUMIFS($AV$1388:AV1678,$Q$1388:Q1678,"F")</f>
        <v>279.94786430960346</v>
      </c>
      <c r="BY1677" s="343">
        <f>SUMIFS($AV$1388:AV1678,$Q$1388:Q1678,"S")</f>
        <v>290.34781249396258</v>
      </c>
      <c r="BZ1677" s="343">
        <f>SUMIFS($AV$1388:AV1678,$Q$1388:Q1678,"O")</f>
        <v>456.93999999988114</v>
      </c>
    </row>
    <row r="1678" spans="1:78" ht="15.75" customHeight="1">
      <c r="A1678" s="177" t="s">
        <v>5612</v>
      </c>
      <c r="B1678" s="200">
        <v>45363</v>
      </c>
      <c r="C1678" s="178" t="s">
        <v>682</v>
      </c>
      <c r="D1678" s="178" t="s">
        <v>146</v>
      </c>
      <c r="E1678" s="227"/>
      <c r="F1678" s="180"/>
      <c r="G1678" s="181" t="s">
        <v>4887</v>
      </c>
      <c r="H1678" s="182"/>
      <c r="I1678" s="182"/>
      <c r="J1678" s="182"/>
      <c r="K1678" s="183"/>
      <c r="L1678" s="182">
        <v>1</v>
      </c>
      <c r="M1678" s="182"/>
      <c r="N1678" s="182"/>
      <c r="O1678" s="183" t="s">
        <v>3618</v>
      </c>
      <c r="P1678" s="183" t="s">
        <v>2260</v>
      </c>
      <c r="Q1678" s="183" t="s">
        <v>684</v>
      </c>
      <c r="R1678" s="183">
        <v>1</v>
      </c>
      <c r="S1678" s="183">
        <v>0</v>
      </c>
      <c r="T1678" s="183">
        <v>1</v>
      </c>
      <c r="U1678" s="183" t="s">
        <v>97</v>
      </c>
      <c r="V1678" s="183"/>
      <c r="W1678" s="183"/>
      <c r="X1678" s="183"/>
      <c r="Y1678" s="184">
        <f>IF(ISBLANK(O1678),"",(IF(O1678=UPPER("IB"),0.005,0.01)))</f>
        <v>0.01</v>
      </c>
      <c r="Z1678" s="185">
        <f>IF(ISBLANK(O1678),"",IF(O1678="IB",8.63*200,IF(O1678="IR",16*100,IF(O1678="YT",20*100,IF(O1678="YT-XT",24*200,IF(O1678="TED",80*100,IF(O1678="XT",29*200)))))))</f>
        <v>5800</v>
      </c>
      <c r="AA1678" s="185" t="s">
        <v>5689</v>
      </c>
      <c r="AB1678" s="185"/>
      <c r="AC1678" s="185"/>
      <c r="AD1678" s="649">
        <v>96.042000000000002</v>
      </c>
      <c r="AE1678" s="182"/>
      <c r="AF1678" s="332"/>
      <c r="AG1678" s="182"/>
      <c r="AH1678" s="182"/>
      <c r="AI1678" s="182"/>
      <c r="AJ1678" s="640"/>
      <c r="AK1678" s="182"/>
      <c r="AL1678" s="496">
        <f t="shared" ref="AL1678:AL1679" si="491">-0.02*Z1678</f>
        <v>-116</v>
      </c>
      <c r="AM1678" s="496">
        <f t="shared" ref="AM1678:AM1706" si="492">AL1678*(R1678-S1678)</f>
        <v>-116</v>
      </c>
      <c r="AN1678" s="626"/>
      <c r="AO1678" s="182"/>
      <c r="AP1678" s="182" t="s">
        <v>5690</v>
      </c>
      <c r="AQ1678" s="332" t="s">
        <v>1259</v>
      </c>
      <c r="AR1678" s="182"/>
      <c r="AS1678" s="189">
        <v>96.045000000000002</v>
      </c>
      <c r="AT1678" s="189">
        <f>IF(ISBLANK(AS1678),,IF(U1678="S",AD1678-AS1678,AS1678-AD1678))</f>
        <v>-3.0000000000001137E-3</v>
      </c>
      <c r="AU1678" s="187">
        <f>AV1678*R1678</f>
        <v>-17.400000000000659</v>
      </c>
      <c r="AV1678" s="190">
        <f t="shared" ref="AV1678" si="493">IF(ISBLANK(AS1678),,(AT1678*Z1678))</f>
        <v>-17.400000000000659</v>
      </c>
      <c r="AW1678" s="191" t="s">
        <v>229</v>
      </c>
      <c r="AX1678" s="551" t="s">
        <v>5691</v>
      </c>
      <c r="AY1678" s="409" t="s">
        <v>5696</v>
      </c>
      <c r="AZ1678" s="409" t="s">
        <v>5697</v>
      </c>
      <c r="BA1678" s="549" t="s">
        <v>5698</v>
      </c>
      <c r="BB1678" s="549"/>
      <c r="BC1678" s="549"/>
      <c r="BD1678" s="549"/>
      <c r="BE1678" s="550"/>
      <c r="BF1678" s="549"/>
      <c r="BG1678" s="391">
        <f>SUM($AV$1389:AV1678)</f>
        <v>1243.2356768034551</v>
      </c>
      <c r="BH1678" s="392">
        <f>SUM($AU$1389:AU1678)</f>
        <v>18130.380000000019</v>
      </c>
      <c r="BI1678" s="318">
        <f>SUMIFS($AU$1388:AU1679,$Q$1388:Q1679,"F")</f>
        <v>12708.400000000001</v>
      </c>
      <c r="BJ1678" s="318">
        <f>SUMIFS($AU$1388:AU1679,$Q$1388:Q1679,"S")</f>
        <v>3759.9999999999932</v>
      </c>
      <c r="BK1678" s="343">
        <f>SUMIFS($AU$1388:AU1679,$P$1388:P1679,"W")</f>
        <v>11757.579999999931</v>
      </c>
      <c r="BL1678" s="343">
        <f>SUMIFS($AU$1388:AU1679,$P$1388:P1679,"R")</f>
        <v>4981.9999999999991</v>
      </c>
      <c r="BM1678" s="343">
        <f>SUMIFS($AU$1388:AU1679,$AQ$1388:AQ1679,"M")</f>
        <v>4830.7799999997524</v>
      </c>
      <c r="BN1678" s="343">
        <f>SUMIFS($AU$1388:AU1679,$AQ$1388:AQ1679,"H")</f>
        <v>3435.2000000002604</v>
      </c>
      <c r="BO1678" s="343">
        <f>SUMIFS($AU$1388:AU1679,$AQ$1388:AQ1679,"D")</f>
        <v>4626.0000000000009</v>
      </c>
      <c r="BP1678" s="343">
        <f>SUMIFS($AU$1388:AU1766,$AQ$1388:AQ1766,"W")</f>
        <v>12022.400000000001</v>
      </c>
      <c r="BQ1678" s="343">
        <f>SUMIFS($AU$1388:AU1679,$Q$1388:Q1679,"O")</f>
        <v>1381.9800000000123</v>
      </c>
      <c r="BR1678" s="343">
        <f>SUMIFS($AU$1388:AU1679,$AA$1388:AA1679,"*")</f>
        <v>15915.199999999906</v>
      </c>
      <c r="BS1678" s="343">
        <f>SUMIFS($AU$1388:AU1679,$AB$1388:AB1679,"*")</f>
        <v>6567.1799999999312</v>
      </c>
      <c r="BT1678" s="343">
        <f>SUMIFS($AU$1388:AU1679,$AC$1388:AC1679,"*")</f>
        <v>9588.4</v>
      </c>
      <c r="BU1678" s="343">
        <f>SUMIFS($AU$1388:AU1679,$AA$1388:AA1679,"*",$AB$1388:AB1679,"*")</f>
        <v>4415.9999999998217</v>
      </c>
      <c r="BV1678" s="343">
        <f>SUMIFS($AU$1388:AU1679,$AA$1388:AA1679,"*",$AC$1388:AC1679,"*")</f>
        <v>9124.4</v>
      </c>
      <c r="BW1678" s="343">
        <f>SUMIFS($AU$1388:AU1679,$AB$1388:AB1679,"*",$AC$1388:AC1679,"*")</f>
        <v>3279.9999999999982</v>
      </c>
      <c r="BX1678" s="343">
        <f>SUMIFS($AV$1388:AV1679,$Q$1388:Q1679,"F")</f>
        <v>279.94786430960346</v>
      </c>
      <c r="BY1678" s="343">
        <f>SUMIFS($AV$1388:AV1679,$Q$1388:Q1679,"S")</f>
        <v>290.34781249396258</v>
      </c>
      <c r="BZ1678" s="343">
        <f>SUMIFS($AV$1388:AV1679,$Q$1388:Q1679,"O")</f>
        <v>456.93999999988114</v>
      </c>
    </row>
    <row r="1679" spans="1:78" ht="15.75" customHeight="1">
      <c r="A1679" s="177" t="s">
        <v>5612</v>
      </c>
      <c r="B1679" s="200"/>
      <c r="C1679" s="178"/>
      <c r="D1679" s="178"/>
      <c r="E1679" s="227"/>
      <c r="F1679" s="180"/>
      <c r="G1679" s="181"/>
      <c r="H1679" s="182">
        <v>1</v>
      </c>
      <c r="I1679" s="182"/>
      <c r="J1679" s="182"/>
      <c r="K1679" s="183" t="s">
        <v>372</v>
      </c>
      <c r="L1679" s="182"/>
      <c r="M1679" s="182"/>
      <c r="N1679" s="182"/>
      <c r="O1679" s="183"/>
      <c r="P1679" s="183"/>
      <c r="Q1679" s="183"/>
      <c r="R1679" s="183"/>
      <c r="S1679" s="183"/>
      <c r="T1679" s="183"/>
      <c r="U1679" s="183"/>
      <c r="V1679" s="183"/>
      <c r="W1679" s="183"/>
      <c r="X1679" s="183"/>
      <c r="Y1679" s="183"/>
      <c r="Z1679" s="183"/>
      <c r="AA1679" s="185"/>
      <c r="AB1679" s="185"/>
      <c r="AC1679" s="185"/>
      <c r="AD1679" s="649"/>
      <c r="AE1679" s="182"/>
      <c r="AF1679" s="332"/>
      <c r="AG1679" s="182"/>
      <c r="AH1679" s="182"/>
      <c r="AI1679" s="182"/>
      <c r="AJ1679" s="640"/>
      <c r="AK1679" s="182"/>
      <c r="AL1679" s="496">
        <f t="shared" si="491"/>
        <v>0</v>
      </c>
      <c r="AM1679" s="496">
        <f t="shared" si="492"/>
        <v>0</v>
      </c>
      <c r="AN1679" s="626"/>
      <c r="AO1679" s="182"/>
      <c r="AP1679" s="182"/>
      <c r="AQ1679" s="332" t="str">
        <f>UPPER(RIGHT(Journal_Live[[#This Row],[DURATION ]]))</f>
        <v/>
      </c>
      <c r="AR1679" s="182"/>
      <c r="AS1679" s="189"/>
      <c r="AT1679" s="189"/>
      <c r="AU1679" s="187"/>
      <c r="AV1679" s="190"/>
      <c r="AW1679" s="191"/>
      <c r="AX1679" s="417" t="s">
        <v>5558</v>
      </c>
      <c r="AY1679" s="409" t="s">
        <v>5699</v>
      </c>
      <c r="AZ1679" s="409" t="s">
        <v>5620</v>
      </c>
      <c r="BA1679" s="549" t="s">
        <v>5700</v>
      </c>
      <c r="BB1679" s="549" t="s">
        <v>5701</v>
      </c>
      <c r="BC1679" s="549"/>
      <c r="BD1679" s="549"/>
      <c r="BE1679" s="550"/>
      <c r="BF1679" s="549"/>
      <c r="BG1679" s="391">
        <f>SUM($AV$1389:AV1679)</f>
        <v>1243.2356768034551</v>
      </c>
      <c r="BH1679" s="392">
        <f>SUM($AU$1389:AU1679)</f>
        <v>18130.380000000019</v>
      </c>
      <c r="BI1679" s="318">
        <f>SUMIFS($AU$1388:AU1680,$Q$1388:Q1680,"F")</f>
        <v>12708.400000000001</v>
      </c>
      <c r="BJ1679" s="318">
        <f>SUMIFS($AU$1388:AU1680,$Q$1388:Q1680,"S")</f>
        <v>3759.9999999999932</v>
      </c>
      <c r="BK1679" s="343">
        <f>SUMIFS($AU$1388:AU1680,$P$1388:P1680,"W")</f>
        <v>11757.579999999931</v>
      </c>
      <c r="BL1679" s="343">
        <f>SUMIFS($AU$1388:AU1680,$P$1388:P1680,"R")</f>
        <v>4981.9999999999991</v>
      </c>
      <c r="BM1679" s="343">
        <f>SUMIFS($AU$1388:AU1680,$AQ$1388:AQ1680,"M")</f>
        <v>4830.7799999997524</v>
      </c>
      <c r="BN1679" s="343">
        <f>SUMIFS($AU$1388:AU1680,$AQ$1388:AQ1680,"H")</f>
        <v>3435.2000000002604</v>
      </c>
      <c r="BO1679" s="343">
        <f>SUMIFS($AU$1388:AU1680,$AQ$1388:AQ1680,"D")</f>
        <v>4626.0000000000009</v>
      </c>
      <c r="BP1679" s="343">
        <f>SUMIFS($AU$1388:AU1767,$AQ$1388:AQ1767,"W")</f>
        <v>12022.400000000001</v>
      </c>
      <c r="BQ1679" s="343">
        <f>SUMIFS($AU$1388:AU1680,$Q$1388:Q1680,"O")</f>
        <v>1381.9800000000123</v>
      </c>
      <c r="BR1679" s="343">
        <f>SUMIFS($AU$1388:AU1680,$AA$1388:AA1680,"*")</f>
        <v>15915.199999999906</v>
      </c>
      <c r="BS1679" s="343">
        <f>SUMIFS($AU$1388:AU1680,$AB$1388:AB1680,"*")</f>
        <v>6567.1799999999312</v>
      </c>
      <c r="BT1679" s="343">
        <f>SUMIFS($AU$1388:AU1680,$AC$1388:AC1680,"*")</f>
        <v>9588.4</v>
      </c>
      <c r="BU1679" s="343">
        <f>SUMIFS($AU$1388:AU1680,$AA$1388:AA1680,"*",$AB$1388:AB1680,"*")</f>
        <v>4415.9999999998217</v>
      </c>
      <c r="BV1679" s="343">
        <f>SUMIFS($AU$1388:AU1680,$AA$1388:AA1680,"*",$AC$1388:AC1680,"*")</f>
        <v>9124.4</v>
      </c>
      <c r="BW1679" s="343">
        <f>SUMIFS($AU$1388:AU1680,$AB$1388:AB1680,"*",$AC$1388:AC1680,"*")</f>
        <v>3279.9999999999982</v>
      </c>
      <c r="BX1679" s="343">
        <f>SUMIFS($AV$1388:AV1680,$Q$1388:Q1680,"F")</f>
        <v>279.94786430960346</v>
      </c>
      <c r="BY1679" s="343">
        <f>SUMIFS($AV$1388:AV1680,$Q$1388:Q1680,"S")</f>
        <v>290.34781249396258</v>
      </c>
      <c r="BZ1679" s="343">
        <f>SUMIFS($AV$1388:AV1680,$Q$1388:Q1680,"O")</f>
        <v>456.93999999988114</v>
      </c>
    </row>
    <row r="1680" spans="1:78" ht="15.75" customHeight="1">
      <c r="A1680" s="177" t="s">
        <v>5612</v>
      </c>
      <c r="B1680" s="200">
        <v>45363</v>
      </c>
      <c r="C1680" s="178" t="s">
        <v>1728</v>
      </c>
      <c r="D1680" s="178" t="s">
        <v>146</v>
      </c>
      <c r="E1680" s="227" t="s">
        <v>5702</v>
      </c>
      <c r="F1680" s="180" t="s">
        <v>5703</v>
      </c>
      <c r="G1680" s="181"/>
      <c r="H1680" s="182">
        <v>1</v>
      </c>
      <c r="I1680" s="182"/>
      <c r="J1680" s="182"/>
      <c r="K1680" s="183" t="s">
        <v>372</v>
      </c>
      <c r="L1680" s="182"/>
      <c r="M1680" s="182"/>
      <c r="N1680" s="182"/>
      <c r="O1680" s="183"/>
      <c r="P1680" s="183"/>
      <c r="Q1680" s="183"/>
      <c r="R1680" s="183"/>
      <c r="S1680" s="183"/>
      <c r="T1680" s="183"/>
      <c r="U1680" s="183"/>
      <c r="V1680" s="183"/>
      <c r="W1680" s="183"/>
      <c r="X1680" s="183"/>
      <c r="Y1680" s="183"/>
      <c r="Z1680" s="183"/>
      <c r="AA1680" s="185"/>
      <c r="AB1680" s="185"/>
      <c r="AC1680" s="185"/>
      <c r="AD1680" s="649"/>
      <c r="AE1680" s="182"/>
      <c r="AF1680" s="332"/>
      <c r="AG1680" s="182"/>
      <c r="AH1680" s="182"/>
      <c r="AI1680" s="182"/>
      <c r="AJ1680" s="640"/>
      <c r="AK1680" s="182"/>
      <c r="AL1680" s="496">
        <f t="shared" si="487"/>
        <v>0</v>
      </c>
      <c r="AM1680" s="496">
        <f t="shared" si="492"/>
        <v>0</v>
      </c>
      <c r="AN1680" s="626"/>
      <c r="AO1680" s="182"/>
      <c r="AP1680" s="182"/>
      <c r="AQ1680" s="332" t="str">
        <f>UPPER(RIGHT(Journal_Live[[#This Row],[DURATION ]]))</f>
        <v/>
      </c>
      <c r="AR1680" s="182"/>
      <c r="AS1680" s="189"/>
      <c r="AT1680" s="189"/>
      <c r="AU1680" s="187"/>
      <c r="AV1680" s="190"/>
      <c r="AW1680" s="191"/>
      <c r="AX1680" s="417" t="s">
        <v>5624</v>
      </c>
      <c r="AY1680" s="551" t="s">
        <v>5704</v>
      </c>
      <c r="AZ1680" s="555" t="s">
        <v>5705</v>
      </c>
      <c r="BA1680" s="551"/>
      <c r="BB1680" s="551"/>
      <c r="BC1680" s="551"/>
      <c r="BD1680" s="549"/>
      <c r="BE1680" s="550"/>
      <c r="BF1680" s="549"/>
      <c r="BG1680" s="391">
        <f>SUM($AV$1389:AV1680)</f>
        <v>1243.2356768034551</v>
      </c>
      <c r="BH1680" s="392">
        <f>SUM($AU$1389:AU1680)</f>
        <v>18130.380000000019</v>
      </c>
      <c r="BI1680" s="318">
        <f>SUMIFS($AU$1388:AU1681,$Q$1388:Q1681,"F")</f>
        <v>12708.400000000001</v>
      </c>
      <c r="BJ1680" s="318">
        <f>SUMIFS($AU$1388:AU1681,$Q$1388:Q1681,"S")</f>
        <v>3759.9999999999932</v>
      </c>
      <c r="BK1680" s="343">
        <f>SUMIFS($AU$1388:AU1681,$P$1388:P1681,"W")</f>
        <v>11757.579999999931</v>
      </c>
      <c r="BL1680" s="343">
        <f>SUMIFS($AU$1388:AU1681,$P$1388:P1681,"R")</f>
        <v>4981.9999999999991</v>
      </c>
      <c r="BM1680" s="343">
        <f>SUMIFS($AU$1388:AU1681,$AQ$1388:AQ1681,"M")</f>
        <v>4830.7799999997524</v>
      </c>
      <c r="BN1680" s="343">
        <f>SUMIFS($AU$1388:AU1681,$AQ$1388:AQ1681,"H")</f>
        <v>3435.2000000002604</v>
      </c>
      <c r="BO1680" s="343">
        <f>SUMIFS($AU$1388:AU1681,$AQ$1388:AQ1681,"D")</f>
        <v>4626.0000000000009</v>
      </c>
      <c r="BP1680" s="343">
        <f>SUMIFS($AU$1388:AU1768,$AQ$1388:AQ1768,"W")</f>
        <v>12022.400000000001</v>
      </c>
      <c r="BQ1680" s="343">
        <f>SUMIFS($AU$1388:AU1681,$Q$1388:Q1681,"O")</f>
        <v>1381.9800000000123</v>
      </c>
      <c r="BR1680" s="343">
        <f>SUMIFS($AU$1388:AU1681,$AA$1388:AA1681,"*")</f>
        <v>15915.199999999906</v>
      </c>
      <c r="BS1680" s="343">
        <f>SUMIFS($AU$1388:AU1681,$AB$1388:AB1681,"*")</f>
        <v>6567.1799999999312</v>
      </c>
      <c r="BT1680" s="343">
        <f>SUMIFS($AU$1388:AU1681,$AC$1388:AC1681,"*")</f>
        <v>9588.4</v>
      </c>
      <c r="BU1680" s="343">
        <f>SUMIFS($AU$1388:AU1681,$AA$1388:AA1681,"*",$AB$1388:AB1681,"*")</f>
        <v>4415.9999999998217</v>
      </c>
      <c r="BV1680" s="343">
        <f>SUMIFS($AU$1388:AU1681,$AA$1388:AA1681,"*",$AC$1388:AC1681,"*")</f>
        <v>9124.4</v>
      </c>
      <c r="BW1680" s="343">
        <f>SUMIFS($AU$1388:AU1681,$AB$1388:AB1681,"*",$AC$1388:AC1681,"*")</f>
        <v>3279.9999999999982</v>
      </c>
      <c r="BX1680" s="343">
        <f>SUMIFS($AV$1388:AV1681,$Q$1388:Q1681,"F")</f>
        <v>279.94786430960346</v>
      </c>
      <c r="BY1680" s="343">
        <f>SUMIFS($AV$1388:AV1681,$Q$1388:Q1681,"S")</f>
        <v>290.34781249396258</v>
      </c>
      <c r="BZ1680" s="343">
        <f>SUMIFS($AV$1388:AV1681,$Q$1388:Q1681,"O")</f>
        <v>456.93999999988114</v>
      </c>
    </row>
    <row r="1681" spans="1:78" ht="15.75" customHeight="1">
      <c r="A1681" s="177" t="s">
        <v>5612</v>
      </c>
      <c r="B1681" s="200"/>
      <c r="C1681" s="178"/>
      <c r="D1681" s="178"/>
      <c r="E1681" s="227" t="s">
        <v>5706</v>
      </c>
      <c r="F1681" s="180"/>
      <c r="G1681" s="181"/>
      <c r="H1681" s="182"/>
      <c r="I1681" s="182">
        <v>1</v>
      </c>
      <c r="J1681" s="182"/>
      <c r="K1681" s="183"/>
      <c r="L1681" s="182"/>
      <c r="M1681" s="182"/>
      <c r="N1681" s="182"/>
      <c r="O1681" s="183"/>
      <c r="P1681" s="183"/>
      <c r="Q1681" s="183"/>
      <c r="R1681" s="183"/>
      <c r="S1681" s="183"/>
      <c r="T1681" s="183"/>
      <c r="U1681" s="183"/>
      <c r="V1681" s="183"/>
      <c r="W1681" s="183"/>
      <c r="X1681" s="183"/>
      <c r="Y1681" s="183"/>
      <c r="Z1681" s="183"/>
      <c r="AA1681" s="185"/>
      <c r="AB1681" s="185"/>
      <c r="AC1681" s="185"/>
      <c r="AD1681" s="649"/>
      <c r="AE1681" s="182"/>
      <c r="AF1681" s="332"/>
      <c r="AG1681" s="182"/>
      <c r="AH1681" s="182"/>
      <c r="AI1681" s="182"/>
      <c r="AJ1681" s="640"/>
      <c r="AK1681" s="182"/>
      <c r="AL1681" s="496">
        <f t="shared" si="487"/>
        <v>0</v>
      </c>
      <c r="AM1681" s="496">
        <f t="shared" si="492"/>
        <v>0</v>
      </c>
      <c r="AN1681" s="626"/>
      <c r="AO1681" s="182"/>
      <c r="AP1681" s="182"/>
      <c r="AQ1681" s="332" t="str">
        <f>UPPER(RIGHT(Journal_Live[[#This Row],[DURATION ]]))</f>
        <v/>
      </c>
      <c r="AR1681" s="182"/>
      <c r="AS1681" s="189"/>
      <c r="AT1681" s="189"/>
      <c r="AU1681" s="187"/>
      <c r="AV1681" s="190"/>
      <c r="AW1681" s="191"/>
      <c r="AX1681" s="551" t="s">
        <v>5707</v>
      </c>
      <c r="AY1681" s="554" t="s">
        <v>5708</v>
      </c>
      <c r="AZ1681" s="551" t="s">
        <v>5709</v>
      </c>
      <c r="BA1681" s="551"/>
      <c r="BB1681" s="551"/>
      <c r="BC1681" s="551"/>
      <c r="BD1681" s="549"/>
      <c r="BE1681" s="550"/>
      <c r="BF1681" s="549"/>
      <c r="BG1681" s="391">
        <f>SUM($AV$1389:AV1681)</f>
        <v>1243.2356768034551</v>
      </c>
      <c r="BH1681" s="392">
        <f>SUM($AU$1389:AU1681)</f>
        <v>18130.380000000019</v>
      </c>
      <c r="BI1681" s="318">
        <f>SUMIFS($AU$1388:AU1682,$Q$1388:Q1682,"F")</f>
        <v>12708.400000000001</v>
      </c>
      <c r="BJ1681" s="318">
        <f>SUMIFS($AU$1388:AU1682,$Q$1388:Q1682,"S")</f>
        <v>3759.9999999999932</v>
      </c>
      <c r="BK1681" s="343">
        <f>SUMIFS($AU$1388:AU1682,$P$1388:P1682,"W")</f>
        <v>11757.579999999931</v>
      </c>
      <c r="BL1681" s="343">
        <f>SUMIFS($AU$1388:AU1682,$P$1388:P1682,"R")</f>
        <v>4981.9999999999991</v>
      </c>
      <c r="BM1681" s="343">
        <f>SUMIFS($AU$1388:AU1682,$AQ$1388:AQ1682,"M")</f>
        <v>4830.7799999997524</v>
      </c>
      <c r="BN1681" s="343">
        <f>SUMIFS($AU$1388:AU1682,$AQ$1388:AQ1682,"H")</f>
        <v>3435.2000000002604</v>
      </c>
      <c r="BO1681" s="343">
        <f>SUMIFS($AU$1388:AU1682,$AQ$1388:AQ1682,"D")</f>
        <v>4626.0000000000009</v>
      </c>
      <c r="BP1681" s="343">
        <f>SUMIFS($AU$1388:AU1769,$AQ$1388:AQ1769,"W")</f>
        <v>12022.400000000001</v>
      </c>
      <c r="BQ1681" s="343">
        <f>SUMIFS($AU$1388:AU1682,$Q$1388:Q1682,"O")</f>
        <v>1381.9800000000123</v>
      </c>
      <c r="BR1681" s="343">
        <f>SUMIFS($AU$1388:AU1682,$AA$1388:AA1682,"*")</f>
        <v>15915.199999999906</v>
      </c>
      <c r="BS1681" s="343">
        <f>SUMIFS($AU$1388:AU1682,$AB$1388:AB1682,"*")</f>
        <v>6567.1799999999312</v>
      </c>
      <c r="BT1681" s="343">
        <f>SUMIFS($AU$1388:AU1682,$AC$1388:AC1682,"*")</f>
        <v>9588.4</v>
      </c>
      <c r="BU1681" s="343">
        <f>SUMIFS($AU$1388:AU1682,$AA$1388:AA1682,"*",$AB$1388:AB1682,"*")</f>
        <v>4415.9999999998217</v>
      </c>
      <c r="BV1681" s="343">
        <f>SUMIFS($AU$1388:AU1682,$AA$1388:AA1682,"*",$AC$1388:AC1682,"*")</f>
        <v>9124.4</v>
      </c>
      <c r="BW1681" s="343">
        <f>SUMIFS($AU$1388:AU1682,$AB$1388:AB1682,"*",$AC$1388:AC1682,"*")</f>
        <v>3279.9999999999982</v>
      </c>
      <c r="BX1681" s="343">
        <f>SUMIFS($AV$1388:AV1682,$Q$1388:Q1682,"F")</f>
        <v>279.94786430960346</v>
      </c>
      <c r="BY1681" s="343">
        <f>SUMIFS($AV$1388:AV1682,$Q$1388:Q1682,"S")</f>
        <v>290.34781249396258</v>
      </c>
      <c r="BZ1681" s="343">
        <f>SUMIFS($AV$1388:AV1682,$Q$1388:Q1682,"O")</f>
        <v>456.93999999988114</v>
      </c>
    </row>
    <row r="1682" spans="1:78" ht="15.75" customHeight="1">
      <c r="A1682" s="177" t="s">
        <v>5612</v>
      </c>
      <c r="B1682" s="200"/>
      <c r="C1682" s="178"/>
      <c r="D1682" s="178"/>
      <c r="E1682" s="227" t="s">
        <v>5710</v>
      </c>
      <c r="F1682" s="180"/>
      <c r="G1682" s="181"/>
      <c r="H1682" s="182">
        <v>1</v>
      </c>
      <c r="I1682" s="182"/>
      <c r="J1682" s="182"/>
      <c r="K1682" s="183" t="s">
        <v>372</v>
      </c>
      <c r="L1682" s="182"/>
      <c r="M1682" s="182"/>
      <c r="N1682" s="182"/>
      <c r="O1682" s="183"/>
      <c r="P1682" s="183"/>
      <c r="Q1682" s="183"/>
      <c r="R1682" s="183"/>
      <c r="S1682" s="183"/>
      <c r="T1682" s="183"/>
      <c r="U1682" s="183"/>
      <c r="V1682" s="183"/>
      <c r="W1682" s="183"/>
      <c r="X1682" s="183"/>
      <c r="Y1682" s="183"/>
      <c r="Z1682" s="183"/>
      <c r="AA1682" s="185"/>
      <c r="AB1682" s="185"/>
      <c r="AC1682" s="185"/>
      <c r="AD1682" s="649"/>
      <c r="AE1682" s="182"/>
      <c r="AF1682" s="332"/>
      <c r="AG1682" s="182"/>
      <c r="AH1682" s="182"/>
      <c r="AI1682" s="182"/>
      <c r="AJ1682" s="640"/>
      <c r="AK1682" s="182"/>
      <c r="AL1682" s="496">
        <f t="shared" si="487"/>
        <v>0</v>
      </c>
      <c r="AM1682" s="496">
        <f t="shared" si="492"/>
        <v>0</v>
      </c>
      <c r="AN1682" s="626"/>
      <c r="AO1682" s="182"/>
      <c r="AP1682" s="182"/>
      <c r="AQ1682" s="332" t="str">
        <f>UPPER(RIGHT(Journal_Live[[#This Row],[DURATION ]]))</f>
        <v/>
      </c>
      <c r="AR1682" s="182"/>
      <c r="AS1682" s="189"/>
      <c r="AT1682" s="189"/>
      <c r="AU1682" s="187"/>
      <c r="AV1682" s="190"/>
      <c r="AW1682" s="191"/>
      <c r="AX1682" s="417" t="s">
        <v>5558</v>
      </c>
      <c r="AY1682" s="409" t="s">
        <v>5699</v>
      </c>
      <c r="AZ1682" s="409" t="s">
        <v>5620</v>
      </c>
      <c r="BA1682" s="549" t="s">
        <v>5700</v>
      </c>
      <c r="BB1682" s="549" t="s">
        <v>5701</v>
      </c>
      <c r="BC1682" s="551"/>
      <c r="BD1682" s="549"/>
      <c r="BE1682" s="550"/>
      <c r="BF1682" s="549"/>
      <c r="BG1682" s="391">
        <f>SUM($AV$1389:AV1682)</f>
        <v>1243.2356768034551</v>
      </c>
      <c r="BH1682" s="392">
        <f>SUM($AU$1389:AU1682)</f>
        <v>18130.380000000019</v>
      </c>
      <c r="BI1682" s="318">
        <f>SUMIFS($AU$1388:AU1683,$Q$1388:Q1683,"F")</f>
        <v>15828.400000000001</v>
      </c>
      <c r="BJ1682" s="318">
        <f>SUMIFS($AU$1388:AU1683,$Q$1388:Q1683,"S")</f>
        <v>3759.9999999999932</v>
      </c>
      <c r="BK1682" s="343">
        <f>SUMIFS($AU$1388:AU1683,$P$1388:P1683,"W")</f>
        <v>14877.579999999931</v>
      </c>
      <c r="BL1682" s="343">
        <f>SUMIFS($AU$1388:AU1683,$P$1388:P1683,"R")</f>
        <v>4981.9999999999991</v>
      </c>
      <c r="BM1682" s="343">
        <f>SUMIFS($AU$1388:AU1683,$AQ$1388:AQ1683,"M")</f>
        <v>4830.7799999997524</v>
      </c>
      <c r="BN1682" s="343">
        <f>SUMIFS($AU$1388:AU1683,$AQ$1388:AQ1683,"H")</f>
        <v>3435.2000000002604</v>
      </c>
      <c r="BO1682" s="343">
        <f>SUMIFS($AU$1388:AU1683,$AQ$1388:AQ1683,"D")</f>
        <v>4626.0000000000009</v>
      </c>
      <c r="BP1682" s="343">
        <f>SUMIFS($AU$1388:AU1770,$AQ$1388:AQ1770,"W")</f>
        <v>12022.400000000001</v>
      </c>
      <c r="BQ1682" s="343">
        <f>SUMIFS($AU$1388:AU1683,$Q$1388:Q1683,"O")</f>
        <v>1381.9800000000123</v>
      </c>
      <c r="BR1682" s="343">
        <f>SUMIFS($AU$1388:AU1683,$AA$1388:AA1683,"*")</f>
        <v>19035.199999999906</v>
      </c>
      <c r="BS1682" s="343">
        <f>SUMIFS($AU$1388:AU1683,$AB$1388:AB1683,"*")</f>
        <v>6567.1799999999312</v>
      </c>
      <c r="BT1682" s="343">
        <f>SUMIFS($AU$1388:AU1683,$AC$1388:AC1683,"*")</f>
        <v>12708.4</v>
      </c>
      <c r="BU1682" s="343">
        <f>SUMIFS($AU$1388:AU1683,$AA$1388:AA1683,"*",$AB$1388:AB1683,"*")</f>
        <v>4415.9999999998217</v>
      </c>
      <c r="BV1682" s="343">
        <f>SUMIFS($AU$1388:AU1683,$AA$1388:AA1683,"*",$AC$1388:AC1683,"*")</f>
        <v>12244.4</v>
      </c>
      <c r="BW1682" s="343">
        <f>SUMIFS($AU$1388:AU1683,$AB$1388:AB1683,"*",$AC$1388:AC1683,"*")</f>
        <v>3279.9999999999982</v>
      </c>
      <c r="BX1682" s="343">
        <f>SUMIFS($AV$1388:AV1683,$Q$1388:Q1683,"F")</f>
        <v>321.54786430960348</v>
      </c>
      <c r="BY1682" s="343">
        <f>SUMIFS($AV$1388:AV1683,$Q$1388:Q1683,"S")</f>
        <v>290.34781249396258</v>
      </c>
      <c r="BZ1682" s="343">
        <f>SUMIFS($AV$1388:AV1683,$Q$1388:Q1683,"O")</f>
        <v>456.93999999988114</v>
      </c>
    </row>
    <row r="1683" spans="1:78" ht="15.75" customHeight="1">
      <c r="A1683" s="177" t="s">
        <v>5612</v>
      </c>
      <c r="B1683" s="200">
        <v>45363</v>
      </c>
      <c r="C1683" s="178" t="s">
        <v>682</v>
      </c>
      <c r="D1683" s="178" t="s">
        <v>146</v>
      </c>
      <c r="E1683" s="227"/>
      <c r="F1683" s="180"/>
      <c r="G1683" s="481" t="s">
        <v>5711</v>
      </c>
      <c r="H1683" s="182"/>
      <c r="I1683" s="182"/>
      <c r="J1683" s="182"/>
      <c r="K1683" s="183"/>
      <c r="L1683" s="182"/>
      <c r="M1683" s="182">
        <v>2</v>
      </c>
      <c r="N1683" s="182"/>
      <c r="O1683" s="183" t="s">
        <v>95</v>
      </c>
      <c r="P1683" s="183" t="s">
        <v>96</v>
      </c>
      <c r="Q1683" s="183" t="s">
        <v>256</v>
      </c>
      <c r="R1683" s="183">
        <v>75</v>
      </c>
      <c r="S1683" s="183">
        <v>25</v>
      </c>
      <c r="T1683" s="183">
        <v>25</v>
      </c>
      <c r="U1683" s="183" t="s">
        <v>97</v>
      </c>
      <c r="V1683" s="183"/>
      <c r="W1683" s="183"/>
      <c r="X1683" s="183"/>
      <c r="Y1683" s="184">
        <f>IF(ISBLANK(O1683),"",(IF(O1683=UPPER("IB"),0.005,0.01)))</f>
        <v>0.01</v>
      </c>
      <c r="Z1683" s="185">
        <f>IF(ISBLANK(O1683),"",IF(O1683="IB",8.63*200,IF(O1683="IR",16*100,IF(O1683="YT",20*100,IF(O1683="YT-XT",24*200,IF(O1683="TED",80*100))))))</f>
        <v>1600</v>
      </c>
      <c r="AA1683" s="185" t="s">
        <v>5712</v>
      </c>
      <c r="AB1683" s="185"/>
      <c r="AC1683" s="185" t="s">
        <v>5654</v>
      </c>
      <c r="AD1683" s="649">
        <f>(0.03*50+0.02*25)/75</f>
        <v>2.6666666666666668E-2</v>
      </c>
      <c r="AE1683" s="182"/>
      <c r="AF1683" s="332"/>
      <c r="AG1683" s="182"/>
      <c r="AH1683" s="182" t="s">
        <v>5713</v>
      </c>
      <c r="AI1683" s="182"/>
      <c r="AJ1683" s="640"/>
      <c r="AK1683" s="182"/>
      <c r="AL1683" s="496">
        <f>-0.035*Z1683</f>
        <v>-56.000000000000007</v>
      </c>
      <c r="AM1683" s="496">
        <f t="shared" si="492"/>
        <v>-2800.0000000000005</v>
      </c>
      <c r="AN1683" s="626" t="s">
        <v>5714</v>
      </c>
      <c r="AO1683" s="182"/>
      <c r="AP1683" s="182" t="s">
        <v>5715</v>
      </c>
      <c r="AQ1683" s="332" t="s">
        <v>96</v>
      </c>
      <c r="AR1683" s="182" t="s">
        <v>5716</v>
      </c>
      <c r="AS1683" s="189">
        <f>(0*20+0.01*5+0*50)/75</f>
        <v>6.6666666666666675E-4</v>
      </c>
      <c r="AT1683" s="189">
        <f>IF(ISBLANK(AS1683),,IF(U1683="S",AD1683-AS1683,AS1683-AD1683))</f>
        <v>2.6000000000000002E-2</v>
      </c>
      <c r="AU1683" s="187">
        <f>AV1683*R1683</f>
        <v>3120</v>
      </c>
      <c r="AV1683" s="190">
        <f t="shared" ref="AV1683:AV1688" si="494">IF(ISBLANK(AS1683),,(AT1683*Z1683))</f>
        <v>41.6</v>
      </c>
      <c r="AW1683" s="191" t="s">
        <v>96</v>
      </c>
      <c r="AX1683" s="551" t="s">
        <v>782</v>
      </c>
      <c r="AY1683" s="551" t="s">
        <v>5717</v>
      </c>
      <c r="AZ1683" s="551"/>
      <c r="BA1683" s="551"/>
      <c r="BB1683" s="551"/>
      <c r="BC1683" s="551"/>
      <c r="BD1683" s="549"/>
      <c r="BE1683" s="550"/>
      <c r="BF1683" s="549"/>
      <c r="BG1683" s="391">
        <f>SUM($AV$1389:AV1683)</f>
        <v>1284.835676803455</v>
      </c>
      <c r="BH1683" s="392">
        <f>SUM($AU$1389:AU1683)</f>
        <v>21250.380000000019</v>
      </c>
      <c r="BI1683" s="318">
        <f>SUMIFS($AU$1388:AU1684,$Q$1388:Q1684,"F")</f>
        <v>15828.400000000001</v>
      </c>
      <c r="BJ1683" s="318">
        <f>SUMIFS($AU$1388:AU1684,$Q$1388:Q1684,"S")</f>
        <v>3759.9999999999932</v>
      </c>
      <c r="BK1683" s="343">
        <f>SUMIFS($AU$1388:AU1684,$P$1388:P1684,"W")</f>
        <v>14877.579999999931</v>
      </c>
      <c r="BL1683" s="343">
        <f>SUMIFS($AU$1388:AU1684,$P$1388:P1684,"R")</f>
        <v>4981.9999999999991</v>
      </c>
      <c r="BM1683" s="343">
        <f>SUMIFS($AU$1388:AU1684,$AQ$1388:AQ1684,"M")</f>
        <v>4830.7799999997524</v>
      </c>
      <c r="BN1683" s="343">
        <f>SUMIFS($AU$1388:AU1684,$AQ$1388:AQ1684,"H")</f>
        <v>3435.2000000002604</v>
      </c>
      <c r="BO1683" s="343">
        <f>SUMIFS($AU$1388:AU1684,$AQ$1388:AQ1684,"D")</f>
        <v>4626.0000000000009</v>
      </c>
      <c r="BP1683" s="343">
        <f>SUMIFS($AU$1388:AU1771,$AQ$1388:AQ1771,"W")</f>
        <v>12022.400000000001</v>
      </c>
      <c r="BQ1683" s="343">
        <f>SUMIFS($AU$1388:AU1684,$Q$1388:Q1684,"O")</f>
        <v>1381.9800000000123</v>
      </c>
      <c r="BR1683" s="343">
        <f>SUMIFS($AU$1388:AU1684,$AA$1388:AA1684,"*")</f>
        <v>19035.199999999906</v>
      </c>
      <c r="BS1683" s="343">
        <f>SUMIFS($AU$1388:AU1684,$AB$1388:AB1684,"*")</f>
        <v>6567.1799999999312</v>
      </c>
      <c r="BT1683" s="343">
        <f>SUMIFS($AU$1388:AU1684,$AC$1388:AC1684,"*")</f>
        <v>12708.4</v>
      </c>
      <c r="BU1683" s="343">
        <f>SUMIFS($AU$1388:AU1684,$AA$1388:AA1684,"*",$AB$1388:AB1684,"*")</f>
        <v>4415.9999999998217</v>
      </c>
      <c r="BV1683" s="343">
        <f>SUMIFS($AU$1388:AU1684,$AA$1388:AA1684,"*",$AC$1388:AC1684,"*")</f>
        <v>12244.4</v>
      </c>
      <c r="BW1683" s="343">
        <f>SUMIFS($AU$1388:AU1684,$AB$1388:AB1684,"*",$AC$1388:AC1684,"*")</f>
        <v>3279.9999999999982</v>
      </c>
      <c r="BX1683" s="343">
        <f>SUMIFS($AV$1388:AV1684,$Q$1388:Q1684,"F")</f>
        <v>321.54786430960348</v>
      </c>
      <c r="BY1683" s="343">
        <f>SUMIFS($AV$1388:AV1684,$Q$1388:Q1684,"S")</f>
        <v>290.34781249396258</v>
      </c>
      <c r="BZ1683" s="343">
        <f>SUMIFS($AV$1388:AV1684,$Q$1388:Q1684,"O")</f>
        <v>456.93999999988114</v>
      </c>
    </row>
    <row r="1684" spans="1:78" ht="15.75" customHeight="1">
      <c r="A1684" s="177" t="s">
        <v>5612</v>
      </c>
      <c r="B1684" s="200">
        <v>45363</v>
      </c>
      <c r="C1684" s="178" t="s">
        <v>682</v>
      </c>
      <c r="D1684" s="178" t="s">
        <v>146</v>
      </c>
      <c r="E1684" s="227"/>
      <c r="F1684" s="180"/>
      <c r="G1684" s="181" t="s">
        <v>2070</v>
      </c>
      <c r="H1684" s="182"/>
      <c r="I1684" s="182"/>
      <c r="J1684" s="182"/>
      <c r="K1684" s="183"/>
      <c r="L1684" s="182"/>
      <c r="M1684" s="182"/>
      <c r="N1684" s="182"/>
      <c r="O1684" s="183"/>
      <c r="P1684" s="183"/>
      <c r="Q1684" s="183"/>
      <c r="R1684" s="183"/>
      <c r="S1684" s="183"/>
      <c r="T1684" s="183"/>
      <c r="U1684" s="183"/>
      <c r="V1684" s="183"/>
      <c r="W1684" s="183"/>
      <c r="X1684" s="183"/>
      <c r="Y1684" s="184"/>
      <c r="Z1684" s="185"/>
      <c r="AA1684" s="185"/>
      <c r="AB1684" s="185"/>
      <c r="AC1684" s="185"/>
      <c r="AD1684" s="649"/>
      <c r="AE1684" s="182"/>
      <c r="AF1684" s="332"/>
      <c r="AG1684" s="182"/>
      <c r="AH1684" s="182"/>
      <c r="AI1684" s="182"/>
      <c r="AJ1684" s="640"/>
      <c r="AK1684" s="182"/>
      <c r="AL1684" s="496">
        <f t="shared" si="487"/>
        <v>0</v>
      </c>
      <c r="AM1684" s="496">
        <f t="shared" si="492"/>
        <v>0</v>
      </c>
      <c r="AN1684" s="626"/>
      <c r="AO1684" s="182"/>
      <c r="AP1684" s="182"/>
      <c r="AQ1684" s="332" t="str">
        <f>UPPER(RIGHT(Journal_Live[[#This Row],[DURATION ]]))</f>
        <v/>
      </c>
      <c r="AR1684" s="182"/>
      <c r="AS1684" s="189"/>
      <c r="AT1684" s="189"/>
      <c r="AU1684" s="187"/>
      <c r="AV1684" s="190"/>
      <c r="AW1684" s="191"/>
      <c r="AX1684" s="551"/>
      <c r="AY1684" s="551"/>
      <c r="AZ1684" s="551"/>
      <c r="BA1684" s="551"/>
      <c r="BB1684" s="551"/>
      <c r="BC1684" s="551"/>
      <c r="BD1684" s="549"/>
      <c r="BE1684" s="550"/>
      <c r="BF1684" s="549"/>
      <c r="BG1684" s="391">
        <f>SUM($AV$1389:AV1684)</f>
        <v>1284.835676803455</v>
      </c>
      <c r="BH1684" s="392">
        <f>SUM($AU$1389:AU1684)</f>
        <v>21250.380000000019</v>
      </c>
      <c r="BI1684" s="318">
        <f>SUMIFS($AU$1388:AU1685,$Q$1388:Q1685,"F")</f>
        <v>15828.400000000001</v>
      </c>
      <c r="BJ1684" s="318">
        <f>SUMIFS($AU$1388:AU1685,$Q$1388:Q1685,"S")</f>
        <v>3759.9999999999932</v>
      </c>
      <c r="BK1684" s="343">
        <f>SUMIFS($AU$1388:AU1685,$P$1388:P1685,"W")</f>
        <v>14877.579999999931</v>
      </c>
      <c r="BL1684" s="343">
        <f>SUMIFS($AU$1388:AU1685,$P$1388:P1685,"R")</f>
        <v>4981.9999999999991</v>
      </c>
      <c r="BM1684" s="343">
        <f>SUMIFS($AU$1388:AU1685,$AQ$1388:AQ1685,"M")</f>
        <v>4830.7799999997524</v>
      </c>
      <c r="BN1684" s="343">
        <f>SUMIFS($AU$1388:AU1685,$AQ$1388:AQ1685,"H")</f>
        <v>3435.2000000002604</v>
      </c>
      <c r="BO1684" s="343">
        <f>SUMIFS($AU$1388:AU1685,$AQ$1388:AQ1685,"D")</f>
        <v>4626.0000000000009</v>
      </c>
      <c r="BP1684" s="343">
        <f>SUMIFS($AU$1388:AU1772,$AQ$1388:AQ1772,"W")</f>
        <v>12022.400000000001</v>
      </c>
      <c r="BQ1684" s="343">
        <f>SUMIFS($AU$1388:AU1685,$Q$1388:Q1685,"O")</f>
        <v>1381.9800000000123</v>
      </c>
      <c r="BR1684" s="343">
        <f>SUMIFS($AU$1388:AU1685,$AA$1388:AA1685,"*")</f>
        <v>19035.199999999906</v>
      </c>
      <c r="BS1684" s="343">
        <f>SUMIFS($AU$1388:AU1685,$AB$1388:AB1685,"*")</f>
        <v>6567.1799999999312</v>
      </c>
      <c r="BT1684" s="343">
        <f>SUMIFS($AU$1388:AU1685,$AC$1388:AC1685,"*")</f>
        <v>12708.4</v>
      </c>
      <c r="BU1684" s="343">
        <f>SUMIFS($AU$1388:AU1685,$AA$1388:AA1685,"*",$AB$1388:AB1685,"*")</f>
        <v>4415.9999999998217</v>
      </c>
      <c r="BV1684" s="343">
        <f>SUMIFS($AU$1388:AU1685,$AA$1388:AA1685,"*",$AC$1388:AC1685,"*")</f>
        <v>12244.4</v>
      </c>
      <c r="BW1684" s="343">
        <f>SUMIFS($AU$1388:AU1685,$AB$1388:AB1685,"*",$AC$1388:AC1685,"*")</f>
        <v>3279.9999999999982</v>
      </c>
      <c r="BX1684" s="343">
        <f>SUMIFS($AV$1388:AV1685,$Q$1388:Q1685,"F")</f>
        <v>321.54786430960348</v>
      </c>
      <c r="BY1684" s="343">
        <f>SUMIFS($AV$1388:AV1685,$Q$1388:Q1685,"S")</f>
        <v>290.34781249396258</v>
      </c>
      <c r="BZ1684" s="343">
        <f>SUMIFS($AV$1388:AV1685,$Q$1388:Q1685,"O")</f>
        <v>456.93999999988114</v>
      </c>
    </row>
    <row r="1685" spans="1:78" ht="15.75" customHeight="1">
      <c r="A1685" s="177" t="s">
        <v>5612</v>
      </c>
      <c r="B1685" s="200">
        <v>45365</v>
      </c>
      <c r="C1685" s="178" t="s">
        <v>1187</v>
      </c>
      <c r="D1685" s="178" t="s">
        <v>93</v>
      </c>
      <c r="E1685" s="227"/>
      <c r="F1685" s="180"/>
      <c r="G1685" s="481" t="s">
        <v>4941</v>
      </c>
      <c r="H1685" s="182"/>
      <c r="I1685" s="182"/>
      <c r="J1685" s="182"/>
      <c r="K1685" s="183"/>
      <c r="L1685" s="182"/>
      <c r="M1685" s="182">
        <v>1</v>
      </c>
      <c r="N1685" s="182"/>
      <c r="O1685" s="183" t="s">
        <v>95</v>
      </c>
      <c r="P1685" s="183" t="s">
        <v>137</v>
      </c>
      <c r="Q1685" s="183" t="s">
        <v>97</v>
      </c>
      <c r="R1685" s="183">
        <v>100</v>
      </c>
      <c r="S1685" s="183">
        <v>0</v>
      </c>
      <c r="T1685" s="183">
        <v>100</v>
      </c>
      <c r="U1685" s="183" t="s">
        <v>97</v>
      </c>
      <c r="V1685" s="183"/>
      <c r="W1685" s="183"/>
      <c r="X1685" s="183"/>
      <c r="Y1685" s="184">
        <f>IF(ISBLANK(O1685),"",(IF(O1685=UPPER("IB"),0.005,0.01)))</f>
        <v>0.01</v>
      </c>
      <c r="Z1685" s="185">
        <f>IF(ISBLANK(O1685),"",IF(O1685="IB",8.63*200,IF(O1685="IR",16*100,IF(O1685="YT",20*100,IF(O1685="YT-XT",24*200,IF(O1685="TED",80*100))))))</f>
        <v>1600</v>
      </c>
      <c r="AA1685" s="185" t="s">
        <v>99</v>
      </c>
      <c r="AB1685" s="185"/>
      <c r="AC1685" s="185" t="s">
        <v>5718</v>
      </c>
      <c r="AD1685" s="649">
        <v>-0.02</v>
      </c>
      <c r="AE1685" s="182"/>
      <c r="AF1685" s="332"/>
      <c r="AG1685" s="182"/>
      <c r="AH1685" s="182"/>
      <c r="AI1685" s="182"/>
      <c r="AJ1685" s="640"/>
      <c r="AK1685" s="182"/>
      <c r="AL1685" s="496">
        <f>-0.02*Z1685</f>
        <v>-32</v>
      </c>
      <c r="AM1685" s="496">
        <f t="shared" si="492"/>
        <v>-3200</v>
      </c>
      <c r="AN1685" s="626"/>
      <c r="AO1685" s="182"/>
      <c r="AP1685" s="182" t="s">
        <v>864</v>
      </c>
      <c r="AQ1685" s="332" t="s">
        <v>115</v>
      </c>
      <c r="AR1685" s="298">
        <v>45369</v>
      </c>
      <c r="AS1685" s="189">
        <v>-0.02</v>
      </c>
      <c r="AT1685" s="189">
        <f>IF(ISBLANK(AS1685),,IF(U1685="S",AD1685-AS1685,AS1685-AD1685))</f>
        <v>0</v>
      </c>
      <c r="AU1685" s="187">
        <f>AV1685*R1685</f>
        <v>0</v>
      </c>
      <c r="AV1685" s="190">
        <f t="shared" si="494"/>
        <v>0</v>
      </c>
      <c r="AW1685" s="191" t="s">
        <v>115</v>
      </c>
      <c r="AX1685" s="417" t="s">
        <v>5719</v>
      </c>
      <c r="AY1685" s="409"/>
      <c r="AZ1685" s="409"/>
      <c r="BA1685" s="549"/>
      <c r="BB1685" s="549"/>
      <c r="BC1685" s="551"/>
      <c r="BD1685" s="549"/>
      <c r="BE1685" s="550"/>
      <c r="BF1685" s="549"/>
      <c r="BG1685" s="391">
        <f>SUM($AV$1389:AV1685)</f>
        <v>1284.835676803455</v>
      </c>
      <c r="BH1685" s="392">
        <f>SUM($AU$1389:AU1685)</f>
        <v>21250.380000000019</v>
      </c>
      <c r="BI1685" s="318">
        <f>SUMIFS($AU$1388:AU1686,$Q$1388:Q1686,"F")</f>
        <v>15828.400000000001</v>
      </c>
      <c r="BJ1685" s="318">
        <f>SUMIFS($AU$1388:AU1686,$Q$1388:Q1686,"S")</f>
        <v>3759.9999999999932</v>
      </c>
      <c r="BK1685" s="343">
        <f>SUMIFS($AU$1388:AU1686,$P$1388:P1686,"W")</f>
        <v>14877.579999999931</v>
      </c>
      <c r="BL1685" s="343">
        <f>SUMIFS($AU$1388:AU1686,$P$1388:P1686,"R")</f>
        <v>4981.9999999999991</v>
      </c>
      <c r="BM1685" s="343">
        <f>SUMIFS($AU$1388:AU1686,$AQ$1388:AQ1686,"M")</f>
        <v>4830.7799999997524</v>
      </c>
      <c r="BN1685" s="343">
        <f>SUMIFS($AU$1388:AU1686,$AQ$1388:AQ1686,"H")</f>
        <v>3435.2000000002604</v>
      </c>
      <c r="BO1685" s="343">
        <f>SUMIFS($AU$1388:AU1686,$AQ$1388:AQ1686,"D")</f>
        <v>4626.0000000000009</v>
      </c>
      <c r="BP1685" s="343">
        <f>SUMIFS($AU$1388:AU1773,$AQ$1388:AQ1773,"W")</f>
        <v>12022.400000000001</v>
      </c>
      <c r="BQ1685" s="343">
        <f>SUMIFS($AU$1388:AU1686,$Q$1388:Q1686,"O")</f>
        <v>1381.9800000000123</v>
      </c>
      <c r="BR1685" s="343">
        <f>SUMIFS($AU$1388:AU1686,$AA$1388:AA1686,"*")</f>
        <v>19035.199999999906</v>
      </c>
      <c r="BS1685" s="343">
        <f>SUMIFS($AU$1388:AU1686,$AB$1388:AB1686,"*")</f>
        <v>6567.1799999999312</v>
      </c>
      <c r="BT1685" s="343">
        <f>SUMIFS($AU$1388:AU1686,$AC$1388:AC1686,"*")</f>
        <v>12708.4</v>
      </c>
      <c r="BU1685" s="343">
        <f>SUMIFS($AU$1388:AU1686,$AA$1388:AA1686,"*",$AB$1388:AB1686,"*")</f>
        <v>4415.9999999998217</v>
      </c>
      <c r="BV1685" s="343">
        <f>SUMIFS($AU$1388:AU1686,$AA$1388:AA1686,"*",$AC$1388:AC1686,"*")</f>
        <v>12244.4</v>
      </c>
      <c r="BW1685" s="343">
        <f>SUMIFS($AU$1388:AU1686,$AB$1388:AB1686,"*",$AC$1388:AC1686,"*")</f>
        <v>3279.9999999999982</v>
      </c>
      <c r="BX1685" s="343">
        <f>SUMIFS($AV$1388:AV1686,$Q$1388:Q1686,"F")</f>
        <v>321.54786430960348</v>
      </c>
      <c r="BY1685" s="343">
        <f>SUMIFS($AV$1388:AV1686,$Q$1388:Q1686,"S")</f>
        <v>290.34781249396258</v>
      </c>
      <c r="BZ1685" s="343">
        <f>SUMIFS($AV$1388:AV1686,$Q$1388:Q1686,"O")</f>
        <v>456.93999999988114</v>
      </c>
    </row>
    <row r="1686" spans="1:78" ht="15.75" customHeight="1">
      <c r="A1686" s="177" t="s">
        <v>5612</v>
      </c>
      <c r="B1686" s="200">
        <v>45366</v>
      </c>
      <c r="C1686" s="178" t="s">
        <v>1748</v>
      </c>
      <c r="D1686" s="178" t="s">
        <v>111</v>
      </c>
      <c r="E1686" s="227"/>
      <c r="F1686" s="180"/>
      <c r="G1686" s="181" t="s">
        <v>2070</v>
      </c>
      <c r="H1686" s="182"/>
      <c r="I1686" s="182"/>
      <c r="J1686" s="182"/>
      <c r="K1686" s="183"/>
      <c r="L1686" s="182"/>
      <c r="M1686" s="182"/>
      <c r="N1686" s="182"/>
      <c r="O1686" s="183"/>
      <c r="P1686" s="183"/>
      <c r="Q1686" s="183"/>
      <c r="R1686" s="183"/>
      <c r="S1686" s="183"/>
      <c r="T1686" s="183"/>
      <c r="U1686" s="183"/>
      <c r="V1686" s="183"/>
      <c r="W1686" s="183"/>
      <c r="X1686" s="183"/>
      <c r="Y1686" s="184"/>
      <c r="Z1686" s="185"/>
      <c r="AA1686" s="185"/>
      <c r="AB1686" s="185"/>
      <c r="AC1686" s="185"/>
      <c r="AD1686" s="649"/>
      <c r="AE1686" s="182"/>
      <c r="AF1686" s="332"/>
      <c r="AG1686" s="182"/>
      <c r="AH1686" s="182"/>
      <c r="AI1686" s="182"/>
      <c r="AJ1686" s="640"/>
      <c r="AK1686" s="182"/>
      <c r="AL1686" s="496">
        <f t="shared" si="487"/>
        <v>0</v>
      </c>
      <c r="AM1686" s="496">
        <f t="shared" si="492"/>
        <v>0</v>
      </c>
      <c r="AN1686" s="626"/>
      <c r="AO1686" s="182"/>
      <c r="AP1686" s="182"/>
      <c r="AQ1686" s="332" t="str">
        <f>UPPER(RIGHT(Journal_Live[[#This Row],[DURATION ]]))</f>
        <v/>
      </c>
      <c r="AR1686" s="182"/>
      <c r="AS1686" s="189"/>
      <c r="AT1686" s="189"/>
      <c r="AU1686" s="187"/>
      <c r="AV1686" s="190"/>
      <c r="AW1686" s="191"/>
      <c r="AX1686" s="551" t="s">
        <v>5720</v>
      </c>
      <c r="AY1686" s="551" t="s">
        <v>5721</v>
      </c>
      <c r="AZ1686" s="551"/>
      <c r="BA1686" s="551"/>
      <c r="BB1686" s="551"/>
      <c r="BC1686" s="551"/>
      <c r="BD1686" s="549"/>
      <c r="BE1686" s="550"/>
      <c r="BF1686" s="549"/>
      <c r="BG1686" s="391">
        <f>SUM($AV$1389:AV1686)</f>
        <v>1284.835676803455</v>
      </c>
      <c r="BH1686" s="392">
        <f>SUM($AU$1389:AU1686)</f>
        <v>21250.380000000019</v>
      </c>
      <c r="BI1686" s="318">
        <f>SUMIFS($AU$1388:AU1687,$Q$1388:Q1687,"F")</f>
        <v>15828.400000000001</v>
      </c>
      <c r="BJ1686" s="318">
        <f>SUMIFS($AU$1388:AU1687,$Q$1388:Q1687,"S")</f>
        <v>3759.9999999999932</v>
      </c>
      <c r="BK1686" s="343">
        <f>SUMIFS($AU$1388:AU1687,$P$1388:P1687,"W")</f>
        <v>14877.579999999931</v>
      </c>
      <c r="BL1686" s="343">
        <f>SUMIFS($AU$1388:AU1687,$P$1388:P1687,"R")</f>
        <v>4981.9999999999991</v>
      </c>
      <c r="BM1686" s="343">
        <f>SUMIFS($AU$1388:AU1687,$AQ$1388:AQ1687,"M")</f>
        <v>4830.7799999997524</v>
      </c>
      <c r="BN1686" s="343">
        <f>SUMIFS($AU$1388:AU1687,$AQ$1388:AQ1687,"H")</f>
        <v>3435.2000000002604</v>
      </c>
      <c r="BO1686" s="343">
        <f>SUMIFS($AU$1388:AU1687,$AQ$1388:AQ1687,"D")</f>
        <v>4626.0000000000009</v>
      </c>
      <c r="BP1686" s="343">
        <f>SUMIFS($AU$1388:AU1774,$AQ$1388:AQ1774,"W")</f>
        <v>12022.400000000001</v>
      </c>
      <c r="BQ1686" s="343">
        <f>SUMIFS($AU$1388:AU1687,$Q$1388:Q1687,"O")</f>
        <v>1381.9800000000123</v>
      </c>
      <c r="BR1686" s="343">
        <f>SUMIFS($AU$1388:AU1687,$AA$1388:AA1687,"*")</f>
        <v>19035.199999999906</v>
      </c>
      <c r="BS1686" s="343">
        <f>SUMIFS($AU$1388:AU1687,$AB$1388:AB1687,"*")</f>
        <v>6567.1799999999312</v>
      </c>
      <c r="BT1686" s="343">
        <f>SUMIFS($AU$1388:AU1687,$AC$1388:AC1687,"*")</f>
        <v>12708.4</v>
      </c>
      <c r="BU1686" s="343">
        <f>SUMIFS($AU$1388:AU1687,$AA$1388:AA1687,"*",$AB$1388:AB1687,"*")</f>
        <v>4415.9999999998217</v>
      </c>
      <c r="BV1686" s="343">
        <f>SUMIFS($AU$1388:AU1687,$AA$1388:AA1687,"*",$AC$1388:AC1687,"*")</f>
        <v>12244.4</v>
      </c>
      <c r="BW1686" s="343">
        <f>SUMIFS($AU$1388:AU1687,$AB$1388:AB1687,"*",$AC$1388:AC1687,"*")</f>
        <v>3279.9999999999982</v>
      </c>
      <c r="BX1686" s="343">
        <f>SUMIFS($AV$1388:AV1687,$Q$1388:Q1687,"F")</f>
        <v>321.54786430960348</v>
      </c>
      <c r="BY1686" s="343">
        <f>SUMIFS($AV$1388:AV1687,$Q$1388:Q1687,"S")</f>
        <v>290.34781249396258</v>
      </c>
      <c r="BZ1686" s="343">
        <f>SUMIFS($AV$1388:AV1687,$Q$1388:Q1687,"O")</f>
        <v>456.93999999988114</v>
      </c>
    </row>
    <row r="1687" spans="1:78" ht="15.75" customHeight="1">
      <c r="A1687" s="177" t="s">
        <v>5612</v>
      </c>
      <c r="B1687" s="200">
        <v>45366</v>
      </c>
      <c r="C1687" s="178" t="s">
        <v>2081</v>
      </c>
      <c r="D1687" s="178" t="s">
        <v>111</v>
      </c>
      <c r="E1687" s="227"/>
      <c r="F1687" s="180"/>
      <c r="G1687" s="181" t="s">
        <v>2016</v>
      </c>
      <c r="H1687" s="182"/>
      <c r="I1687" s="182"/>
      <c r="J1687" s="182"/>
      <c r="K1687" s="183"/>
      <c r="L1687" s="182"/>
      <c r="M1687" s="182"/>
      <c r="N1687" s="182"/>
      <c r="O1687" s="183"/>
      <c r="P1687" s="183"/>
      <c r="Q1687" s="183"/>
      <c r="R1687" s="183"/>
      <c r="S1687" s="183"/>
      <c r="T1687" s="183"/>
      <c r="U1687" s="183"/>
      <c r="V1687" s="183"/>
      <c r="W1687" s="183"/>
      <c r="X1687" s="183"/>
      <c r="Y1687" s="184"/>
      <c r="Z1687" s="185"/>
      <c r="AA1687" s="185"/>
      <c r="AB1687" s="185"/>
      <c r="AC1687" s="185"/>
      <c r="AD1687" s="649"/>
      <c r="AE1687" s="182"/>
      <c r="AF1687" s="332"/>
      <c r="AG1687" s="182"/>
      <c r="AH1687" s="182"/>
      <c r="AI1687" s="182"/>
      <c r="AJ1687" s="640"/>
      <c r="AK1687" s="182"/>
      <c r="AL1687" s="496">
        <f t="shared" ref="AL1687" si="495">-0.02*Z1687</f>
        <v>0</v>
      </c>
      <c r="AM1687" s="496">
        <f t="shared" si="492"/>
        <v>0</v>
      </c>
      <c r="AN1687" s="626"/>
      <c r="AO1687" s="182"/>
      <c r="AP1687" s="182"/>
      <c r="AQ1687" s="332" t="str">
        <f>UPPER(RIGHT(Journal_Live[[#This Row],[DURATION ]]))</f>
        <v/>
      </c>
      <c r="AR1687" s="182"/>
      <c r="AS1687" s="189"/>
      <c r="AT1687" s="189"/>
      <c r="AU1687" s="187"/>
      <c r="AV1687" s="190"/>
      <c r="AW1687" s="191"/>
      <c r="AX1687" s="551" t="s">
        <v>5722</v>
      </c>
      <c r="AY1687" s="551"/>
      <c r="AZ1687" s="551"/>
      <c r="BA1687" s="551"/>
      <c r="BB1687" s="551"/>
      <c r="BC1687" s="551"/>
      <c r="BD1687" s="549"/>
      <c r="BE1687" s="550"/>
      <c r="BF1687" s="549"/>
      <c r="BG1687" s="391">
        <f>SUM($AV$1389:AV1687)</f>
        <v>1284.835676803455</v>
      </c>
      <c r="BH1687" s="392">
        <f>SUM($AU$1389:AU1687)</f>
        <v>21250.380000000019</v>
      </c>
      <c r="BI1687" s="318">
        <f>SUMIFS($AU$1388:AU1688,$Q$1388:Q1688,"F")</f>
        <v>15828.400000000001</v>
      </c>
      <c r="BJ1687" s="318">
        <f>SUMIFS($AU$1388:AU1688,$Q$1388:Q1688,"S")</f>
        <v>3759.9999999999932</v>
      </c>
      <c r="BK1687" s="343">
        <f>SUMIFS($AU$1388:AU1688,$P$1388:P1688,"W")</f>
        <v>14877.579999999931</v>
      </c>
      <c r="BL1687" s="343">
        <f>SUMIFS($AU$1388:AU1688,$P$1388:P1688,"R")</f>
        <v>4981.9999999999991</v>
      </c>
      <c r="BM1687" s="343">
        <f>SUMIFS($AU$1388:AU1688,$AQ$1388:AQ1688,"M")</f>
        <v>4859.779999999726</v>
      </c>
      <c r="BN1687" s="343">
        <f>SUMIFS($AU$1388:AU1688,$AQ$1388:AQ1688,"H")</f>
        <v>3435.2000000002604</v>
      </c>
      <c r="BO1687" s="343">
        <f>SUMIFS($AU$1388:AU1688,$AQ$1388:AQ1688,"D")</f>
        <v>4626.0000000000009</v>
      </c>
      <c r="BP1687" s="343">
        <f>SUMIFS($AU$1388:AU1775,$AQ$1388:AQ1775,"W")</f>
        <v>12022.400000000001</v>
      </c>
      <c r="BQ1687" s="343">
        <f>SUMIFS($AU$1388:AU1688,$Q$1388:Q1688,"O")</f>
        <v>1410.9799999999859</v>
      </c>
      <c r="BR1687" s="343">
        <f>SUMIFS($AU$1388:AU1688,$AA$1388:AA1688,"*")</f>
        <v>19064.199999999881</v>
      </c>
      <c r="BS1687" s="343">
        <f>SUMIFS($AU$1388:AU1688,$AB$1388:AB1688,"*")</f>
        <v>6567.1799999999312</v>
      </c>
      <c r="BT1687" s="343">
        <f>SUMIFS($AU$1388:AU1688,$AC$1388:AC1688,"*")</f>
        <v>12708.4</v>
      </c>
      <c r="BU1687" s="343">
        <f>SUMIFS($AU$1388:AU1688,$AA$1388:AA1688,"*",$AB$1388:AB1688,"*")</f>
        <v>4415.9999999998217</v>
      </c>
      <c r="BV1687" s="343">
        <f>SUMIFS($AU$1388:AU1688,$AA$1388:AA1688,"*",$AC$1388:AC1688,"*")</f>
        <v>12244.4</v>
      </c>
      <c r="BW1687" s="343">
        <f>SUMIFS($AU$1388:AU1688,$AB$1388:AB1688,"*",$AC$1388:AC1688,"*")</f>
        <v>3279.9999999999982</v>
      </c>
      <c r="BX1687" s="343">
        <f>SUMIFS($AV$1388:AV1688,$Q$1388:Q1688,"F")</f>
        <v>321.54786430960348</v>
      </c>
      <c r="BY1687" s="343">
        <f>SUMIFS($AV$1388:AV1688,$Q$1388:Q1688,"S")</f>
        <v>290.34781249396258</v>
      </c>
      <c r="BZ1687" s="343">
        <f>SUMIFS($AV$1388:AV1688,$Q$1388:Q1688,"O")</f>
        <v>485.93999999985476</v>
      </c>
    </row>
    <row r="1688" spans="1:78" ht="15.75" customHeight="1">
      <c r="A1688" s="177" t="s">
        <v>5612</v>
      </c>
      <c r="B1688" s="200">
        <v>45366</v>
      </c>
      <c r="C1688" s="178" t="s">
        <v>3402</v>
      </c>
      <c r="D1688" s="178" t="s">
        <v>111</v>
      </c>
      <c r="E1688" s="227"/>
      <c r="F1688" s="180"/>
      <c r="G1688" s="181" t="s">
        <v>5723</v>
      </c>
      <c r="H1688" s="182"/>
      <c r="I1688" s="182"/>
      <c r="J1688" s="182"/>
      <c r="K1688" s="183"/>
      <c r="L1688" s="182">
        <v>1</v>
      </c>
      <c r="M1688" s="182"/>
      <c r="N1688" s="182"/>
      <c r="O1688" s="183" t="s">
        <v>3618</v>
      </c>
      <c r="P1688" s="183" t="s">
        <v>2260</v>
      </c>
      <c r="Q1688" s="183" t="s">
        <v>684</v>
      </c>
      <c r="R1688" s="183">
        <v>1</v>
      </c>
      <c r="S1688" s="183">
        <v>0</v>
      </c>
      <c r="T1688" s="183">
        <v>1</v>
      </c>
      <c r="U1688" s="183" t="s">
        <v>22</v>
      </c>
      <c r="V1688" s="183"/>
      <c r="W1688" s="183"/>
      <c r="X1688" s="183"/>
      <c r="Y1688" s="184">
        <f>IF(ISBLANK(O1688),"",(IF(O1688=UPPER("IB"),0.005,0.01)))</f>
        <v>0.01</v>
      </c>
      <c r="Z1688" s="185">
        <f>IF(ISBLANK(O1688),"",IF(O1688="IB",8.63*200,IF(O1688="IR",16*100,IF(O1688="YT",20*100,IF(O1688="YT-XT",24*200,IF(O1688="TED",80*100,IF(O1688="XT",29*200)))))))</f>
        <v>5800</v>
      </c>
      <c r="AA1688" s="185" t="s">
        <v>5724</v>
      </c>
      <c r="AB1688" s="185"/>
      <c r="AC1688" s="185"/>
      <c r="AD1688" s="649">
        <v>95.849000000000004</v>
      </c>
      <c r="AE1688" s="182"/>
      <c r="AF1688" s="332"/>
      <c r="AG1688" s="182"/>
      <c r="AH1688" s="182"/>
      <c r="AI1688" s="182"/>
      <c r="AJ1688" s="640"/>
      <c r="AK1688" s="182"/>
      <c r="AL1688" s="496">
        <f t="shared" si="487"/>
        <v>-116</v>
      </c>
      <c r="AM1688" s="496">
        <f t="shared" si="492"/>
        <v>-116</v>
      </c>
      <c r="AN1688" s="626"/>
      <c r="AO1688" s="182"/>
      <c r="AP1688" s="182" t="s">
        <v>1843</v>
      </c>
      <c r="AQ1688" s="332" t="s">
        <v>1259</v>
      </c>
      <c r="AR1688" s="182" t="s">
        <v>2654</v>
      </c>
      <c r="AS1688" s="189">
        <v>95.853999999999999</v>
      </c>
      <c r="AT1688" s="189">
        <f>IF(ISBLANK(AS1688),,IF(U1688="S",AD1688-AS1688,AS1688-AD1688))</f>
        <v>4.9999999999954525E-3</v>
      </c>
      <c r="AU1688" s="187">
        <f>AV1688*R1688</f>
        <v>28.999999999973625</v>
      </c>
      <c r="AV1688" s="190">
        <f t="shared" si="494"/>
        <v>28.999999999973625</v>
      </c>
      <c r="AW1688" s="191" t="s">
        <v>96</v>
      </c>
      <c r="AX1688" s="551" t="s">
        <v>5725</v>
      </c>
      <c r="AY1688" s="551"/>
      <c r="AZ1688" s="551"/>
      <c r="BA1688" s="551"/>
      <c r="BB1688" s="551"/>
      <c r="BC1688" s="551"/>
      <c r="BD1688" s="549"/>
      <c r="BE1688" s="550"/>
      <c r="BF1688" s="549"/>
      <c r="BG1688" s="391">
        <f>SUM($AV$1389:AV1688)</f>
        <v>1313.8356768034287</v>
      </c>
      <c r="BH1688" s="392">
        <f>SUM($AU$1389:AU1688)</f>
        <v>21279.379999999994</v>
      </c>
      <c r="BI1688" s="318">
        <f>SUMIFS($AU$1388:AU1689,$Q$1388:Q1689,"F")</f>
        <v>15828.400000000001</v>
      </c>
      <c r="BJ1688" s="318">
        <f>SUMIFS($AU$1388:AU1689,$Q$1388:Q1689,"S")</f>
        <v>3759.9999999999932</v>
      </c>
      <c r="BK1688" s="343">
        <f>SUMIFS($AU$1388:AU1689,$P$1388:P1689,"W")</f>
        <v>14877.579999999931</v>
      </c>
      <c r="BL1688" s="343">
        <f>SUMIFS($AU$1388:AU1689,$P$1388:P1689,"R")</f>
        <v>4981.9999999999991</v>
      </c>
      <c r="BM1688" s="343">
        <f>SUMIFS($AU$1388:AU1689,$AQ$1388:AQ1689,"M")</f>
        <v>4859.779999999726</v>
      </c>
      <c r="BN1688" s="343">
        <f>SUMIFS($AU$1388:AU1689,$AQ$1388:AQ1689,"H")</f>
        <v>2955.2000000002422</v>
      </c>
      <c r="BO1688" s="343">
        <f>SUMIFS($AU$1388:AU1689,$AQ$1388:AQ1689,"D")</f>
        <v>4626.0000000000009</v>
      </c>
      <c r="BP1688" s="343">
        <f>SUMIFS($AU$1388:AU1776,$AQ$1388:AQ1776,"W")</f>
        <v>12022.400000000001</v>
      </c>
      <c r="BQ1688" s="343">
        <f>SUMIFS($AU$1388:AU1689,$Q$1388:Q1689,"O")</f>
        <v>1410.9799999999859</v>
      </c>
      <c r="BR1688" s="343">
        <f>SUMIFS($AU$1388:AU1689,$AA$1388:AA1689,"*")</f>
        <v>18584.199999999862</v>
      </c>
      <c r="BS1688" s="343">
        <f>SUMIFS($AU$1388:AU1689,$AB$1388:AB1689,"*")</f>
        <v>6567.1799999999312</v>
      </c>
      <c r="BT1688" s="343">
        <f>SUMIFS($AU$1388:AU1689,$AC$1388:AC1689,"*")</f>
        <v>12708.4</v>
      </c>
      <c r="BU1688" s="343">
        <f>SUMIFS($AU$1388:AU1689,$AA$1388:AA1689,"*",$AB$1388:AB1689,"*")</f>
        <v>4415.9999999998217</v>
      </c>
      <c r="BV1688" s="343">
        <f>SUMIFS($AU$1388:AU1689,$AA$1388:AA1689,"*",$AC$1388:AC1689,"*")</f>
        <v>12244.4</v>
      </c>
      <c r="BW1688" s="343">
        <f>SUMIFS($AU$1388:AU1689,$AB$1388:AB1689,"*",$AC$1388:AC1689,"*")</f>
        <v>3279.9999999999982</v>
      </c>
      <c r="BX1688" s="343">
        <f>SUMIFS($AV$1388:AV1689,$Q$1388:Q1689,"F")</f>
        <v>321.54786430960348</v>
      </c>
      <c r="BY1688" s="343">
        <f>SUMIFS($AV$1388:AV1689,$Q$1388:Q1689,"S")</f>
        <v>290.34781249396258</v>
      </c>
      <c r="BZ1688" s="343">
        <f>SUMIFS($AV$1388:AV1689,$Q$1388:Q1689,"O")</f>
        <v>485.93999999985476</v>
      </c>
    </row>
    <row r="1689" spans="1:78" ht="15.75" customHeight="1">
      <c r="A1689" s="177" t="s">
        <v>5612</v>
      </c>
      <c r="B1689" s="200">
        <v>45366</v>
      </c>
      <c r="C1689" s="178" t="s">
        <v>1255</v>
      </c>
      <c r="D1689" s="178" t="s">
        <v>132</v>
      </c>
      <c r="E1689" s="227"/>
      <c r="F1689" s="180"/>
      <c r="G1689" s="481" t="s">
        <v>5726</v>
      </c>
      <c r="H1689" s="182"/>
      <c r="I1689" s="182"/>
      <c r="J1689" s="182"/>
      <c r="K1689" s="183"/>
      <c r="L1689" s="182">
        <v>1</v>
      </c>
      <c r="M1689" s="182"/>
      <c r="N1689" s="182"/>
      <c r="O1689" s="183" t="s">
        <v>2432</v>
      </c>
      <c r="P1689" s="183" t="s">
        <v>2260</v>
      </c>
      <c r="Q1689" s="183"/>
      <c r="R1689" s="183">
        <v>8</v>
      </c>
      <c r="S1689" s="183">
        <v>0</v>
      </c>
      <c r="T1689" s="183">
        <v>8</v>
      </c>
      <c r="U1689" s="183" t="s">
        <v>97</v>
      </c>
      <c r="V1689" s="183"/>
      <c r="W1689" s="183"/>
      <c r="X1689" s="183"/>
      <c r="Y1689" s="184">
        <f>IF(ISBLANK(O1689),"",(IF(O1689=UPPER("IB"),0.005,0.01)))</f>
        <v>0.01</v>
      </c>
      <c r="Z1689" s="185">
        <f>IF(ISBLANK(O1689),"",IF(O1689="IB",8.63*200,IF(O1689="IR",16*100,IF(O1689="YT",20*100,IF(O1689="YT-XT",24*200,IF(O1689="TED",80*100,IF(O1689="XT",29*200)))))))</f>
        <v>2000</v>
      </c>
      <c r="AA1689" s="185" t="s">
        <v>5727</v>
      </c>
      <c r="AB1689" s="185"/>
      <c r="AC1689" s="185"/>
      <c r="AD1689" s="649">
        <v>96.27</v>
      </c>
      <c r="AE1689" s="182"/>
      <c r="AF1689" s="332"/>
      <c r="AG1689" s="182"/>
      <c r="AH1689" s="182"/>
      <c r="AI1689" s="182"/>
      <c r="AJ1689" s="640"/>
      <c r="AK1689" s="182"/>
      <c r="AL1689" s="496">
        <f t="shared" ref="AL1689:AL1694" si="496">-0.02*Z1689</f>
        <v>-40</v>
      </c>
      <c r="AM1689" s="496">
        <f t="shared" si="492"/>
        <v>-320</v>
      </c>
      <c r="AN1689" s="626"/>
      <c r="AO1689" s="182"/>
      <c r="AP1689" s="182" t="s">
        <v>2527</v>
      </c>
      <c r="AQ1689" s="332" t="s">
        <v>372</v>
      </c>
      <c r="AR1689" s="182" t="s">
        <v>1559</v>
      </c>
      <c r="AS1689" s="189">
        <v>96.3</v>
      </c>
      <c r="AT1689" s="189">
        <f>IF(ISBLANK(AS1689),,IF(U1689="S",AD1689-AS1689,AS1689-AD1689))</f>
        <v>-3.0000000000001137E-2</v>
      </c>
      <c r="AU1689" s="187">
        <f>AV1689*R1689</f>
        <v>-480.00000000001819</v>
      </c>
      <c r="AV1689" s="190">
        <f t="shared" ref="AV1689" si="497">IF(ISBLANK(AS1689),,(AT1689*Z1689))</f>
        <v>-60.000000000002274</v>
      </c>
      <c r="AW1689" s="191" t="s">
        <v>229</v>
      </c>
      <c r="AX1689" s="551"/>
      <c r="AY1689" s="551"/>
      <c r="AZ1689" s="551"/>
      <c r="BA1689" s="551"/>
      <c r="BB1689" s="551"/>
      <c r="BC1689" s="551"/>
      <c r="BD1689" s="549"/>
      <c r="BE1689" s="550"/>
      <c r="BF1689" s="549"/>
      <c r="BG1689" s="391">
        <f>SUM($AV$1389:AV1689)</f>
        <v>1253.8356768034264</v>
      </c>
      <c r="BH1689" s="392">
        <f>SUM($AU$1389:AU1689)</f>
        <v>20799.379999999976</v>
      </c>
      <c r="BI1689" s="318">
        <f>SUMIFS($AU$1388:AU1690,$Q$1388:Q1690,"F")</f>
        <v>15828.400000000001</v>
      </c>
      <c r="BJ1689" s="318">
        <f>SUMIFS($AU$1388:AU1690,$Q$1388:Q1690,"S")</f>
        <v>3759.9999999999932</v>
      </c>
      <c r="BK1689" s="343">
        <f>SUMIFS($AU$1388:AU1690,$P$1388:P1690,"W")</f>
        <v>14877.579999999931</v>
      </c>
      <c r="BL1689" s="343">
        <f>SUMIFS($AU$1388:AU1690,$P$1388:P1690,"R")</f>
        <v>4981.9999999999991</v>
      </c>
      <c r="BM1689" s="343">
        <f>SUMIFS($AU$1388:AU1690,$AQ$1388:AQ1690,"M")</f>
        <v>4859.779999999726</v>
      </c>
      <c r="BN1689" s="343">
        <f>SUMIFS($AU$1388:AU1690,$AQ$1388:AQ1690,"H")</f>
        <v>2955.2000000002422</v>
      </c>
      <c r="BO1689" s="343">
        <f>SUMIFS($AU$1388:AU1690,$AQ$1388:AQ1690,"D")</f>
        <v>4626.0000000000009</v>
      </c>
      <c r="BP1689" s="343">
        <f>SUMIFS($AU$1388:AU1777,$AQ$1388:AQ1777,"W")</f>
        <v>12022.400000000001</v>
      </c>
      <c r="BQ1689" s="343">
        <f>SUMIFS($AU$1388:AU1690,$Q$1388:Q1690,"O")</f>
        <v>1410.9799999999859</v>
      </c>
      <c r="BR1689" s="343">
        <f>SUMIFS($AU$1388:AU1690,$AA$1388:AA1690,"*")</f>
        <v>18584.199999999862</v>
      </c>
      <c r="BS1689" s="343">
        <f>SUMIFS($AU$1388:AU1690,$AB$1388:AB1690,"*")</f>
        <v>6567.1799999999312</v>
      </c>
      <c r="BT1689" s="343">
        <f>SUMIFS($AU$1388:AU1690,$AC$1388:AC1690,"*")</f>
        <v>12708.4</v>
      </c>
      <c r="BU1689" s="343">
        <f>SUMIFS($AU$1388:AU1690,$AA$1388:AA1690,"*",$AB$1388:AB1690,"*")</f>
        <v>4415.9999999998217</v>
      </c>
      <c r="BV1689" s="343">
        <f>SUMIFS($AU$1388:AU1690,$AA$1388:AA1690,"*",$AC$1388:AC1690,"*")</f>
        <v>12244.4</v>
      </c>
      <c r="BW1689" s="343">
        <f>SUMIFS($AU$1388:AU1690,$AB$1388:AB1690,"*",$AC$1388:AC1690,"*")</f>
        <v>3279.9999999999982</v>
      </c>
      <c r="BX1689" s="343">
        <f>SUMIFS($AV$1388:AV1690,$Q$1388:Q1690,"F")</f>
        <v>321.54786430960348</v>
      </c>
      <c r="BY1689" s="343">
        <f>SUMIFS($AV$1388:AV1690,$Q$1388:Q1690,"S")</f>
        <v>290.34781249396258</v>
      </c>
      <c r="BZ1689" s="343">
        <f>SUMIFS($AV$1388:AV1690,$Q$1388:Q1690,"O")</f>
        <v>485.93999999985476</v>
      </c>
    </row>
    <row r="1690" spans="1:78" ht="15.75" customHeight="1">
      <c r="A1690" s="177" t="s">
        <v>5612</v>
      </c>
      <c r="B1690" s="200"/>
      <c r="C1690" s="178"/>
      <c r="D1690" s="178"/>
      <c r="E1690" s="227"/>
      <c r="F1690" s="180"/>
      <c r="G1690" s="181"/>
      <c r="H1690" s="182"/>
      <c r="I1690" s="182"/>
      <c r="J1690" s="182"/>
      <c r="K1690" s="183"/>
      <c r="L1690" s="182"/>
      <c r="M1690" s="182"/>
      <c r="N1690" s="182"/>
      <c r="O1690" s="183"/>
      <c r="P1690" s="183"/>
      <c r="Q1690" s="183"/>
      <c r="R1690" s="183"/>
      <c r="S1690" s="183"/>
      <c r="T1690" s="183"/>
      <c r="U1690" s="183"/>
      <c r="V1690" s="183"/>
      <c r="W1690" s="183"/>
      <c r="X1690" s="183"/>
      <c r="Y1690" s="184"/>
      <c r="Z1690" s="185"/>
      <c r="AA1690" s="185"/>
      <c r="AB1690" s="185"/>
      <c r="AC1690" s="185"/>
      <c r="AD1690" s="649"/>
      <c r="AE1690" s="182"/>
      <c r="AF1690" s="332"/>
      <c r="AG1690" s="182"/>
      <c r="AH1690" s="182"/>
      <c r="AI1690" s="182"/>
      <c r="AJ1690" s="640"/>
      <c r="AK1690" s="182"/>
      <c r="AL1690" s="496">
        <f t="shared" si="496"/>
        <v>0</v>
      </c>
      <c r="AM1690" s="496">
        <f t="shared" si="492"/>
        <v>0</v>
      </c>
      <c r="AN1690" s="626"/>
      <c r="AO1690" s="182"/>
      <c r="AP1690" s="182"/>
      <c r="AQ1690" s="332" t="str">
        <f>UPPER(RIGHT(Journal_Live[[#This Row],[DURATION ]]))</f>
        <v/>
      </c>
      <c r="AR1690" s="182"/>
      <c r="AS1690" s="189"/>
      <c r="AT1690" s="189"/>
      <c r="AU1690" s="187"/>
      <c r="AV1690" s="190"/>
      <c r="AW1690" s="191"/>
      <c r="AX1690" s="551" t="s">
        <v>5728</v>
      </c>
      <c r="AY1690" s="551" t="s">
        <v>5729</v>
      </c>
      <c r="AZ1690" s="551" t="s">
        <v>5730</v>
      </c>
      <c r="BA1690" s="551" t="s">
        <v>5731</v>
      </c>
      <c r="BB1690" s="551"/>
      <c r="BC1690" s="551"/>
      <c r="BD1690" s="549"/>
      <c r="BE1690" s="550"/>
      <c r="BF1690" s="549"/>
      <c r="BG1690" s="391">
        <f>SUM($AV$1389:AV1690)</f>
        <v>1253.8356768034264</v>
      </c>
      <c r="BH1690" s="392">
        <f>SUM($AU$1389:AU1690)</f>
        <v>20799.379999999976</v>
      </c>
      <c r="BI1690" s="318">
        <f>SUMIFS($AU$1388:AU1691,$Q$1388:Q1691,"F")</f>
        <v>15828.400000000001</v>
      </c>
      <c r="BJ1690" s="318">
        <f>SUMIFS($AU$1388:AU1691,$Q$1388:Q1691,"S")</f>
        <v>3759.9999999999932</v>
      </c>
      <c r="BK1690" s="343">
        <f>SUMIFS($AU$1388:AU1691,$P$1388:P1691,"W")</f>
        <v>14877.579999999931</v>
      </c>
      <c r="BL1690" s="343">
        <f>SUMIFS($AU$1388:AU1691,$P$1388:P1691,"R")</f>
        <v>4981.9999999999991</v>
      </c>
      <c r="BM1690" s="343">
        <f>SUMIFS($AU$1388:AU1691,$AQ$1388:AQ1691,"M")</f>
        <v>4859.779999999726</v>
      </c>
      <c r="BN1690" s="343">
        <f>SUMIFS($AU$1388:AU1691,$AQ$1388:AQ1691,"H")</f>
        <v>2955.2000000002422</v>
      </c>
      <c r="BO1690" s="343">
        <f>SUMIFS($AU$1388:AU1691,$AQ$1388:AQ1691,"D")</f>
        <v>4626.0000000000009</v>
      </c>
      <c r="BP1690" s="343">
        <f>SUMIFS($AU$1388:AU1778,$AQ$1388:AQ1778,"W")</f>
        <v>12022.400000000001</v>
      </c>
      <c r="BQ1690" s="343">
        <f>SUMIFS($AU$1388:AU1691,$Q$1388:Q1691,"O")</f>
        <v>1410.9799999999859</v>
      </c>
      <c r="BR1690" s="343">
        <f>SUMIFS($AU$1388:AU1691,$AA$1388:AA1691,"*")</f>
        <v>18584.199999999862</v>
      </c>
      <c r="BS1690" s="343">
        <f>SUMIFS($AU$1388:AU1691,$AB$1388:AB1691,"*")</f>
        <v>6567.1799999999312</v>
      </c>
      <c r="BT1690" s="343">
        <f>SUMIFS($AU$1388:AU1691,$AC$1388:AC1691,"*")</f>
        <v>12708.4</v>
      </c>
      <c r="BU1690" s="343">
        <f>SUMIFS($AU$1388:AU1691,$AA$1388:AA1691,"*",$AB$1388:AB1691,"*")</f>
        <v>4415.9999999998217</v>
      </c>
      <c r="BV1690" s="343">
        <f>SUMIFS($AU$1388:AU1691,$AA$1388:AA1691,"*",$AC$1388:AC1691,"*")</f>
        <v>12244.4</v>
      </c>
      <c r="BW1690" s="343">
        <f>SUMIFS($AU$1388:AU1691,$AB$1388:AB1691,"*",$AC$1388:AC1691,"*")</f>
        <v>3279.9999999999982</v>
      </c>
      <c r="BX1690" s="343">
        <f>SUMIFS($AV$1388:AV1691,$Q$1388:Q1691,"F")</f>
        <v>321.54786430960348</v>
      </c>
      <c r="BY1690" s="343">
        <f>SUMIFS($AV$1388:AV1691,$Q$1388:Q1691,"S")</f>
        <v>290.34781249396258</v>
      </c>
      <c r="BZ1690" s="343">
        <f>SUMIFS($AV$1388:AV1691,$Q$1388:Q1691,"O")</f>
        <v>485.93999999985476</v>
      </c>
    </row>
    <row r="1691" spans="1:78" ht="15.75" customHeight="1">
      <c r="A1691" s="177" t="s">
        <v>5612</v>
      </c>
      <c r="B1691" s="200"/>
      <c r="C1691" s="178"/>
      <c r="D1691" s="178"/>
      <c r="E1691" s="227"/>
      <c r="F1691" s="180"/>
      <c r="G1691" s="181"/>
      <c r="H1691" s="182"/>
      <c r="I1691" s="182"/>
      <c r="J1691" s="182"/>
      <c r="K1691" s="183"/>
      <c r="L1691" s="182"/>
      <c r="M1691" s="182"/>
      <c r="N1691" s="182"/>
      <c r="O1691" s="183"/>
      <c r="P1691" s="183"/>
      <c r="Q1691" s="183"/>
      <c r="R1691" s="183"/>
      <c r="S1691" s="183"/>
      <c r="T1691" s="183"/>
      <c r="U1691" s="183"/>
      <c r="V1691" s="183"/>
      <c r="W1691" s="183"/>
      <c r="X1691" s="183"/>
      <c r="Y1691" s="184"/>
      <c r="Z1691" s="185"/>
      <c r="AA1691" s="185"/>
      <c r="AB1691" s="185"/>
      <c r="AC1691" s="185"/>
      <c r="AD1691" s="649"/>
      <c r="AE1691" s="182"/>
      <c r="AF1691" s="332"/>
      <c r="AG1691" s="182"/>
      <c r="AH1691" s="182"/>
      <c r="AI1691" s="182"/>
      <c r="AJ1691" s="640"/>
      <c r="AK1691" s="182"/>
      <c r="AL1691" s="496">
        <f t="shared" si="496"/>
        <v>0</v>
      </c>
      <c r="AM1691" s="496">
        <f t="shared" si="492"/>
        <v>0</v>
      </c>
      <c r="AN1691" s="626"/>
      <c r="AO1691" s="182"/>
      <c r="AP1691" s="182"/>
      <c r="AQ1691" s="332" t="str">
        <f>UPPER(RIGHT(Journal_Live[[#This Row],[DURATION ]]))</f>
        <v/>
      </c>
      <c r="AR1691" s="182"/>
      <c r="AS1691" s="189"/>
      <c r="AT1691" s="189"/>
      <c r="AU1691" s="187"/>
      <c r="AV1691" s="190"/>
      <c r="AW1691" s="191"/>
      <c r="AX1691" s="417"/>
      <c r="AY1691" s="549"/>
      <c r="AZ1691" s="551"/>
      <c r="BA1691" s="549"/>
      <c r="BB1691" s="551"/>
      <c r="BC1691" s="551"/>
      <c r="BD1691" s="549"/>
      <c r="BE1691" s="550"/>
      <c r="BF1691" s="549"/>
      <c r="BG1691" s="391">
        <f>SUM($AV$1389:AV1691)</f>
        <v>1253.8356768034264</v>
      </c>
      <c r="BH1691" s="392">
        <f>SUM($AU$1389:AU1691)</f>
        <v>20799.379999999976</v>
      </c>
      <c r="BI1691" s="318">
        <f>SUMIFS($AU$1388:AU1692,$Q$1388:Q1692,"F")</f>
        <v>15828.400000000001</v>
      </c>
      <c r="BJ1691" s="318">
        <f>SUMIFS($AU$1388:AU1692,$Q$1388:Q1692,"S")</f>
        <v>3759.9999999999932</v>
      </c>
      <c r="BK1691" s="343">
        <f>SUMIFS($AU$1388:AU1692,$P$1388:P1692,"W")</f>
        <v>14877.579999999931</v>
      </c>
      <c r="BL1691" s="343">
        <f>SUMIFS($AU$1388:AU1692,$P$1388:P1692,"R")</f>
        <v>4981.9999999999991</v>
      </c>
      <c r="BM1691" s="343">
        <f>SUMIFS($AU$1388:AU1692,$AQ$1388:AQ1692,"M")</f>
        <v>4859.779999999726</v>
      </c>
      <c r="BN1691" s="343">
        <f>SUMIFS($AU$1388:AU1692,$AQ$1388:AQ1692,"H")</f>
        <v>2955.2000000002422</v>
      </c>
      <c r="BO1691" s="343">
        <f>SUMIFS($AU$1388:AU1692,$AQ$1388:AQ1692,"D")</f>
        <v>4626.0000000000009</v>
      </c>
      <c r="BP1691" s="343">
        <f>SUMIFS($AU$1388:AU1779,$AQ$1388:AQ1779,"W")</f>
        <v>12022.400000000001</v>
      </c>
      <c r="BQ1691" s="343">
        <f>SUMIFS($AU$1388:AU1692,$Q$1388:Q1692,"O")</f>
        <v>1410.9799999999859</v>
      </c>
      <c r="BR1691" s="343">
        <f>SUMIFS($AU$1388:AU1692,$AA$1388:AA1692,"*")</f>
        <v>18584.199999999862</v>
      </c>
      <c r="BS1691" s="343">
        <f>SUMIFS($AU$1388:AU1692,$AB$1388:AB1692,"*")</f>
        <v>6567.1799999999312</v>
      </c>
      <c r="BT1691" s="343">
        <f>SUMIFS($AU$1388:AU1692,$AC$1388:AC1692,"*")</f>
        <v>12708.4</v>
      </c>
      <c r="BU1691" s="343">
        <f>SUMIFS($AU$1388:AU1692,$AA$1388:AA1692,"*",$AB$1388:AB1692,"*")</f>
        <v>4415.9999999998217</v>
      </c>
      <c r="BV1691" s="343">
        <f>SUMIFS($AU$1388:AU1692,$AA$1388:AA1692,"*",$AC$1388:AC1692,"*")</f>
        <v>12244.4</v>
      </c>
      <c r="BW1691" s="343">
        <f>SUMIFS($AU$1388:AU1692,$AB$1388:AB1692,"*",$AC$1388:AC1692,"*")</f>
        <v>3279.9999999999982</v>
      </c>
      <c r="BX1691" s="343">
        <f>SUMIFS($AV$1388:AV1692,$Q$1388:Q1692,"F")</f>
        <v>321.54786430960348</v>
      </c>
      <c r="BY1691" s="343">
        <f>SUMIFS($AV$1388:AV1692,$Q$1388:Q1692,"S")</f>
        <v>290.34781249396258</v>
      </c>
      <c r="BZ1691" s="343">
        <f>SUMIFS($AV$1388:AV1692,$Q$1388:Q1692,"O")</f>
        <v>485.93999999985476</v>
      </c>
    </row>
    <row r="1692" spans="1:78" ht="15.75" customHeight="1">
      <c r="A1692" s="177" t="s">
        <v>5612</v>
      </c>
      <c r="B1692" s="200"/>
      <c r="C1692" s="178"/>
      <c r="D1692" s="178"/>
      <c r="E1692" s="227"/>
      <c r="F1692" s="180"/>
      <c r="G1692" s="181"/>
      <c r="H1692" s="182"/>
      <c r="I1692" s="182"/>
      <c r="J1692" s="182"/>
      <c r="K1692" s="183"/>
      <c r="L1692" s="182"/>
      <c r="M1692" s="182"/>
      <c r="N1692" s="182"/>
      <c r="O1692" s="183"/>
      <c r="P1692" s="183"/>
      <c r="Q1692" s="183"/>
      <c r="R1692" s="183"/>
      <c r="S1692" s="183"/>
      <c r="T1692" s="183"/>
      <c r="U1692" s="183"/>
      <c r="V1692" s="183"/>
      <c r="W1692" s="183"/>
      <c r="X1692" s="183"/>
      <c r="Y1692" s="184"/>
      <c r="Z1692" s="185"/>
      <c r="AA1692" s="185"/>
      <c r="AB1692" s="185"/>
      <c r="AC1692" s="185"/>
      <c r="AD1692" s="649"/>
      <c r="AE1692" s="182"/>
      <c r="AF1692" s="332"/>
      <c r="AG1692" s="182"/>
      <c r="AH1692" s="182"/>
      <c r="AI1692" s="182"/>
      <c r="AJ1692" s="640"/>
      <c r="AK1692" s="182"/>
      <c r="AL1692" s="496">
        <f t="shared" si="496"/>
        <v>0</v>
      </c>
      <c r="AM1692" s="496">
        <f t="shared" si="492"/>
        <v>0</v>
      </c>
      <c r="AN1692" s="626"/>
      <c r="AO1692" s="182"/>
      <c r="AP1692" s="182"/>
      <c r="AQ1692" s="332" t="str">
        <f>UPPER(RIGHT(Journal_Live[[#This Row],[DURATION ]]))</f>
        <v/>
      </c>
      <c r="AR1692" s="182"/>
      <c r="AS1692" s="189"/>
      <c r="AT1692" s="189"/>
      <c r="AU1692" s="187"/>
      <c r="AV1692" s="190"/>
      <c r="AW1692" s="191"/>
      <c r="AX1692" s="417"/>
      <c r="AY1692" s="551"/>
      <c r="AZ1692" s="551"/>
      <c r="BA1692" s="549"/>
      <c r="BB1692" s="551"/>
      <c r="BC1692" s="551"/>
      <c r="BD1692" s="549" t="s">
        <v>5732</v>
      </c>
      <c r="BE1692" s="550" t="s">
        <v>5733</v>
      </c>
      <c r="BF1692" s="549"/>
      <c r="BG1692" s="391">
        <f>SUM($AV$1389:AV1692)</f>
        <v>1253.8356768034264</v>
      </c>
      <c r="BH1692" s="392">
        <f>SUM($AU$1389:AU1692)</f>
        <v>20799.379999999976</v>
      </c>
      <c r="BI1692" s="318">
        <f>SUMIFS($AU$1388:AU1693,$Q$1388:Q1693,"F")</f>
        <v>15828.400000000001</v>
      </c>
      <c r="BJ1692" s="318">
        <f>SUMIFS($AU$1388:AU1693,$Q$1388:Q1693,"S")</f>
        <v>3759.9999999999932</v>
      </c>
      <c r="BK1692" s="343">
        <f>SUMIFS($AU$1388:AU1693,$P$1388:P1693,"W")</f>
        <v>14877.579999999931</v>
      </c>
      <c r="BL1692" s="343">
        <f>SUMIFS($AU$1388:AU1693,$P$1388:P1693,"R")</f>
        <v>4981.9999999999991</v>
      </c>
      <c r="BM1692" s="343">
        <f>SUMIFS($AU$1388:AU1693,$AQ$1388:AQ1693,"M")</f>
        <v>4859.779999999726</v>
      </c>
      <c r="BN1692" s="343">
        <f>SUMIFS($AU$1388:AU1693,$AQ$1388:AQ1693,"H")</f>
        <v>2955.2000000002422</v>
      </c>
      <c r="BO1692" s="343">
        <f>SUMIFS($AU$1388:AU1693,$AQ$1388:AQ1693,"D")</f>
        <v>4626.0000000000009</v>
      </c>
      <c r="BP1692" s="343">
        <f>SUMIFS($AU$1388:AU1780,$AQ$1388:AQ1780,"W")</f>
        <v>12022.400000000001</v>
      </c>
      <c r="BQ1692" s="343">
        <f>SUMIFS($AU$1388:AU1693,$Q$1388:Q1693,"O")</f>
        <v>1410.9799999999859</v>
      </c>
      <c r="BR1692" s="343">
        <f>SUMIFS($AU$1388:AU1693,$AA$1388:AA1693,"*")</f>
        <v>18584.199999999862</v>
      </c>
      <c r="BS1692" s="343">
        <f>SUMIFS($AU$1388:AU1693,$AB$1388:AB1693,"*")</f>
        <v>6567.1799999999312</v>
      </c>
      <c r="BT1692" s="343">
        <f>SUMIFS($AU$1388:AU1693,$AC$1388:AC1693,"*")</f>
        <v>12708.4</v>
      </c>
      <c r="BU1692" s="343">
        <f>SUMIFS($AU$1388:AU1693,$AA$1388:AA1693,"*",$AB$1388:AB1693,"*")</f>
        <v>4415.9999999998217</v>
      </c>
      <c r="BV1692" s="343">
        <f>SUMIFS($AU$1388:AU1693,$AA$1388:AA1693,"*",$AC$1388:AC1693,"*")</f>
        <v>12244.4</v>
      </c>
      <c r="BW1692" s="343">
        <f>SUMIFS($AU$1388:AU1693,$AB$1388:AB1693,"*",$AC$1388:AC1693,"*")</f>
        <v>3279.9999999999982</v>
      </c>
      <c r="BX1692" s="343">
        <f>SUMIFS($AV$1388:AV1693,$Q$1388:Q1693,"F")</f>
        <v>321.54786430960348</v>
      </c>
      <c r="BY1692" s="343">
        <f>SUMIFS($AV$1388:AV1693,$Q$1388:Q1693,"S")</f>
        <v>290.34781249396258</v>
      </c>
      <c r="BZ1692" s="343">
        <f>SUMIFS($AV$1388:AV1693,$Q$1388:Q1693,"O")</f>
        <v>485.93999999985476</v>
      </c>
    </row>
    <row r="1693" spans="1:78" ht="15.75" customHeight="1">
      <c r="A1693" s="177" t="s">
        <v>5612</v>
      </c>
      <c r="B1693" s="200"/>
      <c r="C1693" s="178"/>
      <c r="D1693" s="178"/>
      <c r="E1693" s="227"/>
      <c r="F1693" s="180"/>
      <c r="G1693" s="181"/>
      <c r="H1693" s="182"/>
      <c r="I1693" s="182"/>
      <c r="J1693" s="182"/>
      <c r="K1693" s="183"/>
      <c r="L1693" s="182"/>
      <c r="M1693" s="182"/>
      <c r="N1693" s="182"/>
      <c r="O1693" s="183"/>
      <c r="P1693" s="183"/>
      <c r="Q1693" s="183"/>
      <c r="R1693" s="183"/>
      <c r="S1693" s="183"/>
      <c r="T1693" s="183"/>
      <c r="U1693" s="183"/>
      <c r="V1693" s="183"/>
      <c r="W1693" s="183"/>
      <c r="X1693" s="183"/>
      <c r="Y1693" s="184"/>
      <c r="Z1693" s="185"/>
      <c r="AA1693" s="185"/>
      <c r="AB1693" s="185"/>
      <c r="AC1693" s="185"/>
      <c r="AD1693" s="649"/>
      <c r="AE1693" s="182"/>
      <c r="AF1693" s="332"/>
      <c r="AG1693" s="182"/>
      <c r="AH1693" s="182"/>
      <c r="AI1693" s="182"/>
      <c r="AJ1693" s="640"/>
      <c r="AK1693" s="182"/>
      <c r="AL1693" s="496">
        <f t="shared" si="496"/>
        <v>0</v>
      </c>
      <c r="AM1693" s="496">
        <f t="shared" si="492"/>
        <v>0</v>
      </c>
      <c r="AN1693" s="626"/>
      <c r="AO1693" s="182"/>
      <c r="AP1693" s="182"/>
      <c r="AQ1693" s="332" t="str">
        <f>UPPER(RIGHT(Journal_Live[[#This Row],[DURATION ]]))</f>
        <v/>
      </c>
      <c r="AR1693" s="182"/>
      <c r="AS1693" s="189"/>
      <c r="AT1693" s="189"/>
      <c r="AU1693" s="187"/>
      <c r="AV1693" s="190"/>
      <c r="AW1693" s="191"/>
      <c r="AX1693" s="551"/>
      <c r="AY1693" s="551"/>
      <c r="AZ1693" s="551"/>
      <c r="BA1693" s="551"/>
      <c r="BB1693" s="551"/>
      <c r="BC1693" s="551"/>
      <c r="BD1693" s="549"/>
      <c r="BE1693" s="550"/>
      <c r="BF1693" s="549"/>
      <c r="BG1693" s="391">
        <f>SUM($AV$1389:AV1693)</f>
        <v>1253.8356768034264</v>
      </c>
      <c r="BH1693" s="392">
        <f>SUM($AU$1389:AU1693)</f>
        <v>20799.379999999976</v>
      </c>
      <c r="BI1693" s="318">
        <f>SUMIFS($AU$1388:AU1694,$Q$1388:Q1694,"F")</f>
        <v>15828.400000000001</v>
      </c>
      <c r="BJ1693" s="318">
        <f>SUMIFS($AU$1388:AU1694,$Q$1388:Q1694,"S")</f>
        <v>3759.9999999999932</v>
      </c>
      <c r="BK1693" s="343">
        <f>SUMIFS($AU$1388:AU1694,$P$1388:P1694,"W")</f>
        <v>14877.579999999931</v>
      </c>
      <c r="BL1693" s="343">
        <f>SUMIFS($AU$1388:AU1694,$P$1388:P1694,"R")</f>
        <v>4981.9999999999991</v>
      </c>
      <c r="BM1693" s="343">
        <f>SUMIFS($AU$1388:AU1694,$AQ$1388:AQ1694,"M")</f>
        <v>4859.779999999726</v>
      </c>
      <c r="BN1693" s="343">
        <f>SUMIFS($AU$1388:AU1694,$AQ$1388:AQ1694,"H")</f>
        <v>2955.2000000002422</v>
      </c>
      <c r="BO1693" s="343">
        <f>SUMIFS($AU$1388:AU1694,$AQ$1388:AQ1694,"D")</f>
        <v>4626.0000000000009</v>
      </c>
      <c r="BP1693" s="343">
        <f>SUMIFS($AU$1388:AU1781,$AQ$1388:AQ1781,"W")</f>
        <v>12022.400000000001</v>
      </c>
      <c r="BQ1693" s="343">
        <f>SUMIFS($AU$1388:AU1694,$Q$1388:Q1694,"O")</f>
        <v>1410.9799999999859</v>
      </c>
      <c r="BR1693" s="343">
        <f>SUMIFS($AU$1388:AU1694,$AA$1388:AA1694,"*")</f>
        <v>18584.199999999862</v>
      </c>
      <c r="BS1693" s="343">
        <f>SUMIFS($AU$1388:AU1694,$AB$1388:AB1694,"*")</f>
        <v>6567.1799999999312</v>
      </c>
      <c r="BT1693" s="343">
        <f>SUMIFS($AU$1388:AU1694,$AC$1388:AC1694,"*")</f>
        <v>12708.4</v>
      </c>
      <c r="BU1693" s="343">
        <f>SUMIFS($AU$1388:AU1694,$AA$1388:AA1694,"*",$AB$1388:AB1694,"*")</f>
        <v>4415.9999999998217</v>
      </c>
      <c r="BV1693" s="343">
        <f>SUMIFS($AU$1388:AU1694,$AA$1388:AA1694,"*",$AC$1388:AC1694,"*")</f>
        <v>12244.4</v>
      </c>
      <c r="BW1693" s="343">
        <f>SUMIFS($AU$1388:AU1694,$AB$1388:AB1694,"*",$AC$1388:AC1694,"*")</f>
        <v>3279.9999999999982</v>
      </c>
      <c r="BX1693" s="343">
        <f>SUMIFS($AV$1388:AV1694,$Q$1388:Q1694,"F")</f>
        <v>321.54786430960348</v>
      </c>
      <c r="BY1693" s="343">
        <f>SUMIFS($AV$1388:AV1694,$Q$1388:Q1694,"S")</f>
        <v>290.34781249396258</v>
      </c>
      <c r="BZ1693" s="343">
        <f>SUMIFS($AV$1388:AV1694,$Q$1388:Q1694,"O")</f>
        <v>485.93999999985476</v>
      </c>
    </row>
    <row r="1694" spans="1:78" ht="15.75" customHeight="1">
      <c r="A1694" s="177" t="s">
        <v>5612</v>
      </c>
      <c r="B1694" s="200">
        <v>45370</v>
      </c>
      <c r="C1694" s="178" t="s">
        <v>5734</v>
      </c>
      <c r="D1694" s="178" t="s">
        <v>146</v>
      </c>
      <c r="E1694" s="227" t="s">
        <v>5735</v>
      </c>
      <c r="F1694" s="180"/>
      <c r="G1694" s="181"/>
      <c r="H1694" s="182"/>
      <c r="I1694" s="182"/>
      <c r="J1694" s="182"/>
      <c r="K1694" s="183"/>
      <c r="L1694" s="182"/>
      <c r="M1694" s="182"/>
      <c r="N1694" s="182"/>
      <c r="O1694" s="183"/>
      <c r="P1694" s="183"/>
      <c r="Q1694" s="183"/>
      <c r="R1694" s="183"/>
      <c r="S1694" s="183"/>
      <c r="T1694" s="183"/>
      <c r="U1694" s="183"/>
      <c r="V1694" s="183"/>
      <c r="W1694" s="183"/>
      <c r="X1694" s="183"/>
      <c r="Y1694" s="184"/>
      <c r="Z1694" s="185"/>
      <c r="AA1694" s="185"/>
      <c r="AB1694" s="185"/>
      <c r="AC1694" s="185"/>
      <c r="AD1694" s="649"/>
      <c r="AE1694" s="182"/>
      <c r="AF1694" s="332"/>
      <c r="AG1694" s="182"/>
      <c r="AH1694" s="182"/>
      <c r="AI1694" s="182"/>
      <c r="AJ1694" s="640"/>
      <c r="AK1694" s="182"/>
      <c r="AL1694" s="496">
        <f t="shared" si="496"/>
        <v>0</v>
      </c>
      <c r="AM1694" s="496">
        <f t="shared" si="492"/>
        <v>0</v>
      </c>
      <c r="AN1694" s="626"/>
      <c r="AO1694" s="182"/>
      <c r="AP1694" s="182"/>
      <c r="AQ1694" s="332" t="str">
        <f>UPPER(RIGHT(Journal_Live[[#This Row],[DURATION ]]))</f>
        <v/>
      </c>
      <c r="AR1694" s="182"/>
      <c r="AS1694" s="189"/>
      <c r="AT1694" s="189"/>
      <c r="AU1694" s="187"/>
      <c r="AV1694" s="190"/>
      <c r="AW1694" s="191"/>
      <c r="AX1694" s="551"/>
      <c r="AY1694" s="551"/>
      <c r="AZ1694" s="551"/>
      <c r="BA1694" s="551"/>
      <c r="BB1694" s="551"/>
      <c r="BC1694" s="551"/>
      <c r="BD1694" s="549"/>
      <c r="BE1694" s="550"/>
      <c r="BF1694" s="549"/>
      <c r="BG1694" s="391">
        <f>SUM($AV$1389:AV1694)</f>
        <v>1253.8356768034264</v>
      </c>
      <c r="BH1694" s="392">
        <f>SUM($AU$1389:AU1694)</f>
        <v>20799.379999999976</v>
      </c>
      <c r="BI1694" s="318">
        <f>SUMIFS($AU$1388:AU1695,$Q$1388:Q1695,"F")</f>
        <v>15828.400000000001</v>
      </c>
      <c r="BJ1694" s="318">
        <f>SUMIFS($AU$1388:AU1695,$Q$1388:Q1695,"S")</f>
        <v>3759.9999999999932</v>
      </c>
      <c r="BK1694" s="343">
        <f>SUMIFS($AU$1388:AU1695,$P$1388:P1695,"W")</f>
        <v>14877.579999999931</v>
      </c>
      <c r="BL1694" s="343">
        <f>SUMIFS($AU$1388:AU1695,$P$1388:P1695,"R")</f>
        <v>4981.9999999999991</v>
      </c>
      <c r="BM1694" s="343">
        <f>SUMIFS($AU$1388:AU1695,$AQ$1388:AQ1695,"M")</f>
        <v>4859.779999999726</v>
      </c>
      <c r="BN1694" s="343">
        <f>SUMIFS($AU$1388:AU1695,$AQ$1388:AQ1695,"H")</f>
        <v>2955.2000000002422</v>
      </c>
      <c r="BO1694" s="343">
        <f>SUMIFS($AU$1388:AU1695,$AQ$1388:AQ1695,"D")</f>
        <v>4626.0000000000009</v>
      </c>
      <c r="BP1694" s="343">
        <f>SUMIFS($AU$1388:AU1782,$AQ$1388:AQ1782,"W")</f>
        <v>12022.400000000001</v>
      </c>
      <c r="BQ1694" s="343">
        <f>SUMIFS($AU$1388:AU1695,$Q$1388:Q1695,"O")</f>
        <v>1410.9799999999859</v>
      </c>
      <c r="BR1694" s="343">
        <f>SUMIFS($AU$1388:AU1695,$AA$1388:AA1695,"*")</f>
        <v>18584.199999999862</v>
      </c>
      <c r="BS1694" s="343">
        <f>SUMIFS($AU$1388:AU1695,$AB$1388:AB1695,"*")</f>
        <v>6567.1799999999312</v>
      </c>
      <c r="BT1694" s="343">
        <f>SUMIFS($AU$1388:AU1695,$AC$1388:AC1695,"*")</f>
        <v>12708.4</v>
      </c>
      <c r="BU1694" s="343">
        <f>SUMIFS($AU$1388:AU1695,$AA$1388:AA1695,"*",$AB$1388:AB1695,"*")</f>
        <v>4415.9999999998217</v>
      </c>
      <c r="BV1694" s="343">
        <f>SUMIFS($AU$1388:AU1695,$AA$1388:AA1695,"*",$AC$1388:AC1695,"*")</f>
        <v>12244.4</v>
      </c>
      <c r="BW1694" s="343">
        <f>SUMIFS($AU$1388:AU1695,$AB$1388:AB1695,"*",$AC$1388:AC1695,"*")</f>
        <v>3279.9999999999982</v>
      </c>
      <c r="BX1694" s="343">
        <f>SUMIFS($AV$1388:AV1695,$Q$1388:Q1695,"F")</f>
        <v>321.54786430960348</v>
      </c>
      <c r="BY1694" s="343">
        <f>SUMIFS($AV$1388:AV1695,$Q$1388:Q1695,"S")</f>
        <v>290.34781249396258</v>
      </c>
      <c r="BZ1694" s="343">
        <f>SUMIFS($AV$1388:AV1695,$Q$1388:Q1695,"O")</f>
        <v>485.93999999985476</v>
      </c>
    </row>
    <row r="1695" spans="1:78" ht="15.75" customHeight="1">
      <c r="A1695" s="177" t="s">
        <v>5612</v>
      </c>
      <c r="B1695" s="200">
        <v>45370</v>
      </c>
      <c r="C1695" s="178" t="s">
        <v>1629</v>
      </c>
      <c r="D1695" s="178" t="s">
        <v>146</v>
      </c>
      <c r="E1695" s="227" t="s">
        <v>5736</v>
      </c>
      <c r="F1695" s="180"/>
      <c r="G1695" s="181"/>
      <c r="H1695" s="182"/>
      <c r="I1695" s="182"/>
      <c r="J1695" s="182"/>
      <c r="K1695" s="183"/>
      <c r="L1695" s="182"/>
      <c r="M1695" s="182"/>
      <c r="N1695" s="182"/>
      <c r="O1695" s="183"/>
      <c r="P1695" s="183"/>
      <c r="Q1695" s="183"/>
      <c r="R1695" s="183"/>
      <c r="S1695" s="183"/>
      <c r="T1695" s="183"/>
      <c r="U1695" s="183"/>
      <c r="V1695" s="183"/>
      <c r="W1695" s="183"/>
      <c r="X1695" s="183"/>
      <c r="Y1695" s="184"/>
      <c r="Z1695" s="185"/>
      <c r="AA1695" s="185"/>
      <c r="AB1695" s="185"/>
      <c r="AC1695" s="185"/>
      <c r="AD1695" s="649"/>
      <c r="AE1695" s="182"/>
      <c r="AF1695" s="332"/>
      <c r="AG1695" s="182"/>
      <c r="AH1695" s="182"/>
      <c r="AI1695" s="182"/>
      <c r="AJ1695" s="640"/>
      <c r="AK1695" s="182"/>
      <c r="AL1695" s="496">
        <f t="shared" si="487"/>
        <v>0</v>
      </c>
      <c r="AM1695" s="496">
        <f t="shared" si="492"/>
        <v>0</v>
      </c>
      <c r="AN1695" s="626"/>
      <c r="AO1695" s="182"/>
      <c r="AP1695" s="182"/>
      <c r="AQ1695" s="332" t="str">
        <f>UPPER(RIGHT(Journal_Live[[#This Row],[DURATION ]]))</f>
        <v/>
      </c>
      <c r="AR1695" s="182"/>
      <c r="AS1695" s="189"/>
      <c r="AT1695" s="189"/>
      <c r="AU1695" s="187"/>
      <c r="AV1695" s="190"/>
      <c r="AW1695" s="191"/>
      <c r="AX1695" s="551"/>
      <c r="AY1695" s="551"/>
      <c r="AZ1695" s="551"/>
      <c r="BA1695" s="551"/>
      <c r="BB1695" s="551"/>
      <c r="BC1695" s="551"/>
      <c r="BD1695" s="549"/>
      <c r="BE1695" s="550"/>
      <c r="BF1695" s="549"/>
      <c r="BG1695" s="391">
        <f>SUM($AV$1389:AV1695)</f>
        <v>1253.8356768034264</v>
      </c>
      <c r="BH1695" s="392">
        <f>SUM($AU$1389:AU1695)</f>
        <v>20799.379999999976</v>
      </c>
      <c r="BI1695" s="318">
        <f>SUMIFS($AU$1388:AU1696,$Q$1388:Q1696,"F")</f>
        <v>15828.400000000001</v>
      </c>
      <c r="BJ1695" s="318">
        <f>SUMIFS($AU$1388:AU1696,$Q$1388:Q1696,"S")</f>
        <v>4143.9999999999927</v>
      </c>
      <c r="BK1695" s="343">
        <f>SUMIFS($AU$1388:AU1696,$P$1388:P1696,"W")</f>
        <v>15261.579999999931</v>
      </c>
      <c r="BL1695" s="343">
        <f>SUMIFS($AU$1388:AU1696,$P$1388:P1696,"R")</f>
        <v>4981.9999999999991</v>
      </c>
      <c r="BM1695" s="343">
        <f>SUMIFS($AU$1388:AU1696,$AQ$1388:AQ1696,"M")</f>
        <v>5243.779999999726</v>
      </c>
      <c r="BN1695" s="343">
        <f>SUMIFS($AU$1388:AU1696,$AQ$1388:AQ1696,"H")</f>
        <v>2955.2000000002422</v>
      </c>
      <c r="BO1695" s="343">
        <f>SUMIFS($AU$1388:AU1696,$AQ$1388:AQ1696,"D")</f>
        <v>4626.0000000000009</v>
      </c>
      <c r="BP1695" s="343">
        <f>SUMIFS($AU$1388:AU1783,$AQ$1388:AQ1783,"W")</f>
        <v>12022.400000000001</v>
      </c>
      <c r="BQ1695" s="343">
        <f>SUMIFS($AU$1388:AU1696,$Q$1388:Q1696,"O")</f>
        <v>1410.9799999999859</v>
      </c>
      <c r="BR1695" s="343">
        <f>SUMIFS($AU$1388:AU1696,$AA$1388:AA1696,"*")</f>
        <v>18584.199999999862</v>
      </c>
      <c r="BS1695" s="343">
        <f>SUMIFS($AU$1388:AU1696,$AB$1388:AB1696,"*")</f>
        <v>6951.1799999999312</v>
      </c>
      <c r="BT1695" s="343">
        <f>SUMIFS($AU$1388:AU1696,$AC$1388:AC1696,"*")</f>
        <v>12708.4</v>
      </c>
      <c r="BU1695" s="343">
        <f>SUMIFS($AU$1388:AU1696,$AA$1388:AA1696,"*",$AB$1388:AB1696,"*")</f>
        <v>4415.9999999998217</v>
      </c>
      <c r="BV1695" s="343">
        <f>SUMIFS($AU$1388:AU1696,$AA$1388:AA1696,"*",$AC$1388:AC1696,"*")</f>
        <v>12244.4</v>
      </c>
      <c r="BW1695" s="343">
        <f>SUMIFS($AU$1388:AU1696,$AB$1388:AB1696,"*",$AC$1388:AC1696,"*")</f>
        <v>3279.9999999999982</v>
      </c>
      <c r="BX1695" s="343">
        <f>SUMIFS($AV$1388:AV1696,$Q$1388:Q1696,"F")</f>
        <v>321.54786430960348</v>
      </c>
      <c r="BY1695" s="343">
        <f>SUMIFS($AV$1388:AV1696,$Q$1388:Q1696,"S")</f>
        <v>306.34781249396258</v>
      </c>
      <c r="BZ1695" s="343">
        <f>SUMIFS($AV$1388:AV1696,$Q$1388:Q1696,"O")</f>
        <v>485.93999999985476</v>
      </c>
    </row>
    <row r="1696" spans="1:78" ht="15.75" customHeight="1">
      <c r="A1696" s="177" t="s">
        <v>5612</v>
      </c>
      <c r="B1696" s="200">
        <v>45370</v>
      </c>
      <c r="C1696" s="178" t="s">
        <v>5737</v>
      </c>
      <c r="D1696" s="178" t="s">
        <v>146</v>
      </c>
      <c r="E1696" s="227"/>
      <c r="F1696" s="180"/>
      <c r="G1696" s="481" t="s">
        <v>136</v>
      </c>
      <c r="H1696" s="182"/>
      <c r="I1696" s="182"/>
      <c r="J1696" s="182"/>
      <c r="K1696" s="183"/>
      <c r="L1696" s="182">
        <v>2</v>
      </c>
      <c r="M1696" s="182"/>
      <c r="N1696" s="182"/>
      <c r="O1696" s="183" t="s">
        <v>95</v>
      </c>
      <c r="P1696" s="183" t="s">
        <v>96</v>
      </c>
      <c r="Q1696" s="183" t="s">
        <v>97</v>
      </c>
      <c r="R1696" s="183">
        <v>24</v>
      </c>
      <c r="S1696" s="183"/>
      <c r="T1696" s="183">
        <v>24</v>
      </c>
      <c r="U1696" s="183" t="s">
        <v>97</v>
      </c>
      <c r="V1696" s="183"/>
      <c r="W1696" s="183"/>
      <c r="X1696" s="183"/>
      <c r="Y1696" s="184">
        <f>IF(ISBLANK(O1696),"",(IF(O1696=UPPER("IB"),0.005,0.01)))</f>
        <v>0.01</v>
      </c>
      <c r="Z1696" s="185">
        <f>IF(ISBLANK(O1696),"",IF(O1696="IB",8.63*200,IF(O1696="IR",16*100,IF(O1696="YT",20*100,IF(O1696="YT-XT",24*200,IF(O1696="TED",80*100,IF(O1696="XT",29*200)))))))</f>
        <v>1600</v>
      </c>
      <c r="AA1696" s="185"/>
      <c r="AB1696" s="185" t="s">
        <v>5738</v>
      </c>
      <c r="AC1696" s="185"/>
      <c r="AD1696" s="649">
        <v>-0.1</v>
      </c>
      <c r="AE1696" s="182"/>
      <c r="AF1696" s="332"/>
      <c r="AG1696" s="182"/>
      <c r="AH1696" s="182"/>
      <c r="AI1696" s="182"/>
      <c r="AJ1696" s="640"/>
      <c r="AK1696" s="182"/>
      <c r="AL1696" s="496">
        <f t="shared" si="487"/>
        <v>-32</v>
      </c>
      <c r="AM1696" s="496">
        <f t="shared" si="492"/>
        <v>-768</v>
      </c>
      <c r="AN1696" s="626"/>
      <c r="AO1696" s="182"/>
      <c r="AP1696" s="182" t="s">
        <v>1207</v>
      </c>
      <c r="AQ1696" s="332" t="s">
        <v>1259</v>
      </c>
      <c r="AR1696" s="182"/>
      <c r="AS1696" s="189">
        <v>-0.11</v>
      </c>
      <c r="AT1696" s="189">
        <f>IF(ISBLANK(AS1696),,IF(U1696="S",AD1696-AS1696,AS1696-AD1696))</f>
        <v>9.999999999999995E-3</v>
      </c>
      <c r="AU1696" s="187">
        <f>AV1696*R1696</f>
        <v>383.99999999999983</v>
      </c>
      <c r="AV1696" s="190">
        <f t="shared" ref="AV1696" si="498">IF(ISBLANK(AS1696),,(AT1696*Z1696))</f>
        <v>15.999999999999993</v>
      </c>
      <c r="AW1696" s="191" t="s">
        <v>96</v>
      </c>
      <c r="AX1696" s="551" t="s">
        <v>1137</v>
      </c>
      <c r="AY1696" s="551"/>
      <c r="AZ1696" s="551"/>
      <c r="BA1696" s="551"/>
      <c r="BB1696" s="551"/>
      <c r="BC1696" s="551"/>
      <c r="BD1696" s="549"/>
      <c r="BE1696" s="550"/>
      <c r="BF1696" s="549"/>
      <c r="BG1696" s="391">
        <f>SUM($AV$1389:AV1696)</f>
        <v>1269.8356768034264</v>
      </c>
      <c r="BH1696" s="392">
        <f>SUM($AU$1389:AU1696)</f>
        <v>21183.379999999976</v>
      </c>
      <c r="BI1696" s="318">
        <f>SUMIFS($AU$1388:AU1697,$Q$1388:Q1697,"F")</f>
        <v>15828.400000000001</v>
      </c>
      <c r="BJ1696" s="318">
        <f>SUMIFS($AU$1388:AU1697,$Q$1388:Q1697,"S")</f>
        <v>4143.9999999999927</v>
      </c>
      <c r="BK1696" s="343">
        <f>SUMIFS($AU$1388:AU1697,$P$1388:P1697,"W")</f>
        <v>15261.579999999931</v>
      </c>
      <c r="BL1696" s="343">
        <f>SUMIFS($AU$1388:AU1697,$P$1388:P1697,"R")</f>
        <v>4981.9999999999991</v>
      </c>
      <c r="BM1696" s="343">
        <f>SUMIFS($AU$1388:AU1697,$AQ$1388:AQ1697,"M")</f>
        <v>5313.3799999997282</v>
      </c>
      <c r="BN1696" s="343">
        <f>SUMIFS($AU$1388:AU1697,$AQ$1388:AQ1697,"H")</f>
        <v>2955.2000000002422</v>
      </c>
      <c r="BO1696" s="343">
        <f>SUMIFS($AU$1388:AU1697,$AQ$1388:AQ1697,"D")</f>
        <v>4626.0000000000009</v>
      </c>
      <c r="BP1696" s="343">
        <f>SUMIFS($AU$1388:AU1784,$AQ$1388:AQ1784,"W")</f>
        <v>12022.400000000001</v>
      </c>
      <c r="BQ1696" s="343">
        <f>SUMIFS($AU$1388:AU1697,$Q$1388:Q1697,"O")</f>
        <v>1480.5799999999886</v>
      </c>
      <c r="BR1696" s="343">
        <f>SUMIFS($AU$1388:AU1697,$AA$1388:AA1697,"*")</f>
        <v>18653.799999999865</v>
      </c>
      <c r="BS1696" s="343">
        <f>SUMIFS($AU$1388:AU1697,$AB$1388:AB1697,"*")</f>
        <v>6951.1799999999312</v>
      </c>
      <c r="BT1696" s="343">
        <f>SUMIFS($AU$1388:AU1697,$AC$1388:AC1697,"*")</f>
        <v>12708.4</v>
      </c>
      <c r="BU1696" s="343">
        <f>SUMIFS($AU$1388:AU1697,$AA$1388:AA1697,"*",$AB$1388:AB1697,"*")</f>
        <v>4415.9999999998217</v>
      </c>
      <c r="BV1696" s="343">
        <f>SUMIFS($AU$1388:AU1697,$AA$1388:AA1697,"*",$AC$1388:AC1697,"*")</f>
        <v>12244.4</v>
      </c>
      <c r="BW1696" s="343">
        <f>SUMIFS($AU$1388:AU1697,$AB$1388:AB1697,"*",$AC$1388:AC1697,"*")</f>
        <v>3279.9999999999982</v>
      </c>
      <c r="BX1696" s="343">
        <f>SUMIFS($AV$1388:AV1697,$Q$1388:Q1697,"F")</f>
        <v>321.54786430960348</v>
      </c>
      <c r="BY1696" s="343">
        <f>SUMIFS($AV$1388:AV1697,$Q$1388:Q1697,"S")</f>
        <v>306.34781249396258</v>
      </c>
      <c r="BZ1696" s="343">
        <f>SUMIFS($AV$1388:AV1697,$Q$1388:Q1697,"O")</f>
        <v>503.33999999985542</v>
      </c>
    </row>
    <row r="1697" spans="1:78" ht="15.75" customHeight="1">
      <c r="A1697" s="177" t="s">
        <v>5612</v>
      </c>
      <c r="B1697" s="200">
        <v>45370</v>
      </c>
      <c r="C1697" s="178" t="s">
        <v>1142</v>
      </c>
      <c r="D1697" s="178" t="s">
        <v>146</v>
      </c>
      <c r="E1697" s="227"/>
      <c r="F1697" s="180"/>
      <c r="G1697" s="181" t="s">
        <v>5723</v>
      </c>
      <c r="H1697" s="182"/>
      <c r="I1697" s="182"/>
      <c r="J1697" s="182"/>
      <c r="K1697" s="183"/>
      <c r="L1697" s="182">
        <v>1</v>
      </c>
      <c r="M1697" s="182"/>
      <c r="N1697" s="182"/>
      <c r="O1697" s="183" t="s">
        <v>3618</v>
      </c>
      <c r="P1697" s="183" t="s">
        <v>2260</v>
      </c>
      <c r="Q1697" s="183" t="s">
        <v>684</v>
      </c>
      <c r="R1697" s="183">
        <v>4</v>
      </c>
      <c r="S1697" s="183">
        <v>0</v>
      </c>
      <c r="T1697" s="183">
        <v>2</v>
      </c>
      <c r="U1697" s="183" t="s">
        <v>22</v>
      </c>
      <c r="V1697" s="183"/>
      <c r="W1697" s="183"/>
      <c r="X1697" s="183"/>
      <c r="Y1697" s="184">
        <f>IF(ISBLANK(O1697),"",(IF(O1697=UPPER("IB"),0.005,0.01)))</f>
        <v>0.01</v>
      </c>
      <c r="Z1697" s="185">
        <f>IF(ISBLANK(O1697),"",IF(O1697="IB",8.63*200,IF(O1697="IR",16*100,IF(O1697="YT",20*100,IF(O1697="YT-XT",24*200,IF(O1697="TED",80*100,IF(O1697="XT",29*200)))))))</f>
        <v>5800</v>
      </c>
      <c r="AA1697" s="185" t="s">
        <v>5476</v>
      </c>
      <c r="AB1697" s="185"/>
      <c r="AC1697" s="185"/>
      <c r="AD1697" s="649">
        <v>95.882000000000005</v>
      </c>
      <c r="AE1697" s="182"/>
      <c r="AF1697" s="332"/>
      <c r="AG1697" s="182"/>
      <c r="AH1697" s="182"/>
      <c r="AI1697" s="182"/>
      <c r="AJ1697" s="640"/>
      <c r="AK1697" s="182"/>
      <c r="AL1697" s="496">
        <f t="shared" si="487"/>
        <v>-116</v>
      </c>
      <c r="AM1697" s="496">
        <f t="shared" si="492"/>
        <v>-464</v>
      </c>
      <c r="AN1697" s="626"/>
      <c r="AO1697" s="182"/>
      <c r="AP1697" s="182"/>
      <c r="AQ1697" s="332" t="s">
        <v>1259</v>
      </c>
      <c r="AR1697" s="182"/>
      <c r="AS1697" s="189">
        <v>95.885000000000005</v>
      </c>
      <c r="AT1697" s="189">
        <f>IF(ISBLANK(AS1697),,IF(U1697="S",AD1697-AS1697,AS1697-AD1697))</f>
        <v>3.0000000000001137E-3</v>
      </c>
      <c r="AU1697" s="187">
        <f>AV1697*R1697</f>
        <v>69.600000000002638</v>
      </c>
      <c r="AV1697" s="190">
        <f t="shared" ref="AV1697" si="499">IF(ISBLANK(AS1697),,(AT1697*Z1697))</f>
        <v>17.400000000000659</v>
      </c>
      <c r="AW1697" s="191" t="s">
        <v>96</v>
      </c>
      <c r="AX1697" s="551" t="s">
        <v>5739</v>
      </c>
      <c r="AY1697" s="551"/>
      <c r="AZ1697" s="551"/>
      <c r="BA1697" s="551"/>
      <c r="BB1697" s="551"/>
      <c r="BC1697" s="551"/>
      <c r="BD1697" s="549"/>
      <c r="BE1697" s="550"/>
      <c r="BF1697" s="549"/>
      <c r="BG1697" s="391">
        <f>SUM($AV$1389:AV1697)</f>
        <v>1287.2356768034269</v>
      </c>
      <c r="BH1697" s="392">
        <f>SUM($AU$1389:AU1697)</f>
        <v>21252.979999999978</v>
      </c>
      <c r="BI1697" s="318">
        <f>SUMIFS($AU$1388:AU1698,$Q$1388:Q1698,"F")</f>
        <v>15828.400000000001</v>
      </c>
      <c r="BJ1697" s="318">
        <f>SUMIFS($AU$1388:AU1698,$Q$1388:Q1698,"S")</f>
        <v>4143.9999999999927</v>
      </c>
      <c r="BK1697" s="343">
        <f>SUMIFS($AU$1388:AU1698,$P$1388:P1698,"W")</f>
        <v>15661.580000000136</v>
      </c>
      <c r="BL1697" s="343">
        <f>SUMIFS($AU$1388:AU1698,$P$1388:P1698,"R")</f>
        <v>4981.9999999999991</v>
      </c>
      <c r="BM1697" s="343">
        <f>SUMIFS($AU$1388:AU1698,$AQ$1388:AQ1698,"M")</f>
        <v>5313.3799999997282</v>
      </c>
      <c r="BN1697" s="343">
        <f>SUMIFS($AU$1388:AU1698,$AQ$1388:AQ1698,"H")</f>
        <v>3355.2000000004468</v>
      </c>
      <c r="BO1697" s="343">
        <f>SUMIFS($AU$1388:AU1698,$AQ$1388:AQ1698,"D")</f>
        <v>4626.0000000000009</v>
      </c>
      <c r="BP1697" s="343">
        <f>SUMIFS($AU$1388:AU1785,$AQ$1388:AQ1785,"W")</f>
        <v>12022.400000000001</v>
      </c>
      <c r="BQ1697" s="343">
        <f>SUMIFS($AU$1388:AU1698,$Q$1388:Q1698,"O")</f>
        <v>1880.5800000001932</v>
      </c>
      <c r="BR1697" s="343">
        <f>SUMIFS($AU$1388:AU1698,$AA$1388:AA1698,"*")</f>
        <v>19053.800000000068</v>
      </c>
      <c r="BS1697" s="343">
        <f>SUMIFS($AU$1388:AU1698,$AB$1388:AB1698,"*")</f>
        <v>6951.1799999999312</v>
      </c>
      <c r="BT1697" s="343">
        <f>SUMIFS($AU$1388:AU1698,$AC$1388:AC1698,"*")</f>
        <v>12708.4</v>
      </c>
      <c r="BU1697" s="343">
        <f>SUMIFS($AU$1388:AU1698,$AA$1388:AA1698,"*",$AB$1388:AB1698,"*")</f>
        <v>4415.9999999998217</v>
      </c>
      <c r="BV1697" s="343">
        <f>SUMIFS($AU$1388:AU1698,$AA$1388:AA1698,"*",$AC$1388:AC1698,"*")</f>
        <v>12244.4</v>
      </c>
      <c r="BW1697" s="343">
        <f>SUMIFS($AU$1388:AU1698,$AB$1388:AB1698,"*",$AC$1388:AC1698,"*")</f>
        <v>3279.9999999999982</v>
      </c>
      <c r="BX1697" s="343">
        <f>SUMIFS($AV$1388:AV1698,$Q$1388:Q1698,"F")</f>
        <v>321.54786430960348</v>
      </c>
      <c r="BY1697" s="343">
        <f>SUMIFS($AV$1388:AV1698,$Q$1388:Q1698,"S")</f>
        <v>306.34781249396258</v>
      </c>
      <c r="BZ1697" s="343">
        <f>SUMIFS($AV$1388:AV1698,$Q$1388:Q1698,"O")</f>
        <v>519.33999999986361</v>
      </c>
    </row>
    <row r="1698" spans="1:78" ht="15.75" customHeight="1">
      <c r="A1698" s="177" t="s">
        <v>5612</v>
      </c>
      <c r="B1698" s="200">
        <v>45370</v>
      </c>
      <c r="C1698" s="178" t="s">
        <v>4135</v>
      </c>
      <c r="D1698" s="178" t="s">
        <v>146</v>
      </c>
      <c r="E1698" s="227"/>
      <c r="F1698" s="180"/>
      <c r="G1698" s="481" t="s">
        <v>5740</v>
      </c>
      <c r="H1698" s="182"/>
      <c r="I1698" s="182"/>
      <c r="J1698" s="182"/>
      <c r="K1698" s="183"/>
      <c r="L1698" s="182">
        <v>1</v>
      </c>
      <c r="M1698" s="182">
        <v>1</v>
      </c>
      <c r="N1698" s="182"/>
      <c r="O1698" s="183" t="s">
        <v>95</v>
      </c>
      <c r="P1698" s="183" t="s">
        <v>96</v>
      </c>
      <c r="Q1698" s="183" t="s">
        <v>684</v>
      </c>
      <c r="R1698" s="183">
        <v>25</v>
      </c>
      <c r="S1698" s="183">
        <v>0</v>
      </c>
      <c r="T1698" s="183">
        <v>25</v>
      </c>
      <c r="U1698" s="183" t="s">
        <v>97</v>
      </c>
      <c r="V1698" s="183"/>
      <c r="W1698" s="183"/>
      <c r="X1698" s="183"/>
      <c r="Y1698" s="184">
        <f>IF(ISBLANK(O1698),"",(IF(O1698=UPPER("IB"),0.005,0.01)))</f>
        <v>0.01</v>
      </c>
      <c r="Z1698" s="185">
        <f>IF(ISBLANK(O1698),"",IF(O1698="IB",8.63*200,IF(O1698="IR",16*100,IF(O1698="YT",20*100,IF(O1698="YT-XT",24*200,IF(O1698="TED",80*100,IF(O1698="XT",29*200)))))))</f>
        <v>1600</v>
      </c>
      <c r="AA1698" s="185" t="s">
        <v>5741</v>
      </c>
      <c r="AB1698" s="185"/>
      <c r="AC1698" s="185"/>
      <c r="AD1698" s="649">
        <v>95.76</v>
      </c>
      <c r="AE1698" s="182"/>
      <c r="AF1698" s="332"/>
      <c r="AG1698" s="182"/>
      <c r="AH1698" s="182"/>
      <c r="AI1698" s="182"/>
      <c r="AJ1698" s="640"/>
      <c r="AK1698" s="182"/>
      <c r="AL1698" s="496">
        <f t="shared" ref="AL1698:AL1709" si="500">-0.02*Z1698</f>
        <v>-32</v>
      </c>
      <c r="AM1698" s="496">
        <f t="shared" si="492"/>
        <v>-800</v>
      </c>
      <c r="AN1698" s="626"/>
      <c r="AO1698" s="182"/>
      <c r="AP1698" s="182" t="s">
        <v>1782</v>
      </c>
      <c r="AQ1698" s="332" t="s">
        <v>372</v>
      </c>
      <c r="AR1698" s="182" t="s">
        <v>5742</v>
      </c>
      <c r="AS1698" s="189">
        <v>95.75</v>
      </c>
      <c r="AT1698" s="189">
        <f>IF(ISBLANK(AS1698),,IF(U1698="S",AD1698-AS1698,AS1698-AD1698))</f>
        <v>1.0000000000005116E-2</v>
      </c>
      <c r="AU1698" s="187">
        <f>AV1698*R1698</f>
        <v>400.00000000020464</v>
      </c>
      <c r="AV1698" s="190">
        <f t="shared" ref="AV1698" si="501">IF(ISBLANK(AS1698),,(AT1698*Z1698))</f>
        <v>16.000000000008185</v>
      </c>
      <c r="AW1698" s="191" t="s">
        <v>96</v>
      </c>
      <c r="AX1698" s="551" t="s">
        <v>1137</v>
      </c>
      <c r="AY1698" s="551"/>
      <c r="AZ1698" s="551"/>
      <c r="BA1698" s="551"/>
      <c r="BB1698" s="551"/>
      <c r="BC1698" s="551"/>
      <c r="BD1698" s="549"/>
      <c r="BE1698" s="550"/>
      <c r="BF1698" s="549"/>
      <c r="BG1698" s="391">
        <f>SUM($AV$1389:AV1698)</f>
        <v>1303.2356768034351</v>
      </c>
      <c r="BH1698" s="392">
        <f>SUM($AU$1389:AU1698)</f>
        <v>21652.980000000181</v>
      </c>
      <c r="BI1698" s="318">
        <f>SUMIFS($AU$1388:AU1699,$Q$1388:Q1699,"F")</f>
        <v>15828.400000000001</v>
      </c>
      <c r="BJ1698" s="318">
        <f>SUMIFS($AU$1388:AU1699,$Q$1388:Q1699,"S")</f>
        <v>4143.9999999999927</v>
      </c>
      <c r="BK1698" s="343">
        <f>SUMIFS($AU$1388:AU1699,$P$1388:P1699,"W")</f>
        <v>15661.580000000136</v>
      </c>
      <c r="BL1698" s="343">
        <f>SUMIFS($AU$1388:AU1699,$P$1388:P1699,"R")</f>
        <v>4981.9999999999991</v>
      </c>
      <c r="BM1698" s="343">
        <f>SUMIFS($AU$1388:AU1699,$AQ$1388:AQ1699,"M")</f>
        <v>5313.3799999997282</v>
      </c>
      <c r="BN1698" s="343">
        <f>SUMIFS($AU$1388:AU1699,$AQ$1388:AQ1699,"H")</f>
        <v>3355.2000000004468</v>
      </c>
      <c r="BO1698" s="343">
        <f>SUMIFS($AU$1388:AU1699,$AQ$1388:AQ1699,"D")</f>
        <v>4626.0000000000009</v>
      </c>
      <c r="BP1698" s="343">
        <f>SUMIFS($AU$1388:AU1786,$AQ$1388:AQ1786,"W")</f>
        <v>12022.400000000001</v>
      </c>
      <c r="BQ1698" s="343">
        <f>SUMIFS($AU$1388:AU1699,$Q$1388:Q1699,"O")</f>
        <v>1880.5800000001932</v>
      </c>
      <c r="BR1698" s="343">
        <f>SUMIFS($AU$1388:AU1699,$AA$1388:AA1699,"*")</f>
        <v>19053.800000000068</v>
      </c>
      <c r="BS1698" s="343">
        <f>SUMIFS($AU$1388:AU1699,$AB$1388:AB1699,"*")</f>
        <v>6951.1799999999312</v>
      </c>
      <c r="BT1698" s="343">
        <f>SUMIFS($AU$1388:AU1699,$AC$1388:AC1699,"*")</f>
        <v>12708.4</v>
      </c>
      <c r="BU1698" s="343">
        <f>SUMIFS($AU$1388:AU1699,$AA$1388:AA1699,"*",$AB$1388:AB1699,"*")</f>
        <v>4415.9999999998217</v>
      </c>
      <c r="BV1698" s="343">
        <f>SUMIFS($AU$1388:AU1699,$AA$1388:AA1699,"*",$AC$1388:AC1699,"*")</f>
        <v>12244.4</v>
      </c>
      <c r="BW1698" s="343">
        <f>SUMIFS($AU$1388:AU1699,$AB$1388:AB1699,"*",$AC$1388:AC1699,"*")</f>
        <v>3279.9999999999982</v>
      </c>
      <c r="BX1698" s="343">
        <f>SUMIFS($AV$1388:AV1699,$Q$1388:Q1699,"F")</f>
        <v>321.54786430960348</v>
      </c>
      <c r="BY1698" s="343">
        <f>SUMIFS($AV$1388:AV1699,$Q$1388:Q1699,"S")</f>
        <v>306.34781249396258</v>
      </c>
      <c r="BZ1698" s="343">
        <f>SUMIFS($AV$1388:AV1699,$Q$1388:Q1699,"O")</f>
        <v>519.33999999986361</v>
      </c>
    </row>
    <row r="1699" spans="1:78" ht="15.75" customHeight="1">
      <c r="A1699" s="177" t="s">
        <v>5612</v>
      </c>
      <c r="B1699" s="200"/>
      <c r="C1699" s="178"/>
      <c r="D1699" s="178"/>
      <c r="E1699" s="227"/>
      <c r="F1699" s="180"/>
      <c r="G1699" s="181"/>
      <c r="H1699" s="182"/>
      <c r="I1699" s="182"/>
      <c r="J1699" s="182"/>
      <c r="K1699" s="183"/>
      <c r="L1699" s="182"/>
      <c r="M1699" s="182"/>
      <c r="N1699" s="182"/>
      <c r="O1699" s="183"/>
      <c r="P1699" s="183"/>
      <c r="Q1699" s="183"/>
      <c r="R1699" s="183"/>
      <c r="S1699" s="183"/>
      <c r="T1699" s="183"/>
      <c r="U1699" s="183"/>
      <c r="V1699" s="183"/>
      <c r="W1699" s="183"/>
      <c r="X1699" s="183"/>
      <c r="Y1699" s="183"/>
      <c r="Z1699" s="183"/>
      <c r="AA1699" s="185"/>
      <c r="AB1699" s="185"/>
      <c r="AC1699" s="185"/>
      <c r="AD1699" s="649"/>
      <c r="AE1699" s="182"/>
      <c r="AF1699" s="332"/>
      <c r="AG1699" s="182"/>
      <c r="AH1699" s="182"/>
      <c r="AI1699" s="182"/>
      <c r="AJ1699" s="640"/>
      <c r="AK1699" s="182"/>
      <c r="AL1699" s="496">
        <f t="shared" si="500"/>
        <v>0</v>
      </c>
      <c r="AM1699" s="496">
        <f t="shared" si="492"/>
        <v>0</v>
      </c>
      <c r="AN1699" s="626"/>
      <c r="AO1699" s="182"/>
      <c r="AP1699" s="182"/>
      <c r="AQ1699" s="332" t="str">
        <f>UPPER(RIGHT(Journal_Live[[#This Row],[DURATION ]]))</f>
        <v/>
      </c>
      <c r="AR1699" s="182"/>
      <c r="AS1699" s="189"/>
      <c r="AT1699" s="189"/>
      <c r="AU1699" s="187"/>
      <c r="AV1699" s="190"/>
      <c r="AW1699" s="191"/>
      <c r="AX1699" s="417" t="s">
        <v>5558</v>
      </c>
      <c r="AY1699" s="549" t="s">
        <v>5743</v>
      </c>
      <c r="AZ1699" s="551" t="s">
        <v>5744</v>
      </c>
      <c r="BA1699" s="551" t="s">
        <v>5745</v>
      </c>
      <c r="BB1699" s="551" t="s">
        <v>5746</v>
      </c>
      <c r="BC1699" s="551" t="s">
        <v>5747</v>
      </c>
      <c r="BD1699" s="549"/>
      <c r="BE1699" s="550"/>
      <c r="BF1699" s="549"/>
      <c r="BG1699" s="391">
        <f>SUM($AV$1389:AV1699)</f>
        <v>1303.2356768034351</v>
      </c>
      <c r="BH1699" s="392">
        <f>SUM($AU$1389:AU1699)</f>
        <v>21652.980000000181</v>
      </c>
      <c r="BI1699" s="318">
        <f>SUMIFS($AU$1388:AU1700,$Q$1388:Q1700,"F")</f>
        <v>15828.400000000001</v>
      </c>
      <c r="BJ1699" s="318">
        <f>SUMIFS($AU$1388:AU1700,$Q$1388:Q1700,"S")</f>
        <v>4143.9999999999927</v>
      </c>
      <c r="BK1699" s="343">
        <f>SUMIFS($AU$1388:AU1700,$P$1388:P1700,"W")</f>
        <v>15661.580000000136</v>
      </c>
      <c r="BL1699" s="343">
        <f>SUMIFS($AU$1388:AU1700,$P$1388:P1700,"R")</f>
        <v>4981.9999999999991</v>
      </c>
      <c r="BM1699" s="343">
        <f>SUMIFS($AU$1388:AU1700,$AQ$1388:AQ1700,"M")</f>
        <v>5313.3799999997282</v>
      </c>
      <c r="BN1699" s="343">
        <f>SUMIFS($AU$1388:AU1700,$AQ$1388:AQ1700,"H")</f>
        <v>3355.2000000004468</v>
      </c>
      <c r="BO1699" s="343">
        <f>SUMIFS($AU$1388:AU1700,$AQ$1388:AQ1700,"D")</f>
        <v>4626.0000000000009</v>
      </c>
      <c r="BP1699" s="343">
        <f>SUMIFS($AU$1388:AU1787,$AQ$1388:AQ1787,"W")</f>
        <v>12022.400000000001</v>
      </c>
      <c r="BQ1699" s="343">
        <f>SUMIFS($AU$1388:AU1700,$Q$1388:Q1700,"O")</f>
        <v>1880.5800000001932</v>
      </c>
      <c r="BR1699" s="343">
        <f>SUMIFS($AU$1388:AU1700,$AA$1388:AA1700,"*")</f>
        <v>19053.800000000068</v>
      </c>
      <c r="BS1699" s="343">
        <f>SUMIFS($AU$1388:AU1700,$AB$1388:AB1700,"*")</f>
        <v>6951.1799999999312</v>
      </c>
      <c r="BT1699" s="343">
        <f>SUMIFS($AU$1388:AU1700,$AC$1388:AC1700,"*")</f>
        <v>12708.4</v>
      </c>
      <c r="BU1699" s="343">
        <f>SUMIFS($AU$1388:AU1700,$AA$1388:AA1700,"*",$AB$1388:AB1700,"*")</f>
        <v>4415.9999999998217</v>
      </c>
      <c r="BV1699" s="343">
        <f>SUMIFS($AU$1388:AU1700,$AA$1388:AA1700,"*",$AC$1388:AC1700,"*")</f>
        <v>12244.4</v>
      </c>
      <c r="BW1699" s="343">
        <f>SUMIFS($AU$1388:AU1700,$AB$1388:AB1700,"*",$AC$1388:AC1700,"*")</f>
        <v>3279.9999999999982</v>
      </c>
      <c r="BX1699" s="343">
        <f>SUMIFS($AV$1388:AV1700,$Q$1388:Q1700,"F")</f>
        <v>321.54786430960348</v>
      </c>
      <c r="BY1699" s="343">
        <f>SUMIFS($AV$1388:AV1700,$Q$1388:Q1700,"S")</f>
        <v>306.34781249396258</v>
      </c>
      <c r="BZ1699" s="343">
        <f>SUMIFS($AV$1388:AV1700,$Q$1388:Q1700,"O")</f>
        <v>519.33999999986361</v>
      </c>
    </row>
    <row r="1700" spans="1:78" ht="15.75" customHeight="1">
      <c r="A1700" s="177" t="s">
        <v>5612</v>
      </c>
      <c r="B1700" s="200">
        <v>45370</v>
      </c>
      <c r="C1700" s="178" t="s">
        <v>682</v>
      </c>
      <c r="D1700" s="178" t="s">
        <v>146</v>
      </c>
      <c r="E1700" s="227"/>
      <c r="F1700" s="180"/>
      <c r="G1700" s="181" t="s">
        <v>2942</v>
      </c>
      <c r="H1700" s="182"/>
      <c r="I1700" s="182"/>
      <c r="J1700" s="182"/>
      <c r="K1700" s="183"/>
      <c r="L1700" s="182">
        <v>1</v>
      </c>
      <c r="M1700" s="182"/>
      <c r="N1700" s="182"/>
      <c r="O1700" s="183" t="s">
        <v>95</v>
      </c>
      <c r="P1700" s="183" t="s">
        <v>96</v>
      </c>
      <c r="Q1700" s="183" t="s">
        <v>97</v>
      </c>
      <c r="R1700" s="183">
        <v>55</v>
      </c>
      <c r="S1700" s="183">
        <v>0</v>
      </c>
      <c r="T1700" s="183">
        <v>55</v>
      </c>
      <c r="U1700" s="183" t="s">
        <v>22</v>
      </c>
      <c r="V1700" s="183"/>
      <c r="W1700" s="183"/>
      <c r="X1700" s="183"/>
      <c r="Y1700" s="184">
        <f>IF(ISBLANK(O1700),"",(IF(O1700=UPPER("IB"),0.005,0.01)))</f>
        <v>0.01</v>
      </c>
      <c r="Z1700" s="185">
        <f>IF(ISBLANK(O1700),"",IF(O1700="IB",8.63*200,IF(O1700="IR",16*100,IF(O1700="YT",20*100,IF(O1700="YT-XT",24*200,IF(O1700="TED",80*100,IF(O1700="XT",29*200)))))))</f>
        <v>1600</v>
      </c>
      <c r="AA1700" s="185"/>
      <c r="AB1700" s="185"/>
      <c r="AC1700" s="185" t="s">
        <v>5058</v>
      </c>
      <c r="AD1700" s="649">
        <v>-0.09</v>
      </c>
      <c r="AE1700" s="182"/>
      <c r="AF1700" s="332"/>
      <c r="AG1700" s="182"/>
      <c r="AH1700" s="182"/>
      <c r="AI1700" s="182"/>
      <c r="AJ1700" s="640"/>
      <c r="AK1700" s="182"/>
      <c r="AL1700" s="496">
        <f t="shared" ref="AL1700:AL1701" si="502">-0.02*Z1700</f>
        <v>-32</v>
      </c>
      <c r="AM1700" s="496">
        <f t="shared" si="492"/>
        <v>-1760</v>
      </c>
      <c r="AN1700" s="626"/>
      <c r="AO1700" s="182"/>
      <c r="AP1700" s="182" t="s">
        <v>5748</v>
      </c>
      <c r="AQ1700" s="332" t="s">
        <v>372</v>
      </c>
      <c r="AR1700" s="298">
        <v>45371</v>
      </c>
      <c r="AS1700" s="189">
        <v>-0.09</v>
      </c>
      <c r="AT1700" s="189">
        <f>IF(ISBLANK(AS1700),,IF(U1700="S",AD1700-AS1700,AS1700-AD1700))</f>
        <v>0</v>
      </c>
      <c r="AU1700" s="187">
        <f>AV1700*R1700</f>
        <v>0</v>
      </c>
      <c r="AV1700" s="190">
        <f t="shared" ref="AV1700" si="503">IF(ISBLANK(AS1700),,(AT1700*Z1700))</f>
        <v>0</v>
      </c>
      <c r="AW1700" s="191" t="s">
        <v>115</v>
      </c>
      <c r="AX1700" s="551" t="s">
        <v>5749</v>
      </c>
      <c r="AY1700" s="551" t="s">
        <v>5750</v>
      </c>
      <c r="AZ1700" s="551" t="s">
        <v>5751</v>
      </c>
      <c r="BA1700" s="551"/>
      <c r="BB1700" s="551"/>
      <c r="BC1700" s="551"/>
      <c r="BD1700" s="549"/>
      <c r="BE1700" s="550"/>
      <c r="BF1700" s="549"/>
      <c r="BG1700" s="391">
        <f>SUM($AV$1389:AV1700)</f>
        <v>1303.2356768034351</v>
      </c>
      <c r="BH1700" s="392">
        <f>SUM($AU$1389:AU1700)</f>
        <v>21652.980000000181</v>
      </c>
      <c r="BI1700" s="318">
        <f>SUMIFS($AU$1388:AU1701,$Q$1388:Q1701,"F")</f>
        <v>15828.400000000001</v>
      </c>
      <c r="BJ1700" s="318">
        <f>SUMIFS($AU$1388:AU1701,$Q$1388:Q1701,"S")</f>
        <v>4143.9999999999927</v>
      </c>
      <c r="BK1700" s="343">
        <f>SUMIFS($AU$1388:AU1701,$P$1388:P1701,"W")</f>
        <v>15661.580000000136</v>
      </c>
      <c r="BL1700" s="343">
        <f>SUMIFS($AU$1388:AU1701,$P$1388:P1701,"R")</f>
        <v>4981.9999999999991</v>
      </c>
      <c r="BM1700" s="343">
        <f>SUMIFS($AU$1388:AU1701,$AQ$1388:AQ1701,"M")</f>
        <v>5313.3799999997282</v>
      </c>
      <c r="BN1700" s="343">
        <f>SUMIFS($AU$1388:AU1701,$AQ$1388:AQ1701,"H")</f>
        <v>3355.2000000004468</v>
      </c>
      <c r="BO1700" s="343">
        <f>SUMIFS($AU$1388:AU1701,$AQ$1388:AQ1701,"D")</f>
        <v>4626.0000000000009</v>
      </c>
      <c r="BP1700" s="343">
        <f>SUMIFS($AU$1388:AU1788,$AQ$1388:AQ1788,"W")</f>
        <v>12022.400000000001</v>
      </c>
      <c r="BQ1700" s="343">
        <f>SUMIFS($AU$1388:AU1701,$Q$1388:Q1701,"O")</f>
        <v>1880.5800000001932</v>
      </c>
      <c r="BR1700" s="343">
        <f>SUMIFS($AU$1388:AU1701,$AA$1388:AA1701,"*")</f>
        <v>19053.800000000068</v>
      </c>
      <c r="BS1700" s="343">
        <f>SUMIFS($AU$1388:AU1701,$AB$1388:AB1701,"*")</f>
        <v>6951.1799999999312</v>
      </c>
      <c r="BT1700" s="343">
        <f>SUMIFS($AU$1388:AU1701,$AC$1388:AC1701,"*")</f>
        <v>12708.4</v>
      </c>
      <c r="BU1700" s="343">
        <f>SUMIFS($AU$1388:AU1701,$AA$1388:AA1701,"*",$AB$1388:AB1701,"*")</f>
        <v>4415.9999999998217</v>
      </c>
      <c r="BV1700" s="343">
        <f>SUMIFS($AU$1388:AU1701,$AA$1388:AA1701,"*",$AC$1388:AC1701,"*")</f>
        <v>12244.4</v>
      </c>
      <c r="BW1700" s="343">
        <f>SUMIFS($AU$1388:AU1701,$AB$1388:AB1701,"*",$AC$1388:AC1701,"*")</f>
        <v>3279.9999999999982</v>
      </c>
      <c r="BX1700" s="343">
        <f>SUMIFS($AV$1388:AV1701,$Q$1388:Q1701,"F")</f>
        <v>321.54786430960348</v>
      </c>
      <c r="BY1700" s="343">
        <f>SUMIFS($AV$1388:AV1701,$Q$1388:Q1701,"S")</f>
        <v>306.34781249396258</v>
      </c>
      <c r="BZ1700" s="343">
        <f>SUMIFS($AV$1388:AV1701,$Q$1388:Q1701,"O")</f>
        <v>519.33999999986361</v>
      </c>
    </row>
    <row r="1701" spans="1:78" ht="15.75" customHeight="1">
      <c r="A1701" s="177" t="s">
        <v>5612</v>
      </c>
      <c r="B1701" s="200">
        <v>45370</v>
      </c>
      <c r="C1701" s="178" t="s">
        <v>682</v>
      </c>
      <c r="D1701" s="178" t="s">
        <v>146</v>
      </c>
      <c r="E1701" s="227"/>
      <c r="F1701" s="180"/>
      <c r="G1701" s="481" t="s">
        <v>2016</v>
      </c>
      <c r="H1701" s="182"/>
      <c r="I1701" s="182"/>
      <c r="J1701" s="182"/>
      <c r="K1701" s="183"/>
      <c r="L1701" s="182">
        <v>1</v>
      </c>
      <c r="M1701" s="182"/>
      <c r="N1701" s="182"/>
      <c r="O1701" s="183" t="s">
        <v>95</v>
      </c>
      <c r="P1701" s="183" t="s">
        <v>96</v>
      </c>
      <c r="Q1701" s="183" t="s">
        <v>97</v>
      </c>
      <c r="R1701" s="183">
        <v>55</v>
      </c>
      <c r="S1701" s="183">
        <v>0</v>
      </c>
      <c r="T1701" s="183">
        <v>55</v>
      </c>
      <c r="U1701" s="183" t="s">
        <v>22</v>
      </c>
      <c r="V1701" s="183"/>
      <c r="W1701" s="183"/>
      <c r="X1701" s="183"/>
      <c r="Y1701" s="184">
        <f>IF(ISBLANK(O1701),"",(IF(O1701=UPPER("IB"),0.005,0.01)))</f>
        <v>0.01</v>
      </c>
      <c r="Z1701" s="185">
        <f>IF(ISBLANK(O1701),"",IF(O1701="IB",8.63*200,IF(O1701="IR",16*100,IF(O1701="YT",20*100,IF(O1701="YT-XT",24*200,IF(O1701="TED",80*100,IF(O1701="XT",29*200)))))))</f>
        <v>1600</v>
      </c>
      <c r="AA1701" s="185" t="s">
        <v>99</v>
      </c>
      <c r="AB1701" s="185"/>
      <c r="AC1701" s="185" t="s">
        <v>5058</v>
      </c>
      <c r="AD1701" s="649">
        <v>-0.13</v>
      </c>
      <c r="AE1701" s="182"/>
      <c r="AF1701" s="332"/>
      <c r="AG1701" s="182"/>
      <c r="AH1701" s="182"/>
      <c r="AI1701" s="182"/>
      <c r="AJ1701" s="640"/>
      <c r="AK1701" s="182"/>
      <c r="AL1701" s="496">
        <f t="shared" si="502"/>
        <v>-32</v>
      </c>
      <c r="AM1701" s="496">
        <f t="shared" si="492"/>
        <v>-1760</v>
      </c>
      <c r="AN1701" s="626"/>
      <c r="AO1701" s="182"/>
      <c r="AP1701" s="182" t="s">
        <v>5748</v>
      </c>
      <c r="AQ1701" s="332" t="s">
        <v>372</v>
      </c>
      <c r="AR1701" s="298">
        <v>45371</v>
      </c>
      <c r="AS1701" s="189">
        <v>-0.13</v>
      </c>
      <c r="AT1701" s="189">
        <f>IF(ISBLANK(AS1701),,IF(U1701="S",AD1701-AS1701,AS1701-AD1701))</f>
        <v>0</v>
      </c>
      <c r="AU1701" s="187">
        <f>AV1701*R1701</f>
        <v>0</v>
      </c>
      <c r="AV1701" s="190">
        <f t="shared" ref="AV1701" si="504">IF(ISBLANK(AS1701),,(AT1701*Z1701))</f>
        <v>0</v>
      </c>
      <c r="AW1701" s="191" t="s">
        <v>115</v>
      </c>
      <c r="AX1701" s="551"/>
      <c r="AY1701" s="551"/>
      <c r="AZ1701" s="551"/>
      <c r="BA1701" s="551"/>
      <c r="BB1701" s="551"/>
      <c r="BC1701" s="551"/>
      <c r="BD1701" s="549"/>
      <c r="BE1701" s="550"/>
      <c r="BF1701" s="549"/>
      <c r="BG1701" s="391">
        <f>SUM($AV$1389:AV1701)</f>
        <v>1303.2356768034351</v>
      </c>
      <c r="BH1701" s="392">
        <f>SUM($AU$1389:AU1701)</f>
        <v>21652.980000000181</v>
      </c>
      <c r="BI1701" s="318">
        <f>SUMIFS($AU$1388:AU1702,$Q$1388:Q1702,"F")</f>
        <v>15828.400000000001</v>
      </c>
      <c r="BJ1701" s="318">
        <f>SUMIFS($AU$1388:AU1702,$Q$1388:Q1702,"S")</f>
        <v>4143.9999999999927</v>
      </c>
      <c r="BK1701" s="343">
        <f>SUMIFS($AU$1388:AU1702,$P$1388:P1702,"W")</f>
        <v>15661.580000000136</v>
      </c>
      <c r="BL1701" s="343">
        <f>SUMIFS($AU$1388:AU1702,$P$1388:P1702,"R")</f>
        <v>4981.9999999999991</v>
      </c>
      <c r="BM1701" s="343">
        <f>SUMIFS($AU$1388:AU1702,$AQ$1388:AQ1702,"M")</f>
        <v>5313.3799999997282</v>
      </c>
      <c r="BN1701" s="343">
        <f>SUMIFS($AU$1388:AU1702,$AQ$1388:AQ1702,"H")</f>
        <v>3355.2000000004468</v>
      </c>
      <c r="BO1701" s="343">
        <f>SUMIFS($AU$1388:AU1702,$AQ$1388:AQ1702,"D")</f>
        <v>4626.0000000000009</v>
      </c>
      <c r="BP1701" s="343">
        <f>SUMIFS($AU$1388:AU1789,$AQ$1388:AQ1789,"W")</f>
        <v>12022.400000000001</v>
      </c>
      <c r="BQ1701" s="343">
        <f>SUMIFS($AU$1388:AU1702,$Q$1388:Q1702,"O")</f>
        <v>1880.5800000001932</v>
      </c>
      <c r="BR1701" s="343">
        <f>SUMIFS($AU$1388:AU1702,$AA$1388:AA1702,"*")</f>
        <v>19053.800000000068</v>
      </c>
      <c r="BS1701" s="343">
        <f>SUMIFS($AU$1388:AU1702,$AB$1388:AB1702,"*")</f>
        <v>6951.1799999999312</v>
      </c>
      <c r="BT1701" s="343">
        <f>SUMIFS($AU$1388:AU1702,$AC$1388:AC1702,"*")</f>
        <v>12708.4</v>
      </c>
      <c r="BU1701" s="343">
        <f>SUMIFS($AU$1388:AU1702,$AA$1388:AA1702,"*",$AB$1388:AB1702,"*")</f>
        <v>4415.9999999998217</v>
      </c>
      <c r="BV1701" s="343">
        <f>SUMIFS($AU$1388:AU1702,$AA$1388:AA1702,"*",$AC$1388:AC1702,"*")</f>
        <v>12244.4</v>
      </c>
      <c r="BW1701" s="343">
        <f>SUMIFS($AU$1388:AU1702,$AB$1388:AB1702,"*",$AC$1388:AC1702,"*")</f>
        <v>3279.9999999999982</v>
      </c>
      <c r="BX1701" s="343">
        <f>SUMIFS($AV$1388:AV1702,$Q$1388:Q1702,"F")</f>
        <v>321.54786430960348</v>
      </c>
      <c r="BY1701" s="343">
        <f>SUMIFS($AV$1388:AV1702,$Q$1388:Q1702,"S")</f>
        <v>306.34781249396258</v>
      </c>
      <c r="BZ1701" s="343">
        <f>SUMIFS($AV$1388:AV1702,$Q$1388:Q1702,"O")</f>
        <v>519.33999999986361</v>
      </c>
    </row>
    <row r="1702" spans="1:78" ht="15.75" customHeight="1">
      <c r="A1702" s="177" t="s">
        <v>5612</v>
      </c>
      <c r="B1702" s="200">
        <v>45372</v>
      </c>
      <c r="C1702" s="178" t="s">
        <v>1255</v>
      </c>
      <c r="D1702" s="178" t="s">
        <v>93</v>
      </c>
      <c r="E1702" s="227" t="s">
        <v>5752</v>
      </c>
      <c r="F1702" s="180" t="s">
        <v>5753</v>
      </c>
      <c r="G1702" s="181"/>
      <c r="H1702" s="182">
        <v>1</v>
      </c>
      <c r="I1702" s="182"/>
      <c r="J1702" s="182"/>
      <c r="K1702" s="183" t="s">
        <v>372</v>
      </c>
      <c r="L1702" s="182"/>
      <c r="M1702" s="182"/>
      <c r="N1702" s="182"/>
      <c r="O1702" s="183"/>
      <c r="P1702" s="183"/>
      <c r="Q1702" s="183"/>
      <c r="R1702" s="183"/>
      <c r="S1702" s="183"/>
      <c r="T1702" s="183"/>
      <c r="U1702" s="183"/>
      <c r="V1702" s="183"/>
      <c r="W1702" s="183"/>
      <c r="X1702" s="183"/>
      <c r="Y1702" s="183"/>
      <c r="Z1702" s="183"/>
      <c r="AA1702" s="185"/>
      <c r="AB1702" s="185"/>
      <c r="AC1702" s="185"/>
      <c r="AD1702" s="649"/>
      <c r="AE1702" s="182"/>
      <c r="AF1702" s="332"/>
      <c r="AG1702" s="182"/>
      <c r="AH1702" s="182"/>
      <c r="AI1702" s="182"/>
      <c r="AJ1702" s="640"/>
      <c r="AK1702" s="182"/>
      <c r="AL1702" s="496">
        <f t="shared" ref="AL1702:AL1706" si="505">-0.02*Z1702</f>
        <v>0</v>
      </c>
      <c r="AM1702" s="496">
        <f t="shared" si="492"/>
        <v>0</v>
      </c>
      <c r="AN1702" s="626"/>
      <c r="AO1702" s="182"/>
      <c r="AP1702" s="182"/>
      <c r="AQ1702" s="332" t="str">
        <f>UPPER(RIGHT(Journal_Live[[#This Row],[DURATION ]]))</f>
        <v/>
      </c>
      <c r="AR1702" s="182"/>
      <c r="AS1702" s="189"/>
      <c r="AT1702" s="189"/>
      <c r="AU1702" s="187"/>
      <c r="AV1702" s="190"/>
      <c r="AW1702" s="191"/>
      <c r="AX1702" s="551"/>
      <c r="AY1702" s="551"/>
      <c r="AZ1702" s="551"/>
      <c r="BA1702" s="551"/>
      <c r="BB1702" s="551"/>
      <c r="BC1702" s="551"/>
      <c r="BD1702" s="549"/>
      <c r="BE1702" s="550"/>
      <c r="BF1702" s="549"/>
      <c r="BG1702" s="391">
        <f>SUM($AV$1389:AV1702)</f>
        <v>1303.2356768034351</v>
      </c>
      <c r="BH1702" s="392">
        <f>SUM($AU$1389:AU1702)</f>
        <v>21652.980000000181</v>
      </c>
      <c r="BI1702" s="318">
        <f>SUMIFS($AU$1388:AU1703,$Q$1388:Q1703,"F")</f>
        <v>15828.400000000001</v>
      </c>
      <c r="BJ1702" s="318">
        <f>SUMIFS($AU$1388:AU1703,$Q$1388:Q1703,"S")</f>
        <v>4143.9999999999927</v>
      </c>
      <c r="BK1702" s="343">
        <f>SUMIFS($AU$1388:AU1703,$P$1388:P1703,"W")</f>
        <v>15661.580000000136</v>
      </c>
      <c r="BL1702" s="343">
        <f>SUMIFS($AU$1388:AU1703,$P$1388:P1703,"R")</f>
        <v>4981.9999999999991</v>
      </c>
      <c r="BM1702" s="343">
        <f>SUMIFS($AU$1388:AU1703,$AQ$1388:AQ1703,"M")</f>
        <v>5313.3799999997282</v>
      </c>
      <c r="BN1702" s="343">
        <f>SUMIFS($AU$1388:AU1703,$AQ$1388:AQ1703,"H")</f>
        <v>3355.2000000004468</v>
      </c>
      <c r="BO1702" s="343">
        <f>SUMIFS($AU$1388:AU1703,$AQ$1388:AQ1703,"D")</f>
        <v>4626.0000000000009</v>
      </c>
      <c r="BP1702" s="343">
        <f>SUMIFS($AU$1388:AU1790,$AQ$1388:AQ1790,"W")</f>
        <v>12022.400000000001</v>
      </c>
      <c r="BQ1702" s="343">
        <f>SUMIFS($AU$1388:AU1703,$Q$1388:Q1703,"O")</f>
        <v>1880.5800000001932</v>
      </c>
      <c r="BR1702" s="343">
        <f>SUMIFS($AU$1388:AU1703,$AA$1388:AA1703,"*")</f>
        <v>19053.800000000068</v>
      </c>
      <c r="BS1702" s="343">
        <f>SUMIFS($AU$1388:AU1703,$AB$1388:AB1703,"*")</f>
        <v>6951.1799999999312</v>
      </c>
      <c r="BT1702" s="343">
        <f>SUMIFS($AU$1388:AU1703,$AC$1388:AC1703,"*")</f>
        <v>12708.4</v>
      </c>
      <c r="BU1702" s="343">
        <f>SUMIFS($AU$1388:AU1703,$AA$1388:AA1703,"*",$AB$1388:AB1703,"*")</f>
        <v>4415.9999999998217</v>
      </c>
      <c r="BV1702" s="343">
        <f>SUMIFS($AU$1388:AU1703,$AA$1388:AA1703,"*",$AC$1388:AC1703,"*")</f>
        <v>12244.4</v>
      </c>
      <c r="BW1702" s="343">
        <f>SUMIFS($AU$1388:AU1703,$AB$1388:AB1703,"*",$AC$1388:AC1703,"*")</f>
        <v>3279.9999999999982</v>
      </c>
      <c r="BX1702" s="343">
        <f>SUMIFS($AV$1388:AV1703,$Q$1388:Q1703,"F")</f>
        <v>321.54786430960348</v>
      </c>
      <c r="BY1702" s="343">
        <f>SUMIFS($AV$1388:AV1703,$Q$1388:Q1703,"S")</f>
        <v>306.34781249396258</v>
      </c>
      <c r="BZ1702" s="343">
        <f>SUMIFS($AV$1388:AV1703,$Q$1388:Q1703,"O")</f>
        <v>519.33999999986361</v>
      </c>
    </row>
    <row r="1703" spans="1:78" ht="15.75" customHeight="1">
      <c r="A1703" s="177" t="s">
        <v>5612</v>
      </c>
      <c r="B1703" s="200"/>
      <c r="C1703" s="178"/>
      <c r="D1703" s="178"/>
      <c r="E1703" s="227" t="s">
        <v>5754</v>
      </c>
      <c r="F1703" s="180"/>
      <c r="G1703" s="181"/>
      <c r="H1703" s="182">
        <v>1</v>
      </c>
      <c r="I1703" s="182"/>
      <c r="J1703" s="182"/>
      <c r="K1703" s="183" t="s">
        <v>372</v>
      </c>
      <c r="L1703" s="182"/>
      <c r="M1703" s="182"/>
      <c r="N1703" s="182"/>
      <c r="O1703" s="183"/>
      <c r="P1703" s="183"/>
      <c r="Q1703" s="183"/>
      <c r="R1703" s="183"/>
      <c r="S1703" s="183"/>
      <c r="T1703" s="183"/>
      <c r="U1703" s="183"/>
      <c r="V1703" s="183"/>
      <c r="W1703" s="183"/>
      <c r="X1703" s="183"/>
      <c r="Y1703" s="183"/>
      <c r="Z1703" s="183"/>
      <c r="AA1703" s="185"/>
      <c r="AB1703" s="185"/>
      <c r="AC1703" s="185"/>
      <c r="AD1703" s="649"/>
      <c r="AE1703" s="182"/>
      <c r="AF1703" s="332"/>
      <c r="AG1703" s="182"/>
      <c r="AH1703" s="182"/>
      <c r="AI1703" s="182"/>
      <c r="AJ1703" s="640"/>
      <c r="AK1703" s="182"/>
      <c r="AL1703" s="496">
        <f t="shared" si="505"/>
        <v>0</v>
      </c>
      <c r="AM1703" s="496">
        <f t="shared" si="492"/>
        <v>0</v>
      </c>
      <c r="AN1703" s="626"/>
      <c r="AO1703" s="182"/>
      <c r="AP1703" s="182"/>
      <c r="AQ1703" s="332" t="str">
        <f>UPPER(RIGHT(Journal_Live[[#This Row],[DURATION ]]))</f>
        <v/>
      </c>
      <c r="AR1703" s="182"/>
      <c r="AS1703" s="189"/>
      <c r="AT1703" s="189"/>
      <c r="AU1703" s="187"/>
      <c r="AV1703" s="190"/>
      <c r="AW1703" s="191"/>
      <c r="AX1703" s="551"/>
      <c r="AY1703" s="551"/>
      <c r="AZ1703" s="551"/>
      <c r="BA1703" s="551"/>
      <c r="BB1703" s="551"/>
      <c r="BC1703" s="551"/>
      <c r="BD1703" s="549"/>
      <c r="BE1703" s="550"/>
      <c r="BF1703" s="549"/>
      <c r="BG1703" s="391">
        <f>SUM($AV$1389:AV1703)</f>
        <v>1303.2356768034351</v>
      </c>
      <c r="BH1703" s="392">
        <f>SUM($AU$1389:AU1703)</f>
        <v>21652.980000000181</v>
      </c>
      <c r="BI1703" s="318">
        <f>SUMIFS($AU$1388:AU1704,$Q$1388:Q1704,"F")</f>
        <v>15828.400000000001</v>
      </c>
      <c r="BJ1703" s="318">
        <f>SUMIFS($AU$1388:AU1704,$Q$1388:Q1704,"S")</f>
        <v>4143.9999999999927</v>
      </c>
      <c r="BK1703" s="343">
        <f>SUMIFS($AU$1388:AU1704,$P$1388:P1704,"W")</f>
        <v>15661.580000000136</v>
      </c>
      <c r="BL1703" s="343">
        <f>SUMIFS($AU$1388:AU1704,$P$1388:P1704,"R")</f>
        <v>4981.9999999999991</v>
      </c>
      <c r="BM1703" s="343">
        <f>SUMIFS($AU$1388:AU1704,$AQ$1388:AQ1704,"M")</f>
        <v>5522.1799999997365</v>
      </c>
      <c r="BN1703" s="343">
        <f>SUMIFS($AU$1388:AU1704,$AQ$1388:AQ1704,"H")</f>
        <v>3355.2000000004468</v>
      </c>
      <c r="BO1703" s="343">
        <f>SUMIFS($AU$1388:AU1704,$AQ$1388:AQ1704,"D")</f>
        <v>4626.0000000000009</v>
      </c>
      <c r="BP1703" s="343">
        <f>SUMIFS($AU$1388:AU1791,$AQ$1388:AQ1791,"W")</f>
        <v>12022.400000000001</v>
      </c>
      <c r="BQ1703" s="343">
        <f>SUMIFS($AU$1388:AU1704,$Q$1388:Q1704,"O")</f>
        <v>2089.3800000002011</v>
      </c>
      <c r="BR1703" s="343">
        <f>SUMIFS($AU$1388:AU1704,$AA$1388:AA1704,"*")</f>
        <v>19262.600000000075</v>
      </c>
      <c r="BS1703" s="343">
        <f>SUMIFS($AU$1388:AU1704,$AB$1388:AB1704,"*")</f>
        <v>6951.1799999999312</v>
      </c>
      <c r="BT1703" s="343">
        <f>SUMIFS($AU$1388:AU1704,$AC$1388:AC1704,"*")</f>
        <v>12708.4</v>
      </c>
      <c r="BU1703" s="343">
        <f>SUMIFS($AU$1388:AU1704,$AA$1388:AA1704,"*",$AB$1388:AB1704,"*")</f>
        <v>4415.9999999998217</v>
      </c>
      <c r="BV1703" s="343">
        <f>SUMIFS($AU$1388:AU1704,$AA$1388:AA1704,"*",$AC$1388:AC1704,"*")</f>
        <v>12244.4</v>
      </c>
      <c r="BW1703" s="343">
        <f>SUMIFS($AU$1388:AU1704,$AB$1388:AB1704,"*",$AC$1388:AC1704,"*")</f>
        <v>3279.9999999999982</v>
      </c>
      <c r="BX1703" s="343">
        <f>SUMIFS($AV$1388:AV1704,$Q$1388:Q1704,"F")</f>
        <v>321.54786430960348</v>
      </c>
      <c r="BY1703" s="343">
        <f>SUMIFS($AV$1388:AV1704,$Q$1388:Q1704,"S")</f>
        <v>306.34781249396258</v>
      </c>
      <c r="BZ1703" s="343">
        <f>SUMIFS($AV$1388:AV1704,$Q$1388:Q1704,"O")</f>
        <v>571.53999999986559</v>
      </c>
    </row>
    <row r="1704" spans="1:78" ht="15.75" customHeight="1">
      <c r="A1704" s="177" t="s">
        <v>5612</v>
      </c>
      <c r="B1704" s="200">
        <v>45372</v>
      </c>
      <c r="C1704" s="178" t="s">
        <v>682</v>
      </c>
      <c r="D1704" s="178" t="s">
        <v>93</v>
      </c>
      <c r="E1704" s="227"/>
      <c r="F1704" s="180"/>
      <c r="G1704" s="181" t="s">
        <v>5723</v>
      </c>
      <c r="H1704" s="182"/>
      <c r="I1704" s="182"/>
      <c r="J1704" s="182"/>
      <c r="K1704" s="183"/>
      <c r="L1704" s="182">
        <v>2</v>
      </c>
      <c r="M1704" s="182"/>
      <c r="N1704" s="182"/>
      <c r="O1704" s="183" t="s">
        <v>3618</v>
      </c>
      <c r="P1704" s="183" t="s">
        <v>2260</v>
      </c>
      <c r="Q1704" s="183" t="s">
        <v>684</v>
      </c>
      <c r="R1704" s="183">
        <v>4</v>
      </c>
      <c r="S1704" s="183">
        <v>0</v>
      </c>
      <c r="T1704" s="183">
        <v>2</v>
      </c>
      <c r="U1704" s="183" t="s">
        <v>97</v>
      </c>
      <c r="V1704" s="183"/>
      <c r="W1704" s="183"/>
      <c r="X1704" s="183"/>
      <c r="Y1704" s="184">
        <f>IF(ISBLANK(O1704),"",(IF(O1704=UPPER("IB"),0.005,0.01)))</f>
        <v>0.01</v>
      </c>
      <c r="Z1704" s="185">
        <f>IF(ISBLANK(O1704),"",IF(O1704="IB",8.63*200,IF(O1704="IR",16*100,IF(O1704="YT",20*100,IF(O1704="YT-XT",24*200,IF(O1704="TED",80*100,IF(O1704="XT",29*200)))))))</f>
        <v>5800</v>
      </c>
      <c r="AA1704" s="185" t="s">
        <v>1096</v>
      </c>
      <c r="AB1704" s="185"/>
      <c r="AC1704" s="185"/>
      <c r="AD1704" s="649">
        <v>95.933000000000007</v>
      </c>
      <c r="AE1704" s="182"/>
      <c r="AF1704" s="332"/>
      <c r="AG1704" s="182"/>
      <c r="AH1704" s="182"/>
      <c r="AI1704" s="182"/>
      <c r="AJ1704" s="640"/>
      <c r="AK1704" s="182"/>
      <c r="AL1704" s="496">
        <f t="shared" si="505"/>
        <v>-116</v>
      </c>
      <c r="AM1704" s="496">
        <f t="shared" si="492"/>
        <v>-464</v>
      </c>
      <c r="AN1704" s="626"/>
      <c r="AO1704" s="182"/>
      <c r="AP1704" s="182" t="s">
        <v>5755</v>
      </c>
      <c r="AQ1704" s="332" t="s">
        <v>1259</v>
      </c>
      <c r="AR1704" s="182"/>
      <c r="AS1704" s="189">
        <v>95.924000000000007</v>
      </c>
      <c r="AT1704" s="189">
        <f>IF(ISBLANK(AS1704),,IF(U1704="S",AD1704-AS1704,AS1704-AD1704))</f>
        <v>9.0000000000003411E-3</v>
      </c>
      <c r="AU1704" s="187">
        <f>AV1704*R1704</f>
        <v>208.80000000000791</v>
      </c>
      <c r="AV1704" s="190">
        <f t="shared" ref="AV1704" si="506">IF(ISBLANK(AS1704),,(AT1704*Z1704))</f>
        <v>52.200000000001978</v>
      </c>
      <c r="AW1704" s="191" t="s">
        <v>96</v>
      </c>
      <c r="AX1704" s="551" t="s">
        <v>1137</v>
      </c>
      <c r="AY1704" s="551"/>
      <c r="AZ1704" s="551"/>
      <c r="BA1704" s="551"/>
      <c r="BB1704" s="551"/>
      <c r="BC1704" s="551"/>
      <c r="BD1704" s="549"/>
      <c r="BE1704" s="550"/>
      <c r="BF1704" s="549"/>
      <c r="BG1704" s="391">
        <f>SUM($AV$1389:AV1704)</f>
        <v>1355.4356768034372</v>
      </c>
      <c r="BH1704" s="392">
        <f>SUM($AU$1389:AU1704)</f>
        <v>21861.780000000188</v>
      </c>
      <c r="BI1704" s="318">
        <f>SUMIFS($AU$1388:AU1705,$Q$1388:Q1705,"F")</f>
        <v>15828.400000000001</v>
      </c>
      <c r="BJ1704" s="318">
        <f>SUMIFS($AU$1388:AU1705,$Q$1388:Q1705,"S")</f>
        <v>4143.9999999999927</v>
      </c>
      <c r="BK1704" s="343">
        <f>SUMIFS($AU$1388:AU1705,$P$1388:P1705,"W")</f>
        <v>15661.580000000136</v>
      </c>
      <c r="BL1704" s="343">
        <f>SUMIFS($AU$1388:AU1705,$P$1388:P1705,"R")</f>
        <v>4981.9999999999991</v>
      </c>
      <c r="BM1704" s="343">
        <f>SUMIFS($AU$1388:AU1705,$AQ$1388:AQ1705,"M")</f>
        <v>5522.1799999997365</v>
      </c>
      <c r="BN1704" s="343">
        <f>SUMIFS($AU$1388:AU1705,$AQ$1388:AQ1705,"H")</f>
        <v>3355.2000000004468</v>
      </c>
      <c r="BO1704" s="343">
        <f>SUMIFS($AU$1388:AU1705,$AQ$1388:AQ1705,"D")</f>
        <v>4626.0000000000009</v>
      </c>
      <c r="BP1704" s="343">
        <f>SUMIFS($AU$1388:AU1792,$AQ$1388:AQ1792,"W")</f>
        <v>12022.400000000001</v>
      </c>
      <c r="BQ1704" s="343">
        <f>SUMIFS($AU$1388:AU1705,$Q$1388:Q1705,"O")</f>
        <v>2089.3800000002011</v>
      </c>
      <c r="BR1704" s="343">
        <f>SUMIFS($AU$1388:AU1705,$AA$1388:AA1705,"*")</f>
        <v>19262.600000000075</v>
      </c>
      <c r="BS1704" s="343">
        <f>SUMIFS($AU$1388:AU1705,$AB$1388:AB1705,"*")</f>
        <v>6951.1799999999312</v>
      </c>
      <c r="BT1704" s="343">
        <f>SUMIFS($AU$1388:AU1705,$AC$1388:AC1705,"*")</f>
        <v>12708.4</v>
      </c>
      <c r="BU1704" s="343">
        <f>SUMIFS($AU$1388:AU1705,$AA$1388:AA1705,"*",$AB$1388:AB1705,"*")</f>
        <v>4415.9999999998217</v>
      </c>
      <c r="BV1704" s="343">
        <f>SUMIFS($AU$1388:AU1705,$AA$1388:AA1705,"*",$AC$1388:AC1705,"*")</f>
        <v>12244.4</v>
      </c>
      <c r="BW1704" s="343">
        <f>SUMIFS($AU$1388:AU1705,$AB$1388:AB1705,"*",$AC$1388:AC1705,"*")</f>
        <v>3279.9999999999982</v>
      </c>
      <c r="BX1704" s="343">
        <f>SUMIFS($AV$1388:AV1705,$Q$1388:Q1705,"F")</f>
        <v>321.54786430960348</v>
      </c>
      <c r="BY1704" s="343">
        <f>SUMIFS($AV$1388:AV1705,$Q$1388:Q1705,"S")</f>
        <v>306.34781249396258</v>
      </c>
      <c r="BZ1704" s="343">
        <f>SUMIFS($AV$1388:AV1705,$Q$1388:Q1705,"O")</f>
        <v>571.53999999986559</v>
      </c>
    </row>
    <row r="1705" spans="1:78" ht="15.75" customHeight="1">
      <c r="A1705" s="177" t="s">
        <v>5612</v>
      </c>
      <c r="B1705" s="200">
        <v>45372</v>
      </c>
      <c r="C1705" s="178" t="s">
        <v>682</v>
      </c>
      <c r="D1705" s="178" t="s">
        <v>93</v>
      </c>
      <c r="E1705" s="227"/>
      <c r="F1705" s="180"/>
      <c r="G1705" s="181" t="s">
        <v>2807</v>
      </c>
      <c r="H1705" s="182"/>
      <c r="I1705" s="182"/>
      <c r="J1705" s="182"/>
      <c r="K1705" s="183"/>
      <c r="L1705" s="182"/>
      <c r="M1705" s="182"/>
      <c r="N1705" s="182"/>
      <c r="O1705" s="183"/>
      <c r="P1705" s="183"/>
      <c r="Q1705" s="183"/>
      <c r="R1705" s="183"/>
      <c r="S1705" s="183"/>
      <c r="T1705" s="183"/>
      <c r="U1705" s="183"/>
      <c r="V1705" s="183"/>
      <c r="W1705" s="183"/>
      <c r="X1705" s="183"/>
      <c r="Y1705" s="184"/>
      <c r="Z1705" s="185"/>
      <c r="AA1705" s="185"/>
      <c r="AB1705" s="185"/>
      <c r="AC1705" s="185"/>
      <c r="AD1705" s="649"/>
      <c r="AE1705" s="182"/>
      <c r="AF1705" s="332"/>
      <c r="AG1705" s="182"/>
      <c r="AH1705" s="182"/>
      <c r="AI1705" s="182"/>
      <c r="AJ1705" s="640" t="s">
        <v>5756</v>
      </c>
      <c r="AK1705" s="182"/>
      <c r="AL1705" s="496">
        <f t="shared" si="505"/>
        <v>0</v>
      </c>
      <c r="AM1705" s="496">
        <f t="shared" si="492"/>
        <v>0</v>
      </c>
      <c r="AN1705" s="626"/>
      <c r="AO1705" s="182"/>
      <c r="AP1705" s="182"/>
      <c r="AQ1705" s="332" t="str">
        <f>UPPER(RIGHT(Journal_Live[[#This Row],[DURATION ]]))</f>
        <v/>
      </c>
      <c r="AR1705" s="182"/>
      <c r="AS1705" s="189"/>
      <c r="AT1705" s="189">
        <f>IF(ISBLANK(AS1705),,IF(U1705="S",AD1705-AS1705,AS1705-AD1705))</f>
        <v>0</v>
      </c>
      <c r="AU1705" s="187">
        <f>AV1705*R1705</f>
        <v>0</v>
      </c>
      <c r="AV1705" s="190">
        <f t="shared" ref="AV1705:AV1706" si="507">IF(ISBLANK(AS1705),,(AT1705*Z1705))</f>
        <v>0</v>
      </c>
      <c r="AW1705" s="191"/>
      <c r="AX1705" s="551"/>
      <c r="AY1705" s="551"/>
      <c r="AZ1705" s="551"/>
      <c r="BA1705" s="551"/>
      <c r="BB1705" s="551"/>
      <c r="BC1705" s="551"/>
      <c r="BD1705" s="549"/>
      <c r="BE1705" s="550"/>
      <c r="BF1705" s="549"/>
      <c r="BG1705" s="391">
        <f>SUM($AV$1389:AV1705)</f>
        <v>1355.4356768034372</v>
      </c>
      <c r="BH1705" s="392">
        <f>SUM($AU$1389:AU1705)</f>
        <v>21861.780000000188</v>
      </c>
      <c r="BI1705" s="318">
        <f>SUMIFS($AU$1388:AU1706,$Q$1388:Q1706,"F")</f>
        <v>15828.400000000001</v>
      </c>
      <c r="BJ1705" s="318">
        <f>SUMIFS($AU$1388:AU1706,$Q$1388:Q1706,"S")</f>
        <v>4607.9999999999927</v>
      </c>
      <c r="BK1705" s="343">
        <f>SUMIFS($AU$1388:AU1706,$P$1388:P1706,"W")</f>
        <v>16125.580000000136</v>
      </c>
      <c r="BL1705" s="343">
        <f>SUMIFS($AU$1388:AU1706,$P$1388:P1706,"R")</f>
        <v>4981.9999999999991</v>
      </c>
      <c r="BM1705" s="343">
        <f>SUMIFS($AU$1388:AU1706,$AQ$1388:AQ1706,"M")</f>
        <v>5522.1799999997365</v>
      </c>
      <c r="BN1705" s="343">
        <f>SUMIFS($AU$1388:AU1706,$AQ$1388:AQ1706,"H")</f>
        <v>3819.2000000004464</v>
      </c>
      <c r="BO1705" s="343">
        <f>SUMIFS($AU$1388:AU1706,$AQ$1388:AQ1706,"D")</f>
        <v>4626.0000000000009</v>
      </c>
      <c r="BP1705" s="343">
        <f>SUMIFS($AU$1388:AU1793,$AQ$1388:AQ1793,"W")</f>
        <v>12022.400000000001</v>
      </c>
      <c r="BQ1705" s="343">
        <f>SUMIFS($AU$1388:AU1706,$Q$1388:Q1706,"O")</f>
        <v>2089.3800000002011</v>
      </c>
      <c r="BR1705" s="343">
        <f>SUMIFS($AU$1388:AU1706,$AA$1388:AA1706,"*")</f>
        <v>19726.600000000075</v>
      </c>
      <c r="BS1705" s="343">
        <f>SUMIFS($AU$1388:AU1706,$AB$1388:AB1706,"*")</f>
        <v>6951.1799999999312</v>
      </c>
      <c r="BT1705" s="343">
        <f>SUMIFS($AU$1388:AU1706,$AC$1388:AC1706,"*")</f>
        <v>12708.4</v>
      </c>
      <c r="BU1705" s="343">
        <f>SUMIFS($AU$1388:AU1706,$AA$1388:AA1706,"*",$AB$1388:AB1706,"*")</f>
        <v>4415.9999999998217</v>
      </c>
      <c r="BV1705" s="343">
        <f>SUMIFS($AU$1388:AU1706,$AA$1388:AA1706,"*",$AC$1388:AC1706,"*")</f>
        <v>12244.4</v>
      </c>
      <c r="BW1705" s="343">
        <f>SUMIFS($AU$1388:AU1706,$AB$1388:AB1706,"*",$AC$1388:AC1706,"*")</f>
        <v>3279.9999999999982</v>
      </c>
      <c r="BX1705" s="343">
        <f>SUMIFS($AV$1388:AV1706,$Q$1388:Q1706,"F")</f>
        <v>321.54786430960348</v>
      </c>
      <c r="BY1705" s="343">
        <f>SUMIFS($AV$1388:AV1706,$Q$1388:Q1706,"S")</f>
        <v>322.34781249396258</v>
      </c>
      <c r="BZ1705" s="343">
        <f>SUMIFS($AV$1388:AV1706,$Q$1388:Q1706,"O")</f>
        <v>571.53999999986559</v>
      </c>
    </row>
    <row r="1706" spans="1:78" ht="15.75" customHeight="1">
      <c r="A1706" s="177" t="s">
        <v>5612</v>
      </c>
      <c r="B1706" s="200">
        <v>45372</v>
      </c>
      <c r="C1706" s="178" t="s">
        <v>733</v>
      </c>
      <c r="D1706" s="178" t="s">
        <v>93</v>
      </c>
      <c r="E1706" s="227"/>
      <c r="F1706" s="180"/>
      <c r="G1706" s="481" t="s">
        <v>136</v>
      </c>
      <c r="H1706" s="182"/>
      <c r="I1706" s="182"/>
      <c r="J1706" s="182"/>
      <c r="K1706" s="183"/>
      <c r="L1706" s="182"/>
      <c r="M1706" s="182">
        <v>2</v>
      </c>
      <c r="N1706" s="182"/>
      <c r="O1706" s="183" t="s">
        <v>95</v>
      </c>
      <c r="P1706" s="183" t="s">
        <v>96</v>
      </c>
      <c r="Q1706" s="183" t="s">
        <v>97</v>
      </c>
      <c r="R1706" s="183">
        <v>29</v>
      </c>
      <c r="S1706" s="183">
        <v>9</v>
      </c>
      <c r="T1706" s="183">
        <v>29</v>
      </c>
      <c r="U1706" s="183" t="s">
        <v>97</v>
      </c>
      <c r="V1706" s="183"/>
      <c r="W1706" s="183"/>
      <c r="X1706" s="183"/>
      <c r="Y1706" s="184">
        <f>IF(ISBLANK(O1706),"",(IF(O1706=UPPER("IB"),0.005,0.01)))</f>
        <v>0.01</v>
      </c>
      <c r="Z1706" s="185">
        <f>IF(ISBLANK(O1706),"",IF(O1706="IB",8.63*200,IF(O1706="IR",16*100,IF(O1706="YT",20*100,IF(O1706="YT-XT",24*200,IF(O1706="TED",80*100,IF(O1706="XT",29*200)))))))</f>
        <v>1600</v>
      </c>
      <c r="AA1706" s="185" t="s">
        <v>5245</v>
      </c>
      <c r="AB1706" s="185"/>
      <c r="AC1706" s="185"/>
      <c r="AD1706" s="649">
        <v>-0.1</v>
      </c>
      <c r="AE1706" s="182"/>
      <c r="AF1706" s="332"/>
      <c r="AG1706" s="182"/>
      <c r="AH1706" s="182"/>
      <c r="AI1706" s="182"/>
      <c r="AJ1706" s="640"/>
      <c r="AK1706" s="182"/>
      <c r="AL1706" s="496">
        <f t="shared" si="505"/>
        <v>-32</v>
      </c>
      <c r="AM1706" s="496">
        <f t="shared" si="492"/>
        <v>-640</v>
      </c>
      <c r="AN1706" s="626"/>
      <c r="AO1706" s="182"/>
      <c r="AP1706" s="182" t="s">
        <v>964</v>
      </c>
      <c r="AQ1706" s="332" t="s">
        <v>372</v>
      </c>
      <c r="AR1706" s="182" t="s">
        <v>5757</v>
      </c>
      <c r="AS1706" s="189">
        <v>-0.11</v>
      </c>
      <c r="AT1706" s="189">
        <f>IF(ISBLANK(AS1706),,IF(U1706="S",AD1706-AS1706,AS1706-AD1706))</f>
        <v>9.999999999999995E-3</v>
      </c>
      <c r="AU1706" s="187">
        <f>AV1706*R1706</f>
        <v>463.99999999999977</v>
      </c>
      <c r="AV1706" s="190">
        <f t="shared" si="507"/>
        <v>15.999999999999993</v>
      </c>
      <c r="AW1706" s="191" t="s">
        <v>96</v>
      </c>
      <c r="AX1706" s="551" t="s">
        <v>1137</v>
      </c>
      <c r="AY1706" s="551"/>
      <c r="AZ1706" s="551"/>
      <c r="BA1706" s="551"/>
      <c r="BB1706" s="551"/>
      <c r="BC1706" s="551"/>
      <c r="BD1706" s="549"/>
      <c r="BE1706" s="550"/>
      <c r="BF1706" s="549"/>
      <c r="BG1706" s="391">
        <f>SUM($AV$1389:AV1706)</f>
        <v>1371.4356768034372</v>
      </c>
      <c r="BH1706" s="392">
        <f>SUM($AU$1389:AU1706)</f>
        <v>22325.780000000188</v>
      </c>
      <c r="BI1706" s="318">
        <f>SUMIFS($AU$1388:AU1707,$Q$1388:Q1707,"F")</f>
        <v>15828.400000000001</v>
      </c>
      <c r="BJ1706" s="318">
        <f>SUMIFS($AU$1388:AU1707,$Q$1388:Q1707,"S")</f>
        <v>4607.9999999999927</v>
      </c>
      <c r="BK1706" s="343">
        <f>SUMIFS($AU$1388:AU1707,$P$1388:P1707,"W")</f>
        <v>16125.580000000136</v>
      </c>
      <c r="BL1706" s="343">
        <f>SUMIFS($AU$1388:AU1707,$P$1388:P1707,"R")</f>
        <v>4981.9999999999991</v>
      </c>
      <c r="BM1706" s="343">
        <f>SUMIFS($AU$1388:AU1707,$AQ$1388:AQ1707,"M")</f>
        <v>5522.1799999997365</v>
      </c>
      <c r="BN1706" s="343">
        <f>SUMIFS($AU$1388:AU1707,$AQ$1388:AQ1707,"H")</f>
        <v>3819.2000000004464</v>
      </c>
      <c r="BO1706" s="343">
        <f>SUMIFS($AU$1388:AU1707,$AQ$1388:AQ1707,"D")</f>
        <v>4626.0000000000009</v>
      </c>
      <c r="BP1706" s="343">
        <f>SUMIFS($AU$1388:AU1794,$AQ$1388:AQ1794,"W")</f>
        <v>12022.400000000001</v>
      </c>
      <c r="BQ1706" s="343">
        <f>SUMIFS($AU$1388:AU1707,$Q$1388:Q1707,"O")</f>
        <v>2089.3800000002011</v>
      </c>
      <c r="BR1706" s="343">
        <f>SUMIFS($AU$1388:AU1707,$AA$1388:AA1707,"*")</f>
        <v>19726.600000000075</v>
      </c>
      <c r="BS1706" s="343">
        <f>SUMIFS($AU$1388:AU1707,$AB$1388:AB1707,"*")</f>
        <v>6951.1799999999312</v>
      </c>
      <c r="BT1706" s="343">
        <f>SUMIFS($AU$1388:AU1707,$AC$1388:AC1707,"*")</f>
        <v>12708.4</v>
      </c>
      <c r="BU1706" s="343">
        <f>SUMIFS($AU$1388:AU1707,$AA$1388:AA1707,"*",$AB$1388:AB1707,"*")</f>
        <v>4415.9999999998217</v>
      </c>
      <c r="BV1706" s="343">
        <f>SUMIFS($AU$1388:AU1707,$AA$1388:AA1707,"*",$AC$1388:AC1707,"*")</f>
        <v>12244.4</v>
      </c>
      <c r="BW1706" s="343">
        <f>SUMIFS($AU$1388:AU1707,$AB$1388:AB1707,"*",$AC$1388:AC1707,"*")</f>
        <v>3279.9999999999982</v>
      </c>
      <c r="BX1706" s="343">
        <f>SUMIFS($AV$1388:AV1707,$Q$1388:Q1707,"F")</f>
        <v>321.54786430960348</v>
      </c>
      <c r="BY1706" s="343">
        <f>SUMIFS($AV$1388:AV1707,$Q$1388:Q1707,"S")</f>
        <v>322.34781249396258</v>
      </c>
      <c r="BZ1706" s="343">
        <f>SUMIFS($AV$1388:AV1707,$Q$1388:Q1707,"O")</f>
        <v>571.53999999986559</v>
      </c>
    </row>
    <row r="1707" spans="1:78" ht="15.75" customHeight="1">
      <c r="A1707" s="177" t="s">
        <v>5612</v>
      </c>
      <c r="B1707" s="200">
        <v>45373</v>
      </c>
      <c r="C1707" s="178"/>
      <c r="D1707" s="178"/>
      <c r="E1707" s="227"/>
      <c r="F1707" s="180"/>
      <c r="G1707" s="181"/>
      <c r="H1707" s="182"/>
      <c r="I1707" s="182"/>
      <c r="J1707" s="182"/>
      <c r="K1707" s="183"/>
      <c r="L1707" s="182"/>
      <c r="M1707" s="182"/>
      <c r="N1707" s="182"/>
      <c r="O1707" s="183"/>
      <c r="P1707" s="183"/>
      <c r="Q1707" s="183"/>
      <c r="R1707" s="183"/>
      <c r="S1707" s="183"/>
      <c r="T1707" s="183"/>
      <c r="U1707" s="183"/>
      <c r="V1707" s="183"/>
      <c r="W1707" s="183"/>
      <c r="X1707" s="183"/>
      <c r="Y1707" s="184"/>
      <c r="Z1707" s="185"/>
      <c r="AA1707" s="185"/>
      <c r="AB1707" s="185"/>
      <c r="AC1707" s="185"/>
      <c r="AD1707" s="649"/>
      <c r="AE1707" s="182"/>
      <c r="AF1707" s="332"/>
      <c r="AG1707" s="182"/>
      <c r="AH1707" s="182"/>
      <c r="AI1707" s="182"/>
      <c r="AJ1707" s="640"/>
      <c r="AK1707" s="182"/>
      <c r="AL1707" s="496"/>
      <c r="AM1707" s="496"/>
      <c r="AN1707" s="626"/>
      <c r="AO1707" s="182"/>
      <c r="AP1707" s="182"/>
      <c r="AQ1707" s="332"/>
      <c r="AR1707" s="182"/>
      <c r="AS1707" s="189"/>
      <c r="AT1707" s="189"/>
      <c r="AU1707" s="187"/>
      <c r="AV1707" s="190"/>
      <c r="AW1707" s="191"/>
      <c r="AX1707" s="549" t="s">
        <v>987</v>
      </c>
      <c r="AY1707" s="551" t="s">
        <v>5758</v>
      </c>
      <c r="AZ1707" s="551" t="s">
        <v>5759</v>
      </c>
      <c r="BA1707" s="549" t="s">
        <v>5760</v>
      </c>
      <c r="BB1707" s="551"/>
      <c r="BC1707" s="551"/>
      <c r="BD1707" s="549"/>
      <c r="BE1707" s="550"/>
      <c r="BF1707" s="549"/>
      <c r="BG1707" s="391">
        <f>SUM($AV$1389:AV1707)</f>
        <v>1371.4356768034372</v>
      </c>
      <c r="BH1707" s="392">
        <f>SUM($AU$1389:AU1707)</f>
        <v>22325.780000000188</v>
      </c>
      <c r="BI1707" s="318">
        <f>SUMIFS($AU$1388:AU1708,$Q$1388:Q1708,"F")</f>
        <v>15828.400000000001</v>
      </c>
      <c r="BJ1707" s="318">
        <f>SUMIFS($AU$1388:AU1708,$Q$1388:Q1708,"S")</f>
        <v>4607.9999999999927</v>
      </c>
      <c r="BK1707" s="343">
        <f>SUMIFS($AU$1388:AU1708,$P$1388:P1708,"W")</f>
        <v>16125.580000000136</v>
      </c>
      <c r="BL1707" s="343">
        <f>SUMIFS($AU$1388:AU1708,$P$1388:P1708,"R")</f>
        <v>5061.9999999999991</v>
      </c>
      <c r="BM1707" s="343">
        <f>SUMIFS($AU$1388:AU1708,$AQ$1388:AQ1708,"M")</f>
        <v>5522.1799999997365</v>
      </c>
      <c r="BN1707" s="343">
        <f>SUMIFS($AU$1388:AU1708,$AQ$1388:AQ1708,"H")</f>
        <v>3819.2000000004464</v>
      </c>
      <c r="BO1707" s="343">
        <f>SUMIFS($AU$1388:AU1708,$AQ$1388:AQ1708,"D")</f>
        <v>4706.0000000000009</v>
      </c>
      <c r="BP1707" s="343">
        <f>SUMIFS($AU$1388:AU1795,$AQ$1388:AQ1795,"W")</f>
        <v>12022.400000000001</v>
      </c>
      <c r="BQ1707" s="343">
        <f>SUMIFS($AU$1388:AU1708,$Q$1388:Q1708,"O")</f>
        <v>2089.3800000002011</v>
      </c>
      <c r="BR1707" s="343">
        <f>SUMIFS($AU$1388:AU1708,$AA$1388:AA1708,"*")</f>
        <v>19806.600000000075</v>
      </c>
      <c r="BS1707" s="343">
        <f>SUMIFS($AU$1388:AU1708,$AB$1388:AB1708,"*")</f>
        <v>6951.1799999999312</v>
      </c>
      <c r="BT1707" s="343">
        <f>SUMIFS($AU$1388:AU1708,$AC$1388:AC1708,"*")</f>
        <v>12708.4</v>
      </c>
      <c r="BU1707" s="343">
        <f>SUMIFS($AU$1388:AU1708,$AA$1388:AA1708,"*",$AB$1388:AB1708,"*")</f>
        <v>4415.9999999998217</v>
      </c>
      <c r="BV1707" s="343">
        <f>SUMIFS($AU$1388:AU1708,$AA$1388:AA1708,"*",$AC$1388:AC1708,"*")</f>
        <v>12244.4</v>
      </c>
      <c r="BW1707" s="343">
        <f>SUMIFS($AU$1388:AU1708,$AB$1388:AB1708,"*",$AC$1388:AC1708,"*")</f>
        <v>3279.9999999999982</v>
      </c>
      <c r="BX1707" s="343">
        <f>SUMIFS($AV$1388:AV1708,$Q$1388:Q1708,"F")</f>
        <v>321.54786430960348</v>
      </c>
      <c r="BY1707" s="343">
        <f>SUMIFS($AV$1388:AV1708,$Q$1388:Q1708,"S")</f>
        <v>322.34781249396258</v>
      </c>
      <c r="BZ1707" s="343">
        <f>SUMIFS($AV$1388:AV1708,$Q$1388:Q1708,"O")</f>
        <v>571.53999999986559</v>
      </c>
    </row>
    <row r="1708" spans="1:78" ht="15.75" customHeight="1">
      <c r="A1708" s="177" t="s">
        <v>5612</v>
      </c>
      <c r="B1708" s="200">
        <v>45373</v>
      </c>
      <c r="C1708" s="178" t="s">
        <v>5761</v>
      </c>
      <c r="D1708" s="178" t="s">
        <v>111</v>
      </c>
      <c r="E1708" s="227"/>
      <c r="F1708" s="180"/>
      <c r="G1708" s="481" t="s">
        <v>5762</v>
      </c>
      <c r="H1708" s="182"/>
      <c r="I1708" s="182"/>
      <c r="J1708" s="182"/>
      <c r="K1708" s="183"/>
      <c r="L1708" s="182">
        <v>1</v>
      </c>
      <c r="M1708" s="182"/>
      <c r="N1708" s="182"/>
      <c r="O1708" s="183" t="s">
        <v>2652</v>
      </c>
      <c r="P1708" s="183" t="s">
        <v>137</v>
      </c>
      <c r="Q1708" s="183"/>
      <c r="R1708" s="183">
        <v>1</v>
      </c>
      <c r="S1708" s="183">
        <v>0</v>
      </c>
      <c r="T1708" s="183">
        <v>1</v>
      </c>
      <c r="U1708" s="183" t="s">
        <v>22</v>
      </c>
      <c r="V1708" s="183"/>
      <c r="W1708" s="183"/>
      <c r="X1708" s="183"/>
      <c r="Y1708" s="184">
        <f>IF(ISBLANK(O1708),"",(IF(O1708=UPPER("IB"),0.005,0.01)))</f>
        <v>0.01</v>
      </c>
      <c r="Z1708" s="185">
        <f>IF(ISBLANK(O1708),"",IF(O1708="IB",8.63*200,IF(O1708="IR",16*100,IF(O1708="YT",20*100,IF(O1708="YT-XT",24*200,IF(O1708="TED",80*100))))))</f>
        <v>8000</v>
      </c>
      <c r="AA1708" s="185" t="s">
        <v>5763</v>
      </c>
      <c r="AB1708" s="185"/>
      <c r="AC1708" s="185"/>
      <c r="AD1708" s="649">
        <v>-0.01</v>
      </c>
      <c r="AE1708" s="182"/>
      <c r="AF1708" s="332"/>
      <c r="AG1708" s="182"/>
      <c r="AH1708" s="182"/>
      <c r="AI1708" s="182"/>
      <c r="AJ1708" s="640"/>
      <c r="AK1708" s="182"/>
      <c r="AL1708" s="496">
        <f t="shared" si="500"/>
        <v>-160</v>
      </c>
      <c r="AM1708" s="496">
        <f t="shared" ref="AM1708:AM1715" si="508">AL1708*(R1708-S1708)</f>
        <v>-160</v>
      </c>
      <c r="AN1708" s="626"/>
      <c r="AO1708" s="182"/>
      <c r="AP1708" s="182" t="s">
        <v>770</v>
      </c>
      <c r="AQ1708" s="332" t="s">
        <v>115</v>
      </c>
      <c r="AR1708" s="182" t="s">
        <v>5764</v>
      </c>
      <c r="AS1708" s="189">
        <v>0</v>
      </c>
      <c r="AT1708" s="189">
        <f>IF(ISBLANK(AS1708),,IF(U1708="S",AD1708-AS1708,AS1708-AD1708))</f>
        <v>0.01</v>
      </c>
      <c r="AU1708" s="187">
        <f>AV1708*R1708</f>
        <v>80</v>
      </c>
      <c r="AV1708" s="190">
        <f t="shared" ref="AV1708:AV1709" si="509">IF(ISBLANK(AS1708),,(AT1708*Z1708))</f>
        <v>80</v>
      </c>
      <c r="AW1708" s="191" t="s">
        <v>96</v>
      </c>
      <c r="AX1708" s="551" t="s">
        <v>1137</v>
      </c>
      <c r="AY1708" s="551" t="s">
        <v>5765</v>
      </c>
      <c r="AZ1708" s="551"/>
      <c r="BA1708" s="551"/>
      <c r="BB1708" s="551"/>
      <c r="BC1708" s="551"/>
      <c r="BD1708" s="549"/>
      <c r="BE1708" s="550"/>
      <c r="BF1708" s="549"/>
      <c r="BG1708" s="391">
        <f>SUM($AV$1389:AV1708)</f>
        <v>1451.4356768034372</v>
      </c>
      <c r="BH1708" s="392">
        <f>SUM($AU$1389:AU1708)</f>
        <v>22405.780000000188</v>
      </c>
      <c r="BI1708" s="318">
        <f>SUMIFS($AU$1388:AU1709,$Q$1388:Q1709,"F")</f>
        <v>15828.400000000001</v>
      </c>
      <c r="BJ1708" s="318">
        <f>SUMIFS($AU$1388:AU1709,$Q$1388:Q1709,"S")</f>
        <v>4607.9999999999927</v>
      </c>
      <c r="BK1708" s="343">
        <f>SUMIFS($AU$1388:AU1709,$P$1388:P1709,"W")</f>
        <v>16125.580000000136</v>
      </c>
      <c r="BL1708" s="343">
        <f>SUMIFS($AU$1388:AU1709,$P$1388:P1709,"R")</f>
        <v>5061.9999999999991</v>
      </c>
      <c r="BM1708" s="343">
        <f>SUMIFS($AU$1388:AU1709,$AQ$1388:AQ1709,"M")</f>
        <v>5261.1799999997265</v>
      </c>
      <c r="BN1708" s="343">
        <f>SUMIFS($AU$1388:AU1709,$AQ$1388:AQ1709,"H")</f>
        <v>3819.2000000004464</v>
      </c>
      <c r="BO1708" s="343">
        <f>SUMIFS($AU$1388:AU1709,$AQ$1388:AQ1709,"D")</f>
        <v>4706.0000000000009</v>
      </c>
      <c r="BP1708" s="343">
        <f>SUMIFS($AU$1388:AU1796,$AQ$1388:AQ1796,"W")</f>
        <v>12022.400000000001</v>
      </c>
      <c r="BQ1708" s="343">
        <f>SUMIFS($AU$1388:AU1709,$Q$1388:Q1709,"O")</f>
        <v>1828.3800000001911</v>
      </c>
      <c r="BR1708" s="343">
        <f>SUMIFS($AU$1388:AU1709,$AA$1388:AA1709,"*")</f>
        <v>19545.600000000064</v>
      </c>
      <c r="BS1708" s="343">
        <f>SUMIFS($AU$1388:AU1709,$AB$1388:AB1709,"*")</f>
        <v>6951.1799999999312</v>
      </c>
      <c r="BT1708" s="343">
        <f>SUMIFS($AU$1388:AU1709,$AC$1388:AC1709,"*")</f>
        <v>12708.4</v>
      </c>
      <c r="BU1708" s="343">
        <f>SUMIFS($AU$1388:AU1709,$AA$1388:AA1709,"*",$AB$1388:AB1709,"*")</f>
        <v>4415.9999999998217</v>
      </c>
      <c r="BV1708" s="343">
        <f>SUMIFS($AU$1388:AU1709,$AA$1388:AA1709,"*",$AC$1388:AC1709,"*")</f>
        <v>12244.4</v>
      </c>
      <c r="BW1708" s="343">
        <f>SUMIFS($AU$1388:AU1709,$AB$1388:AB1709,"*",$AC$1388:AC1709,"*")</f>
        <v>3279.9999999999982</v>
      </c>
      <c r="BX1708" s="343">
        <f>SUMIFS($AV$1388:AV1709,$Q$1388:Q1709,"F")</f>
        <v>321.54786430960348</v>
      </c>
      <c r="BY1708" s="343">
        <f>SUMIFS($AV$1388:AV1709,$Q$1388:Q1709,"S")</f>
        <v>322.34781249396258</v>
      </c>
      <c r="BZ1708" s="343">
        <f>SUMIFS($AV$1388:AV1709,$Q$1388:Q1709,"O")</f>
        <v>519.33999999986361</v>
      </c>
    </row>
    <row r="1709" spans="1:78" ht="15.75" customHeight="1">
      <c r="A1709" s="177" t="s">
        <v>5612</v>
      </c>
      <c r="B1709" s="200">
        <v>45373</v>
      </c>
      <c r="C1709" s="178" t="s">
        <v>5761</v>
      </c>
      <c r="D1709" s="178" t="s">
        <v>111</v>
      </c>
      <c r="E1709" s="227"/>
      <c r="F1709" s="180"/>
      <c r="G1709" s="181" t="s">
        <v>5723</v>
      </c>
      <c r="H1709" s="182"/>
      <c r="I1709" s="182"/>
      <c r="J1709" s="182"/>
      <c r="K1709" s="183"/>
      <c r="L1709" s="182">
        <v>2</v>
      </c>
      <c r="M1709" s="182"/>
      <c r="N1709" s="182"/>
      <c r="O1709" s="183" t="s">
        <v>3618</v>
      </c>
      <c r="P1709" s="183" t="s">
        <v>2260</v>
      </c>
      <c r="Q1709" s="183" t="s">
        <v>684</v>
      </c>
      <c r="R1709" s="183">
        <v>5</v>
      </c>
      <c r="S1709" s="183">
        <v>0</v>
      </c>
      <c r="T1709" s="183">
        <v>3</v>
      </c>
      <c r="U1709" s="183" t="s">
        <v>97</v>
      </c>
      <c r="V1709" s="183"/>
      <c r="W1709" s="183"/>
      <c r="X1709" s="183"/>
      <c r="Y1709" s="184">
        <f>IF(ISBLANK(O1709),"",(IF(O1709=UPPER("IB"),0.005,0.01)))</f>
        <v>0.01</v>
      </c>
      <c r="Z1709" s="185">
        <f>IF(ISBLANK(O1709),"",IF(O1709="IB",8.63*200,IF(O1709="IR",16*100,IF(O1709="YT",20*100,IF(O1709="YT-XT",24*200,IF(O1709="TED",80*100,IF(O1709="XT",29*200)))))))</f>
        <v>5800</v>
      </c>
      <c r="AA1709" s="185" t="s">
        <v>5766</v>
      </c>
      <c r="AB1709" s="185"/>
      <c r="AC1709" s="185"/>
      <c r="AD1709" s="649">
        <v>95.941000000000003</v>
      </c>
      <c r="AE1709" s="182"/>
      <c r="AF1709" s="332"/>
      <c r="AG1709" s="182"/>
      <c r="AH1709" s="182"/>
      <c r="AI1709" s="182"/>
      <c r="AJ1709" s="640"/>
      <c r="AK1709" s="182"/>
      <c r="AL1709" s="496">
        <f t="shared" si="500"/>
        <v>-116</v>
      </c>
      <c r="AM1709" s="496">
        <f t="shared" si="508"/>
        <v>-580</v>
      </c>
      <c r="AN1709" s="626"/>
      <c r="AO1709" s="182"/>
      <c r="AP1709" s="182" t="s">
        <v>5767</v>
      </c>
      <c r="AQ1709" s="332" t="s">
        <v>1259</v>
      </c>
      <c r="AR1709" s="182" t="s">
        <v>2093</v>
      </c>
      <c r="AS1709" s="189">
        <v>95.95</v>
      </c>
      <c r="AT1709" s="189">
        <f>IF(ISBLANK(AS1709),,IF(U1709="S",AD1709-AS1709,AS1709-AD1709))</f>
        <v>-9.0000000000003411E-3</v>
      </c>
      <c r="AU1709" s="187">
        <f>AV1709*R1709</f>
        <v>-261.00000000000989</v>
      </c>
      <c r="AV1709" s="190">
        <f t="shared" si="509"/>
        <v>-52.200000000001978</v>
      </c>
      <c r="AW1709" s="191" t="s">
        <v>229</v>
      </c>
      <c r="AX1709" s="551" t="s">
        <v>5768</v>
      </c>
      <c r="AY1709" s="551" t="s">
        <v>5769</v>
      </c>
      <c r="AZ1709" s="551" t="s">
        <v>5770</v>
      </c>
      <c r="BA1709" s="551" t="s">
        <v>5771</v>
      </c>
      <c r="BB1709" s="551" t="s">
        <v>5772</v>
      </c>
      <c r="BC1709" s="551"/>
      <c r="BD1709" s="549" t="s">
        <v>5773</v>
      </c>
      <c r="BE1709" s="550"/>
      <c r="BF1709" s="549"/>
      <c r="BG1709" s="391">
        <f>SUM($AV$1389:AV1709)</f>
        <v>1399.2356768034351</v>
      </c>
      <c r="BH1709" s="392">
        <f>SUM($AU$1389:AU1709)</f>
        <v>22144.780000000177</v>
      </c>
      <c r="BI1709" s="318">
        <f>SUMIFS($AU$1388:AU1710,$Q$1388:Q1710,"F")</f>
        <v>15828.400000000001</v>
      </c>
      <c r="BJ1709" s="318">
        <f>SUMIFS($AU$1388:AU1710,$Q$1388:Q1710,"S")</f>
        <v>4607.9999999999927</v>
      </c>
      <c r="BK1709" s="343">
        <f>SUMIFS($AU$1388:AU1710,$P$1388:P1710,"W")</f>
        <v>16125.580000000136</v>
      </c>
      <c r="BL1709" s="343">
        <f>SUMIFS($AU$1388:AU1710,$P$1388:P1710,"R")</f>
        <v>5061.9999999999991</v>
      </c>
      <c r="BM1709" s="343">
        <f>SUMIFS($AU$1388:AU1710,$AQ$1388:AQ1710,"M")</f>
        <v>5261.1799999997265</v>
      </c>
      <c r="BN1709" s="343">
        <f>SUMIFS($AU$1388:AU1710,$AQ$1388:AQ1710,"H")</f>
        <v>3819.2000000004464</v>
      </c>
      <c r="BO1709" s="343">
        <f>SUMIFS($AU$1388:AU1710,$AQ$1388:AQ1710,"D")</f>
        <v>4706.0000000000009</v>
      </c>
      <c r="BP1709" s="343">
        <f>SUMIFS($AU$1388:AU1797,$AQ$1388:AQ1797,"W")</f>
        <v>12022.400000000001</v>
      </c>
      <c r="BQ1709" s="343">
        <f>SUMIFS($AU$1388:AU1710,$Q$1388:Q1710,"O")</f>
        <v>1828.3800000001911</v>
      </c>
      <c r="BR1709" s="343">
        <f>SUMIFS($AU$1388:AU1710,$AA$1388:AA1710,"*")</f>
        <v>19545.600000000064</v>
      </c>
      <c r="BS1709" s="343">
        <f>SUMIFS($AU$1388:AU1710,$AB$1388:AB1710,"*")</f>
        <v>6951.1799999999312</v>
      </c>
      <c r="BT1709" s="343">
        <f>SUMIFS($AU$1388:AU1710,$AC$1388:AC1710,"*")</f>
        <v>12708.4</v>
      </c>
      <c r="BU1709" s="343">
        <f>SUMIFS($AU$1388:AU1710,$AA$1388:AA1710,"*",$AB$1388:AB1710,"*")</f>
        <v>4415.9999999998217</v>
      </c>
      <c r="BV1709" s="343">
        <f>SUMIFS($AU$1388:AU1710,$AA$1388:AA1710,"*",$AC$1388:AC1710,"*")</f>
        <v>12244.4</v>
      </c>
      <c r="BW1709" s="343">
        <f>SUMIFS($AU$1388:AU1710,$AB$1388:AB1710,"*",$AC$1388:AC1710,"*")</f>
        <v>3279.9999999999982</v>
      </c>
      <c r="BX1709" s="343">
        <f>SUMIFS($AV$1388:AV1710,$Q$1388:Q1710,"F")</f>
        <v>321.54786430960348</v>
      </c>
      <c r="BY1709" s="343">
        <f>SUMIFS($AV$1388:AV1710,$Q$1388:Q1710,"S")</f>
        <v>322.34781249396258</v>
      </c>
      <c r="BZ1709" s="343">
        <f>SUMIFS($AV$1388:AV1710,$Q$1388:Q1710,"O")</f>
        <v>519.33999999986361</v>
      </c>
    </row>
    <row r="1710" spans="1:78" ht="15.75" customHeight="1">
      <c r="A1710" s="177" t="s">
        <v>5612</v>
      </c>
      <c r="B1710" s="200"/>
      <c r="C1710" s="178"/>
      <c r="D1710" s="178"/>
      <c r="E1710" s="227"/>
      <c r="F1710" s="180"/>
      <c r="G1710" s="181"/>
      <c r="H1710" s="182"/>
      <c r="I1710" s="182"/>
      <c r="J1710" s="182"/>
      <c r="K1710" s="183"/>
      <c r="L1710" s="182"/>
      <c r="M1710" s="182"/>
      <c r="N1710" s="182"/>
      <c r="O1710" s="183"/>
      <c r="P1710" s="183"/>
      <c r="Q1710" s="183"/>
      <c r="R1710" s="183"/>
      <c r="S1710" s="183"/>
      <c r="T1710" s="183"/>
      <c r="U1710" s="183"/>
      <c r="V1710" s="183"/>
      <c r="W1710" s="183"/>
      <c r="X1710" s="183"/>
      <c r="Y1710" s="183"/>
      <c r="Z1710" s="183"/>
      <c r="AA1710" s="185"/>
      <c r="AB1710" s="185"/>
      <c r="AC1710" s="185"/>
      <c r="AD1710" s="649"/>
      <c r="AE1710" s="182"/>
      <c r="AF1710" s="332"/>
      <c r="AG1710" s="182"/>
      <c r="AH1710" s="182"/>
      <c r="AI1710" s="182"/>
      <c r="AJ1710" s="640"/>
      <c r="AK1710" s="182"/>
      <c r="AL1710" s="496">
        <f t="shared" ref="AL1710:AL1713" si="510">-0.02*Z1710</f>
        <v>0</v>
      </c>
      <c r="AM1710" s="496">
        <f t="shared" si="508"/>
        <v>0</v>
      </c>
      <c r="AN1710" s="626"/>
      <c r="AO1710" s="182"/>
      <c r="AP1710" s="182"/>
      <c r="AQ1710" s="332" t="str">
        <f>UPPER(RIGHT(Journal_Live[[#This Row],[DURATION ]]))</f>
        <v/>
      </c>
      <c r="AR1710" s="182"/>
      <c r="AS1710" s="189"/>
      <c r="AT1710" s="189"/>
      <c r="AU1710" s="187"/>
      <c r="AV1710" s="190"/>
      <c r="AW1710" s="191"/>
      <c r="AX1710" s="417" t="s">
        <v>5558</v>
      </c>
      <c r="AY1710" s="549" t="s">
        <v>5774</v>
      </c>
      <c r="AZ1710" s="549" t="s">
        <v>5775</v>
      </c>
      <c r="BA1710" s="549" t="s">
        <v>5776</v>
      </c>
      <c r="BB1710" s="551"/>
      <c r="BC1710" s="551"/>
      <c r="BD1710" s="549"/>
      <c r="BE1710" s="550"/>
      <c r="BF1710" s="549"/>
      <c r="BG1710" s="391">
        <f>SUM($AV$1389:AV1710)</f>
        <v>1399.2356768034351</v>
      </c>
      <c r="BH1710" s="392">
        <f>SUM($AU$1389:AU1710)</f>
        <v>22144.780000000177</v>
      </c>
      <c r="BI1710" s="318">
        <f>SUMIFS($AU$1388:AU1711,$Q$1388:Q1711,"F")</f>
        <v>15828.400000000001</v>
      </c>
      <c r="BJ1710" s="318">
        <f>SUMIFS($AU$1388:AU1711,$Q$1388:Q1711,"S")</f>
        <v>4607.9999999999927</v>
      </c>
      <c r="BK1710" s="343">
        <f>SUMIFS($AU$1388:AU1711,$P$1388:P1711,"W")</f>
        <v>16125.580000000136</v>
      </c>
      <c r="BL1710" s="343">
        <f>SUMIFS($AU$1388:AU1711,$P$1388:P1711,"R")</f>
        <v>5061.9999999999991</v>
      </c>
      <c r="BM1710" s="343">
        <f>SUMIFS($AU$1388:AU1711,$AQ$1388:AQ1711,"M")</f>
        <v>5261.1799999997265</v>
      </c>
      <c r="BN1710" s="343">
        <f>SUMIFS($AU$1388:AU1711,$AQ$1388:AQ1711,"H")</f>
        <v>3819.2000000004464</v>
      </c>
      <c r="BO1710" s="343">
        <f>SUMIFS($AU$1388:AU1711,$AQ$1388:AQ1711,"D")</f>
        <v>4706.0000000000009</v>
      </c>
      <c r="BP1710" s="343">
        <f>SUMIFS($AU$1388:AU1798,$AQ$1388:AQ1798,"W")</f>
        <v>12022.400000000001</v>
      </c>
      <c r="BQ1710" s="343">
        <f>SUMIFS($AU$1388:AU1711,$Q$1388:Q1711,"O")</f>
        <v>1828.3800000001911</v>
      </c>
      <c r="BR1710" s="343">
        <f>SUMIFS($AU$1388:AU1711,$AA$1388:AA1711,"*")</f>
        <v>19545.600000000064</v>
      </c>
      <c r="BS1710" s="343">
        <f>SUMIFS($AU$1388:AU1711,$AB$1388:AB1711,"*")</f>
        <v>6951.1799999999312</v>
      </c>
      <c r="BT1710" s="343">
        <f>SUMIFS($AU$1388:AU1711,$AC$1388:AC1711,"*")</f>
        <v>12708.4</v>
      </c>
      <c r="BU1710" s="343">
        <f>SUMIFS($AU$1388:AU1711,$AA$1388:AA1711,"*",$AB$1388:AB1711,"*")</f>
        <v>4415.9999999998217</v>
      </c>
      <c r="BV1710" s="343">
        <f>SUMIFS($AU$1388:AU1711,$AA$1388:AA1711,"*",$AC$1388:AC1711,"*")</f>
        <v>12244.4</v>
      </c>
      <c r="BW1710" s="343">
        <f>SUMIFS($AU$1388:AU1711,$AB$1388:AB1711,"*",$AC$1388:AC1711,"*")</f>
        <v>3279.9999999999982</v>
      </c>
      <c r="BX1710" s="343">
        <f>SUMIFS($AV$1388:AV1711,$Q$1388:Q1711,"F")</f>
        <v>321.54786430960348</v>
      </c>
      <c r="BY1710" s="343">
        <f>SUMIFS($AV$1388:AV1711,$Q$1388:Q1711,"S")</f>
        <v>322.34781249396258</v>
      </c>
      <c r="BZ1710" s="343">
        <f>SUMIFS($AV$1388:AV1711,$Q$1388:Q1711,"O")</f>
        <v>519.33999999986361</v>
      </c>
    </row>
    <row r="1711" spans="1:78" ht="15.75" customHeight="1">
      <c r="A1711" s="177" t="s">
        <v>5612</v>
      </c>
      <c r="B1711" s="200"/>
      <c r="C1711" s="178"/>
      <c r="D1711" s="178"/>
      <c r="E1711" s="227"/>
      <c r="F1711" s="180"/>
      <c r="G1711" s="181"/>
      <c r="H1711" s="182"/>
      <c r="I1711" s="182"/>
      <c r="J1711" s="182"/>
      <c r="K1711" s="183"/>
      <c r="L1711" s="182"/>
      <c r="M1711" s="182"/>
      <c r="N1711" s="182"/>
      <c r="O1711" s="183"/>
      <c r="P1711" s="183"/>
      <c r="Q1711" s="183"/>
      <c r="R1711" s="183"/>
      <c r="S1711" s="183"/>
      <c r="T1711" s="183"/>
      <c r="U1711" s="183"/>
      <c r="V1711" s="183"/>
      <c r="W1711" s="183"/>
      <c r="X1711" s="183"/>
      <c r="Y1711" s="183"/>
      <c r="Z1711" s="183"/>
      <c r="AA1711" s="185"/>
      <c r="AB1711" s="185"/>
      <c r="AC1711" s="185"/>
      <c r="AD1711" s="649"/>
      <c r="AE1711" s="182"/>
      <c r="AF1711" s="332"/>
      <c r="AG1711" s="182"/>
      <c r="AH1711" s="182"/>
      <c r="AI1711" s="182"/>
      <c r="AJ1711" s="640"/>
      <c r="AK1711" s="182"/>
      <c r="AL1711" s="496">
        <f t="shared" si="510"/>
        <v>0</v>
      </c>
      <c r="AM1711" s="496">
        <f t="shared" si="508"/>
        <v>0</v>
      </c>
      <c r="AN1711" s="626"/>
      <c r="AO1711" s="182"/>
      <c r="AP1711" s="182"/>
      <c r="AQ1711" s="332" t="str">
        <f>UPPER(RIGHT(Journal_Live[[#This Row],[DURATION ]]))</f>
        <v/>
      </c>
      <c r="AR1711" s="182"/>
      <c r="AS1711" s="189"/>
      <c r="AT1711" s="189"/>
      <c r="AU1711" s="187"/>
      <c r="AV1711" s="190"/>
      <c r="AW1711" s="191"/>
      <c r="AX1711" s="417" t="s">
        <v>5624</v>
      </c>
      <c r="AY1711" s="551" t="s">
        <v>5777</v>
      </c>
      <c r="AZ1711" s="551"/>
      <c r="BA1711" s="551"/>
      <c r="BB1711" s="551"/>
      <c r="BC1711" s="551"/>
      <c r="BD1711" s="549"/>
      <c r="BE1711" s="550"/>
      <c r="BF1711" s="549"/>
      <c r="BG1711" s="391">
        <f>SUM($AV$1389:AV1711)</f>
        <v>1399.2356768034351</v>
      </c>
      <c r="BH1711" s="392">
        <f>SUM($AU$1389:AU1711)</f>
        <v>22144.780000000177</v>
      </c>
      <c r="BI1711" s="318">
        <f>SUMIFS($AU$1388:AU1712,$Q$1388:Q1712,"F")</f>
        <v>15828.400000000001</v>
      </c>
      <c r="BJ1711" s="318">
        <f>SUMIFS($AU$1388:AU1712,$Q$1388:Q1712,"S")</f>
        <v>4607.9999999999927</v>
      </c>
      <c r="BK1711" s="343">
        <f>SUMIFS($AU$1388:AU1712,$P$1388:P1712,"W")</f>
        <v>16125.580000000136</v>
      </c>
      <c r="BL1711" s="343">
        <f>SUMIFS($AU$1388:AU1712,$P$1388:P1712,"R")</f>
        <v>5061.9999999999991</v>
      </c>
      <c r="BM1711" s="343">
        <f>SUMIFS($AU$1388:AU1712,$AQ$1388:AQ1712,"M")</f>
        <v>5261.1799999997265</v>
      </c>
      <c r="BN1711" s="343">
        <f>SUMIFS($AU$1388:AU1712,$AQ$1388:AQ1712,"H")</f>
        <v>3819.2000000004464</v>
      </c>
      <c r="BO1711" s="343">
        <f>SUMIFS($AU$1388:AU1712,$AQ$1388:AQ1712,"D")</f>
        <v>4706.0000000000009</v>
      </c>
      <c r="BP1711" s="343">
        <f>SUMIFS($AU$1388:AU1799,$AQ$1388:AQ1799,"W")</f>
        <v>12022.400000000001</v>
      </c>
      <c r="BQ1711" s="343">
        <f>SUMIFS($AU$1388:AU1712,$Q$1388:Q1712,"O")</f>
        <v>1828.3800000001911</v>
      </c>
      <c r="BR1711" s="343">
        <f>SUMIFS($AU$1388:AU1712,$AA$1388:AA1712,"*")</f>
        <v>19545.600000000064</v>
      </c>
      <c r="BS1711" s="343">
        <f>SUMIFS($AU$1388:AU1712,$AB$1388:AB1712,"*")</f>
        <v>6951.1799999999312</v>
      </c>
      <c r="BT1711" s="343">
        <f>SUMIFS($AU$1388:AU1712,$AC$1388:AC1712,"*")</f>
        <v>12708.4</v>
      </c>
      <c r="BU1711" s="343">
        <f>SUMIFS($AU$1388:AU1712,$AA$1388:AA1712,"*",$AB$1388:AB1712,"*")</f>
        <v>4415.9999999998217</v>
      </c>
      <c r="BV1711" s="343">
        <f>SUMIFS($AU$1388:AU1712,$AA$1388:AA1712,"*",$AC$1388:AC1712,"*")</f>
        <v>12244.4</v>
      </c>
      <c r="BW1711" s="343">
        <f>SUMIFS($AU$1388:AU1712,$AB$1388:AB1712,"*",$AC$1388:AC1712,"*")</f>
        <v>3279.9999999999982</v>
      </c>
      <c r="BX1711" s="343">
        <f>SUMIFS($AV$1388:AV1712,$Q$1388:Q1712,"F")</f>
        <v>321.54786430960348</v>
      </c>
      <c r="BY1711" s="343">
        <f>SUMIFS($AV$1388:AV1712,$Q$1388:Q1712,"S")</f>
        <v>322.34781249396258</v>
      </c>
      <c r="BZ1711" s="343">
        <f>SUMIFS($AV$1388:AV1712,$Q$1388:Q1712,"O")</f>
        <v>519.33999999986361</v>
      </c>
    </row>
    <row r="1712" spans="1:78" ht="15.75" customHeight="1">
      <c r="A1712" s="177" t="s">
        <v>5612</v>
      </c>
      <c r="B1712" s="200">
        <v>45373</v>
      </c>
      <c r="C1712" s="178" t="s">
        <v>5778</v>
      </c>
      <c r="D1712" s="178" t="s">
        <v>111</v>
      </c>
      <c r="E1712" s="227"/>
      <c r="F1712" s="180"/>
      <c r="G1712" s="181" t="s">
        <v>3467</v>
      </c>
      <c r="H1712" s="182"/>
      <c r="I1712" s="182"/>
      <c r="J1712" s="182"/>
      <c r="K1712" s="183"/>
      <c r="L1712" s="182"/>
      <c r="M1712" s="182"/>
      <c r="N1712" s="182"/>
      <c r="O1712" s="183"/>
      <c r="P1712" s="183"/>
      <c r="Q1712" s="183"/>
      <c r="R1712" s="183"/>
      <c r="S1712" s="183"/>
      <c r="T1712" s="183"/>
      <c r="U1712" s="183"/>
      <c r="V1712" s="183"/>
      <c r="W1712" s="183"/>
      <c r="X1712" s="183"/>
      <c r="Y1712" s="184"/>
      <c r="Z1712" s="185"/>
      <c r="AA1712" s="185"/>
      <c r="AB1712" s="185"/>
      <c r="AC1712" s="185"/>
      <c r="AD1712" s="649"/>
      <c r="AE1712" s="182"/>
      <c r="AF1712" s="332"/>
      <c r="AG1712" s="182"/>
      <c r="AH1712" s="182"/>
      <c r="AI1712" s="182"/>
      <c r="AJ1712" s="644" t="s">
        <v>5779</v>
      </c>
      <c r="AK1712" s="182"/>
      <c r="AL1712" s="496">
        <f>-0.025*Z1712</f>
        <v>0</v>
      </c>
      <c r="AM1712" s="496">
        <f t="shared" si="508"/>
        <v>0</v>
      </c>
      <c r="AN1712" s="626"/>
      <c r="AO1712" s="182"/>
      <c r="AP1712" s="182"/>
      <c r="AQ1712" s="332" t="str">
        <f>UPPER(RIGHT(Journal_Live[[#This Row],[DURATION ]]))</f>
        <v/>
      </c>
      <c r="AR1712" s="182"/>
      <c r="AS1712" s="189"/>
      <c r="AT1712" s="189"/>
      <c r="AU1712" s="187"/>
      <c r="AV1712" s="190"/>
      <c r="AW1712" s="191"/>
      <c r="AX1712" s="551"/>
      <c r="AY1712" s="551"/>
      <c r="AZ1712" s="551"/>
      <c r="BA1712" s="551"/>
      <c r="BB1712" s="551"/>
      <c r="BC1712" s="551"/>
      <c r="BD1712" s="549"/>
      <c r="BE1712" s="550"/>
      <c r="BF1712" s="549"/>
      <c r="BG1712" s="391">
        <f>SUM($AV$1389:AV1712)</f>
        <v>1399.2356768034351</v>
      </c>
      <c r="BH1712" s="392">
        <f>SUM($AU$1389:AU1712)</f>
        <v>22144.780000000177</v>
      </c>
      <c r="BI1712" s="318">
        <f>SUMIFS($AU$1388:AU1713,$Q$1388:Q1713,"F")</f>
        <v>15828.400000000001</v>
      </c>
      <c r="BJ1712" s="318">
        <f>SUMIFS($AU$1388:AU1713,$Q$1388:Q1713,"S")</f>
        <v>4607.9999999999927</v>
      </c>
      <c r="BK1712" s="343">
        <f>SUMIFS($AU$1388:AU1713,$P$1388:P1713,"W")</f>
        <v>16125.580000000136</v>
      </c>
      <c r="BL1712" s="343">
        <f>SUMIFS($AU$1388:AU1713,$P$1388:P1713,"R")</f>
        <v>5061.9999999999991</v>
      </c>
      <c r="BM1712" s="343">
        <f>SUMIFS($AU$1388:AU1713,$AQ$1388:AQ1713,"M")</f>
        <v>5261.1799999997265</v>
      </c>
      <c r="BN1712" s="343">
        <f>SUMIFS($AU$1388:AU1713,$AQ$1388:AQ1713,"H")</f>
        <v>3819.2000000004464</v>
      </c>
      <c r="BO1712" s="343">
        <f>SUMIFS($AU$1388:AU1713,$AQ$1388:AQ1713,"D")</f>
        <v>4706.0000000000009</v>
      </c>
      <c r="BP1712" s="343">
        <f>SUMIFS($AU$1388:AU1800,$AQ$1388:AQ1800,"W")</f>
        <v>12022.400000000001</v>
      </c>
      <c r="BQ1712" s="343">
        <f>SUMIFS($AU$1388:AU1713,$Q$1388:Q1713,"O")</f>
        <v>1828.3800000001911</v>
      </c>
      <c r="BR1712" s="343">
        <f>SUMIFS($AU$1388:AU1713,$AA$1388:AA1713,"*")</f>
        <v>19545.600000000064</v>
      </c>
      <c r="BS1712" s="343">
        <f>SUMIFS($AU$1388:AU1713,$AB$1388:AB1713,"*")</f>
        <v>6951.1799999999312</v>
      </c>
      <c r="BT1712" s="343">
        <f>SUMIFS($AU$1388:AU1713,$AC$1388:AC1713,"*")</f>
        <v>12708.4</v>
      </c>
      <c r="BU1712" s="343">
        <f>SUMIFS($AU$1388:AU1713,$AA$1388:AA1713,"*",$AB$1388:AB1713,"*")</f>
        <v>4415.9999999998217</v>
      </c>
      <c r="BV1712" s="343">
        <f>SUMIFS($AU$1388:AU1713,$AA$1388:AA1713,"*",$AC$1388:AC1713,"*")</f>
        <v>12244.4</v>
      </c>
      <c r="BW1712" s="343">
        <f>SUMIFS($AU$1388:AU1713,$AB$1388:AB1713,"*",$AC$1388:AC1713,"*")</f>
        <v>3279.9999999999982</v>
      </c>
      <c r="BX1712" s="343">
        <f>SUMIFS($AV$1388:AV1713,$Q$1388:Q1713,"F")</f>
        <v>321.54786430960348</v>
      </c>
      <c r="BY1712" s="343">
        <f>SUMIFS($AV$1388:AV1713,$Q$1388:Q1713,"S")</f>
        <v>322.34781249396258</v>
      </c>
      <c r="BZ1712" s="343">
        <f>SUMIFS($AV$1388:AV1713,$Q$1388:Q1713,"O")</f>
        <v>519.33999999986361</v>
      </c>
    </row>
    <row r="1713" spans="1:78" ht="15.75" customHeight="1">
      <c r="A1713" s="177" t="s">
        <v>5612</v>
      </c>
      <c r="B1713" s="200">
        <v>45373</v>
      </c>
      <c r="C1713" s="178" t="s">
        <v>5780</v>
      </c>
      <c r="D1713" s="178" t="s">
        <v>111</v>
      </c>
      <c r="E1713" s="227"/>
      <c r="F1713" s="180"/>
      <c r="G1713" s="181" t="s">
        <v>136</v>
      </c>
      <c r="H1713" s="182"/>
      <c r="I1713" s="182"/>
      <c r="J1713" s="182"/>
      <c r="K1713" s="183"/>
      <c r="L1713" s="182"/>
      <c r="M1713" s="182"/>
      <c r="N1713" s="182"/>
      <c r="O1713" s="183"/>
      <c r="P1713" s="183"/>
      <c r="Q1713" s="183"/>
      <c r="R1713" s="183"/>
      <c r="S1713" s="183"/>
      <c r="T1713" s="183"/>
      <c r="U1713" s="183"/>
      <c r="V1713" s="183"/>
      <c r="W1713" s="183"/>
      <c r="X1713" s="183"/>
      <c r="Y1713" s="183"/>
      <c r="Z1713" s="183"/>
      <c r="AA1713" s="185"/>
      <c r="AB1713" s="185"/>
      <c r="AC1713" s="185"/>
      <c r="AD1713" s="649"/>
      <c r="AE1713" s="182"/>
      <c r="AF1713" s="332"/>
      <c r="AG1713" s="182"/>
      <c r="AH1713" s="182"/>
      <c r="AI1713" s="182"/>
      <c r="AJ1713" s="640"/>
      <c r="AK1713" s="182"/>
      <c r="AL1713" s="496">
        <f t="shared" si="510"/>
        <v>0</v>
      </c>
      <c r="AM1713" s="496">
        <f t="shared" si="508"/>
        <v>0</v>
      </c>
      <c r="AN1713" s="626"/>
      <c r="AO1713" s="182"/>
      <c r="AP1713" s="182"/>
      <c r="AQ1713" s="332" t="str">
        <f>UPPER(RIGHT(Journal_Live[[#This Row],[DURATION ]]))</f>
        <v/>
      </c>
      <c r="AR1713" s="182"/>
      <c r="AS1713" s="189"/>
      <c r="AT1713" s="189"/>
      <c r="AU1713" s="187"/>
      <c r="AV1713" s="190"/>
      <c r="AW1713" s="191"/>
      <c r="AX1713" s="551"/>
      <c r="AY1713" s="551"/>
      <c r="AZ1713" s="551"/>
      <c r="BA1713" s="551"/>
      <c r="BB1713" s="551"/>
      <c r="BC1713" s="551"/>
      <c r="BD1713" s="549"/>
      <c r="BE1713" s="550"/>
      <c r="BF1713" s="549"/>
      <c r="BG1713" s="391">
        <f>SUM($AV$1389:AV1713)</f>
        <v>1399.2356768034351</v>
      </c>
      <c r="BH1713" s="392">
        <f>SUM($AU$1389:AU1713)</f>
        <v>22144.780000000177</v>
      </c>
      <c r="BI1713" s="318">
        <f>SUMIFS($AU$1388:AU1714,$Q$1388:Q1714,"F")</f>
        <v>15828.400000000001</v>
      </c>
      <c r="BJ1713" s="318">
        <f>SUMIFS($AU$1388:AU1714,$Q$1388:Q1714,"S")</f>
        <v>4607.9999999999927</v>
      </c>
      <c r="BK1713" s="343">
        <f>SUMIFS($AU$1388:AU1714,$P$1388:P1714,"W")</f>
        <v>16125.580000000136</v>
      </c>
      <c r="BL1713" s="343">
        <f>SUMIFS($AU$1388:AU1714,$P$1388:P1714,"R")</f>
        <v>5061.9999999999991</v>
      </c>
      <c r="BM1713" s="343">
        <f>SUMIFS($AU$1388:AU1714,$AQ$1388:AQ1714,"M")</f>
        <v>5261.1799999997265</v>
      </c>
      <c r="BN1713" s="343">
        <f>SUMIFS($AU$1388:AU1714,$AQ$1388:AQ1714,"H")</f>
        <v>3819.2000000004464</v>
      </c>
      <c r="BO1713" s="343">
        <f>SUMIFS($AU$1388:AU1714,$AQ$1388:AQ1714,"D")</f>
        <v>4706.0000000000009</v>
      </c>
      <c r="BP1713" s="343">
        <f>SUMIFS($AU$1388:AU1801,$AQ$1388:AQ1801,"W")</f>
        <v>12022.400000000001</v>
      </c>
      <c r="BQ1713" s="343">
        <f>SUMIFS($AU$1388:AU1714,$Q$1388:Q1714,"O")</f>
        <v>1828.3800000001911</v>
      </c>
      <c r="BR1713" s="343">
        <f>SUMIFS($AU$1388:AU1714,$AA$1388:AA1714,"*")</f>
        <v>19545.600000000064</v>
      </c>
      <c r="BS1713" s="343">
        <f>SUMIFS($AU$1388:AU1714,$AB$1388:AB1714,"*")</f>
        <v>6951.1799999999312</v>
      </c>
      <c r="BT1713" s="343">
        <f>SUMIFS($AU$1388:AU1714,$AC$1388:AC1714,"*")</f>
        <v>12708.4</v>
      </c>
      <c r="BU1713" s="343">
        <f>SUMIFS($AU$1388:AU1714,$AA$1388:AA1714,"*",$AB$1388:AB1714,"*")</f>
        <v>4415.9999999998217</v>
      </c>
      <c r="BV1713" s="343">
        <f>SUMIFS($AU$1388:AU1714,$AA$1388:AA1714,"*",$AC$1388:AC1714,"*")</f>
        <v>12244.4</v>
      </c>
      <c r="BW1713" s="343">
        <f>SUMIFS($AU$1388:AU1714,$AB$1388:AB1714,"*",$AC$1388:AC1714,"*")</f>
        <v>3279.9999999999982</v>
      </c>
      <c r="BX1713" s="343">
        <f>SUMIFS($AV$1388:AV1714,$Q$1388:Q1714,"F")</f>
        <v>321.54786430960348</v>
      </c>
      <c r="BY1713" s="343">
        <f>SUMIFS($AV$1388:AV1714,$Q$1388:Q1714,"S")</f>
        <v>322.34781249396258</v>
      </c>
      <c r="BZ1713" s="343">
        <f>SUMIFS($AV$1388:AV1714,$Q$1388:Q1714,"O")</f>
        <v>519.33999999986361</v>
      </c>
    </row>
    <row r="1714" spans="1:78" ht="15.75" customHeight="1">
      <c r="A1714" s="177" t="s">
        <v>5612</v>
      </c>
      <c r="B1714" s="200">
        <v>45373</v>
      </c>
      <c r="C1714" s="178" t="s">
        <v>2636</v>
      </c>
      <c r="D1714" s="178" t="s">
        <v>111</v>
      </c>
      <c r="E1714" s="227"/>
      <c r="F1714" s="180"/>
      <c r="G1714" s="181" t="s">
        <v>3772</v>
      </c>
      <c r="H1714" s="182"/>
      <c r="I1714" s="182"/>
      <c r="J1714" s="182"/>
      <c r="K1714" s="183"/>
      <c r="L1714" s="182"/>
      <c r="M1714" s="182"/>
      <c r="N1714" s="182"/>
      <c r="O1714" s="183"/>
      <c r="P1714" s="183"/>
      <c r="Q1714" s="183"/>
      <c r="R1714" s="183"/>
      <c r="S1714" s="183"/>
      <c r="T1714" s="183"/>
      <c r="U1714" s="183"/>
      <c r="V1714" s="183"/>
      <c r="W1714" s="183"/>
      <c r="X1714" s="183"/>
      <c r="Y1714" s="184"/>
      <c r="Z1714" s="185"/>
      <c r="AA1714" s="185"/>
      <c r="AB1714" s="185"/>
      <c r="AC1714" s="185"/>
      <c r="AD1714" s="649"/>
      <c r="AE1714" s="182"/>
      <c r="AF1714" s="332"/>
      <c r="AG1714" s="182"/>
      <c r="AH1714" s="182"/>
      <c r="AI1714" s="182" t="s">
        <v>5781</v>
      </c>
      <c r="AJ1714" s="640"/>
      <c r="AK1714" s="182"/>
      <c r="AL1714" s="496">
        <f>-0.03*Z1714</f>
        <v>0</v>
      </c>
      <c r="AM1714" s="496">
        <f t="shared" si="508"/>
        <v>0</v>
      </c>
      <c r="AN1714" s="626"/>
      <c r="AO1714" s="182"/>
      <c r="AP1714" s="182"/>
      <c r="AQ1714" s="332" t="str">
        <f>UPPER(RIGHT(Journal_Live[[#This Row],[DURATION ]]))</f>
        <v/>
      </c>
      <c r="AR1714" s="182"/>
      <c r="AS1714" s="189"/>
      <c r="AT1714" s="189">
        <f>IF(ISBLANK(AS1714),,IF(U1714="S",AD1714-AS1714,AS1714-AD1714))</f>
        <v>0</v>
      </c>
      <c r="AU1714" s="187">
        <f>AV1714*R1714</f>
        <v>0</v>
      </c>
      <c r="AV1714" s="190">
        <f t="shared" ref="AV1714:AV1721" si="511">IF(ISBLANK(AS1714),,(AT1714*Z1714))</f>
        <v>0</v>
      </c>
      <c r="AW1714" s="191"/>
      <c r="AX1714" s="551" t="s">
        <v>5782</v>
      </c>
      <c r="AY1714" s="551" t="s">
        <v>5783</v>
      </c>
      <c r="AZ1714" s="551" t="s">
        <v>5784</v>
      </c>
      <c r="BA1714" s="551"/>
      <c r="BB1714" s="551"/>
      <c r="BC1714" s="551"/>
      <c r="BD1714" s="549"/>
      <c r="BE1714" s="550"/>
      <c r="BF1714" s="549"/>
      <c r="BG1714" s="391">
        <f>SUM($AV$1389:AV1714)</f>
        <v>1399.2356768034351</v>
      </c>
      <c r="BH1714" s="392">
        <f>SUM($AU$1389:AU1714)</f>
        <v>22144.780000000177</v>
      </c>
      <c r="BI1714" s="318">
        <f>SUMIFS($AU$1388:AU1715,$Q$1388:Q1715,"F")</f>
        <v>15828.400000000001</v>
      </c>
      <c r="BJ1714" s="318">
        <f>SUMIFS($AU$1388:AU1715,$Q$1388:Q1715,"S")</f>
        <v>4607.9999999999927</v>
      </c>
      <c r="BK1714" s="343">
        <f>SUMIFS($AU$1388:AU1715,$P$1388:P1715,"W")</f>
        <v>16125.580000000136</v>
      </c>
      <c r="BL1714" s="343">
        <f>SUMIFS($AU$1388:AU1715,$P$1388:P1715,"R")</f>
        <v>5061.9999999999991</v>
      </c>
      <c r="BM1714" s="343">
        <f>SUMIFS($AU$1388:AU1715,$AQ$1388:AQ1715,"M")</f>
        <v>5261.1799999997265</v>
      </c>
      <c r="BN1714" s="343">
        <f>SUMIFS($AU$1388:AU1715,$AQ$1388:AQ1715,"H")</f>
        <v>3819.2000000004464</v>
      </c>
      <c r="BO1714" s="343">
        <f>SUMIFS($AU$1388:AU1715,$AQ$1388:AQ1715,"D")</f>
        <v>4706.0000000000009</v>
      </c>
      <c r="BP1714" s="343">
        <f>SUMIFS($AU$1388:AU1802,$AQ$1388:AQ1802,"W")</f>
        <v>12022.400000000001</v>
      </c>
      <c r="BQ1714" s="343">
        <f>SUMIFS($AU$1388:AU1715,$Q$1388:Q1715,"O")</f>
        <v>1828.3800000001911</v>
      </c>
      <c r="BR1714" s="343">
        <f>SUMIFS($AU$1388:AU1715,$AA$1388:AA1715,"*")</f>
        <v>19545.600000000064</v>
      </c>
      <c r="BS1714" s="343">
        <f>SUMIFS($AU$1388:AU1715,$AB$1388:AB1715,"*")</f>
        <v>6951.1799999999312</v>
      </c>
      <c r="BT1714" s="343">
        <f>SUMIFS($AU$1388:AU1715,$AC$1388:AC1715,"*")</f>
        <v>12708.4</v>
      </c>
      <c r="BU1714" s="343">
        <f>SUMIFS($AU$1388:AU1715,$AA$1388:AA1715,"*",$AB$1388:AB1715,"*")</f>
        <v>4415.9999999998217</v>
      </c>
      <c r="BV1714" s="343">
        <f>SUMIFS($AU$1388:AU1715,$AA$1388:AA1715,"*",$AC$1388:AC1715,"*")</f>
        <v>12244.4</v>
      </c>
      <c r="BW1714" s="343">
        <f>SUMIFS($AU$1388:AU1715,$AB$1388:AB1715,"*",$AC$1388:AC1715,"*")</f>
        <v>3279.9999999999982</v>
      </c>
      <c r="BX1714" s="343">
        <f>SUMIFS($AV$1388:AV1715,$Q$1388:Q1715,"F")</f>
        <v>321.54786430960348</v>
      </c>
      <c r="BY1714" s="343">
        <f>SUMIFS($AV$1388:AV1715,$Q$1388:Q1715,"S")</f>
        <v>322.34781249396258</v>
      </c>
      <c r="BZ1714" s="343">
        <f>SUMIFS($AV$1388:AV1715,$Q$1388:Q1715,"O")</f>
        <v>519.33999999986361</v>
      </c>
    </row>
    <row r="1715" spans="1:78" ht="15.75" customHeight="1">
      <c r="A1715" s="177" t="s">
        <v>5612</v>
      </c>
      <c r="B1715" s="200">
        <v>45376</v>
      </c>
      <c r="C1715" s="178" t="s">
        <v>3949</v>
      </c>
      <c r="D1715" s="178" t="s">
        <v>132</v>
      </c>
      <c r="E1715" s="227"/>
      <c r="F1715" s="180"/>
      <c r="G1715" s="181" t="s">
        <v>2070</v>
      </c>
      <c r="H1715" s="182"/>
      <c r="I1715" s="182"/>
      <c r="J1715" s="182"/>
      <c r="K1715" s="183"/>
      <c r="L1715" s="182"/>
      <c r="M1715" s="182"/>
      <c r="N1715" s="182"/>
      <c r="O1715" s="183"/>
      <c r="P1715" s="183"/>
      <c r="Q1715" s="183"/>
      <c r="R1715" s="183"/>
      <c r="S1715" s="183"/>
      <c r="T1715" s="183"/>
      <c r="U1715" s="183"/>
      <c r="V1715" s="183"/>
      <c r="W1715" s="183"/>
      <c r="X1715" s="183"/>
      <c r="Y1715" s="184"/>
      <c r="Z1715" s="185"/>
      <c r="AA1715" s="185"/>
      <c r="AB1715" s="185"/>
      <c r="AC1715" s="185"/>
      <c r="AD1715" s="649"/>
      <c r="AE1715" s="182"/>
      <c r="AF1715" s="332"/>
      <c r="AG1715" s="182"/>
      <c r="AH1715" s="182"/>
      <c r="AI1715" s="182"/>
      <c r="AJ1715" s="640"/>
      <c r="AK1715" s="182"/>
      <c r="AL1715" s="496">
        <f>-0.04*Z1715</f>
        <v>0</v>
      </c>
      <c r="AM1715" s="496">
        <f t="shared" si="508"/>
        <v>0</v>
      </c>
      <c r="AN1715" s="626"/>
      <c r="AO1715" s="182"/>
      <c r="AP1715" s="182"/>
      <c r="AQ1715" s="332" t="str">
        <f>UPPER(RIGHT(Journal_Live[[#This Row],[DURATION ]]))</f>
        <v/>
      </c>
      <c r="AR1715" s="182"/>
      <c r="AS1715" s="189"/>
      <c r="AT1715" s="189">
        <f>IF(ISBLANK(AS1715),,IF(U1715="S",AD1715-AS1715,AS1715-AD1715))</f>
        <v>0</v>
      </c>
      <c r="AU1715" s="187">
        <f>AV1715*R1715</f>
        <v>0</v>
      </c>
      <c r="AV1715" s="190">
        <f t="shared" si="511"/>
        <v>0</v>
      </c>
      <c r="AW1715" s="191"/>
      <c r="AX1715" s="417" t="s">
        <v>5558</v>
      </c>
      <c r="AY1715" s="549" t="s">
        <v>5785</v>
      </c>
      <c r="AZ1715" s="549" t="s">
        <v>5775</v>
      </c>
      <c r="BA1715" s="549" t="s">
        <v>5776</v>
      </c>
      <c r="BB1715" s="549"/>
      <c r="BC1715" s="549"/>
      <c r="BD1715" s="549"/>
      <c r="BE1715" s="550"/>
      <c r="BF1715" s="549"/>
      <c r="BG1715" s="391">
        <f>SUM($AV$1389:AV1715)</f>
        <v>1399.2356768034351</v>
      </c>
      <c r="BH1715" s="392">
        <f>SUM($AU$1389:AU1715)</f>
        <v>22144.780000000177</v>
      </c>
      <c r="BI1715" s="318">
        <f>SUMIFS($AU$1388:AU1716,$Q$1388:Q1716,"F")</f>
        <v>15828.400000000001</v>
      </c>
      <c r="BJ1715" s="318">
        <f>SUMIFS($AU$1388:AU1716,$Q$1388:Q1716,"S")</f>
        <v>4607.9999999999927</v>
      </c>
      <c r="BK1715" s="343">
        <f>SUMIFS($AU$1388:AU1716,$P$1388:P1716,"W")</f>
        <v>16125.580000000136</v>
      </c>
      <c r="BL1715" s="343">
        <f>SUMIFS($AU$1388:AU1716,$P$1388:P1716,"R")</f>
        <v>5061.9999999999991</v>
      </c>
      <c r="BM1715" s="343">
        <f>SUMIFS($AU$1388:AU1716,$AQ$1388:AQ1716,"M")</f>
        <v>5261.1799999997265</v>
      </c>
      <c r="BN1715" s="343">
        <f>SUMIFS($AU$1388:AU1716,$AQ$1388:AQ1716,"H")</f>
        <v>3819.2000000004464</v>
      </c>
      <c r="BO1715" s="343">
        <f>SUMIFS($AU$1388:AU1716,$AQ$1388:AQ1716,"D")</f>
        <v>4706.0000000000009</v>
      </c>
      <c r="BP1715" s="343">
        <f>SUMIFS($AU$1388:AU1803,$AQ$1388:AQ1803,"W")</f>
        <v>12022.400000000001</v>
      </c>
      <c r="BQ1715" s="343">
        <f>SUMIFS($AU$1388:AU1716,$Q$1388:Q1716,"O")</f>
        <v>1828.3800000001911</v>
      </c>
      <c r="BR1715" s="343">
        <f>SUMIFS($AU$1388:AU1716,$AA$1388:AA1716,"*")</f>
        <v>19545.600000000064</v>
      </c>
      <c r="BS1715" s="343">
        <f>SUMIFS($AU$1388:AU1716,$AB$1388:AB1716,"*")</f>
        <v>6951.1799999999312</v>
      </c>
      <c r="BT1715" s="343">
        <f>SUMIFS($AU$1388:AU1716,$AC$1388:AC1716,"*")</f>
        <v>12708.4</v>
      </c>
      <c r="BU1715" s="343">
        <f>SUMIFS($AU$1388:AU1716,$AA$1388:AA1716,"*",$AB$1388:AB1716,"*")</f>
        <v>4415.9999999998217</v>
      </c>
      <c r="BV1715" s="343">
        <f>SUMIFS($AU$1388:AU1716,$AA$1388:AA1716,"*",$AC$1388:AC1716,"*")</f>
        <v>12244.4</v>
      </c>
      <c r="BW1715" s="343">
        <f>SUMIFS($AU$1388:AU1716,$AB$1388:AB1716,"*",$AC$1388:AC1716,"*")</f>
        <v>3279.9999999999982</v>
      </c>
      <c r="BX1715" s="343">
        <f>SUMIFS($AV$1388:AV1716,$Q$1388:Q1716,"F")</f>
        <v>321.54786430960348</v>
      </c>
      <c r="BY1715" s="343">
        <f>SUMIFS($AV$1388:AV1716,$Q$1388:Q1716,"S")</f>
        <v>322.34781249396258</v>
      </c>
      <c r="BZ1715" s="343">
        <f>SUMIFS($AV$1388:AV1716,$Q$1388:Q1716,"O")</f>
        <v>519.33999999986361</v>
      </c>
    </row>
    <row r="1716" spans="1:78" ht="15.75" customHeight="1">
      <c r="A1716" s="177" t="s">
        <v>5612</v>
      </c>
      <c r="B1716" s="200"/>
      <c r="C1716" s="178"/>
      <c r="D1716" s="178"/>
      <c r="E1716" s="227"/>
      <c r="F1716" s="180"/>
      <c r="G1716" s="181"/>
      <c r="H1716" s="182"/>
      <c r="I1716" s="182"/>
      <c r="J1716" s="182"/>
      <c r="K1716" s="183"/>
      <c r="L1716" s="182"/>
      <c r="M1716" s="182"/>
      <c r="N1716" s="182"/>
      <c r="O1716" s="183"/>
      <c r="P1716" s="183"/>
      <c r="Q1716" s="183"/>
      <c r="R1716" s="183"/>
      <c r="S1716" s="183"/>
      <c r="T1716" s="183"/>
      <c r="U1716" s="183"/>
      <c r="V1716" s="183"/>
      <c r="W1716" s="183"/>
      <c r="X1716" s="183"/>
      <c r="Y1716" s="184"/>
      <c r="Z1716" s="185"/>
      <c r="AA1716" s="185"/>
      <c r="AB1716" s="185"/>
      <c r="AC1716" s="185"/>
      <c r="AD1716" s="649"/>
      <c r="AE1716" s="182"/>
      <c r="AF1716" s="332"/>
      <c r="AG1716" s="182"/>
      <c r="AH1716" s="182"/>
      <c r="AI1716" s="182"/>
      <c r="AJ1716" s="640"/>
      <c r="AK1716" s="182"/>
      <c r="AL1716" s="496"/>
      <c r="AM1716" s="496"/>
      <c r="AN1716" s="626"/>
      <c r="AO1716" s="182"/>
      <c r="AP1716" s="182"/>
      <c r="AQ1716" s="332"/>
      <c r="AR1716" s="182"/>
      <c r="AS1716" s="189"/>
      <c r="AT1716" s="189"/>
      <c r="AU1716" s="187"/>
      <c r="AV1716" s="190"/>
      <c r="AW1716" s="191"/>
      <c r="AX1716" s="154"/>
      <c r="AY1716" s="154"/>
      <c r="AZ1716" s="154"/>
      <c r="BA1716" s="154"/>
      <c r="BB1716" s="549"/>
      <c r="BC1716" s="557"/>
      <c r="BD1716" s="549"/>
      <c r="BE1716" s="550"/>
      <c r="BF1716" s="549"/>
      <c r="BG1716" s="391">
        <f>SUM($AV$1389:AV1716)</f>
        <v>1399.2356768034351</v>
      </c>
      <c r="BH1716" s="392">
        <f>SUM($AU$1389:AU1716)</f>
        <v>22144.780000000177</v>
      </c>
      <c r="BI1716" s="318">
        <f>SUMIFS($AU$1388:AU1717,$Q$1388:Q1717,"F")</f>
        <v>15828.400000000001</v>
      </c>
      <c r="BJ1716" s="318">
        <f>SUMIFS($AU$1388:AU1717,$Q$1388:Q1717,"S")</f>
        <v>4607.9999999999927</v>
      </c>
      <c r="BK1716" s="343">
        <f>SUMIFS($AU$1388:AU1717,$P$1388:P1717,"W")</f>
        <v>16125.580000000136</v>
      </c>
      <c r="BL1716" s="343">
        <f>SUMIFS($AU$1388:AU1717,$P$1388:P1717,"R")</f>
        <v>5061.9999999999991</v>
      </c>
      <c r="BM1716" s="343">
        <f>SUMIFS($AU$1388:AU1717,$AQ$1388:AQ1717,"M")</f>
        <v>5261.1799999997265</v>
      </c>
      <c r="BN1716" s="343">
        <f>SUMIFS($AU$1388:AU1717,$AQ$1388:AQ1717,"H")</f>
        <v>3819.2000000004464</v>
      </c>
      <c r="BO1716" s="343">
        <f>SUMIFS($AU$1388:AU1717,$AQ$1388:AQ1717,"D")</f>
        <v>4706.0000000000009</v>
      </c>
      <c r="BP1716" s="343">
        <f>SUMIFS($AU$1388:AU1804,$AQ$1388:AQ1804,"W")</f>
        <v>12022.400000000001</v>
      </c>
      <c r="BQ1716" s="343">
        <f>SUMIFS($AU$1388:AU1717,$Q$1388:Q1717,"O")</f>
        <v>1828.3800000001911</v>
      </c>
      <c r="BR1716" s="343">
        <f>SUMIFS($AU$1388:AU1717,$AA$1388:AA1717,"*")</f>
        <v>19545.600000000064</v>
      </c>
      <c r="BS1716" s="343">
        <f>SUMIFS($AU$1388:AU1717,$AB$1388:AB1717,"*")</f>
        <v>6951.1799999999312</v>
      </c>
      <c r="BT1716" s="343">
        <f>SUMIFS($AU$1388:AU1717,$AC$1388:AC1717,"*")</f>
        <v>12708.4</v>
      </c>
      <c r="BU1716" s="343">
        <f>SUMIFS($AU$1388:AU1717,$AA$1388:AA1717,"*",$AB$1388:AB1717,"*")</f>
        <v>4415.9999999998217</v>
      </c>
      <c r="BV1716" s="343">
        <f>SUMIFS($AU$1388:AU1717,$AA$1388:AA1717,"*",$AC$1388:AC1717,"*")</f>
        <v>12244.4</v>
      </c>
      <c r="BW1716" s="343">
        <f>SUMIFS($AU$1388:AU1717,$AB$1388:AB1717,"*",$AC$1388:AC1717,"*")</f>
        <v>3279.9999999999982</v>
      </c>
      <c r="BX1716" s="343">
        <f>SUMIFS($AV$1388:AV1717,$Q$1388:Q1717,"F")</f>
        <v>321.54786430960348</v>
      </c>
      <c r="BY1716" s="343">
        <f>SUMIFS($AV$1388:AV1717,$Q$1388:Q1717,"S")</f>
        <v>322.34781249396258</v>
      </c>
      <c r="BZ1716" s="343">
        <f>SUMIFS($AV$1388:AV1717,$Q$1388:Q1717,"O")</f>
        <v>519.33999999986361</v>
      </c>
    </row>
    <row r="1717" spans="1:78" ht="12.75" customHeight="1">
      <c r="A1717" s="177" t="s">
        <v>5612</v>
      </c>
      <c r="B1717" s="200"/>
      <c r="C1717" s="178"/>
      <c r="D1717" s="178"/>
      <c r="E1717" s="227"/>
      <c r="F1717" s="180"/>
      <c r="G1717" s="181"/>
      <c r="H1717" s="182"/>
      <c r="I1717" s="182"/>
      <c r="J1717" s="182"/>
      <c r="K1717" s="183"/>
      <c r="L1717" s="182"/>
      <c r="M1717" s="182"/>
      <c r="N1717" s="182"/>
      <c r="O1717" s="183"/>
      <c r="P1717" s="183"/>
      <c r="Q1717" s="183"/>
      <c r="R1717" s="183"/>
      <c r="S1717" s="183"/>
      <c r="T1717" s="183"/>
      <c r="U1717" s="183"/>
      <c r="V1717" s="183"/>
      <c r="W1717" s="183"/>
      <c r="X1717" s="183"/>
      <c r="Y1717" s="183"/>
      <c r="Z1717" s="183"/>
      <c r="AA1717" s="185"/>
      <c r="AB1717" s="185"/>
      <c r="AC1717" s="185"/>
      <c r="AD1717" s="649"/>
      <c r="AE1717" s="182"/>
      <c r="AF1717" s="332"/>
      <c r="AG1717" s="182"/>
      <c r="AH1717" s="182"/>
      <c r="AI1717" s="182"/>
      <c r="AJ1717" s="640"/>
      <c r="AK1717" s="182"/>
      <c r="AL1717" s="496">
        <f t="shared" si="487"/>
        <v>0</v>
      </c>
      <c r="AM1717" s="496">
        <f t="shared" ref="AM1717:AM1737" si="512">AL1717*(R1717-S1717)</f>
        <v>0</v>
      </c>
      <c r="AN1717" s="626"/>
      <c r="AO1717" s="182"/>
      <c r="AP1717" s="182"/>
      <c r="AQ1717" s="332" t="str">
        <f>UPPER(RIGHT(Journal_Live[[#This Row],[DURATION ]]))</f>
        <v/>
      </c>
      <c r="AR1717" s="182"/>
      <c r="AS1717" s="189"/>
      <c r="AT1717" s="189"/>
      <c r="AU1717" s="187"/>
      <c r="AV1717" s="190"/>
      <c r="AW1717" s="191"/>
      <c r="AX1717" s="556"/>
      <c r="AY1717" s="551" t="s">
        <v>5786</v>
      </c>
      <c r="AZ1717" s="551"/>
      <c r="BA1717" s="551"/>
      <c r="BB1717" s="551"/>
      <c r="BC1717" s="551"/>
      <c r="BD1717" s="549"/>
      <c r="BE1717" s="550"/>
      <c r="BF1717" s="549"/>
      <c r="BG1717" s="391">
        <f>SUM($AV$1389:AV1717)</f>
        <v>1399.2356768034351</v>
      </c>
      <c r="BH1717" s="392">
        <f>SUM($AU$1389:AU1717)</f>
        <v>22144.780000000177</v>
      </c>
      <c r="BI1717" s="318">
        <f>SUMIFS($AU$1388:AU1718,$Q$1388:Q1718,"F")</f>
        <v>15828.400000000001</v>
      </c>
      <c r="BJ1717" s="318">
        <f>SUMIFS($AU$1388:AU1718,$Q$1388:Q1718,"S")</f>
        <v>4607.9999999999927</v>
      </c>
      <c r="BK1717" s="343">
        <f>SUMIFS($AU$1388:AU1718,$P$1388:P1718,"W")</f>
        <v>16125.580000000136</v>
      </c>
      <c r="BL1717" s="343">
        <f>SUMIFS($AU$1388:AU1718,$P$1388:P1718,"R")</f>
        <v>5061.9999999999991</v>
      </c>
      <c r="BM1717" s="343">
        <f>SUMIFS($AU$1388:AU1718,$AQ$1388:AQ1718,"M")</f>
        <v>5261.1799999997265</v>
      </c>
      <c r="BN1717" s="343">
        <f>SUMIFS($AU$1388:AU1718,$AQ$1388:AQ1718,"H")</f>
        <v>3819.2000000004464</v>
      </c>
      <c r="BO1717" s="343">
        <f>SUMIFS($AU$1388:AU1718,$AQ$1388:AQ1718,"D")</f>
        <v>4706.0000000000009</v>
      </c>
      <c r="BP1717" s="343">
        <f>SUMIFS($AU$1388:AU1805,$AQ$1388:AQ1805,"W")</f>
        <v>12022.400000000001</v>
      </c>
      <c r="BQ1717" s="343">
        <f>SUMIFS($AU$1388:AU1718,$Q$1388:Q1718,"O")</f>
        <v>1828.3800000001911</v>
      </c>
      <c r="BR1717" s="343">
        <f>SUMIFS($AU$1388:AU1718,$AA$1388:AA1718,"*")</f>
        <v>19545.600000000064</v>
      </c>
      <c r="BS1717" s="343">
        <f>SUMIFS($AU$1388:AU1718,$AB$1388:AB1718,"*")</f>
        <v>6951.1799999999312</v>
      </c>
      <c r="BT1717" s="343">
        <f>SUMIFS($AU$1388:AU1718,$AC$1388:AC1718,"*")</f>
        <v>12708.4</v>
      </c>
      <c r="BU1717" s="343">
        <f>SUMIFS($AU$1388:AU1718,$AA$1388:AA1718,"*",$AB$1388:AB1718,"*")</f>
        <v>4415.9999999998217</v>
      </c>
      <c r="BV1717" s="343">
        <f>SUMIFS($AU$1388:AU1718,$AA$1388:AA1718,"*",$AC$1388:AC1718,"*")</f>
        <v>12244.4</v>
      </c>
      <c r="BW1717" s="343">
        <f>SUMIFS($AU$1388:AU1718,$AB$1388:AB1718,"*",$AC$1388:AC1718,"*")</f>
        <v>3279.9999999999982</v>
      </c>
      <c r="BX1717" s="343">
        <f>SUMIFS($AV$1388:AV1718,$Q$1388:Q1718,"F")</f>
        <v>321.54786430960348</v>
      </c>
      <c r="BY1717" s="343">
        <f>SUMIFS($AV$1388:AV1718,$Q$1388:Q1718,"S")</f>
        <v>322.34781249396258</v>
      </c>
      <c r="BZ1717" s="343">
        <f>SUMIFS($AV$1388:AV1718,$Q$1388:Q1718,"O")</f>
        <v>519.33999999986361</v>
      </c>
    </row>
    <row r="1718" spans="1:78" ht="15.75" customHeight="1">
      <c r="A1718" s="177" t="s">
        <v>5612</v>
      </c>
      <c r="B1718" s="200"/>
      <c r="C1718" s="178"/>
      <c r="D1718" s="178"/>
      <c r="E1718" s="227"/>
      <c r="F1718" s="180"/>
      <c r="G1718" s="181"/>
      <c r="H1718" s="182"/>
      <c r="I1718" s="182"/>
      <c r="J1718" s="182"/>
      <c r="K1718" s="183"/>
      <c r="L1718" s="182"/>
      <c r="M1718" s="182"/>
      <c r="N1718" s="182"/>
      <c r="O1718" s="183"/>
      <c r="P1718" s="183"/>
      <c r="Q1718" s="183"/>
      <c r="R1718" s="183"/>
      <c r="S1718" s="183"/>
      <c r="T1718" s="183"/>
      <c r="U1718" s="183"/>
      <c r="V1718" s="183"/>
      <c r="W1718" s="183"/>
      <c r="X1718" s="183"/>
      <c r="Y1718" s="183"/>
      <c r="Z1718" s="183"/>
      <c r="AA1718" s="185"/>
      <c r="AB1718" s="185"/>
      <c r="AC1718" s="185"/>
      <c r="AD1718" s="649"/>
      <c r="AE1718" s="182"/>
      <c r="AF1718" s="332"/>
      <c r="AG1718" s="182"/>
      <c r="AH1718" s="182"/>
      <c r="AI1718" s="182"/>
      <c r="AJ1718" s="640"/>
      <c r="AK1718" s="182"/>
      <c r="AL1718" s="496">
        <f t="shared" si="487"/>
        <v>0</v>
      </c>
      <c r="AM1718" s="496">
        <f t="shared" si="512"/>
        <v>0</v>
      </c>
      <c r="AN1718" s="626"/>
      <c r="AO1718" s="182"/>
      <c r="AP1718" s="182"/>
      <c r="AQ1718" s="332" t="str">
        <f>UPPER(RIGHT(Journal_Live[[#This Row],[DURATION ]]))</f>
        <v/>
      </c>
      <c r="AR1718" s="182"/>
      <c r="AS1718" s="189"/>
      <c r="AT1718" s="189"/>
      <c r="AU1718" s="187"/>
      <c r="AV1718" s="190"/>
      <c r="AW1718" s="191"/>
      <c r="AX1718" s="551" t="s">
        <v>5787</v>
      </c>
      <c r="AY1718" s="551"/>
      <c r="AZ1718" s="551"/>
      <c r="BA1718" s="551"/>
      <c r="BB1718" s="551"/>
      <c r="BC1718" s="551"/>
      <c r="BD1718" s="549"/>
      <c r="BE1718" s="550"/>
      <c r="BF1718" s="549"/>
      <c r="BG1718" s="391">
        <f>SUM($AV$1389:AV1718)</f>
        <v>1399.2356768034351</v>
      </c>
      <c r="BH1718" s="392">
        <f>SUM($AU$1389:AU1718)</f>
        <v>22144.780000000177</v>
      </c>
      <c r="BI1718" s="318">
        <f>SUMIFS($AU$1388:AU1719,$Q$1388:Q1719,"F")</f>
        <v>15828.400000000001</v>
      </c>
      <c r="BJ1718" s="318">
        <f>SUMIFS($AU$1388:AU1719,$Q$1388:Q1719,"S")</f>
        <v>4607.9999999999927</v>
      </c>
      <c r="BK1718" s="343">
        <f>SUMIFS($AU$1388:AU1719,$P$1388:P1719,"W")</f>
        <v>16125.580000000136</v>
      </c>
      <c r="BL1718" s="343">
        <f>SUMIFS($AU$1388:AU1719,$P$1388:P1719,"R")</f>
        <v>5061.9999999999991</v>
      </c>
      <c r="BM1718" s="343">
        <f>SUMIFS($AU$1388:AU1719,$AQ$1388:AQ1719,"M")</f>
        <v>5261.1799999997265</v>
      </c>
      <c r="BN1718" s="343">
        <f>SUMIFS($AU$1388:AU1719,$AQ$1388:AQ1719,"H")</f>
        <v>3819.2000000004464</v>
      </c>
      <c r="BO1718" s="343">
        <f>SUMIFS($AU$1388:AU1719,$AQ$1388:AQ1719,"D")</f>
        <v>4706.0000000000009</v>
      </c>
      <c r="BP1718" s="343">
        <f>SUMIFS($AU$1388:AU1806,$AQ$1388:AQ1806,"W")</f>
        <v>12022.400000000001</v>
      </c>
      <c r="BQ1718" s="343">
        <f>SUMIFS($AU$1388:AU1719,$Q$1388:Q1719,"O")</f>
        <v>1828.3800000001911</v>
      </c>
      <c r="BR1718" s="343">
        <f>SUMIFS($AU$1388:AU1719,$AA$1388:AA1719,"*")</f>
        <v>19545.600000000064</v>
      </c>
      <c r="BS1718" s="343">
        <f>SUMIFS($AU$1388:AU1719,$AB$1388:AB1719,"*")</f>
        <v>6951.1799999999312</v>
      </c>
      <c r="BT1718" s="343">
        <f>SUMIFS($AU$1388:AU1719,$AC$1388:AC1719,"*")</f>
        <v>12708.4</v>
      </c>
      <c r="BU1718" s="343">
        <f>SUMIFS($AU$1388:AU1719,$AA$1388:AA1719,"*",$AB$1388:AB1719,"*")</f>
        <v>4415.9999999998217</v>
      </c>
      <c r="BV1718" s="343">
        <f>SUMIFS($AU$1388:AU1719,$AA$1388:AA1719,"*",$AC$1388:AC1719,"*")</f>
        <v>12244.4</v>
      </c>
      <c r="BW1718" s="343">
        <f>SUMIFS($AU$1388:AU1719,$AB$1388:AB1719,"*",$AC$1388:AC1719,"*")</f>
        <v>3279.9999999999982</v>
      </c>
      <c r="BX1718" s="343">
        <f>SUMIFS($AV$1388:AV1719,$Q$1388:Q1719,"F")</f>
        <v>321.54786430960348</v>
      </c>
      <c r="BY1718" s="343">
        <f>SUMIFS($AV$1388:AV1719,$Q$1388:Q1719,"S")</f>
        <v>322.34781249396258</v>
      </c>
      <c r="BZ1718" s="343">
        <f>SUMIFS($AV$1388:AV1719,$Q$1388:Q1719,"O")</f>
        <v>519.33999999986361</v>
      </c>
    </row>
    <row r="1719" spans="1:78" ht="15.75" customHeight="1">
      <c r="A1719" s="177" t="s">
        <v>5612</v>
      </c>
      <c r="B1719" s="200">
        <v>45376</v>
      </c>
      <c r="C1719" s="178" t="s">
        <v>196</v>
      </c>
      <c r="D1719" s="178" t="s">
        <v>132</v>
      </c>
      <c r="E1719" s="227"/>
      <c r="F1719" s="180"/>
      <c r="G1719" s="181" t="s">
        <v>4147</v>
      </c>
      <c r="H1719" s="182"/>
      <c r="I1719" s="182"/>
      <c r="J1719" s="182"/>
      <c r="K1719" s="183"/>
      <c r="L1719" s="182"/>
      <c r="M1719" s="182"/>
      <c r="N1719" s="182"/>
      <c r="O1719" s="183"/>
      <c r="P1719" s="183"/>
      <c r="Q1719" s="183"/>
      <c r="R1719" s="183"/>
      <c r="S1719" s="183"/>
      <c r="T1719" s="183"/>
      <c r="U1719" s="183"/>
      <c r="V1719" s="183"/>
      <c r="W1719" s="183"/>
      <c r="X1719" s="183"/>
      <c r="Y1719" s="184"/>
      <c r="Z1719" s="185"/>
      <c r="AA1719" s="185"/>
      <c r="AB1719" s="185"/>
      <c r="AC1719" s="185"/>
      <c r="AD1719" s="649"/>
      <c r="AE1719" s="182"/>
      <c r="AF1719" s="332"/>
      <c r="AG1719" s="182"/>
      <c r="AH1719" s="182"/>
      <c r="AI1719" s="182"/>
      <c r="AJ1719" s="640"/>
      <c r="AK1719" s="182"/>
      <c r="AL1719" s="496">
        <f>-0.02*Z1719</f>
        <v>0</v>
      </c>
      <c r="AM1719" s="496">
        <f t="shared" si="512"/>
        <v>0</v>
      </c>
      <c r="AN1719" s="626"/>
      <c r="AO1719" s="182"/>
      <c r="AP1719" s="182"/>
      <c r="AQ1719" s="332" t="str">
        <f>UPPER(RIGHT(Journal_Live[[#This Row],[DURATION ]]))</f>
        <v/>
      </c>
      <c r="AR1719" s="182"/>
      <c r="AS1719" s="189"/>
      <c r="AT1719" s="189">
        <f t="shared" ref="AT1719:AT1727" si="513">IF(ISBLANK(AS1719),,IF(U1719="S",AD1719-AS1719,AS1719-AD1719))</f>
        <v>0</v>
      </c>
      <c r="AU1719" s="187">
        <f t="shared" ref="AU1719:AU1727" si="514">AV1719*R1719</f>
        <v>0</v>
      </c>
      <c r="AV1719" s="190">
        <f t="shared" si="511"/>
        <v>0</v>
      </c>
      <c r="AW1719" s="191"/>
      <c r="AX1719" s="551"/>
      <c r="AY1719" s="551"/>
      <c r="AZ1719" s="551"/>
      <c r="BA1719" s="551"/>
      <c r="BB1719" s="551"/>
      <c r="BC1719" s="551"/>
      <c r="BD1719" s="549"/>
      <c r="BE1719" s="550"/>
      <c r="BF1719" s="549"/>
      <c r="BG1719" s="391">
        <f>SUM($AV$1389:AV1719)</f>
        <v>1399.2356768034351</v>
      </c>
      <c r="BH1719" s="392">
        <f>SUM($AU$1389:AU1719)</f>
        <v>22144.780000000177</v>
      </c>
      <c r="BI1719" s="318">
        <f>SUMIFS($AU$1388:AU1720,$Q$1388:Q1720,"F")</f>
        <v>15828.400000000001</v>
      </c>
      <c r="BJ1719" s="318">
        <f>SUMIFS($AU$1388:AU1720,$Q$1388:Q1720,"S")</f>
        <v>5007.9999999999909</v>
      </c>
      <c r="BK1719" s="343">
        <f>SUMIFS($AU$1388:AU1720,$P$1388:P1720,"W")</f>
        <v>16525.580000000136</v>
      </c>
      <c r="BL1719" s="343">
        <f>SUMIFS($AU$1388:AU1720,$P$1388:P1720,"R")</f>
        <v>5061.9999999999991</v>
      </c>
      <c r="BM1719" s="343">
        <f>SUMIFS($AU$1388:AU1720,$AQ$1388:AQ1720,"M")</f>
        <v>5261.1799999997265</v>
      </c>
      <c r="BN1719" s="343">
        <f>SUMIFS($AU$1388:AU1720,$AQ$1388:AQ1720,"H")</f>
        <v>4219.2000000004446</v>
      </c>
      <c r="BO1719" s="343">
        <f>SUMIFS($AU$1388:AU1720,$AQ$1388:AQ1720,"D")</f>
        <v>4706.0000000000009</v>
      </c>
      <c r="BP1719" s="343">
        <f>SUMIFS($AU$1388:AU1807,$AQ$1388:AQ1807,"W")</f>
        <v>12022.400000000001</v>
      </c>
      <c r="BQ1719" s="343">
        <f>SUMIFS($AU$1388:AU1720,$Q$1388:Q1720,"O")</f>
        <v>1828.3800000001911</v>
      </c>
      <c r="BR1719" s="343">
        <f>SUMIFS($AU$1388:AU1720,$AA$1388:AA1720,"*")</f>
        <v>19545.600000000064</v>
      </c>
      <c r="BS1719" s="343">
        <f>SUMIFS($AU$1388:AU1720,$AB$1388:AB1720,"*")</f>
        <v>6951.1799999999312</v>
      </c>
      <c r="BT1719" s="343">
        <f>SUMIFS($AU$1388:AU1720,$AC$1388:AC1720,"*")</f>
        <v>12708.4</v>
      </c>
      <c r="BU1719" s="343">
        <f>SUMIFS($AU$1388:AU1720,$AA$1388:AA1720,"*",$AB$1388:AB1720,"*")</f>
        <v>4415.9999999998217</v>
      </c>
      <c r="BV1719" s="343">
        <f>SUMIFS($AU$1388:AU1720,$AA$1388:AA1720,"*",$AC$1388:AC1720,"*")</f>
        <v>12244.4</v>
      </c>
      <c r="BW1719" s="343">
        <f>SUMIFS($AU$1388:AU1720,$AB$1388:AB1720,"*",$AC$1388:AC1720,"*")</f>
        <v>3279.9999999999982</v>
      </c>
      <c r="BX1719" s="343">
        <f>SUMIFS($AV$1388:AV1720,$Q$1388:Q1720,"F")</f>
        <v>321.54786430960348</v>
      </c>
      <c r="BY1719" s="343">
        <f>SUMIFS($AV$1388:AV1720,$Q$1388:Q1720,"S")</f>
        <v>341.39543154158156</v>
      </c>
      <c r="BZ1719" s="343">
        <f>SUMIFS($AV$1388:AV1720,$Q$1388:Q1720,"O")</f>
        <v>519.33999999986361</v>
      </c>
    </row>
    <row r="1720" spans="1:78" ht="15.75" customHeight="1">
      <c r="A1720" s="177" t="s">
        <v>5612</v>
      </c>
      <c r="B1720" s="200">
        <v>45376</v>
      </c>
      <c r="C1720" s="178" t="s">
        <v>5788</v>
      </c>
      <c r="D1720" s="178" t="s">
        <v>132</v>
      </c>
      <c r="E1720" s="227"/>
      <c r="F1720" s="180"/>
      <c r="G1720" s="481" t="s">
        <v>3990</v>
      </c>
      <c r="H1720" s="182"/>
      <c r="I1720" s="182"/>
      <c r="J1720" s="182"/>
      <c r="K1720" s="183"/>
      <c r="L1720" s="182">
        <v>1</v>
      </c>
      <c r="M1720" s="182"/>
      <c r="N1720" s="182"/>
      <c r="O1720" s="183" t="s">
        <v>95</v>
      </c>
      <c r="P1720" s="183" t="s">
        <v>96</v>
      </c>
      <c r="Q1720" s="183" t="s">
        <v>97</v>
      </c>
      <c r="R1720" s="183">
        <v>21</v>
      </c>
      <c r="S1720" s="183">
        <v>21</v>
      </c>
      <c r="T1720" s="183">
        <v>21</v>
      </c>
      <c r="U1720" s="183" t="s">
        <v>22</v>
      </c>
      <c r="V1720" s="183"/>
      <c r="W1720" s="183"/>
      <c r="X1720" s="183"/>
      <c r="Y1720" s="184">
        <f t="shared" ref="Y1720:Y1727" si="515">IF(ISBLANK(O1720),"",(IF(O1720=UPPER("IB"),0.005,0.01)))</f>
        <v>0.01</v>
      </c>
      <c r="Z1720" s="185">
        <f>IF(ISBLANK(O1720),"",IF(O1720="IB",8.63*200,IF(O1720="IR",16*100,IF(O1720="YT",20*100,IF(O1720="YT-XT",24*200,IF(O1720="TED",80*100,IF(O1720="XT",29*200)))))))</f>
        <v>1600</v>
      </c>
      <c r="AA1720" s="185">
        <v>20</v>
      </c>
      <c r="AB1720" s="185"/>
      <c r="AC1720" s="185"/>
      <c r="AD1720" s="649">
        <v>-0.28999999999999998</v>
      </c>
      <c r="AE1720" s="182"/>
      <c r="AF1720" s="332"/>
      <c r="AG1720" s="182"/>
      <c r="AH1720" s="182" t="s">
        <v>5789</v>
      </c>
      <c r="AI1720" s="182"/>
      <c r="AJ1720" s="640" t="s">
        <v>5790</v>
      </c>
      <c r="AK1720" s="182"/>
      <c r="AL1720" s="496">
        <f t="shared" ref="AL1720:AL1724" si="516">-0.02*Z1720</f>
        <v>-32</v>
      </c>
      <c r="AM1720" s="496">
        <f t="shared" si="512"/>
        <v>0</v>
      </c>
      <c r="AN1720" s="626"/>
      <c r="AO1720" s="182"/>
      <c r="AP1720" s="182"/>
      <c r="AQ1720" s="332" t="s">
        <v>372</v>
      </c>
      <c r="AR1720" s="182" t="s">
        <v>5791</v>
      </c>
      <c r="AS1720" s="189">
        <f>((-0.28*17)+(-0.27*4))/21</f>
        <v>-0.27809523809523812</v>
      </c>
      <c r="AT1720" s="189">
        <f t="shared" si="513"/>
        <v>1.1904761904761862E-2</v>
      </c>
      <c r="AU1720" s="187">
        <f t="shared" si="514"/>
        <v>399.99999999999858</v>
      </c>
      <c r="AV1720" s="190">
        <f t="shared" si="511"/>
        <v>19.04761904761898</v>
      </c>
      <c r="AW1720" s="191" t="s">
        <v>96</v>
      </c>
      <c r="AX1720" s="551" t="s">
        <v>1137</v>
      </c>
      <c r="AY1720" s="551"/>
      <c r="AZ1720" s="551"/>
      <c r="BA1720" s="551"/>
      <c r="BB1720" s="551"/>
      <c r="BC1720" s="551"/>
      <c r="BD1720" s="549"/>
      <c r="BE1720" s="550"/>
      <c r="BF1720" s="549"/>
      <c r="BG1720" s="391">
        <f>SUM($AV$1389:AV1720)</f>
        <v>1418.2832958510542</v>
      </c>
      <c r="BH1720" s="392">
        <f>SUM($AU$1389:AU1720)</f>
        <v>22544.780000000177</v>
      </c>
      <c r="BI1720" s="318">
        <f>SUMIFS($AU$1388:AU1721,$Q$1388:Q1721,"F")</f>
        <v>15828.400000000001</v>
      </c>
      <c r="BJ1720" s="318">
        <f>SUMIFS($AU$1388:AU1721,$Q$1388:Q1721,"S")</f>
        <v>5007.9999999999909</v>
      </c>
      <c r="BK1720" s="343">
        <f>SUMIFS($AU$1388:AU1721,$P$1388:P1721,"W")</f>
        <v>16525.580000000136</v>
      </c>
      <c r="BL1720" s="343">
        <f>SUMIFS($AU$1388:AU1721,$P$1388:P1721,"R")</f>
        <v>5061.9999999999991</v>
      </c>
      <c r="BM1720" s="343">
        <f>SUMIFS($AU$1388:AU1721,$AQ$1388:AQ1721,"M")</f>
        <v>5261.1799999997265</v>
      </c>
      <c r="BN1720" s="343">
        <f>SUMIFS($AU$1388:AU1721,$AQ$1388:AQ1721,"H")</f>
        <v>4219.2000000004446</v>
      </c>
      <c r="BO1720" s="343">
        <f>SUMIFS($AU$1388:AU1721,$AQ$1388:AQ1721,"D")</f>
        <v>4706.0000000000009</v>
      </c>
      <c r="BP1720" s="343">
        <f>SUMIFS($AU$1388:AU1808,$AQ$1388:AQ1808,"W")</f>
        <v>12022.400000000001</v>
      </c>
      <c r="BQ1720" s="343">
        <f>SUMIFS($AU$1388:AU1721,$Q$1388:Q1721,"O")</f>
        <v>1828.3800000001911</v>
      </c>
      <c r="BR1720" s="343">
        <f>SUMIFS($AU$1388:AU1721,$AA$1388:AA1721,"*")</f>
        <v>19545.600000000064</v>
      </c>
      <c r="BS1720" s="343">
        <f>SUMIFS($AU$1388:AU1721,$AB$1388:AB1721,"*")</f>
        <v>6951.1799999999312</v>
      </c>
      <c r="BT1720" s="343">
        <f>SUMIFS($AU$1388:AU1721,$AC$1388:AC1721,"*")</f>
        <v>12708.4</v>
      </c>
      <c r="BU1720" s="343">
        <f>SUMIFS($AU$1388:AU1721,$AA$1388:AA1721,"*",$AB$1388:AB1721,"*")</f>
        <v>4415.9999999998217</v>
      </c>
      <c r="BV1720" s="343">
        <f>SUMIFS($AU$1388:AU1721,$AA$1388:AA1721,"*",$AC$1388:AC1721,"*")</f>
        <v>12244.4</v>
      </c>
      <c r="BW1720" s="343">
        <f>SUMIFS($AU$1388:AU1721,$AB$1388:AB1721,"*",$AC$1388:AC1721,"*")</f>
        <v>3279.9999999999982</v>
      </c>
      <c r="BX1720" s="343">
        <f>SUMIFS($AV$1388:AV1721,$Q$1388:Q1721,"F")</f>
        <v>321.54786430960348</v>
      </c>
      <c r="BY1720" s="343">
        <f>SUMIFS($AV$1388:AV1721,$Q$1388:Q1721,"S")</f>
        <v>341.39543154158156</v>
      </c>
      <c r="BZ1720" s="343">
        <f>SUMIFS($AV$1388:AV1721,$Q$1388:Q1721,"O")</f>
        <v>519.33999999986361</v>
      </c>
    </row>
    <row r="1721" spans="1:78" ht="15.75" customHeight="1">
      <c r="A1721" s="177" t="s">
        <v>5612</v>
      </c>
      <c r="B1721" s="200">
        <v>45376</v>
      </c>
      <c r="C1721" s="178" t="s">
        <v>1290</v>
      </c>
      <c r="D1721" s="178" t="s">
        <v>132</v>
      </c>
      <c r="E1721" s="227"/>
      <c r="F1721" s="180"/>
      <c r="G1721" s="489" t="s">
        <v>5792</v>
      </c>
      <c r="H1721" s="182"/>
      <c r="I1721" s="182"/>
      <c r="J1721" s="182"/>
      <c r="K1721" s="183"/>
      <c r="L1721" s="182">
        <v>1</v>
      </c>
      <c r="M1721" s="182"/>
      <c r="N1721" s="182"/>
      <c r="O1721" s="183" t="s">
        <v>2652</v>
      </c>
      <c r="P1721" s="183" t="s">
        <v>137</v>
      </c>
      <c r="Q1721" s="183"/>
      <c r="R1721" s="183">
        <v>2</v>
      </c>
      <c r="S1721" s="183">
        <v>0</v>
      </c>
      <c r="T1721" s="183">
        <v>2</v>
      </c>
      <c r="U1721" s="183" t="s">
        <v>97</v>
      </c>
      <c r="V1721" s="183"/>
      <c r="W1721" s="183"/>
      <c r="X1721" s="183"/>
      <c r="Y1721" s="184">
        <f t="shared" si="515"/>
        <v>0.01</v>
      </c>
      <c r="Z1721" s="185">
        <f>IF(ISBLANK(O1721),"",IF(O1721="IB",8.63*200,IF(O1721="IR",16*100,IF(O1721="YT",20*100,IF(O1721="YT-XT",24*200,IF(O1721="TED",80*100))))))</f>
        <v>8000</v>
      </c>
      <c r="AA1721" s="185" t="s">
        <v>1824</v>
      </c>
      <c r="AB1721" s="185"/>
      <c r="AC1721" s="185"/>
      <c r="AD1721" s="649">
        <v>0.01</v>
      </c>
      <c r="AE1721" s="182"/>
      <c r="AF1721" s="332"/>
      <c r="AG1721" s="182"/>
      <c r="AH1721" s="182"/>
      <c r="AI1721" s="182"/>
      <c r="AJ1721" s="640"/>
      <c r="AK1721" s="182"/>
      <c r="AL1721" s="496">
        <f t="shared" si="516"/>
        <v>-160</v>
      </c>
      <c r="AM1721" s="496">
        <f t="shared" si="512"/>
        <v>-320</v>
      </c>
      <c r="AN1721" s="626"/>
      <c r="AO1721" s="182"/>
      <c r="AP1721" s="182" t="s">
        <v>1261</v>
      </c>
      <c r="AQ1721" s="332" t="s">
        <v>115</v>
      </c>
      <c r="AR1721" s="182" t="s">
        <v>5793</v>
      </c>
      <c r="AS1721" s="189">
        <v>0.01</v>
      </c>
      <c r="AT1721" s="189">
        <f t="shared" si="513"/>
        <v>0</v>
      </c>
      <c r="AU1721" s="187">
        <f t="shared" si="514"/>
        <v>0</v>
      </c>
      <c r="AV1721" s="190">
        <f t="shared" si="511"/>
        <v>0</v>
      </c>
      <c r="AW1721" s="191" t="s">
        <v>115</v>
      </c>
      <c r="AX1721" s="551" t="s">
        <v>5794</v>
      </c>
      <c r="AY1721" s="551" t="s">
        <v>3808</v>
      </c>
      <c r="AZ1721" s="551" t="s">
        <v>5795</v>
      </c>
      <c r="BA1721" s="551" t="s">
        <v>5796</v>
      </c>
      <c r="BB1721" s="551"/>
      <c r="BC1721" s="551"/>
      <c r="BD1721" s="551" t="s">
        <v>5797</v>
      </c>
      <c r="BE1721" s="551" t="s">
        <v>5796</v>
      </c>
      <c r="BF1721" s="549"/>
      <c r="BG1721" s="391">
        <f>SUM($AV$1389:AV1721)</f>
        <v>1418.2832958510542</v>
      </c>
      <c r="BH1721" s="392">
        <f>SUM($AU$1389:AU1721)</f>
        <v>22544.780000000177</v>
      </c>
      <c r="BI1721" s="318">
        <f>SUMIFS($AU$1388:AU1722,$Q$1388:Q1722,"F")</f>
        <v>15828.400000000001</v>
      </c>
      <c r="BJ1721" s="318">
        <f>SUMIFS($AU$1388:AU1722,$Q$1388:Q1722,"S")</f>
        <v>5727.9999999999909</v>
      </c>
      <c r="BK1721" s="343">
        <f>SUMIFS($AU$1388:AU1722,$P$1388:P1722,"W")</f>
        <v>17245.580000000136</v>
      </c>
      <c r="BL1721" s="343">
        <f>SUMIFS($AU$1388:AU1722,$P$1388:P1722,"R")</f>
        <v>5061.9999999999991</v>
      </c>
      <c r="BM1721" s="343">
        <f>SUMIFS($AU$1388:AU1722,$AQ$1388:AQ1722,"M")</f>
        <v>5261.1799999997265</v>
      </c>
      <c r="BN1721" s="343">
        <f>SUMIFS($AU$1388:AU1722,$AQ$1388:AQ1722,"H")</f>
        <v>4219.2000000004446</v>
      </c>
      <c r="BO1721" s="343">
        <f>SUMIFS($AU$1388:AU1722,$AQ$1388:AQ1722,"D")</f>
        <v>5426.0000000000009</v>
      </c>
      <c r="BP1721" s="343">
        <f>SUMIFS($AU$1388:AU1809,$AQ$1388:AQ1809,"W")</f>
        <v>12022.400000000001</v>
      </c>
      <c r="BQ1721" s="343">
        <f>SUMIFS($AU$1388:AU1722,$Q$1388:Q1722,"O")</f>
        <v>1828.3800000001911</v>
      </c>
      <c r="BR1721" s="343">
        <f>SUMIFS($AU$1388:AU1722,$AA$1388:AA1722,"*")</f>
        <v>20265.600000000064</v>
      </c>
      <c r="BS1721" s="343">
        <f>SUMIFS($AU$1388:AU1722,$AB$1388:AB1722,"*")</f>
        <v>6951.1799999999312</v>
      </c>
      <c r="BT1721" s="343">
        <f>SUMIFS($AU$1388:AU1722,$AC$1388:AC1722,"*")</f>
        <v>12708.4</v>
      </c>
      <c r="BU1721" s="343">
        <f>SUMIFS($AU$1388:AU1722,$AA$1388:AA1722,"*",$AB$1388:AB1722,"*")</f>
        <v>4415.9999999998217</v>
      </c>
      <c r="BV1721" s="343">
        <f>SUMIFS($AU$1388:AU1722,$AA$1388:AA1722,"*",$AC$1388:AC1722,"*")</f>
        <v>12244.4</v>
      </c>
      <c r="BW1721" s="343">
        <f>SUMIFS($AU$1388:AU1722,$AB$1388:AB1722,"*",$AC$1388:AC1722,"*")</f>
        <v>3279.9999999999982</v>
      </c>
      <c r="BX1721" s="343">
        <f>SUMIFS($AV$1388:AV1722,$Q$1388:Q1722,"F")</f>
        <v>321.54786430960348</v>
      </c>
      <c r="BY1721" s="343">
        <f>SUMIFS($AV$1388:AV1722,$Q$1388:Q1722,"S")</f>
        <v>367.10971725586728</v>
      </c>
      <c r="BZ1721" s="343">
        <f>SUMIFS($AV$1388:AV1722,$Q$1388:Q1722,"O")</f>
        <v>519.33999999986361</v>
      </c>
    </row>
    <row r="1722" spans="1:78" ht="15.75" customHeight="1">
      <c r="A1722" s="177" t="s">
        <v>5612</v>
      </c>
      <c r="B1722" s="200">
        <v>45377</v>
      </c>
      <c r="C1722" s="178" t="s">
        <v>3788</v>
      </c>
      <c r="D1722" s="178" t="s">
        <v>146</v>
      </c>
      <c r="E1722" s="227"/>
      <c r="F1722" s="180"/>
      <c r="G1722" s="481" t="s">
        <v>3990</v>
      </c>
      <c r="H1722" s="182"/>
      <c r="I1722" s="182"/>
      <c r="J1722" s="182"/>
      <c r="K1722" s="183"/>
      <c r="L1722" s="182">
        <v>1</v>
      </c>
      <c r="M1722" s="182"/>
      <c r="N1722" s="182"/>
      <c r="O1722" s="183" t="s">
        <v>95</v>
      </c>
      <c r="P1722" s="183" t="s">
        <v>96</v>
      </c>
      <c r="Q1722" s="183" t="s">
        <v>97</v>
      </c>
      <c r="R1722" s="183">
        <v>28</v>
      </c>
      <c r="S1722" s="183">
        <v>4</v>
      </c>
      <c r="T1722" s="183">
        <v>28</v>
      </c>
      <c r="U1722" s="183" t="s">
        <v>22</v>
      </c>
      <c r="V1722" s="183"/>
      <c r="W1722" s="183"/>
      <c r="X1722" s="183"/>
      <c r="Y1722" s="184">
        <f t="shared" si="515"/>
        <v>0.01</v>
      </c>
      <c r="Z1722" s="185">
        <f>IF(ISBLANK(O1722),"",IF(O1722="IB",8.63*200,IF(O1722="IR",16*100,IF(O1722="YT",20*100,IF(O1722="YT-XT",24*200,IF(O1722="TED",80*100,IF(O1722="XT",29*200)))))))</f>
        <v>1600</v>
      </c>
      <c r="AA1722" s="185" t="s">
        <v>5798</v>
      </c>
      <c r="AB1722" s="185"/>
      <c r="AC1722" s="185"/>
      <c r="AD1722" s="649">
        <f>((-0.29*21)+(-0.28*7))/28</f>
        <v>-0.28750000000000003</v>
      </c>
      <c r="AE1722" s="182"/>
      <c r="AF1722" s="332"/>
      <c r="AG1722" s="182"/>
      <c r="AH1722" s="182"/>
      <c r="AI1722" s="182"/>
      <c r="AJ1722" s="640"/>
      <c r="AK1722" s="182"/>
      <c r="AL1722" s="496">
        <f t="shared" ref="AL1722:AL1723" si="517">-0.02*Z1722</f>
        <v>-32</v>
      </c>
      <c r="AM1722" s="496">
        <f t="shared" si="512"/>
        <v>-768</v>
      </c>
      <c r="AN1722" s="626"/>
      <c r="AO1722" s="182"/>
      <c r="AP1722" s="182" t="s">
        <v>804</v>
      </c>
      <c r="AQ1722" s="332" t="s">
        <v>115</v>
      </c>
      <c r="AR1722" s="182" t="s">
        <v>5799</v>
      </c>
      <c r="AS1722" s="189">
        <f>((-0.28*4)+(-0.27*24))/28</f>
        <v>-0.27142857142857146</v>
      </c>
      <c r="AT1722" s="189">
        <f t="shared" si="513"/>
        <v>1.607142857142857E-2</v>
      </c>
      <c r="AU1722" s="187">
        <f t="shared" si="514"/>
        <v>719.99999999999989</v>
      </c>
      <c r="AV1722" s="190">
        <f t="shared" ref="AV1722" si="518">IF(ISBLANK(AS1722),,(AT1722*Z1722))</f>
        <v>25.714285714285712</v>
      </c>
      <c r="AW1722" s="191" t="s">
        <v>96</v>
      </c>
      <c r="AX1722" s="551"/>
      <c r="AY1722" s="551"/>
      <c r="AZ1722" s="551"/>
      <c r="BA1722" s="551"/>
      <c r="BB1722" s="551"/>
      <c r="BC1722" s="551"/>
      <c r="BD1722" s="549"/>
      <c r="BE1722" s="550"/>
      <c r="BF1722" s="549"/>
      <c r="BG1722" s="391">
        <f>SUM($AV$1389:AV1722)</f>
        <v>1443.9975815653399</v>
      </c>
      <c r="BH1722" s="392">
        <f>SUM($AU$1389:AU1722)</f>
        <v>23264.780000000177</v>
      </c>
      <c r="BI1722" s="318">
        <f>SUMIFS($AU$1388:AU1723,$Q$1388:Q1723,"F")</f>
        <v>15828.400000000001</v>
      </c>
      <c r="BJ1722" s="318">
        <f>SUMIFS($AU$1388:AU1723,$Q$1388:Q1723,"S")</f>
        <v>5727.9999999999909</v>
      </c>
      <c r="BK1722" s="343">
        <f>SUMIFS($AU$1388:AU1723,$P$1388:P1723,"W")</f>
        <v>17245.580000000136</v>
      </c>
      <c r="BL1722" s="343">
        <f>SUMIFS($AU$1388:AU1723,$P$1388:P1723,"R")</f>
        <v>5141.9999999999991</v>
      </c>
      <c r="BM1722" s="343">
        <f>SUMIFS($AU$1388:AU1723,$AQ$1388:AQ1723,"M")</f>
        <v>5261.1799999997265</v>
      </c>
      <c r="BN1722" s="343">
        <f>SUMIFS($AU$1388:AU1723,$AQ$1388:AQ1723,"H")</f>
        <v>4299.2000000004446</v>
      </c>
      <c r="BO1722" s="343">
        <f>SUMIFS($AU$1388:AU1723,$AQ$1388:AQ1723,"D")</f>
        <v>5426.0000000000009</v>
      </c>
      <c r="BP1722" s="343">
        <f>SUMIFS($AU$1388:AU1810,$AQ$1388:AQ1810,"W")</f>
        <v>12022.400000000001</v>
      </c>
      <c r="BQ1722" s="343">
        <f>SUMIFS($AU$1388:AU1723,$Q$1388:Q1723,"O")</f>
        <v>1828.3800000001911</v>
      </c>
      <c r="BR1722" s="343">
        <f>SUMIFS($AU$1388:AU1723,$AA$1388:AA1723,"*")</f>
        <v>20345.600000000064</v>
      </c>
      <c r="BS1722" s="343">
        <f>SUMIFS($AU$1388:AU1723,$AB$1388:AB1723,"*")</f>
        <v>6951.1799999999312</v>
      </c>
      <c r="BT1722" s="343">
        <f>SUMIFS($AU$1388:AU1723,$AC$1388:AC1723,"*")</f>
        <v>12708.4</v>
      </c>
      <c r="BU1722" s="343">
        <f>SUMIFS($AU$1388:AU1723,$AA$1388:AA1723,"*",$AB$1388:AB1723,"*")</f>
        <v>4415.9999999998217</v>
      </c>
      <c r="BV1722" s="343">
        <f>SUMIFS($AU$1388:AU1723,$AA$1388:AA1723,"*",$AC$1388:AC1723,"*")</f>
        <v>12244.4</v>
      </c>
      <c r="BW1722" s="343">
        <f>SUMIFS($AU$1388:AU1723,$AB$1388:AB1723,"*",$AC$1388:AC1723,"*")</f>
        <v>3279.9999999999982</v>
      </c>
      <c r="BX1722" s="343">
        <f>SUMIFS($AV$1388:AV1723,$Q$1388:Q1723,"F")</f>
        <v>321.54786430960348</v>
      </c>
      <c r="BY1722" s="343">
        <f>SUMIFS($AV$1388:AV1723,$Q$1388:Q1723,"S")</f>
        <v>367.10971725586728</v>
      </c>
      <c r="BZ1722" s="343">
        <f>SUMIFS($AV$1388:AV1723,$Q$1388:Q1723,"O")</f>
        <v>519.33999999986361</v>
      </c>
    </row>
    <row r="1723" spans="1:78" ht="15.75" customHeight="1">
      <c r="A1723" s="177" t="s">
        <v>5612</v>
      </c>
      <c r="B1723" s="200">
        <v>45377</v>
      </c>
      <c r="C1723" s="178" t="s">
        <v>764</v>
      </c>
      <c r="D1723" s="178" t="s">
        <v>146</v>
      </c>
      <c r="E1723" s="227"/>
      <c r="F1723" s="180"/>
      <c r="G1723" s="481" t="s">
        <v>5800</v>
      </c>
      <c r="H1723" s="182"/>
      <c r="I1723" s="182"/>
      <c r="J1723" s="182"/>
      <c r="K1723" s="183"/>
      <c r="L1723" s="182">
        <v>1</v>
      </c>
      <c r="M1723" s="182"/>
      <c r="N1723" s="182"/>
      <c r="O1723" s="183" t="s">
        <v>2652</v>
      </c>
      <c r="P1723" s="183" t="s">
        <v>137</v>
      </c>
      <c r="Q1723" s="183"/>
      <c r="R1723" s="183">
        <v>1</v>
      </c>
      <c r="S1723" s="183">
        <v>0</v>
      </c>
      <c r="T1723" s="183">
        <v>1</v>
      </c>
      <c r="U1723" s="183" t="s">
        <v>97</v>
      </c>
      <c r="V1723" s="183"/>
      <c r="W1723" s="183"/>
      <c r="X1723" s="183"/>
      <c r="Y1723" s="184">
        <f t="shared" si="515"/>
        <v>0.01</v>
      </c>
      <c r="Z1723" s="185">
        <f>IF(ISBLANK(O1723),"",IF(O1723="IB",8.63*200,IF(O1723="IR",16*100,IF(O1723="YT",20*100,IF(O1723="YT-XT",24*200,IF(O1723="TED",80*100))))))</f>
        <v>8000</v>
      </c>
      <c r="AA1723" s="185" t="s">
        <v>1824</v>
      </c>
      <c r="AB1723" s="185"/>
      <c r="AC1723" s="185"/>
      <c r="AD1723" s="649">
        <v>-0.24</v>
      </c>
      <c r="AE1723" s="182"/>
      <c r="AF1723" s="332"/>
      <c r="AG1723" s="182"/>
      <c r="AH1723" s="182"/>
      <c r="AI1723" s="182"/>
      <c r="AJ1723" s="640"/>
      <c r="AK1723" s="182"/>
      <c r="AL1723" s="496">
        <f t="shared" si="517"/>
        <v>-160</v>
      </c>
      <c r="AM1723" s="496">
        <f t="shared" si="512"/>
        <v>-160</v>
      </c>
      <c r="AN1723" s="626"/>
      <c r="AO1723" s="182"/>
      <c r="AP1723" s="182" t="s">
        <v>3139</v>
      </c>
      <c r="AQ1723" s="332" t="s">
        <v>372</v>
      </c>
      <c r="AR1723" s="182" t="s">
        <v>1341</v>
      </c>
      <c r="AS1723" s="189">
        <v>-0.25</v>
      </c>
      <c r="AT1723" s="189">
        <f t="shared" si="513"/>
        <v>1.0000000000000009E-2</v>
      </c>
      <c r="AU1723" s="187">
        <f t="shared" si="514"/>
        <v>80.000000000000071</v>
      </c>
      <c r="AV1723" s="190">
        <f t="shared" ref="AV1723:AV1724" si="519">IF(ISBLANK(AS1723),,(AT1723*Z1723))</f>
        <v>80.000000000000071</v>
      </c>
      <c r="AW1723" s="191" t="s">
        <v>96</v>
      </c>
      <c r="AX1723" s="551" t="s">
        <v>5801</v>
      </c>
      <c r="AY1723" s="551" t="s">
        <v>5802</v>
      </c>
      <c r="AZ1723" s="551"/>
      <c r="BA1723" s="551"/>
      <c r="BB1723" s="551"/>
      <c r="BC1723" s="551"/>
      <c r="BD1723" s="549"/>
      <c r="BE1723" s="550"/>
      <c r="BF1723" s="549"/>
      <c r="BG1723" s="391">
        <f>SUM($AV$1389:AV1723)</f>
        <v>1523.9975815653399</v>
      </c>
      <c r="BH1723" s="392">
        <f>SUM($AU$1389:AU1723)</f>
        <v>23344.780000000177</v>
      </c>
      <c r="BI1723" s="318">
        <f>SUMIFS($AU$1388:AU1724,$Q$1388:Q1724,"F")</f>
        <v>15828.400000000001</v>
      </c>
      <c r="BJ1723" s="318">
        <f>SUMIFS($AU$1388:AU1724,$Q$1388:Q1724,"S")</f>
        <v>5727.9999999999909</v>
      </c>
      <c r="BK1723" s="343">
        <f>SUMIFS($AU$1388:AU1724,$P$1388:P1724,"W")</f>
        <v>17245.580000000136</v>
      </c>
      <c r="BL1723" s="343">
        <f>SUMIFS($AU$1388:AU1724,$P$1388:P1724,"R")</f>
        <v>5141.9999999999991</v>
      </c>
      <c r="BM1723" s="343">
        <f>SUMIFS($AU$1388:AU1724,$AQ$1388:AQ1724,"M")</f>
        <v>5261.1799999997265</v>
      </c>
      <c r="BN1723" s="343">
        <f>SUMIFS($AU$1388:AU1724,$AQ$1388:AQ1724,"H")</f>
        <v>4299.2000000004446</v>
      </c>
      <c r="BO1723" s="343">
        <f>SUMIFS($AU$1388:AU1724,$AQ$1388:AQ1724,"D")</f>
        <v>5426.0000000000009</v>
      </c>
      <c r="BP1723" s="343">
        <f>SUMIFS($AU$1388:AU1811,$AQ$1388:AQ1811,"W")</f>
        <v>12022.400000000001</v>
      </c>
      <c r="BQ1723" s="343">
        <f>SUMIFS($AU$1388:AU1724,$Q$1388:Q1724,"O")</f>
        <v>1828.3800000001911</v>
      </c>
      <c r="BR1723" s="343">
        <f>SUMIFS($AU$1388:AU1724,$AA$1388:AA1724,"*")</f>
        <v>20345.600000000064</v>
      </c>
      <c r="BS1723" s="343">
        <f>SUMIFS($AU$1388:AU1724,$AB$1388:AB1724,"*")</f>
        <v>6951.1799999999312</v>
      </c>
      <c r="BT1723" s="343">
        <f>SUMIFS($AU$1388:AU1724,$AC$1388:AC1724,"*")</f>
        <v>12708.4</v>
      </c>
      <c r="BU1723" s="343">
        <f>SUMIFS($AU$1388:AU1724,$AA$1388:AA1724,"*",$AB$1388:AB1724,"*")</f>
        <v>4415.9999999998217</v>
      </c>
      <c r="BV1723" s="343">
        <f>SUMIFS($AU$1388:AU1724,$AA$1388:AA1724,"*",$AC$1388:AC1724,"*")</f>
        <v>12244.4</v>
      </c>
      <c r="BW1723" s="343">
        <f>SUMIFS($AU$1388:AU1724,$AB$1388:AB1724,"*",$AC$1388:AC1724,"*")</f>
        <v>3279.9999999999982</v>
      </c>
      <c r="BX1723" s="343">
        <f>SUMIFS($AV$1388:AV1724,$Q$1388:Q1724,"F")</f>
        <v>321.54786430960348</v>
      </c>
      <c r="BY1723" s="343">
        <f>SUMIFS($AV$1388:AV1724,$Q$1388:Q1724,"S")</f>
        <v>367.10971725586728</v>
      </c>
      <c r="BZ1723" s="343">
        <f>SUMIFS($AV$1388:AV1724,$Q$1388:Q1724,"O")</f>
        <v>519.33999999986361</v>
      </c>
    </row>
    <row r="1724" spans="1:78" ht="15.75" customHeight="1">
      <c r="A1724" s="177" t="s">
        <v>5612</v>
      </c>
      <c r="B1724" s="200">
        <v>45377</v>
      </c>
      <c r="C1724" s="178" t="s">
        <v>5803</v>
      </c>
      <c r="D1724" s="178" t="s">
        <v>146</v>
      </c>
      <c r="E1724" s="227"/>
      <c r="F1724" s="180"/>
      <c r="G1724" s="181" t="s">
        <v>136</v>
      </c>
      <c r="H1724" s="182"/>
      <c r="I1724" s="182"/>
      <c r="J1724" s="182"/>
      <c r="K1724" s="183"/>
      <c r="L1724" s="182">
        <v>1</v>
      </c>
      <c r="M1724" s="182"/>
      <c r="N1724" s="182"/>
      <c r="O1724" s="183" t="s">
        <v>95</v>
      </c>
      <c r="P1724" s="183" t="s">
        <v>96</v>
      </c>
      <c r="Q1724" s="183" t="s">
        <v>97</v>
      </c>
      <c r="R1724" s="183">
        <v>55</v>
      </c>
      <c r="S1724" s="183">
        <v>0</v>
      </c>
      <c r="T1724" s="183">
        <v>55</v>
      </c>
      <c r="U1724" s="183" t="s">
        <v>97</v>
      </c>
      <c r="V1724" s="183"/>
      <c r="W1724" s="183"/>
      <c r="X1724" s="183"/>
      <c r="Y1724" s="184">
        <f t="shared" si="515"/>
        <v>0.01</v>
      </c>
      <c r="Z1724" s="185">
        <f>IF(ISBLANK(O1724),"",IF(O1724="IB",8.63*200,IF(O1724="IR",16*100,IF(O1724="YT",20*100,IF(O1724="YT-XT",24*200,IF(O1724="TED",80*100,IF(O1724="XT",29*200)))))))</f>
        <v>1600</v>
      </c>
      <c r="AA1724" s="185" t="s">
        <v>5492</v>
      </c>
      <c r="AB1724" s="185"/>
      <c r="AC1724" s="185" t="s">
        <v>4589</v>
      </c>
      <c r="AD1724" s="649">
        <v>-0.13</v>
      </c>
      <c r="AE1724" s="182"/>
      <c r="AF1724" s="332"/>
      <c r="AG1724" s="182"/>
      <c r="AH1724" s="182"/>
      <c r="AI1724" s="182"/>
      <c r="AJ1724" s="640"/>
      <c r="AK1724" s="182"/>
      <c r="AL1724" s="496">
        <f t="shared" si="516"/>
        <v>-32</v>
      </c>
      <c r="AM1724" s="496">
        <f t="shared" si="512"/>
        <v>-1760</v>
      </c>
      <c r="AN1724" s="626"/>
      <c r="AO1724" s="182"/>
      <c r="AP1724" s="182"/>
      <c r="AQ1724" s="332" t="str">
        <f>UPPER(RIGHT(Journal_Live[[#This Row],[DURATION ]]))</f>
        <v/>
      </c>
      <c r="AR1724" s="182"/>
      <c r="AS1724" s="189">
        <v>-0.13</v>
      </c>
      <c r="AT1724" s="189">
        <f t="shared" si="513"/>
        <v>0</v>
      </c>
      <c r="AU1724" s="187">
        <f t="shared" si="514"/>
        <v>0</v>
      </c>
      <c r="AV1724" s="190">
        <f t="shared" si="519"/>
        <v>0</v>
      </c>
      <c r="AW1724" s="191" t="s">
        <v>115</v>
      </c>
      <c r="AX1724" s="551" t="s">
        <v>5804</v>
      </c>
      <c r="AY1724" s="551" t="s">
        <v>5805</v>
      </c>
      <c r="AZ1724" s="551"/>
      <c r="BA1724" s="551"/>
      <c r="BB1724" s="551"/>
      <c r="BC1724" s="551"/>
      <c r="BD1724" s="549"/>
      <c r="BE1724" s="550"/>
      <c r="BF1724" s="549"/>
      <c r="BG1724" s="391">
        <f>SUM($AV$1389:AV1724)</f>
        <v>1523.9975815653399</v>
      </c>
      <c r="BH1724" s="392">
        <f>SUM($AU$1389:AU1724)</f>
        <v>23344.780000000177</v>
      </c>
      <c r="BI1724" s="318">
        <f>SUMIFS($AU$1388:AU1725,$Q$1388:Q1725,"F")</f>
        <v>17668.400000000001</v>
      </c>
      <c r="BJ1724" s="318">
        <f>SUMIFS($AU$1388:AU1725,$Q$1388:Q1725,"S")</f>
        <v>5727.9999999999909</v>
      </c>
      <c r="BK1724" s="343">
        <f>SUMIFS($AU$1388:AU1725,$P$1388:P1725,"W")</f>
        <v>19085.580000000136</v>
      </c>
      <c r="BL1724" s="343">
        <f>SUMIFS($AU$1388:AU1725,$P$1388:P1725,"R")</f>
        <v>5141.9999999999991</v>
      </c>
      <c r="BM1724" s="343">
        <f>SUMIFS($AU$1388:AU1725,$AQ$1388:AQ1725,"M")</f>
        <v>5261.1799999997265</v>
      </c>
      <c r="BN1724" s="343">
        <f>SUMIFS($AU$1388:AU1725,$AQ$1388:AQ1725,"H")</f>
        <v>4299.2000000004446</v>
      </c>
      <c r="BO1724" s="343">
        <f>SUMIFS($AU$1388:AU1725,$AQ$1388:AQ1725,"D")</f>
        <v>5426.0000000000009</v>
      </c>
      <c r="BP1724" s="343">
        <f>SUMIFS($AU$1388:AU1812,$AQ$1388:AQ1812,"W")</f>
        <v>12022.400000000001</v>
      </c>
      <c r="BQ1724" s="343">
        <f>SUMIFS($AU$1388:AU1725,$Q$1388:Q1725,"O")</f>
        <v>1828.3800000001911</v>
      </c>
      <c r="BR1724" s="343">
        <f>SUMIFS($AU$1388:AU1725,$AA$1388:AA1725,"*")</f>
        <v>20345.600000000064</v>
      </c>
      <c r="BS1724" s="343">
        <f>SUMIFS($AU$1388:AU1725,$AB$1388:AB1725,"*")</f>
        <v>6951.1799999999312</v>
      </c>
      <c r="BT1724" s="343">
        <f>SUMIFS($AU$1388:AU1725,$AC$1388:AC1725,"*")</f>
        <v>14548.4</v>
      </c>
      <c r="BU1724" s="343">
        <f>SUMIFS($AU$1388:AU1725,$AA$1388:AA1725,"*",$AB$1388:AB1725,"*")</f>
        <v>4415.9999999998217</v>
      </c>
      <c r="BV1724" s="343">
        <f>SUMIFS($AU$1388:AU1725,$AA$1388:AA1725,"*",$AC$1388:AC1725,"*")</f>
        <v>12244.4</v>
      </c>
      <c r="BW1724" s="343">
        <f>SUMIFS($AU$1388:AU1725,$AB$1388:AB1725,"*",$AC$1388:AC1725,"*")</f>
        <v>3279.9999999999982</v>
      </c>
      <c r="BX1724" s="343">
        <f>SUMIFS($AV$1388:AV1725,$Q$1388:Q1725,"F")</f>
        <v>341.99230875404794</v>
      </c>
      <c r="BY1724" s="343">
        <f>SUMIFS($AV$1388:AV1725,$Q$1388:Q1725,"S")</f>
        <v>367.10971725586728</v>
      </c>
      <c r="BZ1724" s="343">
        <f>SUMIFS($AV$1388:AV1725,$Q$1388:Q1725,"O")</f>
        <v>519.33999999986361</v>
      </c>
    </row>
    <row r="1725" spans="1:78" ht="15.75" customHeight="1">
      <c r="A1725" s="177" t="s">
        <v>5612</v>
      </c>
      <c r="B1725" s="200">
        <v>45377</v>
      </c>
      <c r="C1725" s="178" t="s">
        <v>2692</v>
      </c>
      <c r="D1725" s="178" t="s">
        <v>146</v>
      </c>
      <c r="E1725" s="227"/>
      <c r="F1725" s="180"/>
      <c r="G1725" s="484" t="s">
        <v>3467</v>
      </c>
      <c r="H1725" s="182"/>
      <c r="I1725" s="182"/>
      <c r="J1725" s="182"/>
      <c r="K1725" s="183"/>
      <c r="L1725" s="182">
        <v>1</v>
      </c>
      <c r="M1725" s="182">
        <v>2</v>
      </c>
      <c r="N1725" s="182"/>
      <c r="O1725" s="183" t="s">
        <v>95</v>
      </c>
      <c r="P1725" s="183" t="s">
        <v>96</v>
      </c>
      <c r="Q1725" s="183" t="s">
        <v>256</v>
      </c>
      <c r="R1725" s="183">
        <v>90</v>
      </c>
      <c r="S1725" s="183">
        <v>70</v>
      </c>
      <c r="T1725" s="183">
        <v>55</v>
      </c>
      <c r="U1725" s="183" t="s">
        <v>22</v>
      </c>
      <c r="V1725" s="183"/>
      <c r="W1725" s="183"/>
      <c r="X1725" s="183"/>
      <c r="Y1725" s="184">
        <f t="shared" si="515"/>
        <v>0.01</v>
      </c>
      <c r="Z1725" s="185">
        <f>IF(ISBLANK(O1725),"",IF(O1725="IB",8.63*200,IF(O1725="IR",16*100,IF(O1725="YT",20*100,IF(O1725="YT-XT",24*200,IF(O1725="TED",80*100,IF(O1725="XT",29*200)))))))</f>
        <v>1600</v>
      </c>
      <c r="AA1725" s="185"/>
      <c r="AB1725" s="185"/>
      <c r="AC1725" s="185" t="s">
        <v>5654</v>
      </c>
      <c r="AD1725" s="649">
        <f>(0.02*35+0.01*55)/90</f>
        <v>1.3888888888888888E-2</v>
      </c>
      <c r="AE1725" s="182"/>
      <c r="AF1725" s="332"/>
      <c r="AG1725" s="182"/>
      <c r="AH1725" s="182"/>
      <c r="AI1725" s="182" t="s">
        <v>5806</v>
      </c>
      <c r="AJ1725" s="640"/>
      <c r="AK1725" s="182"/>
      <c r="AL1725" s="496">
        <f>-0.025*Z1725</f>
        <v>-40</v>
      </c>
      <c r="AM1725" s="496">
        <f t="shared" si="512"/>
        <v>-800</v>
      </c>
      <c r="AN1725" s="626"/>
      <c r="AO1725" s="182"/>
      <c r="AP1725" s="182" t="s">
        <v>902</v>
      </c>
      <c r="AQ1725" s="332" t="s">
        <v>96</v>
      </c>
      <c r="AR1725" s="182" t="s">
        <v>5807</v>
      </c>
      <c r="AS1725" s="189">
        <f>((0.02*40)+(0.02*30)+(0.05*20))/90</f>
        <v>2.6666666666666665E-2</v>
      </c>
      <c r="AT1725" s="189">
        <f t="shared" si="513"/>
        <v>1.2777777777777777E-2</v>
      </c>
      <c r="AU1725" s="187">
        <f t="shared" si="514"/>
        <v>1839.9999999999998</v>
      </c>
      <c r="AV1725" s="190">
        <f t="shared" ref="AV1725:AV1727" si="520">IF(ISBLANK(AS1725),,(AT1725*Z1725))</f>
        <v>20.444444444444443</v>
      </c>
      <c r="AW1725" s="191" t="s">
        <v>96</v>
      </c>
      <c r="AX1725" s="551" t="s">
        <v>5808</v>
      </c>
      <c r="AY1725" s="551" t="s">
        <v>5809</v>
      </c>
      <c r="AZ1725" s="551" t="s">
        <v>5810</v>
      </c>
      <c r="BA1725" s="551" t="s">
        <v>5811</v>
      </c>
      <c r="BB1725" s="549" t="s">
        <v>5812</v>
      </c>
      <c r="BC1725" s="551" t="s">
        <v>5813</v>
      </c>
      <c r="BD1725" s="549" t="s">
        <v>5814</v>
      </c>
      <c r="BE1725" s="550" t="s">
        <v>5815</v>
      </c>
      <c r="BF1725" s="549"/>
      <c r="BG1725" s="391">
        <f>SUM($AV$1389:AV1725)</f>
        <v>1544.4420260097843</v>
      </c>
      <c r="BH1725" s="392">
        <f>SUM($AU$1389:AU1725)</f>
        <v>25184.780000000177</v>
      </c>
      <c r="BI1725" s="318">
        <f>SUMIFS($AU$1388:AU1726,$Q$1388:Q1726,"F")</f>
        <v>19188.400000000001</v>
      </c>
      <c r="BJ1725" s="318">
        <f>SUMIFS($AU$1388:AU1726,$Q$1388:Q1726,"S")</f>
        <v>5727.9999999999909</v>
      </c>
      <c r="BK1725" s="343">
        <f>SUMIFS($AU$1388:AU1726,$P$1388:P1726,"W")</f>
        <v>19085.580000000136</v>
      </c>
      <c r="BL1725" s="343">
        <f>SUMIFS($AU$1388:AU1726,$P$1388:P1726,"R")</f>
        <v>6661.9999999999991</v>
      </c>
      <c r="BM1725" s="343">
        <f>SUMIFS($AU$1388:AU1726,$AQ$1388:AQ1726,"M")</f>
        <v>5261.1799999997265</v>
      </c>
      <c r="BN1725" s="343">
        <f>SUMIFS($AU$1388:AU1726,$AQ$1388:AQ1726,"H")</f>
        <v>4299.2000000004446</v>
      </c>
      <c r="BO1725" s="343">
        <f>SUMIFS($AU$1388:AU1726,$AQ$1388:AQ1726,"D")</f>
        <v>5426.0000000000009</v>
      </c>
      <c r="BP1725" s="343">
        <f>SUMIFS($AU$1388:AU1813,$AQ$1388:AQ1813,"W")</f>
        <v>12022.400000000001</v>
      </c>
      <c r="BQ1725" s="343">
        <f>SUMIFS($AU$1388:AU1726,$Q$1388:Q1726,"O")</f>
        <v>1828.3800000001911</v>
      </c>
      <c r="BR1725" s="343">
        <f>SUMIFS($AU$1388:AU1726,$AA$1388:AA1726,"*")</f>
        <v>21865.600000000064</v>
      </c>
      <c r="BS1725" s="343">
        <f>SUMIFS($AU$1388:AU1726,$AB$1388:AB1726,"*")</f>
        <v>6951.1799999999312</v>
      </c>
      <c r="BT1725" s="343">
        <f>SUMIFS($AU$1388:AU1726,$AC$1388:AC1726,"*")</f>
        <v>16068.4</v>
      </c>
      <c r="BU1725" s="343">
        <f>SUMIFS($AU$1388:AU1726,$AA$1388:AA1726,"*",$AB$1388:AB1726,"*")</f>
        <v>4415.9999999998217</v>
      </c>
      <c r="BV1725" s="343">
        <f>SUMIFS($AU$1388:AU1726,$AA$1388:AA1726,"*",$AC$1388:AC1726,"*")</f>
        <v>13764.4</v>
      </c>
      <c r="BW1725" s="343">
        <f>SUMIFS($AU$1388:AU1726,$AB$1388:AB1726,"*",$AC$1388:AC1726,"*")</f>
        <v>3279.9999999999982</v>
      </c>
      <c r="BX1725" s="343">
        <f>SUMIFS($AV$1388:AV1726,$Q$1388:Q1726,"F")</f>
        <v>357.19230875404793</v>
      </c>
      <c r="BY1725" s="343">
        <f>SUMIFS($AV$1388:AV1726,$Q$1388:Q1726,"S")</f>
        <v>367.10971725586728</v>
      </c>
      <c r="BZ1725" s="343">
        <f>SUMIFS($AV$1388:AV1726,$Q$1388:Q1726,"O")</f>
        <v>519.33999999986361</v>
      </c>
    </row>
    <row r="1726" spans="1:78" ht="15.75" customHeight="1">
      <c r="A1726" s="177" t="s">
        <v>5612</v>
      </c>
      <c r="B1726" s="200">
        <v>45377</v>
      </c>
      <c r="C1726" s="178" t="s">
        <v>5816</v>
      </c>
      <c r="D1726" s="178" t="s">
        <v>146</v>
      </c>
      <c r="E1726" s="227"/>
      <c r="F1726" s="180"/>
      <c r="G1726" s="558" t="s">
        <v>5633</v>
      </c>
      <c r="H1726" s="182"/>
      <c r="I1726" s="182"/>
      <c r="J1726" s="182"/>
      <c r="K1726" s="183"/>
      <c r="L1726" s="182"/>
      <c r="M1726" s="182">
        <v>1</v>
      </c>
      <c r="N1726" s="182"/>
      <c r="O1726" s="183" t="s">
        <v>95</v>
      </c>
      <c r="P1726" s="183" t="s">
        <v>137</v>
      </c>
      <c r="Q1726" s="183" t="s">
        <v>256</v>
      </c>
      <c r="R1726" s="183">
        <v>100</v>
      </c>
      <c r="S1726" s="183">
        <v>5</v>
      </c>
      <c r="T1726" s="183">
        <v>100</v>
      </c>
      <c r="U1726" s="183" t="s">
        <v>22</v>
      </c>
      <c r="V1726" s="183"/>
      <c r="W1726" s="183"/>
      <c r="X1726" s="183"/>
      <c r="Y1726" s="184">
        <f t="shared" si="515"/>
        <v>0.01</v>
      </c>
      <c r="Z1726" s="185">
        <f>IF(ISBLANK(O1726),"",IF(O1726="IB",8.63*200,IF(O1726="IR",16*100,IF(O1726="YT",20*100,IF(O1726="YT-XT",24*200,IF(O1726="TED",80*100,IF(O1726="XT",29*200)))))))</f>
        <v>1600</v>
      </c>
      <c r="AA1726" s="185" t="s">
        <v>5817</v>
      </c>
      <c r="AB1726" s="185"/>
      <c r="AC1726" s="185" t="s">
        <v>5818</v>
      </c>
      <c r="AD1726" s="649">
        <v>-0.04</v>
      </c>
      <c r="AE1726" s="182"/>
      <c r="AF1726" s="332"/>
      <c r="AG1726" s="182"/>
      <c r="AH1726" s="182"/>
      <c r="AI1726" s="182">
        <v>-3</v>
      </c>
      <c r="AJ1726" s="640"/>
      <c r="AK1726" s="182"/>
      <c r="AL1726" s="496">
        <f>-0.015*Z1726</f>
        <v>-24</v>
      </c>
      <c r="AM1726" s="496">
        <f t="shared" si="512"/>
        <v>-2280</v>
      </c>
      <c r="AN1726" s="626" t="s">
        <v>5819</v>
      </c>
      <c r="AO1726" s="182"/>
      <c r="AP1726" s="182" t="s">
        <v>1047</v>
      </c>
      <c r="AQ1726" s="332" t="s">
        <v>96</v>
      </c>
      <c r="AR1726" s="298">
        <v>45393</v>
      </c>
      <c r="AS1726" s="189">
        <f>((-0.04*5)+(-0.03*95))/100</f>
        <v>-3.0500000000000003E-2</v>
      </c>
      <c r="AT1726" s="189">
        <f t="shared" si="513"/>
        <v>9.499999999999998E-3</v>
      </c>
      <c r="AU1726" s="187">
        <f t="shared" si="514"/>
        <v>1519.9999999999998</v>
      </c>
      <c r="AV1726" s="190">
        <f t="shared" si="520"/>
        <v>15.199999999999998</v>
      </c>
      <c r="AW1726" s="191" t="s">
        <v>96</v>
      </c>
      <c r="AX1726" s="551" t="s">
        <v>5820</v>
      </c>
      <c r="AY1726" s="551"/>
      <c r="AZ1726" s="551"/>
      <c r="BA1726" s="551"/>
      <c r="BB1726" s="551"/>
      <c r="BC1726" s="551"/>
      <c r="BD1726" s="549"/>
      <c r="BE1726" s="550"/>
      <c r="BF1726" s="549"/>
      <c r="BG1726" s="391">
        <f>SUM($AV$1389:AV1726)</f>
        <v>1559.6420260097843</v>
      </c>
      <c r="BH1726" s="392">
        <f>SUM($AU$1389:AU1726)</f>
        <v>26704.780000000177</v>
      </c>
      <c r="BI1726" s="318">
        <f>SUMIFS($AU$1388:AU1727,$Q$1388:Q1727,"F")</f>
        <v>19188.400000000001</v>
      </c>
      <c r="BJ1726" s="318">
        <f>SUMIFS($AU$1388:AU1727,$Q$1388:Q1727,"S")</f>
        <v>5727.9999999999909</v>
      </c>
      <c r="BK1726" s="343">
        <f>SUMIFS($AU$1388:AU1727,$P$1388:P1727,"W")</f>
        <v>19085.580000000136</v>
      </c>
      <c r="BL1726" s="343">
        <f>SUMIFS($AU$1388:AU1727,$P$1388:P1727,"R")</f>
        <v>6661.9999999999991</v>
      </c>
      <c r="BM1726" s="343">
        <f>SUMIFS($AU$1388:AU1727,$AQ$1388:AQ1727,"M")</f>
        <v>5261.1799999997265</v>
      </c>
      <c r="BN1726" s="343">
        <f>SUMIFS($AU$1388:AU1727,$AQ$1388:AQ1727,"H")</f>
        <v>4299.2000000004446</v>
      </c>
      <c r="BO1726" s="343">
        <f>SUMIFS($AU$1388:AU1727,$AQ$1388:AQ1727,"D")</f>
        <v>5426.0000000000009</v>
      </c>
      <c r="BP1726" s="343">
        <f>SUMIFS($AU$1388:AU1814,$AQ$1388:AQ1814,"W")</f>
        <v>12022.400000000001</v>
      </c>
      <c r="BQ1726" s="343">
        <f>SUMIFS($AU$1388:AU1727,$Q$1388:Q1727,"O")</f>
        <v>1828.3800000001911</v>
      </c>
      <c r="BR1726" s="343">
        <f>SUMIFS($AU$1388:AU1727,$AA$1388:AA1727,"*")</f>
        <v>21865.600000000064</v>
      </c>
      <c r="BS1726" s="343">
        <f>SUMIFS($AU$1388:AU1727,$AB$1388:AB1727,"*")</f>
        <v>6951.1799999999312</v>
      </c>
      <c r="BT1726" s="343">
        <f>SUMIFS($AU$1388:AU1727,$AC$1388:AC1727,"*")</f>
        <v>16068.4</v>
      </c>
      <c r="BU1726" s="343">
        <f>SUMIFS($AU$1388:AU1727,$AA$1388:AA1727,"*",$AB$1388:AB1727,"*")</f>
        <v>4415.9999999998217</v>
      </c>
      <c r="BV1726" s="343">
        <f>SUMIFS($AU$1388:AU1727,$AA$1388:AA1727,"*",$AC$1388:AC1727,"*")</f>
        <v>13764.4</v>
      </c>
      <c r="BW1726" s="343">
        <f>SUMIFS($AU$1388:AU1727,$AB$1388:AB1727,"*",$AC$1388:AC1727,"*")</f>
        <v>3279.9999999999982</v>
      </c>
      <c r="BX1726" s="343">
        <f>SUMIFS($AV$1388:AV1727,$Q$1388:Q1727,"F")</f>
        <v>357.19230875404793</v>
      </c>
      <c r="BY1726" s="343">
        <f>SUMIFS($AV$1388:AV1727,$Q$1388:Q1727,"S")</f>
        <v>367.10971725586728</v>
      </c>
      <c r="BZ1726" s="343">
        <f>SUMIFS($AV$1388:AV1727,$Q$1388:Q1727,"O")</f>
        <v>519.33999999986361</v>
      </c>
    </row>
    <row r="1727" spans="1:78" ht="15.75" customHeight="1">
      <c r="A1727" s="177" t="s">
        <v>5612</v>
      </c>
      <c r="B1727" s="200">
        <v>45377</v>
      </c>
      <c r="C1727" s="178" t="s">
        <v>5821</v>
      </c>
      <c r="D1727" s="178" t="s">
        <v>146</v>
      </c>
      <c r="E1727" s="227"/>
      <c r="F1727" s="180"/>
      <c r="G1727" s="481" t="s">
        <v>4147</v>
      </c>
      <c r="H1727" s="182"/>
      <c r="I1727" s="182"/>
      <c r="J1727" s="182"/>
      <c r="K1727" s="183"/>
      <c r="L1727" s="182">
        <v>1</v>
      </c>
      <c r="M1727" s="182"/>
      <c r="N1727" s="182"/>
      <c r="O1727" s="183" t="s">
        <v>95</v>
      </c>
      <c r="P1727" s="183" t="s">
        <v>137</v>
      </c>
      <c r="Q1727" s="183" t="s">
        <v>97</v>
      </c>
      <c r="R1727" s="183">
        <v>25</v>
      </c>
      <c r="S1727" s="183">
        <v>0</v>
      </c>
      <c r="T1727" s="183">
        <v>25</v>
      </c>
      <c r="U1727" s="183" t="s">
        <v>22</v>
      </c>
      <c r="V1727" s="183"/>
      <c r="W1727" s="183"/>
      <c r="X1727" s="183"/>
      <c r="Y1727" s="184">
        <f t="shared" si="515"/>
        <v>0.01</v>
      </c>
      <c r="Z1727" s="185">
        <f>IF(ISBLANK(O1727),"",IF(O1727="IB",8.63*200,IF(O1727="IR",16*100,IF(O1727="YT",20*100,IF(O1727="YT-XT",24*200,IF(O1727="TED",80*100,IF(O1727="XT",29*200)))))))</f>
        <v>1600</v>
      </c>
      <c r="AA1727" s="185" t="s">
        <v>5492</v>
      </c>
      <c r="AB1727" s="185"/>
      <c r="AC1727" s="185" t="s">
        <v>5022</v>
      </c>
      <c r="AD1727" s="649">
        <v>-0.06</v>
      </c>
      <c r="AE1727" s="182"/>
      <c r="AF1727" s="332"/>
      <c r="AG1727" s="182"/>
      <c r="AH1727" s="182"/>
      <c r="AI1727" s="182"/>
      <c r="AJ1727" s="640"/>
      <c r="AK1727" s="182"/>
      <c r="AL1727" s="496">
        <f t="shared" ref="AL1727" si="521">-0.02*Z1727</f>
        <v>-32</v>
      </c>
      <c r="AM1727" s="496">
        <f t="shared" si="512"/>
        <v>-800</v>
      </c>
      <c r="AN1727" s="626"/>
      <c r="AO1727" s="182"/>
      <c r="AP1727" s="182" t="s">
        <v>5822</v>
      </c>
      <c r="AQ1727" s="332" t="s">
        <v>372</v>
      </c>
      <c r="AR1727" s="182" t="s">
        <v>5823</v>
      </c>
      <c r="AS1727" s="189">
        <v>-0.06</v>
      </c>
      <c r="AT1727" s="189">
        <f t="shared" si="513"/>
        <v>0</v>
      </c>
      <c r="AU1727" s="187">
        <f t="shared" si="514"/>
        <v>0</v>
      </c>
      <c r="AV1727" s="190">
        <f t="shared" si="520"/>
        <v>0</v>
      </c>
      <c r="AW1727" s="191" t="s">
        <v>115</v>
      </c>
      <c r="AX1727" s="551"/>
      <c r="AY1727" s="551"/>
      <c r="AZ1727" s="551"/>
      <c r="BA1727" s="551"/>
      <c r="BB1727" s="551"/>
      <c r="BC1727" s="551"/>
      <c r="BD1727" s="549"/>
      <c r="BE1727" s="550"/>
      <c r="BF1727" s="549"/>
      <c r="BG1727" s="391">
        <f>SUM($AV$1389:AV1727)</f>
        <v>1559.6420260097843</v>
      </c>
      <c r="BH1727" s="392">
        <f>SUM($AU$1389:AU1727)</f>
        <v>26704.780000000177</v>
      </c>
      <c r="BI1727" s="318">
        <f>SUMIFS($AU$1388:AU1728,$Q$1388:Q1728,"F")</f>
        <v>19188.400000000001</v>
      </c>
      <c r="BJ1727" s="318">
        <f>SUMIFS($AU$1388:AU1728,$Q$1388:Q1728,"S")</f>
        <v>5727.9999999999909</v>
      </c>
      <c r="BK1727" s="343">
        <f>SUMIFS($AU$1388:AU1728,$P$1388:P1728,"W")</f>
        <v>19085.580000000136</v>
      </c>
      <c r="BL1727" s="343">
        <f>SUMIFS($AU$1388:AU1728,$P$1388:P1728,"R")</f>
        <v>6661.9999999999991</v>
      </c>
      <c r="BM1727" s="343">
        <f>SUMIFS($AU$1388:AU1728,$AQ$1388:AQ1728,"M")</f>
        <v>5261.1799999997265</v>
      </c>
      <c r="BN1727" s="343">
        <f>SUMIFS($AU$1388:AU1728,$AQ$1388:AQ1728,"H")</f>
        <v>4299.2000000004446</v>
      </c>
      <c r="BO1727" s="343">
        <f>SUMIFS($AU$1388:AU1728,$AQ$1388:AQ1728,"D")</f>
        <v>5426.0000000000009</v>
      </c>
      <c r="BP1727" s="343">
        <f>SUMIFS($AU$1388:AU1815,$AQ$1388:AQ1815,"W")</f>
        <v>12022.400000000001</v>
      </c>
      <c r="BQ1727" s="343">
        <f>SUMIFS($AU$1388:AU1728,$Q$1388:Q1728,"O")</f>
        <v>1828.3800000001911</v>
      </c>
      <c r="BR1727" s="343">
        <f>SUMIFS($AU$1388:AU1728,$AA$1388:AA1728,"*")</f>
        <v>21865.600000000064</v>
      </c>
      <c r="BS1727" s="343">
        <f>SUMIFS($AU$1388:AU1728,$AB$1388:AB1728,"*")</f>
        <v>6951.1799999999312</v>
      </c>
      <c r="BT1727" s="343">
        <f>SUMIFS($AU$1388:AU1728,$AC$1388:AC1728,"*")</f>
        <v>16068.4</v>
      </c>
      <c r="BU1727" s="343">
        <f>SUMIFS($AU$1388:AU1728,$AA$1388:AA1728,"*",$AB$1388:AB1728,"*")</f>
        <v>4415.9999999998217</v>
      </c>
      <c r="BV1727" s="343">
        <f>SUMIFS($AU$1388:AU1728,$AA$1388:AA1728,"*",$AC$1388:AC1728,"*")</f>
        <v>13764.4</v>
      </c>
      <c r="BW1727" s="343">
        <f>SUMIFS($AU$1388:AU1728,$AB$1388:AB1728,"*",$AC$1388:AC1728,"*")</f>
        <v>3279.9999999999982</v>
      </c>
      <c r="BX1727" s="343">
        <f>SUMIFS($AV$1388:AV1728,$Q$1388:Q1728,"F")</f>
        <v>357.19230875404793</v>
      </c>
      <c r="BY1727" s="343">
        <f>SUMIFS($AV$1388:AV1728,$Q$1388:Q1728,"S")</f>
        <v>367.10971725586728</v>
      </c>
      <c r="BZ1727" s="343">
        <f>SUMIFS($AV$1388:AV1728,$Q$1388:Q1728,"O")</f>
        <v>519.33999999986361</v>
      </c>
    </row>
    <row r="1728" spans="1:78" ht="15.75" customHeight="1">
      <c r="A1728" s="177" t="s">
        <v>5612</v>
      </c>
      <c r="B1728" s="200"/>
      <c r="C1728" s="178"/>
      <c r="D1728" s="178"/>
      <c r="E1728" s="227"/>
      <c r="F1728" s="180"/>
      <c r="G1728" s="181"/>
      <c r="H1728" s="182"/>
      <c r="I1728" s="182"/>
      <c r="J1728" s="182"/>
      <c r="K1728" s="183"/>
      <c r="L1728" s="182"/>
      <c r="M1728" s="182"/>
      <c r="N1728" s="182"/>
      <c r="O1728" s="183"/>
      <c r="P1728" s="183"/>
      <c r="Q1728" s="183"/>
      <c r="R1728" s="183"/>
      <c r="S1728" s="183"/>
      <c r="T1728" s="183"/>
      <c r="U1728" s="183"/>
      <c r="V1728" s="183"/>
      <c r="W1728" s="183"/>
      <c r="X1728" s="183"/>
      <c r="Y1728" s="184"/>
      <c r="Z1728" s="185"/>
      <c r="AA1728" s="185"/>
      <c r="AB1728" s="185"/>
      <c r="AC1728" s="185"/>
      <c r="AD1728" s="649"/>
      <c r="AE1728" s="182"/>
      <c r="AF1728" s="332"/>
      <c r="AG1728" s="182"/>
      <c r="AH1728" s="182"/>
      <c r="AI1728" s="182"/>
      <c r="AJ1728" s="640"/>
      <c r="AK1728" s="182"/>
      <c r="AL1728" s="496">
        <f t="shared" ref="AL1728:AL1737" si="522">-0.02*Z1728</f>
        <v>0</v>
      </c>
      <c r="AM1728" s="496">
        <f t="shared" si="512"/>
        <v>0</v>
      </c>
      <c r="AN1728" s="626"/>
      <c r="AO1728" s="182"/>
      <c r="AP1728" s="182"/>
      <c r="AQ1728" s="332" t="str">
        <f>UPPER(RIGHT(Journal_Live[[#This Row],[DURATION ]]))</f>
        <v/>
      </c>
      <c r="AR1728" s="182"/>
      <c r="AS1728" s="189"/>
      <c r="AT1728" s="189"/>
      <c r="AU1728" s="187"/>
      <c r="AV1728" s="190"/>
      <c r="AW1728" s="191"/>
      <c r="AX1728" s="417" t="s">
        <v>5624</v>
      </c>
      <c r="AY1728" s="551" t="s">
        <v>5824</v>
      </c>
      <c r="AZ1728" s="551" t="s">
        <v>5825</v>
      </c>
      <c r="BA1728" s="551" t="s">
        <v>5826</v>
      </c>
      <c r="BB1728" s="551" t="s">
        <v>5827</v>
      </c>
      <c r="BC1728" s="551"/>
      <c r="BD1728" s="549"/>
      <c r="BE1728" s="550"/>
      <c r="BF1728" s="549"/>
      <c r="BG1728" s="391">
        <f>SUM($AV$1389:AV1728)</f>
        <v>1559.6420260097843</v>
      </c>
      <c r="BH1728" s="392">
        <f>SUM($AU$1389:AU1728)</f>
        <v>26704.780000000177</v>
      </c>
      <c r="BI1728" s="318">
        <f>SUMIFS($AU$1388:AU1729,$Q$1388:Q1729,"F")</f>
        <v>19188.400000000001</v>
      </c>
      <c r="BJ1728" s="318">
        <f>SUMIFS($AU$1388:AU1729,$Q$1388:Q1729,"S")</f>
        <v>5727.9999999999909</v>
      </c>
      <c r="BK1728" s="343">
        <f>SUMIFS($AU$1388:AU1729,$P$1388:P1729,"W")</f>
        <v>19085.580000000136</v>
      </c>
      <c r="BL1728" s="343">
        <f>SUMIFS($AU$1388:AU1729,$P$1388:P1729,"R")</f>
        <v>6661.9999999999991</v>
      </c>
      <c r="BM1728" s="343">
        <f>SUMIFS($AU$1388:AU1729,$AQ$1388:AQ1729,"M")</f>
        <v>5261.1799999997265</v>
      </c>
      <c r="BN1728" s="343">
        <f>SUMIFS($AU$1388:AU1729,$AQ$1388:AQ1729,"H")</f>
        <v>4299.2000000004446</v>
      </c>
      <c r="BO1728" s="343">
        <f>SUMIFS($AU$1388:AU1729,$AQ$1388:AQ1729,"D")</f>
        <v>5426.0000000000009</v>
      </c>
      <c r="BP1728" s="343">
        <f>SUMIFS($AU$1388:AU1816,$AQ$1388:AQ1816,"W")</f>
        <v>12022.400000000001</v>
      </c>
      <c r="BQ1728" s="343">
        <f>SUMIFS($AU$1388:AU1729,$Q$1388:Q1729,"O")</f>
        <v>1828.3800000001911</v>
      </c>
      <c r="BR1728" s="343">
        <f>SUMIFS($AU$1388:AU1729,$AA$1388:AA1729,"*")</f>
        <v>21865.600000000064</v>
      </c>
      <c r="BS1728" s="343">
        <f>SUMIFS($AU$1388:AU1729,$AB$1388:AB1729,"*")</f>
        <v>6951.1799999999312</v>
      </c>
      <c r="BT1728" s="343">
        <f>SUMIFS($AU$1388:AU1729,$AC$1388:AC1729,"*")</f>
        <v>16068.4</v>
      </c>
      <c r="BU1728" s="343">
        <f>SUMIFS($AU$1388:AU1729,$AA$1388:AA1729,"*",$AB$1388:AB1729,"*")</f>
        <v>4415.9999999998217</v>
      </c>
      <c r="BV1728" s="343">
        <f>SUMIFS($AU$1388:AU1729,$AA$1388:AA1729,"*",$AC$1388:AC1729,"*")</f>
        <v>13764.4</v>
      </c>
      <c r="BW1728" s="343">
        <f>SUMIFS($AU$1388:AU1729,$AB$1388:AB1729,"*",$AC$1388:AC1729,"*")</f>
        <v>3279.9999999999982</v>
      </c>
      <c r="BX1728" s="343">
        <f>SUMIFS($AV$1388:AV1729,$Q$1388:Q1729,"F")</f>
        <v>357.19230875404793</v>
      </c>
      <c r="BY1728" s="343">
        <f>SUMIFS($AV$1388:AV1729,$Q$1388:Q1729,"S")</f>
        <v>367.10971725586728</v>
      </c>
      <c r="BZ1728" s="343">
        <f>SUMIFS($AV$1388:AV1729,$Q$1388:Q1729,"O")</f>
        <v>519.33999999986361</v>
      </c>
    </row>
    <row r="1729" spans="1:78" ht="15.75" customHeight="1">
      <c r="A1729" s="177" t="s">
        <v>5612</v>
      </c>
      <c r="B1729" s="200"/>
      <c r="C1729" s="178"/>
      <c r="D1729" s="178"/>
      <c r="E1729" s="227"/>
      <c r="F1729" s="180"/>
      <c r="G1729" s="181"/>
      <c r="H1729" s="182"/>
      <c r="I1729" s="182"/>
      <c r="J1729" s="182"/>
      <c r="K1729" s="183"/>
      <c r="L1729" s="182"/>
      <c r="M1729" s="182"/>
      <c r="N1729" s="182"/>
      <c r="O1729" s="183"/>
      <c r="P1729" s="183"/>
      <c r="Q1729" s="183"/>
      <c r="R1729" s="183"/>
      <c r="S1729" s="183"/>
      <c r="T1729" s="183"/>
      <c r="U1729" s="183"/>
      <c r="V1729" s="183"/>
      <c r="W1729" s="183"/>
      <c r="X1729" s="183"/>
      <c r="Y1729" s="184"/>
      <c r="Z1729" s="185"/>
      <c r="AA1729" s="185"/>
      <c r="AB1729" s="185"/>
      <c r="AC1729" s="185"/>
      <c r="AD1729" s="649"/>
      <c r="AE1729" s="182"/>
      <c r="AF1729" s="332"/>
      <c r="AG1729" s="182"/>
      <c r="AH1729" s="182"/>
      <c r="AI1729" s="182"/>
      <c r="AJ1729" s="640"/>
      <c r="AK1729" s="182"/>
      <c r="AL1729" s="496">
        <f t="shared" si="522"/>
        <v>0</v>
      </c>
      <c r="AM1729" s="496">
        <f t="shared" si="512"/>
        <v>0</v>
      </c>
      <c r="AN1729" s="626"/>
      <c r="AO1729" s="182"/>
      <c r="AP1729" s="182"/>
      <c r="AQ1729" s="332" t="str">
        <f>UPPER(RIGHT(Journal_Live[[#This Row],[DURATION ]]))</f>
        <v/>
      </c>
      <c r="AR1729" s="182"/>
      <c r="AS1729" s="189"/>
      <c r="AT1729" s="189"/>
      <c r="AU1729" s="187"/>
      <c r="AV1729" s="190"/>
      <c r="AW1729" s="191"/>
      <c r="AX1729" s="551" t="s">
        <v>5828</v>
      </c>
      <c r="AY1729" s="551" t="s">
        <v>5829</v>
      </c>
      <c r="AZ1729" s="551"/>
      <c r="BA1729" s="551"/>
      <c r="BB1729" s="551"/>
      <c r="BC1729" s="551"/>
      <c r="BD1729" s="549"/>
      <c r="BE1729" s="550"/>
      <c r="BF1729" s="549"/>
      <c r="BG1729" s="391">
        <f>SUM($AV$1389:AV1729)</f>
        <v>1559.6420260097843</v>
      </c>
      <c r="BH1729" s="392">
        <f>SUM($AU$1389:AU1729)</f>
        <v>26704.780000000177</v>
      </c>
      <c r="BI1729" s="318">
        <f>SUMIFS($AU$1388:AU1730,$Q$1388:Q1730,"F")</f>
        <v>19188.400000000001</v>
      </c>
      <c r="BJ1729" s="318">
        <f>SUMIFS($AU$1388:AU1730,$Q$1388:Q1730,"S")</f>
        <v>5727.9999999999909</v>
      </c>
      <c r="BK1729" s="343">
        <f>SUMIFS($AU$1388:AU1730,$P$1388:P1730,"W")</f>
        <v>19085.580000000136</v>
      </c>
      <c r="BL1729" s="343">
        <f>SUMIFS($AU$1388:AU1730,$P$1388:P1730,"R")</f>
        <v>6661.9999999999991</v>
      </c>
      <c r="BM1729" s="343">
        <f>SUMIFS($AU$1388:AU1730,$AQ$1388:AQ1730,"M")</f>
        <v>5261.1799999997265</v>
      </c>
      <c r="BN1729" s="343">
        <f>SUMIFS($AU$1388:AU1730,$AQ$1388:AQ1730,"H")</f>
        <v>4299.2000000004446</v>
      </c>
      <c r="BO1729" s="343">
        <f>SUMIFS($AU$1388:AU1730,$AQ$1388:AQ1730,"D")</f>
        <v>5426.0000000000009</v>
      </c>
      <c r="BP1729" s="343">
        <f>SUMIFS($AU$1388:AU1817,$AQ$1388:AQ1817,"W")</f>
        <v>12022.400000000001</v>
      </c>
      <c r="BQ1729" s="343">
        <f>SUMIFS($AU$1388:AU1730,$Q$1388:Q1730,"O")</f>
        <v>1828.3800000001911</v>
      </c>
      <c r="BR1729" s="343">
        <f>SUMIFS($AU$1388:AU1730,$AA$1388:AA1730,"*")</f>
        <v>21865.600000000064</v>
      </c>
      <c r="BS1729" s="343">
        <f>SUMIFS($AU$1388:AU1730,$AB$1388:AB1730,"*")</f>
        <v>6951.1799999999312</v>
      </c>
      <c r="BT1729" s="343">
        <f>SUMIFS($AU$1388:AU1730,$AC$1388:AC1730,"*")</f>
        <v>16068.4</v>
      </c>
      <c r="BU1729" s="343">
        <f>SUMIFS($AU$1388:AU1730,$AA$1388:AA1730,"*",$AB$1388:AB1730,"*")</f>
        <v>4415.9999999998217</v>
      </c>
      <c r="BV1729" s="343">
        <f>SUMIFS($AU$1388:AU1730,$AA$1388:AA1730,"*",$AC$1388:AC1730,"*")</f>
        <v>13764.4</v>
      </c>
      <c r="BW1729" s="343">
        <f>SUMIFS($AU$1388:AU1730,$AB$1388:AB1730,"*",$AC$1388:AC1730,"*")</f>
        <v>3279.9999999999982</v>
      </c>
      <c r="BX1729" s="343">
        <f>SUMIFS($AV$1388:AV1730,$Q$1388:Q1730,"F")</f>
        <v>357.19230875404793</v>
      </c>
      <c r="BY1729" s="343">
        <f>SUMIFS($AV$1388:AV1730,$Q$1388:Q1730,"S")</f>
        <v>367.10971725586728</v>
      </c>
      <c r="BZ1729" s="343">
        <f>SUMIFS($AV$1388:AV1730,$Q$1388:Q1730,"O")</f>
        <v>519.33999999986361</v>
      </c>
    </row>
    <row r="1730" spans="1:78" ht="15.75" customHeight="1">
      <c r="A1730" s="177" t="s">
        <v>5612</v>
      </c>
      <c r="B1730" s="200"/>
      <c r="C1730" s="178"/>
      <c r="D1730" s="178"/>
      <c r="E1730" s="227"/>
      <c r="F1730" s="180"/>
      <c r="G1730" s="181"/>
      <c r="H1730" s="182"/>
      <c r="I1730" s="182"/>
      <c r="J1730" s="182"/>
      <c r="K1730" s="183"/>
      <c r="L1730" s="182"/>
      <c r="M1730" s="182"/>
      <c r="N1730" s="182"/>
      <c r="O1730" s="183"/>
      <c r="P1730" s="183"/>
      <c r="Q1730" s="183"/>
      <c r="R1730" s="183"/>
      <c r="S1730" s="183"/>
      <c r="T1730" s="183"/>
      <c r="U1730" s="183"/>
      <c r="V1730" s="183"/>
      <c r="W1730" s="183"/>
      <c r="X1730" s="183"/>
      <c r="Y1730" s="184"/>
      <c r="Z1730" s="185"/>
      <c r="AA1730" s="185"/>
      <c r="AB1730" s="185"/>
      <c r="AC1730" s="185"/>
      <c r="AD1730" s="649"/>
      <c r="AE1730" s="182"/>
      <c r="AF1730" s="332"/>
      <c r="AG1730" s="182"/>
      <c r="AH1730" s="182"/>
      <c r="AI1730" s="182"/>
      <c r="AJ1730" s="640"/>
      <c r="AK1730" s="182"/>
      <c r="AL1730" s="496">
        <f t="shared" si="522"/>
        <v>0</v>
      </c>
      <c r="AM1730" s="496">
        <f t="shared" si="512"/>
        <v>0</v>
      </c>
      <c r="AN1730" s="626"/>
      <c r="AO1730" s="182"/>
      <c r="AP1730" s="182"/>
      <c r="AQ1730" s="332" t="str">
        <f>UPPER(RIGHT(Journal_Live[[#This Row],[DURATION ]]))</f>
        <v/>
      </c>
      <c r="AR1730" s="182"/>
      <c r="AS1730" s="189"/>
      <c r="AT1730" s="189"/>
      <c r="AU1730" s="187"/>
      <c r="AV1730" s="190"/>
      <c r="AW1730" s="191"/>
      <c r="AX1730" s="417" t="s">
        <v>5558</v>
      </c>
      <c r="AY1730" s="551" t="s">
        <v>5830</v>
      </c>
      <c r="AZ1730" s="551" t="s">
        <v>5831</v>
      </c>
      <c r="BA1730" s="551" t="s">
        <v>5832</v>
      </c>
      <c r="BB1730" s="551" t="s">
        <v>5833</v>
      </c>
      <c r="BC1730" s="551" t="s">
        <v>5834</v>
      </c>
      <c r="BD1730" s="549"/>
      <c r="BE1730" s="550"/>
      <c r="BF1730" s="549"/>
      <c r="BG1730" s="391">
        <f>SUM($AV$1389:AV1730)</f>
        <v>1559.6420260097843</v>
      </c>
      <c r="BH1730" s="392">
        <f>SUM($AU$1389:AU1730)</f>
        <v>26704.780000000177</v>
      </c>
      <c r="BI1730" s="318">
        <f>SUMIFS($AU$1388:AU1731,$Q$1388:Q1731,"F")</f>
        <v>19188.400000000001</v>
      </c>
      <c r="BJ1730" s="318">
        <f>SUMIFS($AU$1388:AU1731,$Q$1388:Q1731,"S")</f>
        <v>5727.9999999999909</v>
      </c>
      <c r="BK1730" s="343">
        <f>SUMIFS($AU$1388:AU1731,$P$1388:P1731,"W")</f>
        <v>19085.580000000136</v>
      </c>
      <c r="BL1730" s="343">
        <f>SUMIFS($AU$1388:AU1731,$P$1388:P1731,"R")</f>
        <v>6661.9999999999991</v>
      </c>
      <c r="BM1730" s="343">
        <f>SUMIFS($AU$1388:AU1731,$AQ$1388:AQ1731,"M")</f>
        <v>5261.1799999997265</v>
      </c>
      <c r="BN1730" s="343">
        <f>SUMIFS($AU$1388:AU1731,$AQ$1388:AQ1731,"H")</f>
        <v>4299.2000000004446</v>
      </c>
      <c r="BO1730" s="343">
        <f>SUMIFS($AU$1388:AU1731,$AQ$1388:AQ1731,"D")</f>
        <v>5426.0000000000009</v>
      </c>
      <c r="BP1730" s="343">
        <f>SUMIFS($AU$1388:AU1818,$AQ$1388:AQ1818,"W")</f>
        <v>12022.400000000001</v>
      </c>
      <c r="BQ1730" s="343">
        <f>SUMIFS($AU$1388:AU1731,$Q$1388:Q1731,"O")</f>
        <v>1828.3800000001911</v>
      </c>
      <c r="BR1730" s="343">
        <f>SUMIFS($AU$1388:AU1731,$AA$1388:AA1731,"*")</f>
        <v>21865.600000000064</v>
      </c>
      <c r="BS1730" s="343">
        <f>SUMIFS($AU$1388:AU1731,$AB$1388:AB1731,"*")</f>
        <v>6951.1799999999312</v>
      </c>
      <c r="BT1730" s="343">
        <f>SUMIFS($AU$1388:AU1731,$AC$1388:AC1731,"*")</f>
        <v>16068.4</v>
      </c>
      <c r="BU1730" s="343">
        <f>SUMIFS($AU$1388:AU1731,$AA$1388:AA1731,"*",$AB$1388:AB1731,"*")</f>
        <v>4415.9999999998217</v>
      </c>
      <c r="BV1730" s="343">
        <f>SUMIFS($AU$1388:AU1731,$AA$1388:AA1731,"*",$AC$1388:AC1731,"*")</f>
        <v>13764.4</v>
      </c>
      <c r="BW1730" s="343">
        <f>SUMIFS($AU$1388:AU1731,$AB$1388:AB1731,"*",$AC$1388:AC1731,"*")</f>
        <v>3279.9999999999982</v>
      </c>
      <c r="BX1730" s="343">
        <f>SUMIFS($AV$1388:AV1731,$Q$1388:Q1731,"F")</f>
        <v>357.19230875404793</v>
      </c>
      <c r="BY1730" s="343">
        <f>SUMIFS($AV$1388:AV1731,$Q$1388:Q1731,"S")</f>
        <v>367.10971725586728</v>
      </c>
      <c r="BZ1730" s="343">
        <f>SUMIFS($AV$1388:AV1731,$Q$1388:Q1731,"O")</f>
        <v>519.33999999986361</v>
      </c>
    </row>
    <row r="1731" spans="1:78" ht="15.75" customHeight="1">
      <c r="A1731" s="177" t="s">
        <v>5612</v>
      </c>
      <c r="B1731" s="200">
        <v>45378</v>
      </c>
      <c r="C1731" s="178" t="s">
        <v>1437</v>
      </c>
      <c r="D1731" s="178" t="s">
        <v>151</v>
      </c>
      <c r="E1731" s="227" t="s">
        <v>5835</v>
      </c>
      <c r="F1731" s="180" t="s">
        <v>5836</v>
      </c>
      <c r="G1731" s="181"/>
      <c r="H1731" s="182"/>
      <c r="I1731" s="182"/>
      <c r="J1731" s="182">
        <v>1</v>
      </c>
      <c r="K1731" s="183" t="s">
        <v>115</v>
      </c>
      <c r="L1731" s="182"/>
      <c r="M1731" s="182"/>
      <c r="N1731" s="182"/>
      <c r="O1731" s="183"/>
      <c r="P1731" s="183"/>
      <c r="Q1731" s="183"/>
      <c r="R1731" s="183"/>
      <c r="S1731" s="183"/>
      <c r="T1731" s="183"/>
      <c r="U1731" s="183"/>
      <c r="V1731" s="183"/>
      <c r="W1731" s="183"/>
      <c r="X1731" s="183"/>
      <c r="Y1731" s="184"/>
      <c r="Z1731" s="185"/>
      <c r="AA1731" s="185"/>
      <c r="AB1731" s="185"/>
      <c r="AC1731" s="185"/>
      <c r="AD1731" s="649"/>
      <c r="AE1731" s="182"/>
      <c r="AF1731" s="332"/>
      <c r="AG1731" s="182"/>
      <c r="AH1731" s="182"/>
      <c r="AI1731" s="182"/>
      <c r="AJ1731" s="640"/>
      <c r="AK1731" s="182"/>
      <c r="AL1731" s="496">
        <f t="shared" si="522"/>
        <v>0</v>
      </c>
      <c r="AM1731" s="496">
        <f t="shared" si="512"/>
        <v>0</v>
      </c>
      <c r="AN1731" s="626"/>
      <c r="AO1731" s="182"/>
      <c r="AP1731" s="182"/>
      <c r="AQ1731" s="332" t="str">
        <f>UPPER(RIGHT(Journal_Live[[#This Row],[DURATION ]]))</f>
        <v/>
      </c>
      <c r="AR1731" s="182"/>
      <c r="AS1731" s="189"/>
      <c r="AT1731" s="189"/>
      <c r="AU1731" s="187"/>
      <c r="AV1731" s="190"/>
      <c r="AW1731" s="191"/>
      <c r="AX1731" s="551"/>
      <c r="AY1731" s="551"/>
      <c r="AZ1731" s="551"/>
      <c r="BA1731" s="551"/>
      <c r="BB1731" s="551"/>
      <c r="BC1731" s="551"/>
      <c r="BD1731" s="549"/>
      <c r="BE1731" s="550"/>
      <c r="BF1731" s="549"/>
      <c r="BG1731" s="391">
        <f>SUM($AV$1389:AV1731)</f>
        <v>1559.6420260097843</v>
      </c>
      <c r="BH1731" s="392">
        <f>SUM($AU$1389:AU1731)</f>
        <v>26704.780000000177</v>
      </c>
      <c r="BI1731" s="318">
        <f>SUMIFS($AU$1388:AU1732,$Q$1388:Q1732,"F")</f>
        <v>19188.400000000001</v>
      </c>
      <c r="BJ1731" s="318">
        <f>SUMIFS($AU$1388:AU1732,$Q$1388:Q1732,"S")</f>
        <v>5727.9999999999909</v>
      </c>
      <c r="BK1731" s="343">
        <f>SUMIFS($AU$1388:AU1732,$P$1388:P1732,"W")</f>
        <v>19085.580000000136</v>
      </c>
      <c r="BL1731" s="343">
        <f>SUMIFS($AU$1388:AU1732,$P$1388:P1732,"R")</f>
        <v>6661.9999999999991</v>
      </c>
      <c r="BM1731" s="343">
        <f>SUMIFS($AU$1388:AU1732,$AQ$1388:AQ1732,"M")</f>
        <v>5261.1799999997265</v>
      </c>
      <c r="BN1731" s="343">
        <f>SUMIFS($AU$1388:AU1732,$AQ$1388:AQ1732,"H")</f>
        <v>4299.2000000004446</v>
      </c>
      <c r="BO1731" s="343">
        <f>SUMIFS($AU$1388:AU1732,$AQ$1388:AQ1732,"D")</f>
        <v>5426.0000000000009</v>
      </c>
      <c r="BP1731" s="343">
        <f>SUMIFS($AU$1388:AU1819,$AQ$1388:AQ1819,"W")</f>
        <v>12022.400000000001</v>
      </c>
      <c r="BQ1731" s="343">
        <f>SUMIFS($AU$1388:AU1732,$Q$1388:Q1732,"O")</f>
        <v>1828.3800000001911</v>
      </c>
      <c r="BR1731" s="343">
        <f>SUMIFS($AU$1388:AU1732,$AA$1388:AA1732,"*")</f>
        <v>21865.600000000064</v>
      </c>
      <c r="BS1731" s="343">
        <f>SUMIFS($AU$1388:AU1732,$AB$1388:AB1732,"*")</f>
        <v>6951.1799999999312</v>
      </c>
      <c r="BT1731" s="343">
        <f>SUMIFS($AU$1388:AU1732,$AC$1388:AC1732,"*")</f>
        <v>16068.4</v>
      </c>
      <c r="BU1731" s="343">
        <f>SUMIFS($AU$1388:AU1732,$AA$1388:AA1732,"*",$AB$1388:AB1732,"*")</f>
        <v>4415.9999999998217</v>
      </c>
      <c r="BV1731" s="343">
        <f>SUMIFS($AU$1388:AU1732,$AA$1388:AA1732,"*",$AC$1388:AC1732,"*")</f>
        <v>13764.4</v>
      </c>
      <c r="BW1731" s="343">
        <f>SUMIFS($AU$1388:AU1732,$AB$1388:AB1732,"*",$AC$1388:AC1732,"*")</f>
        <v>3279.9999999999982</v>
      </c>
      <c r="BX1731" s="343">
        <f>SUMIFS($AV$1388:AV1732,$Q$1388:Q1732,"F")</f>
        <v>357.19230875404793</v>
      </c>
      <c r="BY1731" s="343">
        <f>SUMIFS($AV$1388:AV1732,$Q$1388:Q1732,"S")</f>
        <v>367.10971725586728</v>
      </c>
      <c r="BZ1731" s="343">
        <f>SUMIFS($AV$1388:AV1732,$Q$1388:Q1732,"O")</f>
        <v>519.33999999986361</v>
      </c>
    </row>
    <row r="1732" spans="1:78" ht="15.75" customHeight="1">
      <c r="A1732" s="177" t="s">
        <v>5612</v>
      </c>
      <c r="B1732" s="200">
        <v>45378</v>
      </c>
      <c r="C1732" s="178" t="s">
        <v>587</v>
      </c>
      <c r="D1732" s="178" t="s">
        <v>151</v>
      </c>
      <c r="E1732" s="227"/>
      <c r="F1732" s="180"/>
      <c r="G1732" s="481" t="s">
        <v>3990</v>
      </c>
      <c r="H1732" s="182"/>
      <c r="I1732" s="182"/>
      <c r="J1732" s="182"/>
      <c r="K1732" s="183"/>
      <c r="L1732" s="182">
        <v>1</v>
      </c>
      <c r="M1732" s="182"/>
      <c r="N1732" s="182"/>
      <c r="O1732" s="183" t="s">
        <v>95</v>
      </c>
      <c r="P1732" s="183" t="s">
        <v>96</v>
      </c>
      <c r="Q1732" s="183" t="s">
        <v>97</v>
      </c>
      <c r="R1732" s="183">
        <v>40</v>
      </c>
      <c r="S1732" s="559">
        <v>20</v>
      </c>
      <c r="T1732" s="183">
        <v>20</v>
      </c>
      <c r="U1732" s="183" t="s">
        <v>22</v>
      </c>
      <c r="V1732" s="183"/>
      <c r="W1732" s="183"/>
      <c r="X1732" s="183"/>
      <c r="Y1732" s="184">
        <f>IF(ISBLANK(O1732),"",(IF(O1732=UPPER("IB"),0.005,0.01)))</f>
        <v>0.01</v>
      </c>
      <c r="Z1732" s="185">
        <f>IF(ISBLANK(O1732),"",IF(O1732="IB",8.63*200,IF(O1732="IR",16*100,IF(O1732="YT",20*100,IF(O1732="YT-XT",24*200,IF(O1732="TED",80*100,IF(O1732="XT",29*200)))))))</f>
        <v>1600</v>
      </c>
      <c r="AA1732" s="409" t="s">
        <v>5837</v>
      </c>
      <c r="AB1732" s="185"/>
      <c r="AC1732" s="185"/>
      <c r="AD1732" s="649">
        <v>-0.28000000000000003</v>
      </c>
      <c r="AE1732" s="182"/>
      <c r="AF1732" s="332"/>
      <c r="AG1732" s="182"/>
      <c r="AH1732" s="182"/>
      <c r="AI1732" s="182"/>
      <c r="AJ1732" s="640"/>
      <c r="AK1732" s="182"/>
      <c r="AL1732" s="496">
        <f t="shared" si="522"/>
        <v>-32</v>
      </c>
      <c r="AM1732" s="496">
        <f t="shared" si="512"/>
        <v>-640</v>
      </c>
      <c r="AN1732" s="626"/>
      <c r="AO1732" s="182"/>
      <c r="AP1732" s="182"/>
      <c r="AQ1732" s="332" t="s">
        <v>372</v>
      </c>
      <c r="AR1732" s="298">
        <v>45378</v>
      </c>
      <c r="AS1732" s="189">
        <v>-0.28000000000000003</v>
      </c>
      <c r="AT1732" s="189">
        <f>IF(ISBLANK(AS1732),,IF(U1732="S",AD1732-AS1732,AS1732-AD1732))</f>
        <v>0</v>
      </c>
      <c r="AU1732" s="187">
        <f>AV1732*R1732</f>
        <v>0</v>
      </c>
      <c r="AV1732" s="190">
        <f t="shared" ref="AV1732" si="523">IF(ISBLANK(AS1732),,(AT1732*Z1732))</f>
        <v>0</v>
      </c>
      <c r="AW1732" s="191" t="s">
        <v>115</v>
      </c>
      <c r="AX1732" s="551" t="s">
        <v>5838</v>
      </c>
      <c r="AY1732" s="551" t="s">
        <v>5839</v>
      </c>
      <c r="AZ1732" s="549" t="s">
        <v>5840</v>
      </c>
      <c r="BA1732" s="551" t="s">
        <v>5841</v>
      </c>
      <c r="BB1732" s="551" t="s">
        <v>5842</v>
      </c>
      <c r="BC1732" s="551" t="s">
        <v>5843</v>
      </c>
      <c r="BD1732" s="549"/>
      <c r="BE1732" s="550"/>
      <c r="BF1732" s="549"/>
      <c r="BG1732" s="391">
        <f>SUM($AV$1389:AV1732)</f>
        <v>1559.6420260097843</v>
      </c>
      <c r="BH1732" s="392">
        <f>SUM($AU$1389:AU1732)</f>
        <v>26704.780000000177</v>
      </c>
      <c r="BI1732" s="318">
        <f>SUMIFS($AU$1388:AU1733,$Q$1388:Q1733,"F")</f>
        <v>19188.400000000001</v>
      </c>
      <c r="BJ1732" s="318">
        <f>SUMIFS($AU$1388:AU1733,$Q$1388:Q1733,"S")</f>
        <v>5727.9999999999909</v>
      </c>
      <c r="BK1732" s="343">
        <f>SUMIFS($AU$1388:AU1733,$P$1388:P1733,"W")</f>
        <v>19085.580000000136</v>
      </c>
      <c r="BL1732" s="343">
        <f>SUMIFS($AU$1388:AU1733,$P$1388:P1733,"R")</f>
        <v>6661.9999999999991</v>
      </c>
      <c r="BM1732" s="343">
        <f>SUMIFS($AU$1388:AU1733,$AQ$1388:AQ1733,"M")</f>
        <v>5261.1799999997265</v>
      </c>
      <c r="BN1732" s="343">
        <f>SUMIFS($AU$1388:AU1733,$AQ$1388:AQ1733,"H")</f>
        <v>4299.2000000004446</v>
      </c>
      <c r="BO1732" s="343">
        <f>SUMIFS($AU$1388:AU1733,$AQ$1388:AQ1733,"D")</f>
        <v>5426.0000000000009</v>
      </c>
      <c r="BP1732" s="343">
        <f>SUMIFS($AU$1388:AU1820,$AQ$1388:AQ1820,"W")</f>
        <v>12022.400000000001</v>
      </c>
      <c r="BQ1732" s="343">
        <f>SUMIFS($AU$1388:AU1733,$Q$1388:Q1733,"O")</f>
        <v>1828.3800000001911</v>
      </c>
      <c r="BR1732" s="343">
        <f>SUMIFS($AU$1388:AU1733,$AA$1388:AA1733,"*")</f>
        <v>21865.600000000064</v>
      </c>
      <c r="BS1732" s="343">
        <f>SUMIFS($AU$1388:AU1733,$AB$1388:AB1733,"*")</f>
        <v>6951.1799999999312</v>
      </c>
      <c r="BT1732" s="343">
        <f>SUMIFS($AU$1388:AU1733,$AC$1388:AC1733,"*")</f>
        <v>16068.4</v>
      </c>
      <c r="BU1732" s="343">
        <f>SUMIFS($AU$1388:AU1733,$AA$1388:AA1733,"*",$AB$1388:AB1733,"*")</f>
        <v>4415.9999999998217</v>
      </c>
      <c r="BV1732" s="343">
        <f>SUMIFS($AU$1388:AU1733,$AA$1388:AA1733,"*",$AC$1388:AC1733,"*")</f>
        <v>13764.4</v>
      </c>
      <c r="BW1732" s="343">
        <f>SUMIFS($AU$1388:AU1733,$AB$1388:AB1733,"*",$AC$1388:AC1733,"*")</f>
        <v>3279.9999999999982</v>
      </c>
      <c r="BX1732" s="343">
        <f>SUMIFS($AV$1388:AV1733,$Q$1388:Q1733,"F")</f>
        <v>357.19230875404793</v>
      </c>
      <c r="BY1732" s="343">
        <f>SUMIFS($AV$1388:AV1733,$Q$1388:Q1733,"S")</f>
        <v>367.10971725586728</v>
      </c>
      <c r="BZ1732" s="343">
        <f>SUMIFS($AV$1388:AV1733,$Q$1388:Q1733,"O")</f>
        <v>519.33999999986361</v>
      </c>
    </row>
    <row r="1733" spans="1:78" ht="15.75" customHeight="1">
      <c r="A1733" s="177" t="s">
        <v>5612</v>
      </c>
      <c r="B1733" s="200"/>
      <c r="C1733" s="178"/>
      <c r="D1733" s="178"/>
      <c r="E1733" s="227"/>
      <c r="F1733" s="180"/>
      <c r="G1733" s="181"/>
      <c r="H1733" s="182"/>
      <c r="I1733" s="182"/>
      <c r="J1733" s="182"/>
      <c r="K1733" s="183"/>
      <c r="L1733" s="182"/>
      <c r="M1733" s="182"/>
      <c r="N1733" s="182"/>
      <c r="O1733" s="183"/>
      <c r="P1733" s="183"/>
      <c r="Q1733" s="183"/>
      <c r="R1733" s="183"/>
      <c r="S1733" s="183"/>
      <c r="T1733" s="183"/>
      <c r="U1733" s="183"/>
      <c r="V1733" s="183"/>
      <c r="W1733" s="183"/>
      <c r="X1733" s="183"/>
      <c r="Y1733" s="184"/>
      <c r="Z1733" s="185"/>
      <c r="AA1733" s="409"/>
      <c r="AB1733" s="185"/>
      <c r="AC1733" s="185"/>
      <c r="AD1733" s="649"/>
      <c r="AE1733" s="182"/>
      <c r="AF1733" s="332"/>
      <c r="AG1733" s="182"/>
      <c r="AH1733" s="182"/>
      <c r="AI1733" s="182"/>
      <c r="AJ1733" s="640"/>
      <c r="AK1733" s="182"/>
      <c r="AL1733" s="496">
        <f t="shared" ref="AL1733" si="524">-0.02*Z1733</f>
        <v>0</v>
      </c>
      <c r="AM1733" s="496">
        <f t="shared" si="512"/>
        <v>0</v>
      </c>
      <c r="AN1733" s="626"/>
      <c r="AO1733" s="182"/>
      <c r="AP1733" s="182"/>
      <c r="AQ1733" s="332"/>
      <c r="AR1733" s="182"/>
      <c r="AS1733" s="189"/>
      <c r="AT1733" s="189"/>
      <c r="AU1733" s="187"/>
      <c r="AV1733" s="190"/>
      <c r="AW1733" s="191"/>
      <c r="AX1733" s="551"/>
      <c r="AY1733" s="551"/>
      <c r="AZ1733" s="551"/>
      <c r="BA1733" s="551"/>
      <c r="BB1733" s="551"/>
      <c r="BC1733" s="551"/>
      <c r="BD1733" s="549"/>
      <c r="BE1733" s="550"/>
      <c r="BF1733" s="549"/>
      <c r="BG1733" s="391">
        <f>SUM($AV$1389:AV1733)</f>
        <v>1559.6420260097843</v>
      </c>
      <c r="BH1733" s="392">
        <f>SUM($AU$1389:AU1733)</f>
        <v>26704.780000000177</v>
      </c>
      <c r="BI1733" s="318">
        <f>SUMIFS($AU$1388:AU1734,$Q$1388:Q1734,"F")</f>
        <v>19188.400000000001</v>
      </c>
      <c r="BJ1733" s="318">
        <f>SUMIFS($AU$1388:AU1734,$Q$1388:Q1734,"S")</f>
        <v>5727.9999999999909</v>
      </c>
      <c r="BK1733" s="343">
        <f>SUMIFS($AU$1388:AU1734,$P$1388:P1734,"W")</f>
        <v>19085.580000000136</v>
      </c>
      <c r="BL1733" s="343">
        <f>SUMIFS($AU$1388:AU1734,$P$1388:P1734,"R")</f>
        <v>6661.9999999999991</v>
      </c>
      <c r="BM1733" s="343">
        <f>SUMIFS($AU$1388:AU1734,$AQ$1388:AQ1734,"M")</f>
        <v>5261.1799999997265</v>
      </c>
      <c r="BN1733" s="343">
        <f>SUMIFS($AU$1388:AU1734,$AQ$1388:AQ1734,"H")</f>
        <v>4299.2000000004446</v>
      </c>
      <c r="BO1733" s="343">
        <f>SUMIFS($AU$1388:AU1734,$AQ$1388:AQ1734,"D")</f>
        <v>5426.0000000000009</v>
      </c>
      <c r="BP1733" s="343">
        <f>SUMIFS($AU$1388:AU1821,$AQ$1388:AQ1821,"W")</f>
        <v>12022.400000000001</v>
      </c>
      <c r="BQ1733" s="343">
        <f>SUMIFS($AU$1388:AU1734,$Q$1388:Q1734,"O")</f>
        <v>1828.3800000001911</v>
      </c>
      <c r="BR1733" s="343">
        <f>SUMIFS($AU$1388:AU1734,$AA$1388:AA1734,"*")</f>
        <v>21865.600000000064</v>
      </c>
      <c r="BS1733" s="343">
        <f>SUMIFS($AU$1388:AU1734,$AB$1388:AB1734,"*")</f>
        <v>6951.1799999999312</v>
      </c>
      <c r="BT1733" s="343">
        <f>SUMIFS($AU$1388:AU1734,$AC$1388:AC1734,"*")</f>
        <v>16068.4</v>
      </c>
      <c r="BU1733" s="343">
        <f>SUMIFS($AU$1388:AU1734,$AA$1388:AA1734,"*",$AB$1388:AB1734,"*")</f>
        <v>4415.9999999998217</v>
      </c>
      <c r="BV1733" s="343">
        <f>SUMIFS($AU$1388:AU1734,$AA$1388:AA1734,"*",$AC$1388:AC1734,"*")</f>
        <v>13764.4</v>
      </c>
      <c r="BW1733" s="343">
        <f>SUMIFS($AU$1388:AU1734,$AB$1388:AB1734,"*",$AC$1388:AC1734,"*")</f>
        <v>3279.9999999999982</v>
      </c>
      <c r="BX1733" s="343">
        <f>SUMIFS($AV$1388:AV1734,$Q$1388:Q1734,"F")</f>
        <v>357.19230875404793</v>
      </c>
      <c r="BY1733" s="343">
        <f>SUMIFS($AV$1388:AV1734,$Q$1388:Q1734,"S")</f>
        <v>367.10971725586728</v>
      </c>
      <c r="BZ1733" s="343">
        <f>SUMIFS($AV$1388:AV1734,$Q$1388:Q1734,"O")</f>
        <v>519.33999999986361</v>
      </c>
    </row>
    <row r="1734" spans="1:78" ht="15.75" customHeight="1">
      <c r="A1734" s="177" t="s">
        <v>5612</v>
      </c>
      <c r="B1734" s="200"/>
      <c r="C1734" s="178"/>
      <c r="D1734" s="178"/>
      <c r="E1734" s="227"/>
      <c r="F1734" s="180"/>
      <c r="G1734" s="181"/>
      <c r="H1734" s="182"/>
      <c r="I1734" s="182"/>
      <c r="J1734" s="182"/>
      <c r="K1734" s="183"/>
      <c r="L1734" s="182"/>
      <c r="M1734" s="182"/>
      <c r="N1734" s="182"/>
      <c r="O1734" s="183"/>
      <c r="P1734" s="183"/>
      <c r="Q1734" s="183"/>
      <c r="R1734" s="183"/>
      <c r="S1734" s="183"/>
      <c r="T1734" s="183"/>
      <c r="U1734" s="183"/>
      <c r="V1734" s="183"/>
      <c r="W1734" s="183"/>
      <c r="X1734" s="183"/>
      <c r="Y1734" s="184"/>
      <c r="Z1734" s="185"/>
      <c r="AA1734" s="409"/>
      <c r="AB1734" s="185"/>
      <c r="AC1734" s="185"/>
      <c r="AD1734" s="649"/>
      <c r="AE1734" s="182"/>
      <c r="AF1734" s="332"/>
      <c r="AG1734" s="182"/>
      <c r="AH1734" s="182"/>
      <c r="AI1734" s="182"/>
      <c r="AJ1734" s="640"/>
      <c r="AK1734" s="182"/>
      <c r="AL1734" s="496">
        <f t="shared" si="522"/>
        <v>0</v>
      </c>
      <c r="AM1734" s="496">
        <f t="shared" si="512"/>
        <v>0</v>
      </c>
      <c r="AN1734" s="626"/>
      <c r="AO1734" s="182"/>
      <c r="AP1734" s="182"/>
      <c r="AQ1734" s="332"/>
      <c r="AR1734" s="182"/>
      <c r="AS1734" s="189"/>
      <c r="AT1734" s="189"/>
      <c r="AU1734" s="187"/>
      <c r="AV1734" s="190"/>
      <c r="AW1734" s="191"/>
      <c r="AX1734" s="551"/>
      <c r="AY1734" s="551"/>
      <c r="AZ1734" s="551"/>
      <c r="BA1734" s="551"/>
      <c r="BB1734" s="551"/>
      <c r="BC1734" s="551"/>
      <c r="BD1734" s="549"/>
      <c r="BE1734" s="550"/>
      <c r="BF1734" s="549"/>
      <c r="BG1734" s="391">
        <f>SUM($AV$1389:AV1734)</f>
        <v>1559.6420260097843</v>
      </c>
      <c r="BH1734" s="392">
        <f>SUM($AU$1389:AU1734)</f>
        <v>26704.780000000177</v>
      </c>
      <c r="BI1734" s="318">
        <f>SUMIFS($AU$1388:AU1735,$Q$1388:Q1735,"F")</f>
        <v>19188.400000000001</v>
      </c>
      <c r="BJ1734" s="318">
        <f>SUMIFS($AU$1388:AU1735,$Q$1388:Q1735,"S")</f>
        <v>5727.9999999999909</v>
      </c>
      <c r="BK1734" s="343">
        <f>SUMIFS($AU$1388:AU1735,$P$1388:P1735,"W")</f>
        <v>19085.580000000136</v>
      </c>
      <c r="BL1734" s="343">
        <f>SUMIFS($AU$1388:AU1735,$P$1388:P1735,"R")</f>
        <v>6661.9999999999991</v>
      </c>
      <c r="BM1734" s="343">
        <f>SUMIFS($AU$1388:AU1735,$AQ$1388:AQ1735,"M")</f>
        <v>5261.1799999997265</v>
      </c>
      <c r="BN1734" s="343">
        <f>SUMIFS($AU$1388:AU1735,$AQ$1388:AQ1735,"H")</f>
        <v>4299.2000000004446</v>
      </c>
      <c r="BO1734" s="343">
        <f>SUMIFS($AU$1388:AU1735,$AQ$1388:AQ1735,"D")</f>
        <v>5426.0000000000009</v>
      </c>
      <c r="BP1734" s="343">
        <f>SUMIFS($AU$1388:AU1822,$AQ$1388:AQ1822,"W")</f>
        <v>12022.400000000001</v>
      </c>
      <c r="BQ1734" s="343">
        <f>SUMIFS($AU$1388:AU1735,$Q$1388:Q1735,"O")</f>
        <v>1828.3800000001911</v>
      </c>
      <c r="BR1734" s="343">
        <f>SUMIFS($AU$1388:AU1735,$AA$1388:AA1735,"*")</f>
        <v>21865.600000000064</v>
      </c>
      <c r="BS1734" s="343">
        <f>SUMIFS($AU$1388:AU1735,$AB$1388:AB1735,"*")</f>
        <v>6951.1799999999312</v>
      </c>
      <c r="BT1734" s="343">
        <f>SUMIFS($AU$1388:AU1735,$AC$1388:AC1735,"*")</f>
        <v>16068.4</v>
      </c>
      <c r="BU1734" s="343">
        <f>SUMIFS($AU$1388:AU1735,$AA$1388:AA1735,"*",$AB$1388:AB1735,"*")</f>
        <v>4415.9999999998217</v>
      </c>
      <c r="BV1734" s="343">
        <f>SUMIFS($AU$1388:AU1735,$AA$1388:AA1735,"*",$AC$1388:AC1735,"*")</f>
        <v>13764.4</v>
      </c>
      <c r="BW1734" s="343">
        <f>SUMIFS($AU$1388:AU1735,$AB$1388:AB1735,"*",$AC$1388:AC1735,"*")</f>
        <v>3279.9999999999982</v>
      </c>
      <c r="BX1734" s="343">
        <f>SUMIFS($AV$1388:AV1735,$Q$1388:Q1735,"F")</f>
        <v>357.19230875404793</v>
      </c>
      <c r="BY1734" s="343">
        <f>SUMIFS($AV$1388:AV1735,$Q$1388:Q1735,"S")</f>
        <v>367.10971725586728</v>
      </c>
      <c r="BZ1734" s="343">
        <f>SUMIFS($AV$1388:AV1735,$Q$1388:Q1735,"O")</f>
        <v>519.33999999986361</v>
      </c>
    </row>
    <row r="1735" spans="1:78" ht="15.75" customHeight="1">
      <c r="A1735" s="177" t="s">
        <v>5612</v>
      </c>
      <c r="B1735" s="200"/>
      <c r="C1735" s="178"/>
      <c r="D1735" s="178"/>
      <c r="E1735" s="227"/>
      <c r="F1735" s="180"/>
      <c r="G1735" s="181"/>
      <c r="H1735" s="182"/>
      <c r="I1735" s="182"/>
      <c r="J1735" s="182"/>
      <c r="K1735" s="183"/>
      <c r="L1735" s="182"/>
      <c r="M1735" s="182"/>
      <c r="N1735" s="182"/>
      <c r="O1735" s="183"/>
      <c r="P1735" s="183"/>
      <c r="Q1735" s="183"/>
      <c r="R1735" s="183"/>
      <c r="S1735" s="183"/>
      <c r="T1735" s="183"/>
      <c r="U1735" s="183"/>
      <c r="V1735" s="183"/>
      <c r="W1735" s="183"/>
      <c r="X1735" s="183"/>
      <c r="Y1735" s="183"/>
      <c r="Z1735" s="183"/>
      <c r="AA1735" s="185"/>
      <c r="AB1735" s="185"/>
      <c r="AC1735" s="185"/>
      <c r="AD1735" s="649"/>
      <c r="AE1735" s="182"/>
      <c r="AF1735" s="332"/>
      <c r="AG1735" s="182"/>
      <c r="AH1735" s="182"/>
      <c r="AI1735" s="182"/>
      <c r="AJ1735" s="640"/>
      <c r="AK1735" s="182"/>
      <c r="AL1735" s="496">
        <f t="shared" si="522"/>
        <v>0</v>
      </c>
      <c r="AM1735" s="496">
        <f t="shared" si="512"/>
        <v>0</v>
      </c>
      <c r="AN1735" s="626"/>
      <c r="AO1735" s="182"/>
      <c r="AP1735" s="182"/>
      <c r="AQ1735" s="332" t="str">
        <f>UPPER(RIGHT(Journal_Live[[#This Row],[DURATION ]]))</f>
        <v/>
      </c>
      <c r="AR1735" s="182"/>
      <c r="AS1735" s="189"/>
      <c r="AT1735" s="189"/>
      <c r="AU1735" s="187"/>
      <c r="AV1735" s="190"/>
      <c r="AW1735" s="191"/>
      <c r="AX1735" s="551"/>
      <c r="AY1735" s="549"/>
      <c r="AZ1735" s="551"/>
      <c r="BA1735" s="551"/>
      <c r="BB1735" s="551"/>
      <c r="BC1735" s="551"/>
      <c r="BD1735" s="549"/>
      <c r="BE1735" s="550"/>
      <c r="BF1735" s="549"/>
      <c r="BG1735" s="391">
        <f>SUM($AV$1389:AV1735)</f>
        <v>1559.6420260097843</v>
      </c>
      <c r="BH1735" s="392">
        <f>SUM($AU$1389:AU1735)</f>
        <v>26704.780000000177</v>
      </c>
      <c r="BI1735" s="318">
        <f>SUMIFS($AU$1388:AU1736,$Q$1388:Q1736,"F")</f>
        <v>19188.400000000001</v>
      </c>
      <c r="BJ1735" s="318">
        <f>SUMIFS($AU$1388:AU1736,$Q$1388:Q1736,"S")</f>
        <v>5727.9999999999909</v>
      </c>
      <c r="BK1735" s="343">
        <f>SUMIFS($AU$1388:AU1736,$P$1388:P1736,"W")</f>
        <v>19085.580000000136</v>
      </c>
      <c r="BL1735" s="343">
        <f>SUMIFS($AU$1388:AU1736,$P$1388:P1736,"R")</f>
        <v>6661.9999999999991</v>
      </c>
      <c r="BM1735" s="343">
        <f>SUMIFS($AU$1388:AU1736,$AQ$1388:AQ1736,"M")</f>
        <v>5261.1799999997265</v>
      </c>
      <c r="BN1735" s="343">
        <f>SUMIFS($AU$1388:AU1736,$AQ$1388:AQ1736,"H")</f>
        <v>4299.2000000004446</v>
      </c>
      <c r="BO1735" s="343">
        <f>SUMIFS($AU$1388:AU1736,$AQ$1388:AQ1736,"D")</f>
        <v>5426.0000000000009</v>
      </c>
      <c r="BP1735" s="343">
        <f>SUMIFS($AU$1388:AU1823,$AQ$1388:AQ1823,"W")</f>
        <v>12022.400000000001</v>
      </c>
      <c r="BQ1735" s="343">
        <f>SUMIFS($AU$1388:AU1736,$Q$1388:Q1736,"O")</f>
        <v>1828.3800000001911</v>
      </c>
      <c r="BR1735" s="343">
        <f>SUMIFS($AU$1388:AU1736,$AA$1388:AA1736,"*")</f>
        <v>21865.600000000064</v>
      </c>
      <c r="BS1735" s="343">
        <f>SUMIFS($AU$1388:AU1736,$AB$1388:AB1736,"*")</f>
        <v>6951.1799999999312</v>
      </c>
      <c r="BT1735" s="343">
        <f>SUMIFS($AU$1388:AU1736,$AC$1388:AC1736,"*")</f>
        <v>16068.4</v>
      </c>
      <c r="BU1735" s="343">
        <f>SUMIFS($AU$1388:AU1736,$AA$1388:AA1736,"*",$AB$1388:AB1736,"*")</f>
        <v>4415.9999999998217</v>
      </c>
      <c r="BV1735" s="343">
        <f>SUMIFS($AU$1388:AU1736,$AA$1388:AA1736,"*",$AC$1388:AC1736,"*")</f>
        <v>13764.4</v>
      </c>
      <c r="BW1735" s="343">
        <f>SUMIFS($AU$1388:AU1736,$AB$1388:AB1736,"*",$AC$1388:AC1736,"*")</f>
        <v>3279.9999999999982</v>
      </c>
      <c r="BX1735" s="343">
        <f>SUMIFS($AV$1388:AV1736,$Q$1388:Q1736,"F")</f>
        <v>357.19230875404793</v>
      </c>
      <c r="BY1735" s="343">
        <f>SUMIFS($AV$1388:AV1736,$Q$1388:Q1736,"S")</f>
        <v>367.10971725586728</v>
      </c>
      <c r="BZ1735" s="343">
        <f>SUMIFS($AV$1388:AV1736,$Q$1388:Q1736,"O")</f>
        <v>519.33999999986361</v>
      </c>
    </row>
    <row r="1736" spans="1:78" ht="15.75" customHeight="1">
      <c r="A1736" s="177" t="s">
        <v>5612</v>
      </c>
      <c r="B1736" s="200"/>
      <c r="C1736" s="178"/>
      <c r="D1736" s="178"/>
      <c r="E1736" s="227"/>
      <c r="F1736" s="180"/>
      <c r="G1736" s="181"/>
      <c r="H1736" s="182"/>
      <c r="I1736" s="182"/>
      <c r="J1736" s="182"/>
      <c r="K1736" s="183"/>
      <c r="L1736" s="182"/>
      <c r="M1736" s="182"/>
      <c r="N1736" s="182"/>
      <c r="O1736" s="183"/>
      <c r="P1736" s="183"/>
      <c r="Q1736" s="183"/>
      <c r="R1736" s="183"/>
      <c r="S1736" s="183"/>
      <c r="T1736" s="183"/>
      <c r="U1736" s="183"/>
      <c r="V1736" s="183"/>
      <c r="W1736" s="183"/>
      <c r="X1736" s="183"/>
      <c r="Y1736" s="183"/>
      <c r="Z1736" s="183"/>
      <c r="AA1736" s="185"/>
      <c r="AB1736" s="185"/>
      <c r="AC1736" s="185"/>
      <c r="AD1736" s="649"/>
      <c r="AE1736" s="182"/>
      <c r="AF1736" s="332"/>
      <c r="AG1736" s="182"/>
      <c r="AH1736" s="182"/>
      <c r="AI1736" s="182"/>
      <c r="AJ1736" s="640"/>
      <c r="AK1736" s="182"/>
      <c r="AL1736" s="496">
        <f t="shared" si="522"/>
        <v>0</v>
      </c>
      <c r="AM1736" s="496">
        <f t="shared" si="512"/>
        <v>0</v>
      </c>
      <c r="AN1736" s="626"/>
      <c r="AO1736" s="182"/>
      <c r="AP1736" s="182"/>
      <c r="AQ1736" s="332" t="str">
        <f>UPPER(RIGHT(Journal_Live[[#This Row],[DURATION ]]))</f>
        <v/>
      </c>
      <c r="AR1736" s="182"/>
      <c r="AS1736" s="189"/>
      <c r="AT1736" s="189"/>
      <c r="AU1736" s="187"/>
      <c r="AV1736" s="190"/>
      <c r="AW1736" s="191"/>
      <c r="AX1736" s="551"/>
      <c r="AY1736" s="551"/>
      <c r="AZ1736" s="551"/>
      <c r="BA1736" s="551"/>
      <c r="BB1736" s="551"/>
      <c r="BC1736" s="551"/>
      <c r="BD1736" s="549"/>
      <c r="BE1736" s="550"/>
      <c r="BF1736" s="549"/>
      <c r="BG1736" s="391">
        <f>SUM($AV$1389:AV1736)</f>
        <v>1559.6420260097843</v>
      </c>
      <c r="BH1736" s="392">
        <f>SUM($AU$1389:AU1736)</f>
        <v>26704.780000000177</v>
      </c>
      <c r="BI1736" s="318">
        <f>SUMIFS($AU$1388:AU1737,$Q$1388:Q1737,"F")</f>
        <v>19188.400000000001</v>
      </c>
      <c r="BJ1736" s="318">
        <f>SUMIFS($AU$1388:AU1737,$Q$1388:Q1737,"S")</f>
        <v>5727.9999999999909</v>
      </c>
      <c r="BK1736" s="343">
        <f>SUMIFS($AU$1388:AU1737,$P$1388:P1737,"W")</f>
        <v>19085.580000000136</v>
      </c>
      <c r="BL1736" s="343">
        <f>SUMIFS($AU$1388:AU1737,$P$1388:P1737,"R")</f>
        <v>6661.9999999999991</v>
      </c>
      <c r="BM1736" s="343">
        <f>SUMIFS($AU$1388:AU1737,$AQ$1388:AQ1737,"M")</f>
        <v>5261.1799999997265</v>
      </c>
      <c r="BN1736" s="343">
        <f>SUMIFS($AU$1388:AU1737,$AQ$1388:AQ1737,"H")</f>
        <v>4299.2000000004446</v>
      </c>
      <c r="BO1736" s="343">
        <f>SUMIFS($AU$1388:AU1737,$AQ$1388:AQ1737,"D")</f>
        <v>5426.0000000000009</v>
      </c>
      <c r="BP1736" s="343">
        <f>SUMIFS($AU$1388:AU1824,$AQ$1388:AQ1824,"W")</f>
        <v>12022.400000000001</v>
      </c>
      <c r="BQ1736" s="343">
        <f>SUMIFS($AU$1388:AU1737,$Q$1388:Q1737,"O")</f>
        <v>1828.3800000001911</v>
      </c>
      <c r="BR1736" s="343">
        <f>SUMIFS($AU$1388:AU1737,$AA$1388:AA1737,"*")</f>
        <v>21865.600000000064</v>
      </c>
      <c r="BS1736" s="343">
        <f>SUMIFS($AU$1388:AU1737,$AB$1388:AB1737,"*")</f>
        <v>6951.1799999999312</v>
      </c>
      <c r="BT1736" s="343">
        <f>SUMIFS($AU$1388:AU1737,$AC$1388:AC1737,"*")</f>
        <v>16068.4</v>
      </c>
      <c r="BU1736" s="343">
        <f>SUMIFS($AU$1388:AU1737,$AA$1388:AA1737,"*",$AB$1388:AB1737,"*")</f>
        <v>4415.9999999998217</v>
      </c>
      <c r="BV1736" s="343">
        <f>SUMIFS($AU$1388:AU1737,$AA$1388:AA1737,"*",$AC$1388:AC1737,"*")</f>
        <v>13764.4</v>
      </c>
      <c r="BW1736" s="343">
        <f>SUMIFS($AU$1388:AU1737,$AB$1388:AB1737,"*",$AC$1388:AC1737,"*")</f>
        <v>3279.9999999999982</v>
      </c>
      <c r="BX1736" s="343">
        <f>SUMIFS($AV$1388:AV1737,$Q$1388:Q1737,"F")</f>
        <v>357.19230875404793</v>
      </c>
      <c r="BY1736" s="343">
        <f>SUMIFS($AV$1388:AV1737,$Q$1388:Q1737,"S")</f>
        <v>367.10971725586728</v>
      </c>
      <c r="BZ1736" s="343">
        <f>SUMIFS($AV$1388:AV1737,$Q$1388:Q1737,"O")</f>
        <v>519.33999999986361</v>
      </c>
    </row>
    <row r="1737" spans="1:78" ht="15.75" customHeight="1">
      <c r="A1737" s="177" t="s">
        <v>5612</v>
      </c>
      <c r="B1737" s="200"/>
      <c r="C1737" s="178"/>
      <c r="D1737" s="178"/>
      <c r="E1737" s="227"/>
      <c r="F1737" s="180"/>
      <c r="G1737" s="181"/>
      <c r="H1737" s="182"/>
      <c r="I1737" s="182"/>
      <c r="J1737" s="182"/>
      <c r="K1737" s="183"/>
      <c r="L1737" s="182"/>
      <c r="M1737" s="182"/>
      <c r="N1737" s="182"/>
      <c r="O1737" s="183"/>
      <c r="P1737" s="183"/>
      <c r="Q1737" s="183"/>
      <c r="R1737" s="183"/>
      <c r="S1737" s="183"/>
      <c r="T1737" s="183"/>
      <c r="U1737" s="183"/>
      <c r="V1737" s="183"/>
      <c r="W1737" s="183"/>
      <c r="X1737" s="183"/>
      <c r="Y1737" s="183"/>
      <c r="Z1737" s="183"/>
      <c r="AA1737" s="185"/>
      <c r="AB1737" s="185"/>
      <c r="AC1737" s="185"/>
      <c r="AD1737" s="649"/>
      <c r="AE1737" s="182"/>
      <c r="AF1737" s="332"/>
      <c r="AG1737" s="182"/>
      <c r="AH1737" s="182"/>
      <c r="AI1737" s="182"/>
      <c r="AJ1737" s="640"/>
      <c r="AK1737" s="182"/>
      <c r="AL1737" s="496">
        <f t="shared" si="522"/>
        <v>0</v>
      </c>
      <c r="AM1737" s="496">
        <f t="shared" si="512"/>
        <v>0</v>
      </c>
      <c r="AN1737" s="626"/>
      <c r="AO1737" s="182"/>
      <c r="AP1737" s="182"/>
      <c r="AQ1737" s="332" t="str">
        <f>UPPER(RIGHT(Journal_Live[[#This Row],[DURATION ]]))</f>
        <v/>
      </c>
      <c r="AR1737" s="182"/>
      <c r="AS1737" s="189"/>
      <c r="AT1737" s="189"/>
      <c r="AU1737" s="187"/>
      <c r="AV1737" s="190"/>
      <c r="AW1737" s="191"/>
      <c r="AX1737" s="417" t="s">
        <v>5844</v>
      </c>
      <c r="AY1737" s="417" t="s">
        <v>5695</v>
      </c>
      <c r="AZ1737" s="532" t="s">
        <v>5691</v>
      </c>
      <c r="BA1737" s="417" t="s">
        <v>5845</v>
      </c>
      <c r="BB1737" s="532" t="s">
        <v>5846</v>
      </c>
      <c r="BC1737" s="532" t="s">
        <v>5847</v>
      </c>
      <c r="BD1737" s="417" t="s">
        <v>5848</v>
      </c>
      <c r="BE1737" s="417" t="s">
        <v>5849</v>
      </c>
      <c r="BF1737" s="417" t="s">
        <v>5776</v>
      </c>
      <c r="BG1737" s="391">
        <f>SUM($AV$1389:AV1737)</f>
        <v>1559.6420260097843</v>
      </c>
      <c r="BH1737" s="392">
        <f>SUM($AU$1389:AU1737)</f>
        <v>26704.780000000177</v>
      </c>
      <c r="BI1737" s="318">
        <f>SUMIFS($AU$1388:AU1738,$Q$1388:Q1738,"F")</f>
        <v>19188.400000000001</v>
      </c>
      <c r="BJ1737" s="318">
        <f>SUMIFS($AU$1388:AU1738,$Q$1388:Q1738,"S")</f>
        <v>5727.9999999999909</v>
      </c>
      <c r="BK1737" s="343">
        <f>SUMIFS($AU$1388:AU1738,$P$1388:P1738,"W")</f>
        <v>19085.580000000136</v>
      </c>
      <c r="BL1737" s="343">
        <f>SUMIFS($AU$1388:AU1738,$P$1388:P1738,"R")</f>
        <v>6661.9999999999991</v>
      </c>
      <c r="BM1737" s="343">
        <f>SUMIFS($AU$1388:AU1738,$AQ$1388:AQ1738,"M")</f>
        <v>5261.1799999997265</v>
      </c>
      <c r="BN1737" s="343">
        <f>SUMIFS($AU$1388:AU1738,$AQ$1388:AQ1738,"H")</f>
        <v>4299.2000000004446</v>
      </c>
      <c r="BO1737" s="343">
        <f>SUMIFS($AU$1388:AU1738,$AQ$1388:AQ1738,"D")</f>
        <v>5426.0000000000009</v>
      </c>
      <c r="BP1737" s="343">
        <f>SUMIFS($AU$1388:AU1825,$AQ$1388:AQ1825,"W")</f>
        <v>12022.400000000001</v>
      </c>
      <c r="BQ1737" s="343">
        <f>SUMIFS($AU$1388:AU1738,$Q$1388:Q1738,"O")</f>
        <v>1828.3800000001911</v>
      </c>
      <c r="BR1737" s="343">
        <f>SUMIFS($AU$1388:AU1738,$AA$1388:AA1738,"*")</f>
        <v>21865.600000000064</v>
      </c>
      <c r="BS1737" s="343">
        <f>SUMIFS($AU$1388:AU1738,$AB$1388:AB1738,"*")</f>
        <v>6951.1799999999312</v>
      </c>
      <c r="BT1737" s="343">
        <f>SUMIFS($AU$1388:AU1738,$AC$1388:AC1738,"*")</f>
        <v>16068.4</v>
      </c>
      <c r="BU1737" s="343">
        <f>SUMIFS($AU$1388:AU1738,$AA$1388:AA1738,"*",$AB$1388:AB1738,"*")</f>
        <v>4415.9999999998217</v>
      </c>
      <c r="BV1737" s="343">
        <f>SUMIFS($AU$1388:AU1738,$AA$1388:AA1738,"*",$AC$1388:AC1738,"*")</f>
        <v>13764.4</v>
      </c>
      <c r="BW1737" s="343">
        <f>SUMIFS($AU$1388:AU1738,$AB$1388:AB1738,"*",$AC$1388:AC1738,"*")</f>
        <v>3279.9999999999982</v>
      </c>
      <c r="BX1737" s="343">
        <f>SUMIFS($AV$1388:AV1738,$Q$1388:Q1738,"F")</f>
        <v>357.19230875404793</v>
      </c>
      <c r="BY1737" s="343">
        <f>SUMIFS($AV$1388:AV1738,$Q$1388:Q1738,"S")</f>
        <v>367.10971725586728</v>
      </c>
      <c r="BZ1737" s="343">
        <f>SUMIFS($AV$1388:AV1738,$Q$1388:Q1738,"O")</f>
        <v>519.33999999986361</v>
      </c>
    </row>
    <row r="1738" spans="1:78" ht="15.75" customHeight="1">
      <c r="A1738" s="492" t="s">
        <v>5850</v>
      </c>
      <c r="B1738" s="273"/>
      <c r="C1738" s="214"/>
      <c r="D1738" s="214"/>
      <c r="E1738" s="215"/>
      <c r="F1738" s="216"/>
      <c r="G1738" s="214"/>
      <c r="H1738" s="214"/>
      <c r="I1738" s="214"/>
      <c r="J1738" s="214"/>
      <c r="K1738" s="217"/>
      <c r="L1738" s="214"/>
      <c r="M1738" s="214"/>
      <c r="N1738" s="214"/>
      <c r="O1738" s="217"/>
      <c r="P1738" s="217"/>
      <c r="Q1738" s="217"/>
      <c r="R1738" s="217"/>
      <c r="S1738" s="217"/>
      <c r="T1738" s="217"/>
      <c r="U1738" s="217"/>
      <c r="V1738" s="217"/>
      <c r="W1738" s="217"/>
      <c r="X1738" s="217"/>
      <c r="Y1738" s="217"/>
      <c r="Z1738" s="218" t="str">
        <f>IF(ISBLANK(O1738),"",IF(O1738="IB",8.63*200,IF(O1738="IR",16*100,IF(O1738="YT",20*100,IF(O1738="YT-XT",24*200,IF(O1738="TED",80*100))))))</f>
        <v/>
      </c>
      <c r="AA1738" s="218"/>
      <c r="AB1738" s="218"/>
      <c r="AC1738" s="218"/>
      <c r="AD1738" s="651"/>
      <c r="AE1738" s="214"/>
      <c r="AF1738" s="347"/>
      <c r="AG1738" s="343"/>
      <c r="AH1738" s="214"/>
      <c r="AI1738" s="214"/>
      <c r="AJ1738" s="642"/>
      <c r="AK1738" s="214"/>
      <c r="AL1738" s="214"/>
      <c r="AM1738" s="214"/>
      <c r="AN1738" s="628"/>
      <c r="AO1738" s="214"/>
      <c r="AP1738" s="214"/>
      <c r="AQ1738" s="334" t="str">
        <f>UPPER(RIGHT(Journal_Live[[#This Row],[DURATION ]]))</f>
        <v/>
      </c>
      <c r="AR1738" s="214"/>
      <c r="AS1738" s="214"/>
      <c r="AT1738" s="214"/>
      <c r="AU1738" s="214"/>
      <c r="AV1738" s="214"/>
      <c r="AW1738" s="220"/>
      <c r="AX1738" s="417"/>
      <c r="AY1738" s="414"/>
      <c r="AZ1738" s="414"/>
      <c r="BA1738" s="414"/>
      <c r="BB1738" s="414"/>
      <c r="BC1738" s="414"/>
      <c r="BD1738" s="414"/>
      <c r="BE1738" s="414"/>
      <c r="BF1738" s="414"/>
      <c r="BG1738" s="391">
        <f>SUM($AV$1389:AV1738)</f>
        <v>1559.6420260097843</v>
      </c>
      <c r="BH1738" s="392">
        <f>SUM($AU$1389:AU1738)</f>
        <v>26704.780000000177</v>
      </c>
      <c r="BI1738" s="318">
        <f>SUMIFS($AU$1388:AU1739,$Q$1388:Q1739,"F")</f>
        <v>19188.400000000001</v>
      </c>
      <c r="BJ1738" s="318">
        <f>SUMIFS($AU$1388:AU1739,$Q$1388:Q1739,"S")</f>
        <v>5727.9999999999909</v>
      </c>
      <c r="BK1738" s="343">
        <f>SUMIFS($AU$1388:AU1739,$P$1388:P1739,"W")</f>
        <v>19085.580000000136</v>
      </c>
      <c r="BL1738" s="343">
        <f>SUMIFS($AU$1388:AU1739,$P$1388:P1739,"R")</f>
        <v>6661.9999999999991</v>
      </c>
      <c r="BM1738" s="343">
        <f>SUMIFS($AU$1388:AU1739,$AQ$1388:AQ1739,"M")</f>
        <v>5261.1799999997265</v>
      </c>
      <c r="BN1738" s="343">
        <f>SUMIFS($AU$1388:AU1739,$AQ$1388:AQ1739,"H")</f>
        <v>4299.2000000004446</v>
      </c>
      <c r="BO1738" s="343">
        <f>SUMIFS($AU$1388:AU1739,$AQ$1388:AQ1739,"D")</f>
        <v>5426.0000000000009</v>
      </c>
      <c r="BP1738" s="343">
        <f>SUMIFS($AU$1388:AU1826,$AQ$1388:AQ1826,"W")</f>
        <v>12022.400000000001</v>
      </c>
      <c r="BQ1738" s="343">
        <f>SUMIFS($AU$1388:AU1739,$Q$1388:Q1739,"O")</f>
        <v>1828.3800000001911</v>
      </c>
      <c r="BR1738" s="343">
        <f>SUMIFS($AU$1388:AU1739,$AA$1388:AA1739,"*")</f>
        <v>21865.600000000064</v>
      </c>
      <c r="BS1738" s="343">
        <f>SUMIFS($AU$1388:AU1739,$AB$1388:AB1739,"*")</f>
        <v>6951.1799999999312</v>
      </c>
      <c r="BT1738" s="343">
        <f>SUMIFS($AU$1388:AU1739,$AC$1388:AC1739,"*")</f>
        <v>16068.4</v>
      </c>
      <c r="BU1738" s="343">
        <f>SUMIFS($AU$1388:AU1739,$AA$1388:AA1739,"*",$AB$1388:AB1739,"*")</f>
        <v>4415.9999999998217</v>
      </c>
      <c r="BV1738" s="343">
        <f>SUMIFS($AU$1388:AU1739,$AA$1388:AA1739,"*",$AC$1388:AC1739,"*")</f>
        <v>13764.4</v>
      </c>
      <c r="BW1738" s="343">
        <f>SUMIFS($AU$1388:AU1739,$AB$1388:AB1739,"*",$AC$1388:AC1739,"*")</f>
        <v>3279.9999999999982</v>
      </c>
      <c r="BX1738" s="343">
        <f>SUMIFS($AV$1388:AV1739,$Q$1388:Q1739,"F")</f>
        <v>357.19230875404793</v>
      </c>
      <c r="BY1738" s="343">
        <f>SUMIFS($AV$1388:AV1739,$Q$1388:Q1739,"S")</f>
        <v>367.10971725586728</v>
      </c>
      <c r="BZ1738" s="343">
        <f>SUMIFS($AV$1388:AV1739,$Q$1388:Q1739,"O")</f>
        <v>519.33999999986361</v>
      </c>
    </row>
    <row r="1739" spans="1:78" ht="15.75" customHeight="1">
      <c r="A1739" s="177" t="s">
        <v>5851</v>
      </c>
      <c r="B1739" s="200"/>
      <c r="C1739" s="178"/>
      <c r="D1739" s="178"/>
      <c r="E1739" s="227"/>
      <c r="F1739" s="180"/>
      <c r="G1739" s="181"/>
      <c r="H1739" s="182"/>
      <c r="I1739" s="182"/>
      <c r="J1739" s="182"/>
      <c r="K1739" s="183"/>
      <c r="L1739" s="182"/>
      <c r="M1739" s="182"/>
      <c r="N1739" s="182"/>
      <c r="O1739" s="183"/>
      <c r="P1739" s="183"/>
      <c r="Q1739" s="183"/>
      <c r="R1739" s="183"/>
      <c r="S1739" s="183"/>
      <c r="T1739" s="183"/>
      <c r="U1739" s="183"/>
      <c r="V1739" s="183"/>
      <c r="W1739" s="183"/>
      <c r="X1739" s="183"/>
      <c r="Y1739" s="183"/>
      <c r="Z1739" s="183"/>
      <c r="AA1739" s="185"/>
      <c r="AB1739" s="185"/>
      <c r="AC1739" s="185"/>
      <c r="AD1739" s="649"/>
      <c r="AE1739" s="182"/>
      <c r="AF1739" s="332"/>
      <c r="AG1739" s="182"/>
      <c r="AH1739" s="182"/>
      <c r="AI1739" s="182"/>
      <c r="AJ1739" s="640"/>
      <c r="AK1739" s="182"/>
      <c r="AL1739" s="496">
        <f t="shared" ref="AL1739:AL1928" si="525">-0.02*Z1739</f>
        <v>0</v>
      </c>
      <c r="AM1739" s="496">
        <f t="shared" ref="AM1739:AM1770" si="526">AL1739*(R1739-S1739)</f>
        <v>0</v>
      </c>
      <c r="AN1739" s="626"/>
      <c r="AO1739" s="182"/>
      <c r="AP1739" s="182"/>
      <c r="AQ1739" s="332" t="str">
        <f>UPPER(RIGHT(Journal_Live[[#This Row],[DURATION ]]))</f>
        <v/>
      </c>
      <c r="AR1739" s="182"/>
      <c r="AS1739" s="189"/>
      <c r="AT1739" s="189"/>
      <c r="AU1739" s="187"/>
      <c r="AV1739" s="190"/>
      <c r="AW1739" s="191"/>
      <c r="AX1739" s="551" t="s">
        <v>5852</v>
      </c>
      <c r="AY1739" s="551"/>
      <c r="AZ1739" s="551"/>
      <c r="BA1739" s="551"/>
      <c r="BB1739" s="551"/>
      <c r="BC1739" s="551"/>
      <c r="BD1739" s="549" t="s">
        <v>5853</v>
      </c>
      <c r="BE1739" s="550" t="s">
        <v>5854</v>
      </c>
      <c r="BF1739" s="549" t="s">
        <v>5855</v>
      </c>
      <c r="BG1739" s="391">
        <f>SUM($AV$1389:AV1739)</f>
        <v>1559.6420260097843</v>
      </c>
      <c r="BH1739" s="392">
        <f>SUM($AU$1389:AU1739)</f>
        <v>26704.780000000177</v>
      </c>
      <c r="BI1739" s="318">
        <f>SUMIFS($AU$1388:AU1740,$Q$1388:Q1740,"F")</f>
        <v>19188.400000000001</v>
      </c>
      <c r="BJ1739" s="318">
        <f>SUMIFS($AU$1388:AU1740,$Q$1388:Q1740,"S")</f>
        <v>5727.9999999999909</v>
      </c>
      <c r="BK1739" s="343">
        <f>SUMIFS($AU$1388:AU1740,$P$1388:P1740,"W")</f>
        <v>19085.580000000136</v>
      </c>
      <c r="BL1739" s="343">
        <f>SUMIFS($AU$1388:AU1740,$P$1388:P1740,"R")</f>
        <v>6661.9999999999991</v>
      </c>
      <c r="BM1739" s="343">
        <f>SUMIFS($AU$1388:AU1740,$AQ$1388:AQ1740,"M")</f>
        <v>5261.1799999997265</v>
      </c>
      <c r="BN1739" s="343">
        <f>SUMIFS($AU$1388:AU1740,$AQ$1388:AQ1740,"H")</f>
        <v>4299.2000000004446</v>
      </c>
      <c r="BO1739" s="343">
        <f>SUMIFS($AU$1388:AU1740,$AQ$1388:AQ1740,"D")</f>
        <v>5426.0000000000009</v>
      </c>
      <c r="BP1739" s="343">
        <f>SUMIFS($AU$1388:AU1827,$AQ$1388:AQ1827,"W")</f>
        <v>12022.400000000001</v>
      </c>
      <c r="BQ1739" s="343">
        <f>SUMIFS($AU$1388:AU1740,$Q$1388:Q1740,"O")</f>
        <v>1828.3800000001911</v>
      </c>
      <c r="BR1739" s="343">
        <f>SUMIFS($AU$1388:AU1740,$AA$1388:AA1740,"*")</f>
        <v>21865.600000000064</v>
      </c>
      <c r="BS1739" s="343">
        <f>SUMIFS($AU$1388:AU1740,$AB$1388:AB1740,"*")</f>
        <v>6951.1799999999312</v>
      </c>
      <c r="BT1739" s="343">
        <f>SUMIFS($AU$1388:AU1740,$AC$1388:AC1740,"*")</f>
        <v>16068.4</v>
      </c>
      <c r="BU1739" s="343">
        <f>SUMIFS($AU$1388:AU1740,$AA$1388:AA1740,"*",$AB$1388:AB1740,"*")</f>
        <v>4415.9999999998217</v>
      </c>
      <c r="BV1739" s="343">
        <f>SUMIFS($AU$1388:AU1740,$AA$1388:AA1740,"*",$AC$1388:AC1740,"*")</f>
        <v>13764.4</v>
      </c>
      <c r="BW1739" s="343">
        <f>SUMIFS($AU$1388:AU1740,$AB$1388:AB1740,"*",$AC$1388:AC1740,"*")</f>
        <v>3279.9999999999982</v>
      </c>
      <c r="BX1739" s="343">
        <f>SUMIFS($AV$1388:AV1740,$Q$1388:Q1740,"F")</f>
        <v>357.19230875404793</v>
      </c>
      <c r="BY1739" s="343">
        <f>SUMIFS($AV$1388:AV1740,$Q$1388:Q1740,"S")</f>
        <v>367.10971725586728</v>
      </c>
      <c r="BZ1739" s="343">
        <f>SUMIFS($AV$1388:AV1740,$Q$1388:Q1740,"O")</f>
        <v>519.33999999986361</v>
      </c>
    </row>
    <row r="1740" spans="1:78" ht="15.75" customHeight="1">
      <c r="A1740" s="177" t="s">
        <v>5851</v>
      </c>
      <c r="B1740" s="200"/>
      <c r="C1740" s="178"/>
      <c r="D1740" s="178"/>
      <c r="E1740" s="227"/>
      <c r="F1740" s="180"/>
      <c r="G1740" s="181"/>
      <c r="H1740" s="182"/>
      <c r="I1740" s="182"/>
      <c r="J1740" s="182"/>
      <c r="K1740" s="183"/>
      <c r="L1740" s="182"/>
      <c r="M1740" s="182"/>
      <c r="N1740" s="182"/>
      <c r="O1740" s="183"/>
      <c r="P1740" s="183"/>
      <c r="Q1740" s="183"/>
      <c r="R1740" s="183"/>
      <c r="S1740" s="183"/>
      <c r="T1740" s="183"/>
      <c r="U1740" s="183"/>
      <c r="V1740" s="183"/>
      <c r="W1740" s="183"/>
      <c r="X1740" s="183"/>
      <c r="Y1740" s="183"/>
      <c r="Z1740" s="183"/>
      <c r="AA1740" s="185"/>
      <c r="AB1740" s="185"/>
      <c r="AC1740" s="185"/>
      <c r="AD1740" s="649"/>
      <c r="AE1740" s="182"/>
      <c r="AF1740" s="332"/>
      <c r="AG1740" s="182"/>
      <c r="AH1740" s="182"/>
      <c r="AI1740" s="182"/>
      <c r="AJ1740" s="640"/>
      <c r="AK1740" s="182"/>
      <c r="AL1740" s="496">
        <f t="shared" ref="AL1740:AL1927" si="527">-0.02*Z1740</f>
        <v>0</v>
      </c>
      <c r="AM1740" s="496">
        <f t="shared" si="526"/>
        <v>0</v>
      </c>
      <c r="AN1740" s="626"/>
      <c r="AO1740" s="182"/>
      <c r="AP1740" s="182"/>
      <c r="AQ1740" s="332" t="str">
        <f>UPPER(RIGHT(Journal_Live[[#This Row],[DURATION ]]))</f>
        <v/>
      </c>
      <c r="AR1740" s="182"/>
      <c r="AS1740" s="189"/>
      <c r="AT1740" s="189"/>
      <c r="AU1740" s="187"/>
      <c r="AV1740" s="190"/>
      <c r="AW1740" s="191"/>
      <c r="AX1740" s="551" t="s">
        <v>5856</v>
      </c>
      <c r="AY1740" s="549" t="s">
        <v>5857</v>
      </c>
      <c r="AZ1740" s="551" t="s">
        <v>5858</v>
      </c>
      <c r="BA1740" s="551" t="s">
        <v>5859</v>
      </c>
      <c r="BB1740" s="551" t="s">
        <v>5860</v>
      </c>
      <c r="BC1740" s="551"/>
      <c r="BD1740" s="549"/>
      <c r="BE1740" s="550"/>
      <c r="BF1740" s="549"/>
      <c r="BG1740" s="391">
        <f>SUM($AV$1389:AV1740)</f>
        <v>1559.6420260097843</v>
      </c>
      <c r="BH1740" s="392">
        <f>SUM($AU$1389:AU1740)</f>
        <v>26704.780000000177</v>
      </c>
      <c r="BI1740" s="318">
        <f>SUMIFS($AU$1388:AU1741,$Q$1388:Q1741,"F")</f>
        <v>19188.400000000001</v>
      </c>
      <c r="BJ1740" s="318">
        <f>SUMIFS($AU$1388:AU1741,$Q$1388:Q1741,"S")</f>
        <v>5727.9999999999909</v>
      </c>
      <c r="BK1740" s="343">
        <f>SUMIFS($AU$1388:AU1741,$P$1388:P1741,"W")</f>
        <v>19085.580000000136</v>
      </c>
      <c r="BL1740" s="343">
        <f>SUMIFS($AU$1388:AU1741,$P$1388:P1741,"R")</f>
        <v>6661.9999999999991</v>
      </c>
      <c r="BM1740" s="343">
        <f>SUMIFS($AU$1388:AU1741,$AQ$1388:AQ1741,"M")</f>
        <v>5261.1799999997265</v>
      </c>
      <c r="BN1740" s="343">
        <f>SUMIFS($AU$1388:AU1741,$AQ$1388:AQ1741,"H")</f>
        <v>4299.2000000004446</v>
      </c>
      <c r="BO1740" s="343">
        <f>SUMIFS($AU$1388:AU1741,$AQ$1388:AQ1741,"D")</f>
        <v>5426.0000000000009</v>
      </c>
      <c r="BP1740" s="343">
        <f>SUMIFS($AU$1388:AU1828,$AQ$1388:AQ1828,"W")</f>
        <v>12022.400000000001</v>
      </c>
      <c r="BQ1740" s="343">
        <f>SUMIFS($AU$1388:AU1741,$Q$1388:Q1741,"O")</f>
        <v>1828.3800000001911</v>
      </c>
      <c r="BR1740" s="343">
        <f>SUMIFS($AU$1388:AU1741,$AA$1388:AA1741,"*")</f>
        <v>21865.600000000064</v>
      </c>
      <c r="BS1740" s="343">
        <f>SUMIFS($AU$1388:AU1741,$AB$1388:AB1741,"*")</f>
        <v>6951.1799999999312</v>
      </c>
      <c r="BT1740" s="343">
        <f>SUMIFS($AU$1388:AU1741,$AC$1388:AC1741,"*")</f>
        <v>16068.4</v>
      </c>
      <c r="BU1740" s="343">
        <f>SUMIFS($AU$1388:AU1741,$AA$1388:AA1741,"*",$AB$1388:AB1741,"*")</f>
        <v>4415.9999999998217</v>
      </c>
      <c r="BV1740" s="343">
        <f>SUMIFS($AU$1388:AU1741,$AA$1388:AA1741,"*",$AC$1388:AC1741,"*")</f>
        <v>13764.4</v>
      </c>
      <c r="BW1740" s="343">
        <f>SUMIFS($AU$1388:AU1741,$AB$1388:AB1741,"*",$AC$1388:AC1741,"*")</f>
        <v>3279.9999999999982</v>
      </c>
      <c r="BX1740" s="343">
        <f>SUMIFS($AV$1388:AV1741,$Q$1388:Q1741,"F")</f>
        <v>357.19230875404793</v>
      </c>
      <c r="BY1740" s="343">
        <f>SUMIFS($AV$1388:AV1741,$Q$1388:Q1741,"S")</f>
        <v>367.10971725586728</v>
      </c>
      <c r="BZ1740" s="343">
        <f>SUMIFS($AV$1388:AV1741,$Q$1388:Q1741,"O")</f>
        <v>519.33999999986361</v>
      </c>
    </row>
    <row r="1741" spans="1:78" ht="15.75" customHeight="1">
      <c r="A1741" s="177" t="s">
        <v>5851</v>
      </c>
      <c r="B1741" s="200"/>
      <c r="C1741" s="178"/>
      <c r="D1741" s="178"/>
      <c r="E1741" s="227"/>
      <c r="F1741" s="180"/>
      <c r="G1741" s="181"/>
      <c r="H1741" s="182"/>
      <c r="I1741" s="182"/>
      <c r="J1741" s="182"/>
      <c r="K1741" s="183"/>
      <c r="L1741" s="182"/>
      <c r="M1741" s="182"/>
      <c r="N1741" s="182"/>
      <c r="O1741" s="183"/>
      <c r="P1741" s="183"/>
      <c r="Q1741" s="183"/>
      <c r="R1741" s="183"/>
      <c r="S1741" s="183"/>
      <c r="T1741" s="183"/>
      <c r="U1741" s="183"/>
      <c r="V1741" s="183"/>
      <c r="W1741" s="183"/>
      <c r="X1741" s="183"/>
      <c r="Y1741" s="183"/>
      <c r="Z1741" s="183"/>
      <c r="AA1741" s="185"/>
      <c r="AB1741" s="185"/>
      <c r="AC1741" s="185"/>
      <c r="AD1741" s="649"/>
      <c r="AE1741" s="182"/>
      <c r="AF1741" s="332"/>
      <c r="AG1741" s="182"/>
      <c r="AH1741" s="182"/>
      <c r="AI1741" s="182"/>
      <c r="AJ1741" s="640"/>
      <c r="AK1741" s="182"/>
      <c r="AL1741" s="496">
        <f t="shared" ref="AL1741:AL1744" si="528">-0.02*Z1741</f>
        <v>0</v>
      </c>
      <c r="AM1741" s="496">
        <f t="shared" si="526"/>
        <v>0</v>
      </c>
      <c r="AN1741" s="626"/>
      <c r="AO1741" s="182"/>
      <c r="AP1741" s="182"/>
      <c r="AQ1741" s="332" t="str">
        <f>UPPER(RIGHT(Journal_Live[[#This Row],[DURATION ]]))</f>
        <v/>
      </c>
      <c r="AR1741" s="182"/>
      <c r="AS1741" s="189"/>
      <c r="AT1741" s="189"/>
      <c r="AU1741" s="187"/>
      <c r="AV1741" s="190"/>
      <c r="AW1741" s="191"/>
      <c r="AX1741" s="551" t="s">
        <v>5861</v>
      </c>
      <c r="AY1741" s="551" t="s">
        <v>5862</v>
      </c>
      <c r="AZ1741" s="551" t="s">
        <v>5863</v>
      </c>
      <c r="BA1741" s="551" t="s">
        <v>5864</v>
      </c>
      <c r="BB1741" s="551"/>
      <c r="BC1741" s="551"/>
      <c r="BD1741" s="549"/>
      <c r="BE1741" s="550"/>
      <c r="BF1741" s="549"/>
      <c r="BG1741" s="391">
        <f>SUM($AV$1389:AV1741)</f>
        <v>1559.6420260097843</v>
      </c>
      <c r="BH1741" s="392">
        <f>SUM($AU$1389:AU1741)</f>
        <v>26704.780000000177</v>
      </c>
      <c r="BI1741" s="318">
        <f>SUMIFS($AU$1388:AU1742,$Q$1388:Q1742,"F")</f>
        <v>19188.400000000001</v>
      </c>
      <c r="BJ1741" s="318">
        <f>SUMIFS($AU$1388:AU1742,$Q$1388:Q1742,"S")</f>
        <v>5727.9999999999909</v>
      </c>
      <c r="BK1741" s="343">
        <f>SUMIFS($AU$1388:AU1742,$P$1388:P1742,"W")</f>
        <v>19085.580000000136</v>
      </c>
      <c r="BL1741" s="343">
        <f>SUMIFS($AU$1388:AU1742,$P$1388:P1742,"R")</f>
        <v>6661.9999999999991</v>
      </c>
      <c r="BM1741" s="343">
        <f>SUMIFS($AU$1388:AU1742,$AQ$1388:AQ1742,"M")</f>
        <v>5261.1799999997265</v>
      </c>
      <c r="BN1741" s="343">
        <f>SUMIFS($AU$1388:AU1742,$AQ$1388:AQ1742,"H")</f>
        <v>4299.2000000004446</v>
      </c>
      <c r="BO1741" s="343">
        <f>SUMIFS($AU$1388:AU1742,$AQ$1388:AQ1742,"D")</f>
        <v>5426.0000000000009</v>
      </c>
      <c r="BP1741" s="343">
        <f>SUMIFS($AU$1388:AU1829,$AQ$1388:AQ1829,"W")</f>
        <v>12022.400000000001</v>
      </c>
      <c r="BQ1741" s="343">
        <f>SUMIFS($AU$1388:AU1742,$Q$1388:Q1742,"O")</f>
        <v>1828.3800000001911</v>
      </c>
      <c r="BR1741" s="343">
        <f>SUMIFS($AU$1388:AU1742,$AA$1388:AA1742,"*")</f>
        <v>21865.600000000064</v>
      </c>
      <c r="BS1741" s="343">
        <f>SUMIFS($AU$1388:AU1742,$AB$1388:AB1742,"*")</f>
        <v>6951.1799999999312</v>
      </c>
      <c r="BT1741" s="343">
        <f>SUMIFS($AU$1388:AU1742,$AC$1388:AC1742,"*")</f>
        <v>16068.4</v>
      </c>
      <c r="BU1741" s="343">
        <f>SUMIFS($AU$1388:AU1742,$AA$1388:AA1742,"*",$AB$1388:AB1742,"*")</f>
        <v>4415.9999999998217</v>
      </c>
      <c r="BV1741" s="343">
        <f>SUMIFS($AU$1388:AU1742,$AA$1388:AA1742,"*",$AC$1388:AC1742,"*")</f>
        <v>13764.4</v>
      </c>
      <c r="BW1741" s="343">
        <f>SUMIFS($AU$1388:AU1742,$AB$1388:AB1742,"*",$AC$1388:AC1742,"*")</f>
        <v>3279.9999999999982</v>
      </c>
      <c r="BX1741" s="343">
        <f>SUMIFS($AV$1388:AV1742,$Q$1388:Q1742,"F")</f>
        <v>357.19230875404793</v>
      </c>
      <c r="BY1741" s="343">
        <f>SUMIFS($AV$1388:AV1742,$Q$1388:Q1742,"S")</f>
        <v>367.10971725586728</v>
      </c>
      <c r="BZ1741" s="343">
        <f>SUMIFS($AV$1388:AV1742,$Q$1388:Q1742,"O")</f>
        <v>519.33999999986361</v>
      </c>
    </row>
    <row r="1742" spans="1:78" ht="15.75" customHeight="1">
      <c r="A1742" s="177" t="s">
        <v>5851</v>
      </c>
      <c r="B1742" s="200">
        <v>45384</v>
      </c>
      <c r="C1742" s="178" t="s">
        <v>3584</v>
      </c>
      <c r="D1742" s="178" t="s">
        <v>146</v>
      </c>
      <c r="E1742" s="227"/>
      <c r="F1742" s="180"/>
      <c r="G1742" s="484" t="s">
        <v>2070</v>
      </c>
      <c r="H1742" s="182"/>
      <c r="I1742" s="182"/>
      <c r="J1742" s="182"/>
      <c r="K1742" s="183"/>
      <c r="L1742" s="182">
        <v>1</v>
      </c>
      <c r="M1742" s="182"/>
      <c r="N1742" s="182"/>
      <c r="O1742" s="183" t="s">
        <v>95</v>
      </c>
      <c r="P1742" s="183" t="s">
        <v>96</v>
      </c>
      <c r="Q1742" s="183" t="s">
        <v>97</v>
      </c>
      <c r="R1742" s="183">
        <v>30</v>
      </c>
      <c r="S1742" s="559">
        <v>0</v>
      </c>
      <c r="T1742" s="183">
        <v>30</v>
      </c>
      <c r="U1742" s="183" t="s">
        <v>97</v>
      </c>
      <c r="V1742" s="183"/>
      <c r="W1742" s="183"/>
      <c r="X1742" s="183"/>
      <c r="Y1742" s="184">
        <f>IF(ISBLANK(O1742),"",(IF(O1742=UPPER("IB"),0.005,0.01)))</f>
        <v>0.01</v>
      </c>
      <c r="Z1742" s="185">
        <f>IF(ISBLANK(O1742),"",IF(O1742="IB",8.63*200,IF(O1742="IR",16*100,IF(O1742="YT",20*100,IF(O1742="YT-XT",24*200,IF(O1742="TED",80*100,IF(O1742="XT",29*200)))))))</f>
        <v>1600</v>
      </c>
      <c r="AA1742" s="185"/>
      <c r="AB1742" s="185"/>
      <c r="AC1742" s="185" t="s">
        <v>4589</v>
      </c>
      <c r="AD1742" s="649">
        <v>-0.13</v>
      </c>
      <c r="AE1742" s="182"/>
      <c r="AF1742" s="332"/>
      <c r="AG1742" s="182"/>
      <c r="AH1742" s="182"/>
      <c r="AI1742" s="182"/>
      <c r="AJ1742" s="640"/>
      <c r="AK1742" s="182"/>
      <c r="AL1742" s="496">
        <f t="shared" si="528"/>
        <v>-32</v>
      </c>
      <c r="AM1742" s="496">
        <f t="shared" si="526"/>
        <v>-960</v>
      </c>
      <c r="AN1742" s="626"/>
      <c r="AO1742" s="182"/>
      <c r="AP1742" s="182"/>
      <c r="AQ1742" s="332" t="s">
        <v>372</v>
      </c>
      <c r="AR1742" s="182" t="s">
        <v>5865</v>
      </c>
      <c r="AS1742" s="189">
        <v>-0.13</v>
      </c>
      <c r="AT1742" s="189">
        <f>IF(ISBLANK(AS1742),,IF(U1742="S",AD1742-AS1742,AS1742-AD1742))</f>
        <v>0</v>
      </c>
      <c r="AU1742" s="187">
        <f>AV1742*R1742</f>
        <v>0</v>
      </c>
      <c r="AV1742" s="190">
        <f t="shared" ref="AV1742" si="529">IF(ISBLANK(AS1742),,(AT1742*Z1742))</f>
        <v>0</v>
      </c>
      <c r="AW1742" s="191" t="s">
        <v>115</v>
      </c>
      <c r="AX1742" s="551"/>
      <c r="AY1742" s="551"/>
      <c r="AZ1742" s="551"/>
      <c r="BA1742" s="551"/>
      <c r="BB1742" s="551"/>
      <c r="BC1742" s="551"/>
      <c r="BD1742" s="549"/>
      <c r="BE1742" s="550"/>
      <c r="BF1742" s="549"/>
      <c r="BG1742" s="391">
        <f>SUM($AV$1389:AV1742)</f>
        <v>1559.6420260097843</v>
      </c>
      <c r="BH1742" s="392">
        <f>SUM($AU$1389:AU1742)</f>
        <v>26704.780000000177</v>
      </c>
      <c r="BI1742" s="318">
        <f>SUMIFS($AU$1388:AU1743,$Q$1388:Q1743,"F")</f>
        <v>19188.400000000001</v>
      </c>
      <c r="BJ1742" s="318">
        <f>SUMIFS($AU$1388:AU1743,$Q$1388:Q1743,"S")</f>
        <v>5727.9999999999909</v>
      </c>
      <c r="BK1742" s="343">
        <f>SUMIFS($AU$1388:AU1743,$P$1388:P1743,"W")</f>
        <v>19085.580000000136</v>
      </c>
      <c r="BL1742" s="343">
        <f>SUMIFS($AU$1388:AU1743,$P$1388:P1743,"R")</f>
        <v>6661.9999999999991</v>
      </c>
      <c r="BM1742" s="343">
        <f>SUMIFS($AU$1388:AU1743,$AQ$1388:AQ1743,"M")</f>
        <v>5261.1799999997265</v>
      </c>
      <c r="BN1742" s="343">
        <f>SUMIFS($AU$1388:AU1743,$AQ$1388:AQ1743,"H")</f>
        <v>4299.2000000004446</v>
      </c>
      <c r="BO1742" s="343">
        <f>SUMIFS($AU$1388:AU1743,$AQ$1388:AQ1743,"D")</f>
        <v>5426.0000000000009</v>
      </c>
      <c r="BP1742" s="343">
        <f>SUMIFS($AU$1388:AU1830,$AQ$1388:AQ1830,"W")</f>
        <v>12022.400000000001</v>
      </c>
      <c r="BQ1742" s="343">
        <f>SUMIFS($AU$1388:AU1743,$Q$1388:Q1743,"O")</f>
        <v>1828.3800000001911</v>
      </c>
      <c r="BR1742" s="343">
        <f>SUMIFS($AU$1388:AU1743,$AA$1388:AA1743,"*")</f>
        <v>21865.600000000064</v>
      </c>
      <c r="BS1742" s="343">
        <f>SUMIFS($AU$1388:AU1743,$AB$1388:AB1743,"*")</f>
        <v>6951.1799999999312</v>
      </c>
      <c r="BT1742" s="343">
        <f>SUMIFS($AU$1388:AU1743,$AC$1388:AC1743,"*")</f>
        <v>16068.4</v>
      </c>
      <c r="BU1742" s="343">
        <f>SUMIFS($AU$1388:AU1743,$AA$1388:AA1743,"*",$AB$1388:AB1743,"*")</f>
        <v>4415.9999999998217</v>
      </c>
      <c r="BV1742" s="343">
        <f>SUMIFS($AU$1388:AU1743,$AA$1388:AA1743,"*",$AC$1388:AC1743,"*")</f>
        <v>13764.4</v>
      </c>
      <c r="BW1742" s="343">
        <f>SUMIFS($AU$1388:AU1743,$AB$1388:AB1743,"*",$AC$1388:AC1743,"*")</f>
        <v>3279.9999999999982</v>
      </c>
      <c r="BX1742" s="343">
        <f>SUMIFS($AV$1388:AV1743,$Q$1388:Q1743,"F")</f>
        <v>357.19230875404793</v>
      </c>
      <c r="BY1742" s="343">
        <f>SUMIFS($AV$1388:AV1743,$Q$1388:Q1743,"S")</f>
        <v>367.10971725586728</v>
      </c>
      <c r="BZ1742" s="343">
        <f>SUMIFS($AV$1388:AV1743,$Q$1388:Q1743,"O")</f>
        <v>519.33999999986361</v>
      </c>
    </row>
    <row r="1743" spans="1:78" ht="15.75" customHeight="1">
      <c r="A1743" s="177" t="s">
        <v>5851</v>
      </c>
      <c r="B1743" s="200">
        <v>45384</v>
      </c>
      <c r="C1743" s="178" t="s">
        <v>5866</v>
      </c>
      <c r="D1743" s="178" t="s">
        <v>146</v>
      </c>
      <c r="E1743" s="227"/>
      <c r="F1743" s="180"/>
      <c r="G1743" s="484" t="s">
        <v>136</v>
      </c>
      <c r="H1743" s="182"/>
      <c r="I1743" s="182"/>
      <c r="J1743" s="182"/>
      <c r="K1743" s="183"/>
      <c r="L1743" s="182">
        <v>1</v>
      </c>
      <c r="M1743" s="182"/>
      <c r="N1743" s="182"/>
      <c r="O1743" s="183" t="s">
        <v>95</v>
      </c>
      <c r="P1743" s="183" t="s">
        <v>96</v>
      </c>
      <c r="Q1743" s="183" t="s">
        <v>97</v>
      </c>
      <c r="R1743" s="183">
        <v>20</v>
      </c>
      <c r="S1743" s="559">
        <v>0</v>
      </c>
      <c r="T1743" s="183">
        <v>20</v>
      </c>
      <c r="U1743" s="183" t="s">
        <v>97</v>
      </c>
      <c r="V1743" s="183"/>
      <c r="W1743" s="183"/>
      <c r="X1743" s="183"/>
      <c r="Y1743" s="184">
        <f>IF(ISBLANK(O1743),"",(IF(O1743=UPPER("IB"),0.005,0.01)))</f>
        <v>0.01</v>
      </c>
      <c r="Z1743" s="185">
        <f>IF(ISBLANK(O1743),"",IF(O1743="IB",8.63*200,IF(O1743="IR",16*100,IF(O1743="YT",20*100,IF(O1743="YT-XT",24*200,IF(O1743="TED",80*100,IF(O1743="XT",29*200)))))))</f>
        <v>1600</v>
      </c>
      <c r="AA1743" s="185" t="s">
        <v>5492</v>
      </c>
      <c r="AB1743" s="185"/>
      <c r="AC1743" s="185" t="s">
        <v>5058</v>
      </c>
      <c r="AD1743" s="649">
        <v>-0.1</v>
      </c>
      <c r="AE1743" s="182"/>
      <c r="AF1743" s="332"/>
      <c r="AG1743" s="182"/>
      <c r="AH1743" s="182"/>
      <c r="AI1743" s="182"/>
      <c r="AJ1743" s="640"/>
      <c r="AK1743" s="182"/>
      <c r="AL1743" s="496">
        <f t="shared" si="528"/>
        <v>-32</v>
      </c>
      <c r="AM1743" s="496">
        <f t="shared" si="526"/>
        <v>-640</v>
      </c>
      <c r="AN1743" s="626"/>
      <c r="AO1743" s="182"/>
      <c r="AP1743" s="182" t="s">
        <v>4950</v>
      </c>
      <c r="AQ1743" s="332" t="s">
        <v>372</v>
      </c>
      <c r="AR1743" s="182" t="s">
        <v>5867</v>
      </c>
      <c r="AS1743" s="189">
        <v>-0.1</v>
      </c>
      <c r="AT1743" s="189">
        <f>IF(ISBLANK(AS1743),,IF(U1743="S",AD1743-AS1743,AS1743-AD1743))</f>
        <v>0</v>
      </c>
      <c r="AU1743" s="187">
        <f>AV1743*R1743</f>
        <v>0</v>
      </c>
      <c r="AV1743" s="190">
        <f t="shared" ref="AV1743:AV1746" si="530">IF(ISBLANK(AS1743),,(AT1743*Z1743))</f>
        <v>0</v>
      </c>
      <c r="AW1743" s="191" t="s">
        <v>115</v>
      </c>
      <c r="AX1743" s="551" t="s">
        <v>5868</v>
      </c>
      <c r="AY1743" s="551"/>
      <c r="AZ1743" s="551"/>
      <c r="BA1743" s="551"/>
      <c r="BB1743" s="551"/>
      <c r="BC1743" s="551"/>
      <c r="BD1743" s="549"/>
      <c r="BE1743" s="550"/>
      <c r="BF1743" s="549"/>
      <c r="BG1743" s="391">
        <f>SUM($AV$1389:AV1743)</f>
        <v>1559.6420260097843</v>
      </c>
      <c r="BH1743" s="392">
        <f>SUM($AU$1389:AU1743)</f>
        <v>26704.780000000177</v>
      </c>
      <c r="BI1743" s="318">
        <f>SUMIFS($AU$1388:AU1744,$Q$1388:Q1744,"F")</f>
        <v>19188.400000000001</v>
      </c>
      <c r="BJ1743" s="318">
        <f>SUMIFS($AU$1388:AU1744,$Q$1388:Q1744,"S")</f>
        <v>5727.9999999999909</v>
      </c>
      <c r="BK1743" s="343">
        <f>SUMIFS($AU$1388:AU1744,$P$1388:P1744,"W")</f>
        <v>19085.580000000136</v>
      </c>
      <c r="BL1743" s="343">
        <f>SUMIFS($AU$1388:AU1744,$P$1388:P1744,"R")</f>
        <v>6661.9999999999991</v>
      </c>
      <c r="BM1743" s="343">
        <f>SUMIFS($AU$1388:AU1744,$AQ$1388:AQ1744,"M")</f>
        <v>5261.1799999997265</v>
      </c>
      <c r="BN1743" s="343">
        <f>SUMIFS($AU$1388:AU1744,$AQ$1388:AQ1744,"H")</f>
        <v>4299.2000000004446</v>
      </c>
      <c r="BO1743" s="343">
        <f>SUMIFS($AU$1388:AU1744,$AQ$1388:AQ1744,"D")</f>
        <v>5426.0000000000009</v>
      </c>
      <c r="BP1743" s="343">
        <f>SUMIFS($AU$1388:AU1831,$AQ$1388:AQ1831,"W")</f>
        <v>12022.400000000001</v>
      </c>
      <c r="BQ1743" s="343">
        <f>SUMIFS($AU$1388:AU1744,$Q$1388:Q1744,"O")</f>
        <v>1828.3800000001911</v>
      </c>
      <c r="BR1743" s="343">
        <f>SUMIFS($AU$1388:AU1744,$AA$1388:AA1744,"*")</f>
        <v>21865.600000000064</v>
      </c>
      <c r="BS1743" s="343">
        <f>SUMIFS($AU$1388:AU1744,$AB$1388:AB1744,"*")</f>
        <v>6951.1799999999312</v>
      </c>
      <c r="BT1743" s="343">
        <f>SUMIFS($AU$1388:AU1744,$AC$1388:AC1744,"*")</f>
        <v>16068.4</v>
      </c>
      <c r="BU1743" s="343">
        <f>SUMIFS($AU$1388:AU1744,$AA$1388:AA1744,"*",$AB$1388:AB1744,"*")</f>
        <v>4415.9999999998217</v>
      </c>
      <c r="BV1743" s="343">
        <f>SUMIFS($AU$1388:AU1744,$AA$1388:AA1744,"*",$AC$1388:AC1744,"*")</f>
        <v>13764.4</v>
      </c>
      <c r="BW1743" s="343">
        <f>SUMIFS($AU$1388:AU1744,$AB$1388:AB1744,"*",$AC$1388:AC1744,"*")</f>
        <v>3279.9999999999982</v>
      </c>
      <c r="BX1743" s="343">
        <f>SUMIFS($AV$1388:AV1744,$Q$1388:Q1744,"F")</f>
        <v>357.19230875404793</v>
      </c>
      <c r="BY1743" s="343">
        <f>SUMIFS($AV$1388:AV1744,$Q$1388:Q1744,"S")</f>
        <v>367.10971725586728</v>
      </c>
      <c r="BZ1743" s="343">
        <f>SUMIFS($AV$1388:AV1744,$Q$1388:Q1744,"O")</f>
        <v>519.33999999986361</v>
      </c>
    </row>
    <row r="1744" spans="1:78" ht="15.75" customHeight="1">
      <c r="A1744" s="177" t="s">
        <v>5851</v>
      </c>
      <c r="B1744" s="200">
        <v>45384</v>
      </c>
      <c r="C1744" s="178" t="s">
        <v>5866</v>
      </c>
      <c r="D1744" s="178" t="s">
        <v>146</v>
      </c>
      <c r="E1744" s="227"/>
      <c r="F1744" s="180"/>
      <c r="G1744" s="181" t="s">
        <v>136</v>
      </c>
      <c r="H1744" s="182"/>
      <c r="I1744" s="182"/>
      <c r="J1744" s="182"/>
      <c r="K1744" s="183"/>
      <c r="L1744" s="182"/>
      <c r="M1744" s="182"/>
      <c r="N1744" s="182"/>
      <c r="O1744" s="183"/>
      <c r="P1744" s="183"/>
      <c r="Q1744" s="183"/>
      <c r="R1744" s="183"/>
      <c r="S1744" s="559"/>
      <c r="T1744" s="183"/>
      <c r="U1744" s="183"/>
      <c r="V1744" s="183"/>
      <c r="W1744" s="183"/>
      <c r="X1744" s="183"/>
      <c r="Y1744" s="184"/>
      <c r="Z1744" s="185"/>
      <c r="AA1744" s="185"/>
      <c r="AB1744" s="185"/>
      <c r="AC1744" s="185"/>
      <c r="AD1744" s="649"/>
      <c r="AE1744" s="182"/>
      <c r="AF1744" s="332"/>
      <c r="AG1744" s="182"/>
      <c r="AH1744" s="182"/>
      <c r="AI1744" s="182"/>
      <c r="AJ1744" s="640" t="s">
        <v>5869</v>
      </c>
      <c r="AK1744" s="182"/>
      <c r="AL1744" s="496">
        <f t="shared" si="528"/>
        <v>0</v>
      </c>
      <c r="AM1744" s="496">
        <f t="shared" si="526"/>
        <v>0</v>
      </c>
      <c r="AN1744" s="626"/>
      <c r="AO1744" s="182"/>
      <c r="AP1744" s="182"/>
      <c r="AQ1744" s="332" t="str">
        <f>UPPER(RIGHT(Journal_Live[[#This Row],[DURATION ]]))</f>
        <v/>
      </c>
      <c r="AR1744" s="182"/>
      <c r="AS1744" s="189"/>
      <c r="AT1744" s="189"/>
      <c r="AU1744" s="187"/>
      <c r="AV1744" s="190"/>
      <c r="AW1744" s="191"/>
      <c r="AX1744" s="551"/>
      <c r="AY1744" s="551"/>
      <c r="AZ1744" s="551"/>
      <c r="BA1744" s="551"/>
      <c r="BB1744" s="551"/>
      <c r="BC1744" s="551"/>
      <c r="BD1744" s="549"/>
      <c r="BE1744" s="550"/>
      <c r="BF1744" s="549"/>
      <c r="BG1744" s="391">
        <f>SUM($AV$1389:AV1744)</f>
        <v>1559.6420260097843</v>
      </c>
      <c r="BH1744" s="392">
        <f>SUM($AU$1389:AU1744)</f>
        <v>26704.780000000177</v>
      </c>
      <c r="BI1744" s="318">
        <f>SUMIFS($AU$1388:AU1745,$Q$1388:Q1745,"F")</f>
        <v>19188.400000000001</v>
      </c>
      <c r="BJ1744" s="318">
        <f>SUMIFS($AU$1388:AU1745,$Q$1388:Q1745,"S")</f>
        <v>5727.9999999999909</v>
      </c>
      <c r="BK1744" s="343">
        <f>SUMIFS($AU$1388:AU1745,$P$1388:P1745,"W")</f>
        <v>19085.580000000136</v>
      </c>
      <c r="BL1744" s="343">
        <f>SUMIFS($AU$1388:AU1745,$P$1388:P1745,"R")</f>
        <v>6661.9999999999991</v>
      </c>
      <c r="BM1744" s="343">
        <f>SUMIFS($AU$1388:AU1745,$AQ$1388:AQ1745,"M")</f>
        <v>5261.1799999997265</v>
      </c>
      <c r="BN1744" s="343">
        <f>SUMIFS($AU$1388:AU1745,$AQ$1388:AQ1745,"H")</f>
        <v>4299.2000000004446</v>
      </c>
      <c r="BO1744" s="343">
        <f>SUMIFS($AU$1388:AU1745,$AQ$1388:AQ1745,"D")</f>
        <v>5426.0000000000009</v>
      </c>
      <c r="BP1744" s="343">
        <f>SUMIFS($AU$1388:AU1832,$AQ$1388:AQ1832,"W")</f>
        <v>12022.400000000001</v>
      </c>
      <c r="BQ1744" s="343">
        <f>SUMIFS($AU$1388:AU1745,$Q$1388:Q1745,"O")</f>
        <v>1828.3800000001911</v>
      </c>
      <c r="BR1744" s="343">
        <f>SUMIFS($AU$1388:AU1745,$AA$1388:AA1745,"*")</f>
        <v>21865.600000000064</v>
      </c>
      <c r="BS1744" s="343">
        <f>SUMIFS($AU$1388:AU1745,$AB$1388:AB1745,"*")</f>
        <v>6951.1799999999312</v>
      </c>
      <c r="BT1744" s="343">
        <f>SUMIFS($AU$1388:AU1745,$AC$1388:AC1745,"*")</f>
        <v>16068.4</v>
      </c>
      <c r="BU1744" s="343">
        <f>SUMIFS($AU$1388:AU1745,$AA$1388:AA1745,"*",$AB$1388:AB1745,"*")</f>
        <v>4415.9999999998217</v>
      </c>
      <c r="BV1744" s="343">
        <f>SUMIFS($AU$1388:AU1745,$AA$1388:AA1745,"*",$AC$1388:AC1745,"*")</f>
        <v>13764.4</v>
      </c>
      <c r="BW1744" s="343">
        <f>SUMIFS($AU$1388:AU1745,$AB$1388:AB1745,"*",$AC$1388:AC1745,"*")</f>
        <v>3279.9999999999982</v>
      </c>
      <c r="BX1744" s="343">
        <f>SUMIFS($AV$1388:AV1745,$Q$1388:Q1745,"F")</f>
        <v>357.19230875404793</v>
      </c>
      <c r="BY1744" s="343">
        <f>SUMIFS($AV$1388:AV1745,$Q$1388:Q1745,"S")</f>
        <v>367.10971725586728</v>
      </c>
      <c r="BZ1744" s="343">
        <f>SUMIFS($AV$1388:AV1745,$Q$1388:Q1745,"O")</f>
        <v>519.33999999986361</v>
      </c>
    </row>
    <row r="1745" spans="1:78" ht="15.75" customHeight="1">
      <c r="A1745" s="177" t="s">
        <v>5851</v>
      </c>
      <c r="B1745" s="200">
        <v>45384</v>
      </c>
      <c r="C1745" s="178" t="s">
        <v>4721</v>
      </c>
      <c r="D1745" s="178" t="s">
        <v>146</v>
      </c>
      <c r="E1745" s="227"/>
      <c r="F1745" s="180"/>
      <c r="G1745" s="181" t="s">
        <v>2016</v>
      </c>
      <c r="H1745" s="182"/>
      <c r="I1745" s="182"/>
      <c r="J1745" s="182"/>
      <c r="K1745" s="183"/>
      <c r="L1745" s="182"/>
      <c r="M1745" s="182"/>
      <c r="N1745" s="182"/>
      <c r="O1745" s="183"/>
      <c r="P1745" s="183"/>
      <c r="Q1745" s="183"/>
      <c r="R1745" s="183"/>
      <c r="S1745" s="559"/>
      <c r="T1745" s="183"/>
      <c r="U1745" s="183"/>
      <c r="V1745" s="183"/>
      <c r="W1745" s="183"/>
      <c r="X1745" s="183"/>
      <c r="Y1745" s="184"/>
      <c r="Z1745" s="185"/>
      <c r="AA1745" s="185"/>
      <c r="AB1745" s="185"/>
      <c r="AC1745" s="185"/>
      <c r="AD1745" s="649"/>
      <c r="AE1745" s="182"/>
      <c r="AF1745" s="332"/>
      <c r="AG1745" s="182"/>
      <c r="AH1745" s="182"/>
      <c r="AI1745" s="182"/>
      <c r="AJ1745" s="640"/>
      <c r="AK1745" s="182"/>
      <c r="AL1745" s="496">
        <f t="shared" si="527"/>
        <v>0</v>
      </c>
      <c r="AM1745" s="496">
        <f t="shared" si="526"/>
        <v>0</v>
      </c>
      <c r="AN1745" s="626"/>
      <c r="AO1745" s="182"/>
      <c r="AP1745" s="182"/>
      <c r="AQ1745" s="332" t="str">
        <f>UPPER(RIGHT(Journal_Live[[#This Row],[DURATION ]]))</f>
        <v/>
      </c>
      <c r="AR1745" s="182"/>
      <c r="AS1745" s="189"/>
      <c r="AT1745" s="189"/>
      <c r="AU1745" s="187"/>
      <c r="AV1745" s="190"/>
      <c r="AW1745" s="191"/>
      <c r="AX1745" s="551"/>
      <c r="AY1745" s="551"/>
      <c r="AZ1745" s="551"/>
      <c r="BA1745" s="551"/>
      <c r="BB1745" s="551"/>
      <c r="BC1745" s="551"/>
      <c r="BD1745" s="549"/>
      <c r="BE1745" s="550"/>
      <c r="BF1745" s="549"/>
      <c r="BG1745" s="391">
        <f>SUM($AV$1389:AV1745)</f>
        <v>1559.6420260097843</v>
      </c>
      <c r="BH1745" s="392">
        <f>SUM($AU$1389:AU1745)</f>
        <v>26704.780000000177</v>
      </c>
      <c r="BI1745" s="318">
        <f>SUMIFS($AU$1388:AU1746,$Q$1388:Q1746,"F")</f>
        <v>19188.400000000001</v>
      </c>
      <c r="BJ1745" s="318">
        <f>SUMIFS($AU$1388:AU1746,$Q$1388:Q1746,"S")</f>
        <v>6335.9999999999909</v>
      </c>
      <c r="BK1745" s="343">
        <f>SUMIFS($AU$1388:AU1746,$P$1388:P1746,"W")</f>
        <v>19693.580000000136</v>
      </c>
      <c r="BL1745" s="343">
        <f>SUMIFS($AU$1388:AU1746,$P$1388:P1746,"R")</f>
        <v>6661.9999999999991</v>
      </c>
      <c r="BM1745" s="343">
        <f>SUMIFS($AU$1388:AU1746,$AQ$1388:AQ1746,"M")</f>
        <v>5261.1799999997265</v>
      </c>
      <c r="BN1745" s="343">
        <f>SUMIFS($AU$1388:AU1746,$AQ$1388:AQ1746,"H")</f>
        <v>4907.2000000004446</v>
      </c>
      <c r="BO1745" s="343">
        <f>SUMIFS($AU$1388:AU1746,$AQ$1388:AQ1746,"D")</f>
        <v>5426.0000000000009</v>
      </c>
      <c r="BP1745" s="343">
        <f>SUMIFS($AU$1388:AU1833,$AQ$1388:AQ1833,"W")</f>
        <v>12022.400000000001</v>
      </c>
      <c r="BQ1745" s="343">
        <f>SUMIFS($AU$1388:AU1746,$Q$1388:Q1746,"O")</f>
        <v>1828.3800000001911</v>
      </c>
      <c r="BR1745" s="343">
        <f>SUMIFS($AU$1388:AU1746,$AA$1388:AA1746,"*")</f>
        <v>22473.600000000064</v>
      </c>
      <c r="BS1745" s="343">
        <f>SUMIFS($AU$1388:AU1746,$AB$1388:AB1746,"*")</f>
        <v>6951.1799999999312</v>
      </c>
      <c r="BT1745" s="343">
        <f>SUMIFS($AU$1388:AU1746,$AC$1388:AC1746,"*")</f>
        <v>16068.4</v>
      </c>
      <c r="BU1745" s="343">
        <f>SUMIFS($AU$1388:AU1746,$AA$1388:AA1746,"*",$AB$1388:AB1746,"*")</f>
        <v>4415.9999999998217</v>
      </c>
      <c r="BV1745" s="343">
        <f>SUMIFS($AU$1388:AU1746,$AA$1388:AA1746,"*",$AC$1388:AC1746,"*")</f>
        <v>13764.4</v>
      </c>
      <c r="BW1745" s="343">
        <f>SUMIFS($AU$1388:AU1746,$AB$1388:AB1746,"*",$AC$1388:AC1746,"*")</f>
        <v>3279.9999999999982</v>
      </c>
      <c r="BX1745" s="343">
        <f>SUMIFS($AV$1388:AV1746,$Q$1388:Q1746,"F")</f>
        <v>357.19230875404793</v>
      </c>
      <c r="BY1745" s="343">
        <f>SUMIFS($AV$1388:AV1746,$Q$1388:Q1746,"S")</f>
        <v>392.44305058920065</v>
      </c>
      <c r="BZ1745" s="343">
        <f>SUMIFS($AV$1388:AV1746,$Q$1388:Q1746,"O")</f>
        <v>519.33999999986361</v>
      </c>
    </row>
    <row r="1746" spans="1:78" ht="15.75" customHeight="1">
      <c r="A1746" s="177" t="s">
        <v>5851</v>
      </c>
      <c r="B1746" s="200">
        <v>45384</v>
      </c>
      <c r="C1746" s="178" t="s">
        <v>5870</v>
      </c>
      <c r="D1746" s="178" t="s">
        <v>146</v>
      </c>
      <c r="E1746" s="227"/>
      <c r="F1746" s="180"/>
      <c r="G1746" s="484" t="s">
        <v>3990</v>
      </c>
      <c r="H1746" s="182"/>
      <c r="I1746" s="182"/>
      <c r="J1746" s="182"/>
      <c r="K1746" s="183"/>
      <c r="L1746" s="182">
        <v>1</v>
      </c>
      <c r="M1746" s="182"/>
      <c r="N1746" s="182"/>
      <c r="O1746" s="183" t="s">
        <v>95</v>
      </c>
      <c r="P1746" s="183" t="s">
        <v>96</v>
      </c>
      <c r="Q1746" s="183" t="s">
        <v>97</v>
      </c>
      <c r="R1746" s="183">
        <v>24</v>
      </c>
      <c r="S1746" s="559">
        <v>10</v>
      </c>
      <c r="T1746" s="183">
        <v>24</v>
      </c>
      <c r="U1746" s="183" t="s">
        <v>97</v>
      </c>
      <c r="V1746" s="183"/>
      <c r="W1746" s="183"/>
      <c r="X1746" s="183"/>
      <c r="Y1746" s="184">
        <f>IF(ISBLANK(O1746),"",(IF(O1746=UPPER("IB"),0.005,0.01)))</f>
        <v>0.01</v>
      </c>
      <c r="Z1746" s="185">
        <f>IF(ISBLANK(O1746),"",IF(O1746="IB",8.63*200,IF(O1746="IR",16*100,IF(O1746="YT",20*100,IF(O1746="YT-XT",24*200,IF(O1746="TED",80*100,IF(O1746="XT",29*200)))))))</f>
        <v>1600</v>
      </c>
      <c r="AA1746" s="185" t="s">
        <v>5871</v>
      </c>
      <c r="AB1746" s="185"/>
      <c r="AC1746" s="185"/>
      <c r="AD1746" s="649">
        <v>-0.21</v>
      </c>
      <c r="AE1746" s="182"/>
      <c r="AF1746" s="332"/>
      <c r="AG1746" s="182"/>
      <c r="AH1746" s="182"/>
      <c r="AI1746" s="182"/>
      <c r="AJ1746" s="640"/>
      <c r="AK1746" s="182"/>
      <c r="AL1746" s="496">
        <f t="shared" ref="AL1746:AL1753" si="531">-0.02*Z1746</f>
        <v>-32</v>
      </c>
      <c r="AM1746" s="496">
        <f t="shared" si="526"/>
        <v>-448</v>
      </c>
      <c r="AN1746" s="626"/>
      <c r="AO1746" s="182"/>
      <c r="AP1746" s="182" t="s">
        <v>5872</v>
      </c>
      <c r="AQ1746" s="332" t="s">
        <v>372</v>
      </c>
      <c r="AR1746" s="182" t="s">
        <v>5873</v>
      </c>
      <c r="AS1746" s="189">
        <f>((-0.22*10)+(-0.23*14))/24</f>
        <v>-0.22583333333333333</v>
      </c>
      <c r="AT1746" s="189">
        <f>IF(ISBLANK(AS1746),,IF(U1746="S",AD1746-AS1746,AS1746-AD1746))</f>
        <v>1.5833333333333338E-2</v>
      </c>
      <c r="AU1746" s="187">
        <f>AV1746*R1746</f>
        <v>608.00000000000023</v>
      </c>
      <c r="AV1746" s="190">
        <f t="shared" si="530"/>
        <v>25.333333333333343</v>
      </c>
      <c r="AW1746" s="191" t="s">
        <v>96</v>
      </c>
      <c r="AX1746" s="551" t="s">
        <v>782</v>
      </c>
      <c r="AY1746" s="551"/>
      <c r="AZ1746" s="551"/>
      <c r="BA1746" s="551"/>
      <c r="BB1746" s="551"/>
      <c r="BC1746" s="551"/>
      <c r="BD1746" s="549"/>
      <c r="BE1746" s="550"/>
      <c r="BF1746" s="549"/>
      <c r="BG1746" s="391">
        <f>SUM($AV$1389:AV1746)</f>
        <v>1584.9753593431176</v>
      </c>
      <c r="BH1746" s="392">
        <f>SUM($AU$1389:AU1746)</f>
        <v>27312.780000000177</v>
      </c>
      <c r="BI1746" s="318">
        <f>SUMIFS($AU$1388:AU1747,$Q$1388:Q1747,"F")</f>
        <v>19188.400000000001</v>
      </c>
      <c r="BJ1746" s="318">
        <f>SUMIFS($AU$1388:AU1747,$Q$1388:Q1747,"S")</f>
        <v>6335.9999999999909</v>
      </c>
      <c r="BK1746" s="343">
        <f>SUMIFS($AU$1388:AU1747,$P$1388:P1747,"W")</f>
        <v>19693.580000000136</v>
      </c>
      <c r="BL1746" s="343">
        <f>SUMIFS($AU$1388:AU1747,$P$1388:P1747,"R")</f>
        <v>6661.9999999999991</v>
      </c>
      <c r="BM1746" s="343">
        <f>SUMIFS($AU$1388:AU1747,$AQ$1388:AQ1747,"M")</f>
        <v>5261.1799999997265</v>
      </c>
      <c r="BN1746" s="343">
        <f>SUMIFS($AU$1388:AU1747,$AQ$1388:AQ1747,"H")</f>
        <v>4907.2000000004446</v>
      </c>
      <c r="BO1746" s="343">
        <f>SUMIFS($AU$1388:AU1747,$AQ$1388:AQ1747,"D")</f>
        <v>5426.0000000000009</v>
      </c>
      <c r="BP1746" s="343">
        <f>SUMIFS($AU$1388:AU1834,$AQ$1388:AQ1834,"W")</f>
        <v>12022.400000000001</v>
      </c>
      <c r="BQ1746" s="343">
        <f>SUMIFS($AU$1388:AU1747,$Q$1388:Q1747,"O")</f>
        <v>1828.3800000001911</v>
      </c>
      <c r="BR1746" s="343">
        <f>SUMIFS($AU$1388:AU1747,$AA$1388:AA1747,"*")</f>
        <v>22473.600000000064</v>
      </c>
      <c r="BS1746" s="343">
        <f>SUMIFS($AU$1388:AU1747,$AB$1388:AB1747,"*")</f>
        <v>6951.1799999999312</v>
      </c>
      <c r="BT1746" s="343">
        <f>SUMIFS($AU$1388:AU1747,$AC$1388:AC1747,"*")</f>
        <v>16068.4</v>
      </c>
      <c r="BU1746" s="343">
        <f>SUMIFS($AU$1388:AU1747,$AA$1388:AA1747,"*",$AB$1388:AB1747,"*")</f>
        <v>4415.9999999998217</v>
      </c>
      <c r="BV1746" s="343">
        <f>SUMIFS($AU$1388:AU1747,$AA$1388:AA1747,"*",$AC$1388:AC1747,"*")</f>
        <v>13764.4</v>
      </c>
      <c r="BW1746" s="343">
        <f>SUMIFS($AU$1388:AU1747,$AB$1388:AB1747,"*",$AC$1388:AC1747,"*")</f>
        <v>3279.9999999999982</v>
      </c>
      <c r="BX1746" s="343">
        <f>SUMIFS($AV$1388:AV1747,$Q$1388:Q1747,"F")</f>
        <v>357.19230875404793</v>
      </c>
      <c r="BY1746" s="343">
        <f>SUMIFS($AV$1388:AV1747,$Q$1388:Q1747,"S")</f>
        <v>392.44305058920065</v>
      </c>
      <c r="BZ1746" s="343">
        <f>SUMIFS($AV$1388:AV1747,$Q$1388:Q1747,"O")</f>
        <v>519.33999999986361</v>
      </c>
    </row>
    <row r="1747" spans="1:78" ht="15.75" customHeight="1">
      <c r="A1747" s="177" t="s">
        <v>5851</v>
      </c>
      <c r="B1747" s="200">
        <v>45385</v>
      </c>
      <c r="C1747" s="178" t="s">
        <v>2235</v>
      </c>
      <c r="D1747" s="178" t="s">
        <v>151</v>
      </c>
      <c r="E1747" s="227"/>
      <c r="F1747" s="180"/>
      <c r="G1747" s="181" t="s">
        <v>2016</v>
      </c>
      <c r="H1747" s="182"/>
      <c r="I1747" s="182"/>
      <c r="J1747" s="182"/>
      <c r="K1747" s="183"/>
      <c r="L1747" s="182"/>
      <c r="M1747" s="182"/>
      <c r="N1747" s="182"/>
      <c r="O1747" s="183"/>
      <c r="P1747" s="183"/>
      <c r="Q1747" s="183"/>
      <c r="R1747" s="183"/>
      <c r="S1747" s="183"/>
      <c r="T1747" s="183"/>
      <c r="U1747" s="183"/>
      <c r="V1747" s="183"/>
      <c r="W1747" s="183"/>
      <c r="X1747" s="183"/>
      <c r="Y1747" s="184"/>
      <c r="Z1747" s="185"/>
      <c r="AA1747" s="185"/>
      <c r="AB1747" s="185"/>
      <c r="AC1747" s="185"/>
      <c r="AD1747" s="649"/>
      <c r="AE1747" s="182"/>
      <c r="AF1747" s="332"/>
      <c r="AG1747" s="182"/>
      <c r="AH1747" s="182"/>
      <c r="AI1747" s="182"/>
      <c r="AJ1747" s="640"/>
      <c r="AK1747" s="182"/>
      <c r="AL1747" s="496">
        <f t="shared" si="531"/>
        <v>0</v>
      </c>
      <c r="AM1747" s="496">
        <f t="shared" si="526"/>
        <v>0</v>
      </c>
      <c r="AN1747" s="626"/>
      <c r="AO1747" s="182"/>
      <c r="AP1747" s="182"/>
      <c r="AQ1747" s="332" t="str">
        <f>UPPER(RIGHT(Journal_Live[[#This Row],[DURATION ]]))</f>
        <v/>
      </c>
      <c r="AR1747" s="182"/>
      <c r="AS1747" s="189"/>
      <c r="AT1747" s="189"/>
      <c r="AU1747" s="187"/>
      <c r="AV1747" s="190"/>
      <c r="AW1747" s="191"/>
      <c r="AX1747" s="551"/>
      <c r="AY1747" s="551"/>
      <c r="AZ1747" s="551"/>
      <c r="BA1747" s="551"/>
      <c r="BB1747" s="551"/>
      <c r="BC1747" s="551"/>
      <c r="BD1747" s="549"/>
      <c r="BE1747" s="550"/>
      <c r="BF1747" s="549"/>
      <c r="BG1747" s="391">
        <f>SUM($AV$1389:AV1747)</f>
        <v>1584.9753593431176</v>
      </c>
      <c r="BH1747" s="392">
        <f>SUM($AU$1389:AU1747)</f>
        <v>27312.780000000177</v>
      </c>
      <c r="BI1747" s="318">
        <f>SUMIFS($AU$1388:AU1748,$Q$1388:Q1748,"F")</f>
        <v>19188.400000000001</v>
      </c>
      <c r="BJ1747" s="318">
        <f>SUMIFS($AU$1388:AU1748,$Q$1388:Q1748,"S")</f>
        <v>6335.9999999999909</v>
      </c>
      <c r="BK1747" s="343">
        <f>SUMIFS($AU$1388:AU1748,$P$1388:P1748,"W")</f>
        <v>19693.580000000136</v>
      </c>
      <c r="BL1747" s="343">
        <f>SUMIFS($AU$1388:AU1748,$P$1388:P1748,"R")</f>
        <v>6661.9999999999991</v>
      </c>
      <c r="BM1747" s="343">
        <f>SUMIFS($AU$1388:AU1748,$AQ$1388:AQ1748,"M")</f>
        <v>5261.1799999997265</v>
      </c>
      <c r="BN1747" s="343">
        <f>SUMIFS($AU$1388:AU1748,$AQ$1388:AQ1748,"H")</f>
        <v>4907.2000000004446</v>
      </c>
      <c r="BO1747" s="343">
        <f>SUMIFS($AU$1388:AU1748,$AQ$1388:AQ1748,"D")</f>
        <v>5426.0000000000009</v>
      </c>
      <c r="BP1747" s="343">
        <f>SUMIFS($AU$1388:AU1835,$AQ$1388:AQ1835,"W")</f>
        <v>12022.400000000001</v>
      </c>
      <c r="BQ1747" s="343">
        <f>SUMIFS($AU$1388:AU1748,$Q$1388:Q1748,"O")</f>
        <v>1828.3800000001911</v>
      </c>
      <c r="BR1747" s="343">
        <f>SUMIFS($AU$1388:AU1748,$AA$1388:AA1748,"*")</f>
        <v>22473.600000000064</v>
      </c>
      <c r="BS1747" s="343">
        <f>SUMIFS($AU$1388:AU1748,$AB$1388:AB1748,"*")</f>
        <v>6951.1799999999312</v>
      </c>
      <c r="BT1747" s="343">
        <f>SUMIFS($AU$1388:AU1748,$AC$1388:AC1748,"*")</f>
        <v>16068.4</v>
      </c>
      <c r="BU1747" s="343">
        <f>SUMIFS($AU$1388:AU1748,$AA$1388:AA1748,"*",$AB$1388:AB1748,"*")</f>
        <v>4415.9999999998217</v>
      </c>
      <c r="BV1747" s="343">
        <f>SUMIFS($AU$1388:AU1748,$AA$1388:AA1748,"*",$AC$1388:AC1748,"*")</f>
        <v>13764.4</v>
      </c>
      <c r="BW1747" s="343">
        <f>SUMIFS($AU$1388:AU1748,$AB$1388:AB1748,"*",$AC$1388:AC1748,"*")</f>
        <v>3279.9999999999982</v>
      </c>
      <c r="BX1747" s="343">
        <f>SUMIFS($AV$1388:AV1748,$Q$1388:Q1748,"F")</f>
        <v>357.19230875404793</v>
      </c>
      <c r="BY1747" s="343">
        <f>SUMIFS($AV$1388:AV1748,$Q$1388:Q1748,"S")</f>
        <v>392.44305058920065</v>
      </c>
      <c r="BZ1747" s="343">
        <f>SUMIFS($AV$1388:AV1748,$Q$1388:Q1748,"O")</f>
        <v>519.33999999986361</v>
      </c>
    </row>
    <row r="1748" spans="1:78" ht="14.25" customHeight="1">
      <c r="A1748" s="177" t="s">
        <v>5851</v>
      </c>
      <c r="B1748" s="200">
        <v>45385</v>
      </c>
      <c r="C1748" s="178"/>
      <c r="D1748" s="178"/>
      <c r="E1748" s="227"/>
      <c r="F1748" s="180"/>
      <c r="G1748" s="181"/>
      <c r="H1748" s="182"/>
      <c r="I1748" s="182"/>
      <c r="J1748" s="182"/>
      <c r="K1748" s="183"/>
      <c r="L1748" s="182"/>
      <c r="M1748" s="182"/>
      <c r="N1748" s="182"/>
      <c r="O1748" s="183"/>
      <c r="P1748" s="183"/>
      <c r="Q1748" s="183"/>
      <c r="R1748" s="183"/>
      <c r="S1748" s="183"/>
      <c r="T1748" s="183"/>
      <c r="U1748" s="183"/>
      <c r="V1748" s="183"/>
      <c r="W1748" s="183"/>
      <c r="X1748" s="183"/>
      <c r="Y1748" s="183"/>
      <c r="Z1748" s="183"/>
      <c r="AA1748" s="185"/>
      <c r="AB1748" s="185"/>
      <c r="AC1748" s="185"/>
      <c r="AD1748" s="649"/>
      <c r="AE1748" s="182"/>
      <c r="AF1748" s="332"/>
      <c r="AG1748" s="182"/>
      <c r="AH1748" s="182"/>
      <c r="AI1748" s="182"/>
      <c r="AJ1748" s="640"/>
      <c r="AK1748" s="182"/>
      <c r="AL1748" s="496">
        <f t="shared" si="531"/>
        <v>0</v>
      </c>
      <c r="AM1748" s="496">
        <f t="shared" si="526"/>
        <v>0</v>
      </c>
      <c r="AN1748" s="626"/>
      <c r="AO1748" s="182"/>
      <c r="AP1748" s="182"/>
      <c r="AQ1748" s="332" t="str">
        <f>UPPER(RIGHT(Journal_Live[[#This Row],[DURATION ]]))</f>
        <v/>
      </c>
      <c r="AR1748" s="182"/>
      <c r="AS1748" s="189"/>
      <c r="AT1748" s="189"/>
      <c r="AU1748" s="187"/>
      <c r="AV1748" s="190"/>
      <c r="AW1748" s="191"/>
      <c r="AX1748" s="551" t="s">
        <v>5874</v>
      </c>
      <c r="AY1748" s="551"/>
      <c r="AZ1748" s="551"/>
      <c r="BA1748" s="551"/>
      <c r="BB1748" s="551"/>
      <c r="BC1748" s="551"/>
      <c r="BD1748" s="549"/>
      <c r="BE1748" s="550"/>
      <c r="BF1748" s="549"/>
      <c r="BG1748" s="391">
        <f>SUM($AV$1389:AV1748)</f>
        <v>1584.9753593431176</v>
      </c>
      <c r="BH1748" s="392">
        <f>SUM($AU$1389:AU1748)</f>
        <v>27312.780000000177</v>
      </c>
      <c r="BI1748" s="318">
        <f>SUMIFS($AU$1388:AU1749,$Q$1388:Q1749,"F")</f>
        <v>19188.400000000001</v>
      </c>
      <c r="BJ1748" s="318">
        <f>SUMIFS($AU$1388:AU1749,$Q$1388:Q1749,"S")</f>
        <v>6335.9999999999909</v>
      </c>
      <c r="BK1748" s="343">
        <f>SUMIFS($AU$1388:AU1749,$P$1388:P1749,"W")</f>
        <v>19693.580000000136</v>
      </c>
      <c r="BL1748" s="343">
        <f>SUMIFS($AU$1388:AU1749,$P$1388:P1749,"R")</f>
        <v>6325.9999999999991</v>
      </c>
      <c r="BM1748" s="343">
        <f>SUMIFS($AU$1388:AU1749,$AQ$1388:AQ1749,"M")</f>
        <v>5261.1799999997265</v>
      </c>
      <c r="BN1748" s="343">
        <f>SUMIFS($AU$1388:AU1749,$AQ$1388:AQ1749,"H")</f>
        <v>4907.2000000004446</v>
      </c>
      <c r="BO1748" s="343">
        <f>SUMIFS($AU$1388:AU1749,$AQ$1388:AQ1749,"D")</f>
        <v>5090.0000000000009</v>
      </c>
      <c r="BP1748" s="343">
        <f>SUMIFS($AU$1388:AU1836,$AQ$1388:AQ1836,"W")</f>
        <v>12022.400000000001</v>
      </c>
      <c r="BQ1748" s="343">
        <f>SUMIFS($AU$1388:AU1749,$Q$1388:Q1749,"O")</f>
        <v>1828.3800000001911</v>
      </c>
      <c r="BR1748" s="343">
        <f>SUMIFS($AU$1388:AU1749,$AA$1388:AA1749,"*")</f>
        <v>22137.600000000064</v>
      </c>
      <c r="BS1748" s="343">
        <f>SUMIFS($AU$1388:AU1749,$AB$1388:AB1749,"*")</f>
        <v>6615.1799999999312</v>
      </c>
      <c r="BT1748" s="343">
        <f>SUMIFS($AU$1388:AU1749,$AC$1388:AC1749,"*")</f>
        <v>16068.4</v>
      </c>
      <c r="BU1748" s="343">
        <f>SUMIFS($AU$1388:AU1749,$AA$1388:AA1749,"*",$AB$1388:AB1749,"*")</f>
        <v>4079.9999999998217</v>
      </c>
      <c r="BV1748" s="343">
        <f>SUMIFS($AU$1388:AU1749,$AA$1388:AA1749,"*",$AC$1388:AC1749,"*")</f>
        <v>13764.4</v>
      </c>
      <c r="BW1748" s="343">
        <f>SUMIFS($AU$1388:AU1749,$AB$1388:AB1749,"*",$AC$1388:AC1749,"*")</f>
        <v>3279.9999999999982</v>
      </c>
      <c r="BX1748" s="343">
        <f>SUMIFS($AV$1388:AV1749,$Q$1388:Q1749,"F")</f>
        <v>357.19230875404793</v>
      </c>
      <c r="BY1748" s="343">
        <f>SUMIFS($AV$1388:AV1749,$Q$1388:Q1749,"S")</f>
        <v>392.44305058920065</v>
      </c>
      <c r="BZ1748" s="343">
        <f>SUMIFS($AV$1388:AV1749,$Q$1388:Q1749,"O")</f>
        <v>519.33999999986361</v>
      </c>
    </row>
    <row r="1749" spans="1:78" ht="15.75" customHeight="1">
      <c r="A1749" s="177" t="s">
        <v>5851</v>
      </c>
      <c r="B1749" s="200">
        <v>45385</v>
      </c>
      <c r="C1749" s="178" t="s">
        <v>5875</v>
      </c>
      <c r="D1749" s="178" t="s">
        <v>151</v>
      </c>
      <c r="E1749" s="227"/>
      <c r="F1749" s="180"/>
      <c r="G1749" s="561" t="s">
        <v>5672</v>
      </c>
      <c r="H1749" s="182"/>
      <c r="I1749" s="182"/>
      <c r="J1749" s="182"/>
      <c r="K1749" s="183"/>
      <c r="L1749" s="182">
        <v>1</v>
      </c>
      <c r="M1749" s="182"/>
      <c r="N1749" s="182"/>
      <c r="O1749" s="183" t="s">
        <v>2652</v>
      </c>
      <c r="P1749" s="183" t="s">
        <v>137</v>
      </c>
      <c r="Q1749" s="183"/>
      <c r="R1749" s="183">
        <v>2</v>
      </c>
      <c r="S1749" s="183">
        <v>1</v>
      </c>
      <c r="T1749" s="183">
        <v>2</v>
      </c>
      <c r="U1749" s="183" t="s">
        <v>22</v>
      </c>
      <c r="V1749" s="183"/>
      <c r="W1749" s="183"/>
      <c r="X1749" s="183"/>
      <c r="Y1749" s="184">
        <f t="shared" ref="Y1749:Y1754" si="532">IF(ISBLANK(O1749),"",(IF(O1749=UPPER("IB"),0.005,0.01)))</f>
        <v>0.01</v>
      </c>
      <c r="Z1749" s="185">
        <f>IF(ISBLANK(O1749),"",IF(O1749="IB",8.63*200,IF(O1749="IR",16*100,IF(O1749="YT",20*100,IF(O1749="YT-XT",24*200,IF(O1749="TED",80*100))))))</f>
        <v>8000</v>
      </c>
      <c r="AA1749" s="185" t="s">
        <v>1824</v>
      </c>
      <c r="AB1749" s="185" t="s">
        <v>5876</v>
      </c>
      <c r="AC1749" s="185"/>
      <c r="AD1749" s="649">
        <v>-1.4E-2</v>
      </c>
      <c r="AE1749" s="182"/>
      <c r="AF1749" s="332"/>
      <c r="AG1749" s="182"/>
      <c r="AH1749" s="182"/>
      <c r="AI1749" s="182"/>
      <c r="AJ1749" s="640"/>
      <c r="AK1749" s="182"/>
      <c r="AL1749" s="496">
        <f t="shared" si="531"/>
        <v>-160</v>
      </c>
      <c r="AM1749" s="496">
        <f t="shared" si="526"/>
        <v>-160</v>
      </c>
      <c r="AN1749" s="626"/>
      <c r="AO1749" s="182"/>
      <c r="AP1749" s="182" t="s">
        <v>2333</v>
      </c>
      <c r="AQ1749" s="332" t="s">
        <v>115</v>
      </c>
      <c r="AR1749" s="182" t="s">
        <v>5877</v>
      </c>
      <c r="AS1749" s="189">
        <f>((-0.03)+(-0.04))/2</f>
        <v>-3.5000000000000003E-2</v>
      </c>
      <c r="AT1749" s="189">
        <f t="shared" ref="AT1749:AT1754" si="533">IF(ISBLANK(AS1749),,IF(U1749="S",AD1749-AS1749,AS1749-AD1749))</f>
        <v>-2.1000000000000005E-2</v>
      </c>
      <c r="AU1749" s="187">
        <f t="shared" ref="AU1749:AU1754" si="534">AV1749*R1749</f>
        <v>-336.00000000000006</v>
      </c>
      <c r="AV1749" s="190">
        <f t="shared" ref="AV1749" si="535">IF(ISBLANK(AS1749),,(AT1749*Z1749))</f>
        <v>-168.00000000000003</v>
      </c>
      <c r="AW1749" s="191" t="s">
        <v>229</v>
      </c>
      <c r="AX1749" s="551" t="s">
        <v>5878</v>
      </c>
      <c r="AY1749" s="551"/>
      <c r="AZ1749" s="551"/>
      <c r="BA1749" s="551"/>
      <c r="BB1749" s="551"/>
      <c r="BC1749" s="551"/>
      <c r="BD1749" s="549"/>
      <c r="BE1749" s="550"/>
      <c r="BF1749" s="549"/>
      <c r="BG1749" s="391">
        <f>SUM($AV$1389:AV1749)</f>
        <v>1416.9753593431176</v>
      </c>
      <c r="BH1749" s="392">
        <f>SUM($AU$1389:AU1749)</f>
        <v>26976.780000000177</v>
      </c>
      <c r="BI1749" s="318">
        <f>SUMIFS($AU$1388:AU1750,$Q$1388:Q1750,"F")</f>
        <v>19188.400000000001</v>
      </c>
      <c r="BJ1749" s="318">
        <f>SUMIFS($AU$1388:AU1750,$Q$1388:Q1750,"S")</f>
        <v>6655.9999999999909</v>
      </c>
      <c r="BK1749" s="343">
        <f>SUMIFS($AU$1388:AU1750,$P$1388:P1750,"W")</f>
        <v>20013.580000000136</v>
      </c>
      <c r="BL1749" s="343">
        <f>SUMIFS($AU$1388:AU1750,$P$1388:P1750,"R")</f>
        <v>6325.9999999999991</v>
      </c>
      <c r="BM1749" s="343">
        <f>SUMIFS($AU$1388:AU1750,$AQ$1388:AQ1750,"M")</f>
        <v>5581.1799999997265</v>
      </c>
      <c r="BN1749" s="343">
        <f>SUMIFS($AU$1388:AU1750,$AQ$1388:AQ1750,"H")</f>
        <v>4907.2000000004446</v>
      </c>
      <c r="BO1749" s="343">
        <f>SUMIFS($AU$1388:AU1750,$AQ$1388:AQ1750,"D")</f>
        <v>5090.0000000000009</v>
      </c>
      <c r="BP1749" s="343">
        <f>SUMIFS($AU$1388:AU1837,$AQ$1388:AQ1837,"W")</f>
        <v>12022.400000000001</v>
      </c>
      <c r="BQ1749" s="343">
        <f>SUMIFS($AU$1388:AU1750,$Q$1388:Q1750,"O")</f>
        <v>1828.3800000001911</v>
      </c>
      <c r="BR1749" s="343">
        <f>SUMIFS($AU$1388:AU1750,$AA$1388:AA1750,"*")</f>
        <v>22457.600000000064</v>
      </c>
      <c r="BS1749" s="343">
        <f>SUMIFS($AU$1388:AU1750,$AB$1388:AB1750,"*")</f>
        <v>6615.1799999999312</v>
      </c>
      <c r="BT1749" s="343">
        <f>SUMIFS($AU$1388:AU1750,$AC$1388:AC1750,"*")</f>
        <v>16068.4</v>
      </c>
      <c r="BU1749" s="343">
        <f>SUMIFS($AU$1388:AU1750,$AA$1388:AA1750,"*",$AB$1388:AB1750,"*")</f>
        <v>4079.9999999998217</v>
      </c>
      <c r="BV1749" s="343">
        <f>SUMIFS($AU$1388:AU1750,$AA$1388:AA1750,"*",$AC$1388:AC1750,"*")</f>
        <v>13764.4</v>
      </c>
      <c r="BW1749" s="343">
        <f>SUMIFS($AU$1388:AU1750,$AB$1388:AB1750,"*",$AC$1388:AC1750,"*")</f>
        <v>3279.9999999999982</v>
      </c>
      <c r="BX1749" s="343">
        <f>SUMIFS($AV$1388:AV1750,$Q$1388:Q1750,"F")</f>
        <v>357.19230875404793</v>
      </c>
      <c r="BY1749" s="343">
        <f>SUMIFS($AV$1388:AV1750,$Q$1388:Q1750,"S")</f>
        <v>408.44305058920065</v>
      </c>
      <c r="BZ1749" s="343">
        <f>SUMIFS($AV$1388:AV1750,$Q$1388:Q1750,"O")</f>
        <v>519.33999999986361</v>
      </c>
    </row>
    <row r="1750" spans="1:78" ht="15.75" customHeight="1">
      <c r="A1750" s="177" t="s">
        <v>5851</v>
      </c>
      <c r="B1750" s="200">
        <v>45385</v>
      </c>
      <c r="C1750" s="178" t="s">
        <v>5879</v>
      </c>
      <c r="D1750" s="178" t="s">
        <v>151</v>
      </c>
      <c r="E1750" s="227"/>
      <c r="F1750" s="180"/>
      <c r="G1750" s="181" t="s">
        <v>3990</v>
      </c>
      <c r="H1750" s="182"/>
      <c r="I1750" s="182"/>
      <c r="J1750" s="182"/>
      <c r="K1750" s="183"/>
      <c r="L1750" s="182">
        <v>1</v>
      </c>
      <c r="M1750" s="182"/>
      <c r="N1750" s="182"/>
      <c r="O1750" s="183" t="s">
        <v>95</v>
      </c>
      <c r="P1750" s="183" t="s">
        <v>96</v>
      </c>
      <c r="Q1750" s="183" t="s">
        <v>97</v>
      </c>
      <c r="R1750" s="183">
        <v>20</v>
      </c>
      <c r="S1750" s="559">
        <v>0</v>
      </c>
      <c r="T1750" s="183">
        <v>20</v>
      </c>
      <c r="U1750" s="183" t="s">
        <v>97</v>
      </c>
      <c r="V1750" s="183"/>
      <c r="W1750" s="183"/>
      <c r="X1750" s="183"/>
      <c r="Y1750" s="184">
        <f t="shared" si="532"/>
        <v>0.01</v>
      </c>
      <c r="Z1750" s="185">
        <f>IF(ISBLANK(O1750),"",IF(O1750="IB",8.63*200,IF(O1750="IR",16*100,IF(O1750="YT",20*100,IF(O1750="YT-XT",24*200,IF(O1750="TED",80*100,IF(O1750="XT",29*200)))))))</f>
        <v>1600</v>
      </c>
      <c r="AA1750" s="185" t="s">
        <v>5880</v>
      </c>
      <c r="AB1750" s="185"/>
      <c r="AC1750" s="185"/>
      <c r="AD1750" s="649">
        <v>-0.21</v>
      </c>
      <c r="AE1750" s="182"/>
      <c r="AF1750" s="332"/>
      <c r="AG1750" s="182"/>
      <c r="AH1750" s="182"/>
      <c r="AI1750" s="182"/>
      <c r="AJ1750" s="640"/>
      <c r="AK1750" s="182"/>
      <c r="AL1750" s="496">
        <f t="shared" si="531"/>
        <v>-32</v>
      </c>
      <c r="AM1750" s="496">
        <f t="shared" si="526"/>
        <v>-640</v>
      </c>
      <c r="AN1750" s="626"/>
      <c r="AO1750" s="182"/>
      <c r="AP1750" s="182" t="s">
        <v>3143</v>
      </c>
      <c r="AQ1750" s="332" t="s">
        <v>1259</v>
      </c>
      <c r="AR1750" s="182" t="s">
        <v>2060</v>
      </c>
      <c r="AS1750" s="189">
        <v>-0.22</v>
      </c>
      <c r="AT1750" s="189">
        <f t="shared" si="533"/>
        <v>1.0000000000000009E-2</v>
      </c>
      <c r="AU1750" s="187">
        <f t="shared" si="534"/>
        <v>320.00000000000028</v>
      </c>
      <c r="AV1750" s="190">
        <f t="shared" ref="AV1750" si="536">IF(ISBLANK(AS1750),,(AT1750*Z1750))</f>
        <v>16.000000000000014</v>
      </c>
      <c r="AW1750" s="191" t="s">
        <v>96</v>
      </c>
      <c r="AX1750" s="551" t="s">
        <v>782</v>
      </c>
      <c r="AY1750" s="551"/>
      <c r="AZ1750" s="551"/>
      <c r="BA1750" s="551"/>
      <c r="BB1750" s="551"/>
      <c r="BC1750" s="551"/>
      <c r="BD1750" s="551" t="s">
        <v>5704</v>
      </c>
      <c r="BE1750" s="555" t="s">
        <v>5705</v>
      </c>
      <c r="BF1750" s="549"/>
      <c r="BG1750" s="391">
        <f>SUM($AV$1389:AV1750)</f>
        <v>1432.9753593431176</v>
      </c>
      <c r="BH1750" s="392">
        <f>SUM($AU$1389:AU1750)</f>
        <v>27296.780000000177</v>
      </c>
      <c r="BI1750" s="318">
        <f>SUMIFS($AU$1388:AU1751,$Q$1388:Q1751,"F")</f>
        <v>19188.400000000001</v>
      </c>
      <c r="BJ1750" s="318">
        <f>SUMIFS($AU$1388:AU1751,$Q$1388:Q1751,"S")</f>
        <v>6655.9999999999909</v>
      </c>
      <c r="BK1750" s="343">
        <f>SUMIFS($AU$1388:AU1751,$P$1388:P1751,"W")</f>
        <v>20013.580000000136</v>
      </c>
      <c r="BL1750" s="343">
        <f>SUMIFS($AU$1388:AU1751,$P$1388:P1751,"R")</f>
        <v>6325.9999999999991</v>
      </c>
      <c r="BM1750" s="343">
        <f>SUMIFS($AU$1388:AU1751,$AQ$1388:AQ1751,"M")</f>
        <v>5610.1799999997002</v>
      </c>
      <c r="BN1750" s="343">
        <f>SUMIFS($AU$1388:AU1751,$AQ$1388:AQ1751,"H")</f>
        <v>4907.2000000004446</v>
      </c>
      <c r="BO1750" s="343">
        <f>SUMIFS($AU$1388:AU1751,$AQ$1388:AQ1751,"D")</f>
        <v>5090.0000000000009</v>
      </c>
      <c r="BP1750" s="343">
        <f>SUMIFS($AU$1388:AU1838,$AQ$1388:AQ1838,"W")</f>
        <v>12022.400000000001</v>
      </c>
      <c r="BQ1750" s="343">
        <f>SUMIFS($AU$1388:AU1751,$Q$1388:Q1751,"O")</f>
        <v>1857.3800000001647</v>
      </c>
      <c r="BR1750" s="343">
        <f>SUMIFS($AU$1388:AU1751,$AA$1388:AA1751,"*")</f>
        <v>22486.600000000039</v>
      </c>
      <c r="BS1750" s="343">
        <f>SUMIFS($AU$1388:AU1751,$AB$1388:AB1751,"*")</f>
        <v>6615.1799999999312</v>
      </c>
      <c r="BT1750" s="343">
        <f>SUMIFS($AU$1388:AU1751,$AC$1388:AC1751,"*")</f>
        <v>16068.4</v>
      </c>
      <c r="BU1750" s="343">
        <f>SUMIFS($AU$1388:AU1751,$AA$1388:AA1751,"*",$AB$1388:AB1751,"*")</f>
        <v>4079.9999999998217</v>
      </c>
      <c r="BV1750" s="343">
        <f>SUMIFS($AU$1388:AU1751,$AA$1388:AA1751,"*",$AC$1388:AC1751,"*")</f>
        <v>13764.4</v>
      </c>
      <c r="BW1750" s="343">
        <f>SUMIFS($AU$1388:AU1751,$AB$1388:AB1751,"*",$AC$1388:AC1751,"*")</f>
        <v>3279.9999999999982</v>
      </c>
      <c r="BX1750" s="343">
        <f>SUMIFS($AV$1388:AV1751,$Q$1388:Q1751,"F")</f>
        <v>357.19230875404793</v>
      </c>
      <c r="BY1750" s="343">
        <f>SUMIFS($AV$1388:AV1751,$Q$1388:Q1751,"S")</f>
        <v>408.44305058920065</v>
      </c>
      <c r="BZ1750" s="343">
        <f>SUMIFS($AV$1388:AV1751,$Q$1388:Q1751,"O")</f>
        <v>548.33999999983723</v>
      </c>
    </row>
    <row r="1751" spans="1:78" ht="15.75" customHeight="1">
      <c r="A1751" s="177" t="s">
        <v>5851</v>
      </c>
      <c r="B1751" s="200">
        <v>45385</v>
      </c>
      <c r="C1751" s="178" t="s">
        <v>2060</v>
      </c>
      <c r="D1751" s="178" t="s">
        <v>151</v>
      </c>
      <c r="E1751" s="227" t="s">
        <v>5881</v>
      </c>
      <c r="F1751" s="180" t="s">
        <v>5882</v>
      </c>
      <c r="G1751" s="181" t="s">
        <v>5883</v>
      </c>
      <c r="H1751" s="182"/>
      <c r="I1751" s="182"/>
      <c r="J1751" s="182">
        <v>1</v>
      </c>
      <c r="K1751" s="183" t="s">
        <v>115</v>
      </c>
      <c r="L1751" s="182" t="s">
        <v>97</v>
      </c>
      <c r="M1751" s="182"/>
      <c r="N1751" s="182"/>
      <c r="O1751" s="183" t="s">
        <v>3618</v>
      </c>
      <c r="P1751" s="183" t="s">
        <v>2260</v>
      </c>
      <c r="Q1751" s="183" t="s">
        <v>684</v>
      </c>
      <c r="R1751" s="183">
        <v>1</v>
      </c>
      <c r="S1751" s="183">
        <v>0</v>
      </c>
      <c r="T1751" s="183">
        <v>1</v>
      </c>
      <c r="U1751" s="183" t="s">
        <v>97</v>
      </c>
      <c r="V1751" s="183"/>
      <c r="W1751" s="183"/>
      <c r="X1751" s="183"/>
      <c r="Y1751" s="184">
        <f t="shared" si="532"/>
        <v>0.01</v>
      </c>
      <c r="Z1751" s="185">
        <f>IF(ISBLANK(O1751),"",IF(O1751="IB",8.63*200,IF(O1751="IR",16*100,IF(O1751="YT",20*100,IF(O1751="YT-XT",24*200,IF(O1751="TED",80*100,IF(O1751="XT",29*200)))))))</f>
        <v>5800</v>
      </c>
      <c r="AA1751" s="185" t="s">
        <v>5884</v>
      </c>
      <c r="AB1751" s="185"/>
      <c r="AC1751" s="185"/>
      <c r="AD1751" s="649">
        <v>95.8</v>
      </c>
      <c r="AE1751" s="182"/>
      <c r="AF1751" s="332"/>
      <c r="AG1751" s="182"/>
      <c r="AH1751" s="182"/>
      <c r="AI1751" s="182"/>
      <c r="AJ1751" s="640"/>
      <c r="AK1751" s="182"/>
      <c r="AL1751" s="496">
        <f t="shared" si="531"/>
        <v>-116</v>
      </c>
      <c r="AM1751" s="496">
        <f t="shared" si="526"/>
        <v>-116</v>
      </c>
      <c r="AN1751" s="626"/>
      <c r="AO1751" s="182"/>
      <c r="AP1751" s="182" t="s">
        <v>4262</v>
      </c>
      <c r="AQ1751" s="332" t="s">
        <v>1259</v>
      </c>
      <c r="AR1751" s="182"/>
      <c r="AS1751" s="189">
        <v>95.795000000000002</v>
      </c>
      <c r="AT1751" s="189">
        <f t="shared" si="533"/>
        <v>4.9999999999954525E-3</v>
      </c>
      <c r="AU1751" s="187">
        <f t="shared" si="534"/>
        <v>28.999999999973625</v>
      </c>
      <c r="AV1751" s="190">
        <f t="shared" ref="AV1751" si="537">IF(ISBLANK(AS1751),,(AT1751*Z1751))</f>
        <v>28.999999999973625</v>
      </c>
      <c r="AW1751" s="191" t="s">
        <v>96</v>
      </c>
      <c r="AX1751" s="551" t="s">
        <v>782</v>
      </c>
      <c r="AY1751" s="551"/>
      <c r="AZ1751" s="551"/>
      <c r="BA1751" s="551"/>
      <c r="BB1751" s="551"/>
      <c r="BC1751" s="551"/>
      <c r="BD1751" s="549"/>
      <c r="BE1751" s="550"/>
      <c r="BF1751" s="549"/>
      <c r="BG1751" s="391">
        <f>SUM($AV$1389:AV1751)</f>
        <v>1461.9753593430912</v>
      </c>
      <c r="BH1751" s="392">
        <f>SUM($AU$1389:AU1751)</f>
        <v>27325.780000000152</v>
      </c>
      <c r="BI1751" s="318">
        <f>SUMIFS($AU$1388:AU1752,$Q$1388:Q1752,"F")</f>
        <v>19188.400000000001</v>
      </c>
      <c r="BJ1751" s="318">
        <f>SUMIFS($AU$1388:AU1752,$Q$1388:Q1752,"S")</f>
        <v>6655.9999999999909</v>
      </c>
      <c r="BK1751" s="343">
        <f>SUMIFS($AU$1388:AU1752,$P$1388:P1752,"W")</f>
        <v>20013.580000000136</v>
      </c>
      <c r="BL1751" s="343">
        <f>SUMIFS($AU$1388:AU1752,$P$1388:P1752,"R")</f>
        <v>6325.9999999999991</v>
      </c>
      <c r="BM1751" s="343">
        <f>SUMIFS($AU$1388:AU1752,$AQ$1388:AQ1752,"M")</f>
        <v>5610.1799999997002</v>
      </c>
      <c r="BN1751" s="343">
        <f>SUMIFS($AU$1388:AU1752,$AQ$1388:AQ1752,"H")</f>
        <v>4907.2000000004446</v>
      </c>
      <c r="BO1751" s="343">
        <f>SUMIFS($AU$1388:AU1752,$AQ$1388:AQ1752,"D")</f>
        <v>5090.0000000000009</v>
      </c>
      <c r="BP1751" s="343">
        <f>SUMIFS($AU$1388:AU1839,$AQ$1388:AQ1839,"W")</f>
        <v>12022.400000000001</v>
      </c>
      <c r="BQ1751" s="343">
        <f>SUMIFS($AU$1388:AU1752,$Q$1388:Q1752,"O")</f>
        <v>1857.3800000001647</v>
      </c>
      <c r="BR1751" s="343">
        <f>SUMIFS($AU$1388:AU1752,$AA$1388:AA1752,"*")</f>
        <v>22486.600000000039</v>
      </c>
      <c r="BS1751" s="343">
        <f>SUMIFS($AU$1388:AU1752,$AB$1388:AB1752,"*")</f>
        <v>6615.1799999999312</v>
      </c>
      <c r="BT1751" s="343">
        <f>SUMIFS($AU$1388:AU1752,$AC$1388:AC1752,"*")</f>
        <v>16068.4</v>
      </c>
      <c r="BU1751" s="343">
        <f>SUMIFS($AU$1388:AU1752,$AA$1388:AA1752,"*",$AB$1388:AB1752,"*")</f>
        <v>4079.9999999998217</v>
      </c>
      <c r="BV1751" s="343">
        <f>SUMIFS($AU$1388:AU1752,$AA$1388:AA1752,"*",$AC$1388:AC1752,"*")</f>
        <v>13764.4</v>
      </c>
      <c r="BW1751" s="343">
        <f>SUMIFS($AU$1388:AU1752,$AB$1388:AB1752,"*",$AC$1388:AC1752,"*")</f>
        <v>3279.9999999999982</v>
      </c>
      <c r="BX1751" s="343">
        <f>SUMIFS($AV$1388:AV1752,$Q$1388:Q1752,"F")</f>
        <v>357.19230875404793</v>
      </c>
      <c r="BY1751" s="343">
        <f>SUMIFS($AV$1388:AV1752,$Q$1388:Q1752,"S")</f>
        <v>408.44305058920065</v>
      </c>
      <c r="BZ1751" s="343">
        <f>SUMIFS($AV$1388:AV1752,$Q$1388:Q1752,"O")</f>
        <v>548.33999999983723</v>
      </c>
    </row>
    <row r="1752" spans="1:78" ht="15.75" customHeight="1">
      <c r="A1752" s="177" t="s">
        <v>5851</v>
      </c>
      <c r="B1752" s="200">
        <v>45385</v>
      </c>
      <c r="C1752" s="178" t="s">
        <v>5885</v>
      </c>
      <c r="D1752" s="178" t="s">
        <v>151</v>
      </c>
      <c r="E1752" s="227"/>
      <c r="F1752" s="180"/>
      <c r="G1752" s="484" t="s">
        <v>3990</v>
      </c>
      <c r="H1752" s="182"/>
      <c r="I1752" s="182"/>
      <c r="J1752" s="182"/>
      <c r="K1752" s="183"/>
      <c r="L1752" s="182">
        <v>1</v>
      </c>
      <c r="M1752" s="182"/>
      <c r="N1752" s="182"/>
      <c r="O1752" s="183" t="s">
        <v>95</v>
      </c>
      <c r="P1752" s="183" t="s">
        <v>96</v>
      </c>
      <c r="Q1752" s="183" t="s">
        <v>97</v>
      </c>
      <c r="R1752" s="183">
        <v>30</v>
      </c>
      <c r="S1752" s="559">
        <v>20</v>
      </c>
      <c r="T1752" s="183">
        <v>20</v>
      </c>
      <c r="U1752" s="183" t="s">
        <v>22</v>
      </c>
      <c r="V1752" s="183"/>
      <c r="W1752" s="183"/>
      <c r="X1752" s="183"/>
      <c r="Y1752" s="184">
        <f t="shared" si="532"/>
        <v>0.01</v>
      </c>
      <c r="Z1752" s="185">
        <f>IF(ISBLANK(O1752),"",IF(O1752="IB",8.63*200,IF(O1752="IR",16*100,IF(O1752="YT",20*100,IF(O1752="YT-XT",24*200,IF(O1752="TED",80*100,IF(O1752="XT",29*200)))))))</f>
        <v>1600</v>
      </c>
      <c r="AA1752" s="185"/>
      <c r="AB1752" s="185"/>
      <c r="AC1752" s="185" t="s">
        <v>4589</v>
      </c>
      <c r="AD1752" s="649">
        <f>((-0.22*20)+(-0.24*10))/30</f>
        <v>-0.22666666666666668</v>
      </c>
      <c r="AE1752" s="182"/>
      <c r="AF1752" s="332"/>
      <c r="AG1752" s="182"/>
      <c r="AH1752" s="182"/>
      <c r="AI1752" s="182"/>
      <c r="AJ1752" s="640"/>
      <c r="AK1752" s="182"/>
      <c r="AL1752" s="496">
        <f t="shared" si="531"/>
        <v>-32</v>
      </c>
      <c r="AM1752" s="496">
        <f t="shared" si="526"/>
        <v>-320</v>
      </c>
      <c r="AN1752" s="626"/>
      <c r="AO1752" s="182"/>
      <c r="AP1752" s="182" t="s">
        <v>2150</v>
      </c>
      <c r="AQ1752" s="332" t="s">
        <v>372</v>
      </c>
      <c r="AR1752" s="182" t="s">
        <v>5886</v>
      </c>
      <c r="AS1752" s="189">
        <f>((-0.23*20)+(-0.22*10))/30</f>
        <v>-0.22666666666666668</v>
      </c>
      <c r="AT1752" s="189">
        <f t="shared" si="533"/>
        <v>0</v>
      </c>
      <c r="AU1752" s="187">
        <f t="shared" si="534"/>
        <v>0</v>
      </c>
      <c r="AV1752" s="190">
        <f t="shared" ref="AV1752:AV1753" si="538">IF(ISBLANK(AS1752),,(AT1752*Z1752))</f>
        <v>0</v>
      </c>
      <c r="AW1752" s="191" t="s">
        <v>115</v>
      </c>
      <c r="AX1752" s="551" t="s">
        <v>5887</v>
      </c>
      <c r="AY1752" s="551" t="s">
        <v>1264</v>
      </c>
      <c r="AZ1752" s="551"/>
      <c r="BA1752" s="551"/>
      <c r="BB1752" s="551"/>
      <c r="BC1752" s="551"/>
      <c r="BD1752" s="549"/>
      <c r="BE1752" s="550"/>
      <c r="BF1752" s="549"/>
      <c r="BG1752" s="391">
        <f>SUM($AV$1389:AV1752)</f>
        <v>1461.9753593430912</v>
      </c>
      <c r="BH1752" s="392">
        <f>SUM($AU$1389:AU1752)</f>
        <v>27325.780000000152</v>
      </c>
      <c r="BI1752" s="318">
        <f>SUMIFS($AU$1388:AU1753,$Q$1388:Q1753,"F")</f>
        <v>19188.400000000001</v>
      </c>
      <c r="BJ1752" s="318">
        <f>SUMIFS($AU$1388:AU1753,$Q$1388:Q1753,"S")</f>
        <v>6655.9999999999909</v>
      </c>
      <c r="BK1752" s="343">
        <f>SUMIFS($AU$1388:AU1753,$P$1388:P1753,"W")</f>
        <v>20013.580000000136</v>
      </c>
      <c r="BL1752" s="343">
        <f>SUMIFS($AU$1388:AU1753,$P$1388:P1753,"R")</f>
        <v>6325.9999999999991</v>
      </c>
      <c r="BM1752" s="343">
        <f>SUMIFS($AU$1388:AU1753,$AQ$1388:AQ1753,"M")</f>
        <v>5610.1799999997002</v>
      </c>
      <c r="BN1752" s="343">
        <f>SUMIFS($AU$1388:AU1753,$AQ$1388:AQ1753,"H")</f>
        <v>4907.2000000004446</v>
      </c>
      <c r="BO1752" s="343">
        <f>SUMIFS($AU$1388:AU1753,$AQ$1388:AQ1753,"D")</f>
        <v>5090.0000000000009</v>
      </c>
      <c r="BP1752" s="343">
        <f>SUMIFS($AU$1388:AU1840,$AQ$1388:AQ1840,"W")</f>
        <v>12022.400000000001</v>
      </c>
      <c r="BQ1752" s="343">
        <f>SUMIFS($AU$1388:AU1753,$Q$1388:Q1753,"O")</f>
        <v>1857.3800000001647</v>
      </c>
      <c r="BR1752" s="343">
        <f>SUMIFS($AU$1388:AU1753,$AA$1388:AA1753,"*")</f>
        <v>22486.600000000039</v>
      </c>
      <c r="BS1752" s="343">
        <f>SUMIFS($AU$1388:AU1753,$AB$1388:AB1753,"*")</f>
        <v>6615.1799999999312</v>
      </c>
      <c r="BT1752" s="343">
        <f>SUMIFS($AU$1388:AU1753,$AC$1388:AC1753,"*")</f>
        <v>16068.4</v>
      </c>
      <c r="BU1752" s="343">
        <f>SUMIFS($AU$1388:AU1753,$AA$1388:AA1753,"*",$AB$1388:AB1753,"*")</f>
        <v>4079.9999999998217</v>
      </c>
      <c r="BV1752" s="343">
        <f>SUMIFS($AU$1388:AU1753,$AA$1388:AA1753,"*",$AC$1388:AC1753,"*")</f>
        <v>13764.4</v>
      </c>
      <c r="BW1752" s="343">
        <f>SUMIFS($AU$1388:AU1753,$AB$1388:AB1753,"*",$AC$1388:AC1753,"*")</f>
        <v>3279.9999999999982</v>
      </c>
      <c r="BX1752" s="343">
        <f>SUMIFS($AV$1388:AV1753,$Q$1388:Q1753,"F")</f>
        <v>357.19230875404793</v>
      </c>
      <c r="BY1752" s="343">
        <f>SUMIFS($AV$1388:AV1753,$Q$1388:Q1753,"S")</f>
        <v>408.44305058920065</v>
      </c>
      <c r="BZ1752" s="343">
        <f>SUMIFS($AV$1388:AV1753,$Q$1388:Q1753,"O")</f>
        <v>548.33999999983723</v>
      </c>
    </row>
    <row r="1753" spans="1:78" ht="15.75" customHeight="1">
      <c r="A1753" s="177" t="s">
        <v>5851</v>
      </c>
      <c r="B1753" s="200">
        <v>45386</v>
      </c>
      <c r="C1753" s="178" t="s">
        <v>5888</v>
      </c>
      <c r="D1753" s="178" t="s">
        <v>93</v>
      </c>
      <c r="E1753" s="227"/>
      <c r="F1753" s="180"/>
      <c r="G1753" s="484" t="s">
        <v>2070</v>
      </c>
      <c r="H1753" s="182"/>
      <c r="I1753" s="182"/>
      <c r="J1753" s="182"/>
      <c r="K1753" s="183"/>
      <c r="L1753" s="182">
        <v>1</v>
      </c>
      <c r="M1753" s="182"/>
      <c r="N1753" s="182"/>
      <c r="O1753" s="183" t="s">
        <v>95</v>
      </c>
      <c r="P1753" s="183" t="s">
        <v>96</v>
      </c>
      <c r="Q1753" s="183" t="s">
        <v>97</v>
      </c>
      <c r="R1753" s="183">
        <v>20</v>
      </c>
      <c r="S1753" s="559">
        <v>0</v>
      </c>
      <c r="T1753" s="183">
        <v>20</v>
      </c>
      <c r="U1753" s="183" t="s">
        <v>22</v>
      </c>
      <c r="V1753" s="183"/>
      <c r="W1753" s="183"/>
      <c r="X1753" s="183"/>
      <c r="Y1753" s="184">
        <f t="shared" si="532"/>
        <v>0.01</v>
      </c>
      <c r="Z1753" s="185">
        <f>IF(ISBLANK(O1753),"",IF(O1753="IB",8.63*200,IF(O1753="IR",16*100,IF(O1753="YT",20*100,IF(O1753="YT-XT",24*200,IF(O1753="TED",80*100,IF(O1753="XT",29*200)))))))</f>
        <v>1600</v>
      </c>
      <c r="AA1753" s="185"/>
      <c r="AB1753" s="185"/>
      <c r="AC1753" s="185" t="s">
        <v>5889</v>
      </c>
      <c r="AD1753" s="649">
        <v>-0.12</v>
      </c>
      <c r="AE1753" s="182"/>
      <c r="AF1753" s="332"/>
      <c r="AG1753" s="182"/>
      <c r="AH1753" s="182"/>
      <c r="AI1753" s="182"/>
      <c r="AJ1753" s="640"/>
      <c r="AK1753" s="182"/>
      <c r="AL1753" s="496">
        <f t="shared" si="531"/>
        <v>-32</v>
      </c>
      <c r="AM1753" s="496">
        <f t="shared" si="526"/>
        <v>-640</v>
      </c>
      <c r="AN1753" s="626"/>
      <c r="AO1753" s="182"/>
      <c r="AP1753" s="182" t="s">
        <v>2527</v>
      </c>
      <c r="AQ1753" s="332" t="s">
        <v>372</v>
      </c>
      <c r="AR1753" s="182" t="s">
        <v>1299</v>
      </c>
      <c r="AS1753" s="189">
        <v>-0.12</v>
      </c>
      <c r="AT1753" s="189">
        <f t="shared" si="533"/>
        <v>0</v>
      </c>
      <c r="AU1753" s="187">
        <f t="shared" si="534"/>
        <v>0</v>
      </c>
      <c r="AV1753" s="190">
        <f t="shared" si="538"/>
        <v>0</v>
      </c>
      <c r="AW1753" s="191" t="s">
        <v>115</v>
      </c>
      <c r="AX1753" s="551" t="s">
        <v>5890</v>
      </c>
      <c r="AY1753" s="551"/>
      <c r="AZ1753" s="551"/>
      <c r="BA1753" s="551"/>
      <c r="BB1753" s="551"/>
      <c r="BC1753" s="551"/>
      <c r="BD1753" s="549"/>
      <c r="BE1753" s="550"/>
      <c r="BF1753" s="549"/>
      <c r="BG1753" s="391">
        <f>SUM($AV$1389:AV1753)</f>
        <v>1461.9753593430912</v>
      </c>
      <c r="BH1753" s="392">
        <f>SUM($AU$1389:AU1753)</f>
        <v>27325.780000000152</v>
      </c>
      <c r="BI1753" s="318">
        <f>SUMIFS($AU$1388:AU1754,$Q$1388:Q1754,"F")</f>
        <v>19188.400000000001</v>
      </c>
      <c r="BJ1753" s="318">
        <f>SUMIFS($AU$1388:AU1754,$Q$1388:Q1754,"S")</f>
        <v>6655.9999999999909</v>
      </c>
      <c r="BK1753" s="343">
        <f>SUMIFS($AU$1388:AU1754,$P$1388:P1754,"W")</f>
        <v>20013.580000000136</v>
      </c>
      <c r="BL1753" s="343">
        <f>SUMIFS($AU$1388:AU1754,$P$1388:P1754,"R")</f>
        <v>6325.9999999999991</v>
      </c>
      <c r="BM1753" s="343">
        <f>SUMIFS($AU$1388:AU1754,$AQ$1388:AQ1754,"M")</f>
        <v>5610.1799999997002</v>
      </c>
      <c r="BN1753" s="343">
        <f>SUMIFS($AU$1388:AU1754,$AQ$1388:AQ1754,"H")</f>
        <v>4907.2000000004446</v>
      </c>
      <c r="BO1753" s="343">
        <f>SUMIFS($AU$1388:AU1754,$AQ$1388:AQ1754,"D")</f>
        <v>5090.0000000000009</v>
      </c>
      <c r="BP1753" s="343">
        <f>SUMIFS($AU$1388:AU1841,$AQ$1388:AQ1841,"W")</f>
        <v>12022.400000000001</v>
      </c>
      <c r="BQ1753" s="343">
        <f>SUMIFS($AU$1388:AU1754,$Q$1388:Q1754,"O")</f>
        <v>1857.3800000001647</v>
      </c>
      <c r="BR1753" s="343">
        <f>SUMIFS($AU$1388:AU1754,$AA$1388:AA1754,"*")</f>
        <v>22486.600000000039</v>
      </c>
      <c r="BS1753" s="343">
        <f>SUMIFS($AU$1388:AU1754,$AB$1388:AB1754,"*")</f>
        <v>6615.1799999999312</v>
      </c>
      <c r="BT1753" s="343">
        <f>SUMIFS($AU$1388:AU1754,$AC$1388:AC1754,"*")</f>
        <v>16068.4</v>
      </c>
      <c r="BU1753" s="343">
        <f>SUMIFS($AU$1388:AU1754,$AA$1388:AA1754,"*",$AB$1388:AB1754,"*")</f>
        <v>4079.9999999998217</v>
      </c>
      <c r="BV1753" s="343">
        <f>SUMIFS($AU$1388:AU1754,$AA$1388:AA1754,"*",$AC$1388:AC1754,"*")</f>
        <v>13764.4</v>
      </c>
      <c r="BW1753" s="343">
        <f>SUMIFS($AU$1388:AU1754,$AB$1388:AB1754,"*",$AC$1388:AC1754,"*")</f>
        <v>3279.9999999999982</v>
      </c>
      <c r="BX1753" s="343">
        <f>SUMIFS($AV$1388:AV1754,$Q$1388:Q1754,"F")</f>
        <v>357.19230875404793</v>
      </c>
      <c r="BY1753" s="343">
        <f>SUMIFS($AV$1388:AV1754,$Q$1388:Q1754,"S")</f>
        <v>408.44305058920065</v>
      </c>
      <c r="BZ1753" s="343">
        <f>SUMIFS($AV$1388:AV1754,$Q$1388:Q1754,"O")</f>
        <v>548.33999999983723</v>
      </c>
    </row>
    <row r="1754" spans="1:78" ht="15.75" customHeight="1">
      <c r="A1754" s="177" t="s">
        <v>5851</v>
      </c>
      <c r="B1754" s="200">
        <v>45386</v>
      </c>
      <c r="C1754" s="178" t="s">
        <v>2093</v>
      </c>
      <c r="D1754" s="178" t="s">
        <v>93</v>
      </c>
      <c r="E1754" s="227"/>
      <c r="F1754" s="180"/>
      <c r="G1754" s="484" t="s">
        <v>3990</v>
      </c>
      <c r="H1754" s="182"/>
      <c r="I1754" s="182"/>
      <c r="J1754" s="182"/>
      <c r="K1754" s="183"/>
      <c r="L1754" s="182">
        <v>1</v>
      </c>
      <c r="M1754" s="182"/>
      <c r="N1754" s="182"/>
      <c r="O1754" s="183" t="s">
        <v>95</v>
      </c>
      <c r="P1754" s="183" t="s">
        <v>96</v>
      </c>
      <c r="Q1754" s="183" t="s">
        <v>97</v>
      </c>
      <c r="R1754" s="183">
        <v>20</v>
      </c>
      <c r="S1754" s="559">
        <v>0</v>
      </c>
      <c r="T1754" s="183">
        <v>20</v>
      </c>
      <c r="U1754" s="183" t="s">
        <v>97</v>
      </c>
      <c r="V1754" s="183"/>
      <c r="W1754" s="183"/>
      <c r="X1754" s="183"/>
      <c r="Y1754" s="184">
        <f t="shared" si="532"/>
        <v>0.01</v>
      </c>
      <c r="Z1754" s="185">
        <f>IF(ISBLANK(O1754),"",IF(O1754="IB",8.63*200,IF(O1754="IR",16*100,IF(O1754="YT",20*100,IF(O1754="YT-XT",24*200,IF(O1754="TED",80*100,IF(O1754="XT",29*200)))))))</f>
        <v>1600</v>
      </c>
      <c r="AA1754" s="185" t="s">
        <v>5880</v>
      </c>
      <c r="AB1754" s="185"/>
      <c r="AC1754" s="185"/>
      <c r="AD1754" s="649">
        <v>-0.21</v>
      </c>
      <c r="AE1754" s="182"/>
      <c r="AF1754" s="332"/>
      <c r="AG1754" s="182"/>
      <c r="AH1754" s="182"/>
      <c r="AI1754" s="182"/>
      <c r="AJ1754" s="640"/>
      <c r="AK1754" s="182"/>
      <c r="AL1754" s="496">
        <f t="shared" si="527"/>
        <v>-32</v>
      </c>
      <c r="AM1754" s="496">
        <f t="shared" si="526"/>
        <v>-640</v>
      </c>
      <c r="AN1754" s="626"/>
      <c r="AO1754" s="182"/>
      <c r="AP1754" s="182" t="s">
        <v>5891</v>
      </c>
      <c r="AQ1754" s="332" t="s">
        <v>1259</v>
      </c>
      <c r="AR1754" s="182" t="s">
        <v>4257</v>
      </c>
      <c r="AS1754" s="189">
        <v>-0.21</v>
      </c>
      <c r="AT1754" s="189">
        <f t="shared" si="533"/>
        <v>0</v>
      </c>
      <c r="AU1754" s="187">
        <f t="shared" si="534"/>
        <v>0</v>
      </c>
      <c r="AV1754" s="190">
        <f t="shared" ref="AV1754" si="539">IF(ISBLANK(AS1754),,(AT1754*Z1754))</f>
        <v>0</v>
      </c>
      <c r="AW1754" s="191" t="s">
        <v>115</v>
      </c>
      <c r="AX1754" s="551" t="s">
        <v>5892</v>
      </c>
      <c r="AY1754" s="551"/>
      <c r="AZ1754" s="551"/>
      <c r="BA1754" s="551"/>
      <c r="BB1754" s="551"/>
      <c r="BC1754" s="551"/>
      <c r="BD1754" s="549"/>
      <c r="BE1754" s="550"/>
      <c r="BF1754" s="549"/>
      <c r="BG1754" s="391">
        <f>SUM($AV$1389:AV1754)</f>
        <v>1461.9753593430912</v>
      </c>
      <c r="BH1754" s="392">
        <f>SUM($AU$1389:AU1754)</f>
        <v>27325.780000000152</v>
      </c>
      <c r="BI1754" s="318">
        <f>SUMIFS($AU$1388:AU1755,$Q$1388:Q1755,"F")</f>
        <v>19188.400000000001</v>
      </c>
      <c r="BJ1754" s="318">
        <f>SUMIFS($AU$1388:AU1755,$Q$1388:Q1755,"S")</f>
        <v>6655.9999999999909</v>
      </c>
      <c r="BK1754" s="343">
        <f>SUMIFS($AU$1388:AU1755,$P$1388:P1755,"W")</f>
        <v>20013.580000000136</v>
      </c>
      <c r="BL1754" s="343">
        <f>SUMIFS($AU$1388:AU1755,$P$1388:P1755,"R")</f>
        <v>6325.9999999999991</v>
      </c>
      <c r="BM1754" s="343">
        <f>SUMIFS($AU$1388:AU1755,$AQ$1388:AQ1755,"M")</f>
        <v>5610.1799999997002</v>
      </c>
      <c r="BN1754" s="343">
        <f>SUMIFS($AU$1388:AU1755,$AQ$1388:AQ1755,"H")</f>
        <v>4907.2000000004446</v>
      </c>
      <c r="BO1754" s="343">
        <f>SUMIFS($AU$1388:AU1755,$AQ$1388:AQ1755,"D")</f>
        <v>5090.0000000000009</v>
      </c>
      <c r="BP1754" s="343">
        <f>SUMIFS($AU$1388:AU1842,$AQ$1388:AQ1842,"W")</f>
        <v>12022.400000000001</v>
      </c>
      <c r="BQ1754" s="343">
        <f>SUMIFS($AU$1388:AU1755,$Q$1388:Q1755,"O")</f>
        <v>1857.3800000001647</v>
      </c>
      <c r="BR1754" s="343">
        <f>SUMIFS($AU$1388:AU1755,$AA$1388:AA1755,"*")</f>
        <v>22486.600000000039</v>
      </c>
      <c r="BS1754" s="343">
        <f>SUMIFS($AU$1388:AU1755,$AB$1388:AB1755,"*")</f>
        <v>6615.1799999999312</v>
      </c>
      <c r="BT1754" s="343">
        <f>SUMIFS($AU$1388:AU1755,$AC$1388:AC1755,"*")</f>
        <v>16068.4</v>
      </c>
      <c r="BU1754" s="343">
        <f>SUMIFS($AU$1388:AU1755,$AA$1388:AA1755,"*",$AB$1388:AB1755,"*")</f>
        <v>4079.9999999998217</v>
      </c>
      <c r="BV1754" s="343">
        <f>SUMIFS($AU$1388:AU1755,$AA$1388:AA1755,"*",$AC$1388:AC1755,"*")</f>
        <v>13764.4</v>
      </c>
      <c r="BW1754" s="343">
        <f>SUMIFS($AU$1388:AU1755,$AB$1388:AB1755,"*",$AC$1388:AC1755,"*")</f>
        <v>3279.9999999999982</v>
      </c>
      <c r="BX1754" s="343">
        <f>SUMIFS($AV$1388:AV1755,$Q$1388:Q1755,"F")</f>
        <v>357.19230875404793</v>
      </c>
      <c r="BY1754" s="343">
        <f>SUMIFS($AV$1388:AV1755,$Q$1388:Q1755,"S")</f>
        <v>408.44305058920065</v>
      </c>
      <c r="BZ1754" s="343">
        <f>SUMIFS($AV$1388:AV1755,$Q$1388:Q1755,"O")</f>
        <v>548.33999999983723</v>
      </c>
    </row>
    <row r="1755" spans="1:78" ht="15.75" customHeight="1">
      <c r="A1755" s="177" t="s">
        <v>5851</v>
      </c>
      <c r="B1755" s="200"/>
      <c r="C1755" s="178"/>
      <c r="D1755" s="178"/>
      <c r="E1755" s="227"/>
      <c r="F1755" s="180"/>
      <c r="G1755" s="181"/>
      <c r="H1755" s="182"/>
      <c r="I1755" s="182"/>
      <c r="J1755" s="182"/>
      <c r="K1755" s="183"/>
      <c r="L1755" s="182"/>
      <c r="M1755" s="182"/>
      <c r="N1755" s="182"/>
      <c r="O1755" s="183"/>
      <c r="P1755" s="183"/>
      <c r="Q1755" s="183"/>
      <c r="R1755" s="183"/>
      <c r="S1755" s="183"/>
      <c r="T1755" s="183"/>
      <c r="U1755" s="183"/>
      <c r="V1755" s="183"/>
      <c r="W1755" s="183"/>
      <c r="X1755" s="183"/>
      <c r="Y1755" s="183"/>
      <c r="Z1755" s="183"/>
      <c r="AA1755" s="185"/>
      <c r="AB1755" s="185"/>
      <c r="AC1755" s="185"/>
      <c r="AD1755" s="649"/>
      <c r="AE1755" s="182"/>
      <c r="AF1755" s="332"/>
      <c r="AG1755" s="182"/>
      <c r="AH1755" s="182"/>
      <c r="AI1755" s="182"/>
      <c r="AJ1755" s="640"/>
      <c r="AK1755" s="182"/>
      <c r="AL1755" s="496">
        <f t="shared" si="527"/>
        <v>0</v>
      </c>
      <c r="AM1755" s="496">
        <f t="shared" si="526"/>
        <v>0</v>
      </c>
      <c r="AN1755" s="626"/>
      <c r="AO1755" s="182"/>
      <c r="AP1755" s="182"/>
      <c r="AQ1755" s="332" t="str">
        <f>UPPER(RIGHT(Journal_Live[[#This Row],[DURATION ]]))</f>
        <v/>
      </c>
      <c r="AR1755" s="182"/>
      <c r="AS1755" s="189"/>
      <c r="AT1755" s="189"/>
      <c r="AU1755" s="187"/>
      <c r="AV1755" s="190"/>
      <c r="AW1755" s="191"/>
      <c r="AX1755" s="417" t="s">
        <v>5558</v>
      </c>
      <c r="AY1755" s="551" t="s">
        <v>5893</v>
      </c>
      <c r="AZ1755" s="551" t="s">
        <v>5704</v>
      </c>
      <c r="BA1755" s="555" t="s">
        <v>5705</v>
      </c>
      <c r="BB1755" s="551" t="s">
        <v>5894</v>
      </c>
      <c r="BC1755" s="551" t="s">
        <v>5895</v>
      </c>
      <c r="BD1755" s="549" t="s">
        <v>5896</v>
      </c>
      <c r="BE1755" s="550" t="s">
        <v>5897</v>
      </c>
      <c r="BF1755" s="549" t="s">
        <v>5898</v>
      </c>
      <c r="BG1755" s="391">
        <f>SUM($AV$1389:AV1755)</f>
        <v>1461.9753593430912</v>
      </c>
      <c r="BH1755" s="392">
        <f>SUM($AU$1389:AU1755)</f>
        <v>27325.780000000152</v>
      </c>
      <c r="BI1755" s="318">
        <f>SUMIFS($AU$1388:AU1756,$Q$1388:Q1756,"F")</f>
        <v>19188.400000000001</v>
      </c>
      <c r="BJ1755" s="318">
        <f>SUMIFS($AU$1388:AU1756,$Q$1388:Q1756,"S")</f>
        <v>6655.9999999999909</v>
      </c>
      <c r="BK1755" s="343">
        <f>SUMIFS($AU$1388:AU1756,$P$1388:P1756,"W")</f>
        <v>20013.580000000136</v>
      </c>
      <c r="BL1755" s="343">
        <f>SUMIFS($AU$1388:AU1756,$P$1388:P1756,"R")</f>
        <v>6325.9999999999991</v>
      </c>
      <c r="BM1755" s="343">
        <f>SUMIFS($AU$1388:AU1756,$AQ$1388:AQ1756,"M")</f>
        <v>5610.1799999997002</v>
      </c>
      <c r="BN1755" s="343">
        <f>SUMIFS($AU$1388:AU1756,$AQ$1388:AQ1756,"H")</f>
        <v>4907.2000000004446</v>
      </c>
      <c r="BO1755" s="343">
        <f>SUMIFS($AU$1388:AU1756,$AQ$1388:AQ1756,"D")</f>
        <v>5090.0000000000009</v>
      </c>
      <c r="BP1755" s="343">
        <f>SUMIFS($AU$1388:AU1843,$AQ$1388:AQ1843,"W")</f>
        <v>12022.400000000001</v>
      </c>
      <c r="BQ1755" s="343">
        <f>SUMIFS($AU$1388:AU1756,$Q$1388:Q1756,"O")</f>
        <v>1857.3800000001647</v>
      </c>
      <c r="BR1755" s="343">
        <f>SUMIFS($AU$1388:AU1756,$AA$1388:AA1756,"*")</f>
        <v>22486.600000000039</v>
      </c>
      <c r="BS1755" s="343">
        <f>SUMIFS($AU$1388:AU1756,$AB$1388:AB1756,"*")</f>
        <v>6615.1799999999312</v>
      </c>
      <c r="BT1755" s="343">
        <f>SUMIFS($AU$1388:AU1756,$AC$1388:AC1756,"*")</f>
        <v>16068.4</v>
      </c>
      <c r="BU1755" s="343">
        <f>SUMIFS($AU$1388:AU1756,$AA$1388:AA1756,"*",$AB$1388:AB1756,"*")</f>
        <v>4079.9999999998217</v>
      </c>
      <c r="BV1755" s="343">
        <f>SUMIFS($AU$1388:AU1756,$AA$1388:AA1756,"*",$AC$1388:AC1756,"*")</f>
        <v>13764.4</v>
      </c>
      <c r="BW1755" s="343">
        <f>SUMIFS($AU$1388:AU1756,$AB$1388:AB1756,"*",$AC$1388:AC1756,"*")</f>
        <v>3279.9999999999982</v>
      </c>
      <c r="BX1755" s="343">
        <f>SUMIFS($AV$1388:AV1756,$Q$1388:Q1756,"F")</f>
        <v>357.19230875404793</v>
      </c>
      <c r="BY1755" s="343">
        <f>SUMIFS($AV$1388:AV1756,$Q$1388:Q1756,"S")</f>
        <v>408.44305058920065</v>
      </c>
      <c r="BZ1755" s="343">
        <f>SUMIFS($AV$1388:AV1756,$Q$1388:Q1756,"O")</f>
        <v>548.33999999983723</v>
      </c>
    </row>
    <row r="1756" spans="1:78" ht="15.75" customHeight="1">
      <c r="A1756" s="177" t="s">
        <v>5851</v>
      </c>
      <c r="B1756" s="200">
        <v>45387</v>
      </c>
      <c r="C1756" s="178" t="s">
        <v>3949</v>
      </c>
      <c r="D1756" s="178" t="s">
        <v>111</v>
      </c>
      <c r="E1756" s="227"/>
      <c r="F1756" s="180"/>
      <c r="G1756" s="181" t="s">
        <v>2016</v>
      </c>
      <c r="H1756" s="182"/>
      <c r="I1756" s="182"/>
      <c r="J1756" s="182"/>
      <c r="K1756" s="183"/>
      <c r="L1756" s="182"/>
      <c r="M1756" s="182"/>
      <c r="N1756" s="182"/>
      <c r="O1756" s="183"/>
      <c r="P1756" s="183"/>
      <c r="Q1756" s="183"/>
      <c r="R1756" s="183"/>
      <c r="S1756" s="559"/>
      <c r="T1756" s="183"/>
      <c r="U1756" s="183"/>
      <c r="V1756" s="183"/>
      <c r="W1756" s="183"/>
      <c r="X1756" s="183"/>
      <c r="Y1756" s="184"/>
      <c r="Z1756" s="185"/>
      <c r="AA1756" s="185"/>
      <c r="AB1756" s="185"/>
      <c r="AC1756" s="185"/>
      <c r="AD1756" s="649"/>
      <c r="AE1756" s="182"/>
      <c r="AF1756" s="332"/>
      <c r="AG1756" s="182"/>
      <c r="AH1756" s="182"/>
      <c r="AI1756" s="182"/>
      <c r="AJ1756" s="640"/>
      <c r="AK1756" s="182"/>
      <c r="AL1756" s="496">
        <f t="shared" si="527"/>
        <v>0</v>
      </c>
      <c r="AM1756" s="496">
        <f t="shared" si="526"/>
        <v>0</v>
      </c>
      <c r="AN1756" s="626"/>
      <c r="AO1756" s="182"/>
      <c r="AP1756" s="182"/>
      <c r="AQ1756" s="332" t="str">
        <f>UPPER(RIGHT(Journal_Live[[#This Row],[DURATION ]]))</f>
        <v/>
      </c>
      <c r="AR1756" s="182"/>
      <c r="AS1756" s="189"/>
      <c r="AT1756" s="189"/>
      <c r="AU1756" s="187"/>
      <c r="AV1756" s="190"/>
      <c r="AW1756" s="191"/>
      <c r="AX1756" s="551"/>
      <c r="AY1756" s="551"/>
      <c r="AZ1756" s="551"/>
      <c r="BA1756" s="551"/>
      <c r="BB1756" s="551"/>
      <c r="BC1756" s="551"/>
      <c r="BD1756" s="549"/>
      <c r="BE1756" s="550"/>
      <c r="BF1756" s="549"/>
      <c r="BG1756" s="391">
        <f>SUM($AV$1389:AV1756)</f>
        <v>1461.9753593430912</v>
      </c>
      <c r="BH1756" s="392">
        <f>SUM($AU$1389:AU1756)</f>
        <v>27325.780000000152</v>
      </c>
      <c r="BI1756" s="318">
        <f>SUMIFS($AU$1388:AU1757,$Q$1388:Q1757,"F")</f>
        <v>22308.400000000001</v>
      </c>
      <c r="BJ1756" s="318">
        <f>SUMIFS($AU$1388:AU1757,$Q$1388:Q1757,"S")</f>
        <v>6655.9999999999909</v>
      </c>
      <c r="BK1756" s="343">
        <f>SUMIFS($AU$1388:AU1757,$P$1388:P1757,"W")</f>
        <v>23133.580000000136</v>
      </c>
      <c r="BL1756" s="343">
        <f>SUMIFS($AU$1388:AU1757,$P$1388:P1757,"R")</f>
        <v>6325.9999999999991</v>
      </c>
      <c r="BM1756" s="343">
        <f>SUMIFS($AU$1388:AU1757,$AQ$1388:AQ1757,"M")</f>
        <v>5610.1799999997002</v>
      </c>
      <c r="BN1756" s="343">
        <f>SUMIFS($AU$1388:AU1757,$AQ$1388:AQ1757,"H")</f>
        <v>4907.2000000004446</v>
      </c>
      <c r="BO1756" s="343">
        <f>SUMIFS($AU$1388:AU1757,$AQ$1388:AQ1757,"D")</f>
        <v>8210</v>
      </c>
      <c r="BP1756" s="343">
        <f>SUMIFS($AU$1388:AU1844,$AQ$1388:AQ1844,"W")</f>
        <v>12022.400000000001</v>
      </c>
      <c r="BQ1756" s="343">
        <f>SUMIFS($AU$1388:AU1757,$Q$1388:Q1757,"O")</f>
        <v>1857.3800000001647</v>
      </c>
      <c r="BR1756" s="343">
        <f>SUMIFS($AU$1388:AU1757,$AA$1388:AA1757,"*")</f>
        <v>22486.600000000039</v>
      </c>
      <c r="BS1756" s="343">
        <f>SUMIFS($AU$1388:AU1757,$AB$1388:AB1757,"*")</f>
        <v>6615.1799999999312</v>
      </c>
      <c r="BT1756" s="343">
        <f>SUMIFS($AU$1388:AU1757,$AC$1388:AC1757,"*")</f>
        <v>19188.400000000001</v>
      </c>
      <c r="BU1756" s="343">
        <f>SUMIFS($AU$1388:AU1757,$AA$1388:AA1757,"*",$AB$1388:AB1757,"*")</f>
        <v>4079.9999999998217</v>
      </c>
      <c r="BV1756" s="343">
        <f>SUMIFS($AU$1388:AU1757,$AA$1388:AA1757,"*",$AC$1388:AC1757,"*")</f>
        <v>13764.4</v>
      </c>
      <c r="BW1756" s="343">
        <f>SUMIFS($AU$1388:AU1757,$AB$1388:AB1757,"*",$AC$1388:AC1757,"*")</f>
        <v>3279.9999999999982</v>
      </c>
      <c r="BX1756" s="343">
        <f>SUMIFS($AV$1388:AV1757,$Q$1388:Q1757,"F")</f>
        <v>396.19230875404793</v>
      </c>
      <c r="BY1756" s="343">
        <f>SUMIFS($AV$1388:AV1757,$Q$1388:Q1757,"S")</f>
        <v>408.44305058920065</v>
      </c>
      <c r="BZ1756" s="343">
        <f>SUMIFS($AV$1388:AV1757,$Q$1388:Q1757,"O")</f>
        <v>548.33999999983723</v>
      </c>
    </row>
    <row r="1757" spans="1:78" ht="15.75" customHeight="1">
      <c r="A1757" s="177" t="s">
        <v>5851</v>
      </c>
      <c r="B1757" s="200">
        <v>45387</v>
      </c>
      <c r="C1757" s="178" t="s">
        <v>5899</v>
      </c>
      <c r="D1757" s="178" t="s">
        <v>111</v>
      </c>
      <c r="E1757" s="227"/>
      <c r="F1757" s="180"/>
      <c r="G1757" s="560" t="s">
        <v>3467</v>
      </c>
      <c r="H1757" s="182"/>
      <c r="I1757" s="182"/>
      <c r="J1757" s="182"/>
      <c r="K1757" s="183"/>
      <c r="L1757" s="182">
        <v>1</v>
      </c>
      <c r="M1757" s="182">
        <v>1</v>
      </c>
      <c r="N1757" s="182"/>
      <c r="O1757" s="183" t="s">
        <v>95</v>
      </c>
      <c r="P1757" s="183" t="s">
        <v>96</v>
      </c>
      <c r="Q1757" s="183" t="s">
        <v>256</v>
      </c>
      <c r="R1757" s="183">
        <v>80</v>
      </c>
      <c r="S1757" s="559">
        <v>40</v>
      </c>
      <c r="T1757" s="183">
        <v>30</v>
      </c>
      <c r="U1757" s="183" t="s">
        <v>97</v>
      </c>
      <c r="V1757" s="183"/>
      <c r="W1757" s="183"/>
      <c r="X1757" s="183"/>
      <c r="Y1757" s="184">
        <f>IF(ISBLANK(O1757),"",(IF(O1757=UPPER("IB"),0.005,0.01)))</f>
        <v>0.01</v>
      </c>
      <c r="Z1757" s="185">
        <f>IF(ISBLANK(O1757),"",IF(O1757="IB",8.63*200,IF(O1757="IR",16*100,IF(O1757="YT",20*100,IF(O1757="YT-XT",24*200,IF(O1757="TED",80*100,IF(O1757="XT",29*200)))))))</f>
        <v>1600</v>
      </c>
      <c r="AA1757" s="185"/>
      <c r="AB1757" s="185"/>
      <c r="AC1757" s="185" t="s">
        <v>5900</v>
      </c>
      <c r="AD1757" s="649">
        <f>((45*0.06)+(15*0.07)+(0.05*20))/80</f>
        <v>5.9374999999999997E-2</v>
      </c>
      <c r="AE1757" s="182"/>
      <c r="AF1757" s="332"/>
      <c r="AG1757" s="182"/>
      <c r="AH1757" s="182"/>
      <c r="AI1757" s="182" t="s">
        <v>5901</v>
      </c>
      <c r="AJ1757" s="640"/>
      <c r="AK1757" s="182"/>
      <c r="AL1757" s="496">
        <f t="shared" si="527"/>
        <v>-32</v>
      </c>
      <c r="AM1757" s="496">
        <f t="shared" si="526"/>
        <v>-1280</v>
      </c>
      <c r="AN1757" s="626"/>
      <c r="AO1757" s="182"/>
      <c r="AP1757" s="182" t="s">
        <v>827</v>
      </c>
      <c r="AQ1757" s="332" t="s">
        <v>115</v>
      </c>
      <c r="AR1757" s="182" t="s">
        <v>5902</v>
      </c>
      <c r="AS1757" s="189">
        <f>(0.04*40+0.03*40)/80</f>
        <v>3.4999999999999996E-2</v>
      </c>
      <c r="AT1757" s="189">
        <f>IF(ISBLANK(AS1757),,IF(U1757="S",AD1757-AS1757,AS1757-AD1757))</f>
        <v>2.4375000000000001E-2</v>
      </c>
      <c r="AU1757" s="187">
        <f>AV1757*R1757</f>
        <v>3120</v>
      </c>
      <c r="AV1757" s="190">
        <f t="shared" ref="AV1757:AV1764" si="540">IF(ISBLANK(AS1757),,(AT1757*Z1757))</f>
        <v>39</v>
      </c>
      <c r="AW1757" s="191" t="s">
        <v>96</v>
      </c>
      <c r="AX1757" s="551" t="s">
        <v>5903</v>
      </c>
      <c r="AY1757" s="551" t="s">
        <v>5904</v>
      </c>
      <c r="AZ1757" s="551" t="s">
        <v>5905</v>
      </c>
      <c r="BA1757" s="551" t="s">
        <v>1137</v>
      </c>
      <c r="BB1757" s="551"/>
      <c r="BC1757" s="551"/>
      <c r="BD1757" s="549"/>
      <c r="BE1757" s="550"/>
      <c r="BF1757" s="549"/>
      <c r="BG1757" s="391">
        <f>SUM($AV$1389:AV1757)</f>
        <v>1500.9753593430912</v>
      </c>
      <c r="BH1757" s="392">
        <f>SUM($AU$1389:AU1757)</f>
        <v>30445.780000000152</v>
      </c>
      <c r="BI1757" s="318">
        <f>SUMIFS($AU$1388:AU1758,$Q$1388:Q1758,"F")</f>
        <v>22308.400000000001</v>
      </c>
      <c r="BJ1757" s="318">
        <f>SUMIFS($AU$1388:AU1758,$Q$1388:Q1758,"S")</f>
        <v>6655.9999999999909</v>
      </c>
      <c r="BK1757" s="343">
        <f>SUMIFS($AU$1388:AU1758,$P$1388:P1758,"W")</f>
        <v>23133.580000000136</v>
      </c>
      <c r="BL1757" s="343">
        <f>SUMIFS($AU$1388:AU1758,$P$1388:P1758,"R")</f>
        <v>6485.9999999999991</v>
      </c>
      <c r="BM1757" s="343">
        <f>SUMIFS($AU$1388:AU1758,$AQ$1388:AQ1758,"M")</f>
        <v>5610.1799999997002</v>
      </c>
      <c r="BN1757" s="343">
        <f>SUMIFS($AU$1388:AU1758,$AQ$1388:AQ1758,"H")</f>
        <v>4907.2000000004446</v>
      </c>
      <c r="BO1757" s="343">
        <f>SUMIFS($AU$1388:AU1758,$AQ$1388:AQ1758,"D")</f>
        <v>8370</v>
      </c>
      <c r="BP1757" s="343">
        <f>SUMIFS($AU$1388:AU1845,$AQ$1388:AQ1845,"W")</f>
        <v>12022.400000000001</v>
      </c>
      <c r="BQ1757" s="343">
        <f>SUMIFS($AU$1388:AU1758,$Q$1388:Q1758,"O")</f>
        <v>1857.3800000001647</v>
      </c>
      <c r="BR1757" s="343">
        <f>SUMIFS($AU$1388:AU1758,$AA$1388:AA1758,"*")</f>
        <v>22646.600000000039</v>
      </c>
      <c r="BS1757" s="343">
        <f>SUMIFS($AU$1388:AU1758,$AB$1388:AB1758,"*")</f>
        <v>6615.1799999999312</v>
      </c>
      <c r="BT1757" s="343">
        <f>SUMIFS($AU$1388:AU1758,$AC$1388:AC1758,"*")</f>
        <v>19188.400000000001</v>
      </c>
      <c r="BU1757" s="343">
        <f>SUMIFS($AU$1388:AU1758,$AA$1388:AA1758,"*",$AB$1388:AB1758,"*")</f>
        <v>4079.9999999998217</v>
      </c>
      <c r="BV1757" s="343">
        <f>SUMIFS($AU$1388:AU1758,$AA$1388:AA1758,"*",$AC$1388:AC1758,"*")</f>
        <v>13764.4</v>
      </c>
      <c r="BW1757" s="343">
        <f>SUMIFS($AU$1388:AU1758,$AB$1388:AB1758,"*",$AC$1388:AC1758,"*")</f>
        <v>3279.9999999999982</v>
      </c>
      <c r="BX1757" s="343">
        <f>SUMIFS($AV$1388:AV1758,$Q$1388:Q1758,"F")</f>
        <v>396.19230875404793</v>
      </c>
      <c r="BY1757" s="343">
        <f>SUMIFS($AV$1388:AV1758,$Q$1388:Q1758,"S")</f>
        <v>408.44305058920065</v>
      </c>
      <c r="BZ1757" s="343">
        <f>SUMIFS($AV$1388:AV1758,$Q$1388:Q1758,"O")</f>
        <v>548.33999999983723</v>
      </c>
    </row>
    <row r="1758" spans="1:78" ht="15.75" customHeight="1">
      <c r="A1758" s="177" t="s">
        <v>5851</v>
      </c>
      <c r="B1758" s="200">
        <v>45387</v>
      </c>
      <c r="C1758" s="178" t="s">
        <v>5375</v>
      </c>
      <c r="D1758" s="178" t="s">
        <v>111</v>
      </c>
      <c r="E1758" s="227"/>
      <c r="F1758" s="180"/>
      <c r="G1758" s="561" t="s">
        <v>5012</v>
      </c>
      <c r="H1758" s="182"/>
      <c r="I1758" s="182"/>
      <c r="J1758" s="182"/>
      <c r="K1758" s="183"/>
      <c r="L1758" s="182">
        <v>1</v>
      </c>
      <c r="M1758" s="182"/>
      <c r="N1758" s="182"/>
      <c r="O1758" s="183" t="s">
        <v>2652</v>
      </c>
      <c r="P1758" s="183" t="s">
        <v>137</v>
      </c>
      <c r="Q1758" s="183"/>
      <c r="R1758" s="183">
        <v>2</v>
      </c>
      <c r="S1758" s="183">
        <v>1</v>
      </c>
      <c r="T1758" s="183">
        <v>2</v>
      </c>
      <c r="U1758" s="183" t="s">
        <v>22</v>
      </c>
      <c r="V1758" s="183"/>
      <c r="W1758" s="183"/>
      <c r="X1758" s="183"/>
      <c r="Y1758" s="184">
        <f>IF(ISBLANK(O1758),"",(IF(O1758=UPPER("IB"),0.005,0.01)))</f>
        <v>0.01</v>
      </c>
      <c r="Z1758" s="185">
        <f>IF(ISBLANK(O1758),"",IF(O1758="IB",8.63*200,IF(O1758="IR",16*100,IF(O1758="YT",20*100,IF(O1758="YT-XT",24*200,IF(O1758="TED",80*100))))))</f>
        <v>8000</v>
      </c>
      <c r="AA1758" s="185" t="s">
        <v>5906</v>
      </c>
      <c r="AB1758" s="185"/>
      <c r="AC1758" s="185"/>
      <c r="AD1758" s="649">
        <v>-0.1</v>
      </c>
      <c r="AE1758" s="182"/>
      <c r="AF1758" s="332"/>
      <c r="AG1758" s="182"/>
      <c r="AH1758" s="182"/>
      <c r="AI1758" s="182"/>
      <c r="AJ1758" s="640"/>
      <c r="AK1758" s="182"/>
      <c r="AL1758" s="496">
        <f t="shared" ref="AL1758:AL1828" si="541">-0.02*Z1758</f>
        <v>-160</v>
      </c>
      <c r="AM1758" s="496">
        <f t="shared" si="526"/>
        <v>-160</v>
      </c>
      <c r="AN1758" s="626"/>
      <c r="AO1758" s="182"/>
      <c r="AP1758" s="182" t="s">
        <v>770</v>
      </c>
      <c r="AQ1758" s="332" t="s">
        <v>115</v>
      </c>
      <c r="AR1758" s="182" t="s">
        <v>5907</v>
      </c>
      <c r="AS1758" s="189">
        <f>((-0.09*1)+(-0.09*1))/2</f>
        <v>-0.09</v>
      </c>
      <c r="AT1758" s="189">
        <f>IF(ISBLANK(AS1758),,IF(U1758="S",AD1758-AS1758,AS1758-AD1758))</f>
        <v>1.0000000000000009E-2</v>
      </c>
      <c r="AU1758" s="187">
        <f>AV1758*R1758</f>
        <v>160.00000000000014</v>
      </c>
      <c r="AV1758" s="190">
        <f t="shared" si="540"/>
        <v>80.000000000000071</v>
      </c>
      <c r="AW1758" s="191" t="s">
        <v>96</v>
      </c>
      <c r="AX1758" s="557" t="s">
        <v>5908</v>
      </c>
      <c r="AY1758" s="551" t="s">
        <v>5909</v>
      </c>
      <c r="AZ1758" s="551"/>
      <c r="BA1758" s="551"/>
      <c r="BB1758" s="551"/>
      <c r="BC1758" s="551"/>
      <c r="BD1758" s="549"/>
      <c r="BE1758" s="550"/>
      <c r="BF1758" s="549"/>
      <c r="BG1758" s="391">
        <f>SUM($AV$1389:AV1758)</f>
        <v>1580.9753593430912</v>
      </c>
      <c r="BH1758" s="392">
        <f>SUM($AU$1389:AU1758)</f>
        <v>30605.780000000152</v>
      </c>
      <c r="BI1758" s="318">
        <f>SUMIFS($AU$1388:AU1759,$Q$1388:Q1759,"F")</f>
        <v>22308.400000000001</v>
      </c>
      <c r="BJ1758" s="318">
        <f>SUMIFS($AU$1388:AU1759,$Q$1388:Q1759,"S")</f>
        <v>6655.9999999999909</v>
      </c>
      <c r="BK1758" s="343">
        <f>SUMIFS($AU$1388:AU1759,$P$1388:P1759,"W")</f>
        <v>23133.580000000136</v>
      </c>
      <c r="BL1758" s="343">
        <f>SUMIFS($AU$1388:AU1759,$P$1388:P1759,"R")</f>
        <v>6485.9999999999991</v>
      </c>
      <c r="BM1758" s="343">
        <f>SUMIFS($AU$1388:AU1759,$AQ$1388:AQ1759,"M")</f>
        <v>5610.1799999997002</v>
      </c>
      <c r="BN1758" s="343">
        <f>SUMIFS($AU$1388:AU1759,$AQ$1388:AQ1759,"H")</f>
        <v>4907.2000000004446</v>
      </c>
      <c r="BO1758" s="343">
        <f>SUMIFS($AU$1388:AU1759,$AQ$1388:AQ1759,"D")</f>
        <v>8370</v>
      </c>
      <c r="BP1758" s="343">
        <f>SUMIFS($AU$1388:AU1846,$AQ$1388:AQ1846,"W")</f>
        <v>12022.400000000001</v>
      </c>
      <c r="BQ1758" s="343">
        <f>SUMIFS($AU$1388:AU1759,$Q$1388:Q1759,"O")</f>
        <v>1857.3800000001647</v>
      </c>
      <c r="BR1758" s="343">
        <f>SUMIFS($AU$1388:AU1759,$AA$1388:AA1759,"*")</f>
        <v>22646.600000000039</v>
      </c>
      <c r="BS1758" s="343">
        <f>SUMIFS($AU$1388:AU1759,$AB$1388:AB1759,"*")</f>
        <v>6615.1799999999312</v>
      </c>
      <c r="BT1758" s="343">
        <f>SUMIFS($AU$1388:AU1759,$AC$1388:AC1759,"*")</f>
        <v>19188.400000000001</v>
      </c>
      <c r="BU1758" s="343">
        <f>SUMIFS($AU$1388:AU1759,$AA$1388:AA1759,"*",$AB$1388:AB1759,"*")</f>
        <v>4079.9999999998217</v>
      </c>
      <c r="BV1758" s="343">
        <f>SUMIFS($AU$1388:AU1759,$AA$1388:AA1759,"*",$AC$1388:AC1759,"*")</f>
        <v>13764.4</v>
      </c>
      <c r="BW1758" s="343">
        <f>SUMIFS($AU$1388:AU1759,$AB$1388:AB1759,"*",$AC$1388:AC1759,"*")</f>
        <v>3279.9999999999982</v>
      </c>
      <c r="BX1758" s="343">
        <f>SUMIFS($AV$1388:AV1759,$Q$1388:Q1759,"F")</f>
        <v>396.19230875404793</v>
      </c>
      <c r="BY1758" s="343">
        <f>SUMIFS($AV$1388:AV1759,$Q$1388:Q1759,"S")</f>
        <v>408.44305058920065</v>
      </c>
      <c r="BZ1758" s="343">
        <f>SUMIFS($AV$1388:AV1759,$Q$1388:Q1759,"O")</f>
        <v>548.33999999983723</v>
      </c>
    </row>
    <row r="1759" spans="1:78" ht="15.75" customHeight="1">
      <c r="A1759" s="177" t="s">
        <v>5851</v>
      </c>
      <c r="B1759" s="200">
        <v>45387</v>
      </c>
      <c r="C1759" s="178" t="s">
        <v>3388</v>
      </c>
      <c r="D1759" s="178" t="s">
        <v>111</v>
      </c>
      <c r="E1759" s="227"/>
      <c r="F1759" s="180"/>
      <c r="G1759" s="484" t="s">
        <v>136</v>
      </c>
      <c r="H1759" s="182"/>
      <c r="I1759" s="182"/>
      <c r="J1759" s="182"/>
      <c r="K1759" s="183"/>
      <c r="L1759" s="182">
        <v>1</v>
      </c>
      <c r="M1759" s="182"/>
      <c r="N1759" s="182"/>
      <c r="O1759" s="183" t="s">
        <v>95</v>
      </c>
      <c r="P1759" s="183" t="s">
        <v>96</v>
      </c>
      <c r="Q1759" s="183" t="s">
        <v>97</v>
      </c>
      <c r="R1759" s="183">
        <v>20</v>
      </c>
      <c r="S1759" s="559">
        <v>0</v>
      </c>
      <c r="T1759" s="183">
        <v>15</v>
      </c>
      <c r="U1759" s="183" t="s">
        <v>97</v>
      </c>
      <c r="V1759" s="183"/>
      <c r="W1759" s="183"/>
      <c r="X1759" s="183"/>
      <c r="Y1759" s="184">
        <f>IF(ISBLANK(O1759),"",(IF(O1759=UPPER("IB"),0.005,0.01)))</f>
        <v>0.01</v>
      </c>
      <c r="Z1759" s="185">
        <f>IF(ISBLANK(O1759),"",IF(O1759="IB",8.63*200,IF(O1759="IR",16*100,IF(O1759="YT",20*100,IF(O1759="YT-XT",24*200,IF(O1759="TED",80*100,IF(O1759="XT",29*200)))))))</f>
        <v>1600</v>
      </c>
      <c r="AA1759" s="185" t="s">
        <v>99</v>
      </c>
      <c r="AB1759" s="185"/>
      <c r="AC1759" s="185" t="s">
        <v>5900</v>
      </c>
      <c r="AD1759" s="649">
        <v>-0.09</v>
      </c>
      <c r="AE1759" s="182"/>
      <c r="AF1759" s="332"/>
      <c r="AG1759" s="182"/>
      <c r="AH1759" s="182"/>
      <c r="AI1759" s="182"/>
      <c r="AJ1759" s="640"/>
      <c r="AK1759" s="182"/>
      <c r="AL1759" s="496">
        <f t="shared" si="541"/>
        <v>-32</v>
      </c>
      <c r="AM1759" s="496">
        <f t="shared" si="526"/>
        <v>-640</v>
      </c>
      <c r="AN1759" s="626"/>
      <c r="AO1759" s="182"/>
      <c r="AP1759" s="182" t="s">
        <v>770</v>
      </c>
      <c r="AQ1759" s="332" t="s">
        <v>115</v>
      </c>
      <c r="AR1759" s="182" t="s">
        <v>5910</v>
      </c>
      <c r="AS1759" s="189">
        <v>-0.09</v>
      </c>
      <c r="AT1759" s="189">
        <f>IF(ISBLANK(AS1759),,IF(U1759="S",AD1759-AS1759,AS1759-AD1759))</f>
        <v>0</v>
      </c>
      <c r="AU1759" s="187">
        <f>AV1759*R1759</f>
        <v>0</v>
      </c>
      <c r="AV1759" s="190">
        <f t="shared" si="540"/>
        <v>0</v>
      </c>
      <c r="AW1759" s="191" t="s">
        <v>115</v>
      </c>
      <c r="AX1759" s="551"/>
      <c r="AY1759" s="551"/>
      <c r="AZ1759" s="551"/>
      <c r="BA1759" s="551"/>
      <c r="BB1759" s="551"/>
      <c r="BC1759" s="551"/>
      <c r="BD1759" s="549"/>
      <c r="BE1759" s="550"/>
      <c r="BF1759" s="549"/>
      <c r="BG1759" s="391">
        <f>SUM($AV$1389:AV1759)</f>
        <v>1580.9753593430912</v>
      </c>
      <c r="BH1759" s="392">
        <f>SUM($AU$1389:AU1759)</f>
        <v>30605.780000000152</v>
      </c>
      <c r="BI1759" s="318">
        <f>SUMIFS($AU$1388:AU1760,$Q$1388:Q1760,"F")</f>
        <v>22308.400000000001</v>
      </c>
      <c r="BJ1759" s="318">
        <f>SUMIFS($AU$1388:AU1760,$Q$1388:Q1760,"S")</f>
        <v>6655.9999999999909</v>
      </c>
      <c r="BK1759" s="343">
        <f>SUMIFS($AU$1388:AU1760,$P$1388:P1760,"W")</f>
        <v>23133.580000000136</v>
      </c>
      <c r="BL1759" s="343">
        <f>SUMIFS($AU$1388:AU1760,$P$1388:P1760,"R")</f>
        <v>6485.9999999999991</v>
      </c>
      <c r="BM1759" s="343">
        <f>SUMIFS($AU$1388:AU1760,$AQ$1388:AQ1760,"M")</f>
        <v>5610.1799999997002</v>
      </c>
      <c r="BN1759" s="343">
        <f>SUMIFS($AU$1388:AU1760,$AQ$1388:AQ1760,"H")</f>
        <v>4907.2000000004446</v>
      </c>
      <c r="BO1759" s="343">
        <f>SUMIFS($AU$1388:AU1760,$AQ$1388:AQ1760,"D")</f>
        <v>8370</v>
      </c>
      <c r="BP1759" s="343">
        <f>SUMIFS($AU$1388:AU1847,$AQ$1388:AQ1847,"W")</f>
        <v>12022.400000000001</v>
      </c>
      <c r="BQ1759" s="343">
        <f>SUMIFS($AU$1388:AU1760,$Q$1388:Q1760,"O")</f>
        <v>1857.3800000001647</v>
      </c>
      <c r="BR1759" s="343">
        <f>SUMIFS($AU$1388:AU1760,$AA$1388:AA1760,"*")</f>
        <v>22646.600000000039</v>
      </c>
      <c r="BS1759" s="343">
        <f>SUMIFS($AU$1388:AU1760,$AB$1388:AB1760,"*")</f>
        <v>6615.1799999999312</v>
      </c>
      <c r="BT1759" s="343">
        <f>SUMIFS($AU$1388:AU1760,$AC$1388:AC1760,"*")</f>
        <v>19188.400000000001</v>
      </c>
      <c r="BU1759" s="343">
        <f>SUMIFS($AU$1388:AU1760,$AA$1388:AA1760,"*",$AB$1388:AB1760,"*")</f>
        <v>4079.9999999998217</v>
      </c>
      <c r="BV1759" s="343">
        <f>SUMIFS($AU$1388:AU1760,$AA$1388:AA1760,"*",$AC$1388:AC1760,"*")</f>
        <v>13764.4</v>
      </c>
      <c r="BW1759" s="343">
        <f>SUMIFS($AU$1388:AU1760,$AB$1388:AB1760,"*",$AC$1388:AC1760,"*")</f>
        <v>3279.9999999999982</v>
      </c>
      <c r="BX1759" s="343">
        <f>SUMIFS($AV$1388:AV1760,$Q$1388:Q1760,"F")</f>
        <v>396.19230875404793</v>
      </c>
      <c r="BY1759" s="343">
        <f>SUMIFS($AV$1388:AV1760,$Q$1388:Q1760,"S")</f>
        <v>408.44305058920065</v>
      </c>
      <c r="BZ1759" s="343">
        <f>SUMIFS($AV$1388:AV1760,$Q$1388:Q1760,"O")</f>
        <v>548.33999999983723</v>
      </c>
    </row>
    <row r="1760" spans="1:78" ht="15.75" customHeight="1">
      <c r="A1760" s="177" t="s">
        <v>5851</v>
      </c>
      <c r="B1760" s="200">
        <v>45387</v>
      </c>
      <c r="C1760" s="178" t="s">
        <v>1714</v>
      </c>
      <c r="D1760" s="178" t="s">
        <v>111</v>
      </c>
      <c r="E1760" s="227" t="s">
        <v>5911</v>
      </c>
      <c r="F1760" s="180" t="s">
        <v>5912</v>
      </c>
      <c r="G1760" s="181"/>
      <c r="H1760" s="182">
        <v>1</v>
      </c>
      <c r="I1760" s="182"/>
      <c r="J1760" s="182"/>
      <c r="K1760" s="183" t="s">
        <v>372</v>
      </c>
      <c r="L1760" s="182"/>
      <c r="M1760" s="182"/>
      <c r="N1760" s="182"/>
      <c r="O1760" s="183"/>
      <c r="P1760" s="183"/>
      <c r="Q1760" s="183"/>
      <c r="R1760" s="183"/>
      <c r="S1760" s="183"/>
      <c r="T1760" s="183"/>
      <c r="U1760" s="183"/>
      <c r="V1760" s="183"/>
      <c r="W1760" s="183"/>
      <c r="X1760" s="183"/>
      <c r="Y1760" s="183"/>
      <c r="Z1760" s="183"/>
      <c r="AA1760" s="185"/>
      <c r="AB1760" s="185"/>
      <c r="AC1760" s="185"/>
      <c r="AD1760" s="649"/>
      <c r="AE1760" s="182"/>
      <c r="AF1760" s="332"/>
      <c r="AG1760" s="182"/>
      <c r="AH1760" s="182"/>
      <c r="AI1760" s="182"/>
      <c r="AJ1760" s="640"/>
      <c r="AK1760" s="182"/>
      <c r="AL1760" s="496">
        <f t="shared" si="541"/>
        <v>0</v>
      </c>
      <c r="AM1760" s="496">
        <f t="shared" si="526"/>
        <v>0</v>
      </c>
      <c r="AN1760" s="626"/>
      <c r="AO1760" s="182"/>
      <c r="AP1760" s="182"/>
      <c r="AQ1760" s="332" t="str">
        <f>UPPER(RIGHT(Journal_Live[[#This Row],[DURATION ]]))</f>
        <v/>
      </c>
      <c r="AR1760" s="182"/>
      <c r="AS1760" s="189"/>
      <c r="AT1760" s="189"/>
      <c r="AU1760" s="187"/>
      <c r="AV1760" s="190"/>
      <c r="AW1760" s="191"/>
      <c r="AX1760" s="551"/>
      <c r="AY1760" s="551"/>
      <c r="AZ1760" s="551"/>
      <c r="BA1760" s="551"/>
      <c r="BB1760" s="551"/>
      <c r="BC1760" s="551"/>
      <c r="BD1760" s="549"/>
      <c r="BE1760" s="550"/>
      <c r="BF1760" s="549"/>
      <c r="BG1760" s="391">
        <f>SUM($AV$1389:AV1760)</f>
        <v>1580.9753593430912</v>
      </c>
      <c r="BH1760" s="392">
        <f>SUM($AU$1389:AU1760)</f>
        <v>30605.780000000152</v>
      </c>
      <c r="BI1760" s="318">
        <f>SUMIFS($AU$1388:AU1761,$Q$1388:Q1761,"F")</f>
        <v>22308.400000000001</v>
      </c>
      <c r="BJ1760" s="318">
        <f>SUMIFS($AU$1388:AU1761,$Q$1388:Q1761,"S")</f>
        <v>6655.9999999999909</v>
      </c>
      <c r="BK1760" s="343">
        <f>SUMIFS($AU$1388:AU1761,$P$1388:P1761,"W")</f>
        <v>23133.580000000136</v>
      </c>
      <c r="BL1760" s="343">
        <f>SUMIFS($AU$1388:AU1761,$P$1388:P1761,"R")</f>
        <v>6485.9999999999991</v>
      </c>
      <c r="BM1760" s="343">
        <f>SUMIFS($AU$1388:AU1761,$AQ$1388:AQ1761,"M")</f>
        <v>5610.1799999997002</v>
      </c>
      <c r="BN1760" s="343">
        <f>SUMIFS($AU$1388:AU1761,$AQ$1388:AQ1761,"H")</f>
        <v>4907.2000000004446</v>
      </c>
      <c r="BO1760" s="343">
        <f>SUMIFS($AU$1388:AU1761,$AQ$1388:AQ1761,"D")</f>
        <v>8370</v>
      </c>
      <c r="BP1760" s="343">
        <f>SUMIFS($AU$1388:AU1848,$AQ$1388:AQ1848,"W")</f>
        <v>12022.400000000001</v>
      </c>
      <c r="BQ1760" s="343">
        <f>SUMIFS($AU$1388:AU1761,$Q$1388:Q1761,"O")</f>
        <v>1857.3800000001647</v>
      </c>
      <c r="BR1760" s="343">
        <f>SUMIFS($AU$1388:AU1761,$AA$1388:AA1761,"*")</f>
        <v>22646.600000000039</v>
      </c>
      <c r="BS1760" s="343">
        <f>SUMIFS($AU$1388:AU1761,$AB$1388:AB1761,"*")</f>
        <v>6615.1799999999312</v>
      </c>
      <c r="BT1760" s="343">
        <f>SUMIFS($AU$1388:AU1761,$AC$1388:AC1761,"*")</f>
        <v>19188.400000000001</v>
      </c>
      <c r="BU1760" s="343">
        <f>SUMIFS($AU$1388:AU1761,$AA$1388:AA1761,"*",$AB$1388:AB1761,"*")</f>
        <v>4079.9999999998217</v>
      </c>
      <c r="BV1760" s="343">
        <f>SUMIFS($AU$1388:AU1761,$AA$1388:AA1761,"*",$AC$1388:AC1761,"*")</f>
        <v>13764.4</v>
      </c>
      <c r="BW1760" s="343">
        <f>SUMIFS($AU$1388:AU1761,$AB$1388:AB1761,"*",$AC$1388:AC1761,"*")</f>
        <v>3279.9999999999982</v>
      </c>
      <c r="BX1760" s="343">
        <f>SUMIFS($AV$1388:AV1761,$Q$1388:Q1761,"F")</f>
        <v>396.19230875404793</v>
      </c>
      <c r="BY1760" s="343">
        <f>SUMIFS($AV$1388:AV1761,$Q$1388:Q1761,"S")</f>
        <v>408.44305058920065</v>
      </c>
      <c r="BZ1760" s="343">
        <f>SUMIFS($AV$1388:AV1761,$Q$1388:Q1761,"O")</f>
        <v>548.33999999983723</v>
      </c>
    </row>
    <row r="1761" spans="1:78" ht="15.75" customHeight="1">
      <c r="A1761" s="177" t="s">
        <v>5851</v>
      </c>
      <c r="B1761" s="200"/>
      <c r="C1761" s="178"/>
      <c r="D1761" s="178"/>
      <c r="E1761" s="227" t="s">
        <v>5913</v>
      </c>
      <c r="F1761" s="180"/>
      <c r="G1761" s="181"/>
      <c r="H1761" s="182"/>
      <c r="I1761" s="182"/>
      <c r="J1761" s="182">
        <v>1</v>
      </c>
      <c r="K1761" s="183" t="s">
        <v>372</v>
      </c>
      <c r="L1761" s="182"/>
      <c r="M1761" s="182"/>
      <c r="N1761" s="182"/>
      <c r="O1761" s="183"/>
      <c r="P1761" s="183"/>
      <c r="Q1761" s="183"/>
      <c r="R1761" s="183"/>
      <c r="S1761" s="183"/>
      <c r="T1761" s="183"/>
      <c r="U1761" s="183"/>
      <c r="V1761" s="183"/>
      <c r="W1761" s="183"/>
      <c r="X1761" s="183"/>
      <c r="Y1761" s="183"/>
      <c r="Z1761" s="183"/>
      <c r="AA1761" s="185"/>
      <c r="AB1761" s="185"/>
      <c r="AC1761" s="185"/>
      <c r="AD1761" s="649"/>
      <c r="AE1761" s="182"/>
      <c r="AF1761" s="332"/>
      <c r="AG1761" s="182"/>
      <c r="AH1761" s="182"/>
      <c r="AI1761" s="182"/>
      <c r="AJ1761" s="640"/>
      <c r="AK1761" s="182"/>
      <c r="AL1761" s="496">
        <f t="shared" si="541"/>
        <v>0</v>
      </c>
      <c r="AM1761" s="496">
        <f t="shared" si="526"/>
        <v>0</v>
      </c>
      <c r="AN1761" s="626"/>
      <c r="AO1761" s="182"/>
      <c r="AP1761" s="182"/>
      <c r="AQ1761" s="332" t="str">
        <f>UPPER(RIGHT(Journal_Live[[#This Row],[DURATION ]]))</f>
        <v/>
      </c>
      <c r="AR1761" s="182"/>
      <c r="AS1761" s="189"/>
      <c r="AT1761" s="189"/>
      <c r="AU1761" s="187"/>
      <c r="AV1761" s="190"/>
      <c r="AW1761" s="191"/>
      <c r="AX1761" s="551"/>
      <c r="AY1761" s="551"/>
      <c r="AZ1761" s="551"/>
      <c r="BA1761" s="551"/>
      <c r="BB1761" s="551"/>
      <c r="BC1761" s="551"/>
      <c r="BD1761" s="549"/>
      <c r="BE1761" s="550"/>
      <c r="BF1761" s="549"/>
      <c r="BG1761" s="391">
        <f>SUM($AV$1389:AV1761)</f>
        <v>1580.9753593430912</v>
      </c>
      <c r="BH1761" s="392">
        <f>SUM($AU$1389:AU1761)</f>
        <v>30605.780000000152</v>
      </c>
      <c r="BI1761" s="318">
        <f>SUMIFS($AU$1388:AU1762,$Q$1388:Q1762,"F")</f>
        <v>22308.400000000001</v>
      </c>
      <c r="BJ1761" s="318">
        <f>SUMIFS($AU$1388:AU1762,$Q$1388:Q1762,"S")</f>
        <v>6335.9999999999909</v>
      </c>
      <c r="BK1761" s="343">
        <f>SUMIFS($AU$1388:AU1762,$P$1388:P1762,"W")</f>
        <v>22813.580000000136</v>
      </c>
      <c r="BL1761" s="343">
        <f>SUMIFS($AU$1388:AU1762,$P$1388:P1762,"R")</f>
        <v>6485.9999999999991</v>
      </c>
      <c r="BM1761" s="343">
        <f>SUMIFS($AU$1388:AU1762,$AQ$1388:AQ1762,"M")</f>
        <v>5610.1799999997002</v>
      </c>
      <c r="BN1761" s="343">
        <f>SUMIFS($AU$1388:AU1762,$AQ$1388:AQ1762,"H")</f>
        <v>4907.2000000004446</v>
      </c>
      <c r="BO1761" s="343">
        <f>SUMIFS($AU$1388:AU1762,$AQ$1388:AQ1762,"D")</f>
        <v>8370</v>
      </c>
      <c r="BP1761" s="343">
        <f>SUMIFS($AU$1388:AU1849,$AQ$1388:AQ1849,"W")</f>
        <v>12022.400000000001</v>
      </c>
      <c r="BQ1761" s="343">
        <f>SUMIFS($AU$1388:AU1762,$Q$1388:Q1762,"O")</f>
        <v>1857.3800000001647</v>
      </c>
      <c r="BR1761" s="343">
        <f>SUMIFS($AU$1388:AU1762,$AA$1388:AA1762,"*")</f>
        <v>22326.600000000039</v>
      </c>
      <c r="BS1761" s="343">
        <f>SUMIFS($AU$1388:AU1762,$AB$1388:AB1762,"*")</f>
        <v>6615.1799999999312</v>
      </c>
      <c r="BT1761" s="343">
        <f>SUMIFS($AU$1388:AU1762,$AC$1388:AC1762,"*")</f>
        <v>18868.400000000001</v>
      </c>
      <c r="BU1761" s="343">
        <f>SUMIFS($AU$1388:AU1762,$AA$1388:AA1762,"*",$AB$1388:AB1762,"*")</f>
        <v>4079.9999999998217</v>
      </c>
      <c r="BV1761" s="343">
        <f>SUMIFS($AU$1388:AU1762,$AA$1388:AA1762,"*",$AC$1388:AC1762,"*")</f>
        <v>13444.4</v>
      </c>
      <c r="BW1761" s="343">
        <f>SUMIFS($AU$1388:AU1762,$AB$1388:AB1762,"*",$AC$1388:AC1762,"*")</f>
        <v>3279.9999999999982</v>
      </c>
      <c r="BX1761" s="343">
        <f>SUMIFS($AV$1388:AV1762,$Q$1388:Q1762,"F")</f>
        <v>396.19230875404793</v>
      </c>
      <c r="BY1761" s="343">
        <f>SUMIFS($AV$1388:AV1762,$Q$1388:Q1762,"S")</f>
        <v>392.44305058920065</v>
      </c>
      <c r="BZ1761" s="343">
        <f>SUMIFS($AV$1388:AV1762,$Q$1388:Q1762,"O")</f>
        <v>548.33999999983723</v>
      </c>
    </row>
    <row r="1762" spans="1:78" ht="15.75" customHeight="1">
      <c r="A1762" s="177" t="s">
        <v>5851</v>
      </c>
      <c r="B1762" s="200">
        <v>45387</v>
      </c>
      <c r="C1762" s="178" t="s">
        <v>682</v>
      </c>
      <c r="D1762" s="178" t="s">
        <v>111</v>
      </c>
      <c r="E1762" s="227"/>
      <c r="F1762" s="180"/>
      <c r="G1762" s="484" t="s">
        <v>2070</v>
      </c>
      <c r="H1762" s="182"/>
      <c r="I1762" s="182"/>
      <c r="J1762" s="182"/>
      <c r="K1762" s="183"/>
      <c r="L1762" s="182">
        <v>1</v>
      </c>
      <c r="M1762" s="182"/>
      <c r="N1762" s="182"/>
      <c r="O1762" s="183" t="s">
        <v>95</v>
      </c>
      <c r="P1762" s="183" t="s">
        <v>96</v>
      </c>
      <c r="Q1762" s="183" t="s">
        <v>97</v>
      </c>
      <c r="R1762" s="183">
        <v>20</v>
      </c>
      <c r="S1762" s="559">
        <v>0</v>
      </c>
      <c r="T1762" s="183">
        <v>15</v>
      </c>
      <c r="U1762" s="183" t="s">
        <v>97</v>
      </c>
      <c r="V1762" s="183"/>
      <c r="W1762" s="183"/>
      <c r="X1762" s="183"/>
      <c r="Y1762" s="184">
        <f t="shared" ref="Y1762:Y1768" si="542">IF(ISBLANK(O1762),"",(IF(O1762=UPPER("IB"),0.005,0.01)))</f>
        <v>0.01</v>
      </c>
      <c r="Z1762" s="185">
        <f>IF(ISBLANK(O1762),"",IF(O1762="IB",8.63*200,IF(O1762="IR",16*100,IF(O1762="YT",20*100,IF(O1762="YT-XT",24*200,IF(O1762="TED",80*100,IF(O1762="XT",29*200)))))))</f>
        <v>1600</v>
      </c>
      <c r="AA1762" s="185" t="s">
        <v>1824</v>
      </c>
      <c r="AB1762" s="185"/>
      <c r="AC1762" s="185" t="s">
        <v>5914</v>
      </c>
      <c r="AD1762" s="649">
        <v>-0.12</v>
      </c>
      <c r="AE1762" s="182"/>
      <c r="AF1762" s="332"/>
      <c r="AG1762" s="182"/>
      <c r="AH1762" s="182"/>
      <c r="AI1762" s="182"/>
      <c r="AJ1762" s="640"/>
      <c r="AK1762" s="182"/>
      <c r="AL1762" s="496">
        <f t="shared" si="541"/>
        <v>-32</v>
      </c>
      <c r="AM1762" s="496">
        <f t="shared" si="526"/>
        <v>-640</v>
      </c>
      <c r="AN1762" s="626"/>
      <c r="AO1762" s="182"/>
      <c r="AP1762" s="182"/>
      <c r="AQ1762" s="332" t="str">
        <f>UPPER(RIGHT(Journal_Live[[#This Row],[DURATION ]]))</f>
        <v/>
      </c>
      <c r="AR1762" s="182"/>
      <c r="AS1762" s="189">
        <v>-0.11</v>
      </c>
      <c r="AT1762" s="189">
        <f t="shared" ref="AT1762:AT1768" si="543">IF(ISBLANK(AS1762),,IF(U1762="S",AD1762-AS1762,AS1762-AD1762))</f>
        <v>-9.999999999999995E-3</v>
      </c>
      <c r="AU1762" s="187">
        <f t="shared" ref="AU1762:AU1768" si="544">AV1762*R1762</f>
        <v>-319.99999999999989</v>
      </c>
      <c r="AV1762" s="190">
        <f t="shared" si="540"/>
        <v>-15.999999999999993</v>
      </c>
      <c r="AW1762" s="191" t="s">
        <v>229</v>
      </c>
      <c r="AX1762" s="551" t="s">
        <v>5915</v>
      </c>
      <c r="AY1762" s="551" t="s">
        <v>5916</v>
      </c>
      <c r="AZ1762" s="551"/>
      <c r="BA1762" s="551"/>
      <c r="BB1762" s="551"/>
      <c r="BC1762" s="551"/>
      <c r="BD1762" s="549"/>
      <c r="BE1762" s="550"/>
      <c r="BF1762" s="549"/>
      <c r="BG1762" s="391">
        <f>SUM($AV$1389:AV1762)</f>
        <v>1564.9753593430912</v>
      </c>
      <c r="BH1762" s="392">
        <f>SUM($AU$1389:AU1762)</f>
        <v>30285.780000000152</v>
      </c>
      <c r="BI1762" s="318">
        <f>SUMIFS($AU$1388:AU1763,$Q$1388:Q1763,"F")</f>
        <v>22308.400000000001</v>
      </c>
      <c r="BJ1762" s="318">
        <f>SUMIFS($AU$1388:AU1763,$Q$1388:Q1763,"S")</f>
        <v>6671.9999999999909</v>
      </c>
      <c r="BK1762" s="343">
        <f>SUMIFS($AU$1388:AU1763,$P$1388:P1763,"W")</f>
        <v>23149.580000000136</v>
      </c>
      <c r="BL1762" s="343">
        <f>SUMIFS($AU$1388:AU1763,$P$1388:P1763,"R")</f>
        <v>6485.9999999999991</v>
      </c>
      <c r="BM1762" s="343">
        <f>SUMIFS($AU$1388:AU1763,$AQ$1388:AQ1763,"M")</f>
        <v>5610.1799999997002</v>
      </c>
      <c r="BN1762" s="343">
        <f>SUMIFS($AU$1388:AU1763,$AQ$1388:AQ1763,"H")</f>
        <v>5243.2000000004446</v>
      </c>
      <c r="BO1762" s="343">
        <f>SUMIFS($AU$1388:AU1763,$AQ$1388:AQ1763,"D")</f>
        <v>8370</v>
      </c>
      <c r="BP1762" s="343">
        <f>SUMIFS($AU$1388:AU1850,$AQ$1388:AQ1850,"W")</f>
        <v>12022.400000000001</v>
      </c>
      <c r="BQ1762" s="343">
        <f>SUMIFS($AU$1388:AU1763,$Q$1388:Q1763,"O")</f>
        <v>1857.3800000001647</v>
      </c>
      <c r="BR1762" s="343">
        <f>SUMIFS($AU$1388:AU1763,$AA$1388:AA1763,"*")</f>
        <v>22662.600000000039</v>
      </c>
      <c r="BS1762" s="343">
        <f>SUMIFS($AU$1388:AU1763,$AB$1388:AB1763,"*")</f>
        <v>6615.1799999999312</v>
      </c>
      <c r="BT1762" s="343">
        <f>SUMIFS($AU$1388:AU1763,$AC$1388:AC1763,"*")</f>
        <v>18868.400000000001</v>
      </c>
      <c r="BU1762" s="343">
        <f>SUMIFS($AU$1388:AU1763,$AA$1388:AA1763,"*",$AB$1388:AB1763,"*")</f>
        <v>4079.9999999998217</v>
      </c>
      <c r="BV1762" s="343">
        <f>SUMIFS($AU$1388:AU1763,$AA$1388:AA1763,"*",$AC$1388:AC1763,"*")</f>
        <v>13444.4</v>
      </c>
      <c r="BW1762" s="343">
        <f>SUMIFS($AU$1388:AU1763,$AB$1388:AB1763,"*",$AC$1388:AC1763,"*")</f>
        <v>3279.9999999999982</v>
      </c>
      <c r="BX1762" s="343">
        <f>SUMIFS($AV$1388:AV1763,$Q$1388:Q1763,"F")</f>
        <v>396.19230875404793</v>
      </c>
      <c r="BY1762" s="343">
        <f>SUMIFS($AV$1388:AV1763,$Q$1388:Q1763,"S")</f>
        <v>408.44305058920065</v>
      </c>
      <c r="BZ1762" s="343">
        <f>SUMIFS($AV$1388:AV1763,$Q$1388:Q1763,"O")</f>
        <v>548.33999999983723</v>
      </c>
    </row>
    <row r="1763" spans="1:78" ht="15.75" customHeight="1">
      <c r="A1763" s="177" t="s">
        <v>5851</v>
      </c>
      <c r="B1763" s="200">
        <v>45387</v>
      </c>
      <c r="C1763" s="178" t="s">
        <v>682</v>
      </c>
      <c r="D1763" s="178" t="s">
        <v>111</v>
      </c>
      <c r="E1763" s="227"/>
      <c r="F1763" s="180"/>
      <c r="G1763" s="484" t="s">
        <v>3990</v>
      </c>
      <c r="H1763" s="182"/>
      <c r="I1763" s="182"/>
      <c r="J1763" s="182"/>
      <c r="K1763" s="183"/>
      <c r="L1763" s="182">
        <v>1</v>
      </c>
      <c r="M1763" s="182"/>
      <c r="N1763" s="182"/>
      <c r="O1763" s="183" t="s">
        <v>95</v>
      </c>
      <c r="P1763" s="183" t="s">
        <v>96</v>
      </c>
      <c r="Q1763" s="183" t="s">
        <v>97</v>
      </c>
      <c r="R1763" s="183">
        <v>21</v>
      </c>
      <c r="S1763" s="559">
        <v>0</v>
      </c>
      <c r="T1763" s="183">
        <v>21</v>
      </c>
      <c r="U1763" s="183" t="s">
        <v>97</v>
      </c>
      <c r="V1763" s="183"/>
      <c r="W1763" s="183"/>
      <c r="X1763" s="183"/>
      <c r="Y1763" s="184">
        <f t="shared" si="542"/>
        <v>0.01</v>
      </c>
      <c r="Z1763" s="185">
        <f>IF(ISBLANK(O1763),"",IF(O1763="IB",8.63*200,IF(O1763="IR",16*100,IF(O1763="YT",20*100,IF(O1763="YT-XT",24*200,IF(O1763="TED",80*100,IF(O1763="XT",29*200)))))))</f>
        <v>1600</v>
      </c>
      <c r="AA1763" s="185" t="s">
        <v>1824</v>
      </c>
      <c r="AB1763" s="185"/>
      <c r="AC1763" s="185"/>
      <c r="AD1763" s="649">
        <v>-0.22</v>
      </c>
      <c r="AE1763" s="182"/>
      <c r="AF1763" s="332"/>
      <c r="AG1763" s="182"/>
      <c r="AH1763" s="182"/>
      <c r="AI1763" s="182"/>
      <c r="AJ1763" s="640"/>
      <c r="AK1763" s="182"/>
      <c r="AL1763" s="496">
        <f t="shared" si="541"/>
        <v>-32</v>
      </c>
      <c r="AM1763" s="496">
        <f t="shared" si="526"/>
        <v>-672</v>
      </c>
      <c r="AN1763" s="626"/>
      <c r="AO1763" s="182"/>
      <c r="AP1763" s="182" t="s">
        <v>1026</v>
      </c>
      <c r="AQ1763" s="332" t="s">
        <v>372</v>
      </c>
      <c r="AR1763" s="182" t="s">
        <v>5917</v>
      </c>
      <c r="AS1763" s="189">
        <v>-0.23</v>
      </c>
      <c r="AT1763" s="189">
        <f t="shared" si="543"/>
        <v>1.0000000000000009E-2</v>
      </c>
      <c r="AU1763" s="187">
        <f t="shared" si="544"/>
        <v>336.00000000000028</v>
      </c>
      <c r="AV1763" s="190">
        <f t="shared" si="540"/>
        <v>16.000000000000014</v>
      </c>
      <c r="AW1763" s="191" t="s">
        <v>96</v>
      </c>
      <c r="AX1763" s="551"/>
      <c r="AY1763" s="551"/>
      <c r="AZ1763" s="551"/>
      <c r="BA1763" s="551"/>
      <c r="BB1763" s="551"/>
      <c r="BC1763" s="551"/>
      <c r="BD1763" s="549"/>
      <c r="BE1763" s="550"/>
      <c r="BF1763" s="549"/>
      <c r="BG1763" s="391">
        <f>SUM($AV$1389:AV1763)</f>
        <v>1580.9753593430912</v>
      </c>
      <c r="BH1763" s="392">
        <f>SUM($AU$1389:AU1763)</f>
        <v>30621.780000000152</v>
      </c>
      <c r="BI1763" s="318">
        <f>SUMIFS($AU$1388:AU1764,$Q$1388:Q1764,"F")</f>
        <v>22308.400000000001</v>
      </c>
      <c r="BJ1763" s="318">
        <f>SUMIFS($AU$1388:AU1764,$Q$1388:Q1764,"S")</f>
        <v>6671.9999999999909</v>
      </c>
      <c r="BK1763" s="343">
        <f>SUMIFS($AU$1388:AU1764,$P$1388:P1764,"W")</f>
        <v>23149.580000000136</v>
      </c>
      <c r="BL1763" s="343">
        <f>SUMIFS($AU$1388:AU1764,$P$1388:P1764,"R")</f>
        <v>6485.9999999999991</v>
      </c>
      <c r="BM1763" s="343">
        <f>SUMIFS($AU$1388:AU1764,$AQ$1388:AQ1764,"M")</f>
        <v>5668.1799999997302</v>
      </c>
      <c r="BN1763" s="343">
        <f>SUMIFS($AU$1388:AU1764,$AQ$1388:AQ1764,"H")</f>
        <v>5243.2000000004446</v>
      </c>
      <c r="BO1763" s="343">
        <f>SUMIFS($AU$1388:AU1764,$AQ$1388:AQ1764,"D")</f>
        <v>8370</v>
      </c>
      <c r="BP1763" s="343">
        <f>SUMIFS($AU$1388:AU1851,$AQ$1388:AQ1851,"W")</f>
        <v>12022.400000000001</v>
      </c>
      <c r="BQ1763" s="343">
        <f>SUMIFS($AU$1388:AU1764,$Q$1388:Q1764,"O")</f>
        <v>1915.3800000001943</v>
      </c>
      <c r="BR1763" s="343">
        <f>SUMIFS($AU$1388:AU1764,$AA$1388:AA1764,"*")</f>
        <v>22720.600000000068</v>
      </c>
      <c r="BS1763" s="343">
        <f>SUMIFS($AU$1388:AU1764,$AB$1388:AB1764,"*")</f>
        <v>6615.1799999999312</v>
      </c>
      <c r="BT1763" s="343">
        <f>SUMIFS($AU$1388:AU1764,$AC$1388:AC1764,"*")</f>
        <v>18868.400000000001</v>
      </c>
      <c r="BU1763" s="343">
        <f>SUMIFS($AU$1388:AU1764,$AA$1388:AA1764,"*",$AB$1388:AB1764,"*")</f>
        <v>4079.9999999998217</v>
      </c>
      <c r="BV1763" s="343">
        <f>SUMIFS($AU$1388:AU1764,$AA$1388:AA1764,"*",$AC$1388:AC1764,"*")</f>
        <v>13444.4</v>
      </c>
      <c r="BW1763" s="343">
        <f>SUMIFS($AU$1388:AU1764,$AB$1388:AB1764,"*",$AC$1388:AC1764,"*")</f>
        <v>3279.9999999999982</v>
      </c>
      <c r="BX1763" s="343">
        <f>SUMIFS($AV$1388:AV1764,$Q$1388:Q1764,"F")</f>
        <v>396.19230875404793</v>
      </c>
      <c r="BY1763" s="343">
        <f>SUMIFS($AV$1388:AV1764,$Q$1388:Q1764,"S")</f>
        <v>408.44305058920065</v>
      </c>
      <c r="BZ1763" s="343">
        <f>SUMIFS($AV$1388:AV1764,$Q$1388:Q1764,"O")</f>
        <v>606.3399999998669</v>
      </c>
    </row>
    <row r="1764" spans="1:78" ht="15.75" customHeight="1">
      <c r="A1764" s="177" t="s">
        <v>5851</v>
      </c>
      <c r="B1764" s="200">
        <v>45387</v>
      </c>
      <c r="C1764" s="178" t="s">
        <v>5918</v>
      </c>
      <c r="D1764" s="178" t="s">
        <v>111</v>
      </c>
      <c r="E1764" s="227"/>
      <c r="F1764" s="180"/>
      <c r="G1764" s="181" t="s">
        <v>5883</v>
      </c>
      <c r="H1764" s="182"/>
      <c r="I1764" s="182"/>
      <c r="J1764" s="182"/>
      <c r="K1764" s="183"/>
      <c r="L1764" s="182">
        <v>1</v>
      </c>
      <c r="M1764" s="182"/>
      <c r="N1764" s="182"/>
      <c r="O1764" s="183" t="s">
        <v>3618</v>
      </c>
      <c r="P1764" s="183" t="s">
        <v>2260</v>
      </c>
      <c r="Q1764" s="183" t="s">
        <v>684</v>
      </c>
      <c r="R1764" s="183">
        <v>1</v>
      </c>
      <c r="S1764" s="183">
        <v>0</v>
      </c>
      <c r="T1764" s="183">
        <v>1</v>
      </c>
      <c r="U1764" s="183" t="s">
        <v>97</v>
      </c>
      <c r="V1764" s="183"/>
      <c r="W1764" s="183"/>
      <c r="X1764" s="183"/>
      <c r="Y1764" s="184">
        <f t="shared" si="542"/>
        <v>0.01</v>
      </c>
      <c r="Z1764" s="185">
        <f>IF(ISBLANK(O1764),"",IF(O1764="IB",8.63*200,IF(O1764="IR",16*100,IF(O1764="YT",20*100,IF(O1764="YT-XT",24*200,IF(O1764="TED",80*100,IF(O1764="XT",29*200)))))))</f>
        <v>5800</v>
      </c>
      <c r="AA1764" s="185" t="s">
        <v>5884</v>
      </c>
      <c r="AB1764" s="185"/>
      <c r="AC1764" s="185"/>
      <c r="AD1764" s="649">
        <v>95.844999999999999</v>
      </c>
      <c r="AE1764" s="182"/>
      <c r="AF1764" s="332"/>
      <c r="AG1764" s="182"/>
      <c r="AH1764" s="182"/>
      <c r="AI1764" s="182"/>
      <c r="AJ1764" s="640"/>
      <c r="AK1764" s="182"/>
      <c r="AL1764" s="496">
        <f t="shared" si="541"/>
        <v>-116</v>
      </c>
      <c r="AM1764" s="496">
        <f t="shared" si="526"/>
        <v>-116</v>
      </c>
      <c r="AN1764" s="626"/>
      <c r="AO1764" s="182"/>
      <c r="AP1764" s="182" t="s">
        <v>1953</v>
      </c>
      <c r="AQ1764" s="332" t="s">
        <v>1259</v>
      </c>
      <c r="AR1764" s="182" t="s">
        <v>3063</v>
      </c>
      <c r="AS1764" s="189">
        <v>95.834999999999994</v>
      </c>
      <c r="AT1764" s="189">
        <f t="shared" si="543"/>
        <v>1.0000000000005116E-2</v>
      </c>
      <c r="AU1764" s="187">
        <f t="shared" si="544"/>
        <v>58.000000000029672</v>
      </c>
      <c r="AV1764" s="190">
        <f t="shared" si="540"/>
        <v>58.000000000029672</v>
      </c>
      <c r="AW1764" s="191" t="s">
        <v>96</v>
      </c>
      <c r="AX1764" s="551"/>
      <c r="AY1764" s="551"/>
      <c r="AZ1764" s="551"/>
      <c r="BA1764" s="551"/>
      <c r="BB1764" s="551"/>
      <c r="BC1764" s="551"/>
      <c r="BD1764" s="549"/>
      <c r="BE1764" s="550"/>
      <c r="BF1764" s="549"/>
      <c r="BG1764" s="391">
        <f>SUM($AV$1389:AV1764)</f>
        <v>1638.975359343121</v>
      </c>
      <c r="BH1764" s="392">
        <f>SUM($AU$1389:AU1764)</f>
        <v>30679.780000000181</v>
      </c>
      <c r="BI1764" s="318">
        <f>SUMIFS($AU$1388:AU1765,$Q$1388:Q1765,"F")</f>
        <v>22308.400000000001</v>
      </c>
      <c r="BJ1764" s="318">
        <f>SUMIFS($AU$1388:AU1765,$Q$1388:Q1765,"S")</f>
        <v>7231.9999999999909</v>
      </c>
      <c r="BK1764" s="343">
        <f>SUMIFS($AU$1388:AU1765,$P$1388:P1765,"W")</f>
        <v>23709.580000000136</v>
      </c>
      <c r="BL1764" s="343">
        <f>SUMIFS($AU$1388:AU1765,$P$1388:P1765,"R")</f>
        <v>6485.9999999999991</v>
      </c>
      <c r="BM1764" s="343">
        <f>SUMIFS($AU$1388:AU1765,$AQ$1388:AQ1765,"M")</f>
        <v>5668.1799999997302</v>
      </c>
      <c r="BN1764" s="343">
        <f>SUMIFS($AU$1388:AU1765,$AQ$1388:AQ1765,"H")</f>
        <v>5803.2000000004446</v>
      </c>
      <c r="BO1764" s="343">
        <f>SUMIFS($AU$1388:AU1765,$AQ$1388:AQ1765,"D")</f>
        <v>8370</v>
      </c>
      <c r="BP1764" s="343">
        <f>SUMIFS($AU$1388:AU1852,$AQ$1388:AQ1852,"W")</f>
        <v>12022.400000000001</v>
      </c>
      <c r="BQ1764" s="343">
        <f>SUMIFS($AU$1388:AU1765,$Q$1388:Q1765,"O")</f>
        <v>1915.3800000001943</v>
      </c>
      <c r="BR1764" s="343">
        <f>SUMIFS($AU$1388:AU1765,$AA$1388:AA1765,"*")</f>
        <v>23280.600000000068</v>
      </c>
      <c r="BS1764" s="343">
        <f>SUMIFS($AU$1388:AU1765,$AB$1388:AB1765,"*")</f>
        <v>6615.1799999999312</v>
      </c>
      <c r="BT1764" s="343">
        <f>SUMIFS($AU$1388:AU1765,$AC$1388:AC1765,"*")</f>
        <v>18868.400000000001</v>
      </c>
      <c r="BU1764" s="343">
        <f>SUMIFS($AU$1388:AU1765,$AA$1388:AA1765,"*",$AB$1388:AB1765,"*")</f>
        <v>4079.9999999998217</v>
      </c>
      <c r="BV1764" s="343">
        <f>SUMIFS($AU$1388:AU1765,$AA$1388:AA1765,"*",$AC$1388:AC1765,"*")</f>
        <v>13444.4</v>
      </c>
      <c r="BW1764" s="343">
        <f>SUMIFS($AU$1388:AU1765,$AB$1388:AB1765,"*",$AC$1388:AC1765,"*")</f>
        <v>3279.9999999999982</v>
      </c>
      <c r="BX1764" s="343">
        <f>SUMIFS($AV$1388:AV1765,$Q$1388:Q1765,"F")</f>
        <v>396.19230875404793</v>
      </c>
      <c r="BY1764" s="343">
        <f>SUMIFS($AV$1388:AV1765,$Q$1388:Q1765,"S")</f>
        <v>417.77638392253397</v>
      </c>
      <c r="BZ1764" s="343">
        <f>SUMIFS($AV$1388:AV1765,$Q$1388:Q1765,"O")</f>
        <v>606.3399999998669</v>
      </c>
    </row>
    <row r="1765" spans="1:78" ht="15.75" customHeight="1">
      <c r="A1765" s="177" t="s">
        <v>5851</v>
      </c>
      <c r="B1765" s="200">
        <v>45390</v>
      </c>
      <c r="C1765" s="178" t="s">
        <v>4948</v>
      </c>
      <c r="D1765" s="178" t="s">
        <v>132</v>
      </c>
      <c r="E1765" s="227"/>
      <c r="F1765" s="180"/>
      <c r="G1765" s="484" t="s">
        <v>3990</v>
      </c>
      <c r="H1765" s="182"/>
      <c r="I1765" s="182"/>
      <c r="J1765" s="182"/>
      <c r="K1765" s="183"/>
      <c r="L1765" s="182">
        <v>1</v>
      </c>
      <c r="M1765" s="182"/>
      <c r="N1765" s="182"/>
      <c r="O1765" s="183" t="s">
        <v>95</v>
      </c>
      <c r="P1765" s="183" t="s">
        <v>96</v>
      </c>
      <c r="Q1765" s="183" t="s">
        <v>97</v>
      </c>
      <c r="R1765" s="183">
        <v>60</v>
      </c>
      <c r="S1765" s="559">
        <v>35</v>
      </c>
      <c r="T1765" s="183">
        <v>21</v>
      </c>
      <c r="U1765" s="183" t="s">
        <v>97</v>
      </c>
      <c r="V1765" s="183"/>
      <c r="W1765" s="183"/>
      <c r="X1765" s="183"/>
      <c r="Y1765" s="184">
        <f t="shared" si="542"/>
        <v>0.01</v>
      </c>
      <c r="Z1765" s="185">
        <f>IF(ISBLANK(O1765),"",IF(O1765="IB",8.63*200,IF(O1765="IR",16*100,IF(O1765="YT",20*100,IF(O1765="YT-XT",24*200,IF(O1765="TED",80*100,IF(O1765="XT",29*200)))))))</f>
        <v>1600</v>
      </c>
      <c r="AA1765" s="185" t="s">
        <v>5919</v>
      </c>
      <c r="AB1765" s="185"/>
      <c r="AC1765" s="185"/>
      <c r="AD1765" s="649">
        <f>((-0.22*25)+(-0.21*35))/60</f>
        <v>-0.21416666666666667</v>
      </c>
      <c r="AE1765" s="182"/>
      <c r="AF1765" s="332"/>
      <c r="AG1765" s="182"/>
      <c r="AH1765" s="182"/>
      <c r="AI1765" s="182"/>
      <c r="AJ1765" s="640"/>
      <c r="AK1765" s="182"/>
      <c r="AL1765" s="496">
        <f t="shared" ref="AL1765" si="545">-0.02*Z1765</f>
        <v>-32</v>
      </c>
      <c r="AM1765" s="496">
        <f t="shared" si="526"/>
        <v>-800</v>
      </c>
      <c r="AN1765" s="626"/>
      <c r="AO1765" s="182"/>
      <c r="AP1765" s="182" t="s">
        <v>967</v>
      </c>
      <c r="AQ1765" s="332" t="s">
        <v>372</v>
      </c>
      <c r="AR1765" s="182" t="s">
        <v>5920</v>
      </c>
      <c r="AS1765" s="189">
        <f>((-0.22*35)+(-0.22*25))/60</f>
        <v>-0.22</v>
      </c>
      <c r="AT1765" s="189">
        <f t="shared" si="543"/>
        <v>5.8333333333333293E-3</v>
      </c>
      <c r="AU1765" s="187">
        <f t="shared" si="544"/>
        <v>559.99999999999966</v>
      </c>
      <c r="AV1765" s="190">
        <f t="shared" ref="AV1765:AV1766" si="546">IF(ISBLANK(AS1765),,(AT1765*Z1765))</f>
        <v>9.3333333333333268</v>
      </c>
      <c r="AW1765" s="191" t="s">
        <v>96</v>
      </c>
      <c r="AX1765" s="551"/>
      <c r="AY1765" s="551"/>
      <c r="AZ1765" s="551"/>
      <c r="BA1765" s="551"/>
      <c r="BB1765" s="551"/>
      <c r="BC1765" s="551"/>
      <c r="BD1765" s="549"/>
      <c r="BE1765" s="550"/>
      <c r="BF1765" s="549"/>
      <c r="BG1765" s="391">
        <f>SUM($AV$1389:AV1765)</f>
        <v>1648.3086926764543</v>
      </c>
      <c r="BH1765" s="392">
        <f>SUM($AU$1389:AU1765)</f>
        <v>31239.780000000181</v>
      </c>
      <c r="BI1765" s="318">
        <f>SUMIFS($AU$1388:AU1766,$Q$1388:Q1766,"F")</f>
        <v>22308.400000000001</v>
      </c>
      <c r="BJ1765" s="318">
        <f>SUMIFS($AU$1388:AU1766,$Q$1388:Q1766,"S")</f>
        <v>7951.9999999999909</v>
      </c>
      <c r="BK1765" s="343">
        <f>SUMIFS($AU$1388:AU1766,$P$1388:P1766,"W")</f>
        <v>24429.580000000136</v>
      </c>
      <c r="BL1765" s="343">
        <f>SUMIFS($AU$1388:AU1766,$P$1388:P1766,"R")</f>
        <v>6485.9999999999991</v>
      </c>
      <c r="BM1765" s="343">
        <f>SUMIFS($AU$1388:AU1766,$AQ$1388:AQ1766,"M")</f>
        <v>5668.1799999997302</v>
      </c>
      <c r="BN1765" s="343">
        <f>SUMIFS($AU$1388:AU1766,$AQ$1388:AQ1766,"H")</f>
        <v>6523.2000000004446</v>
      </c>
      <c r="BO1765" s="343">
        <f>SUMIFS($AU$1388:AU1766,$AQ$1388:AQ1766,"D")</f>
        <v>8370</v>
      </c>
      <c r="BP1765" s="343">
        <f>SUMIFS($AU$1388:AU1853,$AQ$1388:AQ1853,"W")</f>
        <v>12022.400000000001</v>
      </c>
      <c r="BQ1765" s="343">
        <f>SUMIFS($AU$1388:AU1766,$Q$1388:Q1766,"O")</f>
        <v>1915.3800000001943</v>
      </c>
      <c r="BR1765" s="343">
        <f>SUMIFS($AU$1388:AU1766,$AA$1388:AA1766,"*")</f>
        <v>24000.600000000068</v>
      </c>
      <c r="BS1765" s="343">
        <f>SUMIFS($AU$1388:AU1766,$AB$1388:AB1766,"*")</f>
        <v>6615.1799999999312</v>
      </c>
      <c r="BT1765" s="343">
        <f>SUMIFS($AU$1388:AU1766,$AC$1388:AC1766,"*")</f>
        <v>18868.400000000001</v>
      </c>
      <c r="BU1765" s="343">
        <f>SUMIFS($AU$1388:AU1766,$AA$1388:AA1766,"*",$AB$1388:AB1766,"*")</f>
        <v>4079.9999999998217</v>
      </c>
      <c r="BV1765" s="343">
        <f>SUMIFS($AU$1388:AU1766,$AA$1388:AA1766,"*",$AC$1388:AC1766,"*")</f>
        <v>13444.4</v>
      </c>
      <c r="BW1765" s="343">
        <f>SUMIFS($AU$1388:AU1766,$AB$1388:AB1766,"*",$AC$1388:AC1766,"*")</f>
        <v>3279.9999999999982</v>
      </c>
      <c r="BX1765" s="343">
        <f>SUMIFS($AV$1388:AV1766,$Q$1388:Q1766,"F")</f>
        <v>396.19230875404793</v>
      </c>
      <c r="BY1765" s="343">
        <f>SUMIFS($AV$1388:AV1766,$Q$1388:Q1766,"S")</f>
        <v>433.77638392253397</v>
      </c>
      <c r="BZ1765" s="343">
        <f>SUMIFS($AV$1388:AV1766,$Q$1388:Q1766,"O")</f>
        <v>606.3399999998669</v>
      </c>
    </row>
    <row r="1766" spans="1:78" ht="15.75" customHeight="1">
      <c r="A1766" s="177" t="s">
        <v>5851</v>
      </c>
      <c r="B1766" s="200">
        <v>45390</v>
      </c>
      <c r="C1766" s="178" t="s">
        <v>4948</v>
      </c>
      <c r="D1766" s="178" t="s">
        <v>132</v>
      </c>
      <c r="E1766" s="227"/>
      <c r="F1766" s="180"/>
      <c r="G1766" s="484" t="s">
        <v>136</v>
      </c>
      <c r="H1766" s="182"/>
      <c r="I1766" s="182"/>
      <c r="J1766" s="182"/>
      <c r="K1766" s="183"/>
      <c r="L1766" s="182">
        <v>1</v>
      </c>
      <c r="M1766" s="182"/>
      <c r="N1766" s="182"/>
      <c r="O1766" s="183" t="s">
        <v>95</v>
      </c>
      <c r="P1766" s="183" t="s">
        <v>96</v>
      </c>
      <c r="Q1766" s="183" t="s">
        <v>97</v>
      </c>
      <c r="R1766" s="183">
        <v>45</v>
      </c>
      <c r="S1766" s="559">
        <v>0</v>
      </c>
      <c r="T1766" s="183">
        <v>35</v>
      </c>
      <c r="U1766" s="183" t="s">
        <v>97</v>
      </c>
      <c r="V1766" s="183"/>
      <c r="W1766" s="183"/>
      <c r="X1766" s="183"/>
      <c r="Y1766" s="184">
        <f t="shared" si="542"/>
        <v>0.01</v>
      </c>
      <c r="Z1766" s="185">
        <f>IF(ISBLANK(O1766),"",IF(O1766="IB",8.63*200,IF(O1766="IR",16*100,IF(O1766="YT",20*100,IF(O1766="YT-XT",24*200,IF(O1766="TED",80*100,IF(O1766="XT",29*200)))))))</f>
        <v>1600</v>
      </c>
      <c r="AA1766" s="185" t="s">
        <v>5921</v>
      </c>
      <c r="AB1766" s="185"/>
      <c r="AC1766" s="185"/>
      <c r="AD1766" s="649">
        <v>-0.08</v>
      </c>
      <c r="AE1766" s="182"/>
      <c r="AF1766" s="332"/>
      <c r="AG1766" s="182"/>
      <c r="AH1766" s="182"/>
      <c r="AI1766" s="182"/>
      <c r="AJ1766" s="640"/>
      <c r="AK1766" s="182"/>
      <c r="AL1766" s="496">
        <f t="shared" si="541"/>
        <v>-32</v>
      </c>
      <c r="AM1766" s="496">
        <f t="shared" si="526"/>
        <v>-1440</v>
      </c>
      <c r="AN1766" s="626"/>
      <c r="AO1766" s="182"/>
      <c r="AP1766" s="182" t="s">
        <v>967</v>
      </c>
      <c r="AQ1766" s="332" t="s">
        <v>372</v>
      </c>
      <c r="AR1766" s="182" t="s">
        <v>5920</v>
      </c>
      <c r="AS1766" s="189">
        <v>-0.09</v>
      </c>
      <c r="AT1766" s="189">
        <f t="shared" si="543"/>
        <v>9.999999999999995E-3</v>
      </c>
      <c r="AU1766" s="187">
        <f t="shared" si="544"/>
        <v>719.99999999999966</v>
      </c>
      <c r="AV1766" s="190">
        <f t="shared" si="546"/>
        <v>15.999999999999993</v>
      </c>
      <c r="AW1766" s="191" t="s">
        <v>96</v>
      </c>
      <c r="AX1766" s="551"/>
      <c r="AY1766" s="551"/>
      <c r="AZ1766" s="551"/>
      <c r="BA1766" s="551"/>
      <c r="BB1766" s="551"/>
      <c r="BC1766" s="551"/>
      <c r="BD1766" s="549"/>
      <c r="BE1766" s="550"/>
      <c r="BF1766" s="549"/>
      <c r="BG1766" s="391">
        <f>SUM($AV$1389:AV1766)</f>
        <v>1664.3086926764543</v>
      </c>
      <c r="BH1766" s="392">
        <f>SUM($AU$1389:AU1766)</f>
        <v>31959.780000000181</v>
      </c>
      <c r="BI1766" s="318">
        <f>SUMIFS($AU$1388:AU1767,$Q$1388:Q1767,"F")</f>
        <v>22308.400000000001</v>
      </c>
      <c r="BJ1766" s="318">
        <f>SUMIFS($AU$1388:AU1767,$Q$1388:Q1767,"S")</f>
        <v>7951.9999999999909</v>
      </c>
      <c r="BK1766" s="343">
        <f>SUMIFS($AU$1388:AU1767,$P$1388:P1767,"W")</f>
        <v>24429.580000000136</v>
      </c>
      <c r="BL1766" s="343">
        <f>SUMIFS($AU$1388:AU1767,$P$1388:P1767,"R")</f>
        <v>6485.9999999999991</v>
      </c>
      <c r="BM1766" s="343">
        <f>SUMIFS($AU$1388:AU1767,$AQ$1388:AQ1767,"M")</f>
        <v>5668.1799999997302</v>
      </c>
      <c r="BN1766" s="343">
        <f>SUMIFS($AU$1388:AU1767,$AQ$1388:AQ1767,"H")</f>
        <v>6523.2000000004446</v>
      </c>
      <c r="BO1766" s="343">
        <f>SUMIFS($AU$1388:AU1767,$AQ$1388:AQ1767,"D")</f>
        <v>8370</v>
      </c>
      <c r="BP1766" s="343">
        <f>SUMIFS($AU$1388:AU1854,$AQ$1388:AQ1854,"W")</f>
        <v>12022.400000000001</v>
      </c>
      <c r="BQ1766" s="343">
        <f>SUMIFS($AU$1388:AU1767,$Q$1388:Q1767,"O")</f>
        <v>1915.3800000001943</v>
      </c>
      <c r="BR1766" s="343">
        <f>SUMIFS($AU$1388:AU1767,$AA$1388:AA1767,"*")</f>
        <v>24000.600000000068</v>
      </c>
      <c r="BS1766" s="343">
        <f>SUMIFS($AU$1388:AU1767,$AB$1388:AB1767,"*")</f>
        <v>6615.1799999999312</v>
      </c>
      <c r="BT1766" s="343">
        <f>SUMIFS($AU$1388:AU1767,$AC$1388:AC1767,"*")</f>
        <v>18868.400000000001</v>
      </c>
      <c r="BU1766" s="343">
        <f>SUMIFS($AU$1388:AU1767,$AA$1388:AA1767,"*",$AB$1388:AB1767,"*")</f>
        <v>4079.9999999998217</v>
      </c>
      <c r="BV1766" s="343">
        <f>SUMIFS($AU$1388:AU1767,$AA$1388:AA1767,"*",$AC$1388:AC1767,"*")</f>
        <v>13444.4</v>
      </c>
      <c r="BW1766" s="343">
        <f>SUMIFS($AU$1388:AU1767,$AB$1388:AB1767,"*",$AC$1388:AC1767,"*")</f>
        <v>3279.9999999999982</v>
      </c>
      <c r="BX1766" s="343">
        <f>SUMIFS($AV$1388:AV1767,$Q$1388:Q1767,"F")</f>
        <v>396.19230875404793</v>
      </c>
      <c r="BY1766" s="343">
        <f>SUMIFS($AV$1388:AV1767,$Q$1388:Q1767,"S")</f>
        <v>433.77638392253397</v>
      </c>
      <c r="BZ1766" s="343">
        <f>SUMIFS($AV$1388:AV1767,$Q$1388:Q1767,"O")</f>
        <v>606.3399999998669</v>
      </c>
    </row>
    <row r="1767" spans="1:78" ht="15.75" customHeight="1">
      <c r="A1767" s="177" t="s">
        <v>5851</v>
      </c>
      <c r="B1767" s="200">
        <v>45390</v>
      </c>
      <c r="C1767" s="178" t="s">
        <v>5922</v>
      </c>
      <c r="D1767" s="178" t="s">
        <v>132</v>
      </c>
      <c r="E1767" s="227"/>
      <c r="F1767" s="180"/>
      <c r="G1767" s="561" t="s">
        <v>5923</v>
      </c>
      <c r="H1767" s="182"/>
      <c r="I1767" s="182"/>
      <c r="J1767" s="182"/>
      <c r="K1767" s="183"/>
      <c r="L1767" s="182">
        <v>1</v>
      </c>
      <c r="M1767" s="182"/>
      <c r="N1767" s="182"/>
      <c r="O1767" s="183" t="s">
        <v>2652</v>
      </c>
      <c r="P1767" s="183" t="s">
        <v>137</v>
      </c>
      <c r="Q1767" s="183"/>
      <c r="R1767" s="183">
        <v>2</v>
      </c>
      <c r="S1767" s="183">
        <v>0</v>
      </c>
      <c r="T1767" s="183">
        <v>1</v>
      </c>
      <c r="U1767" s="183" t="s">
        <v>22</v>
      </c>
      <c r="V1767" s="183"/>
      <c r="W1767" s="183"/>
      <c r="X1767" s="183"/>
      <c r="Y1767" s="184">
        <f t="shared" si="542"/>
        <v>0.01</v>
      </c>
      <c r="Z1767" s="185">
        <f>IF(ISBLANK(O1767),"",IF(O1767="IB",8.63*200,IF(O1767="IR",16*100,IF(O1767="YT",20*100,IF(O1767="YT-XT",24*200,IF(O1767="TED",80*100))))))</f>
        <v>8000</v>
      </c>
      <c r="AA1767" s="185" t="s">
        <v>1824</v>
      </c>
      <c r="AB1767" s="185"/>
      <c r="AC1767" s="185"/>
      <c r="AD1767" s="649">
        <v>-0.04</v>
      </c>
      <c r="AE1767" s="182"/>
      <c r="AF1767" s="332"/>
      <c r="AG1767" s="182"/>
      <c r="AH1767" s="182"/>
      <c r="AI1767" s="182"/>
      <c r="AJ1767" s="640"/>
      <c r="AK1767" s="182"/>
      <c r="AL1767" s="496">
        <f t="shared" ref="AL1767:AL1770" si="547">-0.02*Z1767</f>
        <v>-160</v>
      </c>
      <c r="AM1767" s="496">
        <f t="shared" si="526"/>
        <v>-320</v>
      </c>
      <c r="AN1767" s="626"/>
      <c r="AO1767" s="182"/>
      <c r="AP1767" s="182"/>
      <c r="AQ1767" s="332" t="s">
        <v>115</v>
      </c>
      <c r="AR1767" s="182"/>
      <c r="AS1767" s="189">
        <v>-0.04</v>
      </c>
      <c r="AT1767" s="189">
        <f t="shared" si="543"/>
        <v>0</v>
      </c>
      <c r="AU1767" s="187">
        <f t="shared" si="544"/>
        <v>0</v>
      </c>
      <c r="AV1767" s="190">
        <f t="shared" ref="AV1767:AV1768" si="548">IF(ISBLANK(AS1767),,(AT1767*Z1767))</f>
        <v>0</v>
      </c>
      <c r="AW1767" s="191" t="s">
        <v>115</v>
      </c>
      <c r="AX1767" s="551"/>
      <c r="AY1767" s="551"/>
      <c r="AZ1767" s="551"/>
      <c r="BA1767" s="551"/>
      <c r="BB1767" s="551"/>
      <c r="BC1767" s="551"/>
      <c r="BD1767" s="549"/>
      <c r="BE1767" s="550"/>
      <c r="BF1767" s="549"/>
      <c r="BG1767" s="391">
        <f>SUM($AV$1389:AV1767)</f>
        <v>1664.3086926764543</v>
      </c>
      <c r="BH1767" s="392">
        <f>SUM($AU$1389:AU1767)</f>
        <v>31959.780000000181</v>
      </c>
      <c r="BI1767" s="318">
        <f>SUMIFS($AU$1388:AU1768,$Q$1388:Q1768,"F")</f>
        <v>22308.400000000001</v>
      </c>
      <c r="BJ1767" s="318">
        <f>SUMIFS($AU$1388:AU1768,$Q$1388:Q1768,"S")</f>
        <v>7951.9999999999909</v>
      </c>
      <c r="BK1767" s="343">
        <f>SUMIFS($AU$1388:AU1768,$P$1388:P1768,"W")</f>
        <v>24429.580000000136</v>
      </c>
      <c r="BL1767" s="343">
        <f>SUMIFS($AU$1388:AU1768,$P$1388:P1768,"R")</f>
        <v>6485.9999999999991</v>
      </c>
      <c r="BM1767" s="343">
        <f>SUMIFS($AU$1388:AU1768,$AQ$1388:AQ1768,"M")</f>
        <v>5668.1799999997302</v>
      </c>
      <c r="BN1767" s="343">
        <f>SUMIFS($AU$1388:AU1768,$AQ$1388:AQ1768,"H")</f>
        <v>6523.2000000004446</v>
      </c>
      <c r="BO1767" s="343">
        <f>SUMIFS($AU$1388:AU1768,$AQ$1388:AQ1768,"D")</f>
        <v>8370</v>
      </c>
      <c r="BP1767" s="343">
        <f>SUMIFS($AU$1388:AU1855,$AQ$1388:AQ1855,"W")</f>
        <v>12022.400000000001</v>
      </c>
      <c r="BQ1767" s="343">
        <f>SUMIFS($AU$1388:AU1768,$Q$1388:Q1768,"O")</f>
        <v>1915.3800000001943</v>
      </c>
      <c r="BR1767" s="343">
        <f>SUMIFS($AU$1388:AU1768,$AA$1388:AA1768,"*")</f>
        <v>24000.600000000068</v>
      </c>
      <c r="BS1767" s="343">
        <f>SUMIFS($AU$1388:AU1768,$AB$1388:AB1768,"*")</f>
        <v>6615.1799999999312</v>
      </c>
      <c r="BT1767" s="343">
        <f>SUMIFS($AU$1388:AU1768,$AC$1388:AC1768,"*")</f>
        <v>18868.400000000001</v>
      </c>
      <c r="BU1767" s="343">
        <f>SUMIFS($AU$1388:AU1768,$AA$1388:AA1768,"*",$AB$1388:AB1768,"*")</f>
        <v>4079.9999999998217</v>
      </c>
      <c r="BV1767" s="343">
        <f>SUMIFS($AU$1388:AU1768,$AA$1388:AA1768,"*",$AC$1388:AC1768,"*")</f>
        <v>13444.4</v>
      </c>
      <c r="BW1767" s="343">
        <f>SUMIFS($AU$1388:AU1768,$AB$1388:AB1768,"*",$AC$1388:AC1768,"*")</f>
        <v>3279.9999999999982</v>
      </c>
      <c r="BX1767" s="343">
        <f>SUMIFS($AV$1388:AV1768,$Q$1388:Q1768,"F")</f>
        <v>396.19230875404793</v>
      </c>
      <c r="BY1767" s="343">
        <f>SUMIFS($AV$1388:AV1768,$Q$1388:Q1768,"S")</f>
        <v>433.77638392253397</v>
      </c>
      <c r="BZ1767" s="343">
        <f>SUMIFS($AV$1388:AV1768,$Q$1388:Q1768,"O")</f>
        <v>606.3399999998669</v>
      </c>
    </row>
    <row r="1768" spans="1:78" ht="15.75" customHeight="1">
      <c r="A1768" s="177" t="s">
        <v>5851</v>
      </c>
      <c r="B1768" s="200">
        <v>45390</v>
      </c>
      <c r="C1768" s="178" t="s">
        <v>4160</v>
      </c>
      <c r="D1768" s="178" t="s">
        <v>132</v>
      </c>
      <c r="E1768" s="227"/>
      <c r="F1768" s="180"/>
      <c r="G1768" s="484" t="s">
        <v>3990</v>
      </c>
      <c r="H1768" s="182"/>
      <c r="I1768" s="182"/>
      <c r="J1768" s="182"/>
      <c r="K1768" s="183"/>
      <c r="L1768" s="182">
        <v>1</v>
      </c>
      <c r="M1768" s="182"/>
      <c r="N1768" s="182"/>
      <c r="O1768" s="183" t="s">
        <v>95</v>
      </c>
      <c r="P1768" s="183" t="s">
        <v>96</v>
      </c>
      <c r="Q1768" s="183" t="s">
        <v>97</v>
      </c>
      <c r="R1768" s="183">
        <v>10</v>
      </c>
      <c r="S1768" s="183">
        <v>0</v>
      </c>
      <c r="T1768" s="183">
        <v>10</v>
      </c>
      <c r="U1768" s="183" t="s">
        <v>97</v>
      </c>
      <c r="V1768" s="183"/>
      <c r="W1768" s="183"/>
      <c r="X1768" s="183"/>
      <c r="Y1768" s="184">
        <f t="shared" si="542"/>
        <v>0.01</v>
      </c>
      <c r="Z1768" s="185">
        <f>IF(ISBLANK(O1768),"",IF(O1768="IB",8.63*200,IF(O1768="IR",16*100,IF(O1768="YT",20*100,IF(O1768="YT-XT",24*200,IF(O1768="TED",80*100))))))</f>
        <v>1600</v>
      </c>
      <c r="AA1768" s="185" t="s">
        <v>1824</v>
      </c>
      <c r="AB1768" s="185"/>
      <c r="AC1768" s="185"/>
      <c r="AD1768" s="649">
        <v>-0.21</v>
      </c>
      <c r="AE1768" s="182"/>
      <c r="AF1768" s="332"/>
      <c r="AG1768" s="182"/>
      <c r="AH1768" s="182"/>
      <c r="AI1768" s="182"/>
      <c r="AJ1768" s="640"/>
      <c r="AK1768" s="182"/>
      <c r="AL1768" s="496">
        <f t="shared" si="547"/>
        <v>-32</v>
      </c>
      <c r="AM1768" s="496">
        <f t="shared" si="526"/>
        <v>-320</v>
      </c>
      <c r="AN1768" s="626"/>
      <c r="AO1768" s="182"/>
      <c r="AP1768" s="182" t="s">
        <v>1700</v>
      </c>
      <c r="AQ1768" s="332" t="s">
        <v>372</v>
      </c>
      <c r="AR1768" s="182" t="s">
        <v>3270</v>
      </c>
      <c r="AS1768" s="189">
        <v>-0.21</v>
      </c>
      <c r="AT1768" s="189">
        <f t="shared" si="543"/>
        <v>0</v>
      </c>
      <c r="AU1768" s="187">
        <f t="shared" si="544"/>
        <v>0</v>
      </c>
      <c r="AV1768" s="190">
        <f t="shared" si="548"/>
        <v>0</v>
      </c>
      <c r="AW1768" s="191" t="s">
        <v>115</v>
      </c>
      <c r="AX1768" s="551"/>
      <c r="AY1768" s="551"/>
      <c r="AZ1768" s="551"/>
      <c r="BA1768" s="551"/>
      <c r="BB1768" s="551"/>
      <c r="BC1768" s="551"/>
      <c r="BD1768" s="549"/>
      <c r="BE1768" s="550"/>
      <c r="BF1768" s="549"/>
      <c r="BG1768" s="391">
        <f>SUM($AV$1389:AV1768)</f>
        <v>1664.3086926764543</v>
      </c>
      <c r="BH1768" s="392">
        <f>SUM($AU$1389:AU1768)</f>
        <v>31959.780000000181</v>
      </c>
      <c r="BI1768" s="318">
        <f>SUMIFS($AU$1388:AU1769,$Q$1388:Q1769,"F")</f>
        <v>22308.400000000001</v>
      </c>
      <c r="BJ1768" s="318">
        <f>SUMIFS($AU$1388:AU1769,$Q$1388:Q1769,"S")</f>
        <v>7951.9999999999909</v>
      </c>
      <c r="BK1768" s="343">
        <f>SUMIFS($AU$1388:AU1769,$P$1388:P1769,"W")</f>
        <v>24429.580000000136</v>
      </c>
      <c r="BL1768" s="343">
        <f>SUMIFS($AU$1388:AU1769,$P$1388:P1769,"R")</f>
        <v>6485.9999999999991</v>
      </c>
      <c r="BM1768" s="343">
        <f>SUMIFS($AU$1388:AU1769,$AQ$1388:AQ1769,"M")</f>
        <v>5668.1799999997302</v>
      </c>
      <c r="BN1768" s="343">
        <f>SUMIFS($AU$1388:AU1769,$AQ$1388:AQ1769,"H")</f>
        <v>6523.2000000004446</v>
      </c>
      <c r="BO1768" s="343">
        <f>SUMIFS($AU$1388:AU1769,$AQ$1388:AQ1769,"D")</f>
        <v>8370</v>
      </c>
      <c r="BP1768" s="343">
        <f>SUMIFS($AU$1388:AU1856,$AQ$1388:AQ1856,"W")</f>
        <v>12022.400000000001</v>
      </c>
      <c r="BQ1768" s="343">
        <f>SUMIFS($AU$1388:AU1769,$Q$1388:Q1769,"O")</f>
        <v>1915.3800000001943</v>
      </c>
      <c r="BR1768" s="343">
        <f>SUMIFS($AU$1388:AU1769,$AA$1388:AA1769,"*")</f>
        <v>24000.600000000068</v>
      </c>
      <c r="BS1768" s="343">
        <f>SUMIFS($AU$1388:AU1769,$AB$1388:AB1769,"*")</f>
        <v>6615.1799999999312</v>
      </c>
      <c r="BT1768" s="343">
        <f>SUMIFS($AU$1388:AU1769,$AC$1388:AC1769,"*")</f>
        <v>18868.400000000001</v>
      </c>
      <c r="BU1768" s="343">
        <f>SUMIFS($AU$1388:AU1769,$AA$1388:AA1769,"*",$AB$1388:AB1769,"*")</f>
        <v>4079.9999999998217</v>
      </c>
      <c r="BV1768" s="343">
        <f>SUMIFS($AU$1388:AU1769,$AA$1388:AA1769,"*",$AC$1388:AC1769,"*")</f>
        <v>13444.4</v>
      </c>
      <c r="BW1768" s="343">
        <f>SUMIFS($AU$1388:AU1769,$AB$1388:AB1769,"*",$AC$1388:AC1769,"*")</f>
        <v>3279.9999999999982</v>
      </c>
      <c r="BX1768" s="343">
        <f>SUMIFS($AV$1388:AV1769,$Q$1388:Q1769,"F")</f>
        <v>396.19230875404793</v>
      </c>
      <c r="BY1768" s="343">
        <f>SUMIFS($AV$1388:AV1769,$Q$1388:Q1769,"S")</f>
        <v>433.77638392253397</v>
      </c>
      <c r="BZ1768" s="343">
        <f>SUMIFS($AV$1388:AV1769,$Q$1388:Q1769,"O")</f>
        <v>606.3399999998669</v>
      </c>
    </row>
    <row r="1769" spans="1:78" ht="15.75" customHeight="1">
      <c r="A1769" s="177" t="s">
        <v>5851</v>
      </c>
      <c r="B1769" s="200"/>
      <c r="C1769" s="178"/>
      <c r="D1769" s="178"/>
      <c r="E1769" s="227"/>
      <c r="F1769" s="180"/>
      <c r="G1769" s="181"/>
      <c r="H1769" s="182"/>
      <c r="I1769" s="182"/>
      <c r="J1769" s="182"/>
      <c r="K1769" s="183"/>
      <c r="L1769" s="182"/>
      <c r="M1769" s="182"/>
      <c r="N1769" s="182"/>
      <c r="O1769" s="183"/>
      <c r="P1769" s="183"/>
      <c r="Q1769" s="183"/>
      <c r="R1769" s="183"/>
      <c r="S1769" s="183"/>
      <c r="T1769" s="183"/>
      <c r="U1769" s="183"/>
      <c r="V1769" s="183"/>
      <c r="W1769" s="183"/>
      <c r="X1769" s="183"/>
      <c r="Y1769" s="183"/>
      <c r="Z1769" s="183"/>
      <c r="AA1769" s="185"/>
      <c r="AB1769" s="185"/>
      <c r="AC1769" s="185"/>
      <c r="AD1769" s="649"/>
      <c r="AE1769" s="182"/>
      <c r="AF1769" s="332"/>
      <c r="AG1769" s="182"/>
      <c r="AH1769" s="182"/>
      <c r="AI1769" s="182"/>
      <c r="AJ1769" s="640"/>
      <c r="AK1769" s="182"/>
      <c r="AL1769" s="496">
        <f t="shared" si="547"/>
        <v>0</v>
      </c>
      <c r="AM1769" s="496">
        <f t="shared" si="526"/>
        <v>0</v>
      </c>
      <c r="AN1769" s="626"/>
      <c r="AO1769" s="182"/>
      <c r="AP1769" s="182"/>
      <c r="AQ1769" s="332" t="str">
        <f>UPPER(RIGHT(Journal_Live[[#This Row],[DURATION ]]))</f>
        <v/>
      </c>
      <c r="AR1769" s="182"/>
      <c r="AS1769" s="189"/>
      <c r="AT1769" s="189"/>
      <c r="AU1769" s="187"/>
      <c r="AV1769" s="190"/>
      <c r="AW1769" s="191"/>
      <c r="AX1769" s="417" t="s">
        <v>5924</v>
      </c>
      <c r="AY1769" s="551" t="s">
        <v>5925</v>
      </c>
      <c r="AZ1769" s="551" t="s">
        <v>5926</v>
      </c>
      <c r="BA1769" s="551" t="s">
        <v>5927</v>
      </c>
      <c r="BB1769" s="551" t="s">
        <v>5928</v>
      </c>
      <c r="BC1769" s="551" t="s">
        <v>5929</v>
      </c>
      <c r="BD1769" s="551" t="s">
        <v>5930</v>
      </c>
      <c r="BE1769" s="562" t="s">
        <v>5931</v>
      </c>
      <c r="BF1769" s="551" t="s">
        <v>5932</v>
      </c>
      <c r="BG1769" s="391">
        <f>SUM($AV$1389:AV1769)</f>
        <v>1664.3086926764543</v>
      </c>
      <c r="BH1769" s="392">
        <f>SUM($AU$1389:AU1769)</f>
        <v>31959.780000000181</v>
      </c>
      <c r="BI1769" s="318">
        <f>SUMIFS($AU$1388:AU1770,$Q$1388:Q1770,"F")</f>
        <v>22308.400000000001</v>
      </c>
      <c r="BJ1769" s="318">
        <f>SUMIFS($AU$1388:AU1770,$Q$1388:Q1770,"S")</f>
        <v>7951.9999999999909</v>
      </c>
      <c r="BK1769" s="343">
        <f>SUMIFS($AU$1388:AU1770,$P$1388:P1770,"W")</f>
        <v>24429.580000000136</v>
      </c>
      <c r="BL1769" s="343">
        <f>SUMIFS($AU$1388:AU1770,$P$1388:P1770,"R")</f>
        <v>6485.9999999999991</v>
      </c>
      <c r="BM1769" s="343">
        <f>SUMIFS($AU$1388:AU1770,$AQ$1388:AQ1770,"M")</f>
        <v>5668.1799999997302</v>
      </c>
      <c r="BN1769" s="343">
        <f>SUMIFS($AU$1388:AU1770,$AQ$1388:AQ1770,"H")</f>
        <v>6523.2000000004446</v>
      </c>
      <c r="BO1769" s="343">
        <f>SUMIFS($AU$1388:AU1770,$AQ$1388:AQ1770,"D")</f>
        <v>8370</v>
      </c>
      <c r="BP1769" s="343">
        <f>SUMIFS($AU$1388:AU1857,$AQ$1388:AQ1857,"W")</f>
        <v>12022.400000000001</v>
      </c>
      <c r="BQ1769" s="343">
        <f>SUMIFS($AU$1388:AU1770,$Q$1388:Q1770,"O")</f>
        <v>1915.3800000001943</v>
      </c>
      <c r="BR1769" s="343">
        <f>SUMIFS($AU$1388:AU1770,$AA$1388:AA1770,"*")</f>
        <v>24000.600000000068</v>
      </c>
      <c r="BS1769" s="343">
        <f>SUMIFS($AU$1388:AU1770,$AB$1388:AB1770,"*")</f>
        <v>6615.1799999999312</v>
      </c>
      <c r="BT1769" s="343">
        <f>SUMIFS($AU$1388:AU1770,$AC$1388:AC1770,"*")</f>
        <v>18868.400000000001</v>
      </c>
      <c r="BU1769" s="343">
        <f>SUMIFS($AU$1388:AU1770,$AA$1388:AA1770,"*",$AB$1388:AB1770,"*")</f>
        <v>4079.9999999998217</v>
      </c>
      <c r="BV1769" s="343">
        <f>SUMIFS($AU$1388:AU1770,$AA$1388:AA1770,"*",$AC$1388:AC1770,"*")</f>
        <v>13444.4</v>
      </c>
      <c r="BW1769" s="343">
        <f>SUMIFS($AU$1388:AU1770,$AB$1388:AB1770,"*",$AC$1388:AC1770,"*")</f>
        <v>3279.9999999999982</v>
      </c>
      <c r="BX1769" s="343">
        <f>SUMIFS($AV$1388:AV1770,$Q$1388:Q1770,"F")</f>
        <v>396.19230875404793</v>
      </c>
      <c r="BY1769" s="343">
        <f>SUMIFS($AV$1388:AV1770,$Q$1388:Q1770,"S")</f>
        <v>433.77638392253397</v>
      </c>
      <c r="BZ1769" s="343">
        <f>SUMIFS($AV$1388:AV1770,$Q$1388:Q1770,"O")</f>
        <v>606.3399999998669</v>
      </c>
    </row>
    <row r="1770" spans="1:78" ht="15.75" customHeight="1">
      <c r="A1770" s="177" t="s">
        <v>5851</v>
      </c>
      <c r="B1770" s="200"/>
      <c r="C1770" s="178"/>
      <c r="D1770" s="178"/>
      <c r="E1770" s="227"/>
      <c r="F1770" s="180"/>
      <c r="G1770" s="181"/>
      <c r="H1770" s="182"/>
      <c r="I1770" s="182"/>
      <c r="J1770" s="182"/>
      <c r="K1770" s="183"/>
      <c r="L1770" s="182"/>
      <c r="M1770" s="182"/>
      <c r="N1770" s="182"/>
      <c r="O1770" s="183"/>
      <c r="P1770" s="183"/>
      <c r="Q1770" s="183"/>
      <c r="R1770" s="183"/>
      <c r="S1770" s="183"/>
      <c r="T1770" s="183"/>
      <c r="U1770" s="183"/>
      <c r="V1770" s="183"/>
      <c r="W1770" s="183"/>
      <c r="X1770" s="183"/>
      <c r="Y1770" s="183"/>
      <c r="Z1770" s="183"/>
      <c r="AA1770" s="185"/>
      <c r="AB1770" s="185"/>
      <c r="AC1770" s="185"/>
      <c r="AD1770" s="649"/>
      <c r="AE1770" s="182"/>
      <c r="AF1770" s="332"/>
      <c r="AG1770" s="182"/>
      <c r="AH1770" s="182"/>
      <c r="AI1770" s="182"/>
      <c r="AJ1770" s="640"/>
      <c r="AK1770" s="182"/>
      <c r="AL1770" s="496">
        <f t="shared" si="547"/>
        <v>0</v>
      </c>
      <c r="AM1770" s="496">
        <f t="shared" si="526"/>
        <v>0</v>
      </c>
      <c r="AN1770" s="626"/>
      <c r="AO1770" s="182"/>
      <c r="AP1770" s="182"/>
      <c r="AQ1770" s="332" t="str">
        <f>UPPER(RIGHT(Journal_Live[[#This Row],[DURATION ]]))</f>
        <v/>
      </c>
      <c r="AR1770" s="182"/>
      <c r="AS1770" s="189"/>
      <c r="AT1770" s="189"/>
      <c r="AU1770" s="187"/>
      <c r="AV1770" s="190"/>
      <c r="AW1770" s="191"/>
      <c r="AX1770" s="417" t="s">
        <v>5558</v>
      </c>
      <c r="AY1770" s="551" t="s">
        <v>5933</v>
      </c>
      <c r="AZ1770" s="551" t="s">
        <v>5934</v>
      </c>
      <c r="BA1770" s="551" t="s">
        <v>5935</v>
      </c>
      <c r="BB1770" s="551" t="s">
        <v>5936</v>
      </c>
      <c r="BC1770" s="551" t="s">
        <v>5704</v>
      </c>
      <c r="BD1770" s="549"/>
      <c r="BE1770" s="550"/>
      <c r="BF1770" s="549"/>
      <c r="BG1770" s="391">
        <f>SUM($AV$1389:AV1770)</f>
        <v>1664.3086926764543</v>
      </c>
      <c r="BH1770" s="392">
        <f>SUM($AU$1389:AU1770)</f>
        <v>31959.780000000181</v>
      </c>
      <c r="BI1770" s="318">
        <f>SUMIFS($AU$1388:AU1771,$Q$1388:Q1771,"F")</f>
        <v>22308.400000000001</v>
      </c>
      <c r="BJ1770" s="318">
        <f>SUMIFS($AU$1388:AU1771,$Q$1388:Q1771,"S")</f>
        <v>7951.9999999999909</v>
      </c>
      <c r="BK1770" s="343">
        <f>SUMIFS($AU$1388:AU1771,$P$1388:P1771,"W")</f>
        <v>24429.580000000136</v>
      </c>
      <c r="BL1770" s="343">
        <f>SUMIFS($AU$1388:AU1771,$P$1388:P1771,"R")</f>
        <v>6485.9999999999991</v>
      </c>
      <c r="BM1770" s="343">
        <f>SUMIFS($AU$1388:AU1771,$AQ$1388:AQ1771,"M")</f>
        <v>5546.3799999996427</v>
      </c>
      <c r="BN1770" s="343">
        <f>SUMIFS($AU$1388:AU1771,$AQ$1388:AQ1771,"H")</f>
        <v>6523.2000000004446</v>
      </c>
      <c r="BO1770" s="343">
        <f>SUMIFS($AU$1388:AU1771,$AQ$1388:AQ1771,"D")</f>
        <v>8370</v>
      </c>
      <c r="BP1770" s="343">
        <f>SUMIFS($AU$1388:AU1858,$AQ$1388:AQ1858,"W")</f>
        <v>12022.400000000001</v>
      </c>
      <c r="BQ1770" s="343">
        <f>SUMIFS($AU$1388:AU1771,$Q$1388:Q1771,"O")</f>
        <v>1793.5800000001072</v>
      </c>
      <c r="BR1770" s="343">
        <f>SUMIFS($AU$1388:AU1771,$AA$1388:AA1771,"*")</f>
        <v>23878.799999999981</v>
      </c>
      <c r="BS1770" s="343">
        <f>SUMIFS($AU$1388:AU1771,$AB$1388:AB1771,"*")</f>
        <v>6615.1799999999312</v>
      </c>
      <c r="BT1770" s="343">
        <f>SUMIFS($AU$1388:AU1771,$AC$1388:AC1771,"*")</f>
        <v>18868.400000000001</v>
      </c>
      <c r="BU1770" s="343">
        <f>SUMIFS($AU$1388:AU1771,$AA$1388:AA1771,"*",$AB$1388:AB1771,"*")</f>
        <v>4079.9999999998217</v>
      </c>
      <c r="BV1770" s="343">
        <f>SUMIFS($AU$1388:AU1771,$AA$1388:AA1771,"*",$AC$1388:AC1771,"*")</f>
        <v>13444.4</v>
      </c>
      <c r="BW1770" s="343">
        <f>SUMIFS($AU$1388:AU1771,$AB$1388:AB1771,"*",$AC$1388:AC1771,"*")</f>
        <v>3279.9999999999982</v>
      </c>
      <c r="BX1770" s="343">
        <f>SUMIFS($AV$1388:AV1771,$Q$1388:Q1771,"F")</f>
        <v>396.19230875404793</v>
      </c>
      <c r="BY1770" s="343">
        <f>SUMIFS($AV$1388:AV1771,$Q$1388:Q1771,"S")</f>
        <v>433.77638392253397</v>
      </c>
      <c r="BZ1770" s="343">
        <f>SUMIFS($AV$1388:AV1771,$Q$1388:Q1771,"O")</f>
        <v>586.0399999998524</v>
      </c>
    </row>
    <row r="1771" spans="1:78" ht="15.75" customHeight="1">
      <c r="A1771" s="177" t="s">
        <v>5851</v>
      </c>
      <c r="B1771" s="200">
        <v>45390</v>
      </c>
      <c r="C1771" s="178" t="s">
        <v>2729</v>
      </c>
      <c r="D1771" s="178" t="s">
        <v>132</v>
      </c>
      <c r="E1771" s="227"/>
      <c r="F1771" s="180"/>
      <c r="G1771" s="484" t="s">
        <v>5723</v>
      </c>
      <c r="H1771" s="182"/>
      <c r="I1771" s="182"/>
      <c r="J1771" s="182"/>
      <c r="K1771" s="183"/>
      <c r="L1771" s="182">
        <v>1</v>
      </c>
      <c r="M1771" s="182"/>
      <c r="N1771" s="182"/>
      <c r="O1771" s="183" t="s">
        <v>3618</v>
      </c>
      <c r="P1771" s="183" t="s">
        <v>2260</v>
      </c>
      <c r="Q1771" s="183" t="s">
        <v>684</v>
      </c>
      <c r="R1771" s="183">
        <v>6</v>
      </c>
      <c r="S1771" s="183">
        <v>0</v>
      </c>
      <c r="T1771" s="183">
        <v>1</v>
      </c>
      <c r="U1771" s="183" t="s">
        <v>97</v>
      </c>
      <c r="V1771" s="183"/>
      <c r="W1771" s="183"/>
      <c r="X1771" s="183"/>
      <c r="Y1771" s="184">
        <f>IF(ISBLANK(O1771),"",(IF(O1771=UPPER("IB"),0.005,0.01)))</f>
        <v>0.01</v>
      </c>
      <c r="Z1771" s="185">
        <f>IF(ISBLANK(O1771),"",IF(O1771="IB",8.63*200,IF(O1771="IR",16*100,IF(O1771="YT",20*100,IF(O1771="YT-XT",24*200,IF(O1771="TED",80*100,IF(O1771="XT",29*200)))))))</f>
        <v>5800</v>
      </c>
      <c r="AA1771" s="185" t="s">
        <v>5937</v>
      </c>
      <c r="AB1771" s="185"/>
      <c r="AC1771" s="185"/>
      <c r="AD1771" s="649">
        <v>95.796999999999997</v>
      </c>
      <c r="AE1771" s="182"/>
      <c r="AF1771" s="332"/>
      <c r="AG1771" s="182"/>
      <c r="AH1771" s="182"/>
      <c r="AI1771" s="182"/>
      <c r="AJ1771" s="640"/>
      <c r="AK1771" s="182"/>
      <c r="AL1771" s="496">
        <f t="shared" si="541"/>
        <v>-116</v>
      </c>
      <c r="AM1771" s="496">
        <f t="shared" ref="AM1771:AM1794" si="549">AL1771*(R1771-S1771)</f>
        <v>-696</v>
      </c>
      <c r="AN1771" s="626"/>
      <c r="AO1771" s="182"/>
      <c r="AP1771" s="182"/>
      <c r="AQ1771" s="332" t="s">
        <v>1259</v>
      </c>
      <c r="AR1771" s="182"/>
      <c r="AS1771" s="189">
        <v>95.8005</v>
      </c>
      <c r="AT1771" s="189">
        <f>IF(ISBLANK(AS1771),,IF(U1771="S",AD1771-AS1771,AS1771-AD1771))</f>
        <v>-3.5000000000025011E-3</v>
      </c>
      <c r="AU1771" s="187">
        <f>AV1771*R1771</f>
        <v>-121.80000000008704</v>
      </c>
      <c r="AV1771" s="190">
        <f t="shared" ref="AV1771" si="550">IF(ISBLANK(AS1771),,(AT1771*Z1771))</f>
        <v>-20.300000000014506</v>
      </c>
      <c r="AW1771" s="191" t="s">
        <v>229</v>
      </c>
      <c r="AX1771" s="551" t="s">
        <v>5938</v>
      </c>
      <c r="AY1771" s="551" t="s">
        <v>5939</v>
      </c>
      <c r="AZ1771" s="551" t="s">
        <v>5940</v>
      </c>
      <c r="BA1771" s="551" t="s">
        <v>5941</v>
      </c>
      <c r="BB1771" s="551" t="s">
        <v>5942</v>
      </c>
      <c r="BC1771" s="551" t="s">
        <v>5943</v>
      </c>
      <c r="BD1771" s="549" t="s">
        <v>5944</v>
      </c>
      <c r="BE1771" s="550" t="s">
        <v>5945</v>
      </c>
      <c r="BF1771" s="549"/>
      <c r="BG1771" s="391">
        <f>SUM($AV$1389:AV1771)</f>
        <v>1644.0086926764398</v>
      </c>
      <c r="BH1771" s="392">
        <f>SUM($AU$1389:AU1771)</f>
        <v>31837.980000000094</v>
      </c>
      <c r="BI1771" s="318">
        <f>SUMIFS($AU$1388:AU1772,$Q$1388:Q1772,"F")</f>
        <v>22308.400000000001</v>
      </c>
      <c r="BJ1771" s="318">
        <f>SUMIFS($AU$1388:AU1772,$Q$1388:Q1772,"S")</f>
        <v>7951.9999999999909</v>
      </c>
      <c r="BK1771" s="343">
        <f>SUMIFS($AU$1388:AU1772,$P$1388:P1772,"W")</f>
        <v>24429.580000000136</v>
      </c>
      <c r="BL1771" s="343">
        <f>SUMIFS($AU$1388:AU1772,$P$1388:P1772,"R")</f>
        <v>6485.9999999999991</v>
      </c>
      <c r="BM1771" s="343">
        <f>SUMIFS($AU$1388:AU1772,$AQ$1388:AQ1772,"M")</f>
        <v>5546.3799999996427</v>
      </c>
      <c r="BN1771" s="343">
        <f>SUMIFS($AU$1388:AU1772,$AQ$1388:AQ1772,"H")</f>
        <v>6523.2000000004446</v>
      </c>
      <c r="BO1771" s="343">
        <f>SUMIFS($AU$1388:AU1772,$AQ$1388:AQ1772,"D")</f>
        <v>8370</v>
      </c>
      <c r="BP1771" s="343">
        <f>SUMIFS($AU$1388:AU1859,$AQ$1388:AQ1859,"W")</f>
        <v>12022.400000000001</v>
      </c>
      <c r="BQ1771" s="343">
        <f>SUMIFS($AU$1388:AU1772,$Q$1388:Q1772,"O")</f>
        <v>1793.5800000001072</v>
      </c>
      <c r="BR1771" s="343">
        <f>SUMIFS($AU$1388:AU1772,$AA$1388:AA1772,"*")</f>
        <v>23878.799999999981</v>
      </c>
      <c r="BS1771" s="343">
        <f>SUMIFS($AU$1388:AU1772,$AB$1388:AB1772,"*")</f>
        <v>6615.1799999999312</v>
      </c>
      <c r="BT1771" s="343">
        <f>SUMIFS($AU$1388:AU1772,$AC$1388:AC1772,"*")</f>
        <v>18868.400000000001</v>
      </c>
      <c r="BU1771" s="343">
        <f>SUMIFS($AU$1388:AU1772,$AA$1388:AA1772,"*",$AB$1388:AB1772,"*")</f>
        <v>4079.9999999998217</v>
      </c>
      <c r="BV1771" s="343">
        <f>SUMIFS($AU$1388:AU1772,$AA$1388:AA1772,"*",$AC$1388:AC1772,"*")</f>
        <v>13444.4</v>
      </c>
      <c r="BW1771" s="343">
        <f>SUMIFS($AU$1388:AU1772,$AB$1388:AB1772,"*",$AC$1388:AC1772,"*")</f>
        <v>3279.9999999999982</v>
      </c>
      <c r="BX1771" s="343">
        <f>SUMIFS($AV$1388:AV1772,$Q$1388:Q1772,"F")</f>
        <v>396.19230875404793</v>
      </c>
      <c r="BY1771" s="343">
        <f>SUMIFS($AV$1388:AV1772,$Q$1388:Q1772,"S")</f>
        <v>433.77638392253397</v>
      </c>
      <c r="BZ1771" s="343">
        <f>SUMIFS($AV$1388:AV1772,$Q$1388:Q1772,"O")</f>
        <v>586.0399999998524</v>
      </c>
    </row>
    <row r="1772" spans="1:78" ht="15.75" customHeight="1">
      <c r="A1772" s="177" t="s">
        <v>5851</v>
      </c>
      <c r="B1772" s="200">
        <v>45391</v>
      </c>
      <c r="C1772" s="178" t="s">
        <v>2478</v>
      </c>
      <c r="D1772" s="178" t="s">
        <v>146</v>
      </c>
      <c r="E1772" s="227"/>
      <c r="F1772" s="180"/>
      <c r="G1772" s="561" t="s">
        <v>5946</v>
      </c>
      <c r="H1772" s="182"/>
      <c r="I1772" s="182"/>
      <c r="J1772" s="182"/>
      <c r="K1772" s="183"/>
      <c r="L1772" s="182"/>
      <c r="M1772" s="182">
        <v>1</v>
      </c>
      <c r="N1772" s="182"/>
      <c r="O1772" s="183" t="s">
        <v>5325</v>
      </c>
      <c r="P1772" s="183" t="s">
        <v>137</v>
      </c>
      <c r="Q1772" s="183"/>
      <c r="R1772" s="183">
        <v>1</v>
      </c>
      <c r="S1772" s="183">
        <v>0</v>
      </c>
      <c r="T1772" s="183">
        <v>1</v>
      </c>
      <c r="U1772" s="183" t="s">
        <v>22</v>
      </c>
      <c r="V1772" s="183"/>
      <c r="W1772" s="183"/>
      <c r="X1772" s="183"/>
      <c r="Y1772" s="184">
        <f>IF(ISBLANK(O1772),"",(IF(O1772=UPPER("IB"),0.005,0.01)))</f>
        <v>0.01</v>
      </c>
      <c r="Z1772" s="185">
        <f>IF(ISBLANK(O1772),"",IF(O1772="IB",8.63*200,IF(O1772="IR",16*100,IF(O1772="YT",20*100,IF(O1772="YT-XT",24*200,IF(O1772="TED",80*100,IF(O1772="IR|YT",300*100)))))))</f>
        <v>30000</v>
      </c>
      <c r="AA1772" s="185" t="s">
        <v>5906</v>
      </c>
      <c r="AB1772" s="185"/>
      <c r="AC1772" s="185"/>
      <c r="AD1772" s="649">
        <v>-0.1</v>
      </c>
      <c r="AE1772" s="182"/>
      <c r="AF1772" s="332"/>
      <c r="AG1772" s="182"/>
      <c r="AH1772" s="182"/>
      <c r="AI1772" s="182"/>
      <c r="AJ1772" s="640"/>
      <c r="AK1772" s="182"/>
      <c r="AL1772" s="496">
        <f t="shared" si="541"/>
        <v>-600</v>
      </c>
      <c r="AM1772" s="496">
        <f t="shared" si="549"/>
        <v>-600</v>
      </c>
      <c r="AN1772" s="626"/>
      <c r="AO1772" s="182"/>
      <c r="AP1772" s="182" t="s">
        <v>960</v>
      </c>
      <c r="AQ1772" s="332" t="s">
        <v>372</v>
      </c>
      <c r="AR1772" s="182" t="s">
        <v>1810</v>
      </c>
      <c r="AS1772" s="189">
        <v>-0.1</v>
      </c>
      <c r="AT1772" s="189">
        <f>IF(ISBLANK(AS1772),,IF(U1772="S",AD1772-AS1772,AS1772-AD1772))</f>
        <v>0</v>
      </c>
      <c r="AU1772" s="187">
        <f>AV1772*R1772</f>
        <v>0</v>
      </c>
      <c r="AV1772" s="190">
        <f t="shared" ref="AV1772:AV1774" si="551">IF(ISBLANK(AS1772),,(AT1772*Z1772))</f>
        <v>0</v>
      </c>
      <c r="AW1772" s="191" t="s">
        <v>115</v>
      </c>
      <c r="AX1772" s="551" t="s">
        <v>5947</v>
      </c>
      <c r="AY1772" s="551"/>
      <c r="AZ1772" s="551"/>
      <c r="BA1772" s="551"/>
      <c r="BB1772" s="551"/>
      <c r="BC1772" s="551"/>
      <c r="BD1772" s="549"/>
      <c r="BE1772" s="550"/>
      <c r="BF1772" s="549"/>
      <c r="BG1772" s="391">
        <f>SUM($AV$1389:AV1772)</f>
        <v>1644.0086926764398</v>
      </c>
      <c r="BH1772" s="392">
        <f>SUM($AU$1389:AU1772)</f>
        <v>31837.980000000094</v>
      </c>
      <c r="BI1772" s="318">
        <f>SUMIFS($AU$1388:AU1773,$Q$1388:Q1773,"F")</f>
        <v>22308.400000000001</v>
      </c>
      <c r="BJ1772" s="318">
        <f>SUMIFS($AU$1388:AU1773,$Q$1388:Q1773,"S")</f>
        <v>7951.9999999999909</v>
      </c>
      <c r="BK1772" s="343">
        <f>SUMIFS($AU$1388:AU1773,$P$1388:P1773,"W")</f>
        <v>24429.580000000136</v>
      </c>
      <c r="BL1772" s="343">
        <f>SUMIFS($AU$1388:AU1773,$P$1388:P1773,"R")</f>
        <v>6485.9999999999991</v>
      </c>
      <c r="BM1772" s="343">
        <f>SUMIFS($AU$1388:AU1773,$AQ$1388:AQ1773,"M")</f>
        <v>5546.3799999996427</v>
      </c>
      <c r="BN1772" s="343">
        <f>SUMIFS($AU$1388:AU1773,$AQ$1388:AQ1773,"H")</f>
        <v>6523.2000000004446</v>
      </c>
      <c r="BO1772" s="343">
        <f>SUMIFS($AU$1388:AU1773,$AQ$1388:AQ1773,"D")</f>
        <v>8370</v>
      </c>
      <c r="BP1772" s="343">
        <f>SUMIFS($AU$1388:AU1860,$AQ$1388:AQ1860,"W")</f>
        <v>12022.400000000001</v>
      </c>
      <c r="BQ1772" s="343">
        <f>SUMIFS($AU$1388:AU1773,$Q$1388:Q1773,"O")</f>
        <v>1793.5800000001072</v>
      </c>
      <c r="BR1772" s="343">
        <f>SUMIFS($AU$1388:AU1773,$AA$1388:AA1773,"*")</f>
        <v>23878.799999999981</v>
      </c>
      <c r="BS1772" s="343">
        <f>SUMIFS($AU$1388:AU1773,$AB$1388:AB1773,"*")</f>
        <v>6615.1799999999312</v>
      </c>
      <c r="BT1772" s="343">
        <f>SUMIFS($AU$1388:AU1773,$AC$1388:AC1773,"*")</f>
        <v>18868.400000000001</v>
      </c>
      <c r="BU1772" s="343">
        <f>SUMIFS($AU$1388:AU1773,$AA$1388:AA1773,"*",$AB$1388:AB1773,"*")</f>
        <v>4079.9999999998217</v>
      </c>
      <c r="BV1772" s="343">
        <f>SUMIFS($AU$1388:AU1773,$AA$1388:AA1773,"*",$AC$1388:AC1773,"*")</f>
        <v>13444.4</v>
      </c>
      <c r="BW1772" s="343">
        <f>SUMIFS($AU$1388:AU1773,$AB$1388:AB1773,"*",$AC$1388:AC1773,"*")</f>
        <v>3279.9999999999982</v>
      </c>
      <c r="BX1772" s="343">
        <f>SUMIFS($AV$1388:AV1773,$Q$1388:Q1773,"F")</f>
        <v>396.19230875404793</v>
      </c>
      <c r="BY1772" s="343">
        <f>SUMIFS($AV$1388:AV1773,$Q$1388:Q1773,"S")</f>
        <v>433.77638392253397</v>
      </c>
      <c r="BZ1772" s="343">
        <f>SUMIFS($AV$1388:AV1773,$Q$1388:Q1773,"O")</f>
        <v>586.0399999998524</v>
      </c>
    </row>
    <row r="1773" spans="1:78" ht="15.75" customHeight="1">
      <c r="A1773" s="177" t="s">
        <v>5851</v>
      </c>
      <c r="B1773" s="200">
        <v>45391</v>
      </c>
      <c r="C1773" s="178" t="s">
        <v>5948</v>
      </c>
      <c r="D1773" s="178" t="s">
        <v>146</v>
      </c>
      <c r="E1773" s="227"/>
      <c r="F1773" s="180"/>
      <c r="G1773" s="181" t="s">
        <v>5949</v>
      </c>
      <c r="H1773" s="182"/>
      <c r="I1773" s="182"/>
      <c r="J1773" s="182"/>
      <c r="K1773" s="183"/>
      <c r="L1773" s="182"/>
      <c r="M1773" s="182"/>
      <c r="N1773" s="182"/>
      <c r="O1773" s="183"/>
      <c r="P1773" s="183"/>
      <c r="Q1773" s="183"/>
      <c r="R1773" s="183"/>
      <c r="S1773" s="183"/>
      <c r="T1773" s="183"/>
      <c r="U1773" s="183"/>
      <c r="V1773" s="183"/>
      <c r="W1773" s="183"/>
      <c r="X1773" s="183"/>
      <c r="Y1773" s="184"/>
      <c r="Z1773" s="185"/>
      <c r="AA1773" s="185"/>
      <c r="AB1773" s="185"/>
      <c r="AC1773" s="185"/>
      <c r="AD1773" s="649"/>
      <c r="AE1773" s="182"/>
      <c r="AF1773" s="332"/>
      <c r="AG1773" s="182"/>
      <c r="AH1773" s="182"/>
      <c r="AI1773" s="182"/>
      <c r="AJ1773" s="640"/>
      <c r="AK1773" s="182"/>
      <c r="AL1773" s="496">
        <f t="shared" si="541"/>
        <v>0</v>
      </c>
      <c r="AM1773" s="496">
        <f t="shared" si="549"/>
        <v>0</v>
      </c>
      <c r="AN1773" s="626"/>
      <c r="AO1773" s="182"/>
      <c r="AP1773" s="182"/>
      <c r="AQ1773" s="332" t="str">
        <f>UPPER(RIGHT(Journal_Live[[#This Row],[DURATION ]]))</f>
        <v/>
      </c>
      <c r="AR1773" s="182"/>
      <c r="AS1773" s="189"/>
      <c r="AT1773" s="189"/>
      <c r="AU1773" s="187"/>
      <c r="AV1773" s="190"/>
      <c r="AW1773" s="191"/>
      <c r="AX1773" s="549" t="s">
        <v>5950</v>
      </c>
      <c r="AY1773" s="551" t="s">
        <v>5951</v>
      </c>
      <c r="AZ1773" s="551" t="s">
        <v>5952</v>
      </c>
      <c r="BA1773" s="551"/>
      <c r="BB1773" s="551"/>
      <c r="BC1773" s="551"/>
      <c r="BD1773" s="549"/>
      <c r="BE1773" s="550"/>
      <c r="BF1773" s="549"/>
      <c r="BG1773" s="391">
        <f>SUM($AV$1389:AV1773)</f>
        <v>1644.0086926764398</v>
      </c>
      <c r="BH1773" s="392">
        <f>SUM($AU$1389:AU1773)</f>
        <v>31837.980000000094</v>
      </c>
      <c r="BI1773" s="318">
        <f>SUMIFS($AU$1388:AU1774,$Q$1388:Q1774,"F")</f>
        <v>22308.400000000001</v>
      </c>
      <c r="BJ1773" s="318">
        <f>SUMIFS($AU$1388:AU1774,$Q$1388:Q1774,"S")</f>
        <v>7951.9999999999909</v>
      </c>
      <c r="BK1773" s="343">
        <f>SUMIFS($AU$1388:AU1774,$P$1388:P1774,"W")</f>
        <v>24429.580000000136</v>
      </c>
      <c r="BL1773" s="343">
        <f>SUMIFS($AU$1388:AU1774,$P$1388:P1774,"R")</f>
        <v>6485.9999999999991</v>
      </c>
      <c r="BM1773" s="343">
        <f>SUMIFS($AU$1388:AU1774,$AQ$1388:AQ1774,"M")</f>
        <v>5546.3799999996427</v>
      </c>
      <c r="BN1773" s="343">
        <f>SUMIFS($AU$1388:AU1774,$AQ$1388:AQ1774,"H")</f>
        <v>6523.2000000004446</v>
      </c>
      <c r="BO1773" s="343">
        <f>SUMIFS($AU$1388:AU1774,$AQ$1388:AQ1774,"D")</f>
        <v>8370</v>
      </c>
      <c r="BP1773" s="343">
        <f>SUMIFS($AU$1388:AU1861,$AQ$1388:AQ1861,"W")</f>
        <v>12022.400000000001</v>
      </c>
      <c r="BQ1773" s="343">
        <f>SUMIFS($AU$1388:AU1774,$Q$1388:Q1774,"O")</f>
        <v>1793.5800000001072</v>
      </c>
      <c r="BR1773" s="343">
        <f>SUMIFS($AU$1388:AU1774,$AA$1388:AA1774,"*")</f>
        <v>23878.799999999981</v>
      </c>
      <c r="BS1773" s="343">
        <f>SUMIFS($AU$1388:AU1774,$AB$1388:AB1774,"*")</f>
        <v>6615.1799999999312</v>
      </c>
      <c r="BT1773" s="343">
        <f>SUMIFS($AU$1388:AU1774,$AC$1388:AC1774,"*")</f>
        <v>18868.400000000001</v>
      </c>
      <c r="BU1773" s="343">
        <f>SUMIFS($AU$1388:AU1774,$AA$1388:AA1774,"*",$AB$1388:AB1774,"*")</f>
        <v>4079.9999999998217</v>
      </c>
      <c r="BV1773" s="343">
        <f>SUMIFS($AU$1388:AU1774,$AA$1388:AA1774,"*",$AC$1388:AC1774,"*")</f>
        <v>13444.4</v>
      </c>
      <c r="BW1773" s="343">
        <f>SUMIFS($AU$1388:AU1774,$AB$1388:AB1774,"*",$AC$1388:AC1774,"*")</f>
        <v>3279.9999999999982</v>
      </c>
      <c r="BX1773" s="343">
        <f>SUMIFS($AV$1388:AV1774,$Q$1388:Q1774,"F")</f>
        <v>396.19230875404793</v>
      </c>
      <c r="BY1773" s="343">
        <f>SUMIFS($AV$1388:AV1774,$Q$1388:Q1774,"S")</f>
        <v>433.77638392253397</v>
      </c>
      <c r="BZ1773" s="343">
        <f>SUMIFS($AV$1388:AV1774,$Q$1388:Q1774,"O")</f>
        <v>586.0399999998524</v>
      </c>
    </row>
    <row r="1774" spans="1:78" ht="15.75" customHeight="1">
      <c r="A1774" s="177" t="s">
        <v>5851</v>
      </c>
      <c r="B1774" s="200">
        <v>45391</v>
      </c>
      <c r="C1774" s="178" t="s">
        <v>383</v>
      </c>
      <c r="D1774" s="178" t="s">
        <v>146</v>
      </c>
      <c r="E1774" s="227"/>
      <c r="F1774" s="180"/>
      <c r="G1774" s="561" t="s">
        <v>5953</v>
      </c>
      <c r="H1774" s="182"/>
      <c r="I1774" s="182"/>
      <c r="J1774" s="182"/>
      <c r="K1774" s="183"/>
      <c r="L1774" s="182"/>
      <c r="M1774" s="182">
        <v>1</v>
      </c>
      <c r="N1774" s="182"/>
      <c r="O1774" s="183" t="s">
        <v>2652</v>
      </c>
      <c r="P1774" s="183" t="s">
        <v>137</v>
      </c>
      <c r="Q1774" s="183"/>
      <c r="R1774" s="183">
        <v>1</v>
      </c>
      <c r="S1774" s="183">
        <v>0</v>
      </c>
      <c r="T1774" s="183">
        <v>1</v>
      </c>
      <c r="U1774" s="183" t="s">
        <v>22</v>
      </c>
      <c r="V1774" s="183"/>
      <c r="W1774" s="183"/>
      <c r="X1774" s="183"/>
      <c r="Y1774" s="184">
        <f>IF(ISBLANK(O1774),"",(IF(O1774=UPPER("IB"),0.005,0.01)))</f>
        <v>0.01</v>
      </c>
      <c r="Z1774" s="185">
        <f>IF(ISBLANK(O1774),"",IF(O1774="IB",8.63*200,IF(O1774="IR",16*100,IF(O1774="YT",20*100,IF(O1774="YT-XT",24*200,IF(O1774="TED",80*100))))))</f>
        <v>8000</v>
      </c>
      <c r="AA1774" s="185" t="s">
        <v>5906</v>
      </c>
      <c r="AB1774" s="185"/>
      <c r="AC1774" s="185"/>
      <c r="AD1774" s="649">
        <v>-0.1</v>
      </c>
      <c r="AE1774" s="182"/>
      <c r="AF1774" s="332"/>
      <c r="AG1774" s="182"/>
      <c r="AH1774" s="182"/>
      <c r="AI1774" s="182"/>
      <c r="AJ1774" s="640"/>
      <c r="AK1774" s="182"/>
      <c r="AL1774" s="496">
        <f t="shared" ref="AL1774:AL1817" si="552">-0.02*Z1774</f>
        <v>-160</v>
      </c>
      <c r="AM1774" s="496">
        <f t="shared" si="549"/>
        <v>-160</v>
      </c>
      <c r="AN1774" s="626"/>
      <c r="AO1774" s="182"/>
      <c r="AP1774" s="182" t="s">
        <v>5211</v>
      </c>
      <c r="AQ1774" s="332" t="s">
        <v>372</v>
      </c>
      <c r="AR1774" s="182" t="s">
        <v>1559</v>
      </c>
      <c r="AS1774" s="189">
        <v>-0.1</v>
      </c>
      <c r="AT1774" s="189">
        <f t="shared" ref="AT1774:AT1780" si="553">IF(ISBLANK(AS1774),,IF(U1774="S",AD1774-AS1774,AS1774-AD1774))</f>
        <v>0</v>
      </c>
      <c r="AU1774" s="187">
        <f t="shared" ref="AU1774:AU1780" si="554">AV1774*R1774</f>
        <v>0</v>
      </c>
      <c r="AV1774" s="190">
        <f t="shared" si="551"/>
        <v>0</v>
      </c>
      <c r="AW1774" s="191" t="s">
        <v>115</v>
      </c>
      <c r="AX1774" s="551"/>
      <c r="AY1774" s="551"/>
      <c r="AZ1774" s="551"/>
      <c r="BA1774" s="551"/>
      <c r="BB1774" s="551"/>
      <c r="BC1774" s="551"/>
      <c r="BD1774" s="549"/>
      <c r="BE1774" s="550"/>
      <c r="BF1774" s="549"/>
      <c r="BG1774" s="391">
        <f>SUM($AV$1389:AV1774)</f>
        <v>1644.0086926764398</v>
      </c>
      <c r="BH1774" s="392">
        <f>SUM($AU$1389:AU1774)</f>
        <v>31837.980000000094</v>
      </c>
      <c r="BI1774" s="318">
        <f>SUMIFS($AU$1388:AU1775,$Q$1388:Q1775,"F")</f>
        <v>22308.400000000001</v>
      </c>
      <c r="BJ1774" s="318">
        <f>SUMIFS($AU$1388:AU1775,$Q$1388:Q1775,"S")</f>
        <v>8271.9999999999909</v>
      </c>
      <c r="BK1774" s="343">
        <f>SUMIFS($AU$1388:AU1775,$P$1388:P1775,"W")</f>
        <v>24749.580000000136</v>
      </c>
      <c r="BL1774" s="343">
        <f>SUMIFS($AU$1388:AU1775,$P$1388:P1775,"R")</f>
        <v>6485.9999999999991</v>
      </c>
      <c r="BM1774" s="343">
        <f>SUMIFS($AU$1388:AU1775,$AQ$1388:AQ1775,"M")</f>
        <v>5866.3799999996427</v>
      </c>
      <c r="BN1774" s="343">
        <f>SUMIFS($AU$1388:AU1775,$AQ$1388:AQ1775,"H")</f>
        <v>6523.2000000004446</v>
      </c>
      <c r="BO1774" s="343">
        <f>SUMIFS($AU$1388:AU1775,$AQ$1388:AQ1775,"D")</f>
        <v>8370</v>
      </c>
      <c r="BP1774" s="343">
        <f>SUMIFS($AU$1388:AU1862,$AQ$1388:AQ1862,"W")</f>
        <v>12022.400000000001</v>
      </c>
      <c r="BQ1774" s="343">
        <f>SUMIFS($AU$1388:AU1775,$Q$1388:Q1775,"O")</f>
        <v>1793.5800000001072</v>
      </c>
      <c r="BR1774" s="343">
        <f>SUMIFS($AU$1388:AU1775,$AA$1388:AA1775,"*")</f>
        <v>24198.799999999981</v>
      </c>
      <c r="BS1774" s="343">
        <f>SUMIFS($AU$1388:AU1775,$AB$1388:AB1775,"*")</f>
        <v>6615.1799999999312</v>
      </c>
      <c r="BT1774" s="343">
        <f>SUMIFS($AU$1388:AU1775,$AC$1388:AC1775,"*")</f>
        <v>18868.400000000001</v>
      </c>
      <c r="BU1774" s="343">
        <f>SUMIFS($AU$1388:AU1775,$AA$1388:AA1775,"*",$AB$1388:AB1775,"*")</f>
        <v>4079.9999999998217</v>
      </c>
      <c r="BV1774" s="343">
        <f>SUMIFS($AU$1388:AU1775,$AA$1388:AA1775,"*",$AC$1388:AC1775,"*")</f>
        <v>13444.4</v>
      </c>
      <c r="BW1774" s="343">
        <f>SUMIFS($AU$1388:AU1775,$AB$1388:AB1775,"*",$AC$1388:AC1775,"*")</f>
        <v>3279.9999999999982</v>
      </c>
      <c r="BX1774" s="343">
        <f>SUMIFS($AV$1388:AV1775,$Q$1388:Q1775,"F")</f>
        <v>396.19230875404793</v>
      </c>
      <c r="BY1774" s="343">
        <f>SUMIFS($AV$1388:AV1775,$Q$1388:Q1775,"S")</f>
        <v>449.77638392253397</v>
      </c>
      <c r="BZ1774" s="343">
        <f>SUMIFS($AV$1388:AV1775,$Q$1388:Q1775,"O")</f>
        <v>586.0399999998524</v>
      </c>
    </row>
    <row r="1775" spans="1:78" ht="15.75" customHeight="1">
      <c r="A1775" s="177" t="s">
        <v>5851</v>
      </c>
      <c r="B1775" s="200">
        <v>45391</v>
      </c>
      <c r="C1775" s="178" t="s">
        <v>728</v>
      </c>
      <c r="D1775" s="178" t="s">
        <v>146</v>
      </c>
      <c r="E1775" s="227"/>
      <c r="F1775" s="180"/>
      <c r="G1775" s="484" t="s">
        <v>2070</v>
      </c>
      <c r="H1775" s="182"/>
      <c r="I1775" s="182"/>
      <c r="J1775" s="182"/>
      <c r="K1775" s="183"/>
      <c r="L1775" s="182">
        <v>1</v>
      </c>
      <c r="M1775" s="182"/>
      <c r="N1775" s="182"/>
      <c r="O1775" s="183" t="s">
        <v>95</v>
      </c>
      <c r="P1775" s="183" t="s">
        <v>96</v>
      </c>
      <c r="Q1775" s="183" t="s">
        <v>97</v>
      </c>
      <c r="R1775" s="183">
        <v>20</v>
      </c>
      <c r="S1775" s="559">
        <v>0</v>
      </c>
      <c r="T1775" s="183">
        <v>20</v>
      </c>
      <c r="U1775" s="183" t="s">
        <v>97</v>
      </c>
      <c r="V1775" s="183"/>
      <c r="W1775" s="183"/>
      <c r="X1775" s="183"/>
      <c r="Y1775" s="184">
        <f>IF(ISBLANK(O1775),"",(IF(O1775=UPPER("IB"),0.005,0.01)))</f>
        <v>0.01</v>
      </c>
      <c r="Z1775" s="185">
        <f>IF(ISBLANK(O1775),"",IF(O1775="IB",8.63*200,IF(O1775="IR",16*100,IF(O1775="YT",20*100,IF(O1775="YT-XT",24*200,IF(O1775="TED",80*100,IF(O1775="XT",29*200)))))))</f>
        <v>1600</v>
      </c>
      <c r="AA1775" s="185" t="s">
        <v>1824</v>
      </c>
      <c r="AB1775" s="185"/>
      <c r="AC1775" s="185"/>
      <c r="AD1775" s="649">
        <v>-0.1</v>
      </c>
      <c r="AE1775" s="182"/>
      <c r="AF1775" s="332"/>
      <c r="AG1775" s="182"/>
      <c r="AH1775" s="182"/>
      <c r="AI1775" s="182"/>
      <c r="AJ1775" s="640"/>
      <c r="AK1775" s="182"/>
      <c r="AL1775" s="496">
        <f t="shared" si="552"/>
        <v>-32</v>
      </c>
      <c r="AM1775" s="496">
        <f t="shared" si="549"/>
        <v>-640</v>
      </c>
      <c r="AN1775" s="626"/>
      <c r="AO1775" s="182"/>
      <c r="AP1775" s="182"/>
      <c r="AQ1775" s="332" t="s">
        <v>1259</v>
      </c>
      <c r="AR1775" s="182"/>
      <c r="AS1775" s="189">
        <v>-0.11</v>
      </c>
      <c r="AT1775" s="189">
        <f t="shared" si="553"/>
        <v>9.999999999999995E-3</v>
      </c>
      <c r="AU1775" s="187">
        <f t="shared" si="554"/>
        <v>319.99999999999989</v>
      </c>
      <c r="AV1775" s="190">
        <f t="shared" ref="AV1775:AV1776" si="555">IF(ISBLANK(AS1775),,(AT1775*Z1775))</f>
        <v>15.999999999999993</v>
      </c>
      <c r="AW1775" s="191" t="s">
        <v>96</v>
      </c>
      <c r="AX1775" s="551" t="s">
        <v>5954</v>
      </c>
      <c r="AY1775" s="551"/>
      <c r="AZ1775" s="551"/>
      <c r="BA1775" s="551"/>
      <c r="BB1775" s="551"/>
      <c r="BC1775" s="551"/>
      <c r="BD1775" s="549"/>
      <c r="BE1775" s="550"/>
      <c r="BF1775" s="549"/>
      <c r="BG1775" s="391">
        <f>SUM($AV$1389:AV1775)</f>
        <v>1660.0086926764398</v>
      </c>
      <c r="BH1775" s="392">
        <f>SUM($AU$1389:AU1775)</f>
        <v>32157.980000000094</v>
      </c>
      <c r="BI1775" s="318">
        <f>SUMIFS($AU$1388:AU1776,$Q$1388:Q1776,"F")</f>
        <v>22308.400000000001</v>
      </c>
      <c r="BJ1775" s="318">
        <f>SUMIFS($AU$1388:AU1776,$Q$1388:Q1776,"S")</f>
        <v>7951.9999999999909</v>
      </c>
      <c r="BK1775" s="343">
        <f>SUMIFS($AU$1388:AU1776,$P$1388:P1776,"W")</f>
        <v>24429.580000000136</v>
      </c>
      <c r="BL1775" s="343">
        <f>SUMIFS($AU$1388:AU1776,$P$1388:P1776,"R")</f>
        <v>6485.9999999999991</v>
      </c>
      <c r="BM1775" s="343">
        <f>SUMIFS($AU$1388:AU1776,$AQ$1388:AQ1776,"M")</f>
        <v>5866.3799999996427</v>
      </c>
      <c r="BN1775" s="343">
        <f>SUMIFS($AU$1388:AU1776,$AQ$1388:AQ1776,"H")</f>
        <v>6203.2000000004446</v>
      </c>
      <c r="BO1775" s="343">
        <f>SUMIFS($AU$1388:AU1776,$AQ$1388:AQ1776,"D")</f>
        <v>8370</v>
      </c>
      <c r="BP1775" s="343">
        <f>SUMIFS($AU$1388:AU1863,$AQ$1388:AQ1863,"W")</f>
        <v>12022.400000000001</v>
      </c>
      <c r="BQ1775" s="343">
        <f>SUMIFS($AU$1388:AU1776,$Q$1388:Q1776,"O")</f>
        <v>1793.5800000001072</v>
      </c>
      <c r="BR1775" s="343">
        <f>SUMIFS($AU$1388:AU1776,$AA$1388:AA1776,"*")</f>
        <v>24198.799999999981</v>
      </c>
      <c r="BS1775" s="343">
        <f>SUMIFS($AU$1388:AU1776,$AB$1388:AB1776,"*")</f>
        <v>6615.1799999999312</v>
      </c>
      <c r="BT1775" s="343">
        <f>SUMIFS($AU$1388:AU1776,$AC$1388:AC1776,"*")</f>
        <v>18548.400000000001</v>
      </c>
      <c r="BU1775" s="343">
        <f>SUMIFS($AU$1388:AU1776,$AA$1388:AA1776,"*",$AB$1388:AB1776,"*")</f>
        <v>4079.9999999998217</v>
      </c>
      <c r="BV1775" s="343">
        <f>SUMIFS($AU$1388:AU1776,$AA$1388:AA1776,"*",$AC$1388:AC1776,"*")</f>
        <v>13444.4</v>
      </c>
      <c r="BW1775" s="343">
        <f>SUMIFS($AU$1388:AU1776,$AB$1388:AB1776,"*",$AC$1388:AC1776,"*")</f>
        <v>3279.9999999999982</v>
      </c>
      <c r="BX1775" s="343">
        <f>SUMIFS($AV$1388:AV1776,$Q$1388:Q1776,"F")</f>
        <v>396.19230875404793</v>
      </c>
      <c r="BY1775" s="343">
        <f>SUMIFS($AV$1388:AV1776,$Q$1388:Q1776,"S")</f>
        <v>433.77638392253397</v>
      </c>
      <c r="BZ1775" s="343">
        <f>SUMIFS($AV$1388:AV1776,$Q$1388:Q1776,"O")</f>
        <v>586.0399999998524</v>
      </c>
    </row>
    <row r="1776" spans="1:78" ht="15.75" customHeight="1">
      <c r="A1776" s="177" t="s">
        <v>5851</v>
      </c>
      <c r="B1776" s="200">
        <v>45391</v>
      </c>
      <c r="C1776" s="178" t="s">
        <v>3528</v>
      </c>
      <c r="D1776" s="178" t="s">
        <v>146</v>
      </c>
      <c r="E1776" s="227"/>
      <c r="F1776" s="180"/>
      <c r="G1776" s="484" t="s">
        <v>136</v>
      </c>
      <c r="H1776" s="182"/>
      <c r="I1776" s="182"/>
      <c r="J1776" s="182"/>
      <c r="K1776" s="183"/>
      <c r="L1776" s="182">
        <v>1</v>
      </c>
      <c r="M1776" s="182"/>
      <c r="N1776" s="182"/>
      <c r="O1776" s="183" t="s">
        <v>95</v>
      </c>
      <c r="P1776" s="183" t="s">
        <v>96</v>
      </c>
      <c r="Q1776" s="183" t="s">
        <v>97</v>
      </c>
      <c r="R1776" s="183">
        <v>20</v>
      </c>
      <c r="S1776" s="559">
        <v>0</v>
      </c>
      <c r="T1776" s="183">
        <v>20</v>
      </c>
      <c r="U1776" s="183" t="s">
        <v>22</v>
      </c>
      <c r="V1776" s="183"/>
      <c r="W1776" s="183"/>
      <c r="X1776" s="183"/>
      <c r="Y1776" s="184">
        <f>IF(ISBLANK(O1776),"",(IF(O1776=UPPER("IB"),0.005,0.01)))</f>
        <v>0.01</v>
      </c>
      <c r="Z1776" s="185">
        <f>IF(ISBLANK(O1776),"",IF(O1776="IB",8.63*200,IF(O1776="IR",16*100,IF(O1776="YT",20*100,IF(O1776="YT-XT",24*200,IF(O1776="TED",80*100,IF(O1776="XT",29*200)))))))</f>
        <v>1600</v>
      </c>
      <c r="AA1776" s="185"/>
      <c r="AB1776" s="185"/>
      <c r="AC1776" s="185" t="s">
        <v>5955</v>
      </c>
      <c r="AD1776" s="649">
        <v>-0.09</v>
      </c>
      <c r="AE1776" s="182"/>
      <c r="AF1776" s="332"/>
      <c r="AG1776" s="182"/>
      <c r="AH1776" s="182"/>
      <c r="AI1776" s="182"/>
      <c r="AJ1776" s="640"/>
      <c r="AK1776" s="182"/>
      <c r="AL1776" s="496">
        <f t="shared" ref="AL1776:AL1808" si="556">-0.02*Z1776</f>
        <v>-32</v>
      </c>
      <c r="AM1776" s="496">
        <f t="shared" si="549"/>
        <v>-640</v>
      </c>
      <c r="AN1776" s="626"/>
      <c r="AO1776" s="182"/>
      <c r="AP1776" s="182" t="s">
        <v>1700</v>
      </c>
      <c r="AQ1776" s="332" t="s">
        <v>372</v>
      </c>
      <c r="AR1776" s="182" t="s">
        <v>5956</v>
      </c>
      <c r="AS1776" s="189">
        <v>-0.1</v>
      </c>
      <c r="AT1776" s="189">
        <f t="shared" si="553"/>
        <v>-1.0000000000000009E-2</v>
      </c>
      <c r="AU1776" s="187">
        <f t="shared" si="554"/>
        <v>-320.00000000000028</v>
      </c>
      <c r="AV1776" s="190">
        <f t="shared" si="555"/>
        <v>-16.000000000000014</v>
      </c>
      <c r="AW1776" s="191" t="s">
        <v>229</v>
      </c>
      <c r="AX1776" s="551" t="s">
        <v>5957</v>
      </c>
      <c r="AY1776" s="551" t="s">
        <v>5958</v>
      </c>
      <c r="AZ1776" s="551" t="s">
        <v>5959</v>
      </c>
      <c r="BA1776" s="551" t="s">
        <v>5960</v>
      </c>
      <c r="BB1776" s="551" t="s">
        <v>5961</v>
      </c>
      <c r="BC1776" s="551"/>
      <c r="BD1776" s="549"/>
      <c r="BE1776" s="550"/>
      <c r="BF1776" s="549"/>
      <c r="BG1776" s="391">
        <f>SUM($AV$1389:AV1776)</f>
        <v>1644.0086926764398</v>
      </c>
      <c r="BH1776" s="392">
        <f>SUM($AU$1389:AU1776)</f>
        <v>31837.980000000094</v>
      </c>
      <c r="BI1776" s="318">
        <f>SUMIFS($AU$1388:AU1777,$Q$1388:Q1777,"F")</f>
        <v>22308.400000000001</v>
      </c>
      <c r="BJ1776" s="318">
        <f>SUMIFS($AU$1388:AU1777,$Q$1388:Q1777,"S")</f>
        <v>7951.9999999999909</v>
      </c>
      <c r="BK1776" s="343">
        <f>SUMIFS($AU$1388:AU1777,$P$1388:P1777,"W")</f>
        <v>24429.580000000136</v>
      </c>
      <c r="BL1776" s="343">
        <f>SUMIFS($AU$1388:AU1777,$P$1388:P1777,"R")</f>
        <v>6485.9999999999991</v>
      </c>
      <c r="BM1776" s="343">
        <f>SUMIFS($AU$1388:AU1777,$AQ$1388:AQ1777,"M")</f>
        <v>5866.3799999996427</v>
      </c>
      <c r="BN1776" s="343">
        <f>SUMIFS($AU$1388:AU1777,$AQ$1388:AQ1777,"H")</f>
        <v>6203.2000000004446</v>
      </c>
      <c r="BO1776" s="343">
        <f>SUMIFS($AU$1388:AU1777,$AQ$1388:AQ1777,"D")</f>
        <v>8370</v>
      </c>
      <c r="BP1776" s="343">
        <f>SUMIFS($AU$1388:AU1864,$AQ$1388:AQ1864,"W")</f>
        <v>12022.400000000001</v>
      </c>
      <c r="BQ1776" s="343">
        <f>SUMIFS($AU$1388:AU1777,$Q$1388:Q1777,"O")</f>
        <v>1793.5800000001072</v>
      </c>
      <c r="BR1776" s="343">
        <f>SUMIFS($AU$1388:AU1777,$AA$1388:AA1777,"*")</f>
        <v>24198.799999999981</v>
      </c>
      <c r="BS1776" s="343">
        <f>SUMIFS($AU$1388:AU1777,$AB$1388:AB1777,"*")</f>
        <v>6615.1799999999312</v>
      </c>
      <c r="BT1776" s="343">
        <f>SUMIFS($AU$1388:AU1777,$AC$1388:AC1777,"*")</f>
        <v>18548.400000000001</v>
      </c>
      <c r="BU1776" s="343">
        <f>SUMIFS($AU$1388:AU1777,$AA$1388:AA1777,"*",$AB$1388:AB1777,"*")</f>
        <v>4079.9999999998217</v>
      </c>
      <c r="BV1776" s="343">
        <f>SUMIFS($AU$1388:AU1777,$AA$1388:AA1777,"*",$AC$1388:AC1777,"*")</f>
        <v>13444.4</v>
      </c>
      <c r="BW1776" s="343">
        <f>SUMIFS($AU$1388:AU1777,$AB$1388:AB1777,"*",$AC$1388:AC1777,"*")</f>
        <v>3279.9999999999982</v>
      </c>
      <c r="BX1776" s="343">
        <f>SUMIFS($AV$1388:AV1777,$Q$1388:Q1777,"F")</f>
        <v>396.19230875404793</v>
      </c>
      <c r="BY1776" s="343">
        <f>SUMIFS($AV$1388:AV1777,$Q$1388:Q1777,"S")</f>
        <v>433.77638392253397</v>
      </c>
      <c r="BZ1776" s="343">
        <f>SUMIFS($AV$1388:AV1777,$Q$1388:Q1777,"O")</f>
        <v>586.0399999998524</v>
      </c>
    </row>
    <row r="1777" spans="1:78" ht="15.75" customHeight="1">
      <c r="A1777" s="177" t="s">
        <v>5851</v>
      </c>
      <c r="B1777" s="200"/>
      <c r="C1777" s="178"/>
      <c r="D1777" s="178"/>
      <c r="E1777" s="227"/>
      <c r="F1777" s="180"/>
      <c r="G1777" s="181"/>
      <c r="H1777" s="182"/>
      <c r="I1777" s="182"/>
      <c r="J1777" s="182"/>
      <c r="K1777" s="183"/>
      <c r="L1777" s="182"/>
      <c r="M1777" s="182"/>
      <c r="N1777" s="182"/>
      <c r="O1777" s="183"/>
      <c r="P1777" s="183"/>
      <c r="Q1777" s="183"/>
      <c r="R1777" s="183"/>
      <c r="S1777" s="183"/>
      <c r="T1777" s="183"/>
      <c r="U1777" s="183"/>
      <c r="V1777" s="183"/>
      <c r="W1777" s="183"/>
      <c r="X1777" s="183"/>
      <c r="Y1777" s="183"/>
      <c r="Z1777" s="183"/>
      <c r="AA1777" s="185"/>
      <c r="AB1777" s="185"/>
      <c r="AC1777" s="185"/>
      <c r="AD1777" s="649"/>
      <c r="AE1777" s="182"/>
      <c r="AF1777" s="332"/>
      <c r="AG1777" s="182"/>
      <c r="AH1777" s="182"/>
      <c r="AI1777" s="182"/>
      <c r="AJ1777" s="640"/>
      <c r="AK1777" s="182"/>
      <c r="AL1777" s="496">
        <f t="shared" si="556"/>
        <v>0</v>
      </c>
      <c r="AM1777" s="496">
        <f t="shared" si="549"/>
        <v>0</v>
      </c>
      <c r="AN1777" s="626"/>
      <c r="AO1777" s="182"/>
      <c r="AP1777" s="182"/>
      <c r="AQ1777" s="332" t="str">
        <f>UPPER(RIGHT(Journal_Live[[#This Row],[DURATION ]]))</f>
        <v/>
      </c>
      <c r="AR1777" s="182"/>
      <c r="AS1777" s="189"/>
      <c r="AT1777" s="189">
        <f t="shared" si="553"/>
        <v>0</v>
      </c>
      <c r="AU1777" s="187">
        <f t="shared" si="554"/>
        <v>0</v>
      </c>
      <c r="AV1777" s="190">
        <f t="shared" ref="AV1777:AV1780" si="557">IF(ISBLANK(AS1777),,(AT1777*Z1777))</f>
        <v>0</v>
      </c>
      <c r="AW1777" s="191"/>
      <c r="AX1777" s="417" t="s">
        <v>5558</v>
      </c>
      <c r="AY1777" s="551" t="s">
        <v>5962</v>
      </c>
      <c r="AZ1777" s="551" t="s">
        <v>5963</v>
      </c>
      <c r="BA1777" s="551"/>
      <c r="BB1777" s="551"/>
      <c r="BC1777" s="551"/>
      <c r="BD1777" s="549"/>
      <c r="BE1777" s="550"/>
      <c r="BF1777" s="549"/>
      <c r="BG1777" s="391">
        <f>SUM($AV$1389:AV1777)</f>
        <v>1644.0086926764398</v>
      </c>
      <c r="BH1777" s="392">
        <f>SUM($AU$1389:AU1777)</f>
        <v>31837.980000000094</v>
      </c>
      <c r="BI1777" s="318">
        <f>SUMIFS($AU$1388:AU1778,$Q$1388:Q1778,"F")</f>
        <v>22308.400000000001</v>
      </c>
      <c r="BJ1777" s="318">
        <f>SUMIFS($AU$1388:AU1778,$Q$1388:Q1778,"S")</f>
        <v>7951.9999999999909</v>
      </c>
      <c r="BK1777" s="343">
        <f>SUMIFS($AU$1388:AU1778,$P$1388:P1778,"W")</f>
        <v>24429.580000000136</v>
      </c>
      <c r="BL1777" s="343">
        <f>SUMIFS($AU$1388:AU1778,$P$1388:P1778,"R")</f>
        <v>6325.9999999999991</v>
      </c>
      <c r="BM1777" s="343">
        <f>SUMIFS($AU$1388:AU1778,$AQ$1388:AQ1778,"M")</f>
        <v>5866.3799999996427</v>
      </c>
      <c r="BN1777" s="343">
        <f>SUMIFS($AU$1388:AU1778,$AQ$1388:AQ1778,"H")</f>
        <v>6203.2000000004446</v>
      </c>
      <c r="BO1777" s="343">
        <f>SUMIFS($AU$1388:AU1778,$AQ$1388:AQ1778,"D")</f>
        <v>8210</v>
      </c>
      <c r="BP1777" s="343">
        <f>SUMIFS($AU$1388:AU1865,$AQ$1388:AQ1865,"W")</f>
        <v>12022.400000000001</v>
      </c>
      <c r="BQ1777" s="343">
        <f>SUMIFS($AU$1388:AU1778,$Q$1388:Q1778,"O")</f>
        <v>1793.5800000001072</v>
      </c>
      <c r="BR1777" s="343">
        <f>SUMIFS($AU$1388:AU1778,$AA$1388:AA1778,"*")</f>
        <v>24038.799999999981</v>
      </c>
      <c r="BS1777" s="343">
        <f>SUMIFS($AU$1388:AU1778,$AB$1388:AB1778,"*")</f>
        <v>6615.1799999999312</v>
      </c>
      <c r="BT1777" s="343">
        <f>SUMIFS($AU$1388:AU1778,$AC$1388:AC1778,"*")</f>
        <v>18548.400000000001</v>
      </c>
      <c r="BU1777" s="343">
        <f>SUMIFS($AU$1388:AU1778,$AA$1388:AA1778,"*",$AB$1388:AB1778,"*")</f>
        <v>4079.9999999998217</v>
      </c>
      <c r="BV1777" s="343">
        <f>SUMIFS($AU$1388:AU1778,$AA$1388:AA1778,"*",$AC$1388:AC1778,"*")</f>
        <v>13444.4</v>
      </c>
      <c r="BW1777" s="343">
        <f>SUMIFS($AU$1388:AU1778,$AB$1388:AB1778,"*",$AC$1388:AC1778,"*")</f>
        <v>3279.9999999999982</v>
      </c>
      <c r="BX1777" s="343">
        <f>SUMIFS($AV$1388:AV1778,$Q$1388:Q1778,"F")</f>
        <v>396.19230875404793</v>
      </c>
      <c r="BY1777" s="343">
        <f>SUMIFS($AV$1388:AV1778,$Q$1388:Q1778,"S")</f>
        <v>433.77638392253397</v>
      </c>
      <c r="BZ1777" s="343">
        <f>SUMIFS($AV$1388:AV1778,$Q$1388:Q1778,"O")</f>
        <v>586.0399999998524</v>
      </c>
    </row>
    <row r="1778" spans="1:78" ht="15.75" customHeight="1">
      <c r="A1778" s="177" t="s">
        <v>5851</v>
      </c>
      <c r="B1778" s="200">
        <v>45392</v>
      </c>
      <c r="C1778" s="178" t="s">
        <v>5964</v>
      </c>
      <c r="D1778" s="178" t="s">
        <v>151</v>
      </c>
      <c r="E1778" s="227"/>
      <c r="F1778" s="180"/>
      <c r="G1778" s="561" t="s">
        <v>5965</v>
      </c>
      <c r="H1778" s="182"/>
      <c r="I1778" s="182"/>
      <c r="J1778" s="182"/>
      <c r="K1778" s="183"/>
      <c r="L1778" s="182">
        <v>1</v>
      </c>
      <c r="M1778" s="182"/>
      <c r="N1778" s="182"/>
      <c r="O1778" s="183" t="s">
        <v>2652</v>
      </c>
      <c r="P1778" s="183" t="s">
        <v>137</v>
      </c>
      <c r="Q1778" s="183"/>
      <c r="R1778" s="183">
        <v>2</v>
      </c>
      <c r="S1778" s="183">
        <v>0</v>
      </c>
      <c r="T1778" s="183">
        <v>1</v>
      </c>
      <c r="U1778" s="183" t="s">
        <v>22</v>
      </c>
      <c r="V1778" s="183"/>
      <c r="W1778" s="183"/>
      <c r="X1778" s="183"/>
      <c r="Y1778" s="184">
        <f>IF(ISBLANK(O1778),"",(IF(O1778=UPPER("IB"),0.005,0.01)))</f>
        <v>0.01</v>
      </c>
      <c r="Z1778" s="185">
        <f>IF(ISBLANK(O1778),"",IF(O1778="IB",8.63*200,IF(O1778="IR",16*100,IF(O1778="YT",20*100,IF(O1778="YT-XT",24*200,IF(O1778="TED",80*100))))))</f>
        <v>8000</v>
      </c>
      <c r="AA1778" s="185" t="s">
        <v>1824</v>
      </c>
      <c r="AB1778" s="185"/>
      <c r="AC1778" s="185"/>
      <c r="AD1778" s="649">
        <v>-0.1</v>
      </c>
      <c r="AE1778" s="182"/>
      <c r="AF1778" s="332"/>
      <c r="AG1778" s="182"/>
      <c r="AH1778" s="182"/>
      <c r="AI1778" s="182"/>
      <c r="AJ1778" s="640"/>
      <c r="AK1778" s="182"/>
      <c r="AL1778" s="496">
        <f t="shared" si="556"/>
        <v>-160</v>
      </c>
      <c r="AM1778" s="496">
        <f t="shared" si="549"/>
        <v>-320</v>
      </c>
      <c r="AN1778" s="626"/>
      <c r="AO1778" s="182"/>
      <c r="AP1778" s="182" t="s">
        <v>804</v>
      </c>
      <c r="AQ1778" s="332" t="s">
        <v>115</v>
      </c>
      <c r="AR1778" s="182" t="s">
        <v>5966</v>
      </c>
      <c r="AS1778" s="189">
        <v>-0.11</v>
      </c>
      <c r="AT1778" s="189">
        <f t="shared" si="553"/>
        <v>-9.999999999999995E-3</v>
      </c>
      <c r="AU1778" s="187">
        <f t="shared" si="554"/>
        <v>-159.99999999999991</v>
      </c>
      <c r="AV1778" s="190">
        <f t="shared" si="557"/>
        <v>-79.999999999999957</v>
      </c>
      <c r="AW1778" s="191" t="s">
        <v>229</v>
      </c>
      <c r="AX1778" s="551"/>
      <c r="AY1778" s="551"/>
      <c r="AZ1778" s="551"/>
      <c r="BA1778" s="551"/>
      <c r="BB1778" s="551"/>
      <c r="BC1778" s="551"/>
      <c r="BD1778" s="549"/>
      <c r="BE1778" s="550"/>
      <c r="BF1778" s="549"/>
      <c r="BG1778" s="391">
        <f>SUM($AV$1389:AV1778)</f>
        <v>1564.0086926764398</v>
      </c>
      <c r="BH1778" s="392">
        <f>SUM($AU$1389:AU1778)</f>
        <v>31677.980000000094</v>
      </c>
      <c r="BI1778" s="318">
        <f>SUMIFS($AU$1388:AU1779,$Q$1388:Q1779,"F")</f>
        <v>22308.400000000001</v>
      </c>
      <c r="BJ1778" s="318">
        <f>SUMIFS($AU$1388:AU1779,$Q$1388:Q1779,"S")</f>
        <v>7951.9999999999909</v>
      </c>
      <c r="BK1778" s="343">
        <f>SUMIFS($AU$1388:AU1779,$P$1388:P1779,"W")</f>
        <v>24429.580000000136</v>
      </c>
      <c r="BL1778" s="343">
        <f>SUMIFS($AU$1388:AU1779,$P$1388:P1779,"R")</f>
        <v>6325.9999999999991</v>
      </c>
      <c r="BM1778" s="343">
        <f>SUMIFS($AU$1388:AU1779,$AQ$1388:AQ1779,"M")</f>
        <v>5866.3799999996427</v>
      </c>
      <c r="BN1778" s="343">
        <f>SUMIFS($AU$1388:AU1779,$AQ$1388:AQ1779,"H")</f>
        <v>6203.2000000004446</v>
      </c>
      <c r="BO1778" s="343">
        <f>SUMIFS($AU$1388:AU1779,$AQ$1388:AQ1779,"D")</f>
        <v>8210</v>
      </c>
      <c r="BP1778" s="343">
        <f>SUMIFS($AU$1388:AU1866,$AQ$1388:AQ1866,"W")</f>
        <v>12022.400000000001</v>
      </c>
      <c r="BQ1778" s="343">
        <f>SUMIFS($AU$1388:AU1779,$Q$1388:Q1779,"O")</f>
        <v>1793.5800000001072</v>
      </c>
      <c r="BR1778" s="343">
        <f>SUMIFS($AU$1388:AU1779,$AA$1388:AA1779,"*")</f>
        <v>24038.799999999981</v>
      </c>
      <c r="BS1778" s="343">
        <f>SUMIFS($AU$1388:AU1779,$AB$1388:AB1779,"*")</f>
        <v>6615.1799999999312</v>
      </c>
      <c r="BT1778" s="343">
        <f>SUMIFS($AU$1388:AU1779,$AC$1388:AC1779,"*")</f>
        <v>18548.400000000001</v>
      </c>
      <c r="BU1778" s="343">
        <f>SUMIFS($AU$1388:AU1779,$AA$1388:AA1779,"*",$AB$1388:AB1779,"*")</f>
        <v>4079.9999999998217</v>
      </c>
      <c r="BV1778" s="343">
        <f>SUMIFS($AU$1388:AU1779,$AA$1388:AA1779,"*",$AC$1388:AC1779,"*")</f>
        <v>13444.4</v>
      </c>
      <c r="BW1778" s="343">
        <f>SUMIFS($AU$1388:AU1779,$AB$1388:AB1779,"*",$AC$1388:AC1779,"*")</f>
        <v>3279.9999999999982</v>
      </c>
      <c r="BX1778" s="343">
        <f>SUMIFS($AV$1388:AV1779,$Q$1388:Q1779,"F")</f>
        <v>396.19230875404793</v>
      </c>
      <c r="BY1778" s="343">
        <f>SUMIFS($AV$1388:AV1779,$Q$1388:Q1779,"S")</f>
        <v>433.77638392253397</v>
      </c>
      <c r="BZ1778" s="343">
        <f>SUMIFS($AV$1388:AV1779,$Q$1388:Q1779,"O")</f>
        <v>586.0399999998524</v>
      </c>
    </row>
    <row r="1779" spans="1:78" ht="15.75" customHeight="1">
      <c r="A1779" s="177" t="s">
        <v>5851</v>
      </c>
      <c r="B1779" s="200">
        <v>45392</v>
      </c>
      <c r="C1779" s="178" t="s">
        <v>4436</v>
      </c>
      <c r="D1779" s="178" t="s">
        <v>151</v>
      </c>
      <c r="E1779" s="227"/>
      <c r="F1779" s="180"/>
      <c r="G1779" s="484" t="s">
        <v>2807</v>
      </c>
      <c r="H1779" s="182"/>
      <c r="I1779" s="182"/>
      <c r="J1779" s="182"/>
      <c r="K1779" s="183"/>
      <c r="L1779" s="182">
        <v>1</v>
      </c>
      <c r="M1779" s="182"/>
      <c r="N1779" s="182"/>
      <c r="O1779" s="183" t="s">
        <v>95</v>
      </c>
      <c r="P1779" s="183" t="s">
        <v>96</v>
      </c>
      <c r="Q1779" s="183" t="s">
        <v>256</v>
      </c>
      <c r="R1779" s="183">
        <v>15</v>
      </c>
      <c r="S1779" s="559">
        <v>0</v>
      </c>
      <c r="T1779" s="183">
        <v>15</v>
      </c>
      <c r="U1779" s="183" t="s">
        <v>22</v>
      </c>
      <c r="V1779" s="183"/>
      <c r="W1779" s="183"/>
      <c r="X1779" s="183"/>
      <c r="Y1779" s="184">
        <f>IF(ISBLANK(O1779),"",(IF(O1779=UPPER("IB"),0.005,0.01)))</f>
        <v>0.01</v>
      </c>
      <c r="Z1779" s="185">
        <f>IF(ISBLANK(O1779),"",IF(O1779="IB",8.63*200,IF(O1779="IR",16*100,IF(O1779="YT",20*100,IF(O1779="YT-XT",24*200,IF(O1779="TED",80*100,IF(O1779="XT",29*200)))))))</f>
        <v>1600</v>
      </c>
      <c r="AA1779" s="185" t="s">
        <v>99</v>
      </c>
      <c r="AB1779" s="185"/>
      <c r="AC1779" s="185" t="s">
        <v>5967</v>
      </c>
      <c r="AD1779" s="649">
        <v>-0.02</v>
      </c>
      <c r="AE1779" s="182"/>
      <c r="AF1779" s="332"/>
      <c r="AG1779" s="182"/>
      <c r="AH1779" s="182"/>
      <c r="AI1779" s="182"/>
      <c r="AJ1779" s="640"/>
      <c r="AK1779" s="182"/>
      <c r="AL1779" s="496">
        <f t="shared" si="556"/>
        <v>-32</v>
      </c>
      <c r="AM1779" s="496">
        <f t="shared" si="549"/>
        <v>-480</v>
      </c>
      <c r="AN1779" s="626"/>
      <c r="AO1779" s="182"/>
      <c r="AP1779" s="182" t="s">
        <v>1585</v>
      </c>
      <c r="AQ1779" s="332" t="s">
        <v>372</v>
      </c>
      <c r="AR1779" s="182" t="s">
        <v>5968</v>
      </c>
      <c r="AS1779" s="189">
        <v>-0.02</v>
      </c>
      <c r="AT1779" s="189">
        <f t="shared" si="553"/>
        <v>0</v>
      </c>
      <c r="AU1779" s="187">
        <f t="shared" si="554"/>
        <v>0</v>
      </c>
      <c r="AV1779" s="190">
        <f t="shared" si="557"/>
        <v>0</v>
      </c>
      <c r="AW1779" s="191" t="s">
        <v>115</v>
      </c>
      <c r="AX1779" s="551" t="s">
        <v>5969</v>
      </c>
      <c r="AY1779" s="551" t="s">
        <v>3808</v>
      </c>
      <c r="AZ1779" s="551"/>
      <c r="BA1779" s="551"/>
      <c r="BB1779" s="551"/>
      <c r="BC1779" s="551"/>
      <c r="BD1779" s="549"/>
      <c r="BE1779" s="550"/>
      <c r="BF1779" s="549"/>
      <c r="BG1779" s="391">
        <f>SUM($AV$1389:AV1779)</f>
        <v>1564.0086926764398</v>
      </c>
      <c r="BH1779" s="392">
        <f>SUM($AU$1389:AU1779)</f>
        <v>31677.980000000094</v>
      </c>
      <c r="BI1779" s="318">
        <f>SUMIFS($AU$1388:AU1780,$Q$1388:Q1780,"F")</f>
        <v>22308.400000000001</v>
      </c>
      <c r="BJ1779" s="318">
        <f>SUMIFS($AU$1388:AU1780,$Q$1388:Q1780,"S")</f>
        <v>7951.9999999999909</v>
      </c>
      <c r="BK1779" s="343">
        <f>SUMIFS($AU$1388:AU1780,$P$1388:P1780,"W")</f>
        <v>24429.580000000136</v>
      </c>
      <c r="BL1779" s="343">
        <f>SUMIFS($AU$1388:AU1780,$P$1388:P1780,"R")</f>
        <v>6005.9999999998354</v>
      </c>
      <c r="BM1779" s="343">
        <f>SUMIFS($AU$1388:AU1780,$AQ$1388:AQ1780,"M")</f>
        <v>5866.3799999996427</v>
      </c>
      <c r="BN1779" s="343">
        <f>SUMIFS($AU$1388:AU1780,$AQ$1388:AQ1780,"H")</f>
        <v>5883.2000000002809</v>
      </c>
      <c r="BO1779" s="343">
        <f>SUMIFS($AU$1388:AU1780,$AQ$1388:AQ1780,"D")</f>
        <v>8210</v>
      </c>
      <c r="BP1779" s="343">
        <f>SUMIFS($AU$1388:AU1867,$AQ$1388:AQ1867,"W")</f>
        <v>12022.400000000001</v>
      </c>
      <c r="BQ1779" s="343">
        <f>SUMIFS($AU$1388:AU1780,$Q$1388:Q1780,"O")</f>
        <v>1473.5799999999435</v>
      </c>
      <c r="BR1779" s="343">
        <f>SUMIFS($AU$1388:AU1780,$AA$1388:AA1780,"*")</f>
        <v>23718.799999999817</v>
      </c>
      <c r="BS1779" s="343">
        <f>SUMIFS($AU$1388:AU1780,$AB$1388:AB1780,"*")</f>
        <v>6615.1799999999312</v>
      </c>
      <c r="BT1779" s="343">
        <f>SUMIFS($AU$1388:AU1780,$AC$1388:AC1780,"*")</f>
        <v>18548.400000000001</v>
      </c>
      <c r="BU1779" s="343">
        <f>SUMIFS($AU$1388:AU1780,$AA$1388:AA1780,"*",$AB$1388:AB1780,"*")</f>
        <v>4079.9999999998217</v>
      </c>
      <c r="BV1779" s="343">
        <f>SUMIFS($AU$1388:AU1780,$AA$1388:AA1780,"*",$AC$1388:AC1780,"*")</f>
        <v>13444.4</v>
      </c>
      <c r="BW1779" s="343">
        <f>SUMIFS($AU$1388:AU1780,$AB$1388:AB1780,"*",$AC$1388:AC1780,"*")</f>
        <v>3279.9999999999982</v>
      </c>
      <c r="BX1779" s="343">
        <f>SUMIFS($AV$1388:AV1780,$Q$1388:Q1780,"F")</f>
        <v>396.19230875404793</v>
      </c>
      <c r="BY1779" s="343">
        <f>SUMIFS($AV$1388:AV1780,$Q$1388:Q1780,"S")</f>
        <v>433.77638392253397</v>
      </c>
      <c r="BZ1779" s="343">
        <f>SUMIFS($AV$1388:AV1780,$Q$1388:Q1780,"O")</f>
        <v>554.03999999983603</v>
      </c>
    </row>
    <row r="1780" spans="1:78" ht="15.75" customHeight="1">
      <c r="A1780" s="177" t="s">
        <v>5851</v>
      </c>
      <c r="B1780" s="200">
        <v>45392</v>
      </c>
      <c r="C1780" s="178" t="s">
        <v>3270</v>
      </c>
      <c r="D1780" s="178" t="s">
        <v>151</v>
      </c>
      <c r="E1780" s="227"/>
      <c r="F1780" s="180"/>
      <c r="G1780" s="181" t="s">
        <v>5970</v>
      </c>
      <c r="H1780" s="182"/>
      <c r="I1780" s="182"/>
      <c r="J1780" s="182"/>
      <c r="K1780" s="183"/>
      <c r="L1780" s="182">
        <v>1</v>
      </c>
      <c r="M1780" s="182"/>
      <c r="N1780" s="182"/>
      <c r="O1780" s="183" t="s">
        <v>95</v>
      </c>
      <c r="P1780" s="183" t="s">
        <v>137</v>
      </c>
      <c r="Q1780" s="183" t="s">
        <v>684</v>
      </c>
      <c r="R1780" s="183">
        <v>10</v>
      </c>
      <c r="S1780" s="559">
        <v>0</v>
      </c>
      <c r="T1780" s="183">
        <v>10</v>
      </c>
      <c r="U1780" s="183" t="s">
        <v>97</v>
      </c>
      <c r="V1780" s="183"/>
      <c r="W1780" s="183"/>
      <c r="X1780" s="183"/>
      <c r="Y1780" s="184">
        <f>IF(ISBLANK(O1780),"",(IF(O1780=UPPER("IB"),0.005,0.01)))</f>
        <v>0.01</v>
      </c>
      <c r="Z1780" s="185">
        <f>IF(ISBLANK(O1780),"",IF(O1780="IB",8.63*200,IF(O1780="IR",16*100,IF(O1780="YT",20*100,IF(O1780="YT-XT",24*200,IF(O1780="TED",80*100,IF(O1780="XT",29*200)))))))</f>
        <v>1600</v>
      </c>
      <c r="AA1780" s="185" t="s">
        <v>5971</v>
      </c>
      <c r="AB1780" s="185"/>
      <c r="AC1780" s="185"/>
      <c r="AD1780" s="649">
        <v>96.27</v>
      </c>
      <c r="AE1780" s="182"/>
      <c r="AF1780" s="332"/>
      <c r="AG1780" s="182"/>
      <c r="AH1780" s="182"/>
      <c r="AI1780" s="182"/>
      <c r="AJ1780" s="640"/>
      <c r="AK1780" s="182"/>
      <c r="AL1780" s="496">
        <f t="shared" ref="AL1780:AL1782" si="558">-0.02*Z1780</f>
        <v>-32</v>
      </c>
      <c r="AM1780" s="496">
        <f t="shared" si="549"/>
        <v>-320</v>
      </c>
      <c r="AN1780" s="626"/>
      <c r="AO1780" s="182"/>
      <c r="AP1780" s="182" t="s">
        <v>2527</v>
      </c>
      <c r="AQ1780" s="332" t="s">
        <v>372</v>
      </c>
      <c r="AR1780" s="182" t="s">
        <v>5972</v>
      </c>
      <c r="AS1780" s="189">
        <v>96.29</v>
      </c>
      <c r="AT1780" s="189">
        <f t="shared" si="553"/>
        <v>-2.0000000000010232E-2</v>
      </c>
      <c r="AU1780" s="187">
        <f t="shared" si="554"/>
        <v>-320.00000000016371</v>
      </c>
      <c r="AV1780" s="190">
        <f t="shared" si="557"/>
        <v>-32.000000000016371</v>
      </c>
      <c r="AW1780" s="191" t="s">
        <v>229</v>
      </c>
      <c r="AX1780" s="551" t="s">
        <v>5973</v>
      </c>
      <c r="AY1780" s="551" t="s">
        <v>5974</v>
      </c>
      <c r="AZ1780" s="551"/>
      <c r="BA1780" s="551"/>
      <c r="BB1780" s="551"/>
      <c r="BC1780" s="551"/>
      <c r="BD1780" s="549"/>
      <c r="BE1780" s="550"/>
      <c r="BF1780" s="549"/>
      <c r="BG1780" s="391">
        <f>SUM($AV$1389:AV1780)</f>
        <v>1532.0086926764234</v>
      </c>
      <c r="BH1780" s="392">
        <f>SUM($AU$1389:AU1780)</f>
        <v>31357.97999999993</v>
      </c>
      <c r="BI1780" s="318">
        <f>SUMIFS($AU$1388:AU1781,$Q$1388:Q1781,"F")</f>
        <v>22308.400000000001</v>
      </c>
      <c r="BJ1780" s="318">
        <f>SUMIFS($AU$1388:AU1781,$Q$1388:Q1781,"S")</f>
        <v>7951.9999999999909</v>
      </c>
      <c r="BK1780" s="343">
        <f>SUMIFS($AU$1388:AU1781,$P$1388:P1781,"W")</f>
        <v>24429.580000000136</v>
      </c>
      <c r="BL1780" s="343">
        <f>SUMIFS($AU$1388:AU1781,$P$1388:P1781,"R")</f>
        <v>6005.9999999998354</v>
      </c>
      <c r="BM1780" s="343">
        <f>SUMIFS($AU$1388:AU1781,$AQ$1388:AQ1781,"M")</f>
        <v>5866.3799999996427</v>
      </c>
      <c r="BN1780" s="343">
        <f>SUMIFS($AU$1388:AU1781,$AQ$1388:AQ1781,"H")</f>
        <v>5883.2000000002809</v>
      </c>
      <c r="BO1780" s="343">
        <f>SUMIFS($AU$1388:AU1781,$AQ$1388:AQ1781,"D")</f>
        <v>8210</v>
      </c>
      <c r="BP1780" s="343">
        <f>SUMIFS($AU$1388:AU1868,$AQ$1388:AQ1868,"W")</f>
        <v>12022.400000000001</v>
      </c>
      <c r="BQ1780" s="343">
        <f>SUMIFS($AU$1388:AU1781,$Q$1388:Q1781,"O")</f>
        <v>1473.5799999999435</v>
      </c>
      <c r="BR1780" s="343">
        <f>SUMIFS($AU$1388:AU1781,$AA$1388:AA1781,"*")</f>
        <v>23718.799999999817</v>
      </c>
      <c r="BS1780" s="343">
        <f>SUMIFS($AU$1388:AU1781,$AB$1388:AB1781,"*")</f>
        <v>6615.1799999999312</v>
      </c>
      <c r="BT1780" s="343">
        <f>SUMIFS($AU$1388:AU1781,$AC$1388:AC1781,"*")</f>
        <v>18548.400000000001</v>
      </c>
      <c r="BU1780" s="343">
        <f>SUMIFS($AU$1388:AU1781,$AA$1388:AA1781,"*",$AB$1388:AB1781,"*")</f>
        <v>4079.9999999998217</v>
      </c>
      <c r="BV1780" s="343">
        <f>SUMIFS($AU$1388:AU1781,$AA$1388:AA1781,"*",$AC$1388:AC1781,"*")</f>
        <v>13444.4</v>
      </c>
      <c r="BW1780" s="343">
        <f>SUMIFS($AU$1388:AU1781,$AB$1388:AB1781,"*",$AC$1388:AC1781,"*")</f>
        <v>3279.9999999999982</v>
      </c>
      <c r="BX1780" s="343">
        <f>SUMIFS($AV$1388:AV1781,$Q$1388:Q1781,"F")</f>
        <v>396.19230875404793</v>
      </c>
      <c r="BY1780" s="343">
        <f>SUMIFS($AV$1388:AV1781,$Q$1388:Q1781,"S")</f>
        <v>433.77638392253397</v>
      </c>
      <c r="BZ1780" s="343">
        <f>SUMIFS($AV$1388:AV1781,$Q$1388:Q1781,"O")</f>
        <v>554.03999999983603</v>
      </c>
    </row>
    <row r="1781" spans="1:78" ht="15.75" customHeight="1">
      <c r="A1781" s="177" t="s">
        <v>5851</v>
      </c>
      <c r="B1781" s="200">
        <v>45392</v>
      </c>
      <c r="C1781" s="178" t="s">
        <v>1714</v>
      </c>
      <c r="D1781" s="178" t="s">
        <v>151</v>
      </c>
      <c r="E1781" s="227" t="s">
        <v>5975</v>
      </c>
      <c r="F1781" s="180"/>
      <c r="G1781" s="181"/>
      <c r="H1781" s="182"/>
      <c r="I1781" s="182"/>
      <c r="J1781" s="182"/>
      <c r="K1781" s="183"/>
      <c r="L1781" s="182"/>
      <c r="M1781" s="182"/>
      <c r="N1781" s="182"/>
      <c r="O1781" s="183"/>
      <c r="P1781" s="183"/>
      <c r="Q1781" s="183"/>
      <c r="R1781" s="183"/>
      <c r="S1781" s="183"/>
      <c r="T1781" s="183"/>
      <c r="U1781" s="183"/>
      <c r="V1781" s="183"/>
      <c r="W1781" s="183"/>
      <c r="X1781" s="183"/>
      <c r="Y1781" s="183"/>
      <c r="Z1781" s="183"/>
      <c r="AA1781" s="185"/>
      <c r="AB1781" s="185"/>
      <c r="AC1781" s="185"/>
      <c r="AD1781" s="649"/>
      <c r="AE1781" s="182"/>
      <c r="AF1781" s="332"/>
      <c r="AG1781" s="182"/>
      <c r="AH1781" s="182"/>
      <c r="AI1781" s="182"/>
      <c r="AJ1781" s="640"/>
      <c r="AK1781" s="182"/>
      <c r="AL1781" s="496">
        <f t="shared" si="558"/>
        <v>0</v>
      </c>
      <c r="AM1781" s="496">
        <f t="shared" si="549"/>
        <v>0</v>
      </c>
      <c r="AN1781" s="626"/>
      <c r="AO1781" s="182"/>
      <c r="AP1781" s="182"/>
      <c r="AQ1781" s="332" t="str">
        <f>UPPER(RIGHT(Journal_Live[[#This Row],[DURATION ]]))</f>
        <v/>
      </c>
      <c r="AR1781" s="182"/>
      <c r="AS1781" s="189"/>
      <c r="AT1781" s="189"/>
      <c r="AU1781" s="187"/>
      <c r="AV1781" s="190"/>
      <c r="AW1781" s="191"/>
      <c r="AX1781" s="551"/>
      <c r="AY1781" s="551"/>
      <c r="AZ1781" s="551"/>
      <c r="BA1781" s="551"/>
      <c r="BB1781" s="551"/>
      <c r="BC1781" s="551"/>
      <c r="BD1781" s="549"/>
      <c r="BE1781" s="550"/>
      <c r="BF1781" s="549"/>
      <c r="BG1781" s="391">
        <f>SUM($AV$1389:AV1781)</f>
        <v>1532.0086926764234</v>
      </c>
      <c r="BH1781" s="392">
        <f>SUM($AU$1389:AU1781)</f>
        <v>31357.97999999993</v>
      </c>
      <c r="BI1781" s="318">
        <f>SUMIFS($AU$1388:AU1782,$Q$1388:Q1782,"F")</f>
        <v>22308.400000000001</v>
      </c>
      <c r="BJ1781" s="318">
        <f>SUMIFS($AU$1388:AU1782,$Q$1388:Q1782,"S")</f>
        <v>7951.9999999999909</v>
      </c>
      <c r="BK1781" s="343">
        <f>SUMIFS($AU$1388:AU1782,$P$1388:P1782,"W")</f>
        <v>24429.580000000136</v>
      </c>
      <c r="BL1781" s="343">
        <f>SUMIFS($AU$1388:AU1782,$P$1388:P1782,"R")</f>
        <v>6005.9999999998354</v>
      </c>
      <c r="BM1781" s="343">
        <f>SUMIFS($AU$1388:AU1782,$AQ$1388:AQ1782,"M")</f>
        <v>5866.3799999996427</v>
      </c>
      <c r="BN1781" s="343">
        <f>SUMIFS($AU$1388:AU1782,$AQ$1388:AQ1782,"H")</f>
        <v>5883.2000000002809</v>
      </c>
      <c r="BO1781" s="343">
        <f>SUMIFS($AU$1388:AU1782,$AQ$1388:AQ1782,"D")</f>
        <v>8210</v>
      </c>
      <c r="BP1781" s="343">
        <f>SUMIFS($AU$1388:AU1869,$AQ$1388:AQ1869,"W")</f>
        <v>12022.400000000001</v>
      </c>
      <c r="BQ1781" s="343">
        <f>SUMIFS($AU$1388:AU1782,$Q$1388:Q1782,"O")</f>
        <v>1473.5799999999435</v>
      </c>
      <c r="BR1781" s="343">
        <f>SUMIFS($AU$1388:AU1782,$AA$1388:AA1782,"*")</f>
        <v>23718.799999999817</v>
      </c>
      <c r="BS1781" s="343">
        <f>SUMIFS($AU$1388:AU1782,$AB$1388:AB1782,"*")</f>
        <v>6615.1799999999312</v>
      </c>
      <c r="BT1781" s="343">
        <f>SUMIFS($AU$1388:AU1782,$AC$1388:AC1782,"*")</f>
        <v>18548.400000000001</v>
      </c>
      <c r="BU1781" s="343">
        <f>SUMIFS($AU$1388:AU1782,$AA$1388:AA1782,"*",$AB$1388:AB1782,"*")</f>
        <v>4079.9999999998217</v>
      </c>
      <c r="BV1781" s="343">
        <f>SUMIFS($AU$1388:AU1782,$AA$1388:AA1782,"*",$AC$1388:AC1782,"*")</f>
        <v>13444.4</v>
      </c>
      <c r="BW1781" s="343">
        <f>SUMIFS($AU$1388:AU1782,$AB$1388:AB1782,"*",$AC$1388:AC1782,"*")</f>
        <v>3279.9999999999982</v>
      </c>
      <c r="BX1781" s="343">
        <f>SUMIFS($AV$1388:AV1782,$Q$1388:Q1782,"F")</f>
        <v>396.19230875404793</v>
      </c>
      <c r="BY1781" s="343">
        <f>SUMIFS($AV$1388:AV1782,$Q$1388:Q1782,"S")</f>
        <v>433.77638392253397</v>
      </c>
      <c r="BZ1781" s="343">
        <f>SUMIFS($AV$1388:AV1782,$Q$1388:Q1782,"O")</f>
        <v>554.03999999983603</v>
      </c>
    </row>
    <row r="1782" spans="1:78" ht="15.75" customHeight="1">
      <c r="A1782" s="177" t="s">
        <v>5851</v>
      </c>
      <c r="B1782" s="200"/>
      <c r="C1782" s="178"/>
      <c r="D1782" s="178"/>
      <c r="E1782" s="227" t="s">
        <v>5976</v>
      </c>
      <c r="F1782" s="180"/>
      <c r="G1782" s="181"/>
      <c r="H1782" s="182"/>
      <c r="I1782" s="182"/>
      <c r="J1782" s="182"/>
      <c r="K1782" s="183"/>
      <c r="L1782" s="182"/>
      <c r="M1782" s="182"/>
      <c r="N1782" s="182"/>
      <c r="O1782" s="183"/>
      <c r="P1782" s="183"/>
      <c r="Q1782" s="183"/>
      <c r="R1782" s="183"/>
      <c r="S1782" s="183"/>
      <c r="T1782" s="183"/>
      <c r="U1782" s="183"/>
      <c r="V1782" s="183"/>
      <c r="W1782" s="183"/>
      <c r="X1782" s="183"/>
      <c r="Y1782" s="183"/>
      <c r="Z1782" s="183"/>
      <c r="AA1782" s="185"/>
      <c r="AB1782" s="185"/>
      <c r="AC1782" s="185"/>
      <c r="AD1782" s="649"/>
      <c r="AE1782" s="182"/>
      <c r="AF1782" s="332"/>
      <c r="AG1782" s="182"/>
      <c r="AH1782" s="182"/>
      <c r="AI1782" s="182"/>
      <c r="AJ1782" s="640"/>
      <c r="AK1782" s="182"/>
      <c r="AL1782" s="496">
        <f t="shared" si="558"/>
        <v>0</v>
      </c>
      <c r="AM1782" s="496">
        <f t="shared" si="549"/>
        <v>0</v>
      </c>
      <c r="AN1782" s="626"/>
      <c r="AO1782" s="182"/>
      <c r="AP1782" s="182"/>
      <c r="AQ1782" s="332" t="str">
        <f>UPPER(RIGHT(Journal_Live[[#This Row],[DURATION ]]))</f>
        <v/>
      </c>
      <c r="AR1782" s="182"/>
      <c r="AS1782" s="189"/>
      <c r="AT1782" s="189"/>
      <c r="AU1782" s="187"/>
      <c r="AV1782" s="190"/>
      <c r="AW1782" s="191"/>
      <c r="AX1782" s="551"/>
      <c r="AY1782" s="551"/>
      <c r="AZ1782" s="551"/>
      <c r="BA1782" s="551"/>
      <c r="BB1782" s="551"/>
      <c r="BC1782" s="551"/>
      <c r="BD1782" s="549"/>
      <c r="BE1782" s="550"/>
      <c r="BF1782" s="549"/>
      <c r="BG1782" s="391">
        <f>SUM($AV$1389:AV1782)</f>
        <v>1532.0086926764234</v>
      </c>
      <c r="BH1782" s="392">
        <f>SUM($AU$1389:AU1782)</f>
        <v>31357.97999999993</v>
      </c>
      <c r="BI1782" s="318">
        <f>SUMIFS($AU$1388:AU1783,$Q$1388:Q1783,"F")</f>
        <v>22308.400000000001</v>
      </c>
      <c r="BJ1782" s="318">
        <f>SUMIFS($AU$1388:AU1783,$Q$1388:Q1783,"S")</f>
        <v>7951.9999999999909</v>
      </c>
      <c r="BK1782" s="343">
        <f>SUMIFS($AU$1388:AU1783,$P$1388:P1783,"W")</f>
        <v>24429.580000000136</v>
      </c>
      <c r="BL1782" s="343">
        <f>SUMIFS($AU$1388:AU1783,$P$1388:P1783,"R")</f>
        <v>6005.9999999998354</v>
      </c>
      <c r="BM1782" s="343">
        <f>SUMIFS($AU$1388:AU1783,$AQ$1388:AQ1783,"M")</f>
        <v>5866.3799999996427</v>
      </c>
      <c r="BN1782" s="343">
        <f>SUMIFS($AU$1388:AU1783,$AQ$1388:AQ1783,"H")</f>
        <v>5883.2000000002809</v>
      </c>
      <c r="BO1782" s="343">
        <f>SUMIFS($AU$1388:AU1783,$AQ$1388:AQ1783,"D")</f>
        <v>8210</v>
      </c>
      <c r="BP1782" s="343">
        <f>SUMIFS($AU$1388:AU1870,$AQ$1388:AQ1870,"W")</f>
        <v>12022.400000000001</v>
      </c>
      <c r="BQ1782" s="343">
        <f>SUMIFS($AU$1388:AU1783,$Q$1388:Q1783,"O")</f>
        <v>1473.5799999999435</v>
      </c>
      <c r="BR1782" s="343">
        <f>SUMIFS($AU$1388:AU1783,$AA$1388:AA1783,"*")</f>
        <v>23718.799999999817</v>
      </c>
      <c r="BS1782" s="343">
        <f>SUMIFS($AU$1388:AU1783,$AB$1388:AB1783,"*")</f>
        <v>6615.1799999999312</v>
      </c>
      <c r="BT1782" s="343">
        <f>SUMIFS($AU$1388:AU1783,$AC$1388:AC1783,"*")</f>
        <v>18548.400000000001</v>
      </c>
      <c r="BU1782" s="343">
        <f>SUMIFS($AU$1388:AU1783,$AA$1388:AA1783,"*",$AB$1388:AB1783,"*")</f>
        <v>4079.9999999998217</v>
      </c>
      <c r="BV1782" s="343">
        <f>SUMIFS($AU$1388:AU1783,$AA$1388:AA1783,"*",$AC$1388:AC1783,"*")</f>
        <v>13444.4</v>
      </c>
      <c r="BW1782" s="343">
        <f>SUMIFS($AU$1388:AU1783,$AB$1388:AB1783,"*",$AC$1388:AC1783,"*")</f>
        <v>3279.9999999999982</v>
      </c>
      <c r="BX1782" s="343">
        <f>SUMIFS($AV$1388:AV1783,$Q$1388:Q1783,"F")</f>
        <v>396.19230875404793</v>
      </c>
      <c r="BY1782" s="343">
        <f>SUMIFS($AV$1388:AV1783,$Q$1388:Q1783,"S")</f>
        <v>433.77638392253397</v>
      </c>
      <c r="BZ1782" s="343">
        <f>SUMIFS($AV$1388:AV1783,$Q$1388:Q1783,"O")</f>
        <v>554.03999999983603</v>
      </c>
    </row>
    <row r="1783" spans="1:78" ht="15.75" customHeight="1">
      <c r="A1783" s="177" t="s">
        <v>5851</v>
      </c>
      <c r="B1783" s="200"/>
      <c r="C1783" s="178"/>
      <c r="D1783" s="178"/>
      <c r="E1783" s="227" t="s">
        <v>5977</v>
      </c>
      <c r="F1783" s="180"/>
      <c r="G1783" s="181"/>
      <c r="H1783" s="182"/>
      <c r="I1783" s="182"/>
      <c r="J1783" s="182"/>
      <c r="K1783" s="183"/>
      <c r="L1783" s="182"/>
      <c r="M1783" s="182"/>
      <c r="N1783" s="182"/>
      <c r="O1783" s="183"/>
      <c r="P1783" s="183"/>
      <c r="Q1783" s="183"/>
      <c r="R1783" s="183"/>
      <c r="S1783" s="183"/>
      <c r="T1783" s="183"/>
      <c r="U1783" s="183"/>
      <c r="V1783" s="183"/>
      <c r="W1783" s="183"/>
      <c r="X1783" s="183"/>
      <c r="Y1783" s="183"/>
      <c r="Z1783" s="183"/>
      <c r="AA1783" s="185"/>
      <c r="AB1783" s="185"/>
      <c r="AC1783" s="185"/>
      <c r="AD1783" s="649"/>
      <c r="AE1783" s="182"/>
      <c r="AF1783" s="332"/>
      <c r="AG1783" s="182"/>
      <c r="AH1783" s="182"/>
      <c r="AI1783" s="182"/>
      <c r="AJ1783" s="640"/>
      <c r="AK1783" s="182"/>
      <c r="AL1783" s="496">
        <f t="shared" si="556"/>
        <v>0</v>
      </c>
      <c r="AM1783" s="496">
        <f t="shared" si="549"/>
        <v>0</v>
      </c>
      <c r="AN1783" s="626"/>
      <c r="AO1783" s="182"/>
      <c r="AP1783" s="182"/>
      <c r="AQ1783" s="332" t="str">
        <f>UPPER(RIGHT(Journal_Live[[#This Row],[DURATION ]]))</f>
        <v/>
      </c>
      <c r="AR1783" s="182"/>
      <c r="AS1783" s="189"/>
      <c r="AT1783" s="189"/>
      <c r="AU1783" s="187"/>
      <c r="AV1783" s="190"/>
      <c r="AW1783" s="191"/>
      <c r="AX1783" s="551"/>
      <c r="AY1783" s="551"/>
      <c r="AZ1783" s="551"/>
      <c r="BA1783" s="551"/>
      <c r="BB1783" s="551"/>
      <c r="BC1783" s="551"/>
      <c r="BD1783" s="549"/>
      <c r="BE1783" s="550"/>
      <c r="BF1783" s="549"/>
      <c r="BG1783" s="391">
        <f>SUM($AV$1389:AV1783)</f>
        <v>1532.0086926764234</v>
      </c>
      <c r="BH1783" s="392">
        <f>SUM($AU$1389:AU1783)</f>
        <v>31357.97999999993</v>
      </c>
      <c r="BI1783" s="318">
        <f>SUMIFS($AU$1388:AU1784,$Q$1388:Q1784,"F")</f>
        <v>22308.400000000001</v>
      </c>
      <c r="BJ1783" s="318">
        <f>SUMIFS($AU$1388:AU1784,$Q$1388:Q1784,"S")</f>
        <v>7951.9999999999909</v>
      </c>
      <c r="BK1783" s="343">
        <f>SUMIFS($AU$1388:AU1784,$P$1388:P1784,"W")</f>
        <v>24429.580000000136</v>
      </c>
      <c r="BL1783" s="343">
        <f>SUMIFS($AU$1388:AU1784,$P$1388:P1784,"R")</f>
        <v>6305.9999999998354</v>
      </c>
      <c r="BM1783" s="343">
        <f>SUMIFS($AU$1388:AU1784,$AQ$1388:AQ1784,"M")</f>
        <v>6166.3799999996427</v>
      </c>
      <c r="BN1783" s="343">
        <f>SUMIFS($AU$1388:AU1784,$AQ$1388:AQ1784,"H")</f>
        <v>5883.2000000002809</v>
      </c>
      <c r="BO1783" s="343">
        <f>SUMIFS($AU$1388:AU1784,$AQ$1388:AQ1784,"D")</f>
        <v>8210</v>
      </c>
      <c r="BP1783" s="343">
        <f>SUMIFS($AU$1388:AU1871,$AQ$1388:AQ1871,"W")</f>
        <v>12022.400000000001</v>
      </c>
      <c r="BQ1783" s="343">
        <f>SUMIFS($AU$1388:AU1784,$Q$1388:Q1784,"O")</f>
        <v>1473.5799999999435</v>
      </c>
      <c r="BR1783" s="343">
        <f>SUMIFS($AU$1388:AU1784,$AA$1388:AA1784,"*")</f>
        <v>24018.799999999817</v>
      </c>
      <c r="BS1783" s="343">
        <f>SUMIFS($AU$1388:AU1784,$AB$1388:AB1784,"*")</f>
        <v>6615.1799999999312</v>
      </c>
      <c r="BT1783" s="343">
        <f>SUMIFS($AU$1388:AU1784,$AC$1388:AC1784,"*")</f>
        <v>18548.400000000001</v>
      </c>
      <c r="BU1783" s="343">
        <f>SUMIFS($AU$1388:AU1784,$AA$1388:AA1784,"*",$AB$1388:AB1784,"*")</f>
        <v>4079.9999999998217</v>
      </c>
      <c r="BV1783" s="343">
        <f>SUMIFS($AU$1388:AU1784,$AA$1388:AA1784,"*",$AC$1388:AC1784,"*")</f>
        <v>13444.4</v>
      </c>
      <c r="BW1783" s="343">
        <f>SUMIFS($AU$1388:AU1784,$AB$1388:AB1784,"*",$AC$1388:AC1784,"*")</f>
        <v>3279.9999999999982</v>
      </c>
      <c r="BX1783" s="343">
        <f>SUMIFS($AV$1388:AV1784,$Q$1388:Q1784,"F")</f>
        <v>396.19230875404793</v>
      </c>
      <c r="BY1783" s="343">
        <f>SUMIFS($AV$1388:AV1784,$Q$1388:Q1784,"S")</f>
        <v>433.77638392253397</v>
      </c>
      <c r="BZ1783" s="343">
        <f>SUMIFS($AV$1388:AV1784,$Q$1388:Q1784,"O")</f>
        <v>554.03999999983603</v>
      </c>
    </row>
    <row r="1784" spans="1:78" ht="15.75" customHeight="1">
      <c r="A1784" s="177" t="s">
        <v>5851</v>
      </c>
      <c r="B1784" s="200">
        <v>45392</v>
      </c>
      <c r="C1784" s="178" t="s">
        <v>682</v>
      </c>
      <c r="D1784" s="178" t="s">
        <v>151</v>
      </c>
      <c r="E1784" s="227"/>
      <c r="F1784" s="180"/>
      <c r="G1784" s="561" t="s">
        <v>5946</v>
      </c>
      <c r="H1784" s="182"/>
      <c r="I1784" s="182"/>
      <c r="J1784" s="182"/>
      <c r="K1784" s="183"/>
      <c r="L1784" s="182"/>
      <c r="M1784" s="182">
        <v>1</v>
      </c>
      <c r="N1784" s="182"/>
      <c r="O1784" s="183" t="s">
        <v>5325</v>
      </c>
      <c r="P1784" s="183" t="s">
        <v>137</v>
      </c>
      <c r="Q1784" s="183"/>
      <c r="R1784" s="183">
        <v>1</v>
      </c>
      <c r="S1784" s="183">
        <v>0</v>
      </c>
      <c r="T1784" s="183">
        <v>1</v>
      </c>
      <c r="U1784" s="183" t="s">
        <v>22</v>
      </c>
      <c r="V1784" s="183"/>
      <c r="W1784" s="183"/>
      <c r="X1784" s="183"/>
      <c r="Y1784" s="184">
        <f t="shared" ref="Y1784:Y1791" si="559">IF(ISBLANK(O1784),"",(IF(O1784=UPPER("IB"),0.005,0.01)))</f>
        <v>0.01</v>
      </c>
      <c r="Z1784" s="185">
        <f>IF(ISBLANK(O1784),"",IF(O1784="IB",8.63*200,IF(O1784="IR",16*100,IF(O1784="YT",20*100,IF(O1784="YT-XT",24*200,IF(O1784="TED",80*100,IF(O1784="IR|YT",300*100)))))))</f>
        <v>30000</v>
      </c>
      <c r="AA1784" s="185" t="s">
        <v>5906</v>
      </c>
      <c r="AB1784" s="185"/>
      <c r="AC1784" s="185"/>
      <c r="AD1784" s="649">
        <v>-0.11</v>
      </c>
      <c r="AE1784" s="182"/>
      <c r="AF1784" s="332"/>
      <c r="AG1784" s="182"/>
      <c r="AH1784" s="182"/>
      <c r="AI1784" s="182"/>
      <c r="AJ1784" s="640"/>
      <c r="AK1784" s="182"/>
      <c r="AL1784" s="496">
        <f t="shared" si="556"/>
        <v>-600</v>
      </c>
      <c r="AM1784" s="496">
        <f t="shared" si="549"/>
        <v>-600</v>
      </c>
      <c r="AN1784" s="626"/>
      <c r="AO1784" s="182"/>
      <c r="AP1784" s="182" t="s">
        <v>5978</v>
      </c>
      <c r="AQ1784" s="332" t="s">
        <v>1259</v>
      </c>
      <c r="AR1784" s="182"/>
      <c r="AS1784" s="189">
        <v>-0.1</v>
      </c>
      <c r="AT1784" s="189">
        <f t="shared" ref="AT1784:AT1791" si="560">IF(ISBLANK(AS1784),,IF(U1784="S",AD1784-AS1784,AS1784-AD1784))</f>
        <v>9.999999999999995E-3</v>
      </c>
      <c r="AU1784" s="187">
        <f t="shared" ref="AU1784:AU1791" si="561">AV1784*R1784</f>
        <v>299.99999999999983</v>
      </c>
      <c r="AV1784" s="190">
        <f t="shared" ref="AV1784" si="562">IF(ISBLANK(AS1784),,(AT1784*Z1784))</f>
        <v>299.99999999999983</v>
      </c>
      <c r="AW1784" s="191" t="s">
        <v>96</v>
      </c>
      <c r="AX1784" s="551" t="s">
        <v>940</v>
      </c>
      <c r="AY1784" s="551"/>
      <c r="AZ1784" s="551"/>
      <c r="BA1784" s="551"/>
      <c r="BB1784" s="551"/>
      <c r="BC1784" s="551"/>
      <c r="BD1784" s="549"/>
      <c r="BE1784" s="550"/>
      <c r="BF1784" s="549"/>
      <c r="BG1784" s="391">
        <f>SUM($AV$1389:AV1784)</f>
        <v>1832.0086926764232</v>
      </c>
      <c r="BH1784" s="392">
        <f>SUM($AU$1389:AU1784)</f>
        <v>31657.97999999993</v>
      </c>
      <c r="BI1784" s="318">
        <f>SUMIFS($AU$1388:AU1785,$Q$1388:Q1785,"F")</f>
        <v>22308.400000000001</v>
      </c>
      <c r="BJ1784" s="318">
        <f>SUMIFS($AU$1388:AU1785,$Q$1388:Q1785,"S")</f>
        <v>7951.9999999999909</v>
      </c>
      <c r="BK1784" s="343">
        <f>SUMIFS($AU$1388:AU1785,$P$1388:P1785,"W")</f>
        <v>24429.580000000136</v>
      </c>
      <c r="BL1784" s="343">
        <f>SUMIFS($AU$1388:AU1785,$P$1388:P1785,"R")</f>
        <v>6605.9999999998354</v>
      </c>
      <c r="BM1784" s="343">
        <f>SUMIFS($AU$1388:AU1785,$AQ$1388:AQ1785,"M")</f>
        <v>6466.3799999996427</v>
      </c>
      <c r="BN1784" s="343">
        <f>SUMIFS($AU$1388:AU1785,$AQ$1388:AQ1785,"H")</f>
        <v>5883.2000000002809</v>
      </c>
      <c r="BO1784" s="343">
        <f>SUMIFS($AU$1388:AU1785,$AQ$1388:AQ1785,"D")</f>
        <v>8210</v>
      </c>
      <c r="BP1784" s="343">
        <f>SUMIFS($AU$1388:AU1872,$AQ$1388:AQ1872,"W")</f>
        <v>12022.400000000001</v>
      </c>
      <c r="BQ1784" s="343">
        <f>SUMIFS($AU$1388:AU1785,$Q$1388:Q1785,"O")</f>
        <v>1473.5799999999435</v>
      </c>
      <c r="BR1784" s="343">
        <f>SUMIFS($AU$1388:AU1785,$AA$1388:AA1785,"*")</f>
        <v>24318.799999999817</v>
      </c>
      <c r="BS1784" s="343">
        <f>SUMIFS($AU$1388:AU1785,$AB$1388:AB1785,"*")</f>
        <v>6615.1799999999312</v>
      </c>
      <c r="BT1784" s="343">
        <f>SUMIFS($AU$1388:AU1785,$AC$1388:AC1785,"*")</f>
        <v>18548.400000000001</v>
      </c>
      <c r="BU1784" s="343">
        <f>SUMIFS($AU$1388:AU1785,$AA$1388:AA1785,"*",$AB$1388:AB1785,"*")</f>
        <v>4079.9999999998217</v>
      </c>
      <c r="BV1784" s="343">
        <f>SUMIFS($AU$1388:AU1785,$AA$1388:AA1785,"*",$AC$1388:AC1785,"*")</f>
        <v>13444.4</v>
      </c>
      <c r="BW1784" s="343">
        <f>SUMIFS($AU$1388:AU1785,$AB$1388:AB1785,"*",$AC$1388:AC1785,"*")</f>
        <v>3279.9999999999982</v>
      </c>
      <c r="BX1784" s="343">
        <f>SUMIFS($AV$1388:AV1785,$Q$1388:Q1785,"F")</f>
        <v>396.19230875404793</v>
      </c>
      <c r="BY1784" s="343">
        <f>SUMIFS($AV$1388:AV1785,$Q$1388:Q1785,"S")</f>
        <v>433.77638392253397</v>
      </c>
      <c r="BZ1784" s="343">
        <f>SUMIFS($AV$1388:AV1785,$Q$1388:Q1785,"O")</f>
        <v>554.03999999983603</v>
      </c>
    </row>
    <row r="1785" spans="1:78" ht="15.75" customHeight="1">
      <c r="A1785" s="177" t="s">
        <v>5851</v>
      </c>
      <c r="B1785" s="200">
        <v>45392</v>
      </c>
      <c r="C1785" s="178" t="s">
        <v>682</v>
      </c>
      <c r="D1785" s="178" t="s">
        <v>151</v>
      </c>
      <c r="E1785" s="227"/>
      <c r="F1785" s="180"/>
      <c r="G1785" s="561" t="s">
        <v>5979</v>
      </c>
      <c r="H1785" s="182"/>
      <c r="I1785" s="182"/>
      <c r="J1785" s="182"/>
      <c r="K1785" s="183"/>
      <c r="L1785" s="182"/>
      <c r="M1785" s="182">
        <v>1</v>
      </c>
      <c r="N1785" s="182"/>
      <c r="O1785" s="183" t="s">
        <v>5325</v>
      </c>
      <c r="P1785" s="183" t="s">
        <v>137</v>
      </c>
      <c r="Q1785" s="183"/>
      <c r="R1785" s="183">
        <v>1</v>
      </c>
      <c r="S1785" s="183">
        <v>0</v>
      </c>
      <c r="T1785" s="183">
        <v>1</v>
      </c>
      <c r="U1785" s="183" t="s">
        <v>22</v>
      </c>
      <c r="V1785" s="183"/>
      <c r="W1785" s="183"/>
      <c r="X1785" s="183"/>
      <c r="Y1785" s="184">
        <f t="shared" si="559"/>
        <v>0.01</v>
      </c>
      <c r="Z1785" s="185">
        <f>IF(ISBLANK(O1785),"",IF(O1785="IB",8.63*200,IF(O1785="IR",16*100,IF(O1785="YT",20*100,IF(O1785="YT-XT",24*200,IF(O1785="TED",80*100,IF(O1785="IR|YT",300*100)))))))</f>
        <v>30000</v>
      </c>
      <c r="AA1785" s="185" t="s">
        <v>5980</v>
      </c>
      <c r="AB1785" s="185"/>
      <c r="AC1785" s="185"/>
      <c r="AD1785" s="649">
        <v>-0.03</v>
      </c>
      <c r="AE1785" s="182"/>
      <c r="AF1785" s="332"/>
      <c r="AG1785" s="182"/>
      <c r="AH1785" s="182"/>
      <c r="AI1785" s="182"/>
      <c r="AJ1785" s="640"/>
      <c r="AK1785" s="182"/>
      <c r="AL1785" s="496">
        <f t="shared" ref="AL1785" si="563">-0.02*Z1785</f>
        <v>-600</v>
      </c>
      <c r="AM1785" s="496">
        <f t="shared" si="549"/>
        <v>-600</v>
      </c>
      <c r="AN1785" s="626"/>
      <c r="AO1785" s="182"/>
      <c r="AP1785" s="182" t="s">
        <v>5978</v>
      </c>
      <c r="AQ1785" s="332" t="s">
        <v>1259</v>
      </c>
      <c r="AR1785" s="182"/>
      <c r="AS1785" s="189">
        <v>-0.02</v>
      </c>
      <c r="AT1785" s="189">
        <f t="shared" si="560"/>
        <v>9.9999999999999985E-3</v>
      </c>
      <c r="AU1785" s="187">
        <f t="shared" si="561"/>
        <v>299.99999999999994</v>
      </c>
      <c r="AV1785" s="190">
        <f t="shared" ref="AV1785" si="564">IF(ISBLANK(AS1785),,(AT1785*Z1785))</f>
        <v>299.99999999999994</v>
      </c>
      <c r="AW1785" s="191" t="s">
        <v>96</v>
      </c>
      <c r="AX1785" s="551" t="s">
        <v>940</v>
      </c>
      <c r="AY1785" s="551"/>
      <c r="AZ1785" s="551"/>
      <c r="BA1785" s="551"/>
      <c r="BB1785" s="551"/>
      <c r="BC1785" s="551"/>
      <c r="BD1785" s="549"/>
      <c r="BE1785" s="550"/>
      <c r="BF1785" s="549"/>
      <c r="BG1785" s="391">
        <f>SUM($AV$1389:AV1785)</f>
        <v>2132.0086926764229</v>
      </c>
      <c r="BH1785" s="392">
        <f>SUM($AU$1389:AU1785)</f>
        <v>31957.97999999993</v>
      </c>
      <c r="BI1785" s="318">
        <f>SUMIFS($AU$1388:AU1786,$Q$1388:Q1786,"F")</f>
        <v>22308.400000000001</v>
      </c>
      <c r="BJ1785" s="318">
        <f>SUMIFS($AU$1388:AU1786,$Q$1388:Q1786,"S")</f>
        <v>7951.9999999999909</v>
      </c>
      <c r="BK1785" s="343">
        <f>SUMIFS($AU$1388:AU1786,$P$1388:P1786,"W")</f>
        <v>24429.580000000136</v>
      </c>
      <c r="BL1785" s="343">
        <f>SUMIFS($AU$1388:AU1786,$P$1388:P1786,"R")</f>
        <v>6605.9999999998354</v>
      </c>
      <c r="BM1785" s="343">
        <f>SUMIFS($AU$1388:AU1786,$AQ$1388:AQ1786,"M")</f>
        <v>7208.7799999998906</v>
      </c>
      <c r="BN1785" s="343">
        <f>SUMIFS($AU$1388:AU1786,$AQ$1388:AQ1786,"H")</f>
        <v>5883.2000000002809</v>
      </c>
      <c r="BO1785" s="343">
        <f>SUMIFS($AU$1388:AU1786,$AQ$1388:AQ1786,"D")</f>
        <v>8210</v>
      </c>
      <c r="BP1785" s="343">
        <f>SUMIFS($AU$1388:AU1873,$AQ$1388:AQ1873,"W")</f>
        <v>12022.400000000001</v>
      </c>
      <c r="BQ1785" s="343">
        <f>SUMIFS($AU$1388:AU1786,$Q$1388:Q1786,"O")</f>
        <v>2215.9800000001915</v>
      </c>
      <c r="BR1785" s="343">
        <f>SUMIFS($AU$1388:AU1786,$AA$1388:AA1786,"*")</f>
        <v>25061.200000000066</v>
      </c>
      <c r="BS1785" s="343">
        <f>SUMIFS($AU$1388:AU1786,$AB$1388:AB1786,"*")</f>
        <v>6615.1799999999312</v>
      </c>
      <c r="BT1785" s="343">
        <f>SUMIFS($AU$1388:AU1786,$AC$1388:AC1786,"*")</f>
        <v>18548.400000000001</v>
      </c>
      <c r="BU1785" s="343">
        <f>SUMIFS($AU$1388:AU1786,$AA$1388:AA1786,"*",$AB$1388:AB1786,"*")</f>
        <v>4079.9999999998217</v>
      </c>
      <c r="BV1785" s="343">
        <f>SUMIFS($AU$1388:AU1786,$AA$1388:AA1786,"*",$AC$1388:AC1786,"*")</f>
        <v>13444.4</v>
      </c>
      <c r="BW1785" s="343">
        <f>SUMIFS($AU$1388:AU1786,$AB$1388:AB1786,"*",$AC$1388:AC1786,"*")</f>
        <v>3279.9999999999982</v>
      </c>
      <c r="BX1785" s="343">
        <f>SUMIFS($AV$1388:AV1786,$Q$1388:Q1786,"F")</f>
        <v>396.19230875404793</v>
      </c>
      <c r="BY1785" s="343">
        <f>SUMIFS($AV$1388:AV1786,$Q$1388:Q1786,"S")</f>
        <v>433.77638392253397</v>
      </c>
      <c r="BZ1785" s="343">
        <f>SUMIFS($AV$1388:AV1786,$Q$1388:Q1786,"O")</f>
        <v>739.63999999989801</v>
      </c>
    </row>
    <row r="1786" spans="1:78" ht="15.75" customHeight="1">
      <c r="A1786" s="177" t="s">
        <v>5851</v>
      </c>
      <c r="B1786" s="200">
        <v>45392</v>
      </c>
      <c r="C1786" s="178" t="s">
        <v>682</v>
      </c>
      <c r="D1786" s="178" t="s">
        <v>151</v>
      </c>
      <c r="E1786" s="227"/>
      <c r="F1786" s="180"/>
      <c r="G1786" s="181" t="s">
        <v>5723</v>
      </c>
      <c r="H1786" s="182"/>
      <c r="I1786" s="182"/>
      <c r="J1786" s="182">
        <v>1</v>
      </c>
      <c r="K1786" s="183"/>
      <c r="L1786" s="182">
        <v>3</v>
      </c>
      <c r="M1786" s="182"/>
      <c r="N1786" s="182"/>
      <c r="O1786" s="183" t="s">
        <v>3618</v>
      </c>
      <c r="P1786" s="183" t="s">
        <v>2260</v>
      </c>
      <c r="Q1786" s="183" t="s">
        <v>684</v>
      </c>
      <c r="R1786" s="183">
        <v>4</v>
      </c>
      <c r="S1786" s="183">
        <v>0</v>
      </c>
      <c r="T1786" s="183">
        <v>2</v>
      </c>
      <c r="U1786" s="183" t="s">
        <v>97</v>
      </c>
      <c r="V1786" s="183"/>
      <c r="W1786" s="183"/>
      <c r="X1786" s="183"/>
      <c r="Y1786" s="184">
        <f t="shared" si="559"/>
        <v>0.01</v>
      </c>
      <c r="Z1786" s="185">
        <f t="shared" ref="Z1786:Z1791" si="565">IF(ISBLANK(O1786),"",IF(O1786="IB",8.63*200,IF(O1786="IR",16*100,IF(O1786="YT",20*100,IF(O1786="YT-XT",24*200,IF(O1786="TED",80*100,IF(O1786="XT",29*200)))))))</f>
        <v>5800</v>
      </c>
      <c r="AA1786" s="185" t="s">
        <v>5476</v>
      </c>
      <c r="AB1786" s="185"/>
      <c r="AC1786" s="185"/>
      <c r="AD1786" s="649">
        <v>95.849000000000004</v>
      </c>
      <c r="AE1786" s="182"/>
      <c r="AF1786" s="332"/>
      <c r="AG1786" s="182"/>
      <c r="AH1786" s="182"/>
      <c r="AI1786" s="182"/>
      <c r="AJ1786" s="640"/>
      <c r="AK1786" s="182"/>
      <c r="AL1786" s="496">
        <f t="shared" si="556"/>
        <v>-116</v>
      </c>
      <c r="AM1786" s="496">
        <f t="shared" si="549"/>
        <v>-464</v>
      </c>
      <c r="AN1786" s="626"/>
      <c r="AO1786" s="182"/>
      <c r="AP1786" s="182" t="s">
        <v>2905</v>
      </c>
      <c r="AQ1786" s="332" t="s">
        <v>1259</v>
      </c>
      <c r="AR1786" s="182"/>
      <c r="AS1786" s="189">
        <v>95.816999999999993</v>
      </c>
      <c r="AT1786" s="189">
        <f t="shared" si="560"/>
        <v>3.2000000000010687E-2</v>
      </c>
      <c r="AU1786" s="187">
        <f t="shared" si="561"/>
        <v>742.40000000024793</v>
      </c>
      <c r="AV1786" s="190">
        <f t="shared" ref="AV1786" si="566">IF(ISBLANK(AS1786),,(AT1786*Z1786))</f>
        <v>185.60000000006198</v>
      </c>
      <c r="AW1786" s="191" t="s">
        <v>96</v>
      </c>
      <c r="AX1786" s="551" t="s">
        <v>1137</v>
      </c>
      <c r="AY1786" s="551"/>
      <c r="AZ1786" s="551"/>
      <c r="BA1786" s="551"/>
      <c r="BB1786" s="551"/>
      <c r="BC1786" s="551"/>
      <c r="BD1786" s="549"/>
      <c r="BE1786" s="550"/>
      <c r="BF1786" s="549"/>
      <c r="BG1786" s="391">
        <f>SUM($AV$1389:AV1786)</f>
        <v>2317.6086926764847</v>
      </c>
      <c r="BH1786" s="392">
        <f>SUM($AU$1389:AU1786)</f>
        <v>32700.380000000179</v>
      </c>
      <c r="BI1786" s="318">
        <f>SUMIFS($AU$1388:AU1787,$Q$1388:Q1787,"F")</f>
        <v>22308.400000000001</v>
      </c>
      <c r="BJ1786" s="318">
        <f>SUMIFS($AU$1388:AU1787,$Q$1388:Q1787,"S")</f>
        <v>7951.9999999999909</v>
      </c>
      <c r="BK1786" s="343">
        <f>SUMIFS($AU$1388:AU1787,$P$1388:P1787,"W")</f>
        <v>24429.580000000136</v>
      </c>
      <c r="BL1786" s="343">
        <f>SUMIFS($AU$1388:AU1787,$P$1388:P1787,"R")</f>
        <v>6477.9999999998608</v>
      </c>
      <c r="BM1786" s="343">
        <f>SUMIFS($AU$1388:AU1787,$AQ$1388:AQ1787,"M")</f>
        <v>7080.7799999999161</v>
      </c>
      <c r="BN1786" s="343">
        <f>SUMIFS($AU$1388:AU1787,$AQ$1388:AQ1787,"H")</f>
        <v>5883.2000000002809</v>
      </c>
      <c r="BO1786" s="343">
        <f>SUMIFS($AU$1388:AU1787,$AQ$1388:AQ1787,"D")</f>
        <v>8210</v>
      </c>
      <c r="BP1786" s="343">
        <f>SUMIFS($AU$1388:AU1874,$AQ$1388:AQ1874,"W")</f>
        <v>12022.400000000001</v>
      </c>
      <c r="BQ1786" s="343">
        <f>SUMIFS($AU$1388:AU1787,$Q$1388:Q1787,"O")</f>
        <v>2087.9800000002169</v>
      </c>
      <c r="BR1786" s="343">
        <f>SUMIFS($AU$1388:AU1787,$AA$1388:AA1787,"*")</f>
        <v>24933.200000000092</v>
      </c>
      <c r="BS1786" s="343">
        <f>SUMIFS($AU$1388:AU1787,$AB$1388:AB1787,"*")</f>
        <v>6615.1799999999312</v>
      </c>
      <c r="BT1786" s="343">
        <f>SUMIFS($AU$1388:AU1787,$AC$1388:AC1787,"*")</f>
        <v>18548.400000000001</v>
      </c>
      <c r="BU1786" s="343">
        <f>SUMIFS($AU$1388:AU1787,$AA$1388:AA1787,"*",$AB$1388:AB1787,"*")</f>
        <v>4079.9999999998217</v>
      </c>
      <c r="BV1786" s="343">
        <f>SUMIFS($AU$1388:AU1787,$AA$1388:AA1787,"*",$AC$1388:AC1787,"*")</f>
        <v>13444.4</v>
      </c>
      <c r="BW1786" s="343">
        <f>SUMIFS($AU$1388:AU1787,$AB$1388:AB1787,"*",$AC$1388:AC1787,"*")</f>
        <v>3279.9999999999982</v>
      </c>
      <c r="BX1786" s="343">
        <f>SUMIFS($AV$1388:AV1787,$Q$1388:Q1787,"F")</f>
        <v>396.19230875404793</v>
      </c>
      <c r="BY1786" s="343">
        <f>SUMIFS($AV$1388:AV1787,$Q$1388:Q1787,"S")</f>
        <v>433.77638392253397</v>
      </c>
      <c r="BZ1786" s="343">
        <f>SUMIFS($AV$1388:AV1787,$Q$1388:Q1787,"O")</f>
        <v>707.63999999990438</v>
      </c>
    </row>
    <row r="1787" spans="1:78" ht="15.75" customHeight="1">
      <c r="A1787" s="177" t="s">
        <v>5851</v>
      </c>
      <c r="B1787" s="200">
        <v>45392</v>
      </c>
      <c r="C1787" s="178" t="s">
        <v>682</v>
      </c>
      <c r="D1787" s="178" t="s">
        <v>151</v>
      </c>
      <c r="E1787" s="227"/>
      <c r="F1787" s="180"/>
      <c r="G1787" s="181" t="s">
        <v>5981</v>
      </c>
      <c r="H1787" s="182"/>
      <c r="I1787" s="182"/>
      <c r="J1787" s="182"/>
      <c r="K1787" s="183"/>
      <c r="L1787" s="182">
        <v>1</v>
      </c>
      <c r="M1787" s="182"/>
      <c r="N1787" s="182"/>
      <c r="O1787" s="183" t="s">
        <v>95</v>
      </c>
      <c r="P1787" s="183" t="s">
        <v>137</v>
      </c>
      <c r="Q1787" s="183" t="s">
        <v>684</v>
      </c>
      <c r="R1787" s="183">
        <v>4</v>
      </c>
      <c r="S1787" s="559">
        <v>0</v>
      </c>
      <c r="T1787" s="183">
        <v>4</v>
      </c>
      <c r="U1787" s="183" t="s">
        <v>22</v>
      </c>
      <c r="V1787" s="183"/>
      <c r="W1787" s="183"/>
      <c r="X1787" s="183"/>
      <c r="Y1787" s="184">
        <f t="shared" si="559"/>
        <v>0.01</v>
      </c>
      <c r="Z1787" s="185">
        <f t="shared" si="565"/>
        <v>1600</v>
      </c>
      <c r="AA1787" s="185" t="s">
        <v>5982</v>
      </c>
      <c r="AB1787" s="185"/>
      <c r="AC1787" s="185"/>
      <c r="AD1787" s="649">
        <v>96.22</v>
      </c>
      <c r="AE1787" s="182"/>
      <c r="AF1787" s="332"/>
      <c r="AG1787" s="182"/>
      <c r="AH1787" s="182"/>
      <c r="AI1787" s="182"/>
      <c r="AJ1787" s="640"/>
      <c r="AK1787" s="182"/>
      <c r="AL1787" s="496">
        <f t="shared" si="556"/>
        <v>-32</v>
      </c>
      <c r="AM1787" s="496">
        <f t="shared" si="549"/>
        <v>-128</v>
      </c>
      <c r="AN1787" s="626"/>
      <c r="AO1787" s="182"/>
      <c r="AP1787" s="182" t="s">
        <v>4943</v>
      </c>
      <c r="AQ1787" s="332" t="s">
        <v>1259</v>
      </c>
      <c r="AR1787" s="182"/>
      <c r="AS1787" s="189">
        <v>96.2</v>
      </c>
      <c r="AT1787" s="189">
        <f t="shared" si="560"/>
        <v>-1.9999999999996021E-2</v>
      </c>
      <c r="AU1787" s="187">
        <f t="shared" si="561"/>
        <v>-127.99999999997453</v>
      </c>
      <c r="AV1787" s="190">
        <f t="shared" ref="AV1787" si="567">IF(ISBLANK(AS1787),,(AT1787*Z1787))</f>
        <v>-31.999999999993634</v>
      </c>
      <c r="AW1787" s="191" t="s">
        <v>229</v>
      </c>
      <c r="AX1787" s="551" t="s">
        <v>5983</v>
      </c>
      <c r="AY1787" s="551"/>
      <c r="AZ1787" s="551"/>
      <c r="BA1787" s="551"/>
      <c r="BB1787" s="551"/>
      <c r="BC1787" s="551"/>
      <c r="BD1787" s="549"/>
      <c r="BE1787" s="550"/>
      <c r="BF1787" s="549"/>
      <c r="BG1787" s="391">
        <f>SUM($AV$1389:AV1787)</f>
        <v>2285.608692676491</v>
      </c>
      <c r="BH1787" s="392">
        <f>SUM($AU$1389:AU1787)</f>
        <v>32572.380000000205</v>
      </c>
      <c r="BI1787" s="318">
        <f>SUMIFS($AU$1388:AU1788,$Q$1388:Q1788,"F")</f>
        <v>22308.400000000001</v>
      </c>
      <c r="BJ1787" s="318">
        <f>SUMIFS($AU$1388:AU1788,$Q$1388:Q1788,"S")</f>
        <v>7503.9999999999909</v>
      </c>
      <c r="BK1787" s="343">
        <f>SUMIFS($AU$1388:AU1788,$P$1388:P1788,"W")</f>
        <v>23981.580000000136</v>
      </c>
      <c r="BL1787" s="343">
        <f>SUMIFS($AU$1388:AU1788,$P$1388:P1788,"R")</f>
        <v>6477.9999999998608</v>
      </c>
      <c r="BM1787" s="343">
        <f>SUMIFS($AU$1388:AU1788,$AQ$1388:AQ1788,"M")</f>
        <v>6632.7799999999161</v>
      </c>
      <c r="BN1787" s="343">
        <f>SUMIFS($AU$1388:AU1788,$AQ$1388:AQ1788,"H")</f>
        <v>5883.2000000002809</v>
      </c>
      <c r="BO1787" s="343">
        <f>SUMIFS($AU$1388:AU1788,$AQ$1388:AQ1788,"D")</f>
        <v>8210</v>
      </c>
      <c r="BP1787" s="343">
        <f>SUMIFS($AU$1388:AU1875,$AQ$1388:AQ1875,"W")</f>
        <v>12022.400000000001</v>
      </c>
      <c r="BQ1787" s="343">
        <f>SUMIFS($AU$1388:AU1788,$Q$1388:Q1788,"O")</f>
        <v>2087.9800000002169</v>
      </c>
      <c r="BR1787" s="343">
        <f>SUMIFS($AU$1388:AU1788,$AA$1388:AA1788,"*")</f>
        <v>24485.200000000092</v>
      </c>
      <c r="BS1787" s="343">
        <f>SUMIFS($AU$1388:AU1788,$AB$1388:AB1788,"*")</f>
        <v>6615.1799999999312</v>
      </c>
      <c r="BT1787" s="343">
        <f>SUMIFS($AU$1388:AU1788,$AC$1388:AC1788,"*")</f>
        <v>18548.400000000001</v>
      </c>
      <c r="BU1787" s="343">
        <f>SUMIFS($AU$1388:AU1788,$AA$1388:AA1788,"*",$AB$1388:AB1788,"*")</f>
        <v>4079.9999999998217</v>
      </c>
      <c r="BV1787" s="343">
        <f>SUMIFS($AU$1388:AU1788,$AA$1388:AA1788,"*",$AC$1388:AC1788,"*")</f>
        <v>13444.4</v>
      </c>
      <c r="BW1787" s="343">
        <f>SUMIFS($AU$1388:AU1788,$AB$1388:AB1788,"*",$AC$1388:AC1788,"*")</f>
        <v>3279.9999999999982</v>
      </c>
      <c r="BX1787" s="343">
        <f>SUMIFS($AV$1388:AV1788,$Q$1388:Q1788,"F")</f>
        <v>396.19230875404793</v>
      </c>
      <c r="BY1787" s="343">
        <f>SUMIFS($AV$1388:AV1788,$Q$1388:Q1788,"S")</f>
        <v>417.77638392253397</v>
      </c>
      <c r="BZ1787" s="343">
        <f>SUMIFS($AV$1388:AV1788,$Q$1388:Q1788,"O")</f>
        <v>707.63999999990438</v>
      </c>
    </row>
    <row r="1788" spans="1:78" ht="15.75" customHeight="1">
      <c r="A1788" s="177" t="s">
        <v>5851</v>
      </c>
      <c r="B1788" s="200">
        <v>45392</v>
      </c>
      <c r="C1788" s="178" t="s">
        <v>682</v>
      </c>
      <c r="D1788" s="178" t="s">
        <v>151</v>
      </c>
      <c r="E1788" s="227"/>
      <c r="F1788" s="180"/>
      <c r="G1788" s="484" t="s">
        <v>3990</v>
      </c>
      <c r="H1788" s="182"/>
      <c r="I1788" s="182"/>
      <c r="J1788" s="182"/>
      <c r="K1788" s="183"/>
      <c r="L1788" s="182">
        <v>1</v>
      </c>
      <c r="M1788" s="182"/>
      <c r="N1788" s="182"/>
      <c r="O1788" s="183" t="s">
        <v>95</v>
      </c>
      <c r="P1788" s="183" t="s">
        <v>96</v>
      </c>
      <c r="Q1788" s="183" t="s">
        <v>97</v>
      </c>
      <c r="R1788" s="183">
        <v>28</v>
      </c>
      <c r="S1788" s="559">
        <v>0</v>
      </c>
      <c r="T1788" s="183">
        <v>28</v>
      </c>
      <c r="U1788" s="183" t="s">
        <v>97</v>
      </c>
      <c r="V1788" s="183"/>
      <c r="W1788" s="183"/>
      <c r="X1788" s="183"/>
      <c r="Y1788" s="184">
        <f t="shared" si="559"/>
        <v>0.01</v>
      </c>
      <c r="Z1788" s="185">
        <f t="shared" si="565"/>
        <v>1600</v>
      </c>
      <c r="AA1788" s="185" t="s">
        <v>5984</v>
      </c>
      <c r="AB1788" s="185"/>
      <c r="AC1788" s="185"/>
      <c r="AD1788" s="649">
        <v>-0.2</v>
      </c>
      <c r="AE1788" s="182"/>
      <c r="AF1788" s="332"/>
      <c r="AG1788" s="182"/>
      <c r="AH1788" s="182"/>
      <c r="AI1788" s="182"/>
      <c r="AJ1788" s="640"/>
      <c r="AK1788" s="182"/>
      <c r="AL1788" s="496">
        <f t="shared" si="556"/>
        <v>-32</v>
      </c>
      <c r="AM1788" s="496">
        <f t="shared" si="549"/>
        <v>-896</v>
      </c>
      <c r="AN1788" s="626"/>
      <c r="AO1788" s="182"/>
      <c r="AP1788" s="182" t="s">
        <v>5985</v>
      </c>
      <c r="AQ1788" s="332" t="s">
        <v>1259</v>
      </c>
      <c r="AR1788" s="182"/>
      <c r="AS1788" s="189">
        <v>-0.19</v>
      </c>
      <c r="AT1788" s="189">
        <f t="shared" si="560"/>
        <v>-1.0000000000000009E-2</v>
      </c>
      <c r="AU1788" s="187">
        <f t="shared" si="561"/>
        <v>-448.0000000000004</v>
      </c>
      <c r="AV1788" s="190">
        <f t="shared" ref="AV1788" si="568">IF(ISBLANK(AS1788),,(AT1788*Z1788))</f>
        <v>-16.000000000000014</v>
      </c>
      <c r="AW1788" s="191" t="s">
        <v>229</v>
      </c>
      <c r="AX1788" s="551" t="s">
        <v>5986</v>
      </c>
      <c r="AY1788" s="551" t="s">
        <v>5987</v>
      </c>
      <c r="AZ1788" s="551" t="s">
        <v>5988</v>
      </c>
      <c r="BA1788" s="551"/>
      <c r="BB1788" s="551"/>
      <c r="BC1788" s="551"/>
      <c r="BD1788" s="549"/>
      <c r="BE1788" s="550"/>
      <c r="BF1788" s="549"/>
      <c r="BG1788" s="391">
        <f>SUM($AV$1389:AV1788)</f>
        <v>2269.608692676491</v>
      </c>
      <c r="BH1788" s="392">
        <f>SUM($AU$1389:AU1788)</f>
        <v>32124.380000000205</v>
      </c>
      <c r="BI1788" s="318">
        <f>SUMIFS($AU$1388:AU1789,$Q$1388:Q1789,"F")</f>
        <v>22308.400000000001</v>
      </c>
      <c r="BJ1788" s="318">
        <f>SUMIFS($AU$1388:AU1789,$Q$1388:Q1789,"S")</f>
        <v>7951.9999999999909</v>
      </c>
      <c r="BK1788" s="343">
        <f>SUMIFS($AU$1388:AU1789,$P$1388:P1789,"W")</f>
        <v>24429.580000000136</v>
      </c>
      <c r="BL1788" s="343">
        <f>SUMIFS($AU$1388:AU1789,$P$1388:P1789,"R")</f>
        <v>6477.9999999998608</v>
      </c>
      <c r="BM1788" s="343">
        <f>SUMIFS($AU$1388:AU1789,$AQ$1388:AQ1789,"M")</f>
        <v>7080.7799999999161</v>
      </c>
      <c r="BN1788" s="343">
        <f>SUMIFS($AU$1388:AU1789,$AQ$1388:AQ1789,"H")</f>
        <v>5883.2000000002809</v>
      </c>
      <c r="BO1788" s="343">
        <f>SUMIFS($AU$1388:AU1789,$AQ$1388:AQ1789,"D")</f>
        <v>8210</v>
      </c>
      <c r="BP1788" s="343">
        <f>SUMIFS($AU$1388:AU1876,$AQ$1388:AQ1876,"W")</f>
        <v>12022.400000000001</v>
      </c>
      <c r="BQ1788" s="343">
        <f>SUMIFS($AU$1388:AU1789,$Q$1388:Q1789,"O")</f>
        <v>2087.9800000002169</v>
      </c>
      <c r="BR1788" s="343">
        <f>SUMIFS($AU$1388:AU1789,$AA$1388:AA1789,"*")</f>
        <v>24933.200000000092</v>
      </c>
      <c r="BS1788" s="343">
        <f>SUMIFS($AU$1388:AU1789,$AB$1388:AB1789,"*")</f>
        <v>6615.1799999999312</v>
      </c>
      <c r="BT1788" s="343">
        <f>SUMIFS($AU$1388:AU1789,$AC$1388:AC1789,"*")</f>
        <v>18548.400000000001</v>
      </c>
      <c r="BU1788" s="343">
        <f>SUMIFS($AU$1388:AU1789,$AA$1388:AA1789,"*",$AB$1388:AB1789,"*")</f>
        <v>4079.9999999998217</v>
      </c>
      <c r="BV1788" s="343">
        <f>SUMIFS($AU$1388:AU1789,$AA$1388:AA1789,"*",$AC$1388:AC1789,"*")</f>
        <v>13444.4</v>
      </c>
      <c r="BW1788" s="343">
        <f>SUMIFS($AU$1388:AU1789,$AB$1388:AB1789,"*",$AC$1388:AC1789,"*")</f>
        <v>3279.9999999999982</v>
      </c>
      <c r="BX1788" s="343">
        <f>SUMIFS($AV$1388:AV1789,$Q$1388:Q1789,"F")</f>
        <v>396.19230875404793</v>
      </c>
      <c r="BY1788" s="343">
        <f>SUMIFS($AV$1388:AV1789,$Q$1388:Q1789,"S")</f>
        <v>425.77638392253397</v>
      </c>
      <c r="BZ1788" s="343">
        <f>SUMIFS($AV$1388:AV1789,$Q$1388:Q1789,"O")</f>
        <v>707.63999999990438</v>
      </c>
    </row>
    <row r="1789" spans="1:78" ht="15.75" customHeight="1">
      <c r="A1789" s="177" t="s">
        <v>5851</v>
      </c>
      <c r="B1789" s="200">
        <v>45392</v>
      </c>
      <c r="C1789" s="178" t="s">
        <v>682</v>
      </c>
      <c r="D1789" s="178" t="s">
        <v>151</v>
      </c>
      <c r="E1789" s="227"/>
      <c r="F1789" s="180"/>
      <c r="G1789" s="484" t="s">
        <v>2991</v>
      </c>
      <c r="H1789" s="182"/>
      <c r="I1789" s="182"/>
      <c r="J1789" s="182"/>
      <c r="K1789" s="183"/>
      <c r="L1789" s="182">
        <v>1</v>
      </c>
      <c r="M1789" s="182"/>
      <c r="N1789" s="182"/>
      <c r="O1789" s="183" t="s">
        <v>95</v>
      </c>
      <c r="P1789" s="183" t="s">
        <v>96</v>
      </c>
      <c r="Q1789" s="183" t="s">
        <v>97</v>
      </c>
      <c r="R1789" s="183">
        <v>56</v>
      </c>
      <c r="S1789" s="559">
        <v>0</v>
      </c>
      <c r="T1789" s="183">
        <v>28</v>
      </c>
      <c r="U1789" s="183" t="s">
        <v>97</v>
      </c>
      <c r="V1789" s="183"/>
      <c r="W1789" s="183"/>
      <c r="X1789" s="183"/>
      <c r="Y1789" s="184">
        <f t="shared" si="559"/>
        <v>0.01</v>
      </c>
      <c r="Z1789" s="185">
        <f t="shared" si="565"/>
        <v>1600</v>
      </c>
      <c r="AA1789" s="185" t="s">
        <v>5989</v>
      </c>
      <c r="AB1789" s="185"/>
      <c r="AC1789" s="185"/>
      <c r="AD1789" s="649">
        <v>-0.215</v>
      </c>
      <c r="AE1789" s="182"/>
      <c r="AF1789" s="332"/>
      <c r="AG1789" s="182"/>
      <c r="AH1789" s="182"/>
      <c r="AI1789" s="182"/>
      <c r="AJ1789" s="640"/>
      <c r="AK1789" s="182"/>
      <c r="AL1789" s="496">
        <f t="shared" si="556"/>
        <v>-32</v>
      </c>
      <c r="AM1789" s="496">
        <f t="shared" si="549"/>
        <v>-1792</v>
      </c>
      <c r="AN1789" s="626"/>
      <c r="AO1789" s="182"/>
      <c r="AP1789" s="182" t="s">
        <v>4184</v>
      </c>
      <c r="AQ1789" s="332" t="s">
        <v>1259</v>
      </c>
      <c r="AR1789" s="182"/>
      <c r="AS1789" s="189">
        <v>-0.22</v>
      </c>
      <c r="AT1789" s="189">
        <f t="shared" si="560"/>
        <v>5.0000000000000044E-3</v>
      </c>
      <c r="AU1789" s="187">
        <f t="shared" si="561"/>
        <v>448.0000000000004</v>
      </c>
      <c r="AV1789" s="190">
        <f t="shared" ref="AV1789" si="569">IF(ISBLANK(AS1789),,(AT1789*Z1789))</f>
        <v>8.0000000000000071</v>
      </c>
      <c r="AW1789" s="191" t="s">
        <v>96</v>
      </c>
      <c r="AX1789" s="551"/>
      <c r="AY1789" s="551"/>
      <c r="AZ1789" s="551"/>
      <c r="BA1789" s="551"/>
      <c r="BB1789" s="551"/>
      <c r="BC1789" s="551"/>
      <c r="BD1789" s="549"/>
      <c r="BE1789" s="550"/>
      <c r="BF1789" s="549"/>
      <c r="BG1789" s="391">
        <f>SUM($AV$1389:AV1789)</f>
        <v>2277.608692676491</v>
      </c>
      <c r="BH1789" s="392">
        <f>SUM($AU$1389:AU1789)</f>
        <v>32572.380000000205</v>
      </c>
      <c r="BI1789" s="318">
        <f>SUMIFS($AU$1388:AU1790,$Q$1388:Q1790,"F")</f>
        <v>22308.400000000001</v>
      </c>
      <c r="BJ1789" s="318">
        <f>SUMIFS($AU$1388:AU1790,$Q$1388:Q1790,"S")</f>
        <v>7951.9999999999909</v>
      </c>
      <c r="BK1789" s="343">
        <f>SUMIFS($AU$1388:AU1790,$P$1388:P1790,"W")</f>
        <v>24429.580000000136</v>
      </c>
      <c r="BL1789" s="343">
        <f>SUMIFS($AU$1388:AU1790,$P$1388:P1790,"R")</f>
        <v>6477.9999999998608</v>
      </c>
      <c r="BM1789" s="343">
        <f>SUMIFS($AU$1388:AU1790,$AQ$1388:AQ1790,"M")</f>
        <v>7080.7799999999161</v>
      </c>
      <c r="BN1789" s="343">
        <f>SUMIFS($AU$1388:AU1790,$AQ$1388:AQ1790,"H")</f>
        <v>5883.2000000002809</v>
      </c>
      <c r="BO1789" s="343">
        <f>SUMIFS($AU$1388:AU1790,$AQ$1388:AQ1790,"D")</f>
        <v>8210</v>
      </c>
      <c r="BP1789" s="343">
        <f>SUMIFS($AU$1388:AU1877,$AQ$1388:AQ1877,"W")</f>
        <v>12022.400000000001</v>
      </c>
      <c r="BQ1789" s="343">
        <f>SUMIFS($AU$1388:AU1790,$Q$1388:Q1790,"O")</f>
        <v>2087.9800000002169</v>
      </c>
      <c r="BR1789" s="343">
        <f>SUMIFS($AU$1388:AU1790,$AA$1388:AA1790,"*")</f>
        <v>24933.200000000092</v>
      </c>
      <c r="BS1789" s="343">
        <f>SUMIFS($AU$1388:AU1790,$AB$1388:AB1790,"*")</f>
        <v>6615.1799999999312</v>
      </c>
      <c r="BT1789" s="343">
        <f>SUMIFS($AU$1388:AU1790,$AC$1388:AC1790,"*")</f>
        <v>18548.400000000001</v>
      </c>
      <c r="BU1789" s="343">
        <f>SUMIFS($AU$1388:AU1790,$AA$1388:AA1790,"*",$AB$1388:AB1790,"*")</f>
        <v>4079.9999999998217</v>
      </c>
      <c r="BV1789" s="343">
        <f>SUMIFS($AU$1388:AU1790,$AA$1388:AA1790,"*",$AC$1388:AC1790,"*")</f>
        <v>13444.4</v>
      </c>
      <c r="BW1789" s="343">
        <f>SUMIFS($AU$1388:AU1790,$AB$1388:AB1790,"*",$AC$1388:AC1790,"*")</f>
        <v>3279.9999999999982</v>
      </c>
      <c r="BX1789" s="343">
        <f>SUMIFS($AV$1388:AV1790,$Q$1388:Q1790,"F")</f>
        <v>396.19230875404793</v>
      </c>
      <c r="BY1789" s="343">
        <f>SUMIFS($AV$1388:AV1790,$Q$1388:Q1790,"S")</f>
        <v>425.77638392253397</v>
      </c>
      <c r="BZ1789" s="343">
        <f>SUMIFS($AV$1388:AV1790,$Q$1388:Q1790,"O")</f>
        <v>707.63999999990438</v>
      </c>
    </row>
    <row r="1790" spans="1:78" ht="15.75" customHeight="1">
      <c r="A1790" s="177" t="s">
        <v>5851</v>
      </c>
      <c r="B1790" s="200">
        <v>45392</v>
      </c>
      <c r="C1790" s="178" t="s">
        <v>682</v>
      </c>
      <c r="D1790" s="178" t="s">
        <v>151</v>
      </c>
      <c r="E1790" s="227"/>
      <c r="F1790" s="180"/>
      <c r="G1790" s="181" t="s">
        <v>5990</v>
      </c>
      <c r="H1790" s="182"/>
      <c r="I1790" s="182"/>
      <c r="J1790" s="182"/>
      <c r="K1790" s="183"/>
      <c r="L1790" s="182">
        <v>1</v>
      </c>
      <c r="M1790" s="182"/>
      <c r="N1790" s="182"/>
      <c r="O1790" s="183" t="s">
        <v>95</v>
      </c>
      <c r="P1790" s="183" t="s">
        <v>96</v>
      </c>
      <c r="Q1790" s="183" t="s">
        <v>97</v>
      </c>
      <c r="R1790" s="183">
        <v>30</v>
      </c>
      <c r="S1790" s="559">
        <v>0</v>
      </c>
      <c r="T1790" s="183">
        <v>30</v>
      </c>
      <c r="U1790" s="183" t="s">
        <v>97</v>
      </c>
      <c r="V1790" s="183"/>
      <c r="W1790" s="183"/>
      <c r="X1790" s="183"/>
      <c r="Y1790" s="184">
        <f t="shared" si="559"/>
        <v>0.01</v>
      </c>
      <c r="Z1790" s="185">
        <f t="shared" si="565"/>
        <v>1600</v>
      </c>
      <c r="AA1790" s="185" t="s">
        <v>5492</v>
      </c>
      <c r="AB1790" s="185"/>
      <c r="AC1790" s="185"/>
      <c r="AD1790" s="649">
        <v>-0.3</v>
      </c>
      <c r="AE1790" s="182"/>
      <c r="AF1790" s="332"/>
      <c r="AG1790" s="182"/>
      <c r="AH1790" s="182"/>
      <c r="AI1790" s="182"/>
      <c r="AJ1790" s="640"/>
      <c r="AK1790" s="182"/>
      <c r="AL1790" s="496">
        <f t="shared" si="556"/>
        <v>-32</v>
      </c>
      <c r="AM1790" s="496">
        <f t="shared" si="549"/>
        <v>-960</v>
      </c>
      <c r="AN1790" s="626"/>
      <c r="AO1790" s="182"/>
      <c r="AP1790" s="182" t="s">
        <v>3286</v>
      </c>
      <c r="AQ1790" s="332" t="s">
        <v>1259</v>
      </c>
      <c r="AR1790" s="182"/>
      <c r="AS1790" s="189">
        <v>-0.3</v>
      </c>
      <c r="AT1790" s="189">
        <f t="shared" si="560"/>
        <v>0</v>
      </c>
      <c r="AU1790" s="187">
        <f t="shared" si="561"/>
        <v>0</v>
      </c>
      <c r="AV1790" s="190">
        <f t="shared" ref="AV1790" si="570">IF(ISBLANK(AS1790),,(AT1790*Z1790))</f>
        <v>0</v>
      </c>
      <c r="AW1790" s="191" t="s">
        <v>115</v>
      </c>
      <c r="AX1790" s="551" t="s">
        <v>5991</v>
      </c>
      <c r="AY1790" s="551"/>
      <c r="AZ1790" s="551"/>
      <c r="BA1790" s="551"/>
      <c r="BB1790" s="551"/>
      <c r="BC1790" s="551"/>
      <c r="BD1790" s="549"/>
      <c r="BE1790" s="550"/>
      <c r="BF1790" s="549"/>
      <c r="BG1790" s="391">
        <f>SUM($AV$1389:AV1790)</f>
        <v>2277.608692676491</v>
      </c>
      <c r="BH1790" s="392">
        <f>SUM($AU$1389:AU1790)</f>
        <v>32572.380000000205</v>
      </c>
      <c r="BI1790" s="318">
        <f>SUMIFS($AU$1388:AU1791,$Q$1388:Q1791,"F")</f>
        <v>22308.400000000001</v>
      </c>
      <c r="BJ1790" s="318">
        <f>SUMIFS($AU$1388:AU1791,$Q$1388:Q1791,"S")</f>
        <v>7311.9999999999909</v>
      </c>
      <c r="BK1790" s="343">
        <f>SUMIFS($AU$1388:AU1791,$P$1388:P1791,"W")</f>
        <v>23789.580000000136</v>
      </c>
      <c r="BL1790" s="343">
        <f>SUMIFS($AU$1388:AU1791,$P$1388:P1791,"R")</f>
        <v>6477.9999999998608</v>
      </c>
      <c r="BM1790" s="343">
        <f>SUMIFS($AU$1388:AU1791,$AQ$1388:AQ1791,"M")</f>
        <v>7080.7799999999161</v>
      </c>
      <c r="BN1790" s="343">
        <f>SUMIFS($AU$1388:AU1791,$AQ$1388:AQ1791,"H")</f>
        <v>5243.2000000002809</v>
      </c>
      <c r="BO1790" s="343">
        <f>SUMIFS($AU$1388:AU1791,$AQ$1388:AQ1791,"D")</f>
        <v>8210</v>
      </c>
      <c r="BP1790" s="343">
        <f>SUMIFS($AU$1388:AU1878,$AQ$1388:AQ1878,"W")</f>
        <v>12022.400000000001</v>
      </c>
      <c r="BQ1790" s="343">
        <f>SUMIFS($AU$1388:AU1791,$Q$1388:Q1791,"O")</f>
        <v>2087.9800000002169</v>
      </c>
      <c r="BR1790" s="343">
        <f>SUMIFS($AU$1388:AU1791,$AA$1388:AA1791,"*")</f>
        <v>24933.200000000092</v>
      </c>
      <c r="BS1790" s="343">
        <f>SUMIFS($AU$1388:AU1791,$AB$1388:AB1791,"*")</f>
        <v>6615.1799999999312</v>
      </c>
      <c r="BT1790" s="343">
        <f>SUMIFS($AU$1388:AU1791,$AC$1388:AC1791,"*")</f>
        <v>17908.400000000001</v>
      </c>
      <c r="BU1790" s="343">
        <f>SUMIFS($AU$1388:AU1791,$AA$1388:AA1791,"*",$AB$1388:AB1791,"*")</f>
        <v>4079.9999999998217</v>
      </c>
      <c r="BV1790" s="343">
        <f>SUMIFS($AU$1388:AU1791,$AA$1388:AA1791,"*",$AC$1388:AC1791,"*")</f>
        <v>13444.4</v>
      </c>
      <c r="BW1790" s="343">
        <f>SUMIFS($AU$1388:AU1791,$AB$1388:AB1791,"*",$AC$1388:AC1791,"*")</f>
        <v>3279.9999999999982</v>
      </c>
      <c r="BX1790" s="343">
        <f>SUMIFS($AV$1388:AV1791,$Q$1388:Q1791,"F")</f>
        <v>396.19230875404793</v>
      </c>
      <c r="BY1790" s="343">
        <f>SUMIFS($AV$1388:AV1791,$Q$1388:Q1791,"S")</f>
        <v>393.77638392253397</v>
      </c>
      <c r="BZ1790" s="343">
        <f>SUMIFS($AV$1388:AV1791,$Q$1388:Q1791,"O")</f>
        <v>707.63999999990438</v>
      </c>
    </row>
    <row r="1791" spans="1:78" ht="15.75" customHeight="1">
      <c r="A1791" s="177" t="s">
        <v>5851</v>
      </c>
      <c r="B1791" s="200">
        <v>45392</v>
      </c>
      <c r="C1791" s="178" t="s">
        <v>682</v>
      </c>
      <c r="D1791" s="178" t="s">
        <v>151</v>
      </c>
      <c r="E1791" s="227"/>
      <c r="F1791" s="180"/>
      <c r="G1791" s="484" t="s">
        <v>2016</v>
      </c>
      <c r="H1791" s="182"/>
      <c r="I1791" s="182"/>
      <c r="J1791" s="182"/>
      <c r="K1791" s="183"/>
      <c r="L1791" s="182">
        <v>1</v>
      </c>
      <c r="M1791" s="182"/>
      <c r="N1791" s="182"/>
      <c r="O1791" s="183" t="s">
        <v>95</v>
      </c>
      <c r="P1791" s="183" t="s">
        <v>96</v>
      </c>
      <c r="Q1791" s="183" t="s">
        <v>97</v>
      </c>
      <c r="R1791" s="183">
        <v>20</v>
      </c>
      <c r="S1791" s="559">
        <v>10</v>
      </c>
      <c r="T1791" s="183">
        <v>20</v>
      </c>
      <c r="U1791" s="183" t="s">
        <v>97</v>
      </c>
      <c r="V1791" s="183"/>
      <c r="W1791" s="183"/>
      <c r="X1791" s="183"/>
      <c r="Y1791" s="184">
        <f t="shared" si="559"/>
        <v>0.01</v>
      </c>
      <c r="Z1791" s="185">
        <f t="shared" si="565"/>
        <v>1600</v>
      </c>
      <c r="AA1791" s="185"/>
      <c r="AB1791" s="185"/>
      <c r="AC1791" s="185" t="s">
        <v>5992</v>
      </c>
      <c r="AD1791" s="649">
        <v>-0.12</v>
      </c>
      <c r="AE1791" s="182"/>
      <c r="AF1791" s="332"/>
      <c r="AG1791" s="182"/>
      <c r="AH1791" s="182"/>
      <c r="AI1791" s="182"/>
      <c r="AJ1791" s="640"/>
      <c r="AK1791" s="182"/>
      <c r="AL1791" s="496">
        <f t="shared" si="556"/>
        <v>-32</v>
      </c>
      <c r="AM1791" s="496">
        <f t="shared" si="549"/>
        <v>-320</v>
      </c>
      <c r="AN1791" s="626"/>
      <c r="AO1791" s="182"/>
      <c r="AP1791" s="182" t="s">
        <v>5993</v>
      </c>
      <c r="AQ1791" s="332" t="s">
        <v>372</v>
      </c>
      <c r="AR1791" s="182" t="s">
        <v>5994</v>
      </c>
      <c r="AS1791" s="189">
        <v>-0.1</v>
      </c>
      <c r="AT1791" s="189">
        <f t="shared" si="560"/>
        <v>-1.999999999999999E-2</v>
      </c>
      <c r="AU1791" s="187">
        <f t="shared" si="561"/>
        <v>-639.99999999999977</v>
      </c>
      <c r="AV1791" s="190">
        <f t="shared" ref="AV1791:AV1794" si="571">IF(ISBLANK(AS1791),,(AT1791*Z1791))</f>
        <v>-31.999999999999986</v>
      </c>
      <c r="AW1791" s="191" t="s">
        <v>229</v>
      </c>
      <c r="AX1791" s="551"/>
      <c r="AY1791" s="551"/>
      <c r="AZ1791" s="551"/>
      <c r="BA1791" s="551"/>
      <c r="BB1791" s="551"/>
      <c r="BC1791" s="551"/>
      <c r="BD1791" s="549"/>
      <c r="BE1791" s="550"/>
      <c r="BF1791" s="549"/>
      <c r="BG1791" s="391">
        <f>SUM($AV$1389:AV1791)</f>
        <v>2245.608692676491</v>
      </c>
      <c r="BH1791" s="392">
        <f>SUM($AU$1389:AU1791)</f>
        <v>31932.380000000205</v>
      </c>
      <c r="BI1791" s="318">
        <f>SUMIFS($AU$1388:AU1792,$Q$1388:Q1792,"F")</f>
        <v>22308.400000000001</v>
      </c>
      <c r="BJ1791" s="318">
        <f>SUMIFS($AU$1388:AU1792,$Q$1388:Q1792,"S")</f>
        <v>7311.9999999999909</v>
      </c>
      <c r="BK1791" s="343">
        <f>SUMIFS($AU$1388:AU1792,$P$1388:P1792,"W")</f>
        <v>23789.580000000136</v>
      </c>
      <c r="BL1791" s="343">
        <f>SUMIFS($AU$1388:AU1792,$P$1388:P1792,"R")</f>
        <v>6477.9999999998608</v>
      </c>
      <c r="BM1791" s="343">
        <f>SUMIFS($AU$1388:AU1792,$AQ$1388:AQ1792,"M")</f>
        <v>7080.7799999999161</v>
      </c>
      <c r="BN1791" s="343">
        <f>SUMIFS($AU$1388:AU1792,$AQ$1388:AQ1792,"H")</f>
        <v>5243.2000000002809</v>
      </c>
      <c r="BO1791" s="343">
        <f>SUMIFS($AU$1388:AU1792,$AQ$1388:AQ1792,"D")</f>
        <v>8210</v>
      </c>
      <c r="BP1791" s="343">
        <f>SUMIFS($AU$1388:AU1879,$AQ$1388:AQ1879,"W")</f>
        <v>12022.400000000001</v>
      </c>
      <c r="BQ1791" s="343">
        <f>SUMIFS($AU$1388:AU1792,$Q$1388:Q1792,"O")</f>
        <v>2087.9800000002169</v>
      </c>
      <c r="BR1791" s="343">
        <f>SUMIFS($AU$1388:AU1792,$AA$1388:AA1792,"*")</f>
        <v>24933.200000000092</v>
      </c>
      <c r="BS1791" s="343">
        <f>SUMIFS($AU$1388:AU1792,$AB$1388:AB1792,"*")</f>
        <v>6615.1799999999312</v>
      </c>
      <c r="BT1791" s="343">
        <f>SUMIFS($AU$1388:AU1792,$AC$1388:AC1792,"*")</f>
        <v>17908.400000000001</v>
      </c>
      <c r="BU1791" s="343">
        <f>SUMIFS($AU$1388:AU1792,$AA$1388:AA1792,"*",$AB$1388:AB1792,"*")</f>
        <v>4079.9999999998217</v>
      </c>
      <c r="BV1791" s="343">
        <f>SUMIFS($AU$1388:AU1792,$AA$1388:AA1792,"*",$AC$1388:AC1792,"*")</f>
        <v>13444.4</v>
      </c>
      <c r="BW1791" s="343">
        <f>SUMIFS($AU$1388:AU1792,$AB$1388:AB1792,"*",$AC$1388:AC1792,"*")</f>
        <v>3279.9999999999982</v>
      </c>
      <c r="BX1791" s="343">
        <f>SUMIFS($AV$1388:AV1792,$Q$1388:Q1792,"F")</f>
        <v>396.19230875404793</v>
      </c>
      <c r="BY1791" s="343">
        <f>SUMIFS($AV$1388:AV1792,$Q$1388:Q1792,"S")</f>
        <v>393.77638392253397</v>
      </c>
      <c r="BZ1791" s="343">
        <f>SUMIFS($AV$1388:AV1792,$Q$1388:Q1792,"O")</f>
        <v>707.63999999990438</v>
      </c>
    </row>
    <row r="1792" spans="1:78" ht="15.75" customHeight="1">
      <c r="A1792" s="177" t="s">
        <v>5851</v>
      </c>
      <c r="B1792" s="200">
        <v>45392</v>
      </c>
      <c r="C1792" s="178" t="s">
        <v>682</v>
      </c>
      <c r="D1792" s="178" t="s">
        <v>151</v>
      </c>
      <c r="E1792" s="227"/>
      <c r="F1792" s="180"/>
      <c r="G1792" s="181" t="s">
        <v>2016</v>
      </c>
      <c r="H1792" s="182"/>
      <c r="I1792" s="182"/>
      <c r="J1792" s="182"/>
      <c r="K1792" s="183"/>
      <c r="L1792" s="182">
        <v>1</v>
      </c>
      <c r="M1792" s="182"/>
      <c r="N1792" s="182"/>
      <c r="O1792" s="183" t="s">
        <v>95</v>
      </c>
      <c r="P1792" s="183" t="s">
        <v>96</v>
      </c>
      <c r="Q1792" s="183" t="s">
        <v>97</v>
      </c>
      <c r="R1792" s="183"/>
      <c r="S1792" s="559"/>
      <c r="T1792" s="183"/>
      <c r="U1792" s="183"/>
      <c r="V1792" s="183"/>
      <c r="W1792" s="183"/>
      <c r="X1792" s="183"/>
      <c r="Y1792" s="184"/>
      <c r="Z1792" s="185"/>
      <c r="AA1792" s="185"/>
      <c r="AB1792" s="185"/>
      <c r="AC1792" s="185"/>
      <c r="AD1792" s="649"/>
      <c r="AE1792" s="182"/>
      <c r="AF1792" s="332"/>
      <c r="AG1792" s="182"/>
      <c r="AH1792" s="182"/>
      <c r="AI1792" s="182"/>
      <c r="AJ1792" s="640"/>
      <c r="AK1792" s="182"/>
      <c r="AL1792" s="496">
        <f t="shared" si="556"/>
        <v>0</v>
      </c>
      <c r="AM1792" s="496">
        <f t="shared" si="549"/>
        <v>0</v>
      </c>
      <c r="AN1792" s="626"/>
      <c r="AO1792" s="182"/>
      <c r="AP1792" s="182"/>
      <c r="AQ1792" s="332" t="str">
        <f>UPPER(RIGHT(Journal_Live[[#This Row],[DURATION ]]))</f>
        <v/>
      </c>
      <c r="AR1792" s="182"/>
      <c r="AS1792" s="189"/>
      <c r="AT1792" s="189"/>
      <c r="AU1792" s="187"/>
      <c r="AV1792" s="190"/>
      <c r="AW1792" s="191"/>
      <c r="AX1792" s="551"/>
      <c r="AY1792" s="551"/>
      <c r="AZ1792" s="551"/>
      <c r="BA1792" s="551"/>
      <c r="BB1792" s="551"/>
      <c r="BC1792" s="551"/>
      <c r="BD1792" s="549"/>
      <c r="BE1792" s="550"/>
      <c r="BF1792" s="549"/>
      <c r="BG1792" s="391">
        <f>SUM($AV$1389:AV1792)</f>
        <v>2245.608692676491</v>
      </c>
      <c r="BH1792" s="392">
        <f>SUM($AU$1389:AU1792)</f>
        <v>31932.380000000205</v>
      </c>
      <c r="BI1792" s="318">
        <f>SUMIFS($AU$1388:AU1793,$Q$1388:Q1793,"F")</f>
        <v>22308.400000000001</v>
      </c>
      <c r="BJ1792" s="318">
        <f>SUMIFS($AU$1388:AU1793,$Q$1388:Q1793,"S")</f>
        <v>5967.9999999999918</v>
      </c>
      <c r="BK1792" s="343">
        <f>SUMIFS($AU$1388:AU1793,$P$1388:P1793,"W")</f>
        <v>22445.580000000136</v>
      </c>
      <c r="BL1792" s="343">
        <f>SUMIFS($AU$1388:AU1793,$P$1388:P1793,"R")</f>
        <v>6477.9999999998608</v>
      </c>
      <c r="BM1792" s="343">
        <f>SUMIFS($AU$1388:AU1793,$AQ$1388:AQ1793,"M")</f>
        <v>7080.7799999999161</v>
      </c>
      <c r="BN1792" s="343">
        <f>SUMIFS($AU$1388:AU1793,$AQ$1388:AQ1793,"H")</f>
        <v>3899.2000000002818</v>
      </c>
      <c r="BO1792" s="343">
        <f>SUMIFS($AU$1388:AU1793,$AQ$1388:AQ1793,"D")</f>
        <v>8210</v>
      </c>
      <c r="BP1792" s="343">
        <f>SUMIFS($AU$1388:AU1880,$AQ$1388:AQ1880,"W")</f>
        <v>12022.400000000001</v>
      </c>
      <c r="BQ1792" s="343">
        <f>SUMIFS($AU$1388:AU1793,$Q$1388:Q1793,"O")</f>
        <v>2087.9800000002169</v>
      </c>
      <c r="BR1792" s="343">
        <f>SUMIFS($AU$1388:AU1793,$AA$1388:AA1793,"*")</f>
        <v>23589.200000000092</v>
      </c>
      <c r="BS1792" s="343">
        <f>SUMIFS($AU$1388:AU1793,$AB$1388:AB1793,"*")</f>
        <v>6615.1799999999312</v>
      </c>
      <c r="BT1792" s="343">
        <f>SUMIFS($AU$1388:AU1793,$AC$1388:AC1793,"*")</f>
        <v>17908.400000000001</v>
      </c>
      <c r="BU1792" s="343">
        <f>SUMIFS($AU$1388:AU1793,$AA$1388:AA1793,"*",$AB$1388:AB1793,"*")</f>
        <v>4079.9999999998217</v>
      </c>
      <c r="BV1792" s="343">
        <f>SUMIFS($AU$1388:AU1793,$AA$1388:AA1793,"*",$AC$1388:AC1793,"*")</f>
        <v>13444.4</v>
      </c>
      <c r="BW1792" s="343">
        <f>SUMIFS($AU$1388:AU1793,$AB$1388:AB1793,"*",$AC$1388:AC1793,"*")</f>
        <v>3279.9999999999982</v>
      </c>
      <c r="BX1792" s="343">
        <f>SUMIFS($AV$1388:AV1793,$Q$1388:Q1793,"F")</f>
        <v>396.19230875404793</v>
      </c>
      <c r="BY1792" s="343">
        <f>SUMIFS($AV$1388:AV1793,$Q$1388:Q1793,"S")</f>
        <v>361.77638392253397</v>
      </c>
      <c r="BZ1792" s="343">
        <f>SUMIFS($AV$1388:AV1793,$Q$1388:Q1793,"O")</f>
        <v>707.63999999990438</v>
      </c>
    </row>
    <row r="1793" spans="1:78" ht="15.75" customHeight="1">
      <c r="A1793" s="177" t="s">
        <v>5851</v>
      </c>
      <c r="B1793" s="200">
        <v>45392</v>
      </c>
      <c r="C1793" s="178" t="s">
        <v>682</v>
      </c>
      <c r="D1793" s="178" t="s">
        <v>151</v>
      </c>
      <c r="E1793" s="227"/>
      <c r="F1793" s="180"/>
      <c r="G1793" s="484" t="s">
        <v>3990</v>
      </c>
      <c r="H1793" s="182"/>
      <c r="I1793" s="182"/>
      <c r="J1793" s="182"/>
      <c r="K1793" s="183"/>
      <c r="L1793" s="182">
        <v>1</v>
      </c>
      <c r="M1793" s="182"/>
      <c r="N1793" s="182"/>
      <c r="O1793" s="183" t="s">
        <v>95</v>
      </c>
      <c r="P1793" s="183" t="s">
        <v>96</v>
      </c>
      <c r="Q1793" s="183" t="s">
        <v>97</v>
      </c>
      <c r="R1793" s="183">
        <v>42</v>
      </c>
      <c r="S1793" s="559">
        <v>0</v>
      </c>
      <c r="T1793" s="183">
        <v>42</v>
      </c>
      <c r="U1793" s="183" t="s">
        <v>97</v>
      </c>
      <c r="V1793" s="183"/>
      <c r="W1793" s="183"/>
      <c r="X1793" s="183"/>
      <c r="Y1793" s="184">
        <f>IF(ISBLANK(O1793),"",(IF(O1793=UPPER("IB"),0.005,0.01)))</f>
        <v>0.01</v>
      </c>
      <c r="Z1793" s="185">
        <f>IF(ISBLANK(O1793),"",IF(O1793="IB",8.63*200,IF(O1793="IR",16*100,IF(O1793="YT",20*100,IF(O1793="YT-XT",24*200,IF(O1793="TED",80*100,IF(O1793="XT",29*200)))))))</f>
        <v>1600</v>
      </c>
      <c r="AA1793" s="185" t="s">
        <v>5995</v>
      </c>
      <c r="AB1793" s="185"/>
      <c r="AC1793" s="185"/>
      <c r="AD1793" s="649">
        <v>-0.19</v>
      </c>
      <c r="AE1793" s="182"/>
      <c r="AF1793" s="332"/>
      <c r="AG1793" s="182"/>
      <c r="AH1793" s="182"/>
      <c r="AI1793" s="182"/>
      <c r="AJ1793" s="640"/>
      <c r="AK1793" s="182"/>
      <c r="AL1793" s="496">
        <f t="shared" si="556"/>
        <v>-32</v>
      </c>
      <c r="AM1793" s="496">
        <f t="shared" si="549"/>
        <v>-1344</v>
      </c>
      <c r="AN1793" s="626"/>
      <c r="AO1793" s="182"/>
      <c r="AP1793" s="182" t="s">
        <v>1005</v>
      </c>
      <c r="AQ1793" s="332" t="s">
        <v>372</v>
      </c>
      <c r="AR1793" s="182" t="s">
        <v>5996</v>
      </c>
      <c r="AS1793" s="189">
        <v>-0.17</v>
      </c>
      <c r="AT1793" s="189">
        <f>IF(ISBLANK(AS1793),,IF(U1793="S",AD1793-AS1793,AS1793-AD1793))</f>
        <v>-1.999999999999999E-2</v>
      </c>
      <c r="AU1793" s="187">
        <f>AV1793*R1793</f>
        <v>-1343.9999999999993</v>
      </c>
      <c r="AV1793" s="190">
        <f t="shared" si="571"/>
        <v>-31.999999999999986</v>
      </c>
      <c r="AW1793" s="191" t="s">
        <v>229</v>
      </c>
      <c r="AX1793" s="551" t="s">
        <v>5997</v>
      </c>
      <c r="AY1793" s="551" t="s">
        <v>5998</v>
      </c>
      <c r="AZ1793" s="551" t="s">
        <v>5999</v>
      </c>
      <c r="BA1793" s="551" t="s">
        <v>6000</v>
      </c>
      <c r="BB1793" s="551"/>
      <c r="BC1793" s="551"/>
      <c r="BD1793" s="549"/>
      <c r="BE1793" s="550"/>
      <c r="BF1793" s="549"/>
      <c r="BG1793" s="391">
        <f>SUM($AV$1389:AV1793)</f>
        <v>2213.608692676491</v>
      </c>
      <c r="BH1793" s="392">
        <f>SUM($AU$1389:AU1793)</f>
        <v>30588.380000000205</v>
      </c>
      <c r="BI1793" s="318">
        <f>SUMIFS($AU$1388:AU1794,$Q$1388:Q1794,"F")</f>
        <v>22308.400000000001</v>
      </c>
      <c r="BJ1793" s="318">
        <f>SUMIFS($AU$1388:AU1794,$Q$1388:Q1794,"S")</f>
        <v>5295.9999999999936</v>
      </c>
      <c r="BK1793" s="343">
        <f>SUMIFS($AU$1388:AU1794,$P$1388:P1794,"W")</f>
        <v>21773.58000000014</v>
      </c>
      <c r="BL1793" s="343">
        <f>SUMIFS($AU$1388:AU1794,$P$1388:P1794,"R")</f>
        <v>6477.9999999998608</v>
      </c>
      <c r="BM1793" s="343">
        <f>SUMIFS($AU$1388:AU1794,$AQ$1388:AQ1794,"M")</f>
        <v>6408.7799999999179</v>
      </c>
      <c r="BN1793" s="343">
        <f>SUMIFS($AU$1388:AU1794,$AQ$1388:AQ1794,"H")</f>
        <v>3899.2000000002818</v>
      </c>
      <c r="BO1793" s="343">
        <f>SUMIFS($AU$1388:AU1794,$AQ$1388:AQ1794,"D")</f>
        <v>8210</v>
      </c>
      <c r="BP1793" s="343">
        <f>SUMIFS($AU$1388:AU1881,$AQ$1388:AQ1881,"W")</f>
        <v>12022.400000000001</v>
      </c>
      <c r="BQ1793" s="343">
        <f>SUMIFS($AU$1388:AU1794,$Q$1388:Q1794,"O")</f>
        <v>2087.9800000002169</v>
      </c>
      <c r="BR1793" s="343">
        <f>SUMIFS($AU$1388:AU1794,$AA$1388:AA1794,"*")</f>
        <v>22917.200000000095</v>
      </c>
      <c r="BS1793" s="343">
        <f>SUMIFS($AU$1388:AU1794,$AB$1388:AB1794,"*")</f>
        <v>6615.1799999999312</v>
      </c>
      <c r="BT1793" s="343">
        <f>SUMIFS($AU$1388:AU1794,$AC$1388:AC1794,"*")</f>
        <v>17908.400000000001</v>
      </c>
      <c r="BU1793" s="343">
        <f>SUMIFS($AU$1388:AU1794,$AA$1388:AA1794,"*",$AB$1388:AB1794,"*")</f>
        <v>4079.9999999998217</v>
      </c>
      <c r="BV1793" s="343">
        <f>SUMIFS($AU$1388:AU1794,$AA$1388:AA1794,"*",$AC$1388:AC1794,"*")</f>
        <v>13444.4</v>
      </c>
      <c r="BW1793" s="343">
        <f>SUMIFS($AU$1388:AU1794,$AB$1388:AB1794,"*",$AC$1388:AC1794,"*")</f>
        <v>3279.9999999999982</v>
      </c>
      <c r="BX1793" s="343">
        <f>SUMIFS($AV$1388:AV1794,$Q$1388:Q1794,"F")</f>
        <v>396.19230875404793</v>
      </c>
      <c r="BY1793" s="343">
        <f>SUMIFS($AV$1388:AV1794,$Q$1388:Q1794,"S")</f>
        <v>337.77638392253402</v>
      </c>
      <c r="BZ1793" s="343">
        <f>SUMIFS($AV$1388:AV1794,$Q$1388:Q1794,"O")</f>
        <v>707.63999999990438</v>
      </c>
    </row>
    <row r="1794" spans="1:78" ht="15.75" customHeight="1">
      <c r="A1794" s="177" t="s">
        <v>5851</v>
      </c>
      <c r="B1794" s="200">
        <v>45392</v>
      </c>
      <c r="C1794" s="178" t="s">
        <v>682</v>
      </c>
      <c r="D1794" s="178" t="s">
        <v>151</v>
      </c>
      <c r="E1794" s="227"/>
      <c r="F1794" s="180"/>
      <c r="G1794" s="484" t="s">
        <v>6001</v>
      </c>
      <c r="H1794" s="182"/>
      <c r="I1794" s="182"/>
      <c r="J1794" s="182"/>
      <c r="K1794" s="183"/>
      <c r="L1794" s="182">
        <v>1</v>
      </c>
      <c r="M1794" s="182"/>
      <c r="N1794" s="182"/>
      <c r="O1794" s="183" t="s">
        <v>95</v>
      </c>
      <c r="P1794" s="183" t="s">
        <v>96</v>
      </c>
      <c r="Q1794" s="183" t="s">
        <v>97</v>
      </c>
      <c r="R1794" s="183">
        <v>28</v>
      </c>
      <c r="S1794" s="559">
        <v>14</v>
      </c>
      <c r="T1794" s="183">
        <v>28</v>
      </c>
      <c r="U1794" s="183" t="s">
        <v>97</v>
      </c>
      <c r="V1794" s="183"/>
      <c r="W1794" s="183"/>
      <c r="X1794" s="183"/>
      <c r="Y1794" s="184">
        <f>IF(ISBLANK(O1794),"",(IF(O1794=UPPER("IB"),0.005,0.01)))</f>
        <v>0.01</v>
      </c>
      <c r="Z1794" s="185">
        <f>IF(ISBLANK(O1794),"",IF(O1794="IB",8.63*200,IF(O1794="IR",16*100,IF(O1794="YT",20*100,IF(O1794="YT-XT",24*200,IF(O1794="TED",80*100,IF(O1794="XT",29*200)))))))</f>
        <v>1600</v>
      </c>
      <c r="AA1794" s="185" t="s">
        <v>3801</v>
      </c>
      <c r="AB1794" s="185"/>
      <c r="AC1794" s="185"/>
      <c r="AD1794" s="649">
        <v>-0.28999999999999998</v>
      </c>
      <c r="AE1794" s="182"/>
      <c r="AF1794" s="332"/>
      <c r="AG1794" s="182"/>
      <c r="AH1794" s="182"/>
      <c r="AI1794" s="182"/>
      <c r="AJ1794" s="640"/>
      <c r="AK1794" s="182"/>
      <c r="AL1794" s="496">
        <f t="shared" si="556"/>
        <v>-32</v>
      </c>
      <c r="AM1794" s="496">
        <f t="shared" si="549"/>
        <v>-448</v>
      </c>
      <c r="AN1794" s="626"/>
      <c r="AO1794" s="182"/>
      <c r="AP1794" s="182"/>
      <c r="AQ1794" s="332" t="s">
        <v>1259</v>
      </c>
      <c r="AR1794" s="182" t="s">
        <v>6002</v>
      </c>
      <c r="AS1794" s="189">
        <f>((-0.3*14)+(-0.25*14))/28</f>
        <v>-0.27500000000000002</v>
      </c>
      <c r="AT1794" s="189">
        <f>IF(ISBLANK(AS1794),,IF(U1794="S",AD1794-AS1794,AS1794-AD1794))</f>
        <v>-1.4999999999999958E-2</v>
      </c>
      <c r="AU1794" s="187">
        <f>AV1794*R1794</f>
        <v>-671.99999999999807</v>
      </c>
      <c r="AV1794" s="190">
        <f t="shared" si="571"/>
        <v>-23.999999999999932</v>
      </c>
      <c r="AW1794" s="191" t="s">
        <v>229</v>
      </c>
      <c r="AX1794" s="551" t="s">
        <v>6003</v>
      </c>
      <c r="AY1794" s="551" t="s">
        <v>6004</v>
      </c>
      <c r="AZ1794" s="551" t="s">
        <v>6005</v>
      </c>
      <c r="BA1794" s="551" t="s">
        <v>6006</v>
      </c>
      <c r="BB1794" s="551" t="s">
        <v>6007</v>
      </c>
      <c r="BC1794" s="551" t="s">
        <v>6008</v>
      </c>
      <c r="BD1794" s="549" t="s">
        <v>6009</v>
      </c>
      <c r="BE1794" s="550"/>
      <c r="BF1794" s="549"/>
      <c r="BG1794" s="391">
        <f>SUM($AV$1389:AV1794)</f>
        <v>2189.608692676491</v>
      </c>
      <c r="BH1794" s="392">
        <f>SUM($AU$1389:AU1794)</f>
        <v>29916.380000000208</v>
      </c>
      <c r="BI1794" s="318">
        <f>SUMIFS($AU$1388:AU1795,$Q$1388:Q1795,"F")</f>
        <v>22308.400000000001</v>
      </c>
      <c r="BJ1794" s="318">
        <f>SUMIFS($AU$1388:AU1795,$Q$1388:Q1795,"S")</f>
        <v>5295.9999999999936</v>
      </c>
      <c r="BK1794" s="343">
        <f>SUMIFS($AU$1388:AU1795,$P$1388:P1795,"W")</f>
        <v>21773.58000000014</v>
      </c>
      <c r="BL1794" s="343">
        <f>SUMIFS($AU$1388:AU1795,$P$1388:P1795,"R")</f>
        <v>6477.9999999998608</v>
      </c>
      <c r="BM1794" s="343">
        <f>SUMIFS($AU$1388:AU1795,$AQ$1388:AQ1795,"M")</f>
        <v>6408.7799999999179</v>
      </c>
      <c r="BN1794" s="343">
        <f>SUMIFS($AU$1388:AU1795,$AQ$1388:AQ1795,"H")</f>
        <v>3899.2000000002818</v>
      </c>
      <c r="BO1794" s="343">
        <f>SUMIFS($AU$1388:AU1795,$AQ$1388:AQ1795,"D")</f>
        <v>8210</v>
      </c>
      <c r="BP1794" s="343">
        <f>SUMIFS($AU$1388:AU1882,$AQ$1388:AQ1882,"W")</f>
        <v>12022.400000000001</v>
      </c>
      <c r="BQ1794" s="343">
        <f>SUMIFS($AU$1388:AU1795,$Q$1388:Q1795,"O")</f>
        <v>2087.9800000002169</v>
      </c>
      <c r="BR1794" s="343">
        <f>SUMIFS($AU$1388:AU1795,$AA$1388:AA1795,"*")</f>
        <v>22917.200000000095</v>
      </c>
      <c r="BS1794" s="343">
        <f>SUMIFS($AU$1388:AU1795,$AB$1388:AB1795,"*")</f>
        <v>6615.1799999999312</v>
      </c>
      <c r="BT1794" s="343">
        <f>SUMIFS($AU$1388:AU1795,$AC$1388:AC1795,"*")</f>
        <v>17908.400000000001</v>
      </c>
      <c r="BU1794" s="343">
        <f>SUMIFS($AU$1388:AU1795,$AA$1388:AA1795,"*",$AB$1388:AB1795,"*")</f>
        <v>4079.9999999998217</v>
      </c>
      <c r="BV1794" s="343">
        <f>SUMIFS($AU$1388:AU1795,$AA$1388:AA1795,"*",$AC$1388:AC1795,"*")</f>
        <v>13444.4</v>
      </c>
      <c r="BW1794" s="343">
        <f>SUMIFS($AU$1388:AU1795,$AB$1388:AB1795,"*",$AC$1388:AC1795,"*")</f>
        <v>3279.9999999999982</v>
      </c>
      <c r="BX1794" s="343">
        <f>SUMIFS($AV$1388:AV1795,$Q$1388:Q1795,"F")</f>
        <v>396.19230875404793</v>
      </c>
      <c r="BY1794" s="343">
        <f>SUMIFS($AV$1388:AV1795,$Q$1388:Q1795,"S")</f>
        <v>337.77638392253402</v>
      </c>
      <c r="BZ1794" s="343">
        <f>SUMIFS($AV$1388:AV1795,$Q$1388:Q1795,"O")</f>
        <v>707.63999999990438</v>
      </c>
    </row>
    <row r="1795" spans="1:78" ht="15.75" customHeight="1">
      <c r="A1795" s="177" t="s">
        <v>5851</v>
      </c>
      <c r="B1795" s="200">
        <v>45392</v>
      </c>
      <c r="C1795" s="178" t="s">
        <v>682</v>
      </c>
      <c r="D1795" s="178" t="s">
        <v>151</v>
      </c>
      <c r="E1795" s="227"/>
      <c r="F1795" s="180"/>
      <c r="G1795" s="181" t="s">
        <v>2070</v>
      </c>
      <c r="H1795" s="182"/>
      <c r="I1795" s="182"/>
      <c r="J1795" s="182"/>
      <c r="K1795" s="183"/>
      <c r="L1795" s="182"/>
      <c r="M1795" s="182"/>
      <c r="N1795" s="182"/>
      <c r="O1795" s="183"/>
      <c r="P1795" s="183"/>
      <c r="Q1795" s="183"/>
      <c r="R1795" s="183"/>
      <c r="S1795" s="559"/>
      <c r="T1795" s="183"/>
      <c r="U1795" s="183"/>
      <c r="V1795" s="183"/>
      <c r="W1795" s="183"/>
      <c r="X1795" s="183"/>
      <c r="Y1795" s="184"/>
      <c r="Z1795" s="185"/>
      <c r="AA1795" s="185"/>
      <c r="AB1795" s="185"/>
      <c r="AC1795" s="185"/>
      <c r="AD1795" s="649"/>
      <c r="AE1795" s="182"/>
      <c r="AF1795" s="332"/>
      <c r="AG1795" s="182"/>
      <c r="AH1795" s="182"/>
      <c r="AI1795" s="182"/>
      <c r="AJ1795" s="640"/>
      <c r="AK1795" s="182"/>
      <c r="AL1795" s="496"/>
      <c r="AM1795" s="496"/>
      <c r="AN1795" s="626"/>
      <c r="AO1795" s="182"/>
      <c r="AP1795" s="182"/>
      <c r="AQ1795" s="332"/>
      <c r="AR1795" s="182"/>
      <c r="AS1795" s="189"/>
      <c r="AT1795" s="189"/>
      <c r="AU1795" s="187"/>
      <c r="AV1795" s="190"/>
      <c r="AW1795" s="191"/>
      <c r="AX1795" s="551"/>
      <c r="AY1795" s="551"/>
      <c r="AZ1795" s="551"/>
      <c r="BA1795" s="551"/>
      <c r="BB1795" s="551"/>
      <c r="BC1795" s="551"/>
      <c r="BD1795" s="549"/>
      <c r="BE1795" s="550"/>
      <c r="BF1795" s="549"/>
      <c r="BG1795" s="391">
        <f>SUM($AV$1389:AV1795)</f>
        <v>2189.608692676491</v>
      </c>
      <c r="BH1795" s="392">
        <f>SUM($AU$1389:AU1795)</f>
        <v>29916.380000000208</v>
      </c>
      <c r="BI1795" s="318">
        <f>SUMIFS($AU$1388:AU1796,$Q$1388:Q1796,"F")</f>
        <v>22308.400000000001</v>
      </c>
      <c r="BJ1795" s="318">
        <f>SUMIFS($AU$1388:AU1796,$Q$1388:Q1796,"S")</f>
        <v>5295.9999999999936</v>
      </c>
      <c r="BK1795" s="343">
        <f>SUMIFS($AU$1388:AU1796,$P$1388:P1796,"W")</f>
        <v>21773.58000000014</v>
      </c>
      <c r="BL1795" s="343">
        <f>SUMIFS($AU$1388:AU1796,$P$1388:P1796,"R")</f>
        <v>6477.9999999998608</v>
      </c>
      <c r="BM1795" s="343">
        <f>SUMIFS($AU$1388:AU1796,$AQ$1388:AQ1796,"M")</f>
        <v>6408.7799999999179</v>
      </c>
      <c r="BN1795" s="343">
        <f>SUMIFS($AU$1388:AU1796,$AQ$1388:AQ1796,"H")</f>
        <v>3899.2000000002818</v>
      </c>
      <c r="BO1795" s="343">
        <f>SUMIFS($AU$1388:AU1796,$AQ$1388:AQ1796,"D")</f>
        <v>8210</v>
      </c>
      <c r="BP1795" s="343">
        <f>SUMIFS($AU$1388:AU1883,$AQ$1388:AQ1883,"W")</f>
        <v>12022.400000000001</v>
      </c>
      <c r="BQ1795" s="343">
        <f>SUMIFS($AU$1388:AU1796,$Q$1388:Q1796,"O")</f>
        <v>2087.9800000002169</v>
      </c>
      <c r="BR1795" s="343">
        <f>SUMIFS($AU$1388:AU1796,$AA$1388:AA1796,"*")</f>
        <v>22917.200000000095</v>
      </c>
      <c r="BS1795" s="343">
        <f>SUMIFS($AU$1388:AU1796,$AB$1388:AB1796,"*")</f>
        <v>6615.1799999999312</v>
      </c>
      <c r="BT1795" s="343">
        <f>SUMIFS($AU$1388:AU1796,$AC$1388:AC1796,"*")</f>
        <v>17908.400000000001</v>
      </c>
      <c r="BU1795" s="343">
        <f>SUMIFS($AU$1388:AU1796,$AA$1388:AA1796,"*",$AB$1388:AB1796,"*")</f>
        <v>4079.9999999998217</v>
      </c>
      <c r="BV1795" s="343">
        <f>SUMIFS($AU$1388:AU1796,$AA$1388:AA1796,"*",$AC$1388:AC1796,"*")</f>
        <v>13444.4</v>
      </c>
      <c r="BW1795" s="343">
        <f>SUMIFS($AU$1388:AU1796,$AB$1388:AB1796,"*",$AC$1388:AC1796,"*")</f>
        <v>3279.9999999999982</v>
      </c>
      <c r="BX1795" s="343">
        <f>SUMIFS($AV$1388:AV1796,$Q$1388:Q1796,"F")</f>
        <v>396.19230875404793</v>
      </c>
      <c r="BY1795" s="343">
        <f>SUMIFS($AV$1388:AV1796,$Q$1388:Q1796,"S")</f>
        <v>337.77638392253402</v>
      </c>
      <c r="BZ1795" s="343">
        <f>SUMIFS($AV$1388:AV1796,$Q$1388:Q1796,"O")</f>
        <v>707.63999999990438</v>
      </c>
    </row>
    <row r="1796" spans="1:78" ht="15.75" customHeight="1">
      <c r="A1796" s="177" t="s">
        <v>5851</v>
      </c>
      <c r="B1796" s="200">
        <v>45392</v>
      </c>
      <c r="C1796" s="178" t="s">
        <v>682</v>
      </c>
      <c r="D1796" s="178" t="s">
        <v>151</v>
      </c>
      <c r="E1796" s="227"/>
      <c r="F1796" s="180"/>
      <c r="G1796" s="484" t="s">
        <v>2942</v>
      </c>
      <c r="H1796" s="182"/>
      <c r="I1796" s="182"/>
      <c r="J1796" s="182"/>
      <c r="K1796" s="183"/>
      <c r="L1796" s="182">
        <v>1</v>
      </c>
      <c r="M1796" s="182"/>
      <c r="N1796" s="182"/>
      <c r="O1796" s="183" t="s">
        <v>95</v>
      </c>
      <c r="P1796" s="183" t="s">
        <v>96</v>
      </c>
      <c r="Q1796" s="183" t="s">
        <v>97</v>
      </c>
      <c r="R1796" s="183">
        <v>50</v>
      </c>
      <c r="S1796" s="559">
        <v>0</v>
      </c>
      <c r="T1796" s="183">
        <v>50</v>
      </c>
      <c r="U1796" s="183" t="s">
        <v>97</v>
      </c>
      <c r="V1796" s="183"/>
      <c r="W1796" s="183"/>
      <c r="X1796" s="183"/>
      <c r="Y1796" s="184">
        <f>IF(ISBLANK(O1796),"",(IF(O1796=UPPER("IB"),0.005,0.01)))</f>
        <v>0.01</v>
      </c>
      <c r="Z1796" s="185">
        <f>IF(ISBLANK(O1796),"",IF(O1796="IB",8.63*200,IF(O1796="IR",16*100,IF(O1796="YT",20*100,IF(O1796="YT-XT",24*200,IF(O1796="TED",80*100,IF(O1796="XT",29*200)))))))</f>
        <v>1600</v>
      </c>
      <c r="AA1796" s="185" t="s">
        <v>5492</v>
      </c>
      <c r="AB1796" s="185" t="s">
        <v>6010</v>
      </c>
      <c r="AC1796" s="185"/>
      <c r="AD1796" s="649">
        <v>-0.09</v>
      </c>
      <c r="AE1796" s="182"/>
      <c r="AF1796" s="332"/>
      <c r="AG1796" s="182"/>
      <c r="AH1796" s="182"/>
      <c r="AI1796" s="182"/>
      <c r="AJ1796" s="640" t="s">
        <v>6011</v>
      </c>
      <c r="AK1796" s="182"/>
      <c r="AL1796" s="496">
        <f t="shared" ref="AL1796:AL1801" si="572">-0.02*Z1796</f>
        <v>-32</v>
      </c>
      <c r="AM1796" s="496">
        <f t="shared" ref="AM1796:AM1827" si="573">AL1796*(R1796-S1796)</f>
        <v>-1600</v>
      </c>
      <c r="AN1796" s="626"/>
      <c r="AO1796" s="182"/>
      <c r="AP1796" s="182" t="s">
        <v>6012</v>
      </c>
      <c r="AQ1796" s="332" t="s">
        <v>372</v>
      </c>
      <c r="AR1796" s="182" t="s">
        <v>6013</v>
      </c>
      <c r="AS1796" s="189">
        <v>-0.09</v>
      </c>
      <c r="AT1796" s="189">
        <f>IF(ISBLANK(AS1796),,IF(U1796="S",AD1796-AS1796,AS1796-AD1796))</f>
        <v>0</v>
      </c>
      <c r="AU1796" s="187">
        <f>AV1796*R1796</f>
        <v>0</v>
      </c>
      <c r="AV1796" s="190">
        <f t="shared" ref="AV1796:AV1799" si="574">IF(ISBLANK(AS1796),,(AT1796*Z1796))</f>
        <v>0</v>
      </c>
      <c r="AW1796" s="191" t="s">
        <v>115</v>
      </c>
      <c r="AX1796" s="551" t="s">
        <v>6014</v>
      </c>
      <c r="AY1796" s="551"/>
      <c r="AZ1796" s="551"/>
      <c r="BA1796" s="551"/>
      <c r="BB1796" s="551"/>
      <c r="BC1796" s="551"/>
      <c r="BD1796" s="549"/>
      <c r="BE1796" s="550"/>
      <c r="BF1796" s="549"/>
      <c r="BG1796" s="391">
        <f>SUM($AV$1389:AV1796)</f>
        <v>2189.608692676491</v>
      </c>
      <c r="BH1796" s="392">
        <f>SUM($AU$1389:AU1796)</f>
        <v>29916.380000000208</v>
      </c>
      <c r="BI1796" s="318">
        <f>SUMIFS($AU$1388:AU1797,$Q$1388:Q1797,"F")</f>
        <v>22308.400000000001</v>
      </c>
      <c r="BJ1796" s="318">
        <f>SUMIFS($AU$1388:AU1797,$Q$1388:Q1797,"S")</f>
        <v>5295.9999999999936</v>
      </c>
      <c r="BK1796" s="343">
        <f>SUMIFS($AU$1388:AU1797,$P$1388:P1797,"W")</f>
        <v>21773.58000000014</v>
      </c>
      <c r="BL1796" s="343">
        <f>SUMIFS($AU$1388:AU1797,$P$1388:P1797,"R")</f>
        <v>6477.9999999998608</v>
      </c>
      <c r="BM1796" s="343">
        <f>SUMIFS($AU$1388:AU1797,$AQ$1388:AQ1797,"M")</f>
        <v>6408.7799999999179</v>
      </c>
      <c r="BN1796" s="343">
        <f>SUMIFS($AU$1388:AU1797,$AQ$1388:AQ1797,"H")</f>
        <v>3899.2000000002818</v>
      </c>
      <c r="BO1796" s="343">
        <f>SUMIFS($AU$1388:AU1797,$AQ$1388:AQ1797,"D")</f>
        <v>8210</v>
      </c>
      <c r="BP1796" s="343">
        <f>SUMIFS($AU$1388:AU1884,$AQ$1388:AQ1884,"W")</f>
        <v>12022.400000000001</v>
      </c>
      <c r="BQ1796" s="343">
        <f>SUMIFS($AU$1388:AU1797,$Q$1388:Q1797,"O")</f>
        <v>2087.9800000002169</v>
      </c>
      <c r="BR1796" s="343">
        <f>SUMIFS($AU$1388:AU1797,$AA$1388:AA1797,"*")</f>
        <v>22917.200000000095</v>
      </c>
      <c r="BS1796" s="343">
        <f>SUMIFS($AU$1388:AU1797,$AB$1388:AB1797,"*")</f>
        <v>6615.1799999999312</v>
      </c>
      <c r="BT1796" s="343">
        <f>SUMIFS($AU$1388:AU1797,$AC$1388:AC1797,"*")</f>
        <v>17908.400000000001</v>
      </c>
      <c r="BU1796" s="343">
        <f>SUMIFS($AU$1388:AU1797,$AA$1388:AA1797,"*",$AB$1388:AB1797,"*")</f>
        <v>4079.9999999998217</v>
      </c>
      <c r="BV1796" s="343">
        <f>SUMIFS($AU$1388:AU1797,$AA$1388:AA1797,"*",$AC$1388:AC1797,"*")</f>
        <v>13444.4</v>
      </c>
      <c r="BW1796" s="343">
        <f>SUMIFS($AU$1388:AU1797,$AB$1388:AB1797,"*",$AC$1388:AC1797,"*")</f>
        <v>3279.9999999999982</v>
      </c>
      <c r="BX1796" s="343">
        <f>SUMIFS($AV$1388:AV1797,$Q$1388:Q1797,"F")</f>
        <v>396.19230875404793</v>
      </c>
      <c r="BY1796" s="343">
        <f>SUMIFS($AV$1388:AV1797,$Q$1388:Q1797,"S")</f>
        <v>337.77638392253402</v>
      </c>
      <c r="BZ1796" s="343">
        <f>SUMIFS($AV$1388:AV1797,$Q$1388:Q1797,"O")</f>
        <v>707.63999999990438</v>
      </c>
    </row>
    <row r="1797" spans="1:78" ht="15.75" customHeight="1">
      <c r="A1797" s="177" t="s">
        <v>5851</v>
      </c>
      <c r="B1797" s="200">
        <v>45392</v>
      </c>
      <c r="C1797" s="178" t="s">
        <v>682</v>
      </c>
      <c r="D1797" s="178" t="s">
        <v>151</v>
      </c>
      <c r="E1797" s="227"/>
      <c r="F1797" s="180"/>
      <c r="G1797" s="561" t="s">
        <v>6015</v>
      </c>
      <c r="H1797" s="182"/>
      <c r="I1797" s="182"/>
      <c r="J1797" s="182"/>
      <c r="K1797" s="183"/>
      <c r="L1797" s="182">
        <v>1</v>
      </c>
      <c r="M1797" s="182"/>
      <c r="N1797" s="182"/>
      <c r="O1797" s="183" t="s">
        <v>2652</v>
      </c>
      <c r="P1797" s="183" t="s">
        <v>137</v>
      </c>
      <c r="Q1797" s="183"/>
      <c r="R1797" s="183">
        <v>1</v>
      </c>
      <c r="S1797" s="183">
        <v>0</v>
      </c>
      <c r="T1797" s="183">
        <v>1</v>
      </c>
      <c r="U1797" s="183" t="s">
        <v>22</v>
      </c>
      <c r="V1797" s="183"/>
      <c r="W1797" s="183"/>
      <c r="X1797" s="183"/>
      <c r="Y1797" s="184">
        <f>IF(ISBLANK(O1797),"",(IF(O1797=UPPER("IB"),0.005,0.01)))</f>
        <v>0.01</v>
      </c>
      <c r="Z1797" s="185">
        <f>IF(ISBLANK(O1797),"",IF(O1797="IB",8.63*200,IF(O1797="IR",16*100,IF(O1797="YT",20*100,IF(O1797="YT-XT",24*200,IF(O1797="TED",80*100))))))</f>
        <v>8000</v>
      </c>
      <c r="AA1797" s="185" t="s">
        <v>1824</v>
      </c>
      <c r="AB1797" s="185"/>
      <c r="AC1797" s="185"/>
      <c r="AD1797" s="649">
        <v>-0.06</v>
      </c>
      <c r="AE1797" s="182"/>
      <c r="AF1797" s="332"/>
      <c r="AG1797" s="182"/>
      <c r="AH1797" s="182"/>
      <c r="AI1797" s="182"/>
      <c r="AJ1797" s="640"/>
      <c r="AK1797" s="182"/>
      <c r="AL1797" s="496">
        <f t="shared" si="572"/>
        <v>-160</v>
      </c>
      <c r="AM1797" s="496">
        <f t="shared" si="573"/>
        <v>-160</v>
      </c>
      <c r="AN1797" s="626"/>
      <c r="AO1797" s="182"/>
      <c r="AP1797" s="182" t="s">
        <v>2423</v>
      </c>
      <c r="AQ1797" s="332" t="s">
        <v>372</v>
      </c>
      <c r="AR1797" s="182" t="s">
        <v>3985</v>
      </c>
      <c r="AS1797" s="189">
        <v>-0.06</v>
      </c>
      <c r="AT1797" s="189">
        <f>IF(ISBLANK(AS1797),,IF(U1797="S",AD1797-AS1797,AS1797-AD1797))</f>
        <v>0</v>
      </c>
      <c r="AU1797" s="187">
        <f>AV1797*R1797</f>
        <v>0</v>
      </c>
      <c r="AV1797" s="190">
        <f t="shared" si="574"/>
        <v>0</v>
      </c>
      <c r="AW1797" s="191" t="s">
        <v>115</v>
      </c>
      <c r="AX1797" s="551"/>
      <c r="AY1797" s="551"/>
      <c r="AZ1797" s="551"/>
      <c r="BA1797" s="551"/>
      <c r="BB1797" s="551"/>
      <c r="BC1797" s="551"/>
      <c r="BD1797" s="549"/>
      <c r="BE1797" s="550"/>
      <c r="BF1797" s="549"/>
      <c r="BG1797" s="391">
        <f>SUM($AV$1389:AV1797)</f>
        <v>2189.608692676491</v>
      </c>
      <c r="BH1797" s="392">
        <f>SUM($AU$1389:AU1797)</f>
        <v>29916.380000000208</v>
      </c>
      <c r="BI1797" s="318">
        <f>SUMIFS($AU$1388:AU1798,$Q$1388:Q1798,"F")</f>
        <v>22308.400000000001</v>
      </c>
      <c r="BJ1797" s="318">
        <f>SUMIFS($AU$1388:AU1798,$Q$1388:Q1798,"S")</f>
        <v>5295.9999999999936</v>
      </c>
      <c r="BK1797" s="343">
        <f>SUMIFS($AU$1388:AU1798,$P$1388:P1798,"W")</f>
        <v>21773.58000000014</v>
      </c>
      <c r="BL1797" s="343">
        <f>SUMIFS($AU$1388:AU1798,$P$1388:P1798,"R")</f>
        <v>6477.9999999998608</v>
      </c>
      <c r="BM1797" s="343">
        <f>SUMIFS($AU$1388:AU1798,$AQ$1388:AQ1798,"M")</f>
        <v>6408.7799999999179</v>
      </c>
      <c r="BN1797" s="343">
        <f>SUMIFS($AU$1388:AU1798,$AQ$1388:AQ1798,"H")</f>
        <v>3899.2000000002818</v>
      </c>
      <c r="BO1797" s="343">
        <f>SUMIFS($AU$1388:AU1798,$AQ$1388:AQ1798,"D")</f>
        <v>8210</v>
      </c>
      <c r="BP1797" s="343">
        <f>SUMIFS($AU$1388:AU1885,$AQ$1388:AQ1885,"W")</f>
        <v>12022.400000000001</v>
      </c>
      <c r="BQ1797" s="343">
        <f>SUMIFS($AU$1388:AU1798,$Q$1388:Q1798,"O")</f>
        <v>2087.9800000002169</v>
      </c>
      <c r="BR1797" s="343">
        <f>SUMIFS($AU$1388:AU1798,$AA$1388:AA1798,"*")</f>
        <v>22917.200000000095</v>
      </c>
      <c r="BS1797" s="343">
        <f>SUMIFS($AU$1388:AU1798,$AB$1388:AB1798,"*")</f>
        <v>6615.1799999999312</v>
      </c>
      <c r="BT1797" s="343">
        <f>SUMIFS($AU$1388:AU1798,$AC$1388:AC1798,"*")</f>
        <v>17908.400000000001</v>
      </c>
      <c r="BU1797" s="343">
        <f>SUMIFS($AU$1388:AU1798,$AA$1388:AA1798,"*",$AB$1388:AB1798,"*")</f>
        <v>4079.9999999998217</v>
      </c>
      <c r="BV1797" s="343">
        <f>SUMIFS($AU$1388:AU1798,$AA$1388:AA1798,"*",$AC$1388:AC1798,"*")</f>
        <v>13444.4</v>
      </c>
      <c r="BW1797" s="343">
        <f>SUMIFS($AU$1388:AU1798,$AB$1388:AB1798,"*",$AC$1388:AC1798,"*")</f>
        <v>3279.9999999999982</v>
      </c>
      <c r="BX1797" s="343">
        <f>SUMIFS($AV$1388:AV1798,$Q$1388:Q1798,"F")</f>
        <v>396.19230875404793</v>
      </c>
      <c r="BY1797" s="343">
        <f>SUMIFS($AV$1388:AV1798,$Q$1388:Q1798,"S")</f>
        <v>337.77638392253402</v>
      </c>
      <c r="BZ1797" s="343">
        <f>SUMIFS($AV$1388:AV1798,$Q$1388:Q1798,"O")</f>
        <v>707.63999999990438</v>
      </c>
    </row>
    <row r="1798" spans="1:78" ht="15.75" customHeight="1">
      <c r="A1798" s="177" t="s">
        <v>5851</v>
      </c>
      <c r="B1798" s="200">
        <v>45392</v>
      </c>
      <c r="C1798" s="178" t="s">
        <v>294</v>
      </c>
      <c r="D1798" s="178" t="s">
        <v>151</v>
      </c>
      <c r="E1798" s="227"/>
      <c r="F1798" s="180"/>
      <c r="G1798" s="484" t="s">
        <v>3625</v>
      </c>
      <c r="H1798" s="182"/>
      <c r="I1798" s="182"/>
      <c r="J1798" s="182"/>
      <c r="K1798" s="183"/>
      <c r="L1798" s="182">
        <v>1</v>
      </c>
      <c r="M1798" s="182"/>
      <c r="N1798" s="182"/>
      <c r="O1798" s="183" t="s">
        <v>95</v>
      </c>
      <c r="P1798" s="183" t="s">
        <v>96</v>
      </c>
      <c r="Q1798" s="183" t="s">
        <v>97</v>
      </c>
      <c r="R1798" s="183">
        <v>30</v>
      </c>
      <c r="S1798" s="559">
        <v>0</v>
      </c>
      <c r="T1798" s="183">
        <v>30</v>
      </c>
      <c r="U1798" s="183" t="s">
        <v>97</v>
      </c>
      <c r="V1798" s="183"/>
      <c r="W1798" s="183"/>
      <c r="X1798" s="183"/>
      <c r="Y1798" s="184">
        <f>IF(ISBLANK(O1798),"",(IF(O1798=UPPER("IB"),0.005,0.01)))</f>
        <v>0.01</v>
      </c>
      <c r="Z1798" s="185">
        <f>IF(ISBLANK(O1798),"",IF(O1798="IB",8.63*200,IF(O1798="IR",16*100,IF(O1798="YT",20*100,IF(O1798="YT-XT",24*200,IF(O1798="TED",80*100,IF(O1798="XT",29*200)))))))</f>
        <v>1600</v>
      </c>
      <c r="AA1798" s="185"/>
      <c r="AB1798" s="185"/>
      <c r="AC1798" s="185"/>
      <c r="AD1798" s="649">
        <v>-0.19</v>
      </c>
      <c r="AE1798" s="182"/>
      <c r="AF1798" s="332"/>
      <c r="AG1798" s="182"/>
      <c r="AH1798" s="182"/>
      <c r="AI1798" s="182"/>
      <c r="AJ1798" s="640"/>
      <c r="AK1798" s="182"/>
      <c r="AL1798" s="496">
        <f t="shared" si="572"/>
        <v>-32</v>
      </c>
      <c r="AM1798" s="496">
        <f t="shared" si="573"/>
        <v>-960</v>
      </c>
      <c r="AN1798" s="626"/>
      <c r="AO1798" s="182"/>
      <c r="AP1798" s="182"/>
      <c r="AQ1798" s="332" t="s">
        <v>1259</v>
      </c>
      <c r="AR1798" s="182"/>
      <c r="AS1798" s="189">
        <v>-0.19</v>
      </c>
      <c r="AT1798" s="189">
        <f>IF(ISBLANK(AS1798),,IF(U1798="S",AD1798-AS1798,AS1798-AD1798))</f>
        <v>0</v>
      </c>
      <c r="AU1798" s="187">
        <f>AV1798*R1798</f>
        <v>0</v>
      </c>
      <c r="AV1798" s="190">
        <f t="shared" si="574"/>
        <v>0</v>
      </c>
      <c r="AW1798" s="191" t="s">
        <v>115</v>
      </c>
      <c r="AX1798" s="551" t="s">
        <v>5991</v>
      </c>
      <c r="AY1798" s="551"/>
      <c r="AZ1798" s="551"/>
      <c r="BA1798" s="551"/>
      <c r="BB1798" s="551"/>
      <c r="BC1798" s="551"/>
      <c r="BD1798" s="549"/>
      <c r="BE1798" s="550"/>
      <c r="BF1798" s="549"/>
      <c r="BG1798" s="391">
        <f>SUM($AV$1389:AV1798)</f>
        <v>2189.608692676491</v>
      </c>
      <c r="BH1798" s="392">
        <f>SUM($AU$1389:AU1798)</f>
        <v>29916.380000000208</v>
      </c>
      <c r="BI1798" s="318">
        <f>SUMIFS($AU$1388:AU1799,$Q$1388:Q1799,"F")</f>
        <v>22308.400000000001</v>
      </c>
      <c r="BJ1798" s="318">
        <f>SUMIFS($AU$1388:AU1799,$Q$1388:Q1799,"S")</f>
        <v>5295.9999999999936</v>
      </c>
      <c r="BK1798" s="343">
        <f>SUMIFS($AU$1388:AU1799,$P$1388:P1799,"W")</f>
        <v>21773.58000000014</v>
      </c>
      <c r="BL1798" s="343">
        <f>SUMIFS($AU$1388:AU1799,$P$1388:P1799,"R")</f>
        <v>6477.9999999998608</v>
      </c>
      <c r="BM1798" s="343">
        <f>SUMIFS($AU$1388:AU1799,$AQ$1388:AQ1799,"M")</f>
        <v>6408.7799999999179</v>
      </c>
      <c r="BN1798" s="343">
        <f>SUMIFS($AU$1388:AU1799,$AQ$1388:AQ1799,"H")</f>
        <v>3899.2000000002818</v>
      </c>
      <c r="BO1798" s="343">
        <f>SUMIFS($AU$1388:AU1799,$AQ$1388:AQ1799,"D")</f>
        <v>8210</v>
      </c>
      <c r="BP1798" s="343">
        <f>SUMIFS($AU$1388:AU1886,$AQ$1388:AQ1886,"W")</f>
        <v>12022.400000000001</v>
      </c>
      <c r="BQ1798" s="343">
        <f>SUMIFS($AU$1388:AU1799,$Q$1388:Q1799,"O")</f>
        <v>2087.9800000002169</v>
      </c>
      <c r="BR1798" s="343">
        <f>SUMIFS($AU$1388:AU1799,$AA$1388:AA1799,"*")</f>
        <v>22917.200000000095</v>
      </c>
      <c r="BS1798" s="343">
        <f>SUMIFS($AU$1388:AU1799,$AB$1388:AB1799,"*")</f>
        <v>6615.1799999999312</v>
      </c>
      <c r="BT1798" s="343">
        <f>SUMIFS($AU$1388:AU1799,$AC$1388:AC1799,"*")</f>
        <v>17908.400000000001</v>
      </c>
      <c r="BU1798" s="343">
        <f>SUMIFS($AU$1388:AU1799,$AA$1388:AA1799,"*",$AB$1388:AB1799,"*")</f>
        <v>4079.9999999998217</v>
      </c>
      <c r="BV1798" s="343">
        <f>SUMIFS($AU$1388:AU1799,$AA$1388:AA1799,"*",$AC$1388:AC1799,"*")</f>
        <v>13444.4</v>
      </c>
      <c r="BW1798" s="343">
        <f>SUMIFS($AU$1388:AU1799,$AB$1388:AB1799,"*",$AC$1388:AC1799,"*")</f>
        <v>3279.9999999999982</v>
      </c>
      <c r="BX1798" s="343">
        <f>SUMIFS($AV$1388:AV1799,$Q$1388:Q1799,"F")</f>
        <v>396.19230875404793</v>
      </c>
      <c r="BY1798" s="343">
        <f>SUMIFS($AV$1388:AV1799,$Q$1388:Q1799,"S")</f>
        <v>337.77638392253402</v>
      </c>
      <c r="BZ1798" s="343">
        <f>SUMIFS($AV$1388:AV1799,$Q$1388:Q1799,"O")</f>
        <v>707.63999999990438</v>
      </c>
    </row>
    <row r="1799" spans="1:78" ht="15.75" customHeight="1">
      <c r="A1799" s="177" t="s">
        <v>5851</v>
      </c>
      <c r="B1799" s="200">
        <v>45392</v>
      </c>
      <c r="C1799" s="178" t="s">
        <v>911</v>
      </c>
      <c r="D1799" s="178" t="s">
        <v>151</v>
      </c>
      <c r="E1799" s="227"/>
      <c r="F1799" s="180"/>
      <c r="G1799" s="484" t="s">
        <v>2016</v>
      </c>
      <c r="H1799" s="182"/>
      <c r="I1799" s="182"/>
      <c r="J1799" s="182"/>
      <c r="K1799" s="183"/>
      <c r="L1799" s="182">
        <v>1</v>
      </c>
      <c r="M1799" s="182"/>
      <c r="N1799" s="182"/>
      <c r="O1799" s="183" t="s">
        <v>95</v>
      </c>
      <c r="P1799" s="183" t="s">
        <v>96</v>
      </c>
      <c r="Q1799" s="183" t="s">
        <v>97</v>
      </c>
      <c r="R1799" s="183">
        <v>20</v>
      </c>
      <c r="S1799" s="559">
        <v>0</v>
      </c>
      <c r="T1799" s="183">
        <v>20</v>
      </c>
      <c r="U1799" s="183" t="s">
        <v>97</v>
      </c>
      <c r="V1799" s="183"/>
      <c r="W1799" s="183"/>
      <c r="X1799" s="183"/>
      <c r="Y1799" s="184">
        <f>IF(ISBLANK(O1799),"",(IF(O1799=UPPER("IB"),0.005,0.01)))</f>
        <v>0.01</v>
      </c>
      <c r="Z1799" s="185">
        <f>IF(ISBLANK(O1799),"",IF(O1799="IB",8.63*200,IF(O1799="IR",16*100,IF(O1799="YT",20*100,IF(O1799="YT-XT",24*200,IF(O1799="TED",80*100,IF(O1799="XT",29*200)))))))</f>
        <v>1600</v>
      </c>
      <c r="AA1799" s="185" t="s">
        <v>4954</v>
      </c>
      <c r="AB1799" s="185"/>
      <c r="AC1799" s="185"/>
      <c r="AD1799" s="649">
        <v>-0.1</v>
      </c>
      <c r="AE1799" s="182"/>
      <c r="AF1799" s="332"/>
      <c r="AG1799" s="182"/>
      <c r="AH1799" s="182"/>
      <c r="AI1799" s="182"/>
      <c r="AJ1799" s="640"/>
      <c r="AK1799" s="182"/>
      <c r="AL1799" s="496">
        <f t="shared" si="572"/>
        <v>-32</v>
      </c>
      <c r="AM1799" s="496">
        <f t="shared" si="573"/>
        <v>-640</v>
      </c>
      <c r="AN1799" s="626"/>
      <c r="AO1799" s="182"/>
      <c r="AP1799" s="182"/>
      <c r="AQ1799" s="332" t="s">
        <v>1259</v>
      </c>
      <c r="AR1799" s="182"/>
      <c r="AS1799" s="189">
        <v>-0.1</v>
      </c>
      <c r="AT1799" s="189">
        <f>IF(ISBLANK(AS1799),,IF(U1799="S",AD1799-AS1799,AS1799-AD1799))</f>
        <v>0</v>
      </c>
      <c r="AU1799" s="187">
        <f>AV1799*R1799</f>
        <v>0</v>
      </c>
      <c r="AV1799" s="190">
        <f t="shared" si="574"/>
        <v>0</v>
      </c>
      <c r="AW1799" s="191" t="s">
        <v>115</v>
      </c>
      <c r="AX1799" s="551"/>
      <c r="AY1799" s="551"/>
      <c r="AZ1799" s="551"/>
      <c r="BA1799" s="551"/>
      <c r="BB1799" s="551"/>
      <c r="BC1799" s="551"/>
      <c r="BD1799" s="549"/>
      <c r="BE1799" s="550"/>
      <c r="BF1799" s="549"/>
      <c r="BG1799" s="391">
        <f>SUM($AV$1389:AV1799)</f>
        <v>2189.608692676491</v>
      </c>
      <c r="BH1799" s="392">
        <f>SUM($AU$1389:AU1799)</f>
        <v>29916.380000000208</v>
      </c>
      <c r="BI1799" s="318">
        <f>SUMIFS($AU$1388:AU1800,$Q$1388:Q1800,"F")</f>
        <v>22308.400000000001</v>
      </c>
      <c r="BJ1799" s="318">
        <f>SUMIFS($AU$1388:AU1800,$Q$1388:Q1800,"S")</f>
        <v>5295.9999999999936</v>
      </c>
      <c r="BK1799" s="343">
        <f>SUMIFS($AU$1388:AU1800,$P$1388:P1800,"W")</f>
        <v>21773.58000000014</v>
      </c>
      <c r="BL1799" s="343">
        <f>SUMIFS($AU$1388:AU1800,$P$1388:P1800,"R")</f>
        <v>6477.9999999998608</v>
      </c>
      <c r="BM1799" s="343">
        <f>SUMIFS($AU$1388:AU1800,$AQ$1388:AQ1800,"M")</f>
        <v>6408.7799999999179</v>
      </c>
      <c r="BN1799" s="343">
        <f>SUMIFS($AU$1388:AU1800,$AQ$1388:AQ1800,"H")</f>
        <v>3899.2000000002818</v>
      </c>
      <c r="BO1799" s="343">
        <f>SUMIFS($AU$1388:AU1800,$AQ$1388:AQ1800,"D")</f>
        <v>8210</v>
      </c>
      <c r="BP1799" s="343">
        <f>SUMIFS($AU$1388:AU1887,$AQ$1388:AQ1887,"W")</f>
        <v>12022.400000000001</v>
      </c>
      <c r="BQ1799" s="343">
        <f>SUMIFS($AU$1388:AU1800,$Q$1388:Q1800,"O")</f>
        <v>2087.9800000002169</v>
      </c>
      <c r="BR1799" s="343">
        <f>SUMIFS($AU$1388:AU1800,$AA$1388:AA1800,"*")</f>
        <v>22917.200000000095</v>
      </c>
      <c r="BS1799" s="343">
        <f>SUMIFS($AU$1388:AU1800,$AB$1388:AB1800,"*")</f>
        <v>6615.1799999999312</v>
      </c>
      <c r="BT1799" s="343">
        <f>SUMIFS($AU$1388:AU1800,$AC$1388:AC1800,"*")</f>
        <v>17908.400000000001</v>
      </c>
      <c r="BU1799" s="343">
        <f>SUMIFS($AU$1388:AU1800,$AA$1388:AA1800,"*",$AB$1388:AB1800,"*")</f>
        <v>4079.9999999998217</v>
      </c>
      <c r="BV1799" s="343">
        <f>SUMIFS($AU$1388:AU1800,$AA$1388:AA1800,"*",$AC$1388:AC1800,"*")</f>
        <v>13444.4</v>
      </c>
      <c r="BW1799" s="343">
        <f>SUMIFS($AU$1388:AU1800,$AB$1388:AB1800,"*",$AC$1388:AC1800,"*")</f>
        <v>3279.9999999999982</v>
      </c>
      <c r="BX1799" s="343">
        <f>SUMIFS($AV$1388:AV1800,$Q$1388:Q1800,"F")</f>
        <v>396.19230875404793</v>
      </c>
      <c r="BY1799" s="343">
        <f>SUMIFS($AV$1388:AV1800,$Q$1388:Q1800,"S")</f>
        <v>337.77638392253402</v>
      </c>
      <c r="BZ1799" s="343">
        <f>SUMIFS($AV$1388:AV1800,$Q$1388:Q1800,"O")</f>
        <v>707.63999999990438</v>
      </c>
    </row>
    <row r="1800" spans="1:78" ht="15.75" customHeight="1">
      <c r="A1800" s="177" t="s">
        <v>5851</v>
      </c>
      <c r="B1800" s="200">
        <v>45393</v>
      </c>
      <c r="C1800" s="178" t="s">
        <v>6016</v>
      </c>
      <c r="D1800" s="178" t="s">
        <v>93</v>
      </c>
      <c r="E1800" s="227"/>
      <c r="F1800" s="180"/>
      <c r="G1800" s="181" t="s">
        <v>1203</v>
      </c>
      <c r="H1800" s="182"/>
      <c r="I1800" s="182"/>
      <c r="J1800" s="182"/>
      <c r="K1800" s="183"/>
      <c r="L1800" s="182">
        <v>1</v>
      </c>
      <c r="M1800" s="182"/>
      <c r="N1800" s="182"/>
      <c r="O1800" s="183"/>
      <c r="P1800" s="183"/>
      <c r="Q1800" s="183"/>
      <c r="R1800" s="183"/>
      <c r="S1800" s="559"/>
      <c r="T1800" s="183"/>
      <c r="U1800" s="183"/>
      <c r="V1800" s="183"/>
      <c r="W1800" s="183"/>
      <c r="X1800" s="183"/>
      <c r="Y1800" s="184"/>
      <c r="Z1800" s="185"/>
      <c r="AA1800" s="185"/>
      <c r="AB1800" s="185"/>
      <c r="AC1800" s="185"/>
      <c r="AD1800" s="649"/>
      <c r="AE1800" s="182"/>
      <c r="AF1800" s="332"/>
      <c r="AG1800" s="182"/>
      <c r="AH1800" s="182"/>
      <c r="AI1800" s="182"/>
      <c r="AJ1800" s="640"/>
      <c r="AK1800" s="182"/>
      <c r="AL1800" s="496">
        <f t="shared" si="572"/>
        <v>0</v>
      </c>
      <c r="AM1800" s="496">
        <f t="shared" si="573"/>
        <v>0</v>
      </c>
      <c r="AN1800" s="626"/>
      <c r="AO1800" s="182"/>
      <c r="AP1800" s="182"/>
      <c r="AQ1800" s="332" t="str">
        <f>UPPER(RIGHT(Journal_Live[[#This Row],[DURATION ]]))</f>
        <v/>
      </c>
      <c r="AR1800" s="182"/>
      <c r="AS1800" s="189"/>
      <c r="AT1800" s="189"/>
      <c r="AU1800" s="187"/>
      <c r="AV1800" s="190"/>
      <c r="AW1800" s="191"/>
      <c r="AX1800" s="551"/>
      <c r="AY1800" s="551"/>
      <c r="AZ1800" s="551"/>
      <c r="BA1800" s="551"/>
      <c r="BB1800" s="551"/>
      <c r="BC1800" s="551"/>
      <c r="BD1800" s="549"/>
      <c r="BE1800" s="550"/>
      <c r="BF1800" s="549"/>
      <c r="BG1800" s="391">
        <f>SUM($AV$1389:AV1800)</f>
        <v>2189.608692676491</v>
      </c>
      <c r="BH1800" s="392">
        <f>SUM($AU$1389:AU1800)</f>
        <v>29916.380000000208</v>
      </c>
      <c r="BI1800" s="318">
        <f>SUMIFS($AU$1388:AU1801,$Q$1388:Q1801,"F")</f>
        <v>22308.400000000001</v>
      </c>
      <c r="BJ1800" s="318">
        <f>SUMIFS($AU$1388:AU1801,$Q$1388:Q1801,"S")</f>
        <v>5295.9999999999936</v>
      </c>
      <c r="BK1800" s="343">
        <f>SUMIFS($AU$1388:AU1801,$P$1388:P1801,"W")</f>
        <v>21773.58000000014</v>
      </c>
      <c r="BL1800" s="343">
        <f>SUMIFS($AU$1388:AU1801,$P$1388:P1801,"R")</f>
        <v>6477.9999999998608</v>
      </c>
      <c r="BM1800" s="343">
        <f>SUMIFS($AU$1388:AU1801,$AQ$1388:AQ1801,"M")</f>
        <v>6408.7799999999179</v>
      </c>
      <c r="BN1800" s="343">
        <f>SUMIFS($AU$1388:AU1801,$AQ$1388:AQ1801,"H")</f>
        <v>3899.2000000002818</v>
      </c>
      <c r="BO1800" s="343">
        <f>SUMIFS($AU$1388:AU1801,$AQ$1388:AQ1801,"D")</f>
        <v>8210</v>
      </c>
      <c r="BP1800" s="343">
        <f>SUMIFS($AU$1388:AU1888,$AQ$1388:AQ1888,"W")</f>
        <v>12022.400000000001</v>
      </c>
      <c r="BQ1800" s="343">
        <f>SUMIFS($AU$1388:AU1801,$Q$1388:Q1801,"O")</f>
        <v>2087.9800000002169</v>
      </c>
      <c r="BR1800" s="343">
        <f>SUMIFS($AU$1388:AU1801,$AA$1388:AA1801,"*")</f>
        <v>22917.200000000095</v>
      </c>
      <c r="BS1800" s="343">
        <f>SUMIFS($AU$1388:AU1801,$AB$1388:AB1801,"*")</f>
        <v>6615.1799999999312</v>
      </c>
      <c r="BT1800" s="343">
        <f>SUMIFS($AU$1388:AU1801,$AC$1388:AC1801,"*")</f>
        <v>17908.400000000001</v>
      </c>
      <c r="BU1800" s="343">
        <f>SUMIFS($AU$1388:AU1801,$AA$1388:AA1801,"*",$AB$1388:AB1801,"*")</f>
        <v>4079.9999999998217</v>
      </c>
      <c r="BV1800" s="343">
        <f>SUMIFS($AU$1388:AU1801,$AA$1388:AA1801,"*",$AC$1388:AC1801,"*")</f>
        <v>13444.4</v>
      </c>
      <c r="BW1800" s="343">
        <f>SUMIFS($AU$1388:AU1801,$AB$1388:AB1801,"*",$AC$1388:AC1801,"*")</f>
        <v>3279.9999999999982</v>
      </c>
      <c r="BX1800" s="343">
        <f>SUMIFS($AV$1388:AV1801,$Q$1388:Q1801,"F")</f>
        <v>396.19230875404793</v>
      </c>
      <c r="BY1800" s="343">
        <f>SUMIFS($AV$1388:AV1801,$Q$1388:Q1801,"S")</f>
        <v>337.77638392253402</v>
      </c>
      <c r="BZ1800" s="343">
        <f>SUMIFS($AV$1388:AV1801,$Q$1388:Q1801,"O")</f>
        <v>707.63999999990438</v>
      </c>
    </row>
    <row r="1801" spans="1:78" ht="15.75" customHeight="1">
      <c r="A1801" s="177" t="s">
        <v>5851</v>
      </c>
      <c r="B1801" s="200">
        <v>45393</v>
      </c>
      <c r="C1801" s="178" t="s">
        <v>2429</v>
      </c>
      <c r="D1801" s="178" t="s">
        <v>93</v>
      </c>
      <c r="E1801" s="227"/>
      <c r="F1801" s="180"/>
      <c r="G1801" s="181" t="s">
        <v>136</v>
      </c>
      <c r="H1801" s="182"/>
      <c r="I1801" s="182"/>
      <c r="J1801" s="182"/>
      <c r="K1801" s="183"/>
      <c r="L1801" s="182">
        <v>1</v>
      </c>
      <c r="M1801" s="182"/>
      <c r="N1801" s="182"/>
      <c r="O1801" s="183"/>
      <c r="P1801" s="183"/>
      <c r="Q1801" s="183"/>
      <c r="R1801" s="183"/>
      <c r="S1801" s="559"/>
      <c r="T1801" s="183"/>
      <c r="U1801" s="183"/>
      <c r="V1801" s="183"/>
      <c r="W1801" s="183"/>
      <c r="X1801" s="183"/>
      <c r="Y1801" s="184"/>
      <c r="Z1801" s="185"/>
      <c r="AA1801" s="185"/>
      <c r="AB1801" s="185"/>
      <c r="AC1801" s="185"/>
      <c r="AD1801" s="649"/>
      <c r="AE1801" s="182"/>
      <c r="AF1801" s="332"/>
      <c r="AG1801" s="182"/>
      <c r="AH1801" s="182"/>
      <c r="AI1801" s="182"/>
      <c r="AJ1801" s="640"/>
      <c r="AK1801" s="182"/>
      <c r="AL1801" s="496">
        <f t="shared" si="572"/>
        <v>0</v>
      </c>
      <c r="AM1801" s="496">
        <f t="shared" si="573"/>
        <v>0</v>
      </c>
      <c r="AN1801" s="626"/>
      <c r="AO1801" s="182"/>
      <c r="AP1801" s="182"/>
      <c r="AQ1801" s="332" t="str">
        <f>UPPER(RIGHT(Journal_Live[[#This Row],[DURATION ]]))</f>
        <v/>
      </c>
      <c r="AR1801" s="182"/>
      <c r="AS1801" s="189"/>
      <c r="AT1801" s="189"/>
      <c r="AU1801" s="187"/>
      <c r="AV1801" s="190"/>
      <c r="AW1801" s="191"/>
      <c r="AX1801" s="551"/>
      <c r="AY1801" s="551"/>
      <c r="AZ1801" s="551"/>
      <c r="BA1801" s="551"/>
      <c r="BB1801" s="551"/>
      <c r="BC1801" s="551"/>
      <c r="BD1801" s="549"/>
      <c r="BE1801" s="550"/>
      <c r="BF1801" s="549"/>
      <c r="BG1801" s="391">
        <f>SUM($AV$1389:AV1801)</f>
        <v>2189.608692676491</v>
      </c>
      <c r="BH1801" s="392">
        <f>SUM($AU$1389:AU1801)</f>
        <v>29916.380000000208</v>
      </c>
      <c r="BI1801" s="318">
        <f>SUMIFS($AU$1388:AU1802,$Q$1388:Q1802,"F")</f>
        <v>22308.400000000001</v>
      </c>
      <c r="BJ1801" s="318">
        <f>SUMIFS($AU$1388:AU1802,$Q$1388:Q1802,"S")</f>
        <v>5295.9999999999936</v>
      </c>
      <c r="BK1801" s="343">
        <f>SUMIFS($AU$1388:AU1802,$P$1388:P1802,"W")</f>
        <v>21773.58000000014</v>
      </c>
      <c r="BL1801" s="343">
        <f>SUMIFS($AU$1388:AU1802,$P$1388:P1802,"R")</f>
        <v>6477.9999999998608</v>
      </c>
      <c r="BM1801" s="343">
        <f>SUMIFS($AU$1388:AU1802,$AQ$1388:AQ1802,"M")</f>
        <v>6408.7799999999179</v>
      </c>
      <c r="BN1801" s="343">
        <f>SUMIFS($AU$1388:AU1802,$AQ$1388:AQ1802,"H")</f>
        <v>3899.2000000002818</v>
      </c>
      <c r="BO1801" s="343">
        <f>SUMIFS($AU$1388:AU1802,$AQ$1388:AQ1802,"D")</f>
        <v>8210</v>
      </c>
      <c r="BP1801" s="343">
        <f>SUMIFS($AU$1388:AU1889,$AQ$1388:AQ1889,"W")</f>
        <v>12022.400000000001</v>
      </c>
      <c r="BQ1801" s="343">
        <f>SUMIFS($AU$1388:AU1802,$Q$1388:Q1802,"O")</f>
        <v>2087.9800000002169</v>
      </c>
      <c r="BR1801" s="343">
        <f>SUMIFS($AU$1388:AU1802,$AA$1388:AA1802,"*")</f>
        <v>22917.200000000095</v>
      </c>
      <c r="BS1801" s="343">
        <f>SUMIFS($AU$1388:AU1802,$AB$1388:AB1802,"*")</f>
        <v>6615.1799999999312</v>
      </c>
      <c r="BT1801" s="343">
        <f>SUMIFS($AU$1388:AU1802,$AC$1388:AC1802,"*")</f>
        <v>17908.400000000001</v>
      </c>
      <c r="BU1801" s="343">
        <f>SUMIFS($AU$1388:AU1802,$AA$1388:AA1802,"*",$AB$1388:AB1802,"*")</f>
        <v>4079.9999999998217</v>
      </c>
      <c r="BV1801" s="343">
        <f>SUMIFS($AU$1388:AU1802,$AA$1388:AA1802,"*",$AC$1388:AC1802,"*")</f>
        <v>13444.4</v>
      </c>
      <c r="BW1801" s="343">
        <f>SUMIFS($AU$1388:AU1802,$AB$1388:AB1802,"*",$AC$1388:AC1802,"*")</f>
        <v>3279.9999999999982</v>
      </c>
      <c r="BX1801" s="343">
        <f>SUMIFS($AV$1388:AV1802,$Q$1388:Q1802,"F")</f>
        <v>396.19230875404793</v>
      </c>
      <c r="BY1801" s="343">
        <f>SUMIFS($AV$1388:AV1802,$Q$1388:Q1802,"S")</f>
        <v>337.77638392253402</v>
      </c>
      <c r="BZ1801" s="343">
        <f>SUMIFS($AV$1388:AV1802,$Q$1388:Q1802,"O")</f>
        <v>707.63999999990438</v>
      </c>
    </row>
    <row r="1802" spans="1:78" ht="15.75" customHeight="1">
      <c r="A1802" s="177" t="s">
        <v>5851</v>
      </c>
      <c r="B1802" s="200">
        <v>45393</v>
      </c>
      <c r="C1802" s="178" t="s">
        <v>2429</v>
      </c>
      <c r="D1802" s="178" t="s">
        <v>93</v>
      </c>
      <c r="E1802" s="227"/>
      <c r="F1802" s="180"/>
      <c r="G1802" s="181" t="s">
        <v>4147</v>
      </c>
      <c r="H1802" s="182"/>
      <c r="I1802" s="182"/>
      <c r="J1802" s="182"/>
      <c r="K1802" s="183"/>
      <c r="L1802" s="182"/>
      <c r="M1802" s="182"/>
      <c r="N1802" s="182"/>
      <c r="O1802" s="183"/>
      <c r="P1802" s="183"/>
      <c r="Q1802" s="183"/>
      <c r="R1802" s="183"/>
      <c r="S1802" s="559"/>
      <c r="T1802" s="183"/>
      <c r="U1802" s="183"/>
      <c r="V1802" s="183"/>
      <c r="W1802" s="183"/>
      <c r="X1802" s="183"/>
      <c r="Y1802" s="184"/>
      <c r="Z1802" s="185"/>
      <c r="AA1802" s="185"/>
      <c r="AB1802" s="185"/>
      <c r="AC1802" s="185"/>
      <c r="AD1802" s="649"/>
      <c r="AE1802" s="182"/>
      <c r="AF1802" s="332"/>
      <c r="AG1802" s="182"/>
      <c r="AH1802" s="182"/>
      <c r="AI1802" s="182"/>
      <c r="AJ1802" s="640"/>
      <c r="AK1802" s="182"/>
      <c r="AL1802" s="496">
        <f t="shared" si="556"/>
        <v>0</v>
      </c>
      <c r="AM1802" s="496">
        <f t="shared" si="573"/>
        <v>0</v>
      </c>
      <c r="AN1802" s="626"/>
      <c r="AO1802" s="182"/>
      <c r="AP1802" s="182"/>
      <c r="AQ1802" s="332" t="str">
        <f>UPPER(RIGHT(Journal_Live[[#This Row],[DURATION ]]))</f>
        <v/>
      </c>
      <c r="AR1802" s="182"/>
      <c r="AS1802" s="189"/>
      <c r="AT1802" s="189"/>
      <c r="AU1802" s="187"/>
      <c r="AV1802" s="190"/>
      <c r="AW1802" s="191"/>
      <c r="AX1802" s="551"/>
      <c r="AY1802" s="551"/>
      <c r="AZ1802" s="551"/>
      <c r="BA1802" s="551"/>
      <c r="BB1802" s="551"/>
      <c r="BC1802" s="551"/>
      <c r="BD1802" s="549"/>
      <c r="BE1802" s="550"/>
      <c r="BF1802" s="549"/>
      <c r="BG1802" s="391">
        <f>SUM($AV$1389:AV1802)</f>
        <v>2189.608692676491</v>
      </c>
      <c r="BH1802" s="392">
        <f>SUM($AU$1389:AU1802)</f>
        <v>29916.380000000208</v>
      </c>
      <c r="BI1802" s="318">
        <f>SUMIFS($AU$1388:AU1803,$Q$1388:Q1803,"F")</f>
        <v>22308.400000000001</v>
      </c>
      <c r="BJ1802" s="318">
        <f>SUMIFS($AU$1388:AU1803,$Q$1388:Q1803,"S")</f>
        <v>5295.9999999999936</v>
      </c>
      <c r="BK1802" s="343">
        <f>SUMIFS($AU$1388:AU1803,$P$1388:P1803,"W")</f>
        <v>21773.58000000014</v>
      </c>
      <c r="BL1802" s="343">
        <f>SUMIFS($AU$1388:AU1803,$P$1388:P1803,"R")</f>
        <v>6477.9999999998608</v>
      </c>
      <c r="BM1802" s="343">
        <f>SUMIFS($AU$1388:AU1803,$AQ$1388:AQ1803,"M")</f>
        <v>6408.7799999999179</v>
      </c>
      <c r="BN1802" s="343">
        <f>SUMIFS($AU$1388:AU1803,$AQ$1388:AQ1803,"H")</f>
        <v>3899.2000000002818</v>
      </c>
      <c r="BO1802" s="343">
        <f>SUMIFS($AU$1388:AU1803,$AQ$1388:AQ1803,"D")</f>
        <v>8210</v>
      </c>
      <c r="BP1802" s="343">
        <f>SUMIFS($AU$1388:AU1890,$AQ$1388:AQ1890,"W")</f>
        <v>12022.400000000001</v>
      </c>
      <c r="BQ1802" s="343">
        <f>SUMIFS($AU$1388:AU1803,$Q$1388:Q1803,"O")</f>
        <v>2087.9800000002169</v>
      </c>
      <c r="BR1802" s="343">
        <f>SUMIFS($AU$1388:AU1803,$AA$1388:AA1803,"*")</f>
        <v>22917.200000000095</v>
      </c>
      <c r="BS1802" s="343">
        <f>SUMIFS($AU$1388:AU1803,$AB$1388:AB1803,"*")</f>
        <v>6615.1799999999312</v>
      </c>
      <c r="BT1802" s="343">
        <f>SUMIFS($AU$1388:AU1803,$AC$1388:AC1803,"*")</f>
        <v>17908.400000000001</v>
      </c>
      <c r="BU1802" s="343">
        <f>SUMIFS($AU$1388:AU1803,$AA$1388:AA1803,"*",$AB$1388:AB1803,"*")</f>
        <v>4079.9999999998217</v>
      </c>
      <c r="BV1802" s="343">
        <f>SUMIFS($AU$1388:AU1803,$AA$1388:AA1803,"*",$AC$1388:AC1803,"*")</f>
        <v>13444.4</v>
      </c>
      <c r="BW1802" s="343">
        <f>SUMIFS($AU$1388:AU1803,$AB$1388:AB1803,"*",$AC$1388:AC1803,"*")</f>
        <v>3279.9999999999982</v>
      </c>
      <c r="BX1802" s="343">
        <f>SUMIFS($AV$1388:AV1803,$Q$1388:Q1803,"F")</f>
        <v>396.19230875404793</v>
      </c>
      <c r="BY1802" s="343">
        <f>SUMIFS($AV$1388:AV1803,$Q$1388:Q1803,"S")</f>
        <v>337.77638392253402</v>
      </c>
      <c r="BZ1802" s="343">
        <f>SUMIFS($AV$1388:AV1803,$Q$1388:Q1803,"O")</f>
        <v>707.63999999990438</v>
      </c>
    </row>
    <row r="1803" spans="1:78" ht="15.75" customHeight="1">
      <c r="A1803" s="177" t="s">
        <v>5851</v>
      </c>
      <c r="B1803" s="200"/>
      <c r="C1803" s="178"/>
      <c r="D1803" s="178"/>
      <c r="E1803" s="227"/>
      <c r="F1803" s="180"/>
      <c r="G1803" s="181"/>
      <c r="H1803" s="182"/>
      <c r="I1803" s="182"/>
      <c r="J1803" s="182"/>
      <c r="K1803" s="183"/>
      <c r="L1803" s="182"/>
      <c r="M1803" s="182"/>
      <c r="N1803" s="182"/>
      <c r="O1803" s="183"/>
      <c r="P1803" s="183"/>
      <c r="Q1803" s="183"/>
      <c r="R1803" s="183"/>
      <c r="S1803" s="183"/>
      <c r="T1803" s="183"/>
      <c r="U1803" s="183"/>
      <c r="V1803" s="183"/>
      <c r="W1803" s="183"/>
      <c r="X1803" s="183"/>
      <c r="Y1803" s="183"/>
      <c r="Z1803" s="183"/>
      <c r="AA1803" s="185"/>
      <c r="AB1803" s="185"/>
      <c r="AC1803" s="185"/>
      <c r="AD1803" s="649"/>
      <c r="AE1803" s="182"/>
      <c r="AF1803" s="332"/>
      <c r="AG1803" s="182"/>
      <c r="AH1803" s="182"/>
      <c r="AI1803" s="182"/>
      <c r="AJ1803" s="640"/>
      <c r="AK1803" s="182"/>
      <c r="AL1803" s="496">
        <f t="shared" si="556"/>
        <v>0</v>
      </c>
      <c r="AM1803" s="496">
        <f t="shared" si="573"/>
        <v>0</v>
      </c>
      <c r="AN1803" s="626"/>
      <c r="AO1803" s="182"/>
      <c r="AP1803" s="182"/>
      <c r="AQ1803" s="332" t="str">
        <f>UPPER(RIGHT(Journal_Live[[#This Row],[DURATION ]]))</f>
        <v/>
      </c>
      <c r="AR1803" s="182"/>
      <c r="AS1803" s="189"/>
      <c r="AT1803" s="189"/>
      <c r="AU1803" s="187"/>
      <c r="AV1803" s="190"/>
      <c r="AW1803" s="191"/>
      <c r="AX1803" s="417" t="s">
        <v>5558</v>
      </c>
      <c r="AY1803" s="551" t="s">
        <v>6017</v>
      </c>
      <c r="AZ1803" s="551" t="s">
        <v>6018</v>
      </c>
      <c r="BA1803" s="551" t="s">
        <v>6019</v>
      </c>
      <c r="BB1803" s="551" t="s">
        <v>6020</v>
      </c>
      <c r="BC1803" s="551" t="s">
        <v>6021</v>
      </c>
      <c r="BD1803" s="549" t="s">
        <v>6022</v>
      </c>
      <c r="BE1803" s="550" t="s">
        <v>6023</v>
      </c>
      <c r="BF1803" s="549"/>
      <c r="BG1803" s="391">
        <f>SUM($AV$1389:AV1803)</f>
        <v>2189.608692676491</v>
      </c>
      <c r="BH1803" s="392">
        <f>SUM($AU$1389:AU1803)</f>
        <v>29916.380000000208</v>
      </c>
      <c r="BI1803" s="318">
        <f>SUMIFS($AU$1388:AU1804,$Q$1388:Q1804,"F")</f>
        <v>22308.400000000001</v>
      </c>
      <c r="BJ1803" s="318">
        <f>SUMIFS($AU$1388:AU1804,$Q$1388:Q1804,"S")</f>
        <v>5295.9999999999936</v>
      </c>
      <c r="BK1803" s="343">
        <f>SUMIFS($AU$1388:AU1804,$P$1388:P1804,"W")</f>
        <v>21773.58000000014</v>
      </c>
      <c r="BL1803" s="343">
        <f>SUMIFS($AU$1388:AU1804,$P$1388:P1804,"R")</f>
        <v>6477.9999999998608</v>
      </c>
      <c r="BM1803" s="343">
        <f>SUMIFS($AU$1388:AU1804,$AQ$1388:AQ1804,"M")</f>
        <v>6408.7799999999179</v>
      </c>
      <c r="BN1803" s="343">
        <f>SUMIFS($AU$1388:AU1804,$AQ$1388:AQ1804,"H")</f>
        <v>3899.2000000002818</v>
      </c>
      <c r="BO1803" s="343">
        <f>SUMIFS($AU$1388:AU1804,$AQ$1388:AQ1804,"D")</f>
        <v>8210</v>
      </c>
      <c r="BP1803" s="343">
        <f>SUMIFS($AU$1388:AU1891,$AQ$1388:AQ1891,"W")</f>
        <v>12022.400000000001</v>
      </c>
      <c r="BQ1803" s="343">
        <f>SUMIFS($AU$1388:AU1804,$Q$1388:Q1804,"O")</f>
        <v>2087.9800000002169</v>
      </c>
      <c r="BR1803" s="343">
        <f>SUMIFS($AU$1388:AU1804,$AA$1388:AA1804,"*")</f>
        <v>22917.200000000095</v>
      </c>
      <c r="BS1803" s="343">
        <f>SUMIFS($AU$1388:AU1804,$AB$1388:AB1804,"*")</f>
        <v>6615.1799999999312</v>
      </c>
      <c r="BT1803" s="343">
        <f>SUMIFS($AU$1388:AU1804,$AC$1388:AC1804,"*")</f>
        <v>17908.400000000001</v>
      </c>
      <c r="BU1803" s="343">
        <f>SUMIFS($AU$1388:AU1804,$AA$1388:AA1804,"*",$AB$1388:AB1804,"*")</f>
        <v>4079.9999999998217</v>
      </c>
      <c r="BV1803" s="343">
        <f>SUMIFS($AU$1388:AU1804,$AA$1388:AA1804,"*",$AC$1388:AC1804,"*")</f>
        <v>13444.4</v>
      </c>
      <c r="BW1803" s="343">
        <f>SUMIFS($AU$1388:AU1804,$AB$1388:AB1804,"*",$AC$1388:AC1804,"*")</f>
        <v>3279.9999999999982</v>
      </c>
      <c r="BX1803" s="343">
        <f>SUMIFS($AV$1388:AV1804,$Q$1388:Q1804,"F")</f>
        <v>396.19230875404793</v>
      </c>
      <c r="BY1803" s="343">
        <f>SUMIFS($AV$1388:AV1804,$Q$1388:Q1804,"S")</f>
        <v>337.77638392253402</v>
      </c>
      <c r="BZ1803" s="343">
        <f>SUMIFS($AV$1388:AV1804,$Q$1388:Q1804,"O")</f>
        <v>707.63999999990438</v>
      </c>
    </row>
    <row r="1804" spans="1:78" ht="15.75" customHeight="1">
      <c r="A1804" s="177" t="s">
        <v>5851</v>
      </c>
      <c r="B1804" s="200"/>
      <c r="C1804" s="178"/>
      <c r="D1804" s="178"/>
      <c r="E1804" s="227"/>
      <c r="F1804" s="180"/>
      <c r="G1804" s="181"/>
      <c r="H1804" s="182"/>
      <c r="I1804" s="182"/>
      <c r="J1804" s="182"/>
      <c r="K1804" s="183"/>
      <c r="L1804" s="182"/>
      <c r="M1804" s="182"/>
      <c r="N1804" s="182"/>
      <c r="O1804" s="183"/>
      <c r="P1804" s="183"/>
      <c r="Q1804" s="183"/>
      <c r="R1804" s="183"/>
      <c r="S1804" s="183"/>
      <c r="T1804" s="183"/>
      <c r="U1804" s="183"/>
      <c r="V1804" s="183"/>
      <c r="W1804" s="183"/>
      <c r="X1804" s="183"/>
      <c r="Y1804" s="183"/>
      <c r="Z1804" s="183"/>
      <c r="AA1804" s="185"/>
      <c r="AB1804" s="185"/>
      <c r="AC1804" s="185"/>
      <c r="AD1804" s="649"/>
      <c r="AE1804" s="182"/>
      <c r="AF1804" s="332"/>
      <c r="AG1804" s="182"/>
      <c r="AH1804" s="182"/>
      <c r="AI1804" s="182"/>
      <c r="AJ1804" s="640"/>
      <c r="AK1804" s="182"/>
      <c r="AL1804" s="496">
        <f t="shared" si="556"/>
        <v>0</v>
      </c>
      <c r="AM1804" s="496">
        <f t="shared" si="573"/>
        <v>0</v>
      </c>
      <c r="AN1804" s="626"/>
      <c r="AO1804" s="182"/>
      <c r="AP1804" s="182"/>
      <c r="AQ1804" s="332" t="str">
        <f>UPPER(RIGHT(Journal_Live[[#This Row],[DURATION ]]))</f>
        <v/>
      </c>
      <c r="AR1804" s="182"/>
      <c r="AS1804" s="189"/>
      <c r="AT1804" s="189"/>
      <c r="AU1804" s="187"/>
      <c r="AV1804" s="190"/>
      <c r="AW1804" s="191"/>
      <c r="AX1804" s="551" t="s">
        <v>6024</v>
      </c>
      <c r="AY1804" s="551" t="s">
        <v>6025</v>
      </c>
      <c r="AZ1804" s="551" t="s">
        <v>6026</v>
      </c>
      <c r="BA1804" s="551"/>
      <c r="BB1804" s="551"/>
      <c r="BC1804" s="551"/>
      <c r="BD1804" s="549"/>
      <c r="BE1804" s="550"/>
      <c r="BF1804" s="549"/>
      <c r="BG1804" s="391">
        <f>SUM($AV$1389:AV1804)</f>
        <v>2189.608692676491</v>
      </c>
      <c r="BH1804" s="392">
        <f>SUM($AU$1389:AU1804)</f>
        <v>29916.380000000208</v>
      </c>
      <c r="BI1804" s="318">
        <f>SUMIFS($AU$1388:AU1805,$Q$1388:Q1805,"F")</f>
        <v>22308.400000000001</v>
      </c>
      <c r="BJ1804" s="318">
        <f>SUMIFS($AU$1388:AU1805,$Q$1388:Q1805,"S")</f>
        <v>5295.9999999999936</v>
      </c>
      <c r="BK1804" s="343">
        <f>SUMIFS($AU$1388:AU1805,$P$1388:P1805,"W")</f>
        <v>21773.58000000014</v>
      </c>
      <c r="BL1804" s="343">
        <f>SUMIFS($AU$1388:AU1805,$P$1388:P1805,"R")</f>
        <v>6477.9999999998608</v>
      </c>
      <c r="BM1804" s="343">
        <f>SUMIFS($AU$1388:AU1805,$AQ$1388:AQ1805,"M")</f>
        <v>6408.7799999999179</v>
      </c>
      <c r="BN1804" s="343">
        <f>SUMIFS($AU$1388:AU1805,$AQ$1388:AQ1805,"H")</f>
        <v>3899.2000000002818</v>
      </c>
      <c r="BO1804" s="343">
        <f>SUMIFS($AU$1388:AU1805,$AQ$1388:AQ1805,"D")</f>
        <v>8210</v>
      </c>
      <c r="BP1804" s="343">
        <f>SUMIFS($AU$1388:AU1892,$AQ$1388:AQ1892,"W")</f>
        <v>12022.400000000001</v>
      </c>
      <c r="BQ1804" s="343">
        <f>SUMIFS($AU$1388:AU1805,$Q$1388:Q1805,"O")</f>
        <v>2087.9800000002169</v>
      </c>
      <c r="BR1804" s="343">
        <f>SUMIFS($AU$1388:AU1805,$AA$1388:AA1805,"*")</f>
        <v>22917.200000000095</v>
      </c>
      <c r="BS1804" s="343">
        <f>SUMIFS($AU$1388:AU1805,$AB$1388:AB1805,"*")</f>
        <v>6615.1799999999312</v>
      </c>
      <c r="BT1804" s="343">
        <f>SUMIFS($AU$1388:AU1805,$AC$1388:AC1805,"*")</f>
        <v>17908.400000000001</v>
      </c>
      <c r="BU1804" s="343">
        <f>SUMIFS($AU$1388:AU1805,$AA$1388:AA1805,"*",$AB$1388:AB1805,"*")</f>
        <v>4079.9999999998217</v>
      </c>
      <c r="BV1804" s="343">
        <f>SUMIFS($AU$1388:AU1805,$AA$1388:AA1805,"*",$AC$1388:AC1805,"*")</f>
        <v>13444.4</v>
      </c>
      <c r="BW1804" s="343">
        <f>SUMIFS($AU$1388:AU1805,$AB$1388:AB1805,"*",$AC$1388:AC1805,"*")</f>
        <v>3279.9999999999982</v>
      </c>
      <c r="BX1804" s="343">
        <f>SUMIFS($AV$1388:AV1805,$Q$1388:Q1805,"F")</f>
        <v>396.19230875404793</v>
      </c>
      <c r="BY1804" s="343">
        <f>SUMIFS($AV$1388:AV1805,$Q$1388:Q1805,"S")</f>
        <v>337.77638392253402</v>
      </c>
      <c r="BZ1804" s="343">
        <f>SUMIFS($AV$1388:AV1805,$Q$1388:Q1805,"O")</f>
        <v>707.63999999990438</v>
      </c>
    </row>
    <row r="1805" spans="1:78" ht="15.75" customHeight="1">
      <c r="A1805" s="177" t="s">
        <v>5851</v>
      </c>
      <c r="B1805" s="200">
        <v>45393</v>
      </c>
      <c r="C1805" s="178" t="s">
        <v>6027</v>
      </c>
      <c r="D1805" s="178" t="s">
        <v>93</v>
      </c>
      <c r="E1805" s="227"/>
      <c r="F1805" s="180"/>
      <c r="G1805" s="181" t="s">
        <v>3555</v>
      </c>
      <c r="H1805" s="182"/>
      <c r="I1805" s="182"/>
      <c r="J1805" s="182"/>
      <c r="K1805" s="183"/>
      <c r="L1805" s="182"/>
      <c r="M1805" s="182"/>
      <c r="N1805" s="182"/>
      <c r="O1805" s="183"/>
      <c r="P1805" s="183"/>
      <c r="Q1805" s="183"/>
      <c r="R1805" s="183"/>
      <c r="S1805" s="559"/>
      <c r="T1805" s="183"/>
      <c r="U1805" s="183"/>
      <c r="V1805" s="183"/>
      <c r="W1805" s="183"/>
      <c r="X1805" s="183"/>
      <c r="Y1805" s="184"/>
      <c r="Z1805" s="185"/>
      <c r="AA1805" s="185"/>
      <c r="AB1805" s="185"/>
      <c r="AC1805" s="185"/>
      <c r="AD1805" s="649"/>
      <c r="AE1805" s="182"/>
      <c r="AF1805" s="332"/>
      <c r="AG1805" s="182"/>
      <c r="AH1805" s="182"/>
      <c r="AI1805" s="182"/>
      <c r="AJ1805" s="640"/>
      <c r="AK1805" s="182"/>
      <c r="AL1805" s="496">
        <f t="shared" si="556"/>
        <v>0</v>
      </c>
      <c r="AM1805" s="496">
        <f t="shared" si="573"/>
        <v>0</v>
      </c>
      <c r="AN1805" s="626"/>
      <c r="AO1805" s="182"/>
      <c r="AP1805" s="182"/>
      <c r="AQ1805" s="332" t="str">
        <f>UPPER(RIGHT(Journal_Live[[#This Row],[DURATION ]]))</f>
        <v/>
      </c>
      <c r="AR1805" s="182"/>
      <c r="AS1805" s="189"/>
      <c r="AT1805" s="189"/>
      <c r="AU1805" s="187"/>
      <c r="AV1805" s="190"/>
      <c r="AW1805" s="191"/>
      <c r="AX1805" s="551" t="s">
        <v>6028</v>
      </c>
      <c r="AY1805" s="551" t="s">
        <v>6029</v>
      </c>
      <c r="AZ1805" s="551" t="s">
        <v>6030</v>
      </c>
      <c r="BA1805" s="551" t="s">
        <v>6031</v>
      </c>
      <c r="BB1805" s="551" t="s">
        <v>6032</v>
      </c>
      <c r="BC1805" s="551" t="s">
        <v>6033</v>
      </c>
      <c r="BD1805" s="549"/>
      <c r="BE1805" s="550"/>
      <c r="BF1805" s="549"/>
      <c r="BG1805" s="391">
        <f>SUM($AV$1389:AV1805)</f>
        <v>2189.608692676491</v>
      </c>
      <c r="BH1805" s="392">
        <f>SUM($AU$1389:AU1805)</f>
        <v>29916.380000000208</v>
      </c>
      <c r="BI1805" s="318">
        <f>SUMIFS($AU$1388:AU1806,$Q$1388:Q1806,"F")</f>
        <v>22308.400000000001</v>
      </c>
      <c r="BJ1805" s="318">
        <f>SUMIFS($AU$1388:AU1806,$Q$1388:Q1806,"S")</f>
        <v>5295.9999999999936</v>
      </c>
      <c r="BK1805" s="343">
        <f>SUMIFS($AU$1388:AU1806,$P$1388:P1806,"W")</f>
        <v>21773.58000000014</v>
      </c>
      <c r="BL1805" s="343">
        <f>SUMIFS($AU$1388:AU1806,$P$1388:P1806,"R")</f>
        <v>6477.9999999998608</v>
      </c>
      <c r="BM1805" s="343">
        <f>SUMIFS($AU$1388:AU1806,$AQ$1388:AQ1806,"M")</f>
        <v>6408.7799999999179</v>
      </c>
      <c r="BN1805" s="343">
        <f>SUMIFS($AU$1388:AU1806,$AQ$1388:AQ1806,"H")</f>
        <v>3899.2000000002818</v>
      </c>
      <c r="BO1805" s="343">
        <f>SUMIFS($AU$1388:AU1806,$AQ$1388:AQ1806,"D")</f>
        <v>8210</v>
      </c>
      <c r="BP1805" s="343">
        <f>SUMIFS($AU$1388:AU1893,$AQ$1388:AQ1893,"W")</f>
        <v>12022.400000000001</v>
      </c>
      <c r="BQ1805" s="343">
        <f>SUMIFS($AU$1388:AU1806,$Q$1388:Q1806,"O")</f>
        <v>2087.9800000002169</v>
      </c>
      <c r="BR1805" s="343">
        <f>SUMIFS($AU$1388:AU1806,$AA$1388:AA1806,"*")</f>
        <v>22917.200000000095</v>
      </c>
      <c r="BS1805" s="343">
        <f>SUMIFS($AU$1388:AU1806,$AB$1388:AB1806,"*")</f>
        <v>6615.1799999999312</v>
      </c>
      <c r="BT1805" s="343">
        <f>SUMIFS($AU$1388:AU1806,$AC$1388:AC1806,"*")</f>
        <v>17908.400000000001</v>
      </c>
      <c r="BU1805" s="343">
        <f>SUMIFS($AU$1388:AU1806,$AA$1388:AA1806,"*",$AB$1388:AB1806,"*")</f>
        <v>4079.9999999998217</v>
      </c>
      <c r="BV1805" s="343">
        <f>SUMIFS($AU$1388:AU1806,$AA$1388:AA1806,"*",$AC$1388:AC1806,"*")</f>
        <v>13444.4</v>
      </c>
      <c r="BW1805" s="343">
        <f>SUMIFS($AU$1388:AU1806,$AB$1388:AB1806,"*",$AC$1388:AC1806,"*")</f>
        <v>3279.9999999999982</v>
      </c>
      <c r="BX1805" s="343">
        <f>SUMIFS($AV$1388:AV1806,$Q$1388:Q1806,"F")</f>
        <v>396.19230875404793</v>
      </c>
      <c r="BY1805" s="343">
        <f>SUMIFS($AV$1388:AV1806,$Q$1388:Q1806,"S")</f>
        <v>337.77638392253402</v>
      </c>
      <c r="BZ1805" s="343">
        <f>SUMIFS($AV$1388:AV1806,$Q$1388:Q1806,"O")</f>
        <v>707.63999999990438</v>
      </c>
    </row>
    <row r="1806" spans="1:78" ht="15.75" customHeight="1">
      <c r="A1806" s="177" t="s">
        <v>5851</v>
      </c>
      <c r="B1806" s="200">
        <v>45393</v>
      </c>
      <c r="C1806" s="178" t="s">
        <v>6034</v>
      </c>
      <c r="D1806" s="178" t="s">
        <v>93</v>
      </c>
      <c r="E1806" s="227"/>
      <c r="F1806" s="180"/>
      <c r="G1806" s="484" t="s">
        <v>3962</v>
      </c>
      <c r="H1806" s="182"/>
      <c r="I1806" s="182"/>
      <c r="J1806" s="182"/>
      <c r="K1806" s="183"/>
      <c r="L1806" s="182">
        <v>1</v>
      </c>
      <c r="M1806" s="182"/>
      <c r="N1806" s="182"/>
      <c r="O1806" s="183" t="s">
        <v>95</v>
      </c>
      <c r="P1806" s="183" t="s">
        <v>137</v>
      </c>
      <c r="Q1806" s="183" t="s">
        <v>256</v>
      </c>
      <c r="R1806" s="183">
        <v>30</v>
      </c>
      <c r="S1806" s="559">
        <v>0</v>
      </c>
      <c r="T1806" s="183">
        <v>30</v>
      </c>
      <c r="U1806" s="183" t="s">
        <v>97</v>
      </c>
      <c r="V1806" s="183"/>
      <c r="W1806" s="183"/>
      <c r="X1806" s="183"/>
      <c r="Y1806" s="184">
        <f>IF(ISBLANK(O1806),"",(IF(O1806=UPPER("IB"),0.005,0.01)))</f>
        <v>0.01</v>
      </c>
      <c r="Z1806" s="185">
        <f>IF(ISBLANK(O1806),"",IF(O1806="IB",8.63*200,IF(O1806="IR",16*100,IF(O1806="YT",20*100,IF(O1806="YT-XT",24*200,IF(O1806="TED",80*100,IF(O1806="XT",29*200)))))))</f>
        <v>1600</v>
      </c>
      <c r="AA1806" s="185"/>
      <c r="AB1806" s="185" t="s">
        <v>6035</v>
      </c>
      <c r="AC1806" s="185" t="s">
        <v>6036</v>
      </c>
      <c r="AD1806" s="649">
        <v>-0.02</v>
      </c>
      <c r="AE1806" s="182"/>
      <c r="AF1806" s="332"/>
      <c r="AG1806" s="182"/>
      <c r="AH1806" s="182"/>
      <c r="AI1806" s="182"/>
      <c r="AJ1806" s="640"/>
      <c r="AK1806" s="182"/>
      <c r="AL1806" s="496">
        <f t="shared" si="556"/>
        <v>-32</v>
      </c>
      <c r="AM1806" s="496">
        <f t="shared" si="573"/>
        <v>-960</v>
      </c>
      <c r="AN1806" s="626"/>
      <c r="AO1806" s="182"/>
      <c r="AP1806" s="182" t="s">
        <v>902</v>
      </c>
      <c r="AQ1806" s="332" t="s">
        <v>96</v>
      </c>
      <c r="AR1806" s="182" t="s">
        <v>6037</v>
      </c>
      <c r="AS1806" s="189">
        <v>-0.02</v>
      </c>
      <c r="AT1806" s="189">
        <f>IF(ISBLANK(AS1806),,IF(U1806="S",AD1806-AS1806,AS1806-AD1806))</f>
        <v>0</v>
      </c>
      <c r="AU1806" s="187">
        <f>AV1806*R1806</f>
        <v>0</v>
      </c>
      <c r="AV1806" s="190">
        <f t="shared" ref="AV1806:AV1808" si="575">IF(ISBLANK(AS1806),,(AT1806*Z1806))</f>
        <v>0</v>
      </c>
      <c r="AW1806" s="191" t="s">
        <v>115</v>
      </c>
      <c r="AX1806" s="551" t="s">
        <v>6038</v>
      </c>
      <c r="AY1806" s="551"/>
      <c r="AZ1806" s="551"/>
      <c r="BA1806" s="551"/>
      <c r="BB1806" s="551"/>
      <c r="BC1806" s="551"/>
      <c r="BD1806" s="549"/>
      <c r="BE1806" s="550"/>
      <c r="BF1806" s="549"/>
      <c r="BG1806" s="391">
        <f>SUM($AV$1389:AV1806)</f>
        <v>2189.608692676491</v>
      </c>
      <c r="BH1806" s="392">
        <f>SUM($AU$1389:AU1806)</f>
        <v>29916.380000000208</v>
      </c>
      <c r="BI1806" s="318">
        <f>SUMIFS($AU$1388:AU1807,$Q$1388:Q1807,"F")</f>
        <v>22308.400000000001</v>
      </c>
      <c r="BJ1806" s="318">
        <f>SUMIFS($AU$1388:AU1807,$Q$1388:Q1807,"S")</f>
        <v>5295.9999999999936</v>
      </c>
      <c r="BK1806" s="343">
        <f>SUMIFS($AU$1388:AU1807,$P$1388:P1807,"W")</f>
        <v>21773.58000000014</v>
      </c>
      <c r="BL1806" s="343">
        <f>SUMIFS($AU$1388:AU1807,$P$1388:P1807,"R")</f>
        <v>6477.9999999998608</v>
      </c>
      <c r="BM1806" s="343">
        <f>SUMIFS($AU$1388:AU1807,$AQ$1388:AQ1807,"M")</f>
        <v>6408.7799999999179</v>
      </c>
      <c r="BN1806" s="343">
        <f>SUMIFS($AU$1388:AU1807,$AQ$1388:AQ1807,"H")</f>
        <v>3899.2000000002818</v>
      </c>
      <c r="BO1806" s="343">
        <f>SUMIFS($AU$1388:AU1807,$AQ$1388:AQ1807,"D")</f>
        <v>8210</v>
      </c>
      <c r="BP1806" s="343">
        <f>SUMIFS($AU$1388:AU1894,$AQ$1388:AQ1894,"W")</f>
        <v>12022.400000000001</v>
      </c>
      <c r="BQ1806" s="343">
        <f>SUMIFS($AU$1388:AU1807,$Q$1388:Q1807,"O")</f>
        <v>2087.9800000002169</v>
      </c>
      <c r="BR1806" s="343">
        <f>SUMIFS($AU$1388:AU1807,$AA$1388:AA1807,"*")</f>
        <v>22917.200000000095</v>
      </c>
      <c r="BS1806" s="343">
        <f>SUMIFS($AU$1388:AU1807,$AB$1388:AB1807,"*")</f>
        <v>6615.1799999999312</v>
      </c>
      <c r="BT1806" s="343">
        <f>SUMIFS($AU$1388:AU1807,$AC$1388:AC1807,"*")</f>
        <v>17908.400000000001</v>
      </c>
      <c r="BU1806" s="343">
        <f>SUMIFS($AU$1388:AU1807,$AA$1388:AA1807,"*",$AB$1388:AB1807,"*")</f>
        <v>4079.9999999998217</v>
      </c>
      <c r="BV1806" s="343">
        <f>SUMIFS($AU$1388:AU1807,$AA$1388:AA1807,"*",$AC$1388:AC1807,"*")</f>
        <v>13444.4</v>
      </c>
      <c r="BW1806" s="343">
        <f>SUMIFS($AU$1388:AU1807,$AB$1388:AB1807,"*",$AC$1388:AC1807,"*")</f>
        <v>3279.9999999999982</v>
      </c>
      <c r="BX1806" s="343">
        <f>SUMIFS($AV$1388:AV1807,$Q$1388:Q1807,"F")</f>
        <v>396.19230875404793</v>
      </c>
      <c r="BY1806" s="343">
        <f>SUMIFS($AV$1388:AV1807,$Q$1388:Q1807,"S")</f>
        <v>337.77638392253402</v>
      </c>
      <c r="BZ1806" s="343">
        <f>SUMIFS($AV$1388:AV1807,$Q$1388:Q1807,"O")</f>
        <v>707.63999999990438</v>
      </c>
    </row>
    <row r="1807" spans="1:78" ht="15.75" customHeight="1">
      <c r="A1807" s="177" t="s">
        <v>5851</v>
      </c>
      <c r="B1807" s="200">
        <v>45393</v>
      </c>
      <c r="C1807" s="178" t="s">
        <v>6039</v>
      </c>
      <c r="D1807" s="178" t="s">
        <v>93</v>
      </c>
      <c r="E1807" s="227"/>
      <c r="F1807" s="180"/>
      <c r="G1807" s="181" t="s">
        <v>6040</v>
      </c>
      <c r="H1807" s="182"/>
      <c r="I1807" s="182"/>
      <c r="J1807" s="182"/>
      <c r="K1807" s="183"/>
      <c r="L1807" s="182"/>
      <c r="M1807" s="182"/>
      <c r="N1807" s="182"/>
      <c r="O1807" s="183"/>
      <c r="P1807" s="183"/>
      <c r="Q1807" s="183"/>
      <c r="R1807" s="183"/>
      <c r="S1807" s="559"/>
      <c r="T1807" s="183"/>
      <c r="U1807" s="183"/>
      <c r="V1807" s="183"/>
      <c r="W1807" s="183"/>
      <c r="X1807" s="183"/>
      <c r="Y1807" s="184"/>
      <c r="Z1807" s="185"/>
      <c r="AA1807" s="185"/>
      <c r="AB1807" s="185"/>
      <c r="AC1807" s="185"/>
      <c r="AD1807" s="649"/>
      <c r="AE1807" s="182"/>
      <c r="AF1807" s="332"/>
      <c r="AG1807" s="182"/>
      <c r="AH1807" s="182"/>
      <c r="AI1807" s="182"/>
      <c r="AJ1807" s="640"/>
      <c r="AK1807" s="182"/>
      <c r="AL1807" s="496">
        <f t="shared" si="556"/>
        <v>0</v>
      </c>
      <c r="AM1807" s="496">
        <f t="shared" si="573"/>
        <v>0</v>
      </c>
      <c r="AN1807" s="626"/>
      <c r="AO1807" s="182"/>
      <c r="AP1807" s="182"/>
      <c r="AQ1807" s="332" t="str">
        <f>UPPER(RIGHT(Journal_Live[[#This Row],[DURATION ]]))</f>
        <v/>
      </c>
      <c r="AR1807" s="182"/>
      <c r="AS1807" s="189"/>
      <c r="AT1807" s="189"/>
      <c r="AU1807" s="187"/>
      <c r="AV1807" s="190"/>
      <c r="AW1807" s="191"/>
      <c r="AX1807" s="551"/>
      <c r="AY1807" s="551"/>
      <c r="AZ1807" s="551"/>
      <c r="BA1807" s="551"/>
      <c r="BB1807" s="551"/>
      <c r="BC1807" s="551"/>
      <c r="BD1807" s="549"/>
      <c r="BE1807" s="550"/>
      <c r="BF1807" s="549"/>
      <c r="BG1807" s="391">
        <f>SUM($AV$1389:AV1807)</f>
        <v>2189.608692676491</v>
      </c>
      <c r="BH1807" s="392">
        <f>SUM($AU$1389:AU1807)</f>
        <v>29916.380000000208</v>
      </c>
      <c r="BI1807" s="318">
        <f>SUMIFS($AU$1388:AU1808,$Q$1388:Q1808,"F")</f>
        <v>22788.400000000001</v>
      </c>
      <c r="BJ1807" s="318">
        <f>SUMIFS($AU$1388:AU1808,$Q$1388:Q1808,"S")</f>
        <v>5295.9999999999936</v>
      </c>
      <c r="BK1807" s="343">
        <f>SUMIFS($AU$1388:AU1808,$P$1388:P1808,"W")</f>
        <v>22253.58000000014</v>
      </c>
      <c r="BL1807" s="343">
        <f>SUMIFS($AU$1388:AU1808,$P$1388:P1808,"R")</f>
        <v>6477.9999999998608</v>
      </c>
      <c r="BM1807" s="343">
        <f>SUMIFS($AU$1388:AU1808,$AQ$1388:AQ1808,"M")</f>
        <v>6408.7799999999179</v>
      </c>
      <c r="BN1807" s="343">
        <f>SUMIFS($AU$1388:AU1808,$AQ$1388:AQ1808,"H")</f>
        <v>4379.2000000002818</v>
      </c>
      <c r="BO1807" s="343">
        <f>SUMIFS($AU$1388:AU1808,$AQ$1388:AQ1808,"D")</f>
        <v>8210</v>
      </c>
      <c r="BP1807" s="343">
        <f>SUMIFS($AU$1388:AU1895,$AQ$1388:AQ1895,"W")</f>
        <v>12022.400000000001</v>
      </c>
      <c r="BQ1807" s="343">
        <f>SUMIFS($AU$1388:AU1808,$Q$1388:Q1808,"O")</f>
        <v>2087.9800000002169</v>
      </c>
      <c r="BR1807" s="343">
        <f>SUMIFS($AU$1388:AU1808,$AA$1388:AA1808,"*")</f>
        <v>22917.200000000095</v>
      </c>
      <c r="BS1807" s="343">
        <f>SUMIFS($AU$1388:AU1808,$AB$1388:AB1808,"*")</f>
        <v>7095.1799999999312</v>
      </c>
      <c r="BT1807" s="343">
        <f>SUMIFS($AU$1388:AU1808,$AC$1388:AC1808,"*")</f>
        <v>18388.400000000001</v>
      </c>
      <c r="BU1807" s="343">
        <f>SUMIFS($AU$1388:AU1808,$AA$1388:AA1808,"*",$AB$1388:AB1808,"*")</f>
        <v>4079.9999999998217</v>
      </c>
      <c r="BV1807" s="343">
        <f>SUMIFS($AU$1388:AU1808,$AA$1388:AA1808,"*",$AC$1388:AC1808,"*")</f>
        <v>13444.4</v>
      </c>
      <c r="BW1807" s="343">
        <f>SUMIFS($AU$1388:AU1808,$AB$1388:AB1808,"*",$AC$1388:AC1808,"*")</f>
        <v>3759.9999999999982</v>
      </c>
      <c r="BX1807" s="343">
        <f>SUMIFS($AV$1388:AV1808,$Q$1388:Q1808,"F")</f>
        <v>412.19230875404793</v>
      </c>
      <c r="BY1807" s="343">
        <f>SUMIFS($AV$1388:AV1808,$Q$1388:Q1808,"S")</f>
        <v>337.77638392253402</v>
      </c>
      <c r="BZ1807" s="343">
        <f>SUMIFS($AV$1388:AV1808,$Q$1388:Q1808,"O")</f>
        <v>707.63999999990438</v>
      </c>
    </row>
    <row r="1808" spans="1:78" ht="15.75" customHeight="1">
      <c r="A1808" s="177" t="s">
        <v>5851</v>
      </c>
      <c r="B1808" s="200">
        <v>45393</v>
      </c>
      <c r="C1808" s="178" t="s">
        <v>6041</v>
      </c>
      <c r="D1808" s="178" t="s">
        <v>93</v>
      </c>
      <c r="E1808" s="227"/>
      <c r="F1808" s="180"/>
      <c r="G1808" s="484" t="s">
        <v>6042</v>
      </c>
      <c r="H1808" s="182"/>
      <c r="I1808" s="182"/>
      <c r="J1808" s="182"/>
      <c r="K1808" s="183"/>
      <c r="L1808" s="182">
        <v>1</v>
      </c>
      <c r="M1808" s="182"/>
      <c r="N1808" s="182"/>
      <c r="O1808" s="183" t="s">
        <v>95</v>
      </c>
      <c r="P1808" s="183" t="s">
        <v>96</v>
      </c>
      <c r="Q1808" s="183" t="s">
        <v>256</v>
      </c>
      <c r="R1808" s="183">
        <v>30</v>
      </c>
      <c r="S1808" s="559">
        <v>0</v>
      </c>
      <c r="T1808" s="183">
        <v>30</v>
      </c>
      <c r="U1808" s="183" t="s">
        <v>22</v>
      </c>
      <c r="V1808" s="183"/>
      <c r="W1808" s="183"/>
      <c r="X1808" s="183"/>
      <c r="Y1808" s="184">
        <f t="shared" ref="Y1808:Y1816" si="576">IF(ISBLANK(O1808),"",(IF(O1808=UPPER("IB"),0.005,0.01)))</f>
        <v>0.01</v>
      </c>
      <c r="Z1808" s="185">
        <f>IF(ISBLANK(O1808),"",IF(O1808="IB",8.63*200,IF(O1808="IR",16*100,IF(O1808="YT",20*100,IF(O1808="YT-XT",24*200,IF(O1808="TED",80*100,IF(O1808="XT",29*200)))))))</f>
        <v>1600</v>
      </c>
      <c r="AA1808" s="185"/>
      <c r="AB1808" s="185" t="s">
        <v>6043</v>
      </c>
      <c r="AC1808" s="185" t="s">
        <v>6044</v>
      </c>
      <c r="AD1808" s="649">
        <v>0</v>
      </c>
      <c r="AE1808" s="182"/>
      <c r="AF1808" s="332"/>
      <c r="AG1808" s="182"/>
      <c r="AH1808" s="182"/>
      <c r="AI1808" s="182"/>
      <c r="AJ1808" s="640"/>
      <c r="AK1808" s="182"/>
      <c r="AL1808" s="496">
        <f t="shared" si="556"/>
        <v>-32</v>
      </c>
      <c r="AM1808" s="496">
        <f t="shared" si="573"/>
        <v>-960</v>
      </c>
      <c r="AN1808" s="626"/>
      <c r="AO1808" s="182"/>
      <c r="AP1808" s="182" t="s">
        <v>1930</v>
      </c>
      <c r="AQ1808" s="332" t="s">
        <v>372</v>
      </c>
      <c r="AR1808" s="182" t="s">
        <v>6045</v>
      </c>
      <c r="AS1808" s="189">
        <v>0.01</v>
      </c>
      <c r="AT1808" s="189">
        <f t="shared" ref="AT1808:AT1816" si="577">IF(ISBLANK(AS1808),,IF(U1808="S",AD1808-AS1808,AS1808-AD1808))</f>
        <v>0.01</v>
      </c>
      <c r="AU1808" s="187">
        <f t="shared" ref="AU1808:AU1816" si="578">AV1808*R1808</f>
        <v>480</v>
      </c>
      <c r="AV1808" s="190">
        <f t="shared" si="575"/>
        <v>16</v>
      </c>
      <c r="AW1808" s="191" t="s">
        <v>96</v>
      </c>
      <c r="AX1808" s="551" t="s">
        <v>6046</v>
      </c>
      <c r="AY1808" s="551"/>
      <c r="AZ1808" s="551"/>
      <c r="BA1808" s="551"/>
      <c r="BB1808" s="551"/>
      <c r="BC1808" s="551"/>
      <c r="BD1808" s="549"/>
      <c r="BE1808" s="550"/>
      <c r="BF1808" s="549"/>
      <c r="BG1808" s="391">
        <f>SUM($AV$1389:AV1808)</f>
        <v>2205.608692676491</v>
      </c>
      <c r="BH1808" s="392">
        <f>SUM($AU$1389:AU1808)</f>
        <v>30396.380000000208</v>
      </c>
      <c r="BI1808" s="318">
        <f>SUMIFS($AU$1388:AU1809,$Q$1388:Q1809,"F")</f>
        <v>22788.400000000001</v>
      </c>
      <c r="BJ1808" s="318">
        <f>SUMIFS($AU$1388:AU1809,$Q$1388:Q1809,"S")</f>
        <v>5295.9999999999936</v>
      </c>
      <c r="BK1808" s="343">
        <f>SUMIFS($AU$1388:AU1809,$P$1388:P1809,"W")</f>
        <v>22253.58000000014</v>
      </c>
      <c r="BL1808" s="343">
        <f>SUMIFS($AU$1388:AU1809,$P$1388:P1809,"R")</f>
        <v>6477.9999999998608</v>
      </c>
      <c r="BM1808" s="343">
        <f>SUMIFS($AU$1388:AU1809,$AQ$1388:AQ1809,"M")</f>
        <v>6408.7799999999179</v>
      </c>
      <c r="BN1808" s="343">
        <f>SUMIFS($AU$1388:AU1809,$AQ$1388:AQ1809,"H")</f>
        <v>4379.2000000002818</v>
      </c>
      <c r="BO1808" s="343">
        <f>SUMIFS($AU$1388:AU1809,$AQ$1388:AQ1809,"D")</f>
        <v>8210</v>
      </c>
      <c r="BP1808" s="343">
        <f>SUMIFS($AU$1388:AU1896,$AQ$1388:AQ1896,"W")</f>
        <v>12022.400000000001</v>
      </c>
      <c r="BQ1808" s="343">
        <f>SUMIFS($AU$1388:AU1809,$Q$1388:Q1809,"O")</f>
        <v>2087.9800000002169</v>
      </c>
      <c r="BR1808" s="343">
        <f>SUMIFS($AU$1388:AU1809,$AA$1388:AA1809,"*")</f>
        <v>22917.200000000095</v>
      </c>
      <c r="BS1808" s="343">
        <f>SUMIFS($AU$1388:AU1809,$AB$1388:AB1809,"*")</f>
        <v>7095.1799999999312</v>
      </c>
      <c r="BT1808" s="343">
        <f>SUMIFS($AU$1388:AU1809,$AC$1388:AC1809,"*")</f>
        <v>18388.400000000001</v>
      </c>
      <c r="BU1808" s="343">
        <f>SUMIFS($AU$1388:AU1809,$AA$1388:AA1809,"*",$AB$1388:AB1809,"*")</f>
        <v>4079.9999999998217</v>
      </c>
      <c r="BV1808" s="343">
        <f>SUMIFS($AU$1388:AU1809,$AA$1388:AA1809,"*",$AC$1388:AC1809,"*")</f>
        <v>13444.4</v>
      </c>
      <c r="BW1808" s="343">
        <f>SUMIFS($AU$1388:AU1809,$AB$1388:AB1809,"*",$AC$1388:AC1809,"*")</f>
        <v>3759.9999999999982</v>
      </c>
      <c r="BX1808" s="343">
        <f>SUMIFS($AV$1388:AV1809,$Q$1388:Q1809,"F")</f>
        <v>412.19230875404793</v>
      </c>
      <c r="BY1808" s="343">
        <f>SUMIFS($AV$1388:AV1809,$Q$1388:Q1809,"S")</f>
        <v>337.77638392253402</v>
      </c>
      <c r="BZ1808" s="343">
        <f>SUMIFS($AV$1388:AV1809,$Q$1388:Q1809,"O")</f>
        <v>707.63999999990438</v>
      </c>
    </row>
    <row r="1809" spans="1:78" ht="15.75" customHeight="1">
      <c r="A1809" s="177" t="s">
        <v>5851</v>
      </c>
      <c r="B1809" s="200">
        <v>45394</v>
      </c>
      <c r="C1809" s="178" t="s">
        <v>2917</v>
      </c>
      <c r="D1809" s="178" t="s">
        <v>111</v>
      </c>
      <c r="E1809" s="227"/>
      <c r="F1809" s="180"/>
      <c r="G1809" s="561" t="s">
        <v>5979</v>
      </c>
      <c r="H1809" s="182"/>
      <c r="I1809" s="182"/>
      <c r="J1809" s="182"/>
      <c r="K1809" s="183"/>
      <c r="L1809" s="182"/>
      <c r="M1809" s="182">
        <v>1</v>
      </c>
      <c r="N1809" s="182"/>
      <c r="O1809" s="183" t="s">
        <v>5325</v>
      </c>
      <c r="P1809" s="183" t="s">
        <v>137</v>
      </c>
      <c r="Q1809" s="183"/>
      <c r="R1809" s="183">
        <v>1</v>
      </c>
      <c r="S1809" s="183">
        <v>0</v>
      </c>
      <c r="T1809" s="183">
        <v>1</v>
      </c>
      <c r="U1809" s="183" t="s">
        <v>22</v>
      </c>
      <c r="V1809" s="183"/>
      <c r="W1809" s="183"/>
      <c r="X1809" s="183"/>
      <c r="Y1809" s="184">
        <f t="shared" si="576"/>
        <v>0.01</v>
      </c>
      <c r="Z1809" s="185">
        <f>IF(ISBLANK(O1809),"",IF(O1809="IB",8.63*200,IF(O1809="IR",16*100,IF(O1809="YT",20*100,IF(O1809="YT-XT",24*200,IF(O1809="TED",80*100,IF(O1809="IR|YT",300*100)))))))</f>
        <v>30000</v>
      </c>
      <c r="AA1809" s="185" t="s">
        <v>6047</v>
      </c>
      <c r="AB1809" s="185"/>
      <c r="AC1809" s="185"/>
      <c r="AD1809" s="649">
        <v>-7.0000000000000007E-2</v>
      </c>
      <c r="AE1809" s="182"/>
      <c r="AF1809" s="332"/>
      <c r="AG1809" s="182"/>
      <c r="AH1809" s="182"/>
      <c r="AI1809" s="182"/>
      <c r="AJ1809" s="640"/>
      <c r="AK1809" s="182"/>
      <c r="AL1809" s="496">
        <f t="shared" si="552"/>
        <v>-600</v>
      </c>
      <c r="AM1809" s="496">
        <f t="shared" si="573"/>
        <v>-600</v>
      </c>
      <c r="AN1809" s="626"/>
      <c r="AO1809" s="182"/>
      <c r="AP1809" s="182"/>
      <c r="AQ1809" s="332" t="s">
        <v>1259</v>
      </c>
      <c r="AR1809" s="182" t="s">
        <v>379</v>
      </c>
      <c r="AS1809" s="189">
        <v>-7.0000000000000007E-2</v>
      </c>
      <c r="AT1809" s="189">
        <f t="shared" si="577"/>
        <v>0</v>
      </c>
      <c r="AU1809" s="187">
        <f t="shared" si="578"/>
        <v>0</v>
      </c>
      <c r="AV1809" s="190">
        <f t="shared" ref="AV1809" si="579">IF(ISBLANK(AS1809),,(AT1809*Z1809))</f>
        <v>0</v>
      </c>
      <c r="AW1809" s="191" t="s">
        <v>115</v>
      </c>
      <c r="AX1809" s="551" t="s">
        <v>2564</v>
      </c>
      <c r="AY1809" s="551"/>
      <c r="AZ1809" s="551"/>
      <c r="BA1809" s="551"/>
      <c r="BB1809" s="551"/>
      <c r="BC1809" s="551"/>
      <c r="BD1809" s="549"/>
      <c r="BE1809" s="550"/>
      <c r="BF1809" s="549"/>
      <c r="BG1809" s="391">
        <f>SUM($AV$1389:AV1809)</f>
        <v>2205.608692676491</v>
      </c>
      <c r="BH1809" s="392">
        <f>SUM($AU$1389:AU1809)</f>
        <v>30396.380000000208</v>
      </c>
      <c r="BI1809" s="318">
        <f>SUMIFS($AU$1388:AU1810,$Q$1388:Q1810,"F")</f>
        <v>22788.400000000001</v>
      </c>
      <c r="BJ1809" s="318">
        <f>SUMIFS($AU$1388:AU1810,$Q$1388:Q1810,"S")</f>
        <v>5295.9999999999936</v>
      </c>
      <c r="BK1809" s="343">
        <f>SUMIFS($AU$1388:AU1810,$P$1388:P1810,"W")</f>
        <v>22253.58000000014</v>
      </c>
      <c r="BL1809" s="343">
        <f>SUMIFS($AU$1388:AU1810,$P$1388:P1810,"R")</f>
        <v>6477.9999999998608</v>
      </c>
      <c r="BM1809" s="343">
        <f>SUMIFS($AU$1388:AU1810,$AQ$1388:AQ1810,"M")</f>
        <v>6408.7799999999179</v>
      </c>
      <c r="BN1809" s="343">
        <f>SUMIFS($AU$1388:AU1810,$AQ$1388:AQ1810,"H")</f>
        <v>4379.2000000002818</v>
      </c>
      <c r="BO1809" s="343">
        <f>SUMIFS($AU$1388:AU1810,$AQ$1388:AQ1810,"D")</f>
        <v>8210</v>
      </c>
      <c r="BP1809" s="343">
        <f>SUMIFS($AU$1388:AU1897,$AQ$1388:AQ1897,"W")</f>
        <v>12022.400000000001</v>
      </c>
      <c r="BQ1809" s="343">
        <f>SUMIFS($AU$1388:AU1810,$Q$1388:Q1810,"O")</f>
        <v>2087.9800000002169</v>
      </c>
      <c r="BR1809" s="343">
        <f>SUMIFS($AU$1388:AU1810,$AA$1388:AA1810,"*")</f>
        <v>22917.200000000095</v>
      </c>
      <c r="BS1809" s="343">
        <f>SUMIFS($AU$1388:AU1810,$AB$1388:AB1810,"*")</f>
        <v>7095.1799999999312</v>
      </c>
      <c r="BT1809" s="343">
        <f>SUMIFS($AU$1388:AU1810,$AC$1388:AC1810,"*")</f>
        <v>18388.400000000001</v>
      </c>
      <c r="BU1809" s="343">
        <f>SUMIFS($AU$1388:AU1810,$AA$1388:AA1810,"*",$AB$1388:AB1810,"*")</f>
        <v>4079.9999999998217</v>
      </c>
      <c r="BV1809" s="343">
        <f>SUMIFS($AU$1388:AU1810,$AA$1388:AA1810,"*",$AC$1388:AC1810,"*")</f>
        <v>13444.4</v>
      </c>
      <c r="BW1809" s="343">
        <f>SUMIFS($AU$1388:AU1810,$AB$1388:AB1810,"*",$AC$1388:AC1810,"*")</f>
        <v>3759.9999999999982</v>
      </c>
      <c r="BX1809" s="343">
        <f>SUMIFS($AV$1388:AV1810,$Q$1388:Q1810,"F")</f>
        <v>412.19230875404793</v>
      </c>
      <c r="BY1809" s="343">
        <f>SUMIFS($AV$1388:AV1810,$Q$1388:Q1810,"S")</f>
        <v>337.77638392253402</v>
      </c>
      <c r="BZ1809" s="343">
        <f>SUMIFS($AV$1388:AV1810,$Q$1388:Q1810,"O")</f>
        <v>707.63999999990438</v>
      </c>
    </row>
    <row r="1810" spans="1:78" ht="15.75" customHeight="1">
      <c r="A1810" s="177" t="s">
        <v>5851</v>
      </c>
      <c r="B1810" s="200">
        <v>45394</v>
      </c>
      <c r="C1810" s="178" t="s">
        <v>6048</v>
      </c>
      <c r="D1810" s="178" t="s">
        <v>111</v>
      </c>
      <c r="E1810" s="227"/>
      <c r="F1810" s="180"/>
      <c r="G1810" s="484" t="s">
        <v>136</v>
      </c>
      <c r="H1810" s="182"/>
      <c r="I1810" s="182"/>
      <c r="J1810" s="182"/>
      <c r="K1810" s="183"/>
      <c r="L1810" s="182">
        <v>1</v>
      </c>
      <c r="M1810" s="182"/>
      <c r="N1810" s="182"/>
      <c r="O1810" s="183" t="s">
        <v>95</v>
      </c>
      <c r="P1810" s="183" t="s">
        <v>96</v>
      </c>
      <c r="Q1810" s="183" t="s">
        <v>97</v>
      </c>
      <c r="R1810" s="183">
        <v>45</v>
      </c>
      <c r="S1810" s="559">
        <v>20</v>
      </c>
      <c r="T1810" s="183">
        <v>45</v>
      </c>
      <c r="U1810" s="183" t="s">
        <v>22</v>
      </c>
      <c r="V1810" s="183"/>
      <c r="W1810" s="183"/>
      <c r="X1810" s="183"/>
      <c r="Y1810" s="184">
        <f t="shared" si="576"/>
        <v>0.01</v>
      </c>
      <c r="Z1810" s="185">
        <f>IF(ISBLANK(O1810),"",IF(O1810="IB",8.63*200,IF(O1810="IR",16*100,IF(O1810="YT",20*100,IF(O1810="YT-XT",24*200,IF(O1810="TED",80*100,IF(O1810="XT",29*200)))))))</f>
        <v>1600</v>
      </c>
      <c r="AA1810" s="185" t="s">
        <v>6049</v>
      </c>
      <c r="AB1810" s="185"/>
      <c r="AC1810" s="185"/>
      <c r="AD1810" s="649">
        <v>-0.05</v>
      </c>
      <c r="AE1810" s="182"/>
      <c r="AF1810" s="332"/>
      <c r="AG1810" s="182"/>
      <c r="AH1810" s="182"/>
      <c r="AI1810" s="182"/>
      <c r="AJ1810" s="640"/>
      <c r="AK1810" s="182"/>
      <c r="AL1810" s="496">
        <f t="shared" si="552"/>
        <v>-32</v>
      </c>
      <c r="AM1810" s="496">
        <f t="shared" si="573"/>
        <v>-800</v>
      </c>
      <c r="AN1810" s="626"/>
      <c r="AO1810" s="182"/>
      <c r="AP1810" s="182"/>
      <c r="AQ1810" s="332" t="s">
        <v>372</v>
      </c>
      <c r="AR1810" s="182"/>
      <c r="AS1810" s="189">
        <f>((-0.05*20)+(-0.05*25))/45</f>
        <v>-0.05</v>
      </c>
      <c r="AT1810" s="189">
        <f t="shared" si="577"/>
        <v>0</v>
      </c>
      <c r="AU1810" s="187">
        <f t="shared" si="578"/>
        <v>0</v>
      </c>
      <c r="AV1810" s="190">
        <f t="shared" ref="AV1810:AV1811" si="580">IF(ISBLANK(AS1810),,(AT1810*Z1810))</f>
        <v>0</v>
      </c>
      <c r="AW1810" s="191" t="s">
        <v>115</v>
      </c>
      <c r="AX1810" s="551" t="s">
        <v>6050</v>
      </c>
      <c r="AY1810" s="551" t="s">
        <v>6051</v>
      </c>
      <c r="AZ1810" s="551"/>
      <c r="BA1810" s="551"/>
      <c r="BB1810" s="551"/>
      <c r="BC1810" s="551"/>
      <c r="BD1810" s="549"/>
      <c r="BE1810" s="550"/>
      <c r="BF1810" s="549"/>
      <c r="BG1810" s="391">
        <f>SUM($AV$1389:AV1810)</f>
        <v>2205.608692676491</v>
      </c>
      <c r="BH1810" s="392">
        <f>SUM($AU$1389:AU1810)</f>
        <v>30396.380000000208</v>
      </c>
      <c r="BI1810" s="318">
        <f>SUMIFS($AU$1388:AU1811,$Q$1388:Q1811,"F")</f>
        <v>22788.400000000001</v>
      </c>
      <c r="BJ1810" s="318">
        <f>SUMIFS($AU$1388:AU1811,$Q$1388:Q1811,"S")</f>
        <v>5295.9999999999936</v>
      </c>
      <c r="BK1810" s="343">
        <f>SUMIFS($AU$1388:AU1811,$P$1388:P1811,"W")</f>
        <v>22253.58000000014</v>
      </c>
      <c r="BL1810" s="343">
        <f>SUMIFS($AU$1388:AU1811,$P$1388:P1811,"R")</f>
        <v>6477.9999999998608</v>
      </c>
      <c r="BM1810" s="343">
        <f>SUMIFS($AU$1388:AU1811,$AQ$1388:AQ1811,"M")</f>
        <v>6408.7799999999179</v>
      </c>
      <c r="BN1810" s="343">
        <f>SUMIFS($AU$1388:AU1811,$AQ$1388:AQ1811,"H")</f>
        <v>4379.2000000002818</v>
      </c>
      <c r="BO1810" s="343">
        <f>SUMIFS($AU$1388:AU1811,$AQ$1388:AQ1811,"D")</f>
        <v>8210</v>
      </c>
      <c r="BP1810" s="343">
        <f>SUMIFS($AU$1388:AU1898,$AQ$1388:AQ1898,"W")</f>
        <v>12022.400000000001</v>
      </c>
      <c r="BQ1810" s="343">
        <f>SUMIFS($AU$1388:AU1811,$Q$1388:Q1811,"O")</f>
        <v>2087.9800000002169</v>
      </c>
      <c r="BR1810" s="343">
        <f>SUMIFS($AU$1388:AU1811,$AA$1388:AA1811,"*")</f>
        <v>22917.200000000095</v>
      </c>
      <c r="BS1810" s="343">
        <f>SUMIFS($AU$1388:AU1811,$AB$1388:AB1811,"*")</f>
        <v>7095.1799999999312</v>
      </c>
      <c r="BT1810" s="343">
        <f>SUMIFS($AU$1388:AU1811,$AC$1388:AC1811,"*")</f>
        <v>18388.400000000001</v>
      </c>
      <c r="BU1810" s="343">
        <f>SUMIFS($AU$1388:AU1811,$AA$1388:AA1811,"*",$AB$1388:AB1811,"*")</f>
        <v>4079.9999999998217</v>
      </c>
      <c r="BV1810" s="343">
        <f>SUMIFS($AU$1388:AU1811,$AA$1388:AA1811,"*",$AC$1388:AC1811,"*")</f>
        <v>13444.4</v>
      </c>
      <c r="BW1810" s="343">
        <f>SUMIFS($AU$1388:AU1811,$AB$1388:AB1811,"*",$AC$1388:AC1811,"*")</f>
        <v>3759.9999999999982</v>
      </c>
      <c r="BX1810" s="343">
        <f>SUMIFS($AV$1388:AV1811,$Q$1388:Q1811,"F")</f>
        <v>412.19230875404793</v>
      </c>
      <c r="BY1810" s="343">
        <f>SUMIFS($AV$1388:AV1811,$Q$1388:Q1811,"S")</f>
        <v>337.77638392253402</v>
      </c>
      <c r="BZ1810" s="343">
        <f>SUMIFS($AV$1388:AV1811,$Q$1388:Q1811,"O")</f>
        <v>707.63999999990438</v>
      </c>
    </row>
    <row r="1811" spans="1:78" ht="15.75" customHeight="1">
      <c r="A1811" s="177" t="s">
        <v>5851</v>
      </c>
      <c r="B1811" s="200">
        <v>45394</v>
      </c>
      <c r="C1811" s="178" t="s">
        <v>6034</v>
      </c>
      <c r="D1811" s="178" t="s">
        <v>111</v>
      </c>
      <c r="E1811" s="227"/>
      <c r="F1811" s="180"/>
      <c r="G1811" s="484" t="s">
        <v>2016</v>
      </c>
      <c r="H1811" s="182"/>
      <c r="I1811" s="182"/>
      <c r="J1811" s="182"/>
      <c r="K1811" s="183"/>
      <c r="L1811" s="182">
        <v>1</v>
      </c>
      <c r="M1811" s="182"/>
      <c r="N1811" s="182"/>
      <c r="O1811" s="183" t="s">
        <v>95</v>
      </c>
      <c r="P1811" s="183" t="s">
        <v>96</v>
      </c>
      <c r="Q1811" s="183" t="s">
        <v>97</v>
      </c>
      <c r="R1811" s="183">
        <v>30</v>
      </c>
      <c r="S1811" s="559">
        <v>0</v>
      </c>
      <c r="T1811" s="183">
        <v>30</v>
      </c>
      <c r="U1811" s="183" t="s">
        <v>22</v>
      </c>
      <c r="V1811" s="183"/>
      <c r="W1811" s="183"/>
      <c r="X1811" s="183"/>
      <c r="Y1811" s="184">
        <f t="shared" si="576"/>
        <v>0.01</v>
      </c>
      <c r="Z1811" s="185">
        <f>IF(ISBLANK(O1811),"",IF(O1811="IB",8.63*200,IF(O1811="IR",16*100,IF(O1811="YT",20*100,IF(O1811="YT-XT",24*200,IF(O1811="TED",80*100,IF(O1811="XT",29*200)))))))</f>
        <v>1600</v>
      </c>
      <c r="AA1811" s="185" t="s">
        <v>1824</v>
      </c>
      <c r="AB1811" s="185"/>
      <c r="AC1811" s="185" t="s">
        <v>6052</v>
      </c>
      <c r="AD1811" s="649">
        <v>-0.09</v>
      </c>
      <c r="AE1811" s="182"/>
      <c r="AF1811" s="332"/>
      <c r="AG1811" s="182"/>
      <c r="AH1811" s="182"/>
      <c r="AI1811" s="182"/>
      <c r="AJ1811" s="640"/>
      <c r="AK1811" s="182"/>
      <c r="AL1811" s="496">
        <f t="shared" si="552"/>
        <v>-32</v>
      </c>
      <c r="AM1811" s="496">
        <f t="shared" si="573"/>
        <v>-960</v>
      </c>
      <c r="AN1811" s="626"/>
      <c r="AO1811" s="182"/>
      <c r="AP1811" s="182"/>
      <c r="AQ1811" s="332" t="s">
        <v>372</v>
      </c>
      <c r="AR1811" s="182" t="s">
        <v>5049</v>
      </c>
      <c r="AS1811" s="189">
        <v>-0.09</v>
      </c>
      <c r="AT1811" s="189">
        <f t="shared" si="577"/>
        <v>0</v>
      </c>
      <c r="AU1811" s="187">
        <f t="shared" si="578"/>
        <v>0</v>
      </c>
      <c r="AV1811" s="190">
        <f t="shared" si="580"/>
        <v>0</v>
      </c>
      <c r="AW1811" s="191" t="s">
        <v>115</v>
      </c>
      <c r="AX1811" s="551" t="s">
        <v>6053</v>
      </c>
      <c r="AY1811" s="551" t="s">
        <v>6054</v>
      </c>
      <c r="AZ1811" s="551"/>
      <c r="BA1811" s="551"/>
      <c r="BB1811" s="551"/>
      <c r="BC1811" s="551"/>
      <c r="BD1811" s="549"/>
      <c r="BE1811" s="550"/>
      <c r="BF1811" s="549"/>
      <c r="BG1811" s="391">
        <f>SUM($AV$1389:AV1811)</f>
        <v>2205.608692676491</v>
      </c>
      <c r="BH1811" s="392">
        <f>SUM($AU$1389:AU1811)</f>
        <v>30396.380000000208</v>
      </c>
      <c r="BI1811" s="318">
        <f>SUMIFS($AU$1388:AU1812,$Q$1388:Q1812,"F")</f>
        <v>22788.400000000001</v>
      </c>
      <c r="BJ1811" s="318">
        <f>SUMIFS($AU$1388:AU1812,$Q$1388:Q1812,"S")</f>
        <v>5295.9999999999936</v>
      </c>
      <c r="BK1811" s="343">
        <f>SUMIFS($AU$1388:AU1812,$P$1388:P1812,"W")</f>
        <v>22253.58000000014</v>
      </c>
      <c r="BL1811" s="343">
        <f>SUMIFS($AU$1388:AU1812,$P$1388:P1812,"R")</f>
        <v>6777.9999999998608</v>
      </c>
      <c r="BM1811" s="343">
        <f>SUMIFS($AU$1388:AU1812,$AQ$1388:AQ1812,"M")</f>
        <v>6408.7799999999179</v>
      </c>
      <c r="BN1811" s="343">
        <f>SUMIFS($AU$1388:AU1812,$AQ$1388:AQ1812,"H")</f>
        <v>4679.2000000002818</v>
      </c>
      <c r="BO1811" s="343">
        <f>SUMIFS($AU$1388:AU1812,$AQ$1388:AQ1812,"D")</f>
        <v>8210</v>
      </c>
      <c r="BP1811" s="343">
        <f>SUMIFS($AU$1388:AU1899,$AQ$1388:AQ1899,"W")</f>
        <v>12022.400000000001</v>
      </c>
      <c r="BQ1811" s="343">
        <f>SUMIFS($AU$1388:AU1812,$Q$1388:Q1812,"O")</f>
        <v>2087.9800000002169</v>
      </c>
      <c r="BR1811" s="343">
        <f>SUMIFS($AU$1388:AU1812,$AA$1388:AA1812,"*")</f>
        <v>23217.200000000095</v>
      </c>
      <c r="BS1811" s="343">
        <f>SUMIFS($AU$1388:AU1812,$AB$1388:AB1812,"*")</f>
        <v>7395.1799999999312</v>
      </c>
      <c r="BT1811" s="343">
        <f>SUMIFS($AU$1388:AU1812,$AC$1388:AC1812,"*")</f>
        <v>18388.400000000001</v>
      </c>
      <c r="BU1811" s="343">
        <f>SUMIFS($AU$1388:AU1812,$AA$1388:AA1812,"*",$AB$1388:AB1812,"*")</f>
        <v>4379.9999999998217</v>
      </c>
      <c r="BV1811" s="343">
        <f>SUMIFS($AU$1388:AU1812,$AA$1388:AA1812,"*",$AC$1388:AC1812,"*")</f>
        <v>13444.4</v>
      </c>
      <c r="BW1811" s="343">
        <f>SUMIFS($AU$1388:AU1812,$AB$1388:AB1812,"*",$AC$1388:AC1812,"*")</f>
        <v>3759.9999999999982</v>
      </c>
      <c r="BX1811" s="343">
        <f>SUMIFS($AV$1388:AV1812,$Q$1388:Q1812,"F")</f>
        <v>412.19230875404793</v>
      </c>
      <c r="BY1811" s="343">
        <f>SUMIFS($AV$1388:AV1812,$Q$1388:Q1812,"S")</f>
        <v>337.77638392253402</v>
      </c>
      <c r="BZ1811" s="343">
        <f>SUMIFS($AV$1388:AV1812,$Q$1388:Q1812,"O")</f>
        <v>707.63999999990438</v>
      </c>
    </row>
    <row r="1812" spans="1:78" ht="15.75" customHeight="1">
      <c r="A1812" s="177" t="s">
        <v>5851</v>
      </c>
      <c r="B1812" s="200">
        <v>45394</v>
      </c>
      <c r="C1812" s="178" t="s">
        <v>6055</v>
      </c>
      <c r="D1812" s="178" t="s">
        <v>111</v>
      </c>
      <c r="E1812" s="227"/>
      <c r="F1812" s="180"/>
      <c r="G1812" s="561" t="s">
        <v>6056</v>
      </c>
      <c r="H1812" s="182"/>
      <c r="I1812" s="182"/>
      <c r="J1812" s="182"/>
      <c r="K1812" s="183"/>
      <c r="L1812" s="182"/>
      <c r="M1812" s="182">
        <v>1</v>
      </c>
      <c r="N1812" s="182"/>
      <c r="O1812" s="183" t="s">
        <v>5325</v>
      </c>
      <c r="P1812" s="183" t="s">
        <v>137</v>
      </c>
      <c r="Q1812" s="183"/>
      <c r="R1812" s="183">
        <v>1</v>
      </c>
      <c r="S1812" s="183">
        <v>0</v>
      </c>
      <c r="T1812" s="183">
        <v>1</v>
      </c>
      <c r="U1812" s="183" t="s">
        <v>97</v>
      </c>
      <c r="V1812" s="183"/>
      <c r="W1812" s="183"/>
      <c r="X1812" s="183"/>
      <c r="Y1812" s="184">
        <f t="shared" si="576"/>
        <v>0.01</v>
      </c>
      <c r="Z1812" s="185">
        <f>IF(ISBLANK(O1812),"",IF(O1812="IB",8.63*200,IF(O1812="IR",16*100,IF(O1812="YT",20*100,IF(O1812="YT-XT",24*200,IF(O1812="TED",80*100,IF(O1812="IR|YT",300*100)))))))</f>
        <v>30000</v>
      </c>
      <c r="AA1812" s="185" t="s">
        <v>6047</v>
      </c>
      <c r="AB1812" s="185" t="s">
        <v>6057</v>
      </c>
      <c r="AC1812" s="185"/>
      <c r="AD1812" s="649">
        <v>-0.05</v>
      </c>
      <c r="AE1812" s="182"/>
      <c r="AF1812" s="332"/>
      <c r="AG1812" s="182"/>
      <c r="AH1812" s="182"/>
      <c r="AI1812" s="182"/>
      <c r="AJ1812" s="640"/>
      <c r="AK1812" s="182"/>
      <c r="AL1812" s="496">
        <f t="shared" si="552"/>
        <v>-600</v>
      </c>
      <c r="AM1812" s="496">
        <f t="shared" si="573"/>
        <v>-600</v>
      </c>
      <c r="AN1812" s="626"/>
      <c r="AO1812" s="182"/>
      <c r="AP1812" s="182" t="s">
        <v>967</v>
      </c>
      <c r="AQ1812" s="332" t="s">
        <v>372</v>
      </c>
      <c r="AR1812" s="182" t="s">
        <v>6058</v>
      </c>
      <c r="AS1812" s="189">
        <v>-0.06</v>
      </c>
      <c r="AT1812" s="189">
        <f t="shared" si="577"/>
        <v>9.999999999999995E-3</v>
      </c>
      <c r="AU1812" s="187">
        <f t="shared" si="578"/>
        <v>299.99999999999983</v>
      </c>
      <c r="AV1812" s="190">
        <f t="shared" ref="AV1812" si="581">IF(ISBLANK(AS1812),,(AT1812*Z1812))</f>
        <v>299.99999999999983</v>
      </c>
      <c r="AW1812" s="191" t="s">
        <v>96</v>
      </c>
      <c r="AX1812" s="551"/>
      <c r="AY1812" s="551"/>
      <c r="AZ1812" s="551"/>
      <c r="BA1812" s="551"/>
      <c r="BB1812" s="551"/>
      <c r="BC1812" s="551"/>
      <c r="BD1812" s="549"/>
      <c r="BE1812" s="550"/>
      <c r="BF1812" s="549"/>
      <c r="BG1812" s="391">
        <f>SUM($AV$1389:AV1812)</f>
        <v>2505.608692676491</v>
      </c>
      <c r="BH1812" s="392">
        <f>SUM($AU$1389:AU1812)</f>
        <v>30696.380000000208</v>
      </c>
      <c r="BI1812" s="318">
        <f>SUMIFS($AU$1388:AU1813,$Q$1388:Q1813,"F")</f>
        <v>22788.400000000001</v>
      </c>
      <c r="BJ1812" s="318">
        <f>SUMIFS($AU$1388:AU1813,$Q$1388:Q1813,"S")</f>
        <v>5295.9999999999936</v>
      </c>
      <c r="BK1812" s="343">
        <f>SUMIFS($AU$1388:AU1813,$P$1388:P1813,"W")</f>
        <v>22253.58000000014</v>
      </c>
      <c r="BL1812" s="343">
        <f>SUMIFS($AU$1388:AU1813,$P$1388:P1813,"R")</f>
        <v>6777.9999999998608</v>
      </c>
      <c r="BM1812" s="343">
        <f>SUMIFS($AU$1388:AU1813,$AQ$1388:AQ1813,"M")</f>
        <v>6408.7799999999179</v>
      </c>
      <c r="BN1812" s="343">
        <f>SUMIFS($AU$1388:AU1813,$AQ$1388:AQ1813,"H")</f>
        <v>4679.2000000002818</v>
      </c>
      <c r="BO1812" s="343">
        <f>SUMIFS($AU$1388:AU1813,$AQ$1388:AQ1813,"D")</f>
        <v>8210</v>
      </c>
      <c r="BP1812" s="343">
        <f>SUMIFS($AU$1388:AU1900,$AQ$1388:AQ1900,"W")</f>
        <v>13990.400000000001</v>
      </c>
      <c r="BQ1812" s="343">
        <f>SUMIFS($AU$1388:AU1813,$Q$1388:Q1813,"O")</f>
        <v>2087.9800000002169</v>
      </c>
      <c r="BR1812" s="343">
        <f>SUMIFS($AU$1388:AU1813,$AA$1388:AA1813,"*")</f>
        <v>23217.200000000095</v>
      </c>
      <c r="BS1812" s="343">
        <f>SUMIFS($AU$1388:AU1813,$AB$1388:AB1813,"*")</f>
        <v>7395.1799999999312</v>
      </c>
      <c r="BT1812" s="343">
        <f>SUMIFS($AU$1388:AU1813,$AC$1388:AC1813,"*")</f>
        <v>18388.400000000001</v>
      </c>
      <c r="BU1812" s="343">
        <f>SUMIFS($AU$1388:AU1813,$AA$1388:AA1813,"*",$AB$1388:AB1813,"*")</f>
        <v>4379.9999999998217</v>
      </c>
      <c r="BV1812" s="343">
        <f>SUMIFS($AU$1388:AU1813,$AA$1388:AA1813,"*",$AC$1388:AC1813,"*")</f>
        <v>13444.4</v>
      </c>
      <c r="BW1812" s="343">
        <f>SUMIFS($AU$1388:AU1813,$AB$1388:AB1813,"*",$AC$1388:AC1813,"*")</f>
        <v>3759.9999999999982</v>
      </c>
      <c r="BX1812" s="343">
        <f>SUMIFS($AV$1388:AV1813,$Q$1388:Q1813,"F")</f>
        <v>412.19230875404793</v>
      </c>
      <c r="BY1812" s="343">
        <f>SUMIFS($AV$1388:AV1813,$Q$1388:Q1813,"S")</f>
        <v>337.77638392253402</v>
      </c>
      <c r="BZ1812" s="343">
        <f>SUMIFS($AV$1388:AV1813,$Q$1388:Q1813,"O")</f>
        <v>707.63999999990438</v>
      </c>
    </row>
    <row r="1813" spans="1:78" ht="15.75" customHeight="1">
      <c r="A1813" s="177" t="s">
        <v>5851</v>
      </c>
      <c r="B1813" s="200">
        <v>45394</v>
      </c>
      <c r="C1813" s="178" t="s">
        <v>1826</v>
      </c>
      <c r="D1813" s="178" t="s">
        <v>111</v>
      </c>
      <c r="E1813" s="227"/>
      <c r="F1813" s="180"/>
      <c r="G1813" s="484" t="s">
        <v>6059</v>
      </c>
      <c r="H1813" s="182"/>
      <c r="I1813" s="182"/>
      <c r="J1813" s="182"/>
      <c r="K1813" s="183"/>
      <c r="L1813" s="182">
        <v>1</v>
      </c>
      <c r="M1813" s="182"/>
      <c r="N1813" s="182"/>
      <c r="O1813" s="183" t="s">
        <v>95</v>
      </c>
      <c r="P1813" s="183" t="s">
        <v>96</v>
      </c>
      <c r="Q1813" s="183" t="s">
        <v>256</v>
      </c>
      <c r="R1813" s="183">
        <v>60</v>
      </c>
      <c r="S1813" s="559">
        <v>0</v>
      </c>
      <c r="T1813" s="183">
        <v>60</v>
      </c>
      <c r="U1813" s="183" t="s">
        <v>97</v>
      </c>
      <c r="V1813" s="183"/>
      <c r="W1813" s="183"/>
      <c r="X1813" s="183"/>
      <c r="Y1813" s="184">
        <f t="shared" si="576"/>
        <v>0.01</v>
      </c>
      <c r="Z1813" s="185">
        <f>IF(ISBLANK(O1813),"",IF(O1813="IB",8.63*200,IF(O1813="IR",16*100,IF(O1813="YT",20*100,IF(O1813="YT-XT",24*200,IF(O1813="TED",80*100,IF(O1813="XT",29*200)))))))</f>
        <v>1600</v>
      </c>
      <c r="AA1813" s="185" t="s">
        <v>6060</v>
      </c>
      <c r="AB1813" s="185"/>
      <c r="AC1813" s="185"/>
      <c r="AD1813" s="649">
        <v>0.01</v>
      </c>
      <c r="AE1813" s="182"/>
      <c r="AF1813" s="332"/>
      <c r="AG1813" s="182"/>
      <c r="AH1813" s="182"/>
      <c r="AI1813" s="182" t="s">
        <v>6061</v>
      </c>
      <c r="AJ1813" s="640" t="s">
        <v>6062</v>
      </c>
      <c r="AK1813" s="182"/>
      <c r="AL1813" s="496">
        <f t="shared" si="552"/>
        <v>-32</v>
      </c>
      <c r="AM1813" s="496">
        <f t="shared" si="573"/>
        <v>-1920</v>
      </c>
      <c r="AN1813" s="626"/>
      <c r="AO1813" s="182"/>
      <c r="AP1813" s="182" t="s">
        <v>2333</v>
      </c>
      <c r="AQ1813" s="332" t="s">
        <v>115</v>
      </c>
      <c r="AR1813" s="298">
        <v>45399</v>
      </c>
      <c r="AS1813" s="189">
        <v>0.01</v>
      </c>
      <c r="AT1813" s="189">
        <f t="shared" si="577"/>
        <v>0</v>
      </c>
      <c r="AU1813" s="187">
        <f t="shared" si="578"/>
        <v>0</v>
      </c>
      <c r="AV1813" s="190">
        <f t="shared" ref="AV1813:AV1814" si="582">IF(ISBLANK(AS1813),,(AT1813*Z1813))</f>
        <v>0</v>
      </c>
      <c r="AW1813" s="191" t="s">
        <v>115</v>
      </c>
      <c r="AX1813" s="551" t="s">
        <v>6063</v>
      </c>
      <c r="AY1813" s="551" t="s">
        <v>6064</v>
      </c>
      <c r="AZ1813" s="551" t="s">
        <v>6065</v>
      </c>
      <c r="BA1813" s="551" t="s">
        <v>6066</v>
      </c>
      <c r="BB1813" s="551"/>
      <c r="BC1813" s="551"/>
      <c r="BD1813" s="549"/>
      <c r="BE1813" s="550"/>
      <c r="BF1813" s="549"/>
      <c r="BG1813" s="391">
        <f>SUM($AV$1389:AV1813)</f>
        <v>2505.608692676491</v>
      </c>
      <c r="BH1813" s="392">
        <f>SUM($AU$1389:AU1813)</f>
        <v>30696.380000000208</v>
      </c>
      <c r="BI1813" s="318">
        <f>SUMIFS($AU$1388:AU1814,$Q$1388:Q1814,"F")</f>
        <v>22788.400000000001</v>
      </c>
      <c r="BJ1813" s="318">
        <f>SUMIFS($AU$1388:AU1814,$Q$1388:Q1814,"S")</f>
        <v>5775.9999999999945</v>
      </c>
      <c r="BK1813" s="343">
        <f>SUMIFS($AU$1388:AU1814,$P$1388:P1814,"W")</f>
        <v>22733.58000000014</v>
      </c>
      <c r="BL1813" s="343">
        <f>SUMIFS($AU$1388:AU1814,$P$1388:P1814,"R")</f>
        <v>6777.9999999998608</v>
      </c>
      <c r="BM1813" s="343">
        <f>SUMIFS($AU$1388:AU1814,$AQ$1388:AQ1814,"M")</f>
        <v>6408.7799999999179</v>
      </c>
      <c r="BN1813" s="343">
        <f>SUMIFS($AU$1388:AU1814,$AQ$1388:AQ1814,"H")</f>
        <v>4679.2000000002818</v>
      </c>
      <c r="BO1813" s="343">
        <f>SUMIFS($AU$1388:AU1814,$AQ$1388:AQ1814,"D")</f>
        <v>8690</v>
      </c>
      <c r="BP1813" s="343">
        <f>SUMIFS($AU$1388:AU1901,$AQ$1388:AQ1901,"W")</f>
        <v>13472.599999999982</v>
      </c>
      <c r="BQ1813" s="343">
        <f>SUMIFS($AU$1388:AU1814,$Q$1388:Q1814,"O")</f>
        <v>2087.9800000002169</v>
      </c>
      <c r="BR1813" s="343">
        <f>SUMIFS($AU$1388:AU1814,$AA$1388:AA1814,"*")</f>
        <v>23217.200000000095</v>
      </c>
      <c r="BS1813" s="343">
        <f>SUMIFS($AU$1388:AU1814,$AB$1388:AB1814,"*")</f>
        <v>7395.1799999999312</v>
      </c>
      <c r="BT1813" s="343">
        <f>SUMIFS($AU$1388:AU1814,$AC$1388:AC1814,"*")</f>
        <v>18868.400000000001</v>
      </c>
      <c r="BU1813" s="343">
        <f>SUMIFS($AU$1388:AU1814,$AA$1388:AA1814,"*",$AB$1388:AB1814,"*")</f>
        <v>4379.9999999998217</v>
      </c>
      <c r="BV1813" s="343">
        <f>SUMIFS($AU$1388:AU1814,$AA$1388:AA1814,"*",$AC$1388:AC1814,"*")</f>
        <v>13444.4</v>
      </c>
      <c r="BW1813" s="343">
        <f>SUMIFS($AU$1388:AU1814,$AB$1388:AB1814,"*",$AC$1388:AC1814,"*")</f>
        <v>3759.9999999999982</v>
      </c>
      <c r="BX1813" s="343">
        <f>SUMIFS($AV$1388:AV1814,$Q$1388:Q1814,"F")</f>
        <v>412.19230875404793</v>
      </c>
      <c r="BY1813" s="343">
        <f>SUMIFS($AV$1388:AV1814,$Q$1388:Q1814,"S")</f>
        <v>353.77638392253402</v>
      </c>
      <c r="BZ1813" s="343">
        <f>SUMIFS($AV$1388:AV1814,$Q$1388:Q1814,"O")</f>
        <v>707.63999999990438</v>
      </c>
    </row>
    <row r="1814" spans="1:78" ht="15.75" customHeight="1">
      <c r="A1814" s="177" t="s">
        <v>5851</v>
      </c>
      <c r="B1814" s="200">
        <v>45394</v>
      </c>
      <c r="C1814" s="178" t="s">
        <v>1466</v>
      </c>
      <c r="D1814" s="178" t="s">
        <v>111</v>
      </c>
      <c r="E1814" s="227"/>
      <c r="F1814" s="180"/>
      <c r="G1814" s="484" t="s">
        <v>2016</v>
      </c>
      <c r="H1814" s="182"/>
      <c r="I1814" s="182"/>
      <c r="J1814" s="182"/>
      <c r="K1814" s="183"/>
      <c r="L1814" s="182">
        <v>1</v>
      </c>
      <c r="M1814" s="182"/>
      <c r="N1814" s="182"/>
      <c r="O1814" s="183" t="s">
        <v>95</v>
      </c>
      <c r="P1814" s="183" t="s">
        <v>96</v>
      </c>
      <c r="Q1814" s="183" t="s">
        <v>97</v>
      </c>
      <c r="R1814" s="183">
        <v>30</v>
      </c>
      <c r="S1814" s="183">
        <v>30</v>
      </c>
      <c r="T1814" s="183">
        <v>30</v>
      </c>
      <c r="U1814" s="183" t="s">
        <v>22</v>
      </c>
      <c r="V1814" s="183"/>
      <c r="W1814" s="183"/>
      <c r="X1814" s="183"/>
      <c r="Y1814" s="184">
        <f t="shared" si="576"/>
        <v>0.01</v>
      </c>
      <c r="Z1814" s="185">
        <f>IF(ISBLANK(O1814),"",IF(O1814="IB",8.63*200,IF(O1814="IR",16*100,IF(O1814="YT",20*100,IF(O1814="YT-XT",24*200,IF(O1814="TED",80*100,IF(O1814="XT",29*200)))))))</f>
        <v>1600</v>
      </c>
      <c r="AA1814" s="185"/>
      <c r="AB1814" s="185"/>
      <c r="AC1814" s="185" t="s">
        <v>6067</v>
      </c>
      <c r="AD1814" s="649">
        <v>-0.1</v>
      </c>
      <c r="AE1814" s="182"/>
      <c r="AF1814" s="332"/>
      <c r="AG1814" s="182"/>
      <c r="AH1814" s="182"/>
      <c r="AI1814" s="182"/>
      <c r="AJ1814" s="640"/>
      <c r="AK1814" s="182"/>
      <c r="AL1814" s="496">
        <f t="shared" si="552"/>
        <v>-32</v>
      </c>
      <c r="AM1814" s="496">
        <f t="shared" si="573"/>
        <v>0</v>
      </c>
      <c r="AN1814" s="626"/>
      <c r="AO1814" s="182"/>
      <c r="AP1814" s="182" t="s">
        <v>770</v>
      </c>
      <c r="AQ1814" s="332" t="s">
        <v>115</v>
      </c>
      <c r="AR1814" s="182" t="s">
        <v>6068</v>
      </c>
      <c r="AS1814" s="189">
        <v>-0.09</v>
      </c>
      <c r="AT1814" s="189">
        <f t="shared" si="577"/>
        <v>1.0000000000000009E-2</v>
      </c>
      <c r="AU1814" s="187">
        <f t="shared" si="578"/>
        <v>480.00000000000045</v>
      </c>
      <c r="AV1814" s="190">
        <f t="shared" si="582"/>
        <v>16.000000000000014</v>
      </c>
      <c r="AW1814" s="191" t="s">
        <v>96</v>
      </c>
      <c r="AX1814" s="551" t="s">
        <v>6069</v>
      </c>
      <c r="AY1814" s="551" t="s">
        <v>6070</v>
      </c>
      <c r="AZ1814" s="551" t="s">
        <v>6071</v>
      </c>
      <c r="BA1814" s="551" t="s">
        <v>6072</v>
      </c>
      <c r="BB1814" s="551" t="s">
        <v>6073</v>
      </c>
      <c r="BC1814" s="551"/>
      <c r="BD1814" s="549"/>
      <c r="BE1814" s="550"/>
      <c r="BF1814" s="549"/>
      <c r="BG1814" s="391">
        <f>SUM($AV$1389:AV1814)</f>
        <v>2521.608692676491</v>
      </c>
      <c r="BH1814" s="392">
        <f>SUM($AU$1389:AU1814)</f>
        <v>31176.380000000208</v>
      </c>
      <c r="BI1814" s="318">
        <f>SUMIFS($AU$1388:AU1815,$Q$1388:Q1815,"F")</f>
        <v>22788.400000000001</v>
      </c>
      <c r="BJ1814" s="318">
        <f>SUMIFS($AU$1388:AU1815,$Q$1388:Q1815,"S")</f>
        <v>5775.9999999999945</v>
      </c>
      <c r="BK1814" s="343">
        <f>SUMIFS($AU$1388:AU1815,$P$1388:P1815,"W")</f>
        <v>22733.58000000014</v>
      </c>
      <c r="BL1814" s="343">
        <f>SUMIFS($AU$1388:AU1815,$P$1388:P1815,"R")</f>
        <v>7677.9999999998608</v>
      </c>
      <c r="BM1814" s="343">
        <f>SUMIFS($AU$1388:AU1815,$AQ$1388:AQ1815,"M")</f>
        <v>6408.7799999999179</v>
      </c>
      <c r="BN1814" s="343">
        <f>SUMIFS($AU$1388:AU1815,$AQ$1388:AQ1815,"H")</f>
        <v>4679.2000000002818</v>
      </c>
      <c r="BO1814" s="343">
        <f>SUMIFS($AU$1388:AU1815,$AQ$1388:AQ1815,"D")</f>
        <v>9590</v>
      </c>
      <c r="BP1814" s="343">
        <f>SUMIFS($AU$1388:AU1902,$AQ$1388:AQ1902,"W")</f>
        <v>13472.599999999982</v>
      </c>
      <c r="BQ1814" s="343">
        <f>SUMIFS($AU$1388:AU1815,$Q$1388:Q1815,"O")</f>
        <v>2087.9800000002169</v>
      </c>
      <c r="BR1814" s="343">
        <f>SUMIFS($AU$1388:AU1815,$AA$1388:AA1815,"*")</f>
        <v>24117.200000000095</v>
      </c>
      <c r="BS1814" s="343">
        <f>SUMIFS($AU$1388:AU1815,$AB$1388:AB1815,"*")</f>
        <v>8295.1799999999312</v>
      </c>
      <c r="BT1814" s="343">
        <f>SUMIFS($AU$1388:AU1815,$AC$1388:AC1815,"*")</f>
        <v>18868.400000000001</v>
      </c>
      <c r="BU1814" s="343">
        <f>SUMIFS($AU$1388:AU1815,$AA$1388:AA1815,"*",$AB$1388:AB1815,"*")</f>
        <v>5279.9999999998217</v>
      </c>
      <c r="BV1814" s="343">
        <f>SUMIFS($AU$1388:AU1815,$AA$1388:AA1815,"*",$AC$1388:AC1815,"*")</f>
        <v>13444.4</v>
      </c>
      <c r="BW1814" s="343">
        <f>SUMIFS($AU$1388:AU1815,$AB$1388:AB1815,"*",$AC$1388:AC1815,"*")</f>
        <v>3759.9999999999982</v>
      </c>
      <c r="BX1814" s="343">
        <f>SUMIFS($AV$1388:AV1815,$Q$1388:Q1815,"F")</f>
        <v>412.19230875404793</v>
      </c>
      <c r="BY1814" s="343">
        <f>SUMIFS($AV$1388:AV1815,$Q$1388:Q1815,"S")</f>
        <v>353.77638392253402</v>
      </c>
      <c r="BZ1814" s="343">
        <f>SUMIFS($AV$1388:AV1815,$Q$1388:Q1815,"O")</f>
        <v>707.63999999990438</v>
      </c>
    </row>
    <row r="1815" spans="1:78" ht="15.75" customHeight="1">
      <c r="A1815" s="177" t="s">
        <v>5851</v>
      </c>
      <c r="B1815" s="200">
        <v>45394</v>
      </c>
      <c r="C1815" s="178" t="s">
        <v>6074</v>
      </c>
      <c r="D1815" s="178" t="s">
        <v>111</v>
      </c>
      <c r="E1815" s="227"/>
      <c r="F1815" s="180"/>
      <c r="G1815" s="561" t="s">
        <v>6075</v>
      </c>
      <c r="H1815" s="182"/>
      <c r="I1815" s="182"/>
      <c r="J1815" s="182"/>
      <c r="K1815" s="183"/>
      <c r="L1815" s="182"/>
      <c r="M1815" s="182">
        <v>1</v>
      </c>
      <c r="N1815" s="182"/>
      <c r="O1815" s="183" t="s">
        <v>5325</v>
      </c>
      <c r="P1815" s="183" t="s">
        <v>137</v>
      </c>
      <c r="Q1815" s="183"/>
      <c r="R1815" s="183">
        <v>1</v>
      </c>
      <c r="S1815" s="183">
        <v>0</v>
      </c>
      <c r="T1815" s="183">
        <v>1</v>
      </c>
      <c r="U1815" s="183" t="s">
        <v>97</v>
      </c>
      <c r="V1815" s="183"/>
      <c r="W1815" s="183"/>
      <c r="X1815" s="183"/>
      <c r="Y1815" s="184">
        <f t="shared" si="576"/>
        <v>0.01</v>
      </c>
      <c r="Z1815" s="185">
        <f>IF(ISBLANK(O1815),"",IF(O1815="IB",8.63*200,IF(O1815="IR",16*100,IF(O1815="YT",20*100,IF(O1815="YT-XT",24*200,IF(O1815="TED",80*100,IF(O1815="IR|YT",300*100)))))))</f>
        <v>30000</v>
      </c>
      <c r="AA1815" s="185" t="s">
        <v>6076</v>
      </c>
      <c r="AB1815" s="185" t="s">
        <v>6057</v>
      </c>
      <c r="AC1815" s="185"/>
      <c r="AD1815" s="649">
        <v>-0.06</v>
      </c>
      <c r="AE1815" s="182"/>
      <c r="AF1815" s="332"/>
      <c r="AG1815" s="182"/>
      <c r="AH1815" s="182"/>
      <c r="AI1815" s="182"/>
      <c r="AJ1815" s="640"/>
      <c r="AK1815" s="182"/>
      <c r="AL1815" s="496">
        <f t="shared" si="552"/>
        <v>-600</v>
      </c>
      <c r="AM1815" s="496">
        <f t="shared" si="573"/>
        <v>-600</v>
      </c>
      <c r="AN1815" s="626"/>
      <c r="AO1815" s="182"/>
      <c r="AP1815" s="182" t="s">
        <v>770</v>
      </c>
      <c r="AQ1815" s="332" t="s">
        <v>115</v>
      </c>
      <c r="AR1815" s="182" t="s">
        <v>6077</v>
      </c>
      <c r="AS1815" s="189">
        <v>-0.09</v>
      </c>
      <c r="AT1815" s="189">
        <f t="shared" si="577"/>
        <v>0.03</v>
      </c>
      <c r="AU1815" s="187">
        <f t="shared" si="578"/>
        <v>900</v>
      </c>
      <c r="AV1815" s="190">
        <f t="shared" ref="AV1815" si="583">IF(ISBLANK(AS1815),,(AT1815*Z1815))</f>
        <v>900</v>
      </c>
      <c r="AW1815" s="191" t="s">
        <v>96</v>
      </c>
      <c r="AX1815" s="551" t="s">
        <v>6073</v>
      </c>
      <c r="AY1815" s="551"/>
      <c r="AZ1815" s="551"/>
      <c r="BA1815" s="551"/>
      <c r="BB1815" s="551"/>
      <c r="BC1815" s="551"/>
      <c r="BD1815" s="549"/>
      <c r="BE1815" s="550"/>
      <c r="BF1815" s="549"/>
      <c r="BG1815" s="391">
        <f>SUM($AV$1389:AV1815)</f>
        <v>3421.608692676491</v>
      </c>
      <c r="BH1815" s="392">
        <f>SUM($AU$1389:AU1815)</f>
        <v>32076.380000000208</v>
      </c>
      <c r="BI1815" s="318">
        <f>SUMIFS($AU$1388:AU1816,$Q$1388:Q1816,"F")</f>
        <v>23268.400000000001</v>
      </c>
      <c r="BJ1815" s="318">
        <f>SUMIFS($AU$1388:AU1816,$Q$1388:Q1816,"S")</f>
        <v>5775.9999999999945</v>
      </c>
      <c r="BK1815" s="343">
        <f>SUMIFS($AU$1388:AU1816,$P$1388:P1816,"W")</f>
        <v>23213.58000000014</v>
      </c>
      <c r="BL1815" s="343">
        <f>SUMIFS($AU$1388:AU1816,$P$1388:P1816,"R")</f>
        <v>7677.9999999998608</v>
      </c>
      <c r="BM1815" s="343">
        <f>SUMIFS($AU$1388:AU1816,$AQ$1388:AQ1816,"M")</f>
        <v>6408.7799999999179</v>
      </c>
      <c r="BN1815" s="343">
        <f>SUMIFS($AU$1388:AU1816,$AQ$1388:AQ1816,"H")</f>
        <v>5159.2000000002827</v>
      </c>
      <c r="BO1815" s="343">
        <f>SUMIFS($AU$1388:AU1816,$AQ$1388:AQ1816,"D")</f>
        <v>9590</v>
      </c>
      <c r="BP1815" s="343">
        <f>SUMIFS($AU$1388:AU1903,$AQ$1388:AQ1903,"W")</f>
        <v>13472.599999999982</v>
      </c>
      <c r="BQ1815" s="343">
        <f>SUMIFS($AU$1388:AU1816,$Q$1388:Q1816,"O")</f>
        <v>2087.9800000002169</v>
      </c>
      <c r="BR1815" s="343">
        <f>SUMIFS($AU$1388:AU1816,$AA$1388:AA1816,"*")</f>
        <v>24597.200000000095</v>
      </c>
      <c r="BS1815" s="343">
        <f>SUMIFS($AU$1388:AU1816,$AB$1388:AB1816,"*")</f>
        <v>8775.1799999999312</v>
      </c>
      <c r="BT1815" s="343">
        <f>SUMIFS($AU$1388:AU1816,$AC$1388:AC1816,"*")</f>
        <v>18868.400000000001</v>
      </c>
      <c r="BU1815" s="343">
        <f>SUMIFS($AU$1388:AU1816,$AA$1388:AA1816,"*",$AB$1388:AB1816,"*")</f>
        <v>5759.9999999998217</v>
      </c>
      <c r="BV1815" s="343">
        <f>SUMIFS($AU$1388:AU1816,$AA$1388:AA1816,"*",$AC$1388:AC1816,"*")</f>
        <v>13444.4</v>
      </c>
      <c r="BW1815" s="343">
        <f>SUMIFS($AU$1388:AU1816,$AB$1388:AB1816,"*",$AC$1388:AC1816,"*")</f>
        <v>3759.9999999999982</v>
      </c>
      <c r="BX1815" s="343">
        <f>SUMIFS($AV$1388:AV1816,$Q$1388:Q1816,"F")</f>
        <v>428.19230875404793</v>
      </c>
      <c r="BY1815" s="343">
        <f>SUMIFS($AV$1388:AV1816,$Q$1388:Q1816,"S")</f>
        <v>353.77638392253402</v>
      </c>
      <c r="BZ1815" s="343">
        <f>SUMIFS($AV$1388:AV1816,$Q$1388:Q1816,"O")</f>
        <v>707.63999999990438</v>
      </c>
    </row>
    <row r="1816" spans="1:78" ht="15.75" customHeight="1">
      <c r="A1816" s="177" t="s">
        <v>5851</v>
      </c>
      <c r="B1816" s="200">
        <v>45397</v>
      </c>
      <c r="C1816" s="178" t="s">
        <v>2194</v>
      </c>
      <c r="D1816" s="178" t="s">
        <v>132</v>
      </c>
      <c r="E1816" s="227"/>
      <c r="F1816" s="180"/>
      <c r="G1816" s="484" t="s">
        <v>2016</v>
      </c>
      <c r="H1816" s="182"/>
      <c r="I1816" s="182"/>
      <c r="J1816" s="182"/>
      <c r="K1816" s="183"/>
      <c r="L1816" s="182">
        <v>1</v>
      </c>
      <c r="M1816" s="182"/>
      <c r="N1816" s="182"/>
      <c r="O1816" s="183" t="s">
        <v>95</v>
      </c>
      <c r="P1816" s="183" t="s">
        <v>96</v>
      </c>
      <c r="Q1816" s="183" t="s">
        <v>256</v>
      </c>
      <c r="R1816" s="183">
        <v>30</v>
      </c>
      <c r="S1816" s="559">
        <v>0</v>
      </c>
      <c r="T1816" s="183">
        <v>30</v>
      </c>
      <c r="U1816" s="183" t="s">
        <v>22</v>
      </c>
      <c r="V1816" s="183"/>
      <c r="W1816" s="183"/>
      <c r="X1816" s="183"/>
      <c r="Y1816" s="184">
        <f t="shared" si="576"/>
        <v>0.01</v>
      </c>
      <c r="Z1816" s="185">
        <f>IF(ISBLANK(O1816),"",IF(O1816="IB",8.63*200,IF(O1816="IR",16*100,IF(O1816="YT",20*100,IF(O1816="YT-XT",24*200,IF(O1816="TED",80*100,IF(O1816="XT",29*200)))))))</f>
        <v>1600</v>
      </c>
      <c r="AA1816" s="185" t="s">
        <v>99</v>
      </c>
      <c r="AB1816" s="185" t="s">
        <v>6078</v>
      </c>
      <c r="AC1816" s="185"/>
      <c r="AD1816" s="649">
        <v>-0.1</v>
      </c>
      <c r="AE1816" s="182"/>
      <c r="AF1816" s="332"/>
      <c r="AG1816" s="182"/>
      <c r="AH1816" s="182"/>
      <c r="AI1816" s="182"/>
      <c r="AJ1816" s="640"/>
      <c r="AK1816" s="182"/>
      <c r="AL1816" s="496">
        <f t="shared" si="552"/>
        <v>-32</v>
      </c>
      <c r="AM1816" s="496">
        <f t="shared" si="573"/>
        <v>-960</v>
      </c>
      <c r="AN1816" s="626"/>
      <c r="AO1816" s="182"/>
      <c r="AP1816" s="182" t="s">
        <v>964</v>
      </c>
      <c r="AQ1816" s="332" t="s">
        <v>372</v>
      </c>
      <c r="AR1816" s="182" t="s">
        <v>2661</v>
      </c>
      <c r="AS1816" s="189">
        <v>-0.09</v>
      </c>
      <c r="AT1816" s="189">
        <f t="shared" si="577"/>
        <v>1.0000000000000009E-2</v>
      </c>
      <c r="AU1816" s="187">
        <f t="shared" si="578"/>
        <v>480.00000000000045</v>
      </c>
      <c r="AV1816" s="190">
        <f t="shared" ref="AV1816" si="584">IF(ISBLANK(AS1816),,(AT1816*Z1816))</f>
        <v>16.000000000000014</v>
      </c>
      <c r="AW1816" s="191" t="s">
        <v>96</v>
      </c>
      <c r="AX1816" s="551"/>
      <c r="AY1816" s="551"/>
      <c r="AZ1816" s="551"/>
      <c r="BA1816" s="551"/>
      <c r="BB1816" s="551"/>
      <c r="BC1816" s="551"/>
      <c r="BD1816" s="549"/>
      <c r="BE1816" s="550"/>
      <c r="BF1816" s="549"/>
      <c r="BG1816" s="391">
        <f>SUM($AV$1389:AV1816)</f>
        <v>3437.608692676491</v>
      </c>
      <c r="BH1816" s="392">
        <f>SUM($AU$1389:AU1816)</f>
        <v>32556.380000000208</v>
      </c>
      <c r="BI1816" s="318">
        <f>SUMIFS($AU$1388:AU1817,$Q$1388:Q1817,"F")</f>
        <v>23268.400000000001</v>
      </c>
      <c r="BJ1816" s="318">
        <f>SUMIFS($AU$1388:AU1817,$Q$1388:Q1817,"S")</f>
        <v>5775.9999999999945</v>
      </c>
      <c r="BK1816" s="343">
        <f>SUMIFS($AU$1388:AU1817,$P$1388:P1817,"W")</f>
        <v>23213.58000000014</v>
      </c>
      <c r="BL1816" s="343">
        <f>SUMIFS($AU$1388:AU1817,$P$1388:P1817,"R")</f>
        <v>7677.9999999998608</v>
      </c>
      <c r="BM1816" s="343">
        <f>SUMIFS($AU$1388:AU1817,$AQ$1388:AQ1817,"M")</f>
        <v>6408.7799999999179</v>
      </c>
      <c r="BN1816" s="343">
        <f>SUMIFS($AU$1388:AU1817,$AQ$1388:AQ1817,"H")</f>
        <v>5159.2000000002827</v>
      </c>
      <c r="BO1816" s="343">
        <f>SUMIFS($AU$1388:AU1817,$AQ$1388:AQ1817,"D")</f>
        <v>9590</v>
      </c>
      <c r="BP1816" s="343">
        <f>SUMIFS($AU$1388:AU1904,$AQ$1388:AQ1904,"W")</f>
        <v>13472.599999999982</v>
      </c>
      <c r="BQ1816" s="343">
        <f>SUMIFS($AU$1388:AU1817,$Q$1388:Q1817,"O")</f>
        <v>2087.9800000002169</v>
      </c>
      <c r="BR1816" s="343">
        <f>SUMIFS($AU$1388:AU1817,$AA$1388:AA1817,"*")</f>
        <v>24597.200000000095</v>
      </c>
      <c r="BS1816" s="343">
        <f>SUMIFS($AU$1388:AU1817,$AB$1388:AB1817,"*")</f>
        <v>8775.1799999999312</v>
      </c>
      <c r="BT1816" s="343">
        <f>SUMIFS($AU$1388:AU1817,$AC$1388:AC1817,"*")</f>
        <v>18868.400000000001</v>
      </c>
      <c r="BU1816" s="343">
        <f>SUMIFS($AU$1388:AU1817,$AA$1388:AA1817,"*",$AB$1388:AB1817,"*")</f>
        <v>5759.9999999998217</v>
      </c>
      <c r="BV1816" s="343">
        <f>SUMIFS($AU$1388:AU1817,$AA$1388:AA1817,"*",$AC$1388:AC1817,"*")</f>
        <v>13444.4</v>
      </c>
      <c r="BW1816" s="343">
        <f>SUMIFS($AU$1388:AU1817,$AB$1388:AB1817,"*",$AC$1388:AC1817,"*")</f>
        <v>3759.9999999999982</v>
      </c>
      <c r="BX1816" s="343">
        <f>SUMIFS($AV$1388:AV1817,$Q$1388:Q1817,"F")</f>
        <v>428.19230875404793</v>
      </c>
      <c r="BY1816" s="343">
        <f>SUMIFS($AV$1388:AV1817,$Q$1388:Q1817,"S")</f>
        <v>353.77638392253402</v>
      </c>
      <c r="BZ1816" s="343">
        <f>SUMIFS($AV$1388:AV1817,$Q$1388:Q1817,"O")</f>
        <v>707.63999999990438</v>
      </c>
    </row>
    <row r="1817" spans="1:78" ht="15.75" customHeight="1">
      <c r="A1817" s="177" t="s">
        <v>5851</v>
      </c>
      <c r="B1817" s="200">
        <v>45397</v>
      </c>
      <c r="C1817" s="178" t="s">
        <v>1714</v>
      </c>
      <c r="D1817" s="178" t="s">
        <v>132</v>
      </c>
      <c r="E1817" s="227" t="s">
        <v>6079</v>
      </c>
      <c r="F1817" s="180"/>
      <c r="G1817" s="181"/>
      <c r="H1817" s="182"/>
      <c r="I1817" s="182"/>
      <c r="J1817" s="182"/>
      <c r="K1817" s="183"/>
      <c r="L1817" s="182"/>
      <c r="M1817" s="182"/>
      <c r="N1817" s="182"/>
      <c r="O1817" s="183"/>
      <c r="P1817" s="183"/>
      <c r="Q1817" s="183"/>
      <c r="R1817" s="183"/>
      <c r="S1817" s="183"/>
      <c r="T1817" s="183"/>
      <c r="U1817" s="183"/>
      <c r="V1817" s="183"/>
      <c r="W1817" s="183"/>
      <c r="X1817" s="183"/>
      <c r="Y1817" s="183"/>
      <c r="Z1817" s="183"/>
      <c r="AA1817" s="185"/>
      <c r="AB1817" s="185"/>
      <c r="AC1817" s="185"/>
      <c r="AD1817" s="649"/>
      <c r="AE1817" s="182"/>
      <c r="AF1817" s="332"/>
      <c r="AG1817" s="182"/>
      <c r="AH1817" s="182"/>
      <c r="AI1817" s="182"/>
      <c r="AJ1817" s="640"/>
      <c r="AK1817" s="182"/>
      <c r="AL1817" s="496">
        <f t="shared" si="552"/>
        <v>0</v>
      </c>
      <c r="AM1817" s="496">
        <f t="shared" si="573"/>
        <v>0</v>
      </c>
      <c r="AN1817" s="626"/>
      <c r="AO1817" s="182"/>
      <c r="AP1817" s="182"/>
      <c r="AQ1817" s="332" t="str">
        <f>UPPER(RIGHT(Journal_Live[[#This Row],[DURATION ]]))</f>
        <v/>
      </c>
      <c r="AR1817" s="182"/>
      <c r="AS1817" s="189"/>
      <c r="AT1817" s="189"/>
      <c r="AU1817" s="187"/>
      <c r="AV1817" s="190"/>
      <c r="AW1817" s="191"/>
      <c r="AX1817" s="568" t="s">
        <v>6080</v>
      </c>
      <c r="AY1817" s="567" t="s">
        <v>6081</v>
      </c>
      <c r="AZ1817" s="551"/>
      <c r="BA1817" s="551"/>
      <c r="BB1817" s="551"/>
      <c r="BC1817" s="551"/>
      <c r="BD1817" s="549"/>
      <c r="BE1817" s="550"/>
      <c r="BF1817" s="549"/>
      <c r="BG1817" s="391">
        <f>SUM($AV$1389:AV1817)</f>
        <v>3437.608692676491</v>
      </c>
      <c r="BH1817" s="392">
        <f>SUM($AU$1389:AU1817)</f>
        <v>32556.380000000208</v>
      </c>
      <c r="BI1817" s="318">
        <f>SUMIFS($AU$1388:AU1818,$Q$1388:Q1818,"F")</f>
        <v>23268.400000000001</v>
      </c>
      <c r="BJ1817" s="318">
        <f>SUMIFS($AU$1388:AU1818,$Q$1388:Q1818,"S")</f>
        <v>5775.9999999999945</v>
      </c>
      <c r="BK1817" s="343">
        <f>SUMIFS($AU$1388:AU1818,$P$1388:P1818,"W")</f>
        <v>23213.58000000014</v>
      </c>
      <c r="BL1817" s="343">
        <f>SUMIFS($AU$1388:AU1818,$P$1388:P1818,"R")</f>
        <v>7677.9999999998608</v>
      </c>
      <c r="BM1817" s="343">
        <f>SUMIFS($AU$1388:AU1818,$AQ$1388:AQ1818,"M")</f>
        <v>6408.7799999999179</v>
      </c>
      <c r="BN1817" s="343">
        <f>SUMIFS($AU$1388:AU1818,$AQ$1388:AQ1818,"H")</f>
        <v>5159.2000000002827</v>
      </c>
      <c r="BO1817" s="343">
        <f>SUMIFS($AU$1388:AU1818,$AQ$1388:AQ1818,"D")</f>
        <v>9590</v>
      </c>
      <c r="BP1817" s="343">
        <f>SUMIFS($AU$1388:AU1905,$AQ$1388:AQ1905,"W")</f>
        <v>13472.599999999982</v>
      </c>
      <c r="BQ1817" s="343">
        <f>SUMIFS($AU$1388:AU1818,$Q$1388:Q1818,"O")</f>
        <v>2087.9800000002169</v>
      </c>
      <c r="BR1817" s="343">
        <f>SUMIFS($AU$1388:AU1818,$AA$1388:AA1818,"*")</f>
        <v>24597.200000000095</v>
      </c>
      <c r="BS1817" s="343">
        <f>SUMIFS($AU$1388:AU1818,$AB$1388:AB1818,"*")</f>
        <v>8775.1799999999312</v>
      </c>
      <c r="BT1817" s="343">
        <f>SUMIFS($AU$1388:AU1818,$AC$1388:AC1818,"*")</f>
        <v>18868.400000000001</v>
      </c>
      <c r="BU1817" s="343">
        <f>SUMIFS($AU$1388:AU1818,$AA$1388:AA1818,"*",$AB$1388:AB1818,"*")</f>
        <v>5759.9999999998217</v>
      </c>
      <c r="BV1817" s="343">
        <f>SUMIFS($AU$1388:AU1818,$AA$1388:AA1818,"*",$AC$1388:AC1818,"*")</f>
        <v>13444.4</v>
      </c>
      <c r="BW1817" s="343">
        <f>SUMIFS($AU$1388:AU1818,$AB$1388:AB1818,"*",$AC$1388:AC1818,"*")</f>
        <v>3759.9999999999982</v>
      </c>
      <c r="BX1817" s="343">
        <f>SUMIFS($AV$1388:AV1818,$Q$1388:Q1818,"F")</f>
        <v>428.19230875404793</v>
      </c>
      <c r="BY1817" s="343">
        <f>SUMIFS($AV$1388:AV1818,$Q$1388:Q1818,"S")</f>
        <v>353.77638392253402</v>
      </c>
      <c r="BZ1817" s="343">
        <f>SUMIFS($AV$1388:AV1818,$Q$1388:Q1818,"O")</f>
        <v>707.63999999990438</v>
      </c>
    </row>
    <row r="1818" spans="1:78" ht="15.75" customHeight="1">
      <c r="A1818" s="177" t="s">
        <v>5851</v>
      </c>
      <c r="B1818" s="200">
        <v>45397</v>
      </c>
      <c r="C1818" s="178" t="s">
        <v>682</v>
      </c>
      <c r="D1818" s="178" t="s">
        <v>132</v>
      </c>
      <c r="E1818" s="227"/>
      <c r="F1818" s="180"/>
      <c r="G1818" s="481" t="s">
        <v>2070</v>
      </c>
      <c r="H1818" s="182"/>
      <c r="I1818" s="182"/>
      <c r="J1818" s="182"/>
      <c r="K1818" s="183"/>
      <c r="L1818" s="182">
        <v>1</v>
      </c>
      <c r="M1818" s="182"/>
      <c r="N1818" s="182"/>
      <c r="O1818" s="183" t="s">
        <v>95</v>
      </c>
      <c r="P1818" s="183" t="s">
        <v>96</v>
      </c>
      <c r="Q1818" s="183" t="s">
        <v>97</v>
      </c>
      <c r="R1818" s="183">
        <v>33</v>
      </c>
      <c r="S1818" s="559">
        <v>33</v>
      </c>
      <c r="T1818" s="183">
        <v>33</v>
      </c>
      <c r="U1818" s="183" t="s">
        <v>97</v>
      </c>
      <c r="V1818" s="183"/>
      <c r="W1818" s="183"/>
      <c r="X1818" s="183"/>
      <c r="Y1818" s="184">
        <f>IF(ISBLANK(O1818),"",(IF(O1818=UPPER("IB"),0.005,0.01)))</f>
        <v>0.01</v>
      </c>
      <c r="Z1818" s="185">
        <f>IF(ISBLANK(O1818),"",IF(O1818="IB",8.63*200,IF(O1818="IR",16*100,IF(O1818="YT",20*100,IF(O1818="YT-XT",24*200,IF(O1818="TED",80*100,IF(O1818="XT",29*200)))))))</f>
        <v>1600</v>
      </c>
      <c r="AA1818" s="185" t="s">
        <v>99</v>
      </c>
      <c r="AB1818" s="185"/>
      <c r="AC1818" s="185"/>
      <c r="AD1818" s="649">
        <v>-0.09</v>
      </c>
      <c r="AE1818" s="182"/>
      <c r="AF1818" s="332"/>
      <c r="AG1818" s="182"/>
      <c r="AH1818" s="182"/>
      <c r="AI1818" s="182"/>
      <c r="AJ1818" s="640"/>
      <c r="AK1818" s="182"/>
      <c r="AL1818" s="496">
        <f t="shared" si="541"/>
        <v>-32</v>
      </c>
      <c r="AM1818" s="496">
        <f t="shared" si="573"/>
        <v>0</v>
      </c>
      <c r="AN1818" s="626"/>
      <c r="AO1818" s="182"/>
      <c r="AP1818" s="182" t="s">
        <v>6082</v>
      </c>
      <c r="AQ1818" s="332" t="s">
        <v>372</v>
      </c>
      <c r="AR1818" s="182" t="s">
        <v>6083</v>
      </c>
      <c r="AS1818" s="189">
        <v>-0.09</v>
      </c>
      <c r="AT1818" s="189">
        <f>IF(ISBLANK(AS1818),,IF(U1818="S",AD1818-AS1818,AS1818-AD1818))</f>
        <v>0</v>
      </c>
      <c r="AU1818" s="187">
        <f>AV1818*R1818</f>
        <v>0</v>
      </c>
      <c r="AV1818" s="190">
        <f t="shared" ref="AV1818" si="585">IF(ISBLANK(AS1818),,(AT1818*Z1818))</f>
        <v>0</v>
      </c>
      <c r="AW1818" s="191" t="s">
        <v>115</v>
      </c>
      <c r="AX1818" s="566"/>
      <c r="AY1818" s="566"/>
      <c r="AZ1818" s="551"/>
      <c r="BA1818" s="551"/>
      <c r="BB1818" s="551"/>
      <c r="BC1818" s="551"/>
      <c r="BD1818" s="549"/>
      <c r="BE1818" s="550"/>
      <c r="BF1818" s="549"/>
      <c r="BG1818" s="391">
        <f>SUM($AV$1389:AV1818)</f>
        <v>3437.608692676491</v>
      </c>
      <c r="BH1818" s="392">
        <f>SUM($AU$1389:AU1818)</f>
        <v>32556.380000000208</v>
      </c>
      <c r="BI1818" s="318">
        <f>SUMIFS($AU$1388:AU1819,$Q$1388:Q1819,"F")</f>
        <v>23268.400000000001</v>
      </c>
      <c r="BJ1818" s="318">
        <f>SUMIFS($AU$1388:AU1819,$Q$1388:Q1819,"S")</f>
        <v>5775.9999999999945</v>
      </c>
      <c r="BK1818" s="343">
        <f>SUMIFS($AU$1388:AU1819,$P$1388:P1819,"W")</f>
        <v>23213.58000000014</v>
      </c>
      <c r="BL1818" s="343">
        <f>SUMIFS($AU$1388:AU1819,$P$1388:P1819,"R")</f>
        <v>7677.9999999998608</v>
      </c>
      <c r="BM1818" s="343">
        <f>SUMIFS($AU$1388:AU1819,$AQ$1388:AQ1819,"M")</f>
        <v>6408.7799999999179</v>
      </c>
      <c r="BN1818" s="343">
        <f>SUMIFS($AU$1388:AU1819,$AQ$1388:AQ1819,"H")</f>
        <v>5159.2000000002827</v>
      </c>
      <c r="BO1818" s="343">
        <f>SUMIFS($AU$1388:AU1819,$AQ$1388:AQ1819,"D")</f>
        <v>9590</v>
      </c>
      <c r="BP1818" s="343">
        <f>SUMIFS($AU$1388:AU1906,$AQ$1388:AQ1906,"W")</f>
        <v>13472.599999999982</v>
      </c>
      <c r="BQ1818" s="343">
        <f>SUMIFS($AU$1388:AU1819,$Q$1388:Q1819,"O")</f>
        <v>2087.9800000002169</v>
      </c>
      <c r="BR1818" s="343">
        <f>SUMIFS($AU$1388:AU1819,$AA$1388:AA1819,"*")</f>
        <v>24597.200000000095</v>
      </c>
      <c r="BS1818" s="343">
        <f>SUMIFS($AU$1388:AU1819,$AB$1388:AB1819,"*")</f>
        <v>8775.1799999999312</v>
      </c>
      <c r="BT1818" s="343">
        <f>SUMIFS($AU$1388:AU1819,$AC$1388:AC1819,"*")</f>
        <v>18868.400000000001</v>
      </c>
      <c r="BU1818" s="343">
        <f>SUMIFS($AU$1388:AU1819,$AA$1388:AA1819,"*",$AB$1388:AB1819,"*")</f>
        <v>5759.9999999998217</v>
      </c>
      <c r="BV1818" s="343">
        <f>SUMIFS($AU$1388:AU1819,$AA$1388:AA1819,"*",$AC$1388:AC1819,"*")</f>
        <v>13444.4</v>
      </c>
      <c r="BW1818" s="343">
        <f>SUMIFS($AU$1388:AU1819,$AB$1388:AB1819,"*",$AC$1388:AC1819,"*")</f>
        <v>3759.9999999999982</v>
      </c>
      <c r="BX1818" s="343">
        <f>SUMIFS($AV$1388:AV1819,$Q$1388:Q1819,"F")</f>
        <v>428.19230875404793</v>
      </c>
      <c r="BY1818" s="343">
        <f>SUMIFS($AV$1388:AV1819,$Q$1388:Q1819,"S")</f>
        <v>353.77638392253402</v>
      </c>
      <c r="BZ1818" s="343">
        <f>SUMIFS($AV$1388:AV1819,$Q$1388:Q1819,"O")</f>
        <v>707.63999999990438</v>
      </c>
    </row>
    <row r="1819" spans="1:78" ht="15.75" customHeight="1">
      <c r="A1819" s="177" t="s">
        <v>5851</v>
      </c>
      <c r="B1819" s="200">
        <v>45397</v>
      </c>
      <c r="C1819" s="178" t="s">
        <v>4229</v>
      </c>
      <c r="D1819" s="178" t="s">
        <v>132</v>
      </c>
      <c r="E1819" s="227"/>
      <c r="F1819" s="180"/>
      <c r="G1819" s="484" t="s">
        <v>3766</v>
      </c>
      <c r="H1819" s="182"/>
      <c r="I1819" s="182"/>
      <c r="J1819" s="182"/>
      <c r="K1819" s="183"/>
      <c r="L1819" s="182"/>
      <c r="M1819" s="182"/>
      <c r="N1819" s="182"/>
      <c r="O1819" s="183"/>
      <c r="P1819" s="183"/>
      <c r="Q1819" s="183"/>
      <c r="R1819" s="183"/>
      <c r="S1819" s="183"/>
      <c r="T1819" s="183"/>
      <c r="U1819" s="183"/>
      <c r="V1819" s="183"/>
      <c r="W1819" s="183"/>
      <c r="X1819" s="183"/>
      <c r="Y1819" s="184"/>
      <c r="Z1819" s="185"/>
      <c r="AA1819" s="185"/>
      <c r="AB1819" s="185"/>
      <c r="AC1819" s="185"/>
      <c r="AD1819" s="649"/>
      <c r="AE1819" s="182"/>
      <c r="AF1819" s="332"/>
      <c r="AG1819" s="182"/>
      <c r="AH1819" s="182"/>
      <c r="AI1819" s="182"/>
      <c r="AJ1819" s="640"/>
      <c r="AK1819" s="182"/>
      <c r="AL1819" s="496">
        <f t="shared" si="541"/>
        <v>0</v>
      </c>
      <c r="AM1819" s="496">
        <f t="shared" si="573"/>
        <v>0</v>
      </c>
      <c r="AN1819" s="626"/>
      <c r="AO1819" s="182"/>
      <c r="AP1819" s="182" t="s">
        <v>1261</v>
      </c>
      <c r="AQ1819" s="332" t="s">
        <v>115</v>
      </c>
      <c r="AR1819" s="298">
        <v>45399</v>
      </c>
      <c r="AS1819" s="189">
        <v>-0.01</v>
      </c>
      <c r="AT1819" s="189">
        <f>IF(ISBLANK(AS1819),,IF(U1819="S",AD1819-AS1819,AS1819-AD1819))</f>
        <v>-0.01</v>
      </c>
      <c r="AU1819" s="187">
        <f>AV1819*R1819</f>
        <v>0</v>
      </c>
      <c r="AV1819" s="190">
        <f t="shared" ref="AV1819:AV1822" si="586">IF(ISBLANK(AS1819),,(AT1819*Z1819))</f>
        <v>0</v>
      </c>
      <c r="AW1819" s="191" t="s">
        <v>115</v>
      </c>
      <c r="AX1819" s="551"/>
      <c r="AY1819" s="551"/>
      <c r="AZ1819" s="551"/>
      <c r="BA1819" s="551"/>
      <c r="BB1819" s="551"/>
      <c r="BC1819" s="551"/>
      <c r="BD1819" s="549"/>
      <c r="BE1819" s="550"/>
      <c r="BF1819" s="549"/>
      <c r="BG1819" s="391">
        <f>SUM($AV$1389:AV1819)</f>
        <v>3437.608692676491</v>
      </c>
      <c r="BH1819" s="392">
        <f>SUM($AU$1389:AU1819)</f>
        <v>32556.380000000208</v>
      </c>
      <c r="BI1819" s="318">
        <f>SUMIFS($AU$1388:AU1820,$Q$1388:Q1820,"F")</f>
        <v>23268.400000000001</v>
      </c>
      <c r="BJ1819" s="318">
        <f>SUMIFS($AU$1388:AU1820,$Q$1388:Q1820,"S")</f>
        <v>5775.9999999999945</v>
      </c>
      <c r="BK1819" s="343">
        <f>SUMIFS($AU$1388:AU1820,$P$1388:P1820,"W")</f>
        <v>23213.58000000014</v>
      </c>
      <c r="BL1819" s="343">
        <f>SUMIFS($AU$1388:AU1820,$P$1388:P1820,"R")</f>
        <v>7677.9999999998608</v>
      </c>
      <c r="BM1819" s="343">
        <f>SUMIFS($AU$1388:AU1820,$AQ$1388:AQ1820,"M")</f>
        <v>6408.7799999999179</v>
      </c>
      <c r="BN1819" s="343">
        <f>SUMIFS($AU$1388:AU1820,$AQ$1388:AQ1820,"H")</f>
        <v>5159.2000000002827</v>
      </c>
      <c r="BO1819" s="343">
        <f>SUMIFS($AU$1388:AU1820,$AQ$1388:AQ1820,"D")</f>
        <v>9590</v>
      </c>
      <c r="BP1819" s="343">
        <f>SUMIFS($AU$1388:AU1907,$AQ$1388:AQ1907,"W")</f>
        <v>13472.599999999982</v>
      </c>
      <c r="BQ1819" s="343">
        <f>SUMIFS($AU$1388:AU1820,$Q$1388:Q1820,"O")</f>
        <v>2087.9800000002169</v>
      </c>
      <c r="BR1819" s="343">
        <f>SUMIFS($AU$1388:AU1820,$AA$1388:AA1820,"*")</f>
        <v>24597.200000000095</v>
      </c>
      <c r="BS1819" s="343">
        <f>SUMIFS($AU$1388:AU1820,$AB$1388:AB1820,"*")</f>
        <v>8775.1799999999312</v>
      </c>
      <c r="BT1819" s="343">
        <f>SUMIFS($AU$1388:AU1820,$AC$1388:AC1820,"*")</f>
        <v>18868.400000000001</v>
      </c>
      <c r="BU1819" s="343">
        <f>SUMIFS($AU$1388:AU1820,$AA$1388:AA1820,"*",$AB$1388:AB1820,"*")</f>
        <v>5759.9999999998217</v>
      </c>
      <c r="BV1819" s="343">
        <f>SUMIFS($AU$1388:AU1820,$AA$1388:AA1820,"*",$AC$1388:AC1820,"*")</f>
        <v>13444.4</v>
      </c>
      <c r="BW1819" s="343">
        <f>SUMIFS($AU$1388:AU1820,$AB$1388:AB1820,"*",$AC$1388:AC1820,"*")</f>
        <v>3759.9999999999982</v>
      </c>
      <c r="BX1819" s="343">
        <f>SUMIFS($AV$1388:AV1820,$Q$1388:Q1820,"F")</f>
        <v>428.19230875404793</v>
      </c>
      <c r="BY1819" s="343">
        <f>SUMIFS($AV$1388:AV1820,$Q$1388:Q1820,"S")</f>
        <v>353.77638392253402</v>
      </c>
      <c r="BZ1819" s="343">
        <f>SUMIFS($AV$1388:AV1820,$Q$1388:Q1820,"O")</f>
        <v>707.63999999990438</v>
      </c>
    </row>
    <row r="1820" spans="1:78" ht="15.75" customHeight="1">
      <c r="A1820" s="177" t="s">
        <v>5851</v>
      </c>
      <c r="B1820" s="200">
        <v>45397</v>
      </c>
      <c r="C1820" s="178" t="s">
        <v>4229</v>
      </c>
      <c r="D1820" s="178" t="s">
        <v>132</v>
      </c>
      <c r="E1820" s="227"/>
      <c r="F1820" s="180"/>
      <c r="G1820" s="181" t="s">
        <v>4941</v>
      </c>
      <c r="H1820" s="182"/>
      <c r="I1820" s="182"/>
      <c r="J1820" s="182"/>
      <c r="K1820" s="183"/>
      <c r="L1820" s="182">
        <v>1</v>
      </c>
      <c r="M1820" s="182"/>
      <c r="N1820" s="182"/>
      <c r="O1820" s="183" t="s">
        <v>95</v>
      </c>
      <c r="P1820" s="183" t="s">
        <v>137</v>
      </c>
      <c r="Q1820" s="183" t="s">
        <v>97</v>
      </c>
      <c r="R1820" s="183">
        <v>90</v>
      </c>
      <c r="S1820" s="559">
        <v>15</v>
      </c>
      <c r="T1820" s="183">
        <v>90</v>
      </c>
      <c r="U1820" s="183" t="s">
        <v>97</v>
      </c>
      <c r="V1820" s="183"/>
      <c r="W1820" s="183"/>
      <c r="X1820" s="183"/>
      <c r="Y1820" s="184">
        <f>IF(ISBLANK(O1820),"",(IF(O1820=UPPER("IB"),0.005,0.01)))</f>
        <v>0.01</v>
      </c>
      <c r="Z1820" s="185">
        <f>IF(ISBLANK(O1820),"",IF(O1820="IB",8.63*200,IF(O1820="IR",16*100,IF(O1820="YT",20*100,IF(O1820="YT-XT",24*200,IF(O1820="TED",80*100,IF(O1820="XT",29*200)))))))</f>
        <v>1600</v>
      </c>
      <c r="AA1820" s="185" t="s">
        <v>99</v>
      </c>
      <c r="AB1820" s="185"/>
      <c r="AC1820" s="185"/>
      <c r="AD1820" s="649">
        <v>-0.01</v>
      </c>
      <c r="AE1820" s="182"/>
      <c r="AF1820" s="332"/>
      <c r="AG1820" s="182"/>
      <c r="AH1820" s="182"/>
      <c r="AI1820" s="182"/>
      <c r="AJ1820" s="640"/>
      <c r="AK1820" s="182"/>
      <c r="AL1820" s="496">
        <f t="shared" si="541"/>
        <v>-32</v>
      </c>
      <c r="AM1820" s="496">
        <f t="shared" si="573"/>
        <v>-2400</v>
      </c>
      <c r="AN1820" s="626"/>
      <c r="AO1820" s="182"/>
      <c r="AP1820" s="182"/>
      <c r="AQ1820" s="332" t="str">
        <f>UPPER(RIGHT(Journal_Live[[#This Row],[DURATION ]]))</f>
        <v/>
      </c>
      <c r="AR1820" s="182"/>
      <c r="AS1820" s="189">
        <f>((-0.01*15)+(-0.01*75))/90</f>
        <v>-0.01</v>
      </c>
      <c r="AT1820" s="189">
        <f>IF(ISBLANK(AS1820),,IF(U1820="S",AD1820-AS1820,AS1820-AD1820))</f>
        <v>0</v>
      </c>
      <c r="AU1820" s="187">
        <f>AV1820*R1820</f>
        <v>0</v>
      </c>
      <c r="AV1820" s="190">
        <f t="shared" si="586"/>
        <v>0</v>
      </c>
      <c r="AW1820" s="191"/>
      <c r="AX1820" s="551"/>
      <c r="AY1820" s="551"/>
      <c r="AZ1820" s="551"/>
      <c r="BA1820" s="551"/>
      <c r="BB1820" s="551"/>
      <c r="BC1820" s="551"/>
      <c r="BD1820" s="549"/>
      <c r="BE1820" s="550"/>
      <c r="BF1820" s="549"/>
      <c r="BG1820" s="391">
        <f>SUM($AV$1389:AV1820)</f>
        <v>3437.608692676491</v>
      </c>
      <c r="BH1820" s="392">
        <f>SUM($AU$1389:AU1820)</f>
        <v>32556.380000000208</v>
      </c>
      <c r="BI1820" s="318">
        <f>SUMIFS($AU$1388:AU1821,$Q$1388:Q1821,"F")</f>
        <v>22948.400000000001</v>
      </c>
      <c r="BJ1820" s="318">
        <f>SUMIFS($AU$1388:AU1821,$Q$1388:Q1821,"S")</f>
        <v>5775.9999999999945</v>
      </c>
      <c r="BK1820" s="343">
        <f>SUMIFS($AU$1388:AU1821,$P$1388:P1821,"W")</f>
        <v>22893.58000000014</v>
      </c>
      <c r="BL1820" s="343">
        <f>SUMIFS($AU$1388:AU1821,$P$1388:P1821,"R")</f>
        <v>7677.9999999998608</v>
      </c>
      <c r="BM1820" s="343">
        <f>SUMIFS($AU$1388:AU1821,$AQ$1388:AQ1821,"M")</f>
        <v>6408.7799999999179</v>
      </c>
      <c r="BN1820" s="343">
        <f>SUMIFS($AU$1388:AU1821,$AQ$1388:AQ1821,"H")</f>
        <v>5159.2000000002827</v>
      </c>
      <c r="BO1820" s="343">
        <f>SUMIFS($AU$1388:AU1821,$AQ$1388:AQ1821,"D")</f>
        <v>9270</v>
      </c>
      <c r="BP1820" s="343">
        <f>SUMIFS($AU$1388:AU1908,$AQ$1388:AQ1908,"W")</f>
        <v>13472.599999999982</v>
      </c>
      <c r="BQ1820" s="343">
        <f>SUMIFS($AU$1388:AU1821,$Q$1388:Q1821,"O")</f>
        <v>2087.9800000002169</v>
      </c>
      <c r="BR1820" s="343">
        <f>SUMIFS($AU$1388:AU1821,$AA$1388:AA1821,"*")</f>
        <v>24277.200000000095</v>
      </c>
      <c r="BS1820" s="343">
        <f>SUMIFS($AU$1388:AU1821,$AB$1388:AB1821,"*")</f>
        <v>8775.1799999999312</v>
      </c>
      <c r="BT1820" s="343">
        <f>SUMIFS($AU$1388:AU1821,$AC$1388:AC1821,"*")</f>
        <v>18548.400000000001</v>
      </c>
      <c r="BU1820" s="343">
        <f>SUMIFS($AU$1388:AU1821,$AA$1388:AA1821,"*",$AB$1388:AB1821,"*")</f>
        <v>5759.9999999998217</v>
      </c>
      <c r="BV1820" s="343">
        <f>SUMIFS($AU$1388:AU1821,$AA$1388:AA1821,"*",$AC$1388:AC1821,"*")</f>
        <v>13124.400000000001</v>
      </c>
      <c r="BW1820" s="343">
        <f>SUMIFS($AU$1388:AU1821,$AB$1388:AB1821,"*",$AC$1388:AC1821,"*")</f>
        <v>3759.9999999999982</v>
      </c>
      <c r="BX1820" s="343">
        <f>SUMIFS($AV$1388:AV1821,$Q$1388:Q1821,"F")</f>
        <v>424.63675319849239</v>
      </c>
      <c r="BY1820" s="343">
        <f>SUMIFS($AV$1388:AV1821,$Q$1388:Q1821,"S")</f>
        <v>353.77638392253402</v>
      </c>
      <c r="BZ1820" s="343">
        <f>SUMIFS($AV$1388:AV1821,$Q$1388:Q1821,"O")</f>
        <v>707.63999999990438</v>
      </c>
    </row>
    <row r="1821" spans="1:78" ht="15.75" customHeight="1">
      <c r="A1821" s="177" t="s">
        <v>5851</v>
      </c>
      <c r="B1821" s="200">
        <v>45398</v>
      </c>
      <c r="C1821" s="178" t="s">
        <v>6084</v>
      </c>
      <c r="D1821" s="178" t="s">
        <v>146</v>
      </c>
      <c r="E1821" s="227"/>
      <c r="F1821" s="180"/>
      <c r="G1821" s="484" t="s">
        <v>6085</v>
      </c>
      <c r="H1821" s="182"/>
      <c r="I1821" s="182"/>
      <c r="J1821" s="182"/>
      <c r="K1821" s="183"/>
      <c r="L1821" s="182">
        <v>1</v>
      </c>
      <c r="M1821" s="182"/>
      <c r="N1821" s="182"/>
      <c r="O1821" s="183" t="s">
        <v>95</v>
      </c>
      <c r="P1821" s="183" t="s">
        <v>96</v>
      </c>
      <c r="Q1821" s="183" t="s">
        <v>256</v>
      </c>
      <c r="R1821" s="183">
        <v>90</v>
      </c>
      <c r="S1821" s="559">
        <v>40</v>
      </c>
      <c r="T1821" s="183">
        <v>30</v>
      </c>
      <c r="U1821" s="183" t="s">
        <v>97</v>
      </c>
      <c r="V1821" s="183"/>
      <c r="W1821" s="183"/>
      <c r="X1821" s="183"/>
      <c r="Y1821" s="184">
        <f>IF(ISBLANK(O1821),"",(IF(O1821=UPPER("IB"),0.005,0.01)))</f>
        <v>0.01</v>
      </c>
      <c r="Z1821" s="185">
        <f>IF(ISBLANK(O1821),"",IF(O1821="IB",8.63*200,IF(O1821="IR",16*100,IF(O1821="YT",20*100,IF(O1821="YT-XT",24*200,IF(O1821="TED",80*100,IF(O1821="XT",29*200)))))))</f>
        <v>1600</v>
      </c>
      <c r="AA1821" s="185" t="s">
        <v>6060</v>
      </c>
      <c r="AB1821" s="185"/>
      <c r="AC1821" s="185" t="s">
        <v>6086</v>
      </c>
      <c r="AD1821" s="649">
        <f>(0.05*30+0.04*60)/90</f>
        <v>4.3333333333333335E-2</v>
      </c>
      <c r="AE1821" s="182"/>
      <c r="AF1821" s="332"/>
      <c r="AG1821" s="182"/>
      <c r="AH1821" s="182"/>
      <c r="AI1821" s="182"/>
      <c r="AJ1821" s="640"/>
      <c r="AK1821" s="182"/>
      <c r="AL1821" s="496">
        <f t="shared" ref="AL1821:AL1827" si="587">-0.02*Z1821</f>
        <v>-32</v>
      </c>
      <c r="AM1821" s="496">
        <f t="shared" si="573"/>
        <v>-1600</v>
      </c>
      <c r="AN1821" s="626"/>
      <c r="AO1821" s="182"/>
      <c r="AP1821" s="182" t="s">
        <v>589</v>
      </c>
      <c r="AQ1821" s="332" t="s">
        <v>115</v>
      </c>
      <c r="AR1821" s="298" t="s">
        <v>6087</v>
      </c>
      <c r="AS1821" s="189">
        <f>(0.04*40+0.05*50)/90</f>
        <v>4.5555555555555551E-2</v>
      </c>
      <c r="AT1821" s="189">
        <f>IF(ISBLANK(AS1821),,IF(U1821="S",AD1821-AS1821,AS1821-AD1821))</f>
        <v>-2.2222222222222157E-3</v>
      </c>
      <c r="AU1821" s="187">
        <f>AV1821*R1821</f>
        <v>-319.99999999999909</v>
      </c>
      <c r="AV1821" s="190">
        <f t="shared" si="586"/>
        <v>-3.5555555555555451</v>
      </c>
      <c r="AW1821" s="191" t="s">
        <v>229</v>
      </c>
      <c r="AX1821" s="551" t="s">
        <v>6088</v>
      </c>
      <c r="AY1821" s="551" t="s">
        <v>6089</v>
      </c>
      <c r="AZ1821" s="551" t="s">
        <v>6090</v>
      </c>
      <c r="BA1821" s="551" t="s">
        <v>6091</v>
      </c>
      <c r="BB1821" s="551" t="s">
        <v>6092</v>
      </c>
      <c r="BC1821" s="551"/>
      <c r="BD1821" s="549"/>
      <c r="BE1821" s="550"/>
      <c r="BF1821" s="549"/>
      <c r="BG1821" s="391">
        <f>SUM($AV$1389:AV1821)</f>
        <v>3434.0531371209354</v>
      </c>
      <c r="BH1821" s="392">
        <f>SUM($AU$1389:AU1821)</f>
        <v>32236.380000000208</v>
      </c>
      <c r="BI1821" s="318">
        <f>SUMIFS($AU$1388:AU1822,$Q$1388:Q1822,"F")</f>
        <v>22948.400000000001</v>
      </c>
      <c r="BJ1821" s="318">
        <f>SUMIFS($AU$1388:AU1822,$Q$1388:Q1822,"S")</f>
        <v>5775.9999999999945</v>
      </c>
      <c r="BK1821" s="343">
        <f>SUMIFS($AU$1388:AU1822,$P$1388:P1822,"W")</f>
        <v>22893.58000000014</v>
      </c>
      <c r="BL1821" s="343">
        <f>SUMIFS($AU$1388:AU1822,$P$1388:P1822,"R")</f>
        <v>7677.9999999998608</v>
      </c>
      <c r="BM1821" s="343">
        <f>SUMIFS($AU$1388:AU1822,$AQ$1388:AQ1822,"M")</f>
        <v>6379.7799999998615</v>
      </c>
      <c r="BN1821" s="343">
        <f>SUMIFS($AU$1388:AU1822,$AQ$1388:AQ1822,"H")</f>
        <v>5159.2000000002827</v>
      </c>
      <c r="BO1821" s="343">
        <f>SUMIFS($AU$1388:AU1822,$AQ$1388:AQ1822,"D")</f>
        <v>9270</v>
      </c>
      <c r="BP1821" s="343">
        <f>SUMIFS($AU$1388:AU1909,$AQ$1388:AQ1909,"W")</f>
        <v>13472.599999999982</v>
      </c>
      <c r="BQ1821" s="343">
        <f>SUMIFS($AU$1388:AU1822,$Q$1388:Q1822,"O")</f>
        <v>2058.980000000161</v>
      </c>
      <c r="BR1821" s="343">
        <f>SUMIFS($AU$1388:AU1822,$AA$1388:AA1822,"*")</f>
        <v>24248.200000000041</v>
      </c>
      <c r="BS1821" s="343">
        <f>SUMIFS($AU$1388:AU1822,$AB$1388:AB1822,"*")</f>
        <v>8775.1799999999312</v>
      </c>
      <c r="BT1821" s="343">
        <f>SUMIFS($AU$1388:AU1822,$AC$1388:AC1822,"*")</f>
        <v>18548.400000000001</v>
      </c>
      <c r="BU1821" s="343">
        <f>SUMIFS($AU$1388:AU1822,$AA$1388:AA1822,"*",$AB$1388:AB1822,"*")</f>
        <v>5759.9999999998217</v>
      </c>
      <c r="BV1821" s="343">
        <f>SUMIFS($AU$1388:AU1822,$AA$1388:AA1822,"*",$AC$1388:AC1822,"*")</f>
        <v>13124.400000000001</v>
      </c>
      <c r="BW1821" s="343">
        <f>SUMIFS($AU$1388:AU1822,$AB$1388:AB1822,"*",$AC$1388:AC1822,"*")</f>
        <v>3759.9999999999982</v>
      </c>
      <c r="BX1821" s="343">
        <f>SUMIFS($AV$1388:AV1822,$Q$1388:Q1822,"F")</f>
        <v>424.63675319849239</v>
      </c>
      <c r="BY1821" s="343">
        <f>SUMIFS($AV$1388:AV1822,$Q$1388:Q1822,"S")</f>
        <v>353.77638392253402</v>
      </c>
      <c r="BZ1821" s="343">
        <f>SUMIFS($AV$1388:AV1822,$Q$1388:Q1822,"O")</f>
        <v>678.63999999984833</v>
      </c>
    </row>
    <row r="1822" spans="1:78" ht="15.75" customHeight="1">
      <c r="A1822" s="177" t="s">
        <v>5851</v>
      </c>
      <c r="B1822" s="200">
        <v>45398</v>
      </c>
      <c r="C1822" s="178" t="s">
        <v>6041</v>
      </c>
      <c r="D1822" s="178" t="s">
        <v>146</v>
      </c>
      <c r="E1822" s="227"/>
      <c r="F1822" s="180"/>
      <c r="G1822" s="181" t="s">
        <v>5723</v>
      </c>
      <c r="H1822" s="182"/>
      <c r="I1822" s="182"/>
      <c r="J1822" s="182">
        <v>1</v>
      </c>
      <c r="K1822" s="183"/>
      <c r="L1822" s="182">
        <v>3</v>
      </c>
      <c r="M1822" s="182"/>
      <c r="N1822" s="182"/>
      <c r="O1822" s="183" t="s">
        <v>3618</v>
      </c>
      <c r="P1822" s="183" t="s">
        <v>2260</v>
      </c>
      <c r="Q1822" s="183" t="s">
        <v>684</v>
      </c>
      <c r="R1822" s="183">
        <v>1</v>
      </c>
      <c r="S1822" s="183">
        <v>0</v>
      </c>
      <c r="T1822" s="183">
        <v>1</v>
      </c>
      <c r="U1822" s="183" t="s">
        <v>22</v>
      </c>
      <c r="V1822" s="183"/>
      <c r="W1822" s="183"/>
      <c r="X1822" s="183"/>
      <c r="Y1822" s="184">
        <f>IF(ISBLANK(O1822),"",(IF(O1822=UPPER("IB"),0.005,0.01)))</f>
        <v>0.01</v>
      </c>
      <c r="Z1822" s="185">
        <f>IF(ISBLANK(O1822),"",IF(O1822="IB",8.63*200,IF(O1822="IR",16*100,IF(O1822="YT",20*100,IF(O1822="YT-XT",24*200,IF(O1822="TED",80*100,IF(O1822="XT",29*200)))))))</f>
        <v>5800</v>
      </c>
      <c r="AA1822" s="185" t="s">
        <v>6093</v>
      </c>
      <c r="AB1822" s="185"/>
      <c r="AC1822" s="185"/>
      <c r="AD1822" s="649">
        <v>95.665000000000006</v>
      </c>
      <c r="AE1822" s="182"/>
      <c r="AF1822" s="332"/>
      <c r="AG1822" s="182"/>
      <c r="AH1822" s="182"/>
      <c r="AI1822" s="182"/>
      <c r="AJ1822" s="640"/>
      <c r="AK1822" s="182"/>
      <c r="AL1822" s="496">
        <f t="shared" si="587"/>
        <v>-116</v>
      </c>
      <c r="AM1822" s="496">
        <f t="shared" si="573"/>
        <v>-116</v>
      </c>
      <c r="AN1822" s="626"/>
      <c r="AO1822" s="182"/>
      <c r="AP1822" s="182" t="s">
        <v>4214</v>
      </c>
      <c r="AQ1822" s="332" t="s">
        <v>1259</v>
      </c>
      <c r="AR1822" s="182"/>
      <c r="AS1822" s="189">
        <v>95.66</v>
      </c>
      <c r="AT1822" s="189">
        <f>IF(ISBLANK(AS1822),,IF(U1822="S",AD1822-AS1822,AS1822-AD1822))</f>
        <v>-5.0000000000096634E-3</v>
      </c>
      <c r="AU1822" s="187">
        <f>AV1822*R1822</f>
        <v>-29.000000000056048</v>
      </c>
      <c r="AV1822" s="190">
        <f t="shared" si="586"/>
        <v>-29.000000000056048</v>
      </c>
      <c r="AW1822" s="191" t="s">
        <v>229</v>
      </c>
      <c r="AX1822" s="551" t="s">
        <v>6094</v>
      </c>
      <c r="AY1822" s="551" t="s">
        <v>6095</v>
      </c>
      <c r="AZ1822" s="551"/>
      <c r="BA1822" s="551"/>
      <c r="BB1822" s="551"/>
      <c r="BC1822" s="551"/>
      <c r="BD1822" s="549"/>
      <c r="BE1822" s="550"/>
      <c r="BF1822" s="549"/>
      <c r="BG1822" s="391">
        <f>SUM($AV$1389:AV1822)</f>
        <v>3405.0531371208795</v>
      </c>
      <c r="BH1822" s="392">
        <f>SUM($AU$1389:AU1822)</f>
        <v>32207.380000000154</v>
      </c>
      <c r="BI1822" s="318">
        <f>SUMIFS($AU$1388:AU1823,$Q$1388:Q1823,"F")</f>
        <v>22948.400000000001</v>
      </c>
      <c r="BJ1822" s="318">
        <f>SUMIFS($AU$1388:AU1823,$Q$1388:Q1823,"S")</f>
        <v>5775.9999999999945</v>
      </c>
      <c r="BK1822" s="343">
        <f>SUMIFS($AU$1388:AU1823,$P$1388:P1823,"W")</f>
        <v>22893.58000000014</v>
      </c>
      <c r="BL1822" s="343">
        <f>SUMIFS($AU$1388:AU1823,$P$1388:P1823,"R")</f>
        <v>7677.9999999998608</v>
      </c>
      <c r="BM1822" s="343">
        <f>SUMIFS($AU$1388:AU1823,$AQ$1388:AQ1823,"M")</f>
        <v>6379.7799999998615</v>
      </c>
      <c r="BN1822" s="343">
        <f>SUMIFS($AU$1388:AU1823,$AQ$1388:AQ1823,"H")</f>
        <v>5159.2000000002827</v>
      </c>
      <c r="BO1822" s="343">
        <f>SUMIFS($AU$1388:AU1823,$AQ$1388:AQ1823,"D")</f>
        <v>9270</v>
      </c>
      <c r="BP1822" s="343">
        <f>SUMIFS($AU$1388:AU1910,$AQ$1388:AQ1910,"W")</f>
        <v>13472.599999999982</v>
      </c>
      <c r="BQ1822" s="343">
        <f>SUMIFS($AU$1388:AU1823,$Q$1388:Q1823,"O")</f>
        <v>2058.980000000161</v>
      </c>
      <c r="BR1822" s="343">
        <f>SUMIFS($AU$1388:AU1823,$AA$1388:AA1823,"*")</f>
        <v>24248.200000000041</v>
      </c>
      <c r="BS1822" s="343">
        <f>SUMIFS($AU$1388:AU1823,$AB$1388:AB1823,"*")</f>
        <v>8775.1799999999312</v>
      </c>
      <c r="BT1822" s="343">
        <f>SUMIFS($AU$1388:AU1823,$AC$1388:AC1823,"*")</f>
        <v>18548.400000000001</v>
      </c>
      <c r="BU1822" s="343">
        <f>SUMIFS($AU$1388:AU1823,$AA$1388:AA1823,"*",$AB$1388:AB1823,"*")</f>
        <v>5759.9999999998217</v>
      </c>
      <c r="BV1822" s="343">
        <f>SUMIFS($AU$1388:AU1823,$AA$1388:AA1823,"*",$AC$1388:AC1823,"*")</f>
        <v>13124.400000000001</v>
      </c>
      <c r="BW1822" s="343">
        <f>SUMIFS($AU$1388:AU1823,$AB$1388:AB1823,"*",$AC$1388:AC1823,"*")</f>
        <v>3759.9999999999982</v>
      </c>
      <c r="BX1822" s="343">
        <f>SUMIFS($AV$1388:AV1823,$Q$1388:Q1823,"F")</f>
        <v>424.63675319849239</v>
      </c>
      <c r="BY1822" s="343">
        <f>SUMIFS($AV$1388:AV1823,$Q$1388:Q1823,"S")</f>
        <v>353.77638392253402</v>
      </c>
      <c r="BZ1822" s="343">
        <f>SUMIFS($AV$1388:AV1823,$Q$1388:Q1823,"O")</f>
        <v>678.63999999984833</v>
      </c>
    </row>
    <row r="1823" spans="1:78" ht="15.75" customHeight="1">
      <c r="A1823" s="177" t="s">
        <v>5851</v>
      </c>
      <c r="B1823" s="200">
        <v>45398</v>
      </c>
      <c r="C1823" s="178" t="s">
        <v>1401</v>
      </c>
      <c r="D1823" s="178" t="s">
        <v>146</v>
      </c>
      <c r="E1823" s="227" t="s">
        <v>6096</v>
      </c>
      <c r="F1823" s="180"/>
      <c r="G1823" s="181"/>
      <c r="H1823" s="182"/>
      <c r="I1823" s="182"/>
      <c r="J1823" s="182"/>
      <c r="K1823" s="183"/>
      <c r="L1823" s="182"/>
      <c r="M1823" s="182"/>
      <c r="N1823" s="182"/>
      <c r="O1823" s="183"/>
      <c r="P1823" s="183"/>
      <c r="Q1823" s="183"/>
      <c r="R1823" s="183"/>
      <c r="S1823" s="183"/>
      <c r="T1823" s="183"/>
      <c r="U1823" s="183"/>
      <c r="V1823" s="183"/>
      <c r="W1823" s="183"/>
      <c r="X1823" s="183"/>
      <c r="Y1823" s="183"/>
      <c r="Z1823" s="183"/>
      <c r="AA1823" s="185"/>
      <c r="AB1823" s="185"/>
      <c r="AC1823" s="185"/>
      <c r="AD1823" s="649"/>
      <c r="AE1823" s="182"/>
      <c r="AF1823" s="332"/>
      <c r="AG1823" s="182"/>
      <c r="AH1823" s="182"/>
      <c r="AI1823" s="182"/>
      <c r="AJ1823" s="640"/>
      <c r="AK1823" s="182"/>
      <c r="AL1823" s="496">
        <f t="shared" ref="AL1823:AL1826" si="588">-0.02*Z1823</f>
        <v>0</v>
      </c>
      <c r="AM1823" s="496">
        <f t="shared" si="573"/>
        <v>0</v>
      </c>
      <c r="AN1823" s="626"/>
      <c r="AO1823" s="182"/>
      <c r="AP1823" s="182"/>
      <c r="AQ1823" s="332" t="str">
        <f>UPPER(RIGHT(Journal_Live[[#This Row],[DURATION ]]))</f>
        <v/>
      </c>
      <c r="AR1823" s="182"/>
      <c r="AS1823" s="189"/>
      <c r="AT1823" s="189"/>
      <c r="AU1823" s="187"/>
      <c r="AV1823" s="190"/>
      <c r="AW1823" s="191"/>
      <c r="AX1823" s="551"/>
      <c r="AY1823" s="551"/>
      <c r="AZ1823" s="551"/>
      <c r="BA1823" s="551"/>
      <c r="BB1823" s="551"/>
      <c r="BC1823" s="551"/>
      <c r="BD1823" s="549"/>
      <c r="BE1823" s="550"/>
      <c r="BF1823" s="549"/>
      <c r="BG1823" s="391">
        <f>SUM($AV$1389:AV1823)</f>
        <v>3405.0531371208795</v>
      </c>
      <c r="BH1823" s="392">
        <f>SUM($AU$1389:AU1823)</f>
        <v>32207.380000000154</v>
      </c>
      <c r="BI1823" s="318">
        <f>SUMIFS($AU$1388:AU1824,$Q$1388:Q1824,"F")</f>
        <v>22948.400000000001</v>
      </c>
      <c r="BJ1823" s="318">
        <f>SUMIFS($AU$1388:AU1824,$Q$1388:Q1824,"S")</f>
        <v>5775.9999999999945</v>
      </c>
      <c r="BK1823" s="343">
        <f>SUMIFS($AU$1388:AU1824,$P$1388:P1824,"W")</f>
        <v>22893.58000000014</v>
      </c>
      <c r="BL1823" s="343">
        <f>SUMIFS($AU$1388:AU1824,$P$1388:P1824,"R")</f>
        <v>7677.9999999998608</v>
      </c>
      <c r="BM1823" s="343">
        <f>SUMIFS($AU$1388:AU1824,$AQ$1388:AQ1824,"M")</f>
        <v>6379.7799999998615</v>
      </c>
      <c r="BN1823" s="343">
        <f>SUMIFS($AU$1388:AU1824,$AQ$1388:AQ1824,"H")</f>
        <v>5159.2000000002827</v>
      </c>
      <c r="BO1823" s="343">
        <f>SUMIFS($AU$1388:AU1824,$AQ$1388:AQ1824,"D")</f>
        <v>9270</v>
      </c>
      <c r="BP1823" s="343">
        <f>SUMIFS($AU$1388:AU1911,$AQ$1388:AQ1911,"W")</f>
        <v>13472.599999999982</v>
      </c>
      <c r="BQ1823" s="343">
        <f>SUMIFS($AU$1388:AU1824,$Q$1388:Q1824,"O")</f>
        <v>2058.980000000161</v>
      </c>
      <c r="BR1823" s="343">
        <f>SUMIFS($AU$1388:AU1824,$AA$1388:AA1824,"*")</f>
        <v>24248.200000000041</v>
      </c>
      <c r="BS1823" s="343">
        <f>SUMIFS($AU$1388:AU1824,$AB$1388:AB1824,"*")</f>
        <v>8775.1799999999312</v>
      </c>
      <c r="BT1823" s="343">
        <f>SUMIFS($AU$1388:AU1824,$AC$1388:AC1824,"*")</f>
        <v>18548.400000000001</v>
      </c>
      <c r="BU1823" s="343">
        <f>SUMIFS($AU$1388:AU1824,$AA$1388:AA1824,"*",$AB$1388:AB1824,"*")</f>
        <v>5759.9999999998217</v>
      </c>
      <c r="BV1823" s="343">
        <f>SUMIFS($AU$1388:AU1824,$AA$1388:AA1824,"*",$AC$1388:AC1824,"*")</f>
        <v>13124.400000000001</v>
      </c>
      <c r="BW1823" s="343">
        <f>SUMIFS($AU$1388:AU1824,$AB$1388:AB1824,"*",$AC$1388:AC1824,"*")</f>
        <v>3759.9999999999982</v>
      </c>
      <c r="BX1823" s="343">
        <f>SUMIFS($AV$1388:AV1824,$Q$1388:Q1824,"F")</f>
        <v>424.63675319849239</v>
      </c>
      <c r="BY1823" s="343">
        <f>SUMIFS($AV$1388:AV1824,$Q$1388:Q1824,"S")</f>
        <v>353.77638392253402</v>
      </c>
      <c r="BZ1823" s="343">
        <f>SUMIFS($AV$1388:AV1824,$Q$1388:Q1824,"O")</f>
        <v>678.63999999984833</v>
      </c>
    </row>
    <row r="1824" spans="1:78" ht="15.75" customHeight="1">
      <c r="A1824" s="177" t="s">
        <v>5851</v>
      </c>
      <c r="B1824" s="200">
        <v>45398</v>
      </c>
      <c r="C1824" s="178" t="s">
        <v>1701</v>
      </c>
      <c r="D1824" s="178" t="s">
        <v>146</v>
      </c>
      <c r="E1824" s="227"/>
      <c r="F1824" s="180"/>
      <c r="G1824" s="181" t="s">
        <v>2016</v>
      </c>
      <c r="H1824" s="182"/>
      <c r="I1824" s="182"/>
      <c r="J1824" s="182"/>
      <c r="K1824" s="183"/>
      <c r="L1824" s="182"/>
      <c r="M1824" s="182"/>
      <c r="N1824" s="182"/>
      <c r="O1824" s="183"/>
      <c r="P1824" s="183"/>
      <c r="Q1824" s="183"/>
      <c r="R1824" s="183"/>
      <c r="S1824" s="559"/>
      <c r="T1824" s="183"/>
      <c r="U1824" s="183"/>
      <c r="V1824" s="183"/>
      <c r="W1824" s="183"/>
      <c r="X1824" s="183"/>
      <c r="Y1824" s="184"/>
      <c r="Z1824" s="185"/>
      <c r="AA1824" s="185"/>
      <c r="AB1824" s="185"/>
      <c r="AC1824" s="185"/>
      <c r="AD1824" s="649"/>
      <c r="AE1824" s="182"/>
      <c r="AF1824" s="332"/>
      <c r="AG1824" s="182"/>
      <c r="AH1824" s="182"/>
      <c r="AI1824" s="182"/>
      <c r="AJ1824" s="640"/>
      <c r="AK1824" s="182"/>
      <c r="AL1824" s="496">
        <f t="shared" si="588"/>
        <v>0</v>
      </c>
      <c r="AM1824" s="496">
        <f t="shared" si="573"/>
        <v>0</v>
      </c>
      <c r="AN1824" s="626"/>
      <c r="AO1824" s="182"/>
      <c r="AP1824" s="182"/>
      <c r="AQ1824" s="332" t="str">
        <f>UPPER(RIGHT(Journal_Live[[#This Row],[DURATION ]]))</f>
        <v/>
      </c>
      <c r="AR1824" s="182"/>
      <c r="AS1824" s="189"/>
      <c r="AT1824" s="189"/>
      <c r="AU1824" s="187"/>
      <c r="AV1824" s="190"/>
      <c r="AW1824" s="191"/>
      <c r="AX1824" s="551" t="s">
        <v>6097</v>
      </c>
      <c r="AY1824" s="551"/>
      <c r="AZ1824" s="551"/>
      <c r="BA1824" s="551"/>
      <c r="BB1824" s="551"/>
      <c r="BC1824" s="551"/>
      <c r="BD1824" s="549"/>
      <c r="BE1824" s="550"/>
      <c r="BF1824" s="549"/>
      <c r="BG1824" s="391">
        <f>SUM($AV$1389:AV1824)</f>
        <v>3405.0531371208795</v>
      </c>
      <c r="BH1824" s="392">
        <f>SUM($AU$1389:AU1824)</f>
        <v>32207.380000000154</v>
      </c>
      <c r="BI1824" s="318">
        <f>SUMIFS($AU$1388:AU1825,$Q$1388:Q1825,"F")</f>
        <v>22948.400000000001</v>
      </c>
      <c r="BJ1824" s="318">
        <f>SUMIFS($AU$1388:AU1825,$Q$1388:Q1825,"S")</f>
        <v>5775.9999999999945</v>
      </c>
      <c r="BK1824" s="343">
        <f>SUMIFS($AU$1388:AU1825,$P$1388:P1825,"W")</f>
        <v>22893.58000000014</v>
      </c>
      <c r="BL1824" s="343">
        <f>SUMIFS($AU$1388:AU1825,$P$1388:P1825,"R")</f>
        <v>7677.9999999998608</v>
      </c>
      <c r="BM1824" s="343">
        <f>SUMIFS($AU$1388:AU1825,$AQ$1388:AQ1825,"M")</f>
        <v>6379.7799999998615</v>
      </c>
      <c r="BN1824" s="343">
        <f>SUMIFS($AU$1388:AU1825,$AQ$1388:AQ1825,"H")</f>
        <v>5159.2000000002827</v>
      </c>
      <c r="BO1824" s="343">
        <f>SUMIFS($AU$1388:AU1825,$AQ$1388:AQ1825,"D")</f>
        <v>9270</v>
      </c>
      <c r="BP1824" s="343">
        <f>SUMIFS($AU$1388:AU1912,$AQ$1388:AQ1912,"W")</f>
        <v>13472.599999999982</v>
      </c>
      <c r="BQ1824" s="343">
        <f>SUMIFS($AU$1388:AU1825,$Q$1388:Q1825,"O")</f>
        <v>2058.980000000161</v>
      </c>
      <c r="BR1824" s="343">
        <f>SUMIFS($AU$1388:AU1825,$AA$1388:AA1825,"*")</f>
        <v>24248.200000000041</v>
      </c>
      <c r="BS1824" s="343">
        <f>SUMIFS($AU$1388:AU1825,$AB$1388:AB1825,"*")</f>
        <v>8775.1799999999312</v>
      </c>
      <c r="BT1824" s="343">
        <f>SUMIFS($AU$1388:AU1825,$AC$1388:AC1825,"*")</f>
        <v>18548.400000000001</v>
      </c>
      <c r="BU1824" s="343">
        <f>SUMIFS($AU$1388:AU1825,$AA$1388:AA1825,"*",$AB$1388:AB1825,"*")</f>
        <v>5759.9999999998217</v>
      </c>
      <c r="BV1824" s="343">
        <f>SUMIFS($AU$1388:AU1825,$AA$1388:AA1825,"*",$AC$1388:AC1825,"*")</f>
        <v>13124.400000000001</v>
      </c>
      <c r="BW1824" s="343">
        <f>SUMIFS($AU$1388:AU1825,$AB$1388:AB1825,"*",$AC$1388:AC1825,"*")</f>
        <v>3759.9999999999982</v>
      </c>
      <c r="BX1824" s="343">
        <f>SUMIFS($AV$1388:AV1825,$Q$1388:Q1825,"F")</f>
        <v>424.63675319849239</v>
      </c>
      <c r="BY1824" s="343">
        <f>SUMIFS($AV$1388:AV1825,$Q$1388:Q1825,"S")</f>
        <v>353.77638392253402</v>
      </c>
      <c r="BZ1824" s="343">
        <f>SUMIFS($AV$1388:AV1825,$Q$1388:Q1825,"O")</f>
        <v>678.63999999984833</v>
      </c>
    </row>
    <row r="1825" spans="1:78" ht="15.75" customHeight="1">
      <c r="A1825" s="177" t="s">
        <v>5851</v>
      </c>
      <c r="B1825" s="200">
        <v>45398</v>
      </c>
      <c r="C1825" s="178" t="s">
        <v>1401</v>
      </c>
      <c r="D1825" s="178" t="s">
        <v>146</v>
      </c>
      <c r="E1825" s="227"/>
      <c r="F1825" s="180"/>
      <c r="G1825" s="481" t="s">
        <v>136</v>
      </c>
      <c r="H1825" s="182"/>
      <c r="I1825" s="182"/>
      <c r="J1825" s="182"/>
      <c r="K1825" s="183"/>
      <c r="L1825" s="182">
        <v>1</v>
      </c>
      <c r="M1825" s="182"/>
      <c r="N1825" s="182"/>
      <c r="O1825" s="183" t="s">
        <v>95</v>
      </c>
      <c r="P1825" s="183" t="s">
        <v>96</v>
      </c>
      <c r="Q1825" s="183" t="s">
        <v>97</v>
      </c>
      <c r="R1825" s="183">
        <v>90</v>
      </c>
      <c r="S1825" s="559">
        <v>45</v>
      </c>
      <c r="T1825" s="183">
        <v>90</v>
      </c>
      <c r="U1825" s="183" t="s">
        <v>97</v>
      </c>
      <c r="V1825" s="183"/>
      <c r="W1825" s="183"/>
      <c r="X1825" s="183"/>
      <c r="Y1825" s="184">
        <f>IF(ISBLANK(O1825),"",(IF(O1825=UPPER("IB"),0.005,0.01)))</f>
        <v>0.01</v>
      </c>
      <c r="Z1825" s="185">
        <f>IF(ISBLANK(O1825),"",IF(O1825="IB",8.63*200,IF(O1825="IR",16*100,IF(O1825="YT",20*100,IF(O1825="YT-XT",24*200,IF(O1825="TED",80*100,IF(O1825="XT",29*200)))))))</f>
        <v>1600</v>
      </c>
      <c r="AA1825" s="185" t="s">
        <v>6098</v>
      </c>
      <c r="AB1825" s="185"/>
      <c r="AC1825" s="185"/>
      <c r="AD1825" s="649">
        <v>-0.02</v>
      </c>
      <c r="AE1825" s="182"/>
      <c r="AF1825" s="332"/>
      <c r="AG1825" s="182"/>
      <c r="AH1825" s="182"/>
      <c r="AI1825" s="182"/>
      <c r="AJ1825" s="640"/>
      <c r="AK1825" s="182"/>
      <c r="AL1825" s="496">
        <f t="shared" si="588"/>
        <v>-32</v>
      </c>
      <c r="AM1825" s="496">
        <f t="shared" si="573"/>
        <v>-1440</v>
      </c>
      <c r="AN1825" s="626"/>
      <c r="AO1825" s="182"/>
      <c r="AP1825" s="182" t="s">
        <v>770</v>
      </c>
      <c r="AQ1825" s="332" t="s">
        <v>115</v>
      </c>
      <c r="AR1825" s="298">
        <v>45399</v>
      </c>
      <c r="AS1825" s="189">
        <v>-0.02</v>
      </c>
      <c r="AT1825" s="189">
        <f>IF(ISBLANK(AS1825),,IF(U1825="S",AD1825-AS1825,AS1825-AD1825))</f>
        <v>0</v>
      </c>
      <c r="AU1825" s="187">
        <f>AV1825*R1825</f>
        <v>0</v>
      </c>
      <c r="AV1825" s="190">
        <f t="shared" ref="AV1825" si="589">IF(ISBLANK(AS1825),,(AT1825*Z1825))</f>
        <v>0</v>
      </c>
      <c r="AW1825" s="191" t="s">
        <v>115</v>
      </c>
      <c r="AX1825" s="551"/>
      <c r="AY1825" s="551"/>
      <c r="AZ1825" s="551"/>
      <c r="BA1825" s="551"/>
      <c r="BB1825" s="551"/>
      <c r="BC1825" s="551"/>
      <c r="BD1825" s="549"/>
      <c r="BE1825" s="550"/>
      <c r="BF1825" s="549"/>
      <c r="BG1825" s="391">
        <f>SUM($AV$1389:AV1825)</f>
        <v>3405.0531371208795</v>
      </c>
      <c r="BH1825" s="392">
        <f>SUM($AU$1389:AU1825)</f>
        <v>32207.380000000154</v>
      </c>
      <c r="BI1825" s="318">
        <f>SUMIFS($AU$1388:AU1826,$Q$1388:Q1826,"F")</f>
        <v>22948.400000000001</v>
      </c>
      <c r="BJ1825" s="318">
        <f>SUMIFS($AU$1388:AU1826,$Q$1388:Q1826,"S")</f>
        <v>5775.9999999999945</v>
      </c>
      <c r="BK1825" s="343">
        <f>SUMIFS($AU$1388:AU1826,$P$1388:P1826,"W")</f>
        <v>22893.58000000014</v>
      </c>
      <c r="BL1825" s="343">
        <f>SUMIFS($AU$1388:AU1826,$P$1388:P1826,"R")</f>
        <v>7677.9999999998608</v>
      </c>
      <c r="BM1825" s="343">
        <f>SUMIFS($AU$1388:AU1826,$AQ$1388:AQ1826,"M")</f>
        <v>6379.7799999998615</v>
      </c>
      <c r="BN1825" s="343">
        <f>SUMIFS($AU$1388:AU1826,$AQ$1388:AQ1826,"H")</f>
        <v>5159.2000000002827</v>
      </c>
      <c r="BO1825" s="343">
        <f>SUMIFS($AU$1388:AU1826,$AQ$1388:AQ1826,"D")</f>
        <v>9270</v>
      </c>
      <c r="BP1825" s="343">
        <f>SUMIFS($AU$1388:AU1913,$AQ$1388:AQ1913,"W")</f>
        <v>13472.599999999982</v>
      </c>
      <c r="BQ1825" s="343">
        <f>SUMIFS($AU$1388:AU1826,$Q$1388:Q1826,"O")</f>
        <v>2058.980000000161</v>
      </c>
      <c r="BR1825" s="343">
        <f>SUMIFS($AU$1388:AU1826,$AA$1388:AA1826,"*")</f>
        <v>24248.200000000041</v>
      </c>
      <c r="BS1825" s="343">
        <f>SUMIFS($AU$1388:AU1826,$AB$1388:AB1826,"*")</f>
        <v>8775.1799999999312</v>
      </c>
      <c r="BT1825" s="343">
        <f>SUMIFS($AU$1388:AU1826,$AC$1388:AC1826,"*")</f>
        <v>18548.400000000001</v>
      </c>
      <c r="BU1825" s="343">
        <f>SUMIFS($AU$1388:AU1826,$AA$1388:AA1826,"*",$AB$1388:AB1826,"*")</f>
        <v>5759.9999999998217</v>
      </c>
      <c r="BV1825" s="343">
        <f>SUMIFS($AU$1388:AU1826,$AA$1388:AA1826,"*",$AC$1388:AC1826,"*")</f>
        <v>13124.400000000001</v>
      </c>
      <c r="BW1825" s="343">
        <f>SUMIFS($AU$1388:AU1826,$AB$1388:AB1826,"*",$AC$1388:AC1826,"*")</f>
        <v>3759.9999999999982</v>
      </c>
      <c r="BX1825" s="343">
        <f>SUMIFS($AV$1388:AV1826,$Q$1388:Q1826,"F")</f>
        <v>424.63675319849239</v>
      </c>
      <c r="BY1825" s="343">
        <f>SUMIFS($AV$1388:AV1826,$Q$1388:Q1826,"S")</f>
        <v>353.77638392253402</v>
      </c>
      <c r="BZ1825" s="343">
        <f>SUMIFS($AV$1388:AV1826,$Q$1388:Q1826,"O")</f>
        <v>678.63999999984833</v>
      </c>
    </row>
    <row r="1826" spans="1:78" ht="15.75" customHeight="1">
      <c r="A1826" s="177" t="s">
        <v>5851</v>
      </c>
      <c r="B1826" s="200">
        <v>45399</v>
      </c>
      <c r="C1826" s="178" t="s">
        <v>6099</v>
      </c>
      <c r="D1826" s="178" t="s">
        <v>151</v>
      </c>
      <c r="E1826" s="227"/>
      <c r="F1826" s="180"/>
      <c r="G1826" s="481" t="s">
        <v>2070</v>
      </c>
      <c r="H1826" s="182"/>
      <c r="I1826" s="182"/>
      <c r="J1826" s="182"/>
      <c r="K1826" s="183"/>
      <c r="L1826" s="182">
        <v>1</v>
      </c>
      <c r="M1826" s="182"/>
      <c r="N1826" s="182"/>
      <c r="O1826" s="183" t="s">
        <v>95</v>
      </c>
      <c r="P1826" s="183" t="s">
        <v>96</v>
      </c>
      <c r="Q1826" s="183" t="s">
        <v>97</v>
      </c>
      <c r="R1826" s="183">
        <v>2</v>
      </c>
      <c r="S1826" s="559">
        <v>0</v>
      </c>
      <c r="T1826" s="183">
        <v>2</v>
      </c>
      <c r="U1826" s="183" t="s">
        <v>97</v>
      </c>
      <c r="V1826" s="183"/>
      <c r="W1826" s="183"/>
      <c r="X1826" s="183"/>
      <c r="Y1826" s="184">
        <f>IF(ISBLANK(O1826),"",(IF(O1826=UPPER("IB"),0.005,0.01)))</f>
        <v>0.01</v>
      </c>
      <c r="Z1826" s="185">
        <f>IF(ISBLANK(O1826),"",IF(O1826="IB",8.63*200,IF(O1826="IR",16*100,IF(O1826="YT",20*100,IF(O1826="YT-XT",24*200,IF(O1826="TED",80*100,IF(O1826="XT",29*200)))))))</f>
        <v>1600</v>
      </c>
      <c r="AA1826" s="185" t="s">
        <v>99</v>
      </c>
      <c r="AB1826" s="185"/>
      <c r="AC1826" s="185"/>
      <c r="AD1826" s="649">
        <v>-0.08</v>
      </c>
      <c r="AE1826" s="182"/>
      <c r="AF1826" s="332"/>
      <c r="AG1826" s="182"/>
      <c r="AH1826" s="182"/>
      <c r="AI1826" s="182"/>
      <c r="AJ1826" s="640"/>
      <c r="AK1826" s="182"/>
      <c r="AL1826" s="496">
        <f t="shared" si="588"/>
        <v>-32</v>
      </c>
      <c r="AM1826" s="496">
        <f t="shared" si="573"/>
        <v>-64</v>
      </c>
      <c r="AN1826" s="626"/>
      <c r="AO1826" s="182"/>
      <c r="AP1826" s="182"/>
      <c r="AQ1826" s="332" t="s">
        <v>372</v>
      </c>
      <c r="AR1826" s="298">
        <v>45399</v>
      </c>
      <c r="AS1826" s="189">
        <v>-0.08</v>
      </c>
      <c r="AT1826" s="189">
        <f>IF(ISBLANK(AS1826),,IF(U1826="S",AD1826-AS1826,AS1826-AD1826))</f>
        <v>0</v>
      </c>
      <c r="AU1826" s="187">
        <f>AV1826*R1826</f>
        <v>0</v>
      </c>
      <c r="AV1826" s="190">
        <f t="shared" ref="AV1826" si="590">IF(ISBLANK(AS1826),,(AT1826*Z1826))</f>
        <v>0</v>
      </c>
      <c r="AW1826" s="191" t="s">
        <v>115</v>
      </c>
      <c r="AX1826" s="551"/>
      <c r="AY1826" s="551"/>
      <c r="AZ1826" s="551"/>
      <c r="BA1826" s="551"/>
      <c r="BB1826" s="551"/>
      <c r="BC1826" s="551"/>
      <c r="BD1826" s="549"/>
      <c r="BE1826" s="550"/>
      <c r="BF1826" s="549"/>
      <c r="BG1826" s="391">
        <f>SUM($AV$1389:AV1826)</f>
        <v>3405.0531371208795</v>
      </c>
      <c r="BH1826" s="392">
        <f>SUM($AU$1389:AU1826)</f>
        <v>32207.380000000154</v>
      </c>
      <c r="BI1826" s="318">
        <f>SUMIFS($AU$1388:AU1827,$Q$1388:Q1827,"F")</f>
        <v>22948.400000000001</v>
      </c>
      <c r="BJ1826" s="318">
        <f>SUMIFS($AU$1388:AU1827,$Q$1388:Q1827,"S")</f>
        <v>5775.9999999999945</v>
      </c>
      <c r="BK1826" s="343">
        <f>SUMIFS($AU$1388:AU1827,$P$1388:P1827,"W")</f>
        <v>22893.58000000014</v>
      </c>
      <c r="BL1826" s="343">
        <f>SUMIFS($AU$1388:AU1827,$P$1388:P1827,"R")</f>
        <v>7677.9999999998608</v>
      </c>
      <c r="BM1826" s="343">
        <f>SUMIFS($AU$1388:AU1827,$AQ$1388:AQ1827,"M")</f>
        <v>6379.7799999998615</v>
      </c>
      <c r="BN1826" s="343">
        <f>SUMIFS($AU$1388:AU1827,$AQ$1388:AQ1827,"H")</f>
        <v>5159.2000000002827</v>
      </c>
      <c r="BO1826" s="343">
        <f>SUMIFS($AU$1388:AU1827,$AQ$1388:AQ1827,"D")</f>
        <v>9270</v>
      </c>
      <c r="BP1826" s="343">
        <f>SUMIFS($AU$1388:AU1914,$AQ$1388:AQ1914,"W")</f>
        <v>13472.599999999982</v>
      </c>
      <c r="BQ1826" s="343">
        <f>SUMIFS($AU$1388:AU1827,$Q$1388:Q1827,"O")</f>
        <v>2058.980000000161</v>
      </c>
      <c r="BR1826" s="343">
        <f>SUMIFS($AU$1388:AU1827,$AA$1388:AA1827,"*")</f>
        <v>24248.200000000041</v>
      </c>
      <c r="BS1826" s="343">
        <f>SUMIFS($AU$1388:AU1827,$AB$1388:AB1827,"*")</f>
        <v>8775.1799999999312</v>
      </c>
      <c r="BT1826" s="343">
        <f>SUMIFS($AU$1388:AU1827,$AC$1388:AC1827,"*")</f>
        <v>18548.400000000001</v>
      </c>
      <c r="BU1826" s="343">
        <f>SUMIFS($AU$1388:AU1827,$AA$1388:AA1827,"*",$AB$1388:AB1827,"*")</f>
        <v>5759.9999999998217</v>
      </c>
      <c r="BV1826" s="343">
        <f>SUMIFS($AU$1388:AU1827,$AA$1388:AA1827,"*",$AC$1388:AC1827,"*")</f>
        <v>13124.400000000001</v>
      </c>
      <c r="BW1826" s="343">
        <f>SUMIFS($AU$1388:AU1827,$AB$1388:AB1827,"*",$AC$1388:AC1827,"*")</f>
        <v>3759.9999999999982</v>
      </c>
      <c r="BX1826" s="343">
        <f>SUMIFS($AV$1388:AV1827,$Q$1388:Q1827,"F")</f>
        <v>424.63675319849239</v>
      </c>
      <c r="BY1826" s="343">
        <f>SUMIFS($AV$1388:AV1827,$Q$1388:Q1827,"S")</f>
        <v>353.77638392253402</v>
      </c>
      <c r="BZ1826" s="343">
        <f>SUMIFS($AV$1388:AV1827,$Q$1388:Q1827,"O")</f>
        <v>678.63999999984833</v>
      </c>
    </row>
    <row r="1827" spans="1:78" ht="15.75" customHeight="1">
      <c r="A1827" s="177" t="s">
        <v>5851</v>
      </c>
      <c r="B1827" s="200"/>
      <c r="C1827" s="178"/>
      <c r="D1827" s="178"/>
      <c r="E1827" s="227"/>
      <c r="F1827" s="180"/>
      <c r="G1827" s="181"/>
      <c r="H1827" s="182"/>
      <c r="I1827" s="182"/>
      <c r="J1827" s="182"/>
      <c r="K1827" s="183"/>
      <c r="L1827" s="182"/>
      <c r="M1827" s="182"/>
      <c r="N1827" s="182"/>
      <c r="O1827" s="183"/>
      <c r="P1827" s="183"/>
      <c r="Q1827" s="183"/>
      <c r="R1827" s="183"/>
      <c r="S1827" s="183"/>
      <c r="T1827" s="183"/>
      <c r="U1827" s="183"/>
      <c r="V1827" s="183"/>
      <c r="W1827" s="183"/>
      <c r="X1827" s="183"/>
      <c r="Y1827" s="183"/>
      <c r="Z1827" s="183"/>
      <c r="AA1827" s="185"/>
      <c r="AB1827" s="185"/>
      <c r="AC1827" s="185"/>
      <c r="AD1827" s="649"/>
      <c r="AE1827" s="182"/>
      <c r="AF1827" s="332"/>
      <c r="AG1827" s="182"/>
      <c r="AH1827" s="182"/>
      <c r="AI1827" s="182"/>
      <c r="AJ1827" s="640"/>
      <c r="AK1827" s="182"/>
      <c r="AL1827" s="496">
        <f t="shared" si="587"/>
        <v>0</v>
      </c>
      <c r="AM1827" s="496">
        <f t="shared" si="573"/>
        <v>0</v>
      </c>
      <c r="AN1827" s="626"/>
      <c r="AO1827" s="182"/>
      <c r="AP1827" s="182"/>
      <c r="AQ1827" s="332" t="str">
        <f>UPPER(RIGHT(Journal_Live[[#This Row],[DURATION ]]))</f>
        <v/>
      </c>
      <c r="AR1827" s="182"/>
      <c r="AS1827" s="189"/>
      <c r="AT1827" s="189"/>
      <c r="AU1827" s="187"/>
      <c r="AV1827" s="190"/>
      <c r="AW1827" s="191"/>
      <c r="AX1827" s="551" t="s">
        <v>6100</v>
      </c>
      <c r="AY1827" s="551"/>
      <c r="AZ1827" s="551"/>
      <c r="BA1827" s="551"/>
      <c r="BB1827" s="551"/>
      <c r="BC1827" s="551"/>
      <c r="BD1827" s="549"/>
      <c r="BE1827" s="550"/>
      <c r="BF1827" s="549"/>
      <c r="BG1827" s="391">
        <f>SUM($AV$1389:AV1827)</f>
        <v>3405.0531371208795</v>
      </c>
      <c r="BH1827" s="392">
        <f>SUM($AU$1389:AU1827)</f>
        <v>32207.380000000154</v>
      </c>
      <c r="BI1827" s="318">
        <f>SUMIFS($AU$1388:AU1828,$Q$1388:Q1828,"F")</f>
        <v>22948.400000000001</v>
      </c>
      <c r="BJ1827" s="318">
        <f>SUMIFS($AU$1388:AU1828,$Q$1388:Q1828,"S")</f>
        <v>5775.9999999999945</v>
      </c>
      <c r="BK1827" s="343">
        <f>SUMIFS($AU$1388:AU1828,$P$1388:P1828,"W")</f>
        <v>22893.58000000014</v>
      </c>
      <c r="BL1827" s="343">
        <f>SUMIFS($AU$1388:AU1828,$P$1388:P1828,"R")</f>
        <v>7677.9999999998608</v>
      </c>
      <c r="BM1827" s="343">
        <f>SUMIFS($AU$1388:AU1828,$AQ$1388:AQ1828,"M")</f>
        <v>6379.7799999998615</v>
      </c>
      <c r="BN1827" s="343">
        <f>SUMIFS($AU$1388:AU1828,$AQ$1388:AQ1828,"H")</f>
        <v>5159.2000000002827</v>
      </c>
      <c r="BO1827" s="343">
        <f>SUMIFS($AU$1388:AU1828,$AQ$1388:AQ1828,"D")</f>
        <v>9270</v>
      </c>
      <c r="BP1827" s="343">
        <f>SUMIFS($AU$1388:AU1915,$AQ$1388:AQ1915,"W")</f>
        <v>13472.599999999982</v>
      </c>
      <c r="BQ1827" s="343">
        <f>SUMIFS($AU$1388:AU1828,$Q$1388:Q1828,"O")</f>
        <v>2058.980000000161</v>
      </c>
      <c r="BR1827" s="343">
        <f>SUMIFS($AU$1388:AU1828,$AA$1388:AA1828,"*")</f>
        <v>24248.200000000041</v>
      </c>
      <c r="BS1827" s="343">
        <f>SUMIFS($AU$1388:AU1828,$AB$1388:AB1828,"*")</f>
        <v>8775.1799999999312</v>
      </c>
      <c r="BT1827" s="343">
        <f>SUMIFS($AU$1388:AU1828,$AC$1388:AC1828,"*")</f>
        <v>18548.400000000001</v>
      </c>
      <c r="BU1827" s="343">
        <f>SUMIFS($AU$1388:AU1828,$AA$1388:AA1828,"*",$AB$1388:AB1828,"*")</f>
        <v>5759.9999999998217</v>
      </c>
      <c r="BV1827" s="343">
        <f>SUMIFS($AU$1388:AU1828,$AA$1388:AA1828,"*",$AC$1388:AC1828,"*")</f>
        <v>13124.400000000001</v>
      </c>
      <c r="BW1827" s="343">
        <f>SUMIFS($AU$1388:AU1828,$AB$1388:AB1828,"*",$AC$1388:AC1828,"*")</f>
        <v>3759.9999999999982</v>
      </c>
      <c r="BX1827" s="343">
        <f>SUMIFS($AV$1388:AV1828,$Q$1388:Q1828,"F")</f>
        <v>424.63675319849239</v>
      </c>
      <c r="BY1827" s="343">
        <f>SUMIFS($AV$1388:AV1828,$Q$1388:Q1828,"S")</f>
        <v>353.77638392253402</v>
      </c>
      <c r="BZ1827" s="343">
        <f>SUMIFS($AV$1388:AV1828,$Q$1388:Q1828,"O")</f>
        <v>678.63999999984833</v>
      </c>
    </row>
    <row r="1828" spans="1:78" ht="15.75" customHeight="1">
      <c r="A1828" s="177" t="s">
        <v>5851</v>
      </c>
      <c r="B1828" s="200">
        <v>45399</v>
      </c>
      <c r="C1828" s="178" t="s">
        <v>209</v>
      </c>
      <c r="D1828" s="178" t="s">
        <v>151</v>
      </c>
      <c r="E1828" s="227" t="s">
        <v>6101</v>
      </c>
      <c r="F1828" s="180"/>
      <c r="G1828" s="181"/>
      <c r="H1828" s="182"/>
      <c r="I1828" s="182"/>
      <c r="J1828" s="182"/>
      <c r="K1828" s="183"/>
      <c r="L1828" s="182"/>
      <c r="M1828" s="182"/>
      <c r="N1828" s="182"/>
      <c r="O1828" s="183"/>
      <c r="P1828" s="183"/>
      <c r="Q1828" s="183"/>
      <c r="R1828" s="183"/>
      <c r="S1828" s="183"/>
      <c r="T1828" s="183"/>
      <c r="U1828" s="183"/>
      <c r="V1828" s="183"/>
      <c r="W1828" s="183"/>
      <c r="X1828" s="183"/>
      <c r="Y1828" s="183"/>
      <c r="Z1828" s="183"/>
      <c r="AA1828" s="185"/>
      <c r="AB1828" s="185"/>
      <c r="AC1828" s="185"/>
      <c r="AD1828" s="649"/>
      <c r="AE1828" s="182"/>
      <c r="AF1828" s="332"/>
      <c r="AG1828" s="182"/>
      <c r="AH1828" s="182"/>
      <c r="AI1828" s="182"/>
      <c r="AJ1828" s="640"/>
      <c r="AK1828" s="182"/>
      <c r="AL1828" s="496">
        <f t="shared" si="541"/>
        <v>0</v>
      </c>
      <c r="AM1828" s="496">
        <f t="shared" ref="AM1828:AM1859" si="591">AL1828*(R1828-S1828)</f>
        <v>0</v>
      </c>
      <c r="AN1828" s="626"/>
      <c r="AO1828" s="182"/>
      <c r="AP1828" s="182"/>
      <c r="AQ1828" s="332" t="str">
        <f>UPPER(RIGHT(Journal_Live[[#This Row],[DURATION ]]))</f>
        <v/>
      </c>
      <c r="AR1828" s="182"/>
      <c r="AS1828" s="189"/>
      <c r="AT1828" s="189"/>
      <c r="AU1828" s="187"/>
      <c r="AV1828" s="190"/>
      <c r="AW1828" s="191"/>
      <c r="AX1828" s="551"/>
      <c r="AY1828" s="551"/>
      <c r="AZ1828" s="551"/>
      <c r="BA1828" s="551"/>
      <c r="BB1828" s="551"/>
      <c r="BC1828" s="551"/>
      <c r="BD1828" s="549"/>
      <c r="BE1828" s="550"/>
      <c r="BF1828" s="549"/>
      <c r="BG1828" s="391">
        <f>SUM($AV$1389:AV1828)</f>
        <v>3405.0531371208795</v>
      </c>
      <c r="BH1828" s="392">
        <f>SUM($AU$1389:AU1828)</f>
        <v>32207.380000000154</v>
      </c>
      <c r="BI1828" s="318">
        <f>SUMIFS($AU$1388:AU1829,$Q$1388:Q1829,"F")</f>
        <v>22948.400000000001</v>
      </c>
      <c r="BJ1828" s="318">
        <f>SUMIFS($AU$1388:AU1829,$Q$1388:Q1829,"S")</f>
        <v>5775.9999999999945</v>
      </c>
      <c r="BK1828" s="343">
        <f>SUMIFS($AU$1388:AU1829,$P$1388:P1829,"W")</f>
        <v>22893.58000000014</v>
      </c>
      <c r="BL1828" s="343">
        <f>SUMIFS($AU$1388:AU1829,$P$1388:P1829,"R")</f>
        <v>7677.9999999998608</v>
      </c>
      <c r="BM1828" s="343">
        <f>SUMIFS($AU$1388:AU1829,$AQ$1388:AQ1829,"M")</f>
        <v>6379.7799999998615</v>
      </c>
      <c r="BN1828" s="343">
        <f>SUMIFS($AU$1388:AU1829,$AQ$1388:AQ1829,"H")</f>
        <v>5159.2000000002827</v>
      </c>
      <c r="BO1828" s="343">
        <f>SUMIFS($AU$1388:AU1829,$AQ$1388:AQ1829,"D")</f>
        <v>9270</v>
      </c>
      <c r="BP1828" s="343">
        <f>SUMIFS($AU$1388:AU1916,$AQ$1388:AQ1916,"W")</f>
        <v>13472.599999999982</v>
      </c>
      <c r="BQ1828" s="343">
        <f>SUMIFS($AU$1388:AU1829,$Q$1388:Q1829,"O")</f>
        <v>2058.980000000161</v>
      </c>
      <c r="BR1828" s="343">
        <f>SUMIFS($AU$1388:AU1829,$AA$1388:AA1829,"*")</f>
        <v>24248.200000000041</v>
      </c>
      <c r="BS1828" s="343">
        <f>SUMIFS($AU$1388:AU1829,$AB$1388:AB1829,"*")</f>
        <v>8775.1799999999312</v>
      </c>
      <c r="BT1828" s="343">
        <f>SUMIFS($AU$1388:AU1829,$AC$1388:AC1829,"*")</f>
        <v>18548.400000000001</v>
      </c>
      <c r="BU1828" s="343">
        <f>SUMIFS($AU$1388:AU1829,$AA$1388:AA1829,"*",$AB$1388:AB1829,"*")</f>
        <v>5759.9999999998217</v>
      </c>
      <c r="BV1828" s="343">
        <f>SUMIFS($AU$1388:AU1829,$AA$1388:AA1829,"*",$AC$1388:AC1829,"*")</f>
        <v>13124.400000000001</v>
      </c>
      <c r="BW1828" s="343">
        <f>SUMIFS($AU$1388:AU1829,$AB$1388:AB1829,"*",$AC$1388:AC1829,"*")</f>
        <v>3759.9999999999982</v>
      </c>
      <c r="BX1828" s="343">
        <f>SUMIFS($AV$1388:AV1829,$Q$1388:Q1829,"F")</f>
        <v>424.63675319849239</v>
      </c>
      <c r="BY1828" s="343">
        <f>SUMIFS($AV$1388:AV1829,$Q$1388:Q1829,"S")</f>
        <v>353.77638392253402</v>
      </c>
      <c r="BZ1828" s="343">
        <f>SUMIFS($AV$1388:AV1829,$Q$1388:Q1829,"O")</f>
        <v>678.63999999984833</v>
      </c>
    </row>
    <row r="1829" spans="1:78" ht="15.75" customHeight="1">
      <c r="A1829" s="177" t="s">
        <v>5851</v>
      </c>
      <c r="B1829" s="200"/>
      <c r="C1829" s="178"/>
      <c r="D1829" s="178"/>
      <c r="E1829" s="227" t="s">
        <v>6102</v>
      </c>
      <c r="F1829" s="180"/>
      <c r="G1829" s="181"/>
      <c r="H1829" s="182"/>
      <c r="I1829" s="182"/>
      <c r="J1829" s="182"/>
      <c r="K1829" s="183"/>
      <c r="L1829" s="182"/>
      <c r="M1829" s="182"/>
      <c r="N1829" s="182"/>
      <c r="O1829" s="183"/>
      <c r="P1829" s="183"/>
      <c r="Q1829" s="183"/>
      <c r="R1829" s="183"/>
      <c r="S1829" s="183"/>
      <c r="T1829" s="183"/>
      <c r="U1829" s="183"/>
      <c r="V1829" s="183"/>
      <c r="W1829" s="183"/>
      <c r="X1829" s="183"/>
      <c r="Y1829" s="183"/>
      <c r="Z1829" s="183"/>
      <c r="AA1829" s="185"/>
      <c r="AB1829" s="185"/>
      <c r="AC1829" s="185"/>
      <c r="AD1829" s="649"/>
      <c r="AE1829" s="182"/>
      <c r="AF1829" s="332"/>
      <c r="AG1829" s="182"/>
      <c r="AH1829" s="182"/>
      <c r="AI1829" s="182"/>
      <c r="AJ1829" s="640"/>
      <c r="AK1829" s="182"/>
      <c r="AL1829" s="496">
        <f t="shared" si="527"/>
        <v>0</v>
      </c>
      <c r="AM1829" s="496">
        <f t="shared" si="591"/>
        <v>0</v>
      </c>
      <c r="AN1829" s="626"/>
      <c r="AO1829" s="182"/>
      <c r="AP1829" s="182"/>
      <c r="AQ1829" s="332" t="str">
        <f>UPPER(RIGHT(Journal_Live[[#This Row],[DURATION ]]))</f>
        <v/>
      </c>
      <c r="AR1829" s="182"/>
      <c r="AS1829" s="189"/>
      <c r="AT1829" s="189"/>
      <c r="AU1829" s="187"/>
      <c r="AV1829" s="190"/>
      <c r="AW1829" s="191"/>
      <c r="AX1829" s="551"/>
      <c r="AY1829" s="551"/>
      <c r="AZ1829" s="551"/>
      <c r="BA1829" s="551"/>
      <c r="BB1829" s="551"/>
      <c r="BC1829" s="551"/>
      <c r="BD1829" s="549"/>
      <c r="BE1829" s="550"/>
      <c r="BF1829" s="549"/>
      <c r="BG1829" s="391">
        <f>SUM($AV$1389:AV1829)</f>
        <v>3405.0531371208795</v>
      </c>
      <c r="BH1829" s="392">
        <f>SUM($AU$1389:AU1829)</f>
        <v>32207.380000000154</v>
      </c>
      <c r="BI1829" s="318">
        <f>SUMIFS($AU$1388:AU1830,$Q$1388:Q1830,"F")</f>
        <v>22948.400000000001</v>
      </c>
      <c r="BJ1829" s="318">
        <f>SUMIFS($AU$1388:AU1830,$Q$1388:Q1830,"S")</f>
        <v>5775.9999999999945</v>
      </c>
      <c r="BK1829" s="343">
        <f>SUMIFS($AU$1388:AU1830,$P$1388:P1830,"W")</f>
        <v>22893.58000000014</v>
      </c>
      <c r="BL1829" s="343">
        <f>SUMIFS($AU$1388:AU1830,$P$1388:P1830,"R")</f>
        <v>7677.9999999998608</v>
      </c>
      <c r="BM1829" s="343">
        <f>SUMIFS($AU$1388:AU1830,$AQ$1388:AQ1830,"M")</f>
        <v>6379.7799999998615</v>
      </c>
      <c r="BN1829" s="343">
        <f>SUMIFS($AU$1388:AU1830,$AQ$1388:AQ1830,"H")</f>
        <v>5159.2000000002827</v>
      </c>
      <c r="BO1829" s="343">
        <f>SUMIFS($AU$1388:AU1830,$AQ$1388:AQ1830,"D")</f>
        <v>9270</v>
      </c>
      <c r="BP1829" s="343">
        <f>SUMIFS($AU$1388:AU1917,$AQ$1388:AQ1917,"W")</f>
        <v>13472.599999999982</v>
      </c>
      <c r="BQ1829" s="343">
        <f>SUMIFS($AU$1388:AU1830,$Q$1388:Q1830,"O")</f>
        <v>2058.980000000161</v>
      </c>
      <c r="BR1829" s="343">
        <f>SUMIFS($AU$1388:AU1830,$AA$1388:AA1830,"*")</f>
        <v>24248.200000000041</v>
      </c>
      <c r="BS1829" s="343">
        <f>SUMIFS($AU$1388:AU1830,$AB$1388:AB1830,"*")</f>
        <v>8775.1799999999312</v>
      </c>
      <c r="BT1829" s="343">
        <f>SUMIFS($AU$1388:AU1830,$AC$1388:AC1830,"*")</f>
        <v>18548.400000000001</v>
      </c>
      <c r="BU1829" s="343">
        <f>SUMIFS($AU$1388:AU1830,$AA$1388:AA1830,"*",$AB$1388:AB1830,"*")</f>
        <v>5759.9999999998217</v>
      </c>
      <c r="BV1829" s="343">
        <f>SUMIFS($AU$1388:AU1830,$AA$1388:AA1830,"*",$AC$1388:AC1830,"*")</f>
        <v>13124.400000000001</v>
      </c>
      <c r="BW1829" s="343">
        <f>SUMIFS($AU$1388:AU1830,$AB$1388:AB1830,"*",$AC$1388:AC1830,"*")</f>
        <v>3759.9999999999982</v>
      </c>
      <c r="BX1829" s="343">
        <f>SUMIFS($AV$1388:AV1830,$Q$1388:Q1830,"F")</f>
        <v>424.63675319849239</v>
      </c>
      <c r="BY1829" s="343">
        <f>SUMIFS($AV$1388:AV1830,$Q$1388:Q1830,"S")</f>
        <v>353.77638392253402</v>
      </c>
      <c r="BZ1829" s="343">
        <f>SUMIFS($AV$1388:AV1830,$Q$1388:Q1830,"O")</f>
        <v>678.63999999984833</v>
      </c>
    </row>
    <row r="1830" spans="1:78" ht="15.75" customHeight="1">
      <c r="A1830" s="177" t="s">
        <v>5851</v>
      </c>
      <c r="B1830" s="200">
        <v>45399</v>
      </c>
      <c r="C1830" s="178" t="s">
        <v>682</v>
      </c>
      <c r="D1830" s="178" t="s">
        <v>151</v>
      </c>
      <c r="E1830" s="227"/>
      <c r="F1830" s="180"/>
      <c r="G1830" s="181" t="s">
        <v>2942</v>
      </c>
      <c r="H1830" s="182"/>
      <c r="I1830" s="182"/>
      <c r="J1830" s="182"/>
      <c r="K1830" s="183"/>
      <c r="L1830" s="182"/>
      <c r="M1830" s="182"/>
      <c r="N1830" s="182"/>
      <c r="O1830" s="183"/>
      <c r="P1830" s="183"/>
      <c r="Q1830" s="183"/>
      <c r="R1830" s="183"/>
      <c r="S1830" s="559"/>
      <c r="T1830" s="183"/>
      <c r="U1830" s="183"/>
      <c r="V1830" s="183"/>
      <c r="W1830" s="183"/>
      <c r="X1830" s="183"/>
      <c r="Y1830" s="184"/>
      <c r="Z1830" s="185"/>
      <c r="AA1830" s="185"/>
      <c r="AB1830" s="185"/>
      <c r="AC1830" s="185"/>
      <c r="AD1830" s="649"/>
      <c r="AE1830" s="182"/>
      <c r="AF1830" s="332"/>
      <c r="AG1830" s="182"/>
      <c r="AH1830" s="182"/>
      <c r="AI1830" s="182"/>
      <c r="AJ1830" s="640"/>
      <c r="AK1830" s="182"/>
      <c r="AL1830" s="496">
        <f t="shared" si="527"/>
        <v>0</v>
      </c>
      <c r="AM1830" s="496">
        <f t="shared" si="591"/>
        <v>0</v>
      </c>
      <c r="AN1830" s="626"/>
      <c r="AO1830" s="182"/>
      <c r="AP1830" s="182"/>
      <c r="AQ1830" s="332" t="str">
        <f>UPPER(RIGHT(Journal_Live[[#This Row],[DURATION ]]))</f>
        <v/>
      </c>
      <c r="AR1830" s="182"/>
      <c r="AS1830" s="189"/>
      <c r="AT1830" s="189"/>
      <c r="AU1830" s="187"/>
      <c r="AV1830" s="190"/>
      <c r="AW1830" s="191"/>
      <c r="AX1830" s="551"/>
      <c r="AY1830" s="551"/>
      <c r="AZ1830" s="551"/>
      <c r="BA1830" s="551"/>
      <c r="BB1830" s="551"/>
      <c r="BC1830" s="551"/>
      <c r="BD1830" s="549"/>
      <c r="BE1830" s="550"/>
      <c r="BF1830" s="549"/>
      <c r="BG1830" s="391">
        <f>SUM($AV$1389:AV1830)</f>
        <v>3405.0531371208795</v>
      </c>
      <c r="BH1830" s="392">
        <f>SUM($AU$1389:AU1830)</f>
        <v>32207.380000000154</v>
      </c>
      <c r="BI1830" s="318">
        <f>SUMIFS($AU$1388:AU1831,$Q$1388:Q1831,"F")</f>
        <v>22948.400000000001</v>
      </c>
      <c r="BJ1830" s="318">
        <f>SUMIFS($AU$1388:AU1831,$Q$1388:Q1831,"S")</f>
        <v>6095.9999999999945</v>
      </c>
      <c r="BK1830" s="343">
        <f>SUMIFS($AU$1388:AU1831,$P$1388:P1831,"W")</f>
        <v>22893.58000000014</v>
      </c>
      <c r="BL1830" s="343">
        <f>SUMIFS($AU$1388:AU1831,$P$1388:P1831,"R")</f>
        <v>7997.9999999998608</v>
      </c>
      <c r="BM1830" s="343">
        <f>SUMIFS($AU$1388:AU1831,$AQ$1388:AQ1831,"M")</f>
        <v>6699.7799999998615</v>
      </c>
      <c r="BN1830" s="343">
        <f>SUMIFS($AU$1388:AU1831,$AQ$1388:AQ1831,"H")</f>
        <v>5159.2000000002827</v>
      </c>
      <c r="BO1830" s="343">
        <f>SUMIFS($AU$1388:AU1831,$AQ$1388:AQ1831,"D")</f>
        <v>9270</v>
      </c>
      <c r="BP1830" s="343">
        <f>SUMIFS($AU$1388:AU1918,$AQ$1388:AQ1918,"W")</f>
        <v>13472.599999999982</v>
      </c>
      <c r="BQ1830" s="343">
        <f>SUMIFS($AU$1388:AU1831,$Q$1388:Q1831,"O")</f>
        <v>2058.980000000161</v>
      </c>
      <c r="BR1830" s="343">
        <f>SUMIFS($AU$1388:AU1831,$AA$1388:AA1831,"*")</f>
        <v>24568.200000000041</v>
      </c>
      <c r="BS1830" s="343">
        <f>SUMIFS($AU$1388:AU1831,$AB$1388:AB1831,"*")</f>
        <v>8775.1799999999312</v>
      </c>
      <c r="BT1830" s="343">
        <f>SUMIFS($AU$1388:AU1831,$AC$1388:AC1831,"*")</f>
        <v>18548.400000000001</v>
      </c>
      <c r="BU1830" s="343">
        <f>SUMIFS($AU$1388:AU1831,$AA$1388:AA1831,"*",$AB$1388:AB1831,"*")</f>
        <v>5759.9999999998217</v>
      </c>
      <c r="BV1830" s="343">
        <f>SUMIFS($AU$1388:AU1831,$AA$1388:AA1831,"*",$AC$1388:AC1831,"*")</f>
        <v>13124.400000000001</v>
      </c>
      <c r="BW1830" s="343">
        <f>SUMIFS($AU$1388:AU1831,$AB$1388:AB1831,"*",$AC$1388:AC1831,"*")</f>
        <v>3759.9999999999982</v>
      </c>
      <c r="BX1830" s="343">
        <f>SUMIFS($AV$1388:AV1831,$Q$1388:Q1831,"F")</f>
        <v>424.63675319849239</v>
      </c>
      <c r="BY1830" s="343">
        <f>SUMIFS($AV$1388:AV1831,$Q$1388:Q1831,"S")</f>
        <v>369.77638392253402</v>
      </c>
      <c r="BZ1830" s="343">
        <f>SUMIFS($AV$1388:AV1831,$Q$1388:Q1831,"O")</f>
        <v>678.63999999984833</v>
      </c>
    </row>
    <row r="1831" spans="1:78" ht="15.75" customHeight="1">
      <c r="A1831" s="177" t="s">
        <v>5851</v>
      </c>
      <c r="B1831" s="200">
        <v>45399</v>
      </c>
      <c r="C1831" s="178" t="s">
        <v>6103</v>
      </c>
      <c r="D1831" s="178" t="s">
        <v>151</v>
      </c>
      <c r="E1831" s="227"/>
      <c r="F1831" s="180"/>
      <c r="G1831" s="181" t="s">
        <v>2942</v>
      </c>
      <c r="H1831" s="182"/>
      <c r="I1831" s="182"/>
      <c r="J1831" s="182"/>
      <c r="K1831" s="183"/>
      <c r="L1831" s="182">
        <v>1</v>
      </c>
      <c r="M1831" s="182"/>
      <c r="N1831" s="182"/>
      <c r="O1831" s="183" t="s">
        <v>95</v>
      </c>
      <c r="P1831" s="183" t="s">
        <v>137</v>
      </c>
      <c r="Q1831" s="183" t="s">
        <v>97</v>
      </c>
      <c r="R1831" s="183">
        <v>20</v>
      </c>
      <c r="S1831" s="559">
        <v>0</v>
      </c>
      <c r="T1831" s="183">
        <v>20</v>
      </c>
      <c r="U1831" s="183" t="s">
        <v>97</v>
      </c>
      <c r="V1831" s="183"/>
      <c r="W1831" s="183"/>
      <c r="X1831" s="183"/>
      <c r="Y1831" s="184">
        <f>IF(ISBLANK(O1831),"",(IF(O1831=UPPER("IB"),0.005,0.01)))</f>
        <v>0.01</v>
      </c>
      <c r="Z1831" s="185">
        <f>IF(ISBLANK(O1831),"",IF(O1831="IB",8.63*200,IF(O1831="IR",16*100,IF(O1831="YT",20*100,IF(O1831="YT-XT",24*200,IF(O1831="TED",80*100,IF(O1831="XT",29*200)))))))</f>
        <v>1600</v>
      </c>
      <c r="AA1831" s="185" t="s">
        <v>99</v>
      </c>
      <c r="AB1831" s="185"/>
      <c r="AC1831" s="185"/>
      <c r="AD1831" s="649">
        <v>-0.06</v>
      </c>
      <c r="AE1831" s="182"/>
      <c r="AF1831" s="332"/>
      <c r="AG1831" s="182"/>
      <c r="AH1831" s="182"/>
      <c r="AI1831" s="182"/>
      <c r="AJ1831" s="640"/>
      <c r="AK1831" s="182"/>
      <c r="AL1831" s="496">
        <f t="shared" si="527"/>
        <v>-32</v>
      </c>
      <c r="AM1831" s="496">
        <f t="shared" si="591"/>
        <v>-640</v>
      </c>
      <c r="AN1831" s="626"/>
      <c r="AO1831" s="182"/>
      <c r="AP1831" s="182" t="s">
        <v>1588</v>
      </c>
      <c r="AQ1831" s="332" t="s">
        <v>1259</v>
      </c>
      <c r="AR1831" s="182"/>
      <c r="AS1831" s="189">
        <v>-7.0000000000000007E-2</v>
      </c>
      <c r="AT1831" s="189">
        <f>IF(ISBLANK(AS1831),,IF(U1831="S",AD1831-AS1831,AS1831-AD1831))</f>
        <v>1.0000000000000009E-2</v>
      </c>
      <c r="AU1831" s="187">
        <f>AV1831*R1831</f>
        <v>320.00000000000028</v>
      </c>
      <c r="AV1831" s="190">
        <f t="shared" ref="AV1831" si="592">IF(ISBLANK(AS1831),,(AT1831*Z1831))</f>
        <v>16.000000000000014</v>
      </c>
      <c r="AW1831" s="191" t="s">
        <v>96</v>
      </c>
      <c r="AX1831" s="551" t="s">
        <v>2182</v>
      </c>
      <c r="AY1831" s="551"/>
      <c r="AZ1831" s="551"/>
      <c r="BA1831" s="551"/>
      <c r="BB1831" s="551"/>
      <c r="BC1831" s="551"/>
      <c r="BD1831" s="549"/>
      <c r="BE1831" s="550"/>
      <c r="BF1831" s="549"/>
      <c r="BG1831" s="391">
        <f>SUM($AV$1389:AV1831)</f>
        <v>3421.0531371208795</v>
      </c>
      <c r="BH1831" s="392">
        <f>SUM($AU$1389:AU1831)</f>
        <v>32527.380000000154</v>
      </c>
      <c r="BI1831" s="318">
        <f>SUMIFS($AU$1388:AU1832,$Q$1388:Q1832,"F")</f>
        <v>22948.400000000001</v>
      </c>
      <c r="BJ1831" s="318">
        <f>SUMIFS($AU$1388:AU1832,$Q$1388:Q1832,"S")</f>
        <v>6095.9999999999945</v>
      </c>
      <c r="BK1831" s="343">
        <f>SUMIFS($AU$1388:AU1832,$P$1388:P1832,"W")</f>
        <v>22893.58000000014</v>
      </c>
      <c r="BL1831" s="343">
        <f>SUMIFS($AU$1388:AU1832,$P$1388:P1832,"R")</f>
        <v>7997.9999999998608</v>
      </c>
      <c r="BM1831" s="343">
        <f>SUMIFS($AU$1388:AU1832,$AQ$1388:AQ1832,"M")</f>
        <v>6699.7799999998615</v>
      </c>
      <c r="BN1831" s="343">
        <f>SUMIFS($AU$1388:AU1832,$AQ$1388:AQ1832,"H")</f>
        <v>5159.2000000002827</v>
      </c>
      <c r="BO1831" s="343">
        <f>SUMIFS($AU$1388:AU1832,$AQ$1388:AQ1832,"D")</f>
        <v>9270</v>
      </c>
      <c r="BP1831" s="343">
        <f>SUMIFS($AU$1388:AU1919,$AQ$1388:AQ1919,"W")</f>
        <v>13472.599999999982</v>
      </c>
      <c r="BQ1831" s="343">
        <f>SUMIFS($AU$1388:AU1832,$Q$1388:Q1832,"O")</f>
        <v>2058.980000000161</v>
      </c>
      <c r="BR1831" s="343">
        <f>SUMIFS($AU$1388:AU1832,$AA$1388:AA1832,"*")</f>
        <v>24568.200000000041</v>
      </c>
      <c r="BS1831" s="343">
        <f>SUMIFS($AU$1388:AU1832,$AB$1388:AB1832,"*")</f>
        <v>8775.1799999999312</v>
      </c>
      <c r="BT1831" s="343">
        <f>SUMIFS($AU$1388:AU1832,$AC$1388:AC1832,"*")</f>
        <v>18548.400000000001</v>
      </c>
      <c r="BU1831" s="343">
        <f>SUMIFS($AU$1388:AU1832,$AA$1388:AA1832,"*",$AB$1388:AB1832,"*")</f>
        <v>5759.9999999998217</v>
      </c>
      <c r="BV1831" s="343">
        <f>SUMIFS($AU$1388:AU1832,$AA$1388:AA1832,"*",$AC$1388:AC1832,"*")</f>
        <v>13124.400000000001</v>
      </c>
      <c r="BW1831" s="343">
        <f>SUMIFS($AU$1388:AU1832,$AB$1388:AB1832,"*",$AC$1388:AC1832,"*")</f>
        <v>3759.9999999999982</v>
      </c>
      <c r="BX1831" s="343">
        <f>SUMIFS($AV$1388:AV1832,$Q$1388:Q1832,"F")</f>
        <v>424.63675319849239</v>
      </c>
      <c r="BY1831" s="343">
        <f>SUMIFS($AV$1388:AV1832,$Q$1388:Q1832,"S")</f>
        <v>369.77638392253402</v>
      </c>
      <c r="BZ1831" s="343">
        <f>SUMIFS($AV$1388:AV1832,$Q$1388:Q1832,"O")</f>
        <v>678.63999999984833</v>
      </c>
    </row>
    <row r="1832" spans="1:78" ht="15.75" customHeight="1">
      <c r="A1832" s="177" t="s">
        <v>5851</v>
      </c>
      <c r="B1832" s="200">
        <v>45399</v>
      </c>
      <c r="C1832" s="178" t="s">
        <v>6104</v>
      </c>
      <c r="D1832" s="178" t="s">
        <v>151</v>
      </c>
      <c r="E1832" s="227"/>
      <c r="F1832" s="180"/>
      <c r="G1832" s="561" t="s">
        <v>6105</v>
      </c>
      <c r="H1832" s="182"/>
      <c r="I1832" s="182"/>
      <c r="J1832" s="182"/>
      <c r="K1832" s="183"/>
      <c r="L1832" s="182"/>
      <c r="M1832" s="182">
        <v>1</v>
      </c>
      <c r="N1832" s="182"/>
      <c r="O1832" s="183" t="s">
        <v>5325</v>
      </c>
      <c r="P1832" s="183" t="s">
        <v>137</v>
      </c>
      <c r="Q1832" s="183"/>
      <c r="R1832" s="183">
        <v>1</v>
      </c>
      <c r="S1832" s="183">
        <v>0</v>
      </c>
      <c r="T1832" s="183">
        <v>1</v>
      </c>
      <c r="U1832" s="183" t="s">
        <v>22</v>
      </c>
      <c r="V1832" s="183"/>
      <c r="W1832" s="183"/>
      <c r="X1832" s="183"/>
      <c r="Y1832" s="184">
        <f>IF(ISBLANK(O1832),"",(IF(O1832=UPPER("IB"),0.005,0.01)))</f>
        <v>0.01</v>
      </c>
      <c r="Z1832" s="185">
        <f>IF(ISBLANK(O1832),"",IF(O1832="IB",8.63*200,IF(O1832="IR",16*100,IF(O1832="YT",20*100,IF(O1832="YT-XT",24*200,IF(O1832="TED",80*100,IF(O1832="IR|YT",300*100)))))))</f>
        <v>30000</v>
      </c>
      <c r="AA1832" s="185" t="s">
        <v>6047</v>
      </c>
      <c r="AB1832" s="185"/>
      <c r="AC1832" s="185"/>
      <c r="AD1832" s="649">
        <v>-0.1</v>
      </c>
      <c r="AE1832" s="182"/>
      <c r="AF1832" s="332"/>
      <c r="AG1832" s="182"/>
      <c r="AH1832" s="182"/>
      <c r="AI1832" s="182"/>
      <c r="AJ1832" s="640"/>
      <c r="AK1832" s="182"/>
      <c r="AL1832" s="496">
        <f t="shared" si="527"/>
        <v>-600</v>
      </c>
      <c r="AM1832" s="496">
        <f t="shared" si="591"/>
        <v>-600</v>
      </c>
      <c r="AN1832" s="626"/>
      <c r="AO1832" s="182"/>
      <c r="AP1832" s="182" t="s">
        <v>1930</v>
      </c>
      <c r="AQ1832" s="332" t="s">
        <v>372</v>
      </c>
      <c r="AR1832" s="182" t="s">
        <v>1481</v>
      </c>
      <c r="AS1832" s="189">
        <v>-0.1</v>
      </c>
      <c r="AT1832" s="189">
        <f>IF(ISBLANK(AS1832),,IF(U1832="S",AD1832-AS1832,AS1832-AD1832))</f>
        <v>0</v>
      </c>
      <c r="AU1832" s="187">
        <f>AV1832*R1832</f>
        <v>0</v>
      </c>
      <c r="AV1832" s="190">
        <f t="shared" ref="AV1832" si="593">IF(ISBLANK(AS1832),,(AT1832*Z1832))</f>
        <v>0</v>
      </c>
      <c r="AW1832" s="191" t="s">
        <v>115</v>
      </c>
      <c r="AX1832" s="551" t="s">
        <v>6106</v>
      </c>
      <c r="AY1832" s="551" t="s">
        <v>6107</v>
      </c>
      <c r="AZ1832" s="551" t="s">
        <v>6108</v>
      </c>
      <c r="BA1832" s="551" t="s">
        <v>6109</v>
      </c>
      <c r="BB1832" s="551"/>
      <c r="BC1832" s="551"/>
      <c r="BD1832" s="549"/>
      <c r="BE1832" s="550"/>
      <c r="BF1832" s="549"/>
      <c r="BG1832" s="391">
        <f>SUM($AV$1389:AV1832)</f>
        <v>3421.0531371208795</v>
      </c>
      <c r="BH1832" s="392">
        <f>SUM($AU$1389:AU1832)</f>
        <v>32527.380000000154</v>
      </c>
      <c r="BI1832" s="318">
        <f>SUMIFS($AU$1388:AU1833,$Q$1388:Q1833,"F")</f>
        <v>22948.400000000001</v>
      </c>
      <c r="BJ1832" s="318">
        <f>SUMIFS($AU$1388:AU1833,$Q$1388:Q1833,"S")</f>
        <v>6095.9999999999945</v>
      </c>
      <c r="BK1832" s="343">
        <f>SUMIFS($AU$1388:AU1833,$P$1388:P1833,"W")</f>
        <v>22893.58000000014</v>
      </c>
      <c r="BL1832" s="343">
        <f>SUMIFS($AU$1388:AU1833,$P$1388:P1833,"R")</f>
        <v>7997.9999999998608</v>
      </c>
      <c r="BM1832" s="343">
        <f>SUMIFS($AU$1388:AU1833,$AQ$1388:AQ1833,"M")</f>
        <v>6699.7799999998615</v>
      </c>
      <c r="BN1832" s="343">
        <f>SUMIFS($AU$1388:AU1833,$AQ$1388:AQ1833,"H")</f>
        <v>5159.2000000002827</v>
      </c>
      <c r="BO1832" s="343">
        <f>SUMIFS($AU$1388:AU1833,$AQ$1388:AQ1833,"D")</f>
        <v>9270</v>
      </c>
      <c r="BP1832" s="343">
        <f>SUMIFS($AU$1388:AU1920,$AQ$1388:AQ1920,"W")</f>
        <v>13472.599999999982</v>
      </c>
      <c r="BQ1832" s="343">
        <f>SUMIFS($AU$1388:AU1833,$Q$1388:Q1833,"O")</f>
        <v>2058.980000000161</v>
      </c>
      <c r="BR1832" s="343">
        <f>SUMIFS($AU$1388:AU1833,$AA$1388:AA1833,"*")</f>
        <v>24568.200000000041</v>
      </c>
      <c r="BS1832" s="343">
        <f>SUMIFS($AU$1388:AU1833,$AB$1388:AB1833,"*")</f>
        <v>8775.1799999999312</v>
      </c>
      <c r="BT1832" s="343">
        <f>SUMIFS($AU$1388:AU1833,$AC$1388:AC1833,"*")</f>
        <v>18548.400000000001</v>
      </c>
      <c r="BU1832" s="343">
        <f>SUMIFS($AU$1388:AU1833,$AA$1388:AA1833,"*",$AB$1388:AB1833,"*")</f>
        <v>5759.9999999998217</v>
      </c>
      <c r="BV1832" s="343">
        <f>SUMIFS($AU$1388:AU1833,$AA$1388:AA1833,"*",$AC$1388:AC1833,"*")</f>
        <v>13124.400000000001</v>
      </c>
      <c r="BW1832" s="343">
        <f>SUMIFS($AU$1388:AU1833,$AB$1388:AB1833,"*",$AC$1388:AC1833,"*")</f>
        <v>3759.9999999999982</v>
      </c>
      <c r="BX1832" s="343">
        <f>SUMIFS($AV$1388:AV1833,$Q$1388:Q1833,"F")</f>
        <v>424.63675319849239</v>
      </c>
      <c r="BY1832" s="343">
        <f>SUMIFS($AV$1388:AV1833,$Q$1388:Q1833,"S")</f>
        <v>369.77638392253402</v>
      </c>
      <c r="BZ1832" s="343">
        <f>SUMIFS($AV$1388:AV1833,$Q$1388:Q1833,"O")</f>
        <v>678.63999999984833</v>
      </c>
    </row>
    <row r="1833" spans="1:78" ht="15.75" customHeight="1">
      <c r="A1833" s="177" t="s">
        <v>5851</v>
      </c>
      <c r="B1833" s="200">
        <v>45399</v>
      </c>
      <c r="C1833" s="178" t="s">
        <v>3793</v>
      </c>
      <c r="D1833" s="178" t="s">
        <v>151</v>
      </c>
      <c r="E1833" s="227"/>
      <c r="F1833" s="180"/>
      <c r="G1833" s="181" t="s">
        <v>2070</v>
      </c>
      <c r="H1833" s="182"/>
      <c r="I1833" s="182"/>
      <c r="J1833" s="182"/>
      <c r="K1833" s="183"/>
      <c r="L1833" s="182"/>
      <c r="M1833" s="182"/>
      <c r="N1833" s="182"/>
      <c r="O1833" s="183"/>
      <c r="P1833" s="183"/>
      <c r="Q1833" s="183"/>
      <c r="R1833" s="183"/>
      <c r="S1833" s="559"/>
      <c r="T1833" s="183"/>
      <c r="U1833" s="183"/>
      <c r="V1833" s="183"/>
      <c r="W1833" s="183"/>
      <c r="X1833" s="183"/>
      <c r="Y1833" s="184"/>
      <c r="Z1833" s="185"/>
      <c r="AA1833" s="185"/>
      <c r="AB1833" s="185"/>
      <c r="AC1833" s="185"/>
      <c r="AD1833" s="649"/>
      <c r="AE1833" s="182"/>
      <c r="AF1833" s="332"/>
      <c r="AG1833" s="182"/>
      <c r="AH1833" s="182"/>
      <c r="AI1833" s="182"/>
      <c r="AJ1833" s="640"/>
      <c r="AK1833" s="182"/>
      <c r="AL1833" s="496">
        <f t="shared" si="527"/>
        <v>0</v>
      </c>
      <c r="AM1833" s="496">
        <f t="shared" si="591"/>
        <v>0</v>
      </c>
      <c r="AN1833" s="626"/>
      <c r="AO1833" s="182"/>
      <c r="AP1833" s="182"/>
      <c r="AQ1833" s="332" t="str">
        <f>UPPER(RIGHT(Journal_Live[[#This Row],[DURATION ]]))</f>
        <v/>
      </c>
      <c r="AR1833" s="182"/>
      <c r="AS1833" s="189"/>
      <c r="AT1833" s="189"/>
      <c r="AU1833" s="187"/>
      <c r="AV1833" s="190"/>
      <c r="AW1833" s="191"/>
      <c r="AX1833" s="551"/>
      <c r="AY1833" s="551"/>
      <c r="AZ1833" s="551"/>
      <c r="BA1833" s="551"/>
      <c r="BB1833" s="551"/>
      <c r="BC1833" s="551"/>
      <c r="BD1833" s="549"/>
      <c r="BE1833" s="550"/>
      <c r="BF1833" s="549"/>
      <c r="BG1833" s="391">
        <f>SUM($AV$1389:AV1833)</f>
        <v>3421.0531371208795</v>
      </c>
      <c r="BH1833" s="392">
        <f>SUM($AU$1389:AU1833)</f>
        <v>32527.380000000154</v>
      </c>
      <c r="BI1833" s="318">
        <f>SUMIFS($AU$1388:AU1834,$Q$1388:Q1834,"F")</f>
        <v>22948.400000000001</v>
      </c>
      <c r="BJ1833" s="318">
        <f>SUMIFS($AU$1388:AU1834,$Q$1388:Q1834,"S")</f>
        <v>6095.9999999999945</v>
      </c>
      <c r="BK1833" s="343">
        <f>SUMIFS($AU$1388:AU1834,$P$1388:P1834,"W")</f>
        <v>22893.58000000014</v>
      </c>
      <c r="BL1833" s="343">
        <f>SUMIFS($AU$1388:AU1834,$P$1388:P1834,"R")</f>
        <v>7997.9999999998608</v>
      </c>
      <c r="BM1833" s="343">
        <f>SUMIFS($AU$1388:AU1834,$AQ$1388:AQ1834,"M")</f>
        <v>6699.7799999998615</v>
      </c>
      <c r="BN1833" s="343">
        <f>SUMIFS($AU$1388:AU1834,$AQ$1388:AQ1834,"H")</f>
        <v>5159.2000000002827</v>
      </c>
      <c r="BO1833" s="343">
        <f>SUMIFS($AU$1388:AU1834,$AQ$1388:AQ1834,"D")</f>
        <v>9270</v>
      </c>
      <c r="BP1833" s="343">
        <f>SUMIFS($AU$1388:AU1921,$AQ$1388:AQ1921,"W")</f>
        <v>13472.599999999982</v>
      </c>
      <c r="BQ1833" s="343">
        <f>SUMIFS($AU$1388:AU1834,$Q$1388:Q1834,"O")</f>
        <v>2058.980000000161</v>
      </c>
      <c r="BR1833" s="343">
        <f>SUMIFS($AU$1388:AU1834,$AA$1388:AA1834,"*")</f>
        <v>24568.200000000041</v>
      </c>
      <c r="BS1833" s="343">
        <f>SUMIFS($AU$1388:AU1834,$AB$1388:AB1834,"*")</f>
        <v>8775.1799999999312</v>
      </c>
      <c r="BT1833" s="343">
        <f>SUMIFS($AU$1388:AU1834,$AC$1388:AC1834,"*")</f>
        <v>18548.400000000001</v>
      </c>
      <c r="BU1833" s="343">
        <f>SUMIFS($AU$1388:AU1834,$AA$1388:AA1834,"*",$AB$1388:AB1834,"*")</f>
        <v>5759.9999999998217</v>
      </c>
      <c r="BV1833" s="343">
        <f>SUMIFS($AU$1388:AU1834,$AA$1388:AA1834,"*",$AC$1388:AC1834,"*")</f>
        <v>13124.400000000001</v>
      </c>
      <c r="BW1833" s="343">
        <f>SUMIFS($AU$1388:AU1834,$AB$1388:AB1834,"*",$AC$1388:AC1834,"*")</f>
        <v>3759.9999999999982</v>
      </c>
      <c r="BX1833" s="343">
        <f>SUMIFS($AV$1388:AV1834,$Q$1388:Q1834,"F")</f>
        <v>424.63675319849239</v>
      </c>
      <c r="BY1833" s="343">
        <f>SUMIFS($AV$1388:AV1834,$Q$1388:Q1834,"S")</f>
        <v>369.77638392253402</v>
      </c>
      <c r="BZ1833" s="343">
        <f>SUMIFS($AV$1388:AV1834,$Q$1388:Q1834,"O")</f>
        <v>678.63999999984833</v>
      </c>
    </row>
    <row r="1834" spans="1:78" ht="15.75" customHeight="1">
      <c r="A1834" s="177" t="s">
        <v>5851</v>
      </c>
      <c r="B1834" s="200">
        <v>45399</v>
      </c>
      <c r="C1834" s="178" t="s">
        <v>3793</v>
      </c>
      <c r="D1834" s="178" t="s">
        <v>151</v>
      </c>
      <c r="E1834" s="227"/>
      <c r="F1834" s="180"/>
      <c r="G1834" s="481" t="s">
        <v>2070</v>
      </c>
      <c r="H1834" s="182"/>
      <c r="I1834" s="182"/>
      <c r="J1834" s="182"/>
      <c r="K1834" s="183"/>
      <c r="L1834" s="182"/>
      <c r="M1834" s="182">
        <v>1</v>
      </c>
      <c r="N1834" s="182"/>
      <c r="O1834" s="183" t="s">
        <v>95</v>
      </c>
      <c r="P1834" s="183" t="s">
        <v>96</v>
      </c>
      <c r="Q1834" s="183" t="s">
        <v>97</v>
      </c>
      <c r="R1834" s="183">
        <v>15</v>
      </c>
      <c r="S1834" s="559">
        <v>0</v>
      </c>
      <c r="T1834" s="183">
        <v>15</v>
      </c>
      <c r="U1834" s="183" t="s">
        <v>97</v>
      </c>
      <c r="V1834" s="183"/>
      <c r="W1834" s="183"/>
      <c r="X1834" s="183"/>
      <c r="Y1834" s="184">
        <f>IF(ISBLANK(O1834),"",(IF(O1834=UPPER("IB"),0.005,0.01)))</f>
        <v>0.01</v>
      </c>
      <c r="Z1834" s="185">
        <f>IF(ISBLANK(O1834),"",IF(O1834="IB",8.63*200,IF(O1834="IR",16*100,IF(O1834="YT",20*100,IF(O1834="YT-XT",24*200,IF(O1834="TED",80*100,IF(O1834="XT",29*200)))))))</f>
        <v>1600</v>
      </c>
      <c r="AA1834" s="185" t="s">
        <v>99</v>
      </c>
      <c r="AB1834" s="185"/>
      <c r="AC1834" s="185" t="s">
        <v>6110</v>
      </c>
      <c r="AD1834" s="649">
        <v>-7.0000000000000007E-2</v>
      </c>
      <c r="AE1834" s="182"/>
      <c r="AF1834" s="332"/>
      <c r="AG1834" s="182"/>
      <c r="AH1834" s="182"/>
      <c r="AI1834" s="182"/>
      <c r="AJ1834" s="640"/>
      <c r="AK1834" s="182"/>
      <c r="AL1834" s="496">
        <f t="shared" ref="AL1834" si="594">-0.02*Z1834</f>
        <v>-32</v>
      </c>
      <c r="AM1834" s="496">
        <f t="shared" si="591"/>
        <v>-480</v>
      </c>
      <c r="AN1834" s="626"/>
      <c r="AO1834" s="182"/>
      <c r="AP1834" s="182"/>
      <c r="AQ1834" s="332" t="s">
        <v>1259</v>
      </c>
      <c r="AR1834" s="182"/>
      <c r="AS1834" s="189">
        <v>-7.0000000000000007E-2</v>
      </c>
      <c r="AT1834" s="189">
        <f>IF(ISBLANK(AS1834),,IF(U1834="S",AD1834-AS1834,AS1834-AD1834))</f>
        <v>0</v>
      </c>
      <c r="AU1834" s="187">
        <f>AV1834*R1834</f>
        <v>0</v>
      </c>
      <c r="AV1834" s="190">
        <f t="shared" ref="AV1834" si="595">IF(ISBLANK(AS1834),,(AT1834*Z1834))</f>
        <v>0</v>
      </c>
      <c r="AW1834" s="191" t="s">
        <v>115</v>
      </c>
      <c r="AX1834" s="551" t="s">
        <v>6111</v>
      </c>
      <c r="AY1834" s="551"/>
      <c r="AZ1834" s="551"/>
      <c r="BA1834" s="551"/>
      <c r="BB1834" s="551"/>
      <c r="BC1834" s="551"/>
      <c r="BD1834" s="549"/>
      <c r="BE1834" s="550"/>
      <c r="BF1834" s="549"/>
      <c r="BG1834" s="391">
        <f>SUM($AV$1389:AV1834)</f>
        <v>3421.0531371208795</v>
      </c>
      <c r="BH1834" s="392">
        <f>SUM($AU$1389:AU1834)</f>
        <v>32527.380000000154</v>
      </c>
      <c r="BI1834" s="318">
        <f>SUMIFS($AU$1388:AU1835,$Q$1388:Q1835,"F")</f>
        <v>22948.400000000001</v>
      </c>
      <c r="BJ1834" s="318">
        <f>SUMIFS($AU$1388:AU1835,$Q$1388:Q1835,"S")</f>
        <v>6095.9999999999945</v>
      </c>
      <c r="BK1834" s="343">
        <f>SUMIFS($AU$1388:AU1835,$P$1388:P1835,"W")</f>
        <v>22893.58000000014</v>
      </c>
      <c r="BL1834" s="343">
        <f>SUMIFS($AU$1388:AU1835,$P$1388:P1835,"R")</f>
        <v>7997.9999999998608</v>
      </c>
      <c r="BM1834" s="343">
        <f>SUMIFS($AU$1388:AU1835,$AQ$1388:AQ1835,"M")</f>
        <v>6699.7799999998615</v>
      </c>
      <c r="BN1834" s="343">
        <f>SUMIFS($AU$1388:AU1835,$AQ$1388:AQ1835,"H")</f>
        <v>5159.2000000002827</v>
      </c>
      <c r="BO1834" s="343">
        <f>SUMIFS($AU$1388:AU1835,$AQ$1388:AQ1835,"D")</f>
        <v>9270</v>
      </c>
      <c r="BP1834" s="343">
        <f>SUMIFS($AU$1388:AU1922,$AQ$1388:AQ1922,"W")</f>
        <v>13472.599999999982</v>
      </c>
      <c r="BQ1834" s="343">
        <f>SUMIFS($AU$1388:AU1835,$Q$1388:Q1835,"O")</f>
        <v>2058.980000000161</v>
      </c>
      <c r="BR1834" s="343">
        <f>SUMIFS($AU$1388:AU1835,$AA$1388:AA1835,"*")</f>
        <v>24568.200000000041</v>
      </c>
      <c r="BS1834" s="343">
        <f>SUMIFS($AU$1388:AU1835,$AB$1388:AB1835,"*")</f>
        <v>8775.1799999999312</v>
      </c>
      <c r="BT1834" s="343">
        <f>SUMIFS($AU$1388:AU1835,$AC$1388:AC1835,"*")</f>
        <v>18548.400000000001</v>
      </c>
      <c r="BU1834" s="343">
        <f>SUMIFS($AU$1388:AU1835,$AA$1388:AA1835,"*",$AB$1388:AB1835,"*")</f>
        <v>5759.9999999998217</v>
      </c>
      <c r="BV1834" s="343">
        <f>SUMIFS($AU$1388:AU1835,$AA$1388:AA1835,"*",$AC$1388:AC1835,"*")</f>
        <v>13124.400000000001</v>
      </c>
      <c r="BW1834" s="343">
        <f>SUMIFS($AU$1388:AU1835,$AB$1388:AB1835,"*",$AC$1388:AC1835,"*")</f>
        <v>3759.9999999999982</v>
      </c>
      <c r="BX1834" s="343">
        <f>SUMIFS($AV$1388:AV1835,$Q$1388:Q1835,"F")</f>
        <v>424.63675319849239</v>
      </c>
      <c r="BY1834" s="343">
        <f>SUMIFS($AV$1388:AV1835,$Q$1388:Q1835,"S")</f>
        <v>369.77638392253402</v>
      </c>
      <c r="BZ1834" s="343">
        <f>SUMIFS($AV$1388:AV1835,$Q$1388:Q1835,"O")</f>
        <v>678.63999999984833</v>
      </c>
    </row>
    <row r="1835" spans="1:78" ht="15.75" customHeight="1">
      <c r="A1835" s="177" t="s">
        <v>5851</v>
      </c>
      <c r="B1835" s="200">
        <v>45399</v>
      </c>
      <c r="C1835" s="178" t="s">
        <v>279</v>
      </c>
      <c r="D1835" s="178" t="s">
        <v>151</v>
      </c>
      <c r="E1835" s="227"/>
      <c r="F1835" s="180"/>
      <c r="G1835" s="181" t="s">
        <v>3555</v>
      </c>
      <c r="H1835" s="182"/>
      <c r="I1835" s="182"/>
      <c r="J1835" s="182"/>
      <c r="K1835" s="183"/>
      <c r="L1835" s="182"/>
      <c r="M1835" s="182"/>
      <c r="N1835" s="182"/>
      <c r="O1835" s="183"/>
      <c r="P1835" s="183"/>
      <c r="Q1835" s="183"/>
      <c r="R1835" s="183"/>
      <c r="S1835" s="559"/>
      <c r="T1835" s="183"/>
      <c r="U1835" s="183"/>
      <c r="V1835" s="183"/>
      <c r="W1835" s="183"/>
      <c r="X1835" s="183"/>
      <c r="Y1835" s="184"/>
      <c r="Z1835" s="185"/>
      <c r="AA1835" s="185"/>
      <c r="AB1835" s="185"/>
      <c r="AC1835" s="185"/>
      <c r="AD1835" s="649"/>
      <c r="AE1835" s="182"/>
      <c r="AF1835" s="332"/>
      <c r="AG1835" s="182"/>
      <c r="AH1835" s="182"/>
      <c r="AI1835" s="182"/>
      <c r="AJ1835" s="640"/>
      <c r="AK1835" s="182"/>
      <c r="AL1835" s="496">
        <f t="shared" ref="AL1835" si="596">-0.02*Z1835</f>
        <v>0</v>
      </c>
      <c r="AM1835" s="496">
        <f t="shared" si="591"/>
        <v>0</v>
      </c>
      <c r="AN1835" s="626"/>
      <c r="AO1835" s="182"/>
      <c r="AP1835" s="182"/>
      <c r="AQ1835" s="332" t="str">
        <f>UPPER(RIGHT(Journal_Live[[#This Row],[DURATION ]]))</f>
        <v/>
      </c>
      <c r="AR1835" s="182"/>
      <c r="AS1835" s="189"/>
      <c r="AT1835" s="189"/>
      <c r="AU1835" s="187"/>
      <c r="AV1835" s="190"/>
      <c r="AW1835" s="191"/>
      <c r="AX1835" s="551"/>
      <c r="AY1835" s="551"/>
      <c r="AZ1835" s="551"/>
      <c r="BA1835" s="551"/>
      <c r="BB1835" s="551"/>
      <c r="BC1835" s="551"/>
      <c r="BD1835" s="549"/>
      <c r="BE1835" s="550"/>
      <c r="BF1835" s="549"/>
      <c r="BG1835" s="391">
        <f>SUM($AV$1389:AV1835)</f>
        <v>3421.0531371208795</v>
      </c>
      <c r="BH1835" s="392">
        <f>SUM($AU$1389:AU1835)</f>
        <v>32527.380000000154</v>
      </c>
      <c r="BI1835" s="318">
        <f>SUMIFS($AU$1388:AU1836,$Q$1388:Q1836,"F")</f>
        <v>23748.400000000001</v>
      </c>
      <c r="BJ1835" s="318">
        <f>SUMIFS($AU$1388:AU1836,$Q$1388:Q1836,"S")</f>
        <v>6095.9999999999945</v>
      </c>
      <c r="BK1835" s="343">
        <f>SUMIFS($AU$1388:AU1836,$P$1388:P1836,"W")</f>
        <v>23693.58000000014</v>
      </c>
      <c r="BL1835" s="343">
        <f>SUMIFS($AU$1388:AU1836,$P$1388:P1836,"R")</f>
        <v>7997.9999999998608</v>
      </c>
      <c r="BM1835" s="343">
        <f>SUMIFS($AU$1388:AU1836,$AQ$1388:AQ1836,"M")</f>
        <v>6699.7799999998615</v>
      </c>
      <c r="BN1835" s="343">
        <f>SUMIFS($AU$1388:AU1836,$AQ$1388:AQ1836,"H")</f>
        <v>5159.2000000002827</v>
      </c>
      <c r="BO1835" s="343">
        <f>SUMIFS($AU$1388:AU1836,$AQ$1388:AQ1836,"D")</f>
        <v>10070</v>
      </c>
      <c r="BP1835" s="343">
        <f>SUMIFS($AU$1388:AU1923,$AQ$1388:AQ1923,"W")</f>
        <v>13472.599999999982</v>
      </c>
      <c r="BQ1835" s="343">
        <f>SUMIFS($AU$1388:AU1836,$Q$1388:Q1836,"O")</f>
        <v>2058.980000000161</v>
      </c>
      <c r="BR1835" s="343">
        <f>SUMIFS($AU$1388:AU1836,$AA$1388:AA1836,"*")</f>
        <v>24568.200000000041</v>
      </c>
      <c r="BS1835" s="343">
        <f>SUMIFS($AU$1388:AU1836,$AB$1388:AB1836,"*")</f>
        <v>8775.1799999999312</v>
      </c>
      <c r="BT1835" s="343">
        <f>SUMIFS($AU$1388:AU1836,$AC$1388:AC1836,"*")</f>
        <v>19348.400000000001</v>
      </c>
      <c r="BU1835" s="343">
        <f>SUMIFS($AU$1388:AU1836,$AA$1388:AA1836,"*",$AB$1388:AB1836,"*")</f>
        <v>5759.9999999998217</v>
      </c>
      <c r="BV1835" s="343">
        <f>SUMIFS($AU$1388:AU1836,$AA$1388:AA1836,"*",$AC$1388:AC1836,"*")</f>
        <v>13124.400000000001</v>
      </c>
      <c r="BW1835" s="343">
        <f>SUMIFS($AU$1388:AU1836,$AB$1388:AB1836,"*",$AC$1388:AC1836,"*")</f>
        <v>3759.9999999999982</v>
      </c>
      <c r="BX1835" s="343">
        <f>SUMIFS($AV$1388:AV1836,$Q$1388:Q1836,"F")</f>
        <v>456.63675319849239</v>
      </c>
      <c r="BY1835" s="343">
        <f>SUMIFS($AV$1388:AV1836,$Q$1388:Q1836,"S")</f>
        <v>369.77638392253402</v>
      </c>
      <c r="BZ1835" s="343">
        <f>SUMIFS($AV$1388:AV1836,$Q$1388:Q1836,"O")</f>
        <v>678.63999999984833</v>
      </c>
    </row>
    <row r="1836" spans="1:78" ht="15.75" customHeight="1">
      <c r="A1836" s="177" t="s">
        <v>5851</v>
      </c>
      <c r="B1836" s="200">
        <v>45399</v>
      </c>
      <c r="C1836" s="178" t="s">
        <v>5803</v>
      </c>
      <c r="D1836" s="178" t="s">
        <v>151</v>
      </c>
      <c r="E1836" s="227"/>
      <c r="F1836" s="180"/>
      <c r="G1836" s="484" t="s">
        <v>6112</v>
      </c>
      <c r="H1836" s="182"/>
      <c r="I1836" s="182"/>
      <c r="J1836" s="182"/>
      <c r="K1836" s="183"/>
      <c r="L1836" s="182">
        <v>1</v>
      </c>
      <c r="M1836" s="182"/>
      <c r="N1836" s="182"/>
      <c r="O1836" s="183" t="s">
        <v>95</v>
      </c>
      <c r="P1836" s="183" t="s">
        <v>96</v>
      </c>
      <c r="Q1836" s="183" t="s">
        <v>256</v>
      </c>
      <c r="R1836" s="183">
        <v>25</v>
      </c>
      <c r="S1836" s="559">
        <v>0</v>
      </c>
      <c r="T1836" s="183">
        <v>25</v>
      </c>
      <c r="U1836" s="183" t="s">
        <v>22</v>
      </c>
      <c r="V1836" s="183"/>
      <c r="W1836" s="183"/>
      <c r="X1836" s="183"/>
      <c r="Y1836" s="184">
        <f>IF(ISBLANK(O1836),"",(IF(O1836=UPPER("IB"),0.005,0.01)))</f>
        <v>0.01</v>
      </c>
      <c r="Z1836" s="185">
        <f>IF(ISBLANK(O1836),"",IF(O1836="IB",8.63*200,IF(O1836="IR",16*100,IF(O1836="YT",20*100,IF(O1836="YT-XT",24*200,IF(O1836="TED",80*100,IF(O1836="XT",29*200)))))))</f>
        <v>1600</v>
      </c>
      <c r="AA1836" s="185"/>
      <c r="AB1836" s="185"/>
      <c r="AC1836" s="185" t="s">
        <v>6113</v>
      </c>
      <c r="AD1836" s="649">
        <v>0.05</v>
      </c>
      <c r="AE1836" s="182"/>
      <c r="AF1836" s="332"/>
      <c r="AG1836" s="182"/>
      <c r="AH1836" s="182"/>
      <c r="AI1836" s="182"/>
      <c r="AJ1836" s="640"/>
      <c r="AK1836" s="182"/>
      <c r="AL1836" s="496">
        <f t="shared" si="527"/>
        <v>-32</v>
      </c>
      <c r="AM1836" s="496">
        <f t="shared" si="591"/>
        <v>-800</v>
      </c>
      <c r="AN1836" s="626"/>
      <c r="AO1836" s="182"/>
      <c r="AP1836" s="182" t="s">
        <v>1261</v>
      </c>
      <c r="AQ1836" s="332" t="s">
        <v>115</v>
      </c>
      <c r="AR1836" s="182" t="s">
        <v>6037</v>
      </c>
      <c r="AS1836" s="189">
        <v>7.0000000000000007E-2</v>
      </c>
      <c r="AT1836" s="189">
        <f>IF(ISBLANK(AS1836),,IF(U1836="S",AD1836-AS1836,AS1836-AD1836))</f>
        <v>2.0000000000000004E-2</v>
      </c>
      <c r="AU1836" s="187">
        <f>AV1836*R1836</f>
        <v>800.00000000000023</v>
      </c>
      <c r="AV1836" s="190">
        <f t="shared" ref="AV1836:AV1838" si="597">IF(ISBLANK(AS1836),,(AT1836*Z1836))</f>
        <v>32.000000000000007</v>
      </c>
      <c r="AW1836" s="191" t="s">
        <v>96</v>
      </c>
      <c r="AX1836" s="551" t="s">
        <v>6114</v>
      </c>
      <c r="AY1836" s="551"/>
      <c r="AZ1836" s="551"/>
      <c r="BA1836" s="551"/>
      <c r="BB1836" s="551" t="s">
        <v>6115</v>
      </c>
      <c r="BC1836" s="551"/>
      <c r="BD1836" s="549"/>
      <c r="BE1836" s="550"/>
      <c r="BF1836" s="549"/>
      <c r="BG1836" s="391">
        <f>SUM($AV$1389:AV1836)</f>
        <v>3453.0531371208795</v>
      </c>
      <c r="BH1836" s="392">
        <f>SUM($AU$1389:AU1836)</f>
        <v>33327.380000000157</v>
      </c>
      <c r="BI1836" s="318">
        <f>SUMIFS($AU$1388:AU1837,$Q$1388:Q1837,"F")</f>
        <v>23748.400000000001</v>
      </c>
      <c r="BJ1836" s="318">
        <f>SUMIFS($AU$1388:AU1837,$Q$1388:Q1837,"S")</f>
        <v>6095.9999999999945</v>
      </c>
      <c r="BK1836" s="343">
        <f>SUMIFS($AU$1388:AU1837,$P$1388:P1837,"W")</f>
        <v>23693.58000000014</v>
      </c>
      <c r="BL1836" s="343">
        <f>SUMIFS($AU$1388:AU1837,$P$1388:P1837,"R")</f>
        <v>7997.9999999998608</v>
      </c>
      <c r="BM1836" s="343">
        <f>SUMIFS($AU$1388:AU1837,$AQ$1388:AQ1837,"M")</f>
        <v>6699.7799999998615</v>
      </c>
      <c r="BN1836" s="343">
        <f>SUMIFS($AU$1388:AU1837,$AQ$1388:AQ1837,"H")</f>
        <v>5159.2000000002827</v>
      </c>
      <c r="BO1836" s="343">
        <f>SUMIFS($AU$1388:AU1837,$AQ$1388:AQ1837,"D")</f>
        <v>10070</v>
      </c>
      <c r="BP1836" s="343">
        <f>SUMIFS($AU$1388:AU1924,$AQ$1388:AQ1924,"W")</f>
        <v>13472.599999999982</v>
      </c>
      <c r="BQ1836" s="343">
        <f>SUMIFS($AU$1388:AU1837,$Q$1388:Q1837,"O")</f>
        <v>2058.980000000161</v>
      </c>
      <c r="BR1836" s="343">
        <f>SUMIFS($AU$1388:AU1837,$AA$1388:AA1837,"*")</f>
        <v>24568.200000000041</v>
      </c>
      <c r="BS1836" s="343">
        <f>SUMIFS($AU$1388:AU1837,$AB$1388:AB1837,"*")</f>
        <v>8775.1799999999312</v>
      </c>
      <c r="BT1836" s="343">
        <f>SUMIFS($AU$1388:AU1837,$AC$1388:AC1837,"*")</f>
        <v>19348.400000000001</v>
      </c>
      <c r="BU1836" s="343">
        <f>SUMIFS($AU$1388:AU1837,$AA$1388:AA1837,"*",$AB$1388:AB1837,"*")</f>
        <v>5759.9999999998217</v>
      </c>
      <c r="BV1836" s="343">
        <f>SUMIFS($AU$1388:AU1837,$AA$1388:AA1837,"*",$AC$1388:AC1837,"*")</f>
        <v>13124.400000000001</v>
      </c>
      <c r="BW1836" s="343">
        <f>SUMIFS($AU$1388:AU1837,$AB$1388:AB1837,"*",$AC$1388:AC1837,"*")</f>
        <v>3759.9999999999982</v>
      </c>
      <c r="BX1836" s="343">
        <f>SUMIFS($AV$1388:AV1837,$Q$1388:Q1837,"F")</f>
        <v>456.63675319849239</v>
      </c>
      <c r="BY1836" s="343">
        <f>SUMIFS($AV$1388:AV1837,$Q$1388:Q1837,"S")</f>
        <v>369.77638392253402</v>
      </c>
      <c r="BZ1836" s="343">
        <f>SUMIFS($AV$1388:AV1837,$Q$1388:Q1837,"O")</f>
        <v>678.63999999984833</v>
      </c>
    </row>
    <row r="1837" spans="1:78" ht="15.75" customHeight="1">
      <c r="A1837" s="177" t="s">
        <v>5851</v>
      </c>
      <c r="B1837" s="200">
        <v>45399</v>
      </c>
      <c r="C1837" s="178" t="s">
        <v>6116</v>
      </c>
      <c r="D1837" s="178" t="s">
        <v>151</v>
      </c>
      <c r="E1837" s="227"/>
      <c r="F1837" s="180"/>
      <c r="G1837" s="484" t="s">
        <v>2016</v>
      </c>
      <c r="H1837" s="182"/>
      <c r="I1837" s="182"/>
      <c r="J1837" s="182"/>
      <c r="K1837" s="183"/>
      <c r="L1837" s="182">
        <v>1</v>
      </c>
      <c r="M1837" s="182"/>
      <c r="N1837" s="182"/>
      <c r="O1837" s="183" t="s">
        <v>95</v>
      </c>
      <c r="P1837" s="183" t="s">
        <v>96</v>
      </c>
      <c r="Q1837" s="183" t="s">
        <v>97</v>
      </c>
      <c r="R1837" s="183">
        <v>15</v>
      </c>
      <c r="S1837" s="559">
        <v>15</v>
      </c>
      <c r="T1837" s="183">
        <v>15</v>
      </c>
      <c r="U1837" s="183" t="s">
        <v>22</v>
      </c>
      <c r="V1837" s="183"/>
      <c r="W1837" s="183"/>
      <c r="X1837" s="183"/>
      <c r="Y1837" s="184">
        <f>IF(ISBLANK(O1837),"",(IF(O1837=UPPER("IB"),0.005,0.01)))</f>
        <v>0.01</v>
      </c>
      <c r="Z1837" s="185">
        <f>IF(ISBLANK(O1837),"",IF(O1837="IB",8.63*200,IF(O1837="IR",16*100,IF(O1837="YT",20*100,IF(O1837="YT-XT",24*200,IF(O1837="TED",80*100,IF(O1837="XT",29*200)))))))</f>
        <v>1600</v>
      </c>
      <c r="AA1837" s="185"/>
      <c r="AB1837" s="185" t="s">
        <v>6078</v>
      </c>
      <c r="AC1837" s="185"/>
      <c r="AD1837" s="649">
        <v>-0.06</v>
      </c>
      <c r="AE1837" s="182"/>
      <c r="AF1837" s="332"/>
      <c r="AG1837" s="182"/>
      <c r="AH1837" s="182"/>
      <c r="AI1837" s="182"/>
      <c r="AJ1837" s="640"/>
      <c r="AK1837" s="182"/>
      <c r="AL1837" s="496">
        <f t="shared" si="527"/>
        <v>-32</v>
      </c>
      <c r="AM1837" s="496">
        <f t="shared" si="591"/>
        <v>0</v>
      </c>
      <c r="AN1837" s="626"/>
      <c r="AO1837" s="182"/>
      <c r="AP1837" s="182"/>
      <c r="AQ1837" s="332" t="s">
        <v>372</v>
      </c>
      <c r="AR1837" s="182" t="s">
        <v>6117</v>
      </c>
      <c r="AS1837" s="189">
        <v>-0.06</v>
      </c>
      <c r="AT1837" s="189">
        <f>IF(ISBLANK(AS1837),,IF(U1837="S",AD1837-AS1837,AS1837-AD1837))</f>
        <v>0</v>
      </c>
      <c r="AU1837" s="187">
        <f>AV1837*R1837</f>
        <v>0</v>
      </c>
      <c r="AV1837" s="190">
        <f t="shared" si="597"/>
        <v>0</v>
      </c>
      <c r="AW1837" s="191" t="s">
        <v>115</v>
      </c>
      <c r="AX1837" s="551"/>
      <c r="AY1837" s="551"/>
      <c r="AZ1837" s="551"/>
      <c r="BA1837" s="551"/>
      <c r="BB1837" s="551"/>
      <c r="BC1837" s="551"/>
      <c r="BD1837" s="549"/>
      <c r="BE1837" s="550"/>
      <c r="BF1837" s="549"/>
      <c r="BG1837" s="391">
        <f>SUM($AV$1389:AV1837)</f>
        <v>3453.0531371208795</v>
      </c>
      <c r="BH1837" s="392">
        <f>SUM($AU$1389:AU1837)</f>
        <v>33327.380000000157</v>
      </c>
      <c r="BI1837" s="318">
        <f>SUMIFS($AU$1388:AU1838,$Q$1388:Q1838,"F")</f>
        <v>23748.400000000001</v>
      </c>
      <c r="BJ1837" s="318">
        <f>SUMIFS($AU$1388:AU1838,$Q$1388:Q1838,"S")</f>
        <v>6975.9999999999945</v>
      </c>
      <c r="BK1837" s="343">
        <f>SUMIFS($AU$1388:AU1838,$P$1388:P1838,"W")</f>
        <v>24573.58000000014</v>
      </c>
      <c r="BL1837" s="343">
        <f>SUMIFS($AU$1388:AU1838,$P$1388:P1838,"R")</f>
        <v>7997.9999999998608</v>
      </c>
      <c r="BM1837" s="343">
        <f>SUMIFS($AU$1388:AU1838,$AQ$1388:AQ1838,"M")</f>
        <v>6699.7799999998615</v>
      </c>
      <c r="BN1837" s="343">
        <f>SUMIFS($AU$1388:AU1838,$AQ$1388:AQ1838,"H")</f>
        <v>5159.2000000002827</v>
      </c>
      <c r="BO1837" s="343">
        <f>SUMIFS($AU$1388:AU1838,$AQ$1388:AQ1838,"D")</f>
        <v>10950</v>
      </c>
      <c r="BP1837" s="343">
        <f>SUMIFS($AU$1388:AU1925,$AQ$1388:AQ1925,"W")</f>
        <v>13472.599999999982</v>
      </c>
      <c r="BQ1837" s="343">
        <f>SUMIFS($AU$1388:AU1838,$Q$1388:Q1838,"O")</f>
        <v>2058.980000000161</v>
      </c>
      <c r="BR1837" s="343">
        <f>SUMIFS($AU$1388:AU1838,$AA$1388:AA1838,"*")</f>
        <v>24568.200000000041</v>
      </c>
      <c r="BS1837" s="343">
        <f>SUMIFS($AU$1388:AU1838,$AB$1388:AB1838,"*")</f>
        <v>9655.1799999999312</v>
      </c>
      <c r="BT1837" s="343">
        <f>SUMIFS($AU$1388:AU1838,$AC$1388:AC1838,"*")</f>
        <v>20228.400000000001</v>
      </c>
      <c r="BU1837" s="343">
        <f>SUMIFS($AU$1388:AU1838,$AA$1388:AA1838,"*",$AB$1388:AB1838,"*")</f>
        <v>5759.9999999998217</v>
      </c>
      <c r="BV1837" s="343">
        <f>SUMIFS($AU$1388:AU1838,$AA$1388:AA1838,"*",$AC$1388:AC1838,"*")</f>
        <v>13124.400000000001</v>
      </c>
      <c r="BW1837" s="343">
        <f>SUMIFS($AU$1388:AU1838,$AB$1388:AB1838,"*",$AC$1388:AC1838,"*")</f>
        <v>4639.9999999999982</v>
      </c>
      <c r="BX1837" s="343">
        <f>SUMIFS($AV$1388:AV1838,$Q$1388:Q1838,"F")</f>
        <v>456.63675319849239</v>
      </c>
      <c r="BY1837" s="343">
        <f>SUMIFS($AV$1388:AV1838,$Q$1388:Q1838,"S")</f>
        <v>376.81638392253404</v>
      </c>
      <c r="BZ1837" s="343">
        <f>SUMIFS($AV$1388:AV1838,$Q$1388:Q1838,"O")</f>
        <v>678.63999999984833</v>
      </c>
    </row>
    <row r="1838" spans="1:78" ht="15.75" customHeight="1">
      <c r="A1838" s="177" t="s">
        <v>5851</v>
      </c>
      <c r="B1838" s="200">
        <v>45399</v>
      </c>
      <c r="C1838" s="178" t="s">
        <v>6116</v>
      </c>
      <c r="D1838" s="178" t="s">
        <v>151</v>
      </c>
      <c r="E1838" s="227"/>
      <c r="F1838" s="180"/>
      <c r="G1838" s="484" t="s">
        <v>3555</v>
      </c>
      <c r="H1838" s="182"/>
      <c r="I1838" s="182"/>
      <c r="J1838" s="182"/>
      <c r="K1838" s="183"/>
      <c r="L1838" s="182">
        <v>1</v>
      </c>
      <c r="M1838" s="182"/>
      <c r="N1838" s="182"/>
      <c r="O1838" s="183" t="s">
        <v>95</v>
      </c>
      <c r="P1838" s="183" t="s">
        <v>96</v>
      </c>
      <c r="Q1838" s="183" t="s">
        <v>97</v>
      </c>
      <c r="R1838" s="183">
        <v>125</v>
      </c>
      <c r="S1838" s="559">
        <v>60</v>
      </c>
      <c r="T1838" s="183">
        <v>45</v>
      </c>
      <c r="U1838" s="183" t="s">
        <v>22</v>
      </c>
      <c r="V1838" s="183"/>
      <c r="W1838" s="183"/>
      <c r="X1838" s="183"/>
      <c r="Y1838" s="184">
        <f>IF(ISBLANK(O1838),"",(IF(O1838=UPPER("IB"),0.005,0.01)))</f>
        <v>0.01</v>
      </c>
      <c r="Z1838" s="185">
        <f>IF(ISBLANK(O1838),"",IF(O1838="IB",8.63*200,IF(O1838="IR",16*100,IF(O1838="YT",20*100,IF(O1838="YT-XT",24*200,IF(O1838="TED",80*100,IF(O1838="XT",29*200)))))))</f>
        <v>1600</v>
      </c>
      <c r="AA1838" s="185"/>
      <c r="AB1838" s="185" t="s">
        <v>6078</v>
      </c>
      <c r="AC1838" s="185" t="s">
        <v>6118</v>
      </c>
      <c r="AD1838" s="649">
        <f>(0.01*75+0.02*50)/125</f>
        <v>1.4E-2</v>
      </c>
      <c r="AE1838" s="182"/>
      <c r="AF1838" s="332"/>
      <c r="AG1838" s="182"/>
      <c r="AH1838" s="182"/>
      <c r="AI1838" s="182"/>
      <c r="AJ1838" s="640"/>
      <c r="AK1838" s="182"/>
      <c r="AL1838" s="496">
        <f t="shared" ref="AL1838" si="598">-0.02*Z1838</f>
        <v>-32</v>
      </c>
      <c r="AM1838" s="496">
        <f t="shared" si="591"/>
        <v>-2080</v>
      </c>
      <c r="AN1838" s="626"/>
      <c r="AO1838" s="182"/>
      <c r="AP1838" s="182" t="s">
        <v>999</v>
      </c>
      <c r="AQ1838" s="332" t="s">
        <v>115</v>
      </c>
      <c r="AR1838" s="182" t="s">
        <v>6119</v>
      </c>
      <c r="AS1838" s="189">
        <f>(0.01*20+0.02*20+0.02*20+0.02*65)/125</f>
        <v>1.84E-2</v>
      </c>
      <c r="AT1838" s="189">
        <f>IF(ISBLANK(AS1838),,IF(U1838="S",AD1838-AS1838,AS1838-AD1838))</f>
        <v>4.3999999999999994E-3</v>
      </c>
      <c r="AU1838" s="187">
        <f>AV1838*R1838</f>
        <v>879.99999999999989</v>
      </c>
      <c r="AV1838" s="190">
        <f t="shared" si="597"/>
        <v>7.0399999999999991</v>
      </c>
      <c r="AW1838" s="191" t="s">
        <v>96</v>
      </c>
      <c r="AX1838" s="551"/>
      <c r="AY1838" s="551"/>
      <c r="AZ1838" s="551"/>
      <c r="BA1838" s="551"/>
      <c r="BB1838" s="551"/>
      <c r="BC1838" s="551"/>
      <c r="BD1838" s="549"/>
      <c r="BE1838" s="550"/>
      <c r="BF1838" s="549"/>
      <c r="BG1838" s="391">
        <f>SUM($AV$1389:AV1838)</f>
        <v>3460.0931371208794</v>
      </c>
      <c r="BH1838" s="392">
        <f>SUM($AU$1389:AU1838)</f>
        <v>34207.380000000157</v>
      </c>
      <c r="BI1838" s="318">
        <f>SUMIFS($AU$1388:AU1839,$Q$1388:Q1839,"F")</f>
        <v>23748.400000000001</v>
      </c>
      <c r="BJ1838" s="318">
        <f>SUMIFS($AU$1388:AU1839,$Q$1388:Q1839,"S")</f>
        <v>6975.9999999999945</v>
      </c>
      <c r="BK1838" s="343">
        <f>SUMIFS($AU$1388:AU1839,$P$1388:P1839,"W")</f>
        <v>24573.58000000014</v>
      </c>
      <c r="BL1838" s="343">
        <f>SUMIFS($AU$1388:AU1839,$P$1388:P1839,"R")</f>
        <v>7997.9999999998608</v>
      </c>
      <c r="BM1838" s="343">
        <f>SUMIFS($AU$1388:AU1839,$AQ$1388:AQ1839,"M")</f>
        <v>6699.7799999998615</v>
      </c>
      <c r="BN1838" s="343">
        <f>SUMIFS($AU$1388:AU1839,$AQ$1388:AQ1839,"H")</f>
        <v>5159.2000000002827</v>
      </c>
      <c r="BO1838" s="343">
        <f>SUMIFS($AU$1388:AU1839,$AQ$1388:AQ1839,"D")</f>
        <v>10950</v>
      </c>
      <c r="BP1838" s="343">
        <f>SUMIFS($AU$1388:AU1926,$AQ$1388:AQ1926,"W")</f>
        <v>13472.599999999982</v>
      </c>
      <c r="BQ1838" s="343">
        <f>SUMIFS($AU$1388:AU1839,$Q$1388:Q1839,"O")</f>
        <v>2058.980000000161</v>
      </c>
      <c r="BR1838" s="343">
        <f>SUMIFS($AU$1388:AU1839,$AA$1388:AA1839,"*")</f>
        <v>24568.200000000041</v>
      </c>
      <c r="BS1838" s="343">
        <f>SUMIFS($AU$1388:AU1839,$AB$1388:AB1839,"*")</f>
        <v>9655.1799999999312</v>
      </c>
      <c r="BT1838" s="343">
        <f>SUMIFS($AU$1388:AU1839,$AC$1388:AC1839,"*")</f>
        <v>20228.400000000001</v>
      </c>
      <c r="BU1838" s="343">
        <f>SUMIFS($AU$1388:AU1839,$AA$1388:AA1839,"*",$AB$1388:AB1839,"*")</f>
        <v>5759.9999999998217</v>
      </c>
      <c r="BV1838" s="343">
        <f>SUMIFS($AU$1388:AU1839,$AA$1388:AA1839,"*",$AC$1388:AC1839,"*")</f>
        <v>13124.400000000001</v>
      </c>
      <c r="BW1838" s="343">
        <f>SUMIFS($AU$1388:AU1839,$AB$1388:AB1839,"*",$AC$1388:AC1839,"*")</f>
        <v>4639.9999999999982</v>
      </c>
      <c r="BX1838" s="343">
        <f>SUMIFS($AV$1388:AV1839,$Q$1388:Q1839,"F")</f>
        <v>456.63675319849239</v>
      </c>
      <c r="BY1838" s="343">
        <f>SUMIFS($AV$1388:AV1839,$Q$1388:Q1839,"S")</f>
        <v>376.81638392253404</v>
      </c>
      <c r="BZ1838" s="343">
        <f>SUMIFS($AV$1388:AV1839,$Q$1388:Q1839,"O")</f>
        <v>678.63999999984833</v>
      </c>
    </row>
    <row r="1839" spans="1:78" ht="15.75" customHeight="1">
      <c r="A1839" s="177" t="s">
        <v>5851</v>
      </c>
      <c r="B1839" s="200">
        <v>45400</v>
      </c>
      <c r="C1839" s="178" t="s">
        <v>2081</v>
      </c>
      <c r="D1839" s="178" t="s">
        <v>93</v>
      </c>
      <c r="E1839" s="227" t="s">
        <v>6120</v>
      </c>
      <c r="F1839" s="180"/>
      <c r="G1839" s="181"/>
      <c r="H1839" s="182"/>
      <c r="I1839" s="182"/>
      <c r="J1839" s="182"/>
      <c r="K1839" s="183"/>
      <c r="L1839" s="182"/>
      <c r="M1839" s="182"/>
      <c r="N1839" s="182"/>
      <c r="O1839" s="183"/>
      <c r="P1839" s="183"/>
      <c r="Q1839" s="183"/>
      <c r="R1839" s="183"/>
      <c r="S1839" s="183"/>
      <c r="T1839" s="183"/>
      <c r="U1839" s="183"/>
      <c r="V1839" s="183"/>
      <c r="W1839" s="183"/>
      <c r="X1839" s="183"/>
      <c r="Y1839" s="183"/>
      <c r="Z1839" s="183"/>
      <c r="AA1839" s="185"/>
      <c r="AB1839" s="185"/>
      <c r="AC1839" s="185"/>
      <c r="AD1839" s="649"/>
      <c r="AE1839" s="182"/>
      <c r="AF1839" s="332"/>
      <c r="AG1839" s="182"/>
      <c r="AH1839" s="182"/>
      <c r="AI1839" s="182"/>
      <c r="AJ1839" s="640"/>
      <c r="AK1839" s="182"/>
      <c r="AL1839" s="496">
        <f t="shared" si="527"/>
        <v>0</v>
      </c>
      <c r="AM1839" s="496">
        <f t="shared" si="591"/>
        <v>0</v>
      </c>
      <c r="AN1839" s="626"/>
      <c r="AO1839" s="182"/>
      <c r="AP1839" s="182"/>
      <c r="AQ1839" s="332" t="str">
        <f>UPPER(RIGHT(Journal_Live[[#This Row],[DURATION ]]))</f>
        <v/>
      </c>
      <c r="AR1839" s="182"/>
      <c r="AS1839" s="189"/>
      <c r="AT1839" s="189"/>
      <c r="AU1839" s="187"/>
      <c r="AV1839" s="190"/>
      <c r="AW1839" s="191"/>
      <c r="AX1839" s="551"/>
      <c r="AY1839" s="551"/>
      <c r="AZ1839" s="551"/>
      <c r="BA1839" s="551"/>
      <c r="BB1839" s="551"/>
      <c r="BC1839" s="551"/>
      <c r="BD1839" s="549"/>
      <c r="BE1839" s="550"/>
      <c r="BF1839" s="549"/>
      <c r="BG1839" s="391">
        <f>SUM($AV$1389:AV1839)</f>
        <v>3460.0931371208794</v>
      </c>
      <c r="BH1839" s="392">
        <f>SUM($AU$1389:AU1839)</f>
        <v>34207.380000000157</v>
      </c>
      <c r="BI1839" s="318">
        <f>SUMIFS($AU$1388:AU1840,$Q$1388:Q1840,"F")</f>
        <v>23748.400000000001</v>
      </c>
      <c r="BJ1839" s="318">
        <f>SUMIFS($AU$1388:AU1840,$Q$1388:Q1840,"S")</f>
        <v>6975.9999999999945</v>
      </c>
      <c r="BK1839" s="343">
        <f>SUMIFS($AU$1388:AU1840,$P$1388:P1840,"W")</f>
        <v>24573.58000000014</v>
      </c>
      <c r="BL1839" s="343">
        <f>SUMIFS($AU$1388:AU1840,$P$1388:P1840,"R")</f>
        <v>7997.9999999998608</v>
      </c>
      <c r="BM1839" s="343">
        <f>SUMIFS($AU$1388:AU1840,$AQ$1388:AQ1840,"M")</f>
        <v>6699.7799999998615</v>
      </c>
      <c r="BN1839" s="343">
        <f>SUMIFS($AU$1388:AU1840,$AQ$1388:AQ1840,"H")</f>
        <v>5159.2000000002827</v>
      </c>
      <c r="BO1839" s="343">
        <f>SUMIFS($AU$1388:AU1840,$AQ$1388:AQ1840,"D")</f>
        <v>10950</v>
      </c>
      <c r="BP1839" s="343">
        <f>SUMIFS($AU$1388:AU1927,$AQ$1388:AQ1927,"W")</f>
        <v>13472.599999999982</v>
      </c>
      <c r="BQ1839" s="343">
        <f>SUMIFS($AU$1388:AU1840,$Q$1388:Q1840,"O")</f>
        <v>2058.980000000161</v>
      </c>
      <c r="BR1839" s="343">
        <f>SUMIFS($AU$1388:AU1840,$AA$1388:AA1840,"*")</f>
        <v>24568.200000000041</v>
      </c>
      <c r="BS1839" s="343">
        <f>SUMIFS($AU$1388:AU1840,$AB$1388:AB1840,"*")</f>
        <v>9655.1799999999312</v>
      </c>
      <c r="BT1839" s="343">
        <f>SUMIFS($AU$1388:AU1840,$AC$1388:AC1840,"*")</f>
        <v>20228.400000000001</v>
      </c>
      <c r="BU1839" s="343">
        <f>SUMIFS($AU$1388:AU1840,$AA$1388:AA1840,"*",$AB$1388:AB1840,"*")</f>
        <v>5759.9999999998217</v>
      </c>
      <c r="BV1839" s="343">
        <f>SUMIFS($AU$1388:AU1840,$AA$1388:AA1840,"*",$AC$1388:AC1840,"*")</f>
        <v>13124.400000000001</v>
      </c>
      <c r="BW1839" s="343">
        <f>SUMIFS($AU$1388:AU1840,$AB$1388:AB1840,"*",$AC$1388:AC1840,"*")</f>
        <v>4639.9999999999982</v>
      </c>
      <c r="BX1839" s="343">
        <f>SUMIFS($AV$1388:AV1840,$Q$1388:Q1840,"F")</f>
        <v>456.63675319849239</v>
      </c>
      <c r="BY1839" s="343">
        <f>SUMIFS($AV$1388:AV1840,$Q$1388:Q1840,"S")</f>
        <v>376.81638392253404</v>
      </c>
      <c r="BZ1839" s="343">
        <f>SUMIFS($AV$1388:AV1840,$Q$1388:Q1840,"O")</f>
        <v>678.63999999984833</v>
      </c>
    </row>
    <row r="1840" spans="1:78" ht="15.75" customHeight="1">
      <c r="A1840" s="177" t="s">
        <v>5851</v>
      </c>
      <c r="B1840" s="200"/>
      <c r="C1840" s="178"/>
      <c r="D1840" s="178"/>
      <c r="E1840" s="227" t="s">
        <v>6121</v>
      </c>
      <c r="F1840" s="180"/>
      <c r="G1840" s="181"/>
      <c r="H1840" s="182"/>
      <c r="I1840" s="182"/>
      <c r="J1840" s="182"/>
      <c r="K1840" s="183"/>
      <c r="L1840" s="182"/>
      <c r="M1840" s="182"/>
      <c r="N1840" s="182"/>
      <c r="O1840" s="183"/>
      <c r="P1840" s="183"/>
      <c r="Q1840" s="183"/>
      <c r="R1840" s="183"/>
      <c r="S1840" s="183"/>
      <c r="T1840" s="183"/>
      <c r="U1840" s="183"/>
      <c r="V1840" s="183"/>
      <c r="W1840" s="183"/>
      <c r="X1840" s="183"/>
      <c r="Y1840" s="183"/>
      <c r="Z1840" s="183"/>
      <c r="AA1840" s="185"/>
      <c r="AB1840" s="185"/>
      <c r="AC1840" s="185"/>
      <c r="AD1840" s="649"/>
      <c r="AE1840" s="182"/>
      <c r="AF1840" s="332"/>
      <c r="AG1840" s="182"/>
      <c r="AH1840" s="182"/>
      <c r="AI1840" s="182"/>
      <c r="AJ1840" s="640"/>
      <c r="AK1840" s="182"/>
      <c r="AL1840" s="496">
        <f t="shared" si="527"/>
        <v>0</v>
      </c>
      <c r="AM1840" s="496">
        <f t="shared" si="591"/>
        <v>0</v>
      </c>
      <c r="AN1840" s="626"/>
      <c r="AO1840" s="182"/>
      <c r="AP1840" s="182"/>
      <c r="AQ1840" s="332" t="str">
        <f>UPPER(RIGHT(Journal_Live[[#This Row],[DURATION ]]))</f>
        <v/>
      </c>
      <c r="AR1840" s="182"/>
      <c r="AS1840" s="189"/>
      <c r="AT1840" s="189"/>
      <c r="AU1840" s="187"/>
      <c r="AV1840" s="190"/>
      <c r="AW1840" s="191"/>
      <c r="AX1840" s="551"/>
      <c r="AY1840" s="551"/>
      <c r="AZ1840" s="551"/>
      <c r="BA1840" s="551"/>
      <c r="BB1840" s="551"/>
      <c r="BC1840" s="551"/>
      <c r="BD1840" s="549"/>
      <c r="BE1840" s="550"/>
      <c r="BF1840" s="549"/>
      <c r="BG1840" s="391">
        <f>SUM($AV$1389:AV1840)</f>
        <v>3460.0931371208794</v>
      </c>
      <c r="BH1840" s="392">
        <f>SUM($AU$1389:AU1840)</f>
        <v>34207.380000000157</v>
      </c>
      <c r="BI1840" s="318">
        <f>SUMIFS($AU$1388:AU1841,$Q$1388:Q1841,"F")</f>
        <v>23748.400000000001</v>
      </c>
      <c r="BJ1840" s="318">
        <f>SUMIFS($AU$1388:AU1841,$Q$1388:Q1841,"S")</f>
        <v>8175.9999999999945</v>
      </c>
      <c r="BK1840" s="343">
        <f>SUMIFS($AU$1388:AU1841,$P$1388:P1841,"W")</f>
        <v>24573.58000000014</v>
      </c>
      <c r="BL1840" s="343">
        <f>SUMIFS($AU$1388:AU1841,$P$1388:P1841,"R")</f>
        <v>9197.9999999998618</v>
      </c>
      <c r="BM1840" s="343">
        <f>SUMIFS($AU$1388:AU1841,$AQ$1388:AQ1841,"M")</f>
        <v>6699.7799999998615</v>
      </c>
      <c r="BN1840" s="343">
        <f>SUMIFS($AU$1388:AU1841,$AQ$1388:AQ1841,"H")</f>
        <v>5159.2000000002827</v>
      </c>
      <c r="BO1840" s="343">
        <f>SUMIFS($AU$1388:AU1841,$AQ$1388:AQ1841,"D")</f>
        <v>12150</v>
      </c>
      <c r="BP1840" s="343">
        <f>SUMIFS($AU$1388:AU1928,$AQ$1388:AQ1928,"W")</f>
        <v>13472.599999999982</v>
      </c>
      <c r="BQ1840" s="343">
        <f>SUMIFS($AU$1388:AU1841,$Q$1388:Q1841,"O")</f>
        <v>2058.980000000161</v>
      </c>
      <c r="BR1840" s="343">
        <f>SUMIFS($AU$1388:AU1841,$AA$1388:AA1841,"*")</f>
        <v>25768.200000000041</v>
      </c>
      <c r="BS1840" s="343">
        <f>SUMIFS($AU$1388:AU1841,$AB$1388:AB1841,"*")</f>
        <v>9655.1799999999312</v>
      </c>
      <c r="BT1840" s="343">
        <f>SUMIFS($AU$1388:AU1841,$AC$1388:AC1841,"*")</f>
        <v>21428.400000000001</v>
      </c>
      <c r="BU1840" s="343">
        <f>SUMIFS($AU$1388:AU1841,$AA$1388:AA1841,"*",$AB$1388:AB1841,"*")</f>
        <v>5759.9999999998217</v>
      </c>
      <c r="BV1840" s="343">
        <f>SUMIFS($AU$1388:AU1841,$AA$1388:AA1841,"*",$AC$1388:AC1841,"*")</f>
        <v>14324.400000000001</v>
      </c>
      <c r="BW1840" s="343">
        <f>SUMIFS($AU$1388:AU1841,$AB$1388:AB1841,"*",$AC$1388:AC1841,"*")</f>
        <v>4639.9999999999982</v>
      </c>
      <c r="BX1840" s="343">
        <f>SUMIFS($AV$1388:AV1841,$Q$1388:Q1841,"F")</f>
        <v>456.63675319849239</v>
      </c>
      <c r="BY1840" s="343">
        <f>SUMIFS($AV$1388:AV1841,$Q$1388:Q1841,"S")</f>
        <v>392.81638392253404</v>
      </c>
      <c r="BZ1840" s="343">
        <f>SUMIFS($AV$1388:AV1841,$Q$1388:Q1841,"O")</f>
        <v>678.63999999984833</v>
      </c>
    </row>
    <row r="1841" spans="1:78" ht="15.75" customHeight="1">
      <c r="A1841" s="177" t="s">
        <v>5851</v>
      </c>
      <c r="B1841" s="200">
        <v>45400</v>
      </c>
      <c r="C1841" s="178" t="s">
        <v>6122</v>
      </c>
      <c r="D1841" s="178" t="s">
        <v>93</v>
      </c>
      <c r="E1841" s="227"/>
      <c r="F1841" s="180"/>
      <c r="G1841" s="481" t="s">
        <v>5633</v>
      </c>
      <c r="H1841" s="182"/>
      <c r="I1841" s="182"/>
      <c r="J1841" s="182"/>
      <c r="K1841" s="183"/>
      <c r="L1841" s="182">
        <v>1</v>
      </c>
      <c r="M1841" s="182"/>
      <c r="N1841" s="182"/>
      <c r="O1841" s="183" t="s">
        <v>95</v>
      </c>
      <c r="P1841" s="183" t="s">
        <v>137</v>
      </c>
      <c r="Q1841" s="183" t="s">
        <v>97</v>
      </c>
      <c r="R1841" s="183">
        <v>75</v>
      </c>
      <c r="S1841" s="559">
        <v>0</v>
      </c>
      <c r="T1841" s="183">
        <v>75</v>
      </c>
      <c r="U1841" s="183" t="s">
        <v>22</v>
      </c>
      <c r="V1841" s="183"/>
      <c r="W1841" s="183"/>
      <c r="X1841" s="183"/>
      <c r="Y1841" s="184">
        <f>IF(ISBLANK(O1841),"",(IF(O1841=UPPER("IB"),0.005,0.01)))</f>
        <v>0.01</v>
      </c>
      <c r="Z1841" s="185">
        <f>IF(ISBLANK(O1841),"",IF(O1841="IB",8.63*200,IF(O1841="IR",16*100,IF(O1841="YT",20*100,IF(O1841="YT-XT",24*200,IF(O1841="TED",80*100,IF(O1841="XT",29*200)))))))</f>
        <v>1600</v>
      </c>
      <c r="AA1841" s="185" t="s">
        <v>6123</v>
      </c>
      <c r="AB1841" s="185"/>
      <c r="AC1841" s="185" t="s">
        <v>5818</v>
      </c>
      <c r="AD1841" s="649">
        <v>-0.04</v>
      </c>
      <c r="AE1841" s="182"/>
      <c r="AF1841" s="332"/>
      <c r="AG1841" s="182"/>
      <c r="AH1841" s="182"/>
      <c r="AI1841" s="182"/>
      <c r="AJ1841" s="640"/>
      <c r="AK1841" s="182"/>
      <c r="AL1841" s="496">
        <f t="shared" si="527"/>
        <v>-32</v>
      </c>
      <c r="AM1841" s="496">
        <f t="shared" si="591"/>
        <v>-2400</v>
      </c>
      <c r="AN1841" s="626"/>
      <c r="AO1841" s="182"/>
      <c r="AP1841" s="182" t="s">
        <v>770</v>
      </c>
      <c r="AQ1841" s="332" t="s">
        <v>115</v>
      </c>
      <c r="AR1841" s="182"/>
      <c r="AS1841" s="189">
        <v>-0.03</v>
      </c>
      <c r="AT1841" s="189">
        <f>IF(ISBLANK(AS1841),,IF(U1841="S",AD1841-AS1841,AS1841-AD1841))</f>
        <v>1.0000000000000002E-2</v>
      </c>
      <c r="AU1841" s="187">
        <f>AV1841*R1841</f>
        <v>1200.0000000000002</v>
      </c>
      <c r="AV1841" s="190">
        <f t="shared" ref="AV1841:AV1842" si="599">IF(ISBLANK(AS1841),,(AT1841*Z1841))</f>
        <v>16.000000000000004</v>
      </c>
      <c r="AW1841" s="191" t="s">
        <v>96</v>
      </c>
      <c r="AX1841" s="551"/>
      <c r="AY1841" s="551"/>
      <c r="AZ1841" s="551"/>
      <c r="BA1841" s="551"/>
      <c r="BB1841" s="551"/>
      <c r="BC1841" s="551"/>
      <c r="BD1841" s="549"/>
      <c r="BE1841" s="550"/>
      <c r="BF1841" s="549"/>
      <c r="BG1841" s="391">
        <f>SUM($AV$1389:AV1841)</f>
        <v>3476.0931371208794</v>
      </c>
      <c r="BH1841" s="392">
        <f>SUM($AU$1389:AU1841)</f>
        <v>35407.380000000157</v>
      </c>
      <c r="BI1841" s="318">
        <f>SUMIFS($AU$1388:AU1842,$Q$1388:Q1842,"F")</f>
        <v>23748.400000000001</v>
      </c>
      <c r="BJ1841" s="318">
        <f>SUMIFS($AU$1388:AU1842,$Q$1388:Q1842,"S")</f>
        <v>8175.9999999999945</v>
      </c>
      <c r="BK1841" s="343">
        <f>SUMIFS($AU$1388:AU1842,$P$1388:P1842,"W")</f>
        <v>24573.58000000014</v>
      </c>
      <c r="BL1841" s="343">
        <f>SUMIFS($AU$1388:AU1842,$P$1388:P1842,"R")</f>
        <v>9197.9999999998618</v>
      </c>
      <c r="BM1841" s="343">
        <f>SUMIFS($AU$1388:AU1842,$AQ$1388:AQ1842,"M")</f>
        <v>6525.7799999998551</v>
      </c>
      <c r="BN1841" s="343">
        <f>SUMIFS($AU$1388:AU1842,$AQ$1388:AQ1842,"H")</f>
        <v>5159.2000000002827</v>
      </c>
      <c r="BO1841" s="343">
        <f>SUMIFS($AU$1388:AU1842,$AQ$1388:AQ1842,"D")</f>
        <v>12150</v>
      </c>
      <c r="BP1841" s="343">
        <f>SUMIFS($AU$1388:AU1929,$AQ$1388:AQ1929,"W")</f>
        <v>13472.599999999982</v>
      </c>
      <c r="BQ1841" s="343">
        <f>SUMIFS($AU$1388:AU1842,$Q$1388:Q1842,"O")</f>
        <v>1884.9800000001544</v>
      </c>
      <c r="BR1841" s="343">
        <f>SUMIFS($AU$1388:AU1842,$AA$1388:AA1842,"*")</f>
        <v>25594.200000000033</v>
      </c>
      <c r="BS1841" s="343">
        <f>SUMIFS($AU$1388:AU1842,$AB$1388:AB1842,"*")</f>
        <v>9655.1799999999312</v>
      </c>
      <c r="BT1841" s="343">
        <f>SUMIFS($AU$1388:AU1842,$AC$1388:AC1842,"*")</f>
        <v>21428.400000000001</v>
      </c>
      <c r="BU1841" s="343">
        <f>SUMIFS($AU$1388:AU1842,$AA$1388:AA1842,"*",$AB$1388:AB1842,"*")</f>
        <v>5759.9999999998217</v>
      </c>
      <c r="BV1841" s="343">
        <f>SUMIFS($AU$1388:AU1842,$AA$1388:AA1842,"*",$AC$1388:AC1842,"*")</f>
        <v>14324.400000000001</v>
      </c>
      <c r="BW1841" s="343">
        <f>SUMIFS($AU$1388:AU1842,$AB$1388:AB1842,"*",$AC$1388:AC1842,"*")</f>
        <v>4639.9999999999982</v>
      </c>
      <c r="BX1841" s="343">
        <f>SUMIFS($AV$1388:AV1842,$Q$1388:Q1842,"F")</f>
        <v>456.63675319849239</v>
      </c>
      <c r="BY1841" s="343">
        <f>SUMIFS($AV$1388:AV1842,$Q$1388:Q1842,"S")</f>
        <v>392.81638392253404</v>
      </c>
      <c r="BZ1841" s="343">
        <f>SUMIFS($AV$1388:AV1842,$Q$1388:Q1842,"O")</f>
        <v>591.63999999984503</v>
      </c>
    </row>
    <row r="1842" spans="1:78" ht="15.75" customHeight="1">
      <c r="A1842" s="177" t="s">
        <v>5851</v>
      </c>
      <c r="B1842" s="200">
        <v>45400</v>
      </c>
      <c r="C1842" s="178" t="s">
        <v>682</v>
      </c>
      <c r="D1842" s="178" t="s">
        <v>93</v>
      </c>
      <c r="E1842" s="227"/>
      <c r="F1842" s="180"/>
      <c r="G1842" s="181" t="s">
        <v>5723</v>
      </c>
      <c r="H1842" s="182"/>
      <c r="I1842" s="182"/>
      <c r="J1842" s="182">
        <v>1</v>
      </c>
      <c r="K1842" s="183"/>
      <c r="L1842" s="182">
        <v>3</v>
      </c>
      <c r="M1842" s="182"/>
      <c r="N1842" s="182"/>
      <c r="O1842" s="183" t="s">
        <v>3618</v>
      </c>
      <c r="P1842" s="183" t="s">
        <v>2260</v>
      </c>
      <c r="Q1842" s="183" t="s">
        <v>684</v>
      </c>
      <c r="R1842" s="183">
        <v>2</v>
      </c>
      <c r="S1842" s="183">
        <v>0</v>
      </c>
      <c r="T1842" s="183">
        <v>2</v>
      </c>
      <c r="U1842" s="183" t="s">
        <v>22</v>
      </c>
      <c r="V1842" s="183"/>
      <c r="W1842" s="183"/>
      <c r="X1842" s="183"/>
      <c r="Y1842" s="184">
        <f>IF(ISBLANK(O1842),"",(IF(O1842=UPPER("IB"),0.005,0.01)))</f>
        <v>0.01</v>
      </c>
      <c r="Z1842" s="185">
        <f>IF(ISBLANK(O1842),"",IF(O1842="IB",8.63*200,IF(O1842="IR",16*100,IF(O1842="YT",20*100,IF(O1842="YT-XT",24*200,IF(O1842="TED",80*100,IF(O1842="XT",29*200)))))))</f>
        <v>5800</v>
      </c>
      <c r="AA1842" s="185" t="s">
        <v>1096</v>
      </c>
      <c r="AB1842" s="185"/>
      <c r="AC1842" s="185"/>
      <c r="AD1842" s="649">
        <v>95.65</v>
      </c>
      <c r="AE1842" s="182"/>
      <c r="AF1842" s="332"/>
      <c r="AG1842" s="182"/>
      <c r="AH1842" s="182"/>
      <c r="AI1842" s="182"/>
      <c r="AJ1842" s="640"/>
      <c r="AK1842" s="182"/>
      <c r="AL1842" s="496">
        <f t="shared" ref="AL1842:AL1859" si="600">-0.02*Z1842</f>
        <v>-116</v>
      </c>
      <c r="AM1842" s="496">
        <f t="shared" si="591"/>
        <v>-232</v>
      </c>
      <c r="AN1842" s="626"/>
      <c r="AO1842" s="182"/>
      <c r="AP1842" s="182"/>
      <c r="AQ1842" s="332" t="s">
        <v>1259</v>
      </c>
      <c r="AR1842" s="182"/>
      <c r="AS1842" s="189">
        <v>95.635000000000005</v>
      </c>
      <c r="AT1842" s="189">
        <f>IF(ISBLANK(AS1842),,IF(U1842="S",AD1842-AS1842,AS1842-AD1842))</f>
        <v>-1.5000000000000568E-2</v>
      </c>
      <c r="AU1842" s="187">
        <f>AV1842*R1842</f>
        <v>-174.00000000000659</v>
      </c>
      <c r="AV1842" s="190">
        <f t="shared" si="599"/>
        <v>-87.000000000003297</v>
      </c>
      <c r="AW1842" s="191" t="s">
        <v>229</v>
      </c>
      <c r="AX1842" s="551" t="s">
        <v>6124</v>
      </c>
      <c r="AY1842" s="551" t="s">
        <v>6125</v>
      </c>
      <c r="AZ1842" s="551" t="s">
        <v>6126</v>
      </c>
      <c r="BA1842" s="551"/>
      <c r="BB1842" s="551"/>
      <c r="BC1842" s="551"/>
      <c r="BD1842" s="549"/>
      <c r="BE1842" s="550"/>
      <c r="BF1842" s="549"/>
      <c r="BG1842" s="391">
        <f>SUM($AV$1389:AV1842)</f>
        <v>3389.0931371208762</v>
      </c>
      <c r="BH1842" s="392">
        <f>SUM($AU$1389:AU1842)</f>
        <v>35233.38000000015</v>
      </c>
      <c r="BI1842" s="318">
        <f>SUMIFS($AU$1388:AU1843,$Q$1388:Q1843,"F")</f>
        <v>23748.400000000001</v>
      </c>
      <c r="BJ1842" s="318">
        <f>SUMIFS($AU$1388:AU1843,$Q$1388:Q1843,"S")</f>
        <v>8175.9999999999945</v>
      </c>
      <c r="BK1842" s="343">
        <f>SUMIFS($AU$1388:AU1843,$P$1388:P1843,"W")</f>
        <v>24573.58000000014</v>
      </c>
      <c r="BL1842" s="343">
        <f>SUMIFS($AU$1388:AU1843,$P$1388:P1843,"R")</f>
        <v>9197.9999999998618</v>
      </c>
      <c r="BM1842" s="343">
        <f>SUMIFS($AU$1388:AU1843,$AQ$1388:AQ1843,"M")</f>
        <v>6525.7799999998551</v>
      </c>
      <c r="BN1842" s="343">
        <f>SUMIFS($AU$1388:AU1843,$AQ$1388:AQ1843,"H")</f>
        <v>5159.2000000002827</v>
      </c>
      <c r="BO1842" s="343">
        <f>SUMIFS($AU$1388:AU1843,$AQ$1388:AQ1843,"D")</f>
        <v>12150</v>
      </c>
      <c r="BP1842" s="343">
        <f>SUMIFS($AU$1388:AU1930,$AQ$1388:AQ1930,"W")</f>
        <v>13472.599999999982</v>
      </c>
      <c r="BQ1842" s="343">
        <f>SUMIFS($AU$1388:AU1843,$Q$1388:Q1843,"O")</f>
        <v>1884.9800000001544</v>
      </c>
      <c r="BR1842" s="343">
        <f>SUMIFS($AU$1388:AU1843,$AA$1388:AA1843,"*")</f>
        <v>25594.200000000033</v>
      </c>
      <c r="BS1842" s="343">
        <f>SUMIFS($AU$1388:AU1843,$AB$1388:AB1843,"*")</f>
        <v>9655.1799999999312</v>
      </c>
      <c r="BT1842" s="343">
        <f>SUMIFS($AU$1388:AU1843,$AC$1388:AC1843,"*")</f>
        <v>21428.400000000001</v>
      </c>
      <c r="BU1842" s="343">
        <f>SUMIFS($AU$1388:AU1843,$AA$1388:AA1843,"*",$AB$1388:AB1843,"*")</f>
        <v>5759.9999999998217</v>
      </c>
      <c r="BV1842" s="343">
        <f>SUMIFS($AU$1388:AU1843,$AA$1388:AA1843,"*",$AC$1388:AC1843,"*")</f>
        <v>14324.400000000001</v>
      </c>
      <c r="BW1842" s="343">
        <f>SUMIFS($AU$1388:AU1843,$AB$1388:AB1843,"*",$AC$1388:AC1843,"*")</f>
        <v>4639.9999999999982</v>
      </c>
      <c r="BX1842" s="343">
        <f>SUMIFS($AV$1388:AV1843,$Q$1388:Q1843,"F")</f>
        <v>456.63675319849239</v>
      </c>
      <c r="BY1842" s="343">
        <f>SUMIFS($AV$1388:AV1843,$Q$1388:Q1843,"S")</f>
        <v>392.81638392253404</v>
      </c>
      <c r="BZ1842" s="343">
        <f>SUMIFS($AV$1388:AV1843,$Q$1388:Q1843,"O")</f>
        <v>591.63999999984503</v>
      </c>
    </row>
    <row r="1843" spans="1:78" ht="15.75" customHeight="1">
      <c r="A1843" s="177" t="s">
        <v>5851</v>
      </c>
      <c r="B1843" s="200"/>
      <c r="C1843" s="178"/>
      <c r="D1843" s="178"/>
      <c r="E1843" s="227"/>
      <c r="F1843" s="180"/>
      <c r="G1843" s="181"/>
      <c r="H1843" s="182"/>
      <c r="I1843" s="182"/>
      <c r="J1843" s="182"/>
      <c r="K1843" s="183"/>
      <c r="L1843" s="182"/>
      <c r="M1843" s="182"/>
      <c r="N1843" s="182"/>
      <c r="O1843" s="183"/>
      <c r="P1843" s="183"/>
      <c r="Q1843" s="183"/>
      <c r="R1843" s="183"/>
      <c r="S1843" s="183"/>
      <c r="T1843" s="183"/>
      <c r="U1843" s="183"/>
      <c r="V1843" s="183"/>
      <c r="W1843" s="183"/>
      <c r="X1843" s="183"/>
      <c r="Y1843" s="183"/>
      <c r="Z1843" s="183"/>
      <c r="AA1843" s="185"/>
      <c r="AB1843" s="185"/>
      <c r="AC1843" s="185"/>
      <c r="AD1843" s="649"/>
      <c r="AE1843" s="182"/>
      <c r="AF1843" s="332"/>
      <c r="AG1843" s="182"/>
      <c r="AH1843" s="182"/>
      <c r="AI1843" s="182"/>
      <c r="AJ1843" s="640"/>
      <c r="AK1843" s="182"/>
      <c r="AL1843" s="496">
        <f t="shared" si="600"/>
        <v>0</v>
      </c>
      <c r="AM1843" s="496">
        <f t="shared" si="591"/>
        <v>0</v>
      </c>
      <c r="AN1843" s="626"/>
      <c r="AO1843" s="182"/>
      <c r="AP1843" s="182"/>
      <c r="AQ1843" s="332" t="str">
        <f>UPPER(RIGHT(Journal_Live[[#This Row],[DURATION ]]))</f>
        <v/>
      </c>
      <c r="AR1843" s="182"/>
      <c r="AS1843" s="189"/>
      <c r="AT1843" s="189"/>
      <c r="AU1843" s="187"/>
      <c r="AV1843" s="190"/>
      <c r="AW1843" s="191"/>
      <c r="AX1843" s="551" t="s">
        <v>6127</v>
      </c>
      <c r="AY1843" s="551" t="s">
        <v>6128</v>
      </c>
      <c r="AZ1843" s="551" t="s">
        <v>6129</v>
      </c>
      <c r="BA1843" s="551"/>
      <c r="BB1843" s="551"/>
      <c r="BC1843" s="551"/>
      <c r="BD1843" s="549"/>
      <c r="BE1843" s="550"/>
      <c r="BF1843" s="549"/>
      <c r="BG1843" s="391">
        <f>SUM($AV$1389:AV1843)</f>
        <v>3389.0931371208762</v>
      </c>
      <c r="BH1843" s="392">
        <f>SUM($AU$1389:AU1843)</f>
        <v>35233.38000000015</v>
      </c>
      <c r="BI1843" s="318">
        <f>SUMIFS($AU$1388:AU1844,$Q$1388:Q1844,"F")</f>
        <v>23748.400000000001</v>
      </c>
      <c r="BJ1843" s="318">
        <f>SUMIFS($AU$1388:AU1844,$Q$1388:Q1844,"S")</f>
        <v>8175.9999999999945</v>
      </c>
      <c r="BK1843" s="343">
        <f>SUMIFS($AU$1388:AU1844,$P$1388:P1844,"W")</f>
        <v>24573.58000000014</v>
      </c>
      <c r="BL1843" s="343">
        <f>SUMIFS($AU$1388:AU1844,$P$1388:P1844,"R")</f>
        <v>9197.9999999998618</v>
      </c>
      <c r="BM1843" s="343">
        <f>SUMIFS($AU$1388:AU1844,$AQ$1388:AQ1844,"M")</f>
        <v>6525.7799999998551</v>
      </c>
      <c r="BN1843" s="343">
        <f>SUMIFS($AU$1388:AU1844,$AQ$1388:AQ1844,"H")</f>
        <v>5159.2000000002827</v>
      </c>
      <c r="BO1843" s="343">
        <f>SUMIFS($AU$1388:AU1844,$AQ$1388:AQ1844,"D")</f>
        <v>12150</v>
      </c>
      <c r="BP1843" s="343">
        <f>SUMIFS($AU$1388:AU1931,$AQ$1388:AQ1931,"W")</f>
        <v>13472.599999999982</v>
      </c>
      <c r="BQ1843" s="343">
        <f>SUMIFS($AU$1388:AU1844,$Q$1388:Q1844,"O")</f>
        <v>1884.9800000001544</v>
      </c>
      <c r="BR1843" s="343">
        <f>SUMIFS($AU$1388:AU1844,$AA$1388:AA1844,"*")</f>
        <v>25594.200000000033</v>
      </c>
      <c r="BS1843" s="343">
        <f>SUMIFS($AU$1388:AU1844,$AB$1388:AB1844,"*")</f>
        <v>9655.1799999999312</v>
      </c>
      <c r="BT1843" s="343">
        <f>SUMIFS($AU$1388:AU1844,$AC$1388:AC1844,"*")</f>
        <v>21428.400000000001</v>
      </c>
      <c r="BU1843" s="343">
        <f>SUMIFS($AU$1388:AU1844,$AA$1388:AA1844,"*",$AB$1388:AB1844,"*")</f>
        <v>5759.9999999998217</v>
      </c>
      <c r="BV1843" s="343">
        <f>SUMIFS($AU$1388:AU1844,$AA$1388:AA1844,"*",$AC$1388:AC1844,"*")</f>
        <v>14324.400000000001</v>
      </c>
      <c r="BW1843" s="343">
        <f>SUMIFS($AU$1388:AU1844,$AB$1388:AB1844,"*",$AC$1388:AC1844,"*")</f>
        <v>4639.9999999999982</v>
      </c>
      <c r="BX1843" s="343">
        <f>SUMIFS($AV$1388:AV1844,$Q$1388:Q1844,"F")</f>
        <v>456.63675319849239</v>
      </c>
      <c r="BY1843" s="343">
        <f>SUMIFS($AV$1388:AV1844,$Q$1388:Q1844,"S")</f>
        <v>392.81638392253404</v>
      </c>
      <c r="BZ1843" s="343">
        <f>SUMIFS($AV$1388:AV1844,$Q$1388:Q1844,"O")</f>
        <v>591.63999999984503</v>
      </c>
    </row>
    <row r="1844" spans="1:78" ht="15.75" customHeight="1">
      <c r="A1844" s="177" t="s">
        <v>5851</v>
      </c>
      <c r="B1844" s="200"/>
      <c r="C1844" s="178"/>
      <c r="D1844" s="178"/>
      <c r="E1844" s="227"/>
      <c r="F1844" s="180"/>
      <c r="G1844" s="181"/>
      <c r="H1844" s="182"/>
      <c r="I1844" s="182"/>
      <c r="J1844" s="182"/>
      <c r="K1844" s="183"/>
      <c r="L1844" s="182"/>
      <c r="M1844" s="182"/>
      <c r="N1844" s="182"/>
      <c r="O1844" s="183"/>
      <c r="P1844" s="183"/>
      <c r="Q1844" s="183"/>
      <c r="R1844" s="183"/>
      <c r="S1844" s="183"/>
      <c r="T1844" s="183"/>
      <c r="U1844" s="183"/>
      <c r="V1844" s="183"/>
      <c r="W1844" s="183"/>
      <c r="X1844" s="183"/>
      <c r="Y1844" s="183"/>
      <c r="Z1844" s="183"/>
      <c r="AA1844" s="185"/>
      <c r="AB1844" s="185"/>
      <c r="AC1844" s="185"/>
      <c r="AD1844" s="649"/>
      <c r="AE1844" s="182"/>
      <c r="AF1844" s="332"/>
      <c r="AG1844" s="182"/>
      <c r="AH1844" s="182"/>
      <c r="AI1844" s="182"/>
      <c r="AJ1844" s="640"/>
      <c r="AK1844" s="182"/>
      <c r="AL1844" s="496">
        <f t="shared" si="600"/>
        <v>0</v>
      </c>
      <c r="AM1844" s="496">
        <f t="shared" si="591"/>
        <v>0</v>
      </c>
      <c r="AN1844" s="626"/>
      <c r="AO1844" s="182"/>
      <c r="AP1844" s="182"/>
      <c r="AQ1844" s="332" t="str">
        <f>UPPER(RIGHT(Journal_Live[[#This Row],[DURATION ]]))</f>
        <v/>
      </c>
      <c r="AR1844" s="182"/>
      <c r="AS1844" s="189"/>
      <c r="AT1844" s="189"/>
      <c r="AU1844" s="187"/>
      <c r="AV1844" s="190"/>
      <c r="AW1844" s="191"/>
      <c r="AX1844" s="568" t="s">
        <v>6130</v>
      </c>
      <c r="AY1844" s="567" t="s">
        <v>6131</v>
      </c>
      <c r="AZ1844" s="567" t="s">
        <v>6132</v>
      </c>
      <c r="BA1844" s="551" t="s">
        <v>6133</v>
      </c>
      <c r="BB1844" s="551"/>
      <c r="BC1844" s="551"/>
      <c r="BD1844" s="549"/>
      <c r="BE1844" s="550"/>
      <c r="BF1844" s="549"/>
      <c r="BG1844" s="391">
        <f>SUM($AV$1389:AV1844)</f>
        <v>3389.0931371208762</v>
      </c>
      <c r="BH1844" s="392">
        <f>SUM($AU$1389:AU1844)</f>
        <v>35233.38000000015</v>
      </c>
      <c r="BI1844" s="318">
        <f>SUMIFS($AU$1388:AU1845,$Q$1388:Q1845,"F")</f>
        <v>23748.400000000001</v>
      </c>
      <c r="BJ1844" s="318">
        <f>SUMIFS($AU$1388:AU1845,$Q$1388:Q1845,"S")</f>
        <v>8175.9999999999945</v>
      </c>
      <c r="BK1844" s="343">
        <f>SUMIFS($AU$1388:AU1845,$P$1388:P1845,"W")</f>
        <v>24573.58000000014</v>
      </c>
      <c r="BL1844" s="343">
        <f>SUMIFS($AU$1388:AU1845,$P$1388:P1845,"R")</f>
        <v>9197.9999999998618</v>
      </c>
      <c r="BM1844" s="343">
        <f>SUMIFS($AU$1388:AU1845,$AQ$1388:AQ1845,"M")</f>
        <v>6525.7799999998551</v>
      </c>
      <c r="BN1844" s="343">
        <f>SUMIFS($AU$1388:AU1845,$AQ$1388:AQ1845,"H")</f>
        <v>5159.2000000002827</v>
      </c>
      <c r="BO1844" s="343">
        <f>SUMIFS($AU$1388:AU1845,$AQ$1388:AQ1845,"D")</f>
        <v>12150</v>
      </c>
      <c r="BP1844" s="343">
        <f>SUMIFS($AU$1388:AU1932,$AQ$1388:AQ1932,"W")</f>
        <v>13472.599999999982</v>
      </c>
      <c r="BQ1844" s="343">
        <f>SUMIFS($AU$1388:AU1845,$Q$1388:Q1845,"O")</f>
        <v>1884.9800000001544</v>
      </c>
      <c r="BR1844" s="343">
        <f>SUMIFS($AU$1388:AU1845,$AA$1388:AA1845,"*")</f>
        <v>25594.200000000033</v>
      </c>
      <c r="BS1844" s="343">
        <f>SUMIFS($AU$1388:AU1845,$AB$1388:AB1845,"*")</f>
        <v>9655.1799999999312</v>
      </c>
      <c r="BT1844" s="343">
        <f>SUMIFS($AU$1388:AU1845,$AC$1388:AC1845,"*")</f>
        <v>21428.400000000001</v>
      </c>
      <c r="BU1844" s="343">
        <f>SUMIFS($AU$1388:AU1845,$AA$1388:AA1845,"*",$AB$1388:AB1845,"*")</f>
        <v>5759.9999999998217</v>
      </c>
      <c r="BV1844" s="343">
        <f>SUMIFS($AU$1388:AU1845,$AA$1388:AA1845,"*",$AC$1388:AC1845,"*")</f>
        <v>14324.400000000001</v>
      </c>
      <c r="BW1844" s="343">
        <f>SUMIFS($AU$1388:AU1845,$AB$1388:AB1845,"*",$AC$1388:AC1845,"*")</f>
        <v>4639.9999999999982</v>
      </c>
      <c r="BX1844" s="343">
        <f>SUMIFS($AV$1388:AV1845,$Q$1388:Q1845,"F")</f>
        <v>456.63675319849239</v>
      </c>
      <c r="BY1844" s="343">
        <f>SUMIFS($AV$1388:AV1845,$Q$1388:Q1845,"S")</f>
        <v>392.81638392253404</v>
      </c>
      <c r="BZ1844" s="343">
        <f>SUMIFS($AV$1388:AV1845,$Q$1388:Q1845,"O")</f>
        <v>591.63999999984503</v>
      </c>
    </row>
    <row r="1845" spans="1:78" ht="15.75" customHeight="1">
      <c r="A1845" s="177" t="s">
        <v>5851</v>
      </c>
      <c r="B1845" s="200"/>
      <c r="C1845" s="178"/>
      <c r="D1845" s="178"/>
      <c r="E1845" s="227"/>
      <c r="F1845" s="180"/>
      <c r="G1845" s="181"/>
      <c r="H1845" s="182"/>
      <c r="I1845" s="182"/>
      <c r="J1845" s="182"/>
      <c r="K1845" s="183"/>
      <c r="L1845" s="182"/>
      <c r="M1845" s="182"/>
      <c r="N1845" s="182"/>
      <c r="O1845" s="183"/>
      <c r="P1845" s="183"/>
      <c r="Q1845" s="183"/>
      <c r="R1845" s="183"/>
      <c r="S1845" s="183"/>
      <c r="T1845" s="183"/>
      <c r="U1845" s="183"/>
      <c r="V1845" s="183"/>
      <c r="W1845" s="183"/>
      <c r="X1845" s="183"/>
      <c r="Y1845" s="183"/>
      <c r="Z1845" s="183"/>
      <c r="AA1845" s="185"/>
      <c r="AB1845" s="185"/>
      <c r="AC1845" s="185"/>
      <c r="AD1845" s="649"/>
      <c r="AE1845" s="182"/>
      <c r="AF1845" s="332"/>
      <c r="AG1845" s="182"/>
      <c r="AH1845" s="182"/>
      <c r="AI1845" s="182"/>
      <c r="AJ1845" s="640"/>
      <c r="AK1845" s="182"/>
      <c r="AL1845" s="496">
        <f t="shared" ref="AL1845:AL1856" si="601">-0.02*Z1845</f>
        <v>0</v>
      </c>
      <c r="AM1845" s="496">
        <f t="shared" si="591"/>
        <v>0</v>
      </c>
      <c r="AN1845" s="626"/>
      <c r="AO1845" s="182"/>
      <c r="AP1845" s="182"/>
      <c r="AQ1845" s="332" t="str">
        <f>UPPER(RIGHT(Journal_Live[[#This Row],[DURATION ]]))</f>
        <v/>
      </c>
      <c r="AR1845" s="182"/>
      <c r="AS1845" s="189"/>
      <c r="AT1845" s="189"/>
      <c r="AU1845" s="187"/>
      <c r="AV1845" s="190"/>
      <c r="AW1845" s="191"/>
      <c r="AX1845" s="551" t="s">
        <v>6134</v>
      </c>
      <c r="AY1845" s="551" t="s">
        <v>6135</v>
      </c>
      <c r="AZ1845" s="551"/>
      <c r="BA1845" s="551"/>
      <c r="BB1845" s="551"/>
      <c r="BC1845" s="551"/>
      <c r="BD1845" s="549"/>
      <c r="BE1845" s="550"/>
      <c r="BF1845" s="549"/>
      <c r="BG1845" s="391">
        <f>SUM($AV$1389:AV1845)</f>
        <v>3389.0931371208762</v>
      </c>
      <c r="BH1845" s="392">
        <f>SUM($AU$1389:AU1845)</f>
        <v>35233.38000000015</v>
      </c>
      <c r="BI1845" s="318">
        <f>SUMIFS($AU$1388:AU1846,$Q$1388:Q1846,"F")</f>
        <v>23748.400000000001</v>
      </c>
      <c r="BJ1845" s="318">
        <f>SUMIFS($AU$1388:AU1846,$Q$1388:Q1846,"S")</f>
        <v>8175.9999999999945</v>
      </c>
      <c r="BK1845" s="343">
        <f>SUMIFS($AU$1388:AU1846,$P$1388:P1846,"W")</f>
        <v>24573.58000000014</v>
      </c>
      <c r="BL1845" s="343">
        <f>SUMIFS($AU$1388:AU1846,$P$1388:P1846,"R")</f>
        <v>9197.9999999998618</v>
      </c>
      <c r="BM1845" s="343">
        <f>SUMIFS($AU$1388:AU1846,$AQ$1388:AQ1846,"M")</f>
        <v>6525.7799999998551</v>
      </c>
      <c r="BN1845" s="343">
        <f>SUMIFS($AU$1388:AU1846,$AQ$1388:AQ1846,"H")</f>
        <v>5159.2000000002827</v>
      </c>
      <c r="BO1845" s="343">
        <f>SUMIFS($AU$1388:AU1846,$AQ$1388:AQ1846,"D")</f>
        <v>12150</v>
      </c>
      <c r="BP1845" s="343">
        <f>SUMIFS($AU$1388:AU1933,$AQ$1388:AQ1933,"W")</f>
        <v>13472.599999999982</v>
      </c>
      <c r="BQ1845" s="343">
        <f>SUMIFS($AU$1388:AU1846,$Q$1388:Q1846,"O")</f>
        <v>1884.9800000001544</v>
      </c>
      <c r="BR1845" s="343">
        <f>SUMIFS($AU$1388:AU1846,$AA$1388:AA1846,"*")</f>
        <v>25594.200000000033</v>
      </c>
      <c r="BS1845" s="343">
        <f>SUMIFS($AU$1388:AU1846,$AB$1388:AB1846,"*")</f>
        <v>9655.1799999999312</v>
      </c>
      <c r="BT1845" s="343">
        <f>SUMIFS($AU$1388:AU1846,$AC$1388:AC1846,"*")</f>
        <v>21428.400000000001</v>
      </c>
      <c r="BU1845" s="343">
        <f>SUMIFS($AU$1388:AU1846,$AA$1388:AA1846,"*",$AB$1388:AB1846,"*")</f>
        <v>5759.9999999998217</v>
      </c>
      <c r="BV1845" s="343">
        <f>SUMIFS($AU$1388:AU1846,$AA$1388:AA1846,"*",$AC$1388:AC1846,"*")</f>
        <v>14324.400000000001</v>
      </c>
      <c r="BW1845" s="343">
        <f>SUMIFS($AU$1388:AU1846,$AB$1388:AB1846,"*",$AC$1388:AC1846,"*")</f>
        <v>4639.9999999999982</v>
      </c>
      <c r="BX1845" s="343">
        <f>SUMIFS($AV$1388:AV1846,$Q$1388:Q1846,"F")</f>
        <v>456.63675319849239</v>
      </c>
      <c r="BY1845" s="343">
        <f>SUMIFS($AV$1388:AV1846,$Q$1388:Q1846,"S")</f>
        <v>392.81638392253404</v>
      </c>
      <c r="BZ1845" s="343">
        <f>SUMIFS($AV$1388:AV1846,$Q$1388:Q1846,"O")</f>
        <v>591.63999999984503</v>
      </c>
    </row>
    <row r="1846" spans="1:78" ht="15.75" customHeight="1">
      <c r="A1846" s="177" t="s">
        <v>5851</v>
      </c>
      <c r="B1846" s="200"/>
      <c r="C1846" s="178"/>
      <c r="D1846" s="178"/>
      <c r="E1846" s="227"/>
      <c r="F1846" s="180"/>
      <c r="G1846" s="181"/>
      <c r="H1846" s="182"/>
      <c r="I1846" s="182"/>
      <c r="J1846" s="182"/>
      <c r="K1846" s="183"/>
      <c r="L1846" s="182"/>
      <c r="M1846" s="182"/>
      <c r="N1846" s="182"/>
      <c r="O1846" s="183"/>
      <c r="P1846" s="183"/>
      <c r="Q1846" s="183"/>
      <c r="R1846" s="183"/>
      <c r="S1846" s="183"/>
      <c r="T1846" s="183"/>
      <c r="U1846" s="183"/>
      <c r="V1846" s="183"/>
      <c r="W1846" s="183"/>
      <c r="X1846" s="183"/>
      <c r="Y1846" s="183"/>
      <c r="Z1846" s="183"/>
      <c r="AA1846" s="185"/>
      <c r="AB1846" s="185"/>
      <c r="AC1846" s="185"/>
      <c r="AD1846" s="649"/>
      <c r="AE1846" s="182"/>
      <c r="AF1846" s="332"/>
      <c r="AG1846" s="182"/>
      <c r="AH1846" s="182"/>
      <c r="AI1846" s="182"/>
      <c r="AJ1846" s="640"/>
      <c r="AK1846" s="182"/>
      <c r="AL1846" s="496">
        <f t="shared" si="601"/>
        <v>0</v>
      </c>
      <c r="AM1846" s="496">
        <f t="shared" si="591"/>
        <v>0</v>
      </c>
      <c r="AN1846" s="626"/>
      <c r="AO1846" s="182"/>
      <c r="AP1846" s="182"/>
      <c r="AQ1846" s="332" t="str">
        <f>UPPER(RIGHT(Journal_Live[[#This Row],[DURATION ]]))</f>
        <v/>
      </c>
      <c r="AR1846" s="182"/>
      <c r="AS1846" s="189"/>
      <c r="AT1846" s="189"/>
      <c r="AU1846" s="187"/>
      <c r="AV1846" s="190"/>
      <c r="AW1846" s="191"/>
      <c r="AX1846" s="417" t="s">
        <v>6136</v>
      </c>
      <c r="AY1846" s="551" t="s">
        <v>5925</v>
      </c>
      <c r="AZ1846" s="551" t="s">
        <v>5926</v>
      </c>
      <c r="BA1846" s="551" t="s">
        <v>5927</v>
      </c>
      <c r="BB1846" s="551" t="s">
        <v>5928</v>
      </c>
      <c r="BC1846" s="551" t="s">
        <v>5929</v>
      </c>
      <c r="BD1846" s="551" t="s">
        <v>5930</v>
      </c>
      <c r="BE1846" s="562" t="s">
        <v>5931</v>
      </c>
      <c r="BF1846" s="551" t="s">
        <v>5932</v>
      </c>
      <c r="BG1846" s="391">
        <f>SUM($AV$1389:AV1846)</f>
        <v>3389.0931371208762</v>
      </c>
      <c r="BH1846" s="392">
        <f>SUM($AU$1389:AU1846)</f>
        <v>35233.38000000015</v>
      </c>
      <c r="BI1846" s="318">
        <f>SUMIFS($AU$1388:AU1847,$Q$1388:Q1847,"F")</f>
        <v>23748.400000000001</v>
      </c>
      <c r="BJ1846" s="318">
        <f>SUMIFS($AU$1388:AU1847,$Q$1388:Q1847,"S")</f>
        <v>8175.9999999999945</v>
      </c>
      <c r="BK1846" s="343">
        <f>SUMIFS($AU$1388:AU1847,$P$1388:P1847,"W")</f>
        <v>24573.58000000014</v>
      </c>
      <c r="BL1846" s="343">
        <f>SUMIFS($AU$1388:AU1847,$P$1388:P1847,"R")</f>
        <v>9197.9999999998618</v>
      </c>
      <c r="BM1846" s="343">
        <f>SUMIFS($AU$1388:AU1847,$AQ$1388:AQ1847,"M")</f>
        <v>6525.7799999998551</v>
      </c>
      <c r="BN1846" s="343">
        <f>SUMIFS($AU$1388:AU1847,$AQ$1388:AQ1847,"H")</f>
        <v>5159.2000000002827</v>
      </c>
      <c r="BO1846" s="343">
        <f>SUMIFS($AU$1388:AU1847,$AQ$1388:AQ1847,"D")</f>
        <v>12150</v>
      </c>
      <c r="BP1846" s="343">
        <f>SUMIFS($AU$1388:AU1934,$AQ$1388:AQ1934,"W")</f>
        <v>13472.599999999982</v>
      </c>
      <c r="BQ1846" s="343">
        <f>SUMIFS($AU$1388:AU1847,$Q$1388:Q1847,"O")</f>
        <v>1884.9800000001544</v>
      </c>
      <c r="BR1846" s="343">
        <f>SUMIFS($AU$1388:AU1847,$AA$1388:AA1847,"*")</f>
        <v>25594.200000000033</v>
      </c>
      <c r="BS1846" s="343">
        <f>SUMIFS($AU$1388:AU1847,$AB$1388:AB1847,"*")</f>
        <v>9655.1799999999312</v>
      </c>
      <c r="BT1846" s="343">
        <f>SUMIFS($AU$1388:AU1847,$AC$1388:AC1847,"*")</f>
        <v>21428.400000000001</v>
      </c>
      <c r="BU1846" s="343">
        <f>SUMIFS($AU$1388:AU1847,$AA$1388:AA1847,"*",$AB$1388:AB1847,"*")</f>
        <v>5759.9999999998217</v>
      </c>
      <c r="BV1846" s="343">
        <f>SUMIFS($AU$1388:AU1847,$AA$1388:AA1847,"*",$AC$1388:AC1847,"*")</f>
        <v>14324.400000000001</v>
      </c>
      <c r="BW1846" s="343">
        <f>SUMIFS($AU$1388:AU1847,$AB$1388:AB1847,"*",$AC$1388:AC1847,"*")</f>
        <v>4639.9999999999982</v>
      </c>
      <c r="BX1846" s="343">
        <f>SUMIFS($AV$1388:AV1847,$Q$1388:Q1847,"F")</f>
        <v>456.63675319849239</v>
      </c>
      <c r="BY1846" s="343">
        <f>SUMIFS($AV$1388:AV1847,$Q$1388:Q1847,"S")</f>
        <v>392.81638392253404</v>
      </c>
      <c r="BZ1846" s="343">
        <f>SUMIFS($AV$1388:AV1847,$Q$1388:Q1847,"O")</f>
        <v>591.63999999984503</v>
      </c>
    </row>
    <row r="1847" spans="1:78" ht="15.75" customHeight="1">
      <c r="A1847" s="177" t="s">
        <v>5851</v>
      </c>
      <c r="B1847" s="200"/>
      <c r="C1847" s="178"/>
      <c r="D1847" s="178"/>
      <c r="E1847" s="227"/>
      <c r="F1847" s="180"/>
      <c r="G1847" s="181"/>
      <c r="H1847" s="182"/>
      <c r="I1847" s="182"/>
      <c r="J1847" s="182"/>
      <c r="K1847" s="183"/>
      <c r="L1847" s="182"/>
      <c r="M1847" s="182"/>
      <c r="N1847" s="182"/>
      <c r="O1847" s="183"/>
      <c r="P1847" s="183"/>
      <c r="Q1847" s="183"/>
      <c r="R1847" s="183"/>
      <c r="S1847" s="183"/>
      <c r="T1847" s="183"/>
      <c r="U1847" s="183"/>
      <c r="V1847" s="183"/>
      <c r="W1847" s="183"/>
      <c r="X1847" s="183"/>
      <c r="Y1847" s="183"/>
      <c r="Z1847" s="183"/>
      <c r="AA1847" s="185"/>
      <c r="AB1847" s="185"/>
      <c r="AC1847" s="185"/>
      <c r="AD1847" s="649"/>
      <c r="AE1847" s="182"/>
      <c r="AF1847" s="332"/>
      <c r="AG1847" s="182"/>
      <c r="AH1847" s="182"/>
      <c r="AI1847" s="182"/>
      <c r="AJ1847" s="640"/>
      <c r="AK1847" s="182"/>
      <c r="AL1847" s="496">
        <f t="shared" si="601"/>
        <v>0</v>
      </c>
      <c r="AM1847" s="496">
        <f t="shared" si="591"/>
        <v>0</v>
      </c>
      <c r="AN1847" s="626"/>
      <c r="AO1847" s="182"/>
      <c r="AP1847" s="182"/>
      <c r="AQ1847" s="332" t="str">
        <f>UPPER(RIGHT(Journal_Live[[#This Row],[DURATION ]]))</f>
        <v/>
      </c>
      <c r="AR1847" s="182"/>
      <c r="AS1847" s="189"/>
      <c r="AT1847" s="189"/>
      <c r="AU1847" s="187"/>
      <c r="AV1847" s="190"/>
      <c r="AW1847" s="191"/>
      <c r="AX1847" s="569" t="s">
        <v>6137</v>
      </c>
      <c r="AY1847" s="551" t="s">
        <v>6138</v>
      </c>
      <c r="AZ1847" s="551" t="s">
        <v>6139</v>
      </c>
      <c r="BA1847" s="551"/>
      <c r="BB1847" s="551"/>
      <c r="BC1847" s="551"/>
      <c r="BD1847" s="549"/>
      <c r="BE1847" s="550"/>
      <c r="BF1847" s="549"/>
      <c r="BG1847" s="391">
        <f>SUM($AV$1389:AV1847)</f>
        <v>3389.0931371208762</v>
      </c>
      <c r="BH1847" s="392">
        <f>SUM($AU$1389:AU1847)</f>
        <v>35233.38000000015</v>
      </c>
      <c r="BI1847" s="318">
        <f>SUMIFS($AU$1388:AU1848,$Q$1388:Q1848,"F")</f>
        <v>23748.400000000001</v>
      </c>
      <c r="BJ1847" s="318">
        <f>SUMIFS($AU$1388:AU1848,$Q$1388:Q1848,"S")</f>
        <v>8175.9999999999945</v>
      </c>
      <c r="BK1847" s="343">
        <f>SUMIFS($AU$1388:AU1848,$P$1388:P1848,"W")</f>
        <v>24573.58000000014</v>
      </c>
      <c r="BL1847" s="343">
        <f>SUMIFS($AU$1388:AU1848,$P$1388:P1848,"R")</f>
        <v>9197.9999999998618</v>
      </c>
      <c r="BM1847" s="343">
        <f>SUMIFS($AU$1388:AU1848,$AQ$1388:AQ1848,"M")</f>
        <v>6525.7799999998551</v>
      </c>
      <c r="BN1847" s="343">
        <f>SUMIFS($AU$1388:AU1848,$AQ$1388:AQ1848,"H")</f>
        <v>5159.2000000002827</v>
      </c>
      <c r="BO1847" s="343">
        <f>SUMIFS($AU$1388:AU1848,$AQ$1388:AQ1848,"D")</f>
        <v>12150</v>
      </c>
      <c r="BP1847" s="343">
        <f>SUMIFS($AU$1388:AU1935,$AQ$1388:AQ1935,"W")</f>
        <v>13472.599999999982</v>
      </c>
      <c r="BQ1847" s="343">
        <f>SUMIFS($AU$1388:AU1848,$Q$1388:Q1848,"O")</f>
        <v>1884.9800000001544</v>
      </c>
      <c r="BR1847" s="343">
        <f>SUMIFS($AU$1388:AU1848,$AA$1388:AA1848,"*")</f>
        <v>25594.200000000033</v>
      </c>
      <c r="BS1847" s="343">
        <f>SUMIFS($AU$1388:AU1848,$AB$1388:AB1848,"*")</f>
        <v>9655.1799999999312</v>
      </c>
      <c r="BT1847" s="343">
        <f>SUMIFS($AU$1388:AU1848,$AC$1388:AC1848,"*")</f>
        <v>21428.400000000001</v>
      </c>
      <c r="BU1847" s="343">
        <f>SUMIFS($AU$1388:AU1848,$AA$1388:AA1848,"*",$AB$1388:AB1848,"*")</f>
        <v>5759.9999999998217</v>
      </c>
      <c r="BV1847" s="343">
        <f>SUMIFS($AU$1388:AU1848,$AA$1388:AA1848,"*",$AC$1388:AC1848,"*")</f>
        <v>14324.400000000001</v>
      </c>
      <c r="BW1847" s="343">
        <f>SUMIFS($AU$1388:AU1848,$AB$1388:AB1848,"*",$AC$1388:AC1848,"*")</f>
        <v>4639.9999999999982</v>
      </c>
      <c r="BX1847" s="343">
        <f>SUMIFS($AV$1388:AV1848,$Q$1388:Q1848,"F")</f>
        <v>456.63675319849239</v>
      </c>
      <c r="BY1847" s="343">
        <f>SUMIFS($AV$1388:AV1848,$Q$1388:Q1848,"S")</f>
        <v>392.81638392253404</v>
      </c>
      <c r="BZ1847" s="343">
        <f>SUMIFS($AV$1388:AV1848,$Q$1388:Q1848,"O")</f>
        <v>591.63999999984503</v>
      </c>
    </row>
    <row r="1848" spans="1:78" ht="15.75" customHeight="1">
      <c r="A1848" s="177" t="s">
        <v>5851</v>
      </c>
      <c r="B1848" s="200">
        <v>45401</v>
      </c>
      <c r="C1848" s="178" t="s">
        <v>6140</v>
      </c>
      <c r="D1848" s="178" t="s">
        <v>111</v>
      </c>
      <c r="E1848" s="227" t="s">
        <v>6141</v>
      </c>
      <c r="F1848" s="180"/>
      <c r="G1848" s="181"/>
      <c r="H1848" s="182"/>
      <c r="I1848" s="182"/>
      <c r="J1848" s="182"/>
      <c r="K1848" s="183"/>
      <c r="L1848" s="182"/>
      <c r="M1848" s="182"/>
      <c r="N1848" s="182"/>
      <c r="O1848" s="183"/>
      <c r="P1848" s="183"/>
      <c r="Q1848" s="183"/>
      <c r="R1848" s="183"/>
      <c r="S1848" s="183"/>
      <c r="T1848" s="183"/>
      <c r="U1848" s="183"/>
      <c r="V1848" s="183"/>
      <c r="W1848" s="183"/>
      <c r="X1848" s="183"/>
      <c r="Y1848" s="183"/>
      <c r="Z1848" s="183"/>
      <c r="AA1848" s="185"/>
      <c r="AB1848" s="185"/>
      <c r="AC1848" s="185"/>
      <c r="AD1848" s="649"/>
      <c r="AE1848" s="182"/>
      <c r="AF1848" s="332"/>
      <c r="AG1848" s="182"/>
      <c r="AH1848" s="182"/>
      <c r="AI1848" s="182"/>
      <c r="AJ1848" s="640"/>
      <c r="AK1848" s="182"/>
      <c r="AL1848" s="496">
        <f t="shared" si="601"/>
        <v>0</v>
      </c>
      <c r="AM1848" s="496">
        <f t="shared" si="591"/>
        <v>0</v>
      </c>
      <c r="AN1848" s="626"/>
      <c r="AO1848" s="182"/>
      <c r="AP1848" s="182"/>
      <c r="AQ1848" s="332" t="str">
        <f>UPPER(RIGHT(Journal_Live[[#This Row],[DURATION ]]))</f>
        <v/>
      </c>
      <c r="AR1848" s="182"/>
      <c r="AS1848" s="189"/>
      <c r="AT1848" s="189"/>
      <c r="AU1848" s="187"/>
      <c r="AV1848" s="190"/>
      <c r="AW1848" s="191"/>
      <c r="AX1848" s="551"/>
      <c r="AY1848" s="407"/>
      <c r="AZ1848" s="551"/>
      <c r="BA1848" s="551"/>
      <c r="BB1848" s="551"/>
      <c r="BC1848" s="551"/>
      <c r="BD1848" s="549"/>
      <c r="BE1848" s="550"/>
      <c r="BF1848" s="549"/>
      <c r="BG1848" s="391">
        <f>SUM($AV$1389:AV1848)</f>
        <v>3389.0931371208762</v>
      </c>
      <c r="BH1848" s="392">
        <f>SUM($AU$1389:AU1848)</f>
        <v>35233.38000000015</v>
      </c>
      <c r="BI1848" s="318">
        <f>SUMIFS($AU$1388:AU1849,$Q$1388:Q1849,"F")</f>
        <v>23748.400000000001</v>
      </c>
      <c r="BJ1848" s="318">
        <f>SUMIFS($AU$1388:AU1849,$Q$1388:Q1849,"S")</f>
        <v>8175.9999999999945</v>
      </c>
      <c r="BK1848" s="343">
        <f>SUMIFS($AU$1388:AU1849,$P$1388:P1849,"W")</f>
        <v>24573.58000000014</v>
      </c>
      <c r="BL1848" s="343">
        <f>SUMIFS($AU$1388:AU1849,$P$1388:P1849,"R")</f>
        <v>9197.9999999998618</v>
      </c>
      <c r="BM1848" s="343">
        <f>SUMIFS($AU$1388:AU1849,$AQ$1388:AQ1849,"M")</f>
        <v>6612.7799999990339</v>
      </c>
      <c r="BN1848" s="343">
        <f>SUMIFS($AU$1388:AU1849,$AQ$1388:AQ1849,"H")</f>
        <v>5159.2000000002827</v>
      </c>
      <c r="BO1848" s="343">
        <f>SUMIFS($AU$1388:AU1849,$AQ$1388:AQ1849,"D")</f>
        <v>12150</v>
      </c>
      <c r="BP1848" s="343">
        <f>SUMIFS($AU$1388:AU1936,$AQ$1388:AQ1936,"W")</f>
        <v>13472.599999999982</v>
      </c>
      <c r="BQ1848" s="343">
        <f>SUMIFS($AU$1388:AU1849,$Q$1388:Q1849,"O")</f>
        <v>1971.9799999993334</v>
      </c>
      <c r="BR1848" s="343">
        <f>SUMIFS($AU$1388:AU1849,$AA$1388:AA1849,"*")</f>
        <v>25681.199999999211</v>
      </c>
      <c r="BS1848" s="343">
        <f>SUMIFS($AU$1388:AU1849,$AB$1388:AB1849,"*")</f>
        <v>9655.1799999999312</v>
      </c>
      <c r="BT1848" s="343">
        <f>SUMIFS($AU$1388:AU1849,$AC$1388:AC1849,"*")</f>
        <v>21428.400000000001</v>
      </c>
      <c r="BU1848" s="343">
        <f>SUMIFS($AU$1388:AU1849,$AA$1388:AA1849,"*",$AB$1388:AB1849,"*")</f>
        <v>5759.9999999998217</v>
      </c>
      <c r="BV1848" s="343">
        <f>SUMIFS($AU$1388:AU1849,$AA$1388:AA1849,"*",$AC$1388:AC1849,"*")</f>
        <v>14324.400000000001</v>
      </c>
      <c r="BW1848" s="343">
        <f>SUMIFS($AU$1388:AU1849,$AB$1388:AB1849,"*",$AC$1388:AC1849,"*")</f>
        <v>4639.9999999999982</v>
      </c>
      <c r="BX1848" s="343">
        <f>SUMIFS($AV$1388:AV1849,$Q$1388:Q1849,"F")</f>
        <v>456.63675319849239</v>
      </c>
      <c r="BY1848" s="343">
        <f>SUMIFS($AV$1388:AV1849,$Q$1388:Q1849,"S")</f>
        <v>392.81638392253404</v>
      </c>
      <c r="BZ1848" s="343">
        <f>SUMIFS($AV$1388:AV1849,$Q$1388:Q1849,"O")</f>
        <v>597.4399999997903</v>
      </c>
    </row>
    <row r="1849" spans="1:78" ht="15.75" customHeight="1">
      <c r="A1849" s="177" t="s">
        <v>5851</v>
      </c>
      <c r="B1849" s="200">
        <v>45401</v>
      </c>
      <c r="C1849" s="178"/>
      <c r="D1849" s="178" t="s">
        <v>111</v>
      </c>
      <c r="E1849" s="227"/>
      <c r="F1849" s="180"/>
      <c r="G1849" s="181" t="s">
        <v>5723</v>
      </c>
      <c r="H1849" s="182"/>
      <c r="I1849" s="182"/>
      <c r="J1849" s="182"/>
      <c r="K1849" s="183"/>
      <c r="L1849" s="182">
        <v>3</v>
      </c>
      <c r="M1849" s="182"/>
      <c r="N1849" s="182"/>
      <c r="O1849" s="183" t="s">
        <v>3618</v>
      </c>
      <c r="P1849" s="183" t="s">
        <v>2260</v>
      </c>
      <c r="Q1849" s="183" t="s">
        <v>684</v>
      </c>
      <c r="R1849" s="183">
        <v>15</v>
      </c>
      <c r="S1849" s="183">
        <v>0</v>
      </c>
      <c r="T1849" s="183">
        <v>15</v>
      </c>
      <c r="U1849" s="183" t="s">
        <v>22</v>
      </c>
      <c r="V1849" s="183"/>
      <c r="W1849" s="183"/>
      <c r="X1849" s="183"/>
      <c r="Y1849" s="184">
        <f>IF(ISBLANK(O1849),"",(IF(O1849=UPPER("IB"),0.005,0.01)))</f>
        <v>0.01</v>
      </c>
      <c r="Z1849" s="185">
        <f>IF(ISBLANK(O1849),"",IF(O1849="IB",8.63*200,IF(O1849="IR",16*100,IF(O1849="YT",20*100,IF(O1849="YT-XT",24*200,IF(O1849="TED",80*100,IF(O1849="XT",29*200)))))))</f>
        <v>5800</v>
      </c>
      <c r="AA1849" s="185" t="s">
        <v>6142</v>
      </c>
      <c r="AB1849" s="185"/>
      <c r="AC1849" s="185"/>
      <c r="AD1849" s="649">
        <v>95.754000000000005</v>
      </c>
      <c r="AE1849" s="182"/>
      <c r="AF1849" s="332"/>
      <c r="AG1849" s="182"/>
      <c r="AH1849" s="182"/>
      <c r="AI1849" s="182"/>
      <c r="AJ1849" s="640"/>
      <c r="AK1849" s="182"/>
      <c r="AL1849" s="496">
        <f t="shared" si="601"/>
        <v>-116</v>
      </c>
      <c r="AM1849" s="496">
        <f t="shared" si="591"/>
        <v>-1740</v>
      </c>
      <c r="AN1849" s="626"/>
      <c r="AO1849" s="182"/>
      <c r="AP1849" s="182"/>
      <c r="AQ1849" s="332" t="s">
        <v>1259</v>
      </c>
      <c r="AR1849" s="182"/>
      <c r="AS1849" s="189">
        <v>95.754999999999995</v>
      </c>
      <c r="AT1849" s="189">
        <f>IF(ISBLANK(AS1849),,IF(U1849="S",AD1849-AS1849,AS1849-AD1849))</f>
        <v>9.9999999999056399E-4</v>
      </c>
      <c r="AU1849" s="187">
        <f>AV1849*R1849</f>
        <v>86.999999999179067</v>
      </c>
      <c r="AV1849" s="190">
        <f t="shared" ref="AV1849" si="602">IF(ISBLANK(AS1849),,(AT1849*Z1849))</f>
        <v>5.7999999999452712</v>
      </c>
      <c r="AW1849" s="191" t="s">
        <v>96</v>
      </c>
      <c r="AX1849" s="551"/>
      <c r="AY1849" s="551"/>
      <c r="AZ1849" s="551"/>
      <c r="BA1849" s="551"/>
      <c r="BB1849" s="551"/>
      <c r="BC1849" s="551"/>
      <c r="BD1849" s="549"/>
      <c r="BE1849" s="550"/>
      <c r="BF1849" s="549"/>
      <c r="BG1849" s="391">
        <f>SUM($AV$1389:AV1849)</f>
        <v>3394.8931371208214</v>
      </c>
      <c r="BH1849" s="392">
        <f>SUM($AU$1389:AU1849)</f>
        <v>35320.379999999328</v>
      </c>
      <c r="BI1849" s="318">
        <f>SUMIFS($AU$1388:AU1850,$Q$1388:Q1850,"F")</f>
        <v>23748.400000000001</v>
      </c>
      <c r="BJ1849" s="318">
        <f>SUMIFS($AU$1388:AU1850,$Q$1388:Q1850,"S")</f>
        <v>8175.9999999999945</v>
      </c>
      <c r="BK1849" s="343">
        <f>SUMIFS($AU$1388:AU1850,$P$1388:P1850,"W")</f>
        <v>24973.580000000344</v>
      </c>
      <c r="BL1849" s="343">
        <f>SUMIFS($AU$1388:AU1850,$P$1388:P1850,"R")</f>
        <v>9197.9999999998618</v>
      </c>
      <c r="BM1849" s="343">
        <f>SUMIFS($AU$1388:AU1850,$AQ$1388:AQ1850,"M")</f>
        <v>7012.7799999992385</v>
      </c>
      <c r="BN1849" s="343">
        <f>SUMIFS($AU$1388:AU1850,$AQ$1388:AQ1850,"H")</f>
        <v>5159.2000000002827</v>
      </c>
      <c r="BO1849" s="343">
        <f>SUMIFS($AU$1388:AU1850,$AQ$1388:AQ1850,"D")</f>
        <v>12150</v>
      </c>
      <c r="BP1849" s="343">
        <f>SUMIFS($AU$1388:AU1937,$AQ$1388:AQ1937,"W")</f>
        <v>13472.599999999982</v>
      </c>
      <c r="BQ1849" s="343">
        <f>SUMIFS($AU$1388:AU1850,$Q$1388:Q1850,"O")</f>
        <v>2371.979999999538</v>
      </c>
      <c r="BR1849" s="343">
        <f>SUMIFS($AU$1388:AU1850,$AA$1388:AA1850,"*")</f>
        <v>26081.199999999415</v>
      </c>
      <c r="BS1849" s="343">
        <f>SUMIFS($AU$1388:AU1850,$AB$1388:AB1850,"*")</f>
        <v>9655.1799999999312</v>
      </c>
      <c r="BT1849" s="343">
        <f>SUMIFS($AU$1388:AU1850,$AC$1388:AC1850,"*")</f>
        <v>21428.400000000001</v>
      </c>
      <c r="BU1849" s="343">
        <f>SUMIFS($AU$1388:AU1850,$AA$1388:AA1850,"*",$AB$1388:AB1850,"*")</f>
        <v>5759.9999999998217</v>
      </c>
      <c r="BV1849" s="343">
        <f>SUMIFS($AU$1388:AU1850,$AA$1388:AA1850,"*",$AC$1388:AC1850,"*")</f>
        <v>14324.400000000001</v>
      </c>
      <c r="BW1849" s="343">
        <f>SUMIFS($AU$1388:AU1850,$AB$1388:AB1850,"*",$AC$1388:AC1850,"*")</f>
        <v>4639.9999999999982</v>
      </c>
      <c r="BX1849" s="343">
        <f>SUMIFS($AV$1388:AV1850,$Q$1388:Q1850,"F")</f>
        <v>456.63675319849239</v>
      </c>
      <c r="BY1849" s="343">
        <f>SUMIFS($AV$1388:AV1850,$Q$1388:Q1850,"S")</f>
        <v>392.81638392253404</v>
      </c>
      <c r="BZ1849" s="343">
        <f>SUMIFS($AV$1388:AV1850,$Q$1388:Q1850,"O")</f>
        <v>613.43999999979849</v>
      </c>
    </row>
    <row r="1850" spans="1:78" ht="15.75" customHeight="1">
      <c r="A1850" s="177" t="s">
        <v>5851</v>
      </c>
      <c r="B1850" s="200">
        <v>45401</v>
      </c>
      <c r="C1850" s="178" t="s">
        <v>2081</v>
      </c>
      <c r="D1850" s="178" t="s">
        <v>111</v>
      </c>
      <c r="E1850" s="227"/>
      <c r="F1850" s="180"/>
      <c r="G1850" s="484" t="s">
        <v>6143</v>
      </c>
      <c r="H1850" s="182"/>
      <c r="I1850" s="182"/>
      <c r="J1850" s="182"/>
      <c r="K1850" s="183"/>
      <c r="L1850" s="182">
        <v>2</v>
      </c>
      <c r="M1850" s="182"/>
      <c r="N1850" s="182"/>
      <c r="O1850" s="183" t="s">
        <v>95</v>
      </c>
      <c r="P1850" s="183" t="s">
        <v>96</v>
      </c>
      <c r="Q1850" s="183" t="s">
        <v>684</v>
      </c>
      <c r="R1850" s="183">
        <v>25</v>
      </c>
      <c r="S1850" s="183">
        <v>0</v>
      </c>
      <c r="T1850" s="183">
        <v>25</v>
      </c>
      <c r="U1850" s="183" t="s">
        <v>97</v>
      </c>
      <c r="V1850" s="183"/>
      <c r="W1850" s="183"/>
      <c r="X1850" s="183"/>
      <c r="Y1850" s="184">
        <f>IF(ISBLANK(O1850),"",(IF(O1850=UPPER("IB"),0.005,0.01)))</f>
        <v>0.01</v>
      </c>
      <c r="Z1850" s="185">
        <f>IF(ISBLANK(O1850),"",IF(O1850="IB",8.63*200,IF(O1850="IR",16*100,IF(O1850="YT",20*100,IF(O1850="YT-XT",24*200,IF(O1850="TED",80*100,IF(O1850="XT",29*200)))))))</f>
        <v>1600</v>
      </c>
      <c r="AA1850" s="185" t="s">
        <v>3801</v>
      </c>
      <c r="AB1850" s="185"/>
      <c r="AC1850" s="185"/>
      <c r="AD1850" s="649">
        <v>95.7</v>
      </c>
      <c r="AE1850" s="182"/>
      <c r="AF1850" s="332"/>
      <c r="AG1850" s="182"/>
      <c r="AH1850" s="182"/>
      <c r="AI1850" s="182"/>
      <c r="AJ1850" s="640"/>
      <c r="AK1850" s="182"/>
      <c r="AL1850" s="496">
        <f t="shared" ref="AL1850:AL1855" si="603">-0.02*Z1850</f>
        <v>-32</v>
      </c>
      <c r="AM1850" s="496">
        <f t="shared" si="591"/>
        <v>-800</v>
      </c>
      <c r="AN1850" s="626"/>
      <c r="AO1850" s="182"/>
      <c r="AP1850" s="182"/>
      <c r="AQ1850" s="332" t="s">
        <v>1259</v>
      </c>
      <c r="AR1850" s="182"/>
      <c r="AS1850" s="189">
        <v>95.69</v>
      </c>
      <c r="AT1850" s="189">
        <f>IF(ISBLANK(AS1850),,IF(U1850="S",AD1850-AS1850,AS1850-AD1850))</f>
        <v>1.0000000000005116E-2</v>
      </c>
      <c r="AU1850" s="187">
        <f>AV1850*R1850</f>
        <v>400.00000000020464</v>
      </c>
      <c r="AV1850" s="190">
        <f t="shared" ref="AV1850" si="604">IF(ISBLANK(AS1850),,(AT1850*Z1850))</f>
        <v>16.000000000008185</v>
      </c>
      <c r="AW1850" s="191" t="s">
        <v>96</v>
      </c>
      <c r="AX1850" s="551"/>
      <c r="AY1850" s="551"/>
      <c r="AZ1850" s="551"/>
      <c r="BA1850" s="551"/>
      <c r="BB1850" s="551"/>
      <c r="BC1850" s="551"/>
      <c r="BD1850" s="549"/>
      <c r="BE1850" s="550"/>
      <c r="BF1850" s="549"/>
      <c r="BG1850" s="391">
        <f>SUM($AV$1389:AV1850)</f>
        <v>3410.8931371208296</v>
      </c>
      <c r="BH1850" s="392">
        <f>SUM($AU$1389:AU1850)</f>
        <v>35720.379999999532</v>
      </c>
      <c r="BI1850" s="318">
        <f>SUMIFS($AU$1388:AU1851,$Q$1388:Q1851,"F")</f>
        <v>23748.400000000001</v>
      </c>
      <c r="BJ1850" s="318">
        <f>SUMIFS($AU$1388:AU1851,$Q$1388:Q1851,"S")</f>
        <v>8175.9999999999945</v>
      </c>
      <c r="BK1850" s="343">
        <f>SUMIFS($AU$1388:AU1851,$P$1388:P1851,"W")</f>
        <v>24973.580000000344</v>
      </c>
      <c r="BL1850" s="343">
        <f>SUMIFS($AU$1388:AU1851,$P$1388:P1851,"R")</f>
        <v>9197.9999999998618</v>
      </c>
      <c r="BM1850" s="343">
        <f>SUMIFS($AU$1388:AU1851,$AQ$1388:AQ1851,"M")</f>
        <v>7012.7799999992385</v>
      </c>
      <c r="BN1850" s="343">
        <f>SUMIFS($AU$1388:AU1851,$AQ$1388:AQ1851,"H")</f>
        <v>5159.2000000002827</v>
      </c>
      <c r="BO1850" s="343">
        <f>SUMIFS($AU$1388:AU1851,$AQ$1388:AQ1851,"D")</f>
        <v>12150</v>
      </c>
      <c r="BP1850" s="343">
        <f>SUMIFS($AU$1388:AU1938,$AQ$1388:AQ1938,"W")</f>
        <v>13472.599999999982</v>
      </c>
      <c r="BQ1850" s="343">
        <f>SUMIFS($AU$1388:AU1851,$Q$1388:Q1851,"O")</f>
        <v>2371.979999999538</v>
      </c>
      <c r="BR1850" s="343">
        <f>SUMIFS($AU$1388:AU1851,$AA$1388:AA1851,"*")</f>
        <v>26081.199999999415</v>
      </c>
      <c r="BS1850" s="343">
        <f>SUMIFS($AU$1388:AU1851,$AB$1388:AB1851,"*")</f>
        <v>9655.1799999999312</v>
      </c>
      <c r="BT1850" s="343">
        <f>SUMIFS($AU$1388:AU1851,$AC$1388:AC1851,"*")</f>
        <v>21428.400000000001</v>
      </c>
      <c r="BU1850" s="343">
        <f>SUMIFS($AU$1388:AU1851,$AA$1388:AA1851,"*",$AB$1388:AB1851,"*")</f>
        <v>5759.9999999998217</v>
      </c>
      <c r="BV1850" s="343">
        <f>SUMIFS($AU$1388:AU1851,$AA$1388:AA1851,"*",$AC$1388:AC1851,"*")</f>
        <v>14324.400000000001</v>
      </c>
      <c r="BW1850" s="343">
        <f>SUMIFS($AU$1388:AU1851,$AB$1388:AB1851,"*",$AC$1388:AC1851,"*")</f>
        <v>4639.9999999999982</v>
      </c>
      <c r="BX1850" s="343">
        <f>SUMIFS($AV$1388:AV1851,$Q$1388:Q1851,"F")</f>
        <v>456.63675319849239</v>
      </c>
      <c r="BY1850" s="343">
        <f>SUMIFS($AV$1388:AV1851,$Q$1388:Q1851,"S")</f>
        <v>392.81638392253404</v>
      </c>
      <c r="BZ1850" s="343">
        <f>SUMIFS($AV$1388:AV1851,$Q$1388:Q1851,"O")</f>
        <v>613.43999999979849</v>
      </c>
    </row>
    <row r="1851" spans="1:78" ht="15.75" customHeight="1">
      <c r="A1851" s="177" t="s">
        <v>5851</v>
      </c>
      <c r="B1851" s="200">
        <v>45401</v>
      </c>
      <c r="C1851" s="178"/>
      <c r="D1851" s="178" t="s">
        <v>111</v>
      </c>
      <c r="E1851" s="227"/>
      <c r="F1851" s="180"/>
      <c r="G1851" s="484" t="s">
        <v>2070</v>
      </c>
      <c r="H1851" s="182"/>
      <c r="I1851" s="182"/>
      <c r="J1851" s="182"/>
      <c r="K1851" s="183"/>
      <c r="L1851" s="182">
        <v>2</v>
      </c>
      <c r="M1851" s="182"/>
      <c r="N1851" s="182"/>
      <c r="O1851" s="183" t="s">
        <v>95</v>
      </c>
      <c r="P1851" s="183" t="s">
        <v>96</v>
      </c>
      <c r="Q1851" s="183" t="s">
        <v>97</v>
      </c>
      <c r="R1851" s="183">
        <v>5</v>
      </c>
      <c r="S1851" s="559">
        <v>0</v>
      </c>
      <c r="T1851" s="183">
        <v>5</v>
      </c>
      <c r="U1851" s="183" t="s">
        <v>22</v>
      </c>
      <c r="V1851" s="183"/>
      <c r="W1851" s="183"/>
      <c r="X1851" s="183"/>
      <c r="Y1851" s="184">
        <f>IF(ISBLANK(O1851),"",(IF(O1851=UPPER("IB"),0.005,0.01)))</f>
        <v>0.01</v>
      </c>
      <c r="Z1851" s="185">
        <f>IF(ISBLANK(O1851),"",IF(O1851="IB",8.63*200,IF(O1851="IR",16*100,IF(O1851="YT",20*100,IF(O1851="YT-XT",24*200,IF(O1851="TED",80*100,IF(O1851="XT",29*200)))))))</f>
        <v>1600</v>
      </c>
      <c r="AA1851" s="185"/>
      <c r="AB1851" s="185"/>
      <c r="AC1851" s="185" t="s">
        <v>4323</v>
      </c>
      <c r="AD1851" s="649">
        <v>-0.09</v>
      </c>
      <c r="AE1851" s="182"/>
      <c r="AF1851" s="332"/>
      <c r="AG1851" s="182"/>
      <c r="AH1851" s="182"/>
      <c r="AI1851" s="182"/>
      <c r="AJ1851" s="640"/>
      <c r="AK1851" s="182"/>
      <c r="AL1851" s="496">
        <f t="shared" si="603"/>
        <v>-32</v>
      </c>
      <c r="AM1851" s="496">
        <f t="shared" si="591"/>
        <v>-160</v>
      </c>
      <c r="AN1851" s="626"/>
      <c r="AO1851" s="182"/>
      <c r="AP1851" s="182"/>
      <c r="AQ1851" s="332" t="s">
        <v>372</v>
      </c>
      <c r="AR1851" s="182"/>
      <c r="AS1851" s="189">
        <v>-0.09</v>
      </c>
      <c r="AT1851" s="189">
        <f>IF(ISBLANK(AS1851),,IF(U1851="S",AD1851-AS1851,AS1851-AD1851))</f>
        <v>0</v>
      </c>
      <c r="AU1851" s="187">
        <f>AV1851*R1851</f>
        <v>0</v>
      </c>
      <c r="AV1851" s="190">
        <f t="shared" ref="AV1851:AV1852" si="605">IF(ISBLANK(AS1851),,(AT1851*Z1851))</f>
        <v>0</v>
      </c>
      <c r="AW1851" s="191" t="s">
        <v>115</v>
      </c>
      <c r="AX1851" s="551" t="s">
        <v>6144</v>
      </c>
      <c r="AY1851" s="551"/>
      <c r="AZ1851" s="551"/>
      <c r="BA1851" s="551"/>
      <c r="BB1851" s="551"/>
      <c r="BC1851" s="551"/>
      <c r="BD1851" s="549"/>
      <c r="BE1851" s="550"/>
      <c r="BF1851" s="549"/>
      <c r="BG1851" s="391">
        <f>SUM($AV$1389:AV1851)</f>
        <v>3410.8931371208296</v>
      </c>
      <c r="BH1851" s="392">
        <f>SUM($AU$1389:AU1851)</f>
        <v>35720.379999999532</v>
      </c>
      <c r="BI1851" s="318">
        <f>SUMIFS($AU$1388:AU1852,$Q$1388:Q1852,"F")</f>
        <v>23748.400000000001</v>
      </c>
      <c r="BJ1851" s="318">
        <f>SUMIFS($AU$1388:AU1852,$Q$1388:Q1852,"S")</f>
        <v>8175.9999999999945</v>
      </c>
      <c r="BK1851" s="343">
        <f>SUMIFS($AU$1388:AU1852,$P$1388:P1852,"W")</f>
        <v>24973.580000000344</v>
      </c>
      <c r="BL1851" s="343">
        <f>SUMIFS($AU$1388:AU1852,$P$1388:P1852,"R")</f>
        <v>9197.9999999998618</v>
      </c>
      <c r="BM1851" s="343">
        <f>SUMIFS($AU$1388:AU1852,$AQ$1388:AQ1852,"M")</f>
        <v>7012.7799999992385</v>
      </c>
      <c r="BN1851" s="343">
        <f>SUMIFS($AU$1388:AU1852,$AQ$1388:AQ1852,"H")</f>
        <v>5159.2000000002827</v>
      </c>
      <c r="BO1851" s="343">
        <f>SUMIFS($AU$1388:AU1852,$AQ$1388:AQ1852,"D")</f>
        <v>12150</v>
      </c>
      <c r="BP1851" s="343">
        <f>SUMIFS($AU$1388:AU1939,$AQ$1388:AQ1939,"W")</f>
        <v>13472.599999999982</v>
      </c>
      <c r="BQ1851" s="343">
        <f>SUMIFS($AU$1388:AU1852,$Q$1388:Q1852,"O")</f>
        <v>2371.979999999538</v>
      </c>
      <c r="BR1851" s="343">
        <f>SUMIFS($AU$1388:AU1852,$AA$1388:AA1852,"*")</f>
        <v>26081.199999999415</v>
      </c>
      <c r="BS1851" s="343">
        <f>SUMIFS($AU$1388:AU1852,$AB$1388:AB1852,"*")</f>
        <v>9655.1799999999312</v>
      </c>
      <c r="BT1851" s="343">
        <f>SUMIFS($AU$1388:AU1852,$AC$1388:AC1852,"*")</f>
        <v>21428.400000000001</v>
      </c>
      <c r="BU1851" s="343">
        <f>SUMIFS($AU$1388:AU1852,$AA$1388:AA1852,"*",$AB$1388:AB1852,"*")</f>
        <v>5759.9999999998217</v>
      </c>
      <c r="BV1851" s="343">
        <f>SUMIFS($AU$1388:AU1852,$AA$1388:AA1852,"*",$AC$1388:AC1852,"*")</f>
        <v>14324.400000000001</v>
      </c>
      <c r="BW1851" s="343">
        <f>SUMIFS($AU$1388:AU1852,$AB$1388:AB1852,"*",$AC$1388:AC1852,"*")</f>
        <v>4639.9999999999982</v>
      </c>
      <c r="BX1851" s="343">
        <f>SUMIFS($AV$1388:AV1852,$Q$1388:Q1852,"F")</f>
        <v>456.63675319849239</v>
      </c>
      <c r="BY1851" s="343">
        <f>SUMIFS($AV$1388:AV1852,$Q$1388:Q1852,"S")</f>
        <v>392.81638392253404</v>
      </c>
      <c r="BZ1851" s="343">
        <f>SUMIFS($AV$1388:AV1852,$Q$1388:Q1852,"O")</f>
        <v>613.43999999979849</v>
      </c>
    </row>
    <row r="1852" spans="1:78" ht="15.75" customHeight="1">
      <c r="A1852" s="177" t="s">
        <v>5851</v>
      </c>
      <c r="B1852" s="200">
        <v>45401</v>
      </c>
      <c r="C1852" s="178"/>
      <c r="D1852" s="178" t="s">
        <v>111</v>
      </c>
      <c r="E1852" s="227"/>
      <c r="F1852" s="180"/>
      <c r="G1852" s="484" t="s">
        <v>136</v>
      </c>
      <c r="H1852" s="182"/>
      <c r="I1852" s="182"/>
      <c r="J1852" s="182"/>
      <c r="K1852" s="183"/>
      <c r="L1852" s="182">
        <v>2</v>
      </c>
      <c r="M1852" s="182"/>
      <c r="N1852" s="182"/>
      <c r="O1852" s="183" t="s">
        <v>95</v>
      </c>
      <c r="P1852" s="183" t="s">
        <v>96</v>
      </c>
      <c r="Q1852" s="183" t="s">
        <v>97</v>
      </c>
      <c r="R1852" s="183">
        <v>10</v>
      </c>
      <c r="S1852" s="559">
        <v>0</v>
      </c>
      <c r="T1852" s="183">
        <v>10</v>
      </c>
      <c r="U1852" s="183" t="s">
        <v>22</v>
      </c>
      <c r="V1852" s="183"/>
      <c r="W1852" s="183"/>
      <c r="X1852" s="183"/>
      <c r="Y1852" s="184">
        <f>IF(ISBLANK(O1852),"",(IF(O1852=UPPER("IB"),0.005,0.01)))</f>
        <v>0.01</v>
      </c>
      <c r="Z1852" s="185">
        <f>IF(ISBLANK(O1852),"",IF(O1852="IB",8.63*200,IF(O1852="IR",16*100,IF(O1852="YT",20*100,IF(O1852="YT-XT",24*200,IF(O1852="TED",80*100,IF(O1852="XT",29*200)))))))</f>
        <v>1600</v>
      </c>
      <c r="AA1852" s="185" t="s">
        <v>3801</v>
      </c>
      <c r="AB1852" s="185"/>
      <c r="AC1852" s="185"/>
      <c r="AD1852" s="649">
        <v>-0.04</v>
      </c>
      <c r="AE1852" s="182"/>
      <c r="AF1852" s="332"/>
      <c r="AG1852" s="182"/>
      <c r="AH1852" s="182"/>
      <c r="AI1852" s="182"/>
      <c r="AJ1852" s="640"/>
      <c r="AK1852" s="182"/>
      <c r="AL1852" s="496">
        <f t="shared" si="603"/>
        <v>-32</v>
      </c>
      <c r="AM1852" s="496">
        <f t="shared" si="591"/>
        <v>-320</v>
      </c>
      <c r="AN1852" s="626"/>
      <c r="AO1852" s="182"/>
      <c r="AP1852" s="182"/>
      <c r="AQ1852" s="332" t="s">
        <v>372</v>
      </c>
      <c r="AR1852" s="182"/>
      <c r="AS1852" s="189">
        <v>-0.04</v>
      </c>
      <c r="AT1852" s="189">
        <f>IF(ISBLANK(AS1852),,IF(U1852="S",AD1852-AS1852,AS1852-AD1852))</f>
        <v>0</v>
      </c>
      <c r="AU1852" s="187">
        <f>AV1852*R1852</f>
        <v>0</v>
      </c>
      <c r="AV1852" s="190">
        <f t="shared" si="605"/>
        <v>0</v>
      </c>
      <c r="AW1852" s="191" t="s">
        <v>115</v>
      </c>
      <c r="AX1852" s="551"/>
      <c r="AY1852" s="551"/>
      <c r="AZ1852" s="551"/>
      <c r="BA1852" s="551"/>
      <c r="BB1852" s="551"/>
      <c r="BC1852" s="551"/>
      <c r="BD1852" s="549"/>
      <c r="BE1852" s="550"/>
      <c r="BF1852" s="549"/>
      <c r="BG1852" s="391">
        <f>SUM($AV$1389:AV1852)</f>
        <v>3410.8931371208296</v>
      </c>
      <c r="BH1852" s="392">
        <f>SUM($AU$1389:AU1852)</f>
        <v>35720.379999999532</v>
      </c>
      <c r="BI1852" s="318">
        <f>SUMIFS($AU$1388:AU1853,$Q$1388:Q1853,"F")</f>
        <v>23748.400000000001</v>
      </c>
      <c r="BJ1852" s="318">
        <f>SUMIFS($AU$1388:AU1853,$Q$1388:Q1853,"S")</f>
        <v>8175.9999999999945</v>
      </c>
      <c r="BK1852" s="343">
        <f>SUMIFS($AU$1388:AU1853,$P$1388:P1853,"W")</f>
        <v>24973.580000000344</v>
      </c>
      <c r="BL1852" s="343">
        <f>SUMIFS($AU$1388:AU1853,$P$1388:P1853,"R")</f>
        <v>9197.9999999998618</v>
      </c>
      <c r="BM1852" s="343">
        <f>SUMIFS($AU$1388:AU1853,$AQ$1388:AQ1853,"M")</f>
        <v>7012.7799999992385</v>
      </c>
      <c r="BN1852" s="343">
        <f>SUMIFS($AU$1388:AU1853,$AQ$1388:AQ1853,"H")</f>
        <v>5159.2000000002827</v>
      </c>
      <c r="BO1852" s="343">
        <f>SUMIFS($AU$1388:AU1853,$AQ$1388:AQ1853,"D")</f>
        <v>12150</v>
      </c>
      <c r="BP1852" s="343">
        <f>SUMIFS($AU$1388:AU1940,$AQ$1388:AQ1940,"W")</f>
        <v>13472.599999999982</v>
      </c>
      <c r="BQ1852" s="343">
        <f>SUMIFS($AU$1388:AU1853,$Q$1388:Q1853,"O")</f>
        <v>2371.979999999538</v>
      </c>
      <c r="BR1852" s="343">
        <f>SUMIFS($AU$1388:AU1853,$AA$1388:AA1853,"*")</f>
        <v>26081.199999999415</v>
      </c>
      <c r="BS1852" s="343">
        <f>SUMIFS($AU$1388:AU1853,$AB$1388:AB1853,"*")</f>
        <v>9655.1799999999312</v>
      </c>
      <c r="BT1852" s="343">
        <f>SUMIFS($AU$1388:AU1853,$AC$1388:AC1853,"*")</f>
        <v>21428.400000000001</v>
      </c>
      <c r="BU1852" s="343">
        <f>SUMIFS($AU$1388:AU1853,$AA$1388:AA1853,"*",$AB$1388:AB1853,"*")</f>
        <v>5759.9999999998217</v>
      </c>
      <c r="BV1852" s="343">
        <f>SUMIFS($AU$1388:AU1853,$AA$1388:AA1853,"*",$AC$1388:AC1853,"*")</f>
        <v>14324.400000000001</v>
      </c>
      <c r="BW1852" s="343">
        <f>SUMIFS($AU$1388:AU1853,$AB$1388:AB1853,"*",$AC$1388:AC1853,"*")</f>
        <v>4639.9999999999982</v>
      </c>
      <c r="BX1852" s="343">
        <f>SUMIFS($AV$1388:AV1853,$Q$1388:Q1853,"F")</f>
        <v>456.63675319849239</v>
      </c>
      <c r="BY1852" s="343">
        <f>SUMIFS($AV$1388:AV1853,$Q$1388:Q1853,"S")</f>
        <v>392.81638392253404</v>
      </c>
      <c r="BZ1852" s="343">
        <f>SUMIFS($AV$1388:AV1853,$Q$1388:Q1853,"O")</f>
        <v>613.43999999979849</v>
      </c>
    </row>
    <row r="1853" spans="1:78" ht="15.75" customHeight="1">
      <c r="A1853" s="177" t="s">
        <v>5851</v>
      </c>
      <c r="B1853" s="200">
        <v>45401</v>
      </c>
      <c r="C1853" s="178"/>
      <c r="D1853" s="178" t="s">
        <v>111</v>
      </c>
      <c r="E1853" s="227"/>
      <c r="F1853" s="180"/>
      <c r="G1853" s="181" t="s">
        <v>2070</v>
      </c>
      <c r="H1853" s="182"/>
      <c r="I1853" s="182"/>
      <c r="J1853" s="182"/>
      <c r="K1853" s="183"/>
      <c r="L1853" s="182"/>
      <c r="M1853" s="182"/>
      <c r="N1853" s="182"/>
      <c r="O1853" s="183"/>
      <c r="P1853" s="183"/>
      <c r="Q1853" s="183"/>
      <c r="R1853" s="183"/>
      <c r="S1853" s="559"/>
      <c r="T1853" s="183"/>
      <c r="U1853" s="183"/>
      <c r="V1853" s="183"/>
      <c r="W1853" s="183"/>
      <c r="X1853" s="183"/>
      <c r="Y1853" s="184"/>
      <c r="Z1853" s="185"/>
      <c r="AA1853" s="185"/>
      <c r="AB1853" s="185"/>
      <c r="AC1853" s="185"/>
      <c r="AD1853" s="649"/>
      <c r="AE1853" s="182"/>
      <c r="AF1853" s="332"/>
      <c r="AG1853" s="182"/>
      <c r="AH1853" s="182"/>
      <c r="AI1853" s="182"/>
      <c r="AJ1853" s="640"/>
      <c r="AK1853" s="182"/>
      <c r="AL1853" s="496">
        <f t="shared" si="603"/>
        <v>0</v>
      </c>
      <c r="AM1853" s="496">
        <f t="shared" si="591"/>
        <v>0</v>
      </c>
      <c r="AN1853" s="626"/>
      <c r="AO1853" s="182"/>
      <c r="AP1853" s="182"/>
      <c r="AQ1853" s="332" t="str">
        <f>UPPER(RIGHT(Journal_Live[[#This Row],[DURATION ]]))</f>
        <v/>
      </c>
      <c r="AR1853" s="182"/>
      <c r="AS1853" s="189"/>
      <c r="AT1853" s="189"/>
      <c r="AU1853" s="187"/>
      <c r="AV1853" s="190"/>
      <c r="AW1853" s="191"/>
      <c r="AX1853" s="551"/>
      <c r="AY1853" s="551"/>
      <c r="AZ1853" s="551"/>
      <c r="BA1853" s="551"/>
      <c r="BB1853" s="551"/>
      <c r="BC1853" s="551"/>
      <c r="BD1853" s="549"/>
      <c r="BE1853" s="550"/>
      <c r="BF1853" s="549"/>
      <c r="BG1853" s="391">
        <f>SUM($AV$1389:AV1853)</f>
        <v>3410.8931371208296</v>
      </c>
      <c r="BH1853" s="392">
        <f>SUM($AU$1389:AU1853)</f>
        <v>35720.379999999532</v>
      </c>
      <c r="BI1853" s="318">
        <f>SUMIFS($AU$1388:AU1854,$Q$1388:Q1854,"F")</f>
        <v>23748.400000000001</v>
      </c>
      <c r="BJ1853" s="318">
        <f>SUMIFS($AU$1388:AU1854,$Q$1388:Q1854,"S")</f>
        <v>8175.9999999999945</v>
      </c>
      <c r="BK1853" s="343">
        <f>SUMIFS($AU$1388:AU1854,$P$1388:P1854,"W")</f>
        <v>24973.580000000344</v>
      </c>
      <c r="BL1853" s="343">
        <f>SUMIFS($AU$1388:AU1854,$P$1388:P1854,"R")</f>
        <v>9197.9999999998618</v>
      </c>
      <c r="BM1853" s="343">
        <f>SUMIFS($AU$1388:AU1854,$AQ$1388:AQ1854,"M")</f>
        <v>7012.7799999992385</v>
      </c>
      <c r="BN1853" s="343">
        <f>SUMIFS($AU$1388:AU1854,$AQ$1388:AQ1854,"H")</f>
        <v>5159.2000000002827</v>
      </c>
      <c r="BO1853" s="343">
        <f>SUMIFS($AU$1388:AU1854,$AQ$1388:AQ1854,"D")</f>
        <v>12150</v>
      </c>
      <c r="BP1853" s="343">
        <f>SUMIFS($AU$1388:AU1946,$AQ$1388:AQ1946,"W")</f>
        <v>13472.599999999982</v>
      </c>
      <c r="BQ1853" s="343">
        <f>SUMIFS($AU$1388:AU1854,$Q$1388:Q1854,"O")</f>
        <v>2371.979999999538</v>
      </c>
      <c r="BR1853" s="343">
        <f>SUMIFS($AU$1388:AU1854,$AA$1388:AA1854,"*")</f>
        <v>26081.199999999415</v>
      </c>
      <c r="BS1853" s="343">
        <f>SUMIFS($AU$1388:AU1854,$AB$1388:AB1854,"*")</f>
        <v>9655.1799999999312</v>
      </c>
      <c r="BT1853" s="343">
        <f>SUMIFS($AU$1388:AU1854,$AC$1388:AC1854,"*")</f>
        <v>21428.400000000001</v>
      </c>
      <c r="BU1853" s="343">
        <f>SUMIFS($AU$1388:AU1854,$AA$1388:AA1854,"*",$AB$1388:AB1854,"*")</f>
        <v>5759.9999999998217</v>
      </c>
      <c r="BV1853" s="343">
        <f>SUMIFS($AU$1388:AU1854,$AA$1388:AA1854,"*",$AC$1388:AC1854,"*")</f>
        <v>14324.400000000001</v>
      </c>
      <c r="BW1853" s="343">
        <f>SUMIFS($AU$1388:AU1854,$AB$1388:AB1854,"*",$AC$1388:AC1854,"*")</f>
        <v>4639.9999999999982</v>
      </c>
      <c r="BX1853" s="343">
        <f>SUMIFS($AV$1388:AV1854,$Q$1388:Q1854,"F")</f>
        <v>456.63675319849239</v>
      </c>
      <c r="BY1853" s="343">
        <f>SUMIFS($AV$1388:AV1854,$Q$1388:Q1854,"S")</f>
        <v>392.81638392253404</v>
      </c>
      <c r="BZ1853" s="343">
        <f>SUMIFS($AV$1388:AV1854,$Q$1388:Q1854,"O")</f>
        <v>613.43999999979849</v>
      </c>
    </row>
    <row r="1854" spans="1:78" ht="15.75" customHeight="1">
      <c r="A1854" s="177" t="s">
        <v>5851</v>
      </c>
      <c r="B1854" s="200">
        <v>45401</v>
      </c>
      <c r="C1854" s="178" t="s">
        <v>6145</v>
      </c>
      <c r="D1854" s="178" t="s">
        <v>111</v>
      </c>
      <c r="E1854" s="227"/>
      <c r="F1854" s="180"/>
      <c r="G1854" s="484" t="s">
        <v>5740</v>
      </c>
      <c r="H1854" s="182"/>
      <c r="I1854" s="182"/>
      <c r="J1854" s="182"/>
      <c r="K1854" s="183"/>
      <c r="L1854" s="182">
        <v>2</v>
      </c>
      <c r="M1854" s="182"/>
      <c r="N1854" s="182"/>
      <c r="O1854" s="183" t="s">
        <v>95</v>
      </c>
      <c r="P1854" s="183" t="s">
        <v>96</v>
      </c>
      <c r="Q1854" s="183" t="s">
        <v>684</v>
      </c>
      <c r="R1854" s="183">
        <v>35</v>
      </c>
      <c r="S1854" s="183">
        <v>0</v>
      </c>
      <c r="T1854" s="183">
        <v>35</v>
      </c>
      <c r="U1854" s="183" t="s">
        <v>97</v>
      </c>
      <c r="V1854" s="183"/>
      <c r="W1854" s="183"/>
      <c r="X1854" s="183"/>
      <c r="Y1854" s="184">
        <f>IF(ISBLANK(O1854),"",(IF(O1854=UPPER("IB"),0.005,0.01)))</f>
        <v>0.01</v>
      </c>
      <c r="Z1854" s="185">
        <f>IF(ISBLANK(O1854),"",IF(O1854="IB",8.63*200,IF(O1854="IR",16*100,IF(O1854="YT",20*100,IF(O1854="YT-XT",24*200,IF(O1854="TED",80*100,IF(O1854="XT",29*200)))))))</f>
        <v>1600</v>
      </c>
      <c r="AA1854" s="185" t="s">
        <v>3801</v>
      </c>
      <c r="AB1854" s="185"/>
      <c r="AC1854" s="185"/>
      <c r="AD1854" s="649">
        <v>95.68</v>
      </c>
      <c r="AE1854" s="182"/>
      <c r="AF1854" s="332"/>
      <c r="AG1854" s="182"/>
      <c r="AH1854" s="182"/>
      <c r="AI1854" s="182"/>
      <c r="AJ1854" s="640"/>
      <c r="AK1854" s="182"/>
      <c r="AL1854" s="496">
        <f t="shared" si="603"/>
        <v>-32</v>
      </c>
      <c r="AM1854" s="496">
        <f t="shared" si="591"/>
        <v>-1120</v>
      </c>
      <c r="AN1854" s="626"/>
      <c r="AO1854" s="182"/>
      <c r="AP1854" s="182"/>
      <c r="AQ1854" s="332" t="s">
        <v>372</v>
      </c>
      <c r="AR1854" s="182"/>
      <c r="AS1854" s="189">
        <v>95.68</v>
      </c>
      <c r="AT1854" s="189">
        <f>IF(ISBLANK(AS1854),,IF(U1854="S",AD1854-AS1854,AS1854-AD1854))</f>
        <v>0</v>
      </c>
      <c r="AU1854" s="187">
        <f>AV1854*R1854</f>
        <v>0</v>
      </c>
      <c r="AV1854" s="190">
        <f t="shared" ref="AV1854:AV1856" si="606">IF(ISBLANK(AS1854),,(AT1854*Z1854))</f>
        <v>0</v>
      </c>
      <c r="AW1854" s="191" t="s">
        <v>115</v>
      </c>
      <c r="AX1854" s="551"/>
      <c r="AY1854" s="551"/>
      <c r="AZ1854" s="551"/>
      <c r="BA1854" s="551"/>
      <c r="BB1854" s="551"/>
      <c r="BC1854" s="551"/>
      <c r="BD1854" s="549"/>
      <c r="BE1854" s="550"/>
      <c r="BF1854" s="549"/>
      <c r="BG1854" s="391">
        <f>SUM($AV$1389:AV1854)</f>
        <v>3410.8931371208296</v>
      </c>
      <c r="BH1854" s="392">
        <f>SUM($AU$1389:AU1854)</f>
        <v>35720.379999999532</v>
      </c>
      <c r="BI1854" s="318">
        <f>SUMIFS($AU$1388:AU1855,$Q$1388:Q1855,"F")</f>
        <v>23748.400000000001</v>
      </c>
      <c r="BJ1854" s="318">
        <f>SUMIFS($AU$1388:AU1855,$Q$1388:Q1855,"S")</f>
        <v>8175.9999999999945</v>
      </c>
      <c r="BK1854" s="343">
        <f>SUMIFS($AU$1388:AU1855,$P$1388:P1855,"W")</f>
        <v>24973.580000000344</v>
      </c>
      <c r="BL1854" s="343">
        <f>SUMIFS($AU$1388:AU1855,$P$1388:P1855,"R")</f>
        <v>9197.9999999998618</v>
      </c>
      <c r="BM1854" s="343">
        <f>SUMIFS($AU$1388:AU1855,$AQ$1388:AQ1855,"M")</f>
        <v>7012.7799999992385</v>
      </c>
      <c r="BN1854" s="343">
        <f>SUMIFS($AU$1388:AU1855,$AQ$1388:AQ1855,"H")</f>
        <v>5159.2000000002827</v>
      </c>
      <c r="BO1854" s="343">
        <f>SUMIFS($AU$1388:AU1855,$AQ$1388:AQ1855,"D")</f>
        <v>12150</v>
      </c>
      <c r="BP1854" s="343">
        <f>SUMIFS($AU$1388:AU1947,$AQ$1388:AQ1947,"W")</f>
        <v>13472.599999999982</v>
      </c>
      <c r="BQ1854" s="343">
        <f>SUMIFS($AU$1388:AU1855,$Q$1388:Q1855,"O")</f>
        <v>2371.979999999538</v>
      </c>
      <c r="BR1854" s="343">
        <f>SUMIFS($AU$1388:AU1855,$AA$1388:AA1855,"*")</f>
        <v>26081.199999999415</v>
      </c>
      <c r="BS1854" s="343">
        <f>SUMIFS($AU$1388:AU1855,$AB$1388:AB1855,"*")</f>
        <v>9655.1799999999312</v>
      </c>
      <c r="BT1854" s="343">
        <f>SUMIFS($AU$1388:AU1855,$AC$1388:AC1855,"*")</f>
        <v>21428.400000000001</v>
      </c>
      <c r="BU1854" s="343">
        <f>SUMIFS($AU$1388:AU1855,$AA$1388:AA1855,"*",$AB$1388:AB1855,"*")</f>
        <v>5759.9999999998217</v>
      </c>
      <c r="BV1854" s="343">
        <f>SUMIFS($AU$1388:AU1855,$AA$1388:AA1855,"*",$AC$1388:AC1855,"*")</f>
        <v>14324.400000000001</v>
      </c>
      <c r="BW1854" s="343">
        <f>SUMIFS($AU$1388:AU1855,$AB$1388:AB1855,"*",$AC$1388:AC1855,"*")</f>
        <v>4639.9999999999982</v>
      </c>
      <c r="BX1854" s="343">
        <f>SUMIFS($AV$1388:AV1855,$Q$1388:Q1855,"F")</f>
        <v>456.63675319849239</v>
      </c>
      <c r="BY1854" s="343">
        <f>SUMIFS($AV$1388:AV1855,$Q$1388:Q1855,"S")</f>
        <v>392.81638392253404</v>
      </c>
      <c r="BZ1854" s="343">
        <f>SUMIFS($AV$1388:AV1855,$Q$1388:Q1855,"O")</f>
        <v>613.43999999979849</v>
      </c>
    </row>
    <row r="1855" spans="1:78" ht="15.75" customHeight="1">
      <c r="A1855" s="177" t="s">
        <v>5851</v>
      </c>
      <c r="B1855" s="200">
        <v>45401</v>
      </c>
      <c r="C1855" s="178" t="s">
        <v>5761</v>
      </c>
      <c r="D1855" s="178" t="s">
        <v>111</v>
      </c>
      <c r="E1855" s="227" t="s">
        <v>6146</v>
      </c>
      <c r="F1855" s="180"/>
      <c r="G1855" s="181"/>
      <c r="H1855" s="182"/>
      <c r="I1855" s="182"/>
      <c r="J1855" s="182"/>
      <c r="K1855" s="183"/>
      <c r="L1855" s="182"/>
      <c r="M1855" s="182"/>
      <c r="N1855" s="182"/>
      <c r="O1855" s="183"/>
      <c r="P1855" s="183"/>
      <c r="Q1855" s="183"/>
      <c r="R1855" s="183"/>
      <c r="S1855" s="183"/>
      <c r="T1855" s="183"/>
      <c r="U1855" s="183"/>
      <c r="V1855" s="183"/>
      <c r="W1855" s="183"/>
      <c r="X1855" s="183"/>
      <c r="Y1855" s="183"/>
      <c r="Z1855" s="183"/>
      <c r="AA1855" s="185"/>
      <c r="AB1855" s="185"/>
      <c r="AC1855" s="185"/>
      <c r="AD1855" s="649"/>
      <c r="AE1855" s="182"/>
      <c r="AF1855" s="332"/>
      <c r="AG1855" s="182"/>
      <c r="AH1855" s="182"/>
      <c r="AI1855" s="182"/>
      <c r="AJ1855" s="640"/>
      <c r="AK1855" s="182"/>
      <c r="AL1855" s="496">
        <f t="shared" si="603"/>
        <v>0</v>
      </c>
      <c r="AM1855" s="496">
        <f t="shared" si="591"/>
        <v>0</v>
      </c>
      <c r="AN1855" s="626"/>
      <c r="AO1855" s="182"/>
      <c r="AP1855" s="182"/>
      <c r="AQ1855" s="332" t="str">
        <f>UPPER(RIGHT(Journal_Live[[#This Row],[DURATION ]]))</f>
        <v/>
      </c>
      <c r="AR1855" s="182"/>
      <c r="AS1855" s="189"/>
      <c r="AT1855" s="189"/>
      <c r="AU1855" s="187"/>
      <c r="AV1855" s="190"/>
      <c r="AW1855" s="191"/>
      <c r="AX1855" s="551"/>
      <c r="AY1855" s="551"/>
      <c r="AZ1855" s="551"/>
      <c r="BA1855" s="551"/>
      <c r="BB1855" s="551"/>
      <c r="BC1855" s="551"/>
      <c r="BD1855" s="549"/>
      <c r="BE1855" s="550"/>
      <c r="BF1855" s="549"/>
      <c r="BG1855" s="391">
        <f>SUM($AV$1389:AV1855)</f>
        <v>3410.8931371208296</v>
      </c>
      <c r="BH1855" s="392">
        <f>SUM($AU$1389:AU1855)</f>
        <v>35720.379999999532</v>
      </c>
      <c r="BI1855" s="318">
        <f>SUMIFS($AU$1388:AU1856,$Q$1388:Q1856,"F")</f>
        <v>23748.400000000001</v>
      </c>
      <c r="BJ1855" s="318">
        <f>SUMIFS($AU$1388:AU1856,$Q$1388:Q1856,"S")</f>
        <v>8175.9999999999945</v>
      </c>
      <c r="BK1855" s="343">
        <f>SUMIFS($AU$1388:AU1856,$P$1388:P1856,"W")</f>
        <v>24973.580000000344</v>
      </c>
      <c r="BL1855" s="343">
        <f>SUMIFS($AU$1388:AU1856,$P$1388:P1856,"R")</f>
        <v>9197.9999999998618</v>
      </c>
      <c r="BM1855" s="343">
        <f>SUMIFS($AU$1388:AU1856,$AQ$1388:AQ1856,"M")</f>
        <v>7128.779999999133</v>
      </c>
      <c r="BN1855" s="343">
        <f>SUMIFS($AU$1388:AU1856,$AQ$1388:AQ1856,"H")</f>
        <v>5159.2000000002827</v>
      </c>
      <c r="BO1855" s="343">
        <f>SUMIFS($AU$1388:AU1856,$AQ$1388:AQ1856,"D")</f>
        <v>12150</v>
      </c>
      <c r="BP1855" s="343">
        <f>SUMIFS($AU$1388:AU1948,$AQ$1388:AQ1948,"W")</f>
        <v>13472.599999999982</v>
      </c>
      <c r="BQ1855" s="343">
        <f>SUMIFS($AU$1388:AU1856,$Q$1388:Q1856,"O")</f>
        <v>2487.9799999994325</v>
      </c>
      <c r="BR1855" s="343">
        <f>SUMIFS($AU$1388:AU1856,$AA$1388:AA1856,"*")</f>
        <v>26197.19999999931</v>
      </c>
      <c r="BS1855" s="343">
        <f>SUMIFS($AU$1388:AU1856,$AB$1388:AB1856,"*")</f>
        <v>9655.1799999999312</v>
      </c>
      <c r="BT1855" s="343">
        <f>SUMIFS($AU$1388:AU1856,$AC$1388:AC1856,"*")</f>
        <v>21428.400000000001</v>
      </c>
      <c r="BU1855" s="343">
        <f>SUMIFS($AU$1388:AU1856,$AA$1388:AA1856,"*",$AB$1388:AB1856,"*")</f>
        <v>5759.9999999998217</v>
      </c>
      <c r="BV1855" s="343">
        <f>SUMIFS($AU$1388:AU1856,$AA$1388:AA1856,"*",$AC$1388:AC1856,"*")</f>
        <v>14324.400000000001</v>
      </c>
      <c r="BW1855" s="343">
        <f>SUMIFS($AU$1388:AU1856,$AB$1388:AB1856,"*",$AC$1388:AC1856,"*")</f>
        <v>4639.9999999999982</v>
      </c>
      <c r="BX1855" s="343">
        <f>SUMIFS($AV$1388:AV1856,$Q$1388:Q1856,"F")</f>
        <v>456.63675319849239</v>
      </c>
      <c r="BY1855" s="343">
        <f>SUMIFS($AV$1388:AV1856,$Q$1388:Q1856,"S")</f>
        <v>392.81638392253404</v>
      </c>
      <c r="BZ1855" s="343">
        <f>SUMIFS($AV$1388:AV1856,$Q$1388:Q1856,"O")</f>
        <v>642.43999999977211</v>
      </c>
    </row>
    <row r="1856" spans="1:78" ht="15.75" customHeight="1">
      <c r="A1856" s="177" t="s">
        <v>5851</v>
      </c>
      <c r="B1856" s="200">
        <v>45401</v>
      </c>
      <c r="C1856" s="178" t="s">
        <v>1629</v>
      </c>
      <c r="D1856" s="178" t="s">
        <v>111</v>
      </c>
      <c r="E1856" s="227"/>
      <c r="F1856" s="180"/>
      <c r="G1856" s="181" t="s">
        <v>5723</v>
      </c>
      <c r="H1856" s="182"/>
      <c r="I1856" s="182"/>
      <c r="J1856" s="182"/>
      <c r="K1856" s="183"/>
      <c r="L1856" s="182">
        <v>3</v>
      </c>
      <c r="M1856" s="182"/>
      <c r="N1856" s="182"/>
      <c r="O1856" s="183" t="s">
        <v>3618</v>
      </c>
      <c r="P1856" s="183" t="s">
        <v>2260</v>
      </c>
      <c r="Q1856" s="183" t="s">
        <v>684</v>
      </c>
      <c r="R1856" s="183">
        <v>4</v>
      </c>
      <c r="S1856" s="183">
        <v>0</v>
      </c>
      <c r="T1856" s="183">
        <v>2</v>
      </c>
      <c r="U1856" s="183" t="s">
        <v>97</v>
      </c>
      <c r="V1856" s="183"/>
      <c r="W1856" s="183"/>
      <c r="X1856" s="183"/>
      <c r="Y1856" s="184">
        <f>IF(ISBLANK(O1856),"",(IF(O1856=UPPER("IB"),0.005,0.01)))</f>
        <v>0.01</v>
      </c>
      <c r="Z1856" s="185">
        <f>IF(ISBLANK(O1856),"",IF(O1856="IB",8.63*200,IF(O1856="IR",16*100,IF(O1856="YT",20*100,IF(O1856="YT-XT",24*200,IF(O1856="TED",80*100,IF(O1856="XT",29*200)))))))</f>
        <v>5800</v>
      </c>
      <c r="AA1856" s="185" t="s">
        <v>6147</v>
      </c>
      <c r="AB1856" s="185"/>
      <c r="AC1856" s="185"/>
      <c r="AD1856" s="649">
        <v>95.74</v>
      </c>
      <c r="AE1856" s="182"/>
      <c r="AF1856" s="332"/>
      <c r="AG1856" s="182"/>
      <c r="AH1856" s="182"/>
      <c r="AI1856" s="182"/>
      <c r="AJ1856" s="640"/>
      <c r="AK1856" s="182"/>
      <c r="AL1856" s="496">
        <f t="shared" si="601"/>
        <v>-116</v>
      </c>
      <c r="AM1856" s="496">
        <f t="shared" si="591"/>
        <v>-464</v>
      </c>
      <c r="AN1856" s="626"/>
      <c r="AO1856" s="182"/>
      <c r="AP1856" s="182" t="s">
        <v>4262</v>
      </c>
      <c r="AQ1856" s="332" t="s">
        <v>1259</v>
      </c>
      <c r="AR1856" s="182"/>
      <c r="AS1856" s="189">
        <v>95.734999999999999</v>
      </c>
      <c r="AT1856" s="189">
        <f>IF(ISBLANK(AS1856),,IF(U1856="S",AD1856-AS1856,AS1856-AD1856))</f>
        <v>4.9999999999954525E-3</v>
      </c>
      <c r="AU1856" s="187">
        <f>AV1856*R1856</f>
        <v>115.9999999998945</v>
      </c>
      <c r="AV1856" s="190">
        <f t="shared" si="606"/>
        <v>28.999999999973625</v>
      </c>
      <c r="AW1856" s="191" t="s">
        <v>96</v>
      </c>
      <c r="AX1856" s="551"/>
      <c r="AY1856" s="551"/>
      <c r="AZ1856" s="551"/>
      <c r="BA1856" s="551"/>
      <c r="BB1856" s="551"/>
      <c r="BC1856" s="551"/>
      <c r="BD1856" s="549"/>
      <c r="BE1856" s="550"/>
      <c r="BF1856" s="549"/>
      <c r="BG1856" s="391">
        <f>SUM($AV$1389:AV1856)</f>
        <v>3439.8931371208032</v>
      </c>
      <c r="BH1856" s="392">
        <f>SUM($AU$1389:AU1856)</f>
        <v>35836.379999999423</v>
      </c>
      <c r="BI1856" s="318">
        <f>SUMIFS($AU$1388:AU1857,$Q$1388:Q1857,"F")</f>
        <v>23748.400000000001</v>
      </c>
      <c r="BJ1856" s="318">
        <f>SUMIFS($AU$1388:AU1857,$Q$1388:Q1857,"S")</f>
        <v>8175.9999999999945</v>
      </c>
      <c r="BK1856" s="343">
        <f>SUMIFS($AU$1388:AU1857,$P$1388:P1857,"W")</f>
        <v>24973.580000000344</v>
      </c>
      <c r="BL1856" s="343">
        <f>SUMIFS($AU$1388:AU1857,$P$1388:P1857,"R")</f>
        <v>9197.9999999998618</v>
      </c>
      <c r="BM1856" s="343">
        <f>SUMIFS($AU$1388:AU1857,$AQ$1388:AQ1857,"M")</f>
        <v>7128.779999999133</v>
      </c>
      <c r="BN1856" s="343">
        <f>SUMIFS($AU$1388:AU1857,$AQ$1388:AQ1857,"H")</f>
        <v>5159.2000000002827</v>
      </c>
      <c r="BO1856" s="343">
        <f>SUMIFS($AU$1388:AU1857,$AQ$1388:AQ1857,"D")</f>
        <v>12150</v>
      </c>
      <c r="BP1856" s="343">
        <f>SUMIFS($AU$1388:AU2475,$AQ$1388:AQ2475,"W")</f>
        <v>11236.946363636598</v>
      </c>
      <c r="BQ1856" s="343">
        <f>SUMIFS($AU$1388:AU1857,$Q$1388:Q1857,"O")</f>
        <v>2487.9799999994325</v>
      </c>
      <c r="BR1856" s="343">
        <f>SUMIFS($AU$1388:AU1857,$AA$1388:AA1857,"*")</f>
        <v>26197.19999999931</v>
      </c>
      <c r="BS1856" s="343">
        <f>SUMIFS($AU$1388:AU1857,$AB$1388:AB1857,"*")</f>
        <v>9655.1799999999312</v>
      </c>
      <c r="BT1856" s="343">
        <f>SUMIFS($AU$1388:AU1857,$AC$1388:AC1857,"*")</f>
        <v>21428.400000000001</v>
      </c>
      <c r="BU1856" s="343">
        <f>SUMIFS($AU$1388:AU1857,$AA$1388:AA1857,"*",$AB$1388:AB1857,"*")</f>
        <v>5759.9999999998217</v>
      </c>
      <c r="BV1856" s="343">
        <f>SUMIFS($AU$1388:AU1857,$AA$1388:AA1857,"*",$AC$1388:AC1857,"*")</f>
        <v>14324.400000000001</v>
      </c>
      <c r="BW1856" s="343">
        <f>SUMIFS($AU$1388:AU1857,$AB$1388:AB1857,"*",$AC$1388:AC1857,"*")</f>
        <v>4639.9999999999982</v>
      </c>
      <c r="BX1856" s="343">
        <f>SUMIFS($AV$1388:AV1857,$Q$1388:Q1857,"F")</f>
        <v>456.63675319849239</v>
      </c>
      <c r="BY1856" s="343">
        <f>SUMIFS($AV$1388:AV1857,$Q$1388:Q1857,"S")</f>
        <v>392.81638392253404</v>
      </c>
      <c r="BZ1856" s="343">
        <f>SUMIFS($AV$1388:AV1857,$Q$1388:Q1857,"O")</f>
        <v>642.43999999977211</v>
      </c>
    </row>
    <row r="1857" spans="1:78" ht="15.75" customHeight="1">
      <c r="A1857" s="177" t="s">
        <v>5851</v>
      </c>
      <c r="B1857" s="200"/>
      <c r="C1857" s="178"/>
      <c r="D1857" s="178"/>
      <c r="E1857" s="227"/>
      <c r="F1857" s="180"/>
      <c r="G1857" s="181"/>
      <c r="H1857" s="182"/>
      <c r="I1857" s="182"/>
      <c r="J1857" s="182"/>
      <c r="K1857" s="183"/>
      <c r="L1857" s="182"/>
      <c r="M1857" s="182"/>
      <c r="N1857" s="182"/>
      <c r="O1857" s="183"/>
      <c r="P1857" s="183"/>
      <c r="Q1857" s="183"/>
      <c r="R1857" s="183"/>
      <c r="S1857" s="183"/>
      <c r="T1857" s="183"/>
      <c r="U1857" s="183"/>
      <c r="V1857" s="183"/>
      <c r="W1857" s="183"/>
      <c r="X1857" s="183"/>
      <c r="Y1857" s="183"/>
      <c r="Z1857" s="183"/>
      <c r="AA1857" s="185"/>
      <c r="AB1857" s="185"/>
      <c r="AC1857" s="185"/>
      <c r="AD1857" s="649"/>
      <c r="AE1857" s="182"/>
      <c r="AF1857" s="332"/>
      <c r="AG1857" s="182"/>
      <c r="AH1857" s="182"/>
      <c r="AI1857" s="182"/>
      <c r="AJ1857" s="640"/>
      <c r="AK1857" s="182"/>
      <c r="AL1857" s="496">
        <f t="shared" si="600"/>
        <v>0</v>
      </c>
      <c r="AM1857" s="496">
        <f t="shared" si="591"/>
        <v>0</v>
      </c>
      <c r="AN1857" s="626"/>
      <c r="AO1857" s="182"/>
      <c r="AP1857" s="182"/>
      <c r="AQ1857" s="332" t="str">
        <f>UPPER(RIGHT(Journal_Live[[#This Row],[DURATION ]]))</f>
        <v/>
      </c>
      <c r="AR1857" s="182"/>
      <c r="AS1857" s="189"/>
      <c r="AT1857" s="189"/>
      <c r="AU1857" s="187"/>
      <c r="AV1857" s="190"/>
      <c r="AW1857" s="191"/>
      <c r="AX1857" s="551" t="s">
        <v>6148</v>
      </c>
      <c r="AY1857" s="551" t="s">
        <v>6149</v>
      </c>
      <c r="AZ1857" s="551" t="s">
        <v>6150</v>
      </c>
      <c r="BA1857" s="551"/>
      <c r="BB1857" s="551"/>
      <c r="BC1857" s="551"/>
      <c r="BD1857" s="549"/>
      <c r="BE1857" s="550"/>
      <c r="BF1857" s="549"/>
      <c r="BG1857" s="391">
        <f>SUM($AV$1389:AV1857)</f>
        <v>3439.8931371208032</v>
      </c>
      <c r="BH1857" s="392">
        <f>SUM($AU$1389:AU1857)</f>
        <v>35836.379999999423</v>
      </c>
      <c r="BI1857" s="318">
        <f>SUMIFS($AU$1388:AU1858,$Q$1388:Q1858,"F")</f>
        <v>23748.400000000001</v>
      </c>
      <c r="BJ1857" s="318">
        <f>SUMIFS($AU$1388:AU1858,$Q$1388:Q1858,"S")</f>
        <v>8175.9999999999945</v>
      </c>
      <c r="BK1857" s="343">
        <f>SUMIFS($AU$1388:AU1858,$P$1388:P1858,"W")</f>
        <v>24973.580000000344</v>
      </c>
      <c r="BL1857" s="343">
        <f>SUMIFS($AU$1388:AU1858,$P$1388:P1858,"R")</f>
        <v>9197.9999999998618</v>
      </c>
      <c r="BM1857" s="343">
        <f>SUMIFS($AU$1388:AU1858,$AQ$1388:AQ1858,"M")</f>
        <v>7128.779999999133</v>
      </c>
      <c r="BN1857" s="343">
        <f>SUMIFS($AU$1388:AU1858,$AQ$1388:AQ1858,"H")</f>
        <v>5159.2000000002827</v>
      </c>
      <c r="BO1857" s="343">
        <f>SUMIFS($AU$1388:AU1858,$AQ$1388:AQ1858,"D")</f>
        <v>12150</v>
      </c>
      <c r="BP1857" s="343">
        <f>SUMIFS($AU$1388:AU2628,$AQ$1388:AQ2628,"W")</f>
        <v>11236.946363636598</v>
      </c>
      <c r="BQ1857" s="343">
        <f>SUMIFS($AU$1388:AU1858,$Q$1388:Q1858,"O")</f>
        <v>2487.9799999994325</v>
      </c>
      <c r="BR1857" s="343">
        <f>SUMIFS($AU$1388:AU1858,$AA$1388:AA1858,"*")</f>
        <v>26197.19999999931</v>
      </c>
      <c r="BS1857" s="343">
        <f>SUMIFS($AU$1388:AU1858,$AB$1388:AB1858,"*")</f>
        <v>9655.1799999999312</v>
      </c>
      <c r="BT1857" s="343">
        <f>SUMIFS($AU$1388:AU1858,$AC$1388:AC1858,"*")</f>
        <v>21428.400000000001</v>
      </c>
      <c r="BU1857" s="343">
        <f>SUMIFS($AU$1388:AU1858,$AA$1388:AA1858,"*",$AB$1388:AB1858,"*")</f>
        <v>5759.9999999998217</v>
      </c>
      <c r="BV1857" s="343">
        <f>SUMIFS($AU$1388:AU1858,$AA$1388:AA1858,"*",$AC$1388:AC1858,"*")</f>
        <v>14324.400000000001</v>
      </c>
      <c r="BW1857" s="343">
        <f>SUMIFS($AU$1388:AU1858,$AB$1388:AB1858,"*",$AC$1388:AC1858,"*")</f>
        <v>4639.9999999999982</v>
      </c>
      <c r="BX1857" s="343">
        <f>SUMIFS($AV$1388:AV1858,$Q$1388:Q1858,"F")</f>
        <v>456.63675319849239</v>
      </c>
      <c r="BY1857" s="343">
        <f>SUMIFS($AV$1388:AV1858,$Q$1388:Q1858,"S")</f>
        <v>392.81638392253404</v>
      </c>
      <c r="BZ1857" s="343">
        <f>SUMIFS($AV$1388:AV1858,$Q$1388:Q1858,"O")</f>
        <v>642.43999999977211</v>
      </c>
    </row>
    <row r="1858" spans="1:78" ht="15.75" customHeight="1">
      <c r="A1858" s="177" t="s">
        <v>5851</v>
      </c>
      <c r="B1858" s="200"/>
      <c r="C1858" s="178"/>
      <c r="D1858" s="178"/>
      <c r="E1858" s="227"/>
      <c r="F1858" s="180"/>
      <c r="G1858" s="181"/>
      <c r="H1858" s="182"/>
      <c r="I1858" s="182"/>
      <c r="J1858" s="182"/>
      <c r="K1858" s="183"/>
      <c r="L1858" s="182"/>
      <c r="M1858" s="182"/>
      <c r="N1858" s="182"/>
      <c r="O1858" s="183"/>
      <c r="P1858" s="183"/>
      <c r="Q1858" s="183"/>
      <c r="R1858" s="183"/>
      <c r="S1858" s="183"/>
      <c r="T1858" s="183"/>
      <c r="U1858" s="183"/>
      <c r="V1858" s="183"/>
      <c r="W1858" s="183"/>
      <c r="X1858" s="183"/>
      <c r="Y1858" s="183"/>
      <c r="Z1858" s="183"/>
      <c r="AA1858" s="185"/>
      <c r="AB1858" s="185"/>
      <c r="AC1858" s="185"/>
      <c r="AD1858" s="649"/>
      <c r="AE1858" s="182"/>
      <c r="AF1858" s="332"/>
      <c r="AG1858" s="182"/>
      <c r="AH1858" s="182"/>
      <c r="AI1858" s="182"/>
      <c r="AJ1858" s="640"/>
      <c r="AK1858" s="182"/>
      <c r="AL1858" s="496">
        <f t="shared" si="600"/>
        <v>0</v>
      </c>
      <c r="AM1858" s="496">
        <f t="shared" si="591"/>
        <v>0</v>
      </c>
      <c r="AN1858" s="626"/>
      <c r="AO1858" s="182"/>
      <c r="AP1858" s="182"/>
      <c r="AQ1858" s="332" t="str">
        <f>UPPER(RIGHT(Journal_Live[[#This Row],[DURATION ]]))</f>
        <v/>
      </c>
      <c r="AR1858" s="182"/>
      <c r="AS1858" s="189"/>
      <c r="AT1858" s="189"/>
      <c r="AU1858" s="187"/>
      <c r="AV1858" s="190"/>
      <c r="AW1858" s="191"/>
      <c r="AX1858" s="551" t="s">
        <v>6151</v>
      </c>
      <c r="AY1858" s="551"/>
      <c r="AZ1858" s="551"/>
      <c r="BA1858" s="551"/>
      <c r="BB1858" s="551"/>
      <c r="BC1858" s="551"/>
      <c r="BD1858" s="549"/>
      <c r="BE1858" s="550"/>
      <c r="BF1858" s="549"/>
      <c r="BG1858" s="391">
        <f>SUM($AV$1389:AV1858)</f>
        <v>3439.8931371208032</v>
      </c>
      <c r="BH1858" s="392">
        <f>SUM($AU$1389:AU1858)</f>
        <v>35836.379999999423</v>
      </c>
      <c r="BI1858" s="318">
        <f>SUMIFS($AU$1388:AU1859,$Q$1388:Q1859,"F")</f>
        <v>23748.400000000001</v>
      </c>
      <c r="BJ1858" s="318">
        <f>SUMIFS($AU$1388:AU1859,$Q$1388:Q1859,"S")</f>
        <v>8175.9999999999945</v>
      </c>
      <c r="BK1858" s="343">
        <f>SUMIFS($AU$1388:AU1859,$P$1388:P1859,"W")</f>
        <v>24973.580000000344</v>
      </c>
      <c r="BL1858" s="343">
        <f>SUMIFS($AU$1388:AU1859,$P$1388:P1859,"R")</f>
        <v>9197.9999999998618</v>
      </c>
      <c r="BM1858" s="343">
        <f>SUMIFS($AU$1388:AU1859,$AQ$1388:AQ1859,"M")</f>
        <v>7128.779999999133</v>
      </c>
      <c r="BN1858" s="343">
        <f>SUMIFS($AU$1388:AU1859,$AQ$1388:AQ1859,"H")</f>
        <v>5159.2000000002827</v>
      </c>
      <c r="BO1858" s="343">
        <f>SUMIFS($AU$1388:AU1859,$AQ$1388:AQ1859,"D")</f>
        <v>12150</v>
      </c>
      <c r="BP1858" s="343">
        <f>SUMIFS($AU$1388:AU2630,$AQ$1388:AQ2630,"W")</f>
        <v>11236.946363636598</v>
      </c>
      <c r="BQ1858" s="343">
        <f>SUMIFS($AU$1388:AU1859,$Q$1388:Q1859,"O")</f>
        <v>2487.9799999994325</v>
      </c>
      <c r="BR1858" s="343">
        <f>SUMIFS($AU$1388:AU1859,$AA$1388:AA1859,"*")</f>
        <v>26197.19999999931</v>
      </c>
      <c r="BS1858" s="343">
        <f>SUMIFS($AU$1388:AU1859,$AB$1388:AB1859,"*")</f>
        <v>9655.1799999999312</v>
      </c>
      <c r="BT1858" s="343">
        <f>SUMIFS($AU$1388:AU1859,$AC$1388:AC1859,"*")</f>
        <v>21428.400000000001</v>
      </c>
      <c r="BU1858" s="343">
        <f>SUMIFS($AU$1388:AU1859,$AA$1388:AA1859,"*",$AB$1388:AB1859,"*")</f>
        <v>5759.9999999998217</v>
      </c>
      <c r="BV1858" s="343">
        <f>SUMIFS($AU$1388:AU1859,$AA$1388:AA1859,"*",$AC$1388:AC1859,"*")</f>
        <v>14324.400000000001</v>
      </c>
      <c r="BW1858" s="343">
        <f>SUMIFS($AU$1388:AU1859,$AB$1388:AB1859,"*",$AC$1388:AC1859,"*")</f>
        <v>4639.9999999999982</v>
      </c>
      <c r="BX1858" s="343">
        <f>SUMIFS($AV$1388:AV1859,$Q$1388:Q1859,"F")</f>
        <v>456.63675319849239</v>
      </c>
      <c r="BY1858" s="343">
        <f>SUMIFS($AV$1388:AV1859,$Q$1388:Q1859,"S")</f>
        <v>392.81638392253404</v>
      </c>
      <c r="BZ1858" s="343">
        <f>SUMIFS($AV$1388:AV1859,$Q$1388:Q1859,"O")</f>
        <v>642.43999999977211</v>
      </c>
    </row>
    <row r="1859" spans="1:78" ht="15.75" customHeight="1">
      <c r="A1859" s="177" t="s">
        <v>5851</v>
      </c>
      <c r="B1859" s="200">
        <v>45404</v>
      </c>
      <c r="C1859" s="178" t="s">
        <v>1255</v>
      </c>
      <c r="D1859" s="178" t="s">
        <v>132</v>
      </c>
      <c r="E1859" s="227"/>
      <c r="F1859" s="180"/>
      <c r="G1859" s="484" t="s">
        <v>3766</v>
      </c>
      <c r="H1859" s="182"/>
      <c r="I1859" s="182"/>
      <c r="J1859" s="182"/>
      <c r="K1859" s="183"/>
      <c r="L1859" s="182"/>
      <c r="M1859" s="182">
        <v>1</v>
      </c>
      <c r="N1859" s="182"/>
      <c r="O1859" s="183" t="s">
        <v>95</v>
      </c>
      <c r="P1859" s="183" t="s">
        <v>96</v>
      </c>
      <c r="Q1859" s="183" t="s">
        <v>256</v>
      </c>
      <c r="R1859" s="183">
        <v>100</v>
      </c>
      <c r="S1859" s="559">
        <v>0</v>
      </c>
      <c r="T1859" s="183">
        <v>60</v>
      </c>
      <c r="U1859" s="183" t="s">
        <v>97</v>
      </c>
      <c r="V1859" s="183"/>
      <c r="W1859" s="183"/>
      <c r="X1859" s="183"/>
      <c r="Y1859" s="184">
        <f>IF(ISBLANK(O1859),"",(IF(O1859=UPPER("IB"),0.005,0.01)))</f>
        <v>0.01</v>
      </c>
      <c r="Z1859" s="185">
        <f>IF(ISBLANK(O1859),"",IF(O1859="IB",8.63*200,IF(O1859="IR",16*100,IF(O1859="YT",20*100,IF(O1859="YT-XT",24*200,IF(O1859="TED",80*100,IF(O1859="XT",29*200)))))))</f>
        <v>1600</v>
      </c>
      <c r="AA1859" s="185" t="s">
        <v>2491</v>
      </c>
      <c r="AB1859" s="185"/>
      <c r="AC1859" s="185" t="s">
        <v>6152</v>
      </c>
      <c r="AD1859" s="649">
        <v>0</v>
      </c>
      <c r="AE1859" s="182"/>
      <c r="AF1859" s="332"/>
      <c r="AG1859" s="182"/>
      <c r="AH1859" s="182"/>
      <c r="AI1859" s="182"/>
      <c r="AJ1859" s="640" t="s">
        <v>6153</v>
      </c>
      <c r="AK1859" s="182"/>
      <c r="AL1859" s="496">
        <f t="shared" si="600"/>
        <v>-32</v>
      </c>
      <c r="AM1859" s="496">
        <f t="shared" si="591"/>
        <v>-3200</v>
      </c>
      <c r="AN1859" s="626"/>
      <c r="AO1859" s="182"/>
      <c r="AP1859" s="182" t="s">
        <v>804</v>
      </c>
      <c r="AQ1859" s="332" t="s">
        <v>115</v>
      </c>
      <c r="AR1859" s="182"/>
      <c r="AS1859" s="189">
        <v>0</v>
      </c>
      <c r="AT1859" s="189">
        <f>IF(ISBLANK(AS1859),,IF(U1859="S",AD1859-AS1859,AS1859-AD1859))</f>
        <v>0</v>
      </c>
      <c r="AU1859" s="187">
        <f>AV1859*R1859</f>
        <v>0</v>
      </c>
      <c r="AV1859" s="190">
        <f t="shared" ref="AV1859:AV1860" si="607">IF(ISBLANK(AS1859),,(AT1859*Z1859))</f>
        <v>0</v>
      </c>
      <c r="AW1859" s="191" t="s">
        <v>115</v>
      </c>
      <c r="AX1859" s="551" t="s">
        <v>6154</v>
      </c>
      <c r="AY1859" s="551" t="s">
        <v>6155</v>
      </c>
      <c r="AZ1859" s="551" t="s">
        <v>6156</v>
      </c>
      <c r="BA1859" s="551" t="s">
        <v>6157</v>
      </c>
      <c r="BB1859" s="551" t="s">
        <v>6158</v>
      </c>
      <c r="BC1859" s="551" t="s">
        <v>6159</v>
      </c>
      <c r="BD1859" s="549" t="s">
        <v>6160</v>
      </c>
      <c r="BE1859" s="550"/>
      <c r="BF1859" s="549"/>
      <c r="BG1859" s="391">
        <f>SUM($AV$1389:AV1859)</f>
        <v>3439.8931371208032</v>
      </c>
      <c r="BH1859" s="392">
        <f>SUM($AU$1389:AU1859)</f>
        <v>35836.379999999423</v>
      </c>
      <c r="BI1859" s="318">
        <f>SUMIFS($AU$1388:AU1860,$Q$1388:Q1860,"F")</f>
        <v>23748.400000000001</v>
      </c>
      <c r="BJ1859" s="318">
        <f>SUMIFS($AU$1388:AU1860,$Q$1388:Q1860,"S")</f>
        <v>8175.9999999999945</v>
      </c>
      <c r="BK1859" s="343">
        <f>SUMIFS($AU$1388:AU1860,$P$1388:P1860,"W")</f>
        <v>24973.580000000344</v>
      </c>
      <c r="BL1859" s="343">
        <f>SUMIFS($AU$1388:AU1860,$P$1388:P1860,"R")</f>
        <v>9197.9999999998618</v>
      </c>
      <c r="BM1859" s="343">
        <f>SUMIFS($AU$1388:AU1860,$AQ$1388:AQ1860,"M")</f>
        <v>7128.779999999133</v>
      </c>
      <c r="BN1859" s="343">
        <f>SUMIFS($AU$1388:AU1860,$AQ$1388:AQ1860,"H")</f>
        <v>5159.2000000002827</v>
      </c>
      <c r="BO1859" s="343">
        <f>SUMIFS($AU$1388:AU1860,$AQ$1388:AQ1860,"D")</f>
        <v>12150</v>
      </c>
      <c r="BP1859" s="343">
        <f>SUMIFS($AS$1388:AS2631,$AO$1388:AO2631,"W")</f>
        <v>0</v>
      </c>
      <c r="BQ1859" s="343">
        <f>SUMIFS($AU$1388:AU1860,$Q$1388:Q1860,"O")</f>
        <v>2487.9799999994325</v>
      </c>
      <c r="BR1859" s="343">
        <f>SUMIFS($AU$1388:AU1860,$AA$1388:AA1860,"*")</f>
        <v>26197.19999999931</v>
      </c>
      <c r="BS1859" s="343">
        <f>SUMIFS($AU$1388:AU1860,$AB$1388:AB1860,"*")</f>
        <v>9655.1799999999312</v>
      </c>
      <c r="BT1859" s="343">
        <f>SUMIFS($AU$1388:AU1860,$AC$1388:AC1860,"*")</f>
        <v>21428.400000000001</v>
      </c>
      <c r="BU1859" s="343">
        <f>SUMIFS($AU$1388:AU1860,$AA$1388:AA1860,"*",$AB$1388:AB1860,"*")</f>
        <v>5759.9999999998217</v>
      </c>
      <c r="BV1859" s="343">
        <f>SUMIFS($AU$1388:AU1860,$AA$1388:AA1860,"*",$AC$1388:AC1860,"*")</f>
        <v>14324.400000000001</v>
      </c>
      <c r="BW1859" s="343">
        <f>SUMIFS($AU$1388:AU1860,$AB$1388:AB1860,"*",$AC$1388:AC1860,"*")</f>
        <v>4639.9999999999982</v>
      </c>
      <c r="BX1859" s="343">
        <f>SUMIFS($AV$1388:AV1860,$Q$1388:Q1860,"F")</f>
        <v>456.63675319849239</v>
      </c>
      <c r="BY1859" s="343">
        <f>SUMIFS($AV$1388:AV1860,$Q$1388:Q1860,"S")</f>
        <v>392.81638392253404</v>
      </c>
      <c r="BZ1859" s="343">
        <f>SUMIFS($AV$1388:AV1860,$Q$1388:Q1860,"O")</f>
        <v>642.43999999977211</v>
      </c>
    </row>
    <row r="1860" spans="1:78" ht="15.75" customHeight="1">
      <c r="A1860" s="177" t="s">
        <v>5851</v>
      </c>
      <c r="B1860" s="200">
        <v>45405</v>
      </c>
      <c r="C1860" s="178" t="s">
        <v>3379</v>
      </c>
      <c r="D1860" s="178" t="s">
        <v>146</v>
      </c>
      <c r="E1860" s="227"/>
      <c r="F1860" s="180"/>
      <c r="G1860" s="484" t="s">
        <v>5740</v>
      </c>
      <c r="H1860" s="182"/>
      <c r="I1860" s="182"/>
      <c r="J1860" s="182"/>
      <c r="K1860" s="183"/>
      <c r="L1860" s="182"/>
      <c r="M1860" s="182"/>
      <c r="N1860" s="182"/>
      <c r="O1860" s="183" t="s">
        <v>95</v>
      </c>
      <c r="P1860" s="183" t="s">
        <v>96</v>
      </c>
      <c r="Q1860" s="183" t="s">
        <v>684</v>
      </c>
      <c r="R1860" s="183">
        <v>55</v>
      </c>
      <c r="S1860" s="183">
        <v>25</v>
      </c>
      <c r="T1860" s="183">
        <v>50</v>
      </c>
      <c r="U1860" s="183" t="s">
        <v>22</v>
      </c>
      <c r="V1860" s="183"/>
      <c r="W1860" s="183"/>
      <c r="X1860" s="183"/>
      <c r="Y1860" s="184">
        <f>IF(ISBLANK(O1860),"",(IF(O1860=UPPER("IB"),0.005,0.01)))</f>
        <v>0.01</v>
      </c>
      <c r="Z1860" s="185">
        <f>IF(ISBLANK(O1860),"",IF(O1860="IB",8.63*200,IF(O1860="IR",16*100,IF(O1860="YT",20*100,IF(O1860="YT-XT",24*200,IF(O1860="TED",80*100,IF(O1860="XT",29*200)))))))</f>
        <v>1600</v>
      </c>
      <c r="AA1860" s="185" t="s">
        <v>998</v>
      </c>
      <c r="AB1860" s="185"/>
      <c r="AC1860" s="185"/>
      <c r="AD1860" s="649">
        <v>95.66</v>
      </c>
      <c r="AE1860" s="182"/>
      <c r="AF1860" s="332"/>
      <c r="AG1860" s="182"/>
      <c r="AH1860" s="182"/>
      <c r="AI1860" s="182"/>
      <c r="AJ1860" s="640"/>
      <c r="AK1860" s="182"/>
      <c r="AL1860" s="496">
        <f t="shared" si="527"/>
        <v>-32</v>
      </c>
      <c r="AM1860" s="496">
        <f t="shared" ref="AM1860:AM1891" si="608">AL1860*(R1860-S1860)</f>
        <v>-960</v>
      </c>
      <c r="AN1860" s="626"/>
      <c r="AO1860" s="182"/>
      <c r="AP1860" s="182" t="s">
        <v>6161</v>
      </c>
      <c r="AQ1860" s="332" t="s">
        <v>372</v>
      </c>
      <c r="AR1860" s="182" t="s">
        <v>6162</v>
      </c>
      <c r="AS1860" s="189">
        <v>95.66</v>
      </c>
      <c r="AT1860" s="189">
        <f>IF(ISBLANK(AS1860),,IF(U1860="S",AD1860-AS1860,AS1860-AD1860))</f>
        <v>0</v>
      </c>
      <c r="AU1860" s="187">
        <f>AV1860*R1860</f>
        <v>0</v>
      </c>
      <c r="AV1860" s="190">
        <f t="shared" si="607"/>
        <v>0</v>
      </c>
      <c r="AW1860" s="191" t="s">
        <v>115</v>
      </c>
      <c r="AX1860" s="551" t="s">
        <v>6163</v>
      </c>
      <c r="AY1860" s="551"/>
      <c r="AZ1860" s="551"/>
      <c r="BA1860" s="551"/>
      <c r="BB1860" s="551"/>
      <c r="BC1860" s="551"/>
      <c r="BD1860" s="549"/>
      <c r="BE1860" s="550"/>
      <c r="BF1860" s="549"/>
      <c r="BG1860" s="391">
        <f>SUM($AV$1389:AV1860)</f>
        <v>3439.8931371208032</v>
      </c>
      <c r="BH1860" s="392">
        <f>SUM($AU$1389:AU1860)</f>
        <v>35836.379999999423</v>
      </c>
      <c r="BI1860" s="318">
        <f>SUMIFS($AU$1388:AU1861,$Q$1388:Q1861,"F")</f>
        <v>23748.400000000001</v>
      </c>
      <c r="BJ1860" s="318">
        <f>SUMIFS($AU$1388:AU1861,$Q$1388:Q1861,"S")</f>
        <v>8175.9999999999945</v>
      </c>
      <c r="BK1860" s="343">
        <f>SUMIFS($AU$1388:AU1861,$P$1388:P1861,"W")</f>
        <v>24973.580000000344</v>
      </c>
      <c r="BL1860" s="343">
        <f>SUMIFS($AU$1388:AU1861,$P$1388:P1861,"R")</f>
        <v>9197.9999999998618</v>
      </c>
      <c r="BM1860" s="343">
        <f>SUMIFS($AU$1388:AU1861,$AQ$1388:AQ1861,"M")</f>
        <v>7128.779999999133</v>
      </c>
      <c r="BN1860" s="343">
        <f>SUMIFS($AU$1388:AU1861,$AQ$1388:AQ1861,"H")</f>
        <v>5159.2000000002827</v>
      </c>
      <c r="BO1860" s="343">
        <f>SUMIFS($AU$1388:AU1861,$AQ$1388:AQ1861,"D")</f>
        <v>12150</v>
      </c>
      <c r="BP1860" s="343">
        <f>SUMIFS($AS$1388:AS2632,$AO$1388:AO2632,"W")</f>
        <v>0</v>
      </c>
      <c r="BQ1860" s="343">
        <f>SUMIFS($AU$1388:AU1861,$Q$1388:Q1861,"O")</f>
        <v>2487.9799999994325</v>
      </c>
      <c r="BR1860" s="343">
        <f>SUMIFS($AU$1388:AU1861,$AA$1388:AA1861,"*")</f>
        <v>26197.19999999931</v>
      </c>
      <c r="BS1860" s="343">
        <f>SUMIFS($AU$1388:AU1861,$AB$1388:AB1861,"*")</f>
        <v>9655.1799999999312</v>
      </c>
      <c r="BT1860" s="343">
        <f>SUMIFS($AU$1388:AU1861,$AC$1388:AC1861,"*")</f>
        <v>21428.400000000001</v>
      </c>
      <c r="BU1860" s="343">
        <f>SUMIFS($AU$1388:AU1861,$AA$1388:AA1861,"*",$AB$1388:AB1861,"*")</f>
        <v>5759.9999999998217</v>
      </c>
      <c r="BV1860" s="343">
        <f>SUMIFS($AU$1388:AU1861,$AA$1388:AA1861,"*",$AC$1388:AC1861,"*")</f>
        <v>14324.400000000001</v>
      </c>
      <c r="BW1860" s="343">
        <f>SUMIFS($AU$1388:AU1861,$AB$1388:AB1861,"*",$AC$1388:AC1861,"*")</f>
        <v>4639.9999999999982</v>
      </c>
      <c r="BX1860" s="343">
        <f>SUMIFS($AV$1388:AV1861,$Q$1388:Q1861,"F")</f>
        <v>456.63675319849239</v>
      </c>
      <c r="BY1860" s="343">
        <f>SUMIFS($AV$1388:AV1861,$Q$1388:Q1861,"S")</f>
        <v>392.81638392253404</v>
      </c>
      <c r="BZ1860" s="343">
        <f>SUMIFS($AV$1388:AV1861,$Q$1388:Q1861,"O")</f>
        <v>642.43999999977211</v>
      </c>
    </row>
    <row r="1861" spans="1:78" ht="15.75" customHeight="1">
      <c r="A1861" s="177" t="s">
        <v>5851</v>
      </c>
      <c r="B1861" s="200"/>
      <c r="C1861" s="178"/>
      <c r="D1861" s="178"/>
      <c r="E1861" s="227"/>
      <c r="F1861" s="180"/>
      <c r="G1861" s="181"/>
      <c r="H1861" s="182"/>
      <c r="I1861" s="182"/>
      <c r="J1861" s="182"/>
      <c r="K1861" s="183"/>
      <c r="L1861" s="182"/>
      <c r="M1861" s="182"/>
      <c r="N1861" s="182"/>
      <c r="O1861" s="183"/>
      <c r="P1861" s="183"/>
      <c r="Q1861" s="183"/>
      <c r="R1861" s="183"/>
      <c r="S1861" s="559"/>
      <c r="T1861" s="183"/>
      <c r="U1861" s="183"/>
      <c r="V1861" s="183"/>
      <c r="W1861" s="183"/>
      <c r="X1861" s="183"/>
      <c r="Y1861" s="184"/>
      <c r="Z1861" s="185"/>
      <c r="AA1861" s="185"/>
      <c r="AB1861" s="185"/>
      <c r="AC1861" s="185"/>
      <c r="AD1861" s="649"/>
      <c r="AE1861" s="182"/>
      <c r="AF1861" s="332"/>
      <c r="AG1861" s="182"/>
      <c r="AH1861" s="182"/>
      <c r="AI1861" s="182"/>
      <c r="AJ1861" s="640" t="s">
        <v>6164</v>
      </c>
      <c r="AK1861" s="182"/>
      <c r="AL1861" s="496">
        <f t="shared" si="527"/>
        <v>0</v>
      </c>
      <c r="AM1861" s="496">
        <f t="shared" si="608"/>
        <v>0</v>
      </c>
      <c r="AN1861" s="626"/>
      <c r="AO1861" s="182"/>
      <c r="AP1861" s="182"/>
      <c r="AQ1861" s="332" t="str">
        <f>UPPER(RIGHT(Journal_Live[[#This Row],[DURATION ]]))</f>
        <v/>
      </c>
      <c r="AR1861" s="182"/>
      <c r="AS1861" s="189"/>
      <c r="AT1861" s="189"/>
      <c r="AU1861" s="187"/>
      <c r="AV1861" s="190"/>
      <c r="AW1861" s="191"/>
      <c r="AX1861" s="551" t="s">
        <v>6165</v>
      </c>
      <c r="AY1861" s="551" t="s">
        <v>6166</v>
      </c>
      <c r="AZ1861" s="551"/>
      <c r="BA1861" s="551"/>
      <c r="BB1861" s="551"/>
      <c r="BC1861" s="551"/>
      <c r="BD1861" s="549"/>
      <c r="BE1861" s="550"/>
      <c r="BF1861" s="549"/>
      <c r="BG1861" s="391">
        <f>SUM($AV$1389:AV1861)</f>
        <v>3439.8931371208032</v>
      </c>
      <c r="BH1861" s="392">
        <f>SUM($AU$1389:AU1861)</f>
        <v>35836.379999999423</v>
      </c>
      <c r="BI1861" s="318">
        <f>SUMIFS($AU$1388:AU1862,$Q$1388:Q1862,"F")</f>
        <v>23748.400000000001</v>
      </c>
      <c r="BJ1861" s="318">
        <f>SUMIFS($AU$1388:AU1862,$Q$1388:Q1862,"S")</f>
        <v>8175.9999999999945</v>
      </c>
      <c r="BK1861" s="343">
        <f>SUMIFS($AU$1388:AU1862,$P$1388:P1862,"W")</f>
        <v>24973.580000000344</v>
      </c>
      <c r="BL1861" s="343">
        <f>SUMIFS($AU$1388:AU1862,$P$1388:P1862,"R")</f>
        <v>9197.9999999998618</v>
      </c>
      <c r="BM1861" s="343">
        <f>SUMIFS($AU$1388:AU1862,$AQ$1388:AQ1862,"M")</f>
        <v>7128.779999999133</v>
      </c>
      <c r="BN1861" s="343">
        <f>SUMIFS($AU$1388:AU1862,$AQ$1388:AQ1862,"H")</f>
        <v>5159.2000000002827</v>
      </c>
      <c r="BO1861" s="343">
        <f>SUMIFS($AU$1388:AU1862,$AQ$1388:AQ1862,"D")</f>
        <v>12150</v>
      </c>
      <c r="BP1861" s="343">
        <f>SUMIFS($AS$1388:AS2633,$AO$1388:AO2633,"W")</f>
        <v>0</v>
      </c>
      <c r="BQ1861" s="343">
        <f>SUMIFS($AU$1388:AU1862,$Q$1388:Q1862,"O")</f>
        <v>2487.9799999994325</v>
      </c>
      <c r="BR1861" s="343">
        <f>SUMIFS($AU$1388:AU1862,$AA$1388:AA1862,"*")</f>
        <v>26197.19999999931</v>
      </c>
      <c r="BS1861" s="343">
        <f>SUMIFS($AU$1388:AU1862,$AB$1388:AB1862,"*")</f>
        <v>9655.1799999999312</v>
      </c>
      <c r="BT1861" s="343">
        <f>SUMIFS($AU$1388:AU1862,$AC$1388:AC1862,"*")</f>
        <v>21428.400000000001</v>
      </c>
      <c r="BU1861" s="343">
        <f>SUMIFS($AU$1388:AU1862,$AA$1388:AA1862,"*",$AB$1388:AB1862,"*")</f>
        <v>5759.9999999998217</v>
      </c>
      <c r="BV1861" s="343">
        <f>SUMIFS($AU$1388:AU1862,$AA$1388:AA1862,"*",$AC$1388:AC1862,"*")</f>
        <v>14324.400000000001</v>
      </c>
      <c r="BW1861" s="343">
        <f>SUMIFS($AU$1388:AU1862,$AB$1388:AB1862,"*",$AC$1388:AC1862,"*")</f>
        <v>4639.9999999999982</v>
      </c>
      <c r="BX1861" s="343">
        <f>SUMIFS($AV$1388:AV1862,$Q$1388:Q1862,"F")</f>
        <v>456.63675319849239</v>
      </c>
      <c r="BY1861" s="343">
        <f>SUMIFS($AV$1388:AV1862,$Q$1388:Q1862,"S")</f>
        <v>392.81638392253404</v>
      </c>
      <c r="BZ1861" s="343">
        <f>SUMIFS($AV$1388:AV1862,$Q$1388:Q1862,"O")</f>
        <v>642.43999999977211</v>
      </c>
    </row>
    <row r="1862" spans="1:78" ht="15.75" customHeight="1">
      <c r="A1862" s="177" t="s">
        <v>5851</v>
      </c>
      <c r="B1862" s="200"/>
      <c r="C1862" s="178"/>
      <c r="D1862" s="178"/>
      <c r="E1862" s="227"/>
      <c r="F1862" s="180"/>
      <c r="G1862" s="181"/>
      <c r="H1862" s="182"/>
      <c r="I1862" s="182"/>
      <c r="J1862" s="182"/>
      <c r="K1862" s="183"/>
      <c r="L1862" s="182"/>
      <c r="M1862" s="182"/>
      <c r="N1862" s="182"/>
      <c r="O1862" s="183"/>
      <c r="P1862" s="183"/>
      <c r="Q1862" s="183"/>
      <c r="R1862" s="183"/>
      <c r="S1862" s="559"/>
      <c r="T1862" s="183"/>
      <c r="U1862" s="183"/>
      <c r="V1862" s="183"/>
      <c r="W1862" s="183"/>
      <c r="X1862" s="183"/>
      <c r="Y1862" s="184"/>
      <c r="Z1862" s="185"/>
      <c r="AA1862" s="185"/>
      <c r="AB1862" s="185"/>
      <c r="AC1862" s="185"/>
      <c r="AD1862" s="649"/>
      <c r="AE1862" s="182"/>
      <c r="AF1862" s="332"/>
      <c r="AG1862" s="182"/>
      <c r="AH1862" s="182"/>
      <c r="AI1862" s="182"/>
      <c r="AJ1862" s="640" t="s">
        <v>6167</v>
      </c>
      <c r="AK1862" s="182"/>
      <c r="AL1862" s="496">
        <f t="shared" si="527"/>
        <v>0</v>
      </c>
      <c r="AM1862" s="496">
        <f t="shared" si="608"/>
        <v>0</v>
      </c>
      <c r="AN1862" s="626"/>
      <c r="AO1862" s="182"/>
      <c r="AP1862" s="182"/>
      <c r="AQ1862" s="332" t="str">
        <f>UPPER(RIGHT(Journal_Live[[#This Row],[DURATION ]]))</f>
        <v/>
      </c>
      <c r="AR1862" s="182"/>
      <c r="AS1862" s="189"/>
      <c r="AT1862" s="189"/>
      <c r="AU1862" s="187"/>
      <c r="AV1862" s="190"/>
      <c r="AW1862" s="191"/>
      <c r="AX1862" s="551" t="s">
        <v>987</v>
      </c>
      <c r="AY1862" s="551"/>
      <c r="AZ1862" s="551"/>
      <c r="BA1862" s="551"/>
      <c r="BB1862" s="551"/>
      <c r="BC1862" s="551"/>
      <c r="BD1862" s="549"/>
      <c r="BE1862" s="550"/>
      <c r="BF1862" s="549"/>
      <c r="BG1862" s="391">
        <f>SUM($AV$1389:AV1862)</f>
        <v>3439.8931371208032</v>
      </c>
      <c r="BH1862" s="392">
        <f>SUM($AU$1389:AU1862)</f>
        <v>35836.379999999423</v>
      </c>
      <c r="BI1862" s="318">
        <f>SUMIFS($AU$1388:AU1863,$Q$1388:Q1863,"F")</f>
        <v>23748.400000000001</v>
      </c>
      <c r="BJ1862" s="318">
        <f>SUMIFS($AU$1388:AU1863,$Q$1388:Q1863,"S")</f>
        <v>8175.9999999999945</v>
      </c>
      <c r="BK1862" s="343">
        <f>SUMIFS($AU$1388:AU1863,$P$1388:P1863,"W")</f>
        <v>24973.580000000344</v>
      </c>
      <c r="BL1862" s="343">
        <f>SUMIFS($AU$1388:AU1863,$P$1388:P1863,"R")</f>
        <v>9197.9999999998618</v>
      </c>
      <c r="BM1862" s="343">
        <f>SUMIFS($AU$1388:AU1863,$AQ$1388:AQ1863,"M")</f>
        <v>7128.779999999133</v>
      </c>
      <c r="BN1862" s="343">
        <f>SUMIFS($AU$1388:AU1863,$AQ$1388:AQ1863,"H")</f>
        <v>5159.2000000002827</v>
      </c>
      <c r="BO1862" s="343">
        <f>SUMIFS($AU$1388:AU1863,$AQ$1388:AQ1863,"D")</f>
        <v>12150</v>
      </c>
      <c r="BP1862" s="343">
        <f>SUMIFS($AS$1388:AS2634,$AO$1388:AO2634,"W")</f>
        <v>0</v>
      </c>
      <c r="BQ1862" s="343">
        <f>SUMIFS($AU$1388:AU1863,$Q$1388:Q1863,"O")</f>
        <v>2487.9799999994325</v>
      </c>
      <c r="BR1862" s="343">
        <f>SUMIFS($AU$1388:AU1863,$AA$1388:AA1863,"*")</f>
        <v>26197.19999999931</v>
      </c>
      <c r="BS1862" s="343">
        <f>SUMIFS($AU$1388:AU1863,$AB$1388:AB1863,"*")</f>
        <v>9655.1799999999312</v>
      </c>
      <c r="BT1862" s="343">
        <f>SUMIFS($AU$1388:AU1863,$AC$1388:AC1863,"*")</f>
        <v>21428.400000000001</v>
      </c>
      <c r="BU1862" s="343">
        <f>SUMIFS($AU$1388:AU1863,$AA$1388:AA1863,"*",$AB$1388:AB1863,"*")</f>
        <v>5759.9999999998217</v>
      </c>
      <c r="BV1862" s="343">
        <f>SUMIFS($AU$1388:AU1863,$AA$1388:AA1863,"*",$AC$1388:AC1863,"*")</f>
        <v>14324.400000000001</v>
      </c>
      <c r="BW1862" s="343">
        <f>SUMIFS($AU$1388:AU1863,$AB$1388:AB1863,"*",$AC$1388:AC1863,"*")</f>
        <v>4639.9999999999982</v>
      </c>
      <c r="BX1862" s="343">
        <f>SUMIFS($AV$1388:AV1863,$Q$1388:Q1863,"F")</f>
        <v>456.63675319849239</v>
      </c>
      <c r="BY1862" s="343">
        <f>SUMIFS($AV$1388:AV1863,$Q$1388:Q1863,"S")</f>
        <v>392.81638392253404</v>
      </c>
      <c r="BZ1862" s="343">
        <f>SUMIFS($AV$1388:AV1863,$Q$1388:Q1863,"O")</f>
        <v>642.43999999977211</v>
      </c>
    </row>
    <row r="1863" spans="1:78" ht="15.75" customHeight="1">
      <c r="A1863" s="177" t="s">
        <v>5851</v>
      </c>
      <c r="B1863" s="200"/>
      <c r="C1863" s="178"/>
      <c r="D1863" s="178"/>
      <c r="E1863" s="227"/>
      <c r="F1863" s="180"/>
      <c r="G1863" s="181"/>
      <c r="H1863" s="182"/>
      <c r="I1863" s="182"/>
      <c r="J1863" s="182"/>
      <c r="K1863" s="183"/>
      <c r="L1863" s="182"/>
      <c r="M1863" s="182"/>
      <c r="N1863" s="182"/>
      <c r="O1863" s="183"/>
      <c r="P1863" s="183"/>
      <c r="Q1863" s="183"/>
      <c r="R1863" s="183"/>
      <c r="S1863" s="183"/>
      <c r="T1863" s="183"/>
      <c r="U1863" s="183"/>
      <c r="V1863" s="183"/>
      <c r="W1863" s="183"/>
      <c r="X1863" s="183"/>
      <c r="Y1863" s="183"/>
      <c r="Z1863" s="183"/>
      <c r="AA1863" s="185"/>
      <c r="AB1863" s="185"/>
      <c r="AC1863" s="185"/>
      <c r="AD1863" s="649"/>
      <c r="AE1863" s="182"/>
      <c r="AF1863" s="332"/>
      <c r="AG1863" s="182"/>
      <c r="AH1863" s="182"/>
      <c r="AI1863" s="182"/>
      <c r="AJ1863" s="640"/>
      <c r="AK1863" s="182"/>
      <c r="AL1863" s="496">
        <f t="shared" si="527"/>
        <v>0</v>
      </c>
      <c r="AM1863" s="496">
        <f t="shared" si="608"/>
        <v>0</v>
      </c>
      <c r="AN1863" s="626"/>
      <c r="AO1863" s="182"/>
      <c r="AP1863" s="182"/>
      <c r="AQ1863" s="332" t="str">
        <f>UPPER(RIGHT(Journal_Live[[#This Row],[DURATION ]]))</f>
        <v/>
      </c>
      <c r="AR1863" s="182"/>
      <c r="AS1863" s="189"/>
      <c r="AT1863" s="189"/>
      <c r="AU1863" s="187"/>
      <c r="AV1863" s="190"/>
      <c r="AW1863" s="191"/>
      <c r="AX1863" s="568" t="s">
        <v>6168</v>
      </c>
      <c r="AY1863" s="551"/>
      <c r="AZ1863" s="551"/>
      <c r="BA1863" s="551"/>
      <c r="BB1863" s="551"/>
      <c r="BC1863" s="551"/>
      <c r="BD1863" s="549"/>
      <c r="BE1863" s="550"/>
      <c r="BF1863" s="549"/>
      <c r="BG1863" s="391">
        <f>SUM($AV$1389:AV1863)</f>
        <v>3439.8931371208032</v>
      </c>
      <c r="BH1863" s="392">
        <f>SUM($AU$1389:AU1863)</f>
        <v>35836.379999999423</v>
      </c>
      <c r="BI1863" s="318">
        <f>SUMIFS($AU$1388:AU1864,$Q$1388:Q1864,"F")</f>
        <v>23748.400000000001</v>
      </c>
      <c r="BJ1863" s="318">
        <f>SUMIFS($AU$1388:AU1864,$Q$1388:Q1864,"S")</f>
        <v>8175.9999999999945</v>
      </c>
      <c r="BK1863" s="343">
        <f>SUMIFS($AU$1388:AU1864,$P$1388:P1864,"W")</f>
        <v>24973.580000000344</v>
      </c>
      <c r="BL1863" s="343">
        <f>SUMIFS($AU$1388:AU1864,$P$1388:P1864,"R")</f>
        <v>9197.9999999998618</v>
      </c>
      <c r="BM1863" s="343">
        <f>SUMIFS($AU$1388:AU1864,$AQ$1388:AQ1864,"M")</f>
        <v>7128.779999999133</v>
      </c>
      <c r="BN1863" s="343">
        <f>SUMIFS($AU$1388:AU1864,$AQ$1388:AQ1864,"H")</f>
        <v>5159.2000000002827</v>
      </c>
      <c r="BO1863" s="343">
        <f>SUMIFS($AU$1388:AU1864,$AQ$1388:AQ1864,"D")</f>
        <v>12150</v>
      </c>
      <c r="BP1863" s="343">
        <f>SUMIFS($AS$1388:AS2635,$AO$1388:AO2635,"W")</f>
        <v>0</v>
      </c>
      <c r="BQ1863" s="343">
        <f>SUMIFS($AU$1388:AU1864,$Q$1388:Q1864,"O")</f>
        <v>2487.9799999994325</v>
      </c>
      <c r="BR1863" s="343">
        <f>SUMIFS($AU$1388:AU1864,$AA$1388:AA1864,"*")</f>
        <v>26197.19999999931</v>
      </c>
      <c r="BS1863" s="343">
        <f>SUMIFS($AU$1388:AU1864,$AB$1388:AB1864,"*")</f>
        <v>9655.1799999999312</v>
      </c>
      <c r="BT1863" s="343">
        <f>SUMIFS($AU$1388:AU1864,$AC$1388:AC1864,"*")</f>
        <v>21428.400000000001</v>
      </c>
      <c r="BU1863" s="343">
        <f>SUMIFS($AU$1388:AU1864,$AA$1388:AA1864,"*",$AB$1388:AB1864,"*")</f>
        <v>5759.9999999998217</v>
      </c>
      <c r="BV1863" s="343">
        <f>SUMIFS($AU$1388:AU1864,$AA$1388:AA1864,"*",$AC$1388:AC1864,"*")</f>
        <v>14324.400000000001</v>
      </c>
      <c r="BW1863" s="343">
        <f>SUMIFS($AU$1388:AU1864,$AB$1388:AB1864,"*",$AC$1388:AC1864,"*")</f>
        <v>4639.9999999999982</v>
      </c>
      <c r="BX1863" s="343">
        <f>SUMIFS($AV$1388:AV1864,$Q$1388:Q1864,"F")</f>
        <v>456.63675319849239</v>
      </c>
      <c r="BY1863" s="343">
        <f>SUMIFS($AV$1388:AV1864,$Q$1388:Q1864,"S")</f>
        <v>392.81638392253404</v>
      </c>
      <c r="BZ1863" s="343">
        <f>SUMIFS($AV$1388:AV1864,$Q$1388:Q1864,"O")</f>
        <v>642.43999999977211</v>
      </c>
    </row>
    <row r="1864" spans="1:78" ht="15.75" customHeight="1">
      <c r="A1864" s="177" t="s">
        <v>5851</v>
      </c>
      <c r="B1864" s="200">
        <v>45406</v>
      </c>
      <c r="C1864" s="178" t="s">
        <v>2081</v>
      </c>
      <c r="D1864" s="178" t="s">
        <v>151</v>
      </c>
      <c r="E1864" s="227" t="s">
        <v>6169</v>
      </c>
      <c r="F1864" s="180" t="s">
        <v>6170</v>
      </c>
      <c r="G1864" s="181"/>
      <c r="H1864" s="182">
        <v>1</v>
      </c>
      <c r="I1864" s="182"/>
      <c r="J1864" s="182"/>
      <c r="K1864" s="183" t="s">
        <v>372</v>
      </c>
      <c r="L1864" s="182"/>
      <c r="M1864" s="182"/>
      <c r="N1864" s="182"/>
      <c r="O1864" s="183"/>
      <c r="P1864" s="183"/>
      <c r="Q1864" s="183"/>
      <c r="R1864" s="183"/>
      <c r="S1864" s="183"/>
      <c r="T1864" s="183"/>
      <c r="U1864" s="183"/>
      <c r="V1864" s="183"/>
      <c r="W1864" s="183"/>
      <c r="X1864" s="183"/>
      <c r="Y1864" s="183"/>
      <c r="Z1864" s="183"/>
      <c r="AA1864" s="185"/>
      <c r="AB1864" s="185"/>
      <c r="AC1864" s="185"/>
      <c r="AD1864" s="649"/>
      <c r="AE1864" s="182"/>
      <c r="AF1864" s="332"/>
      <c r="AG1864" s="182"/>
      <c r="AH1864" s="182"/>
      <c r="AI1864" s="182"/>
      <c r="AJ1864" s="640"/>
      <c r="AK1864" s="182"/>
      <c r="AL1864" s="496">
        <f t="shared" si="527"/>
        <v>0</v>
      </c>
      <c r="AM1864" s="496">
        <f t="shared" si="608"/>
        <v>0</v>
      </c>
      <c r="AN1864" s="626"/>
      <c r="AO1864" s="182"/>
      <c r="AP1864" s="182"/>
      <c r="AQ1864" s="332" t="str">
        <f>UPPER(RIGHT(Journal_Live[[#This Row],[DURATION ]]))</f>
        <v/>
      </c>
      <c r="AR1864" s="182"/>
      <c r="AS1864" s="189"/>
      <c r="AT1864" s="189"/>
      <c r="AU1864" s="187"/>
      <c r="AV1864" s="190"/>
      <c r="AW1864" s="191"/>
      <c r="AX1864" s="551" t="s">
        <v>6171</v>
      </c>
      <c r="AY1864" s="551" t="s">
        <v>6172</v>
      </c>
      <c r="AZ1864" s="551" t="s">
        <v>6173</v>
      </c>
      <c r="BA1864" s="551"/>
      <c r="BB1864" s="551"/>
      <c r="BC1864" s="551"/>
      <c r="BD1864" s="549"/>
      <c r="BE1864" s="550"/>
      <c r="BF1864" s="549"/>
      <c r="BG1864" s="391">
        <f>SUM($AV$1389:AV1864)</f>
        <v>3439.8931371208032</v>
      </c>
      <c r="BH1864" s="392">
        <f>SUM($AU$1389:AU1864)</f>
        <v>35836.379999999423</v>
      </c>
      <c r="BI1864" s="318">
        <f>SUMIFS($AU$1388:AU1865,$Q$1388:Q1865,"F")</f>
        <v>23748.400000000001</v>
      </c>
      <c r="BJ1864" s="318">
        <f>SUMIFS($AU$1388:AU1865,$Q$1388:Q1865,"S")</f>
        <v>8175.9999999999945</v>
      </c>
      <c r="BK1864" s="343">
        <f>SUMIFS($AU$1388:AU1865,$P$1388:P1865,"W")</f>
        <v>24973.580000000344</v>
      </c>
      <c r="BL1864" s="343">
        <f>SUMIFS($AU$1388:AU1865,$P$1388:P1865,"R")</f>
        <v>9197.9999999998618</v>
      </c>
      <c r="BM1864" s="343">
        <f>SUMIFS($AU$1388:AU1865,$AQ$1388:AQ1865,"M")</f>
        <v>7128.779999999133</v>
      </c>
      <c r="BN1864" s="343">
        <f>SUMIFS($AU$1388:AU1865,$AQ$1388:AQ1865,"H")</f>
        <v>5159.2000000002827</v>
      </c>
      <c r="BO1864" s="343">
        <f>SUMIFS($AU$1388:AU1865,$AQ$1388:AQ1865,"D")</f>
        <v>12150</v>
      </c>
      <c r="BP1864" s="343">
        <f>SUMIFS($AS$1388:AS2636,$AO$1388:AO2636,"W")</f>
        <v>0</v>
      </c>
      <c r="BQ1864" s="343">
        <f>SUMIFS($AU$1388:AU1865,$Q$1388:Q1865,"O")</f>
        <v>2487.9799999994325</v>
      </c>
      <c r="BR1864" s="343">
        <f>SUMIFS($AU$1388:AU1865,$AA$1388:AA1865,"*")</f>
        <v>26197.19999999931</v>
      </c>
      <c r="BS1864" s="343">
        <f>SUMIFS($AU$1388:AU1865,$AB$1388:AB1865,"*")</f>
        <v>9655.1799999999312</v>
      </c>
      <c r="BT1864" s="343">
        <f>SUMIFS($AU$1388:AU1865,$AC$1388:AC1865,"*")</f>
        <v>21428.400000000001</v>
      </c>
      <c r="BU1864" s="343">
        <f>SUMIFS($AU$1388:AU1865,$AA$1388:AA1865,"*",$AB$1388:AB1865,"*")</f>
        <v>5759.9999999998217</v>
      </c>
      <c r="BV1864" s="343">
        <f>SUMIFS($AU$1388:AU1865,$AA$1388:AA1865,"*",$AC$1388:AC1865,"*")</f>
        <v>14324.400000000001</v>
      </c>
      <c r="BW1864" s="343">
        <f>SUMIFS($AU$1388:AU1865,$AB$1388:AB1865,"*",$AC$1388:AC1865,"*")</f>
        <v>4639.9999999999982</v>
      </c>
      <c r="BX1864" s="343">
        <f>SUMIFS($AV$1388:AV1865,$Q$1388:Q1865,"F")</f>
        <v>456.63675319849239</v>
      </c>
      <c r="BY1864" s="343">
        <f>SUMIFS($AV$1388:AV1865,$Q$1388:Q1865,"S")</f>
        <v>392.81638392253404</v>
      </c>
      <c r="BZ1864" s="343">
        <f>SUMIFS($AV$1388:AV1865,$Q$1388:Q1865,"O")</f>
        <v>642.43999999977211</v>
      </c>
    </row>
    <row r="1865" spans="1:78" ht="15.75" customHeight="1">
      <c r="A1865" s="177" t="s">
        <v>5851</v>
      </c>
      <c r="B1865" s="200"/>
      <c r="C1865" s="178"/>
      <c r="D1865" s="178"/>
      <c r="E1865" s="227" t="s">
        <v>6174</v>
      </c>
      <c r="F1865" s="180"/>
      <c r="G1865" s="181"/>
      <c r="H1865" s="182">
        <v>1</v>
      </c>
      <c r="I1865" s="182"/>
      <c r="J1865" s="182"/>
      <c r="K1865" s="183" t="s">
        <v>372</v>
      </c>
      <c r="L1865" s="182"/>
      <c r="M1865" s="182"/>
      <c r="N1865" s="182"/>
      <c r="O1865" s="183"/>
      <c r="P1865" s="183"/>
      <c r="Q1865" s="183"/>
      <c r="R1865" s="183"/>
      <c r="S1865" s="183"/>
      <c r="T1865" s="183"/>
      <c r="U1865" s="183"/>
      <c r="V1865" s="183"/>
      <c r="W1865" s="183"/>
      <c r="X1865" s="183"/>
      <c r="Y1865" s="183"/>
      <c r="Z1865" s="183"/>
      <c r="AA1865" s="185"/>
      <c r="AB1865" s="185"/>
      <c r="AC1865" s="185"/>
      <c r="AD1865" s="649"/>
      <c r="AE1865" s="182"/>
      <c r="AF1865" s="332"/>
      <c r="AG1865" s="182"/>
      <c r="AH1865" s="182"/>
      <c r="AI1865" s="182"/>
      <c r="AJ1865" s="640"/>
      <c r="AK1865" s="182"/>
      <c r="AL1865" s="496">
        <f t="shared" ref="AL1865:AL1917" si="609">-0.02*Z1865</f>
        <v>0</v>
      </c>
      <c r="AM1865" s="496">
        <f t="shared" si="608"/>
        <v>0</v>
      </c>
      <c r="AN1865" s="626"/>
      <c r="AO1865" s="182"/>
      <c r="AP1865" s="182"/>
      <c r="AQ1865" s="332" t="str">
        <f>UPPER(RIGHT(Journal_Live[[#This Row],[DURATION ]]))</f>
        <v/>
      </c>
      <c r="AR1865" s="182"/>
      <c r="AS1865" s="189"/>
      <c r="AT1865" s="189"/>
      <c r="AU1865" s="187"/>
      <c r="AV1865" s="190"/>
      <c r="AW1865" s="191"/>
      <c r="AX1865" s="551"/>
      <c r="AY1865" s="551"/>
      <c r="AZ1865" s="551"/>
      <c r="BA1865" s="551"/>
      <c r="BB1865" s="551"/>
      <c r="BC1865" s="551"/>
      <c r="BD1865" s="549"/>
      <c r="BE1865" s="550"/>
      <c r="BF1865" s="549"/>
      <c r="BG1865" s="391">
        <f>SUM($AV$1389:AV1865)</f>
        <v>3439.8931371208032</v>
      </c>
      <c r="BH1865" s="392">
        <f>SUM($AU$1389:AU1865)</f>
        <v>35836.379999999423</v>
      </c>
      <c r="BI1865" s="318">
        <f>SUMIFS($AU$1388:AU1866,$Q$1388:Q1866,"F")</f>
        <v>23748.400000000001</v>
      </c>
      <c r="BJ1865" s="318">
        <f>SUMIFS($AU$1388:AU1866,$Q$1388:Q1866,"S")</f>
        <v>8175.9999999999945</v>
      </c>
      <c r="BK1865" s="343">
        <f>SUMIFS($AU$1388:AU1866,$P$1388:P1866,"W")</f>
        <v>24973.580000000344</v>
      </c>
      <c r="BL1865" s="343">
        <f>SUMIFS($AU$1388:AU1866,$P$1388:P1866,"R")</f>
        <v>9197.9999999998618</v>
      </c>
      <c r="BM1865" s="343">
        <f>SUMIFS($AU$1388:AU1866,$AQ$1388:AQ1866,"M")</f>
        <v>7128.779999999133</v>
      </c>
      <c r="BN1865" s="343">
        <f>SUMIFS($AU$1388:AU1866,$AQ$1388:AQ1866,"H")</f>
        <v>5159.2000000002827</v>
      </c>
      <c r="BO1865" s="343">
        <f>SUMIFS($AU$1388:AU1866,$AQ$1388:AQ1866,"D")</f>
        <v>12150</v>
      </c>
      <c r="BP1865" s="343">
        <f>SUMIFS($AS$1388:AS2637,$AO$1388:AO2637,"W")</f>
        <v>0</v>
      </c>
      <c r="BQ1865" s="343">
        <f>SUMIFS($AU$1388:AU1866,$Q$1388:Q1866,"O")</f>
        <v>2487.9799999994325</v>
      </c>
      <c r="BR1865" s="343">
        <f>SUMIFS($AU$1388:AU1866,$AA$1388:AA1866,"*")</f>
        <v>26197.19999999931</v>
      </c>
      <c r="BS1865" s="343">
        <f>SUMIFS($AU$1388:AU1866,$AB$1388:AB1866,"*")</f>
        <v>9655.1799999999312</v>
      </c>
      <c r="BT1865" s="343">
        <f>SUMIFS($AU$1388:AU1866,$AC$1388:AC1866,"*")</f>
        <v>21428.400000000001</v>
      </c>
      <c r="BU1865" s="343">
        <f>SUMIFS($AU$1388:AU1866,$AA$1388:AA1866,"*",$AB$1388:AB1866,"*")</f>
        <v>5759.9999999998217</v>
      </c>
      <c r="BV1865" s="343">
        <f>SUMIFS($AU$1388:AU1866,$AA$1388:AA1866,"*",$AC$1388:AC1866,"*")</f>
        <v>14324.400000000001</v>
      </c>
      <c r="BW1865" s="343">
        <f>SUMIFS($AU$1388:AU1866,$AB$1388:AB1866,"*",$AC$1388:AC1866,"*")</f>
        <v>4639.9999999999982</v>
      </c>
      <c r="BX1865" s="343">
        <f>SUMIFS($AV$1388:AV1866,$Q$1388:Q1866,"F")</f>
        <v>456.63675319849239</v>
      </c>
      <c r="BY1865" s="343">
        <f>SUMIFS($AV$1388:AV1866,$Q$1388:Q1866,"S")</f>
        <v>392.81638392253404</v>
      </c>
      <c r="BZ1865" s="343">
        <f>SUMIFS($AV$1388:AV1866,$Q$1388:Q1866,"O")</f>
        <v>642.43999999977211</v>
      </c>
    </row>
    <row r="1866" spans="1:78" ht="15.75" customHeight="1">
      <c r="A1866" s="177" t="s">
        <v>5851</v>
      </c>
      <c r="B1866" s="200"/>
      <c r="C1866" s="178"/>
      <c r="D1866" s="178"/>
      <c r="E1866" s="227" t="s">
        <v>6175</v>
      </c>
      <c r="F1866" s="180"/>
      <c r="G1866" s="181"/>
      <c r="H1866" s="182">
        <v>1</v>
      </c>
      <c r="I1866" s="182"/>
      <c r="J1866" s="182"/>
      <c r="K1866" s="183" t="s">
        <v>372</v>
      </c>
      <c r="L1866" s="182"/>
      <c r="M1866" s="182"/>
      <c r="N1866" s="182"/>
      <c r="O1866" s="183"/>
      <c r="P1866" s="183"/>
      <c r="Q1866" s="183"/>
      <c r="R1866" s="183"/>
      <c r="S1866" s="183"/>
      <c r="T1866" s="183"/>
      <c r="U1866" s="183"/>
      <c r="V1866" s="183"/>
      <c r="W1866" s="183"/>
      <c r="X1866" s="183"/>
      <c r="Y1866" s="183"/>
      <c r="Z1866" s="183"/>
      <c r="AA1866" s="185"/>
      <c r="AB1866" s="185"/>
      <c r="AC1866" s="185"/>
      <c r="AD1866" s="649"/>
      <c r="AE1866" s="182"/>
      <c r="AF1866" s="332"/>
      <c r="AG1866" s="182"/>
      <c r="AH1866" s="182"/>
      <c r="AI1866" s="182"/>
      <c r="AJ1866" s="640"/>
      <c r="AK1866" s="182"/>
      <c r="AL1866" s="496">
        <f t="shared" si="609"/>
        <v>0</v>
      </c>
      <c r="AM1866" s="496">
        <f t="shared" si="608"/>
        <v>0</v>
      </c>
      <c r="AN1866" s="626"/>
      <c r="AO1866" s="182"/>
      <c r="AP1866" s="182"/>
      <c r="AQ1866" s="332" t="str">
        <f>UPPER(RIGHT(Journal_Live[[#This Row],[DURATION ]]))</f>
        <v/>
      </c>
      <c r="AR1866" s="182"/>
      <c r="AS1866" s="189"/>
      <c r="AT1866" s="189"/>
      <c r="AU1866" s="187"/>
      <c r="AV1866" s="190"/>
      <c r="AW1866" s="191"/>
      <c r="AX1866" s="551"/>
      <c r="AY1866" s="551"/>
      <c r="AZ1866" s="551"/>
      <c r="BA1866" s="551"/>
      <c r="BB1866" s="551"/>
      <c r="BC1866" s="551"/>
      <c r="BD1866" s="549"/>
      <c r="BE1866" s="550"/>
      <c r="BF1866" s="549"/>
      <c r="BG1866" s="391">
        <f>SUM($AV$1389:AV1866)</f>
        <v>3439.8931371208032</v>
      </c>
      <c r="BH1866" s="392">
        <f>SUM($AU$1389:AU1866)</f>
        <v>35836.379999999423</v>
      </c>
      <c r="BI1866" s="318">
        <f>SUMIFS($AU$1388:AU1867,$Q$1388:Q1867,"F")</f>
        <v>23748.400000000001</v>
      </c>
      <c r="BJ1866" s="318">
        <f>SUMIFS($AU$1388:AU1867,$Q$1388:Q1867,"S")</f>
        <v>8175.9999999999945</v>
      </c>
      <c r="BK1866" s="343">
        <f>SUMIFS($AU$1388:AU1867,$P$1388:P1867,"W")</f>
        <v>24973.580000000344</v>
      </c>
      <c r="BL1866" s="343">
        <f>SUMIFS($AU$1388:AU1867,$P$1388:P1867,"R")</f>
        <v>9197.9999999998618</v>
      </c>
      <c r="BM1866" s="343">
        <f>SUMIFS($AU$1388:AU1867,$AQ$1388:AQ1867,"M")</f>
        <v>7128.779999999133</v>
      </c>
      <c r="BN1866" s="343">
        <f>SUMIFS($AU$1388:AU1867,$AQ$1388:AQ1867,"H")</f>
        <v>5159.2000000002827</v>
      </c>
      <c r="BO1866" s="343">
        <f>SUMIFS($AU$1388:AU1867,$AQ$1388:AQ1867,"D")</f>
        <v>12150</v>
      </c>
      <c r="BP1866" s="343">
        <f>SUMIFS($AS$1388:AS2638,$AO$1388:AO2638,"W")</f>
        <v>0</v>
      </c>
      <c r="BQ1866" s="343">
        <f>SUMIFS($AU$1388:AU1867,$Q$1388:Q1867,"O")</f>
        <v>2487.9799999994325</v>
      </c>
      <c r="BR1866" s="343">
        <f>SUMIFS($AU$1388:AU1867,$AA$1388:AA1867,"*")</f>
        <v>26197.19999999931</v>
      </c>
      <c r="BS1866" s="343">
        <f>SUMIFS($AU$1388:AU1867,$AB$1388:AB1867,"*")</f>
        <v>9655.1799999999312</v>
      </c>
      <c r="BT1866" s="343">
        <f>SUMIFS($AU$1388:AU1867,$AC$1388:AC1867,"*")</f>
        <v>21428.400000000001</v>
      </c>
      <c r="BU1866" s="343">
        <f>SUMIFS($AU$1388:AU1867,$AA$1388:AA1867,"*",$AB$1388:AB1867,"*")</f>
        <v>5759.9999999998217</v>
      </c>
      <c r="BV1866" s="343">
        <f>SUMIFS($AU$1388:AU1867,$AA$1388:AA1867,"*",$AC$1388:AC1867,"*")</f>
        <v>14324.400000000001</v>
      </c>
      <c r="BW1866" s="343">
        <f>SUMIFS($AU$1388:AU1867,$AB$1388:AB1867,"*",$AC$1388:AC1867,"*")</f>
        <v>4639.9999999999982</v>
      </c>
      <c r="BX1866" s="343">
        <f>SUMIFS($AV$1388:AV1867,$Q$1388:Q1867,"F")</f>
        <v>456.63675319849239</v>
      </c>
      <c r="BY1866" s="343">
        <f>SUMIFS($AV$1388:AV1867,$Q$1388:Q1867,"S")</f>
        <v>392.81638392253404</v>
      </c>
      <c r="BZ1866" s="343">
        <f>SUMIFS($AV$1388:AV1867,$Q$1388:Q1867,"O")</f>
        <v>642.43999999977211</v>
      </c>
    </row>
    <row r="1867" spans="1:78" ht="15.75" customHeight="1">
      <c r="A1867" s="177" t="s">
        <v>5851</v>
      </c>
      <c r="B1867" s="200"/>
      <c r="C1867" s="178"/>
      <c r="D1867" s="178"/>
      <c r="E1867" s="227" t="s">
        <v>6176</v>
      </c>
      <c r="F1867" s="180"/>
      <c r="G1867" s="181"/>
      <c r="H1867" s="182">
        <v>1</v>
      </c>
      <c r="I1867" s="182"/>
      <c r="J1867" s="182"/>
      <c r="K1867" s="183" t="s">
        <v>372</v>
      </c>
      <c r="L1867" s="182"/>
      <c r="M1867" s="182"/>
      <c r="N1867" s="182"/>
      <c r="O1867" s="183"/>
      <c r="P1867" s="183"/>
      <c r="Q1867" s="183"/>
      <c r="R1867" s="183"/>
      <c r="S1867" s="183"/>
      <c r="T1867" s="183"/>
      <c r="U1867" s="183"/>
      <c r="V1867" s="183"/>
      <c r="W1867" s="183"/>
      <c r="X1867" s="183"/>
      <c r="Y1867" s="183"/>
      <c r="Z1867" s="183"/>
      <c r="AA1867" s="185"/>
      <c r="AB1867" s="185"/>
      <c r="AC1867" s="185"/>
      <c r="AD1867" s="649"/>
      <c r="AE1867" s="182"/>
      <c r="AF1867" s="332"/>
      <c r="AG1867" s="182"/>
      <c r="AH1867" s="182"/>
      <c r="AI1867" s="182"/>
      <c r="AJ1867" s="640"/>
      <c r="AK1867" s="182"/>
      <c r="AL1867" s="496">
        <f t="shared" ref="AL1867:AL1875" si="610">-0.02*Z1867</f>
        <v>0</v>
      </c>
      <c r="AM1867" s="496">
        <f t="shared" si="608"/>
        <v>0</v>
      </c>
      <c r="AN1867" s="626"/>
      <c r="AO1867" s="182"/>
      <c r="AP1867" s="182"/>
      <c r="AQ1867" s="332" t="str">
        <f>UPPER(RIGHT(Journal_Live[[#This Row],[DURATION ]]))</f>
        <v/>
      </c>
      <c r="AR1867" s="182"/>
      <c r="AS1867" s="189"/>
      <c r="AT1867" s="189"/>
      <c r="AU1867" s="187"/>
      <c r="AV1867" s="190"/>
      <c r="AW1867" s="191"/>
      <c r="AX1867" s="551"/>
      <c r="AY1867" s="551"/>
      <c r="AZ1867" s="551"/>
      <c r="BA1867" s="551"/>
      <c r="BB1867" s="551"/>
      <c r="BC1867" s="551"/>
      <c r="BD1867" s="549"/>
      <c r="BE1867" s="550"/>
      <c r="BF1867" s="549"/>
      <c r="BG1867" s="391">
        <f>SUM($AV$1389:AV1867)</f>
        <v>3439.8931371208032</v>
      </c>
      <c r="BH1867" s="392">
        <f>SUM($AU$1389:AU1867)</f>
        <v>35836.379999999423</v>
      </c>
      <c r="BI1867" s="318">
        <f>SUMIFS($AU$1388:AU1868,$Q$1388:Q1868,"F")</f>
        <v>23748.400000000001</v>
      </c>
      <c r="BJ1867" s="318">
        <f>SUMIFS($AU$1388:AU1868,$Q$1388:Q1868,"S")</f>
        <v>8575.9999999999945</v>
      </c>
      <c r="BK1867" s="343">
        <f>SUMIFS($AU$1388:AU1868,$P$1388:P1868,"W")</f>
        <v>25373.580000000344</v>
      </c>
      <c r="BL1867" s="343">
        <f>SUMIFS($AU$1388:AU1868,$P$1388:P1868,"R")</f>
        <v>9197.9999999998618</v>
      </c>
      <c r="BM1867" s="343">
        <f>SUMIFS($AU$1388:AU1868,$AQ$1388:AQ1868,"M")</f>
        <v>7528.779999999133</v>
      </c>
      <c r="BN1867" s="343">
        <f>SUMIFS($AU$1388:AU1868,$AQ$1388:AQ1868,"H")</f>
        <v>5159.2000000002827</v>
      </c>
      <c r="BO1867" s="343">
        <f>SUMIFS($AU$1388:AU1868,$AQ$1388:AQ1868,"D")</f>
        <v>12150</v>
      </c>
      <c r="BP1867" s="343">
        <f>SUMIFS($AS$1388:AS2639,$AO$1388:AO2639,"W")</f>
        <v>0</v>
      </c>
      <c r="BQ1867" s="343">
        <f>SUMIFS($AU$1388:AU1868,$Q$1388:Q1868,"O")</f>
        <v>2487.9799999994325</v>
      </c>
      <c r="BR1867" s="343">
        <f>SUMIFS($AU$1388:AU1868,$AA$1388:AA1868,"*")</f>
        <v>26597.19999999931</v>
      </c>
      <c r="BS1867" s="343">
        <f>SUMIFS($AU$1388:AU1868,$AB$1388:AB1868,"*")</f>
        <v>9655.1799999999312</v>
      </c>
      <c r="BT1867" s="343">
        <f>SUMIFS($AU$1388:AU1868,$AC$1388:AC1868,"*")</f>
        <v>21428.400000000001</v>
      </c>
      <c r="BU1867" s="343">
        <f>SUMIFS($AU$1388:AU1868,$AA$1388:AA1868,"*",$AB$1388:AB1868,"*")</f>
        <v>5759.9999999998217</v>
      </c>
      <c r="BV1867" s="343">
        <f>SUMIFS($AU$1388:AU1868,$AA$1388:AA1868,"*",$AC$1388:AC1868,"*")</f>
        <v>14324.400000000001</v>
      </c>
      <c r="BW1867" s="343">
        <f>SUMIFS($AU$1388:AU1868,$AB$1388:AB1868,"*",$AC$1388:AC1868,"*")</f>
        <v>4639.9999999999982</v>
      </c>
      <c r="BX1867" s="343">
        <f>SUMIFS($AV$1388:AV1868,$Q$1388:Q1868,"F")</f>
        <v>456.63675319849239</v>
      </c>
      <c r="BY1867" s="343">
        <f>SUMIFS($AV$1388:AV1868,$Q$1388:Q1868,"S")</f>
        <v>408.81638392253404</v>
      </c>
      <c r="BZ1867" s="343">
        <f>SUMIFS($AV$1388:AV1868,$Q$1388:Q1868,"O")</f>
        <v>642.43999999977211</v>
      </c>
    </row>
    <row r="1868" spans="1:78" ht="15.75" customHeight="1">
      <c r="A1868" s="177" t="s">
        <v>5851</v>
      </c>
      <c r="B1868" s="200">
        <v>45406</v>
      </c>
      <c r="C1868" s="178" t="s">
        <v>682</v>
      </c>
      <c r="D1868" s="178" t="s">
        <v>151</v>
      </c>
      <c r="E1868" s="227"/>
      <c r="F1868" s="180"/>
      <c r="G1868" s="181" t="s">
        <v>2016</v>
      </c>
      <c r="H1868" s="182"/>
      <c r="I1868" s="182"/>
      <c r="J1868" s="182"/>
      <c r="K1868" s="183"/>
      <c r="L1868" s="182">
        <v>2</v>
      </c>
      <c r="M1868" s="182">
        <v>2</v>
      </c>
      <c r="N1868" s="182"/>
      <c r="O1868" s="183" t="s">
        <v>95</v>
      </c>
      <c r="P1868" s="183" t="s">
        <v>96</v>
      </c>
      <c r="Q1868" s="183" t="s">
        <v>97</v>
      </c>
      <c r="R1868" s="183">
        <v>25</v>
      </c>
      <c r="S1868" s="559">
        <v>0</v>
      </c>
      <c r="T1868" s="183">
        <v>25</v>
      </c>
      <c r="U1868" s="183" t="s">
        <v>22</v>
      </c>
      <c r="V1868" s="183"/>
      <c r="W1868" s="183"/>
      <c r="X1868" s="183"/>
      <c r="Y1868" s="184">
        <f t="shared" ref="Y1868:Y1879" si="611">IF(ISBLANK(O1868),"",(IF(O1868=UPPER("IB"),0.005,0.01)))</f>
        <v>0.01</v>
      </c>
      <c r="Z1868" s="185">
        <f t="shared" ref="Z1868:Z1879" si="612">IF(ISBLANK(O1868),"",IF(O1868="IB",8.63*200,IF(O1868="IR",16*100,IF(O1868="YT",20*100,IF(O1868="YT-XT",24*200,IF(O1868="TED",80*100,IF(O1868="XT",29*200)))))))</f>
        <v>1600</v>
      </c>
      <c r="AA1868" s="185" t="s">
        <v>6177</v>
      </c>
      <c r="AB1868" s="185"/>
      <c r="AC1868" s="185"/>
      <c r="AD1868" s="649">
        <v>-0.05</v>
      </c>
      <c r="AE1868" s="182"/>
      <c r="AF1868" s="332"/>
      <c r="AG1868" s="182"/>
      <c r="AH1868" s="182"/>
      <c r="AI1868" s="182"/>
      <c r="AJ1868" s="640"/>
      <c r="AK1868" s="182"/>
      <c r="AL1868" s="496">
        <f t="shared" ref="AL1868:AL1874" si="613">-0.02*Z1868</f>
        <v>-32</v>
      </c>
      <c r="AM1868" s="496">
        <f t="shared" si="608"/>
        <v>-800</v>
      </c>
      <c r="AN1868" s="626"/>
      <c r="AO1868" s="182"/>
      <c r="AP1868" s="182"/>
      <c r="AQ1868" s="332" t="s">
        <v>1259</v>
      </c>
      <c r="AR1868" s="182"/>
      <c r="AS1868" s="189">
        <v>-0.04</v>
      </c>
      <c r="AT1868" s="189">
        <f t="shared" ref="AT1868:AT1879" si="614">IF(ISBLANK(AS1868),,IF(U1868="S",AD1868-AS1868,AS1868-AD1868))</f>
        <v>1.0000000000000002E-2</v>
      </c>
      <c r="AU1868" s="187">
        <f t="shared" ref="AU1868:AU1879" si="615">AV1868*R1868</f>
        <v>400.00000000000011</v>
      </c>
      <c r="AV1868" s="190">
        <f t="shared" ref="AV1868:AV1892" si="616">IF(ISBLANK(AS1868),,(AT1868*Z1868))</f>
        <v>16.000000000000004</v>
      </c>
      <c r="AW1868" s="191" t="s">
        <v>96</v>
      </c>
      <c r="AX1868" s="551"/>
      <c r="AY1868" s="551"/>
      <c r="AZ1868" s="551"/>
      <c r="BA1868" s="551"/>
      <c r="BB1868" s="551"/>
      <c r="BC1868" s="551"/>
      <c r="BD1868" s="549"/>
      <c r="BE1868" s="550"/>
      <c r="BF1868" s="549"/>
      <c r="BG1868" s="391">
        <f>SUM($AV$1389:AV1868)</f>
        <v>3455.8931371208032</v>
      </c>
      <c r="BH1868" s="392">
        <f>SUM($AU$1389:AU1868)</f>
        <v>36236.379999999423</v>
      </c>
      <c r="BI1868" s="318">
        <f>SUMIFS($AU$1388:AU1869,$Q$1388:Q1869,"F")</f>
        <v>23748.400000000001</v>
      </c>
      <c r="BJ1868" s="318">
        <f>SUMIFS($AU$1388:AU1869,$Q$1388:Q1869,"S")</f>
        <v>8975.9999999999945</v>
      </c>
      <c r="BK1868" s="343">
        <f>SUMIFS($AU$1388:AU1869,$P$1388:P1869,"W")</f>
        <v>25773.580000000344</v>
      </c>
      <c r="BL1868" s="343">
        <f>SUMIFS($AU$1388:AU1869,$P$1388:P1869,"R")</f>
        <v>9197.9999999998618</v>
      </c>
      <c r="BM1868" s="343">
        <f>SUMIFS($AU$1388:AU1869,$AQ$1388:AQ1869,"M")</f>
        <v>7528.779999999133</v>
      </c>
      <c r="BN1868" s="343">
        <f>SUMIFS($AU$1388:AU1869,$AQ$1388:AQ1869,"H")</f>
        <v>5559.2000000002827</v>
      </c>
      <c r="BO1868" s="343">
        <f>SUMIFS($AU$1388:AU1869,$AQ$1388:AQ1869,"D")</f>
        <v>12150</v>
      </c>
      <c r="BP1868" s="343">
        <f>SUMIFS($AS$1388:AS2640,$AO$1388:AO2640,"W")</f>
        <v>0</v>
      </c>
      <c r="BQ1868" s="343">
        <f>SUMIFS($AU$1388:AU1869,$Q$1388:Q1869,"O")</f>
        <v>2487.9799999994325</v>
      </c>
      <c r="BR1868" s="343">
        <f>SUMIFS($AU$1388:AU1869,$AA$1388:AA1869,"*")</f>
        <v>26997.19999999931</v>
      </c>
      <c r="BS1868" s="343">
        <f>SUMIFS($AU$1388:AU1869,$AB$1388:AB1869,"*")</f>
        <v>9655.1799999999312</v>
      </c>
      <c r="BT1868" s="343">
        <f>SUMIFS($AU$1388:AU1869,$AC$1388:AC1869,"*")</f>
        <v>21428.400000000001</v>
      </c>
      <c r="BU1868" s="343">
        <f>SUMIFS($AU$1388:AU1869,$AA$1388:AA1869,"*",$AB$1388:AB1869,"*")</f>
        <v>5759.9999999998217</v>
      </c>
      <c r="BV1868" s="343">
        <f>SUMIFS($AU$1388:AU1869,$AA$1388:AA1869,"*",$AC$1388:AC1869,"*")</f>
        <v>14324.400000000001</v>
      </c>
      <c r="BW1868" s="343">
        <f>SUMIFS($AU$1388:AU1869,$AB$1388:AB1869,"*",$AC$1388:AC1869,"*")</f>
        <v>4639.9999999999982</v>
      </c>
      <c r="BX1868" s="343">
        <f>SUMIFS($AV$1388:AV1869,$Q$1388:Q1869,"F")</f>
        <v>456.63675319849239</v>
      </c>
      <c r="BY1868" s="343">
        <f>SUMIFS($AV$1388:AV1869,$Q$1388:Q1869,"S")</f>
        <v>424.81638392253404</v>
      </c>
      <c r="BZ1868" s="343">
        <f>SUMIFS($AV$1388:AV1869,$Q$1388:Q1869,"O")</f>
        <v>642.43999999977211</v>
      </c>
    </row>
    <row r="1869" spans="1:78" ht="15.75" customHeight="1">
      <c r="A1869" s="177" t="s">
        <v>5851</v>
      </c>
      <c r="B1869" s="200">
        <v>45406</v>
      </c>
      <c r="C1869" s="178" t="s">
        <v>682</v>
      </c>
      <c r="D1869" s="178" t="s">
        <v>151</v>
      </c>
      <c r="E1869" s="227"/>
      <c r="F1869" s="180"/>
      <c r="G1869" s="181" t="s">
        <v>2016</v>
      </c>
      <c r="H1869" s="182"/>
      <c r="I1869" s="182"/>
      <c r="J1869" s="182"/>
      <c r="K1869" s="183"/>
      <c r="L1869" s="182">
        <v>2</v>
      </c>
      <c r="M1869" s="182">
        <v>2</v>
      </c>
      <c r="N1869" s="182"/>
      <c r="O1869" s="183" t="s">
        <v>95</v>
      </c>
      <c r="P1869" s="183" t="s">
        <v>96</v>
      </c>
      <c r="Q1869" s="183" t="s">
        <v>97</v>
      </c>
      <c r="R1869" s="183">
        <v>25</v>
      </c>
      <c r="S1869" s="559">
        <v>0</v>
      </c>
      <c r="T1869" s="183">
        <v>25</v>
      </c>
      <c r="U1869" s="183" t="s">
        <v>97</v>
      </c>
      <c r="V1869" s="183"/>
      <c r="W1869" s="183"/>
      <c r="X1869" s="183"/>
      <c r="Y1869" s="184">
        <f t="shared" si="611"/>
        <v>0.01</v>
      </c>
      <c r="Z1869" s="185">
        <f t="shared" si="612"/>
        <v>1600</v>
      </c>
      <c r="AA1869" s="185" t="s">
        <v>6178</v>
      </c>
      <c r="AB1869" s="185"/>
      <c r="AC1869" s="185"/>
      <c r="AD1869" s="649">
        <v>-0.04</v>
      </c>
      <c r="AE1869" s="182"/>
      <c r="AF1869" s="332"/>
      <c r="AG1869" s="182"/>
      <c r="AH1869" s="182"/>
      <c r="AI1869" s="182"/>
      <c r="AJ1869" s="640"/>
      <c r="AK1869" s="182"/>
      <c r="AL1869" s="496">
        <f t="shared" si="613"/>
        <v>-32</v>
      </c>
      <c r="AM1869" s="496">
        <f t="shared" si="608"/>
        <v>-800</v>
      </c>
      <c r="AN1869" s="626"/>
      <c r="AO1869" s="182"/>
      <c r="AP1869" s="182"/>
      <c r="AQ1869" s="332" t="s">
        <v>372</v>
      </c>
      <c r="AR1869" s="182"/>
      <c r="AS1869" s="189">
        <v>-0.05</v>
      </c>
      <c r="AT1869" s="189">
        <f t="shared" si="614"/>
        <v>1.0000000000000002E-2</v>
      </c>
      <c r="AU1869" s="187">
        <f t="shared" si="615"/>
        <v>400.00000000000011</v>
      </c>
      <c r="AV1869" s="190">
        <f t="shared" si="616"/>
        <v>16.000000000000004</v>
      </c>
      <c r="AW1869" s="191" t="s">
        <v>96</v>
      </c>
      <c r="AX1869" s="551"/>
      <c r="AY1869" s="551"/>
      <c r="AZ1869" s="551"/>
      <c r="BA1869" s="551"/>
      <c r="BB1869" s="551"/>
      <c r="BC1869" s="551"/>
      <c r="BD1869" s="549"/>
      <c r="BE1869" s="550"/>
      <c r="BF1869" s="549"/>
      <c r="BG1869" s="391">
        <f>SUM($AV$1389:AV1869)</f>
        <v>3471.8931371208032</v>
      </c>
      <c r="BH1869" s="392">
        <f>SUM($AU$1389:AU1869)</f>
        <v>36636.379999999423</v>
      </c>
      <c r="BI1869" s="318">
        <f>SUMIFS($AU$1388:AU1870,$Q$1388:Q1870,"F")</f>
        <v>23748.400000000001</v>
      </c>
      <c r="BJ1869" s="318">
        <f>SUMIFS($AU$1388:AU1870,$Q$1388:Q1870,"S")</f>
        <v>9775.9999999999945</v>
      </c>
      <c r="BK1869" s="343">
        <f>SUMIFS($AU$1388:AU1870,$P$1388:P1870,"W")</f>
        <v>26573.580000000344</v>
      </c>
      <c r="BL1869" s="343">
        <f>SUMIFS($AU$1388:AU1870,$P$1388:P1870,"R")</f>
        <v>9197.9999999998618</v>
      </c>
      <c r="BM1869" s="343">
        <f>SUMIFS($AU$1388:AU1870,$AQ$1388:AQ1870,"M")</f>
        <v>7528.779999999133</v>
      </c>
      <c r="BN1869" s="343">
        <f>SUMIFS($AU$1388:AU1870,$AQ$1388:AQ1870,"H")</f>
        <v>6359.2000000002827</v>
      </c>
      <c r="BO1869" s="343">
        <f>SUMIFS($AU$1388:AU1870,$AQ$1388:AQ1870,"D")</f>
        <v>12150</v>
      </c>
      <c r="BP1869" s="343">
        <f>SUMIFS($AS$1388:AS2641,$AO$1388:AO2641,"W")</f>
        <v>0</v>
      </c>
      <c r="BQ1869" s="343">
        <f>SUMIFS($AU$1388:AU1870,$Q$1388:Q1870,"O")</f>
        <v>2487.9799999994325</v>
      </c>
      <c r="BR1869" s="343">
        <f>SUMIFS($AU$1388:AU1870,$AA$1388:AA1870,"*")</f>
        <v>27797.19999999931</v>
      </c>
      <c r="BS1869" s="343">
        <f>SUMIFS($AU$1388:AU1870,$AB$1388:AB1870,"*")</f>
        <v>9655.1799999999312</v>
      </c>
      <c r="BT1869" s="343">
        <f>SUMIFS($AU$1388:AU1870,$AC$1388:AC1870,"*")</f>
        <v>21428.400000000001</v>
      </c>
      <c r="BU1869" s="343">
        <f>SUMIFS($AU$1388:AU1870,$AA$1388:AA1870,"*",$AB$1388:AB1870,"*")</f>
        <v>5759.9999999998217</v>
      </c>
      <c r="BV1869" s="343">
        <f>SUMIFS($AU$1388:AU1870,$AA$1388:AA1870,"*",$AC$1388:AC1870,"*")</f>
        <v>14324.400000000001</v>
      </c>
      <c r="BW1869" s="343">
        <f>SUMIFS($AU$1388:AU1870,$AB$1388:AB1870,"*",$AC$1388:AC1870,"*")</f>
        <v>4639.9999999999982</v>
      </c>
      <c r="BX1869" s="343">
        <f>SUMIFS($AV$1388:AV1870,$Q$1388:Q1870,"F")</f>
        <v>456.63675319849239</v>
      </c>
      <c r="BY1869" s="343">
        <f>SUMIFS($AV$1388:AV1870,$Q$1388:Q1870,"S")</f>
        <v>456.81638392253404</v>
      </c>
      <c r="BZ1869" s="343">
        <f>SUMIFS($AV$1388:AV1870,$Q$1388:Q1870,"O")</f>
        <v>642.43999999977211</v>
      </c>
    </row>
    <row r="1870" spans="1:78" ht="15.75" customHeight="1">
      <c r="A1870" s="177" t="s">
        <v>5851</v>
      </c>
      <c r="B1870" s="200">
        <v>45406</v>
      </c>
      <c r="C1870" s="178" t="s">
        <v>682</v>
      </c>
      <c r="D1870" s="178" t="s">
        <v>151</v>
      </c>
      <c r="E1870" s="227"/>
      <c r="F1870" s="180"/>
      <c r="G1870" s="181" t="s">
        <v>2016</v>
      </c>
      <c r="H1870" s="182"/>
      <c r="I1870" s="182"/>
      <c r="J1870" s="182"/>
      <c r="K1870" s="183"/>
      <c r="L1870" s="182">
        <v>2</v>
      </c>
      <c r="M1870" s="182">
        <v>2</v>
      </c>
      <c r="N1870" s="182"/>
      <c r="O1870" s="183" t="s">
        <v>95</v>
      </c>
      <c r="P1870" s="183" t="s">
        <v>96</v>
      </c>
      <c r="Q1870" s="183" t="s">
        <v>97</v>
      </c>
      <c r="R1870" s="183">
        <v>25</v>
      </c>
      <c r="S1870" s="559">
        <v>0</v>
      </c>
      <c r="T1870" s="183">
        <v>25</v>
      </c>
      <c r="U1870" s="183" t="s">
        <v>97</v>
      </c>
      <c r="V1870" s="183"/>
      <c r="W1870" s="183"/>
      <c r="X1870" s="183"/>
      <c r="Y1870" s="184">
        <f t="shared" si="611"/>
        <v>0.01</v>
      </c>
      <c r="Z1870" s="185">
        <f t="shared" si="612"/>
        <v>1600</v>
      </c>
      <c r="AA1870" s="185" t="s">
        <v>6177</v>
      </c>
      <c r="AB1870" s="185"/>
      <c r="AC1870" s="185"/>
      <c r="AD1870" s="649">
        <v>-0.04</v>
      </c>
      <c r="AE1870" s="182"/>
      <c r="AF1870" s="332"/>
      <c r="AG1870" s="182"/>
      <c r="AH1870" s="182"/>
      <c r="AI1870" s="182"/>
      <c r="AJ1870" s="640"/>
      <c r="AK1870" s="182"/>
      <c r="AL1870" s="496">
        <f t="shared" si="613"/>
        <v>-32</v>
      </c>
      <c r="AM1870" s="496">
        <f t="shared" si="608"/>
        <v>-800</v>
      </c>
      <c r="AN1870" s="626"/>
      <c r="AO1870" s="182"/>
      <c r="AP1870" s="182"/>
      <c r="AQ1870" s="332" t="s">
        <v>372</v>
      </c>
      <c r="AR1870" s="182"/>
      <c r="AS1870" s="189">
        <v>-0.06</v>
      </c>
      <c r="AT1870" s="189">
        <f t="shared" si="614"/>
        <v>1.9999999999999997E-2</v>
      </c>
      <c r="AU1870" s="187">
        <f t="shared" si="615"/>
        <v>799.99999999999989</v>
      </c>
      <c r="AV1870" s="190">
        <f t="shared" si="616"/>
        <v>31.999999999999996</v>
      </c>
      <c r="AW1870" s="191" t="s">
        <v>96</v>
      </c>
      <c r="AX1870" s="551"/>
      <c r="AY1870" s="551"/>
      <c r="AZ1870" s="551"/>
      <c r="BA1870" s="551"/>
      <c r="BB1870" s="551"/>
      <c r="BC1870" s="551"/>
      <c r="BD1870" s="549"/>
      <c r="BE1870" s="550"/>
      <c r="BF1870" s="549"/>
      <c r="BG1870" s="391">
        <f>SUM($AV$1389:AV1870)</f>
        <v>3503.8931371208032</v>
      </c>
      <c r="BH1870" s="392">
        <f>SUM($AU$1389:AU1870)</f>
        <v>37436.379999999423</v>
      </c>
      <c r="BI1870" s="318">
        <f>SUMIFS($AU$1388:AU1871,$Q$1388:Q1871,"F")</f>
        <v>23748.400000000001</v>
      </c>
      <c r="BJ1870" s="318">
        <f>SUMIFS($AU$1388:AU1871,$Q$1388:Q1871,"S")</f>
        <v>10735.999999999996</v>
      </c>
      <c r="BK1870" s="343">
        <f>SUMIFS($AU$1388:AU1871,$P$1388:P1871,"W")</f>
        <v>27533.580000000344</v>
      </c>
      <c r="BL1870" s="343">
        <f>SUMIFS($AU$1388:AU1871,$P$1388:P1871,"R")</f>
        <v>9197.9999999998618</v>
      </c>
      <c r="BM1870" s="343">
        <f>SUMIFS($AU$1388:AU1871,$AQ$1388:AQ1871,"M")</f>
        <v>8488.779999999133</v>
      </c>
      <c r="BN1870" s="343">
        <f>SUMIFS($AU$1388:AU1871,$AQ$1388:AQ1871,"H")</f>
        <v>6359.2000000002827</v>
      </c>
      <c r="BO1870" s="343">
        <f>SUMIFS($AU$1388:AU1871,$AQ$1388:AQ1871,"D")</f>
        <v>12150</v>
      </c>
      <c r="BP1870" s="343">
        <f>SUMIFS($AS$1388:AS2642,$AO$1388:AO2642,"W")</f>
        <v>0</v>
      </c>
      <c r="BQ1870" s="343">
        <f>SUMIFS($AU$1388:AU1871,$Q$1388:Q1871,"O")</f>
        <v>2487.9799999994325</v>
      </c>
      <c r="BR1870" s="343">
        <f>SUMIFS($AU$1388:AU1871,$AA$1388:AA1871,"*")</f>
        <v>28757.19999999931</v>
      </c>
      <c r="BS1870" s="343">
        <f>SUMIFS($AU$1388:AU1871,$AB$1388:AB1871,"*")</f>
        <v>9655.1799999999312</v>
      </c>
      <c r="BT1870" s="343">
        <f>SUMIFS($AU$1388:AU1871,$AC$1388:AC1871,"*")</f>
        <v>21428.400000000001</v>
      </c>
      <c r="BU1870" s="343">
        <f>SUMIFS($AU$1388:AU1871,$AA$1388:AA1871,"*",$AB$1388:AB1871,"*")</f>
        <v>5759.9999999998217</v>
      </c>
      <c r="BV1870" s="343">
        <f>SUMIFS($AU$1388:AU1871,$AA$1388:AA1871,"*",$AC$1388:AC1871,"*")</f>
        <v>14324.400000000001</v>
      </c>
      <c r="BW1870" s="343">
        <f>SUMIFS($AU$1388:AU1871,$AB$1388:AB1871,"*",$AC$1388:AC1871,"*")</f>
        <v>4639.9999999999982</v>
      </c>
      <c r="BX1870" s="343">
        <f>SUMIFS($AV$1388:AV1871,$Q$1388:Q1871,"F")</f>
        <v>456.63675319849239</v>
      </c>
      <c r="BY1870" s="343">
        <f>SUMIFS($AV$1388:AV1871,$Q$1388:Q1871,"S")</f>
        <v>472.81638392253404</v>
      </c>
      <c r="BZ1870" s="343">
        <f>SUMIFS($AV$1388:AV1871,$Q$1388:Q1871,"O")</f>
        <v>642.43999999977211</v>
      </c>
    </row>
    <row r="1871" spans="1:78" ht="15.75" customHeight="1">
      <c r="A1871" s="177" t="s">
        <v>5851</v>
      </c>
      <c r="B1871" s="200">
        <v>45406</v>
      </c>
      <c r="C1871" s="178" t="s">
        <v>682</v>
      </c>
      <c r="D1871" s="178" t="s">
        <v>151</v>
      </c>
      <c r="E1871" s="227"/>
      <c r="F1871" s="180"/>
      <c r="G1871" s="181" t="s">
        <v>3625</v>
      </c>
      <c r="H1871" s="182"/>
      <c r="I1871" s="182"/>
      <c r="J1871" s="182"/>
      <c r="K1871" s="183"/>
      <c r="L1871" s="182">
        <v>2</v>
      </c>
      <c r="M1871" s="182">
        <v>2</v>
      </c>
      <c r="N1871" s="182"/>
      <c r="O1871" s="183" t="s">
        <v>95</v>
      </c>
      <c r="P1871" s="183" t="s">
        <v>96</v>
      </c>
      <c r="Q1871" s="183" t="s">
        <v>97</v>
      </c>
      <c r="R1871" s="183">
        <v>60</v>
      </c>
      <c r="S1871" s="559">
        <v>0</v>
      </c>
      <c r="T1871" s="183">
        <v>60</v>
      </c>
      <c r="U1871" s="183" t="s">
        <v>97</v>
      </c>
      <c r="V1871" s="183"/>
      <c r="W1871" s="183"/>
      <c r="X1871" s="183"/>
      <c r="Y1871" s="184">
        <f t="shared" si="611"/>
        <v>0.01</v>
      </c>
      <c r="Z1871" s="185">
        <f t="shared" si="612"/>
        <v>1600</v>
      </c>
      <c r="AA1871" s="185" t="s">
        <v>4942</v>
      </c>
      <c r="AB1871" s="185"/>
      <c r="AC1871" s="185"/>
      <c r="AD1871" s="649">
        <v>-0.15</v>
      </c>
      <c r="AE1871" s="182"/>
      <c r="AF1871" s="332"/>
      <c r="AG1871" s="182"/>
      <c r="AH1871" s="182"/>
      <c r="AI1871" s="182"/>
      <c r="AJ1871" s="640"/>
      <c r="AK1871" s="182"/>
      <c r="AL1871" s="496">
        <f t="shared" si="613"/>
        <v>-32</v>
      </c>
      <c r="AM1871" s="496">
        <f t="shared" si="608"/>
        <v>-1920</v>
      </c>
      <c r="AN1871" s="626"/>
      <c r="AO1871" s="182"/>
      <c r="AP1871" s="182"/>
      <c r="AQ1871" s="332" t="s">
        <v>1259</v>
      </c>
      <c r="AR1871" s="182"/>
      <c r="AS1871" s="189">
        <v>-0.16</v>
      </c>
      <c r="AT1871" s="189">
        <f t="shared" si="614"/>
        <v>1.0000000000000009E-2</v>
      </c>
      <c r="AU1871" s="187">
        <f t="shared" si="615"/>
        <v>960.00000000000091</v>
      </c>
      <c r="AV1871" s="190">
        <f t="shared" si="616"/>
        <v>16.000000000000014</v>
      </c>
      <c r="AW1871" s="191" t="s">
        <v>96</v>
      </c>
      <c r="AX1871" s="551"/>
      <c r="AY1871" s="551"/>
      <c r="AZ1871" s="551"/>
      <c r="BA1871" s="551"/>
      <c r="BB1871" s="551"/>
      <c r="BC1871" s="551"/>
      <c r="BD1871" s="549"/>
      <c r="BE1871" s="550"/>
      <c r="BF1871" s="549"/>
      <c r="BG1871" s="391">
        <f>SUM($AV$1389:AV1871)</f>
        <v>3519.8931371208032</v>
      </c>
      <c r="BH1871" s="392">
        <f>SUM($AU$1389:AU1871)</f>
        <v>38396.379999999423</v>
      </c>
      <c r="BI1871" s="318">
        <f>SUMIFS($AU$1388:AU1872,$Q$1388:Q1872,"F")</f>
        <v>23748.400000000001</v>
      </c>
      <c r="BJ1871" s="318">
        <f>SUMIFS($AU$1388:AU1872,$Q$1388:Q1872,"S")</f>
        <v>10735.999999999996</v>
      </c>
      <c r="BK1871" s="343">
        <f>SUMIFS($AU$1388:AU1872,$P$1388:P1872,"W")</f>
        <v>27533.580000000344</v>
      </c>
      <c r="BL1871" s="343">
        <f>SUMIFS($AU$1388:AU1872,$P$1388:P1872,"R")</f>
        <v>9197.9999999998618</v>
      </c>
      <c r="BM1871" s="343">
        <f>SUMIFS($AU$1388:AU1872,$AQ$1388:AQ1872,"M")</f>
        <v>8488.779999999133</v>
      </c>
      <c r="BN1871" s="343">
        <f>SUMIFS($AU$1388:AU1872,$AQ$1388:AQ1872,"H")</f>
        <v>6359.2000000002827</v>
      </c>
      <c r="BO1871" s="343">
        <f>SUMIFS($AU$1388:AU1872,$AQ$1388:AQ1872,"D")</f>
        <v>12150</v>
      </c>
      <c r="BP1871" s="343">
        <f>SUMIFS($AS$1388:AS2643,$AO$1388:AO2643,"W")</f>
        <v>0</v>
      </c>
      <c r="BQ1871" s="343">
        <f>SUMIFS($AU$1388:AU1872,$Q$1388:Q1872,"O")</f>
        <v>2487.9799999994325</v>
      </c>
      <c r="BR1871" s="343">
        <f>SUMIFS($AU$1388:AU1872,$AA$1388:AA1872,"*")</f>
        <v>28757.19999999931</v>
      </c>
      <c r="BS1871" s="343">
        <f>SUMIFS($AU$1388:AU1872,$AB$1388:AB1872,"*")</f>
        <v>9655.1799999999312</v>
      </c>
      <c r="BT1871" s="343">
        <f>SUMIFS($AU$1388:AU1872,$AC$1388:AC1872,"*")</f>
        <v>21428.400000000001</v>
      </c>
      <c r="BU1871" s="343">
        <f>SUMIFS($AU$1388:AU1872,$AA$1388:AA1872,"*",$AB$1388:AB1872,"*")</f>
        <v>5759.9999999998217</v>
      </c>
      <c r="BV1871" s="343">
        <f>SUMIFS($AU$1388:AU1872,$AA$1388:AA1872,"*",$AC$1388:AC1872,"*")</f>
        <v>14324.400000000001</v>
      </c>
      <c r="BW1871" s="343">
        <f>SUMIFS($AU$1388:AU1872,$AB$1388:AB1872,"*",$AC$1388:AC1872,"*")</f>
        <v>4639.9999999999982</v>
      </c>
      <c r="BX1871" s="343">
        <f>SUMIFS($AV$1388:AV1872,$Q$1388:Q1872,"F")</f>
        <v>456.63675319849239</v>
      </c>
      <c r="BY1871" s="343">
        <f>SUMIFS($AV$1388:AV1872,$Q$1388:Q1872,"S")</f>
        <v>472.81638392253404</v>
      </c>
      <c r="BZ1871" s="343">
        <f>SUMIFS($AV$1388:AV1872,$Q$1388:Q1872,"O")</f>
        <v>642.43999999977211</v>
      </c>
    </row>
    <row r="1872" spans="1:78" ht="15.75" customHeight="1">
      <c r="A1872" s="177" t="s">
        <v>5851</v>
      </c>
      <c r="B1872" s="200">
        <v>45406</v>
      </c>
      <c r="C1872" s="178" t="s">
        <v>682</v>
      </c>
      <c r="D1872" s="178" t="s">
        <v>151</v>
      </c>
      <c r="E1872" s="227"/>
      <c r="F1872" s="180"/>
      <c r="G1872" s="181" t="s">
        <v>2070</v>
      </c>
      <c r="H1872" s="182"/>
      <c r="I1872" s="182"/>
      <c r="J1872" s="182"/>
      <c r="K1872" s="183"/>
      <c r="L1872" s="182">
        <v>2</v>
      </c>
      <c r="M1872" s="182">
        <v>2</v>
      </c>
      <c r="N1872" s="182"/>
      <c r="O1872" s="183" t="s">
        <v>95</v>
      </c>
      <c r="P1872" s="183" t="s">
        <v>96</v>
      </c>
      <c r="Q1872" s="183" t="s">
        <v>97</v>
      </c>
      <c r="R1872" s="183">
        <v>50</v>
      </c>
      <c r="S1872" s="559">
        <v>0</v>
      </c>
      <c r="T1872" s="183">
        <v>50</v>
      </c>
      <c r="U1872" s="183" t="s">
        <v>97</v>
      </c>
      <c r="V1872" s="183"/>
      <c r="W1872" s="183"/>
      <c r="X1872" s="183"/>
      <c r="Y1872" s="184">
        <f t="shared" si="611"/>
        <v>0.01</v>
      </c>
      <c r="Z1872" s="185">
        <f t="shared" si="612"/>
        <v>1600</v>
      </c>
      <c r="AA1872" s="185" t="s">
        <v>6179</v>
      </c>
      <c r="AB1872" s="185"/>
      <c r="AC1872" s="185"/>
      <c r="AD1872" s="649">
        <v>-7.0000000000000007E-2</v>
      </c>
      <c r="AE1872" s="182"/>
      <c r="AF1872" s="332"/>
      <c r="AG1872" s="182"/>
      <c r="AH1872" s="182"/>
      <c r="AI1872" s="182"/>
      <c r="AJ1872" s="640"/>
      <c r="AK1872" s="182"/>
      <c r="AL1872" s="496">
        <f t="shared" si="613"/>
        <v>-32</v>
      </c>
      <c r="AM1872" s="496">
        <f t="shared" si="608"/>
        <v>-1600</v>
      </c>
      <c r="AN1872" s="626"/>
      <c r="AO1872" s="182"/>
      <c r="AP1872" s="182"/>
      <c r="AQ1872" s="332" t="s">
        <v>372</v>
      </c>
      <c r="AR1872" s="182"/>
      <c r="AS1872" s="189">
        <v>-7.0000000000000007E-2</v>
      </c>
      <c r="AT1872" s="189">
        <f t="shared" si="614"/>
        <v>0</v>
      </c>
      <c r="AU1872" s="187">
        <f t="shared" si="615"/>
        <v>0</v>
      </c>
      <c r="AV1872" s="190">
        <f t="shared" si="616"/>
        <v>0</v>
      </c>
      <c r="AW1872" s="191" t="s">
        <v>115</v>
      </c>
      <c r="AX1872" s="551"/>
      <c r="AY1872" s="551"/>
      <c r="AZ1872" s="551"/>
      <c r="BA1872" s="551"/>
      <c r="BB1872" s="551"/>
      <c r="BC1872" s="551"/>
      <c r="BD1872" s="549"/>
      <c r="BE1872" s="550"/>
      <c r="BF1872" s="549"/>
      <c r="BG1872" s="391">
        <f>SUM($AV$1389:AV1872)</f>
        <v>3519.8931371208032</v>
      </c>
      <c r="BH1872" s="392">
        <f>SUM($AU$1389:AU1872)</f>
        <v>38396.379999999423</v>
      </c>
      <c r="BI1872" s="318">
        <f>SUMIFS($AU$1388:AU1873,$Q$1388:Q1873,"F")</f>
        <v>23748.400000000001</v>
      </c>
      <c r="BJ1872" s="318">
        <f>SUMIFS($AU$1388:AU1873,$Q$1388:Q1873,"S")</f>
        <v>11135.999999999996</v>
      </c>
      <c r="BK1872" s="343">
        <f>SUMIFS($AU$1388:AU1873,$P$1388:P1873,"W")</f>
        <v>27933.580000000344</v>
      </c>
      <c r="BL1872" s="343">
        <f>SUMIFS($AU$1388:AU1873,$P$1388:P1873,"R")</f>
        <v>9197.9999999998618</v>
      </c>
      <c r="BM1872" s="343">
        <f>SUMIFS($AU$1388:AU1873,$AQ$1388:AQ1873,"M")</f>
        <v>8488.779999999133</v>
      </c>
      <c r="BN1872" s="343">
        <f>SUMIFS($AU$1388:AU1873,$AQ$1388:AQ1873,"H")</f>
        <v>6759.2000000002827</v>
      </c>
      <c r="BO1872" s="343">
        <f>SUMIFS($AU$1388:AU1873,$AQ$1388:AQ1873,"D")</f>
        <v>12150</v>
      </c>
      <c r="BP1872" s="343">
        <f>SUMIFS($AS$1388:AS2644,$AO$1388:AO2644,"W")</f>
        <v>0</v>
      </c>
      <c r="BQ1872" s="343">
        <f>SUMIFS($AU$1388:AU1873,$Q$1388:Q1873,"O")</f>
        <v>2487.9799999994325</v>
      </c>
      <c r="BR1872" s="343">
        <f>SUMIFS($AU$1388:AU1873,$AA$1388:AA1873,"*")</f>
        <v>29157.19999999931</v>
      </c>
      <c r="BS1872" s="343">
        <f>SUMIFS($AU$1388:AU1873,$AB$1388:AB1873,"*")</f>
        <v>9655.1799999999312</v>
      </c>
      <c r="BT1872" s="343">
        <f>SUMIFS($AU$1388:AU1873,$AC$1388:AC1873,"*")</f>
        <v>21428.400000000001</v>
      </c>
      <c r="BU1872" s="343">
        <f>SUMIFS($AU$1388:AU1873,$AA$1388:AA1873,"*",$AB$1388:AB1873,"*")</f>
        <v>5759.9999999998217</v>
      </c>
      <c r="BV1872" s="343">
        <f>SUMIFS($AU$1388:AU1873,$AA$1388:AA1873,"*",$AC$1388:AC1873,"*")</f>
        <v>14324.400000000001</v>
      </c>
      <c r="BW1872" s="343">
        <f>SUMIFS($AU$1388:AU1873,$AB$1388:AB1873,"*",$AC$1388:AC1873,"*")</f>
        <v>4639.9999999999982</v>
      </c>
      <c r="BX1872" s="343">
        <f>SUMIFS($AV$1388:AV1873,$Q$1388:Q1873,"F")</f>
        <v>456.63675319849239</v>
      </c>
      <c r="BY1872" s="343">
        <f>SUMIFS($AV$1388:AV1873,$Q$1388:Q1873,"S")</f>
        <v>488.81638392253404</v>
      </c>
      <c r="BZ1872" s="343">
        <f>SUMIFS($AV$1388:AV1873,$Q$1388:Q1873,"O")</f>
        <v>642.43999999977211</v>
      </c>
    </row>
    <row r="1873" spans="1:78" ht="15.75" customHeight="1">
      <c r="A1873" s="177" t="s">
        <v>5851</v>
      </c>
      <c r="B1873" s="200">
        <v>45406</v>
      </c>
      <c r="C1873" s="178" t="s">
        <v>682</v>
      </c>
      <c r="D1873" s="178" t="s">
        <v>151</v>
      </c>
      <c r="E1873" s="227"/>
      <c r="F1873" s="180"/>
      <c r="G1873" s="181" t="s">
        <v>2070</v>
      </c>
      <c r="H1873" s="182"/>
      <c r="I1873" s="182"/>
      <c r="J1873" s="182"/>
      <c r="K1873" s="183"/>
      <c r="L1873" s="182">
        <v>2</v>
      </c>
      <c r="M1873" s="182">
        <v>2</v>
      </c>
      <c r="N1873" s="182"/>
      <c r="O1873" s="183" t="s">
        <v>95</v>
      </c>
      <c r="P1873" s="183" t="s">
        <v>96</v>
      </c>
      <c r="Q1873" s="183" t="s">
        <v>97</v>
      </c>
      <c r="R1873" s="183">
        <v>25</v>
      </c>
      <c r="S1873" s="559">
        <v>0</v>
      </c>
      <c r="T1873" s="183">
        <v>25</v>
      </c>
      <c r="U1873" s="183" t="s">
        <v>97</v>
      </c>
      <c r="V1873" s="183"/>
      <c r="W1873" s="183"/>
      <c r="X1873" s="183"/>
      <c r="Y1873" s="184">
        <f t="shared" si="611"/>
        <v>0.01</v>
      </c>
      <c r="Z1873" s="185">
        <f t="shared" si="612"/>
        <v>1600</v>
      </c>
      <c r="AA1873" s="185" t="s">
        <v>6179</v>
      </c>
      <c r="AB1873" s="185"/>
      <c r="AC1873" s="185"/>
      <c r="AD1873" s="649">
        <v>-7.0000000000000007E-2</v>
      </c>
      <c r="AE1873" s="182"/>
      <c r="AF1873" s="332"/>
      <c r="AG1873" s="182"/>
      <c r="AH1873" s="182"/>
      <c r="AI1873" s="182"/>
      <c r="AJ1873" s="640"/>
      <c r="AK1873" s="182"/>
      <c r="AL1873" s="496">
        <f t="shared" ref="AL1873" si="617">-0.02*Z1873</f>
        <v>-32</v>
      </c>
      <c r="AM1873" s="496">
        <f t="shared" si="608"/>
        <v>-800</v>
      </c>
      <c r="AN1873" s="626"/>
      <c r="AO1873" s="182"/>
      <c r="AP1873" s="182"/>
      <c r="AQ1873" s="332" t="s">
        <v>372</v>
      </c>
      <c r="AR1873" s="182"/>
      <c r="AS1873" s="189">
        <v>-0.08</v>
      </c>
      <c r="AT1873" s="189">
        <f t="shared" si="614"/>
        <v>9.999999999999995E-3</v>
      </c>
      <c r="AU1873" s="187">
        <f t="shared" si="615"/>
        <v>399.99999999999983</v>
      </c>
      <c r="AV1873" s="190">
        <f t="shared" ref="AV1873" si="618">IF(ISBLANK(AS1873),,(AT1873*Z1873))</f>
        <v>15.999999999999993</v>
      </c>
      <c r="AW1873" s="191" t="s">
        <v>96</v>
      </c>
      <c r="AX1873" s="551"/>
      <c r="AY1873" s="551"/>
      <c r="AZ1873" s="551"/>
      <c r="BA1873" s="551"/>
      <c r="BB1873" s="551"/>
      <c r="BC1873" s="551"/>
      <c r="BD1873" s="549"/>
      <c r="BE1873" s="550"/>
      <c r="BF1873" s="549"/>
      <c r="BG1873" s="391">
        <f>SUM($AV$1389:AV1873)</f>
        <v>3535.8931371208032</v>
      </c>
      <c r="BH1873" s="392">
        <f>SUM($AU$1389:AU1873)</f>
        <v>38796.379999999423</v>
      </c>
      <c r="BI1873" s="318">
        <f>SUMIFS($AU$1388:AU1874,$Q$1388:Q1874,"F")</f>
        <v>23748.400000000001</v>
      </c>
      <c r="BJ1873" s="318">
        <f>SUMIFS($AU$1388:AU1874,$Q$1388:Q1874,"S")</f>
        <v>11935.999999999996</v>
      </c>
      <c r="BK1873" s="343">
        <f>SUMIFS($AU$1388:AU1874,$P$1388:P1874,"W")</f>
        <v>28733.580000000344</v>
      </c>
      <c r="BL1873" s="343">
        <f>SUMIFS($AU$1388:AU1874,$P$1388:P1874,"R")</f>
        <v>9197.9999999998618</v>
      </c>
      <c r="BM1873" s="343">
        <f>SUMIFS($AU$1388:AU1874,$AQ$1388:AQ1874,"M")</f>
        <v>8488.779999999133</v>
      </c>
      <c r="BN1873" s="343">
        <f>SUMIFS($AU$1388:AU1874,$AQ$1388:AQ1874,"H")</f>
        <v>7559.2000000002827</v>
      </c>
      <c r="BO1873" s="343">
        <f>SUMIFS($AU$1388:AU1874,$AQ$1388:AQ1874,"D")</f>
        <v>12150</v>
      </c>
      <c r="BP1873" s="343">
        <f>SUMIFS($AS$1388:AS2645,$AO$1388:AO2645,"W")</f>
        <v>0</v>
      </c>
      <c r="BQ1873" s="343">
        <f>SUMIFS($AU$1388:AU1874,$Q$1388:Q1874,"O")</f>
        <v>2487.9799999994325</v>
      </c>
      <c r="BR1873" s="343">
        <f>SUMIFS($AU$1388:AU1874,$AA$1388:AA1874,"*")</f>
        <v>29957.19999999931</v>
      </c>
      <c r="BS1873" s="343">
        <f>SUMIFS($AU$1388:AU1874,$AB$1388:AB1874,"*")</f>
        <v>9655.1799999999312</v>
      </c>
      <c r="BT1873" s="343">
        <f>SUMIFS($AU$1388:AU1874,$AC$1388:AC1874,"*")</f>
        <v>21428.400000000001</v>
      </c>
      <c r="BU1873" s="343">
        <f>SUMIFS($AU$1388:AU1874,$AA$1388:AA1874,"*",$AB$1388:AB1874,"*")</f>
        <v>5759.9999999998217</v>
      </c>
      <c r="BV1873" s="343">
        <f>SUMIFS($AU$1388:AU1874,$AA$1388:AA1874,"*",$AC$1388:AC1874,"*")</f>
        <v>14324.400000000001</v>
      </c>
      <c r="BW1873" s="343">
        <f>SUMIFS($AU$1388:AU1874,$AB$1388:AB1874,"*",$AC$1388:AC1874,"*")</f>
        <v>4639.9999999999982</v>
      </c>
      <c r="BX1873" s="343">
        <f>SUMIFS($AV$1388:AV1874,$Q$1388:Q1874,"F")</f>
        <v>456.63675319849239</v>
      </c>
      <c r="BY1873" s="343">
        <f>SUMIFS($AV$1388:AV1874,$Q$1388:Q1874,"S")</f>
        <v>504.81638392253404</v>
      </c>
      <c r="BZ1873" s="343">
        <f>SUMIFS($AV$1388:AV1874,$Q$1388:Q1874,"O")</f>
        <v>642.43999999977211</v>
      </c>
    </row>
    <row r="1874" spans="1:78" ht="15.75" customHeight="1">
      <c r="A1874" s="177" t="s">
        <v>5851</v>
      </c>
      <c r="B1874" s="200">
        <v>45406</v>
      </c>
      <c r="C1874" s="178" t="s">
        <v>682</v>
      </c>
      <c r="D1874" s="178" t="s">
        <v>151</v>
      </c>
      <c r="E1874" s="227"/>
      <c r="F1874" s="180"/>
      <c r="G1874" s="181" t="s">
        <v>136</v>
      </c>
      <c r="H1874" s="182"/>
      <c r="I1874" s="182"/>
      <c r="J1874" s="182"/>
      <c r="K1874" s="183"/>
      <c r="L1874" s="182">
        <v>2</v>
      </c>
      <c r="M1874" s="182">
        <v>2</v>
      </c>
      <c r="N1874" s="182"/>
      <c r="O1874" s="183" t="s">
        <v>95</v>
      </c>
      <c r="P1874" s="183" t="s">
        <v>96</v>
      </c>
      <c r="Q1874" s="183" t="s">
        <v>97</v>
      </c>
      <c r="R1874" s="183">
        <v>50</v>
      </c>
      <c r="S1874" s="559">
        <v>0</v>
      </c>
      <c r="T1874" s="183">
        <v>50</v>
      </c>
      <c r="U1874" s="183" t="s">
        <v>97</v>
      </c>
      <c r="V1874" s="183"/>
      <c r="W1874" s="183"/>
      <c r="X1874" s="183"/>
      <c r="Y1874" s="184">
        <f t="shared" si="611"/>
        <v>0.01</v>
      </c>
      <c r="Z1874" s="185">
        <f t="shared" si="612"/>
        <v>1600</v>
      </c>
      <c r="AA1874" s="185" t="s">
        <v>6180</v>
      </c>
      <c r="AB1874" s="185"/>
      <c r="AC1874" s="185"/>
      <c r="AD1874" s="649">
        <v>0.03</v>
      </c>
      <c r="AE1874" s="182"/>
      <c r="AF1874" s="332"/>
      <c r="AG1874" s="182"/>
      <c r="AH1874" s="182"/>
      <c r="AI1874" s="182"/>
      <c r="AJ1874" s="640"/>
      <c r="AK1874" s="182"/>
      <c r="AL1874" s="496">
        <f t="shared" si="613"/>
        <v>-32</v>
      </c>
      <c r="AM1874" s="496">
        <f t="shared" si="608"/>
        <v>-1600</v>
      </c>
      <c r="AN1874" s="626"/>
      <c r="AO1874" s="182"/>
      <c r="AP1874" s="182"/>
      <c r="AQ1874" s="332" t="s">
        <v>372</v>
      </c>
      <c r="AR1874" s="182"/>
      <c r="AS1874" s="189">
        <v>0.02</v>
      </c>
      <c r="AT1874" s="189">
        <f t="shared" si="614"/>
        <v>9.9999999999999985E-3</v>
      </c>
      <c r="AU1874" s="187">
        <f t="shared" si="615"/>
        <v>799.99999999999989</v>
      </c>
      <c r="AV1874" s="190">
        <f t="shared" si="616"/>
        <v>15.999999999999998</v>
      </c>
      <c r="AW1874" s="191" t="s">
        <v>96</v>
      </c>
      <c r="AX1874" s="551"/>
      <c r="AY1874" s="551"/>
      <c r="AZ1874" s="551"/>
      <c r="BA1874" s="551"/>
      <c r="BB1874" s="551"/>
      <c r="BC1874" s="551"/>
      <c r="BD1874" s="549"/>
      <c r="BE1874" s="550"/>
      <c r="BF1874" s="549"/>
      <c r="BG1874" s="391">
        <f>SUM($AV$1389:AV1874)</f>
        <v>3551.8931371208032</v>
      </c>
      <c r="BH1874" s="392">
        <f>SUM($AU$1389:AU1874)</f>
        <v>39596.379999999423</v>
      </c>
      <c r="BI1874" s="318">
        <f>SUMIFS($AU$1388:AU1875,$Q$1388:Q1875,"F")</f>
        <v>23748.400000000001</v>
      </c>
      <c r="BJ1874" s="318">
        <f>SUMIFS($AU$1388:AU1875,$Q$1388:Q1875,"S")</f>
        <v>11935.999999999996</v>
      </c>
      <c r="BK1874" s="343">
        <f>SUMIFS($AU$1388:AU1875,$P$1388:P1875,"W")</f>
        <v>28733.580000000344</v>
      </c>
      <c r="BL1874" s="343">
        <f>SUMIFS($AU$1388:AU1875,$P$1388:P1875,"R")</f>
        <v>9197.9999999998618</v>
      </c>
      <c r="BM1874" s="343">
        <f>SUMIFS($AU$1388:AU1875,$AQ$1388:AQ1875,"M")</f>
        <v>9254.3799999993262</v>
      </c>
      <c r="BN1874" s="343">
        <f>SUMIFS($AU$1388:AU1875,$AQ$1388:AQ1875,"H")</f>
        <v>7559.2000000002827</v>
      </c>
      <c r="BO1874" s="343">
        <f>SUMIFS($AU$1388:AU1875,$AQ$1388:AQ1875,"D")</f>
        <v>12150</v>
      </c>
      <c r="BP1874" s="343">
        <f>SUMIFS($AS$1388:AS2646,$AO$1388:AO2646,"W")</f>
        <v>0</v>
      </c>
      <c r="BQ1874" s="343">
        <f>SUMIFS($AU$1388:AU1875,$Q$1388:Q1875,"O")</f>
        <v>3253.5799999996261</v>
      </c>
      <c r="BR1874" s="343">
        <f>SUMIFS($AU$1388:AU1875,$AA$1388:AA1875,"*")</f>
        <v>30722.799999999505</v>
      </c>
      <c r="BS1874" s="343">
        <f>SUMIFS($AU$1388:AU1875,$AB$1388:AB1875,"*")</f>
        <v>9655.1799999999312</v>
      </c>
      <c r="BT1874" s="343">
        <f>SUMIFS($AU$1388:AU1875,$AC$1388:AC1875,"*")</f>
        <v>21428.400000000001</v>
      </c>
      <c r="BU1874" s="343">
        <f>SUMIFS($AU$1388:AU1875,$AA$1388:AA1875,"*",$AB$1388:AB1875,"*")</f>
        <v>5759.9999999998217</v>
      </c>
      <c r="BV1874" s="343">
        <f>SUMIFS($AU$1388:AU1875,$AA$1388:AA1875,"*",$AC$1388:AC1875,"*")</f>
        <v>14324.400000000001</v>
      </c>
      <c r="BW1874" s="343">
        <f>SUMIFS($AU$1388:AU1875,$AB$1388:AB1875,"*",$AC$1388:AC1875,"*")</f>
        <v>4639.9999999999982</v>
      </c>
      <c r="BX1874" s="343">
        <f>SUMIFS($AV$1388:AV1875,$Q$1388:Q1875,"F")</f>
        <v>456.63675319849239</v>
      </c>
      <c r="BY1874" s="343">
        <f>SUMIFS($AV$1388:AV1875,$Q$1388:Q1875,"S")</f>
        <v>504.81638392253404</v>
      </c>
      <c r="BZ1874" s="343">
        <f>SUMIFS($AV$1388:AV1875,$Q$1388:Q1875,"O")</f>
        <v>897.63999999983673</v>
      </c>
    </row>
    <row r="1875" spans="1:78" ht="15.75" customHeight="1">
      <c r="A1875" s="177" t="s">
        <v>5851</v>
      </c>
      <c r="B1875" s="200">
        <v>45406</v>
      </c>
      <c r="C1875" s="178" t="s">
        <v>682</v>
      </c>
      <c r="D1875" s="178" t="s">
        <v>151</v>
      </c>
      <c r="E1875" s="227"/>
      <c r="F1875" s="180"/>
      <c r="G1875" s="181" t="s">
        <v>5723</v>
      </c>
      <c r="H1875" s="182"/>
      <c r="I1875" s="182"/>
      <c r="J1875" s="182"/>
      <c r="K1875" s="183"/>
      <c r="L1875" s="182">
        <v>3</v>
      </c>
      <c r="M1875" s="182"/>
      <c r="N1875" s="182"/>
      <c r="O1875" s="183" t="s">
        <v>3618</v>
      </c>
      <c r="P1875" s="183" t="s">
        <v>2260</v>
      </c>
      <c r="Q1875" s="183" t="s">
        <v>684</v>
      </c>
      <c r="R1875" s="183">
        <v>3</v>
      </c>
      <c r="S1875" s="183">
        <v>0</v>
      </c>
      <c r="T1875" s="183">
        <v>3</v>
      </c>
      <c r="U1875" s="183" t="s">
        <v>97</v>
      </c>
      <c r="V1875" s="183"/>
      <c r="W1875" s="183"/>
      <c r="X1875" s="183"/>
      <c r="Y1875" s="184">
        <f t="shared" si="611"/>
        <v>0.01</v>
      </c>
      <c r="Z1875" s="185">
        <f t="shared" si="612"/>
        <v>5800</v>
      </c>
      <c r="AA1875" s="185" t="s">
        <v>5476</v>
      </c>
      <c r="AB1875" s="185"/>
      <c r="AC1875" s="185"/>
      <c r="AD1875" s="649">
        <v>95.647000000000006</v>
      </c>
      <c r="AE1875" s="182"/>
      <c r="AF1875" s="332"/>
      <c r="AG1875" s="182"/>
      <c r="AH1875" s="182"/>
      <c r="AI1875" s="182"/>
      <c r="AJ1875" s="640"/>
      <c r="AK1875" s="182"/>
      <c r="AL1875" s="496">
        <f t="shared" si="610"/>
        <v>-116</v>
      </c>
      <c r="AM1875" s="496">
        <f t="shared" si="608"/>
        <v>-348</v>
      </c>
      <c r="AN1875" s="626"/>
      <c r="AO1875" s="182"/>
      <c r="AP1875" s="182"/>
      <c r="AQ1875" s="332" t="s">
        <v>1259</v>
      </c>
      <c r="AR1875" s="182" t="s">
        <v>6181</v>
      </c>
      <c r="AS1875" s="189">
        <v>95.602999999999994</v>
      </c>
      <c r="AT1875" s="189">
        <f t="shared" si="614"/>
        <v>4.4000000000011141E-2</v>
      </c>
      <c r="AU1875" s="187">
        <f t="shared" si="615"/>
        <v>765.60000000019386</v>
      </c>
      <c r="AV1875" s="190">
        <f t="shared" si="616"/>
        <v>255.20000000006462</v>
      </c>
      <c r="AW1875" s="191" t="s">
        <v>96</v>
      </c>
      <c r="AX1875" s="551"/>
      <c r="AY1875" s="551"/>
      <c r="AZ1875" s="551"/>
      <c r="BA1875" s="551"/>
      <c r="BB1875" s="551"/>
      <c r="BC1875" s="551"/>
      <c r="BD1875" s="549"/>
      <c r="BE1875" s="550"/>
      <c r="BF1875" s="549"/>
      <c r="BG1875" s="391">
        <f>SUM($AV$1389:AV1875)</f>
        <v>3807.0931371208681</v>
      </c>
      <c r="BH1875" s="392">
        <f>SUM($AU$1389:AU1875)</f>
        <v>40361.979999999618</v>
      </c>
      <c r="BI1875" s="318">
        <f>SUMIFS($AU$1388:AU1876,$Q$1388:Q1876,"F")</f>
        <v>21348.400000000001</v>
      </c>
      <c r="BJ1875" s="318">
        <f>SUMIFS($AU$1388:AU1876,$Q$1388:Q1876,"S")</f>
        <v>11935.999999999996</v>
      </c>
      <c r="BK1875" s="343">
        <f>SUMIFS($AU$1388:AU1876,$P$1388:P1876,"W")</f>
        <v>26333.580000000344</v>
      </c>
      <c r="BL1875" s="343">
        <f>SUMIFS($AU$1388:AU1876,$P$1388:P1876,"R")</f>
        <v>9197.9999999998618</v>
      </c>
      <c r="BM1875" s="343">
        <f>SUMIFS($AU$1388:AU1876,$AQ$1388:AQ1876,"M")</f>
        <v>9254.3799999993262</v>
      </c>
      <c r="BN1875" s="343">
        <f>SUMIFS($AU$1388:AU1876,$AQ$1388:AQ1876,"H")</f>
        <v>7559.2000000002827</v>
      </c>
      <c r="BO1875" s="343">
        <f>SUMIFS($AU$1388:AU1876,$AQ$1388:AQ1876,"D")</f>
        <v>9750</v>
      </c>
      <c r="BP1875" s="343">
        <f>SUMIFS($AS$1388:AS2647,$AO$1388:AO2647,"W")</f>
        <v>0</v>
      </c>
      <c r="BQ1875" s="343">
        <f>SUMIFS($AU$1388:AU1876,$Q$1388:Q1876,"O")</f>
        <v>3253.5799999996261</v>
      </c>
      <c r="BR1875" s="343">
        <f>SUMIFS($AU$1388:AU1876,$AA$1388:AA1876,"*")</f>
        <v>30722.799999999505</v>
      </c>
      <c r="BS1875" s="343">
        <f>SUMIFS($AU$1388:AU1876,$AB$1388:AB1876,"*")</f>
        <v>9655.1799999999312</v>
      </c>
      <c r="BT1875" s="343">
        <f>SUMIFS($AU$1388:AU1876,$AC$1388:AC1876,"*")</f>
        <v>19028.400000000001</v>
      </c>
      <c r="BU1875" s="343">
        <f>SUMIFS($AU$1388:AU1876,$AA$1388:AA1876,"*",$AB$1388:AB1876,"*")</f>
        <v>5759.9999999998217</v>
      </c>
      <c r="BV1875" s="343">
        <f>SUMIFS($AU$1388:AU1876,$AA$1388:AA1876,"*",$AC$1388:AC1876,"*")</f>
        <v>14324.400000000001</v>
      </c>
      <c r="BW1875" s="343">
        <f>SUMIFS($AU$1388:AU1876,$AB$1388:AB1876,"*",$AC$1388:AC1876,"*")</f>
        <v>4639.9999999999982</v>
      </c>
      <c r="BX1875" s="343">
        <f>SUMIFS($AV$1388:AV1876,$Q$1388:Q1876,"F")</f>
        <v>360.63675319849239</v>
      </c>
      <c r="BY1875" s="343">
        <f>SUMIFS($AV$1388:AV1876,$Q$1388:Q1876,"S")</f>
        <v>504.81638392253404</v>
      </c>
      <c r="BZ1875" s="343">
        <f>SUMIFS($AV$1388:AV1876,$Q$1388:Q1876,"O")</f>
        <v>897.63999999983673</v>
      </c>
    </row>
    <row r="1876" spans="1:78" ht="15.75" customHeight="1">
      <c r="A1876" s="177" t="s">
        <v>5851</v>
      </c>
      <c r="B1876" s="200">
        <v>45406</v>
      </c>
      <c r="C1876" s="178" t="s">
        <v>682</v>
      </c>
      <c r="D1876" s="178" t="s">
        <v>151</v>
      </c>
      <c r="E1876" s="227"/>
      <c r="F1876" s="180"/>
      <c r="G1876" s="294" t="s">
        <v>3772</v>
      </c>
      <c r="H1876" s="182"/>
      <c r="I1876" s="182"/>
      <c r="J1876" s="182"/>
      <c r="K1876" s="183"/>
      <c r="L1876" s="182"/>
      <c r="M1876" s="182">
        <v>1</v>
      </c>
      <c r="N1876" s="182"/>
      <c r="O1876" s="183" t="s">
        <v>95</v>
      </c>
      <c r="P1876" s="183" t="s">
        <v>96</v>
      </c>
      <c r="Q1876" s="183" t="s">
        <v>256</v>
      </c>
      <c r="R1876" s="183">
        <v>25</v>
      </c>
      <c r="S1876" s="559">
        <v>0</v>
      </c>
      <c r="T1876" s="183">
        <v>25</v>
      </c>
      <c r="U1876" s="183" t="s">
        <v>97</v>
      </c>
      <c r="V1876" s="183"/>
      <c r="W1876" s="183"/>
      <c r="X1876" s="183"/>
      <c r="Y1876" s="184">
        <f t="shared" si="611"/>
        <v>0.01</v>
      </c>
      <c r="Z1876" s="185">
        <f t="shared" si="612"/>
        <v>1600</v>
      </c>
      <c r="AA1876" s="185"/>
      <c r="AB1876" s="185"/>
      <c r="AC1876" s="185" t="s">
        <v>6182</v>
      </c>
      <c r="AD1876" s="649">
        <v>0.05</v>
      </c>
      <c r="AE1876" s="182"/>
      <c r="AF1876" s="332"/>
      <c r="AG1876" s="182"/>
      <c r="AH1876" s="182"/>
      <c r="AI1876" s="182"/>
      <c r="AJ1876" s="640"/>
      <c r="AK1876" s="182"/>
      <c r="AL1876" s="496">
        <f>-0.04*Z1876</f>
        <v>-64</v>
      </c>
      <c r="AM1876" s="496">
        <f t="shared" si="608"/>
        <v>-1600</v>
      </c>
      <c r="AN1876" s="626"/>
      <c r="AO1876" s="182"/>
      <c r="AP1876" s="182" t="s">
        <v>804</v>
      </c>
      <c r="AQ1876" s="332" t="s">
        <v>115</v>
      </c>
      <c r="AR1876" s="182" t="s">
        <v>6183</v>
      </c>
      <c r="AS1876" s="189">
        <v>0.11</v>
      </c>
      <c r="AT1876" s="189">
        <f t="shared" si="614"/>
        <v>-0.06</v>
      </c>
      <c r="AU1876" s="187">
        <f t="shared" si="615"/>
        <v>-2400</v>
      </c>
      <c r="AV1876" s="190">
        <f t="shared" si="616"/>
        <v>-96</v>
      </c>
      <c r="AW1876" s="191" t="s">
        <v>229</v>
      </c>
      <c r="AX1876" s="551" t="s">
        <v>6184</v>
      </c>
      <c r="AY1876" s="551" t="s">
        <v>6185</v>
      </c>
      <c r="AZ1876" s="551" t="s">
        <v>6186</v>
      </c>
      <c r="BA1876" s="551"/>
      <c r="BB1876" s="551"/>
      <c r="BC1876" s="551" t="s">
        <v>6187</v>
      </c>
      <c r="BD1876" s="549"/>
      <c r="BE1876" s="550"/>
      <c r="BF1876" s="549"/>
      <c r="BG1876" s="391">
        <f>SUM($AV$1389:AV1876)</f>
        <v>3711.0931371208681</v>
      </c>
      <c r="BH1876" s="392">
        <f>SUM($AU$1389:AU1876)</f>
        <v>37961.979999999618</v>
      </c>
      <c r="BI1876" s="318">
        <f>SUMIFS($AU$1388:AU1877,$Q$1388:Q1877,"F")</f>
        <v>18548.400000000001</v>
      </c>
      <c r="BJ1876" s="318">
        <f>SUMIFS($AU$1388:AU1877,$Q$1388:Q1877,"S")</f>
        <v>11935.999999999996</v>
      </c>
      <c r="BK1876" s="343">
        <f>SUMIFS($AU$1388:AU1877,$P$1388:P1877,"W")</f>
        <v>23533.580000000344</v>
      </c>
      <c r="BL1876" s="343">
        <f>SUMIFS($AU$1388:AU1877,$P$1388:P1877,"R")</f>
        <v>9197.9999999998618</v>
      </c>
      <c r="BM1876" s="343">
        <f>SUMIFS($AU$1388:AU1877,$AQ$1388:AQ1877,"M")</f>
        <v>9254.3799999993262</v>
      </c>
      <c r="BN1876" s="343">
        <f>SUMIFS($AU$1388:AU1877,$AQ$1388:AQ1877,"H")</f>
        <v>7559.2000000002827</v>
      </c>
      <c r="BO1876" s="343">
        <f>SUMIFS($AU$1388:AU1877,$AQ$1388:AQ1877,"D")</f>
        <v>6949.9999999999982</v>
      </c>
      <c r="BP1876" s="343">
        <f>SUMIFS($AS$1388:AS2648,$AO$1388:AO2648,"W")</f>
        <v>0</v>
      </c>
      <c r="BQ1876" s="343">
        <f>SUMIFS($AU$1388:AU1877,$Q$1388:Q1877,"O")</f>
        <v>3253.5799999996261</v>
      </c>
      <c r="BR1876" s="343">
        <f>SUMIFS($AU$1388:AU1877,$AA$1388:AA1877,"*")</f>
        <v>30722.799999999505</v>
      </c>
      <c r="BS1876" s="343">
        <f>SUMIFS($AU$1388:AU1877,$AB$1388:AB1877,"*")</f>
        <v>9655.1799999999312</v>
      </c>
      <c r="BT1876" s="343">
        <f>SUMIFS($AU$1388:AU1877,$AC$1388:AC1877,"*")</f>
        <v>16228.4</v>
      </c>
      <c r="BU1876" s="343">
        <f>SUMIFS($AU$1388:AU1877,$AA$1388:AA1877,"*",$AB$1388:AB1877,"*")</f>
        <v>5759.9999999998217</v>
      </c>
      <c r="BV1876" s="343">
        <f>SUMIFS($AU$1388:AU1877,$AA$1388:AA1877,"*",$AC$1388:AC1877,"*")</f>
        <v>14324.400000000001</v>
      </c>
      <c r="BW1876" s="343">
        <f>SUMIFS($AU$1388:AU1877,$AB$1388:AB1877,"*",$AC$1388:AC1877,"*")</f>
        <v>4639.9999999999982</v>
      </c>
      <c r="BX1876" s="343">
        <f>SUMIFS($AV$1388:AV1877,$Q$1388:Q1877,"F")</f>
        <v>304.63675319849233</v>
      </c>
      <c r="BY1876" s="343">
        <f>SUMIFS($AV$1388:AV1877,$Q$1388:Q1877,"S")</f>
        <v>504.81638392253404</v>
      </c>
      <c r="BZ1876" s="343">
        <f>SUMIFS($AV$1388:AV1877,$Q$1388:Q1877,"O")</f>
        <v>897.63999999983673</v>
      </c>
    </row>
    <row r="1877" spans="1:78" ht="15.75" customHeight="1">
      <c r="A1877" s="177" t="s">
        <v>5851</v>
      </c>
      <c r="B1877" s="200">
        <v>45406</v>
      </c>
      <c r="C1877" s="178" t="s">
        <v>682</v>
      </c>
      <c r="D1877" s="178" t="s">
        <v>151</v>
      </c>
      <c r="E1877" s="227"/>
      <c r="F1877" s="180"/>
      <c r="G1877" s="481" t="s">
        <v>6188</v>
      </c>
      <c r="H1877" s="182"/>
      <c r="I1877" s="182"/>
      <c r="J1877" s="182"/>
      <c r="K1877" s="183"/>
      <c r="L1877" s="182"/>
      <c r="M1877" s="182">
        <v>1</v>
      </c>
      <c r="N1877" s="182"/>
      <c r="O1877" s="183" t="s">
        <v>95</v>
      </c>
      <c r="P1877" s="183" t="s">
        <v>96</v>
      </c>
      <c r="Q1877" s="183" t="s">
        <v>256</v>
      </c>
      <c r="R1877" s="183">
        <v>50</v>
      </c>
      <c r="S1877" s="559">
        <v>0</v>
      </c>
      <c r="T1877" s="183">
        <v>50</v>
      </c>
      <c r="U1877" s="183" t="s">
        <v>97</v>
      </c>
      <c r="V1877" s="183"/>
      <c r="W1877" s="183"/>
      <c r="X1877" s="183"/>
      <c r="Y1877" s="184">
        <f t="shared" si="611"/>
        <v>0.01</v>
      </c>
      <c r="Z1877" s="185">
        <f t="shared" si="612"/>
        <v>1600</v>
      </c>
      <c r="AA1877" s="185"/>
      <c r="AB1877" s="185"/>
      <c r="AC1877" s="185" t="s">
        <v>6189</v>
      </c>
      <c r="AD1877" s="649">
        <v>0.105</v>
      </c>
      <c r="AE1877" s="182"/>
      <c r="AF1877" s="332"/>
      <c r="AG1877" s="182"/>
      <c r="AH1877" s="182"/>
      <c r="AI1877" s="182"/>
      <c r="AJ1877" s="640"/>
      <c r="AK1877" s="182"/>
      <c r="AL1877" s="496">
        <f>-0.035*Z1877</f>
        <v>-56.000000000000007</v>
      </c>
      <c r="AM1877" s="496">
        <f t="shared" si="608"/>
        <v>-2800.0000000000005</v>
      </c>
      <c r="AN1877" s="626"/>
      <c r="AO1877" s="182"/>
      <c r="AP1877" s="182"/>
      <c r="AQ1877" s="332" t="s">
        <v>115</v>
      </c>
      <c r="AR1877" s="182"/>
      <c r="AS1877" s="189">
        <v>0.14000000000000001</v>
      </c>
      <c r="AT1877" s="189">
        <f t="shared" si="614"/>
        <v>-3.5000000000000017E-2</v>
      </c>
      <c r="AU1877" s="187">
        <f t="shared" si="615"/>
        <v>-2800.0000000000014</v>
      </c>
      <c r="AV1877" s="190">
        <f t="shared" si="616"/>
        <v>-56.000000000000028</v>
      </c>
      <c r="AW1877" s="191" t="s">
        <v>229</v>
      </c>
      <c r="AX1877" s="551" t="s">
        <v>1325</v>
      </c>
      <c r="AY1877" s="551"/>
      <c r="AZ1877" s="551"/>
      <c r="BA1877" s="551"/>
      <c r="BB1877" s="551"/>
      <c r="BC1877" s="551"/>
      <c r="BD1877" s="549"/>
      <c r="BE1877" s="550"/>
      <c r="BF1877" s="549"/>
      <c r="BG1877" s="391">
        <f>SUM($AV$1389:AV1877)</f>
        <v>3655.0931371208681</v>
      </c>
      <c r="BH1877" s="392">
        <f>SUM($AU$1389:AU1877)</f>
        <v>35161.979999999618</v>
      </c>
      <c r="BI1877" s="318">
        <f>SUMIFS($AU$1388:AU1878,$Q$1388:Q1878,"F")</f>
        <v>15348.400000000001</v>
      </c>
      <c r="BJ1877" s="318">
        <f>SUMIFS($AU$1388:AU1878,$Q$1388:Q1878,"S")</f>
        <v>11935.999999999996</v>
      </c>
      <c r="BK1877" s="343">
        <f>SUMIFS($AU$1388:AU1878,$P$1388:P1878,"W")</f>
        <v>20333.580000000344</v>
      </c>
      <c r="BL1877" s="343">
        <f>SUMIFS($AU$1388:AU1878,$P$1388:P1878,"R")</f>
        <v>9197.9999999998618</v>
      </c>
      <c r="BM1877" s="343">
        <f>SUMIFS($AU$1388:AU1878,$AQ$1388:AQ1878,"M")</f>
        <v>9254.3799999993262</v>
      </c>
      <c r="BN1877" s="343">
        <f>SUMIFS($AU$1388:AU1878,$AQ$1388:AQ1878,"H")</f>
        <v>7559.2000000002827</v>
      </c>
      <c r="BO1877" s="343">
        <f>SUMIFS($AU$1388:AU1878,$AQ$1388:AQ1878,"D")</f>
        <v>3749.9999999999973</v>
      </c>
      <c r="BP1877" s="343">
        <f>SUMIFS($AS$1388:AS2649,$AO$1388:AO2649,"W")</f>
        <v>0</v>
      </c>
      <c r="BQ1877" s="343">
        <f>SUMIFS($AU$1388:AU1878,$Q$1388:Q1878,"O")</f>
        <v>3253.5799999996261</v>
      </c>
      <c r="BR1877" s="343">
        <f>SUMIFS($AU$1388:AU1878,$AA$1388:AA1878,"*")</f>
        <v>30722.799999999505</v>
      </c>
      <c r="BS1877" s="343">
        <f>SUMIFS($AU$1388:AU1878,$AB$1388:AB1878,"*")</f>
        <v>9655.1799999999312</v>
      </c>
      <c r="BT1877" s="343">
        <f>SUMIFS($AU$1388:AU1878,$AC$1388:AC1878,"*")</f>
        <v>13028.399999999998</v>
      </c>
      <c r="BU1877" s="343">
        <f>SUMIFS($AU$1388:AU1878,$AA$1388:AA1878,"*",$AB$1388:AB1878,"*")</f>
        <v>5759.9999999998217</v>
      </c>
      <c r="BV1877" s="343">
        <f>SUMIFS($AU$1388:AU1878,$AA$1388:AA1878,"*",$AC$1388:AC1878,"*")</f>
        <v>14324.400000000001</v>
      </c>
      <c r="BW1877" s="343">
        <f>SUMIFS($AU$1388:AU1878,$AB$1388:AB1878,"*",$AC$1388:AC1878,"*")</f>
        <v>4639.9999999999982</v>
      </c>
      <c r="BX1877" s="343">
        <f>SUMIFS($AV$1388:AV1878,$Q$1388:Q1878,"F")</f>
        <v>240.63675319849233</v>
      </c>
      <c r="BY1877" s="343">
        <f>SUMIFS($AV$1388:AV1878,$Q$1388:Q1878,"S")</f>
        <v>504.81638392253404</v>
      </c>
      <c r="BZ1877" s="343">
        <f>SUMIFS($AV$1388:AV1878,$Q$1388:Q1878,"O")</f>
        <v>897.63999999983673</v>
      </c>
    </row>
    <row r="1878" spans="1:78" ht="15.75" customHeight="1">
      <c r="A1878" s="177" t="s">
        <v>5851</v>
      </c>
      <c r="B1878" s="200">
        <v>45406</v>
      </c>
      <c r="C1878" s="178" t="s">
        <v>682</v>
      </c>
      <c r="D1878" s="178" t="s">
        <v>151</v>
      </c>
      <c r="E1878" s="227"/>
      <c r="F1878" s="180"/>
      <c r="G1878" s="570" t="s">
        <v>6190</v>
      </c>
      <c r="H1878" s="182"/>
      <c r="I1878" s="182"/>
      <c r="J1878" s="182"/>
      <c r="K1878" s="183"/>
      <c r="L1878" s="182"/>
      <c r="M1878" s="182">
        <v>1</v>
      </c>
      <c r="N1878" s="182"/>
      <c r="O1878" s="183" t="s">
        <v>95</v>
      </c>
      <c r="P1878" s="183" t="s">
        <v>96</v>
      </c>
      <c r="Q1878" s="183" t="s">
        <v>256</v>
      </c>
      <c r="R1878" s="183">
        <v>50</v>
      </c>
      <c r="S1878" s="559">
        <v>10</v>
      </c>
      <c r="T1878" s="183">
        <v>50</v>
      </c>
      <c r="U1878" s="183" t="s">
        <v>97</v>
      </c>
      <c r="V1878" s="183"/>
      <c r="W1878" s="183"/>
      <c r="X1878" s="183"/>
      <c r="Y1878" s="184">
        <f t="shared" si="611"/>
        <v>0.01</v>
      </c>
      <c r="Z1878" s="185">
        <f t="shared" si="612"/>
        <v>1600</v>
      </c>
      <c r="AA1878" s="185"/>
      <c r="AB1878" s="185"/>
      <c r="AC1878" s="185" t="s">
        <v>6191</v>
      </c>
      <c r="AD1878" s="649">
        <v>0.09</v>
      </c>
      <c r="AE1878" s="182"/>
      <c r="AF1878" s="332"/>
      <c r="AG1878" s="182"/>
      <c r="AH1878" s="182"/>
      <c r="AI1878" s="182"/>
      <c r="AJ1878" s="640"/>
      <c r="AK1878" s="182"/>
      <c r="AL1878" s="496">
        <f>-0.03*Z1878</f>
        <v>-48</v>
      </c>
      <c r="AM1878" s="496">
        <f t="shared" si="608"/>
        <v>-1920</v>
      </c>
      <c r="AN1878" s="626"/>
      <c r="AO1878" s="182"/>
      <c r="AP1878" s="182"/>
      <c r="AQ1878" s="332" t="s">
        <v>115</v>
      </c>
      <c r="AR1878" s="182"/>
      <c r="AS1878" s="189">
        <v>0.13</v>
      </c>
      <c r="AT1878" s="189">
        <f t="shared" si="614"/>
        <v>-4.0000000000000008E-2</v>
      </c>
      <c r="AU1878" s="187">
        <f t="shared" si="615"/>
        <v>-3200.0000000000009</v>
      </c>
      <c r="AV1878" s="190">
        <f t="shared" si="616"/>
        <v>-64.000000000000014</v>
      </c>
      <c r="AW1878" s="191" t="s">
        <v>229</v>
      </c>
      <c r="AX1878" s="551" t="s">
        <v>6192</v>
      </c>
      <c r="AY1878" s="551" t="s">
        <v>6185</v>
      </c>
      <c r="AZ1878" s="551" t="s">
        <v>6186</v>
      </c>
      <c r="BA1878" s="551" t="s">
        <v>6193</v>
      </c>
      <c r="BB1878" s="551"/>
      <c r="BC1878" s="551" t="s">
        <v>6194</v>
      </c>
      <c r="BD1878" s="549"/>
      <c r="BE1878" s="550"/>
      <c r="BF1878" s="549"/>
      <c r="BG1878" s="391">
        <f>SUM($AV$1389:AV1878)</f>
        <v>3591.0931371208681</v>
      </c>
      <c r="BH1878" s="392">
        <f>SUM($AU$1389:AU1878)</f>
        <v>31961.979999999618</v>
      </c>
      <c r="BI1878" s="318">
        <f>SUMIFS($AU$1388:AU1879,$Q$1388:Q1879,"F")</f>
        <v>15348.400000000001</v>
      </c>
      <c r="BJ1878" s="318">
        <f>SUMIFS($AU$1388:AU1879,$Q$1388:Q1879,"S")</f>
        <v>11135.999999999996</v>
      </c>
      <c r="BK1878" s="343">
        <f>SUMIFS($AU$1388:AU1879,$P$1388:P1879,"W")</f>
        <v>19533.580000000344</v>
      </c>
      <c r="BL1878" s="343">
        <f>SUMIFS($AU$1388:AU1879,$P$1388:P1879,"R")</f>
        <v>9197.9999999998618</v>
      </c>
      <c r="BM1878" s="343">
        <f>SUMIFS($AU$1388:AU1879,$AQ$1388:AQ1879,"M")</f>
        <v>9254.3799999993262</v>
      </c>
      <c r="BN1878" s="343">
        <f>SUMIFS($AU$1388:AU1879,$AQ$1388:AQ1879,"H")</f>
        <v>6759.2000000002827</v>
      </c>
      <c r="BO1878" s="343">
        <f>SUMIFS($AU$1388:AU1879,$AQ$1388:AQ1879,"D")</f>
        <v>3749.9999999999973</v>
      </c>
      <c r="BP1878" s="343">
        <f>SUMIFS($AS$1388:AS2650,$AO$1388:AO2650,"W")</f>
        <v>0</v>
      </c>
      <c r="BQ1878" s="343">
        <f>SUMIFS($AU$1388:AU1879,$Q$1388:Q1879,"O")</f>
        <v>3253.5799999996261</v>
      </c>
      <c r="BR1878" s="343">
        <f>SUMIFS($AU$1388:AU1879,$AA$1388:AA1879,"*")</f>
        <v>29922.799999999505</v>
      </c>
      <c r="BS1878" s="343">
        <f>SUMIFS($AU$1388:AU1879,$AB$1388:AB1879,"*")</f>
        <v>9655.1799999999312</v>
      </c>
      <c r="BT1878" s="343">
        <f>SUMIFS($AU$1388:AU1879,$AC$1388:AC1879,"*")</f>
        <v>13028.399999999998</v>
      </c>
      <c r="BU1878" s="343">
        <f>SUMIFS($AU$1388:AU1879,$AA$1388:AA1879,"*",$AB$1388:AB1879,"*")</f>
        <v>5759.9999999998217</v>
      </c>
      <c r="BV1878" s="343">
        <f>SUMIFS($AU$1388:AU1879,$AA$1388:AA1879,"*",$AC$1388:AC1879,"*")</f>
        <v>14324.400000000001</v>
      </c>
      <c r="BW1878" s="343">
        <f>SUMIFS($AU$1388:AU1879,$AB$1388:AB1879,"*",$AC$1388:AC1879,"*")</f>
        <v>4639.9999999999982</v>
      </c>
      <c r="BX1878" s="343">
        <f>SUMIFS($AV$1388:AV1879,$Q$1388:Q1879,"F")</f>
        <v>240.63675319849233</v>
      </c>
      <c r="BY1878" s="343">
        <f>SUMIFS($AV$1388:AV1879,$Q$1388:Q1879,"S")</f>
        <v>472.81638392253404</v>
      </c>
      <c r="BZ1878" s="343">
        <f>SUMIFS($AV$1388:AV1879,$Q$1388:Q1879,"O")</f>
        <v>897.63999999983673</v>
      </c>
    </row>
    <row r="1879" spans="1:78" ht="15.75" customHeight="1">
      <c r="A1879" s="177" t="s">
        <v>5851</v>
      </c>
      <c r="B1879" s="200">
        <v>45406</v>
      </c>
      <c r="C1879" s="178" t="s">
        <v>682</v>
      </c>
      <c r="D1879" s="178" t="s">
        <v>151</v>
      </c>
      <c r="E1879" s="227"/>
      <c r="F1879" s="180"/>
      <c r="G1879" s="570" t="s">
        <v>136</v>
      </c>
      <c r="H1879" s="182"/>
      <c r="I1879" s="182"/>
      <c r="J1879" s="182"/>
      <c r="K1879" s="183"/>
      <c r="L1879" s="182">
        <v>2</v>
      </c>
      <c r="M1879" s="182">
        <v>2</v>
      </c>
      <c r="N1879" s="182"/>
      <c r="O1879" s="183" t="s">
        <v>95</v>
      </c>
      <c r="P1879" s="183" t="s">
        <v>96</v>
      </c>
      <c r="Q1879" s="183" t="s">
        <v>97</v>
      </c>
      <c r="R1879" s="183">
        <v>25</v>
      </c>
      <c r="S1879" s="559">
        <v>0</v>
      </c>
      <c r="T1879" s="183">
        <v>25</v>
      </c>
      <c r="U1879" s="183" t="s">
        <v>97</v>
      </c>
      <c r="V1879" s="183"/>
      <c r="W1879" s="183"/>
      <c r="X1879" s="183"/>
      <c r="Y1879" s="184">
        <f t="shared" si="611"/>
        <v>0.01</v>
      </c>
      <c r="Z1879" s="185">
        <f t="shared" si="612"/>
        <v>1600</v>
      </c>
      <c r="AA1879" s="185" t="s">
        <v>6195</v>
      </c>
      <c r="AB1879" s="185"/>
      <c r="AC1879" s="185"/>
      <c r="AD1879" s="649">
        <v>0.02</v>
      </c>
      <c r="AE1879" s="182"/>
      <c r="AF1879" s="332"/>
      <c r="AG1879" s="182"/>
      <c r="AH1879" s="182"/>
      <c r="AI1879" s="182"/>
      <c r="AJ1879" s="640"/>
      <c r="AK1879" s="182"/>
      <c r="AL1879" s="496">
        <f t="shared" si="609"/>
        <v>-32</v>
      </c>
      <c r="AM1879" s="496">
        <f t="shared" si="608"/>
        <v>-800</v>
      </c>
      <c r="AN1879" s="626"/>
      <c r="AO1879" s="182"/>
      <c r="AP1879" s="182"/>
      <c r="AQ1879" s="332" t="s">
        <v>372</v>
      </c>
      <c r="AR1879" s="182"/>
      <c r="AS1879" s="189">
        <v>0.04</v>
      </c>
      <c r="AT1879" s="189">
        <f t="shared" si="614"/>
        <v>-0.02</v>
      </c>
      <c r="AU1879" s="187">
        <f t="shared" si="615"/>
        <v>-800</v>
      </c>
      <c r="AV1879" s="190">
        <f t="shared" si="616"/>
        <v>-32</v>
      </c>
      <c r="AW1879" s="191" t="s">
        <v>229</v>
      </c>
      <c r="AX1879" s="551" t="s">
        <v>6196</v>
      </c>
      <c r="AY1879" s="551"/>
      <c r="AZ1879" s="551"/>
      <c r="BA1879" s="551"/>
      <c r="BB1879" s="551"/>
      <c r="BC1879" s="551"/>
      <c r="BD1879" s="549"/>
      <c r="BE1879" s="550"/>
      <c r="BF1879" s="549"/>
      <c r="BG1879" s="391">
        <f>SUM($AV$1389:AV1879)</f>
        <v>3559.0931371208681</v>
      </c>
      <c r="BH1879" s="392">
        <f>SUM($AU$1389:AU1879)</f>
        <v>31161.979999999618</v>
      </c>
      <c r="BI1879" s="318">
        <f>SUMIFS($AU$1388:AU1880,$Q$1388:Q1880,"F")</f>
        <v>15348.400000000001</v>
      </c>
      <c r="BJ1879" s="318">
        <f>SUMIFS($AU$1388:AU1880,$Q$1388:Q1880,"S")</f>
        <v>11135.999999999996</v>
      </c>
      <c r="BK1879" s="343">
        <f>SUMIFS($AU$1388:AU1880,$P$1388:P1880,"W")</f>
        <v>19533.580000000344</v>
      </c>
      <c r="BL1879" s="343">
        <f>SUMIFS($AU$1388:AU1880,$P$1388:P1880,"R")</f>
        <v>9197.9999999998618</v>
      </c>
      <c r="BM1879" s="343">
        <f>SUMIFS($AU$1388:AU1880,$AQ$1388:AQ1880,"M")</f>
        <v>9254.3799999993262</v>
      </c>
      <c r="BN1879" s="343">
        <f>SUMIFS($AU$1388:AU1880,$AQ$1388:AQ1880,"H")</f>
        <v>6759.2000000002827</v>
      </c>
      <c r="BO1879" s="343">
        <f>SUMIFS($AU$1388:AU1880,$AQ$1388:AQ1880,"D")</f>
        <v>3749.9999999999973</v>
      </c>
      <c r="BP1879" s="343">
        <f>SUMIFS($AS$1388:AS2651,$AO$1388:AO2651,"W")</f>
        <v>0</v>
      </c>
      <c r="BQ1879" s="343">
        <f>SUMIFS($AU$1388:AU1880,$Q$1388:Q1880,"O")</f>
        <v>3253.5799999996261</v>
      </c>
      <c r="BR1879" s="343">
        <f>SUMIFS($AU$1388:AU1880,$AA$1388:AA1880,"*")</f>
        <v>29922.799999999505</v>
      </c>
      <c r="BS1879" s="343">
        <f>SUMIFS($AU$1388:AU1880,$AB$1388:AB1880,"*")</f>
        <v>9655.1799999999312</v>
      </c>
      <c r="BT1879" s="343">
        <f>SUMIFS($AU$1388:AU1880,$AC$1388:AC1880,"*")</f>
        <v>13028.399999999998</v>
      </c>
      <c r="BU1879" s="343">
        <f>SUMIFS($AU$1388:AU1880,$AA$1388:AA1880,"*",$AB$1388:AB1880,"*")</f>
        <v>5759.9999999998217</v>
      </c>
      <c r="BV1879" s="343">
        <f>SUMIFS($AU$1388:AU1880,$AA$1388:AA1880,"*",$AC$1388:AC1880,"*")</f>
        <v>14324.400000000001</v>
      </c>
      <c r="BW1879" s="343">
        <f>SUMIFS($AU$1388:AU1880,$AB$1388:AB1880,"*",$AC$1388:AC1880,"*")</f>
        <v>4639.9999999999982</v>
      </c>
      <c r="BX1879" s="343">
        <f>SUMIFS($AV$1388:AV1880,$Q$1388:Q1880,"F")</f>
        <v>240.63675319849233</v>
      </c>
      <c r="BY1879" s="343">
        <f>SUMIFS($AV$1388:AV1880,$Q$1388:Q1880,"S")</f>
        <v>472.81638392253404</v>
      </c>
      <c r="BZ1879" s="343">
        <f>SUMIFS($AV$1388:AV1880,$Q$1388:Q1880,"O")</f>
        <v>897.63999999983673</v>
      </c>
    </row>
    <row r="1880" spans="1:78" ht="15.75" customHeight="1">
      <c r="A1880" s="177" t="s">
        <v>5851</v>
      </c>
      <c r="B1880" s="200">
        <v>45406</v>
      </c>
      <c r="C1880" s="178" t="s">
        <v>682</v>
      </c>
      <c r="D1880" s="178" t="s">
        <v>151</v>
      </c>
      <c r="E1880" s="227"/>
      <c r="F1880" s="180"/>
      <c r="G1880" s="181"/>
      <c r="H1880" s="182"/>
      <c r="I1880" s="182"/>
      <c r="J1880" s="182"/>
      <c r="K1880" s="183"/>
      <c r="L1880" s="182"/>
      <c r="M1880" s="182"/>
      <c r="N1880" s="182"/>
      <c r="O1880" s="183"/>
      <c r="P1880" s="183"/>
      <c r="Q1880" s="183"/>
      <c r="R1880" s="183"/>
      <c r="S1880" s="559"/>
      <c r="T1880" s="183"/>
      <c r="U1880" s="183"/>
      <c r="V1880" s="183"/>
      <c r="W1880" s="183"/>
      <c r="X1880" s="183"/>
      <c r="Y1880" s="184"/>
      <c r="Z1880" s="185"/>
      <c r="AA1880" s="185"/>
      <c r="AB1880" s="185"/>
      <c r="AC1880" s="185"/>
      <c r="AD1880" s="649"/>
      <c r="AE1880" s="182"/>
      <c r="AF1880" s="332"/>
      <c r="AG1880" s="182"/>
      <c r="AH1880" s="182"/>
      <c r="AI1880" s="182"/>
      <c r="AJ1880" s="640"/>
      <c r="AK1880" s="182"/>
      <c r="AL1880" s="496">
        <f>-0.02*Z1880</f>
        <v>0</v>
      </c>
      <c r="AM1880" s="496">
        <f t="shared" si="608"/>
        <v>0</v>
      </c>
      <c r="AN1880" s="626"/>
      <c r="AO1880" s="182"/>
      <c r="AP1880" s="182"/>
      <c r="AQ1880" s="332" t="str">
        <f>UPPER(RIGHT(Journal_Live[[#This Row],[DURATION ]]))</f>
        <v/>
      </c>
      <c r="AR1880" s="182"/>
      <c r="AS1880" s="189"/>
      <c r="AT1880" s="189"/>
      <c r="AU1880" s="187"/>
      <c r="AV1880" s="190"/>
      <c r="AW1880" s="191"/>
      <c r="AX1880" s="551"/>
      <c r="AY1880" s="551"/>
      <c r="AZ1880" s="551"/>
      <c r="BA1880" s="551"/>
      <c r="BB1880" s="551"/>
      <c r="BC1880" s="551"/>
      <c r="BD1880" s="549"/>
      <c r="BE1880" s="550"/>
      <c r="BF1880" s="549"/>
      <c r="BG1880" s="391">
        <f>SUM($AV$1389:AV1880)</f>
        <v>3559.0931371208681</v>
      </c>
      <c r="BH1880" s="392">
        <f>SUM($AU$1389:AU1880)</f>
        <v>31161.979999999618</v>
      </c>
      <c r="BI1880" s="318">
        <f>SUMIFS($AU$1388:AU1881,$Q$1388:Q1881,"F")</f>
        <v>15348.400000000001</v>
      </c>
      <c r="BJ1880" s="318">
        <f>SUMIFS($AU$1388:AU1881,$Q$1388:Q1881,"S")</f>
        <v>11439.999999999996</v>
      </c>
      <c r="BK1880" s="343">
        <f>SUMIFS($AU$1388:AU1881,$P$1388:P1881,"W")</f>
        <v>19837.580000000344</v>
      </c>
      <c r="BL1880" s="343">
        <f>SUMIFS($AU$1388:AU1881,$P$1388:P1881,"R")</f>
        <v>9197.9999999998618</v>
      </c>
      <c r="BM1880" s="343">
        <f>SUMIFS($AU$1388:AU1881,$AQ$1388:AQ1881,"M")</f>
        <v>9254.3799999993262</v>
      </c>
      <c r="BN1880" s="343">
        <f>SUMIFS($AU$1388:AU1881,$AQ$1388:AQ1881,"H")</f>
        <v>6759.2000000002827</v>
      </c>
      <c r="BO1880" s="343">
        <f>SUMIFS($AU$1388:AU1881,$AQ$1388:AQ1881,"D")</f>
        <v>4053.9999999999973</v>
      </c>
      <c r="BP1880" s="343">
        <f>SUMIFS($AS$1388:AS2652,$AO$1388:AO2652,"W")</f>
        <v>0</v>
      </c>
      <c r="BQ1880" s="343">
        <f>SUMIFS($AU$1388:AU1881,$Q$1388:Q1881,"O")</f>
        <v>3253.5799999996261</v>
      </c>
      <c r="BR1880" s="343">
        <f>SUMIFS($AU$1388:AU1881,$AA$1388:AA1881,"*")</f>
        <v>30226.799999999505</v>
      </c>
      <c r="BS1880" s="343">
        <f>SUMIFS($AU$1388:AU1881,$AB$1388:AB1881,"*")</f>
        <v>9655.1799999999312</v>
      </c>
      <c r="BT1880" s="343">
        <f>SUMIFS($AU$1388:AU1881,$AC$1388:AC1881,"*")</f>
        <v>13028.399999999998</v>
      </c>
      <c r="BU1880" s="343">
        <f>SUMIFS($AU$1388:AU1881,$AA$1388:AA1881,"*",$AB$1388:AB1881,"*")</f>
        <v>5759.9999999998217</v>
      </c>
      <c r="BV1880" s="343">
        <f>SUMIFS($AU$1388:AU1881,$AA$1388:AA1881,"*",$AC$1388:AC1881,"*")</f>
        <v>14324.400000000001</v>
      </c>
      <c r="BW1880" s="343">
        <f>SUMIFS($AU$1388:AU1881,$AB$1388:AB1881,"*",$AC$1388:AC1881,"*")</f>
        <v>4639.9999999999982</v>
      </c>
      <c r="BX1880" s="343">
        <f>SUMIFS($AV$1388:AV1881,$Q$1388:Q1881,"F")</f>
        <v>240.63675319849233</v>
      </c>
      <c r="BY1880" s="343">
        <f>SUMIFS($AV$1388:AV1881,$Q$1388:Q1881,"S")</f>
        <v>488.81638392253404</v>
      </c>
      <c r="BZ1880" s="343">
        <f>SUMIFS($AV$1388:AV1881,$Q$1388:Q1881,"O")</f>
        <v>897.63999999983673</v>
      </c>
    </row>
    <row r="1881" spans="1:78" ht="15.75" customHeight="1">
      <c r="A1881" s="177" t="s">
        <v>5851</v>
      </c>
      <c r="B1881" s="200">
        <v>45406</v>
      </c>
      <c r="C1881" s="178" t="s">
        <v>682</v>
      </c>
      <c r="D1881" s="178" t="s">
        <v>151</v>
      </c>
      <c r="E1881" s="227"/>
      <c r="F1881" s="180"/>
      <c r="G1881" s="484" t="s">
        <v>3334</v>
      </c>
      <c r="H1881" s="182"/>
      <c r="I1881" s="182"/>
      <c r="J1881" s="182"/>
      <c r="K1881" s="183"/>
      <c r="L1881" s="182">
        <v>2</v>
      </c>
      <c r="M1881" s="182">
        <v>2</v>
      </c>
      <c r="N1881" s="182"/>
      <c r="O1881" s="183" t="s">
        <v>95</v>
      </c>
      <c r="P1881" s="183" t="s">
        <v>96</v>
      </c>
      <c r="Q1881" s="183" t="s">
        <v>97</v>
      </c>
      <c r="R1881" s="183">
        <v>19</v>
      </c>
      <c r="S1881" s="559">
        <v>19</v>
      </c>
      <c r="T1881" s="183">
        <v>19</v>
      </c>
      <c r="U1881" s="183" t="s">
        <v>22</v>
      </c>
      <c r="V1881" s="183"/>
      <c r="W1881" s="183"/>
      <c r="X1881" s="183"/>
      <c r="Y1881" s="184">
        <f>IF(ISBLANK(O1881),"",(IF(O1881=UPPER("IB"),0.005,0.01)))</f>
        <v>0.01</v>
      </c>
      <c r="Z1881" s="185">
        <f>IF(ISBLANK(O1881),"",IF(O1881="IB",8.63*200,IF(O1881="IR",16*100,IF(O1881="YT",20*100,IF(O1881="YT-XT",24*200,IF(O1881="TED",80*100,IF(O1881="XT",29*200)))))))</f>
        <v>1600</v>
      </c>
      <c r="AA1881" s="185" t="s">
        <v>6197</v>
      </c>
      <c r="AB1881" s="185"/>
      <c r="AC1881" s="185"/>
      <c r="AD1881" s="649">
        <v>-0.08</v>
      </c>
      <c r="AE1881" s="182"/>
      <c r="AF1881" s="332"/>
      <c r="AG1881" s="182"/>
      <c r="AH1881" s="182"/>
      <c r="AI1881" s="182"/>
      <c r="AJ1881" s="640"/>
      <c r="AK1881" s="182"/>
      <c r="AL1881" s="496">
        <f t="shared" si="609"/>
        <v>-32</v>
      </c>
      <c r="AM1881" s="496">
        <f t="shared" si="608"/>
        <v>0</v>
      </c>
      <c r="AN1881" s="626"/>
      <c r="AO1881" s="182"/>
      <c r="AP1881" s="182"/>
      <c r="AQ1881" s="332" t="s">
        <v>115</v>
      </c>
      <c r="AR1881" s="182"/>
      <c r="AS1881" s="189">
        <v>-7.0000000000000007E-2</v>
      </c>
      <c r="AT1881" s="189">
        <f>IF(ISBLANK(AS1881),,IF(U1881="S",AD1881-AS1881,AS1881-AD1881))</f>
        <v>9.999999999999995E-3</v>
      </c>
      <c r="AU1881" s="187">
        <f>AV1881*R1881</f>
        <v>303.99999999999989</v>
      </c>
      <c r="AV1881" s="190">
        <f t="shared" ref="AV1881:AV1886" si="619">IF(ISBLANK(AS1881),,(AT1881*Z1881))</f>
        <v>15.999999999999993</v>
      </c>
      <c r="AW1881" s="191" t="s">
        <v>96</v>
      </c>
      <c r="AX1881" s="551" t="s">
        <v>6198</v>
      </c>
      <c r="AY1881" s="551"/>
      <c r="AZ1881" s="551"/>
      <c r="BA1881" s="551"/>
      <c r="BB1881" s="551"/>
      <c r="BC1881" s="551"/>
      <c r="BD1881" s="549"/>
      <c r="BE1881" s="550"/>
      <c r="BF1881" s="549"/>
      <c r="BG1881" s="391">
        <f>SUM($AV$1389:AV1881)</f>
        <v>3575.0931371208681</v>
      </c>
      <c r="BH1881" s="392">
        <f>SUM($AU$1389:AU1881)</f>
        <v>31465.979999999618</v>
      </c>
      <c r="BI1881" s="318">
        <f>SUMIFS($AU$1388:AU1882,$Q$1388:Q1882,"F")</f>
        <v>15348.400000000001</v>
      </c>
      <c r="BJ1881" s="318">
        <f>SUMIFS($AU$1388:AU1882,$Q$1388:Q1882,"S")</f>
        <v>11439.999999999996</v>
      </c>
      <c r="BK1881" s="343">
        <f>SUMIFS($AU$1388:AU1882,$P$1388:P1882,"W")</f>
        <v>19837.580000000344</v>
      </c>
      <c r="BL1881" s="343">
        <f>SUMIFS($AU$1388:AU1882,$P$1388:P1882,"R")</f>
        <v>9497.9999999998618</v>
      </c>
      <c r="BM1881" s="343">
        <f>SUMIFS($AU$1388:AU1882,$AQ$1388:AQ1882,"M")</f>
        <v>9254.3799999993262</v>
      </c>
      <c r="BN1881" s="343">
        <f>SUMIFS($AU$1388:AU1882,$AQ$1388:AQ1882,"H")</f>
        <v>7059.2000000002827</v>
      </c>
      <c r="BO1881" s="343">
        <f>SUMIFS($AU$1388:AU1882,$AQ$1388:AQ1882,"D")</f>
        <v>4053.9999999999973</v>
      </c>
      <c r="BP1881" s="343">
        <f>SUMIFS($AS$1388:AS2653,$AO$1388:AO2653,"W")</f>
        <v>0</v>
      </c>
      <c r="BQ1881" s="343">
        <f>SUMIFS($AU$1388:AU1882,$Q$1388:Q1882,"O")</f>
        <v>3253.5799999996261</v>
      </c>
      <c r="BR1881" s="343">
        <f>SUMIFS($AU$1388:AU1882,$AA$1388:AA1882,"*")</f>
        <v>30526.799999999505</v>
      </c>
      <c r="BS1881" s="343">
        <f>SUMIFS($AU$1388:AU1882,$AB$1388:AB1882,"*")</f>
        <v>9655.1799999999312</v>
      </c>
      <c r="BT1881" s="343">
        <f>SUMIFS($AU$1388:AU1882,$AC$1388:AC1882,"*")</f>
        <v>13028.399999999998</v>
      </c>
      <c r="BU1881" s="343">
        <f>SUMIFS($AU$1388:AU1882,$AA$1388:AA1882,"*",$AB$1388:AB1882,"*")</f>
        <v>5759.9999999998217</v>
      </c>
      <c r="BV1881" s="343">
        <f>SUMIFS($AU$1388:AU1882,$AA$1388:AA1882,"*",$AC$1388:AC1882,"*")</f>
        <v>14324.400000000001</v>
      </c>
      <c r="BW1881" s="343">
        <f>SUMIFS($AU$1388:AU1882,$AB$1388:AB1882,"*",$AC$1388:AC1882,"*")</f>
        <v>4639.9999999999982</v>
      </c>
      <c r="BX1881" s="343">
        <f>SUMIFS($AV$1388:AV1882,$Q$1388:Q1882,"F")</f>
        <v>240.63675319849233</v>
      </c>
      <c r="BY1881" s="343">
        <f>SUMIFS($AV$1388:AV1882,$Q$1388:Q1882,"S")</f>
        <v>488.81638392253404</v>
      </c>
      <c r="BZ1881" s="343">
        <f>SUMIFS($AV$1388:AV1882,$Q$1388:Q1882,"O")</f>
        <v>897.63999999983673</v>
      </c>
    </row>
    <row r="1882" spans="1:78" ht="15.75" customHeight="1">
      <c r="A1882" s="177" t="s">
        <v>5851</v>
      </c>
      <c r="B1882" s="200">
        <v>45406</v>
      </c>
      <c r="C1882" s="178" t="s">
        <v>682</v>
      </c>
      <c r="D1882" s="178" t="s">
        <v>151</v>
      </c>
      <c r="E1882" s="227"/>
      <c r="F1882" s="180"/>
      <c r="G1882" s="561" t="s">
        <v>6199</v>
      </c>
      <c r="H1882" s="182"/>
      <c r="I1882" s="182"/>
      <c r="J1882" s="182"/>
      <c r="K1882" s="183"/>
      <c r="L1882" s="182"/>
      <c r="M1882" s="182">
        <v>1</v>
      </c>
      <c r="N1882" s="182"/>
      <c r="O1882" s="183" t="s">
        <v>5325</v>
      </c>
      <c r="P1882" s="183" t="s">
        <v>137</v>
      </c>
      <c r="Q1882" s="183"/>
      <c r="R1882" s="183">
        <v>1</v>
      </c>
      <c r="S1882" s="183">
        <v>0</v>
      </c>
      <c r="T1882" s="183">
        <v>1</v>
      </c>
      <c r="U1882" s="183" t="s">
        <v>22</v>
      </c>
      <c r="V1882" s="183"/>
      <c r="W1882" s="183"/>
      <c r="X1882" s="183"/>
      <c r="Y1882" s="184">
        <f>IF(ISBLANK(O1882),"",(IF(O1882=UPPER("IB"),0.005,0.01)))</f>
        <v>0.01</v>
      </c>
      <c r="Z1882" s="185">
        <f>IF(ISBLANK(O1882),"",IF(O1882="IB",8.63*200,IF(O1882="IR",16*100,IF(O1882="YT",20*100,IF(O1882="YT-XT",24*200,IF(O1882="TED",80*100,IF(O1882="IR|YT",300*100)))))))</f>
        <v>30000</v>
      </c>
      <c r="AA1882" s="185" t="s">
        <v>6047</v>
      </c>
      <c r="AB1882" s="185"/>
      <c r="AC1882" s="185"/>
      <c r="AD1882" s="649">
        <v>-0.23</v>
      </c>
      <c r="AE1882" s="182"/>
      <c r="AF1882" s="332"/>
      <c r="AG1882" s="182"/>
      <c r="AH1882" s="182"/>
      <c r="AI1882" s="182"/>
      <c r="AJ1882" s="640"/>
      <c r="AK1882" s="182"/>
      <c r="AL1882" s="496">
        <f t="shared" si="609"/>
        <v>-600</v>
      </c>
      <c r="AM1882" s="496">
        <f t="shared" si="608"/>
        <v>-600</v>
      </c>
      <c r="AN1882" s="626"/>
      <c r="AO1882" s="182"/>
      <c r="AP1882" s="182"/>
      <c r="AQ1882" s="332" t="s">
        <v>372</v>
      </c>
      <c r="AR1882" s="182" t="s">
        <v>4144</v>
      </c>
      <c r="AS1882" s="189">
        <v>-0.22</v>
      </c>
      <c r="AT1882" s="189">
        <f>IF(ISBLANK(AS1882),,IF(U1882="S",AD1882-AS1882,AS1882-AD1882))</f>
        <v>1.0000000000000009E-2</v>
      </c>
      <c r="AU1882" s="187">
        <f>AV1882*R1882</f>
        <v>300.00000000000028</v>
      </c>
      <c r="AV1882" s="190">
        <f t="shared" si="619"/>
        <v>300.00000000000028</v>
      </c>
      <c r="AW1882" s="191" t="s">
        <v>96</v>
      </c>
      <c r="AX1882" s="551"/>
      <c r="AY1882" s="551"/>
      <c r="AZ1882" s="551"/>
      <c r="BA1882" s="551"/>
      <c r="BB1882" s="551"/>
      <c r="BC1882" s="551"/>
      <c r="BD1882" s="549"/>
      <c r="BE1882" s="550"/>
      <c r="BF1882" s="549"/>
      <c r="BG1882" s="391">
        <f>SUM($AV$1389:AV1882)</f>
        <v>3875.0931371208685</v>
      </c>
      <c r="BH1882" s="392">
        <f>SUM($AU$1389:AU1882)</f>
        <v>31765.979999999618</v>
      </c>
      <c r="BI1882" s="318">
        <f>SUMIFS($AU$1388:AU1883,$Q$1388:Q1883,"F")</f>
        <v>15348.400000000001</v>
      </c>
      <c r="BJ1882" s="318">
        <f>SUMIFS($AU$1388:AU1883,$Q$1388:Q1883,"S")</f>
        <v>11439.999999999996</v>
      </c>
      <c r="BK1882" s="343">
        <f>SUMIFS($AU$1388:AU1883,$P$1388:P1883,"W")</f>
        <v>19837.580000000344</v>
      </c>
      <c r="BL1882" s="343">
        <f>SUMIFS($AU$1388:AU1883,$P$1388:P1883,"R")</f>
        <v>9497.9999999998618</v>
      </c>
      <c r="BM1882" s="343">
        <f>SUMIFS($AU$1388:AU1883,$AQ$1388:AQ1883,"M")</f>
        <v>9254.3799999993262</v>
      </c>
      <c r="BN1882" s="343">
        <f>SUMIFS($AU$1388:AU1883,$AQ$1388:AQ1883,"H")</f>
        <v>7059.2000000002827</v>
      </c>
      <c r="BO1882" s="343">
        <f>SUMIFS($AU$1388:AU1883,$AQ$1388:AQ1883,"D")</f>
        <v>4053.9999999999973</v>
      </c>
      <c r="BP1882" s="343">
        <f>SUMIFS($AS$1388:AS2654,$AO$1388:AO2654,"W")</f>
        <v>0</v>
      </c>
      <c r="BQ1882" s="343">
        <f>SUMIFS($AU$1388:AU1883,$Q$1388:Q1883,"O")</f>
        <v>3253.5799999996261</v>
      </c>
      <c r="BR1882" s="343">
        <f>SUMIFS($AU$1388:AU1883,$AA$1388:AA1883,"*")</f>
        <v>30526.799999999505</v>
      </c>
      <c r="BS1882" s="343">
        <f>SUMIFS($AU$1388:AU1883,$AB$1388:AB1883,"*")</f>
        <v>9655.1799999999312</v>
      </c>
      <c r="BT1882" s="343">
        <f>SUMIFS($AU$1388:AU1883,$AC$1388:AC1883,"*")</f>
        <v>13028.399999999998</v>
      </c>
      <c r="BU1882" s="343">
        <f>SUMIFS($AU$1388:AU1883,$AA$1388:AA1883,"*",$AB$1388:AB1883,"*")</f>
        <v>5759.9999999998217</v>
      </c>
      <c r="BV1882" s="343">
        <f>SUMIFS($AU$1388:AU1883,$AA$1388:AA1883,"*",$AC$1388:AC1883,"*")</f>
        <v>14324.400000000001</v>
      </c>
      <c r="BW1882" s="343">
        <f>SUMIFS($AU$1388:AU1883,$AB$1388:AB1883,"*",$AC$1388:AC1883,"*")</f>
        <v>4639.9999999999982</v>
      </c>
      <c r="BX1882" s="343">
        <f>SUMIFS($AV$1388:AV1883,$Q$1388:Q1883,"F")</f>
        <v>240.63675319849233</v>
      </c>
      <c r="BY1882" s="343">
        <f>SUMIFS($AV$1388:AV1883,$Q$1388:Q1883,"S")</f>
        <v>488.81638392253404</v>
      </c>
      <c r="BZ1882" s="343">
        <f>SUMIFS($AV$1388:AV1883,$Q$1388:Q1883,"O")</f>
        <v>897.63999999983673</v>
      </c>
    </row>
    <row r="1883" spans="1:78" ht="15.75" customHeight="1">
      <c r="A1883" s="177" t="s">
        <v>5851</v>
      </c>
      <c r="B1883" s="200">
        <v>45406</v>
      </c>
      <c r="C1883" s="178" t="s">
        <v>6200</v>
      </c>
      <c r="D1883" s="178" t="s">
        <v>151</v>
      </c>
      <c r="E1883" s="227"/>
      <c r="F1883" s="180"/>
      <c r="G1883" s="181" t="s">
        <v>945</v>
      </c>
      <c r="H1883" s="182"/>
      <c r="I1883" s="182"/>
      <c r="J1883" s="182"/>
      <c r="K1883" s="183"/>
      <c r="L1883" s="182"/>
      <c r="M1883" s="182"/>
      <c r="N1883" s="182"/>
      <c r="O1883" s="183"/>
      <c r="P1883" s="183"/>
      <c r="Q1883" s="183"/>
      <c r="R1883" s="183"/>
      <c r="S1883" s="183"/>
      <c r="T1883" s="183"/>
      <c r="U1883" s="183"/>
      <c r="V1883" s="183"/>
      <c r="W1883" s="183"/>
      <c r="X1883" s="183"/>
      <c r="Y1883" s="184"/>
      <c r="Z1883" s="185"/>
      <c r="AA1883" s="185"/>
      <c r="AB1883" s="185"/>
      <c r="AC1883" s="185"/>
      <c r="AD1883" s="649"/>
      <c r="AE1883" s="182"/>
      <c r="AF1883" s="332"/>
      <c r="AG1883" s="182"/>
      <c r="AH1883" s="182"/>
      <c r="AI1883" s="182"/>
      <c r="AJ1883" s="640"/>
      <c r="AK1883" s="182"/>
      <c r="AL1883" s="496">
        <f t="shared" si="609"/>
        <v>0</v>
      </c>
      <c r="AM1883" s="496">
        <f t="shared" si="608"/>
        <v>0</v>
      </c>
      <c r="AN1883" s="626"/>
      <c r="AO1883" s="182"/>
      <c r="AP1883" s="182"/>
      <c r="AQ1883" s="332" t="str">
        <f>UPPER(RIGHT(Journal_Live[[#This Row],[DURATION ]]))</f>
        <v/>
      </c>
      <c r="AR1883" s="182"/>
      <c r="AS1883" s="189"/>
      <c r="AT1883" s="189"/>
      <c r="AU1883" s="187"/>
      <c r="AV1883" s="190"/>
      <c r="AW1883" s="191"/>
      <c r="AX1883" s="551" t="s">
        <v>6201</v>
      </c>
      <c r="AY1883" s="551" t="s">
        <v>6151</v>
      </c>
      <c r="AZ1883" s="551" t="s">
        <v>6202</v>
      </c>
      <c r="BA1883" s="551"/>
      <c r="BB1883" s="551"/>
      <c r="BC1883" s="551"/>
      <c r="BD1883" s="549"/>
      <c r="BE1883" s="550"/>
      <c r="BF1883" s="549"/>
      <c r="BG1883" s="391">
        <f>SUM($AV$1389:AV1883)</f>
        <v>3875.0931371208685</v>
      </c>
      <c r="BH1883" s="392">
        <f>SUM($AU$1389:AU1883)</f>
        <v>31765.979999999618</v>
      </c>
      <c r="BI1883" s="318">
        <f>SUMIFS($AU$1388:AU1884,$Q$1388:Q1884,"F")</f>
        <v>15348.400000000001</v>
      </c>
      <c r="BJ1883" s="318">
        <f>SUMIFS($AU$1388:AU1884,$Q$1388:Q1884,"S")</f>
        <v>11439.999999999996</v>
      </c>
      <c r="BK1883" s="343">
        <f>SUMIFS($AU$1388:AU1884,$P$1388:P1884,"W")</f>
        <v>19837.580000000344</v>
      </c>
      <c r="BL1883" s="343">
        <f>SUMIFS($AU$1388:AU1884,$P$1388:P1884,"R")</f>
        <v>9497.9999999998618</v>
      </c>
      <c r="BM1883" s="343">
        <f>SUMIFS($AU$1388:AU1884,$AQ$1388:AQ1884,"M")</f>
        <v>9254.3799999993262</v>
      </c>
      <c r="BN1883" s="343">
        <f>SUMIFS($AU$1388:AU1884,$AQ$1388:AQ1884,"H")</f>
        <v>7059.2000000002827</v>
      </c>
      <c r="BO1883" s="343">
        <f>SUMIFS($AU$1388:AU1884,$AQ$1388:AQ1884,"D")</f>
        <v>4053.9999999999973</v>
      </c>
      <c r="BP1883" s="343">
        <f>SUMIFS($AS$1388:AS2655,$AO$1388:AO2655,"W")</f>
        <v>0</v>
      </c>
      <c r="BQ1883" s="343">
        <f>SUMIFS($AU$1388:AU1884,$Q$1388:Q1884,"O")</f>
        <v>3253.5799999996261</v>
      </c>
      <c r="BR1883" s="343">
        <f>SUMIFS($AU$1388:AU1884,$AA$1388:AA1884,"*")</f>
        <v>30526.799999999505</v>
      </c>
      <c r="BS1883" s="343">
        <f>SUMIFS($AU$1388:AU1884,$AB$1388:AB1884,"*")</f>
        <v>9655.1799999999312</v>
      </c>
      <c r="BT1883" s="343">
        <f>SUMIFS($AU$1388:AU1884,$AC$1388:AC1884,"*")</f>
        <v>13028.399999999998</v>
      </c>
      <c r="BU1883" s="343">
        <f>SUMIFS($AU$1388:AU1884,$AA$1388:AA1884,"*",$AB$1388:AB1884,"*")</f>
        <v>5759.9999999998217</v>
      </c>
      <c r="BV1883" s="343">
        <f>SUMIFS($AU$1388:AU1884,$AA$1388:AA1884,"*",$AC$1388:AC1884,"*")</f>
        <v>14324.400000000001</v>
      </c>
      <c r="BW1883" s="343">
        <f>SUMIFS($AU$1388:AU1884,$AB$1388:AB1884,"*",$AC$1388:AC1884,"*")</f>
        <v>4639.9999999999982</v>
      </c>
      <c r="BX1883" s="343">
        <f>SUMIFS($AV$1388:AV1884,$Q$1388:Q1884,"F")</f>
        <v>240.63675319849233</v>
      </c>
      <c r="BY1883" s="343">
        <f>SUMIFS($AV$1388:AV1884,$Q$1388:Q1884,"S")</f>
        <v>488.81638392253404</v>
      </c>
      <c r="BZ1883" s="343">
        <f>SUMIFS($AV$1388:AV1884,$Q$1388:Q1884,"O")</f>
        <v>897.63999999983673</v>
      </c>
    </row>
    <row r="1884" spans="1:78" ht="15.75" customHeight="1">
      <c r="A1884" s="177" t="s">
        <v>5851</v>
      </c>
      <c r="B1884" s="200">
        <v>45406</v>
      </c>
      <c r="C1884" s="178" t="s">
        <v>6200</v>
      </c>
      <c r="D1884" s="178" t="s">
        <v>151</v>
      </c>
      <c r="E1884" s="227"/>
      <c r="F1884" s="180"/>
      <c r="G1884" s="484" t="s">
        <v>6203</v>
      </c>
      <c r="H1884" s="182"/>
      <c r="I1884" s="182"/>
      <c r="J1884" s="182"/>
      <c r="K1884" s="183"/>
      <c r="L1884" s="182">
        <v>1</v>
      </c>
      <c r="M1884" s="182"/>
      <c r="N1884" s="182"/>
      <c r="O1884" s="183" t="s">
        <v>95</v>
      </c>
      <c r="P1884" s="183" t="s">
        <v>96</v>
      </c>
      <c r="Q1884" s="183" t="s">
        <v>97</v>
      </c>
      <c r="R1884" s="183">
        <v>10</v>
      </c>
      <c r="S1884" s="183">
        <v>0</v>
      </c>
      <c r="T1884" s="183">
        <v>10</v>
      </c>
      <c r="U1884" s="183" t="s">
        <v>97</v>
      </c>
      <c r="V1884" s="183"/>
      <c r="W1884" s="183"/>
      <c r="X1884" s="183"/>
      <c r="Y1884" s="184">
        <f>IF(ISBLANK(O1884),"",(IF(O1884=UPPER("IB"),0.005,0.01)))</f>
        <v>0.01</v>
      </c>
      <c r="Z1884" s="185">
        <f>IF(ISBLANK(O1884),"",IF(O1884="IB",8.63*200,IF(O1884="IR",16*100,IF(O1884="YT",20*100,IF(O1884="YT-XT",24*200,IF(O1884="TED",80*100,IF(O1884="IR|YT",300*100)))))))</f>
        <v>1600</v>
      </c>
      <c r="AA1884" s="185" t="s">
        <v>6204</v>
      </c>
      <c r="AB1884" s="185"/>
      <c r="AC1884" s="185"/>
      <c r="AD1884" s="649">
        <v>-0.05</v>
      </c>
      <c r="AE1884" s="182"/>
      <c r="AF1884" s="332"/>
      <c r="AG1884" s="182"/>
      <c r="AH1884" s="182"/>
      <c r="AI1884" s="182"/>
      <c r="AJ1884" s="640"/>
      <c r="AK1884" s="182"/>
      <c r="AL1884" s="496">
        <f t="shared" si="609"/>
        <v>-32</v>
      </c>
      <c r="AM1884" s="496">
        <f t="shared" si="608"/>
        <v>-320</v>
      </c>
      <c r="AN1884" s="626"/>
      <c r="AO1884" s="182"/>
      <c r="AP1884" s="182"/>
      <c r="AQ1884" s="332" t="s">
        <v>115</v>
      </c>
      <c r="AR1884" s="182"/>
      <c r="AS1884" s="189">
        <v>-0.05</v>
      </c>
      <c r="AT1884" s="189">
        <f>IF(ISBLANK(AS1884),,IF(U1884="S",AD1884-AS1884,AS1884-AD1884))</f>
        <v>0</v>
      </c>
      <c r="AU1884" s="187">
        <f>AV1884*R1884</f>
        <v>0</v>
      </c>
      <c r="AV1884" s="190">
        <f t="shared" si="619"/>
        <v>0</v>
      </c>
      <c r="AW1884" s="191" t="s">
        <v>115</v>
      </c>
      <c r="AX1884" s="551" t="s">
        <v>6205</v>
      </c>
      <c r="AY1884" s="551" t="s">
        <v>6206</v>
      </c>
      <c r="AZ1884" s="551"/>
      <c r="BA1884" s="551"/>
      <c r="BB1884" s="551"/>
      <c r="BC1884" s="551"/>
      <c r="BD1884" s="549"/>
      <c r="BE1884" s="550"/>
      <c r="BF1884" s="549"/>
      <c r="BG1884" s="391">
        <f>SUM($AV$1389:AV1884)</f>
        <v>3875.0931371208685</v>
      </c>
      <c r="BH1884" s="392">
        <f>SUM($AU$1389:AU1884)</f>
        <v>31765.979999999618</v>
      </c>
      <c r="BI1884" s="318">
        <f>SUMIFS($AU$1388:AU1885,$Q$1388:Q1885,"F")</f>
        <v>15348.400000000001</v>
      </c>
      <c r="BJ1884" s="318">
        <f>SUMIFS($AU$1388:AU1885,$Q$1388:Q1885,"S")</f>
        <v>11439.999999999996</v>
      </c>
      <c r="BK1884" s="343">
        <f>SUMIFS($AU$1388:AU1885,$P$1388:P1885,"W")</f>
        <v>19837.580000000344</v>
      </c>
      <c r="BL1884" s="343">
        <f>SUMIFS($AU$1388:AU1885,$P$1388:P1885,"R")</f>
        <v>9497.9999999998618</v>
      </c>
      <c r="BM1884" s="343">
        <f>SUMIFS($AU$1388:AU1885,$AQ$1388:AQ1885,"M")</f>
        <v>9254.3799999993262</v>
      </c>
      <c r="BN1884" s="343">
        <f>SUMIFS($AU$1388:AU1885,$AQ$1388:AQ1885,"H")</f>
        <v>7059.2000000002827</v>
      </c>
      <c r="BO1884" s="343">
        <f>SUMIFS($AU$1388:AU1885,$AQ$1388:AQ1885,"D")</f>
        <v>4053.9999999999973</v>
      </c>
      <c r="BP1884" s="343">
        <f>SUMIFS($AS$1388:AS2656,$AO$1388:AO2656,"W")</f>
        <v>0</v>
      </c>
      <c r="BQ1884" s="343">
        <f>SUMIFS($AU$1388:AU1885,$Q$1388:Q1885,"O")</f>
        <v>3253.5799999996261</v>
      </c>
      <c r="BR1884" s="343">
        <f>SUMIFS($AU$1388:AU1885,$AA$1388:AA1885,"*")</f>
        <v>30526.799999999505</v>
      </c>
      <c r="BS1884" s="343">
        <f>SUMIFS($AU$1388:AU1885,$AB$1388:AB1885,"*")</f>
        <v>9655.1799999999312</v>
      </c>
      <c r="BT1884" s="343">
        <f>SUMIFS($AU$1388:AU1885,$AC$1388:AC1885,"*")</f>
        <v>13028.399999999998</v>
      </c>
      <c r="BU1884" s="343">
        <f>SUMIFS($AU$1388:AU1885,$AA$1388:AA1885,"*",$AB$1388:AB1885,"*")</f>
        <v>5759.9999999998217</v>
      </c>
      <c r="BV1884" s="343">
        <f>SUMIFS($AU$1388:AU1885,$AA$1388:AA1885,"*",$AC$1388:AC1885,"*")</f>
        <v>14324.400000000001</v>
      </c>
      <c r="BW1884" s="343">
        <f>SUMIFS($AU$1388:AU1885,$AB$1388:AB1885,"*",$AC$1388:AC1885,"*")</f>
        <v>4639.9999999999982</v>
      </c>
      <c r="BX1884" s="343">
        <f>SUMIFS($AV$1388:AV1885,$Q$1388:Q1885,"F")</f>
        <v>240.63675319849233</v>
      </c>
      <c r="BY1884" s="343">
        <f>SUMIFS($AV$1388:AV1885,$Q$1388:Q1885,"S")</f>
        <v>488.81638392253404</v>
      </c>
      <c r="BZ1884" s="343">
        <f>SUMIFS($AV$1388:AV1885,$Q$1388:Q1885,"O")</f>
        <v>897.63999999983673</v>
      </c>
    </row>
    <row r="1885" spans="1:78" ht="15.75" customHeight="1">
      <c r="A1885" s="177" t="s">
        <v>5851</v>
      </c>
      <c r="B1885" s="200">
        <v>45407</v>
      </c>
      <c r="C1885" s="178" t="s">
        <v>6207</v>
      </c>
      <c r="D1885" s="178" t="s">
        <v>93</v>
      </c>
      <c r="E1885" s="227"/>
      <c r="F1885" s="180"/>
      <c r="G1885" s="484" t="s">
        <v>6208</v>
      </c>
      <c r="H1885" s="182"/>
      <c r="I1885" s="182"/>
      <c r="J1885" s="182"/>
      <c r="K1885" s="183"/>
      <c r="L1885" s="182">
        <v>1</v>
      </c>
      <c r="M1885" s="182"/>
      <c r="N1885" s="182"/>
      <c r="O1885" s="183" t="s">
        <v>95</v>
      </c>
      <c r="P1885" s="183" t="s">
        <v>96</v>
      </c>
      <c r="Q1885" s="183" t="s">
        <v>97</v>
      </c>
      <c r="R1885" s="183">
        <v>50</v>
      </c>
      <c r="S1885" s="183">
        <v>0</v>
      </c>
      <c r="T1885" s="183">
        <v>50</v>
      </c>
      <c r="U1885" s="183" t="s">
        <v>22</v>
      </c>
      <c r="V1885" s="183"/>
      <c r="W1885" s="183"/>
      <c r="X1885" s="183"/>
      <c r="Y1885" s="184">
        <f>IF(ISBLANK(O1885),"",(IF(O1885=UPPER("IB"),0.005,0.01)))</f>
        <v>0.01</v>
      </c>
      <c r="Z1885" s="185">
        <f>IF(ISBLANK(O1885),"",IF(O1885="IB",8.63*200,IF(O1885="IR",16*100,IF(O1885="YT",20*100,IF(O1885="YT-XT",24*200,IF(O1885="TED",80*100,IF(O1885="IR|YT",300*100)))))))</f>
        <v>1600</v>
      </c>
      <c r="AA1885" s="185" t="s">
        <v>1824</v>
      </c>
      <c r="AB1885" s="185"/>
      <c r="AC1885" s="185" t="s">
        <v>6209</v>
      </c>
      <c r="AD1885" s="649">
        <v>-7.0000000000000007E-2</v>
      </c>
      <c r="AE1885" s="182"/>
      <c r="AF1885" s="332"/>
      <c r="AG1885" s="182"/>
      <c r="AH1885" s="182"/>
      <c r="AI1885" s="182"/>
      <c r="AJ1885" s="640"/>
      <c r="AK1885" s="182"/>
      <c r="AL1885" s="496">
        <f t="shared" si="609"/>
        <v>-32</v>
      </c>
      <c r="AM1885" s="496">
        <f t="shared" si="608"/>
        <v>-1600</v>
      </c>
      <c r="AN1885" s="626"/>
      <c r="AO1885" s="182"/>
      <c r="AP1885" s="182"/>
      <c r="AQ1885" s="332" t="s">
        <v>115</v>
      </c>
      <c r="AR1885" s="182"/>
      <c r="AS1885" s="189">
        <v>-7.0000000000000007E-2</v>
      </c>
      <c r="AT1885" s="189">
        <f>IF(ISBLANK(AS1885),,IF(U1885="S",AD1885-AS1885,AS1885-AD1885))</f>
        <v>0</v>
      </c>
      <c r="AU1885" s="187">
        <f>AV1885*R1885</f>
        <v>0</v>
      </c>
      <c r="AV1885" s="190">
        <f t="shared" si="619"/>
        <v>0</v>
      </c>
      <c r="AW1885" s="191" t="s">
        <v>115</v>
      </c>
      <c r="AX1885" s="551"/>
      <c r="AY1885" s="551"/>
      <c r="AZ1885" s="551"/>
      <c r="BA1885" s="551"/>
      <c r="BB1885" s="551"/>
      <c r="BC1885" s="551"/>
      <c r="BD1885" s="549"/>
      <c r="BE1885" s="550"/>
      <c r="BF1885" s="549"/>
      <c r="BG1885" s="391">
        <f>SUM($AV$1389:AV1885)</f>
        <v>3875.0931371208685</v>
      </c>
      <c r="BH1885" s="392">
        <f>SUM($AU$1389:AU1885)</f>
        <v>31765.979999999618</v>
      </c>
      <c r="BI1885" s="318">
        <f>SUMIFS($AU$1388:AU1886,$Q$1388:Q1886,"F")</f>
        <v>15348.400000000001</v>
      </c>
      <c r="BJ1885" s="318">
        <f>SUMIFS($AU$1388:AU1886,$Q$1388:Q1886,"S")</f>
        <v>11439.999999999996</v>
      </c>
      <c r="BK1885" s="343">
        <f>SUMIFS($AU$1388:AU1886,$P$1388:P1886,"W")</f>
        <v>19837.580000000344</v>
      </c>
      <c r="BL1885" s="343">
        <f>SUMIFS($AU$1388:AU1886,$P$1388:P1886,"R")</f>
        <v>9497.9999999998618</v>
      </c>
      <c r="BM1885" s="343">
        <f>SUMIFS($AU$1388:AU1886,$AQ$1388:AQ1886,"M")</f>
        <v>9254.3799999993262</v>
      </c>
      <c r="BN1885" s="343">
        <f>SUMIFS($AU$1388:AU1886,$AQ$1388:AQ1886,"H")</f>
        <v>7059.2000000002827</v>
      </c>
      <c r="BO1885" s="343">
        <f>SUMIFS($AU$1388:AU1886,$AQ$1388:AQ1886,"D")</f>
        <v>4053.9999999999973</v>
      </c>
      <c r="BP1885" s="343">
        <f>SUMIFS($AS$1388:AS2657,$AO$1388:AO2657,"W")</f>
        <v>0</v>
      </c>
      <c r="BQ1885" s="343">
        <f>SUMIFS($AU$1388:AU1886,$Q$1388:Q1886,"O")</f>
        <v>3253.5799999996261</v>
      </c>
      <c r="BR1885" s="343">
        <f>SUMIFS($AU$1388:AU1886,$AA$1388:AA1886,"*")</f>
        <v>30526.799999999505</v>
      </c>
      <c r="BS1885" s="343">
        <f>SUMIFS($AU$1388:AU1886,$AB$1388:AB1886,"*")</f>
        <v>9655.1799999999312</v>
      </c>
      <c r="BT1885" s="343">
        <f>SUMIFS($AU$1388:AU1886,$AC$1388:AC1886,"*")</f>
        <v>13028.399999999998</v>
      </c>
      <c r="BU1885" s="343">
        <f>SUMIFS($AU$1388:AU1886,$AA$1388:AA1886,"*",$AB$1388:AB1886,"*")</f>
        <v>5759.9999999998217</v>
      </c>
      <c r="BV1885" s="343">
        <f>SUMIFS($AU$1388:AU1886,$AA$1388:AA1886,"*",$AC$1388:AC1886,"*")</f>
        <v>14324.400000000001</v>
      </c>
      <c r="BW1885" s="343">
        <f>SUMIFS($AU$1388:AU1886,$AB$1388:AB1886,"*",$AC$1388:AC1886,"*")</f>
        <v>4639.9999999999982</v>
      </c>
      <c r="BX1885" s="343">
        <f>SUMIFS($AV$1388:AV1886,$Q$1388:Q1886,"F")</f>
        <v>240.63675319849233</v>
      </c>
      <c r="BY1885" s="343">
        <f>SUMIFS($AV$1388:AV1886,$Q$1388:Q1886,"S")</f>
        <v>488.81638392253404</v>
      </c>
      <c r="BZ1885" s="343">
        <f>SUMIFS($AV$1388:AV1886,$Q$1388:Q1886,"O")</f>
        <v>897.63999999983673</v>
      </c>
    </row>
    <row r="1886" spans="1:78" ht="15.75" customHeight="1">
      <c r="A1886" s="177" t="s">
        <v>5851</v>
      </c>
      <c r="B1886" s="200">
        <v>45407</v>
      </c>
      <c r="C1886" s="178" t="s">
        <v>1810</v>
      </c>
      <c r="D1886" s="178" t="s">
        <v>93</v>
      </c>
      <c r="E1886" s="227"/>
      <c r="F1886" s="180"/>
      <c r="G1886" s="561" t="s">
        <v>6210</v>
      </c>
      <c r="H1886" s="182"/>
      <c r="I1886" s="182"/>
      <c r="J1886" s="182"/>
      <c r="K1886" s="183"/>
      <c r="L1886" s="182"/>
      <c r="M1886" s="182">
        <v>1</v>
      </c>
      <c r="N1886" s="182"/>
      <c r="O1886" s="183" t="s">
        <v>5325</v>
      </c>
      <c r="P1886" s="183" t="s">
        <v>137</v>
      </c>
      <c r="Q1886" s="183"/>
      <c r="R1886" s="183">
        <v>1</v>
      </c>
      <c r="S1886" s="183">
        <v>0</v>
      </c>
      <c r="T1886" s="183">
        <v>1</v>
      </c>
      <c r="U1886" s="183" t="s">
        <v>22</v>
      </c>
      <c r="V1886" s="183"/>
      <c r="W1886" s="183"/>
      <c r="X1886" s="183"/>
      <c r="Y1886" s="184">
        <f>IF(ISBLANK(O1886),"",(IF(O1886=UPPER("IB"),0.005,0.01)))</f>
        <v>0.01</v>
      </c>
      <c r="Z1886" s="185">
        <f>IF(ISBLANK(O1886),"",IF(O1886="IB",8.63*200,IF(O1886="IR",16*100,IF(O1886="YT",20*100,IF(O1886="YT-XT",24*200,IF(O1886="TED",80*100,IF(O1886="IR|YT",300*100)))))))</f>
        <v>30000</v>
      </c>
      <c r="AA1886" s="185" t="s">
        <v>6047</v>
      </c>
      <c r="AB1886" s="185"/>
      <c r="AC1886" s="185"/>
      <c r="AD1886" s="649">
        <v>-0.23</v>
      </c>
      <c r="AE1886" s="182"/>
      <c r="AF1886" s="332"/>
      <c r="AG1886" s="182"/>
      <c r="AH1886" s="182"/>
      <c r="AI1886" s="182"/>
      <c r="AJ1886" s="640"/>
      <c r="AK1886" s="182"/>
      <c r="AL1886" s="496">
        <f t="shared" si="609"/>
        <v>-600</v>
      </c>
      <c r="AM1886" s="496">
        <f t="shared" si="608"/>
        <v>-600</v>
      </c>
      <c r="AN1886" s="626"/>
      <c r="AO1886" s="182"/>
      <c r="AP1886" s="182" t="s">
        <v>1639</v>
      </c>
      <c r="AQ1886" s="332" t="s">
        <v>372</v>
      </c>
      <c r="AR1886" s="182"/>
      <c r="AS1886" s="189">
        <v>-0.23</v>
      </c>
      <c r="AT1886" s="189">
        <f>IF(ISBLANK(AS1886),,IF(U1886="S",AD1886-AS1886,AS1886-AD1886))</f>
        <v>0</v>
      </c>
      <c r="AU1886" s="187">
        <f>AV1886*R1886</f>
        <v>0</v>
      </c>
      <c r="AV1886" s="190">
        <f t="shared" si="619"/>
        <v>0</v>
      </c>
      <c r="AW1886" s="191" t="s">
        <v>115</v>
      </c>
      <c r="AX1886" s="549"/>
      <c r="AY1886" s="551"/>
      <c r="AZ1886" s="551"/>
      <c r="BA1886" s="551"/>
      <c r="BB1886" s="551"/>
      <c r="BC1886" s="551"/>
      <c r="BD1886" s="549"/>
      <c r="BE1886" s="550"/>
      <c r="BF1886" s="549"/>
      <c r="BG1886" s="391">
        <f>SUM($AV$1389:AV1886)</f>
        <v>3875.0931371208685</v>
      </c>
      <c r="BH1886" s="392">
        <f>SUM($AU$1389:AU1886)</f>
        <v>31765.979999999618</v>
      </c>
      <c r="BI1886" s="318">
        <f>SUMIFS($AU$1388:AU1887,$Q$1388:Q1887,"F")</f>
        <v>15348.400000000001</v>
      </c>
      <c r="BJ1886" s="318">
        <f>SUMIFS($AU$1388:AU1887,$Q$1388:Q1887,"S")</f>
        <v>11439.999999999996</v>
      </c>
      <c r="BK1886" s="343">
        <f>SUMIFS($AU$1388:AU1887,$P$1388:P1887,"W")</f>
        <v>19837.580000000344</v>
      </c>
      <c r="BL1886" s="343">
        <f>SUMIFS($AU$1388:AU1887,$P$1388:P1887,"R")</f>
        <v>9497.9999999998618</v>
      </c>
      <c r="BM1886" s="343">
        <f>SUMIFS($AU$1388:AU1887,$AQ$1388:AQ1887,"M")</f>
        <v>9254.3799999993262</v>
      </c>
      <c r="BN1886" s="343">
        <f>SUMIFS($AU$1388:AU1887,$AQ$1388:AQ1887,"H")</f>
        <v>7059.2000000002827</v>
      </c>
      <c r="BO1886" s="343">
        <f>SUMIFS($AU$1388:AU1887,$AQ$1388:AQ1887,"D")</f>
        <v>4053.9999999999973</v>
      </c>
      <c r="BP1886" s="343">
        <f>SUMIFS($AS$1388:AS2658,$AO$1388:AO2658,"W")</f>
        <v>0</v>
      </c>
      <c r="BQ1886" s="343">
        <f>SUMIFS($AU$1388:AU1887,$Q$1388:Q1887,"O")</f>
        <v>3253.5799999996261</v>
      </c>
      <c r="BR1886" s="343">
        <f>SUMIFS($AU$1388:AU1887,$AA$1388:AA1887,"*")</f>
        <v>30526.799999999505</v>
      </c>
      <c r="BS1886" s="343">
        <f>SUMIFS($AU$1388:AU1887,$AB$1388:AB1887,"*")</f>
        <v>9655.1799999999312</v>
      </c>
      <c r="BT1886" s="343">
        <f>SUMIFS($AU$1388:AU1887,$AC$1388:AC1887,"*")</f>
        <v>13028.399999999998</v>
      </c>
      <c r="BU1886" s="343">
        <f>SUMIFS($AU$1388:AU1887,$AA$1388:AA1887,"*",$AB$1388:AB1887,"*")</f>
        <v>5759.9999999998217</v>
      </c>
      <c r="BV1886" s="343">
        <f>SUMIFS($AU$1388:AU1887,$AA$1388:AA1887,"*",$AC$1388:AC1887,"*")</f>
        <v>14324.400000000001</v>
      </c>
      <c r="BW1886" s="343">
        <f>SUMIFS($AU$1388:AU1887,$AB$1388:AB1887,"*",$AC$1388:AC1887,"*")</f>
        <v>4639.9999999999982</v>
      </c>
      <c r="BX1886" s="343">
        <f>SUMIFS($AV$1388:AV1887,$Q$1388:Q1887,"F")</f>
        <v>240.63675319849233</v>
      </c>
      <c r="BY1886" s="343">
        <f>SUMIFS($AV$1388:AV1887,$Q$1388:Q1887,"S")</f>
        <v>488.81638392253404</v>
      </c>
      <c r="BZ1886" s="343">
        <f>SUMIFS($AV$1388:AV1887,$Q$1388:Q1887,"O")</f>
        <v>897.63999999983673</v>
      </c>
    </row>
    <row r="1887" spans="1:78" ht="15.75" customHeight="1">
      <c r="A1887" s="177" t="s">
        <v>5851</v>
      </c>
      <c r="B1887" s="200"/>
      <c r="C1887" s="178"/>
      <c r="D1887" s="178"/>
      <c r="E1887" s="227"/>
      <c r="F1887" s="180"/>
      <c r="G1887" s="181"/>
      <c r="H1887" s="182"/>
      <c r="I1887" s="182"/>
      <c r="J1887" s="182"/>
      <c r="K1887" s="183"/>
      <c r="L1887" s="182"/>
      <c r="M1887" s="182"/>
      <c r="N1887" s="182"/>
      <c r="O1887" s="183"/>
      <c r="P1887" s="183"/>
      <c r="Q1887" s="183"/>
      <c r="R1887" s="183"/>
      <c r="S1887" s="183"/>
      <c r="T1887" s="183"/>
      <c r="U1887" s="183"/>
      <c r="V1887" s="183"/>
      <c r="W1887" s="183"/>
      <c r="X1887" s="183"/>
      <c r="Y1887" s="183"/>
      <c r="Z1887" s="183"/>
      <c r="AA1887" s="185"/>
      <c r="AB1887" s="185"/>
      <c r="AC1887" s="185"/>
      <c r="AD1887" s="649"/>
      <c r="AE1887" s="182"/>
      <c r="AF1887" s="332"/>
      <c r="AG1887" s="182"/>
      <c r="AH1887" s="182"/>
      <c r="AI1887" s="182"/>
      <c r="AJ1887" s="640"/>
      <c r="AK1887" s="182"/>
      <c r="AL1887" s="496">
        <f t="shared" si="609"/>
        <v>0</v>
      </c>
      <c r="AM1887" s="496">
        <f t="shared" si="608"/>
        <v>0</v>
      </c>
      <c r="AN1887" s="626"/>
      <c r="AO1887" s="182"/>
      <c r="AP1887" s="182"/>
      <c r="AQ1887" s="332" t="str">
        <f>UPPER(RIGHT(Journal_Live[[#This Row],[DURATION ]]))</f>
        <v/>
      </c>
      <c r="AR1887" s="182"/>
      <c r="AS1887" s="189"/>
      <c r="AT1887" s="189"/>
      <c r="AU1887" s="187"/>
      <c r="AV1887" s="190"/>
      <c r="AW1887" s="191"/>
      <c r="AX1887" s="549" t="s">
        <v>6211</v>
      </c>
      <c r="AY1887" s="551" t="s">
        <v>6212</v>
      </c>
      <c r="AZ1887" s="551" t="s">
        <v>6213</v>
      </c>
      <c r="BA1887" s="551" t="s">
        <v>6214</v>
      </c>
      <c r="BB1887" s="551" t="s">
        <v>6215</v>
      </c>
      <c r="BC1887" s="551" t="s">
        <v>6216</v>
      </c>
      <c r="BD1887" s="549"/>
      <c r="BE1887" s="550"/>
      <c r="BF1887" s="549"/>
      <c r="BG1887" s="391">
        <f>SUM($AV$1389:AV1887)</f>
        <v>3875.0931371208685</v>
      </c>
      <c r="BH1887" s="392">
        <f>SUM($AU$1389:AU1887)</f>
        <v>31765.979999999618</v>
      </c>
      <c r="BI1887" s="318">
        <f>SUMIFS($AU$1388:AU1888,$Q$1388:Q1888,"F")</f>
        <v>15348.400000000001</v>
      </c>
      <c r="BJ1887" s="318">
        <f>SUMIFS($AU$1388:AU1888,$Q$1388:Q1888,"S")</f>
        <v>11439.999999999996</v>
      </c>
      <c r="BK1887" s="343">
        <f>SUMIFS($AU$1388:AU1888,$P$1388:P1888,"W")</f>
        <v>19837.580000000344</v>
      </c>
      <c r="BL1887" s="343">
        <f>SUMIFS($AU$1388:AU1888,$P$1388:P1888,"R")</f>
        <v>9497.9999999998618</v>
      </c>
      <c r="BM1887" s="343">
        <f>SUMIFS($AU$1388:AU1888,$AQ$1388:AQ1888,"M")</f>
        <v>9254.3799999993262</v>
      </c>
      <c r="BN1887" s="343">
        <f>SUMIFS($AU$1388:AU1888,$AQ$1388:AQ1888,"H")</f>
        <v>7059.2000000002827</v>
      </c>
      <c r="BO1887" s="343">
        <f>SUMIFS($AU$1388:AU1888,$AQ$1388:AQ1888,"D")</f>
        <v>4053.9999999999973</v>
      </c>
      <c r="BP1887" s="343">
        <f>SUMIFS($AS$1388:AS2659,$AO$1388:AO2659,"W")</f>
        <v>0</v>
      </c>
      <c r="BQ1887" s="343">
        <f>SUMIFS($AU$1388:AU1888,$Q$1388:Q1888,"O")</f>
        <v>3253.5799999996261</v>
      </c>
      <c r="BR1887" s="343">
        <f>SUMIFS($AU$1388:AU1888,$AA$1388:AA1888,"*")</f>
        <v>30526.799999999505</v>
      </c>
      <c r="BS1887" s="343">
        <f>SUMIFS($AU$1388:AU1888,$AB$1388:AB1888,"*")</f>
        <v>9655.1799999999312</v>
      </c>
      <c r="BT1887" s="343">
        <f>SUMIFS($AU$1388:AU1888,$AC$1388:AC1888,"*")</f>
        <v>13028.399999999998</v>
      </c>
      <c r="BU1887" s="343">
        <f>SUMIFS($AU$1388:AU1888,$AA$1388:AA1888,"*",$AB$1388:AB1888,"*")</f>
        <v>5759.9999999998217</v>
      </c>
      <c r="BV1887" s="343">
        <f>SUMIFS($AU$1388:AU1888,$AA$1388:AA1888,"*",$AC$1388:AC1888,"*")</f>
        <v>14324.400000000001</v>
      </c>
      <c r="BW1887" s="343">
        <f>SUMIFS($AU$1388:AU1888,$AB$1388:AB1888,"*",$AC$1388:AC1888,"*")</f>
        <v>4639.9999999999982</v>
      </c>
      <c r="BX1887" s="343">
        <f>SUMIFS($AV$1388:AV1888,$Q$1388:Q1888,"F")</f>
        <v>240.63675319849233</v>
      </c>
      <c r="BY1887" s="343">
        <f>SUMIFS($AV$1388:AV1888,$Q$1388:Q1888,"S")</f>
        <v>488.81638392253404</v>
      </c>
      <c r="BZ1887" s="343">
        <f>SUMIFS($AV$1388:AV1888,$Q$1388:Q1888,"O")</f>
        <v>897.63999999983673</v>
      </c>
    </row>
    <row r="1888" spans="1:78" ht="15.75" customHeight="1">
      <c r="A1888" s="177" t="s">
        <v>5851</v>
      </c>
      <c r="B1888" s="200"/>
      <c r="C1888" s="178"/>
      <c r="D1888" s="178"/>
      <c r="E1888" s="227"/>
      <c r="F1888" s="180"/>
      <c r="G1888" s="181"/>
      <c r="H1888" s="182"/>
      <c r="I1888" s="182"/>
      <c r="J1888" s="182"/>
      <c r="K1888" s="183"/>
      <c r="L1888" s="182"/>
      <c r="M1888" s="182"/>
      <c r="N1888" s="182"/>
      <c r="O1888" s="183"/>
      <c r="P1888" s="183"/>
      <c r="Q1888" s="183"/>
      <c r="R1888" s="183"/>
      <c r="S1888" s="183"/>
      <c r="T1888" s="183"/>
      <c r="U1888" s="183"/>
      <c r="V1888" s="183"/>
      <c r="W1888" s="183"/>
      <c r="X1888" s="183"/>
      <c r="Y1888" s="183"/>
      <c r="Z1888" s="183"/>
      <c r="AA1888" s="185"/>
      <c r="AB1888" s="185"/>
      <c r="AC1888" s="185"/>
      <c r="AD1888" s="649"/>
      <c r="AE1888" s="182"/>
      <c r="AF1888" s="332"/>
      <c r="AG1888" s="182"/>
      <c r="AH1888" s="182"/>
      <c r="AI1888" s="182"/>
      <c r="AJ1888" s="640"/>
      <c r="AK1888" s="182"/>
      <c r="AL1888" s="496">
        <f t="shared" ref="AL1888:AL1892" si="620">-0.02*Z1888</f>
        <v>0</v>
      </c>
      <c r="AM1888" s="496">
        <f t="shared" si="608"/>
        <v>0</v>
      </c>
      <c r="AN1888" s="626"/>
      <c r="AO1888" s="182"/>
      <c r="AP1888" s="182"/>
      <c r="AQ1888" s="332" t="str">
        <f>UPPER(RIGHT(Journal_Live[[#This Row],[DURATION ]]))</f>
        <v/>
      </c>
      <c r="AR1888" s="182"/>
      <c r="AS1888" s="189"/>
      <c r="AT1888" s="189"/>
      <c r="AU1888" s="187"/>
      <c r="AV1888" s="190"/>
      <c r="AW1888" s="191"/>
      <c r="AX1888" s="551" t="s">
        <v>6217</v>
      </c>
      <c r="AY1888" s="551"/>
      <c r="AZ1888" s="551"/>
      <c r="BA1888" s="551"/>
      <c r="BB1888" s="551"/>
      <c r="BC1888" s="551"/>
      <c r="BD1888" s="549"/>
      <c r="BE1888" s="550"/>
      <c r="BF1888" s="549"/>
      <c r="BG1888" s="391">
        <f>SUM($AV$1389:AV1888)</f>
        <v>3875.0931371208685</v>
      </c>
      <c r="BH1888" s="392">
        <f>SUM($AU$1389:AU1888)</f>
        <v>31765.979999999618</v>
      </c>
      <c r="BI1888" s="318">
        <f>SUMIFS($AU$1388:AU1889,$Q$1388:Q1889,"F")</f>
        <v>15348.400000000001</v>
      </c>
      <c r="BJ1888" s="318">
        <f>SUMIFS($AU$1388:AU1889,$Q$1388:Q1889,"S")</f>
        <v>11439.999999999996</v>
      </c>
      <c r="BK1888" s="343">
        <f>SUMIFS($AU$1388:AU1889,$P$1388:P1889,"W")</f>
        <v>19837.580000000344</v>
      </c>
      <c r="BL1888" s="343">
        <f>SUMIFS($AU$1388:AU1889,$P$1388:P1889,"R")</f>
        <v>9497.9999999998618</v>
      </c>
      <c r="BM1888" s="343">
        <f>SUMIFS($AU$1388:AU1889,$AQ$1388:AQ1889,"M")</f>
        <v>9254.3799999993262</v>
      </c>
      <c r="BN1888" s="343">
        <f>SUMIFS($AU$1388:AU1889,$AQ$1388:AQ1889,"H")</f>
        <v>7059.2000000002827</v>
      </c>
      <c r="BO1888" s="343">
        <f>SUMIFS($AU$1388:AU1889,$AQ$1388:AQ1889,"D")</f>
        <v>4053.9999999999973</v>
      </c>
      <c r="BP1888" s="343">
        <f>SUMIFS($AS$1388:AS2660,$AO$1388:AO2660,"W")</f>
        <v>0</v>
      </c>
      <c r="BQ1888" s="343">
        <f>SUMIFS($AU$1388:AU1889,$Q$1388:Q1889,"O")</f>
        <v>3253.5799999996261</v>
      </c>
      <c r="BR1888" s="343">
        <f>SUMIFS($AU$1388:AU1889,$AA$1388:AA1889,"*")</f>
        <v>30526.799999999505</v>
      </c>
      <c r="BS1888" s="343">
        <f>SUMIFS($AU$1388:AU1889,$AB$1388:AB1889,"*")</f>
        <v>9655.1799999999312</v>
      </c>
      <c r="BT1888" s="343">
        <f>SUMIFS($AU$1388:AU1889,$AC$1388:AC1889,"*")</f>
        <v>13028.399999999998</v>
      </c>
      <c r="BU1888" s="343">
        <f>SUMIFS($AU$1388:AU1889,$AA$1388:AA1889,"*",$AB$1388:AB1889,"*")</f>
        <v>5759.9999999998217</v>
      </c>
      <c r="BV1888" s="343">
        <f>SUMIFS($AU$1388:AU1889,$AA$1388:AA1889,"*",$AC$1388:AC1889,"*")</f>
        <v>14324.400000000001</v>
      </c>
      <c r="BW1888" s="343">
        <f>SUMIFS($AU$1388:AU1889,$AB$1388:AB1889,"*",$AC$1388:AC1889,"*")</f>
        <v>4639.9999999999982</v>
      </c>
      <c r="BX1888" s="343">
        <f>SUMIFS($AV$1388:AV1889,$Q$1388:Q1889,"F")</f>
        <v>240.63675319849233</v>
      </c>
      <c r="BY1888" s="343">
        <f>SUMIFS($AV$1388:AV1889,$Q$1388:Q1889,"S")</f>
        <v>488.81638392253404</v>
      </c>
      <c r="BZ1888" s="343">
        <f>SUMIFS($AV$1388:AV1889,$Q$1388:Q1889,"O")</f>
        <v>897.63999999983673</v>
      </c>
    </row>
    <row r="1889" spans="1:78" ht="15.75" customHeight="1">
      <c r="A1889" s="177" t="s">
        <v>5851</v>
      </c>
      <c r="B1889" s="200"/>
      <c r="C1889" s="178"/>
      <c r="D1889" s="178"/>
      <c r="E1889" s="227"/>
      <c r="F1889" s="180"/>
      <c r="G1889" s="181"/>
      <c r="H1889" s="182"/>
      <c r="I1889" s="182"/>
      <c r="J1889" s="182"/>
      <c r="K1889" s="183"/>
      <c r="L1889" s="182"/>
      <c r="M1889" s="182"/>
      <c r="N1889" s="182"/>
      <c r="O1889" s="183"/>
      <c r="P1889" s="183"/>
      <c r="Q1889" s="183"/>
      <c r="R1889" s="183"/>
      <c r="S1889" s="183"/>
      <c r="T1889" s="183"/>
      <c r="U1889" s="183"/>
      <c r="V1889" s="183"/>
      <c r="W1889" s="183"/>
      <c r="X1889" s="183"/>
      <c r="Y1889" s="183"/>
      <c r="Z1889" s="183"/>
      <c r="AA1889" s="185"/>
      <c r="AB1889" s="185"/>
      <c r="AC1889" s="185"/>
      <c r="AD1889" s="649"/>
      <c r="AE1889" s="182"/>
      <c r="AF1889" s="332"/>
      <c r="AG1889" s="182"/>
      <c r="AH1889" s="182"/>
      <c r="AI1889" s="182"/>
      <c r="AJ1889" s="640"/>
      <c r="AK1889" s="182"/>
      <c r="AL1889" s="496">
        <f t="shared" si="620"/>
        <v>0</v>
      </c>
      <c r="AM1889" s="496">
        <f t="shared" si="608"/>
        <v>0</v>
      </c>
      <c r="AN1889" s="626"/>
      <c r="AO1889" s="182"/>
      <c r="AP1889" s="182"/>
      <c r="AQ1889" s="332" t="str">
        <f>UPPER(RIGHT(Journal_Live[[#This Row],[DURATION ]]))</f>
        <v/>
      </c>
      <c r="AR1889" s="182"/>
      <c r="AS1889" s="189"/>
      <c r="AT1889" s="189"/>
      <c r="AU1889" s="187"/>
      <c r="AV1889" s="190"/>
      <c r="AW1889" s="191"/>
      <c r="AX1889" s="551" t="s">
        <v>6218</v>
      </c>
      <c r="AY1889" s="549" t="s">
        <v>6219</v>
      </c>
      <c r="AZ1889" s="551" t="s">
        <v>6220</v>
      </c>
      <c r="BA1889" s="551"/>
      <c r="BB1889" s="551"/>
      <c r="BC1889" s="551"/>
      <c r="BD1889" s="549"/>
      <c r="BE1889" s="550"/>
      <c r="BF1889" s="549"/>
      <c r="BG1889" s="391">
        <f>SUM($AV$1389:AV1889)</f>
        <v>3875.0931371208685</v>
      </c>
      <c r="BH1889" s="392">
        <f>SUM($AU$1389:AU1889)</f>
        <v>31765.979999999618</v>
      </c>
      <c r="BI1889" s="318">
        <f>SUMIFS($AU$1388:AU1890,$Q$1388:Q1890,"F")</f>
        <v>15348.400000000001</v>
      </c>
      <c r="BJ1889" s="318">
        <f>SUMIFS($AU$1388:AU1890,$Q$1388:Q1890,"S")</f>
        <v>11439.999999999996</v>
      </c>
      <c r="BK1889" s="343">
        <f>SUMIFS($AU$1388:AU1890,$P$1388:P1890,"W")</f>
        <v>19837.580000000344</v>
      </c>
      <c r="BL1889" s="343">
        <f>SUMIFS($AU$1388:AU1890,$P$1388:P1890,"R")</f>
        <v>9497.9999999998618</v>
      </c>
      <c r="BM1889" s="343">
        <f>SUMIFS($AU$1388:AU1890,$AQ$1388:AQ1890,"M")</f>
        <v>9254.3799999993262</v>
      </c>
      <c r="BN1889" s="343">
        <f>SUMIFS($AU$1388:AU1890,$AQ$1388:AQ1890,"H")</f>
        <v>7059.2000000002827</v>
      </c>
      <c r="BO1889" s="343">
        <f>SUMIFS($AU$1388:AU1890,$AQ$1388:AQ1890,"D")</f>
        <v>4053.9999999999973</v>
      </c>
      <c r="BP1889" s="343">
        <f>SUMIFS($AS$1388:AS2661,$AO$1388:AO2661,"W")</f>
        <v>0</v>
      </c>
      <c r="BQ1889" s="343">
        <f>SUMIFS($AU$1388:AU1890,$Q$1388:Q1890,"O")</f>
        <v>3253.5799999996261</v>
      </c>
      <c r="BR1889" s="343">
        <f>SUMIFS($AU$1388:AU1890,$AA$1388:AA1890,"*")</f>
        <v>30526.799999999505</v>
      </c>
      <c r="BS1889" s="343">
        <f>SUMIFS($AU$1388:AU1890,$AB$1388:AB1890,"*")</f>
        <v>9655.1799999999312</v>
      </c>
      <c r="BT1889" s="343">
        <f>SUMIFS($AU$1388:AU1890,$AC$1388:AC1890,"*")</f>
        <v>13028.399999999998</v>
      </c>
      <c r="BU1889" s="343">
        <f>SUMIFS($AU$1388:AU1890,$AA$1388:AA1890,"*",$AB$1388:AB1890,"*")</f>
        <v>5759.9999999998217</v>
      </c>
      <c r="BV1889" s="343">
        <f>SUMIFS($AU$1388:AU1890,$AA$1388:AA1890,"*",$AC$1388:AC1890,"*")</f>
        <v>14324.400000000001</v>
      </c>
      <c r="BW1889" s="343">
        <f>SUMIFS($AU$1388:AU1890,$AB$1388:AB1890,"*",$AC$1388:AC1890,"*")</f>
        <v>4639.9999999999982</v>
      </c>
      <c r="BX1889" s="343">
        <f>SUMIFS($AV$1388:AV1890,$Q$1388:Q1890,"F")</f>
        <v>240.63675319849233</v>
      </c>
      <c r="BY1889" s="343">
        <f>SUMIFS($AV$1388:AV1890,$Q$1388:Q1890,"S")</f>
        <v>488.81638392253404</v>
      </c>
      <c r="BZ1889" s="343">
        <f>SUMIFS($AV$1388:AV1890,$Q$1388:Q1890,"O")</f>
        <v>897.63999999983673</v>
      </c>
    </row>
    <row r="1890" spans="1:78" ht="15.75" customHeight="1">
      <c r="A1890" s="177" t="s">
        <v>5851</v>
      </c>
      <c r="B1890" s="200">
        <v>45407</v>
      </c>
      <c r="C1890" s="178" t="s">
        <v>1728</v>
      </c>
      <c r="D1890" s="178" t="s">
        <v>93</v>
      </c>
      <c r="E1890" s="227" t="s">
        <v>6221</v>
      </c>
      <c r="F1890" s="180" t="s">
        <v>6222</v>
      </c>
      <c r="G1890" s="181"/>
      <c r="H1890" s="182"/>
      <c r="I1890" s="182"/>
      <c r="J1890" s="182">
        <v>1</v>
      </c>
      <c r="K1890" s="183" t="s">
        <v>115</v>
      </c>
      <c r="L1890" s="182"/>
      <c r="M1890" s="182"/>
      <c r="N1890" s="182"/>
      <c r="O1890" s="183"/>
      <c r="P1890" s="183"/>
      <c r="Q1890" s="183"/>
      <c r="R1890" s="183"/>
      <c r="S1890" s="183"/>
      <c r="T1890" s="183"/>
      <c r="U1890" s="183"/>
      <c r="V1890" s="183"/>
      <c r="W1890" s="183"/>
      <c r="X1890" s="183"/>
      <c r="Y1890" s="183"/>
      <c r="Z1890" s="183"/>
      <c r="AA1890" s="185"/>
      <c r="AB1890" s="185"/>
      <c r="AC1890" s="185"/>
      <c r="AD1890" s="649"/>
      <c r="AE1890" s="182"/>
      <c r="AF1890" s="332"/>
      <c r="AG1890" s="182"/>
      <c r="AH1890" s="182"/>
      <c r="AI1890" s="182"/>
      <c r="AJ1890" s="640"/>
      <c r="AK1890" s="182"/>
      <c r="AL1890" s="496">
        <f t="shared" si="620"/>
        <v>0</v>
      </c>
      <c r="AM1890" s="496">
        <f t="shared" si="608"/>
        <v>0</v>
      </c>
      <c r="AN1890" s="626"/>
      <c r="AO1890" s="182"/>
      <c r="AP1890" s="182"/>
      <c r="AQ1890" s="332" t="str">
        <f>UPPER(RIGHT(Journal_Live[[#This Row],[DURATION ]]))</f>
        <v/>
      </c>
      <c r="AR1890" s="182"/>
      <c r="AS1890" s="189"/>
      <c r="AT1890" s="189"/>
      <c r="AU1890" s="187"/>
      <c r="AV1890" s="190"/>
      <c r="AW1890" s="191"/>
      <c r="AX1890" s="551"/>
      <c r="AY1890" s="551"/>
      <c r="AZ1890" s="551"/>
      <c r="BA1890" s="551"/>
      <c r="BB1890" s="551"/>
      <c r="BC1890" s="551"/>
      <c r="BD1890" s="549"/>
      <c r="BE1890" s="550"/>
      <c r="BF1890" s="549"/>
      <c r="BG1890" s="391">
        <f>SUM($AV$1389:AV1890)</f>
        <v>3875.0931371208685</v>
      </c>
      <c r="BH1890" s="392">
        <f>SUM($AU$1389:AU1890)</f>
        <v>31765.979999999618</v>
      </c>
      <c r="BI1890" s="318">
        <f>SUMIFS($AU$1388:AU1891,$Q$1388:Q1891,"F")</f>
        <v>15348.400000000001</v>
      </c>
      <c r="BJ1890" s="318">
        <f>SUMIFS($AU$1388:AU1891,$Q$1388:Q1891,"S")</f>
        <v>11439.999999999996</v>
      </c>
      <c r="BK1890" s="343">
        <f>SUMIFS($AU$1388:AU1891,$P$1388:P1891,"W")</f>
        <v>19837.580000000344</v>
      </c>
      <c r="BL1890" s="343">
        <f>SUMIFS($AU$1388:AU1891,$P$1388:P1891,"R")</f>
        <v>9497.9999999998618</v>
      </c>
      <c r="BM1890" s="343">
        <f>SUMIFS($AU$1388:AU1891,$AQ$1388:AQ1891,"M")</f>
        <v>9254.3799999993262</v>
      </c>
      <c r="BN1890" s="343">
        <f>SUMIFS($AU$1388:AU1891,$AQ$1388:AQ1891,"H")</f>
        <v>7059.2000000002827</v>
      </c>
      <c r="BO1890" s="343">
        <f>SUMIFS($AU$1388:AU1891,$AQ$1388:AQ1891,"D")</f>
        <v>4053.9999999999973</v>
      </c>
      <c r="BP1890" s="343">
        <f>SUMIFS($AS$1388:AS2662,$AO$1388:AO2662,"W")</f>
        <v>0</v>
      </c>
      <c r="BQ1890" s="343">
        <f>SUMIFS($AU$1388:AU1891,$Q$1388:Q1891,"O")</f>
        <v>3253.5799999996261</v>
      </c>
      <c r="BR1890" s="343">
        <f>SUMIFS($AU$1388:AU1891,$AA$1388:AA1891,"*")</f>
        <v>30526.799999999505</v>
      </c>
      <c r="BS1890" s="343">
        <f>SUMIFS($AU$1388:AU1891,$AB$1388:AB1891,"*")</f>
        <v>9655.1799999999312</v>
      </c>
      <c r="BT1890" s="343">
        <f>SUMIFS($AU$1388:AU1891,$AC$1388:AC1891,"*")</f>
        <v>13028.399999999998</v>
      </c>
      <c r="BU1890" s="343">
        <f>SUMIFS($AU$1388:AU1891,$AA$1388:AA1891,"*",$AB$1388:AB1891,"*")</f>
        <v>5759.9999999998217</v>
      </c>
      <c r="BV1890" s="343">
        <f>SUMIFS($AU$1388:AU1891,$AA$1388:AA1891,"*",$AC$1388:AC1891,"*")</f>
        <v>14324.400000000001</v>
      </c>
      <c r="BW1890" s="343">
        <f>SUMIFS($AU$1388:AU1891,$AB$1388:AB1891,"*",$AC$1388:AC1891,"*")</f>
        <v>4639.9999999999982</v>
      </c>
      <c r="BX1890" s="343">
        <f>SUMIFS($AV$1388:AV1891,$Q$1388:Q1891,"F")</f>
        <v>240.63675319849233</v>
      </c>
      <c r="BY1890" s="343">
        <f>SUMIFS($AV$1388:AV1891,$Q$1388:Q1891,"S")</f>
        <v>488.81638392253404</v>
      </c>
      <c r="BZ1890" s="343">
        <f>SUMIFS($AV$1388:AV1891,$Q$1388:Q1891,"O")</f>
        <v>897.63999999983673</v>
      </c>
    </row>
    <row r="1891" spans="1:78" ht="15.75" customHeight="1">
      <c r="A1891" s="177" t="s">
        <v>5851</v>
      </c>
      <c r="B1891" s="200"/>
      <c r="C1891" s="178"/>
      <c r="D1891" s="178"/>
      <c r="E1891" s="227" t="s">
        <v>6223</v>
      </c>
      <c r="F1891" s="180" t="s">
        <v>6224</v>
      </c>
      <c r="G1891" s="181"/>
      <c r="H1891" s="182">
        <v>1</v>
      </c>
      <c r="I1891" s="182"/>
      <c r="J1891" s="182"/>
      <c r="K1891" s="183" t="s">
        <v>372</v>
      </c>
      <c r="L1891" s="182"/>
      <c r="M1891" s="182"/>
      <c r="N1891" s="182"/>
      <c r="O1891" s="183"/>
      <c r="P1891" s="183"/>
      <c r="Q1891" s="183"/>
      <c r="R1891" s="183"/>
      <c r="S1891" s="183"/>
      <c r="T1891" s="183"/>
      <c r="U1891" s="183"/>
      <c r="V1891" s="183"/>
      <c r="W1891" s="183"/>
      <c r="X1891" s="183"/>
      <c r="Y1891" s="183"/>
      <c r="Z1891" s="183"/>
      <c r="AA1891" s="185"/>
      <c r="AB1891" s="185"/>
      <c r="AC1891" s="185"/>
      <c r="AD1891" s="649"/>
      <c r="AE1891" s="182"/>
      <c r="AF1891" s="332"/>
      <c r="AG1891" s="182"/>
      <c r="AH1891" s="182"/>
      <c r="AI1891" s="182"/>
      <c r="AJ1891" s="640"/>
      <c r="AK1891" s="182"/>
      <c r="AL1891" s="496">
        <f t="shared" si="620"/>
        <v>0</v>
      </c>
      <c r="AM1891" s="496">
        <f t="shared" si="608"/>
        <v>0</v>
      </c>
      <c r="AN1891" s="626"/>
      <c r="AO1891" s="182"/>
      <c r="AP1891" s="182"/>
      <c r="AQ1891" s="332" t="str">
        <f>UPPER(RIGHT(Journal_Live[[#This Row],[DURATION ]]))</f>
        <v/>
      </c>
      <c r="AR1891" s="182"/>
      <c r="AS1891" s="189"/>
      <c r="AT1891" s="189"/>
      <c r="AU1891" s="187"/>
      <c r="AV1891" s="190"/>
      <c r="AW1891" s="191"/>
      <c r="AX1891" s="551"/>
      <c r="AY1891" s="551"/>
      <c r="AZ1891" s="551"/>
      <c r="BA1891" s="551"/>
      <c r="BB1891" s="551"/>
      <c r="BC1891" s="551"/>
      <c r="BD1891" s="549"/>
      <c r="BE1891" s="550"/>
      <c r="BF1891" s="549"/>
      <c r="BG1891" s="391">
        <f>SUM($AV$1389:AV1891)</f>
        <v>3875.0931371208685</v>
      </c>
      <c r="BH1891" s="392">
        <f>SUM($AU$1389:AU1891)</f>
        <v>31765.979999999618</v>
      </c>
      <c r="BI1891" s="318">
        <f>SUMIFS($AU$1388:AU1892,$Q$1388:Q1892,"F")</f>
        <v>17627.257142857143</v>
      </c>
      <c r="BJ1891" s="318">
        <f>SUMIFS($AU$1388:AU1892,$Q$1388:Q1892,"S")</f>
        <v>11439.999999999996</v>
      </c>
      <c r="BK1891" s="343">
        <f>SUMIFS($AU$1388:AU1892,$P$1388:P1892,"W")</f>
        <v>22116.437142857485</v>
      </c>
      <c r="BL1891" s="343">
        <f>SUMIFS($AU$1388:AU1892,$P$1388:P1892,"R")</f>
        <v>9497.9999999998618</v>
      </c>
      <c r="BM1891" s="343">
        <f>SUMIFS($AU$1388:AU1892,$AQ$1388:AQ1892,"M")</f>
        <v>9254.3799999993262</v>
      </c>
      <c r="BN1891" s="343">
        <f>SUMIFS($AU$1388:AU1892,$AQ$1388:AQ1892,"H")</f>
        <v>7059.2000000002827</v>
      </c>
      <c r="BO1891" s="343">
        <f>SUMIFS($AU$1388:AU1892,$AQ$1388:AQ1892,"D")</f>
        <v>6332.8571428571395</v>
      </c>
      <c r="BP1891" s="343">
        <f>SUMIFS($AS$1388:AS2663,$AO$1388:AO2663,"W")</f>
        <v>0</v>
      </c>
      <c r="BQ1891" s="343">
        <f>SUMIFS($AU$1388:AU1892,$Q$1388:Q1892,"O")</f>
        <v>3253.5799999996261</v>
      </c>
      <c r="BR1891" s="343">
        <f>SUMIFS($AU$1388:AU1892,$AA$1388:AA1892,"*")</f>
        <v>30526.799999999505</v>
      </c>
      <c r="BS1891" s="343">
        <f>SUMIFS($AU$1388:AU1892,$AB$1388:AB1892,"*")</f>
        <v>9655.1799999999312</v>
      </c>
      <c r="BT1891" s="343">
        <f>SUMIFS($AU$1388:AU1892,$AC$1388:AC1892,"*")</f>
        <v>15307.257142857139</v>
      </c>
      <c r="BU1891" s="343">
        <f>SUMIFS($AU$1388:AU1892,$AA$1388:AA1892,"*",$AB$1388:AB1892,"*")</f>
        <v>5759.9999999998217</v>
      </c>
      <c r="BV1891" s="343">
        <f>SUMIFS($AU$1388:AU1892,$AA$1388:AA1892,"*",$AC$1388:AC1892,"*")</f>
        <v>14324.400000000001</v>
      </c>
      <c r="BW1891" s="343">
        <f>SUMIFS($AU$1388:AU1892,$AB$1388:AB1892,"*",$AC$1388:AC1892,"*")</f>
        <v>4639.9999999999982</v>
      </c>
      <c r="BX1891" s="343">
        <f>SUMIFS($AV$1388:AV1892,$Q$1388:Q1892,"F")</f>
        <v>292.42896099070009</v>
      </c>
      <c r="BY1891" s="343">
        <f>SUMIFS($AV$1388:AV1892,$Q$1388:Q1892,"S")</f>
        <v>488.81638392253404</v>
      </c>
      <c r="BZ1891" s="343">
        <f>SUMIFS($AV$1388:AV1892,$Q$1388:Q1892,"O")</f>
        <v>897.63999999983673</v>
      </c>
    </row>
    <row r="1892" spans="1:78" ht="15.75" customHeight="1">
      <c r="A1892" s="177" t="s">
        <v>5851</v>
      </c>
      <c r="B1892" s="200">
        <v>45407</v>
      </c>
      <c r="C1892" s="178" t="s">
        <v>682</v>
      </c>
      <c r="D1892" s="178" t="s">
        <v>93</v>
      </c>
      <c r="E1892" s="227"/>
      <c r="F1892" s="180"/>
      <c r="G1892" s="490" t="s">
        <v>3467</v>
      </c>
      <c r="H1892" s="182"/>
      <c r="I1892" s="182"/>
      <c r="J1892" s="182"/>
      <c r="K1892" s="183"/>
      <c r="L1892" s="182">
        <v>3</v>
      </c>
      <c r="M1892" s="182">
        <v>3</v>
      </c>
      <c r="N1892" s="182"/>
      <c r="O1892" s="183" t="s">
        <v>95</v>
      </c>
      <c r="P1892" s="183" t="s">
        <v>96</v>
      </c>
      <c r="Q1892" s="183" t="s">
        <v>256</v>
      </c>
      <c r="R1892" s="183">
        <v>44</v>
      </c>
      <c r="S1892" s="559">
        <v>44</v>
      </c>
      <c r="T1892" s="183">
        <v>75</v>
      </c>
      <c r="U1892" s="183" t="s">
        <v>97</v>
      </c>
      <c r="V1892" s="183"/>
      <c r="W1892" s="183"/>
      <c r="X1892" s="183"/>
      <c r="Y1892" s="184">
        <f>IF(ISBLANK(O1892),"",(IF(O1892=UPPER("IB"),0.005,0.01)))</f>
        <v>0.01</v>
      </c>
      <c r="Z1892" s="185">
        <f>IF(ISBLANK(O1892),"",IF(O1892="IB",8.63*200,IF(O1892="IR",16*100,IF(O1892="YT",20*100,IF(O1892="YT-XT",24*200,IF(O1892="TED",80*100,IF(O1892="XT",29*200)))))))</f>
        <v>1600</v>
      </c>
      <c r="AA1892" s="185"/>
      <c r="AB1892" s="185"/>
      <c r="AC1892" s="185" t="s">
        <v>6225</v>
      </c>
      <c r="AD1892" s="649">
        <f>(0.1*75+0.09*30)/105</f>
        <v>9.7142857142857142E-2</v>
      </c>
      <c r="AE1892" s="182"/>
      <c r="AF1892" s="332"/>
      <c r="AG1892" s="182"/>
      <c r="AH1892" s="182"/>
      <c r="AI1892" s="182"/>
      <c r="AJ1892" s="640"/>
      <c r="AK1892" s="182"/>
      <c r="AL1892" s="496">
        <f t="shared" si="620"/>
        <v>-32</v>
      </c>
      <c r="AM1892" s="496">
        <f t="shared" ref="AM1892:AM1923" si="621">AL1892*(R1892-S1892)</f>
        <v>0</v>
      </c>
      <c r="AN1892" s="626"/>
      <c r="AO1892" s="182"/>
      <c r="AP1892" s="182" t="s">
        <v>827</v>
      </c>
      <c r="AQ1892" s="332" t="s">
        <v>115</v>
      </c>
      <c r="AR1892" s="182"/>
      <c r="AS1892" s="189">
        <f>((0.08*5)+(0.07*25)+(0.05*14))/44</f>
        <v>6.4772727272727287E-2</v>
      </c>
      <c r="AT1892" s="189">
        <f>IF(ISBLANK(AS1892),,IF(U1892="S",AD1892-AS1892,AS1892-AD1892))</f>
        <v>3.2370129870129855E-2</v>
      </c>
      <c r="AU1892" s="187">
        <f>AV1892*R1892</f>
        <v>2278.8571428571418</v>
      </c>
      <c r="AV1892" s="190">
        <f t="shared" si="616"/>
        <v>51.792207792207769</v>
      </c>
      <c r="AW1892" s="191" t="s">
        <v>96</v>
      </c>
      <c r="AX1892" s="551" t="s">
        <v>6226</v>
      </c>
      <c r="AY1892" s="551" t="s">
        <v>6227</v>
      </c>
      <c r="AZ1892" s="551" t="s">
        <v>6228</v>
      </c>
      <c r="BA1892" s="551" t="s">
        <v>6229</v>
      </c>
      <c r="BB1892" s="551"/>
      <c r="BC1892" s="551"/>
      <c r="BD1892" s="549"/>
      <c r="BE1892" s="550"/>
      <c r="BF1892" s="549"/>
      <c r="BG1892" s="391">
        <f>SUM($AV$1389:AV1892)</f>
        <v>3926.8853449130761</v>
      </c>
      <c r="BH1892" s="392">
        <f>SUM($AU$1389:AU1892)</f>
        <v>34044.837142856763</v>
      </c>
      <c r="BI1892" s="318">
        <f>SUMIFS($AU$1388:AU1893,$Q$1388:Q1893,"F")</f>
        <v>18827.257142857143</v>
      </c>
      <c r="BJ1892" s="318">
        <f>SUMIFS($AU$1388:AU1893,$Q$1388:Q1893,"S")</f>
        <v>11439.999999999996</v>
      </c>
      <c r="BK1892" s="343">
        <f>SUMIFS($AU$1388:AU1893,$P$1388:P1893,"W")</f>
        <v>23316.437142857485</v>
      </c>
      <c r="BL1892" s="343">
        <f>SUMIFS($AU$1388:AU1893,$P$1388:P1893,"R")</f>
        <v>9497.9999999998618</v>
      </c>
      <c r="BM1892" s="343">
        <f>SUMIFS($AU$1388:AU1893,$AQ$1388:AQ1893,"M")</f>
        <v>9254.3799999993262</v>
      </c>
      <c r="BN1892" s="343">
        <f>SUMIFS($AU$1388:AU1893,$AQ$1388:AQ1893,"H")</f>
        <v>7059.2000000002827</v>
      </c>
      <c r="BO1892" s="343">
        <f>SUMIFS($AU$1388:AU1893,$AQ$1388:AQ1893,"D")</f>
        <v>7532.8571428571395</v>
      </c>
      <c r="BP1892" s="343">
        <f>SUMIFS($AS$1388:AS2664,$AO$1388:AO2664,"W")</f>
        <v>0</v>
      </c>
      <c r="BQ1892" s="343">
        <f>SUMIFS($AU$1388:AU1893,$Q$1388:Q1893,"O")</f>
        <v>3253.5799999996261</v>
      </c>
      <c r="BR1892" s="343">
        <f>SUMIFS($AU$1388:AU1893,$AA$1388:AA1893,"*")</f>
        <v>30526.799999999505</v>
      </c>
      <c r="BS1892" s="343">
        <f>SUMIFS($AU$1388:AU1893,$AB$1388:AB1893,"*")</f>
        <v>10855.179999999931</v>
      </c>
      <c r="BT1892" s="343">
        <f>SUMIFS($AU$1388:AU1893,$AC$1388:AC1893,"*")</f>
        <v>16507.257142857139</v>
      </c>
      <c r="BU1892" s="343">
        <f>SUMIFS($AU$1388:AU1893,$AA$1388:AA1893,"*",$AB$1388:AB1893,"*")</f>
        <v>5759.9999999998217</v>
      </c>
      <c r="BV1892" s="343">
        <f>SUMIFS($AU$1388:AU1893,$AA$1388:AA1893,"*",$AC$1388:AC1893,"*")</f>
        <v>14324.400000000001</v>
      </c>
      <c r="BW1892" s="343">
        <f>SUMIFS($AU$1388:AU1893,$AB$1388:AB1893,"*",$AC$1388:AC1893,"*")</f>
        <v>5839.9999999999982</v>
      </c>
      <c r="BX1892" s="343">
        <f>SUMIFS($AV$1388:AV1893,$Q$1388:Q1893,"F")</f>
        <v>332.42896099070009</v>
      </c>
      <c r="BY1892" s="343">
        <f>SUMIFS($AV$1388:AV1893,$Q$1388:Q1893,"S")</f>
        <v>488.81638392253404</v>
      </c>
      <c r="BZ1892" s="343">
        <f>SUMIFS($AV$1388:AV1893,$Q$1388:Q1893,"O")</f>
        <v>897.63999999983673</v>
      </c>
    </row>
    <row r="1893" spans="1:78" ht="15.75" customHeight="1">
      <c r="A1893" s="177" t="s">
        <v>5851</v>
      </c>
      <c r="B1893" s="200">
        <v>45407</v>
      </c>
      <c r="C1893" s="178" t="s">
        <v>682</v>
      </c>
      <c r="D1893" s="178" t="s">
        <v>93</v>
      </c>
      <c r="E1893" s="227"/>
      <c r="F1893" s="180"/>
      <c r="G1893" s="490" t="s">
        <v>2807</v>
      </c>
      <c r="H1893" s="182"/>
      <c r="I1893" s="182"/>
      <c r="J1893" s="182"/>
      <c r="K1893" s="183"/>
      <c r="L1893" s="182">
        <v>3</v>
      </c>
      <c r="M1893" s="182">
        <v>3</v>
      </c>
      <c r="N1893" s="182"/>
      <c r="O1893" s="183" t="s">
        <v>95</v>
      </c>
      <c r="P1893" s="183" t="s">
        <v>96</v>
      </c>
      <c r="Q1893" s="183" t="s">
        <v>256</v>
      </c>
      <c r="R1893" s="183">
        <v>30</v>
      </c>
      <c r="S1893" s="559">
        <v>20</v>
      </c>
      <c r="T1893" s="183">
        <v>70</v>
      </c>
      <c r="U1893" s="183" t="s">
        <v>22</v>
      </c>
      <c r="V1893" s="183"/>
      <c r="W1893" s="183"/>
      <c r="X1893" s="183"/>
      <c r="Y1893" s="184">
        <f>IF(ISBLANK(O1893),"",(IF(O1893=UPPER("IB"),0.005,0.01)))</f>
        <v>0.01</v>
      </c>
      <c r="Z1893" s="185">
        <f>IF(ISBLANK(O1893),"",IF(O1893="IB",8.63*200,IF(O1893="IR",16*100,IF(O1893="YT",20*100,IF(O1893="YT-XT",24*200,IF(O1893="TED",80*100,IF(O1893="XT",29*200)))))))</f>
        <v>1600</v>
      </c>
      <c r="AA1893" s="185"/>
      <c r="AB1893" s="185" t="s">
        <v>6230</v>
      </c>
      <c r="AC1893" s="185" t="s">
        <v>6231</v>
      </c>
      <c r="AD1893" s="649">
        <v>0.03</v>
      </c>
      <c r="AE1893" s="182"/>
      <c r="AF1893" s="332"/>
      <c r="AG1893" s="182"/>
      <c r="AH1893" s="182"/>
      <c r="AI1893" s="182"/>
      <c r="AJ1893" s="640"/>
      <c r="AK1893" s="182"/>
      <c r="AL1893" s="496">
        <f t="shared" si="609"/>
        <v>-32</v>
      </c>
      <c r="AM1893" s="496">
        <f t="shared" si="621"/>
        <v>-320</v>
      </c>
      <c r="AN1893" s="626"/>
      <c r="AO1893" s="182"/>
      <c r="AP1893" s="182"/>
      <c r="AQ1893" s="332" t="s">
        <v>115</v>
      </c>
      <c r="AR1893" s="182"/>
      <c r="AS1893" s="189">
        <f>(0.05*5+0.06*15+0.05*10)/30</f>
        <v>5.5E-2</v>
      </c>
      <c r="AT1893" s="189">
        <f>IF(ISBLANK(AS1893),,IF(U1893="S",AD1893-AS1893,AS1893-AD1893))</f>
        <v>2.5000000000000001E-2</v>
      </c>
      <c r="AU1893" s="187">
        <f>AV1893*R1893</f>
        <v>1200</v>
      </c>
      <c r="AV1893" s="190">
        <f t="shared" ref="AV1893" si="622">IF(ISBLANK(AS1893),,(AT1893*Z1893))</f>
        <v>40</v>
      </c>
      <c r="AW1893" s="191" t="s">
        <v>96</v>
      </c>
      <c r="AX1893" s="551" t="s">
        <v>6232</v>
      </c>
      <c r="AY1893" s="551" t="s">
        <v>6233</v>
      </c>
      <c r="AZ1893" s="551" t="s">
        <v>6234</v>
      </c>
      <c r="BA1893" s="551" t="s">
        <v>6235</v>
      </c>
      <c r="BB1893" s="551" t="s">
        <v>6236</v>
      </c>
      <c r="BC1893" s="551" t="s">
        <v>6237</v>
      </c>
      <c r="BD1893" s="549"/>
      <c r="BE1893" s="550"/>
      <c r="BF1893" s="549"/>
      <c r="BG1893" s="391">
        <f>SUM($AV$1389:AV1893)</f>
        <v>3966.8853449130761</v>
      </c>
      <c r="BH1893" s="392">
        <f>SUM($AU$1389:AU1893)</f>
        <v>35244.837142856763</v>
      </c>
      <c r="BI1893" s="318">
        <f>SUMIFS($AU$1388:AU1894,$Q$1388:Q1894,"F")</f>
        <v>18827.257142857143</v>
      </c>
      <c r="BJ1893" s="318">
        <f>SUMIFS($AU$1388:AU1894,$Q$1388:Q1894,"S")</f>
        <v>11439.999999999996</v>
      </c>
      <c r="BK1893" s="343">
        <f>SUMIFS($AU$1388:AU1894,$P$1388:P1894,"W")</f>
        <v>23316.437142857485</v>
      </c>
      <c r="BL1893" s="343">
        <f>SUMIFS($AU$1388:AU1894,$P$1388:P1894,"R")</f>
        <v>9497.9999999998618</v>
      </c>
      <c r="BM1893" s="343">
        <f>SUMIFS($AU$1388:AU1894,$AQ$1388:AQ1894,"M")</f>
        <v>9254.3799999993262</v>
      </c>
      <c r="BN1893" s="343">
        <f>SUMIFS($AU$1388:AU1894,$AQ$1388:AQ1894,"H")</f>
        <v>7059.2000000002827</v>
      </c>
      <c r="BO1893" s="343">
        <f>SUMIFS($AU$1388:AU1894,$AQ$1388:AQ1894,"D")</f>
        <v>7532.8571428571395</v>
      </c>
      <c r="BP1893" s="343">
        <f>SUMIFS($AS$1388:AS2665,$AO$1388:AO2665,"W")</f>
        <v>0</v>
      </c>
      <c r="BQ1893" s="343">
        <f>SUMIFS($AU$1388:AU1894,$Q$1388:Q1894,"O")</f>
        <v>3253.5799999996261</v>
      </c>
      <c r="BR1893" s="343">
        <f>SUMIFS($AU$1388:AU1894,$AA$1388:AA1894,"*")</f>
        <v>30526.799999999505</v>
      </c>
      <c r="BS1893" s="343">
        <f>SUMIFS($AU$1388:AU1894,$AB$1388:AB1894,"*")</f>
        <v>10855.179999999931</v>
      </c>
      <c r="BT1893" s="343">
        <f>SUMIFS($AU$1388:AU1894,$AC$1388:AC1894,"*")</f>
        <v>16507.257142857139</v>
      </c>
      <c r="BU1893" s="343">
        <f>SUMIFS($AU$1388:AU1894,$AA$1388:AA1894,"*",$AB$1388:AB1894,"*")</f>
        <v>5759.9999999998217</v>
      </c>
      <c r="BV1893" s="343">
        <f>SUMIFS($AU$1388:AU1894,$AA$1388:AA1894,"*",$AC$1388:AC1894,"*")</f>
        <v>14324.400000000001</v>
      </c>
      <c r="BW1893" s="343">
        <f>SUMIFS($AU$1388:AU1894,$AB$1388:AB1894,"*",$AC$1388:AC1894,"*")</f>
        <v>5839.9999999999982</v>
      </c>
      <c r="BX1893" s="343">
        <f>SUMIFS($AV$1388:AV1894,$Q$1388:Q1894,"F")</f>
        <v>332.42896099070009</v>
      </c>
      <c r="BY1893" s="343">
        <f>SUMIFS($AV$1388:AV1894,$Q$1388:Q1894,"S")</f>
        <v>488.81638392253404</v>
      </c>
      <c r="BZ1893" s="343">
        <f>SUMIFS($AV$1388:AV1894,$Q$1388:Q1894,"O")</f>
        <v>897.63999999983673</v>
      </c>
    </row>
    <row r="1894" spans="1:78" ht="15.75" customHeight="1">
      <c r="A1894" s="177" t="s">
        <v>5851</v>
      </c>
      <c r="B1894" s="200">
        <v>45407</v>
      </c>
      <c r="C1894" s="178" t="s">
        <v>1728</v>
      </c>
      <c r="D1894" s="178" t="s">
        <v>93</v>
      </c>
      <c r="E1894" s="227" t="s">
        <v>6238</v>
      </c>
      <c r="F1894" s="180"/>
      <c r="G1894" s="181"/>
      <c r="H1894" s="182">
        <v>1</v>
      </c>
      <c r="I1894" s="182"/>
      <c r="J1894" s="182"/>
      <c r="K1894" s="183" t="s">
        <v>372</v>
      </c>
      <c r="L1894" s="182"/>
      <c r="M1894" s="182"/>
      <c r="N1894" s="182"/>
      <c r="O1894" s="183"/>
      <c r="P1894" s="183"/>
      <c r="Q1894" s="183"/>
      <c r="R1894" s="183"/>
      <c r="S1894" s="183"/>
      <c r="T1894" s="183"/>
      <c r="U1894" s="183"/>
      <c r="V1894" s="183"/>
      <c r="W1894" s="183"/>
      <c r="X1894" s="183"/>
      <c r="Y1894" s="183"/>
      <c r="Z1894" s="183"/>
      <c r="AA1894" s="185"/>
      <c r="AB1894" s="185"/>
      <c r="AC1894" s="185"/>
      <c r="AD1894" s="649"/>
      <c r="AE1894" s="182"/>
      <c r="AF1894" s="332"/>
      <c r="AG1894" s="182"/>
      <c r="AH1894" s="182"/>
      <c r="AI1894" s="182"/>
      <c r="AJ1894" s="640"/>
      <c r="AK1894" s="182"/>
      <c r="AL1894" s="496">
        <f t="shared" si="609"/>
        <v>0</v>
      </c>
      <c r="AM1894" s="496">
        <f t="shared" si="621"/>
        <v>0</v>
      </c>
      <c r="AN1894" s="626"/>
      <c r="AO1894" s="182"/>
      <c r="AP1894" s="182"/>
      <c r="AQ1894" s="332" t="str">
        <f>UPPER(RIGHT(Journal_Live[[#This Row],[DURATION ]]))</f>
        <v/>
      </c>
      <c r="AR1894" s="182"/>
      <c r="AS1894" s="189"/>
      <c r="AT1894" s="189"/>
      <c r="AU1894" s="187"/>
      <c r="AV1894" s="190"/>
      <c r="AW1894" s="191"/>
      <c r="AX1894" s="551"/>
      <c r="AY1894" s="551"/>
      <c r="AZ1894" s="551"/>
      <c r="BA1894" s="551"/>
      <c r="BB1894" s="551"/>
      <c r="BC1894" s="551"/>
      <c r="BD1894" s="549"/>
      <c r="BE1894" s="550"/>
      <c r="BF1894" s="549"/>
      <c r="BG1894" s="391">
        <f>SUM($AV$1389:AV1894)</f>
        <v>3966.8853449130761</v>
      </c>
      <c r="BH1894" s="392">
        <f>SUM($AU$1389:AU1894)</f>
        <v>35244.837142856763</v>
      </c>
      <c r="BI1894" s="318">
        <f>SUMIFS($AU$1388:AU1895,$Q$1388:Q1895,"F")</f>
        <v>18827.257142857143</v>
      </c>
      <c r="BJ1894" s="318">
        <f>SUMIFS($AU$1388:AU1895,$Q$1388:Q1895,"S")</f>
        <v>11759.999999999996</v>
      </c>
      <c r="BK1894" s="343">
        <f>SUMIFS($AU$1388:AU1895,$P$1388:P1895,"W")</f>
        <v>23636.437142857485</v>
      </c>
      <c r="BL1894" s="343">
        <f>SUMIFS($AU$1388:AU1895,$P$1388:P1895,"R")</f>
        <v>9497.9999999998618</v>
      </c>
      <c r="BM1894" s="343">
        <f>SUMIFS($AU$1388:AU1895,$AQ$1388:AQ1895,"M")</f>
        <v>9254.3799999993262</v>
      </c>
      <c r="BN1894" s="343">
        <f>SUMIFS($AU$1388:AU1895,$AQ$1388:AQ1895,"H")</f>
        <v>7379.2000000002827</v>
      </c>
      <c r="BO1894" s="343">
        <f>SUMIFS($AU$1388:AU1895,$AQ$1388:AQ1895,"D")</f>
        <v>7532.8571428571395</v>
      </c>
      <c r="BP1894" s="343">
        <f>SUMIFS($AS$1388:AS2666,$AO$1388:AO2666,"W")</f>
        <v>0</v>
      </c>
      <c r="BQ1894" s="343">
        <f>SUMIFS($AU$1388:AU1895,$Q$1388:Q1895,"O")</f>
        <v>3253.5799999996261</v>
      </c>
      <c r="BR1894" s="343">
        <f>SUMIFS($AU$1388:AU1895,$AA$1388:AA1895,"*")</f>
        <v>30846.799999999505</v>
      </c>
      <c r="BS1894" s="343">
        <f>SUMIFS($AU$1388:AU1895,$AB$1388:AB1895,"*")</f>
        <v>10855.179999999931</v>
      </c>
      <c r="BT1894" s="343">
        <f>SUMIFS($AU$1388:AU1895,$AC$1388:AC1895,"*")</f>
        <v>16507.257142857139</v>
      </c>
      <c r="BU1894" s="343">
        <f>SUMIFS($AU$1388:AU1895,$AA$1388:AA1895,"*",$AB$1388:AB1895,"*")</f>
        <v>5759.9999999998217</v>
      </c>
      <c r="BV1894" s="343">
        <f>SUMIFS($AU$1388:AU1895,$AA$1388:AA1895,"*",$AC$1388:AC1895,"*")</f>
        <v>14324.400000000001</v>
      </c>
      <c r="BW1894" s="343">
        <f>SUMIFS($AU$1388:AU1895,$AB$1388:AB1895,"*",$AC$1388:AC1895,"*")</f>
        <v>5839.9999999999982</v>
      </c>
      <c r="BX1894" s="343">
        <f>SUMIFS($AV$1388:AV1895,$Q$1388:Q1895,"F")</f>
        <v>332.42896099070009</v>
      </c>
      <c r="BY1894" s="343">
        <f>SUMIFS($AV$1388:AV1895,$Q$1388:Q1895,"S")</f>
        <v>504.81638392253404</v>
      </c>
      <c r="BZ1894" s="343">
        <f>SUMIFS($AV$1388:AV1895,$Q$1388:Q1895,"O")</f>
        <v>897.63999999983673</v>
      </c>
    </row>
    <row r="1895" spans="1:78" ht="15.75" customHeight="1">
      <c r="A1895" s="177" t="s">
        <v>5851</v>
      </c>
      <c r="B1895" s="200">
        <v>45407</v>
      </c>
      <c r="C1895" s="178" t="s">
        <v>682</v>
      </c>
      <c r="D1895" s="178" t="s">
        <v>93</v>
      </c>
      <c r="E1895" s="227"/>
      <c r="F1895" s="180"/>
      <c r="G1895" s="484" t="s">
        <v>2942</v>
      </c>
      <c r="H1895" s="182"/>
      <c r="I1895" s="182"/>
      <c r="J1895" s="182"/>
      <c r="K1895" s="183"/>
      <c r="L1895" s="182">
        <v>2</v>
      </c>
      <c r="M1895" s="182">
        <v>2</v>
      </c>
      <c r="N1895" s="182"/>
      <c r="O1895" s="183" t="s">
        <v>95</v>
      </c>
      <c r="P1895" s="183" t="s">
        <v>96</v>
      </c>
      <c r="Q1895" s="183" t="s">
        <v>97</v>
      </c>
      <c r="R1895" s="183">
        <v>20</v>
      </c>
      <c r="S1895" s="559">
        <v>0</v>
      </c>
      <c r="T1895" s="183">
        <v>20</v>
      </c>
      <c r="U1895" s="183" t="s">
        <v>97</v>
      </c>
      <c r="V1895" s="183"/>
      <c r="W1895" s="183"/>
      <c r="X1895" s="183"/>
      <c r="Y1895" s="184">
        <f t="shared" ref="Y1895:Y1901" si="623">IF(ISBLANK(O1895),"",(IF(O1895=UPPER("IB"),0.005,0.01)))</f>
        <v>0.01</v>
      </c>
      <c r="Z1895" s="185">
        <f>IF(ISBLANK(O1895),"",IF(O1895="IB",8.63*200,IF(O1895="IR",16*100,IF(O1895="YT",20*100,IF(O1895="YT-XT",24*200,IF(O1895="TED",80*100,IF(O1895="XT",29*200)))))))</f>
        <v>1600</v>
      </c>
      <c r="AA1895" s="185" t="s">
        <v>6239</v>
      </c>
      <c r="AB1895" s="185"/>
      <c r="AC1895" s="185"/>
      <c r="AD1895" s="649">
        <v>-7.0000000000000007E-2</v>
      </c>
      <c r="AE1895" s="182"/>
      <c r="AF1895" s="332"/>
      <c r="AG1895" s="182"/>
      <c r="AH1895" s="182"/>
      <c r="AI1895" s="182"/>
      <c r="AJ1895" s="640"/>
      <c r="AK1895" s="182"/>
      <c r="AL1895" s="496">
        <f t="shared" si="609"/>
        <v>-32</v>
      </c>
      <c r="AM1895" s="496">
        <f t="shared" si="621"/>
        <v>-640</v>
      </c>
      <c r="AN1895" s="626"/>
      <c r="AO1895" s="182"/>
      <c r="AP1895" s="182"/>
      <c r="AQ1895" s="332" t="s">
        <v>372</v>
      </c>
      <c r="AR1895" s="182"/>
      <c r="AS1895" s="189">
        <v>-0.08</v>
      </c>
      <c r="AT1895" s="189">
        <f t="shared" ref="AT1895:AT1901" si="624">IF(ISBLANK(AS1895),,IF(U1895="S",AD1895-AS1895,AS1895-AD1895))</f>
        <v>9.999999999999995E-3</v>
      </c>
      <c r="AU1895" s="187">
        <f t="shared" ref="AU1895:AU1901" si="625">AV1895*R1895</f>
        <v>319.99999999999989</v>
      </c>
      <c r="AV1895" s="190">
        <f t="shared" ref="AV1895" si="626">IF(ISBLANK(AS1895),,(AT1895*Z1895))</f>
        <v>15.999999999999993</v>
      </c>
      <c r="AW1895" s="191" t="s">
        <v>96</v>
      </c>
      <c r="AX1895" s="551"/>
      <c r="AY1895" s="551"/>
      <c r="AZ1895" s="551"/>
      <c r="BA1895" s="551"/>
      <c r="BB1895" s="551"/>
      <c r="BC1895" s="551"/>
      <c r="BD1895" s="549"/>
      <c r="BE1895" s="550"/>
      <c r="BF1895" s="549"/>
      <c r="BG1895" s="391">
        <f>SUM($AV$1389:AV1895)</f>
        <v>3982.8853449130761</v>
      </c>
      <c r="BH1895" s="392">
        <f>SUM($AU$1389:AU1895)</f>
        <v>35564.837142856763</v>
      </c>
      <c r="BI1895" s="318">
        <f>SUMIFS($AU$1388:AU1896,$Q$1388:Q1896,"F")</f>
        <v>18827.257142857143</v>
      </c>
      <c r="BJ1895" s="318">
        <f>SUMIFS($AU$1388:AU1896,$Q$1388:Q1896,"S")</f>
        <v>11759.999999999996</v>
      </c>
      <c r="BK1895" s="343">
        <f>SUMIFS($AU$1388:AU1896,$P$1388:P1896,"W")</f>
        <v>23636.437142857485</v>
      </c>
      <c r="BL1895" s="343">
        <f>SUMIFS($AU$1388:AU1896,$P$1388:P1896,"R")</f>
        <v>9497.9999999998618</v>
      </c>
      <c r="BM1895" s="343">
        <f>SUMIFS($AU$1388:AU1896,$AQ$1388:AQ1896,"M")</f>
        <v>9254.3799999993262</v>
      </c>
      <c r="BN1895" s="343">
        <f>SUMIFS($AU$1388:AU1896,$AQ$1388:AQ1896,"H")</f>
        <v>7379.2000000002827</v>
      </c>
      <c r="BO1895" s="343">
        <f>SUMIFS($AU$1388:AU1896,$AQ$1388:AQ1896,"D")</f>
        <v>7532.8571428571395</v>
      </c>
      <c r="BP1895" s="343">
        <f>SUMIFS($AS$1388:AS2667,$AO$1388:AO2667,"W")</f>
        <v>0</v>
      </c>
      <c r="BQ1895" s="343">
        <f>SUMIFS($AU$1388:AU1896,$Q$1388:Q1896,"O")</f>
        <v>3253.5799999996261</v>
      </c>
      <c r="BR1895" s="343">
        <f>SUMIFS($AU$1388:AU1896,$AA$1388:AA1896,"*")</f>
        <v>30846.799999999505</v>
      </c>
      <c r="BS1895" s="343">
        <f>SUMIFS($AU$1388:AU1896,$AB$1388:AB1896,"*")</f>
        <v>10855.179999999931</v>
      </c>
      <c r="BT1895" s="343">
        <f>SUMIFS($AU$1388:AU1896,$AC$1388:AC1896,"*")</f>
        <v>16507.257142857139</v>
      </c>
      <c r="BU1895" s="343">
        <f>SUMIFS($AU$1388:AU1896,$AA$1388:AA1896,"*",$AB$1388:AB1896,"*")</f>
        <v>5759.9999999998217</v>
      </c>
      <c r="BV1895" s="343">
        <f>SUMIFS($AU$1388:AU1896,$AA$1388:AA1896,"*",$AC$1388:AC1896,"*")</f>
        <v>14324.400000000001</v>
      </c>
      <c r="BW1895" s="343">
        <f>SUMIFS($AU$1388:AU1896,$AB$1388:AB1896,"*",$AC$1388:AC1896,"*")</f>
        <v>5839.9999999999982</v>
      </c>
      <c r="BX1895" s="343">
        <f>SUMIFS($AV$1388:AV1896,$Q$1388:Q1896,"F")</f>
        <v>332.42896099070009</v>
      </c>
      <c r="BY1895" s="343">
        <f>SUMIFS($AV$1388:AV1896,$Q$1388:Q1896,"S")</f>
        <v>504.81638392253404</v>
      </c>
      <c r="BZ1895" s="343">
        <f>SUMIFS($AV$1388:AV1896,$Q$1388:Q1896,"O")</f>
        <v>897.63999999983673</v>
      </c>
    </row>
    <row r="1896" spans="1:78" ht="15.75" customHeight="1">
      <c r="A1896" s="177" t="s">
        <v>5851</v>
      </c>
      <c r="B1896" s="200">
        <v>45408</v>
      </c>
      <c r="C1896" s="178" t="s">
        <v>3374</v>
      </c>
      <c r="D1896" s="178" t="s">
        <v>111</v>
      </c>
      <c r="E1896" s="227"/>
      <c r="F1896" s="180"/>
      <c r="G1896" s="484" t="s">
        <v>136</v>
      </c>
      <c r="H1896" s="182"/>
      <c r="I1896" s="182"/>
      <c r="J1896" s="182"/>
      <c r="K1896" s="183"/>
      <c r="L1896" s="182"/>
      <c r="M1896" s="182">
        <v>2</v>
      </c>
      <c r="N1896" s="182"/>
      <c r="O1896" s="183" t="s">
        <v>95</v>
      </c>
      <c r="P1896" s="183" t="s">
        <v>96</v>
      </c>
      <c r="Q1896" s="183" t="s">
        <v>97</v>
      </c>
      <c r="R1896" s="183">
        <v>60</v>
      </c>
      <c r="S1896" s="559">
        <v>0</v>
      </c>
      <c r="T1896" s="183">
        <v>60</v>
      </c>
      <c r="U1896" s="183" t="s">
        <v>97</v>
      </c>
      <c r="V1896" s="183"/>
      <c r="W1896" s="183"/>
      <c r="X1896" s="183"/>
      <c r="Y1896" s="184">
        <f t="shared" si="623"/>
        <v>0.01</v>
      </c>
      <c r="Z1896" s="185">
        <f>IF(ISBLANK(O1896),"",IF(O1896="IB",8.63*200,IF(O1896="IR",16*100,IF(O1896="YT",20*100,IF(O1896="YT-XT",24*200,IF(O1896="TED",80*100,IF(O1896="XT",29*200)))))))</f>
        <v>1600</v>
      </c>
      <c r="AA1896" s="185" t="s">
        <v>3801</v>
      </c>
      <c r="AB1896" s="185"/>
      <c r="AC1896" s="185"/>
      <c r="AD1896" s="649">
        <v>-0.12</v>
      </c>
      <c r="AE1896" s="182"/>
      <c r="AF1896" s="332"/>
      <c r="AG1896" s="182"/>
      <c r="AH1896" s="182"/>
      <c r="AI1896" s="182"/>
      <c r="AJ1896" s="640"/>
      <c r="AK1896" s="182"/>
      <c r="AL1896" s="496">
        <f t="shared" ref="AL1896:AL1913" si="627">-0.02*Z1896</f>
        <v>-32</v>
      </c>
      <c r="AM1896" s="496">
        <f t="shared" si="621"/>
        <v>-1920</v>
      </c>
      <c r="AN1896" s="626"/>
      <c r="AO1896" s="182"/>
      <c r="AP1896" s="182"/>
      <c r="AQ1896" s="332" t="str">
        <f>UPPER(RIGHT(Journal_Live[[#This Row],[DURATION ]]))</f>
        <v/>
      </c>
      <c r="AR1896" s="182"/>
      <c r="AS1896" s="189">
        <v>-0.12</v>
      </c>
      <c r="AT1896" s="189">
        <f t="shared" si="624"/>
        <v>0</v>
      </c>
      <c r="AU1896" s="187">
        <f t="shared" si="625"/>
        <v>0</v>
      </c>
      <c r="AV1896" s="190">
        <f t="shared" ref="AV1896" si="628">IF(ISBLANK(AS1896),,(AT1896*Z1896))</f>
        <v>0</v>
      </c>
      <c r="AW1896" s="191" t="s">
        <v>115</v>
      </c>
      <c r="AX1896" s="551"/>
      <c r="AY1896" s="551"/>
      <c r="AZ1896" s="551"/>
      <c r="BA1896" s="551"/>
      <c r="BB1896" s="551"/>
      <c r="BC1896" s="551"/>
      <c r="BD1896" s="549"/>
      <c r="BE1896" s="550"/>
      <c r="BF1896" s="549"/>
      <c r="BG1896" s="391">
        <f>SUM($AV$1389:AV1896)</f>
        <v>3982.8853449130761</v>
      </c>
      <c r="BH1896" s="392">
        <f>SUM($AU$1389:AU1896)</f>
        <v>35564.837142856763</v>
      </c>
      <c r="BI1896" s="318">
        <f>SUMIFS($AU$1388:AU1897,$Q$1388:Q1897,"F")</f>
        <v>18827.257142857143</v>
      </c>
      <c r="BJ1896" s="318">
        <f>SUMIFS($AU$1388:AU1897,$Q$1388:Q1897,"S")</f>
        <v>11759.999999999996</v>
      </c>
      <c r="BK1896" s="343">
        <f>SUMIFS($AU$1388:AU1897,$P$1388:P1897,"W")</f>
        <v>23636.437142857485</v>
      </c>
      <c r="BL1896" s="343">
        <f>SUMIFS($AU$1388:AU1897,$P$1388:P1897,"R")</f>
        <v>9197.9999999998618</v>
      </c>
      <c r="BM1896" s="343">
        <f>SUMIFS($AU$1388:AU1897,$AQ$1388:AQ1897,"M")</f>
        <v>9254.3799999993262</v>
      </c>
      <c r="BN1896" s="343">
        <f>SUMIFS($AU$1388:AU1897,$AQ$1388:AQ1897,"H")</f>
        <v>7079.2000000002827</v>
      </c>
      <c r="BO1896" s="343">
        <f>SUMIFS($AU$1388:AU1897,$AQ$1388:AQ1897,"D")</f>
        <v>7532.8571428571395</v>
      </c>
      <c r="BP1896" s="343">
        <f>SUMIFS($AS$1388:AS2668,$AO$1388:AO2668,"W")</f>
        <v>0</v>
      </c>
      <c r="BQ1896" s="343">
        <f>SUMIFS($AU$1388:AU1897,$Q$1388:Q1897,"O")</f>
        <v>3253.5799999996261</v>
      </c>
      <c r="BR1896" s="343">
        <f>SUMIFS($AU$1388:AU1897,$AA$1388:AA1897,"*")</f>
        <v>30546.799999999505</v>
      </c>
      <c r="BS1896" s="343">
        <f>SUMIFS($AU$1388:AU1897,$AB$1388:AB1897,"*")</f>
        <v>10855.179999999931</v>
      </c>
      <c r="BT1896" s="343">
        <f>SUMIFS($AU$1388:AU1897,$AC$1388:AC1897,"*")</f>
        <v>16507.257142857139</v>
      </c>
      <c r="BU1896" s="343">
        <f>SUMIFS($AU$1388:AU1897,$AA$1388:AA1897,"*",$AB$1388:AB1897,"*")</f>
        <v>5759.9999999998217</v>
      </c>
      <c r="BV1896" s="343">
        <f>SUMIFS($AU$1388:AU1897,$AA$1388:AA1897,"*",$AC$1388:AC1897,"*")</f>
        <v>14324.400000000001</v>
      </c>
      <c r="BW1896" s="343">
        <f>SUMIFS($AU$1388:AU1897,$AB$1388:AB1897,"*",$AC$1388:AC1897,"*")</f>
        <v>5839.9999999999982</v>
      </c>
      <c r="BX1896" s="343">
        <f>SUMIFS($AV$1388:AV1897,$Q$1388:Q1897,"F")</f>
        <v>332.42896099070009</v>
      </c>
      <c r="BY1896" s="343">
        <f>SUMIFS($AV$1388:AV1897,$Q$1388:Q1897,"S")</f>
        <v>504.81638392253404</v>
      </c>
      <c r="BZ1896" s="343">
        <f>SUMIFS($AV$1388:AV1897,$Q$1388:Q1897,"O")</f>
        <v>897.63999999983673</v>
      </c>
    </row>
    <row r="1897" spans="1:78" ht="15.75" customHeight="1">
      <c r="A1897" s="177" t="s">
        <v>5851</v>
      </c>
      <c r="B1897" s="200">
        <v>45408</v>
      </c>
      <c r="C1897" s="178" t="s">
        <v>3374</v>
      </c>
      <c r="D1897" s="178" t="s">
        <v>111</v>
      </c>
      <c r="E1897" s="227"/>
      <c r="F1897" s="180"/>
      <c r="G1897" s="561" t="s">
        <v>6240</v>
      </c>
      <c r="H1897" s="182"/>
      <c r="I1897" s="182"/>
      <c r="J1897" s="182"/>
      <c r="K1897" s="183"/>
      <c r="L1897" s="182"/>
      <c r="M1897" s="182">
        <v>1</v>
      </c>
      <c r="N1897" s="182"/>
      <c r="O1897" s="183" t="s">
        <v>5325</v>
      </c>
      <c r="P1897" s="183" t="s">
        <v>137</v>
      </c>
      <c r="Q1897" s="183"/>
      <c r="R1897" s="183">
        <v>1</v>
      </c>
      <c r="S1897" s="183">
        <v>0</v>
      </c>
      <c r="T1897" s="183">
        <v>1</v>
      </c>
      <c r="U1897" s="183" t="s">
        <v>22</v>
      </c>
      <c r="V1897" s="183"/>
      <c r="W1897" s="183"/>
      <c r="X1897" s="183"/>
      <c r="Y1897" s="184">
        <f t="shared" si="623"/>
        <v>0.01</v>
      </c>
      <c r="Z1897" s="185">
        <f>IF(ISBLANK(O1897),"",IF(O1897="IB",8.63*200,IF(O1897="IR",16*100,IF(O1897="YT",20*100,IF(O1897="YT-XT",24*200,IF(O1897="TED",80*100,IF(O1897="IR|YT",300*100)))))))</f>
        <v>30000</v>
      </c>
      <c r="AA1897" s="185" t="s">
        <v>99</v>
      </c>
      <c r="AB1897" s="185"/>
      <c r="AC1897" s="185"/>
      <c r="AD1897" s="649">
        <v>-0.32</v>
      </c>
      <c r="AE1897" s="182"/>
      <c r="AF1897" s="332"/>
      <c r="AG1897" s="182"/>
      <c r="AH1897" s="182"/>
      <c r="AI1897" s="182"/>
      <c r="AJ1897" s="640"/>
      <c r="AK1897" s="182"/>
      <c r="AL1897" s="496">
        <f t="shared" si="627"/>
        <v>-600</v>
      </c>
      <c r="AM1897" s="496">
        <f t="shared" si="621"/>
        <v>-600</v>
      </c>
      <c r="AN1897" s="626"/>
      <c r="AO1897" s="182"/>
      <c r="AP1897" s="182"/>
      <c r="AQ1897" s="332" t="s">
        <v>372</v>
      </c>
      <c r="AR1897" s="182"/>
      <c r="AS1897" s="189">
        <v>-0.33</v>
      </c>
      <c r="AT1897" s="189">
        <f t="shared" si="624"/>
        <v>-1.0000000000000009E-2</v>
      </c>
      <c r="AU1897" s="187">
        <f t="shared" si="625"/>
        <v>-300.00000000000028</v>
      </c>
      <c r="AV1897" s="190">
        <f t="shared" ref="AV1897:AV1899" si="629">IF(ISBLANK(AS1897),,(AT1897*Z1897))</f>
        <v>-300.00000000000028</v>
      </c>
      <c r="AW1897" s="191" t="s">
        <v>229</v>
      </c>
      <c r="AX1897" s="551" t="s">
        <v>6241</v>
      </c>
      <c r="AY1897" s="551" t="s">
        <v>6242</v>
      </c>
      <c r="AZ1897" s="551"/>
      <c r="BA1897" s="551"/>
      <c r="BB1897" s="551"/>
      <c r="BC1897" s="551"/>
      <c r="BD1897" s="549"/>
      <c r="BE1897" s="550"/>
      <c r="BF1897" s="549"/>
      <c r="BG1897" s="391">
        <f>SUM($AV$1389:AV1897)</f>
        <v>3682.8853449130756</v>
      </c>
      <c r="BH1897" s="392">
        <f>SUM($AU$1389:AU1897)</f>
        <v>35264.837142856763</v>
      </c>
      <c r="BI1897" s="318">
        <f>SUMIFS($AU$1388:AU1898,$Q$1388:Q1898,"F")</f>
        <v>18827.257142857143</v>
      </c>
      <c r="BJ1897" s="318">
        <f>SUMIFS($AU$1388:AU1898,$Q$1388:Q1898,"S")</f>
        <v>11759.999999999996</v>
      </c>
      <c r="BK1897" s="343">
        <f>SUMIFS($AU$1388:AU1898,$P$1388:P1898,"W")</f>
        <v>23636.437142857485</v>
      </c>
      <c r="BL1897" s="343">
        <f>SUMIFS($AU$1388:AU1898,$P$1388:P1898,"R")</f>
        <v>9197.9999999998618</v>
      </c>
      <c r="BM1897" s="343">
        <f>SUMIFS($AU$1388:AU1898,$AQ$1388:AQ1898,"M")</f>
        <v>9254.3799999993262</v>
      </c>
      <c r="BN1897" s="343">
        <f>SUMIFS($AU$1388:AU1898,$AQ$1388:AQ1898,"H")</f>
        <v>7079.2000000002827</v>
      </c>
      <c r="BO1897" s="343">
        <f>SUMIFS($AU$1388:AU1898,$AQ$1388:AQ1898,"D")</f>
        <v>7532.8571428571395</v>
      </c>
      <c r="BP1897" s="343">
        <f>SUMIFS($AS$1388:AS2669,$AO$1388:AO2669,"W")</f>
        <v>0</v>
      </c>
      <c r="BQ1897" s="343">
        <f>SUMIFS($AU$1388:AU1898,$Q$1388:Q1898,"O")</f>
        <v>3253.5799999996261</v>
      </c>
      <c r="BR1897" s="343">
        <f>SUMIFS($AU$1388:AU1898,$AA$1388:AA1898,"*")</f>
        <v>30546.799999999505</v>
      </c>
      <c r="BS1897" s="343">
        <f>SUMIFS($AU$1388:AU1898,$AB$1388:AB1898,"*")</f>
        <v>10855.179999999931</v>
      </c>
      <c r="BT1897" s="343">
        <f>SUMIFS($AU$1388:AU1898,$AC$1388:AC1898,"*")</f>
        <v>16507.257142857139</v>
      </c>
      <c r="BU1897" s="343">
        <f>SUMIFS($AU$1388:AU1898,$AA$1388:AA1898,"*",$AB$1388:AB1898,"*")</f>
        <v>5759.9999999998217</v>
      </c>
      <c r="BV1897" s="343">
        <f>SUMIFS($AU$1388:AU1898,$AA$1388:AA1898,"*",$AC$1388:AC1898,"*")</f>
        <v>14324.400000000001</v>
      </c>
      <c r="BW1897" s="343">
        <f>SUMIFS($AU$1388:AU1898,$AB$1388:AB1898,"*",$AC$1388:AC1898,"*")</f>
        <v>5839.9999999999982</v>
      </c>
      <c r="BX1897" s="343">
        <f>SUMIFS($AV$1388:AV1898,$Q$1388:Q1898,"F")</f>
        <v>332.42896099070009</v>
      </c>
      <c r="BY1897" s="343">
        <f>SUMIFS($AV$1388:AV1898,$Q$1388:Q1898,"S")</f>
        <v>504.81638392253404</v>
      </c>
      <c r="BZ1897" s="343">
        <f>SUMIFS($AV$1388:AV1898,$Q$1388:Q1898,"O")</f>
        <v>897.63999999983673</v>
      </c>
    </row>
    <row r="1898" spans="1:78" ht="15.75" customHeight="1">
      <c r="A1898" s="177" t="s">
        <v>5851</v>
      </c>
      <c r="B1898" s="200">
        <v>45408</v>
      </c>
      <c r="C1898" s="178" t="s">
        <v>3374</v>
      </c>
      <c r="D1898" s="178" t="s">
        <v>111</v>
      </c>
      <c r="E1898" s="227"/>
      <c r="F1898" s="180"/>
      <c r="G1898" s="561" t="s">
        <v>6243</v>
      </c>
      <c r="H1898" s="182"/>
      <c r="I1898" s="182"/>
      <c r="J1898" s="182"/>
      <c r="K1898" s="183"/>
      <c r="L1898" s="182"/>
      <c r="M1898" s="182">
        <v>1</v>
      </c>
      <c r="N1898" s="182"/>
      <c r="O1898" s="183" t="s">
        <v>5325</v>
      </c>
      <c r="P1898" s="183" t="s">
        <v>137</v>
      </c>
      <c r="Q1898" s="183"/>
      <c r="R1898" s="183">
        <v>1</v>
      </c>
      <c r="S1898" s="183">
        <v>0</v>
      </c>
      <c r="T1898" s="183">
        <v>1</v>
      </c>
      <c r="U1898" s="183" t="s">
        <v>22</v>
      </c>
      <c r="V1898" s="183"/>
      <c r="W1898" s="183"/>
      <c r="X1898" s="183"/>
      <c r="Y1898" s="184">
        <f t="shared" si="623"/>
        <v>0.01</v>
      </c>
      <c r="Z1898" s="185">
        <f>IF(ISBLANK(O1898),"",IF(O1898="IB",8.63*200,IF(O1898="IR",16*100,IF(O1898="YT",20*100,IF(O1898="YT-XT",24*200,IF(O1898="TED",80*100,IF(O1898="IR|YT",300*100)))))))</f>
        <v>30000</v>
      </c>
      <c r="AA1898" s="185" t="s">
        <v>99</v>
      </c>
      <c r="AB1898" s="185"/>
      <c r="AC1898" s="185"/>
      <c r="AD1898" s="649">
        <v>-0.25</v>
      </c>
      <c r="AE1898" s="182"/>
      <c r="AF1898" s="332"/>
      <c r="AG1898" s="182"/>
      <c r="AH1898" s="182"/>
      <c r="AI1898" s="182"/>
      <c r="AJ1898" s="640"/>
      <c r="AK1898" s="182"/>
      <c r="AL1898" s="496">
        <f t="shared" si="627"/>
        <v>-600</v>
      </c>
      <c r="AM1898" s="496">
        <f t="shared" si="621"/>
        <v>-600</v>
      </c>
      <c r="AN1898" s="626"/>
      <c r="AO1898" s="182"/>
      <c r="AP1898" s="182"/>
      <c r="AQ1898" s="332" t="str">
        <f>UPPER(RIGHT(Journal_Live[[#This Row],[DURATION ]]))</f>
        <v/>
      </c>
      <c r="AR1898" s="182"/>
      <c r="AS1898" s="189">
        <v>-0.25</v>
      </c>
      <c r="AT1898" s="189">
        <f t="shared" si="624"/>
        <v>0</v>
      </c>
      <c r="AU1898" s="187">
        <f t="shared" si="625"/>
        <v>0</v>
      </c>
      <c r="AV1898" s="190">
        <f t="shared" si="629"/>
        <v>0</v>
      </c>
      <c r="AW1898" s="191" t="s">
        <v>115</v>
      </c>
      <c r="AX1898" s="551"/>
      <c r="AY1898" s="551"/>
      <c r="AZ1898" s="551"/>
      <c r="BA1898" s="551"/>
      <c r="BB1898" s="551"/>
      <c r="BC1898" s="551"/>
      <c r="BD1898" s="549"/>
      <c r="BE1898" s="550"/>
      <c r="BF1898" s="549"/>
      <c r="BG1898" s="391">
        <f>SUM($AV$1389:AV1898)</f>
        <v>3682.8853449130756</v>
      </c>
      <c r="BH1898" s="392">
        <f>SUM($AU$1389:AU1898)</f>
        <v>35264.837142856763</v>
      </c>
      <c r="BI1898" s="318">
        <f>SUMIFS($AU$1388:AU1899,$Q$1388:Q1899,"F")</f>
        <v>18827.257142857143</v>
      </c>
      <c r="BJ1898" s="318">
        <f>SUMIFS($AU$1388:AU1899,$Q$1388:Q1899,"S")</f>
        <v>12719.999999999996</v>
      </c>
      <c r="BK1898" s="343">
        <f>SUMIFS($AU$1388:AU1899,$P$1388:P1899,"W")</f>
        <v>24596.437142857485</v>
      </c>
      <c r="BL1898" s="343">
        <f>SUMIFS($AU$1388:AU1899,$P$1388:P1899,"R")</f>
        <v>9197.9999999998618</v>
      </c>
      <c r="BM1898" s="343">
        <f>SUMIFS($AU$1388:AU1899,$AQ$1388:AQ1899,"M")</f>
        <v>9254.3799999993262</v>
      </c>
      <c r="BN1898" s="343">
        <f>SUMIFS($AU$1388:AU1899,$AQ$1388:AQ1899,"H")</f>
        <v>8039.2000000002827</v>
      </c>
      <c r="BO1898" s="343">
        <f>SUMIFS($AU$1388:AU1899,$AQ$1388:AQ1899,"D")</f>
        <v>7532.8571428571395</v>
      </c>
      <c r="BP1898" s="343">
        <f>SUMIFS($AS$1388:AS2670,$AO$1388:AO2670,"W")</f>
        <v>0</v>
      </c>
      <c r="BQ1898" s="343">
        <f>SUMIFS($AU$1388:AU1899,$Q$1388:Q1899,"O")</f>
        <v>3253.5799999996261</v>
      </c>
      <c r="BR1898" s="343">
        <f>SUMIFS($AU$1388:AU1899,$AA$1388:AA1899,"*")</f>
        <v>30546.799999999505</v>
      </c>
      <c r="BS1898" s="343">
        <f>SUMIFS($AU$1388:AU1899,$AB$1388:AB1899,"*")</f>
        <v>10855.179999999931</v>
      </c>
      <c r="BT1898" s="343">
        <f>SUMIFS($AU$1388:AU1899,$AC$1388:AC1899,"*")</f>
        <v>17467.257142857139</v>
      </c>
      <c r="BU1898" s="343">
        <f>SUMIFS($AU$1388:AU1899,$AA$1388:AA1899,"*",$AB$1388:AB1899,"*")</f>
        <v>5759.9999999998217</v>
      </c>
      <c r="BV1898" s="343">
        <f>SUMIFS($AU$1388:AU1899,$AA$1388:AA1899,"*",$AC$1388:AC1899,"*")</f>
        <v>14324.400000000001</v>
      </c>
      <c r="BW1898" s="343">
        <f>SUMIFS($AU$1388:AU1899,$AB$1388:AB1899,"*",$AC$1388:AC1899,"*")</f>
        <v>5839.9999999999982</v>
      </c>
      <c r="BX1898" s="343">
        <f>SUMIFS($AV$1388:AV1899,$Q$1388:Q1899,"F")</f>
        <v>332.42896099070009</v>
      </c>
      <c r="BY1898" s="343">
        <f>SUMIFS($AV$1388:AV1899,$Q$1388:Q1899,"S")</f>
        <v>520.8163839225341</v>
      </c>
      <c r="BZ1898" s="343">
        <f>SUMIFS($AV$1388:AV1899,$Q$1388:Q1899,"O")</f>
        <v>897.63999999983673</v>
      </c>
    </row>
    <row r="1899" spans="1:78" ht="15.75" customHeight="1">
      <c r="A1899" s="177" t="s">
        <v>5851</v>
      </c>
      <c r="B1899" s="200">
        <v>45408</v>
      </c>
      <c r="C1899" s="178" t="s">
        <v>3374</v>
      </c>
      <c r="D1899" s="178" t="s">
        <v>111</v>
      </c>
      <c r="E1899" s="227"/>
      <c r="F1899" s="180"/>
      <c r="G1899" s="484" t="s">
        <v>2016</v>
      </c>
      <c r="H1899" s="182"/>
      <c r="I1899" s="182"/>
      <c r="J1899" s="182"/>
      <c r="K1899" s="183"/>
      <c r="L1899" s="182"/>
      <c r="M1899" s="182">
        <v>2</v>
      </c>
      <c r="N1899" s="182"/>
      <c r="O1899" s="183" t="s">
        <v>95</v>
      </c>
      <c r="P1899" s="183" t="s">
        <v>96</v>
      </c>
      <c r="Q1899" s="183" t="s">
        <v>97</v>
      </c>
      <c r="R1899" s="183">
        <v>60</v>
      </c>
      <c r="S1899" s="559">
        <v>30</v>
      </c>
      <c r="T1899" s="183">
        <v>30</v>
      </c>
      <c r="U1899" s="183" t="s">
        <v>22</v>
      </c>
      <c r="V1899" s="183"/>
      <c r="W1899" s="183"/>
      <c r="X1899" s="183"/>
      <c r="Y1899" s="184">
        <f t="shared" si="623"/>
        <v>0.01</v>
      </c>
      <c r="Z1899" s="185">
        <f>IF(ISBLANK(O1899),"",IF(O1899="IB",8.63*200,IF(O1899="IR",16*100,IF(O1899="YT",20*100,IF(O1899="YT-XT",24*200,IF(O1899="TED",80*100,IF(O1899="XT",29*200)))))))</f>
        <v>1600</v>
      </c>
      <c r="AA1899" s="185"/>
      <c r="AB1899" s="185"/>
      <c r="AC1899" s="185" t="s">
        <v>6244</v>
      </c>
      <c r="AD1899" s="649">
        <v>-2.5000000000000001E-2</v>
      </c>
      <c r="AE1899" s="182"/>
      <c r="AF1899" s="332"/>
      <c r="AG1899" s="182"/>
      <c r="AH1899" s="182"/>
      <c r="AI1899" s="182"/>
      <c r="AJ1899" s="640"/>
      <c r="AK1899" s="182"/>
      <c r="AL1899" s="496">
        <f t="shared" si="627"/>
        <v>-32</v>
      </c>
      <c r="AM1899" s="496">
        <f t="shared" si="621"/>
        <v>-960</v>
      </c>
      <c r="AN1899" s="626"/>
      <c r="AO1899" s="182"/>
      <c r="AP1899" s="182" t="s">
        <v>1017</v>
      </c>
      <c r="AQ1899" s="332" t="s">
        <v>372</v>
      </c>
      <c r="AR1899" s="182" t="s">
        <v>6245</v>
      </c>
      <c r="AS1899" s="189">
        <f>((-0.02*30)+(-0.01*30))/60</f>
        <v>-1.4999999999999998E-2</v>
      </c>
      <c r="AT1899" s="189">
        <f t="shared" si="624"/>
        <v>1.0000000000000004E-2</v>
      </c>
      <c r="AU1899" s="187">
        <f t="shared" si="625"/>
        <v>960.00000000000045</v>
      </c>
      <c r="AV1899" s="190">
        <f t="shared" si="629"/>
        <v>16.000000000000007</v>
      </c>
      <c r="AW1899" s="191" t="s">
        <v>96</v>
      </c>
      <c r="AX1899" s="551"/>
      <c r="AY1899" s="551"/>
      <c r="AZ1899" s="551"/>
      <c r="BA1899" s="551"/>
      <c r="BB1899" s="551"/>
      <c r="BC1899" s="551"/>
      <c r="BD1899" s="549"/>
      <c r="BE1899" s="550"/>
      <c r="BF1899" s="549"/>
      <c r="BG1899" s="391">
        <f>SUM($AV$1389:AV1899)</f>
        <v>3698.8853449130756</v>
      </c>
      <c r="BH1899" s="392">
        <f>SUM($AU$1389:AU1899)</f>
        <v>36224.837142856763</v>
      </c>
      <c r="BI1899" s="318">
        <f>SUMIFS($AU$1388:AU1900,$Q$1388:Q1900,"F")</f>
        <v>20795.257142857143</v>
      </c>
      <c r="BJ1899" s="318">
        <f>SUMIFS($AU$1388:AU1900,$Q$1388:Q1900,"S")</f>
        <v>12719.999999999996</v>
      </c>
      <c r="BK1899" s="343">
        <f>SUMIFS($AU$1388:AU1900,$P$1388:P1900,"W")</f>
        <v>24596.437142857485</v>
      </c>
      <c r="BL1899" s="343">
        <f>SUMIFS($AU$1388:AU1900,$P$1388:P1900,"R")</f>
        <v>11165.999999999862</v>
      </c>
      <c r="BM1899" s="343">
        <f>SUMIFS($AU$1388:AU1900,$AQ$1388:AQ1900,"M")</f>
        <v>9254.3799999993262</v>
      </c>
      <c r="BN1899" s="343">
        <f>SUMIFS($AU$1388:AU1900,$AQ$1388:AQ1900,"H")</f>
        <v>8039.2000000002827</v>
      </c>
      <c r="BO1899" s="343">
        <f>SUMIFS($AU$1388:AU1900,$AQ$1388:AQ1900,"D")</f>
        <v>7532.8571428571395</v>
      </c>
      <c r="BP1899" s="343">
        <f>SUMIFS($AS$1388:AS2671,$AO$1388:AO2671,"W")</f>
        <v>0</v>
      </c>
      <c r="BQ1899" s="343">
        <f>SUMIFS($AU$1388:AU1900,$Q$1388:Q1900,"O")</f>
        <v>3253.5799999996261</v>
      </c>
      <c r="BR1899" s="343">
        <f>SUMIFS($AU$1388:AU1900,$AA$1388:AA1900,"*")</f>
        <v>30546.799999999505</v>
      </c>
      <c r="BS1899" s="343">
        <f>SUMIFS($AU$1388:AU1900,$AB$1388:AB1900,"*")</f>
        <v>10855.179999999931</v>
      </c>
      <c r="BT1899" s="343">
        <f>SUMIFS($AU$1388:AU1900,$AC$1388:AC1900,"*")</f>
        <v>19435.257142857139</v>
      </c>
      <c r="BU1899" s="343">
        <f>SUMIFS($AU$1388:AU1900,$AA$1388:AA1900,"*",$AB$1388:AB1900,"*")</f>
        <v>5759.9999999998217</v>
      </c>
      <c r="BV1899" s="343">
        <f>SUMIFS($AU$1388:AU1900,$AA$1388:AA1900,"*",$AC$1388:AC1900,"*")</f>
        <v>14324.400000000001</v>
      </c>
      <c r="BW1899" s="343">
        <f>SUMIFS($AU$1388:AU1900,$AB$1388:AB1900,"*",$AC$1388:AC1900,"*")</f>
        <v>5839.9999999999982</v>
      </c>
      <c r="BX1899" s="343">
        <f>SUMIFS($AV$1388:AV1900,$Q$1388:Q1900,"F")</f>
        <v>343.80468353405269</v>
      </c>
      <c r="BY1899" s="343">
        <f>SUMIFS($AV$1388:AV1900,$Q$1388:Q1900,"S")</f>
        <v>520.8163839225341</v>
      </c>
      <c r="BZ1899" s="343">
        <f>SUMIFS($AV$1388:AV1900,$Q$1388:Q1900,"O")</f>
        <v>897.63999999983673</v>
      </c>
    </row>
    <row r="1900" spans="1:78" ht="15.75" customHeight="1">
      <c r="A1900" s="177" t="s">
        <v>5851</v>
      </c>
      <c r="B1900" s="200">
        <v>45408</v>
      </c>
      <c r="C1900" s="178" t="s">
        <v>6246</v>
      </c>
      <c r="D1900" s="178" t="s">
        <v>111</v>
      </c>
      <c r="E1900" s="227"/>
      <c r="F1900" s="180"/>
      <c r="G1900" s="485" t="s">
        <v>3858</v>
      </c>
      <c r="H1900" s="182"/>
      <c r="I1900" s="182"/>
      <c r="J1900" s="182"/>
      <c r="K1900" s="183"/>
      <c r="L1900" s="182">
        <v>2</v>
      </c>
      <c r="M1900" s="182">
        <v>1</v>
      </c>
      <c r="N1900" s="182"/>
      <c r="O1900" s="183" t="s">
        <v>95</v>
      </c>
      <c r="P1900" s="183" t="s">
        <v>137</v>
      </c>
      <c r="Q1900" s="183" t="s">
        <v>256</v>
      </c>
      <c r="R1900" s="183">
        <v>173</v>
      </c>
      <c r="S1900" s="559">
        <v>123</v>
      </c>
      <c r="T1900" s="183">
        <v>100</v>
      </c>
      <c r="U1900" s="183" t="s">
        <v>97</v>
      </c>
      <c r="V1900" s="183"/>
      <c r="W1900" s="183"/>
      <c r="X1900" s="183"/>
      <c r="Y1900" s="184">
        <f t="shared" si="623"/>
        <v>0.01</v>
      </c>
      <c r="Z1900" s="185">
        <f>IF(ISBLANK(O1900),"",IF(O1900="IB",8.63*200,IF(O1900="IR",16*100,IF(O1900="YT",20*100,IF(O1900="YT-XT",24*200,IF(O1900="TED",80*100,IF(O1900="XT",29*200)))))))</f>
        <v>1600</v>
      </c>
      <c r="AA1900" s="185"/>
      <c r="AB1900" s="185"/>
      <c r="AC1900" s="185" t="s">
        <v>6247</v>
      </c>
      <c r="AD1900" s="649">
        <f>((-0.01*100)+(0*73))/173</f>
        <v>-5.7803468208092483E-3</v>
      </c>
      <c r="AE1900" s="182"/>
      <c r="AF1900" s="332"/>
      <c r="AG1900" s="182"/>
      <c r="AH1900" s="182"/>
      <c r="AI1900" s="182"/>
      <c r="AJ1900" s="640"/>
      <c r="AK1900" s="182"/>
      <c r="AL1900" s="496">
        <f>-0.015*Z1900</f>
        <v>-24</v>
      </c>
      <c r="AM1900" s="496">
        <f t="shared" si="621"/>
        <v>-1200</v>
      </c>
      <c r="AN1900" s="626"/>
      <c r="AO1900" s="182"/>
      <c r="AP1900" s="182" t="s">
        <v>3769</v>
      </c>
      <c r="AQ1900" s="332" t="s">
        <v>96</v>
      </c>
      <c r="AR1900" s="298">
        <v>45419</v>
      </c>
      <c r="AS1900" s="189">
        <f>((-0.01*72)+(-0.01*51)+(-0.02*50))/173</f>
        <v>-1.2890173410404625E-2</v>
      </c>
      <c r="AT1900" s="189">
        <f t="shared" si="624"/>
        <v>7.1098265895953765E-3</v>
      </c>
      <c r="AU1900" s="187">
        <f t="shared" si="625"/>
        <v>1968</v>
      </c>
      <c r="AV1900" s="190">
        <f t="shared" ref="AV1900:AV1901" si="630">IF(ISBLANK(AS1900),,(AT1900*Z1900))</f>
        <v>11.375722543352602</v>
      </c>
      <c r="AW1900" s="191" t="s">
        <v>96</v>
      </c>
      <c r="AX1900" s="551" t="s">
        <v>6248</v>
      </c>
      <c r="AY1900" s="551" t="s">
        <v>6249</v>
      </c>
      <c r="AZ1900" s="551"/>
      <c r="BA1900" s="551"/>
      <c r="BB1900" s="551"/>
      <c r="BC1900" s="551"/>
      <c r="BD1900" s="549"/>
      <c r="BE1900" s="550"/>
      <c r="BF1900" s="549"/>
      <c r="BG1900" s="391">
        <f>SUM($AV$1389:AV1900)</f>
        <v>3710.2610674564285</v>
      </c>
      <c r="BH1900" s="392">
        <f>SUM($AU$1389:AU1900)</f>
        <v>38192.837142856763</v>
      </c>
      <c r="BI1900" s="318">
        <f>SUMIFS($AU$1388:AU1901,$Q$1388:Q1901,"F")</f>
        <v>20795.257142857143</v>
      </c>
      <c r="BJ1900" s="318">
        <f>SUMIFS($AU$1388:AU1901,$Q$1388:Q1901,"S")</f>
        <v>12719.999999999996</v>
      </c>
      <c r="BK1900" s="343">
        <f>SUMIFS($AU$1388:AU1901,$P$1388:P1901,"W")</f>
        <v>24596.437142857485</v>
      </c>
      <c r="BL1900" s="343">
        <f>SUMIFS($AU$1388:AU1901,$P$1388:P1901,"R")</f>
        <v>11165.999999999862</v>
      </c>
      <c r="BM1900" s="343">
        <f>SUMIFS($AU$1388:AU1901,$AQ$1388:AQ1901,"M")</f>
        <v>9254.3799999993262</v>
      </c>
      <c r="BN1900" s="343">
        <f>SUMIFS($AU$1388:AU1901,$AQ$1388:AQ1901,"H")</f>
        <v>8039.2000000002827</v>
      </c>
      <c r="BO1900" s="343">
        <f>SUMIFS($AU$1388:AU1901,$AQ$1388:AQ1901,"D")</f>
        <v>7532.8571428571395</v>
      </c>
      <c r="BP1900" s="343">
        <f>SUMIFS($AS$1388:AS2672,$AO$1388:AO2672,"W")</f>
        <v>0</v>
      </c>
      <c r="BQ1900" s="343">
        <f>SUMIFS($AU$1388:AU1901,$Q$1388:Q1901,"O")</f>
        <v>2735.7799999996064</v>
      </c>
      <c r="BR1900" s="343">
        <f>SUMIFS($AU$1388:AU1901,$AA$1388:AA1901,"*")</f>
        <v>30546.799999999505</v>
      </c>
      <c r="BS1900" s="343">
        <f>SUMIFS($AU$1388:AU1901,$AB$1388:AB1901,"*")</f>
        <v>10337.379999999912</v>
      </c>
      <c r="BT1900" s="343">
        <f>SUMIFS($AU$1388:AU1901,$AC$1388:AC1901,"*")</f>
        <v>19435.257142857139</v>
      </c>
      <c r="BU1900" s="343">
        <f>SUMIFS($AU$1388:AU1901,$AA$1388:AA1901,"*",$AB$1388:AB1901,"*")</f>
        <v>5759.9999999998217</v>
      </c>
      <c r="BV1900" s="343">
        <f>SUMIFS($AU$1388:AU1901,$AA$1388:AA1901,"*",$AC$1388:AC1901,"*")</f>
        <v>14324.400000000001</v>
      </c>
      <c r="BW1900" s="343">
        <f>SUMIFS($AU$1388:AU1901,$AB$1388:AB1901,"*",$AC$1388:AC1901,"*")</f>
        <v>5839.9999999999982</v>
      </c>
      <c r="BX1900" s="343">
        <f>SUMIFS($AV$1388:AV1901,$Q$1388:Q1901,"F")</f>
        <v>343.80468353405269</v>
      </c>
      <c r="BY1900" s="343">
        <f>SUMIFS($AV$1388:AV1901,$Q$1388:Q1901,"S")</f>
        <v>520.8163839225341</v>
      </c>
      <c r="BZ1900" s="343">
        <f>SUMIFS($AV$1388:AV1901,$Q$1388:Q1901,"O")</f>
        <v>887.28399999983628</v>
      </c>
    </row>
    <row r="1901" spans="1:78" ht="15.75" customHeight="1">
      <c r="A1901" s="177" t="s">
        <v>5851</v>
      </c>
      <c r="B1901" s="200">
        <v>45408</v>
      </c>
      <c r="C1901" s="178" t="s">
        <v>6250</v>
      </c>
      <c r="D1901" s="178" t="s">
        <v>111</v>
      </c>
      <c r="E1901" s="227"/>
      <c r="F1901" s="180"/>
      <c r="G1901" s="571" t="s">
        <v>6251</v>
      </c>
      <c r="H1901" s="182"/>
      <c r="I1901" s="182"/>
      <c r="J1901" s="182"/>
      <c r="K1901" s="183"/>
      <c r="L1901" s="182"/>
      <c r="M1901" s="182">
        <v>2</v>
      </c>
      <c r="N1901" s="182"/>
      <c r="O1901" s="183" t="s">
        <v>1057</v>
      </c>
      <c r="P1901" s="183"/>
      <c r="Q1901" s="183" t="s">
        <v>684</v>
      </c>
      <c r="R1901" s="183">
        <v>50</v>
      </c>
      <c r="S1901" s="183">
        <v>20</v>
      </c>
      <c r="T1901" s="183">
        <v>20</v>
      </c>
      <c r="U1901" s="183" t="s">
        <v>97</v>
      </c>
      <c r="V1901" s="183"/>
      <c r="W1901" s="183"/>
      <c r="X1901" s="183"/>
      <c r="Y1901" s="184">
        <f t="shared" si="623"/>
        <v>5.0000000000000001E-3</v>
      </c>
      <c r="Z1901" s="185">
        <f>IF(ISBLANK(O1901),"",IF(O1901="IB",8.63*200,IF(O1901="IR",16*100,IF(O1901="YT",20*100,IF(O1901="YT-XT",24*200,IF(O1901="TED",80*100,IF(O1901="XT",29*200)))))))</f>
        <v>1726.0000000000002</v>
      </c>
      <c r="AA1901" s="185"/>
      <c r="AB1901" s="185" t="s">
        <v>2469</v>
      </c>
      <c r="AC1901" s="185"/>
      <c r="AD1901" s="649">
        <v>95.67</v>
      </c>
      <c r="AE1901" s="182"/>
      <c r="AF1901" s="332"/>
      <c r="AG1901" s="182"/>
      <c r="AH1901" s="182"/>
      <c r="AI1901" s="182"/>
      <c r="AJ1901" s="640"/>
      <c r="AK1901" s="182"/>
      <c r="AL1901" s="496">
        <f t="shared" ref="AL1901:AL1904" si="631">-0.02*Z1901</f>
        <v>-34.520000000000003</v>
      </c>
      <c r="AM1901" s="496">
        <f t="shared" si="621"/>
        <v>-1035.6000000000001</v>
      </c>
      <c r="AN1901" s="626"/>
      <c r="AO1901" s="182"/>
      <c r="AP1901" s="182" t="s">
        <v>3769</v>
      </c>
      <c r="AQ1901" s="332" t="s">
        <v>96</v>
      </c>
      <c r="AR1901" s="298" t="s">
        <v>6252</v>
      </c>
      <c r="AS1901" s="189">
        <f>(95.665*10+95.66*10+95.685*30)/50</f>
        <v>95.676000000000002</v>
      </c>
      <c r="AT1901" s="189">
        <f t="shared" si="624"/>
        <v>-6.0000000000002274E-3</v>
      </c>
      <c r="AU1901" s="187">
        <f t="shared" si="625"/>
        <v>-517.80000000001974</v>
      </c>
      <c r="AV1901" s="190">
        <f t="shared" si="630"/>
        <v>-10.356000000000394</v>
      </c>
      <c r="AW1901" s="191" t="s">
        <v>229</v>
      </c>
      <c r="AX1901" s="551" t="s">
        <v>6253</v>
      </c>
      <c r="AY1901" s="551" t="s">
        <v>6254</v>
      </c>
      <c r="AZ1901" s="551"/>
      <c r="BA1901" s="551"/>
      <c r="BB1901" s="551"/>
      <c r="BC1901" s="551"/>
      <c r="BD1901" s="549"/>
      <c r="BE1901" s="550"/>
      <c r="BF1901" s="549"/>
      <c r="BG1901" s="391">
        <f>SUM($AV$1389:AV1901)</f>
        <v>3699.9050674564282</v>
      </c>
      <c r="BH1901" s="392">
        <f>SUM($AU$1389:AU1901)</f>
        <v>37675.037142856745</v>
      </c>
      <c r="BI1901" s="318">
        <f>SUMIFS($AU$1388:AU1902,$Q$1388:Q1902,"F")</f>
        <v>20795.257142857143</v>
      </c>
      <c r="BJ1901" s="318">
        <f>SUMIFS($AU$1388:AU1902,$Q$1388:Q1902,"S")</f>
        <v>12719.999999999996</v>
      </c>
      <c r="BK1901" s="343">
        <f>SUMIFS($AU$1388:AU1902,$P$1388:P1902,"W")</f>
        <v>24596.437142857485</v>
      </c>
      <c r="BL1901" s="343">
        <f>SUMIFS($AU$1388:AU1902,$P$1388:P1902,"R")</f>
        <v>11165.999999999862</v>
      </c>
      <c r="BM1901" s="343">
        <f>SUMIFS($AU$1388:AU1902,$AQ$1388:AQ1902,"M")</f>
        <v>9254.3799999993262</v>
      </c>
      <c r="BN1901" s="343">
        <f>SUMIFS($AU$1388:AU1902,$AQ$1388:AQ1902,"H")</f>
        <v>8039.2000000002827</v>
      </c>
      <c r="BO1901" s="343">
        <f>SUMIFS($AU$1388:AU1902,$AQ$1388:AQ1902,"D")</f>
        <v>7532.8571428571395</v>
      </c>
      <c r="BP1901" s="343">
        <f>SUMIFS($AS$1388:AS2673,$AO$1388:AO2673,"W")</f>
        <v>0</v>
      </c>
      <c r="BQ1901" s="343">
        <f>SUMIFS($AU$1388:AU1902,$Q$1388:Q1902,"O")</f>
        <v>2735.7799999996064</v>
      </c>
      <c r="BR1901" s="343">
        <f>SUMIFS($AU$1388:AU1902,$AA$1388:AA1902,"*")</f>
        <v>30546.799999999505</v>
      </c>
      <c r="BS1901" s="343">
        <f>SUMIFS($AU$1388:AU1902,$AB$1388:AB1902,"*")</f>
        <v>10337.379999999912</v>
      </c>
      <c r="BT1901" s="343">
        <f>SUMIFS($AU$1388:AU1902,$AC$1388:AC1902,"*")</f>
        <v>19435.257142857139</v>
      </c>
      <c r="BU1901" s="343">
        <f>SUMIFS($AU$1388:AU1902,$AA$1388:AA1902,"*",$AB$1388:AB1902,"*")</f>
        <v>5759.9999999998217</v>
      </c>
      <c r="BV1901" s="343">
        <f>SUMIFS($AU$1388:AU1902,$AA$1388:AA1902,"*",$AC$1388:AC1902,"*")</f>
        <v>14324.400000000001</v>
      </c>
      <c r="BW1901" s="343">
        <f>SUMIFS($AU$1388:AU1902,$AB$1388:AB1902,"*",$AC$1388:AC1902,"*")</f>
        <v>5839.9999999999982</v>
      </c>
      <c r="BX1901" s="343">
        <f>SUMIFS($AV$1388:AV1902,$Q$1388:Q1902,"F")</f>
        <v>343.80468353405269</v>
      </c>
      <c r="BY1901" s="343">
        <f>SUMIFS($AV$1388:AV1902,$Q$1388:Q1902,"S")</f>
        <v>520.8163839225341</v>
      </c>
      <c r="BZ1901" s="343">
        <f>SUMIFS($AV$1388:AV1902,$Q$1388:Q1902,"O")</f>
        <v>887.28399999983628</v>
      </c>
    </row>
    <row r="1902" spans="1:78" ht="15.75" customHeight="1">
      <c r="A1902" s="177" t="s">
        <v>5851</v>
      </c>
      <c r="B1902" s="200">
        <v>45408</v>
      </c>
      <c r="C1902" s="178" t="s">
        <v>1629</v>
      </c>
      <c r="D1902" s="178" t="s">
        <v>111</v>
      </c>
      <c r="E1902" s="227" t="s">
        <v>6255</v>
      </c>
      <c r="F1902" s="180"/>
      <c r="G1902" s="181"/>
      <c r="H1902" s="182"/>
      <c r="I1902" s="182"/>
      <c r="J1902" s="182"/>
      <c r="K1902" s="183"/>
      <c r="L1902" s="182"/>
      <c r="M1902" s="182"/>
      <c r="N1902" s="182"/>
      <c r="O1902" s="183"/>
      <c r="P1902" s="183"/>
      <c r="Q1902" s="183"/>
      <c r="R1902" s="183"/>
      <c r="S1902" s="183"/>
      <c r="T1902" s="183"/>
      <c r="U1902" s="183"/>
      <c r="V1902" s="183"/>
      <c r="W1902" s="183"/>
      <c r="X1902" s="183"/>
      <c r="Y1902" s="183"/>
      <c r="Z1902" s="183"/>
      <c r="AA1902" s="185"/>
      <c r="AB1902" s="185"/>
      <c r="AC1902" s="185"/>
      <c r="AD1902" s="649"/>
      <c r="AE1902" s="182"/>
      <c r="AF1902" s="332"/>
      <c r="AG1902" s="182"/>
      <c r="AH1902" s="182"/>
      <c r="AI1902" s="182"/>
      <c r="AJ1902" s="640"/>
      <c r="AK1902" s="182"/>
      <c r="AL1902" s="496">
        <f t="shared" si="631"/>
        <v>0</v>
      </c>
      <c r="AM1902" s="496">
        <f t="shared" si="621"/>
        <v>0</v>
      </c>
      <c r="AN1902" s="626"/>
      <c r="AO1902" s="182"/>
      <c r="AP1902" s="182"/>
      <c r="AQ1902" s="332" t="str">
        <f>UPPER(RIGHT(Journal_Live[[#This Row],[DURATION ]]))</f>
        <v/>
      </c>
      <c r="AR1902" s="182"/>
      <c r="AS1902" s="189"/>
      <c r="AT1902" s="189"/>
      <c r="AU1902" s="187"/>
      <c r="AV1902" s="190"/>
      <c r="AW1902" s="191"/>
      <c r="AX1902" s="551"/>
      <c r="AY1902" s="551"/>
      <c r="AZ1902" s="551"/>
      <c r="BA1902" s="551"/>
      <c r="BB1902" s="551"/>
      <c r="BC1902" s="551"/>
      <c r="BD1902" s="549"/>
      <c r="BE1902" s="550"/>
      <c r="BF1902" s="549"/>
      <c r="BG1902" s="391">
        <f>SUM($AV$1389:AV1902)</f>
        <v>3699.9050674564282</v>
      </c>
      <c r="BH1902" s="392">
        <f>SUM($AU$1389:AU1902)</f>
        <v>37675.037142856745</v>
      </c>
      <c r="BI1902" s="318">
        <f>SUMIFS($AU$1388:AU1903,$Q$1388:Q1903,"F")</f>
        <v>20795.257142857143</v>
      </c>
      <c r="BJ1902" s="318">
        <f>SUMIFS($AU$1388:AU1903,$Q$1388:Q1903,"S")</f>
        <v>12719.999999999996</v>
      </c>
      <c r="BK1902" s="343">
        <f>SUMIFS($AU$1388:AU1903,$P$1388:P1903,"W")</f>
        <v>24596.437142857485</v>
      </c>
      <c r="BL1902" s="343">
        <f>SUMIFS($AU$1388:AU1903,$P$1388:P1903,"R")</f>
        <v>11165.999999999862</v>
      </c>
      <c r="BM1902" s="343">
        <f>SUMIFS($AU$1388:AU1903,$AQ$1388:AQ1903,"M")</f>
        <v>9225.3799999992698</v>
      </c>
      <c r="BN1902" s="343">
        <f>SUMIFS($AU$1388:AU1903,$AQ$1388:AQ1903,"H")</f>
        <v>8039.2000000002827</v>
      </c>
      <c r="BO1902" s="343">
        <f>SUMIFS($AU$1388:AU1903,$AQ$1388:AQ1903,"D")</f>
        <v>7532.8571428571395</v>
      </c>
      <c r="BP1902" s="343">
        <f>SUMIFS($AS$1388:AS2674,$AO$1388:AO2674,"W")</f>
        <v>0</v>
      </c>
      <c r="BQ1902" s="343">
        <f>SUMIFS($AU$1388:AU1903,$Q$1388:Q1903,"O")</f>
        <v>2706.7799999995505</v>
      </c>
      <c r="BR1902" s="343">
        <f>SUMIFS($AU$1388:AU1903,$AA$1388:AA1903,"*")</f>
        <v>30517.79999999945</v>
      </c>
      <c r="BS1902" s="343">
        <f>SUMIFS($AU$1388:AU1903,$AB$1388:AB1903,"*")</f>
        <v>10337.379999999912</v>
      </c>
      <c r="BT1902" s="343">
        <f>SUMIFS($AU$1388:AU1903,$AC$1388:AC1903,"*")</f>
        <v>19435.257142857139</v>
      </c>
      <c r="BU1902" s="343">
        <f>SUMIFS($AU$1388:AU1903,$AA$1388:AA1903,"*",$AB$1388:AB1903,"*")</f>
        <v>5759.9999999998217</v>
      </c>
      <c r="BV1902" s="343">
        <f>SUMIFS($AU$1388:AU1903,$AA$1388:AA1903,"*",$AC$1388:AC1903,"*")</f>
        <v>14324.400000000001</v>
      </c>
      <c r="BW1902" s="343">
        <f>SUMIFS($AU$1388:AU1903,$AB$1388:AB1903,"*",$AC$1388:AC1903,"*")</f>
        <v>5839.9999999999982</v>
      </c>
      <c r="BX1902" s="343">
        <f>SUMIFS($AV$1388:AV1903,$Q$1388:Q1903,"F")</f>
        <v>343.80468353405269</v>
      </c>
      <c r="BY1902" s="343">
        <f>SUMIFS($AV$1388:AV1903,$Q$1388:Q1903,"S")</f>
        <v>520.8163839225341</v>
      </c>
      <c r="BZ1902" s="343">
        <f>SUMIFS($AV$1388:AV1903,$Q$1388:Q1903,"O")</f>
        <v>858.28399999978024</v>
      </c>
    </row>
    <row r="1903" spans="1:78" ht="15.75" customHeight="1">
      <c r="A1903" s="177" t="s">
        <v>5851</v>
      </c>
      <c r="B1903" s="200">
        <v>45408</v>
      </c>
      <c r="C1903" s="178" t="s">
        <v>1629</v>
      </c>
      <c r="D1903" s="178" t="s">
        <v>111</v>
      </c>
      <c r="E1903" s="227"/>
      <c r="F1903" s="180"/>
      <c r="G1903" s="181" t="s">
        <v>5723</v>
      </c>
      <c r="H1903" s="182"/>
      <c r="I1903" s="182"/>
      <c r="J1903" s="182"/>
      <c r="K1903" s="183"/>
      <c r="L1903" s="182">
        <v>1</v>
      </c>
      <c r="M1903" s="182"/>
      <c r="N1903" s="182"/>
      <c r="O1903" s="183" t="s">
        <v>3618</v>
      </c>
      <c r="P1903" s="183" t="s">
        <v>2260</v>
      </c>
      <c r="Q1903" s="183" t="s">
        <v>684</v>
      </c>
      <c r="R1903" s="183">
        <v>1</v>
      </c>
      <c r="S1903" s="183">
        <v>0</v>
      </c>
      <c r="T1903" s="183">
        <v>1</v>
      </c>
      <c r="U1903" s="183" t="s">
        <v>22</v>
      </c>
      <c r="V1903" s="183"/>
      <c r="W1903" s="183"/>
      <c r="X1903" s="183"/>
      <c r="Y1903" s="184">
        <f>IF(ISBLANK(O1903),"",(IF(O1903=UPPER("IB"),0.005,0.01)))</f>
        <v>0.01</v>
      </c>
      <c r="Z1903" s="185">
        <f>IF(ISBLANK(O1903),"",IF(O1903="IB",8.63*200,IF(O1903="IR",16*100,IF(O1903="YT",20*100,IF(O1903="YT-XT",24*200,IF(O1903="TED",80*100,IF(O1903="XT",29*200)))))))</f>
        <v>5800</v>
      </c>
      <c r="AA1903" s="185" t="s">
        <v>5476</v>
      </c>
      <c r="AB1903" s="185"/>
      <c r="AC1903" s="185"/>
      <c r="AD1903" s="649">
        <v>95.465000000000003</v>
      </c>
      <c r="AE1903" s="182"/>
      <c r="AF1903" s="332"/>
      <c r="AG1903" s="182"/>
      <c r="AH1903" s="182"/>
      <c r="AI1903" s="182"/>
      <c r="AJ1903" s="640"/>
      <c r="AK1903" s="182"/>
      <c r="AL1903" s="496">
        <f t="shared" si="631"/>
        <v>-116</v>
      </c>
      <c r="AM1903" s="496">
        <f t="shared" si="621"/>
        <v>-116</v>
      </c>
      <c r="AN1903" s="626"/>
      <c r="AO1903" s="182"/>
      <c r="AP1903" s="182"/>
      <c r="AQ1903" s="332" t="s">
        <v>1259</v>
      </c>
      <c r="AR1903" s="182"/>
      <c r="AS1903" s="189">
        <v>95.46</v>
      </c>
      <c r="AT1903" s="189">
        <f>IF(ISBLANK(AS1903),,IF(U1903="S",AD1903-AS1903,AS1903-AD1903))</f>
        <v>-5.0000000000096634E-3</v>
      </c>
      <c r="AU1903" s="187">
        <f>AV1903*R1903</f>
        <v>-29.000000000056048</v>
      </c>
      <c r="AV1903" s="190">
        <f t="shared" ref="AV1903" si="632">IF(ISBLANK(AS1903),,(AT1903*Z1903))</f>
        <v>-29.000000000056048</v>
      </c>
      <c r="AW1903" s="191" t="s">
        <v>229</v>
      </c>
      <c r="AX1903" s="551"/>
      <c r="AY1903" s="551"/>
      <c r="AZ1903" s="551"/>
      <c r="BA1903" s="551"/>
      <c r="BB1903" s="551"/>
      <c r="BC1903" s="551"/>
      <c r="BD1903" s="549"/>
      <c r="BE1903" s="550"/>
      <c r="BF1903" s="549"/>
      <c r="BG1903" s="391">
        <f>SUM($AV$1389:AV1903)</f>
        <v>3670.9050674563723</v>
      </c>
      <c r="BH1903" s="392">
        <f>SUM($AU$1389:AU1903)</f>
        <v>37646.037142856687</v>
      </c>
      <c r="BI1903" s="318">
        <f>SUMIFS($AU$1388:AU1904,$Q$1388:Q1904,"F")</f>
        <v>20795.257142857143</v>
      </c>
      <c r="BJ1903" s="318">
        <f>SUMIFS($AU$1388:AU1904,$Q$1388:Q1904,"S")</f>
        <v>12719.999999999996</v>
      </c>
      <c r="BK1903" s="343">
        <f>SUMIFS($AU$1388:AU1904,$P$1388:P1904,"W")</f>
        <v>24596.437142857485</v>
      </c>
      <c r="BL1903" s="343">
        <f>SUMIFS($AU$1388:AU1904,$P$1388:P1904,"R")</f>
        <v>11165.999999999862</v>
      </c>
      <c r="BM1903" s="343">
        <f>SUMIFS($AU$1388:AU1904,$AQ$1388:AQ1904,"M")</f>
        <v>9225.3799999992698</v>
      </c>
      <c r="BN1903" s="343">
        <f>SUMIFS($AU$1388:AU1904,$AQ$1388:AQ1904,"H")</f>
        <v>8039.2000000002827</v>
      </c>
      <c r="BO1903" s="343">
        <f>SUMIFS($AU$1388:AU1904,$AQ$1388:AQ1904,"D")</f>
        <v>7662.307142857022</v>
      </c>
      <c r="BP1903" s="343">
        <f>SUMIFS($AS$1388:AS2675,$AO$1388:AO2675,"W")</f>
        <v>0</v>
      </c>
      <c r="BQ1903" s="343">
        <f>SUMIFS($AU$1388:AU1904,$Q$1388:Q1904,"O")</f>
        <v>2836.2299999994329</v>
      </c>
      <c r="BR1903" s="343">
        <f>SUMIFS($AU$1388:AU1904,$AA$1388:AA1904,"*")</f>
        <v>30517.79999999945</v>
      </c>
      <c r="BS1903" s="343">
        <f>SUMIFS($AU$1388:AU1904,$AB$1388:AB1904,"*")</f>
        <v>10466.829999999794</v>
      </c>
      <c r="BT1903" s="343">
        <f>SUMIFS($AU$1388:AU1904,$AC$1388:AC1904,"*")</f>
        <v>19435.257142857139</v>
      </c>
      <c r="BU1903" s="343">
        <f>SUMIFS($AU$1388:AU1904,$AA$1388:AA1904,"*",$AB$1388:AB1904,"*")</f>
        <v>5759.9999999998217</v>
      </c>
      <c r="BV1903" s="343">
        <f>SUMIFS($AU$1388:AU1904,$AA$1388:AA1904,"*",$AC$1388:AC1904,"*")</f>
        <v>14324.400000000001</v>
      </c>
      <c r="BW1903" s="343">
        <f>SUMIFS($AU$1388:AU1904,$AB$1388:AB1904,"*",$AC$1388:AC1904,"*")</f>
        <v>5839.9999999999982</v>
      </c>
      <c r="BX1903" s="343">
        <f>SUMIFS($AV$1388:AV1904,$Q$1388:Q1904,"F")</f>
        <v>343.80468353405269</v>
      </c>
      <c r="BY1903" s="343">
        <f>SUMIFS($AV$1388:AV1904,$Q$1388:Q1904,"S")</f>
        <v>520.8163839225341</v>
      </c>
      <c r="BZ1903" s="343">
        <f>SUMIFS($AV$1388:AV1904,$Q$1388:Q1904,"O")</f>
        <v>871.22899999976846</v>
      </c>
    </row>
    <row r="1904" spans="1:78" ht="15.75" customHeight="1">
      <c r="A1904" s="177" t="s">
        <v>5851</v>
      </c>
      <c r="B1904" s="200">
        <v>45408</v>
      </c>
      <c r="C1904" s="178" t="s">
        <v>6250</v>
      </c>
      <c r="D1904" s="178" t="s">
        <v>111</v>
      </c>
      <c r="E1904" s="227"/>
      <c r="F1904" s="180"/>
      <c r="G1904" s="571" t="s">
        <v>6256</v>
      </c>
      <c r="H1904" s="182"/>
      <c r="I1904" s="182"/>
      <c r="J1904" s="182"/>
      <c r="K1904" s="183"/>
      <c r="L1904" s="182"/>
      <c r="M1904" s="182">
        <v>2</v>
      </c>
      <c r="N1904" s="182"/>
      <c r="O1904" s="183" t="s">
        <v>1057</v>
      </c>
      <c r="P1904" s="183"/>
      <c r="Q1904" s="183" t="s">
        <v>684</v>
      </c>
      <c r="R1904" s="183">
        <v>10</v>
      </c>
      <c r="S1904" s="183">
        <v>0</v>
      </c>
      <c r="T1904" s="183">
        <v>5</v>
      </c>
      <c r="U1904" s="183" t="s">
        <v>97</v>
      </c>
      <c r="V1904" s="183"/>
      <c r="W1904" s="183"/>
      <c r="X1904" s="183"/>
      <c r="Y1904" s="184">
        <f>IF(ISBLANK(O1904),"",(IF(O1904=UPPER("IB"),0.005,0.01)))</f>
        <v>5.0000000000000001E-3</v>
      </c>
      <c r="Z1904" s="185">
        <f>IF(ISBLANK(O1904),"",IF(O1904="IB",8.63*200,IF(O1904="IR",16*100,IF(O1904="YT",20*100,IF(O1904="YT-XT",24*200,IF(O1904="TED",80*100,IF(O1904="XT",29*200)))))))</f>
        <v>1726.0000000000002</v>
      </c>
      <c r="AA1904" s="185"/>
      <c r="AB1904" s="185" t="s">
        <v>6257</v>
      </c>
      <c r="AC1904" s="185"/>
      <c r="AD1904" s="649">
        <f>(95.66*10+95.665*10)/20</f>
        <v>95.662499999999994</v>
      </c>
      <c r="AE1904" s="182"/>
      <c r="AF1904" s="332"/>
      <c r="AG1904" s="182"/>
      <c r="AH1904" s="182"/>
      <c r="AI1904" s="182"/>
      <c r="AJ1904" s="640"/>
      <c r="AK1904" s="182"/>
      <c r="AL1904" s="496">
        <f t="shared" si="631"/>
        <v>-34.520000000000003</v>
      </c>
      <c r="AM1904" s="496">
        <f t="shared" si="621"/>
        <v>-345.20000000000005</v>
      </c>
      <c r="AN1904" s="626"/>
      <c r="AO1904" s="182"/>
      <c r="AP1904" s="182"/>
      <c r="AQ1904" s="332" t="s">
        <v>115</v>
      </c>
      <c r="AR1904" s="298">
        <v>45414</v>
      </c>
      <c r="AS1904" s="189">
        <f>(95.655)</f>
        <v>95.655000000000001</v>
      </c>
      <c r="AT1904" s="189">
        <f>IF(ISBLANK(AS1904),,IF(U1904="S",AD1904-AS1904,AS1904-AD1904))</f>
        <v>7.4999999999931788E-3</v>
      </c>
      <c r="AU1904" s="187">
        <f>AV1904*R1904</f>
        <v>129.44999999988229</v>
      </c>
      <c r="AV1904" s="190">
        <f t="shared" ref="AV1904" si="633">IF(ISBLANK(AS1904),,(AT1904*Z1904))</f>
        <v>12.944999999988228</v>
      </c>
      <c r="AW1904" s="191" t="s">
        <v>96</v>
      </c>
      <c r="AX1904" s="551"/>
      <c r="AY1904" s="551"/>
      <c r="AZ1904" s="551"/>
      <c r="BA1904" s="551"/>
      <c r="BB1904" s="551"/>
      <c r="BC1904" s="551"/>
      <c r="BD1904" s="549"/>
      <c r="BE1904" s="550"/>
      <c r="BF1904" s="549"/>
      <c r="BG1904" s="391">
        <f>SUM($AV$1389:AV1904)</f>
        <v>3683.8500674563606</v>
      </c>
      <c r="BH1904" s="392">
        <f>SUM($AU$1389:AU1904)</f>
        <v>37775.487142856568</v>
      </c>
      <c r="BI1904" s="318">
        <f>SUMIFS($AU$1388:AU1905,$Q$1388:Q1905,"F")</f>
        <v>20795.257142857143</v>
      </c>
      <c r="BJ1904" s="318">
        <f>SUMIFS($AU$1388:AU1905,$Q$1388:Q1905,"S")</f>
        <v>12767.999999999996</v>
      </c>
      <c r="BK1904" s="343">
        <f>SUMIFS($AU$1388:AU1905,$P$1388:P1905,"W")</f>
        <v>24644.437142857485</v>
      </c>
      <c r="BL1904" s="343">
        <f>SUMIFS($AU$1388:AU1905,$P$1388:P1905,"R")</f>
        <v>11165.999999999862</v>
      </c>
      <c r="BM1904" s="343">
        <f>SUMIFS($AU$1388:AU1905,$AQ$1388:AQ1905,"M")</f>
        <v>9225.3799999992698</v>
      </c>
      <c r="BN1904" s="343">
        <f>SUMIFS($AU$1388:AU1905,$AQ$1388:AQ1905,"H")</f>
        <v>8087.2000000002827</v>
      </c>
      <c r="BO1904" s="343">
        <f>SUMIFS($AU$1388:AU1905,$AQ$1388:AQ1905,"D")</f>
        <v>7662.307142857022</v>
      </c>
      <c r="BP1904" s="343">
        <f>SUMIFS($AS$1388:AS2676,$AO$1388:AO2676,"W")</f>
        <v>0</v>
      </c>
      <c r="BQ1904" s="343">
        <f>SUMIFS($AU$1388:AU1905,$Q$1388:Q1905,"O")</f>
        <v>2836.2299999994329</v>
      </c>
      <c r="BR1904" s="343">
        <f>SUMIFS($AU$1388:AU1905,$AA$1388:AA1905,"*")</f>
        <v>30565.79999999945</v>
      </c>
      <c r="BS1904" s="343">
        <f>SUMIFS($AU$1388:AU1905,$AB$1388:AB1905,"*")</f>
        <v>10514.829999999794</v>
      </c>
      <c r="BT1904" s="343">
        <f>SUMIFS($AU$1388:AU1905,$AC$1388:AC1905,"*")</f>
        <v>19435.257142857139</v>
      </c>
      <c r="BU1904" s="343">
        <f>SUMIFS($AU$1388:AU1905,$AA$1388:AA1905,"*",$AB$1388:AB1905,"*")</f>
        <v>5807.9999999998217</v>
      </c>
      <c r="BV1904" s="343">
        <f>SUMIFS($AU$1388:AU1905,$AA$1388:AA1905,"*",$AC$1388:AC1905,"*")</f>
        <v>14324.400000000001</v>
      </c>
      <c r="BW1904" s="343">
        <f>SUMIFS($AU$1388:AU1905,$AB$1388:AB1905,"*",$AC$1388:AC1905,"*")</f>
        <v>5839.9999999999982</v>
      </c>
      <c r="BX1904" s="343">
        <f>SUMIFS($AV$1388:AV1905,$Q$1388:Q1905,"F")</f>
        <v>343.80468353405269</v>
      </c>
      <c r="BY1904" s="343">
        <f>SUMIFS($AV$1388:AV1905,$Q$1388:Q1905,"S")</f>
        <v>523.63991333429885</v>
      </c>
      <c r="BZ1904" s="343">
        <f>SUMIFS($AV$1388:AV1905,$Q$1388:Q1905,"O")</f>
        <v>871.22899999976846</v>
      </c>
    </row>
    <row r="1905" spans="1:78" ht="15.75" customHeight="1">
      <c r="A1905" s="177" t="s">
        <v>5851</v>
      </c>
      <c r="B1905" s="200">
        <v>45408</v>
      </c>
      <c r="C1905" s="178" t="s">
        <v>6258</v>
      </c>
      <c r="D1905" s="178" t="s">
        <v>111</v>
      </c>
      <c r="E1905" s="227"/>
      <c r="F1905" s="180"/>
      <c r="G1905" s="484" t="s">
        <v>136</v>
      </c>
      <c r="H1905" s="182"/>
      <c r="I1905" s="182"/>
      <c r="J1905" s="182"/>
      <c r="K1905" s="183"/>
      <c r="L1905" s="182">
        <v>1</v>
      </c>
      <c r="M1905" s="182"/>
      <c r="N1905" s="182"/>
      <c r="O1905" s="183" t="s">
        <v>95</v>
      </c>
      <c r="P1905" s="183" t="s">
        <v>96</v>
      </c>
      <c r="Q1905" s="183" t="s">
        <v>97</v>
      </c>
      <c r="R1905" s="183">
        <v>17</v>
      </c>
      <c r="S1905" s="559">
        <v>3</v>
      </c>
      <c r="T1905" s="183">
        <v>17</v>
      </c>
      <c r="U1905" s="183" t="s">
        <v>97</v>
      </c>
      <c r="V1905" s="183"/>
      <c r="W1905" s="183"/>
      <c r="X1905" s="183"/>
      <c r="Y1905" s="184">
        <f>IF(ISBLANK(O1905),"",(IF(O1905=UPPER("IB"),0.005,0.01)))</f>
        <v>0.01</v>
      </c>
      <c r="Z1905" s="185">
        <f>IF(ISBLANK(O1905),"",IF(O1905="IB",8.63*200,IF(O1905="IR",16*100,IF(O1905="YT",20*100,IF(O1905="YT-XT",24*200,IF(O1905="TED",80*100,IF(O1905="XT",29*200)))))))</f>
        <v>1600</v>
      </c>
      <c r="AA1905" s="185" t="s">
        <v>99</v>
      </c>
      <c r="AB1905" s="185" t="s">
        <v>6259</v>
      </c>
      <c r="AC1905" s="185"/>
      <c r="AD1905" s="649">
        <v>0.12</v>
      </c>
      <c r="AE1905" s="182"/>
      <c r="AF1905" s="332"/>
      <c r="AG1905" s="182"/>
      <c r="AH1905" s="182"/>
      <c r="AI1905" s="182"/>
      <c r="AJ1905" s="640"/>
      <c r="AK1905" s="182"/>
      <c r="AL1905" s="496">
        <f t="shared" si="627"/>
        <v>-32</v>
      </c>
      <c r="AM1905" s="496">
        <f t="shared" si="621"/>
        <v>-448</v>
      </c>
      <c r="AN1905" s="626"/>
      <c r="AO1905" s="182"/>
      <c r="AP1905" s="182" t="s">
        <v>1639</v>
      </c>
      <c r="AQ1905" s="332" t="s">
        <v>372</v>
      </c>
      <c r="AR1905" s="182" t="s">
        <v>4318</v>
      </c>
      <c r="AS1905" s="189">
        <f>(0.11*3+0.12*14)/17</f>
        <v>0.11823529411764705</v>
      </c>
      <c r="AT1905" s="189">
        <f>IF(ISBLANK(AS1905),,IF(U1905="S",AD1905-AS1905,AS1905-AD1905))</f>
        <v>1.764705882352946E-3</v>
      </c>
      <c r="AU1905" s="187">
        <f>AV1905*R1905</f>
        <v>48.000000000000128</v>
      </c>
      <c r="AV1905" s="190">
        <f t="shared" ref="AV1905:AV1906" si="634">IF(ISBLANK(AS1905),,(AT1905*Z1905))</f>
        <v>2.8235294117647136</v>
      </c>
      <c r="AW1905" s="191" t="s">
        <v>96</v>
      </c>
      <c r="AX1905" s="551" t="s">
        <v>6260</v>
      </c>
      <c r="AY1905" s="551"/>
      <c r="AZ1905" s="551"/>
      <c r="BA1905" s="551"/>
      <c r="BB1905" s="551"/>
      <c r="BC1905" s="551"/>
      <c r="BD1905" s="549"/>
      <c r="BE1905" s="550"/>
      <c r="BF1905" s="549"/>
      <c r="BG1905" s="391">
        <f>SUM($AV$1389:AV1905)</f>
        <v>3686.6735968681255</v>
      </c>
      <c r="BH1905" s="392">
        <f>SUM($AU$1389:AU1905)</f>
        <v>37823.487142856568</v>
      </c>
      <c r="BI1905" s="318">
        <f>SUMIFS($AU$1388:AU1906,$Q$1388:Q1906,"F")</f>
        <v>20795.257142857143</v>
      </c>
      <c r="BJ1905" s="318">
        <f>SUMIFS($AU$1388:AU1906,$Q$1388:Q1906,"S")</f>
        <v>12767.999999999996</v>
      </c>
      <c r="BK1905" s="343">
        <f>SUMIFS($AU$1388:AU1906,$P$1388:P1906,"W")</f>
        <v>24644.437142857485</v>
      </c>
      <c r="BL1905" s="343">
        <f>SUMIFS($AU$1388:AU1906,$P$1388:P1906,"R")</f>
        <v>11165.999999999862</v>
      </c>
      <c r="BM1905" s="343">
        <f>SUMIFS($AU$1388:AU1906,$AQ$1388:AQ1906,"M")</f>
        <v>9225.3799999992698</v>
      </c>
      <c r="BN1905" s="343">
        <f>SUMIFS($AU$1388:AU1906,$AQ$1388:AQ1906,"H")</f>
        <v>8087.2000000002827</v>
      </c>
      <c r="BO1905" s="343">
        <f>SUMIFS($AU$1388:AU1906,$AQ$1388:AQ1906,"D")</f>
        <v>7662.307142857022</v>
      </c>
      <c r="BP1905" s="343">
        <f>SUMIFS($AS$1388:AS2677,$AO$1388:AO2677,"W")</f>
        <v>0</v>
      </c>
      <c r="BQ1905" s="343">
        <f>SUMIFS($AU$1388:AU1906,$Q$1388:Q1906,"O")</f>
        <v>2836.2299999994329</v>
      </c>
      <c r="BR1905" s="343">
        <f>SUMIFS($AU$1388:AU1906,$AA$1388:AA1906,"*")</f>
        <v>30565.79999999945</v>
      </c>
      <c r="BS1905" s="343">
        <f>SUMIFS($AU$1388:AU1906,$AB$1388:AB1906,"*")</f>
        <v>10514.829999999794</v>
      </c>
      <c r="BT1905" s="343">
        <f>SUMIFS($AU$1388:AU1906,$AC$1388:AC1906,"*")</f>
        <v>19435.257142857139</v>
      </c>
      <c r="BU1905" s="343">
        <f>SUMIFS($AU$1388:AU1906,$AA$1388:AA1906,"*",$AB$1388:AB1906,"*")</f>
        <v>5807.9999999998217</v>
      </c>
      <c r="BV1905" s="343">
        <f>SUMIFS($AU$1388:AU1906,$AA$1388:AA1906,"*",$AC$1388:AC1906,"*")</f>
        <v>14324.400000000001</v>
      </c>
      <c r="BW1905" s="343">
        <f>SUMIFS($AU$1388:AU1906,$AB$1388:AB1906,"*",$AC$1388:AC1906,"*")</f>
        <v>5839.9999999999982</v>
      </c>
      <c r="BX1905" s="343">
        <f>SUMIFS($AV$1388:AV1906,$Q$1388:Q1906,"F")</f>
        <v>343.80468353405269</v>
      </c>
      <c r="BY1905" s="343">
        <f>SUMIFS($AV$1388:AV1906,$Q$1388:Q1906,"S")</f>
        <v>523.63991333429885</v>
      </c>
      <c r="BZ1905" s="343">
        <f>SUMIFS($AV$1388:AV1906,$Q$1388:Q1906,"O")</f>
        <v>871.22899999976846</v>
      </c>
    </row>
    <row r="1906" spans="1:78" ht="15.75" customHeight="1">
      <c r="A1906" s="177" t="s">
        <v>5851</v>
      </c>
      <c r="B1906" s="200">
        <v>45408</v>
      </c>
      <c r="C1906" s="178" t="s">
        <v>6258</v>
      </c>
      <c r="D1906" s="178" t="s">
        <v>111</v>
      </c>
      <c r="E1906" s="227"/>
      <c r="F1906" s="180"/>
      <c r="G1906" s="484" t="s">
        <v>6261</v>
      </c>
      <c r="H1906" s="182"/>
      <c r="I1906" s="182"/>
      <c r="J1906" s="182"/>
      <c r="K1906" s="183"/>
      <c r="L1906" s="182">
        <v>1</v>
      </c>
      <c r="M1906" s="182"/>
      <c r="N1906" s="182"/>
      <c r="O1906" s="183" t="s">
        <v>95</v>
      </c>
      <c r="P1906" s="183" t="s">
        <v>96</v>
      </c>
      <c r="Q1906" s="183" t="s">
        <v>97</v>
      </c>
      <c r="R1906" s="183">
        <v>3</v>
      </c>
      <c r="S1906" s="559">
        <v>0</v>
      </c>
      <c r="T1906" s="183">
        <v>3</v>
      </c>
      <c r="U1906" s="183" t="s">
        <v>22</v>
      </c>
      <c r="V1906" s="183"/>
      <c r="W1906" s="183"/>
      <c r="X1906" s="183"/>
      <c r="Y1906" s="184">
        <f>IF(ISBLANK(O1906),"",(IF(O1906=UPPER("IB"),0.005,0.01)))</f>
        <v>0.01</v>
      </c>
      <c r="Z1906" s="185">
        <f>IF(ISBLANK(O1906),"",IF(O1906="IB",8.63*200,IF(O1906="IR",16*100,IF(O1906="YT",20*100,IF(O1906="YT-XT",24*200,IF(O1906="TED",80*100,IF(O1906="XT",29*200)))))))</f>
        <v>1600</v>
      </c>
      <c r="AA1906" s="185" t="s">
        <v>99</v>
      </c>
      <c r="AB1906" s="185" t="s">
        <v>6259</v>
      </c>
      <c r="AC1906" s="185"/>
      <c r="AD1906" s="649">
        <v>-0.01</v>
      </c>
      <c r="AE1906" s="182"/>
      <c r="AF1906" s="332"/>
      <c r="AG1906" s="182"/>
      <c r="AH1906" s="182"/>
      <c r="AI1906" s="182"/>
      <c r="AJ1906" s="640"/>
      <c r="AK1906" s="182"/>
      <c r="AL1906" s="496">
        <f t="shared" si="627"/>
        <v>-32</v>
      </c>
      <c r="AM1906" s="496">
        <f t="shared" si="621"/>
        <v>-96</v>
      </c>
      <c r="AN1906" s="626"/>
      <c r="AO1906" s="182"/>
      <c r="AP1906" s="182" t="s">
        <v>1639</v>
      </c>
      <c r="AQ1906" s="332" t="s">
        <v>372</v>
      </c>
      <c r="AR1906" s="182" t="s">
        <v>4318</v>
      </c>
      <c r="AS1906" s="189">
        <v>-0.01</v>
      </c>
      <c r="AT1906" s="189">
        <f>IF(ISBLANK(AS1906),,IF(U1906="S",AD1906-AS1906,AS1906-AD1906))</f>
        <v>0</v>
      </c>
      <c r="AU1906" s="187">
        <f>AV1906*R1906</f>
        <v>0</v>
      </c>
      <c r="AV1906" s="190">
        <f t="shared" si="634"/>
        <v>0</v>
      </c>
      <c r="AW1906" s="191" t="s">
        <v>115</v>
      </c>
      <c r="AX1906" s="551" t="s">
        <v>6262</v>
      </c>
      <c r="AY1906" s="551"/>
      <c r="AZ1906" s="551"/>
      <c r="BA1906" s="551"/>
      <c r="BB1906" s="551"/>
      <c r="BC1906" s="551"/>
      <c r="BD1906" s="549"/>
      <c r="BE1906" s="550"/>
      <c r="BF1906" s="549"/>
      <c r="BG1906" s="391">
        <f>SUM($AV$1389:AV1906)</f>
        <v>3686.6735968681255</v>
      </c>
      <c r="BH1906" s="392">
        <f>SUM($AU$1389:AU1906)</f>
        <v>37823.487142856568</v>
      </c>
      <c r="BI1906" s="318">
        <f>SUMIFS($AU$1388:AU1907,$Q$1388:Q1907,"F")</f>
        <v>20795.257142857143</v>
      </c>
      <c r="BJ1906" s="318">
        <f>SUMIFS($AU$1388:AU1907,$Q$1388:Q1907,"S")</f>
        <v>12767.999999999996</v>
      </c>
      <c r="BK1906" s="343">
        <f>SUMIFS($AU$1388:AU1907,$P$1388:P1907,"W")</f>
        <v>24644.437142857485</v>
      </c>
      <c r="BL1906" s="343">
        <f>SUMIFS($AU$1388:AU1907,$P$1388:P1907,"R")</f>
        <v>11165.999999999862</v>
      </c>
      <c r="BM1906" s="343">
        <f>SUMIFS($AU$1388:AU1907,$AQ$1388:AQ1907,"M")</f>
        <v>9225.3799999992698</v>
      </c>
      <c r="BN1906" s="343">
        <f>SUMIFS($AU$1388:AU1907,$AQ$1388:AQ1907,"H")</f>
        <v>8087.2000000002827</v>
      </c>
      <c r="BO1906" s="343">
        <f>SUMIFS($AU$1388:AU1907,$AQ$1388:AQ1907,"D")</f>
        <v>7662.307142857022</v>
      </c>
      <c r="BP1906" s="343">
        <f>SUMIFS($AS$1388:AS2678,$AO$1388:AO2678,"W")</f>
        <v>0</v>
      </c>
      <c r="BQ1906" s="343">
        <f>SUMIFS($AU$1388:AU1907,$Q$1388:Q1907,"O")</f>
        <v>2836.2299999994329</v>
      </c>
      <c r="BR1906" s="343">
        <f>SUMIFS($AU$1388:AU1907,$AA$1388:AA1907,"*")</f>
        <v>30565.79999999945</v>
      </c>
      <c r="BS1906" s="343">
        <f>SUMIFS($AU$1388:AU1907,$AB$1388:AB1907,"*")</f>
        <v>10514.829999999794</v>
      </c>
      <c r="BT1906" s="343">
        <f>SUMIFS($AU$1388:AU1907,$AC$1388:AC1907,"*")</f>
        <v>19435.257142857139</v>
      </c>
      <c r="BU1906" s="343">
        <f>SUMIFS($AU$1388:AU1907,$AA$1388:AA1907,"*",$AB$1388:AB1907,"*")</f>
        <v>5807.9999999998217</v>
      </c>
      <c r="BV1906" s="343">
        <f>SUMIFS($AU$1388:AU1907,$AA$1388:AA1907,"*",$AC$1388:AC1907,"*")</f>
        <v>14324.400000000001</v>
      </c>
      <c r="BW1906" s="343">
        <f>SUMIFS($AU$1388:AU1907,$AB$1388:AB1907,"*",$AC$1388:AC1907,"*")</f>
        <v>5839.9999999999982</v>
      </c>
      <c r="BX1906" s="343">
        <f>SUMIFS($AV$1388:AV1907,$Q$1388:Q1907,"F")</f>
        <v>343.80468353405269</v>
      </c>
      <c r="BY1906" s="343">
        <f>SUMIFS($AV$1388:AV1907,$Q$1388:Q1907,"S")</f>
        <v>523.63991333429885</v>
      </c>
      <c r="BZ1906" s="343">
        <f>SUMIFS($AV$1388:AV1907,$Q$1388:Q1907,"O")</f>
        <v>871.22899999976846</v>
      </c>
    </row>
    <row r="1907" spans="1:78" ht="15.75" customHeight="1">
      <c r="A1907" s="177" t="s">
        <v>5851</v>
      </c>
      <c r="B1907" s="200">
        <v>45408</v>
      </c>
      <c r="C1907" s="178" t="s">
        <v>6263</v>
      </c>
      <c r="D1907" s="178" t="s">
        <v>111</v>
      </c>
      <c r="E1907" s="227"/>
      <c r="F1907" s="180"/>
      <c r="G1907" s="181" t="s">
        <v>2070</v>
      </c>
      <c r="H1907" s="182"/>
      <c r="I1907" s="182"/>
      <c r="J1907" s="182"/>
      <c r="K1907" s="183"/>
      <c r="L1907" s="182"/>
      <c r="M1907" s="182"/>
      <c r="N1907" s="182"/>
      <c r="O1907" s="183"/>
      <c r="P1907" s="183"/>
      <c r="Q1907" s="183"/>
      <c r="R1907" s="183"/>
      <c r="S1907" s="559"/>
      <c r="T1907" s="183"/>
      <c r="U1907" s="183"/>
      <c r="V1907" s="183"/>
      <c r="W1907" s="183"/>
      <c r="X1907" s="183"/>
      <c r="Y1907" s="184"/>
      <c r="Z1907" s="185"/>
      <c r="AA1907" s="185"/>
      <c r="AB1907" s="185"/>
      <c r="AC1907" s="185"/>
      <c r="AD1907" s="649"/>
      <c r="AE1907" s="182"/>
      <c r="AF1907" s="332"/>
      <c r="AG1907" s="182"/>
      <c r="AH1907" s="182"/>
      <c r="AI1907" s="182"/>
      <c r="AJ1907" s="640"/>
      <c r="AK1907" s="182"/>
      <c r="AL1907" s="496">
        <f t="shared" si="627"/>
        <v>0</v>
      </c>
      <c r="AM1907" s="496">
        <f t="shared" si="621"/>
        <v>0</v>
      </c>
      <c r="AN1907" s="626"/>
      <c r="AO1907" s="182"/>
      <c r="AP1907" s="182"/>
      <c r="AQ1907" s="332" t="str">
        <f>UPPER(RIGHT(Journal_Live[[#This Row],[DURATION ]]))</f>
        <v/>
      </c>
      <c r="AR1907" s="182"/>
      <c r="AS1907" s="189"/>
      <c r="AT1907" s="189"/>
      <c r="AU1907" s="187"/>
      <c r="AV1907" s="190"/>
      <c r="AW1907" s="191"/>
      <c r="AX1907" s="551"/>
      <c r="AY1907" s="551"/>
      <c r="AZ1907" s="551"/>
      <c r="BA1907" s="551"/>
      <c r="BB1907" s="551"/>
      <c r="BC1907" s="551"/>
      <c r="BD1907" s="549"/>
      <c r="BE1907" s="550"/>
      <c r="BF1907" s="549"/>
      <c r="BG1907" s="391">
        <f>SUM($AV$1389:AV1907)</f>
        <v>3686.6735968681255</v>
      </c>
      <c r="BH1907" s="392">
        <f>SUM($AU$1389:AU1907)</f>
        <v>37823.487142856568</v>
      </c>
      <c r="BI1907" s="318">
        <f>SUMIFS($AU$1388:AU1908,$Q$1388:Q1908,"F")</f>
        <v>20795.257142857143</v>
      </c>
      <c r="BJ1907" s="318">
        <f>SUMIFS($AU$1388:AU1908,$Q$1388:Q1908,"S")</f>
        <v>12767.999999999996</v>
      </c>
      <c r="BK1907" s="343">
        <f>SUMIFS($AU$1388:AU1908,$P$1388:P1908,"W")</f>
        <v>24644.437142857485</v>
      </c>
      <c r="BL1907" s="343">
        <f>SUMIFS($AU$1388:AU1908,$P$1388:P1908,"R")</f>
        <v>11165.999999999862</v>
      </c>
      <c r="BM1907" s="343">
        <f>SUMIFS($AU$1388:AU1908,$AQ$1388:AQ1908,"M")</f>
        <v>9225.3799999992698</v>
      </c>
      <c r="BN1907" s="343">
        <f>SUMIFS($AU$1388:AU1908,$AQ$1388:AQ1908,"H")</f>
        <v>8087.2000000002827</v>
      </c>
      <c r="BO1907" s="343">
        <f>SUMIFS($AU$1388:AU1908,$AQ$1388:AQ1908,"D")</f>
        <v>7662.307142857022</v>
      </c>
      <c r="BP1907" s="343">
        <f>SUMIFS($AS$1388:AS2679,$AO$1388:AO2679,"W")</f>
        <v>0</v>
      </c>
      <c r="BQ1907" s="343">
        <f>SUMIFS($AU$1388:AU1908,$Q$1388:Q1908,"O")</f>
        <v>2836.2299999994329</v>
      </c>
      <c r="BR1907" s="343">
        <f>SUMIFS($AU$1388:AU1908,$AA$1388:AA1908,"*")</f>
        <v>30565.79999999945</v>
      </c>
      <c r="BS1907" s="343">
        <f>SUMIFS($AU$1388:AU1908,$AB$1388:AB1908,"*")</f>
        <v>10514.829999999794</v>
      </c>
      <c r="BT1907" s="343">
        <f>SUMIFS($AU$1388:AU1908,$AC$1388:AC1908,"*")</f>
        <v>19435.257142857139</v>
      </c>
      <c r="BU1907" s="343">
        <f>SUMIFS($AU$1388:AU1908,$AA$1388:AA1908,"*",$AB$1388:AB1908,"*")</f>
        <v>5807.9999999998217</v>
      </c>
      <c r="BV1907" s="343">
        <f>SUMIFS($AU$1388:AU1908,$AA$1388:AA1908,"*",$AC$1388:AC1908,"*")</f>
        <v>14324.400000000001</v>
      </c>
      <c r="BW1907" s="343">
        <f>SUMIFS($AU$1388:AU1908,$AB$1388:AB1908,"*",$AC$1388:AC1908,"*")</f>
        <v>5839.9999999999982</v>
      </c>
      <c r="BX1907" s="343">
        <f>SUMIFS($AV$1388:AV1908,$Q$1388:Q1908,"F")</f>
        <v>343.80468353405269</v>
      </c>
      <c r="BY1907" s="343">
        <f>SUMIFS($AV$1388:AV1908,$Q$1388:Q1908,"S")</f>
        <v>523.63991333429885</v>
      </c>
      <c r="BZ1907" s="343">
        <f>SUMIFS($AV$1388:AV1908,$Q$1388:Q1908,"O")</f>
        <v>871.22899999976846</v>
      </c>
    </row>
    <row r="1908" spans="1:78" ht="15.75" customHeight="1">
      <c r="A1908" s="177" t="s">
        <v>5851</v>
      </c>
      <c r="B1908" s="200">
        <v>45408</v>
      </c>
      <c r="C1908" s="178" t="s">
        <v>1714</v>
      </c>
      <c r="D1908" s="178" t="s">
        <v>111</v>
      </c>
      <c r="E1908" s="227" t="s">
        <v>6264</v>
      </c>
      <c r="F1908" s="180"/>
      <c r="G1908" s="181"/>
      <c r="H1908" s="182"/>
      <c r="I1908" s="182"/>
      <c r="J1908" s="182"/>
      <c r="K1908" s="183"/>
      <c r="L1908" s="182"/>
      <c r="M1908" s="182"/>
      <c r="N1908" s="182"/>
      <c r="O1908" s="183"/>
      <c r="P1908" s="183"/>
      <c r="Q1908" s="183"/>
      <c r="R1908" s="183"/>
      <c r="S1908" s="183"/>
      <c r="T1908" s="183"/>
      <c r="U1908" s="183"/>
      <c r="V1908" s="183"/>
      <c r="W1908" s="183"/>
      <c r="X1908" s="183"/>
      <c r="Y1908" s="183"/>
      <c r="Z1908" s="183"/>
      <c r="AA1908" s="185"/>
      <c r="AB1908" s="185"/>
      <c r="AC1908" s="185"/>
      <c r="AD1908" s="649"/>
      <c r="AE1908" s="182"/>
      <c r="AF1908" s="332"/>
      <c r="AG1908" s="182"/>
      <c r="AH1908" s="182"/>
      <c r="AI1908" s="182"/>
      <c r="AJ1908" s="640"/>
      <c r="AK1908" s="182"/>
      <c r="AL1908" s="496">
        <f t="shared" ref="AL1908:AL1910" si="635">-0.02*Z1908</f>
        <v>0</v>
      </c>
      <c r="AM1908" s="496">
        <f t="shared" si="621"/>
        <v>0</v>
      </c>
      <c r="AN1908" s="626"/>
      <c r="AO1908" s="182"/>
      <c r="AP1908" s="182"/>
      <c r="AQ1908" s="332" t="str">
        <f>UPPER(RIGHT(Journal_Live[[#This Row],[DURATION ]]))</f>
        <v/>
      </c>
      <c r="AR1908" s="182"/>
      <c r="AS1908" s="189"/>
      <c r="AT1908" s="189"/>
      <c r="AU1908" s="187"/>
      <c r="AV1908" s="190"/>
      <c r="AW1908" s="191"/>
      <c r="AX1908" s="551"/>
      <c r="AY1908" s="551"/>
      <c r="AZ1908" s="551"/>
      <c r="BA1908" s="551"/>
      <c r="BB1908" s="551"/>
      <c r="BC1908" s="551"/>
      <c r="BD1908" s="549"/>
      <c r="BE1908" s="550"/>
      <c r="BF1908" s="549"/>
      <c r="BG1908" s="391">
        <f>SUM($AV$1389:AV1908)</f>
        <v>3686.6735968681255</v>
      </c>
      <c r="BH1908" s="392">
        <f>SUM($AU$1389:AU1908)</f>
        <v>37823.487142856568</v>
      </c>
      <c r="BI1908" s="318">
        <f>SUMIFS($AU$1388:AU1909,$Q$1388:Q1909,"F")</f>
        <v>20795.257142857143</v>
      </c>
      <c r="BJ1908" s="318">
        <f>SUMIFS($AU$1388:AU1909,$Q$1388:Q1909,"S")</f>
        <v>12767.999999999996</v>
      </c>
      <c r="BK1908" s="343">
        <f>SUMIFS($AU$1388:AU1909,$P$1388:P1909,"W")</f>
        <v>24644.437142857485</v>
      </c>
      <c r="BL1908" s="343">
        <f>SUMIFS($AU$1388:AU1909,$P$1388:P1909,"R")</f>
        <v>11165.999999999862</v>
      </c>
      <c r="BM1908" s="343">
        <f>SUMIFS($AU$1388:AU1909,$AQ$1388:AQ1909,"M")</f>
        <v>9225.3799999992698</v>
      </c>
      <c r="BN1908" s="343">
        <f>SUMIFS($AU$1388:AU1909,$AQ$1388:AQ1909,"H")</f>
        <v>8087.2000000002827</v>
      </c>
      <c r="BO1908" s="343">
        <f>SUMIFS($AU$1388:AU1909,$AQ$1388:AQ1909,"D")</f>
        <v>7662.307142857022</v>
      </c>
      <c r="BP1908" s="343">
        <f>SUMIFS($AS$1388:AS2680,$AO$1388:AO2680,"W")</f>
        <v>0</v>
      </c>
      <c r="BQ1908" s="343">
        <f>SUMIFS($AU$1388:AU1909,$Q$1388:Q1909,"O")</f>
        <v>2836.2299999994329</v>
      </c>
      <c r="BR1908" s="343">
        <f>SUMIFS($AU$1388:AU1909,$AA$1388:AA1909,"*")</f>
        <v>30565.79999999945</v>
      </c>
      <c r="BS1908" s="343">
        <f>SUMIFS($AU$1388:AU1909,$AB$1388:AB1909,"*")</f>
        <v>10514.829999999794</v>
      </c>
      <c r="BT1908" s="343">
        <f>SUMIFS($AU$1388:AU1909,$AC$1388:AC1909,"*")</f>
        <v>19435.257142857139</v>
      </c>
      <c r="BU1908" s="343">
        <f>SUMIFS($AU$1388:AU1909,$AA$1388:AA1909,"*",$AB$1388:AB1909,"*")</f>
        <v>5807.9999999998217</v>
      </c>
      <c r="BV1908" s="343">
        <f>SUMIFS($AU$1388:AU1909,$AA$1388:AA1909,"*",$AC$1388:AC1909,"*")</f>
        <v>14324.400000000001</v>
      </c>
      <c r="BW1908" s="343">
        <f>SUMIFS($AU$1388:AU1909,$AB$1388:AB1909,"*",$AC$1388:AC1909,"*")</f>
        <v>5839.9999999999982</v>
      </c>
      <c r="BX1908" s="343">
        <f>SUMIFS($AV$1388:AV1909,$Q$1388:Q1909,"F")</f>
        <v>343.80468353405269</v>
      </c>
      <c r="BY1908" s="343">
        <f>SUMIFS($AV$1388:AV1909,$Q$1388:Q1909,"S")</f>
        <v>523.63991333429885</v>
      </c>
      <c r="BZ1908" s="343">
        <f>SUMIFS($AV$1388:AV1909,$Q$1388:Q1909,"O")</f>
        <v>871.22899999976846</v>
      </c>
    </row>
    <row r="1909" spans="1:78" ht="15.75" customHeight="1">
      <c r="A1909" s="177" t="s">
        <v>5851</v>
      </c>
      <c r="B1909" s="200"/>
      <c r="C1909" s="178"/>
      <c r="D1909" s="178"/>
      <c r="E1909" s="227" t="s">
        <v>6265</v>
      </c>
      <c r="F1909" s="180"/>
      <c r="G1909" s="181"/>
      <c r="H1909" s="182"/>
      <c r="I1909" s="182"/>
      <c r="J1909" s="182"/>
      <c r="K1909" s="183"/>
      <c r="L1909" s="182"/>
      <c r="M1909" s="182"/>
      <c r="N1909" s="182"/>
      <c r="O1909" s="183"/>
      <c r="P1909" s="183"/>
      <c r="Q1909" s="183"/>
      <c r="R1909" s="183"/>
      <c r="S1909" s="183"/>
      <c r="T1909" s="183"/>
      <c r="U1909" s="183"/>
      <c r="V1909" s="183"/>
      <c r="W1909" s="183"/>
      <c r="X1909" s="183"/>
      <c r="Y1909" s="183"/>
      <c r="Z1909" s="183"/>
      <c r="AA1909" s="185"/>
      <c r="AB1909" s="185"/>
      <c r="AC1909" s="185"/>
      <c r="AD1909" s="649"/>
      <c r="AE1909" s="182"/>
      <c r="AF1909" s="332"/>
      <c r="AG1909" s="182"/>
      <c r="AH1909" s="182"/>
      <c r="AI1909" s="182"/>
      <c r="AJ1909" s="640"/>
      <c r="AK1909" s="182"/>
      <c r="AL1909" s="496">
        <f t="shared" si="635"/>
        <v>0</v>
      </c>
      <c r="AM1909" s="496">
        <f t="shared" si="621"/>
        <v>0</v>
      </c>
      <c r="AN1909" s="626"/>
      <c r="AO1909" s="182"/>
      <c r="AP1909" s="182"/>
      <c r="AQ1909" s="332" t="str">
        <f>UPPER(RIGHT(Journal_Live[[#This Row],[DURATION ]]))</f>
        <v/>
      </c>
      <c r="AR1909" s="182" t="s">
        <v>529</v>
      </c>
      <c r="AS1909" s="189"/>
      <c r="AT1909" s="189"/>
      <c r="AU1909" s="187"/>
      <c r="AV1909" s="190"/>
      <c r="AW1909" s="191"/>
      <c r="AX1909" s="551"/>
      <c r="AY1909" s="551"/>
      <c r="AZ1909" s="551"/>
      <c r="BA1909" s="551"/>
      <c r="BB1909" s="551"/>
      <c r="BC1909" s="551"/>
      <c r="BD1909" s="549"/>
      <c r="BE1909" s="550"/>
      <c r="BF1909" s="549"/>
      <c r="BG1909" s="391">
        <f>SUM($AV$1389:AV1909)</f>
        <v>3686.6735968681255</v>
      </c>
      <c r="BH1909" s="392">
        <f>SUM($AU$1389:AU1909)</f>
        <v>37823.487142856568</v>
      </c>
      <c r="BI1909" s="318">
        <f>SUMIFS($AU$1388:AU1910,$Q$1388:Q1910,"F")</f>
        <v>20795.257142857143</v>
      </c>
      <c r="BJ1909" s="318">
        <f>SUMIFS($AU$1388:AU1910,$Q$1388:Q1910,"S")</f>
        <v>12767.999999999996</v>
      </c>
      <c r="BK1909" s="343">
        <f>SUMIFS($AU$1388:AU1910,$P$1388:P1910,"W")</f>
        <v>24644.437142857485</v>
      </c>
      <c r="BL1909" s="343">
        <f>SUMIFS($AU$1388:AU1910,$P$1388:P1910,"R")</f>
        <v>11165.999999999862</v>
      </c>
      <c r="BM1909" s="343">
        <f>SUMIFS($AU$1388:AU1910,$AQ$1388:AQ1910,"M")</f>
        <v>9225.3799999992698</v>
      </c>
      <c r="BN1909" s="343">
        <f>SUMIFS($AU$1388:AU1910,$AQ$1388:AQ1910,"H")</f>
        <v>8087.2000000002827</v>
      </c>
      <c r="BO1909" s="343">
        <f>SUMIFS($AU$1388:AU1910,$AQ$1388:AQ1910,"D")</f>
        <v>7662.307142857022</v>
      </c>
      <c r="BP1909" s="343">
        <f>SUMIFS($AS$1388:AS2681,$AO$1388:AO2681,"W")</f>
        <v>0</v>
      </c>
      <c r="BQ1909" s="343">
        <f>SUMIFS($AU$1388:AU1910,$Q$1388:Q1910,"O")</f>
        <v>2836.2299999994329</v>
      </c>
      <c r="BR1909" s="343">
        <f>SUMIFS($AU$1388:AU1910,$AA$1388:AA1910,"*")</f>
        <v>30565.79999999945</v>
      </c>
      <c r="BS1909" s="343">
        <f>SUMIFS($AU$1388:AU1910,$AB$1388:AB1910,"*")</f>
        <v>10514.829999999794</v>
      </c>
      <c r="BT1909" s="343">
        <f>SUMIFS($AU$1388:AU1910,$AC$1388:AC1910,"*")</f>
        <v>19435.257142857139</v>
      </c>
      <c r="BU1909" s="343">
        <f>SUMIFS($AU$1388:AU1910,$AA$1388:AA1910,"*",$AB$1388:AB1910,"*")</f>
        <v>5807.9999999998217</v>
      </c>
      <c r="BV1909" s="343">
        <f>SUMIFS($AU$1388:AU1910,$AA$1388:AA1910,"*",$AC$1388:AC1910,"*")</f>
        <v>14324.400000000001</v>
      </c>
      <c r="BW1909" s="343">
        <f>SUMIFS($AU$1388:AU1910,$AB$1388:AB1910,"*",$AC$1388:AC1910,"*")</f>
        <v>5839.9999999999982</v>
      </c>
      <c r="BX1909" s="343">
        <f>SUMIFS($AV$1388:AV1910,$Q$1388:Q1910,"F")</f>
        <v>343.80468353405269</v>
      </c>
      <c r="BY1909" s="343">
        <f>SUMIFS($AV$1388:AV1910,$Q$1388:Q1910,"S")</f>
        <v>523.63991333429885</v>
      </c>
      <c r="BZ1909" s="343">
        <f>SUMIFS($AV$1388:AV1910,$Q$1388:Q1910,"O")</f>
        <v>871.22899999976846</v>
      </c>
    </row>
    <row r="1910" spans="1:78" ht="15.75" customHeight="1">
      <c r="A1910" s="177" t="s">
        <v>5851</v>
      </c>
      <c r="B1910" s="200"/>
      <c r="C1910" s="178"/>
      <c r="D1910" s="178"/>
      <c r="E1910" s="227" t="s">
        <v>6266</v>
      </c>
      <c r="F1910" s="180"/>
      <c r="G1910" s="181"/>
      <c r="H1910" s="182"/>
      <c r="I1910" s="182"/>
      <c r="J1910" s="182"/>
      <c r="K1910" s="183"/>
      <c r="L1910" s="182"/>
      <c r="M1910" s="182"/>
      <c r="N1910" s="182"/>
      <c r="O1910" s="183"/>
      <c r="P1910" s="183"/>
      <c r="Q1910" s="183"/>
      <c r="R1910" s="183"/>
      <c r="S1910" s="183"/>
      <c r="T1910" s="183"/>
      <c r="U1910" s="183"/>
      <c r="V1910" s="183"/>
      <c r="W1910" s="183"/>
      <c r="X1910" s="183"/>
      <c r="Y1910" s="183"/>
      <c r="Z1910" s="183"/>
      <c r="AA1910" s="185"/>
      <c r="AB1910" s="185"/>
      <c r="AC1910" s="185"/>
      <c r="AD1910" s="649"/>
      <c r="AE1910" s="182"/>
      <c r="AF1910" s="332"/>
      <c r="AG1910" s="182"/>
      <c r="AH1910" s="182"/>
      <c r="AI1910" s="182"/>
      <c r="AJ1910" s="640"/>
      <c r="AK1910" s="182"/>
      <c r="AL1910" s="496">
        <f t="shared" si="635"/>
        <v>0</v>
      </c>
      <c r="AM1910" s="496">
        <f t="shared" si="621"/>
        <v>0</v>
      </c>
      <c r="AN1910" s="626"/>
      <c r="AO1910" s="182"/>
      <c r="AP1910" s="182"/>
      <c r="AQ1910" s="332" t="str">
        <f>UPPER(RIGHT(Journal_Live[[#This Row],[DURATION ]]))</f>
        <v/>
      </c>
      <c r="AR1910" s="182"/>
      <c r="AS1910" s="189"/>
      <c r="AT1910" s="189"/>
      <c r="AU1910" s="187"/>
      <c r="AV1910" s="190"/>
      <c r="AW1910" s="191"/>
      <c r="AX1910" s="551"/>
      <c r="AY1910" s="551"/>
      <c r="AZ1910" s="551"/>
      <c r="BA1910" s="551"/>
      <c r="BB1910" s="551"/>
      <c r="BC1910" s="551"/>
      <c r="BD1910" s="549"/>
      <c r="BE1910" s="550"/>
      <c r="BF1910" s="549"/>
      <c r="BG1910" s="391">
        <f>SUM($AV$1389:AV1910)</f>
        <v>3686.6735968681255</v>
      </c>
      <c r="BH1910" s="392">
        <f>SUM($AU$1389:AU1910)</f>
        <v>37823.487142856568</v>
      </c>
      <c r="BI1910" s="318">
        <f>SUMIFS($AU$1388:AU1911,$Q$1388:Q1911,"F")</f>
        <v>20795.257142857143</v>
      </c>
      <c r="BJ1910" s="318">
        <f>SUMIFS($AU$1388:AU1911,$Q$1388:Q1911,"S")</f>
        <v>12767.999999999996</v>
      </c>
      <c r="BK1910" s="343">
        <f>SUMIFS($AU$1388:AU1911,$P$1388:P1911,"W")</f>
        <v>24644.437142857485</v>
      </c>
      <c r="BL1910" s="343">
        <f>SUMIFS($AU$1388:AU1911,$P$1388:P1911,"R")</f>
        <v>11165.999999999862</v>
      </c>
      <c r="BM1910" s="343">
        <f>SUMIFS($AU$1388:AU1911,$AQ$1388:AQ1911,"M")</f>
        <v>9225.3799999992698</v>
      </c>
      <c r="BN1910" s="343">
        <f>SUMIFS($AU$1388:AU1911,$AQ$1388:AQ1911,"H")</f>
        <v>8087.2000000002827</v>
      </c>
      <c r="BO1910" s="343">
        <f>SUMIFS($AU$1388:AU1911,$AQ$1388:AQ1911,"D")</f>
        <v>7662.307142857022</v>
      </c>
      <c r="BP1910" s="343">
        <f>SUMIFS($AS$1388:AS2682,$AO$1388:AO2682,"W")</f>
        <v>0</v>
      </c>
      <c r="BQ1910" s="343">
        <f>SUMIFS($AU$1388:AU1911,$Q$1388:Q1911,"O")</f>
        <v>2836.2299999994329</v>
      </c>
      <c r="BR1910" s="343">
        <f>SUMIFS($AU$1388:AU1911,$AA$1388:AA1911,"*")</f>
        <v>30565.79999999945</v>
      </c>
      <c r="BS1910" s="343">
        <f>SUMIFS($AU$1388:AU1911,$AB$1388:AB1911,"*")</f>
        <v>10514.829999999794</v>
      </c>
      <c r="BT1910" s="343">
        <f>SUMIFS($AU$1388:AU1911,$AC$1388:AC1911,"*")</f>
        <v>19435.257142857139</v>
      </c>
      <c r="BU1910" s="343">
        <f>SUMIFS($AU$1388:AU1911,$AA$1388:AA1911,"*",$AB$1388:AB1911,"*")</f>
        <v>5807.9999999998217</v>
      </c>
      <c r="BV1910" s="343">
        <f>SUMIFS($AU$1388:AU1911,$AA$1388:AA1911,"*",$AC$1388:AC1911,"*")</f>
        <v>14324.400000000001</v>
      </c>
      <c r="BW1910" s="343">
        <f>SUMIFS($AU$1388:AU1911,$AB$1388:AB1911,"*",$AC$1388:AC1911,"*")</f>
        <v>5839.9999999999982</v>
      </c>
      <c r="BX1910" s="343">
        <f>SUMIFS($AV$1388:AV1911,$Q$1388:Q1911,"F")</f>
        <v>343.80468353405269</v>
      </c>
      <c r="BY1910" s="343">
        <f>SUMIFS($AV$1388:AV1911,$Q$1388:Q1911,"S")</f>
        <v>523.63991333429885</v>
      </c>
      <c r="BZ1910" s="343">
        <f>SUMIFS($AV$1388:AV1911,$Q$1388:Q1911,"O")</f>
        <v>871.22899999976846</v>
      </c>
    </row>
    <row r="1911" spans="1:78" ht="15.75" customHeight="1">
      <c r="A1911" s="177" t="s">
        <v>5851</v>
      </c>
      <c r="B1911" s="200"/>
      <c r="C1911" s="178"/>
      <c r="D1911" s="178"/>
      <c r="E1911" s="227" t="s">
        <v>6267</v>
      </c>
      <c r="F1911" s="180"/>
      <c r="G1911" s="181"/>
      <c r="H1911" s="182"/>
      <c r="I1911" s="182"/>
      <c r="J1911" s="182"/>
      <c r="K1911" s="183"/>
      <c r="L1911" s="182"/>
      <c r="M1911" s="182"/>
      <c r="N1911" s="182"/>
      <c r="O1911" s="183"/>
      <c r="P1911" s="183"/>
      <c r="Q1911" s="183"/>
      <c r="R1911" s="183"/>
      <c r="S1911" s="183"/>
      <c r="T1911" s="183"/>
      <c r="U1911" s="183"/>
      <c r="V1911" s="183"/>
      <c r="W1911" s="183"/>
      <c r="X1911" s="183"/>
      <c r="Y1911" s="183"/>
      <c r="Z1911" s="183"/>
      <c r="AA1911" s="185"/>
      <c r="AB1911" s="185"/>
      <c r="AC1911" s="185"/>
      <c r="AD1911" s="649"/>
      <c r="AE1911" s="182"/>
      <c r="AF1911" s="332"/>
      <c r="AG1911" s="182"/>
      <c r="AH1911" s="182"/>
      <c r="AI1911" s="182"/>
      <c r="AJ1911" s="640"/>
      <c r="AK1911" s="182"/>
      <c r="AL1911" s="496">
        <f t="shared" si="627"/>
        <v>0</v>
      </c>
      <c r="AM1911" s="496">
        <f t="shared" si="621"/>
        <v>0</v>
      </c>
      <c r="AN1911" s="626"/>
      <c r="AO1911" s="182"/>
      <c r="AP1911" s="182"/>
      <c r="AQ1911" s="332" t="str">
        <f>UPPER(RIGHT(Journal_Live[[#This Row],[DURATION ]]))</f>
        <v/>
      </c>
      <c r="AR1911" s="182"/>
      <c r="AS1911" s="189"/>
      <c r="AT1911" s="189"/>
      <c r="AU1911" s="187"/>
      <c r="AV1911" s="190"/>
      <c r="AW1911" s="191"/>
      <c r="AX1911" s="551"/>
      <c r="AY1911" s="551"/>
      <c r="AZ1911" s="551"/>
      <c r="BA1911" s="551"/>
      <c r="BB1911" s="551"/>
      <c r="BC1911" s="551"/>
      <c r="BD1911" s="549"/>
      <c r="BE1911" s="550"/>
      <c r="BF1911" s="549"/>
      <c r="BG1911" s="391">
        <f>SUM($AV$1389:AV1911)</f>
        <v>3686.6735968681255</v>
      </c>
      <c r="BH1911" s="392">
        <f>SUM($AU$1389:AU1911)</f>
        <v>37823.487142856568</v>
      </c>
      <c r="BI1911" s="318">
        <f>SUMIFS($AU$1388:AU1912,$Q$1388:Q1912,"F")</f>
        <v>20795.257142857143</v>
      </c>
      <c r="BJ1911" s="318">
        <f>SUMIFS($AU$1388:AU1912,$Q$1388:Q1912,"S")</f>
        <v>14047.999999999996</v>
      </c>
      <c r="BK1911" s="343">
        <f>SUMIFS($AU$1388:AU1912,$P$1388:P1912,"W")</f>
        <v>25924.437142857485</v>
      </c>
      <c r="BL1911" s="343">
        <f>SUMIFS($AU$1388:AU1912,$P$1388:P1912,"R")</f>
        <v>11165.999999999862</v>
      </c>
      <c r="BM1911" s="343">
        <f>SUMIFS($AU$1388:AU1912,$AQ$1388:AQ1912,"M")</f>
        <v>9225.3799999992698</v>
      </c>
      <c r="BN1911" s="343">
        <f>SUMIFS($AU$1388:AU1912,$AQ$1388:AQ1912,"H")</f>
        <v>8087.2000000002827</v>
      </c>
      <c r="BO1911" s="343">
        <f>SUMIFS($AU$1388:AU1912,$AQ$1388:AQ1912,"D")</f>
        <v>8942.307142857022</v>
      </c>
      <c r="BP1911" s="343">
        <f>SUMIFS($AS$1388:AS2683,$AO$1388:AO2683,"W")</f>
        <v>0</v>
      </c>
      <c r="BQ1911" s="343">
        <f>SUMIFS($AU$1388:AU1912,$Q$1388:Q1912,"O")</f>
        <v>2836.2299999994329</v>
      </c>
      <c r="BR1911" s="343">
        <f>SUMIFS($AU$1388:AU1912,$AA$1388:AA1912,"*")</f>
        <v>30565.79999999945</v>
      </c>
      <c r="BS1911" s="343">
        <f>SUMIFS($AU$1388:AU1912,$AB$1388:AB1912,"*")</f>
        <v>11794.829999999794</v>
      </c>
      <c r="BT1911" s="343">
        <f>SUMIFS($AU$1388:AU1912,$AC$1388:AC1912,"*")</f>
        <v>20715.257142857139</v>
      </c>
      <c r="BU1911" s="343">
        <f>SUMIFS($AU$1388:AU1912,$AA$1388:AA1912,"*",$AB$1388:AB1912,"*")</f>
        <v>5807.9999999998217</v>
      </c>
      <c r="BV1911" s="343">
        <f>SUMIFS($AU$1388:AU1912,$AA$1388:AA1912,"*",$AC$1388:AC1912,"*")</f>
        <v>14324.400000000001</v>
      </c>
      <c r="BW1911" s="343">
        <f>SUMIFS($AU$1388:AU1912,$AB$1388:AB1912,"*",$AC$1388:AC1912,"*")</f>
        <v>7119.9999999999982</v>
      </c>
      <c r="BX1911" s="343">
        <f>SUMIFS($AV$1388:AV1912,$Q$1388:Q1912,"F")</f>
        <v>343.80468353405269</v>
      </c>
      <c r="BY1911" s="343">
        <f>SUMIFS($AV$1388:AV1912,$Q$1388:Q1912,"S")</f>
        <v>555.63991333429885</v>
      </c>
      <c r="BZ1911" s="343">
        <f>SUMIFS($AV$1388:AV1912,$Q$1388:Q1912,"O")</f>
        <v>871.22899999976846</v>
      </c>
    </row>
    <row r="1912" spans="1:78" ht="15.75" customHeight="1">
      <c r="A1912" s="177" t="s">
        <v>5851</v>
      </c>
      <c r="B1912" s="200">
        <v>45408</v>
      </c>
      <c r="C1912" s="178" t="s">
        <v>6268</v>
      </c>
      <c r="D1912" s="178" t="s">
        <v>111</v>
      </c>
      <c r="E1912" s="227"/>
      <c r="F1912" s="180"/>
      <c r="G1912" s="490" t="s">
        <v>3467</v>
      </c>
      <c r="H1912" s="182"/>
      <c r="I1912" s="182"/>
      <c r="J1912" s="182"/>
      <c r="K1912" s="183"/>
      <c r="L1912" s="182">
        <v>1</v>
      </c>
      <c r="M1912" s="182"/>
      <c r="N1912" s="182"/>
      <c r="O1912" s="183" t="s">
        <v>95</v>
      </c>
      <c r="P1912" s="183" t="s">
        <v>96</v>
      </c>
      <c r="Q1912" s="183" t="s">
        <v>97</v>
      </c>
      <c r="R1912" s="183">
        <v>40</v>
      </c>
      <c r="S1912" s="559">
        <v>0</v>
      </c>
      <c r="T1912" s="183">
        <v>30</v>
      </c>
      <c r="U1912" s="183" t="s">
        <v>97</v>
      </c>
      <c r="V1912" s="183"/>
      <c r="W1912" s="183"/>
      <c r="X1912" s="183"/>
      <c r="Y1912" s="184">
        <f>IF(ISBLANK(O1912),"",(IF(O1912=UPPER("IB"),0.005,0.01)))</f>
        <v>0.01</v>
      </c>
      <c r="Z1912" s="185">
        <f>IF(ISBLANK(O1912),"",IF(O1912="IB",8.63*200,IF(O1912="IR",16*100,IF(O1912="YT",20*100,IF(O1912="YT-XT",24*200,IF(O1912="TED",80*100,IF(O1912="XT",29*200)))))))</f>
        <v>1600</v>
      </c>
      <c r="AA1912" s="185"/>
      <c r="AB1912" s="185" t="s">
        <v>6269</v>
      </c>
      <c r="AC1912" s="185" t="s">
        <v>6270</v>
      </c>
      <c r="AD1912" s="649">
        <v>0.08</v>
      </c>
      <c r="AE1912" s="182"/>
      <c r="AF1912" s="332"/>
      <c r="AG1912" s="182"/>
      <c r="AH1912" s="182"/>
      <c r="AI1912" s="182"/>
      <c r="AJ1912" s="640"/>
      <c r="AK1912" s="182"/>
      <c r="AL1912" s="496">
        <f t="shared" si="627"/>
        <v>-32</v>
      </c>
      <c r="AM1912" s="496">
        <f t="shared" si="621"/>
        <v>-1280</v>
      </c>
      <c r="AN1912" s="626"/>
      <c r="AO1912" s="182"/>
      <c r="AP1912" s="182" t="s">
        <v>804</v>
      </c>
      <c r="AQ1912" s="332" t="s">
        <v>115</v>
      </c>
      <c r="AR1912" s="182"/>
      <c r="AS1912" s="189">
        <v>0.06</v>
      </c>
      <c r="AT1912" s="189">
        <f>IF(ISBLANK(AS1912),,IF(U1912="S",AD1912-AS1912,AS1912-AD1912))</f>
        <v>2.0000000000000004E-2</v>
      </c>
      <c r="AU1912" s="187">
        <f>AV1912*R1912</f>
        <v>1280.0000000000002</v>
      </c>
      <c r="AV1912" s="190">
        <f t="shared" ref="AV1912:AV1916" si="636">IF(ISBLANK(AS1912),,(AT1912*Z1912))</f>
        <v>32.000000000000007</v>
      </c>
      <c r="AW1912" s="191" t="s">
        <v>96</v>
      </c>
      <c r="AX1912" s="551" t="s">
        <v>6271</v>
      </c>
      <c r="AY1912" s="551" t="s">
        <v>5062</v>
      </c>
      <c r="AZ1912" s="551" t="s">
        <v>6272</v>
      </c>
      <c r="BA1912" s="551"/>
      <c r="BB1912" s="551"/>
      <c r="BC1912" s="551"/>
      <c r="BD1912" s="549" t="s">
        <v>6273</v>
      </c>
      <c r="BE1912" s="550"/>
      <c r="BF1912" s="549"/>
      <c r="BG1912" s="391">
        <f>SUM($AV$1389:AV1912)</f>
        <v>3718.6735968681255</v>
      </c>
      <c r="BH1912" s="392">
        <f>SUM($AU$1389:AU1912)</f>
        <v>39103.487142856568</v>
      </c>
      <c r="BI1912" s="318">
        <f>SUMIFS($AU$1388:AU1913,$Q$1388:Q1913,"F")</f>
        <v>20795.257142857143</v>
      </c>
      <c r="BJ1912" s="318">
        <f>SUMIFS($AU$1388:AU1913,$Q$1388:Q1913,"S")</f>
        <v>14527.999999999996</v>
      </c>
      <c r="BK1912" s="343">
        <f>SUMIFS($AU$1388:AU1913,$P$1388:P1913,"W")</f>
        <v>25924.437142857485</v>
      </c>
      <c r="BL1912" s="343">
        <f>SUMIFS($AU$1388:AU1913,$P$1388:P1913,"R")</f>
        <v>11645.999999999862</v>
      </c>
      <c r="BM1912" s="343">
        <f>SUMIFS($AU$1388:AU1913,$AQ$1388:AQ1913,"M")</f>
        <v>9225.3799999992698</v>
      </c>
      <c r="BN1912" s="343">
        <f>SUMIFS($AU$1388:AU1913,$AQ$1388:AQ1913,"H")</f>
        <v>8087.2000000002827</v>
      </c>
      <c r="BO1912" s="343">
        <f>SUMIFS($AU$1388:AU1913,$AQ$1388:AQ1913,"D")</f>
        <v>9422.307142857022</v>
      </c>
      <c r="BP1912" s="343">
        <f>SUMIFS($AS$1388:AS2684,$AO$1388:AO2684,"W")</f>
        <v>0</v>
      </c>
      <c r="BQ1912" s="343">
        <f>SUMIFS($AU$1388:AU1913,$Q$1388:Q1913,"O")</f>
        <v>2836.2299999994329</v>
      </c>
      <c r="BR1912" s="343">
        <f>SUMIFS($AU$1388:AU1913,$AA$1388:AA1913,"*")</f>
        <v>31045.79999999945</v>
      </c>
      <c r="BS1912" s="343">
        <f>SUMIFS($AU$1388:AU1913,$AB$1388:AB1913,"*")</f>
        <v>11794.829999999794</v>
      </c>
      <c r="BT1912" s="343">
        <f>SUMIFS($AU$1388:AU1913,$AC$1388:AC1913,"*")</f>
        <v>21195.257142857139</v>
      </c>
      <c r="BU1912" s="343">
        <f>SUMIFS($AU$1388:AU1913,$AA$1388:AA1913,"*",$AB$1388:AB1913,"*")</f>
        <v>5807.9999999998217</v>
      </c>
      <c r="BV1912" s="343">
        <f>SUMIFS($AU$1388:AU1913,$AA$1388:AA1913,"*",$AC$1388:AC1913,"*")</f>
        <v>14804.400000000001</v>
      </c>
      <c r="BW1912" s="343">
        <f>SUMIFS($AU$1388:AU1913,$AB$1388:AB1913,"*",$AC$1388:AC1913,"*")</f>
        <v>7119.9999999999982</v>
      </c>
      <c r="BX1912" s="343">
        <f>SUMIFS($AV$1388:AV1913,$Q$1388:Q1913,"F")</f>
        <v>343.80468353405269</v>
      </c>
      <c r="BY1912" s="343">
        <f>SUMIFS($AV$1388:AV1913,$Q$1388:Q1913,"S")</f>
        <v>571.63991333429885</v>
      </c>
      <c r="BZ1912" s="343">
        <f>SUMIFS($AV$1388:AV1913,$Q$1388:Q1913,"O")</f>
        <v>871.22899999976846</v>
      </c>
    </row>
    <row r="1913" spans="1:78" ht="15.75" customHeight="1">
      <c r="A1913" s="177" t="s">
        <v>5851</v>
      </c>
      <c r="B1913" s="200">
        <v>45408</v>
      </c>
      <c r="C1913" s="178" t="s">
        <v>682</v>
      </c>
      <c r="D1913" s="178" t="s">
        <v>111</v>
      </c>
      <c r="E1913" s="227"/>
      <c r="F1913" s="180"/>
      <c r="G1913" s="572" t="s">
        <v>2942</v>
      </c>
      <c r="H1913" s="182"/>
      <c r="I1913" s="182"/>
      <c r="J1913" s="182"/>
      <c r="K1913" s="183"/>
      <c r="L1913" s="182"/>
      <c r="M1913" s="182">
        <v>2</v>
      </c>
      <c r="N1913" s="182"/>
      <c r="O1913" s="183" t="s">
        <v>95</v>
      </c>
      <c r="P1913" s="183" t="s">
        <v>137</v>
      </c>
      <c r="Q1913" s="183" t="s">
        <v>97</v>
      </c>
      <c r="R1913" s="183">
        <v>30</v>
      </c>
      <c r="S1913" s="559">
        <v>7</v>
      </c>
      <c r="T1913" s="183">
        <v>30</v>
      </c>
      <c r="U1913" s="183" t="s">
        <v>22</v>
      </c>
      <c r="V1913" s="183"/>
      <c r="W1913" s="183"/>
      <c r="X1913" s="183"/>
      <c r="Y1913" s="184">
        <f>IF(ISBLANK(O1913),"",(IF(O1913=UPPER("IB"),0.005,0.01)))</f>
        <v>0.01</v>
      </c>
      <c r="Z1913" s="185">
        <f>IF(ISBLANK(O1913),"",IF(O1913="IB",8.63*200,IF(O1913="IR",16*100,IF(O1913="YT",20*100,IF(O1913="YT-XT",24*200,IF(O1913="TED",80*100,IF(O1913="XT",29*200)))))))</f>
        <v>1600</v>
      </c>
      <c r="AA1913" s="185" t="s">
        <v>1361</v>
      </c>
      <c r="AB1913" s="185"/>
      <c r="AC1913" s="185" t="s">
        <v>6274</v>
      </c>
      <c r="AD1913" s="649">
        <v>-0.1</v>
      </c>
      <c r="AE1913" s="182"/>
      <c r="AF1913" s="332"/>
      <c r="AG1913" s="182"/>
      <c r="AH1913" s="182"/>
      <c r="AI1913" s="182"/>
      <c r="AJ1913" s="640"/>
      <c r="AK1913" s="182"/>
      <c r="AL1913" s="496">
        <f t="shared" si="627"/>
        <v>-32</v>
      </c>
      <c r="AM1913" s="496">
        <f t="shared" si="621"/>
        <v>-736</v>
      </c>
      <c r="AN1913" s="626"/>
      <c r="AO1913" s="182"/>
      <c r="AP1913" s="182" t="s">
        <v>864</v>
      </c>
      <c r="AQ1913" s="332" t="s">
        <v>115</v>
      </c>
      <c r="AR1913" s="182"/>
      <c r="AS1913" s="189">
        <v>-0.09</v>
      </c>
      <c r="AT1913" s="189">
        <f>IF(ISBLANK(AS1913),,IF(U1913="S",AD1913-AS1913,AS1913-AD1913))</f>
        <v>1.0000000000000009E-2</v>
      </c>
      <c r="AU1913" s="187">
        <f>AV1913*R1913</f>
        <v>480.00000000000045</v>
      </c>
      <c r="AV1913" s="190">
        <f t="shared" si="636"/>
        <v>16.000000000000014</v>
      </c>
      <c r="AW1913" s="191" t="s">
        <v>96</v>
      </c>
      <c r="AX1913" s="551" t="s">
        <v>6275</v>
      </c>
      <c r="AY1913" s="551"/>
      <c r="AZ1913" s="551"/>
      <c r="BA1913" s="551"/>
      <c r="BB1913" s="551"/>
      <c r="BC1913" s="551"/>
      <c r="BD1913" s="549"/>
      <c r="BE1913" s="550"/>
      <c r="BF1913" s="549"/>
      <c r="BG1913" s="391">
        <f>SUM($AV$1389:AV1913)</f>
        <v>3734.6735968681255</v>
      </c>
      <c r="BH1913" s="392">
        <f>SUM($AU$1389:AU1913)</f>
        <v>39583.487142856568</v>
      </c>
      <c r="BI1913" s="318">
        <f>SUMIFS($AU$1388:AU1914,$Q$1388:Q1914,"F")</f>
        <v>25718.457142857143</v>
      </c>
      <c r="BJ1913" s="318">
        <f>SUMIFS($AU$1388:AU1914,$Q$1388:Q1914,"S")</f>
        <v>14527.999999999996</v>
      </c>
      <c r="BK1913" s="343">
        <f>SUMIFS($AU$1388:AU1914,$P$1388:P1914,"W")</f>
        <v>30847.637142857486</v>
      </c>
      <c r="BL1913" s="343">
        <f>SUMIFS($AU$1388:AU1914,$P$1388:P1914,"R")</f>
        <v>11645.999999999862</v>
      </c>
      <c r="BM1913" s="343">
        <f>SUMIFS($AU$1388:AU1914,$AQ$1388:AQ1914,"M")</f>
        <v>9225.3799999992698</v>
      </c>
      <c r="BN1913" s="343">
        <f>SUMIFS($AU$1388:AU1914,$AQ$1388:AQ1914,"H")</f>
        <v>8087.2000000002827</v>
      </c>
      <c r="BO1913" s="343">
        <f>SUMIFS($AU$1388:AU1914,$AQ$1388:AQ1914,"D")</f>
        <v>14345.507142857023</v>
      </c>
      <c r="BP1913" s="343">
        <f>SUMIFS($AS$1388:AS2685,$AO$1388:AO2685,"W")</f>
        <v>0</v>
      </c>
      <c r="BQ1913" s="343">
        <f>SUMIFS($AU$1388:AU1914,$Q$1388:Q1914,"O")</f>
        <v>2836.2299999994329</v>
      </c>
      <c r="BR1913" s="343">
        <f>SUMIFS($AU$1388:AU1914,$AA$1388:AA1914,"*")</f>
        <v>31045.79999999945</v>
      </c>
      <c r="BS1913" s="343">
        <f>SUMIFS($AU$1388:AU1914,$AB$1388:AB1914,"*")</f>
        <v>11794.829999999794</v>
      </c>
      <c r="BT1913" s="343">
        <f>SUMIFS($AU$1388:AU1914,$AC$1388:AC1914,"*")</f>
        <v>26118.45714285714</v>
      </c>
      <c r="BU1913" s="343">
        <f>SUMIFS($AU$1388:AU1914,$AA$1388:AA1914,"*",$AB$1388:AB1914,"*")</f>
        <v>5807.9999999998217</v>
      </c>
      <c r="BV1913" s="343">
        <f>SUMIFS($AU$1388:AU1914,$AA$1388:AA1914,"*",$AC$1388:AC1914,"*")</f>
        <v>14804.400000000001</v>
      </c>
      <c r="BW1913" s="343">
        <f>SUMIFS($AU$1388:AU1914,$AB$1388:AB1914,"*",$AC$1388:AC1914,"*")</f>
        <v>7119.9999999999982</v>
      </c>
      <c r="BX1913" s="343">
        <f>SUMIFS($AV$1388:AV1914,$Q$1388:Q1914,"F")</f>
        <v>397.90578243515159</v>
      </c>
      <c r="BY1913" s="343">
        <f>SUMIFS($AV$1388:AV1914,$Q$1388:Q1914,"S")</f>
        <v>571.63991333429885</v>
      </c>
      <c r="BZ1913" s="343">
        <f>SUMIFS($AV$1388:AV1914,$Q$1388:Q1914,"O")</f>
        <v>871.22899999976846</v>
      </c>
    </row>
    <row r="1914" spans="1:78" ht="15.75" customHeight="1">
      <c r="A1914" s="177" t="s">
        <v>5851</v>
      </c>
      <c r="B1914" s="200">
        <v>45408</v>
      </c>
      <c r="C1914" s="178" t="s">
        <v>682</v>
      </c>
      <c r="D1914" s="178" t="s">
        <v>111</v>
      </c>
      <c r="E1914" s="227"/>
      <c r="F1914" s="180"/>
      <c r="G1914" s="553" t="s">
        <v>3467</v>
      </c>
      <c r="H1914" s="182"/>
      <c r="I1914" s="182"/>
      <c r="J1914" s="182"/>
      <c r="K1914" s="183"/>
      <c r="L1914" s="182">
        <v>3</v>
      </c>
      <c r="M1914" s="182">
        <v>1</v>
      </c>
      <c r="N1914" s="182"/>
      <c r="O1914" s="183" t="s">
        <v>95</v>
      </c>
      <c r="P1914" s="183" t="s">
        <v>96</v>
      </c>
      <c r="Q1914" s="183" t="s">
        <v>256</v>
      </c>
      <c r="R1914" s="183">
        <v>91</v>
      </c>
      <c r="S1914" s="559">
        <v>30</v>
      </c>
      <c r="T1914" s="183">
        <v>30</v>
      </c>
      <c r="U1914" s="183" t="s">
        <v>97</v>
      </c>
      <c r="V1914" s="183"/>
      <c r="W1914" s="183"/>
      <c r="X1914" s="183"/>
      <c r="Y1914" s="184">
        <f>IF(ISBLANK(O1914),"",(IF(O1914=UPPER("IB"),0.005,0.01)))</f>
        <v>0.01</v>
      </c>
      <c r="Z1914" s="185">
        <f>IF(ISBLANK(O1914),"",IF(O1914="IB",8.63*200,IF(O1914="IR",16*100,IF(O1914="YT",20*100,IF(O1914="YT-XT",24*200,IF(O1914="TED",80*100,IF(O1914="XT",29*200)))))))</f>
        <v>1600</v>
      </c>
      <c r="AA1914" s="185"/>
      <c r="AB1914" s="185"/>
      <c r="AC1914" s="185" t="s">
        <v>6276</v>
      </c>
      <c r="AD1914" s="649">
        <f>(0.06*25+0.04*5+0.097*61)/91</f>
        <v>8.3703296703296709E-2</v>
      </c>
      <c r="AE1914" s="182"/>
      <c r="AF1914" s="332"/>
      <c r="AG1914" s="182"/>
      <c r="AH1914" s="182"/>
      <c r="AI1914" s="182"/>
      <c r="AJ1914" s="640"/>
      <c r="AK1914" s="182"/>
      <c r="AL1914" s="496">
        <f t="shared" si="609"/>
        <v>-32</v>
      </c>
      <c r="AM1914" s="496">
        <f t="shared" si="621"/>
        <v>-1952</v>
      </c>
      <c r="AN1914" s="626"/>
      <c r="AO1914" s="182"/>
      <c r="AP1914" s="182" t="s">
        <v>864</v>
      </c>
      <c r="AQ1914" s="332" t="s">
        <v>115</v>
      </c>
      <c r="AR1914" s="298">
        <v>45412</v>
      </c>
      <c r="AS1914" s="189">
        <f>(0.05*30+0.06*30+0.04*31)/91</f>
        <v>4.9890109890109891E-2</v>
      </c>
      <c r="AT1914" s="189">
        <f>IF(ISBLANK(AS1914),,IF(U1914="S",AD1914-AS1914,AS1914-AD1914))</f>
        <v>3.3813186813186819E-2</v>
      </c>
      <c r="AU1914" s="187">
        <f>AV1914*R1914</f>
        <v>4923.2000000000007</v>
      </c>
      <c r="AV1914" s="190">
        <f t="shared" si="636"/>
        <v>54.101098901098908</v>
      </c>
      <c r="AW1914" s="191" t="s">
        <v>96</v>
      </c>
      <c r="AX1914" s="551" t="s">
        <v>6277</v>
      </c>
      <c r="AY1914" s="551" t="s">
        <v>6278</v>
      </c>
      <c r="AZ1914" s="551" t="s">
        <v>6279</v>
      </c>
      <c r="BA1914" s="551" t="s">
        <v>6280</v>
      </c>
      <c r="BB1914" s="551" t="s">
        <v>6281</v>
      </c>
      <c r="BC1914" s="551" t="s">
        <v>782</v>
      </c>
      <c r="BD1914" s="549" t="s">
        <v>6282</v>
      </c>
      <c r="BE1914" s="550"/>
      <c r="BF1914" s="549"/>
      <c r="BG1914" s="391">
        <f>SUM($AV$1389:AV1914)</f>
        <v>3788.7746957692243</v>
      </c>
      <c r="BH1914" s="392">
        <f>SUM($AU$1389:AU1914)</f>
        <v>44506.687142856565</v>
      </c>
      <c r="BI1914" s="318">
        <f>SUMIFS($AU$1388:AU1915,$Q$1388:Q1915,"F")</f>
        <v>25718.457142857143</v>
      </c>
      <c r="BJ1914" s="318">
        <f>SUMIFS($AU$1388:AU1915,$Q$1388:Q1915,"S")</f>
        <v>14527.999999999996</v>
      </c>
      <c r="BK1914" s="343">
        <f>SUMIFS($AU$1388:AU1915,$P$1388:P1915,"W")</f>
        <v>30847.637142857486</v>
      </c>
      <c r="BL1914" s="343">
        <f>SUMIFS($AU$1388:AU1915,$P$1388:P1915,"R")</f>
        <v>11645.999999999862</v>
      </c>
      <c r="BM1914" s="343">
        <f>SUMIFS($AU$1388:AU1915,$AQ$1388:AQ1915,"M")</f>
        <v>9225.3799999992698</v>
      </c>
      <c r="BN1914" s="343">
        <f>SUMIFS($AU$1388:AU1915,$AQ$1388:AQ1915,"H")</f>
        <v>8087.2000000002827</v>
      </c>
      <c r="BO1914" s="343">
        <f>SUMIFS($AU$1388:AU1915,$AQ$1388:AQ1915,"D")</f>
        <v>14345.507142857023</v>
      </c>
      <c r="BP1914" s="343">
        <f>SUMIFS($AS$1388:AS2686,$AO$1388:AO2686,"W")</f>
        <v>0</v>
      </c>
      <c r="BQ1914" s="343">
        <f>SUMIFS($AU$1388:AU1915,$Q$1388:Q1915,"O")</f>
        <v>2836.2299999994329</v>
      </c>
      <c r="BR1914" s="343">
        <f>SUMIFS($AU$1388:AU1915,$AA$1388:AA1915,"*")</f>
        <v>31045.79999999945</v>
      </c>
      <c r="BS1914" s="343">
        <f>SUMIFS($AU$1388:AU1915,$AB$1388:AB1915,"*")</f>
        <v>11794.829999999794</v>
      </c>
      <c r="BT1914" s="343">
        <f>SUMIFS($AU$1388:AU1915,$AC$1388:AC1915,"*")</f>
        <v>26118.45714285714</v>
      </c>
      <c r="BU1914" s="343">
        <f>SUMIFS($AU$1388:AU1915,$AA$1388:AA1915,"*",$AB$1388:AB1915,"*")</f>
        <v>5807.9999999998217</v>
      </c>
      <c r="BV1914" s="343">
        <f>SUMIFS($AU$1388:AU1915,$AA$1388:AA1915,"*",$AC$1388:AC1915,"*")</f>
        <v>14804.400000000001</v>
      </c>
      <c r="BW1914" s="343">
        <f>SUMIFS($AU$1388:AU1915,$AB$1388:AB1915,"*",$AC$1388:AC1915,"*")</f>
        <v>7119.9999999999982</v>
      </c>
      <c r="BX1914" s="343">
        <f>SUMIFS($AV$1388:AV1915,$Q$1388:Q1915,"F")</f>
        <v>397.90578243515159</v>
      </c>
      <c r="BY1914" s="343">
        <f>SUMIFS($AV$1388:AV1915,$Q$1388:Q1915,"S")</f>
        <v>571.63991333429885</v>
      </c>
      <c r="BZ1914" s="343">
        <f>SUMIFS($AV$1388:AV1915,$Q$1388:Q1915,"O")</f>
        <v>871.22899999976846</v>
      </c>
    </row>
    <row r="1915" spans="1:78" ht="15.75" customHeight="1">
      <c r="A1915" s="177" t="s">
        <v>5851</v>
      </c>
      <c r="B1915" s="200">
        <v>45408</v>
      </c>
      <c r="C1915" s="178" t="s">
        <v>682</v>
      </c>
      <c r="D1915" s="178" t="s">
        <v>111</v>
      </c>
      <c r="E1915" s="227"/>
      <c r="F1915" s="180"/>
      <c r="G1915" s="181" t="s">
        <v>136</v>
      </c>
      <c r="H1915" s="182"/>
      <c r="I1915" s="182"/>
      <c r="J1915" s="182"/>
      <c r="K1915" s="183"/>
      <c r="L1915" s="182"/>
      <c r="M1915" s="182"/>
      <c r="N1915" s="182"/>
      <c r="O1915" s="183"/>
      <c r="P1915" s="183"/>
      <c r="Q1915" s="183"/>
      <c r="R1915" s="183"/>
      <c r="S1915" s="559"/>
      <c r="T1915" s="183"/>
      <c r="U1915" s="183"/>
      <c r="V1915" s="183"/>
      <c r="W1915" s="183"/>
      <c r="X1915" s="183"/>
      <c r="Y1915" s="184"/>
      <c r="Z1915" s="185"/>
      <c r="AA1915" s="185"/>
      <c r="AB1915" s="185"/>
      <c r="AC1915" s="185"/>
      <c r="AD1915" s="649"/>
      <c r="AE1915" s="182"/>
      <c r="AF1915" s="332"/>
      <c r="AG1915" s="182"/>
      <c r="AH1915" s="182"/>
      <c r="AI1915" s="182"/>
      <c r="AJ1915" s="640"/>
      <c r="AK1915" s="182"/>
      <c r="AL1915" s="496">
        <f t="shared" si="609"/>
        <v>0</v>
      </c>
      <c r="AM1915" s="496">
        <f t="shared" si="621"/>
        <v>0</v>
      </c>
      <c r="AN1915" s="626"/>
      <c r="AO1915" s="182"/>
      <c r="AP1915" s="182"/>
      <c r="AQ1915" s="332" t="str">
        <f>UPPER(RIGHT(Journal_Live[[#This Row],[DURATION ]]))</f>
        <v/>
      </c>
      <c r="AR1915" s="182"/>
      <c r="AS1915" s="189"/>
      <c r="AT1915" s="189"/>
      <c r="AU1915" s="187"/>
      <c r="AV1915" s="190"/>
      <c r="AW1915" s="191"/>
      <c r="AX1915" s="551"/>
      <c r="AY1915" s="551"/>
      <c r="AZ1915" s="551"/>
      <c r="BA1915" s="551"/>
      <c r="BB1915" s="551"/>
      <c r="BC1915" s="551"/>
      <c r="BD1915" s="549"/>
      <c r="BE1915" s="550"/>
      <c r="BF1915" s="549"/>
      <c r="BG1915" s="391">
        <f>SUM($AV$1389:AV1915)</f>
        <v>3788.7746957692243</v>
      </c>
      <c r="BH1915" s="392">
        <f>SUM($AU$1389:AU1915)</f>
        <v>44506.687142856565</v>
      </c>
      <c r="BI1915" s="318">
        <f>SUMIFS($AU$1388:AU1916,$Q$1388:Q1916,"F")</f>
        <v>25718.457142857143</v>
      </c>
      <c r="BJ1915" s="318">
        <f>SUMIFS($AU$1388:AU1916,$Q$1388:Q1916,"S")</f>
        <v>15167.999999999996</v>
      </c>
      <c r="BK1915" s="343">
        <f>SUMIFS($AU$1388:AU1916,$P$1388:P1916,"W")</f>
        <v>31487.637142857486</v>
      </c>
      <c r="BL1915" s="343">
        <f>SUMIFS($AU$1388:AU1916,$P$1388:P1916,"R")</f>
        <v>11645.999999999862</v>
      </c>
      <c r="BM1915" s="343">
        <f>SUMIFS($AU$1388:AU1916,$AQ$1388:AQ1916,"M")</f>
        <v>9225.3799999992698</v>
      </c>
      <c r="BN1915" s="343">
        <f>SUMIFS($AU$1388:AU1916,$AQ$1388:AQ1916,"H")</f>
        <v>8087.2000000002827</v>
      </c>
      <c r="BO1915" s="343">
        <f>SUMIFS($AU$1388:AU1916,$AQ$1388:AQ1916,"D")</f>
        <v>14985.507142857023</v>
      </c>
      <c r="BP1915" s="343">
        <f>SUMIFS($AS$1388:AS2687,$AO$1388:AO2687,"W")</f>
        <v>0</v>
      </c>
      <c r="BQ1915" s="343">
        <f>SUMIFS($AU$1388:AU1916,$Q$1388:Q1916,"O")</f>
        <v>2836.2299999994329</v>
      </c>
      <c r="BR1915" s="343">
        <f>SUMIFS($AU$1388:AU1916,$AA$1388:AA1916,"*")</f>
        <v>31685.79999999945</v>
      </c>
      <c r="BS1915" s="343">
        <f>SUMIFS($AU$1388:AU1916,$AB$1388:AB1916,"*")</f>
        <v>11794.829999999794</v>
      </c>
      <c r="BT1915" s="343">
        <f>SUMIFS($AU$1388:AU1916,$AC$1388:AC1916,"*")</f>
        <v>26118.45714285714</v>
      </c>
      <c r="BU1915" s="343">
        <f>SUMIFS($AU$1388:AU1916,$AA$1388:AA1916,"*",$AB$1388:AB1916,"*")</f>
        <v>5807.9999999998217</v>
      </c>
      <c r="BV1915" s="343">
        <f>SUMIFS($AU$1388:AU1916,$AA$1388:AA1916,"*",$AC$1388:AC1916,"*")</f>
        <v>14804.400000000001</v>
      </c>
      <c r="BW1915" s="343">
        <f>SUMIFS($AU$1388:AU1916,$AB$1388:AB1916,"*",$AC$1388:AC1916,"*")</f>
        <v>7119.9999999999982</v>
      </c>
      <c r="BX1915" s="343">
        <f>SUMIFS($AV$1388:AV1916,$Q$1388:Q1916,"F")</f>
        <v>397.90578243515159</v>
      </c>
      <c r="BY1915" s="343">
        <f>SUMIFS($AV$1388:AV1916,$Q$1388:Q1916,"S")</f>
        <v>587.63991333429885</v>
      </c>
      <c r="BZ1915" s="343">
        <f>SUMIFS($AV$1388:AV1916,$Q$1388:Q1916,"O")</f>
        <v>871.22899999976846</v>
      </c>
    </row>
    <row r="1916" spans="1:78" ht="15.75" customHeight="1">
      <c r="A1916" s="177" t="s">
        <v>5851</v>
      </c>
      <c r="B1916" s="200">
        <v>45408</v>
      </c>
      <c r="C1916" s="178" t="s">
        <v>277</v>
      </c>
      <c r="D1916" s="178" t="s">
        <v>111</v>
      </c>
      <c r="E1916" s="227"/>
      <c r="F1916" s="180"/>
      <c r="G1916" s="572" t="s">
        <v>136</v>
      </c>
      <c r="H1916" s="182"/>
      <c r="I1916" s="182"/>
      <c r="J1916" s="182"/>
      <c r="K1916" s="183"/>
      <c r="L1916" s="182">
        <v>1</v>
      </c>
      <c r="M1916" s="182"/>
      <c r="N1916" s="182"/>
      <c r="O1916" s="183" t="s">
        <v>95</v>
      </c>
      <c r="P1916" s="183" t="s">
        <v>96</v>
      </c>
      <c r="Q1916" s="183" t="s">
        <v>97</v>
      </c>
      <c r="R1916" s="183">
        <v>40</v>
      </c>
      <c r="S1916" s="559">
        <v>0</v>
      </c>
      <c r="T1916" s="183">
        <v>40</v>
      </c>
      <c r="U1916" s="183" t="s">
        <v>97</v>
      </c>
      <c r="V1916" s="183"/>
      <c r="W1916" s="183"/>
      <c r="X1916" s="183"/>
      <c r="Y1916" s="184">
        <f>IF(ISBLANK(O1916),"",(IF(O1916=UPPER("IB"),0.005,0.01)))</f>
        <v>0.01</v>
      </c>
      <c r="Z1916" s="185">
        <f>IF(ISBLANK(O1916),"",IF(O1916="IB",8.63*200,IF(O1916="IR",16*100,IF(O1916="YT",20*100,IF(O1916="YT-XT",24*200,IF(O1916="TED",80*100,IF(O1916="XT",29*200)))))))</f>
        <v>1600</v>
      </c>
      <c r="AA1916" s="185" t="s">
        <v>99</v>
      </c>
      <c r="AB1916" s="185"/>
      <c r="AC1916" s="185"/>
      <c r="AD1916" s="649">
        <v>0.12</v>
      </c>
      <c r="AE1916" s="182"/>
      <c r="AF1916" s="332"/>
      <c r="AG1916" s="182"/>
      <c r="AH1916" s="182"/>
      <c r="AI1916" s="182"/>
      <c r="AJ1916" s="640"/>
      <c r="AK1916" s="182"/>
      <c r="AL1916" s="496">
        <f t="shared" si="609"/>
        <v>-32</v>
      </c>
      <c r="AM1916" s="496">
        <f t="shared" si="621"/>
        <v>-1280</v>
      </c>
      <c r="AN1916" s="626"/>
      <c r="AO1916" s="182"/>
      <c r="AP1916" s="182" t="s">
        <v>804</v>
      </c>
      <c r="AQ1916" s="332" t="s">
        <v>115</v>
      </c>
      <c r="AR1916" s="182" t="s">
        <v>6283</v>
      </c>
      <c r="AS1916" s="189">
        <v>0.11</v>
      </c>
      <c r="AT1916" s="189">
        <f>IF(ISBLANK(AS1916),,IF(U1916="S",AD1916-AS1916,AS1916-AD1916))</f>
        <v>9.999999999999995E-3</v>
      </c>
      <c r="AU1916" s="187">
        <f>AV1916*R1916</f>
        <v>639.99999999999977</v>
      </c>
      <c r="AV1916" s="190">
        <f t="shared" si="636"/>
        <v>15.999999999999993</v>
      </c>
      <c r="AW1916" s="191" t="s">
        <v>96</v>
      </c>
      <c r="AX1916" s="551" t="s">
        <v>6284</v>
      </c>
      <c r="AY1916" s="551" t="s">
        <v>6285</v>
      </c>
      <c r="AZ1916" s="551" t="s">
        <v>5083</v>
      </c>
      <c r="BA1916" s="551"/>
      <c r="BB1916" s="551"/>
      <c r="BC1916" s="551"/>
      <c r="BD1916" s="549"/>
      <c r="BE1916" s="550"/>
      <c r="BF1916" s="549"/>
      <c r="BG1916" s="391">
        <f>SUM($AV$1389:AV1916)</f>
        <v>3804.7746957692243</v>
      </c>
      <c r="BH1916" s="392">
        <f>SUM($AU$1389:AU1916)</f>
        <v>45146.687142856565</v>
      </c>
      <c r="BI1916" s="318">
        <f>SUMIFS($AU$1388:AU1917,$Q$1388:Q1917,"F")</f>
        <v>25718.457142857143</v>
      </c>
      <c r="BJ1916" s="318">
        <f>SUMIFS($AU$1388:AU1917,$Q$1388:Q1917,"S")</f>
        <v>15167.999999999996</v>
      </c>
      <c r="BK1916" s="343">
        <f>SUMIFS($AU$1388:AU1917,$P$1388:P1917,"W")</f>
        <v>31487.637142857486</v>
      </c>
      <c r="BL1916" s="343">
        <f>SUMIFS($AU$1388:AU1917,$P$1388:P1917,"R")</f>
        <v>11645.999999999862</v>
      </c>
      <c r="BM1916" s="343">
        <f>SUMIFS($AU$1388:AU1917,$AQ$1388:AQ1917,"M")</f>
        <v>9225.3799999992698</v>
      </c>
      <c r="BN1916" s="343">
        <f>SUMIFS($AU$1388:AU1917,$AQ$1388:AQ1917,"H")</f>
        <v>8087.2000000002827</v>
      </c>
      <c r="BO1916" s="343">
        <f>SUMIFS($AU$1388:AU1917,$AQ$1388:AQ1917,"D")</f>
        <v>14985.507142857023</v>
      </c>
      <c r="BP1916" s="343">
        <f>SUMIFS($AS$1388:AS2688,$AO$1388:AO2688,"W")</f>
        <v>0</v>
      </c>
      <c r="BQ1916" s="343">
        <f>SUMIFS($AU$1388:AU1917,$Q$1388:Q1917,"O")</f>
        <v>2836.2299999994329</v>
      </c>
      <c r="BR1916" s="343">
        <f>SUMIFS($AU$1388:AU1917,$AA$1388:AA1917,"*")</f>
        <v>31685.79999999945</v>
      </c>
      <c r="BS1916" s="343">
        <f>SUMIFS($AU$1388:AU1917,$AB$1388:AB1917,"*")</f>
        <v>11794.829999999794</v>
      </c>
      <c r="BT1916" s="343">
        <f>SUMIFS($AU$1388:AU1917,$AC$1388:AC1917,"*")</f>
        <v>26118.45714285714</v>
      </c>
      <c r="BU1916" s="343">
        <f>SUMIFS($AU$1388:AU1917,$AA$1388:AA1917,"*",$AB$1388:AB1917,"*")</f>
        <v>5807.9999999998217</v>
      </c>
      <c r="BV1916" s="343">
        <f>SUMIFS($AU$1388:AU1917,$AA$1388:AA1917,"*",$AC$1388:AC1917,"*")</f>
        <v>14804.400000000001</v>
      </c>
      <c r="BW1916" s="343">
        <f>SUMIFS($AU$1388:AU1917,$AB$1388:AB1917,"*",$AC$1388:AC1917,"*")</f>
        <v>7119.9999999999982</v>
      </c>
      <c r="BX1916" s="343">
        <f>SUMIFS($AV$1388:AV1917,$Q$1388:Q1917,"F")</f>
        <v>397.90578243515159</v>
      </c>
      <c r="BY1916" s="343">
        <f>SUMIFS($AV$1388:AV1917,$Q$1388:Q1917,"S")</f>
        <v>587.63991333429885</v>
      </c>
      <c r="BZ1916" s="343">
        <f>SUMIFS($AV$1388:AV1917,$Q$1388:Q1917,"O")</f>
        <v>871.22899999976846</v>
      </c>
    </row>
    <row r="1917" spans="1:78" ht="15.75" customHeight="1">
      <c r="A1917" s="177" t="s">
        <v>5851</v>
      </c>
      <c r="B1917" s="200">
        <v>45411</v>
      </c>
      <c r="C1917" s="178" t="s">
        <v>500</v>
      </c>
      <c r="D1917" s="178" t="s">
        <v>132</v>
      </c>
      <c r="E1917" s="227"/>
      <c r="F1917" s="180"/>
      <c r="G1917" s="181" t="s">
        <v>136</v>
      </c>
      <c r="H1917" s="182"/>
      <c r="I1917" s="182"/>
      <c r="J1917" s="182"/>
      <c r="K1917" s="183"/>
      <c r="L1917" s="182"/>
      <c r="M1917" s="182"/>
      <c r="N1917" s="182"/>
      <c r="O1917" s="183"/>
      <c r="P1917" s="183"/>
      <c r="Q1917" s="183"/>
      <c r="R1917" s="183"/>
      <c r="S1917" s="559"/>
      <c r="T1917" s="183"/>
      <c r="U1917" s="183"/>
      <c r="V1917" s="183"/>
      <c r="W1917" s="183"/>
      <c r="X1917" s="183"/>
      <c r="Y1917" s="184"/>
      <c r="Z1917" s="185"/>
      <c r="AA1917" s="185"/>
      <c r="AB1917" s="185"/>
      <c r="AC1917" s="185"/>
      <c r="AD1917" s="649"/>
      <c r="AE1917" s="182"/>
      <c r="AF1917" s="332"/>
      <c r="AG1917" s="182"/>
      <c r="AH1917" s="182"/>
      <c r="AI1917" s="182"/>
      <c r="AJ1917" s="640"/>
      <c r="AK1917" s="182"/>
      <c r="AL1917" s="496">
        <f t="shared" si="609"/>
        <v>0</v>
      </c>
      <c r="AM1917" s="496">
        <f t="shared" si="621"/>
        <v>0</v>
      </c>
      <c r="AN1917" s="626"/>
      <c r="AO1917" s="182"/>
      <c r="AP1917" s="182"/>
      <c r="AQ1917" s="332" t="str">
        <f>UPPER(RIGHT(Journal_Live[[#This Row],[DURATION ]]))</f>
        <v/>
      </c>
      <c r="AR1917" s="182"/>
      <c r="AS1917" s="189"/>
      <c r="AT1917" s="189"/>
      <c r="AU1917" s="187"/>
      <c r="AV1917" s="190"/>
      <c r="AW1917" s="191"/>
      <c r="AX1917" s="551" t="s">
        <v>6286</v>
      </c>
      <c r="AY1917" s="551" t="s">
        <v>6287</v>
      </c>
      <c r="AZ1917" s="551" t="s">
        <v>6288</v>
      </c>
      <c r="BA1917" s="551" t="s">
        <v>6289</v>
      </c>
      <c r="BB1917" s="551"/>
      <c r="BC1917" s="551"/>
      <c r="BD1917" s="549"/>
      <c r="BE1917" s="550"/>
      <c r="BF1917" s="549"/>
      <c r="BG1917" s="391">
        <f>SUM($AV$1389:AV1917)</f>
        <v>3804.7746957692243</v>
      </c>
      <c r="BH1917" s="392">
        <f>SUM($AU$1389:AU1917)</f>
        <v>45146.687142856565</v>
      </c>
      <c r="BI1917" s="318">
        <f>SUMIFS($AU$1388:AU1918,$Q$1388:Q1918,"F")</f>
        <v>25718.457142857143</v>
      </c>
      <c r="BJ1917" s="318">
        <f>SUMIFS($AU$1388:AU1918,$Q$1388:Q1918,"S")</f>
        <v>15167.999999999996</v>
      </c>
      <c r="BK1917" s="343">
        <f>SUMIFS($AU$1388:AU1918,$P$1388:P1918,"W")</f>
        <v>31487.637142857486</v>
      </c>
      <c r="BL1917" s="343">
        <f>SUMIFS($AU$1388:AU1918,$P$1388:P1918,"R")</f>
        <v>11645.999999999862</v>
      </c>
      <c r="BM1917" s="343">
        <f>SUMIFS($AU$1388:AU1918,$AQ$1388:AQ1918,"M")</f>
        <v>9225.3799999992698</v>
      </c>
      <c r="BN1917" s="343">
        <f>SUMIFS($AU$1388:AU1918,$AQ$1388:AQ1918,"H")</f>
        <v>8087.2000000002827</v>
      </c>
      <c r="BO1917" s="343">
        <f>SUMIFS($AU$1388:AU1918,$AQ$1388:AQ1918,"D")</f>
        <v>14985.507142857023</v>
      </c>
      <c r="BP1917" s="343">
        <f>SUMIFS($AS$1388:AS2689,$AO$1388:AO2689,"W")</f>
        <v>0</v>
      </c>
      <c r="BQ1917" s="343">
        <f>SUMIFS($AU$1388:AU1918,$Q$1388:Q1918,"O")</f>
        <v>2836.2299999994329</v>
      </c>
      <c r="BR1917" s="343">
        <f>SUMIFS($AU$1388:AU1918,$AA$1388:AA1918,"*")</f>
        <v>31685.79999999945</v>
      </c>
      <c r="BS1917" s="343">
        <f>SUMIFS($AU$1388:AU1918,$AB$1388:AB1918,"*")</f>
        <v>11794.829999999794</v>
      </c>
      <c r="BT1917" s="343">
        <f>SUMIFS($AU$1388:AU1918,$AC$1388:AC1918,"*")</f>
        <v>26118.45714285714</v>
      </c>
      <c r="BU1917" s="343">
        <f>SUMIFS($AU$1388:AU1918,$AA$1388:AA1918,"*",$AB$1388:AB1918,"*")</f>
        <v>5807.9999999998217</v>
      </c>
      <c r="BV1917" s="343">
        <f>SUMIFS($AU$1388:AU1918,$AA$1388:AA1918,"*",$AC$1388:AC1918,"*")</f>
        <v>14804.400000000001</v>
      </c>
      <c r="BW1917" s="343">
        <f>SUMIFS($AU$1388:AU1918,$AB$1388:AB1918,"*",$AC$1388:AC1918,"*")</f>
        <v>7119.9999999999982</v>
      </c>
      <c r="BX1917" s="343">
        <f>SUMIFS($AV$1388:AV1918,$Q$1388:Q1918,"F")</f>
        <v>397.90578243515159</v>
      </c>
      <c r="BY1917" s="343">
        <f>SUMIFS($AV$1388:AV1918,$Q$1388:Q1918,"S")</f>
        <v>587.63991333429885</v>
      </c>
      <c r="BZ1917" s="343">
        <f>SUMIFS($AV$1388:AV1918,$Q$1388:Q1918,"O")</f>
        <v>871.22899999976846</v>
      </c>
    </row>
    <row r="1918" spans="1:78" ht="15.75" customHeight="1">
      <c r="A1918" s="177" t="s">
        <v>5851</v>
      </c>
      <c r="B1918" s="200">
        <v>45411</v>
      </c>
      <c r="C1918" s="178" t="s">
        <v>500</v>
      </c>
      <c r="D1918" s="178" t="s">
        <v>132</v>
      </c>
      <c r="E1918" s="227"/>
      <c r="F1918" s="180"/>
      <c r="G1918" s="181" t="s">
        <v>2070</v>
      </c>
      <c r="H1918" s="182"/>
      <c r="I1918" s="182"/>
      <c r="J1918" s="182"/>
      <c r="K1918" s="183"/>
      <c r="L1918" s="182"/>
      <c r="M1918" s="182"/>
      <c r="N1918" s="182"/>
      <c r="O1918" s="183"/>
      <c r="P1918" s="183"/>
      <c r="Q1918" s="183"/>
      <c r="R1918" s="183"/>
      <c r="S1918" s="559"/>
      <c r="T1918" s="183"/>
      <c r="U1918" s="183"/>
      <c r="V1918" s="183"/>
      <c r="W1918" s="183"/>
      <c r="X1918" s="183"/>
      <c r="Y1918" s="184"/>
      <c r="Z1918" s="185"/>
      <c r="AA1918" s="185"/>
      <c r="AB1918" s="185"/>
      <c r="AC1918" s="185"/>
      <c r="AD1918" s="649"/>
      <c r="AE1918" s="182"/>
      <c r="AF1918" s="332"/>
      <c r="AG1918" s="182"/>
      <c r="AH1918" s="182"/>
      <c r="AI1918" s="182"/>
      <c r="AJ1918" s="640"/>
      <c r="AK1918" s="182"/>
      <c r="AL1918" s="496">
        <f t="shared" ref="AL1918:AL1925" si="637">-0.02*Z1918</f>
        <v>0</v>
      </c>
      <c r="AM1918" s="496">
        <f t="shared" si="621"/>
        <v>0</v>
      </c>
      <c r="AN1918" s="626"/>
      <c r="AO1918" s="182"/>
      <c r="AP1918" s="182"/>
      <c r="AQ1918" s="332" t="str">
        <f>UPPER(RIGHT(Journal_Live[[#This Row],[DURATION ]]))</f>
        <v/>
      </c>
      <c r="AR1918" s="182"/>
      <c r="AS1918" s="189"/>
      <c r="AT1918" s="189"/>
      <c r="AU1918" s="187"/>
      <c r="AV1918" s="190"/>
      <c r="AW1918" s="191"/>
      <c r="AX1918" s="551" t="s">
        <v>6290</v>
      </c>
      <c r="AY1918" s="551"/>
      <c r="AZ1918" s="551"/>
      <c r="BA1918" s="551"/>
      <c r="BB1918" s="551"/>
      <c r="BC1918" s="551"/>
      <c r="BD1918" s="549"/>
      <c r="BE1918" s="550"/>
      <c r="BF1918" s="549"/>
      <c r="BG1918" s="391">
        <f>SUM($AV$1389:AV1918)</f>
        <v>3804.7746957692243</v>
      </c>
      <c r="BH1918" s="392">
        <f>SUM($AU$1389:AU1918)</f>
        <v>45146.687142856565</v>
      </c>
      <c r="BI1918" s="318">
        <f>SUMIFS($AU$1388:AU1919,$Q$1388:Q1919,"F")</f>
        <v>25718.457142857143</v>
      </c>
      <c r="BJ1918" s="318">
        <f>SUMIFS($AU$1388:AU1919,$Q$1388:Q1919,"S")</f>
        <v>13727.999999999995</v>
      </c>
      <c r="BK1918" s="343">
        <f>SUMIFS($AU$1388:AU1919,$P$1388:P1919,"W")</f>
        <v>30047.637142857486</v>
      </c>
      <c r="BL1918" s="343">
        <f>SUMIFS($AU$1388:AU1919,$P$1388:P1919,"R")</f>
        <v>11645.999999999862</v>
      </c>
      <c r="BM1918" s="343">
        <f>SUMIFS($AU$1388:AU1919,$AQ$1388:AQ1919,"M")</f>
        <v>9225.3799999992698</v>
      </c>
      <c r="BN1918" s="343">
        <f>SUMIFS($AU$1388:AU1919,$AQ$1388:AQ1919,"H")</f>
        <v>8087.2000000002827</v>
      </c>
      <c r="BO1918" s="343">
        <f>SUMIFS($AU$1388:AU1919,$AQ$1388:AQ1919,"D")</f>
        <v>13545.507142857021</v>
      </c>
      <c r="BP1918" s="343">
        <f>SUMIFS($AS$1388:AS2690,$AO$1388:AO2690,"W")</f>
        <v>0</v>
      </c>
      <c r="BQ1918" s="343">
        <f>SUMIFS($AU$1388:AU1919,$Q$1388:Q1919,"O")</f>
        <v>2836.2299999994329</v>
      </c>
      <c r="BR1918" s="343">
        <f>SUMIFS($AU$1388:AU1919,$AA$1388:AA1919,"*")</f>
        <v>30245.79999999945</v>
      </c>
      <c r="BS1918" s="343">
        <f>SUMIFS($AU$1388:AU1919,$AB$1388:AB1919,"*")</f>
        <v>11794.829999999794</v>
      </c>
      <c r="BT1918" s="343">
        <f>SUMIFS($AU$1388:AU1919,$AC$1388:AC1919,"*")</f>
        <v>24678.45714285714</v>
      </c>
      <c r="BU1918" s="343">
        <f>SUMIFS($AU$1388:AU1919,$AA$1388:AA1919,"*",$AB$1388:AB1919,"*")</f>
        <v>5807.9999999998217</v>
      </c>
      <c r="BV1918" s="343">
        <f>SUMIFS($AU$1388:AU1919,$AA$1388:AA1919,"*",$AC$1388:AC1919,"*")</f>
        <v>13364.4</v>
      </c>
      <c r="BW1918" s="343">
        <f>SUMIFS($AU$1388:AU1919,$AB$1388:AB1919,"*",$AC$1388:AC1919,"*")</f>
        <v>7119.9999999999982</v>
      </c>
      <c r="BX1918" s="343">
        <f>SUMIFS($AV$1388:AV1919,$Q$1388:Q1919,"F")</f>
        <v>397.90578243515159</v>
      </c>
      <c r="BY1918" s="343">
        <f>SUMIFS($AV$1388:AV1919,$Q$1388:Q1919,"S")</f>
        <v>558.83991333429879</v>
      </c>
      <c r="BZ1918" s="343">
        <f>SUMIFS($AV$1388:AV1919,$Q$1388:Q1919,"O")</f>
        <v>871.22899999976846</v>
      </c>
    </row>
    <row r="1919" spans="1:78" ht="15.75" customHeight="1">
      <c r="A1919" s="177" t="s">
        <v>5851</v>
      </c>
      <c r="B1919" s="200">
        <v>45411</v>
      </c>
      <c r="C1919" s="178" t="s">
        <v>6291</v>
      </c>
      <c r="D1919" s="178" t="s">
        <v>132</v>
      </c>
      <c r="E1919" s="227"/>
      <c r="F1919" s="180"/>
      <c r="G1919" s="572" t="s">
        <v>136</v>
      </c>
      <c r="H1919" s="182"/>
      <c r="I1919" s="182"/>
      <c r="J1919" s="182"/>
      <c r="K1919" s="183"/>
      <c r="L1919" s="182">
        <v>1</v>
      </c>
      <c r="M1919" s="182"/>
      <c r="N1919" s="182"/>
      <c r="O1919" s="183" t="s">
        <v>95</v>
      </c>
      <c r="P1919" s="183" t="s">
        <v>96</v>
      </c>
      <c r="Q1919" s="183" t="s">
        <v>97</v>
      </c>
      <c r="R1919" s="183">
        <v>50</v>
      </c>
      <c r="S1919" s="559">
        <v>0</v>
      </c>
      <c r="T1919" s="183">
        <v>50</v>
      </c>
      <c r="U1919" s="183" t="s">
        <v>22</v>
      </c>
      <c r="V1919" s="183"/>
      <c r="W1919" s="183"/>
      <c r="X1919" s="183"/>
      <c r="Y1919" s="184">
        <f>IF(ISBLANK(O1919),"",(IF(O1919=UPPER("IB"),0.005,0.01)))</f>
        <v>0.01</v>
      </c>
      <c r="Z1919" s="185">
        <f>IF(ISBLANK(O1919),"",IF(O1919="IB",8.63*200,IF(O1919="IR",16*100,IF(O1919="YT",20*100,IF(O1919="YT-XT",24*200,IF(O1919="TED",80*100,IF(O1919="XT",29*200)))))))</f>
        <v>1600</v>
      </c>
      <c r="AA1919" s="185" t="s">
        <v>1824</v>
      </c>
      <c r="AB1919" s="185"/>
      <c r="AC1919" s="185" t="s">
        <v>5058</v>
      </c>
      <c r="AD1919" s="649">
        <f>(0.1*10+0.11*40)/50</f>
        <v>0.10800000000000001</v>
      </c>
      <c r="AE1919" s="182"/>
      <c r="AF1919" s="332"/>
      <c r="AG1919" s="182"/>
      <c r="AH1919" s="182"/>
      <c r="AI1919" s="182"/>
      <c r="AJ1919" s="640"/>
      <c r="AK1919" s="182"/>
      <c r="AL1919" s="496">
        <f t="shared" si="637"/>
        <v>-32</v>
      </c>
      <c r="AM1919" s="496">
        <f t="shared" si="621"/>
        <v>-1600</v>
      </c>
      <c r="AN1919" s="626"/>
      <c r="AO1919" s="182"/>
      <c r="AP1919" s="182" t="s">
        <v>804</v>
      </c>
      <c r="AQ1919" s="332" t="s">
        <v>115</v>
      </c>
      <c r="AR1919" s="182"/>
      <c r="AS1919" s="189">
        <v>0.09</v>
      </c>
      <c r="AT1919" s="189">
        <f>IF(ISBLANK(AS1919),,IF(U1919="S",AD1919-AS1919,AS1919-AD1919))</f>
        <v>-1.8000000000000016E-2</v>
      </c>
      <c r="AU1919" s="187">
        <f>AV1919*R1919</f>
        <v>-1440.0000000000014</v>
      </c>
      <c r="AV1919" s="190">
        <f t="shared" ref="AV1919" si="638">IF(ISBLANK(AS1919),,(AT1919*Z1919))</f>
        <v>-28.800000000000026</v>
      </c>
      <c r="AW1919" s="191" t="s">
        <v>229</v>
      </c>
      <c r="AX1919" s="551"/>
      <c r="AY1919" s="551"/>
      <c r="AZ1919" s="551"/>
      <c r="BA1919" s="551"/>
      <c r="BB1919" s="551"/>
      <c r="BC1919" s="551"/>
      <c r="BD1919" s="549"/>
      <c r="BE1919" s="550"/>
      <c r="BF1919" s="549"/>
      <c r="BG1919" s="391">
        <f>SUM($AV$1389:AV1919)</f>
        <v>3775.9746957692241</v>
      </c>
      <c r="BH1919" s="392">
        <f>SUM($AU$1389:AU1919)</f>
        <v>43706.687142856565</v>
      </c>
      <c r="BI1919" s="318">
        <f>SUMIFS($AU$1388:AU1920,$Q$1388:Q1920,"F")</f>
        <v>25718.457142857143</v>
      </c>
      <c r="BJ1919" s="318">
        <f>SUMIFS($AU$1388:AU1920,$Q$1388:Q1920,"S")</f>
        <v>13727.999999999995</v>
      </c>
      <c r="BK1919" s="343">
        <f>SUMIFS($AU$1388:AU1920,$P$1388:P1920,"W")</f>
        <v>30047.637142857486</v>
      </c>
      <c r="BL1919" s="343">
        <f>SUMIFS($AU$1388:AU1920,$P$1388:P1920,"R")</f>
        <v>11645.999999999862</v>
      </c>
      <c r="BM1919" s="343">
        <f>SUMIFS($AU$1388:AU1920,$AQ$1388:AQ1920,"M")</f>
        <v>9225.3799999992698</v>
      </c>
      <c r="BN1919" s="343">
        <f>SUMIFS($AU$1388:AU1920,$AQ$1388:AQ1920,"H")</f>
        <v>8087.2000000002827</v>
      </c>
      <c r="BO1919" s="343">
        <f>SUMIFS($AU$1388:AU1920,$AQ$1388:AQ1920,"D")</f>
        <v>13545.507142857021</v>
      </c>
      <c r="BP1919" s="343">
        <f>SUMIFS($AS$1388:AS2691,$AO$1388:AO2691,"W")</f>
        <v>0</v>
      </c>
      <c r="BQ1919" s="343">
        <f>SUMIFS($AU$1388:AU1920,$Q$1388:Q1920,"O")</f>
        <v>2836.2299999994329</v>
      </c>
      <c r="BR1919" s="343">
        <f>SUMIFS($AU$1388:AU1920,$AA$1388:AA1920,"*")</f>
        <v>30245.79999999945</v>
      </c>
      <c r="BS1919" s="343">
        <f>SUMIFS($AU$1388:AU1920,$AB$1388:AB1920,"*")</f>
        <v>11794.829999999794</v>
      </c>
      <c r="BT1919" s="343">
        <f>SUMIFS($AU$1388:AU1920,$AC$1388:AC1920,"*")</f>
        <v>24678.45714285714</v>
      </c>
      <c r="BU1919" s="343">
        <f>SUMIFS($AU$1388:AU1920,$AA$1388:AA1920,"*",$AB$1388:AB1920,"*")</f>
        <v>5807.9999999998217</v>
      </c>
      <c r="BV1919" s="343">
        <f>SUMIFS($AU$1388:AU1920,$AA$1388:AA1920,"*",$AC$1388:AC1920,"*")</f>
        <v>13364.4</v>
      </c>
      <c r="BW1919" s="343">
        <f>SUMIFS($AU$1388:AU1920,$AB$1388:AB1920,"*",$AC$1388:AC1920,"*")</f>
        <v>7119.9999999999982</v>
      </c>
      <c r="BX1919" s="343">
        <f>SUMIFS($AV$1388:AV1920,$Q$1388:Q1920,"F")</f>
        <v>397.90578243515159</v>
      </c>
      <c r="BY1919" s="343">
        <f>SUMIFS($AV$1388:AV1920,$Q$1388:Q1920,"S")</f>
        <v>558.83991333429879</v>
      </c>
      <c r="BZ1919" s="343">
        <f>SUMIFS($AV$1388:AV1920,$Q$1388:Q1920,"O")</f>
        <v>871.22899999976846</v>
      </c>
    </row>
    <row r="1920" spans="1:78" ht="15.75" customHeight="1">
      <c r="A1920" s="177" t="s">
        <v>5851</v>
      </c>
      <c r="B1920" s="200">
        <v>45412</v>
      </c>
      <c r="C1920" s="178" t="s">
        <v>2081</v>
      </c>
      <c r="D1920" s="178" t="s">
        <v>146</v>
      </c>
      <c r="E1920" s="227" t="s">
        <v>6292</v>
      </c>
      <c r="F1920" s="180" t="s">
        <v>6293</v>
      </c>
      <c r="G1920" s="181"/>
      <c r="H1920" s="182"/>
      <c r="I1920" s="182"/>
      <c r="J1920" s="182">
        <v>1</v>
      </c>
      <c r="K1920" s="183" t="s">
        <v>115</v>
      </c>
      <c r="L1920" s="182"/>
      <c r="M1920" s="182"/>
      <c r="N1920" s="182"/>
      <c r="O1920" s="183"/>
      <c r="P1920" s="183"/>
      <c r="Q1920" s="183"/>
      <c r="R1920" s="183"/>
      <c r="S1920" s="183"/>
      <c r="T1920" s="183"/>
      <c r="U1920" s="183"/>
      <c r="V1920" s="183"/>
      <c r="W1920" s="183"/>
      <c r="X1920" s="183"/>
      <c r="Y1920" s="183"/>
      <c r="Z1920" s="183"/>
      <c r="AA1920" s="185"/>
      <c r="AB1920" s="185"/>
      <c r="AC1920" s="185"/>
      <c r="AD1920" s="649"/>
      <c r="AE1920" s="182"/>
      <c r="AF1920" s="332"/>
      <c r="AG1920" s="182"/>
      <c r="AH1920" s="182"/>
      <c r="AI1920" s="182"/>
      <c r="AJ1920" s="640"/>
      <c r="AK1920" s="182"/>
      <c r="AL1920" s="496">
        <f t="shared" si="637"/>
        <v>0</v>
      </c>
      <c r="AM1920" s="496">
        <f t="shared" si="621"/>
        <v>0</v>
      </c>
      <c r="AN1920" s="626"/>
      <c r="AO1920" s="182"/>
      <c r="AP1920" s="182"/>
      <c r="AQ1920" s="332" t="str">
        <f>UPPER(RIGHT(Journal_Live[[#This Row],[DURATION ]]))</f>
        <v/>
      </c>
      <c r="AR1920" s="182"/>
      <c r="AS1920" s="189"/>
      <c r="AT1920" s="189"/>
      <c r="AU1920" s="187"/>
      <c r="AV1920" s="190"/>
      <c r="AW1920" s="191"/>
      <c r="AX1920" s="551" t="s">
        <v>6294</v>
      </c>
      <c r="AY1920" s="551"/>
      <c r="AZ1920" s="551"/>
      <c r="BA1920" s="551"/>
      <c r="BB1920" s="551"/>
      <c r="BC1920" s="551"/>
      <c r="BD1920" s="549"/>
      <c r="BE1920" s="550"/>
      <c r="BF1920" s="549"/>
      <c r="BG1920" s="391">
        <f>SUM($AV$1389:AV1920)</f>
        <v>3775.9746957692241</v>
      </c>
      <c r="BH1920" s="392">
        <f>SUM($AU$1389:AU1920)</f>
        <v>43706.687142856565</v>
      </c>
      <c r="BI1920" s="318">
        <f>SUMIFS($AU$1388:AU1921,$Q$1388:Q1921,"F")</f>
        <v>25718.457142857143</v>
      </c>
      <c r="BJ1920" s="318">
        <f>SUMIFS($AU$1388:AU1921,$Q$1388:Q1921,"S")</f>
        <v>13727.999999999995</v>
      </c>
      <c r="BK1920" s="343">
        <f>SUMIFS($AU$1388:AU1921,$P$1388:P1921,"W")</f>
        <v>30047.637142857486</v>
      </c>
      <c r="BL1920" s="343">
        <f>SUMIFS($AU$1388:AU1921,$P$1388:P1921,"R")</f>
        <v>11645.999999999862</v>
      </c>
      <c r="BM1920" s="343">
        <f>SUMIFS($AU$1388:AU1921,$AQ$1388:AQ1921,"M")</f>
        <v>9225.3799999992698</v>
      </c>
      <c r="BN1920" s="343">
        <f>SUMIFS($AU$1388:AU1921,$AQ$1388:AQ1921,"H")</f>
        <v>8087.2000000002827</v>
      </c>
      <c r="BO1920" s="343">
        <f>SUMIFS($AU$1388:AU1921,$AQ$1388:AQ1921,"D")</f>
        <v>13545.507142857021</v>
      </c>
      <c r="BP1920" s="343">
        <f>SUMIFS($AS$1388:AS2692,$AO$1388:AO2692,"W")</f>
        <v>0</v>
      </c>
      <c r="BQ1920" s="343">
        <f>SUMIFS($AU$1388:AU1921,$Q$1388:Q1921,"O")</f>
        <v>2836.2299999994329</v>
      </c>
      <c r="BR1920" s="343">
        <f>SUMIFS($AU$1388:AU1921,$AA$1388:AA1921,"*")</f>
        <v>30245.79999999945</v>
      </c>
      <c r="BS1920" s="343">
        <f>SUMIFS($AU$1388:AU1921,$AB$1388:AB1921,"*")</f>
        <v>11794.829999999794</v>
      </c>
      <c r="BT1920" s="343">
        <f>SUMIFS($AU$1388:AU1921,$AC$1388:AC1921,"*")</f>
        <v>24678.45714285714</v>
      </c>
      <c r="BU1920" s="343">
        <f>SUMIFS($AU$1388:AU1921,$AA$1388:AA1921,"*",$AB$1388:AB1921,"*")</f>
        <v>5807.9999999998217</v>
      </c>
      <c r="BV1920" s="343">
        <f>SUMIFS($AU$1388:AU1921,$AA$1388:AA1921,"*",$AC$1388:AC1921,"*")</f>
        <v>13364.4</v>
      </c>
      <c r="BW1920" s="343">
        <f>SUMIFS($AU$1388:AU1921,$AB$1388:AB1921,"*",$AC$1388:AC1921,"*")</f>
        <v>7119.9999999999982</v>
      </c>
      <c r="BX1920" s="343">
        <f>SUMIFS($AV$1388:AV1921,$Q$1388:Q1921,"F")</f>
        <v>397.90578243515159</v>
      </c>
      <c r="BY1920" s="343">
        <f>SUMIFS($AV$1388:AV1921,$Q$1388:Q1921,"S")</f>
        <v>558.83991333429879</v>
      </c>
      <c r="BZ1920" s="343">
        <f>SUMIFS($AV$1388:AV1921,$Q$1388:Q1921,"O")</f>
        <v>871.22899999976846</v>
      </c>
    </row>
    <row r="1921" spans="1:78" ht="15.75" customHeight="1">
      <c r="A1921" s="177" t="s">
        <v>5851</v>
      </c>
      <c r="B1921" s="200">
        <v>45412</v>
      </c>
      <c r="C1921" s="178" t="s">
        <v>682</v>
      </c>
      <c r="D1921" s="178"/>
      <c r="E1921" s="227"/>
      <c r="F1921" s="180"/>
      <c r="G1921" s="181" t="s">
        <v>5740</v>
      </c>
      <c r="H1921" s="182"/>
      <c r="I1921" s="182"/>
      <c r="J1921" s="182"/>
      <c r="K1921" s="183"/>
      <c r="L1921" s="182"/>
      <c r="M1921" s="182"/>
      <c r="N1921" s="182"/>
      <c r="O1921" s="183" t="s">
        <v>95</v>
      </c>
      <c r="P1921" s="183" t="s">
        <v>96</v>
      </c>
      <c r="Q1921" s="183" t="s">
        <v>684</v>
      </c>
      <c r="R1921" s="183">
        <v>20</v>
      </c>
      <c r="S1921" s="183">
        <v>0</v>
      </c>
      <c r="T1921" s="183">
        <v>20</v>
      </c>
      <c r="U1921" s="183" t="s">
        <v>97</v>
      </c>
      <c r="V1921" s="183"/>
      <c r="W1921" s="183"/>
      <c r="X1921" s="183"/>
      <c r="Y1921" s="184">
        <f>IF(ISBLANK(O1921),"",(IF(O1921=UPPER("IB"),0.005,0.01)))</f>
        <v>0.01</v>
      </c>
      <c r="Z1921" s="185">
        <f>IF(ISBLANK(O1921),"",IF(O1921="IB",8.63*200,IF(O1921="IR",16*100,IF(O1921="YT",20*100,IF(O1921="YT-XT",24*200,IF(O1921="TED",80*100,IF(O1921="XT",29*200)))))))</f>
        <v>1600</v>
      </c>
      <c r="AA1921" s="185" t="s">
        <v>3801</v>
      </c>
      <c r="AB1921" s="185"/>
      <c r="AC1921" s="185"/>
      <c r="AD1921" s="649">
        <v>95.58</v>
      </c>
      <c r="AE1921" s="182"/>
      <c r="AF1921" s="332"/>
      <c r="AG1921" s="182"/>
      <c r="AH1921" s="182"/>
      <c r="AI1921" s="182"/>
      <c r="AJ1921" s="640"/>
      <c r="AK1921" s="182"/>
      <c r="AL1921" s="496">
        <f t="shared" si="637"/>
        <v>-32</v>
      </c>
      <c r="AM1921" s="496">
        <f t="shared" si="621"/>
        <v>-640</v>
      </c>
      <c r="AN1921" s="626"/>
      <c r="AO1921" s="182"/>
      <c r="AP1921" s="182"/>
      <c r="AQ1921" s="332" t="s">
        <v>1259</v>
      </c>
      <c r="AR1921" s="182"/>
      <c r="AS1921" s="189">
        <v>95.58</v>
      </c>
      <c r="AT1921" s="189">
        <f>IF(ISBLANK(AS1921),,IF(U1921="S",AD1921-AS1921,AS1921-AD1921))</f>
        <v>0</v>
      </c>
      <c r="AU1921" s="187">
        <f>AV1921*R1921</f>
        <v>0</v>
      </c>
      <c r="AV1921" s="190">
        <f t="shared" ref="AV1921" si="639">IF(ISBLANK(AS1921),,(AT1921*Z1921))</f>
        <v>0</v>
      </c>
      <c r="AW1921" s="191" t="s">
        <v>115</v>
      </c>
      <c r="AX1921" s="551" t="s">
        <v>6295</v>
      </c>
      <c r="AY1921" s="551"/>
      <c r="AZ1921" s="551"/>
      <c r="BA1921" s="551"/>
      <c r="BB1921" s="551"/>
      <c r="BC1921" s="551"/>
      <c r="BD1921" s="549"/>
      <c r="BE1921" s="550"/>
      <c r="BF1921" s="549"/>
      <c r="BG1921" s="391">
        <f>SUM($AV$1389:AV1921)</f>
        <v>3775.9746957692241</v>
      </c>
      <c r="BH1921" s="392">
        <f>SUM($AU$1389:AU1921)</f>
        <v>43706.687142856565</v>
      </c>
      <c r="BI1921" s="318">
        <f>SUMIFS($AU$1388:AU1922,$Q$1388:Q1922,"F")</f>
        <v>25718.457142857143</v>
      </c>
      <c r="BJ1921" s="318">
        <f>SUMIFS($AU$1388:AU1922,$Q$1388:Q1922,"S")</f>
        <v>13727.999999999995</v>
      </c>
      <c r="BK1921" s="343">
        <f>SUMIFS($AU$1388:AU1922,$P$1388:P1922,"W")</f>
        <v>30047.637142857486</v>
      </c>
      <c r="BL1921" s="343">
        <f>SUMIFS($AU$1388:AU1922,$P$1388:P1922,"R")</f>
        <v>11645.999999999862</v>
      </c>
      <c r="BM1921" s="343">
        <f>SUMIFS($AU$1388:AU1922,$AQ$1388:AQ1922,"M")</f>
        <v>9225.3799999992698</v>
      </c>
      <c r="BN1921" s="343">
        <f>SUMIFS($AU$1388:AU1922,$AQ$1388:AQ1922,"H")</f>
        <v>8087.2000000002827</v>
      </c>
      <c r="BO1921" s="343">
        <f>SUMIFS($AU$1388:AU1922,$AQ$1388:AQ1922,"D")</f>
        <v>13545.507142857021</v>
      </c>
      <c r="BP1921" s="343">
        <f>SUMIFS($AS$1388:AS2693,$AO$1388:AO2693,"W")</f>
        <v>0</v>
      </c>
      <c r="BQ1921" s="343">
        <f>SUMIFS($AU$1388:AU1922,$Q$1388:Q1922,"O")</f>
        <v>2836.2299999994329</v>
      </c>
      <c r="BR1921" s="343">
        <f>SUMIFS($AU$1388:AU1922,$AA$1388:AA1922,"*")</f>
        <v>30245.79999999945</v>
      </c>
      <c r="BS1921" s="343">
        <f>SUMIFS($AU$1388:AU1922,$AB$1388:AB1922,"*")</f>
        <v>11794.829999999794</v>
      </c>
      <c r="BT1921" s="343">
        <f>SUMIFS($AU$1388:AU1922,$AC$1388:AC1922,"*")</f>
        <v>24678.45714285714</v>
      </c>
      <c r="BU1921" s="343">
        <f>SUMIFS($AU$1388:AU1922,$AA$1388:AA1922,"*",$AB$1388:AB1922,"*")</f>
        <v>5807.9999999998217</v>
      </c>
      <c r="BV1921" s="343">
        <f>SUMIFS($AU$1388:AU1922,$AA$1388:AA1922,"*",$AC$1388:AC1922,"*")</f>
        <v>13364.4</v>
      </c>
      <c r="BW1921" s="343">
        <f>SUMIFS($AU$1388:AU1922,$AB$1388:AB1922,"*",$AC$1388:AC1922,"*")</f>
        <v>7119.9999999999982</v>
      </c>
      <c r="BX1921" s="343">
        <f>SUMIFS($AV$1388:AV1922,$Q$1388:Q1922,"F")</f>
        <v>397.90578243515159</v>
      </c>
      <c r="BY1921" s="343">
        <f>SUMIFS($AV$1388:AV1922,$Q$1388:Q1922,"S")</f>
        <v>558.83991333429879</v>
      </c>
      <c r="BZ1921" s="343">
        <f>SUMIFS($AV$1388:AV1922,$Q$1388:Q1922,"O")</f>
        <v>871.22899999976846</v>
      </c>
    </row>
    <row r="1922" spans="1:78" ht="15.75" customHeight="1">
      <c r="A1922" s="177" t="s">
        <v>5851</v>
      </c>
      <c r="B1922" s="200">
        <v>45412</v>
      </c>
      <c r="C1922" s="178" t="s">
        <v>6296</v>
      </c>
      <c r="D1922" s="178" t="s">
        <v>3141</v>
      </c>
      <c r="E1922" s="227"/>
      <c r="F1922" s="180"/>
      <c r="G1922" s="561" t="s">
        <v>6240</v>
      </c>
      <c r="H1922" s="182"/>
      <c r="I1922" s="182"/>
      <c r="J1922" s="182"/>
      <c r="K1922" s="183"/>
      <c r="L1922" s="182"/>
      <c r="M1922" s="182">
        <v>1</v>
      </c>
      <c r="N1922" s="182"/>
      <c r="O1922" s="183" t="s">
        <v>5325</v>
      </c>
      <c r="P1922" s="183" t="s">
        <v>137</v>
      </c>
      <c r="Q1922" s="183"/>
      <c r="R1922" s="183">
        <v>1</v>
      </c>
      <c r="S1922" s="183">
        <v>0</v>
      </c>
      <c r="T1922" s="183">
        <v>1</v>
      </c>
      <c r="U1922" s="183" t="s">
        <v>97</v>
      </c>
      <c r="V1922" s="183"/>
      <c r="W1922" s="183"/>
      <c r="X1922" s="183"/>
      <c r="Y1922" s="184">
        <f>IF(ISBLANK(O1922),"",(IF(O1922=UPPER("IB"),0.005,0.01)))</f>
        <v>0.01</v>
      </c>
      <c r="Z1922" s="185">
        <f>IF(ISBLANK(O1922),"",IF(O1922="IB",8.63*200,IF(O1922="IR",16*100,IF(O1922="YT",20*100,IF(O1922="YT-XT",24*200,IF(O1922="TED",80*100,IF(O1922="IR|YT",300*100)))))))</f>
        <v>30000</v>
      </c>
      <c r="AA1922" s="185" t="s">
        <v>6297</v>
      </c>
      <c r="AB1922" s="185"/>
      <c r="AC1922" s="185"/>
      <c r="AD1922" s="649">
        <v>-0.34</v>
      </c>
      <c r="AE1922" s="182"/>
      <c r="AF1922" s="332"/>
      <c r="AG1922" s="182"/>
      <c r="AH1922" s="182"/>
      <c r="AI1922" s="182"/>
      <c r="AJ1922" s="640"/>
      <c r="AK1922" s="182"/>
      <c r="AL1922" s="496">
        <f t="shared" si="637"/>
        <v>-600</v>
      </c>
      <c r="AM1922" s="496">
        <f t="shared" si="621"/>
        <v>-600</v>
      </c>
      <c r="AN1922" s="626"/>
      <c r="AO1922" s="182"/>
      <c r="AP1922" s="182"/>
      <c r="AQ1922" s="332" t="s">
        <v>372</v>
      </c>
      <c r="AR1922" s="182"/>
      <c r="AS1922" s="189">
        <v>-0.34</v>
      </c>
      <c r="AT1922" s="189">
        <f>IF(ISBLANK(AS1922),,IF(U1922="S",AD1922-AS1922,AS1922-AD1922))</f>
        <v>0</v>
      </c>
      <c r="AU1922" s="187">
        <f>AV1922*R1922</f>
        <v>0</v>
      </c>
      <c r="AV1922" s="190">
        <f t="shared" ref="AV1922:AV1923" si="640">IF(ISBLANK(AS1922),,(AT1922*Z1922))</f>
        <v>0</v>
      </c>
      <c r="AW1922" s="191" t="s">
        <v>115</v>
      </c>
      <c r="AX1922" s="551"/>
      <c r="AY1922" s="551"/>
      <c r="AZ1922" s="551"/>
      <c r="BA1922" s="551"/>
      <c r="BB1922" s="551"/>
      <c r="BC1922" s="551"/>
      <c r="BD1922" s="549"/>
      <c r="BE1922" s="550"/>
      <c r="BF1922" s="549"/>
      <c r="BG1922" s="391">
        <f>SUM($AV$1389:AV1922)</f>
        <v>3775.9746957692241</v>
      </c>
      <c r="BH1922" s="392">
        <f>SUM($AU$1389:AU1922)</f>
        <v>43706.687142856565</v>
      </c>
      <c r="BI1922" s="318">
        <f>SUMIFS($AU$1388:AU1923,$Q$1388:Q1923,"F")</f>
        <v>25718.457142857143</v>
      </c>
      <c r="BJ1922" s="318">
        <f>SUMIFS($AU$1388:AU1923,$Q$1388:Q1923,"S")</f>
        <v>13727.999999999995</v>
      </c>
      <c r="BK1922" s="343">
        <f>SUMIFS($AU$1388:AU1923,$P$1388:P1923,"W")</f>
        <v>30047.637142857486</v>
      </c>
      <c r="BL1922" s="343">
        <f>SUMIFS($AU$1388:AU1923,$P$1388:P1923,"R")</f>
        <v>11645.999999999862</v>
      </c>
      <c r="BM1922" s="343">
        <f>SUMIFS($AU$1388:AU1923,$AQ$1388:AQ1923,"M")</f>
        <v>9225.3799999992698</v>
      </c>
      <c r="BN1922" s="343">
        <f>SUMIFS($AU$1388:AU1923,$AQ$1388:AQ1923,"H")</f>
        <v>8087.2000000002827</v>
      </c>
      <c r="BO1922" s="343">
        <f>SUMIFS($AU$1388:AU1923,$AQ$1388:AQ1923,"D")</f>
        <v>13545.507142857021</v>
      </c>
      <c r="BP1922" s="343">
        <f>SUMIFS($AS$1388:AS2694,$AO$1388:AO2694,"W")</f>
        <v>0</v>
      </c>
      <c r="BQ1922" s="343">
        <f>SUMIFS($AU$1388:AU1923,$Q$1388:Q1923,"O")</f>
        <v>2836.2299999994329</v>
      </c>
      <c r="BR1922" s="343">
        <f>SUMIFS($AU$1388:AU1923,$AA$1388:AA1923,"*")</f>
        <v>30245.79999999945</v>
      </c>
      <c r="BS1922" s="343">
        <f>SUMIFS($AU$1388:AU1923,$AB$1388:AB1923,"*")</f>
        <v>11794.829999999794</v>
      </c>
      <c r="BT1922" s="343">
        <f>SUMIFS($AU$1388:AU1923,$AC$1388:AC1923,"*")</f>
        <v>24678.45714285714</v>
      </c>
      <c r="BU1922" s="343">
        <f>SUMIFS($AU$1388:AU1923,$AA$1388:AA1923,"*",$AB$1388:AB1923,"*")</f>
        <v>5807.9999999998217</v>
      </c>
      <c r="BV1922" s="343">
        <f>SUMIFS($AU$1388:AU1923,$AA$1388:AA1923,"*",$AC$1388:AC1923,"*")</f>
        <v>13364.4</v>
      </c>
      <c r="BW1922" s="343">
        <f>SUMIFS($AU$1388:AU1923,$AB$1388:AB1923,"*",$AC$1388:AC1923,"*")</f>
        <v>7119.9999999999982</v>
      </c>
      <c r="BX1922" s="343">
        <f>SUMIFS($AV$1388:AV1923,$Q$1388:Q1923,"F")</f>
        <v>397.90578243515159</v>
      </c>
      <c r="BY1922" s="343">
        <f>SUMIFS($AV$1388:AV1923,$Q$1388:Q1923,"S")</f>
        <v>558.83991333429879</v>
      </c>
      <c r="BZ1922" s="343">
        <f>SUMIFS($AV$1388:AV1923,$Q$1388:Q1923,"O")</f>
        <v>871.22899999976846</v>
      </c>
    </row>
    <row r="1923" spans="1:78" ht="15.75" customHeight="1">
      <c r="A1923" s="177" t="s">
        <v>5851</v>
      </c>
      <c r="B1923" s="200">
        <v>45412</v>
      </c>
      <c r="C1923" s="178" t="s">
        <v>1219</v>
      </c>
      <c r="D1923" s="178" t="s">
        <v>146</v>
      </c>
      <c r="E1923" s="227"/>
      <c r="F1923" s="180"/>
      <c r="G1923" s="181" t="s">
        <v>5321</v>
      </c>
      <c r="H1923" s="182"/>
      <c r="I1923" s="182"/>
      <c r="J1923" s="182"/>
      <c r="K1923" s="183"/>
      <c r="L1923" s="182"/>
      <c r="M1923" s="182">
        <v>1</v>
      </c>
      <c r="N1923" s="182"/>
      <c r="O1923" s="183" t="s">
        <v>2652</v>
      </c>
      <c r="P1923" s="183" t="s">
        <v>137</v>
      </c>
      <c r="Q1923" s="183"/>
      <c r="R1923" s="183">
        <v>2</v>
      </c>
      <c r="S1923" s="183">
        <v>0</v>
      </c>
      <c r="T1923" s="183">
        <v>2</v>
      </c>
      <c r="U1923" s="183" t="s">
        <v>22</v>
      </c>
      <c r="V1923" s="183"/>
      <c r="W1923" s="183"/>
      <c r="X1923" s="183"/>
      <c r="Y1923" s="184">
        <f>IF(ISBLANK(O1923),"",(IF(O1923=UPPER("IB"),0.005,0.01)))</f>
        <v>0.01</v>
      </c>
      <c r="Z1923" s="185">
        <f>IF(ISBLANK(O1923),"",IF(O1923="IB",8.63*200,IF(O1923="IR",16*100,IF(O1923="YT",20*100,IF(O1923="YT-XT",24*200,IF(O1923="TED",80*100))))))</f>
        <v>8000</v>
      </c>
      <c r="AA1923" s="185" t="s">
        <v>6298</v>
      </c>
      <c r="AB1923" s="185"/>
      <c r="AC1923" s="185"/>
      <c r="AD1923" s="649">
        <v>-0.34</v>
      </c>
      <c r="AE1923" s="182"/>
      <c r="AF1923" s="332"/>
      <c r="AG1923" s="182"/>
      <c r="AH1923" s="182"/>
      <c r="AI1923" s="182"/>
      <c r="AJ1923" s="640"/>
      <c r="AK1923" s="182"/>
      <c r="AL1923" s="496">
        <f t="shared" si="637"/>
        <v>-160</v>
      </c>
      <c r="AM1923" s="496">
        <f t="shared" si="621"/>
        <v>-320</v>
      </c>
      <c r="AN1923" s="626"/>
      <c r="AO1923" s="182"/>
      <c r="AP1923" s="182"/>
      <c r="AQ1923" s="332" t="s">
        <v>1259</v>
      </c>
      <c r="AR1923" s="182"/>
      <c r="AS1923" s="189">
        <v>-0.34</v>
      </c>
      <c r="AT1923" s="189">
        <f>IF(ISBLANK(AS1923),,IF(U1923="S",AD1923-AS1923,AS1923-AD1923))</f>
        <v>0</v>
      </c>
      <c r="AU1923" s="187">
        <f>AV1923*R1923</f>
        <v>0</v>
      </c>
      <c r="AV1923" s="190">
        <f t="shared" si="640"/>
        <v>0</v>
      </c>
      <c r="AW1923" s="191" t="s">
        <v>115</v>
      </c>
      <c r="AX1923" s="551"/>
      <c r="AY1923" s="551"/>
      <c r="AZ1923" s="551"/>
      <c r="BA1923" s="551"/>
      <c r="BB1923" s="551"/>
      <c r="BC1923" s="551"/>
      <c r="BD1923" s="549"/>
      <c r="BE1923" s="550"/>
      <c r="BF1923" s="549"/>
      <c r="BG1923" s="391">
        <f>SUM($AV$1389:AV1923)</f>
        <v>3775.9746957692241</v>
      </c>
      <c r="BH1923" s="392">
        <f>SUM($AU$1389:AU1923)</f>
        <v>43706.687142856565</v>
      </c>
      <c r="BI1923" s="318">
        <f>SUMIFS($AU$1388:AU1924,$Q$1388:Q1924,"F")</f>
        <v>25718.457142857143</v>
      </c>
      <c r="BJ1923" s="318">
        <f>SUMIFS($AU$1388:AU1924,$Q$1388:Q1924,"S")</f>
        <v>13727.999999999995</v>
      </c>
      <c r="BK1923" s="343">
        <f>SUMIFS($AU$1388:AU1924,$P$1388:P1924,"W")</f>
        <v>30047.637142857486</v>
      </c>
      <c r="BL1923" s="343">
        <f>SUMIFS($AU$1388:AU1924,$P$1388:P1924,"R")</f>
        <v>11645.999999999862</v>
      </c>
      <c r="BM1923" s="343">
        <f>SUMIFS($AU$1388:AU1924,$AQ$1388:AQ1924,"M")</f>
        <v>9225.3799999992698</v>
      </c>
      <c r="BN1923" s="343">
        <f>SUMIFS($AU$1388:AU1924,$AQ$1388:AQ1924,"H")</f>
        <v>8087.2000000002827</v>
      </c>
      <c r="BO1923" s="343">
        <f>SUMIFS($AU$1388:AU1924,$AQ$1388:AQ1924,"D")</f>
        <v>13545.507142857021</v>
      </c>
      <c r="BP1923" s="343">
        <f>SUMIFS($AS$1388:AS2695,$AO$1388:AO2695,"W")</f>
        <v>0</v>
      </c>
      <c r="BQ1923" s="343">
        <f>SUMIFS($AU$1388:AU1924,$Q$1388:Q1924,"O")</f>
        <v>2836.2299999994329</v>
      </c>
      <c r="BR1923" s="343">
        <f>SUMIFS($AU$1388:AU1924,$AA$1388:AA1924,"*")</f>
        <v>30245.79999999945</v>
      </c>
      <c r="BS1923" s="343">
        <f>SUMIFS($AU$1388:AU1924,$AB$1388:AB1924,"*")</f>
        <v>11794.829999999794</v>
      </c>
      <c r="BT1923" s="343">
        <f>SUMIFS($AU$1388:AU1924,$AC$1388:AC1924,"*")</f>
        <v>24678.45714285714</v>
      </c>
      <c r="BU1923" s="343">
        <f>SUMIFS($AU$1388:AU1924,$AA$1388:AA1924,"*",$AB$1388:AB1924,"*")</f>
        <v>5807.9999999998217</v>
      </c>
      <c r="BV1923" s="343">
        <f>SUMIFS($AU$1388:AU1924,$AA$1388:AA1924,"*",$AC$1388:AC1924,"*")</f>
        <v>13364.4</v>
      </c>
      <c r="BW1923" s="343">
        <f>SUMIFS($AU$1388:AU1924,$AB$1388:AB1924,"*",$AC$1388:AC1924,"*")</f>
        <v>7119.9999999999982</v>
      </c>
      <c r="BX1923" s="343">
        <f>SUMIFS($AV$1388:AV1924,$Q$1388:Q1924,"F")</f>
        <v>397.90578243515159</v>
      </c>
      <c r="BY1923" s="343">
        <f>SUMIFS($AV$1388:AV1924,$Q$1388:Q1924,"S")</f>
        <v>558.83991333429879</v>
      </c>
      <c r="BZ1923" s="343">
        <f>SUMIFS($AV$1388:AV1924,$Q$1388:Q1924,"O")</f>
        <v>871.22899999976846</v>
      </c>
    </row>
    <row r="1924" spans="1:78" ht="15.75" customHeight="1">
      <c r="A1924" s="177" t="s">
        <v>5851</v>
      </c>
      <c r="B1924" s="200"/>
      <c r="C1924" s="178"/>
      <c r="D1924" s="178"/>
      <c r="E1924" s="227"/>
      <c r="F1924" s="180"/>
      <c r="G1924" s="181"/>
      <c r="H1924" s="182"/>
      <c r="I1924" s="182"/>
      <c r="J1924" s="182"/>
      <c r="K1924" s="183"/>
      <c r="L1924" s="182"/>
      <c r="M1924" s="182"/>
      <c r="N1924" s="182"/>
      <c r="O1924" s="183"/>
      <c r="P1924" s="183"/>
      <c r="Q1924" s="183"/>
      <c r="R1924" s="183"/>
      <c r="S1924" s="183"/>
      <c r="T1924" s="183"/>
      <c r="U1924" s="183"/>
      <c r="V1924" s="183"/>
      <c r="W1924" s="183"/>
      <c r="X1924" s="183"/>
      <c r="Y1924" s="183"/>
      <c r="Z1924" s="183"/>
      <c r="AA1924" s="185"/>
      <c r="AB1924" s="185"/>
      <c r="AC1924" s="185"/>
      <c r="AD1924" s="649"/>
      <c r="AE1924" s="182"/>
      <c r="AF1924" s="332"/>
      <c r="AG1924" s="182"/>
      <c r="AH1924" s="182"/>
      <c r="AI1924" s="182"/>
      <c r="AJ1924" s="640"/>
      <c r="AK1924" s="182"/>
      <c r="AL1924" s="496">
        <f t="shared" si="637"/>
        <v>0</v>
      </c>
      <c r="AM1924" s="496">
        <f t="shared" ref="AM1924:AM1928" si="641">AL1924*(R1924-S1924)</f>
        <v>0</v>
      </c>
      <c r="AN1924" s="626"/>
      <c r="AO1924" s="182"/>
      <c r="AP1924" s="182"/>
      <c r="AQ1924" s="332" t="str">
        <f>UPPER(RIGHT(Journal_Live[[#This Row],[DURATION ]]))</f>
        <v/>
      </c>
      <c r="AR1924" s="182"/>
      <c r="AS1924" s="189"/>
      <c r="AT1924" s="189"/>
      <c r="AU1924" s="187"/>
      <c r="AV1924" s="190"/>
      <c r="AW1924" s="191"/>
      <c r="AX1924" s="551" t="s">
        <v>6299</v>
      </c>
      <c r="AY1924" s="551" t="s">
        <v>6300</v>
      </c>
      <c r="AZ1924" s="549" t="s">
        <v>6301</v>
      </c>
      <c r="BA1924" s="551" t="s">
        <v>6302</v>
      </c>
      <c r="BB1924" s="551" t="s">
        <v>6303</v>
      </c>
      <c r="BC1924" s="551"/>
      <c r="BD1924" s="549"/>
      <c r="BE1924" s="550"/>
      <c r="BF1924" s="549"/>
      <c r="BG1924" s="391">
        <f>SUM($AV$1389:AV1924)</f>
        <v>3775.9746957692241</v>
      </c>
      <c r="BH1924" s="392">
        <f>SUM($AU$1389:AU1924)</f>
        <v>43706.687142856565</v>
      </c>
      <c r="BI1924" s="318">
        <f>SUMIFS($AU$1388:AU1925,$Q$1388:Q1925,"F")</f>
        <v>25718.457142857143</v>
      </c>
      <c r="BJ1924" s="318">
        <f>SUMIFS($AU$1388:AU1925,$Q$1388:Q1925,"S")</f>
        <v>13727.999999999995</v>
      </c>
      <c r="BK1924" s="343">
        <f>SUMIFS($AU$1388:AU1925,$P$1388:P1925,"W")</f>
        <v>30047.637142857486</v>
      </c>
      <c r="BL1924" s="343">
        <f>SUMIFS($AU$1388:AU1925,$P$1388:P1925,"R")</f>
        <v>11645.999999999862</v>
      </c>
      <c r="BM1924" s="343">
        <f>SUMIFS($AU$1388:AU1925,$AQ$1388:AQ1925,"M")</f>
        <v>9225.3799999992698</v>
      </c>
      <c r="BN1924" s="343">
        <f>SUMIFS($AU$1388:AU1925,$AQ$1388:AQ1925,"H")</f>
        <v>8087.2000000002827</v>
      </c>
      <c r="BO1924" s="343">
        <f>SUMIFS($AU$1388:AU1925,$AQ$1388:AQ1925,"D")</f>
        <v>13545.507142857021</v>
      </c>
      <c r="BP1924" s="343">
        <f>SUMIFS($AS$1388:AS2696,$AO$1388:AO2696,"W")</f>
        <v>0</v>
      </c>
      <c r="BQ1924" s="343">
        <f>SUMIFS($AU$1388:AU1925,$Q$1388:Q1925,"O")</f>
        <v>2836.2299999994329</v>
      </c>
      <c r="BR1924" s="343">
        <f>SUMIFS($AU$1388:AU1925,$AA$1388:AA1925,"*")</f>
        <v>30245.79999999945</v>
      </c>
      <c r="BS1924" s="343">
        <f>SUMIFS($AU$1388:AU1925,$AB$1388:AB1925,"*")</f>
        <v>11794.829999999794</v>
      </c>
      <c r="BT1924" s="343">
        <f>SUMIFS($AU$1388:AU1925,$AC$1388:AC1925,"*")</f>
        <v>24678.45714285714</v>
      </c>
      <c r="BU1924" s="343">
        <f>SUMIFS($AU$1388:AU1925,$AA$1388:AA1925,"*",$AB$1388:AB1925,"*")</f>
        <v>5807.9999999998217</v>
      </c>
      <c r="BV1924" s="343">
        <f>SUMIFS($AU$1388:AU1925,$AA$1388:AA1925,"*",$AC$1388:AC1925,"*")</f>
        <v>13364.4</v>
      </c>
      <c r="BW1924" s="343">
        <f>SUMIFS($AU$1388:AU1925,$AB$1388:AB1925,"*",$AC$1388:AC1925,"*")</f>
        <v>7119.9999999999982</v>
      </c>
      <c r="BX1924" s="343">
        <f>SUMIFS($AV$1388:AV1925,$Q$1388:Q1925,"F")</f>
        <v>397.90578243515159</v>
      </c>
      <c r="BY1924" s="343">
        <f>SUMIFS($AV$1388:AV1925,$Q$1388:Q1925,"S")</f>
        <v>558.83991333429879</v>
      </c>
      <c r="BZ1924" s="343">
        <f>SUMIFS($AV$1388:AV1925,$Q$1388:Q1925,"O")</f>
        <v>871.22899999976846</v>
      </c>
    </row>
    <row r="1925" spans="1:78" ht="15.75" customHeight="1">
      <c r="A1925" s="177" t="s">
        <v>5851</v>
      </c>
      <c r="B1925" s="200"/>
      <c r="C1925" s="178"/>
      <c r="D1925" s="178"/>
      <c r="E1925" s="227"/>
      <c r="F1925" s="180"/>
      <c r="G1925" s="181"/>
      <c r="H1925" s="182"/>
      <c r="I1925" s="182"/>
      <c r="J1925" s="182"/>
      <c r="K1925" s="183"/>
      <c r="L1925" s="182"/>
      <c r="M1925" s="182"/>
      <c r="N1925" s="182"/>
      <c r="O1925" s="183"/>
      <c r="P1925" s="183"/>
      <c r="Q1925" s="183"/>
      <c r="R1925" s="183"/>
      <c r="S1925" s="183"/>
      <c r="T1925" s="183"/>
      <c r="U1925" s="183"/>
      <c r="V1925" s="183"/>
      <c r="W1925" s="183"/>
      <c r="X1925" s="183"/>
      <c r="Y1925" s="183"/>
      <c r="Z1925" s="183"/>
      <c r="AA1925" s="185"/>
      <c r="AB1925" s="185"/>
      <c r="AC1925" s="185"/>
      <c r="AD1925" s="649"/>
      <c r="AE1925" s="182"/>
      <c r="AF1925" s="332"/>
      <c r="AG1925" s="182"/>
      <c r="AH1925" s="182"/>
      <c r="AI1925" s="182"/>
      <c r="AJ1925" s="640"/>
      <c r="AK1925" s="182"/>
      <c r="AL1925" s="496">
        <f t="shared" si="637"/>
        <v>0</v>
      </c>
      <c r="AM1925" s="496">
        <f t="shared" si="641"/>
        <v>0</v>
      </c>
      <c r="AN1925" s="626"/>
      <c r="AO1925" s="182"/>
      <c r="AP1925" s="182"/>
      <c r="AQ1925" s="332" t="str">
        <f>UPPER(RIGHT(Journal_Live[[#This Row],[DURATION ]]))</f>
        <v/>
      </c>
      <c r="AR1925" s="182"/>
      <c r="AS1925" s="189"/>
      <c r="AT1925" s="189"/>
      <c r="AU1925" s="187"/>
      <c r="AV1925" s="190"/>
      <c r="AW1925" s="191"/>
      <c r="AX1925" s="551"/>
      <c r="AY1925" s="551"/>
      <c r="AZ1925" s="551"/>
      <c r="BA1925" s="551"/>
      <c r="BB1925" s="551"/>
      <c r="BC1925" s="551"/>
      <c r="BD1925" s="549"/>
      <c r="BE1925" s="550"/>
      <c r="BF1925" s="549"/>
      <c r="BG1925" s="391">
        <f>SUM($AV$1389:AV1925)</f>
        <v>3775.9746957692241</v>
      </c>
      <c r="BH1925" s="392">
        <f>SUM($AU$1389:AU1925)</f>
        <v>43706.687142856565</v>
      </c>
      <c r="BI1925" s="318">
        <f>SUMIFS($AU$1388:AU1926,$Q$1388:Q1926,"F")</f>
        <v>25718.457142857143</v>
      </c>
      <c r="BJ1925" s="318">
        <f>SUMIFS($AU$1388:AU1926,$Q$1388:Q1926,"S")</f>
        <v>13727.999999999995</v>
      </c>
      <c r="BK1925" s="343">
        <f>SUMIFS($AU$1388:AU1926,$P$1388:P1926,"W")</f>
        <v>30047.637142857486</v>
      </c>
      <c r="BL1925" s="343">
        <f>SUMIFS($AU$1388:AU1926,$P$1388:P1926,"R")</f>
        <v>11645.999999999862</v>
      </c>
      <c r="BM1925" s="343">
        <f>SUMIFS($AU$1388:AU1926,$AQ$1388:AQ1926,"M")</f>
        <v>9225.3799999992698</v>
      </c>
      <c r="BN1925" s="343">
        <f>SUMIFS($AU$1388:AU1926,$AQ$1388:AQ1926,"H")</f>
        <v>8087.2000000002827</v>
      </c>
      <c r="BO1925" s="343">
        <f>SUMIFS($AU$1388:AU1926,$AQ$1388:AQ1926,"D")</f>
        <v>13545.507142857021</v>
      </c>
      <c r="BP1925" s="343">
        <f>SUMIFS($AS$1388:AS2697,$AO$1388:AO2697,"W")</f>
        <v>0</v>
      </c>
      <c r="BQ1925" s="343">
        <f>SUMIFS($AU$1388:AU1926,$Q$1388:Q1926,"O")</f>
        <v>2836.2299999994329</v>
      </c>
      <c r="BR1925" s="343">
        <f>SUMIFS($AU$1388:AU1926,$AA$1388:AA1926,"*")</f>
        <v>30245.79999999945</v>
      </c>
      <c r="BS1925" s="343">
        <f>SUMIFS($AU$1388:AU1926,$AB$1388:AB1926,"*")</f>
        <v>11794.829999999794</v>
      </c>
      <c r="BT1925" s="343">
        <f>SUMIFS($AU$1388:AU1926,$AC$1388:AC1926,"*")</f>
        <v>24678.45714285714</v>
      </c>
      <c r="BU1925" s="343">
        <f>SUMIFS($AU$1388:AU1926,$AA$1388:AA1926,"*",$AB$1388:AB1926,"*")</f>
        <v>5807.9999999998217</v>
      </c>
      <c r="BV1925" s="343">
        <f>SUMIFS($AU$1388:AU1926,$AA$1388:AA1926,"*",$AC$1388:AC1926,"*")</f>
        <v>13364.4</v>
      </c>
      <c r="BW1925" s="343">
        <f>SUMIFS($AU$1388:AU1926,$AB$1388:AB1926,"*",$AC$1388:AC1926,"*")</f>
        <v>7119.9999999999982</v>
      </c>
      <c r="BX1925" s="343">
        <f>SUMIFS($AV$1388:AV1926,$Q$1388:Q1926,"F")</f>
        <v>397.90578243515159</v>
      </c>
      <c r="BY1925" s="343">
        <f>SUMIFS($AV$1388:AV1926,$Q$1388:Q1926,"S")</f>
        <v>558.83991333429879</v>
      </c>
      <c r="BZ1925" s="343">
        <f>SUMIFS($AV$1388:AV1926,$Q$1388:Q1926,"O")</f>
        <v>871.22899999976846</v>
      </c>
    </row>
    <row r="1926" spans="1:78" ht="15.75" customHeight="1">
      <c r="A1926" s="177" t="s">
        <v>5851</v>
      </c>
      <c r="B1926" s="200"/>
      <c r="C1926" s="178"/>
      <c r="D1926" s="178"/>
      <c r="E1926" s="227"/>
      <c r="F1926" s="180"/>
      <c r="G1926" s="181"/>
      <c r="H1926" s="182"/>
      <c r="I1926" s="182"/>
      <c r="J1926" s="182"/>
      <c r="K1926" s="183"/>
      <c r="L1926" s="182"/>
      <c r="M1926" s="182"/>
      <c r="N1926" s="182"/>
      <c r="O1926" s="183"/>
      <c r="P1926" s="183"/>
      <c r="Q1926" s="183"/>
      <c r="R1926" s="183"/>
      <c r="S1926" s="183"/>
      <c r="T1926" s="183"/>
      <c r="U1926" s="183"/>
      <c r="V1926" s="183"/>
      <c r="W1926" s="183"/>
      <c r="X1926" s="183"/>
      <c r="Y1926" s="183"/>
      <c r="Z1926" s="183"/>
      <c r="AA1926" s="185"/>
      <c r="AB1926" s="185"/>
      <c r="AC1926" s="185"/>
      <c r="AD1926" s="649"/>
      <c r="AE1926" s="182"/>
      <c r="AF1926" s="332"/>
      <c r="AG1926" s="182"/>
      <c r="AH1926" s="182"/>
      <c r="AI1926" s="182"/>
      <c r="AJ1926" s="640"/>
      <c r="AK1926" s="182"/>
      <c r="AL1926" s="496">
        <f t="shared" ref="AL1926" si="642">-0.02*Z1926</f>
        <v>0</v>
      </c>
      <c r="AM1926" s="496">
        <f t="shared" si="641"/>
        <v>0</v>
      </c>
      <c r="AN1926" s="626"/>
      <c r="AO1926" s="182"/>
      <c r="AP1926" s="182"/>
      <c r="AQ1926" s="332" t="str">
        <f>UPPER(RIGHT(Journal_Live[[#This Row],[DURATION ]]))</f>
        <v/>
      </c>
      <c r="AR1926" s="182"/>
      <c r="AS1926" s="189"/>
      <c r="AT1926" s="189"/>
      <c r="AU1926" s="187"/>
      <c r="AV1926" s="190"/>
      <c r="AW1926" s="191"/>
      <c r="AX1926" s="551"/>
      <c r="AY1926" s="551"/>
      <c r="AZ1926" s="551"/>
      <c r="BA1926" s="551"/>
      <c r="BB1926" s="551"/>
      <c r="BC1926" s="551"/>
      <c r="BD1926" s="549"/>
      <c r="BE1926" s="550"/>
      <c r="BF1926" s="549"/>
      <c r="BG1926" s="391">
        <f>SUM($AV$1389:AV1926)</f>
        <v>3775.9746957692241</v>
      </c>
      <c r="BH1926" s="392">
        <f>SUM($AU$1389:AU1926)</f>
        <v>43706.687142856565</v>
      </c>
      <c r="BI1926" s="318">
        <f>SUMIFS($AU$1388:AU1927,$Q$1388:Q1927,"F")</f>
        <v>25718.457142857143</v>
      </c>
      <c r="BJ1926" s="318">
        <f>SUMIFS($AU$1388:AU1927,$Q$1388:Q1927,"S")</f>
        <v>13727.999999999995</v>
      </c>
      <c r="BK1926" s="343">
        <f>SUMIFS($AU$1388:AU1927,$P$1388:P1927,"W")</f>
        <v>30047.637142857486</v>
      </c>
      <c r="BL1926" s="343">
        <f>SUMIFS($AU$1388:AU1927,$P$1388:P1927,"R")</f>
        <v>11645.999999999862</v>
      </c>
      <c r="BM1926" s="343">
        <f>SUMIFS($AU$1388:AU1927,$AQ$1388:AQ1927,"M")</f>
        <v>9225.3799999992698</v>
      </c>
      <c r="BN1926" s="343">
        <f>SUMIFS($AU$1388:AU1927,$AQ$1388:AQ1927,"H")</f>
        <v>8087.2000000002827</v>
      </c>
      <c r="BO1926" s="343">
        <f>SUMIFS($AU$1388:AU1927,$AQ$1388:AQ1927,"D")</f>
        <v>13545.507142857021</v>
      </c>
      <c r="BP1926" s="343">
        <f>SUMIFS($AS$1388:AS2698,$AO$1388:AO2698,"W")</f>
        <v>0</v>
      </c>
      <c r="BQ1926" s="343">
        <f>SUMIFS($AU$1388:AU1927,$Q$1388:Q1927,"O")</f>
        <v>2836.2299999994329</v>
      </c>
      <c r="BR1926" s="343">
        <f>SUMIFS($AU$1388:AU1927,$AA$1388:AA1927,"*")</f>
        <v>30245.79999999945</v>
      </c>
      <c r="BS1926" s="343">
        <f>SUMIFS($AU$1388:AU1927,$AB$1388:AB1927,"*")</f>
        <v>11794.829999999794</v>
      </c>
      <c r="BT1926" s="343">
        <f>SUMIFS($AU$1388:AU1927,$AC$1388:AC1927,"*")</f>
        <v>24678.45714285714</v>
      </c>
      <c r="BU1926" s="343">
        <f>SUMIFS($AU$1388:AU1927,$AA$1388:AA1927,"*",$AB$1388:AB1927,"*")</f>
        <v>5807.9999999998217</v>
      </c>
      <c r="BV1926" s="343">
        <f>SUMIFS($AU$1388:AU1927,$AA$1388:AA1927,"*",$AC$1388:AC1927,"*")</f>
        <v>13364.4</v>
      </c>
      <c r="BW1926" s="343">
        <f>SUMIFS($AU$1388:AU1927,$AB$1388:AB1927,"*",$AC$1388:AC1927,"*")</f>
        <v>7119.9999999999982</v>
      </c>
      <c r="BX1926" s="343">
        <f>SUMIFS($AV$1388:AV1927,$Q$1388:Q1927,"F")</f>
        <v>397.90578243515159</v>
      </c>
      <c r="BY1926" s="343">
        <f>SUMIFS($AV$1388:AV1927,$Q$1388:Q1927,"S")</f>
        <v>558.83991333429879</v>
      </c>
      <c r="BZ1926" s="343">
        <f>SUMIFS($AV$1388:AV1927,$Q$1388:Q1927,"O")</f>
        <v>871.22899999976846</v>
      </c>
    </row>
    <row r="1927" spans="1:78" ht="15.75" customHeight="1">
      <c r="A1927" s="177" t="s">
        <v>5851</v>
      </c>
      <c r="B1927" s="200"/>
      <c r="C1927" s="178"/>
      <c r="D1927" s="178"/>
      <c r="E1927" s="227"/>
      <c r="F1927" s="180"/>
      <c r="G1927" s="181"/>
      <c r="H1927" s="182"/>
      <c r="I1927" s="182"/>
      <c r="J1927" s="182"/>
      <c r="K1927" s="183"/>
      <c r="L1927" s="182"/>
      <c r="M1927" s="182"/>
      <c r="N1927" s="182"/>
      <c r="O1927" s="183"/>
      <c r="P1927" s="183"/>
      <c r="Q1927" s="183"/>
      <c r="R1927" s="183"/>
      <c r="S1927" s="183"/>
      <c r="T1927" s="183"/>
      <c r="U1927" s="183"/>
      <c r="V1927" s="183"/>
      <c r="W1927" s="183"/>
      <c r="X1927" s="183"/>
      <c r="Y1927" s="183"/>
      <c r="Z1927" s="183"/>
      <c r="AA1927" s="185"/>
      <c r="AB1927" s="185"/>
      <c r="AC1927" s="185"/>
      <c r="AD1927" s="649"/>
      <c r="AE1927" s="182"/>
      <c r="AF1927" s="332"/>
      <c r="AG1927" s="182"/>
      <c r="AH1927" s="182"/>
      <c r="AI1927" s="182"/>
      <c r="AJ1927" s="640"/>
      <c r="AK1927" s="182"/>
      <c r="AL1927" s="496">
        <f t="shared" si="527"/>
        <v>0</v>
      </c>
      <c r="AM1927" s="496">
        <f t="shared" si="641"/>
        <v>0</v>
      </c>
      <c r="AN1927" s="626"/>
      <c r="AO1927" s="182"/>
      <c r="AP1927" s="182"/>
      <c r="AQ1927" s="332" t="str">
        <f>UPPER(RIGHT(Journal_Live[[#This Row],[DURATION ]]))</f>
        <v/>
      </c>
      <c r="AR1927" s="182"/>
      <c r="AS1927" s="189"/>
      <c r="AT1927" s="189"/>
      <c r="AU1927" s="187"/>
      <c r="AV1927" s="190"/>
      <c r="AW1927" s="191"/>
      <c r="AX1927" s="565" t="s">
        <v>6304</v>
      </c>
      <c r="AY1927" s="515" t="s">
        <v>6305</v>
      </c>
      <c r="AZ1927" s="549" t="s">
        <v>6301</v>
      </c>
      <c r="BA1927" s="551"/>
      <c r="BB1927" s="551"/>
      <c r="BC1927" s="551"/>
      <c r="BD1927" s="549"/>
      <c r="BE1927" s="550"/>
      <c r="BF1927" s="549"/>
      <c r="BG1927" s="391">
        <f>SUM($AV$1389:AV1927)</f>
        <v>3775.9746957692241</v>
      </c>
      <c r="BH1927" s="392">
        <f>SUM($AU$1389:AU1927)</f>
        <v>43706.687142856565</v>
      </c>
      <c r="BI1927" s="318">
        <f>SUMIFS($AU$1388:AU1928,$Q$1388:Q1928,"F")</f>
        <v>25718.457142857143</v>
      </c>
      <c r="BJ1927" s="318">
        <f>SUMIFS($AU$1388:AU1928,$Q$1388:Q1928,"S")</f>
        <v>13727.999999999995</v>
      </c>
      <c r="BK1927" s="343">
        <f>SUMIFS($AU$1388:AU1928,$P$1388:P1928,"W")</f>
        <v>30047.637142857486</v>
      </c>
      <c r="BL1927" s="343">
        <f>SUMIFS($AU$1388:AU1928,$P$1388:P1928,"R")</f>
        <v>11645.999999999862</v>
      </c>
      <c r="BM1927" s="343">
        <f>SUMIFS($AU$1388:AU1928,$AQ$1388:AQ1928,"M")</f>
        <v>9225.3799999992698</v>
      </c>
      <c r="BN1927" s="343">
        <f>SUMIFS($AU$1388:AU1928,$AQ$1388:AQ1928,"H")</f>
        <v>8087.2000000002827</v>
      </c>
      <c r="BO1927" s="343">
        <f>SUMIFS($AU$1388:AU1928,$AQ$1388:AQ1928,"D")</f>
        <v>13545.507142857021</v>
      </c>
      <c r="BP1927" s="343">
        <f>SUMIFS($AS$1388:AS2699,$AO$1388:AO2699,"W")</f>
        <v>0</v>
      </c>
      <c r="BQ1927" s="343">
        <f>SUMIFS($AU$1388:AU1928,$Q$1388:Q1928,"O")</f>
        <v>2836.2299999994329</v>
      </c>
      <c r="BR1927" s="343">
        <f>SUMIFS($AU$1388:AU1928,$AA$1388:AA1928,"*")</f>
        <v>30245.79999999945</v>
      </c>
      <c r="BS1927" s="343">
        <f>SUMIFS($AU$1388:AU1928,$AB$1388:AB1928,"*")</f>
        <v>11794.829999999794</v>
      </c>
      <c r="BT1927" s="343">
        <f>SUMIFS($AU$1388:AU1928,$AC$1388:AC1928,"*")</f>
        <v>24678.45714285714</v>
      </c>
      <c r="BU1927" s="343">
        <f>SUMIFS($AU$1388:AU1928,$AA$1388:AA1928,"*",$AB$1388:AB1928,"*")</f>
        <v>5807.9999999998217</v>
      </c>
      <c r="BV1927" s="343">
        <f>SUMIFS($AU$1388:AU1928,$AA$1388:AA1928,"*",$AC$1388:AC1928,"*")</f>
        <v>13364.4</v>
      </c>
      <c r="BW1927" s="343">
        <f>SUMIFS($AU$1388:AU1928,$AB$1388:AB1928,"*",$AC$1388:AC1928,"*")</f>
        <v>7119.9999999999982</v>
      </c>
      <c r="BX1927" s="343">
        <f>SUMIFS($AV$1388:AV1928,$Q$1388:Q1928,"F")</f>
        <v>397.90578243515159</v>
      </c>
      <c r="BY1927" s="343">
        <f>SUMIFS($AV$1388:AV1928,$Q$1388:Q1928,"S")</f>
        <v>558.83991333429879</v>
      </c>
      <c r="BZ1927" s="343">
        <f>SUMIFS($AV$1388:AV1928,$Q$1388:Q1928,"O")</f>
        <v>871.22899999976846</v>
      </c>
    </row>
    <row r="1928" spans="1:78" ht="15.75" customHeight="1">
      <c r="A1928" s="177" t="s">
        <v>5851</v>
      </c>
      <c r="B1928" s="200"/>
      <c r="C1928" s="178"/>
      <c r="D1928" s="178"/>
      <c r="E1928" s="227"/>
      <c r="F1928" s="180"/>
      <c r="G1928" s="181"/>
      <c r="H1928" s="182"/>
      <c r="I1928" s="182"/>
      <c r="J1928" s="182"/>
      <c r="K1928" s="183"/>
      <c r="L1928" s="182"/>
      <c r="M1928" s="182"/>
      <c r="N1928" s="182"/>
      <c r="O1928" s="183"/>
      <c r="P1928" s="183"/>
      <c r="Q1928" s="183"/>
      <c r="R1928" s="183"/>
      <c r="S1928" s="183"/>
      <c r="T1928" s="183"/>
      <c r="U1928" s="183"/>
      <c r="V1928" s="183"/>
      <c r="W1928" s="183"/>
      <c r="X1928" s="183"/>
      <c r="Y1928" s="183"/>
      <c r="Z1928" s="183"/>
      <c r="AA1928" s="185"/>
      <c r="AB1928" s="185"/>
      <c r="AC1928" s="185"/>
      <c r="AD1928" s="649"/>
      <c r="AE1928" s="182"/>
      <c r="AF1928" s="332"/>
      <c r="AG1928" s="182"/>
      <c r="AH1928" s="182"/>
      <c r="AI1928" s="182"/>
      <c r="AJ1928" s="640"/>
      <c r="AK1928" s="182"/>
      <c r="AL1928" s="496">
        <f t="shared" si="525"/>
        <v>0</v>
      </c>
      <c r="AM1928" s="496">
        <f t="shared" si="641"/>
        <v>0</v>
      </c>
      <c r="AN1928" s="626"/>
      <c r="AO1928" s="182"/>
      <c r="AP1928" s="182"/>
      <c r="AQ1928" s="332" t="str">
        <f>UPPER(RIGHT(Journal_Live[[#This Row],[DURATION ]]))</f>
        <v/>
      </c>
      <c r="AR1928" s="182"/>
      <c r="AS1928" s="189"/>
      <c r="AT1928" s="189"/>
      <c r="AU1928" s="187"/>
      <c r="AV1928" s="190"/>
      <c r="AW1928" s="191"/>
      <c r="AX1928" s="417" t="s">
        <v>5861</v>
      </c>
      <c r="AY1928" s="515" t="s">
        <v>6306</v>
      </c>
      <c r="AZ1928" s="417" t="s">
        <v>5878</v>
      </c>
      <c r="BA1928" s="563"/>
      <c r="BB1928" s="565" t="s">
        <v>6307</v>
      </c>
      <c r="BC1928" s="564" t="s">
        <v>5589</v>
      </c>
      <c r="BD1928" s="417" t="s">
        <v>6308</v>
      </c>
      <c r="BE1928" s="565"/>
      <c r="BF1928" s="549"/>
      <c r="BG1928" s="391">
        <f>SUM($AV$1389:AV1928)</f>
        <v>3775.9746957692241</v>
      </c>
      <c r="BH1928" s="392">
        <f>SUM($AU$1389:AU1928)</f>
        <v>43706.687142856565</v>
      </c>
      <c r="BI1928" s="318">
        <f>SUMIFS($AU$1388:AU1929,$Q$1388:Q1929,"F")</f>
        <v>25718.457142857143</v>
      </c>
      <c r="BJ1928" s="318">
        <f>SUMIFS($AU$1388:AU1929,$Q$1388:Q1929,"S")</f>
        <v>13727.999999999995</v>
      </c>
      <c r="BK1928" s="343">
        <f>SUMIFS($AU$1388:AU1929,$P$1388:P1929,"W")</f>
        <v>30047.637142857486</v>
      </c>
      <c r="BL1928" s="343">
        <f>SUMIFS($AU$1388:AU1929,$P$1388:P1929,"R")</f>
        <v>11645.999999999862</v>
      </c>
      <c r="BM1928" s="343">
        <f>SUMIFS($AU$1388:AU1929,$AQ$1388:AQ1929,"M")</f>
        <v>9225.3799999992698</v>
      </c>
      <c r="BN1928" s="343">
        <f>SUMIFS($AU$1388:AU1929,$AQ$1388:AQ1929,"H")</f>
        <v>8087.2000000002827</v>
      </c>
      <c r="BO1928" s="343">
        <f>SUMIFS($AU$1388:AU1929,$AQ$1388:AQ1929,"D")</f>
        <v>13545.507142857021</v>
      </c>
      <c r="BP1928" s="343">
        <f>SUMIFS($AS$1388:AS2700,$AO$1388:AO2700,"W")</f>
        <v>0</v>
      </c>
      <c r="BQ1928" s="343">
        <f>SUMIFS($AU$1388:AU1929,$Q$1388:Q1929,"O")</f>
        <v>2836.2299999994329</v>
      </c>
      <c r="BR1928" s="343">
        <f>SUMIFS($AU$1388:AU1929,$AA$1388:AA1929,"*")</f>
        <v>30245.79999999945</v>
      </c>
      <c r="BS1928" s="343">
        <f>SUMIFS($AU$1388:AU1929,$AB$1388:AB1929,"*")</f>
        <v>11794.829999999794</v>
      </c>
      <c r="BT1928" s="343">
        <f>SUMIFS($AU$1388:AU1929,$AC$1388:AC1929,"*")</f>
        <v>24678.45714285714</v>
      </c>
      <c r="BU1928" s="343">
        <f>SUMIFS($AU$1388:AU1929,$AA$1388:AA1929,"*",$AB$1388:AB1929,"*")</f>
        <v>5807.9999999998217</v>
      </c>
      <c r="BV1928" s="343">
        <f>SUMIFS($AU$1388:AU1929,$AA$1388:AA1929,"*",$AC$1388:AC1929,"*")</f>
        <v>13364.4</v>
      </c>
      <c r="BW1928" s="343">
        <f>SUMIFS($AU$1388:AU1929,$AB$1388:AB1929,"*",$AC$1388:AC1929,"*")</f>
        <v>7119.9999999999982</v>
      </c>
      <c r="BX1928" s="343">
        <f>SUMIFS($AV$1388:AV1929,$Q$1388:Q1929,"F")</f>
        <v>397.90578243515159</v>
      </c>
      <c r="BY1928" s="343">
        <f>SUMIFS($AV$1388:AV1929,$Q$1388:Q1929,"S")</f>
        <v>558.83991333429879</v>
      </c>
      <c r="BZ1928" s="343">
        <f>SUMIFS($AV$1388:AV1929,$Q$1388:Q1929,"O")</f>
        <v>871.22899999976846</v>
      </c>
    </row>
    <row r="1929" spans="1:78" ht="15.75" customHeight="1">
      <c r="A1929" s="492" t="s">
        <v>6309</v>
      </c>
      <c r="B1929" s="273"/>
      <c r="C1929" s="214"/>
      <c r="D1929" s="214"/>
      <c r="E1929" s="215"/>
      <c r="F1929" s="216"/>
      <c r="G1929" s="214"/>
      <c r="H1929" s="214"/>
      <c r="I1929" s="214"/>
      <c r="J1929" s="214"/>
      <c r="K1929" s="217"/>
      <c r="L1929" s="214"/>
      <c r="M1929" s="214"/>
      <c r="N1929" s="214"/>
      <c r="O1929" s="217"/>
      <c r="P1929" s="217"/>
      <c r="Q1929" s="217"/>
      <c r="R1929" s="217"/>
      <c r="S1929" s="217"/>
      <c r="T1929" s="217"/>
      <c r="U1929" s="217"/>
      <c r="V1929" s="217"/>
      <c r="W1929" s="217"/>
      <c r="X1929" s="217"/>
      <c r="Y1929" s="217"/>
      <c r="Z1929" s="218" t="str">
        <f>IF(ISBLANK(O1929),"",IF(O1929="IB",8.63*200,IF(O1929="IR",16*100,IF(O1929="YT",20*100,IF(O1929="YT-XT",24*200,IF(O1929="TED",80*100))))))</f>
        <v/>
      </c>
      <c r="AA1929" s="218"/>
      <c r="AB1929" s="218"/>
      <c r="AC1929" s="218"/>
      <c r="AD1929" s="651"/>
      <c r="AE1929" s="214"/>
      <c r="AF1929" s="347"/>
      <c r="AG1929" s="343"/>
      <c r="AH1929" s="214"/>
      <c r="AI1929" s="214"/>
      <c r="AJ1929" s="642"/>
      <c r="AK1929" s="214"/>
      <c r="AL1929" s="214"/>
      <c r="AM1929" s="214"/>
      <c r="AN1929" s="628"/>
      <c r="AO1929" s="214"/>
      <c r="AP1929" s="214"/>
      <c r="AQ1929" s="334" t="str">
        <f>UPPER(RIGHT(Journal_Live[[#This Row],[DURATION ]]))</f>
        <v/>
      </c>
      <c r="AR1929" s="214"/>
      <c r="AS1929" s="214"/>
      <c r="AT1929" s="214"/>
      <c r="AU1929" s="214"/>
      <c r="AV1929" s="214"/>
      <c r="AW1929" s="214"/>
      <c r="AX1929" s="417"/>
      <c r="AY1929" s="414"/>
      <c r="AZ1929" s="414"/>
      <c r="BA1929" s="414"/>
      <c r="BB1929" s="414"/>
      <c r="BC1929" s="414"/>
      <c r="BD1929" s="414"/>
      <c r="BE1929" s="414"/>
      <c r="BF1929" s="414"/>
      <c r="BG1929" s="391">
        <f>SUM($AV$1389:AV1929)</f>
        <v>3775.9746957692241</v>
      </c>
      <c r="BH1929" s="392">
        <f>SUM($AU$1389:AU1929)</f>
        <v>43706.687142856565</v>
      </c>
      <c r="BI1929" s="318">
        <f>SUMIFS($AU$1388:AU1930,$Q$1388:Q1930,"F")</f>
        <v>25718.457142857143</v>
      </c>
      <c r="BJ1929" s="318">
        <f>SUMIFS($AU$1388:AU1930,$Q$1388:Q1930,"S")</f>
        <v>13727.999999999995</v>
      </c>
      <c r="BK1929" s="343">
        <f>SUMIFS($AU$1388:AU1930,$P$1388:P1930,"W")</f>
        <v>30047.637142857486</v>
      </c>
      <c r="BL1929" s="343">
        <f>SUMIFS($AU$1388:AU1930,$P$1388:P1930,"R")</f>
        <v>11645.999999999862</v>
      </c>
      <c r="BM1929" s="343">
        <f>SUMIFS($AU$1388:AU1930,$AQ$1388:AQ1930,"M")</f>
        <v>9225.3799999992698</v>
      </c>
      <c r="BN1929" s="343">
        <f>SUMIFS($AU$1388:AU1930,$AQ$1388:AQ1930,"H")</f>
        <v>8087.2000000002827</v>
      </c>
      <c r="BO1929" s="343">
        <f>SUMIFS($AU$1388:AU1930,$AQ$1388:AQ1930,"D")</f>
        <v>13545.507142857021</v>
      </c>
      <c r="BP1929" s="343">
        <f>SUMIFS($AS$1388:AS2701,$AO$1388:AO2701,"W")</f>
        <v>0</v>
      </c>
      <c r="BQ1929" s="343">
        <f>SUMIFS($AU$1388:AU1930,$Q$1388:Q1930,"O")</f>
        <v>2836.2299999994329</v>
      </c>
      <c r="BR1929" s="343">
        <f>SUMIFS($AU$1388:AU1930,$AA$1388:AA1930,"*")</f>
        <v>30245.79999999945</v>
      </c>
      <c r="BS1929" s="343">
        <f>SUMIFS($AU$1388:AU1930,$AB$1388:AB1930,"*")</f>
        <v>11794.829999999794</v>
      </c>
      <c r="BT1929" s="343">
        <f>SUMIFS($AU$1388:AU1930,$AC$1388:AC1930,"*")</f>
        <v>24678.45714285714</v>
      </c>
      <c r="BU1929" s="343">
        <f>SUMIFS($AU$1388:AU1930,$AA$1388:AA1930,"*",$AB$1388:AB1930,"*")</f>
        <v>5807.9999999998217</v>
      </c>
      <c r="BV1929" s="343">
        <f>SUMIFS($AU$1388:AU1930,$AA$1388:AA1930,"*",$AC$1388:AC1930,"*")</f>
        <v>13364.4</v>
      </c>
      <c r="BW1929" s="343">
        <f>SUMIFS($AU$1388:AU1930,$AB$1388:AB1930,"*",$AC$1388:AC1930,"*")</f>
        <v>7119.9999999999982</v>
      </c>
      <c r="BX1929" s="343">
        <f>SUMIFS($AV$1388:AV1930,$Q$1388:Q1930,"F")</f>
        <v>397.90578243515159</v>
      </c>
      <c r="BY1929" s="343">
        <f>SUMIFS($AV$1388:AV1930,$Q$1388:Q1930,"S")</f>
        <v>558.83991333429879</v>
      </c>
      <c r="BZ1929" s="343">
        <f>SUMIFS($AV$1388:AV1930,$Q$1388:Q1930,"O")</f>
        <v>871.22899999976846</v>
      </c>
    </row>
    <row r="1930" spans="1:78" ht="15.75" customHeight="1">
      <c r="A1930" s="177" t="s">
        <v>6310</v>
      </c>
      <c r="B1930" s="200"/>
      <c r="C1930" s="178"/>
      <c r="D1930" s="178"/>
      <c r="E1930" s="227"/>
      <c r="F1930" s="180"/>
      <c r="G1930" s="181"/>
      <c r="H1930" s="182"/>
      <c r="I1930" s="182"/>
      <c r="J1930" s="182"/>
      <c r="K1930" s="183"/>
      <c r="L1930" s="182"/>
      <c r="M1930" s="182"/>
      <c r="N1930" s="182"/>
      <c r="O1930" s="183"/>
      <c r="P1930" s="183"/>
      <c r="Q1930" s="183"/>
      <c r="R1930" s="183"/>
      <c r="S1930" s="183"/>
      <c r="T1930" s="183"/>
      <c r="U1930" s="183"/>
      <c r="V1930" s="183"/>
      <c r="W1930" s="183"/>
      <c r="X1930" s="183"/>
      <c r="Y1930" s="183"/>
      <c r="Z1930" s="183"/>
      <c r="AA1930" s="185"/>
      <c r="AB1930" s="185"/>
      <c r="AC1930" s="185"/>
      <c r="AD1930" s="649"/>
      <c r="AE1930" s="182"/>
      <c r="AF1930" s="332"/>
      <c r="AG1930" s="182"/>
      <c r="AH1930" s="182"/>
      <c r="AI1930" s="182"/>
      <c r="AJ1930" s="640"/>
      <c r="AK1930" s="182"/>
      <c r="AL1930" s="496">
        <f t="shared" ref="AL1930:AL1961" si="643">-0.02*Z1930</f>
        <v>0</v>
      </c>
      <c r="AM1930" s="496">
        <f t="shared" ref="AM1930:AM1951" si="644">AL1930*(R1930-S1930)</f>
        <v>0</v>
      </c>
      <c r="AN1930" s="626"/>
      <c r="AO1930" s="182"/>
      <c r="AP1930" s="182"/>
      <c r="AQ1930" s="332" t="str">
        <f>UPPER(RIGHT(Journal_Live[[#This Row],[DURATION ]]))</f>
        <v/>
      </c>
      <c r="AR1930" s="182"/>
      <c r="AS1930" s="189"/>
      <c r="AT1930" s="189"/>
      <c r="AU1930" s="187"/>
      <c r="AV1930" s="190"/>
      <c r="AW1930" s="191"/>
      <c r="AX1930" s="568" t="s">
        <v>6311</v>
      </c>
      <c r="AY1930" s="567" t="s">
        <v>6312</v>
      </c>
      <c r="AZ1930" s="567" t="s">
        <v>6313</v>
      </c>
      <c r="BA1930" s="565"/>
      <c r="BB1930" s="565"/>
      <c r="BC1930" s="515" t="s">
        <v>6305</v>
      </c>
      <c r="BD1930" s="549" t="s">
        <v>6314</v>
      </c>
      <c r="BE1930" s="550"/>
      <c r="BF1930" s="549"/>
      <c r="BG1930" s="391">
        <f>SUM($AV$1389:AV1930)</f>
        <v>3775.9746957692241</v>
      </c>
      <c r="BH1930" s="392">
        <f>SUM($AU$1389:AU1930)</f>
        <v>43706.687142856565</v>
      </c>
      <c r="BI1930" s="318">
        <f>SUMIFS($AU$1388:AU1931,$Q$1388:Q1931,"F")</f>
        <v>25718.457142857143</v>
      </c>
      <c r="BJ1930" s="318">
        <f>SUMIFS($AU$1388:AU1931,$Q$1388:Q1931,"S")</f>
        <v>13727.999999999995</v>
      </c>
      <c r="BK1930" s="343">
        <f>SUMIFS($AU$1388:AU1931,$P$1388:P1931,"W")</f>
        <v>30047.637142857486</v>
      </c>
      <c r="BL1930" s="343">
        <f>SUMIFS($AU$1388:AU1931,$P$1388:P1931,"R")</f>
        <v>11645.999999999862</v>
      </c>
      <c r="BM1930" s="343">
        <f>SUMIFS($AU$1388:AU1931,$AQ$1388:AQ1931,"M")</f>
        <v>9225.3799999992698</v>
      </c>
      <c r="BN1930" s="343">
        <f>SUMIFS($AU$1388:AU1931,$AQ$1388:AQ1931,"H")</f>
        <v>8087.2000000002827</v>
      </c>
      <c r="BO1930" s="343">
        <f>SUMIFS($AU$1388:AU1931,$AQ$1388:AQ1931,"D")</f>
        <v>13545.507142857021</v>
      </c>
      <c r="BP1930" s="343">
        <f>SUMIFS($AS$1388:AS2702,$AO$1388:AO2702,"W")</f>
        <v>0</v>
      </c>
      <c r="BQ1930" s="343">
        <f>SUMIFS($AU$1388:AU1931,$Q$1388:Q1931,"O")</f>
        <v>2836.2299999994329</v>
      </c>
      <c r="BR1930" s="343">
        <f>SUMIFS($AU$1388:AU1931,$AA$1388:AA1931,"*")</f>
        <v>30245.79999999945</v>
      </c>
      <c r="BS1930" s="343">
        <f>SUMIFS($AU$1388:AU1931,$AB$1388:AB1931,"*")</f>
        <v>11794.829999999794</v>
      </c>
      <c r="BT1930" s="343">
        <f>SUMIFS($AU$1388:AU1931,$AC$1388:AC1931,"*")</f>
        <v>24678.45714285714</v>
      </c>
      <c r="BU1930" s="343">
        <f>SUMIFS($AU$1388:AU1931,$AA$1388:AA1931,"*",$AB$1388:AB1931,"*")</f>
        <v>5807.9999999998217</v>
      </c>
      <c r="BV1930" s="343">
        <f>SUMIFS($AU$1388:AU1931,$AA$1388:AA1931,"*",$AC$1388:AC1931,"*")</f>
        <v>13364.4</v>
      </c>
      <c r="BW1930" s="343">
        <f>SUMIFS($AU$1388:AU1931,$AB$1388:AB1931,"*",$AC$1388:AC1931,"*")</f>
        <v>7119.9999999999982</v>
      </c>
      <c r="BX1930" s="343">
        <f>SUMIFS($AV$1388:AV1931,$Q$1388:Q1931,"F")</f>
        <v>397.90578243515159</v>
      </c>
      <c r="BY1930" s="343">
        <f>SUMIFS($AV$1388:AV1931,$Q$1388:Q1931,"S")</f>
        <v>558.83991333429879</v>
      </c>
      <c r="BZ1930" s="343">
        <f>SUMIFS($AV$1388:AV1931,$Q$1388:Q1931,"O")</f>
        <v>871.22899999976846</v>
      </c>
    </row>
    <row r="1931" spans="1:78" ht="15.75" customHeight="1">
      <c r="A1931" s="177" t="s">
        <v>6310</v>
      </c>
      <c r="B1931" s="200"/>
      <c r="C1931" s="178"/>
      <c r="D1931" s="178"/>
      <c r="E1931" s="227"/>
      <c r="F1931" s="180"/>
      <c r="G1931" s="181"/>
      <c r="H1931" s="182"/>
      <c r="I1931" s="182"/>
      <c r="J1931" s="182"/>
      <c r="K1931" s="183"/>
      <c r="L1931" s="182"/>
      <c r="M1931" s="182"/>
      <c r="N1931" s="182"/>
      <c r="O1931" s="183"/>
      <c r="P1931" s="183"/>
      <c r="Q1931" s="183"/>
      <c r="R1931" s="183"/>
      <c r="S1931" s="183"/>
      <c r="T1931" s="183"/>
      <c r="U1931" s="183"/>
      <c r="V1931" s="183"/>
      <c r="W1931" s="183"/>
      <c r="X1931" s="183"/>
      <c r="Y1931" s="183"/>
      <c r="Z1931" s="183"/>
      <c r="AA1931" s="185"/>
      <c r="AB1931" s="185"/>
      <c r="AC1931" s="185"/>
      <c r="AD1931" s="649"/>
      <c r="AE1931" s="182"/>
      <c r="AF1931" s="332"/>
      <c r="AG1931" s="182"/>
      <c r="AH1931" s="182"/>
      <c r="AI1931" s="182"/>
      <c r="AJ1931" s="640"/>
      <c r="AK1931" s="182"/>
      <c r="AL1931" s="496">
        <f t="shared" si="643"/>
        <v>0</v>
      </c>
      <c r="AM1931" s="496">
        <f t="shared" si="644"/>
        <v>0</v>
      </c>
      <c r="AN1931" s="626"/>
      <c r="AO1931" s="182"/>
      <c r="AP1931" s="182"/>
      <c r="AQ1931" s="332" t="str">
        <f>UPPER(RIGHT(Journal_Live[[#This Row],[DURATION ]]))</f>
        <v/>
      </c>
      <c r="AR1931" s="182"/>
      <c r="AS1931" s="189"/>
      <c r="AT1931" s="189"/>
      <c r="AU1931" s="187"/>
      <c r="AV1931" s="190"/>
      <c r="AW1931" s="191"/>
      <c r="AX1931" s="551" t="s">
        <v>6315</v>
      </c>
      <c r="AY1931" s="551" t="s">
        <v>6316</v>
      </c>
      <c r="AZ1931" s="551" t="s">
        <v>6317</v>
      </c>
      <c r="BA1931" s="551" t="s">
        <v>6318</v>
      </c>
      <c r="BB1931" s="551"/>
      <c r="BC1931" s="551"/>
      <c r="BD1931" s="549"/>
      <c r="BE1931" s="550"/>
      <c r="BF1931" s="549"/>
      <c r="BG1931" s="391">
        <f>SUM($AV$1389:AV1931)</f>
        <v>3775.9746957692241</v>
      </c>
      <c r="BH1931" s="392">
        <f>SUM($AU$1389:AU1931)</f>
        <v>43706.687142856565</v>
      </c>
      <c r="BI1931" s="318">
        <f>SUMIFS($AU$1388:AU1932,$Q$1388:Q1932,"F")</f>
        <v>25718.457142857143</v>
      </c>
      <c r="BJ1931" s="318">
        <f>SUMIFS($AU$1388:AU1932,$Q$1388:Q1932,"S")</f>
        <v>13727.999999999995</v>
      </c>
      <c r="BK1931" s="343">
        <f>SUMIFS($AU$1388:AU1932,$P$1388:P1932,"W")</f>
        <v>30047.637142857486</v>
      </c>
      <c r="BL1931" s="343">
        <f>SUMIFS($AU$1388:AU1932,$P$1388:P1932,"R")</f>
        <v>11645.999999999862</v>
      </c>
      <c r="BM1931" s="343">
        <f>SUMIFS($AU$1388:AU1932,$AQ$1388:AQ1932,"M")</f>
        <v>9225.3799999992698</v>
      </c>
      <c r="BN1931" s="343">
        <f>SUMIFS($AU$1388:AU1932,$AQ$1388:AQ1932,"H")</f>
        <v>8087.2000000002827</v>
      </c>
      <c r="BO1931" s="343">
        <f>SUMIFS($AU$1388:AU1932,$AQ$1388:AQ1932,"D")</f>
        <v>13545.507142857021</v>
      </c>
      <c r="BP1931" s="343">
        <f>SUMIFS($AS$1388:AS2703,$AO$1388:AO2703,"W")</f>
        <v>0</v>
      </c>
      <c r="BQ1931" s="343">
        <f>SUMIFS($AU$1388:AU1932,$Q$1388:Q1932,"O")</f>
        <v>2836.2299999994329</v>
      </c>
      <c r="BR1931" s="343">
        <f>SUMIFS($AU$1388:AU1932,$AA$1388:AA1932,"*")</f>
        <v>30245.79999999945</v>
      </c>
      <c r="BS1931" s="343">
        <f>SUMIFS($AU$1388:AU1932,$AB$1388:AB1932,"*")</f>
        <v>11794.829999999794</v>
      </c>
      <c r="BT1931" s="343">
        <f>SUMIFS($AU$1388:AU1932,$AC$1388:AC1932,"*")</f>
        <v>24678.45714285714</v>
      </c>
      <c r="BU1931" s="343">
        <f>SUMIFS($AU$1388:AU1932,$AA$1388:AA1932,"*",$AB$1388:AB1932,"*")</f>
        <v>5807.9999999998217</v>
      </c>
      <c r="BV1931" s="343">
        <f>SUMIFS($AU$1388:AU1932,$AA$1388:AA1932,"*",$AC$1388:AC1932,"*")</f>
        <v>13364.4</v>
      </c>
      <c r="BW1931" s="343">
        <f>SUMIFS($AU$1388:AU1932,$AB$1388:AB1932,"*",$AC$1388:AC1932,"*")</f>
        <v>7119.9999999999982</v>
      </c>
      <c r="BX1931" s="343">
        <f>SUMIFS($AV$1388:AV1932,$Q$1388:Q1932,"F")</f>
        <v>397.90578243515159</v>
      </c>
      <c r="BY1931" s="343">
        <f>SUMIFS($AV$1388:AV1932,$Q$1388:Q1932,"S")</f>
        <v>558.83991333429879</v>
      </c>
      <c r="BZ1931" s="343">
        <f>SUMIFS($AV$1388:AV1932,$Q$1388:Q1932,"O")</f>
        <v>871.22899999976846</v>
      </c>
    </row>
    <row r="1932" spans="1:78" ht="15.75" customHeight="1">
      <c r="A1932" s="177" t="s">
        <v>6310</v>
      </c>
      <c r="B1932" s="200"/>
      <c r="C1932" s="178"/>
      <c r="D1932" s="178"/>
      <c r="E1932" s="227"/>
      <c r="F1932" s="180"/>
      <c r="G1932" s="181"/>
      <c r="H1932" s="182"/>
      <c r="I1932" s="182"/>
      <c r="J1932" s="182"/>
      <c r="K1932" s="183"/>
      <c r="L1932" s="182"/>
      <c r="M1932" s="182"/>
      <c r="N1932" s="182"/>
      <c r="O1932" s="183"/>
      <c r="P1932" s="183"/>
      <c r="Q1932" s="183"/>
      <c r="R1932" s="183"/>
      <c r="S1932" s="183"/>
      <c r="T1932" s="183"/>
      <c r="U1932" s="183"/>
      <c r="V1932" s="183"/>
      <c r="W1932" s="183"/>
      <c r="X1932" s="183"/>
      <c r="Y1932" s="183"/>
      <c r="Z1932" s="183"/>
      <c r="AA1932" s="185"/>
      <c r="AB1932" s="185"/>
      <c r="AC1932" s="185"/>
      <c r="AD1932" s="649"/>
      <c r="AE1932" s="182"/>
      <c r="AF1932" s="332"/>
      <c r="AG1932" s="182"/>
      <c r="AH1932" s="182"/>
      <c r="AI1932" s="182"/>
      <c r="AJ1932" s="640"/>
      <c r="AK1932" s="182"/>
      <c r="AL1932" s="496">
        <f t="shared" ref="AL1932:AL1947" si="645">-0.02*Z1932</f>
        <v>0</v>
      </c>
      <c r="AM1932" s="496">
        <f t="shared" si="644"/>
        <v>0</v>
      </c>
      <c r="AN1932" s="626"/>
      <c r="AO1932" s="182"/>
      <c r="AP1932" s="182"/>
      <c r="AQ1932" s="332" t="str">
        <f>UPPER(RIGHT(Journal_Live[[#This Row],[DURATION ]]))</f>
        <v/>
      </c>
      <c r="AR1932" s="182"/>
      <c r="AS1932" s="189"/>
      <c r="AT1932" s="189"/>
      <c r="AU1932" s="187"/>
      <c r="AV1932" s="190"/>
      <c r="AW1932" s="191"/>
      <c r="AX1932" s="551" t="s">
        <v>3819</v>
      </c>
      <c r="AY1932" s="551" t="s">
        <v>6319</v>
      </c>
      <c r="AZ1932" s="551"/>
      <c r="BA1932" s="551"/>
      <c r="BB1932" s="551"/>
      <c r="BC1932" s="551"/>
      <c r="BD1932" s="549"/>
      <c r="BE1932" s="550"/>
      <c r="BF1932" s="549"/>
      <c r="BG1932" s="391">
        <f>SUM($AV$1389:AV1932)</f>
        <v>3775.9746957692241</v>
      </c>
      <c r="BH1932" s="392">
        <f>SUM($AU$1389:AU1932)</f>
        <v>43706.687142856565</v>
      </c>
      <c r="BI1932" s="318">
        <f>SUMIFS($AU$1388:AU1933,$Q$1388:Q1933,"F")</f>
        <v>25718.457142857143</v>
      </c>
      <c r="BJ1932" s="318">
        <f>SUMIFS($AU$1388:AU1933,$Q$1388:Q1933,"S")</f>
        <v>13727.999999999995</v>
      </c>
      <c r="BK1932" s="343">
        <f>SUMIFS($AU$1388:AU1933,$P$1388:P1933,"W")</f>
        <v>30047.637142857486</v>
      </c>
      <c r="BL1932" s="343">
        <f>SUMIFS($AU$1388:AU1933,$P$1388:P1933,"R")</f>
        <v>11645.999999999862</v>
      </c>
      <c r="BM1932" s="343">
        <f>SUMIFS($AU$1388:AU1933,$AQ$1388:AQ1933,"M")</f>
        <v>9225.3799999992698</v>
      </c>
      <c r="BN1932" s="343">
        <f>SUMIFS($AU$1388:AU1933,$AQ$1388:AQ1933,"H")</f>
        <v>8087.2000000002827</v>
      </c>
      <c r="BO1932" s="343">
        <f>SUMIFS($AU$1388:AU1933,$AQ$1388:AQ1933,"D")</f>
        <v>13545.507142857021</v>
      </c>
      <c r="BP1932" s="343">
        <f>SUMIFS($AS$1388:AS2704,$AO$1388:AO2704,"W")</f>
        <v>0</v>
      </c>
      <c r="BQ1932" s="343">
        <f>SUMIFS($AU$1388:AU1933,$Q$1388:Q1933,"O")</f>
        <v>2836.2299999994329</v>
      </c>
      <c r="BR1932" s="343">
        <f>SUMIFS($AU$1388:AU1933,$AA$1388:AA1933,"*")</f>
        <v>30245.79999999945</v>
      </c>
      <c r="BS1932" s="343">
        <f>SUMIFS($AU$1388:AU1933,$AB$1388:AB1933,"*")</f>
        <v>11794.829999999794</v>
      </c>
      <c r="BT1932" s="343">
        <f>SUMIFS($AU$1388:AU1933,$AC$1388:AC1933,"*")</f>
        <v>24678.45714285714</v>
      </c>
      <c r="BU1932" s="343">
        <f>SUMIFS($AU$1388:AU1933,$AA$1388:AA1933,"*",$AB$1388:AB1933,"*")</f>
        <v>5807.9999999998217</v>
      </c>
      <c r="BV1932" s="343">
        <f>SUMIFS($AU$1388:AU1933,$AA$1388:AA1933,"*",$AC$1388:AC1933,"*")</f>
        <v>13364.4</v>
      </c>
      <c r="BW1932" s="343">
        <f>SUMIFS($AU$1388:AU1933,$AB$1388:AB1933,"*",$AC$1388:AC1933,"*")</f>
        <v>7119.9999999999982</v>
      </c>
      <c r="BX1932" s="343">
        <f>SUMIFS($AV$1388:AV1933,$Q$1388:Q1933,"F")</f>
        <v>397.90578243515159</v>
      </c>
      <c r="BY1932" s="343">
        <f>SUMIFS($AV$1388:AV1933,$Q$1388:Q1933,"S")</f>
        <v>558.83991333429879</v>
      </c>
      <c r="BZ1932" s="343">
        <f>SUMIFS($AV$1388:AV1933,$Q$1388:Q1933,"O")</f>
        <v>871.22899999976846</v>
      </c>
    </row>
    <row r="1933" spans="1:78" ht="15.75" customHeight="1">
      <c r="A1933" s="177" t="s">
        <v>6310</v>
      </c>
      <c r="B1933" s="200"/>
      <c r="C1933" s="178"/>
      <c r="D1933" s="178"/>
      <c r="E1933" s="227"/>
      <c r="F1933" s="180"/>
      <c r="G1933" s="181"/>
      <c r="H1933" s="182"/>
      <c r="I1933" s="182"/>
      <c r="J1933" s="182"/>
      <c r="K1933" s="183"/>
      <c r="L1933" s="182"/>
      <c r="M1933" s="182"/>
      <c r="N1933" s="182"/>
      <c r="O1933" s="183"/>
      <c r="P1933" s="183"/>
      <c r="Q1933" s="183"/>
      <c r="R1933" s="183"/>
      <c r="S1933" s="183"/>
      <c r="T1933" s="183"/>
      <c r="U1933" s="183"/>
      <c r="V1933" s="183"/>
      <c r="W1933" s="183"/>
      <c r="X1933" s="183"/>
      <c r="Y1933" s="183"/>
      <c r="Z1933" s="183"/>
      <c r="AA1933" s="185"/>
      <c r="AB1933" s="185"/>
      <c r="AC1933" s="185"/>
      <c r="AD1933" s="649"/>
      <c r="AE1933" s="182"/>
      <c r="AF1933" s="332"/>
      <c r="AG1933" s="182"/>
      <c r="AH1933" s="182"/>
      <c r="AI1933" s="182"/>
      <c r="AJ1933" s="640"/>
      <c r="AK1933" s="182"/>
      <c r="AL1933" s="496">
        <f t="shared" si="645"/>
        <v>0</v>
      </c>
      <c r="AM1933" s="496">
        <f t="shared" si="644"/>
        <v>0</v>
      </c>
      <c r="AN1933" s="626"/>
      <c r="AO1933" s="182"/>
      <c r="AP1933" s="182"/>
      <c r="AQ1933" s="332" t="str">
        <f>UPPER(RIGHT(Journal_Live[[#This Row],[DURATION ]]))</f>
        <v/>
      </c>
      <c r="AR1933" s="182"/>
      <c r="AS1933" s="189"/>
      <c r="AT1933" s="189"/>
      <c r="AU1933" s="187"/>
      <c r="AV1933" s="190"/>
      <c r="AW1933" s="191"/>
      <c r="AX1933" s="568" t="s">
        <v>6168</v>
      </c>
      <c r="AY1933" s="567" t="s">
        <v>6131</v>
      </c>
      <c r="AZ1933" s="567" t="s">
        <v>6132</v>
      </c>
      <c r="BA1933" s="551"/>
      <c r="BB1933" s="551"/>
      <c r="BC1933" s="551"/>
      <c r="BD1933" s="549"/>
      <c r="BE1933" s="550"/>
      <c r="BF1933" s="549"/>
      <c r="BG1933" s="391">
        <f>SUM($AV$1389:AV1933)</f>
        <v>3775.9746957692241</v>
      </c>
      <c r="BH1933" s="392">
        <f>SUM($AU$1389:AU1933)</f>
        <v>43706.687142856565</v>
      </c>
      <c r="BI1933" s="318">
        <f>SUMIFS($AU$1388:AU1934,$Q$1388:Q1934,"F")</f>
        <v>25718.457142857143</v>
      </c>
      <c r="BJ1933" s="318">
        <f>SUMIFS($AU$1388:AU1934,$Q$1388:Q1934,"S")</f>
        <v>13727.999999999995</v>
      </c>
      <c r="BK1933" s="343">
        <f>SUMIFS($AU$1388:AU1934,$P$1388:P1934,"W")</f>
        <v>30047.637142857486</v>
      </c>
      <c r="BL1933" s="343">
        <f>SUMIFS($AU$1388:AU1934,$P$1388:P1934,"R")</f>
        <v>11645.999999999862</v>
      </c>
      <c r="BM1933" s="343">
        <f>SUMIFS($AU$1388:AU1934,$AQ$1388:AQ1934,"M")</f>
        <v>9225.3799999992698</v>
      </c>
      <c r="BN1933" s="343">
        <f>SUMIFS($AU$1388:AU1934,$AQ$1388:AQ1934,"H")</f>
        <v>8087.2000000002827</v>
      </c>
      <c r="BO1933" s="343">
        <f>SUMIFS($AU$1388:AU1934,$AQ$1388:AQ1934,"D")</f>
        <v>13545.507142857021</v>
      </c>
      <c r="BP1933" s="343">
        <f>SUMIFS($AS$1388:AS2705,$AO$1388:AO2705,"W")</f>
        <v>0</v>
      </c>
      <c r="BQ1933" s="343">
        <f>SUMIFS($AU$1388:AU1934,$Q$1388:Q1934,"O")</f>
        <v>2836.2299999994329</v>
      </c>
      <c r="BR1933" s="343">
        <f>SUMIFS($AU$1388:AU1934,$AA$1388:AA1934,"*")</f>
        <v>30245.79999999945</v>
      </c>
      <c r="BS1933" s="343">
        <f>SUMIFS($AU$1388:AU1934,$AB$1388:AB1934,"*")</f>
        <v>11794.829999999794</v>
      </c>
      <c r="BT1933" s="343">
        <f>SUMIFS($AU$1388:AU1934,$AC$1388:AC1934,"*")</f>
        <v>24678.45714285714</v>
      </c>
      <c r="BU1933" s="343">
        <f>SUMIFS($AU$1388:AU1934,$AA$1388:AA1934,"*",$AB$1388:AB1934,"*")</f>
        <v>5807.9999999998217</v>
      </c>
      <c r="BV1933" s="343">
        <f>SUMIFS($AU$1388:AU1934,$AA$1388:AA1934,"*",$AC$1388:AC1934,"*")</f>
        <v>13364.4</v>
      </c>
      <c r="BW1933" s="343">
        <f>SUMIFS($AU$1388:AU1934,$AB$1388:AB1934,"*",$AC$1388:AC1934,"*")</f>
        <v>7119.9999999999982</v>
      </c>
      <c r="BX1933" s="343">
        <f>SUMIFS($AV$1388:AV1934,$Q$1388:Q1934,"F")</f>
        <v>397.90578243515159</v>
      </c>
      <c r="BY1933" s="343">
        <f>SUMIFS($AV$1388:AV1934,$Q$1388:Q1934,"S")</f>
        <v>558.83991333429879</v>
      </c>
      <c r="BZ1933" s="343">
        <f>SUMIFS($AV$1388:AV1934,$Q$1388:Q1934,"O")</f>
        <v>871.22899999976846</v>
      </c>
    </row>
    <row r="1934" spans="1:78" ht="15.75" customHeight="1">
      <c r="A1934" s="177" t="s">
        <v>6310</v>
      </c>
      <c r="B1934" s="200"/>
      <c r="C1934" s="178"/>
      <c r="D1934" s="178"/>
      <c r="E1934" s="227"/>
      <c r="F1934" s="180"/>
      <c r="G1934" s="181"/>
      <c r="H1934" s="182"/>
      <c r="I1934" s="182"/>
      <c r="J1934" s="182"/>
      <c r="K1934" s="183"/>
      <c r="L1934" s="182"/>
      <c r="M1934" s="182"/>
      <c r="N1934" s="182"/>
      <c r="O1934" s="183"/>
      <c r="P1934" s="183"/>
      <c r="Q1934" s="183"/>
      <c r="R1934" s="183"/>
      <c r="S1934" s="183"/>
      <c r="T1934" s="183"/>
      <c r="U1934" s="183"/>
      <c r="V1934" s="183"/>
      <c r="W1934" s="183"/>
      <c r="X1934" s="183"/>
      <c r="Y1934" s="183"/>
      <c r="Z1934" s="183"/>
      <c r="AA1934" s="185"/>
      <c r="AB1934" s="185"/>
      <c r="AC1934" s="185"/>
      <c r="AD1934" s="649"/>
      <c r="AE1934" s="182"/>
      <c r="AF1934" s="332"/>
      <c r="AG1934" s="182"/>
      <c r="AH1934" s="182"/>
      <c r="AI1934" s="182"/>
      <c r="AJ1934" s="640"/>
      <c r="AK1934" s="182"/>
      <c r="AL1934" s="496">
        <f t="shared" si="645"/>
        <v>0</v>
      </c>
      <c r="AM1934" s="496">
        <f t="shared" si="644"/>
        <v>0</v>
      </c>
      <c r="AN1934" s="626"/>
      <c r="AO1934" s="182"/>
      <c r="AP1934" s="182"/>
      <c r="AQ1934" s="332" t="str">
        <f>UPPER(RIGHT(Journal_Live[[#This Row],[DURATION ]]))</f>
        <v/>
      </c>
      <c r="AR1934" s="182"/>
      <c r="AS1934" s="189"/>
      <c r="AT1934" s="189"/>
      <c r="AU1934" s="187"/>
      <c r="AV1934" s="190"/>
      <c r="AW1934" s="191"/>
      <c r="AX1934" s="549" t="s">
        <v>6320</v>
      </c>
      <c r="AY1934" s="551" t="s">
        <v>6321</v>
      </c>
      <c r="AZ1934" s="551" t="s">
        <v>6322</v>
      </c>
      <c r="BA1934" s="551" t="s">
        <v>6323</v>
      </c>
      <c r="BB1934" s="551" t="s">
        <v>6324</v>
      </c>
      <c r="BC1934" s="551" t="s">
        <v>6325</v>
      </c>
      <c r="BD1934" s="549"/>
      <c r="BE1934" s="550"/>
      <c r="BF1934" s="549"/>
      <c r="BG1934" s="391">
        <f>SUM($AV$1389:AV1934)</f>
        <v>3775.9746957692241</v>
      </c>
      <c r="BH1934" s="392">
        <f>SUM($AU$1389:AU1934)</f>
        <v>43706.687142856565</v>
      </c>
      <c r="BI1934" s="318">
        <f>SUMIFS($AU$1388:AU1935,$Q$1388:Q1935,"F")</f>
        <v>25718.457142857143</v>
      </c>
      <c r="BJ1934" s="318">
        <f>SUMIFS($AU$1388:AU1935,$Q$1388:Q1935,"S")</f>
        <v>13727.999999999995</v>
      </c>
      <c r="BK1934" s="343">
        <f>SUMIFS($AU$1388:AU1935,$P$1388:P1935,"W")</f>
        <v>30047.637142857486</v>
      </c>
      <c r="BL1934" s="343">
        <f>SUMIFS($AU$1388:AU1935,$P$1388:P1935,"R")</f>
        <v>11645.999999999862</v>
      </c>
      <c r="BM1934" s="343">
        <f>SUMIFS($AU$1388:AU1935,$AQ$1388:AQ1935,"M")</f>
        <v>9225.3799999992698</v>
      </c>
      <c r="BN1934" s="343">
        <f>SUMIFS($AU$1388:AU1935,$AQ$1388:AQ1935,"H")</f>
        <v>8087.2000000002827</v>
      </c>
      <c r="BO1934" s="343">
        <f>SUMIFS($AU$1388:AU1935,$AQ$1388:AQ1935,"D")</f>
        <v>13545.507142857021</v>
      </c>
      <c r="BP1934" s="343">
        <f>SUMIFS($AS$1388:AS2706,$AO$1388:AO2706,"W")</f>
        <v>0</v>
      </c>
      <c r="BQ1934" s="343">
        <f>SUMIFS($AU$1388:AU1935,$Q$1388:Q1935,"O")</f>
        <v>2836.2299999994329</v>
      </c>
      <c r="BR1934" s="343">
        <f>SUMIFS($AU$1388:AU1935,$AA$1388:AA1935,"*")</f>
        <v>30245.79999999945</v>
      </c>
      <c r="BS1934" s="343">
        <f>SUMIFS($AU$1388:AU1935,$AB$1388:AB1935,"*")</f>
        <v>11794.829999999794</v>
      </c>
      <c r="BT1934" s="343">
        <f>SUMIFS($AU$1388:AU1935,$AC$1388:AC1935,"*")</f>
        <v>24678.45714285714</v>
      </c>
      <c r="BU1934" s="343">
        <f>SUMIFS($AU$1388:AU1935,$AA$1388:AA1935,"*",$AB$1388:AB1935,"*")</f>
        <v>5807.9999999998217</v>
      </c>
      <c r="BV1934" s="343">
        <f>SUMIFS($AU$1388:AU1935,$AA$1388:AA1935,"*",$AC$1388:AC1935,"*")</f>
        <v>13364.4</v>
      </c>
      <c r="BW1934" s="343">
        <f>SUMIFS($AU$1388:AU1935,$AB$1388:AB1935,"*",$AC$1388:AC1935,"*")</f>
        <v>7119.9999999999982</v>
      </c>
      <c r="BX1934" s="343">
        <f>SUMIFS($AV$1388:AV1935,$Q$1388:Q1935,"F")</f>
        <v>397.90578243515159</v>
      </c>
      <c r="BY1934" s="343">
        <f>SUMIFS($AV$1388:AV1935,$Q$1388:Q1935,"S")</f>
        <v>558.83991333429879</v>
      </c>
      <c r="BZ1934" s="343">
        <f>SUMIFS($AV$1388:AV1935,$Q$1388:Q1935,"O")</f>
        <v>871.22899999976846</v>
      </c>
    </row>
    <row r="1935" spans="1:78" ht="15.75" customHeight="1">
      <c r="A1935" s="177" t="s">
        <v>6310</v>
      </c>
      <c r="B1935" s="200"/>
      <c r="C1935" s="178"/>
      <c r="D1935" s="178"/>
      <c r="E1935" s="227"/>
      <c r="F1935" s="180"/>
      <c r="G1935" s="181"/>
      <c r="H1935" s="182"/>
      <c r="I1935" s="182"/>
      <c r="J1935" s="182"/>
      <c r="K1935" s="183"/>
      <c r="L1935" s="182"/>
      <c r="M1935" s="182"/>
      <c r="N1935" s="182"/>
      <c r="O1935" s="183"/>
      <c r="P1935" s="183"/>
      <c r="Q1935" s="183"/>
      <c r="R1935" s="183"/>
      <c r="S1935" s="183"/>
      <c r="T1935" s="183"/>
      <c r="U1935" s="183"/>
      <c r="V1935" s="183"/>
      <c r="W1935" s="183"/>
      <c r="X1935" s="183"/>
      <c r="Y1935" s="183"/>
      <c r="Z1935" s="183"/>
      <c r="AA1935" s="185"/>
      <c r="AB1935" s="185"/>
      <c r="AC1935" s="185"/>
      <c r="AD1935" s="649"/>
      <c r="AE1935" s="182"/>
      <c r="AF1935" s="332"/>
      <c r="AG1935" s="182"/>
      <c r="AH1935" s="182"/>
      <c r="AI1935" s="182"/>
      <c r="AJ1935" s="640"/>
      <c r="AK1935" s="182"/>
      <c r="AL1935" s="496">
        <f t="shared" ref="AL1935:AL1939" si="646">-0.02*Z1935</f>
        <v>0</v>
      </c>
      <c r="AM1935" s="496">
        <f t="shared" si="644"/>
        <v>0</v>
      </c>
      <c r="AN1935" s="626"/>
      <c r="AO1935" s="182"/>
      <c r="AP1935" s="182"/>
      <c r="AQ1935" s="332" t="str">
        <f>UPPER(RIGHT(Journal_Live[[#This Row],[DURATION ]]))</f>
        <v/>
      </c>
      <c r="AR1935" s="182"/>
      <c r="AS1935" s="189"/>
      <c r="AT1935" s="189"/>
      <c r="AU1935" s="187"/>
      <c r="AV1935" s="190"/>
      <c r="AW1935" s="191"/>
      <c r="AX1935" s="549" t="s">
        <v>6326</v>
      </c>
      <c r="AY1935" s="549" t="s">
        <v>6327</v>
      </c>
      <c r="AZ1935" s="551" t="s">
        <v>6328</v>
      </c>
      <c r="BA1935" s="551" t="s">
        <v>6329</v>
      </c>
      <c r="BB1935" s="551" t="s">
        <v>6330</v>
      </c>
      <c r="BC1935" s="549" t="s">
        <v>6331</v>
      </c>
      <c r="BD1935" s="549" t="s">
        <v>6332</v>
      </c>
      <c r="BE1935" s="550"/>
      <c r="BF1935" s="549"/>
      <c r="BG1935" s="391">
        <f>SUM($AV$1389:AV1935)</f>
        <v>3775.9746957692241</v>
      </c>
      <c r="BH1935" s="392">
        <f>SUM($AU$1389:AU1935)</f>
        <v>43706.687142856565</v>
      </c>
      <c r="BI1935" s="318">
        <f>SUMIFS($AU$1388:AU1936,$Q$1388:Q1936,"F")</f>
        <v>25718.457142857143</v>
      </c>
      <c r="BJ1935" s="318">
        <f>SUMIFS($AU$1388:AU1936,$Q$1388:Q1936,"S")</f>
        <v>13727.999999999995</v>
      </c>
      <c r="BK1935" s="343">
        <f>SUMIFS($AU$1388:AU1936,$P$1388:P1936,"W")</f>
        <v>30047.637142857486</v>
      </c>
      <c r="BL1935" s="343">
        <f>SUMIFS($AU$1388:AU1936,$P$1388:P1936,"R")</f>
        <v>11645.999999999862</v>
      </c>
      <c r="BM1935" s="343">
        <f>SUMIFS($AU$1388:AU1936,$AQ$1388:AQ1936,"M")</f>
        <v>9225.3799999992698</v>
      </c>
      <c r="BN1935" s="343">
        <f>SUMIFS($AU$1388:AU1936,$AQ$1388:AQ1936,"H")</f>
        <v>8087.2000000002827</v>
      </c>
      <c r="BO1935" s="343">
        <f>SUMIFS($AU$1388:AU1936,$AQ$1388:AQ1936,"D")</f>
        <v>13545.507142857021</v>
      </c>
      <c r="BP1935" s="343">
        <f>SUMIFS($AS$1388:AS2707,$AO$1388:AO2707,"W")</f>
        <v>0</v>
      </c>
      <c r="BQ1935" s="343">
        <f>SUMIFS($AU$1388:AU1936,$Q$1388:Q1936,"O")</f>
        <v>2836.2299999994329</v>
      </c>
      <c r="BR1935" s="343">
        <f>SUMIFS($AU$1388:AU1936,$AA$1388:AA1936,"*")</f>
        <v>30245.79999999945</v>
      </c>
      <c r="BS1935" s="343">
        <f>SUMIFS($AU$1388:AU1936,$AB$1388:AB1936,"*")</f>
        <v>11794.829999999794</v>
      </c>
      <c r="BT1935" s="343">
        <f>SUMIFS($AU$1388:AU1936,$AC$1388:AC1936,"*")</f>
        <v>24678.45714285714</v>
      </c>
      <c r="BU1935" s="343">
        <f>SUMIFS($AU$1388:AU1936,$AA$1388:AA1936,"*",$AB$1388:AB1936,"*")</f>
        <v>5807.9999999998217</v>
      </c>
      <c r="BV1935" s="343">
        <f>SUMIFS($AU$1388:AU1936,$AA$1388:AA1936,"*",$AC$1388:AC1936,"*")</f>
        <v>13364.4</v>
      </c>
      <c r="BW1935" s="343">
        <f>SUMIFS($AU$1388:AU1936,$AB$1388:AB1936,"*",$AC$1388:AC1936,"*")</f>
        <v>7119.9999999999982</v>
      </c>
      <c r="BX1935" s="343">
        <f>SUMIFS($AV$1388:AV1936,$Q$1388:Q1936,"F")</f>
        <v>397.90578243515159</v>
      </c>
      <c r="BY1935" s="343">
        <f>SUMIFS($AV$1388:AV1936,$Q$1388:Q1936,"S")</f>
        <v>558.83991333429879</v>
      </c>
      <c r="BZ1935" s="343">
        <f>SUMIFS($AV$1388:AV1936,$Q$1388:Q1936,"O")</f>
        <v>871.22899999976846</v>
      </c>
    </row>
    <row r="1936" spans="1:78" ht="15.75" customHeight="1">
      <c r="A1936" s="177" t="s">
        <v>6310</v>
      </c>
      <c r="B1936" s="200"/>
      <c r="C1936" s="178"/>
      <c r="D1936" s="178"/>
      <c r="E1936" s="227"/>
      <c r="F1936" s="180"/>
      <c r="G1936" s="181"/>
      <c r="H1936" s="182"/>
      <c r="I1936" s="182"/>
      <c r="J1936" s="182"/>
      <c r="K1936" s="183"/>
      <c r="L1936" s="182"/>
      <c r="M1936" s="182"/>
      <c r="N1936" s="182"/>
      <c r="O1936" s="183"/>
      <c r="P1936" s="183"/>
      <c r="Q1936" s="183"/>
      <c r="R1936" s="183"/>
      <c r="S1936" s="183"/>
      <c r="T1936" s="183"/>
      <c r="U1936" s="183"/>
      <c r="V1936" s="183"/>
      <c r="W1936" s="183"/>
      <c r="X1936" s="183"/>
      <c r="Y1936" s="183"/>
      <c r="Z1936" s="183"/>
      <c r="AA1936" s="185"/>
      <c r="AB1936" s="185"/>
      <c r="AC1936" s="185"/>
      <c r="AD1936" s="649"/>
      <c r="AE1936" s="182"/>
      <c r="AF1936" s="332"/>
      <c r="AG1936" s="182"/>
      <c r="AH1936" s="182"/>
      <c r="AI1936" s="182"/>
      <c r="AJ1936" s="640"/>
      <c r="AK1936" s="182"/>
      <c r="AL1936" s="496">
        <f t="shared" si="646"/>
        <v>0</v>
      </c>
      <c r="AM1936" s="496">
        <f t="shared" si="644"/>
        <v>0</v>
      </c>
      <c r="AN1936" s="626"/>
      <c r="AO1936" s="182"/>
      <c r="AP1936" s="182"/>
      <c r="AQ1936" s="332" t="str">
        <f>UPPER(RIGHT(Journal_Live[[#This Row],[DURATION ]]))</f>
        <v/>
      </c>
      <c r="AR1936" s="182"/>
      <c r="AS1936" s="189"/>
      <c r="AT1936" s="189"/>
      <c r="AU1936" s="187"/>
      <c r="AV1936" s="190"/>
      <c r="AW1936" s="191"/>
      <c r="AX1936" s="551" t="s">
        <v>6333</v>
      </c>
      <c r="AY1936" s="551"/>
      <c r="AZ1936" s="551"/>
      <c r="BA1936" s="551"/>
      <c r="BB1936" s="551"/>
      <c r="BC1936" s="551"/>
      <c r="BD1936" s="549"/>
      <c r="BE1936" s="550"/>
      <c r="BF1936" s="549"/>
      <c r="BG1936" s="391">
        <f>SUM($AV$1389:AV1936)</f>
        <v>3775.9746957692241</v>
      </c>
      <c r="BH1936" s="392">
        <f>SUM($AU$1389:AU1936)</f>
        <v>43706.687142856565</v>
      </c>
      <c r="BI1936" s="318">
        <f>SUMIFS($AU$1388:AU1937,$Q$1388:Q1937,"F")</f>
        <v>25718.457142857143</v>
      </c>
      <c r="BJ1936" s="318">
        <f>SUMIFS($AU$1388:AU1937,$Q$1388:Q1937,"S")</f>
        <v>13727.999999999995</v>
      </c>
      <c r="BK1936" s="343">
        <f>SUMIFS($AU$1388:AU1937,$P$1388:P1937,"W")</f>
        <v>30047.637142857486</v>
      </c>
      <c r="BL1936" s="343">
        <f>SUMIFS($AU$1388:AU1937,$P$1388:P1937,"R")</f>
        <v>11645.999999999862</v>
      </c>
      <c r="BM1936" s="343">
        <f>SUMIFS($AU$1388:AU1937,$AQ$1388:AQ1937,"M")</f>
        <v>9225.3799999992698</v>
      </c>
      <c r="BN1936" s="343">
        <f>SUMIFS($AU$1388:AU1937,$AQ$1388:AQ1937,"H")</f>
        <v>8087.2000000002827</v>
      </c>
      <c r="BO1936" s="343">
        <f>SUMIFS($AU$1388:AU1937,$AQ$1388:AQ1937,"D")</f>
        <v>13545.507142857021</v>
      </c>
      <c r="BP1936" s="343">
        <f>SUMIFS($AS$1388:AS2708,$AO$1388:AO2708,"W")</f>
        <v>0</v>
      </c>
      <c r="BQ1936" s="343">
        <f>SUMIFS($AU$1388:AU1937,$Q$1388:Q1937,"O")</f>
        <v>2836.2299999994329</v>
      </c>
      <c r="BR1936" s="343">
        <f>SUMIFS($AU$1388:AU1937,$AA$1388:AA1937,"*")</f>
        <v>30245.79999999945</v>
      </c>
      <c r="BS1936" s="343">
        <f>SUMIFS($AU$1388:AU1937,$AB$1388:AB1937,"*")</f>
        <v>11794.829999999794</v>
      </c>
      <c r="BT1936" s="343">
        <f>SUMIFS($AU$1388:AU1937,$AC$1388:AC1937,"*")</f>
        <v>24678.45714285714</v>
      </c>
      <c r="BU1936" s="343">
        <f>SUMIFS($AU$1388:AU1937,$AA$1388:AA1937,"*",$AB$1388:AB1937,"*")</f>
        <v>5807.9999999998217</v>
      </c>
      <c r="BV1936" s="343">
        <f>SUMIFS($AU$1388:AU1937,$AA$1388:AA1937,"*",$AC$1388:AC1937,"*")</f>
        <v>13364.4</v>
      </c>
      <c r="BW1936" s="343">
        <f>SUMIFS($AU$1388:AU1937,$AB$1388:AB1937,"*",$AC$1388:AC1937,"*")</f>
        <v>7119.9999999999982</v>
      </c>
      <c r="BX1936" s="343">
        <f>SUMIFS($AV$1388:AV1937,$Q$1388:Q1937,"F")</f>
        <v>397.90578243515159</v>
      </c>
      <c r="BY1936" s="343">
        <f>SUMIFS($AV$1388:AV1937,$Q$1388:Q1937,"S")</f>
        <v>558.83991333429879</v>
      </c>
      <c r="BZ1936" s="343">
        <f>SUMIFS($AV$1388:AV1937,$Q$1388:Q1937,"O")</f>
        <v>871.22899999976846</v>
      </c>
    </row>
    <row r="1937" spans="1:78" ht="15.75" customHeight="1">
      <c r="A1937" s="177" t="s">
        <v>6310</v>
      </c>
      <c r="B1937" s="200">
        <v>45413</v>
      </c>
      <c r="C1937" s="178" t="s">
        <v>2960</v>
      </c>
      <c r="D1937" s="178" t="s">
        <v>151</v>
      </c>
      <c r="E1937" s="227" t="s">
        <v>6334</v>
      </c>
      <c r="F1937" s="180"/>
      <c r="G1937" s="181"/>
      <c r="H1937" s="182"/>
      <c r="I1937" s="182"/>
      <c r="J1937" s="182"/>
      <c r="K1937" s="183"/>
      <c r="L1937" s="182"/>
      <c r="M1937" s="182"/>
      <c r="N1937" s="182"/>
      <c r="O1937" s="183"/>
      <c r="P1937" s="183"/>
      <c r="Q1937" s="183"/>
      <c r="R1937" s="183"/>
      <c r="S1937" s="183"/>
      <c r="T1937" s="183"/>
      <c r="U1937" s="183"/>
      <c r="V1937" s="183"/>
      <c r="W1937" s="183"/>
      <c r="X1937" s="183"/>
      <c r="Y1937" s="183"/>
      <c r="Z1937" s="183"/>
      <c r="AA1937" s="185"/>
      <c r="AB1937" s="185"/>
      <c r="AC1937" s="185"/>
      <c r="AD1937" s="649"/>
      <c r="AE1937" s="182"/>
      <c r="AF1937" s="332"/>
      <c r="AG1937" s="182"/>
      <c r="AH1937" s="182"/>
      <c r="AI1937" s="182"/>
      <c r="AJ1937" s="640"/>
      <c r="AK1937" s="182"/>
      <c r="AL1937" s="496">
        <f t="shared" si="646"/>
        <v>0</v>
      </c>
      <c r="AM1937" s="496">
        <f t="shared" si="644"/>
        <v>0</v>
      </c>
      <c r="AN1937" s="626"/>
      <c r="AO1937" s="182"/>
      <c r="AP1937" s="182"/>
      <c r="AQ1937" s="332" t="str">
        <f>UPPER(RIGHT(Journal_Live[[#This Row],[DURATION ]]))</f>
        <v/>
      </c>
      <c r="AR1937" s="182"/>
      <c r="AS1937" s="189"/>
      <c r="AT1937" s="189"/>
      <c r="AU1937" s="187"/>
      <c r="AV1937" s="190"/>
      <c r="AW1937" s="191"/>
      <c r="AX1937" s="551"/>
      <c r="AY1937" s="551"/>
      <c r="AZ1937" s="551"/>
      <c r="BA1937" s="551"/>
      <c r="BB1937" s="551"/>
      <c r="BC1937" s="551"/>
      <c r="BD1937" s="549"/>
      <c r="BE1937" s="550"/>
      <c r="BF1937" s="549"/>
      <c r="BG1937" s="391">
        <f>SUM($AV$1389:AV1937)</f>
        <v>3775.9746957692241</v>
      </c>
      <c r="BH1937" s="392">
        <f>SUM($AU$1389:AU1937)</f>
        <v>43706.687142856565</v>
      </c>
      <c r="BI1937" s="318">
        <f>SUMIFS($AU$1388:AU1938,$Q$1388:Q1938,"F")</f>
        <v>25718.457142857143</v>
      </c>
      <c r="BJ1937" s="318">
        <f>SUMIFS($AU$1388:AU1938,$Q$1388:Q1938,"S")</f>
        <v>13727.999999999995</v>
      </c>
      <c r="BK1937" s="343">
        <f>SUMIFS($AU$1388:AU1938,$P$1388:P1938,"W")</f>
        <v>30047.637142857486</v>
      </c>
      <c r="BL1937" s="343">
        <f>SUMIFS($AU$1388:AU1938,$P$1388:P1938,"R")</f>
        <v>11645.999999999862</v>
      </c>
      <c r="BM1937" s="343">
        <f>SUMIFS($AU$1388:AU1938,$AQ$1388:AQ1938,"M")</f>
        <v>9109.3799999992098</v>
      </c>
      <c r="BN1937" s="343">
        <f>SUMIFS($AU$1388:AU1938,$AQ$1388:AQ1938,"H")</f>
        <v>8087.2000000002827</v>
      </c>
      <c r="BO1937" s="343">
        <f>SUMIFS($AU$1388:AU1938,$AQ$1388:AQ1938,"D")</f>
        <v>13545.507142857021</v>
      </c>
      <c r="BP1937" s="343">
        <f>SUMIFS($AS$1388:AS2709,$AO$1388:AO2709,"W")</f>
        <v>0</v>
      </c>
      <c r="BQ1937" s="343">
        <f>SUMIFS($AU$1388:AU1938,$Q$1388:Q1938,"O")</f>
        <v>2720.2299999993738</v>
      </c>
      <c r="BR1937" s="343">
        <f>SUMIFS($AU$1388:AU1938,$AA$1388:AA1938,"*")</f>
        <v>30129.799999999392</v>
      </c>
      <c r="BS1937" s="343">
        <f>SUMIFS($AU$1388:AU1938,$AB$1388:AB1938,"*")</f>
        <v>11794.829999999794</v>
      </c>
      <c r="BT1937" s="343">
        <f>SUMIFS($AU$1388:AU1938,$AC$1388:AC1938,"*")</f>
        <v>24678.45714285714</v>
      </c>
      <c r="BU1937" s="343">
        <f>SUMIFS($AU$1388:AU1938,$AA$1388:AA1938,"*",$AB$1388:AB1938,"*")</f>
        <v>5807.9999999998217</v>
      </c>
      <c r="BV1937" s="343">
        <f>SUMIFS($AU$1388:AU1938,$AA$1388:AA1938,"*",$AC$1388:AC1938,"*")</f>
        <v>13364.4</v>
      </c>
      <c r="BW1937" s="343">
        <f>SUMIFS($AU$1388:AU1938,$AB$1388:AB1938,"*",$AC$1388:AC1938,"*")</f>
        <v>7119.9999999999982</v>
      </c>
      <c r="BX1937" s="343">
        <f>SUMIFS($AV$1388:AV1938,$Q$1388:Q1938,"F")</f>
        <v>397.90578243515159</v>
      </c>
      <c r="BY1937" s="343">
        <f>SUMIFS($AV$1388:AV1938,$Q$1388:Q1938,"S")</f>
        <v>558.83991333429879</v>
      </c>
      <c r="BZ1937" s="343">
        <f>SUMIFS($AV$1388:AV1938,$Q$1388:Q1938,"O")</f>
        <v>755.22899999970912</v>
      </c>
    </row>
    <row r="1938" spans="1:78" ht="15.75" customHeight="1">
      <c r="A1938" s="177" t="s">
        <v>6310</v>
      </c>
      <c r="B1938" s="200">
        <v>45413</v>
      </c>
      <c r="C1938" s="178" t="s">
        <v>682</v>
      </c>
      <c r="D1938" s="178" t="s">
        <v>151</v>
      </c>
      <c r="E1938" s="227"/>
      <c r="F1938" s="180"/>
      <c r="G1938" s="181" t="s">
        <v>5723</v>
      </c>
      <c r="H1938" s="182"/>
      <c r="I1938" s="182"/>
      <c r="J1938" s="182"/>
      <c r="K1938" s="183"/>
      <c r="L1938" s="182">
        <v>3</v>
      </c>
      <c r="M1938" s="182"/>
      <c r="N1938" s="182"/>
      <c r="O1938" s="183" t="s">
        <v>3618</v>
      </c>
      <c r="P1938" s="183" t="s">
        <v>2260</v>
      </c>
      <c r="Q1938" s="183" t="s">
        <v>684</v>
      </c>
      <c r="R1938" s="183">
        <v>1</v>
      </c>
      <c r="S1938" s="183">
        <v>0</v>
      </c>
      <c r="T1938" s="183">
        <v>1</v>
      </c>
      <c r="U1938" s="183" t="s">
        <v>97</v>
      </c>
      <c r="V1938" s="183"/>
      <c r="W1938" s="183"/>
      <c r="X1938" s="183"/>
      <c r="Y1938" s="184">
        <f>IF(ISBLANK(O1938),"",(IF(O1938=UPPER("IB"),0.005,0.01)))</f>
        <v>0.01</v>
      </c>
      <c r="Z1938" s="185">
        <f>IF(ISBLANK(O1938),"",IF(O1938="IB",8.63*200,IF(O1938="IR",16*100,IF(O1938="YT",20*100,IF(O1938="YT-XT",24*200,IF(O1938="TED",80*100,IF(O1938="XT",29*200)))))))</f>
        <v>5800</v>
      </c>
      <c r="AA1938" s="185" t="s">
        <v>5476</v>
      </c>
      <c r="AB1938" s="185"/>
      <c r="AC1938" s="185"/>
      <c r="AD1938" s="649">
        <v>95.474999999999994</v>
      </c>
      <c r="AE1938" s="182"/>
      <c r="AF1938" s="332"/>
      <c r="AG1938" s="182"/>
      <c r="AH1938" s="182"/>
      <c r="AI1938" s="182"/>
      <c r="AJ1938" s="640"/>
      <c r="AK1938" s="182"/>
      <c r="AL1938" s="496">
        <f t="shared" si="646"/>
        <v>-116</v>
      </c>
      <c r="AM1938" s="496">
        <f t="shared" si="644"/>
        <v>-116</v>
      </c>
      <c r="AN1938" s="626"/>
      <c r="AO1938" s="182"/>
      <c r="AP1938" s="182"/>
      <c r="AQ1938" s="332" t="s">
        <v>1259</v>
      </c>
      <c r="AR1938" s="182"/>
      <c r="AS1938" s="189">
        <v>95.495000000000005</v>
      </c>
      <c r="AT1938" s="189">
        <f>IF(ISBLANK(AS1938),,IF(U1938="S",AD1938-AS1938,AS1938-AD1938))</f>
        <v>-2.0000000000010232E-2</v>
      </c>
      <c r="AU1938" s="187">
        <f>AV1938*R1938</f>
        <v>-116.00000000005934</v>
      </c>
      <c r="AV1938" s="190">
        <f t="shared" ref="AV1938" si="647">IF(ISBLANK(AS1938),,(AT1938*Z1938))</f>
        <v>-116.00000000005934</v>
      </c>
      <c r="AW1938" s="191" t="s">
        <v>229</v>
      </c>
      <c r="AX1938" s="551"/>
      <c r="AY1938" s="551"/>
      <c r="AZ1938" s="551"/>
      <c r="BA1938" s="551"/>
      <c r="BB1938" s="551"/>
      <c r="BC1938" s="551"/>
      <c r="BD1938" s="549"/>
      <c r="BE1938" s="550"/>
      <c r="BF1938" s="549"/>
      <c r="BG1938" s="391">
        <f>SUM($AV$1389:AV1938)</f>
        <v>3659.974695769165</v>
      </c>
      <c r="BH1938" s="392">
        <f>SUM($AU$1389:AU1938)</f>
        <v>43590.687142856506</v>
      </c>
      <c r="BI1938" s="318">
        <f>SUMIFS($AU$1388:AU1939,$Q$1388:Q1939,"F")</f>
        <v>25718.457142857143</v>
      </c>
      <c r="BJ1938" s="318">
        <f>SUMIFS($AU$1388:AU1939,$Q$1388:Q1939,"S")</f>
        <v>13727.999999999995</v>
      </c>
      <c r="BK1938" s="343">
        <f>SUMIFS($AU$1388:AU1939,$P$1388:P1939,"W")</f>
        <v>30047.637142857486</v>
      </c>
      <c r="BL1938" s="343">
        <f>SUMIFS($AU$1388:AU1939,$P$1388:P1939,"R")</f>
        <v>11645.999999999862</v>
      </c>
      <c r="BM1938" s="343">
        <f>SUMIFS($AU$1388:AU1939,$AQ$1388:AQ1939,"M")</f>
        <v>9109.3799999992098</v>
      </c>
      <c r="BN1938" s="343">
        <f>SUMIFS($AU$1388:AU1939,$AQ$1388:AQ1939,"H")</f>
        <v>8087.2000000002827</v>
      </c>
      <c r="BO1938" s="343">
        <f>SUMIFS($AU$1388:AU1939,$AQ$1388:AQ1939,"D")</f>
        <v>13545.507142857021</v>
      </c>
      <c r="BP1938" s="343">
        <f>SUMIFS($AS$1388:AS2710,$AO$1388:AO2710,"W")</f>
        <v>0</v>
      </c>
      <c r="BQ1938" s="343">
        <f>SUMIFS($AU$1388:AU1939,$Q$1388:Q1939,"O")</f>
        <v>2720.2299999993738</v>
      </c>
      <c r="BR1938" s="343">
        <f>SUMIFS($AU$1388:AU1939,$AA$1388:AA1939,"*")</f>
        <v>30129.799999999392</v>
      </c>
      <c r="BS1938" s="343">
        <f>SUMIFS($AU$1388:AU1939,$AB$1388:AB1939,"*")</f>
        <v>11794.829999999794</v>
      </c>
      <c r="BT1938" s="343">
        <f>SUMIFS($AU$1388:AU1939,$AC$1388:AC1939,"*")</f>
        <v>24678.45714285714</v>
      </c>
      <c r="BU1938" s="343">
        <f>SUMIFS($AU$1388:AU1939,$AA$1388:AA1939,"*",$AB$1388:AB1939,"*")</f>
        <v>5807.9999999998217</v>
      </c>
      <c r="BV1938" s="343">
        <f>SUMIFS($AU$1388:AU1939,$AA$1388:AA1939,"*",$AC$1388:AC1939,"*")</f>
        <v>13364.4</v>
      </c>
      <c r="BW1938" s="343">
        <f>SUMIFS($AU$1388:AU1939,$AB$1388:AB1939,"*",$AC$1388:AC1939,"*")</f>
        <v>7119.9999999999982</v>
      </c>
      <c r="BX1938" s="343">
        <f>SUMIFS($AV$1388:AV1939,$Q$1388:Q1939,"F")</f>
        <v>397.90578243515159</v>
      </c>
      <c r="BY1938" s="343">
        <f>SUMIFS($AV$1388:AV1939,$Q$1388:Q1939,"S")</f>
        <v>558.83991333429879</v>
      </c>
      <c r="BZ1938" s="343">
        <f>SUMIFS($AV$1388:AV1939,$Q$1388:Q1939,"O")</f>
        <v>755.22899999970912</v>
      </c>
    </row>
    <row r="1939" spans="1:78" ht="15.75" customHeight="1">
      <c r="A1939" s="177" t="s">
        <v>6310</v>
      </c>
      <c r="B1939" s="200"/>
      <c r="C1939" s="178"/>
      <c r="D1939" s="178"/>
      <c r="E1939" s="227"/>
      <c r="F1939" s="180"/>
      <c r="G1939" s="181"/>
      <c r="H1939" s="182"/>
      <c r="I1939" s="182"/>
      <c r="J1939" s="182"/>
      <c r="K1939" s="183"/>
      <c r="L1939" s="182"/>
      <c r="M1939" s="182"/>
      <c r="N1939" s="182"/>
      <c r="O1939" s="183"/>
      <c r="P1939" s="183"/>
      <c r="Q1939" s="183"/>
      <c r="R1939" s="183"/>
      <c r="S1939" s="183"/>
      <c r="T1939" s="183"/>
      <c r="U1939" s="183"/>
      <c r="V1939" s="183"/>
      <c r="W1939" s="183"/>
      <c r="X1939" s="183"/>
      <c r="Y1939" s="183"/>
      <c r="Z1939" s="183"/>
      <c r="AA1939" s="185"/>
      <c r="AB1939" s="185"/>
      <c r="AC1939" s="185"/>
      <c r="AD1939" s="649"/>
      <c r="AE1939" s="182"/>
      <c r="AF1939" s="332"/>
      <c r="AG1939" s="182"/>
      <c r="AH1939" s="182"/>
      <c r="AI1939" s="182"/>
      <c r="AJ1939" s="640"/>
      <c r="AK1939" s="182"/>
      <c r="AL1939" s="496">
        <f t="shared" si="646"/>
        <v>0</v>
      </c>
      <c r="AM1939" s="496">
        <f t="shared" si="644"/>
        <v>0</v>
      </c>
      <c r="AN1939" s="626"/>
      <c r="AO1939" s="182"/>
      <c r="AP1939" s="182"/>
      <c r="AQ1939" s="332" t="str">
        <f>UPPER(RIGHT(Journal_Live[[#This Row],[DURATION ]]))</f>
        <v/>
      </c>
      <c r="AR1939" s="182"/>
      <c r="AS1939" s="189"/>
      <c r="AT1939" s="189"/>
      <c r="AU1939" s="187"/>
      <c r="AV1939" s="190"/>
      <c r="AW1939" s="191"/>
      <c r="AX1939" s="417" t="s">
        <v>6335</v>
      </c>
      <c r="AY1939" s="551" t="s">
        <v>6336</v>
      </c>
      <c r="AZ1939" s="551" t="s">
        <v>6337</v>
      </c>
      <c r="BA1939" s="551" t="s">
        <v>6338</v>
      </c>
      <c r="BB1939" s="551"/>
      <c r="BC1939" s="551"/>
      <c r="BD1939" s="549"/>
      <c r="BE1939" s="550"/>
      <c r="BF1939" s="549"/>
      <c r="BG1939" s="391">
        <f>SUM($AV$1389:AV1939)</f>
        <v>3659.974695769165</v>
      </c>
      <c r="BH1939" s="392">
        <f>SUM($AU$1389:AU1939)</f>
        <v>43590.687142856506</v>
      </c>
      <c r="BI1939" s="318">
        <f>SUMIFS($AU$1388:AU1940,$Q$1388:Q1940,"F")</f>
        <v>25718.457142857143</v>
      </c>
      <c r="BJ1939" s="318">
        <f>SUMIFS($AU$1388:AU1940,$Q$1388:Q1940,"S")</f>
        <v>16607.999999999996</v>
      </c>
      <c r="BK1939" s="343">
        <f>SUMIFS($AU$1388:AU1940,$P$1388:P1940,"W")</f>
        <v>30047.637142857486</v>
      </c>
      <c r="BL1939" s="343">
        <f>SUMIFS($AU$1388:AU1940,$P$1388:P1940,"R")</f>
        <v>14525.999999999862</v>
      </c>
      <c r="BM1939" s="343">
        <f>SUMIFS($AU$1388:AU1940,$AQ$1388:AQ1940,"M")</f>
        <v>9109.3799999992098</v>
      </c>
      <c r="BN1939" s="343">
        <f>SUMIFS($AU$1388:AU1940,$AQ$1388:AQ1940,"H")</f>
        <v>10967.200000000283</v>
      </c>
      <c r="BO1939" s="343">
        <f>SUMIFS($AU$1388:AU1940,$AQ$1388:AQ1940,"D")</f>
        <v>13545.507142857021</v>
      </c>
      <c r="BP1939" s="343">
        <f>SUMIFS($AS$1388:AS2711,$AO$1388:AO2711,"W")</f>
        <v>0</v>
      </c>
      <c r="BQ1939" s="343">
        <f>SUMIFS($AU$1388:AU1940,$Q$1388:Q1940,"O")</f>
        <v>2720.2299999993738</v>
      </c>
      <c r="BR1939" s="343">
        <f>SUMIFS($AU$1388:AU1940,$AA$1388:AA1940,"*")</f>
        <v>33009.799999999392</v>
      </c>
      <c r="BS1939" s="343">
        <f>SUMIFS($AU$1388:AU1940,$AB$1388:AB1940,"*")</f>
        <v>11794.829999999794</v>
      </c>
      <c r="BT1939" s="343">
        <f>SUMIFS($AU$1388:AU1940,$AC$1388:AC1940,"*")</f>
        <v>27558.45714285714</v>
      </c>
      <c r="BU1939" s="343">
        <f>SUMIFS($AU$1388:AU1940,$AA$1388:AA1940,"*",$AB$1388:AB1940,"*")</f>
        <v>5807.9999999998217</v>
      </c>
      <c r="BV1939" s="343">
        <f>SUMIFS($AU$1388:AU1940,$AA$1388:AA1940,"*",$AC$1388:AC1940,"*")</f>
        <v>16244.4</v>
      </c>
      <c r="BW1939" s="343">
        <f>SUMIFS($AU$1388:AU1940,$AB$1388:AB1940,"*",$AC$1388:AC1940,"*")</f>
        <v>7119.9999999999982</v>
      </c>
      <c r="BX1939" s="343">
        <f>SUMIFS($AV$1388:AV1940,$Q$1388:Q1940,"F")</f>
        <v>397.90578243515159</v>
      </c>
      <c r="BY1939" s="343">
        <f>SUMIFS($AV$1388:AV1940,$Q$1388:Q1940,"S")</f>
        <v>606.83991333429879</v>
      </c>
      <c r="BZ1939" s="343">
        <f>SUMIFS($AV$1388:AV1940,$Q$1388:Q1940,"O")</f>
        <v>755.22899999970912</v>
      </c>
    </row>
    <row r="1940" spans="1:78" ht="15.75" customHeight="1">
      <c r="A1940" s="177" t="s">
        <v>6310</v>
      </c>
      <c r="B1940" s="200">
        <v>45415</v>
      </c>
      <c r="C1940" s="178" t="s">
        <v>764</v>
      </c>
      <c r="D1940" s="178" t="s">
        <v>111</v>
      </c>
      <c r="E1940" s="227"/>
      <c r="F1940" s="180"/>
      <c r="G1940" s="553" t="s">
        <v>2807</v>
      </c>
      <c r="H1940" s="182"/>
      <c r="I1940" s="182"/>
      <c r="J1940" s="182"/>
      <c r="K1940" s="183"/>
      <c r="L1940" s="182"/>
      <c r="M1940" s="182">
        <v>2</v>
      </c>
      <c r="N1940" s="182"/>
      <c r="O1940" s="183" t="s">
        <v>95</v>
      </c>
      <c r="P1940" s="183" t="s">
        <v>137</v>
      </c>
      <c r="Q1940" s="183" t="s">
        <v>97</v>
      </c>
      <c r="R1940" s="183">
        <v>60</v>
      </c>
      <c r="S1940" s="559">
        <v>0</v>
      </c>
      <c r="T1940" s="183">
        <v>60</v>
      </c>
      <c r="U1940" s="183" t="s">
        <v>97</v>
      </c>
      <c r="V1940" s="183"/>
      <c r="W1940" s="183"/>
      <c r="X1940" s="183"/>
      <c r="Y1940" s="184">
        <f>IF(ISBLANK(O1940),"",(IF(O1940=UPPER("IB"),0.005,0.01)))</f>
        <v>0.01</v>
      </c>
      <c r="Z1940" s="185">
        <f>IF(ISBLANK(O1940),"",IF(O1940="IB",8.63*200,IF(O1940="IR",16*100,IF(O1940="YT",20*100,IF(O1940="YT-XT",24*200,IF(O1940="TED",80*100,IF(O1940="XT",29*200)))))))</f>
        <v>1600</v>
      </c>
      <c r="AA1940" s="185" t="s">
        <v>4954</v>
      </c>
      <c r="AB1940" s="185"/>
      <c r="AC1940" s="185" t="s">
        <v>6339</v>
      </c>
      <c r="AD1940" s="649">
        <v>7.0000000000000007E-2</v>
      </c>
      <c r="AE1940" s="182"/>
      <c r="AF1940" s="332"/>
      <c r="AG1940" s="182"/>
      <c r="AH1940" s="182"/>
      <c r="AI1940" s="182"/>
      <c r="AJ1940" s="640"/>
      <c r="AK1940" s="182"/>
      <c r="AL1940" s="496">
        <f t="shared" si="645"/>
        <v>-32</v>
      </c>
      <c r="AM1940" s="496">
        <f t="shared" si="644"/>
        <v>-1920</v>
      </c>
      <c r="AN1940" s="626"/>
      <c r="AO1940" s="182"/>
      <c r="AP1940" s="182" t="s">
        <v>960</v>
      </c>
      <c r="AQ1940" s="332" t="s">
        <v>372</v>
      </c>
      <c r="AR1940" s="182" t="s">
        <v>2069</v>
      </c>
      <c r="AS1940" s="189">
        <v>0.04</v>
      </c>
      <c r="AT1940" s="189">
        <f>IF(ISBLANK(AS1940),,IF(U1940="S",AD1940-AS1940,AS1940-AD1940))</f>
        <v>3.0000000000000006E-2</v>
      </c>
      <c r="AU1940" s="187">
        <f>AV1940*R1940</f>
        <v>2880.0000000000005</v>
      </c>
      <c r="AV1940" s="190">
        <f t="shared" ref="AV1940:AV1945" si="648">IF(ISBLANK(AS1940),,(AT1940*Z1940))</f>
        <v>48.000000000000007</v>
      </c>
      <c r="AW1940" s="191" t="s">
        <v>96</v>
      </c>
      <c r="AX1940" s="551"/>
      <c r="AY1940" s="551"/>
      <c r="AZ1940" s="551"/>
      <c r="BA1940" s="551"/>
      <c r="BB1940" s="551"/>
      <c r="BC1940" s="551"/>
      <c r="BD1940" s="549"/>
      <c r="BE1940" s="550"/>
      <c r="BF1940" s="549"/>
      <c r="BG1940" s="391">
        <f>SUM($AV$1389:AV1940)</f>
        <v>3707.974695769165</v>
      </c>
      <c r="BH1940" s="392">
        <f>SUM($AU$1389:AU1940)</f>
        <v>46470.687142856506</v>
      </c>
      <c r="BI1940" s="318">
        <f>SUMIFS($AU$1388:AU1946,$Q$1388:Q1946,"F")</f>
        <v>25718.457142857143</v>
      </c>
      <c r="BJ1940" s="318">
        <f>SUMIFS($AU$1388:AU1946,$Q$1388:Q1946,"S")</f>
        <v>21247.999999999996</v>
      </c>
      <c r="BK1940" s="343">
        <f>SUMIFS($AU$1388:AU1946,$P$1388:P1946,"W")</f>
        <v>33887.637142857486</v>
      </c>
      <c r="BL1940" s="343">
        <f>SUMIFS($AU$1388:AU1946,$P$1388:P1946,"R")</f>
        <v>15325.999999999862</v>
      </c>
      <c r="BM1940" s="343">
        <f>SUMIFS($AU$1388:AU1946,$AQ$1388:AQ1946,"M")</f>
        <v>9109.3799999992098</v>
      </c>
      <c r="BN1940" s="343">
        <f>SUMIFS($AU$1388:AU1946,$AQ$1388:AQ1946,"H")</f>
        <v>14807.200000000283</v>
      </c>
      <c r="BO1940" s="343">
        <f>SUMIFS($AU$1388:AU1946,$AQ$1388:AQ1946,"D")</f>
        <v>14345.507142857021</v>
      </c>
      <c r="BP1940" s="343">
        <f>SUMIFS($AS$1388:AS2712,$AO$1388:AO2712,"W")</f>
        <v>0</v>
      </c>
      <c r="BQ1940" s="343">
        <f>SUMIFS($AU$1388:AU1946,$Q$1388:Q1946,"O")</f>
        <v>2720.2299999993738</v>
      </c>
      <c r="BR1940" s="343">
        <f>SUMIFS($AU$1388:AU1946,$AA$1388:AA1946,"*")</f>
        <v>37649.799999999392</v>
      </c>
      <c r="BS1940" s="343">
        <f>SUMIFS($AU$1388:AU1946,$AB$1388:AB1946,"*")</f>
        <v>11794.829999999794</v>
      </c>
      <c r="BT1940" s="343">
        <f>SUMIFS($AU$1388:AU1946,$AC$1388:AC1946,"*")</f>
        <v>27558.45714285714</v>
      </c>
      <c r="BU1940" s="343">
        <f>SUMIFS($AU$1388:AU1946,$AA$1388:AA1946,"*",$AB$1388:AB1946,"*")</f>
        <v>5807.9999999998217</v>
      </c>
      <c r="BV1940" s="343">
        <f>SUMIFS($AU$1388:AU1946,$AA$1388:AA1946,"*",$AC$1388:AC1946,"*")</f>
        <v>16244.4</v>
      </c>
      <c r="BW1940" s="343">
        <f>SUMIFS($AU$1388:AU1946,$AB$1388:AB1946,"*",$AC$1388:AC1946,"*")</f>
        <v>7119.9999999999982</v>
      </c>
      <c r="BX1940" s="343">
        <f>SUMIFS($AV$1388:AV1946,$Q$1388:Q1946,"F")</f>
        <v>397.90578243515159</v>
      </c>
      <c r="BY1940" s="343">
        <f>SUMIFS($AV$1388:AV1946,$Q$1388:Q1946,"S")</f>
        <v>674.03991333429883</v>
      </c>
      <c r="BZ1940" s="343">
        <f>SUMIFS($AV$1388:AV1946,$Q$1388:Q1946,"O")</f>
        <v>755.22899999970912</v>
      </c>
    </row>
    <row r="1941" spans="1:78" ht="15.75" customHeight="1">
      <c r="A1941" s="177" t="s">
        <v>6310</v>
      </c>
      <c r="B1941" s="200">
        <v>45415</v>
      </c>
      <c r="C1941" s="178" t="s">
        <v>1728</v>
      </c>
      <c r="D1941" s="178" t="s">
        <v>111</v>
      </c>
      <c r="E1941" s="227" t="s">
        <v>6340</v>
      </c>
      <c r="F1941" s="180" t="s">
        <v>6341</v>
      </c>
      <c r="G1941" s="181"/>
      <c r="H1941" s="182"/>
      <c r="I1941" s="182"/>
      <c r="J1941" s="182">
        <v>1</v>
      </c>
      <c r="K1941" s="183" t="s">
        <v>115</v>
      </c>
      <c r="L1941" s="182"/>
      <c r="M1941" s="182"/>
      <c r="N1941" s="182"/>
      <c r="O1941" s="183"/>
      <c r="P1941" s="183"/>
      <c r="Q1941" s="183"/>
      <c r="R1941" s="183"/>
      <c r="S1941" s="183"/>
      <c r="T1941" s="183"/>
      <c r="U1941" s="183"/>
      <c r="V1941" s="183"/>
      <c r="W1941" s="183"/>
      <c r="X1941" s="183"/>
      <c r="Y1941" s="183"/>
      <c r="Z1941" s="183"/>
      <c r="AA1941" s="185"/>
      <c r="AB1941" s="185"/>
      <c r="AC1941" s="185"/>
      <c r="AD1941" s="649"/>
      <c r="AE1941" s="182"/>
      <c r="AF1941" s="332"/>
      <c r="AG1941" s="182"/>
      <c r="AH1941" s="182"/>
      <c r="AI1941" s="182"/>
      <c r="AJ1941" s="640"/>
      <c r="AK1941" s="182"/>
      <c r="AL1941" s="496">
        <f t="shared" ref="AL1941:AL1945" si="649">-0.02*Z1941</f>
        <v>0</v>
      </c>
      <c r="AM1941" s="496">
        <f t="shared" si="644"/>
        <v>0</v>
      </c>
      <c r="AN1941" s="626"/>
      <c r="AO1941" s="182"/>
      <c r="AP1941" s="182"/>
      <c r="AQ1941" s="332" t="str">
        <f>UPPER(RIGHT(Journal_Live[[#This Row],[DURATION ]]))</f>
        <v/>
      </c>
      <c r="AR1941" s="182"/>
      <c r="AS1941" s="189"/>
      <c r="AT1941" s="189"/>
      <c r="AU1941" s="187"/>
      <c r="AV1941" s="190"/>
      <c r="AW1941" s="191"/>
      <c r="AX1941" s="551" t="s">
        <v>6342</v>
      </c>
      <c r="AY1941" s="551"/>
      <c r="AZ1941" s="551"/>
      <c r="BA1941" s="551"/>
      <c r="BB1941" s="551"/>
      <c r="BC1941" s="551"/>
      <c r="BD1941" s="549"/>
      <c r="BE1941" s="550"/>
      <c r="BF1941" s="549"/>
      <c r="BG1941" s="391">
        <f>SUM($AV$1389:AV1941)</f>
        <v>3707.974695769165</v>
      </c>
      <c r="BH1941" s="392">
        <f>SUM($AU$1389:AU1941)</f>
        <v>46470.687142856506</v>
      </c>
      <c r="BI1941" s="318">
        <f>SUMIFS($AU$1388:AU1942,$Q$1388:Q1942,"F")</f>
        <v>25718.457142857143</v>
      </c>
      <c r="BJ1941" s="318">
        <f>SUMIFS($AU$1388:AU1942,$Q$1388:Q1942,"S")</f>
        <v>16607.999999999996</v>
      </c>
      <c r="BK1941" s="343">
        <f>SUMIFS($AU$1388:AU1942,$P$1388:P1942,"W")</f>
        <v>30047.637142857486</v>
      </c>
      <c r="BL1941" s="343">
        <f>SUMIFS($AU$1388:AU1942,$P$1388:P1942,"R")</f>
        <v>14525.999999999862</v>
      </c>
      <c r="BM1941" s="343">
        <f>SUMIFS($AU$1388:AU1942,$AQ$1388:AQ1942,"M")</f>
        <v>9109.3799999992098</v>
      </c>
      <c r="BN1941" s="343">
        <f>SUMIFS($AU$1388:AU1942,$AQ$1388:AQ1942,"H")</f>
        <v>10967.200000000283</v>
      </c>
      <c r="BO1941" s="343">
        <f>SUMIFS($AU$1388:AU1942,$AQ$1388:AQ1942,"D")</f>
        <v>13545.507142857021</v>
      </c>
      <c r="BP1941" s="343">
        <f>SUMIFS($AS$1388:AS2708,$AO$1388:AO2708,"W")</f>
        <v>0</v>
      </c>
      <c r="BQ1941" s="343">
        <f>SUMIFS($AU$1388:AU1942,$Q$1388:Q1942,"O")</f>
        <v>2720.2299999993738</v>
      </c>
      <c r="BR1941" s="343">
        <f>SUMIFS($AU$1388:AU1942,$AA$1388:AA1942,"*")</f>
        <v>33009.799999999392</v>
      </c>
      <c r="BS1941" s="343">
        <f>SUMIFS($AU$1388:AU1942,$AB$1388:AB1942,"*")</f>
        <v>11794.829999999794</v>
      </c>
      <c r="BT1941" s="343">
        <f>SUMIFS($AU$1388:AU1942,$AC$1388:AC1942,"*")</f>
        <v>27558.45714285714</v>
      </c>
      <c r="BU1941" s="343">
        <f>SUMIFS($AU$1388:AU1942,$AA$1388:AA1942,"*",$AB$1388:AB1942,"*")</f>
        <v>5807.9999999998217</v>
      </c>
      <c r="BV1941" s="343">
        <f>SUMIFS($AU$1388:AU1942,$AA$1388:AA1942,"*",$AC$1388:AC1942,"*")</f>
        <v>16244.4</v>
      </c>
      <c r="BW1941" s="343">
        <f>SUMIFS($AU$1388:AU1942,$AB$1388:AB1942,"*",$AC$1388:AC1942,"*")</f>
        <v>7119.9999999999982</v>
      </c>
      <c r="BX1941" s="343">
        <f>SUMIFS($AV$1388:AV1942,$Q$1388:Q1942,"F")</f>
        <v>397.90578243515159</v>
      </c>
      <c r="BY1941" s="343">
        <f>SUMIFS($AV$1388:AV1942,$Q$1388:Q1942,"S")</f>
        <v>606.83991333429879</v>
      </c>
      <c r="BZ1941" s="343">
        <f>SUMIFS($AV$1388:AV1942,$Q$1388:Q1942,"O")</f>
        <v>755.22899999970912</v>
      </c>
    </row>
    <row r="1942" spans="1:78" ht="15.75" customHeight="1">
      <c r="A1942" s="177" t="s">
        <v>6310</v>
      </c>
      <c r="B1942" s="200"/>
      <c r="C1942" s="178"/>
      <c r="D1942" s="178"/>
      <c r="E1942" s="227" t="s">
        <v>6343</v>
      </c>
      <c r="F1942" s="180"/>
      <c r="G1942" s="181"/>
      <c r="H1942" s="182">
        <v>1</v>
      </c>
      <c r="I1942" s="182"/>
      <c r="J1942" s="182"/>
      <c r="K1942" s="183" t="s">
        <v>115</v>
      </c>
      <c r="L1942" s="182"/>
      <c r="M1942" s="182"/>
      <c r="N1942" s="182"/>
      <c r="O1942" s="183"/>
      <c r="P1942" s="183"/>
      <c r="Q1942" s="183"/>
      <c r="R1942" s="183"/>
      <c r="S1942" s="183"/>
      <c r="T1942" s="183"/>
      <c r="U1942" s="183"/>
      <c r="V1942" s="183"/>
      <c r="W1942" s="183"/>
      <c r="X1942" s="183"/>
      <c r="Y1942" s="183"/>
      <c r="Z1942" s="183"/>
      <c r="AA1942" s="185"/>
      <c r="AB1942" s="185"/>
      <c r="AC1942" s="185"/>
      <c r="AD1942" s="649"/>
      <c r="AE1942" s="182"/>
      <c r="AF1942" s="332"/>
      <c r="AG1942" s="182"/>
      <c r="AH1942" s="182"/>
      <c r="AI1942" s="182"/>
      <c r="AJ1942" s="640"/>
      <c r="AK1942" s="182"/>
      <c r="AL1942" s="496">
        <f t="shared" si="649"/>
        <v>0</v>
      </c>
      <c r="AM1942" s="496">
        <f t="shared" si="644"/>
        <v>0</v>
      </c>
      <c r="AN1942" s="626"/>
      <c r="AO1942" s="182"/>
      <c r="AP1942" s="182"/>
      <c r="AQ1942" s="332" t="str">
        <f>UPPER(RIGHT(Journal_Live[[#This Row],[DURATION ]]))</f>
        <v/>
      </c>
      <c r="AR1942" s="182"/>
      <c r="AS1942" s="189"/>
      <c r="AT1942" s="189"/>
      <c r="AU1942" s="187"/>
      <c r="AV1942" s="190"/>
      <c r="AW1942" s="191"/>
      <c r="AX1942" s="551"/>
      <c r="AY1942" s="551"/>
      <c r="AZ1942" s="551"/>
      <c r="BA1942" s="551"/>
      <c r="BB1942" s="551"/>
      <c r="BC1942" s="551"/>
      <c r="BD1942" s="549"/>
      <c r="BE1942" s="550"/>
      <c r="BF1942" s="549"/>
      <c r="BG1942" s="391">
        <f>SUM($AV$1389:AV1942)</f>
        <v>3707.974695769165</v>
      </c>
      <c r="BH1942" s="392">
        <f>SUM($AU$1389:AU1942)</f>
        <v>46470.687142856506</v>
      </c>
      <c r="BI1942" s="318">
        <f>SUMIFS($AU$1388:AU1943,$Q$1388:Q1943,"F")</f>
        <v>25718.457142857143</v>
      </c>
      <c r="BJ1942" s="318">
        <f>SUMIFS($AU$1388:AU1943,$Q$1388:Q1943,"S")</f>
        <v>16607.999999999996</v>
      </c>
      <c r="BK1942" s="343">
        <f>SUMIFS($AU$1388:AU1943,$P$1388:P1943,"W")</f>
        <v>30047.637142857486</v>
      </c>
      <c r="BL1942" s="343">
        <f>SUMIFS($AU$1388:AU1943,$P$1388:P1943,"R")</f>
        <v>14525.999999999862</v>
      </c>
      <c r="BM1942" s="343">
        <f>SUMIFS($AU$1388:AU1943,$AQ$1388:AQ1943,"M")</f>
        <v>9109.3799999992098</v>
      </c>
      <c r="BN1942" s="343">
        <f>SUMIFS($AU$1388:AU1943,$AQ$1388:AQ1943,"H")</f>
        <v>10967.200000000283</v>
      </c>
      <c r="BO1942" s="343">
        <f>SUMIFS($AU$1388:AU1943,$AQ$1388:AQ1943,"D")</f>
        <v>13545.507142857021</v>
      </c>
      <c r="BP1942" s="343">
        <f>SUMIFS($AS$1388:AS2709,$AO$1388:AO2709,"W")</f>
        <v>0</v>
      </c>
      <c r="BQ1942" s="343">
        <f>SUMIFS($AU$1388:AU1943,$Q$1388:Q1943,"O")</f>
        <v>2720.2299999993738</v>
      </c>
      <c r="BR1942" s="343">
        <f>SUMIFS($AU$1388:AU1943,$AA$1388:AA1943,"*")</f>
        <v>33009.799999999392</v>
      </c>
      <c r="BS1942" s="343">
        <f>SUMIFS($AU$1388:AU1943,$AB$1388:AB1943,"*")</f>
        <v>11794.829999999794</v>
      </c>
      <c r="BT1942" s="343">
        <f>SUMIFS($AU$1388:AU1943,$AC$1388:AC1943,"*")</f>
        <v>27558.45714285714</v>
      </c>
      <c r="BU1942" s="343">
        <f>SUMIFS($AU$1388:AU1943,$AA$1388:AA1943,"*",$AB$1388:AB1943,"*")</f>
        <v>5807.9999999998217</v>
      </c>
      <c r="BV1942" s="343">
        <f>SUMIFS($AU$1388:AU1943,$AA$1388:AA1943,"*",$AC$1388:AC1943,"*")</f>
        <v>16244.4</v>
      </c>
      <c r="BW1942" s="343">
        <f>SUMIFS($AU$1388:AU1943,$AB$1388:AB1943,"*",$AC$1388:AC1943,"*")</f>
        <v>7119.9999999999982</v>
      </c>
      <c r="BX1942" s="343">
        <f>SUMIFS($AV$1388:AV1943,$Q$1388:Q1943,"F")</f>
        <v>397.90578243515159</v>
      </c>
      <c r="BY1942" s="343">
        <f>SUMIFS($AV$1388:AV1943,$Q$1388:Q1943,"S")</f>
        <v>606.83991333429879</v>
      </c>
      <c r="BZ1942" s="343">
        <f>SUMIFS($AV$1388:AV1943,$Q$1388:Q1943,"O")</f>
        <v>755.22899999970912</v>
      </c>
    </row>
    <row r="1943" spans="1:78" ht="15.75" customHeight="1">
      <c r="A1943" s="177" t="s">
        <v>6310</v>
      </c>
      <c r="B1943" s="200"/>
      <c r="C1943" s="178"/>
      <c r="D1943" s="178"/>
      <c r="E1943" s="227" t="s">
        <v>6344</v>
      </c>
      <c r="F1943" s="180"/>
      <c r="G1943" s="181"/>
      <c r="H1943" s="182"/>
      <c r="I1943" s="182"/>
      <c r="J1943" s="182">
        <v>1</v>
      </c>
      <c r="K1943" s="183" t="s">
        <v>115</v>
      </c>
      <c r="L1943" s="182"/>
      <c r="M1943" s="182"/>
      <c r="N1943" s="182"/>
      <c r="O1943" s="183"/>
      <c r="P1943" s="183"/>
      <c r="Q1943" s="183"/>
      <c r="R1943" s="183"/>
      <c r="S1943" s="183"/>
      <c r="T1943" s="183"/>
      <c r="U1943" s="183"/>
      <c r="V1943" s="183"/>
      <c r="W1943" s="183"/>
      <c r="X1943" s="183"/>
      <c r="Y1943" s="183"/>
      <c r="Z1943" s="183"/>
      <c r="AA1943" s="185"/>
      <c r="AB1943" s="185"/>
      <c r="AC1943" s="185"/>
      <c r="AD1943" s="649"/>
      <c r="AE1943" s="182"/>
      <c r="AF1943" s="332"/>
      <c r="AG1943" s="182"/>
      <c r="AH1943" s="182"/>
      <c r="AI1943" s="182"/>
      <c r="AJ1943" s="640"/>
      <c r="AK1943" s="182"/>
      <c r="AL1943" s="496">
        <f t="shared" si="649"/>
        <v>0</v>
      </c>
      <c r="AM1943" s="496">
        <f t="shared" si="644"/>
        <v>0</v>
      </c>
      <c r="AN1943" s="626"/>
      <c r="AO1943" s="182"/>
      <c r="AP1943" s="182"/>
      <c r="AQ1943" s="332" t="str">
        <f>UPPER(RIGHT(Journal_Live[[#This Row],[DURATION ]]))</f>
        <v/>
      </c>
      <c r="AR1943" s="182"/>
      <c r="AS1943" s="189"/>
      <c r="AT1943" s="189"/>
      <c r="AU1943" s="187"/>
      <c r="AV1943" s="190"/>
      <c r="AW1943" s="191"/>
      <c r="AX1943" s="551"/>
      <c r="AY1943" s="551"/>
      <c r="AZ1943" s="551"/>
      <c r="BA1943" s="551"/>
      <c r="BB1943" s="551"/>
      <c r="BC1943" s="551"/>
      <c r="BD1943" s="549"/>
      <c r="BE1943" s="550"/>
      <c r="BF1943" s="549"/>
      <c r="BG1943" s="391">
        <f>SUM($AV$1389:AV1943)</f>
        <v>3707.974695769165</v>
      </c>
      <c r="BH1943" s="392">
        <f>SUM($AU$1389:AU1943)</f>
        <v>46470.687142856506</v>
      </c>
      <c r="BI1943" s="318">
        <f>SUMIFS($AU$1388:AU1944,$Q$1388:Q1944,"F")</f>
        <v>25718.457142857143</v>
      </c>
      <c r="BJ1943" s="318">
        <f>SUMIFS($AU$1388:AU1944,$Q$1388:Q1944,"S")</f>
        <v>17407.999999999996</v>
      </c>
      <c r="BK1943" s="343">
        <f>SUMIFS($AU$1388:AU1944,$P$1388:P1944,"W")</f>
        <v>30047.637142857486</v>
      </c>
      <c r="BL1943" s="343">
        <f>SUMIFS($AU$1388:AU1944,$P$1388:P1944,"R")</f>
        <v>15325.999999999862</v>
      </c>
      <c r="BM1943" s="343">
        <f>SUMIFS($AU$1388:AU1944,$AQ$1388:AQ1944,"M")</f>
        <v>9109.3799999992098</v>
      </c>
      <c r="BN1943" s="343">
        <f>SUMIFS($AU$1388:AU1944,$AQ$1388:AQ1944,"H")</f>
        <v>10967.200000000283</v>
      </c>
      <c r="BO1943" s="343">
        <f>SUMIFS($AU$1388:AU1944,$AQ$1388:AQ1944,"D")</f>
        <v>14345.507142857021</v>
      </c>
      <c r="BP1943" s="343">
        <f>SUMIFS($AS$1388:AS2710,$AO$1388:AO2710,"W")</f>
        <v>0</v>
      </c>
      <c r="BQ1943" s="343">
        <f>SUMIFS($AU$1388:AU1944,$Q$1388:Q1944,"O")</f>
        <v>2720.2299999993738</v>
      </c>
      <c r="BR1943" s="343">
        <f>SUMIFS($AU$1388:AU1944,$AA$1388:AA1944,"*")</f>
        <v>33809.799999999392</v>
      </c>
      <c r="BS1943" s="343">
        <f>SUMIFS($AU$1388:AU1944,$AB$1388:AB1944,"*")</f>
        <v>11794.829999999794</v>
      </c>
      <c r="BT1943" s="343">
        <f>SUMIFS($AU$1388:AU1944,$AC$1388:AC1944,"*")</f>
        <v>27558.45714285714</v>
      </c>
      <c r="BU1943" s="343">
        <f>SUMIFS($AU$1388:AU1944,$AA$1388:AA1944,"*",$AB$1388:AB1944,"*")</f>
        <v>5807.9999999998217</v>
      </c>
      <c r="BV1943" s="343">
        <f>SUMIFS($AU$1388:AU1944,$AA$1388:AA1944,"*",$AC$1388:AC1944,"*")</f>
        <v>16244.4</v>
      </c>
      <c r="BW1943" s="343">
        <f>SUMIFS($AU$1388:AU1944,$AB$1388:AB1944,"*",$AC$1388:AC1944,"*")</f>
        <v>7119.9999999999982</v>
      </c>
      <c r="BX1943" s="343">
        <f>SUMIFS($AV$1388:AV1944,$Q$1388:Q1944,"F")</f>
        <v>397.90578243515159</v>
      </c>
      <c r="BY1943" s="343">
        <f>SUMIFS($AV$1388:AV1944,$Q$1388:Q1944,"S")</f>
        <v>622.83991333429879</v>
      </c>
      <c r="BZ1943" s="343">
        <f>SUMIFS($AV$1388:AV1944,$Q$1388:Q1944,"O")</f>
        <v>755.22899999970912</v>
      </c>
    </row>
    <row r="1944" spans="1:78" ht="15.75" customHeight="1">
      <c r="A1944" s="177" t="s">
        <v>6310</v>
      </c>
      <c r="B1944" s="200">
        <v>45415</v>
      </c>
      <c r="C1944" s="178" t="s">
        <v>682</v>
      </c>
      <c r="D1944" s="178" t="s">
        <v>111</v>
      </c>
      <c r="E1944" s="227"/>
      <c r="F1944" s="180"/>
      <c r="G1944" s="553" t="s">
        <v>5098</v>
      </c>
      <c r="H1944" s="182"/>
      <c r="I1944" s="182"/>
      <c r="J1944" s="182"/>
      <c r="K1944" s="183"/>
      <c r="L1944" s="182"/>
      <c r="M1944" s="182">
        <v>2</v>
      </c>
      <c r="N1944" s="182"/>
      <c r="O1944" s="183" t="s">
        <v>95</v>
      </c>
      <c r="P1944" s="183" t="s">
        <v>137</v>
      </c>
      <c r="Q1944" s="183" t="s">
        <v>97</v>
      </c>
      <c r="R1944" s="183">
        <v>50</v>
      </c>
      <c r="S1944" s="559">
        <v>0</v>
      </c>
      <c r="T1944" s="183">
        <v>50</v>
      </c>
      <c r="U1944" s="183" t="s">
        <v>97</v>
      </c>
      <c r="V1944" s="183"/>
      <c r="W1944" s="183"/>
      <c r="X1944" s="183"/>
      <c r="Y1944" s="184">
        <f>IF(ISBLANK(O1944),"",(IF(O1944=UPPER("IB"),0.005,0.01)))</f>
        <v>0.01</v>
      </c>
      <c r="Z1944" s="185">
        <f>IF(ISBLANK(O1944),"",IF(O1944="IB",8.63*200,IF(O1944="IR",16*100,IF(O1944="YT",20*100,IF(O1944="YT-XT",24*200,IF(O1944="TED",80*100,IF(O1944="XT",29*200)))))))</f>
        <v>1600</v>
      </c>
      <c r="AA1944" s="185" t="s">
        <v>1361</v>
      </c>
      <c r="AB1944" s="185"/>
      <c r="AC1944" s="185"/>
      <c r="AD1944" s="649">
        <v>-0.15</v>
      </c>
      <c r="AE1944" s="182"/>
      <c r="AF1944" s="332"/>
      <c r="AG1944" s="182"/>
      <c r="AH1944" s="182"/>
      <c r="AI1944" s="182"/>
      <c r="AJ1944" s="640"/>
      <c r="AK1944" s="182"/>
      <c r="AL1944" s="496">
        <f t="shared" si="649"/>
        <v>-32</v>
      </c>
      <c r="AM1944" s="496">
        <f t="shared" si="644"/>
        <v>-1600</v>
      </c>
      <c r="AN1944" s="626"/>
      <c r="AO1944" s="182"/>
      <c r="AP1944" s="182" t="s">
        <v>804</v>
      </c>
      <c r="AQ1944" s="332" t="s">
        <v>115</v>
      </c>
      <c r="AR1944" s="182" t="s">
        <v>6345</v>
      </c>
      <c r="AS1944" s="189">
        <v>-0.16</v>
      </c>
      <c r="AT1944" s="189">
        <f>IF(ISBLANK(AS1944),,IF(U1944="S",AD1944-AS1944,AS1944-AD1944))</f>
        <v>1.0000000000000009E-2</v>
      </c>
      <c r="AU1944" s="187">
        <f>AV1944*R1944</f>
        <v>800.00000000000068</v>
      </c>
      <c r="AV1944" s="190">
        <f t="shared" si="648"/>
        <v>16.000000000000014</v>
      </c>
      <c r="AW1944" s="191" t="s">
        <v>96</v>
      </c>
      <c r="AX1944" s="551"/>
      <c r="AY1944" s="551"/>
      <c r="AZ1944" s="551"/>
      <c r="BA1944" s="551"/>
      <c r="BB1944" s="551"/>
      <c r="BC1944" s="551"/>
      <c r="BD1944" s="549"/>
      <c r="BE1944" s="550"/>
      <c r="BF1944" s="549"/>
      <c r="BG1944" s="391">
        <f>SUM($AV$1389:AV1944)</f>
        <v>3723.974695769165</v>
      </c>
      <c r="BH1944" s="392">
        <f>SUM($AU$1389:AU1944)</f>
        <v>47270.687142856506</v>
      </c>
      <c r="BI1944" s="318">
        <f>SUMIFS($AU$1388:AU1945,$Q$1388:Q1945,"F")</f>
        <v>25718.457142857143</v>
      </c>
      <c r="BJ1944" s="318">
        <f>SUMIFS($AU$1388:AU1945,$Q$1388:Q1945,"S")</f>
        <v>20047.999999999996</v>
      </c>
      <c r="BK1944" s="343">
        <f>SUMIFS($AU$1388:AU1945,$P$1388:P1945,"W")</f>
        <v>32687.637142857486</v>
      </c>
      <c r="BL1944" s="343">
        <f>SUMIFS($AU$1388:AU1945,$P$1388:P1945,"R")</f>
        <v>15325.999999999862</v>
      </c>
      <c r="BM1944" s="343">
        <f>SUMIFS($AU$1388:AU1945,$AQ$1388:AQ1945,"M")</f>
        <v>9109.3799999992098</v>
      </c>
      <c r="BN1944" s="343">
        <f>SUMIFS($AU$1388:AU1945,$AQ$1388:AQ1945,"H")</f>
        <v>13607.200000000283</v>
      </c>
      <c r="BO1944" s="343">
        <f>SUMIFS($AU$1388:AU1945,$AQ$1388:AQ1945,"D")</f>
        <v>14345.507142857021</v>
      </c>
      <c r="BP1944" s="343">
        <f>SUMIFS($AS$1388:AS2711,$AO$1388:AO2711,"W")</f>
        <v>0</v>
      </c>
      <c r="BQ1944" s="343">
        <f>SUMIFS($AU$1388:AU1945,$Q$1388:Q1945,"O")</f>
        <v>2720.2299999993738</v>
      </c>
      <c r="BR1944" s="343">
        <f>SUMIFS($AU$1388:AU1945,$AA$1388:AA1945,"*")</f>
        <v>36449.799999999392</v>
      </c>
      <c r="BS1944" s="343">
        <f>SUMIFS($AU$1388:AU1945,$AB$1388:AB1945,"*")</f>
        <v>11794.829999999794</v>
      </c>
      <c r="BT1944" s="343">
        <f>SUMIFS($AU$1388:AU1945,$AC$1388:AC1945,"*")</f>
        <v>27558.45714285714</v>
      </c>
      <c r="BU1944" s="343">
        <f>SUMIFS($AU$1388:AU1945,$AA$1388:AA1945,"*",$AB$1388:AB1945,"*")</f>
        <v>5807.9999999998217</v>
      </c>
      <c r="BV1944" s="343">
        <f>SUMIFS($AU$1388:AU1945,$AA$1388:AA1945,"*",$AC$1388:AC1945,"*")</f>
        <v>16244.4</v>
      </c>
      <c r="BW1944" s="343">
        <f>SUMIFS($AU$1388:AU1945,$AB$1388:AB1945,"*",$AC$1388:AC1945,"*")</f>
        <v>7119.9999999999982</v>
      </c>
      <c r="BX1944" s="343">
        <f>SUMIFS($AV$1388:AV1945,$Q$1388:Q1945,"F")</f>
        <v>397.90578243515159</v>
      </c>
      <c r="BY1944" s="343">
        <f>SUMIFS($AV$1388:AV1945,$Q$1388:Q1945,"S")</f>
        <v>658.03991333429883</v>
      </c>
      <c r="BZ1944" s="343">
        <f>SUMIFS($AV$1388:AV1945,$Q$1388:Q1945,"O")</f>
        <v>755.22899999970912</v>
      </c>
    </row>
    <row r="1945" spans="1:78" ht="15.75" customHeight="1">
      <c r="A1945" s="177" t="s">
        <v>6310</v>
      </c>
      <c r="B1945" s="200">
        <v>45415</v>
      </c>
      <c r="C1945" s="178" t="s">
        <v>682</v>
      </c>
      <c r="D1945" s="178" t="s">
        <v>111</v>
      </c>
      <c r="E1945" s="227"/>
      <c r="F1945" s="180"/>
      <c r="G1945" s="553" t="s">
        <v>136</v>
      </c>
      <c r="H1945" s="182"/>
      <c r="I1945" s="182"/>
      <c r="J1945" s="182"/>
      <c r="K1945" s="183"/>
      <c r="L1945" s="182"/>
      <c r="M1945" s="182">
        <v>3</v>
      </c>
      <c r="N1945" s="182"/>
      <c r="O1945" s="183" t="s">
        <v>95</v>
      </c>
      <c r="P1945" s="183" t="s">
        <v>96</v>
      </c>
      <c r="Q1945" s="183" t="s">
        <v>97</v>
      </c>
      <c r="R1945" s="183">
        <v>75</v>
      </c>
      <c r="S1945" s="559">
        <v>45</v>
      </c>
      <c r="T1945" s="183">
        <v>75</v>
      </c>
      <c r="U1945" s="183" t="s">
        <v>22</v>
      </c>
      <c r="V1945" s="183"/>
      <c r="W1945" s="183"/>
      <c r="X1945" s="183"/>
      <c r="Y1945" s="184">
        <f>IF(ISBLANK(O1945),"",(IF(O1945=UPPER("IB"),0.005,0.01)))</f>
        <v>0.01</v>
      </c>
      <c r="Z1945" s="185">
        <f>IF(ISBLANK(O1945),"",IF(O1945="IB",8.63*200,IF(O1945="IR",16*100,IF(O1945="YT",20*100,IF(O1945="YT-XT",24*200,IF(O1945="TED",80*100,IF(O1945="XT",29*200)))))))</f>
        <v>1600</v>
      </c>
      <c r="AA1945" s="185" t="s">
        <v>6346</v>
      </c>
      <c r="AB1945" s="185"/>
      <c r="AC1945" s="185"/>
      <c r="AD1945" s="649">
        <v>0.02</v>
      </c>
      <c r="AE1945" s="182"/>
      <c r="AF1945" s="332"/>
      <c r="AG1945" s="182"/>
      <c r="AH1945" s="182"/>
      <c r="AI1945" s="182"/>
      <c r="AJ1945" s="640"/>
      <c r="AK1945" s="182"/>
      <c r="AL1945" s="496">
        <f t="shared" si="649"/>
        <v>-32</v>
      </c>
      <c r="AM1945" s="496">
        <f t="shared" si="644"/>
        <v>-960</v>
      </c>
      <c r="AN1945" s="626"/>
      <c r="AO1945" s="182"/>
      <c r="AP1945" s="182" t="s">
        <v>5211</v>
      </c>
      <c r="AQ1945" s="332" t="s">
        <v>372</v>
      </c>
      <c r="AR1945" s="182" t="s">
        <v>6347</v>
      </c>
      <c r="AS1945" s="189">
        <f>(0.03*15+0.04*30+0.05*30)/75</f>
        <v>4.1999999999999996E-2</v>
      </c>
      <c r="AT1945" s="189">
        <f>IF(ISBLANK(AS1945),,IF(U1945="S",AD1945-AS1945,AS1945-AD1945))</f>
        <v>2.1999999999999995E-2</v>
      </c>
      <c r="AU1945" s="187">
        <f>AV1945*R1945</f>
        <v>2639.9999999999995</v>
      </c>
      <c r="AV1945" s="190">
        <f t="shared" si="648"/>
        <v>35.199999999999996</v>
      </c>
      <c r="AW1945" s="191" t="s">
        <v>96</v>
      </c>
      <c r="AX1945" s="551" t="s">
        <v>6348</v>
      </c>
      <c r="AY1945" s="551"/>
      <c r="AZ1945" s="551"/>
      <c r="BA1945" s="551"/>
      <c r="BB1945" s="551"/>
      <c r="BC1945" s="551"/>
      <c r="BD1945" s="549"/>
      <c r="BE1945" s="550"/>
      <c r="BF1945" s="549"/>
      <c r="BG1945" s="391">
        <f>SUM($AV$1389:AV1945)</f>
        <v>3759.1746957691648</v>
      </c>
      <c r="BH1945" s="392">
        <f>SUM($AU$1389:AU1945)</f>
        <v>49910.687142856506</v>
      </c>
      <c r="BI1945" s="318">
        <f>SUMIFS($AU$1388:AU1946,$Q$1388:Q1946,"F")</f>
        <v>25718.457142857143</v>
      </c>
      <c r="BJ1945" s="318">
        <f>SUMIFS($AU$1388:AU1946,$Q$1388:Q1946,"S")</f>
        <v>21247.999999999996</v>
      </c>
      <c r="BK1945" s="343">
        <f>SUMIFS($AU$1388:AU1946,$P$1388:P1946,"W")</f>
        <v>33887.637142857486</v>
      </c>
      <c r="BL1945" s="343">
        <f>SUMIFS($AU$1388:AU1946,$P$1388:P1946,"R")</f>
        <v>15325.999999999862</v>
      </c>
      <c r="BM1945" s="343">
        <f>SUMIFS($AU$1388:AU1946,$AQ$1388:AQ1946,"M")</f>
        <v>9109.3799999992098</v>
      </c>
      <c r="BN1945" s="343">
        <f>SUMIFS($AU$1388:AU1946,$AQ$1388:AQ1946,"H")</f>
        <v>14807.200000000283</v>
      </c>
      <c r="BO1945" s="343">
        <f>SUMIFS($AU$1388:AU1946,$AQ$1388:AQ1946,"D")</f>
        <v>14345.507142857021</v>
      </c>
      <c r="BP1945" s="343">
        <f>SUMIFS($AS$1388:AS2712,$AO$1388:AO2712,"W")</f>
        <v>0</v>
      </c>
      <c r="BQ1945" s="343">
        <f>SUMIFS($AU$1388:AU1946,$Q$1388:Q1946,"O")</f>
        <v>2720.2299999993738</v>
      </c>
      <c r="BR1945" s="343">
        <f>SUMIFS($AU$1388:AU1946,$AA$1388:AA1946,"*")</f>
        <v>37649.799999999392</v>
      </c>
      <c r="BS1945" s="343">
        <f>SUMIFS($AU$1388:AU1946,$AB$1388:AB1946,"*")</f>
        <v>11794.829999999794</v>
      </c>
      <c r="BT1945" s="343">
        <f>SUMIFS($AU$1388:AU1946,$AC$1388:AC1946,"*")</f>
        <v>27558.45714285714</v>
      </c>
      <c r="BU1945" s="343">
        <f>SUMIFS($AU$1388:AU1946,$AA$1388:AA1946,"*",$AB$1388:AB1946,"*")</f>
        <v>5807.9999999998217</v>
      </c>
      <c r="BV1945" s="343">
        <f>SUMIFS($AU$1388:AU1946,$AA$1388:AA1946,"*",$AC$1388:AC1946,"*")</f>
        <v>16244.4</v>
      </c>
      <c r="BW1945" s="343">
        <f>SUMIFS($AU$1388:AU1946,$AB$1388:AB1946,"*",$AC$1388:AC1946,"*")</f>
        <v>7119.9999999999982</v>
      </c>
      <c r="BX1945" s="343">
        <f>SUMIFS($AV$1388:AV1946,$Q$1388:Q1946,"F")</f>
        <v>397.90578243515159</v>
      </c>
      <c r="BY1945" s="343">
        <f>SUMIFS($AV$1388:AV1946,$Q$1388:Q1946,"S")</f>
        <v>674.03991333429883</v>
      </c>
      <c r="BZ1945" s="343">
        <f>SUMIFS($AV$1388:AV1946,$Q$1388:Q1946,"O")</f>
        <v>755.22899999970912</v>
      </c>
    </row>
    <row r="1946" spans="1:78" ht="15.75" customHeight="1">
      <c r="A1946" s="177" t="s">
        <v>6310</v>
      </c>
      <c r="B1946" s="200">
        <v>45415</v>
      </c>
      <c r="C1946" s="178" t="s">
        <v>682</v>
      </c>
      <c r="D1946" s="178" t="s">
        <v>111</v>
      </c>
      <c r="E1946" s="227"/>
      <c r="F1946" s="180"/>
      <c r="G1946" s="553" t="s">
        <v>2016</v>
      </c>
      <c r="H1946" s="182"/>
      <c r="I1946" s="182"/>
      <c r="J1946" s="182"/>
      <c r="K1946" s="183"/>
      <c r="L1946" s="182"/>
      <c r="M1946" s="182">
        <v>3</v>
      </c>
      <c r="N1946" s="182"/>
      <c r="O1946" s="183" t="s">
        <v>95</v>
      </c>
      <c r="P1946" s="183" t="s">
        <v>96</v>
      </c>
      <c r="Q1946" s="183" t="s">
        <v>97</v>
      </c>
      <c r="R1946" s="183">
        <v>75</v>
      </c>
      <c r="S1946" s="559">
        <v>0</v>
      </c>
      <c r="T1946" s="183">
        <v>75</v>
      </c>
      <c r="U1946" s="183" t="s">
        <v>22</v>
      </c>
      <c r="V1946" s="183"/>
      <c r="W1946" s="183"/>
      <c r="X1946" s="183"/>
      <c r="Y1946" s="184">
        <f>IF(ISBLANK(O1946),"",(IF(O1946=UPPER("IB"),0.005,0.01)))</f>
        <v>0.01</v>
      </c>
      <c r="Z1946" s="185">
        <f>IF(ISBLANK(O1946),"",IF(O1946="IB",8.63*200,IF(O1946="IR",16*100,IF(O1946="YT",20*100,IF(O1946="YT-XT",24*200,IF(O1946="TED",80*100,IF(O1946="XT",29*200)))))))</f>
        <v>1600</v>
      </c>
      <c r="AA1946" s="185" t="s">
        <v>6346</v>
      </c>
      <c r="AB1946" s="185"/>
      <c r="AC1946" s="185"/>
      <c r="AD1946" s="649">
        <v>-0.04</v>
      </c>
      <c r="AE1946" s="182"/>
      <c r="AF1946" s="332"/>
      <c r="AG1946" s="182"/>
      <c r="AH1946" s="182"/>
      <c r="AI1946" s="182"/>
      <c r="AJ1946" s="640"/>
      <c r="AK1946" s="182"/>
      <c r="AL1946" s="496">
        <f t="shared" si="645"/>
        <v>-32</v>
      </c>
      <c r="AM1946" s="496">
        <f t="shared" si="644"/>
        <v>-2400</v>
      </c>
      <c r="AN1946" s="626"/>
      <c r="AO1946" s="182"/>
      <c r="AP1946" s="182" t="s">
        <v>967</v>
      </c>
      <c r="AQ1946" s="332" t="s">
        <v>372</v>
      </c>
      <c r="AR1946" s="182" t="s">
        <v>4229</v>
      </c>
      <c r="AS1946" s="189">
        <v>-0.03</v>
      </c>
      <c r="AT1946" s="189">
        <f>IF(ISBLANK(AS1946),,IF(U1946="S",AD1946-AS1946,AS1946-AD1946))</f>
        <v>1.0000000000000002E-2</v>
      </c>
      <c r="AU1946" s="187">
        <f>AV1946*R1946</f>
        <v>1200.0000000000002</v>
      </c>
      <c r="AV1946" s="190">
        <f t="shared" ref="AV1946:AV1948" si="650">IF(ISBLANK(AS1946),,(AT1946*Z1946))</f>
        <v>16.000000000000004</v>
      </c>
      <c r="AW1946" s="191" t="s">
        <v>96</v>
      </c>
      <c r="AX1946" s="551"/>
      <c r="AY1946" s="551"/>
      <c r="AZ1946" s="551"/>
      <c r="BA1946" s="551"/>
      <c r="BB1946" s="551"/>
      <c r="BC1946" s="551"/>
      <c r="BD1946" s="549"/>
      <c r="BE1946" s="550"/>
      <c r="BF1946" s="549"/>
      <c r="BG1946" s="391">
        <f>SUM($AV$1389:AV1946)</f>
        <v>3775.1746957691648</v>
      </c>
      <c r="BH1946" s="392">
        <f>SUM($AU$1389:AU1946)</f>
        <v>51110.687142856506</v>
      </c>
      <c r="BI1946" s="318">
        <f>SUMIFS($AU$1388:AU1947,$Q$1388:Q1947,"F")</f>
        <v>25718.457142857143</v>
      </c>
      <c r="BJ1946" s="318">
        <f>SUMIFS($AU$1388:AU1947,$Q$1388:Q1947,"S")</f>
        <v>22527.999999999996</v>
      </c>
      <c r="BK1946" s="343">
        <f>SUMIFS($AU$1388:AU1947,$P$1388:P1947,"W")</f>
        <v>35167.637142857486</v>
      </c>
      <c r="BL1946" s="343">
        <f>SUMIFS($AU$1388:AU1947,$P$1388:P1947,"R")</f>
        <v>15325.999999999862</v>
      </c>
      <c r="BM1946" s="343">
        <f>SUMIFS($AU$1388:AU1947,$AQ$1388:AQ1947,"M")</f>
        <v>9109.3799999992098</v>
      </c>
      <c r="BN1946" s="343">
        <f>SUMIFS($AU$1388:AU1947,$AQ$1388:AQ1947,"H")</f>
        <v>16087.200000000283</v>
      </c>
      <c r="BO1946" s="343">
        <f>SUMIFS($AU$1388:AU1947,$AQ$1388:AQ1947,"D")</f>
        <v>14345.507142857021</v>
      </c>
      <c r="BP1946" s="343">
        <f>SUMIFS($AS$1388:AS2713,$AO$1388:AO2713,"W")</f>
        <v>0</v>
      </c>
      <c r="BQ1946" s="343">
        <f>SUMIFS($AU$1388:AU1947,$Q$1388:Q1947,"O")</f>
        <v>2720.2299999993738</v>
      </c>
      <c r="BR1946" s="343">
        <f>SUMIFS($AU$1388:AU1947,$AA$1388:AA1947,"*")</f>
        <v>38929.799999999392</v>
      </c>
      <c r="BS1946" s="343">
        <f>SUMIFS($AU$1388:AU1947,$AB$1388:AB1947,"*")</f>
        <v>11794.829999999794</v>
      </c>
      <c r="BT1946" s="343">
        <f>SUMIFS($AU$1388:AU1947,$AC$1388:AC1947,"*")</f>
        <v>28838.45714285714</v>
      </c>
      <c r="BU1946" s="343">
        <f>SUMIFS($AU$1388:AU1947,$AA$1388:AA1947,"*",$AB$1388:AB1947,"*")</f>
        <v>5807.9999999998217</v>
      </c>
      <c r="BV1946" s="343">
        <f>SUMIFS($AU$1388:AU1947,$AA$1388:AA1947,"*",$AC$1388:AC1947,"*")</f>
        <v>17524.400000000001</v>
      </c>
      <c r="BW1946" s="343">
        <f>SUMIFS($AU$1388:AU1947,$AB$1388:AB1947,"*",$AC$1388:AC1947,"*")</f>
        <v>7119.9999999999982</v>
      </c>
      <c r="BX1946" s="343">
        <f>SUMIFS($AV$1388:AV1947,$Q$1388:Q1947,"F")</f>
        <v>397.90578243515159</v>
      </c>
      <c r="BY1946" s="343">
        <f>SUMIFS($AV$1388:AV1947,$Q$1388:Q1947,"S")</f>
        <v>706.03991333429883</v>
      </c>
      <c r="BZ1946" s="343">
        <f>SUMIFS($AV$1388:AV1947,$Q$1388:Q1947,"O")</f>
        <v>755.22899999970912</v>
      </c>
    </row>
    <row r="1947" spans="1:78" ht="15.75" customHeight="1">
      <c r="A1947" s="177" t="s">
        <v>6310</v>
      </c>
      <c r="B1947" s="200">
        <v>45415</v>
      </c>
      <c r="C1947" s="178" t="s">
        <v>682</v>
      </c>
      <c r="D1947" s="178" t="s">
        <v>111</v>
      </c>
      <c r="E1947" s="227"/>
      <c r="F1947" s="180"/>
      <c r="G1947" s="553" t="s">
        <v>2016</v>
      </c>
      <c r="H1947" s="182"/>
      <c r="I1947" s="182"/>
      <c r="J1947" s="182"/>
      <c r="K1947" s="183"/>
      <c r="L1947" s="182"/>
      <c r="M1947" s="182">
        <v>3</v>
      </c>
      <c r="N1947" s="182"/>
      <c r="O1947" s="183" t="s">
        <v>95</v>
      </c>
      <c r="P1947" s="183" t="s">
        <v>96</v>
      </c>
      <c r="Q1947" s="183" t="s">
        <v>97</v>
      </c>
      <c r="R1947" s="183">
        <v>40</v>
      </c>
      <c r="S1947" s="559">
        <v>40</v>
      </c>
      <c r="T1947" s="183">
        <v>40</v>
      </c>
      <c r="U1947" s="183" t="s">
        <v>22</v>
      </c>
      <c r="V1947" s="183"/>
      <c r="W1947" s="183"/>
      <c r="X1947" s="183"/>
      <c r="Y1947" s="184">
        <f>IF(ISBLANK(O1947),"",(IF(O1947=UPPER("IB"),0.005,0.01)))</f>
        <v>0.01</v>
      </c>
      <c r="Z1947" s="185">
        <f>IF(ISBLANK(O1947),"",IF(O1947="IB",8.63*200,IF(O1947="IR",16*100,IF(O1947="YT",20*100,IF(O1947="YT-XT",24*200,IF(O1947="TED",80*100,IF(O1947="XT",29*200)))))))</f>
        <v>1600</v>
      </c>
      <c r="AA1947" s="185" t="s">
        <v>6349</v>
      </c>
      <c r="AB1947" s="185"/>
      <c r="AC1947" s="185" t="s">
        <v>6350</v>
      </c>
      <c r="AD1947" s="649">
        <v>-0.05</v>
      </c>
      <c r="AE1947" s="182"/>
      <c r="AF1947" s="332"/>
      <c r="AG1947" s="182"/>
      <c r="AH1947" s="182"/>
      <c r="AI1947" s="182"/>
      <c r="AJ1947" s="640"/>
      <c r="AK1947" s="182"/>
      <c r="AL1947" s="496">
        <f t="shared" si="645"/>
        <v>-32</v>
      </c>
      <c r="AM1947" s="496">
        <f t="shared" si="644"/>
        <v>0</v>
      </c>
      <c r="AN1947" s="626"/>
      <c r="AO1947" s="182"/>
      <c r="AP1947" s="182"/>
      <c r="AQ1947" s="332" t="s">
        <v>372</v>
      </c>
      <c r="AR1947" s="182" t="s">
        <v>2729</v>
      </c>
      <c r="AS1947" s="189">
        <v>-0.03</v>
      </c>
      <c r="AT1947" s="189">
        <f>IF(ISBLANK(AS1947),,IF(U1947="S",AD1947-AS1947,AS1947-AD1947))</f>
        <v>2.0000000000000004E-2</v>
      </c>
      <c r="AU1947" s="187">
        <f>AV1947*R1947</f>
        <v>1280.0000000000002</v>
      </c>
      <c r="AV1947" s="190">
        <f t="shared" si="650"/>
        <v>32.000000000000007</v>
      </c>
      <c r="AW1947" s="191" t="s">
        <v>96</v>
      </c>
      <c r="AX1947" s="551" t="s">
        <v>6348</v>
      </c>
      <c r="AY1947" s="551"/>
      <c r="AZ1947" s="551"/>
      <c r="BA1947" s="551"/>
      <c r="BB1947" s="551"/>
      <c r="BC1947" s="551"/>
      <c r="BD1947" s="549"/>
      <c r="BE1947" s="550"/>
      <c r="BF1947" s="549"/>
      <c r="BG1947" s="391">
        <f>SUM($AV$1389:AV1947)</f>
        <v>3807.1746957691648</v>
      </c>
      <c r="BH1947" s="392">
        <f>SUM($AU$1389:AU1947)</f>
        <v>52390.687142856506</v>
      </c>
      <c r="BI1947" s="318">
        <f>SUMIFS($AU$1388:AU1948,$Q$1388:Q1948,"F")</f>
        <v>25718.457142857143</v>
      </c>
      <c r="BJ1947" s="318">
        <f>SUMIFS($AU$1388:AU1948,$Q$1388:Q1948,"S")</f>
        <v>23728</v>
      </c>
      <c r="BK1947" s="343">
        <f>SUMIFS($AU$1388:AU1948,$P$1388:P1948,"W")</f>
        <v>36367.637142857486</v>
      </c>
      <c r="BL1947" s="343">
        <f>SUMIFS($AU$1388:AU1948,$P$1388:P1948,"R")</f>
        <v>15325.999999999862</v>
      </c>
      <c r="BM1947" s="343">
        <f>SUMIFS($AU$1388:AU1948,$AQ$1388:AQ1948,"M")</f>
        <v>9109.3799999992098</v>
      </c>
      <c r="BN1947" s="343">
        <f>SUMIFS($AU$1388:AU1948,$AQ$1388:AQ1948,"H")</f>
        <v>17287.200000000284</v>
      </c>
      <c r="BO1947" s="343">
        <f>SUMIFS($AU$1388:AU1948,$AQ$1388:AQ1948,"D")</f>
        <v>14345.507142857021</v>
      </c>
      <c r="BP1947" s="343">
        <f>SUMIFS($AS$1388:AS2714,$AO$1388:AO2714,"W")</f>
        <v>0</v>
      </c>
      <c r="BQ1947" s="343">
        <f>SUMIFS($AU$1388:AU1948,$Q$1388:Q1948,"O")</f>
        <v>2720.2299999993738</v>
      </c>
      <c r="BR1947" s="343">
        <f>SUMIFS($AU$1388:AU1948,$AA$1388:AA1948,"*")</f>
        <v>40129.799999999392</v>
      </c>
      <c r="BS1947" s="343">
        <f>SUMIFS($AU$1388:AU1948,$AB$1388:AB1948,"*")</f>
        <v>11794.829999999794</v>
      </c>
      <c r="BT1947" s="343">
        <f>SUMIFS($AU$1388:AU1948,$AC$1388:AC1948,"*")</f>
        <v>28838.45714285714</v>
      </c>
      <c r="BU1947" s="343">
        <f>SUMIFS($AU$1388:AU1948,$AA$1388:AA1948,"*",$AB$1388:AB1948,"*")</f>
        <v>5807.9999999998217</v>
      </c>
      <c r="BV1947" s="343">
        <f>SUMIFS($AU$1388:AU1948,$AA$1388:AA1948,"*",$AC$1388:AC1948,"*")</f>
        <v>17524.400000000001</v>
      </c>
      <c r="BW1947" s="343">
        <f>SUMIFS($AU$1388:AU1948,$AB$1388:AB1948,"*",$AC$1388:AC1948,"*")</f>
        <v>7119.9999999999982</v>
      </c>
      <c r="BX1947" s="343">
        <f>SUMIFS($AV$1388:AV1948,$Q$1388:Q1948,"F")</f>
        <v>397.90578243515159</v>
      </c>
      <c r="BY1947" s="343">
        <f>SUMIFS($AV$1388:AV1948,$Q$1388:Q1948,"S")</f>
        <v>732.70658000096557</v>
      </c>
      <c r="BZ1947" s="343">
        <f>SUMIFS($AV$1388:AV1948,$Q$1388:Q1948,"O")</f>
        <v>755.22899999970912</v>
      </c>
    </row>
    <row r="1948" spans="1:78" ht="15.75" customHeight="1">
      <c r="A1948" s="177" t="s">
        <v>6310</v>
      </c>
      <c r="B1948" s="200">
        <v>45415</v>
      </c>
      <c r="C1948" s="178" t="s">
        <v>682</v>
      </c>
      <c r="D1948" s="178" t="s">
        <v>111</v>
      </c>
      <c r="E1948" s="227"/>
      <c r="F1948" s="180"/>
      <c r="G1948" s="553" t="s">
        <v>2991</v>
      </c>
      <c r="H1948" s="182"/>
      <c r="I1948" s="182"/>
      <c r="J1948" s="182"/>
      <c r="K1948" s="183"/>
      <c r="L1948" s="182"/>
      <c r="M1948" s="182">
        <v>3</v>
      </c>
      <c r="N1948" s="182"/>
      <c r="O1948" s="183" t="s">
        <v>95</v>
      </c>
      <c r="P1948" s="183" t="s">
        <v>96</v>
      </c>
      <c r="Q1948" s="183" t="s">
        <v>97</v>
      </c>
      <c r="R1948" s="183">
        <v>45</v>
      </c>
      <c r="S1948" s="559">
        <v>15</v>
      </c>
      <c r="T1948" s="183">
        <v>45</v>
      </c>
      <c r="U1948" s="183" t="s">
        <v>22</v>
      </c>
      <c r="V1948" s="183"/>
      <c r="W1948" s="183"/>
      <c r="X1948" s="183"/>
      <c r="Y1948" s="184">
        <f>IF(ISBLANK(O1948),"",(IF(O1948=UPPER("IB"),0.005,0.01)))</f>
        <v>0.01</v>
      </c>
      <c r="Z1948" s="185">
        <f>IF(ISBLANK(O1948),"",IF(O1948="IB",8.63*200,IF(O1948="IR",16*100,IF(O1948="YT",20*100,IF(O1948="YT-XT",24*200,IF(O1948="TED",80*100,IF(O1948="XT",29*200)))))))</f>
        <v>1600</v>
      </c>
      <c r="AA1948" s="185" t="s">
        <v>6346</v>
      </c>
      <c r="AB1948" s="185"/>
      <c r="AC1948" s="185"/>
      <c r="AD1948" s="649">
        <v>-0.14000000000000001</v>
      </c>
      <c r="AE1948" s="182"/>
      <c r="AF1948" s="332"/>
      <c r="AG1948" s="182"/>
      <c r="AH1948" s="182"/>
      <c r="AI1948" s="182"/>
      <c r="AJ1948" s="640"/>
      <c r="AK1948" s="182"/>
      <c r="AL1948" s="496">
        <f t="shared" si="643"/>
        <v>-32</v>
      </c>
      <c r="AM1948" s="496">
        <f t="shared" si="644"/>
        <v>-960</v>
      </c>
      <c r="AN1948" s="626"/>
      <c r="AO1948" s="182"/>
      <c r="AP1948" s="182" t="s">
        <v>967</v>
      </c>
      <c r="AQ1948" s="332" t="s">
        <v>372</v>
      </c>
      <c r="AR1948" s="182" t="s">
        <v>6351</v>
      </c>
      <c r="AS1948" s="189">
        <f>((-0.13*15)+(-0.12*30))/45</f>
        <v>-0.12333333333333332</v>
      </c>
      <c r="AT1948" s="189">
        <f>IF(ISBLANK(AS1948),,IF(U1948="S",AD1948-AS1948,AS1948-AD1948))</f>
        <v>1.6666666666666691E-2</v>
      </c>
      <c r="AU1948" s="187">
        <f>AV1948*R1948</f>
        <v>1200.0000000000018</v>
      </c>
      <c r="AV1948" s="190">
        <f t="shared" si="650"/>
        <v>26.666666666666707</v>
      </c>
      <c r="AW1948" s="191" t="s">
        <v>96</v>
      </c>
      <c r="AX1948" s="551" t="s">
        <v>6348</v>
      </c>
      <c r="AY1948" s="551"/>
      <c r="AZ1948" s="551" t="s">
        <v>1436</v>
      </c>
      <c r="BA1948" s="551" t="s">
        <v>6352</v>
      </c>
      <c r="BB1948" s="551" t="s">
        <v>6353</v>
      </c>
      <c r="BC1948" s="551"/>
      <c r="BD1948" s="549"/>
      <c r="BE1948" s="550"/>
      <c r="BF1948" s="549"/>
      <c r="BG1948" s="391">
        <f>SUM($AV$1389:AV1948)</f>
        <v>3833.8413624358313</v>
      </c>
      <c r="BH1948" s="392">
        <f>SUM($AU$1389:AU1948)</f>
        <v>53590.687142856506</v>
      </c>
      <c r="BI1948" s="318">
        <f>SUMIFS($AU$1388:AU2475,$Q$1388:Q2475,"F")</f>
        <v>27302.758121878131</v>
      </c>
      <c r="BJ1948" s="318">
        <f>SUMIFS($AU$1388:AU2475,$Q$1388:Q2475,"S")</f>
        <v>16018.285714285717</v>
      </c>
      <c r="BK1948" s="343">
        <f>SUMIFS($AU$1388:AU2475,$P$1388:P2475,"W")</f>
        <v>14725.423836163412</v>
      </c>
      <c r="BL1948" s="343">
        <f>SUMIFS($AU$1388:AU2475,$P$1388:P2475,"R")</f>
        <v>20606.800000000316</v>
      </c>
      <c r="BM1948" s="343">
        <f>SUMIFS($AU$1388:AU2475,$AQ$1388:AQ2475,"M")</f>
        <v>9430.1799999983141</v>
      </c>
      <c r="BN1948" s="343">
        <f>SUMIFS($AU$1388:AU2475,$AQ$1388:AQ2475,"H")</f>
        <v>13147.200000000877</v>
      </c>
      <c r="BO1948" s="343">
        <f>SUMIFS($AU$1388:AU2475,$AQ$1388:AQ2475,"D")</f>
        <v>7291.5774725271494</v>
      </c>
      <c r="BP1948" s="343">
        <f>SUMIFS($AS$1388:AS2715,$AO$1388:AO2715,"W")</f>
        <v>0</v>
      </c>
      <c r="BQ1948" s="343">
        <f>SUMIFS($AU$1388:AU2475,$Q$1388:Q2475,"O")</f>
        <v>-9935.1400000008871</v>
      </c>
      <c r="BR1948" s="343">
        <f>SUMIFS($AU$1388:AU2475,$AA$1388:AA2475,"*")</f>
        <v>34559.002077921141</v>
      </c>
      <c r="BS1948" s="343">
        <f>SUMIFS($AU$1388:AU2475,$AB$1388:AB2475,"*")</f>
        <v>7433.8599999997632</v>
      </c>
      <c r="BT1948" s="343">
        <f>SUMIFS($AU$1388:AU2475,$AC$1388:AC2475,"*")</f>
        <v>28192.358121878111</v>
      </c>
      <c r="BU1948" s="343">
        <f>SUMIFS($AU$1388:AU2475,$AA$1388:AA2475,"*",$AB$1388:AB2475,"*")</f>
        <v>7493.9999999995462</v>
      </c>
      <c r="BV1948" s="343">
        <f>SUMIFS($AU$1388:AU2475,$AA$1388:AA2475,"*",$AC$1388:AC2475,"*")</f>
        <v>25997.316363636532</v>
      </c>
      <c r="BW1948" s="343">
        <f>SUMIFS($AU$1388:AU2475,$AB$1388:AB2475,"*",$AC$1388:AC2475,"*")</f>
        <v>3851.199999999998</v>
      </c>
      <c r="BX1948" s="343">
        <f>SUMIFS($AV$1388:AV2475,$Q$1388:Q2475,"F")</f>
        <v>369.34537697889471</v>
      </c>
      <c r="BY1948" s="343">
        <f>SUMIFS($AV$1388:AV2475,$Q$1388:Q2475,"S")</f>
        <v>676.67714277152845</v>
      </c>
      <c r="BZ1948" s="343">
        <f>SUMIFS($AV$1388:AV2475,$Q$1388:Q2475,"O")</f>
        <v>326.96596666624367</v>
      </c>
    </row>
    <row r="1949" spans="1:78" ht="15.75" customHeight="1">
      <c r="A1949" s="177" t="s">
        <v>6310</v>
      </c>
      <c r="B1949" s="200">
        <v>45415</v>
      </c>
      <c r="C1949" s="178" t="s">
        <v>1187</v>
      </c>
      <c r="D1949" s="178" t="s">
        <v>111</v>
      </c>
      <c r="E1949" s="227" t="s">
        <v>6354</v>
      </c>
      <c r="F1949" s="180" t="s">
        <v>6355</v>
      </c>
      <c r="G1949" s="181"/>
      <c r="H1949" s="182"/>
      <c r="I1949" s="182"/>
      <c r="J1949" s="182">
        <v>1</v>
      </c>
      <c r="K1949" s="183" t="s">
        <v>115</v>
      </c>
      <c r="L1949" s="182"/>
      <c r="M1949" s="182"/>
      <c r="N1949" s="182"/>
      <c r="O1949" s="183"/>
      <c r="P1949" s="183"/>
      <c r="Q1949" s="183"/>
      <c r="R1949" s="183"/>
      <c r="S1949" s="183"/>
      <c r="T1949" s="183"/>
      <c r="U1949" s="183"/>
      <c r="V1949" s="183"/>
      <c r="W1949" s="183"/>
      <c r="X1949" s="183"/>
      <c r="Y1949" s="183"/>
      <c r="Z1949" s="183"/>
      <c r="AA1949" s="185"/>
      <c r="AB1949" s="185"/>
      <c r="AC1949" s="185"/>
      <c r="AD1949" s="649"/>
      <c r="AE1949" s="182"/>
      <c r="AF1949" s="332"/>
      <c r="AG1949" s="182"/>
      <c r="AH1949" s="182"/>
      <c r="AI1949" s="182"/>
      <c r="AJ1949" s="640"/>
      <c r="AK1949" s="182"/>
      <c r="AL1949" s="496">
        <f t="shared" si="643"/>
        <v>0</v>
      </c>
      <c r="AM1949" s="496">
        <f t="shared" si="644"/>
        <v>0</v>
      </c>
      <c r="AN1949" s="626"/>
      <c r="AO1949" s="182"/>
      <c r="AP1949" s="182"/>
      <c r="AQ1949" s="332" t="str">
        <f>UPPER(RIGHT(Journal_Live[[#This Row],[DURATION ]]))</f>
        <v/>
      </c>
      <c r="AR1949" s="182"/>
      <c r="AS1949" s="189"/>
      <c r="AT1949" s="189"/>
      <c r="AU1949" s="187"/>
      <c r="AV1949" s="190"/>
      <c r="AW1949" s="191"/>
      <c r="AX1949" s="551"/>
      <c r="AY1949" s="551"/>
      <c r="AZ1949" s="551"/>
      <c r="BA1949" s="551"/>
      <c r="BB1949" s="551"/>
      <c r="BC1949" s="551"/>
      <c r="BD1949" s="549"/>
      <c r="BE1949" s="550"/>
      <c r="BF1949" s="549"/>
      <c r="BG1949" s="391">
        <f>SUM($AV$1389:AV1949)</f>
        <v>3833.8413624358313</v>
      </c>
      <c r="BH1949" s="392">
        <f>SUM($AU$1389:AU1949)</f>
        <v>53590.687142856506</v>
      </c>
      <c r="BI1949" s="318">
        <f>SUMIFS($AU$1388:AU1950,$Q$1388:Q1950,"F")</f>
        <v>25718.457142857143</v>
      </c>
      <c r="BJ1949" s="318">
        <f>SUMIFS($AU$1388:AU1950,$Q$1388:Q1950,"S")</f>
        <v>23728</v>
      </c>
      <c r="BK1949" s="343">
        <f>SUMIFS($AU$1388:AU1950,$P$1388:P1950,"W")</f>
        <v>36367.637142857486</v>
      </c>
      <c r="BL1949" s="343">
        <f>SUMIFS($AU$1388:AU1950,$P$1388:P1950,"R")</f>
        <v>15325.999999999862</v>
      </c>
      <c r="BM1949" s="343">
        <f>SUMIFS($AU$1388:AU1950,$AQ$1388:AQ1950,"M")</f>
        <v>9109.3799999992098</v>
      </c>
      <c r="BN1949" s="343">
        <f>SUMIFS($AU$1388:AU1950,$AQ$1388:AQ1950,"H")</f>
        <v>17287.200000000284</v>
      </c>
      <c r="BO1949" s="343">
        <f>SUMIFS($AU$1388:AU1950,$AQ$1388:AQ1950,"D")</f>
        <v>14345.507142857021</v>
      </c>
      <c r="BP1949" s="343">
        <f>SUMIFS($AS$1388:AS2702,$AO$1388:AO2702,"W")</f>
        <v>0</v>
      </c>
      <c r="BQ1949" s="343">
        <f>SUMIFS($AU$1388:AU1950,$Q$1388:Q1950,"O")</f>
        <v>2720.2299999993738</v>
      </c>
      <c r="BR1949" s="343">
        <f>SUMIFS($AU$1388:AU1950,$AA$1388:AA1950,"*")</f>
        <v>40129.799999999392</v>
      </c>
      <c r="BS1949" s="343">
        <f>SUMIFS($AU$1388:AU1950,$AB$1388:AB1950,"*")</f>
        <v>11794.829999999794</v>
      </c>
      <c r="BT1949" s="343">
        <f>SUMIFS($AU$1388:AU1950,$AC$1388:AC1950,"*")</f>
        <v>28838.45714285714</v>
      </c>
      <c r="BU1949" s="343">
        <f>SUMIFS($AU$1388:AU1950,$AA$1388:AA1950,"*",$AB$1388:AB1950,"*")</f>
        <v>5807.9999999998217</v>
      </c>
      <c r="BV1949" s="343">
        <f>SUMIFS($AU$1388:AU1950,$AA$1388:AA1950,"*",$AC$1388:AC1950,"*")</f>
        <v>17524.400000000001</v>
      </c>
      <c r="BW1949" s="343">
        <f>SUMIFS($AU$1388:AU1950,$AB$1388:AB1950,"*",$AC$1388:AC1950,"*")</f>
        <v>7119.9999999999982</v>
      </c>
      <c r="BX1949" s="343">
        <f>SUMIFS($AV$1388:AV1950,$Q$1388:Q1950,"F")</f>
        <v>397.90578243515159</v>
      </c>
      <c r="BY1949" s="343">
        <f>SUMIFS($AV$1388:AV1950,$Q$1388:Q1950,"S")</f>
        <v>732.70658000096557</v>
      </c>
      <c r="BZ1949" s="343">
        <f>SUMIFS($AV$1388:AV1950,$Q$1388:Q1950,"O")</f>
        <v>755.22899999970912</v>
      </c>
    </row>
    <row r="1950" spans="1:78" ht="15.75" customHeight="1">
      <c r="A1950" s="177" t="s">
        <v>6310</v>
      </c>
      <c r="B1950" s="200"/>
      <c r="C1950" s="178"/>
      <c r="D1950" s="178"/>
      <c r="E1950" s="227" t="s">
        <v>6356</v>
      </c>
      <c r="F1950" s="180" t="s">
        <v>6357</v>
      </c>
      <c r="G1950" s="181"/>
      <c r="H1950" s="182">
        <v>1</v>
      </c>
      <c r="I1950" s="182"/>
      <c r="J1950" s="182"/>
      <c r="K1950" s="183" t="s">
        <v>372</v>
      </c>
      <c r="L1950" s="182"/>
      <c r="M1950" s="182"/>
      <c r="N1950" s="182"/>
      <c r="O1950" s="183"/>
      <c r="P1950" s="183"/>
      <c r="Q1950" s="183"/>
      <c r="R1950" s="183"/>
      <c r="S1950" s="183"/>
      <c r="T1950" s="183"/>
      <c r="U1950" s="183"/>
      <c r="V1950" s="183"/>
      <c r="W1950" s="183"/>
      <c r="X1950" s="183"/>
      <c r="Y1950" s="183"/>
      <c r="Z1950" s="183"/>
      <c r="AA1950" s="185"/>
      <c r="AB1950" s="185"/>
      <c r="AC1950" s="185"/>
      <c r="AD1950" s="649"/>
      <c r="AE1950" s="182"/>
      <c r="AF1950" s="332"/>
      <c r="AG1950" s="182"/>
      <c r="AH1950" s="182"/>
      <c r="AI1950" s="182"/>
      <c r="AJ1950" s="640"/>
      <c r="AK1950" s="182"/>
      <c r="AL1950" s="496">
        <f t="shared" si="643"/>
        <v>0</v>
      </c>
      <c r="AM1950" s="496">
        <f t="shared" si="644"/>
        <v>0</v>
      </c>
      <c r="AN1950" s="626"/>
      <c r="AO1950" s="182"/>
      <c r="AP1950" s="182"/>
      <c r="AQ1950" s="332" t="str">
        <f>UPPER(RIGHT(Journal_Live[[#This Row],[DURATION ]]))</f>
        <v/>
      </c>
      <c r="AR1950" s="182"/>
      <c r="AS1950" s="189"/>
      <c r="AT1950" s="189"/>
      <c r="AU1950" s="187"/>
      <c r="AV1950" s="190"/>
      <c r="AW1950" s="191"/>
      <c r="AX1950" s="551" t="s">
        <v>6358</v>
      </c>
      <c r="AY1950" s="551" t="s">
        <v>6359</v>
      </c>
      <c r="AZ1950" s="551" t="s">
        <v>6360</v>
      </c>
      <c r="BA1950" s="551" t="s">
        <v>6361</v>
      </c>
      <c r="BB1950" s="551" t="s">
        <v>6362</v>
      </c>
      <c r="BC1950" s="551" t="s">
        <v>6363</v>
      </c>
      <c r="BD1950" s="549"/>
      <c r="BE1950" s="550"/>
      <c r="BF1950" s="549"/>
      <c r="BG1950" s="391">
        <f>SUM($AV$1389:AV1950)</f>
        <v>3833.8413624358313</v>
      </c>
      <c r="BH1950" s="392">
        <f>SUM($AU$1389:AU1950)</f>
        <v>53590.687142856506</v>
      </c>
      <c r="BI1950" s="318">
        <f>SUMIFS($AU$1388:AU1951,$Q$1388:Q1951,"F")</f>
        <v>25718.457142857143</v>
      </c>
      <c r="BJ1950" s="318">
        <f>SUMIFS($AU$1388:AU1951,$Q$1388:Q1951,"S")</f>
        <v>23728</v>
      </c>
      <c r="BK1950" s="343">
        <f>SUMIFS($AU$1388:AU1951,$P$1388:P1951,"W")</f>
        <v>36367.637142857486</v>
      </c>
      <c r="BL1950" s="343">
        <f>SUMIFS($AU$1388:AU1951,$P$1388:P1951,"R")</f>
        <v>15325.999999999862</v>
      </c>
      <c r="BM1950" s="343">
        <f>SUMIFS($AU$1388:AU1951,$AQ$1388:AQ1951,"M")</f>
        <v>8993.3799999992334</v>
      </c>
      <c r="BN1950" s="343">
        <f>SUMIFS($AU$1388:AU1951,$AQ$1388:AQ1951,"H")</f>
        <v>17287.200000000284</v>
      </c>
      <c r="BO1950" s="343">
        <f>SUMIFS($AU$1388:AU1951,$AQ$1388:AQ1951,"D")</f>
        <v>14345.507142857021</v>
      </c>
      <c r="BP1950" s="343">
        <f>SUMIFS($AS$1388:AS2703,$AO$1388:AO2703,"W")</f>
        <v>0</v>
      </c>
      <c r="BQ1950" s="343">
        <f>SUMIFS($AU$1388:AU1951,$Q$1388:Q1951,"O")</f>
        <v>2604.229999999397</v>
      </c>
      <c r="BR1950" s="343">
        <f>SUMIFS($AU$1388:AU1951,$AA$1388:AA1951,"*")</f>
        <v>40013.799999999414</v>
      </c>
      <c r="BS1950" s="343">
        <f>SUMIFS($AU$1388:AU1951,$AB$1388:AB1951,"*")</f>
        <v>11794.829999999794</v>
      </c>
      <c r="BT1950" s="343">
        <f>SUMIFS($AU$1388:AU1951,$AC$1388:AC1951,"*")</f>
        <v>28838.45714285714</v>
      </c>
      <c r="BU1950" s="343">
        <f>SUMIFS($AU$1388:AU1951,$AA$1388:AA1951,"*",$AB$1388:AB1951,"*")</f>
        <v>5807.9999999998217</v>
      </c>
      <c r="BV1950" s="343">
        <f>SUMIFS($AU$1388:AU1951,$AA$1388:AA1951,"*",$AC$1388:AC1951,"*")</f>
        <v>17524.400000000001</v>
      </c>
      <c r="BW1950" s="343">
        <f>SUMIFS($AU$1388:AU1951,$AB$1388:AB1951,"*",$AC$1388:AC1951,"*")</f>
        <v>7119.9999999999982</v>
      </c>
      <c r="BX1950" s="343">
        <f>SUMIFS($AV$1388:AV1951,$Q$1388:Q1951,"F")</f>
        <v>397.90578243515159</v>
      </c>
      <c r="BY1950" s="343">
        <f>SUMIFS($AV$1388:AV1951,$Q$1388:Q1951,"S")</f>
        <v>732.70658000096557</v>
      </c>
      <c r="BZ1950" s="343">
        <f>SUMIFS($AV$1388:AV1951,$Q$1388:Q1951,"O")</f>
        <v>639.2289999997322</v>
      </c>
    </row>
    <row r="1951" spans="1:78" ht="15.75" customHeight="1">
      <c r="A1951" s="177" t="s">
        <v>6310</v>
      </c>
      <c r="B1951" s="200">
        <v>45415</v>
      </c>
      <c r="C1951" s="178" t="s">
        <v>682</v>
      </c>
      <c r="D1951" s="178" t="s">
        <v>111</v>
      </c>
      <c r="E1951" s="227"/>
      <c r="F1951" s="180"/>
      <c r="G1951" s="181" t="s">
        <v>5723</v>
      </c>
      <c r="H1951" s="182"/>
      <c r="I1951" s="182"/>
      <c r="J1951" s="182"/>
      <c r="K1951" s="183"/>
      <c r="L1951" s="182">
        <v>3</v>
      </c>
      <c r="M1951" s="182"/>
      <c r="N1951" s="182"/>
      <c r="O1951" s="183" t="s">
        <v>3618</v>
      </c>
      <c r="P1951" s="183" t="s">
        <v>2260</v>
      </c>
      <c r="Q1951" s="183" t="s">
        <v>684</v>
      </c>
      <c r="R1951" s="183">
        <v>1</v>
      </c>
      <c r="S1951" s="183">
        <v>0</v>
      </c>
      <c r="T1951" s="183">
        <v>1</v>
      </c>
      <c r="U1951" s="183" t="s">
        <v>22</v>
      </c>
      <c r="V1951" s="183"/>
      <c r="W1951" s="183"/>
      <c r="X1951" s="183"/>
      <c r="Y1951" s="184">
        <f>IF(ISBLANK(O1951),"",(IF(O1951=UPPER("IB"),0.005,0.01)))</f>
        <v>0.01</v>
      </c>
      <c r="Z1951" s="185">
        <f>IF(ISBLANK(O1951),"",IF(O1951="IB",8.63*200,IF(O1951="IR",16*100,IF(O1951="YT",20*100,IF(O1951="YT-XT",24*200,IF(O1951="TED",80*100,IF(O1951="XT",29*200)))))))</f>
        <v>5800</v>
      </c>
      <c r="AA1951" s="185" t="s">
        <v>5476</v>
      </c>
      <c r="AB1951" s="185"/>
      <c r="AC1951" s="185"/>
      <c r="AD1951" s="649">
        <v>95.625</v>
      </c>
      <c r="AE1951" s="182"/>
      <c r="AF1951" s="332"/>
      <c r="AG1951" s="182"/>
      <c r="AH1951" s="182"/>
      <c r="AI1951" s="182"/>
      <c r="AJ1951" s="640"/>
      <c r="AK1951" s="182"/>
      <c r="AL1951" s="496">
        <f t="shared" si="643"/>
        <v>-116</v>
      </c>
      <c r="AM1951" s="496">
        <f t="shared" si="644"/>
        <v>-116</v>
      </c>
      <c r="AN1951" s="626"/>
      <c r="AO1951" s="182"/>
      <c r="AP1951" s="182"/>
      <c r="AQ1951" s="332" t="s">
        <v>1259</v>
      </c>
      <c r="AR1951" s="182"/>
      <c r="AS1951" s="189">
        <v>95.605000000000004</v>
      </c>
      <c r="AT1951" s="189">
        <f>IF(ISBLANK(AS1951),,IF(U1951="S",AD1951-AS1951,AS1951-AD1951))</f>
        <v>-1.9999999999996021E-2</v>
      </c>
      <c r="AU1951" s="187">
        <f>AV1951*R1951</f>
        <v>-115.99999999997692</v>
      </c>
      <c r="AV1951" s="190">
        <f t="shared" ref="AV1951" si="651">IF(ISBLANK(AS1951),,(AT1951*Z1951))</f>
        <v>-115.99999999997692</v>
      </c>
      <c r="AW1951" s="191" t="s">
        <v>229</v>
      </c>
      <c r="AX1951" s="551"/>
      <c r="AY1951" s="551"/>
      <c r="AZ1951" s="551"/>
      <c r="BA1951" s="551"/>
      <c r="BB1951" s="551"/>
      <c r="BC1951" s="551"/>
      <c r="BD1951" s="549"/>
      <c r="BE1951" s="550"/>
      <c r="BF1951" s="549"/>
      <c r="BG1951" s="391">
        <f>SUM($AV$1389:AV1951)</f>
        <v>3717.8413624358545</v>
      </c>
      <c r="BH1951" s="392">
        <f>SUM($AU$1389:AU1951)</f>
        <v>53474.687142856528</v>
      </c>
      <c r="BI1951" s="318">
        <f>SUMIFS($AU$1388:AU1952,$Q$1388:Q1952,"F")</f>
        <v>25718.457142857143</v>
      </c>
      <c r="BJ1951" s="318">
        <f>SUMIFS($AU$1388:AU1952,$Q$1388:Q1952,"S")</f>
        <v>23728</v>
      </c>
      <c r="BK1951" s="343">
        <f>SUMIFS($AU$1388:AU1952,$P$1388:P1952,"W")</f>
        <v>36367.637142857486</v>
      </c>
      <c r="BL1951" s="343">
        <f>SUMIFS($AU$1388:AU1952,$P$1388:P1952,"R")</f>
        <v>15325.999999999862</v>
      </c>
      <c r="BM1951" s="343">
        <f>SUMIFS($AU$1388:AU1952,$AQ$1388:AQ1952,"M")</f>
        <v>8993.3799999992334</v>
      </c>
      <c r="BN1951" s="343">
        <f>SUMIFS($AU$1388:AU1952,$AQ$1388:AQ1952,"H")</f>
        <v>17287.200000000284</v>
      </c>
      <c r="BO1951" s="343">
        <f>SUMIFS($AU$1388:AU1952,$AQ$1388:AQ1952,"D")</f>
        <v>14345.507142857021</v>
      </c>
      <c r="BP1951" s="343">
        <f>SUMIFS($AS$1388:AS2704,$AO$1388:AO2704,"W")</f>
        <v>0</v>
      </c>
      <c r="BQ1951" s="343">
        <f>SUMIFS($AU$1388:AU1952,$Q$1388:Q1952,"O")</f>
        <v>2604.229999999397</v>
      </c>
      <c r="BR1951" s="343">
        <f>SUMIFS($AU$1388:AU1952,$AA$1388:AA1952,"*")</f>
        <v>40013.799999999414</v>
      </c>
      <c r="BS1951" s="343">
        <f>SUMIFS($AU$1388:AU1952,$AB$1388:AB1952,"*")</f>
        <v>11794.829999999794</v>
      </c>
      <c r="BT1951" s="343">
        <f>SUMIFS($AU$1388:AU1952,$AC$1388:AC1952,"*")</f>
        <v>28838.45714285714</v>
      </c>
      <c r="BU1951" s="343">
        <f>SUMIFS($AU$1388:AU1952,$AA$1388:AA1952,"*",$AB$1388:AB1952,"*")</f>
        <v>5807.9999999998217</v>
      </c>
      <c r="BV1951" s="343">
        <f>SUMIFS($AU$1388:AU1952,$AA$1388:AA1952,"*",$AC$1388:AC1952,"*")</f>
        <v>17524.400000000001</v>
      </c>
      <c r="BW1951" s="343">
        <f>SUMIFS($AU$1388:AU1952,$AB$1388:AB1952,"*",$AC$1388:AC1952,"*")</f>
        <v>7119.9999999999982</v>
      </c>
      <c r="BX1951" s="343">
        <f>SUMIFS($AV$1388:AV1952,$Q$1388:Q1952,"F")</f>
        <v>397.90578243515159</v>
      </c>
      <c r="BY1951" s="343">
        <f>SUMIFS($AV$1388:AV1952,$Q$1388:Q1952,"S")</f>
        <v>732.70658000096557</v>
      </c>
      <c r="BZ1951" s="343">
        <f>SUMIFS($AV$1388:AV1952,$Q$1388:Q1952,"O")</f>
        <v>639.2289999997322</v>
      </c>
    </row>
    <row r="1952" spans="1:78" ht="15.75" customHeight="1">
      <c r="A1952" s="177" t="s">
        <v>6310</v>
      </c>
      <c r="B1952" s="200"/>
      <c r="C1952" s="178"/>
      <c r="D1952" s="178"/>
      <c r="E1952" s="227"/>
      <c r="F1952" s="180"/>
      <c r="G1952" s="181"/>
      <c r="H1952" s="182"/>
      <c r="I1952" s="182"/>
      <c r="J1952" s="182"/>
      <c r="K1952" s="183"/>
      <c r="L1952" s="182"/>
      <c r="M1952" s="182"/>
      <c r="N1952" s="182"/>
      <c r="O1952" s="183"/>
      <c r="P1952" s="183"/>
      <c r="Q1952" s="183"/>
      <c r="R1952" s="183"/>
      <c r="S1952" s="559"/>
      <c r="T1952" s="183"/>
      <c r="U1952" s="183"/>
      <c r="V1952" s="183"/>
      <c r="W1952" s="183"/>
      <c r="X1952" s="183"/>
      <c r="Y1952" s="184"/>
      <c r="Z1952" s="185"/>
      <c r="AA1952" s="185"/>
      <c r="AB1952" s="185"/>
      <c r="AC1952" s="185"/>
      <c r="AD1952" s="649"/>
      <c r="AE1952" s="182"/>
      <c r="AF1952" s="332"/>
      <c r="AG1952" s="182"/>
      <c r="AH1952" s="182"/>
      <c r="AI1952" s="182"/>
      <c r="AJ1952" s="640"/>
      <c r="AK1952" s="182"/>
      <c r="AL1952" s="496"/>
      <c r="AM1952" s="496"/>
      <c r="AN1952" s="626"/>
      <c r="AO1952" s="182"/>
      <c r="AP1952" s="182"/>
      <c r="AQ1952" s="332"/>
      <c r="AR1952" s="298"/>
      <c r="AS1952" s="189"/>
      <c r="AT1952" s="189"/>
      <c r="AU1952" s="187"/>
      <c r="AV1952" s="190"/>
      <c r="AW1952" s="191"/>
      <c r="AX1952" s="551" t="s">
        <v>6364</v>
      </c>
      <c r="AY1952" s="227" t="s">
        <v>6365</v>
      </c>
      <c r="AZ1952" s="180" t="s">
        <v>5299</v>
      </c>
      <c r="BA1952" s="551" t="s">
        <v>6366</v>
      </c>
      <c r="BB1952" s="551" t="s">
        <v>6367</v>
      </c>
      <c r="BC1952" s="551" t="s">
        <v>6368</v>
      </c>
      <c r="BD1952" s="549" t="s">
        <v>6369</v>
      </c>
      <c r="BE1952" s="550" t="s">
        <v>6370</v>
      </c>
      <c r="BF1952" s="549"/>
      <c r="BG1952" s="391">
        <f>SUM($AV$1389:AV1952)</f>
        <v>3717.8413624358545</v>
      </c>
      <c r="BH1952" s="392">
        <f>SUM($AU$1389:AU1952)</f>
        <v>53474.687142856528</v>
      </c>
      <c r="BI1952" s="318">
        <f>SUMIFS($AU$1388:AU1953,$Q$1388:Q1953,"F")</f>
        <v>25718.457142857143</v>
      </c>
      <c r="BJ1952" s="318">
        <f>SUMIFS($AU$1388:AU1953,$Q$1388:Q1953,"S")</f>
        <v>23728</v>
      </c>
      <c r="BK1952" s="343">
        <f>SUMIFS($AU$1388:AU1953,$P$1388:P1953,"W")</f>
        <v>36367.637142857486</v>
      </c>
      <c r="BL1952" s="343">
        <f>SUMIFS($AU$1388:AU1953,$P$1388:P1953,"R")</f>
        <v>15325.999999999862</v>
      </c>
      <c r="BM1952" s="343">
        <f>SUMIFS($AU$1388:AU1953,$AQ$1388:AQ1953,"M")</f>
        <v>8993.3799999992334</v>
      </c>
      <c r="BN1952" s="343">
        <f>SUMIFS($AU$1388:AU1953,$AQ$1388:AQ1953,"H")</f>
        <v>17287.200000000284</v>
      </c>
      <c r="BO1952" s="343">
        <f>SUMIFS($AU$1388:AU1953,$AQ$1388:AQ1953,"D")</f>
        <v>14345.507142857021</v>
      </c>
      <c r="BP1952" s="343">
        <f>SUMIFS($AS$1388:AS2724,$AO$1388:AO2724,"W")</f>
        <v>0</v>
      </c>
      <c r="BQ1952" s="343">
        <f>SUMIFS($AU$1388:AU1953,$Q$1388:Q1953,"O")</f>
        <v>2604.229999999397</v>
      </c>
      <c r="BR1952" s="343">
        <f>SUMIFS($AU$1388:AU1953,$AA$1388:AA1953,"*")</f>
        <v>40013.799999999414</v>
      </c>
      <c r="BS1952" s="343">
        <f>SUMIFS($AU$1388:AU1953,$AB$1388:AB1953,"*")</f>
        <v>11794.829999999794</v>
      </c>
      <c r="BT1952" s="343">
        <f>SUMIFS($AU$1388:AU1953,$AC$1388:AC1953,"*")</f>
        <v>28838.45714285714</v>
      </c>
      <c r="BU1952" s="343">
        <f>SUMIFS($AU$1388:AU1953,$AA$1388:AA1953,"*",$AB$1388:AB1953,"*")</f>
        <v>5807.9999999998217</v>
      </c>
      <c r="BV1952" s="343">
        <f>SUMIFS($AU$1388:AU1953,$AA$1388:AA1953,"*",$AC$1388:AC1953,"*")</f>
        <v>17524.400000000001</v>
      </c>
      <c r="BW1952" s="343">
        <f>SUMIFS($AU$1388:AU1953,$AB$1388:AB1953,"*",$AC$1388:AC1953,"*")</f>
        <v>7119.9999999999982</v>
      </c>
      <c r="BX1952" s="343">
        <f>SUMIFS($AV$1388:AV1953,$Q$1388:Q1953,"F")</f>
        <v>397.90578243515159</v>
      </c>
      <c r="BY1952" s="343">
        <f>SUMIFS($AV$1388:AV1953,$Q$1388:Q1953,"S")</f>
        <v>732.70658000096557</v>
      </c>
      <c r="BZ1952" s="343">
        <f>SUMIFS($AV$1388:AV1953,$Q$1388:Q1953,"O")</f>
        <v>639.2289999997322</v>
      </c>
    </row>
    <row r="1953" spans="1:78" ht="15.75" customHeight="1">
      <c r="A1953" s="177" t="s">
        <v>6310</v>
      </c>
      <c r="B1953" s="200">
        <v>45418</v>
      </c>
      <c r="C1953" s="178" t="s">
        <v>3484</v>
      </c>
      <c r="D1953" s="178" t="s">
        <v>132</v>
      </c>
      <c r="E1953" s="227"/>
      <c r="F1953" s="180"/>
      <c r="G1953" s="181" t="s">
        <v>2942</v>
      </c>
      <c r="H1953" s="182"/>
      <c r="I1953" s="182"/>
      <c r="J1953" s="182"/>
      <c r="K1953" s="183"/>
      <c r="L1953" s="182"/>
      <c r="M1953" s="182"/>
      <c r="N1953" s="182"/>
      <c r="O1953" s="183"/>
      <c r="P1953" s="183"/>
      <c r="Q1953" s="183"/>
      <c r="R1953" s="183"/>
      <c r="S1953" s="559"/>
      <c r="T1953" s="183"/>
      <c r="U1953" s="183"/>
      <c r="V1953" s="183"/>
      <c r="W1953" s="183"/>
      <c r="X1953" s="183"/>
      <c r="Y1953" s="184"/>
      <c r="Z1953" s="185"/>
      <c r="AA1953" s="185"/>
      <c r="AB1953" s="185"/>
      <c r="AC1953" s="185"/>
      <c r="AD1953" s="649"/>
      <c r="AE1953" s="182"/>
      <c r="AF1953" s="332"/>
      <c r="AG1953" s="182"/>
      <c r="AH1953" s="182"/>
      <c r="AI1953" s="182"/>
      <c r="AJ1953" s="640"/>
      <c r="AK1953" s="182"/>
      <c r="AL1953" s="496">
        <f t="shared" si="643"/>
        <v>0</v>
      </c>
      <c r="AM1953" s="496">
        <f t="shared" ref="AM1953:AM1984" si="652">AL1953*(R1953-S1953)</f>
        <v>0</v>
      </c>
      <c r="AN1953" s="626"/>
      <c r="AO1953" s="182"/>
      <c r="AP1953" s="182"/>
      <c r="AQ1953" s="332" t="str">
        <f>UPPER(RIGHT(Journal_Live[[#This Row],[DURATION ]]))</f>
        <v/>
      </c>
      <c r="AR1953" s="182"/>
      <c r="AS1953" s="189"/>
      <c r="AT1953" s="189"/>
      <c r="AU1953" s="187"/>
      <c r="AV1953" s="190"/>
      <c r="AW1953" s="191"/>
      <c r="AX1953" s="551"/>
      <c r="AY1953" s="551"/>
      <c r="AZ1953" s="551"/>
      <c r="BA1953" s="551"/>
      <c r="BB1953" s="551"/>
      <c r="BC1953" s="551"/>
      <c r="BD1953" s="549"/>
      <c r="BE1953" s="550"/>
      <c r="BF1953" s="549"/>
      <c r="BG1953" s="391">
        <f>SUM($AV$1389:AV1953)</f>
        <v>3717.8413624358545</v>
      </c>
      <c r="BH1953" s="392">
        <f>SUM($AU$1389:AU1953)</f>
        <v>53474.687142856528</v>
      </c>
      <c r="BI1953" s="318">
        <f>SUMIFS($AU$1388:AU1954,$Q$1388:Q1954,"F")</f>
        <v>25718.457142857143</v>
      </c>
      <c r="BJ1953" s="318">
        <f>SUMIFS($AU$1388:AU1954,$Q$1388:Q1954,"S")</f>
        <v>23344</v>
      </c>
      <c r="BK1953" s="343">
        <f>SUMIFS($AU$1388:AU1954,$P$1388:P1954,"W")</f>
        <v>35983.637142857486</v>
      </c>
      <c r="BL1953" s="343">
        <f>SUMIFS($AU$1388:AU1954,$P$1388:P1954,"R")</f>
        <v>15325.999999999862</v>
      </c>
      <c r="BM1953" s="343">
        <f>SUMIFS($AU$1388:AU1954,$AQ$1388:AQ1954,"M")</f>
        <v>8993.3799999992334</v>
      </c>
      <c r="BN1953" s="343">
        <f>SUMIFS($AU$1388:AU1954,$AQ$1388:AQ1954,"H")</f>
        <v>17287.200000000284</v>
      </c>
      <c r="BO1953" s="343">
        <f>SUMIFS($AU$1388:AU1954,$AQ$1388:AQ1954,"D")</f>
        <v>13961.507142857021</v>
      </c>
      <c r="BP1953" s="343">
        <f>SUMIFS($AS$1388:AS2706,$AO$1388:AO2706,"W")</f>
        <v>0</v>
      </c>
      <c r="BQ1953" s="343">
        <f>SUMIFS($AU$1388:AU1954,$Q$1388:Q1954,"O")</f>
        <v>2604.229999999397</v>
      </c>
      <c r="BR1953" s="343">
        <f>SUMIFS($AU$1388:AU1954,$AA$1388:AA1954,"*")</f>
        <v>39629.799999999414</v>
      </c>
      <c r="BS1953" s="343">
        <f>SUMIFS($AU$1388:AU1954,$AB$1388:AB1954,"*")</f>
        <v>11410.829999999794</v>
      </c>
      <c r="BT1953" s="343">
        <f>SUMIFS($AU$1388:AU1954,$AC$1388:AC1954,"*")</f>
        <v>28838.45714285714</v>
      </c>
      <c r="BU1953" s="343">
        <f>SUMIFS($AU$1388:AU1954,$AA$1388:AA1954,"*",$AB$1388:AB1954,"*")</f>
        <v>5423.9999999998217</v>
      </c>
      <c r="BV1953" s="343">
        <f>SUMIFS($AU$1388:AU1954,$AA$1388:AA1954,"*",$AC$1388:AC1954,"*")</f>
        <v>17524.400000000001</v>
      </c>
      <c r="BW1953" s="343">
        <f>SUMIFS($AU$1388:AU1954,$AB$1388:AB1954,"*",$AC$1388:AC1954,"*")</f>
        <v>7119.9999999999982</v>
      </c>
      <c r="BX1953" s="343">
        <f>SUMIFS($AV$1388:AV1954,$Q$1388:Q1954,"F")</f>
        <v>397.90578243515159</v>
      </c>
      <c r="BY1953" s="343">
        <f>SUMIFS($AV$1388:AV1954,$Q$1388:Q1954,"S")</f>
        <v>700.70658000096557</v>
      </c>
      <c r="BZ1953" s="343">
        <f>SUMIFS($AV$1388:AV1954,$Q$1388:Q1954,"O")</f>
        <v>639.2289999997322</v>
      </c>
    </row>
    <row r="1954" spans="1:78" ht="15.75" customHeight="1">
      <c r="A1954" s="177" t="s">
        <v>6310</v>
      </c>
      <c r="B1954" s="200">
        <v>45418</v>
      </c>
      <c r="C1954" s="178" t="s">
        <v>6371</v>
      </c>
      <c r="D1954" s="178" t="s">
        <v>132</v>
      </c>
      <c r="E1954" s="227"/>
      <c r="F1954" s="180"/>
      <c r="G1954" s="553" t="s">
        <v>3990</v>
      </c>
      <c r="H1954" s="182"/>
      <c r="I1954" s="182"/>
      <c r="J1954" s="182"/>
      <c r="K1954" s="183"/>
      <c r="L1954" s="182">
        <v>1</v>
      </c>
      <c r="M1954" s="182"/>
      <c r="N1954" s="182"/>
      <c r="O1954" s="183" t="s">
        <v>95</v>
      </c>
      <c r="P1954" s="183" t="s">
        <v>96</v>
      </c>
      <c r="Q1954" s="183" t="s">
        <v>97</v>
      </c>
      <c r="R1954" s="183">
        <v>12</v>
      </c>
      <c r="S1954" s="559">
        <v>0</v>
      </c>
      <c r="T1954" s="183">
        <v>10</v>
      </c>
      <c r="U1954" s="183" t="s">
        <v>22</v>
      </c>
      <c r="V1954" s="183"/>
      <c r="W1954" s="183"/>
      <c r="X1954" s="183"/>
      <c r="Y1954" s="184">
        <f>IF(ISBLANK(O1954),"",(IF(O1954=UPPER("IB"),0.005,0.01)))</f>
        <v>0.01</v>
      </c>
      <c r="Z1954" s="185">
        <f>IF(ISBLANK(O1954),"",IF(O1954="IB",8.63*200,IF(O1954="IR",16*100,IF(O1954="YT",20*100,IF(O1954="YT-XT",24*200,IF(O1954="TED",80*100,IF(O1954="XT",29*200)))))))</f>
        <v>1600</v>
      </c>
      <c r="AA1954" s="185" t="s">
        <v>739</v>
      </c>
      <c r="AB1954" s="185" t="s">
        <v>6372</v>
      </c>
      <c r="AC1954" s="185"/>
      <c r="AD1954" s="649">
        <v>0.02</v>
      </c>
      <c r="AE1954" s="182"/>
      <c r="AF1954" s="332"/>
      <c r="AG1954" s="182"/>
      <c r="AH1954" s="182"/>
      <c r="AI1954" s="182"/>
      <c r="AJ1954" s="640"/>
      <c r="AK1954" s="182"/>
      <c r="AL1954" s="496">
        <f t="shared" si="643"/>
        <v>-32</v>
      </c>
      <c r="AM1954" s="496">
        <f t="shared" si="652"/>
        <v>-384</v>
      </c>
      <c r="AN1954" s="626"/>
      <c r="AO1954" s="182"/>
      <c r="AP1954" s="182" t="s">
        <v>804</v>
      </c>
      <c r="AQ1954" s="332" t="s">
        <v>115</v>
      </c>
      <c r="AR1954" s="298">
        <v>45419</v>
      </c>
      <c r="AS1954" s="189">
        <v>0</v>
      </c>
      <c r="AT1954" s="189">
        <f>IF(ISBLANK(AS1954),,IF(U1954="S",AD1954-AS1954,AS1954-AD1954))</f>
        <v>-0.02</v>
      </c>
      <c r="AU1954" s="187">
        <f>AV1954*R1954</f>
        <v>-384</v>
      </c>
      <c r="AV1954" s="190">
        <f t="shared" ref="AV1954" si="653">IF(ISBLANK(AS1954),,(AT1954*Z1954))</f>
        <v>-32</v>
      </c>
      <c r="AW1954" s="191" t="s">
        <v>229</v>
      </c>
      <c r="AX1954" s="551"/>
      <c r="AY1954" s="551"/>
      <c r="AZ1954" s="551"/>
      <c r="BA1954" s="551"/>
      <c r="BB1954" s="551"/>
      <c r="BC1954" s="551"/>
      <c r="BD1954" s="549"/>
      <c r="BE1954" s="550"/>
      <c r="BF1954" s="549"/>
      <c r="BG1954" s="391">
        <f>SUM($AV$1389:AV1954)</f>
        <v>3685.8413624358545</v>
      </c>
      <c r="BH1954" s="392">
        <f>SUM($AU$1389:AU1954)</f>
        <v>53090.687142856528</v>
      </c>
      <c r="BI1954" s="318">
        <f>SUMIFS($AU$1388:AU1955,$Q$1388:Q1955,"F")</f>
        <v>23922.093506493507</v>
      </c>
      <c r="BJ1954" s="318">
        <f>SUMIFS($AU$1388:AU1955,$Q$1388:Q1955,"S")</f>
        <v>23344</v>
      </c>
      <c r="BK1954" s="343">
        <f>SUMIFS($AU$1388:AU1955,$P$1388:P1955,"W")</f>
        <v>34187.273506493846</v>
      </c>
      <c r="BL1954" s="343">
        <f>SUMIFS($AU$1388:AU1955,$P$1388:P1955,"R")</f>
        <v>15325.999999999862</v>
      </c>
      <c r="BM1954" s="343">
        <f>SUMIFS($AU$1388:AU1955,$AQ$1388:AQ1955,"M")</f>
        <v>8993.3799999992334</v>
      </c>
      <c r="BN1954" s="343">
        <f>SUMIFS($AU$1388:AU1955,$AQ$1388:AQ1955,"H")</f>
        <v>17287.200000000284</v>
      </c>
      <c r="BO1954" s="343">
        <f>SUMIFS($AU$1388:AU1955,$AQ$1388:AQ1955,"D")</f>
        <v>13961.507142857021</v>
      </c>
      <c r="BP1954" s="343">
        <f>SUMIFS($AS$1388:AS2707,$AO$1388:AO2707,"W")</f>
        <v>0</v>
      </c>
      <c r="BQ1954" s="343">
        <f>SUMIFS($AU$1388:AU1955,$Q$1388:Q1955,"O")</f>
        <v>2604.229999999397</v>
      </c>
      <c r="BR1954" s="343">
        <f>SUMIFS($AU$1388:AU1955,$AA$1388:AA1955,"*")</f>
        <v>37833.436363635774</v>
      </c>
      <c r="BS1954" s="343">
        <f>SUMIFS($AU$1388:AU1955,$AB$1388:AB1955,"*")</f>
        <v>11410.829999999794</v>
      </c>
      <c r="BT1954" s="343">
        <f>SUMIFS($AU$1388:AU1955,$AC$1388:AC1955,"*")</f>
        <v>27042.093506493504</v>
      </c>
      <c r="BU1954" s="343">
        <f>SUMIFS($AU$1388:AU1955,$AA$1388:AA1955,"*",$AB$1388:AB1955,"*")</f>
        <v>5423.9999999998217</v>
      </c>
      <c r="BV1954" s="343">
        <f>SUMIFS($AU$1388:AU1955,$AA$1388:AA1955,"*",$AC$1388:AC1955,"*")</f>
        <v>15728.036363636365</v>
      </c>
      <c r="BW1954" s="343">
        <f>SUMIFS($AU$1388:AU1955,$AB$1388:AB1955,"*",$AC$1388:AC1955,"*")</f>
        <v>7119.9999999999982</v>
      </c>
      <c r="BX1954" s="343">
        <f>SUMIFS($AV$1388:AV1955,$Q$1388:Q1955,"F")</f>
        <v>367.96638849575766</v>
      </c>
      <c r="BY1954" s="343">
        <f>SUMIFS($AV$1388:AV1955,$Q$1388:Q1955,"S")</f>
        <v>700.70658000096557</v>
      </c>
      <c r="BZ1954" s="343">
        <f>SUMIFS($AV$1388:AV1955,$Q$1388:Q1955,"O")</f>
        <v>639.2289999997322</v>
      </c>
    </row>
    <row r="1955" spans="1:78" ht="15.75" customHeight="1">
      <c r="A1955" s="177" t="s">
        <v>6310</v>
      </c>
      <c r="B1955" s="200">
        <v>45419</v>
      </c>
      <c r="C1955" s="178" t="s">
        <v>3345</v>
      </c>
      <c r="D1955" s="178" t="s">
        <v>146</v>
      </c>
      <c r="E1955" s="227"/>
      <c r="F1955" s="180"/>
      <c r="G1955" s="489" t="s">
        <v>5109</v>
      </c>
      <c r="H1955" s="182"/>
      <c r="I1955" s="182"/>
      <c r="J1955" s="182"/>
      <c r="K1955" s="183"/>
      <c r="L1955" s="182"/>
      <c r="M1955" s="182">
        <v>2</v>
      </c>
      <c r="N1955" s="182"/>
      <c r="O1955" s="183" t="s">
        <v>95</v>
      </c>
      <c r="P1955" s="183" t="s">
        <v>96</v>
      </c>
      <c r="Q1955" s="183" t="s">
        <v>256</v>
      </c>
      <c r="R1955" s="183">
        <v>60</v>
      </c>
      <c r="S1955" s="559">
        <v>55</v>
      </c>
      <c r="T1955" s="183">
        <v>25</v>
      </c>
      <c r="U1955" s="183" t="s">
        <v>22</v>
      </c>
      <c r="V1955" s="183"/>
      <c r="W1955" s="183"/>
      <c r="X1955" s="183"/>
      <c r="Y1955" s="184">
        <f>IF(ISBLANK(O1955),"",(IF(O1955=UPPER("IB"),0.005,0.01)))</f>
        <v>0.01</v>
      </c>
      <c r="Z1955" s="185">
        <f>IF(ISBLANK(O1955),"",IF(O1955="IB",8.63*200,IF(O1955="IR",16*100,IF(O1955="YT",20*100,IF(O1955="YT-XT",24*200,IF(O1955="TED",80*100,IF(O1955="XT",29*200)))))))</f>
        <v>1600</v>
      </c>
      <c r="AA1955" s="185" t="s">
        <v>6373</v>
      </c>
      <c r="AB1955" s="185"/>
      <c r="AC1955" s="185" t="s">
        <v>6374</v>
      </c>
      <c r="AD1955" s="649">
        <f>(0.02*30+0.01*45+0*35)/110</f>
        <v>9.5454545454545462E-3</v>
      </c>
      <c r="AE1955" s="182"/>
      <c r="AF1955" s="332"/>
      <c r="AG1955" s="182"/>
      <c r="AH1955" s="182"/>
      <c r="AI1955" s="182"/>
      <c r="AJ1955" s="640" t="s">
        <v>6375</v>
      </c>
      <c r="AK1955" s="182"/>
      <c r="AL1955" s="496">
        <f>-0.04*Z1955</f>
        <v>-64</v>
      </c>
      <c r="AM1955" s="496">
        <f t="shared" si="652"/>
        <v>-320</v>
      </c>
      <c r="AN1955" s="626"/>
      <c r="AO1955" s="182"/>
      <c r="AP1955" s="182" t="s">
        <v>1047</v>
      </c>
      <c r="AQ1955" s="332" t="s">
        <v>96</v>
      </c>
      <c r="AR1955" s="298">
        <v>45428</v>
      </c>
      <c r="AS1955" s="189">
        <f>((-0.01*50)+(0*5)+(-0.01*5))/60</f>
        <v>-9.1666666666666667E-3</v>
      </c>
      <c r="AT1955" s="189">
        <f>IF(ISBLANK(AS1955),,IF(U1955="S",AD1955-AS1955,AS1955-AD1955))</f>
        <v>-1.8712121212121215E-2</v>
      </c>
      <c r="AU1955" s="187">
        <f>AV1955*R1955</f>
        <v>-1796.3636363636367</v>
      </c>
      <c r="AV1955" s="190">
        <f t="shared" ref="AV1955" si="654">IF(ISBLANK(AS1955),,(AT1955*Z1955))</f>
        <v>-29.939393939393945</v>
      </c>
      <c r="AW1955" s="191" t="s">
        <v>229</v>
      </c>
      <c r="AX1955" s="551" t="s">
        <v>6376</v>
      </c>
      <c r="AY1955" s="551" t="s">
        <v>6377</v>
      </c>
      <c r="AZ1955" s="551"/>
      <c r="BA1955" s="551"/>
      <c r="BB1955" s="551"/>
      <c r="BC1955" s="551"/>
      <c r="BD1955" s="549"/>
      <c r="BE1955" s="550"/>
      <c r="BF1955" s="549"/>
      <c r="BG1955" s="391">
        <f>SUM($AV$1389:AV1955)</f>
        <v>3655.9019684964605</v>
      </c>
      <c r="BH1955" s="392">
        <f>SUM($AU$1389:AU1955)</f>
        <v>51294.323506492889</v>
      </c>
      <c r="BI1955" s="318">
        <f>SUMIFS($AU$1388:AU1956,$Q$1388:Q1956,"F")</f>
        <v>23922.093506493507</v>
      </c>
      <c r="BJ1955" s="318">
        <f>SUMIFS($AU$1388:AU1956,$Q$1388:Q1956,"S")</f>
        <v>23344</v>
      </c>
      <c r="BK1955" s="343">
        <f>SUMIFS($AU$1388:AU1956,$P$1388:P1956,"W")</f>
        <v>34187.273506493846</v>
      </c>
      <c r="BL1955" s="343">
        <f>SUMIFS($AU$1388:AU1956,$P$1388:P1956,"R")</f>
        <v>15325.999999999862</v>
      </c>
      <c r="BM1955" s="343">
        <f>SUMIFS($AU$1388:AU1956,$AQ$1388:AQ1956,"M")</f>
        <v>8993.3799999992334</v>
      </c>
      <c r="BN1955" s="343">
        <f>SUMIFS($AU$1388:AU1956,$AQ$1388:AQ1956,"H")</f>
        <v>17287.200000000284</v>
      </c>
      <c r="BO1955" s="343">
        <f>SUMIFS($AU$1388:AU1956,$AQ$1388:AQ1956,"D")</f>
        <v>13961.507142857021</v>
      </c>
      <c r="BP1955" s="343">
        <f>SUMIFS($AS$1388:AS2708,$AO$1388:AO2708,"W")</f>
        <v>0</v>
      </c>
      <c r="BQ1955" s="343">
        <f>SUMIFS($AU$1388:AU1956,$Q$1388:Q1956,"O")</f>
        <v>2604.229999999397</v>
      </c>
      <c r="BR1955" s="343">
        <f>SUMIFS($AU$1388:AU1956,$AA$1388:AA1956,"*")</f>
        <v>37833.436363635774</v>
      </c>
      <c r="BS1955" s="343">
        <f>SUMIFS($AU$1388:AU1956,$AB$1388:AB1956,"*")</f>
        <v>11410.829999999794</v>
      </c>
      <c r="BT1955" s="343">
        <f>SUMIFS($AU$1388:AU1956,$AC$1388:AC1956,"*")</f>
        <v>27042.093506493504</v>
      </c>
      <c r="BU1955" s="343">
        <f>SUMIFS($AU$1388:AU1956,$AA$1388:AA1956,"*",$AB$1388:AB1956,"*")</f>
        <v>5423.9999999998217</v>
      </c>
      <c r="BV1955" s="343">
        <f>SUMIFS($AU$1388:AU1956,$AA$1388:AA1956,"*",$AC$1388:AC1956,"*")</f>
        <v>15728.036363636365</v>
      </c>
      <c r="BW1955" s="343">
        <f>SUMIFS($AU$1388:AU1956,$AB$1388:AB1956,"*",$AC$1388:AC1956,"*")</f>
        <v>7119.9999999999982</v>
      </c>
      <c r="BX1955" s="343">
        <f>SUMIFS($AV$1388:AV1956,$Q$1388:Q1956,"F")</f>
        <v>367.96638849575766</v>
      </c>
      <c r="BY1955" s="343">
        <f>SUMIFS($AV$1388:AV1956,$Q$1388:Q1956,"S")</f>
        <v>700.70658000096557</v>
      </c>
      <c r="BZ1955" s="343">
        <f>SUMIFS($AV$1388:AV1956,$Q$1388:Q1956,"O")</f>
        <v>639.2289999997322</v>
      </c>
    </row>
    <row r="1956" spans="1:78" ht="15.75" customHeight="1">
      <c r="A1956" s="177" t="s">
        <v>6310</v>
      </c>
      <c r="B1956" s="200">
        <v>45419</v>
      </c>
      <c r="C1956" s="178" t="s">
        <v>2860</v>
      </c>
      <c r="D1956" s="178" t="s">
        <v>146</v>
      </c>
      <c r="E1956" s="227" t="s">
        <v>4701</v>
      </c>
      <c r="F1956" s="180"/>
      <c r="G1956" s="181"/>
      <c r="H1956" s="182"/>
      <c r="I1956" s="182"/>
      <c r="J1956" s="182"/>
      <c r="K1956" s="183"/>
      <c r="L1956" s="182"/>
      <c r="M1956" s="182"/>
      <c r="N1956" s="182"/>
      <c r="O1956" s="183"/>
      <c r="P1956" s="183"/>
      <c r="Q1956" s="183"/>
      <c r="R1956" s="183"/>
      <c r="S1956" s="183"/>
      <c r="T1956" s="183"/>
      <c r="U1956" s="183"/>
      <c r="V1956" s="183"/>
      <c r="W1956" s="183"/>
      <c r="X1956" s="183"/>
      <c r="Y1956" s="183"/>
      <c r="Z1956" s="183"/>
      <c r="AA1956" s="185"/>
      <c r="AB1956" s="185"/>
      <c r="AC1956" s="185"/>
      <c r="AD1956" s="649"/>
      <c r="AE1956" s="182"/>
      <c r="AF1956" s="332"/>
      <c r="AG1956" s="182"/>
      <c r="AH1956" s="182"/>
      <c r="AI1956" s="182"/>
      <c r="AJ1956" s="640"/>
      <c r="AK1956" s="182"/>
      <c r="AL1956" s="496">
        <f t="shared" si="643"/>
        <v>0</v>
      </c>
      <c r="AM1956" s="496">
        <f t="shared" si="652"/>
        <v>0</v>
      </c>
      <c r="AN1956" s="626"/>
      <c r="AO1956" s="182"/>
      <c r="AP1956" s="182"/>
      <c r="AQ1956" s="332" t="str">
        <f>UPPER(RIGHT(Journal_Live[[#This Row],[DURATION ]]))</f>
        <v/>
      </c>
      <c r="AR1956" s="182"/>
      <c r="AS1956" s="189"/>
      <c r="AT1956" s="189"/>
      <c r="AU1956" s="187"/>
      <c r="AV1956" s="190"/>
      <c r="AW1956" s="191"/>
      <c r="AX1956" s="551" t="s">
        <v>6378</v>
      </c>
      <c r="AY1956" s="551"/>
      <c r="AZ1956" s="551"/>
      <c r="BA1956" s="551"/>
      <c r="BB1956" s="551"/>
      <c r="BC1956" s="551"/>
      <c r="BD1956" s="549"/>
      <c r="BE1956" s="550"/>
      <c r="BF1956" s="549"/>
      <c r="BG1956" s="391">
        <f>SUM($AV$1389:AV1956)</f>
        <v>3655.9019684964605</v>
      </c>
      <c r="BH1956" s="392">
        <f>SUM($AU$1389:AU1956)</f>
        <v>51294.323506492889</v>
      </c>
      <c r="BI1956" s="318">
        <f>SUMIFS($AU$1388:AU1957,$Q$1388:Q1957,"F")</f>
        <v>23922.093506493507</v>
      </c>
      <c r="BJ1956" s="318">
        <f>SUMIFS($AU$1388:AU1957,$Q$1388:Q1957,"S")</f>
        <v>23344</v>
      </c>
      <c r="BK1956" s="343">
        <f>SUMIFS($AU$1388:AU1957,$P$1388:P1957,"W")</f>
        <v>34187.273506493846</v>
      </c>
      <c r="BL1956" s="343">
        <f>SUMIFS($AU$1388:AU1957,$P$1388:P1957,"R")</f>
        <v>15325.999999999862</v>
      </c>
      <c r="BM1956" s="343">
        <f>SUMIFS($AU$1388:AU1957,$AQ$1388:AQ1957,"M")</f>
        <v>8993.3799999992334</v>
      </c>
      <c r="BN1956" s="343">
        <f>SUMIFS($AU$1388:AU1957,$AQ$1388:AQ1957,"H")</f>
        <v>17287.200000000284</v>
      </c>
      <c r="BO1956" s="343">
        <f>SUMIFS($AU$1388:AU1957,$AQ$1388:AQ1957,"D")</f>
        <v>13961.507142857021</v>
      </c>
      <c r="BP1956" s="343">
        <f>SUMIFS($AS$1388:AS2709,$AO$1388:AO2709,"W")</f>
        <v>0</v>
      </c>
      <c r="BQ1956" s="343">
        <f>SUMIFS($AU$1388:AU1957,$Q$1388:Q1957,"O")</f>
        <v>1577.2599999996442</v>
      </c>
      <c r="BR1956" s="343">
        <f>SUMIFS($AU$1388:AU1957,$AA$1388:AA1957,"*")</f>
        <v>37833.436363635774</v>
      </c>
      <c r="BS1956" s="343">
        <f>SUMIFS($AU$1388:AU1957,$AB$1388:AB1957,"*")</f>
        <v>10383.860000000041</v>
      </c>
      <c r="BT1956" s="343">
        <f>SUMIFS($AU$1388:AU1957,$AC$1388:AC1957,"*")</f>
        <v>27042.093506493504</v>
      </c>
      <c r="BU1956" s="343">
        <f>SUMIFS($AU$1388:AU1957,$AA$1388:AA1957,"*",$AB$1388:AB1957,"*")</f>
        <v>5423.9999999998217</v>
      </c>
      <c r="BV1956" s="343">
        <f>SUMIFS($AU$1388:AU1957,$AA$1388:AA1957,"*",$AC$1388:AC1957,"*")</f>
        <v>15728.036363636365</v>
      </c>
      <c r="BW1956" s="343">
        <f>SUMIFS($AU$1388:AU1957,$AB$1388:AB1957,"*",$AC$1388:AC1957,"*")</f>
        <v>7119.9999999999982</v>
      </c>
      <c r="BX1956" s="343">
        <f>SUMIFS($AV$1388:AV1957,$Q$1388:Q1957,"F")</f>
        <v>367.96638849575766</v>
      </c>
      <c r="BY1956" s="343">
        <f>SUMIFS($AV$1388:AV1957,$Q$1388:Q1957,"S")</f>
        <v>700.70658000096557</v>
      </c>
      <c r="BZ1956" s="343">
        <f>SUMIFS($AV$1388:AV1957,$Q$1388:Q1957,"O")</f>
        <v>628.95929999973464</v>
      </c>
    </row>
    <row r="1957" spans="1:78" ht="15.75" customHeight="1">
      <c r="A1957" s="177" t="s">
        <v>6310</v>
      </c>
      <c r="B1957" s="200">
        <v>45419</v>
      </c>
      <c r="C1957" s="178" t="s">
        <v>682</v>
      </c>
      <c r="D1957" s="178" t="s">
        <v>146</v>
      </c>
      <c r="E1957" s="227"/>
      <c r="F1957" s="180"/>
      <c r="G1957" s="571" t="s">
        <v>6256</v>
      </c>
      <c r="H1957" s="182"/>
      <c r="I1957" s="182"/>
      <c r="J1957" s="182"/>
      <c r="K1957" s="183"/>
      <c r="L1957" s="182">
        <v>2</v>
      </c>
      <c r="M1957" s="182">
        <v>2</v>
      </c>
      <c r="N1957" s="182"/>
      <c r="O1957" s="183" t="s">
        <v>1057</v>
      </c>
      <c r="P1957" s="183"/>
      <c r="Q1957" s="183" t="s">
        <v>684</v>
      </c>
      <c r="R1957" s="183">
        <v>100</v>
      </c>
      <c r="S1957" s="183">
        <v>45</v>
      </c>
      <c r="T1957" s="183">
        <v>60</v>
      </c>
      <c r="U1957" s="183" t="s">
        <v>97</v>
      </c>
      <c r="V1957" s="183"/>
      <c r="W1957" s="183"/>
      <c r="X1957" s="183"/>
      <c r="Y1957" s="184">
        <f>IF(ISBLANK(O1957),"",(IF(O1957=UPPER("IB"),0.005,0.01)))</f>
        <v>5.0000000000000001E-3</v>
      </c>
      <c r="Z1957" s="185">
        <f>IF(ISBLANK(O1957),"",IF(O1957="IB",8.63*200,IF(O1957="IR",16*100,IF(O1957="YT",20*100,IF(O1957="YT-XT",24*200,IF(O1957="TED",80*100,IF(O1957="XT",29*200)))))))</f>
        <v>1726.0000000000002</v>
      </c>
      <c r="AA1957" s="185"/>
      <c r="AB1957" s="185" t="s">
        <v>6257</v>
      </c>
      <c r="AC1957" s="185"/>
      <c r="AD1957" s="649">
        <f>(95.663*10+50*95.675+30*95.68+95.685*10)/100</f>
        <v>95.676300000000012</v>
      </c>
      <c r="AE1957" s="182"/>
      <c r="AF1957" s="332"/>
      <c r="AG1957" s="182"/>
      <c r="AH1957" s="182"/>
      <c r="AI1957" s="182"/>
      <c r="AJ1957" s="640"/>
      <c r="AK1957" s="182"/>
      <c r="AL1957" s="496">
        <f>-0.01*Z1957</f>
        <v>-17.260000000000002</v>
      </c>
      <c r="AM1957" s="496">
        <f t="shared" si="652"/>
        <v>-949.30000000000007</v>
      </c>
      <c r="AN1957" s="626"/>
      <c r="AO1957" s="182"/>
      <c r="AP1957" s="182" t="s">
        <v>6379</v>
      </c>
      <c r="AQ1957" s="332" t="s">
        <v>96</v>
      </c>
      <c r="AR1957" s="182"/>
      <c r="AS1957" s="189">
        <f>(95.685*45+95.68*55)/100</f>
        <v>95.68225000000001</v>
      </c>
      <c r="AT1957" s="189">
        <f>IF(ISBLANK(AS1957),,IF(U1957="S",AD1957-AS1957,AS1957-AD1957))</f>
        <v>-5.9499999999985675E-3</v>
      </c>
      <c r="AU1957" s="187">
        <f>AV1957*R1957</f>
        <v>-1026.9699999997529</v>
      </c>
      <c r="AV1957" s="190">
        <f t="shared" ref="AV1957" si="655">IF(ISBLANK(AS1957),,(AT1957*Z1957))</f>
        <v>-10.269699999997529</v>
      </c>
      <c r="AW1957" s="191" t="s">
        <v>229</v>
      </c>
      <c r="AX1957" s="551" t="s">
        <v>6380</v>
      </c>
      <c r="AY1957" s="551"/>
      <c r="AZ1957" s="551"/>
      <c r="BA1957" s="551"/>
      <c r="BB1957" s="551"/>
      <c r="BC1957" s="551"/>
      <c r="BD1957" s="549"/>
      <c r="BE1957" s="550"/>
      <c r="BF1957" s="549"/>
      <c r="BG1957" s="391">
        <f>SUM($AV$1389:AV1957)</f>
        <v>3645.632268496463</v>
      </c>
      <c r="BH1957" s="392">
        <f>SUM($AU$1389:AU1957)</f>
        <v>50267.353506493135</v>
      </c>
      <c r="BI1957" s="318">
        <f>SUMIFS($AU$1388:AU1958,$Q$1388:Q1958,"F")</f>
        <v>24562.093506493511</v>
      </c>
      <c r="BJ1957" s="318">
        <f>SUMIFS($AU$1388:AU1958,$Q$1388:Q1958,"S")</f>
        <v>23344</v>
      </c>
      <c r="BK1957" s="343">
        <f>SUMIFS($AU$1388:AU1958,$P$1388:P1958,"W")</f>
        <v>34827.273506493846</v>
      </c>
      <c r="BL1957" s="343">
        <f>SUMIFS($AU$1388:AU1958,$P$1388:P1958,"R")</f>
        <v>15325.999999999862</v>
      </c>
      <c r="BM1957" s="343">
        <f>SUMIFS($AU$1388:AU1958,$AQ$1388:AQ1958,"M")</f>
        <v>8993.3799999992334</v>
      </c>
      <c r="BN1957" s="343">
        <f>SUMIFS($AU$1388:AU1958,$AQ$1388:AQ1958,"H")</f>
        <v>17287.200000000284</v>
      </c>
      <c r="BO1957" s="343">
        <f>SUMIFS($AU$1388:AU1958,$AQ$1388:AQ1958,"D")</f>
        <v>13961.507142857021</v>
      </c>
      <c r="BP1957" s="343">
        <f>SUMIFS($AS$1388:AS2710,$AO$1388:AO2710,"W")</f>
        <v>0</v>
      </c>
      <c r="BQ1957" s="343">
        <f>SUMIFS($AU$1388:AU1958,$Q$1388:Q1958,"O")</f>
        <v>1577.2599999996442</v>
      </c>
      <c r="BR1957" s="343">
        <f>SUMIFS($AU$1388:AU1958,$AA$1388:AA1958,"*")</f>
        <v>38473.436363635774</v>
      </c>
      <c r="BS1957" s="343">
        <f>SUMIFS($AU$1388:AU1958,$AB$1388:AB1958,"*")</f>
        <v>10383.860000000041</v>
      </c>
      <c r="BT1957" s="343">
        <f>SUMIFS($AU$1388:AU1958,$AC$1388:AC1958,"*")</f>
        <v>27682.093506493507</v>
      </c>
      <c r="BU1957" s="343">
        <f>SUMIFS($AU$1388:AU1958,$AA$1388:AA1958,"*",$AB$1388:AB1958,"*")</f>
        <v>5423.9999999998217</v>
      </c>
      <c r="BV1957" s="343">
        <f>SUMIFS($AU$1388:AU1958,$AA$1388:AA1958,"*",$AC$1388:AC1958,"*")</f>
        <v>16368.036363636367</v>
      </c>
      <c r="BW1957" s="343">
        <f>SUMIFS($AU$1388:AU1958,$AB$1388:AB1958,"*",$AC$1388:AC1958,"*")</f>
        <v>7119.9999999999982</v>
      </c>
      <c r="BX1957" s="343">
        <f>SUMIFS($AV$1388:AV1958,$Q$1388:Q1958,"F")</f>
        <v>375.0774996068688</v>
      </c>
      <c r="BY1957" s="343">
        <f>SUMIFS($AV$1388:AV1958,$Q$1388:Q1958,"S")</f>
        <v>700.70658000096557</v>
      </c>
      <c r="BZ1957" s="343">
        <f>SUMIFS($AV$1388:AV1958,$Q$1388:Q1958,"O")</f>
        <v>628.95929999973464</v>
      </c>
    </row>
    <row r="1958" spans="1:78" ht="15.75" customHeight="1">
      <c r="A1958" s="177" t="s">
        <v>6310</v>
      </c>
      <c r="B1958" s="200">
        <v>45419</v>
      </c>
      <c r="C1958" s="178" t="s">
        <v>682</v>
      </c>
      <c r="D1958" s="178" t="s">
        <v>146</v>
      </c>
      <c r="E1958" s="227"/>
      <c r="F1958" s="180"/>
      <c r="G1958" s="553" t="s">
        <v>6381</v>
      </c>
      <c r="H1958" s="182"/>
      <c r="I1958" s="182"/>
      <c r="J1958" s="182"/>
      <c r="K1958" s="183"/>
      <c r="L1958" s="182">
        <v>1</v>
      </c>
      <c r="M1958" s="182"/>
      <c r="N1958" s="182"/>
      <c r="O1958" s="183" t="s">
        <v>95</v>
      </c>
      <c r="P1958" s="183" t="s">
        <v>96</v>
      </c>
      <c r="Q1958" s="183" t="s">
        <v>256</v>
      </c>
      <c r="R1958" s="183">
        <v>90</v>
      </c>
      <c r="S1958" s="183">
        <v>60</v>
      </c>
      <c r="T1958" s="183">
        <v>35</v>
      </c>
      <c r="U1958" s="183" t="s">
        <v>97</v>
      </c>
      <c r="V1958" s="183"/>
      <c r="W1958" s="183"/>
      <c r="X1958" s="183"/>
      <c r="Y1958" s="184">
        <f>IF(ISBLANK(O1958),"",(IF(O1958=UPPER("IB"),0.005,0.01)))</f>
        <v>0.01</v>
      </c>
      <c r="Z1958" s="185">
        <f>IF(ISBLANK(O1958),"",IF(O1958="IB",8.63*200,IF(O1958="IR",16*100,IF(O1958="YT",20*100,IF(O1958="YT-XT",24*200,IF(O1958="TED",80*100,IF(O1958="XT",29*200)))))))</f>
        <v>1600</v>
      </c>
      <c r="AA1958" s="185" t="s">
        <v>6382</v>
      </c>
      <c r="AB1958" s="185"/>
      <c r="AC1958" s="185" t="s">
        <v>6383</v>
      </c>
      <c r="AD1958" s="649">
        <f>(0.07*70+0.06*20)/90</f>
        <v>6.7777777777777784E-2</v>
      </c>
      <c r="AE1958" s="182"/>
      <c r="AF1958" s="332"/>
      <c r="AG1958" s="182"/>
      <c r="AH1958" s="182"/>
      <c r="AI1958" s="182"/>
      <c r="AJ1958" s="640"/>
      <c r="AK1958" s="182"/>
      <c r="AL1958" s="496">
        <f>-0.025*Z1958</f>
        <v>-40</v>
      </c>
      <c r="AM1958" s="496">
        <f t="shared" si="652"/>
        <v>-1200</v>
      </c>
      <c r="AN1958" s="626"/>
      <c r="AO1958" s="182"/>
      <c r="AP1958" s="182" t="s">
        <v>902</v>
      </c>
      <c r="AQ1958" s="332" t="s">
        <v>96</v>
      </c>
      <c r="AR1958" s="182"/>
      <c r="AS1958" s="189">
        <f>((0.07*30)+(0.06*30)+(0.06*30))/90</f>
        <v>6.3333333333333325E-2</v>
      </c>
      <c r="AT1958" s="189">
        <f>IF(ISBLANK(AS1958),,IF(U1958="S",AD1958-AS1958,AS1958-AD1958))</f>
        <v>4.4444444444444592E-3</v>
      </c>
      <c r="AU1958" s="187">
        <f>AV1958*R1958</f>
        <v>640.00000000000216</v>
      </c>
      <c r="AV1958" s="190">
        <f t="shared" ref="AV1958:AV1965" si="656">IF(ISBLANK(AS1958),,(AT1958*Z1958))</f>
        <v>7.1111111111111347</v>
      </c>
      <c r="AW1958" s="191" t="s">
        <v>96</v>
      </c>
      <c r="AX1958" s="551"/>
      <c r="AY1958" s="551"/>
      <c r="AZ1958" s="551"/>
      <c r="BA1958" s="551"/>
      <c r="BB1958" s="551"/>
      <c r="BC1958" s="551"/>
      <c r="BD1958" s="549"/>
      <c r="BE1958" s="550"/>
      <c r="BF1958" s="549"/>
      <c r="BG1958" s="391">
        <f>SUM($AV$1389:AV1958)</f>
        <v>3652.7433796075743</v>
      </c>
      <c r="BH1958" s="392">
        <f>SUM($AU$1389:AU1958)</f>
        <v>50907.353506493135</v>
      </c>
      <c r="BI1958" s="318">
        <f>SUMIFS($AU$1388:AU1959,$Q$1388:Q1959,"F")</f>
        <v>24562.093506493511</v>
      </c>
      <c r="BJ1958" s="318">
        <f>SUMIFS($AU$1388:AU1959,$Q$1388:Q1959,"S")</f>
        <v>23344</v>
      </c>
      <c r="BK1958" s="343">
        <f>SUMIFS($AU$1388:AU1959,$P$1388:P1959,"W")</f>
        <v>34827.273506493846</v>
      </c>
      <c r="BL1958" s="343">
        <f>SUMIFS($AU$1388:AU1959,$P$1388:P1959,"R")</f>
        <v>15325.999999999862</v>
      </c>
      <c r="BM1958" s="343">
        <f>SUMIFS($AU$1388:AU1959,$AQ$1388:AQ1959,"M")</f>
        <v>8993.3799999992334</v>
      </c>
      <c r="BN1958" s="343">
        <f>SUMIFS($AU$1388:AU1959,$AQ$1388:AQ1959,"H")</f>
        <v>17287.200000000284</v>
      </c>
      <c r="BO1958" s="343">
        <f>SUMIFS($AU$1388:AU1959,$AQ$1388:AQ1959,"D")</f>
        <v>13961.507142857021</v>
      </c>
      <c r="BP1958" s="343">
        <f>SUMIFS($AS$1388:AS2711,$AO$1388:AO2711,"W")</f>
        <v>0</v>
      </c>
      <c r="BQ1958" s="343">
        <f>SUMIFS($AU$1388:AU1959,$Q$1388:Q1959,"O")</f>
        <v>1577.2599999996442</v>
      </c>
      <c r="BR1958" s="343">
        <f>SUMIFS($AU$1388:AU1959,$AA$1388:AA1959,"*")</f>
        <v>38473.436363635774</v>
      </c>
      <c r="BS1958" s="343">
        <f>SUMIFS($AU$1388:AU1959,$AB$1388:AB1959,"*")</f>
        <v>10383.860000000041</v>
      </c>
      <c r="BT1958" s="343">
        <f>SUMIFS($AU$1388:AU1959,$AC$1388:AC1959,"*")</f>
        <v>27682.093506493507</v>
      </c>
      <c r="BU1958" s="343">
        <f>SUMIFS($AU$1388:AU1959,$AA$1388:AA1959,"*",$AB$1388:AB1959,"*")</f>
        <v>5423.9999999998217</v>
      </c>
      <c r="BV1958" s="343">
        <f>SUMIFS($AU$1388:AU1959,$AA$1388:AA1959,"*",$AC$1388:AC1959,"*")</f>
        <v>16368.036363636367</v>
      </c>
      <c r="BW1958" s="343">
        <f>SUMIFS($AU$1388:AU1959,$AB$1388:AB1959,"*",$AC$1388:AC1959,"*")</f>
        <v>7119.9999999999982</v>
      </c>
      <c r="BX1958" s="343">
        <f>SUMIFS($AV$1388:AV1959,$Q$1388:Q1959,"F")</f>
        <v>375.0774996068688</v>
      </c>
      <c r="BY1958" s="343">
        <f>SUMIFS($AV$1388:AV1959,$Q$1388:Q1959,"S")</f>
        <v>700.70658000096557</v>
      </c>
      <c r="BZ1958" s="343">
        <f>SUMIFS($AV$1388:AV1959,$Q$1388:Q1959,"O")</f>
        <v>628.95929999973464</v>
      </c>
    </row>
    <row r="1959" spans="1:78" ht="15.75" customHeight="1">
      <c r="A1959" s="177" t="s">
        <v>6310</v>
      </c>
      <c r="B1959" s="200">
        <v>45419</v>
      </c>
      <c r="C1959" s="178" t="s">
        <v>6384</v>
      </c>
      <c r="D1959" s="178" t="s">
        <v>146</v>
      </c>
      <c r="E1959" s="227"/>
      <c r="F1959" s="180"/>
      <c r="G1959" s="181" t="s">
        <v>3334</v>
      </c>
      <c r="H1959" s="182"/>
      <c r="I1959" s="182"/>
      <c r="J1959" s="182"/>
      <c r="K1959" s="183"/>
      <c r="L1959" s="182"/>
      <c r="M1959" s="182"/>
      <c r="N1959" s="182"/>
      <c r="O1959" s="183"/>
      <c r="P1959" s="183"/>
      <c r="Q1959" s="183"/>
      <c r="R1959" s="183"/>
      <c r="S1959" s="559"/>
      <c r="T1959" s="183"/>
      <c r="U1959" s="183"/>
      <c r="V1959" s="183"/>
      <c r="W1959" s="183"/>
      <c r="X1959" s="183"/>
      <c r="Y1959" s="184"/>
      <c r="Z1959" s="185"/>
      <c r="AA1959" s="185"/>
      <c r="AB1959" s="185"/>
      <c r="AC1959" s="185"/>
      <c r="AD1959" s="649"/>
      <c r="AE1959" s="182"/>
      <c r="AF1959" s="332"/>
      <c r="AG1959" s="182"/>
      <c r="AH1959" s="182"/>
      <c r="AI1959" s="182"/>
      <c r="AJ1959" s="640" t="s">
        <v>6385</v>
      </c>
      <c r="AK1959" s="182"/>
      <c r="AL1959" s="496">
        <f t="shared" ref="AL1959:AL1960" si="657">-0.02*Z1959</f>
        <v>0</v>
      </c>
      <c r="AM1959" s="496">
        <f t="shared" si="652"/>
        <v>0</v>
      </c>
      <c r="AN1959" s="626"/>
      <c r="AO1959" s="182"/>
      <c r="AP1959" s="182"/>
      <c r="AQ1959" s="332" t="str">
        <f>UPPER(RIGHT(Journal_Live[[#This Row],[DURATION ]]))</f>
        <v/>
      </c>
      <c r="AR1959" s="182"/>
      <c r="AS1959" s="189"/>
      <c r="AT1959" s="189"/>
      <c r="AU1959" s="187"/>
      <c r="AV1959" s="190"/>
      <c r="AW1959" s="191"/>
      <c r="AX1959" s="551"/>
      <c r="AY1959" s="551"/>
      <c r="AZ1959" s="551"/>
      <c r="BA1959" s="551"/>
      <c r="BB1959" s="551"/>
      <c r="BC1959" s="551"/>
      <c r="BD1959" s="549"/>
      <c r="BE1959" s="550"/>
      <c r="BF1959" s="549"/>
      <c r="BG1959" s="391">
        <f>SUM($AV$1389:AV1959)</f>
        <v>3652.7433796075743</v>
      </c>
      <c r="BH1959" s="392">
        <f>SUM($AU$1389:AU1959)</f>
        <v>50907.353506493135</v>
      </c>
      <c r="BI1959" s="318">
        <f>SUMIFS($AU$1388:AU1960,$Q$1388:Q1960,"F")</f>
        <v>24562.093506493511</v>
      </c>
      <c r="BJ1959" s="318">
        <f>SUMIFS($AU$1388:AU1960,$Q$1388:Q1960,"S")</f>
        <v>23344</v>
      </c>
      <c r="BK1959" s="343">
        <f>SUMIFS($AU$1388:AU1960,$P$1388:P1960,"W")</f>
        <v>34827.273506493846</v>
      </c>
      <c r="BL1959" s="343">
        <f>SUMIFS($AU$1388:AU1960,$P$1388:P1960,"R")</f>
        <v>15325.999999999862</v>
      </c>
      <c r="BM1959" s="343">
        <f>SUMIFS($AU$1388:AU1960,$AQ$1388:AQ1960,"M")</f>
        <v>8993.3799999992334</v>
      </c>
      <c r="BN1959" s="343">
        <f>SUMIFS($AU$1388:AU1960,$AQ$1388:AQ1960,"H")</f>
        <v>17287.200000000284</v>
      </c>
      <c r="BO1959" s="343">
        <f>SUMIFS($AU$1388:AU1960,$AQ$1388:AQ1960,"D")</f>
        <v>13961.507142857021</v>
      </c>
      <c r="BP1959" s="343">
        <f>SUMIFS($AS$1388:AS2712,$AO$1388:AO2712,"W")</f>
        <v>0</v>
      </c>
      <c r="BQ1959" s="343">
        <f>SUMIFS($AU$1388:AU1960,$Q$1388:Q1960,"O")</f>
        <v>1577.2599999996442</v>
      </c>
      <c r="BR1959" s="343">
        <f>SUMIFS($AU$1388:AU1960,$AA$1388:AA1960,"*")</f>
        <v>38473.436363635774</v>
      </c>
      <c r="BS1959" s="343">
        <f>SUMIFS($AU$1388:AU1960,$AB$1388:AB1960,"*")</f>
        <v>10383.860000000041</v>
      </c>
      <c r="BT1959" s="343">
        <f>SUMIFS($AU$1388:AU1960,$AC$1388:AC1960,"*")</f>
        <v>27682.093506493507</v>
      </c>
      <c r="BU1959" s="343">
        <f>SUMIFS($AU$1388:AU1960,$AA$1388:AA1960,"*",$AB$1388:AB1960,"*")</f>
        <v>5423.9999999998217</v>
      </c>
      <c r="BV1959" s="343">
        <f>SUMIFS($AU$1388:AU1960,$AA$1388:AA1960,"*",$AC$1388:AC1960,"*")</f>
        <v>16368.036363636367</v>
      </c>
      <c r="BW1959" s="343">
        <f>SUMIFS($AU$1388:AU1960,$AB$1388:AB1960,"*",$AC$1388:AC1960,"*")</f>
        <v>7119.9999999999982</v>
      </c>
      <c r="BX1959" s="343">
        <f>SUMIFS($AV$1388:AV1960,$Q$1388:Q1960,"F")</f>
        <v>375.0774996068688</v>
      </c>
      <c r="BY1959" s="343">
        <f>SUMIFS($AV$1388:AV1960,$Q$1388:Q1960,"S")</f>
        <v>700.70658000096557</v>
      </c>
      <c r="BZ1959" s="343">
        <f>SUMIFS($AV$1388:AV1960,$Q$1388:Q1960,"O")</f>
        <v>628.95929999973464</v>
      </c>
    </row>
    <row r="1960" spans="1:78" ht="15.75" customHeight="1">
      <c r="A1960" s="177" t="s">
        <v>6310</v>
      </c>
      <c r="B1960" s="200">
        <v>45419</v>
      </c>
      <c r="C1960" s="178" t="s">
        <v>6386</v>
      </c>
      <c r="D1960" s="178" t="s">
        <v>146</v>
      </c>
      <c r="E1960" s="227"/>
      <c r="F1960" s="180"/>
      <c r="G1960" s="181" t="s">
        <v>2070</v>
      </c>
      <c r="H1960" s="182"/>
      <c r="I1960" s="182"/>
      <c r="J1960" s="182"/>
      <c r="K1960" s="183"/>
      <c r="L1960" s="182"/>
      <c r="M1960" s="182"/>
      <c r="N1960" s="182"/>
      <c r="O1960" s="183"/>
      <c r="P1960" s="183"/>
      <c r="Q1960" s="183"/>
      <c r="R1960" s="183"/>
      <c r="S1960" s="559"/>
      <c r="T1960" s="183"/>
      <c r="U1960" s="183"/>
      <c r="V1960" s="183"/>
      <c r="W1960" s="183"/>
      <c r="X1960" s="183"/>
      <c r="Y1960" s="184"/>
      <c r="Z1960" s="185"/>
      <c r="AA1960" s="185"/>
      <c r="AB1960" s="185"/>
      <c r="AC1960" s="185"/>
      <c r="AD1960" s="649"/>
      <c r="AE1960" s="182"/>
      <c r="AF1960" s="332"/>
      <c r="AG1960" s="182"/>
      <c r="AH1960" s="182"/>
      <c r="AI1960" s="182"/>
      <c r="AJ1960" s="640"/>
      <c r="AK1960" s="182"/>
      <c r="AL1960" s="496">
        <f t="shared" si="657"/>
        <v>0</v>
      </c>
      <c r="AM1960" s="496">
        <f t="shared" si="652"/>
        <v>0</v>
      </c>
      <c r="AN1960" s="626"/>
      <c r="AO1960" s="182"/>
      <c r="AP1960" s="182"/>
      <c r="AQ1960" s="332" t="str">
        <f>UPPER(RIGHT(Journal_Live[[#This Row],[DURATION ]]))</f>
        <v/>
      </c>
      <c r="AR1960" s="182"/>
      <c r="AS1960" s="189"/>
      <c r="AT1960" s="189"/>
      <c r="AU1960" s="187"/>
      <c r="AV1960" s="190"/>
      <c r="AW1960" s="191"/>
      <c r="AX1960" s="551"/>
      <c r="AY1960" s="551"/>
      <c r="AZ1960" s="551"/>
      <c r="BA1960" s="551"/>
      <c r="BB1960" s="551"/>
      <c r="BC1960" s="551"/>
      <c r="BD1960" s="549"/>
      <c r="BE1960" s="550"/>
      <c r="BF1960" s="549"/>
      <c r="BG1960" s="391">
        <f>SUM($AV$1389:AV1960)</f>
        <v>3652.7433796075743</v>
      </c>
      <c r="BH1960" s="392">
        <f>SUM($AU$1389:AU1960)</f>
        <v>50907.353506493135</v>
      </c>
      <c r="BI1960" s="318">
        <f>SUMIFS($AU$1388:AU1961,$Q$1388:Q1961,"F")</f>
        <v>25202.093506493511</v>
      </c>
      <c r="BJ1960" s="318">
        <f>SUMIFS($AU$1388:AU1961,$Q$1388:Q1961,"S")</f>
        <v>23344</v>
      </c>
      <c r="BK1960" s="343">
        <f>SUMIFS($AU$1388:AU1961,$P$1388:P1961,"W")</f>
        <v>35467.273506493846</v>
      </c>
      <c r="BL1960" s="343">
        <f>SUMIFS($AU$1388:AU1961,$P$1388:P1961,"R")</f>
        <v>15325.999999999862</v>
      </c>
      <c r="BM1960" s="343">
        <f>SUMIFS($AU$1388:AU1961,$AQ$1388:AQ1961,"M")</f>
        <v>8993.3799999992334</v>
      </c>
      <c r="BN1960" s="343">
        <f>SUMIFS($AU$1388:AU1961,$AQ$1388:AQ1961,"H")</f>
        <v>17287.200000000284</v>
      </c>
      <c r="BO1960" s="343">
        <f>SUMIFS($AU$1388:AU1961,$AQ$1388:AQ1961,"D")</f>
        <v>13961.507142857021</v>
      </c>
      <c r="BP1960" s="343">
        <f>SUMIFS($AS$1388:AS2713,$AO$1388:AO2713,"W")</f>
        <v>0</v>
      </c>
      <c r="BQ1960" s="343">
        <f>SUMIFS($AU$1388:AU1961,$Q$1388:Q1961,"O")</f>
        <v>1577.2599999996442</v>
      </c>
      <c r="BR1960" s="343">
        <f>SUMIFS($AU$1388:AU1961,$AA$1388:AA1961,"*")</f>
        <v>38473.436363635774</v>
      </c>
      <c r="BS1960" s="343">
        <f>SUMIFS($AU$1388:AU1961,$AB$1388:AB1961,"*")</f>
        <v>10383.860000000041</v>
      </c>
      <c r="BT1960" s="343">
        <f>SUMIFS($AU$1388:AU1961,$AC$1388:AC1961,"*")</f>
        <v>28322.093506493507</v>
      </c>
      <c r="BU1960" s="343">
        <f>SUMIFS($AU$1388:AU1961,$AA$1388:AA1961,"*",$AB$1388:AB1961,"*")</f>
        <v>5423.9999999998217</v>
      </c>
      <c r="BV1960" s="343">
        <f>SUMIFS($AU$1388:AU1961,$AA$1388:AA1961,"*",$AC$1388:AC1961,"*")</f>
        <v>16368.036363636367</v>
      </c>
      <c r="BW1960" s="343">
        <f>SUMIFS($AU$1388:AU1961,$AB$1388:AB1961,"*",$AC$1388:AC1961,"*")</f>
        <v>7119.9999999999982</v>
      </c>
      <c r="BX1960" s="343">
        <f>SUMIFS($AV$1388:AV1961,$Q$1388:Q1961,"F")</f>
        <v>393.36321389258308</v>
      </c>
      <c r="BY1960" s="343">
        <f>SUMIFS($AV$1388:AV1961,$Q$1388:Q1961,"S")</f>
        <v>700.70658000096557</v>
      </c>
      <c r="BZ1960" s="343">
        <f>SUMIFS($AV$1388:AV1961,$Q$1388:Q1961,"O")</f>
        <v>628.95929999973464</v>
      </c>
    </row>
    <row r="1961" spans="1:78" ht="15.75" customHeight="1">
      <c r="A1961" s="177" t="s">
        <v>6310</v>
      </c>
      <c r="B1961" s="200">
        <v>45419</v>
      </c>
      <c r="C1961" s="178" t="s">
        <v>6387</v>
      </c>
      <c r="D1961" s="178" t="s">
        <v>146</v>
      </c>
      <c r="E1961" s="227"/>
      <c r="F1961" s="180"/>
      <c r="G1961" s="490" t="s">
        <v>6388</v>
      </c>
      <c r="H1961" s="182"/>
      <c r="I1961" s="182"/>
      <c r="J1961" s="182"/>
      <c r="K1961" s="183"/>
      <c r="L1961" s="182">
        <v>1</v>
      </c>
      <c r="M1961" s="182">
        <v>1</v>
      </c>
      <c r="N1961" s="182"/>
      <c r="O1961" s="183" t="s">
        <v>95</v>
      </c>
      <c r="P1961" s="183" t="s">
        <v>96</v>
      </c>
      <c r="Q1961" s="183" t="s">
        <v>256</v>
      </c>
      <c r="R1961" s="183">
        <v>35</v>
      </c>
      <c r="S1961" s="183">
        <v>25</v>
      </c>
      <c r="T1961" s="183">
        <v>25</v>
      </c>
      <c r="U1961" s="183" t="s">
        <v>97</v>
      </c>
      <c r="V1961" s="183"/>
      <c r="W1961" s="183"/>
      <c r="X1961" s="183"/>
      <c r="Y1961" s="184">
        <f>IF(ISBLANK(O1961),"",(IF(O1961=UPPER("IB"),0.005,0.01)))</f>
        <v>0.01</v>
      </c>
      <c r="Z1961" s="185">
        <f>IF(ISBLANK(O1961),"",IF(O1961="IB",8.63*200,IF(O1961="IR",16*100,IF(O1961="YT",20*100,IF(O1961="YT-XT",24*200,IF(O1961="TED",80*100,IF(O1961="XT",29*200)))))))</f>
        <v>1600</v>
      </c>
      <c r="AA1961" s="185"/>
      <c r="AB1961" s="185"/>
      <c r="AC1961" s="185" t="s">
        <v>6374</v>
      </c>
      <c r="AD1961" s="649">
        <f>(0.07*25+0.06*10)/35</f>
        <v>6.7142857142857143E-2</v>
      </c>
      <c r="AE1961" s="182"/>
      <c r="AF1961" s="332"/>
      <c r="AG1961" s="182"/>
      <c r="AH1961" s="182"/>
      <c r="AI1961" s="182"/>
      <c r="AJ1961" s="640"/>
      <c r="AK1961" s="182"/>
      <c r="AL1961" s="496">
        <f t="shared" si="643"/>
        <v>-32</v>
      </c>
      <c r="AM1961" s="496">
        <f t="shared" si="652"/>
        <v>-320</v>
      </c>
      <c r="AN1961" s="626"/>
      <c r="AO1961" s="182"/>
      <c r="AP1961" s="182" t="s">
        <v>1047</v>
      </c>
      <c r="AQ1961" s="332" t="s">
        <v>96</v>
      </c>
      <c r="AR1961" s="182"/>
      <c r="AS1961" s="189">
        <f>(0.06*10+0.03*5+0.06*20)/35</f>
        <v>5.5714285714285716E-2</v>
      </c>
      <c r="AT1961" s="189">
        <f>IF(ISBLANK(AS1961),,IF(U1961="S",AD1961-AS1961,AS1961-AD1961))</f>
        <v>1.1428571428571427E-2</v>
      </c>
      <c r="AU1961" s="187">
        <f>AV1961*R1961</f>
        <v>640</v>
      </c>
      <c r="AV1961" s="190">
        <f t="shared" si="656"/>
        <v>18.285714285714285</v>
      </c>
      <c r="AW1961" s="191" t="s">
        <v>96</v>
      </c>
      <c r="AX1961" s="551" t="s">
        <v>6389</v>
      </c>
      <c r="AY1961" s="551"/>
      <c r="AZ1961" s="551"/>
      <c r="BA1961" s="551"/>
      <c r="BB1961" s="551"/>
      <c r="BC1961" s="551"/>
      <c r="BD1961" s="549"/>
      <c r="BE1961" s="550"/>
      <c r="BF1961" s="549"/>
      <c r="BG1961" s="391">
        <f>SUM($AV$1389:AV1961)</f>
        <v>3671.0290938932885</v>
      </c>
      <c r="BH1961" s="392">
        <f>SUM($AU$1389:AU1961)</f>
        <v>51547.353506493135</v>
      </c>
      <c r="BI1961" s="318">
        <f>SUMIFS($AU$1388:AU2382,$Q$1388:Q2382,"F")</f>
        <v>28758.758121878131</v>
      </c>
      <c r="BJ1961" s="318">
        <f>SUMIFS($AU$1388:AU2382,$Q$1388:Q2382,"S")</f>
        <v>18338.285714285717</v>
      </c>
      <c r="BK1961" s="343">
        <f>SUMIFS($AU$1388:AU2382,$P$1388:P2382,"W")</f>
        <v>16085.423836163443</v>
      </c>
      <c r="BL1961" s="343">
        <f>SUMIFS($AU$1388:AU2382,$P$1388:P2382,"R")</f>
        <v>23278.800000000327</v>
      </c>
      <c r="BM1961" s="343">
        <f>SUMIFS($AU$1388:AU2382,$AQ$1388:AQ2382,"M")</f>
        <v>9563.1799999983832</v>
      </c>
      <c r="BN1961" s="343">
        <f>SUMIFS($AU$1388:AU2382,$AQ$1388:AQ2382,"H")</f>
        <v>12587.200000000877</v>
      </c>
      <c r="BO1961" s="343">
        <f>SUMIFS($AU$1388:AU2382,$AQ$1388:AQ2382,"D")</f>
        <v>11195.57747252718</v>
      </c>
      <c r="BP1961" s="343">
        <f>SUMIFS($AS$1388:AS2714,$AO$1388:AO2714,"W")</f>
        <v>0</v>
      </c>
      <c r="BQ1961" s="343">
        <f>SUMIFS($AU$1388:AU2382,$Q$1388:Q2382,"O")</f>
        <v>-9366.1400000007852</v>
      </c>
      <c r="BR1961" s="343">
        <f>SUMIFS($AU$1388:AU2382,$AA$1388:AA2382,"*")</f>
        <v>39156.002077921221</v>
      </c>
      <c r="BS1961" s="343">
        <f>SUMIFS($AU$1388:AU2382,$AB$1388:AB2382,"*")</f>
        <v>7005.8599999997941</v>
      </c>
      <c r="BT1961" s="343">
        <f>SUMIFS($AU$1388:AU2382,$AC$1388:AC2382,"*")</f>
        <v>31968.358121878122</v>
      </c>
      <c r="BU1961" s="343">
        <f>SUMIFS($AU$1388:AU2382,$AA$1388:AA2382,"*",$AB$1388:AB2382,"*")</f>
        <v>7301.9999999995771</v>
      </c>
      <c r="BV1961" s="343">
        <f>SUMIFS($AU$1388:AU2382,$AA$1388:AA2382,"*",$AC$1388:AC2382,"*")</f>
        <v>29949.316363636532</v>
      </c>
      <c r="BW1961" s="343">
        <f>SUMIFS($AU$1388:AU2382,$AB$1388:AB2382,"*",$AC$1388:AC2382,"*")</f>
        <v>3739.199999999998</v>
      </c>
      <c r="BX1961" s="343">
        <f>SUMIFS($AV$1388:AV2382,$Q$1388:Q2382,"F")</f>
        <v>396.72999236351012</v>
      </c>
      <c r="BY1961" s="343">
        <f>SUMIFS($AV$1388:AV2382,$Q$1388:Q2382,"S")</f>
        <v>775.76285705724263</v>
      </c>
      <c r="BZ1961" s="343">
        <f>SUMIFS($AV$1388:AV2382,$Q$1388:Q2382,"O")</f>
        <v>569.29929999965555</v>
      </c>
    </row>
    <row r="1962" spans="1:78" ht="15.75" customHeight="1">
      <c r="A1962" s="177" t="s">
        <v>6310</v>
      </c>
      <c r="B1962" s="200">
        <v>45419</v>
      </c>
      <c r="C1962" s="178" t="s">
        <v>6390</v>
      </c>
      <c r="D1962" s="178" t="s">
        <v>146</v>
      </c>
      <c r="E1962" s="227"/>
      <c r="F1962" s="180"/>
      <c r="G1962" s="181" t="s">
        <v>2016</v>
      </c>
      <c r="H1962" s="182"/>
      <c r="I1962" s="182"/>
      <c r="J1962" s="182"/>
      <c r="K1962" s="183"/>
      <c r="L1962" s="182"/>
      <c r="M1962" s="182"/>
      <c r="N1962" s="182"/>
      <c r="O1962" s="183"/>
      <c r="P1962" s="183"/>
      <c r="Q1962" s="183"/>
      <c r="R1962" s="183"/>
      <c r="S1962" s="183"/>
      <c r="T1962" s="183"/>
      <c r="U1962" s="183"/>
      <c r="V1962" s="183"/>
      <c r="W1962" s="183"/>
      <c r="X1962" s="183"/>
      <c r="Y1962" s="184"/>
      <c r="Z1962" s="185"/>
      <c r="AA1962" s="185"/>
      <c r="AB1962" s="185"/>
      <c r="AC1962" s="185"/>
      <c r="AD1962" s="649"/>
      <c r="AE1962" s="182"/>
      <c r="AF1962" s="332"/>
      <c r="AG1962" s="182"/>
      <c r="AH1962" s="182"/>
      <c r="AI1962" s="182"/>
      <c r="AJ1962" s="640"/>
      <c r="AK1962" s="182"/>
      <c r="AL1962" s="496">
        <f t="shared" ref="AL1962:AL2381" si="658">-0.02*Z1962</f>
        <v>0</v>
      </c>
      <c r="AM1962" s="496">
        <f t="shared" si="652"/>
        <v>0</v>
      </c>
      <c r="AN1962" s="626"/>
      <c r="AO1962" s="182"/>
      <c r="AP1962" s="182"/>
      <c r="AQ1962" s="332" t="str">
        <f>UPPER(RIGHT(Journal_Live[[#This Row],[DURATION ]]))</f>
        <v/>
      </c>
      <c r="AR1962" s="182"/>
      <c r="AS1962" s="189"/>
      <c r="AT1962" s="189"/>
      <c r="AU1962" s="187"/>
      <c r="AV1962" s="190"/>
      <c r="AW1962" s="191"/>
      <c r="AX1962" s="551"/>
      <c r="AY1962" s="551"/>
      <c r="AZ1962" s="551"/>
      <c r="BA1962" s="551"/>
      <c r="BB1962" s="551"/>
      <c r="BC1962" s="551"/>
      <c r="BD1962" s="549"/>
      <c r="BE1962" s="550"/>
      <c r="BF1962" s="549"/>
      <c r="BG1962" s="391">
        <f>SUM($AV$1389:AV1962)</f>
        <v>3671.0290938932885</v>
      </c>
      <c r="BH1962" s="392">
        <f>SUM($AU$1389:AU1962)</f>
        <v>51547.353506493135</v>
      </c>
      <c r="BI1962" s="318">
        <f>SUMIFS($AU$1388:AU1963,$Q$1388:Q1963,"F")</f>
        <v>27602.093506493511</v>
      </c>
      <c r="BJ1962" s="318">
        <f>SUMIFS($AU$1388:AU1963,$Q$1388:Q1963,"S")</f>
        <v>23344</v>
      </c>
      <c r="BK1962" s="343">
        <f>SUMIFS($AU$1388:AU1963,$P$1388:P1963,"W")</f>
        <v>35467.273506493846</v>
      </c>
      <c r="BL1962" s="343">
        <f>SUMIFS($AU$1388:AU1963,$P$1388:P1963,"R")</f>
        <v>17725.999999999862</v>
      </c>
      <c r="BM1962" s="343">
        <f>SUMIFS($AU$1388:AU1963,$AQ$1388:AQ1963,"M")</f>
        <v>8993.3799999992334</v>
      </c>
      <c r="BN1962" s="343">
        <f>SUMIFS($AU$1388:AU1963,$AQ$1388:AQ1963,"H")</f>
        <v>17287.200000000284</v>
      </c>
      <c r="BO1962" s="343">
        <f>SUMIFS($AU$1388:AU1963,$AQ$1388:AQ1963,"D")</f>
        <v>13961.507142857021</v>
      </c>
      <c r="BP1962" s="343">
        <f>SUMIFS($AS$1388:AS2712,$AO$1388:AO2712,"W")</f>
        <v>0</v>
      </c>
      <c r="BQ1962" s="343">
        <f>SUMIFS($AU$1388:AU1963,$Q$1388:Q1963,"O")</f>
        <v>1577.2599999996442</v>
      </c>
      <c r="BR1962" s="343">
        <f>SUMIFS($AU$1388:AU1963,$AA$1388:AA1963,"*")</f>
        <v>40873.436363635774</v>
      </c>
      <c r="BS1962" s="343">
        <f>SUMIFS($AU$1388:AU1963,$AB$1388:AB1963,"*")</f>
        <v>10383.860000000041</v>
      </c>
      <c r="BT1962" s="343">
        <f>SUMIFS($AU$1388:AU1963,$AC$1388:AC1963,"*")</f>
        <v>30722.093506493511</v>
      </c>
      <c r="BU1962" s="343">
        <f>SUMIFS($AU$1388:AU1963,$AA$1388:AA1963,"*",$AB$1388:AB1963,"*")</f>
        <v>5423.9999999998217</v>
      </c>
      <c r="BV1962" s="343">
        <f>SUMIFS($AU$1388:AU1963,$AA$1388:AA1963,"*",$AC$1388:AC1963,"*")</f>
        <v>18768.036363636369</v>
      </c>
      <c r="BW1962" s="343">
        <f>SUMIFS($AU$1388:AU1963,$AB$1388:AB1963,"*",$AC$1388:AC1963,"*")</f>
        <v>7119.9999999999982</v>
      </c>
      <c r="BX1962" s="343">
        <f>SUMIFS($AV$1388:AV1963,$Q$1388:Q1963,"F")</f>
        <v>411.82475235412153</v>
      </c>
      <c r="BY1962" s="343">
        <f>SUMIFS($AV$1388:AV1963,$Q$1388:Q1963,"S")</f>
        <v>700.70658000096557</v>
      </c>
      <c r="BZ1962" s="343">
        <f>SUMIFS($AV$1388:AV1963,$Q$1388:Q1963,"O")</f>
        <v>628.95929999973464</v>
      </c>
    </row>
    <row r="1963" spans="1:78" ht="15.75" customHeight="1">
      <c r="A1963" s="177" t="s">
        <v>6310</v>
      </c>
      <c r="B1963" s="200">
        <v>45419</v>
      </c>
      <c r="C1963" s="178" t="s">
        <v>4906</v>
      </c>
      <c r="D1963" s="178" t="s">
        <v>146</v>
      </c>
      <c r="E1963" s="227"/>
      <c r="F1963" s="180"/>
      <c r="G1963" s="573" t="s">
        <v>4837</v>
      </c>
      <c r="H1963" s="182"/>
      <c r="I1963" s="182"/>
      <c r="J1963" s="182"/>
      <c r="K1963" s="183"/>
      <c r="L1963" s="182">
        <v>1</v>
      </c>
      <c r="M1963" s="182"/>
      <c r="N1963" s="182"/>
      <c r="O1963" s="183" t="s">
        <v>95</v>
      </c>
      <c r="P1963" s="183" t="s">
        <v>137</v>
      </c>
      <c r="Q1963" s="183" t="s">
        <v>256</v>
      </c>
      <c r="R1963" s="183">
        <v>130</v>
      </c>
      <c r="S1963" s="183">
        <v>70</v>
      </c>
      <c r="T1963" s="183">
        <v>10</v>
      </c>
      <c r="U1963" s="183" t="s">
        <v>22</v>
      </c>
      <c r="V1963" s="183"/>
      <c r="W1963" s="183"/>
      <c r="X1963" s="183"/>
      <c r="Y1963" s="184">
        <f>IF(ISBLANK(O1963),"",(IF(O1963=UPPER("IB"),0.005,0.01)))</f>
        <v>0.01</v>
      </c>
      <c r="Z1963" s="185">
        <f>IF(ISBLANK(O1963),"",IF(O1963="IB",8.63*200,IF(O1963="IR",16*100,IF(O1963="YT",20*100,IF(O1963="YT-XT",24*200,IF(O1963="TED",80*100,IF(O1963="XT",29*200)))))))</f>
        <v>1600</v>
      </c>
      <c r="AA1963" s="185" t="s">
        <v>6391</v>
      </c>
      <c r="AB1963" s="185"/>
      <c r="AC1963" s="185" t="s">
        <v>6392</v>
      </c>
      <c r="AD1963" s="649">
        <f>((-0.04*50)+(-0.03*80))/130</f>
        <v>-3.3846153846153852E-2</v>
      </c>
      <c r="AE1963" s="182"/>
      <c r="AF1963" s="332"/>
      <c r="AG1963" s="182"/>
      <c r="AH1963" s="182"/>
      <c r="AI1963" s="182"/>
      <c r="AJ1963" s="640"/>
      <c r="AK1963" s="182"/>
      <c r="AL1963" s="496">
        <f t="shared" si="658"/>
        <v>-32</v>
      </c>
      <c r="AM1963" s="496">
        <f t="shared" si="652"/>
        <v>-1920</v>
      </c>
      <c r="AN1963" s="626" t="s">
        <v>6393</v>
      </c>
      <c r="AO1963" s="182"/>
      <c r="AP1963" s="182" t="s">
        <v>897</v>
      </c>
      <c r="AQ1963" s="332" t="s">
        <v>96</v>
      </c>
      <c r="AR1963" s="182"/>
      <c r="AS1963" s="189">
        <f>((-0.03*30)+(-0.02*40)+(-0.02*60))/130</f>
        <v>-2.2307692307692306E-2</v>
      </c>
      <c r="AT1963" s="189">
        <f>IF(ISBLANK(AS1963),,IF(U1963="S",AD1963-AS1963,AS1963-AD1963))</f>
        <v>1.1538461538461546E-2</v>
      </c>
      <c r="AU1963" s="187">
        <f>AV1963*R1963</f>
        <v>2400.0000000000018</v>
      </c>
      <c r="AV1963" s="190">
        <f t="shared" ref="AV1963" si="659">IF(ISBLANK(AS1963),,(AT1963*Z1963))</f>
        <v>18.461538461538474</v>
      </c>
      <c r="AW1963" s="191" t="s">
        <v>96</v>
      </c>
      <c r="AX1963" s="551" t="s">
        <v>6394</v>
      </c>
      <c r="AY1963" s="551" t="s">
        <v>6395</v>
      </c>
      <c r="AZ1963" s="551" t="s">
        <v>6396</v>
      </c>
      <c r="BA1963" s="551" t="s">
        <v>6397</v>
      </c>
      <c r="BB1963" s="551"/>
      <c r="BC1963" s="551"/>
      <c r="BD1963" s="549"/>
      <c r="BE1963" s="550"/>
      <c r="BF1963" s="549"/>
      <c r="BG1963" s="391">
        <f>SUM($AV$1389:AV1963)</f>
        <v>3689.4906323548271</v>
      </c>
      <c r="BH1963" s="392">
        <f>SUM($AU$1389:AU1963)</f>
        <v>53947.353506493135</v>
      </c>
      <c r="BI1963" s="318">
        <f>SUMIFS($AU$1388:AU1964,$Q$1388:Q1964,"F")</f>
        <v>28242.093506493511</v>
      </c>
      <c r="BJ1963" s="318">
        <f>SUMIFS($AU$1388:AU1964,$Q$1388:Q1964,"S")</f>
        <v>23344</v>
      </c>
      <c r="BK1963" s="343">
        <f>SUMIFS($AU$1388:AU1964,$P$1388:P1964,"W")</f>
        <v>36107.273506493846</v>
      </c>
      <c r="BL1963" s="343">
        <f>SUMIFS($AU$1388:AU1964,$P$1388:P1964,"R")</f>
        <v>17725.999999999862</v>
      </c>
      <c r="BM1963" s="343">
        <f>SUMIFS($AU$1388:AU1964,$AQ$1388:AQ1964,"M")</f>
        <v>8993.3799999992334</v>
      </c>
      <c r="BN1963" s="343">
        <f>SUMIFS($AU$1388:AU1964,$AQ$1388:AQ1964,"H")</f>
        <v>17287.200000000284</v>
      </c>
      <c r="BO1963" s="343">
        <f>SUMIFS($AU$1388:AU1964,$AQ$1388:AQ1964,"D")</f>
        <v>13961.507142857021</v>
      </c>
      <c r="BP1963" s="343">
        <f>SUMIFS($AS$1388:AS2713,$AO$1388:AO2713,"W")</f>
        <v>0</v>
      </c>
      <c r="BQ1963" s="343">
        <f>SUMIFS($AU$1388:AU1964,$Q$1388:Q1964,"O")</f>
        <v>1577.2599999996442</v>
      </c>
      <c r="BR1963" s="343">
        <f>SUMIFS($AU$1388:AU1964,$AA$1388:AA1964,"*")</f>
        <v>41513.436363635774</v>
      </c>
      <c r="BS1963" s="343">
        <f>SUMIFS($AU$1388:AU1964,$AB$1388:AB1964,"*")</f>
        <v>10383.860000000041</v>
      </c>
      <c r="BT1963" s="343">
        <f>SUMIFS($AU$1388:AU1964,$AC$1388:AC1964,"*")</f>
        <v>31362.093506493511</v>
      </c>
      <c r="BU1963" s="343">
        <f>SUMIFS($AU$1388:AU1964,$AA$1388:AA1964,"*",$AB$1388:AB1964,"*")</f>
        <v>5423.9999999998217</v>
      </c>
      <c r="BV1963" s="343">
        <f>SUMIFS($AU$1388:AU1964,$AA$1388:AA1964,"*",$AC$1388:AC1964,"*")</f>
        <v>19408.036363636369</v>
      </c>
      <c r="BW1963" s="343">
        <f>SUMIFS($AU$1388:AU1964,$AB$1388:AB1964,"*",$AC$1388:AC1964,"*")</f>
        <v>7119.9999999999982</v>
      </c>
      <c r="BX1963" s="343">
        <f>SUMIFS($AV$1388:AV1964,$Q$1388:Q1964,"F")</f>
        <v>418.22475235412151</v>
      </c>
      <c r="BY1963" s="343">
        <f>SUMIFS($AV$1388:AV1964,$Q$1388:Q1964,"S")</f>
        <v>700.70658000096557</v>
      </c>
      <c r="BZ1963" s="343">
        <f>SUMIFS($AV$1388:AV1964,$Q$1388:Q1964,"O")</f>
        <v>628.95929999973464</v>
      </c>
    </row>
    <row r="1964" spans="1:78" ht="15.75" customHeight="1">
      <c r="A1964" s="177" t="s">
        <v>6310</v>
      </c>
      <c r="B1964" s="200">
        <v>45419</v>
      </c>
      <c r="C1964" s="178" t="s">
        <v>1714</v>
      </c>
      <c r="D1964" s="178" t="s">
        <v>146</v>
      </c>
      <c r="E1964" s="227"/>
      <c r="F1964" s="180"/>
      <c r="G1964" s="573" t="s">
        <v>3885</v>
      </c>
      <c r="H1964" s="182"/>
      <c r="I1964" s="182"/>
      <c r="J1964" s="182"/>
      <c r="K1964" s="183"/>
      <c r="L1964" s="182">
        <v>1</v>
      </c>
      <c r="M1964" s="182"/>
      <c r="N1964" s="182"/>
      <c r="O1964" s="183" t="s">
        <v>95</v>
      </c>
      <c r="P1964" s="183" t="s">
        <v>96</v>
      </c>
      <c r="Q1964" s="183" t="s">
        <v>256</v>
      </c>
      <c r="R1964" s="183">
        <v>100</v>
      </c>
      <c r="S1964" s="183">
        <v>60</v>
      </c>
      <c r="T1964" s="183">
        <v>35</v>
      </c>
      <c r="U1964" s="183" t="s">
        <v>97</v>
      </c>
      <c r="V1964" s="183"/>
      <c r="W1964" s="183"/>
      <c r="X1964" s="183"/>
      <c r="Y1964" s="184">
        <f>IF(ISBLANK(O1964),"",(IF(O1964=UPPER("IB"),0.005,0.01)))</f>
        <v>0.01</v>
      </c>
      <c r="Z1964" s="185">
        <f>IF(ISBLANK(O1964),"",IF(O1964="IB",8.63*200,IF(O1964="IR",16*100,IF(O1964="YT",20*100,IF(O1964="YT-XT",24*200,IF(O1964="TED",80*100,IF(O1964="XT",29*200)))))))</f>
        <v>1600</v>
      </c>
      <c r="AA1964" s="185" t="s">
        <v>6398</v>
      </c>
      <c r="AB1964" s="185"/>
      <c r="AC1964" s="185" t="s">
        <v>6392</v>
      </c>
      <c r="AD1964" s="649">
        <f>((-0.02*50)+(-0.01*50))/100</f>
        <v>-1.4999999999999999E-2</v>
      </c>
      <c r="AE1964" s="182"/>
      <c r="AF1964" s="332"/>
      <c r="AG1964" s="182"/>
      <c r="AH1964" s="182"/>
      <c r="AI1964" s="182"/>
      <c r="AJ1964" s="640"/>
      <c r="AK1964" s="182"/>
      <c r="AL1964" s="496">
        <f>-0.01*Z1964</f>
        <v>-16</v>
      </c>
      <c r="AM1964" s="496">
        <f t="shared" si="652"/>
        <v>-640</v>
      </c>
      <c r="AN1964" s="626" t="s">
        <v>6393</v>
      </c>
      <c r="AO1964" s="182"/>
      <c r="AP1964" s="182" t="s">
        <v>3769</v>
      </c>
      <c r="AQ1964" s="332" t="s">
        <v>96</v>
      </c>
      <c r="AR1964" s="182"/>
      <c r="AS1964" s="189">
        <f>((-0.01*10)+(-0.02*50)+(-0.02*40))/100</f>
        <v>-1.9000000000000003E-2</v>
      </c>
      <c r="AT1964" s="189">
        <f>IF(ISBLANK(AS1964),,IF(U1964="S",AD1964-AS1964,AS1964-AD1964))</f>
        <v>4.0000000000000036E-3</v>
      </c>
      <c r="AU1964" s="187">
        <f>AV1964*R1964</f>
        <v>640.00000000000057</v>
      </c>
      <c r="AV1964" s="190">
        <f t="shared" si="656"/>
        <v>6.4000000000000057</v>
      </c>
      <c r="AW1964" s="191" t="s">
        <v>96</v>
      </c>
      <c r="AX1964" s="551"/>
      <c r="AY1964" s="551"/>
      <c r="AZ1964" s="551"/>
      <c r="BA1964" s="551"/>
      <c r="BB1964" s="551"/>
      <c r="BC1964" s="551"/>
      <c r="BD1964" s="549"/>
      <c r="BE1964" s="550"/>
      <c r="BF1964" s="549"/>
      <c r="BG1964" s="391">
        <f>SUM($AV$1389:AV1964)</f>
        <v>3695.8906323548272</v>
      </c>
      <c r="BH1964" s="392">
        <f>SUM($AU$1389:AU1964)</f>
        <v>54587.353506493135</v>
      </c>
      <c r="BI1964" s="318">
        <f>SUMIFS($AU$1388:AU2382,$Q$1388:Q2382,"F")</f>
        <v>28758.758121878131</v>
      </c>
      <c r="BJ1964" s="318">
        <f>SUMIFS($AU$1388:AU2382,$Q$1388:Q2382,"S")</f>
        <v>18338.285714285717</v>
      </c>
      <c r="BK1964" s="343">
        <f>SUMIFS($AU$1388:AU2382,$P$1388:P2382,"W")</f>
        <v>16085.423836163443</v>
      </c>
      <c r="BL1964" s="343">
        <f>SUMIFS($AU$1388:AU2382,$P$1388:P2382,"R")</f>
        <v>23278.800000000327</v>
      </c>
      <c r="BM1964" s="343">
        <f>SUMIFS($AU$1388:AU2382,$AQ$1388:AQ2382,"M")</f>
        <v>9563.1799999983832</v>
      </c>
      <c r="BN1964" s="343">
        <f>SUMIFS($AU$1388:AU2382,$AQ$1388:AQ2382,"H")</f>
        <v>12587.200000000877</v>
      </c>
      <c r="BO1964" s="343">
        <f>SUMIFS($AU$1388:AU2382,$AQ$1388:AQ2382,"D")</f>
        <v>11195.57747252718</v>
      </c>
      <c r="BP1964" s="343">
        <f>SUMIFS($AS$1388:AS2714,$AO$1388:AO2714,"W")</f>
        <v>0</v>
      </c>
      <c r="BQ1964" s="343">
        <f>SUMIFS($AU$1388:AU2382,$Q$1388:Q2382,"O")</f>
        <v>-9366.1400000007852</v>
      </c>
      <c r="BR1964" s="343">
        <f>SUMIFS($AU$1388:AU2382,$AA$1388:AA2382,"*")</f>
        <v>39156.002077921221</v>
      </c>
      <c r="BS1964" s="343">
        <f>SUMIFS($AU$1388:AU2382,$AB$1388:AB2382,"*")</f>
        <v>7005.8599999997941</v>
      </c>
      <c r="BT1964" s="343">
        <f>SUMIFS($AU$1388:AU2382,$AC$1388:AC2382,"*")</f>
        <v>31968.358121878122</v>
      </c>
      <c r="BU1964" s="343">
        <f>SUMIFS($AU$1388:AU2382,$AA$1388:AA2382,"*",$AB$1388:AB2382,"*")</f>
        <v>7301.9999999995771</v>
      </c>
      <c r="BV1964" s="343">
        <f>SUMIFS($AU$1388:AU2382,$AA$1388:AA2382,"*",$AC$1388:AC2382,"*")</f>
        <v>29949.316363636532</v>
      </c>
      <c r="BW1964" s="343">
        <f>SUMIFS($AU$1388:AU2382,$AB$1388:AB2382,"*",$AC$1388:AC2382,"*")</f>
        <v>3739.199999999998</v>
      </c>
      <c r="BX1964" s="343">
        <f>SUMIFS($AV$1388:AV2382,$Q$1388:Q2382,"F")</f>
        <v>396.72999236351012</v>
      </c>
      <c r="BY1964" s="343">
        <f>SUMIFS($AV$1388:AV2382,$Q$1388:Q2382,"S")</f>
        <v>775.76285705724263</v>
      </c>
      <c r="BZ1964" s="343">
        <f>SUMIFS($AV$1388:AV2382,$Q$1388:Q2382,"O")</f>
        <v>569.29929999965555</v>
      </c>
    </row>
    <row r="1965" spans="1:78" ht="15.75" customHeight="1">
      <c r="A1965" s="177" t="s">
        <v>6310</v>
      </c>
      <c r="B1965" s="200">
        <v>45419</v>
      </c>
      <c r="C1965" s="178" t="s">
        <v>1663</v>
      </c>
      <c r="D1965" s="178" t="s">
        <v>146</v>
      </c>
      <c r="E1965" s="227"/>
      <c r="F1965" s="180"/>
      <c r="G1965" s="553" t="s">
        <v>6399</v>
      </c>
      <c r="H1965" s="182"/>
      <c r="I1965" s="182"/>
      <c r="J1965" s="182"/>
      <c r="K1965" s="183"/>
      <c r="L1965" s="182">
        <v>1</v>
      </c>
      <c r="M1965" s="182"/>
      <c r="N1965" s="182"/>
      <c r="O1965" s="183" t="s">
        <v>95</v>
      </c>
      <c r="P1965" s="183" t="s">
        <v>137</v>
      </c>
      <c r="Q1965" s="183" t="s">
        <v>684</v>
      </c>
      <c r="R1965" s="183">
        <v>15</v>
      </c>
      <c r="S1965" s="183">
        <v>0</v>
      </c>
      <c r="T1965" s="183">
        <v>15</v>
      </c>
      <c r="U1965" s="183" t="s">
        <v>97</v>
      </c>
      <c r="V1965" s="183"/>
      <c r="W1965" s="183"/>
      <c r="X1965" s="183"/>
      <c r="Y1965" s="184">
        <f>IF(ISBLANK(O1965),"",(IF(O1965=UPPER("IB"),0.005,0.01)))</f>
        <v>0.01</v>
      </c>
      <c r="Z1965" s="185">
        <f>IF(ISBLANK(O1965),"",IF(O1965="IB",8.63*200,IF(O1965="IR",16*100,IF(O1965="YT",20*100,IF(O1965="YT-XT",24*200,IF(O1965="TED",80*100,IF(O1965="XT",29*200)))))))</f>
        <v>1600</v>
      </c>
      <c r="AA1965" s="185" t="s">
        <v>6400</v>
      </c>
      <c r="AB1965" s="185"/>
      <c r="AC1965" s="185"/>
      <c r="AD1965" s="649">
        <v>95.95</v>
      </c>
      <c r="AE1965" s="182"/>
      <c r="AF1965" s="332"/>
      <c r="AG1965" s="182"/>
      <c r="AH1965" s="182"/>
      <c r="AI1965" s="182"/>
      <c r="AJ1965" s="640"/>
      <c r="AK1965" s="182"/>
      <c r="AL1965" s="496">
        <f t="shared" si="658"/>
        <v>-32</v>
      </c>
      <c r="AM1965" s="496">
        <f t="shared" si="652"/>
        <v>-480</v>
      </c>
      <c r="AN1965" s="626"/>
      <c r="AO1965" s="182"/>
      <c r="AP1965" s="182"/>
      <c r="AQ1965" s="332" t="s">
        <v>372</v>
      </c>
      <c r="AR1965" s="182"/>
      <c r="AS1965" s="189">
        <v>95.97</v>
      </c>
      <c r="AT1965" s="189">
        <f>IF(ISBLANK(AS1965),,IF(U1965="S",AD1965-AS1965,AS1965-AD1965))</f>
        <v>-1.9999999999996021E-2</v>
      </c>
      <c r="AU1965" s="187">
        <f>AV1965*R1965</f>
        <v>-479.9999999999045</v>
      </c>
      <c r="AV1965" s="190">
        <f t="shared" si="656"/>
        <v>-31.999999999993634</v>
      </c>
      <c r="AW1965" s="191" t="s">
        <v>229</v>
      </c>
      <c r="AX1965" s="551" t="s">
        <v>6401</v>
      </c>
      <c r="AY1965" s="551"/>
      <c r="AZ1965" s="551"/>
      <c r="BA1965" s="551"/>
      <c r="BB1965" s="551"/>
      <c r="BC1965" s="551"/>
      <c r="BD1965" s="549" t="s">
        <v>6402</v>
      </c>
      <c r="BE1965" s="550"/>
      <c r="BF1965" s="549"/>
      <c r="BG1965" s="391">
        <f>SUM($AV$1389:AV1965)</f>
        <v>3663.8906323548335</v>
      </c>
      <c r="BH1965" s="392">
        <f>SUM($AU$1389:AU1965)</f>
        <v>54107.353506493229</v>
      </c>
      <c r="BI1965" s="318">
        <f>SUMIFS($AU$1388:AU1966,$Q$1388:Q1966,"F")</f>
        <v>28242.093506493511</v>
      </c>
      <c r="BJ1965" s="318">
        <f>SUMIFS($AU$1388:AU1966,$Q$1388:Q1966,"S")</f>
        <v>23344</v>
      </c>
      <c r="BK1965" s="343">
        <f>SUMIFS($AU$1388:AU1966,$P$1388:P1966,"W")</f>
        <v>36107.273506493846</v>
      </c>
      <c r="BL1965" s="343">
        <f>SUMIFS($AU$1388:AU1966,$P$1388:P1966,"R")</f>
        <v>17245.999999999956</v>
      </c>
      <c r="BM1965" s="343">
        <f>SUMIFS($AU$1388:AU1966,$AQ$1388:AQ1966,"M")</f>
        <v>8993.3799999992334</v>
      </c>
      <c r="BN1965" s="343">
        <f>SUMIFS($AU$1388:AU1966,$AQ$1388:AQ1966,"H")</f>
        <v>16807.200000000379</v>
      </c>
      <c r="BO1965" s="343">
        <f>SUMIFS($AU$1388:AU1966,$AQ$1388:AQ1966,"D")</f>
        <v>13961.507142857021</v>
      </c>
      <c r="BP1965" s="343">
        <f>SUMIFS($AS$1388:AS2711,$AO$1388:AO2711,"W")</f>
        <v>0</v>
      </c>
      <c r="BQ1965" s="343">
        <f>SUMIFS($AU$1388:AU1966,$Q$1388:Q1966,"O")</f>
        <v>1097.2599999997396</v>
      </c>
      <c r="BR1965" s="343">
        <f>SUMIFS($AU$1388:AU1966,$AA$1388:AA1966,"*")</f>
        <v>41033.436363635868</v>
      </c>
      <c r="BS1965" s="343">
        <f>SUMIFS($AU$1388:AU1966,$AB$1388:AB1966,"*")</f>
        <v>10383.860000000041</v>
      </c>
      <c r="BT1965" s="343">
        <f>SUMIFS($AU$1388:AU1966,$AC$1388:AC1966,"*")</f>
        <v>31362.093506493511</v>
      </c>
      <c r="BU1965" s="343">
        <f>SUMIFS($AU$1388:AU1966,$AA$1388:AA1966,"*",$AB$1388:AB1966,"*")</f>
        <v>5423.9999999998217</v>
      </c>
      <c r="BV1965" s="343">
        <f>SUMIFS($AU$1388:AU1966,$AA$1388:AA1966,"*",$AC$1388:AC1966,"*")</f>
        <v>19408.036363636369</v>
      </c>
      <c r="BW1965" s="343">
        <f>SUMIFS($AU$1388:AU1966,$AB$1388:AB1966,"*",$AC$1388:AC1966,"*")</f>
        <v>7119.9999999999982</v>
      </c>
      <c r="BX1965" s="343">
        <f>SUMIFS($AV$1388:AV1966,$Q$1388:Q1966,"F")</f>
        <v>418.22475235412151</v>
      </c>
      <c r="BY1965" s="343">
        <f>SUMIFS($AV$1388:AV1966,$Q$1388:Q1966,"S")</f>
        <v>700.70658000096557</v>
      </c>
      <c r="BZ1965" s="343">
        <f>SUMIFS($AV$1388:AV1966,$Q$1388:Q1966,"O")</f>
        <v>596.95929999974101</v>
      </c>
    </row>
    <row r="1966" spans="1:78" ht="15.75" customHeight="1">
      <c r="A1966" s="177" t="s">
        <v>6310</v>
      </c>
      <c r="B1966" s="200">
        <v>45420</v>
      </c>
      <c r="C1966" s="178" t="s">
        <v>733</v>
      </c>
      <c r="D1966" s="178" t="s">
        <v>151</v>
      </c>
      <c r="E1966" s="227"/>
      <c r="F1966" s="180"/>
      <c r="G1966" s="553" t="s">
        <v>3772</v>
      </c>
      <c r="H1966" s="182"/>
      <c r="I1966" s="182"/>
      <c r="J1966" s="182"/>
      <c r="K1966" s="183"/>
      <c r="L1966" s="182">
        <v>1</v>
      </c>
      <c r="M1966" s="182"/>
      <c r="N1966" s="182"/>
      <c r="O1966" s="183" t="s">
        <v>95</v>
      </c>
      <c r="P1966" s="183" t="s">
        <v>96</v>
      </c>
      <c r="Q1966" s="183" t="s">
        <v>256</v>
      </c>
      <c r="R1966" s="183">
        <v>50</v>
      </c>
      <c r="S1966" s="183">
        <v>30</v>
      </c>
      <c r="T1966" s="183">
        <v>20</v>
      </c>
      <c r="U1966" s="183" t="s">
        <v>22</v>
      </c>
      <c r="V1966" s="183"/>
      <c r="W1966" s="183"/>
      <c r="X1966" s="183"/>
      <c r="Y1966" s="184">
        <f>IF(ISBLANK(O1966),"",(IF(O1966=UPPER("IB"),0.005,0.01)))</f>
        <v>0.01</v>
      </c>
      <c r="Z1966" s="185">
        <f>IF(ISBLANK(O1966),"",IF(O1966="IB",8.63*200,IF(O1966="IR",16*100,IF(O1966="YT",20*100,IF(O1966="YT-XT",24*200,IF(O1966="TED",80*100,IF(O1966="XT",29*200)))))))</f>
        <v>1600</v>
      </c>
      <c r="AA1966" s="185"/>
      <c r="AB1966" s="185"/>
      <c r="AC1966" s="185" t="s">
        <v>6403</v>
      </c>
      <c r="AD1966" s="649">
        <v>0.08</v>
      </c>
      <c r="AE1966" s="182"/>
      <c r="AF1966" s="332"/>
      <c r="AG1966" s="182"/>
      <c r="AH1966" s="182"/>
      <c r="AI1966" s="182"/>
      <c r="AJ1966" s="640"/>
      <c r="AK1966" s="182"/>
      <c r="AL1966" s="496">
        <f t="shared" si="658"/>
        <v>-32</v>
      </c>
      <c r="AM1966" s="496">
        <f t="shared" si="652"/>
        <v>-640</v>
      </c>
      <c r="AN1966" s="626"/>
      <c r="AO1966" s="182"/>
      <c r="AP1966" s="182"/>
      <c r="AQ1966" s="332" t="s">
        <v>115</v>
      </c>
      <c r="AR1966" s="182"/>
      <c r="AS1966" s="189">
        <v>0.08</v>
      </c>
      <c r="AT1966" s="189">
        <f>IF(ISBLANK(AS1966),,IF(U1966="S",AD1966-AS1966,AS1966-AD1966))</f>
        <v>0</v>
      </c>
      <c r="AU1966" s="187">
        <f>AV1966*R1966</f>
        <v>0</v>
      </c>
      <c r="AV1966" s="190">
        <f t="shared" ref="AV1966" si="660">IF(ISBLANK(AS1966),,(AT1966*Z1966))</f>
        <v>0</v>
      </c>
      <c r="AW1966" s="191" t="s">
        <v>115</v>
      </c>
      <c r="AX1966" s="551"/>
      <c r="AY1966" s="551"/>
      <c r="AZ1966" s="551"/>
      <c r="BA1966" s="551"/>
      <c r="BB1966" s="551"/>
      <c r="BC1966" s="551"/>
      <c r="BD1966" s="549"/>
      <c r="BE1966" s="550"/>
      <c r="BF1966" s="549"/>
      <c r="BG1966" s="391">
        <f>SUM($AV$1389:AV1966)</f>
        <v>3663.8906323548335</v>
      </c>
      <c r="BH1966" s="392">
        <f>SUM($AU$1389:AU1966)</f>
        <v>54107.353506493229</v>
      </c>
      <c r="BI1966" s="318">
        <f>SUMIFS($AU$1388:AU1967,$Q$1388:Q1967,"F")</f>
        <v>28242.093506493511</v>
      </c>
      <c r="BJ1966" s="318">
        <f>SUMIFS($AU$1388:AU1967,$Q$1388:Q1967,"S")</f>
        <v>23344</v>
      </c>
      <c r="BK1966" s="343">
        <f>SUMIFS($AU$1388:AU1967,$P$1388:P1967,"W")</f>
        <v>36107.273506493846</v>
      </c>
      <c r="BL1966" s="343">
        <f>SUMIFS($AU$1388:AU1967,$P$1388:P1967,"R")</f>
        <v>17245.999999999956</v>
      </c>
      <c r="BM1966" s="343">
        <f>SUMIFS($AU$1388:AU1967,$AQ$1388:AQ1967,"M")</f>
        <v>8993.3799999992334</v>
      </c>
      <c r="BN1966" s="343">
        <f>SUMIFS($AU$1388:AU1967,$AQ$1388:AQ1967,"H")</f>
        <v>16807.200000000379</v>
      </c>
      <c r="BO1966" s="343">
        <f>SUMIFS($AU$1388:AU1967,$AQ$1388:AQ1967,"D")</f>
        <v>13961.507142857021</v>
      </c>
      <c r="BP1966" s="343">
        <f>SUMIFS($AS$1388:AS2712,$AO$1388:AO2712,"W")</f>
        <v>0</v>
      </c>
      <c r="BQ1966" s="343">
        <f>SUMIFS($AU$1388:AU1967,$Q$1388:Q1967,"O")</f>
        <v>1097.2599999997396</v>
      </c>
      <c r="BR1966" s="343">
        <f>SUMIFS($AU$1388:AU1967,$AA$1388:AA1967,"*")</f>
        <v>41033.436363635868</v>
      </c>
      <c r="BS1966" s="343">
        <f>SUMIFS($AU$1388:AU1967,$AB$1388:AB1967,"*")</f>
        <v>10383.860000000041</v>
      </c>
      <c r="BT1966" s="343">
        <f>SUMIFS($AU$1388:AU1967,$AC$1388:AC1967,"*")</f>
        <v>31362.093506493511</v>
      </c>
      <c r="BU1966" s="343">
        <f>SUMIFS($AU$1388:AU1967,$AA$1388:AA1967,"*",$AB$1388:AB1967,"*")</f>
        <v>5423.9999999998217</v>
      </c>
      <c r="BV1966" s="343">
        <f>SUMIFS($AU$1388:AU1967,$AA$1388:AA1967,"*",$AC$1388:AC1967,"*")</f>
        <v>19408.036363636369</v>
      </c>
      <c r="BW1966" s="343">
        <f>SUMIFS($AU$1388:AU1967,$AB$1388:AB1967,"*",$AC$1388:AC1967,"*")</f>
        <v>7119.9999999999982</v>
      </c>
      <c r="BX1966" s="343">
        <f>SUMIFS($AV$1388:AV1967,$Q$1388:Q1967,"F")</f>
        <v>418.22475235412151</v>
      </c>
      <c r="BY1966" s="343">
        <f>SUMIFS($AV$1388:AV1967,$Q$1388:Q1967,"S")</f>
        <v>700.70658000096557</v>
      </c>
      <c r="BZ1966" s="343">
        <f>SUMIFS($AV$1388:AV1967,$Q$1388:Q1967,"O")</f>
        <v>596.95929999974101</v>
      </c>
    </row>
    <row r="1967" spans="1:78" ht="15.75" customHeight="1">
      <c r="A1967" s="177" t="s">
        <v>6310</v>
      </c>
      <c r="B1967" s="200">
        <v>45420</v>
      </c>
      <c r="C1967" s="178" t="s">
        <v>5042</v>
      </c>
      <c r="D1967" s="178" t="s">
        <v>151</v>
      </c>
      <c r="E1967" s="227"/>
      <c r="F1967" s="180"/>
      <c r="G1967" s="553" t="s">
        <v>4941</v>
      </c>
      <c r="H1967" s="182"/>
      <c r="I1967" s="182"/>
      <c r="J1967" s="182"/>
      <c r="K1967" s="183"/>
      <c r="L1967" s="182"/>
      <c r="M1967" s="182"/>
      <c r="N1967" s="182"/>
      <c r="O1967" s="183" t="s">
        <v>95</v>
      </c>
      <c r="P1967" s="183" t="s">
        <v>137</v>
      </c>
      <c r="Q1967" s="183" t="s">
        <v>97</v>
      </c>
      <c r="R1967" s="183">
        <v>20</v>
      </c>
      <c r="S1967" s="559">
        <v>0</v>
      </c>
      <c r="T1967" s="183">
        <v>20</v>
      </c>
      <c r="U1967" s="183" t="s">
        <v>22</v>
      </c>
      <c r="V1967" s="183"/>
      <c r="W1967" s="183"/>
      <c r="X1967" s="183"/>
      <c r="Y1967" s="184">
        <f>IF(ISBLANK(O1967),"",(IF(O1967=UPPER("IB"),0.005,0.01)))</f>
        <v>0.01</v>
      </c>
      <c r="Z1967" s="185">
        <f>IF(ISBLANK(O1967),"",IF(O1967="IB",8.63*200,IF(O1967="IR",16*100,IF(O1967="YT",20*100,IF(O1967="YT-XT",24*200,IF(O1967="TED",80*100,IF(O1967="XT",29*200)))))))</f>
        <v>1600</v>
      </c>
      <c r="AA1967" s="185" t="s">
        <v>6404</v>
      </c>
      <c r="AB1967" s="185"/>
      <c r="AC1967" s="185"/>
      <c r="AD1967" s="649">
        <v>-0.04</v>
      </c>
      <c r="AE1967" s="182"/>
      <c r="AF1967" s="332"/>
      <c r="AG1967" s="182"/>
      <c r="AH1967" s="182"/>
      <c r="AI1967" s="182"/>
      <c r="AJ1967" s="640"/>
      <c r="AK1967" s="182"/>
      <c r="AL1967" s="496">
        <f t="shared" si="658"/>
        <v>-32</v>
      </c>
      <c r="AM1967" s="496">
        <f t="shared" si="652"/>
        <v>-640</v>
      </c>
      <c r="AN1967" s="626"/>
      <c r="AO1967" s="182"/>
      <c r="AP1967" s="182" t="s">
        <v>804</v>
      </c>
      <c r="AQ1967" s="332" t="s">
        <v>115</v>
      </c>
      <c r="AR1967" s="182"/>
      <c r="AS1967" s="189">
        <v>-0.04</v>
      </c>
      <c r="AT1967" s="189">
        <f>IF(ISBLANK(AS1967),,IF(U1967="S",AD1967-AS1967,AS1967-AD1967))</f>
        <v>0</v>
      </c>
      <c r="AU1967" s="187">
        <f>AV1967*R1967</f>
        <v>0</v>
      </c>
      <c r="AV1967" s="190">
        <f t="shared" ref="AV1967" si="661">IF(ISBLANK(AS1967),,(AT1967*Z1967))</f>
        <v>0</v>
      </c>
      <c r="AW1967" s="191" t="s">
        <v>115</v>
      </c>
      <c r="AX1967" s="551" t="s">
        <v>6405</v>
      </c>
      <c r="AY1967" s="551"/>
      <c r="AZ1967" s="551"/>
      <c r="BA1967" s="551"/>
      <c r="BB1967" s="551"/>
      <c r="BC1967" s="551"/>
      <c r="BD1967" s="549"/>
      <c r="BE1967" s="550"/>
      <c r="BF1967" s="549"/>
      <c r="BG1967" s="391">
        <f>SUM($AV$1389:AV1967)</f>
        <v>3663.8906323548335</v>
      </c>
      <c r="BH1967" s="392">
        <f>SUM($AU$1389:AU1967)</f>
        <v>54107.353506493229</v>
      </c>
      <c r="BI1967" s="318">
        <f>SUMIFS($AU$1388:AU1968,$Q$1388:Q1968,"F")</f>
        <v>28242.093506493511</v>
      </c>
      <c r="BJ1967" s="318">
        <f>SUMIFS($AU$1388:AU1968,$Q$1388:Q1968,"S")</f>
        <v>23344</v>
      </c>
      <c r="BK1967" s="343">
        <f>SUMIFS($AU$1388:AU1968,$P$1388:P1968,"W")</f>
        <v>36107.273506493846</v>
      </c>
      <c r="BL1967" s="343">
        <f>SUMIFS($AU$1388:AU1968,$P$1388:P1968,"R")</f>
        <v>17245.999999999956</v>
      </c>
      <c r="BM1967" s="343">
        <f>SUMIFS($AU$1388:AU1968,$AQ$1388:AQ1968,"M")</f>
        <v>8993.3799999992334</v>
      </c>
      <c r="BN1967" s="343">
        <f>SUMIFS($AU$1388:AU1968,$AQ$1388:AQ1968,"H")</f>
        <v>16807.200000000379</v>
      </c>
      <c r="BO1967" s="343">
        <f>SUMIFS($AU$1388:AU1968,$AQ$1388:AQ1968,"D")</f>
        <v>13961.507142857021</v>
      </c>
      <c r="BP1967" s="343">
        <f>SUMIFS($AS$1388:AS2713,$AO$1388:AO2713,"W")</f>
        <v>0</v>
      </c>
      <c r="BQ1967" s="343">
        <f>SUMIFS($AU$1388:AU1968,$Q$1388:Q1968,"O")</f>
        <v>1097.2599999997396</v>
      </c>
      <c r="BR1967" s="343">
        <f>SUMIFS($AU$1388:AU1968,$AA$1388:AA1968,"*")</f>
        <v>41033.436363635868</v>
      </c>
      <c r="BS1967" s="343">
        <f>SUMIFS($AU$1388:AU1968,$AB$1388:AB1968,"*")</f>
        <v>10383.860000000041</v>
      </c>
      <c r="BT1967" s="343">
        <f>SUMIFS($AU$1388:AU1968,$AC$1388:AC1968,"*")</f>
        <v>31362.093506493511</v>
      </c>
      <c r="BU1967" s="343">
        <f>SUMIFS($AU$1388:AU1968,$AA$1388:AA1968,"*",$AB$1388:AB1968,"*")</f>
        <v>5423.9999999998217</v>
      </c>
      <c r="BV1967" s="343">
        <f>SUMIFS($AU$1388:AU1968,$AA$1388:AA1968,"*",$AC$1388:AC1968,"*")</f>
        <v>19408.036363636369</v>
      </c>
      <c r="BW1967" s="343">
        <f>SUMIFS($AU$1388:AU1968,$AB$1388:AB1968,"*",$AC$1388:AC1968,"*")</f>
        <v>7119.9999999999982</v>
      </c>
      <c r="BX1967" s="343">
        <f>SUMIFS($AV$1388:AV1968,$Q$1388:Q1968,"F")</f>
        <v>418.22475235412151</v>
      </c>
      <c r="BY1967" s="343">
        <f>SUMIFS($AV$1388:AV1968,$Q$1388:Q1968,"S")</f>
        <v>700.70658000096557</v>
      </c>
      <c r="BZ1967" s="343">
        <f>SUMIFS($AV$1388:AV1968,$Q$1388:Q1968,"O")</f>
        <v>596.95929999974101</v>
      </c>
    </row>
    <row r="1968" spans="1:78" ht="15.75" customHeight="1">
      <c r="A1968" s="177" t="s">
        <v>6310</v>
      </c>
      <c r="B1968" s="200">
        <v>45420</v>
      </c>
      <c r="C1968" s="178" t="s">
        <v>6406</v>
      </c>
      <c r="D1968" s="178" t="s">
        <v>151</v>
      </c>
      <c r="E1968" s="227"/>
      <c r="F1968" s="180"/>
      <c r="G1968" s="181" t="s">
        <v>136</v>
      </c>
      <c r="H1968" s="182"/>
      <c r="I1968" s="182"/>
      <c r="J1968" s="182"/>
      <c r="K1968" s="183"/>
      <c r="L1968" s="182"/>
      <c r="M1968" s="182"/>
      <c r="N1968" s="182"/>
      <c r="O1968" s="183"/>
      <c r="P1968" s="183"/>
      <c r="Q1968" s="183"/>
      <c r="R1968" s="183"/>
      <c r="S1968" s="559"/>
      <c r="T1968" s="183"/>
      <c r="U1968" s="183"/>
      <c r="V1968" s="183"/>
      <c r="W1968" s="183"/>
      <c r="X1968" s="183"/>
      <c r="Y1968" s="184"/>
      <c r="Z1968" s="185"/>
      <c r="AA1968" s="185"/>
      <c r="AB1968" s="185"/>
      <c r="AC1968" s="185"/>
      <c r="AD1968" s="649"/>
      <c r="AE1968" s="182"/>
      <c r="AF1968" s="332"/>
      <c r="AG1968" s="182"/>
      <c r="AH1968" s="182"/>
      <c r="AI1968" s="182"/>
      <c r="AJ1968" s="640"/>
      <c r="AK1968" s="182"/>
      <c r="AL1968" s="496">
        <f t="shared" si="658"/>
        <v>0</v>
      </c>
      <c r="AM1968" s="496">
        <f t="shared" si="652"/>
        <v>0</v>
      </c>
      <c r="AN1968" s="626"/>
      <c r="AO1968" s="182"/>
      <c r="AP1968" s="182"/>
      <c r="AQ1968" s="332" t="str">
        <f>UPPER(RIGHT(Journal_Live[[#This Row],[DURATION ]]))</f>
        <v/>
      </c>
      <c r="AR1968" s="182"/>
      <c r="AS1968" s="189"/>
      <c r="AT1968" s="189"/>
      <c r="AU1968" s="187"/>
      <c r="AV1968" s="190"/>
      <c r="AW1968" s="191"/>
      <c r="AX1968" s="551"/>
      <c r="AY1968" s="551"/>
      <c r="AZ1968" s="551"/>
      <c r="BA1968" s="551"/>
      <c r="BB1968" s="551"/>
      <c r="BC1968" s="551"/>
      <c r="BD1968" s="549"/>
      <c r="BE1968" s="550"/>
      <c r="BF1968" s="549"/>
      <c r="BG1968" s="391">
        <f>SUM($AV$1389:AV1968)</f>
        <v>3663.8906323548335</v>
      </c>
      <c r="BH1968" s="392">
        <f>SUM($AU$1389:AU1968)</f>
        <v>54107.353506493229</v>
      </c>
      <c r="BI1968" s="318">
        <f>SUMIFS($AU$1388:AU2382,$Q$1388:Q2382,"F")</f>
        <v>28758.758121878131</v>
      </c>
      <c r="BJ1968" s="318">
        <f>SUMIFS($AU$1388:AU2382,$Q$1388:Q2382,"S")</f>
        <v>18338.285714285717</v>
      </c>
      <c r="BK1968" s="343">
        <f>SUMIFS($AU$1388:AU2382,$P$1388:P2382,"W")</f>
        <v>16085.423836163443</v>
      </c>
      <c r="BL1968" s="343">
        <f>SUMIFS($AU$1388:AU2382,$P$1388:P2382,"R")</f>
        <v>23278.800000000327</v>
      </c>
      <c r="BM1968" s="343">
        <f>SUMIFS($AU$1388:AU2382,$AQ$1388:AQ2382,"M")</f>
        <v>9563.1799999983832</v>
      </c>
      <c r="BN1968" s="343">
        <f>SUMIFS($AU$1388:AU2382,$AQ$1388:AQ2382,"H")</f>
        <v>12587.200000000877</v>
      </c>
      <c r="BO1968" s="343">
        <f>SUMIFS($AU$1388:AU2382,$AQ$1388:AQ2382,"D")</f>
        <v>11195.57747252718</v>
      </c>
      <c r="BP1968" s="343">
        <f>SUMIFS($AS$1388:AS2714,$AO$1388:AO2714,"W")</f>
        <v>0</v>
      </c>
      <c r="BQ1968" s="343">
        <f>SUMIFS($AU$1388:AU2382,$Q$1388:Q2382,"O")</f>
        <v>-9366.1400000007852</v>
      </c>
      <c r="BR1968" s="343">
        <f>SUMIFS($AU$1388:AU2382,$AA$1388:AA2382,"*")</f>
        <v>39156.002077921221</v>
      </c>
      <c r="BS1968" s="343">
        <f>SUMIFS($AU$1388:AU2382,$AB$1388:AB2382,"*")</f>
        <v>7005.8599999997941</v>
      </c>
      <c r="BT1968" s="343">
        <f>SUMIFS($AU$1388:AU2382,$AC$1388:AC2382,"*")</f>
        <v>31968.358121878122</v>
      </c>
      <c r="BU1968" s="343">
        <f>SUMIFS($AU$1388:AU2382,$AA$1388:AA2382,"*",$AB$1388:AB2382,"*")</f>
        <v>7301.9999999995771</v>
      </c>
      <c r="BV1968" s="343">
        <f>SUMIFS($AU$1388:AU2382,$AA$1388:AA2382,"*",$AC$1388:AC2382,"*")</f>
        <v>29949.316363636532</v>
      </c>
      <c r="BW1968" s="343">
        <f>SUMIFS($AU$1388:AU2382,$AB$1388:AB2382,"*",$AC$1388:AC2382,"*")</f>
        <v>3739.199999999998</v>
      </c>
      <c r="BX1968" s="343">
        <f>SUMIFS($AV$1388:AV2382,$Q$1388:Q2382,"F")</f>
        <v>396.72999236351012</v>
      </c>
      <c r="BY1968" s="343">
        <f>SUMIFS($AV$1388:AV2382,$Q$1388:Q2382,"S")</f>
        <v>775.76285705724263</v>
      </c>
      <c r="BZ1968" s="343">
        <f>SUMIFS($AV$1388:AV2382,$Q$1388:Q2382,"O")</f>
        <v>569.29929999965555</v>
      </c>
    </row>
    <row r="1969" spans="1:78" ht="15.75" customHeight="1">
      <c r="A1969" s="177" t="s">
        <v>6310</v>
      </c>
      <c r="B1969" s="200">
        <v>45420</v>
      </c>
      <c r="C1969" s="178" t="s">
        <v>6406</v>
      </c>
      <c r="D1969" s="178" t="s">
        <v>151</v>
      </c>
      <c r="E1969" s="227"/>
      <c r="F1969" s="180"/>
      <c r="G1969" s="181" t="s">
        <v>136</v>
      </c>
      <c r="H1969" s="182"/>
      <c r="I1969" s="182"/>
      <c r="J1969" s="182"/>
      <c r="K1969" s="183"/>
      <c r="L1969" s="182"/>
      <c r="M1969" s="182"/>
      <c r="N1969" s="182"/>
      <c r="O1969" s="183"/>
      <c r="P1969" s="183"/>
      <c r="Q1969" s="183"/>
      <c r="R1969" s="183"/>
      <c r="S1969" s="559"/>
      <c r="T1969" s="183"/>
      <c r="U1969" s="183"/>
      <c r="V1969" s="183"/>
      <c r="W1969" s="183"/>
      <c r="X1969" s="183"/>
      <c r="Y1969" s="184"/>
      <c r="Z1969" s="185"/>
      <c r="AA1969" s="185"/>
      <c r="AB1969" s="185"/>
      <c r="AC1969" s="185"/>
      <c r="AD1969" s="649"/>
      <c r="AE1969" s="182"/>
      <c r="AF1969" s="332"/>
      <c r="AG1969" s="182"/>
      <c r="AH1969" s="182"/>
      <c r="AI1969" s="182"/>
      <c r="AJ1969" s="640"/>
      <c r="AK1969" s="182"/>
      <c r="AL1969" s="496">
        <f t="shared" ref="AL1969" si="662">-0.02*Z1969</f>
        <v>0</v>
      </c>
      <c r="AM1969" s="496">
        <f t="shared" si="652"/>
        <v>0</v>
      </c>
      <c r="AN1969" s="626"/>
      <c r="AO1969" s="182"/>
      <c r="AP1969" s="182"/>
      <c r="AQ1969" s="332" t="str">
        <f>UPPER(RIGHT(Journal_Live[[#This Row],[DURATION ]]))</f>
        <v/>
      </c>
      <c r="AR1969" s="182"/>
      <c r="AS1969" s="189"/>
      <c r="AT1969" s="189"/>
      <c r="AU1969" s="187"/>
      <c r="AV1969" s="190"/>
      <c r="AW1969" s="191"/>
      <c r="AX1969" s="551" t="s">
        <v>6407</v>
      </c>
      <c r="AY1969" s="551"/>
      <c r="AZ1969" s="551"/>
      <c r="BA1969" s="551"/>
      <c r="BB1969" s="551"/>
      <c r="BC1969" s="551"/>
      <c r="BD1969" s="549"/>
      <c r="BE1969" s="550"/>
      <c r="BF1969" s="549"/>
      <c r="BG1969" s="391">
        <f>SUM($AV$1389:AV1969)</f>
        <v>3663.8906323548335</v>
      </c>
      <c r="BH1969" s="392">
        <f>SUM($AU$1389:AU1969)</f>
        <v>54107.353506493229</v>
      </c>
      <c r="BI1969" s="318">
        <f>SUMIFS($AU$1388:AU2475,$Q$1388:Q2475,"F")</f>
        <v>27302.758121878131</v>
      </c>
      <c r="BJ1969" s="318">
        <f>SUMIFS($AU$1388:AU2475,$Q$1388:Q2475,"S")</f>
        <v>16018.285714285717</v>
      </c>
      <c r="BK1969" s="343">
        <f>SUMIFS($AU$1388:AU2475,$P$1388:P2475,"W")</f>
        <v>14725.423836163412</v>
      </c>
      <c r="BL1969" s="343">
        <f>SUMIFS($AU$1388:AU2475,$P$1388:P2475,"R")</f>
        <v>20606.800000000316</v>
      </c>
      <c r="BM1969" s="343">
        <f>SUMIFS($AU$1388:AU2475,$AQ$1388:AQ2475,"M")</f>
        <v>9430.1799999983141</v>
      </c>
      <c r="BN1969" s="343">
        <f>SUMIFS($AU$1388:AU2475,$AQ$1388:AQ2475,"H")</f>
        <v>13147.200000000877</v>
      </c>
      <c r="BO1969" s="343">
        <f>SUMIFS($AU$1388:AU2475,$AQ$1388:AQ2475,"D")</f>
        <v>7291.5774725271494</v>
      </c>
      <c r="BP1969" s="343">
        <f>SUMIFS($AS$1388:AS2715,$AO$1388:AO2715,"W")</f>
        <v>0</v>
      </c>
      <c r="BQ1969" s="343">
        <f>SUMIFS($AU$1388:AU2475,$Q$1388:Q2475,"O")</f>
        <v>-9935.1400000008871</v>
      </c>
      <c r="BR1969" s="343">
        <f>SUMIFS($AU$1388:AU2475,$AA$1388:AA2475,"*")</f>
        <v>34559.002077921141</v>
      </c>
      <c r="BS1969" s="343">
        <f>SUMIFS($AU$1388:AU2475,$AB$1388:AB2475,"*")</f>
        <v>7433.8599999997632</v>
      </c>
      <c r="BT1969" s="343">
        <f>SUMIFS($AU$1388:AU2475,$AC$1388:AC2475,"*")</f>
        <v>28192.358121878111</v>
      </c>
      <c r="BU1969" s="343">
        <f>SUMIFS($AU$1388:AU2475,$AA$1388:AA2475,"*",$AB$1388:AB2475,"*")</f>
        <v>7493.9999999995462</v>
      </c>
      <c r="BV1969" s="343">
        <f>SUMIFS($AU$1388:AU2475,$AA$1388:AA2475,"*",$AC$1388:AC2475,"*")</f>
        <v>25997.316363636532</v>
      </c>
      <c r="BW1969" s="343">
        <f>SUMIFS($AU$1388:AU2475,$AB$1388:AB2475,"*",$AC$1388:AC2475,"*")</f>
        <v>3851.199999999998</v>
      </c>
      <c r="BX1969" s="343">
        <f>SUMIFS($AV$1388:AV2475,$Q$1388:Q2475,"F")</f>
        <v>369.34537697889471</v>
      </c>
      <c r="BY1969" s="343">
        <f>SUMIFS($AV$1388:AV2475,$Q$1388:Q2475,"S")</f>
        <v>676.67714277152845</v>
      </c>
      <c r="BZ1969" s="343">
        <f>SUMIFS($AV$1388:AV2475,$Q$1388:Q2475,"O")</f>
        <v>326.96596666624367</v>
      </c>
    </row>
    <row r="1970" spans="1:78" ht="15.75" customHeight="1">
      <c r="A1970" s="177" t="s">
        <v>6310</v>
      </c>
      <c r="B1970" s="200">
        <v>45421</v>
      </c>
      <c r="C1970" s="178" t="s">
        <v>6408</v>
      </c>
      <c r="D1970" s="178" t="s">
        <v>93</v>
      </c>
      <c r="E1970" s="227"/>
      <c r="F1970" s="180"/>
      <c r="G1970" s="553" t="s">
        <v>2070</v>
      </c>
      <c r="H1970" s="182"/>
      <c r="I1970" s="182"/>
      <c r="J1970" s="182"/>
      <c r="K1970" s="183"/>
      <c r="L1970" s="182"/>
      <c r="M1970" s="182"/>
      <c r="N1970" s="182"/>
      <c r="O1970" s="183" t="s">
        <v>95</v>
      </c>
      <c r="P1970" s="183" t="s">
        <v>137</v>
      </c>
      <c r="Q1970" s="183" t="s">
        <v>97</v>
      </c>
      <c r="R1970" s="183">
        <v>20</v>
      </c>
      <c r="S1970" s="559">
        <v>0</v>
      </c>
      <c r="T1970" s="183">
        <v>20</v>
      </c>
      <c r="U1970" s="183" t="s">
        <v>97</v>
      </c>
      <c r="V1970" s="183"/>
      <c r="W1970" s="183"/>
      <c r="X1970" s="183"/>
      <c r="Y1970" s="184">
        <f>IF(ISBLANK(O1970),"",(IF(O1970=UPPER("IB"),0.005,0.01)))</f>
        <v>0.01</v>
      </c>
      <c r="Z1970" s="185">
        <f>IF(ISBLANK(O1970),"",IF(O1970="IB",8.63*200,IF(O1970="IR",16*100,IF(O1970="YT",20*100,IF(O1970="YT-XT",24*200,IF(O1970="TED",80*100,IF(O1970="XT",29*200)))))))</f>
        <v>1600</v>
      </c>
      <c r="AA1970" s="185" t="s">
        <v>5492</v>
      </c>
      <c r="AB1970" s="185"/>
      <c r="AC1970" s="185" t="s">
        <v>4589</v>
      </c>
      <c r="AD1970" s="649">
        <v>-0.09</v>
      </c>
      <c r="AE1970" s="182"/>
      <c r="AF1970" s="332"/>
      <c r="AG1970" s="182"/>
      <c r="AH1970" s="182"/>
      <c r="AI1970" s="182"/>
      <c r="AJ1970" s="640"/>
      <c r="AK1970" s="182"/>
      <c r="AL1970" s="496">
        <f t="shared" ref="AL1970:AL1974" si="663">-0.02*Z1970</f>
        <v>-32</v>
      </c>
      <c r="AM1970" s="496">
        <f t="shared" si="652"/>
        <v>-640</v>
      </c>
      <c r="AN1970" s="626"/>
      <c r="AO1970" s="182"/>
      <c r="AP1970" s="182"/>
      <c r="AQ1970" s="332" t="s">
        <v>372</v>
      </c>
      <c r="AR1970" s="182"/>
      <c r="AS1970" s="189">
        <v>-0.1</v>
      </c>
      <c r="AT1970" s="189">
        <f>IF(ISBLANK(AS1970),,IF(U1970="S",AD1970-AS1970,AS1970-AD1970))</f>
        <v>1.0000000000000009E-2</v>
      </c>
      <c r="AU1970" s="187">
        <f>AV1970*R1970</f>
        <v>320.00000000000028</v>
      </c>
      <c r="AV1970" s="190">
        <f t="shared" ref="AV1970" si="664">IF(ISBLANK(AS1970),,(AT1970*Z1970))</f>
        <v>16.000000000000014</v>
      </c>
      <c r="AW1970" s="191" t="s">
        <v>96</v>
      </c>
      <c r="AX1970" s="551" t="s">
        <v>940</v>
      </c>
      <c r="AY1970" s="551"/>
      <c r="AZ1970" s="551"/>
      <c r="BA1970" s="551"/>
      <c r="BB1970" s="551"/>
      <c r="BC1970" s="551"/>
      <c r="BD1970" s="549"/>
      <c r="BE1970" s="550"/>
      <c r="BF1970" s="549"/>
      <c r="BG1970" s="391">
        <f>SUM($AV$1389:AV1970)</f>
        <v>3679.8906323548335</v>
      </c>
      <c r="BH1970" s="392">
        <f>SUM($AU$1389:AU1970)</f>
        <v>54427.353506493229</v>
      </c>
      <c r="BI1970" s="318">
        <f>SUMIFS($AU$1388:AU1971,$Q$1388:Q1971,"F")</f>
        <v>28242.093506493511</v>
      </c>
      <c r="BJ1970" s="318">
        <f>SUMIFS($AU$1388:AU1971,$Q$1388:Q1971,"S")</f>
        <v>23664</v>
      </c>
      <c r="BK1970" s="343">
        <f>SUMIFS($AU$1388:AU1971,$P$1388:P1971,"W")</f>
        <v>36107.273506493846</v>
      </c>
      <c r="BL1970" s="343">
        <f>SUMIFS($AU$1388:AU1971,$P$1388:P1971,"R")</f>
        <v>17565.999999999956</v>
      </c>
      <c r="BM1970" s="343">
        <f>SUMIFS($AU$1388:AU1971,$AQ$1388:AQ1971,"M")</f>
        <v>8993.3799999992334</v>
      </c>
      <c r="BN1970" s="343">
        <f>SUMIFS($AU$1388:AU1971,$AQ$1388:AQ1971,"H")</f>
        <v>17127.200000000379</v>
      </c>
      <c r="BO1970" s="343">
        <f>SUMIFS($AU$1388:AU1971,$AQ$1388:AQ1971,"D")</f>
        <v>13961.507142857021</v>
      </c>
      <c r="BP1970" s="343">
        <f>SUMIFS($AS$1388:AS2707,$AO$1388:AO2707,"W")</f>
        <v>0</v>
      </c>
      <c r="BQ1970" s="343">
        <f>SUMIFS($AU$1388:AU1971,$Q$1388:Q1971,"O")</f>
        <v>1097.2599999997396</v>
      </c>
      <c r="BR1970" s="343">
        <f>SUMIFS($AU$1388:AU1971,$AA$1388:AA1971,"*")</f>
        <v>41353.436363635868</v>
      </c>
      <c r="BS1970" s="343">
        <f>SUMIFS($AU$1388:AU1971,$AB$1388:AB1971,"*")</f>
        <v>10383.860000000041</v>
      </c>
      <c r="BT1970" s="343">
        <f>SUMIFS($AU$1388:AU1971,$AC$1388:AC1971,"*")</f>
        <v>31682.093506493511</v>
      </c>
      <c r="BU1970" s="343">
        <f>SUMIFS($AU$1388:AU1971,$AA$1388:AA1971,"*",$AB$1388:AB1971,"*")</f>
        <v>5423.9999999998217</v>
      </c>
      <c r="BV1970" s="343">
        <f>SUMIFS($AU$1388:AU1971,$AA$1388:AA1971,"*",$AC$1388:AC1971,"*")</f>
        <v>19728.036363636369</v>
      </c>
      <c r="BW1970" s="343">
        <f>SUMIFS($AU$1388:AU1971,$AB$1388:AB1971,"*",$AC$1388:AC1971,"*")</f>
        <v>7119.9999999999982</v>
      </c>
      <c r="BX1970" s="343">
        <f>SUMIFS($AV$1388:AV1971,$Q$1388:Q1971,"F")</f>
        <v>418.22475235412151</v>
      </c>
      <c r="BY1970" s="343">
        <f>SUMIFS($AV$1388:AV1971,$Q$1388:Q1971,"S")</f>
        <v>716.70658000096557</v>
      </c>
      <c r="BZ1970" s="343">
        <f>SUMIFS($AV$1388:AV1971,$Q$1388:Q1971,"O")</f>
        <v>596.95929999974101</v>
      </c>
    </row>
    <row r="1971" spans="1:78" ht="15.75" customHeight="1">
      <c r="A1971" s="177" t="s">
        <v>6310</v>
      </c>
      <c r="B1971" s="200">
        <v>45422</v>
      </c>
      <c r="C1971" s="178" t="s">
        <v>2020</v>
      </c>
      <c r="D1971" s="178" t="s">
        <v>111</v>
      </c>
      <c r="E1971" s="227"/>
      <c r="F1971" s="180"/>
      <c r="G1971" s="181" t="s">
        <v>2942</v>
      </c>
      <c r="H1971" s="182"/>
      <c r="I1971" s="182"/>
      <c r="J1971" s="182"/>
      <c r="K1971" s="183"/>
      <c r="L1971" s="182"/>
      <c r="M1971" s="182"/>
      <c r="N1971" s="182"/>
      <c r="O1971" s="183"/>
      <c r="P1971" s="183"/>
      <c r="Q1971" s="183"/>
      <c r="R1971" s="183"/>
      <c r="S1971" s="559"/>
      <c r="T1971" s="183"/>
      <c r="U1971" s="183"/>
      <c r="V1971" s="183"/>
      <c r="W1971" s="183"/>
      <c r="X1971" s="183"/>
      <c r="Y1971" s="184"/>
      <c r="Z1971" s="185"/>
      <c r="AA1971" s="185"/>
      <c r="AB1971" s="185"/>
      <c r="AC1971" s="185"/>
      <c r="AD1971" s="649"/>
      <c r="AE1971" s="182"/>
      <c r="AF1971" s="332"/>
      <c r="AG1971" s="182"/>
      <c r="AH1971" s="182"/>
      <c r="AI1971" s="182"/>
      <c r="AJ1971" s="640"/>
      <c r="AK1971" s="182"/>
      <c r="AL1971" s="496">
        <f t="shared" si="663"/>
        <v>0</v>
      </c>
      <c r="AM1971" s="496">
        <f t="shared" si="652"/>
        <v>0</v>
      </c>
      <c r="AN1971" s="626"/>
      <c r="AO1971" s="182"/>
      <c r="AP1971" s="182"/>
      <c r="AQ1971" s="332" t="str">
        <f>UPPER(RIGHT(Journal_Live[[#This Row],[DURATION ]]))</f>
        <v/>
      </c>
      <c r="AR1971" s="182"/>
      <c r="AS1971" s="189"/>
      <c r="AT1971" s="189"/>
      <c r="AU1971" s="187"/>
      <c r="AV1971" s="190"/>
      <c r="AW1971" s="191"/>
      <c r="AX1971" s="551"/>
      <c r="AY1971" s="551"/>
      <c r="AZ1971" s="551"/>
      <c r="BA1971" s="551"/>
      <c r="BB1971" s="551"/>
      <c r="BC1971" s="551"/>
      <c r="BD1971" s="549"/>
      <c r="BE1971" s="550"/>
      <c r="BF1971" s="549"/>
      <c r="BG1971" s="391">
        <f>SUM($AV$1389:AV1971)</f>
        <v>3679.8906323548335</v>
      </c>
      <c r="BH1971" s="392">
        <f>SUM($AU$1389:AU1971)</f>
        <v>54427.353506493229</v>
      </c>
      <c r="BI1971" s="318">
        <f>SUMIFS($AU$1388:AU1972,$Q$1388:Q1972,"F")</f>
        <v>28242.093506493511</v>
      </c>
      <c r="BJ1971" s="318">
        <f>SUMIFS($AU$1388:AU1972,$Q$1388:Q1972,"S")</f>
        <v>23664</v>
      </c>
      <c r="BK1971" s="343">
        <f>SUMIFS($AU$1388:AU1972,$P$1388:P1972,"W")</f>
        <v>36107.273506493846</v>
      </c>
      <c r="BL1971" s="343">
        <f>SUMIFS($AU$1388:AU1972,$P$1388:P1972,"R")</f>
        <v>17565.999999999956</v>
      </c>
      <c r="BM1971" s="343">
        <f>SUMIFS($AU$1388:AU1972,$AQ$1388:AQ1972,"M")</f>
        <v>8993.3799999992334</v>
      </c>
      <c r="BN1971" s="343">
        <f>SUMIFS($AU$1388:AU1972,$AQ$1388:AQ1972,"H")</f>
        <v>17127.200000000379</v>
      </c>
      <c r="BO1971" s="343">
        <f>SUMIFS($AU$1388:AU1972,$AQ$1388:AQ1972,"D")</f>
        <v>13961.507142857021</v>
      </c>
      <c r="BP1971" s="343">
        <f>SUMIFS($AS$1388:AS2708,$AO$1388:AO2708,"W")</f>
        <v>0</v>
      </c>
      <c r="BQ1971" s="343">
        <f>SUMIFS($AU$1388:AU1972,$Q$1388:Q1972,"O")</f>
        <v>1097.2599999997396</v>
      </c>
      <c r="BR1971" s="343">
        <f>SUMIFS($AU$1388:AU1972,$AA$1388:AA1972,"*")</f>
        <v>41353.436363635868</v>
      </c>
      <c r="BS1971" s="343">
        <f>SUMIFS($AU$1388:AU1972,$AB$1388:AB1972,"*")</f>
        <v>10383.860000000041</v>
      </c>
      <c r="BT1971" s="343">
        <f>SUMIFS($AU$1388:AU1972,$AC$1388:AC1972,"*")</f>
        <v>31682.093506493511</v>
      </c>
      <c r="BU1971" s="343">
        <f>SUMIFS($AU$1388:AU1972,$AA$1388:AA1972,"*",$AB$1388:AB1972,"*")</f>
        <v>5423.9999999998217</v>
      </c>
      <c r="BV1971" s="343">
        <f>SUMIFS($AU$1388:AU1972,$AA$1388:AA1972,"*",$AC$1388:AC1972,"*")</f>
        <v>19728.036363636369</v>
      </c>
      <c r="BW1971" s="343">
        <f>SUMIFS($AU$1388:AU1972,$AB$1388:AB1972,"*",$AC$1388:AC1972,"*")</f>
        <v>7119.9999999999982</v>
      </c>
      <c r="BX1971" s="343">
        <f>SUMIFS($AV$1388:AV1972,$Q$1388:Q1972,"F")</f>
        <v>418.22475235412151</v>
      </c>
      <c r="BY1971" s="343">
        <f>SUMIFS($AV$1388:AV1972,$Q$1388:Q1972,"S")</f>
        <v>716.70658000096557</v>
      </c>
      <c r="BZ1971" s="343">
        <f>SUMIFS($AV$1388:AV1972,$Q$1388:Q1972,"O")</f>
        <v>596.95929999974101</v>
      </c>
    </row>
    <row r="1972" spans="1:78" ht="15.75" customHeight="1">
      <c r="A1972" s="177" t="s">
        <v>6310</v>
      </c>
      <c r="B1972" s="200">
        <v>45422</v>
      </c>
      <c r="C1972" s="178" t="s">
        <v>6409</v>
      </c>
      <c r="D1972" s="178" t="s">
        <v>111</v>
      </c>
      <c r="E1972" s="227"/>
      <c r="F1972" s="180"/>
      <c r="G1972" s="553" t="s">
        <v>2991</v>
      </c>
      <c r="H1972" s="182"/>
      <c r="I1972" s="182"/>
      <c r="J1972" s="182"/>
      <c r="K1972" s="183"/>
      <c r="L1972" s="182"/>
      <c r="M1972" s="182"/>
      <c r="N1972" s="182"/>
      <c r="O1972" s="183" t="s">
        <v>95</v>
      </c>
      <c r="P1972" s="183" t="s">
        <v>96</v>
      </c>
      <c r="Q1972" s="183" t="s">
        <v>97</v>
      </c>
      <c r="R1972" s="183">
        <v>10</v>
      </c>
      <c r="S1972" s="559">
        <v>0</v>
      </c>
      <c r="T1972" s="183">
        <v>7</v>
      </c>
      <c r="U1972" s="183" t="s">
        <v>97</v>
      </c>
      <c r="V1972" s="183"/>
      <c r="W1972" s="183"/>
      <c r="X1972" s="183"/>
      <c r="Y1972" s="184">
        <f>IF(ISBLANK(O1972),"",(IF(O1972=UPPER("IB"),0.005,0.01)))</f>
        <v>0.01</v>
      </c>
      <c r="Z1972" s="185">
        <f>IF(ISBLANK(O1972),"",IF(O1972="IB",8.63*200,IF(O1972="IR",16*100,IF(O1972="YT",20*100,IF(O1972="YT-XT",24*200,IF(O1972="TED",80*100,IF(O1972="XT",29*200)))))))</f>
        <v>1600</v>
      </c>
      <c r="AA1972" s="185" t="s">
        <v>6410</v>
      </c>
      <c r="AB1972" s="185"/>
      <c r="AC1972" s="185"/>
      <c r="AD1972" s="649">
        <v>-0.12</v>
      </c>
      <c r="AE1972" s="182"/>
      <c r="AF1972" s="332"/>
      <c r="AG1972" s="182"/>
      <c r="AH1972" s="182"/>
      <c r="AI1972" s="182"/>
      <c r="AJ1972" s="640"/>
      <c r="AK1972" s="182"/>
      <c r="AL1972" s="496">
        <f t="shared" si="663"/>
        <v>-32</v>
      </c>
      <c r="AM1972" s="496">
        <f t="shared" si="652"/>
        <v>-320</v>
      </c>
      <c r="AN1972" s="626"/>
      <c r="AO1972" s="182"/>
      <c r="AP1972" s="182" t="s">
        <v>804</v>
      </c>
      <c r="AQ1972" s="332" t="s">
        <v>115</v>
      </c>
      <c r="AR1972" s="182"/>
      <c r="AS1972" s="189">
        <v>-0.12</v>
      </c>
      <c r="AT1972" s="189">
        <f>IF(ISBLANK(AS1972),,IF(U1972="S",AD1972-AS1972,AS1972-AD1972))</f>
        <v>0</v>
      </c>
      <c r="AU1972" s="187">
        <f>AV1972*R1972</f>
        <v>0</v>
      </c>
      <c r="AV1972" s="190">
        <f t="shared" ref="AV1972" si="665">IF(ISBLANK(AS1972),,(AT1972*Z1972))</f>
        <v>0</v>
      </c>
      <c r="AW1972" s="191" t="s">
        <v>115</v>
      </c>
      <c r="AX1972" s="551" t="s">
        <v>6411</v>
      </c>
      <c r="AY1972" s="551" t="s">
        <v>6412</v>
      </c>
      <c r="AZ1972" s="551" t="s">
        <v>6413</v>
      </c>
      <c r="BA1972" s="551"/>
      <c r="BB1972" s="551"/>
      <c r="BC1972" s="551"/>
      <c r="BD1972" s="549"/>
      <c r="BE1972" s="550"/>
      <c r="BF1972" s="549"/>
      <c r="BG1972" s="391">
        <f>SUM($AV$1389:AV1972)</f>
        <v>3679.8906323548335</v>
      </c>
      <c r="BH1972" s="392">
        <f>SUM($AU$1389:AU1972)</f>
        <v>54427.353506493229</v>
      </c>
      <c r="BI1972" s="318">
        <f>SUMIFS($AU$1388:AU1973,$Q$1388:Q1973,"F")</f>
        <v>28242.093506493511</v>
      </c>
      <c r="BJ1972" s="318">
        <f>SUMIFS($AU$1388:AU1973,$Q$1388:Q1973,"S")</f>
        <v>23664</v>
      </c>
      <c r="BK1972" s="343">
        <f>SUMIFS($AU$1388:AU1973,$P$1388:P1973,"W")</f>
        <v>36107.273506493846</v>
      </c>
      <c r="BL1972" s="343">
        <f>SUMIFS($AU$1388:AU1973,$P$1388:P1973,"R")</f>
        <v>17565.999999999956</v>
      </c>
      <c r="BM1972" s="343">
        <f>SUMIFS($AU$1388:AU1973,$AQ$1388:AQ1973,"M")</f>
        <v>8993.3799999992334</v>
      </c>
      <c r="BN1972" s="343">
        <f>SUMIFS($AU$1388:AU1973,$AQ$1388:AQ1973,"H")</f>
        <v>17127.200000000379</v>
      </c>
      <c r="BO1972" s="343">
        <f>SUMIFS($AU$1388:AU1973,$AQ$1388:AQ1973,"D")</f>
        <v>13961.507142857021</v>
      </c>
      <c r="BP1972" s="343">
        <f>SUMIFS($AS$1388:AS2709,$AO$1388:AO2709,"W")</f>
        <v>0</v>
      </c>
      <c r="BQ1972" s="343">
        <f>SUMIFS($AU$1388:AU1973,$Q$1388:Q1973,"O")</f>
        <v>1097.2599999997396</v>
      </c>
      <c r="BR1972" s="343">
        <f>SUMIFS($AU$1388:AU1973,$AA$1388:AA1973,"*")</f>
        <v>41353.436363635868</v>
      </c>
      <c r="BS1972" s="343">
        <f>SUMIFS($AU$1388:AU1973,$AB$1388:AB1973,"*")</f>
        <v>10383.860000000041</v>
      </c>
      <c r="BT1972" s="343">
        <f>SUMIFS($AU$1388:AU1973,$AC$1388:AC1973,"*")</f>
        <v>31682.093506493511</v>
      </c>
      <c r="BU1972" s="343">
        <f>SUMIFS($AU$1388:AU1973,$AA$1388:AA1973,"*",$AB$1388:AB1973,"*")</f>
        <v>5423.9999999998217</v>
      </c>
      <c r="BV1972" s="343">
        <f>SUMIFS($AU$1388:AU1973,$AA$1388:AA1973,"*",$AC$1388:AC1973,"*")</f>
        <v>19728.036363636369</v>
      </c>
      <c r="BW1972" s="343">
        <f>SUMIFS($AU$1388:AU1973,$AB$1388:AB1973,"*",$AC$1388:AC1973,"*")</f>
        <v>7119.9999999999982</v>
      </c>
      <c r="BX1972" s="343">
        <f>SUMIFS($AV$1388:AV1973,$Q$1388:Q1973,"F")</f>
        <v>418.22475235412151</v>
      </c>
      <c r="BY1972" s="343">
        <f>SUMIFS($AV$1388:AV1973,$Q$1388:Q1973,"S")</f>
        <v>716.70658000096557</v>
      </c>
      <c r="BZ1972" s="343">
        <f>SUMIFS($AV$1388:AV1973,$Q$1388:Q1973,"O")</f>
        <v>596.95929999974101</v>
      </c>
    </row>
    <row r="1973" spans="1:78" ht="15.75" customHeight="1">
      <c r="A1973" s="177" t="s">
        <v>6310</v>
      </c>
      <c r="B1973" s="200"/>
      <c r="C1973" s="178"/>
      <c r="D1973" s="178"/>
      <c r="E1973" s="227"/>
      <c r="F1973" s="180"/>
      <c r="G1973" s="181"/>
      <c r="H1973" s="182"/>
      <c r="I1973" s="182"/>
      <c r="J1973" s="182"/>
      <c r="K1973" s="183"/>
      <c r="L1973" s="182"/>
      <c r="M1973" s="182"/>
      <c r="N1973" s="182"/>
      <c r="O1973" s="183"/>
      <c r="P1973" s="183"/>
      <c r="Q1973" s="183"/>
      <c r="R1973" s="183"/>
      <c r="S1973" s="183"/>
      <c r="T1973" s="183"/>
      <c r="U1973" s="183"/>
      <c r="V1973" s="183"/>
      <c r="W1973" s="183"/>
      <c r="X1973" s="183"/>
      <c r="Y1973" s="184"/>
      <c r="Z1973" s="185"/>
      <c r="AA1973" s="185"/>
      <c r="AB1973" s="185"/>
      <c r="AC1973" s="185"/>
      <c r="AD1973" s="649"/>
      <c r="AE1973" s="182"/>
      <c r="AF1973" s="332"/>
      <c r="AG1973" s="182"/>
      <c r="AH1973" s="182"/>
      <c r="AI1973" s="182"/>
      <c r="AJ1973" s="640"/>
      <c r="AK1973" s="182"/>
      <c r="AL1973" s="496">
        <f t="shared" si="663"/>
        <v>0</v>
      </c>
      <c r="AM1973" s="496">
        <f t="shared" si="652"/>
        <v>0</v>
      </c>
      <c r="AN1973" s="626"/>
      <c r="AO1973" s="182"/>
      <c r="AP1973" s="182"/>
      <c r="AQ1973" s="332" t="str">
        <f>UPPER(RIGHT(Journal_Live[[#This Row],[DURATION ]]))</f>
        <v/>
      </c>
      <c r="AR1973" s="182"/>
      <c r="AS1973" s="189"/>
      <c r="AT1973" s="189"/>
      <c r="AU1973" s="187"/>
      <c r="AV1973" s="190"/>
      <c r="AW1973" s="191"/>
      <c r="AX1973" s="551" t="s">
        <v>6414</v>
      </c>
      <c r="AY1973" s="551" t="s">
        <v>6415</v>
      </c>
      <c r="AZ1973" s="551" t="s">
        <v>6416</v>
      </c>
      <c r="BA1973" s="551"/>
      <c r="BB1973" s="551"/>
      <c r="BC1973" s="551"/>
      <c r="BD1973" s="549"/>
      <c r="BE1973" s="550"/>
      <c r="BF1973" s="549"/>
      <c r="BG1973" s="391">
        <f>SUM($AV$1389:AV1973)</f>
        <v>3679.8906323548335</v>
      </c>
      <c r="BH1973" s="392">
        <f>SUM($AU$1389:AU1973)</f>
        <v>54427.353506493229</v>
      </c>
      <c r="BI1973" s="318">
        <f>SUMIFS($AU$1388:AU1974,$Q$1388:Q1974,"F")</f>
        <v>28242.093506493511</v>
      </c>
      <c r="BJ1973" s="318">
        <f>SUMIFS($AU$1388:AU1974,$Q$1388:Q1974,"S")</f>
        <v>23664</v>
      </c>
      <c r="BK1973" s="343">
        <f>SUMIFS($AU$1388:AU1974,$P$1388:P1974,"W")</f>
        <v>36107.273506493846</v>
      </c>
      <c r="BL1973" s="343">
        <f>SUMIFS($AU$1388:AU1974,$P$1388:P1974,"R")</f>
        <v>17565.999999999956</v>
      </c>
      <c r="BM1973" s="343">
        <f>SUMIFS($AU$1388:AU1974,$AQ$1388:AQ1974,"M")</f>
        <v>8993.3799999992334</v>
      </c>
      <c r="BN1973" s="343">
        <f>SUMIFS($AU$1388:AU1974,$AQ$1388:AQ1974,"H")</f>
        <v>17127.200000000379</v>
      </c>
      <c r="BO1973" s="343">
        <f>SUMIFS($AU$1388:AU1974,$AQ$1388:AQ1974,"D")</f>
        <v>13961.507142857021</v>
      </c>
      <c r="BP1973" s="343">
        <f>SUMIFS($AS$1388:AS2710,$AO$1388:AO2710,"W")</f>
        <v>0</v>
      </c>
      <c r="BQ1973" s="343">
        <f>SUMIFS($AU$1388:AU1974,$Q$1388:Q1974,"O")</f>
        <v>1097.2599999997396</v>
      </c>
      <c r="BR1973" s="343">
        <f>SUMIFS($AU$1388:AU1974,$AA$1388:AA1974,"*")</f>
        <v>41353.436363635868</v>
      </c>
      <c r="BS1973" s="343">
        <f>SUMIFS($AU$1388:AU1974,$AB$1388:AB1974,"*")</f>
        <v>10383.860000000041</v>
      </c>
      <c r="BT1973" s="343">
        <f>SUMIFS($AU$1388:AU1974,$AC$1388:AC1974,"*")</f>
        <v>31682.093506493511</v>
      </c>
      <c r="BU1973" s="343">
        <f>SUMIFS($AU$1388:AU1974,$AA$1388:AA1974,"*",$AB$1388:AB1974,"*")</f>
        <v>5423.9999999998217</v>
      </c>
      <c r="BV1973" s="343">
        <f>SUMIFS($AU$1388:AU1974,$AA$1388:AA1974,"*",$AC$1388:AC1974,"*")</f>
        <v>19728.036363636369</v>
      </c>
      <c r="BW1973" s="343">
        <f>SUMIFS($AU$1388:AU1974,$AB$1388:AB1974,"*",$AC$1388:AC1974,"*")</f>
        <v>7119.9999999999982</v>
      </c>
      <c r="BX1973" s="343">
        <f>SUMIFS($AV$1388:AV1974,$Q$1388:Q1974,"F")</f>
        <v>418.22475235412151</v>
      </c>
      <c r="BY1973" s="343">
        <f>SUMIFS($AV$1388:AV1974,$Q$1388:Q1974,"S")</f>
        <v>716.70658000096557</v>
      </c>
      <c r="BZ1973" s="343">
        <f>SUMIFS($AV$1388:AV1974,$Q$1388:Q1974,"O")</f>
        <v>596.95929999974101</v>
      </c>
    </row>
    <row r="1974" spans="1:78" ht="15.75" customHeight="1">
      <c r="A1974" s="177" t="s">
        <v>6310</v>
      </c>
      <c r="B1974" s="200"/>
      <c r="C1974" s="178"/>
      <c r="D1974" s="178"/>
      <c r="E1974" s="227"/>
      <c r="F1974" s="180"/>
      <c r="G1974" s="181"/>
      <c r="H1974" s="182"/>
      <c r="I1974" s="182"/>
      <c r="J1974" s="182"/>
      <c r="K1974" s="183"/>
      <c r="L1974" s="182"/>
      <c r="M1974" s="182"/>
      <c r="N1974" s="182"/>
      <c r="O1974" s="183"/>
      <c r="P1974" s="183"/>
      <c r="Q1974" s="183"/>
      <c r="R1974" s="183"/>
      <c r="S1974" s="183"/>
      <c r="T1974" s="183"/>
      <c r="U1974" s="183"/>
      <c r="V1974" s="183"/>
      <c r="W1974" s="183"/>
      <c r="X1974" s="183"/>
      <c r="Y1974" s="183"/>
      <c r="Z1974" s="183"/>
      <c r="AA1974" s="185"/>
      <c r="AB1974" s="185"/>
      <c r="AC1974" s="185"/>
      <c r="AD1974" s="649"/>
      <c r="AE1974" s="182"/>
      <c r="AF1974" s="332"/>
      <c r="AG1974" s="182"/>
      <c r="AH1974" s="182"/>
      <c r="AI1974" s="182"/>
      <c r="AJ1974" s="640"/>
      <c r="AK1974" s="182"/>
      <c r="AL1974" s="496">
        <f t="shared" si="663"/>
        <v>0</v>
      </c>
      <c r="AM1974" s="496">
        <f t="shared" si="652"/>
        <v>0</v>
      </c>
      <c r="AN1974" s="626"/>
      <c r="AO1974" s="182"/>
      <c r="AP1974" s="182"/>
      <c r="AQ1974" s="332" t="str">
        <f>UPPER(RIGHT(Journal_Live[[#This Row],[DURATION ]]))</f>
        <v/>
      </c>
      <c r="AR1974" s="182"/>
      <c r="AS1974" s="189"/>
      <c r="AT1974" s="189"/>
      <c r="AU1974" s="187"/>
      <c r="AV1974" s="190"/>
      <c r="AW1974" s="191"/>
      <c r="AX1974" s="551" t="s">
        <v>6417</v>
      </c>
      <c r="AY1974" s="549" t="s">
        <v>6418</v>
      </c>
      <c r="AZ1974" s="549" t="s">
        <v>6419</v>
      </c>
      <c r="BA1974" s="549" t="s">
        <v>6420</v>
      </c>
      <c r="BB1974" s="549" t="s">
        <v>6421</v>
      </c>
      <c r="BC1974" s="551" t="s">
        <v>6422</v>
      </c>
      <c r="BD1974" s="549"/>
      <c r="BE1974" s="550"/>
      <c r="BF1974" s="549"/>
      <c r="BG1974" s="391">
        <f>SUM($AV$1389:AV1974)</f>
        <v>3679.8906323548335</v>
      </c>
      <c r="BH1974" s="392">
        <f>SUM($AU$1389:AU1974)</f>
        <v>54427.353506493229</v>
      </c>
      <c r="BI1974" s="318">
        <f>SUMIFS($AU$1388:AU1975,$Q$1388:Q1975,"F")</f>
        <v>28242.093506493511</v>
      </c>
      <c r="BJ1974" s="318">
        <f>SUMIFS($AU$1388:AU1975,$Q$1388:Q1975,"S")</f>
        <v>23344</v>
      </c>
      <c r="BK1974" s="343">
        <f>SUMIFS($AU$1388:AU1975,$P$1388:P1975,"W")</f>
        <v>35787.273506493846</v>
      </c>
      <c r="BL1974" s="343">
        <f>SUMIFS($AU$1388:AU1975,$P$1388:P1975,"R")</f>
        <v>17565.999999999956</v>
      </c>
      <c r="BM1974" s="343">
        <f>SUMIFS($AU$1388:AU1975,$AQ$1388:AQ1975,"M")</f>
        <v>8993.3799999992334</v>
      </c>
      <c r="BN1974" s="343">
        <f>SUMIFS($AU$1388:AU1975,$AQ$1388:AQ1975,"H")</f>
        <v>17127.200000000379</v>
      </c>
      <c r="BO1974" s="343">
        <f>SUMIFS($AU$1388:AU1975,$AQ$1388:AQ1975,"D")</f>
        <v>13641.507142857021</v>
      </c>
      <c r="BP1974" s="343">
        <f>SUMIFS($AS$1388:AS2711,$AO$1388:AO2711,"W")</f>
        <v>0</v>
      </c>
      <c r="BQ1974" s="343">
        <f>SUMIFS($AU$1388:AU1975,$Q$1388:Q1975,"O")</f>
        <v>1097.2599999997396</v>
      </c>
      <c r="BR1974" s="343">
        <f>SUMIFS($AU$1388:AU1975,$AA$1388:AA1975,"*")</f>
        <v>41033.436363635868</v>
      </c>
      <c r="BS1974" s="343">
        <f>SUMIFS($AU$1388:AU1975,$AB$1388:AB1975,"*")</f>
        <v>10383.860000000041</v>
      </c>
      <c r="BT1974" s="343">
        <f>SUMIFS($AU$1388:AU1975,$AC$1388:AC1975,"*")</f>
        <v>31362.093506493511</v>
      </c>
      <c r="BU1974" s="343">
        <f>SUMIFS($AU$1388:AU1975,$AA$1388:AA1975,"*",$AB$1388:AB1975,"*")</f>
        <v>5423.9999999998217</v>
      </c>
      <c r="BV1974" s="343">
        <f>SUMIFS($AU$1388:AU1975,$AA$1388:AA1975,"*",$AC$1388:AC1975,"*")</f>
        <v>19408.036363636369</v>
      </c>
      <c r="BW1974" s="343">
        <f>SUMIFS($AU$1388:AU1975,$AB$1388:AB1975,"*",$AC$1388:AC1975,"*")</f>
        <v>7119.9999999999982</v>
      </c>
      <c r="BX1974" s="343">
        <f>SUMIFS($AV$1388:AV1975,$Q$1388:Q1975,"F")</f>
        <v>418.22475235412151</v>
      </c>
      <c r="BY1974" s="343">
        <f>SUMIFS($AV$1388:AV1975,$Q$1388:Q1975,"S")</f>
        <v>706.03991333429894</v>
      </c>
      <c r="BZ1974" s="343">
        <f>SUMIFS($AV$1388:AV1975,$Q$1388:Q1975,"O")</f>
        <v>596.95929999974101</v>
      </c>
    </row>
    <row r="1975" spans="1:78" ht="15.75" customHeight="1">
      <c r="A1975" s="177" t="s">
        <v>6310</v>
      </c>
      <c r="B1975" s="200">
        <v>45425</v>
      </c>
      <c r="C1975" s="178" t="s">
        <v>631</v>
      </c>
      <c r="D1975" s="178" t="s">
        <v>132</v>
      </c>
      <c r="E1975" s="227"/>
      <c r="F1975" s="180"/>
      <c r="G1975" s="481" t="s">
        <v>6423</v>
      </c>
      <c r="H1975" s="182"/>
      <c r="I1975" s="182"/>
      <c r="J1975" s="182"/>
      <c r="K1975" s="183"/>
      <c r="L1975" s="182"/>
      <c r="M1975" s="182"/>
      <c r="N1975" s="182"/>
      <c r="O1975" s="183" t="s">
        <v>95</v>
      </c>
      <c r="P1975" s="183" t="s">
        <v>96</v>
      </c>
      <c r="Q1975" s="183" t="s">
        <v>97</v>
      </c>
      <c r="R1975" s="183">
        <v>30</v>
      </c>
      <c r="S1975" s="183">
        <v>10</v>
      </c>
      <c r="T1975" s="183">
        <v>30</v>
      </c>
      <c r="U1975" s="183" t="s">
        <v>22</v>
      </c>
      <c r="V1975" s="183"/>
      <c r="W1975" s="183"/>
      <c r="X1975" s="183"/>
      <c r="Y1975" s="184">
        <f>IF(ISBLANK(O1975),"",(IF(O1975=UPPER("IB"),0.005,0.01)))</f>
        <v>0.01</v>
      </c>
      <c r="Z1975" s="185">
        <f>IF(ISBLANK(O1975),"",IF(O1975="IB",8.63*200,IF(O1975="IR",16*100,IF(O1975="YT",20*100,IF(O1975="YT-XT",24*200,IF(O1975="TED",80*100,IF(O1975="XT",29*200)))))))</f>
        <v>1600</v>
      </c>
      <c r="AA1975" s="185" t="s">
        <v>6424</v>
      </c>
      <c r="AB1975" s="185"/>
      <c r="AC1975" s="185" t="s">
        <v>6425</v>
      </c>
      <c r="AD1975" s="649">
        <v>0.05</v>
      </c>
      <c r="AE1975" s="182"/>
      <c r="AF1975" s="332"/>
      <c r="AG1975" s="182"/>
      <c r="AH1975" s="182"/>
      <c r="AI1975" s="182"/>
      <c r="AJ1975" s="640"/>
      <c r="AK1975" s="182"/>
      <c r="AL1975" s="496">
        <f t="shared" si="658"/>
        <v>-32</v>
      </c>
      <c r="AM1975" s="496">
        <f t="shared" si="652"/>
        <v>-640</v>
      </c>
      <c r="AN1975" s="626"/>
      <c r="AO1975" s="182"/>
      <c r="AP1975" s="182" t="s">
        <v>804</v>
      </c>
      <c r="AQ1975" s="332" t="s">
        <v>115</v>
      </c>
      <c r="AR1975" s="182"/>
      <c r="AS1975" s="189">
        <f>(0.03*10+0.05*20)/30</f>
        <v>4.3333333333333335E-2</v>
      </c>
      <c r="AT1975" s="189">
        <f>IF(ISBLANK(AS1975),,IF(U1975="S",AD1975-AS1975,AS1975-AD1975))</f>
        <v>-6.666666666666668E-3</v>
      </c>
      <c r="AU1975" s="187">
        <f>AV1975*R1975</f>
        <v>-320.00000000000006</v>
      </c>
      <c r="AV1975" s="190">
        <f t="shared" ref="AV1975:AV1977" si="666">IF(ISBLANK(AS1975),,(AT1975*Z1975))</f>
        <v>-10.666666666666668</v>
      </c>
      <c r="AW1975" s="191" t="s">
        <v>229</v>
      </c>
      <c r="AX1975" s="551"/>
      <c r="AY1975" s="551"/>
      <c r="AZ1975" s="551"/>
      <c r="BA1975" s="551"/>
      <c r="BB1975" s="551"/>
      <c r="BC1975" s="551"/>
      <c r="BD1975" s="549"/>
      <c r="BE1975" s="550"/>
      <c r="BF1975" s="549"/>
      <c r="BG1975" s="391">
        <f>SUM($AV$1389:AV1975)</f>
        <v>3669.223965688167</v>
      </c>
      <c r="BH1975" s="392">
        <f>SUM($AU$1389:AU1975)</f>
        <v>54107.353506493229</v>
      </c>
      <c r="BI1975" s="318">
        <f>SUMIFS($AU$1388:AU1976,$Q$1388:Q1976,"F")</f>
        <v>28242.093506493511</v>
      </c>
      <c r="BJ1975" s="318">
        <f>SUMIFS($AU$1388:AU1976,$Q$1388:Q1976,"S")</f>
        <v>23344</v>
      </c>
      <c r="BK1975" s="343">
        <f>SUMIFS($AU$1388:AU1976,$P$1388:P1976,"W")</f>
        <v>35787.273506493846</v>
      </c>
      <c r="BL1975" s="343">
        <f>SUMIFS($AU$1388:AU1976,$P$1388:P1976,"R")</f>
        <v>17886.00000000012</v>
      </c>
      <c r="BM1975" s="343">
        <f>SUMIFS($AU$1388:AU1976,$AQ$1388:AQ1976,"M")</f>
        <v>8993.3799999992334</v>
      </c>
      <c r="BN1975" s="343">
        <f>SUMIFS($AU$1388:AU1976,$AQ$1388:AQ1976,"H")</f>
        <v>17447.200000000543</v>
      </c>
      <c r="BO1975" s="343">
        <f>SUMIFS($AU$1388:AU1976,$AQ$1388:AQ1976,"D")</f>
        <v>13641.507142857021</v>
      </c>
      <c r="BP1975" s="343">
        <f>SUMIFS($AS$1388:AS2712,$AO$1388:AO2712,"W")</f>
        <v>0</v>
      </c>
      <c r="BQ1975" s="343">
        <f>SUMIFS($AU$1388:AU1976,$Q$1388:Q1976,"O")</f>
        <v>1417.2599999999034</v>
      </c>
      <c r="BR1975" s="343">
        <f>SUMIFS($AU$1388:AU1976,$AA$1388:AA1976,"*")</f>
        <v>41353.436363636036</v>
      </c>
      <c r="BS1975" s="343">
        <f>SUMIFS($AU$1388:AU1976,$AB$1388:AB1976,"*")</f>
        <v>10383.860000000041</v>
      </c>
      <c r="BT1975" s="343">
        <f>SUMIFS($AU$1388:AU1976,$AC$1388:AC1976,"*")</f>
        <v>31682.093506493675</v>
      </c>
      <c r="BU1975" s="343">
        <f>SUMIFS($AU$1388:AU1976,$AA$1388:AA1976,"*",$AB$1388:AB1976,"*")</f>
        <v>5423.9999999998217</v>
      </c>
      <c r="BV1975" s="343">
        <f>SUMIFS($AU$1388:AU1976,$AA$1388:AA1976,"*",$AC$1388:AC1976,"*")</f>
        <v>19728.036363636533</v>
      </c>
      <c r="BW1975" s="343">
        <f>SUMIFS($AU$1388:AU1976,$AB$1388:AB1976,"*",$AC$1388:AC1976,"*")</f>
        <v>7119.9999999999982</v>
      </c>
      <c r="BX1975" s="343">
        <f>SUMIFS($AV$1388:AV1976,$Q$1388:Q1976,"F")</f>
        <v>418.22475235412151</v>
      </c>
      <c r="BY1975" s="343">
        <f>SUMIFS($AV$1388:AV1976,$Q$1388:Q1976,"S")</f>
        <v>706.03991333429894</v>
      </c>
      <c r="BZ1975" s="343">
        <f>SUMIFS($AV$1388:AV1976,$Q$1388:Q1976,"O")</f>
        <v>612.95929999974919</v>
      </c>
    </row>
    <row r="1976" spans="1:78" ht="15.75" customHeight="1">
      <c r="A1976" s="177" t="s">
        <v>6310</v>
      </c>
      <c r="B1976" s="200">
        <v>45426</v>
      </c>
      <c r="C1976" s="178" t="s">
        <v>6426</v>
      </c>
      <c r="D1976" s="178" t="s">
        <v>146</v>
      </c>
      <c r="E1976" s="227"/>
      <c r="F1976" s="180"/>
      <c r="G1976" s="481" t="s">
        <v>6399</v>
      </c>
      <c r="H1976" s="182"/>
      <c r="I1976" s="182"/>
      <c r="J1976" s="182"/>
      <c r="K1976" s="183"/>
      <c r="L1976" s="182">
        <v>1</v>
      </c>
      <c r="M1976" s="182"/>
      <c r="N1976" s="182"/>
      <c r="O1976" s="183" t="s">
        <v>95</v>
      </c>
      <c r="P1976" s="183" t="s">
        <v>137</v>
      </c>
      <c r="Q1976" s="183" t="s">
        <v>684</v>
      </c>
      <c r="R1976" s="183">
        <v>20</v>
      </c>
      <c r="S1976" s="183">
        <v>0</v>
      </c>
      <c r="T1976" s="183">
        <v>20</v>
      </c>
      <c r="U1976" s="183" t="s">
        <v>97</v>
      </c>
      <c r="V1976" s="183"/>
      <c r="W1976" s="183"/>
      <c r="X1976" s="183"/>
      <c r="Y1976" s="184">
        <f>IF(ISBLANK(O1976),"",(IF(O1976=UPPER("IB"),0.005,0.01)))</f>
        <v>0.01</v>
      </c>
      <c r="Z1976" s="185">
        <f>IF(ISBLANK(O1976),"",IF(O1976="IB",8.63*200,IF(O1976="IR",16*100,IF(O1976="YT",20*100,IF(O1976="YT-XT",24*200,IF(O1976="TED",80*100,IF(O1976="XT",29*200)))))))</f>
        <v>1600</v>
      </c>
      <c r="AA1976" s="185" t="s">
        <v>6427</v>
      </c>
      <c r="AB1976" s="185"/>
      <c r="AC1976" s="185" t="s">
        <v>6428</v>
      </c>
      <c r="AD1976" s="649">
        <v>95.93</v>
      </c>
      <c r="AE1976" s="182"/>
      <c r="AF1976" s="332"/>
      <c r="AG1976" s="182"/>
      <c r="AH1976" s="182"/>
      <c r="AI1976" s="182"/>
      <c r="AJ1976" s="640"/>
      <c r="AK1976" s="182"/>
      <c r="AL1976" s="496">
        <f t="shared" si="658"/>
        <v>-32</v>
      </c>
      <c r="AM1976" s="496">
        <f t="shared" si="652"/>
        <v>-640</v>
      </c>
      <c r="AN1976" s="626"/>
      <c r="AO1976" s="182"/>
      <c r="AP1976" s="182" t="s">
        <v>5211</v>
      </c>
      <c r="AQ1976" s="332" t="s">
        <v>372</v>
      </c>
      <c r="AR1976" s="182" t="s">
        <v>6429</v>
      </c>
      <c r="AS1976" s="189">
        <v>95.92</v>
      </c>
      <c r="AT1976" s="189">
        <f>IF(ISBLANK(AS1976),,IF(U1976="S",AD1976-AS1976,AS1976-AD1976))</f>
        <v>1.0000000000005116E-2</v>
      </c>
      <c r="AU1976" s="187">
        <f>AV1976*R1976</f>
        <v>320.00000000016371</v>
      </c>
      <c r="AV1976" s="190">
        <f t="shared" si="666"/>
        <v>16.000000000008185</v>
      </c>
      <c r="AW1976" s="191" t="s">
        <v>96</v>
      </c>
      <c r="AX1976" s="551" t="s">
        <v>6430</v>
      </c>
      <c r="AY1976" s="551"/>
      <c r="AZ1976" s="551"/>
      <c r="BA1976" s="551"/>
      <c r="BB1976" s="551"/>
      <c r="BC1976" s="551"/>
      <c r="BD1976" s="549"/>
      <c r="BE1976" s="550"/>
      <c r="BF1976" s="549"/>
      <c r="BG1976" s="391">
        <f>SUM($AV$1389:AV1976)</f>
        <v>3685.2239656881752</v>
      </c>
      <c r="BH1976" s="392">
        <f>SUM($AU$1389:AU1976)</f>
        <v>54427.353506493397</v>
      </c>
      <c r="BI1976" s="318">
        <f>SUMIFS($AU$1388:AU2013,$Q$1388:Q2013,"F")</f>
        <v>28242.093506493511</v>
      </c>
      <c r="BJ1976" s="318">
        <f>SUMIFS($AU$1388:AU2013,$Q$1388:Q2013,"S")</f>
        <v>24912</v>
      </c>
      <c r="BK1976" s="343">
        <f>SUMIFS($AU$1388:AU2013,$P$1388:P2013,"W")</f>
        <v>37355.273506493846</v>
      </c>
      <c r="BL1976" s="343">
        <f>SUMIFS($AU$1388:AU2013,$P$1388:P2013,"R")</f>
        <v>18186.00000000012</v>
      </c>
      <c r="BM1976" s="343">
        <f>SUMIFS($AU$1388:AU2013,$AQ$1388:AQ2013,"M")</f>
        <v>9793.3799999992334</v>
      </c>
      <c r="BN1976" s="343">
        <f>SUMIFS($AU$1388:AU2013,$AQ$1388:AQ2013,"H")</f>
        <v>18515.200000000543</v>
      </c>
      <c r="BO1976" s="343">
        <f>SUMIFS($AU$1388:AU2013,$AQ$1388:AQ2013,"D")</f>
        <v>13641.507142857021</v>
      </c>
      <c r="BP1976" s="343">
        <f>SUMIFS($AS$1388:AS2713,$AO$1388:AO2713,"W")</f>
        <v>0</v>
      </c>
      <c r="BQ1976" s="343">
        <f>SUMIFS($AU$1388:AU2013,$Q$1388:Q2013,"O")</f>
        <v>1417.2599999999034</v>
      </c>
      <c r="BR1976" s="343">
        <f>SUMIFS($AU$1388:AU2013,$AA$1388:AA2013,"*")</f>
        <v>43221.436363636036</v>
      </c>
      <c r="BS1976" s="343">
        <f>SUMIFS($AU$1388:AU2013,$AB$1388:AB2013,"*")</f>
        <v>10383.860000000041</v>
      </c>
      <c r="BT1976" s="343">
        <f>SUMIFS($AU$1388:AU2013,$AC$1388:AC2013,"*")</f>
        <v>31682.093506493675</v>
      </c>
      <c r="BU1976" s="343">
        <f>SUMIFS($AU$1388:AU2013,$AA$1388:AA2013,"*",$AB$1388:AB2013,"*")</f>
        <v>5423.9999999998217</v>
      </c>
      <c r="BV1976" s="343">
        <f>SUMIFS($AU$1388:AU2013,$AA$1388:AA2013,"*",$AC$1388:AC2013,"*")</f>
        <v>19728.036363636533</v>
      </c>
      <c r="BW1976" s="343">
        <f>SUMIFS($AU$1388:AU2013,$AB$1388:AB2013,"*",$AC$1388:AC2013,"*")</f>
        <v>7119.9999999999982</v>
      </c>
      <c r="BX1976" s="343">
        <f>SUMIFS($AV$1388:AV2013,$Q$1388:Q2013,"F")</f>
        <v>418.22475235412151</v>
      </c>
      <c r="BY1976" s="343">
        <f>SUMIFS($AV$1388:AV2013,$Q$1388:Q2013,"S")</f>
        <v>784.03991333429894</v>
      </c>
      <c r="BZ1976" s="343">
        <f>SUMIFS($AV$1388:AV2013,$Q$1388:Q2013,"O")</f>
        <v>612.95929999974919</v>
      </c>
    </row>
    <row r="1977" spans="1:78" ht="15.75" customHeight="1">
      <c r="A1977" s="177" t="s">
        <v>6310</v>
      </c>
      <c r="B1977" s="200">
        <v>45426</v>
      </c>
      <c r="C1977" s="178" t="s">
        <v>6429</v>
      </c>
      <c r="D1977" s="178" t="s">
        <v>146</v>
      </c>
      <c r="E1977" s="227"/>
      <c r="F1977" s="180"/>
      <c r="G1977" s="181" t="s">
        <v>5726</v>
      </c>
      <c r="H1977" s="182"/>
      <c r="I1977" s="182"/>
      <c r="J1977" s="182"/>
      <c r="K1977" s="183"/>
      <c r="L1977" s="182"/>
      <c r="M1977" s="182"/>
      <c r="N1977" s="182"/>
      <c r="O1977" s="183" t="s">
        <v>2432</v>
      </c>
      <c r="P1977" s="183"/>
      <c r="Q1977" s="183"/>
      <c r="R1977" s="183">
        <v>16</v>
      </c>
      <c r="S1977" s="183">
        <v>0</v>
      </c>
      <c r="T1977" s="183">
        <v>16</v>
      </c>
      <c r="U1977" s="183" t="s">
        <v>22</v>
      </c>
      <c r="V1977" s="183"/>
      <c r="W1977" s="183"/>
      <c r="X1977" s="183"/>
      <c r="Y1977" s="184">
        <f>IF(ISBLANK(O1977),"",(IF(O1977=UPPER("IB"),0.005,0.01)))</f>
        <v>0.01</v>
      </c>
      <c r="Z1977" s="185">
        <f>IF(ISBLANK(O1977),"",IF(O1977="IB",8.63*200,IF(O1977="IR",16*100,IF(O1977="YT",20*100,IF(O1977="YT-XT",24*200,IF(O1977="TED",80*100,IF(O1977="XT",29*200)))))))</f>
        <v>2000</v>
      </c>
      <c r="AA1977" s="185" t="s">
        <v>6431</v>
      </c>
      <c r="AB1977" s="185"/>
      <c r="AC1977" s="185"/>
      <c r="AD1977" s="649">
        <v>96.05</v>
      </c>
      <c r="AE1977" s="182"/>
      <c r="AF1977" s="332"/>
      <c r="AG1977" s="182"/>
      <c r="AH1977" s="182"/>
      <c r="AI1977" s="182"/>
      <c r="AJ1977" s="640"/>
      <c r="AK1977" s="182"/>
      <c r="AL1977" s="496">
        <f t="shared" si="658"/>
        <v>-40</v>
      </c>
      <c r="AM1977" s="496">
        <f t="shared" si="652"/>
        <v>-640</v>
      </c>
      <c r="AN1977" s="626"/>
      <c r="AO1977" s="182"/>
      <c r="AP1977" s="182"/>
      <c r="AQ1977" s="332" t="str">
        <f>UPPER(RIGHT(Journal_Live[[#This Row],[DURATION ]]))</f>
        <v/>
      </c>
      <c r="AR1977" s="182"/>
      <c r="AS1977" s="189">
        <v>96.05</v>
      </c>
      <c r="AT1977" s="189">
        <f>IF(ISBLANK(AS1977),,IF(U1977="S",AD1977-AS1977,AS1977-AD1977))</f>
        <v>0</v>
      </c>
      <c r="AU1977" s="187">
        <f>AV1977*R1977</f>
        <v>0</v>
      </c>
      <c r="AV1977" s="190">
        <f t="shared" si="666"/>
        <v>0</v>
      </c>
      <c r="AW1977" s="191" t="s">
        <v>115</v>
      </c>
      <c r="AX1977" s="551"/>
      <c r="AY1977" s="551"/>
      <c r="AZ1977" s="551"/>
      <c r="BA1977" s="551"/>
      <c r="BB1977" s="551"/>
      <c r="BC1977" s="551"/>
      <c r="BD1977" s="549"/>
      <c r="BE1977" s="550"/>
      <c r="BF1977" s="549"/>
      <c r="BG1977" s="391">
        <f>SUM($AV$1389:AV1977)</f>
        <v>3685.2239656881752</v>
      </c>
      <c r="BH1977" s="392">
        <f>SUM($AU$1389:AU1977)</f>
        <v>54427.353506493397</v>
      </c>
      <c r="BI1977" s="318">
        <f>SUMIFS($AU$1388:AU1978,$Q$1388:Q1978,"F")</f>
        <v>28242.093506493511</v>
      </c>
      <c r="BJ1977" s="318">
        <f>SUMIFS($AU$1388:AU1978,$Q$1388:Q1978,"S")</f>
        <v>23344</v>
      </c>
      <c r="BK1977" s="343">
        <f>SUMIFS($AU$1388:AU1978,$P$1388:P1978,"W")</f>
        <v>35787.273506493846</v>
      </c>
      <c r="BL1977" s="343">
        <f>SUMIFS($AU$1388:AU1978,$P$1388:P1978,"R")</f>
        <v>17886.00000000012</v>
      </c>
      <c r="BM1977" s="343">
        <f>SUMIFS($AU$1388:AU1978,$AQ$1388:AQ1978,"M")</f>
        <v>8993.3799999992334</v>
      </c>
      <c r="BN1977" s="343">
        <f>SUMIFS($AU$1388:AU1978,$AQ$1388:AQ1978,"H")</f>
        <v>17447.200000000543</v>
      </c>
      <c r="BO1977" s="343">
        <f>SUMIFS($AU$1388:AU1978,$AQ$1388:AQ1978,"D")</f>
        <v>13641.507142857021</v>
      </c>
      <c r="BP1977" s="343">
        <f>SUMIFS($AS$1388:AS2705,$AO$1388:AO2705,"W")</f>
        <v>0</v>
      </c>
      <c r="BQ1977" s="343">
        <f>SUMIFS($AU$1388:AU1978,$Q$1388:Q1978,"O")</f>
        <v>1417.2599999999034</v>
      </c>
      <c r="BR1977" s="343">
        <f>SUMIFS($AU$1388:AU1978,$AA$1388:AA1978,"*")</f>
        <v>41353.436363636036</v>
      </c>
      <c r="BS1977" s="343">
        <f>SUMIFS($AU$1388:AU1978,$AB$1388:AB1978,"*")</f>
        <v>10383.860000000041</v>
      </c>
      <c r="BT1977" s="343">
        <f>SUMIFS($AU$1388:AU1978,$AC$1388:AC1978,"*")</f>
        <v>31682.093506493675</v>
      </c>
      <c r="BU1977" s="343">
        <f>SUMIFS($AU$1388:AU1978,$AA$1388:AA1978,"*",$AB$1388:AB1978,"*")</f>
        <v>5423.9999999998217</v>
      </c>
      <c r="BV1977" s="343">
        <f>SUMIFS($AU$1388:AU1978,$AA$1388:AA1978,"*",$AC$1388:AC1978,"*")</f>
        <v>19728.036363636533</v>
      </c>
      <c r="BW1977" s="343">
        <f>SUMIFS($AU$1388:AU1978,$AB$1388:AB1978,"*",$AC$1388:AC1978,"*")</f>
        <v>7119.9999999999982</v>
      </c>
      <c r="BX1977" s="343">
        <f>SUMIFS($AV$1388:AV1978,$Q$1388:Q1978,"F")</f>
        <v>418.22475235412151</v>
      </c>
      <c r="BY1977" s="343">
        <f>SUMIFS($AV$1388:AV1978,$Q$1388:Q1978,"S")</f>
        <v>706.03991333429894</v>
      </c>
      <c r="BZ1977" s="343">
        <f>SUMIFS($AV$1388:AV1978,$Q$1388:Q1978,"O")</f>
        <v>612.95929999974919</v>
      </c>
    </row>
    <row r="1978" spans="1:78" ht="15.75" customHeight="1">
      <c r="A1978" s="177" t="s">
        <v>6310</v>
      </c>
      <c r="B1978" s="200">
        <v>45426</v>
      </c>
      <c r="C1978" s="178" t="s">
        <v>1714</v>
      </c>
      <c r="D1978" s="178" t="s">
        <v>146</v>
      </c>
      <c r="E1978" s="227" t="s">
        <v>6432</v>
      </c>
      <c r="F1978" s="180" t="s">
        <v>6433</v>
      </c>
      <c r="G1978" s="181"/>
      <c r="H1978" s="182">
        <v>1</v>
      </c>
      <c r="I1978" s="182"/>
      <c r="J1978" s="182"/>
      <c r="K1978" s="183" t="s">
        <v>372</v>
      </c>
      <c r="L1978" s="182"/>
      <c r="M1978" s="182"/>
      <c r="N1978" s="182"/>
      <c r="O1978" s="183"/>
      <c r="P1978" s="183"/>
      <c r="Q1978" s="183"/>
      <c r="R1978" s="183"/>
      <c r="S1978" s="183"/>
      <c r="T1978" s="183"/>
      <c r="U1978" s="183"/>
      <c r="V1978" s="183"/>
      <c r="W1978" s="183"/>
      <c r="X1978" s="183"/>
      <c r="Y1978" s="184"/>
      <c r="Z1978" s="185"/>
      <c r="AA1978" s="185"/>
      <c r="AB1978" s="185"/>
      <c r="AC1978" s="185"/>
      <c r="AD1978" s="649"/>
      <c r="AE1978" s="182"/>
      <c r="AF1978" s="332"/>
      <c r="AG1978" s="182"/>
      <c r="AH1978" s="182"/>
      <c r="AI1978" s="182"/>
      <c r="AJ1978" s="640"/>
      <c r="AK1978" s="182"/>
      <c r="AL1978" s="496">
        <f t="shared" si="658"/>
        <v>0</v>
      </c>
      <c r="AM1978" s="496">
        <f t="shared" si="652"/>
        <v>0</v>
      </c>
      <c r="AN1978" s="626"/>
      <c r="AO1978" s="182"/>
      <c r="AP1978" s="182"/>
      <c r="AQ1978" s="332" t="str">
        <f>UPPER(RIGHT(Journal_Live[[#This Row],[DURATION ]]))</f>
        <v/>
      </c>
      <c r="AR1978" s="182"/>
      <c r="AS1978" s="189"/>
      <c r="AT1978" s="189"/>
      <c r="AU1978" s="187"/>
      <c r="AV1978" s="190"/>
      <c r="AW1978" s="191"/>
      <c r="AX1978" s="551" t="s">
        <v>6434</v>
      </c>
      <c r="AY1978" s="551" t="s">
        <v>6435</v>
      </c>
      <c r="AZ1978" s="551"/>
      <c r="BA1978" s="551"/>
      <c r="BB1978" s="551"/>
      <c r="BC1978" s="551"/>
      <c r="BD1978" s="549"/>
      <c r="BE1978" s="550"/>
      <c r="BF1978" s="549"/>
      <c r="BG1978" s="391">
        <f>SUM($AV$1389:AV1978)</f>
        <v>3685.2239656881752</v>
      </c>
      <c r="BH1978" s="392">
        <f>SUM($AU$1389:AU1978)</f>
        <v>54427.353506493397</v>
      </c>
      <c r="BI1978" s="318">
        <f>SUMIFS($AU$1388:AU1979,$Q$1388:Q1979,"F")</f>
        <v>28242.093506493511</v>
      </c>
      <c r="BJ1978" s="318">
        <f>SUMIFS($AU$1388:AU1979,$Q$1388:Q1979,"S")</f>
        <v>23344</v>
      </c>
      <c r="BK1978" s="343">
        <f>SUMIFS($AU$1388:AU1979,$P$1388:P1979,"W")</f>
        <v>35787.273506493846</v>
      </c>
      <c r="BL1978" s="343">
        <f>SUMIFS($AU$1388:AU1979,$P$1388:P1979,"R")</f>
        <v>17886.00000000012</v>
      </c>
      <c r="BM1978" s="343">
        <f>SUMIFS($AU$1388:AU1979,$AQ$1388:AQ1979,"M")</f>
        <v>8993.3799999992334</v>
      </c>
      <c r="BN1978" s="343">
        <f>SUMIFS($AU$1388:AU1979,$AQ$1388:AQ1979,"H")</f>
        <v>17447.200000000543</v>
      </c>
      <c r="BO1978" s="343">
        <f>SUMIFS($AU$1388:AU1979,$AQ$1388:AQ1979,"D")</f>
        <v>13641.507142857021</v>
      </c>
      <c r="BP1978" s="343">
        <f>SUMIFS($AS$1388:AS2706,$AO$1388:AO2706,"W")</f>
        <v>0</v>
      </c>
      <c r="BQ1978" s="343">
        <f>SUMIFS($AU$1388:AU1979,$Q$1388:Q1979,"O")</f>
        <v>1417.2599999999034</v>
      </c>
      <c r="BR1978" s="343">
        <f>SUMIFS($AU$1388:AU1979,$AA$1388:AA1979,"*")</f>
        <v>41353.436363636036</v>
      </c>
      <c r="BS1978" s="343">
        <f>SUMIFS($AU$1388:AU1979,$AB$1388:AB1979,"*")</f>
        <v>10383.860000000041</v>
      </c>
      <c r="BT1978" s="343">
        <f>SUMIFS($AU$1388:AU1979,$AC$1388:AC1979,"*")</f>
        <v>31682.093506493675</v>
      </c>
      <c r="BU1978" s="343">
        <f>SUMIFS($AU$1388:AU1979,$AA$1388:AA1979,"*",$AB$1388:AB1979,"*")</f>
        <v>5423.9999999998217</v>
      </c>
      <c r="BV1978" s="343">
        <f>SUMIFS($AU$1388:AU1979,$AA$1388:AA1979,"*",$AC$1388:AC1979,"*")</f>
        <v>19728.036363636533</v>
      </c>
      <c r="BW1978" s="343">
        <f>SUMIFS($AU$1388:AU1979,$AB$1388:AB1979,"*",$AC$1388:AC1979,"*")</f>
        <v>7119.9999999999982</v>
      </c>
      <c r="BX1978" s="343">
        <f>SUMIFS($AV$1388:AV1979,$Q$1388:Q1979,"F")</f>
        <v>418.22475235412151</v>
      </c>
      <c r="BY1978" s="343">
        <f>SUMIFS($AV$1388:AV1979,$Q$1388:Q1979,"S")</f>
        <v>706.03991333429894</v>
      </c>
      <c r="BZ1978" s="343">
        <f>SUMIFS($AV$1388:AV1979,$Q$1388:Q1979,"O")</f>
        <v>612.95929999974919</v>
      </c>
    </row>
    <row r="1979" spans="1:78" ht="15.75" customHeight="1">
      <c r="A1979" s="177" t="s">
        <v>6310</v>
      </c>
      <c r="B1979" s="200"/>
      <c r="C1979" s="178"/>
      <c r="D1979" s="178"/>
      <c r="E1979" s="227" t="s">
        <v>6436</v>
      </c>
      <c r="F1979" s="180" t="s">
        <v>6433</v>
      </c>
      <c r="G1979" s="181"/>
      <c r="H1979" s="182">
        <v>1</v>
      </c>
      <c r="I1979" s="182"/>
      <c r="J1979" s="182"/>
      <c r="K1979" s="183" t="s">
        <v>372</v>
      </c>
      <c r="L1979" s="182"/>
      <c r="M1979" s="182"/>
      <c r="N1979" s="182"/>
      <c r="O1979" s="183"/>
      <c r="P1979" s="183"/>
      <c r="Q1979" s="183"/>
      <c r="R1979" s="183"/>
      <c r="S1979" s="183"/>
      <c r="T1979" s="183"/>
      <c r="U1979" s="183"/>
      <c r="V1979" s="183"/>
      <c r="W1979" s="183"/>
      <c r="X1979" s="183"/>
      <c r="Y1979" s="184"/>
      <c r="Z1979" s="185"/>
      <c r="AA1979" s="185"/>
      <c r="AB1979" s="185"/>
      <c r="AC1979" s="185"/>
      <c r="AD1979" s="649"/>
      <c r="AE1979" s="182"/>
      <c r="AF1979" s="332"/>
      <c r="AG1979" s="182"/>
      <c r="AH1979" s="182"/>
      <c r="AI1979" s="182"/>
      <c r="AJ1979" s="640"/>
      <c r="AK1979" s="182"/>
      <c r="AL1979" s="496">
        <f t="shared" si="658"/>
        <v>0</v>
      </c>
      <c r="AM1979" s="496">
        <f t="shared" si="652"/>
        <v>0</v>
      </c>
      <c r="AN1979" s="626"/>
      <c r="AO1979" s="182"/>
      <c r="AP1979" s="182"/>
      <c r="AQ1979" s="332" t="str">
        <f>UPPER(RIGHT(Journal_Live[[#This Row],[DURATION ]]))</f>
        <v/>
      </c>
      <c r="AR1979" s="182"/>
      <c r="AS1979" s="189"/>
      <c r="AT1979" s="189"/>
      <c r="AU1979" s="187"/>
      <c r="AV1979" s="190"/>
      <c r="AW1979" s="191"/>
      <c r="AX1979" s="551"/>
      <c r="AY1979" s="551"/>
      <c r="AZ1979" s="551"/>
      <c r="BA1979" s="551"/>
      <c r="BB1979" s="551"/>
      <c r="BC1979" s="551"/>
      <c r="BD1979" s="549"/>
      <c r="BE1979" s="550"/>
      <c r="BF1979" s="549"/>
      <c r="BG1979" s="391">
        <f>SUM($AV$1389:AV1979)</f>
        <v>3685.2239656881752</v>
      </c>
      <c r="BH1979" s="392">
        <f>SUM($AU$1389:AU1979)</f>
        <v>54427.353506493397</v>
      </c>
      <c r="BI1979" s="318">
        <f>SUMIFS($AU$1388:AU1988,$Q$1388:Q1988,"F")</f>
        <v>28242.093506493511</v>
      </c>
      <c r="BJ1979" s="318">
        <f>SUMIFS($AU$1388:AU1988,$Q$1388:Q1988,"S")</f>
        <v>26080</v>
      </c>
      <c r="BK1979" s="343">
        <f>SUMIFS($AU$1388:AU1988,$P$1388:P1988,"W")</f>
        <v>38523.273506493846</v>
      </c>
      <c r="BL1979" s="343">
        <f>SUMIFS($AU$1388:AU1988,$P$1388:P1988,"R")</f>
        <v>17886.00000000012</v>
      </c>
      <c r="BM1979" s="343">
        <f>SUMIFS($AU$1388:AU1988,$AQ$1388:AQ1988,"M")</f>
        <v>9793.3799999992334</v>
      </c>
      <c r="BN1979" s="343">
        <f>SUMIFS($AU$1388:AU1988,$AQ$1388:AQ1988,"H")</f>
        <v>19383.200000000543</v>
      </c>
      <c r="BO1979" s="343">
        <f>SUMIFS($AU$1388:AU1988,$AQ$1388:AQ1988,"D")</f>
        <v>13641.507142857021</v>
      </c>
      <c r="BP1979" s="343">
        <f>SUMIFS($AS$1388:AS2707,$AO$1388:AO2707,"W")</f>
        <v>0</v>
      </c>
      <c r="BQ1979" s="343">
        <f>SUMIFS($AU$1388:AU1988,$Q$1388:Q1988,"O")</f>
        <v>1417.2599999999034</v>
      </c>
      <c r="BR1979" s="343">
        <f>SUMIFS($AU$1388:AU1988,$AA$1388:AA1988,"*")</f>
        <v>44089.436363636036</v>
      </c>
      <c r="BS1979" s="343">
        <f>SUMIFS($AU$1388:AU1988,$AB$1388:AB1988,"*")</f>
        <v>10383.860000000041</v>
      </c>
      <c r="BT1979" s="343">
        <f>SUMIFS($AU$1388:AU1988,$AC$1388:AC1988,"*")</f>
        <v>31682.093506493675</v>
      </c>
      <c r="BU1979" s="343">
        <f>SUMIFS($AU$1388:AU1988,$AA$1388:AA1988,"*",$AB$1388:AB1988,"*")</f>
        <v>5423.9999999998217</v>
      </c>
      <c r="BV1979" s="343">
        <f>SUMIFS($AU$1388:AU1988,$AA$1388:AA1988,"*",$AC$1388:AC1988,"*")</f>
        <v>19728.036363636533</v>
      </c>
      <c r="BW1979" s="343">
        <f>SUMIFS($AU$1388:AU1988,$AB$1388:AB1988,"*",$AC$1388:AC1988,"*")</f>
        <v>7119.9999999999982</v>
      </c>
      <c r="BX1979" s="343">
        <f>SUMIFS($AV$1388:AV1988,$Q$1388:Q1988,"F")</f>
        <v>418.22475235412151</v>
      </c>
      <c r="BY1979" s="343">
        <f>SUMIFS($AV$1388:AV1988,$Q$1388:Q1988,"S")</f>
        <v>802.03991333429894</v>
      </c>
      <c r="BZ1979" s="343">
        <f>SUMIFS($AV$1388:AV1988,$Q$1388:Q1988,"O")</f>
        <v>612.95929999974919</v>
      </c>
    </row>
    <row r="1980" spans="1:78" ht="15.75" customHeight="1">
      <c r="A1980" s="177" t="s">
        <v>6310</v>
      </c>
      <c r="B1980" s="200">
        <v>45426</v>
      </c>
      <c r="C1980" s="178" t="s">
        <v>2126</v>
      </c>
      <c r="D1980" s="178" t="s">
        <v>146</v>
      </c>
      <c r="E1980" s="227"/>
      <c r="F1980" s="180"/>
      <c r="G1980" s="181" t="s">
        <v>2016</v>
      </c>
      <c r="H1980" s="182"/>
      <c r="I1980" s="182"/>
      <c r="J1980" s="182"/>
      <c r="K1980" s="183"/>
      <c r="L1980" s="182"/>
      <c r="M1980" s="182"/>
      <c r="N1980" s="182"/>
      <c r="O1980" s="183"/>
      <c r="P1980" s="183"/>
      <c r="Q1980" s="183"/>
      <c r="R1980" s="183"/>
      <c r="S1980" s="183"/>
      <c r="T1980" s="183"/>
      <c r="U1980" s="183"/>
      <c r="V1980" s="183"/>
      <c r="W1980" s="183"/>
      <c r="X1980" s="183"/>
      <c r="Y1980" s="184"/>
      <c r="Z1980" s="185"/>
      <c r="AA1980" s="185"/>
      <c r="AB1980" s="185"/>
      <c r="AC1980" s="185"/>
      <c r="AD1980" s="649"/>
      <c r="AE1980" s="182"/>
      <c r="AF1980" s="332"/>
      <c r="AG1980" s="182"/>
      <c r="AH1980" s="182"/>
      <c r="AI1980" s="182"/>
      <c r="AJ1980" s="640"/>
      <c r="AK1980" s="182"/>
      <c r="AL1980" s="496">
        <f t="shared" ref="AL1980:AL1987" si="667">-0.02*Z1980</f>
        <v>0</v>
      </c>
      <c r="AM1980" s="496">
        <f t="shared" si="652"/>
        <v>0</v>
      </c>
      <c r="AN1980" s="626"/>
      <c r="AO1980" s="182"/>
      <c r="AP1980" s="182"/>
      <c r="AQ1980" s="332" t="str">
        <f>UPPER(RIGHT(Journal_Live[[#This Row],[DURATION ]]))</f>
        <v/>
      </c>
      <c r="AR1980" s="182"/>
      <c r="AS1980" s="189"/>
      <c r="AT1980" s="189"/>
      <c r="AU1980" s="187"/>
      <c r="AV1980" s="190"/>
      <c r="AW1980" s="191"/>
      <c r="AX1980" s="551"/>
      <c r="AY1980" s="551"/>
      <c r="AZ1980" s="551"/>
      <c r="BA1980" s="551"/>
      <c r="BB1980" s="551"/>
      <c r="BC1980" s="551"/>
      <c r="BD1980" s="549"/>
      <c r="BE1980" s="550"/>
      <c r="BF1980" s="549"/>
      <c r="BG1980" s="391">
        <f>SUM($AV$1389:AV1980)</f>
        <v>3685.2239656881752</v>
      </c>
      <c r="BH1980" s="392">
        <f>SUM($AU$1389:AU1980)</f>
        <v>54427.353506493397</v>
      </c>
      <c r="BI1980" s="318">
        <f>SUMIFS($AU$1388:AU1981,$Q$1388:Q1981,"F")</f>
        <v>28242.093506493511</v>
      </c>
      <c r="BJ1980" s="318">
        <f>SUMIFS($AU$1388:AU1981,$Q$1388:Q1981,"S")</f>
        <v>23584</v>
      </c>
      <c r="BK1980" s="343">
        <f>SUMIFS($AU$1388:AU1981,$P$1388:P1981,"W")</f>
        <v>36027.273506493846</v>
      </c>
      <c r="BL1980" s="343">
        <f>SUMIFS($AU$1388:AU1981,$P$1388:P1981,"R")</f>
        <v>17886.00000000012</v>
      </c>
      <c r="BM1980" s="343">
        <f>SUMIFS($AU$1388:AU1981,$AQ$1388:AQ1981,"M")</f>
        <v>8993.3799999992334</v>
      </c>
      <c r="BN1980" s="343">
        <f>SUMIFS($AU$1388:AU1981,$AQ$1388:AQ1981,"H")</f>
        <v>17687.200000000543</v>
      </c>
      <c r="BO1980" s="343">
        <f>SUMIFS($AU$1388:AU1981,$AQ$1388:AQ1981,"D")</f>
        <v>13641.507142857021</v>
      </c>
      <c r="BP1980" s="343">
        <f>SUMIFS($AS$1388:AS2700,$AO$1388:AO2700,"W")</f>
        <v>0</v>
      </c>
      <c r="BQ1980" s="343">
        <f>SUMIFS($AU$1388:AU1981,$Q$1388:Q1981,"O")</f>
        <v>1417.2599999999034</v>
      </c>
      <c r="BR1980" s="343">
        <f>SUMIFS($AU$1388:AU1981,$AA$1388:AA1981,"*")</f>
        <v>41593.436363636036</v>
      </c>
      <c r="BS1980" s="343">
        <f>SUMIFS($AU$1388:AU1981,$AB$1388:AB1981,"*")</f>
        <v>10383.860000000041</v>
      </c>
      <c r="BT1980" s="343">
        <f>SUMIFS($AU$1388:AU1981,$AC$1388:AC1981,"*")</f>
        <v>31682.093506493675</v>
      </c>
      <c r="BU1980" s="343">
        <f>SUMIFS($AU$1388:AU1981,$AA$1388:AA1981,"*",$AB$1388:AB1981,"*")</f>
        <v>5423.9999999998217</v>
      </c>
      <c r="BV1980" s="343">
        <f>SUMIFS($AU$1388:AU1981,$AA$1388:AA1981,"*",$AC$1388:AC1981,"*")</f>
        <v>19728.036363636533</v>
      </c>
      <c r="BW1980" s="343">
        <f>SUMIFS($AU$1388:AU1981,$AB$1388:AB1981,"*",$AC$1388:AC1981,"*")</f>
        <v>7119.9999999999982</v>
      </c>
      <c r="BX1980" s="343">
        <f>SUMIFS($AV$1388:AV1981,$Q$1388:Q1981,"F")</f>
        <v>418.22475235412151</v>
      </c>
      <c r="BY1980" s="343">
        <f>SUMIFS($AV$1388:AV1981,$Q$1388:Q1981,"S")</f>
        <v>722.03991333429894</v>
      </c>
      <c r="BZ1980" s="343">
        <f>SUMIFS($AV$1388:AV1981,$Q$1388:Q1981,"O")</f>
        <v>612.95929999974919</v>
      </c>
    </row>
    <row r="1981" spans="1:78" ht="15.75" customHeight="1">
      <c r="A1981" s="177" t="s">
        <v>6310</v>
      </c>
      <c r="B1981" s="200">
        <v>45426</v>
      </c>
      <c r="C1981" s="178" t="s">
        <v>682</v>
      </c>
      <c r="D1981" s="178" t="s">
        <v>146</v>
      </c>
      <c r="E1981" s="227"/>
      <c r="F1981" s="180"/>
      <c r="G1981" s="481" t="s">
        <v>5282</v>
      </c>
      <c r="H1981" s="182"/>
      <c r="I1981" s="182"/>
      <c r="J1981" s="182"/>
      <c r="K1981" s="183"/>
      <c r="L1981" s="182">
        <v>1</v>
      </c>
      <c r="M1981" s="182">
        <v>1</v>
      </c>
      <c r="N1981" s="182"/>
      <c r="O1981" s="183" t="s">
        <v>95</v>
      </c>
      <c r="P1981" s="183" t="s">
        <v>96</v>
      </c>
      <c r="Q1981" s="183" t="s">
        <v>97</v>
      </c>
      <c r="R1981" s="183">
        <v>15</v>
      </c>
      <c r="S1981" s="183">
        <v>0</v>
      </c>
      <c r="T1981" s="183">
        <v>15</v>
      </c>
      <c r="U1981" s="183" t="s">
        <v>97</v>
      </c>
      <c r="V1981" s="183"/>
      <c r="W1981" s="183"/>
      <c r="X1981" s="183"/>
      <c r="Y1981" s="184">
        <f>IF(ISBLANK(O1981),"",(IF(O1981=UPPER("IB"),0.005,0.01)))</f>
        <v>0.01</v>
      </c>
      <c r="Z1981" s="185">
        <f>IF(ISBLANK(O1981),"",IF(O1981="IB",8.63*200,IF(O1981="IR",16*100,IF(O1981="YT",20*100,IF(O1981="YT-XT",24*200,IF(O1981="TED",80*100,IF(O1981="XT",29*200)))))))</f>
        <v>1600</v>
      </c>
      <c r="AA1981" s="185" t="s">
        <v>6437</v>
      </c>
      <c r="AB1981" s="185"/>
      <c r="AC1981" s="185"/>
      <c r="AD1981" s="649">
        <v>-0.19</v>
      </c>
      <c r="AE1981" s="182"/>
      <c r="AF1981" s="332"/>
      <c r="AG1981" s="182"/>
      <c r="AH1981" s="182"/>
      <c r="AI1981" s="182"/>
      <c r="AJ1981" s="640"/>
      <c r="AK1981" s="182"/>
      <c r="AL1981" s="496">
        <f t="shared" si="667"/>
        <v>-32</v>
      </c>
      <c r="AM1981" s="496">
        <f t="shared" si="652"/>
        <v>-480</v>
      </c>
      <c r="AN1981" s="626"/>
      <c r="AO1981" s="182"/>
      <c r="AP1981" s="182" t="s">
        <v>3089</v>
      </c>
      <c r="AQ1981" s="332" t="s">
        <v>372</v>
      </c>
      <c r="AR1981" s="182"/>
      <c r="AS1981" s="189">
        <v>-0.2</v>
      </c>
      <c r="AT1981" s="189">
        <f>IF(ISBLANK(AS1981),,IF(U1981="S",AD1981-AS1981,AS1981-AD1981))</f>
        <v>1.0000000000000009E-2</v>
      </c>
      <c r="AU1981" s="187">
        <f>AV1981*R1981</f>
        <v>240.00000000000023</v>
      </c>
      <c r="AV1981" s="190">
        <f t="shared" ref="AV1981:AV1983" si="668">IF(ISBLANK(AS1981),,(AT1981*Z1981))</f>
        <v>16.000000000000014</v>
      </c>
      <c r="AW1981" s="191" t="s">
        <v>96</v>
      </c>
      <c r="AX1981" s="551"/>
      <c r="AY1981" s="551"/>
      <c r="AZ1981" s="551"/>
      <c r="BA1981" s="551"/>
      <c r="BB1981" s="551"/>
      <c r="BC1981" s="551"/>
      <c r="BD1981" s="549"/>
      <c r="BE1981" s="550"/>
      <c r="BF1981" s="549"/>
      <c r="BG1981" s="391">
        <f>SUM($AV$1389:AV1981)</f>
        <v>3701.2239656881752</v>
      </c>
      <c r="BH1981" s="392">
        <f>SUM($AU$1389:AU1981)</f>
        <v>54667.353506493397</v>
      </c>
      <c r="BI1981" s="318">
        <f>SUMIFS($AU$1388:AU1982,$Q$1388:Q1982,"F")</f>
        <v>28242.093506493511</v>
      </c>
      <c r="BJ1981" s="318">
        <f>SUMIFS($AU$1388:AU1982,$Q$1388:Q1982,"S")</f>
        <v>23584</v>
      </c>
      <c r="BK1981" s="343">
        <f>SUMIFS($AU$1388:AU1982,$P$1388:P1982,"W")</f>
        <v>36027.273506493846</v>
      </c>
      <c r="BL1981" s="343">
        <f>SUMIFS($AU$1388:AU1982,$P$1388:P1982,"R")</f>
        <v>17886.00000000012</v>
      </c>
      <c r="BM1981" s="343">
        <f>SUMIFS($AU$1388:AU1982,$AQ$1388:AQ1982,"M")</f>
        <v>8993.3799999992334</v>
      </c>
      <c r="BN1981" s="343">
        <f>SUMIFS($AU$1388:AU1982,$AQ$1388:AQ1982,"H")</f>
        <v>17687.200000000543</v>
      </c>
      <c r="BO1981" s="343">
        <f>SUMIFS($AU$1388:AU1982,$AQ$1388:AQ1982,"D")</f>
        <v>13641.507142857021</v>
      </c>
      <c r="BP1981" s="343">
        <f>SUMIFS($AS$1388:AS2701,$AO$1388:AO2701,"W")</f>
        <v>0</v>
      </c>
      <c r="BQ1981" s="343">
        <f>SUMIFS($AU$1388:AU1982,$Q$1388:Q1982,"O")</f>
        <v>1417.2599999999034</v>
      </c>
      <c r="BR1981" s="343">
        <f>SUMIFS($AU$1388:AU1982,$AA$1388:AA1982,"*")</f>
        <v>41593.436363636036</v>
      </c>
      <c r="BS1981" s="343">
        <f>SUMIFS($AU$1388:AU1982,$AB$1388:AB1982,"*")</f>
        <v>10383.860000000041</v>
      </c>
      <c r="BT1981" s="343">
        <f>SUMIFS($AU$1388:AU1982,$AC$1388:AC1982,"*")</f>
        <v>31682.093506493675</v>
      </c>
      <c r="BU1981" s="343">
        <f>SUMIFS($AU$1388:AU1982,$AA$1388:AA1982,"*",$AB$1388:AB1982,"*")</f>
        <v>5423.9999999998217</v>
      </c>
      <c r="BV1981" s="343">
        <f>SUMIFS($AU$1388:AU1982,$AA$1388:AA1982,"*",$AC$1388:AC1982,"*")</f>
        <v>19728.036363636533</v>
      </c>
      <c r="BW1981" s="343">
        <f>SUMIFS($AU$1388:AU1982,$AB$1388:AB1982,"*",$AC$1388:AC1982,"*")</f>
        <v>7119.9999999999982</v>
      </c>
      <c r="BX1981" s="343">
        <f>SUMIFS($AV$1388:AV1982,$Q$1388:Q1982,"F")</f>
        <v>418.22475235412151</v>
      </c>
      <c r="BY1981" s="343">
        <f>SUMIFS($AV$1388:AV1982,$Q$1388:Q1982,"S")</f>
        <v>722.03991333429894</v>
      </c>
      <c r="BZ1981" s="343">
        <f>SUMIFS($AV$1388:AV1982,$Q$1388:Q1982,"O")</f>
        <v>612.95929999974919</v>
      </c>
    </row>
    <row r="1982" spans="1:78" ht="15.75" customHeight="1">
      <c r="A1982" s="177" t="s">
        <v>6310</v>
      </c>
      <c r="B1982" s="200">
        <v>45426</v>
      </c>
      <c r="C1982" s="178" t="s">
        <v>682</v>
      </c>
      <c r="D1982" s="178" t="s">
        <v>146</v>
      </c>
      <c r="E1982" s="227"/>
      <c r="F1982" s="180"/>
      <c r="G1982" s="181" t="s">
        <v>3334</v>
      </c>
      <c r="H1982" s="182"/>
      <c r="I1982" s="182"/>
      <c r="J1982" s="182"/>
      <c r="K1982" s="183"/>
      <c r="L1982" s="182"/>
      <c r="M1982" s="182"/>
      <c r="N1982" s="182"/>
      <c r="O1982" s="183"/>
      <c r="P1982" s="183"/>
      <c r="Q1982" s="183"/>
      <c r="R1982" s="183"/>
      <c r="S1982" s="183"/>
      <c r="T1982" s="183"/>
      <c r="U1982" s="183"/>
      <c r="V1982" s="183"/>
      <c r="W1982" s="183"/>
      <c r="X1982" s="183"/>
      <c r="Y1982" s="184"/>
      <c r="Z1982" s="185"/>
      <c r="AA1982" s="185"/>
      <c r="AB1982" s="185"/>
      <c r="AC1982" s="185"/>
      <c r="AD1982" s="649"/>
      <c r="AE1982" s="182"/>
      <c r="AF1982" s="332"/>
      <c r="AG1982" s="182"/>
      <c r="AH1982" s="182"/>
      <c r="AI1982" s="182"/>
      <c r="AJ1982" s="640"/>
      <c r="AK1982" s="182"/>
      <c r="AL1982" s="496">
        <f t="shared" si="667"/>
        <v>0</v>
      </c>
      <c r="AM1982" s="496">
        <f t="shared" si="652"/>
        <v>0</v>
      </c>
      <c r="AN1982" s="626"/>
      <c r="AO1982" s="182"/>
      <c r="AP1982" s="182"/>
      <c r="AQ1982" s="332" t="str">
        <f>UPPER(RIGHT(Journal_Live[[#This Row],[DURATION ]]))</f>
        <v/>
      </c>
      <c r="AR1982" s="182"/>
      <c r="AS1982" s="189"/>
      <c r="AT1982" s="189"/>
      <c r="AU1982" s="187"/>
      <c r="AV1982" s="190"/>
      <c r="AW1982" s="191"/>
      <c r="AX1982" s="551"/>
      <c r="AY1982" s="551"/>
      <c r="AZ1982" s="551"/>
      <c r="BA1982" s="551"/>
      <c r="BB1982" s="551"/>
      <c r="BC1982" s="551"/>
      <c r="BD1982" s="549"/>
      <c r="BE1982" s="550"/>
      <c r="BF1982" s="549"/>
      <c r="BG1982" s="391">
        <f>SUM($AV$1389:AV1982)</f>
        <v>3701.2239656881752</v>
      </c>
      <c r="BH1982" s="392">
        <f>SUM($AU$1389:AU1982)</f>
        <v>54667.353506493397</v>
      </c>
      <c r="BI1982" s="318">
        <f>SUMIFS($AU$1388:AU1983,$Q$1388:Q1983,"F")</f>
        <v>28242.093506493511</v>
      </c>
      <c r="BJ1982" s="318">
        <f>SUMIFS($AU$1388:AU1983,$Q$1388:Q1983,"S")</f>
        <v>24384</v>
      </c>
      <c r="BK1982" s="343">
        <f>SUMIFS($AU$1388:AU1983,$P$1388:P1983,"W")</f>
        <v>36827.273506493846</v>
      </c>
      <c r="BL1982" s="343">
        <f>SUMIFS($AU$1388:AU1983,$P$1388:P1983,"R")</f>
        <v>17886.00000000012</v>
      </c>
      <c r="BM1982" s="343">
        <f>SUMIFS($AU$1388:AU1983,$AQ$1388:AQ1983,"M")</f>
        <v>9793.3799999992334</v>
      </c>
      <c r="BN1982" s="343">
        <f>SUMIFS($AU$1388:AU1983,$AQ$1388:AQ1983,"H")</f>
        <v>17687.200000000543</v>
      </c>
      <c r="BO1982" s="343">
        <f>SUMIFS($AU$1388:AU1983,$AQ$1388:AQ1983,"D")</f>
        <v>13641.507142857021</v>
      </c>
      <c r="BP1982" s="343">
        <f>SUMIFS($AS$1388:AS2702,$AO$1388:AO2702,"W")</f>
        <v>0</v>
      </c>
      <c r="BQ1982" s="343">
        <f>SUMIFS($AU$1388:AU1983,$Q$1388:Q1983,"O")</f>
        <v>1417.2599999999034</v>
      </c>
      <c r="BR1982" s="343">
        <f>SUMIFS($AU$1388:AU1983,$AA$1388:AA1983,"*")</f>
        <v>42393.436363636036</v>
      </c>
      <c r="BS1982" s="343">
        <f>SUMIFS($AU$1388:AU1983,$AB$1388:AB1983,"*")</f>
        <v>10383.860000000041</v>
      </c>
      <c r="BT1982" s="343">
        <f>SUMIFS($AU$1388:AU1983,$AC$1388:AC1983,"*")</f>
        <v>31682.093506493675</v>
      </c>
      <c r="BU1982" s="343">
        <f>SUMIFS($AU$1388:AU1983,$AA$1388:AA1983,"*",$AB$1388:AB1983,"*")</f>
        <v>5423.9999999998217</v>
      </c>
      <c r="BV1982" s="343">
        <f>SUMIFS($AU$1388:AU1983,$AA$1388:AA1983,"*",$AC$1388:AC1983,"*")</f>
        <v>19728.036363636533</v>
      </c>
      <c r="BW1982" s="343">
        <f>SUMIFS($AU$1388:AU1983,$AB$1388:AB1983,"*",$AC$1388:AC1983,"*")</f>
        <v>7119.9999999999982</v>
      </c>
      <c r="BX1982" s="343">
        <f>SUMIFS($AV$1388:AV1983,$Q$1388:Q1983,"F")</f>
        <v>418.22475235412151</v>
      </c>
      <c r="BY1982" s="343">
        <f>SUMIFS($AV$1388:AV1983,$Q$1388:Q1983,"S")</f>
        <v>738.03991333429894</v>
      </c>
      <c r="BZ1982" s="343">
        <f>SUMIFS($AV$1388:AV1983,$Q$1388:Q1983,"O")</f>
        <v>612.95929999974919</v>
      </c>
    </row>
    <row r="1983" spans="1:78" ht="15.75" customHeight="1">
      <c r="A1983" s="177" t="s">
        <v>6310</v>
      </c>
      <c r="B1983" s="200">
        <v>45426</v>
      </c>
      <c r="C1983" s="178" t="s">
        <v>682</v>
      </c>
      <c r="D1983" s="178" t="s">
        <v>146</v>
      </c>
      <c r="E1983" s="227"/>
      <c r="F1983" s="180"/>
      <c r="G1983" s="481" t="s">
        <v>3625</v>
      </c>
      <c r="H1983" s="182"/>
      <c r="I1983" s="182"/>
      <c r="J1983" s="182"/>
      <c r="K1983" s="183"/>
      <c r="L1983" s="182">
        <v>1</v>
      </c>
      <c r="M1983" s="182">
        <v>1</v>
      </c>
      <c r="N1983" s="182"/>
      <c r="O1983" s="183" t="s">
        <v>95</v>
      </c>
      <c r="P1983" s="183" t="s">
        <v>96</v>
      </c>
      <c r="Q1983" s="183" t="s">
        <v>97</v>
      </c>
      <c r="R1983" s="183">
        <v>50</v>
      </c>
      <c r="S1983" s="183">
        <v>0</v>
      </c>
      <c r="T1983" s="183">
        <v>50</v>
      </c>
      <c r="U1983" s="183" t="s">
        <v>97</v>
      </c>
      <c r="V1983" s="183"/>
      <c r="W1983" s="183"/>
      <c r="X1983" s="183"/>
      <c r="Y1983" s="184">
        <f>IF(ISBLANK(O1983),"",(IF(O1983=UPPER("IB"),0.005,0.01)))</f>
        <v>0.01</v>
      </c>
      <c r="Z1983" s="185">
        <f>IF(ISBLANK(O1983),"",IF(O1983="IB",8.63*200,IF(O1983="IR",16*100,IF(O1983="YT",20*100,IF(O1983="YT-XT",24*200,IF(O1983="TED",80*100,IF(O1983="XT",29*200)))))))</f>
        <v>1600</v>
      </c>
      <c r="AA1983" s="185" t="s">
        <v>6437</v>
      </c>
      <c r="AB1983" s="185"/>
      <c r="AC1983" s="185"/>
      <c r="AD1983" s="649">
        <v>-0.19</v>
      </c>
      <c r="AE1983" s="182"/>
      <c r="AF1983" s="332"/>
      <c r="AG1983" s="182"/>
      <c r="AH1983" s="182"/>
      <c r="AI1983" s="182"/>
      <c r="AJ1983" s="640"/>
      <c r="AK1983" s="182"/>
      <c r="AL1983" s="496">
        <f t="shared" si="667"/>
        <v>-32</v>
      </c>
      <c r="AM1983" s="496">
        <f t="shared" si="652"/>
        <v>-1600</v>
      </c>
      <c r="AN1983" s="626"/>
      <c r="AO1983" s="182"/>
      <c r="AP1983" s="182" t="s">
        <v>6438</v>
      </c>
      <c r="AQ1983" s="332" t="s">
        <v>1259</v>
      </c>
      <c r="AR1983" s="182" t="s">
        <v>6439</v>
      </c>
      <c r="AS1983" s="189">
        <v>-0.2</v>
      </c>
      <c r="AT1983" s="189">
        <f>IF(ISBLANK(AS1983),,IF(U1983="S",AD1983-AS1983,AS1983-AD1983))</f>
        <v>1.0000000000000009E-2</v>
      </c>
      <c r="AU1983" s="187">
        <f>AV1983*R1983</f>
        <v>800.00000000000068</v>
      </c>
      <c r="AV1983" s="190">
        <f t="shared" si="668"/>
        <v>16.000000000000014</v>
      </c>
      <c r="AW1983" s="191" t="s">
        <v>96</v>
      </c>
      <c r="AX1983" s="551"/>
      <c r="AY1983" s="551"/>
      <c r="AZ1983" s="551"/>
      <c r="BA1983" s="551"/>
      <c r="BB1983" s="551"/>
      <c r="BC1983" s="551"/>
      <c r="BD1983" s="549"/>
      <c r="BE1983" s="550"/>
      <c r="BF1983" s="549"/>
      <c r="BG1983" s="391">
        <f>SUM($AV$1389:AV1983)</f>
        <v>3717.2239656881752</v>
      </c>
      <c r="BH1983" s="392">
        <f>SUM($AU$1389:AU1983)</f>
        <v>55467.353506493397</v>
      </c>
      <c r="BI1983" s="318">
        <f>SUMIFS($AU$1388:AU1984,$Q$1388:Q1984,"F")</f>
        <v>28242.093506493511</v>
      </c>
      <c r="BJ1983" s="318">
        <f>SUMIFS($AU$1388:AU1984,$Q$1388:Q1984,"S")</f>
        <v>24384</v>
      </c>
      <c r="BK1983" s="343">
        <f>SUMIFS($AU$1388:AU1984,$P$1388:P1984,"W")</f>
        <v>36827.273506493846</v>
      </c>
      <c r="BL1983" s="343">
        <f>SUMIFS($AU$1388:AU1984,$P$1388:P1984,"R")</f>
        <v>17886.00000000012</v>
      </c>
      <c r="BM1983" s="343">
        <f>SUMIFS($AU$1388:AU1984,$AQ$1388:AQ1984,"M")</f>
        <v>9793.3799999992334</v>
      </c>
      <c r="BN1983" s="343">
        <f>SUMIFS($AU$1388:AU1984,$AQ$1388:AQ1984,"H")</f>
        <v>17687.200000000543</v>
      </c>
      <c r="BO1983" s="343">
        <f>SUMIFS($AU$1388:AU1984,$AQ$1388:AQ1984,"D")</f>
        <v>13641.507142857021</v>
      </c>
      <c r="BP1983" s="343">
        <f>SUMIFS($AS$1388:AS2703,$AO$1388:AO2703,"W")</f>
        <v>0</v>
      </c>
      <c r="BQ1983" s="343">
        <f>SUMIFS($AU$1388:AU1984,$Q$1388:Q1984,"O")</f>
        <v>1417.2599999999034</v>
      </c>
      <c r="BR1983" s="343">
        <f>SUMIFS($AU$1388:AU1984,$AA$1388:AA1984,"*")</f>
        <v>42393.436363636036</v>
      </c>
      <c r="BS1983" s="343">
        <f>SUMIFS($AU$1388:AU1984,$AB$1388:AB1984,"*")</f>
        <v>10383.860000000041</v>
      </c>
      <c r="BT1983" s="343">
        <f>SUMIFS($AU$1388:AU1984,$AC$1388:AC1984,"*")</f>
        <v>31682.093506493675</v>
      </c>
      <c r="BU1983" s="343">
        <f>SUMIFS($AU$1388:AU1984,$AA$1388:AA1984,"*",$AB$1388:AB1984,"*")</f>
        <v>5423.9999999998217</v>
      </c>
      <c r="BV1983" s="343">
        <f>SUMIFS($AU$1388:AU1984,$AA$1388:AA1984,"*",$AC$1388:AC1984,"*")</f>
        <v>19728.036363636533</v>
      </c>
      <c r="BW1983" s="343">
        <f>SUMIFS($AU$1388:AU1984,$AB$1388:AB1984,"*",$AC$1388:AC1984,"*")</f>
        <v>7119.9999999999982</v>
      </c>
      <c r="BX1983" s="343">
        <f>SUMIFS($AV$1388:AV1984,$Q$1388:Q1984,"F")</f>
        <v>418.22475235412151</v>
      </c>
      <c r="BY1983" s="343">
        <f>SUMIFS($AV$1388:AV1984,$Q$1388:Q1984,"S")</f>
        <v>738.03991333429894</v>
      </c>
      <c r="BZ1983" s="343">
        <f>SUMIFS($AV$1388:AV1984,$Q$1388:Q1984,"O")</f>
        <v>612.95929999974919</v>
      </c>
    </row>
    <row r="1984" spans="1:78" ht="15.75" customHeight="1">
      <c r="A1984" s="177" t="s">
        <v>6310</v>
      </c>
      <c r="B1984" s="200">
        <v>45426</v>
      </c>
      <c r="C1984" s="178" t="s">
        <v>682</v>
      </c>
      <c r="D1984" s="178" t="s">
        <v>146</v>
      </c>
      <c r="E1984" s="227"/>
      <c r="F1984" s="180"/>
      <c r="G1984" s="181" t="s">
        <v>2070</v>
      </c>
      <c r="H1984" s="182"/>
      <c r="I1984" s="182"/>
      <c r="J1984" s="182"/>
      <c r="K1984" s="183"/>
      <c r="L1984" s="182"/>
      <c r="M1984" s="182"/>
      <c r="N1984" s="182"/>
      <c r="O1984" s="183"/>
      <c r="P1984" s="183"/>
      <c r="Q1984" s="183"/>
      <c r="R1984" s="183"/>
      <c r="S1984" s="183"/>
      <c r="T1984" s="183"/>
      <c r="U1984" s="183"/>
      <c r="V1984" s="183"/>
      <c r="W1984" s="183"/>
      <c r="X1984" s="183"/>
      <c r="Y1984" s="184"/>
      <c r="Z1984" s="185"/>
      <c r="AA1984" s="185"/>
      <c r="AB1984" s="185"/>
      <c r="AC1984" s="185"/>
      <c r="AD1984" s="649"/>
      <c r="AE1984" s="182"/>
      <c r="AF1984" s="332"/>
      <c r="AG1984" s="182"/>
      <c r="AH1984" s="182"/>
      <c r="AI1984" s="182"/>
      <c r="AJ1984" s="640"/>
      <c r="AK1984" s="182"/>
      <c r="AL1984" s="496">
        <f t="shared" ref="AL1984" si="669">-0.02*Z1984</f>
        <v>0</v>
      </c>
      <c r="AM1984" s="496">
        <f t="shared" si="652"/>
        <v>0</v>
      </c>
      <c r="AN1984" s="626"/>
      <c r="AO1984" s="182"/>
      <c r="AP1984" s="182"/>
      <c r="AQ1984" s="332"/>
      <c r="AR1984" s="182"/>
      <c r="AS1984" s="189"/>
      <c r="AT1984" s="189"/>
      <c r="AU1984" s="187"/>
      <c r="AV1984" s="190"/>
      <c r="AW1984" s="191"/>
      <c r="AX1984" s="551"/>
      <c r="AY1984" s="551"/>
      <c r="AZ1984" s="551"/>
      <c r="BA1984" s="551"/>
      <c r="BB1984" s="551"/>
      <c r="BC1984" s="551"/>
      <c r="BD1984" s="549"/>
      <c r="BE1984" s="550"/>
      <c r="BF1984" s="549"/>
      <c r="BG1984" s="391">
        <f>SUM($AV$1389:AV1984)</f>
        <v>3717.2239656881752</v>
      </c>
      <c r="BH1984" s="392">
        <f>SUM($AU$1389:AU1984)</f>
        <v>55467.353506493397</v>
      </c>
      <c r="BI1984" s="318">
        <f>SUMIFS($AU$1388:AU1985,$Q$1388:Q1985,"F")</f>
        <v>28242.093506493511</v>
      </c>
      <c r="BJ1984" s="318">
        <f>SUMIFS($AU$1388:AU1985,$Q$1388:Q1985,"S")</f>
        <v>25184</v>
      </c>
      <c r="BK1984" s="343">
        <f>SUMIFS($AU$1388:AU1985,$P$1388:P1985,"W")</f>
        <v>37627.273506493846</v>
      </c>
      <c r="BL1984" s="343">
        <f>SUMIFS($AU$1388:AU1985,$P$1388:P1985,"R")</f>
        <v>17886.00000000012</v>
      </c>
      <c r="BM1984" s="343">
        <f>SUMIFS($AU$1388:AU1985,$AQ$1388:AQ1985,"M")</f>
        <v>9793.3799999992334</v>
      </c>
      <c r="BN1984" s="343">
        <f>SUMIFS($AU$1388:AU1985,$AQ$1388:AQ1985,"H")</f>
        <v>18487.200000000543</v>
      </c>
      <c r="BO1984" s="343">
        <f>SUMIFS($AU$1388:AU1985,$AQ$1388:AQ1985,"D")</f>
        <v>13641.507142857021</v>
      </c>
      <c r="BP1984" s="343">
        <f>SUMIFS($AS$1388:AS2704,$AO$1388:AO2704,"W")</f>
        <v>0</v>
      </c>
      <c r="BQ1984" s="343">
        <f>SUMIFS($AU$1388:AU1985,$Q$1388:Q1985,"O")</f>
        <v>1417.2599999999034</v>
      </c>
      <c r="BR1984" s="343">
        <f>SUMIFS($AU$1388:AU1985,$AA$1388:AA1985,"*")</f>
        <v>43193.436363636036</v>
      </c>
      <c r="BS1984" s="343">
        <f>SUMIFS($AU$1388:AU1985,$AB$1388:AB1985,"*")</f>
        <v>10383.860000000041</v>
      </c>
      <c r="BT1984" s="343">
        <f>SUMIFS($AU$1388:AU1985,$AC$1388:AC1985,"*")</f>
        <v>31682.093506493675</v>
      </c>
      <c r="BU1984" s="343">
        <f>SUMIFS($AU$1388:AU1985,$AA$1388:AA1985,"*",$AB$1388:AB1985,"*")</f>
        <v>5423.9999999998217</v>
      </c>
      <c r="BV1984" s="343">
        <f>SUMIFS($AU$1388:AU1985,$AA$1388:AA1985,"*",$AC$1388:AC1985,"*")</f>
        <v>19728.036363636533</v>
      </c>
      <c r="BW1984" s="343">
        <f>SUMIFS($AU$1388:AU1985,$AB$1388:AB1985,"*",$AC$1388:AC1985,"*")</f>
        <v>7119.9999999999982</v>
      </c>
      <c r="BX1984" s="343">
        <f>SUMIFS($AV$1388:AV1985,$Q$1388:Q1985,"F")</f>
        <v>418.22475235412151</v>
      </c>
      <c r="BY1984" s="343">
        <f>SUMIFS($AV$1388:AV1985,$Q$1388:Q1985,"S")</f>
        <v>754.03991333429894</v>
      </c>
      <c r="BZ1984" s="343">
        <f>SUMIFS($AV$1388:AV1985,$Q$1388:Q1985,"O")</f>
        <v>612.95929999974919</v>
      </c>
    </row>
    <row r="1985" spans="1:78" ht="15.75" customHeight="1">
      <c r="A1985" s="177" t="s">
        <v>6310</v>
      </c>
      <c r="B1985" s="200">
        <v>45426</v>
      </c>
      <c r="C1985" s="178" t="s">
        <v>4829</v>
      </c>
      <c r="D1985" s="178" t="s">
        <v>146</v>
      </c>
      <c r="E1985" s="227"/>
      <c r="F1985" s="180"/>
      <c r="G1985" s="481" t="s">
        <v>5282</v>
      </c>
      <c r="H1985" s="182"/>
      <c r="I1985" s="182"/>
      <c r="J1985" s="182"/>
      <c r="K1985" s="183"/>
      <c r="L1985" s="182">
        <v>1</v>
      </c>
      <c r="M1985" s="182"/>
      <c r="N1985" s="182"/>
      <c r="O1985" s="183" t="s">
        <v>95</v>
      </c>
      <c r="P1985" s="183" t="s">
        <v>96</v>
      </c>
      <c r="Q1985" s="183" t="s">
        <v>97</v>
      </c>
      <c r="R1985" s="183">
        <v>50</v>
      </c>
      <c r="S1985" s="183">
        <v>0</v>
      </c>
      <c r="T1985" s="183">
        <v>35</v>
      </c>
      <c r="U1985" s="183" t="s">
        <v>97</v>
      </c>
      <c r="V1985" s="183"/>
      <c r="W1985" s="183"/>
      <c r="X1985" s="183"/>
      <c r="Y1985" s="184">
        <f>IF(ISBLANK(O1985),"",(IF(O1985=UPPER("IB"),0.005,0.01)))</f>
        <v>0.01</v>
      </c>
      <c r="Z1985" s="185">
        <f>IF(ISBLANK(O1985),"",IF(O1985="IB",8.63*200,IF(O1985="IR",16*100,IF(O1985="YT",20*100,IF(O1985="YT-XT",24*200,IF(O1985="TED",80*100,IF(O1985="XT",29*200)))))))</f>
        <v>1600</v>
      </c>
      <c r="AA1985" s="185" t="s">
        <v>6437</v>
      </c>
      <c r="AB1985" s="185"/>
      <c r="AC1985" s="185"/>
      <c r="AD1985" s="649">
        <v>-0.19</v>
      </c>
      <c r="AE1985" s="182"/>
      <c r="AF1985" s="332"/>
      <c r="AG1985" s="182"/>
      <c r="AH1985" s="182"/>
      <c r="AI1985" s="182"/>
      <c r="AJ1985" s="640"/>
      <c r="AK1985" s="182"/>
      <c r="AL1985" s="496">
        <f t="shared" si="667"/>
        <v>-32</v>
      </c>
      <c r="AM1985" s="496">
        <f t="shared" ref="AM1985:AM2016" si="670">AL1985*(R1985-S1985)</f>
        <v>-1600</v>
      </c>
      <c r="AN1985" s="626"/>
      <c r="AO1985" s="182"/>
      <c r="AP1985" s="182" t="s">
        <v>1987</v>
      </c>
      <c r="AQ1985" s="332" t="s">
        <v>372</v>
      </c>
      <c r="AR1985" s="182" t="s">
        <v>6440</v>
      </c>
      <c r="AS1985" s="189">
        <v>-0.2</v>
      </c>
      <c r="AT1985" s="189">
        <f>IF(ISBLANK(AS1985),,IF(U1985="S",AD1985-AS1985,AS1985-AD1985))</f>
        <v>1.0000000000000009E-2</v>
      </c>
      <c r="AU1985" s="187">
        <f>AV1985*R1985</f>
        <v>800.00000000000068</v>
      </c>
      <c r="AV1985" s="190">
        <f t="shared" ref="AV1985:AV1991" si="671">IF(ISBLANK(AS1985),,(AT1985*Z1985))</f>
        <v>16.000000000000014</v>
      </c>
      <c r="AW1985" s="191" t="s">
        <v>96</v>
      </c>
      <c r="AX1985" s="551"/>
      <c r="AY1985" s="551"/>
      <c r="AZ1985" s="551"/>
      <c r="BA1985" s="551"/>
      <c r="BB1985" s="551"/>
      <c r="BC1985" s="551"/>
      <c r="BD1985" s="549"/>
      <c r="BE1985" s="550"/>
      <c r="BF1985" s="549"/>
      <c r="BG1985" s="391">
        <f>SUM($AV$1389:AV1985)</f>
        <v>3733.2239656881752</v>
      </c>
      <c r="BH1985" s="392">
        <f>SUM($AU$1389:AU1985)</f>
        <v>56267.353506493397</v>
      </c>
      <c r="BI1985" s="318">
        <f>SUMIFS($AU$1388:AU1986,$Q$1388:Q1986,"F")</f>
        <v>28242.093506493511</v>
      </c>
      <c r="BJ1985" s="318">
        <f>SUMIFS($AU$1388:AU1986,$Q$1388:Q1986,"S")</f>
        <v>25824</v>
      </c>
      <c r="BK1985" s="343">
        <f>SUMIFS($AU$1388:AU1986,$P$1388:P1986,"W")</f>
        <v>38267.273506493846</v>
      </c>
      <c r="BL1985" s="343">
        <f>SUMIFS($AU$1388:AU1986,$P$1388:P1986,"R")</f>
        <v>17886.00000000012</v>
      </c>
      <c r="BM1985" s="343">
        <f>SUMIFS($AU$1388:AU1986,$AQ$1388:AQ1986,"M")</f>
        <v>9793.3799999992334</v>
      </c>
      <c r="BN1985" s="343">
        <f>SUMIFS($AU$1388:AU1986,$AQ$1388:AQ1986,"H")</f>
        <v>19127.200000000543</v>
      </c>
      <c r="BO1985" s="343">
        <f>SUMIFS($AU$1388:AU1986,$AQ$1388:AQ1986,"D")</f>
        <v>13641.507142857021</v>
      </c>
      <c r="BP1985" s="343">
        <f>SUMIFS($AS$1388:AS2705,$AO$1388:AO2705,"W")</f>
        <v>0</v>
      </c>
      <c r="BQ1985" s="343">
        <f>SUMIFS($AU$1388:AU1986,$Q$1388:Q1986,"O")</f>
        <v>1417.2599999999034</v>
      </c>
      <c r="BR1985" s="343">
        <f>SUMIFS($AU$1388:AU1986,$AA$1388:AA1986,"*")</f>
        <v>43833.436363636036</v>
      </c>
      <c r="BS1985" s="343">
        <f>SUMIFS($AU$1388:AU1986,$AB$1388:AB1986,"*")</f>
        <v>10383.860000000041</v>
      </c>
      <c r="BT1985" s="343">
        <f>SUMIFS($AU$1388:AU1986,$AC$1388:AC1986,"*")</f>
        <v>31682.093506493675</v>
      </c>
      <c r="BU1985" s="343">
        <f>SUMIFS($AU$1388:AU1986,$AA$1388:AA1986,"*",$AB$1388:AB1986,"*")</f>
        <v>5423.9999999998217</v>
      </c>
      <c r="BV1985" s="343">
        <f>SUMIFS($AU$1388:AU1986,$AA$1388:AA1986,"*",$AC$1388:AC1986,"*")</f>
        <v>19728.036363636533</v>
      </c>
      <c r="BW1985" s="343">
        <f>SUMIFS($AU$1388:AU1986,$AB$1388:AB1986,"*",$AC$1388:AC1986,"*")</f>
        <v>7119.9999999999982</v>
      </c>
      <c r="BX1985" s="343">
        <f>SUMIFS($AV$1388:AV1986,$Q$1388:Q1986,"F")</f>
        <v>418.22475235412151</v>
      </c>
      <c r="BY1985" s="343">
        <f>SUMIFS($AV$1388:AV1986,$Q$1388:Q1986,"S")</f>
        <v>770.03991333429894</v>
      </c>
      <c r="BZ1985" s="343">
        <f>SUMIFS($AV$1388:AV1986,$Q$1388:Q1986,"O")</f>
        <v>612.95929999974919</v>
      </c>
    </row>
    <row r="1986" spans="1:78" ht="15.75" customHeight="1">
      <c r="A1986" s="177" t="s">
        <v>6310</v>
      </c>
      <c r="B1986" s="200">
        <v>45427</v>
      </c>
      <c r="C1986" s="178" t="s">
        <v>1437</v>
      </c>
      <c r="D1986" s="178" t="s">
        <v>151</v>
      </c>
      <c r="E1986" s="227"/>
      <c r="F1986" s="180"/>
      <c r="G1986" s="481" t="s">
        <v>3990</v>
      </c>
      <c r="H1986" s="182"/>
      <c r="I1986" s="182"/>
      <c r="J1986" s="182"/>
      <c r="K1986" s="183"/>
      <c r="L1986" s="182">
        <v>1</v>
      </c>
      <c r="M1986" s="182">
        <v>1</v>
      </c>
      <c r="N1986" s="182"/>
      <c r="O1986" s="183" t="s">
        <v>95</v>
      </c>
      <c r="P1986" s="183" t="s">
        <v>96</v>
      </c>
      <c r="Q1986" s="183" t="s">
        <v>97</v>
      </c>
      <c r="R1986" s="183">
        <v>40</v>
      </c>
      <c r="S1986" s="183">
        <v>0</v>
      </c>
      <c r="T1986" s="183">
        <v>40</v>
      </c>
      <c r="U1986" s="183" t="s">
        <v>22</v>
      </c>
      <c r="V1986" s="183"/>
      <c r="W1986" s="183"/>
      <c r="X1986" s="183"/>
      <c r="Y1986" s="184">
        <f>IF(ISBLANK(O1986),"",(IF(O1986=UPPER("IB"),0.005,0.01)))</f>
        <v>0.01</v>
      </c>
      <c r="Z1986" s="185">
        <f>IF(ISBLANK(O1986),"",IF(O1986="IB",8.63*200,IF(O1986="IR",16*100,IF(O1986="YT",20*100,IF(O1986="YT-XT",24*200,IF(O1986="TED",80*100,IF(O1986="XT",29*200)))))))</f>
        <v>1600</v>
      </c>
      <c r="AA1986" s="185" t="s">
        <v>6441</v>
      </c>
      <c r="AB1986" s="185"/>
      <c r="AC1986" s="185"/>
      <c r="AD1986" s="649">
        <v>0</v>
      </c>
      <c r="AE1986" s="182"/>
      <c r="AF1986" s="332"/>
      <c r="AG1986" s="182"/>
      <c r="AH1986" s="182"/>
      <c r="AI1986" s="182"/>
      <c r="AJ1986" s="640"/>
      <c r="AK1986" s="182"/>
      <c r="AL1986" s="496">
        <f t="shared" si="667"/>
        <v>-32</v>
      </c>
      <c r="AM1986" s="496">
        <f t="shared" si="670"/>
        <v>-1280</v>
      </c>
      <c r="AN1986" s="626"/>
      <c r="AO1986" s="182"/>
      <c r="AP1986" s="182" t="s">
        <v>6442</v>
      </c>
      <c r="AQ1986" s="332" t="s">
        <v>372</v>
      </c>
      <c r="AR1986" s="182"/>
      <c r="AS1986" s="189">
        <v>0.01</v>
      </c>
      <c r="AT1986" s="189">
        <f>IF(ISBLANK(AS1986),,IF(U1986="S",AD1986-AS1986,AS1986-AD1986))</f>
        <v>0.01</v>
      </c>
      <c r="AU1986" s="187">
        <f>AV1986*R1986</f>
        <v>640</v>
      </c>
      <c r="AV1986" s="190">
        <f t="shared" si="671"/>
        <v>16</v>
      </c>
      <c r="AW1986" s="191" t="s">
        <v>96</v>
      </c>
      <c r="AX1986" s="551"/>
      <c r="AY1986" s="551"/>
      <c r="AZ1986" s="551"/>
      <c r="BA1986" s="551"/>
      <c r="BB1986" s="551"/>
      <c r="BC1986" s="551"/>
      <c r="BD1986" s="549"/>
      <c r="BE1986" s="550"/>
      <c r="BF1986" s="549"/>
      <c r="BG1986" s="391">
        <f>SUM($AV$1389:AV1986)</f>
        <v>3749.2239656881752</v>
      </c>
      <c r="BH1986" s="392">
        <f>SUM($AU$1389:AU1986)</f>
        <v>56907.353506493397</v>
      </c>
      <c r="BI1986" s="318">
        <f>SUMIFS($AU$1388:AU1987,$Q$1388:Q1987,"F")</f>
        <v>28242.093506493511</v>
      </c>
      <c r="BJ1986" s="318">
        <f>SUMIFS($AU$1388:AU1987,$Q$1388:Q1987,"S")</f>
        <v>26080</v>
      </c>
      <c r="BK1986" s="343">
        <f>SUMIFS($AU$1388:AU1987,$P$1388:P1987,"W")</f>
        <v>38523.273506493846</v>
      </c>
      <c r="BL1986" s="343">
        <f>SUMIFS($AU$1388:AU1987,$P$1388:P1987,"R")</f>
        <v>17886.00000000012</v>
      </c>
      <c r="BM1986" s="343">
        <f>SUMIFS($AU$1388:AU1987,$AQ$1388:AQ1987,"M")</f>
        <v>9793.3799999992334</v>
      </c>
      <c r="BN1986" s="343">
        <f>SUMIFS($AU$1388:AU1987,$AQ$1388:AQ1987,"H")</f>
        <v>19383.200000000543</v>
      </c>
      <c r="BO1986" s="343">
        <f>SUMIFS($AU$1388:AU1987,$AQ$1388:AQ1987,"D")</f>
        <v>13641.507142857021</v>
      </c>
      <c r="BP1986" s="343">
        <f>SUMIFS($AS$1388:AS2706,$AO$1388:AO2706,"W")</f>
        <v>0</v>
      </c>
      <c r="BQ1986" s="343">
        <f>SUMIFS($AU$1388:AU1987,$Q$1388:Q1987,"O")</f>
        <v>1417.2599999999034</v>
      </c>
      <c r="BR1986" s="343">
        <f>SUMIFS($AU$1388:AU1987,$AA$1388:AA1987,"*")</f>
        <v>44089.436363636036</v>
      </c>
      <c r="BS1986" s="343">
        <f>SUMIFS($AU$1388:AU1987,$AB$1388:AB1987,"*")</f>
        <v>10383.860000000041</v>
      </c>
      <c r="BT1986" s="343">
        <f>SUMIFS($AU$1388:AU1987,$AC$1388:AC1987,"*")</f>
        <v>31682.093506493675</v>
      </c>
      <c r="BU1986" s="343">
        <f>SUMIFS($AU$1388:AU1987,$AA$1388:AA1987,"*",$AB$1388:AB1987,"*")</f>
        <v>5423.9999999998217</v>
      </c>
      <c r="BV1986" s="343">
        <f>SUMIFS($AU$1388:AU1987,$AA$1388:AA1987,"*",$AC$1388:AC1987,"*")</f>
        <v>19728.036363636533</v>
      </c>
      <c r="BW1986" s="343">
        <f>SUMIFS($AU$1388:AU1987,$AB$1388:AB1987,"*",$AC$1388:AC1987,"*")</f>
        <v>7119.9999999999982</v>
      </c>
      <c r="BX1986" s="343">
        <f>SUMIFS($AV$1388:AV1987,$Q$1388:Q1987,"F")</f>
        <v>418.22475235412151</v>
      </c>
      <c r="BY1986" s="343">
        <f>SUMIFS($AV$1388:AV1987,$Q$1388:Q1987,"S")</f>
        <v>802.03991333429894</v>
      </c>
      <c r="BZ1986" s="343">
        <f>SUMIFS($AV$1388:AV1987,$Q$1388:Q1987,"O")</f>
        <v>612.95929999974919</v>
      </c>
    </row>
    <row r="1987" spans="1:78" ht="15.75" customHeight="1">
      <c r="A1987" s="177" t="s">
        <v>6310</v>
      </c>
      <c r="B1987" s="200">
        <v>45427</v>
      </c>
      <c r="C1987" s="178" t="s">
        <v>682</v>
      </c>
      <c r="D1987" s="178" t="s">
        <v>151</v>
      </c>
      <c r="E1987" s="227"/>
      <c r="F1987" s="180"/>
      <c r="G1987" s="481" t="s">
        <v>3990</v>
      </c>
      <c r="H1987" s="182"/>
      <c r="I1987" s="182"/>
      <c r="J1987" s="182"/>
      <c r="K1987" s="183"/>
      <c r="L1987" s="182">
        <v>1</v>
      </c>
      <c r="M1987" s="182">
        <v>1</v>
      </c>
      <c r="N1987" s="182"/>
      <c r="O1987" s="183" t="s">
        <v>95</v>
      </c>
      <c r="P1987" s="183" t="s">
        <v>96</v>
      </c>
      <c r="Q1987" s="183" t="s">
        <v>97</v>
      </c>
      <c r="R1987" s="183">
        <v>8</v>
      </c>
      <c r="S1987" s="183">
        <v>0</v>
      </c>
      <c r="T1987" s="183">
        <v>8</v>
      </c>
      <c r="U1987" s="183" t="s">
        <v>22</v>
      </c>
      <c r="V1987" s="183"/>
      <c r="W1987" s="183"/>
      <c r="X1987" s="183"/>
      <c r="Y1987" s="184">
        <f>IF(ISBLANK(O1987),"",(IF(O1987=UPPER("IB"),0.005,0.01)))</f>
        <v>0.01</v>
      </c>
      <c r="Z1987" s="185">
        <f>IF(ISBLANK(O1987),"",IF(O1987="IB",8.63*200,IF(O1987="IR",16*100,IF(O1987="YT",20*100,IF(O1987="YT-XT",24*200,IF(O1987="TED",80*100,IF(O1987="XT",29*200)))))))</f>
        <v>1600</v>
      </c>
      <c r="AA1987" s="185" t="s">
        <v>6441</v>
      </c>
      <c r="AB1987" s="185"/>
      <c r="AC1987" s="185"/>
      <c r="AD1987" s="649">
        <v>-0.02</v>
      </c>
      <c r="AE1987" s="182"/>
      <c r="AF1987" s="332"/>
      <c r="AG1987" s="182"/>
      <c r="AH1987" s="182"/>
      <c r="AI1987" s="182"/>
      <c r="AJ1987" s="640"/>
      <c r="AK1987" s="182"/>
      <c r="AL1987" s="496">
        <f t="shared" si="667"/>
        <v>-32</v>
      </c>
      <c r="AM1987" s="496">
        <f t="shared" si="670"/>
        <v>-256</v>
      </c>
      <c r="AN1987" s="626"/>
      <c r="AO1987" s="182"/>
      <c r="AP1987" s="182" t="s">
        <v>1292</v>
      </c>
      <c r="AQ1987" s="332" t="s">
        <v>372</v>
      </c>
      <c r="AR1987" s="182"/>
      <c r="AS1987" s="189">
        <v>0</v>
      </c>
      <c r="AT1987" s="189">
        <f>IF(ISBLANK(AS1987),,IF(U1987="S",AD1987-AS1987,AS1987-AD1987))</f>
        <v>0.02</v>
      </c>
      <c r="AU1987" s="187">
        <f>AV1987*R1987</f>
        <v>256</v>
      </c>
      <c r="AV1987" s="190">
        <f t="shared" si="671"/>
        <v>32</v>
      </c>
      <c r="AW1987" s="191" t="s">
        <v>96</v>
      </c>
      <c r="AX1987" s="551"/>
      <c r="AY1987" s="551"/>
      <c r="AZ1987" s="551"/>
      <c r="BA1987" s="551"/>
      <c r="BB1987" s="551"/>
      <c r="BC1987" s="551"/>
      <c r="BD1987" s="549"/>
      <c r="BE1987" s="550"/>
      <c r="BF1987" s="549"/>
      <c r="BG1987" s="391">
        <f>SUM($AV$1389:AV1987)</f>
        <v>3781.2239656881752</v>
      </c>
      <c r="BH1987" s="392">
        <f>SUM($AU$1389:AU1987)</f>
        <v>57163.353506493397</v>
      </c>
      <c r="BI1987" s="318">
        <f>SUMIFS($AU$1388:AU1988,$Q$1388:Q1988,"F")</f>
        <v>28242.093506493511</v>
      </c>
      <c r="BJ1987" s="318">
        <f>SUMIFS($AU$1388:AU1988,$Q$1388:Q1988,"S")</f>
        <v>26080</v>
      </c>
      <c r="BK1987" s="343">
        <f>SUMIFS($AU$1388:AU1988,$P$1388:P1988,"W")</f>
        <v>38523.273506493846</v>
      </c>
      <c r="BL1987" s="343">
        <f>SUMIFS($AU$1388:AU1988,$P$1388:P1988,"R")</f>
        <v>17886.00000000012</v>
      </c>
      <c r="BM1987" s="343">
        <f>SUMIFS($AU$1388:AU1988,$AQ$1388:AQ1988,"M")</f>
        <v>9793.3799999992334</v>
      </c>
      <c r="BN1987" s="343">
        <f>SUMIFS($AU$1388:AU1988,$AQ$1388:AQ1988,"H")</f>
        <v>19383.200000000543</v>
      </c>
      <c r="BO1987" s="343">
        <f>SUMIFS($AU$1388:AU1988,$AQ$1388:AQ1988,"D")</f>
        <v>13641.507142857021</v>
      </c>
      <c r="BP1987" s="343">
        <f>SUMIFS($AS$1388:AS2707,$AO$1388:AO2707,"W")</f>
        <v>0</v>
      </c>
      <c r="BQ1987" s="343">
        <f>SUMIFS($AU$1388:AU1988,$Q$1388:Q1988,"O")</f>
        <v>1417.2599999999034</v>
      </c>
      <c r="BR1987" s="343">
        <f>SUMIFS($AU$1388:AU1988,$AA$1388:AA1988,"*")</f>
        <v>44089.436363636036</v>
      </c>
      <c r="BS1987" s="343">
        <f>SUMIFS($AU$1388:AU1988,$AB$1388:AB1988,"*")</f>
        <v>10383.860000000041</v>
      </c>
      <c r="BT1987" s="343">
        <f>SUMIFS($AU$1388:AU1988,$AC$1388:AC1988,"*")</f>
        <v>31682.093506493675</v>
      </c>
      <c r="BU1987" s="343">
        <f>SUMIFS($AU$1388:AU1988,$AA$1388:AA1988,"*",$AB$1388:AB1988,"*")</f>
        <v>5423.9999999998217</v>
      </c>
      <c r="BV1987" s="343">
        <f>SUMIFS($AU$1388:AU1988,$AA$1388:AA1988,"*",$AC$1388:AC1988,"*")</f>
        <v>19728.036363636533</v>
      </c>
      <c r="BW1987" s="343">
        <f>SUMIFS($AU$1388:AU1988,$AB$1388:AB1988,"*",$AC$1388:AC1988,"*")</f>
        <v>7119.9999999999982</v>
      </c>
      <c r="BX1987" s="343">
        <f>SUMIFS($AV$1388:AV1988,$Q$1388:Q1988,"F")</f>
        <v>418.22475235412151</v>
      </c>
      <c r="BY1987" s="343">
        <f>SUMIFS($AV$1388:AV1988,$Q$1388:Q1988,"S")</f>
        <v>802.03991333429894</v>
      </c>
      <c r="BZ1987" s="343">
        <f>SUMIFS($AV$1388:AV1988,$Q$1388:Q1988,"O")</f>
        <v>612.95929999974919</v>
      </c>
    </row>
    <row r="1988" spans="1:78" ht="15.75" customHeight="1">
      <c r="A1988" s="177" t="s">
        <v>6310</v>
      </c>
      <c r="B1988" s="200">
        <v>45427</v>
      </c>
      <c r="C1988" s="178" t="s">
        <v>2081</v>
      </c>
      <c r="D1988" s="178" t="s">
        <v>151</v>
      </c>
      <c r="E1988" s="227" t="s">
        <v>6443</v>
      </c>
      <c r="F1988" s="180"/>
      <c r="G1988" s="181"/>
      <c r="H1988" s="182"/>
      <c r="I1988" s="182"/>
      <c r="J1988" s="182">
        <v>1</v>
      </c>
      <c r="K1988" s="183" t="s">
        <v>115</v>
      </c>
      <c r="L1988" s="182"/>
      <c r="M1988" s="182"/>
      <c r="N1988" s="182"/>
      <c r="O1988" s="183"/>
      <c r="P1988" s="183"/>
      <c r="Q1988" s="183"/>
      <c r="R1988" s="183"/>
      <c r="S1988" s="183"/>
      <c r="T1988" s="183"/>
      <c r="U1988" s="183"/>
      <c r="V1988" s="183"/>
      <c r="W1988" s="183"/>
      <c r="X1988" s="183"/>
      <c r="Y1988" s="184"/>
      <c r="Z1988" s="185"/>
      <c r="AA1988" s="185"/>
      <c r="AB1988" s="185"/>
      <c r="AC1988" s="185"/>
      <c r="AD1988" s="649"/>
      <c r="AE1988" s="182"/>
      <c r="AF1988" s="332"/>
      <c r="AG1988" s="182"/>
      <c r="AH1988" s="182"/>
      <c r="AI1988" s="182"/>
      <c r="AJ1988" s="640"/>
      <c r="AK1988" s="182"/>
      <c r="AL1988" s="496">
        <f t="shared" si="658"/>
        <v>0</v>
      </c>
      <c r="AM1988" s="496">
        <f t="shared" si="670"/>
        <v>0</v>
      </c>
      <c r="AN1988" s="626"/>
      <c r="AO1988" s="182"/>
      <c r="AP1988" s="182"/>
      <c r="AQ1988" s="332" t="str">
        <f>UPPER(RIGHT(Journal_Live[[#This Row],[DURATION ]]))</f>
        <v/>
      </c>
      <c r="AR1988" s="182"/>
      <c r="AS1988" s="189"/>
      <c r="AT1988" s="189"/>
      <c r="AU1988" s="187"/>
      <c r="AV1988" s="190"/>
      <c r="AW1988" s="191"/>
      <c r="AX1988" s="551"/>
      <c r="AY1988" s="551"/>
      <c r="AZ1988" s="551"/>
      <c r="BA1988" s="551"/>
      <c r="BB1988" s="551"/>
      <c r="BC1988" s="551"/>
      <c r="BD1988" s="549"/>
      <c r="BE1988" s="550"/>
      <c r="BF1988" s="549"/>
      <c r="BG1988" s="391">
        <f>SUM($AV$1389:AV1988)</f>
        <v>3781.2239656881752</v>
      </c>
      <c r="BH1988" s="392">
        <f>SUM($AU$1389:AU1988)</f>
        <v>57163.353506493397</v>
      </c>
      <c r="BI1988" s="318">
        <f>SUMIFS($AU$1388:AU1989,$Q$1388:Q1989,"F")</f>
        <v>28242.093506493511</v>
      </c>
      <c r="BJ1988" s="318">
        <f>SUMIFS($AU$1388:AU1989,$Q$1388:Q1989,"S")</f>
        <v>26080</v>
      </c>
      <c r="BK1988" s="343">
        <f>SUMIFS($AU$1388:AU1989,$P$1388:P1989,"W")</f>
        <v>38523.273506493846</v>
      </c>
      <c r="BL1988" s="343">
        <f>SUMIFS($AU$1388:AU1989,$P$1388:P1989,"R")</f>
        <v>17886.00000000012</v>
      </c>
      <c r="BM1988" s="343">
        <f>SUMIFS($AU$1388:AU1989,$AQ$1388:AQ1989,"M")</f>
        <v>9793.3799999992334</v>
      </c>
      <c r="BN1988" s="343">
        <f>SUMIFS($AU$1388:AU1989,$AQ$1388:AQ1989,"H")</f>
        <v>19383.200000000543</v>
      </c>
      <c r="BO1988" s="343">
        <f>SUMIFS($AU$1388:AU1989,$AQ$1388:AQ1989,"D")</f>
        <v>13641.507142857021</v>
      </c>
      <c r="BP1988" s="343">
        <f>SUMIFS($AS$1388:AS2708,$AO$1388:AO2708,"W")</f>
        <v>0</v>
      </c>
      <c r="BQ1988" s="343">
        <f>SUMIFS($AU$1388:AU1989,$Q$1388:Q1989,"O")</f>
        <v>1417.2599999999034</v>
      </c>
      <c r="BR1988" s="343">
        <f>SUMIFS($AU$1388:AU1989,$AA$1388:AA1989,"*")</f>
        <v>44089.436363636036</v>
      </c>
      <c r="BS1988" s="343">
        <f>SUMIFS($AU$1388:AU1989,$AB$1388:AB1989,"*")</f>
        <v>10383.860000000041</v>
      </c>
      <c r="BT1988" s="343">
        <f>SUMIFS($AU$1388:AU1989,$AC$1388:AC1989,"*")</f>
        <v>31682.093506493675</v>
      </c>
      <c r="BU1988" s="343">
        <f>SUMIFS($AU$1388:AU1989,$AA$1388:AA1989,"*",$AB$1388:AB1989,"*")</f>
        <v>5423.9999999998217</v>
      </c>
      <c r="BV1988" s="343">
        <f>SUMIFS($AU$1388:AU1989,$AA$1388:AA1989,"*",$AC$1388:AC1989,"*")</f>
        <v>19728.036363636533</v>
      </c>
      <c r="BW1988" s="343">
        <f>SUMIFS($AU$1388:AU1989,$AB$1388:AB1989,"*",$AC$1388:AC1989,"*")</f>
        <v>7119.9999999999982</v>
      </c>
      <c r="BX1988" s="343">
        <f>SUMIFS($AV$1388:AV1989,$Q$1388:Q1989,"F")</f>
        <v>418.22475235412151</v>
      </c>
      <c r="BY1988" s="343">
        <f>SUMIFS($AV$1388:AV1989,$Q$1388:Q1989,"S")</f>
        <v>802.03991333429894</v>
      </c>
      <c r="BZ1988" s="343">
        <f>SUMIFS($AV$1388:AV1989,$Q$1388:Q1989,"O")</f>
        <v>612.95929999974919</v>
      </c>
    </row>
    <row r="1989" spans="1:78" ht="15.75" customHeight="1">
      <c r="A1989" s="177" t="s">
        <v>6310</v>
      </c>
      <c r="B1989" s="200"/>
      <c r="C1989" s="178"/>
      <c r="D1989" s="178"/>
      <c r="E1989" s="227" t="s">
        <v>6444</v>
      </c>
      <c r="F1989" s="180"/>
      <c r="G1989" s="181"/>
      <c r="H1989" s="182"/>
      <c r="I1989" s="182"/>
      <c r="J1989" s="182">
        <v>1</v>
      </c>
      <c r="K1989" s="183" t="s">
        <v>115</v>
      </c>
      <c r="L1989" s="182"/>
      <c r="M1989" s="182"/>
      <c r="N1989" s="182"/>
      <c r="O1989" s="183"/>
      <c r="P1989" s="183"/>
      <c r="Q1989" s="183"/>
      <c r="R1989" s="183"/>
      <c r="S1989" s="183"/>
      <c r="T1989" s="183"/>
      <c r="U1989" s="183"/>
      <c r="V1989" s="183"/>
      <c r="W1989" s="183"/>
      <c r="X1989" s="183"/>
      <c r="Y1989" s="184"/>
      <c r="Z1989" s="185"/>
      <c r="AA1989" s="185"/>
      <c r="AB1989" s="185"/>
      <c r="AC1989" s="185"/>
      <c r="AD1989" s="649"/>
      <c r="AE1989" s="182"/>
      <c r="AF1989" s="332"/>
      <c r="AG1989" s="182"/>
      <c r="AH1989" s="182"/>
      <c r="AI1989" s="182"/>
      <c r="AJ1989" s="640"/>
      <c r="AK1989" s="182"/>
      <c r="AL1989" s="496">
        <f t="shared" si="658"/>
        <v>0</v>
      </c>
      <c r="AM1989" s="496">
        <f t="shared" si="670"/>
        <v>0</v>
      </c>
      <c r="AN1989" s="626"/>
      <c r="AO1989" s="182"/>
      <c r="AP1989" s="182"/>
      <c r="AQ1989" s="332" t="str">
        <f>UPPER(RIGHT(Journal_Live[[#This Row],[DURATION ]]))</f>
        <v/>
      </c>
      <c r="AR1989" s="182"/>
      <c r="AS1989" s="189"/>
      <c r="AT1989" s="189"/>
      <c r="AU1989" s="187"/>
      <c r="AV1989" s="190"/>
      <c r="AW1989" s="191"/>
      <c r="AX1989" s="551"/>
      <c r="AY1989" s="551"/>
      <c r="AZ1989" s="551"/>
      <c r="BA1989" s="551"/>
      <c r="BB1989" s="551"/>
      <c r="BC1989" s="551"/>
      <c r="BD1989" s="549"/>
      <c r="BE1989" s="550"/>
      <c r="BF1989" s="549"/>
      <c r="BG1989" s="391">
        <f>SUM($AV$1389:AV1989)</f>
        <v>3781.2239656881752</v>
      </c>
      <c r="BH1989" s="392">
        <f>SUM($AU$1389:AU1989)</f>
        <v>57163.353506493397</v>
      </c>
      <c r="BI1989" s="318">
        <f>SUMIFS($AU$1388:AU1990,$Q$1388:Q1990,"F")</f>
        <v>28242.093506493511</v>
      </c>
      <c r="BJ1989" s="318">
        <f>SUMIFS($AU$1388:AU1990,$Q$1388:Q1990,"S")</f>
        <v>27040</v>
      </c>
      <c r="BK1989" s="343">
        <f>SUMIFS($AU$1388:AU1990,$P$1388:P1990,"W")</f>
        <v>39483.273506493846</v>
      </c>
      <c r="BL1989" s="343">
        <f>SUMIFS($AU$1388:AU1990,$P$1388:P1990,"R")</f>
        <v>17886.00000000012</v>
      </c>
      <c r="BM1989" s="343">
        <f>SUMIFS($AU$1388:AU1990,$AQ$1388:AQ1990,"M")</f>
        <v>9793.3799999992334</v>
      </c>
      <c r="BN1989" s="343">
        <f>SUMIFS($AU$1388:AU1990,$AQ$1388:AQ1990,"H")</f>
        <v>20343.200000000543</v>
      </c>
      <c r="BO1989" s="343">
        <f>SUMIFS($AU$1388:AU1990,$AQ$1388:AQ1990,"D")</f>
        <v>13641.507142857021</v>
      </c>
      <c r="BP1989" s="343">
        <f>SUMIFS($AS$1388:AS2709,$AO$1388:AO2709,"W")</f>
        <v>0</v>
      </c>
      <c r="BQ1989" s="343">
        <f>SUMIFS($AU$1388:AU1990,$Q$1388:Q1990,"O")</f>
        <v>1417.2599999999034</v>
      </c>
      <c r="BR1989" s="343">
        <f>SUMIFS($AU$1388:AU1990,$AA$1388:AA1990,"*")</f>
        <v>45049.436363636036</v>
      </c>
      <c r="BS1989" s="343">
        <f>SUMIFS($AU$1388:AU1990,$AB$1388:AB1990,"*")</f>
        <v>10383.860000000041</v>
      </c>
      <c r="BT1989" s="343">
        <f>SUMIFS($AU$1388:AU1990,$AC$1388:AC1990,"*")</f>
        <v>31682.093506493675</v>
      </c>
      <c r="BU1989" s="343">
        <f>SUMIFS($AU$1388:AU1990,$AA$1388:AA1990,"*",$AB$1388:AB1990,"*")</f>
        <v>5423.9999999998217</v>
      </c>
      <c r="BV1989" s="343">
        <f>SUMIFS($AU$1388:AU1990,$AA$1388:AA1990,"*",$AC$1388:AC1990,"*")</f>
        <v>19728.036363636533</v>
      </c>
      <c r="BW1989" s="343">
        <f>SUMIFS($AU$1388:AU1990,$AB$1388:AB1990,"*",$AC$1388:AC1990,"*")</f>
        <v>7119.9999999999982</v>
      </c>
      <c r="BX1989" s="343">
        <f>SUMIFS($AV$1388:AV1990,$Q$1388:Q1990,"F")</f>
        <v>418.22475235412151</v>
      </c>
      <c r="BY1989" s="343">
        <f>SUMIFS($AV$1388:AV1990,$Q$1388:Q1990,"S")</f>
        <v>818.03991333429894</v>
      </c>
      <c r="BZ1989" s="343">
        <f>SUMIFS($AV$1388:AV1990,$Q$1388:Q1990,"O")</f>
        <v>612.95929999974919</v>
      </c>
    </row>
    <row r="1990" spans="1:78" ht="15.75" customHeight="1">
      <c r="A1990" s="177" t="s">
        <v>6310</v>
      </c>
      <c r="B1990" s="200">
        <v>45427</v>
      </c>
      <c r="C1990" s="178" t="s">
        <v>682</v>
      </c>
      <c r="D1990" s="178" t="s">
        <v>151</v>
      </c>
      <c r="E1990" s="227"/>
      <c r="F1990" s="180"/>
      <c r="G1990" s="481" t="s">
        <v>2016</v>
      </c>
      <c r="H1990" s="182"/>
      <c r="I1990" s="182"/>
      <c r="J1990" s="182"/>
      <c r="K1990" s="183"/>
      <c r="L1990" s="182">
        <v>1</v>
      </c>
      <c r="M1990" s="182">
        <v>2</v>
      </c>
      <c r="N1990" s="182"/>
      <c r="O1990" s="183" t="s">
        <v>95</v>
      </c>
      <c r="P1990" s="183" t="s">
        <v>96</v>
      </c>
      <c r="Q1990" s="183" t="s">
        <v>97</v>
      </c>
      <c r="R1990" s="183">
        <v>60</v>
      </c>
      <c r="S1990" s="183">
        <v>30</v>
      </c>
      <c r="T1990" s="183">
        <v>60</v>
      </c>
      <c r="U1990" s="183" t="s">
        <v>22</v>
      </c>
      <c r="V1990" s="183"/>
      <c r="W1990" s="183"/>
      <c r="X1990" s="183"/>
      <c r="Y1990" s="184">
        <f>IF(ISBLANK(O1990),"",(IF(O1990=UPPER("IB"),0.005,0.01)))</f>
        <v>0.01</v>
      </c>
      <c r="Z1990" s="185">
        <f>IF(ISBLANK(O1990),"",IF(O1990="IB",8.63*200,IF(O1990="IR",16*100,IF(O1990="YT",20*100,IF(O1990="YT-XT",24*200,IF(O1990="TED",80*100,IF(O1990="XT",29*200)))))))</f>
        <v>1600</v>
      </c>
      <c r="AA1990" s="185" t="s">
        <v>6445</v>
      </c>
      <c r="AB1990" s="185"/>
      <c r="AC1990" s="185"/>
      <c r="AD1990" s="649">
        <v>-0.04</v>
      </c>
      <c r="AE1990" s="182"/>
      <c r="AF1990" s="332"/>
      <c r="AG1990" s="182"/>
      <c r="AH1990" s="182"/>
      <c r="AI1990" s="182"/>
      <c r="AJ1990" s="640"/>
      <c r="AK1990" s="182"/>
      <c r="AL1990" s="496">
        <f t="shared" si="658"/>
        <v>-32</v>
      </c>
      <c r="AM1990" s="496">
        <f t="shared" si="670"/>
        <v>-960</v>
      </c>
      <c r="AN1990" s="626"/>
      <c r="AO1990" s="182"/>
      <c r="AP1990" s="182"/>
      <c r="AQ1990" s="332" t="s">
        <v>372</v>
      </c>
      <c r="AR1990" s="182" t="s">
        <v>6446</v>
      </c>
      <c r="AS1990" s="189">
        <f>((-0.03*30)+(-0.03*30))/60</f>
        <v>-2.9999999999999995E-2</v>
      </c>
      <c r="AT1990" s="189">
        <f>IF(ISBLANK(AS1990),,IF(U1990="S",AD1990-AS1990,AS1990-AD1990))</f>
        <v>1.0000000000000005E-2</v>
      </c>
      <c r="AU1990" s="187">
        <f>AV1990*R1990</f>
        <v>960.00000000000045</v>
      </c>
      <c r="AV1990" s="190">
        <f t="shared" si="671"/>
        <v>16.000000000000007</v>
      </c>
      <c r="AW1990" s="191" t="s">
        <v>96</v>
      </c>
      <c r="AX1990" s="551" t="s">
        <v>6447</v>
      </c>
      <c r="AY1990" s="551"/>
      <c r="AZ1990" s="551"/>
      <c r="BA1990" s="551"/>
      <c r="BB1990" s="551"/>
      <c r="BC1990" s="551"/>
      <c r="BD1990" s="549"/>
      <c r="BE1990" s="550"/>
      <c r="BF1990" s="549"/>
      <c r="BG1990" s="391">
        <f>SUM($AV$1389:AV1990)</f>
        <v>3797.2239656881752</v>
      </c>
      <c r="BH1990" s="392">
        <f>SUM($AU$1389:AU1990)</f>
        <v>58123.353506493397</v>
      </c>
      <c r="BI1990" s="318">
        <f>SUMIFS($AU$1388:AU1991,$Q$1388:Q1991,"F")</f>
        <v>28242.093506493511</v>
      </c>
      <c r="BJ1990" s="318">
        <f>SUMIFS($AU$1388:AU1991,$Q$1388:Q1991,"S")</f>
        <v>27040</v>
      </c>
      <c r="BK1990" s="343">
        <f>SUMIFS($AU$1388:AU1991,$P$1388:P1991,"W")</f>
        <v>39483.273506493846</v>
      </c>
      <c r="BL1990" s="343">
        <f>SUMIFS($AU$1388:AU1991,$P$1388:P1991,"R")</f>
        <v>17886.00000000012</v>
      </c>
      <c r="BM1990" s="343">
        <f>SUMIFS($AU$1388:AU1991,$AQ$1388:AQ1991,"M")</f>
        <v>9793.3799999992334</v>
      </c>
      <c r="BN1990" s="343">
        <f>SUMIFS($AU$1388:AU1991,$AQ$1388:AQ1991,"H")</f>
        <v>20343.200000000543</v>
      </c>
      <c r="BO1990" s="343">
        <f>SUMIFS($AU$1388:AU1991,$AQ$1388:AQ1991,"D")</f>
        <v>13641.507142857021</v>
      </c>
      <c r="BP1990" s="343">
        <f>SUMIFS($AS$1388:AS2710,$AO$1388:AO2710,"W")</f>
        <v>0</v>
      </c>
      <c r="BQ1990" s="343">
        <f>SUMIFS($AU$1388:AU1991,$Q$1388:Q1991,"O")</f>
        <v>1417.2599999999034</v>
      </c>
      <c r="BR1990" s="343">
        <f>SUMIFS($AU$1388:AU1991,$AA$1388:AA1991,"*")</f>
        <v>45049.436363636036</v>
      </c>
      <c r="BS1990" s="343">
        <f>SUMIFS($AU$1388:AU1991,$AB$1388:AB1991,"*")</f>
        <v>10383.860000000041</v>
      </c>
      <c r="BT1990" s="343">
        <f>SUMIFS($AU$1388:AU1991,$AC$1388:AC1991,"*")</f>
        <v>31682.093506493675</v>
      </c>
      <c r="BU1990" s="343">
        <f>SUMIFS($AU$1388:AU1991,$AA$1388:AA1991,"*",$AB$1388:AB1991,"*")</f>
        <v>5423.9999999998217</v>
      </c>
      <c r="BV1990" s="343">
        <f>SUMIFS($AU$1388:AU1991,$AA$1388:AA1991,"*",$AC$1388:AC1991,"*")</f>
        <v>19728.036363636533</v>
      </c>
      <c r="BW1990" s="343">
        <f>SUMIFS($AU$1388:AU1991,$AB$1388:AB1991,"*",$AC$1388:AC1991,"*")</f>
        <v>7119.9999999999982</v>
      </c>
      <c r="BX1990" s="343">
        <f>SUMIFS($AV$1388:AV1991,$Q$1388:Q1991,"F")</f>
        <v>418.22475235412151</v>
      </c>
      <c r="BY1990" s="343">
        <f>SUMIFS($AV$1388:AV1991,$Q$1388:Q1991,"S")</f>
        <v>818.03991333429894</v>
      </c>
      <c r="BZ1990" s="343">
        <f>SUMIFS($AV$1388:AV1991,$Q$1388:Q1991,"O")</f>
        <v>612.95929999974919</v>
      </c>
    </row>
    <row r="1991" spans="1:78" ht="15.75" customHeight="1">
      <c r="A1991" s="177" t="s">
        <v>6310</v>
      </c>
      <c r="B1991" s="200">
        <v>45427</v>
      </c>
      <c r="C1991" s="178" t="s">
        <v>682</v>
      </c>
      <c r="D1991" s="178" t="s">
        <v>151</v>
      </c>
      <c r="E1991" s="227"/>
      <c r="F1991" s="180"/>
      <c r="G1991" s="181" t="s">
        <v>3992</v>
      </c>
      <c r="H1991" s="182"/>
      <c r="I1991" s="182"/>
      <c r="J1991" s="182"/>
      <c r="K1991" s="183"/>
      <c r="L1991" s="182">
        <v>1</v>
      </c>
      <c r="M1991" s="182"/>
      <c r="N1991" s="182"/>
      <c r="O1991" s="183" t="s">
        <v>95</v>
      </c>
      <c r="P1991" s="183" t="s">
        <v>137</v>
      </c>
      <c r="Q1991" s="183" t="s">
        <v>684</v>
      </c>
      <c r="R1991" s="183">
        <v>10</v>
      </c>
      <c r="S1991" s="183">
        <v>0</v>
      </c>
      <c r="T1991" s="183">
        <v>10</v>
      </c>
      <c r="U1991" s="183" t="s">
        <v>97</v>
      </c>
      <c r="V1991" s="183"/>
      <c r="W1991" s="183"/>
      <c r="X1991" s="183"/>
      <c r="Y1991" s="184">
        <f>IF(ISBLANK(O1991),"",(IF(O1991=UPPER("IB"),0.005,0.01)))</f>
        <v>0.01</v>
      </c>
      <c r="Z1991" s="185">
        <f>IF(ISBLANK(O1991),"",IF(O1991="IB",8.63*200,IF(O1991="IR",16*100,IF(O1991="YT",20*100,IF(O1991="YT-XT",24*200,IF(O1991="TED",80*100,IF(O1991="XT",29*200)))))))</f>
        <v>1600</v>
      </c>
      <c r="AA1991" s="185" t="s">
        <v>6448</v>
      </c>
      <c r="AB1991" s="185"/>
      <c r="AC1991" s="185"/>
      <c r="AD1991" s="649">
        <v>95.84</v>
      </c>
      <c r="AE1991" s="182"/>
      <c r="AF1991" s="332"/>
      <c r="AG1991" s="182"/>
      <c r="AH1991" s="182"/>
      <c r="AI1991" s="182"/>
      <c r="AJ1991" s="640"/>
      <c r="AK1991" s="182"/>
      <c r="AL1991" s="496">
        <f t="shared" ref="AL1991:AL2012" si="672">-0.02*Z1991</f>
        <v>-32</v>
      </c>
      <c r="AM1991" s="496">
        <f t="shared" si="670"/>
        <v>-320</v>
      </c>
      <c r="AN1991" s="626"/>
      <c r="AO1991" s="182"/>
      <c r="AP1991" s="182"/>
      <c r="AQ1991" s="332" t="s">
        <v>1259</v>
      </c>
      <c r="AR1991" s="182"/>
      <c r="AS1991" s="189">
        <v>95.84</v>
      </c>
      <c r="AT1991" s="189">
        <f>IF(ISBLANK(AS1991),,IF(U1991="S",AD1991-AS1991,AS1991-AD1991))</f>
        <v>0</v>
      </c>
      <c r="AU1991" s="187">
        <f>AV1991*R1991</f>
        <v>0</v>
      </c>
      <c r="AV1991" s="190">
        <f t="shared" si="671"/>
        <v>0</v>
      </c>
      <c r="AW1991" s="191" t="s">
        <v>115</v>
      </c>
      <c r="AX1991" s="551"/>
      <c r="AY1991" s="551"/>
      <c r="AZ1991" s="551"/>
      <c r="BA1991" s="551"/>
      <c r="BB1991" s="551"/>
      <c r="BC1991" s="551"/>
      <c r="BD1991" s="549"/>
      <c r="BE1991" s="550"/>
      <c r="BF1991" s="549"/>
      <c r="BG1991" s="391">
        <f>SUM($AV$1389:AV1991)</f>
        <v>3797.2239656881752</v>
      </c>
      <c r="BH1991" s="392">
        <f>SUM($AU$1389:AU1991)</f>
        <v>58123.353506493397</v>
      </c>
      <c r="BI1991" s="318">
        <f>SUMIFS($AU$1388:AU1992,$Q$1388:Q1992,"F")</f>
        <v>28242.093506493511</v>
      </c>
      <c r="BJ1991" s="318">
        <f>SUMIFS($AU$1388:AU1992,$Q$1388:Q1992,"S")</f>
        <v>27040</v>
      </c>
      <c r="BK1991" s="343">
        <f>SUMIFS($AU$1388:AU1992,$P$1388:P1992,"W")</f>
        <v>39483.273506493846</v>
      </c>
      <c r="BL1991" s="343">
        <f>SUMIFS($AU$1388:AU1992,$P$1388:P1992,"R")</f>
        <v>17886.00000000012</v>
      </c>
      <c r="BM1991" s="343">
        <f>SUMIFS($AU$1388:AU1992,$AQ$1388:AQ1992,"M")</f>
        <v>9793.3799999992334</v>
      </c>
      <c r="BN1991" s="343">
        <f>SUMIFS($AU$1388:AU1992,$AQ$1388:AQ1992,"H")</f>
        <v>20343.200000000543</v>
      </c>
      <c r="BO1991" s="343">
        <f>SUMIFS($AU$1388:AU1992,$AQ$1388:AQ1992,"D")</f>
        <v>13641.507142857021</v>
      </c>
      <c r="BP1991" s="343">
        <f>SUMIFS($AS$1388:AS2711,$AO$1388:AO2711,"W")</f>
        <v>0</v>
      </c>
      <c r="BQ1991" s="343">
        <f>SUMIFS($AU$1388:AU1992,$Q$1388:Q1992,"O")</f>
        <v>1417.2599999999034</v>
      </c>
      <c r="BR1991" s="343">
        <f>SUMIFS($AU$1388:AU1992,$AA$1388:AA1992,"*")</f>
        <v>45049.436363636036</v>
      </c>
      <c r="BS1991" s="343">
        <f>SUMIFS($AU$1388:AU1992,$AB$1388:AB1992,"*")</f>
        <v>10383.860000000041</v>
      </c>
      <c r="BT1991" s="343">
        <f>SUMIFS($AU$1388:AU1992,$AC$1388:AC1992,"*")</f>
        <v>31682.093506493675</v>
      </c>
      <c r="BU1991" s="343">
        <f>SUMIFS($AU$1388:AU1992,$AA$1388:AA1992,"*",$AB$1388:AB1992,"*")</f>
        <v>5423.9999999998217</v>
      </c>
      <c r="BV1991" s="343">
        <f>SUMIFS($AU$1388:AU1992,$AA$1388:AA1992,"*",$AC$1388:AC1992,"*")</f>
        <v>19728.036363636533</v>
      </c>
      <c r="BW1991" s="343">
        <f>SUMIFS($AU$1388:AU1992,$AB$1388:AB1992,"*",$AC$1388:AC1992,"*")</f>
        <v>7119.9999999999982</v>
      </c>
      <c r="BX1991" s="343">
        <f>SUMIFS($AV$1388:AV1992,$Q$1388:Q1992,"F")</f>
        <v>418.22475235412151</v>
      </c>
      <c r="BY1991" s="343">
        <f>SUMIFS($AV$1388:AV1992,$Q$1388:Q1992,"S")</f>
        <v>818.03991333429894</v>
      </c>
      <c r="BZ1991" s="343">
        <f>SUMIFS($AV$1388:AV1992,$Q$1388:Q1992,"O")</f>
        <v>612.95929999974919</v>
      </c>
    </row>
    <row r="1992" spans="1:78" ht="15.75" customHeight="1">
      <c r="A1992" s="177" t="s">
        <v>6310</v>
      </c>
      <c r="B1992" s="200"/>
      <c r="C1992" s="178"/>
      <c r="D1992" s="178"/>
      <c r="E1992" s="227"/>
      <c r="F1992" s="180"/>
      <c r="G1992" s="181"/>
      <c r="H1992" s="182"/>
      <c r="I1992" s="182"/>
      <c r="J1992" s="182"/>
      <c r="K1992" s="183"/>
      <c r="L1992" s="182"/>
      <c r="M1992" s="182"/>
      <c r="N1992" s="182"/>
      <c r="O1992" s="183"/>
      <c r="P1992" s="183"/>
      <c r="Q1992" s="183"/>
      <c r="R1992" s="183"/>
      <c r="S1992" s="183"/>
      <c r="T1992" s="183"/>
      <c r="U1992" s="183"/>
      <c r="V1992" s="183"/>
      <c r="W1992" s="183"/>
      <c r="X1992" s="183"/>
      <c r="Y1992" s="183"/>
      <c r="Z1992" s="183"/>
      <c r="AA1992" s="185"/>
      <c r="AB1992" s="185"/>
      <c r="AC1992" s="185"/>
      <c r="AD1992" s="649"/>
      <c r="AE1992" s="182"/>
      <c r="AF1992" s="332"/>
      <c r="AG1992" s="182"/>
      <c r="AH1992" s="182"/>
      <c r="AI1992" s="182"/>
      <c r="AJ1992" s="640"/>
      <c r="AK1992" s="182"/>
      <c r="AL1992" s="496">
        <f t="shared" si="672"/>
        <v>0</v>
      </c>
      <c r="AM1992" s="496">
        <f t="shared" si="670"/>
        <v>0</v>
      </c>
      <c r="AN1992" s="626"/>
      <c r="AO1992" s="182"/>
      <c r="AP1992" s="182"/>
      <c r="AQ1992" s="332" t="str">
        <f>UPPER(RIGHT(Journal_Live[[#This Row],[DURATION ]]))</f>
        <v/>
      </c>
      <c r="AR1992" s="182"/>
      <c r="AS1992" s="189"/>
      <c r="AT1992" s="189"/>
      <c r="AU1992" s="187"/>
      <c r="AV1992" s="190"/>
      <c r="AW1992" s="191"/>
      <c r="AX1992" s="549" t="s">
        <v>6449</v>
      </c>
      <c r="AY1992" s="551" t="s">
        <v>6450</v>
      </c>
      <c r="AZ1992" s="549" t="s">
        <v>6451</v>
      </c>
      <c r="BA1992" s="551"/>
      <c r="BB1992" s="551"/>
      <c r="BC1992" s="551"/>
      <c r="BD1992" s="549"/>
      <c r="BE1992" s="550"/>
      <c r="BF1992" s="549"/>
      <c r="BG1992" s="391">
        <f>SUM($AV$1389:AV1992)</f>
        <v>3797.2239656881752</v>
      </c>
      <c r="BH1992" s="392">
        <f>SUM($AU$1389:AU1992)</f>
        <v>58123.353506493397</v>
      </c>
      <c r="BI1992" s="318">
        <f>SUMIFS($AU$1388:AU2008,$Q$1388:Q2008,"F")</f>
        <v>28242.093506493511</v>
      </c>
      <c r="BJ1992" s="318">
        <f>SUMIFS($AU$1388:AU2008,$Q$1388:Q2008,"S")</f>
        <v>24912</v>
      </c>
      <c r="BK1992" s="343">
        <f>SUMIFS($AU$1388:AU2008,$P$1388:P2008,"W")</f>
        <v>37355.273506493846</v>
      </c>
      <c r="BL1992" s="343">
        <f>SUMIFS($AU$1388:AU2008,$P$1388:P2008,"R")</f>
        <v>18186.00000000012</v>
      </c>
      <c r="BM1992" s="343">
        <f>SUMIFS($AU$1388:AU2008,$AQ$1388:AQ2008,"M")</f>
        <v>9793.3799999992334</v>
      </c>
      <c r="BN1992" s="343">
        <f>SUMIFS($AU$1388:AU2008,$AQ$1388:AQ2008,"H")</f>
        <v>18515.200000000543</v>
      </c>
      <c r="BO1992" s="343">
        <f>SUMIFS($AU$1388:AU2008,$AQ$1388:AQ2008,"D")</f>
        <v>13641.507142857021</v>
      </c>
      <c r="BP1992" s="343">
        <f>SUMIFS($AS$1388:AS2712,$AO$1388:AO2712,"W")</f>
        <v>0</v>
      </c>
      <c r="BQ1992" s="343">
        <f>SUMIFS($AU$1388:AU2008,$Q$1388:Q2008,"O")</f>
        <v>1417.2599999999034</v>
      </c>
      <c r="BR1992" s="343">
        <f>SUMIFS($AU$1388:AU2008,$AA$1388:AA2008,"*")</f>
        <v>43221.436363636036</v>
      </c>
      <c r="BS1992" s="343">
        <f>SUMIFS($AU$1388:AU2008,$AB$1388:AB2008,"*")</f>
        <v>10383.860000000041</v>
      </c>
      <c r="BT1992" s="343">
        <f>SUMIFS($AU$1388:AU2008,$AC$1388:AC2008,"*")</f>
        <v>31682.093506493675</v>
      </c>
      <c r="BU1992" s="343">
        <f>SUMIFS($AU$1388:AU2008,$AA$1388:AA2008,"*",$AB$1388:AB2008,"*")</f>
        <v>5423.9999999998217</v>
      </c>
      <c r="BV1992" s="343">
        <f>SUMIFS($AU$1388:AU2008,$AA$1388:AA2008,"*",$AC$1388:AC2008,"*")</f>
        <v>19728.036363636533</v>
      </c>
      <c r="BW1992" s="343">
        <f>SUMIFS($AU$1388:AU2008,$AB$1388:AB2008,"*",$AC$1388:AC2008,"*")</f>
        <v>7119.9999999999982</v>
      </c>
      <c r="BX1992" s="343">
        <f>SUMIFS($AV$1388:AV2008,$Q$1388:Q2008,"F")</f>
        <v>418.22475235412151</v>
      </c>
      <c r="BY1992" s="343">
        <f>SUMIFS($AV$1388:AV2008,$Q$1388:Q2008,"S")</f>
        <v>784.03991333429894</v>
      </c>
      <c r="BZ1992" s="343">
        <f>SUMIFS($AV$1388:AV2008,$Q$1388:Q2008,"O")</f>
        <v>612.95929999974919</v>
      </c>
    </row>
    <row r="1993" spans="1:78" ht="15.75" customHeight="1">
      <c r="A1993" s="177" t="s">
        <v>6310</v>
      </c>
      <c r="B1993" s="200">
        <v>45427</v>
      </c>
      <c r="C1993" s="178" t="s">
        <v>1714</v>
      </c>
      <c r="D1993" s="178" t="s">
        <v>151</v>
      </c>
      <c r="E1993" s="227" t="s">
        <v>6452</v>
      </c>
      <c r="F1993" s="180"/>
      <c r="G1993" s="181"/>
      <c r="H1993" s="182"/>
      <c r="I1993" s="182">
        <v>1</v>
      </c>
      <c r="J1993" s="182"/>
      <c r="K1993" s="183"/>
      <c r="L1993" s="182"/>
      <c r="M1993" s="182"/>
      <c r="N1993" s="182"/>
      <c r="O1993" s="183"/>
      <c r="P1993" s="183"/>
      <c r="Q1993" s="183"/>
      <c r="R1993" s="183"/>
      <c r="S1993" s="183"/>
      <c r="T1993" s="183"/>
      <c r="U1993" s="183"/>
      <c r="V1993" s="183"/>
      <c r="W1993" s="183"/>
      <c r="X1993" s="183"/>
      <c r="Y1993" s="183"/>
      <c r="Z1993" s="183"/>
      <c r="AA1993" s="185"/>
      <c r="AB1993" s="185"/>
      <c r="AC1993" s="185"/>
      <c r="AD1993" s="649"/>
      <c r="AE1993" s="182"/>
      <c r="AF1993" s="332"/>
      <c r="AG1993" s="182"/>
      <c r="AH1993" s="182"/>
      <c r="AI1993" s="182"/>
      <c r="AJ1993" s="640"/>
      <c r="AK1993" s="182"/>
      <c r="AL1993" s="496">
        <f t="shared" si="672"/>
        <v>0</v>
      </c>
      <c r="AM1993" s="496">
        <f t="shared" si="670"/>
        <v>0</v>
      </c>
      <c r="AN1993" s="626"/>
      <c r="AO1993" s="182"/>
      <c r="AP1993" s="182"/>
      <c r="AQ1993" s="332" t="str">
        <f>UPPER(RIGHT(Journal_Live[[#This Row],[DURATION ]]))</f>
        <v/>
      </c>
      <c r="AR1993" s="182"/>
      <c r="AS1993" s="189"/>
      <c r="AT1993" s="189"/>
      <c r="AU1993" s="187"/>
      <c r="AV1993" s="190"/>
      <c r="AW1993" s="191"/>
      <c r="AX1993" s="551"/>
      <c r="AY1993" s="551"/>
      <c r="AZ1993" s="551"/>
      <c r="BA1993" s="551"/>
      <c r="BB1993" s="551"/>
      <c r="BC1993" s="551"/>
      <c r="BD1993" s="549"/>
      <c r="BE1993" s="550"/>
      <c r="BF1993" s="549"/>
      <c r="BG1993" s="391">
        <f>SUM($AV$1389:AV1993)</f>
        <v>3797.2239656881752</v>
      </c>
      <c r="BH1993" s="392">
        <f>SUM($AU$1389:AU1993)</f>
        <v>58123.353506493397</v>
      </c>
      <c r="BI1993" s="318">
        <f>SUMIFS($AU$1388:AU1994,$Q$1388:Q1994,"F")</f>
        <v>28242.093506493511</v>
      </c>
      <c r="BJ1993" s="318">
        <f>SUMIFS($AU$1388:AU1994,$Q$1388:Q1994,"S")</f>
        <v>27040</v>
      </c>
      <c r="BK1993" s="343">
        <f>SUMIFS($AU$1388:AU1994,$P$1388:P1994,"W")</f>
        <v>39483.273506493846</v>
      </c>
      <c r="BL1993" s="343">
        <f>SUMIFS($AU$1388:AU1994,$P$1388:P1994,"R")</f>
        <v>17886.00000000012</v>
      </c>
      <c r="BM1993" s="343">
        <f>SUMIFS($AU$1388:AU1994,$AQ$1388:AQ1994,"M")</f>
        <v>9793.3799999992334</v>
      </c>
      <c r="BN1993" s="343">
        <f>SUMIFS($AU$1388:AU1994,$AQ$1388:AQ1994,"H")</f>
        <v>20343.200000000543</v>
      </c>
      <c r="BO1993" s="343">
        <f>SUMIFS($AU$1388:AU1994,$AQ$1388:AQ1994,"D")</f>
        <v>13641.507142857021</v>
      </c>
      <c r="BP1993" s="343">
        <f>SUMIFS($AS$1388:AS2698,$AO$1388:AO2698,"W")</f>
        <v>0</v>
      </c>
      <c r="BQ1993" s="343">
        <f>SUMIFS($AU$1388:AU1994,$Q$1388:Q1994,"O")</f>
        <v>1417.2599999999034</v>
      </c>
      <c r="BR1993" s="343">
        <f>SUMIFS($AU$1388:AU1994,$AA$1388:AA1994,"*")</f>
        <v>45049.436363636036</v>
      </c>
      <c r="BS1993" s="343">
        <f>SUMIFS($AU$1388:AU1994,$AB$1388:AB1994,"*")</f>
        <v>10383.860000000041</v>
      </c>
      <c r="BT1993" s="343">
        <f>SUMIFS($AU$1388:AU1994,$AC$1388:AC1994,"*")</f>
        <v>31682.093506493675</v>
      </c>
      <c r="BU1993" s="343">
        <f>SUMIFS($AU$1388:AU1994,$AA$1388:AA1994,"*",$AB$1388:AB1994,"*")</f>
        <v>5423.9999999998217</v>
      </c>
      <c r="BV1993" s="343">
        <f>SUMIFS($AU$1388:AU1994,$AA$1388:AA1994,"*",$AC$1388:AC1994,"*")</f>
        <v>19728.036363636533</v>
      </c>
      <c r="BW1993" s="343">
        <f>SUMIFS($AU$1388:AU1994,$AB$1388:AB1994,"*",$AC$1388:AC1994,"*")</f>
        <v>7119.9999999999982</v>
      </c>
      <c r="BX1993" s="343">
        <f>SUMIFS($AV$1388:AV1994,$Q$1388:Q1994,"F")</f>
        <v>418.22475235412151</v>
      </c>
      <c r="BY1993" s="343">
        <f>SUMIFS($AV$1388:AV1994,$Q$1388:Q1994,"S")</f>
        <v>818.03991333429894</v>
      </c>
      <c r="BZ1993" s="343">
        <f>SUMIFS($AV$1388:AV1994,$Q$1388:Q1994,"O")</f>
        <v>612.95929999974919</v>
      </c>
    </row>
    <row r="1994" spans="1:78" ht="15.75" customHeight="1">
      <c r="A1994" s="177" t="s">
        <v>6310</v>
      </c>
      <c r="B1994" s="200"/>
      <c r="C1994" s="178"/>
      <c r="D1994" s="178"/>
      <c r="E1994" s="227" t="s">
        <v>6453</v>
      </c>
      <c r="F1994" s="180"/>
      <c r="G1994" s="181"/>
      <c r="H1994" s="182"/>
      <c r="I1994" s="182">
        <v>1</v>
      </c>
      <c r="J1994" s="182"/>
      <c r="K1994" s="183"/>
      <c r="L1994" s="182"/>
      <c r="M1994" s="182"/>
      <c r="N1994" s="182"/>
      <c r="O1994" s="183"/>
      <c r="P1994" s="183"/>
      <c r="Q1994" s="183"/>
      <c r="R1994" s="183"/>
      <c r="S1994" s="183"/>
      <c r="T1994" s="183"/>
      <c r="U1994" s="183"/>
      <c r="V1994" s="183"/>
      <c r="W1994" s="183"/>
      <c r="X1994" s="183"/>
      <c r="Y1994" s="183"/>
      <c r="Z1994" s="183"/>
      <c r="AA1994" s="185"/>
      <c r="AB1994" s="185"/>
      <c r="AC1994" s="185"/>
      <c r="AD1994" s="649"/>
      <c r="AE1994" s="182"/>
      <c r="AF1994" s="332"/>
      <c r="AG1994" s="182"/>
      <c r="AH1994" s="182"/>
      <c r="AI1994" s="182"/>
      <c r="AJ1994" s="640"/>
      <c r="AK1994" s="182"/>
      <c r="AL1994" s="496">
        <f t="shared" si="672"/>
        <v>0</v>
      </c>
      <c r="AM1994" s="496">
        <f t="shared" si="670"/>
        <v>0</v>
      </c>
      <c r="AN1994" s="626"/>
      <c r="AO1994" s="182"/>
      <c r="AP1994" s="182"/>
      <c r="AQ1994" s="332" t="str">
        <f>UPPER(RIGHT(Journal_Live[[#This Row],[DURATION ]]))</f>
        <v/>
      </c>
      <c r="AR1994" s="182"/>
      <c r="AS1994" s="189"/>
      <c r="AT1994" s="189"/>
      <c r="AU1994" s="187"/>
      <c r="AV1994" s="190"/>
      <c r="AW1994" s="191"/>
      <c r="AX1994" s="551"/>
      <c r="AY1994" s="551"/>
      <c r="AZ1994" s="551"/>
      <c r="BA1994" s="551"/>
      <c r="BB1994" s="551"/>
      <c r="BC1994" s="551"/>
      <c r="BD1994" s="549"/>
      <c r="BE1994" s="550"/>
      <c r="BF1994" s="549"/>
      <c r="BG1994" s="391">
        <f>SUM($AV$1389:AV1994)</f>
        <v>3797.2239656881752</v>
      </c>
      <c r="BH1994" s="392">
        <f>SUM($AU$1389:AU1994)</f>
        <v>58123.353506493397</v>
      </c>
      <c r="BI1994" s="318">
        <f>SUMIFS($AU$1388:AU1995,$Q$1388:Q1995,"F")</f>
        <v>28242.093506493511</v>
      </c>
      <c r="BJ1994" s="318">
        <f>SUMIFS($AU$1388:AU1995,$Q$1388:Q1995,"S")</f>
        <v>27040</v>
      </c>
      <c r="BK1994" s="343">
        <f>SUMIFS($AU$1388:AU1995,$P$1388:P1995,"W")</f>
        <v>39483.273506493846</v>
      </c>
      <c r="BL1994" s="343">
        <f>SUMIFS($AU$1388:AU1995,$P$1388:P1995,"R")</f>
        <v>17886.00000000012</v>
      </c>
      <c r="BM1994" s="343">
        <f>SUMIFS($AU$1388:AU1995,$AQ$1388:AQ1995,"M")</f>
        <v>9793.3799999992334</v>
      </c>
      <c r="BN1994" s="343">
        <f>SUMIFS($AU$1388:AU1995,$AQ$1388:AQ1995,"H")</f>
        <v>20343.200000000543</v>
      </c>
      <c r="BO1994" s="343">
        <f>SUMIFS($AU$1388:AU1995,$AQ$1388:AQ1995,"D")</f>
        <v>13641.507142857021</v>
      </c>
      <c r="BP1994" s="343">
        <f>SUMIFS($AS$1388:AS2699,$AO$1388:AO2699,"W")</f>
        <v>0</v>
      </c>
      <c r="BQ1994" s="343">
        <f>SUMIFS($AU$1388:AU1995,$Q$1388:Q1995,"O")</f>
        <v>1417.2599999999034</v>
      </c>
      <c r="BR1994" s="343">
        <f>SUMIFS($AU$1388:AU1995,$AA$1388:AA1995,"*")</f>
        <v>45049.436363636036</v>
      </c>
      <c r="BS1994" s="343">
        <f>SUMIFS($AU$1388:AU1995,$AB$1388:AB1995,"*")</f>
        <v>10383.860000000041</v>
      </c>
      <c r="BT1994" s="343">
        <f>SUMIFS($AU$1388:AU1995,$AC$1388:AC1995,"*")</f>
        <v>31682.093506493675</v>
      </c>
      <c r="BU1994" s="343">
        <f>SUMIFS($AU$1388:AU1995,$AA$1388:AA1995,"*",$AB$1388:AB1995,"*")</f>
        <v>5423.9999999998217</v>
      </c>
      <c r="BV1994" s="343">
        <f>SUMIFS($AU$1388:AU1995,$AA$1388:AA1995,"*",$AC$1388:AC1995,"*")</f>
        <v>19728.036363636533</v>
      </c>
      <c r="BW1994" s="343">
        <f>SUMIFS($AU$1388:AU1995,$AB$1388:AB1995,"*",$AC$1388:AC1995,"*")</f>
        <v>7119.9999999999982</v>
      </c>
      <c r="BX1994" s="343">
        <f>SUMIFS($AV$1388:AV1995,$Q$1388:Q1995,"F")</f>
        <v>418.22475235412151</v>
      </c>
      <c r="BY1994" s="343">
        <f>SUMIFS($AV$1388:AV1995,$Q$1388:Q1995,"S")</f>
        <v>818.03991333429894</v>
      </c>
      <c r="BZ1994" s="343">
        <f>SUMIFS($AV$1388:AV1995,$Q$1388:Q1995,"O")</f>
        <v>612.95929999974919</v>
      </c>
    </row>
    <row r="1995" spans="1:78" ht="15.75" customHeight="1">
      <c r="A1995" s="177" t="s">
        <v>6310</v>
      </c>
      <c r="B1995" s="200"/>
      <c r="C1995" s="178"/>
      <c r="D1995" s="178"/>
      <c r="E1995" s="227" t="s">
        <v>6454</v>
      </c>
      <c r="F1995" s="180"/>
      <c r="G1995" s="181"/>
      <c r="H1995" s="182"/>
      <c r="I1995" s="182">
        <v>1</v>
      </c>
      <c r="J1995" s="182"/>
      <c r="K1995" s="183"/>
      <c r="L1995" s="182"/>
      <c r="M1995" s="182"/>
      <c r="N1995" s="182"/>
      <c r="O1995" s="183"/>
      <c r="P1995" s="183"/>
      <c r="Q1995" s="183"/>
      <c r="R1995" s="183"/>
      <c r="S1995" s="183"/>
      <c r="T1995" s="183"/>
      <c r="U1995" s="183"/>
      <c r="V1995" s="183"/>
      <c r="W1995" s="183"/>
      <c r="X1995" s="183"/>
      <c r="Y1995" s="183"/>
      <c r="Z1995" s="183"/>
      <c r="AA1995" s="185"/>
      <c r="AB1995" s="185"/>
      <c r="AC1995" s="185"/>
      <c r="AD1995" s="649"/>
      <c r="AE1995" s="182"/>
      <c r="AF1995" s="332"/>
      <c r="AG1995" s="182"/>
      <c r="AH1995" s="182"/>
      <c r="AI1995" s="182"/>
      <c r="AJ1995" s="640"/>
      <c r="AK1995" s="182"/>
      <c r="AL1995" s="496">
        <f t="shared" si="672"/>
        <v>0</v>
      </c>
      <c r="AM1995" s="496">
        <f t="shared" si="670"/>
        <v>0</v>
      </c>
      <c r="AN1995" s="626"/>
      <c r="AO1995" s="182"/>
      <c r="AP1995" s="182"/>
      <c r="AQ1995" s="332" t="str">
        <f>UPPER(RIGHT(Journal_Live[[#This Row],[DURATION ]]))</f>
        <v/>
      </c>
      <c r="AR1995" s="182"/>
      <c r="AS1995" s="189"/>
      <c r="AT1995" s="189"/>
      <c r="AU1995" s="187"/>
      <c r="AV1995" s="190"/>
      <c r="AW1995" s="191"/>
      <c r="AX1995" s="551"/>
      <c r="AY1995" s="551"/>
      <c r="AZ1995" s="551"/>
      <c r="BA1995" s="551"/>
      <c r="BB1995" s="551"/>
      <c r="BC1995" s="551"/>
      <c r="BD1995" s="549"/>
      <c r="BE1995" s="550"/>
      <c r="BF1995" s="549"/>
      <c r="BG1995" s="391">
        <f>SUM($AV$1389:AV1995)</f>
        <v>3797.2239656881752</v>
      </c>
      <c r="BH1995" s="392">
        <f>SUM($AU$1389:AU1995)</f>
        <v>58123.353506493397</v>
      </c>
      <c r="BI1995" s="318">
        <f>SUMIFS($AU$1388:AU1996,$Q$1388:Q1996,"F")</f>
        <v>28242.093506493511</v>
      </c>
      <c r="BJ1995" s="318">
        <f>SUMIFS($AU$1388:AU1996,$Q$1388:Q1996,"S")</f>
        <v>27040</v>
      </c>
      <c r="BK1995" s="343">
        <f>SUMIFS($AU$1388:AU1996,$P$1388:P1996,"W")</f>
        <v>39483.273506493846</v>
      </c>
      <c r="BL1995" s="343">
        <f>SUMIFS($AU$1388:AU1996,$P$1388:P1996,"R")</f>
        <v>17886.00000000012</v>
      </c>
      <c r="BM1995" s="343">
        <f>SUMIFS($AU$1388:AU1996,$AQ$1388:AQ1996,"M")</f>
        <v>9793.3799999992334</v>
      </c>
      <c r="BN1995" s="343">
        <f>SUMIFS($AU$1388:AU1996,$AQ$1388:AQ1996,"H")</f>
        <v>20343.200000000543</v>
      </c>
      <c r="BO1995" s="343">
        <f>SUMIFS($AU$1388:AU1996,$AQ$1388:AQ1996,"D")</f>
        <v>13641.507142857021</v>
      </c>
      <c r="BP1995" s="343">
        <f>SUMIFS($AS$1388:AS2700,$AO$1388:AO2700,"W")</f>
        <v>0</v>
      </c>
      <c r="BQ1995" s="343">
        <f>SUMIFS($AU$1388:AU1996,$Q$1388:Q1996,"O")</f>
        <v>1417.2599999999034</v>
      </c>
      <c r="BR1995" s="343">
        <f>SUMIFS($AU$1388:AU1996,$AA$1388:AA1996,"*")</f>
        <v>45049.436363636036</v>
      </c>
      <c r="BS1995" s="343">
        <f>SUMIFS($AU$1388:AU1996,$AB$1388:AB1996,"*")</f>
        <v>10383.860000000041</v>
      </c>
      <c r="BT1995" s="343">
        <f>SUMIFS($AU$1388:AU1996,$AC$1388:AC1996,"*")</f>
        <v>31682.093506493675</v>
      </c>
      <c r="BU1995" s="343">
        <f>SUMIFS($AU$1388:AU1996,$AA$1388:AA1996,"*",$AB$1388:AB1996,"*")</f>
        <v>5423.9999999998217</v>
      </c>
      <c r="BV1995" s="343">
        <f>SUMIFS($AU$1388:AU1996,$AA$1388:AA1996,"*",$AC$1388:AC1996,"*")</f>
        <v>19728.036363636533</v>
      </c>
      <c r="BW1995" s="343">
        <f>SUMIFS($AU$1388:AU1996,$AB$1388:AB1996,"*",$AC$1388:AC1996,"*")</f>
        <v>7119.9999999999982</v>
      </c>
      <c r="BX1995" s="343">
        <f>SUMIFS($AV$1388:AV1996,$Q$1388:Q1996,"F")</f>
        <v>418.22475235412151</v>
      </c>
      <c r="BY1995" s="343">
        <f>SUMIFS($AV$1388:AV1996,$Q$1388:Q1996,"S")</f>
        <v>818.03991333429894</v>
      </c>
      <c r="BZ1995" s="343">
        <f>SUMIFS($AV$1388:AV1996,$Q$1388:Q1996,"O")</f>
        <v>612.95929999974919</v>
      </c>
    </row>
    <row r="1996" spans="1:78" ht="15.75" customHeight="1">
      <c r="A1996" s="177" t="s">
        <v>6310</v>
      </c>
      <c r="B1996" s="200"/>
      <c r="C1996" s="178"/>
      <c r="D1996" s="178"/>
      <c r="E1996" s="227" t="s">
        <v>6455</v>
      </c>
      <c r="F1996" s="180"/>
      <c r="G1996" s="181"/>
      <c r="H1996" s="182"/>
      <c r="I1996" s="182"/>
      <c r="J1996" s="182">
        <v>1</v>
      </c>
      <c r="K1996" s="183" t="s">
        <v>115</v>
      </c>
      <c r="L1996" s="182"/>
      <c r="M1996" s="182"/>
      <c r="N1996" s="182"/>
      <c r="O1996" s="183"/>
      <c r="P1996" s="183"/>
      <c r="Q1996" s="183"/>
      <c r="R1996" s="183"/>
      <c r="S1996" s="183"/>
      <c r="T1996" s="183"/>
      <c r="U1996" s="183"/>
      <c r="V1996" s="183"/>
      <c r="W1996" s="183"/>
      <c r="X1996" s="183"/>
      <c r="Y1996" s="183"/>
      <c r="Z1996" s="183"/>
      <c r="AA1996" s="185"/>
      <c r="AB1996" s="185"/>
      <c r="AC1996" s="185"/>
      <c r="AD1996" s="649"/>
      <c r="AE1996" s="182"/>
      <c r="AF1996" s="332"/>
      <c r="AG1996" s="182"/>
      <c r="AH1996" s="182"/>
      <c r="AI1996" s="182"/>
      <c r="AJ1996" s="640"/>
      <c r="AK1996" s="182"/>
      <c r="AL1996" s="496">
        <f t="shared" si="672"/>
        <v>0</v>
      </c>
      <c r="AM1996" s="496">
        <f t="shared" si="670"/>
        <v>0</v>
      </c>
      <c r="AN1996" s="626"/>
      <c r="AO1996" s="182"/>
      <c r="AP1996" s="182"/>
      <c r="AQ1996" s="332" t="str">
        <f>UPPER(RIGHT(Journal_Live[[#This Row],[DURATION ]]))</f>
        <v/>
      </c>
      <c r="AR1996" s="182"/>
      <c r="AS1996" s="189"/>
      <c r="AT1996" s="189"/>
      <c r="AU1996" s="187"/>
      <c r="AV1996" s="190"/>
      <c r="AW1996" s="191"/>
      <c r="AX1996" s="551"/>
      <c r="AY1996" s="551"/>
      <c r="AZ1996" s="551"/>
      <c r="BA1996" s="551"/>
      <c r="BB1996" s="551"/>
      <c r="BC1996" s="551"/>
      <c r="BD1996" s="549"/>
      <c r="BE1996" s="550"/>
      <c r="BF1996" s="549"/>
      <c r="BG1996" s="391">
        <f>SUM($AV$1389:AV1996)</f>
        <v>3797.2239656881752</v>
      </c>
      <c r="BH1996" s="392">
        <f>SUM($AU$1389:AU1996)</f>
        <v>58123.353506493397</v>
      </c>
      <c r="BI1996" s="318">
        <f>SUMIFS($AU$1388:AU1997,$Q$1388:Q1997,"F")</f>
        <v>28242.093506493511</v>
      </c>
      <c r="BJ1996" s="318">
        <f>SUMIFS($AU$1388:AU1997,$Q$1388:Q1997,"S")</f>
        <v>27040</v>
      </c>
      <c r="BK1996" s="343">
        <f>SUMIFS($AU$1388:AU1997,$P$1388:P1997,"W")</f>
        <v>39483.273506493846</v>
      </c>
      <c r="BL1996" s="343">
        <f>SUMIFS($AU$1388:AU1997,$P$1388:P1997,"R")</f>
        <v>17886.00000000012</v>
      </c>
      <c r="BM1996" s="343">
        <f>SUMIFS($AU$1388:AU1997,$AQ$1388:AQ1997,"M")</f>
        <v>9793.3799999992334</v>
      </c>
      <c r="BN1996" s="343">
        <f>SUMIFS($AU$1388:AU1997,$AQ$1388:AQ1997,"H")</f>
        <v>20343.200000000543</v>
      </c>
      <c r="BO1996" s="343">
        <f>SUMIFS($AU$1388:AU1997,$AQ$1388:AQ1997,"D")</f>
        <v>13641.507142857021</v>
      </c>
      <c r="BP1996" s="343">
        <f>SUMIFS($AS$1388:AS2701,$AO$1388:AO2701,"W")</f>
        <v>0</v>
      </c>
      <c r="BQ1996" s="343">
        <f>SUMIFS($AU$1388:AU1997,$Q$1388:Q1997,"O")</f>
        <v>1417.2599999999034</v>
      </c>
      <c r="BR1996" s="343">
        <f>SUMIFS($AU$1388:AU1997,$AA$1388:AA1997,"*")</f>
        <v>45049.436363636036</v>
      </c>
      <c r="BS1996" s="343">
        <f>SUMIFS($AU$1388:AU1997,$AB$1388:AB1997,"*")</f>
        <v>10383.860000000041</v>
      </c>
      <c r="BT1996" s="343">
        <f>SUMIFS($AU$1388:AU1997,$AC$1388:AC1997,"*")</f>
        <v>31682.093506493675</v>
      </c>
      <c r="BU1996" s="343">
        <f>SUMIFS($AU$1388:AU1997,$AA$1388:AA1997,"*",$AB$1388:AB1997,"*")</f>
        <v>5423.9999999998217</v>
      </c>
      <c r="BV1996" s="343">
        <f>SUMIFS($AU$1388:AU1997,$AA$1388:AA1997,"*",$AC$1388:AC1997,"*")</f>
        <v>19728.036363636533</v>
      </c>
      <c r="BW1996" s="343">
        <f>SUMIFS($AU$1388:AU1997,$AB$1388:AB1997,"*",$AC$1388:AC1997,"*")</f>
        <v>7119.9999999999982</v>
      </c>
      <c r="BX1996" s="343">
        <f>SUMIFS($AV$1388:AV1997,$Q$1388:Q1997,"F")</f>
        <v>418.22475235412151</v>
      </c>
      <c r="BY1996" s="343">
        <f>SUMIFS($AV$1388:AV1997,$Q$1388:Q1997,"S")</f>
        <v>818.03991333429894</v>
      </c>
      <c r="BZ1996" s="343">
        <f>SUMIFS($AV$1388:AV1997,$Q$1388:Q1997,"O")</f>
        <v>612.95929999974919</v>
      </c>
    </row>
    <row r="1997" spans="1:78" ht="15.75" customHeight="1">
      <c r="A1997" s="177" t="s">
        <v>6310</v>
      </c>
      <c r="B1997" s="200"/>
      <c r="C1997" s="178"/>
      <c r="D1997" s="178"/>
      <c r="E1997" s="227" t="s">
        <v>6456</v>
      </c>
      <c r="F1997" s="180"/>
      <c r="G1997" s="181"/>
      <c r="H1997" s="182"/>
      <c r="I1997" s="182">
        <v>1</v>
      </c>
      <c r="J1997" s="182"/>
      <c r="K1997" s="183"/>
      <c r="L1997" s="182"/>
      <c r="M1997" s="182"/>
      <c r="N1997" s="182"/>
      <c r="O1997" s="183"/>
      <c r="P1997" s="183"/>
      <c r="Q1997" s="183"/>
      <c r="R1997" s="183"/>
      <c r="S1997" s="183"/>
      <c r="T1997" s="183"/>
      <c r="U1997" s="183"/>
      <c r="V1997" s="183"/>
      <c r="W1997" s="183"/>
      <c r="X1997" s="183"/>
      <c r="Y1997" s="183"/>
      <c r="Z1997" s="183"/>
      <c r="AA1997" s="185"/>
      <c r="AB1997" s="185"/>
      <c r="AC1997" s="185"/>
      <c r="AD1997" s="649"/>
      <c r="AE1997" s="182"/>
      <c r="AF1997" s="332"/>
      <c r="AG1997" s="182"/>
      <c r="AH1997" s="182"/>
      <c r="AI1997" s="182"/>
      <c r="AJ1997" s="640"/>
      <c r="AK1997" s="182"/>
      <c r="AL1997" s="496">
        <f t="shared" si="672"/>
        <v>0</v>
      </c>
      <c r="AM1997" s="496">
        <f t="shared" si="670"/>
        <v>0</v>
      </c>
      <c r="AN1997" s="626"/>
      <c r="AO1997" s="182"/>
      <c r="AP1997" s="182"/>
      <c r="AQ1997" s="332" t="str">
        <f>UPPER(RIGHT(Journal_Live[[#This Row],[DURATION ]]))</f>
        <v/>
      </c>
      <c r="AR1997" s="182"/>
      <c r="AS1997" s="189"/>
      <c r="AT1997" s="189"/>
      <c r="AU1997" s="187"/>
      <c r="AV1997" s="190"/>
      <c r="AW1997" s="191"/>
      <c r="AX1997" s="551"/>
      <c r="AY1997" s="551"/>
      <c r="AZ1997" s="551"/>
      <c r="BA1997" s="551"/>
      <c r="BB1997" s="551"/>
      <c r="BC1997" s="551"/>
      <c r="BD1997" s="549"/>
      <c r="BE1997" s="550"/>
      <c r="BF1997" s="549"/>
      <c r="BG1997" s="391">
        <f>SUM($AV$1389:AV1997)</f>
        <v>3797.2239656881752</v>
      </c>
      <c r="BH1997" s="392">
        <f>SUM($AU$1389:AU1997)</f>
        <v>58123.353506493397</v>
      </c>
      <c r="BI1997" s="318">
        <f>SUMIFS($AU$1388:AU1998,$Q$1388:Q1998,"F")</f>
        <v>28242.093506493511</v>
      </c>
      <c r="BJ1997" s="318">
        <f>SUMIFS($AU$1388:AU1998,$Q$1388:Q1998,"S")</f>
        <v>27040</v>
      </c>
      <c r="BK1997" s="343">
        <f>SUMIFS($AU$1388:AU1998,$P$1388:P1998,"W")</f>
        <v>39483.273506493846</v>
      </c>
      <c r="BL1997" s="343">
        <f>SUMIFS($AU$1388:AU1998,$P$1388:P1998,"R")</f>
        <v>17886.00000000012</v>
      </c>
      <c r="BM1997" s="343">
        <f>SUMIFS($AU$1388:AU1998,$AQ$1388:AQ1998,"M")</f>
        <v>9793.3799999992334</v>
      </c>
      <c r="BN1997" s="343">
        <f>SUMIFS($AU$1388:AU1998,$AQ$1388:AQ1998,"H")</f>
        <v>20343.200000000543</v>
      </c>
      <c r="BO1997" s="343">
        <f>SUMIFS($AU$1388:AU1998,$AQ$1388:AQ1998,"D")</f>
        <v>13641.507142857021</v>
      </c>
      <c r="BP1997" s="343">
        <f>SUMIFS($AS$1388:AS2702,$AO$1388:AO2702,"W")</f>
        <v>0</v>
      </c>
      <c r="BQ1997" s="343">
        <f>SUMIFS($AU$1388:AU1998,$Q$1388:Q1998,"O")</f>
        <v>1417.2599999999034</v>
      </c>
      <c r="BR1997" s="343">
        <f>SUMIFS($AU$1388:AU1998,$AA$1388:AA1998,"*")</f>
        <v>45049.436363636036</v>
      </c>
      <c r="BS1997" s="343">
        <f>SUMIFS($AU$1388:AU1998,$AB$1388:AB1998,"*")</f>
        <v>10383.860000000041</v>
      </c>
      <c r="BT1997" s="343">
        <f>SUMIFS($AU$1388:AU1998,$AC$1388:AC1998,"*")</f>
        <v>31682.093506493675</v>
      </c>
      <c r="BU1997" s="343">
        <f>SUMIFS($AU$1388:AU1998,$AA$1388:AA1998,"*",$AB$1388:AB1998,"*")</f>
        <v>5423.9999999998217</v>
      </c>
      <c r="BV1997" s="343">
        <f>SUMIFS($AU$1388:AU1998,$AA$1388:AA1998,"*",$AC$1388:AC1998,"*")</f>
        <v>19728.036363636533</v>
      </c>
      <c r="BW1997" s="343">
        <f>SUMIFS($AU$1388:AU1998,$AB$1388:AB1998,"*",$AC$1388:AC1998,"*")</f>
        <v>7119.9999999999982</v>
      </c>
      <c r="BX1997" s="343">
        <f>SUMIFS($AV$1388:AV1998,$Q$1388:Q1998,"F")</f>
        <v>418.22475235412151</v>
      </c>
      <c r="BY1997" s="343">
        <f>SUMIFS($AV$1388:AV1998,$Q$1388:Q1998,"S")</f>
        <v>818.03991333429894</v>
      </c>
      <c r="BZ1997" s="343">
        <f>SUMIFS($AV$1388:AV1998,$Q$1388:Q1998,"O")</f>
        <v>612.95929999974919</v>
      </c>
    </row>
    <row r="1998" spans="1:78" ht="15.75" customHeight="1">
      <c r="A1998" s="177" t="s">
        <v>6310</v>
      </c>
      <c r="B1998" s="200"/>
      <c r="C1998" s="178"/>
      <c r="D1998" s="178"/>
      <c r="E1998" s="227" t="s">
        <v>6457</v>
      </c>
      <c r="F1998" s="180" t="s">
        <v>6434</v>
      </c>
      <c r="G1998" s="181"/>
      <c r="H1998" s="182"/>
      <c r="I1998" s="182"/>
      <c r="J1998" s="182">
        <v>1</v>
      </c>
      <c r="K1998" s="183" t="s">
        <v>115</v>
      </c>
      <c r="L1998" s="182"/>
      <c r="M1998" s="182"/>
      <c r="N1998" s="182"/>
      <c r="O1998" s="183"/>
      <c r="P1998" s="183"/>
      <c r="Q1998" s="183"/>
      <c r="R1998" s="183"/>
      <c r="S1998" s="183"/>
      <c r="T1998" s="183"/>
      <c r="U1998" s="183"/>
      <c r="V1998" s="183"/>
      <c r="W1998" s="183"/>
      <c r="X1998" s="183"/>
      <c r="Y1998" s="183"/>
      <c r="Z1998" s="183"/>
      <c r="AA1998" s="185"/>
      <c r="AB1998" s="185"/>
      <c r="AC1998" s="185"/>
      <c r="AD1998" s="649"/>
      <c r="AE1998" s="182"/>
      <c r="AF1998" s="332"/>
      <c r="AG1998" s="182"/>
      <c r="AH1998" s="182"/>
      <c r="AI1998" s="182"/>
      <c r="AJ1998" s="640"/>
      <c r="AK1998" s="182"/>
      <c r="AL1998" s="496">
        <f t="shared" si="672"/>
        <v>0</v>
      </c>
      <c r="AM1998" s="496">
        <f t="shared" si="670"/>
        <v>0</v>
      </c>
      <c r="AN1998" s="626"/>
      <c r="AO1998" s="182"/>
      <c r="AP1998" s="182"/>
      <c r="AQ1998" s="332" t="str">
        <f>UPPER(RIGHT(Journal_Live[[#This Row],[DURATION ]]))</f>
        <v/>
      </c>
      <c r="AR1998" s="182"/>
      <c r="AS1998" s="189"/>
      <c r="AT1998" s="189"/>
      <c r="AU1998" s="187"/>
      <c r="AV1998" s="190"/>
      <c r="AW1998" s="191"/>
      <c r="AX1998" s="551"/>
      <c r="AY1998" s="551"/>
      <c r="AZ1998" s="551"/>
      <c r="BA1998" s="551"/>
      <c r="BB1998" s="551"/>
      <c r="BC1998" s="551"/>
      <c r="BD1998" s="549"/>
      <c r="BE1998" s="550"/>
      <c r="BF1998" s="549"/>
      <c r="BG1998" s="391">
        <f>SUM($AV$1389:AV1998)</f>
        <v>3797.2239656881752</v>
      </c>
      <c r="BH1998" s="392">
        <f>SUM($AU$1389:AU1998)</f>
        <v>58123.353506493397</v>
      </c>
      <c r="BI1998" s="318">
        <f>SUMIFS($AU$1388:AU1999,$Q$1388:Q1999,"F")</f>
        <v>28242.093506493511</v>
      </c>
      <c r="BJ1998" s="318">
        <f>SUMIFS($AU$1388:AU1999,$Q$1388:Q1999,"S")</f>
        <v>26320</v>
      </c>
      <c r="BK1998" s="343">
        <f>SUMIFS($AU$1388:AU1999,$P$1388:P1999,"W")</f>
        <v>38763.273506493846</v>
      </c>
      <c r="BL1998" s="343">
        <f>SUMIFS($AU$1388:AU1999,$P$1388:P1999,"R")</f>
        <v>17886.00000000012</v>
      </c>
      <c r="BM1998" s="343">
        <f>SUMIFS($AU$1388:AU1999,$AQ$1388:AQ1999,"M")</f>
        <v>9793.3799999992334</v>
      </c>
      <c r="BN1998" s="343">
        <f>SUMIFS($AU$1388:AU1999,$AQ$1388:AQ1999,"H")</f>
        <v>19623.200000000543</v>
      </c>
      <c r="BO1998" s="343">
        <f>SUMIFS($AU$1388:AU1999,$AQ$1388:AQ1999,"D")</f>
        <v>13641.507142857021</v>
      </c>
      <c r="BP1998" s="343">
        <f>SUMIFS($AS$1388:AS2703,$AO$1388:AO2703,"W")</f>
        <v>0</v>
      </c>
      <c r="BQ1998" s="343">
        <f>SUMIFS($AU$1388:AU1999,$Q$1388:Q1999,"O")</f>
        <v>1417.2599999999034</v>
      </c>
      <c r="BR1998" s="343">
        <f>SUMIFS($AU$1388:AU1999,$AA$1388:AA1999,"*")</f>
        <v>44329.436363636036</v>
      </c>
      <c r="BS1998" s="343">
        <f>SUMIFS($AU$1388:AU1999,$AB$1388:AB1999,"*")</f>
        <v>10383.860000000041</v>
      </c>
      <c r="BT1998" s="343">
        <f>SUMIFS($AU$1388:AU1999,$AC$1388:AC1999,"*")</f>
        <v>31682.093506493675</v>
      </c>
      <c r="BU1998" s="343">
        <f>SUMIFS($AU$1388:AU1999,$AA$1388:AA1999,"*",$AB$1388:AB1999,"*")</f>
        <v>5423.9999999998217</v>
      </c>
      <c r="BV1998" s="343">
        <f>SUMIFS($AU$1388:AU1999,$AA$1388:AA1999,"*",$AC$1388:AC1999,"*")</f>
        <v>19728.036363636533</v>
      </c>
      <c r="BW1998" s="343">
        <f>SUMIFS($AU$1388:AU1999,$AB$1388:AB1999,"*",$AC$1388:AC1999,"*")</f>
        <v>7119.9999999999982</v>
      </c>
      <c r="BX1998" s="343">
        <f>SUMIFS($AV$1388:AV1999,$Q$1388:Q1999,"F")</f>
        <v>418.22475235412151</v>
      </c>
      <c r="BY1998" s="343">
        <f>SUMIFS($AV$1388:AV1999,$Q$1388:Q1999,"S")</f>
        <v>800.03991333429894</v>
      </c>
      <c r="BZ1998" s="343">
        <f>SUMIFS($AV$1388:AV1999,$Q$1388:Q1999,"O")</f>
        <v>612.95929999974919</v>
      </c>
    </row>
    <row r="1999" spans="1:78" ht="15.75" customHeight="1">
      <c r="A1999" s="177" t="s">
        <v>6310</v>
      </c>
      <c r="B1999" s="200">
        <v>45427</v>
      </c>
      <c r="C1999" s="178" t="s">
        <v>6458</v>
      </c>
      <c r="D1999" s="178" t="s">
        <v>151</v>
      </c>
      <c r="E1999" s="227"/>
      <c r="F1999" s="180"/>
      <c r="G1999" s="481" t="s">
        <v>3990</v>
      </c>
      <c r="H1999" s="182"/>
      <c r="I1999" s="182"/>
      <c r="J1999" s="182"/>
      <c r="K1999" s="183"/>
      <c r="L1999" s="182">
        <v>1</v>
      </c>
      <c r="M1999" s="182">
        <v>1</v>
      </c>
      <c r="N1999" s="182"/>
      <c r="O1999" s="183" t="s">
        <v>95</v>
      </c>
      <c r="P1999" s="183" t="s">
        <v>96</v>
      </c>
      <c r="Q1999" s="183" t="s">
        <v>97</v>
      </c>
      <c r="R1999" s="183">
        <v>40</v>
      </c>
      <c r="S1999" s="183">
        <v>25</v>
      </c>
      <c r="T1999" s="183">
        <v>20</v>
      </c>
      <c r="U1999" s="183" t="s">
        <v>22</v>
      </c>
      <c r="V1999" s="183"/>
      <c r="W1999" s="183"/>
      <c r="X1999" s="183"/>
      <c r="Y1999" s="184">
        <f>IF(ISBLANK(O1999),"",(IF(O1999=UPPER("IB"),0.005,0.01)))</f>
        <v>0.01</v>
      </c>
      <c r="Z1999" s="185">
        <f>IF(ISBLANK(O1999),"",IF(O1999="IB",8.63*200,IF(O1999="IR",16*100,IF(O1999="YT",20*100,IF(O1999="YT-XT",24*200,IF(O1999="TED",80*100,IF(O1999="XT",29*200)))))))</f>
        <v>1600</v>
      </c>
      <c r="AA1999" s="185" t="s">
        <v>6441</v>
      </c>
      <c r="AB1999" s="185"/>
      <c r="AC1999" s="185"/>
      <c r="AD1999" s="649">
        <v>-0.02</v>
      </c>
      <c r="AE1999" s="182"/>
      <c r="AF1999" s="332"/>
      <c r="AG1999" s="182"/>
      <c r="AH1999" s="182"/>
      <c r="AI1999" s="182"/>
      <c r="AJ1999" s="640"/>
      <c r="AK1999" s="182"/>
      <c r="AL1999" s="496">
        <f t="shared" si="672"/>
        <v>-32</v>
      </c>
      <c r="AM1999" s="496">
        <f t="shared" si="670"/>
        <v>-480</v>
      </c>
      <c r="AN1999" s="626"/>
      <c r="AO1999" s="182"/>
      <c r="AP1999" s="182" t="s">
        <v>6459</v>
      </c>
      <c r="AQ1999" s="332" t="s">
        <v>372</v>
      </c>
      <c r="AR1999" s="182"/>
      <c r="AS1999" s="189">
        <f>((-0.02*10)+(-0.01*15)+(-0.06*15))/40</f>
        <v>-3.125E-2</v>
      </c>
      <c r="AT1999" s="189">
        <f>IF(ISBLANK(AS1999),,IF(U1999="S",AD1999-AS1999,AS1999-AD1999))</f>
        <v>-1.125E-2</v>
      </c>
      <c r="AU1999" s="187">
        <f>AV1999*R1999</f>
        <v>-720</v>
      </c>
      <c r="AV1999" s="190">
        <f t="shared" ref="AV1999" si="673">IF(ISBLANK(AS1999),,(AT1999*Z1999))</f>
        <v>-18</v>
      </c>
      <c r="AW1999" s="191" t="s">
        <v>229</v>
      </c>
      <c r="AX1999" s="551" t="s">
        <v>6376</v>
      </c>
      <c r="AY1999" s="551" t="s">
        <v>6460</v>
      </c>
      <c r="AZ1999" s="551"/>
      <c r="BA1999" s="551"/>
      <c r="BB1999" s="551"/>
      <c r="BC1999" s="551"/>
      <c r="BD1999" s="549"/>
      <c r="BE1999" s="550"/>
      <c r="BF1999" s="549"/>
      <c r="BG1999" s="391">
        <f>SUM($AV$1389:AV1999)</f>
        <v>3779.2239656881752</v>
      </c>
      <c r="BH1999" s="392">
        <f>SUM($AU$1389:AU1999)</f>
        <v>57403.353506493397</v>
      </c>
      <c r="BI1999" s="318">
        <f>SUMIFS($AU$1388:AU2000,$Q$1388:Q2000,"F")</f>
        <v>28242.093506493511</v>
      </c>
      <c r="BJ1999" s="318">
        <f>SUMIFS($AU$1388:AU2000,$Q$1388:Q2000,"S")</f>
        <v>26320</v>
      </c>
      <c r="BK1999" s="343">
        <f>SUMIFS($AU$1388:AU2000,$P$1388:P2000,"W")</f>
        <v>38763.273506493846</v>
      </c>
      <c r="BL1999" s="343">
        <f>SUMIFS($AU$1388:AU2000,$P$1388:P2000,"R")</f>
        <v>17886.00000000012</v>
      </c>
      <c r="BM1999" s="343">
        <f>SUMIFS($AU$1388:AU2000,$AQ$1388:AQ2000,"M")</f>
        <v>9793.3799999992334</v>
      </c>
      <c r="BN1999" s="343">
        <f>SUMIFS($AU$1388:AU2000,$AQ$1388:AQ2000,"H")</f>
        <v>19623.200000000543</v>
      </c>
      <c r="BO1999" s="343">
        <f>SUMIFS($AU$1388:AU2000,$AQ$1388:AQ2000,"D")</f>
        <v>13641.507142857021</v>
      </c>
      <c r="BP1999" s="343">
        <f>SUMIFS($AS$1388:AS2704,$AO$1388:AO2704,"W")</f>
        <v>0</v>
      </c>
      <c r="BQ1999" s="343">
        <f>SUMIFS($AU$1388:AU2000,$Q$1388:Q2000,"O")</f>
        <v>1417.2599999999034</v>
      </c>
      <c r="BR1999" s="343">
        <f>SUMIFS($AU$1388:AU2000,$AA$1388:AA2000,"*")</f>
        <v>44329.436363636036</v>
      </c>
      <c r="BS1999" s="343">
        <f>SUMIFS($AU$1388:AU2000,$AB$1388:AB2000,"*")</f>
        <v>10383.860000000041</v>
      </c>
      <c r="BT1999" s="343">
        <f>SUMIFS($AU$1388:AU2000,$AC$1388:AC2000,"*")</f>
        <v>31682.093506493675</v>
      </c>
      <c r="BU1999" s="343">
        <f>SUMIFS($AU$1388:AU2000,$AA$1388:AA2000,"*",$AB$1388:AB2000,"*")</f>
        <v>5423.9999999998217</v>
      </c>
      <c r="BV1999" s="343">
        <f>SUMIFS($AU$1388:AU2000,$AA$1388:AA2000,"*",$AC$1388:AC2000,"*")</f>
        <v>19728.036363636533</v>
      </c>
      <c r="BW1999" s="343">
        <f>SUMIFS($AU$1388:AU2000,$AB$1388:AB2000,"*",$AC$1388:AC2000,"*")</f>
        <v>7119.9999999999982</v>
      </c>
      <c r="BX1999" s="343">
        <f>SUMIFS($AV$1388:AV2000,$Q$1388:Q2000,"F")</f>
        <v>418.22475235412151</v>
      </c>
      <c r="BY1999" s="343">
        <f>SUMIFS($AV$1388:AV2000,$Q$1388:Q2000,"S")</f>
        <v>800.03991333429894</v>
      </c>
      <c r="BZ1999" s="343">
        <f>SUMIFS($AV$1388:AV2000,$Q$1388:Q2000,"O")</f>
        <v>612.95929999974919</v>
      </c>
    </row>
    <row r="2000" spans="1:78" ht="15.75" customHeight="1">
      <c r="A2000" s="177" t="s">
        <v>6310</v>
      </c>
      <c r="B2000" s="200">
        <v>45428</v>
      </c>
      <c r="C2000" s="178" t="s">
        <v>2081</v>
      </c>
      <c r="D2000" s="178" t="s">
        <v>93</v>
      </c>
      <c r="E2000" s="227" t="s">
        <v>6461</v>
      </c>
      <c r="F2000" s="180"/>
      <c r="G2000" s="181"/>
      <c r="H2000" s="182">
        <v>1</v>
      </c>
      <c r="I2000" s="182"/>
      <c r="J2000" s="182"/>
      <c r="K2000" s="183" t="s">
        <v>372</v>
      </c>
      <c r="L2000" s="182"/>
      <c r="M2000" s="182"/>
      <c r="N2000" s="182"/>
      <c r="O2000" s="183"/>
      <c r="P2000" s="183"/>
      <c r="Q2000" s="183"/>
      <c r="R2000" s="183"/>
      <c r="S2000" s="183"/>
      <c r="T2000" s="183"/>
      <c r="U2000" s="183"/>
      <c r="V2000" s="183"/>
      <c r="W2000" s="183"/>
      <c r="X2000" s="183"/>
      <c r="Y2000" s="183"/>
      <c r="Z2000" s="183"/>
      <c r="AA2000" s="185"/>
      <c r="AB2000" s="185"/>
      <c r="AC2000" s="185"/>
      <c r="AD2000" s="649"/>
      <c r="AE2000" s="182"/>
      <c r="AF2000" s="332"/>
      <c r="AG2000" s="182"/>
      <c r="AH2000" s="182"/>
      <c r="AI2000" s="182"/>
      <c r="AJ2000" s="640"/>
      <c r="AK2000" s="182"/>
      <c r="AL2000" s="496">
        <f t="shared" si="672"/>
        <v>0</v>
      </c>
      <c r="AM2000" s="496">
        <f t="shared" si="670"/>
        <v>0</v>
      </c>
      <c r="AN2000" s="626"/>
      <c r="AO2000" s="182"/>
      <c r="AP2000" s="182"/>
      <c r="AQ2000" s="332" t="str">
        <f>UPPER(RIGHT(Journal_Live[[#This Row],[DURATION ]]))</f>
        <v/>
      </c>
      <c r="AR2000" s="182"/>
      <c r="AS2000" s="189"/>
      <c r="AT2000" s="189"/>
      <c r="AU2000" s="187"/>
      <c r="AV2000" s="190"/>
      <c r="AW2000" s="191"/>
      <c r="AX2000" s="551"/>
      <c r="AY2000" s="551"/>
      <c r="AZ2000" s="551"/>
      <c r="BA2000" s="551"/>
      <c r="BB2000" s="551"/>
      <c r="BC2000" s="551"/>
      <c r="BD2000" s="549"/>
      <c r="BE2000" s="550"/>
      <c r="BF2000" s="549"/>
      <c r="BG2000" s="391">
        <f>SUM($AV$1389:AV2000)</f>
        <v>3779.2239656881752</v>
      </c>
      <c r="BH2000" s="392">
        <f>SUM($AU$1389:AU2000)</f>
        <v>57403.353506493397</v>
      </c>
      <c r="BI2000" s="318">
        <f>SUMIFS($AU$1388:AU2001,$Q$1388:Q2001,"F")</f>
        <v>28242.093506493511</v>
      </c>
      <c r="BJ2000" s="318">
        <f>SUMIFS($AU$1388:AU2001,$Q$1388:Q2001,"S")</f>
        <v>26320</v>
      </c>
      <c r="BK2000" s="343">
        <f>SUMIFS($AU$1388:AU2001,$P$1388:P2001,"W")</f>
        <v>38763.273506493846</v>
      </c>
      <c r="BL2000" s="343">
        <f>SUMIFS($AU$1388:AU2001,$P$1388:P2001,"R")</f>
        <v>17886.00000000012</v>
      </c>
      <c r="BM2000" s="343">
        <f>SUMIFS($AU$1388:AU2001,$AQ$1388:AQ2001,"M")</f>
        <v>9793.3799999992334</v>
      </c>
      <c r="BN2000" s="343">
        <f>SUMIFS($AU$1388:AU2001,$AQ$1388:AQ2001,"H")</f>
        <v>19623.200000000543</v>
      </c>
      <c r="BO2000" s="343">
        <f>SUMIFS($AU$1388:AU2001,$AQ$1388:AQ2001,"D")</f>
        <v>13641.507142857021</v>
      </c>
      <c r="BP2000" s="343">
        <f>SUMIFS($AS$1388:AS2705,$AO$1388:AO2705,"W")</f>
        <v>0</v>
      </c>
      <c r="BQ2000" s="343">
        <f>SUMIFS($AU$1388:AU2001,$Q$1388:Q2001,"O")</f>
        <v>1417.2599999999034</v>
      </c>
      <c r="BR2000" s="343">
        <f>SUMIFS($AU$1388:AU2001,$AA$1388:AA2001,"*")</f>
        <v>44329.436363636036</v>
      </c>
      <c r="BS2000" s="343">
        <f>SUMIFS($AU$1388:AU2001,$AB$1388:AB2001,"*")</f>
        <v>10383.860000000041</v>
      </c>
      <c r="BT2000" s="343">
        <f>SUMIFS($AU$1388:AU2001,$AC$1388:AC2001,"*")</f>
        <v>31682.093506493675</v>
      </c>
      <c r="BU2000" s="343">
        <f>SUMIFS($AU$1388:AU2001,$AA$1388:AA2001,"*",$AB$1388:AB2001,"*")</f>
        <v>5423.9999999998217</v>
      </c>
      <c r="BV2000" s="343">
        <f>SUMIFS($AU$1388:AU2001,$AA$1388:AA2001,"*",$AC$1388:AC2001,"*")</f>
        <v>19728.036363636533</v>
      </c>
      <c r="BW2000" s="343">
        <f>SUMIFS($AU$1388:AU2001,$AB$1388:AB2001,"*",$AC$1388:AC2001,"*")</f>
        <v>7119.9999999999982</v>
      </c>
      <c r="BX2000" s="343">
        <f>SUMIFS($AV$1388:AV2001,$Q$1388:Q2001,"F")</f>
        <v>418.22475235412151</v>
      </c>
      <c r="BY2000" s="343">
        <f>SUMIFS($AV$1388:AV2001,$Q$1388:Q2001,"S")</f>
        <v>800.03991333429894</v>
      </c>
      <c r="BZ2000" s="343">
        <f>SUMIFS($AV$1388:AV2001,$Q$1388:Q2001,"O")</f>
        <v>612.95929999974919</v>
      </c>
    </row>
    <row r="2001" spans="1:78" ht="15.75" customHeight="1">
      <c r="A2001" s="177" t="s">
        <v>6310</v>
      </c>
      <c r="B2001" s="200"/>
      <c r="C2001" s="178"/>
      <c r="D2001" s="178"/>
      <c r="E2001" s="227" t="s">
        <v>6462</v>
      </c>
      <c r="F2001" s="180"/>
      <c r="G2001" s="181"/>
      <c r="H2001" s="182">
        <v>1</v>
      </c>
      <c r="I2001" s="182"/>
      <c r="J2001" s="182"/>
      <c r="K2001" s="183" t="s">
        <v>115</v>
      </c>
      <c r="L2001" s="182"/>
      <c r="M2001" s="182"/>
      <c r="N2001" s="182"/>
      <c r="O2001" s="183"/>
      <c r="P2001" s="183"/>
      <c r="Q2001" s="183"/>
      <c r="R2001" s="183"/>
      <c r="S2001" s="183"/>
      <c r="T2001" s="183"/>
      <c r="U2001" s="183"/>
      <c r="V2001" s="183"/>
      <c r="W2001" s="183"/>
      <c r="X2001" s="183"/>
      <c r="Y2001" s="183"/>
      <c r="Z2001" s="183"/>
      <c r="AA2001" s="185"/>
      <c r="AB2001" s="185"/>
      <c r="AC2001" s="185"/>
      <c r="AD2001" s="649"/>
      <c r="AE2001" s="182"/>
      <c r="AF2001" s="332"/>
      <c r="AG2001" s="182"/>
      <c r="AH2001" s="182"/>
      <c r="AI2001" s="182"/>
      <c r="AJ2001" s="640"/>
      <c r="AK2001" s="182"/>
      <c r="AL2001" s="496">
        <f t="shared" si="672"/>
        <v>0</v>
      </c>
      <c r="AM2001" s="496">
        <f t="shared" si="670"/>
        <v>0</v>
      </c>
      <c r="AN2001" s="626"/>
      <c r="AO2001" s="182"/>
      <c r="AP2001" s="182"/>
      <c r="AQ2001" s="332" t="str">
        <f>UPPER(RIGHT(Journal_Live[[#This Row],[DURATION ]]))</f>
        <v/>
      </c>
      <c r="AR2001" s="182"/>
      <c r="AS2001" s="189"/>
      <c r="AT2001" s="189"/>
      <c r="AU2001" s="187"/>
      <c r="AV2001" s="190"/>
      <c r="AW2001" s="191"/>
      <c r="AX2001" s="551"/>
      <c r="AY2001" s="551"/>
      <c r="AZ2001" s="551"/>
      <c r="BA2001" s="551"/>
      <c r="BB2001" s="551"/>
      <c r="BC2001" s="551"/>
      <c r="BD2001" s="549"/>
      <c r="BE2001" s="550"/>
      <c r="BF2001" s="549"/>
      <c r="BG2001" s="391">
        <f>SUM($AV$1389:AV2001)</f>
        <v>3779.2239656881752</v>
      </c>
      <c r="BH2001" s="392">
        <f>SUM($AU$1389:AU2001)</f>
        <v>57403.353506493397</v>
      </c>
      <c r="BI2001" s="318">
        <f>SUMIFS($AU$1388:AU2002,$Q$1388:Q2002,"F")</f>
        <v>28242.093506493511</v>
      </c>
      <c r="BJ2001" s="318">
        <f>SUMIFS($AU$1388:AU2002,$Q$1388:Q2002,"S")</f>
        <v>25040</v>
      </c>
      <c r="BK2001" s="343">
        <f>SUMIFS($AU$1388:AU2002,$P$1388:P2002,"W")</f>
        <v>37483.273506493846</v>
      </c>
      <c r="BL2001" s="343">
        <f>SUMIFS($AU$1388:AU2002,$P$1388:P2002,"R")</f>
        <v>17886.00000000012</v>
      </c>
      <c r="BM2001" s="343">
        <f>SUMIFS($AU$1388:AU2002,$AQ$1388:AQ2002,"M")</f>
        <v>9793.3799999992334</v>
      </c>
      <c r="BN2001" s="343">
        <f>SUMIFS($AU$1388:AU2002,$AQ$1388:AQ2002,"H")</f>
        <v>18343.200000000543</v>
      </c>
      <c r="BO2001" s="343">
        <f>SUMIFS($AU$1388:AU2002,$AQ$1388:AQ2002,"D")</f>
        <v>13641.507142857021</v>
      </c>
      <c r="BP2001" s="343">
        <f>SUMIFS($AS$1388:AS2706,$AO$1388:AO2706,"W")</f>
        <v>0</v>
      </c>
      <c r="BQ2001" s="343">
        <f>SUMIFS($AU$1388:AU2002,$Q$1388:Q2002,"O")</f>
        <v>1417.2599999999034</v>
      </c>
      <c r="BR2001" s="343">
        <f>SUMIFS($AU$1388:AU2002,$AA$1388:AA2002,"*")</f>
        <v>43049.436363636036</v>
      </c>
      <c r="BS2001" s="343">
        <f>SUMIFS($AU$1388:AU2002,$AB$1388:AB2002,"*")</f>
        <v>10383.860000000041</v>
      </c>
      <c r="BT2001" s="343">
        <f>SUMIFS($AU$1388:AU2002,$AC$1388:AC2002,"*")</f>
        <v>31682.093506493675</v>
      </c>
      <c r="BU2001" s="343">
        <f>SUMIFS($AU$1388:AU2002,$AA$1388:AA2002,"*",$AB$1388:AB2002,"*")</f>
        <v>5423.9999999998217</v>
      </c>
      <c r="BV2001" s="343">
        <f>SUMIFS($AU$1388:AU2002,$AA$1388:AA2002,"*",$AC$1388:AC2002,"*")</f>
        <v>19728.036363636533</v>
      </c>
      <c r="BW2001" s="343">
        <f>SUMIFS($AU$1388:AU2002,$AB$1388:AB2002,"*",$AC$1388:AC2002,"*")</f>
        <v>7119.9999999999982</v>
      </c>
      <c r="BX2001" s="343">
        <f>SUMIFS($AV$1388:AV2002,$Q$1388:Q2002,"F")</f>
        <v>418.22475235412151</v>
      </c>
      <c r="BY2001" s="343">
        <f>SUMIFS($AV$1388:AV2002,$Q$1388:Q2002,"S")</f>
        <v>768.03991333429894</v>
      </c>
      <c r="BZ2001" s="343">
        <f>SUMIFS($AV$1388:AV2002,$Q$1388:Q2002,"O")</f>
        <v>612.95929999974919</v>
      </c>
    </row>
    <row r="2002" spans="1:78" ht="15.75" customHeight="1">
      <c r="A2002" s="177" t="s">
        <v>6310</v>
      </c>
      <c r="B2002" s="200">
        <v>45428</v>
      </c>
      <c r="C2002" s="178" t="s">
        <v>682</v>
      </c>
      <c r="D2002" s="178" t="s">
        <v>93</v>
      </c>
      <c r="E2002" s="227"/>
      <c r="F2002" s="180"/>
      <c r="G2002" s="181" t="s">
        <v>3990</v>
      </c>
      <c r="H2002" s="182"/>
      <c r="I2002" s="182"/>
      <c r="J2002" s="182"/>
      <c r="K2002" s="183"/>
      <c r="L2002" s="182">
        <v>1</v>
      </c>
      <c r="M2002" s="182">
        <v>1</v>
      </c>
      <c r="N2002" s="182"/>
      <c r="O2002" s="183" t="s">
        <v>95</v>
      </c>
      <c r="P2002" s="183" t="s">
        <v>96</v>
      </c>
      <c r="Q2002" s="183" t="s">
        <v>97</v>
      </c>
      <c r="R2002" s="183">
        <v>40</v>
      </c>
      <c r="S2002" s="183">
        <v>0</v>
      </c>
      <c r="T2002" s="183">
        <v>40</v>
      </c>
      <c r="U2002" s="183" t="s">
        <v>22</v>
      </c>
      <c r="V2002" s="183"/>
      <c r="W2002" s="183"/>
      <c r="X2002" s="183"/>
      <c r="Y2002" s="184">
        <f>IF(ISBLANK(O2002),"",(IF(O2002=UPPER("IB"),0.005,0.01)))</f>
        <v>0.01</v>
      </c>
      <c r="Z2002" s="185">
        <f>IF(ISBLANK(O2002),"",IF(O2002="IB",8.63*200,IF(O2002="IR",16*100,IF(O2002="YT",20*100,IF(O2002="YT-XT",24*200,IF(O2002="TED",80*100,IF(O2002="XT",29*200)))))))</f>
        <v>1600</v>
      </c>
      <c r="AA2002" s="185" t="s">
        <v>6463</v>
      </c>
      <c r="AB2002" s="185"/>
      <c r="AC2002" s="185"/>
      <c r="AD2002" s="649">
        <v>-0.06</v>
      </c>
      <c r="AE2002" s="182"/>
      <c r="AF2002" s="332"/>
      <c r="AG2002" s="182"/>
      <c r="AH2002" s="182"/>
      <c r="AI2002" s="182"/>
      <c r="AJ2002" s="640"/>
      <c r="AK2002" s="182"/>
      <c r="AL2002" s="496">
        <f t="shared" si="672"/>
        <v>-32</v>
      </c>
      <c r="AM2002" s="496">
        <f t="shared" si="670"/>
        <v>-1280</v>
      </c>
      <c r="AN2002" s="626"/>
      <c r="AO2002" s="182"/>
      <c r="AP2002" s="182"/>
      <c r="AQ2002" s="332" t="s">
        <v>372</v>
      </c>
      <c r="AR2002" s="182"/>
      <c r="AS2002" s="189">
        <v>-0.08</v>
      </c>
      <c r="AT2002" s="189">
        <f>IF(ISBLANK(AS2002),,IF(U2002="S",AD2002-AS2002,AS2002-AD2002))</f>
        <v>-2.0000000000000004E-2</v>
      </c>
      <c r="AU2002" s="187">
        <f>AV2002*R2002</f>
        <v>-1280.0000000000002</v>
      </c>
      <c r="AV2002" s="190">
        <f t="shared" ref="AV2002" si="674">IF(ISBLANK(AS2002),,(AT2002*Z2002))</f>
        <v>-32.000000000000007</v>
      </c>
      <c r="AW2002" s="191" t="s">
        <v>229</v>
      </c>
      <c r="AX2002" s="551" t="s">
        <v>6376</v>
      </c>
      <c r="AY2002" s="551"/>
      <c r="AZ2002" s="551"/>
      <c r="BA2002" s="551"/>
      <c r="BB2002" s="551"/>
      <c r="BC2002" s="551"/>
      <c r="BD2002" s="549"/>
      <c r="BE2002" s="550"/>
      <c r="BF2002" s="549"/>
      <c r="BG2002" s="391">
        <f>SUM($AV$1389:AV2002)</f>
        <v>3747.2239656881752</v>
      </c>
      <c r="BH2002" s="392">
        <f>SUM($AU$1389:AU2002)</f>
        <v>56123.353506493397</v>
      </c>
      <c r="BI2002" s="318">
        <f>SUMIFS($AU$1388:AU2003,$Q$1388:Q2003,"F")</f>
        <v>28242.093506493511</v>
      </c>
      <c r="BJ2002" s="318">
        <f>SUMIFS($AU$1388:AU2003,$Q$1388:Q2003,"S")</f>
        <v>24080</v>
      </c>
      <c r="BK2002" s="343">
        <f>SUMIFS($AU$1388:AU2003,$P$1388:P2003,"W")</f>
        <v>36523.273506493846</v>
      </c>
      <c r="BL2002" s="343">
        <f>SUMIFS($AU$1388:AU2003,$P$1388:P2003,"R")</f>
        <v>17886.00000000012</v>
      </c>
      <c r="BM2002" s="343">
        <f>SUMIFS($AU$1388:AU2003,$AQ$1388:AQ2003,"M")</f>
        <v>9793.3799999992334</v>
      </c>
      <c r="BN2002" s="343">
        <f>SUMIFS($AU$1388:AU2003,$AQ$1388:AQ2003,"H")</f>
        <v>17383.200000000543</v>
      </c>
      <c r="BO2002" s="343">
        <f>SUMIFS($AU$1388:AU2003,$AQ$1388:AQ2003,"D")</f>
        <v>13641.507142857021</v>
      </c>
      <c r="BP2002" s="343">
        <f>SUMIFS($AS$1388:AS2707,$AO$1388:AO2707,"W")</f>
        <v>0</v>
      </c>
      <c r="BQ2002" s="343">
        <f>SUMIFS($AU$1388:AU2003,$Q$1388:Q2003,"O")</f>
        <v>1417.2599999999034</v>
      </c>
      <c r="BR2002" s="343">
        <f>SUMIFS($AU$1388:AU2003,$AA$1388:AA2003,"*")</f>
        <v>42089.436363636036</v>
      </c>
      <c r="BS2002" s="343">
        <f>SUMIFS($AU$1388:AU2003,$AB$1388:AB2003,"*")</f>
        <v>10383.860000000041</v>
      </c>
      <c r="BT2002" s="343">
        <f>SUMIFS($AU$1388:AU2003,$AC$1388:AC2003,"*")</f>
        <v>31682.093506493675</v>
      </c>
      <c r="BU2002" s="343">
        <f>SUMIFS($AU$1388:AU2003,$AA$1388:AA2003,"*",$AB$1388:AB2003,"*")</f>
        <v>5423.9999999998217</v>
      </c>
      <c r="BV2002" s="343">
        <f>SUMIFS($AU$1388:AU2003,$AA$1388:AA2003,"*",$AC$1388:AC2003,"*")</f>
        <v>19728.036363636533</v>
      </c>
      <c r="BW2002" s="343">
        <f>SUMIFS($AU$1388:AU2003,$AB$1388:AB2003,"*",$AC$1388:AC2003,"*")</f>
        <v>7119.9999999999982</v>
      </c>
      <c r="BX2002" s="343">
        <f>SUMIFS($AV$1388:AV2003,$Q$1388:Q2003,"F")</f>
        <v>418.22475235412151</v>
      </c>
      <c r="BY2002" s="343">
        <f>SUMIFS($AV$1388:AV2003,$Q$1388:Q2003,"S")</f>
        <v>752.03991333429894</v>
      </c>
      <c r="BZ2002" s="343">
        <f>SUMIFS($AV$1388:AV2003,$Q$1388:Q2003,"O")</f>
        <v>612.95929999974919</v>
      </c>
    </row>
    <row r="2003" spans="1:78" ht="15.75" customHeight="1">
      <c r="A2003" s="177" t="s">
        <v>6310</v>
      </c>
      <c r="B2003" s="200">
        <v>45428</v>
      </c>
      <c r="C2003" s="178" t="s">
        <v>682</v>
      </c>
      <c r="D2003" s="178" t="s">
        <v>93</v>
      </c>
      <c r="E2003" s="227"/>
      <c r="F2003" s="180"/>
      <c r="G2003" s="181" t="s">
        <v>136</v>
      </c>
      <c r="H2003" s="182"/>
      <c r="I2003" s="182"/>
      <c r="J2003" s="182"/>
      <c r="K2003" s="183"/>
      <c r="L2003" s="182">
        <v>1</v>
      </c>
      <c r="M2003" s="182">
        <v>1</v>
      </c>
      <c r="N2003" s="182"/>
      <c r="O2003" s="183" t="s">
        <v>95</v>
      </c>
      <c r="P2003" s="183" t="s">
        <v>96</v>
      </c>
      <c r="Q2003" s="183" t="s">
        <v>97</v>
      </c>
      <c r="R2003" s="183">
        <v>60</v>
      </c>
      <c r="S2003" s="183">
        <v>0</v>
      </c>
      <c r="T2003" s="183">
        <v>60</v>
      </c>
      <c r="U2003" s="183" t="s">
        <v>22</v>
      </c>
      <c r="V2003" s="183"/>
      <c r="W2003" s="183"/>
      <c r="X2003" s="183"/>
      <c r="Y2003" s="184">
        <f>IF(ISBLANK(O2003),"",(IF(O2003=UPPER("IB"),0.005,0.01)))</f>
        <v>0.01</v>
      </c>
      <c r="Z2003" s="185">
        <f>IF(ISBLANK(O2003),"",IF(O2003="IB",8.63*200,IF(O2003="IR",16*100,IF(O2003="YT",20*100,IF(O2003="YT-XT",24*200,IF(O2003="TED",80*100,IF(O2003="XT",29*200)))))))</f>
        <v>1600</v>
      </c>
      <c r="AA2003" s="185" t="s">
        <v>6463</v>
      </c>
      <c r="AB2003" s="185"/>
      <c r="AC2003" s="185"/>
      <c r="AD2003" s="649">
        <v>-0.02</v>
      </c>
      <c r="AE2003" s="182"/>
      <c r="AF2003" s="332"/>
      <c r="AG2003" s="182"/>
      <c r="AH2003" s="182"/>
      <c r="AI2003" s="182"/>
      <c r="AJ2003" s="640"/>
      <c r="AK2003" s="182"/>
      <c r="AL2003" s="496">
        <f t="shared" ref="AL2003:AL2007" si="675">-0.02*Z2003</f>
        <v>-32</v>
      </c>
      <c r="AM2003" s="496">
        <f t="shared" si="670"/>
        <v>-1920</v>
      </c>
      <c r="AN2003" s="626"/>
      <c r="AO2003" s="182"/>
      <c r="AP2003" s="182"/>
      <c r="AQ2003" s="332" t="s">
        <v>372</v>
      </c>
      <c r="AR2003" s="182"/>
      <c r="AS2003" s="189">
        <v>-0.03</v>
      </c>
      <c r="AT2003" s="189">
        <f>IF(ISBLANK(AS2003),,IF(U2003="S",AD2003-AS2003,AS2003-AD2003))</f>
        <v>-9.9999999999999985E-3</v>
      </c>
      <c r="AU2003" s="187">
        <f>AV2003*R2003</f>
        <v>-959.99999999999989</v>
      </c>
      <c r="AV2003" s="190">
        <f t="shared" ref="AV2003" si="676">IF(ISBLANK(AS2003),,(AT2003*Z2003))</f>
        <v>-15.999999999999998</v>
      </c>
      <c r="AW2003" s="191" t="s">
        <v>229</v>
      </c>
      <c r="AX2003" s="551" t="s">
        <v>6464</v>
      </c>
      <c r="AY2003" s="551"/>
      <c r="AZ2003" s="551"/>
      <c r="BA2003" s="551"/>
      <c r="BB2003" s="551"/>
      <c r="BC2003" s="551"/>
      <c r="BD2003" s="549"/>
      <c r="BE2003" s="550"/>
      <c r="BF2003" s="549"/>
      <c r="BG2003" s="391">
        <f>SUM($AV$1389:AV2003)</f>
        <v>3731.2239656881752</v>
      </c>
      <c r="BH2003" s="392">
        <f>SUM($AU$1389:AU2003)</f>
        <v>55163.353506493397</v>
      </c>
      <c r="BI2003" s="318">
        <f>SUMIFS($AU$1388:AU2004,$Q$1388:Q2004,"F")</f>
        <v>28242.093506493511</v>
      </c>
      <c r="BJ2003" s="318">
        <f>SUMIFS($AU$1388:AU2004,$Q$1388:Q2004,"S")</f>
        <v>24880</v>
      </c>
      <c r="BK2003" s="343">
        <f>SUMIFS($AU$1388:AU2004,$P$1388:P2004,"W")</f>
        <v>37323.273506493846</v>
      </c>
      <c r="BL2003" s="343">
        <f>SUMIFS($AU$1388:AU2004,$P$1388:P2004,"R")</f>
        <v>17886.00000000012</v>
      </c>
      <c r="BM2003" s="343">
        <f>SUMIFS($AU$1388:AU2004,$AQ$1388:AQ2004,"M")</f>
        <v>9793.3799999992334</v>
      </c>
      <c r="BN2003" s="343">
        <f>SUMIFS($AU$1388:AU2004,$AQ$1388:AQ2004,"H")</f>
        <v>18183.200000000543</v>
      </c>
      <c r="BO2003" s="343">
        <f>SUMIFS($AU$1388:AU2004,$AQ$1388:AQ2004,"D")</f>
        <v>13641.507142857021</v>
      </c>
      <c r="BP2003" s="343">
        <f>SUMIFS($AS$1388:AS2708,$AO$1388:AO2708,"W")</f>
        <v>0</v>
      </c>
      <c r="BQ2003" s="343">
        <f>SUMIFS($AU$1388:AU2004,$Q$1388:Q2004,"O")</f>
        <v>1417.2599999999034</v>
      </c>
      <c r="BR2003" s="343">
        <f>SUMIFS($AU$1388:AU2004,$AA$1388:AA2004,"*")</f>
        <v>42889.436363636036</v>
      </c>
      <c r="BS2003" s="343">
        <f>SUMIFS($AU$1388:AU2004,$AB$1388:AB2004,"*")</f>
        <v>10383.860000000041</v>
      </c>
      <c r="BT2003" s="343">
        <f>SUMIFS($AU$1388:AU2004,$AC$1388:AC2004,"*")</f>
        <v>31682.093506493675</v>
      </c>
      <c r="BU2003" s="343">
        <f>SUMIFS($AU$1388:AU2004,$AA$1388:AA2004,"*",$AB$1388:AB2004,"*")</f>
        <v>5423.9999999998217</v>
      </c>
      <c r="BV2003" s="343">
        <f>SUMIFS($AU$1388:AU2004,$AA$1388:AA2004,"*",$AC$1388:AC2004,"*")</f>
        <v>19728.036363636533</v>
      </c>
      <c r="BW2003" s="343">
        <f>SUMIFS($AU$1388:AU2004,$AB$1388:AB2004,"*",$AC$1388:AC2004,"*")</f>
        <v>7119.9999999999982</v>
      </c>
      <c r="BX2003" s="343">
        <f>SUMIFS($AV$1388:AV2004,$Q$1388:Q2004,"F")</f>
        <v>418.22475235412151</v>
      </c>
      <c r="BY2003" s="343">
        <f>SUMIFS($AV$1388:AV2004,$Q$1388:Q2004,"S")</f>
        <v>768.03991333429894</v>
      </c>
      <c r="BZ2003" s="343">
        <f>SUMIFS($AV$1388:AV2004,$Q$1388:Q2004,"O")</f>
        <v>612.95929999974919</v>
      </c>
    </row>
    <row r="2004" spans="1:78" ht="15.75" customHeight="1">
      <c r="A2004" s="177" t="s">
        <v>6310</v>
      </c>
      <c r="B2004" s="200">
        <v>45428</v>
      </c>
      <c r="C2004" s="178" t="s">
        <v>682</v>
      </c>
      <c r="D2004" s="178" t="s">
        <v>93</v>
      </c>
      <c r="E2004" s="227"/>
      <c r="F2004" s="180"/>
      <c r="G2004" s="481" t="s">
        <v>2991</v>
      </c>
      <c r="H2004" s="182"/>
      <c r="I2004" s="182"/>
      <c r="J2004" s="182"/>
      <c r="K2004" s="183"/>
      <c r="L2004" s="182">
        <v>1</v>
      </c>
      <c r="M2004" s="182">
        <v>1</v>
      </c>
      <c r="N2004" s="182"/>
      <c r="O2004" s="183" t="s">
        <v>95</v>
      </c>
      <c r="P2004" s="183" t="s">
        <v>96</v>
      </c>
      <c r="Q2004" s="183" t="s">
        <v>97</v>
      </c>
      <c r="R2004" s="183">
        <v>50</v>
      </c>
      <c r="S2004" s="183">
        <v>0</v>
      </c>
      <c r="T2004" s="183">
        <v>50</v>
      </c>
      <c r="U2004" s="183" t="s">
        <v>22</v>
      </c>
      <c r="V2004" s="183"/>
      <c r="W2004" s="183"/>
      <c r="X2004" s="183"/>
      <c r="Y2004" s="184">
        <f>IF(ISBLANK(O2004),"",(IF(O2004=UPPER("IB"),0.005,0.01)))</f>
        <v>0.01</v>
      </c>
      <c r="Z2004" s="185">
        <f>IF(ISBLANK(O2004),"",IF(O2004="IB",8.63*200,IF(O2004="IR",16*100,IF(O2004="YT",20*100,IF(O2004="YT-XT",24*200,IF(O2004="TED",80*100,IF(O2004="XT",29*200)))))))</f>
        <v>1600</v>
      </c>
      <c r="AA2004" s="185" t="s">
        <v>6463</v>
      </c>
      <c r="AB2004" s="185"/>
      <c r="AC2004" s="185"/>
      <c r="AD2004" s="649">
        <v>-0.16</v>
      </c>
      <c r="AE2004" s="182"/>
      <c r="AF2004" s="332"/>
      <c r="AG2004" s="182"/>
      <c r="AH2004" s="182"/>
      <c r="AI2004" s="182"/>
      <c r="AJ2004" s="640"/>
      <c r="AK2004" s="182"/>
      <c r="AL2004" s="496">
        <f t="shared" si="675"/>
        <v>-32</v>
      </c>
      <c r="AM2004" s="496">
        <f t="shared" si="670"/>
        <v>-1600</v>
      </c>
      <c r="AN2004" s="626"/>
      <c r="AO2004" s="182"/>
      <c r="AP2004" s="182"/>
      <c r="AQ2004" s="332" t="s">
        <v>372</v>
      </c>
      <c r="AR2004" s="182"/>
      <c r="AS2004" s="189">
        <v>-0.15</v>
      </c>
      <c r="AT2004" s="189">
        <f>IF(ISBLANK(AS2004),,IF(U2004="S",AD2004-AS2004,AS2004-AD2004))</f>
        <v>1.0000000000000009E-2</v>
      </c>
      <c r="AU2004" s="187">
        <f>AV2004*R2004</f>
        <v>800.00000000000068</v>
      </c>
      <c r="AV2004" s="190">
        <f t="shared" ref="AV2004:AV2009" si="677">IF(ISBLANK(AS2004),,(AT2004*Z2004))</f>
        <v>16.000000000000014</v>
      </c>
      <c r="AW2004" s="191" t="s">
        <v>96</v>
      </c>
      <c r="AX2004" s="551" t="s">
        <v>6465</v>
      </c>
      <c r="AY2004" s="551"/>
      <c r="AZ2004" s="551"/>
      <c r="BA2004" s="551"/>
      <c r="BB2004" s="551"/>
      <c r="BC2004" s="551"/>
      <c r="BD2004" s="549"/>
      <c r="BE2004" s="550"/>
      <c r="BF2004" s="549"/>
      <c r="BG2004" s="391">
        <f>SUM($AV$1389:AV2004)</f>
        <v>3747.2239656881752</v>
      </c>
      <c r="BH2004" s="392">
        <f>SUM($AU$1389:AU2004)</f>
        <v>55963.353506493397</v>
      </c>
      <c r="BI2004" s="318">
        <f>SUMIFS($AU$1388:AU2005,$Q$1388:Q2005,"F")</f>
        <v>28242.093506493511</v>
      </c>
      <c r="BJ2004" s="318">
        <f>SUMIFS($AU$1388:AU2005,$Q$1388:Q2005,"S")</f>
        <v>24880</v>
      </c>
      <c r="BK2004" s="343">
        <f>SUMIFS($AU$1388:AU2005,$P$1388:P2005,"W")</f>
        <v>37323.273506493846</v>
      </c>
      <c r="BL2004" s="343">
        <f>SUMIFS($AU$1388:AU2005,$P$1388:P2005,"R")</f>
        <v>18186.00000000012</v>
      </c>
      <c r="BM2004" s="343">
        <f>SUMIFS($AU$1388:AU2005,$AQ$1388:AQ2005,"M")</f>
        <v>9793.3799999992334</v>
      </c>
      <c r="BN2004" s="343">
        <f>SUMIFS($AU$1388:AU2005,$AQ$1388:AQ2005,"H")</f>
        <v>18483.200000000543</v>
      </c>
      <c r="BO2004" s="343">
        <f>SUMIFS($AU$1388:AU2005,$AQ$1388:AQ2005,"D")</f>
        <v>13641.507142857021</v>
      </c>
      <c r="BP2004" s="343">
        <f>SUMIFS($AS$1388:AS2709,$AO$1388:AO2709,"W")</f>
        <v>0</v>
      </c>
      <c r="BQ2004" s="343">
        <f>SUMIFS($AU$1388:AU2005,$Q$1388:Q2005,"O")</f>
        <v>1417.2599999999034</v>
      </c>
      <c r="BR2004" s="343">
        <f>SUMIFS($AU$1388:AU2005,$AA$1388:AA2005,"*")</f>
        <v>43189.436363636036</v>
      </c>
      <c r="BS2004" s="343">
        <f>SUMIFS($AU$1388:AU2005,$AB$1388:AB2005,"*")</f>
        <v>10383.860000000041</v>
      </c>
      <c r="BT2004" s="343">
        <f>SUMIFS($AU$1388:AU2005,$AC$1388:AC2005,"*")</f>
        <v>31682.093506493675</v>
      </c>
      <c r="BU2004" s="343">
        <f>SUMIFS($AU$1388:AU2005,$AA$1388:AA2005,"*",$AB$1388:AB2005,"*")</f>
        <v>5423.9999999998217</v>
      </c>
      <c r="BV2004" s="343">
        <f>SUMIFS($AU$1388:AU2005,$AA$1388:AA2005,"*",$AC$1388:AC2005,"*")</f>
        <v>19728.036363636533</v>
      </c>
      <c r="BW2004" s="343">
        <f>SUMIFS($AU$1388:AU2005,$AB$1388:AB2005,"*",$AC$1388:AC2005,"*")</f>
        <v>7119.9999999999982</v>
      </c>
      <c r="BX2004" s="343">
        <f>SUMIFS($AV$1388:AV2005,$Q$1388:Q2005,"F")</f>
        <v>418.22475235412151</v>
      </c>
      <c r="BY2004" s="343">
        <f>SUMIFS($AV$1388:AV2005,$Q$1388:Q2005,"S")</f>
        <v>768.03991333429894</v>
      </c>
      <c r="BZ2004" s="343">
        <f>SUMIFS($AV$1388:AV2005,$Q$1388:Q2005,"O")</f>
        <v>612.95929999974919</v>
      </c>
    </row>
    <row r="2005" spans="1:78" ht="15.75" customHeight="1">
      <c r="A2005" s="177" t="s">
        <v>6310</v>
      </c>
      <c r="B2005" s="200">
        <v>45428</v>
      </c>
      <c r="C2005" s="178" t="s">
        <v>682</v>
      </c>
      <c r="D2005" s="178" t="s">
        <v>93</v>
      </c>
      <c r="E2005" s="227"/>
      <c r="F2005" s="180"/>
      <c r="G2005" s="570" t="s">
        <v>6243</v>
      </c>
      <c r="H2005" s="182"/>
      <c r="I2005" s="182"/>
      <c r="J2005" s="182"/>
      <c r="K2005" s="183"/>
      <c r="L2005" s="182">
        <v>1</v>
      </c>
      <c r="M2005" s="182">
        <v>1</v>
      </c>
      <c r="N2005" s="182"/>
      <c r="O2005" s="183" t="s">
        <v>5325</v>
      </c>
      <c r="P2005" s="183" t="s">
        <v>137</v>
      </c>
      <c r="Q2005" s="183"/>
      <c r="R2005" s="183">
        <v>1</v>
      </c>
      <c r="S2005" s="183">
        <v>0</v>
      </c>
      <c r="T2005" s="183">
        <v>1</v>
      </c>
      <c r="U2005" s="183" t="s">
        <v>97</v>
      </c>
      <c r="V2005" s="183"/>
      <c r="W2005" s="183"/>
      <c r="X2005" s="183"/>
      <c r="Y2005" s="184">
        <f>IF(ISBLANK(O2005),"",(IF(O2005=UPPER("IB"),0.005,0.01)))</f>
        <v>0.01</v>
      </c>
      <c r="Z2005" s="185">
        <f>IF(ISBLANK(O2005),"",IF(O2005="IB",8.63*200,IF(O2005="IR",16*100,IF(O2005="YT",20*100,IF(O2005="YT-XT",24*200,IF(O2005="TED",80*100,IF(O2005="IR|YT",300*100)))))))</f>
        <v>30000</v>
      </c>
      <c r="AA2005" s="185" t="s">
        <v>6297</v>
      </c>
      <c r="AB2005" s="185"/>
      <c r="AC2005" s="185"/>
      <c r="AD2005" s="649">
        <v>-0.21</v>
      </c>
      <c r="AE2005" s="182"/>
      <c r="AF2005" s="332"/>
      <c r="AG2005" s="182"/>
      <c r="AH2005" s="182"/>
      <c r="AI2005" s="182"/>
      <c r="AJ2005" s="640"/>
      <c r="AK2005" s="182"/>
      <c r="AL2005" s="496">
        <f t="shared" si="675"/>
        <v>-600</v>
      </c>
      <c r="AM2005" s="496">
        <f t="shared" si="670"/>
        <v>-600</v>
      </c>
      <c r="AN2005" s="626"/>
      <c r="AO2005" s="182"/>
      <c r="AP2005" s="182" t="s">
        <v>2527</v>
      </c>
      <c r="AQ2005" s="332" t="s">
        <v>372</v>
      </c>
      <c r="AR2005" s="182"/>
      <c r="AS2005" s="189">
        <v>-0.22</v>
      </c>
      <c r="AT2005" s="189">
        <f>IF(ISBLANK(AS2005),,IF(U2005="S",AD2005-AS2005,AS2005-AD2005))</f>
        <v>1.0000000000000009E-2</v>
      </c>
      <c r="AU2005" s="187">
        <f>AV2005*R2005</f>
        <v>300.00000000000028</v>
      </c>
      <c r="AV2005" s="190">
        <f t="shared" si="677"/>
        <v>300.00000000000028</v>
      </c>
      <c r="AW2005" s="191" t="s">
        <v>96</v>
      </c>
      <c r="AX2005" s="551"/>
      <c r="AY2005" s="551"/>
      <c r="AZ2005" s="551"/>
      <c r="BA2005" s="551"/>
      <c r="BB2005" s="551"/>
      <c r="BC2005" s="551"/>
      <c r="BD2005" s="549"/>
      <c r="BE2005" s="550"/>
      <c r="BF2005" s="549"/>
      <c r="BG2005" s="391">
        <f>SUM($AV$1389:AV2005)</f>
        <v>4047.2239656881757</v>
      </c>
      <c r="BH2005" s="392">
        <f>SUM($AU$1389:AU2005)</f>
        <v>56263.353506493397</v>
      </c>
      <c r="BI2005" s="318">
        <f>SUMIFS($AU$1388:AU2006,$Q$1388:Q2006,"F")</f>
        <v>28242.093506493511</v>
      </c>
      <c r="BJ2005" s="318">
        <f>SUMIFS($AU$1388:AU2006,$Q$1388:Q2006,"S")</f>
        <v>24912</v>
      </c>
      <c r="BK2005" s="343">
        <f>SUMIFS($AU$1388:AU2006,$P$1388:P2006,"W")</f>
        <v>37355.273506493846</v>
      </c>
      <c r="BL2005" s="343">
        <f>SUMIFS($AU$1388:AU2006,$P$1388:P2006,"R")</f>
        <v>18186.00000000012</v>
      </c>
      <c r="BM2005" s="343">
        <f>SUMIFS($AU$1388:AU2006,$AQ$1388:AQ2006,"M")</f>
        <v>9793.3799999992334</v>
      </c>
      <c r="BN2005" s="343">
        <f>SUMIFS($AU$1388:AU2006,$AQ$1388:AQ2006,"H")</f>
        <v>18515.200000000543</v>
      </c>
      <c r="BO2005" s="343">
        <f>SUMIFS($AU$1388:AU2006,$AQ$1388:AQ2006,"D")</f>
        <v>13641.507142857021</v>
      </c>
      <c r="BP2005" s="343">
        <f>SUMIFS($AS$1388:AS2710,$AO$1388:AO2710,"W")</f>
        <v>0</v>
      </c>
      <c r="BQ2005" s="343">
        <f>SUMIFS($AU$1388:AU2006,$Q$1388:Q2006,"O")</f>
        <v>1417.2599999999034</v>
      </c>
      <c r="BR2005" s="343">
        <f>SUMIFS($AU$1388:AU2006,$AA$1388:AA2006,"*")</f>
        <v>43221.436363636036</v>
      </c>
      <c r="BS2005" s="343">
        <f>SUMIFS($AU$1388:AU2006,$AB$1388:AB2006,"*")</f>
        <v>10383.860000000041</v>
      </c>
      <c r="BT2005" s="343">
        <f>SUMIFS($AU$1388:AU2006,$AC$1388:AC2006,"*")</f>
        <v>31682.093506493675</v>
      </c>
      <c r="BU2005" s="343">
        <f>SUMIFS($AU$1388:AU2006,$AA$1388:AA2006,"*",$AB$1388:AB2006,"*")</f>
        <v>5423.9999999998217</v>
      </c>
      <c r="BV2005" s="343">
        <f>SUMIFS($AU$1388:AU2006,$AA$1388:AA2006,"*",$AC$1388:AC2006,"*")</f>
        <v>19728.036363636533</v>
      </c>
      <c r="BW2005" s="343">
        <f>SUMIFS($AU$1388:AU2006,$AB$1388:AB2006,"*",$AC$1388:AC2006,"*")</f>
        <v>7119.9999999999982</v>
      </c>
      <c r="BX2005" s="343">
        <f>SUMIFS($AV$1388:AV2006,$Q$1388:Q2006,"F")</f>
        <v>418.22475235412151</v>
      </c>
      <c r="BY2005" s="343">
        <f>SUMIFS($AV$1388:AV2006,$Q$1388:Q2006,"S")</f>
        <v>784.03991333429894</v>
      </c>
      <c r="BZ2005" s="343">
        <f>SUMIFS($AV$1388:AV2006,$Q$1388:Q2006,"O")</f>
        <v>612.95929999974919</v>
      </c>
    </row>
    <row r="2006" spans="1:78" ht="15.75" customHeight="1">
      <c r="A2006" s="177" t="s">
        <v>6310</v>
      </c>
      <c r="B2006" s="200">
        <v>45428</v>
      </c>
      <c r="C2006" s="178" t="s">
        <v>682</v>
      </c>
      <c r="D2006" s="178" t="s">
        <v>93</v>
      </c>
      <c r="E2006" s="227"/>
      <c r="F2006" s="180"/>
      <c r="G2006" s="481" t="s">
        <v>136</v>
      </c>
      <c r="H2006" s="182"/>
      <c r="I2006" s="182"/>
      <c r="J2006" s="182"/>
      <c r="K2006" s="183"/>
      <c r="L2006" s="182">
        <v>1</v>
      </c>
      <c r="M2006" s="182">
        <v>1</v>
      </c>
      <c r="N2006" s="182"/>
      <c r="O2006" s="183" t="s">
        <v>95</v>
      </c>
      <c r="P2006" s="183" t="s">
        <v>96</v>
      </c>
      <c r="Q2006" s="183" t="s">
        <v>97</v>
      </c>
      <c r="R2006" s="183">
        <v>2</v>
      </c>
      <c r="S2006" s="183">
        <v>0</v>
      </c>
      <c r="T2006" s="183">
        <v>2</v>
      </c>
      <c r="U2006" s="183" t="s">
        <v>22</v>
      </c>
      <c r="V2006" s="183"/>
      <c r="W2006" s="183"/>
      <c r="X2006" s="183"/>
      <c r="Y2006" s="184">
        <f>IF(ISBLANK(O2006),"",(IF(O2006=UPPER("IB"),0.005,0.01)))</f>
        <v>0.01</v>
      </c>
      <c r="Z2006" s="185">
        <f>IF(ISBLANK(O2006),"",IF(O2006="IB",8.63*200,IF(O2006="IR",16*100,IF(O2006="YT",20*100,IF(O2006="YT-XT",24*200,IF(O2006="TED",80*100,IF(O2006="XT",29*200)))))))</f>
        <v>1600</v>
      </c>
      <c r="AA2006" s="185" t="s">
        <v>6463</v>
      </c>
      <c r="AB2006" s="185"/>
      <c r="AC2006" s="185"/>
      <c r="AD2006" s="649">
        <v>-0.03</v>
      </c>
      <c r="AE2006" s="182"/>
      <c r="AF2006" s="332"/>
      <c r="AG2006" s="182"/>
      <c r="AH2006" s="182"/>
      <c r="AI2006" s="182"/>
      <c r="AJ2006" s="640"/>
      <c r="AK2006" s="182"/>
      <c r="AL2006" s="496">
        <f t="shared" si="675"/>
        <v>-32</v>
      </c>
      <c r="AM2006" s="496">
        <f t="shared" si="670"/>
        <v>-64</v>
      </c>
      <c r="AN2006" s="626"/>
      <c r="AO2006" s="182"/>
      <c r="AP2006" s="182" t="s">
        <v>2527</v>
      </c>
      <c r="AQ2006" s="332" t="s">
        <v>372</v>
      </c>
      <c r="AR2006" s="182"/>
      <c r="AS2006" s="189">
        <v>-0.02</v>
      </c>
      <c r="AT2006" s="189">
        <f>IF(ISBLANK(AS2006),,IF(U2006="S",AD2006-AS2006,AS2006-AD2006))</f>
        <v>9.9999999999999985E-3</v>
      </c>
      <c r="AU2006" s="187">
        <f>AV2006*R2006</f>
        <v>31.999999999999996</v>
      </c>
      <c r="AV2006" s="190">
        <f t="shared" si="677"/>
        <v>15.999999999999998</v>
      </c>
      <c r="AW2006" s="191" t="s">
        <v>96</v>
      </c>
      <c r="AX2006" s="551"/>
      <c r="AY2006" s="551"/>
      <c r="AZ2006" s="551"/>
      <c r="BA2006" s="551"/>
      <c r="BB2006" s="551"/>
      <c r="BC2006" s="551"/>
      <c r="BD2006" s="549"/>
      <c r="BE2006" s="550"/>
      <c r="BF2006" s="549"/>
      <c r="BG2006" s="391">
        <f>SUM($AV$1389:AV2006)</f>
        <v>4063.2239656881757</v>
      </c>
      <c r="BH2006" s="392">
        <f>SUM($AU$1389:AU2006)</f>
        <v>56295.353506493397</v>
      </c>
      <c r="BI2006" s="318">
        <f>SUMIFS($AU$1388:AU2007,$Q$1388:Q2007,"F")</f>
        <v>28242.093506493511</v>
      </c>
      <c r="BJ2006" s="318">
        <f>SUMIFS($AU$1388:AU2007,$Q$1388:Q2007,"S")</f>
        <v>24912</v>
      </c>
      <c r="BK2006" s="343">
        <f>SUMIFS($AU$1388:AU2007,$P$1388:P2007,"W")</f>
        <v>37355.273506493846</v>
      </c>
      <c r="BL2006" s="343">
        <f>SUMIFS($AU$1388:AU2007,$P$1388:P2007,"R")</f>
        <v>18186.00000000012</v>
      </c>
      <c r="BM2006" s="343">
        <f>SUMIFS($AU$1388:AU2007,$AQ$1388:AQ2007,"M")</f>
        <v>9793.3799999992334</v>
      </c>
      <c r="BN2006" s="343">
        <f>SUMIFS($AU$1388:AU2007,$AQ$1388:AQ2007,"H")</f>
        <v>18515.200000000543</v>
      </c>
      <c r="BO2006" s="343">
        <f>SUMIFS($AU$1388:AU2007,$AQ$1388:AQ2007,"D")</f>
        <v>13641.507142857021</v>
      </c>
      <c r="BP2006" s="343">
        <f>SUMIFS($AS$1388:AS2711,$AO$1388:AO2711,"W")</f>
        <v>0</v>
      </c>
      <c r="BQ2006" s="343">
        <f>SUMIFS($AU$1388:AU2007,$Q$1388:Q2007,"O")</f>
        <v>1417.2599999999034</v>
      </c>
      <c r="BR2006" s="343">
        <f>SUMIFS($AU$1388:AU2007,$AA$1388:AA2007,"*")</f>
        <v>43221.436363636036</v>
      </c>
      <c r="BS2006" s="343">
        <f>SUMIFS($AU$1388:AU2007,$AB$1388:AB2007,"*")</f>
        <v>10383.860000000041</v>
      </c>
      <c r="BT2006" s="343">
        <f>SUMIFS($AU$1388:AU2007,$AC$1388:AC2007,"*")</f>
        <v>31682.093506493675</v>
      </c>
      <c r="BU2006" s="343">
        <f>SUMIFS($AU$1388:AU2007,$AA$1388:AA2007,"*",$AB$1388:AB2007,"*")</f>
        <v>5423.9999999998217</v>
      </c>
      <c r="BV2006" s="343">
        <f>SUMIFS($AU$1388:AU2007,$AA$1388:AA2007,"*",$AC$1388:AC2007,"*")</f>
        <v>19728.036363636533</v>
      </c>
      <c r="BW2006" s="343">
        <f>SUMIFS($AU$1388:AU2007,$AB$1388:AB2007,"*",$AC$1388:AC2007,"*")</f>
        <v>7119.9999999999982</v>
      </c>
      <c r="BX2006" s="343">
        <f>SUMIFS($AV$1388:AV2007,$Q$1388:Q2007,"F")</f>
        <v>418.22475235412151</v>
      </c>
      <c r="BY2006" s="343">
        <f>SUMIFS($AV$1388:AV2007,$Q$1388:Q2007,"S")</f>
        <v>784.03991333429894</v>
      </c>
      <c r="BZ2006" s="343">
        <f>SUMIFS($AV$1388:AV2007,$Q$1388:Q2007,"O")</f>
        <v>612.95929999974919</v>
      </c>
    </row>
    <row r="2007" spans="1:78" ht="15.75" customHeight="1">
      <c r="A2007" s="177" t="s">
        <v>6310</v>
      </c>
      <c r="B2007" s="200">
        <v>45428</v>
      </c>
      <c r="C2007" s="178" t="s">
        <v>2113</v>
      </c>
      <c r="D2007" s="178" t="s">
        <v>93</v>
      </c>
      <c r="E2007" s="227"/>
      <c r="F2007" s="180"/>
      <c r="G2007" s="181" t="s">
        <v>2942</v>
      </c>
      <c r="H2007" s="182"/>
      <c r="I2007" s="182"/>
      <c r="J2007" s="182"/>
      <c r="K2007" s="183"/>
      <c r="L2007" s="182"/>
      <c r="M2007" s="182"/>
      <c r="N2007" s="182"/>
      <c r="O2007" s="183"/>
      <c r="P2007" s="183"/>
      <c r="Q2007" s="183"/>
      <c r="R2007" s="183"/>
      <c r="S2007" s="183"/>
      <c r="T2007" s="183"/>
      <c r="U2007" s="183"/>
      <c r="V2007" s="183"/>
      <c r="W2007" s="183"/>
      <c r="X2007" s="183"/>
      <c r="Y2007" s="184"/>
      <c r="Z2007" s="185"/>
      <c r="AA2007" s="185"/>
      <c r="AB2007" s="185"/>
      <c r="AC2007" s="185"/>
      <c r="AD2007" s="649"/>
      <c r="AE2007" s="182"/>
      <c r="AF2007" s="332"/>
      <c r="AG2007" s="182"/>
      <c r="AH2007" s="182"/>
      <c r="AI2007" s="182"/>
      <c r="AJ2007" s="640"/>
      <c r="AK2007" s="182"/>
      <c r="AL2007" s="496">
        <f t="shared" si="675"/>
        <v>0</v>
      </c>
      <c r="AM2007" s="496">
        <f t="shared" si="670"/>
        <v>0</v>
      </c>
      <c r="AN2007" s="626"/>
      <c r="AO2007" s="182"/>
      <c r="AP2007" s="182"/>
      <c r="AQ2007" s="332" t="str">
        <f>UPPER(RIGHT(Journal_Live[[#This Row],[DURATION ]]))</f>
        <v/>
      </c>
      <c r="AR2007" s="182"/>
      <c r="AS2007" s="189"/>
      <c r="AT2007" s="189"/>
      <c r="AU2007" s="187"/>
      <c r="AV2007" s="190"/>
      <c r="AW2007" s="191"/>
      <c r="AX2007" s="551"/>
      <c r="AY2007" s="551"/>
      <c r="AZ2007" s="551"/>
      <c r="BA2007" s="551"/>
      <c r="BB2007" s="551"/>
      <c r="BC2007" s="551"/>
      <c r="BD2007" s="549"/>
      <c r="BE2007" s="550"/>
      <c r="BF2007" s="549"/>
      <c r="BG2007" s="391">
        <f>SUM($AV$1389:AV2007)</f>
        <v>4063.2239656881757</v>
      </c>
      <c r="BH2007" s="392">
        <f>SUM($AU$1389:AU2007)</f>
        <v>56295.353506493397</v>
      </c>
      <c r="BI2007" s="318">
        <f>SUMIFS($AU$1388:AU2008,$Q$1388:Q2008,"F")</f>
        <v>28242.093506493511</v>
      </c>
      <c r="BJ2007" s="318">
        <f>SUMIFS($AU$1388:AU2008,$Q$1388:Q2008,"S")</f>
        <v>24912</v>
      </c>
      <c r="BK2007" s="343">
        <f>SUMIFS($AU$1388:AU2008,$P$1388:P2008,"W")</f>
        <v>37355.273506493846</v>
      </c>
      <c r="BL2007" s="343">
        <f>SUMIFS($AU$1388:AU2008,$P$1388:P2008,"R")</f>
        <v>18186.00000000012</v>
      </c>
      <c r="BM2007" s="343">
        <f>SUMIFS($AU$1388:AU2008,$AQ$1388:AQ2008,"M")</f>
        <v>9793.3799999992334</v>
      </c>
      <c r="BN2007" s="343">
        <f>SUMIFS($AU$1388:AU2008,$AQ$1388:AQ2008,"H")</f>
        <v>18515.200000000543</v>
      </c>
      <c r="BO2007" s="343">
        <f>SUMIFS($AU$1388:AU2008,$AQ$1388:AQ2008,"D")</f>
        <v>13641.507142857021</v>
      </c>
      <c r="BP2007" s="343">
        <f>SUMIFS($AS$1388:AS2712,$AO$1388:AO2712,"W")</f>
        <v>0</v>
      </c>
      <c r="BQ2007" s="343">
        <f>SUMIFS($AU$1388:AU2008,$Q$1388:Q2008,"O")</f>
        <v>1417.2599999999034</v>
      </c>
      <c r="BR2007" s="343">
        <f>SUMIFS($AU$1388:AU2008,$AA$1388:AA2008,"*")</f>
        <v>43221.436363636036</v>
      </c>
      <c r="BS2007" s="343">
        <f>SUMIFS($AU$1388:AU2008,$AB$1388:AB2008,"*")</f>
        <v>10383.860000000041</v>
      </c>
      <c r="BT2007" s="343">
        <f>SUMIFS($AU$1388:AU2008,$AC$1388:AC2008,"*")</f>
        <v>31682.093506493675</v>
      </c>
      <c r="BU2007" s="343">
        <f>SUMIFS($AU$1388:AU2008,$AA$1388:AA2008,"*",$AB$1388:AB2008,"*")</f>
        <v>5423.9999999998217</v>
      </c>
      <c r="BV2007" s="343">
        <f>SUMIFS($AU$1388:AU2008,$AA$1388:AA2008,"*",$AC$1388:AC2008,"*")</f>
        <v>19728.036363636533</v>
      </c>
      <c r="BW2007" s="343">
        <f>SUMIFS($AU$1388:AU2008,$AB$1388:AB2008,"*",$AC$1388:AC2008,"*")</f>
        <v>7119.9999999999982</v>
      </c>
      <c r="BX2007" s="343">
        <f>SUMIFS($AV$1388:AV2008,$Q$1388:Q2008,"F")</f>
        <v>418.22475235412151</v>
      </c>
      <c r="BY2007" s="343">
        <f>SUMIFS($AV$1388:AV2008,$Q$1388:Q2008,"S")</f>
        <v>784.03991333429894</v>
      </c>
      <c r="BZ2007" s="343">
        <f>SUMIFS($AV$1388:AV2008,$Q$1388:Q2008,"O")</f>
        <v>612.95929999974919</v>
      </c>
    </row>
    <row r="2008" spans="1:78" ht="15.75" customHeight="1">
      <c r="A2008" s="177" t="s">
        <v>6310</v>
      </c>
      <c r="B2008" s="200">
        <v>45428</v>
      </c>
      <c r="C2008" s="178" t="s">
        <v>2113</v>
      </c>
      <c r="D2008" s="178" t="s">
        <v>93</v>
      </c>
      <c r="E2008" s="227"/>
      <c r="F2008" s="180"/>
      <c r="G2008" s="181" t="s">
        <v>4147</v>
      </c>
      <c r="H2008" s="182"/>
      <c r="I2008" s="182"/>
      <c r="J2008" s="182"/>
      <c r="K2008" s="183"/>
      <c r="L2008" s="182"/>
      <c r="M2008" s="182"/>
      <c r="N2008" s="182"/>
      <c r="O2008" s="183"/>
      <c r="P2008" s="183"/>
      <c r="Q2008" s="183"/>
      <c r="R2008" s="183"/>
      <c r="S2008" s="183"/>
      <c r="T2008" s="183"/>
      <c r="U2008" s="183"/>
      <c r="V2008" s="183"/>
      <c r="W2008" s="183"/>
      <c r="X2008" s="183"/>
      <c r="Y2008" s="184"/>
      <c r="Z2008" s="185"/>
      <c r="AA2008" s="185"/>
      <c r="AB2008" s="185"/>
      <c r="AC2008" s="185"/>
      <c r="AD2008" s="649"/>
      <c r="AE2008" s="182"/>
      <c r="AF2008" s="332"/>
      <c r="AG2008" s="182"/>
      <c r="AH2008" s="182"/>
      <c r="AI2008" s="182"/>
      <c r="AJ2008" s="640"/>
      <c r="AK2008" s="182"/>
      <c r="AL2008" s="496">
        <f t="shared" si="672"/>
        <v>0</v>
      </c>
      <c r="AM2008" s="496">
        <f t="shared" si="670"/>
        <v>0</v>
      </c>
      <c r="AN2008" s="626"/>
      <c r="AO2008" s="182"/>
      <c r="AP2008" s="182"/>
      <c r="AQ2008" s="332" t="str">
        <f>UPPER(RIGHT(Journal_Live[[#This Row],[DURATION ]]))</f>
        <v/>
      </c>
      <c r="AR2008" s="182"/>
      <c r="AS2008" s="189"/>
      <c r="AT2008" s="189"/>
      <c r="AU2008" s="187"/>
      <c r="AV2008" s="190"/>
      <c r="AW2008" s="191"/>
      <c r="AX2008" s="551"/>
      <c r="AY2008" s="551"/>
      <c r="AZ2008" s="551"/>
      <c r="BA2008" s="551"/>
      <c r="BB2008" s="551"/>
      <c r="BC2008" s="551"/>
      <c r="BD2008" s="549"/>
      <c r="BE2008" s="550"/>
      <c r="BF2008" s="549"/>
      <c r="BG2008" s="391">
        <f>SUM($AV$1389:AV2008)</f>
        <v>4063.2239656881757</v>
      </c>
      <c r="BH2008" s="392">
        <f>SUM($AU$1389:AU2008)</f>
        <v>56295.353506493397</v>
      </c>
      <c r="BI2008" s="318">
        <f>SUMIFS($AU$1388:AU2013,$Q$1388:Q2013,"F")</f>
        <v>28242.093506493511</v>
      </c>
      <c r="BJ2008" s="318">
        <f>SUMIFS($AU$1388:AU2013,$Q$1388:Q2013,"S")</f>
        <v>24912</v>
      </c>
      <c r="BK2008" s="343">
        <f>SUMIFS($AU$1388:AU2013,$P$1388:P2013,"W")</f>
        <v>37355.273506493846</v>
      </c>
      <c r="BL2008" s="343">
        <f>SUMIFS($AU$1388:AU2013,$P$1388:P2013,"R")</f>
        <v>18186.00000000012</v>
      </c>
      <c r="BM2008" s="343">
        <f>SUMIFS($AU$1388:AU2013,$AQ$1388:AQ2013,"M")</f>
        <v>9793.3799999992334</v>
      </c>
      <c r="BN2008" s="343">
        <f>SUMIFS($AU$1388:AU2013,$AQ$1388:AQ2013,"H")</f>
        <v>18515.200000000543</v>
      </c>
      <c r="BO2008" s="343">
        <f>SUMIFS($AU$1388:AU2013,$AQ$1388:AQ2013,"D")</f>
        <v>13641.507142857021</v>
      </c>
      <c r="BP2008" s="343">
        <f>SUMIFS($AS$1388:AS2713,$AO$1388:AO2713,"W")</f>
        <v>0</v>
      </c>
      <c r="BQ2008" s="343">
        <f>SUMIFS($AU$1388:AU2013,$Q$1388:Q2013,"O")</f>
        <v>1417.2599999999034</v>
      </c>
      <c r="BR2008" s="343">
        <f>SUMIFS($AU$1388:AU2013,$AA$1388:AA2013,"*")</f>
        <v>43221.436363636036</v>
      </c>
      <c r="BS2008" s="343">
        <f>SUMIFS($AU$1388:AU2013,$AB$1388:AB2013,"*")</f>
        <v>10383.860000000041</v>
      </c>
      <c r="BT2008" s="343">
        <f>SUMIFS($AU$1388:AU2013,$AC$1388:AC2013,"*")</f>
        <v>31682.093506493675</v>
      </c>
      <c r="BU2008" s="343">
        <f>SUMIFS($AU$1388:AU2013,$AA$1388:AA2013,"*",$AB$1388:AB2013,"*")</f>
        <v>5423.9999999998217</v>
      </c>
      <c r="BV2008" s="343">
        <f>SUMIFS($AU$1388:AU2013,$AA$1388:AA2013,"*",$AC$1388:AC2013,"*")</f>
        <v>19728.036363636533</v>
      </c>
      <c r="BW2008" s="343">
        <f>SUMIFS($AU$1388:AU2013,$AB$1388:AB2013,"*",$AC$1388:AC2013,"*")</f>
        <v>7119.9999999999982</v>
      </c>
      <c r="BX2008" s="343">
        <f>SUMIFS($AV$1388:AV2013,$Q$1388:Q2013,"F")</f>
        <v>418.22475235412151</v>
      </c>
      <c r="BY2008" s="343">
        <f>SUMIFS($AV$1388:AV2013,$Q$1388:Q2013,"S")</f>
        <v>784.03991333429894</v>
      </c>
      <c r="BZ2008" s="343">
        <f>SUMIFS($AV$1388:AV2013,$Q$1388:Q2013,"O")</f>
        <v>612.95929999974919</v>
      </c>
    </row>
    <row r="2009" spans="1:78" ht="15.75" customHeight="1">
      <c r="A2009" s="177" t="s">
        <v>6310</v>
      </c>
      <c r="B2009" s="200">
        <v>45428</v>
      </c>
      <c r="C2009" s="178" t="s">
        <v>277</v>
      </c>
      <c r="D2009" s="178" t="s">
        <v>93</v>
      </c>
      <c r="E2009" s="227"/>
      <c r="F2009" s="180"/>
      <c r="G2009" s="181" t="s">
        <v>6466</v>
      </c>
      <c r="H2009" s="182"/>
      <c r="I2009" s="182"/>
      <c r="J2009" s="182"/>
      <c r="K2009" s="183"/>
      <c r="L2009" s="182"/>
      <c r="M2009" s="182">
        <v>1</v>
      </c>
      <c r="N2009" s="182"/>
      <c r="O2009" s="183" t="s">
        <v>95</v>
      </c>
      <c r="P2009" s="183" t="s">
        <v>137</v>
      </c>
      <c r="Q2009" s="183" t="s">
        <v>684</v>
      </c>
      <c r="R2009" s="183">
        <v>30</v>
      </c>
      <c r="S2009" s="183">
        <v>0</v>
      </c>
      <c r="T2009" s="183">
        <v>30</v>
      </c>
      <c r="U2009" s="183" t="s">
        <v>22</v>
      </c>
      <c r="V2009" s="183"/>
      <c r="W2009" s="183"/>
      <c r="X2009" s="183"/>
      <c r="Y2009" s="184">
        <f>IF(ISBLANK(O2009),"",(IF(O2009=UPPER("IB"),0.005,0.01)))</f>
        <v>0.01</v>
      </c>
      <c r="Z2009" s="185">
        <f>IF(ISBLANK(O2009),"",IF(O2009="IB",8.63*200,IF(O2009="IR",16*100,IF(O2009="YT",20*100,IF(O2009="YT-XT",24*200,IF(O2009="TED",80*100,IF(O2009="XT",29*200)))))))</f>
        <v>1600</v>
      </c>
      <c r="AA2009" s="185" t="s">
        <v>6467</v>
      </c>
      <c r="AB2009" s="185"/>
      <c r="AC2009" s="185"/>
      <c r="AD2009" s="649">
        <v>96.13</v>
      </c>
      <c r="AE2009" s="182"/>
      <c r="AF2009" s="332"/>
      <c r="AG2009" s="182"/>
      <c r="AH2009" s="182"/>
      <c r="AI2009" s="182"/>
      <c r="AJ2009" s="640"/>
      <c r="AK2009" s="182"/>
      <c r="AL2009" s="496">
        <f t="shared" si="672"/>
        <v>-32</v>
      </c>
      <c r="AM2009" s="496">
        <f t="shared" si="670"/>
        <v>-960</v>
      </c>
      <c r="AN2009" s="626"/>
      <c r="AO2009" s="182"/>
      <c r="AP2009" s="182" t="s">
        <v>942</v>
      </c>
      <c r="AQ2009" s="332" t="s">
        <v>372</v>
      </c>
      <c r="AR2009" s="182"/>
      <c r="AS2009" s="189">
        <v>96.13</v>
      </c>
      <c r="AT2009" s="189">
        <f>IF(ISBLANK(AS2009),,IF(U2009="S",AD2009-AS2009,AS2009-AD2009))</f>
        <v>0</v>
      </c>
      <c r="AU2009" s="187">
        <f>AV2009*R2009</f>
        <v>0</v>
      </c>
      <c r="AV2009" s="190">
        <f t="shared" si="677"/>
        <v>0</v>
      </c>
      <c r="AW2009" s="191" t="s">
        <v>115</v>
      </c>
      <c r="AX2009" s="551"/>
      <c r="AY2009" s="551"/>
      <c r="AZ2009" s="551"/>
      <c r="BA2009" s="551"/>
      <c r="BB2009" s="551"/>
      <c r="BC2009" s="551"/>
      <c r="BD2009" s="549"/>
      <c r="BE2009" s="550"/>
      <c r="BF2009" s="549"/>
      <c r="BG2009" s="391">
        <f>SUM($AV$1389:AV2009)</f>
        <v>4063.2239656881757</v>
      </c>
      <c r="BH2009" s="392">
        <f>SUM($AU$1389:AU2009)</f>
        <v>56295.353506493397</v>
      </c>
      <c r="BI2009" s="318">
        <f>SUMIFS($AU$1388:AU2010,$Q$1388:Q2010,"F")</f>
        <v>28242.093506493511</v>
      </c>
      <c r="BJ2009" s="318">
        <f>SUMIFS($AU$1388:AU2010,$Q$1388:Q2010,"S")</f>
        <v>24912</v>
      </c>
      <c r="BK2009" s="343">
        <f>SUMIFS($AU$1388:AU2010,$P$1388:P2010,"W")</f>
        <v>37355.273506493846</v>
      </c>
      <c r="BL2009" s="343">
        <f>SUMIFS($AU$1388:AU2010,$P$1388:P2010,"R")</f>
        <v>18186.00000000012</v>
      </c>
      <c r="BM2009" s="343">
        <f>SUMIFS($AU$1388:AU2010,$AQ$1388:AQ2010,"M")</f>
        <v>9793.3799999992334</v>
      </c>
      <c r="BN2009" s="343">
        <f>SUMIFS($AU$1388:AU2010,$AQ$1388:AQ2010,"H")</f>
        <v>18515.200000000543</v>
      </c>
      <c r="BO2009" s="343">
        <f>SUMIFS($AU$1388:AU2010,$AQ$1388:AQ2010,"D")</f>
        <v>13641.507142857021</v>
      </c>
      <c r="BP2009" s="343">
        <f>SUMIFS($AS$1388:AS2710,$AO$1388:AO2710,"W")</f>
        <v>0</v>
      </c>
      <c r="BQ2009" s="343">
        <f>SUMIFS($AU$1388:AU2010,$Q$1388:Q2010,"O")</f>
        <v>1417.2599999999034</v>
      </c>
      <c r="BR2009" s="343">
        <f>SUMIFS($AU$1388:AU2010,$AA$1388:AA2010,"*")</f>
        <v>43221.436363636036</v>
      </c>
      <c r="BS2009" s="343">
        <f>SUMIFS($AU$1388:AU2010,$AB$1388:AB2010,"*")</f>
        <v>10383.860000000041</v>
      </c>
      <c r="BT2009" s="343">
        <f>SUMIFS($AU$1388:AU2010,$AC$1388:AC2010,"*")</f>
        <v>31682.093506493675</v>
      </c>
      <c r="BU2009" s="343">
        <f>SUMIFS($AU$1388:AU2010,$AA$1388:AA2010,"*",$AB$1388:AB2010,"*")</f>
        <v>5423.9999999998217</v>
      </c>
      <c r="BV2009" s="343">
        <f>SUMIFS($AU$1388:AU2010,$AA$1388:AA2010,"*",$AC$1388:AC2010,"*")</f>
        <v>19728.036363636533</v>
      </c>
      <c r="BW2009" s="343">
        <f>SUMIFS($AU$1388:AU2010,$AB$1388:AB2010,"*",$AC$1388:AC2010,"*")</f>
        <v>7119.9999999999982</v>
      </c>
      <c r="BX2009" s="343">
        <f>SUMIFS($AV$1388:AV2010,$Q$1388:Q2010,"F")</f>
        <v>418.22475235412151</v>
      </c>
      <c r="BY2009" s="343">
        <f>SUMIFS($AV$1388:AV2010,$Q$1388:Q2010,"S")</f>
        <v>784.03991333429894</v>
      </c>
      <c r="BZ2009" s="343">
        <f>SUMIFS($AV$1388:AV2010,$Q$1388:Q2010,"O")</f>
        <v>612.95929999974919</v>
      </c>
    </row>
    <row r="2010" spans="1:78" ht="15.75" customHeight="1">
      <c r="A2010" s="177" t="s">
        <v>6310</v>
      </c>
      <c r="B2010" s="200"/>
      <c r="C2010" s="178"/>
      <c r="D2010" s="178"/>
      <c r="E2010" s="227"/>
      <c r="F2010" s="180"/>
      <c r="G2010" s="181"/>
      <c r="H2010" s="182"/>
      <c r="I2010" s="182"/>
      <c r="J2010" s="182"/>
      <c r="K2010" s="183"/>
      <c r="L2010" s="182"/>
      <c r="M2010" s="182"/>
      <c r="N2010" s="182"/>
      <c r="O2010" s="183"/>
      <c r="P2010" s="183"/>
      <c r="Q2010" s="183"/>
      <c r="R2010" s="183"/>
      <c r="S2010" s="183"/>
      <c r="T2010" s="183"/>
      <c r="U2010" s="183"/>
      <c r="V2010" s="183"/>
      <c r="W2010" s="183"/>
      <c r="X2010" s="183"/>
      <c r="Y2010" s="183"/>
      <c r="Z2010" s="183"/>
      <c r="AA2010" s="185"/>
      <c r="AB2010" s="185"/>
      <c r="AC2010" s="185"/>
      <c r="AD2010" s="649"/>
      <c r="AE2010" s="182"/>
      <c r="AF2010" s="332"/>
      <c r="AG2010" s="182"/>
      <c r="AH2010" s="182"/>
      <c r="AI2010" s="182"/>
      <c r="AJ2010" s="640"/>
      <c r="AK2010" s="182"/>
      <c r="AL2010" s="496">
        <f t="shared" si="672"/>
        <v>0</v>
      </c>
      <c r="AM2010" s="496">
        <f t="shared" si="670"/>
        <v>0</v>
      </c>
      <c r="AN2010" s="626"/>
      <c r="AO2010" s="182"/>
      <c r="AP2010" s="182"/>
      <c r="AQ2010" s="332" t="str">
        <f>UPPER(RIGHT(Journal_Live[[#This Row],[DURATION ]]))</f>
        <v/>
      </c>
      <c r="AR2010" s="182"/>
      <c r="AS2010" s="189"/>
      <c r="AT2010" s="189"/>
      <c r="AU2010" s="187"/>
      <c r="AV2010" s="190"/>
      <c r="AW2010" s="191"/>
      <c r="AX2010" s="551" t="s">
        <v>987</v>
      </c>
      <c r="AY2010" s="549" t="s">
        <v>6468</v>
      </c>
      <c r="AZ2010" s="549" t="s">
        <v>6469</v>
      </c>
      <c r="BA2010" s="551"/>
      <c r="BB2010" s="551"/>
      <c r="BC2010" s="551"/>
      <c r="BD2010" s="549"/>
      <c r="BE2010" s="550"/>
      <c r="BF2010" s="549"/>
      <c r="BG2010" s="391">
        <f>SUM($AV$1389:AV2010)</f>
        <v>4063.2239656881757</v>
      </c>
      <c r="BH2010" s="392">
        <f>SUM($AU$1389:AU2010)</f>
        <v>56295.353506493397</v>
      </c>
      <c r="BI2010" s="318">
        <f>SUMIFS($AU$1388:AU2011,$Q$1388:Q2011,"F")</f>
        <v>28242.093506493511</v>
      </c>
      <c r="BJ2010" s="318">
        <f>SUMIFS($AU$1388:AU2011,$Q$1388:Q2011,"S")</f>
        <v>24912</v>
      </c>
      <c r="BK2010" s="343">
        <f>SUMIFS($AU$1388:AU2011,$P$1388:P2011,"W")</f>
        <v>37355.273506493846</v>
      </c>
      <c r="BL2010" s="343">
        <f>SUMIFS($AU$1388:AU2011,$P$1388:P2011,"R")</f>
        <v>18186.00000000012</v>
      </c>
      <c r="BM2010" s="343">
        <f>SUMIFS($AU$1388:AU2011,$AQ$1388:AQ2011,"M")</f>
        <v>9793.3799999992334</v>
      </c>
      <c r="BN2010" s="343">
        <f>SUMIFS($AU$1388:AU2011,$AQ$1388:AQ2011,"H")</f>
        <v>18515.200000000543</v>
      </c>
      <c r="BO2010" s="343">
        <f>SUMIFS($AU$1388:AU2011,$AQ$1388:AQ2011,"D")</f>
        <v>13641.507142857021</v>
      </c>
      <c r="BP2010" s="343">
        <f>SUMIFS($AS$1388:AS2711,$AO$1388:AO2711,"W")</f>
        <v>0</v>
      </c>
      <c r="BQ2010" s="343">
        <f>SUMIFS($AU$1388:AU2011,$Q$1388:Q2011,"O")</f>
        <v>1417.2599999999034</v>
      </c>
      <c r="BR2010" s="343">
        <f>SUMIFS($AU$1388:AU2011,$AA$1388:AA2011,"*")</f>
        <v>43221.436363636036</v>
      </c>
      <c r="BS2010" s="343">
        <f>SUMIFS($AU$1388:AU2011,$AB$1388:AB2011,"*")</f>
        <v>10383.860000000041</v>
      </c>
      <c r="BT2010" s="343">
        <f>SUMIFS($AU$1388:AU2011,$AC$1388:AC2011,"*")</f>
        <v>31682.093506493675</v>
      </c>
      <c r="BU2010" s="343">
        <f>SUMIFS($AU$1388:AU2011,$AA$1388:AA2011,"*",$AB$1388:AB2011,"*")</f>
        <v>5423.9999999998217</v>
      </c>
      <c r="BV2010" s="343">
        <f>SUMIFS($AU$1388:AU2011,$AA$1388:AA2011,"*",$AC$1388:AC2011,"*")</f>
        <v>19728.036363636533</v>
      </c>
      <c r="BW2010" s="343">
        <f>SUMIFS($AU$1388:AU2011,$AB$1388:AB2011,"*",$AC$1388:AC2011,"*")</f>
        <v>7119.9999999999982</v>
      </c>
      <c r="BX2010" s="343">
        <f>SUMIFS($AV$1388:AV2011,$Q$1388:Q2011,"F")</f>
        <v>418.22475235412151</v>
      </c>
      <c r="BY2010" s="343">
        <f>SUMIFS($AV$1388:AV2011,$Q$1388:Q2011,"S")</f>
        <v>784.03991333429894</v>
      </c>
      <c r="BZ2010" s="343">
        <f>SUMIFS($AV$1388:AV2011,$Q$1388:Q2011,"O")</f>
        <v>612.95929999974919</v>
      </c>
    </row>
    <row r="2011" spans="1:78" ht="15.75" customHeight="1">
      <c r="A2011" s="177" t="s">
        <v>6310</v>
      </c>
      <c r="B2011" s="200">
        <v>45429</v>
      </c>
      <c r="C2011" s="178" t="s">
        <v>2938</v>
      </c>
      <c r="D2011" s="178" t="s">
        <v>111</v>
      </c>
      <c r="E2011" s="227"/>
      <c r="F2011" s="180"/>
      <c r="G2011" s="481" t="s">
        <v>5282</v>
      </c>
      <c r="H2011" s="182"/>
      <c r="I2011" s="182"/>
      <c r="J2011" s="182"/>
      <c r="K2011" s="183"/>
      <c r="L2011" s="182">
        <v>1</v>
      </c>
      <c r="M2011" s="182">
        <v>1</v>
      </c>
      <c r="N2011" s="182"/>
      <c r="O2011" s="183" t="s">
        <v>95</v>
      </c>
      <c r="P2011" s="183" t="s">
        <v>96</v>
      </c>
      <c r="Q2011" s="183" t="s">
        <v>97</v>
      </c>
      <c r="R2011" s="183">
        <v>75</v>
      </c>
      <c r="S2011" s="183">
        <v>0</v>
      </c>
      <c r="T2011" s="183">
        <v>75</v>
      </c>
      <c r="U2011" s="183" t="s">
        <v>97</v>
      </c>
      <c r="V2011" s="183"/>
      <c r="W2011" s="183"/>
      <c r="X2011" s="183"/>
      <c r="Y2011" s="184">
        <f>IF(ISBLANK(O2011),"",(IF(O2011=UPPER("IB"),0.005,0.01)))</f>
        <v>0.01</v>
      </c>
      <c r="Z2011" s="185">
        <f>IF(ISBLANK(O2011),"",IF(O2011="IB",8.63*200,IF(O2011="IR",16*100,IF(O2011="YT",20*100,IF(O2011="YT-XT",24*200,IF(O2011="TED",80*100,IF(O2011="XT",29*200)))))))</f>
        <v>1600</v>
      </c>
      <c r="AA2011" s="185" t="s">
        <v>6470</v>
      </c>
      <c r="AB2011" s="185"/>
      <c r="AC2011" s="185"/>
      <c r="AD2011" s="649">
        <v>-0.2</v>
      </c>
      <c r="AE2011" s="182"/>
      <c r="AF2011" s="332"/>
      <c r="AG2011" s="182"/>
      <c r="AH2011" s="182" t="s">
        <v>6471</v>
      </c>
      <c r="AI2011" s="182"/>
      <c r="AJ2011" s="640"/>
      <c r="AK2011" s="182"/>
      <c r="AL2011" s="496">
        <f t="shared" si="672"/>
        <v>-32</v>
      </c>
      <c r="AM2011" s="496">
        <f t="shared" si="670"/>
        <v>-2400</v>
      </c>
      <c r="AN2011" s="626" t="s">
        <v>925</v>
      </c>
      <c r="AO2011" s="182"/>
      <c r="AP2011" s="182"/>
      <c r="AQ2011" s="332" t="s">
        <v>115</v>
      </c>
      <c r="AR2011" s="182"/>
      <c r="AS2011" s="189">
        <v>-0.2</v>
      </c>
      <c r="AT2011" s="189">
        <f>IF(ISBLANK(AS2011),,IF(U2011="S",AD2011-AS2011,AS2011-AD2011))</f>
        <v>0</v>
      </c>
      <c r="AU2011" s="187">
        <f>AV2011*R2011</f>
        <v>0</v>
      </c>
      <c r="AV2011" s="190">
        <f t="shared" ref="AV2011:AV2018" si="678">IF(ISBLANK(AS2011),,(AT2011*Z2011))</f>
        <v>0</v>
      </c>
      <c r="AW2011" s="191" t="s">
        <v>115</v>
      </c>
      <c r="AX2011" s="551"/>
      <c r="AY2011" s="551"/>
      <c r="AZ2011" s="551"/>
      <c r="BA2011" s="551"/>
      <c r="BB2011" s="551"/>
      <c r="BC2011" s="551"/>
      <c r="BD2011" s="549"/>
      <c r="BE2011" s="550"/>
      <c r="BF2011" s="549"/>
      <c r="BG2011" s="391">
        <f>SUM($AV$1389:AV2011)</f>
        <v>4063.2239656881757</v>
      </c>
      <c r="BH2011" s="392">
        <f>SUM($AU$1389:AU2011)</f>
        <v>56295.353506493397</v>
      </c>
      <c r="BI2011" s="318">
        <f>SUMIFS($AU$1388:AU2012,$Q$1388:Q2012,"F")</f>
        <v>28242.093506493511</v>
      </c>
      <c r="BJ2011" s="318">
        <f>SUMIFS($AU$1388:AU2012,$Q$1388:Q2012,"S")</f>
        <v>24912</v>
      </c>
      <c r="BK2011" s="343">
        <f>SUMIFS($AU$1388:AU2012,$P$1388:P2012,"W")</f>
        <v>37355.273506493846</v>
      </c>
      <c r="BL2011" s="343">
        <f>SUMIFS($AU$1388:AU2012,$P$1388:P2012,"R")</f>
        <v>18186.00000000012</v>
      </c>
      <c r="BM2011" s="343">
        <f>SUMIFS($AU$1388:AU2012,$AQ$1388:AQ2012,"M")</f>
        <v>9793.3799999992334</v>
      </c>
      <c r="BN2011" s="343">
        <f>SUMIFS($AU$1388:AU2012,$AQ$1388:AQ2012,"H")</f>
        <v>18515.200000000543</v>
      </c>
      <c r="BO2011" s="343">
        <f>SUMIFS($AU$1388:AU2012,$AQ$1388:AQ2012,"D")</f>
        <v>13641.507142857021</v>
      </c>
      <c r="BP2011" s="343">
        <f>SUMIFS($AS$1388:AS2712,$AO$1388:AO2712,"W")</f>
        <v>0</v>
      </c>
      <c r="BQ2011" s="343">
        <f>SUMIFS($AU$1388:AU2012,$Q$1388:Q2012,"O")</f>
        <v>1417.2599999999034</v>
      </c>
      <c r="BR2011" s="343">
        <f>SUMIFS($AU$1388:AU2012,$AA$1388:AA2012,"*")</f>
        <v>43221.436363636036</v>
      </c>
      <c r="BS2011" s="343">
        <f>SUMIFS($AU$1388:AU2012,$AB$1388:AB2012,"*")</f>
        <v>10383.860000000041</v>
      </c>
      <c r="BT2011" s="343">
        <f>SUMIFS($AU$1388:AU2012,$AC$1388:AC2012,"*")</f>
        <v>31682.093506493675</v>
      </c>
      <c r="BU2011" s="343">
        <f>SUMIFS($AU$1388:AU2012,$AA$1388:AA2012,"*",$AB$1388:AB2012,"*")</f>
        <v>5423.9999999998217</v>
      </c>
      <c r="BV2011" s="343">
        <f>SUMIFS($AU$1388:AU2012,$AA$1388:AA2012,"*",$AC$1388:AC2012,"*")</f>
        <v>19728.036363636533</v>
      </c>
      <c r="BW2011" s="343">
        <f>SUMIFS($AU$1388:AU2012,$AB$1388:AB2012,"*",$AC$1388:AC2012,"*")</f>
        <v>7119.9999999999982</v>
      </c>
      <c r="BX2011" s="343">
        <f>SUMIFS($AV$1388:AV2012,$Q$1388:Q2012,"F")</f>
        <v>418.22475235412151</v>
      </c>
      <c r="BY2011" s="343">
        <f>SUMIFS($AV$1388:AV2012,$Q$1388:Q2012,"S")</f>
        <v>784.03991333429894</v>
      </c>
      <c r="BZ2011" s="343">
        <f>SUMIFS($AV$1388:AV2012,$Q$1388:Q2012,"O")</f>
        <v>612.95929999974919</v>
      </c>
    </row>
    <row r="2012" spans="1:78" ht="15.75" customHeight="1">
      <c r="A2012" s="177" t="s">
        <v>6310</v>
      </c>
      <c r="B2012" s="200">
        <v>45429</v>
      </c>
      <c r="C2012" s="178" t="s">
        <v>6472</v>
      </c>
      <c r="D2012" s="178" t="s">
        <v>111</v>
      </c>
      <c r="E2012" s="227"/>
      <c r="F2012" s="180"/>
      <c r="G2012" s="481" t="s">
        <v>5098</v>
      </c>
      <c r="H2012" s="182"/>
      <c r="I2012" s="182"/>
      <c r="J2012" s="182"/>
      <c r="K2012" s="183"/>
      <c r="L2012" s="182">
        <v>1</v>
      </c>
      <c r="M2012" s="182">
        <v>1</v>
      </c>
      <c r="N2012" s="182"/>
      <c r="O2012" s="183" t="s">
        <v>95</v>
      </c>
      <c r="P2012" s="183" t="s">
        <v>96</v>
      </c>
      <c r="Q2012" s="183" t="s">
        <v>97</v>
      </c>
      <c r="R2012" s="183">
        <v>75</v>
      </c>
      <c r="S2012" s="183">
        <v>0</v>
      </c>
      <c r="T2012" s="183">
        <v>75</v>
      </c>
      <c r="U2012" s="183" t="s">
        <v>97</v>
      </c>
      <c r="V2012" s="183"/>
      <c r="W2012" s="183"/>
      <c r="X2012" s="183"/>
      <c r="Y2012" s="184">
        <f>IF(ISBLANK(O2012),"",(IF(O2012=UPPER("IB"),0.005,0.01)))</f>
        <v>0.01</v>
      </c>
      <c r="Z2012" s="185">
        <f>IF(ISBLANK(O2012),"",IF(O2012="IB",8.63*200,IF(O2012="IR",16*100,IF(O2012="YT",20*100,IF(O2012="YT-XT",24*200,IF(O2012="TED",80*100,IF(O2012="XT",29*200)))))))</f>
        <v>1600</v>
      </c>
      <c r="AA2012" s="185" t="s">
        <v>6470</v>
      </c>
      <c r="AB2012" s="185"/>
      <c r="AC2012" s="185" t="s">
        <v>6473</v>
      </c>
      <c r="AD2012" s="649">
        <v>-0.15</v>
      </c>
      <c r="AE2012" s="182"/>
      <c r="AF2012" s="332"/>
      <c r="AG2012" s="182"/>
      <c r="AH2012" s="182" t="s">
        <v>6474</v>
      </c>
      <c r="AI2012" s="182"/>
      <c r="AJ2012" s="640"/>
      <c r="AK2012" s="182"/>
      <c r="AL2012" s="496">
        <f t="shared" si="672"/>
        <v>-32</v>
      </c>
      <c r="AM2012" s="496">
        <f t="shared" si="670"/>
        <v>-2400</v>
      </c>
      <c r="AN2012" s="626" t="s">
        <v>925</v>
      </c>
      <c r="AO2012" s="182"/>
      <c r="AP2012" s="182"/>
      <c r="AQ2012" s="332" t="s">
        <v>115</v>
      </c>
      <c r="AR2012" s="182"/>
      <c r="AS2012" s="189">
        <v>-0.15</v>
      </c>
      <c r="AT2012" s="189">
        <f>IF(ISBLANK(AS2012),,IF(U2012="S",AD2012-AS2012,AS2012-AD2012))</f>
        <v>0</v>
      </c>
      <c r="AU2012" s="187">
        <f>AV2012*R2012</f>
        <v>0</v>
      </c>
      <c r="AV2012" s="190">
        <f t="shared" si="678"/>
        <v>0</v>
      </c>
      <c r="AW2012" s="191" t="s">
        <v>115</v>
      </c>
      <c r="AX2012" s="551" t="s">
        <v>6475</v>
      </c>
      <c r="AY2012" s="551"/>
      <c r="AZ2012" s="551"/>
      <c r="BA2012" s="551"/>
      <c r="BB2012" s="551"/>
      <c r="BC2012" s="551"/>
      <c r="BD2012" s="549"/>
      <c r="BE2012" s="550"/>
      <c r="BF2012" s="549"/>
      <c r="BG2012" s="391">
        <f>SUM($AV$1389:AV2012)</f>
        <v>4063.2239656881757</v>
      </c>
      <c r="BH2012" s="392">
        <f>SUM($AU$1389:AU2012)</f>
        <v>56295.353506493397</v>
      </c>
      <c r="BI2012" s="318">
        <f>SUMIFS($AU$1388:AU2013,$Q$1388:Q2013,"F")</f>
        <v>28242.093506493511</v>
      </c>
      <c r="BJ2012" s="318">
        <f>SUMIFS($AU$1388:AU2013,$Q$1388:Q2013,"S")</f>
        <v>24912</v>
      </c>
      <c r="BK2012" s="343">
        <f>SUMIFS($AU$1388:AU2013,$P$1388:P2013,"W")</f>
        <v>37355.273506493846</v>
      </c>
      <c r="BL2012" s="343">
        <f>SUMIFS($AU$1388:AU2013,$P$1388:P2013,"R")</f>
        <v>18186.00000000012</v>
      </c>
      <c r="BM2012" s="343">
        <f>SUMIFS($AU$1388:AU2013,$AQ$1388:AQ2013,"M")</f>
        <v>9793.3799999992334</v>
      </c>
      <c r="BN2012" s="343">
        <f>SUMIFS($AU$1388:AU2013,$AQ$1388:AQ2013,"H")</f>
        <v>18515.200000000543</v>
      </c>
      <c r="BO2012" s="343">
        <f>SUMIFS($AU$1388:AU2013,$AQ$1388:AQ2013,"D")</f>
        <v>13641.507142857021</v>
      </c>
      <c r="BP2012" s="343">
        <f>SUMIFS($AS$1388:AS2713,$AO$1388:AO2713,"W")</f>
        <v>0</v>
      </c>
      <c r="BQ2012" s="343">
        <f>SUMIFS($AU$1388:AU2013,$Q$1388:Q2013,"O")</f>
        <v>1417.2599999999034</v>
      </c>
      <c r="BR2012" s="343">
        <f>SUMIFS($AU$1388:AU2013,$AA$1388:AA2013,"*")</f>
        <v>43221.436363636036</v>
      </c>
      <c r="BS2012" s="343">
        <f>SUMIFS($AU$1388:AU2013,$AB$1388:AB2013,"*")</f>
        <v>10383.860000000041</v>
      </c>
      <c r="BT2012" s="343">
        <f>SUMIFS($AU$1388:AU2013,$AC$1388:AC2013,"*")</f>
        <v>31682.093506493675</v>
      </c>
      <c r="BU2012" s="343">
        <f>SUMIFS($AU$1388:AU2013,$AA$1388:AA2013,"*",$AB$1388:AB2013,"*")</f>
        <v>5423.9999999998217</v>
      </c>
      <c r="BV2012" s="343">
        <f>SUMIFS($AU$1388:AU2013,$AA$1388:AA2013,"*",$AC$1388:AC2013,"*")</f>
        <v>19728.036363636533</v>
      </c>
      <c r="BW2012" s="343">
        <f>SUMIFS($AU$1388:AU2013,$AB$1388:AB2013,"*",$AC$1388:AC2013,"*")</f>
        <v>7119.9999999999982</v>
      </c>
      <c r="BX2012" s="343">
        <f>SUMIFS($AV$1388:AV2013,$Q$1388:Q2013,"F")</f>
        <v>418.22475235412151</v>
      </c>
      <c r="BY2012" s="343">
        <f>SUMIFS($AV$1388:AV2013,$Q$1388:Q2013,"S")</f>
        <v>784.03991333429894</v>
      </c>
      <c r="BZ2012" s="343">
        <f>SUMIFS($AV$1388:AV2013,$Q$1388:Q2013,"O")</f>
        <v>612.95929999974919</v>
      </c>
    </row>
    <row r="2013" spans="1:78" ht="15.75" customHeight="1">
      <c r="A2013" s="177" t="s">
        <v>6310</v>
      </c>
      <c r="B2013" s="200"/>
      <c r="C2013" s="178"/>
      <c r="D2013" s="178"/>
      <c r="E2013" s="227"/>
      <c r="F2013" s="180"/>
      <c r="G2013" s="181"/>
      <c r="H2013" s="182"/>
      <c r="I2013" s="182"/>
      <c r="J2013" s="182"/>
      <c r="K2013" s="183"/>
      <c r="L2013" s="182"/>
      <c r="M2013" s="182"/>
      <c r="N2013" s="182"/>
      <c r="O2013" s="183"/>
      <c r="P2013" s="183"/>
      <c r="Q2013" s="183"/>
      <c r="R2013" s="183"/>
      <c r="S2013" s="183"/>
      <c r="T2013" s="183"/>
      <c r="U2013" s="183"/>
      <c r="V2013" s="183"/>
      <c r="W2013" s="183"/>
      <c r="X2013" s="183"/>
      <c r="Y2013" s="184"/>
      <c r="Z2013" s="185"/>
      <c r="AA2013" s="185"/>
      <c r="AB2013" s="185"/>
      <c r="AC2013" s="185"/>
      <c r="AD2013" s="649"/>
      <c r="AE2013" s="182"/>
      <c r="AF2013" s="332"/>
      <c r="AG2013" s="182"/>
      <c r="AH2013" s="182"/>
      <c r="AI2013" s="182"/>
      <c r="AJ2013" s="640"/>
      <c r="AK2013" s="182"/>
      <c r="AL2013" s="496">
        <f t="shared" si="658"/>
        <v>0</v>
      </c>
      <c r="AM2013" s="496">
        <f t="shared" si="670"/>
        <v>0</v>
      </c>
      <c r="AN2013" s="626"/>
      <c r="AO2013" s="182"/>
      <c r="AP2013" s="182"/>
      <c r="AQ2013" s="332" t="str">
        <f>UPPER(RIGHT(Journal_Live[[#This Row],[DURATION ]]))</f>
        <v/>
      </c>
      <c r="AR2013" s="182"/>
      <c r="AS2013" s="189"/>
      <c r="AT2013" s="189"/>
      <c r="AU2013" s="187"/>
      <c r="AV2013" s="190"/>
      <c r="AW2013" s="191"/>
      <c r="AX2013" s="551" t="s">
        <v>6476</v>
      </c>
      <c r="AY2013" s="551" t="s">
        <v>6477</v>
      </c>
      <c r="AZ2013" s="551" t="s">
        <v>5461</v>
      </c>
      <c r="BA2013" s="551"/>
      <c r="BB2013" s="551"/>
      <c r="BC2013" s="551"/>
      <c r="BD2013" s="549"/>
      <c r="BE2013" s="550"/>
      <c r="BF2013" s="549"/>
      <c r="BG2013" s="391">
        <f>SUM($AV$1389:AV2013)</f>
        <v>4063.2239656881757</v>
      </c>
      <c r="BH2013" s="392">
        <f>SUM($AU$1389:AU2013)</f>
        <v>56295.353506493397</v>
      </c>
      <c r="BI2013" s="318">
        <f>SUMIFS($AU$1388:AU2382,$Q$1388:Q2382,"F")</f>
        <v>28758.758121878131</v>
      </c>
      <c r="BJ2013" s="318">
        <f>SUMIFS($AU$1388:AU2382,$Q$1388:Q2382,"S")</f>
        <v>18338.285714285717</v>
      </c>
      <c r="BK2013" s="343">
        <f>SUMIFS($AU$1388:AU2382,$P$1388:P2382,"W")</f>
        <v>16085.423836163443</v>
      </c>
      <c r="BL2013" s="343">
        <f>SUMIFS($AU$1388:AU2382,$P$1388:P2382,"R")</f>
        <v>23278.800000000327</v>
      </c>
      <c r="BM2013" s="343">
        <f>SUMIFS($AU$1388:AU2382,$AQ$1388:AQ2382,"M")</f>
        <v>9563.1799999983832</v>
      </c>
      <c r="BN2013" s="343">
        <f>SUMIFS($AU$1388:AU2382,$AQ$1388:AQ2382,"H")</f>
        <v>12587.200000000877</v>
      </c>
      <c r="BO2013" s="343">
        <f>SUMIFS($AU$1388:AU2382,$AQ$1388:AQ2382,"D")</f>
        <v>11195.57747252718</v>
      </c>
      <c r="BP2013" s="343">
        <f>SUMIFS($AS$1388:AS2714,$AO$1388:AO2714,"W")</f>
        <v>0</v>
      </c>
      <c r="BQ2013" s="343">
        <f>SUMIFS($AU$1388:AU2382,$Q$1388:Q2382,"O")</f>
        <v>-9366.1400000007852</v>
      </c>
      <c r="BR2013" s="343">
        <f>SUMIFS($AU$1388:AU2382,$AA$1388:AA2382,"*")</f>
        <v>39156.002077921221</v>
      </c>
      <c r="BS2013" s="343">
        <f>SUMIFS($AU$1388:AU2382,$AB$1388:AB2382,"*")</f>
        <v>7005.8599999997941</v>
      </c>
      <c r="BT2013" s="343">
        <f>SUMIFS($AU$1388:AU2382,$AC$1388:AC2382,"*")</f>
        <v>31968.358121878122</v>
      </c>
      <c r="BU2013" s="343">
        <f>SUMIFS($AU$1388:AU2382,$AA$1388:AA2382,"*",$AB$1388:AB2382,"*")</f>
        <v>7301.9999999995771</v>
      </c>
      <c r="BV2013" s="343">
        <f>SUMIFS($AU$1388:AU2382,$AA$1388:AA2382,"*",$AC$1388:AC2382,"*")</f>
        <v>29949.316363636532</v>
      </c>
      <c r="BW2013" s="343">
        <f>SUMIFS($AU$1388:AU2382,$AB$1388:AB2382,"*",$AC$1388:AC2382,"*")</f>
        <v>3739.199999999998</v>
      </c>
      <c r="BX2013" s="343">
        <f>SUMIFS($AV$1388:AV2382,$Q$1388:Q2382,"F")</f>
        <v>396.72999236351012</v>
      </c>
      <c r="BY2013" s="343">
        <f>SUMIFS($AV$1388:AV2382,$Q$1388:Q2382,"S")</f>
        <v>775.76285705724263</v>
      </c>
      <c r="BZ2013" s="343">
        <f>SUMIFS($AV$1388:AV2382,$Q$1388:Q2382,"O")</f>
        <v>569.29929999965555</v>
      </c>
    </row>
    <row r="2014" spans="1:78" ht="15.75" customHeight="1">
      <c r="A2014" s="177" t="s">
        <v>6310</v>
      </c>
      <c r="B2014" s="200">
        <v>45432</v>
      </c>
      <c r="C2014" s="178" t="s">
        <v>500</v>
      </c>
      <c r="D2014" s="178" t="s">
        <v>132</v>
      </c>
      <c r="E2014" s="227"/>
      <c r="F2014" s="180"/>
      <c r="G2014" s="481" t="s">
        <v>3992</v>
      </c>
      <c r="H2014" s="182"/>
      <c r="I2014" s="182"/>
      <c r="J2014" s="182"/>
      <c r="K2014" s="183"/>
      <c r="L2014" s="182"/>
      <c r="M2014" s="182">
        <v>1</v>
      </c>
      <c r="N2014" s="182"/>
      <c r="O2014" s="183" t="s">
        <v>95</v>
      </c>
      <c r="P2014" s="183" t="s">
        <v>137</v>
      </c>
      <c r="Q2014" s="183" t="s">
        <v>684</v>
      </c>
      <c r="R2014" s="183">
        <v>20</v>
      </c>
      <c r="S2014" s="183">
        <v>0</v>
      </c>
      <c r="T2014" s="183">
        <v>20</v>
      </c>
      <c r="U2014" s="183" t="s">
        <v>97</v>
      </c>
      <c r="V2014" s="183"/>
      <c r="W2014" s="183"/>
      <c r="X2014" s="183"/>
      <c r="Y2014" s="184">
        <f t="shared" ref="Y2014:Y2021" si="679">IF(ISBLANK(O2014),"",(IF(O2014=UPPER("IB"),0.005,0.01)))</f>
        <v>0.01</v>
      </c>
      <c r="Z2014" s="185">
        <f>IF(ISBLANK(O2014),"",IF(O2014="IB",8.63*200,IF(O2014="IR",16*100,IF(O2014="YT",20*100,IF(O2014="YT-XT",24*200,IF(O2014="TED",80*100,IF(O2014="XT",29*200)))))))</f>
        <v>1600</v>
      </c>
      <c r="AA2014" s="185" t="s">
        <v>6478</v>
      </c>
      <c r="AB2014" s="185"/>
      <c r="AC2014" s="185"/>
      <c r="AD2014" s="649">
        <v>95.95</v>
      </c>
      <c r="AE2014" s="182"/>
      <c r="AF2014" s="332"/>
      <c r="AG2014" s="182"/>
      <c r="AH2014" s="182"/>
      <c r="AI2014" s="182"/>
      <c r="AJ2014" s="640"/>
      <c r="AK2014" s="182"/>
      <c r="AL2014" s="496">
        <f t="shared" ref="AL2014:AL2018" si="680">-0.02*Z2014</f>
        <v>-32</v>
      </c>
      <c r="AM2014" s="496">
        <f t="shared" si="670"/>
        <v>-640</v>
      </c>
      <c r="AN2014" s="626" t="s">
        <v>6479</v>
      </c>
      <c r="AO2014" s="182"/>
      <c r="AP2014" s="182" t="s">
        <v>1639</v>
      </c>
      <c r="AQ2014" s="332" t="s">
        <v>372</v>
      </c>
      <c r="AR2014" s="182" t="s">
        <v>6480</v>
      </c>
      <c r="AS2014" s="189">
        <v>95.94</v>
      </c>
      <c r="AT2014" s="189">
        <f t="shared" ref="AT2014:AT2021" si="681">IF(ISBLANK(AS2014),,IF(U2014="S",AD2014-AS2014,AS2014-AD2014))</f>
        <v>1.0000000000005116E-2</v>
      </c>
      <c r="AU2014" s="187">
        <f t="shared" ref="AU2014:AU2021" si="682">AV2014*R2014</f>
        <v>320.00000000016371</v>
      </c>
      <c r="AV2014" s="190">
        <f t="shared" si="678"/>
        <v>16.000000000008185</v>
      </c>
      <c r="AW2014" s="191" t="s">
        <v>96</v>
      </c>
      <c r="AX2014" s="551" t="s">
        <v>6481</v>
      </c>
      <c r="AY2014" s="551"/>
      <c r="AZ2014" s="551"/>
      <c r="BA2014" s="551"/>
      <c r="BB2014" s="551"/>
      <c r="BC2014" s="551"/>
      <c r="BD2014" s="549"/>
      <c r="BE2014" s="550"/>
      <c r="BF2014" s="549"/>
      <c r="BG2014" s="391">
        <f>SUM($AV$1389:AV2014)</f>
        <v>4079.2239656881839</v>
      </c>
      <c r="BH2014" s="392">
        <f>SUM($AU$1389:AU2014)</f>
        <v>56615.353506493557</v>
      </c>
      <c r="BI2014" s="318">
        <f>SUMIFS($AU$1388:AU2015,$Q$1388:Q2015,"F")</f>
        <v>28242.093506493511</v>
      </c>
      <c r="BJ2014" s="318">
        <f>SUMIFS($AU$1388:AU2015,$Q$1388:Q2015,"S")</f>
        <v>26192</v>
      </c>
      <c r="BK2014" s="343">
        <f>SUMIFS($AU$1388:AU2015,$P$1388:P2015,"W")</f>
        <v>38635.273506493846</v>
      </c>
      <c r="BL2014" s="343">
        <f>SUMIFS($AU$1388:AU2015,$P$1388:P2015,"R")</f>
        <v>18506.000000000284</v>
      </c>
      <c r="BM2014" s="343">
        <f>SUMIFS($AU$1388:AU2015,$AQ$1388:AQ2015,"M")</f>
        <v>9793.3799999992334</v>
      </c>
      <c r="BN2014" s="343">
        <f>SUMIFS($AU$1388:AU2015,$AQ$1388:AQ2015,"H")</f>
        <v>20115.200000000706</v>
      </c>
      <c r="BO2014" s="343">
        <f>SUMIFS($AU$1388:AU2015,$AQ$1388:AQ2015,"D")</f>
        <v>13641.507142857021</v>
      </c>
      <c r="BP2014" s="343">
        <f>SUMIFS($AS$1388:AS2707,$AO$1388:AO2707,"W")</f>
        <v>0</v>
      </c>
      <c r="BQ2014" s="343">
        <f>SUMIFS($AU$1388:AU2015,$Q$1388:Q2015,"O")</f>
        <v>1737.2600000000671</v>
      </c>
      <c r="BR2014" s="343">
        <f>SUMIFS($AU$1388:AU2015,$AA$1388:AA2015,"*")</f>
        <v>44821.436363636196</v>
      </c>
      <c r="BS2014" s="343">
        <f>SUMIFS($AU$1388:AU2015,$AB$1388:AB2015,"*")</f>
        <v>10383.860000000041</v>
      </c>
      <c r="BT2014" s="343">
        <f>SUMIFS($AU$1388:AU2015,$AC$1388:AC2015,"*")</f>
        <v>31682.093506493675</v>
      </c>
      <c r="BU2014" s="343">
        <f>SUMIFS($AU$1388:AU2015,$AA$1388:AA2015,"*",$AB$1388:AB2015,"*")</f>
        <v>5423.9999999998217</v>
      </c>
      <c r="BV2014" s="343">
        <f>SUMIFS($AU$1388:AU2015,$AA$1388:AA2015,"*",$AC$1388:AC2015,"*")</f>
        <v>19728.036363636533</v>
      </c>
      <c r="BW2014" s="343">
        <f>SUMIFS($AU$1388:AU2015,$AB$1388:AB2015,"*",$AC$1388:AC2015,"*")</f>
        <v>7119.9999999999982</v>
      </c>
      <c r="BX2014" s="343">
        <f>SUMIFS($AV$1388:AV2015,$Q$1388:Q2015,"F")</f>
        <v>418.22475235412151</v>
      </c>
      <c r="BY2014" s="343">
        <f>SUMIFS($AV$1388:AV2015,$Q$1388:Q2015,"S")</f>
        <v>800.03991333429894</v>
      </c>
      <c r="BZ2014" s="343">
        <f>SUMIFS($AV$1388:AV2015,$Q$1388:Q2015,"O")</f>
        <v>628.95929999975738</v>
      </c>
    </row>
    <row r="2015" spans="1:78" ht="15.75" customHeight="1">
      <c r="A2015" s="177" t="s">
        <v>6310</v>
      </c>
      <c r="B2015" s="200">
        <v>45432</v>
      </c>
      <c r="C2015" s="178" t="s">
        <v>500</v>
      </c>
      <c r="D2015" s="178" t="s">
        <v>132</v>
      </c>
      <c r="E2015" s="227"/>
      <c r="F2015" s="180"/>
      <c r="G2015" s="481" t="s">
        <v>2991</v>
      </c>
      <c r="H2015" s="182"/>
      <c r="I2015" s="182"/>
      <c r="J2015" s="182"/>
      <c r="K2015" s="183"/>
      <c r="L2015" s="182"/>
      <c r="M2015" s="182">
        <v>1</v>
      </c>
      <c r="N2015" s="182"/>
      <c r="O2015" s="183" t="s">
        <v>95</v>
      </c>
      <c r="P2015" s="183" t="s">
        <v>96</v>
      </c>
      <c r="Q2015" s="183" t="s">
        <v>97</v>
      </c>
      <c r="R2015" s="183">
        <v>80</v>
      </c>
      <c r="S2015" s="183">
        <v>0</v>
      </c>
      <c r="T2015" s="183">
        <v>80</v>
      </c>
      <c r="U2015" s="183" t="s">
        <v>22</v>
      </c>
      <c r="V2015" s="183"/>
      <c r="W2015" s="183"/>
      <c r="X2015" s="183"/>
      <c r="Y2015" s="184">
        <f t="shared" si="679"/>
        <v>0.01</v>
      </c>
      <c r="Z2015" s="185">
        <f>IF(ISBLANK(O2015),"",IF(O2015="IB",8.63*200,IF(O2015="IR",16*100,IF(O2015="YT",20*100,IF(O2015="YT-XT",24*200,IF(O2015="TED",80*100,IF(O2015="XT",29*200)))))))</f>
        <v>1600</v>
      </c>
      <c r="AA2015" s="185" t="s">
        <v>6482</v>
      </c>
      <c r="AB2015" s="185"/>
      <c r="AC2015" s="185"/>
      <c r="AD2015" s="649">
        <v>-0.16</v>
      </c>
      <c r="AE2015" s="182"/>
      <c r="AF2015" s="332"/>
      <c r="AG2015" s="182"/>
      <c r="AH2015" s="182"/>
      <c r="AI2015" s="182"/>
      <c r="AJ2015" s="640"/>
      <c r="AK2015" s="182"/>
      <c r="AL2015" s="496">
        <f t="shared" si="680"/>
        <v>-32</v>
      </c>
      <c r="AM2015" s="496">
        <f t="shared" si="670"/>
        <v>-2560</v>
      </c>
      <c r="AN2015" s="626" t="s">
        <v>428</v>
      </c>
      <c r="AO2015" s="182"/>
      <c r="AP2015" s="182" t="s">
        <v>942</v>
      </c>
      <c r="AQ2015" s="332" t="s">
        <v>372</v>
      </c>
      <c r="AR2015" s="182" t="s">
        <v>6483</v>
      </c>
      <c r="AS2015" s="189">
        <v>-0.15</v>
      </c>
      <c r="AT2015" s="189">
        <f t="shared" si="681"/>
        <v>1.0000000000000009E-2</v>
      </c>
      <c r="AU2015" s="187">
        <f t="shared" si="682"/>
        <v>1280.0000000000011</v>
      </c>
      <c r="AV2015" s="190">
        <f t="shared" si="678"/>
        <v>16.000000000000014</v>
      </c>
      <c r="AW2015" s="191" t="s">
        <v>96</v>
      </c>
      <c r="AX2015" s="551" t="s">
        <v>6484</v>
      </c>
      <c r="AY2015" s="551"/>
      <c r="AZ2015" s="551"/>
      <c r="BA2015" s="551"/>
      <c r="BB2015" s="551"/>
      <c r="BC2015" s="551"/>
      <c r="BD2015" s="549"/>
      <c r="BE2015" s="550"/>
      <c r="BF2015" s="549"/>
      <c r="BG2015" s="391">
        <f>SUM($AV$1389:AV2015)</f>
        <v>4095.2239656881839</v>
      </c>
      <c r="BH2015" s="392">
        <f>SUM($AU$1389:AU2015)</f>
        <v>57895.353506493557</v>
      </c>
      <c r="BI2015" s="318">
        <f>SUMIFS($AU$1388:AU2016,$Q$1388:Q2016,"F")</f>
        <v>28242.093506493511</v>
      </c>
      <c r="BJ2015" s="318">
        <f>SUMIFS($AU$1388:AU2016,$Q$1388:Q2016,"S")</f>
        <v>26192</v>
      </c>
      <c r="BK2015" s="343">
        <f>SUMIFS($AU$1388:AU2016,$P$1388:P2016,"W")</f>
        <v>38635.273506493846</v>
      </c>
      <c r="BL2015" s="343">
        <f>SUMIFS($AU$1388:AU2016,$P$1388:P2016,"R")</f>
        <v>18506.000000000284</v>
      </c>
      <c r="BM2015" s="343">
        <f>SUMIFS($AU$1388:AU2016,$AQ$1388:AQ2016,"M")</f>
        <v>9793.3799999992334</v>
      </c>
      <c r="BN2015" s="343">
        <f>SUMIFS($AU$1388:AU2016,$AQ$1388:AQ2016,"H")</f>
        <v>20115.200000000706</v>
      </c>
      <c r="BO2015" s="343">
        <f>SUMIFS($AU$1388:AU2016,$AQ$1388:AQ2016,"D")</f>
        <v>13641.507142857021</v>
      </c>
      <c r="BP2015" s="343">
        <f>SUMIFS($AS$1388:AS2708,$AO$1388:AO2708,"W")</f>
        <v>0</v>
      </c>
      <c r="BQ2015" s="343">
        <f>SUMIFS($AU$1388:AU2016,$Q$1388:Q2016,"O")</f>
        <v>1737.2600000000671</v>
      </c>
      <c r="BR2015" s="343">
        <f>SUMIFS($AU$1388:AU2016,$AA$1388:AA2016,"*")</f>
        <v>44821.436363636196</v>
      </c>
      <c r="BS2015" s="343">
        <f>SUMIFS($AU$1388:AU2016,$AB$1388:AB2016,"*")</f>
        <v>10383.860000000041</v>
      </c>
      <c r="BT2015" s="343">
        <f>SUMIFS($AU$1388:AU2016,$AC$1388:AC2016,"*")</f>
        <v>31682.093506493675</v>
      </c>
      <c r="BU2015" s="343">
        <f>SUMIFS($AU$1388:AU2016,$AA$1388:AA2016,"*",$AB$1388:AB2016,"*")</f>
        <v>5423.9999999998217</v>
      </c>
      <c r="BV2015" s="343">
        <f>SUMIFS($AU$1388:AU2016,$AA$1388:AA2016,"*",$AC$1388:AC2016,"*")</f>
        <v>19728.036363636533</v>
      </c>
      <c r="BW2015" s="343">
        <f>SUMIFS($AU$1388:AU2016,$AB$1388:AB2016,"*",$AC$1388:AC2016,"*")</f>
        <v>7119.9999999999982</v>
      </c>
      <c r="BX2015" s="343">
        <f>SUMIFS($AV$1388:AV2016,$Q$1388:Q2016,"F")</f>
        <v>418.22475235412151</v>
      </c>
      <c r="BY2015" s="343">
        <f>SUMIFS($AV$1388:AV2016,$Q$1388:Q2016,"S")</f>
        <v>800.03991333429894</v>
      </c>
      <c r="BZ2015" s="343">
        <f>SUMIFS($AV$1388:AV2016,$Q$1388:Q2016,"O")</f>
        <v>628.95929999975738</v>
      </c>
    </row>
    <row r="2016" spans="1:78" ht="15.75" customHeight="1">
      <c r="A2016" s="177" t="s">
        <v>6310</v>
      </c>
      <c r="B2016" s="200">
        <v>45432</v>
      </c>
      <c r="C2016" s="178" t="s">
        <v>2941</v>
      </c>
      <c r="D2016" s="178" t="s">
        <v>132</v>
      </c>
      <c r="E2016" s="227"/>
      <c r="F2016" s="180"/>
      <c r="G2016" s="574" t="s">
        <v>6243</v>
      </c>
      <c r="H2016" s="182"/>
      <c r="I2016" s="182"/>
      <c r="J2016" s="182"/>
      <c r="K2016" s="183"/>
      <c r="L2016" s="182"/>
      <c r="M2016" s="182">
        <v>1</v>
      </c>
      <c r="N2016" s="182"/>
      <c r="O2016" s="183" t="s">
        <v>5325</v>
      </c>
      <c r="P2016" s="183" t="s">
        <v>137</v>
      </c>
      <c r="Q2016" s="183"/>
      <c r="R2016" s="183">
        <v>1</v>
      </c>
      <c r="S2016" s="183">
        <v>0</v>
      </c>
      <c r="T2016" s="183">
        <v>1</v>
      </c>
      <c r="U2016" s="183" t="s">
        <v>97</v>
      </c>
      <c r="V2016" s="183"/>
      <c r="W2016" s="183"/>
      <c r="X2016" s="183"/>
      <c r="Y2016" s="184">
        <f t="shared" si="679"/>
        <v>0.01</v>
      </c>
      <c r="Z2016" s="185">
        <f>IF(ISBLANK(O2016),"",IF(O2016="IB",8.63*200,IF(O2016="IR",16*100,IF(O2016="YT",20*100,IF(O2016="YT-XT",24*200,IF(O2016="TED",80*100,IF(O2016="IR|YT",300*100)))))))</f>
        <v>30000</v>
      </c>
      <c r="AA2016" s="185" t="s">
        <v>99</v>
      </c>
      <c r="AB2016" s="185"/>
      <c r="AC2016" s="185"/>
      <c r="AD2016" s="649">
        <v>-0.2</v>
      </c>
      <c r="AE2016" s="182"/>
      <c r="AF2016" s="332"/>
      <c r="AG2016" s="182"/>
      <c r="AH2016" s="182"/>
      <c r="AI2016" s="182"/>
      <c r="AJ2016" s="640"/>
      <c r="AK2016" s="182"/>
      <c r="AL2016" s="496">
        <f t="shared" si="680"/>
        <v>-600</v>
      </c>
      <c r="AM2016" s="496">
        <f t="shared" si="670"/>
        <v>-600</v>
      </c>
      <c r="AN2016" s="626" t="s">
        <v>158</v>
      </c>
      <c r="AO2016" s="182"/>
      <c r="AP2016" s="182"/>
      <c r="AQ2016" s="332" t="str">
        <f>UPPER(RIGHT(Journal_Live[[#This Row],[DURATION ]]))</f>
        <v/>
      </c>
      <c r="AR2016" s="182"/>
      <c r="AS2016" s="189">
        <v>-0.2</v>
      </c>
      <c r="AT2016" s="189">
        <f t="shared" si="681"/>
        <v>0</v>
      </c>
      <c r="AU2016" s="187">
        <f t="shared" si="682"/>
        <v>0</v>
      </c>
      <c r="AV2016" s="190">
        <f t="shared" si="678"/>
        <v>0</v>
      </c>
      <c r="AW2016" s="191" t="s">
        <v>115</v>
      </c>
      <c r="AX2016" s="551"/>
      <c r="AY2016" s="551"/>
      <c r="AZ2016" s="551"/>
      <c r="BA2016" s="551"/>
      <c r="BB2016" s="551"/>
      <c r="BC2016" s="551"/>
      <c r="BD2016" s="549"/>
      <c r="BE2016" s="550"/>
      <c r="BF2016" s="549"/>
      <c r="BG2016" s="391">
        <f>SUM($AV$1389:AV2016)</f>
        <v>4095.2239656881839</v>
      </c>
      <c r="BH2016" s="392">
        <f>SUM($AU$1389:AU2016)</f>
        <v>57895.353506493557</v>
      </c>
      <c r="BI2016" s="318">
        <f>SUMIFS($AU$1388:AU2017,$Q$1388:Q2017,"F")</f>
        <v>28242.093506493511</v>
      </c>
      <c r="BJ2016" s="318">
        <f>SUMIFS($AU$1388:AU2017,$Q$1388:Q2017,"S")</f>
        <v>26832</v>
      </c>
      <c r="BK2016" s="343">
        <f>SUMIFS($AU$1388:AU2017,$P$1388:P2017,"W")</f>
        <v>39275.273506493846</v>
      </c>
      <c r="BL2016" s="343">
        <f>SUMIFS($AU$1388:AU2017,$P$1388:P2017,"R")</f>
        <v>18506.000000000284</v>
      </c>
      <c r="BM2016" s="343">
        <f>SUMIFS($AU$1388:AU2017,$AQ$1388:AQ2017,"M")</f>
        <v>9793.3799999992334</v>
      </c>
      <c r="BN2016" s="343">
        <f>SUMIFS($AU$1388:AU2017,$AQ$1388:AQ2017,"H")</f>
        <v>20755.200000000706</v>
      </c>
      <c r="BO2016" s="343">
        <f>SUMIFS($AU$1388:AU2017,$AQ$1388:AQ2017,"D")</f>
        <v>13641.507142857021</v>
      </c>
      <c r="BP2016" s="343">
        <f>SUMIFS($AS$1388:AS2709,$AO$1388:AO2709,"W")</f>
        <v>0</v>
      </c>
      <c r="BQ2016" s="343">
        <f>SUMIFS($AU$1388:AU2017,$Q$1388:Q2017,"O")</f>
        <v>1737.2600000000671</v>
      </c>
      <c r="BR2016" s="343">
        <f>SUMIFS($AU$1388:AU2017,$AA$1388:AA2017,"*")</f>
        <v>45461.436363636196</v>
      </c>
      <c r="BS2016" s="343">
        <f>SUMIFS($AU$1388:AU2017,$AB$1388:AB2017,"*")</f>
        <v>10383.860000000041</v>
      </c>
      <c r="BT2016" s="343">
        <f>SUMIFS($AU$1388:AU2017,$AC$1388:AC2017,"*")</f>
        <v>31682.093506493675</v>
      </c>
      <c r="BU2016" s="343">
        <f>SUMIFS($AU$1388:AU2017,$AA$1388:AA2017,"*",$AB$1388:AB2017,"*")</f>
        <v>5423.9999999998217</v>
      </c>
      <c r="BV2016" s="343">
        <f>SUMIFS($AU$1388:AU2017,$AA$1388:AA2017,"*",$AC$1388:AC2017,"*")</f>
        <v>19728.036363636533</v>
      </c>
      <c r="BW2016" s="343">
        <f>SUMIFS($AU$1388:AU2017,$AB$1388:AB2017,"*",$AC$1388:AC2017,"*")</f>
        <v>7119.9999999999982</v>
      </c>
      <c r="BX2016" s="343">
        <f>SUMIFS($AV$1388:AV2017,$Q$1388:Q2017,"F")</f>
        <v>418.22475235412151</v>
      </c>
      <c r="BY2016" s="343">
        <f>SUMIFS($AV$1388:AV2017,$Q$1388:Q2017,"S")</f>
        <v>816.03991333429894</v>
      </c>
      <c r="BZ2016" s="343">
        <f>SUMIFS($AV$1388:AV2017,$Q$1388:Q2017,"O")</f>
        <v>628.95929999975738</v>
      </c>
    </row>
    <row r="2017" spans="1:78" ht="15.75" customHeight="1">
      <c r="A2017" s="177" t="s">
        <v>6310</v>
      </c>
      <c r="B2017" s="200">
        <v>45432</v>
      </c>
      <c r="C2017" s="178" t="s">
        <v>664</v>
      </c>
      <c r="D2017" s="178" t="s">
        <v>132</v>
      </c>
      <c r="E2017" s="227"/>
      <c r="F2017" s="180"/>
      <c r="G2017" s="481" t="s">
        <v>3990</v>
      </c>
      <c r="H2017" s="182"/>
      <c r="I2017" s="182"/>
      <c r="J2017" s="182"/>
      <c r="K2017" s="183"/>
      <c r="L2017" s="182"/>
      <c r="M2017" s="182">
        <v>1</v>
      </c>
      <c r="N2017" s="182"/>
      <c r="O2017" s="183" t="s">
        <v>95</v>
      </c>
      <c r="P2017" s="183" t="s">
        <v>96</v>
      </c>
      <c r="Q2017" s="183" t="s">
        <v>97</v>
      </c>
      <c r="R2017" s="183">
        <v>40</v>
      </c>
      <c r="S2017" s="183">
        <v>0</v>
      </c>
      <c r="T2017" s="183">
        <v>40</v>
      </c>
      <c r="U2017" s="183" t="s">
        <v>22</v>
      </c>
      <c r="V2017" s="183"/>
      <c r="W2017" s="183"/>
      <c r="X2017" s="183"/>
      <c r="Y2017" s="184">
        <f t="shared" si="679"/>
        <v>0.01</v>
      </c>
      <c r="Z2017" s="185">
        <f>IF(ISBLANK(O2017),"",IF(O2017="IB",8.63*200,IF(O2017="IR",16*100,IF(O2017="YT",20*100,IF(O2017="YT-XT",24*200,IF(O2017="TED",80*100,IF(O2017="XT",29*200)))))))</f>
        <v>1600</v>
      </c>
      <c r="AA2017" s="185" t="s">
        <v>6482</v>
      </c>
      <c r="AB2017" s="185"/>
      <c r="AC2017" s="185"/>
      <c r="AD2017" s="649">
        <v>-0.08</v>
      </c>
      <c r="AE2017" s="182"/>
      <c r="AF2017" s="332"/>
      <c r="AG2017" s="182"/>
      <c r="AH2017" s="182"/>
      <c r="AI2017" s="182"/>
      <c r="AJ2017" s="640"/>
      <c r="AK2017" s="182"/>
      <c r="AL2017" s="496">
        <f t="shared" si="680"/>
        <v>-32</v>
      </c>
      <c r="AM2017" s="496">
        <f t="shared" ref="AM2017:AM2048" si="683">AL2017*(R2017-S2017)</f>
        <v>-1280</v>
      </c>
      <c r="AN2017" s="626" t="s">
        <v>6485</v>
      </c>
      <c r="AO2017" s="182"/>
      <c r="AP2017" s="182"/>
      <c r="AQ2017" s="332" t="s">
        <v>372</v>
      </c>
      <c r="AR2017" s="182"/>
      <c r="AS2017" s="189">
        <v>-7.0000000000000007E-2</v>
      </c>
      <c r="AT2017" s="189">
        <f t="shared" si="681"/>
        <v>9.999999999999995E-3</v>
      </c>
      <c r="AU2017" s="187">
        <f t="shared" si="682"/>
        <v>639.99999999999977</v>
      </c>
      <c r="AV2017" s="190">
        <f t="shared" si="678"/>
        <v>15.999999999999993</v>
      </c>
      <c r="AW2017" s="191" t="s">
        <v>96</v>
      </c>
      <c r="AX2017" s="551"/>
      <c r="AY2017" s="551"/>
      <c r="AZ2017" s="551"/>
      <c r="BA2017" s="551"/>
      <c r="BB2017" s="551"/>
      <c r="BC2017" s="551"/>
      <c r="BD2017" s="549"/>
      <c r="BE2017" s="550"/>
      <c r="BF2017" s="549"/>
      <c r="BG2017" s="391">
        <f>SUM($AV$1389:AV2017)</f>
        <v>4111.2239656881839</v>
      </c>
      <c r="BH2017" s="392">
        <f>SUM($AU$1389:AU2017)</f>
        <v>58535.353506493557</v>
      </c>
      <c r="BI2017" s="318">
        <f>SUMIFS($AU$1388:AU2018,$Q$1388:Q2018,"F")</f>
        <v>28242.093506493511</v>
      </c>
      <c r="BJ2017" s="318">
        <f>SUMIFS($AU$1388:AU2018,$Q$1388:Q2018,"S")</f>
        <v>26992</v>
      </c>
      <c r="BK2017" s="343">
        <f>SUMIFS($AU$1388:AU2018,$P$1388:P2018,"W")</f>
        <v>39435.273506493846</v>
      </c>
      <c r="BL2017" s="343">
        <f>SUMIFS($AU$1388:AU2018,$P$1388:P2018,"R")</f>
        <v>18506.000000000284</v>
      </c>
      <c r="BM2017" s="343">
        <f>SUMIFS($AU$1388:AU2018,$AQ$1388:AQ2018,"M")</f>
        <v>9793.3799999992334</v>
      </c>
      <c r="BN2017" s="343">
        <f>SUMIFS($AU$1388:AU2018,$AQ$1388:AQ2018,"H")</f>
        <v>20915.200000000706</v>
      </c>
      <c r="BO2017" s="343">
        <f>SUMIFS($AU$1388:AU2018,$AQ$1388:AQ2018,"D")</f>
        <v>13641.507142857021</v>
      </c>
      <c r="BP2017" s="343">
        <f>SUMIFS($AS$1388:AS2710,$AO$1388:AO2710,"W")</f>
        <v>0</v>
      </c>
      <c r="BQ2017" s="343">
        <f>SUMIFS($AU$1388:AU2018,$Q$1388:Q2018,"O")</f>
        <v>1737.2600000000671</v>
      </c>
      <c r="BR2017" s="343">
        <f>SUMIFS($AU$1388:AU2018,$AA$1388:AA2018,"*")</f>
        <v>45621.436363636196</v>
      </c>
      <c r="BS2017" s="343">
        <f>SUMIFS($AU$1388:AU2018,$AB$1388:AB2018,"*")</f>
        <v>10383.860000000041</v>
      </c>
      <c r="BT2017" s="343">
        <f>SUMIFS($AU$1388:AU2018,$AC$1388:AC2018,"*")</f>
        <v>31682.093506493675</v>
      </c>
      <c r="BU2017" s="343">
        <f>SUMIFS($AU$1388:AU2018,$AA$1388:AA2018,"*",$AB$1388:AB2018,"*")</f>
        <v>5423.9999999998217</v>
      </c>
      <c r="BV2017" s="343">
        <f>SUMIFS($AU$1388:AU2018,$AA$1388:AA2018,"*",$AC$1388:AC2018,"*")</f>
        <v>19728.036363636533</v>
      </c>
      <c r="BW2017" s="343">
        <f>SUMIFS($AU$1388:AU2018,$AB$1388:AB2018,"*",$AC$1388:AC2018,"*")</f>
        <v>7119.9999999999982</v>
      </c>
      <c r="BX2017" s="343">
        <f>SUMIFS($AV$1388:AV2018,$Q$1388:Q2018,"F")</f>
        <v>418.22475235412151</v>
      </c>
      <c r="BY2017" s="343">
        <f>SUMIFS($AV$1388:AV2018,$Q$1388:Q2018,"S")</f>
        <v>832.03991333429894</v>
      </c>
      <c r="BZ2017" s="343">
        <f>SUMIFS($AV$1388:AV2018,$Q$1388:Q2018,"O")</f>
        <v>628.95929999975738</v>
      </c>
    </row>
    <row r="2018" spans="1:78" ht="15.75" customHeight="1">
      <c r="A2018" s="177" t="s">
        <v>6310</v>
      </c>
      <c r="B2018" s="200">
        <v>45432</v>
      </c>
      <c r="C2018" s="178" t="s">
        <v>5875</v>
      </c>
      <c r="D2018" s="178" t="s">
        <v>132</v>
      </c>
      <c r="E2018" s="227"/>
      <c r="F2018" s="180"/>
      <c r="G2018" s="481" t="s">
        <v>6486</v>
      </c>
      <c r="H2018" s="182"/>
      <c r="I2018" s="182"/>
      <c r="J2018" s="182"/>
      <c r="K2018" s="183"/>
      <c r="L2018" s="182">
        <v>1</v>
      </c>
      <c r="M2018" s="182">
        <v>1</v>
      </c>
      <c r="N2018" s="182"/>
      <c r="O2018" s="183" t="s">
        <v>95</v>
      </c>
      <c r="P2018" s="183" t="s">
        <v>96</v>
      </c>
      <c r="Q2018" s="183" t="s">
        <v>97</v>
      </c>
      <c r="R2018" s="183">
        <v>10</v>
      </c>
      <c r="S2018" s="183">
        <v>0</v>
      </c>
      <c r="T2018" s="183">
        <v>10</v>
      </c>
      <c r="U2018" s="183" t="s">
        <v>97</v>
      </c>
      <c r="V2018" s="183"/>
      <c r="W2018" s="183"/>
      <c r="X2018" s="183"/>
      <c r="Y2018" s="184">
        <f t="shared" si="679"/>
        <v>0.01</v>
      </c>
      <c r="Z2018" s="185">
        <f>IF(ISBLANK(O2018),"",IF(O2018="IB",8.63*200,IF(O2018="IR",16*100,IF(O2018="YT",20*100,IF(O2018="YT-XT",24*200,IF(O2018="TED",80*100,IF(O2018="XT",29*200)))))))</f>
        <v>1600</v>
      </c>
      <c r="AA2018" s="185" t="s">
        <v>6487</v>
      </c>
      <c r="AB2018" s="185"/>
      <c r="AC2018" s="185"/>
      <c r="AD2018" s="649">
        <v>-0.2</v>
      </c>
      <c r="AE2018" s="182"/>
      <c r="AF2018" s="332"/>
      <c r="AG2018" s="182"/>
      <c r="AH2018" s="182"/>
      <c r="AI2018" s="182"/>
      <c r="AJ2018" s="640"/>
      <c r="AK2018" s="182"/>
      <c r="AL2018" s="496">
        <f t="shared" si="680"/>
        <v>-32</v>
      </c>
      <c r="AM2018" s="496">
        <f t="shared" si="683"/>
        <v>-320</v>
      </c>
      <c r="AN2018" s="626"/>
      <c r="AO2018" s="182"/>
      <c r="AP2018" s="182" t="s">
        <v>2115</v>
      </c>
      <c r="AQ2018" s="332" t="s">
        <v>372</v>
      </c>
      <c r="AR2018" s="182"/>
      <c r="AS2018" s="189">
        <v>-0.21</v>
      </c>
      <c r="AT2018" s="189">
        <f t="shared" si="681"/>
        <v>9.9999999999999811E-3</v>
      </c>
      <c r="AU2018" s="187">
        <f t="shared" si="682"/>
        <v>159.99999999999969</v>
      </c>
      <c r="AV2018" s="190">
        <f t="shared" si="678"/>
        <v>15.99999999999997</v>
      </c>
      <c r="AW2018" s="191" t="s">
        <v>96</v>
      </c>
      <c r="AX2018" s="551"/>
      <c r="AY2018" s="551"/>
      <c r="AZ2018" s="551"/>
      <c r="BA2018" s="551"/>
      <c r="BB2018" s="551"/>
      <c r="BC2018" s="551"/>
      <c r="BD2018" s="549"/>
      <c r="BE2018" s="550"/>
      <c r="BF2018" s="549"/>
      <c r="BG2018" s="391">
        <f>SUM($AV$1389:AV2018)</f>
        <v>4127.2239656881839</v>
      </c>
      <c r="BH2018" s="392">
        <f>SUM($AU$1389:AU2018)</f>
        <v>58695.353506493557</v>
      </c>
      <c r="BI2018" s="318">
        <f>SUMIFS($AU$1388:AU2019,$Q$1388:Q2019,"F")</f>
        <v>28242.093506493511</v>
      </c>
      <c r="BJ2018" s="318">
        <f>SUMIFS($AU$1388:AU2019,$Q$1388:Q2019,"S")</f>
        <v>27328</v>
      </c>
      <c r="BK2018" s="343">
        <f>SUMIFS($AU$1388:AU2019,$P$1388:P2019,"W")</f>
        <v>39771.273506493846</v>
      </c>
      <c r="BL2018" s="343">
        <f>SUMIFS($AU$1388:AU2019,$P$1388:P2019,"R")</f>
        <v>18506.000000000284</v>
      </c>
      <c r="BM2018" s="343">
        <f>SUMIFS($AU$1388:AU2019,$AQ$1388:AQ2019,"M")</f>
        <v>9793.3799999992334</v>
      </c>
      <c r="BN2018" s="343">
        <f>SUMIFS($AU$1388:AU2019,$AQ$1388:AQ2019,"H")</f>
        <v>20915.200000000706</v>
      </c>
      <c r="BO2018" s="343">
        <f>SUMIFS($AU$1388:AU2019,$AQ$1388:AQ2019,"D")</f>
        <v>13977.507142857021</v>
      </c>
      <c r="BP2018" s="343">
        <f>SUMIFS($AS$1388:AS2711,$AO$1388:AO2711,"W")</f>
        <v>0</v>
      </c>
      <c r="BQ2018" s="343">
        <f>SUMIFS($AU$1388:AU2019,$Q$1388:Q2019,"O")</f>
        <v>1737.2600000000671</v>
      </c>
      <c r="BR2018" s="343">
        <f>SUMIFS($AU$1388:AU2019,$AA$1388:AA2019,"*")</f>
        <v>45957.436363636196</v>
      </c>
      <c r="BS2018" s="343">
        <f>SUMIFS($AU$1388:AU2019,$AB$1388:AB2019,"*")</f>
        <v>10383.860000000041</v>
      </c>
      <c r="BT2018" s="343">
        <f>SUMIFS($AU$1388:AU2019,$AC$1388:AC2019,"*")</f>
        <v>31682.093506493675</v>
      </c>
      <c r="BU2018" s="343">
        <f>SUMIFS($AU$1388:AU2019,$AA$1388:AA2019,"*",$AB$1388:AB2019,"*")</f>
        <v>5423.9999999998217</v>
      </c>
      <c r="BV2018" s="343">
        <f>SUMIFS($AU$1388:AU2019,$AA$1388:AA2019,"*",$AC$1388:AC2019,"*")</f>
        <v>19728.036363636533</v>
      </c>
      <c r="BW2018" s="343">
        <f>SUMIFS($AU$1388:AU2019,$AB$1388:AB2019,"*",$AC$1388:AC2019,"*")</f>
        <v>7119.9999999999982</v>
      </c>
      <c r="BX2018" s="343">
        <f>SUMIFS($AV$1388:AV2019,$Q$1388:Q2019,"F")</f>
        <v>418.22475235412151</v>
      </c>
      <c r="BY2018" s="343">
        <f>SUMIFS($AV$1388:AV2019,$Q$1388:Q2019,"S")</f>
        <v>848.03991333429894</v>
      </c>
      <c r="BZ2018" s="343">
        <f>SUMIFS($AV$1388:AV2019,$Q$1388:Q2019,"O")</f>
        <v>628.95929999975738</v>
      </c>
    </row>
    <row r="2019" spans="1:78" ht="15.75" customHeight="1">
      <c r="A2019" s="177" t="s">
        <v>6310</v>
      </c>
      <c r="B2019" s="200">
        <v>45432</v>
      </c>
      <c r="C2019" s="178" t="s">
        <v>6488</v>
      </c>
      <c r="D2019" s="178" t="s">
        <v>132</v>
      </c>
      <c r="E2019" s="227"/>
      <c r="F2019" s="180"/>
      <c r="G2019" s="481" t="s">
        <v>2942</v>
      </c>
      <c r="H2019" s="182"/>
      <c r="I2019" s="182"/>
      <c r="J2019" s="182"/>
      <c r="K2019" s="183"/>
      <c r="L2019" s="182">
        <v>1</v>
      </c>
      <c r="M2019" s="182">
        <v>1</v>
      </c>
      <c r="N2019" s="182"/>
      <c r="O2019" s="183" t="s">
        <v>95</v>
      </c>
      <c r="P2019" s="183" t="s">
        <v>96</v>
      </c>
      <c r="Q2019" s="183" t="s">
        <v>97</v>
      </c>
      <c r="R2019" s="183">
        <v>21</v>
      </c>
      <c r="S2019" s="183">
        <v>0</v>
      </c>
      <c r="T2019" s="183">
        <v>20</v>
      </c>
      <c r="U2019" s="183" t="s">
        <v>97</v>
      </c>
      <c r="V2019" s="183"/>
      <c r="W2019" s="183"/>
      <c r="X2019" s="183"/>
      <c r="Y2019" s="184">
        <f t="shared" si="679"/>
        <v>0.01</v>
      </c>
      <c r="Z2019" s="185">
        <f>IF(ISBLANK(O2019),"",IF(O2019="IB",8.63*200,IF(O2019="IR",16*100,IF(O2019="YT",20*100,IF(O2019="YT-XT",24*200,IF(O2019="TED",80*100,IF(O2019="XT",29*200)))))))</f>
        <v>1600</v>
      </c>
      <c r="AA2019" s="185" t="s">
        <v>5492</v>
      </c>
      <c r="AB2019" s="185"/>
      <c r="AC2019" s="185"/>
      <c r="AD2019" s="649">
        <v>-0.1</v>
      </c>
      <c r="AE2019" s="182"/>
      <c r="AF2019" s="332"/>
      <c r="AG2019" s="182"/>
      <c r="AH2019" s="182"/>
      <c r="AI2019" s="182"/>
      <c r="AJ2019" s="640"/>
      <c r="AK2019" s="182"/>
      <c r="AL2019" s="496">
        <f t="shared" si="658"/>
        <v>-32</v>
      </c>
      <c r="AM2019" s="496">
        <f t="shared" si="683"/>
        <v>-672</v>
      </c>
      <c r="AN2019" s="626"/>
      <c r="AO2019" s="182"/>
      <c r="AP2019" s="182" t="s">
        <v>804</v>
      </c>
      <c r="AQ2019" s="332" t="s">
        <v>115</v>
      </c>
      <c r="AR2019" s="182"/>
      <c r="AS2019" s="189">
        <v>-0.11</v>
      </c>
      <c r="AT2019" s="189">
        <f t="shared" si="681"/>
        <v>9.999999999999995E-3</v>
      </c>
      <c r="AU2019" s="187">
        <f t="shared" si="682"/>
        <v>335.99999999999983</v>
      </c>
      <c r="AV2019" s="190">
        <f t="shared" ref="AV2019:AV2020" si="684">IF(ISBLANK(AS2019),,(AT2019*Z2019))</f>
        <v>15.999999999999993</v>
      </c>
      <c r="AW2019" s="191" t="s">
        <v>96</v>
      </c>
      <c r="AX2019" s="551"/>
      <c r="AY2019" s="551"/>
      <c r="AZ2019" s="551"/>
      <c r="BA2019" s="551"/>
      <c r="BB2019" s="551"/>
      <c r="BC2019" s="551"/>
      <c r="BD2019" s="549"/>
      <c r="BE2019" s="550"/>
      <c r="BF2019" s="549"/>
      <c r="BG2019" s="391">
        <f>SUM($AV$1389:AV2019)</f>
        <v>4143.2239656881839</v>
      </c>
      <c r="BH2019" s="392">
        <f>SUM($AU$1389:AU2019)</f>
        <v>59031.353506493557</v>
      </c>
      <c r="BI2019" s="318">
        <f>SUMIFS($AU$1388:AU2020,$Q$1388:Q2020,"F")</f>
        <v>28242.093506493511</v>
      </c>
      <c r="BJ2019" s="318">
        <f>SUMIFS($AU$1388:AU2020,$Q$1388:Q2020,"S")</f>
        <v>27328</v>
      </c>
      <c r="BK2019" s="343">
        <f>SUMIFS($AU$1388:AU2020,$P$1388:P2020,"W")</f>
        <v>39771.273506493846</v>
      </c>
      <c r="BL2019" s="343">
        <f>SUMIFS($AU$1388:AU2020,$P$1388:P2020,"R")</f>
        <v>18506.000000000284</v>
      </c>
      <c r="BM2019" s="343">
        <f>SUMIFS($AU$1388:AU2020,$AQ$1388:AQ2020,"M")</f>
        <v>9793.3799999992334</v>
      </c>
      <c r="BN2019" s="343">
        <f>SUMIFS($AU$1388:AU2020,$AQ$1388:AQ2020,"H")</f>
        <v>20915.200000000706</v>
      </c>
      <c r="BO2019" s="343">
        <f>SUMIFS($AU$1388:AU2020,$AQ$1388:AQ2020,"D")</f>
        <v>13977.507142857021</v>
      </c>
      <c r="BP2019" s="343">
        <f>SUMIFS($AS$1388:AS2712,$AO$1388:AO2712,"W")</f>
        <v>0</v>
      </c>
      <c r="BQ2019" s="343">
        <f>SUMIFS($AU$1388:AU2020,$Q$1388:Q2020,"O")</f>
        <v>1737.2600000000671</v>
      </c>
      <c r="BR2019" s="343">
        <f>SUMIFS($AU$1388:AU2020,$AA$1388:AA2020,"*")</f>
        <v>45957.436363636196</v>
      </c>
      <c r="BS2019" s="343">
        <f>SUMIFS($AU$1388:AU2020,$AB$1388:AB2020,"*")</f>
        <v>10383.860000000041</v>
      </c>
      <c r="BT2019" s="343">
        <f>SUMIFS($AU$1388:AU2020,$AC$1388:AC2020,"*")</f>
        <v>31682.093506493675</v>
      </c>
      <c r="BU2019" s="343">
        <f>SUMIFS($AU$1388:AU2020,$AA$1388:AA2020,"*",$AB$1388:AB2020,"*")</f>
        <v>5423.9999999998217</v>
      </c>
      <c r="BV2019" s="343">
        <f>SUMIFS($AU$1388:AU2020,$AA$1388:AA2020,"*",$AC$1388:AC2020,"*")</f>
        <v>19728.036363636533</v>
      </c>
      <c r="BW2019" s="343">
        <f>SUMIFS($AU$1388:AU2020,$AB$1388:AB2020,"*",$AC$1388:AC2020,"*")</f>
        <v>7119.9999999999982</v>
      </c>
      <c r="BX2019" s="343">
        <f>SUMIFS($AV$1388:AV2020,$Q$1388:Q2020,"F")</f>
        <v>418.22475235412151</v>
      </c>
      <c r="BY2019" s="343">
        <f>SUMIFS($AV$1388:AV2020,$Q$1388:Q2020,"S")</f>
        <v>848.03991333429894</v>
      </c>
      <c r="BZ2019" s="343">
        <f>SUMIFS($AV$1388:AV2020,$Q$1388:Q2020,"O")</f>
        <v>628.95929999975738</v>
      </c>
    </row>
    <row r="2020" spans="1:78" ht="15.75" customHeight="1">
      <c r="A2020" s="177" t="s">
        <v>6310</v>
      </c>
      <c r="B2020" s="200">
        <v>45432</v>
      </c>
      <c r="C2020" s="178"/>
      <c r="D2020" s="178" t="s">
        <v>132</v>
      </c>
      <c r="E2020" s="227"/>
      <c r="F2020" s="180"/>
      <c r="G2020" s="481" t="s">
        <v>3990</v>
      </c>
      <c r="H2020" s="182"/>
      <c r="I2020" s="182"/>
      <c r="J2020" s="182"/>
      <c r="K2020" s="183"/>
      <c r="L2020" s="182"/>
      <c r="M2020" s="182"/>
      <c r="N2020" s="182"/>
      <c r="O2020" s="183" t="s">
        <v>95</v>
      </c>
      <c r="P2020" s="183" t="s">
        <v>96</v>
      </c>
      <c r="Q2020" s="183" t="s">
        <v>97</v>
      </c>
      <c r="R2020" s="183">
        <v>4</v>
      </c>
      <c r="S2020" s="183">
        <v>0</v>
      </c>
      <c r="T2020" s="183">
        <v>2</v>
      </c>
      <c r="U2020" s="183" t="s">
        <v>97</v>
      </c>
      <c r="V2020" s="183"/>
      <c r="W2020" s="183"/>
      <c r="X2020" s="183"/>
      <c r="Y2020" s="184">
        <f t="shared" si="679"/>
        <v>0.01</v>
      </c>
      <c r="Z2020" s="185">
        <f>IF(ISBLANK(O2020),"",IF(O2020="IB",8.63*200,IF(O2020="IR",16*100,IF(O2020="YT",20*100,IF(O2020="YT-XT",24*200,IF(O2020="TED",80*100,IF(O2020="XT",29*200)))))))</f>
        <v>1600</v>
      </c>
      <c r="AA2020" s="185" t="s">
        <v>6489</v>
      </c>
      <c r="AB2020" s="185"/>
      <c r="AC2020" s="185"/>
      <c r="AD2020" s="649">
        <v>-0.06</v>
      </c>
      <c r="AE2020" s="182"/>
      <c r="AF2020" s="332"/>
      <c r="AG2020" s="182"/>
      <c r="AH2020" s="182"/>
      <c r="AI2020" s="182"/>
      <c r="AJ2020" s="640"/>
      <c r="AK2020" s="182"/>
      <c r="AL2020" s="496">
        <f t="shared" si="658"/>
        <v>-32</v>
      </c>
      <c r="AM2020" s="496">
        <f t="shared" si="683"/>
        <v>-128</v>
      </c>
      <c r="AN2020" s="626"/>
      <c r="AO2020" s="182"/>
      <c r="AP2020" s="182"/>
      <c r="AQ2020" s="332" t="str">
        <f>UPPER(RIGHT(Journal_Live[[#This Row],[DURATION ]]))</f>
        <v/>
      </c>
      <c r="AR2020" s="182"/>
      <c r="AS2020" s="189">
        <v>-0.06</v>
      </c>
      <c r="AT2020" s="189">
        <f t="shared" si="681"/>
        <v>0</v>
      </c>
      <c r="AU2020" s="187">
        <f t="shared" si="682"/>
        <v>0</v>
      </c>
      <c r="AV2020" s="190">
        <f t="shared" si="684"/>
        <v>0</v>
      </c>
      <c r="AW2020" s="191" t="s">
        <v>115</v>
      </c>
      <c r="AX2020" s="551"/>
      <c r="AY2020" s="551"/>
      <c r="AZ2020" s="551"/>
      <c r="BA2020" s="551"/>
      <c r="BB2020" s="551"/>
      <c r="BC2020" s="551"/>
      <c r="BD2020" s="549"/>
      <c r="BE2020" s="550"/>
      <c r="BF2020" s="549"/>
      <c r="BG2020" s="391">
        <f>SUM($AV$1389:AV2020)</f>
        <v>4143.2239656881839</v>
      </c>
      <c r="BH2020" s="392">
        <f>SUM($AU$1389:AU2020)</f>
        <v>59031.353506493557</v>
      </c>
      <c r="BI2020" s="318">
        <f>SUMIFS($AU$1388:AU2381,$Q$1388:Q2381,"F")</f>
        <v>28758.758121878131</v>
      </c>
      <c r="BJ2020" s="318">
        <f>SUMIFS($AU$1388:AU2381,$Q$1388:Q2381,"S")</f>
        <v>18338.285714285717</v>
      </c>
      <c r="BK2020" s="343">
        <f>SUMIFS($AU$1388:AU2381,$P$1388:P2381,"W")</f>
        <v>16085.423836163443</v>
      </c>
      <c r="BL2020" s="343">
        <f>SUMIFS($AU$1388:AU2381,$P$1388:P2381,"R")</f>
        <v>23278.800000000327</v>
      </c>
      <c r="BM2020" s="343">
        <f>SUMIFS($AU$1388:AU2381,$AQ$1388:AQ2381,"M")</f>
        <v>9563.1799999983832</v>
      </c>
      <c r="BN2020" s="343">
        <f>SUMIFS($AU$1388:AU2381,$AQ$1388:AQ2381,"H")</f>
        <v>12587.200000000877</v>
      </c>
      <c r="BO2020" s="343">
        <f>SUMIFS($AU$1388:AU2381,$AQ$1388:AQ2381,"D")</f>
        <v>11195.57747252718</v>
      </c>
      <c r="BP2020" s="343">
        <f>SUMIFS($AS$1388:AS2713,$AO$1388:AO2713,"W")</f>
        <v>0</v>
      </c>
      <c r="BQ2020" s="343">
        <f>SUMIFS($AU$1388:AU2381,$Q$1388:Q2381,"O")</f>
        <v>-9366.1400000007852</v>
      </c>
      <c r="BR2020" s="343">
        <f>SUMIFS($AU$1388:AU2381,$AA$1388:AA2381,"*")</f>
        <v>39156.002077921221</v>
      </c>
      <c r="BS2020" s="343">
        <f>SUMIFS($AU$1388:AU2381,$AB$1388:AB2381,"*")</f>
        <v>7005.8599999997941</v>
      </c>
      <c r="BT2020" s="343">
        <f>SUMIFS($AU$1388:AU2381,$AC$1388:AC2381,"*")</f>
        <v>31968.358121878122</v>
      </c>
      <c r="BU2020" s="343">
        <f>SUMIFS($AU$1388:AU2381,$AA$1388:AA2381,"*",$AB$1388:AB2381,"*")</f>
        <v>7301.9999999995771</v>
      </c>
      <c r="BV2020" s="343">
        <f>SUMIFS($AU$1388:AU2381,$AA$1388:AA2381,"*",$AC$1388:AC2381,"*")</f>
        <v>29949.316363636532</v>
      </c>
      <c r="BW2020" s="343">
        <f>SUMIFS($AU$1388:AU2381,$AB$1388:AB2381,"*",$AC$1388:AC2381,"*")</f>
        <v>3739.199999999998</v>
      </c>
      <c r="BX2020" s="343">
        <f>SUMIFS($AV$1388:AV2381,$Q$1388:Q2381,"F")</f>
        <v>396.72999236351012</v>
      </c>
      <c r="BY2020" s="343">
        <f>SUMIFS($AV$1388:AV2381,$Q$1388:Q2381,"S")</f>
        <v>775.76285705724263</v>
      </c>
      <c r="BZ2020" s="343">
        <f>SUMIFS($AV$1388:AV2381,$Q$1388:Q2381,"O")</f>
        <v>569.29929999965555</v>
      </c>
    </row>
    <row r="2021" spans="1:78" ht="15.75" customHeight="1">
      <c r="A2021" s="177" t="s">
        <v>6310</v>
      </c>
      <c r="B2021" s="200">
        <v>45434</v>
      </c>
      <c r="C2021" s="178" t="s">
        <v>3787</v>
      </c>
      <c r="D2021" s="178" t="s">
        <v>151</v>
      </c>
      <c r="E2021" s="227"/>
      <c r="F2021" s="180"/>
      <c r="G2021" s="490" t="s">
        <v>6490</v>
      </c>
      <c r="H2021" s="182"/>
      <c r="I2021" s="182"/>
      <c r="J2021" s="182"/>
      <c r="K2021" s="183"/>
      <c r="L2021" s="182">
        <v>1</v>
      </c>
      <c r="M2021" s="182"/>
      <c r="N2021" s="182"/>
      <c r="O2021" s="183" t="s">
        <v>95</v>
      </c>
      <c r="P2021" s="183" t="s">
        <v>137</v>
      </c>
      <c r="Q2021" s="183" t="s">
        <v>256</v>
      </c>
      <c r="R2021" s="183">
        <v>135</v>
      </c>
      <c r="S2021" s="183">
        <v>111</v>
      </c>
      <c r="T2021" s="183">
        <v>75</v>
      </c>
      <c r="U2021" s="183" t="s">
        <v>22</v>
      </c>
      <c r="V2021" s="183"/>
      <c r="W2021" s="183"/>
      <c r="X2021" s="183"/>
      <c r="Y2021" s="184">
        <f t="shared" si="679"/>
        <v>0.01</v>
      </c>
      <c r="Z2021" s="185">
        <f>IF(ISBLANK(O2021),"",IF(O2021="IB",8.63*200,IF(O2021="IR",16*100,IF(O2021="YT",20*100,IF(O2021="YT-XT",24*200,IF(O2021="TED",80*100,IF(O2021="XT",29*200)))))))</f>
        <v>1600</v>
      </c>
      <c r="AA2021" s="185" t="s">
        <v>6491</v>
      </c>
      <c r="AB2021" s="185"/>
      <c r="AC2021" s="185" t="s">
        <v>6492</v>
      </c>
      <c r="AD2021" s="649">
        <f>((-0.03*75)+(-0.02*60))/135</f>
        <v>-2.5555555555555557E-2</v>
      </c>
      <c r="AE2021" s="182"/>
      <c r="AF2021" s="332"/>
      <c r="AG2021" s="182"/>
      <c r="AH2021" s="182"/>
      <c r="AI2021" s="182"/>
      <c r="AJ2021" s="640"/>
      <c r="AK2021" s="182"/>
      <c r="AL2021" s="496">
        <f>-0.015*Z2021</f>
        <v>-24</v>
      </c>
      <c r="AM2021" s="496">
        <f t="shared" si="683"/>
        <v>-576</v>
      </c>
      <c r="AN2021" s="626" t="s">
        <v>5819</v>
      </c>
      <c r="AO2021" s="182"/>
      <c r="AP2021" s="182"/>
      <c r="AQ2021" s="332" t="s">
        <v>96</v>
      </c>
      <c r="AR2021" s="182" t="s">
        <v>6493</v>
      </c>
      <c r="AS2021" s="189">
        <f>((-0.02*5)+(-0.01*50)+(-0.02*5)+(-0.01*25)+(-0.02*26)+(-0.02*24))/135</f>
        <v>-1.4444444444444444E-2</v>
      </c>
      <c r="AT2021" s="189">
        <f t="shared" si="681"/>
        <v>1.1111111111111113E-2</v>
      </c>
      <c r="AU2021" s="187">
        <f t="shared" si="682"/>
        <v>2400.0000000000005</v>
      </c>
      <c r="AV2021" s="190">
        <f t="shared" ref="AV2021:AV2628" si="685">IF(ISBLANK(AS2021),,(AT2021*Z2021))</f>
        <v>17.777777777777782</v>
      </c>
      <c r="AW2021" s="191" t="s">
        <v>96</v>
      </c>
      <c r="AX2021" s="549" t="s">
        <v>6494</v>
      </c>
      <c r="AY2021" s="549" t="s">
        <v>6495</v>
      </c>
      <c r="AZ2021" s="551" t="s">
        <v>6496</v>
      </c>
      <c r="BA2021" s="549"/>
      <c r="BB2021" s="549"/>
      <c r="BC2021" s="551"/>
      <c r="BD2021" s="549" t="s">
        <v>6497</v>
      </c>
      <c r="BE2021" s="550"/>
      <c r="BF2021" s="549"/>
      <c r="BG2021" s="391">
        <f>SUM($AV$1389:AV2021)</f>
        <v>4161.0017434659612</v>
      </c>
      <c r="BH2021" s="392">
        <f>SUM($AU$1389:AU2021)</f>
        <v>61431.353506493557</v>
      </c>
      <c r="BI2021" s="318">
        <f>SUMIFS($AU$1388:AU2022,$Q$1388:Q2022,"F")</f>
        <v>30642.093506493511</v>
      </c>
      <c r="BJ2021" s="318">
        <f>SUMIFS($AU$1388:AU2022,$Q$1388:Q2022,"S")</f>
        <v>27328</v>
      </c>
      <c r="BK2021" s="343">
        <f>SUMIFS($AU$1388:AU2022,$P$1388:P2022,"W")</f>
        <v>39771.273506493846</v>
      </c>
      <c r="BL2021" s="343">
        <f>SUMIFS($AU$1388:AU2022,$P$1388:P2022,"R")</f>
        <v>20906.000000000284</v>
      </c>
      <c r="BM2021" s="343">
        <f>SUMIFS($AU$1388:AU2022,$AQ$1388:AQ2022,"M")</f>
        <v>9793.3799999992334</v>
      </c>
      <c r="BN2021" s="343">
        <f>SUMIFS($AU$1388:AU2022,$AQ$1388:AQ2022,"H")</f>
        <v>20915.200000000706</v>
      </c>
      <c r="BO2021" s="343">
        <f>SUMIFS($AU$1388:AU2022,$AQ$1388:AQ2022,"D")</f>
        <v>13977.507142857021</v>
      </c>
      <c r="BP2021" s="343">
        <f>SUMIFS($AS$1388:AS2702,$AO$1388:AO2702,"W")</f>
        <v>0</v>
      </c>
      <c r="BQ2021" s="343">
        <f>SUMIFS($AU$1388:AU2022,$Q$1388:Q2022,"O")</f>
        <v>1737.2600000000671</v>
      </c>
      <c r="BR2021" s="343">
        <f>SUMIFS($AU$1388:AU2022,$AA$1388:AA2022,"*")</f>
        <v>48357.436363636196</v>
      </c>
      <c r="BS2021" s="343">
        <f>SUMIFS($AU$1388:AU2022,$AB$1388:AB2022,"*")</f>
        <v>10383.860000000041</v>
      </c>
      <c r="BT2021" s="343">
        <f>SUMIFS($AU$1388:AU2022,$AC$1388:AC2022,"*")</f>
        <v>34082.093506493678</v>
      </c>
      <c r="BU2021" s="343">
        <f>SUMIFS($AU$1388:AU2022,$AA$1388:AA2022,"*",$AB$1388:AB2022,"*")</f>
        <v>5423.9999999998217</v>
      </c>
      <c r="BV2021" s="343">
        <f>SUMIFS($AU$1388:AU2022,$AA$1388:AA2022,"*",$AC$1388:AC2022,"*")</f>
        <v>22128.036363636533</v>
      </c>
      <c r="BW2021" s="343">
        <f>SUMIFS($AU$1388:AU2022,$AB$1388:AB2022,"*",$AC$1388:AC2022,"*")</f>
        <v>7119.9999999999982</v>
      </c>
      <c r="BX2021" s="343">
        <f>SUMIFS($AV$1388:AV2022,$Q$1388:Q2022,"F")</f>
        <v>436.00253013189928</v>
      </c>
      <c r="BY2021" s="343">
        <f>SUMIFS($AV$1388:AV2022,$Q$1388:Q2022,"S")</f>
        <v>848.03991333429894</v>
      </c>
      <c r="BZ2021" s="343">
        <f>SUMIFS($AV$1388:AV2022,$Q$1388:Q2022,"O")</f>
        <v>628.95929999975738</v>
      </c>
    </row>
    <row r="2022" spans="1:78" ht="15.75" customHeight="1">
      <c r="A2022" s="177" t="s">
        <v>6310</v>
      </c>
      <c r="B2022" s="200"/>
      <c r="C2022" s="178"/>
      <c r="D2022" s="178"/>
      <c r="E2022" s="227"/>
      <c r="F2022" s="180"/>
      <c r="G2022" s="181"/>
      <c r="H2022" s="182"/>
      <c r="I2022" s="182"/>
      <c r="J2022" s="182"/>
      <c r="K2022" s="183"/>
      <c r="L2022" s="182"/>
      <c r="M2022" s="182"/>
      <c r="N2022" s="182"/>
      <c r="O2022" s="183"/>
      <c r="P2022" s="183"/>
      <c r="Q2022" s="183"/>
      <c r="R2022" s="183"/>
      <c r="S2022" s="183"/>
      <c r="T2022" s="183"/>
      <c r="U2022" s="183"/>
      <c r="V2022" s="183"/>
      <c r="W2022" s="183"/>
      <c r="X2022" s="183"/>
      <c r="Y2022" s="184"/>
      <c r="Z2022" s="185"/>
      <c r="AA2022" s="185"/>
      <c r="AB2022" s="185"/>
      <c r="AC2022" s="185"/>
      <c r="AD2022" s="649"/>
      <c r="AE2022" s="182"/>
      <c r="AF2022" s="332"/>
      <c r="AG2022" s="182"/>
      <c r="AH2022" s="182"/>
      <c r="AI2022" s="182"/>
      <c r="AJ2022" s="640"/>
      <c r="AK2022" s="182"/>
      <c r="AL2022" s="496">
        <f t="shared" si="658"/>
        <v>0</v>
      </c>
      <c r="AM2022" s="496">
        <f t="shared" si="683"/>
        <v>0</v>
      </c>
      <c r="AN2022" s="626"/>
      <c r="AO2022" s="182"/>
      <c r="AP2022" s="182"/>
      <c r="AQ2022" s="332" t="str">
        <f>UPPER(RIGHT(Journal_Live[[#This Row],[DURATION ]]))</f>
        <v/>
      </c>
      <c r="AR2022" s="182"/>
      <c r="AS2022" s="189"/>
      <c r="AT2022" s="189"/>
      <c r="AU2022" s="187"/>
      <c r="AV2022" s="190"/>
      <c r="AW2022" s="191"/>
      <c r="AX2022" s="549" t="s">
        <v>6498</v>
      </c>
      <c r="AY2022" s="549" t="s">
        <v>6468</v>
      </c>
      <c r="AZ2022" s="549" t="s">
        <v>6469</v>
      </c>
      <c r="BA2022" s="549" t="s">
        <v>6499</v>
      </c>
      <c r="BB2022" s="549" t="s">
        <v>6500</v>
      </c>
      <c r="BC2022" s="551"/>
      <c r="BD2022" s="549"/>
      <c r="BE2022" s="550"/>
      <c r="BF2022" s="549"/>
      <c r="BG2022" s="391">
        <f>SUM($AV$1389:AV2022)</f>
        <v>4161.0017434659612</v>
      </c>
      <c r="BH2022" s="392">
        <f>SUM($AU$1389:AU2022)</f>
        <v>61431.353506493557</v>
      </c>
      <c r="BI2022" s="318">
        <f>SUMIFS($AU$1388:AU2023,$Q$1388:Q2023,"F")</f>
        <v>30642.093506493511</v>
      </c>
      <c r="BJ2022" s="318">
        <f>SUMIFS($AU$1388:AU2023,$Q$1388:Q2023,"S")</f>
        <v>27328</v>
      </c>
      <c r="BK2022" s="343">
        <f>SUMIFS($AU$1388:AU2023,$P$1388:P2023,"W")</f>
        <v>39771.273506493846</v>
      </c>
      <c r="BL2022" s="343">
        <f>SUMIFS($AU$1388:AU2023,$P$1388:P2023,"R")</f>
        <v>20906.000000000284</v>
      </c>
      <c r="BM2022" s="343">
        <f>SUMIFS($AU$1388:AU2023,$AQ$1388:AQ2023,"M")</f>
        <v>9793.3799999992334</v>
      </c>
      <c r="BN2022" s="343">
        <f>SUMIFS($AU$1388:AU2023,$AQ$1388:AQ2023,"H")</f>
        <v>20915.200000000706</v>
      </c>
      <c r="BO2022" s="343">
        <f>SUMIFS($AU$1388:AU2023,$AQ$1388:AQ2023,"D")</f>
        <v>13977.507142857021</v>
      </c>
      <c r="BP2022" s="343">
        <f>SUMIFS($AS$1388:AS2703,$AO$1388:AO2703,"W")</f>
        <v>0</v>
      </c>
      <c r="BQ2022" s="343">
        <f>SUMIFS($AU$1388:AU2023,$Q$1388:Q2023,"O")</f>
        <v>1737.2600000000671</v>
      </c>
      <c r="BR2022" s="343">
        <f>SUMIFS($AU$1388:AU2023,$AA$1388:AA2023,"*")</f>
        <v>48357.436363636196</v>
      </c>
      <c r="BS2022" s="343">
        <f>SUMIFS($AU$1388:AU2023,$AB$1388:AB2023,"*")</f>
        <v>10383.860000000041</v>
      </c>
      <c r="BT2022" s="343">
        <f>SUMIFS($AU$1388:AU2023,$AC$1388:AC2023,"*")</f>
        <v>34082.093506493678</v>
      </c>
      <c r="BU2022" s="343">
        <f>SUMIFS($AU$1388:AU2023,$AA$1388:AA2023,"*",$AB$1388:AB2023,"*")</f>
        <v>5423.9999999998217</v>
      </c>
      <c r="BV2022" s="343">
        <f>SUMIFS($AU$1388:AU2023,$AA$1388:AA2023,"*",$AC$1388:AC2023,"*")</f>
        <v>22128.036363636533</v>
      </c>
      <c r="BW2022" s="343">
        <f>SUMIFS($AU$1388:AU2023,$AB$1388:AB2023,"*",$AC$1388:AC2023,"*")</f>
        <v>7119.9999999999982</v>
      </c>
      <c r="BX2022" s="343">
        <f>SUMIFS($AV$1388:AV2023,$Q$1388:Q2023,"F")</f>
        <v>436.00253013189928</v>
      </c>
      <c r="BY2022" s="343">
        <f>SUMIFS($AV$1388:AV2023,$Q$1388:Q2023,"S")</f>
        <v>848.03991333429894</v>
      </c>
      <c r="BZ2022" s="343">
        <f>SUMIFS($AV$1388:AV2023,$Q$1388:Q2023,"O")</f>
        <v>628.95929999975738</v>
      </c>
    </row>
    <row r="2023" spans="1:78" ht="15.75" customHeight="1">
      <c r="A2023" s="177" t="s">
        <v>6310</v>
      </c>
      <c r="B2023" s="200"/>
      <c r="C2023" s="178"/>
      <c r="D2023" s="178"/>
      <c r="E2023" s="227"/>
      <c r="F2023" s="180"/>
      <c r="G2023" s="181"/>
      <c r="H2023" s="182"/>
      <c r="I2023" s="182"/>
      <c r="J2023" s="182"/>
      <c r="K2023" s="183"/>
      <c r="L2023" s="182"/>
      <c r="M2023" s="182"/>
      <c r="N2023" s="182"/>
      <c r="O2023" s="183"/>
      <c r="P2023" s="183"/>
      <c r="Q2023" s="183"/>
      <c r="R2023" s="183"/>
      <c r="S2023" s="183"/>
      <c r="T2023" s="183"/>
      <c r="U2023" s="183"/>
      <c r="V2023" s="183"/>
      <c r="W2023" s="183"/>
      <c r="X2023" s="183"/>
      <c r="Y2023" s="184"/>
      <c r="Z2023" s="185"/>
      <c r="AA2023" s="185"/>
      <c r="AB2023" s="185"/>
      <c r="AC2023" s="185"/>
      <c r="AD2023" s="649"/>
      <c r="AE2023" s="182"/>
      <c r="AF2023" s="332"/>
      <c r="AG2023" s="182"/>
      <c r="AH2023" s="182"/>
      <c r="AI2023" s="182"/>
      <c r="AJ2023" s="640"/>
      <c r="AK2023" s="182"/>
      <c r="AL2023" s="496">
        <f t="shared" si="658"/>
        <v>0</v>
      </c>
      <c r="AM2023" s="496">
        <f t="shared" si="683"/>
        <v>0</v>
      </c>
      <c r="AN2023" s="626"/>
      <c r="AO2023" s="182"/>
      <c r="AP2023" s="182"/>
      <c r="AQ2023" s="332" t="str">
        <f>UPPER(RIGHT(Journal_Live[[#This Row],[DURATION ]]))</f>
        <v/>
      </c>
      <c r="AR2023" s="182"/>
      <c r="AS2023" s="189"/>
      <c r="AT2023" s="189"/>
      <c r="AU2023" s="187"/>
      <c r="AV2023" s="190"/>
      <c r="AW2023" s="191"/>
      <c r="AX2023" s="551" t="s">
        <v>6501</v>
      </c>
      <c r="AY2023" s="551" t="s">
        <v>6502</v>
      </c>
      <c r="AZ2023" s="551" t="s">
        <v>6201</v>
      </c>
      <c r="BA2023" s="551" t="s">
        <v>6150</v>
      </c>
      <c r="BB2023" s="551"/>
      <c r="BC2023" s="551"/>
      <c r="BD2023" s="549"/>
      <c r="BE2023" s="550"/>
      <c r="BF2023" s="549"/>
      <c r="BG2023" s="391">
        <f>SUM($AV$1389:AV2023)</f>
        <v>4161.0017434659612</v>
      </c>
      <c r="BH2023" s="392">
        <f>SUM($AU$1389:AU2023)</f>
        <v>61431.353506493557</v>
      </c>
      <c r="BI2023" s="318">
        <f>SUMIFS($AU$1388:AU2024,$Q$1388:Q2024,"F")</f>
        <v>30642.093506493511</v>
      </c>
      <c r="BJ2023" s="318">
        <f>SUMIFS($AU$1388:AU2024,$Q$1388:Q2024,"S")</f>
        <v>27328</v>
      </c>
      <c r="BK2023" s="343">
        <f>SUMIFS($AU$1388:AU2024,$P$1388:P2024,"W")</f>
        <v>39771.273506493846</v>
      </c>
      <c r="BL2023" s="343">
        <f>SUMIFS($AU$1388:AU2024,$P$1388:P2024,"R")</f>
        <v>18985.999999999985</v>
      </c>
      <c r="BM2023" s="343">
        <f>SUMIFS($AU$1388:AU2024,$AQ$1388:AQ2024,"M")</f>
        <v>9793.3799999992334</v>
      </c>
      <c r="BN2023" s="343">
        <f>SUMIFS($AU$1388:AU2024,$AQ$1388:AQ2024,"H")</f>
        <v>18995.200000000405</v>
      </c>
      <c r="BO2023" s="343">
        <f>SUMIFS($AU$1388:AU2024,$AQ$1388:AQ2024,"D")</f>
        <v>13977.507142857021</v>
      </c>
      <c r="BP2023" s="343">
        <f>SUMIFS($AS$1388:AS2704,$AO$1388:AO2704,"W")</f>
        <v>0</v>
      </c>
      <c r="BQ2023" s="343">
        <f>SUMIFS($AU$1388:AU2024,$Q$1388:Q2024,"O")</f>
        <v>-182.74000000023307</v>
      </c>
      <c r="BR2023" s="343">
        <f>SUMIFS($AU$1388:AU2024,$AA$1388:AA2024,"*")</f>
        <v>46437.436363635898</v>
      </c>
      <c r="BS2023" s="343">
        <f>SUMIFS($AU$1388:AU2024,$AB$1388:AB2024,"*")</f>
        <v>10383.860000000041</v>
      </c>
      <c r="BT2023" s="343">
        <f>SUMIFS($AU$1388:AU2024,$AC$1388:AC2024,"*")</f>
        <v>34082.093506493678</v>
      </c>
      <c r="BU2023" s="343">
        <f>SUMIFS($AU$1388:AU2024,$AA$1388:AA2024,"*",$AB$1388:AB2024,"*")</f>
        <v>5423.9999999998217</v>
      </c>
      <c r="BV2023" s="343">
        <f>SUMIFS($AU$1388:AU2024,$AA$1388:AA2024,"*",$AC$1388:AC2024,"*")</f>
        <v>22128.036363636533</v>
      </c>
      <c r="BW2023" s="343">
        <f>SUMIFS($AU$1388:AU2024,$AB$1388:AB2024,"*",$AC$1388:AC2024,"*")</f>
        <v>7119.9999999999982</v>
      </c>
      <c r="BX2023" s="343">
        <f>SUMIFS($AV$1388:AV2024,$Q$1388:Q2024,"F")</f>
        <v>436.00253013189928</v>
      </c>
      <c r="BY2023" s="343">
        <f>SUMIFS($AV$1388:AV2024,$Q$1388:Q2024,"S")</f>
        <v>848.03991333429894</v>
      </c>
      <c r="BZ2023" s="343">
        <f>SUMIFS($AV$1388:AV2024,$Q$1388:Q2024,"O")</f>
        <v>564.95929999974737</v>
      </c>
    </row>
    <row r="2024" spans="1:78" ht="15.75" customHeight="1">
      <c r="A2024" s="177" t="s">
        <v>6310</v>
      </c>
      <c r="B2024" s="200">
        <v>45434</v>
      </c>
      <c r="C2024" s="178" t="s">
        <v>2093</v>
      </c>
      <c r="D2024" s="178" t="s">
        <v>151</v>
      </c>
      <c r="E2024" s="227"/>
      <c r="F2024" s="180"/>
      <c r="G2024" s="489" t="s">
        <v>3992</v>
      </c>
      <c r="H2024" s="182"/>
      <c r="I2024" s="182"/>
      <c r="J2024" s="182"/>
      <c r="K2024" s="183"/>
      <c r="L2024" s="182"/>
      <c r="M2024" s="182">
        <v>1</v>
      </c>
      <c r="N2024" s="182"/>
      <c r="O2024" s="183" t="s">
        <v>95</v>
      </c>
      <c r="P2024" s="183" t="s">
        <v>137</v>
      </c>
      <c r="Q2024" s="183" t="s">
        <v>684</v>
      </c>
      <c r="R2024" s="183">
        <v>30</v>
      </c>
      <c r="S2024" s="183">
        <v>0</v>
      </c>
      <c r="T2024" s="183">
        <v>30</v>
      </c>
      <c r="U2024" s="183" t="s">
        <v>22</v>
      </c>
      <c r="V2024" s="183"/>
      <c r="W2024" s="183"/>
      <c r="X2024" s="183"/>
      <c r="Y2024" s="184">
        <f t="shared" ref="Y2024:Y2029" si="686">IF(ISBLANK(O2024),"",(IF(O2024=UPPER("IB"),0.005,0.01)))</f>
        <v>0.01</v>
      </c>
      <c r="Z2024" s="185">
        <f t="shared" ref="Z2024:Z2029" si="687">IF(ISBLANK(O2024),"",IF(O2024="IB",8.63*200,IF(O2024="IR",16*100,IF(O2024="YT",20*100,IF(O2024="YT-XT",24*200,IF(O2024="TED",80*100,IF(O2024="XT",29*200)))))))</f>
        <v>1600</v>
      </c>
      <c r="AA2024" s="185" t="s">
        <v>6503</v>
      </c>
      <c r="AB2024" s="185"/>
      <c r="AC2024" s="185"/>
      <c r="AD2024" s="649">
        <v>95.9</v>
      </c>
      <c r="AE2024" s="182"/>
      <c r="AF2024" s="332"/>
      <c r="AG2024" s="182"/>
      <c r="AH2024" s="182"/>
      <c r="AI2024" s="182"/>
      <c r="AJ2024" s="640"/>
      <c r="AK2024" s="182"/>
      <c r="AL2024" s="496">
        <f>-0.03*Z2024</f>
        <v>-48</v>
      </c>
      <c r="AM2024" s="496">
        <f t="shared" si="683"/>
        <v>-1440</v>
      </c>
      <c r="AN2024" s="626"/>
      <c r="AO2024" s="182"/>
      <c r="AP2024" s="182" t="s">
        <v>1639</v>
      </c>
      <c r="AQ2024" s="332" t="s">
        <v>372</v>
      </c>
      <c r="AR2024" s="182" t="s">
        <v>6034</v>
      </c>
      <c r="AS2024" s="189">
        <v>95.86</v>
      </c>
      <c r="AT2024" s="189">
        <f t="shared" ref="AT2024:AT2029" si="688">IF(ISBLANK(AS2024),,IF(U2024="S",AD2024-AS2024,AS2024-AD2024))</f>
        <v>-4.0000000000006253E-2</v>
      </c>
      <c r="AU2024" s="187">
        <f t="shared" ref="AU2024:AU2029" si="689">AV2024*R2024</f>
        <v>-1920.0000000003001</v>
      </c>
      <c r="AV2024" s="190">
        <f t="shared" si="685"/>
        <v>-64.000000000010004</v>
      </c>
      <c r="AW2024" s="191" t="s">
        <v>229</v>
      </c>
      <c r="AX2024" s="551" t="s">
        <v>6504</v>
      </c>
      <c r="AY2024" s="551" t="s">
        <v>6505</v>
      </c>
      <c r="AZ2024" s="551" t="s">
        <v>6506</v>
      </c>
      <c r="BA2024" s="551" t="s">
        <v>6507</v>
      </c>
      <c r="BB2024" s="551" t="s">
        <v>6508</v>
      </c>
      <c r="BC2024" s="551"/>
      <c r="BD2024" s="551" t="s">
        <v>6505</v>
      </c>
      <c r="BE2024" s="550"/>
      <c r="BF2024" s="549"/>
      <c r="BG2024" s="391">
        <f>SUM($AV$1389:AV2024)</f>
        <v>4097.0017434659512</v>
      </c>
      <c r="BH2024" s="392">
        <f>SUM($AU$1389:AU2024)</f>
        <v>59511.353506493258</v>
      </c>
      <c r="BI2024" s="318">
        <f>SUMIFS($AU$1388:AU2025,$Q$1388:Q2025,"F")</f>
        <v>30642.093506493511</v>
      </c>
      <c r="BJ2024" s="318">
        <f>SUMIFS($AU$1388:AU2025,$Q$1388:Q2025,"S")</f>
        <v>27328</v>
      </c>
      <c r="BK2024" s="343">
        <f>SUMIFS($AU$1388:AU2025,$P$1388:P2025,"W")</f>
        <v>39771.273506493846</v>
      </c>
      <c r="BL2024" s="343">
        <f>SUMIFS($AU$1388:AU2025,$P$1388:P2025,"R")</f>
        <v>17386.000000000076</v>
      </c>
      <c r="BM2024" s="343">
        <f>SUMIFS($AU$1388:AU2025,$AQ$1388:AQ2025,"M")</f>
        <v>9793.3799999992334</v>
      </c>
      <c r="BN2024" s="343">
        <f>SUMIFS($AU$1388:AU2025,$AQ$1388:AQ2025,"H")</f>
        <v>17395.200000000495</v>
      </c>
      <c r="BO2024" s="343">
        <f>SUMIFS($AU$1388:AU2025,$AQ$1388:AQ2025,"D")</f>
        <v>13977.507142857021</v>
      </c>
      <c r="BP2024" s="343">
        <f>SUMIFS($AS$1388:AS2705,$AO$1388:AO2705,"W")</f>
        <v>0</v>
      </c>
      <c r="BQ2024" s="343">
        <f>SUMIFS($AU$1388:AU2025,$Q$1388:Q2025,"O")</f>
        <v>-1782.7400000001421</v>
      </c>
      <c r="BR2024" s="343">
        <f>SUMIFS($AU$1388:AU2025,$AA$1388:AA2025,"*")</f>
        <v>44837.436363635992</v>
      </c>
      <c r="BS2024" s="343">
        <f>SUMIFS($AU$1388:AU2025,$AB$1388:AB2025,"*")</f>
        <v>10383.860000000041</v>
      </c>
      <c r="BT2024" s="343">
        <f>SUMIFS($AU$1388:AU2025,$AC$1388:AC2025,"*")</f>
        <v>34082.093506493678</v>
      </c>
      <c r="BU2024" s="343">
        <f>SUMIFS($AU$1388:AU2025,$AA$1388:AA2025,"*",$AB$1388:AB2025,"*")</f>
        <v>5423.9999999998217</v>
      </c>
      <c r="BV2024" s="343">
        <f>SUMIFS($AU$1388:AU2025,$AA$1388:AA2025,"*",$AC$1388:AC2025,"*")</f>
        <v>22128.036363636533</v>
      </c>
      <c r="BW2024" s="343">
        <f>SUMIFS($AU$1388:AU2025,$AB$1388:AB2025,"*",$AC$1388:AC2025,"*")</f>
        <v>7119.9999999999982</v>
      </c>
      <c r="BX2024" s="343">
        <f>SUMIFS($AV$1388:AV2025,$Q$1388:Q2025,"F")</f>
        <v>436.00253013189928</v>
      </c>
      <c r="BY2024" s="343">
        <f>SUMIFS($AV$1388:AV2025,$Q$1388:Q2025,"S")</f>
        <v>848.03991333429894</v>
      </c>
      <c r="BZ2024" s="343">
        <f>SUMIFS($AV$1388:AV2025,$Q$1388:Q2025,"O")</f>
        <v>484.95929999975192</v>
      </c>
    </row>
    <row r="2025" spans="1:78" ht="15.75" customHeight="1">
      <c r="A2025" s="177" t="s">
        <v>6310</v>
      </c>
      <c r="B2025" s="200">
        <v>45434</v>
      </c>
      <c r="C2025" s="178" t="s">
        <v>597</v>
      </c>
      <c r="D2025" s="178" t="s">
        <v>151</v>
      </c>
      <c r="E2025" s="227"/>
      <c r="F2025" s="180"/>
      <c r="G2025" s="489" t="s">
        <v>6466</v>
      </c>
      <c r="H2025" s="182"/>
      <c r="I2025" s="182"/>
      <c r="J2025" s="182"/>
      <c r="K2025" s="183"/>
      <c r="L2025" s="182"/>
      <c r="M2025" s="182">
        <v>1</v>
      </c>
      <c r="N2025" s="182"/>
      <c r="O2025" s="183" t="s">
        <v>95</v>
      </c>
      <c r="P2025" s="183" t="s">
        <v>137</v>
      </c>
      <c r="Q2025" s="183" t="s">
        <v>684</v>
      </c>
      <c r="R2025" s="183">
        <v>20</v>
      </c>
      <c r="S2025" s="183">
        <v>0</v>
      </c>
      <c r="T2025" s="183">
        <v>20</v>
      </c>
      <c r="U2025" s="183" t="s">
        <v>22</v>
      </c>
      <c r="V2025" s="183"/>
      <c r="W2025" s="183"/>
      <c r="X2025" s="183"/>
      <c r="Y2025" s="184">
        <f t="shared" si="686"/>
        <v>0.01</v>
      </c>
      <c r="Z2025" s="185">
        <f t="shared" si="687"/>
        <v>1600</v>
      </c>
      <c r="AA2025" s="185" t="s">
        <v>4942</v>
      </c>
      <c r="AB2025" s="185"/>
      <c r="AC2025" s="185"/>
      <c r="AD2025" s="649">
        <v>96.1</v>
      </c>
      <c r="AE2025" s="182"/>
      <c r="AF2025" s="332"/>
      <c r="AG2025" s="182"/>
      <c r="AH2025" s="182"/>
      <c r="AI2025" s="182"/>
      <c r="AJ2025" s="640"/>
      <c r="AK2025" s="182"/>
      <c r="AL2025" s="496">
        <f>-0.03*Z2025</f>
        <v>-48</v>
      </c>
      <c r="AM2025" s="496">
        <f t="shared" si="683"/>
        <v>-960</v>
      </c>
      <c r="AN2025" s="626"/>
      <c r="AO2025" s="182"/>
      <c r="AP2025" s="182" t="s">
        <v>1639</v>
      </c>
      <c r="AQ2025" s="332" t="s">
        <v>372</v>
      </c>
      <c r="AR2025" s="182" t="s">
        <v>1810</v>
      </c>
      <c r="AS2025" s="189">
        <v>96.05</v>
      </c>
      <c r="AT2025" s="189">
        <f t="shared" si="688"/>
        <v>-4.9999999999997158E-2</v>
      </c>
      <c r="AU2025" s="187">
        <f t="shared" si="689"/>
        <v>-1599.9999999999091</v>
      </c>
      <c r="AV2025" s="190">
        <f t="shared" si="685"/>
        <v>-79.999999999995453</v>
      </c>
      <c r="AW2025" s="191" t="s">
        <v>229</v>
      </c>
      <c r="AX2025" s="551" t="s">
        <v>6509</v>
      </c>
      <c r="AY2025" s="551" t="s">
        <v>6510</v>
      </c>
      <c r="AZ2025" s="551" t="s">
        <v>6511</v>
      </c>
      <c r="BA2025" s="551"/>
      <c r="BB2025" s="551"/>
      <c r="BC2025" s="551"/>
      <c r="BD2025" s="417" t="s">
        <v>6512</v>
      </c>
      <c r="BE2025" s="550"/>
      <c r="BF2025" s="549"/>
      <c r="BG2025" s="391">
        <f>SUM($AV$1389:AV2025)</f>
        <v>4017.0017434659558</v>
      </c>
      <c r="BH2025" s="392">
        <f>SUM($AU$1389:AU2025)</f>
        <v>57911.353506493353</v>
      </c>
      <c r="BI2025" s="318">
        <f>SUMIFS($AU$1388:AU2026,$Q$1388:Q2026,"F")</f>
        <v>30642.093506493511</v>
      </c>
      <c r="BJ2025" s="318">
        <f>SUMIFS($AU$1388:AU2026,$Q$1388:Q2026,"S")</f>
        <v>27328</v>
      </c>
      <c r="BK2025" s="343">
        <f>SUMIFS($AU$1388:AU2026,$P$1388:P2026,"W")</f>
        <v>39771.273506493846</v>
      </c>
      <c r="BL2025" s="343">
        <f>SUMIFS($AU$1388:AU2026,$P$1388:P2026,"R")</f>
        <v>15465.999999999776</v>
      </c>
      <c r="BM2025" s="343">
        <f>SUMIFS($AU$1388:AU2026,$AQ$1388:AQ2026,"M")</f>
        <v>9793.3799999992334</v>
      </c>
      <c r="BN2025" s="343">
        <f>SUMIFS($AU$1388:AU2026,$AQ$1388:AQ2026,"H")</f>
        <v>15475.200000000195</v>
      </c>
      <c r="BO2025" s="343">
        <f>SUMIFS($AU$1388:AU2026,$AQ$1388:AQ2026,"D")</f>
        <v>13977.507142857021</v>
      </c>
      <c r="BP2025" s="343">
        <f>SUMIFS($AS$1388:AS2706,$AO$1388:AO2706,"W")</f>
        <v>0</v>
      </c>
      <c r="BQ2025" s="343">
        <f>SUMIFS($AU$1388:AU2026,$Q$1388:Q2026,"O")</f>
        <v>-3702.7400000004423</v>
      </c>
      <c r="BR2025" s="343">
        <f>SUMIFS($AU$1388:AU2026,$AA$1388:AA2026,"*")</f>
        <v>42917.436363635694</v>
      </c>
      <c r="BS2025" s="343">
        <f>SUMIFS($AU$1388:AU2026,$AB$1388:AB2026,"*")</f>
        <v>10383.860000000041</v>
      </c>
      <c r="BT2025" s="343">
        <f>SUMIFS($AU$1388:AU2026,$AC$1388:AC2026,"*")</f>
        <v>34082.093506493678</v>
      </c>
      <c r="BU2025" s="343">
        <f>SUMIFS($AU$1388:AU2026,$AA$1388:AA2026,"*",$AB$1388:AB2026,"*")</f>
        <v>5423.9999999998217</v>
      </c>
      <c r="BV2025" s="343">
        <f>SUMIFS($AU$1388:AU2026,$AA$1388:AA2026,"*",$AC$1388:AC2026,"*")</f>
        <v>22128.036363636533</v>
      </c>
      <c r="BW2025" s="343">
        <f>SUMIFS($AU$1388:AU2026,$AB$1388:AB2026,"*",$AC$1388:AC2026,"*")</f>
        <v>7119.9999999999982</v>
      </c>
      <c r="BX2025" s="343">
        <f>SUMIFS($AV$1388:AV2026,$Q$1388:Q2026,"F")</f>
        <v>436.00253013189928</v>
      </c>
      <c r="BY2025" s="343">
        <f>SUMIFS($AV$1388:AV2026,$Q$1388:Q2026,"S")</f>
        <v>848.03991333429894</v>
      </c>
      <c r="BZ2025" s="343">
        <f>SUMIFS($AV$1388:AV2026,$Q$1388:Q2026,"O")</f>
        <v>420.95929999974192</v>
      </c>
    </row>
    <row r="2026" spans="1:78" ht="15.75" customHeight="1">
      <c r="A2026" s="177" t="s">
        <v>6310</v>
      </c>
      <c r="B2026" s="200">
        <v>45434</v>
      </c>
      <c r="C2026" s="178" t="s">
        <v>6513</v>
      </c>
      <c r="D2026" s="178" t="s">
        <v>151</v>
      </c>
      <c r="E2026" s="227"/>
      <c r="F2026" s="180"/>
      <c r="G2026" s="481" t="s">
        <v>6466</v>
      </c>
      <c r="H2026" s="182"/>
      <c r="I2026" s="182"/>
      <c r="J2026" s="182"/>
      <c r="K2026" s="183"/>
      <c r="L2026" s="182"/>
      <c r="M2026" s="182">
        <v>1</v>
      </c>
      <c r="N2026" s="182"/>
      <c r="O2026" s="183" t="s">
        <v>95</v>
      </c>
      <c r="P2026" s="183" t="s">
        <v>137</v>
      </c>
      <c r="Q2026" s="183" t="s">
        <v>684</v>
      </c>
      <c r="R2026" s="183">
        <v>30</v>
      </c>
      <c r="S2026" s="183">
        <v>0</v>
      </c>
      <c r="T2026" s="183">
        <v>30</v>
      </c>
      <c r="U2026" s="183" t="s">
        <v>22</v>
      </c>
      <c r="V2026" s="183"/>
      <c r="W2026" s="183"/>
      <c r="X2026" s="183"/>
      <c r="Y2026" s="184">
        <f t="shared" si="686"/>
        <v>0.01</v>
      </c>
      <c r="Z2026" s="185">
        <f t="shared" si="687"/>
        <v>1600</v>
      </c>
      <c r="AA2026" s="185" t="s">
        <v>5245</v>
      </c>
      <c r="AB2026" s="185"/>
      <c r="AC2026" s="185"/>
      <c r="AD2026" s="649">
        <v>96.09</v>
      </c>
      <c r="AE2026" s="182"/>
      <c r="AF2026" s="332"/>
      <c r="AG2026" s="182"/>
      <c r="AH2026" s="182"/>
      <c r="AI2026" s="182"/>
      <c r="AJ2026" s="640"/>
      <c r="AK2026" s="182"/>
      <c r="AL2026" s="496">
        <f>-0.03*Z2026</f>
        <v>-48</v>
      </c>
      <c r="AM2026" s="496">
        <f t="shared" si="683"/>
        <v>-1440</v>
      </c>
      <c r="AN2026" s="626"/>
      <c r="AO2026" s="182"/>
      <c r="AP2026" s="182"/>
      <c r="AQ2026" s="332" t="s">
        <v>372</v>
      </c>
      <c r="AR2026" s="182" t="s">
        <v>1810</v>
      </c>
      <c r="AS2026" s="189">
        <v>96.05</v>
      </c>
      <c r="AT2026" s="189">
        <f t="shared" si="688"/>
        <v>-4.0000000000006253E-2</v>
      </c>
      <c r="AU2026" s="187">
        <f t="shared" si="689"/>
        <v>-1920.0000000003001</v>
      </c>
      <c r="AV2026" s="190">
        <f t="shared" si="685"/>
        <v>-64.000000000010004</v>
      </c>
      <c r="AW2026" s="191" t="s">
        <v>229</v>
      </c>
      <c r="AX2026" s="551" t="s">
        <v>6514</v>
      </c>
      <c r="AY2026" s="551"/>
      <c r="AZ2026" s="551" t="s">
        <v>6506</v>
      </c>
      <c r="BA2026" s="551"/>
      <c r="BB2026" s="551"/>
      <c r="BC2026" s="551"/>
      <c r="BD2026" s="549" t="s">
        <v>6515</v>
      </c>
      <c r="BE2026" s="550" t="s">
        <v>6516</v>
      </c>
      <c r="BF2026" s="549"/>
      <c r="BG2026" s="391">
        <f>SUM($AV$1389:AV2026)</f>
        <v>3953.0017434659458</v>
      </c>
      <c r="BH2026" s="392">
        <f>SUM($AU$1389:AU2026)</f>
        <v>55991.353506493055</v>
      </c>
      <c r="BI2026" s="318">
        <f>SUMIFS($AU$1388:AU2027,$Q$1388:Q2027,"F")</f>
        <v>30642.093506493511</v>
      </c>
      <c r="BJ2026" s="318">
        <f>SUMIFS($AU$1388:AU2027,$Q$1388:Q2027,"S")</f>
        <v>27328</v>
      </c>
      <c r="BK2026" s="343">
        <f>SUMIFS($AU$1388:AU2027,$P$1388:P2027,"W")</f>
        <v>39771.273506493846</v>
      </c>
      <c r="BL2026" s="343">
        <f>SUMIFS($AU$1388:AU2027,$P$1388:P2027,"R")</f>
        <v>13545.999999999778</v>
      </c>
      <c r="BM2026" s="343">
        <f>SUMIFS($AU$1388:AU2027,$AQ$1388:AQ2027,"M")</f>
        <v>9793.3799999992334</v>
      </c>
      <c r="BN2026" s="343">
        <f>SUMIFS($AU$1388:AU2027,$AQ$1388:AQ2027,"H")</f>
        <v>15475.200000000195</v>
      </c>
      <c r="BO2026" s="343">
        <f>SUMIFS($AU$1388:AU2027,$AQ$1388:AQ2027,"D")</f>
        <v>12057.507142857023</v>
      </c>
      <c r="BP2026" s="343">
        <f>SUMIFS($AS$1388:AS2707,$AO$1388:AO2707,"W")</f>
        <v>0</v>
      </c>
      <c r="BQ2026" s="343">
        <f>SUMIFS($AU$1388:AU2027,$Q$1388:Q2027,"O")</f>
        <v>-5622.7400000004418</v>
      </c>
      <c r="BR2026" s="343">
        <f>SUMIFS($AU$1388:AU2027,$AA$1388:AA2027,"*")</f>
        <v>40997.436363635694</v>
      </c>
      <c r="BS2026" s="343">
        <f>SUMIFS($AU$1388:AU2027,$AB$1388:AB2027,"*")</f>
        <v>10383.860000000041</v>
      </c>
      <c r="BT2026" s="343">
        <f>SUMIFS($AU$1388:AU2027,$AC$1388:AC2027,"*")</f>
        <v>34082.093506493678</v>
      </c>
      <c r="BU2026" s="343">
        <f>SUMIFS($AU$1388:AU2027,$AA$1388:AA2027,"*",$AB$1388:AB2027,"*")</f>
        <v>5423.9999999998217</v>
      </c>
      <c r="BV2026" s="343">
        <f>SUMIFS($AU$1388:AU2027,$AA$1388:AA2027,"*",$AC$1388:AC2027,"*")</f>
        <v>22128.036363636533</v>
      </c>
      <c r="BW2026" s="343">
        <f>SUMIFS($AU$1388:AU2027,$AB$1388:AB2027,"*",$AC$1388:AC2027,"*")</f>
        <v>7119.9999999999982</v>
      </c>
      <c r="BX2026" s="343">
        <f>SUMIFS($AV$1388:AV2027,$Q$1388:Q2027,"F")</f>
        <v>436.00253013189928</v>
      </c>
      <c r="BY2026" s="343">
        <f>SUMIFS($AV$1388:AV2027,$Q$1388:Q2027,"S")</f>
        <v>848.03991333429894</v>
      </c>
      <c r="BZ2026" s="343">
        <f>SUMIFS($AV$1388:AV2027,$Q$1388:Q2027,"O")</f>
        <v>356.95929999974192</v>
      </c>
    </row>
    <row r="2027" spans="1:78" ht="15.75" customHeight="1">
      <c r="A2027" s="177" t="s">
        <v>6310</v>
      </c>
      <c r="B2027" s="200">
        <v>45434</v>
      </c>
      <c r="C2027" s="178" t="s">
        <v>6513</v>
      </c>
      <c r="D2027" s="178" t="s">
        <v>151</v>
      </c>
      <c r="E2027" s="227"/>
      <c r="F2027" s="180"/>
      <c r="G2027" s="489" t="s">
        <v>5282</v>
      </c>
      <c r="H2027" s="182"/>
      <c r="I2027" s="182"/>
      <c r="J2027" s="182"/>
      <c r="K2027" s="183"/>
      <c r="L2027" s="182"/>
      <c r="M2027" s="182">
        <v>1</v>
      </c>
      <c r="N2027" s="182"/>
      <c r="O2027" s="183" t="s">
        <v>95</v>
      </c>
      <c r="P2027" s="183" t="s">
        <v>137</v>
      </c>
      <c r="Q2027" s="183" t="s">
        <v>684</v>
      </c>
      <c r="R2027" s="183">
        <v>30</v>
      </c>
      <c r="S2027" s="183">
        <v>0</v>
      </c>
      <c r="T2027" s="183">
        <v>30</v>
      </c>
      <c r="U2027" s="183" t="s">
        <v>97</v>
      </c>
      <c r="V2027" s="183"/>
      <c r="W2027" s="183"/>
      <c r="X2027" s="183"/>
      <c r="Y2027" s="184">
        <f t="shared" si="686"/>
        <v>0.01</v>
      </c>
      <c r="Z2027" s="185">
        <f t="shared" si="687"/>
        <v>1600</v>
      </c>
      <c r="AA2027" s="185" t="s">
        <v>6517</v>
      </c>
      <c r="AB2027" s="185"/>
      <c r="AC2027" s="185"/>
      <c r="AD2027" s="649">
        <v>-0.24</v>
      </c>
      <c r="AE2027" s="182"/>
      <c r="AF2027" s="332"/>
      <c r="AG2027" s="182"/>
      <c r="AH2027" s="182"/>
      <c r="AI2027" s="182" t="s">
        <v>6518</v>
      </c>
      <c r="AJ2027" s="640"/>
      <c r="AK2027" s="182"/>
      <c r="AL2027" s="496">
        <f>-0.03*Z2027</f>
        <v>-48</v>
      </c>
      <c r="AM2027" s="496">
        <f t="shared" si="683"/>
        <v>-1440</v>
      </c>
      <c r="AN2027" s="626"/>
      <c r="AO2027" s="182"/>
      <c r="AP2027" s="182"/>
      <c r="AQ2027" s="332" t="s">
        <v>115</v>
      </c>
      <c r="AR2027" s="182"/>
      <c r="AS2027" s="189">
        <v>-0.2</v>
      </c>
      <c r="AT2027" s="189">
        <f t="shared" si="688"/>
        <v>-3.999999999999998E-2</v>
      </c>
      <c r="AU2027" s="187">
        <f t="shared" si="689"/>
        <v>-1919.9999999999991</v>
      </c>
      <c r="AV2027" s="190">
        <f t="shared" si="685"/>
        <v>-63.999999999999972</v>
      </c>
      <c r="AW2027" s="191" t="s">
        <v>229</v>
      </c>
      <c r="AX2027" s="576" t="s">
        <v>6519</v>
      </c>
      <c r="AY2027" s="551"/>
      <c r="AZ2027" s="551" t="s">
        <v>6520</v>
      </c>
      <c r="BA2027" s="551"/>
      <c r="BB2027" s="551"/>
      <c r="BC2027" s="551"/>
      <c r="BD2027" s="549"/>
      <c r="BE2027" s="550"/>
      <c r="BF2027" s="549"/>
      <c r="BG2027" s="391">
        <f>SUM($AV$1389:AV2027)</f>
        <v>3889.0017434659458</v>
      </c>
      <c r="BH2027" s="392">
        <f>SUM($AU$1389:AU2027)</f>
        <v>54071.353506493055</v>
      </c>
      <c r="BI2027" s="318">
        <f>SUMIFS($AU$1388:AU2028,$Q$1388:Q2028,"F")</f>
        <v>30642.093506493511</v>
      </c>
      <c r="BJ2027" s="318">
        <f>SUMIFS($AU$1388:AU2028,$Q$1388:Q2028,"S")</f>
        <v>27328</v>
      </c>
      <c r="BK2027" s="343">
        <f>SUMIFS($AU$1388:AU2028,$P$1388:P2028,"W")</f>
        <v>39771.273506493846</v>
      </c>
      <c r="BL2027" s="343">
        <f>SUMIFS($AU$1388:AU2028,$P$1388:P2028,"R")</f>
        <v>11626.00000000016</v>
      </c>
      <c r="BM2027" s="343">
        <f>SUMIFS($AU$1388:AU2028,$AQ$1388:AQ2028,"M")</f>
        <v>9793.3799999992334</v>
      </c>
      <c r="BN2027" s="343">
        <f>SUMIFS($AU$1388:AU2028,$AQ$1388:AQ2028,"H")</f>
        <v>13555.200000000577</v>
      </c>
      <c r="BO2027" s="343">
        <f>SUMIFS($AU$1388:AU2028,$AQ$1388:AQ2028,"D")</f>
        <v>12057.507142857023</v>
      </c>
      <c r="BP2027" s="343">
        <f>SUMIFS($AS$1388:AS2708,$AO$1388:AO2708,"W")</f>
        <v>0</v>
      </c>
      <c r="BQ2027" s="343">
        <f>SUMIFS($AU$1388:AU2028,$Q$1388:Q2028,"O")</f>
        <v>-7542.7400000000598</v>
      </c>
      <c r="BR2027" s="343">
        <f>SUMIFS($AU$1388:AU2028,$AA$1388:AA2028,"*")</f>
        <v>39077.436363636079</v>
      </c>
      <c r="BS2027" s="343">
        <f>SUMIFS($AU$1388:AU2028,$AB$1388:AB2028,"*")</f>
        <v>10383.860000000041</v>
      </c>
      <c r="BT2027" s="343">
        <f>SUMIFS($AU$1388:AU2028,$AC$1388:AC2028,"*")</f>
        <v>34082.093506493678</v>
      </c>
      <c r="BU2027" s="343">
        <f>SUMIFS($AU$1388:AU2028,$AA$1388:AA2028,"*",$AB$1388:AB2028,"*")</f>
        <v>5423.9999999998217</v>
      </c>
      <c r="BV2027" s="343">
        <f>SUMIFS($AU$1388:AU2028,$AA$1388:AA2028,"*",$AC$1388:AC2028,"*")</f>
        <v>22128.036363636533</v>
      </c>
      <c r="BW2027" s="343">
        <f>SUMIFS($AU$1388:AU2028,$AB$1388:AB2028,"*",$AC$1388:AC2028,"*")</f>
        <v>7119.9999999999982</v>
      </c>
      <c r="BX2027" s="343">
        <f>SUMIFS($AV$1388:AV2028,$Q$1388:Q2028,"F")</f>
        <v>436.00253013189928</v>
      </c>
      <c r="BY2027" s="343">
        <f>SUMIFS($AV$1388:AV2028,$Q$1388:Q2028,"S")</f>
        <v>848.03991333429894</v>
      </c>
      <c r="BZ2027" s="343">
        <f>SUMIFS($AV$1388:AV2028,$Q$1388:Q2028,"O")</f>
        <v>292.95929999975465</v>
      </c>
    </row>
    <row r="2028" spans="1:78" ht="15.75" customHeight="1">
      <c r="A2028" s="177" t="s">
        <v>6310</v>
      </c>
      <c r="B2028" s="200">
        <v>45434</v>
      </c>
      <c r="C2028" s="178" t="s">
        <v>6513</v>
      </c>
      <c r="D2028" s="178" t="s">
        <v>151</v>
      </c>
      <c r="E2028" s="227"/>
      <c r="F2028" s="180"/>
      <c r="G2028" s="570" t="s">
        <v>6521</v>
      </c>
      <c r="H2028" s="182"/>
      <c r="I2028" s="182"/>
      <c r="J2028" s="182"/>
      <c r="K2028" s="183"/>
      <c r="L2028" s="182"/>
      <c r="M2028" s="182">
        <v>1</v>
      </c>
      <c r="N2028" s="182"/>
      <c r="O2028" s="183" t="s">
        <v>95</v>
      </c>
      <c r="P2028" s="183" t="s">
        <v>137</v>
      </c>
      <c r="Q2028" s="183" t="s">
        <v>684</v>
      </c>
      <c r="R2028" s="183">
        <v>30</v>
      </c>
      <c r="S2028" s="183">
        <v>0</v>
      </c>
      <c r="T2028" s="183">
        <v>30</v>
      </c>
      <c r="U2028" s="183" t="s">
        <v>22</v>
      </c>
      <c r="V2028" s="183"/>
      <c r="W2028" s="183"/>
      <c r="X2028" s="183"/>
      <c r="Y2028" s="184">
        <f t="shared" si="686"/>
        <v>0.01</v>
      </c>
      <c r="Z2028" s="185">
        <f t="shared" si="687"/>
        <v>1600</v>
      </c>
      <c r="AA2028" s="185" t="s">
        <v>4942</v>
      </c>
      <c r="AB2028" s="185"/>
      <c r="AC2028" s="185"/>
      <c r="AD2028" s="649">
        <v>96.05</v>
      </c>
      <c r="AE2028" s="182"/>
      <c r="AF2028" s="332"/>
      <c r="AG2028" s="182"/>
      <c r="AH2028" s="182"/>
      <c r="AI2028" s="182"/>
      <c r="AJ2028" s="640"/>
      <c r="AK2028" s="182"/>
      <c r="AL2028" s="496">
        <f>-0.03*Z2028</f>
        <v>-48</v>
      </c>
      <c r="AM2028" s="496">
        <f t="shared" si="683"/>
        <v>-1440</v>
      </c>
      <c r="AN2028" s="626"/>
      <c r="AO2028" s="182"/>
      <c r="AP2028" s="182"/>
      <c r="AQ2028" s="332" t="s">
        <v>372</v>
      </c>
      <c r="AR2028" s="182" t="s">
        <v>4721</v>
      </c>
      <c r="AS2028" s="189">
        <v>96.01</v>
      </c>
      <c r="AT2028" s="189">
        <f t="shared" si="688"/>
        <v>-3.9999999999992042E-2</v>
      </c>
      <c r="AU2028" s="187">
        <f t="shared" si="689"/>
        <v>-1919.999999999618</v>
      </c>
      <c r="AV2028" s="190">
        <f t="shared" si="685"/>
        <v>-63.999999999987267</v>
      </c>
      <c r="AW2028" s="191" t="s">
        <v>229</v>
      </c>
      <c r="AX2028" s="551" t="s">
        <v>6522</v>
      </c>
      <c r="AY2028" s="551" t="s">
        <v>6523</v>
      </c>
      <c r="AZ2028" s="551" t="s">
        <v>6524</v>
      </c>
      <c r="BA2028" s="551"/>
      <c r="BB2028" s="551"/>
      <c r="BC2028" s="551"/>
      <c r="BD2028" s="549" t="s">
        <v>6525</v>
      </c>
      <c r="BE2028" s="550" t="s">
        <v>6526</v>
      </c>
      <c r="BF2028" s="549"/>
      <c r="BG2028" s="391">
        <f>SUM($AV$1389:AV2028)</f>
        <v>3825.0017434659585</v>
      </c>
      <c r="BH2028" s="392">
        <f>SUM($AU$1389:AU2028)</f>
        <v>52151.35350649344</v>
      </c>
      <c r="BI2028" s="318">
        <f>SUMIFS($AU$1388:AU2029,$Q$1388:Q2029,"F")</f>
        <v>30642.093506493511</v>
      </c>
      <c r="BJ2028" s="318">
        <f>SUMIFS($AU$1388:AU2029,$Q$1388:Q2029,"S")</f>
        <v>27328</v>
      </c>
      <c r="BK2028" s="343">
        <f>SUMIFS($AU$1388:AU2029,$P$1388:P2029,"W")</f>
        <v>39771.273506493846</v>
      </c>
      <c r="BL2028" s="343">
        <f>SUMIFS($AU$1388:AU2029,$P$1388:P2029,"R")</f>
        <v>11626.00000000016</v>
      </c>
      <c r="BM2028" s="343">
        <f>SUMIFS($AU$1388:AU2029,$AQ$1388:AQ2029,"M")</f>
        <v>9793.3799999992334</v>
      </c>
      <c r="BN2028" s="343">
        <f>SUMIFS($AU$1388:AU2029,$AQ$1388:AQ2029,"H")</f>
        <v>15475.200000000877</v>
      </c>
      <c r="BO2028" s="343">
        <f>SUMIFS($AU$1388:AU2029,$AQ$1388:AQ2029,"D")</f>
        <v>12057.507142857023</v>
      </c>
      <c r="BP2028" s="343">
        <f>SUMIFS($AS$1388:AS2709,$AO$1388:AO2709,"W")</f>
        <v>0</v>
      </c>
      <c r="BQ2028" s="343">
        <f>SUMIFS($AU$1388:AU2029,$Q$1388:Q2029,"O")</f>
        <v>-5622.7399999997597</v>
      </c>
      <c r="BR2028" s="343">
        <f>SUMIFS($AU$1388:AU2029,$AA$1388:AA2029,"*")</f>
        <v>40997.436363636378</v>
      </c>
      <c r="BS2028" s="343">
        <f>SUMIFS($AU$1388:AU2029,$AB$1388:AB2029,"*")</f>
        <v>10383.860000000041</v>
      </c>
      <c r="BT2028" s="343">
        <f>SUMIFS($AU$1388:AU2029,$AC$1388:AC2029,"*")</f>
        <v>34082.093506493678</v>
      </c>
      <c r="BU2028" s="343">
        <f>SUMIFS($AU$1388:AU2029,$AA$1388:AA2029,"*",$AB$1388:AB2029,"*")</f>
        <v>5423.9999999998217</v>
      </c>
      <c r="BV2028" s="343">
        <f>SUMIFS($AU$1388:AU2029,$AA$1388:AA2029,"*",$AC$1388:AC2029,"*")</f>
        <v>22128.036363636533</v>
      </c>
      <c r="BW2028" s="343">
        <f>SUMIFS($AU$1388:AU2029,$AB$1388:AB2029,"*",$AC$1388:AC2029,"*")</f>
        <v>7119.9999999999982</v>
      </c>
      <c r="BX2028" s="343">
        <f>SUMIFS($AV$1388:AV2029,$Q$1388:Q2029,"F")</f>
        <v>436.00253013189928</v>
      </c>
      <c r="BY2028" s="343">
        <f>SUMIFS($AV$1388:AV2029,$Q$1388:Q2029,"S")</f>
        <v>848.03991333429894</v>
      </c>
      <c r="BZ2028" s="343">
        <f>SUMIFS($AV$1388:AV2029,$Q$1388:Q2029,"O")</f>
        <v>372.95929999976715</v>
      </c>
    </row>
    <row r="2029" spans="1:78" ht="15.75" customHeight="1">
      <c r="A2029" s="177" t="s">
        <v>6310</v>
      </c>
      <c r="B2029" s="200">
        <v>45434</v>
      </c>
      <c r="C2029" s="178" t="s">
        <v>6513</v>
      </c>
      <c r="D2029" s="178" t="s">
        <v>151</v>
      </c>
      <c r="E2029" s="227"/>
      <c r="F2029" s="180"/>
      <c r="G2029" s="570" t="s">
        <v>6527</v>
      </c>
      <c r="H2029" s="182"/>
      <c r="I2029" s="182"/>
      <c r="J2029" s="182"/>
      <c r="K2029" s="183"/>
      <c r="L2029" s="182"/>
      <c r="M2029" s="182">
        <v>1</v>
      </c>
      <c r="N2029" s="182"/>
      <c r="O2029" s="183" t="s">
        <v>2432</v>
      </c>
      <c r="P2029" s="183" t="s">
        <v>2260</v>
      </c>
      <c r="Q2029" s="183" t="s">
        <v>684</v>
      </c>
      <c r="R2029" s="183">
        <v>24</v>
      </c>
      <c r="S2029" s="183">
        <v>0</v>
      </c>
      <c r="T2029" s="183">
        <v>16</v>
      </c>
      <c r="U2029" s="183" t="s">
        <v>97</v>
      </c>
      <c r="V2029" s="183"/>
      <c r="W2029" s="183"/>
      <c r="X2029" s="183"/>
      <c r="Y2029" s="184">
        <f t="shared" si="686"/>
        <v>0.01</v>
      </c>
      <c r="Z2029" s="185">
        <f t="shared" si="687"/>
        <v>2000</v>
      </c>
      <c r="AA2029" s="185" t="s">
        <v>6528</v>
      </c>
      <c r="AB2029" s="185"/>
      <c r="AC2029" s="185"/>
      <c r="AD2029" s="649">
        <v>96.09</v>
      </c>
      <c r="AE2029" s="182"/>
      <c r="AF2029" s="332"/>
      <c r="AG2029" s="182"/>
      <c r="AH2029" s="182"/>
      <c r="AI2029" s="182"/>
      <c r="AJ2029" s="640"/>
      <c r="AK2029" s="182"/>
      <c r="AL2029" s="496">
        <f t="shared" ref="AL2029:AL2038" si="690">-0.02*Z2029</f>
        <v>-40</v>
      </c>
      <c r="AM2029" s="496">
        <f t="shared" si="683"/>
        <v>-960</v>
      </c>
      <c r="AN2029" s="626"/>
      <c r="AO2029" s="182"/>
      <c r="AP2029" s="182"/>
      <c r="AQ2029" s="332" t="s">
        <v>372</v>
      </c>
      <c r="AR2029" s="182" t="s">
        <v>4721</v>
      </c>
      <c r="AS2029" s="189">
        <v>96.05</v>
      </c>
      <c r="AT2029" s="189">
        <f t="shared" si="688"/>
        <v>4.0000000000006253E-2</v>
      </c>
      <c r="AU2029" s="187">
        <f t="shared" si="689"/>
        <v>1920.0000000003001</v>
      </c>
      <c r="AV2029" s="190">
        <f t="shared" si="685"/>
        <v>80.000000000012506</v>
      </c>
      <c r="AW2029" s="191" t="s">
        <v>96</v>
      </c>
      <c r="AX2029" s="551" t="s">
        <v>6522</v>
      </c>
      <c r="AY2029" s="551" t="s">
        <v>6529</v>
      </c>
      <c r="AZ2029" s="551" t="s">
        <v>6530</v>
      </c>
      <c r="BA2029" s="551"/>
      <c r="BB2029" s="551"/>
      <c r="BC2029" s="551"/>
      <c r="BD2029" s="417" t="s">
        <v>6531</v>
      </c>
      <c r="BE2029" s="550" t="s">
        <v>6532</v>
      </c>
      <c r="BF2029" s="549" t="s">
        <v>6533</v>
      </c>
      <c r="BG2029" s="391">
        <f>SUM($AV$1389:AV2029)</f>
        <v>3905.0017434659712</v>
      </c>
      <c r="BH2029" s="392">
        <f>SUM($AU$1389:AU2029)</f>
        <v>54071.353506493739</v>
      </c>
      <c r="BI2029" s="318">
        <f>SUMIFS($AU$1388:AU2030,$Q$1388:Q2030,"F")</f>
        <v>30642.093506493511</v>
      </c>
      <c r="BJ2029" s="318">
        <f>SUMIFS($AU$1388:AU2030,$Q$1388:Q2030,"S")</f>
        <v>27328</v>
      </c>
      <c r="BK2029" s="343">
        <f>SUMIFS($AU$1388:AU2030,$P$1388:P2030,"W")</f>
        <v>39771.273506493846</v>
      </c>
      <c r="BL2029" s="343">
        <f>SUMIFS($AU$1388:AU2030,$P$1388:P2030,"R")</f>
        <v>11626.00000000016</v>
      </c>
      <c r="BM2029" s="343">
        <f>SUMIFS($AU$1388:AU2030,$AQ$1388:AQ2030,"M")</f>
        <v>9793.3799999992334</v>
      </c>
      <c r="BN2029" s="343">
        <f>SUMIFS($AU$1388:AU2030,$AQ$1388:AQ2030,"H")</f>
        <v>15475.200000000877</v>
      </c>
      <c r="BO2029" s="343">
        <f>SUMIFS($AU$1388:AU2030,$AQ$1388:AQ2030,"D")</f>
        <v>12057.507142857023</v>
      </c>
      <c r="BP2029" s="343">
        <f>SUMIFS($AS$1388:AS2710,$AO$1388:AO2710,"W")</f>
        <v>0</v>
      </c>
      <c r="BQ2029" s="343">
        <f>SUMIFS($AU$1388:AU2030,$Q$1388:Q2030,"O")</f>
        <v>-5622.7399999997597</v>
      </c>
      <c r="BR2029" s="343">
        <f>SUMIFS($AU$1388:AU2030,$AA$1388:AA2030,"*")</f>
        <v>40997.436363636378</v>
      </c>
      <c r="BS2029" s="343">
        <f>SUMIFS($AU$1388:AU2030,$AB$1388:AB2030,"*")</f>
        <v>10383.860000000041</v>
      </c>
      <c r="BT2029" s="343">
        <f>SUMIFS($AU$1388:AU2030,$AC$1388:AC2030,"*")</f>
        <v>34082.093506493678</v>
      </c>
      <c r="BU2029" s="343">
        <f>SUMIFS($AU$1388:AU2030,$AA$1388:AA2030,"*",$AB$1388:AB2030,"*")</f>
        <v>5423.9999999998217</v>
      </c>
      <c r="BV2029" s="343">
        <f>SUMIFS($AU$1388:AU2030,$AA$1388:AA2030,"*",$AC$1388:AC2030,"*")</f>
        <v>22128.036363636533</v>
      </c>
      <c r="BW2029" s="343">
        <f>SUMIFS($AU$1388:AU2030,$AB$1388:AB2030,"*",$AC$1388:AC2030,"*")</f>
        <v>7119.9999999999982</v>
      </c>
      <c r="BX2029" s="343">
        <f>SUMIFS($AV$1388:AV2030,$Q$1388:Q2030,"F")</f>
        <v>436.00253013189928</v>
      </c>
      <c r="BY2029" s="343">
        <f>SUMIFS($AV$1388:AV2030,$Q$1388:Q2030,"S")</f>
        <v>848.03991333429894</v>
      </c>
      <c r="BZ2029" s="343">
        <f>SUMIFS($AV$1388:AV2030,$Q$1388:Q2030,"O")</f>
        <v>372.95929999976715</v>
      </c>
    </row>
    <row r="2030" spans="1:78" ht="15.75" customHeight="1">
      <c r="A2030" s="177" t="s">
        <v>6310</v>
      </c>
      <c r="B2030" s="200">
        <v>45434</v>
      </c>
      <c r="C2030" s="178" t="s">
        <v>2661</v>
      </c>
      <c r="D2030" s="178" t="s">
        <v>151</v>
      </c>
      <c r="E2030" s="227" t="s">
        <v>6534</v>
      </c>
      <c r="F2030" s="180"/>
      <c r="G2030" s="181"/>
      <c r="H2030" s="182">
        <v>1</v>
      </c>
      <c r="I2030" s="182"/>
      <c r="J2030" s="182"/>
      <c r="K2030" s="183" t="s">
        <v>372</v>
      </c>
      <c r="L2030" s="182"/>
      <c r="M2030" s="182"/>
      <c r="N2030" s="182"/>
      <c r="O2030" s="183"/>
      <c r="P2030" s="183"/>
      <c r="Q2030" s="183"/>
      <c r="R2030" s="183"/>
      <c r="S2030" s="183"/>
      <c r="T2030" s="183"/>
      <c r="U2030" s="183"/>
      <c r="V2030" s="183"/>
      <c r="W2030" s="183"/>
      <c r="X2030" s="183"/>
      <c r="Y2030" s="184"/>
      <c r="Z2030" s="185"/>
      <c r="AA2030" s="185"/>
      <c r="AB2030" s="185"/>
      <c r="AC2030" s="185"/>
      <c r="AD2030" s="649"/>
      <c r="AE2030" s="182"/>
      <c r="AF2030" s="332"/>
      <c r="AG2030" s="182"/>
      <c r="AH2030" s="182"/>
      <c r="AI2030" s="182"/>
      <c r="AJ2030" s="640"/>
      <c r="AK2030" s="182"/>
      <c r="AL2030" s="496">
        <f t="shared" si="690"/>
        <v>0</v>
      </c>
      <c r="AM2030" s="496">
        <f t="shared" si="683"/>
        <v>0</v>
      </c>
      <c r="AN2030" s="626"/>
      <c r="AO2030" s="182"/>
      <c r="AP2030" s="182"/>
      <c r="AQ2030" s="332" t="str">
        <f>UPPER(RIGHT(Journal_Live[[#This Row],[DURATION ]]))</f>
        <v/>
      </c>
      <c r="AR2030" s="182"/>
      <c r="AS2030" s="189"/>
      <c r="AT2030" s="189"/>
      <c r="AU2030" s="187"/>
      <c r="AV2030" s="190"/>
      <c r="AW2030" s="191"/>
      <c r="AX2030" s="551" t="s">
        <v>6535</v>
      </c>
      <c r="AY2030" s="551" t="s">
        <v>6536</v>
      </c>
      <c r="AZ2030" s="551"/>
      <c r="BA2030" s="551"/>
      <c r="BB2030" s="551"/>
      <c r="BC2030" s="551"/>
      <c r="BD2030" s="549"/>
      <c r="BE2030" s="550"/>
      <c r="BF2030" s="549"/>
      <c r="BG2030" s="391">
        <f>SUM($AV$1389:AV2030)</f>
        <v>3905.0017434659712</v>
      </c>
      <c r="BH2030" s="392">
        <f>SUM($AU$1389:AU2030)</f>
        <v>54071.353506493739</v>
      </c>
      <c r="BI2030" s="318">
        <f>SUMIFS($AU$1388:AU2031,$Q$1388:Q2031,"F")</f>
        <v>30642.093506493511</v>
      </c>
      <c r="BJ2030" s="318">
        <f>SUMIFS($AU$1388:AU2031,$Q$1388:Q2031,"S")</f>
        <v>27328</v>
      </c>
      <c r="BK2030" s="343">
        <f>SUMIFS($AU$1388:AU2031,$P$1388:P2031,"W")</f>
        <v>39771.273506493846</v>
      </c>
      <c r="BL2030" s="343">
        <f>SUMIFS($AU$1388:AU2031,$P$1388:P2031,"R")</f>
        <v>11626.00000000016</v>
      </c>
      <c r="BM2030" s="343">
        <f>SUMIFS($AU$1388:AU2031,$AQ$1388:AQ2031,"M")</f>
        <v>9793.3799999992334</v>
      </c>
      <c r="BN2030" s="343">
        <f>SUMIFS($AU$1388:AU2031,$AQ$1388:AQ2031,"H")</f>
        <v>15475.200000000877</v>
      </c>
      <c r="BO2030" s="343">
        <f>SUMIFS($AU$1388:AU2031,$AQ$1388:AQ2031,"D")</f>
        <v>12057.507142857023</v>
      </c>
      <c r="BP2030" s="343">
        <f>SUMIFS($AS$1388:AS2711,$AO$1388:AO2711,"W")</f>
        <v>0</v>
      </c>
      <c r="BQ2030" s="343">
        <f>SUMIFS($AU$1388:AU2031,$Q$1388:Q2031,"O")</f>
        <v>-5622.7399999997597</v>
      </c>
      <c r="BR2030" s="343">
        <f>SUMIFS($AU$1388:AU2031,$AA$1388:AA2031,"*")</f>
        <v>40997.436363636378</v>
      </c>
      <c r="BS2030" s="343">
        <f>SUMIFS($AU$1388:AU2031,$AB$1388:AB2031,"*")</f>
        <v>10383.860000000041</v>
      </c>
      <c r="BT2030" s="343">
        <f>SUMIFS($AU$1388:AU2031,$AC$1388:AC2031,"*")</f>
        <v>34082.093506493678</v>
      </c>
      <c r="BU2030" s="343">
        <f>SUMIFS($AU$1388:AU2031,$AA$1388:AA2031,"*",$AB$1388:AB2031,"*")</f>
        <v>5423.9999999998217</v>
      </c>
      <c r="BV2030" s="343">
        <f>SUMIFS($AU$1388:AU2031,$AA$1388:AA2031,"*",$AC$1388:AC2031,"*")</f>
        <v>22128.036363636533</v>
      </c>
      <c r="BW2030" s="343">
        <f>SUMIFS($AU$1388:AU2031,$AB$1388:AB2031,"*",$AC$1388:AC2031,"*")</f>
        <v>7119.9999999999982</v>
      </c>
      <c r="BX2030" s="343">
        <f>SUMIFS($AV$1388:AV2031,$Q$1388:Q2031,"F")</f>
        <v>436.00253013189928</v>
      </c>
      <c r="BY2030" s="343">
        <f>SUMIFS($AV$1388:AV2031,$Q$1388:Q2031,"S")</f>
        <v>848.03991333429894</v>
      </c>
      <c r="BZ2030" s="343">
        <f>SUMIFS($AV$1388:AV2031,$Q$1388:Q2031,"O")</f>
        <v>372.95929999976715</v>
      </c>
    </row>
    <row r="2031" spans="1:78" ht="15.75" customHeight="1">
      <c r="A2031" s="177" t="s">
        <v>6310</v>
      </c>
      <c r="B2031" s="200"/>
      <c r="C2031" s="178"/>
      <c r="D2031" s="178"/>
      <c r="E2031" s="227" t="s">
        <v>6537</v>
      </c>
      <c r="F2031" s="180"/>
      <c r="G2031" s="181"/>
      <c r="H2031" s="182">
        <v>1</v>
      </c>
      <c r="I2031" s="182"/>
      <c r="J2031" s="182"/>
      <c r="K2031" s="183" t="s">
        <v>372</v>
      </c>
      <c r="L2031" s="182"/>
      <c r="M2031" s="182"/>
      <c r="N2031" s="182"/>
      <c r="O2031" s="183"/>
      <c r="P2031" s="183"/>
      <c r="Q2031" s="183"/>
      <c r="R2031" s="183"/>
      <c r="S2031" s="183"/>
      <c r="T2031" s="183"/>
      <c r="U2031" s="183"/>
      <c r="V2031" s="183"/>
      <c r="W2031" s="183"/>
      <c r="X2031" s="183"/>
      <c r="Y2031" s="184"/>
      <c r="Z2031" s="185"/>
      <c r="AA2031" s="185"/>
      <c r="AB2031" s="185"/>
      <c r="AC2031" s="185"/>
      <c r="AD2031" s="649"/>
      <c r="AE2031" s="182"/>
      <c r="AF2031" s="332"/>
      <c r="AG2031" s="182"/>
      <c r="AH2031" s="182"/>
      <c r="AI2031" s="182"/>
      <c r="AJ2031" s="640"/>
      <c r="AK2031" s="182"/>
      <c r="AL2031" s="496">
        <f t="shared" si="690"/>
        <v>0</v>
      </c>
      <c r="AM2031" s="496">
        <f t="shared" si="683"/>
        <v>0</v>
      </c>
      <c r="AN2031" s="626"/>
      <c r="AO2031" s="182"/>
      <c r="AP2031" s="182"/>
      <c r="AQ2031" s="332" t="str">
        <f>UPPER(RIGHT(Journal_Live[[#This Row],[DURATION ]]))</f>
        <v/>
      </c>
      <c r="AR2031" s="182"/>
      <c r="AS2031" s="189"/>
      <c r="AT2031" s="189"/>
      <c r="AU2031" s="187"/>
      <c r="AV2031" s="190"/>
      <c r="AW2031" s="191"/>
      <c r="AX2031" s="551"/>
      <c r="AY2031" s="551"/>
      <c r="AZ2031" s="551"/>
      <c r="BA2031" s="551"/>
      <c r="BB2031" s="551"/>
      <c r="BC2031" s="551"/>
      <c r="BD2031" s="549"/>
      <c r="BE2031" s="550"/>
      <c r="BF2031" s="549"/>
      <c r="BG2031" s="391">
        <f>SUM($AV$1389:AV2031)</f>
        <v>3905.0017434659712</v>
      </c>
      <c r="BH2031" s="392">
        <f>SUM($AU$1389:AU2031)</f>
        <v>54071.353506493739</v>
      </c>
      <c r="BI2031" s="318">
        <f>SUMIFS($AU$1388:AU2032,$Q$1388:Q2032,"F")</f>
        <v>30642.093506493511</v>
      </c>
      <c r="BJ2031" s="318">
        <f>SUMIFS($AU$1388:AU2032,$Q$1388:Q2032,"S")</f>
        <v>25408</v>
      </c>
      <c r="BK2031" s="343">
        <f>SUMIFS($AU$1388:AU2032,$P$1388:P2032,"W")</f>
        <v>37851.273506493846</v>
      </c>
      <c r="BL2031" s="343">
        <f>SUMIFS($AU$1388:AU2032,$P$1388:P2032,"R")</f>
        <v>11626.00000000016</v>
      </c>
      <c r="BM2031" s="343">
        <f>SUMIFS($AU$1388:AU2032,$AQ$1388:AQ2032,"M")</f>
        <v>9793.3799999992334</v>
      </c>
      <c r="BN2031" s="343">
        <f>SUMIFS($AU$1388:AU2032,$AQ$1388:AQ2032,"H")</f>
        <v>13555.200000000877</v>
      </c>
      <c r="BO2031" s="343">
        <f>SUMIFS($AU$1388:AU2032,$AQ$1388:AQ2032,"D")</f>
        <v>12057.507142857023</v>
      </c>
      <c r="BP2031" s="343">
        <f>SUMIFS($AS$1388:AS2712,$AO$1388:AO2712,"W")</f>
        <v>0</v>
      </c>
      <c r="BQ2031" s="343">
        <f>SUMIFS($AU$1388:AU2032,$Q$1388:Q2032,"O")</f>
        <v>-5622.7399999997597</v>
      </c>
      <c r="BR2031" s="343">
        <f>SUMIFS($AU$1388:AU2032,$AA$1388:AA2032,"*")</f>
        <v>39077.436363636378</v>
      </c>
      <c r="BS2031" s="343">
        <f>SUMIFS($AU$1388:AU2032,$AB$1388:AB2032,"*")</f>
        <v>10383.860000000041</v>
      </c>
      <c r="BT2031" s="343">
        <f>SUMIFS($AU$1388:AU2032,$AC$1388:AC2032,"*")</f>
        <v>34082.093506493678</v>
      </c>
      <c r="BU2031" s="343">
        <f>SUMIFS($AU$1388:AU2032,$AA$1388:AA2032,"*",$AB$1388:AB2032,"*")</f>
        <v>5423.9999999998217</v>
      </c>
      <c r="BV2031" s="343">
        <f>SUMIFS($AU$1388:AU2032,$AA$1388:AA2032,"*",$AC$1388:AC2032,"*")</f>
        <v>22128.036363636533</v>
      </c>
      <c r="BW2031" s="343">
        <f>SUMIFS($AU$1388:AU2032,$AB$1388:AB2032,"*",$AC$1388:AC2032,"*")</f>
        <v>7119.9999999999982</v>
      </c>
      <c r="BX2031" s="343">
        <f>SUMIFS($AV$1388:AV2032,$Q$1388:Q2032,"F")</f>
        <v>436.00253013189928</v>
      </c>
      <c r="BY2031" s="343">
        <f>SUMIFS($AV$1388:AV2032,$Q$1388:Q2032,"S")</f>
        <v>816.03991333429894</v>
      </c>
      <c r="BZ2031" s="343">
        <f>SUMIFS($AV$1388:AV2032,$Q$1388:Q2032,"O")</f>
        <v>372.95929999976715</v>
      </c>
    </row>
    <row r="2032" spans="1:78" ht="15.75" customHeight="1">
      <c r="A2032" s="177" t="s">
        <v>6310</v>
      </c>
      <c r="B2032" s="200">
        <v>45434</v>
      </c>
      <c r="C2032" s="178" t="s">
        <v>2253</v>
      </c>
      <c r="D2032" s="178" t="s">
        <v>151</v>
      </c>
      <c r="E2032" s="227"/>
      <c r="F2032" s="180"/>
      <c r="G2032" s="570" t="s">
        <v>136</v>
      </c>
      <c r="H2032" s="182"/>
      <c r="I2032" s="182"/>
      <c r="J2032" s="182"/>
      <c r="K2032" s="183"/>
      <c r="L2032" s="182"/>
      <c r="M2032" s="182"/>
      <c r="N2032" s="182">
        <v>2</v>
      </c>
      <c r="O2032" s="183" t="s">
        <v>95</v>
      </c>
      <c r="P2032" s="183" t="s">
        <v>96</v>
      </c>
      <c r="Q2032" s="183" t="s">
        <v>97</v>
      </c>
      <c r="R2032" s="183">
        <v>60</v>
      </c>
      <c r="S2032" s="183">
        <v>0</v>
      </c>
      <c r="T2032" s="183">
        <v>60</v>
      </c>
      <c r="U2032" s="183" t="s">
        <v>97</v>
      </c>
      <c r="V2032" s="183"/>
      <c r="W2032" s="183"/>
      <c r="X2032" s="183"/>
      <c r="Y2032" s="184">
        <f>IF(ISBLANK(O2032),"",(IF(O2032=UPPER("IB"),0.005,0.01)))</f>
        <v>0.01</v>
      </c>
      <c r="Z2032" s="185">
        <f>IF(ISBLANK(O2032),"",IF(O2032="IB",8.63*200,IF(O2032="IR",16*100,IF(O2032="YT",20*100,IF(O2032="YT-XT",24*200,IF(O2032="TED",80*100,IF(O2032="XT",29*200)))))))</f>
        <v>1600</v>
      </c>
      <c r="AA2032" s="185" t="s">
        <v>4942</v>
      </c>
      <c r="AB2032" s="185"/>
      <c r="AC2032" s="185"/>
      <c r="AD2032" s="649">
        <v>0.01</v>
      </c>
      <c r="AE2032" s="182"/>
      <c r="AF2032" s="332"/>
      <c r="AG2032" s="182"/>
      <c r="AH2032" s="182"/>
      <c r="AI2032" s="182" t="s">
        <v>6538</v>
      </c>
      <c r="AJ2032" s="640"/>
      <c r="AK2032" s="182"/>
      <c r="AL2032" s="496">
        <f t="shared" si="690"/>
        <v>-32</v>
      </c>
      <c r="AM2032" s="496">
        <f t="shared" si="683"/>
        <v>-1920</v>
      </c>
      <c r="AN2032" s="626" t="s">
        <v>6539</v>
      </c>
      <c r="AO2032" s="182"/>
      <c r="AP2032" s="182" t="s">
        <v>6540</v>
      </c>
      <c r="AQ2032" s="332" t="s">
        <v>372</v>
      </c>
      <c r="AR2032" s="182" t="s">
        <v>3974</v>
      </c>
      <c r="AS2032" s="189">
        <v>0.03</v>
      </c>
      <c r="AT2032" s="189">
        <f>IF(ISBLANK(AS2032),,IF(U2032="S",AD2032-AS2032,AS2032-AD2032))</f>
        <v>-1.9999999999999997E-2</v>
      </c>
      <c r="AU2032" s="187">
        <f>AV2032*R2032</f>
        <v>-1919.9999999999998</v>
      </c>
      <c r="AV2032" s="190">
        <f t="shared" si="685"/>
        <v>-31.999999999999996</v>
      </c>
      <c r="AW2032" s="191" t="s">
        <v>229</v>
      </c>
      <c r="AX2032" s="551" t="s">
        <v>6541</v>
      </c>
      <c r="AY2032" s="551" t="s">
        <v>6405</v>
      </c>
      <c r="AZ2032" s="551" t="s">
        <v>6542</v>
      </c>
      <c r="BA2032" s="551" t="s">
        <v>6543</v>
      </c>
      <c r="BB2032" s="551" t="s">
        <v>6544</v>
      </c>
      <c r="BC2032" s="551"/>
      <c r="BD2032" s="549"/>
      <c r="BE2032" s="550"/>
      <c r="BF2032" s="549"/>
      <c r="BG2032" s="391">
        <f>SUM($AV$1389:AV2032)</f>
        <v>3873.0017434659712</v>
      </c>
      <c r="BH2032" s="392">
        <f>SUM($AU$1389:AU2032)</f>
        <v>52151.353506493739</v>
      </c>
      <c r="BI2032" s="318">
        <f>SUMIFS($AU$1388:AU2381,$Q$1388:Q2381,"F")</f>
        <v>28758.758121878131</v>
      </c>
      <c r="BJ2032" s="318">
        <f>SUMIFS($AU$1388:AU2381,$Q$1388:Q2381,"S")</f>
        <v>18338.285714285717</v>
      </c>
      <c r="BK2032" s="343">
        <f>SUMIFS($AU$1388:AU2381,$P$1388:P2381,"W")</f>
        <v>16085.423836163443</v>
      </c>
      <c r="BL2032" s="343">
        <f>SUMIFS($AU$1388:AU2381,$P$1388:P2381,"R")</f>
        <v>23278.800000000327</v>
      </c>
      <c r="BM2032" s="343">
        <f>SUMIFS($AU$1388:AU2381,$AQ$1388:AQ2381,"M")</f>
        <v>9563.1799999983832</v>
      </c>
      <c r="BN2032" s="343">
        <f>SUMIFS($AU$1388:AU2381,$AQ$1388:AQ2381,"H")</f>
        <v>12587.200000000877</v>
      </c>
      <c r="BO2032" s="343">
        <f>SUMIFS($AU$1388:AU2381,$AQ$1388:AQ2381,"D")</f>
        <v>11195.57747252718</v>
      </c>
      <c r="BP2032" s="343">
        <f>SUMIFS($AS$1388:AS2713,$AO$1388:AO2713,"W")</f>
        <v>0</v>
      </c>
      <c r="BQ2032" s="343">
        <f>SUMIFS($AU$1388:AU2381,$Q$1388:Q2381,"O")</f>
        <v>-9366.1400000007852</v>
      </c>
      <c r="BR2032" s="343">
        <f>SUMIFS($AU$1388:AU2381,$AA$1388:AA2381,"*")</f>
        <v>39156.002077921221</v>
      </c>
      <c r="BS2032" s="343">
        <f>SUMIFS($AU$1388:AU2381,$AB$1388:AB2381,"*")</f>
        <v>7005.8599999997941</v>
      </c>
      <c r="BT2032" s="343">
        <f>SUMIFS($AU$1388:AU2381,$AC$1388:AC2381,"*")</f>
        <v>31968.358121878122</v>
      </c>
      <c r="BU2032" s="343">
        <f>SUMIFS($AU$1388:AU2381,$AA$1388:AA2381,"*",$AB$1388:AB2381,"*")</f>
        <v>7301.9999999995771</v>
      </c>
      <c r="BV2032" s="343">
        <f>SUMIFS($AU$1388:AU2381,$AA$1388:AA2381,"*",$AC$1388:AC2381,"*")</f>
        <v>29949.316363636532</v>
      </c>
      <c r="BW2032" s="343">
        <f>SUMIFS($AU$1388:AU2381,$AB$1388:AB2381,"*",$AC$1388:AC2381,"*")</f>
        <v>3739.199999999998</v>
      </c>
      <c r="BX2032" s="343">
        <f>SUMIFS($AV$1388:AV2381,$Q$1388:Q2381,"F")</f>
        <v>396.72999236351012</v>
      </c>
      <c r="BY2032" s="343">
        <f>SUMIFS($AV$1388:AV2381,$Q$1388:Q2381,"S")</f>
        <v>775.76285705724263</v>
      </c>
      <c r="BZ2032" s="343">
        <f>SUMIFS($AV$1388:AV2381,$Q$1388:Q2381,"O")</f>
        <v>569.29929999965555</v>
      </c>
    </row>
    <row r="2033" spans="1:78" ht="15.75" customHeight="1">
      <c r="A2033" s="177" t="s">
        <v>6310</v>
      </c>
      <c r="B2033" s="200">
        <v>45434</v>
      </c>
      <c r="C2033" s="178" t="s">
        <v>2253</v>
      </c>
      <c r="D2033" s="178" t="s">
        <v>151</v>
      </c>
      <c r="E2033" s="227"/>
      <c r="F2033" s="180"/>
      <c r="G2033" s="481" t="s">
        <v>2807</v>
      </c>
      <c r="H2033" s="182"/>
      <c r="I2033" s="182"/>
      <c r="J2033" s="182"/>
      <c r="K2033" s="183"/>
      <c r="L2033" s="182"/>
      <c r="M2033" s="182"/>
      <c r="N2033" s="182">
        <v>2</v>
      </c>
      <c r="O2033" s="183" t="s">
        <v>95</v>
      </c>
      <c r="P2033" s="183" t="s">
        <v>96</v>
      </c>
      <c r="Q2033" s="183" t="s">
        <v>256</v>
      </c>
      <c r="R2033" s="183">
        <v>20</v>
      </c>
      <c r="S2033" s="183">
        <v>20</v>
      </c>
      <c r="T2033" s="183">
        <v>20</v>
      </c>
      <c r="U2033" s="183" t="s">
        <v>97</v>
      </c>
      <c r="V2033" s="183"/>
      <c r="W2033" s="183"/>
      <c r="X2033" s="183"/>
      <c r="Y2033" s="184">
        <f>IF(ISBLANK(O2033),"",(IF(O2033=UPPER("IB"),0.005,0.01)))</f>
        <v>0.01</v>
      </c>
      <c r="Z2033" s="185">
        <f>IF(ISBLANK(O2033),"",IF(O2033="IB",8.63*200,IF(O2033="IR",16*100,IF(O2033="YT",20*100,IF(O2033="YT-XT",24*200,IF(O2033="TED",80*100,IF(O2033="XT",29*200)))))))</f>
        <v>1600</v>
      </c>
      <c r="AA2033" s="185" t="s">
        <v>6545</v>
      </c>
      <c r="AB2033" s="185"/>
      <c r="AC2033" s="185" t="s">
        <v>6546</v>
      </c>
      <c r="AD2033" s="649">
        <v>5.33E-2</v>
      </c>
      <c r="AE2033" s="182"/>
      <c r="AF2033" s="332"/>
      <c r="AG2033" s="182"/>
      <c r="AH2033" s="182"/>
      <c r="AI2033" s="182"/>
      <c r="AJ2033" s="640"/>
      <c r="AK2033" s="182"/>
      <c r="AL2033" s="496">
        <f t="shared" si="690"/>
        <v>-32</v>
      </c>
      <c r="AM2033" s="496">
        <f t="shared" si="683"/>
        <v>0</v>
      </c>
      <c r="AN2033" s="626" t="s">
        <v>6547</v>
      </c>
      <c r="AO2033" s="182"/>
      <c r="AP2033" s="182" t="s">
        <v>589</v>
      </c>
      <c r="AQ2033" s="332" t="s">
        <v>115</v>
      </c>
      <c r="AR2033" s="182"/>
      <c r="AS2033" s="189">
        <f>((0.06*20)+(0.06*20))/40</f>
        <v>0.06</v>
      </c>
      <c r="AT2033" s="189">
        <f>IF(ISBLANK(AS2033),,IF(U2033="S",AD2033-AS2033,AS2033-AD2033))</f>
        <v>-6.6999999999999976E-3</v>
      </c>
      <c r="AU2033" s="187">
        <f>AV2033*R2033</f>
        <v>-214.39999999999992</v>
      </c>
      <c r="AV2033" s="190">
        <f t="shared" si="685"/>
        <v>-10.719999999999995</v>
      </c>
      <c r="AW2033" s="191" t="s">
        <v>229</v>
      </c>
      <c r="AX2033" s="551" t="s">
        <v>6548</v>
      </c>
      <c r="AY2033" s="551"/>
      <c r="AZ2033" s="551"/>
      <c r="BA2033" s="551"/>
      <c r="BB2033" s="551"/>
      <c r="BC2033" s="551"/>
      <c r="BD2033" s="549"/>
      <c r="BE2033" s="550"/>
      <c r="BF2033" s="549"/>
      <c r="BG2033" s="391">
        <f>SUM($AV$1389:AV2033)</f>
        <v>3862.2817434659714</v>
      </c>
      <c r="BH2033" s="392">
        <f>SUM($AU$1389:AU2033)</f>
        <v>51936.953506493737</v>
      </c>
      <c r="BI2033" s="318">
        <f>SUMIFS($AU$1388:AU2034,$Q$1388:Q2034,"F")</f>
        <v>30427.69350649351</v>
      </c>
      <c r="BJ2033" s="318">
        <f>SUMIFS($AU$1388:AU2034,$Q$1388:Q2034,"S")</f>
        <v>23808</v>
      </c>
      <c r="BK2033" s="343">
        <f>SUMIFS($AU$1388:AU2034,$P$1388:P2034,"W")</f>
        <v>36036.873506493845</v>
      </c>
      <c r="BL2033" s="343">
        <f>SUMIFS($AU$1388:AU2034,$P$1388:P2034,"R")</f>
        <v>11626.00000000016</v>
      </c>
      <c r="BM2033" s="343">
        <f>SUMIFS($AU$1388:AU2034,$AQ$1388:AQ2034,"M")</f>
        <v>9793.3799999992334</v>
      </c>
      <c r="BN2033" s="343">
        <f>SUMIFS($AU$1388:AU2034,$AQ$1388:AQ2034,"H")</f>
        <v>11955.200000000876</v>
      </c>
      <c r="BO2033" s="343">
        <f>SUMIFS($AU$1388:AU2034,$AQ$1388:AQ2034,"D")</f>
        <v>11843.107142857023</v>
      </c>
      <c r="BP2033" s="343">
        <f>SUMIFS($AS$1388:AS2711,$AO$1388:AO2711,"W")</f>
        <v>0</v>
      </c>
      <c r="BQ2033" s="343">
        <f>SUMIFS($AU$1388:AU2034,$Q$1388:Q2034,"O")</f>
        <v>-5622.7399999997597</v>
      </c>
      <c r="BR2033" s="343">
        <f>SUMIFS($AU$1388:AU2034,$AA$1388:AA2034,"*")</f>
        <v>37263.036363636376</v>
      </c>
      <c r="BS2033" s="343">
        <f>SUMIFS($AU$1388:AU2034,$AB$1388:AB2034,"*")</f>
        <v>10383.860000000041</v>
      </c>
      <c r="BT2033" s="343">
        <f>SUMIFS($AU$1388:AU2034,$AC$1388:AC2034,"*")</f>
        <v>33867.693506493677</v>
      </c>
      <c r="BU2033" s="343">
        <f>SUMIFS($AU$1388:AU2034,$AA$1388:AA2034,"*",$AB$1388:AB2034,"*")</f>
        <v>5423.9999999998217</v>
      </c>
      <c r="BV2033" s="343">
        <f>SUMIFS($AU$1388:AU2034,$AA$1388:AA2034,"*",$AC$1388:AC2034,"*")</f>
        <v>21913.636363636531</v>
      </c>
      <c r="BW2033" s="343">
        <f>SUMIFS($AU$1388:AU2034,$AB$1388:AB2034,"*",$AC$1388:AC2034,"*")</f>
        <v>7119.9999999999982</v>
      </c>
      <c r="BX2033" s="343">
        <f>SUMIFS($AV$1388:AV2034,$Q$1388:Q2034,"F")</f>
        <v>425.28253013189931</v>
      </c>
      <c r="BY2033" s="343">
        <f>SUMIFS($AV$1388:AV2034,$Q$1388:Q2034,"S")</f>
        <v>800.03991333429894</v>
      </c>
      <c r="BZ2033" s="343">
        <f>SUMIFS($AV$1388:AV2034,$Q$1388:Q2034,"O")</f>
        <v>372.95929999976715</v>
      </c>
    </row>
    <row r="2034" spans="1:78" ht="15.75" customHeight="1">
      <c r="A2034" s="177" t="s">
        <v>6310</v>
      </c>
      <c r="B2034" s="200">
        <v>45434</v>
      </c>
      <c r="C2034" s="178" t="s">
        <v>2253</v>
      </c>
      <c r="D2034" s="178" t="s">
        <v>151</v>
      </c>
      <c r="E2034" s="227"/>
      <c r="F2034" s="180"/>
      <c r="G2034" s="570" t="s">
        <v>2991</v>
      </c>
      <c r="H2034" s="182"/>
      <c r="I2034" s="182"/>
      <c r="J2034" s="182"/>
      <c r="K2034" s="183"/>
      <c r="L2034" s="182"/>
      <c r="M2034" s="182"/>
      <c r="N2034" s="182">
        <v>2</v>
      </c>
      <c r="O2034" s="183" t="s">
        <v>95</v>
      </c>
      <c r="P2034" s="183" t="s">
        <v>96</v>
      </c>
      <c r="Q2034" s="183" t="s">
        <v>97</v>
      </c>
      <c r="R2034" s="183">
        <v>100</v>
      </c>
      <c r="S2034" s="183">
        <v>0</v>
      </c>
      <c r="T2034" s="183">
        <v>100</v>
      </c>
      <c r="U2034" s="183" t="s">
        <v>97</v>
      </c>
      <c r="V2034" s="183"/>
      <c r="W2034" s="183"/>
      <c r="X2034" s="183"/>
      <c r="Y2034" s="184">
        <f>IF(ISBLANK(O2034),"",(IF(O2034=UPPER("IB"),0.005,0.01)))</f>
        <v>0.01</v>
      </c>
      <c r="Z2034" s="185">
        <f>IF(ISBLANK(O2034),"",IF(O2034="IB",8.63*200,IF(O2034="IR",16*100,IF(O2034="YT",20*100,IF(O2034="YT-XT",24*200,IF(O2034="TED",80*100,IF(O2034="XT",29*200)))))))</f>
        <v>1600</v>
      </c>
      <c r="AA2034" s="185" t="s">
        <v>6545</v>
      </c>
      <c r="AB2034" s="185"/>
      <c r="AC2034" s="185"/>
      <c r="AD2034" s="649">
        <v>-0.14000000000000001</v>
      </c>
      <c r="AE2034" s="182"/>
      <c r="AF2034" s="332"/>
      <c r="AG2034" s="182"/>
      <c r="AH2034" s="182"/>
      <c r="AI2034" s="182"/>
      <c r="AJ2034" s="640" t="s">
        <v>6549</v>
      </c>
      <c r="AK2034" s="182"/>
      <c r="AL2034" s="496">
        <f t="shared" si="690"/>
        <v>-32</v>
      </c>
      <c r="AM2034" s="496">
        <f t="shared" si="683"/>
        <v>-3200</v>
      </c>
      <c r="AN2034" s="626" t="s">
        <v>6539</v>
      </c>
      <c r="AO2034" s="182"/>
      <c r="AP2034" s="182"/>
      <c r="AQ2034" s="332" t="s">
        <v>372</v>
      </c>
      <c r="AR2034" s="182" t="s">
        <v>4027</v>
      </c>
      <c r="AS2034" s="189">
        <v>-0.13</v>
      </c>
      <c r="AT2034" s="189">
        <f>IF(ISBLANK(AS2034),,IF(U2034="S",AD2034-AS2034,AS2034-AD2034))</f>
        <v>-1.0000000000000009E-2</v>
      </c>
      <c r="AU2034" s="187">
        <f>AV2034*R2034</f>
        <v>-1600.0000000000014</v>
      </c>
      <c r="AV2034" s="190">
        <f t="shared" si="685"/>
        <v>-16.000000000000014</v>
      </c>
      <c r="AW2034" s="191" t="s">
        <v>229</v>
      </c>
      <c r="AX2034" s="551" t="s">
        <v>6550</v>
      </c>
      <c r="AY2034" s="551" t="s">
        <v>6544</v>
      </c>
      <c r="AZ2034" s="551" t="s">
        <v>6551</v>
      </c>
      <c r="BA2034" s="551" t="s">
        <v>2182</v>
      </c>
      <c r="BB2034" s="551"/>
      <c r="BC2034" s="551"/>
      <c r="BD2034" s="549"/>
      <c r="BE2034" s="550"/>
      <c r="BF2034" s="549"/>
      <c r="BG2034" s="391">
        <f>SUM($AV$1389:AV2034)</f>
        <v>3846.2817434659714</v>
      </c>
      <c r="BH2034" s="392">
        <f>SUM($AU$1389:AU2034)</f>
        <v>50336.953506493737</v>
      </c>
      <c r="BI2034" s="318">
        <f>SUMIFS($AU$1388:AU2035,$Q$1388:Q2035,"F")</f>
        <v>30427.69350649351</v>
      </c>
      <c r="BJ2034" s="318">
        <f>SUMIFS($AU$1388:AU2035,$Q$1388:Q2035,"S")</f>
        <v>23488</v>
      </c>
      <c r="BK2034" s="343">
        <f>SUMIFS($AU$1388:AU2035,$P$1388:P2035,"W")</f>
        <v>35716.873506493845</v>
      </c>
      <c r="BL2034" s="343">
        <f>SUMIFS($AU$1388:AU2035,$P$1388:P2035,"R")</f>
        <v>11626.00000000016</v>
      </c>
      <c r="BM2034" s="343">
        <f>SUMIFS($AU$1388:AU2035,$AQ$1388:AQ2035,"M")</f>
        <v>9793.3799999992334</v>
      </c>
      <c r="BN2034" s="343">
        <f>SUMIFS($AU$1388:AU2035,$AQ$1388:AQ2035,"H")</f>
        <v>11955.200000000876</v>
      </c>
      <c r="BO2034" s="343">
        <f>SUMIFS($AU$1388:AU2035,$AQ$1388:AQ2035,"D")</f>
        <v>11523.107142857023</v>
      </c>
      <c r="BP2034" s="343">
        <f>SUMIFS($AS$1388:AS2712,$AO$1388:AO2712,"W")</f>
        <v>0</v>
      </c>
      <c r="BQ2034" s="343">
        <f>SUMIFS($AU$1388:AU2035,$Q$1388:Q2035,"O")</f>
        <v>-5622.7399999997597</v>
      </c>
      <c r="BR2034" s="343">
        <f>SUMIFS($AU$1388:AU2035,$AA$1388:AA2035,"*")</f>
        <v>36943.036363636376</v>
      </c>
      <c r="BS2034" s="343">
        <f>SUMIFS($AU$1388:AU2035,$AB$1388:AB2035,"*")</f>
        <v>10383.860000000041</v>
      </c>
      <c r="BT2034" s="343">
        <f>SUMIFS($AU$1388:AU2035,$AC$1388:AC2035,"*")</f>
        <v>33867.693506493677</v>
      </c>
      <c r="BU2034" s="343">
        <f>SUMIFS($AU$1388:AU2035,$AA$1388:AA2035,"*",$AB$1388:AB2035,"*")</f>
        <v>5423.9999999998217</v>
      </c>
      <c r="BV2034" s="343">
        <f>SUMIFS($AU$1388:AU2035,$AA$1388:AA2035,"*",$AC$1388:AC2035,"*")</f>
        <v>21913.636363636531</v>
      </c>
      <c r="BW2034" s="343">
        <f>SUMIFS($AU$1388:AU2035,$AB$1388:AB2035,"*",$AC$1388:AC2035,"*")</f>
        <v>7119.9999999999982</v>
      </c>
      <c r="BX2034" s="343">
        <f>SUMIFS($AV$1388:AV2035,$Q$1388:Q2035,"F")</f>
        <v>425.28253013189931</v>
      </c>
      <c r="BY2034" s="343">
        <f>SUMIFS($AV$1388:AV2035,$Q$1388:Q2035,"S")</f>
        <v>768.03991333429894</v>
      </c>
      <c r="BZ2034" s="343">
        <f>SUMIFS($AV$1388:AV2035,$Q$1388:Q2035,"O")</f>
        <v>372.95929999976715</v>
      </c>
    </row>
    <row r="2035" spans="1:78" ht="15.75" customHeight="1">
      <c r="A2035" s="177" t="s">
        <v>6310</v>
      </c>
      <c r="B2035" s="200">
        <v>45434</v>
      </c>
      <c r="C2035" s="178" t="s">
        <v>5742</v>
      </c>
      <c r="D2035" s="178" t="s">
        <v>151</v>
      </c>
      <c r="E2035" s="227"/>
      <c r="F2035" s="180"/>
      <c r="G2035" s="489" t="s">
        <v>2991</v>
      </c>
      <c r="H2035" s="182"/>
      <c r="I2035" s="182"/>
      <c r="J2035" s="182"/>
      <c r="K2035" s="183"/>
      <c r="L2035" s="182"/>
      <c r="M2035" s="182">
        <v>2</v>
      </c>
      <c r="N2035" s="182"/>
      <c r="O2035" s="183" t="s">
        <v>95</v>
      </c>
      <c r="P2035" s="183" t="s">
        <v>96</v>
      </c>
      <c r="Q2035" s="183" t="s">
        <v>97</v>
      </c>
      <c r="R2035" s="183">
        <v>10</v>
      </c>
      <c r="S2035" s="183">
        <v>10</v>
      </c>
      <c r="T2035" s="183">
        <v>50</v>
      </c>
      <c r="U2035" s="183" t="s">
        <v>97</v>
      </c>
      <c r="V2035" s="183"/>
      <c r="W2035" s="183"/>
      <c r="X2035" s="183"/>
      <c r="Y2035" s="184">
        <f>IF(ISBLANK(O2035),"",(IF(O2035=UPPER("IB"),0.005,0.01)))</f>
        <v>0.01</v>
      </c>
      <c r="Z2035" s="185">
        <f>IF(ISBLANK(O2035),"",IF(O2035="IB",8.63*200,IF(O2035="IR",16*100,IF(O2035="YT",20*100,IF(O2035="YT-XT",24*200,IF(O2035="TED",80*100,IF(O2035="XT",29*200)))))))</f>
        <v>1600</v>
      </c>
      <c r="AA2035" s="185" t="s">
        <v>1824</v>
      </c>
      <c r="AB2035" s="185"/>
      <c r="AC2035" s="185"/>
      <c r="AD2035" s="649">
        <v>-0.13</v>
      </c>
      <c r="AE2035" s="182"/>
      <c r="AF2035" s="332"/>
      <c r="AG2035" s="182"/>
      <c r="AH2035" s="182"/>
      <c r="AI2035" s="182"/>
      <c r="AJ2035" s="640" t="s">
        <v>6552</v>
      </c>
      <c r="AK2035" s="182"/>
      <c r="AL2035" s="496">
        <f t="shared" si="690"/>
        <v>-32</v>
      </c>
      <c r="AM2035" s="496">
        <f t="shared" si="683"/>
        <v>0</v>
      </c>
      <c r="AN2035" s="626" t="s">
        <v>6539</v>
      </c>
      <c r="AO2035" s="182"/>
      <c r="AP2035" s="182"/>
      <c r="AQ2035" s="332" t="s">
        <v>115</v>
      </c>
      <c r="AR2035" s="182"/>
      <c r="AS2035" s="189">
        <v>-0.11</v>
      </c>
      <c r="AT2035" s="189">
        <f>IF(ISBLANK(AS2035),,IF(U2035="S",AD2035-AS2035,AS2035-AD2035))</f>
        <v>-2.0000000000000004E-2</v>
      </c>
      <c r="AU2035" s="187">
        <f>AV2035*R2035</f>
        <v>-320.00000000000006</v>
      </c>
      <c r="AV2035" s="190">
        <f t="shared" ref="AV2035:AV2038" si="691">IF(ISBLANK(AS2035),,(AT2035*Z2035))</f>
        <v>-32.000000000000007</v>
      </c>
      <c r="AW2035" s="191" t="s">
        <v>229</v>
      </c>
      <c r="AX2035" s="551" t="s">
        <v>6553</v>
      </c>
      <c r="AY2035" s="576" t="s">
        <v>6554</v>
      </c>
      <c r="AZ2035" s="551"/>
      <c r="BA2035" s="551"/>
      <c r="BB2035" s="551"/>
      <c r="BC2035" s="551"/>
      <c r="BD2035" s="549"/>
      <c r="BE2035" s="550"/>
      <c r="BF2035" s="549"/>
      <c r="BG2035" s="391">
        <f>SUM($AV$1389:AV2035)</f>
        <v>3814.2817434659714</v>
      </c>
      <c r="BH2035" s="392">
        <f>SUM($AU$1389:AU2035)</f>
        <v>50016.953506493737</v>
      </c>
      <c r="BI2035" s="318">
        <f>SUMIFS($AU$1388:AU2381,$Q$1388:Q2381,"F")</f>
        <v>28758.758121878131</v>
      </c>
      <c r="BJ2035" s="318">
        <f>SUMIFS($AU$1388:AU2381,$Q$1388:Q2381,"S")</f>
        <v>18338.285714285717</v>
      </c>
      <c r="BK2035" s="343">
        <f>SUMIFS($AU$1388:AU2381,$P$1388:P2381,"W")</f>
        <v>16085.423836163443</v>
      </c>
      <c r="BL2035" s="343">
        <f>SUMIFS($AU$1388:AU2381,$P$1388:P2381,"R")</f>
        <v>23278.800000000327</v>
      </c>
      <c r="BM2035" s="343">
        <f>SUMIFS($AU$1388:AU2381,$AQ$1388:AQ2381,"M")</f>
        <v>9563.1799999983832</v>
      </c>
      <c r="BN2035" s="343">
        <f>SUMIFS($AU$1388:AU2381,$AQ$1388:AQ2381,"H")</f>
        <v>12587.200000000877</v>
      </c>
      <c r="BO2035" s="343">
        <f>SUMIFS($AU$1388:AU2381,$AQ$1388:AQ2381,"D")</f>
        <v>11195.57747252718</v>
      </c>
      <c r="BP2035" s="343">
        <f>SUMIFS($AS$1388:AS2713,$AO$1388:AO2713,"W")</f>
        <v>0</v>
      </c>
      <c r="BQ2035" s="343">
        <f>SUMIFS($AU$1388:AU2381,$Q$1388:Q2381,"O")</f>
        <v>-9366.1400000007852</v>
      </c>
      <c r="BR2035" s="343">
        <f>SUMIFS($AU$1388:AU2381,$AA$1388:AA2381,"*")</f>
        <v>39156.002077921221</v>
      </c>
      <c r="BS2035" s="343">
        <f>SUMIFS($AU$1388:AU2381,$AB$1388:AB2381,"*")</f>
        <v>7005.8599999997941</v>
      </c>
      <c r="BT2035" s="343">
        <f>SUMIFS($AU$1388:AU2381,$AC$1388:AC2381,"*")</f>
        <v>31968.358121878122</v>
      </c>
      <c r="BU2035" s="343">
        <f>SUMIFS($AU$1388:AU2381,$AA$1388:AA2381,"*",$AB$1388:AB2381,"*")</f>
        <v>7301.9999999995771</v>
      </c>
      <c r="BV2035" s="343">
        <f>SUMIFS($AU$1388:AU2381,$AA$1388:AA2381,"*",$AC$1388:AC2381,"*")</f>
        <v>29949.316363636532</v>
      </c>
      <c r="BW2035" s="343">
        <f>SUMIFS($AU$1388:AU2381,$AB$1388:AB2381,"*",$AC$1388:AC2381,"*")</f>
        <v>3739.199999999998</v>
      </c>
      <c r="BX2035" s="343">
        <f>SUMIFS($AV$1388:AV2381,$Q$1388:Q2381,"F")</f>
        <v>396.72999236351012</v>
      </c>
      <c r="BY2035" s="343">
        <f>SUMIFS($AV$1388:AV2381,$Q$1388:Q2381,"S")</f>
        <v>775.76285705724263</v>
      </c>
      <c r="BZ2035" s="343">
        <f>SUMIFS($AV$1388:AV2381,$Q$1388:Q2381,"O")</f>
        <v>569.29929999965555</v>
      </c>
    </row>
    <row r="2036" spans="1:78" ht="15.75" customHeight="1">
      <c r="A2036" s="177" t="s">
        <v>6310</v>
      </c>
      <c r="B2036" s="200"/>
      <c r="C2036" s="178"/>
      <c r="D2036" s="178"/>
      <c r="E2036" s="227"/>
      <c r="F2036" s="180"/>
      <c r="G2036" s="181"/>
      <c r="H2036" s="182"/>
      <c r="I2036" s="182"/>
      <c r="J2036" s="182"/>
      <c r="K2036" s="183"/>
      <c r="L2036" s="182"/>
      <c r="M2036" s="182"/>
      <c r="N2036" s="182"/>
      <c r="O2036" s="183"/>
      <c r="P2036" s="183"/>
      <c r="Q2036" s="183"/>
      <c r="R2036" s="183"/>
      <c r="S2036" s="183"/>
      <c r="T2036" s="183"/>
      <c r="U2036" s="183"/>
      <c r="V2036" s="183"/>
      <c r="W2036" s="183"/>
      <c r="X2036" s="183"/>
      <c r="Y2036" s="183"/>
      <c r="Z2036" s="183"/>
      <c r="AA2036" s="185"/>
      <c r="AB2036" s="185"/>
      <c r="AC2036" s="185"/>
      <c r="AD2036" s="649"/>
      <c r="AE2036" s="182"/>
      <c r="AF2036" s="332"/>
      <c r="AG2036" s="182"/>
      <c r="AH2036" s="182"/>
      <c r="AI2036" s="182"/>
      <c r="AJ2036" s="640"/>
      <c r="AK2036" s="182"/>
      <c r="AL2036" s="496">
        <f t="shared" si="690"/>
        <v>0</v>
      </c>
      <c r="AM2036" s="496">
        <f t="shared" si="683"/>
        <v>0</v>
      </c>
      <c r="AN2036" s="626"/>
      <c r="AO2036" s="182"/>
      <c r="AP2036" s="182"/>
      <c r="AQ2036" s="332" t="str">
        <f>UPPER(RIGHT(Journal_Live[[#This Row],[DURATION ]]))</f>
        <v/>
      </c>
      <c r="AR2036" s="182"/>
      <c r="AS2036" s="189"/>
      <c r="AT2036" s="189"/>
      <c r="AU2036" s="187"/>
      <c r="AV2036" s="190"/>
      <c r="AW2036" s="191"/>
      <c r="AX2036" s="551" t="s">
        <v>6555</v>
      </c>
      <c r="AY2036" s="551" t="s">
        <v>6556</v>
      </c>
      <c r="AZ2036" s="551" t="s">
        <v>6557</v>
      </c>
      <c r="BA2036" s="549" t="s">
        <v>6558</v>
      </c>
      <c r="BB2036" s="551" t="s">
        <v>6559</v>
      </c>
      <c r="BC2036" s="551" t="s">
        <v>6560</v>
      </c>
      <c r="BD2036" s="549" t="s">
        <v>6561</v>
      </c>
      <c r="BE2036" s="550"/>
      <c r="BF2036" s="549"/>
      <c r="BG2036" s="391">
        <f>SUM($AV$1389:AV2036)</f>
        <v>3814.2817434659714</v>
      </c>
      <c r="BH2036" s="392">
        <f>SUM($AU$1389:AU2036)</f>
        <v>50016.953506493737</v>
      </c>
      <c r="BI2036" s="318">
        <f>SUMIFS($AU$1388:AU2037,$Q$1388:Q2037,"F")</f>
        <v>30427.69350649351</v>
      </c>
      <c r="BJ2036" s="318">
        <f>SUMIFS($AU$1388:AU2037,$Q$1388:Q2037,"S")</f>
        <v>23488</v>
      </c>
      <c r="BK2036" s="343">
        <f>SUMIFS($AU$1388:AU2037,$P$1388:P2037,"W")</f>
        <v>35716.873506493845</v>
      </c>
      <c r="BL2036" s="343">
        <f>SUMIFS($AU$1388:AU2037,$P$1388:P2037,"R")</f>
        <v>11626.00000000016</v>
      </c>
      <c r="BM2036" s="343">
        <f>SUMIFS($AU$1388:AU2037,$AQ$1388:AQ2037,"M")</f>
        <v>9793.3799999992334</v>
      </c>
      <c r="BN2036" s="343">
        <f>SUMIFS($AU$1388:AU2037,$AQ$1388:AQ2037,"H")</f>
        <v>11955.200000000876</v>
      </c>
      <c r="BO2036" s="343">
        <f>SUMIFS($AU$1388:AU2037,$AQ$1388:AQ2037,"D")</f>
        <v>11523.107142857023</v>
      </c>
      <c r="BP2036" s="343">
        <f>SUMIFS($AS$1388:AS2710,$AO$1388:AO2710,"W")</f>
        <v>0</v>
      </c>
      <c r="BQ2036" s="343">
        <f>SUMIFS($AU$1388:AU2037,$Q$1388:Q2037,"O")</f>
        <v>-5622.7399999997597</v>
      </c>
      <c r="BR2036" s="343">
        <f>SUMIFS($AU$1388:AU2037,$AA$1388:AA2037,"*")</f>
        <v>36943.036363636376</v>
      </c>
      <c r="BS2036" s="343">
        <f>SUMIFS($AU$1388:AU2037,$AB$1388:AB2037,"*")</f>
        <v>10383.860000000041</v>
      </c>
      <c r="BT2036" s="343">
        <f>SUMIFS($AU$1388:AU2037,$AC$1388:AC2037,"*")</f>
        <v>33867.693506493677</v>
      </c>
      <c r="BU2036" s="343">
        <f>SUMIFS($AU$1388:AU2037,$AA$1388:AA2037,"*",$AB$1388:AB2037,"*")</f>
        <v>5423.9999999998217</v>
      </c>
      <c r="BV2036" s="343">
        <f>SUMIFS($AU$1388:AU2037,$AA$1388:AA2037,"*",$AC$1388:AC2037,"*")</f>
        <v>21913.636363636531</v>
      </c>
      <c r="BW2036" s="343">
        <f>SUMIFS($AU$1388:AU2037,$AB$1388:AB2037,"*",$AC$1388:AC2037,"*")</f>
        <v>7119.9999999999982</v>
      </c>
      <c r="BX2036" s="343">
        <f>SUMIFS($AV$1388:AV2037,$Q$1388:Q2037,"F")</f>
        <v>425.28253013189931</v>
      </c>
      <c r="BY2036" s="343">
        <f>SUMIFS($AV$1388:AV2037,$Q$1388:Q2037,"S")</f>
        <v>768.03991333429894</v>
      </c>
      <c r="BZ2036" s="343">
        <f>SUMIFS($AV$1388:AV2037,$Q$1388:Q2037,"O")</f>
        <v>372.95929999976715</v>
      </c>
    </row>
    <row r="2037" spans="1:78" ht="15.75" customHeight="1">
      <c r="A2037" s="177" t="s">
        <v>6310</v>
      </c>
      <c r="B2037" s="200">
        <v>45434</v>
      </c>
      <c r="C2037" s="178" t="s">
        <v>5742</v>
      </c>
      <c r="D2037" s="178" t="s">
        <v>151</v>
      </c>
      <c r="E2037" s="227"/>
      <c r="F2037" s="180"/>
      <c r="G2037" s="181" t="s">
        <v>3625</v>
      </c>
      <c r="H2037" s="182"/>
      <c r="I2037" s="182"/>
      <c r="J2037" s="182"/>
      <c r="K2037" s="183"/>
      <c r="L2037" s="182"/>
      <c r="M2037" s="182"/>
      <c r="N2037" s="182"/>
      <c r="O2037" s="183"/>
      <c r="P2037" s="183"/>
      <c r="Q2037" s="183"/>
      <c r="R2037" s="183"/>
      <c r="S2037" s="183"/>
      <c r="T2037" s="183"/>
      <c r="U2037" s="183"/>
      <c r="V2037" s="183"/>
      <c r="W2037" s="183"/>
      <c r="X2037" s="183"/>
      <c r="Y2037" s="184"/>
      <c r="Z2037" s="185"/>
      <c r="AA2037" s="185"/>
      <c r="AB2037" s="185"/>
      <c r="AC2037" s="185"/>
      <c r="AD2037" s="649"/>
      <c r="AE2037" s="182"/>
      <c r="AF2037" s="332"/>
      <c r="AG2037" s="182"/>
      <c r="AH2037" s="182"/>
      <c r="AI2037" s="182"/>
      <c r="AJ2037" s="640" t="s">
        <v>6562</v>
      </c>
      <c r="AK2037" s="182"/>
      <c r="AL2037" s="496">
        <f t="shared" si="690"/>
        <v>0</v>
      </c>
      <c r="AM2037" s="496">
        <f t="shared" si="683"/>
        <v>0</v>
      </c>
      <c r="AN2037" s="626" t="s">
        <v>6547</v>
      </c>
      <c r="AO2037" s="182"/>
      <c r="AP2037" s="182"/>
      <c r="AQ2037" s="332" t="str">
        <f>UPPER(RIGHT(Journal_Live[[#This Row],[DURATION ]]))</f>
        <v/>
      </c>
      <c r="AR2037" s="182"/>
      <c r="AS2037" s="189"/>
      <c r="AT2037" s="189"/>
      <c r="AU2037" s="187"/>
      <c r="AV2037" s="190"/>
      <c r="AW2037" s="191"/>
      <c r="AX2037" s="551" t="s">
        <v>6563</v>
      </c>
      <c r="AY2037" s="551" t="s">
        <v>6564</v>
      </c>
      <c r="AZ2037" s="551"/>
      <c r="BA2037" s="551"/>
      <c r="BB2037" s="551"/>
      <c r="BC2037" s="551"/>
      <c r="BD2037" s="549"/>
      <c r="BE2037" s="550"/>
      <c r="BF2037" s="549"/>
      <c r="BG2037" s="391">
        <f>SUM($AV$1389:AV2037)</f>
        <v>3814.2817434659714</v>
      </c>
      <c r="BH2037" s="392">
        <f>SUM($AU$1389:AU2037)</f>
        <v>50016.953506493737</v>
      </c>
      <c r="BI2037" s="318">
        <f>SUMIFS($AU$1388:AU2038,$Q$1388:Q2038,"F")</f>
        <v>30427.69350649351</v>
      </c>
      <c r="BJ2037" s="318">
        <f>SUMIFS($AU$1388:AU2038,$Q$1388:Q2038,"S")</f>
        <v>23488</v>
      </c>
      <c r="BK2037" s="343">
        <f>SUMIFS($AU$1388:AU2038,$P$1388:P2038,"W")</f>
        <v>35716.873506493845</v>
      </c>
      <c r="BL2037" s="343">
        <f>SUMIFS($AU$1388:AU2038,$P$1388:P2038,"R")</f>
        <v>11626.00000000016</v>
      </c>
      <c r="BM2037" s="343">
        <f>SUMIFS($AU$1388:AU2038,$AQ$1388:AQ2038,"M")</f>
        <v>9793.3799999992334</v>
      </c>
      <c r="BN2037" s="343">
        <f>SUMIFS($AU$1388:AU2038,$AQ$1388:AQ2038,"H")</f>
        <v>11955.200000000876</v>
      </c>
      <c r="BO2037" s="343">
        <f>SUMIFS($AU$1388:AU2038,$AQ$1388:AQ2038,"D")</f>
        <v>11523.107142857023</v>
      </c>
      <c r="BP2037" s="343">
        <f>SUMIFS($AS$1388:AS2711,$AO$1388:AO2711,"W")</f>
        <v>0</v>
      </c>
      <c r="BQ2037" s="343">
        <f>SUMIFS($AU$1388:AU2038,$Q$1388:Q2038,"O")</f>
        <v>-5622.7399999997597</v>
      </c>
      <c r="BR2037" s="343">
        <f>SUMIFS($AU$1388:AU2038,$AA$1388:AA2038,"*")</f>
        <v>36943.036363636376</v>
      </c>
      <c r="BS2037" s="343">
        <f>SUMIFS($AU$1388:AU2038,$AB$1388:AB2038,"*")</f>
        <v>10383.860000000041</v>
      </c>
      <c r="BT2037" s="343">
        <f>SUMIFS($AU$1388:AU2038,$AC$1388:AC2038,"*")</f>
        <v>33867.693506493677</v>
      </c>
      <c r="BU2037" s="343">
        <f>SUMIFS($AU$1388:AU2038,$AA$1388:AA2038,"*",$AB$1388:AB2038,"*")</f>
        <v>5423.9999999998217</v>
      </c>
      <c r="BV2037" s="343">
        <f>SUMIFS($AU$1388:AU2038,$AA$1388:AA2038,"*",$AC$1388:AC2038,"*")</f>
        <v>21913.636363636531</v>
      </c>
      <c r="BW2037" s="343">
        <f>SUMIFS($AU$1388:AU2038,$AB$1388:AB2038,"*",$AC$1388:AC2038,"*")</f>
        <v>7119.9999999999982</v>
      </c>
      <c r="BX2037" s="343">
        <f>SUMIFS($AV$1388:AV2038,$Q$1388:Q2038,"F")</f>
        <v>425.28253013189931</v>
      </c>
      <c r="BY2037" s="343">
        <f>SUMIFS($AV$1388:AV2038,$Q$1388:Q2038,"S")</f>
        <v>768.03991333429894</v>
      </c>
      <c r="BZ2037" s="343">
        <f>SUMIFS($AV$1388:AV2038,$Q$1388:Q2038,"O")</f>
        <v>372.95929999976715</v>
      </c>
    </row>
    <row r="2038" spans="1:78" ht="15.75" customHeight="1">
      <c r="A2038" s="177" t="s">
        <v>6310</v>
      </c>
      <c r="B2038" s="200">
        <v>45434</v>
      </c>
      <c r="C2038" s="178" t="s">
        <v>1919</v>
      </c>
      <c r="D2038" s="178" t="s">
        <v>151</v>
      </c>
      <c r="E2038" s="227"/>
      <c r="F2038" s="180"/>
      <c r="G2038" s="481" t="s">
        <v>3334</v>
      </c>
      <c r="H2038" s="182"/>
      <c r="I2038" s="182"/>
      <c r="J2038" s="182"/>
      <c r="K2038" s="183"/>
      <c r="L2038" s="182"/>
      <c r="M2038" s="182"/>
      <c r="N2038" s="182">
        <v>2</v>
      </c>
      <c r="O2038" s="183" t="s">
        <v>95</v>
      </c>
      <c r="P2038" s="183" t="s">
        <v>137</v>
      </c>
      <c r="Q2038" s="183" t="s">
        <v>97</v>
      </c>
      <c r="R2038" s="183">
        <v>40</v>
      </c>
      <c r="S2038" s="183">
        <v>0</v>
      </c>
      <c r="T2038" s="183">
        <v>40</v>
      </c>
      <c r="U2038" s="183" t="s">
        <v>22</v>
      </c>
      <c r="V2038" s="183"/>
      <c r="W2038" s="183"/>
      <c r="X2038" s="183"/>
      <c r="Y2038" s="184">
        <f>IF(ISBLANK(O2038),"",(IF(O2038=UPPER("IB"),0.005,0.01)))</f>
        <v>0.01</v>
      </c>
      <c r="Z2038" s="185">
        <f>IF(ISBLANK(O2038),"",IF(O2038="IB",8.63*200,IF(O2038="IR",16*100,IF(O2038="YT",20*100,IF(O2038="YT-XT",24*200,IF(O2038="TED",80*100,IF(O2038="XT",29*200)))))))</f>
        <v>1600</v>
      </c>
      <c r="AA2038" s="185" t="s">
        <v>6373</v>
      </c>
      <c r="AB2038" s="185"/>
      <c r="AC2038" s="185" t="s">
        <v>6565</v>
      </c>
      <c r="AD2038" s="649">
        <v>-0.09</v>
      </c>
      <c r="AE2038" s="182"/>
      <c r="AF2038" s="332"/>
      <c r="AG2038" s="182"/>
      <c r="AH2038" s="182"/>
      <c r="AI2038" s="182"/>
      <c r="AJ2038" s="640" t="s">
        <v>6566</v>
      </c>
      <c r="AK2038" s="182"/>
      <c r="AL2038" s="496">
        <f t="shared" si="690"/>
        <v>-32</v>
      </c>
      <c r="AM2038" s="496">
        <f t="shared" si="683"/>
        <v>-1280</v>
      </c>
      <c r="AN2038" s="626" t="s">
        <v>6567</v>
      </c>
      <c r="AO2038" s="182"/>
      <c r="AP2038" s="182"/>
      <c r="AQ2038" s="332" t="s">
        <v>115</v>
      </c>
      <c r="AR2038" s="182"/>
      <c r="AS2038" s="189">
        <v>-0.09</v>
      </c>
      <c r="AT2038" s="189">
        <f>IF(ISBLANK(AS2038),,IF(U2038="S",AD2038-AS2038,AS2038-AD2038))</f>
        <v>0</v>
      </c>
      <c r="AU2038" s="187">
        <f>AV2038*R2038</f>
        <v>0</v>
      </c>
      <c r="AV2038" s="190">
        <f t="shared" si="691"/>
        <v>0</v>
      </c>
      <c r="AW2038" s="191" t="s">
        <v>115</v>
      </c>
      <c r="AX2038" s="551"/>
      <c r="AY2038" s="551"/>
      <c r="AZ2038" s="551"/>
      <c r="BA2038" s="551"/>
      <c r="BB2038" s="551"/>
      <c r="BC2038" s="551"/>
      <c r="BD2038" s="549"/>
      <c r="BE2038" s="550"/>
      <c r="BF2038" s="549"/>
      <c r="BG2038" s="391">
        <f>SUM($AV$1389:AV2038)</f>
        <v>3814.2817434659714</v>
      </c>
      <c r="BH2038" s="392">
        <f>SUM($AU$1389:AU2038)</f>
        <v>50016.953506493737</v>
      </c>
      <c r="BI2038" s="318">
        <f>SUMIFS($AU$1388:AU2124,$Q$1388:Q2124,"F")</f>
        <v>32973.293506493508</v>
      </c>
      <c r="BJ2038" s="318">
        <f>SUMIFS($AU$1388:AU2124,$Q$1388:Q2124,"S")</f>
        <v>20002.285714285714</v>
      </c>
      <c r="BK2038" s="343">
        <f>SUMIFS($AU$1388:AU2124,$P$1388:P2124,"W")</f>
        <v>31576.759220779561</v>
      </c>
      <c r="BL2038" s="343">
        <f>SUMIFS($AU$1388:AU2124,$P$1388:P2124,"R")</f>
        <v>15726.00000000016</v>
      </c>
      <c r="BM2038" s="343">
        <f>SUMIFS($AU$1388:AU2124,$AQ$1388:AQ2124,"M")</f>
        <v>10931.179999998967</v>
      </c>
      <c r="BN2038" s="343">
        <f>SUMIFS($AU$1388:AU2124,$AQ$1388:AQ2124,"H")</f>
        <v>14523.200000000877</v>
      </c>
      <c r="BO2038" s="343">
        <f>SUMIFS($AU$1388:AU2124,$AQ$1388:AQ2124,"D")</f>
        <v>8014.9928571427408</v>
      </c>
      <c r="BP2038" s="343">
        <f>SUMIFS($AS$1388:AS2712,$AO$1388:AO2712,"W")</f>
        <v>0</v>
      </c>
      <c r="BQ2038" s="343">
        <f>SUMIFS($AU$1388:AU2124,$Q$1388:Q2124,"O")</f>
        <v>-5384.9400000000251</v>
      </c>
      <c r="BR2038" s="343">
        <f>SUMIFS($AU$1388:AU2124,$AA$1388:AA2124,"*")</f>
        <v>37075.122077921827</v>
      </c>
      <c r="BS2038" s="343">
        <f>SUMIFS($AU$1388:AU2124,$AB$1388:AB2124,"*")</f>
        <v>12971.859999999973</v>
      </c>
      <c r="BT2038" s="343">
        <f>SUMIFS($AU$1388:AU2124,$AC$1388:AC2124,"*")</f>
        <v>40173.293506493676</v>
      </c>
      <c r="BU2038" s="343">
        <f>SUMIFS($AU$1388:AU2124,$AA$1388:AA2124,"*",$AB$1388:AB2124,"*")</f>
        <v>8011.9999999997544</v>
      </c>
      <c r="BV2038" s="343">
        <f>SUMIFS($AU$1388:AU2124,$AA$1388:AA2124,"*",$AC$1388:AC2124,"*")</f>
        <v>28153.636363636531</v>
      </c>
      <c r="BW2038" s="343">
        <f>SUMIFS($AU$1388:AU2124,$AB$1388:AB2124,"*",$AC$1388:AC2124,"*")</f>
        <v>9360</v>
      </c>
      <c r="BX2038" s="343">
        <f>SUMIFS($AV$1388:AV2124,$Q$1388:Q2124,"F")</f>
        <v>462.72914667325267</v>
      </c>
      <c r="BY2038" s="343">
        <f>SUMIFS($AV$1388:AV2124,$Q$1388:Q2124,"S")</f>
        <v>738.32562762001328</v>
      </c>
      <c r="BZ2038" s="343">
        <f>SUMIFS($AV$1388:AV2124,$Q$1388:Q2124,"O")</f>
        <v>471.55929999966099</v>
      </c>
    </row>
    <row r="2039" spans="1:78" ht="15.75" customHeight="1">
      <c r="A2039" s="177" t="s">
        <v>6310</v>
      </c>
      <c r="B2039" s="200">
        <v>45435</v>
      </c>
      <c r="C2039" s="178" t="s">
        <v>3312</v>
      </c>
      <c r="D2039" s="178" t="s">
        <v>93</v>
      </c>
      <c r="E2039" s="227"/>
      <c r="F2039" s="180"/>
      <c r="G2039" s="181"/>
      <c r="H2039" s="182"/>
      <c r="I2039" s="182"/>
      <c r="J2039" s="182"/>
      <c r="K2039" s="183"/>
      <c r="L2039" s="182"/>
      <c r="M2039" s="182"/>
      <c r="N2039" s="182"/>
      <c r="O2039" s="183"/>
      <c r="P2039" s="183"/>
      <c r="Q2039" s="183"/>
      <c r="R2039" s="183"/>
      <c r="S2039" s="183"/>
      <c r="T2039" s="183"/>
      <c r="U2039" s="183"/>
      <c r="V2039" s="183"/>
      <c r="W2039" s="183"/>
      <c r="X2039" s="183"/>
      <c r="Y2039" s="184"/>
      <c r="Z2039" s="185"/>
      <c r="AA2039" s="185"/>
      <c r="AB2039" s="185"/>
      <c r="AC2039" s="185"/>
      <c r="AD2039" s="649"/>
      <c r="AE2039" s="182"/>
      <c r="AF2039" s="332"/>
      <c r="AG2039" s="182"/>
      <c r="AH2039" s="182"/>
      <c r="AI2039" s="182"/>
      <c r="AJ2039" s="640"/>
      <c r="AK2039" s="182"/>
      <c r="AL2039" s="496">
        <f t="shared" ref="AL2039:AL2123" si="692">-0.02*Z2039</f>
        <v>0</v>
      </c>
      <c r="AM2039" s="496">
        <f t="shared" si="683"/>
        <v>0</v>
      </c>
      <c r="AN2039" s="626"/>
      <c r="AO2039" s="182"/>
      <c r="AP2039" s="182"/>
      <c r="AQ2039" s="332" t="str">
        <f>UPPER(RIGHT(Journal_Live[[#This Row],[DURATION ]]))</f>
        <v/>
      </c>
      <c r="AR2039" s="182"/>
      <c r="AS2039" s="189"/>
      <c r="AT2039" s="189"/>
      <c r="AU2039" s="187"/>
      <c r="AV2039" s="190"/>
      <c r="AW2039" s="191"/>
      <c r="AX2039" s="551" t="s">
        <v>6568</v>
      </c>
      <c r="AY2039" s="551" t="s">
        <v>6569</v>
      </c>
      <c r="AZ2039" s="551" t="s">
        <v>6570</v>
      </c>
      <c r="BA2039" s="551" t="s">
        <v>6571</v>
      </c>
      <c r="BB2039" s="551" t="s">
        <v>6572</v>
      </c>
      <c r="BC2039" s="551" t="s">
        <v>6573</v>
      </c>
      <c r="BD2039" s="549"/>
      <c r="BE2039" s="550"/>
      <c r="BF2039" s="549"/>
      <c r="BG2039" s="391">
        <f>SUM($AV$1389:AV2039)</f>
        <v>3814.2817434659714</v>
      </c>
      <c r="BH2039" s="392">
        <f>SUM($AU$1389:AU2039)</f>
        <v>50016.953506493737</v>
      </c>
      <c r="BI2039" s="318">
        <f>SUMIFS($AU$1388:AU2040,$Q$1388:Q2040,"F")</f>
        <v>30427.69350649351</v>
      </c>
      <c r="BJ2039" s="318">
        <f>SUMIFS($AU$1388:AU2040,$Q$1388:Q2040,"S")</f>
        <v>23488</v>
      </c>
      <c r="BK2039" s="343">
        <f>SUMIFS($AU$1388:AU2040,$P$1388:P2040,"W")</f>
        <v>35716.873506493845</v>
      </c>
      <c r="BL2039" s="343">
        <f>SUMIFS($AU$1388:AU2040,$P$1388:P2040,"R")</f>
        <v>11626.000000000158</v>
      </c>
      <c r="BM2039" s="343">
        <f>SUMIFS($AU$1388:AU2040,$AQ$1388:AQ2040,"M")</f>
        <v>9793.3799999992334</v>
      </c>
      <c r="BN2039" s="343">
        <f>SUMIFS($AU$1388:AU2040,$AQ$1388:AQ2040,"H")</f>
        <v>11955.200000000876</v>
      </c>
      <c r="BO2039" s="343">
        <f>SUMIFS($AU$1388:AU2040,$AQ$1388:AQ2040,"D")</f>
        <v>11523.107142857021</v>
      </c>
      <c r="BP2039" s="343">
        <f>SUMIFS($AS$1388:AS2709,$AO$1388:AO2709,"W")</f>
        <v>0</v>
      </c>
      <c r="BQ2039" s="343">
        <f>SUMIFS($AU$1388:AU2040,$Q$1388:Q2040,"O")</f>
        <v>-5622.7399999997597</v>
      </c>
      <c r="BR2039" s="343">
        <f>SUMIFS($AU$1388:AU2040,$AA$1388:AA2040,"*")</f>
        <v>36943.036363636376</v>
      </c>
      <c r="BS2039" s="343">
        <f>SUMIFS($AU$1388:AU2040,$AB$1388:AB2040,"*")</f>
        <v>10383.860000000041</v>
      </c>
      <c r="BT2039" s="343">
        <f>SUMIFS($AU$1388:AU2040,$AC$1388:AC2040,"*")</f>
        <v>33867.693506493677</v>
      </c>
      <c r="BU2039" s="343">
        <f>SUMIFS($AU$1388:AU2040,$AA$1388:AA2040,"*",$AB$1388:AB2040,"*")</f>
        <v>5423.9999999998217</v>
      </c>
      <c r="BV2039" s="343">
        <f>SUMIFS($AU$1388:AU2040,$AA$1388:AA2040,"*",$AC$1388:AC2040,"*")</f>
        <v>21913.636363636531</v>
      </c>
      <c r="BW2039" s="343">
        <f>SUMIFS($AU$1388:AU2040,$AB$1388:AB2040,"*",$AC$1388:AC2040,"*")</f>
        <v>7119.9999999999982</v>
      </c>
      <c r="BX2039" s="343">
        <f>SUMIFS($AV$1388:AV2040,$Q$1388:Q2040,"F")</f>
        <v>425.28253013189931</v>
      </c>
      <c r="BY2039" s="343">
        <f>SUMIFS($AV$1388:AV2040,$Q$1388:Q2040,"S")</f>
        <v>768.03991333429894</v>
      </c>
      <c r="BZ2039" s="343">
        <f>SUMIFS($AV$1388:AV2040,$Q$1388:Q2040,"O")</f>
        <v>372.95929999976715</v>
      </c>
    </row>
    <row r="2040" spans="1:78" ht="15.75" customHeight="1">
      <c r="A2040" s="177" t="s">
        <v>6310</v>
      </c>
      <c r="B2040" s="200">
        <v>45435</v>
      </c>
      <c r="C2040" s="178" t="s">
        <v>1838</v>
      </c>
      <c r="D2040" s="178" t="s">
        <v>93</v>
      </c>
      <c r="E2040" s="227"/>
      <c r="F2040" s="180"/>
      <c r="G2040" s="574" t="s">
        <v>5025</v>
      </c>
      <c r="H2040" s="182"/>
      <c r="I2040" s="182"/>
      <c r="J2040" s="182"/>
      <c r="K2040" s="183"/>
      <c r="L2040" s="182"/>
      <c r="M2040" s="182">
        <v>1</v>
      </c>
      <c r="N2040" s="182"/>
      <c r="O2040" s="183" t="s">
        <v>2652</v>
      </c>
      <c r="P2040" s="183" t="s">
        <v>137</v>
      </c>
      <c r="Q2040" s="183"/>
      <c r="R2040" s="183">
        <v>6</v>
      </c>
      <c r="S2040" s="183">
        <v>5</v>
      </c>
      <c r="T2040" s="183">
        <v>6</v>
      </c>
      <c r="U2040" s="183" t="s">
        <v>97</v>
      </c>
      <c r="V2040" s="183"/>
      <c r="W2040" s="183"/>
      <c r="X2040" s="183"/>
      <c r="Y2040" s="184">
        <f>IF(ISBLANK(O2040),"",(IF(O2040=UPPER("IB"),0.005,0.01)))</f>
        <v>0.01</v>
      </c>
      <c r="Z2040" s="185">
        <f>IF(ISBLANK(O2040),"",IF(O2040="IB",8.63*200,IF(O2040="IR",16*100,IF(O2040="YT",20*100,IF(O2040="YT-XT",24*200,IF(O2040="TED",80*100))))))</f>
        <v>8000</v>
      </c>
      <c r="AA2040" s="185" t="s">
        <v>6574</v>
      </c>
      <c r="AB2040" s="185"/>
      <c r="AC2040" s="185"/>
      <c r="AD2040" s="649">
        <v>-0.2</v>
      </c>
      <c r="AE2040" s="182"/>
      <c r="AF2040" s="332"/>
      <c r="AG2040" s="182"/>
      <c r="AH2040" s="182"/>
      <c r="AI2040" s="182"/>
      <c r="AJ2040" s="640"/>
      <c r="AK2040" s="182"/>
      <c r="AL2040" s="496">
        <f t="shared" si="692"/>
        <v>-160</v>
      </c>
      <c r="AM2040" s="496">
        <f t="shared" si="683"/>
        <v>-160</v>
      </c>
      <c r="AN2040" s="626"/>
      <c r="AO2040" s="182"/>
      <c r="AP2040" s="182"/>
      <c r="AQ2040" s="332" t="s">
        <v>115</v>
      </c>
      <c r="AR2040" s="182"/>
      <c r="AS2040" s="189">
        <f>((-0.2*5)+(-0.2*1))/6</f>
        <v>-0.19999999999999998</v>
      </c>
      <c r="AT2040" s="189">
        <f>IF(ISBLANK(AS2040),,IF(U2040="S",AD2040-AS2040,AS2040-AD2040))</f>
        <v>-2.7755575615628914E-17</v>
      </c>
      <c r="AU2040" s="187">
        <f>AV2040*R2040</f>
        <v>-1.3322676295501878E-12</v>
      </c>
      <c r="AV2040" s="190">
        <f t="shared" ref="AV2040:AV2053" si="693">IF(ISBLANK(AS2040),,(AT2040*Z2040))</f>
        <v>-2.2204460492503131E-13</v>
      </c>
      <c r="AW2040" s="191" t="s">
        <v>115</v>
      </c>
      <c r="AX2040" s="551" t="s">
        <v>6575</v>
      </c>
      <c r="AY2040" s="551" t="s">
        <v>6576</v>
      </c>
      <c r="AZ2040" s="551"/>
      <c r="BA2040" s="551"/>
      <c r="BB2040" s="551"/>
      <c r="BC2040" s="551"/>
      <c r="BD2040" s="549"/>
      <c r="BE2040" s="550"/>
      <c r="BF2040" s="549"/>
      <c r="BG2040" s="391">
        <f>SUM($AV$1389:AV2040)</f>
        <v>3814.2817434659714</v>
      </c>
      <c r="BH2040" s="392">
        <f>SUM($AU$1389:AU2040)</f>
        <v>50016.953506493737</v>
      </c>
      <c r="BI2040" s="318">
        <f>SUMIFS($AU$1388:AU2122,$Q$1388:Q2122,"F")</f>
        <v>32973.293506493508</v>
      </c>
      <c r="BJ2040" s="318">
        <f>SUMIFS($AU$1388:AU2122,$Q$1388:Q2122,"S")</f>
        <v>20002.285714285714</v>
      </c>
      <c r="BK2040" s="343">
        <f>SUMIFS($AU$1388:AU2122,$P$1388:P2122,"W")</f>
        <v>31576.759220779561</v>
      </c>
      <c r="BL2040" s="343">
        <f>SUMIFS($AU$1388:AU2122,$P$1388:P2122,"R")</f>
        <v>15726.00000000016</v>
      </c>
      <c r="BM2040" s="343">
        <f>SUMIFS($AU$1388:AU2122,$AQ$1388:AQ2122,"M")</f>
        <v>10931.179999998967</v>
      </c>
      <c r="BN2040" s="343">
        <f>SUMIFS($AU$1388:AU2122,$AQ$1388:AQ2122,"H")</f>
        <v>14523.200000000877</v>
      </c>
      <c r="BO2040" s="343">
        <f>SUMIFS($AU$1388:AU2122,$AQ$1388:AQ2122,"D")</f>
        <v>8014.9928571427408</v>
      </c>
      <c r="BP2040" s="343">
        <f>SUMIFS($AS$1388:AS2710,$AO$1388:AO2710,"W")</f>
        <v>0</v>
      </c>
      <c r="BQ2040" s="343">
        <f>SUMIFS($AU$1388:AU2122,$Q$1388:Q2122,"O")</f>
        <v>-5384.9400000000251</v>
      </c>
      <c r="BR2040" s="343">
        <f>SUMIFS($AU$1388:AU2122,$AA$1388:AA2122,"*")</f>
        <v>37075.122077921827</v>
      </c>
      <c r="BS2040" s="343">
        <f>SUMIFS($AU$1388:AU2122,$AB$1388:AB2122,"*")</f>
        <v>12971.859999999973</v>
      </c>
      <c r="BT2040" s="343">
        <f>SUMIFS($AU$1388:AU2122,$AC$1388:AC2122,"*")</f>
        <v>40173.293506493676</v>
      </c>
      <c r="BU2040" s="343">
        <f>SUMIFS($AU$1388:AU2122,$AA$1388:AA2122,"*",$AB$1388:AB2122,"*")</f>
        <v>8011.9999999997544</v>
      </c>
      <c r="BV2040" s="343">
        <f>SUMIFS($AU$1388:AU2122,$AA$1388:AA2122,"*",$AC$1388:AC2122,"*")</f>
        <v>28153.636363636531</v>
      </c>
      <c r="BW2040" s="343">
        <f>SUMIFS($AU$1388:AU2122,$AB$1388:AB2122,"*",$AC$1388:AC2122,"*")</f>
        <v>9360</v>
      </c>
      <c r="BX2040" s="343">
        <f>SUMIFS($AV$1388:AV2122,$Q$1388:Q2122,"F")</f>
        <v>462.72914667325267</v>
      </c>
      <c r="BY2040" s="343">
        <f>SUMIFS($AV$1388:AV2122,$Q$1388:Q2122,"S")</f>
        <v>738.32562762001328</v>
      </c>
      <c r="BZ2040" s="343">
        <f>SUMIFS($AV$1388:AV2122,$Q$1388:Q2122,"O")</f>
        <v>471.55929999966099</v>
      </c>
    </row>
    <row r="2041" spans="1:78" ht="15.75" customHeight="1">
      <c r="A2041" s="177" t="s">
        <v>6310</v>
      </c>
      <c r="B2041" s="200">
        <v>45435</v>
      </c>
      <c r="C2041" s="178" t="s">
        <v>6577</v>
      </c>
      <c r="D2041" s="178" t="s">
        <v>93</v>
      </c>
      <c r="E2041" s="227"/>
      <c r="F2041" s="180"/>
      <c r="G2041" s="181" t="s">
        <v>136</v>
      </c>
      <c r="H2041" s="182"/>
      <c r="I2041" s="182"/>
      <c r="J2041" s="182"/>
      <c r="K2041" s="183"/>
      <c r="L2041" s="182"/>
      <c r="M2041" s="182"/>
      <c r="N2041" s="182"/>
      <c r="O2041" s="183"/>
      <c r="P2041" s="183"/>
      <c r="Q2041" s="183"/>
      <c r="R2041" s="183"/>
      <c r="S2041" s="183"/>
      <c r="T2041" s="183"/>
      <c r="U2041" s="183"/>
      <c r="V2041" s="183"/>
      <c r="W2041" s="183"/>
      <c r="X2041" s="183"/>
      <c r="Y2041" s="184"/>
      <c r="Z2041" s="185"/>
      <c r="AA2041" s="185"/>
      <c r="AB2041" s="185"/>
      <c r="AC2041" s="185"/>
      <c r="AD2041" s="649"/>
      <c r="AE2041" s="182"/>
      <c r="AF2041" s="332"/>
      <c r="AG2041" s="182"/>
      <c r="AH2041" s="182"/>
      <c r="AI2041" s="182"/>
      <c r="AJ2041" s="640"/>
      <c r="AK2041" s="182"/>
      <c r="AL2041" s="496">
        <f t="shared" si="692"/>
        <v>0</v>
      </c>
      <c r="AM2041" s="496">
        <f t="shared" si="683"/>
        <v>0</v>
      </c>
      <c r="AN2041" s="626"/>
      <c r="AO2041" s="182"/>
      <c r="AP2041" s="182"/>
      <c r="AQ2041" s="332" t="str">
        <f>UPPER(RIGHT(Journal_Live[[#This Row],[DURATION ]]))</f>
        <v/>
      </c>
      <c r="AR2041" s="182"/>
      <c r="AS2041" s="189"/>
      <c r="AT2041" s="189"/>
      <c r="AU2041" s="187"/>
      <c r="AV2041" s="190"/>
      <c r="AW2041" s="191"/>
      <c r="AX2041" s="551" t="s">
        <v>6578</v>
      </c>
      <c r="AY2041" s="551" t="s">
        <v>6579</v>
      </c>
      <c r="AZ2041" s="551" t="s">
        <v>6580</v>
      </c>
      <c r="BA2041" s="551" t="s">
        <v>6581</v>
      </c>
      <c r="BB2041" s="551" t="s">
        <v>6582</v>
      </c>
      <c r="BC2041" s="551"/>
      <c r="BD2041" s="549"/>
      <c r="BE2041" s="550"/>
      <c r="BF2041" s="549"/>
      <c r="BG2041" s="391">
        <f>SUM($AV$1389:AV2041)</f>
        <v>3814.2817434659714</v>
      </c>
      <c r="BH2041" s="392">
        <f>SUM($AU$1389:AU2041)</f>
        <v>50016.953506493737</v>
      </c>
      <c r="BI2041" s="318">
        <f>SUMIFS($AU$1388:AU2042,$Q$1388:Q2042,"F")</f>
        <v>30835.69350649351</v>
      </c>
      <c r="BJ2041" s="318">
        <f>SUMIFS($AU$1388:AU2042,$Q$1388:Q2042,"S")</f>
        <v>23488</v>
      </c>
      <c r="BK2041" s="343">
        <f>SUMIFS($AU$1388:AU2042,$P$1388:P2042,"W")</f>
        <v>36124.873506493845</v>
      </c>
      <c r="BL2041" s="343">
        <f>SUMIFS($AU$1388:AU2042,$P$1388:P2042,"R")</f>
        <v>11626.000000000158</v>
      </c>
      <c r="BM2041" s="343">
        <f>SUMIFS($AU$1388:AU2042,$AQ$1388:AQ2042,"M")</f>
        <v>9793.3799999992334</v>
      </c>
      <c r="BN2041" s="343">
        <f>SUMIFS($AU$1388:AU2042,$AQ$1388:AQ2042,"H")</f>
        <v>12363.200000000876</v>
      </c>
      <c r="BO2041" s="343">
        <f>SUMIFS($AU$1388:AU2042,$AQ$1388:AQ2042,"D")</f>
        <v>11523.107142857021</v>
      </c>
      <c r="BP2041" s="343">
        <f>SUMIFS($AS$1388:AS2690,$AO$1388:AO2690,"W")</f>
        <v>0</v>
      </c>
      <c r="BQ2041" s="343">
        <f>SUMIFS($AU$1388:AU2042,$Q$1388:Q2042,"O")</f>
        <v>-5622.7399999997597</v>
      </c>
      <c r="BR2041" s="343">
        <f>SUMIFS($AU$1388:AU2042,$AA$1388:AA2042,"*")</f>
        <v>36943.036363636376</v>
      </c>
      <c r="BS2041" s="343">
        <f>SUMIFS($AU$1388:AU2042,$AB$1388:AB2042,"*")</f>
        <v>10383.860000000041</v>
      </c>
      <c r="BT2041" s="343">
        <f>SUMIFS($AU$1388:AU2042,$AC$1388:AC2042,"*")</f>
        <v>34275.693506493677</v>
      </c>
      <c r="BU2041" s="343">
        <f>SUMIFS($AU$1388:AU2042,$AA$1388:AA2042,"*",$AB$1388:AB2042,"*")</f>
        <v>5423.9999999998217</v>
      </c>
      <c r="BV2041" s="343">
        <f>SUMIFS($AU$1388:AU2042,$AA$1388:AA2042,"*",$AC$1388:AC2042,"*")</f>
        <v>21913.636363636531</v>
      </c>
      <c r="BW2041" s="343">
        <f>SUMIFS($AU$1388:AU2042,$AB$1388:AB2042,"*",$AC$1388:AC2042,"*")</f>
        <v>7119.9999999999982</v>
      </c>
      <c r="BX2041" s="343">
        <f>SUMIFS($AV$1388:AV2042,$Q$1388:Q2042,"F")</f>
        <v>436.93967298904215</v>
      </c>
      <c r="BY2041" s="343">
        <f>SUMIFS($AV$1388:AV2042,$Q$1388:Q2042,"S")</f>
        <v>768.03991333429894</v>
      </c>
      <c r="BZ2041" s="343">
        <f>SUMIFS($AV$1388:AV2042,$Q$1388:Q2042,"O")</f>
        <v>372.95929999976715</v>
      </c>
    </row>
    <row r="2042" spans="1:78" ht="15.75" customHeight="1">
      <c r="A2042" s="177" t="s">
        <v>6310</v>
      </c>
      <c r="B2042" s="200">
        <v>45435</v>
      </c>
      <c r="C2042" s="178" t="s">
        <v>587</v>
      </c>
      <c r="D2042" s="178" t="s">
        <v>93</v>
      </c>
      <c r="E2042" s="227"/>
      <c r="F2042" s="180"/>
      <c r="G2042" s="490" t="s">
        <v>3467</v>
      </c>
      <c r="H2042" s="182"/>
      <c r="I2042" s="182"/>
      <c r="J2042" s="182"/>
      <c r="K2042" s="183"/>
      <c r="L2042" s="182"/>
      <c r="M2042" s="182">
        <v>1</v>
      </c>
      <c r="N2042" s="182">
        <v>1</v>
      </c>
      <c r="O2042" s="183" t="s">
        <v>95</v>
      </c>
      <c r="P2042" s="183" t="s">
        <v>96</v>
      </c>
      <c r="Q2042" s="183" t="s">
        <v>256</v>
      </c>
      <c r="R2042" s="183">
        <v>35</v>
      </c>
      <c r="S2042" s="183">
        <v>35</v>
      </c>
      <c r="T2042" s="183">
        <v>50</v>
      </c>
      <c r="U2042" s="183" t="s">
        <v>22</v>
      </c>
      <c r="V2042" s="183"/>
      <c r="W2042" s="183"/>
      <c r="X2042" s="183"/>
      <c r="Y2042" s="184">
        <f>IF(ISBLANK(O2042),"",(IF(O2042=UPPER("IB"),0.005,0.01)))</f>
        <v>0.01</v>
      </c>
      <c r="Z2042" s="185">
        <f>IF(ISBLANK(O2042),"",IF(O2042="IB",8.63*200,IF(O2042="IR",16*100,IF(O2042="YT",20*100,IF(O2042="YT-XT",24*200,IF(O2042="TED",80*100))))))</f>
        <v>1600</v>
      </c>
      <c r="AA2042" s="185"/>
      <c r="AB2042" s="185"/>
      <c r="AC2042" s="185" t="s">
        <v>6583</v>
      </c>
      <c r="AD2042" s="649">
        <f>0.04-0.053</f>
        <v>-1.2999999999999998E-2</v>
      </c>
      <c r="AE2042" s="182"/>
      <c r="AF2042" s="332"/>
      <c r="AG2042" s="182"/>
      <c r="AH2042" s="182"/>
      <c r="AI2042" s="182">
        <v>0</v>
      </c>
      <c r="AJ2042" s="640" t="s">
        <v>6584</v>
      </c>
      <c r="AK2042" s="182"/>
      <c r="AL2042" s="496">
        <f>-0.02*Z2042</f>
        <v>-32</v>
      </c>
      <c r="AM2042" s="496">
        <f t="shared" si="683"/>
        <v>0</v>
      </c>
      <c r="AN2042" s="626" t="s">
        <v>6585</v>
      </c>
      <c r="AO2042" s="182"/>
      <c r="AP2042" s="182"/>
      <c r="AQ2042" s="332" t="s">
        <v>372</v>
      </c>
      <c r="AR2042" s="298">
        <v>45435</v>
      </c>
      <c r="AS2042" s="189">
        <f>((-0.01*20)+(0*15))/35</f>
        <v>-5.7142857142857143E-3</v>
      </c>
      <c r="AT2042" s="189">
        <f>IF(ISBLANK(AS2042),,IF(U2042="S",AD2042-AS2042,AS2042-AD2042))</f>
        <v>7.2857142857142834E-3</v>
      </c>
      <c r="AU2042" s="187">
        <f>AV2042*R2042</f>
        <v>407.99999999999983</v>
      </c>
      <c r="AV2042" s="190">
        <f t="shared" si="693"/>
        <v>11.657142857142853</v>
      </c>
      <c r="AW2042" s="191" t="s">
        <v>96</v>
      </c>
      <c r="AX2042" s="551" t="s">
        <v>6586</v>
      </c>
      <c r="AY2042" s="549" t="s">
        <v>6587</v>
      </c>
      <c r="AZ2042" s="551"/>
      <c r="BA2042" s="551"/>
      <c r="BB2042" s="551"/>
      <c r="BC2042" s="551"/>
      <c r="BD2042" s="549"/>
      <c r="BE2042" s="550"/>
      <c r="BF2042" s="549"/>
      <c r="BG2042" s="391">
        <f>SUM($AV$1389:AV2042)</f>
        <v>3825.9388863231143</v>
      </c>
      <c r="BH2042" s="392">
        <f>SUM($AU$1389:AU2042)</f>
        <v>50424.953506493737</v>
      </c>
      <c r="BI2042" s="318">
        <f>SUMIFS($AU$1388:AU2043,$Q$1388:Q2043,"F")</f>
        <v>30835.69350649351</v>
      </c>
      <c r="BJ2042" s="318">
        <f>SUMIFS($AU$1388:AU2043,$Q$1388:Q2043,"S")</f>
        <v>23488</v>
      </c>
      <c r="BK2042" s="343">
        <f>SUMIFS($AU$1388:AU2043,$P$1388:P2043,"W")</f>
        <v>36124.873506493845</v>
      </c>
      <c r="BL2042" s="343">
        <f>SUMIFS($AU$1388:AU2043,$P$1388:P2043,"R")</f>
        <v>11626.000000000158</v>
      </c>
      <c r="BM2042" s="343">
        <f>SUMIFS($AU$1388:AU2043,$AQ$1388:AQ2043,"M")</f>
        <v>9793.3799999992334</v>
      </c>
      <c r="BN2042" s="343">
        <f>SUMIFS($AU$1388:AU2043,$AQ$1388:AQ2043,"H")</f>
        <v>12363.200000000876</v>
      </c>
      <c r="BO2042" s="343">
        <f>SUMIFS($AU$1388:AU2043,$AQ$1388:AQ2043,"D")</f>
        <v>11523.107142857021</v>
      </c>
      <c r="BP2042" s="343">
        <f>SUMIFS($AS$1388:AS2691,$AO$1388:AO2691,"W")</f>
        <v>0</v>
      </c>
      <c r="BQ2042" s="343">
        <f>SUMIFS($AU$1388:AU2043,$Q$1388:Q2043,"O")</f>
        <v>-5622.7399999997597</v>
      </c>
      <c r="BR2042" s="343">
        <f>SUMIFS($AU$1388:AU2043,$AA$1388:AA2043,"*")</f>
        <v>36943.036363636376</v>
      </c>
      <c r="BS2042" s="343">
        <f>SUMIFS($AU$1388:AU2043,$AB$1388:AB2043,"*")</f>
        <v>10383.860000000041</v>
      </c>
      <c r="BT2042" s="343">
        <f>SUMIFS($AU$1388:AU2043,$AC$1388:AC2043,"*")</f>
        <v>34275.693506493677</v>
      </c>
      <c r="BU2042" s="343">
        <f>SUMIFS($AU$1388:AU2043,$AA$1388:AA2043,"*",$AB$1388:AB2043,"*")</f>
        <v>5423.9999999998217</v>
      </c>
      <c r="BV2042" s="343">
        <f>SUMIFS($AU$1388:AU2043,$AA$1388:AA2043,"*",$AC$1388:AC2043,"*")</f>
        <v>21913.636363636531</v>
      </c>
      <c r="BW2042" s="343">
        <f>SUMIFS($AU$1388:AU2043,$AB$1388:AB2043,"*",$AC$1388:AC2043,"*")</f>
        <v>7119.9999999999982</v>
      </c>
      <c r="BX2042" s="343">
        <f>SUMIFS($AV$1388:AV2043,$Q$1388:Q2043,"F")</f>
        <v>436.93967298904215</v>
      </c>
      <c r="BY2042" s="343">
        <f>SUMIFS($AV$1388:AV2043,$Q$1388:Q2043,"S")</f>
        <v>768.03991333429894</v>
      </c>
      <c r="BZ2042" s="343">
        <f>SUMIFS($AV$1388:AV2043,$Q$1388:Q2043,"O")</f>
        <v>372.95929999976715</v>
      </c>
    </row>
    <row r="2043" spans="1:78" ht="15.75" customHeight="1">
      <c r="A2043" s="177" t="s">
        <v>6310</v>
      </c>
      <c r="B2043" s="200">
        <v>45435</v>
      </c>
      <c r="C2043" s="178" t="s">
        <v>1919</v>
      </c>
      <c r="D2043" s="178" t="s">
        <v>93</v>
      </c>
      <c r="E2043" s="227"/>
      <c r="F2043" s="180"/>
      <c r="G2043" s="482" t="s">
        <v>3334</v>
      </c>
      <c r="H2043" s="182"/>
      <c r="I2043" s="182"/>
      <c r="J2043" s="182"/>
      <c r="K2043" s="183"/>
      <c r="L2043" s="182"/>
      <c r="M2043" s="182"/>
      <c r="N2043" s="182">
        <v>2</v>
      </c>
      <c r="O2043" s="183" t="s">
        <v>95</v>
      </c>
      <c r="P2043" s="183" t="s">
        <v>137</v>
      </c>
      <c r="Q2043" s="183" t="s">
        <v>97</v>
      </c>
      <c r="R2043" s="183">
        <v>20</v>
      </c>
      <c r="S2043" s="183">
        <v>0</v>
      </c>
      <c r="T2043" s="183">
        <v>20</v>
      </c>
      <c r="U2043" s="183" t="s">
        <v>22</v>
      </c>
      <c r="V2043" s="183"/>
      <c r="W2043" s="183"/>
      <c r="X2043" s="183"/>
      <c r="Y2043" s="184">
        <f>IF(ISBLANK(O2043),"",(IF(O2043=UPPER("IB"),0.005,0.01)))</f>
        <v>0.01</v>
      </c>
      <c r="Z2043" s="185">
        <f>IF(ISBLANK(O2043),"",IF(O2043="IB",8.63*200,IF(O2043="IR",16*100,IF(O2043="YT",20*100,IF(O2043="YT-XT",24*200,IF(O2043="TED",80*100,IF(O2043="XT",29*200)))))))</f>
        <v>1600</v>
      </c>
      <c r="AA2043" s="185" t="s">
        <v>6373</v>
      </c>
      <c r="AB2043" s="185"/>
      <c r="AC2043" s="185" t="s">
        <v>6565</v>
      </c>
      <c r="AD2043" s="649">
        <v>-0.09</v>
      </c>
      <c r="AE2043" s="182"/>
      <c r="AF2043" s="332"/>
      <c r="AG2043" s="182"/>
      <c r="AH2043" s="182"/>
      <c r="AI2043" s="182"/>
      <c r="AJ2043" s="640"/>
      <c r="AK2043" s="182"/>
      <c r="AL2043" s="496">
        <f>-0.02*Z2043</f>
        <v>-32</v>
      </c>
      <c r="AM2043" s="496">
        <f t="shared" si="683"/>
        <v>-640</v>
      </c>
      <c r="AN2043" s="626"/>
      <c r="AO2043" s="182"/>
      <c r="AP2043" s="182"/>
      <c r="AQ2043" s="332" t="s">
        <v>115</v>
      </c>
      <c r="AR2043" s="182"/>
      <c r="AS2043" s="189">
        <v>-0.09</v>
      </c>
      <c r="AT2043" s="189">
        <f>IF(ISBLANK(AS2043),,IF(U2043="S",AD2043-AS2043,AS2043-AD2043))</f>
        <v>0</v>
      </c>
      <c r="AU2043" s="187">
        <f>AV2043*R2043</f>
        <v>0</v>
      </c>
      <c r="AV2043" s="190">
        <f>IF(ISBLANK(AS2043),,(AT2043*Z2043))</f>
        <v>0</v>
      </c>
      <c r="AW2043" s="191" t="s">
        <v>115</v>
      </c>
      <c r="AX2043" s="551"/>
      <c r="AY2043" s="551"/>
      <c r="AZ2043" s="551"/>
      <c r="BA2043" s="551"/>
      <c r="BB2043" s="551"/>
      <c r="BC2043" s="551"/>
      <c r="BD2043" s="549"/>
      <c r="BE2043" s="550"/>
      <c r="BF2043" s="549"/>
      <c r="BG2043" s="391">
        <f>SUM($AV$1389:AV2043)</f>
        <v>3825.9388863231143</v>
      </c>
      <c r="BH2043" s="392">
        <f>SUM($AU$1389:AU2043)</f>
        <v>50424.953506493737</v>
      </c>
      <c r="BI2043" s="318">
        <f>SUMIFS($AU$1388:AU2044,$Q$1388:Q2044,"F")</f>
        <v>30835.69350649351</v>
      </c>
      <c r="BJ2043" s="318">
        <f>SUMIFS($AU$1388:AU2044,$Q$1388:Q2044,"S")</f>
        <v>23488</v>
      </c>
      <c r="BK2043" s="343">
        <f>SUMIFS($AU$1388:AU2044,$P$1388:P2044,"W")</f>
        <v>36124.873506493845</v>
      </c>
      <c r="BL2043" s="343">
        <f>SUMIFS($AU$1388:AU2044,$P$1388:P2044,"R")</f>
        <v>11626.000000000158</v>
      </c>
      <c r="BM2043" s="343">
        <f>SUMIFS($AU$1388:AU2044,$AQ$1388:AQ2044,"M")</f>
        <v>9793.3799999992334</v>
      </c>
      <c r="BN2043" s="343">
        <f>SUMIFS($AU$1388:AU2044,$AQ$1388:AQ2044,"H")</f>
        <v>12363.200000000876</v>
      </c>
      <c r="BO2043" s="343">
        <f>SUMIFS($AU$1388:AU2044,$AQ$1388:AQ2044,"D")</f>
        <v>11523.107142857021</v>
      </c>
      <c r="BP2043" s="343">
        <f>SUMIFS($AS$1388:AS2692,$AO$1388:AO2692,"W")</f>
        <v>0</v>
      </c>
      <c r="BQ2043" s="343">
        <f>SUMIFS($AU$1388:AU2044,$Q$1388:Q2044,"O")</f>
        <v>-5622.7399999997597</v>
      </c>
      <c r="BR2043" s="343">
        <f>SUMIFS($AU$1388:AU2044,$AA$1388:AA2044,"*")</f>
        <v>36943.036363636376</v>
      </c>
      <c r="BS2043" s="343">
        <f>SUMIFS($AU$1388:AU2044,$AB$1388:AB2044,"*")</f>
        <v>10383.860000000041</v>
      </c>
      <c r="BT2043" s="343">
        <f>SUMIFS($AU$1388:AU2044,$AC$1388:AC2044,"*")</f>
        <v>34275.693506493677</v>
      </c>
      <c r="BU2043" s="343">
        <f>SUMIFS($AU$1388:AU2044,$AA$1388:AA2044,"*",$AB$1388:AB2044,"*")</f>
        <v>5423.9999999998217</v>
      </c>
      <c r="BV2043" s="343">
        <f>SUMIFS($AU$1388:AU2044,$AA$1388:AA2044,"*",$AC$1388:AC2044,"*")</f>
        <v>21913.636363636531</v>
      </c>
      <c r="BW2043" s="343">
        <f>SUMIFS($AU$1388:AU2044,$AB$1388:AB2044,"*",$AC$1388:AC2044,"*")</f>
        <v>7119.9999999999982</v>
      </c>
      <c r="BX2043" s="343">
        <f>SUMIFS($AV$1388:AV2044,$Q$1388:Q2044,"F")</f>
        <v>436.93967298904215</v>
      </c>
      <c r="BY2043" s="343">
        <f>SUMIFS($AV$1388:AV2044,$Q$1388:Q2044,"S")</f>
        <v>768.03991333429894</v>
      </c>
      <c r="BZ2043" s="343">
        <f>SUMIFS($AV$1388:AV2044,$Q$1388:Q2044,"O")</f>
        <v>372.95929999976715</v>
      </c>
    </row>
    <row r="2044" spans="1:78" ht="15.75" customHeight="1">
      <c r="A2044" s="177" t="s">
        <v>6310</v>
      </c>
      <c r="B2044" s="200">
        <v>45435</v>
      </c>
      <c r="C2044" s="178" t="s">
        <v>3388</v>
      </c>
      <c r="D2044" s="178" t="s">
        <v>93</v>
      </c>
      <c r="E2044" s="227"/>
      <c r="F2044" s="180"/>
      <c r="G2044" s="181" t="s">
        <v>136</v>
      </c>
      <c r="H2044" s="182"/>
      <c r="I2044" s="182"/>
      <c r="J2044" s="182"/>
      <c r="K2044" s="183"/>
      <c r="L2044" s="182"/>
      <c r="M2044" s="182"/>
      <c r="N2044" s="182"/>
      <c r="O2044" s="183"/>
      <c r="P2044" s="183"/>
      <c r="Q2044" s="183"/>
      <c r="R2044" s="183"/>
      <c r="S2044" s="183"/>
      <c r="T2044" s="183"/>
      <c r="U2044" s="183"/>
      <c r="V2044" s="183"/>
      <c r="W2044" s="183"/>
      <c r="X2044" s="183"/>
      <c r="Y2044" s="184"/>
      <c r="Z2044" s="185"/>
      <c r="AA2044" s="185"/>
      <c r="AB2044" s="185"/>
      <c r="AC2044" s="185"/>
      <c r="AD2044" s="649"/>
      <c r="AE2044" s="182"/>
      <c r="AF2044" s="332"/>
      <c r="AG2044" s="182"/>
      <c r="AH2044" s="182"/>
      <c r="AI2044" s="182"/>
      <c r="AJ2044" s="640"/>
      <c r="AK2044" s="182"/>
      <c r="AL2044" s="496">
        <f>-0.02*Z2044</f>
        <v>0</v>
      </c>
      <c r="AM2044" s="496">
        <f t="shared" si="683"/>
        <v>0</v>
      </c>
      <c r="AN2044" s="626"/>
      <c r="AO2044" s="182"/>
      <c r="AP2044" s="182"/>
      <c r="AQ2044" s="332" t="str">
        <f>UPPER(RIGHT(Journal_Live[[#This Row],[DURATION ]]))</f>
        <v/>
      </c>
      <c r="AR2044" s="182"/>
      <c r="AS2044" s="189"/>
      <c r="AT2044" s="189"/>
      <c r="AU2044" s="187"/>
      <c r="AV2044" s="190"/>
      <c r="AW2044" s="191"/>
      <c r="AX2044" s="551"/>
      <c r="AY2044" s="551"/>
      <c r="AZ2044" s="551"/>
      <c r="BA2044" s="551"/>
      <c r="BB2044" s="551"/>
      <c r="BC2044" s="551"/>
      <c r="BD2044" s="549"/>
      <c r="BE2044" s="550"/>
      <c r="BF2044" s="549"/>
      <c r="BG2044" s="391">
        <f>SUM($AV$1389:AV2044)</f>
        <v>3825.9388863231143</v>
      </c>
      <c r="BH2044" s="392">
        <f>SUM($AU$1389:AU2044)</f>
        <v>50424.953506493737</v>
      </c>
      <c r="BI2044" s="318">
        <f>SUMIFS($AU$1388:AU2045,$Q$1388:Q2045,"F")</f>
        <v>30835.69350649351</v>
      </c>
      <c r="BJ2044" s="318">
        <f>SUMIFS($AU$1388:AU2045,$Q$1388:Q2045,"S")</f>
        <v>23488</v>
      </c>
      <c r="BK2044" s="343">
        <f>SUMIFS($AU$1388:AU2045,$P$1388:P2045,"W")</f>
        <v>36124.873506493845</v>
      </c>
      <c r="BL2044" s="343">
        <f>SUMIFS($AU$1388:AU2045,$P$1388:P2045,"R")</f>
        <v>11626.000000000158</v>
      </c>
      <c r="BM2044" s="343">
        <f>SUMIFS($AU$1388:AU2045,$AQ$1388:AQ2045,"M")</f>
        <v>9793.3799999992334</v>
      </c>
      <c r="BN2044" s="343">
        <f>SUMIFS($AU$1388:AU2045,$AQ$1388:AQ2045,"H")</f>
        <v>12363.200000000876</v>
      </c>
      <c r="BO2044" s="343">
        <f>SUMIFS($AU$1388:AU2045,$AQ$1388:AQ2045,"D")</f>
        <v>11523.107142857021</v>
      </c>
      <c r="BP2044" s="343">
        <f>SUMIFS($AS$1388:AS2693,$AO$1388:AO2693,"W")</f>
        <v>0</v>
      </c>
      <c r="BQ2044" s="343">
        <f>SUMIFS($AU$1388:AU2045,$Q$1388:Q2045,"O")</f>
        <v>-5622.7399999997597</v>
      </c>
      <c r="BR2044" s="343">
        <f>SUMIFS($AU$1388:AU2045,$AA$1388:AA2045,"*")</f>
        <v>36943.036363636376</v>
      </c>
      <c r="BS2044" s="343">
        <f>SUMIFS($AU$1388:AU2045,$AB$1388:AB2045,"*")</f>
        <v>10383.860000000041</v>
      </c>
      <c r="BT2044" s="343">
        <f>SUMIFS($AU$1388:AU2045,$AC$1388:AC2045,"*")</f>
        <v>34275.693506493677</v>
      </c>
      <c r="BU2044" s="343">
        <f>SUMIFS($AU$1388:AU2045,$AA$1388:AA2045,"*",$AB$1388:AB2045,"*")</f>
        <v>5423.9999999998217</v>
      </c>
      <c r="BV2044" s="343">
        <f>SUMIFS($AU$1388:AU2045,$AA$1388:AA2045,"*",$AC$1388:AC2045,"*")</f>
        <v>21913.636363636531</v>
      </c>
      <c r="BW2044" s="343">
        <f>SUMIFS($AU$1388:AU2045,$AB$1388:AB2045,"*",$AC$1388:AC2045,"*")</f>
        <v>7119.9999999999982</v>
      </c>
      <c r="BX2044" s="343">
        <f>SUMIFS($AV$1388:AV2045,$Q$1388:Q2045,"F")</f>
        <v>436.93967298904215</v>
      </c>
      <c r="BY2044" s="343">
        <f>SUMIFS($AV$1388:AV2045,$Q$1388:Q2045,"S")</f>
        <v>768.03991333429894</v>
      </c>
      <c r="BZ2044" s="343">
        <f>SUMIFS($AV$1388:AV2045,$Q$1388:Q2045,"O")</f>
        <v>372.95929999976715</v>
      </c>
    </row>
    <row r="2045" spans="1:78" ht="15.75" customHeight="1">
      <c r="A2045" s="177" t="s">
        <v>6310</v>
      </c>
      <c r="B2045" s="200">
        <v>45435</v>
      </c>
      <c r="C2045" s="178" t="s">
        <v>3584</v>
      </c>
      <c r="D2045" s="178" t="s">
        <v>93</v>
      </c>
      <c r="E2045" s="227"/>
      <c r="F2045" s="180"/>
      <c r="G2045" s="481" t="s">
        <v>5098</v>
      </c>
      <c r="H2045" s="182"/>
      <c r="I2045" s="182"/>
      <c r="J2045" s="182"/>
      <c r="K2045" s="183"/>
      <c r="L2045" s="182"/>
      <c r="M2045" s="182"/>
      <c r="N2045" s="182">
        <v>2</v>
      </c>
      <c r="O2045" s="183" t="s">
        <v>95</v>
      </c>
      <c r="P2045" s="183" t="s">
        <v>137</v>
      </c>
      <c r="Q2045" s="183" t="s">
        <v>97</v>
      </c>
      <c r="R2045" s="183">
        <v>82</v>
      </c>
      <c r="S2045" s="183">
        <v>0</v>
      </c>
      <c r="T2045" s="183">
        <v>82</v>
      </c>
      <c r="U2045" s="183" t="s">
        <v>22</v>
      </c>
      <c r="V2045" s="183"/>
      <c r="W2045" s="183"/>
      <c r="X2045" s="183"/>
      <c r="Y2045" s="184">
        <f>IF(ISBLANK(O2045),"",(IF(O2045=UPPER("IB"),0.005,0.01)))</f>
        <v>0.01</v>
      </c>
      <c r="Z2045" s="185">
        <f>IF(ISBLANK(O2045),"",IF(O2045="IB",8.63*200,IF(O2045="IR",16*100,IF(O2045="YT",20*100,IF(O2045="YT-XT",24*200,IF(O2045="TED",80*100,IF(O2045="XT",29*200)))))))</f>
        <v>1600</v>
      </c>
      <c r="AA2045" s="185" t="s">
        <v>6588</v>
      </c>
      <c r="AB2045" s="185"/>
      <c r="AC2045" s="185"/>
      <c r="AD2045" s="649">
        <v>-0.16</v>
      </c>
      <c r="AE2045" s="182"/>
      <c r="AF2045" s="332"/>
      <c r="AG2045" s="182"/>
      <c r="AH2045" s="182"/>
      <c r="AI2045" s="182"/>
      <c r="AJ2045" s="640" t="s">
        <v>6589</v>
      </c>
      <c r="AK2045" s="182"/>
      <c r="AL2045" s="496">
        <f t="shared" si="692"/>
        <v>-32</v>
      </c>
      <c r="AM2045" s="496">
        <f t="shared" si="683"/>
        <v>-2624</v>
      </c>
      <c r="AN2045" s="626"/>
      <c r="AO2045" s="182"/>
      <c r="AP2045" s="182"/>
      <c r="AQ2045" s="332" t="s">
        <v>372</v>
      </c>
      <c r="AR2045" s="182"/>
      <c r="AS2045" s="189">
        <v>-0.16</v>
      </c>
      <c r="AT2045" s="189">
        <f>IF(ISBLANK(AS2045),,IF(U2045="S",AD2045-AS2045,AS2045-AD2045))</f>
        <v>0</v>
      </c>
      <c r="AU2045" s="187">
        <f>AV2045*R2045</f>
        <v>0</v>
      </c>
      <c r="AV2045" s="190">
        <f t="shared" si="693"/>
        <v>0</v>
      </c>
      <c r="AW2045" s="191" t="s">
        <v>115</v>
      </c>
      <c r="AX2045" s="551" t="s">
        <v>5062</v>
      </c>
      <c r="AY2045" s="551" t="s">
        <v>6590</v>
      </c>
      <c r="AZ2045" s="551"/>
      <c r="BA2045" s="551"/>
      <c r="BB2045" s="551"/>
      <c r="BC2045" s="551"/>
      <c r="BD2045" s="549"/>
      <c r="BE2045" s="550"/>
      <c r="BF2045" s="549"/>
      <c r="BG2045" s="391">
        <f>SUM($AV$1389:AV2045)</f>
        <v>3825.9388863231143</v>
      </c>
      <c r="BH2045" s="392">
        <f>SUM($AU$1389:AU2045)</f>
        <v>50424.953506493737</v>
      </c>
      <c r="BI2045" s="318">
        <f>SUMIFS($AU$1388:AU2046,$Q$1388:Q2046,"F")</f>
        <v>30835.69350649351</v>
      </c>
      <c r="BJ2045" s="318">
        <f>SUMIFS($AU$1388:AU2046,$Q$1388:Q2046,"S")</f>
        <v>23488</v>
      </c>
      <c r="BK2045" s="343">
        <f>SUMIFS($AU$1388:AU2046,$P$1388:P2046,"W")</f>
        <v>36124.873506493845</v>
      </c>
      <c r="BL2045" s="343">
        <f>SUMIFS($AU$1388:AU2046,$P$1388:P2046,"R")</f>
        <v>11626.000000000158</v>
      </c>
      <c r="BM2045" s="343">
        <f>SUMIFS($AU$1388:AU2046,$AQ$1388:AQ2046,"M")</f>
        <v>9793.3799999992334</v>
      </c>
      <c r="BN2045" s="343">
        <f>SUMIFS($AU$1388:AU2046,$AQ$1388:AQ2046,"H")</f>
        <v>12363.200000000876</v>
      </c>
      <c r="BO2045" s="343">
        <f>SUMIFS($AU$1388:AU2046,$AQ$1388:AQ2046,"D")</f>
        <v>11523.107142857021</v>
      </c>
      <c r="BP2045" s="343">
        <f>SUMIFS($AS$1388:AS2694,$AO$1388:AO2694,"W")</f>
        <v>0</v>
      </c>
      <c r="BQ2045" s="343">
        <f>SUMIFS($AU$1388:AU2046,$Q$1388:Q2046,"O")</f>
        <v>-5622.7399999997597</v>
      </c>
      <c r="BR2045" s="343">
        <f>SUMIFS($AU$1388:AU2046,$AA$1388:AA2046,"*")</f>
        <v>36943.036363636376</v>
      </c>
      <c r="BS2045" s="343">
        <f>SUMIFS($AU$1388:AU2046,$AB$1388:AB2046,"*")</f>
        <v>10383.860000000041</v>
      </c>
      <c r="BT2045" s="343">
        <f>SUMIFS($AU$1388:AU2046,$AC$1388:AC2046,"*")</f>
        <v>34275.693506493677</v>
      </c>
      <c r="BU2045" s="343">
        <f>SUMIFS($AU$1388:AU2046,$AA$1388:AA2046,"*",$AB$1388:AB2046,"*")</f>
        <v>5423.9999999998217</v>
      </c>
      <c r="BV2045" s="343">
        <f>SUMIFS($AU$1388:AU2046,$AA$1388:AA2046,"*",$AC$1388:AC2046,"*")</f>
        <v>21913.636363636531</v>
      </c>
      <c r="BW2045" s="343">
        <f>SUMIFS($AU$1388:AU2046,$AB$1388:AB2046,"*",$AC$1388:AC2046,"*")</f>
        <v>7119.9999999999982</v>
      </c>
      <c r="BX2045" s="343">
        <f>SUMIFS($AV$1388:AV2046,$Q$1388:Q2046,"F")</f>
        <v>436.93967298904215</v>
      </c>
      <c r="BY2045" s="343">
        <f>SUMIFS($AV$1388:AV2046,$Q$1388:Q2046,"S")</f>
        <v>768.03991333429894</v>
      </c>
      <c r="BZ2045" s="343">
        <f>SUMIFS($AV$1388:AV2046,$Q$1388:Q2046,"O")</f>
        <v>372.95929999976715</v>
      </c>
    </row>
    <row r="2046" spans="1:78" ht="15.75" customHeight="1">
      <c r="A2046" s="177" t="s">
        <v>6310</v>
      </c>
      <c r="B2046" s="200">
        <v>45435</v>
      </c>
      <c r="C2046" s="178" t="s">
        <v>675</v>
      </c>
      <c r="D2046" s="178" t="s">
        <v>93</v>
      </c>
      <c r="E2046" s="227"/>
      <c r="F2046" s="180"/>
      <c r="G2046" s="181" t="s">
        <v>2991</v>
      </c>
      <c r="H2046" s="182"/>
      <c r="I2046" s="182"/>
      <c r="J2046" s="182"/>
      <c r="K2046" s="183"/>
      <c r="L2046" s="182"/>
      <c r="M2046" s="182"/>
      <c r="N2046" s="182"/>
      <c r="O2046" s="183"/>
      <c r="P2046" s="183"/>
      <c r="Q2046" s="183"/>
      <c r="R2046" s="183"/>
      <c r="S2046" s="183"/>
      <c r="T2046" s="183"/>
      <c r="U2046" s="183"/>
      <c r="V2046" s="183"/>
      <c r="W2046" s="183"/>
      <c r="X2046" s="183"/>
      <c r="Y2046" s="184"/>
      <c r="Z2046" s="185"/>
      <c r="AA2046" s="185"/>
      <c r="AB2046" s="185"/>
      <c r="AC2046" s="185"/>
      <c r="AD2046" s="649"/>
      <c r="AE2046" s="182"/>
      <c r="AF2046" s="332"/>
      <c r="AG2046" s="182">
        <v>-0.09</v>
      </c>
      <c r="AH2046" s="182"/>
      <c r="AI2046" s="182"/>
      <c r="AJ2046" s="640"/>
      <c r="AK2046" s="182"/>
      <c r="AL2046" s="496">
        <f t="shared" si="692"/>
        <v>0</v>
      </c>
      <c r="AM2046" s="496">
        <f t="shared" si="683"/>
        <v>0</v>
      </c>
      <c r="AN2046" s="626"/>
      <c r="AO2046" s="182"/>
      <c r="AP2046" s="182"/>
      <c r="AQ2046" s="332" t="str">
        <f>UPPER(RIGHT(Journal_Live[[#This Row],[DURATION ]]))</f>
        <v/>
      </c>
      <c r="AR2046" s="182"/>
      <c r="AS2046" s="189"/>
      <c r="AT2046" s="189"/>
      <c r="AU2046" s="187"/>
      <c r="AV2046" s="190"/>
      <c r="AW2046" s="191"/>
      <c r="AX2046" s="551" t="s">
        <v>6591</v>
      </c>
      <c r="AY2046" s="551"/>
      <c r="AZ2046" s="551"/>
      <c r="BA2046" s="551"/>
      <c r="BB2046" s="551"/>
      <c r="BC2046" s="551"/>
      <c r="BD2046" s="549"/>
      <c r="BE2046" s="550"/>
      <c r="BF2046" s="549"/>
      <c r="BG2046" s="391">
        <f>SUM($AV$1389:AV2046)</f>
        <v>3825.9388863231143</v>
      </c>
      <c r="BH2046" s="392">
        <f>SUM($AU$1389:AU2046)</f>
        <v>50424.953506493737</v>
      </c>
      <c r="BI2046" s="318">
        <f>SUMIFS($AU$1388:AU2047,$Q$1388:Q2047,"F")</f>
        <v>30835.69350649351</v>
      </c>
      <c r="BJ2046" s="318">
        <f>SUMIFS($AU$1388:AU2047,$Q$1388:Q2047,"S")</f>
        <v>23488</v>
      </c>
      <c r="BK2046" s="343">
        <f>SUMIFS($AU$1388:AU2047,$P$1388:P2047,"W")</f>
        <v>36124.873506493845</v>
      </c>
      <c r="BL2046" s="343">
        <f>SUMIFS($AU$1388:AU2047,$P$1388:P2047,"R")</f>
        <v>11626.000000000158</v>
      </c>
      <c r="BM2046" s="343">
        <f>SUMIFS($AU$1388:AU2047,$AQ$1388:AQ2047,"M")</f>
        <v>9793.3799999992334</v>
      </c>
      <c r="BN2046" s="343">
        <f>SUMIFS($AU$1388:AU2047,$AQ$1388:AQ2047,"H")</f>
        <v>12363.200000000876</v>
      </c>
      <c r="BO2046" s="343">
        <f>SUMIFS($AU$1388:AU2047,$AQ$1388:AQ2047,"D")</f>
        <v>11523.107142857021</v>
      </c>
      <c r="BP2046" s="343">
        <f>SUMIFS($AS$1388:AS2695,$AO$1388:AO2695,"W")</f>
        <v>0</v>
      </c>
      <c r="BQ2046" s="343">
        <f>SUMIFS($AU$1388:AU2047,$Q$1388:Q2047,"O")</f>
        <v>-5622.7399999997597</v>
      </c>
      <c r="BR2046" s="343">
        <f>SUMIFS($AU$1388:AU2047,$AA$1388:AA2047,"*")</f>
        <v>36943.036363636376</v>
      </c>
      <c r="BS2046" s="343">
        <f>SUMIFS($AU$1388:AU2047,$AB$1388:AB2047,"*")</f>
        <v>10383.860000000041</v>
      </c>
      <c r="BT2046" s="343">
        <f>SUMIFS($AU$1388:AU2047,$AC$1388:AC2047,"*")</f>
        <v>34275.693506493677</v>
      </c>
      <c r="BU2046" s="343">
        <f>SUMIFS($AU$1388:AU2047,$AA$1388:AA2047,"*",$AB$1388:AB2047,"*")</f>
        <v>5423.9999999998217</v>
      </c>
      <c r="BV2046" s="343">
        <f>SUMIFS($AU$1388:AU2047,$AA$1388:AA2047,"*",$AC$1388:AC2047,"*")</f>
        <v>21913.636363636531</v>
      </c>
      <c r="BW2046" s="343">
        <f>SUMIFS($AU$1388:AU2047,$AB$1388:AB2047,"*",$AC$1388:AC2047,"*")</f>
        <v>7119.9999999999982</v>
      </c>
      <c r="BX2046" s="343">
        <f>SUMIFS($AV$1388:AV2047,$Q$1388:Q2047,"F")</f>
        <v>436.93967298904215</v>
      </c>
      <c r="BY2046" s="343">
        <f>SUMIFS($AV$1388:AV2047,$Q$1388:Q2047,"S")</f>
        <v>768.03991333429894</v>
      </c>
      <c r="BZ2046" s="343">
        <f>SUMIFS($AV$1388:AV2047,$Q$1388:Q2047,"O")</f>
        <v>372.95929999976715</v>
      </c>
    </row>
    <row r="2047" spans="1:78" ht="15.75" customHeight="1">
      <c r="A2047" s="177" t="s">
        <v>6310</v>
      </c>
      <c r="B2047" s="200"/>
      <c r="C2047" s="178"/>
      <c r="D2047" s="178"/>
      <c r="E2047" s="227"/>
      <c r="F2047" s="180"/>
      <c r="G2047" s="181"/>
      <c r="H2047" s="182"/>
      <c r="I2047" s="182"/>
      <c r="J2047" s="182"/>
      <c r="K2047" s="183"/>
      <c r="L2047" s="182"/>
      <c r="M2047" s="182"/>
      <c r="N2047" s="182"/>
      <c r="O2047" s="183"/>
      <c r="P2047" s="183"/>
      <c r="Q2047" s="183"/>
      <c r="R2047" s="183"/>
      <c r="S2047" s="183"/>
      <c r="T2047" s="183"/>
      <c r="U2047" s="183"/>
      <c r="V2047" s="183"/>
      <c r="W2047" s="183"/>
      <c r="X2047" s="183"/>
      <c r="Y2047" s="183"/>
      <c r="Z2047" s="183"/>
      <c r="AA2047" s="185"/>
      <c r="AB2047" s="185"/>
      <c r="AC2047" s="185"/>
      <c r="AD2047" s="649"/>
      <c r="AE2047" s="182"/>
      <c r="AF2047" s="332"/>
      <c r="AG2047" s="182"/>
      <c r="AH2047" s="182"/>
      <c r="AI2047" s="182"/>
      <c r="AJ2047" s="640"/>
      <c r="AK2047" s="182"/>
      <c r="AL2047" s="496">
        <f t="shared" si="692"/>
        <v>0</v>
      </c>
      <c r="AM2047" s="496">
        <f t="shared" si="683"/>
        <v>0</v>
      </c>
      <c r="AN2047" s="626"/>
      <c r="AO2047" s="182"/>
      <c r="AP2047" s="182"/>
      <c r="AQ2047" s="332" t="str">
        <f>UPPER(RIGHT(Journal_Live[[#This Row],[DURATION ]]))</f>
        <v/>
      </c>
      <c r="AR2047" s="182"/>
      <c r="AS2047" s="189"/>
      <c r="AT2047" s="189"/>
      <c r="AU2047" s="187"/>
      <c r="AV2047" s="190"/>
      <c r="AW2047" s="191"/>
      <c r="AX2047" s="551" t="s">
        <v>6592</v>
      </c>
      <c r="AY2047" s="575" t="s">
        <v>6593</v>
      </c>
      <c r="AZ2047" s="551"/>
      <c r="BA2047" s="549" t="s">
        <v>6594</v>
      </c>
      <c r="BB2047" s="551"/>
      <c r="BC2047" s="551"/>
      <c r="BD2047" s="549"/>
      <c r="BE2047" s="550"/>
      <c r="BF2047" s="549"/>
      <c r="BG2047" s="391">
        <f>SUM($AV$1389:AV2047)</f>
        <v>3825.9388863231143</v>
      </c>
      <c r="BH2047" s="392">
        <f>SUM($AU$1389:AU2047)</f>
        <v>50424.953506493737</v>
      </c>
      <c r="BI2047" s="318">
        <f>SUMIFS($AU$1388:AU2048,$Q$1388:Q2048,"F")</f>
        <v>30835.69350649351</v>
      </c>
      <c r="BJ2047" s="318">
        <f>SUMIFS($AU$1388:AU2048,$Q$1388:Q2048,"S")</f>
        <v>23488</v>
      </c>
      <c r="BK2047" s="343">
        <f>SUMIFS($AU$1388:AU2048,$P$1388:P2048,"W")</f>
        <v>36124.873506493845</v>
      </c>
      <c r="BL2047" s="343">
        <f>SUMIFS($AU$1388:AU2048,$P$1388:P2048,"R")</f>
        <v>11626.000000000158</v>
      </c>
      <c r="BM2047" s="343">
        <f>SUMIFS($AU$1388:AU2048,$AQ$1388:AQ2048,"M")</f>
        <v>9793.3799999992334</v>
      </c>
      <c r="BN2047" s="343">
        <f>SUMIFS($AU$1388:AU2048,$AQ$1388:AQ2048,"H")</f>
        <v>12363.200000000876</v>
      </c>
      <c r="BO2047" s="343">
        <f>SUMIFS($AU$1388:AU2048,$AQ$1388:AQ2048,"D")</f>
        <v>11523.107142857021</v>
      </c>
      <c r="BP2047" s="343">
        <f>SUMIFS($AS$1388:AS2696,$AO$1388:AO2696,"W")</f>
        <v>0</v>
      </c>
      <c r="BQ2047" s="343">
        <f>SUMIFS($AU$1388:AU2048,$Q$1388:Q2048,"O")</f>
        <v>-5622.7399999997597</v>
      </c>
      <c r="BR2047" s="343">
        <f>SUMIFS($AU$1388:AU2048,$AA$1388:AA2048,"*")</f>
        <v>36943.036363636376</v>
      </c>
      <c r="BS2047" s="343">
        <f>SUMIFS($AU$1388:AU2048,$AB$1388:AB2048,"*")</f>
        <v>10383.860000000041</v>
      </c>
      <c r="BT2047" s="343">
        <f>SUMIFS($AU$1388:AU2048,$AC$1388:AC2048,"*")</f>
        <v>34275.693506493677</v>
      </c>
      <c r="BU2047" s="343">
        <f>SUMIFS($AU$1388:AU2048,$AA$1388:AA2048,"*",$AB$1388:AB2048,"*")</f>
        <v>5423.9999999998217</v>
      </c>
      <c r="BV2047" s="343">
        <f>SUMIFS($AU$1388:AU2048,$AA$1388:AA2048,"*",$AC$1388:AC2048,"*")</f>
        <v>21913.636363636531</v>
      </c>
      <c r="BW2047" s="343">
        <f>SUMIFS($AU$1388:AU2048,$AB$1388:AB2048,"*",$AC$1388:AC2048,"*")</f>
        <v>7119.9999999999982</v>
      </c>
      <c r="BX2047" s="343">
        <f>SUMIFS($AV$1388:AV2048,$Q$1388:Q2048,"F")</f>
        <v>436.93967298904215</v>
      </c>
      <c r="BY2047" s="343">
        <f>SUMIFS($AV$1388:AV2048,$Q$1388:Q2048,"S")</f>
        <v>768.03991333429894</v>
      </c>
      <c r="BZ2047" s="343">
        <f>SUMIFS($AV$1388:AV2048,$Q$1388:Q2048,"O")</f>
        <v>372.95929999976715</v>
      </c>
    </row>
    <row r="2048" spans="1:78" ht="15.75" customHeight="1">
      <c r="A2048" s="177" t="s">
        <v>6310</v>
      </c>
      <c r="B2048" s="200"/>
      <c r="C2048" s="178"/>
      <c r="D2048" s="178"/>
      <c r="E2048" s="227"/>
      <c r="F2048" s="180"/>
      <c r="G2048" s="181"/>
      <c r="H2048" s="182"/>
      <c r="I2048" s="182"/>
      <c r="J2048" s="182"/>
      <c r="K2048" s="183"/>
      <c r="L2048" s="182"/>
      <c r="M2048" s="182"/>
      <c r="N2048" s="182"/>
      <c r="O2048" s="183"/>
      <c r="P2048" s="183"/>
      <c r="Q2048" s="183"/>
      <c r="R2048" s="183"/>
      <c r="S2048" s="183"/>
      <c r="T2048" s="183"/>
      <c r="U2048" s="183"/>
      <c r="V2048" s="183"/>
      <c r="W2048" s="183"/>
      <c r="X2048" s="183"/>
      <c r="Y2048" s="183"/>
      <c r="Z2048" s="183"/>
      <c r="AA2048" s="185"/>
      <c r="AB2048" s="185"/>
      <c r="AC2048" s="185"/>
      <c r="AD2048" s="649"/>
      <c r="AE2048" s="182"/>
      <c r="AF2048" s="332"/>
      <c r="AG2048" s="182"/>
      <c r="AH2048" s="182"/>
      <c r="AI2048" s="182"/>
      <c r="AJ2048" s="640"/>
      <c r="AK2048" s="182"/>
      <c r="AL2048" s="496">
        <f t="shared" si="692"/>
        <v>0</v>
      </c>
      <c r="AM2048" s="496">
        <f t="shared" si="683"/>
        <v>0</v>
      </c>
      <c r="AN2048" s="626"/>
      <c r="AO2048" s="182"/>
      <c r="AP2048" s="182"/>
      <c r="AQ2048" s="332" t="str">
        <f>UPPER(RIGHT(Journal_Live[[#This Row],[DURATION ]]))</f>
        <v/>
      </c>
      <c r="AR2048" s="182"/>
      <c r="AS2048" s="189"/>
      <c r="AT2048" s="189"/>
      <c r="AU2048" s="187"/>
      <c r="AV2048" s="190"/>
      <c r="AW2048" s="191"/>
      <c r="AX2048" s="551" t="s">
        <v>6595</v>
      </c>
      <c r="AY2048" s="549" t="s">
        <v>6596</v>
      </c>
      <c r="AZ2048" s="549" t="s">
        <v>6597</v>
      </c>
      <c r="BA2048" s="551"/>
      <c r="BB2048" s="551"/>
      <c r="BC2048" s="551"/>
      <c r="BD2048" s="549"/>
      <c r="BE2048" s="550"/>
      <c r="BF2048" s="549"/>
      <c r="BG2048" s="391">
        <f>SUM($AV$1389:AV2048)</f>
        <v>3825.9388863231143</v>
      </c>
      <c r="BH2048" s="392">
        <f>SUM($AU$1389:AU2048)</f>
        <v>50424.953506493737</v>
      </c>
      <c r="BI2048" s="318">
        <f>SUMIFS($AU$1388:AU2049,$Q$1388:Q2049,"F")</f>
        <v>30835.69350649351</v>
      </c>
      <c r="BJ2048" s="318">
        <f>SUMIFS($AU$1388:AU2049,$Q$1388:Q2049,"S")</f>
        <v>23488</v>
      </c>
      <c r="BK2048" s="343">
        <f>SUMIFS($AU$1388:AU2049,$P$1388:P2049,"W")</f>
        <v>36124.873506493845</v>
      </c>
      <c r="BL2048" s="343">
        <f>SUMIFS($AU$1388:AU2049,$P$1388:P2049,"R")</f>
        <v>11626.000000000158</v>
      </c>
      <c r="BM2048" s="343">
        <f>SUMIFS($AU$1388:AU2049,$AQ$1388:AQ2049,"M")</f>
        <v>9793.3799999992334</v>
      </c>
      <c r="BN2048" s="343">
        <f>SUMIFS($AU$1388:AU2049,$AQ$1388:AQ2049,"H")</f>
        <v>12363.200000000876</v>
      </c>
      <c r="BO2048" s="343">
        <f>SUMIFS($AU$1388:AU2049,$AQ$1388:AQ2049,"D")</f>
        <v>11523.107142857021</v>
      </c>
      <c r="BP2048" s="343">
        <f>SUMIFS($AS$1388:AS2697,$AO$1388:AO2697,"W")</f>
        <v>0</v>
      </c>
      <c r="BQ2048" s="343">
        <f>SUMIFS($AU$1388:AU2049,$Q$1388:Q2049,"O")</f>
        <v>-5622.7399999997597</v>
      </c>
      <c r="BR2048" s="343">
        <f>SUMIFS($AU$1388:AU2049,$AA$1388:AA2049,"*")</f>
        <v>36943.036363636376</v>
      </c>
      <c r="BS2048" s="343">
        <f>SUMIFS($AU$1388:AU2049,$AB$1388:AB2049,"*")</f>
        <v>10383.860000000041</v>
      </c>
      <c r="BT2048" s="343">
        <f>SUMIFS($AU$1388:AU2049,$AC$1388:AC2049,"*")</f>
        <v>34275.693506493677</v>
      </c>
      <c r="BU2048" s="343">
        <f>SUMIFS($AU$1388:AU2049,$AA$1388:AA2049,"*",$AB$1388:AB2049,"*")</f>
        <v>5423.9999999998217</v>
      </c>
      <c r="BV2048" s="343">
        <f>SUMIFS($AU$1388:AU2049,$AA$1388:AA2049,"*",$AC$1388:AC2049,"*")</f>
        <v>21913.636363636531</v>
      </c>
      <c r="BW2048" s="343">
        <f>SUMIFS($AU$1388:AU2049,$AB$1388:AB2049,"*",$AC$1388:AC2049,"*")</f>
        <v>7119.9999999999982</v>
      </c>
      <c r="BX2048" s="343">
        <f>SUMIFS($AV$1388:AV2049,$Q$1388:Q2049,"F")</f>
        <v>436.93967298904215</v>
      </c>
      <c r="BY2048" s="343">
        <f>SUMIFS($AV$1388:AV2049,$Q$1388:Q2049,"S")</f>
        <v>768.03991333429894</v>
      </c>
      <c r="BZ2048" s="343">
        <f>SUMIFS($AV$1388:AV2049,$Q$1388:Q2049,"O")</f>
        <v>372.95929999976715</v>
      </c>
    </row>
    <row r="2049" spans="1:78" ht="15.75" customHeight="1">
      <c r="A2049" s="177" t="s">
        <v>6310</v>
      </c>
      <c r="B2049" s="200">
        <v>45435</v>
      </c>
      <c r="C2049" s="178" t="s">
        <v>1728</v>
      </c>
      <c r="D2049" s="178" t="s">
        <v>93</v>
      </c>
      <c r="E2049" s="227" t="s">
        <v>6598</v>
      </c>
      <c r="F2049" s="180" t="s">
        <v>6599</v>
      </c>
      <c r="G2049" s="181"/>
      <c r="H2049" s="182">
        <v>1</v>
      </c>
      <c r="I2049" s="182"/>
      <c r="J2049" s="182"/>
      <c r="K2049" s="183" t="s">
        <v>372</v>
      </c>
      <c r="L2049" s="182"/>
      <c r="M2049" s="182"/>
      <c r="N2049" s="182"/>
      <c r="O2049" s="183"/>
      <c r="P2049" s="183"/>
      <c r="Q2049" s="183"/>
      <c r="R2049" s="183"/>
      <c r="S2049" s="183"/>
      <c r="T2049" s="183"/>
      <c r="U2049" s="183"/>
      <c r="V2049" s="183"/>
      <c r="W2049" s="183"/>
      <c r="X2049" s="183"/>
      <c r="Y2049" s="183"/>
      <c r="Z2049" s="183"/>
      <c r="AA2049" s="185"/>
      <c r="AB2049" s="185"/>
      <c r="AC2049" s="185"/>
      <c r="AD2049" s="649"/>
      <c r="AE2049" s="182"/>
      <c r="AF2049" s="332"/>
      <c r="AG2049" s="182"/>
      <c r="AH2049" s="182"/>
      <c r="AI2049" s="182"/>
      <c r="AJ2049" s="640"/>
      <c r="AK2049" s="182"/>
      <c r="AL2049" s="496">
        <f t="shared" si="692"/>
        <v>0</v>
      </c>
      <c r="AM2049" s="496">
        <f t="shared" ref="AM2049:AM2080" si="694">AL2049*(R2049-S2049)</f>
        <v>0</v>
      </c>
      <c r="AN2049" s="626"/>
      <c r="AO2049" s="182"/>
      <c r="AP2049" s="182"/>
      <c r="AQ2049" s="332" t="str">
        <f>UPPER(RIGHT(Journal_Live[[#This Row],[DURATION ]]))</f>
        <v/>
      </c>
      <c r="AR2049" s="182"/>
      <c r="AS2049" s="189"/>
      <c r="AT2049" s="189"/>
      <c r="AU2049" s="187"/>
      <c r="AV2049" s="190"/>
      <c r="AW2049" s="191"/>
      <c r="AX2049" s="551"/>
      <c r="AY2049" s="551"/>
      <c r="AZ2049" s="551"/>
      <c r="BA2049" s="551"/>
      <c r="BB2049" s="551"/>
      <c r="BC2049" s="551"/>
      <c r="BD2049" s="549"/>
      <c r="BE2049" s="550"/>
      <c r="BF2049" s="549"/>
      <c r="BG2049" s="391">
        <f>SUM($AV$1389:AV2049)</f>
        <v>3825.9388863231143</v>
      </c>
      <c r="BH2049" s="392">
        <f>SUM($AU$1389:AU2049)</f>
        <v>50424.953506493737</v>
      </c>
      <c r="BI2049" s="318">
        <f>SUMIFS($AU$1388:AU2050,$Q$1388:Q2050,"F")</f>
        <v>30835.69350649351</v>
      </c>
      <c r="BJ2049" s="318">
        <f>SUMIFS($AU$1388:AU2050,$Q$1388:Q2050,"S")</f>
        <v>23488</v>
      </c>
      <c r="BK2049" s="343">
        <f>SUMIFS($AU$1388:AU2050,$P$1388:P2050,"W")</f>
        <v>36124.873506493845</v>
      </c>
      <c r="BL2049" s="343">
        <f>SUMIFS($AU$1388:AU2050,$P$1388:P2050,"R")</f>
        <v>11626.000000000158</v>
      </c>
      <c r="BM2049" s="343">
        <f>SUMIFS($AU$1388:AU2050,$AQ$1388:AQ2050,"M")</f>
        <v>9793.3799999992334</v>
      </c>
      <c r="BN2049" s="343">
        <f>SUMIFS($AU$1388:AU2050,$AQ$1388:AQ2050,"H")</f>
        <v>12363.200000000876</v>
      </c>
      <c r="BO2049" s="343">
        <f>SUMIFS($AU$1388:AU2050,$AQ$1388:AQ2050,"D")</f>
        <v>11523.107142857021</v>
      </c>
      <c r="BP2049" s="343">
        <f>SUMIFS($AS$1388:AS2698,$AO$1388:AO2698,"W")</f>
        <v>0</v>
      </c>
      <c r="BQ2049" s="343">
        <f>SUMIFS($AU$1388:AU2050,$Q$1388:Q2050,"O")</f>
        <v>-5622.7399999997597</v>
      </c>
      <c r="BR2049" s="343">
        <f>SUMIFS($AU$1388:AU2050,$AA$1388:AA2050,"*")</f>
        <v>36943.036363636376</v>
      </c>
      <c r="BS2049" s="343">
        <f>SUMIFS($AU$1388:AU2050,$AB$1388:AB2050,"*")</f>
        <v>10383.860000000041</v>
      </c>
      <c r="BT2049" s="343">
        <f>SUMIFS($AU$1388:AU2050,$AC$1388:AC2050,"*")</f>
        <v>34275.693506493677</v>
      </c>
      <c r="BU2049" s="343">
        <f>SUMIFS($AU$1388:AU2050,$AA$1388:AA2050,"*",$AB$1388:AB2050,"*")</f>
        <v>5423.9999999998217</v>
      </c>
      <c r="BV2049" s="343">
        <f>SUMIFS($AU$1388:AU2050,$AA$1388:AA2050,"*",$AC$1388:AC2050,"*")</f>
        <v>21913.636363636531</v>
      </c>
      <c r="BW2049" s="343">
        <f>SUMIFS($AU$1388:AU2050,$AB$1388:AB2050,"*",$AC$1388:AC2050,"*")</f>
        <v>7119.9999999999982</v>
      </c>
      <c r="BX2049" s="343">
        <f>SUMIFS($AV$1388:AV2050,$Q$1388:Q2050,"F")</f>
        <v>436.93967298904215</v>
      </c>
      <c r="BY2049" s="343">
        <f>SUMIFS($AV$1388:AV2050,$Q$1388:Q2050,"S")</f>
        <v>768.03991333429894</v>
      </c>
      <c r="BZ2049" s="343">
        <f>SUMIFS($AV$1388:AV2050,$Q$1388:Q2050,"O")</f>
        <v>372.95929999976715</v>
      </c>
    </row>
    <row r="2050" spans="1:78" ht="15.75" customHeight="1">
      <c r="A2050" s="177" t="s">
        <v>6310</v>
      </c>
      <c r="B2050" s="200"/>
      <c r="C2050" s="178"/>
      <c r="D2050" s="178"/>
      <c r="E2050" s="227" t="s">
        <v>6600</v>
      </c>
      <c r="F2050" s="180"/>
      <c r="G2050" s="181"/>
      <c r="H2050" s="182">
        <v>1</v>
      </c>
      <c r="I2050" s="182"/>
      <c r="J2050" s="182"/>
      <c r="K2050" s="183" t="s">
        <v>372</v>
      </c>
      <c r="L2050" s="182"/>
      <c r="M2050" s="182"/>
      <c r="N2050" s="182"/>
      <c r="O2050" s="183"/>
      <c r="P2050" s="183"/>
      <c r="Q2050" s="183"/>
      <c r="R2050" s="183"/>
      <c r="S2050" s="183"/>
      <c r="T2050" s="183"/>
      <c r="U2050" s="183"/>
      <c r="V2050" s="183"/>
      <c r="W2050" s="183"/>
      <c r="X2050" s="183"/>
      <c r="Y2050" s="183"/>
      <c r="Z2050" s="183"/>
      <c r="AA2050" s="185"/>
      <c r="AB2050" s="185"/>
      <c r="AC2050" s="185"/>
      <c r="AD2050" s="649"/>
      <c r="AE2050" s="182"/>
      <c r="AF2050" s="332"/>
      <c r="AG2050" s="182"/>
      <c r="AH2050" s="182"/>
      <c r="AI2050" s="182"/>
      <c r="AJ2050" s="640"/>
      <c r="AK2050" s="182"/>
      <c r="AL2050" s="496">
        <f t="shared" si="692"/>
        <v>0</v>
      </c>
      <c r="AM2050" s="496">
        <f t="shared" si="694"/>
        <v>0</v>
      </c>
      <c r="AN2050" s="626"/>
      <c r="AO2050" s="182"/>
      <c r="AP2050" s="182"/>
      <c r="AQ2050" s="332" t="str">
        <f>UPPER(RIGHT(Journal_Live[[#This Row],[DURATION ]]))</f>
        <v/>
      </c>
      <c r="AR2050" s="182"/>
      <c r="AS2050" s="189"/>
      <c r="AT2050" s="189"/>
      <c r="AU2050" s="187"/>
      <c r="AV2050" s="190"/>
      <c r="AW2050" s="191"/>
      <c r="AX2050" s="551"/>
      <c r="AY2050" s="551"/>
      <c r="AZ2050" s="551"/>
      <c r="BA2050" s="551"/>
      <c r="BB2050" s="551"/>
      <c r="BC2050" s="551"/>
      <c r="BD2050" s="549"/>
      <c r="BE2050" s="550"/>
      <c r="BF2050" s="549"/>
      <c r="BG2050" s="391">
        <f>SUM($AV$1389:AV2050)</f>
        <v>3825.9388863231143</v>
      </c>
      <c r="BH2050" s="392">
        <f>SUM($AU$1389:AU2050)</f>
        <v>50424.953506493737</v>
      </c>
      <c r="BI2050" s="318">
        <f>SUMIFS($AU$1388:AU2051,$Q$1388:Q2051,"F")</f>
        <v>30835.69350649351</v>
      </c>
      <c r="BJ2050" s="318">
        <f>SUMIFS($AU$1388:AU2051,$Q$1388:Q2051,"S")</f>
        <v>23488</v>
      </c>
      <c r="BK2050" s="343">
        <f>SUMIFS($AU$1388:AU2051,$P$1388:P2051,"W")</f>
        <v>36124.873506493845</v>
      </c>
      <c r="BL2050" s="343">
        <f>SUMIFS($AU$1388:AU2051,$P$1388:P2051,"R")</f>
        <v>11626.000000000158</v>
      </c>
      <c r="BM2050" s="343">
        <f>SUMIFS($AU$1388:AU2051,$AQ$1388:AQ2051,"M")</f>
        <v>9793.3799999992334</v>
      </c>
      <c r="BN2050" s="343">
        <f>SUMIFS($AU$1388:AU2051,$AQ$1388:AQ2051,"H")</f>
        <v>12363.200000000876</v>
      </c>
      <c r="BO2050" s="343">
        <f>SUMIFS($AU$1388:AU2051,$AQ$1388:AQ2051,"D")</f>
        <v>11523.107142857021</v>
      </c>
      <c r="BP2050" s="343">
        <f>SUMIFS($AS$1388:AS2699,$AO$1388:AO2699,"W")</f>
        <v>0</v>
      </c>
      <c r="BQ2050" s="343">
        <f>SUMIFS($AU$1388:AU2051,$Q$1388:Q2051,"O")</f>
        <v>-5622.7399999997597</v>
      </c>
      <c r="BR2050" s="343">
        <f>SUMIFS($AU$1388:AU2051,$AA$1388:AA2051,"*")</f>
        <v>36943.036363636376</v>
      </c>
      <c r="BS2050" s="343">
        <f>SUMIFS($AU$1388:AU2051,$AB$1388:AB2051,"*")</f>
        <v>10383.860000000041</v>
      </c>
      <c r="BT2050" s="343">
        <f>SUMIFS($AU$1388:AU2051,$AC$1388:AC2051,"*")</f>
        <v>34275.693506493677</v>
      </c>
      <c r="BU2050" s="343">
        <f>SUMIFS($AU$1388:AU2051,$AA$1388:AA2051,"*",$AB$1388:AB2051,"*")</f>
        <v>5423.9999999998217</v>
      </c>
      <c r="BV2050" s="343">
        <f>SUMIFS($AU$1388:AU2051,$AA$1388:AA2051,"*",$AC$1388:AC2051,"*")</f>
        <v>21913.636363636531</v>
      </c>
      <c r="BW2050" s="343">
        <f>SUMIFS($AU$1388:AU2051,$AB$1388:AB2051,"*",$AC$1388:AC2051,"*")</f>
        <v>7119.9999999999982</v>
      </c>
      <c r="BX2050" s="343">
        <f>SUMIFS($AV$1388:AV2051,$Q$1388:Q2051,"F")</f>
        <v>436.93967298904215</v>
      </c>
      <c r="BY2050" s="343">
        <f>SUMIFS($AV$1388:AV2051,$Q$1388:Q2051,"S")</f>
        <v>768.03991333429894</v>
      </c>
      <c r="BZ2050" s="343">
        <f>SUMIFS($AV$1388:AV2051,$Q$1388:Q2051,"O")</f>
        <v>372.95929999976715</v>
      </c>
    </row>
    <row r="2051" spans="1:78" ht="15.75" customHeight="1">
      <c r="A2051" s="177" t="s">
        <v>6310</v>
      </c>
      <c r="B2051" s="200"/>
      <c r="C2051" s="178"/>
      <c r="D2051" s="178"/>
      <c r="E2051" s="227" t="s">
        <v>6601</v>
      </c>
      <c r="F2051" s="180"/>
      <c r="G2051" s="181"/>
      <c r="H2051" s="182">
        <v>1</v>
      </c>
      <c r="I2051" s="182"/>
      <c r="J2051" s="182"/>
      <c r="K2051" s="183" t="s">
        <v>372</v>
      </c>
      <c r="L2051" s="182"/>
      <c r="M2051" s="182"/>
      <c r="N2051" s="182"/>
      <c r="O2051" s="183"/>
      <c r="P2051" s="183"/>
      <c r="Q2051" s="183"/>
      <c r="R2051" s="183"/>
      <c r="S2051" s="183"/>
      <c r="T2051" s="183"/>
      <c r="U2051" s="183"/>
      <c r="V2051" s="183"/>
      <c r="W2051" s="183"/>
      <c r="X2051" s="183"/>
      <c r="Y2051" s="183"/>
      <c r="Z2051" s="183"/>
      <c r="AA2051" s="185"/>
      <c r="AB2051" s="185"/>
      <c r="AC2051" s="185"/>
      <c r="AD2051" s="649"/>
      <c r="AE2051" s="182"/>
      <c r="AF2051" s="332"/>
      <c r="AG2051" s="182"/>
      <c r="AH2051" s="182"/>
      <c r="AI2051" s="182"/>
      <c r="AJ2051" s="640"/>
      <c r="AK2051" s="182"/>
      <c r="AL2051" s="496">
        <f t="shared" si="692"/>
        <v>0</v>
      </c>
      <c r="AM2051" s="496">
        <f t="shared" si="694"/>
        <v>0</v>
      </c>
      <c r="AN2051" s="626"/>
      <c r="AO2051" s="182"/>
      <c r="AP2051" s="182"/>
      <c r="AQ2051" s="332" t="str">
        <f>UPPER(RIGHT(Journal_Live[[#This Row],[DURATION ]]))</f>
        <v/>
      </c>
      <c r="AR2051" s="182"/>
      <c r="AS2051" s="189"/>
      <c r="AT2051" s="189"/>
      <c r="AU2051" s="187"/>
      <c r="AV2051" s="190"/>
      <c r="AW2051" s="191"/>
      <c r="AX2051" s="551"/>
      <c r="AY2051" s="551"/>
      <c r="AZ2051" s="551"/>
      <c r="BA2051" s="551"/>
      <c r="BB2051" s="551"/>
      <c r="BC2051" s="551"/>
      <c r="BD2051" s="549"/>
      <c r="BE2051" s="550"/>
      <c r="BF2051" s="549"/>
      <c r="BG2051" s="391">
        <f>SUM($AV$1389:AV2051)</f>
        <v>3825.9388863231143</v>
      </c>
      <c r="BH2051" s="392">
        <f>SUM($AU$1389:AU2051)</f>
        <v>50424.953506493737</v>
      </c>
      <c r="BI2051" s="318">
        <f>SUMIFS($AU$1388:AU2052,$Q$1388:Q2052,"F")</f>
        <v>30835.69350649351</v>
      </c>
      <c r="BJ2051" s="318">
        <f>SUMIFS($AU$1388:AU2052,$Q$1388:Q2052,"S")</f>
        <v>23488</v>
      </c>
      <c r="BK2051" s="343">
        <f>SUMIFS($AU$1388:AU2052,$P$1388:P2052,"W")</f>
        <v>36124.873506493845</v>
      </c>
      <c r="BL2051" s="343">
        <f>SUMIFS($AU$1388:AU2052,$P$1388:P2052,"R")</f>
        <v>11626.000000000158</v>
      </c>
      <c r="BM2051" s="343">
        <f>SUMIFS($AU$1388:AU2052,$AQ$1388:AQ2052,"M")</f>
        <v>9567.1799999991417</v>
      </c>
      <c r="BN2051" s="343">
        <f>SUMIFS($AU$1388:AU2052,$AQ$1388:AQ2052,"H")</f>
        <v>12363.200000000876</v>
      </c>
      <c r="BO2051" s="343">
        <f>SUMIFS($AU$1388:AU2052,$AQ$1388:AQ2052,"D")</f>
        <v>11523.107142857021</v>
      </c>
      <c r="BP2051" s="343">
        <f>SUMIFS($AS$1388:AS2700,$AO$1388:AO2700,"W")</f>
        <v>0</v>
      </c>
      <c r="BQ2051" s="343">
        <f>SUMIFS($AU$1388:AU2052,$Q$1388:Q2052,"O")</f>
        <v>-5848.9399999998504</v>
      </c>
      <c r="BR2051" s="343">
        <f>SUMIFS($AU$1388:AU2052,$AA$1388:AA2052,"*")</f>
        <v>36716.836363636285</v>
      </c>
      <c r="BS2051" s="343">
        <f>SUMIFS($AU$1388:AU2052,$AB$1388:AB2052,"*")</f>
        <v>10383.860000000041</v>
      </c>
      <c r="BT2051" s="343">
        <f>SUMIFS($AU$1388:AU2052,$AC$1388:AC2052,"*")</f>
        <v>34275.693506493677</v>
      </c>
      <c r="BU2051" s="343">
        <f>SUMIFS($AU$1388:AU2052,$AA$1388:AA2052,"*",$AB$1388:AB2052,"*")</f>
        <v>5423.9999999998217</v>
      </c>
      <c r="BV2051" s="343">
        <f>SUMIFS($AU$1388:AU2052,$AA$1388:AA2052,"*",$AC$1388:AC2052,"*")</f>
        <v>21913.636363636531</v>
      </c>
      <c r="BW2051" s="343">
        <f>SUMIFS($AU$1388:AU2052,$AB$1388:AB2052,"*",$AC$1388:AC2052,"*")</f>
        <v>7119.9999999999982</v>
      </c>
      <c r="BX2051" s="343">
        <f>SUMIFS($AV$1388:AV2052,$Q$1388:Q2052,"F")</f>
        <v>436.93967298904215</v>
      </c>
      <c r="BY2051" s="343">
        <f>SUMIFS($AV$1388:AV2052,$Q$1388:Q2052,"S")</f>
        <v>768.03991333429894</v>
      </c>
      <c r="BZ2051" s="343">
        <f>SUMIFS($AV$1388:AV2052,$Q$1388:Q2052,"O")</f>
        <v>297.55929999973682</v>
      </c>
    </row>
    <row r="2052" spans="1:78" ht="15.75" customHeight="1">
      <c r="A2052" s="177" t="s">
        <v>6310</v>
      </c>
      <c r="B2052" s="200">
        <v>45435</v>
      </c>
      <c r="C2052" s="178" t="s">
        <v>682</v>
      </c>
      <c r="D2052" s="178" t="s">
        <v>93</v>
      </c>
      <c r="E2052" s="227"/>
      <c r="F2052" s="180"/>
      <c r="G2052" s="181" t="s">
        <v>5723</v>
      </c>
      <c r="H2052" s="182"/>
      <c r="I2052" s="182"/>
      <c r="J2052" s="182"/>
      <c r="K2052" s="183"/>
      <c r="L2052" s="182">
        <v>3</v>
      </c>
      <c r="M2052" s="182"/>
      <c r="N2052" s="182"/>
      <c r="O2052" s="183" t="s">
        <v>3618</v>
      </c>
      <c r="P2052" s="183" t="s">
        <v>2260</v>
      </c>
      <c r="Q2052" s="183" t="s">
        <v>684</v>
      </c>
      <c r="R2052" s="183">
        <v>3</v>
      </c>
      <c r="S2052" s="183">
        <v>0</v>
      </c>
      <c r="T2052" s="183">
        <v>3</v>
      </c>
      <c r="U2052" s="183" t="s">
        <v>22</v>
      </c>
      <c r="V2052" s="183"/>
      <c r="W2052" s="183"/>
      <c r="X2052" s="183"/>
      <c r="Y2052" s="184">
        <f>IF(ISBLANK(O2052),"",(IF(O2052=UPPER("IB"),0.005,0.01)))</f>
        <v>0.01</v>
      </c>
      <c r="Z2052" s="185">
        <f>IF(ISBLANK(O2052),"",IF(O2052="IB",8.63*200,IF(O2052="IR",16*100,IF(O2052="YT",20*100,IF(O2052="YT-XT",24*200,IF(O2052="TED",80*100,IF(O2052="XT",29*200)))))))</f>
        <v>5800</v>
      </c>
      <c r="AA2052" s="185" t="s">
        <v>6602</v>
      </c>
      <c r="AB2052" s="185"/>
      <c r="AC2052" s="185"/>
      <c r="AD2052" s="649">
        <v>95.688000000000002</v>
      </c>
      <c r="AE2052" s="182"/>
      <c r="AF2052" s="332"/>
      <c r="AG2052" s="182"/>
      <c r="AH2052" s="182"/>
      <c r="AI2052" s="182"/>
      <c r="AJ2052" s="640"/>
      <c r="AK2052" s="182"/>
      <c r="AL2052" s="496">
        <f t="shared" si="692"/>
        <v>-116</v>
      </c>
      <c r="AM2052" s="496">
        <f t="shared" si="694"/>
        <v>-348</v>
      </c>
      <c r="AN2052" s="626"/>
      <c r="AO2052" s="182"/>
      <c r="AP2052" s="182"/>
      <c r="AQ2052" s="332" t="s">
        <v>1259</v>
      </c>
      <c r="AR2052" s="182"/>
      <c r="AS2052" s="189">
        <v>95.674999999999997</v>
      </c>
      <c r="AT2052" s="189">
        <f>IF(ISBLANK(AS2052),,IF(U2052="S",AD2052-AS2052,AS2052-AD2052))</f>
        <v>-1.300000000000523E-2</v>
      </c>
      <c r="AU2052" s="187">
        <f>AV2052*R2052</f>
        <v>-226.20000000009099</v>
      </c>
      <c r="AV2052" s="190">
        <f t="shared" si="693"/>
        <v>-75.400000000030332</v>
      </c>
      <c r="AW2052" s="191" t="s">
        <v>229</v>
      </c>
      <c r="AX2052" s="551"/>
      <c r="AY2052" s="551"/>
      <c r="AZ2052" s="551"/>
      <c r="BA2052" s="551"/>
      <c r="BB2052" s="551"/>
      <c r="BC2052" s="551"/>
      <c r="BD2052" s="549"/>
      <c r="BE2052" s="550"/>
      <c r="BF2052" s="549"/>
      <c r="BG2052" s="391">
        <f>SUM($AV$1389:AV2052)</f>
        <v>3750.5388863230837</v>
      </c>
      <c r="BH2052" s="392">
        <f>SUM($AU$1389:AU2052)</f>
        <v>50198.753506493646</v>
      </c>
      <c r="BI2052" s="318">
        <f>SUMIFS($AU$1388:AU2053,$Q$1388:Q2053,"F")</f>
        <v>30835.69350649351</v>
      </c>
      <c r="BJ2052" s="318">
        <f>SUMIFS($AU$1388:AU2053,$Q$1388:Q2053,"S")</f>
        <v>22048</v>
      </c>
      <c r="BK2052" s="343">
        <f>SUMIFS($AU$1388:AU2053,$P$1388:P2053,"W")</f>
        <v>34684.873506493845</v>
      </c>
      <c r="BL2052" s="343">
        <f>SUMIFS($AU$1388:AU2053,$P$1388:P2053,"R")</f>
        <v>11626.000000000158</v>
      </c>
      <c r="BM2052" s="343">
        <f>SUMIFS($AU$1388:AU2053,$AQ$1388:AQ2053,"M")</f>
        <v>9567.1799999991417</v>
      </c>
      <c r="BN2052" s="343">
        <f>SUMIFS($AU$1388:AU2053,$AQ$1388:AQ2053,"H")</f>
        <v>12363.200000000876</v>
      </c>
      <c r="BO2052" s="343">
        <f>SUMIFS($AU$1388:AU2053,$AQ$1388:AQ2053,"D")</f>
        <v>10083.107142857021</v>
      </c>
      <c r="BP2052" s="343">
        <f>SUMIFS($AS$1388:AS2701,$AO$1388:AO2701,"W")</f>
        <v>0</v>
      </c>
      <c r="BQ2052" s="343">
        <f>SUMIFS($AU$1388:AU2053,$Q$1388:Q2053,"O")</f>
        <v>-5848.9399999998504</v>
      </c>
      <c r="BR2052" s="343">
        <f>SUMIFS($AU$1388:AU2053,$AA$1388:AA2053,"*")</f>
        <v>35276.836363636285</v>
      </c>
      <c r="BS2052" s="343">
        <f>SUMIFS($AU$1388:AU2053,$AB$1388:AB2053,"*")</f>
        <v>10383.860000000041</v>
      </c>
      <c r="BT2052" s="343">
        <f>SUMIFS($AU$1388:AU2053,$AC$1388:AC2053,"*")</f>
        <v>34275.693506493677</v>
      </c>
      <c r="BU2052" s="343">
        <f>SUMIFS($AU$1388:AU2053,$AA$1388:AA2053,"*",$AB$1388:AB2053,"*")</f>
        <v>5423.9999999998217</v>
      </c>
      <c r="BV2052" s="343">
        <f>SUMIFS($AU$1388:AU2053,$AA$1388:AA2053,"*",$AC$1388:AC2053,"*")</f>
        <v>21913.636363636531</v>
      </c>
      <c r="BW2052" s="343">
        <f>SUMIFS($AU$1388:AU2053,$AB$1388:AB2053,"*",$AC$1388:AC2053,"*")</f>
        <v>7119.9999999999982</v>
      </c>
      <c r="BX2052" s="343">
        <f>SUMIFS($AV$1388:AV2053,$Q$1388:Q2053,"F")</f>
        <v>436.93967298904215</v>
      </c>
      <c r="BY2052" s="343">
        <f>SUMIFS($AV$1388:AV2053,$Q$1388:Q2053,"S")</f>
        <v>752.03991333429894</v>
      </c>
      <c r="BZ2052" s="343">
        <f>SUMIFS($AV$1388:AV2053,$Q$1388:Q2053,"O")</f>
        <v>297.55929999973682</v>
      </c>
    </row>
    <row r="2053" spans="1:78" ht="15.75" customHeight="1">
      <c r="A2053" s="177" t="s">
        <v>6310</v>
      </c>
      <c r="B2053" s="200">
        <v>45436</v>
      </c>
      <c r="C2053" s="178"/>
      <c r="D2053" s="178" t="s">
        <v>111</v>
      </c>
      <c r="E2053" s="227"/>
      <c r="F2053" s="180"/>
      <c r="G2053" s="481" t="s">
        <v>2016</v>
      </c>
      <c r="H2053" s="182"/>
      <c r="I2053" s="182"/>
      <c r="J2053" s="182"/>
      <c r="K2053" s="183"/>
      <c r="L2053" s="182"/>
      <c r="M2053" s="182">
        <v>2</v>
      </c>
      <c r="N2053" s="182"/>
      <c r="O2053" s="183" t="s">
        <v>95</v>
      </c>
      <c r="P2053" s="183" t="s">
        <v>96</v>
      </c>
      <c r="Q2053" s="183" t="s">
        <v>97</v>
      </c>
      <c r="R2053" s="183">
        <v>90</v>
      </c>
      <c r="S2053" s="183">
        <v>90</v>
      </c>
      <c r="T2053" s="183">
        <v>90</v>
      </c>
      <c r="U2053" s="183" t="s">
        <v>97</v>
      </c>
      <c r="V2053" s="183"/>
      <c r="W2053" s="183"/>
      <c r="X2053" s="183"/>
      <c r="Y2053" s="184">
        <f>IF(ISBLANK(O2053),"",(IF(O2053=UPPER("IB"),0.005,0.01)))</f>
        <v>0.01</v>
      </c>
      <c r="Z2053" s="185">
        <f>IF(ISBLANK(O2053),"",IF(O2053="IB",8.63*200,IF(O2053="IR",16*100,IF(O2053="YT",20*100,IF(O2053="YT-XT",24*200,IF(O2053="TED",80*100,IF(O2053="XT",29*200)))))))</f>
        <v>1600</v>
      </c>
      <c r="AA2053" s="185" t="s">
        <v>6603</v>
      </c>
      <c r="AB2053" s="185"/>
      <c r="AC2053" s="185"/>
      <c r="AD2053" s="649">
        <v>-0.03</v>
      </c>
      <c r="AE2053" s="182"/>
      <c r="AF2053" s="332"/>
      <c r="AG2053" s="182"/>
      <c r="AH2053" s="182"/>
      <c r="AI2053" s="182"/>
      <c r="AJ2053" s="640"/>
      <c r="AK2053" s="182"/>
      <c r="AL2053" s="496">
        <f t="shared" si="692"/>
        <v>-32</v>
      </c>
      <c r="AM2053" s="496">
        <f t="shared" si="694"/>
        <v>0</v>
      </c>
      <c r="AN2053" s="626"/>
      <c r="AO2053" s="182"/>
      <c r="AP2053" s="182"/>
      <c r="AQ2053" s="332" t="s">
        <v>115</v>
      </c>
      <c r="AR2053" s="182"/>
      <c r="AS2053" s="189">
        <v>-0.02</v>
      </c>
      <c r="AT2053" s="189">
        <f>IF(ISBLANK(AS2053),,IF(U2053="S",AD2053-AS2053,AS2053-AD2053))</f>
        <v>-9.9999999999999985E-3</v>
      </c>
      <c r="AU2053" s="187">
        <f>AV2053*R2053</f>
        <v>-1439.9999999999998</v>
      </c>
      <c r="AV2053" s="190">
        <f t="shared" si="693"/>
        <v>-15.999999999999998</v>
      </c>
      <c r="AW2053" s="191" t="s">
        <v>229</v>
      </c>
      <c r="AX2053" s="551" t="s">
        <v>6604</v>
      </c>
      <c r="AY2053" s="551" t="s">
        <v>6544</v>
      </c>
      <c r="AZ2053" s="551"/>
      <c r="BA2053" s="551"/>
      <c r="BB2053" s="551"/>
      <c r="BC2053" s="551"/>
      <c r="BD2053" s="549"/>
      <c r="BE2053" s="550"/>
      <c r="BF2053" s="549"/>
      <c r="BG2053" s="391">
        <f>SUM($AV$1389:AV2053)</f>
        <v>3734.5388863230837</v>
      </c>
      <c r="BH2053" s="392">
        <f>SUM($AU$1389:AU2053)</f>
        <v>48758.753506493646</v>
      </c>
      <c r="BI2053" s="318">
        <f>SUMIFS($AU$1388:AU2054,$Q$1388:Q2054,"F")</f>
        <v>30835.69350649351</v>
      </c>
      <c r="BJ2053" s="318">
        <f>SUMIFS($AU$1388:AU2054,$Q$1388:Q2054,"S")</f>
        <v>22048</v>
      </c>
      <c r="BK2053" s="343">
        <f>SUMIFS($AU$1388:AU2054,$P$1388:P2054,"W")</f>
        <v>34684.873506493845</v>
      </c>
      <c r="BL2053" s="343">
        <f>SUMIFS($AU$1388:AU2054,$P$1388:P2054,"R")</f>
        <v>11626.000000000158</v>
      </c>
      <c r="BM2053" s="343">
        <f>SUMIFS($AU$1388:AU2054,$AQ$1388:AQ2054,"M")</f>
        <v>9567.1799999991417</v>
      </c>
      <c r="BN2053" s="343">
        <f>SUMIFS($AU$1388:AU2054,$AQ$1388:AQ2054,"H")</f>
        <v>12363.200000000876</v>
      </c>
      <c r="BO2053" s="343">
        <f>SUMIFS($AU$1388:AU2054,$AQ$1388:AQ2054,"D")</f>
        <v>10083.107142857021</v>
      </c>
      <c r="BP2053" s="343">
        <f>SUMIFS($AS$1388:AS2702,$AO$1388:AO2702,"W")</f>
        <v>0</v>
      </c>
      <c r="BQ2053" s="343">
        <f>SUMIFS($AU$1388:AU2054,$Q$1388:Q2054,"O")</f>
        <v>-5848.9399999998504</v>
      </c>
      <c r="BR2053" s="343">
        <f>SUMIFS($AU$1388:AU2054,$AA$1388:AA2054,"*")</f>
        <v>35276.836363636285</v>
      </c>
      <c r="BS2053" s="343">
        <f>SUMIFS($AU$1388:AU2054,$AB$1388:AB2054,"*")</f>
        <v>10383.860000000041</v>
      </c>
      <c r="BT2053" s="343">
        <f>SUMIFS($AU$1388:AU2054,$AC$1388:AC2054,"*")</f>
        <v>34275.693506493677</v>
      </c>
      <c r="BU2053" s="343">
        <f>SUMIFS($AU$1388:AU2054,$AA$1388:AA2054,"*",$AB$1388:AB2054,"*")</f>
        <v>5423.9999999998217</v>
      </c>
      <c r="BV2053" s="343">
        <f>SUMIFS($AU$1388:AU2054,$AA$1388:AA2054,"*",$AC$1388:AC2054,"*")</f>
        <v>21913.636363636531</v>
      </c>
      <c r="BW2053" s="343">
        <f>SUMIFS($AU$1388:AU2054,$AB$1388:AB2054,"*",$AC$1388:AC2054,"*")</f>
        <v>7119.9999999999982</v>
      </c>
      <c r="BX2053" s="343">
        <f>SUMIFS($AV$1388:AV2054,$Q$1388:Q2054,"F")</f>
        <v>436.93967298904215</v>
      </c>
      <c r="BY2053" s="343">
        <f>SUMIFS($AV$1388:AV2054,$Q$1388:Q2054,"S")</f>
        <v>752.03991333429894</v>
      </c>
      <c r="BZ2053" s="343">
        <f>SUMIFS($AV$1388:AV2054,$Q$1388:Q2054,"O")</f>
        <v>297.55929999973682</v>
      </c>
    </row>
    <row r="2054" spans="1:78" ht="15.75" customHeight="1">
      <c r="A2054" s="177" t="s">
        <v>6310</v>
      </c>
      <c r="B2054" s="200"/>
      <c r="C2054" s="178"/>
      <c r="D2054" s="178"/>
      <c r="E2054" s="227"/>
      <c r="F2054" s="180"/>
      <c r="G2054" s="181" t="s">
        <v>2070</v>
      </c>
      <c r="H2054" s="182"/>
      <c r="I2054" s="182"/>
      <c r="J2054" s="182"/>
      <c r="K2054" s="183"/>
      <c r="L2054" s="182"/>
      <c r="M2054" s="182"/>
      <c r="N2054" s="182"/>
      <c r="O2054" s="183"/>
      <c r="P2054" s="183"/>
      <c r="Q2054" s="183"/>
      <c r="R2054" s="183"/>
      <c r="S2054" s="183"/>
      <c r="T2054" s="183"/>
      <c r="U2054" s="183"/>
      <c r="V2054" s="183"/>
      <c r="W2054" s="183"/>
      <c r="X2054" s="183"/>
      <c r="Y2054" s="184"/>
      <c r="Z2054" s="185"/>
      <c r="AA2054" s="185"/>
      <c r="AB2054" s="185"/>
      <c r="AC2054" s="185"/>
      <c r="AD2054" s="649"/>
      <c r="AE2054" s="182"/>
      <c r="AF2054" s="332"/>
      <c r="AG2054" s="182"/>
      <c r="AH2054" s="182"/>
      <c r="AI2054" s="182"/>
      <c r="AJ2054" s="640"/>
      <c r="AK2054" s="182"/>
      <c r="AL2054" s="496">
        <f t="shared" si="692"/>
        <v>0</v>
      </c>
      <c r="AM2054" s="496">
        <f t="shared" si="694"/>
        <v>0</v>
      </c>
      <c r="AN2054" s="626"/>
      <c r="AO2054" s="182"/>
      <c r="AP2054" s="182"/>
      <c r="AQ2054" s="332" t="str">
        <f>UPPER(RIGHT(Journal_Live[[#This Row],[DURATION ]]))</f>
        <v/>
      </c>
      <c r="AR2054" s="182"/>
      <c r="AS2054" s="189"/>
      <c r="AT2054" s="189"/>
      <c r="AU2054" s="187"/>
      <c r="AV2054" s="190"/>
      <c r="AW2054" s="191"/>
      <c r="AX2054" s="551"/>
      <c r="AY2054" s="551"/>
      <c r="AZ2054" s="551"/>
      <c r="BA2054" s="551"/>
      <c r="BB2054" s="551"/>
      <c r="BC2054" s="551"/>
      <c r="BD2054" s="549"/>
      <c r="BE2054" s="550"/>
      <c r="BF2054" s="549"/>
      <c r="BG2054" s="391">
        <f>SUM($AV$1389:AV2054)</f>
        <v>3734.5388863230837</v>
      </c>
      <c r="BH2054" s="392">
        <f>SUM($AU$1389:AU2054)</f>
        <v>48758.753506493646</v>
      </c>
      <c r="BI2054" s="318">
        <f>SUMIFS($AU$1388:AU2055,$Q$1388:Q2055,"F")</f>
        <v>30835.69350649351</v>
      </c>
      <c r="BJ2054" s="318">
        <f>SUMIFS($AU$1388:AU2055,$Q$1388:Q2055,"S")</f>
        <v>22048</v>
      </c>
      <c r="BK2054" s="343">
        <f>SUMIFS($AU$1388:AU2055,$P$1388:P2055,"W")</f>
        <v>34684.873506493845</v>
      </c>
      <c r="BL2054" s="343">
        <f>SUMIFS($AU$1388:AU2055,$P$1388:P2055,"R")</f>
        <v>11626.000000000158</v>
      </c>
      <c r="BM2054" s="343">
        <f>SUMIFS($AU$1388:AU2055,$AQ$1388:AQ2055,"M")</f>
        <v>9567.1799999991417</v>
      </c>
      <c r="BN2054" s="343">
        <f>SUMIFS($AU$1388:AU2055,$AQ$1388:AQ2055,"H")</f>
        <v>12363.200000000876</v>
      </c>
      <c r="BO2054" s="343">
        <f>SUMIFS($AU$1388:AU2055,$AQ$1388:AQ2055,"D")</f>
        <v>10083.107142857021</v>
      </c>
      <c r="BP2054" s="343">
        <f>SUMIFS($AS$1388:AS2703,$AO$1388:AO2703,"W")</f>
        <v>0</v>
      </c>
      <c r="BQ2054" s="343">
        <f>SUMIFS($AU$1388:AU2055,$Q$1388:Q2055,"O")</f>
        <v>-5848.9399999998504</v>
      </c>
      <c r="BR2054" s="343">
        <f>SUMIFS($AU$1388:AU2055,$AA$1388:AA2055,"*")</f>
        <v>35276.836363636285</v>
      </c>
      <c r="BS2054" s="343">
        <f>SUMIFS($AU$1388:AU2055,$AB$1388:AB2055,"*")</f>
        <v>10383.860000000041</v>
      </c>
      <c r="BT2054" s="343">
        <f>SUMIFS($AU$1388:AU2055,$AC$1388:AC2055,"*")</f>
        <v>34275.693506493677</v>
      </c>
      <c r="BU2054" s="343">
        <f>SUMIFS($AU$1388:AU2055,$AA$1388:AA2055,"*",$AB$1388:AB2055,"*")</f>
        <v>5423.9999999998217</v>
      </c>
      <c r="BV2054" s="343">
        <f>SUMIFS($AU$1388:AU2055,$AA$1388:AA2055,"*",$AC$1388:AC2055,"*")</f>
        <v>21913.636363636531</v>
      </c>
      <c r="BW2054" s="343">
        <f>SUMIFS($AU$1388:AU2055,$AB$1388:AB2055,"*",$AC$1388:AC2055,"*")</f>
        <v>7119.9999999999982</v>
      </c>
      <c r="BX2054" s="343">
        <f>SUMIFS($AV$1388:AV2055,$Q$1388:Q2055,"F")</f>
        <v>436.93967298904215</v>
      </c>
      <c r="BY2054" s="343">
        <f>SUMIFS($AV$1388:AV2055,$Q$1388:Q2055,"S")</f>
        <v>752.03991333429894</v>
      </c>
      <c r="BZ2054" s="343">
        <f>SUMIFS($AV$1388:AV2055,$Q$1388:Q2055,"O")</f>
        <v>297.55929999973682</v>
      </c>
    </row>
    <row r="2055" spans="1:78" ht="15.75" customHeight="1">
      <c r="A2055" s="177" t="s">
        <v>6310</v>
      </c>
      <c r="B2055" s="200"/>
      <c r="C2055" s="178"/>
      <c r="D2055" s="178"/>
      <c r="E2055" s="227"/>
      <c r="F2055" s="180"/>
      <c r="G2055" s="481" t="s">
        <v>2016</v>
      </c>
      <c r="H2055" s="182"/>
      <c r="I2055" s="182"/>
      <c r="J2055" s="182"/>
      <c r="K2055" s="183"/>
      <c r="L2055" s="182"/>
      <c r="M2055" s="182">
        <v>2</v>
      </c>
      <c r="N2055" s="182"/>
      <c r="O2055" s="183" t="s">
        <v>95</v>
      </c>
      <c r="P2055" s="183" t="s">
        <v>96</v>
      </c>
      <c r="Q2055" s="183" t="s">
        <v>97</v>
      </c>
      <c r="R2055" s="183">
        <v>120</v>
      </c>
      <c r="S2055" s="183">
        <v>100</v>
      </c>
      <c r="T2055" s="183">
        <v>90</v>
      </c>
      <c r="U2055" s="183" t="s">
        <v>97</v>
      </c>
      <c r="V2055" s="183"/>
      <c r="W2055" s="183"/>
      <c r="X2055" s="183"/>
      <c r="Y2055" s="184">
        <f>IF(ISBLANK(O2055),"",(IF(O2055=UPPER("IB"),0.005,0.01)))</f>
        <v>0.01</v>
      </c>
      <c r="Z2055" s="185">
        <f>IF(ISBLANK(O2055),"",IF(O2055="IB",8.63*200,IF(O2055="IR",16*100,IF(O2055="YT",20*100,IF(O2055="YT-XT",24*200,IF(O2055="TED",80*100,IF(O2055="XT",29*200)))))))</f>
        <v>1600</v>
      </c>
      <c r="AA2055" s="185" t="s">
        <v>6605</v>
      </c>
      <c r="AB2055" s="185"/>
      <c r="AC2055" s="185"/>
      <c r="AD2055" s="649">
        <v>-0.02</v>
      </c>
      <c r="AE2055" s="182"/>
      <c r="AF2055" s="332"/>
      <c r="AG2055" s="182"/>
      <c r="AH2055" s="182"/>
      <c r="AI2055" s="182"/>
      <c r="AJ2055" s="640"/>
      <c r="AK2055" s="182"/>
      <c r="AL2055" s="496">
        <f t="shared" ref="AL2055:AL2121" si="695">-0.02*Z2055</f>
        <v>-32</v>
      </c>
      <c r="AM2055" s="496">
        <f t="shared" si="694"/>
        <v>-640</v>
      </c>
      <c r="AN2055" s="626"/>
      <c r="AO2055" s="182"/>
      <c r="AP2055" s="182"/>
      <c r="AQ2055" s="332" t="str">
        <f>UPPER(RIGHT(Journal_Live[[#This Row],[DURATION ]]))</f>
        <v/>
      </c>
      <c r="AR2055" s="182"/>
      <c r="AS2055" s="189">
        <f>((-0.02*100)+(-0.02*20))/120</f>
        <v>-0.02</v>
      </c>
      <c r="AT2055" s="189">
        <f>IF(ISBLANK(AS2055),,IF(U2055="S",AD2055-AS2055,AS2055-AD2055))</f>
        <v>0</v>
      </c>
      <c r="AU2055" s="187">
        <f>AV2055*R2055</f>
        <v>0</v>
      </c>
      <c r="AV2055" s="190">
        <f t="shared" ref="AV2055:AV2067" si="696">IF(ISBLANK(AS2055),,(AT2055*Z2055))</f>
        <v>0</v>
      </c>
      <c r="AW2055" s="191" t="s">
        <v>115</v>
      </c>
      <c r="AX2055" s="551"/>
      <c r="AY2055" s="551"/>
      <c r="AZ2055" s="551"/>
      <c r="BA2055" s="551"/>
      <c r="BB2055" s="551"/>
      <c r="BC2055" s="551"/>
      <c r="BD2055" s="549"/>
      <c r="BE2055" s="550"/>
      <c r="BF2055" s="549"/>
      <c r="BG2055" s="391">
        <f>SUM($AV$1389:AV2055)</f>
        <v>3734.5388863230837</v>
      </c>
      <c r="BH2055" s="392">
        <f>SUM($AU$1389:AU2055)</f>
        <v>48758.753506493646</v>
      </c>
      <c r="BI2055" s="318">
        <f>SUMIFS($AU$1388:AU2056,$Q$1388:Q2056,"F")</f>
        <v>30835.69350649351</v>
      </c>
      <c r="BJ2055" s="318">
        <f>SUMIFS($AU$1388:AU2056,$Q$1388:Q2056,"S")</f>
        <v>22048</v>
      </c>
      <c r="BK2055" s="343">
        <f>SUMIFS($AU$1388:AU2056,$P$1388:P2056,"W")</f>
        <v>34684.873506493845</v>
      </c>
      <c r="BL2055" s="343">
        <f>SUMIFS($AU$1388:AU2056,$P$1388:P2056,"R")</f>
        <v>11626.000000000158</v>
      </c>
      <c r="BM2055" s="343">
        <f>SUMIFS($AU$1388:AU2056,$AQ$1388:AQ2056,"M")</f>
        <v>9567.1799999991417</v>
      </c>
      <c r="BN2055" s="343">
        <f>SUMIFS($AU$1388:AU2056,$AQ$1388:AQ2056,"H")</f>
        <v>12363.200000000876</v>
      </c>
      <c r="BO2055" s="343">
        <f>SUMIFS($AU$1388:AU2056,$AQ$1388:AQ2056,"D")</f>
        <v>10083.107142857021</v>
      </c>
      <c r="BP2055" s="343">
        <f>SUMIFS($AS$1388:AS2704,$AO$1388:AO2704,"W")</f>
        <v>0</v>
      </c>
      <c r="BQ2055" s="343">
        <f>SUMIFS($AU$1388:AU2056,$Q$1388:Q2056,"O")</f>
        <v>-5848.9399999998504</v>
      </c>
      <c r="BR2055" s="343">
        <f>SUMIFS($AU$1388:AU2056,$AA$1388:AA2056,"*")</f>
        <v>35276.836363636285</v>
      </c>
      <c r="BS2055" s="343">
        <f>SUMIFS($AU$1388:AU2056,$AB$1388:AB2056,"*")</f>
        <v>10383.860000000041</v>
      </c>
      <c r="BT2055" s="343">
        <f>SUMIFS($AU$1388:AU2056,$AC$1388:AC2056,"*")</f>
        <v>34275.693506493677</v>
      </c>
      <c r="BU2055" s="343">
        <f>SUMIFS($AU$1388:AU2056,$AA$1388:AA2056,"*",$AB$1388:AB2056,"*")</f>
        <v>5423.9999999998217</v>
      </c>
      <c r="BV2055" s="343">
        <f>SUMIFS($AU$1388:AU2056,$AA$1388:AA2056,"*",$AC$1388:AC2056,"*")</f>
        <v>21913.636363636531</v>
      </c>
      <c r="BW2055" s="343">
        <f>SUMIFS($AU$1388:AU2056,$AB$1388:AB2056,"*",$AC$1388:AC2056,"*")</f>
        <v>7119.9999999999982</v>
      </c>
      <c r="BX2055" s="343">
        <f>SUMIFS($AV$1388:AV2056,$Q$1388:Q2056,"F")</f>
        <v>436.93967298904215</v>
      </c>
      <c r="BY2055" s="343">
        <f>SUMIFS($AV$1388:AV2056,$Q$1388:Q2056,"S")</f>
        <v>752.03991333429894</v>
      </c>
      <c r="BZ2055" s="343">
        <f>SUMIFS($AV$1388:AV2056,$Q$1388:Q2056,"O")</f>
        <v>297.55929999973682</v>
      </c>
    </row>
    <row r="2056" spans="1:78" ht="15.75" customHeight="1">
      <c r="A2056" s="177" t="s">
        <v>6310</v>
      </c>
      <c r="B2056" s="200"/>
      <c r="C2056" s="178"/>
      <c r="D2056" s="178"/>
      <c r="E2056" s="227"/>
      <c r="F2056" s="180"/>
      <c r="G2056" s="181" t="s">
        <v>2070</v>
      </c>
      <c r="H2056" s="182"/>
      <c r="I2056" s="182"/>
      <c r="J2056" s="182"/>
      <c r="K2056" s="183"/>
      <c r="L2056" s="182"/>
      <c r="M2056" s="182"/>
      <c r="N2056" s="182"/>
      <c r="O2056" s="183"/>
      <c r="P2056" s="183"/>
      <c r="Q2056" s="183"/>
      <c r="R2056" s="183"/>
      <c r="S2056" s="183"/>
      <c r="T2056" s="183"/>
      <c r="U2056" s="183"/>
      <c r="V2056" s="183"/>
      <c r="W2056" s="183"/>
      <c r="X2056" s="183"/>
      <c r="Y2056" s="184"/>
      <c r="Z2056" s="185"/>
      <c r="AA2056" s="185"/>
      <c r="AB2056" s="185"/>
      <c r="AC2056" s="185"/>
      <c r="AD2056" s="649"/>
      <c r="AE2056" s="182"/>
      <c r="AF2056" s="332"/>
      <c r="AG2056" s="182"/>
      <c r="AH2056" s="182"/>
      <c r="AI2056" s="182"/>
      <c r="AJ2056" s="640"/>
      <c r="AK2056" s="182"/>
      <c r="AL2056" s="496">
        <f t="shared" si="695"/>
        <v>0</v>
      </c>
      <c r="AM2056" s="496">
        <f t="shared" si="694"/>
        <v>0</v>
      </c>
      <c r="AN2056" s="626"/>
      <c r="AO2056" s="182"/>
      <c r="AP2056" s="182"/>
      <c r="AQ2056" s="332" t="str">
        <f>UPPER(RIGHT(Journal_Live[[#This Row],[DURATION ]]))</f>
        <v/>
      </c>
      <c r="AR2056" s="182"/>
      <c r="AS2056" s="189"/>
      <c r="AT2056" s="189"/>
      <c r="AU2056" s="187"/>
      <c r="AV2056" s="190"/>
      <c r="AW2056" s="191"/>
      <c r="AX2056" s="551"/>
      <c r="AY2056" s="551"/>
      <c r="AZ2056" s="551"/>
      <c r="BA2056" s="551"/>
      <c r="BB2056" s="551"/>
      <c r="BC2056" s="551"/>
      <c r="BD2056" s="549"/>
      <c r="BE2056" s="550"/>
      <c r="BF2056" s="549"/>
      <c r="BG2056" s="391">
        <f>SUM($AV$1389:AV2056)</f>
        <v>3734.5388863230837</v>
      </c>
      <c r="BH2056" s="392">
        <f>SUM($AU$1389:AU2056)</f>
        <v>48758.753506493646</v>
      </c>
      <c r="BI2056" s="318">
        <f>SUMIFS($AU$1388:AU2057,$Q$1388:Q2057,"F")</f>
        <v>30835.69350649351</v>
      </c>
      <c r="BJ2056" s="318">
        <f>SUMIFS($AU$1388:AU2057,$Q$1388:Q2057,"S")</f>
        <v>22048</v>
      </c>
      <c r="BK2056" s="343">
        <f>SUMIFS($AU$1388:AU2057,$P$1388:P2057,"W")</f>
        <v>34684.873506493845</v>
      </c>
      <c r="BL2056" s="343">
        <f>SUMIFS($AU$1388:AU2057,$P$1388:P2057,"R")</f>
        <v>11626.000000000158</v>
      </c>
      <c r="BM2056" s="343">
        <f>SUMIFS($AU$1388:AU2057,$AQ$1388:AQ2057,"M")</f>
        <v>9567.1799999991417</v>
      </c>
      <c r="BN2056" s="343">
        <f>SUMIFS($AU$1388:AU2057,$AQ$1388:AQ2057,"H")</f>
        <v>12363.200000000876</v>
      </c>
      <c r="BO2056" s="343">
        <f>SUMIFS($AU$1388:AU2057,$AQ$1388:AQ2057,"D")</f>
        <v>10083.107142857021</v>
      </c>
      <c r="BP2056" s="343">
        <f>SUMIFS($AS$1388:AS2705,$AO$1388:AO2705,"W")</f>
        <v>0</v>
      </c>
      <c r="BQ2056" s="343">
        <f>SUMIFS($AU$1388:AU2057,$Q$1388:Q2057,"O")</f>
        <v>-5848.9399999998504</v>
      </c>
      <c r="BR2056" s="343">
        <f>SUMIFS($AU$1388:AU2057,$AA$1388:AA2057,"*")</f>
        <v>35276.836363636285</v>
      </c>
      <c r="BS2056" s="343">
        <f>SUMIFS($AU$1388:AU2057,$AB$1388:AB2057,"*")</f>
        <v>10383.860000000041</v>
      </c>
      <c r="BT2056" s="343">
        <f>SUMIFS($AU$1388:AU2057,$AC$1388:AC2057,"*")</f>
        <v>34275.693506493677</v>
      </c>
      <c r="BU2056" s="343">
        <f>SUMIFS($AU$1388:AU2057,$AA$1388:AA2057,"*",$AB$1388:AB2057,"*")</f>
        <v>5423.9999999998217</v>
      </c>
      <c r="BV2056" s="343">
        <f>SUMIFS($AU$1388:AU2057,$AA$1388:AA2057,"*",$AC$1388:AC2057,"*")</f>
        <v>21913.636363636531</v>
      </c>
      <c r="BW2056" s="343">
        <f>SUMIFS($AU$1388:AU2057,$AB$1388:AB2057,"*",$AC$1388:AC2057,"*")</f>
        <v>7119.9999999999982</v>
      </c>
      <c r="BX2056" s="343">
        <f>SUMIFS($AV$1388:AV2057,$Q$1388:Q2057,"F")</f>
        <v>436.93967298904215</v>
      </c>
      <c r="BY2056" s="343">
        <f>SUMIFS($AV$1388:AV2057,$Q$1388:Q2057,"S")</f>
        <v>752.03991333429894</v>
      </c>
      <c r="BZ2056" s="343">
        <f>SUMIFS($AV$1388:AV2057,$Q$1388:Q2057,"O")</f>
        <v>297.55929999973682</v>
      </c>
    </row>
    <row r="2057" spans="1:78" ht="15.75" customHeight="1">
      <c r="A2057" s="177" t="s">
        <v>6310</v>
      </c>
      <c r="B2057" s="200"/>
      <c r="C2057" s="178"/>
      <c r="D2057" s="178"/>
      <c r="E2057" s="227"/>
      <c r="F2057" s="180"/>
      <c r="G2057" s="181" t="s">
        <v>2070</v>
      </c>
      <c r="H2057" s="182"/>
      <c r="I2057" s="182"/>
      <c r="J2057" s="182"/>
      <c r="K2057" s="183"/>
      <c r="L2057" s="182"/>
      <c r="M2057" s="182"/>
      <c r="N2057" s="182"/>
      <c r="O2057" s="183"/>
      <c r="P2057" s="183"/>
      <c r="Q2057" s="183"/>
      <c r="R2057" s="183"/>
      <c r="S2057" s="183"/>
      <c r="T2057" s="183"/>
      <c r="U2057" s="183"/>
      <c r="V2057" s="183"/>
      <c r="W2057" s="183"/>
      <c r="X2057" s="183"/>
      <c r="Y2057" s="184"/>
      <c r="Z2057" s="185"/>
      <c r="AA2057" s="185"/>
      <c r="AB2057" s="185"/>
      <c r="AC2057" s="185"/>
      <c r="AD2057" s="649"/>
      <c r="AE2057" s="182"/>
      <c r="AF2057" s="332"/>
      <c r="AG2057" s="182"/>
      <c r="AH2057" s="182"/>
      <c r="AI2057" s="182"/>
      <c r="AJ2057" s="640"/>
      <c r="AK2057" s="182"/>
      <c r="AL2057" s="496">
        <f t="shared" si="695"/>
        <v>0</v>
      </c>
      <c r="AM2057" s="496">
        <f t="shared" si="694"/>
        <v>0</v>
      </c>
      <c r="AN2057" s="626"/>
      <c r="AO2057" s="182"/>
      <c r="AP2057" s="182"/>
      <c r="AQ2057" s="332" t="str">
        <f>UPPER(RIGHT(Journal_Live[[#This Row],[DURATION ]]))</f>
        <v/>
      </c>
      <c r="AR2057" s="182"/>
      <c r="AS2057" s="189"/>
      <c r="AT2057" s="189"/>
      <c r="AU2057" s="187"/>
      <c r="AV2057" s="190"/>
      <c r="AW2057" s="191"/>
      <c r="AX2057" s="551"/>
      <c r="AY2057" s="551"/>
      <c r="AZ2057" s="551"/>
      <c r="BA2057" s="551"/>
      <c r="BB2057" s="551"/>
      <c r="BC2057" s="551"/>
      <c r="BD2057" s="549"/>
      <c r="BE2057" s="550"/>
      <c r="BF2057" s="549"/>
      <c r="BG2057" s="391">
        <f>SUM($AV$1389:AV2057)</f>
        <v>3734.5388863230837</v>
      </c>
      <c r="BH2057" s="392">
        <f>SUM($AU$1389:AU2057)</f>
        <v>48758.753506493646</v>
      </c>
      <c r="BI2057" s="318">
        <f>SUMIFS($AU$1388:AU2058,$Q$1388:Q2058,"F")</f>
        <v>30835.69350649351</v>
      </c>
      <c r="BJ2057" s="318">
        <f>SUMIFS($AU$1388:AU2058,$Q$1388:Q2058,"S")</f>
        <v>18162.285714285714</v>
      </c>
      <c r="BK2057" s="343">
        <f>SUMIFS($AU$1388:AU2058,$P$1388:P2058,"W")</f>
        <v>30799.159220779558</v>
      </c>
      <c r="BL2057" s="343">
        <f>SUMIFS($AU$1388:AU2058,$P$1388:P2058,"R")</f>
        <v>11626.000000000158</v>
      </c>
      <c r="BM2057" s="343">
        <f>SUMIFS($AU$1388:AU2058,$AQ$1388:AQ2058,"M")</f>
        <v>9567.1799999991417</v>
      </c>
      <c r="BN2057" s="343">
        <f>SUMIFS($AU$1388:AU2058,$AQ$1388:AQ2058,"H")</f>
        <v>12363.200000000876</v>
      </c>
      <c r="BO2057" s="343">
        <f>SUMIFS($AU$1388:AU2058,$AQ$1388:AQ2058,"D")</f>
        <v>6197.3928571427359</v>
      </c>
      <c r="BP2057" s="343">
        <f>SUMIFS($AS$1388:AS2706,$AO$1388:AO2706,"W")</f>
        <v>0</v>
      </c>
      <c r="BQ2057" s="343">
        <f>SUMIFS($AU$1388:AU2058,$Q$1388:Q2058,"O")</f>
        <v>-5848.9399999998504</v>
      </c>
      <c r="BR2057" s="343">
        <f>SUMIFS($AU$1388:AU2058,$AA$1388:AA2058,"*")</f>
        <v>31391.122077921998</v>
      </c>
      <c r="BS2057" s="343">
        <f>SUMIFS($AU$1388:AU2058,$AB$1388:AB2058,"*")</f>
        <v>10383.860000000041</v>
      </c>
      <c r="BT2057" s="343">
        <f>SUMIFS($AU$1388:AU2058,$AC$1388:AC2058,"*")</f>
        <v>34275.693506493677</v>
      </c>
      <c r="BU2057" s="343">
        <f>SUMIFS($AU$1388:AU2058,$AA$1388:AA2058,"*",$AB$1388:AB2058,"*")</f>
        <v>5423.9999999998217</v>
      </c>
      <c r="BV2057" s="343">
        <f>SUMIFS($AU$1388:AU2058,$AA$1388:AA2058,"*",$AC$1388:AC2058,"*")</f>
        <v>21913.636363636531</v>
      </c>
      <c r="BW2057" s="343">
        <f>SUMIFS($AU$1388:AU2058,$AB$1388:AB2058,"*",$AC$1388:AC2058,"*")</f>
        <v>7119.9999999999982</v>
      </c>
      <c r="BX2057" s="343">
        <f>SUMIFS($AV$1388:AV2058,$Q$1388:Q2058,"F")</f>
        <v>436.93967298904215</v>
      </c>
      <c r="BY2057" s="343">
        <f>SUMIFS($AV$1388:AV2058,$Q$1388:Q2058,"S")</f>
        <v>706.32562762001328</v>
      </c>
      <c r="BZ2057" s="343">
        <f>SUMIFS($AV$1388:AV2058,$Q$1388:Q2058,"O")</f>
        <v>297.55929999973682</v>
      </c>
    </row>
    <row r="2058" spans="1:78" ht="15.75" customHeight="1">
      <c r="A2058" s="177" t="s">
        <v>6310</v>
      </c>
      <c r="B2058" s="200">
        <v>45436</v>
      </c>
      <c r="C2058" s="178"/>
      <c r="D2058" s="178"/>
      <c r="E2058" s="227"/>
      <c r="F2058" s="180"/>
      <c r="G2058" s="578" t="s">
        <v>2070</v>
      </c>
      <c r="H2058" s="182"/>
      <c r="I2058" s="182"/>
      <c r="J2058" s="182"/>
      <c r="K2058" s="183"/>
      <c r="L2058" s="182"/>
      <c r="M2058" s="182">
        <v>2</v>
      </c>
      <c r="N2058" s="182"/>
      <c r="O2058" s="183" t="s">
        <v>95</v>
      </c>
      <c r="P2058" s="183" t="s">
        <v>96</v>
      </c>
      <c r="Q2058" s="183" t="s">
        <v>97</v>
      </c>
      <c r="R2058" s="183">
        <v>85</v>
      </c>
      <c r="S2058" s="183">
        <v>0</v>
      </c>
      <c r="T2058" s="183">
        <v>15</v>
      </c>
      <c r="U2058" s="183" t="s">
        <v>97</v>
      </c>
      <c r="V2058" s="183"/>
      <c r="W2058" s="183"/>
      <c r="X2058" s="183"/>
      <c r="Y2058" s="184">
        <f>IF(ISBLANK(O2058),"",(IF(O2058=UPPER("IB"),0.005,0.01)))</f>
        <v>0.01</v>
      </c>
      <c r="Z2058" s="185">
        <f>IF(ISBLANK(O2058),"",IF(O2058="IB",8.63*200,IF(O2058="IR",16*100,IF(O2058="YT",20*100,IF(O2058="YT-XT",24*200,IF(O2058="TED",80*100,IF(O2058="XT",29*200)))))))</f>
        <v>1600</v>
      </c>
      <c r="AA2058" s="185" t="s">
        <v>6606</v>
      </c>
      <c r="AB2058" s="185"/>
      <c r="AC2058" s="185"/>
      <c r="AD2058" s="649">
        <f>((-0.09*15)+(-0.1*90))/105</f>
        <v>-9.8571428571428574E-2</v>
      </c>
      <c r="AE2058" s="182"/>
      <c r="AF2058" s="332"/>
      <c r="AG2058" s="182"/>
      <c r="AH2058" s="182"/>
      <c r="AI2058" s="182"/>
      <c r="AJ2058" s="640"/>
      <c r="AK2058" s="182"/>
      <c r="AL2058" s="496">
        <f t="shared" si="695"/>
        <v>-32</v>
      </c>
      <c r="AM2058" s="496">
        <f t="shared" si="694"/>
        <v>-2720</v>
      </c>
      <c r="AN2058" s="626"/>
      <c r="AO2058" s="182"/>
      <c r="AP2058" s="182"/>
      <c r="AQ2058" s="332" t="s">
        <v>115</v>
      </c>
      <c r="AR2058" s="182"/>
      <c r="AS2058" s="189">
        <v>-7.0000000000000007E-2</v>
      </c>
      <c r="AT2058" s="189">
        <f>IF(ISBLANK(AS2058),,IF(U2058="S",AD2058-AS2058,AS2058-AD2058))</f>
        <v>-2.8571428571428567E-2</v>
      </c>
      <c r="AU2058" s="187">
        <f>AV2058*R2058</f>
        <v>-3885.7142857142853</v>
      </c>
      <c r="AV2058" s="190">
        <f t="shared" si="696"/>
        <v>-45.714285714285708</v>
      </c>
      <c r="AW2058" s="191" t="s">
        <v>229</v>
      </c>
      <c r="AX2058" s="551" t="s">
        <v>6607</v>
      </c>
      <c r="AY2058" s="551" t="s">
        <v>6608</v>
      </c>
      <c r="AZ2058" s="551"/>
      <c r="BA2058" s="551"/>
      <c r="BB2058" s="551"/>
      <c r="BC2058" s="551"/>
      <c r="BD2058" s="549"/>
      <c r="BE2058" s="550"/>
      <c r="BF2058" s="549"/>
      <c r="BG2058" s="391">
        <f>SUM($AV$1389:AV2058)</f>
        <v>3688.8246006087979</v>
      </c>
      <c r="BH2058" s="392">
        <f>SUM($AU$1389:AU2058)</f>
        <v>44873.039220779363</v>
      </c>
      <c r="BI2058" s="318">
        <f>SUMIFS($AU$1388:AU2059,$Q$1388:Q2059,"F")</f>
        <v>30835.69350649351</v>
      </c>
      <c r="BJ2058" s="318">
        <f>SUMIFS($AU$1388:AU2059,$Q$1388:Q2059,"S")</f>
        <v>16242.285714285714</v>
      </c>
      <c r="BK2058" s="343">
        <f>SUMIFS($AU$1388:AU2059,$P$1388:P2059,"W")</f>
        <v>28879.159220779558</v>
      </c>
      <c r="BL2058" s="343">
        <f>SUMIFS($AU$1388:AU2059,$P$1388:P2059,"R")</f>
        <v>11626.000000000158</v>
      </c>
      <c r="BM2058" s="343">
        <f>SUMIFS($AU$1388:AU2059,$AQ$1388:AQ2059,"M")</f>
        <v>9567.1799999991417</v>
      </c>
      <c r="BN2058" s="343">
        <f>SUMIFS($AU$1388:AU2059,$AQ$1388:AQ2059,"H")</f>
        <v>12363.200000000876</v>
      </c>
      <c r="BO2058" s="343">
        <f>SUMIFS($AU$1388:AU2059,$AQ$1388:AQ2059,"D")</f>
        <v>4277.3928571427368</v>
      </c>
      <c r="BP2058" s="343">
        <f>SUMIFS($AS$1388:AS2707,$AO$1388:AO2707,"W")</f>
        <v>0</v>
      </c>
      <c r="BQ2058" s="343">
        <f>SUMIFS($AU$1388:AU2059,$Q$1388:Q2059,"O")</f>
        <v>-5848.9399999998504</v>
      </c>
      <c r="BR2058" s="343">
        <f>SUMIFS($AU$1388:AU2059,$AA$1388:AA2059,"*")</f>
        <v>29471.122077921998</v>
      </c>
      <c r="BS2058" s="343">
        <f>SUMIFS($AU$1388:AU2059,$AB$1388:AB2059,"*")</f>
        <v>10383.860000000041</v>
      </c>
      <c r="BT2058" s="343">
        <f>SUMIFS($AU$1388:AU2059,$AC$1388:AC2059,"*")</f>
        <v>34275.693506493677</v>
      </c>
      <c r="BU2058" s="343">
        <f>SUMIFS($AU$1388:AU2059,$AA$1388:AA2059,"*",$AB$1388:AB2059,"*")</f>
        <v>5423.9999999998217</v>
      </c>
      <c r="BV2058" s="343">
        <f>SUMIFS($AU$1388:AU2059,$AA$1388:AA2059,"*",$AC$1388:AC2059,"*")</f>
        <v>21913.636363636531</v>
      </c>
      <c r="BW2058" s="343">
        <f>SUMIFS($AU$1388:AU2059,$AB$1388:AB2059,"*",$AC$1388:AC2059,"*")</f>
        <v>7119.9999999999982</v>
      </c>
      <c r="BX2058" s="343">
        <f>SUMIFS($AV$1388:AV2059,$Q$1388:Q2059,"F")</f>
        <v>436.93967298904215</v>
      </c>
      <c r="BY2058" s="343">
        <f>SUMIFS($AV$1388:AV2059,$Q$1388:Q2059,"S")</f>
        <v>690.32562762001328</v>
      </c>
      <c r="BZ2058" s="343">
        <f>SUMIFS($AV$1388:AV2059,$Q$1388:Q2059,"O")</f>
        <v>297.55929999973682</v>
      </c>
    </row>
    <row r="2059" spans="1:78" ht="15.75" customHeight="1">
      <c r="A2059" s="177" t="s">
        <v>6310</v>
      </c>
      <c r="B2059" s="200">
        <v>45436</v>
      </c>
      <c r="C2059" s="178"/>
      <c r="D2059" s="178"/>
      <c r="E2059" s="227"/>
      <c r="F2059" s="180"/>
      <c r="G2059" s="481" t="s">
        <v>2942</v>
      </c>
      <c r="H2059" s="182"/>
      <c r="I2059" s="182"/>
      <c r="J2059" s="182"/>
      <c r="K2059" s="183"/>
      <c r="L2059" s="182"/>
      <c r="M2059" s="182">
        <v>2</v>
      </c>
      <c r="N2059" s="182"/>
      <c r="O2059" s="183" t="s">
        <v>95</v>
      </c>
      <c r="P2059" s="183" t="s">
        <v>96</v>
      </c>
      <c r="Q2059" s="183" t="s">
        <v>97</v>
      </c>
      <c r="R2059" s="183">
        <v>120</v>
      </c>
      <c r="S2059" s="183">
        <v>0</v>
      </c>
      <c r="T2059" s="183">
        <v>25</v>
      </c>
      <c r="U2059" s="183" t="s">
        <v>97</v>
      </c>
      <c r="V2059" s="183"/>
      <c r="W2059" s="183"/>
      <c r="X2059" s="183"/>
      <c r="Y2059" s="184">
        <f>IF(ISBLANK(O2059),"",(IF(O2059=UPPER("IB"),0.005,0.01)))</f>
        <v>0.01</v>
      </c>
      <c r="Z2059" s="185">
        <f>IF(ISBLANK(O2059),"",IF(O2059="IB",8.63*200,IF(O2059="IR",16*100,IF(O2059="YT",20*100,IF(O2059="YT-XT",24*200,IF(O2059="TED",80*100,IF(O2059="XT",29*200)))))))</f>
        <v>1600</v>
      </c>
      <c r="AA2059" s="185" t="s">
        <v>6606</v>
      </c>
      <c r="AB2059" s="185"/>
      <c r="AC2059" s="185"/>
      <c r="AD2059" s="649">
        <v>-0.11</v>
      </c>
      <c r="AE2059" s="182"/>
      <c r="AF2059" s="332"/>
      <c r="AG2059" s="182"/>
      <c r="AH2059" s="182"/>
      <c r="AI2059" s="182"/>
      <c r="AJ2059" s="640"/>
      <c r="AK2059" s="182"/>
      <c r="AL2059" s="496">
        <f t="shared" si="695"/>
        <v>-32</v>
      </c>
      <c r="AM2059" s="496">
        <f t="shared" si="694"/>
        <v>-3840</v>
      </c>
      <c r="AN2059" s="626"/>
      <c r="AO2059" s="182"/>
      <c r="AP2059" s="182"/>
      <c r="AQ2059" s="332" t="s">
        <v>115</v>
      </c>
      <c r="AR2059" s="182"/>
      <c r="AS2059" s="189">
        <v>-0.1</v>
      </c>
      <c r="AT2059" s="189">
        <f>IF(ISBLANK(AS2059),,IF(U2059="S",AD2059-AS2059,AS2059-AD2059))</f>
        <v>-9.999999999999995E-3</v>
      </c>
      <c r="AU2059" s="187">
        <f>AV2059*R2059</f>
        <v>-1919.9999999999991</v>
      </c>
      <c r="AV2059" s="190">
        <f t="shared" si="696"/>
        <v>-15.999999999999993</v>
      </c>
      <c r="AW2059" s="191" t="s">
        <v>229</v>
      </c>
      <c r="AX2059" s="551" t="s">
        <v>6609</v>
      </c>
      <c r="AY2059" s="551" t="s">
        <v>6610</v>
      </c>
      <c r="AZ2059" s="551" t="s">
        <v>6611</v>
      </c>
      <c r="BA2059" s="551">
        <v>800</v>
      </c>
      <c r="BB2059" s="551"/>
      <c r="BC2059" s="551"/>
      <c r="BD2059" s="549"/>
      <c r="BE2059" s="550"/>
      <c r="BF2059" s="549"/>
      <c r="BG2059" s="391">
        <f>SUM($AV$1389:AV2059)</f>
        <v>3672.8246006087979</v>
      </c>
      <c r="BH2059" s="392">
        <f>SUM($AU$1389:AU2059)</f>
        <v>42953.039220779363</v>
      </c>
      <c r="BI2059" s="318">
        <f>SUMIFS($AU$1388:AU2120,$Q$1388:Q2120,"F")</f>
        <v>32973.293506493508</v>
      </c>
      <c r="BJ2059" s="318">
        <f>SUMIFS($AU$1388:AU2120,$Q$1388:Q2120,"S")</f>
        <v>20002.285714285714</v>
      </c>
      <c r="BK2059" s="343">
        <f>SUMIFS($AU$1388:AU2120,$P$1388:P2120,"W")</f>
        <v>31576.759220779561</v>
      </c>
      <c r="BL2059" s="343">
        <f>SUMIFS($AU$1388:AU2120,$P$1388:P2120,"R")</f>
        <v>15726.00000000016</v>
      </c>
      <c r="BM2059" s="343">
        <f>SUMIFS($AU$1388:AU2120,$AQ$1388:AQ2120,"M")</f>
        <v>10931.179999998967</v>
      </c>
      <c r="BN2059" s="343">
        <f>SUMIFS($AU$1388:AU2120,$AQ$1388:AQ2120,"H")</f>
        <v>14523.200000000877</v>
      </c>
      <c r="BO2059" s="343">
        <f>SUMIFS($AU$1388:AU2120,$AQ$1388:AQ2120,"D")</f>
        <v>8014.9928571427408</v>
      </c>
      <c r="BP2059" s="343">
        <f>SUMIFS($AS$1388:AS2708,$AO$1388:AO2708,"W")</f>
        <v>0</v>
      </c>
      <c r="BQ2059" s="343">
        <f>SUMIFS($AU$1388:AU2120,$Q$1388:Q2120,"O")</f>
        <v>-5384.9400000000251</v>
      </c>
      <c r="BR2059" s="343">
        <f>SUMIFS($AU$1388:AU2120,$AA$1388:AA2120,"*")</f>
        <v>37075.122077921827</v>
      </c>
      <c r="BS2059" s="343">
        <f>SUMIFS($AU$1388:AU2120,$AB$1388:AB2120,"*")</f>
        <v>12971.859999999973</v>
      </c>
      <c r="BT2059" s="343">
        <f>SUMIFS($AU$1388:AU2120,$AC$1388:AC2120,"*")</f>
        <v>40173.293506493676</v>
      </c>
      <c r="BU2059" s="343">
        <f>SUMIFS($AU$1388:AU2120,$AA$1388:AA2120,"*",$AB$1388:AB2120,"*")</f>
        <v>8011.9999999997544</v>
      </c>
      <c r="BV2059" s="343">
        <f>SUMIFS($AU$1388:AU2120,$AA$1388:AA2120,"*",$AC$1388:AC2120,"*")</f>
        <v>28153.636363636531</v>
      </c>
      <c r="BW2059" s="343">
        <f>SUMIFS($AU$1388:AU2120,$AB$1388:AB2120,"*",$AC$1388:AC2120,"*")</f>
        <v>9360</v>
      </c>
      <c r="BX2059" s="343">
        <f>SUMIFS($AV$1388:AV2120,$Q$1388:Q2120,"F")</f>
        <v>462.72914667325267</v>
      </c>
      <c r="BY2059" s="343">
        <f>SUMIFS($AV$1388:AV2120,$Q$1388:Q2120,"S")</f>
        <v>738.32562762001328</v>
      </c>
      <c r="BZ2059" s="343">
        <f>SUMIFS($AV$1388:AV2120,$Q$1388:Q2120,"O")</f>
        <v>471.55929999966099</v>
      </c>
    </row>
    <row r="2060" spans="1:78" ht="15.75" customHeight="1">
      <c r="A2060" s="177" t="s">
        <v>6310</v>
      </c>
      <c r="B2060" s="200">
        <v>45436</v>
      </c>
      <c r="C2060" s="178"/>
      <c r="D2060" s="178" t="s">
        <v>111</v>
      </c>
      <c r="E2060" s="227"/>
      <c r="F2060" s="180"/>
      <c r="G2060" s="481" t="s">
        <v>6612</v>
      </c>
      <c r="H2060" s="182"/>
      <c r="I2060" s="182"/>
      <c r="J2060" s="182"/>
      <c r="K2060" s="183"/>
      <c r="L2060" s="182"/>
      <c r="M2060" s="182">
        <v>2</v>
      </c>
      <c r="N2060" s="182"/>
      <c r="O2060" s="183" t="s">
        <v>95</v>
      </c>
      <c r="P2060" s="183" t="s">
        <v>96</v>
      </c>
      <c r="Q2060" s="183" t="s">
        <v>256</v>
      </c>
      <c r="R2060" s="183">
        <v>190</v>
      </c>
      <c r="S2060" s="183">
        <v>0</v>
      </c>
      <c r="T2060" s="183">
        <v>25</v>
      </c>
      <c r="U2060" s="183" t="s">
        <v>97</v>
      </c>
      <c r="V2060" s="183"/>
      <c r="W2060" s="183"/>
      <c r="X2060" s="183"/>
      <c r="Y2060" s="184">
        <f>IF(ISBLANK(O2060),"",(IF(O2060=UPPER("IB"),0.005,0.01)))</f>
        <v>0.01</v>
      </c>
      <c r="Z2060" s="185">
        <f>IF(ISBLANK(O2060),"",IF(O2060="IB",8.63*200,IF(O2060="IR",16*100,IF(O2060="YT",20*100,IF(O2060="YT-XT",24*200,IF(O2060="TED",80*100,IF(O2060="XT",29*200)))))))</f>
        <v>1600</v>
      </c>
      <c r="AA2060" s="185"/>
      <c r="AB2060" s="185"/>
      <c r="AC2060" s="185" t="s">
        <v>6613</v>
      </c>
      <c r="AD2060" s="649">
        <f>(0.02*45+0.01*45+0.01*100)/190</f>
        <v>1.2368421052631579E-2</v>
      </c>
      <c r="AE2060" s="182"/>
      <c r="AF2060" s="332"/>
      <c r="AG2060" s="182"/>
      <c r="AH2060" s="182"/>
      <c r="AI2060" s="182"/>
      <c r="AJ2060" s="640"/>
      <c r="AK2060" s="182"/>
      <c r="AL2060" s="496">
        <f>-0.02*Z2060</f>
        <v>-32</v>
      </c>
      <c r="AM2060" s="496">
        <f t="shared" si="694"/>
        <v>-6080</v>
      </c>
      <c r="AN2060" s="626"/>
      <c r="AO2060" s="182"/>
      <c r="AP2060" s="182"/>
      <c r="AQ2060" s="332" t="s">
        <v>115</v>
      </c>
      <c r="AR2060" s="182"/>
      <c r="AS2060" s="189">
        <f>(0.03*105+0.03*85)/190</f>
        <v>2.9999999999999995E-2</v>
      </c>
      <c r="AT2060" s="189">
        <f>IF(ISBLANK(AS2060),,IF(U2060="S",AD2060-AS2060,AS2060-AD2060))</f>
        <v>-1.7631578947368415E-2</v>
      </c>
      <c r="AU2060" s="187">
        <f>AV2060*R2060</f>
        <v>-5359.9999999999982</v>
      </c>
      <c r="AV2060" s="190">
        <f t="shared" si="696"/>
        <v>-28.210526315789465</v>
      </c>
      <c r="AW2060" s="191" t="s">
        <v>229</v>
      </c>
      <c r="AX2060" s="551" t="s">
        <v>6614</v>
      </c>
      <c r="AY2060" s="551" t="s">
        <v>6615</v>
      </c>
      <c r="AZ2060" s="551" t="s">
        <v>6616</v>
      </c>
      <c r="BA2060" s="551"/>
      <c r="BB2060" s="551"/>
      <c r="BC2060" s="551"/>
      <c r="BD2060" s="549"/>
      <c r="BE2060" s="550"/>
      <c r="BF2060" s="549"/>
      <c r="BG2060" s="391">
        <f>SUM($AV$1389:AV2060)</f>
        <v>3644.6140742930083</v>
      </c>
      <c r="BH2060" s="392">
        <f>SUM($AU$1389:AU2060)</f>
        <v>37593.039220779363</v>
      </c>
      <c r="BI2060" s="318">
        <f>SUMIFS($AU$1388:AU2061,$Q$1388:Q2061,"F")</f>
        <v>25475.69350649351</v>
      </c>
      <c r="BJ2060" s="318">
        <f>SUMIFS($AU$1388:AU2061,$Q$1388:Q2061,"S")</f>
        <v>16242.285714285714</v>
      </c>
      <c r="BK2060" s="343">
        <f>SUMIFS($AU$1388:AU2061,$P$1388:P2061,"W")</f>
        <v>23519.159220779562</v>
      </c>
      <c r="BL2060" s="343">
        <f>SUMIFS($AU$1388:AU2061,$P$1388:P2061,"R")</f>
        <v>11626.000000000158</v>
      </c>
      <c r="BM2060" s="343">
        <f>SUMIFS($AU$1388:AU2061,$AQ$1388:AQ2061,"M")</f>
        <v>9567.1799999991417</v>
      </c>
      <c r="BN2060" s="343">
        <f>SUMIFS($AU$1388:AU2061,$AQ$1388:AQ2061,"H")</f>
        <v>12363.200000000876</v>
      </c>
      <c r="BO2060" s="343">
        <f>SUMIFS($AU$1388:AU2061,$AQ$1388:AQ2061,"D")</f>
        <v>-1082.6071428572614</v>
      </c>
      <c r="BP2060" s="343">
        <f>SUMIFS($AS$1388:AS2703,$AO$1388:AO2703,"W")</f>
        <v>0</v>
      </c>
      <c r="BQ2060" s="343">
        <f>SUMIFS($AU$1388:AU2061,$Q$1388:Q2061,"O")</f>
        <v>-5848.9399999998504</v>
      </c>
      <c r="BR2060" s="343">
        <f>SUMIFS($AU$1388:AU2061,$AA$1388:AA2061,"*")</f>
        <v>29471.122077921998</v>
      </c>
      <c r="BS2060" s="343">
        <f>SUMIFS($AU$1388:AU2061,$AB$1388:AB2061,"*")</f>
        <v>10383.860000000041</v>
      </c>
      <c r="BT2060" s="343">
        <f>SUMIFS($AU$1388:AU2061,$AC$1388:AC2061,"*")</f>
        <v>28915.693506493677</v>
      </c>
      <c r="BU2060" s="343">
        <f>SUMIFS($AU$1388:AU2061,$AA$1388:AA2061,"*",$AB$1388:AB2061,"*")</f>
        <v>5423.9999999998217</v>
      </c>
      <c r="BV2060" s="343">
        <f>SUMIFS($AU$1388:AU2061,$AA$1388:AA2061,"*",$AC$1388:AC2061,"*")</f>
        <v>21913.636363636531</v>
      </c>
      <c r="BW2060" s="343">
        <f>SUMIFS($AU$1388:AU2061,$AB$1388:AB2061,"*",$AC$1388:AC2061,"*")</f>
        <v>7119.9999999999982</v>
      </c>
      <c r="BX2060" s="343">
        <f>SUMIFS($AV$1388:AV2061,$Q$1388:Q2061,"F")</f>
        <v>408.72914667325267</v>
      </c>
      <c r="BY2060" s="343">
        <f>SUMIFS($AV$1388:AV2061,$Q$1388:Q2061,"S")</f>
        <v>690.32562762001328</v>
      </c>
      <c r="BZ2060" s="343">
        <f>SUMIFS($AV$1388:AV2061,$Q$1388:Q2061,"O")</f>
        <v>297.55929999973682</v>
      </c>
    </row>
    <row r="2061" spans="1:78" ht="15.75" customHeight="1">
      <c r="A2061" s="177" t="s">
        <v>6310</v>
      </c>
      <c r="B2061" s="200"/>
      <c r="C2061" s="178"/>
      <c r="D2061" s="178"/>
      <c r="E2061" s="227"/>
      <c r="F2061" s="180"/>
      <c r="G2061" s="181"/>
      <c r="H2061" s="182"/>
      <c r="I2061" s="182"/>
      <c r="J2061" s="182"/>
      <c r="K2061" s="183"/>
      <c r="L2061" s="182"/>
      <c r="M2061" s="182"/>
      <c r="N2061" s="182"/>
      <c r="O2061" s="183"/>
      <c r="P2061" s="183"/>
      <c r="Q2061" s="183"/>
      <c r="R2061" s="183"/>
      <c r="S2061" s="183"/>
      <c r="T2061" s="183"/>
      <c r="U2061" s="183"/>
      <c r="V2061" s="183"/>
      <c r="W2061" s="183"/>
      <c r="X2061" s="183"/>
      <c r="Y2061" s="184"/>
      <c r="Z2061" s="185"/>
      <c r="AA2061" s="185"/>
      <c r="AB2061" s="185"/>
      <c r="AC2061" s="185"/>
      <c r="AD2061" s="649"/>
      <c r="AE2061" s="182"/>
      <c r="AF2061" s="332"/>
      <c r="AG2061" s="182"/>
      <c r="AH2061" s="182"/>
      <c r="AI2061" s="182"/>
      <c r="AJ2061" s="640"/>
      <c r="AK2061" s="182"/>
      <c r="AL2061" s="496">
        <f t="shared" si="695"/>
        <v>0</v>
      </c>
      <c r="AM2061" s="496">
        <f t="shared" si="694"/>
        <v>0</v>
      </c>
      <c r="AN2061" s="626"/>
      <c r="AO2061" s="182"/>
      <c r="AP2061" s="182"/>
      <c r="AQ2061" s="332" t="str">
        <f>UPPER(RIGHT(Journal_Live[[#This Row],[DURATION ]]))</f>
        <v/>
      </c>
      <c r="AR2061" s="182"/>
      <c r="AS2061" s="189"/>
      <c r="AT2061" s="189"/>
      <c r="AU2061" s="187"/>
      <c r="AV2061" s="190"/>
      <c r="AW2061" s="191"/>
      <c r="AX2061" s="551" t="s">
        <v>6617</v>
      </c>
      <c r="AY2061" s="551" t="s">
        <v>6618</v>
      </c>
      <c r="AZ2061" s="551" t="s">
        <v>6619</v>
      </c>
      <c r="BA2061" s="551" t="s">
        <v>6620</v>
      </c>
      <c r="BB2061" s="551" t="s">
        <v>6621</v>
      </c>
      <c r="BC2061" s="551" t="s">
        <v>6622</v>
      </c>
      <c r="BD2061" s="549"/>
      <c r="BE2061" s="550"/>
      <c r="BF2061" s="549"/>
      <c r="BG2061" s="391">
        <f>SUM($AV$1389:AV2061)</f>
        <v>3644.6140742930083</v>
      </c>
      <c r="BH2061" s="392">
        <f>SUM($AU$1389:AU2061)</f>
        <v>37593.039220779363</v>
      </c>
      <c r="BI2061" s="318">
        <f>SUMIFS($AU$1388:AU2062,$Q$1388:Q2062,"F")</f>
        <v>25475.69350649351</v>
      </c>
      <c r="BJ2061" s="318">
        <f>SUMIFS($AU$1388:AU2062,$Q$1388:Q2062,"S")</f>
        <v>16242.285714285714</v>
      </c>
      <c r="BK2061" s="343">
        <f>SUMIFS($AU$1388:AU2062,$P$1388:P2062,"W")</f>
        <v>23519.159220779562</v>
      </c>
      <c r="BL2061" s="343">
        <f>SUMIFS($AU$1388:AU2062,$P$1388:P2062,"R")</f>
        <v>11626.000000000158</v>
      </c>
      <c r="BM2061" s="343">
        <f>SUMIFS($AU$1388:AU2062,$AQ$1388:AQ2062,"M")</f>
        <v>9567.1799999991417</v>
      </c>
      <c r="BN2061" s="343">
        <f>SUMIFS($AU$1388:AU2062,$AQ$1388:AQ2062,"H")</f>
        <v>12363.200000000876</v>
      </c>
      <c r="BO2061" s="343">
        <f>SUMIFS($AU$1388:AU2062,$AQ$1388:AQ2062,"D")</f>
        <v>-1082.6071428572614</v>
      </c>
      <c r="BP2061" s="343">
        <f>SUMIFS($AS$1388:AS2704,$AO$1388:AO2704,"W")</f>
        <v>0</v>
      </c>
      <c r="BQ2061" s="343">
        <f>SUMIFS($AU$1388:AU2062,$Q$1388:Q2062,"O")</f>
        <v>-5848.9399999998504</v>
      </c>
      <c r="BR2061" s="343">
        <f>SUMIFS($AU$1388:AU2062,$AA$1388:AA2062,"*")</f>
        <v>29471.122077921998</v>
      </c>
      <c r="BS2061" s="343">
        <f>SUMIFS($AU$1388:AU2062,$AB$1388:AB2062,"*")</f>
        <v>10383.860000000041</v>
      </c>
      <c r="BT2061" s="343">
        <f>SUMIFS($AU$1388:AU2062,$AC$1388:AC2062,"*")</f>
        <v>28915.693506493677</v>
      </c>
      <c r="BU2061" s="343">
        <f>SUMIFS($AU$1388:AU2062,$AA$1388:AA2062,"*",$AB$1388:AB2062,"*")</f>
        <v>5423.9999999998217</v>
      </c>
      <c r="BV2061" s="343">
        <f>SUMIFS($AU$1388:AU2062,$AA$1388:AA2062,"*",$AC$1388:AC2062,"*")</f>
        <v>21913.636363636531</v>
      </c>
      <c r="BW2061" s="343">
        <f>SUMIFS($AU$1388:AU2062,$AB$1388:AB2062,"*",$AC$1388:AC2062,"*")</f>
        <v>7119.9999999999982</v>
      </c>
      <c r="BX2061" s="343">
        <f>SUMIFS($AV$1388:AV2062,$Q$1388:Q2062,"F")</f>
        <v>408.72914667325267</v>
      </c>
      <c r="BY2061" s="343">
        <f>SUMIFS($AV$1388:AV2062,$Q$1388:Q2062,"S")</f>
        <v>690.32562762001328</v>
      </c>
      <c r="BZ2061" s="343">
        <f>SUMIFS($AV$1388:AV2062,$Q$1388:Q2062,"O")</f>
        <v>297.55929999973682</v>
      </c>
    </row>
    <row r="2062" spans="1:78" ht="15.75" customHeight="1">
      <c r="A2062" s="177" t="s">
        <v>6310</v>
      </c>
      <c r="B2062" s="200"/>
      <c r="C2062" s="178"/>
      <c r="D2062" s="178"/>
      <c r="E2062" s="227"/>
      <c r="F2062" s="180"/>
      <c r="G2062" s="181"/>
      <c r="H2062" s="182"/>
      <c r="I2062" s="182"/>
      <c r="J2062" s="182"/>
      <c r="K2062" s="183"/>
      <c r="L2062" s="182"/>
      <c r="M2062" s="182"/>
      <c r="N2062" s="182"/>
      <c r="O2062" s="183"/>
      <c r="P2062" s="183"/>
      <c r="Q2062" s="183"/>
      <c r="R2062" s="183"/>
      <c r="S2062" s="183"/>
      <c r="T2062" s="183"/>
      <c r="U2062" s="183"/>
      <c r="V2062" s="183"/>
      <c r="W2062" s="183"/>
      <c r="X2062" s="183"/>
      <c r="Y2062" s="184"/>
      <c r="Z2062" s="185"/>
      <c r="AA2062" s="185"/>
      <c r="AB2062" s="185"/>
      <c r="AC2062" s="185"/>
      <c r="AD2062" s="649"/>
      <c r="AE2062" s="182"/>
      <c r="AF2062" s="332"/>
      <c r="AG2062" s="182"/>
      <c r="AH2062" s="182"/>
      <c r="AI2062" s="182"/>
      <c r="AJ2062" s="640"/>
      <c r="AK2062" s="182"/>
      <c r="AL2062" s="496">
        <f t="shared" si="695"/>
        <v>0</v>
      </c>
      <c r="AM2062" s="496">
        <f t="shared" si="694"/>
        <v>0</v>
      </c>
      <c r="AN2062" s="626"/>
      <c r="AO2062" s="182"/>
      <c r="AP2062" s="182"/>
      <c r="AQ2062" s="332" t="str">
        <f>UPPER(RIGHT(Journal_Live[[#This Row],[DURATION ]]))</f>
        <v/>
      </c>
      <c r="AR2062" s="182"/>
      <c r="AS2062" s="189"/>
      <c r="AT2062" s="189"/>
      <c r="AU2062" s="187"/>
      <c r="AV2062" s="190"/>
      <c r="AW2062" s="191"/>
      <c r="AX2062" s="577" t="s">
        <v>6623</v>
      </c>
      <c r="AY2062" s="551" t="s">
        <v>6624</v>
      </c>
      <c r="AZ2062" s="551" t="s">
        <v>6625</v>
      </c>
      <c r="BA2062" s="551" t="s">
        <v>6626</v>
      </c>
      <c r="BB2062" s="551" t="s">
        <v>6627</v>
      </c>
      <c r="BC2062" s="551" t="s">
        <v>6628</v>
      </c>
      <c r="BD2062" s="549" t="s">
        <v>6629</v>
      </c>
      <c r="BE2062" s="550" t="s">
        <v>6630</v>
      </c>
      <c r="BF2062" s="549" t="s">
        <v>6631</v>
      </c>
      <c r="BG2062" s="391">
        <f>SUM($AV$1389:AV2062)</f>
        <v>3644.6140742930083</v>
      </c>
      <c r="BH2062" s="392">
        <f>SUM($AU$1389:AU2062)</f>
        <v>37593.039220779363</v>
      </c>
      <c r="BI2062" s="318">
        <f>SUMIFS($AU$1388:AU2063,$Q$1388:Q2063,"F")</f>
        <v>25475.69350649351</v>
      </c>
      <c r="BJ2062" s="318">
        <f>SUMIFS($AU$1388:AU2063,$Q$1388:Q2063,"S")</f>
        <v>17842.285714285714</v>
      </c>
      <c r="BK2062" s="343">
        <f>SUMIFS($AU$1388:AU2063,$P$1388:P2063,"W")</f>
        <v>23519.159220779562</v>
      </c>
      <c r="BL2062" s="343">
        <f>SUMIFS($AU$1388:AU2063,$P$1388:P2063,"R")</f>
        <v>13226.00000000016</v>
      </c>
      <c r="BM2062" s="343">
        <f>SUMIFS($AU$1388:AU2063,$AQ$1388:AQ2063,"M")</f>
        <v>9567.1799999991417</v>
      </c>
      <c r="BN2062" s="343">
        <f>SUMIFS($AU$1388:AU2063,$AQ$1388:AQ2063,"H")</f>
        <v>12363.200000000876</v>
      </c>
      <c r="BO2062" s="343">
        <f>SUMIFS($AU$1388:AU2063,$AQ$1388:AQ2063,"D")</f>
        <v>517.39285714274001</v>
      </c>
      <c r="BP2062" s="343">
        <f>SUMIFS($AS$1388:AS2705,$AO$1388:AO2705,"W")</f>
        <v>0</v>
      </c>
      <c r="BQ2062" s="343">
        <f>SUMIFS($AU$1388:AU2063,$Q$1388:Q2063,"O")</f>
        <v>-5848.9399999998504</v>
      </c>
      <c r="BR2062" s="343">
        <f>SUMIFS($AU$1388:AU2063,$AA$1388:AA2063,"*")</f>
        <v>29471.122077921998</v>
      </c>
      <c r="BS2062" s="343">
        <f>SUMIFS($AU$1388:AU2063,$AB$1388:AB2063,"*")</f>
        <v>10383.860000000041</v>
      </c>
      <c r="BT2062" s="343">
        <f>SUMIFS($AU$1388:AU2063,$AC$1388:AC2063,"*")</f>
        <v>30515.693506493677</v>
      </c>
      <c r="BU2062" s="343">
        <f>SUMIFS($AU$1388:AU2063,$AA$1388:AA2063,"*",$AB$1388:AB2063,"*")</f>
        <v>5423.9999999998217</v>
      </c>
      <c r="BV2062" s="343">
        <f>SUMIFS($AU$1388:AU2063,$AA$1388:AA2063,"*",$AC$1388:AC2063,"*")</f>
        <v>21913.636363636531</v>
      </c>
      <c r="BW2062" s="343">
        <f>SUMIFS($AU$1388:AU2063,$AB$1388:AB2063,"*",$AC$1388:AC2063,"*")</f>
        <v>7119.9999999999982</v>
      </c>
      <c r="BX2062" s="343">
        <f>SUMIFS($AV$1388:AV2063,$Q$1388:Q2063,"F")</f>
        <v>408.72914667325267</v>
      </c>
      <c r="BY2062" s="343">
        <f>SUMIFS($AV$1388:AV2063,$Q$1388:Q2063,"S")</f>
        <v>706.32562762001328</v>
      </c>
      <c r="BZ2062" s="343">
        <f>SUMIFS($AV$1388:AV2063,$Q$1388:Q2063,"O")</f>
        <v>297.55929999973682</v>
      </c>
    </row>
    <row r="2063" spans="1:78" ht="15.75" customHeight="1">
      <c r="A2063" s="177" t="s">
        <v>6310</v>
      </c>
      <c r="B2063" s="200">
        <v>45436</v>
      </c>
      <c r="C2063" s="178" t="s">
        <v>6632</v>
      </c>
      <c r="D2063" s="178" t="s">
        <v>111</v>
      </c>
      <c r="E2063" s="227"/>
      <c r="F2063" s="180"/>
      <c r="G2063" s="481" t="s">
        <v>6633</v>
      </c>
      <c r="H2063" s="182"/>
      <c r="I2063" s="182"/>
      <c r="J2063" s="182"/>
      <c r="K2063" s="183"/>
      <c r="L2063" s="182"/>
      <c r="M2063" s="182">
        <v>2</v>
      </c>
      <c r="N2063" s="182"/>
      <c r="O2063" s="183" t="s">
        <v>95</v>
      </c>
      <c r="P2063" s="183" t="s">
        <v>137</v>
      </c>
      <c r="Q2063" s="183" t="s">
        <v>97</v>
      </c>
      <c r="R2063" s="183">
        <v>100</v>
      </c>
      <c r="S2063" s="183">
        <v>85</v>
      </c>
      <c r="T2063" s="183">
        <v>100</v>
      </c>
      <c r="U2063" s="183" t="s">
        <v>97</v>
      </c>
      <c r="V2063" s="183"/>
      <c r="W2063" s="183"/>
      <c r="X2063" s="183"/>
      <c r="Y2063" s="184">
        <f>IF(ISBLANK(O2063),"",(IF(O2063=UPPER("IB"),0.005,0.01)))</f>
        <v>0.01</v>
      </c>
      <c r="Z2063" s="185">
        <f>IF(ISBLANK(O2063),"",IF(O2063="IB",8.63*200,IF(O2063="IR",16*100,IF(O2063="YT",20*100,IF(O2063="YT-XT",24*200,IF(O2063="TED",80*100,IF(O2063="XT",29*200)))))))</f>
        <v>1600</v>
      </c>
      <c r="AA2063" s="185"/>
      <c r="AB2063" s="185"/>
      <c r="AC2063" s="185" t="s">
        <v>6634</v>
      </c>
      <c r="AD2063" s="649">
        <v>-0.09</v>
      </c>
      <c r="AE2063" s="182"/>
      <c r="AF2063" s="332"/>
      <c r="AG2063" s="182"/>
      <c r="AH2063" s="182">
        <v>-10</v>
      </c>
      <c r="AI2063" s="182"/>
      <c r="AJ2063" s="640"/>
      <c r="AK2063" s="182"/>
      <c r="AL2063" s="496">
        <f>-0.01*Z2063</f>
        <v>-16</v>
      </c>
      <c r="AM2063" s="496">
        <f t="shared" si="694"/>
        <v>-240</v>
      </c>
      <c r="AN2063" s="626"/>
      <c r="AO2063" s="182"/>
      <c r="AP2063" s="182" t="s">
        <v>827</v>
      </c>
      <c r="AQ2063" s="332" t="s">
        <v>115</v>
      </c>
      <c r="AR2063" s="182" t="s">
        <v>6635</v>
      </c>
      <c r="AS2063" s="189">
        <f>((-0.1*95)+(-0.1*5))/100</f>
        <v>-0.1</v>
      </c>
      <c r="AT2063" s="189">
        <f>IF(ISBLANK(AS2063),,IF(U2063="S",AD2063-AS2063,AS2063-AD2063))</f>
        <v>1.0000000000000009E-2</v>
      </c>
      <c r="AU2063" s="187">
        <f>AV2063*R2063</f>
        <v>1600.0000000000014</v>
      </c>
      <c r="AV2063" s="190">
        <f t="shared" si="696"/>
        <v>16.000000000000014</v>
      </c>
      <c r="AW2063" s="191" t="s">
        <v>96</v>
      </c>
      <c r="AX2063" s="551"/>
      <c r="AY2063" s="551"/>
      <c r="AZ2063" s="551"/>
      <c r="BA2063" s="551"/>
      <c r="BB2063" s="551"/>
      <c r="BC2063" s="551"/>
      <c r="BD2063" s="549"/>
      <c r="BE2063" s="550"/>
      <c r="BF2063" s="549"/>
      <c r="BG2063" s="391">
        <f>SUM($AV$1389:AV2063)</f>
        <v>3660.6140742930083</v>
      </c>
      <c r="BH2063" s="392">
        <f>SUM($AU$1389:AU2063)</f>
        <v>39193.039220779363</v>
      </c>
      <c r="BI2063" s="318">
        <f>SUMIFS($AU$1388:AU2095,$Q$1388:Q2095,"F")</f>
        <v>29133.293506493508</v>
      </c>
      <c r="BJ2063" s="318">
        <f>SUMIFS($AU$1388:AU2095,$Q$1388:Q2095,"S")</f>
        <v>17842.285714285714</v>
      </c>
      <c r="BK2063" s="343">
        <f>SUMIFS($AU$1388:AU2095,$P$1388:P2095,"W")</f>
        <v>25576.759220779561</v>
      </c>
      <c r="BL2063" s="343">
        <f>SUMIFS($AU$1388:AU2095,$P$1388:P2095,"R")</f>
        <v>14826.00000000016</v>
      </c>
      <c r="BM2063" s="343">
        <f>SUMIFS($AU$1388:AU2095,$AQ$1388:AQ2095,"M")</f>
        <v>9567.1799999991417</v>
      </c>
      <c r="BN2063" s="343">
        <f>SUMIFS($AU$1388:AU2095,$AQ$1388:AQ2095,"H")</f>
        <v>12363.200000000876</v>
      </c>
      <c r="BO2063" s="343">
        <f>SUMIFS($AU$1388:AU2095,$AQ$1388:AQ2095,"D")</f>
        <v>4174.9928571427417</v>
      </c>
      <c r="BP2063" s="343">
        <f>SUMIFS($AS$1388:AS2706,$AO$1388:AO2706,"W")</f>
        <v>0</v>
      </c>
      <c r="BQ2063" s="343">
        <f>SUMIFS($AU$1388:AU2095,$Q$1388:Q2095,"O")</f>
        <v>-5848.9399999998504</v>
      </c>
      <c r="BR2063" s="343">
        <f>SUMIFS($AU$1388:AU2095,$AA$1388:AA2095,"*")</f>
        <v>33311.122077922002</v>
      </c>
      <c r="BS2063" s="343">
        <f>SUMIFS($AU$1388:AU2095,$AB$1388:AB2095,"*")</f>
        <v>12623.860000000042</v>
      </c>
      <c r="BT2063" s="343">
        <f>SUMIFS($AU$1388:AU2095,$AC$1388:AC2095,"*")</f>
        <v>34173.293506493676</v>
      </c>
      <c r="BU2063" s="343">
        <f>SUMIFS($AU$1388:AU2095,$AA$1388:AA2095,"*",$AB$1388:AB2095,"*")</f>
        <v>7663.9999999998236</v>
      </c>
      <c r="BV2063" s="343">
        <f>SUMIFS($AU$1388:AU2095,$AA$1388:AA2095,"*",$AC$1388:AC2095,"*")</f>
        <v>25753.636363636531</v>
      </c>
      <c r="BW2063" s="343">
        <f>SUMIFS($AU$1388:AU2095,$AB$1388:AB2095,"*",$AC$1388:AC2095,"*")</f>
        <v>9360</v>
      </c>
      <c r="BX2063" s="343">
        <f>SUMIFS($AV$1388:AV2095,$Q$1388:Q2095,"F")</f>
        <v>416.72914667325267</v>
      </c>
      <c r="BY2063" s="343">
        <f>SUMIFS($AV$1388:AV2095,$Q$1388:Q2095,"S")</f>
        <v>706.32562762001328</v>
      </c>
      <c r="BZ2063" s="343">
        <f>SUMIFS($AV$1388:AV2095,$Q$1388:Q2095,"O")</f>
        <v>297.55929999973682</v>
      </c>
    </row>
    <row r="2064" spans="1:78" ht="15.75" customHeight="1">
      <c r="A2064" s="177" t="s">
        <v>6310</v>
      </c>
      <c r="B2064" s="200">
        <v>45436</v>
      </c>
      <c r="C2064" s="178"/>
      <c r="D2064" s="178" t="s">
        <v>111</v>
      </c>
      <c r="E2064" s="227"/>
      <c r="F2064" s="180"/>
      <c r="G2064" s="497" t="s">
        <v>2807</v>
      </c>
      <c r="H2064" s="182"/>
      <c r="I2064" s="182"/>
      <c r="J2064" s="182"/>
      <c r="K2064" s="183"/>
      <c r="L2064" s="182"/>
      <c r="M2064" s="182">
        <v>2</v>
      </c>
      <c r="N2064" s="182"/>
      <c r="O2064" s="183" t="s">
        <v>95</v>
      </c>
      <c r="P2064" s="183" t="s">
        <v>96</v>
      </c>
      <c r="Q2064" s="183" t="s">
        <v>256</v>
      </c>
      <c r="R2064" s="183">
        <v>20</v>
      </c>
      <c r="S2064" s="183">
        <v>20</v>
      </c>
      <c r="T2064" s="183">
        <v>20</v>
      </c>
      <c r="U2064" s="183" t="s">
        <v>97</v>
      </c>
      <c r="V2064" s="183"/>
      <c r="W2064" s="183"/>
      <c r="X2064" s="183"/>
      <c r="Y2064" s="184">
        <f>IF(ISBLANK(O2064),"",(IF(O2064=UPPER("IB"),0.005,0.01)))</f>
        <v>0.01</v>
      </c>
      <c r="Z2064" s="185">
        <f>IF(ISBLANK(O2064),"",IF(O2064="IB",8.63*200,IF(O2064="IR",16*100,IF(O2064="YT",20*100,IF(O2064="YT-XT",24*200,IF(O2064="TED",80*100,IF(O2064="XT",29*200)))))))</f>
        <v>1600</v>
      </c>
      <c r="AA2064" s="185"/>
      <c r="AB2064" s="185"/>
      <c r="AC2064" s="185" t="s">
        <v>6636</v>
      </c>
      <c r="AD2064" s="649">
        <v>5.33E-2</v>
      </c>
      <c r="AE2064" s="182"/>
      <c r="AF2064" s="332"/>
      <c r="AG2064" s="182"/>
      <c r="AH2064" s="182"/>
      <c r="AI2064" s="182"/>
      <c r="AJ2064" s="640"/>
      <c r="AK2064" s="182"/>
      <c r="AL2064" s="496">
        <f t="shared" si="695"/>
        <v>-32</v>
      </c>
      <c r="AM2064" s="496">
        <f t="shared" si="694"/>
        <v>0</v>
      </c>
      <c r="AN2064" s="626"/>
      <c r="AO2064" s="182"/>
      <c r="AP2064" s="182"/>
      <c r="AQ2064" s="332" t="s">
        <v>115</v>
      </c>
      <c r="AR2064" s="182"/>
      <c r="AS2064" s="189">
        <v>0.08</v>
      </c>
      <c r="AT2064" s="189">
        <f>IF(ISBLANK(AS2064),,IF(U2064="S",AD2064-AS2064,AS2064-AD2064))</f>
        <v>-2.6700000000000002E-2</v>
      </c>
      <c r="AU2064" s="187">
        <f>AV2064*R2064</f>
        <v>-854.4</v>
      </c>
      <c r="AV2064" s="190">
        <f t="shared" si="696"/>
        <v>-42.72</v>
      </c>
      <c r="AW2064" s="191" t="s">
        <v>229</v>
      </c>
      <c r="AX2064" s="551"/>
      <c r="AY2064" s="551"/>
      <c r="AZ2064" s="551"/>
      <c r="BA2064" s="551"/>
      <c r="BB2064" s="551"/>
      <c r="BC2064" s="551"/>
      <c r="BD2064" s="549"/>
      <c r="BE2064" s="550"/>
      <c r="BF2064" s="549"/>
      <c r="BG2064" s="391">
        <f>SUM($AV$1389:AV2064)</f>
        <v>3617.8940742930085</v>
      </c>
      <c r="BH2064" s="392">
        <f>SUM($AU$1389:AU2064)</f>
        <v>38338.639220779361</v>
      </c>
      <c r="BI2064" s="318">
        <f>SUMIFS($AU$1388:AU2065,$Q$1388:Q2065,"F")</f>
        <v>24621.293506493508</v>
      </c>
      <c r="BJ2064" s="318">
        <f>SUMIFS($AU$1388:AU2065,$Q$1388:Q2065,"S")</f>
        <v>17842.285714285714</v>
      </c>
      <c r="BK2064" s="343">
        <f>SUMIFS($AU$1388:AU2065,$P$1388:P2065,"W")</f>
        <v>22664.759220779561</v>
      </c>
      <c r="BL2064" s="343">
        <f>SUMIFS($AU$1388:AU2065,$P$1388:P2065,"R")</f>
        <v>13226.00000000016</v>
      </c>
      <c r="BM2064" s="343">
        <f>SUMIFS($AU$1388:AU2065,$AQ$1388:AQ2065,"M")</f>
        <v>9567.1799999991417</v>
      </c>
      <c r="BN2064" s="343">
        <f>SUMIFS($AU$1388:AU2065,$AQ$1388:AQ2065,"H")</f>
        <v>12363.200000000876</v>
      </c>
      <c r="BO2064" s="343">
        <f>SUMIFS($AU$1388:AU2065,$AQ$1388:AQ2065,"D")</f>
        <v>-337.00714285725996</v>
      </c>
      <c r="BP2064" s="343">
        <f>SUMIFS($AS$1388:AS2703,$AO$1388:AO2703,"W")</f>
        <v>0</v>
      </c>
      <c r="BQ2064" s="343">
        <f>SUMIFS($AU$1388:AU2065,$Q$1388:Q2065,"O")</f>
        <v>-5848.9399999998504</v>
      </c>
      <c r="BR2064" s="343">
        <f>SUMIFS($AU$1388:AU2065,$AA$1388:AA2065,"*")</f>
        <v>29471.122077921998</v>
      </c>
      <c r="BS2064" s="343">
        <f>SUMIFS($AU$1388:AU2065,$AB$1388:AB2065,"*")</f>
        <v>10383.860000000041</v>
      </c>
      <c r="BT2064" s="343">
        <f>SUMIFS($AU$1388:AU2065,$AC$1388:AC2065,"*")</f>
        <v>29661.293506493676</v>
      </c>
      <c r="BU2064" s="343">
        <f>SUMIFS($AU$1388:AU2065,$AA$1388:AA2065,"*",$AB$1388:AB2065,"*")</f>
        <v>5423.9999999998217</v>
      </c>
      <c r="BV2064" s="343">
        <f>SUMIFS($AU$1388:AU2065,$AA$1388:AA2065,"*",$AC$1388:AC2065,"*")</f>
        <v>21913.636363636531</v>
      </c>
      <c r="BW2064" s="343">
        <f>SUMIFS($AU$1388:AU2065,$AB$1388:AB2065,"*",$AC$1388:AC2065,"*")</f>
        <v>7119.9999999999982</v>
      </c>
      <c r="BX2064" s="343">
        <f>SUMIFS($AV$1388:AV2065,$Q$1388:Q2065,"F")</f>
        <v>366.00914667325264</v>
      </c>
      <c r="BY2064" s="343">
        <f>SUMIFS($AV$1388:AV2065,$Q$1388:Q2065,"S")</f>
        <v>706.32562762001328</v>
      </c>
      <c r="BZ2064" s="343">
        <f>SUMIFS($AV$1388:AV2065,$Q$1388:Q2065,"O")</f>
        <v>297.55929999973682</v>
      </c>
    </row>
    <row r="2065" spans="1:78" ht="15.75" customHeight="1">
      <c r="A2065" s="177" t="s">
        <v>6310</v>
      </c>
      <c r="B2065" s="200">
        <v>45436</v>
      </c>
      <c r="C2065" s="178"/>
      <c r="D2065" s="178" t="s">
        <v>111</v>
      </c>
      <c r="E2065" s="227"/>
      <c r="F2065" s="180"/>
      <c r="G2065" s="181" t="s">
        <v>6637</v>
      </c>
      <c r="H2065" s="182"/>
      <c r="I2065" s="182"/>
      <c r="J2065" s="182"/>
      <c r="K2065" s="183"/>
      <c r="L2065" s="182"/>
      <c r="M2065" s="182"/>
      <c r="N2065" s="182"/>
      <c r="O2065" s="183"/>
      <c r="P2065" s="183"/>
      <c r="Q2065" s="183"/>
      <c r="R2065" s="183"/>
      <c r="S2065" s="183"/>
      <c r="T2065" s="183"/>
      <c r="U2065" s="183"/>
      <c r="V2065" s="183"/>
      <c r="W2065" s="183"/>
      <c r="X2065" s="183"/>
      <c r="Y2065" s="184"/>
      <c r="Z2065" s="185"/>
      <c r="AA2065" s="185"/>
      <c r="AB2065" s="185"/>
      <c r="AC2065" s="185"/>
      <c r="AD2065" s="649"/>
      <c r="AE2065" s="182"/>
      <c r="AF2065" s="332"/>
      <c r="AG2065" s="182"/>
      <c r="AH2065" s="182"/>
      <c r="AI2065" s="182"/>
      <c r="AJ2065" s="640" t="s">
        <v>6638</v>
      </c>
      <c r="AK2065" s="182"/>
      <c r="AL2065" s="496">
        <f t="shared" si="695"/>
        <v>0</v>
      </c>
      <c r="AM2065" s="496">
        <f t="shared" si="694"/>
        <v>0</v>
      </c>
      <c r="AN2065" s="626"/>
      <c r="AO2065" s="182"/>
      <c r="AP2065" s="182"/>
      <c r="AQ2065" s="332" t="str">
        <f>UPPER(RIGHT(Journal_Live[[#This Row],[DURATION ]]))</f>
        <v/>
      </c>
      <c r="AR2065" s="182"/>
      <c r="AS2065" s="189"/>
      <c r="AT2065" s="189"/>
      <c r="AU2065" s="187"/>
      <c r="AV2065" s="190"/>
      <c r="AW2065" s="191"/>
      <c r="AX2065" s="551" t="s">
        <v>6639</v>
      </c>
      <c r="AY2065" s="551"/>
      <c r="AZ2065" s="551"/>
      <c r="BA2065" s="551"/>
      <c r="BB2065" s="551"/>
      <c r="BC2065" s="551"/>
      <c r="BD2065" s="549"/>
      <c r="BE2065" s="550"/>
      <c r="BF2065" s="549"/>
      <c r="BG2065" s="391">
        <f>SUM($AV$1389:AV2065)</f>
        <v>3617.8940742930085</v>
      </c>
      <c r="BH2065" s="392">
        <f>SUM($AU$1389:AU2065)</f>
        <v>38338.639220779361</v>
      </c>
      <c r="BI2065" s="318">
        <f>SUMIFS($AU$1388:AU2066,$Q$1388:Q2066,"F")</f>
        <v>24621.293506493508</v>
      </c>
      <c r="BJ2065" s="318">
        <f>SUMIFS($AU$1388:AU2066,$Q$1388:Q2066,"S")</f>
        <v>17842.285714285714</v>
      </c>
      <c r="BK2065" s="343">
        <f>SUMIFS($AU$1388:AU2066,$P$1388:P2066,"W")</f>
        <v>22664.759220779561</v>
      </c>
      <c r="BL2065" s="343">
        <f>SUMIFS($AU$1388:AU2066,$P$1388:P2066,"R")</f>
        <v>13226.00000000016</v>
      </c>
      <c r="BM2065" s="343">
        <f>SUMIFS($AU$1388:AU2066,$AQ$1388:AQ2066,"M")</f>
        <v>9567.1799999991417</v>
      </c>
      <c r="BN2065" s="343">
        <f>SUMIFS($AU$1388:AU2066,$AQ$1388:AQ2066,"H")</f>
        <v>12363.200000000876</v>
      </c>
      <c r="BO2065" s="343">
        <f>SUMIFS($AU$1388:AU2066,$AQ$1388:AQ2066,"D")</f>
        <v>-337.00714285725996</v>
      </c>
      <c r="BP2065" s="343">
        <f>SUMIFS($AS$1388:AS2704,$AO$1388:AO2704,"W")</f>
        <v>0</v>
      </c>
      <c r="BQ2065" s="343">
        <f>SUMIFS($AU$1388:AU2066,$Q$1388:Q2066,"O")</f>
        <v>-5848.9399999998504</v>
      </c>
      <c r="BR2065" s="343">
        <f>SUMIFS($AU$1388:AU2066,$AA$1388:AA2066,"*")</f>
        <v>29471.122077921998</v>
      </c>
      <c r="BS2065" s="343">
        <f>SUMIFS($AU$1388:AU2066,$AB$1388:AB2066,"*")</f>
        <v>10383.860000000041</v>
      </c>
      <c r="BT2065" s="343">
        <f>SUMIFS($AU$1388:AU2066,$AC$1388:AC2066,"*")</f>
        <v>29661.293506493676</v>
      </c>
      <c r="BU2065" s="343">
        <f>SUMIFS($AU$1388:AU2066,$AA$1388:AA2066,"*",$AB$1388:AB2066,"*")</f>
        <v>5423.9999999998217</v>
      </c>
      <c r="BV2065" s="343">
        <f>SUMIFS($AU$1388:AU2066,$AA$1388:AA2066,"*",$AC$1388:AC2066,"*")</f>
        <v>21913.636363636531</v>
      </c>
      <c r="BW2065" s="343">
        <f>SUMIFS($AU$1388:AU2066,$AB$1388:AB2066,"*",$AC$1388:AC2066,"*")</f>
        <v>7119.9999999999982</v>
      </c>
      <c r="BX2065" s="343">
        <f>SUMIFS($AV$1388:AV2066,$Q$1388:Q2066,"F")</f>
        <v>366.00914667325264</v>
      </c>
      <c r="BY2065" s="343">
        <f>SUMIFS($AV$1388:AV2066,$Q$1388:Q2066,"S")</f>
        <v>706.32562762001328</v>
      </c>
      <c r="BZ2065" s="343">
        <f>SUMIFS($AV$1388:AV2066,$Q$1388:Q2066,"O")</f>
        <v>297.55929999973682</v>
      </c>
    </row>
    <row r="2066" spans="1:78" ht="15.75" customHeight="1">
      <c r="A2066" s="177" t="s">
        <v>6310</v>
      </c>
      <c r="B2066" s="200">
        <v>45436</v>
      </c>
      <c r="C2066" s="178"/>
      <c r="D2066" s="178" t="s">
        <v>111</v>
      </c>
      <c r="E2066" s="227"/>
      <c r="F2066" s="180"/>
      <c r="G2066" s="481" t="s">
        <v>2942</v>
      </c>
      <c r="H2066" s="182"/>
      <c r="I2066" s="182"/>
      <c r="J2066" s="182"/>
      <c r="K2066" s="183"/>
      <c r="L2066" s="182"/>
      <c r="M2066" s="182">
        <v>2</v>
      </c>
      <c r="N2066" s="182"/>
      <c r="O2066" s="183" t="s">
        <v>95</v>
      </c>
      <c r="P2066" s="183" t="s">
        <v>96</v>
      </c>
      <c r="Q2066" s="183" t="s">
        <v>97</v>
      </c>
      <c r="R2066" s="183">
        <v>85</v>
      </c>
      <c r="S2066" s="183">
        <v>20</v>
      </c>
      <c r="T2066" s="183">
        <v>85</v>
      </c>
      <c r="U2066" s="183" t="s">
        <v>22</v>
      </c>
      <c r="V2066" s="183"/>
      <c r="W2066" s="183"/>
      <c r="X2066" s="183"/>
      <c r="Y2066" s="184">
        <f>IF(ISBLANK(O2066),"",(IF(O2066=UPPER("IB"),0.005,0.01)))</f>
        <v>0.01</v>
      </c>
      <c r="Z2066" s="185">
        <f>IF(ISBLANK(O2066),"",IF(O2066="IB",8.63*200,IF(O2066="IR",16*100,IF(O2066="YT",20*100,IF(O2066="YT-XT",24*200,IF(O2066="TED",80*100,IF(O2066="XT",29*200)))))))</f>
        <v>1600</v>
      </c>
      <c r="AA2066" s="185" t="s">
        <v>1824</v>
      </c>
      <c r="AB2066" s="185" t="s">
        <v>6640</v>
      </c>
      <c r="AC2066" s="185"/>
      <c r="AD2066" s="649">
        <v>-0.1</v>
      </c>
      <c r="AE2066" s="182"/>
      <c r="AF2066" s="332">
        <v>-11</v>
      </c>
      <c r="AG2066" s="182" t="s">
        <v>6641</v>
      </c>
      <c r="AH2066" s="182">
        <v>-9</v>
      </c>
      <c r="AI2066" s="182"/>
      <c r="AJ2066" s="640"/>
      <c r="AK2066" s="182"/>
      <c r="AL2066" s="496">
        <f>-0.01*Z2066</f>
        <v>-16</v>
      </c>
      <c r="AM2066" s="496">
        <f t="shared" si="694"/>
        <v>-1040</v>
      </c>
      <c r="AN2066" s="626"/>
      <c r="AO2066" s="182"/>
      <c r="AP2066" s="182"/>
      <c r="AQ2066" s="332" t="s">
        <v>115</v>
      </c>
      <c r="AR2066" s="182" t="s">
        <v>6642</v>
      </c>
      <c r="AS2066" s="189">
        <v>-0.1</v>
      </c>
      <c r="AT2066" s="189">
        <f>IF(ISBLANK(AS2066),,IF(U2066="S",AD2066-AS2066,AS2066-AD2066))</f>
        <v>0</v>
      </c>
      <c r="AU2066" s="187">
        <f>AV2066*R2066</f>
        <v>0</v>
      </c>
      <c r="AV2066" s="190">
        <f t="shared" si="696"/>
        <v>0</v>
      </c>
      <c r="AW2066" s="191" t="s">
        <v>115</v>
      </c>
      <c r="AX2066" s="551" t="s">
        <v>6501</v>
      </c>
      <c r="AY2066" s="551" t="s">
        <v>6643</v>
      </c>
      <c r="AZ2066" s="551" t="s">
        <v>6201</v>
      </c>
      <c r="BA2066" s="551" t="s">
        <v>6644</v>
      </c>
      <c r="BB2066" s="551"/>
      <c r="BC2066" s="551"/>
      <c r="BD2066" s="549"/>
      <c r="BE2066" s="550"/>
      <c r="BF2066" s="549"/>
      <c r="BG2066" s="391">
        <f>SUM($AV$1389:AV2066)</f>
        <v>3617.8940742930085</v>
      </c>
      <c r="BH2066" s="392">
        <f>SUM($AU$1389:AU2066)</f>
        <v>38338.639220779361</v>
      </c>
      <c r="BI2066" s="318">
        <f>SUMIFS($AU$1388:AU2067,$Q$1388:Q2067,"F")</f>
        <v>25293.293506493508</v>
      </c>
      <c r="BJ2066" s="318">
        <f>SUMIFS($AU$1388:AU2067,$Q$1388:Q2067,"S")</f>
        <v>17842.285714285714</v>
      </c>
      <c r="BK2066" s="343">
        <f>SUMIFS($AU$1388:AU2067,$P$1388:P2067,"W")</f>
        <v>23336.759220779561</v>
      </c>
      <c r="BL2066" s="343">
        <f>SUMIFS($AU$1388:AU2067,$P$1388:P2067,"R")</f>
        <v>13226.00000000016</v>
      </c>
      <c r="BM2066" s="343">
        <f>SUMIFS($AU$1388:AU2067,$AQ$1388:AQ2067,"M")</f>
        <v>9567.1799999991417</v>
      </c>
      <c r="BN2066" s="343">
        <f>SUMIFS($AU$1388:AU2067,$AQ$1388:AQ2067,"H")</f>
        <v>12363.200000000876</v>
      </c>
      <c r="BO2066" s="343">
        <f>SUMIFS($AU$1388:AU2067,$AQ$1388:AQ2067,"D")</f>
        <v>334.99285714273992</v>
      </c>
      <c r="BP2066" s="343">
        <f>SUMIFS($AS$1388:AS2705,$AO$1388:AO2705,"W")</f>
        <v>0</v>
      </c>
      <c r="BQ2066" s="343">
        <f>SUMIFS($AU$1388:AU2067,$Q$1388:Q2067,"O")</f>
        <v>-5848.9399999998504</v>
      </c>
      <c r="BR2066" s="343">
        <f>SUMIFS($AU$1388:AU2067,$AA$1388:AA2067,"*")</f>
        <v>29471.122077921998</v>
      </c>
      <c r="BS2066" s="343">
        <f>SUMIFS($AU$1388:AU2067,$AB$1388:AB2067,"*")</f>
        <v>10383.860000000041</v>
      </c>
      <c r="BT2066" s="343">
        <f>SUMIFS($AU$1388:AU2067,$AC$1388:AC2067,"*")</f>
        <v>30333.293506493676</v>
      </c>
      <c r="BU2066" s="343">
        <f>SUMIFS($AU$1388:AU2067,$AA$1388:AA2067,"*",$AB$1388:AB2067,"*")</f>
        <v>5423.9999999998217</v>
      </c>
      <c r="BV2066" s="343">
        <f>SUMIFS($AU$1388:AU2067,$AA$1388:AA2067,"*",$AC$1388:AC2067,"*")</f>
        <v>21913.636363636531</v>
      </c>
      <c r="BW2066" s="343">
        <f>SUMIFS($AU$1388:AU2067,$AB$1388:AB2067,"*",$AC$1388:AC2067,"*")</f>
        <v>7119.9999999999982</v>
      </c>
      <c r="BX2066" s="343">
        <f>SUMIFS($AV$1388:AV2067,$Q$1388:Q2067,"F")</f>
        <v>382.80914667325266</v>
      </c>
      <c r="BY2066" s="343">
        <f>SUMIFS($AV$1388:AV2067,$Q$1388:Q2067,"S")</f>
        <v>706.32562762001328</v>
      </c>
      <c r="BZ2066" s="343">
        <f>SUMIFS($AV$1388:AV2067,$Q$1388:Q2067,"O")</f>
        <v>297.55929999973682</v>
      </c>
    </row>
    <row r="2067" spans="1:78" ht="15.75" customHeight="1">
      <c r="A2067" s="177" t="s">
        <v>6310</v>
      </c>
      <c r="B2067" s="200">
        <v>45436</v>
      </c>
      <c r="C2067" s="178"/>
      <c r="D2067" s="178" t="s">
        <v>111</v>
      </c>
      <c r="E2067" s="227"/>
      <c r="F2067" s="180"/>
      <c r="G2067" s="553" t="s">
        <v>3467</v>
      </c>
      <c r="H2067" s="182"/>
      <c r="I2067" s="182"/>
      <c r="J2067" s="182"/>
      <c r="K2067" s="183"/>
      <c r="L2067" s="182">
        <v>1</v>
      </c>
      <c r="M2067" s="182">
        <v>1</v>
      </c>
      <c r="N2067" s="182"/>
      <c r="O2067" s="183" t="s">
        <v>95</v>
      </c>
      <c r="P2067" s="183" t="s">
        <v>96</v>
      </c>
      <c r="Q2067" s="183" t="s">
        <v>256</v>
      </c>
      <c r="R2067" s="183">
        <v>40</v>
      </c>
      <c r="S2067" s="183">
        <v>10</v>
      </c>
      <c r="T2067" s="183">
        <v>40</v>
      </c>
      <c r="U2067" s="183" t="s">
        <v>22</v>
      </c>
      <c r="V2067" s="183"/>
      <c r="W2067" s="183"/>
      <c r="X2067" s="183"/>
      <c r="Y2067" s="184">
        <f>IF(ISBLANK(O2067),"",(IF(O2067=UPPER("IB"),0.005,0.01)))</f>
        <v>0.01</v>
      </c>
      <c r="Z2067" s="185">
        <f>IF(ISBLANK(O2067),"",IF(O2067="IB",8.63*200,IF(O2067="IR",16*100,IF(O2067="YT",20*100,IF(O2067="YT-XT",24*200,IF(O2067="TED",80*100))))))</f>
        <v>1600</v>
      </c>
      <c r="AA2067" s="185"/>
      <c r="AB2067" s="185"/>
      <c r="AC2067" s="185" t="s">
        <v>6583</v>
      </c>
      <c r="AD2067" s="649">
        <v>-1.2999999999999999E-2</v>
      </c>
      <c r="AE2067" s="182"/>
      <c r="AF2067" s="332"/>
      <c r="AG2067" s="182"/>
      <c r="AH2067" s="407" t="s">
        <v>6645</v>
      </c>
      <c r="AI2067" s="182"/>
      <c r="AJ2067" s="640" t="s">
        <v>6646</v>
      </c>
      <c r="AK2067" s="182"/>
      <c r="AL2067" s="496">
        <f>-0.03*Z2067</f>
        <v>-48</v>
      </c>
      <c r="AM2067" s="496">
        <f t="shared" si="694"/>
        <v>-1440</v>
      </c>
      <c r="AN2067" s="626" t="s">
        <v>6647</v>
      </c>
      <c r="AO2067" s="182"/>
      <c r="AP2067" s="182"/>
      <c r="AQ2067" s="332" t="s">
        <v>115</v>
      </c>
      <c r="AR2067" s="182" t="s">
        <v>6648</v>
      </c>
      <c r="AS2067" s="189">
        <f>((-0.01*10)+(0*30))/40</f>
        <v>-2.5000000000000001E-3</v>
      </c>
      <c r="AT2067" s="189">
        <f>IF(ISBLANK(AS2067),,IF(U2067="S",AD2067-AS2067,AS2067-AD2067))</f>
        <v>1.0499999999999999E-2</v>
      </c>
      <c r="AU2067" s="187">
        <f>AV2067*R2067</f>
        <v>671.99999999999989</v>
      </c>
      <c r="AV2067" s="190">
        <f t="shared" si="696"/>
        <v>16.799999999999997</v>
      </c>
      <c r="AW2067" s="191" t="s">
        <v>96</v>
      </c>
      <c r="AX2067" s="551" t="s">
        <v>6649</v>
      </c>
      <c r="AY2067" s="551" t="s">
        <v>6650</v>
      </c>
      <c r="AZ2067" s="551" t="s">
        <v>6651</v>
      </c>
      <c r="BA2067" s="551" t="s">
        <v>6652</v>
      </c>
      <c r="BB2067" s="551" t="s">
        <v>1298</v>
      </c>
      <c r="BC2067" s="551" t="s">
        <v>6653</v>
      </c>
      <c r="BD2067" s="549"/>
      <c r="BE2067" s="550"/>
      <c r="BF2067" s="549"/>
      <c r="BG2067" s="391">
        <f>SUM($AV$1389:AV2067)</f>
        <v>3634.6940742930087</v>
      </c>
      <c r="BH2067" s="392">
        <f>SUM($AU$1389:AU2067)</f>
        <v>39010.639220779361</v>
      </c>
      <c r="BI2067" s="318">
        <f>SUMIFS($AU$1388:AU2095,$Q$1388:Q2095,"F")</f>
        <v>29133.293506493508</v>
      </c>
      <c r="BJ2067" s="318">
        <f>SUMIFS($AU$1388:AU2095,$Q$1388:Q2095,"S")</f>
        <v>17842.285714285714</v>
      </c>
      <c r="BK2067" s="343">
        <f>SUMIFS($AU$1388:AU2095,$P$1388:P2095,"W")</f>
        <v>25576.759220779561</v>
      </c>
      <c r="BL2067" s="343">
        <f>SUMIFS($AU$1388:AU2095,$P$1388:P2095,"R")</f>
        <v>14826.00000000016</v>
      </c>
      <c r="BM2067" s="343">
        <f>SUMIFS($AU$1388:AU2095,$AQ$1388:AQ2095,"M")</f>
        <v>9567.1799999991417</v>
      </c>
      <c r="BN2067" s="343">
        <f>SUMIFS($AU$1388:AU2095,$AQ$1388:AQ2095,"H")</f>
        <v>12363.200000000876</v>
      </c>
      <c r="BO2067" s="343">
        <f>SUMIFS($AU$1388:AU2095,$AQ$1388:AQ2095,"D")</f>
        <v>4174.9928571427417</v>
      </c>
      <c r="BP2067" s="343">
        <f>SUMIFS($AS$1388:AS2706,$AO$1388:AO2706,"W")</f>
        <v>0</v>
      </c>
      <c r="BQ2067" s="343">
        <f>SUMIFS($AU$1388:AU2095,$Q$1388:Q2095,"O")</f>
        <v>-5848.9399999998504</v>
      </c>
      <c r="BR2067" s="343">
        <f>SUMIFS($AU$1388:AU2095,$AA$1388:AA2095,"*")</f>
        <v>33311.122077922002</v>
      </c>
      <c r="BS2067" s="343">
        <f>SUMIFS($AU$1388:AU2095,$AB$1388:AB2095,"*")</f>
        <v>12623.860000000042</v>
      </c>
      <c r="BT2067" s="343">
        <f>SUMIFS($AU$1388:AU2095,$AC$1388:AC2095,"*")</f>
        <v>34173.293506493676</v>
      </c>
      <c r="BU2067" s="343">
        <f>SUMIFS($AU$1388:AU2095,$AA$1388:AA2095,"*",$AB$1388:AB2095,"*")</f>
        <v>7663.9999999998236</v>
      </c>
      <c r="BV2067" s="343">
        <f>SUMIFS($AU$1388:AU2095,$AA$1388:AA2095,"*",$AC$1388:AC2095,"*")</f>
        <v>25753.636363636531</v>
      </c>
      <c r="BW2067" s="343">
        <f>SUMIFS($AU$1388:AU2095,$AB$1388:AB2095,"*",$AC$1388:AC2095,"*")</f>
        <v>9360</v>
      </c>
      <c r="BX2067" s="343">
        <f>SUMIFS($AV$1388:AV2095,$Q$1388:Q2095,"F")</f>
        <v>416.72914667325267</v>
      </c>
      <c r="BY2067" s="343">
        <f>SUMIFS($AV$1388:AV2095,$Q$1388:Q2095,"S")</f>
        <v>706.32562762001328</v>
      </c>
      <c r="BZ2067" s="343">
        <f>SUMIFS($AV$1388:AV2095,$Q$1388:Q2095,"O")</f>
        <v>297.55929999973682</v>
      </c>
    </row>
    <row r="2068" spans="1:78" ht="15.75" customHeight="1">
      <c r="A2068" s="177" t="s">
        <v>6310</v>
      </c>
      <c r="B2068" s="200">
        <v>45436</v>
      </c>
      <c r="C2068" s="178"/>
      <c r="D2068" s="178" t="s">
        <v>111</v>
      </c>
      <c r="E2068" s="227"/>
      <c r="F2068" s="180"/>
      <c r="G2068" s="181" t="s">
        <v>2016</v>
      </c>
      <c r="H2068" s="182"/>
      <c r="I2068" s="182"/>
      <c r="J2068" s="182"/>
      <c r="K2068" s="183"/>
      <c r="L2068" s="182"/>
      <c r="M2068" s="182"/>
      <c r="N2068" s="182"/>
      <c r="O2068" s="183"/>
      <c r="P2068" s="183"/>
      <c r="Q2068" s="183"/>
      <c r="R2068" s="183"/>
      <c r="S2068" s="183"/>
      <c r="T2068" s="183"/>
      <c r="U2068" s="183"/>
      <c r="V2068" s="183"/>
      <c r="W2068" s="183"/>
      <c r="X2068" s="183"/>
      <c r="Y2068" s="184"/>
      <c r="Z2068" s="185"/>
      <c r="AA2068" s="185"/>
      <c r="AB2068" s="185"/>
      <c r="AC2068" s="185"/>
      <c r="AD2068" s="649"/>
      <c r="AE2068" s="182"/>
      <c r="AF2068" s="332"/>
      <c r="AG2068" s="182"/>
      <c r="AH2068" s="182">
        <v>-2</v>
      </c>
      <c r="AI2068" s="182"/>
      <c r="AJ2068" s="640" t="s">
        <v>6654</v>
      </c>
      <c r="AK2068" s="182"/>
      <c r="AL2068" s="496">
        <f t="shared" ref="AL2068:AL2074" si="697">-0.02*Z2068</f>
        <v>0</v>
      </c>
      <c r="AM2068" s="496">
        <f t="shared" si="694"/>
        <v>0</v>
      </c>
      <c r="AN2068" s="626"/>
      <c r="AO2068" s="182"/>
      <c r="AP2068" s="182"/>
      <c r="AQ2068" s="332" t="str">
        <f>UPPER(RIGHT(Journal_Live[[#This Row],[DURATION ]]))</f>
        <v/>
      </c>
      <c r="AR2068" s="182"/>
      <c r="AS2068" s="189"/>
      <c r="AT2068" s="189"/>
      <c r="AU2068" s="187"/>
      <c r="AV2068" s="190"/>
      <c r="AW2068" s="191"/>
      <c r="AX2068" s="551" t="s">
        <v>6655</v>
      </c>
      <c r="AY2068" s="551"/>
      <c r="AZ2068" s="551"/>
      <c r="BA2068" s="551"/>
      <c r="BB2068" s="551"/>
      <c r="BC2068" s="551"/>
      <c r="BD2068" s="549"/>
      <c r="BE2068" s="550"/>
      <c r="BF2068" s="549"/>
      <c r="BG2068" s="391">
        <f>SUM($AV$1389:AV2068)</f>
        <v>3634.6940742930087</v>
      </c>
      <c r="BH2068" s="392">
        <f>SUM($AU$1389:AU2068)</f>
        <v>39010.639220779361</v>
      </c>
      <c r="BI2068" s="318">
        <f>SUMIFS($AU$1388:AU2069,$Q$1388:Q2069,"F")</f>
        <v>25293.293506493508</v>
      </c>
      <c r="BJ2068" s="318">
        <f>SUMIFS($AU$1388:AU2069,$Q$1388:Q2069,"S")</f>
        <v>17842.285714285714</v>
      </c>
      <c r="BK2068" s="343">
        <f>SUMIFS($AU$1388:AU2069,$P$1388:P2069,"W")</f>
        <v>23336.759220779561</v>
      </c>
      <c r="BL2068" s="343">
        <f>SUMIFS($AU$1388:AU2069,$P$1388:P2069,"R")</f>
        <v>13226.00000000016</v>
      </c>
      <c r="BM2068" s="343">
        <f>SUMIFS($AU$1388:AU2069,$AQ$1388:AQ2069,"M")</f>
        <v>9567.1799999991417</v>
      </c>
      <c r="BN2068" s="343">
        <f>SUMIFS($AU$1388:AU2069,$AQ$1388:AQ2069,"H")</f>
        <v>12363.200000000876</v>
      </c>
      <c r="BO2068" s="343">
        <f>SUMIFS($AU$1388:AU2069,$AQ$1388:AQ2069,"D")</f>
        <v>334.99285714273992</v>
      </c>
      <c r="BP2068" s="343">
        <f>SUMIFS($AS$1388:AS2697,$AO$1388:AO2697,"W")</f>
        <v>0</v>
      </c>
      <c r="BQ2068" s="343">
        <f>SUMIFS($AU$1388:AU2069,$Q$1388:Q2069,"O")</f>
        <v>-5848.9399999998504</v>
      </c>
      <c r="BR2068" s="343">
        <f>SUMIFS($AU$1388:AU2069,$AA$1388:AA2069,"*")</f>
        <v>29471.122077921998</v>
      </c>
      <c r="BS2068" s="343">
        <f>SUMIFS($AU$1388:AU2069,$AB$1388:AB2069,"*")</f>
        <v>10383.860000000041</v>
      </c>
      <c r="BT2068" s="343">
        <f>SUMIFS($AU$1388:AU2069,$AC$1388:AC2069,"*")</f>
        <v>30333.293506493676</v>
      </c>
      <c r="BU2068" s="343">
        <f>SUMIFS($AU$1388:AU2069,$AA$1388:AA2069,"*",$AB$1388:AB2069,"*")</f>
        <v>5423.9999999998217</v>
      </c>
      <c r="BV2068" s="343">
        <f>SUMIFS($AU$1388:AU2069,$AA$1388:AA2069,"*",$AC$1388:AC2069,"*")</f>
        <v>21913.636363636531</v>
      </c>
      <c r="BW2068" s="343">
        <f>SUMIFS($AU$1388:AU2069,$AB$1388:AB2069,"*",$AC$1388:AC2069,"*")</f>
        <v>7119.9999999999982</v>
      </c>
      <c r="BX2068" s="343">
        <f>SUMIFS($AV$1388:AV2069,$Q$1388:Q2069,"F")</f>
        <v>382.80914667325266</v>
      </c>
      <c r="BY2068" s="343">
        <f>SUMIFS($AV$1388:AV2069,$Q$1388:Q2069,"S")</f>
        <v>706.32562762001328</v>
      </c>
      <c r="BZ2068" s="343">
        <f>SUMIFS($AV$1388:AV2069,$Q$1388:Q2069,"O")</f>
        <v>297.55929999973682</v>
      </c>
    </row>
    <row r="2069" spans="1:78" ht="15.75" customHeight="1">
      <c r="A2069" s="177" t="s">
        <v>6310</v>
      </c>
      <c r="B2069" s="200"/>
      <c r="C2069" s="178"/>
      <c r="D2069" s="178"/>
      <c r="E2069" s="227"/>
      <c r="F2069" s="180"/>
      <c r="G2069" s="181"/>
      <c r="H2069" s="182"/>
      <c r="I2069" s="182"/>
      <c r="J2069" s="182"/>
      <c r="K2069" s="183"/>
      <c r="L2069" s="182"/>
      <c r="M2069" s="182"/>
      <c r="N2069" s="182"/>
      <c r="O2069" s="183"/>
      <c r="P2069" s="183"/>
      <c r="Q2069" s="183"/>
      <c r="R2069" s="183"/>
      <c r="S2069" s="183"/>
      <c r="T2069" s="183"/>
      <c r="U2069" s="183"/>
      <c r="V2069" s="183"/>
      <c r="W2069" s="183"/>
      <c r="X2069" s="183"/>
      <c r="Y2069" s="183"/>
      <c r="Z2069" s="183"/>
      <c r="AA2069" s="185"/>
      <c r="AB2069" s="185"/>
      <c r="AC2069" s="185"/>
      <c r="AD2069" s="649"/>
      <c r="AE2069" s="182"/>
      <c r="AF2069" s="332"/>
      <c r="AG2069" s="182"/>
      <c r="AH2069" s="182"/>
      <c r="AI2069" s="182"/>
      <c r="AJ2069" s="640"/>
      <c r="AK2069" s="182"/>
      <c r="AL2069" s="496">
        <f t="shared" si="697"/>
        <v>0</v>
      </c>
      <c r="AM2069" s="496">
        <f t="shared" si="694"/>
        <v>0</v>
      </c>
      <c r="AN2069" s="626"/>
      <c r="AO2069" s="182"/>
      <c r="AP2069" s="182"/>
      <c r="AQ2069" s="332" t="str">
        <f>UPPER(RIGHT(Journal_Live[[#This Row],[DURATION ]]))</f>
        <v/>
      </c>
      <c r="AR2069" s="182"/>
      <c r="AS2069" s="189"/>
      <c r="AT2069" s="189"/>
      <c r="AU2069" s="187"/>
      <c r="AV2069" s="190"/>
      <c r="AW2069" s="191"/>
      <c r="AX2069" s="551"/>
      <c r="AY2069" s="551"/>
      <c r="AZ2069" s="551"/>
      <c r="BA2069" s="551"/>
      <c r="BB2069" s="551"/>
      <c r="BC2069" s="551"/>
      <c r="BD2069" s="549"/>
      <c r="BE2069" s="550"/>
      <c r="BF2069" s="549"/>
      <c r="BG2069" s="391">
        <f>SUM($AV$1389:AV2069)</f>
        <v>3634.6940742930087</v>
      </c>
      <c r="BH2069" s="392">
        <f>SUM($AU$1389:AU2069)</f>
        <v>39010.639220779361</v>
      </c>
      <c r="BI2069" s="318">
        <f>SUMIFS($AU$1388:AU2070,$Q$1388:Q2070,"F")</f>
        <v>25293.293506493508</v>
      </c>
      <c r="BJ2069" s="318">
        <f>SUMIFS($AU$1388:AU2070,$Q$1388:Q2070,"S")</f>
        <v>17842.285714285714</v>
      </c>
      <c r="BK2069" s="343">
        <f>SUMIFS($AU$1388:AU2070,$P$1388:P2070,"W")</f>
        <v>23336.759220779561</v>
      </c>
      <c r="BL2069" s="343">
        <f>SUMIFS($AU$1388:AU2070,$P$1388:P2070,"R")</f>
        <v>13226.00000000016</v>
      </c>
      <c r="BM2069" s="343">
        <f>SUMIFS($AU$1388:AU2070,$AQ$1388:AQ2070,"M")</f>
        <v>9567.1799999991417</v>
      </c>
      <c r="BN2069" s="343">
        <f>SUMIFS($AU$1388:AU2070,$AQ$1388:AQ2070,"H")</f>
        <v>12363.200000000876</v>
      </c>
      <c r="BO2069" s="343">
        <f>SUMIFS($AU$1388:AU2070,$AQ$1388:AQ2070,"D")</f>
        <v>334.99285714273992</v>
      </c>
      <c r="BP2069" s="343">
        <f>SUMIFS($AS$1388:AS2698,$AO$1388:AO2698,"W")</f>
        <v>0</v>
      </c>
      <c r="BQ2069" s="343">
        <f>SUMIFS($AU$1388:AU2070,$Q$1388:Q2070,"O")</f>
        <v>-5848.9399999998504</v>
      </c>
      <c r="BR2069" s="343">
        <f>SUMIFS($AU$1388:AU2070,$AA$1388:AA2070,"*")</f>
        <v>29471.122077921998</v>
      </c>
      <c r="BS2069" s="343">
        <f>SUMIFS($AU$1388:AU2070,$AB$1388:AB2070,"*")</f>
        <v>10383.860000000041</v>
      </c>
      <c r="BT2069" s="343">
        <f>SUMIFS($AU$1388:AU2070,$AC$1388:AC2070,"*")</f>
        <v>30333.293506493676</v>
      </c>
      <c r="BU2069" s="343">
        <f>SUMIFS($AU$1388:AU2070,$AA$1388:AA2070,"*",$AB$1388:AB2070,"*")</f>
        <v>5423.9999999998217</v>
      </c>
      <c r="BV2069" s="343">
        <f>SUMIFS($AU$1388:AU2070,$AA$1388:AA2070,"*",$AC$1388:AC2070,"*")</f>
        <v>21913.636363636531</v>
      </c>
      <c r="BW2069" s="343">
        <f>SUMIFS($AU$1388:AU2070,$AB$1388:AB2070,"*",$AC$1388:AC2070,"*")</f>
        <v>7119.9999999999982</v>
      </c>
      <c r="BX2069" s="343">
        <f>SUMIFS($AV$1388:AV2070,$Q$1388:Q2070,"F")</f>
        <v>382.80914667325266</v>
      </c>
      <c r="BY2069" s="343">
        <f>SUMIFS($AV$1388:AV2070,$Q$1388:Q2070,"S")</f>
        <v>706.32562762001328</v>
      </c>
      <c r="BZ2069" s="343">
        <f>SUMIFS($AV$1388:AV2070,$Q$1388:Q2070,"O")</f>
        <v>297.55929999973682</v>
      </c>
    </row>
    <row r="2070" spans="1:78" ht="15.75" customHeight="1">
      <c r="A2070" s="177" t="s">
        <v>6310</v>
      </c>
      <c r="B2070" s="200"/>
      <c r="C2070" s="178"/>
      <c r="D2070" s="178"/>
      <c r="E2070" s="227"/>
      <c r="F2070" s="180"/>
      <c r="G2070" s="181"/>
      <c r="H2070" s="182"/>
      <c r="I2070" s="182"/>
      <c r="J2070" s="182"/>
      <c r="K2070" s="183"/>
      <c r="L2070" s="182"/>
      <c r="M2070" s="182"/>
      <c r="N2070" s="182"/>
      <c r="O2070" s="183"/>
      <c r="P2070" s="183"/>
      <c r="Q2070" s="183"/>
      <c r="R2070" s="183"/>
      <c r="S2070" s="183"/>
      <c r="T2070" s="183"/>
      <c r="U2070" s="183"/>
      <c r="V2070" s="183"/>
      <c r="W2070" s="183"/>
      <c r="X2070" s="183"/>
      <c r="Y2070" s="183"/>
      <c r="Z2070" s="183"/>
      <c r="AA2070" s="185"/>
      <c r="AB2070" s="185"/>
      <c r="AC2070" s="185"/>
      <c r="AD2070" s="649"/>
      <c r="AE2070" s="182"/>
      <c r="AF2070" s="332"/>
      <c r="AG2070" s="182"/>
      <c r="AH2070" s="182"/>
      <c r="AI2070" s="182"/>
      <c r="AJ2070" s="640"/>
      <c r="AK2070" s="182"/>
      <c r="AL2070" s="496">
        <f t="shared" si="697"/>
        <v>0</v>
      </c>
      <c r="AM2070" s="496">
        <f t="shared" si="694"/>
        <v>0</v>
      </c>
      <c r="AN2070" s="626"/>
      <c r="AO2070" s="182"/>
      <c r="AP2070" s="182"/>
      <c r="AQ2070" s="332" t="str">
        <f>UPPER(RIGHT(Journal_Live[[#This Row],[DURATION ]]))</f>
        <v/>
      </c>
      <c r="AR2070" s="182"/>
      <c r="AS2070" s="189"/>
      <c r="AT2070" s="189"/>
      <c r="AU2070" s="187"/>
      <c r="AV2070" s="190"/>
      <c r="AW2070" s="191"/>
      <c r="AX2070" s="551" t="s">
        <v>6656</v>
      </c>
      <c r="AY2070" s="551" t="s">
        <v>6657</v>
      </c>
      <c r="AZ2070" s="551" t="s">
        <v>6658</v>
      </c>
      <c r="BA2070" s="551" t="s">
        <v>6659</v>
      </c>
      <c r="BB2070" s="551" t="s">
        <v>6660</v>
      </c>
      <c r="BC2070" s="551" t="s">
        <v>6661</v>
      </c>
      <c r="BD2070" s="551" t="s">
        <v>6662</v>
      </c>
      <c r="BE2070" s="549" t="s">
        <v>6663</v>
      </c>
      <c r="BF2070" s="549"/>
      <c r="BG2070" s="391">
        <f>SUM($AV$1389:AV2070)</f>
        <v>3634.6940742930087</v>
      </c>
      <c r="BH2070" s="392">
        <f>SUM($AU$1389:AU2070)</f>
        <v>39010.639220779361</v>
      </c>
      <c r="BI2070" s="318">
        <f>SUMIFS($AU$1388:AU2071,$Q$1388:Q2071,"F")</f>
        <v>25293.293506493508</v>
      </c>
      <c r="BJ2070" s="318">
        <f>SUMIFS($AU$1388:AU2071,$Q$1388:Q2071,"S")</f>
        <v>17842.285714285714</v>
      </c>
      <c r="BK2070" s="343">
        <f>SUMIFS($AU$1388:AU2071,$P$1388:P2071,"W")</f>
        <v>23336.759220779561</v>
      </c>
      <c r="BL2070" s="343">
        <f>SUMIFS($AU$1388:AU2071,$P$1388:P2071,"R")</f>
        <v>13226.00000000016</v>
      </c>
      <c r="BM2070" s="343">
        <f>SUMIFS($AU$1388:AU2071,$AQ$1388:AQ2071,"M")</f>
        <v>9567.1799999991417</v>
      </c>
      <c r="BN2070" s="343">
        <f>SUMIFS($AU$1388:AU2071,$AQ$1388:AQ2071,"H")</f>
        <v>12363.200000000876</v>
      </c>
      <c r="BO2070" s="343">
        <f>SUMIFS($AU$1388:AU2071,$AQ$1388:AQ2071,"D")</f>
        <v>334.99285714273992</v>
      </c>
      <c r="BP2070" s="343">
        <f>SUMIFS($AS$1388:AS2699,$AO$1388:AO2699,"W")</f>
        <v>0</v>
      </c>
      <c r="BQ2070" s="343">
        <f>SUMIFS($AU$1388:AU2071,$Q$1388:Q2071,"O")</f>
        <v>-5848.9399999998504</v>
      </c>
      <c r="BR2070" s="343">
        <f>SUMIFS($AU$1388:AU2071,$AA$1388:AA2071,"*")</f>
        <v>29471.122077921998</v>
      </c>
      <c r="BS2070" s="343">
        <f>SUMIFS($AU$1388:AU2071,$AB$1388:AB2071,"*")</f>
        <v>10383.860000000041</v>
      </c>
      <c r="BT2070" s="343">
        <f>SUMIFS($AU$1388:AU2071,$AC$1388:AC2071,"*")</f>
        <v>30333.293506493676</v>
      </c>
      <c r="BU2070" s="343">
        <f>SUMIFS($AU$1388:AU2071,$AA$1388:AA2071,"*",$AB$1388:AB2071,"*")</f>
        <v>5423.9999999998217</v>
      </c>
      <c r="BV2070" s="343">
        <f>SUMIFS($AU$1388:AU2071,$AA$1388:AA2071,"*",$AC$1388:AC2071,"*")</f>
        <v>21913.636363636531</v>
      </c>
      <c r="BW2070" s="343">
        <f>SUMIFS($AU$1388:AU2071,$AB$1388:AB2071,"*",$AC$1388:AC2071,"*")</f>
        <v>7119.9999999999982</v>
      </c>
      <c r="BX2070" s="343">
        <f>SUMIFS($AV$1388:AV2071,$Q$1388:Q2071,"F")</f>
        <v>382.80914667325266</v>
      </c>
      <c r="BY2070" s="343">
        <f>SUMIFS($AV$1388:AV2071,$Q$1388:Q2071,"S")</f>
        <v>706.32562762001328</v>
      </c>
      <c r="BZ2070" s="343">
        <f>SUMIFS($AV$1388:AV2071,$Q$1388:Q2071,"O")</f>
        <v>297.55929999973682</v>
      </c>
    </row>
    <row r="2071" spans="1:78" ht="15.75" customHeight="1">
      <c r="A2071" s="177" t="s">
        <v>6310</v>
      </c>
      <c r="B2071" s="200"/>
      <c r="C2071" s="178"/>
      <c r="D2071" s="178"/>
      <c r="E2071" s="227"/>
      <c r="F2071" s="180"/>
      <c r="G2071" s="181"/>
      <c r="H2071" s="182"/>
      <c r="I2071" s="182"/>
      <c r="J2071" s="182"/>
      <c r="K2071" s="183"/>
      <c r="L2071" s="182"/>
      <c r="M2071" s="182"/>
      <c r="N2071" s="182"/>
      <c r="O2071" s="183"/>
      <c r="P2071" s="183"/>
      <c r="Q2071" s="183"/>
      <c r="R2071" s="183"/>
      <c r="S2071" s="183"/>
      <c r="T2071" s="183"/>
      <c r="U2071" s="183"/>
      <c r="V2071" s="183"/>
      <c r="W2071" s="183"/>
      <c r="X2071" s="183"/>
      <c r="Y2071" s="183"/>
      <c r="Z2071" s="183"/>
      <c r="AA2071" s="185"/>
      <c r="AB2071" s="185"/>
      <c r="AC2071" s="185"/>
      <c r="AD2071" s="649"/>
      <c r="AE2071" s="182"/>
      <c r="AF2071" s="332"/>
      <c r="AG2071" s="182"/>
      <c r="AH2071" s="182"/>
      <c r="AI2071" s="182"/>
      <c r="AJ2071" s="640"/>
      <c r="AK2071" s="182"/>
      <c r="AL2071" s="496">
        <f t="shared" si="697"/>
        <v>0</v>
      </c>
      <c r="AM2071" s="496">
        <f t="shared" si="694"/>
        <v>0</v>
      </c>
      <c r="AN2071" s="626"/>
      <c r="AO2071" s="182"/>
      <c r="AP2071" s="182"/>
      <c r="AQ2071" s="332" t="str">
        <f>UPPER(RIGHT(Journal_Live[[#This Row],[DURATION ]]))</f>
        <v/>
      </c>
      <c r="AR2071" s="182"/>
      <c r="AS2071" s="189"/>
      <c r="AT2071" s="189"/>
      <c r="AU2071" s="187"/>
      <c r="AV2071" s="190"/>
      <c r="AW2071" s="191"/>
      <c r="AX2071" s="417" t="s">
        <v>6664</v>
      </c>
      <c r="AY2071" s="551" t="s">
        <v>6665</v>
      </c>
      <c r="AZ2071" s="549" t="s">
        <v>6666</v>
      </c>
      <c r="BA2071" s="549" t="s">
        <v>6667</v>
      </c>
      <c r="BB2071" s="549"/>
      <c r="BC2071" s="551"/>
      <c r="BD2071" s="549"/>
      <c r="BE2071" s="550"/>
      <c r="BF2071" s="549"/>
      <c r="BG2071" s="391">
        <f>SUM($AV$1389:AV2071)</f>
        <v>3634.6940742930087</v>
      </c>
      <c r="BH2071" s="392">
        <f>SUM($AU$1389:AU2071)</f>
        <v>39010.639220779361</v>
      </c>
      <c r="BI2071" s="318">
        <f>SUMIFS($AU$1388:AU2072,$Q$1388:Q2072,"F")</f>
        <v>25293.293506493508</v>
      </c>
      <c r="BJ2071" s="318">
        <f>SUMIFS($AU$1388:AU2072,$Q$1388:Q2072,"S")</f>
        <v>17842.285714285714</v>
      </c>
      <c r="BK2071" s="343">
        <f>SUMIFS($AU$1388:AU2072,$P$1388:P2072,"W")</f>
        <v>23336.759220779561</v>
      </c>
      <c r="BL2071" s="343">
        <f>SUMIFS($AU$1388:AU2072,$P$1388:P2072,"R")</f>
        <v>13226.00000000016</v>
      </c>
      <c r="BM2071" s="343">
        <f>SUMIFS($AU$1388:AU2072,$AQ$1388:AQ2072,"M")</f>
        <v>9567.1799999991417</v>
      </c>
      <c r="BN2071" s="343">
        <f>SUMIFS($AU$1388:AU2072,$AQ$1388:AQ2072,"H")</f>
        <v>12363.200000000876</v>
      </c>
      <c r="BO2071" s="343">
        <f>SUMIFS($AU$1388:AU2072,$AQ$1388:AQ2072,"D")</f>
        <v>334.99285714273992</v>
      </c>
      <c r="BP2071" s="343">
        <f>SUMIFS($AS$1388:AS2700,$AO$1388:AO2700,"W")</f>
        <v>0</v>
      </c>
      <c r="BQ2071" s="343">
        <f>SUMIFS($AU$1388:AU2072,$Q$1388:Q2072,"O")</f>
        <v>-5848.9399999998504</v>
      </c>
      <c r="BR2071" s="343">
        <f>SUMIFS($AU$1388:AU2072,$AA$1388:AA2072,"*")</f>
        <v>29471.122077921998</v>
      </c>
      <c r="BS2071" s="343">
        <f>SUMIFS($AU$1388:AU2072,$AB$1388:AB2072,"*")</f>
        <v>10383.860000000041</v>
      </c>
      <c r="BT2071" s="343">
        <f>SUMIFS($AU$1388:AU2072,$AC$1388:AC2072,"*")</f>
        <v>30333.293506493676</v>
      </c>
      <c r="BU2071" s="343">
        <f>SUMIFS($AU$1388:AU2072,$AA$1388:AA2072,"*",$AB$1388:AB2072,"*")</f>
        <v>5423.9999999998217</v>
      </c>
      <c r="BV2071" s="343">
        <f>SUMIFS($AU$1388:AU2072,$AA$1388:AA2072,"*",$AC$1388:AC2072,"*")</f>
        <v>21913.636363636531</v>
      </c>
      <c r="BW2071" s="343">
        <f>SUMIFS($AU$1388:AU2072,$AB$1388:AB2072,"*",$AC$1388:AC2072,"*")</f>
        <v>7119.9999999999982</v>
      </c>
      <c r="BX2071" s="343">
        <f>SUMIFS($AV$1388:AV2072,$Q$1388:Q2072,"F")</f>
        <v>382.80914667325266</v>
      </c>
      <c r="BY2071" s="343">
        <f>SUMIFS($AV$1388:AV2072,$Q$1388:Q2072,"S")</f>
        <v>706.32562762001328</v>
      </c>
      <c r="BZ2071" s="343">
        <f>SUMIFS($AV$1388:AV2072,$Q$1388:Q2072,"O")</f>
        <v>297.55929999973682</v>
      </c>
    </row>
    <row r="2072" spans="1:78" ht="15.75" customHeight="1">
      <c r="A2072" s="177" t="s">
        <v>6310</v>
      </c>
      <c r="B2072" s="200"/>
      <c r="C2072" s="178"/>
      <c r="D2072" s="178"/>
      <c r="E2072" s="227"/>
      <c r="F2072" s="180"/>
      <c r="G2072" s="181"/>
      <c r="H2072" s="182"/>
      <c r="I2072" s="182"/>
      <c r="J2072" s="182"/>
      <c r="K2072" s="183"/>
      <c r="L2072" s="182"/>
      <c r="M2072" s="182"/>
      <c r="N2072" s="182"/>
      <c r="O2072" s="183"/>
      <c r="P2072" s="183"/>
      <c r="Q2072" s="183"/>
      <c r="R2072" s="183"/>
      <c r="S2072" s="183"/>
      <c r="T2072" s="183"/>
      <c r="U2072" s="183"/>
      <c r="V2072" s="183"/>
      <c r="W2072" s="183"/>
      <c r="X2072" s="183"/>
      <c r="Y2072" s="183"/>
      <c r="Z2072" s="183"/>
      <c r="AA2072" s="185"/>
      <c r="AB2072" s="185"/>
      <c r="AC2072" s="185"/>
      <c r="AD2072" s="649"/>
      <c r="AE2072" s="182"/>
      <c r="AF2072" s="332"/>
      <c r="AG2072" s="182"/>
      <c r="AH2072" s="182"/>
      <c r="AI2072" s="182"/>
      <c r="AJ2072" s="640"/>
      <c r="AK2072" s="182"/>
      <c r="AL2072" s="496">
        <f t="shared" si="697"/>
        <v>0</v>
      </c>
      <c r="AM2072" s="496">
        <f t="shared" si="694"/>
        <v>0</v>
      </c>
      <c r="AN2072" s="626"/>
      <c r="AO2072" s="182"/>
      <c r="AP2072" s="182"/>
      <c r="AQ2072" s="332" t="str">
        <f>UPPER(RIGHT(Journal_Live[[#This Row],[DURATION ]]))</f>
        <v/>
      </c>
      <c r="AR2072" s="182"/>
      <c r="AS2072" s="189"/>
      <c r="AT2072" s="189"/>
      <c r="AU2072" s="187"/>
      <c r="AV2072" s="190"/>
      <c r="AW2072" s="191"/>
      <c r="AX2072" s="551" t="s">
        <v>6668</v>
      </c>
      <c r="AY2072" s="551"/>
      <c r="AZ2072" s="551"/>
      <c r="BA2072" s="551"/>
      <c r="BB2072" s="551"/>
      <c r="BC2072" s="551"/>
      <c r="BD2072" s="549"/>
      <c r="BE2072" s="550"/>
      <c r="BF2072" s="549"/>
      <c r="BG2072" s="391">
        <f>SUM($AV$1389:AV2072)</f>
        <v>3634.6940742930087</v>
      </c>
      <c r="BH2072" s="392">
        <f>SUM($AU$1389:AU2072)</f>
        <v>39010.639220779361</v>
      </c>
      <c r="BI2072" s="318">
        <f>SUMIFS($AU$1388:AU2073,$Q$1388:Q2073,"F")</f>
        <v>25293.293506493508</v>
      </c>
      <c r="BJ2072" s="318">
        <f>SUMIFS($AU$1388:AU2073,$Q$1388:Q2073,"S")</f>
        <v>17842.285714285714</v>
      </c>
      <c r="BK2072" s="343">
        <f>SUMIFS($AU$1388:AU2073,$P$1388:P2073,"W")</f>
        <v>23336.759220779561</v>
      </c>
      <c r="BL2072" s="343">
        <f>SUMIFS($AU$1388:AU2073,$P$1388:P2073,"R")</f>
        <v>13226.00000000016</v>
      </c>
      <c r="BM2072" s="343">
        <f>SUMIFS($AU$1388:AU2073,$AQ$1388:AQ2073,"M")</f>
        <v>9567.1799999991417</v>
      </c>
      <c r="BN2072" s="343">
        <f>SUMIFS($AU$1388:AU2073,$AQ$1388:AQ2073,"H")</f>
        <v>12363.200000000876</v>
      </c>
      <c r="BO2072" s="343">
        <f>SUMIFS($AU$1388:AU2073,$AQ$1388:AQ2073,"D")</f>
        <v>334.99285714273992</v>
      </c>
      <c r="BP2072" s="343">
        <f>SUMIFS($AS$1388:AS2701,$AO$1388:AO2701,"W")</f>
        <v>0</v>
      </c>
      <c r="BQ2072" s="343">
        <f>SUMIFS($AU$1388:AU2073,$Q$1388:Q2073,"O")</f>
        <v>-5848.9399999998504</v>
      </c>
      <c r="BR2072" s="343">
        <f>SUMIFS($AU$1388:AU2073,$AA$1388:AA2073,"*")</f>
        <v>29471.122077921998</v>
      </c>
      <c r="BS2072" s="343">
        <f>SUMIFS($AU$1388:AU2073,$AB$1388:AB2073,"*")</f>
        <v>10383.860000000041</v>
      </c>
      <c r="BT2072" s="343">
        <f>SUMIFS($AU$1388:AU2073,$AC$1388:AC2073,"*")</f>
        <v>30333.293506493676</v>
      </c>
      <c r="BU2072" s="343">
        <f>SUMIFS($AU$1388:AU2073,$AA$1388:AA2073,"*",$AB$1388:AB2073,"*")</f>
        <v>5423.9999999998217</v>
      </c>
      <c r="BV2072" s="343">
        <f>SUMIFS($AU$1388:AU2073,$AA$1388:AA2073,"*",$AC$1388:AC2073,"*")</f>
        <v>21913.636363636531</v>
      </c>
      <c r="BW2072" s="343">
        <f>SUMIFS($AU$1388:AU2073,$AB$1388:AB2073,"*",$AC$1388:AC2073,"*")</f>
        <v>7119.9999999999982</v>
      </c>
      <c r="BX2072" s="343">
        <f>SUMIFS($AV$1388:AV2073,$Q$1388:Q2073,"F")</f>
        <v>382.80914667325266</v>
      </c>
      <c r="BY2072" s="343">
        <f>SUMIFS($AV$1388:AV2073,$Q$1388:Q2073,"S")</f>
        <v>706.32562762001328</v>
      </c>
      <c r="BZ2072" s="343">
        <f>SUMIFS($AV$1388:AV2073,$Q$1388:Q2073,"O")</f>
        <v>297.55929999973682</v>
      </c>
    </row>
    <row r="2073" spans="1:78" ht="15.75" customHeight="1">
      <c r="A2073" s="177" t="s">
        <v>6310</v>
      </c>
      <c r="B2073" s="200"/>
      <c r="C2073" s="178"/>
      <c r="D2073" s="178"/>
      <c r="E2073" s="227"/>
      <c r="F2073" s="180"/>
      <c r="G2073" s="181"/>
      <c r="H2073" s="182"/>
      <c r="I2073" s="182"/>
      <c r="J2073" s="182"/>
      <c r="K2073" s="183"/>
      <c r="L2073" s="182"/>
      <c r="M2073" s="182"/>
      <c r="N2073" s="182"/>
      <c r="O2073" s="183"/>
      <c r="P2073" s="183"/>
      <c r="Q2073" s="183"/>
      <c r="R2073" s="183"/>
      <c r="S2073" s="183"/>
      <c r="T2073" s="183"/>
      <c r="U2073" s="183"/>
      <c r="V2073" s="183"/>
      <c r="W2073" s="183"/>
      <c r="X2073" s="183"/>
      <c r="Y2073" s="183"/>
      <c r="Z2073" s="183"/>
      <c r="AA2073" s="185"/>
      <c r="AB2073" s="185"/>
      <c r="AC2073" s="185"/>
      <c r="AD2073" s="649"/>
      <c r="AE2073" s="182"/>
      <c r="AF2073" s="332"/>
      <c r="AG2073" s="182"/>
      <c r="AH2073" s="182"/>
      <c r="AI2073" s="182"/>
      <c r="AJ2073" s="640"/>
      <c r="AK2073" s="182"/>
      <c r="AL2073" s="496">
        <f t="shared" si="697"/>
        <v>0</v>
      </c>
      <c r="AM2073" s="496">
        <f t="shared" si="694"/>
        <v>0</v>
      </c>
      <c r="AN2073" s="626"/>
      <c r="AO2073" s="182"/>
      <c r="AP2073" s="182"/>
      <c r="AQ2073" s="332" t="str">
        <f>UPPER(RIGHT(Journal_Live[[#This Row],[DURATION ]]))</f>
        <v/>
      </c>
      <c r="AR2073" s="182"/>
      <c r="AS2073" s="189"/>
      <c r="AT2073" s="189"/>
      <c r="AU2073" s="187"/>
      <c r="AV2073" s="190"/>
      <c r="AW2073" s="191"/>
      <c r="AX2073" s="551" t="s">
        <v>6669</v>
      </c>
      <c r="AY2073" s="551" t="s">
        <v>6670</v>
      </c>
      <c r="AZ2073" s="551" t="s">
        <v>6671</v>
      </c>
      <c r="BA2073" s="551" t="s">
        <v>6672</v>
      </c>
      <c r="BB2073" s="551" t="s">
        <v>6673</v>
      </c>
      <c r="BC2073" s="551" t="s">
        <v>6674</v>
      </c>
      <c r="BD2073" s="549"/>
      <c r="BE2073" s="550"/>
      <c r="BF2073" s="549"/>
      <c r="BG2073" s="391">
        <f>SUM($AV$1389:AV2073)</f>
        <v>3634.6940742930087</v>
      </c>
      <c r="BH2073" s="392">
        <f>SUM($AU$1389:AU2073)</f>
        <v>39010.639220779361</v>
      </c>
      <c r="BI2073" s="318">
        <f>SUMIFS($AU$1388:AU2074,$Q$1388:Q2074,"F")</f>
        <v>25293.293506493508</v>
      </c>
      <c r="BJ2073" s="318">
        <f>SUMIFS($AU$1388:AU2074,$Q$1388:Q2074,"S")</f>
        <v>17842.285714285714</v>
      </c>
      <c r="BK2073" s="343">
        <f>SUMIFS($AU$1388:AU2074,$P$1388:P2074,"W")</f>
        <v>23336.759220779561</v>
      </c>
      <c r="BL2073" s="343">
        <f>SUMIFS($AU$1388:AU2074,$P$1388:P2074,"R")</f>
        <v>13226.00000000016</v>
      </c>
      <c r="BM2073" s="343">
        <f>SUMIFS($AU$1388:AU2074,$AQ$1388:AQ2074,"M")</f>
        <v>9567.1799999991417</v>
      </c>
      <c r="BN2073" s="343">
        <f>SUMIFS($AU$1388:AU2074,$AQ$1388:AQ2074,"H")</f>
        <v>12363.200000000876</v>
      </c>
      <c r="BO2073" s="343">
        <f>SUMIFS($AU$1388:AU2074,$AQ$1388:AQ2074,"D")</f>
        <v>334.99285714273992</v>
      </c>
      <c r="BP2073" s="343">
        <f>SUMIFS($AS$1388:AS2702,$AO$1388:AO2702,"W")</f>
        <v>0</v>
      </c>
      <c r="BQ2073" s="343">
        <f>SUMIFS($AU$1388:AU2074,$Q$1388:Q2074,"O")</f>
        <v>-5848.9399999998504</v>
      </c>
      <c r="BR2073" s="343">
        <f>SUMIFS($AU$1388:AU2074,$AA$1388:AA2074,"*")</f>
        <v>29471.122077921998</v>
      </c>
      <c r="BS2073" s="343">
        <f>SUMIFS($AU$1388:AU2074,$AB$1388:AB2074,"*")</f>
        <v>10383.860000000041</v>
      </c>
      <c r="BT2073" s="343">
        <f>SUMIFS($AU$1388:AU2074,$AC$1388:AC2074,"*")</f>
        <v>30333.293506493676</v>
      </c>
      <c r="BU2073" s="343">
        <f>SUMIFS($AU$1388:AU2074,$AA$1388:AA2074,"*",$AB$1388:AB2074,"*")</f>
        <v>5423.9999999998217</v>
      </c>
      <c r="BV2073" s="343">
        <f>SUMIFS($AU$1388:AU2074,$AA$1388:AA2074,"*",$AC$1388:AC2074,"*")</f>
        <v>21913.636363636531</v>
      </c>
      <c r="BW2073" s="343">
        <f>SUMIFS($AU$1388:AU2074,$AB$1388:AB2074,"*",$AC$1388:AC2074,"*")</f>
        <v>7119.9999999999982</v>
      </c>
      <c r="BX2073" s="343">
        <f>SUMIFS($AV$1388:AV2074,$Q$1388:Q2074,"F")</f>
        <v>382.80914667325266</v>
      </c>
      <c r="BY2073" s="343">
        <f>SUMIFS($AV$1388:AV2074,$Q$1388:Q2074,"S")</f>
        <v>706.32562762001328</v>
      </c>
      <c r="BZ2073" s="343">
        <f>SUMIFS($AV$1388:AV2074,$Q$1388:Q2074,"O")</f>
        <v>297.55929999973682</v>
      </c>
    </row>
    <row r="2074" spans="1:78" ht="15.75" customHeight="1">
      <c r="A2074" s="177" t="s">
        <v>6675</v>
      </c>
      <c r="B2074" s="200"/>
      <c r="C2074" s="178"/>
      <c r="D2074" s="178"/>
      <c r="E2074" s="227"/>
      <c r="F2074" s="180"/>
      <c r="G2074" s="181"/>
      <c r="H2074" s="182"/>
      <c r="I2074" s="182"/>
      <c r="J2074" s="182"/>
      <c r="K2074" s="183"/>
      <c r="L2074" s="182"/>
      <c r="M2074" s="182"/>
      <c r="N2074" s="182"/>
      <c r="O2074" s="183"/>
      <c r="P2074" s="183"/>
      <c r="Q2074" s="183"/>
      <c r="R2074" s="183"/>
      <c r="S2074" s="183"/>
      <c r="T2074" s="183"/>
      <c r="U2074" s="183"/>
      <c r="V2074" s="183"/>
      <c r="W2074" s="183"/>
      <c r="X2074" s="183"/>
      <c r="Y2074" s="183"/>
      <c r="Z2074" s="183"/>
      <c r="AA2074" s="185"/>
      <c r="AB2074" s="185"/>
      <c r="AC2074" s="185"/>
      <c r="AD2074" s="649"/>
      <c r="AE2074" s="182"/>
      <c r="AF2074" s="332"/>
      <c r="AG2074" s="182"/>
      <c r="AH2074" s="182"/>
      <c r="AI2074" s="182"/>
      <c r="AJ2074" s="640"/>
      <c r="AK2074" s="182"/>
      <c r="AL2074" s="496">
        <f t="shared" si="697"/>
        <v>0</v>
      </c>
      <c r="AM2074" s="496">
        <f t="shared" si="694"/>
        <v>0</v>
      </c>
      <c r="AN2074" s="626"/>
      <c r="AO2074" s="182"/>
      <c r="AP2074" s="182"/>
      <c r="AQ2074" s="332" t="str">
        <f>UPPER(RIGHT(Journal_Live[[#This Row],[DURATION ]]))</f>
        <v/>
      </c>
      <c r="AR2074" s="182"/>
      <c r="AS2074" s="189"/>
      <c r="AT2074" s="189"/>
      <c r="AU2074" s="187"/>
      <c r="AV2074" s="190"/>
      <c r="AW2074" s="191"/>
      <c r="AX2074" s="549" t="s">
        <v>6676</v>
      </c>
      <c r="AY2074" s="417" t="s">
        <v>6670</v>
      </c>
      <c r="AZ2074" s="417" t="s">
        <v>6677</v>
      </c>
      <c r="BA2074" s="417" t="s">
        <v>6665</v>
      </c>
      <c r="BB2074" s="417" t="s">
        <v>6673</v>
      </c>
      <c r="BC2074" s="417" t="s">
        <v>6674</v>
      </c>
      <c r="BD2074" s="549"/>
      <c r="BE2074" s="550"/>
      <c r="BF2074" s="549"/>
      <c r="BG2074" s="391">
        <f>SUM($AV$1389:AV2074)</f>
        <v>3634.6940742930087</v>
      </c>
      <c r="BH2074" s="392">
        <f>SUM($AU$1389:AU2074)</f>
        <v>39010.639220779361</v>
      </c>
      <c r="BI2074" s="318">
        <f>SUMIFS($AU$1388:AU2075,$Q$1388:Q2075,"F")</f>
        <v>25293.293506493508</v>
      </c>
      <c r="BJ2074" s="318">
        <f>SUMIFS($AU$1388:AU2075,$Q$1388:Q2075,"S")</f>
        <v>17842.285714285714</v>
      </c>
      <c r="BK2074" s="343">
        <f>SUMIFS($AU$1388:AU2075,$P$1388:P2075,"W")</f>
        <v>23336.759220779561</v>
      </c>
      <c r="BL2074" s="343">
        <f>SUMIFS($AU$1388:AU2075,$P$1388:P2075,"R")</f>
        <v>13226.00000000016</v>
      </c>
      <c r="BM2074" s="343">
        <f>SUMIFS($AU$1388:AU2075,$AQ$1388:AQ2075,"M")</f>
        <v>9567.1799999991417</v>
      </c>
      <c r="BN2074" s="343">
        <f>SUMIFS($AU$1388:AU2075,$AQ$1388:AQ2075,"H")</f>
        <v>12363.200000000876</v>
      </c>
      <c r="BO2074" s="343">
        <f>SUMIFS($AU$1388:AU2075,$AQ$1388:AQ2075,"D")</f>
        <v>334.99285714273992</v>
      </c>
      <c r="BP2074" s="343">
        <f>SUMIFS($AS$1388:AS2703,$AO$1388:AO2703,"W")</f>
        <v>0</v>
      </c>
      <c r="BQ2074" s="343">
        <f>SUMIFS($AU$1388:AU2075,$Q$1388:Q2075,"O")</f>
        <v>-5848.9399999998504</v>
      </c>
      <c r="BR2074" s="343">
        <f>SUMIFS($AU$1388:AU2075,$AA$1388:AA2075,"*")</f>
        <v>29471.122077921998</v>
      </c>
      <c r="BS2074" s="343">
        <f>SUMIFS($AU$1388:AU2075,$AB$1388:AB2075,"*")</f>
        <v>10383.860000000041</v>
      </c>
      <c r="BT2074" s="343">
        <f>SUMIFS($AU$1388:AU2075,$AC$1388:AC2075,"*")</f>
        <v>30333.293506493676</v>
      </c>
      <c r="BU2074" s="343">
        <f>SUMIFS($AU$1388:AU2075,$AA$1388:AA2075,"*",$AB$1388:AB2075,"*")</f>
        <v>5423.9999999998217</v>
      </c>
      <c r="BV2074" s="343">
        <f>SUMIFS($AU$1388:AU2075,$AA$1388:AA2075,"*",$AC$1388:AC2075,"*")</f>
        <v>21913.636363636531</v>
      </c>
      <c r="BW2074" s="343">
        <f>SUMIFS($AU$1388:AU2075,$AB$1388:AB2075,"*",$AC$1388:AC2075,"*")</f>
        <v>7119.9999999999982</v>
      </c>
      <c r="BX2074" s="343">
        <f>SUMIFS($AV$1388:AV2075,$Q$1388:Q2075,"F")</f>
        <v>382.80914667325266</v>
      </c>
      <c r="BY2074" s="343">
        <f>SUMIFS($AV$1388:AV2075,$Q$1388:Q2075,"S")</f>
        <v>706.32562762001328</v>
      </c>
      <c r="BZ2074" s="343">
        <f>SUMIFS($AV$1388:AV2075,$Q$1388:Q2075,"O")</f>
        <v>297.55929999973682</v>
      </c>
    </row>
    <row r="2075" spans="1:78" ht="15.75" customHeight="1">
      <c r="A2075" s="177" t="s">
        <v>6310</v>
      </c>
      <c r="B2075" s="200"/>
      <c r="C2075" s="178"/>
      <c r="D2075" s="178"/>
      <c r="E2075" s="227"/>
      <c r="F2075" s="180"/>
      <c r="G2075" s="181"/>
      <c r="H2075" s="182"/>
      <c r="I2075" s="182"/>
      <c r="J2075" s="182"/>
      <c r="K2075" s="183"/>
      <c r="L2075" s="182"/>
      <c r="M2075" s="182"/>
      <c r="N2075" s="182"/>
      <c r="O2075" s="183"/>
      <c r="P2075" s="183"/>
      <c r="Q2075" s="183"/>
      <c r="R2075" s="183"/>
      <c r="S2075" s="183"/>
      <c r="T2075" s="183"/>
      <c r="U2075" s="183"/>
      <c r="V2075" s="183"/>
      <c r="W2075" s="183"/>
      <c r="X2075" s="183"/>
      <c r="Y2075" s="183"/>
      <c r="Z2075" s="183"/>
      <c r="AA2075" s="185"/>
      <c r="AB2075" s="185"/>
      <c r="AC2075" s="185"/>
      <c r="AD2075" s="649"/>
      <c r="AE2075" s="182"/>
      <c r="AF2075" s="332"/>
      <c r="AG2075" s="182"/>
      <c r="AH2075" s="182"/>
      <c r="AI2075" s="182"/>
      <c r="AJ2075" s="640"/>
      <c r="AK2075" s="182"/>
      <c r="AL2075" s="496">
        <f t="shared" si="695"/>
        <v>0</v>
      </c>
      <c r="AM2075" s="496">
        <f t="shared" si="694"/>
        <v>0</v>
      </c>
      <c r="AN2075" s="626"/>
      <c r="AO2075" s="182"/>
      <c r="AP2075" s="182"/>
      <c r="AQ2075" s="332" t="str">
        <f>UPPER(RIGHT(Journal_Live[[#This Row],[DURATION ]]))</f>
        <v/>
      </c>
      <c r="AR2075" s="182"/>
      <c r="AS2075" s="189"/>
      <c r="AT2075" s="189"/>
      <c r="AU2075" s="187"/>
      <c r="AV2075" s="190"/>
      <c r="AW2075" s="191"/>
      <c r="AX2075" s="551" t="s">
        <v>6678</v>
      </c>
      <c r="AY2075" s="551" t="s">
        <v>6679</v>
      </c>
      <c r="AZ2075" s="551"/>
      <c r="BA2075" s="551"/>
      <c r="BB2075" s="551"/>
      <c r="BC2075" s="551"/>
      <c r="BD2075" s="549"/>
      <c r="BE2075" s="550"/>
      <c r="BF2075" s="549"/>
      <c r="BG2075" s="391">
        <f>SUM($AV$1389:AV2075)</f>
        <v>3634.6940742930087</v>
      </c>
      <c r="BH2075" s="392">
        <f>SUM($AU$1389:AU2075)</f>
        <v>39010.639220779361</v>
      </c>
      <c r="BI2075" s="318">
        <f>SUMIFS($AU$1388:AU2076,$Q$1388:Q2076,"F")</f>
        <v>25293.293506493508</v>
      </c>
      <c r="BJ2075" s="318">
        <f>SUMIFS($AU$1388:AU2076,$Q$1388:Q2076,"S")</f>
        <v>17842.285714285714</v>
      </c>
      <c r="BK2075" s="343">
        <f>SUMIFS($AU$1388:AU2076,$P$1388:P2076,"W")</f>
        <v>23336.759220779561</v>
      </c>
      <c r="BL2075" s="343">
        <f>SUMIFS($AU$1388:AU2076,$P$1388:P2076,"R")</f>
        <v>13226.00000000016</v>
      </c>
      <c r="BM2075" s="343">
        <f>SUMIFS($AU$1388:AU2076,$AQ$1388:AQ2076,"M")</f>
        <v>9567.1799999991417</v>
      </c>
      <c r="BN2075" s="343">
        <f>SUMIFS($AU$1388:AU2076,$AQ$1388:AQ2076,"H")</f>
        <v>12363.200000000876</v>
      </c>
      <c r="BO2075" s="343">
        <f>SUMIFS($AU$1388:AU2076,$AQ$1388:AQ2076,"D")</f>
        <v>334.99285714273992</v>
      </c>
      <c r="BP2075" s="343">
        <f>SUMIFS($AS$1388:AS2704,$AO$1388:AO2704,"W")</f>
        <v>0</v>
      </c>
      <c r="BQ2075" s="343">
        <f>SUMIFS($AU$1388:AU2076,$Q$1388:Q2076,"O")</f>
        <v>-5848.9399999998504</v>
      </c>
      <c r="BR2075" s="343">
        <f>SUMIFS($AU$1388:AU2076,$AA$1388:AA2076,"*")</f>
        <v>29471.122077921998</v>
      </c>
      <c r="BS2075" s="343">
        <f>SUMIFS($AU$1388:AU2076,$AB$1388:AB2076,"*")</f>
        <v>10383.860000000041</v>
      </c>
      <c r="BT2075" s="343">
        <f>SUMIFS($AU$1388:AU2076,$AC$1388:AC2076,"*")</f>
        <v>30333.293506493676</v>
      </c>
      <c r="BU2075" s="343">
        <f>SUMIFS($AU$1388:AU2076,$AA$1388:AA2076,"*",$AB$1388:AB2076,"*")</f>
        <v>5423.9999999998217</v>
      </c>
      <c r="BV2075" s="343">
        <f>SUMIFS($AU$1388:AU2076,$AA$1388:AA2076,"*",$AC$1388:AC2076,"*")</f>
        <v>21913.636363636531</v>
      </c>
      <c r="BW2075" s="343">
        <f>SUMIFS($AU$1388:AU2076,$AB$1388:AB2076,"*",$AC$1388:AC2076,"*")</f>
        <v>7119.9999999999982</v>
      </c>
      <c r="BX2075" s="343">
        <f>SUMIFS($AV$1388:AV2076,$Q$1388:Q2076,"F")</f>
        <v>382.80914667325266</v>
      </c>
      <c r="BY2075" s="343">
        <f>SUMIFS($AV$1388:AV2076,$Q$1388:Q2076,"S")</f>
        <v>706.32562762001328</v>
      </c>
      <c r="BZ2075" s="343">
        <f>SUMIFS($AV$1388:AV2076,$Q$1388:Q2076,"O")</f>
        <v>297.55929999973682</v>
      </c>
    </row>
    <row r="2076" spans="1:78" ht="15.75" customHeight="1">
      <c r="A2076" s="177" t="s">
        <v>6310</v>
      </c>
      <c r="B2076" s="200"/>
      <c r="C2076" s="178"/>
      <c r="D2076" s="178"/>
      <c r="E2076" s="227"/>
      <c r="F2076" s="180"/>
      <c r="G2076" s="181"/>
      <c r="H2076" s="182"/>
      <c r="I2076" s="182"/>
      <c r="J2076" s="182"/>
      <c r="K2076" s="183"/>
      <c r="L2076" s="182"/>
      <c r="M2076" s="182"/>
      <c r="N2076" s="182"/>
      <c r="O2076" s="183"/>
      <c r="P2076" s="183"/>
      <c r="Q2076" s="183"/>
      <c r="R2076" s="183"/>
      <c r="S2076" s="183"/>
      <c r="T2076" s="183"/>
      <c r="U2076" s="183"/>
      <c r="V2076" s="183"/>
      <c r="W2076" s="183"/>
      <c r="X2076" s="183"/>
      <c r="Y2076" s="183"/>
      <c r="Z2076" s="183"/>
      <c r="AA2076" s="185"/>
      <c r="AB2076" s="185"/>
      <c r="AC2076" s="185"/>
      <c r="AD2076" s="649"/>
      <c r="AE2076" s="182"/>
      <c r="AF2076" s="332"/>
      <c r="AG2076" s="182"/>
      <c r="AH2076" s="182"/>
      <c r="AI2076" s="182"/>
      <c r="AJ2076" s="640"/>
      <c r="AK2076" s="182"/>
      <c r="AL2076" s="496">
        <f t="shared" si="695"/>
        <v>0</v>
      </c>
      <c r="AM2076" s="496">
        <f t="shared" si="694"/>
        <v>0</v>
      </c>
      <c r="AN2076" s="626"/>
      <c r="AO2076" s="182"/>
      <c r="AP2076" s="182"/>
      <c r="AQ2076" s="332" t="str">
        <f>UPPER(RIGHT(Journal_Live[[#This Row],[DURATION ]]))</f>
        <v/>
      </c>
      <c r="AR2076" s="182"/>
      <c r="AS2076" s="189"/>
      <c r="AT2076" s="189"/>
      <c r="AU2076" s="187"/>
      <c r="AV2076" s="190"/>
      <c r="AW2076" s="191"/>
      <c r="AX2076" s="551" t="s">
        <v>6680</v>
      </c>
      <c r="AY2076" s="551"/>
      <c r="AZ2076" s="551"/>
      <c r="BA2076" s="551"/>
      <c r="BB2076" s="551"/>
      <c r="BC2076" s="551"/>
      <c r="BD2076" s="549"/>
      <c r="BE2076" s="550"/>
      <c r="BF2076" s="549"/>
      <c r="BG2076" s="391">
        <f>SUM($AV$1389:AV2076)</f>
        <v>3634.6940742930087</v>
      </c>
      <c r="BH2076" s="392">
        <f>SUM($AU$1389:AU2076)</f>
        <v>39010.639220779361</v>
      </c>
      <c r="BI2076" s="318">
        <f>SUMIFS($AU$1388:AU2094,$Q$1388:Q2094,"F")</f>
        <v>27533.293506493508</v>
      </c>
      <c r="BJ2076" s="318">
        <f>SUMIFS($AU$1388:AU2094,$Q$1388:Q2094,"S")</f>
        <v>17842.285714285714</v>
      </c>
      <c r="BK2076" s="343">
        <f>SUMIFS($AU$1388:AU2094,$P$1388:P2094,"W")</f>
        <v>25576.759220779561</v>
      </c>
      <c r="BL2076" s="343">
        <f>SUMIFS($AU$1388:AU2094,$P$1388:P2094,"R")</f>
        <v>13226.00000000016</v>
      </c>
      <c r="BM2076" s="343">
        <f>SUMIFS($AU$1388:AU2094,$AQ$1388:AQ2094,"M")</f>
        <v>9567.1799999991417</v>
      </c>
      <c r="BN2076" s="343">
        <f>SUMIFS($AU$1388:AU2094,$AQ$1388:AQ2094,"H")</f>
        <v>12363.200000000876</v>
      </c>
      <c r="BO2076" s="343">
        <f>SUMIFS($AU$1388:AU2094,$AQ$1388:AQ2094,"D")</f>
        <v>2574.9928571427413</v>
      </c>
      <c r="BP2076" s="343">
        <f>SUMIFS($AS$1388:AS2705,$AO$1388:AO2705,"W")</f>
        <v>0</v>
      </c>
      <c r="BQ2076" s="343">
        <f>SUMIFS($AU$1388:AU2094,$Q$1388:Q2094,"O")</f>
        <v>-5848.9399999998504</v>
      </c>
      <c r="BR2076" s="343">
        <f>SUMIFS($AU$1388:AU2094,$AA$1388:AA2094,"*")</f>
        <v>31711.122077921998</v>
      </c>
      <c r="BS2076" s="343">
        <f>SUMIFS($AU$1388:AU2094,$AB$1388:AB2094,"*")</f>
        <v>12623.860000000042</v>
      </c>
      <c r="BT2076" s="343">
        <f>SUMIFS($AU$1388:AU2094,$AC$1388:AC2094,"*")</f>
        <v>32573.293506493676</v>
      </c>
      <c r="BU2076" s="343">
        <f>SUMIFS($AU$1388:AU2094,$AA$1388:AA2094,"*",$AB$1388:AB2094,"*")</f>
        <v>7663.9999999998236</v>
      </c>
      <c r="BV2076" s="343">
        <f>SUMIFS($AU$1388:AU2094,$AA$1388:AA2094,"*",$AC$1388:AC2094,"*")</f>
        <v>24153.636363636531</v>
      </c>
      <c r="BW2076" s="343">
        <f>SUMIFS($AU$1388:AU2094,$AB$1388:AB2094,"*",$AC$1388:AC2094,"*")</f>
        <v>9360</v>
      </c>
      <c r="BX2076" s="343">
        <f>SUMIFS($AV$1388:AV2094,$Q$1388:Q2094,"F")</f>
        <v>400.72914667325267</v>
      </c>
      <c r="BY2076" s="343">
        <f>SUMIFS($AV$1388:AV2094,$Q$1388:Q2094,"S")</f>
        <v>706.32562762001328</v>
      </c>
      <c r="BZ2076" s="343">
        <f>SUMIFS($AV$1388:AV2094,$Q$1388:Q2094,"O")</f>
        <v>297.55929999973682</v>
      </c>
    </row>
    <row r="2077" spans="1:78" ht="15.75" customHeight="1">
      <c r="A2077" s="177" t="s">
        <v>6310</v>
      </c>
      <c r="B2077" s="200"/>
      <c r="C2077" s="178"/>
      <c r="D2077" s="178"/>
      <c r="E2077" s="227"/>
      <c r="F2077" s="180"/>
      <c r="G2077" s="181"/>
      <c r="H2077" s="182"/>
      <c r="I2077" s="182"/>
      <c r="J2077" s="182"/>
      <c r="K2077" s="183"/>
      <c r="L2077" s="182"/>
      <c r="M2077" s="182"/>
      <c r="N2077" s="182"/>
      <c r="O2077" s="183"/>
      <c r="P2077" s="183"/>
      <c r="Q2077" s="183"/>
      <c r="R2077" s="183"/>
      <c r="S2077" s="183"/>
      <c r="T2077" s="183"/>
      <c r="U2077" s="183"/>
      <c r="V2077" s="183"/>
      <c r="W2077" s="183"/>
      <c r="X2077" s="183"/>
      <c r="Y2077" s="183"/>
      <c r="Z2077" s="183"/>
      <c r="AA2077" s="185"/>
      <c r="AB2077" s="185"/>
      <c r="AC2077" s="185"/>
      <c r="AD2077" s="649"/>
      <c r="AE2077" s="182"/>
      <c r="AF2077" s="332"/>
      <c r="AG2077" s="182"/>
      <c r="AH2077" s="182"/>
      <c r="AI2077" s="182"/>
      <c r="AJ2077" s="640"/>
      <c r="AK2077" s="182"/>
      <c r="AL2077" s="496">
        <f t="shared" si="695"/>
        <v>0</v>
      </c>
      <c r="AM2077" s="496">
        <f t="shared" si="694"/>
        <v>0</v>
      </c>
      <c r="AN2077" s="626"/>
      <c r="AO2077" s="182"/>
      <c r="AP2077" s="182"/>
      <c r="AQ2077" s="332" t="str">
        <f>UPPER(RIGHT(Journal_Live[[#This Row],[DURATION ]]))</f>
        <v/>
      </c>
      <c r="AR2077" s="182"/>
      <c r="AS2077" s="189"/>
      <c r="AT2077" s="189"/>
      <c r="AU2077" s="187"/>
      <c r="AV2077" s="190"/>
      <c r="AW2077" s="191"/>
      <c r="AX2077" s="551"/>
      <c r="AY2077" s="551"/>
      <c r="AZ2077" s="551"/>
      <c r="BA2077" s="551"/>
      <c r="BB2077" s="551"/>
      <c r="BC2077" s="551"/>
      <c r="BD2077" s="549"/>
      <c r="BE2077" s="550"/>
      <c r="BF2077" s="549"/>
      <c r="BG2077" s="391">
        <f>SUM($AV$1389:AV2077)</f>
        <v>3634.6940742930087</v>
      </c>
      <c r="BH2077" s="392">
        <f>SUM($AU$1389:AU2077)</f>
        <v>39010.639220779361</v>
      </c>
      <c r="BI2077" s="318">
        <f>SUMIFS($AU$1388:AU2078,$Q$1388:Q2078,"F")</f>
        <v>25293.293506493508</v>
      </c>
      <c r="BJ2077" s="318">
        <f>SUMIFS($AU$1388:AU2078,$Q$1388:Q2078,"S")</f>
        <v>17842.285714285714</v>
      </c>
      <c r="BK2077" s="343">
        <f>SUMIFS($AU$1388:AU2078,$P$1388:P2078,"W")</f>
        <v>23336.759220779561</v>
      </c>
      <c r="BL2077" s="343">
        <f>SUMIFS($AU$1388:AU2078,$P$1388:P2078,"R")</f>
        <v>13226.00000000016</v>
      </c>
      <c r="BM2077" s="343">
        <f>SUMIFS($AU$1388:AU2078,$AQ$1388:AQ2078,"M")</f>
        <v>9567.1799999991417</v>
      </c>
      <c r="BN2077" s="343">
        <f>SUMIFS($AU$1388:AU2078,$AQ$1388:AQ2078,"H")</f>
        <v>12363.200000000876</v>
      </c>
      <c r="BO2077" s="343">
        <f>SUMIFS($AU$1388:AU2078,$AQ$1388:AQ2078,"D")</f>
        <v>334.99285714273992</v>
      </c>
      <c r="BP2077" s="343">
        <f>SUMIFS($AS$1388:AS2691,$AO$1388:AO2691,"W")</f>
        <v>0</v>
      </c>
      <c r="BQ2077" s="343">
        <f>SUMIFS($AU$1388:AU2078,$Q$1388:Q2078,"O")</f>
        <v>-5848.9399999998504</v>
      </c>
      <c r="BR2077" s="343">
        <f>SUMIFS($AU$1388:AU2078,$AA$1388:AA2078,"*")</f>
        <v>29471.122077921998</v>
      </c>
      <c r="BS2077" s="343">
        <f>SUMIFS($AU$1388:AU2078,$AB$1388:AB2078,"*")</f>
        <v>10383.860000000041</v>
      </c>
      <c r="BT2077" s="343">
        <f>SUMIFS($AU$1388:AU2078,$AC$1388:AC2078,"*")</f>
        <v>30333.293506493676</v>
      </c>
      <c r="BU2077" s="343">
        <f>SUMIFS($AU$1388:AU2078,$AA$1388:AA2078,"*",$AB$1388:AB2078,"*")</f>
        <v>5423.9999999998217</v>
      </c>
      <c r="BV2077" s="343">
        <f>SUMIFS($AU$1388:AU2078,$AA$1388:AA2078,"*",$AC$1388:AC2078,"*")</f>
        <v>21913.636363636531</v>
      </c>
      <c r="BW2077" s="343">
        <f>SUMIFS($AU$1388:AU2078,$AB$1388:AB2078,"*",$AC$1388:AC2078,"*")</f>
        <v>7119.9999999999982</v>
      </c>
      <c r="BX2077" s="343">
        <f>SUMIFS($AV$1388:AV2078,$Q$1388:Q2078,"F")</f>
        <v>382.80914667325266</v>
      </c>
      <c r="BY2077" s="343">
        <f>SUMIFS($AV$1388:AV2078,$Q$1388:Q2078,"S")</f>
        <v>706.32562762001328</v>
      </c>
      <c r="BZ2077" s="343">
        <f>SUMIFS($AV$1388:AV2078,$Q$1388:Q2078,"O")</f>
        <v>297.55929999973682</v>
      </c>
    </row>
    <row r="2078" spans="1:78" ht="15.75" customHeight="1">
      <c r="A2078" s="177" t="s">
        <v>6310</v>
      </c>
      <c r="B2078" s="200"/>
      <c r="C2078" s="178"/>
      <c r="D2078" s="178"/>
      <c r="E2078" s="227"/>
      <c r="F2078" s="180"/>
      <c r="G2078" s="181"/>
      <c r="H2078" s="182"/>
      <c r="I2078" s="182"/>
      <c r="J2078" s="182"/>
      <c r="K2078" s="183"/>
      <c r="L2078" s="182"/>
      <c r="M2078" s="182"/>
      <c r="N2078" s="182"/>
      <c r="O2078" s="183"/>
      <c r="P2078" s="183"/>
      <c r="Q2078" s="183"/>
      <c r="R2078" s="183"/>
      <c r="S2078" s="183"/>
      <c r="T2078" s="183"/>
      <c r="U2078" s="183"/>
      <c r="V2078" s="183"/>
      <c r="W2078" s="183"/>
      <c r="X2078" s="183"/>
      <c r="Y2078" s="183"/>
      <c r="Z2078" s="183"/>
      <c r="AA2078" s="185"/>
      <c r="AB2078" s="185"/>
      <c r="AC2078" s="185"/>
      <c r="AD2078" s="649"/>
      <c r="AE2078" s="182"/>
      <c r="AF2078" s="332"/>
      <c r="AG2078" s="182"/>
      <c r="AH2078" s="182"/>
      <c r="AI2078" s="182"/>
      <c r="AJ2078" s="640"/>
      <c r="AK2078" s="182"/>
      <c r="AL2078" s="496">
        <f t="shared" si="695"/>
        <v>0</v>
      </c>
      <c r="AM2078" s="496">
        <f t="shared" si="694"/>
        <v>0</v>
      </c>
      <c r="AN2078" s="626"/>
      <c r="AO2078" s="182"/>
      <c r="AP2078" s="182"/>
      <c r="AQ2078" s="332" t="str">
        <f>UPPER(RIGHT(Journal_Live[[#This Row],[DURATION ]]))</f>
        <v/>
      </c>
      <c r="AR2078" s="182"/>
      <c r="AS2078" s="189"/>
      <c r="AT2078" s="189"/>
      <c r="AU2078" s="187"/>
      <c r="AV2078" s="190"/>
      <c r="AW2078" s="191"/>
      <c r="AX2078" s="551" t="s">
        <v>6501</v>
      </c>
      <c r="AY2078" s="551" t="s">
        <v>6643</v>
      </c>
      <c r="AZ2078" s="551" t="s">
        <v>6201</v>
      </c>
      <c r="BA2078" s="551" t="s">
        <v>6644</v>
      </c>
      <c r="BB2078" s="551"/>
      <c r="BC2078" s="551"/>
      <c r="BD2078" s="549"/>
      <c r="BE2078" s="550"/>
      <c r="BF2078" s="549"/>
      <c r="BG2078" s="391">
        <f>SUM($AV$1389:AV2078)</f>
        <v>3634.6940742930087</v>
      </c>
      <c r="BH2078" s="392">
        <f>SUM($AU$1389:AU2078)</f>
        <v>39010.639220779361</v>
      </c>
      <c r="BI2078" s="318">
        <f>SUMIFS($AU$1388:AU2079,$Q$1388:Q2079,"F")</f>
        <v>25293.293506493508</v>
      </c>
      <c r="BJ2078" s="318">
        <f>SUMIFS($AU$1388:AU2079,$Q$1388:Q2079,"S")</f>
        <v>17842.285714285714</v>
      </c>
      <c r="BK2078" s="343">
        <f>SUMIFS($AU$1388:AU2079,$P$1388:P2079,"W")</f>
        <v>23336.759220779561</v>
      </c>
      <c r="BL2078" s="343">
        <f>SUMIFS($AU$1388:AU2079,$P$1388:P2079,"R")</f>
        <v>13226.00000000016</v>
      </c>
      <c r="BM2078" s="343">
        <f>SUMIFS($AU$1388:AU2079,$AQ$1388:AQ2079,"M")</f>
        <v>9567.1799999991417</v>
      </c>
      <c r="BN2078" s="343">
        <f>SUMIFS($AU$1388:AU2079,$AQ$1388:AQ2079,"H")</f>
        <v>12363.200000000876</v>
      </c>
      <c r="BO2078" s="343">
        <f>SUMIFS($AU$1388:AU2079,$AQ$1388:AQ2079,"D")</f>
        <v>334.99285714273992</v>
      </c>
      <c r="BP2078" s="343">
        <f>SUMIFS($AS$1388:AS2692,$AO$1388:AO2692,"W")</f>
        <v>0</v>
      </c>
      <c r="BQ2078" s="343">
        <f>SUMIFS($AU$1388:AU2079,$Q$1388:Q2079,"O")</f>
        <v>-5848.9399999998504</v>
      </c>
      <c r="BR2078" s="343">
        <f>SUMIFS($AU$1388:AU2079,$AA$1388:AA2079,"*")</f>
        <v>29471.122077921998</v>
      </c>
      <c r="BS2078" s="343">
        <f>SUMIFS($AU$1388:AU2079,$AB$1388:AB2079,"*")</f>
        <v>10383.860000000041</v>
      </c>
      <c r="BT2078" s="343">
        <f>SUMIFS($AU$1388:AU2079,$AC$1388:AC2079,"*")</f>
        <v>30333.293506493676</v>
      </c>
      <c r="BU2078" s="343">
        <f>SUMIFS($AU$1388:AU2079,$AA$1388:AA2079,"*",$AB$1388:AB2079,"*")</f>
        <v>5423.9999999998217</v>
      </c>
      <c r="BV2078" s="343">
        <f>SUMIFS($AU$1388:AU2079,$AA$1388:AA2079,"*",$AC$1388:AC2079,"*")</f>
        <v>21913.636363636531</v>
      </c>
      <c r="BW2078" s="343">
        <f>SUMIFS($AU$1388:AU2079,$AB$1388:AB2079,"*",$AC$1388:AC2079,"*")</f>
        <v>7119.9999999999982</v>
      </c>
      <c r="BX2078" s="343">
        <f>SUMIFS($AV$1388:AV2079,$Q$1388:Q2079,"F")</f>
        <v>382.80914667325266</v>
      </c>
      <c r="BY2078" s="343">
        <f>SUMIFS($AV$1388:AV2079,$Q$1388:Q2079,"S")</f>
        <v>706.32562762001328</v>
      </c>
      <c r="BZ2078" s="343">
        <f>SUMIFS($AV$1388:AV2079,$Q$1388:Q2079,"O")</f>
        <v>297.55929999973682</v>
      </c>
    </row>
    <row r="2079" spans="1:78" ht="15.75" customHeight="1">
      <c r="A2079" s="177" t="s">
        <v>6310</v>
      </c>
      <c r="B2079" s="200"/>
      <c r="C2079" s="178"/>
      <c r="D2079" s="178"/>
      <c r="E2079" s="227"/>
      <c r="F2079" s="180"/>
      <c r="G2079" s="181"/>
      <c r="H2079" s="182"/>
      <c r="I2079" s="182"/>
      <c r="J2079" s="182"/>
      <c r="K2079" s="183"/>
      <c r="L2079" s="182"/>
      <c r="M2079" s="182"/>
      <c r="N2079" s="182"/>
      <c r="O2079" s="183"/>
      <c r="P2079" s="183"/>
      <c r="Q2079" s="183"/>
      <c r="R2079" s="183"/>
      <c r="S2079" s="183"/>
      <c r="T2079" s="183"/>
      <c r="U2079" s="183"/>
      <c r="V2079" s="183"/>
      <c r="W2079" s="183"/>
      <c r="X2079" s="183"/>
      <c r="Y2079" s="183"/>
      <c r="Z2079" s="183"/>
      <c r="AA2079" s="185"/>
      <c r="AB2079" s="185"/>
      <c r="AC2079" s="185"/>
      <c r="AD2079" s="649"/>
      <c r="AE2079" s="182"/>
      <c r="AF2079" s="332"/>
      <c r="AG2079" s="182"/>
      <c r="AH2079" s="182"/>
      <c r="AI2079" s="182"/>
      <c r="AJ2079" s="640"/>
      <c r="AK2079" s="182"/>
      <c r="AL2079" s="496">
        <f t="shared" si="695"/>
        <v>0</v>
      </c>
      <c r="AM2079" s="496">
        <f t="shared" si="694"/>
        <v>0</v>
      </c>
      <c r="AN2079" s="626"/>
      <c r="AO2079" s="182"/>
      <c r="AP2079" s="182"/>
      <c r="AQ2079" s="332" t="str">
        <f>UPPER(RIGHT(Journal_Live[[#This Row],[DURATION ]]))</f>
        <v/>
      </c>
      <c r="AR2079" s="182"/>
      <c r="AS2079" s="189"/>
      <c r="AT2079" s="189"/>
      <c r="AU2079" s="187"/>
      <c r="AV2079" s="190"/>
      <c r="AW2079" s="191"/>
      <c r="AX2079" s="551" t="s">
        <v>6681</v>
      </c>
      <c r="AY2079" s="551" t="s">
        <v>6682</v>
      </c>
      <c r="AZ2079" s="549" t="s">
        <v>6683</v>
      </c>
      <c r="BA2079" s="551" t="s">
        <v>6684</v>
      </c>
      <c r="BB2079" s="549" t="s">
        <v>6685</v>
      </c>
      <c r="BC2079" s="551" t="s">
        <v>6686</v>
      </c>
      <c r="BD2079" s="549" t="s">
        <v>6687</v>
      </c>
      <c r="BE2079" s="550"/>
      <c r="BF2079" s="549"/>
      <c r="BG2079" s="391">
        <f>SUM($AV$1389:AV2079)</f>
        <v>3634.6940742930087</v>
      </c>
      <c r="BH2079" s="392">
        <f>SUM($AU$1389:AU2079)</f>
        <v>39010.639220779361</v>
      </c>
      <c r="BI2079" s="318">
        <f>SUMIFS($AU$1388:AU2080,$Q$1388:Q2080,"F")</f>
        <v>25293.293506493508</v>
      </c>
      <c r="BJ2079" s="318">
        <f>SUMIFS($AU$1388:AU2080,$Q$1388:Q2080,"S")</f>
        <v>17842.285714285714</v>
      </c>
      <c r="BK2079" s="343">
        <f>SUMIFS($AU$1388:AU2080,$P$1388:P2080,"W")</f>
        <v>23336.759220779561</v>
      </c>
      <c r="BL2079" s="343">
        <f>SUMIFS($AU$1388:AU2080,$P$1388:P2080,"R")</f>
        <v>13226.00000000016</v>
      </c>
      <c r="BM2079" s="343">
        <f>SUMIFS($AU$1388:AU2080,$AQ$1388:AQ2080,"M")</f>
        <v>9567.1799999991417</v>
      </c>
      <c r="BN2079" s="343">
        <f>SUMIFS($AU$1388:AU2080,$AQ$1388:AQ2080,"H")</f>
        <v>12363.200000000876</v>
      </c>
      <c r="BO2079" s="343">
        <f>SUMIFS($AU$1388:AU2080,$AQ$1388:AQ2080,"D")</f>
        <v>334.99285714273992</v>
      </c>
      <c r="BP2079" s="343">
        <f>SUMIFS($AS$1388:AS2693,$AO$1388:AO2693,"W")</f>
        <v>0</v>
      </c>
      <c r="BQ2079" s="343">
        <f>SUMIFS($AU$1388:AU2080,$Q$1388:Q2080,"O")</f>
        <v>-5848.9399999998504</v>
      </c>
      <c r="BR2079" s="343">
        <f>SUMIFS($AU$1388:AU2080,$AA$1388:AA2080,"*")</f>
        <v>29471.122077921998</v>
      </c>
      <c r="BS2079" s="343">
        <f>SUMIFS($AU$1388:AU2080,$AB$1388:AB2080,"*")</f>
        <v>10383.860000000041</v>
      </c>
      <c r="BT2079" s="343">
        <f>SUMIFS($AU$1388:AU2080,$AC$1388:AC2080,"*")</f>
        <v>30333.293506493676</v>
      </c>
      <c r="BU2079" s="343">
        <f>SUMIFS($AU$1388:AU2080,$AA$1388:AA2080,"*",$AB$1388:AB2080,"*")</f>
        <v>5423.9999999998217</v>
      </c>
      <c r="BV2079" s="343">
        <f>SUMIFS($AU$1388:AU2080,$AA$1388:AA2080,"*",$AC$1388:AC2080,"*")</f>
        <v>21913.636363636531</v>
      </c>
      <c r="BW2079" s="343">
        <f>SUMIFS($AU$1388:AU2080,$AB$1388:AB2080,"*",$AC$1388:AC2080,"*")</f>
        <v>7119.9999999999982</v>
      </c>
      <c r="BX2079" s="343">
        <f>SUMIFS($AV$1388:AV2080,$Q$1388:Q2080,"F")</f>
        <v>382.80914667325266</v>
      </c>
      <c r="BY2079" s="343">
        <f>SUMIFS($AV$1388:AV2080,$Q$1388:Q2080,"S")</f>
        <v>706.32562762001328</v>
      </c>
      <c r="BZ2079" s="343">
        <f>SUMIFS($AV$1388:AV2080,$Q$1388:Q2080,"O")</f>
        <v>297.55929999973682</v>
      </c>
    </row>
    <row r="2080" spans="1:78" ht="15.75" customHeight="1">
      <c r="A2080" s="177" t="s">
        <v>6310</v>
      </c>
      <c r="B2080" s="200"/>
      <c r="C2080" s="178"/>
      <c r="D2080" s="178"/>
      <c r="E2080" s="227"/>
      <c r="F2080" s="180"/>
      <c r="G2080" s="181"/>
      <c r="H2080" s="182"/>
      <c r="I2080" s="182"/>
      <c r="J2080" s="182"/>
      <c r="K2080" s="183"/>
      <c r="L2080" s="182"/>
      <c r="M2080" s="182"/>
      <c r="N2080" s="182"/>
      <c r="O2080" s="183"/>
      <c r="P2080" s="183"/>
      <c r="Q2080" s="183"/>
      <c r="R2080" s="183"/>
      <c r="S2080" s="183"/>
      <c r="T2080" s="183"/>
      <c r="U2080" s="183"/>
      <c r="V2080" s="183"/>
      <c r="W2080" s="183"/>
      <c r="X2080" s="183"/>
      <c r="Y2080" s="183"/>
      <c r="Z2080" s="183"/>
      <c r="AA2080" s="185"/>
      <c r="AB2080" s="185"/>
      <c r="AC2080" s="185"/>
      <c r="AD2080" s="649"/>
      <c r="AE2080" s="182"/>
      <c r="AF2080" s="332"/>
      <c r="AG2080" s="182"/>
      <c r="AH2080" s="182"/>
      <c r="AI2080" s="182"/>
      <c r="AJ2080" s="640"/>
      <c r="AK2080" s="182"/>
      <c r="AL2080" s="496">
        <f t="shared" si="695"/>
        <v>0</v>
      </c>
      <c r="AM2080" s="496">
        <f t="shared" si="694"/>
        <v>0</v>
      </c>
      <c r="AN2080" s="626"/>
      <c r="AO2080" s="182"/>
      <c r="AP2080" s="182"/>
      <c r="AQ2080" s="332" t="str">
        <f>UPPER(RIGHT(Journal_Live[[#This Row],[DURATION ]]))</f>
        <v/>
      </c>
      <c r="AR2080" s="182"/>
      <c r="AS2080" s="189"/>
      <c r="AT2080" s="189"/>
      <c r="AU2080" s="187"/>
      <c r="AV2080" s="190"/>
      <c r="AW2080" s="191"/>
      <c r="AX2080" s="549" t="s">
        <v>6687</v>
      </c>
      <c r="AY2080" s="549" t="s">
        <v>6688</v>
      </c>
      <c r="AZ2080" s="551"/>
      <c r="BA2080" s="551"/>
      <c r="BB2080" s="551"/>
      <c r="BC2080" s="551"/>
      <c r="BD2080" s="549"/>
      <c r="BE2080" s="550"/>
      <c r="BF2080" s="549"/>
      <c r="BG2080" s="391">
        <f>SUM($AV$1389:AV2080)</f>
        <v>3634.6940742930087</v>
      </c>
      <c r="BH2080" s="392">
        <f>SUM($AU$1389:AU2080)</f>
        <v>39010.639220779361</v>
      </c>
      <c r="BI2080" s="318">
        <f>SUMIFS($AU$1388:AU2081,$Q$1388:Q2081,"F")</f>
        <v>25293.293506493508</v>
      </c>
      <c r="BJ2080" s="318">
        <f>SUMIFS($AU$1388:AU2081,$Q$1388:Q2081,"S")</f>
        <v>17842.285714285714</v>
      </c>
      <c r="BK2080" s="343">
        <f>SUMIFS($AU$1388:AU2081,$P$1388:P2081,"W")</f>
        <v>23336.759220779561</v>
      </c>
      <c r="BL2080" s="343">
        <f>SUMIFS($AU$1388:AU2081,$P$1388:P2081,"R")</f>
        <v>13226.00000000016</v>
      </c>
      <c r="BM2080" s="343">
        <f>SUMIFS($AU$1388:AU2081,$AQ$1388:AQ2081,"M")</f>
        <v>9567.1799999991417</v>
      </c>
      <c r="BN2080" s="343">
        <f>SUMIFS($AU$1388:AU2081,$AQ$1388:AQ2081,"H")</f>
        <v>12363.200000000876</v>
      </c>
      <c r="BO2080" s="343">
        <f>SUMIFS($AU$1388:AU2081,$AQ$1388:AQ2081,"D")</f>
        <v>334.99285714273992</v>
      </c>
      <c r="BP2080" s="343">
        <f>SUMIFS($AS$1388:AS2694,$AO$1388:AO2694,"W")</f>
        <v>0</v>
      </c>
      <c r="BQ2080" s="343">
        <f>SUMIFS($AU$1388:AU2081,$Q$1388:Q2081,"O")</f>
        <v>-5848.9399999998504</v>
      </c>
      <c r="BR2080" s="343">
        <f>SUMIFS($AU$1388:AU2081,$AA$1388:AA2081,"*")</f>
        <v>29471.122077921998</v>
      </c>
      <c r="BS2080" s="343">
        <f>SUMIFS($AU$1388:AU2081,$AB$1388:AB2081,"*")</f>
        <v>10383.860000000041</v>
      </c>
      <c r="BT2080" s="343">
        <f>SUMIFS($AU$1388:AU2081,$AC$1388:AC2081,"*")</f>
        <v>30333.293506493676</v>
      </c>
      <c r="BU2080" s="343">
        <f>SUMIFS($AU$1388:AU2081,$AA$1388:AA2081,"*",$AB$1388:AB2081,"*")</f>
        <v>5423.9999999998217</v>
      </c>
      <c r="BV2080" s="343">
        <f>SUMIFS($AU$1388:AU2081,$AA$1388:AA2081,"*",$AC$1388:AC2081,"*")</f>
        <v>21913.636363636531</v>
      </c>
      <c r="BW2080" s="343">
        <f>SUMIFS($AU$1388:AU2081,$AB$1388:AB2081,"*",$AC$1388:AC2081,"*")</f>
        <v>7119.9999999999982</v>
      </c>
      <c r="BX2080" s="343">
        <f>SUMIFS($AV$1388:AV2081,$Q$1388:Q2081,"F")</f>
        <v>382.80914667325266</v>
      </c>
      <c r="BY2080" s="343">
        <f>SUMIFS($AV$1388:AV2081,$Q$1388:Q2081,"S")</f>
        <v>706.32562762001328</v>
      </c>
      <c r="BZ2080" s="343">
        <f>SUMIFS($AV$1388:AV2081,$Q$1388:Q2081,"O")</f>
        <v>297.55929999973682</v>
      </c>
    </row>
    <row r="2081" spans="1:78" ht="15.75" customHeight="1">
      <c r="A2081" s="177" t="s">
        <v>6310</v>
      </c>
      <c r="B2081" s="200"/>
      <c r="C2081" s="178"/>
      <c r="D2081" s="178"/>
      <c r="E2081" s="227"/>
      <c r="F2081" s="180"/>
      <c r="G2081" s="181"/>
      <c r="H2081" s="182"/>
      <c r="I2081" s="182"/>
      <c r="J2081" s="182"/>
      <c r="K2081" s="183"/>
      <c r="L2081" s="182"/>
      <c r="M2081" s="182"/>
      <c r="N2081" s="182"/>
      <c r="O2081" s="183"/>
      <c r="P2081" s="183"/>
      <c r="Q2081" s="183"/>
      <c r="R2081" s="183"/>
      <c r="S2081" s="183"/>
      <c r="T2081" s="183"/>
      <c r="U2081" s="183"/>
      <c r="V2081" s="183"/>
      <c r="W2081" s="183"/>
      <c r="X2081" s="183"/>
      <c r="Y2081" s="183"/>
      <c r="Z2081" s="183"/>
      <c r="AA2081" s="185"/>
      <c r="AB2081" s="185"/>
      <c r="AC2081" s="185"/>
      <c r="AD2081" s="649"/>
      <c r="AE2081" s="182"/>
      <c r="AF2081" s="332"/>
      <c r="AG2081" s="182"/>
      <c r="AH2081" s="182"/>
      <c r="AI2081" s="182"/>
      <c r="AJ2081" s="640"/>
      <c r="AK2081" s="182"/>
      <c r="AL2081" s="496">
        <f t="shared" si="695"/>
        <v>0</v>
      </c>
      <c r="AM2081" s="496">
        <f t="shared" ref="AM2081:AM2112" si="698">AL2081*(R2081-S2081)</f>
        <v>0</v>
      </c>
      <c r="AN2081" s="626"/>
      <c r="AO2081" s="182"/>
      <c r="AP2081" s="182"/>
      <c r="AQ2081" s="332" t="str">
        <f>UPPER(RIGHT(Journal_Live[[#This Row],[DURATION ]]))</f>
        <v/>
      </c>
      <c r="AR2081" s="182"/>
      <c r="AS2081" s="189"/>
      <c r="AT2081" s="189"/>
      <c r="AU2081" s="187"/>
      <c r="AV2081" s="190"/>
      <c r="AW2081" s="191"/>
      <c r="AX2081" s="582"/>
      <c r="AY2081" s="551"/>
      <c r="AZ2081" s="551"/>
      <c r="BA2081" s="551"/>
      <c r="BB2081" s="551"/>
      <c r="BC2081" s="551"/>
      <c r="BD2081" s="549"/>
      <c r="BE2081" s="550"/>
      <c r="BF2081" s="549"/>
      <c r="BG2081" s="391">
        <f>SUM($AV$1389:AV2081)</f>
        <v>3634.6940742930087</v>
      </c>
      <c r="BH2081" s="392">
        <f>SUM($AU$1389:AU2081)</f>
        <v>39010.639220779361</v>
      </c>
      <c r="BI2081" s="318">
        <f>SUMIFS($AU$1388:AU2082,$Q$1388:Q2082,"F")</f>
        <v>25293.293506493508</v>
      </c>
      <c r="BJ2081" s="318">
        <f>SUMIFS($AU$1388:AU2082,$Q$1388:Q2082,"S")</f>
        <v>17842.285714285714</v>
      </c>
      <c r="BK2081" s="343">
        <f>SUMIFS($AU$1388:AU2082,$P$1388:P2082,"W")</f>
        <v>23336.759220779561</v>
      </c>
      <c r="BL2081" s="343">
        <f>SUMIFS($AU$1388:AU2082,$P$1388:P2082,"R")</f>
        <v>13226.00000000016</v>
      </c>
      <c r="BM2081" s="343">
        <f>SUMIFS($AU$1388:AU2082,$AQ$1388:AQ2082,"M")</f>
        <v>9567.1799999991417</v>
      </c>
      <c r="BN2081" s="343">
        <f>SUMIFS($AU$1388:AU2082,$AQ$1388:AQ2082,"H")</f>
        <v>12363.200000000876</v>
      </c>
      <c r="BO2081" s="343">
        <f>SUMIFS($AU$1388:AU2082,$AQ$1388:AQ2082,"D")</f>
        <v>334.99285714273992</v>
      </c>
      <c r="BP2081" s="343">
        <f>SUMIFS($AS$1388:AS2695,$AO$1388:AO2695,"W")</f>
        <v>0</v>
      </c>
      <c r="BQ2081" s="343">
        <f>SUMIFS($AU$1388:AU2082,$Q$1388:Q2082,"O")</f>
        <v>-5848.9399999998504</v>
      </c>
      <c r="BR2081" s="343">
        <f>SUMIFS($AU$1388:AU2082,$AA$1388:AA2082,"*")</f>
        <v>29471.122077921998</v>
      </c>
      <c r="BS2081" s="343">
        <f>SUMIFS($AU$1388:AU2082,$AB$1388:AB2082,"*")</f>
        <v>10383.860000000041</v>
      </c>
      <c r="BT2081" s="343">
        <f>SUMIFS($AU$1388:AU2082,$AC$1388:AC2082,"*")</f>
        <v>30333.293506493676</v>
      </c>
      <c r="BU2081" s="343">
        <f>SUMIFS($AU$1388:AU2082,$AA$1388:AA2082,"*",$AB$1388:AB2082,"*")</f>
        <v>5423.9999999998217</v>
      </c>
      <c r="BV2081" s="343">
        <f>SUMIFS($AU$1388:AU2082,$AA$1388:AA2082,"*",$AC$1388:AC2082,"*")</f>
        <v>21913.636363636531</v>
      </c>
      <c r="BW2081" s="343">
        <f>SUMIFS($AU$1388:AU2082,$AB$1388:AB2082,"*",$AC$1388:AC2082,"*")</f>
        <v>7119.9999999999982</v>
      </c>
      <c r="BX2081" s="343">
        <f>SUMIFS($AV$1388:AV2082,$Q$1388:Q2082,"F")</f>
        <v>382.80914667325266</v>
      </c>
      <c r="BY2081" s="343">
        <f>SUMIFS($AV$1388:AV2082,$Q$1388:Q2082,"S")</f>
        <v>706.32562762001328</v>
      </c>
      <c r="BZ2081" s="343">
        <f>SUMIFS($AV$1388:AV2082,$Q$1388:Q2082,"O")</f>
        <v>297.55929999973682</v>
      </c>
    </row>
    <row r="2082" spans="1:78" ht="15.75" customHeight="1">
      <c r="A2082" s="177" t="s">
        <v>6310</v>
      </c>
      <c r="B2082" s="200"/>
      <c r="C2082" s="178"/>
      <c r="D2082" s="178"/>
      <c r="E2082" s="227"/>
      <c r="F2082" s="180"/>
      <c r="G2082" s="181"/>
      <c r="H2082" s="182"/>
      <c r="I2082" s="182"/>
      <c r="J2082" s="182"/>
      <c r="K2082" s="183"/>
      <c r="L2082" s="182"/>
      <c r="M2082" s="182"/>
      <c r="N2082" s="182"/>
      <c r="O2082" s="183"/>
      <c r="P2082" s="183"/>
      <c r="Q2082" s="183"/>
      <c r="R2082" s="183"/>
      <c r="S2082" s="183"/>
      <c r="T2082" s="183"/>
      <c r="U2082" s="183"/>
      <c r="V2082" s="183"/>
      <c r="W2082" s="183"/>
      <c r="X2082" s="183"/>
      <c r="Y2082" s="183"/>
      <c r="Z2082" s="183"/>
      <c r="AA2082" s="185"/>
      <c r="AB2082" s="185"/>
      <c r="AC2082" s="185"/>
      <c r="AD2082" s="649"/>
      <c r="AE2082" s="182"/>
      <c r="AF2082" s="332"/>
      <c r="AG2082" s="182"/>
      <c r="AH2082" s="182"/>
      <c r="AI2082" s="182"/>
      <c r="AJ2082" s="640"/>
      <c r="AK2082" s="182"/>
      <c r="AL2082" s="496">
        <f t="shared" si="695"/>
        <v>0</v>
      </c>
      <c r="AM2082" s="496">
        <f t="shared" si="698"/>
        <v>0</v>
      </c>
      <c r="AN2082" s="626"/>
      <c r="AO2082" s="182"/>
      <c r="AP2082" s="182"/>
      <c r="AQ2082" s="332" t="str">
        <f>UPPER(RIGHT(Journal_Live[[#This Row],[DURATION ]]))</f>
        <v/>
      </c>
      <c r="AR2082" s="182"/>
      <c r="AS2082" s="189"/>
      <c r="AT2082" s="189"/>
      <c r="AU2082" s="187"/>
      <c r="AV2082" s="190"/>
      <c r="AW2082" s="191"/>
      <c r="AX2082" s="582" t="s">
        <v>5924</v>
      </c>
      <c r="AY2082" s="549" t="s">
        <v>6689</v>
      </c>
      <c r="AZ2082" s="551" t="s">
        <v>6690</v>
      </c>
      <c r="BA2082" s="549" t="s">
        <v>6691</v>
      </c>
      <c r="BB2082" s="549" t="s">
        <v>6692</v>
      </c>
      <c r="BC2082" s="551" t="s">
        <v>6693</v>
      </c>
      <c r="BD2082" s="549" t="s">
        <v>6694</v>
      </c>
      <c r="BE2082" s="550" t="s">
        <v>6695</v>
      </c>
      <c r="BF2082" s="549"/>
      <c r="BG2082" s="391">
        <f>SUM($AV$1389:AV2082)</f>
        <v>3634.6940742930087</v>
      </c>
      <c r="BH2082" s="392">
        <f>SUM($AU$1389:AU2082)</f>
        <v>39010.639220779361</v>
      </c>
      <c r="BI2082" s="318">
        <f>SUMIFS($AU$1388:AU2083,$Q$1388:Q2083,"F")</f>
        <v>25293.293506493508</v>
      </c>
      <c r="BJ2082" s="318">
        <f>SUMIFS($AU$1388:AU2083,$Q$1388:Q2083,"S")</f>
        <v>17842.285714285714</v>
      </c>
      <c r="BK2082" s="343">
        <f>SUMIFS($AU$1388:AU2083,$P$1388:P2083,"W")</f>
        <v>23336.759220779561</v>
      </c>
      <c r="BL2082" s="343">
        <f>SUMIFS($AU$1388:AU2083,$P$1388:P2083,"R")</f>
        <v>13226.00000000016</v>
      </c>
      <c r="BM2082" s="343">
        <f>SUMIFS($AU$1388:AU2083,$AQ$1388:AQ2083,"M")</f>
        <v>9567.1799999991417</v>
      </c>
      <c r="BN2082" s="343">
        <f>SUMIFS($AU$1388:AU2083,$AQ$1388:AQ2083,"H")</f>
        <v>12363.200000000876</v>
      </c>
      <c r="BO2082" s="343">
        <f>SUMIFS($AU$1388:AU2083,$AQ$1388:AQ2083,"D")</f>
        <v>334.99285714273992</v>
      </c>
      <c r="BP2082" s="343">
        <f>SUMIFS($AS$1388:AS2696,$AO$1388:AO2696,"W")</f>
        <v>0</v>
      </c>
      <c r="BQ2082" s="343">
        <f>SUMIFS($AU$1388:AU2083,$Q$1388:Q2083,"O")</f>
        <v>-5848.9399999998504</v>
      </c>
      <c r="BR2082" s="343">
        <f>SUMIFS($AU$1388:AU2083,$AA$1388:AA2083,"*")</f>
        <v>29471.122077921998</v>
      </c>
      <c r="BS2082" s="343">
        <f>SUMIFS($AU$1388:AU2083,$AB$1388:AB2083,"*")</f>
        <v>10383.860000000041</v>
      </c>
      <c r="BT2082" s="343">
        <f>SUMIFS($AU$1388:AU2083,$AC$1388:AC2083,"*")</f>
        <v>30333.293506493676</v>
      </c>
      <c r="BU2082" s="343">
        <f>SUMIFS($AU$1388:AU2083,$AA$1388:AA2083,"*",$AB$1388:AB2083,"*")</f>
        <v>5423.9999999998217</v>
      </c>
      <c r="BV2082" s="343">
        <f>SUMIFS($AU$1388:AU2083,$AA$1388:AA2083,"*",$AC$1388:AC2083,"*")</f>
        <v>21913.636363636531</v>
      </c>
      <c r="BW2082" s="343">
        <f>SUMIFS($AU$1388:AU2083,$AB$1388:AB2083,"*",$AC$1388:AC2083,"*")</f>
        <v>7119.9999999999982</v>
      </c>
      <c r="BX2082" s="343">
        <f>SUMIFS($AV$1388:AV2083,$Q$1388:Q2083,"F")</f>
        <v>382.80914667325266</v>
      </c>
      <c r="BY2082" s="343">
        <f>SUMIFS($AV$1388:AV2083,$Q$1388:Q2083,"S")</f>
        <v>706.32562762001328</v>
      </c>
      <c r="BZ2082" s="343">
        <f>SUMIFS($AV$1388:AV2083,$Q$1388:Q2083,"O")</f>
        <v>297.55929999973682</v>
      </c>
    </row>
    <row r="2083" spans="1:78" ht="15.75" customHeight="1">
      <c r="A2083" s="177" t="s">
        <v>6310</v>
      </c>
      <c r="B2083" s="200"/>
      <c r="C2083" s="178"/>
      <c r="D2083" s="178"/>
      <c r="E2083" s="227"/>
      <c r="F2083" s="180"/>
      <c r="G2083" s="181"/>
      <c r="H2083" s="182"/>
      <c r="I2083" s="182"/>
      <c r="J2083" s="182"/>
      <c r="K2083" s="183"/>
      <c r="L2083" s="182"/>
      <c r="M2083" s="182"/>
      <c r="N2083" s="182"/>
      <c r="O2083" s="183"/>
      <c r="P2083" s="183"/>
      <c r="Q2083" s="183"/>
      <c r="R2083" s="183"/>
      <c r="S2083" s="183"/>
      <c r="T2083" s="183"/>
      <c r="U2083" s="183"/>
      <c r="V2083" s="183"/>
      <c r="W2083" s="183"/>
      <c r="X2083" s="183"/>
      <c r="Y2083" s="183"/>
      <c r="Z2083" s="183"/>
      <c r="AA2083" s="185"/>
      <c r="AB2083" s="185"/>
      <c r="AC2083" s="185"/>
      <c r="AD2083" s="649"/>
      <c r="AE2083" s="182"/>
      <c r="AF2083" s="332"/>
      <c r="AG2083" s="182"/>
      <c r="AH2083" s="182"/>
      <c r="AI2083" s="182"/>
      <c r="AJ2083" s="640"/>
      <c r="AK2083" s="182"/>
      <c r="AL2083" s="496">
        <f t="shared" si="695"/>
        <v>0</v>
      </c>
      <c r="AM2083" s="496">
        <f t="shared" si="698"/>
        <v>0</v>
      </c>
      <c r="AN2083" s="626"/>
      <c r="AO2083" s="182"/>
      <c r="AP2083" s="182"/>
      <c r="AQ2083" s="332" t="str">
        <f>UPPER(RIGHT(Journal_Live[[#This Row],[DURATION ]]))</f>
        <v/>
      </c>
      <c r="AR2083" s="182"/>
      <c r="AS2083" s="189"/>
      <c r="AT2083" s="189"/>
      <c r="AU2083" s="187"/>
      <c r="AV2083" s="190"/>
      <c r="AW2083" s="191"/>
      <c r="AX2083" s="549" t="s">
        <v>6696</v>
      </c>
      <c r="AY2083" s="549" t="s">
        <v>6697</v>
      </c>
      <c r="AZ2083" s="549" t="s">
        <v>6698</v>
      </c>
      <c r="BA2083" s="549" t="s">
        <v>6699</v>
      </c>
      <c r="BB2083" s="551" t="s">
        <v>6700</v>
      </c>
      <c r="BC2083" s="551"/>
      <c r="BD2083" s="549"/>
      <c r="BE2083" s="550"/>
      <c r="BF2083" s="549"/>
      <c r="BG2083" s="391">
        <f>SUM($AV$1389:AV2083)</f>
        <v>3634.6940742930087</v>
      </c>
      <c r="BH2083" s="392">
        <f>SUM($AU$1389:AU2083)</f>
        <v>39010.639220779361</v>
      </c>
      <c r="BI2083" s="318">
        <f>SUMIFS($AU$1388:AU2084,$Q$1388:Q2084,"F")</f>
        <v>25293.293506493508</v>
      </c>
      <c r="BJ2083" s="318">
        <f>SUMIFS($AU$1388:AU2084,$Q$1388:Q2084,"S")</f>
        <v>17842.285714285714</v>
      </c>
      <c r="BK2083" s="343">
        <f>SUMIFS($AU$1388:AU2084,$P$1388:P2084,"W")</f>
        <v>23336.759220779561</v>
      </c>
      <c r="BL2083" s="343">
        <f>SUMIFS($AU$1388:AU2084,$P$1388:P2084,"R")</f>
        <v>13226.00000000016</v>
      </c>
      <c r="BM2083" s="343">
        <f>SUMIFS($AU$1388:AU2084,$AQ$1388:AQ2084,"M")</f>
        <v>9567.1799999991417</v>
      </c>
      <c r="BN2083" s="343">
        <f>SUMIFS($AU$1388:AU2084,$AQ$1388:AQ2084,"H")</f>
        <v>12363.200000000876</v>
      </c>
      <c r="BO2083" s="343">
        <f>SUMIFS($AU$1388:AU2084,$AQ$1388:AQ2084,"D")</f>
        <v>334.99285714273992</v>
      </c>
      <c r="BP2083" s="343">
        <f>SUMIFS($AS$1388:AS2697,$AO$1388:AO2697,"W")</f>
        <v>0</v>
      </c>
      <c r="BQ2083" s="343">
        <f>SUMIFS($AU$1388:AU2084,$Q$1388:Q2084,"O")</f>
        <v>-5848.9399999998504</v>
      </c>
      <c r="BR2083" s="343">
        <f>SUMIFS($AU$1388:AU2084,$AA$1388:AA2084,"*")</f>
        <v>29471.122077921998</v>
      </c>
      <c r="BS2083" s="343">
        <f>SUMIFS($AU$1388:AU2084,$AB$1388:AB2084,"*")</f>
        <v>10383.860000000041</v>
      </c>
      <c r="BT2083" s="343">
        <f>SUMIFS($AU$1388:AU2084,$AC$1388:AC2084,"*")</f>
        <v>30333.293506493676</v>
      </c>
      <c r="BU2083" s="343">
        <f>SUMIFS($AU$1388:AU2084,$AA$1388:AA2084,"*",$AB$1388:AB2084,"*")</f>
        <v>5423.9999999998217</v>
      </c>
      <c r="BV2083" s="343">
        <f>SUMIFS($AU$1388:AU2084,$AA$1388:AA2084,"*",$AC$1388:AC2084,"*")</f>
        <v>21913.636363636531</v>
      </c>
      <c r="BW2083" s="343">
        <f>SUMIFS($AU$1388:AU2084,$AB$1388:AB2084,"*",$AC$1388:AC2084,"*")</f>
        <v>7119.9999999999982</v>
      </c>
      <c r="BX2083" s="343">
        <f>SUMIFS($AV$1388:AV2084,$Q$1388:Q2084,"F")</f>
        <v>382.80914667325266</v>
      </c>
      <c r="BY2083" s="343">
        <f>SUMIFS($AV$1388:AV2084,$Q$1388:Q2084,"S")</f>
        <v>706.32562762001328</v>
      </c>
      <c r="BZ2083" s="343">
        <f>SUMIFS($AV$1388:AV2084,$Q$1388:Q2084,"O")</f>
        <v>297.55929999973682</v>
      </c>
    </row>
    <row r="2084" spans="1:78" ht="15.75" customHeight="1">
      <c r="A2084" s="177" t="s">
        <v>6310</v>
      </c>
      <c r="B2084" s="200"/>
      <c r="C2084" s="178"/>
      <c r="D2084" s="178"/>
      <c r="E2084" s="227"/>
      <c r="F2084" s="180"/>
      <c r="G2084" s="181"/>
      <c r="H2084" s="182"/>
      <c r="I2084" s="182"/>
      <c r="J2084" s="182"/>
      <c r="K2084" s="183"/>
      <c r="L2084" s="182"/>
      <c r="M2084" s="182"/>
      <c r="N2084" s="182"/>
      <c r="O2084" s="183"/>
      <c r="P2084" s="183"/>
      <c r="Q2084" s="183"/>
      <c r="R2084" s="183"/>
      <c r="S2084" s="183"/>
      <c r="T2084" s="183"/>
      <c r="U2084" s="183"/>
      <c r="V2084" s="183"/>
      <c r="W2084" s="183"/>
      <c r="X2084" s="183"/>
      <c r="Y2084" s="183"/>
      <c r="Z2084" s="183"/>
      <c r="AA2084" s="185"/>
      <c r="AB2084" s="185"/>
      <c r="AC2084" s="185"/>
      <c r="AD2084" s="649"/>
      <c r="AE2084" s="182"/>
      <c r="AF2084" s="332"/>
      <c r="AG2084" s="182"/>
      <c r="AH2084" s="182"/>
      <c r="AI2084" s="182"/>
      <c r="AJ2084" s="640"/>
      <c r="AK2084" s="182"/>
      <c r="AL2084" s="496">
        <f t="shared" si="695"/>
        <v>0</v>
      </c>
      <c r="AM2084" s="496">
        <f t="shared" si="698"/>
        <v>0</v>
      </c>
      <c r="AN2084" s="626"/>
      <c r="AO2084" s="182"/>
      <c r="AP2084" s="182"/>
      <c r="AQ2084" s="332" t="str">
        <f>UPPER(RIGHT(Journal_Live[[#This Row],[DURATION ]]))</f>
        <v/>
      </c>
      <c r="AR2084" s="182"/>
      <c r="AS2084" s="189"/>
      <c r="AT2084" s="189"/>
      <c r="AU2084" s="187"/>
      <c r="AV2084" s="190"/>
      <c r="AW2084" s="191"/>
      <c r="AX2084" s="551"/>
      <c r="AY2084" s="551"/>
      <c r="AZ2084" s="551"/>
      <c r="BA2084" s="551"/>
      <c r="BB2084" s="551"/>
      <c r="BC2084" s="551"/>
      <c r="BD2084" s="549"/>
      <c r="BE2084" s="550"/>
      <c r="BF2084" s="549"/>
      <c r="BG2084" s="391">
        <f>SUM($AV$1389:AV2084)</f>
        <v>3634.6940742930087</v>
      </c>
      <c r="BH2084" s="392">
        <f>SUM($AU$1389:AU2084)</f>
        <v>39010.639220779361</v>
      </c>
      <c r="BI2084" s="318">
        <f>SUMIFS($AU$1388:AU2085,$Q$1388:Q2085,"F")</f>
        <v>25293.293506493508</v>
      </c>
      <c r="BJ2084" s="318">
        <f>SUMIFS($AU$1388:AU2085,$Q$1388:Q2085,"S")</f>
        <v>17842.285714285714</v>
      </c>
      <c r="BK2084" s="343">
        <f>SUMIFS($AU$1388:AU2085,$P$1388:P2085,"W")</f>
        <v>23336.759220779561</v>
      </c>
      <c r="BL2084" s="343">
        <f>SUMIFS($AU$1388:AU2085,$P$1388:P2085,"R")</f>
        <v>13226.00000000016</v>
      </c>
      <c r="BM2084" s="343">
        <f>SUMIFS($AU$1388:AU2085,$AQ$1388:AQ2085,"M")</f>
        <v>9567.1799999991417</v>
      </c>
      <c r="BN2084" s="343">
        <f>SUMIFS($AU$1388:AU2085,$AQ$1388:AQ2085,"H")</f>
        <v>12363.200000000876</v>
      </c>
      <c r="BO2084" s="343">
        <f>SUMIFS($AU$1388:AU2085,$AQ$1388:AQ2085,"D")</f>
        <v>334.99285714273992</v>
      </c>
      <c r="BP2084" s="343">
        <f>SUMIFS($AS$1388:AS2698,$AO$1388:AO2698,"W")</f>
        <v>0</v>
      </c>
      <c r="BQ2084" s="343">
        <f>SUMIFS($AU$1388:AU2085,$Q$1388:Q2085,"O")</f>
        <v>-5848.9399999998504</v>
      </c>
      <c r="BR2084" s="343">
        <f>SUMIFS($AU$1388:AU2085,$AA$1388:AA2085,"*")</f>
        <v>29471.122077921998</v>
      </c>
      <c r="BS2084" s="343">
        <f>SUMIFS($AU$1388:AU2085,$AB$1388:AB2085,"*")</f>
        <v>10383.860000000041</v>
      </c>
      <c r="BT2084" s="343">
        <f>SUMIFS($AU$1388:AU2085,$AC$1388:AC2085,"*")</f>
        <v>30333.293506493676</v>
      </c>
      <c r="BU2084" s="343">
        <f>SUMIFS($AU$1388:AU2085,$AA$1388:AA2085,"*",$AB$1388:AB2085,"*")</f>
        <v>5423.9999999998217</v>
      </c>
      <c r="BV2084" s="343">
        <f>SUMIFS($AU$1388:AU2085,$AA$1388:AA2085,"*",$AC$1388:AC2085,"*")</f>
        <v>21913.636363636531</v>
      </c>
      <c r="BW2084" s="343">
        <f>SUMIFS($AU$1388:AU2085,$AB$1388:AB2085,"*",$AC$1388:AC2085,"*")</f>
        <v>7119.9999999999982</v>
      </c>
      <c r="BX2084" s="343">
        <f>SUMIFS($AV$1388:AV2085,$Q$1388:Q2085,"F")</f>
        <v>382.80914667325266</v>
      </c>
      <c r="BY2084" s="343">
        <f>SUMIFS($AV$1388:AV2085,$Q$1388:Q2085,"S")</f>
        <v>706.32562762001328</v>
      </c>
      <c r="BZ2084" s="343">
        <f>SUMIFS($AV$1388:AV2085,$Q$1388:Q2085,"O")</f>
        <v>297.55929999973682</v>
      </c>
    </row>
    <row r="2085" spans="1:78" ht="15.75" customHeight="1">
      <c r="A2085" s="177" t="s">
        <v>6310</v>
      </c>
      <c r="B2085" s="200"/>
      <c r="C2085" s="178"/>
      <c r="D2085" s="178"/>
      <c r="E2085" s="227"/>
      <c r="F2085" s="180"/>
      <c r="G2085" s="181"/>
      <c r="H2085" s="182"/>
      <c r="I2085" s="182"/>
      <c r="J2085" s="182"/>
      <c r="K2085" s="183"/>
      <c r="L2085" s="182"/>
      <c r="M2085" s="182"/>
      <c r="N2085" s="182"/>
      <c r="O2085" s="183"/>
      <c r="P2085" s="183"/>
      <c r="Q2085" s="183"/>
      <c r="R2085" s="183"/>
      <c r="S2085" s="183"/>
      <c r="T2085" s="183"/>
      <c r="U2085" s="183"/>
      <c r="V2085" s="183"/>
      <c r="W2085" s="183"/>
      <c r="X2085" s="183"/>
      <c r="Y2085" s="183"/>
      <c r="Z2085" s="183"/>
      <c r="AA2085" s="185"/>
      <c r="AB2085" s="185"/>
      <c r="AC2085" s="185"/>
      <c r="AD2085" s="649"/>
      <c r="AE2085" s="182"/>
      <c r="AF2085" s="332"/>
      <c r="AG2085" s="182"/>
      <c r="AH2085" s="182"/>
      <c r="AI2085" s="182"/>
      <c r="AJ2085" s="640"/>
      <c r="AK2085" s="182"/>
      <c r="AL2085" s="496">
        <f t="shared" si="695"/>
        <v>0</v>
      </c>
      <c r="AM2085" s="496">
        <f t="shared" si="698"/>
        <v>0</v>
      </c>
      <c r="AN2085" s="626"/>
      <c r="AO2085" s="182"/>
      <c r="AP2085" s="182"/>
      <c r="AQ2085" s="332" t="str">
        <f>UPPER(RIGHT(Journal_Live[[#This Row],[DURATION ]]))</f>
        <v/>
      </c>
      <c r="AR2085" s="182"/>
      <c r="AS2085" s="189"/>
      <c r="AT2085" s="189"/>
      <c r="AU2085" s="187"/>
      <c r="AV2085" s="190"/>
      <c r="AW2085" s="191"/>
      <c r="AX2085" s="551" t="s">
        <v>6701</v>
      </c>
      <c r="AY2085" s="551"/>
      <c r="AZ2085" s="551"/>
      <c r="BA2085" s="551"/>
      <c r="BB2085" s="551"/>
      <c r="BC2085" s="551"/>
      <c r="BD2085" s="549"/>
      <c r="BE2085" s="550"/>
      <c r="BF2085" s="549"/>
      <c r="BG2085" s="391">
        <f>SUM($AV$1389:AV2085)</f>
        <v>3634.6940742930087</v>
      </c>
      <c r="BH2085" s="392">
        <f>SUM($AU$1389:AU2085)</f>
        <v>39010.639220779361</v>
      </c>
      <c r="BI2085" s="318">
        <f>SUMIFS($AU$1388:AU2086,$Q$1388:Q2086,"F")</f>
        <v>25293.293506493508</v>
      </c>
      <c r="BJ2085" s="318">
        <f>SUMIFS($AU$1388:AU2086,$Q$1388:Q2086,"S")</f>
        <v>17842.285714285714</v>
      </c>
      <c r="BK2085" s="343">
        <f>SUMIFS($AU$1388:AU2086,$P$1388:P2086,"W")</f>
        <v>23336.759220779561</v>
      </c>
      <c r="BL2085" s="343">
        <f>SUMIFS($AU$1388:AU2086,$P$1388:P2086,"R")</f>
        <v>13226.00000000016</v>
      </c>
      <c r="BM2085" s="343">
        <f>SUMIFS($AU$1388:AU2086,$AQ$1388:AQ2086,"M")</f>
        <v>9567.1799999991417</v>
      </c>
      <c r="BN2085" s="343">
        <f>SUMIFS($AU$1388:AU2086,$AQ$1388:AQ2086,"H")</f>
        <v>12363.200000000876</v>
      </c>
      <c r="BO2085" s="343">
        <f>SUMIFS($AU$1388:AU2086,$AQ$1388:AQ2086,"D")</f>
        <v>334.99285714273992</v>
      </c>
      <c r="BP2085" s="343">
        <f>SUMIFS($AS$1388:AS2699,$AO$1388:AO2699,"W")</f>
        <v>0</v>
      </c>
      <c r="BQ2085" s="343">
        <f>SUMIFS($AU$1388:AU2086,$Q$1388:Q2086,"O")</f>
        <v>-5848.9399999998504</v>
      </c>
      <c r="BR2085" s="343">
        <f>SUMIFS($AU$1388:AU2086,$AA$1388:AA2086,"*")</f>
        <v>29471.122077921998</v>
      </c>
      <c r="BS2085" s="343">
        <f>SUMIFS($AU$1388:AU2086,$AB$1388:AB2086,"*")</f>
        <v>10383.860000000041</v>
      </c>
      <c r="BT2085" s="343">
        <f>SUMIFS($AU$1388:AU2086,$AC$1388:AC2086,"*")</f>
        <v>30333.293506493676</v>
      </c>
      <c r="BU2085" s="343">
        <f>SUMIFS($AU$1388:AU2086,$AA$1388:AA2086,"*",$AB$1388:AB2086,"*")</f>
        <v>5423.9999999998217</v>
      </c>
      <c r="BV2085" s="343">
        <f>SUMIFS($AU$1388:AU2086,$AA$1388:AA2086,"*",$AC$1388:AC2086,"*")</f>
        <v>21913.636363636531</v>
      </c>
      <c r="BW2085" s="343">
        <f>SUMIFS($AU$1388:AU2086,$AB$1388:AB2086,"*",$AC$1388:AC2086,"*")</f>
        <v>7119.9999999999982</v>
      </c>
      <c r="BX2085" s="343">
        <f>SUMIFS($AV$1388:AV2086,$Q$1388:Q2086,"F")</f>
        <v>382.80914667325266</v>
      </c>
      <c r="BY2085" s="343">
        <f>SUMIFS($AV$1388:AV2086,$Q$1388:Q2086,"S")</f>
        <v>706.32562762001328</v>
      </c>
      <c r="BZ2085" s="343">
        <f>SUMIFS($AV$1388:AV2086,$Q$1388:Q2086,"O")</f>
        <v>297.55929999973682</v>
      </c>
    </row>
    <row r="2086" spans="1:78" ht="15.75" customHeight="1">
      <c r="A2086" s="177" t="s">
        <v>6310</v>
      </c>
      <c r="B2086" s="200"/>
      <c r="C2086" s="178"/>
      <c r="D2086" s="178"/>
      <c r="E2086" s="227"/>
      <c r="F2086" s="180"/>
      <c r="G2086" s="181"/>
      <c r="H2086" s="182"/>
      <c r="I2086" s="182"/>
      <c r="J2086" s="182"/>
      <c r="K2086" s="183"/>
      <c r="L2086" s="182"/>
      <c r="M2086" s="182"/>
      <c r="N2086" s="182"/>
      <c r="O2086" s="183"/>
      <c r="P2086" s="183"/>
      <c r="Q2086" s="183"/>
      <c r="R2086" s="183"/>
      <c r="S2086" s="183"/>
      <c r="T2086" s="183"/>
      <c r="U2086" s="183"/>
      <c r="V2086" s="183"/>
      <c r="W2086" s="183"/>
      <c r="X2086" s="183"/>
      <c r="Y2086" s="183"/>
      <c r="Z2086" s="183"/>
      <c r="AA2086" s="185"/>
      <c r="AB2086" s="185"/>
      <c r="AC2086" s="185"/>
      <c r="AD2086" s="649"/>
      <c r="AE2086" s="182"/>
      <c r="AF2086" s="332"/>
      <c r="AG2086" s="182"/>
      <c r="AH2086" s="182"/>
      <c r="AI2086" s="182"/>
      <c r="AJ2086" s="640"/>
      <c r="AK2086" s="182"/>
      <c r="AL2086" s="496">
        <f t="shared" si="695"/>
        <v>0</v>
      </c>
      <c r="AM2086" s="496">
        <f t="shared" si="698"/>
        <v>0</v>
      </c>
      <c r="AN2086" s="626"/>
      <c r="AO2086" s="182"/>
      <c r="AP2086" s="182"/>
      <c r="AQ2086" s="332" t="str">
        <f>UPPER(RIGHT(Journal_Live[[#This Row],[DURATION ]]))</f>
        <v/>
      </c>
      <c r="AR2086" s="182"/>
      <c r="AS2086" s="189"/>
      <c r="AT2086" s="189"/>
      <c r="AU2086" s="187"/>
      <c r="AV2086" s="190"/>
      <c r="AW2086" s="191"/>
      <c r="AX2086" s="551"/>
      <c r="AY2086" s="551"/>
      <c r="AZ2086" s="551"/>
      <c r="BA2086" s="551"/>
      <c r="BB2086" s="551"/>
      <c r="BC2086" s="551"/>
      <c r="BD2086" s="549"/>
      <c r="BE2086" s="550"/>
      <c r="BF2086" s="549"/>
      <c r="BG2086" s="391">
        <f>SUM($AV$1389:AV2086)</f>
        <v>3634.6940742930087</v>
      </c>
      <c r="BH2086" s="392">
        <f>SUM($AU$1389:AU2086)</f>
        <v>39010.639220779361</v>
      </c>
      <c r="BI2086" s="318">
        <f>SUMIFS($AU$1388:AU2087,$Q$1388:Q2087,"F")</f>
        <v>25293.293506493508</v>
      </c>
      <c r="BJ2086" s="318">
        <f>SUMIFS($AU$1388:AU2087,$Q$1388:Q2087,"S")</f>
        <v>17842.285714285714</v>
      </c>
      <c r="BK2086" s="343">
        <f>SUMIFS($AU$1388:AU2087,$P$1388:P2087,"W")</f>
        <v>23336.759220779561</v>
      </c>
      <c r="BL2086" s="343">
        <f>SUMIFS($AU$1388:AU2087,$P$1388:P2087,"R")</f>
        <v>13226.00000000016</v>
      </c>
      <c r="BM2086" s="343">
        <f>SUMIFS($AU$1388:AU2087,$AQ$1388:AQ2087,"M")</f>
        <v>9567.1799999991417</v>
      </c>
      <c r="BN2086" s="343">
        <f>SUMIFS($AU$1388:AU2087,$AQ$1388:AQ2087,"H")</f>
        <v>12363.200000000876</v>
      </c>
      <c r="BO2086" s="343">
        <f>SUMIFS($AU$1388:AU2087,$AQ$1388:AQ2087,"D")</f>
        <v>334.99285714273992</v>
      </c>
      <c r="BP2086" s="343">
        <f>SUMIFS($AS$1388:AS2700,$AO$1388:AO2700,"W")</f>
        <v>0</v>
      </c>
      <c r="BQ2086" s="343">
        <f>SUMIFS($AU$1388:AU2087,$Q$1388:Q2087,"O")</f>
        <v>-5848.9399999998504</v>
      </c>
      <c r="BR2086" s="343">
        <f>SUMIFS($AU$1388:AU2087,$AA$1388:AA2087,"*")</f>
        <v>29471.122077921998</v>
      </c>
      <c r="BS2086" s="343">
        <f>SUMIFS($AU$1388:AU2087,$AB$1388:AB2087,"*")</f>
        <v>10383.860000000041</v>
      </c>
      <c r="BT2086" s="343">
        <f>SUMIFS($AU$1388:AU2087,$AC$1388:AC2087,"*")</f>
        <v>30333.293506493676</v>
      </c>
      <c r="BU2086" s="343">
        <f>SUMIFS($AU$1388:AU2087,$AA$1388:AA2087,"*",$AB$1388:AB2087,"*")</f>
        <v>5423.9999999998217</v>
      </c>
      <c r="BV2086" s="343">
        <f>SUMIFS($AU$1388:AU2087,$AA$1388:AA2087,"*",$AC$1388:AC2087,"*")</f>
        <v>21913.636363636531</v>
      </c>
      <c r="BW2086" s="343">
        <f>SUMIFS($AU$1388:AU2087,$AB$1388:AB2087,"*",$AC$1388:AC2087,"*")</f>
        <v>7119.9999999999982</v>
      </c>
      <c r="BX2086" s="343">
        <f>SUMIFS($AV$1388:AV2087,$Q$1388:Q2087,"F")</f>
        <v>382.80914667325266</v>
      </c>
      <c r="BY2086" s="343">
        <f>SUMIFS($AV$1388:AV2087,$Q$1388:Q2087,"S")</f>
        <v>706.32562762001328</v>
      </c>
      <c r="BZ2086" s="343">
        <f>SUMIFS($AV$1388:AV2087,$Q$1388:Q2087,"O")</f>
        <v>297.55929999973682</v>
      </c>
    </row>
    <row r="2087" spans="1:78" ht="15.75" customHeight="1">
      <c r="A2087" s="177" t="s">
        <v>6310</v>
      </c>
      <c r="B2087" s="200"/>
      <c r="C2087" s="178"/>
      <c r="D2087" s="178"/>
      <c r="E2087" s="227"/>
      <c r="F2087" s="180"/>
      <c r="G2087" s="181"/>
      <c r="H2087" s="182"/>
      <c r="I2087" s="182"/>
      <c r="J2087" s="182"/>
      <c r="K2087" s="183"/>
      <c r="L2087" s="182"/>
      <c r="M2087" s="182"/>
      <c r="N2087" s="182"/>
      <c r="O2087" s="183"/>
      <c r="P2087" s="183"/>
      <c r="Q2087" s="183"/>
      <c r="R2087" s="183"/>
      <c r="S2087" s="183"/>
      <c r="T2087" s="183"/>
      <c r="U2087" s="183"/>
      <c r="V2087" s="183"/>
      <c r="W2087" s="183"/>
      <c r="X2087" s="183"/>
      <c r="Y2087" s="183"/>
      <c r="Z2087" s="183"/>
      <c r="AA2087" s="185"/>
      <c r="AB2087" s="185"/>
      <c r="AC2087" s="185"/>
      <c r="AD2087" s="649"/>
      <c r="AE2087" s="182"/>
      <c r="AF2087" s="332"/>
      <c r="AG2087" s="182"/>
      <c r="AH2087" s="182"/>
      <c r="AI2087" s="182"/>
      <c r="AJ2087" s="640"/>
      <c r="AK2087" s="182"/>
      <c r="AL2087" s="496">
        <f t="shared" ref="AL2087:AL2093" si="699">-0.02*Z2087</f>
        <v>0</v>
      </c>
      <c r="AM2087" s="496">
        <f t="shared" si="698"/>
        <v>0</v>
      </c>
      <c r="AN2087" s="626"/>
      <c r="AO2087" s="182"/>
      <c r="AP2087" s="182"/>
      <c r="AQ2087" s="332" t="str">
        <f>UPPER(RIGHT(Journal_Live[[#This Row],[DURATION ]]))</f>
        <v/>
      </c>
      <c r="AR2087" s="182"/>
      <c r="AS2087" s="189"/>
      <c r="AT2087" s="189"/>
      <c r="AU2087" s="187"/>
      <c r="AV2087" s="190"/>
      <c r="AW2087" s="191"/>
      <c r="AX2087" s="582"/>
      <c r="AY2087" s="582"/>
      <c r="AZ2087" s="582"/>
      <c r="BA2087" s="582"/>
      <c r="BB2087" s="551"/>
      <c r="BC2087" s="551"/>
      <c r="BD2087" s="549"/>
      <c r="BE2087" s="550"/>
      <c r="BF2087" s="549"/>
      <c r="BG2087" s="391">
        <f>SUM($AV$1389:AV2087)</f>
        <v>3634.6940742930087</v>
      </c>
      <c r="BH2087" s="392">
        <f>SUM($AU$1389:AU2087)</f>
        <v>39010.639220779361</v>
      </c>
      <c r="BI2087" s="318">
        <f>SUMIFS($AU$1388:AU2088,$Q$1388:Q2088,"F")</f>
        <v>25293.293506493508</v>
      </c>
      <c r="BJ2087" s="318">
        <f>SUMIFS($AU$1388:AU2088,$Q$1388:Q2088,"S")</f>
        <v>17842.285714285714</v>
      </c>
      <c r="BK2087" s="343">
        <f>SUMIFS($AU$1388:AU2088,$P$1388:P2088,"W")</f>
        <v>23336.759220779561</v>
      </c>
      <c r="BL2087" s="343">
        <f>SUMIFS($AU$1388:AU2088,$P$1388:P2088,"R")</f>
        <v>13226.00000000016</v>
      </c>
      <c r="BM2087" s="343">
        <f>SUMIFS($AU$1388:AU2088,$AQ$1388:AQ2088,"M")</f>
        <v>9567.1799999991417</v>
      </c>
      <c r="BN2087" s="343">
        <f>SUMIFS($AU$1388:AU2088,$AQ$1388:AQ2088,"H")</f>
        <v>12363.200000000876</v>
      </c>
      <c r="BO2087" s="343">
        <f>SUMIFS($AU$1388:AU2088,$AQ$1388:AQ2088,"D")</f>
        <v>334.99285714273992</v>
      </c>
      <c r="BP2087" s="343">
        <f>SUMIFS($AS$1388:AS2701,$AO$1388:AO2701,"W")</f>
        <v>0</v>
      </c>
      <c r="BQ2087" s="343">
        <f>SUMIFS($AU$1388:AU2088,$Q$1388:Q2088,"O")</f>
        <v>-5848.9399999998504</v>
      </c>
      <c r="BR2087" s="343">
        <f>SUMIFS($AU$1388:AU2088,$AA$1388:AA2088,"*")</f>
        <v>29471.122077921998</v>
      </c>
      <c r="BS2087" s="343">
        <f>SUMIFS($AU$1388:AU2088,$AB$1388:AB2088,"*")</f>
        <v>10383.860000000041</v>
      </c>
      <c r="BT2087" s="343">
        <f>SUMIFS($AU$1388:AU2088,$AC$1388:AC2088,"*")</f>
        <v>30333.293506493676</v>
      </c>
      <c r="BU2087" s="343">
        <f>SUMIFS($AU$1388:AU2088,$AA$1388:AA2088,"*",$AB$1388:AB2088,"*")</f>
        <v>5423.9999999998217</v>
      </c>
      <c r="BV2087" s="343">
        <f>SUMIFS($AU$1388:AU2088,$AA$1388:AA2088,"*",$AC$1388:AC2088,"*")</f>
        <v>21913.636363636531</v>
      </c>
      <c r="BW2087" s="343">
        <f>SUMIFS($AU$1388:AU2088,$AB$1388:AB2088,"*",$AC$1388:AC2088,"*")</f>
        <v>7119.9999999999982</v>
      </c>
      <c r="BX2087" s="343">
        <f>SUMIFS($AV$1388:AV2088,$Q$1388:Q2088,"F")</f>
        <v>382.80914667325266</v>
      </c>
      <c r="BY2087" s="343">
        <f>SUMIFS($AV$1388:AV2088,$Q$1388:Q2088,"S")</f>
        <v>706.32562762001328</v>
      </c>
      <c r="BZ2087" s="343">
        <f>SUMIFS($AV$1388:AV2088,$Q$1388:Q2088,"O")</f>
        <v>297.55929999973682</v>
      </c>
    </row>
    <row r="2088" spans="1:78" ht="15.75" customHeight="1">
      <c r="A2088" s="177" t="s">
        <v>6310</v>
      </c>
      <c r="B2088" s="200"/>
      <c r="C2088" s="178"/>
      <c r="D2088" s="178"/>
      <c r="E2088" s="227"/>
      <c r="F2088" s="180"/>
      <c r="G2088" s="181"/>
      <c r="H2088" s="182"/>
      <c r="I2088" s="182"/>
      <c r="J2088" s="182"/>
      <c r="K2088" s="183"/>
      <c r="L2088" s="182"/>
      <c r="M2088" s="182"/>
      <c r="N2088" s="182"/>
      <c r="O2088" s="183"/>
      <c r="P2088" s="183"/>
      <c r="Q2088" s="183"/>
      <c r="R2088" s="183"/>
      <c r="S2088" s="183"/>
      <c r="T2088" s="183"/>
      <c r="U2088" s="183"/>
      <c r="V2088" s="183"/>
      <c r="W2088" s="183"/>
      <c r="X2088" s="183"/>
      <c r="Y2088" s="183"/>
      <c r="Z2088" s="183"/>
      <c r="AA2088" s="185"/>
      <c r="AB2088" s="185"/>
      <c r="AC2088" s="185"/>
      <c r="AD2088" s="649"/>
      <c r="AE2088" s="182"/>
      <c r="AF2088" s="332"/>
      <c r="AG2088" s="182"/>
      <c r="AH2088" s="182"/>
      <c r="AI2088" s="182"/>
      <c r="AJ2088" s="640"/>
      <c r="AK2088" s="182"/>
      <c r="AL2088" s="496">
        <f t="shared" si="699"/>
        <v>0</v>
      </c>
      <c r="AM2088" s="496">
        <f t="shared" si="698"/>
        <v>0</v>
      </c>
      <c r="AN2088" s="626"/>
      <c r="AO2088" s="182"/>
      <c r="AP2088" s="182"/>
      <c r="AQ2088" s="332" t="str">
        <f>UPPER(RIGHT(Journal_Live[[#This Row],[DURATION ]]))</f>
        <v/>
      </c>
      <c r="AR2088" s="182"/>
      <c r="AS2088" s="189"/>
      <c r="AT2088" s="189"/>
      <c r="AU2088" s="187"/>
      <c r="AV2088" s="190"/>
      <c r="AW2088" s="191"/>
      <c r="AX2088" s="551" t="s">
        <v>6702</v>
      </c>
      <c r="AY2088" s="551" t="s">
        <v>6703</v>
      </c>
      <c r="AZ2088" s="551" t="s">
        <v>6704</v>
      </c>
      <c r="BA2088" s="551" t="s">
        <v>6705</v>
      </c>
      <c r="BB2088" s="551" t="s">
        <v>6706</v>
      </c>
      <c r="BC2088" s="551"/>
      <c r="BD2088" s="549"/>
      <c r="BE2088" s="550"/>
      <c r="BF2088" s="549"/>
      <c r="BG2088" s="391">
        <f>SUM($AV$1389:AV2088)</f>
        <v>3634.6940742930087</v>
      </c>
      <c r="BH2088" s="392">
        <f>SUM($AU$1389:AU2088)</f>
        <v>39010.639220779361</v>
      </c>
      <c r="BI2088" s="318">
        <f>SUMIFS($AU$1388:AU2089,$Q$1388:Q2089,"F")</f>
        <v>25293.293506493508</v>
      </c>
      <c r="BJ2088" s="318">
        <f>SUMIFS($AU$1388:AU2089,$Q$1388:Q2089,"S")</f>
        <v>17842.285714285714</v>
      </c>
      <c r="BK2088" s="343">
        <f>SUMIFS($AU$1388:AU2089,$P$1388:P2089,"W")</f>
        <v>23336.759220779561</v>
      </c>
      <c r="BL2088" s="343">
        <f>SUMIFS($AU$1388:AU2089,$P$1388:P2089,"R")</f>
        <v>13226.00000000016</v>
      </c>
      <c r="BM2088" s="343">
        <f>SUMIFS($AU$1388:AU2089,$AQ$1388:AQ2089,"M")</f>
        <v>9567.1799999991417</v>
      </c>
      <c r="BN2088" s="343">
        <f>SUMIFS($AU$1388:AU2089,$AQ$1388:AQ2089,"H")</f>
        <v>12363.200000000876</v>
      </c>
      <c r="BO2088" s="343">
        <f>SUMIFS($AU$1388:AU2089,$AQ$1388:AQ2089,"D")</f>
        <v>334.99285714273992</v>
      </c>
      <c r="BP2088" s="343">
        <f>SUMIFS($AS$1388:AS2702,$AO$1388:AO2702,"W")</f>
        <v>0</v>
      </c>
      <c r="BQ2088" s="343">
        <f>SUMIFS($AU$1388:AU2089,$Q$1388:Q2089,"O")</f>
        <v>-5848.9399999998504</v>
      </c>
      <c r="BR2088" s="343">
        <f>SUMIFS($AU$1388:AU2089,$AA$1388:AA2089,"*")</f>
        <v>29471.122077921998</v>
      </c>
      <c r="BS2088" s="343">
        <f>SUMIFS($AU$1388:AU2089,$AB$1388:AB2089,"*")</f>
        <v>10383.860000000041</v>
      </c>
      <c r="BT2088" s="343">
        <f>SUMIFS($AU$1388:AU2089,$AC$1388:AC2089,"*")</f>
        <v>30333.293506493676</v>
      </c>
      <c r="BU2088" s="343">
        <f>SUMIFS($AU$1388:AU2089,$AA$1388:AA2089,"*",$AB$1388:AB2089,"*")</f>
        <v>5423.9999999998217</v>
      </c>
      <c r="BV2088" s="343">
        <f>SUMIFS($AU$1388:AU2089,$AA$1388:AA2089,"*",$AC$1388:AC2089,"*")</f>
        <v>21913.636363636531</v>
      </c>
      <c r="BW2088" s="343">
        <f>SUMIFS($AU$1388:AU2089,$AB$1388:AB2089,"*",$AC$1388:AC2089,"*")</f>
        <v>7119.9999999999982</v>
      </c>
      <c r="BX2088" s="343">
        <f>SUMIFS($AV$1388:AV2089,$Q$1388:Q2089,"F")</f>
        <v>382.80914667325266</v>
      </c>
      <c r="BY2088" s="343">
        <f>SUMIFS($AV$1388:AV2089,$Q$1388:Q2089,"S")</f>
        <v>706.32562762001328</v>
      </c>
      <c r="BZ2088" s="343">
        <f>SUMIFS($AV$1388:AV2089,$Q$1388:Q2089,"O")</f>
        <v>297.55929999973682</v>
      </c>
    </row>
    <row r="2089" spans="1:78" ht="15.75" customHeight="1">
      <c r="A2089" s="177" t="s">
        <v>6707</v>
      </c>
      <c r="B2089" s="200"/>
      <c r="C2089" s="178"/>
      <c r="D2089" s="178"/>
      <c r="E2089" s="227"/>
      <c r="F2089" s="180"/>
      <c r="G2089" s="181"/>
      <c r="H2089" s="182"/>
      <c r="I2089" s="182"/>
      <c r="J2089" s="182"/>
      <c r="K2089" s="183"/>
      <c r="L2089" s="182"/>
      <c r="M2089" s="182"/>
      <c r="N2089" s="182"/>
      <c r="O2089" s="183"/>
      <c r="P2089" s="183"/>
      <c r="Q2089" s="183"/>
      <c r="R2089" s="183"/>
      <c r="S2089" s="183"/>
      <c r="T2089" s="183"/>
      <c r="U2089" s="183"/>
      <c r="V2089" s="183"/>
      <c r="W2089" s="183"/>
      <c r="X2089" s="183"/>
      <c r="Y2089" s="183"/>
      <c r="Z2089" s="183"/>
      <c r="AA2089" s="185"/>
      <c r="AB2089" s="185"/>
      <c r="AC2089" s="185"/>
      <c r="AD2089" s="649"/>
      <c r="AE2089" s="182"/>
      <c r="AF2089" s="332"/>
      <c r="AG2089" s="182"/>
      <c r="AH2089" s="182"/>
      <c r="AI2089" s="182"/>
      <c r="AJ2089" s="640"/>
      <c r="AK2089" s="182"/>
      <c r="AL2089" s="496">
        <f t="shared" si="699"/>
        <v>0</v>
      </c>
      <c r="AM2089" s="496">
        <f t="shared" si="698"/>
        <v>0</v>
      </c>
      <c r="AN2089" s="626"/>
      <c r="AO2089" s="182"/>
      <c r="AP2089" s="182"/>
      <c r="AQ2089" s="332" t="str">
        <f>UPPER(RIGHT(Journal_Live[[#This Row],[DURATION ]]))</f>
        <v/>
      </c>
      <c r="AR2089" s="182"/>
      <c r="AS2089" s="189"/>
      <c r="AT2089" s="189"/>
      <c r="AU2089" s="187"/>
      <c r="AV2089" s="190"/>
      <c r="AW2089" s="191"/>
      <c r="AX2089" s="551"/>
      <c r="AY2089" s="551"/>
      <c r="AZ2089" s="551"/>
      <c r="BA2089" s="551"/>
      <c r="BB2089" s="551"/>
      <c r="BC2089" s="551"/>
      <c r="BD2089" s="549"/>
      <c r="BE2089" s="550"/>
      <c r="BF2089" s="549"/>
      <c r="BG2089" s="391">
        <f>SUM($AV$1389:AV2089)</f>
        <v>3634.6940742930087</v>
      </c>
      <c r="BH2089" s="392">
        <f>SUM($AU$1389:AU2089)</f>
        <v>39010.639220779361</v>
      </c>
      <c r="BI2089" s="318">
        <f>SUMIFS($AU$1388:AU2090,$Q$1388:Q2090,"F")</f>
        <v>27533.293506493508</v>
      </c>
      <c r="BJ2089" s="318">
        <f>SUMIFS($AU$1388:AU2090,$Q$1388:Q2090,"S")</f>
        <v>17842.285714285714</v>
      </c>
      <c r="BK2089" s="343">
        <f>SUMIFS($AU$1388:AU2090,$P$1388:P2090,"W")</f>
        <v>25576.759220779561</v>
      </c>
      <c r="BL2089" s="343">
        <f>SUMIFS($AU$1388:AU2090,$P$1388:P2090,"R")</f>
        <v>13226.00000000016</v>
      </c>
      <c r="BM2089" s="343">
        <f>SUMIFS($AU$1388:AU2090,$AQ$1388:AQ2090,"M")</f>
        <v>9567.1799999991417</v>
      </c>
      <c r="BN2089" s="343">
        <f>SUMIFS($AU$1388:AU2090,$AQ$1388:AQ2090,"H")</f>
        <v>12363.200000000876</v>
      </c>
      <c r="BO2089" s="343">
        <f>SUMIFS($AU$1388:AU2090,$AQ$1388:AQ2090,"D")</f>
        <v>2574.9928571427413</v>
      </c>
      <c r="BP2089" s="343">
        <f>SUMIFS($AS$1388:AS2703,$AO$1388:AO2703,"W")</f>
        <v>0</v>
      </c>
      <c r="BQ2089" s="343">
        <f>SUMIFS($AU$1388:AU2090,$Q$1388:Q2090,"O")</f>
        <v>-5848.9399999998504</v>
      </c>
      <c r="BR2089" s="343">
        <f>SUMIFS($AU$1388:AU2090,$AA$1388:AA2090,"*")</f>
        <v>31711.122077921998</v>
      </c>
      <c r="BS2089" s="343">
        <f>SUMIFS($AU$1388:AU2090,$AB$1388:AB2090,"*")</f>
        <v>12623.860000000042</v>
      </c>
      <c r="BT2089" s="343">
        <f>SUMIFS($AU$1388:AU2090,$AC$1388:AC2090,"*")</f>
        <v>32573.293506493676</v>
      </c>
      <c r="BU2089" s="343">
        <f>SUMIFS($AU$1388:AU2090,$AA$1388:AA2090,"*",$AB$1388:AB2090,"*")</f>
        <v>7663.9999999998236</v>
      </c>
      <c r="BV2089" s="343">
        <f>SUMIFS($AU$1388:AU2090,$AA$1388:AA2090,"*",$AC$1388:AC2090,"*")</f>
        <v>24153.636363636531</v>
      </c>
      <c r="BW2089" s="343">
        <f>SUMIFS($AU$1388:AU2090,$AB$1388:AB2090,"*",$AC$1388:AC2090,"*")</f>
        <v>9360</v>
      </c>
      <c r="BX2089" s="343">
        <f>SUMIFS($AV$1388:AV2090,$Q$1388:Q2090,"F")</f>
        <v>400.72914667325267</v>
      </c>
      <c r="BY2089" s="343">
        <f>SUMIFS($AV$1388:AV2090,$Q$1388:Q2090,"S")</f>
        <v>706.32562762001328</v>
      </c>
      <c r="BZ2089" s="343">
        <f>SUMIFS($AV$1388:AV2090,$Q$1388:Q2090,"O")</f>
        <v>297.55929999973682</v>
      </c>
    </row>
    <row r="2090" spans="1:78" ht="15.75" customHeight="1">
      <c r="A2090" s="177" t="s">
        <v>6310</v>
      </c>
      <c r="B2090" s="200">
        <v>45439</v>
      </c>
      <c r="C2090" s="178" t="s">
        <v>6708</v>
      </c>
      <c r="D2090" s="178" t="s">
        <v>132</v>
      </c>
      <c r="E2090" s="227"/>
      <c r="F2090" s="180"/>
      <c r="G2090" s="490" t="s">
        <v>2807</v>
      </c>
      <c r="H2090" s="182"/>
      <c r="I2090" s="182"/>
      <c r="J2090" s="182"/>
      <c r="K2090" s="183"/>
      <c r="L2090" s="182"/>
      <c r="M2090" s="182">
        <v>1</v>
      </c>
      <c r="N2090" s="182"/>
      <c r="O2090" s="183" t="s">
        <v>95</v>
      </c>
      <c r="P2090" s="183" t="s">
        <v>96</v>
      </c>
      <c r="Q2090" s="183" t="s">
        <v>256</v>
      </c>
      <c r="R2090" s="183">
        <v>125</v>
      </c>
      <c r="S2090" s="183">
        <v>100</v>
      </c>
      <c r="T2090" s="183">
        <v>60</v>
      </c>
      <c r="U2090" s="183" t="s">
        <v>97</v>
      </c>
      <c r="V2090" s="183"/>
      <c r="W2090" s="183"/>
      <c r="X2090" s="183"/>
      <c r="Y2090" s="184">
        <f>IF(ISBLANK(O2090),"",(IF(O2090=UPPER("IB"),0.005,0.01)))</f>
        <v>0.01</v>
      </c>
      <c r="Z2090" s="185">
        <f>IF(ISBLANK(O2090),"",IF(O2090="IB",8.63*200,IF(O2090="IR",16*100,IF(O2090="YT",20*100,IF(O2090="YT-XT",24*200,IF(O2090="TED",80*100))))))</f>
        <v>1600</v>
      </c>
      <c r="AA2090" s="185" t="s">
        <v>4954</v>
      </c>
      <c r="AB2090" s="185" t="s">
        <v>6709</v>
      </c>
      <c r="AC2090" s="185" t="s">
        <v>6710</v>
      </c>
      <c r="AD2090" s="649">
        <f>(0.05*60+0.06*65)/125</f>
        <v>5.5200000000000006E-2</v>
      </c>
      <c r="AE2090" s="182"/>
      <c r="AF2090" s="332"/>
      <c r="AG2090" s="182"/>
      <c r="AH2090" s="182" t="s">
        <v>6711</v>
      </c>
      <c r="AI2090" s="182"/>
      <c r="AJ2090" s="640" t="s">
        <v>6712</v>
      </c>
      <c r="AK2090" s="182"/>
      <c r="AL2090" s="496">
        <f t="shared" si="699"/>
        <v>-32</v>
      </c>
      <c r="AM2090" s="496">
        <f t="shared" si="698"/>
        <v>-800</v>
      </c>
      <c r="AN2090" s="626" t="s">
        <v>6713</v>
      </c>
      <c r="AO2090" s="182"/>
      <c r="AP2090" s="182" t="s">
        <v>589</v>
      </c>
      <c r="AQ2090" s="332" t="s">
        <v>115</v>
      </c>
      <c r="AR2090" s="182"/>
      <c r="AS2090" s="189">
        <f>(0.05*50+0.04*50+0.04*25)/125</f>
        <v>4.3999999999999997E-2</v>
      </c>
      <c r="AT2090" s="189">
        <f>IF(ISBLANK(AS2090),,IF(U2090="S",AD2090-AS2090,AS2090-AD2090))</f>
        <v>1.1200000000000009E-2</v>
      </c>
      <c r="AU2090" s="187">
        <f>AV2090*R2090</f>
        <v>2240.0000000000014</v>
      </c>
      <c r="AV2090" s="190">
        <f t="shared" ref="AV2090" si="700">IF(ISBLANK(AS2090),,(AT2090*Z2090))</f>
        <v>17.920000000000012</v>
      </c>
      <c r="AW2090" s="191" t="s">
        <v>96</v>
      </c>
      <c r="AX2090" s="551" t="s">
        <v>6714</v>
      </c>
      <c r="AY2090" s="551"/>
      <c r="AZ2090" s="551"/>
      <c r="BA2090" s="551"/>
      <c r="BB2090" s="551"/>
      <c r="BC2090" s="551"/>
      <c r="BD2090" s="549"/>
      <c r="BE2090" s="550"/>
      <c r="BF2090" s="549"/>
      <c r="BG2090" s="391">
        <f>SUM($AV$1389:AV2090)</f>
        <v>3652.6140742930088</v>
      </c>
      <c r="BH2090" s="392">
        <f>SUM($AU$1389:AU2090)</f>
        <v>41250.639220779361</v>
      </c>
      <c r="BI2090" s="318">
        <f>SUMIFS($AU$1388:AU2091,$Q$1388:Q2091,"F")</f>
        <v>27533.293506493508</v>
      </c>
      <c r="BJ2090" s="318">
        <f>SUMIFS($AU$1388:AU2091,$Q$1388:Q2091,"S")</f>
        <v>17842.285714285714</v>
      </c>
      <c r="BK2090" s="343">
        <f>SUMIFS($AU$1388:AU2091,$P$1388:P2091,"W")</f>
        <v>25576.759220779561</v>
      </c>
      <c r="BL2090" s="343">
        <f>SUMIFS($AU$1388:AU2091,$P$1388:P2091,"R")</f>
        <v>13226.00000000016</v>
      </c>
      <c r="BM2090" s="343">
        <f>SUMIFS($AU$1388:AU2091,$AQ$1388:AQ2091,"M")</f>
        <v>9567.1799999991417</v>
      </c>
      <c r="BN2090" s="343">
        <f>SUMIFS($AU$1388:AU2091,$AQ$1388:AQ2091,"H")</f>
        <v>12363.200000000876</v>
      </c>
      <c r="BO2090" s="343">
        <f>SUMIFS($AU$1388:AU2091,$AQ$1388:AQ2091,"D")</f>
        <v>2574.9928571427413</v>
      </c>
      <c r="BP2090" s="343">
        <f>SUMIFS($AS$1388:AS2704,$AO$1388:AO2704,"W")</f>
        <v>0</v>
      </c>
      <c r="BQ2090" s="343">
        <f>SUMIFS($AU$1388:AU2091,$Q$1388:Q2091,"O")</f>
        <v>-5848.9399999998504</v>
      </c>
      <c r="BR2090" s="343">
        <f>SUMIFS($AU$1388:AU2091,$AA$1388:AA2091,"*")</f>
        <v>31711.122077921998</v>
      </c>
      <c r="BS2090" s="343">
        <f>SUMIFS($AU$1388:AU2091,$AB$1388:AB2091,"*")</f>
        <v>12623.860000000042</v>
      </c>
      <c r="BT2090" s="343">
        <f>SUMIFS($AU$1388:AU2091,$AC$1388:AC2091,"*")</f>
        <v>32573.293506493676</v>
      </c>
      <c r="BU2090" s="343">
        <f>SUMIFS($AU$1388:AU2091,$AA$1388:AA2091,"*",$AB$1388:AB2091,"*")</f>
        <v>7663.9999999998236</v>
      </c>
      <c r="BV2090" s="343">
        <f>SUMIFS($AU$1388:AU2091,$AA$1388:AA2091,"*",$AC$1388:AC2091,"*")</f>
        <v>24153.636363636531</v>
      </c>
      <c r="BW2090" s="343">
        <f>SUMIFS($AU$1388:AU2091,$AB$1388:AB2091,"*",$AC$1388:AC2091,"*")</f>
        <v>9360</v>
      </c>
      <c r="BX2090" s="343">
        <f>SUMIFS($AV$1388:AV2091,$Q$1388:Q2091,"F")</f>
        <v>400.72914667325267</v>
      </c>
      <c r="BY2090" s="343">
        <f>SUMIFS($AV$1388:AV2091,$Q$1388:Q2091,"S")</f>
        <v>706.32562762001328</v>
      </c>
      <c r="BZ2090" s="343">
        <f>SUMIFS($AV$1388:AV2091,$Q$1388:Q2091,"O")</f>
        <v>297.55929999973682</v>
      </c>
    </row>
    <row r="2091" spans="1:78" ht="15.75" customHeight="1">
      <c r="A2091" s="177" t="s">
        <v>6310</v>
      </c>
      <c r="B2091" s="200">
        <v>45439</v>
      </c>
      <c r="C2091" s="178" t="s">
        <v>6715</v>
      </c>
      <c r="D2091" s="178" t="s">
        <v>132</v>
      </c>
      <c r="E2091" s="227"/>
      <c r="F2091" s="180"/>
      <c r="G2091" s="181" t="s">
        <v>2016</v>
      </c>
      <c r="H2091" s="182"/>
      <c r="I2091" s="182"/>
      <c r="J2091" s="182"/>
      <c r="K2091" s="183"/>
      <c r="L2091" s="182"/>
      <c r="M2091" s="182"/>
      <c r="N2091" s="182"/>
      <c r="O2091" s="183"/>
      <c r="P2091" s="183"/>
      <c r="Q2091" s="183"/>
      <c r="R2091" s="183"/>
      <c r="S2091" s="183"/>
      <c r="T2091" s="183"/>
      <c r="U2091" s="183"/>
      <c r="V2091" s="183"/>
      <c r="W2091" s="183"/>
      <c r="X2091" s="183"/>
      <c r="Y2091" s="184"/>
      <c r="Z2091" s="185"/>
      <c r="AA2091" s="185"/>
      <c r="AB2091" s="185"/>
      <c r="AC2091" s="185"/>
      <c r="AD2091" s="649"/>
      <c r="AE2091" s="182"/>
      <c r="AF2091" s="332"/>
      <c r="AG2091" s="182"/>
      <c r="AH2091" s="182"/>
      <c r="AI2091" s="182"/>
      <c r="AJ2091" s="640"/>
      <c r="AK2091" s="182"/>
      <c r="AL2091" s="496">
        <f t="shared" si="699"/>
        <v>0</v>
      </c>
      <c r="AM2091" s="496">
        <f t="shared" si="698"/>
        <v>0</v>
      </c>
      <c r="AN2091" s="626"/>
      <c r="AO2091" s="182"/>
      <c r="AP2091" s="182"/>
      <c r="AQ2091" s="332" t="str">
        <f>UPPER(RIGHT(Journal_Live[[#This Row],[DURATION ]]))</f>
        <v/>
      </c>
      <c r="AR2091" s="182"/>
      <c r="AS2091" s="189"/>
      <c r="AT2091" s="189"/>
      <c r="AU2091" s="187"/>
      <c r="AV2091" s="190"/>
      <c r="AW2091" s="191"/>
      <c r="AX2091" s="551"/>
      <c r="AY2091" s="551"/>
      <c r="AZ2091" s="551"/>
      <c r="BA2091" s="551"/>
      <c r="BB2091" s="551"/>
      <c r="BC2091" s="551"/>
      <c r="BD2091" s="549"/>
      <c r="BE2091" s="550"/>
      <c r="BF2091" s="549"/>
      <c r="BG2091" s="391">
        <f>SUM($AV$1389:AV2091)</f>
        <v>3652.6140742930088</v>
      </c>
      <c r="BH2091" s="392">
        <f>SUM($AU$1389:AU2091)</f>
        <v>41250.639220779361</v>
      </c>
      <c r="BI2091" s="318">
        <f>SUMIFS($AU$1388:AU2094,$Q$1388:Q2094,"F")</f>
        <v>27533.293506493508</v>
      </c>
      <c r="BJ2091" s="318">
        <f>SUMIFS($AU$1388:AU2094,$Q$1388:Q2094,"S")</f>
        <v>17842.285714285714</v>
      </c>
      <c r="BK2091" s="343">
        <f>SUMIFS($AU$1388:AU2094,$P$1388:P2094,"W")</f>
        <v>25576.759220779561</v>
      </c>
      <c r="BL2091" s="343">
        <f>SUMIFS($AU$1388:AU2094,$P$1388:P2094,"R")</f>
        <v>13226.00000000016</v>
      </c>
      <c r="BM2091" s="343">
        <f>SUMIFS($AU$1388:AU2094,$AQ$1388:AQ2094,"M")</f>
        <v>9567.1799999991417</v>
      </c>
      <c r="BN2091" s="343">
        <f>SUMIFS($AU$1388:AU2094,$AQ$1388:AQ2094,"H")</f>
        <v>12363.200000000876</v>
      </c>
      <c r="BO2091" s="343">
        <f>SUMIFS($AU$1388:AU2094,$AQ$1388:AQ2094,"D")</f>
        <v>2574.9928571427413</v>
      </c>
      <c r="BP2091" s="343">
        <f>SUMIFS($AS$1388:AS2705,$AO$1388:AO2705,"W")</f>
        <v>0</v>
      </c>
      <c r="BQ2091" s="343">
        <f>SUMIFS($AU$1388:AU2094,$Q$1388:Q2094,"O")</f>
        <v>-5848.9399999998504</v>
      </c>
      <c r="BR2091" s="343">
        <f>SUMIFS($AU$1388:AU2094,$AA$1388:AA2094,"*")</f>
        <v>31711.122077921998</v>
      </c>
      <c r="BS2091" s="343">
        <f>SUMIFS($AU$1388:AU2094,$AB$1388:AB2094,"*")</f>
        <v>12623.860000000042</v>
      </c>
      <c r="BT2091" s="343">
        <f>SUMIFS($AU$1388:AU2094,$AC$1388:AC2094,"*")</f>
        <v>32573.293506493676</v>
      </c>
      <c r="BU2091" s="343">
        <f>SUMIFS($AU$1388:AU2094,$AA$1388:AA2094,"*",$AB$1388:AB2094,"*")</f>
        <v>7663.9999999998236</v>
      </c>
      <c r="BV2091" s="343">
        <f>SUMIFS($AU$1388:AU2094,$AA$1388:AA2094,"*",$AC$1388:AC2094,"*")</f>
        <v>24153.636363636531</v>
      </c>
      <c r="BW2091" s="343">
        <f>SUMIFS($AU$1388:AU2094,$AB$1388:AB2094,"*",$AC$1388:AC2094,"*")</f>
        <v>9360</v>
      </c>
      <c r="BX2091" s="343">
        <f>SUMIFS($AV$1388:AV2094,$Q$1388:Q2094,"F")</f>
        <v>400.72914667325267</v>
      </c>
      <c r="BY2091" s="343">
        <f>SUMIFS($AV$1388:AV2094,$Q$1388:Q2094,"S")</f>
        <v>706.32562762001328</v>
      </c>
      <c r="BZ2091" s="343">
        <f>SUMIFS($AV$1388:AV2094,$Q$1388:Q2094,"O")</f>
        <v>297.55929999973682</v>
      </c>
    </row>
    <row r="2092" spans="1:78" ht="15.75" customHeight="1">
      <c r="A2092" s="177" t="s">
        <v>6310</v>
      </c>
      <c r="B2092" s="200">
        <v>45440</v>
      </c>
      <c r="C2092" s="178" t="s">
        <v>2020</v>
      </c>
      <c r="D2092" s="178" t="s">
        <v>146</v>
      </c>
      <c r="E2092" s="227" t="s">
        <v>6716</v>
      </c>
      <c r="F2092" s="180"/>
      <c r="G2092" s="181"/>
      <c r="H2092" s="182"/>
      <c r="I2092" s="182"/>
      <c r="J2092" s="182">
        <v>1</v>
      </c>
      <c r="K2092" s="183" t="s">
        <v>115</v>
      </c>
      <c r="L2092" s="182"/>
      <c r="M2092" s="182"/>
      <c r="N2092" s="182"/>
      <c r="O2092" s="183"/>
      <c r="P2092" s="183"/>
      <c r="Q2092" s="183"/>
      <c r="R2092" s="183"/>
      <c r="S2092" s="183"/>
      <c r="T2092" s="183"/>
      <c r="U2092" s="183"/>
      <c r="V2092" s="183"/>
      <c r="W2092" s="183"/>
      <c r="X2092" s="183"/>
      <c r="Y2092" s="183"/>
      <c r="Z2092" s="183"/>
      <c r="AA2092" s="185"/>
      <c r="AB2092" s="185"/>
      <c r="AC2092" s="185"/>
      <c r="AD2092" s="649"/>
      <c r="AE2092" s="182"/>
      <c r="AF2092" s="332"/>
      <c r="AG2092" s="182"/>
      <c r="AH2092" s="182"/>
      <c r="AI2092" s="182"/>
      <c r="AJ2092" s="640"/>
      <c r="AK2092" s="182"/>
      <c r="AL2092" s="496">
        <f t="shared" si="699"/>
        <v>0</v>
      </c>
      <c r="AM2092" s="496">
        <f t="shared" si="698"/>
        <v>0</v>
      </c>
      <c r="AN2092" s="626"/>
      <c r="AO2092" s="182"/>
      <c r="AP2092" s="182"/>
      <c r="AQ2092" s="332" t="str">
        <f>UPPER(RIGHT(Journal_Live[[#This Row],[DURATION ]]))</f>
        <v/>
      </c>
      <c r="AR2092" s="182"/>
      <c r="AS2092" s="189"/>
      <c r="AT2092" s="189"/>
      <c r="AU2092" s="187"/>
      <c r="AV2092" s="190"/>
      <c r="AW2092" s="191"/>
      <c r="AX2092" s="551"/>
      <c r="AY2092" s="551"/>
      <c r="AZ2092" s="551"/>
      <c r="BA2092" s="551"/>
      <c r="BB2092" s="551"/>
      <c r="BC2092" s="551"/>
      <c r="BD2092" s="549"/>
      <c r="BE2092" s="550"/>
      <c r="BF2092" s="549"/>
      <c r="BG2092" s="391">
        <f>SUM($AV$1389:AV2092)</f>
        <v>3652.6140742930088</v>
      </c>
      <c r="BH2092" s="392">
        <f>SUM($AU$1389:AU2092)</f>
        <v>41250.639220779361</v>
      </c>
      <c r="BI2092" s="318">
        <f>SUMIFS($AU$1388:AU2093,$Q$1388:Q2093,"F")</f>
        <v>27533.293506493508</v>
      </c>
      <c r="BJ2092" s="318">
        <f>SUMIFS($AU$1388:AU2093,$Q$1388:Q2093,"S")</f>
        <v>17842.285714285714</v>
      </c>
      <c r="BK2092" s="343">
        <f>SUMIFS($AU$1388:AU2093,$P$1388:P2093,"W")</f>
        <v>25576.759220779561</v>
      </c>
      <c r="BL2092" s="343">
        <f>SUMIFS($AU$1388:AU2093,$P$1388:P2093,"R")</f>
        <v>13226.00000000016</v>
      </c>
      <c r="BM2092" s="343">
        <f>SUMIFS($AU$1388:AU2093,$AQ$1388:AQ2093,"M")</f>
        <v>9567.1799999991417</v>
      </c>
      <c r="BN2092" s="343">
        <f>SUMIFS($AU$1388:AU2093,$AQ$1388:AQ2093,"H")</f>
        <v>12363.200000000876</v>
      </c>
      <c r="BO2092" s="343">
        <f>SUMIFS($AU$1388:AU2093,$AQ$1388:AQ2093,"D")</f>
        <v>2574.9928571427413</v>
      </c>
      <c r="BP2092" s="343">
        <f>SUMIFS($AS$1388:AS2704,$AO$1388:AO2704,"W")</f>
        <v>0</v>
      </c>
      <c r="BQ2092" s="343">
        <f>SUMIFS($AU$1388:AU2093,$Q$1388:Q2093,"O")</f>
        <v>-5848.9399999998504</v>
      </c>
      <c r="BR2092" s="343">
        <f>SUMIFS($AU$1388:AU2093,$AA$1388:AA2093,"*")</f>
        <v>31711.122077921998</v>
      </c>
      <c r="BS2092" s="343">
        <f>SUMIFS($AU$1388:AU2093,$AB$1388:AB2093,"*")</f>
        <v>12623.860000000042</v>
      </c>
      <c r="BT2092" s="343">
        <f>SUMIFS($AU$1388:AU2093,$AC$1388:AC2093,"*")</f>
        <v>32573.293506493676</v>
      </c>
      <c r="BU2092" s="343">
        <f>SUMIFS($AU$1388:AU2093,$AA$1388:AA2093,"*",$AB$1388:AB2093,"*")</f>
        <v>7663.9999999998236</v>
      </c>
      <c r="BV2092" s="343">
        <f>SUMIFS($AU$1388:AU2093,$AA$1388:AA2093,"*",$AC$1388:AC2093,"*")</f>
        <v>24153.636363636531</v>
      </c>
      <c r="BW2092" s="343">
        <f>SUMIFS($AU$1388:AU2093,$AB$1388:AB2093,"*",$AC$1388:AC2093,"*")</f>
        <v>9360</v>
      </c>
      <c r="BX2092" s="343">
        <f>SUMIFS($AV$1388:AV2093,$Q$1388:Q2093,"F")</f>
        <v>400.72914667325267</v>
      </c>
      <c r="BY2092" s="343">
        <f>SUMIFS($AV$1388:AV2093,$Q$1388:Q2093,"S")</f>
        <v>706.32562762001328</v>
      </c>
      <c r="BZ2092" s="343">
        <f>SUMIFS($AV$1388:AV2093,$Q$1388:Q2093,"O")</f>
        <v>297.55929999973682</v>
      </c>
    </row>
    <row r="2093" spans="1:78" ht="15.75" customHeight="1">
      <c r="A2093" s="177" t="s">
        <v>6310</v>
      </c>
      <c r="B2093" s="200">
        <v>45440</v>
      </c>
      <c r="C2093" s="178" t="s">
        <v>3960</v>
      </c>
      <c r="D2093" s="178" t="s">
        <v>146</v>
      </c>
      <c r="E2093" s="227"/>
      <c r="F2093" s="180"/>
      <c r="G2093" s="181" t="s">
        <v>6717</v>
      </c>
      <c r="H2093" s="182"/>
      <c r="I2093" s="182"/>
      <c r="J2093" s="182"/>
      <c r="K2093" s="183"/>
      <c r="L2093" s="182"/>
      <c r="M2093" s="182"/>
      <c r="N2093" s="182"/>
      <c r="O2093" s="183"/>
      <c r="P2093" s="183"/>
      <c r="Q2093" s="183"/>
      <c r="R2093" s="183"/>
      <c r="S2093" s="183"/>
      <c r="T2093" s="183"/>
      <c r="U2093" s="183"/>
      <c r="V2093" s="183"/>
      <c r="W2093" s="183"/>
      <c r="X2093" s="183"/>
      <c r="Y2093" s="184"/>
      <c r="Z2093" s="185"/>
      <c r="AA2093" s="185"/>
      <c r="AB2093" s="185"/>
      <c r="AC2093" s="185"/>
      <c r="AD2093" s="649"/>
      <c r="AE2093" s="182"/>
      <c r="AF2093" s="332"/>
      <c r="AG2093" s="182"/>
      <c r="AH2093" s="182"/>
      <c r="AI2093" s="182"/>
      <c r="AJ2093" s="640"/>
      <c r="AK2093" s="182"/>
      <c r="AL2093" s="496">
        <f t="shared" si="699"/>
        <v>0</v>
      </c>
      <c r="AM2093" s="496">
        <f t="shared" si="698"/>
        <v>0</v>
      </c>
      <c r="AN2093" s="626"/>
      <c r="AO2093" s="182"/>
      <c r="AP2093" s="182"/>
      <c r="AQ2093" s="332" t="str">
        <f>UPPER(RIGHT(Journal_Live[[#This Row],[DURATION ]]))</f>
        <v/>
      </c>
      <c r="AR2093" s="182"/>
      <c r="AS2093" s="189"/>
      <c r="AT2093" s="189"/>
      <c r="AU2093" s="187"/>
      <c r="AV2093" s="190"/>
      <c r="AW2093" s="191"/>
      <c r="AX2093" s="551"/>
      <c r="AY2093" s="551"/>
      <c r="AZ2093" s="551"/>
      <c r="BA2093" s="551"/>
      <c r="BB2093" s="551"/>
      <c r="BC2093" s="551"/>
      <c r="BD2093" s="549"/>
      <c r="BE2093" s="550"/>
      <c r="BF2093" s="549"/>
      <c r="BG2093" s="391">
        <f>SUM($AV$1389:AV2093)</f>
        <v>3652.6140742930088</v>
      </c>
      <c r="BH2093" s="392">
        <f>SUM($AU$1389:AU2093)</f>
        <v>41250.639220779361</v>
      </c>
      <c r="BI2093" s="318">
        <f>SUMIFS($AU$1388:AU2094,$Q$1388:Q2094,"F")</f>
        <v>27533.293506493508</v>
      </c>
      <c r="BJ2093" s="318">
        <f>SUMIFS($AU$1388:AU2094,$Q$1388:Q2094,"S")</f>
        <v>17842.285714285714</v>
      </c>
      <c r="BK2093" s="343">
        <f>SUMIFS($AU$1388:AU2094,$P$1388:P2094,"W")</f>
        <v>25576.759220779561</v>
      </c>
      <c r="BL2093" s="343">
        <f>SUMIFS($AU$1388:AU2094,$P$1388:P2094,"R")</f>
        <v>13226.00000000016</v>
      </c>
      <c r="BM2093" s="343">
        <f>SUMIFS($AU$1388:AU2094,$AQ$1388:AQ2094,"M")</f>
        <v>9567.1799999991417</v>
      </c>
      <c r="BN2093" s="343">
        <f>SUMIFS($AU$1388:AU2094,$AQ$1388:AQ2094,"H")</f>
        <v>12363.200000000876</v>
      </c>
      <c r="BO2093" s="343">
        <f>SUMIFS($AU$1388:AU2094,$AQ$1388:AQ2094,"D")</f>
        <v>2574.9928571427413</v>
      </c>
      <c r="BP2093" s="343">
        <f>SUMIFS($AS$1388:AS2705,$AO$1388:AO2705,"W")</f>
        <v>0</v>
      </c>
      <c r="BQ2093" s="343">
        <f>SUMIFS($AU$1388:AU2094,$Q$1388:Q2094,"O")</f>
        <v>-5848.9399999998504</v>
      </c>
      <c r="BR2093" s="343">
        <f>SUMIFS($AU$1388:AU2094,$AA$1388:AA2094,"*")</f>
        <v>31711.122077921998</v>
      </c>
      <c r="BS2093" s="343">
        <f>SUMIFS($AU$1388:AU2094,$AB$1388:AB2094,"*")</f>
        <v>12623.860000000042</v>
      </c>
      <c r="BT2093" s="343">
        <f>SUMIFS($AU$1388:AU2094,$AC$1388:AC2094,"*")</f>
        <v>32573.293506493676</v>
      </c>
      <c r="BU2093" s="343">
        <f>SUMIFS($AU$1388:AU2094,$AA$1388:AA2094,"*",$AB$1388:AB2094,"*")</f>
        <v>7663.9999999998236</v>
      </c>
      <c r="BV2093" s="343">
        <f>SUMIFS($AU$1388:AU2094,$AA$1388:AA2094,"*",$AC$1388:AC2094,"*")</f>
        <v>24153.636363636531</v>
      </c>
      <c r="BW2093" s="343">
        <f>SUMIFS($AU$1388:AU2094,$AB$1388:AB2094,"*",$AC$1388:AC2094,"*")</f>
        <v>9360</v>
      </c>
      <c r="BX2093" s="343">
        <f>SUMIFS($AV$1388:AV2094,$Q$1388:Q2094,"F")</f>
        <v>400.72914667325267</v>
      </c>
      <c r="BY2093" s="343">
        <f>SUMIFS($AV$1388:AV2094,$Q$1388:Q2094,"S")</f>
        <v>706.32562762001328</v>
      </c>
      <c r="BZ2093" s="343">
        <f>SUMIFS($AV$1388:AV2094,$Q$1388:Q2094,"O")</f>
        <v>297.55929999973682</v>
      </c>
    </row>
    <row r="2094" spans="1:78" ht="15.75" customHeight="1">
      <c r="A2094" s="177" t="s">
        <v>6310</v>
      </c>
      <c r="B2094" s="200">
        <v>45440</v>
      </c>
      <c r="C2094" s="178" t="s">
        <v>1316</v>
      </c>
      <c r="D2094" s="178" t="s">
        <v>146</v>
      </c>
      <c r="E2094" s="227"/>
      <c r="F2094" s="180"/>
      <c r="G2094" s="181" t="s">
        <v>6717</v>
      </c>
      <c r="H2094" s="182"/>
      <c r="I2094" s="182"/>
      <c r="J2094" s="182"/>
      <c r="K2094" s="183"/>
      <c r="L2094" s="182"/>
      <c r="M2094" s="182"/>
      <c r="N2094" s="182"/>
      <c r="O2094" s="183"/>
      <c r="P2094" s="183"/>
      <c r="Q2094" s="183"/>
      <c r="R2094" s="183"/>
      <c r="S2094" s="183"/>
      <c r="T2094" s="183"/>
      <c r="U2094" s="183"/>
      <c r="V2094" s="183"/>
      <c r="W2094" s="183"/>
      <c r="X2094" s="183"/>
      <c r="Y2094" s="184"/>
      <c r="Z2094" s="185"/>
      <c r="AA2094" s="185"/>
      <c r="AB2094" s="185"/>
      <c r="AC2094" s="185"/>
      <c r="AD2094" s="649"/>
      <c r="AE2094" s="182"/>
      <c r="AF2094" s="332"/>
      <c r="AG2094" s="182"/>
      <c r="AH2094" s="182"/>
      <c r="AI2094" s="182"/>
      <c r="AJ2094" s="640"/>
      <c r="AK2094" s="182"/>
      <c r="AL2094" s="496">
        <f t="shared" si="695"/>
        <v>0</v>
      </c>
      <c r="AM2094" s="496">
        <f t="shared" si="698"/>
        <v>0</v>
      </c>
      <c r="AN2094" s="626"/>
      <c r="AO2094" s="182"/>
      <c r="AP2094" s="182"/>
      <c r="AQ2094" s="332" t="str">
        <f>UPPER(RIGHT(Journal_Live[[#This Row],[DURATION ]]))</f>
        <v/>
      </c>
      <c r="AR2094" s="182"/>
      <c r="AS2094" s="189"/>
      <c r="AT2094" s="189"/>
      <c r="AU2094" s="187"/>
      <c r="AV2094" s="190"/>
      <c r="AW2094" s="191"/>
      <c r="AX2094" s="551"/>
      <c r="AY2094" s="551"/>
      <c r="AZ2094" s="551"/>
      <c r="BA2094" s="551"/>
      <c r="BB2094" s="551"/>
      <c r="BC2094" s="551"/>
      <c r="BD2094" s="549"/>
      <c r="BE2094" s="550"/>
      <c r="BF2094" s="549"/>
      <c r="BG2094" s="391">
        <f>SUM($AV$1389:AV2094)</f>
        <v>3652.6140742930088</v>
      </c>
      <c r="BH2094" s="392">
        <f>SUM($AU$1389:AU2094)</f>
        <v>41250.639220779361</v>
      </c>
      <c r="BI2094" s="318">
        <f>SUMIFS($AU$1388:AU2095,$Q$1388:Q2095,"F")</f>
        <v>29133.293506493508</v>
      </c>
      <c r="BJ2094" s="318">
        <f>SUMIFS($AU$1388:AU2095,$Q$1388:Q2095,"S")</f>
        <v>17842.285714285714</v>
      </c>
      <c r="BK2094" s="343">
        <f>SUMIFS($AU$1388:AU2095,$P$1388:P2095,"W")</f>
        <v>25576.759220779561</v>
      </c>
      <c r="BL2094" s="343">
        <f>SUMIFS($AU$1388:AU2095,$P$1388:P2095,"R")</f>
        <v>14826.00000000016</v>
      </c>
      <c r="BM2094" s="343">
        <f>SUMIFS($AU$1388:AU2095,$AQ$1388:AQ2095,"M")</f>
        <v>9567.1799999991417</v>
      </c>
      <c r="BN2094" s="343">
        <f>SUMIFS($AU$1388:AU2095,$AQ$1388:AQ2095,"H")</f>
        <v>12363.200000000876</v>
      </c>
      <c r="BO2094" s="343">
        <f>SUMIFS($AU$1388:AU2095,$AQ$1388:AQ2095,"D")</f>
        <v>4174.9928571427417</v>
      </c>
      <c r="BP2094" s="343">
        <f>SUMIFS($AS$1388:AS2706,$AO$1388:AO2706,"W")</f>
        <v>0</v>
      </c>
      <c r="BQ2094" s="343">
        <f>SUMIFS($AU$1388:AU2095,$Q$1388:Q2095,"O")</f>
        <v>-5848.9399999998504</v>
      </c>
      <c r="BR2094" s="343">
        <f>SUMIFS($AU$1388:AU2095,$AA$1388:AA2095,"*")</f>
        <v>33311.122077922002</v>
      </c>
      <c r="BS2094" s="343">
        <f>SUMIFS($AU$1388:AU2095,$AB$1388:AB2095,"*")</f>
        <v>12623.860000000042</v>
      </c>
      <c r="BT2094" s="343">
        <f>SUMIFS($AU$1388:AU2095,$AC$1388:AC2095,"*")</f>
        <v>34173.293506493676</v>
      </c>
      <c r="BU2094" s="343">
        <f>SUMIFS($AU$1388:AU2095,$AA$1388:AA2095,"*",$AB$1388:AB2095,"*")</f>
        <v>7663.9999999998236</v>
      </c>
      <c r="BV2094" s="343">
        <f>SUMIFS($AU$1388:AU2095,$AA$1388:AA2095,"*",$AC$1388:AC2095,"*")</f>
        <v>25753.636363636531</v>
      </c>
      <c r="BW2094" s="343">
        <f>SUMIFS($AU$1388:AU2095,$AB$1388:AB2095,"*",$AC$1388:AC2095,"*")</f>
        <v>9360</v>
      </c>
      <c r="BX2094" s="343">
        <f>SUMIFS($AV$1388:AV2095,$Q$1388:Q2095,"F")</f>
        <v>416.72914667325267</v>
      </c>
      <c r="BY2094" s="343">
        <f>SUMIFS($AV$1388:AV2095,$Q$1388:Q2095,"S")</f>
        <v>706.32562762001328</v>
      </c>
      <c r="BZ2094" s="343">
        <f>SUMIFS($AV$1388:AV2095,$Q$1388:Q2095,"O")</f>
        <v>297.55929999973682</v>
      </c>
    </row>
    <row r="2095" spans="1:78" ht="15.75" customHeight="1">
      <c r="A2095" s="177" t="s">
        <v>6310</v>
      </c>
      <c r="B2095" s="200">
        <v>45440</v>
      </c>
      <c r="C2095" s="178" t="s">
        <v>1919</v>
      </c>
      <c r="D2095" s="178" t="s">
        <v>146</v>
      </c>
      <c r="E2095" s="227"/>
      <c r="F2095" s="180"/>
      <c r="G2095" s="481" t="s">
        <v>6718</v>
      </c>
      <c r="H2095" s="182"/>
      <c r="I2095" s="182"/>
      <c r="J2095" s="182"/>
      <c r="K2095" s="183"/>
      <c r="L2095" s="182"/>
      <c r="M2095" s="182"/>
      <c r="N2095" s="182"/>
      <c r="O2095" s="183" t="s">
        <v>95</v>
      </c>
      <c r="P2095" s="183" t="s">
        <v>137</v>
      </c>
      <c r="Q2095" s="183" t="s">
        <v>256</v>
      </c>
      <c r="R2095" s="183">
        <v>100</v>
      </c>
      <c r="S2095" s="183">
        <v>0</v>
      </c>
      <c r="T2095" s="183">
        <v>50</v>
      </c>
      <c r="U2095" s="183" t="s">
        <v>22</v>
      </c>
      <c r="V2095" s="183"/>
      <c r="W2095" s="183"/>
      <c r="X2095" s="183"/>
      <c r="Y2095" s="184">
        <f>IF(ISBLANK(O2095),"",(IF(O2095=UPPER("IB"),0.005,0.01)))</f>
        <v>0.01</v>
      </c>
      <c r="Z2095" s="185">
        <f>IF(ISBLANK(O2095),"",IF(O2095="IB",8.63*200,IF(O2095="IR",16*100,IF(O2095="YT",20*100,IF(O2095="YT-XT",24*200,IF(O2095="TED",80*100,IF(O2095="XT",29*200)))))))</f>
        <v>1600</v>
      </c>
      <c r="AA2095" s="185" t="s">
        <v>6719</v>
      </c>
      <c r="AB2095" s="185"/>
      <c r="AC2095" s="185" t="s">
        <v>6720</v>
      </c>
      <c r="AD2095" s="649">
        <v>-0.05</v>
      </c>
      <c r="AE2095" s="182"/>
      <c r="AF2095" s="332"/>
      <c r="AG2095" s="182"/>
      <c r="AH2095" s="182"/>
      <c r="AI2095" s="182"/>
      <c r="AJ2095" s="640"/>
      <c r="AK2095" s="182"/>
      <c r="AL2095" s="496">
        <f t="shared" ref="AL2095:AL2119" si="701">-0.02*Z2095</f>
        <v>-32</v>
      </c>
      <c r="AM2095" s="496">
        <f t="shared" si="698"/>
        <v>-3200</v>
      </c>
      <c r="AN2095" s="626"/>
      <c r="AO2095" s="182"/>
      <c r="AP2095" s="182" t="s">
        <v>827</v>
      </c>
      <c r="AQ2095" s="332" t="s">
        <v>115</v>
      </c>
      <c r="AR2095" s="182" t="s">
        <v>6721</v>
      </c>
      <c r="AS2095" s="189">
        <v>-0.04</v>
      </c>
      <c r="AT2095" s="189">
        <f>IF(ISBLANK(AS2095),,IF(U2095="S",AD2095-AS2095,AS2095-AD2095))</f>
        <v>1.0000000000000002E-2</v>
      </c>
      <c r="AU2095" s="187">
        <f>AV2095*R2095</f>
        <v>1600.0000000000005</v>
      </c>
      <c r="AV2095" s="190">
        <f t="shared" ref="AV2095:AV2101" si="702">IF(ISBLANK(AS2095),,(AT2095*Z2095))</f>
        <v>16.000000000000004</v>
      </c>
      <c r="AW2095" s="191" t="s">
        <v>96</v>
      </c>
      <c r="AX2095" s="551"/>
      <c r="AY2095" s="551"/>
      <c r="AZ2095" s="551"/>
      <c r="BA2095" s="551"/>
      <c r="BB2095" s="551"/>
      <c r="BC2095" s="551"/>
      <c r="BD2095" s="549"/>
      <c r="BE2095" s="550"/>
      <c r="BF2095" s="549"/>
      <c r="BG2095" s="391">
        <f>SUM($AV$1389:AV2095)</f>
        <v>3668.6140742930088</v>
      </c>
      <c r="BH2095" s="392">
        <f>SUM($AU$1389:AU2095)</f>
        <v>42850.639220779361</v>
      </c>
      <c r="BI2095" s="318">
        <f>SUMIFS($AU$1388:AU2119,$Q$1388:Q2119,"F")</f>
        <v>32973.293506493508</v>
      </c>
      <c r="BJ2095" s="318">
        <f>SUMIFS($AU$1388:AU2119,$Q$1388:Q2119,"S")</f>
        <v>20002.285714285714</v>
      </c>
      <c r="BK2095" s="343">
        <f>SUMIFS($AU$1388:AU2119,$P$1388:P2119,"W")</f>
        <v>31576.759220779561</v>
      </c>
      <c r="BL2095" s="343">
        <f>SUMIFS($AU$1388:AU2119,$P$1388:P2119,"R")</f>
        <v>15726.00000000016</v>
      </c>
      <c r="BM2095" s="343">
        <f>SUMIFS($AU$1388:AU2119,$AQ$1388:AQ2119,"M")</f>
        <v>10931.179999998967</v>
      </c>
      <c r="BN2095" s="343">
        <f>SUMIFS($AU$1388:AU2119,$AQ$1388:AQ2119,"H")</f>
        <v>14523.200000000877</v>
      </c>
      <c r="BO2095" s="343">
        <f>SUMIFS($AU$1388:AU2119,$AQ$1388:AQ2119,"D")</f>
        <v>8014.9928571427408</v>
      </c>
      <c r="BP2095" s="343">
        <f>SUMIFS($AS$1388:AS2707,$AO$1388:AO2707,"W")</f>
        <v>0</v>
      </c>
      <c r="BQ2095" s="343">
        <f>SUMIFS($AU$1388:AU2119,$Q$1388:Q2119,"O")</f>
        <v>-5384.9400000000251</v>
      </c>
      <c r="BR2095" s="343">
        <f>SUMIFS($AU$1388:AU2119,$AA$1388:AA2119,"*")</f>
        <v>37075.122077921827</v>
      </c>
      <c r="BS2095" s="343">
        <f>SUMIFS($AU$1388:AU2119,$AB$1388:AB2119,"*")</f>
        <v>12971.859999999973</v>
      </c>
      <c r="BT2095" s="343">
        <f>SUMIFS($AU$1388:AU2119,$AC$1388:AC2119,"*")</f>
        <v>40173.293506493676</v>
      </c>
      <c r="BU2095" s="343">
        <f>SUMIFS($AU$1388:AU2119,$AA$1388:AA2119,"*",$AB$1388:AB2119,"*")</f>
        <v>8011.9999999997544</v>
      </c>
      <c r="BV2095" s="343">
        <f>SUMIFS($AU$1388:AU2119,$AA$1388:AA2119,"*",$AC$1388:AC2119,"*")</f>
        <v>28153.636363636531</v>
      </c>
      <c r="BW2095" s="343">
        <f>SUMIFS($AU$1388:AU2119,$AB$1388:AB2119,"*",$AC$1388:AC2119,"*")</f>
        <v>9360</v>
      </c>
      <c r="BX2095" s="343">
        <f>SUMIFS($AV$1388:AV2119,$Q$1388:Q2119,"F")</f>
        <v>462.72914667325267</v>
      </c>
      <c r="BY2095" s="343">
        <f>SUMIFS($AV$1388:AV2119,$Q$1388:Q2119,"S")</f>
        <v>738.32562762001328</v>
      </c>
      <c r="BZ2095" s="343">
        <f>SUMIFS($AV$1388:AV2119,$Q$1388:Q2119,"O")</f>
        <v>471.55929999966099</v>
      </c>
    </row>
    <row r="2096" spans="1:78" ht="15.75" customHeight="1">
      <c r="A2096" s="177" t="s">
        <v>6310</v>
      </c>
      <c r="B2096" s="200">
        <v>45440</v>
      </c>
      <c r="C2096" s="178" t="s">
        <v>1919</v>
      </c>
      <c r="D2096" s="178" t="s">
        <v>146</v>
      </c>
      <c r="E2096" s="227"/>
      <c r="F2096" s="180"/>
      <c r="G2096" s="481" t="s">
        <v>136</v>
      </c>
      <c r="H2096" s="182"/>
      <c r="I2096" s="182"/>
      <c r="J2096" s="182"/>
      <c r="K2096" s="183"/>
      <c r="L2096" s="182"/>
      <c r="M2096" s="182"/>
      <c r="N2096" s="182"/>
      <c r="O2096" s="183" t="s">
        <v>95</v>
      </c>
      <c r="P2096" s="183" t="s">
        <v>96</v>
      </c>
      <c r="Q2096" s="183" t="s">
        <v>97</v>
      </c>
      <c r="R2096" s="183">
        <v>30</v>
      </c>
      <c r="S2096" s="183">
        <v>0</v>
      </c>
      <c r="T2096" s="183">
        <v>60</v>
      </c>
      <c r="U2096" s="183" t="s">
        <v>22</v>
      </c>
      <c r="V2096" s="183"/>
      <c r="W2096" s="183"/>
      <c r="X2096" s="183"/>
      <c r="Y2096" s="184">
        <f>IF(ISBLANK(O2096),"",(IF(O2096=UPPER("IB"),0.005,0.01)))</f>
        <v>0.01</v>
      </c>
      <c r="Z2096" s="185">
        <f>IF(ISBLANK(O2096),"",IF(O2096="IB",8.63*200,IF(O2096="IR",16*100,IF(O2096="YT",20*100,IF(O2096="YT-XT",24*200,IF(O2096="TED",80*100,IF(O2096="XT",29*200)))))))</f>
        <v>1600</v>
      </c>
      <c r="AA2096" s="185" t="s">
        <v>1824</v>
      </c>
      <c r="AB2096" s="185"/>
      <c r="AC2096" s="185"/>
      <c r="AD2096" s="649">
        <v>0.05</v>
      </c>
      <c r="AE2096" s="182"/>
      <c r="AF2096" s="332"/>
      <c r="AG2096" s="182"/>
      <c r="AH2096" s="182"/>
      <c r="AI2096" s="182"/>
      <c r="AJ2096" s="640"/>
      <c r="AK2096" s="182"/>
      <c r="AL2096" s="496">
        <f t="shared" si="701"/>
        <v>-32</v>
      </c>
      <c r="AM2096" s="496">
        <f t="shared" si="698"/>
        <v>-960</v>
      </c>
      <c r="AN2096" s="626"/>
      <c r="AO2096" s="182"/>
      <c r="AP2096" s="182"/>
      <c r="AQ2096" s="332" t="str">
        <f>UPPER(RIGHT(Journal_Live[[#This Row],[DURATION ]]))</f>
        <v/>
      </c>
      <c r="AR2096" s="182"/>
      <c r="AS2096" s="189">
        <v>0.05</v>
      </c>
      <c r="AT2096" s="189">
        <f>IF(ISBLANK(AS2096),,IF(U2096="S",AD2096-AS2096,AS2096-AD2096))</f>
        <v>0</v>
      </c>
      <c r="AU2096" s="187">
        <f>AV2096*R2096</f>
        <v>0</v>
      </c>
      <c r="AV2096" s="190">
        <f t="shared" si="702"/>
        <v>0</v>
      </c>
      <c r="AW2096" s="191" t="s">
        <v>115</v>
      </c>
      <c r="AX2096" s="551"/>
      <c r="AY2096" s="551"/>
      <c r="AZ2096" s="551"/>
      <c r="BA2096" s="551"/>
      <c r="BB2096" s="551"/>
      <c r="BC2096" s="551"/>
      <c r="BD2096" s="549"/>
      <c r="BE2096" s="550"/>
      <c r="BF2096" s="549"/>
      <c r="BG2096" s="391">
        <f>SUM($AV$1389:AV2096)</f>
        <v>3668.6140742930088</v>
      </c>
      <c r="BH2096" s="392">
        <f>SUM($AU$1389:AU2096)</f>
        <v>42850.639220779361</v>
      </c>
      <c r="BI2096" s="318">
        <f>SUMIFS($AU$1388:AU2097,$Q$1388:Q2097,"F")</f>
        <v>29133.293506493508</v>
      </c>
      <c r="BJ2096" s="318">
        <f>SUMIFS($AU$1388:AU2097,$Q$1388:Q2097,"S")</f>
        <v>17842.285714285714</v>
      </c>
      <c r="BK2096" s="343">
        <f>SUMIFS($AU$1388:AU2097,$P$1388:P2097,"W")</f>
        <v>25576.759220779561</v>
      </c>
      <c r="BL2096" s="343">
        <f>SUMIFS($AU$1388:AU2097,$P$1388:P2097,"R")</f>
        <v>14826.00000000016</v>
      </c>
      <c r="BM2096" s="343">
        <f>SUMIFS($AU$1388:AU2097,$AQ$1388:AQ2097,"M")</f>
        <v>9567.1799999991417</v>
      </c>
      <c r="BN2096" s="343">
        <f>SUMIFS($AU$1388:AU2097,$AQ$1388:AQ2097,"H")</f>
        <v>12363.200000000876</v>
      </c>
      <c r="BO2096" s="343">
        <f>SUMIFS($AU$1388:AU2097,$AQ$1388:AQ2097,"D")</f>
        <v>4174.9928571427417</v>
      </c>
      <c r="BP2096" s="343">
        <f>SUMIFS($AS$1388:AS2699,$AO$1388:AO2699,"W")</f>
        <v>0</v>
      </c>
      <c r="BQ2096" s="343">
        <f>SUMIFS($AU$1388:AU2097,$Q$1388:Q2097,"O")</f>
        <v>-5848.9399999998504</v>
      </c>
      <c r="BR2096" s="343">
        <f>SUMIFS($AU$1388:AU2097,$AA$1388:AA2097,"*")</f>
        <v>33311.122077922002</v>
      </c>
      <c r="BS2096" s="343">
        <f>SUMIFS($AU$1388:AU2097,$AB$1388:AB2097,"*")</f>
        <v>12623.860000000042</v>
      </c>
      <c r="BT2096" s="343">
        <f>SUMIFS($AU$1388:AU2097,$AC$1388:AC2097,"*")</f>
        <v>34173.293506493676</v>
      </c>
      <c r="BU2096" s="343">
        <f>SUMIFS($AU$1388:AU2097,$AA$1388:AA2097,"*",$AB$1388:AB2097,"*")</f>
        <v>7663.9999999998236</v>
      </c>
      <c r="BV2096" s="343">
        <f>SUMIFS($AU$1388:AU2097,$AA$1388:AA2097,"*",$AC$1388:AC2097,"*")</f>
        <v>25753.636363636531</v>
      </c>
      <c r="BW2096" s="343">
        <f>SUMIFS($AU$1388:AU2097,$AB$1388:AB2097,"*",$AC$1388:AC2097,"*")</f>
        <v>9360</v>
      </c>
      <c r="BX2096" s="343">
        <f>SUMIFS($AV$1388:AV2097,$Q$1388:Q2097,"F")</f>
        <v>416.72914667325267</v>
      </c>
      <c r="BY2096" s="343">
        <f>SUMIFS($AV$1388:AV2097,$Q$1388:Q2097,"S")</f>
        <v>706.32562762001328</v>
      </c>
      <c r="BZ2096" s="343">
        <f>SUMIFS($AV$1388:AV2097,$Q$1388:Q2097,"O")</f>
        <v>297.55929999973682</v>
      </c>
    </row>
    <row r="2097" spans="1:78" ht="15.75" customHeight="1">
      <c r="A2097" s="177" t="s">
        <v>6310</v>
      </c>
      <c r="B2097" s="200">
        <v>45441</v>
      </c>
      <c r="C2097" s="178" t="s">
        <v>2081</v>
      </c>
      <c r="D2097" s="178" t="s">
        <v>151</v>
      </c>
      <c r="E2097" s="227" t="s">
        <v>6722</v>
      </c>
      <c r="F2097" s="180"/>
      <c r="G2097" s="181"/>
      <c r="H2097" s="182">
        <v>1</v>
      </c>
      <c r="I2097" s="182"/>
      <c r="J2097" s="182"/>
      <c r="K2097" s="183" t="s">
        <v>372</v>
      </c>
      <c r="L2097" s="182"/>
      <c r="M2097" s="182"/>
      <c r="N2097" s="182"/>
      <c r="O2097" s="183"/>
      <c r="P2097" s="183"/>
      <c r="Q2097" s="183"/>
      <c r="R2097" s="183"/>
      <c r="S2097" s="183"/>
      <c r="T2097" s="183"/>
      <c r="U2097" s="183"/>
      <c r="V2097" s="183"/>
      <c r="W2097" s="183"/>
      <c r="X2097" s="183"/>
      <c r="Y2097" s="183"/>
      <c r="Z2097" s="183"/>
      <c r="AA2097" s="185"/>
      <c r="AB2097" s="185"/>
      <c r="AC2097" s="185"/>
      <c r="AD2097" s="649"/>
      <c r="AE2097" s="182"/>
      <c r="AF2097" s="332"/>
      <c r="AG2097" s="182"/>
      <c r="AH2097" s="182"/>
      <c r="AI2097" s="182"/>
      <c r="AJ2097" s="640"/>
      <c r="AK2097" s="182"/>
      <c r="AL2097" s="496">
        <f t="shared" si="701"/>
        <v>0</v>
      </c>
      <c r="AM2097" s="496">
        <f t="shared" si="698"/>
        <v>0</v>
      </c>
      <c r="AN2097" s="626"/>
      <c r="AO2097" s="182"/>
      <c r="AP2097" s="182"/>
      <c r="AQ2097" s="332" t="str">
        <f>UPPER(RIGHT(Journal_Live[[#This Row],[DURATION ]]))</f>
        <v/>
      </c>
      <c r="AR2097" s="182"/>
      <c r="AS2097" s="189"/>
      <c r="AT2097" s="189"/>
      <c r="AU2097" s="187"/>
      <c r="AV2097" s="190"/>
      <c r="AW2097" s="191"/>
      <c r="AX2097" s="551"/>
      <c r="AY2097" s="551"/>
      <c r="AZ2097" s="551"/>
      <c r="BA2097" s="551"/>
      <c r="BB2097" s="551"/>
      <c r="BC2097" s="551"/>
      <c r="BD2097" s="549"/>
      <c r="BE2097" s="550"/>
      <c r="BF2097" s="549"/>
      <c r="BG2097" s="391">
        <f>SUM($AV$1389:AV2097)</f>
        <v>3668.6140742930088</v>
      </c>
      <c r="BH2097" s="392">
        <f>SUM($AU$1389:AU2097)</f>
        <v>42850.639220779361</v>
      </c>
      <c r="BI2097" s="318">
        <f>SUMIFS($AU$1388:AU2098,$Q$1388:Q2098,"F")</f>
        <v>29133.293506493508</v>
      </c>
      <c r="BJ2097" s="318">
        <f>SUMIFS($AU$1388:AU2098,$Q$1388:Q2098,"S")</f>
        <v>17842.285714285714</v>
      </c>
      <c r="BK2097" s="343">
        <f>SUMIFS($AU$1388:AU2098,$P$1388:P2098,"W")</f>
        <v>25576.759220779561</v>
      </c>
      <c r="BL2097" s="343">
        <f>SUMIFS($AU$1388:AU2098,$P$1388:P2098,"R")</f>
        <v>14826.00000000016</v>
      </c>
      <c r="BM2097" s="343">
        <f>SUMIFS($AU$1388:AU2098,$AQ$1388:AQ2098,"M")</f>
        <v>9915.1799999990726</v>
      </c>
      <c r="BN2097" s="343">
        <f>SUMIFS($AU$1388:AU2098,$AQ$1388:AQ2098,"H")</f>
        <v>12363.200000000876</v>
      </c>
      <c r="BO2097" s="343">
        <f>SUMIFS($AU$1388:AU2098,$AQ$1388:AQ2098,"D")</f>
        <v>4174.9928571427417</v>
      </c>
      <c r="BP2097" s="343">
        <f>SUMIFS($AS$1388:AS2700,$AO$1388:AO2700,"W")</f>
        <v>0</v>
      </c>
      <c r="BQ2097" s="343">
        <f>SUMIFS($AU$1388:AU2098,$Q$1388:Q2098,"O")</f>
        <v>-5500.9399999999196</v>
      </c>
      <c r="BR2097" s="343">
        <f>SUMIFS($AU$1388:AU2098,$AA$1388:AA2098,"*")</f>
        <v>33659.122077921929</v>
      </c>
      <c r="BS2097" s="343">
        <f>SUMIFS($AU$1388:AU2098,$AB$1388:AB2098,"*")</f>
        <v>12971.859999999973</v>
      </c>
      <c r="BT2097" s="343">
        <f>SUMIFS($AU$1388:AU2098,$AC$1388:AC2098,"*")</f>
        <v>34173.293506493676</v>
      </c>
      <c r="BU2097" s="343">
        <f>SUMIFS($AU$1388:AU2098,$AA$1388:AA2098,"*",$AB$1388:AB2098,"*")</f>
        <v>8011.9999999997544</v>
      </c>
      <c r="BV2097" s="343">
        <f>SUMIFS($AU$1388:AU2098,$AA$1388:AA2098,"*",$AC$1388:AC2098,"*")</f>
        <v>25753.636363636531</v>
      </c>
      <c r="BW2097" s="343">
        <f>SUMIFS($AU$1388:AU2098,$AB$1388:AB2098,"*",$AC$1388:AC2098,"*")</f>
        <v>9360</v>
      </c>
      <c r="BX2097" s="343">
        <f>SUMIFS($AV$1388:AV2098,$Q$1388:Q2098,"F")</f>
        <v>416.72914667325267</v>
      </c>
      <c r="BY2097" s="343">
        <f>SUMIFS($AV$1388:AV2098,$Q$1388:Q2098,"S")</f>
        <v>706.32562762001328</v>
      </c>
      <c r="BZ2097" s="343">
        <f>SUMIFS($AV$1388:AV2098,$Q$1388:Q2098,"O")</f>
        <v>413.55929999971374</v>
      </c>
    </row>
    <row r="2098" spans="1:78" ht="15.75" customHeight="1">
      <c r="A2098" s="177" t="s">
        <v>6310</v>
      </c>
      <c r="B2098" s="200">
        <v>45441</v>
      </c>
      <c r="C2098" s="178" t="s">
        <v>916</v>
      </c>
      <c r="D2098" s="178" t="s">
        <v>151</v>
      </c>
      <c r="E2098" s="227"/>
      <c r="F2098" s="180"/>
      <c r="G2098" s="481" t="s">
        <v>5723</v>
      </c>
      <c r="H2098" s="182"/>
      <c r="I2098" s="182"/>
      <c r="J2098" s="182"/>
      <c r="K2098" s="183"/>
      <c r="L2098" s="182">
        <v>1</v>
      </c>
      <c r="M2098" s="182">
        <v>1</v>
      </c>
      <c r="N2098" s="182"/>
      <c r="O2098" s="183" t="s">
        <v>3618</v>
      </c>
      <c r="P2098" s="183" t="s">
        <v>2260</v>
      </c>
      <c r="Q2098" s="183" t="s">
        <v>684</v>
      </c>
      <c r="R2098" s="183">
        <v>3</v>
      </c>
      <c r="S2098" s="183">
        <v>0</v>
      </c>
      <c r="T2098" s="183">
        <v>3</v>
      </c>
      <c r="U2098" s="183" t="s">
        <v>97</v>
      </c>
      <c r="V2098" s="183"/>
      <c r="W2098" s="183"/>
      <c r="X2098" s="183"/>
      <c r="Y2098" s="184">
        <f>IF(ISBLANK(O2098),"",(IF(O2098=UPPER("IB"),0.005,0.01)))</f>
        <v>0.01</v>
      </c>
      <c r="Z2098" s="185">
        <f>IF(ISBLANK(O2098),"",IF(O2098="IB",8.63*200,IF(O2098="IR",16*100,IF(O2098="YT",20*100,IF(O2098="YT-XT",24*200,IF(O2098="TED",80*100,IF(O2098="XT",29*200)))))))</f>
        <v>5800</v>
      </c>
      <c r="AA2098" s="185" t="s">
        <v>6723</v>
      </c>
      <c r="AB2098" s="185" t="s">
        <v>6724</v>
      </c>
      <c r="AC2098" s="185"/>
      <c r="AD2098" s="649">
        <v>95.614999999999995</v>
      </c>
      <c r="AE2098" s="182"/>
      <c r="AF2098" s="332"/>
      <c r="AG2098" s="182"/>
      <c r="AH2098" s="182"/>
      <c r="AI2098" s="182"/>
      <c r="AJ2098" s="640"/>
      <c r="AK2098" s="182"/>
      <c r="AL2098" s="496">
        <f t="shared" si="701"/>
        <v>-116</v>
      </c>
      <c r="AM2098" s="496">
        <f t="shared" si="698"/>
        <v>-348</v>
      </c>
      <c r="AN2098" s="626"/>
      <c r="AO2098" s="182"/>
      <c r="AP2098" s="182"/>
      <c r="AQ2098" s="332" t="s">
        <v>1259</v>
      </c>
      <c r="AR2098" s="182"/>
      <c r="AS2098" s="189">
        <v>95.594999999999999</v>
      </c>
      <c r="AT2098" s="189">
        <f>IF(ISBLANK(AS2098),,IF(U2098="S",AD2098-AS2098,AS2098-AD2098))</f>
        <v>1.9999999999996021E-2</v>
      </c>
      <c r="AU2098" s="187">
        <f>AV2098*R2098</f>
        <v>347.99999999993076</v>
      </c>
      <c r="AV2098" s="190">
        <f t="shared" si="702"/>
        <v>115.99999999997692</v>
      </c>
      <c r="AW2098" s="191" t="s">
        <v>96</v>
      </c>
      <c r="AX2098" s="551"/>
      <c r="AY2098" s="551"/>
      <c r="AZ2098" s="551"/>
      <c r="BA2098" s="551"/>
      <c r="BB2098" s="551"/>
      <c r="BC2098" s="551"/>
      <c r="BD2098" s="549"/>
      <c r="BE2098" s="550"/>
      <c r="BF2098" s="549"/>
      <c r="BG2098" s="391">
        <f>SUM($AV$1389:AV2098)</f>
        <v>3784.6140742929856</v>
      </c>
      <c r="BH2098" s="392">
        <f>SUM($AU$1389:AU2098)</f>
        <v>43198.639220779289</v>
      </c>
      <c r="BI2098" s="318">
        <f>SUMIFS($AU$1388:AU2099,$Q$1388:Q2099,"F")</f>
        <v>29133.293506493508</v>
      </c>
      <c r="BJ2098" s="318">
        <f>SUMIFS($AU$1388:AU2099,$Q$1388:Q2099,"S")</f>
        <v>17842.285714285714</v>
      </c>
      <c r="BK2098" s="343">
        <f>SUMIFS($AU$1388:AU2099,$P$1388:P2099,"W")</f>
        <v>25576.759220779561</v>
      </c>
      <c r="BL2098" s="343">
        <f>SUMIFS($AU$1388:AU2099,$P$1388:P2099,"R")</f>
        <v>14826.00000000016</v>
      </c>
      <c r="BM2098" s="343">
        <f>SUMIFS($AU$1388:AU2099,$AQ$1388:AQ2099,"M")</f>
        <v>9915.1799999990726</v>
      </c>
      <c r="BN2098" s="343">
        <f>SUMIFS($AU$1388:AU2099,$AQ$1388:AQ2099,"H")</f>
        <v>12363.200000000876</v>
      </c>
      <c r="BO2098" s="343">
        <f>SUMIFS($AU$1388:AU2099,$AQ$1388:AQ2099,"D")</f>
        <v>4174.9928571427417</v>
      </c>
      <c r="BP2098" s="343">
        <f>SUMIFS($AS$1388:AS2701,$AO$1388:AO2701,"W")</f>
        <v>0</v>
      </c>
      <c r="BQ2098" s="343">
        <f>SUMIFS($AU$1388:AU2099,$Q$1388:Q2099,"O")</f>
        <v>-5500.9399999999196</v>
      </c>
      <c r="BR2098" s="343">
        <f>SUMIFS($AU$1388:AU2099,$AA$1388:AA2099,"*")</f>
        <v>33659.122077921929</v>
      </c>
      <c r="BS2098" s="343">
        <f>SUMIFS($AU$1388:AU2099,$AB$1388:AB2099,"*")</f>
        <v>12971.859999999973</v>
      </c>
      <c r="BT2098" s="343">
        <f>SUMIFS($AU$1388:AU2099,$AC$1388:AC2099,"*")</f>
        <v>34173.293506493676</v>
      </c>
      <c r="BU2098" s="343">
        <f>SUMIFS($AU$1388:AU2099,$AA$1388:AA2099,"*",$AB$1388:AB2099,"*")</f>
        <v>8011.9999999997544</v>
      </c>
      <c r="BV2098" s="343">
        <f>SUMIFS($AU$1388:AU2099,$AA$1388:AA2099,"*",$AC$1388:AC2099,"*")</f>
        <v>25753.636363636531</v>
      </c>
      <c r="BW2098" s="343">
        <f>SUMIFS($AU$1388:AU2099,$AB$1388:AB2099,"*",$AC$1388:AC2099,"*")</f>
        <v>9360</v>
      </c>
      <c r="BX2098" s="343">
        <f>SUMIFS($AV$1388:AV2099,$Q$1388:Q2099,"F")</f>
        <v>416.72914667325267</v>
      </c>
      <c r="BY2098" s="343">
        <f>SUMIFS($AV$1388:AV2099,$Q$1388:Q2099,"S")</f>
        <v>706.32562762001328</v>
      </c>
      <c r="BZ2098" s="343">
        <f>SUMIFS($AV$1388:AV2099,$Q$1388:Q2099,"O")</f>
        <v>413.55929999971374</v>
      </c>
    </row>
    <row r="2099" spans="1:78" ht="15.75" customHeight="1">
      <c r="A2099" s="177" t="s">
        <v>6310</v>
      </c>
      <c r="B2099" s="200">
        <v>45441</v>
      </c>
      <c r="C2099" s="178" t="s">
        <v>682</v>
      </c>
      <c r="D2099" s="178" t="s">
        <v>151</v>
      </c>
      <c r="E2099" s="227"/>
      <c r="F2099" s="180"/>
      <c r="G2099" s="181" t="s">
        <v>6725</v>
      </c>
      <c r="H2099" s="182"/>
      <c r="I2099" s="182"/>
      <c r="J2099" s="182"/>
      <c r="K2099" s="183"/>
      <c r="L2099" s="182"/>
      <c r="M2099" s="182">
        <v>1</v>
      </c>
      <c r="N2099" s="182"/>
      <c r="O2099" s="183" t="s">
        <v>95</v>
      </c>
      <c r="P2099" s="183" t="s">
        <v>96</v>
      </c>
      <c r="Q2099" s="183" t="s">
        <v>97</v>
      </c>
      <c r="R2099" s="183">
        <v>30</v>
      </c>
      <c r="S2099" s="183">
        <v>0</v>
      </c>
      <c r="T2099" s="183">
        <v>60</v>
      </c>
      <c r="U2099" s="183" t="s">
        <v>97</v>
      </c>
      <c r="V2099" s="183"/>
      <c r="W2099" s="183"/>
      <c r="X2099" s="183"/>
      <c r="Y2099" s="184">
        <f>IF(ISBLANK(O2099),"",(IF(O2099=UPPER("IB"),0.005,0.01)))</f>
        <v>0.01</v>
      </c>
      <c r="Z2099" s="185">
        <f>IF(ISBLANK(O2099),"",IF(O2099="IB",8.63*200,IF(O2099="IR",16*100,IF(O2099="YT",20*100,IF(O2099="YT-XT",24*200,IF(O2099="TED",80*100,IF(O2099="XT",29*200)))))))</f>
        <v>1600</v>
      </c>
      <c r="AA2099" s="185" t="s">
        <v>1824</v>
      </c>
      <c r="AB2099" s="185"/>
      <c r="AC2099" s="185"/>
      <c r="AD2099" s="649">
        <v>0.08</v>
      </c>
      <c r="AE2099" s="182"/>
      <c r="AF2099" s="332"/>
      <c r="AG2099" s="182"/>
      <c r="AH2099" s="182"/>
      <c r="AI2099" s="182"/>
      <c r="AJ2099" s="640"/>
      <c r="AK2099" s="182"/>
      <c r="AL2099" s="496">
        <f t="shared" si="701"/>
        <v>-32</v>
      </c>
      <c r="AM2099" s="496">
        <f t="shared" si="698"/>
        <v>-960</v>
      </c>
      <c r="AN2099" s="626"/>
      <c r="AO2099" s="182"/>
      <c r="AP2099" s="182"/>
      <c r="AQ2099" s="332" t="s">
        <v>1259</v>
      </c>
      <c r="AR2099" s="182"/>
      <c r="AS2099" s="189">
        <v>0.08</v>
      </c>
      <c r="AT2099" s="189">
        <f>IF(ISBLANK(AS2099),,IF(U2099="S",AD2099-AS2099,AS2099-AD2099))</f>
        <v>0</v>
      </c>
      <c r="AU2099" s="187">
        <f>AV2099*R2099</f>
        <v>0</v>
      </c>
      <c r="AV2099" s="190">
        <f t="shared" si="702"/>
        <v>0</v>
      </c>
      <c r="AW2099" s="191" t="s">
        <v>115</v>
      </c>
      <c r="AX2099" s="551"/>
      <c r="AY2099" s="551"/>
      <c r="AZ2099" s="551"/>
      <c r="BA2099" s="551"/>
      <c r="BB2099" s="551"/>
      <c r="BC2099" s="551"/>
      <c r="BD2099" s="549"/>
      <c r="BE2099" s="550"/>
      <c r="BF2099" s="549"/>
      <c r="BG2099" s="391">
        <f>SUM($AV$1389:AV2099)</f>
        <v>3784.6140742929856</v>
      </c>
      <c r="BH2099" s="392">
        <f>SUM($AU$1389:AU2099)</f>
        <v>43198.639220779289</v>
      </c>
      <c r="BI2099" s="318">
        <f>SUMIFS($AU$1388:AU2100,$Q$1388:Q2100,"F")</f>
        <v>29133.293506493508</v>
      </c>
      <c r="BJ2099" s="318">
        <f>SUMIFS($AU$1388:AU2100,$Q$1388:Q2100,"S")</f>
        <v>17842.285714285714</v>
      </c>
      <c r="BK2099" s="343">
        <f>SUMIFS($AU$1388:AU2100,$P$1388:P2100,"W")</f>
        <v>25576.759220779561</v>
      </c>
      <c r="BL2099" s="343">
        <f>SUMIFS($AU$1388:AU2100,$P$1388:P2100,"R")</f>
        <v>15126.00000000016</v>
      </c>
      <c r="BM2099" s="343">
        <f>SUMIFS($AU$1388:AU2100,$AQ$1388:AQ2100,"M")</f>
        <v>10215.179999999073</v>
      </c>
      <c r="BN2099" s="343">
        <f>SUMIFS($AU$1388:AU2100,$AQ$1388:AQ2100,"H")</f>
        <v>12363.200000000876</v>
      </c>
      <c r="BO2099" s="343">
        <f>SUMIFS($AU$1388:AU2100,$AQ$1388:AQ2100,"D")</f>
        <v>4174.9928571427417</v>
      </c>
      <c r="BP2099" s="343">
        <f>SUMIFS($AS$1388:AS2702,$AO$1388:AO2702,"W")</f>
        <v>0</v>
      </c>
      <c r="BQ2099" s="343">
        <f>SUMIFS($AU$1388:AU2100,$Q$1388:Q2100,"O")</f>
        <v>-5500.9399999999196</v>
      </c>
      <c r="BR2099" s="343">
        <f>SUMIFS($AU$1388:AU2100,$AA$1388:AA2100,"*")</f>
        <v>33959.122077921929</v>
      </c>
      <c r="BS2099" s="343">
        <f>SUMIFS($AU$1388:AU2100,$AB$1388:AB2100,"*")</f>
        <v>12971.859999999973</v>
      </c>
      <c r="BT2099" s="343">
        <f>SUMIFS($AU$1388:AU2100,$AC$1388:AC2100,"*")</f>
        <v>34173.293506493676</v>
      </c>
      <c r="BU2099" s="343">
        <f>SUMIFS($AU$1388:AU2100,$AA$1388:AA2100,"*",$AB$1388:AB2100,"*")</f>
        <v>8011.9999999997544</v>
      </c>
      <c r="BV2099" s="343">
        <f>SUMIFS($AU$1388:AU2100,$AA$1388:AA2100,"*",$AC$1388:AC2100,"*")</f>
        <v>25753.636363636531</v>
      </c>
      <c r="BW2099" s="343">
        <f>SUMIFS($AU$1388:AU2100,$AB$1388:AB2100,"*",$AC$1388:AC2100,"*")</f>
        <v>9360</v>
      </c>
      <c r="BX2099" s="343">
        <f>SUMIFS($AV$1388:AV2100,$Q$1388:Q2100,"F")</f>
        <v>416.72914667325267</v>
      </c>
      <c r="BY2099" s="343">
        <f>SUMIFS($AV$1388:AV2100,$Q$1388:Q2100,"S")</f>
        <v>706.32562762001328</v>
      </c>
      <c r="BZ2099" s="343">
        <f>SUMIFS($AV$1388:AV2100,$Q$1388:Q2100,"O")</f>
        <v>413.55929999971374</v>
      </c>
    </row>
    <row r="2100" spans="1:78" ht="15.75" customHeight="1">
      <c r="A2100" s="177" t="s">
        <v>6310</v>
      </c>
      <c r="B2100" s="200">
        <v>45441</v>
      </c>
      <c r="C2100" s="178" t="s">
        <v>682</v>
      </c>
      <c r="D2100" s="178" t="s">
        <v>151</v>
      </c>
      <c r="E2100" s="227"/>
      <c r="F2100" s="180"/>
      <c r="G2100" s="181" t="s">
        <v>6726</v>
      </c>
      <c r="H2100" s="182"/>
      <c r="I2100" s="182"/>
      <c r="J2100" s="182"/>
      <c r="K2100" s="183"/>
      <c r="L2100" s="182"/>
      <c r="M2100" s="182">
        <v>2</v>
      </c>
      <c r="N2100" s="182"/>
      <c r="O2100" s="183" t="s">
        <v>5325</v>
      </c>
      <c r="P2100" s="183" t="s">
        <v>137</v>
      </c>
      <c r="Q2100" s="183"/>
      <c r="R2100" s="183">
        <v>1</v>
      </c>
      <c r="S2100" s="183">
        <v>0</v>
      </c>
      <c r="T2100" s="183">
        <v>1</v>
      </c>
      <c r="U2100" s="183" t="s">
        <v>22</v>
      </c>
      <c r="V2100" s="183"/>
      <c r="W2100" s="183"/>
      <c r="X2100" s="183"/>
      <c r="Y2100" s="184">
        <f>IF(ISBLANK(O2100),"",(IF(O2100=UPPER("IB"),0.005,0.01)))</f>
        <v>0.01</v>
      </c>
      <c r="Z2100" s="185">
        <f>IF(ISBLANK(O2100),"",IF(O2100="IB",8.63*200,IF(O2100="IR",16*100,IF(O2100="YT",20*100,IF(O2100="YT-XT",24*200,IF(O2100="TED",80*100,IF(O2100="IR|YT",300*100)))))))</f>
        <v>30000</v>
      </c>
      <c r="AA2100" s="185" t="s">
        <v>6727</v>
      </c>
      <c r="AB2100" s="185"/>
      <c r="AC2100" s="185"/>
      <c r="AD2100" s="649">
        <v>-0.22</v>
      </c>
      <c r="AE2100" s="182"/>
      <c r="AF2100" s="332"/>
      <c r="AG2100" s="182"/>
      <c r="AH2100" s="182"/>
      <c r="AI2100" s="182"/>
      <c r="AJ2100" s="640"/>
      <c r="AK2100" s="182"/>
      <c r="AL2100" s="496">
        <f t="shared" si="701"/>
        <v>-600</v>
      </c>
      <c r="AM2100" s="496">
        <f t="shared" si="698"/>
        <v>-600</v>
      </c>
      <c r="AN2100" s="626"/>
      <c r="AO2100" s="182"/>
      <c r="AP2100" s="182" t="s">
        <v>6728</v>
      </c>
      <c r="AQ2100" s="332" t="s">
        <v>1259</v>
      </c>
      <c r="AR2100" s="182"/>
      <c r="AS2100" s="189">
        <v>-0.21</v>
      </c>
      <c r="AT2100" s="189">
        <f>IF(ISBLANK(AS2100),,IF(U2100="S",AD2100-AS2100,AS2100-AD2100))</f>
        <v>1.0000000000000009E-2</v>
      </c>
      <c r="AU2100" s="187">
        <f>AV2100*R2100</f>
        <v>300.00000000000028</v>
      </c>
      <c r="AV2100" s="190">
        <f t="shared" si="702"/>
        <v>300.00000000000028</v>
      </c>
      <c r="AW2100" s="191" t="s">
        <v>96</v>
      </c>
      <c r="AX2100" s="551" t="s">
        <v>6729</v>
      </c>
      <c r="AY2100" s="551"/>
      <c r="AZ2100" s="551"/>
      <c r="BA2100" s="551"/>
      <c r="BB2100" s="551"/>
      <c r="BC2100" s="551"/>
      <c r="BD2100" s="549"/>
      <c r="BE2100" s="550"/>
      <c r="BF2100" s="549"/>
      <c r="BG2100" s="391">
        <f>SUM($AV$1389:AV2100)</f>
        <v>4084.6140742929861</v>
      </c>
      <c r="BH2100" s="392">
        <f>SUM($AU$1389:AU2100)</f>
        <v>43498.639220779289</v>
      </c>
      <c r="BI2100" s="318">
        <f>SUMIFS($AU$1388:AU2101,$Q$1388:Q2101,"F")</f>
        <v>29133.293506493508</v>
      </c>
      <c r="BJ2100" s="318">
        <f>SUMIFS($AU$1388:AU2101,$Q$1388:Q2101,"S")</f>
        <v>17842.285714285714</v>
      </c>
      <c r="BK2100" s="343">
        <f>SUMIFS($AU$1388:AU2101,$P$1388:P2101,"W")</f>
        <v>25576.759220779561</v>
      </c>
      <c r="BL2100" s="343">
        <f>SUMIFS($AU$1388:AU2101,$P$1388:P2101,"R")</f>
        <v>15726.00000000016</v>
      </c>
      <c r="BM2100" s="343">
        <f>SUMIFS($AU$1388:AU2101,$AQ$1388:AQ2101,"M")</f>
        <v>10815.179999999073</v>
      </c>
      <c r="BN2100" s="343">
        <f>SUMIFS($AU$1388:AU2101,$AQ$1388:AQ2101,"H")</f>
        <v>12363.200000000876</v>
      </c>
      <c r="BO2100" s="343">
        <f>SUMIFS($AU$1388:AU2101,$AQ$1388:AQ2101,"D")</f>
        <v>4174.9928571427417</v>
      </c>
      <c r="BP2100" s="343">
        <f>SUMIFS($AS$1388:AS2703,$AO$1388:AO2703,"W")</f>
        <v>0</v>
      </c>
      <c r="BQ2100" s="343">
        <f>SUMIFS($AU$1388:AU2101,$Q$1388:Q2101,"O")</f>
        <v>-5500.9399999999196</v>
      </c>
      <c r="BR2100" s="343">
        <f>SUMIFS($AU$1388:AU2101,$AA$1388:AA2101,"*")</f>
        <v>34559.122077921929</v>
      </c>
      <c r="BS2100" s="343">
        <f>SUMIFS($AU$1388:AU2101,$AB$1388:AB2101,"*")</f>
        <v>12971.859999999973</v>
      </c>
      <c r="BT2100" s="343">
        <f>SUMIFS($AU$1388:AU2101,$AC$1388:AC2101,"*")</f>
        <v>34173.293506493676</v>
      </c>
      <c r="BU2100" s="343">
        <f>SUMIFS($AU$1388:AU2101,$AA$1388:AA2101,"*",$AB$1388:AB2101,"*")</f>
        <v>8011.9999999997544</v>
      </c>
      <c r="BV2100" s="343">
        <f>SUMIFS($AU$1388:AU2101,$AA$1388:AA2101,"*",$AC$1388:AC2101,"*")</f>
        <v>25753.636363636531</v>
      </c>
      <c r="BW2100" s="343">
        <f>SUMIFS($AU$1388:AU2101,$AB$1388:AB2101,"*",$AC$1388:AC2101,"*")</f>
        <v>9360</v>
      </c>
      <c r="BX2100" s="343">
        <f>SUMIFS($AV$1388:AV2101,$Q$1388:Q2101,"F")</f>
        <v>416.72914667325267</v>
      </c>
      <c r="BY2100" s="343">
        <f>SUMIFS($AV$1388:AV2101,$Q$1388:Q2101,"S")</f>
        <v>706.32562762001328</v>
      </c>
      <c r="BZ2100" s="343">
        <f>SUMIFS($AV$1388:AV2101,$Q$1388:Q2101,"O")</f>
        <v>413.55929999971374</v>
      </c>
    </row>
    <row r="2101" spans="1:78" ht="15.75" customHeight="1">
      <c r="A2101" s="177" t="s">
        <v>6310</v>
      </c>
      <c r="B2101" s="200">
        <v>45441</v>
      </c>
      <c r="C2101" s="178" t="s">
        <v>682</v>
      </c>
      <c r="D2101" s="178" t="s">
        <v>151</v>
      </c>
      <c r="E2101" s="227"/>
      <c r="F2101" s="180"/>
      <c r="G2101" s="181" t="s">
        <v>5946</v>
      </c>
      <c r="H2101" s="182"/>
      <c r="I2101" s="182"/>
      <c r="J2101" s="182"/>
      <c r="K2101" s="183"/>
      <c r="L2101" s="182"/>
      <c r="M2101" s="182">
        <v>2</v>
      </c>
      <c r="N2101" s="182"/>
      <c r="O2101" s="183" t="s">
        <v>5325</v>
      </c>
      <c r="P2101" s="183" t="s">
        <v>137</v>
      </c>
      <c r="Q2101" s="183"/>
      <c r="R2101" s="183">
        <v>1</v>
      </c>
      <c r="S2101" s="183">
        <v>0</v>
      </c>
      <c r="T2101" s="183">
        <v>1</v>
      </c>
      <c r="U2101" s="183" t="s">
        <v>22</v>
      </c>
      <c r="V2101" s="183"/>
      <c r="W2101" s="183"/>
      <c r="X2101" s="183"/>
      <c r="Y2101" s="184">
        <f>IF(ISBLANK(O2101),"",(IF(O2101=UPPER("IB"),0.005,0.01)))</f>
        <v>0.01</v>
      </c>
      <c r="Z2101" s="185">
        <f>IF(ISBLANK(O2101),"",IF(O2101="IB",8.63*200,IF(O2101="IR",16*100,IF(O2101="YT",20*100,IF(O2101="YT-XT",24*200,IF(O2101="TED",80*100,IF(O2101="IR|YT",300*100)))))))</f>
        <v>30000</v>
      </c>
      <c r="AA2101" s="185" t="s">
        <v>6727</v>
      </c>
      <c r="AB2101" s="185"/>
      <c r="AC2101" s="185"/>
      <c r="AD2101" s="649">
        <v>-0.13</v>
      </c>
      <c r="AE2101" s="182"/>
      <c r="AF2101" s="332"/>
      <c r="AG2101" s="182"/>
      <c r="AH2101" s="182"/>
      <c r="AI2101" s="182"/>
      <c r="AJ2101" s="640"/>
      <c r="AK2101" s="182"/>
      <c r="AL2101" s="496">
        <f t="shared" si="701"/>
        <v>-600</v>
      </c>
      <c r="AM2101" s="496">
        <f t="shared" si="698"/>
        <v>-600</v>
      </c>
      <c r="AN2101" s="626"/>
      <c r="AO2101" s="182"/>
      <c r="AP2101" s="182" t="s">
        <v>6730</v>
      </c>
      <c r="AQ2101" s="332" t="s">
        <v>1259</v>
      </c>
      <c r="AR2101" s="182"/>
      <c r="AS2101" s="189">
        <v>-0.11</v>
      </c>
      <c r="AT2101" s="189">
        <f>IF(ISBLANK(AS2101),,IF(U2101="S",AD2101-AS2101,AS2101-AD2101))</f>
        <v>2.0000000000000004E-2</v>
      </c>
      <c r="AU2101" s="187">
        <f>AV2101*R2101</f>
        <v>600.00000000000011</v>
      </c>
      <c r="AV2101" s="190">
        <f t="shared" si="702"/>
        <v>600.00000000000011</v>
      </c>
      <c r="AW2101" s="191" t="s">
        <v>96</v>
      </c>
      <c r="AX2101" s="551" t="s">
        <v>6729</v>
      </c>
      <c r="AY2101" s="551"/>
      <c r="AZ2101" s="551"/>
      <c r="BA2101" s="551"/>
      <c r="BB2101" s="551"/>
      <c r="BC2101" s="551"/>
      <c r="BD2101" s="549"/>
      <c r="BE2101" s="550"/>
      <c r="BF2101" s="549"/>
      <c r="BG2101" s="391">
        <f>SUM($AV$1389:AV2101)</f>
        <v>4684.6140742929865</v>
      </c>
      <c r="BH2101" s="392">
        <f>SUM($AU$1389:AU2101)</f>
        <v>44098.639220779289</v>
      </c>
      <c r="BI2101" s="318">
        <f>SUMIFS($AU$1388:AU2102,$Q$1388:Q2102,"F")</f>
        <v>29133.293506493508</v>
      </c>
      <c r="BJ2101" s="318">
        <f>SUMIFS($AU$1388:AU2102,$Q$1388:Q2102,"S")</f>
        <v>17842.285714285714</v>
      </c>
      <c r="BK2101" s="343">
        <f>SUMIFS($AU$1388:AU2102,$P$1388:P2102,"W")</f>
        <v>25576.759220779561</v>
      </c>
      <c r="BL2101" s="343">
        <f>SUMIFS($AU$1388:AU2102,$P$1388:P2102,"R")</f>
        <v>15726.00000000016</v>
      </c>
      <c r="BM2101" s="343">
        <f>SUMIFS($AU$1388:AU2102,$AQ$1388:AQ2102,"M")</f>
        <v>10815.179999999073</v>
      </c>
      <c r="BN2101" s="343">
        <f>SUMIFS($AU$1388:AU2102,$AQ$1388:AQ2102,"H")</f>
        <v>12363.200000000876</v>
      </c>
      <c r="BO2101" s="343">
        <f>SUMIFS($AU$1388:AU2102,$AQ$1388:AQ2102,"D")</f>
        <v>4174.9928571427417</v>
      </c>
      <c r="BP2101" s="343">
        <f>SUMIFS($AS$1388:AS2704,$AO$1388:AO2704,"W")</f>
        <v>0</v>
      </c>
      <c r="BQ2101" s="343">
        <f>SUMIFS($AU$1388:AU2102,$Q$1388:Q2102,"O")</f>
        <v>-5500.9399999999196</v>
      </c>
      <c r="BR2101" s="343">
        <f>SUMIFS($AU$1388:AU2102,$AA$1388:AA2102,"*")</f>
        <v>34559.122077921929</v>
      </c>
      <c r="BS2101" s="343">
        <f>SUMIFS($AU$1388:AU2102,$AB$1388:AB2102,"*")</f>
        <v>12971.859999999973</v>
      </c>
      <c r="BT2101" s="343">
        <f>SUMIFS($AU$1388:AU2102,$AC$1388:AC2102,"*")</f>
        <v>34173.293506493676</v>
      </c>
      <c r="BU2101" s="343">
        <f>SUMIFS($AU$1388:AU2102,$AA$1388:AA2102,"*",$AB$1388:AB2102,"*")</f>
        <v>8011.9999999997544</v>
      </c>
      <c r="BV2101" s="343">
        <f>SUMIFS($AU$1388:AU2102,$AA$1388:AA2102,"*",$AC$1388:AC2102,"*")</f>
        <v>25753.636363636531</v>
      </c>
      <c r="BW2101" s="343">
        <f>SUMIFS($AU$1388:AU2102,$AB$1388:AB2102,"*",$AC$1388:AC2102,"*")</f>
        <v>9360</v>
      </c>
      <c r="BX2101" s="343">
        <f>SUMIFS($AV$1388:AV2102,$Q$1388:Q2102,"F")</f>
        <v>416.72914667325267</v>
      </c>
      <c r="BY2101" s="343">
        <f>SUMIFS($AV$1388:AV2102,$Q$1388:Q2102,"S")</f>
        <v>706.32562762001328</v>
      </c>
      <c r="BZ2101" s="343">
        <f>SUMIFS($AV$1388:AV2102,$Q$1388:Q2102,"O")</f>
        <v>413.55929999971374</v>
      </c>
    </row>
    <row r="2102" spans="1:78" ht="15.75" customHeight="1">
      <c r="A2102" s="177" t="s">
        <v>6310</v>
      </c>
      <c r="B2102" s="200">
        <v>45441</v>
      </c>
      <c r="C2102" s="178" t="s">
        <v>682</v>
      </c>
      <c r="D2102" s="178" t="s">
        <v>151</v>
      </c>
      <c r="E2102" s="227"/>
      <c r="F2102" s="180"/>
      <c r="G2102" s="181" t="s">
        <v>6256</v>
      </c>
      <c r="H2102" s="182"/>
      <c r="I2102" s="182"/>
      <c r="J2102" s="182"/>
      <c r="K2102" s="183"/>
      <c r="L2102" s="182"/>
      <c r="M2102" s="182"/>
      <c r="N2102" s="182"/>
      <c r="O2102" s="183"/>
      <c r="P2102" s="183"/>
      <c r="Q2102" s="183"/>
      <c r="R2102" s="183"/>
      <c r="S2102" s="183"/>
      <c r="T2102" s="183"/>
      <c r="U2102" s="183"/>
      <c r="V2102" s="183"/>
      <c r="W2102" s="183"/>
      <c r="X2102" s="183"/>
      <c r="Y2102" s="184"/>
      <c r="Z2102" s="185"/>
      <c r="AA2102" s="185"/>
      <c r="AB2102" s="185"/>
      <c r="AC2102" s="185"/>
      <c r="AD2102" s="649"/>
      <c r="AE2102" s="182"/>
      <c r="AF2102" s="332"/>
      <c r="AG2102" s="182"/>
      <c r="AH2102" s="182"/>
      <c r="AI2102" s="182"/>
      <c r="AJ2102" s="640"/>
      <c r="AK2102" s="182"/>
      <c r="AL2102" s="496">
        <f t="shared" ref="AL2102:AL2118" si="703">-0.02*Z2102</f>
        <v>0</v>
      </c>
      <c r="AM2102" s="496">
        <f t="shared" si="698"/>
        <v>0</v>
      </c>
      <c r="AN2102" s="626"/>
      <c r="AO2102" s="182"/>
      <c r="AP2102" s="182"/>
      <c r="AQ2102" s="332" t="str">
        <f>UPPER(RIGHT(Journal_Live[[#This Row],[DURATION ]]))</f>
        <v/>
      </c>
      <c r="AR2102" s="182"/>
      <c r="AS2102" s="189"/>
      <c r="AT2102" s="189"/>
      <c r="AU2102" s="187"/>
      <c r="AV2102" s="190"/>
      <c r="AW2102" s="191"/>
      <c r="AX2102" s="551"/>
      <c r="AY2102" s="551"/>
      <c r="AZ2102" s="551"/>
      <c r="BA2102" s="551"/>
      <c r="BB2102" s="551"/>
      <c r="BC2102" s="551"/>
      <c r="BD2102" s="549"/>
      <c r="BE2102" s="550"/>
      <c r="BF2102" s="549"/>
      <c r="BG2102" s="391">
        <f>SUM($AV$1389:AV2102)</f>
        <v>4684.6140742929865</v>
      </c>
      <c r="BH2102" s="392">
        <f>SUM($AU$1389:AU2102)</f>
        <v>44098.639220779289</v>
      </c>
      <c r="BI2102" s="318">
        <f>SUMIFS($AU$1388:AU2103,$Q$1388:Q2103,"F")</f>
        <v>29133.293506493508</v>
      </c>
      <c r="BJ2102" s="318">
        <f>SUMIFS($AU$1388:AU2103,$Q$1388:Q2103,"S")</f>
        <v>18402.285714285714</v>
      </c>
      <c r="BK2102" s="343">
        <f>SUMIFS($AU$1388:AU2103,$P$1388:P2103,"W")</f>
        <v>26136.759220779561</v>
      </c>
      <c r="BL2102" s="343">
        <f>SUMIFS($AU$1388:AU2103,$P$1388:P2103,"R")</f>
        <v>15726.00000000016</v>
      </c>
      <c r="BM2102" s="343">
        <f>SUMIFS($AU$1388:AU2103,$AQ$1388:AQ2103,"M")</f>
        <v>10815.179999999073</v>
      </c>
      <c r="BN2102" s="343">
        <f>SUMIFS($AU$1388:AU2103,$AQ$1388:AQ2103,"H")</f>
        <v>12923.200000000876</v>
      </c>
      <c r="BO2102" s="343">
        <f>SUMIFS($AU$1388:AU2103,$AQ$1388:AQ2103,"D")</f>
        <v>4174.9928571427417</v>
      </c>
      <c r="BP2102" s="343">
        <f>SUMIFS($AS$1388:AS2705,$AO$1388:AO2705,"W")</f>
        <v>0</v>
      </c>
      <c r="BQ2102" s="343">
        <f>SUMIFS($AU$1388:AU2103,$Q$1388:Q2103,"O")</f>
        <v>-5500.9399999999196</v>
      </c>
      <c r="BR2102" s="343">
        <f>SUMIFS($AU$1388:AU2103,$AA$1388:AA2103,"*")</f>
        <v>35119.122077921929</v>
      </c>
      <c r="BS2102" s="343">
        <f>SUMIFS($AU$1388:AU2103,$AB$1388:AB2103,"*")</f>
        <v>12971.859999999973</v>
      </c>
      <c r="BT2102" s="343">
        <f>SUMIFS($AU$1388:AU2103,$AC$1388:AC2103,"*")</f>
        <v>34733.293506493676</v>
      </c>
      <c r="BU2102" s="343">
        <f>SUMIFS($AU$1388:AU2103,$AA$1388:AA2103,"*",$AB$1388:AB2103,"*")</f>
        <v>8011.9999999997544</v>
      </c>
      <c r="BV2102" s="343">
        <f>SUMIFS($AU$1388:AU2103,$AA$1388:AA2103,"*",$AC$1388:AC2103,"*")</f>
        <v>26313.636363636531</v>
      </c>
      <c r="BW2102" s="343">
        <f>SUMIFS($AU$1388:AU2103,$AB$1388:AB2103,"*",$AC$1388:AC2103,"*")</f>
        <v>9360</v>
      </c>
      <c r="BX2102" s="343">
        <f>SUMIFS($AV$1388:AV2103,$Q$1388:Q2103,"F")</f>
        <v>416.72914667325267</v>
      </c>
      <c r="BY2102" s="343">
        <f>SUMIFS($AV$1388:AV2103,$Q$1388:Q2103,"S")</f>
        <v>722.32562762001328</v>
      </c>
      <c r="BZ2102" s="343">
        <f>SUMIFS($AV$1388:AV2103,$Q$1388:Q2103,"O")</f>
        <v>413.55929999971374</v>
      </c>
    </row>
    <row r="2103" spans="1:78" ht="15.75" customHeight="1">
      <c r="A2103" s="177" t="s">
        <v>6310</v>
      </c>
      <c r="B2103" s="200">
        <v>45441</v>
      </c>
      <c r="C2103" s="178" t="s">
        <v>6731</v>
      </c>
      <c r="D2103" s="178" t="s">
        <v>151</v>
      </c>
      <c r="E2103" s="227"/>
      <c r="F2103" s="180"/>
      <c r="G2103" s="481" t="s">
        <v>2070</v>
      </c>
      <c r="H2103" s="182"/>
      <c r="I2103" s="182"/>
      <c r="J2103" s="182"/>
      <c r="K2103" s="183"/>
      <c r="L2103" s="182"/>
      <c r="M2103" s="182">
        <v>2</v>
      </c>
      <c r="N2103" s="182"/>
      <c r="O2103" s="183" t="s">
        <v>95</v>
      </c>
      <c r="P2103" s="183" t="s">
        <v>96</v>
      </c>
      <c r="Q2103" s="183" t="s">
        <v>97</v>
      </c>
      <c r="R2103" s="183">
        <v>35</v>
      </c>
      <c r="S2103" s="183">
        <v>0</v>
      </c>
      <c r="T2103" s="183">
        <v>35</v>
      </c>
      <c r="U2103" s="183" t="s">
        <v>97</v>
      </c>
      <c r="V2103" s="183"/>
      <c r="W2103" s="183"/>
      <c r="X2103" s="183"/>
      <c r="Y2103" s="184">
        <f>IF(ISBLANK(O2103),"",(IF(O2103=UPPER("IB"),0.005,0.01)))</f>
        <v>0.01</v>
      </c>
      <c r="Z2103" s="185">
        <f>IF(ISBLANK(O2103),"",IF(O2103="IB",8.63*200,IF(O2103="IR",16*100,IF(O2103="YT",20*100,IF(O2103="YT-XT",24*200,IF(O2103="TED",80*100,IF(O2103="IR|YT",300*100)))))))</f>
        <v>1600</v>
      </c>
      <c r="AA2103" s="185" t="s">
        <v>6732</v>
      </c>
      <c r="AB2103" s="185"/>
      <c r="AC2103" s="185" t="s">
        <v>4589</v>
      </c>
      <c r="AD2103" s="649">
        <v>-0.04</v>
      </c>
      <c r="AE2103" s="182"/>
      <c r="AF2103" s="332"/>
      <c r="AG2103" s="182"/>
      <c r="AH2103" s="182"/>
      <c r="AI2103" s="182"/>
      <c r="AJ2103" s="640"/>
      <c r="AK2103" s="182"/>
      <c r="AL2103" s="496">
        <f t="shared" si="703"/>
        <v>-32</v>
      </c>
      <c r="AM2103" s="496">
        <f t="shared" si="698"/>
        <v>-1120</v>
      </c>
      <c r="AN2103" s="626"/>
      <c r="AO2103" s="182"/>
      <c r="AP2103" s="182" t="s">
        <v>1700</v>
      </c>
      <c r="AQ2103" s="332" t="s">
        <v>372</v>
      </c>
      <c r="AR2103" s="182"/>
      <c r="AS2103" s="189">
        <v>-0.05</v>
      </c>
      <c r="AT2103" s="189">
        <f>IF(ISBLANK(AS2103),,IF(U2103="S",AD2103-AS2103,AS2103-AD2103))</f>
        <v>1.0000000000000002E-2</v>
      </c>
      <c r="AU2103" s="187">
        <f>AV2103*R2103</f>
        <v>560.00000000000011</v>
      </c>
      <c r="AV2103" s="190">
        <f t="shared" ref="AV2103:AV2116" si="704">IF(ISBLANK(AS2103),,(AT2103*Z2103))</f>
        <v>16.000000000000004</v>
      </c>
      <c r="AW2103" s="191" t="s">
        <v>96</v>
      </c>
      <c r="AX2103" s="551"/>
      <c r="AY2103" s="551"/>
      <c r="AZ2103" s="551"/>
      <c r="BA2103" s="551"/>
      <c r="BB2103" s="551"/>
      <c r="BC2103" s="551"/>
      <c r="BD2103" s="549"/>
      <c r="BE2103" s="550"/>
      <c r="BF2103" s="549"/>
      <c r="BG2103" s="391">
        <f>SUM($AV$1389:AV2103)</f>
        <v>4700.6140742929865</v>
      </c>
      <c r="BH2103" s="392">
        <f>SUM($AU$1389:AU2103)</f>
        <v>44658.639220779289</v>
      </c>
      <c r="BI2103" s="318">
        <f>SUMIFS($AU$1388:AU2104,$Q$1388:Q2104,"F")</f>
        <v>29133.293506493508</v>
      </c>
      <c r="BJ2103" s="318">
        <f>SUMIFS($AU$1388:AU2104,$Q$1388:Q2104,"S")</f>
        <v>20002.285714285714</v>
      </c>
      <c r="BK2103" s="343">
        <f>SUMIFS($AU$1388:AU2104,$P$1388:P2104,"W")</f>
        <v>27736.759220779561</v>
      </c>
      <c r="BL2103" s="343">
        <f>SUMIFS($AU$1388:AU2104,$P$1388:P2104,"R")</f>
        <v>15726.00000000016</v>
      </c>
      <c r="BM2103" s="343">
        <f>SUMIFS($AU$1388:AU2104,$AQ$1388:AQ2104,"M")</f>
        <v>10815.179999999073</v>
      </c>
      <c r="BN2103" s="343">
        <f>SUMIFS($AU$1388:AU2104,$AQ$1388:AQ2104,"H")</f>
        <v>14523.200000000877</v>
      </c>
      <c r="BO2103" s="343">
        <f>SUMIFS($AU$1388:AU2104,$AQ$1388:AQ2104,"D")</f>
        <v>4174.9928571427417</v>
      </c>
      <c r="BP2103" s="343">
        <f>SUMIFS($AS$1388:AS2706,$AO$1388:AO2706,"W")</f>
        <v>0</v>
      </c>
      <c r="BQ2103" s="343">
        <f>SUMIFS($AU$1388:AU2104,$Q$1388:Q2104,"O")</f>
        <v>-5500.9399999999196</v>
      </c>
      <c r="BR2103" s="343">
        <f>SUMIFS($AU$1388:AU2104,$AA$1388:AA2104,"*")</f>
        <v>36719.122077921929</v>
      </c>
      <c r="BS2103" s="343">
        <f>SUMIFS($AU$1388:AU2104,$AB$1388:AB2104,"*")</f>
        <v>12971.859999999973</v>
      </c>
      <c r="BT2103" s="343">
        <f>SUMIFS($AU$1388:AU2104,$AC$1388:AC2104,"*")</f>
        <v>36333.293506493676</v>
      </c>
      <c r="BU2103" s="343">
        <f>SUMIFS($AU$1388:AU2104,$AA$1388:AA2104,"*",$AB$1388:AB2104,"*")</f>
        <v>8011.9999999997544</v>
      </c>
      <c r="BV2103" s="343">
        <f>SUMIFS($AU$1388:AU2104,$AA$1388:AA2104,"*",$AC$1388:AC2104,"*")</f>
        <v>27913.636363636531</v>
      </c>
      <c r="BW2103" s="343">
        <f>SUMIFS($AU$1388:AU2104,$AB$1388:AB2104,"*",$AC$1388:AC2104,"*")</f>
        <v>9360</v>
      </c>
      <c r="BX2103" s="343">
        <f>SUMIFS($AV$1388:AV2104,$Q$1388:Q2104,"F")</f>
        <v>416.72914667325267</v>
      </c>
      <c r="BY2103" s="343">
        <f>SUMIFS($AV$1388:AV2104,$Q$1388:Q2104,"S")</f>
        <v>738.32562762001328</v>
      </c>
      <c r="BZ2103" s="343">
        <f>SUMIFS($AV$1388:AV2104,$Q$1388:Q2104,"O")</f>
        <v>413.55929999971374</v>
      </c>
    </row>
    <row r="2104" spans="1:78" ht="15.75" customHeight="1">
      <c r="A2104" s="177" t="s">
        <v>6310</v>
      </c>
      <c r="B2104" s="200">
        <v>45441</v>
      </c>
      <c r="C2104" s="178" t="s">
        <v>6731</v>
      </c>
      <c r="D2104" s="178" t="s">
        <v>151</v>
      </c>
      <c r="E2104" s="227"/>
      <c r="F2104" s="180"/>
      <c r="G2104" s="481" t="s">
        <v>5098</v>
      </c>
      <c r="H2104" s="182"/>
      <c r="I2104" s="182"/>
      <c r="J2104" s="182"/>
      <c r="K2104" s="183"/>
      <c r="L2104" s="182"/>
      <c r="M2104" s="182">
        <v>2</v>
      </c>
      <c r="N2104" s="182"/>
      <c r="O2104" s="183" t="s">
        <v>95</v>
      </c>
      <c r="P2104" s="183" t="s">
        <v>96</v>
      </c>
      <c r="Q2104" s="183" t="s">
        <v>97</v>
      </c>
      <c r="R2104" s="183">
        <v>100</v>
      </c>
      <c r="S2104" s="183">
        <v>35</v>
      </c>
      <c r="T2104" s="183">
        <v>30</v>
      </c>
      <c r="U2104" s="183" t="s">
        <v>22</v>
      </c>
      <c r="V2104" s="183"/>
      <c r="W2104" s="183"/>
      <c r="X2104" s="183"/>
      <c r="Y2104" s="184">
        <f>IF(ISBLANK(O2104),"",(IF(O2104=UPPER("IB"),0.005,0.01)))</f>
        <v>0.01</v>
      </c>
      <c r="Z2104" s="185">
        <f>IF(ISBLANK(O2104),"",IF(O2104="IB",8.63*200,IF(O2104="IR",16*100,IF(O2104="YT",20*100,IF(O2104="YT-XT",24*200,IF(O2104="TED",80*100,IF(O2104="IR|YT",300*100)))))))</f>
        <v>1600</v>
      </c>
      <c r="AA2104" s="185" t="s">
        <v>5492</v>
      </c>
      <c r="AB2104" s="185"/>
      <c r="AC2104" s="185" t="s">
        <v>6733</v>
      </c>
      <c r="AD2104" s="649">
        <v>-0.17</v>
      </c>
      <c r="AE2104" s="182"/>
      <c r="AF2104" s="332"/>
      <c r="AG2104" s="182"/>
      <c r="AH2104" s="182"/>
      <c r="AI2104" s="182"/>
      <c r="AJ2104" s="640"/>
      <c r="AK2104" s="182"/>
      <c r="AL2104" s="496">
        <f t="shared" si="703"/>
        <v>-32</v>
      </c>
      <c r="AM2104" s="496">
        <f t="shared" si="698"/>
        <v>-2080</v>
      </c>
      <c r="AN2104" s="626"/>
      <c r="AO2104" s="182"/>
      <c r="AP2104" s="182" t="s">
        <v>964</v>
      </c>
      <c r="AQ2104" s="332" t="s">
        <v>372</v>
      </c>
      <c r="AR2104" s="182" t="s">
        <v>3270</v>
      </c>
      <c r="AS2104" s="189">
        <v>-0.16</v>
      </c>
      <c r="AT2104" s="189">
        <f>IF(ISBLANK(AS2104),,IF(U2104="S",AD2104-AS2104,AS2104-AD2104))</f>
        <v>1.0000000000000009E-2</v>
      </c>
      <c r="AU2104" s="187">
        <f>AV2104*R2104</f>
        <v>1600.0000000000014</v>
      </c>
      <c r="AV2104" s="190">
        <f t="shared" si="704"/>
        <v>16.000000000000014</v>
      </c>
      <c r="AW2104" s="191" t="s">
        <v>96</v>
      </c>
      <c r="AX2104" s="551"/>
      <c r="AY2104" s="551"/>
      <c r="AZ2104" s="551"/>
      <c r="BA2104" s="551"/>
      <c r="BB2104" s="551"/>
      <c r="BC2104" s="551"/>
      <c r="BD2104" s="549"/>
      <c r="BE2104" s="550"/>
      <c r="BF2104" s="549"/>
      <c r="BG2104" s="391">
        <f>SUM($AV$1389:AV2104)</f>
        <v>4716.6140742929865</v>
      </c>
      <c r="BH2104" s="392">
        <f>SUM($AU$1389:AU2104)</f>
        <v>46258.639220779289</v>
      </c>
      <c r="BI2104" s="318">
        <f>SUMIFS($AU$1388:AU2119,$Q$1388:Q2119,"F")</f>
        <v>32973.293506493508</v>
      </c>
      <c r="BJ2104" s="318">
        <f>SUMIFS($AU$1388:AU2119,$Q$1388:Q2119,"S")</f>
        <v>20002.285714285714</v>
      </c>
      <c r="BK2104" s="343">
        <f>SUMIFS($AU$1388:AU2119,$P$1388:P2119,"W")</f>
        <v>31576.759220779561</v>
      </c>
      <c r="BL2104" s="343">
        <f>SUMIFS($AU$1388:AU2119,$P$1388:P2119,"R")</f>
        <v>15726.00000000016</v>
      </c>
      <c r="BM2104" s="343">
        <f>SUMIFS($AU$1388:AU2119,$AQ$1388:AQ2119,"M")</f>
        <v>10931.179999998967</v>
      </c>
      <c r="BN2104" s="343">
        <f>SUMIFS($AU$1388:AU2119,$AQ$1388:AQ2119,"H")</f>
        <v>14523.200000000877</v>
      </c>
      <c r="BO2104" s="343">
        <f>SUMIFS($AU$1388:AU2119,$AQ$1388:AQ2119,"D")</f>
        <v>8014.9928571427408</v>
      </c>
      <c r="BP2104" s="343">
        <f>SUMIFS($AS$1388:AS2707,$AO$1388:AO2707,"W")</f>
        <v>0</v>
      </c>
      <c r="BQ2104" s="343">
        <f>SUMIFS($AU$1388:AU2119,$Q$1388:Q2119,"O")</f>
        <v>-5384.9400000000251</v>
      </c>
      <c r="BR2104" s="343">
        <f>SUMIFS($AU$1388:AU2119,$AA$1388:AA2119,"*")</f>
        <v>37075.122077921827</v>
      </c>
      <c r="BS2104" s="343">
        <f>SUMIFS($AU$1388:AU2119,$AB$1388:AB2119,"*")</f>
        <v>12971.859999999973</v>
      </c>
      <c r="BT2104" s="343">
        <f>SUMIFS($AU$1388:AU2119,$AC$1388:AC2119,"*")</f>
        <v>40173.293506493676</v>
      </c>
      <c r="BU2104" s="343">
        <f>SUMIFS($AU$1388:AU2119,$AA$1388:AA2119,"*",$AB$1388:AB2119,"*")</f>
        <v>8011.9999999997544</v>
      </c>
      <c r="BV2104" s="343">
        <f>SUMIFS($AU$1388:AU2119,$AA$1388:AA2119,"*",$AC$1388:AC2119,"*")</f>
        <v>28153.636363636531</v>
      </c>
      <c r="BW2104" s="343">
        <f>SUMIFS($AU$1388:AU2119,$AB$1388:AB2119,"*",$AC$1388:AC2119,"*")</f>
        <v>9360</v>
      </c>
      <c r="BX2104" s="343">
        <f>SUMIFS($AV$1388:AV2119,$Q$1388:Q2119,"F")</f>
        <v>462.72914667325267</v>
      </c>
      <c r="BY2104" s="343">
        <f>SUMIFS($AV$1388:AV2119,$Q$1388:Q2119,"S")</f>
        <v>738.32562762001328</v>
      </c>
      <c r="BZ2104" s="343">
        <f>SUMIFS($AV$1388:AV2119,$Q$1388:Q2119,"O")</f>
        <v>471.55929999966099</v>
      </c>
    </row>
    <row r="2105" spans="1:78" ht="15.75" customHeight="1">
      <c r="A2105" s="177" t="s">
        <v>6310</v>
      </c>
      <c r="B2105" s="200"/>
      <c r="C2105" s="178"/>
      <c r="D2105" s="178"/>
      <c r="E2105" s="227"/>
      <c r="F2105" s="180"/>
      <c r="G2105" s="181"/>
      <c r="H2105" s="182"/>
      <c r="I2105" s="182"/>
      <c r="J2105" s="182"/>
      <c r="K2105" s="183"/>
      <c r="L2105" s="182"/>
      <c r="M2105" s="182"/>
      <c r="N2105" s="182"/>
      <c r="O2105" s="183"/>
      <c r="P2105" s="183"/>
      <c r="Q2105" s="183"/>
      <c r="R2105" s="183"/>
      <c r="S2105" s="183"/>
      <c r="T2105" s="183"/>
      <c r="U2105" s="183"/>
      <c r="V2105" s="183"/>
      <c r="W2105" s="183"/>
      <c r="X2105" s="183"/>
      <c r="Y2105" s="183"/>
      <c r="Z2105" s="183"/>
      <c r="AA2105" s="185"/>
      <c r="AB2105" s="185"/>
      <c r="AC2105" s="185"/>
      <c r="AD2105" s="649"/>
      <c r="AE2105" s="182"/>
      <c r="AF2105" s="332"/>
      <c r="AG2105" s="182"/>
      <c r="AH2105" s="182"/>
      <c r="AI2105" s="182"/>
      <c r="AJ2105" s="640"/>
      <c r="AK2105" s="182"/>
      <c r="AL2105" s="496">
        <f t="shared" si="703"/>
        <v>0</v>
      </c>
      <c r="AM2105" s="496">
        <f t="shared" si="698"/>
        <v>0</v>
      </c>
      <c r="AN2105" s="626"/>
      <c r="AO2105" s="182"/>
      <c r="AP2105" s="182"/>
      <c r="AQ2105" s="332" t="str">
        <f>UPPER(RIGHT(Journal_Live[[#This Row],[DURATION ]]))</f>
        <v/>
      </c>
      <c r="AR2105" s="182"/>
      <c r="AS2105" s="189"/>
      <c r="AT2105" s="189"/>
      <c r="AU2105" s="187"/>
      <c r="AV2105" s="190"/>
      <c r="AW2105" s="191"/>
      <c r="AX2105" s="551"/>
      <c r="AY2105" s="551"/>
      <c r="AZ2105" s="551"/>
      <c r="BA2105" s="551"/>
      <c r="BB2105" s="551"/>
      <c r="BC2105" s="551"/>
      <c r="BD2105" s="549"/>
      <c r="BE2105" s="550"/>
      <c r="BF2105" s="549"/>
      <c r="BG2105" s="391">
        <f>SUM($AV$1389:AV2105)</f>
        <v>4716.6140742929865</v>
      </c>
      <c r="BH2105" s="392">
        <f>SUM($AU$1389:AU2105)</f>
        <v>46258.639220779289</v>
      </c>
      <c r="BI2105" s="318">
        <f>SUMIFS($AU$1388:AU2106,$Q$1388:Q2106,"F")</f>
        <v>29133.293506493508</v>
      </c>
      <c r="BJ2105" s="318">
        <f>SUMIFS($AU$1388:AU2106,$Q$1388:Q2106,"S")</f>
        <v>20002.285714285714</v>
      </c>
      <c r="BK2105" s="343">
        <f>SUMIFS($AU$1388:AU2106,$P$1388:P2106,"W")</f>
        <v>27736.759220779561</v>
      </c>
      <c r="BL2105" s="343">
        <f>SUMIFS($AU$1388:AU2106,$P$1388:P2106,"R")</f>
        <v>15726.00000000016</v>
      </c>
      <c r="BM2105" s="343">
        <f>SUMIFS($AU$1388:AU2106,$AQ$1388:AQ2106,"M")</f>
        <v>10815.179999999073</v>
      </c>
      <c r="BN2105" s="343">
        <f>SUMIFS($AU$1388:AU2106,$AQ$1388:AQ2106,"H")</f>
        <v>14523.200000000877</v>
      </c>
      <c r="BO2105" s="343">
        <f>SUMIFS($AU$1388:AU2106,$AQ$1388:AQ2106,"D")</f>
        <v>4174.9928571427417</v>
      </c>
      <c r="BP2105" s="343">
        <f>SUMIFS($AS$1388:AS2705,$AO$1388:AO2705,"W")</f>
        <v>0</v>
      </c>
      <c r="BQ2105" s="343">
        <f>SUMIFS($AU$1388:AU2106,$Q$1388:Q2106,"O")</f>
        <v>-5500.9399999999196</v>
      </c>
      <c r="BR2105" s="343">
        <f>SUMIFS($AU$1388:AU2106,$AA$1388:AA2106,"*")</f>
        <v>36719.122077921929</v>
      </c>
      <c r="BS2105" s="343">
        <f>SUMIFS($AU$1388:AU2106,$AB$1388:AB2106,"*")</f>
        <v>12971.859999999973</v>
      </c>
      <c r="BT2105" s="343">
        <f>SUMIFS($AU$1388:AU2106,$AC$1388:AC2106,"*")</f>
        <v>36333.293506493676</v>
      </c>
      <c r="BU2105" s="343">
        <f>SUMIFS($AU$1388:AU2106,$AA$1388:AA2106,"*",$AB$1388:AB2106,"*")</f>
        <v>8011.9999999997544</v>
      </c>
      <c r="BV2105" s="343">
        <f>SUMIFS($AU$1388:AU2106,$AA$1388:AA2106,"*",$AC$1388:AC2106,"*")</f>
        <v>27913.636363636531</v>
      </c>
      <c r="BW2105" s="343">
        <f>SUMIFS($AU$1388:AU2106,$AB$1388:AB2106,"*",$AC$1388:AC2106,"*")</f>
        <v>9360</v>
      </c>
      <c r="BX2105" s="343">
        <f>SUMIFS($AV$1388:AV2106,$Q$1388:Q2106,"F")</f>
        <v>416.72914667325267</v>
      </c>
      <c r="BY2105" s="343">
        <f>SUMIFS($AV$1388:AV2106,$Q$1388:Q2106,"S")</f>
        <v>738.32562762001328</v>
      </c>
      <c r="BZ2105" s="343">
        <f>SUMIFS($AV$1388:AV2106,$Q$1388:Q2106,"O")</f>
        <v>413.55929999971374</v>
      </c>
    </row>
    <row r="2106" spans="1:78" ht="15.75" customHeight="1">
      <c r="A2106" s="177" t="s">
        <v>6310</v>
      </c>
      <c r="B2106" s="200">
        <v>45442</v>
      </c>
      <c r="C2106" s="178" t="s">
        <v>1728</v>
      </c>
      <c r="D2106" s="178" t="s">
        <v>93</v>
      </c>
      <c r="E2106" s="227" t="s">
        <v>6734</v>
      </c>
      <c r="F2106" s="180"/>
      <c r="G2106" s="181"/>
      <c r="H2106" s="182"/>
      <c r="I2106" s="182"/>
      <c r="J2106" s="182">
        <v>1</v>
      </c>
      <c r="K2106" s="183" t="s">
        <v>115</v>
      </c>
      <c r="L2106" s="182"/>
      <c r="M2106" s="182"/>
      <c r="N2106" s="182"/>
      <c r="O2106" s="183"/>
      <c r="P2106" s="183"/>
      <c r="Q2106" s="183"/>
      <c r="R2106" s="183"/>
      <c r="S2106" s="183"/>
      <c r="T2106" s="183"/>
      <c r="U2106" s="183"/>
      <c r="V2106" s="183"/>
      <c r="W2106" s="183"/>
      <c r="X2106" s="183"/>
      <c r="Y2106" s="183"/>
      <c r="Z2106" s="183"/>
      <c r="AA2106" s="185"/>
      <c r="AB2106" s="185"/>
      <c r="AC2106" s="185"/>
      <c r="AD2106" s="649"/>
      <c r="AE2106" s="182"/>
      <c r="AF2106" s="332"/>
      <c r="AG2106" s="182"/>
      <c r="AH2106" s="182"/>
      <c r="AI2106" s="182"/>
      <c r="AJ2106" s="640"/>
      <c r="AK2106" s="182"/>
      <c r="AL2106" s="496">
        <f t="shared" si="703"/>
        <v>0</v>
      </c>
      <c r="AM2106" s="496">
        <f t="shared" si="698"/>
        <v>0</v>
      </c>
      <c r="AN2106" s="626"/>
      <c r="AO2106" s="182"/>
      <c r="AP2106" s="182"/>
      <c r="AQ2106" s="332" t="str">
        <f>UPPER(RIGHT(Journal_Live[[#This Row],[DURATION ]]))</f>
        <v/>
      </c>
      <c r="AR2106" s="182"/>
      <c r="AS2106" s="189"/>
      <c r="AT2106" s="189"/>
      <c r="AU2106" s="187"/>
      <c r="AV2106" s="190"/>
      <c r="AW2106" s="191"/>
      <c r="AX2106" s="551"/>
      <c r="AY2106" s="551"/>
      <c r="AZ2106" s="551"/>
      <c r="BA2106" s="551"/>
      <c r="BB2106" s="551"/>
      <c r="BC2106" s="551"/>
      <c r="BD2106" s="549"/>
      <c r="BE2106" s="550"/>
      <c r="BF2106" s="549"/>
      <c r="BG2106" s="391">
        <f>SUM($AV$1389:AV2106)</f>
        <v>4716.6140742929865</v>
      </c>
      <c r="BH2106" s="392">
        <f>SUM($AU$1389:AU2106)</f>
        <v>46258.639220779289</v>
      </c>
      <c r="BI2106" s="318">
        <f>SUMIFS($AU$1388:AU2107,$Q$1388:Q2107,"F")</f>
        <v>29133.293506493508</v>
      </c>
      <c r="BJ2106" s="318">
        <f>SUMIFS($AU$1388:AU2107,$Q$1388:Q2107,"S")</f>
        <v>20002.285714285714</v>
      </c>
      <c r="BK2106" s="343">
        <f>SUMIFS($AU$1388:AU2107,$P$1388:P2107,"W")</f>
        <v>27736.759220779561</v>
      </c>
      <c r="BL2106" s="343">
        <f>SUMIFS($AU$1388:AU2107,$P$1388:P2107,"R")</f>
        <v>15726.00000000016</v>
      </c>
      <c r="BM2106" s="343">
        <f>SUMIFS($AU$1388:AU2107,$AQ$1388:AQ2107,"M")</f>
        <v>10815.179999999073</v>
      </c>
      <c r="BN2106" s="343">
        <f>SUMIFS($AU$1388:AU2107,$AQ$1388:AQ2107,"H")</f>
        <v>14523.200000000877</v>
      </c>
      <c r="BO2106" s="343">
        <f>SUMIFS($AU$1388:AU2107,$AQ$1388:AQ2107,"D")</f>
        <v>4174.9928571427417</v>
      </c>
      <c r="BP2106" s="343">
        <f>SUMIFS($AS$1388:AS2706,$AO$1388:AO2706,"W")</f>
        <v>0</v>
      </c>
      <c r="BQ2106" s="343">
        <f>SUMIFS($AU$1388:AU2107,$Q$1388:Q2107,"O")</f>
        <v>-5500.9399999999196</v>
      </c>
      <c r="BR2106" s="343">
        <f>SUMIFS($AU$1388:AU2107,$AA$1388:AA2107,"*")</f>
        <v>36719.122077921929</v>
      </c>
      <c r="BS2106" s="343">
        <f>SUMIFS($AU$1388:AU2107,$AB$1388:AB2107,"*")</f>
        <v>12971.859999999973</v>
      </c>
      <c r="BT2106" s="343">
        <f>SUMIFS($AU$1388:AU2107,$AC$1388:AC2107,"*")</f>
        <v>36333.293506493676</v>
      </c>
      <c r="BU2106" s="343">
        <f>SUMIFS($AU$1388:AU2107,$AA$1388:AA2107,"*",$AB$1388:AB2107,"*")</f>
        <v>8011.9999999997544</v>
      </c>
      <c r="BV2106" s="343">
        <f>SUMIFS($AU$1388:AU2107,$AA$1388:AA2107,"*",$AC$1388:AC2107,"*")</f>
        <v>27913.636363636531</v>
      </c>
      <c r="BW2106" s="343">
        <f>SUMIFS($AU$1388:AU2107,$AB$1388:AB2107,"*",$AC$1388:AC2107,"*")</f>
        <v>9360</v>
      </c>
      <c r="BX2106" s="343">
        <f>SUMIFS($AV$1388:AV2107,$Q$1388:Q2107,"F")</f>
        <v>416.72914667325267</v>
      </c>
      <c r="BY2106" s="343">
        <f>SUMIFS($AV$1388:AV2107,$Q$1388:Q2107,"S")</f>
        <v>738.32562762001328</v>
      </c>
      <c r="BZ2106" s="343">
        <f>SUMIFS($AV$1388:AV2107,$Q$1388:Q2107,"O")</f>
        <v>413.55929999971374</v>
      </c>
    </row>
    <row r="2107" spans="1:78" ht="15.75" customHeight="1">
      <c r="A2107" s="177" t="s">
        <v>6310</v>
      </c>
      <c r="B2107" s="200"/>
      <c r="C2107" s="178"/>
      <c r="D2107" s="178"/>
      <c r="E2107" s="227" t="s">
        <v>6735</v>
      </c>
      <c r="F2107" s="180"/>
      <c r="G2107" s="181"/>
      <c r="H2107" s="182"/>
      <c r="I2107" s="182">
        <v>1</v>
      </c>
      <c r="J2107" s="182"/>
      <c r="K2107" s="183"/>
      <c r="L2107" s="182"/>
      <c r="M2107" s="182"/>
      <c r="N2107" s="182"/>
      <c r="O2107" s="183"/>
      <c r="P2107" s="183"/>
      <c r="Q2107" s="183"/>
      <c r="R2107" s="183"/>
      <c r="S2107" s="183"/>
      <c r="T2107" s="183"/>
      <c r="U2107" s="183"/>
      <c r="V2107" s="183"/>
      <c r="W2107" s="183"/>
      <c r="X2107" s="183"/>
      <c r="Y2107" s="183"/>
      <c r="Z2107" s="183"/>
      <c r="AA2107" s="185"/>
      <c r="AB2107" s="185"/>
      <c r="AC2107" s="185"/>
      <c r="AD2107" s="649"/>
      <c r="AE2107" s="182"/>
      <c r="AF2107" s="332"/>
      <c r="AG2107" s="182"/>
      <c r="AH2107" s="182"/>
      <c r="AI2107" s="182"/>
      <c r="AJ2107" s="640"/>
      <c r="AK2107" s="182"/>
      <c r="AL2107" s="496">
        <f t="shared" si="703"/>
        <v>0</v>
      </c>
      <c r="AM2107" s="496">
        <f t="shared" si="698"/>
        <v>0</v>
      </c>
      <c r="AN2107" s="626"/>
      <c r="AO2107" s="182"/>
      <c r="AP2107" s="182"/>
      <c r="AQ2107" s="332" t="str">
        <f>UPPER(RIGHT(Journal_Live[[#This Row],[DURATION ]]))</f>
        <v/>
      </c>
      <c r="AR2107" s="182"/>
      <c r="AS2107" s="189"/>
      <c r="AT2107" s="189"/>
      <c r="AU2107" s="187"/>
      <c r="AV2107" s="190"/>
      <c r="AW2107" s="191"/>
      <c r="AX2107" s="551"/>
      <c r="AY2107" s="551"/>
      <c r="AZ2107" s="551"/>
      <c r="BA2107" s="551"/>
      <c r="BB2107" s="551"/>
      <c r="BC2107" s="551"/>
      <c r="BD2107" s="549"/>
      <c r="BE2107" s="550"/>
      <c r="BF2107" s="549"/>
      <c r="BG2107" s="391">
        <f>SUM($AV$1389:AV2107)</f>
        <v>4716.6140742929865</v>
      </c>
      <c r="BH2107" s="392">
        <f>SUM($AU$1389:AU2107)</f>
        <v>46258.639220779289</v>
      </c>
      <c r="BI2107" s="318">
        <f>SUMIFS($AU$1388:AU2119,$Q$1388:Q2119,"F")</f>
        <v>32973.293506493508</v>
      </c>
      <c r="BJ2107" s="318">
        <f>SUMIFS($AU$1388:AU2119,$Q$1388:Q2119,"S")</f>
        <v>20002.285714285714</v>
      </c>
      <c r="BK2107" s="343">
        <f>SUMIFS($AU$1388:AU2119,$P$1388:P2119,"W")</f>
        <v>31576.759220779561</v>
      </c>
      <c r="BL2107" s="343">
        <f>SUMIFS($AU$1388:AU2119,$P$1388:P2119,"R")</f>
        <v>15726.00000000016</v>
      </c>
      <c r="BM2107" s="343">
        <f>SUMIFS($AU$1388:AU2119,$AQ$1388:AQ2119,"M")</f>
        <v>10931.179999998967</v>
      </c>
      <c r="BN2107" s="343">
        <f>SUMIFS($AU$1388:AU2119,$AQ$1388:AQ2119,"H")</f>
        <v>14523.200000000877</v>
      </c>
      <c r="BO2107" s="343">
        <f>SUMIFS($AU$1388:AU2119,$AQ$1388:AQ2119,"D")</f>
        <v>8014.9928571427408</v>
      </c>
      <c r="BP2107" s="343">
        <f>SUMIFS($AS$1388:AS2707,$AO$1388:AO2707,"W")</f>
        <v>0</v>
      </c>
      <c r="BQ2107" s="343">
        <f>SUMIFS($AU$1388:AU2119,$Q$1388:Q2119,"O")</f>
        <v>-5384.9400000000251</v>
      </c>
      <c r="BR2107" s="343">
        <f>SUMIFS($AU$1388:AU2119,$AA$1388:AA2119,"*")</f>
        <v>37075.122077921827</v>
      </c>
      <c r="BS2107" s="343">
        <f>SUMIFS($AU$1388:AU2119,$AB$1388:AB2119,"*")</f>
        <v>12971.859999999973</v>
      </c>
      <c r="BT2107" s="343">
        <f>SUMIFS($AU$1388:AU2119,$AC$1388:AC2119,"*")</f>
        <v>40173.293506493676</v>
      </c>
      <c r="BU2107" s="343">
        <f>SUMIFS($AU$1388:AU2119,$AA$1388:AA2119,"*",$AB$1388:AB2119,"*")</f>
        <v>8011.9999999997544</v>
      </c>
      <c r="BV2107" s="343">
        <f>SUMIFS($AU$1388:AU2119,$AA$1388:AA2119,"*",$AC$1388:AC2119,"*")</f>
        <v>28153.636363636531</v>
      </c>
      <c r="BW2107" s="343">
        <f>SUMIFS($AU$1388:AU2119,$AB$1388:AB2119,"*",$AC$1388:AC2119,"*")</f>
        <v>9360</v>
      </c>
      <c r="BX2107" s="343">
        <f>SUMIFS($AV$1388:AV2119,$Q$1388:Q2119,"F")</f>
        <v>462.72914667325267</v>
      </c>
      <c r="BY2107" s="343">
        <f>SUMIFS($AV$1388:AV2119,$Q$1388:Q2119,"S")</f>
        <v>738.32562762001328</v>
      </c>
      <c r="BZ2107" s="343">
        <f>SUMIFS($AV$1388:AV2119,$Q$1388:Q2119,"O")</f>
        <v>471.55929999966099</v>
      </c>
    </row>
    <row r="2108" spans="1:78" ht="15.75" customHeight="1">
      <c r="A2108" s="177" t="s">
        <v>6310</v>
      </c>
      <c r="B2108" s="200">
        <v>45443</v>
      </c>
      <c r="C2108" s="178" t="s">
        <v>6736</v>
      </c>
      <c r="D2108" s="178" t="s">
        <v>111</v>
      </c>
      <c r="E2108" s="227"/>
      <c r="F2108" s="180"/>
      <c r="G2108" s="181" t="s">
        <v>5098</v>
      </c>
      <c r="H2108" s="182"/>
      <c r="I2108" s="182"/>
      <c r="J2108" s="182"/>
      <c r="K2108" s="183"/>
      <c r="L2108" s="182"/>
      <c r="M2108" s="182"/>
      <c r="N2108" s="182"/>
      <c r="O2108" s="183"/>
      <c r="P2108" s="183"/>
      <c r="Q2108" s="183"/>
      <c r="R2108" s="183"/>
      <c r="S2108" s="183"/>
      <c r="T2108" s="183"/>
      <c r="U2108" s="183"/>
      <c r="V2108" s="183"/>
      <c r="W2108" s="183"/>
      <c r="X2108" s="183"/>
      <c r="Y2108" s="184"/>
      <c r="Z2108" s="185"/>
      <c r="AA2108" s="185"/>
      <c r="AB2108" s="185"/>
      <c r="AC2108" s="185"/>
      <c r="AD2108" s="649"/>
      <c r="AE2108" s="182"/>
      <c r="AF2108" s="332"/>
      <c r="AG2108" s="182"/>
      <c r="AH2108" s="182"/>
      <c r="AI2108" s="182"/>
      <c r="AJ2108" s="640"/>
      <c r="AK2108" s="182"/>
      <c r="AL2108" s="496">
        <f>-0.01*Z2108</f>
        <v>0</v>
      </c>
      <c r="AM2108" s="496">
        <f t="shared" si="698"/>
        <v>0</v>
      </c>
      <c r="AN2108" s="626"/>
      <c r="AO2108" s="182"/>
      <c r="AP2108" s="182"/>
      <c r="AQ2108" s="332" t="str">
        <f>UPPER(RIGHT(Journal_Live[[#This Row],[DURATION ]]))</f>
        <v/>
      </c>
      <c r="AR2108" s="182"/>
      <c r="AS2108" s="189"/>
      <c r="AT2108" s="189"/>
      <c r="AU2108" s="187"/>
      <c r="AV2108" s="190"/>
      <c r="AW2108" s="191"/>
      <c r="AX2108" s="551"/>
      <c r="AY2108" s="551"/>
      <c r="AZ2108" s="551"/>
      <c r="BA2108" s="551"/>
      <c r="BB2108" s="551"/>
      <c r="BC2108" s="551"/>
      <c r="BD2108" s="549"/>
      <c r="BE2108" s="550"/>
      <c r="BF2108" s="549"/>
      <c r="BG2108" s="391">
        <f>SUM($AV$1389:AV2108)</f>
        <v>4716.6140742929865</v>
      </c>
      <c r="BH2108" s="392">
        <f>SUM($AU$1389:AU2108)</f>
        <v>46258.639220779289</v>
      </c>
      <c r="BI2108" s="318">
        <f>SUMIFS($AU$1388:AU2116,$Q$1388:Q2116,"F")</f>
        <v>32973.293506493508</v>
      </c>
      <c r="BJ2108" s="318">
        <f>SUMIFS($AU$1388:AU2116,$Q$1388:Q2116,"S")</f>
        <v>20002.285714285714</v>
      </c>
      <c r="BK2108" s="343">
        <f>SUMIFS($AU$1388:AU2116,$P$1388:P2116,"W")</f>
        <v>31576.759220779561</v>
      </c>
      <c r="BL2108" s="343">
        <f>SUMIFS($AU$1388:AU2116,$P$1388:P2116,"R")</f>
        <v>15726.00000000016</v>
      </c>
      <c r="BM2108" s="343">
        <f>SUMIFS($AU$1388:AU2116,$AQ$1388:AQ2116,"M")</f>
        <v>10931.179999998967</v>
      </c>
      <c r="BN2108" s="343">
        <f>SUMIFS($AU$1388:AU2116,$AQ$1388:AQ2116,"H")</f>
        <v>14523.200000000877</v>
      </c>
      <c r="BO2108" s="343">
        <f>SUMIFS($AU$1388:AU2116,$AQ$1388:AQ2116,"D")</f>
        <v>8014.9928571427408</v>
      </c>
      <c r="BP2108" s="343">
        <f>SUMIFS($AS$1388:AS2704,$AO$1388:AO2704,"W")</f>
        <v>0</v>
      </c>
      <c r="BQ2108" s="343">
        <f>SUMIFS($AU$1388:AU2116,$Q$1388:Q2116,"O")</f>
        <v>-5384.9400000000251</v>
      </c>
      <c r="BR2108" s="343">
        <f>SUMIFS($AU$1388:AU2116,$AA$1388:AA2116,"*")</f>
        <v>37075.122077921827</v>
      </c>
      <c r="BS2108" s="343">
        <f>SUMIFS($AU$1388:AU2116,$AB$1388:AB2116,"*")</f>
        <v>12971.859999999973</v>
      </c>
      <c r="BT2108" s="343">
        <f>SUMIFS($AU$1388:AU2116,$AC$1388:AC2116,"*")</f>
        <v>40173.293506493676</v>
      </c>
      <c r="BU2108" s="343">
        <f>SUMIFS($AU$1388:AU2116,$AA$1388:AA2116,"*",$AB$1388:AB2116,"*")</f>
        <v>8011.9999999997544</v>
      </c>
      <c r="BV2108" s="343">
        <f>SUMIFS($AU$1388:AU2116,$AA$1388:AA2116,"*",$AC$1388:AC2116,"*")</f>
        <v>28153.636363636531</v>
      </c>
      <c r="BW2108" s="343">
        <f>SUMIFS($AU$1388:AU2116,$AB$1388:AB2116,"*",$AC$1388:AC2116,"*")</f>
        <v>9360</v>
      </c>
      <c r="BX2108" s="343">
        <f>SUMIFS($AV$1388:AV2116,$Q$1388:Q2116,"F")</f>
        <v>462.72914667325267</v>
      </c>
      <c r="BY2108" s="343">
        <f>SUMIFS($AV$1388:AV2116,$Q$1388:Q2116,"S")</f>
        <v>738.32562762001328</v>
      </c>
      <c r="BZ2108" s="343">
        <f>SUMIFS($AV$1388:AV2116,$Q$1388:Q2116,"O")</f>
        <v>471.55929999966099</v>
      </c>
    </row>
    <row r="2109" spans="1:78" ht="15.75" customHeight="1">
      <c r="A2109" s="177" t="s">
        <v>6310</v>
      </c>
      <c r="B2109" s="200">
        <v>45443</v>
      </c>
      <c r="C2109" s="178" t="s">
        <v>5324</v>
      </c>
      <c r="D2109" s="178" t="s">
        <v>111</v>
      </c>
      <c r="E2109" s="227"/>
      <c r="F2109" s="180"/>
      <c r="G2109" s="578" t="s">
        <v>6105</v>
      </c>
      <c r="H2109" s="182"/>
      <c r="I2109" s="182"/>
      <c r="J2109" s="182"/>
      <c r="K2109" s="183"/>
      <c r="L2109" s="182"/>
      <c r="M2109" s="182">
        <v>1</v>
      </c>
      <c r="N2109" s="182"/>
      <c r="O2109" s="183" t="s">
        <v>5325</v>
      </c>
      <c r="P2109" s="183" t="s">
        <v>137</v>
      </c>
      <c r="Q2109" s="183"/>
      <c r="R2109" s="183">
        <v>1</v>
      </c>
      <c r="S2109" s="183">
        <v>0</v>
      </c>
      <c r="T2109" s="183">
        <v>1</v>
      </c>
      <c r="U2109" s="183" t="s">
        <v>22</v>
      </c>
      <c r="V2109" s="183"/>
      <c r="W2109" s="183"/>
      <c r="X2109" s="183"/>
      <c r="Y2109" s="184">
        <f>IF(ISBLANK(O2109),"",(IF(O2109=UPPER("IB"),0.005,0.01)))</f>
        <v>0.01</v>
      </c>
      <c r="Z2109" s="185">
        <f>IF(ISBLANK(O2109),"",IF(O2109="IB",8.63*200,IF(O2109="IR",16*100,IF(O2109="YT",20*100,IF(O2109="YT-XT",24*200,IF(O2109="TED",80*100,IF(O2109="IR|YT",300*100)))))))</f>
        <v>30000</v>
      </c>
      <c r="AA2109" s="185" t="s">
        <v>6737</v>
      </c>
      <c r="AB2109" s="185"/>
      <c r="AC2109" s="185"/>
      <c r="AD2109" s="649">
        <v>-0.01</v>
      </c>
      <c r="AE2109" s="182"/>
      <c r="AF2109" s="332"/>
      <c r="AG2109" s="182"/>
      <c r="AH2109" s="182"/>
      <c r="AI2109" s="182"/>
      <c r="AJ2109" s="640"/>
      <c r="AK2109" s="182"/>
      <c r="AL2109" s="496">
        <f t="shared" ref="AL2109:AL2114" si="705">-0.02*Z2109</f>
        <v>-600</v>
      </c>
      <c r="AM2109" s="496">
        <f t="shared" si="698"/>
        <v>-600</v>
      </c>
      <c r="AN2109" s="626"/>
      <c r="AO2109" s="182"/>
      <c r="AP2109" s="182"/>
      <c r="AQ2109" s="332" t="s">
        <v>372</v>
      </c>
      <c r="AR2109" s="182"/>
      <c r="AS2109" s="189">
        <v>-0.01</v>
      </c>
      <c r="AT2109" s="189">
        <f>IF(ISBLANK(AS2109),,IF(U2109="S",AD2109-AS2109,AS2109-AD2109))</f>
        <v>0</v>
      </c>
      <c r="AU2109" s="187">
        <f>AV2109*R2109</f>
        <v>0</v>
      </c>
      <c r="AV2109" s="190">
        <f t="shared" ref="AV2109:AV2115" si="706">IF(ISBLANK(AS2109),,(AT2109*Z2109))</f>
        <v>0</v>
      </c>
      <c r="AW2109" s="191" t="s">
        <v>115</v>
      </c>
      <c r="AX2109" s="551"/>
      <c r="AY2109" s="551"/>
      <c r="AZ2109" s="551"/>
      <c r="BA2109" s="551"/>
      <c r="BB2109" s="551"/>
      <c r="BC2109" s="551"/>
      <c r="BD2109" s="549"/>
      <c r="BE2109" s="550"/>
      <c r="BF2109" s="549"/>
      <c r="BG2109" s="391">
        <f>SUM($AV$1389:AV2109)</f>
        <v>4716.6140742929865</v>
      </c>
      <c r="BH2109" s="392">
        <f>SUM($AU$1389:AU2109)</f>
        <v>46258.639220779289</v>
      </c>
      <c r="BI2109" s="318">
        <f>SUMIFS($AU$1388:AU2110,$Q$1388:Q2110,"F")</f>
        <v>29133.293506493508</v>
      </c>
      <c r="BJ2109" s="318">
        <f>SUMIFS($AU$1388:AU2110,$Q$1388:Q2110,"S")</f>
        <v>20002.285714285714</v>
      </c>
      <c r="BK2109" s="343">
        <f>SUMIFS($AU$1388:AU2110,$P$1388:P2110,"W")</f>
        <v>27736.759220779561</v>
      </c>
      <c r="BL2109" s="343">
        <f>SUMIFS($AU$1388:AU2110,$P$1388:P2110,"R")</f>
        <v>15726.00000000016</v>
      </c>
      <c r="BM2109" s="343">
        <f>SUMIFS($AU$1388:AU2110,$AQ$1388:AQ2110,"M")</f>
        <v>10931.179999998967</v>
      </c>
      <c r="BN2109" s="343">
        <f>SUMIFS($AU$1388:AU2110,$AQ$1388:AQ2110,"H")</f>
        <v>14523.200000000877</v>
      </c>
      <c r="BO2109" s="343">
        <f>SUMIFS($AU$1388:AU2110,$AQ$1388:AQ2110,"D")</f>
        <v>4174.9928571427417</v>
      </c>
      <c r="BP2109" s="343">
        <f>SUMIFS($AS$1388:AS2702,$AO$1388:AO2702,"W")</f>
        <v>0</v>
      </c>
      <c r="BQ2109" s="343">
        <f>SUMIFS($AU$1388:AU2110,$Q$1388:Q2110,"O")</f>
        <v>-5384.9400000000251</v>
      </c>
      <c r="BR2109" s="343">
        <f>SUMIFS($AU$1388:AU2110,$AA$1388:AA2110,"*")</f>
        <v>36835.122077921827</v>
      </c>
      <c r="BS2109" s="343">
        <f>SUMIFS($AU$1388:AU2110,$AB$1388:AB2110,"*")</f>
        <v>12971.859999999973</v>
      </c>
      <c r="BT2109" s="343">
        <f>SUMIFS($AU$1388:AU2110,$AC$1388:AC2110,"*")</f>
        <v>36333.293506493676</v>
      </c>
      <c r="BU2109" s="343">
        <f>SUMIFS($AU$1388:AU2110,$AA$1388:AA2110,"*",$AB$1388:AB2110,"*")</f>
        <v>8011.9999999997544</v>
      </c>
      <c r="BV2109" s="343">
        <f>SUMIFS($AU$1388:AU2110,$AA$1388:AA2110,"*",$AC$1388:AC2110,"*")</f>
        <v>27913.636363636531</v>
      </c>
      <c r="BW2109" s="343">
        <f>SUMIFS($AU$1388:AU2110,$AB$1388:AB2110,"*",$AC$1388:AC2110,"*")</f>
        <v>9360</v>
      </c>
      <c r="BX2109" s="343">
        <f>SUMIFS($AV$1388:AV2110,$Q$1388:Q2110,"F")</f>
        <v>416.72914667325267</v>
      </c>
      <c r="BY2109" s="343">
        <f>SUMIFS($AV$1388:AV2110,$Q$1388:Q2110,"S")</f>
        <v>738.32562762001328</v>
      </c>
      <c r="BZ2109" s="343">
        <f>SUMIFS($AV$1388:AV2110,$Q$1388:Q2110,"O")</f>
        <v>471.55929999966099</v>
      </c>
    </row>
    <row r="2110" spans="1:78" ht="15.75" customHeight="1">
      <c r="A2110" s="177" t="s">
        <v>6310</v>
      </c>
      <c r="B2110" s="200">
        <v>45443</v>
      </c>
      <c r="C2110" s="178" t="s">
        <v>4322</v>
      </c>
      <c r="D2110" s="178" t="s">
        <v>111</v>
      </c>
      <c r="E2110" s="227"/>
      <c r="F2110" s="180"/>
      <c r="G2110" s="481" t="s">
        <v>5723</v>
      </c>
      <c r="H2110" s="182"/>
      <c r="I2110" s="182"/>
      <c r="J2110" s="182"/>
      <c r="K2110" s="183"/>
      <c r="L2110" s="182"/>
      <c r="M2110" s="182">
        <v>1</v>
      </c>
      <c r="N2110" s="182"/>
      <c r="O2110" s="183" t="s">
        <v>3618</v>
      </c>
      <c r="P2110" s="183" t="s">
        <v>2260</v>
      </c>
      <c r="Q2110" s="183" t="s">
        <v>684</v>
      </c>
      <c r="R2110" s="183">
        <v>2</v>
      </c>
      <c r="S2110" s="183">
        <v>0</v>
      </c>
      <c r="T2110" s="183">
        <v>2</v>
      </c>
      <c r="U2110" s="183" t="s">
        <v>22</v>
      </c>
      <c r="V2110" s="183"/>
      <c r="W2110" s="183"/>
      <c r="X2110" s="183"/>
      <c r="Y2110" s="184">
        <f>IF(ISBLANK(O2110),"",(IF(O2110=UPPER("IB"),0.005,0.01)))</f>
        <v>0.01</v>
      </c>
      <c r="Z2110" s="185">
        <f>IF(ISBLANK(O2110),"",IF(O2110="IB",8.63*200,IF(O2110="IR",16*100,IF(O2110="YT",20*100,IF(O2110="YT-XT",24*200,IF(O2110="TED",80*100,IF(O2110="XT",29*200)))))))</f>
        <v>5800</v>
      </c>
      <c r="AA2110" s="185" t="s">
        <v>739</v>
      </c>
      <c r="AB2110" s="185"/>
      <c r="AC2110" s="185"/>
      <c r="AD2110" s="649">
        <v>95.54</v>
      </c>
      <c r="AE2110" s="182"/>
      <c r="AF2110" s="332"/>
      <c r="AG2110" s="182" t="s">
        <v>6738</v>
      </c>
      <c r="AH2110" s="182"/>
      <c r="AI2110" s="182"/>
      <c r="AJ2110" s="640"/>
      <c r="AK2110" s="182"/>
      <c r="AL2110" s="496">
        <f t="shared" si="705"/>
        <v>-116</v>
      </c>
      <c r="AM2110" s="496">
        <f t="shared" si="698"/>
        <v>-232</v>
      </c>
      <c r="AN2110" s="626"/>
      <c r="AO2110" s="182"/>
      <c r="AP2110" s="182" t="s">
        <v>4007</v>
      </c>
      <c r="AQ2110" s="332" t="s">
        <v>1259</v>
      </c>
      <c r="AR2110" s="182"/>
      <c r="AS2110" s="189">
        <v>95.55</v>
      </c>
      <c r="AT2110" s="189">
        <f>IF(ISBLANK(AS2110),,IF(U2110="S",AD2110-AS2110,AS2110-AD2110))</f>
        <v>9.9999999999909051E-3</v>
      </c>
      <c r="AU2110" s="187">
        <f>AV2110*R2110</f>
        <v>115.9999999998945</v>
      </c>
      <c r="AV2110" s="190">
        <f t="shared" si="706"/>
        <v>57.999999999947249</v>
      </c>
      <c r="AW2110" s="191" t="s">
        <v>96</v>
      </c>
      <c r="AX2110" s="551"/>
      <c r="AY2110" s="551"/>
      <c r="AZ2110" s="551"/>
      <c r="BA2110" s="551"/>
      <c r="BB2110" s="551"/>
      <c r="BC2110" s="551"/>
      <c r="BD2110" s="549"/>
      <c r="BE2110" s="550"/>
      <c r="BF2110" s="549"/>
      <c r="BG2110" s="391">
        <f>SUM($AV$1389:AV2110)</f>
        <v>4774.6140742929338</v>
      </c>
      <c r="BH2110" s="392">
        <f>SUM($AU$1389:AU2110)</f>
        <v>46374.63922077918</v>
      </c>
      <c r="BI2110" s="318">
        <f>SUMIFS($AU$1388:AU2111,$Q$1388:Q2111,"F")</f>
        <v>29133.293506493508</v>
      </c>
      <c r="BJ2110" s="318">
        <f>SUMIFS($AU$1388:AU2111,$Q$1388:Q2111,"S")</f>
        <v>20002.285714285714</v>
      </c>
      <c r="BK2110" s="343">
        <f>SUMIFS($AU$1388:AU2111,$P$1388:P2111,"W")</f>
        <v>27736.759220779561</v>
      </c>
      <c r="BL2110" s="343">
        <f>SUMIFS($AU$1388:AU2111,$P$1388:P2111,"R")</f>
        <v>15726.00000000016</v>
      </c>
      <c r="BM2110" s="343">
        <f>SUMIFS($AU$1388:AU2111,$AQ$1388:AQ2111,"M")</f>
        <v>10931.179999998967</v>
      </c>
      <c r="BN2110" s="343">
        <f>SUMIFS($AU$1388:AU2111,$AQ$1388:AQ2111,"H")</f>
        <v>14523.200000000877</v>
      </c>
      <c r="BO2110" s="343">
        <f>SUMIFS($AU$1388:AU2111,$AQ$1388:AQ2111,"D")</f>
        <v>4174.9928571427417</v>
      </c>
      <c r="BP2110" s="343">
        <f>SUMIFS($AS$1388:AS2703,$AO$1388:AO2703,"W")</f>
        <v>0</v>
      </c>
      <c r="BQ2110" s="343">
        <f>SUMIFS($AU$1388:AU2111,$Q$1388:Q2111,"O")</f>
        <v>-5384.9400000000251</v>
      </c>
      <c r="BR2110" s="343">
        <f>SUMIFS($AU$1388:AU2111,$AA$1388:AA2111,"*")</f>
        <v>36835.122077921827</v>
      </c>
      <c r="BS2110" s="343">
        <f>SUMIFS($AU$1388:AU2111,$AB$1388:AB2111,"*")</f>
        <v>12971.859999999973</v>
      </c>
      <c r="BT2110" s="343">
        <f>SUMIFS($AU$1388:AU2111,$AC$1388:AC2111,"*")</f>
        <v>36333.293506493676</v>
      </c>
      <c r="BU2110" s="343">
        <f>SUMIFS($AU$1388:AU2111,$AA$1388:AA2111,"*",$AB$1388:AB2111,"*")</f>
        <v>8011.9999999997544</v>
      </c>
      <c r="BV2110" s="343">
        <f>SUMIFS($AU$1388:AU2111,$AA$1388:AA2111,"*",$AC$1388:AC2111,"*")</f>
        <v>27913.636363636531</v>
      </c>
      <c r="BW2110" s="343">
        <f>SUMIFS($AU$1388:AU2111,$AB$1388:AB2111,"*",$AC$1388:AC2111,"*")</f>
        <v>9360</v>
      </c>
      <c r="BX2110" s="343">
        <f>SUMIFS($AV$1388:AV2111,$Q$1388:Q2111,"F")</f>
        <v>416.72914667325267</v>
      </c>
      <c r="BY2110" s="343">
        <f>SUMIFS($AV$1388:AV2111,$Q$1388:Q2111,"S")</f>
        <v>738.32562762001328</v>
      </c>
      <c r="BZ2110" s="343">
        <f>SUMIFS($AV$1388:AV2111,$Q$1388:Q2111,"O")</f>
        <v>471.55929999966099</v>
      </c>
    </row>
    <row r="2111" spans="1:78" ht="15.75" customHeight="1">
      <c r="A2111" s="177" t="s">
        <v>6310</v>
      </c>
      <c r="B2111" s="200">
        <v>45443</v>
      </c>
      <c r="C2111" s="178" t="s">
        <v>1714</v>
      </c>
      <c r="D2111" s="178" t="s">
        <v>111</v>
      </c>
      <c r="E2111" s="227" t="s">
        <v>6739</v>
      </c>
      <c r="F2111" s="180"/>
      <c r="G2111" s="181"/>
      <c r="H2111" s="182"/>
      <c r="I2111" s="182"/>
      <c r="J2111" s="182"/>
      <c r="K2111" s="183"/>
      <c r="L2111" s="182"/>
      <c r="M2111" s="182"/>
      <c r="N2111" s="182"/>
      <c r="O2111" s="183"/>
      <c r="P2111" s="183"/>
      <c r="Q2111" s="183"/>
      <c r="R2111" s="183"/>
      <c r="S2111" s="183"/>
      <c r="T2111" s="183"/>
      <c r="U2111" s="183"/>
      <c r="V2111" s="183"/>
      <c r="W2111" s="183"/>
      <c r="X2111" s="183"/>
      <c r="Y2111" s="184"/>
      <c r="Z2111" s="185"/>
      <c r="AA2111" s="185"/>
      <c r="AB2111" s="185"/>
      <c r="AC2111" s="185"/>
      <c r="AD2111" s="649"/>
      <c r="AE2111" s="182"/>
      <c r="AF2111" s="332"/>
      <c r="AG2111" s="182"/>
      <c r="AH2111" s="182"/>
      <c r="AI2111" s="182"/>
      <c r="AJ2111" s="640"/>
      <c r="AK2111" s="182"/>
      <c r="AL2111" s="496">
        <f t="shared" si="705"/>
        <v>0</v>
      </c>
      <c r="AM2111" s="496">
        <f t="shared" si="698"/>
        <v>0</v>
      </c>
      <c r="AN2111" s="626"/>
      <c r="AO2111" s="182"/>
      <c r="AP2111" s="182"/>
      <c r="AQ2111" s="332" t="str">
        <f>UPPER(RIGHT(Journal_Live[[#This Row],[DURATION ]]))</f>
        <v/>
      </c>
      <c r="AR2111" s="182"/>
      <c r="AS2111" s="189"/>
      <c r="AT2111" s="189"/>
      <c r="AU2111" s="187"/>
      <c r="AV2111" s="190"/>
      <c r="AW2111" s="191"/>
      <c r="AX2111" s="551"/>
      <c r="AY2111" s="551"/>
      <c r="AZ2111" s="551"/>
      <c r="BA2111" s="551"/>
      <c r="BB2111" s="551"/>
      <c r="BC2111" s="551"/>
      <c r="BD2111" s="549"/>
      <c r="BE2111" s="550"/>
      <c r="BF2111" s="549"/>
      <c r="BG2111" s="391">
        <f>SUM($AV$1389:AV2111)</f>
        <v>4774.6140742929338</v>
      </c>
      <c r="BH2111" s="392">
        <f>SUM($AU$1389:AU2111)</f>
        <v>46374.63922077918</v>
      </c>
      <c r="BI2111" s="318">
        <f>SUMIFS($AU$1388:AU2116,$Q$1388:Q2116,"F")</f>
        <v>32973.293506493508</v>
      </c>
      <c r="BJ2111" s="318">
        <f>SUMIFS($AU$1388:AU2116,$Q$1388:Q2116,"S")</f>
        <v>20002.285714285714</v>
      </c>
      <c r="BK2111" s="343">
        <f>SUMIFS($AU$1388:AU2116,$P$1388:P2116,"W")</f>
        <v>31576.759220779561</v>
      </c>
      <c r="BL2111" s="343">
        <f>SUMIFS($AU$1388:AU2116,$P$1388:P2116,"R")</f>
        <v>15726.00000000016</v>
      </c>
      <c r="BM2111" s="343">
        <f>SUMIFS($AU$1388:AU2116,$AQ$1388:AQ2116,"M")</f>
        <v>10931.179999998967</v>
      </c>
      <c r="BN2111" s="343">
        <f>SUMIFS($AU$1388:AU2116,$AQ$1388:AQ2116,"H")</f>
        <v>14523.200000000877</v>
      </c>
      <c r="BO2111" s="343">
        <f>SUMIFS($AU$1388:AU2116,$AQ$1388:AQ2116,"D")</f>
        <v>8014.9928571427408</v>
      </c>
      <c r="BP2111" s="343">
        <f>SUMIFS($AS$1388:AS2704,$AO$1388:AO2704,"W")</f>
        <v>0</v>
      </c>
      <c r="BQ2111" s="343">
        <f>SUMIFS($AU$1388:AU2116,$Q$1388:Q2116,"O")</f>
        <v>-5384.9400000000251</v>
      </c>
      <c r="BR2111" s="343">
        <f>SUMIFS($AU$1388:AU2116,$AA$1388:AA2116,"*")</f>
        <v>37075.122077921827</v>
      </c>
      <c r="BS2111" s="343">
        <f>SUMIFS($AU$1388:AU2116,$AB$1388:AB2116,"*")</f>
        <v>12971.859999999973</v>
      </c>
      <c r="BT2111" s="343">
        <f>SUMIFS($AU$1388:AU2116,$AC$1388:AC2116,"*")</f>
        <v>40173.293506493676</v>
      </c>
      <c r="BU2111" s="343">
        <f>SUMIFS($AU$1388:AU2116,$AA$1388:AA2116,"*",$AB$1388:AB2116,"*")</f>
        <v>8011.9999999997544</v>
      </c>
      <c r="BV2111" s="343">
        <f>SUMIFS($AU$1388:AU2116,$AA$1388:AA2116,"*",$AC$1388:AC2116,"*")</f>
        <v>28153.636363636531</v>
      </c>
      <c r="BW2111" s="343">
        <f>SUMIFS($AU$1388:AU2116,$AB$1388:AB2116,"*",$AC$1388:AC2116,"*")</f>
        <v>9360</v>
      </c>
      <c r="BX2111" s="343">
        <f>SUMIFS($AV$1388:AV2116,$Q$1388:Q2116,"F")</f>
        <v>462.72914667325267</v>
      </c>
      <c r="BY2111" s="343">
        <f>SUMIFS($AV$1388:AV2116,$Q$1388:Q2116,"S")</f>
        <v>738.32562762001328</v>
      </c>
      <c r="BZ2111" s="343">
        <f>SUMIFS($AV$1388:AV2116,$Q$1388:Q2116,"O")</f>
        <v>471.55929999966099</v>
      </c>
    </row>
    <row r="2112" spans="1:78" ht="15.75" customHeight="1">
      <c r="A2112" s="177" t="s">
        <v>6310</v>
      </c>
      <c r="B2112" s="200"/>
      <c r="C2112" s="178"/>
      <c r="D2112" s="178"/>
      <c r="E2112" s="227" t="s">
        <v>6740</v>
      </c>
      <c r="F2112" s="180" t="s">
        <v>6741</v>
      </c>
      <c r="G2112" s="181"/>
      <c r="H2112" s="182"/>
      <c r="I2112" s="182"/>
      <c r="J2112" s="182">
        <v>1</v>
      </c>
      <c r="K2112" s="183" t="s">
        <v>115</v>
      </c>
      <c r="L2112" s="182"/>
      <c r="M2112" s="182"/>
      <c r="N2112" s="182"/>
      <c r="O2112" s="183"/>
      <c r="P2112" s="183"/>
      <c r="Q2112" s="183"/>
      <c r="R2112" s="183"/>
      <c r="S2112" s="183"/>
      <c r="T2112" s="183"/>
      <c r="U2112" s="183"/>
      <c r="V2112" s="183"/>
      <c r="W2112" s="183"/>
      <c r="X2112" s="183"/>
      <c r="Y2112" s="184"/>
      <c r="Z2112" s="185"/>
      <c r="AA2112" s="185"/>
      <c r="AB2112" s="185"/>
      <c r="AC2112" s="185"/>
      <c r="AD2112" s="649"/>
      <c r="AE2112" s="182"/>
      <c r="AF2112" s="332"/>
      <c r="AG2112" s="182"/>
      <c r="AH2112" s="182"/>
      <c r="AI2112" s="182"/>
      <c r="AJ2112" s="640"/>
      <c r="AK2112" s="182"/>
      <c r="AL2112" s="496">
        <f t="shared" si="705"/>
        <v>0</v>
      </c>
      <c r="AM2112" s="496">
        <f t="shared" si="698"/>
        <v>0</v>
      </c>
      <c r="AN2112" s="626"/>
      <c r="AO2112" s="182"/>
      <c r="AP2112" s="182"/>
      <c r="AQ2112" s="332" t="str">
        <f>UPPER(RIGHT(Journal_Live[[#This Row],[DURATION ]]))</f>
        <v/>
      </c>
      <c r="AR2112" s="182"/>
      <c r="AS2112" s="189"/>
      <c r="AT2112" s="189"/>
      <c r="AU2112" s="187"/>
      <c r="AV2112" s="190"/>
      <c r="AW2112" s="191"/>
      <c r="AX2112" s="551"/>
      <c r="AY2112" s="551"/>
      <c r="AZ2112" s="551"/>
      <c r="BA2112" s="551"/>
      <c r="BB2112" s="551"/>
      <c r="BC2112" s="551"/>
      <c r="BD2112" s="549"/>
      <c r="BE2112" s="550"/>
      <c r="BF2112" s="549"/>
      <c r="BG2112" s="391">
        <f>SUM($AV$1389:AV2112)</f>
        <v>4774.6140742929338</v>
      </c>
      <c r="BH2112" s="392">
        <f>SUM($AU$1389:AU2112)</f>
        <v>46374.63922077918</v>
      </c>
      <c r="BI2112" s="318">
        <f>SUMIFS($AU$1388:AU2113,$Q$1388:Q2113,"F")</f>
        <v>29133.293506493508</v>
      </c>
      <c r="BJ2112" s="318">
        <f>SUMIFS($AU$1388:AU2113,$Q$1388:Q2113,"S")</f>
        <v>20002.285714285714</v>
      </c>
      <c r="BK2112" s="343">
        <f>SUMIFS($AU$1388:AU2113,$P$1388:P2113,"W")</f>
        <v>27736.759220779561</v>
      </c>
      <c r="BL2112" s="343">
        <f>SUMIFS($AU$1388:AU2113,$P$1388:P2113,"R")</f>
        <v>15726.00000000016</v>
      </c>
      <c r="BM2112" s="343">
        <f>SUMIFS($AU$1388:AU2113,$AQ$1388:AQ2113,"M")</f>
        <v>10931.179999998967</v>
      </c>
      <c r="BN2112" s="343">
        <f>SUMIFS($AU$1388:AU2113,$AQ$1388:AQ2113,"H")</f>
        <v>14523.200000000877</v>
      </c>
      <c r="BO2112" s="343">
        <f>SUMIFS($AU$1388:AU2113,$AQ$1388:AQ2113,"D")</f>
        <v>4174.9928571427417</v>
      </c>
      <c r="BP2112" s="343">
        <f>SUMIFS($AS$1388:AS2701,$AO$1388:AO2701,"W")</f>
        <v>0</v>
      </c>
      <c r="BQ2112" s="343">
        <f>SUMIFS($AU$1388:AU2113,$Q$1388:Q2113,"O")</f>
        <v>-5384.9400000000251</v>
      </c>
      <c r="BR2112" s="343">
        <f>SUMIFS($AU$1388:AU2113,$AA$1388:AA2113,"*")</f>
        <v>36835.122077921827</v>
      </c>
      <c r="BS2112" s="343">
        <f>SUMIFS($AU$1388:AU2113,$AB$1388:AB2113,"*")</f>
        <v>12971.859999999973</v>
      </c>
      <c r="BT2112" s="343">
        <f>SUMIFS($AU$1388:AU2113,$AC$1388:AC2113,"*")</f>
        <v>36333.293506493676</v>
      </c>
      <c r="BU2112" s="343">
        <f>SUMIFS($AU$1388:AU2113,$AA$1388:AA2113,"*",$AB$1388:AB2113,"*")</f>
        <v>8011.9999999997544</v>
      </c>
      <c r="BV2112" s="343">
        <f>SUMIFS($AU$1388:AU2113,$AA$1388:AA2113,"*",$AC$1388:AC2113,"*")</f>
        <v>27913.636363636531</v>
      </c>
      <c r="BW2112" s="343">
        <f>SUMIFS($AU$1388:AU2113,$AB$1388:AB2113,"*",$AC$1388:AC2113,"*")</f>
        <v>9360</v>
      </c>
      <c r="BX2112" s="343">
        <f>SUMIFS($AV$1388:AV2113,$Q$1388:Q2113,"F")</f>
        <v>416.72914667325267</v>
      </c>
      <c r="BY2112" s="343">
        <f>SUMIFS($AV$1388:AV2113,$Q$1388:Q2113,"S")</f>
        <v>738.32562762001328</v>
      </c>
      <c r="BZ2112" s="343">
        <f>SUMIFS($AV$1388:AV2113,$Q$1388:Q2113,"O")</f>
        <v>471.55929999966099</v>
      </c>
    </row>
    <row r="2113" spans="1:78" ht="15.75" customHeight="1">
      <c r="A2113" s="177" t="s">
        <v>6310</v>
      </c>
      <c r="B2113" s="200">
        <v>45443</v>
      </c>
      <c r="C2113" s="178" t="s">
        <v>6742</v>
      </c>
      <c r="D2113" s="178" t="s">
        <v>111</v>
      </c>
      <c r="E2113" s="227"/>
      <c r="F2113" s="180"/>
      <c r="G2113" s="584" t="s">
        <v>5025</v>
      </c>
      <c r="H2113" s="182"/>
      <c r="I2113" s="182"/>
      <c r="J2113" s="182"/>
      <c r="K2113" s="183"/>
      <c r="L2113" s="182">
        <v>1</v>
      </c>
      <c r="M2113" s="182"/>
      <c r="N2113" s="182"/>
      <c r="O2113" s="183" t="s">
        <v>2432</v>
      </c>
      <c r="P2113" s="183" t="s">
        <v>2260</v>
      </c>
      <c r="Q2113" s="183" t="s">
        <v>684</v>
      </c>
      <c r="R2113" s="183">
        <v>1</v>
      </c>
      <c r="S2113" s="183">
        <v>0</v>
      </c>
      <c r="T2113" s="183">
        <v>1</v>
      </c>
      <c r="U2113" s="183" t="s">
        <v>22</v>
      </c>
      <c r="V2113" s="183"/>
      <c r="W2113" s="183"/>
      <c r="X2113" s="183"/>
      <c r="Y2113" s="184">
        <f>IF(ISBLANK(O2113),"",(IF(O2113=UPPER("IB"),0.005,0.01)))</f>
        <v>0.01</v>
      </c>
      <c r="Z2113" s="185">
        <f>IF(ISBLANK(O2113),"",IF(O2113="IB",8.63*200,IF(O2113="IR",16*100,IF(O2113="YT",20*100,IF(O2113="YT-XT",24*200,IF(O2113="TED",80*100,IF(O2113="XT",29*200)))))))</f>
        <v>2000</v>
      </c>
      <c r="AA2113" s="185" t="s">
        <v>6743</v>
      </c>
      <c r="AB2113" s="185"/>
      <c r="AC2113" s="185"/>
      <c r="AD2113" s="649">
        <v>-0.2</v>
      </c>
      <c r="AE2113" s="182"/>
      <c r="AF2113" s="332"/>
      <c r="AG2113" s="182"/>
      <c r="AH2113" s="182"/>
      <c r="AI2113" s="182"/>
      <c r="AJ2113" s="640"/>
      <c r="AK2113" s="182"/>
      <c r="AL2113" s="496">
        <f t="shared" si="705"/>
        <v>-40</v>
      </c>
      <c r="AM2113" s="496">
        <f t="shared" ref="AM2113:AM2123" si="707">AL2113*(R2113-S2113)</f>
        <v>-40</v>
      </c>
      <c r="AN2113" s="626"/>
      <c r="AO2113" s="182"/>
      <c r="AP2113" s="182"/>
      <c r="AQ2113" s="332" t="str">
        <f>UPPER(RIGHT(Journal_Live[[#This Row],[DURATION ]]))</f>
        <v/>
      </c>
      <c r="AR2113" s="182"/>
      <c r="AS2113" s="189">
        <v>-0.2</v>
      </c>
      <c r="AT2113" s="189">
        <f>IF(ISBLANK(AS2113),,IF(U2113="S",AD2113-AS2113,AS2113-AD2113))</f>
        <v>0</v>
      </c>
      <c r="AU2113" s="187">
        <f>AV2113*R2113</f>
        <v>0</v>
      </c>
      <c r="AV2113" s="190">
        <f t="shared" si="706"/>
        <v>0</v>
      </c>
      <c r="AW2113" s="191" t="s">
        <v>115</v>
      </c>
      <c r="AX2113" s="551"/>
      <c r="AY2113" s="551"/>
      <c r="AZ2113" s="551"/>
      <c r="BA2113" s="551"/>
      <c r="BB2113" s="551"/>
      <c r="BC2113" s="551"/>
      <c r="BD2113" s="549"/>
      <c r="BE2113" s="550"/>
      <c r="BF2113" s="549"/>
      <c r="BG2113" s="391">
        <f>SUM($AV$1389:AV2113)</f>
        <v>4774.6140742929338</v>
      </c>
      <c r="BH2113" s="392">
        <f>SUM($AU$1389:AU2113)</f>
        <v>46374.63922077918</v>
      </c>
      <c r="BI2113" s="318">
        <f>SUMIFS($AU$1388:AU2114,$Q$1388:Q2114,"F")</f>
        <v>29133.293506493508</v>
      </c>
      <c r="BJ2113" s="318">
        <f>SUMIFS($AU$1388:AU2114,$Q$1388:Q2114,"S")</f>
        <v>20002.285714285714</v>
      </c>
      <c r="BK2113" s="343">
        <f>SUMIFS($AU$1388:AU2114,$P$1388:P2114,"W")</f>
        <v>27736.759220779561</v>
      </c>
      <c r="BL2113" s="343">
        <f>SUMIFS($AU$1388:AU2114,$P$1388:P2114,"R")</f>
        <v>15726.00000000016</v>
      </c>
      <c r="BM2113" s="343">
        <f>SUMIFS($AU$1388:AU2114,$AQ$1388:AQ2114,"M")</f>
        <v>10931.179999998967</v>
      </c>
      <c r="BN2113" s="343">
        <f>SUMIFS($AU$1388:AU2114,$AQ$1388:AQ2114,"H")</f>
        <v>14523.200000000877</v>
      </c>
      <c r="BO2113" s="343">
        <f>SUMIFS($AU$1388:AU2114,$AQ$1388:AQ2114,"D")</f>
        <v>4174.9928571427417</v>
      </c>
      <c r="BP2113" s="343">
        <f>SUMIFS($AS$1388:AS2702,$AO$1388:AO2702,"W")</f>
        <v>0</v>
      </c>
      <c r="BQ2113" s="343">
        <f>SUMIFS($AU$1388:AU2114,$Q$1388:Q2114,"O")</f>
        <v>-5384.9400000000251</v>
      </c>
      <c r="BR2113" s="343">
        <f>SUMIFS($AU$1388:AU2114,$AA$1388:AA2114,"*")</f>
        <v>36835.122077921827</v>
      </c>
      <c r="BS2113" s="343">
        <f>SUMIFS($AU$1388:AU2114,$AB$1388:AB2114,"*")</f>
        <v>12971.859999999973</v>
      </c>
      <c r="BT2113" s="343">
        <f>SUMIFS($AU$1388:AU2114,$AC$1388:AC2114,"*")</f>
        <v>36333.293506493676</v>
      </c>
      <c r="BU2113" s="343">
        <f>SUMIFS($AU$1388:AU2114,$AA$1388:AA2114,"*",$AB$1388:AB2114,"*")</f>
        <v>8011.9999999997544</v>
      </c>
      <c r="BV2113" s="343">
        <f>SUMIFS($AU$1388:AU2114,$AA$1388:AA2114,"*",$AC$1388:AC2114,"*")</f>
        <v>27913.636363636531</v>
      </c>
      <c r="BW2113" s="343">
        <f>SUMIFS($AU$1388:AU2114,$AB$1388:AB2114,"*",$AC$1388:AC2114,"*")</f>
        <v>9360</v>
      </c>
      <c r="BX2113" s="343">
        <f>SUMIFS($AV$1388:AV2114,$Q$1388:Q2114,"F")</f>
        <v>416.72914667325267</v>
      </c>
      <c r="BY2113" s="343">
        <f>SUMIFS($AV$1388:AV2114,$Q$1388:Q2114,"S")</f>
        <v>738.32562762001328</v>
      </c>
      <c r="BZ2113" s="343">
        <f>SUMIFS($AV$1388:AV2114,$Q$1388:Q2114,"O")</f>
        <v>471.55929999966099</v>
      </c>
    </row>
    <row r="2114" spans="1:78" ht="15.75" customHeight="1">
      <c r="A2114" s="177" t="s">
        <v>6310</v>
      </c>
      <c r="B2114" s="200">
        <v>45443</v>
      </c>
      <c r="C2114" s="178" t="s">
        <v>6744</v>
      </c>
      <c r="D2114" s="178" t="s">
        <v>111</v>
      </c>
      <c r="E2114" s="227"/>
      <c r="F2114" s="180"/>
      <c r="G2114" s="584" t="s">
        <v>6210</v>
      </c>
      <c r="H2114" s="182"/>
      <c r="I2114" s="182"/>
      <c r="J2114" s="182"/>
      <c r="K2114" s="183"/>
      <c r="L2114" s="182"/>
      <c r="M2114" s="182">
        <v>1</v>
      </c>
      <c r="N2114" s="182"/>
      <c r="O2114" s="183" t="s">
        <v>5325</v>
      </c>
      <c r="P2114" s="183" t="s">
        <v>137</v>
      </c>
      <c r="Q2114" s="183"/>
      <c r="R2114" s="183">
        <v>1</v>
      </c>
      <c r="S2114" s="183">
        <v>0</v>
      </c>
      <c r="T2114" s="183">
        <v>1</v>
      </c>
      <c r="U2114" s="183" t="s">
        <v>22</v>
      </c>
      <c r="V2114" s="183"/>
      <c r="W2114" s="183"/>
      <c r="X2114" s="183"/>
      <c r="Y2114" s="184">
        <f>IF(ISBLANK(O2114),"",(IF(O2114=UPPER("IB"),0.005,0.01)))</f>
        <v>0.01</v>
      </c>
      <c r="Z2114" s="185">
        <f>IF(ISBLANK(O2114),"",IF(O2114="IB",8.63*200,IF(O2114="IR",16*100,IF(O2114="YT",20*100,IF(O2114="YT-XT",24*200,IF(O2114="TED",80*100,IF(O2114="IR|YT",300*100)))))))</f>
        <v>30000</v>
      </c>
      <c r="AA2114" s="185" t="s">
        <v>6745</v>
      </c>
      <c r="AB2114" s="185"/>
      <c r="AC2114" s="185"/>
      <c r="AD2114" s="649">
        <v>-0.13</v>
      </c>
      <c r="AE2114" s="182"/>
      <c r="AF2114" s="332"/>
      <c r="AG2114" s="182"/>
      <c r="AH2114" s="182"/>
      <c r="AI2114" s="182"/>
      <c r="AJ2114" s="640"/>
      <c r="AK2114" s="182"/>
      <c r="AL2114" s="496">
        <f t="shared" si="705"/>
        <v>-600</v>
      </c>
      <c r="AM2114" s="496">
        <f t="shared" si="707"/>
        <v>-600</v>
      </c>
      <c r="AN2114" s="626"/>
      <c r="AO2114" s="182"/>
      <c r="AP2114" s="182" t="s">
        <v>1026</v>
      </c>
      <c r="AQ2114" s="332" t="s">
        <v>372</v>
      </c>
      <c r="AR2114" s="182"/>
      <c r="AS2114" s="189">
        <v>-0.13</v>
      </c>
      <c r="AT2114" s="189">
        <f>IF(ISBLANK(AS2114),,IF(U2114="S",AD2114-AS2114,AS2114-AD2114))</f>
        <v>0</v>
      </c>
      <c r="AU2114" s="187">
        <f>AV2114*R2114</f>
        <v>0</v>
      </c>
      <c r="AV2114" s="190">
        <f t="shared" si="706"/>
        <v>0</v>
      </c>
      <c r="AW2114" s="191" t="s">
        <v>115</v>
      </c>
      <c r="AX2114" s="551" t="s">
        <v>6746</v>
      </c>
      <c r="AY2114" s="551" t="s">
        <v>6747</v>
      </c>
      <c r="AZ2114" s="551" t="s">
        <v>6748</v>
      </c>
      <c r="BA2114" s="551"/>
      <c r="BB2114" s="551"/>
      <c r="BC2114" s="551"/>
      <c r="BD2114" s="549"/>
      <c r="BE2114" s="550"/>
      <c r="BF2114" s="549"/>
      <c r="BG2114" s="391">
        <f>SUM($AV$1389:AV2114)</f>
        <v>4774.6140742929338</v>
      </c>
      <c r="BH2114" s="392">
        <f>SUM($AU$1389:AU2114)</f>
        <v>46374.63922077918</v>
      </c>
      <c r="BI2114" s="318">
        <f>SUMIFS($AU$1388:AU2115,$Q$1388:Q2115,"F")</f>
        <v>32733.293506493508</v>
      </c>
      <c r="BJ2114" s="318">
        <f>SUMIFS($AU$1388:AU2115,$Q$1388:Q2115,"S")</f>
        <v>20002.285714285714</v>
      </c>
      <c r="BK2114" s="343">
        <f>SUMIFS($AU$1388:AU2115,$P$1388:P2115,"W")</f>
        <v>31336.759220779561</v>
      </c>
      <c r="BL2114" s="343">
        <f>SUMIFS($AU$1388:AU2115,$P$1388:P2115,"R")</f>
        <v>15726.00000000016</v>
      </c>
      <c r="BM2114" s="343">
        <f>SUMIFS($AU$1388:AU2115,$AQ$1388:AQ2115,"M")</f>
        <v>10931.179999998967</v>
      </c>
      <c r="BN2114" s="343">
        <f>SUMIFS($AU$1388:AU2115,$AQ$1388:AQ2115,"H")</f>
        <v>14523.200000000877</v>
      </c>
      <c r="BO2114" s="343">
        <f>SUMIFS($AU$1388:AU2115,$AQ$1388:AQ2115,"D")</f>
        <v>7774.9928571427408</v>
      </c>
      <c r="BP2114" s="343">
        <f>SUMIFS($AS$1388:AS2703,$AO$1388:AO2703,"W")</f>
        <v>0</v>
      </c>
      <c r="BQ2114" s="343">
        <f>SUMIFS($AU$1388:AU2115,$Q$1388:Q2115,"O")</f>
        <v>-5384.9400000000251</v>
      </c>
      <c r="BR2114" s="343">
        <f>SUMIFS($AU$1388:AU2115,$AA$1388:AA2115,"*")</f>
        <v>36835.122077921827</v>
      </c>
      <c r="BS2114" s="343">
        <f>SUMIFS($AU$1388:AU2115,$AB$1388:AB2115,"*")</f>
        <v>12971.859999999973</v>
      </c>
      <c r="BT2114" s="343">
        <f>SUMIFS($AU$1388:AU2115,$AC$1388:AC2115,"*")</f>
        <v>39933.293506493676</v>
      </c>
      <c r="BU2114" s="343">
        <f>SUMIFS($AU$1388:AU2115,$AA$1388:AA2115,"*",$AB$1388:AB2115,"*")</f>
        <v>8011.9999999997544</v>
      </c>
      <c r="BV2114" s="343">
        <f>SUMIFS($AU$1388:AU2115,$AA$1388:AA2115,"*",$AC$1388:AC2115,"*")</f>
        <v>27913.636363636531</v>
      </c>
      <c r="BW2114" s="343">
        <f>SUMIFS($AU$1388:AU2115,$AB$1388:AB2115,"*",$AC$1388:AC2115,"*")</f>
        <v>9360</v>
      </c>
      <c r="BX2114" s="343">
        <f>SUMIFS($AV$1388:AV2115,$Q$1388:Q2115,"F")</f>
        <v>446.72914667325267</v>
      </c>
      <c r="BY2114" s="343">
        <f>SUMIFS($AV$1388:AV2115,$Q$1388:Q2115,"S")</f>
        <v>738.32562762001328</v>
      </c>
      <c r="BZ2114" s="343">
        <f>SUMIFS($AV$1388:AV2115,$Q$1388:Q2115,"O")</f>
        <v>471.55929999966099</v>
      </c>
    </row>
    <row r="2115" spans="1:78" ht="15.75" customHeight="1">
      <c r="A2115" s="177" t="s">
        <v>6310</v>
      </c>
      <c r="B2115" s="200">
        <v>45443</v>
      </c>
      <c r="C2115" s="178" t="s">
        <v>4288</v>
      </c>
      <c r="D2115" s="178" t="s">
        <v>111</v>
      </c>
      <c r="E2115" s="227"/>
      <c r="F2115" s="180"/>
      <c r="G2115" s="490" t="s">
        <v>6749</v>
      </c>
      <c r="H2115" s="182"/>
      <c r="I2115" s="182"/>
      <c r="J2115" s="182"/>
      <c r="K2115" s="183"/>
      <c r="L2115" s="182"/>
      <c r="M2115" s="182">
        <v>2</v>
      </c>
      <c r="N2115" s="182"/>
      <c r="O2115" s="183" t="s">
        <v>95</v>
      </c>
      <c r="P2115" s="183" t="s">
        <v>96</v>
      </c>
      <c r="Q2115" s="183" t="s">
        <v>256</v>
      </c>
      <c r="R2115" s="183">
        <v>120</v>
      </c>
      <c r="S2115" s="183">
        <v>95</v>
      </c>
      <c r="T2115" s="183">
        <v>15</v>
      </c>
      <c r="U2115" s="183" t="s">
        <v>97</v>
      </c>
      <c r="V2115" s="183"/>
      <c r="W2115" s="183"/>
      <c r="X2115" s="183"/>
      <c r="Y2115" s="184">
        <f>IF(ISBLANK(O2115),"",(IF(O2115=UPPER("IB"),0.005,0.01)))</f>
        <v>0.01</v>
      </c>
      <c r="Z2115" s="185">
        <f>IF(ISBLANK(O2115),"",IF(O2115="IB",8.63*200,IF(O2115="IR",16*100,IF(O2115="YT",20*100,IF(O2115="YT-XT",24*200,IF(O2115="TED",80*100,IF(O2115="IR|YT",300*100)))))))</f>
        <v>1600</v>
      </c>
      <c r="AA2115" s="185"/>
      <c r="AB2115" s="185"/>
      <c r="AC2115" s="185" t="s">
        <v>6750</v>
      </c>
      <c r="AD2115" s="649">
        <f>(0.03*60+0.04*60)/120</f>
        <v>3.4999999999999996E-2</v>
      </c>
      <c r="AE2115" s="182"/>
      <c r="AF2115" s="332"/>
      <c r="AG2115" s="182"/>
      <c r="AH2115" s="182"/>
      <c r="AI2115" s="182"/>
      <c r="AJ2115" s="640" t="s">
        <v>6751</v>
      </c>
      <c r="AK2115" s="182"/>
      <c r="AL2115" s="496">
        <f>-0.02*Z2115</f>
        <v>-32</v>
      </c>
      <c r="AM2115" s="496">
        <f t="shared" si="707"/>
        <v>-800</v>
      </c>
      <c r="AN2115" s="626"/>
      <c r="AO2115" s="182"/>
      <c r="AP2115" s="182" t="s">
        <v>999</v>
      </c>
      <c r="AQ2115" s="332" t="s">
        <v>115</v>
      </c>
      <c r="AR2115" s="182" t="s">
        <v>6752</v>
      </c>
      <c r="AS2115" s="189">
        <f>((0.02*20)+(0.02*30)+(0.01*20)+(0.01*25)+(0.02*25))/120</f>
        <v>1.6250000000000001E-2</v>
      </c>
      <c r="AT2115" s="189">
        <f>IF(ISBLANK(AS2115),,IF(U2115="S",AD2115-AS2115,AS2115-AD2115))</f>
        <v>1.8749999999999996E-2</v>
      </c>
      <c r="AU2115" s="187">
        <f>AV2115*R2115</f>
        <v>3599.9999999999991</v>
      </c>
      <c r="AV2115" s="190">
        <f t="shared" si="706"/>
        <v>29.999999999999993</v>
      </c>
      <c r="AW2115" s="191" t="s">
        <v>96</v>
      </c>
      <c r="AX2115" s="551" t="s">
        <v>6753</v>
      </c>
      <c r="AY2115" s="551"/>
      <c r="AZ2115" s="551"/>
      <c r="BA2115" s="551"/>
      <c r="BB2115" s="551"/>
      <c r="BC2115" s="551"/>
      <c r="BD2115" s="549"/>
      <c r="BE2115" s="550"/>
      <c r="BF2115" s="549"/>
      <c r="BG2115" s="391">
        <f>SUM($AV$1389:AV2115)</f>
        <v>4804.6140742929338</v>
      </c>
      <c r="BH2115" s="392">
        <f>SUM($AU$1389:AU2115)</f>
        <v>49974.63922077918</v>
      </c>
      <c r="BI2115" s="318">
        <f>SUMIFS($AU$1388:AU2116,$Q$1388:Q2116,"F")</f>
        <v>32973.293506493508</v>
      </c>
      <c r="BJ2115" s="318">
        <f>SUMIFS($AU$1388:AU2116,$Q$1388:Q2116,"S")</f>
        <v>20002.285714285714</v>
      </c>
      <c r="BK2115" s="343">
        <f>SUMIFS($AU$1388:AU2116,$P$1388:P2116,"W")</f>
        <v>31576.759220779561</v>
      </c>
      <c r="BL2115" s="343">
        <f>SUMIFS($AU$1388:AU2116,$P$1388:P2116,"R")</f>
        <v>15726.00000000016</v>
      </c>
      <c r="BM2115" s="343">
        <f>SUMIFS($AU$1388:AU2116,$AQ$1388:AQ2116,"M")</f>
        <v>10931.179999998967</v>
      </c>
      <c r="BN2115" s="343">
        <f>SUMIFS($AU$1388:AU2116,$AQ$1388:AQ2116,"H")</f>
        <v>14523.200000000877</v>
      </c>
      <c r="BO2115" s="343">
        <f>SUMIFS($AU$1388:AU2116,$AQ$1388:AQ2116,"D")</f>
        <v>8014.9928571427408</v>
      </c>
      <c r="BP2115" s="343">
        <f>SUMIFS($AS$1388:AS2704,$AO$1388:AO2704,"W")</f>
        <v>0</v>
      </c>
      <c r="BQ2115" s="343">
        <f>SUMIFS($AU$1388:AU2116,$Q$1388:Q2116,"O")</f>
        <v>-5384.9400000000251</v>
      </c>
      <c r="BR2115" s="343">
        <f>SUMIFS($AU$1388:AU2116,$AA$1388:AA2116,"*")</f>
        <v>37075.122077921827</v>
      </c>
      <c r="BS2115" s="343">
        <f>SUMIFS($AU$1388:AU2116,$AB$1388:AB2116,"*")</f>
        <v>12971.859999999973</v>
      </c>
      <c r="BT2115" s="343">
        <f>SUMIFS($AU$1388:AU2116,$AC$1388:AC2116,"*")</f>
        <v>40173.293506493676</v>
      </c>
      <c r="BU2115" s="343">
        <f>SUMIFS($AU$1388:AU2116,$AA$1388:AA2116,"*",$AB$1388:AB2116,"*")</f>
        <v>8011.9999999997544</v>
      </c>
      <c r="BV2115" s="343">
        <f>SUMIFS($AU$1388:AU2116,$AA$1388:AA2116,"*",$AC$1388:AC2116,"*")</f>
        <v>28153.636363636531</v>
      </c>
      <c r="BW2115" s="343">
        <f>SUMIFS($AU$1388:AU2116,$AB$1388:AB2116,"*",$AC$1388:AC2116,"*")</f>
        <v>9360</v>
      </c>
      <c r="BX2115" s="343">
        <f>SUMIFS($AV$1388:AV2116,$Q$1388:Q2116,"F")</f>
        <v>462.72914667325267</v>
      </c>
      <c r="BY2115" s="343">
        <f>SUMIFS($AV$1388:AV2116,$Q$1388:Q2116,"S")</f>
        <v>738.32562762001328</v>
      </c>
      <c r="BZ2115" s="343">
        <f>SUMIFS($AV$1388:AV2116,$Q$1388:Q2116,"O")</f>
        <v>471.55929999966099</v>
      </c>
    </row>
    <row r="2116" spans="1:78" ht="15.75" customHeight="1">
      <c r="A2116" s="177" t="s">
        <v>6310</v>
      </c>
      <c r="B2116" s="200">
        <v>45443</v>
      </c>
      <c r="C2116" s="178" t="s">
        <v>4288</v>
      </c>
      <c r="D2116" s="178" t="s">
        <v>111</v>
      </c>
      <c r="E2116" s="227"/>
      <c r="F2116" s="180"/>
      <c r="G2116" s="481" t="s">
        <v>6754</v>
      </c>
      <c r="H2116" s="182"/>
      <c r="I2116" s="182"/>
      <c r="J2116" s="182"/>
      <c r="K2116" s="183"/>
      <c r="L2116" s="182"/>
      <c r="M2116" s="182">
        <v>2</v>
      </c>
      <c r="N2116" s="182"/>
      <c r="O2116" s="183" t="s">
        <v>95</v>
      </c>
      <c r="P2116" s="183" t="s">
        <v>96</v>
      </c>
      <c r="Q2116" s="183" t="s">
        <v>256</v>
      </c>
      <c r="R2116" s="183">
        <v>15</v>
      </c>
      <c r="S2116" s="183">
        <v>0</v>
      </c>
      <c r="T2116" s="183">
        <v>15</v>
      </c>
      <c r="U2116" s="183" t="s">
        <v>97</v>
      </c>
      <c r="V2116" s="183"/>
      <c r="W2116" s="183"/>
      <c r="X2116" s="183"/>
      <c r="Y2116" s="184">
        <f>IF(ISBLANK(O2116),"",(IF(O2116=UPPER("IB"),0.005,0.01)))</f>
        <v>0.01</v>
      </c>
      <c r="Z2116" s="185">
        <f>IF(ISBLANK(O2116),"",IF(O2116="IB",8.63*200,IF(O2116="IR",16*100,IF(O2116="YT",20*100,IF(O2116="YT-XT",24*200,IF(O2116="TED",80*100,IF(O2116="IR|YT",300*100)))))))</f>
        <v>1600</v>
      </c>
      <c r="AA2116" s="185" t="s">
        <v>6391</v>
      </c>
      <c r="AB2116" s="185"/>
      <c r="AC2116" s="185" t="s">
        <v>6755</v>
      </c>
      <c r="AD2116" s="649">
        <v>0.06</v>
      </c>
      <c r="AE2116" s="182"/>
      <c r="AF2116" s="332"/>
      <c r="AG2116" s="182"/>
      <c r="AH2116" s="182" t="s">
        <v>5901</v>
      </c>
      <c r="AI2116" s="182"/>
      <c r="AJ2116" s="640" t="s">
        <v>6756</v>
      </c>
      <c r="AK2116" s="182"/>
      <c r="AL2116" s="496">
        <f t="shared" si="703"/>
        <v>-32</v>
      </c>
      <c r="AM2116" s="496">
        <f t="shared" si="707"/>
        <v>-480</v>
      </c>
      <c r="AN2116" s="626"/>
      <c r="AO2116" s="182"/>
      <c r="AP2116" s="182" t="s">
        <v>804</v>
      </c>
      <c r="AQ2116" s="332" t="s">
        <v>115</v>
      </c>
      <c r="AR2116" s="182"/>
      <c r="AS2116" s="189">
        <v>0.05</v>
      </c>
      <c r="AT2116" s="189">
        <f>IF(ISBLANK(AS2116),,IF(U2116="S",AD2116-AS2116,AS2116-AD2116))</f>
        <v>9.999999999999995E-3</v>
      </c>
      <c r="AU2116" s="187">
        <f>AV2116*R2116</f>
        <v>239.99999999999989</v>
      </c>
      <c r="AV2116" s="190">
        <f t="shared" si="704"/>
        <v>15.999999999999993</v>
      </c>
      <c r="AW2116" s="191" t="s">
        <v>96</v>
      </c>
      <c r="AX2116" s="551"/>
      <c r="AY2116" s="551"/>
      <c r="AZ2116" s="551"/>
      <c r="BA2116" s="551"/>
      <c r="BB2116" s="551"/>
      <c r="BC2116" s="551"/>
      <c r="BD2116" s="549"/>
      <c r="BE2116" s="550"/>
      <c r="BF2116" s="549"/>
      <c r="BG2116" s="391">
        <f>SUM($AV$1389:AV2116)</f>
        <v>4820.6140742929338</v>
      </c>
      <c r="BH2116" s="392">
        <f>SUM($AU$1389:AU2116)</f>
        <v>50214.63922077918</v>
      </c>
      <c r="BI2116" s="318">
        <f>SUMIFS($AU$1388:AU2117,$Q$1388:Q2117,"F")</f>
        <v>32973.293506493508</v>
      </c>
      <c r="BJ2116" s="318">
        <f>SUMIFS($AU$1388:AU2117,$Q$1388:Q2117,"S")</f>
        <v>20002.285714285714</v>
      </c>
      <c r="BK2116" s="343">
        <f>SUMIFS($AU$1388:AU2117,$P$1388:P2117,"W")</f>
        <v>31576.759220779561</v>
      </c>
      <c r="BL2116" s="343">
        <f>SUMIFS($AU$1388:AU2117,$P$1388:P2117,"R")</f>
        <v>15726.00000000016</v>
      </c>
      <c r="BM2116" s="343">
        <f>SUMIFS($AU$1388:AU2117,$AQ$1388:AQ2117,"M")</f>
        <v>10931.179999998967</v>
      </c>
      <c r="BN2116" s="343">
        <f>SUMIFS($AU$1388:AU2117,$AQ$1388:AQ2117,"H")</f>
        <v>14523.200000000877</v>
      </c>
      <c r="BO2116" s="343">
        <f>SUMIFS($AU$1388:AU2117,$AQ$1388:AQ2117,"D")</f>
        <v>8014.9928571427408</v>
      </c>
      <c r="BP2116" s="343">
        <f>SUMIFS($AS$1388:AS2705,$AO$1388:AO2705,"W")</f>
        <v>0</v>
      </c>
      <c r="BQ2116" s="343">
        <f>SUMIFS($AU$1388:AU2117,$Q$1388:Q2117,"O")</f>
        <v>-5384.9400000000251</v>
      </c>
      <c r="BR2116" s="343">
        <f>SUMIFS($AU$1388:AU2117,$AA$1388:AA2117,"*")</f>
        <v>37075.122077921827</v>
      </c>
      <c r="BS2116" s="343">
        <f>SUMIFS($AU$1388:AU2117,$AB$1388:AB2117,"*")</f>
        <v>12971.859999999973</v>
      </c>
      <c r="BT2116" s="343">
        <f>SUMIFS($AU$1388:AU2117,$AC$1388:AC2117,"*")</f>
        <v>40173.293506493676</v>
      </c>
      <c r="BU2116" s="343">
        <f>SUMIFS($AU$1388:AU2117,$AA$1388:AA2117,"*",$AB$1388:AB2117,"*")</f>
        <v>8011.9999999997544</v>
      </c>
      <c r="BV2116" s="343">
        <f>SUMIFS($AU$1388:AU2117,$AA$1388:AA2117,"*",$AC$1388:AC2117,"*")</f>
        <v>28153.636363636531</v>
      </c>
      <c r="BW2116" s="343">
        <f>SUMIFS($AU$1388:AU2117,$AB$1388:AB2117,"*",$AC$1388:AC2117,"*")</f>
        <v>9360</v>
      </c>
      <c r="BX2116" s="343">
        <f>SUMIFS($AV$1388:AV2117,$Q$1388:Q2117,"F")</f>
        <v>462.72914667325267</v>
      </c>
      <c r="BY2116" s="343">
        <f>SUMIFS($AV$1388:AV2117,$Q$1388:Q2117,"S")</f>
        <v>738.32562762001328</v>
      </c>
      <c r="BZ2116" s="343">
        <f>SUMIFS($AV$1388:AV2117,$Q$1388:Q2117,"O")</f>
        <v>471.55929999966099</v>
      </c>
    </row>
    <row r="2117" spans="1:78" ht="15.75" customHeight="1">
      <c r="A2117" s="177" t="s">
        <v>6310</v>
      </c>
      <c r="B2117" s="200">
        <v>45443</v>
      </c>
      <c r="C2117" s="178"/>
      <c r="D2117" s="178" t="s">
        <v>111</v>
      </c>
      <c r="E2117" s="227" t="s">
        <v>6757</v>
      </c>
      <c r="F2117" s="180"/>
      <c r="G2117" s="181"/>
      <c r="H2117" s="182"/>
      <c r="I2117" s="182"/>
      <c r="J2117" s="182"/>
      <c r="K2117" s="183"/>
      <c r="L2117" s="182"/>
      <c r="M2117" s="182"/>
      <c r="N2117" s="182"/>
      <c r="O2117" s="183"/>
      <c r="P2117" s="183"/>
      <c r="Q2117" s="183"/>
      <c r="R2117" s="183"/>
      <c r="S2117" s="183"/>
      <c r="T2117" s="183"/>
      <c r="U2117" s="183"/>
      <c r="V2117" s="183"/>
      <c r="W2117" s="183"/>
      <c r="X2117" s="183"/>
      <c r="Y2117" s="184"/>
      <c r="Z2117" s="185"/>
      <c r="AA2117" s="185"/>
      <c r="AB2117" s="185"/>
      <c r="AC2117" s="185"/>
      <c r="AD2117" s="649"/>
      <c r="AE2117" s="182"/>
      <c r="AF2117" s="332"/>
      <c r="AG2117" s="182"/>
      <c r="AH2117" s="182"/>
      <c r="AI2117" s="182"/>
      <c r="AJ2117" s="640"/>
      <c r="AK2117" s="182"/>
      <c r="AL2117" s="496">
        <f t="shared" si="703"/>
        <v>0</v>
      </c>
      <c r="AM2117" s="496">
        <f t="shared" si="707"/>
        <v>0</v>
      </c>
      <c r="AN2117" s="626"/>
      <c r="AO2117" s="182"/>
      <c r="AP2117" s="182"/>
      <c r="AQ2117" s="332" t="str">
        <f>UPPER(RIGHT(Journal_Live[[#This Row],[DURATION ]]))</f>
        <v/>
      </c>
      <c r="AR2117" s="182"/>
      <c r="AS2117" s="189"/>
      <c r="AT2117" s="189"/>
      <c r="AU2117" s="187"/>
      <c r="AV2117" s="190"/>
      <c r="AW2117" s="191"/>
      <c r="AX2117" s="417" t="s">
        <v>6758</v>
      </c>
      <c r="AY2117" s="417" t="s">
        <v>6759</v>
      </c>
      <c r="AZ2117" s="551"/>
      <c r="BA2117" s="551"/>
      <c r="BB2117" s="551"/>
      <c r="BC2117" s="551"/>
      <c r="BD2117" s="549"/>
      <c r="BE2117" s="550"/>
      <c r="BF2117" s="549"/>
      <c r="BG2117" s="391">
        <f>SUM($AV$1389:AV2117)</f>
        <v>4820.6140742929338</v>
      </c>
      <c r="BH2117" s="392">
        <f>SUM($AU$1389:AU2117)</f>
        <v>50214.63922077918</v>
      </c>
      <c r="BI2117" s="318">
        <f>SUMIFS($AU$1388:AU2118,$Q$1388:Q2118,"F")</f>
        <v>32973.293506493508</v>
      </c>
      <c r="BJ2117" s="318">
        <f>SUMIFS($AU$1388:AU2118,$Q$1388:Q2118,"S")</f>
        <v>20002.285714285714</v>
      </c>
      <c r="BK2117" s="343">
        <f>SUMIFS($AU$1388:AU2118,$P$1388:P2118,"W")</f>
        <v>31576.759220779561</v>
      </c>
      <c r="BL2117" s="343">
        <f>SUMIFS($AU$1388:AU2118,$P$1388:P2118,"R")</f>
        <v>15726.00000000016</v>
      </c>
      <c r="BM2117" s="343">
        <f>SUMIFS($AU$1388:AU2118,$AQ$1388:AQ2118,"M")</f>
        <v>10931.179999998967</v>
      </c>
      <c r="BN2117" s="343">
        <f>SUMIFS($AU$1388:AU2118,$AQ$1388:AQ2118,"H")</f>
        <v>14523.200000000877</v>
      </c>
      <c r="BO2117" s="343">
        <f>SUMIFS($AU$1388:AU2118,$AQ$1388:AQ2118,"D")</f>
        <v>8014.9928571427408</v>
      </c>
      <c r="BP2117" s="343">
        <f>SUMIFS($AS$1388:AS2706,$AO$1388:AO2706,"W")</f>
        <v>0</v>
      </c>
      <c r="BQ2117" s="343">
        <f>SUMIFS($AU$1388:AU2118,$Q$1388:Q2118,"O")</f>
        <v>-5384.9400000000251</v>
      </c>
      <c r="BR2117" s="343">
        <f>SUMIFS($AU$1388:AU2118,$AA$1388:AA2118,"*")</f>
        <v>37075.122077921827</v>
      </c>
      <c r="BS2117" s="343">
        <f>SUMIFS($AU$1388:AU2118,$AB$1388:AB2118,"*")</f>
        <v>12971.859999999973</v>
      </c>
      <c r="BT2117" s="343">
        <f>SUMIFS($AU$1388:AU2118,$AC$1388:AC2118,"*")</f>
        <v>40173.293506493676</v>
      </c>
      <c r="BU2117" s="343">
        <f>SUMIFS($AU$1388:AU2118,$AA$1388:AA2118,"*",$AB$1388:AB2118,"*")</f>
        <v>8011.9999999997544</v>
      </c>
      <c r="BV2117" s="343">
        <f>SUMIFS($AU$1388:AU2118,$AA$1388:AA2118,"*",$AC$1388:AC2118,"*")</f>
        <v>28153.636363636531</v>
      </c>
      <c r="BW2117" s="343">
        <f>SUMIFS($AU$1388:AU2118,$AB$1388:AB2118,"*",$AC$1388:AC2118,"*")</f>
        <v>9360</v>
      </c>
      <c r="BX2117" s="343">
        <f>SUMIFS($AV$1388:AV2118,$Q$1388:Q2118,"F")</f>
        <v>462.72914667325267</v>
      </c>
      <c r="BY2117" s="343">
        <f>SUMIFS($AV$1388:AV2118,$Q$1388:Q2118,"S")</f>
        <v>738.32562762001328</v>
      </c>
      <c r="BZ2117" s="343">
        <f>SUMIFS($AV$1388:AV2118,$Q$1388:Q2118,"O")</f>
        <v>471.55929999966099</v>
      </c>
    </row>
    <row r="2118" spans="1:78" ht="15.75" customHeight="1">
      <c r="A2118" s="177" t="s">
        <v>6310</v>
      </c>
      <c r="B2118" s="200"/>
      <c r="C2118" s="178"/>
      <c r="D2118" s="178"/>
      <c r="E2118" s="227"/>
      <c r="F2118" s="180"/>
      <c r="G2118" s="181"/>
      <c r="H2118" s="182"/>
      <c r="I2118" s="182"/>
      <c r="J2118" s="182"/>
      <c r="K2118" s="183"/>
      <c r="L2118" s="182"/>
      <c r="M2118" s="182"/>
      <c r="N2118" s="182"/>
      <c r="O2118" s="183"/>
      <c r="P2118" s="183"/>
      <c r="Q2118" s="183"/>
      <c r="R2118" s="183"/>
      <c r="S2118" s="183"/>
      <c r="T2118" s="183"/>
      <c r="U2118" s="183"/>
      <c r="V2118" s="183"/>
      <c r="W2118" s="183"/>
      <c r="X2118" s="183"/>
      <c r="Y2118" s="184"/>
      <c r="Z2118" s="185"/>
      <c r="AA2118" s="185"/>
      <c r="AB2118" s="185"/>
      <c r="AC2118" s="185"/>
      <c r="AD2118" s="649"/>
      <c r="AE2118" s="182"/>
      <c r="AF2118" s="332"/>
      <c r="AG2118" s="182"/>
      <c r="AH2118" s="182"/>
      <c r="AI2118" s="182"/>
      <c r="AJ2118" s="640"/>
      <c r="AK2118" s="182"/>
      <c r="AL2118" s="496">
        <f t="shared" si="703"/>
        <v>0</v>
      </c>
      <c r="AM2118" s="496">
        <f t="shared" si="707"/>
        <v>0</v>
      </c>
      <c r="AN2118" s="626"/>
      <c r="AO2118" s="182"/>
      <c r="AP2118" s="182"/>
      <c r="AQ2118" s="332" t="str">
        <f>UPPER(RIGHT(Journal_Live[[#This Row],[DURATION ]]))</f>
        <v/>
      </c>
      <c r="AR2118" s="182"/>
      <c r="AS2118" s="189"/>
      <c r="AT2118" s="189"/>
      <c r="AU2118" s="187"/>
      <c r="AV2118" s="190"/>
      <c r="AW2118" s="191"/>
      <c r="AX2118" s="551"/>
      <c r="AY2118" s="551"/>
      <c r="AZ2118" s="551"/>
      <c r="BA2118" s="551"/>
      <c r="BB2118" s="551"/>
      <c r="BC2118" s="551"/>
      <c r="BD2118" s="549"/>
      <c r="BE2118" s="550"/>
      <c r="BF2118" s="549"/>
      <c r="BG2118" s="391">
        <f>SUM($AV$1389:AV2118)</f>
        <v>4820.6140742929338</v>
      </c>
      <c r="BH2118" s="392">
        <f>SUM($AU$1389:AU2118)</f>
        <v>50214.63922077918</v>
      </c>
      <c r="BI2118" s="318">
        <f>SUMIFS($AU$1388:AU2119,$Q$1388:Q2119,"F")</f>
        <v>32973.293506493508</v>
      </c>
      <c r="BJ2118" s="318">
        <f>SUMIFS($AU$1388:AU2119,$Q$1388:Q2119,"S")</f>
        <v>20002.285714285714</v>
      </c>
      <c r="BK2118" s="343">
        <f>SUMIFS($AU$1388:AU2119,$P$1388:P2119,"W")</f>
        <v>31576.759220779561</v>
      </c>
      <c r="BL2118" s="343">
        <f>SUMIFS($AU$1388:AU2119,$P$1388:P2119,"R")</f>
        <v>15726.00000000016</v>
      </c>
      <c r="BM2118" s="343">
        <f>SUMIFS($AU$1388:AU2119,$AQ$1388:AQ2119,"M")</f>
        <v>10931.179999998967</v>
      </c>
      <c r="BN2118" s="343">
        <f>SUMIFS($AU$1388:AU2119,$AQ$1388:AQ2119,"H")</f>
        <v>14523.200000000877</v>
      </c>
      <c r="BO2118" s="343">
        <f>SUMIFS($AU$1388:AU2119,$AQ$1388:AQ2119,"D")</f>
        <v>8014.9928571427408</v>
      </c>
      <c r="BP2118" s="343">
        <f>SUMIFS($AS$1388:AS2707,$AO$1388:AO2707,"W")</f>
        <v>0</v>
      </c>
      <c r="BQ2118" s="343">
        <f>SUMIFS($AU$1388:AU2119,$Q$1388:Q2119,"O")</f>
        <v>-5384.9400000000251</v>
      </c>
      <c r="BR2118" s="343">
        <f>SUMIFS($AU$1388:AU2119,$AA$1388:AA2119,"*")</f>
        <v>37075.122077921827</v>
      </c>
      <c r="BS2118" s="343">
        <f>SUMIFS($AU$1388:AU2119,$AB$1388:AB2119,"*")</f>
        <v>12971.859999999973</v>
      </c>
      <c r="BT2118" s="343">
        <f>SUMIFS($AU$1388:AU2119,$AC$1388:AC2119,"*")</f>
        <v>40173.293506493676</v>
      </c>
      <c r="BU2118" s="343">
        <f>SUMIFS($AU$1388:AU2119,$AA$1388:AA2119,"*",$AB$1388:AB2119,"*")</f>
        <v>8011.9999999997544</v>
      </c>
      <c r="BV2118" s="343">
        <f>SUMIFS($AU$1388:AU2119,$AA$1388:AA2119,"*",$AC$1388:AC2119,"*")</f>
        <v>28153.636363636531</v>
      </c>
      <c r="BW2118" s="343">
        <f>SUMIFS($AU$1388:AU2119,$AB$1388:AB2119,"*",$AC$1388:AC2119,"*")</f>
        <v>9360</v>
      </c>
      <c r="BX2118" s="343">
        <f>SUMIFS($AV$1388:AV2119,$Q$1388:Q2119,"F")</f>
        <v>462.72914667325267</v>
      </c>
      <c r="BY2118" s="343">
        <f>SUMIFS($AV$1388:AV2119,$Q$1388:Q2119,"S")</f>
        <v>738.32562762001328</v>
      </c>
      <c r="BZ2118" s="343">
        <f>SUMIFS($AV$1388:AV2119,$Q$1388:Q2119,"O")</f>
        <v>471.55929999966099</v>
      </c>
    </row>
    <row r="2119" spans="1:78" ht="15.75" customHeight="1">
      <c r="A2119" s="177" t="s">
        <v>6310</v>
      </c>
      <c r="B2119" s="200"/>
      <c r="C2119" s="178"/>
      <c r="D2119" s="178"/>
      <c r="E2119" s="227"/>
      <c r="F2119" s="180"/>
      <c r="G2119" s="181"/>
      <c r="H2119" s="182"/>
      <c r="I2119" s="182"/>
      <c r="J2119" s="182"/>
      <c r="K2119" s="183"/>
      <c r="L2119" s="182"/>
      <c r="M2119" s="182"/>
      <c r="N2119" s="182"/>
      <c r="O2119" s="183"/>
      <c r="P2119" s="183"/>
      <c r="Q2119" s="183"/>
      <c r="R2119" s="183"/>
      <c r="S2119" s="183"/>
      <c r="T2119" s="183"/>
      <c r="U2119" s="183"/>
      <c r="V2119" s="183"/>
      <c r="W2119" s="183"/>
      <c r="X2119" s="183"/>
      <c r="Y2119" s="184"/>
      <c r="Z2119" s="185"/>
      <c r="AA2119" s="185"/>
      <c r="AB2119" s="185"/>
      <c r="AC2119" s="185"/>
      <c r="AD2119" s="649"/>
      <c r="AE2119" s="182"/>
      <c r="AF2119" s="332"/>
      <c r="AG2119" s="182"/>
      <c r="AH2119" s="182"/>
      <c r="AI2119" s="182"/>
      <c r="AJ2119" s="640"/>
      <c r="AK2119" s="182"/>
      <c r="AL2119" s="496">
        <f t="shared" si="701"/>
        <v>0</v>
      </c>
      <c r="AM2119" s="496">
        <f t="shared" si="707"/>
        <v>0</v>
      </c>
      <c r="AN2119" s="626"/>
      <c r="AO2119" s="182"/>
      <c r="AP2119" s="182"/>
      <c r="AQ2119" s="332" t="str">
        <f>UPPER(RIGHT(Journal_Live[[#This Row],[DURATION ]]))</f>
        <v/>
      </c>
      <c r="AR2119" s="182"/>
      <c r="AS2119" s="189"/>
      <c r="AT2119" s="189"/>
      <c r="AU2119" s="187"/>
      <c r="AV2119" s="190"/>
      <c r="AW2119" s="191"/>
      <c r="AX2119" s="549"/>
      <c r="AY2119" s="549"/>
      <c r="AZ2119" s="549"/>
      <c r="BA2119" s="549"/>
      <c r="BB2119" s="551"/>
      <c r="BC2119" s="551"/>
      <c r="BD2119" s="549"/>
      <c r="BE2119" s="550"/>
      <c r="BF2119" s="549"/>
      <c r="BG2119" s="391">
        <f>SUM($AV$1389:AV2119)</f>
        <v>4820.6140742929338</v>
      </c>
      <c r="BH2119" s="392">
        <f>SUM($AU$1389:AU2119)</f>
        <v>50214.63922077918</v>
      </c>
      <c r="BI2119" s="318">
        <f>SUMIFS($AU$1388:AU2120,$Q$1388:Q2120,"F")</f>
        <v>32973.293506493508</v>
      </c>
      <c r="BJ2119" s="318">
        <f>SUMIFS($AU$1388:AU2120,$Q$1388:Q2120,"S")</f>
        <v>20002.285714285714</v>
      </c>
      <c r="BK2119" s="343">
        <f>SUMIFS($AU$1388:AU2120,$P$1388:P2120,"W")</f>
        <v>31576.759220779561</v>
      </c>
      <c r="BL2119" s="343">
        <f>SUMIFS($AU$1388:AU2120,$P$1388:P2120,"R")</f>
        <v>15726.00000000016</v>
      </c>
      <c r="BM2119" s="343">
        <f>SUMIFS($AU$1388:AU2120,$AQ$1388:AQ2120,"M")</f>
        <v>10931.179999998967</v>
      </c>
      <c r="BN2119" s="343">
        <f>SUMIFS($AU$1388:AU2120,$AQ$1388:AQ2120,"H")</f>
        <v>14523.200000000877</v>
      </c>
      <c r="BO2119" s="343">
        <f>SUMIFS($AU$1388:AU2120,$AQ$1388:AQ2120,"D")</f>
        <v>8014.9928571427408</v>
      </c>
      <c r="BP2119" s="343">
        <f>SUMIFS($AS$1388:AS2708,$AO$1388:AO2708,"W")</f>
        <v>0</v>
      </c>
      <c r="BQ2119" s="343">
        <f>SUMIFS($AU$1388:AU2120,$Q$1388:Q2120,"O")</f>
        <v>-5384.9400000000251</v>
      </c>
      <c r="BR2119" s="343">
        <f>SUMIFS($AU$1388:AU2120,$AA$1388:AA2120,"*")</f>
        <v>37075.122077921827</v>
      </c>
      <c r="BS2119" s="343">
        <f>SUMIFS($AU$1388:AU2120,$AB$1388:AB2120,"*")</f>
        <v>12971.859999999973</v>
      </c>
      <c r="BT2119" s="343">
        <f>SUMIFS($AU$1388:AU2120,$AC$1388:AC2120,"*")</f>
        <v>40173.293506493676</v>
      </c>
      <c r="BU2119" s="343">
        <f>SUMIFS($AU$1388:AU2120,$AA$1388:AA2120,"*",$AB$1388:AB2120,"*")</f>
        <v>8011.9999999997544</v>
      </c>
      <c r="BV2119" s="343">
        <f>SUMIFS($AU$1388:AU2120,$AA$1388:AA2120,"*",$AC$1388:AC2120,"*")</f>
        <v>28153.636363636531</v>
      </c>
      <c r="BW2119" s="343">
        <f>SUMIFS($AU$1388:AU2120,$AB$1388:AB2120,"*",$AC$1388:AC2120,"*")</f>
        <v>9360</v>
      </c>
      <c r="BX2119" s="343">
        <f>SUMIFS($AV$1388:AV2120,$Q$1388:Q2120,"F")</f>
        <v>462.72914667325267</v>
      </c>
      <c r="BY2119" s="343">
        <f>SUMIFS($AV$1388:AV2120,$Q$1388:Q2120,"S")</f>
        <v>738.32562762001328</v>
      </c>
      <c r="BZ2119" s="343">
        <f>SUMIFS($AV$1388:AV2120,$Q$1388:Q2120,"O")</f>
        <v>471.55929999966099</v>
      </c>
    </row>
    <row r="2120" spans="1:78" ht="15.75" customHeight="1">
      <c r="A2120" s="177" t="s">
        <v>6310</v>
      </c>
      <c r="B2120" s="200"/>
      <c r="C2120" s="178"/>
      <c r="D2120" s="178"/>
      <c r="E2120" s="227"/>
      <c r="F2120" s="180"/>
      <c r="G2120" s="181"/>
      <c r="H2120" s="182"/>
      <c r="I2120" s="182"/>
      <c r="J2120" s="182"/>
      <c r="K2120" s="183"/>
      <c r="L2120" s="182"/>
      <c r="M2120" s="182"/>
      <c r="N2120" s="182"/>
      <c r="O2120" s="183"/>
      <c r="P2120" s="183"/>
      <c r="Q2120" s="183"/>
      <c r="R2120" s="183"/>
      <c r="S2120" s="183"/>
      <c r="T2120" s="183"/>
      <c r="U2120" s="183"/>
      <c r="V2120" s="183"/>
      <c r="W2120" s="183"/>
      <c r="X2120" s="183"/>
      <c r="Y2120" s="183"/>
      <c r="Z2120" s="183"/>
      <c r="AA2120" s="185"/>
      <c r="AB2120" s="185"/>
      <c r="AC2120" s="185"/>
      <c r="AD2120" s="649"/>
      <c r="AE2120" s="182"/>
      <c r="AF2120" s="332"/>
      <c r="AG2120" s="182"/>
      <c r="AH2120" s="182"/>
      <c r="AI2120" s="182"/>
      <c r="AJ2120" s="640"/>
      <c r="AK2120" s="182"/>
      <c r="AL2120" s="496">
        <f t="shared" si="695"/>
        <v>0</v>
      </c>
      <c r="AM2120" s="496">
        <f t="shared" si="707"/>
        <v>0</v>
      </c>
      <c r="AN2120" s="626"/>
      <c r="AO2120" s="182"/>
      <c r="AP2120" s="182"/>
      <c r="AQ2120" s="332" t="str">
        <f>UPPER(RIGHT(Journal_Live[[#This Row],[DURATION ]]))</f>
        <v/>
      </c>
      <c r="AR2120" s="182"/>
      <c r="AS2120" s="189"/>
      <c r="AT2120" s="189"/>
      <c r="AU2120" s="187"/>
      <c r="AV2120" s="190"/>
      <c r="AW2120" s="191"/>
      <c r="AX2120" s="551" t="s">
        <v>6760</v>
      </c>
      <c r="AY2120" s="551" t="s">
        <v>6761</v>
      </c>
      <c r="AZ2120" s="551" t="s">
        <v>6762</v>
      </c>
      <c r="BA2120" s="551" t="s">
        <v>6763</v>
      </c>
      <c r="BB2120" s="551" t="s">
        <v>6764</v>
      </c>
      <c r="BC2120" s="551"/>
      <c r="BD2120" s="549"/>
      <c r="BE2120" s="550"/>
      <c r="BF2120" s="549"/>
      <c r="BG2120" s="391">
        <f>SUM($AV$1389:AV2120)</f>
        <v>4820.6140742929338</v>
      </c>
      <c r="BH2120" s="392">
        <f>SUM($AU$1389:AU2120)</f>
        <v>50214.63922077918</v>
      </c>
      <c r="BI2120" s="318">
        <f>SUMIFS($AU$1388:AU2121,$Q$1388:Q2121,"F")</f>
        <v>32973.293506493508</v>
      </c>
      <c r="BJ2120" s="318">
        <f>SUMIFS($AU$1388:AU2121,$Q$1388:Q2121,"S")</f>
        <v>20002.285714285714</v>
      </c>
      <c r="BK2120" s="343">
        <f>SUMIFS($AU$1388:AU2121,$P$1388:P2121,"W")</f>
        <v>31576.759220779561</v>
      </c>
      <c r="BL2120" s="343">
        <f>SUMIFS($AU$1388:AU2121,$P$1388:P2121,"R")</f>
        <v>15726.00000000016</v>
      </c>
      <c r="BM2120" s="343">
        <f>SUMIFS($AU$1388:AU2121,$AQ$1388:AQ2121,"M")</f>
        <v>10931.179999998967</v>
      </c>
      <c r="BN2120" s="343">
        <f>SUMIFS($AU$1388:AU2121,$AQ$1388:AQ2121,"H")</f>
        <v>14523.200000000877</v>
      </c>
      <c r="BO2120" s="343">
        <f>SUMIFS($AU$1388:AU2121,$AQ$1388:AQ2121,"D")</f>
        <v>8014.9928571427408</v>
      </c>
      <c r="BP2120" s="343">
        <f>SUMIFS($AS$1388:AS2709,$AO$1388:AO2709,"W")</f>
        <v>0</v>
      </c>
      <c r="BQ2120" s="343">
        <f>SUMIFS($AU$1388:AU2121,$Q$1388:Q2121,"O")</f>
        <v>-5384.9400000000251</v>
      </c>
      <c r="BR2120" s="343">
        <f>SUMIFS($AU$1388:AU2121,$AA$1388:AA2121,"*")</f>
        <v>37075.122077921827</v>
      </c>
      <c r="BS2120" s="343">
        <f>SUMIFS($AU$1388:AU2121,$AB$1388:AB2121,"*")</f>
        <v>12971.859999999973</v>
      </c>
      <c r="BT2120" s="343">
        <f>SUMIFS($AU$1388:AU2121,$AC$1388:AC2121,"*")</f>
        <v>40173.293506493676</v>
      </c>
      <c r="BU2120" s="343">
        <f>SUMIFS($AU$1388:AU2121,$AA$1388:AA2121,"*",$AB$1388:AB2121,"*")</f>
        <v>8011.9999999997544</v>
      </c>
      <c r="BV2120" s="343">
        <f>SUMIFS($AU$1388:AU2121,$AA$1388:AA2121,"*",$AC$1388:AC2121,"*")</f>
        <v>28153.636363636531</v>
      </c>
      <c r="BW2120" s="343">
        <f>SUMIFS($AU$1388:AU2121,$AB$1388:AB2121,"*",$AC$1388:AC2121,"*")</f>
        <v>9360</v>
      </c>
      <c r="BX2120" s="343">
        <f>SUMIFS($AV$1388:AV2121,$Q$1388:Q2121,"F")</f>
        <v>462.72914667325267</v>
      </c>
      <c r="BY2120" s="343">
        <f>SUMIFS($AV$1388:AV2121,$Q$1388:Q2121,"S")</f>
        <v>738.32562762001328</v>
      </c>
      <c r="BZ2120" s="343">
        <f>SUMIFS($AV$1388:AV2121,$Q$1388:Q2121,"O")</f>
        <v>471.55929999966099</v>
      </c>
    </row>
    <row r="2121" spans="1:78" ht="15.75" customHeight="1">
      <c r="A2121" s="177" t="s">
        <v>6310</v>
      </c>
      <c r="B2121" s="200"/>
      <c r="C2121" s="178"/>
      <c r="D2121" s="178"/>
      <c r="E2121" s="227"/>
      <c r="F2121" s="180"/>
      <c r="G2121" s="181"/>
      <c r="H2121" s="182"/>
      <c r="I2121" s="182"/>
      <c r="J2121" s="182"/>
      <c r="K2121" s="183"/>
      <c r="L2121" s="182"/>
      <c r="M2121" s="182"/>
      <c r="N2121" s="182"/>
      <c r="O2121" s="183"/>
      <c r="P2121" s="183"/>
      <c r="Q2121" s="183"/>
      <c r="R2121" s="183"/>
      <c r="S2121" s="183"/>
      <c r="T2121" s="183"/>
      <c r="U2121" s="183"/>
      <c r="V2121" s="183"/>
      <c r="W2121" s="183"/>
      <c r="X2121" s="183"/>
      <c r="Y2121" s="183"/>
      <c r="Z2121" s="183"/>
      <c r="AA2121" s="185"/>
      <c r="AB2121" s="185"/>
      <c r="AC2121" s="185"/>
      <c r="AD2121" s="649"/>
      <c r="AE2121" s="182"/>
      <c r="AF2121" s="332"/>
      <c r="AG2121" s="182"/>
      <c r="AH2121" s="182"/>
      <c r="AI2121" s="182"/>
      <c r="AJ2121" s="640"/>
      <c r="AK2121" s="182"/>
      <c r="AL2121" s="496">
        <f t="shared" si="695"/>
        <v>0</v>
      </c>
      <c r="AM2121" s="496">
        <f t="shared" si="707"/>
        <v>0</v>
      </c>
      <c r="AN2121" s="626"/>
      <c r="AO2121" s="182"/>
      <c r="AP2121" s="182"/>
      <c r="AQ2121" s="332" t="str">
        <f>UPPER(RIGHT(Journal_Live[[#This Row],[DURATION ]]))</f>
        <v/>
      </c>
      <c r="AR2121" s="182"/>
      <c r="AS2121" s="189"/>
      <c r="AT2121" s="189"/>
      <c r="AU2121" s="187"/>
      <c r="AV2121" s="190"/>
      <c r="AW2121" s="191"/>
      <c r="AX2121" s="551" t="s">
        <v>6765</v>
      </c>
      <c r="AY2121" s="551">
        <f>3520+800+1900 + 5360</f>
        <v>11580</v>
      </c>
      <c r="AZ2121" s="551" t="s">
        <v>6766</v>
      </c>
      <c r="BA2121" s="551"/>
      <c r="BB2121" s="551"/>
      <c r="BC2121" s="551"/>
      <c r="BD2121" s="549"/>
      <c r="BE2121" s="550"/>
      <c r="BF2121" s="549"/>
      <c r="BG2121" s="391">
        <f>SUM($AV$1389:AV2121)</f>
        <v>4820.6140742929338</v>
      </c>
      <c r="BH2121" s="392">
        <f>SUM($AU$1389:AU2121)</f>
        <v>50214.63922077918</v>
      </c>
      <c r="BI2121" s="318">
        <f>SUMIFS($AU$1388:AU2122,$Q$1388:Q2122,"F")</f>
        <v>32973.293506493508</v>
      </c>
      <c r="BJ2121" s="318">
        <f>SUMIFS($AU$1388:AU2122,$Q$1388:Q2122,"S")</f>
        <v>20002.285714285714</v>
      </c>
      <c r="BK2121" s="343">
        <f>SUMIFS($AU$1388:AU2122,$P$1388:P2122,"W")</f>
        <v>31576.759220779561</v>
      </c>
      <c r="BL2121" s="343">
        <f>SUMIFS($AU$1388:AU2122,$P$1388:P2122,"R")</f>
        <v>15726.00000000016</v>
      </c>
      <c r="BM2121" s="343">
        <f>SUMIFS($AU$1388:AU2122,$AQ$1388:AQ2122,"M")</f>
        <v>10931.179999998967</v>
      </c>
      <c r="BN2121" s="343">
        <f>SUMIFS($AU$1388:AU2122,$AQ$1388:AQ2122,"H")</f>
        <v>14523.200000000877</v>
      </c>
      <c r="BO2121" s="343">
        <f>SUMIFS($AU$1388:AU2122,$AQ$1388:AQ2122,"D")</f>
        <v>8014.9928571427408</v>
      </c>
      <c r="BP2121" s="343">
        <f>SUMIFS($AS$1388:AS2710,$AO$1388:AO2710,"W")</f>
        <v>0</v>
      </c>
      <c r="BQ2121" s="343">
        <f>SUMIFS($AU$1388:AU2122,$Q$1388:Q2122,"O")</f>
        <v>-5384.9400000000251</v>
      </c>
      <c r="BR2121" s="343">
        <f>SUMIFS($AU$1388:AU2122,$AA$1388:AA2122,"*")</f>
        <v>37075.122077921827</v>
      </c>
      <c r="BS2121" s="343">
        <f>SUMIFS($AU$1388:AU2122,$AB$1388:AB2122,"*")</f>
        <v>12971.859999999973</v>
      </c>
      <c r="BT2121" s="343">
        <f>SUMIFS($AU$1388:AU2122,$AC$1388:AC2122,"*")</f>
        <v>40173.293506493676</v>
      </c>
      <c r="BU2121" s="343">
        <f>SUMIFS($AU$1388:AU2122,$AA$1388:AA2122,"*",$AB$1388:AB2122,"*")</f>
        <v>8011.9999999997544</v>
      </c>
      <c r="BV2121" s="343">
        <f>SUMIFS($AU$1388:AU2122,$AA$1388:AA2122,"*",$AC$1388:AC2122,"*")</f>
        <v>28153.636363636531</v>
      </c>
      <c r="BW2121" s="343">
        <f>SUMIFS($AU$1388:AU2122,$AB$1388:AB2122,"*",$AC$1388:AC2122,"*")</f>
        <v>9360</v>
      </c>
      <c r="BX2121" s="343">
        <f>SUMIFS($AV$1388:AV2122,$Q$1388:Q2122,"F")</f>
        <v>462.72914667325267</v>
      </c>
      <c r="BY2121" s="343">
        <f>SUMIFS($AV$1388:AV2122,$Q$1388:Q2122,"S")</f>
        <v>738.32562762001328</v>
      </c>
      <c r="BZ2121" s="343">
        <f>SUMIFS($AV$1388:AV2122,$Q$1388:Q2122,"O")</f>
        <v>471.55929999966099</v>
      </c>
    </row>
    <row r="2122" spans="1:78" ht="15.75" customHeight="1">
      <c r="A2122" s="177" t="s">
        <v>6310</v>
      </c>
      <c r="B2122" s="200"/>
      <c r="C2122" s="178"/>
      <c r="D2122" s="178"/>
      <c r="E2122" s="227"/>
      <c r="F2122" s="180"/>
      <c r="G2122" s="181"/>
      <c r="H2122" s="182"/>
      <c r="I2122" s="182"/>
      <c r="J2122" s="182"/>
      <c r="K2122" s="183"/>
      <c r="L2122" s="182"/>
      <c r="M2122" s="182"/>
      <c r="N2122" s="182"/>
      <c r="O2122" s="183"/>
      <c r="P2122" s="183"/>
      <c r="Q2122" s="183"/>
      <c r="R2122" s="183"/>
      <c r="S2122" s="183"/>
      <c r="T2122" s="183"/>
      <c r="U2122" s="183"/>
      <c r="V2122" s="183"/>
      <c r="W2122" s="183"/>
      <c r="X2122" s="183"/>
      <c r="Y2122" s="183"/>
      <c r="Z2122" s="183"/>
      <c r="AA2122" s="185"/>
      <c r="AB2122" s="185"/>
      <c r="AC2122" s="185"/>
      <c r="AD2122" s="649"/>
      <c r="AE2122" s="182"/>
      <c r="AF2122" s="332"/>
      <c r="AG2122" s="182"/>
      <c r="AH2122" s="182"/>
      <c r="AI2122" s="182"/>
      <c r="AJ2122" s="640"/>
      <c r="AK2122" s="182"/>
      <c r="AL2122" s="496">
        <f t="shared" si="692"/>
        <v>0</v>
      </c>
      <c r="AM2122" s="496">
        <f t="shared" si="707"/>
        <v>0</v>
      </c>
      <c r="AN2122" s="626"/>
      <c r="AO2122" s="182"/>
      <c r="AP2122" s="182"/>
      <c r="AQ2122" s="332" t="str">
        <f>UPPER(RIGHT(Journal_Live[[#This Row],[DURATION ]]))</f>
        <v/>
      </c>
      <c r="AR2122" s="182"/>
      <c r="AS2122" s="189"/>
      <c r="AT2122" s="189"/>
      <c r="AU2122" s="187"/>
      <c r="AV2122" s="190"/>
      <c r="AW2122" s="191"/>
      <c r="AX2122" s="417" t="s">
        <v>6767</v>
      </c>
      <c r="AY2122" s="549" t="s">
        <v>6768</v>
      </c>
      <c r="AZ2122" s="417" t="s">
        <v>6769</v>
      </c>
      <c r="BA2122" s="417" t="s">
        <v>6770</v>
      </c>
      <c r="BB2122" s="417" t="s">
        <v>6771</v>
      </c>
      <c r="BC2122" s="417" t="s">
        <v>6531</v>
      </c>
      <c r="BD2122" s="417" t="s">
        <v>6772</v>
      </c>
      <c r="BE2122" s="417" t="s">
        <v>6497</v>
      </c>
      <c r="BF2122" s="417" t="s">
        <v>6773</v>
      </c>
      <c r="BG2122" s="391">
        <f>SUM($AV$1389:AV2122)</f>
        <v>4820.6140742929338</v>
      </c>
      <c r="BH2122" s="392">
        <f>SUM($AU$1389:AU2122)</f>
        <v>50214.63922077918</v>
      </c>
      <c r="BI2122" s="318">
        <f>SUMIFS($AU$1388:AU2123,$Q$1388:Q2123,"F")</f>
        <v>32973.293506493508</v>
      </c>
      <c r="BJ2122" s="318">
        <f>SUMIFS($AU$1388:AU2123,$Q$1388:Q2123,"S")</f>
        <v>20002.285714285714</v>
      </c>
      <c r="BK2122" s="343">
        <f>SUMIFS($AU$1388:AU2123,$P$1388:P2123,"W")</f>
        <v>31576.759220779561</v>
      </c>
      <c r="BL2122" s="343">
        <f>SUMIFS($AU$1388:AU2123,$P$1388:P2123,"R")</f>
        <v>15726.00000000016</v>
      </c>
      <c r="BM2122" s="343">
        <f>SUMIFS($AU$1388:AU2123,$AQ$1388:AQ2123,"M")</f>
        <v>10931.179999998967</v>
      </c>
      <c r="BN2122" s="343">
        <f>SUMIFS($AU$1388:AU2123,$AQ$1388:AQ2123,"H")</f>
        <v>14523.200000000877</v>
      </c>
      <c r="BO2122" s="343">
        <f>SUMIFS($AU$1388:AU2123,$AQ$1388:AQ2123,"D")</f>
        <v>8014.9928571427408</v>
      </c>
      <c r="BP2122" s="343">
        <f>SUMIFS($AS$1388:AS2711,$AO$1388:AO2711,"W")</f>
        <v>0</v>
      </c>
      <c r="BQ2122" s="343">
        <f>SUMIFS($AU$1388:AU2123,$Q$1388:Q2123,"O")</f>
        <v>-5384.9400000000251</v>
      </c>
      <c r="BR2122" s="343">
        <f>SUMIFS($AU$1388:AU2123,$AA$1388:AA2123,"*")</f>
        <v>37075.122077921827</v>
      </c>
      <c r="BS2122" s="343">
        <f>SUMIFS($AU$1388:AU2123,$AB$1388:AB2123,"*")</f>
        <v>12971.859999999973</v>
      </c>
      <c r="BT2122" s="343">
        <f>SUMIFS($AU$1388:AU2123,$AC$1388:AC2123,"*")</f>
        <v>40173.293506493676</v>
      </c>
      <c r="BU2122" s="343">
        <f>SUMIFS($AU$1388:AU2123,$AA$1388:AA2123,"*",$AB$1388:AB2123,"*")</f>
        <v>8011.9999999997544</v>
      </c>
      <c r="BV2122" s="343">
        <f>SUMIFS($AU$1388:AU2123,$AA$1388:AA2123,"*",$AC$1388:AC2123,"*")</f>
        <v>28153.636363636531</v>
      </c>
      <c r="BW2122" s="343">
        <f>SUMIFS($AU$1388:AU2123,$AB$1388:AB2123,"*",$AC$1388:AC2123,"*")</f>
        <v>9360</v>
      </c>
      <c r="BX2122" s="343">
        <f>SUMIFS($AV$1388:AV2123,$Q$1388:Q2123,"F")</f>
        <v>462.72914667325267</v>
      </c>
      <c r="BY2122" s="343">
        <f>SUMIFS($AV$1388:AV2123,$Q$1388:Q2123,"S")</f>
        <v>738.32562762001328</v>
      </c>
      <c r="BZ2122" s="343">
        <f>SUMIFS($AV$1388:AV2123,$Q$1388:Q2123,"O")</f>
        <v>471.55929999966099</v>
      </c>
    </row>
    <row r="2123" spans="1:78" ht="15.75" customHeight="1">
      <c r="A2123" s="177" t="s">
        <v>6310</v>
      </c>
      <c r="B2123" s="200"/>
      <c r="C2123" s="178"/>
      <c r="D2123" s="178"/>
      <c r="E2123" s="227"/>
      <c r="F2123" s="180"/>
      <c r="G2123" s="181"/>
      <c r="H2123" s="182"/>
      <c r="I2123" s="182"/>
      <c r="J2123" s="182"/>
      <c r="K2123" s="183"/>
      <c r="L2123" s="182"/>
      <c r="M2123" s="182"/>
      <c r="N2123" s="182"/>
      <c r="O2123" s="183"/>
      <c r="P2123" s="183"/>
      <c r="Q2123" s="183"/>
      <c r="R2123" s="183"/>
      <c r="S2123" s="183"/>
      <c r="T2123" s="183"/>
      <c r="U2123" s="183"/>
      <c r="V2123" s="183"/>
      <c r="W2123" s="183"/>
      <c r="X2123" s="183"/>
      <c r="Y2123" s="183"/>
      <c r="Z2123" s="183"/>
      <c r="AA2123" s="185"/>
      <c r="AB2123" s="185"/>
      <c r="AC2123" s="185"/>
      <c r="AD2123" s="649"/>
      <c r="AE2123" s="182"/>
      <c r="AF2123" s="332"/>
      <c r="AG2123" s="182"/>
      <c r="AH2123" s="182"/>
      <c r="AI2123" s="182"/>
      <c r="AJ2123" s="640"/>
      <c r="AK2123" s="182"/>
      <c r="AL2123" s="496">
        <f t="shared" si="692"/>
        <v>0</v>
      </c>
      <c r="AM2123" s="496">
        <f t="shared" si="707"/>
        <v>0</v>
      </c>
      <c r="AN2123" s="626"/>
      <c r="AO2123" s="182"/>
      <c r="AP2123" s="182"/>
      <c r="AQ2123" s="332" t="str">
        <f>UPPER(RIGHT(Journal_Live[[#This Row],[DURATION ]]))</f>
        <v/>
      </c>
      <c r="AR2123" s="182"/>
      <c r="AS2123" s="189"/>
      <c r="AT2123" s="189"/>
      <c r="AU2123" s="187"/>
      <c r="AV2123" s="190"/>
      <c r="AW2123" s="191"/>
      <c r="AX2123" s="417" t="s">
        <v>6774</v>
      </c>
      <c r="AY2123" s="551" t="s">
        <v>6775</v>
      </c>
      <c r="AZ2123" s="549" t="s">
        <v>6776</v>
      </c>
      <c r="BA2123" s="577" t="s">
        <v>6629</v>
      </c>
      <c r="BB2123" s="577" t="s">
        <v>6777</v>
      </c>
      <c r="BC2123" s="577" t="s">
        <v>6778</v>
      </c>
      <c r="BD2123" s="549" t="s">
        <v>6779</v>
      </c>
      <c r="BE2123" s="550"/>
      <c r="BF2123" s="549"/>
      <c r="BG2123" s="391">
        <f>SUM($AV$1389:AV2123)</f>
        <v>4820.6140742929338</v>
      </c>
      <c r="BH2123" s="392">
        <f>SUM($AU$1389:AU2123)</f>
        <v>50214.63922077918</v>
      </c>
      <c r="BI2123" s="318">
        <f>SUMIFS($AU$1388:AU2124,$Q$1388:Q2124,"F")</f>
        <v>32973.293506493508</v>
      </c>
      <c r="BJ2123" s="318">
        <f>SUMIFS($AU$1388:AU2124,$Q$1388:Q2124,"S")</f>
        <v>20002.285714285714</v>
      </c>
      <c r="BK2123" s="343">
        <f>SUMIFS($AU$1388:AU2124,$P$1388:P2124,"W")</f>
        <v>31576.759220779561</v>
      </c>
      <c r="BL2123" s="343">
        <f>SUMIFS($AU$1388:AU2124,$P$1388:P2124,"R")</f>
        <v>15726.00000000016</v>
      </c>
      <c r="BM2123" s="343">
        <f>SUMIFS($AU$1388:AU2124,$AQ$1388:AQ2124,"M")</f>
        <v>10931.179999998967</v>
      </c>
      <c r="BN2123" s="343">
        <f>SUMIFS($AU$1388:AU2124,$AQ$1388:AQ2124,"H")</f>
        <v>14523.200000000877</v>
      </c>
      <c r="BO2123" s="343">
        <f>SUMIFS($AU$1388:AU2124,$AQ$1388:AQ2124,"D")</f>
        <v>8014.9928571427408</v>
      </c>
      <c r="BP2123" s="343">
        <f>SUMIFS($AS$1388:AS2712,$AO$1388:AO2712,"W")</f>
        <v>0</v>
      </c>
      <c r="BQ2123" s="343">
        <f>SUMIFS($AU$1388:AU2124,$Q$1388:Q2124,"O")</f>
        <v>-5384.9400000000251</v>
      </c>
      <c r="BR2123" s="343">
        <f>SUMIFS($AU$1388:AU2124,$AA$1388:AA2124,"*")</f>
        <v>37075.122077921827</v>
      </c>
      <c r="BS2123" s="343">
        <f>SUMIFS($AU$1388:AU2124,$AB$1388:AB2124,"*")</f>
        <v>12971.859999999973</v>
      </c>
      <c r="BT2123" s="343">
        <f>SUMIFS($AU$1388:AU2124,$AC$1388:AC2124,"*")</f>
        <v>40173.293506493676</v>
      </c>
      <c r="BU2123" s="343">
        <f>SUMIFS($AU$1388:AU2124,$AA$1388:AA2124,"*",$AB$1388:AB2124,"*")</f>
        <v>8011.9999999997544</v>
      </c>
      <c r="BV2123" s="343">
        <f>SUMIFS($AU$1388:AU2124,$AA$1388:AA2124,"*",$AC$1388:AC2124,"*")</f>
        <v>28153.636363636531</v>
      </c>
      <c r="BW2123" s="343">
        <f>SUMIFS($AU$1388:AU2124,$AB$1388:AB2124,"*",$AC$1388:AC2124,"*")</f>
        <v>9360</v>
      </c>
      <c r="BX2123" s="343">
        <f>SUMIFS($AV$1388:AV2124,$Q$1388:Q2124,"F")</f>
        <v>462.72914667325267</v>
      </c>
      <c r="BY2123" s="343">
        <f>SUMIFS($AV$1388:AV2124,$Q$1388:Q2124,"S")</f>
        <v>738.32562762001328</v>
      </c>
      <c r="BZ2123" s="343">
        <f>SUMIFS($AV$1388:AV2124,$Q$1388:Q2124,"O")</f>
        <v>471.55929999966099</v>
      </c>
    </row>
    <row r="2124" spans="1:78" ht="15.75" customHeight="1">
      <c r="A2124" s="492" t="s">
        <v>6780</v>
      </c>
      <c r="B2124" s="273"/>
      <c r="C2124" s="214"/>
      <c r="D2124" s="214"/>
      <c r="E2124" s="215"/>
      <c r="F2124" s="216"/>
      <c r="G2124" s="214"/>
      <c r="H2124" s="214"/>
      <c r="I2124" s="214"/>
      <c r="J2124" s="214"/>
      <c r="K2124" s="217"/>
      <c r="L2124" s="214"/>
      <c r="M2124" s="214"/>
      <c r="N2124" s="214"/>
      <c r="O2124" s="217"/>
      <c r="P2124" s="217"/>
      <c r="Q2124" s="217"/>
      <c r="R2124" s="217"/>
      <c r="S2124" s="217"/>
      <c r="T2124" s="217"/>
      <c r="U2124" s="217"/>
      <c r="V2124" s="217"/>
      <c r="W2124" s="217"/>
      <c r="X2124" s="217"/>
      <c r="Y2124" s="217"/>
      <c r="Z2124" s="218" t="str">
        <f>IF(ISBLANK(O2124),"",IF(O2124="IB",8.63*200,IF(O2124="IR",16*100,IF(O2124="YT",20*100,IF(O2124="YT-XT",24*200,IF(O2124="TED",80*100))))))</f>
        <v/>
      </c>
      <c r="AA2124" s="218"/>
      <c r="AB2124" s="218"/>
      <c r="AC2124" s="218"/>
      <c r="AD2124" s="651"/>
      <c r="AE2124" s="214"/>
      <c r="AF2124" s="214"/>
      <c r="AG2124" s="214"/>
      <c r="AH2124" s="214"/>
      <c r="AI2124" s="214"/>
      <c r="AJ2124" s="642"/>
      <c r="AK2124" s="214"/>
      <c r="AL2124" s="214"/>
      <c r="AM2124" s="214"/>
      <c r="AN2124" s="628"/>
      <c r="AO2124" s="214"/>
      <c r="AP2124" s="214"/>
      <c r="AQ2124" s="334" t="str">
        <f>UPPER(RIGHT(Journal_Live[[#This Row],[DURATION ]]))</f>
        <v/>
      </c>
      <c r="AR2124" s="214"/>
      <c r="AS2124" s="214"/>
      <c r="AT2124" s="214"/>
      <c r="AU2124" s="214"/>
      <c r="AV2124" s="214"/>
      <c r="AW2124" s="214"/>
      <c r="AX2124" s="417"/>
      <c r="AY2124" s="414"/>
      <c r="AZ2124" s="414"/>
      <c r="BA2124" s="414"/>
      <c r="BB2124" s="414"/>
      <c r="BC2124" s="414"/>
      <c r="BD2124" s="414"/>
      <c r="BE2124" s="414"/>
      <c r="BF2124" s="414"/>
      <c r="BG2124" s="391">
        <f>SUM($AV$1389:AV2124)</f>
        <v>4820.6140742929338</v>
      </c>
      <c r="BH2124" s="392">
        <f>SUM($AU$1389:AU2124)</f>
        <v>50214.63922077918</v>
      </c>
      <c r="BI2124" s="318">
        <f>SUMIFS($AU$1388:AU2381,$Q$1388:Q2381,"F")</f>
        <v>28758.758121878131</v>
      </c>
      <c r="BJ2124" s="318">
        <f>SUMIFS($AU$1388:AU2381,$Q$1388:Q2381,"S")</f>
        <v>18338.285714285717</v>
      </c>
      <c r="BK2124" s="343">
        <f>SUMIFS($AU$1388:AU2381,$P$1388:P2381,"W")</f>
        <v>16085.423836163443</v>
      </c>
      <c r="BL2124" s="343">
        <f>SUMIFS($AU$1388:AU2381,$P$1388:P2381,"R")</f>
        <v>23278.800000000327</v>
      </c>
      <c r="BM2124" s="343">
        <f>SUMIFS($AU$1388:AU2381,$AQ$1388:AQ2381,"M")</f>
        <v>9563.1799999983832</v>
      </c>
      <c r="BN2124" s="343">
        <f>SUMIFS($AU$1388:AU2381,$AQ$1388:AQ2381,"H")</f>
        <v>12587.200000000877</v>
      </c>
      <c r="BO2124" s="343">
        <f>SUMIFS($AU$1388:AU2381,$AQ$1388:AQ2381,"D")</f>
        <v>11195.57747252718</v>
      </c>
      <c r="BP2124" s="343">
        <f>SUMIFS($AS$1388:AS2836,$AO$1388:AO2836,"W")</f>
        <v>0</v>
      </c>
      <c r="BQ2124" s="343">
        <f>SUMIFS($AU$1388:AU2381,$Q$1388:Q2381,"O")</f>
        <v>-9366.1400000007852</v>
      </c>
      <c r="BR2124" s="343">
        <f>SUMIFS($AU$1388:AU2381,$AA$1388:AA2381,"*")</f>
        <v>39156.002077921221</v>
      </c>
      <c r="BS2124" s="343">
        <f>SUMIFS($AU$1388:AU2381,$AB$1388:AB2381,"*")</f>
        <v>7005.8599999997941</v>
      </c>
      <c r="BT2124" s="343">
        <f>SUMIFS($AU$1388:AU2381,$AC$1388:AC2381,"*")</f>
        <v>31968.358121878122</v>
      </c>
      <c r="BU2124" s="343">
        <f>SUMIFS($AU$1388:AU2381,$AA$1388:AA2381,"*",$AB$1388:AB2381,"*")</f>
        <v>7301.9999999995771</v>
      </c>
      <c r="BV2124" s="343">
        <f>SUMIFS($AU$1388:AU2381,$AA$1388:AA2381,"*",$AC$1388:AC2381,"*")</f>
        <v>29949.316363636532</v>
      </c>
      <c r="BW2124" s="343">
        <f>SUMIFS($AU$1388:AU2381,$AB$1388:AB2381,"*",$AC$1388:AC2381,"*")</f>
        <v>3739.199999999998</v>
      </c>
      <c r="BX2124" s="343">
        <f>SUMIFS($AV$1388:AV2381,$Q$1388:Q2381,"F")</f>
        <v>396.72999236351012</v>
      </c>
      <c r="BY2124" s="343">
        <f>SUMIFS($AV$1388:AV2381,$Q$1388:Q2381,"S")</f>
        <v>775.76285705724263</v>
      </c>
      <c r="BZ2124" s="343">
        <f>SUMIFS($AV$1388:AV2381,$Q$1388:Q2381,"O")</f>
        <v>569.29929999965555</v>
      </c>
    </row>
    <row r="2125" spans="1:78" ht="15.75" customHeight="1">
      <c r="A2125" s="177" t="s">
        <v>6781</v>
      </c>
      <c r="B2125" s="200"/>
      <c r="C2125" s="178"/>
      <c r="D2125" s="178"/>
      <c r="E2125" s="227"/>
      <c r="F2125" s="180"/>
      <c r="G2125" s="181"/>
      <c r="H2125" s="182"/>
      <c r="I2125" s="182"/>
      <c r="J2125" s="182"/>
      <c r="K2125" s="183"/>
      <c r="L2125" s="182"/>
      <c r="M2125" s="182"/>
      <c r="N2125" s="182"/>
      <c r="O2125" s="183"/>
      <c r="P2125" s="183"/>
      <c r="Q2125" s="183"/>
      <c r="R2125" s="183"/>
      <c r="S2125" s="183"/>
      <c r="T2125" s="183"/>
      <c r="U2125" s="183"/>
      <c r="V2125" s="183"/>
      <c r="W2125" s="183"/>
      <c r="X2125" s="183"/>
      <c r="Y2125" s="183"/>
      <c r="Z2125" s="183"/>
      <c r="AA2125" s="185"/>
      <c r="AB2125" s="185"/>
      <c r="AC2125" s="185"/>
      <c r="AD2125" s="649"/>
      <c r="AE2125" s="182"/>
      <c r="AF2125" s="332"/>
      <c r="AG2125" s="182"/>
      <c r="AH2125" s="182"/>
      <c r="AI2125" s="182"/>
      <c r="AJ2125" s="640"/>
      <c r="AK2125" s="182"/>
      <c r="AL2125" s="496">
        <f t="shared" ref="AL2125:AL2280" si="708">-0.02*Z2125</f>
        <v>0</v>
      </c>
      <c r="AM2125" s="496">
        <f t="shared" ref="AM2125:AM2156" si="709">AL2125*(R2125-S2125)</f>
        <v>0</v>
      </c>
      <c r="AN2125" s="626"/>
      <c r="AO2125" s="182"/>
      <c r="AP2125" s="182"/>
      <c r="AQ2125" s="332" t="str">
        <f>UPPER(RIGHT(Journal_Live[[#This Row],[DURATION ]]))</f>
        <v/>
      </c>
      <c r="AR2125" s="182"/>
      <c r="AS2125" s="189"/>
      <c r="AT2125" s="189"/>
      <c r="AU2125" s="187"/>
      <c r="AV2125" s="190"/>
      <c r="AW2125" s="191"/>
      <c r="AX2125" s="549" t="s">
        <v>6676</v>
      </c>
      <c r="AY2125" s="417" t="s">
        <v>6670</v>
      </c>
      <c r="AZ2125" s="417" t="s">
        <v>6677</v>
      </c>
      <c r="BA2125" s="417" t="s">
        <v>6665</v>
      </c>
      <c r="BB2125" s="417" t="s">
        <v>6673</v>
      </c>
      <c r="BC2125" s="417" t="s">
        <v>6674</v>
      </c>
      <c r="BD2125" s="549" t="s">
        <v>6782</v>
      </c>
      <c r="BE2125" s="550" t="s">
        <v>6783</v>
      </c>
      <c r="BF2125" s="549"/>
      <c r="BG2125" s="391">
        <f>SUM($AV$1389:AV2125)</f>
        <v>4820.6140742929338</v>
      </c>
      <c r="BH2125" s="392">
        <f>SUM($AU$1389:AU2125)</f>
        <v>50214.63922077918</v>
      </c>
      <c r="BI2125" s="318">
        <f>SUMIFS($AU$1388:AU2279,$Q$1388:Q2279,"F")</f>
        <v>29235.078121878127</v>
      </c>
      <c r="BJ2125" s="318">
        <f>SUMIFS($AU$1388:AU2279,$Q$1388:Q2279,"S")</f>
        <v>17938.285714285706</v>
      </c>
      <c r="BK2125" s="343">
        <f>SUMIFS($AU$1388:AU2279,$P$1388:P2279,"W")</f>
        <v>17144.143836163403</v>
      </c>
      <c r="BL2125" s="343">
        <f>SUMIFS($AU$1388:AU2279,$P$1388:P2279,"R")</f>
        <v>22616.400000000325</v>
      </c>
      <c r="BM2125" s="343">
        <f>SUMIFS($AU$1388:AU2279,$AQ$1388:AQ2279,"M")</f>
        <v>8875.1799999983887</v>
      </c>
      <c r="BN2125" s="343">
        <f>SUMIFS($AU$1388:AU2279,$AQ$1388:AQ2279,"H")</f>
        <v>11643.200000000877</v>
      </c>
      <c r="BO2125" s="343">
        <f>SUMIFS($AU$1388:AU2279,$AQ$1388:AQ2279,"D")</f>
        <v>13122.377472527351</v>
      </c>
      <c r="BP2125" s="343">
        <f>SUMIFS($AS$1388:AS2710,$AO$1388:AO2710,"W")</f>
        <v>0</v>
      </c>
      <c r="BQ2125" s="343">
        <f>SUMIFS($AU$1388:AU2279,$Q$1388:Q2279,"O")</f>
        <v>-9340.9400000006026</v>
      </c>
      <c r="BR2125" s="343">
        <f>SUMIFS($AU$1388:AU2279,$AA$1388:AA2279,"*")</f>
        <v>37881.5220779214</v>
      </c>
      <c r="BS2125" s="343">
        <f>SUMIFS($AU$1388:AU2279,$AB$1388:AB2279,"*")</f>
        <v>7475.8599999999715</v>
      </c>
      <c r="BT2125" s="343">
        <f>SUMIFS($AU$1388:AU2279,$AC$1388:AC2279,"*")</f>
        <v>33251.078121878119</v>
      </c>
      <c r="BU2125" s="343">
        <f>SUMIFS($AU$1388:AU2279,$AA$1388:AA2279,"*",$AB$1388:AB2279,"*")</f>
        <v>7915.9999999997544</v>
      </c>
      <c r="BV2125" s="343">
        <f>SUMIFS($AU$1388:AU2279,$AA$1388:AA2279,"*",$AC$1388:AC2279,"*")</f>
        <v>29696.036363636529</v>
      </c>
      <c r="BW2125" s="343">
        <f>SUMIFS($AU$1388:AU2279,$AB$1388:AB2279,"*",$AC$1388:AC2279,"*")</f>
        <v>3863.9999999999991</v>
      </c>
      <c r="BX2125" s="343">
        <f>SUMIFS($AV$1388:AV2279,$Q$1388:Q2279,"F")</f>
        <v>383.04019562430165</v>
      </c>
      <c r="BY2125" s="343">
        <f>SUMIFS($AV$1388:AV2279,$Q$1388:Q2279,"S")</f>
        <v>676.61134190572739</v>
      </c>
      <c r="BZ2125" s="343">
        <f>SUMIFS($AV$1388:AV2279,$Q$1388:Q2279,"O")</f>
        <v>378.55929999967736</v>
      </c>
    </row>
    <row r="2126" spans="1:78" ht="15.75" customHeight="1">
      <c r="A2126" s="177" t="s">
        <v>6781</v>
      </c>
      <c r="B2126" s="200"/>
      <c r="C2126" s="178"/>
      <c r="D2126" s="178"/>
      <c r="E2126" s="227"/>
      <c r="F2126" s="180"/>
      <c r="G2126" s="181"/>
      <c r="H2126" s="182"/>
      <c r="I2126" s="182"/>
      <c r="J2126" s="182"/>
      <c r="K2126" s="183"/>
      <c r="L2126" s="182"/>
      <c r="M2126" s="182"/>
      <c r="N2126" s="182"/>
      <c r="O2126" s="183"/>
      <c r="P2126" s="183"/>
      <c r="Q2126" s="183"/>
      <c r="R2126" s="183"/>
      <c r="S2126" s="183"/>
      <c r="T2126" s="183"/>
      <c r="U2126" s="183"/>
      <c r="V2126" s="183"/>
      <c r="W2126" s="183"/>
      <c r="X2126" s="183"/>
      <c r="Y2126" s="183"/>
      <c r="Z2126" s="183"/>
      <c r="AA2126" s="185"/>
      <c r="AB2126" s="185"/>
      <c r="AC2126" s="185"/>
      <c r="AD2126" s="649"/>
      <c r="AE2126" s="182"/>
      <c r="AF2126" s="332"/>
      <c r="AG2126" s="182"/>
      <c r="AH2126" s="182"/>
      <c r="AI2126" s="182"/>
      <c r="AJ2126" s="640"/>
      <c r="AK2126" s="182"/>
      <c r="AL2126" s="496">
        <f t="shared" ref="AL2126:AL2278" si="710">-0.02*Z2126</f>
        <v>0</v>
      </c>
      <c r="AM2126" s="496">
        <f t="shared" si="709"/>
        <v>0</v>
      </c>
      <c r="AN2126" s="626"/>
      <c r="AO2126" s="182"/>
      <c r="AP2126" s="182"/>
      <c r="AQ2126" s="332" t="str">
        <f>UPPER(RIGHT(Journal_Live[[#This Row],[DURATION ]]))</f>
        <v/>
      </c>
      <c r="AR2126" s="182"/>
      <c r="AS2126" s="189"/>
      <c r="AT2126" s="189"/>
      <c r="AU2126" s="187"/>
      <c r="AV2126" s="190"/>
      <c r="AW2126" s="191"/>
      <c r="AX2126" s="417" t="s">
        <v>6784</v>
      </c>
      <c r="AY2126" s="579" t="s">
        <v>6785</v>
      </c>
      <c r="AZ2126" s="551"/>
      <c r="BA2126" s="551"/>
      <c r="BB2126" s="580" t="s">
        <v>6786</v>
      </c>
      <c r="BC2126" s="551"/>
      <c r="BD2126" s="513" t="s">
        <v>6787</v>
      </c>
      <c r="BE2126" s="550"/>
      <c r="BF2126" s="549"/>
      <c r="BG2126" s="391">
        <f>SUM($AV$1389:AV2126)</f>
        <v>4820.6140742929338</v>
      </c>
      <c r="BH2126" s="392">
        <f>SUM($AU$1389:AU2126)</f>
        <v>50214.63922077918</v>
      </c>
      <c r="BI2126" s="318">
        <f>SUMIFS($AU$1388:AU2127,$Q$1388:Q2127,"F")</f>
        <v>32973.293506493508</v>
      </c>
      <c r="BJ2126" s="318">
        <f>SUMIFS($AU$1388:AU2127,$Q$1388:Q2127,"S")</f>
        <v>20002.285714285714</v>
      </c>
      <c r="BK2126" s="343">
        <f>SUMIFS($AU$1388:AU2127,$P$1388:P2127,"W")</f>
        <v>31576.759220779561</v>
      </c>
      <c r="BL2126" s="343">
        <f>SUMIFS($AU$1388:AU2127,$P$1388:P2127,"R")</f>
        <v>15726.00000000016</v>
      </c>
      <c r="BM2126" s="343">
        <f>SUMIFS($AU$1388:AU2127,$AQ$1388:AQ2127,"M")</f>
        <v>10931.179999998967</v>
      </c>
      <c r="BN2126" s="343">
        <f>SUMIFS($AU$1388:AU2127,$AQ$1388:AQ2127,"H")</f>
        <v>14523.200000000877</v>
      </c>
      <c r="BO2126" s="343">
        <f>SUMIFS($AU$1388:AU2127,$AQ$1388:AQ2127,"D")</f>
        <v>8014.9928571427408</v>
      </c>
      <c r="BP2126" s="343">
        <f>SUMIFS($AS$1388:AS2704,$AO$1388:AO2704,"W")</f>
        <v>0</v>
      </c>
      <c r="BQ2126" s="343">
        <f>SUMIFS($AU$1388:AU2127,$Q$1388:Q2127,"O")</f>
        <v>-5384.9400000000251</v>
      </c>
      <c r="BR2126" s="343">
        <f>SUMIFS($AU$1388:AU2127,$AA$1388:AA2127,"*")</f>
        <v>37075.122077921827</v>
      </c>
      <c r="BS2126" s="343">
        <f>SUMIFS($AU$1388:AU2127,$AB$1388:AB2127,"*")</f>
        <v>12971.859999999973</v>
      </c>
      <c r="BT2126" s="343">
        <f>SUMIFS($AU$1388:AU2127,$AC$1388:AC2127,"*")</f>
        <v>40173.293506493676</v>
      </c>
      <c r="BU2126" s="343">
        <f>SUMIFS($AU$1388:AU2127,$AA$1388:AA2127,"*",$AB$1388:AB2127,"*")</f>
        <v>8011.9999999997544</v>
      </c>
      <c r="BV2126" s="343">
        <f>SUMIFS($AU$1388:AU2127,$AA$1388:AA2127,"*",$AC$1388:AC2127,"*")</f>
        <v>28153.636363636531</v>
      </c>
      <c r="BW2126" s="343">
        <f>SUMIFS($AU$1388:AU2127,$AB$1388:AB2127,"*",$AC$1388:AC2127,"*")</f>
        <v>9360</v>
      </c>
      <c r="BX2126" s="343">
        <f>SUMIFS($AV$1388:AV2127,$Q$1388:Q2127,"F")</f>
        <v>462.72914667325267</v>
      </c>
      <c r="BY2126" s="343">
        <f>SUMIFS($AV$1388:AV2127,$Q$1388:Q2127,"S")</f>
        <v>738.32562762001328</v>
      </c>
      <c r="BZ2126" s="343">
        <f>SUMIFS($AV$1388:AV2127,$Q$1388:Q2127,"O")</f>
        <v>471.55929999966099</v>
      </c>
    </row>
    <row r="2127" spans="1:78" ht="15.75" customHeight="1">
      <c r="A2127" s="177" t="s">
        <v>6781</v>
      </c>
      <c r="B2127" s="200"/>
      <c r="C2127" s="178"/>
      <c r="D2127" s="178"/>
      <c r="E2127" s="227"/>
      <c r="F2127" s="180"/>
      <c r="G2127" s="181"/>
      <c r="H2127" s="182"/>
      <c r="I2127" s="182"/>
      <c r="J2127" s="182"/>
      <c r="K2127" s="183"/>
      <c r="L2127" s="182"/>
      <c r="M2127" s="182"/>
      <c r="N2127" s="182"/>
      <c r="O2127" s="183"/>
      <c r="P2127" s="183"/>
      <c r="Q2127" s="183"/>
      <c r="R2127" s="183"/>
      <c r="S2127" s="183"/>
      <c r="T2127" s="183"/>
      <c r="U2127" s="183"/>
      <c r="V2127" s="183"/>
      <c r="W2127" s="183"/>
      <c r="X2127" s="183"/>
      <c r="Y2127" s="183"/>
      <c r="Z2127" s="183"/>
      <c r="AA2127" s="185"/>
      <c r="AB2127" s="185"/>
      <c r="AC2127" s="185"/>
      <c r="AD2127" s="649"/>
      <c r="AE2127" s="182"/>
      <c r="AF2127" s="332"/>
      <c r="AG2127" s="182"/>
      <c r="AH2127" s="182"/>
      <c r="AI2127" s="182"/>
      <c r="AJ2127" s="640"/>
      <c r="AK2127" s="182"/>
      <c r="AL2127" s="496">
        <f t="shared" si="710"/>
        <v>0</v>
      </c>
      <c r="AM2127" s="496">
        <f t="shared" si="709"/>
        <v>0</v>
      </c>
      <c r="AN2127" s="626"/>
      <c r="AO2127" s="182"/>
      <c r="AP2127" s="182"/>
      <c r="AQ2127" s="332" t="str">
        <f>UPPER(RIGHT(Journal_Live[[#This Row],[DURATION ]]))</f>
        <v/>
      </c>
      <c r="AR2127" s="182"/>
      <c r="AS2127" s="189"/>
      <c r="AT2127" s="189"/>
      <c r="AU2127" s="187"/>
      <c r="AV2127" s="190"/>
      <c r="AW2127" s="191"/>
      <c r="AX2127" s="551" t="s">
        <v>6788</v>
      </c>
      <c r="AY2127" s="551" t="s">
        <v>6789</v>
      </c>
      <c r="AZ2127" s="551"/>
      <c r="BA2127" s="551"/>
      <c r="BB2127" s="580" t="s">
        <v>6790</v>
      </c>
      <c r="BC2127" s="590" t="s">
        <v>6791</v>
      </c>
      <c r="BD2127" s="513" t="s">
        <v>6792</v>
      </c>
      <c r="BE2127" s="550"/>
      <c r="BF2127" s="549"/>
      <c r="BG2127" s="391">
        <f>SUM($AV$1389:AV2127)</f>
        <v>4820.6140742929338</v>
      </c>
      <c r="BH2127" s="392">
        <f>SUM($AU$1389:AU2127)</f>
        <v>50214.63922077918</v>
      </c>
      <c r="BI2127" s="318">
        <f>SUMIFS($AU$1388:AU2128,$Q$1388:Q2128,"F")</f>
        <v>32973.293506493508</v>
      </c>
      <c r="BJ2127" s="318">
        <f>SUMIFS($AU$1388:AU2128,$Q$1388:Q2128,"S")</f>
        <v>20002.285714285714</v>
      </c>
      <c r="BK2127" s="343">
        <f>SUMIFS($AU$1388:AU2128,$P$1388:P2128,"W")</f>
        <v>31576.759220779561</v>
      </c>
      <c r="BL2127" s="343">
        <f>SUMIFS($AU$1388:AU2128,$P$1388:P2128,"R")</f>
        <v>15726.00000000016</v>
      </c>
      <c r="BM2127" s="343">
        <f>SUMIFS($AU$1388:AU2128,$AQ$1388:AQ2128,"M")</f>
        <v>10931.179999998967</v>
      </c>
      <c r="BN2127" s="343">
        <f>SUMIFS($AU$1388:AU2128,$AQ$1388:AQ2128,"H")</f>
        <v>14523.200000000877</v>
      </c>
      <c r="BO2127" s="343">
        <f>SUMIFS($AU$1388:AU2128,$AQ$1388:AQ2128,"D")</f>
        <v>8014.9928571427408</v>
      </c>
      <c r="BP2127" s="343">
        <f>SUMIFS($AS$1388:AS2705,$AO$1388:AO2705,"W")</f>
        <v>0</v>
      </c>
      <c r="BQ2127" s="343">
        <f>SUMIFS($AU$1388:AU2128,$Q$1388:Q2128,"O")</f>
        <v>-5384.9400000000251</v>
      </c>
      <c r="BR2127" s="343">
        <f>SUMIFS($AU$1388:AU2128,$AA$1388:AA2128,"*")</f>
        <v>37075.122077921827</v>
      </c>
      <c r="BS2127" s="343">
        <f>SUMIFS($AU$1388:AU2128,$AB$1388:AB2128,"*")</f>
        <v>12971.859999999973</v>
      </c>
      <c r="BT2127" s="343">
        <f>SUMIFS($AU$1388:AU2128,$AC$1388:AC2128,"*")</f>
        <v>40173.293506493676</v>
      </c>
      <c r="BU2127" s="343">
        <f>SUMIFS($AU$1388:AU2128,$AA$1388:AA2128,"*",$AB$1388:AB2128,"*")</f>
        <v>8011.9999999997544</v>
      </c>
      <c r="BV2127" s="343">
        <f>SUMIFS($AU$1388:AU2128,$AA$1388:AA2128,"*",$AC$1388:AC2128,"*")</f>
        <v>28153.636363636531</v>
      </c>
      <c r="BW2127" s="343">
        <f>SUMIFS($AU$1388:AU2128,$AB$1388:AB2128,"*",$AC$1388:AC2128,"*")</f>
        <v>9360</v>
      </c>
      <c r="BX2127" s="343">
        <f>SUMIFS($AV$1388:AV2128,$Q$1388:Q2128,"F")</f>
        <v>462.72914667325267</v>
      </c>
      <c r="BY2127" s="343">
        <f>SUMIFS($AV$1388:AV2128,$Q$1388:Q2128,"S")</f>
        <v>738.32562762001328</v>
      </c>
      <c r="BZ2127" s="343">
        <f>SUMIFS($AV$1388:AV2128,$Q$1388:Q2128,"O")</f>
        <v>471.55929999966099</v>
      </c>
    </row>
    <row r="2128" spans="1:78" ht="15.75" customHeight="1">
      <c r="A2128" s="177" t="s">
        <v>6781</v>
      </c>
      <c r="B2128" s="200"/>
      <c r="C2128" s="178"/>
      <c r="D2128" s="178"/>
      <c r="E2128" s="227"/>
      <c r="F2128" s="180"/>
      <c r="G2128" s="181"/>
      <c r="H2128" s="182"/>
      <c r="I2128" s="182"/>
      <c r="J2128" s="182"/>
      <c r="K2128" s="183"/>
      <c r="L2128" s="182"/>
      <c r="M2128" s="182"/>
      <c r="N2128" s="182"/>
      <c r="O2128" s="183"/>
      <c r="P2128" s="183"/>
      <c r="Q2128" s="183"/>
      <c r="R2128" s="183"/>
      <c r="S2128" s="183"/>
      <c r="T2128" s="183"/>
      <c r="U2128" s="183"/>
      <c r="V2128" s="183"/>
      <c r="W2128" s="183"/>
      <c r="X2128" s="183"/>
      <c r="Y2128" s="183"/>
      <c r="Z2128" s="183"/>
      <c r="AA2128" s="185"/>
      <c r="AB2128" s="185"/>
      <c r="AC2128" s="185"/>
      <c r="AD2128" s="649"/>
      <c r="AE2128" s="182"/>
      <c r="AF2128" s="332"/>
      <c r="AG2128" s="182"/>
      <c r="AH2128" s="182"/>
      <c r="AI2128" s="182"/>
      <c r="AJ2128" s="640"/>
      <c r="AK2128" s="182"/>
      <c r="AL2128" s="496">
        <f t="shared" si="710"/>
        <v>0</v>
      </c>
      <c r="AM2128" s="496">
        <f t="shared" si="709"/>
        <v>0</v>
      </c>
      <c r="AN2128" s="626"/>
      <c r="AO2128" s="182"/>
      <c r="AP2128" s="182"/>
      <c r="AQ2128" s="332" t="str">
        <f>UPPER(RIGHT(Journal_Live[[#This Row],[DURATION ]]))</f>
        <v/>
      </c>
      <c r="AR2128" s="182"/>
      <c r="AS2128" s="189"/>
      <c r="AT2128" s="189"/>
      <c r="AU2128" s="187"/>
      <c r="AV2128" s="190"/>
      <c r="AW2128" s="191"/>
      <c r="AX2128" s="551" t="s">
        <v>6793</v>
      </c>
      <c r="AY2128" s="579" t="s">
        <v>6794</v>
      </c>
      <c r="AZ2128" s="551"/>
      <c r="BA2128" s="551"/>
      <c r="BB2128" s="580" t="s">
        <v>6790</v>
      </c>
      <c r="BC2128" s="551"/>
      <c r="BD2128" s="513" t="s">
        <v>6795</v>
      </c>
      <c r="BE2128" s="550"/>
      <c r="BF2128" s="549"/>
      <c r="BG2128" s="391">
        <f>SUM($AV$1389:AV2128)</f>
        <v>4820.6140742929338</v>
      </c>
      <c r="BH2128" s="392">
        <f>SUM($AU$1389:AU2128)</f>
        <v>50214.63922077918</v>
      </c>
      <c r="BI2128" s="318">
        <f>SUMIFS($AU$1388:AU2129,$Q$1388:Q2129,"F")</f>
        <v>32973.293506493508</v>
      </c>
      <c r="BJ2128" s="318">
        <f>SUMIFS($AU$1388:AU2129,$Q$1388:Q2129,"S")</f>
        <v>20002.285714285714</v>
      </c>
      <c r="BK2128" s="343">
        <f>SUMIFS($AU$1388:AU2129,$P$1388:P2129,"W")</f>
        <v>31576.759220779561</v>
      </c>
      <c r="BL2128" s="343">
        <f>SUMIFS($AU$1388:AU2129,$P$1388:P2129,"R")</f>
        <v>15726.00000000016</v>
      </c>
      <c r="BM2128" s="343">
        <f>SUMIFS($AU$1388:AU2129,$AQ$1388:AQ2129,"M")</f>
        <v>10931.179999998967</v>
      </c>
      <c r="BN2128" s="343">
        <f>SUMIFS($AU$1388:AU2129,$AQ$1388:AQ2129,"H")</f>
        <v>14523.200000000877</v>
      </c>
      <c r="BO2128" s="343">
        <f>SUMIFS($AU$1388:AU2129,$AQ$1388:AQ2129,"D")</f>
        <v>8014.9928571427408</v>
      </c>
      <c r="BP2128" s="343">
        <f>SUMIFS($AS$1388:AS2706,$AO$1388:AO2706,"W")</f>
        <v>0</v>
      </c>
      <c r="BQ2128" s="343">
        <f>SUMIFS($AU$1388:AU2129,$Q$1388:Q2129,"O")</f>
        <v>-5384.9400000000251</v>
      </c>
      <c r="BR2128" s="343">
        <f>SUMIFS($AU$1388:AU2129,$AA$1388:AA2129,"*")</f>
        <v>37075.122077921827</v>
      </c>
      <c r="BS2128" s="343">
        <f>SUMIFS($AU$1388:AU2129,$AB$1388:AB2129,"*")</f>
        <v>12971.859999999973</v>
      </c>
      <c r="BT2128" s="343">
        <f>SUMIFS($AU$1388:AU2129,$AC$1388:AC2129,"*")</f>
        <v>40173.293506493676</v>
      </c>
      <c r="BU2128" s="343">
        <f>SUMIFS($AU$1388:AU2129,$AA$1388:AA2129,"*",$AB$1388:AB2129,"*")</f>
        <v>8011.9999999997544</v>
      </c>
      <c r="BV2128" s="343">
        <f>SUMIFS($AU$1388:AU2129,$AA$1388:AA2129,"*",$AC$1388:AC2129,"*")</f>
        <v>28153.636363636531</v>
      </c>
      <c r="BW2128" s="343">
        <f>SUMIFS($AU$1388:AU2129,$AB$1388:AB2129,"*",$AC$1388:AC2129,"*")</f>
        <v>9360</v>
      </c>
      <c r="BX2128" s="343">
        <f>SUMIFS($AV$1388:AV2129,$Q$1388:Q2129,"F")</f>
        <v>462.72914667325267</v>
      </c>
      <c r="BY2128" s="343">
        <f>SUMIFS($AV$1388:AV2129,$Q$1388:Q2129,"S")</f>
        <v>738.32562762001328</v>
      </c>
      <c r="BZ2128" s="343">
        <f>SUMIFS($AV$1388:AV2129,$Q$1388:Q2129,"O")</f>
        <v>471.55929999966099</v>
      </c>
    </row>
    <row r="2129" spans="1:78" ht="15.75" customHeight="1">
      <c r="A2129" s="177" t="s">
        <v>6781</v>
      </c>
      <c r="B2129" s="200"/>
      <c r="C2129" s="178"/>
      <c r="D2129" s="178"/>
      <c r="E2129" s="227"/>
      <c r="F2129" s="180"/>
      <c r="G2129" s="181"/>
      <c r="H2129" s="182"/>
      <c r="I2129" s="182"/>
      <c r="J2129" s="182"/>
      <c r="K2129" s="183"/>
      <c r="L2129" s="182"/>
      <c r="M2129" s="182"/>
      <c r="N2129" s="182"/>
      <c r="O2129" s="183"/>
      <c r="P2129" s="183"/>
      <c r="Q2129" s="183"/>
      <c r="R2129" s="183"/>
      <c r="S2129" s="183"/>
      <c r="T2129" s="183"/>
      <c r="U2129" s="183"/>
      <c r="V2129" s="183"/>
      <c r="W2129" s="183"/>
      <c r="X2129" s="183"/>
      <c r="Y2129" s="183"/>
      <c r="Z2129" s="183"/>
      <c r="AA2129" s="185"/>
      <c r="AB2129" s="185"/>
      <c r="AC2129" s="185"/>
      <c r="AD2129" s="649"/>
      <c r="AE2129" s="182"/>
      <c r="AF2129" s="332"/>
      <c r="AG2129" s="182"/>
      <c r="AH2129" s="182"/>
      <c r="AI2129" s="182"/>
      <c r="AJ2129" s="640"/>
      <c r="AK2129" s="182"/>
      <c r="AL2129" s="496">
        <f t="shared" si="710"/>
        <v>0</v>
      </c>
      <c r="AM2129" s="496">
        <f t="shared" si="709"/>
        <v>0</v>
      </c>
      <c r="AN2129" s="626"/>
      <c r="AO2129" s="182"/>
      <c r="AP2129" s="182"/>
      <c r="AQ2129" s="332" t="str">
        <f>UPPER(RIGHT(Journal_Live[[#This Row],[DURATION ]]))</f>
        <v/>
      </c>
      <c r="AR2129" s="182"/>
      <c r="AS2129" s="189"/>
      <c r="AT2129" s="189"/>
      <c r="AU2129" s="187"/>
      <c r="AV2129" s="190"/>
      <c r="AW2129" s="191"/>
      <c r="AX2129" s="551" t="s">
        <v>6796</v>
      </c>
      <c r="AY2129" s="551" t="s">
        <v>6797</v>
      </c>
      <c r="AZ2129" s="551"/>
      <c r="BA2129" s="551"/>
      <c r="BB2129" s="580" t="s">
        <v>6790</v>
      </c>
      <c r="BC2129" s="551"/>
      <c r="BD2129" s="513" t="s">
        <v>6798</v>
      </c>
      <c r="BE2129" s="550"/>
      <c r="BF2129" s="549"/>
      <c r="BG2129" s="391">
        <f>SUM($AV$1389:AV2129)</f>
        <v>4820.6140742929338</v>
      </c>
      <c r="BH2129" s="392">
        <f>SUM($AU$1389:AU2129)</f>
        <v>50214.63922077918</v>
      </c>
      <c r="BI2129" s="318">
        <f>SUMIFS($AU$1388:AU2130,$Q$1388:Q2130,"F")</f>
        <v>32973.293506493508</v>
      </c>
      <c r="BJ2129" s="318">
        <f>SUMIFS($AU$1388:AU2130,$Q$1388:Q2130,"S")</f>
        <v>20002.285714285714</v>
      </c>
      <c r="BK2129" s="343">
        <f>SUMIFS($AU$1388:AU2130,$P$1388:P2130,"W")</f>
        <v>31576.759220779561</v>
      </c>
      <c r="BL2129" s="343">
        <f>SUMIFS($AU$1388:AU2130,$P$1388:P2130,"R")</f>
        <v>15726.00000000016</v>
      </c>
      <c r="BM2129" s="343">
        <f>SUMIFS($AU$1388:AU2130,$AQ$1388:AQ2130,"M")</f>
        <v>10931.179999998967</v>
      </c>
      <c r="BN2129" s="343">
        <f>SUMIFS($AU$1388:AU2130,$AQ$1388:AQ2130,"H")</f>
        <v>14523.200000000877</v>
      </c>
      <c r="BO2129" s="343">
        <f>SUMIFS($AU$1388:AU2130,$AQ$1388:AQ2130,"D")</f>
        <v>8014.9928571427408</v>
      </c>
      <c r="BP2129" s="343">
        <f>SUMIFS($AS$1388:AS2707,$AO$1388:AO2707,"W")</f>
        <v>0</v>
      </c>
      <c r="BQ2129" s="343">
        <f>SUMIFS($AU$1388:AU2130,$Q$1388:Q2130,"O")</f>
        <v>-5384.9400000000251</v>
      </c>
      <c r="BR2129" s="343">
        <f>SUMIFS($AU$1388:AU2130,$AA$1388:AA2130,"*")</f>
        <v>37075.122077921827</v>
      </c>
      <c r="BS2129" s="343">
        <f>SUMIFS($AU$1388:AU2130,$AB$1388:AB2130,"*")</f>
        <v>12971.859999999973</v>
      </c>
      <c r="BT2129" s="343">
        <f>SUMIFS($AU$1388:AU2130,$AC$1388:AC2130,"*")</f>
        <v>40173.293506493676</v>
      </c>
      <c r="BU2129" s="343">
        <f>SUMIFS($AU$1388:AU2130,$AA$1388:AA2130,"*",$AB$1388:AB2130,"*")</f>
        <v>8011.9999999997544</v>
      </c>
      <c r="BV2129" s="343">
        <f>SUMIFS($AU$1388:AU2130,$AA$1388:AA2130,"*",$AC$1388:AC2130,"*")</f>
        <v>28153.636363636531</v>
      </c>
      <c r="BW2129" s="343">
        <f>SUMIFS($AU$1388:AU2130,$AB$1388:AB2130,"*",$AC$1388:AC2130,"*")</f>
        <v>9360</v>
      </c>
      <c r="BX2129" s="343">
        <f>SUMIFS($AV$1388:AV2130,$Q$1388:Q2130,"F")</f>
        <v>462.72914667325267</v>
      </c>
      <c r="BY2129" s="343">
        <f>SUMIFS($AV$1388:AV2130,$Q$1388:Q2130,"S")</f>
        <v>738.32562762001328</v>
      </c>
      <c r="BZ2129" s="343">
        <f>SUMIFS($AV$1388:AV2130,$Q$1388:Q2130,"O")</f>
        <v>471.55929999966099</v>
      </c>
    </row>
    <row r="2130" spans="1:78" ht="15.75" customHeight="1">
      <c r="A2130" s="177" t="s">
        <v>6781</v>
      </c>
      <c r="B2130" s="200"/>
      <c r="C2130" s="178"/>
      <c r="D2130" s="178"/>
      <c r="E2130" s="227"/>
      <c r="F2130" s="180"/>
      <c r="G2130" s="181"/>
      <c r="H2130" s="182"/>
      <c r="I2130" s="182"/>
      <c r="J2130" s="182"/>
      <c r="K2130" s="183"/>
      <c r="L2130" s="182"/>
      <c r="M2130" s="182"/>
      <c r="N2130" s="182"/>
      <c r="O2130" s="183"/>
      <c r="P2130" s="183"/>
      <c r="Q2130" s="183"/>
      <c r="R2130" s="183"/>
      <c r="S2130" s="183"/>
      <c r="T2130" s="183"/>
      <c r="U2130" s="183"/>
      <c r="V2130" s="183"/>
      <c r="W2130" s="183"/>
      <c r="X2130" s="183"/>
      <c r="Y2130" s="183"/>
      <c r="Z2130" s="183"/>
      <c r="AA2130" s="185"/>
      <c r="AB2130" s="185"/>
      <c r="AC2130" s="185"/>
      <c r="AD2130" s="649"/>
      <c r="AE2130" s="182"/>
      <c r="AF2130" s="332"/>
      <c r="AG2130" s="182"/>
      <c r="AH2130" s="182"/>
      <c r="AI2130" s="182"/>
      <c r="AJ2130" s="640"/>
      <c r="AK2130" s="182"/>
      <c r="AL2130" s="496">
        <f t="shared" si="710"/>
        <v>0</v>
      </c>
      <c r="AM2130" s="496">
        <f t="shared" si="709"/>
        <v>0</v>
      </c>
      <c r="AN2130" s="626"/>
      <c r="AO2130" s="182"/>
      <c r="AP2130" s="182"/>
      <c r="AQ2130" s="332" t="str">
        <f>UPPER(RIGHT(Journal_Live[[#This Row],[DURATION ]]))</f>
        <v/>
      </c>
      <c r="AR2130" s="182"/>
      <c r="AS2130" s="189"/>
      <c r="AT2130" s="189"/>
      <c r="AU2130" s="187"/>
      <c r="AV2130" s="190"/>
      <c r="AW2130" s="191"/>
      <c r="AX2130" s="551" t="s">
        <v>6799</v>
      </c>
      <c r="AY2130" s="551" t="s">
        <v>6800</v>
      </c>
      <c r="AZ2130" s="551"/>
      <c r="BA2130" s="551"/>
      <c r="BB2130" s="580" t="s">
        <v>6790</v>
      </c>
      <c r="BC2130" s="551"/>
      <c r="BD2130" s="513" t="s">
        <v>6801</v>
      </c>
      <c r="BE2130" s="550"/>
      <c r="BF2130" s="549"/>
      <c r="BG2130" s="391">
        <f>SUM($AV$1389:AV2130)</f>
        <v>4820.6140742929338</v>
      </c>
      <c r="BH2130" s="392">
        <f>SUM($AU$1389:AU2130)</f>
        <v>50214.63922077918</v>
      </c>
      <c r="BI2130" s="318">
        <f>SUMIFS($AU$1388:AU2131,$Q$1388:Q2131,"F")</f>
        <v>32973.293506493508</v>
      </c>
      <c r="BJ2130" s="318">
        <f>SUMIFS($AU$1388:AU2131,$Q$1388:Q2131,"S")</f>
        <v>20002.285714285714</v>
      </c>
      <c r="BK2130" s="343">
        <f>SUMIFS($AU$1388:AU2131,$P$1388:P2131,"W")</f>
        <v>31576.759220779561</v>
      </c>
      <c r="BL2130" s="343">
        <f>SUMIFS($AU$1388:AU2131,$P$1388:P2131,"R")</f>
        <v>15726.00000000016</v>
      </c>
      <c r="BM2130" s="343">
        <f>SUMIFS($AU$1388:AU2131,$AQ$1388:AQ2131,"M")</f>
        <v>10931.179999998967</v>
      </c>
      <c r="BN2130" s="343">
        <f>SUMIFS($AU$1388:AU2131,$AQ$1388:AQ2131,"H")</f>
        <v>14523.200000000877</v>
      </c>
      <c r="BO2130" s="343">
        <f>SUMIFS($AU$1388:AU2131,$AQ$1388:AQ2131,"D")</f>
        <v>8014.9928571427408</v>
      </c>
      <c r="BP2130" s="343">
        <f>SUMIFS($AS$1388:AS2708,$AO$1388:AO2708,"W")</f>
        <v>0</v>
      </c>
      <c r="BQ2130" s="343">
        <f>SUMIFS($AU$1388:AU2131,$Q$1388:Q2131,"O")</f>
        <v>-5384.9400000000251</v>
      </c>
      <c r="BR2130" s="343">
        <f>SUMIFS($AU$1388:AU2131,$AA$1388:AA2131,"*")</f>
        <v>37075.122077921827</v>
      </c>
      <c r="BS2130" s="343">
        <f>SUMIFS($AU$1388:AU2131,$AB$1388:AB2131,"*")</f>
        <v>12971.859999999973</v>
      </c>
      <c r="BT2130" s="343">
        <f>SUMIFS($AU$1388:AU2131,$AC$1388:AC2131,"*")</f>
        <v>40173.293506493676</v>
      </c>
      <c r="BU2130" s="343">
        <f>SUMIFS($AU$1388:AU2131,$AA$1388:AA2131,"*",$AB$1388:AB2131,"*")</f>
        <v>8011.9999999997544</v>
      </c>
      <c r="BV2130" s="343">
        <f>SUMIFS($AU$1388:AU2131,$AA$1388:AA2131,"*",$AC$1388:AC2131,"*")</f>
        <v>28153.636363636531</v>
      </c>
      <c r="BW2130" s="343">
        <f>SUMIFS($AU$1388:AU2131,$AB$1388:AB2131,"*",$AC$1388:AC2131,"*")</f>
        <v>9360</v>
      </c>
      <c r="BX2130" s="343">
        <f>SUMIFS($AV$1388:AV2131,$Q$1388:Q2131,"F")</f>
        <v>462.72914667325267</v>
      </c>
      <c r="BY2130" s="343">
        <f>SUMIFS($AV$1388:AV2131,$Q$1388:Q2131,"S")</f>
        <v>738.32562762001328</v>
      </c>
      <c r="BZ2130" s="343">
        <f>SUMIFS($AV$1388:AV2131,$Q$1388:Q2131,"O")</f>
        <v>471.55929999966099</v>
      </c>
    </row>
    <row r="2131" spans="1:78" ht="15.75" customHeight="1">
      <c r="A2131" s="177" t="s">
        <v>6781</v>
      </c>
      <c r="B2131" s="200"/>
      <c r="C2131" s="178"/>
      <c r="D2131" s="178"/>
      <c r="E2131" s="227"/>
      <c r="F2131" s="180"/>
      <c r="G2131" s="181"/>
      <c r="H2131" s="182"/>
      <c r="I2131" s="182"/>
      <c r="J2131" s="182"/>
      <c r="K2131" s="183"/>
      <c r="L2131" s="182"/>
      <c r="M2131" s="182"/>
      <c r="N2131" s="182"/>
      <c r="O2131" s="183"/>
      <c r="P2131" s="183"/>
      <c r="Q2131" s="183"/>
      <c r="R2131" s="183"/>
      <c r="S2131" s="183"/>
      <c r="T2131" s="183"/>
      <c r="U2131" s="183"/>
      <c r="V2131" s="183"/>
      <c r="W2131" s="183"/>
      <c r="X2131" s="183"/>
      <c r="Y2131" s="183"/>
      <c r="Z2131" s="183"/>
      <c r="AA2131" s="185"/>
      <c r="AB2131" s="185"/>
      <c r="AC2131" s="185"/>
      <c r="AD2131" s="649"/>
      <c r="AE2131" s="182"/>
      <c r="AF2131" s="332"/>
      <c r="AG2131" s="182"/>
      <c r="AH2131" s="182"/>
      <c r="AI2131" s="182"/>
      <c r="AJ2131" s="640"/>
      <c r="AK2131" s="182"/>
      <c r="AL2131" s="496">
        <f t="shared" si="710"/>
        <v>0</v>
      </c>
      <c r="AM2131" s="496">
        <f t="shared" si="709"/>
        <v>0</v>
      </c>
      <c r="AN2131" s="626"/>
      <c r="AO2131" s="182"/>
      <c r="AP2131" s="182"/>
      <c r="AQ2131" s="332" t="str">
        <f>UPPER(RIGHT(Journal_Live[[#This Row],[DURATION ]]))</f>
        <v/>
      </c>
      <c r="AR2131" s="182"/>
      <c r="AS2131" s="189"/>
      <c r="AT2131" s="189"/>
      <c r="AU2131" s="187"/>
      <c r="AV2131" s="190"/>
      <c r="AW2131" s="191"/>
      <c r="AX2131" s="551" t="s">
        <v>6802</v>
      </c>
      <c r="AY2131" s="551" t="s">
        <v>6803</v>
      </c>
      <c r="AZ2131" s="551"/>
      <c r="BA2131" s="551"/>
      <c r="BB2131" s="580" t="s">
        <v>6790</v>
      </c>
      <c r="BC2131" s="551"/>
      <c r="BD2131" s="549"/>
      <c r="BE2131" s="550"/>
      <c r="BF2131" s="549"/>
      <c r="BG2131" s="391">
        <f>SUM($AV$1389:AV2131)</f>
        <v>4820.6140742929338</v>
      </c>
      <c r="BH2131" s="392">
        <f>SUM($AU$1389:AU2131)</f>
        <v>50214.63922077918</v>
      </c>
      <c r="BI2131" s="318">
        <f>SUMIFS($AU$1388:AU2278,$Q$1388:Q2278,"F")</f>
        <v>29235.078121878127</v>
      </c>
      <c r="BJ2131" s="318">
        <f>SUMIFS($AU$1388:AU2278,$Q$1388:Q2278,"S")</f>
        <v>17938.285714285706</v>
      </c>
      <c r="BK2131" s="343">
        <f>SUMIFS($AU$1388:AU2278,$P$1388:P2278,"W")</f>
        <v>17144.143836163403</v>
      </c>
      <c r="BL2131" s="343">
        <f>SUMIFS($AU$1388:AU2278,$P$1388:P2278,"R")</f>
        <v>22616.400000000325</v>
      </c>
      <c r="BM2131" s="343">
        <f>SUMIFS($AU$1388:AU2278,$AQ$1388:AQ2278,"M")</f>
        <v>8875.1799999983887</v>
      </c>
      <c r="BN2131" s="343">
        <f>SUMIFS($AU$1388:AU2278,$AQ$1388:AQ2278,"H")</f>
        <v>11643.200000000877</v>
      </c>
      <c r="BO2131" s="343">
        <f>SUMIFS($AU$1388:AU2278,$AQ$1388:AQ2278,"D")</f>
        <v>13122.377472527351</v>
      </c>
      <c r="BP2131" s="343">
        <f>SUMIFS($AS$1388:AS2709,$AO$1388:AO2709,"W")</f>
        <v>0</v>
      </c>
      <c r="BQ2131" s="343">
        <f>SUMIFS($AU$1388:AU2278,$Q$1388:Q2278,"O")</f>
        <v>-9340.9400000006026</v>
      </c>
      <c r="BR2131" s="343">
        <f>SUMIFS($AU$1388:AU2278,$AA$1388:AA2278,"*")</f>
        <v>37881.5220779214</v>
      </c>
      <c r="BS2131" s="343">
        <f>SUMIFS($AU$1388:AU2278,$AB$1388:AB2278,"*")</f>
        <v>7475.8599999999715</v>
      </c>
      <c r="BT2131" s="343">
        <f>SUMIFS($AU$1388:AU2278,$AC$1388:AC2278,"*")</f>
        <v>33251.078121878119</v>
      </c>
      <c r="BU2131" s="343">
        <f>SUMIFS($AU$1388:AU2278,$AA$1388:AA2278,"*",$AB$1388:AB2278,"*")</f>
        <v>7915.9999999997544</v>
      </c>
      <c r="BV2131" s="343">
        <f>SUMIFS($AU$1388:AU2278,$AA$1388:AA2278,"*",$AC$1388:AC2278,"*")</f>
        <v>29696.036363636529</v>
      </c>
      <c r="BW2131" s="343">
        <f>SUMIFS($AU$1388:AU2278,$AB$1388:AB2278,"*",$AC$1388:AC2278,"*")</f>
        <v>3863.9999999999991</v>
      </c>
      <c r="BX2131" s="343">
        <f>SUMIFS($AV$1388:AV2278,$Q$1388:Q2278,"F")</f>
        <v>383.04019562430165</v>
      </c>
      <c r="BY2131" s="343">
        <f>SUMIFS($AV$1388:AV2278,$Q$1388:Q2278,"S")</f>
        <v>676.61134190572739</v>
      </c>
      <c r="BZ2131" s="343">
        <f>SUMIFS($AV$1388:AV2278,$Q$1388:Q2278,"O")</f>
        <v>378.55929999967736</v>
      </c>
    </row>
    <row r="2132" spans="1:78" ht="15.75" customHeight="1">
      <c r="A2132" s="177" t="s">
        <v>6781</v>
      </c>
      <c r="B2132" s="200"/>
      <c r="C2132" s="178"/>
      <c r="D2132" s="178"/>
      <c r="E2132" s="227"/>
      <c r="F2132" s="180"/>
      <c r="G2132" s="181"/>
      <c r="H2132" s="182"/>
      <c r="I2132" s="182"/>
      <c r="J2132" s="182"/>
      <c r="K2132" s="183"/>
      <c r="L2132" s="182"/>
      <c r="M2132" s="182"/>
      <c r="N2132" s="182"/>
      <c r="O2132" s="183"/>
      <c r="P2132" s="183"/>
      <c r="Q2132" s="183"/>
      <c r="R2132" s="183"/>
      <c r="S2132" s="183"/>
      <c r="T2132" s="183"/>
      <c r="U2132" s="183"/>
      <c r="V2132" s="183"/>
      <c r="W2132" s="183"/>
      <c r="X2132" s="183"/>
      <c r="Y2132" s="183"/>
      <c r="Z2132" s="183"/>
      <c r="AA2132" s="185"/>
      <c r="AB2132" s="185"/>
      <c r="AC2132" s="185"/>
      <c r="AD2132" s="649"/>
      <c r="AE2132" s="182"/>
      <c r="AF2132" s="332"/>
      <c r="AG2132" s="182"/>
      <c r="AH2132" s="182"/>
      <c r="AI2132" s="182"/>
      <c r="AJ2132" s="640"/>
      <c r="AK2132" s="182"/>
      <c r="AL2132" s="496">
        <f t="shared" ref="AL2132:AL2221" si="711">-0.02*Z2132</f>
        <v>0</v>
      </c>
      <c r="AM2132" s="496">
        <f t="shared" si="709"/>
        <v>0</v>
      </c>
      <c r="AN2132" s="626"/>
      <c r="AO2132" s="182"/>
      <c r="AP2132" s="182"/>
      <c r="AQ2132" s="332" t="str">
        <f>UPPER(RIGHT(Journal_Live[[#This Row],[DURATION ]]))</f>
        <v/>
      </c>
      <c r="AR2132" s="182"/>
      <c r="AS2132" s="189"/>
      <c r="AT2132" s="189"/>
      <c r="AU2132" s="187"/>
      <c r="AV2132" s="190"/>
      <c r="AW2132" s="191"/>
      <c r="AX2132" s="551" t="s">
        <v>6804</v>
      </c>
      <c r="AY2132" s="551" t="s">
        <v>6805</v>
      </c>
      <c r="AZ2132" s="551"/>
      <c r="BA2132" s="551"/>
      <c r="BB2132" s="580" t="s">
        <v>6786</v>
      </c>
      <c r="BC2132" s="551" t="s">
        <v>6806</v>
      </c>
      <c r="BD2132" s="549"/>
      <c r="BE2132" s="550"/>
      <c r="BF2132" s="549"/>
      <c r="BG2132" s="391">
        <f>SUM($AV$1389:AV2132)</f>
        <v>4820.6140742929338</v>
      </c>
      <c r="BH2132" s="392">
        <f>SUM($AU$1389:AU2132)</f>
        <v>50214.63922077918</v>
      </c>
      <c r="BI2132" s="318">
        <f>SUMIFS($AU$1388:AU2133,$Q$1388:Q2133,"F")</f>
        <v>32973.293506493508</v>
      </c>
      <c r="BJ2132" s="318">
        <f>SUMIFS($AU$1388:AU2133,$Q$1388:Q2133,"S")</f>
        <v>20002.285714285714</v>
      </c>
      <c r="BK2132" s="343">
        <f>SUMIFS($AU$1388:AU2133,$P$1388:P2133,"W")</f>
        <v>31576.759220779561</v>
      </c>
      <c r="BL2132" s="343">
        <f>SUMIFS($AU$1388:AU2133,$P$1388:P2133,"R")</f>
        <v>15726.00000000016</v>
      </c>
      <c r="BM2132" s="343">
        <f>SUMIFS($AU$1388:AU2133,$AQ$1388:AQ2133,"M")</f>
        <v>10931.179999998967</v>
      </c>
      <c r="BN2132" s="343">
        <f>SUMIFS($AU$1388:AU2133,$AQ$1388:AQ2133,"H")</f>
        <v>14523.200000000877</v>
      </c>
      <c r="BO2132" s="343">
        <f>SUMIFS($AU$1388:AU2133,$AQ$1388:AQ2133,"D")</f>
        <v>8014.9928571427408</v>
      </c>
      <c r="BP2132" s="343">
        <f>SUMIFS($AS$1388:AS2703,$AO$1388:AO2703,"W")</f>
        <v>0</v>
      </c>
      <c r="BQ2132" s="343">
        <f>SUMIFS($AU$1388:AU2133,$Q$1388:Q2133,"O")</f>
        <v>-5384.9400000000251</v>
      </c>
      <c r="BR2132" s="343">
        <f>SUMIFS($AU$1388:AU2133,$AA$1388:AA2133,"*")</f>
        <v>37075.122077921827</v>
      </c>
      <c r="BS2132" s="343">
        <f>SUMIFS($AU$1388:AU2133,$AB$1388:AB2133,"*")</f>
        <v>12971.859999999973</v>
      </c>
      <c r="BT2132" s="343">
        <f>SUMIFS($AU$1388:AU2133,$AC$1388:AC2133,"*")</f>
        <v>40173.293506493676</v>
      </c>
      <c r="BU2132" s="343">
        <f>SUMIFS($AU$1388:AU2133,$AA$1388:AA2133,"*",$AB$1388:AB2133,"*")</f>
        <v>8011.9999999997544</v>
      </c>
      <c r="BV2132" s="343">
        <f>SUMIFS($AU$1388:AU2133,$AA$1388:AA2133,"*",$AC$1388:AC2133,"*")</f>
        <v>28153.636363636531</v>
      </c>
      <c r="BW2132" s="343">
        <f>SUMIFS($AU$1388:AU2133,$AB$1388:AB2133,"*",$AC$1388:AC2133,"*")</f>
        <v>9360</v>
      </c>
      <c r="BX2132" s="343">
        <f>SUMIFS($AV$1388:AV2133,$Q$1388:Q2133,"F")</f>
        <v>462.72914667325267</v>
      </c>
      <c r="BY2132" s="343">
        <f>SUMIFS($AV$1388:AV2133,$Q$1388:Q2133,"S")</f>
        <v>738.32562762001328</v>
      </c>
      <c r="BZ2132" s="343">
        <f>SUMIFS($AV$1388:AV2133,$Q$1388:Q2133,"O")</f>
        <v>471.55929999966099</v>
      </c>
    </row>
    <row r="2133" spans="1:78" ht="15.75" customHeight="1">
      <c r="A2133" s="177" t="s">
        <v>6781</v>
      </c>
      <c r="B2133" s="200"/>
      <c r="C2133" s="178"/>
      <c r="D2133" s="178"/>
      <c r="E2133" s="227"/>
      <c r="F2133" s="180"/>
      <c r="G2133" s="181"/>
      <c r="H2133" s="182"/>
      <c r="I2133" s="182"/>
      <c r="J2133" s="182"/>
      <c r="K2133" s="183"/>
      <c r="L2133" s="182"/>
      <c r="M2133" s="182"/>
      <c r="N2133" s="182"/>
      <c r="O2133" s="183"/>
      <c r="P2133" s="183"/>
      <c r="Q2133" s="183"/>
      <c r="R2133" s="183"/>
      <c r="S2133" s="183"/>
      <c r="T2133" s="183"/>
      <c r="U2133" s="183"/>
      <c r="V2133" s="183"/>
      <c r="W2133" s="183"/>
      <c r="X2133" s="183"/>
      <c r="Y2133" s="183"/>
      <c r="Z2133" s="183"/>
      <c r="AA2133" s="185"/>
      <c r="AB2133" s="185"/>
      <c r="AC2133" s="185"/>
      <c r="AD2133" s="649"/>
      <c r="AE2133" s="182"/>
      <c r="AF2133" s="332"/>
      <c r="AG2133" s="182"/>
      <c r="AH2133" s="182"/>
      <c r="AI2133" s="182"/>
      <c r="AJ2133" s="640"/>
      <c r="AK2133" s="182"/>
      <c r="AL2133" s="496">
        <f t="shared" si="711"/>
        <v>0</v>
      </c>
      <c r="AM2133" s="496">
        <f t="shared" si="709"/>
        <v>0</v>
      </c>
      <c r="AN2133" s="626"/>
      <c r="AO2133" s="182"/>
      <c r="AP2133" s="182"/>
      <c r="AQ2133" s="332" t="str">
        <f>UPPER(RIGHT(Journal_Live[[#This Row],[DURATION ]]))</f>
        <v/>
      </c>
      <c r="AR2133" s="182"/>
      <c r="AS2133" s="189"/>
      <c r="AT2133" s="189"/>
      <c r="AU2133" s="187"/>
      <c r="AV2133" s="190"/>
      <c r="AW2133" s="191"/>
      <c r="AX2133" s="551" t="s">
        <v>6807</v>
      </c>
      <c r="AY2133" s="549" t="s">
        <v>6808</v>
      </c>
      <c r="AZ2133" s="551"/>
      <c r="BA2133" s="551"/>
      <c r="BB2133" s="580" t="s">
        <v>6786</v>
      </c>
      <c r="BC2133" s="551"/>
      <c r="BD2133" s="549"/>
      <c r="BE2133" s="550"/>
      <c r="BF2133" s="549"/>
      <c r="BG2133" s="391">
        <f>SUM($AV$1389:AV2133)</f>
        <v>4820.6140742929338</v>
      </c>
      <c r="BH2133" s="392">
        <f>SUM($AU$1389:AU2133)</f>
        <v>50214.63922077918</v>
      </c>
      <c r="BI2133" s="318">
        <f>SUMIFS($AU$1388:AU2134,$Q$1388:Q2134,"F")</f>
        <v>32973.293506493508</v>
      </c>
      <c r="BJ2133" s="318">
        <f>SUMIFS($AU$1388:AU2134,$Q$1388:Q2134,"S")</f>
        <v>20002.285714285714</v>
      </c>
      <c r="BK2133" s="343">
        <f>SUMIFS($AU$1388:AU2134,$P$1388:P2134,"W")</f>
        <v>31576.759220779561</v>
      </c>
      <c r="BL2133" s="343">
        <f>SUMIFS($AU$1388:AU2134,$P$1388:P2134,"R")</f>
        <v>15726.00000000016</v>
      </c>
      <c r="BM2133" s="343">
        <f>SUMIFS($AU$1388:AU2134,$AQ$1388:AQ2134,"M")</f>
        <v>10931.179999998967</v>
      </c>
      <c r="BN2133" s="343">
        <f>SUMIFS($AU$1388:AU2134,$AQ$1388:AQ2134,"H")</f>
        <v>14523.200000000877</v>
      </c>
      <c r="BO2133" s="343">
        <f>SUMIFS($AU$1388:AU2134,$AQ$1388:AQ2134,"D")</f>
        <v>8014.9928571427408</v>
      </c>
      <c r="BP2133" s="343">
        <f>SUMIFS($AS$1388:AS2704,$AO$1388:AO2704,"W")</f>
        <v>0</v>
      </c>
      <c r="BQ2133" s="343">
        <f>SUMIFS($AU$1388:AU2134,$Q$1388:Q2134,"O")</f>
        <v>-5384.9400000000251</v>
      </c>
      <c r="BR2133" s="343">
        <f>SUMIFS($AU$1388:AU2134,$AA$1388:AA2134,"*")</f>
        <v>37075.122077921827</v>
      </c>
      <c r="BS2133" s="343">
        <f>SUMIFS($AU$1388:AU2134,$AB$1388:AB2134,"*")</f>
        <v>12971.859999999973</v>
      </c>
      <c r="BT2133" s="343">
        <f>SUMIFS($AU$1388:AU2134,$AC$1388:AC2134,"*")</f>
        <v>40173.293506493676</v>
      </c>
      <c r="BU2133" s="343">
        <f>SUMIFS($AU$1388:AU2134,$AA$1388:AA2134,"*",$AB$1388:AB2134,"*")</f>
        <v>8011.9999999997544</v>
      </c>
      <c r="BV2133" s="343">
        <f>SUMIFS($AU$1388:AU2134,$AA$1388:AA2134,"*",$AC$1388:AC2134,"*")</f>
        <v>28153.636363636531</v>
      </c>
      <c r="BW2133" s="343">
        <f>SUMIFS($AU$1388:AU2134,$AB$1388:AB2134,"*",$AC$1388:AC2134,"*")</f>
        <v>9360</v>
      </c>
      <c r="BX2133" s="343">
        <f>SUMIFS($AV$1388:AV2134,$Q$1388:Q2134,"F")</f>
        <v>462.72914667325267</v>
      </c>
      <c r="BY2133" s="343">
        <f>SUMIFS($AV$1388:AV2134,$Q$1388:Q2134,"S")</f>
        <v>738.32562762001328</v>
      </c>
      <c r="BZ2133" s="343">
        <f>SUMIFS($AV$1388:AV2134,$Q$1388:Q2134,"O")</f>
        <v>471.55929999966099</v>
      </c>
    </row>
    <row r="2134" spans="1:78" ht="15.75" customHeight="1">
      <c r="A2134" s="177" t="s">
        <v>6781</v>
      </c>
      <c r="B2134" s="200"/>
      <c r="C2134" s="178"/>
      <c r="D2134" s="178"/>
      <c r="E2134" s="227"/>
      <c r="F2134" s="180"/>
      <c r="G2134" s="181"/>
      <c r="H2134" s="182"/>
      <c r="I2134" s="182"/>
      <c r="J2134" s="182"/>
      <c r="K2134" s="183"/>
      <c r="L2134" s="182"/>
      <c r="M2134" s="182"/>
      <c r="N2134" s="182"/>
      <c r="O2134" s="183"/>
      <c r="P2134" s="183"/>
      <c r="Q2134" s="183"/>
      <c r="R2134" s="183"/>
      <c r="S2134" s="183"/>
      <c r="T2134" s="183"/>
      <c r="U2134" s="183"/>
      <c r="V2134" s="183"/>
      <c r="W2134" s="183"/>
      <c r="X2134" s="183"/>
      <c r="Y2134" s="183"/>
      <c r="Z2134" s="183"/>
      <c r="AA2134" s="185"/>
      <c r="AB2134" s="185"/>
      <c r="AC2134" s="185"/>
      <c r="AD2134" s="649"/>
      <c r="AE2134" s="182"/>
      <c r="AF2134" s="332"/>
      <c r="AG2134" s="182"/>
      <c r="AH2134" s="182"/>
      <c r="AI2134" s="182"/>
      <c r="AJ2134" s="640"/>
      <c r="AK2134" s="182"/>
      <c r="AL2134" s="496">
        <f t="shared" si="711"/>
        <v>0</v>
      </c>
      <c r="AM2134" s="496">
        <f t="shared" si="709"/>
        <v>0</v>
      </c>
      <c r="AN2134" s="626"/>
      <c r="AO2134" s="182"/>
      <c r="AP2134" s="182"/>
      <c r="AQ2134" s="332" t="str">
        <f>UPPER(RIGHT(Journal_Live[[#This Row],[DURATION ]]))</f>
        <v/>
      </c>
      <c r="AR2134" s="182"/>
      <c r="AS2134" s="189"/>
      <c r="AT2134" s="189"/>
      <c r="AU2134" s="187"/>
      <c r="AV2134" s="190"/>
      <c r="AW2134" s="191"/>
      <c r="AX2134" s="551" t="s">
        <v>6809</v>
      </c>
      <c r="AY2134" s="551" t="s">
        <v>6810</v>
      </c>
      <c r="AZ2134" s="549"/>
      <c r="BA2134" s="551"/>
      <c r="BB2134" s="580" t="s">
        <v>6786</v>
      </c>
      <c r="BC2134" s="551"/>
      <c r="BD2134" s="549"/>
      <c r="BE2134" s="550"/>
      <c r="BF2134" s="549"/>
      <c r="BG2134" s="391">
        <f>SUM($AV$1389:AV2134)</f>
        <v>4820.6140742929338</v>
      </c>
      <c r="BH2134" s="392">
        <f>SUM($AU$1389:AU2134)</f>
        <v>50214.63922077918</v>
      </c>
      <c r="BI2134" s="318">
        <f>SUMIFS($AU$1388:AU2155,$Q$1388:Q2155,"F")</f>
        <v>32973.293506493508</v>
      </c>
      <c r="BJ2134" s="318">
        <f>SUMIFS($AU$1388:AU2155,$Q$1388:Q2155,"S")</f>
        <v>21202.285714285714</v>
      </c>
      <c r="BK2134" s="343">
        <f>SUMIFS($AU$1388:AU2155,$P$1388:P2155,"W")</f>
        <v>32776.759220779561</v>
      </c>
      <c r="BL2134" s="343">
        <f>SUMIFS($AU$1388:AU2155,$P$1388:P2155,"R")</f>
        <v>15726.00000000016</v>
      </c>
      <c r="BM2134" s="343">
        <f>SUMIFS($AU$1388:AU2155,$AQ$1388:AQ2155,"M")</f>
        <v>12131.179999998967</v>
      </c>
      <c r="BN2134" s="343">
        <f>SUMIFS($AU$1388:AU2155,$AQ$1388:AQ2155,"H")</f>
        <v>14523.200000000877</v>
      </c>
      <c r="BO2134" s="343">
        <f>SUMIFS($AU$1388:AU2155,$AQ$1388:AQ2155,"D")</f>
        <v>8014.9928571427408</v>
      </c>
      <c r="BP2134" s="343">
        <f>SUMIFS($AS$1388:AS2705,$AO$1388:AO2705,"W")</f>
        <v>0</v>
      </c>
      <c r="BQ2134" s="343">
        <f>SUMIFS($AU$1388:AU2155,$Q$1388:Q2155,"O")</f>
        <v>-5384.9400000000251</v>
      </c>
      <c r="BR2134" s="343">
        <f>SUMIFS($AU$1388:AU2155,$AA$1388:AA2155,"*")</f>
        <v>38275.122077921827</v>
      </c>
      <c r="BS2134" s="343">
        <f>SUMIFS($AU$1388:AU2155,$AB$1388:AB2155,"*")</f>
        <v>12971.859999999973</v>
      </c>
      <c r="BT2134" s="343">
        <f>SUMIFS($AU$1388:AU2155,$AC$1388:AC2155,"*")</f>
        <v>41373.293506493676</v>
      </c>
      <c r="BU2134" s="343">
        <f>SUMIFS($AU$1388:AU2155,$AA$1388:AA2155,"*",$AB$1388:AB2155,"*")</f>
        <v>8011.9999999997544</v>
      </c>
      <c r="BV2134" s="343">
        <f>SUMIFS($AU$1388:AU2155,$AA$1388:AA2155,"*",$AC$1388:AC2155,"*")</f>
        <v>29353.636363636531</v>
      </c>
      <c r="BW2134" s="343">
        <f>SUMIFS($AU$1388:AU2155,$AB$1388:AB2155,"*",$AC$1388:AC2155,"*")</f>
        <v>9360</v>
      </c>
      <c r="BX2134" s="343">
        <f>SUMIFS($AV$1388:AV2155,$Q$1388:Q2155,"F")</f>
        <v>462.72914667325267</v>
      </c>
      <c r="BY2134" s="343">
        <f>SUMIFS($AV$1388:AV2155,$Q$1388:Q2155,"S")</f>
        <v>754.32562762001328</v>
      </c>
      <c r="BZ2134" s="343">
        <f>SUMIFS($AV$1388:AV2155,$Q$1388:Q2155,"O")</f>
        <v>471.55929999966099</v>
      </c>
    </row>
    <row r="2135" spans="1:78" ht="15.75" customHeight="1">
      <c r="A2135" s="177" t="s">
        <v>6781</v>
      </c>
      <c r="B2135" s="200"/>
      <c r="C2135" s="178"/>
      <c r="D2135" s="178"/>
      <c r="E2135" s="227"/>
      <c r="F2135" s="180"/>
      <c r="G2135" s="181"/>
      <c r="H2135" s="182"/>
      <c r="I2135" s="182"/>
      <c r="J2135" s="182"/>
      <c r="K2135" s="183"/>
      <c r="L2135" s="182"/>
      <c r="M2135" s="182"/>
      <c r="N2135" s="182"/>
      <c r="O2135" s="183"/>
      <c r="P2135" s="183"/>
      <c r="Q2135" s="183"/>
      <c r="R2135" s="183"/>
      <c r="S2135" s="183"/>
      <c r="T2135" s="183"/>
      <c r="U2135" s="183"/>
      <c r="V2135" s="183"/>
      <c r="W2135" s="183"/>
      <c r="X2135" s="183"/>
      <c r="Y2135" s="183"/>
      <c r="Z2135" s="183"/>
      <c r="AA2135" s="185"/>
      <c r="AB2135" s="185"/>
      <c r="AC2135" s="185"/>
      <c r="AD2135" s="649"/>
      <c r="AE2135" s="182"/>
      <c r="AF2135" s="332"/>
      <c r="AG2135" s="182"/>
      <c r="AH2135" s="182"/>
      <c r="AI2135" s="182"/>
      <c r="AJ2135" s="640"/>
      <c r="AK2135" s="182"/>
      <c r="AL2135" s="496">
        <f t="shared" ref="AL2135:AL2154" si="712">-0.02*Z2135</f>
        <v>0</v>
      </c>
      <c r="AM2135" s="496">
        <f t="shared" si="709"/>
        <v>0</v>
      </c>
      <c r="AN2135" s="626"/>
      <c r="AO2135" s="182"/>
      <c r="AP2135" s="182"/>
      <c r="AQ2135" s="332" t="str">
        <f>UPPER(RIGHT(Journal_Live[[#This Row],[DURATION ]]))</f>
        <v/>
      </c>
      <c r="AR2135" s="182"/>
      <c r="AS2135" s="189"/>
      <c r="AT2135" s="189"/>
      <c r="AU2135" s="187"/>
      <c r="AV2135" s="190"/>
      <c r="AW2135" s="191"/>
      <c r="AX2135" s="551" t="s">
        <v>6811</v>
      </c>
      <c r="AY2135" s="551" t="s">
        <v>6812</v>
      </c>
      <c r="AZ2135" s="549"/>
      <c r="BA2135" s="551"/>
      <c r="BB2135" s="551"/>
      <c r="BC2135" s="551"/>
      <c r="BD2135" s="549"/>
      <c r="BE2135" s="550"/>
      <c r="BF2135" s="549"/>
      <c r="BG2135" s="391">
        <f>SUM($AV$1389:AV2135)</f>
        <v>4820.6140742929338</v>
      </c>
      <c r="BH2135" s="392">
        <f>SUM($AU$1389:AU2135)</f>
        <v>50214.63922077918</v>
      </c>
      <c r="BI2135" s="318">
        <f>SUMIFS($AU$1388:AU2136,$Q$1388:Q2136,"F")</f>
        <v>32973.293506493508</v>
      </c>
      <c r="BJ2135" s="318">
        <f>SUMIFS($AU$1388:AU2136,$Q$1388:Q2136,"S")</f>
        <v>20002.285714285714</v>
      </c>
      <c r="BK2135" s="343">
        <f>SUMIFS($AU$1388:AU2136,$P$1388:P2136,"W")</f>
        <v>31576.759220779561</v>
      </c>
      <c r="BL2135" s="343">
        <f>SUMIFS($AU$1388:AU2136,$P$1388:P2136,"R")</f>
        <v>15726.00000000016</v>
      </c>
      <c r="BM2135" s="343">
        <f>SUMIFS($AU$1388:AU2136,$AQ$1388:AQ2136,"M")</f>
        <v>10931.179999998967</v>
      </c>
      <c r="BN2135" s="343">
        <f>SUMIFS($AU$1388:AU2136,$AQ$1388:AQ2136,"H")</f>
        <v>14523.200000000877</v>
      </c>
      <c r="BO2135" s="343">
        <f>SUMIFS($AU$1388:AU2136,$AQ$1388:AQ2136,"D")</f>
        <v>8014.9928571427408</v>
      </c>
      <c r="BP2135" s="343">
        <f>SUMIFS($AS$1388:AS2701,$AO$1388:AO2701,"W")</f>
        <v>0</v>
      </c>
      <c r="BQ2135" s="343">
        <f>SUMIFS($AU$1388:AU2136,$Q$1388:Q2136,"O")</f>
        <v>-5384.9400000000251</v>
      </c>
      <c r="BR2135" s="343">
        <f>SUMIFS($AU$1388:AU2136,$AA$1388:AA2136,"*")</f>
        <v>37075.122077921827</v>
      </c>
      <c r="BS2135" s="343">
        <f>SUMIFS($AU$1388:AU2136,$AB$1388:AB2136,"*")</f>
        <v>12971.859999999973</v>
      </c>
      <c r="BT2135" s="343">
        <f>SUMIFS($AU$1388:AU2136,$AC$1388:AC2136,"*")</f>
        <v>40173.293506493676</v>
      </c>
      <c r="BU2135" s="343">
        <f>SUMIFS($AU$1388:AU2136,$AA$1388:AA2136,"*",$AB$1388:AB2136,"*")</f>
        <v>8011.9999999997544</v>
      </c>
      <c r="BV2135" s="343">
        <f>SUMIFS($AU$1388:AU2136,$AA$1388:AA2136,"*",$AC$1388:AC2136,"*")</f>
        <v>28153.636363636531</v>
      </c>
      <c r="BW2135" s="343">
        <f>SUMIFS($AU$1388:AU2136,$AB$1388:AB2136,"*",$AC$1388:AC2136,"*")</f>
        <v>9360</v>
      </c>
      <c r="BX2135" s="343">
        <f>SUMIFS($AV$1388:AV2136,$Q$1388:Q2136,"F")</f>
        <v>462.72914667325267</v>
      </c>
      <c r="BY2135" s="343">
        <f>SUMIFS($AV$1388:AV2136,$Q$1388:Q2136,"S")</f>
        <v>738.32562762001328</v>
      </c>
      <c r="BZ2135" s="343">
        <f>SUMIFS($AV$1388:AV2136,$Q$1388:Q2136,"O")</f>
        <v>471.55929999966099</v>
      </c>
    </row>
    <row r="2136" spans="1:78" ht="15.75" customHeight="1">
      <c r="A2136" s="177" t="s">
        <v>6781</v>
      </c>
      <c r="B2136" s="200"/>
      <c r="C2136" s="178"/>
      <c r="D2136" s="178"/>
      <c r="E2136" s="227"/>
      <c r="F2136" s="180"/>
      <c r="G2136" s="181"/>
      <c r="H2136" s="182"/>
      <c r="I2136" s="182"/>
      <c r="J2136" s="182"/>
      <c r="K2136" s="183"/>
      <c r="L2136" s="182"/>
      <c r="M2136" s="182"/>
      <c r="N2136" s="182"/>
      <c r="O2136" s="183"/>
      <c r="P2136" s="183"/>
      <c r="Q2136" s="183"/>
      <c r="R2136" s="183"/>
      <c r="S2136" s="183"/>
      <c r="T2136" s="183"/>
      <c r="U2136" s="183"/>
      <c r="V2136" s="183"/>
      <c r="W2136" s="183"/>
      <c r="X2136" s="183"/>
      <c r="Y2136" s="183"/>
      <c r="Z2136" s="183"/>
      <c r="AA2136" s="185"/>
      <c r="AB2136" s="185"/>
      <c r="AC2136" s="185"/>
      <c r="AD2136" s="649"/>
      <c r="AE2136" s="182"/>
      <c r="AF2136" s="332"/>
      <c r="AG2136" s="182"/>
      <c r="AH2136" s="182"/>
      <c r="AI2136" s="182"/>
      <c r="AJ2136" s="640"/>
      <c r="AK2136" s="182"/>
      <c r="AL2136" s="496">
        <f t="shared" si="712"/>
        <v>0</v>
      </c>
      <c r="AM2136" s="496">
        <f t="shared" si="709"/>
        <v>0</v>
      </c>
      <c r="AN2136" s="626"/>
      <c r="AO2136" s="182"/>
      <c r="AP2136" s="182"/>
      <c r="AQ2136" s="332" t="str">
        <f>UPPER(RIGHT(Journal_Live[[#This Row],[DURATION ]]))</f>
        <v/>
      </c>
      <c r="AR2136" s="182"/>
      <c r="AS2136" s="189"/>
      <c r="AT2136" s="189"/>
      <c r="AU2136" s="187"/>
      <c r="AV2136" s="190"/>
      <c r="AW2136" s="191"/>
      <c r="AX2136" s="549" t="s">
        <v>6813</v>
      </c>
      <c r="AY2136" s="581" t="s">
        <v>6814</v>
      </c>
      <c r="AZ2136" s="549"/>
      <c r="BA2136" s="551"/>
      <c r="BB2136" s="551" t="s">
        <v>6815</v>
      </c>
      <c r="BC2136" s="551"/>
      <c r="BD2136" s="549"/>
      <c r="BE2136" s="550"/>
      <c r="BF2136" s="549"/>
      <c r="BG2136" s="391">
        <f>SUM($AV$1389:AV2136)</f>
        <v>4820.6140742929338</v>
      </c>
      <c r="BH2136" s="392">
        <f>SUM($AU$1389:AU2136)</f>
        <v>50214.63922077918</v>
      </c>
      <c r="BI2136" s="318">
        <f>SUMIFS($AU$1388:AU2137,$Q$1388:Q2137,"F")</f>
        <v>32973.293506493508</v>
      </c>
      <c r="BJ2136" s="318">
        <f>SUMIFS($AU$1388:AU2137,$Q$1388:Q2137,"S")</f>
        <v>20002.285714285714</v>
      </c>
      <c r="BK2136" s="343">
        <f>SUMIFS($AU$1388:AU2137,$P$1388:P2137,"W")</f>
        <v>31576.759220779561</v>
      </c>
      <c r="BL2136" s="343">
        <f>SUMIFS($AU$1388:AU2137,$P$1388:P2137,"R")</f>
        <v>15726.00000000016</v>
      </c>
      <c r="BM2136" s="343">
        <f>SUMIFS($AU$1388:AU2137,$AQ$1388:AQ2137,"M")</f>
        <v>10931.179999998967</v>
      </c>
      <c r="BN2136" s="343">
        <f>SUMIFS($AU$1388:AU2137,$AQ$1388:AQ2137,"H")</f>
        <v>14523.200000000877</v>
      </c>
      <c r="BO2136" s="343">
        <f>SUMIFS($AU$1388:AU2137,$AQ$1388:AQ2137,"D")</f>
        <v>8014.9928571427408</v>
      </c>
      <c r="BP2136" s="343">
        <f>SUMIFS($AS$1388:AS2702,$AO$1388:AO2702,"W")</f>
        <v>0</v>
      </c>
      <c r="BQ2136" s="343">
        <f>SUMIFS($AU$1388:AU2137,$Q$1388:Q2137,"O")</f>
        <v>-5384.9400000000251</v>
      </c>
      <c r="BR2136" s="343">
        <f>SUMIFS($AU$1388:AU2137,$AA$1388:AA2137,"*")</f>
        <v>37075.122077921827</v>
      </c>
      <c r="BS2136" s="343">
        <f>SUMIFS($AU$1388:AU2137,$AB$1388:AB2137,"*")</f>
        <v>12971.859999999973</v>
      </c>
      <c r="BT2136" s="343">
        <f>SUMIFS($AU$1388:AU2137,$AC$1388:AC2137,"*")</f>
        <v>40173.293506493676</v>
      </c>
      <c r="BU2136" s="343">
        <f>SUMIFS($AU$1388:AU2137,$AA$1388:AA2137,"*",$AB$1388:AB2137,"*")</f>
        <v>8011.9999999997544</v>
      </c>
      <c r="BV2136" s="343">
        <f>SUMIFS($AU$1388:AU2137,$AA$1388:AA2137,"*",$AC$1388:AC2137,"*")</f>
        <v>28153.636363636531</v>
      </c>
      <c r="BW2136" s="343">
        <f>SUMIFS($AU$1388:AU2137,$AB$1388:AB2137,"*",$AC$1388:AC2137,"*")</f>
        <v>9360</v>
      </c>
      <c r="BX2136" s="343">
        <f>SUMIFS($AV$1388:AV2137,$Q$1388:Q2137,"F")</f>
        <v>462.72914667325267</v>
      </c>
      <c r="BY2136" s="343">
        <f>SUMIFS($AV$1388:AV2137,$Q$1388:Q2137,"S")</f>
        <v>738.32562762001328</v>
      </c>
      <c r="BZ2136" s="343">
        <f>SUMIFS($AV$1388:AV2137,$Q$1388:Q2137,"O")</f>
        <v>471.55929999966099</v>
      </c>
    </row>
    <row r="2137" spans="1:78" ht="15.75" customHeight="1">
      <c r="A2137" s="177" t="s">
        <v>6781</v>
      </c>
      <c r="B2137" s="200"/>
      <c r="C2137" s="178"/>
      <c r="D2137" s="178"/>
      <c r="E2137" s="227"/>
      <c r="F2137" s="180"/>
      <c r="G2137" s="181"/>
      <c r="H2137" s="182"/>
      <c r="I2137" s="182"/>
      <c r="J2137" s="182"/>
      <c r="K2137" s="183"/>
      <c r="L2137" s="182"/>
      <c r="M2137" s="182"/>
      <c r="N2137" s="182"/>
      <c r="O2137" s="183"/>
      <c r="P2137" s="183"/>
      <c r="Q2137" s="183"/>
      <c r="R2137" s="183"/>
      <c r="S2137" s="183"/>
      <c r="T2137" s="183"/>
      <c r="U2137" s="183"/>
      <c r="V2137" s="183"/>
      <c r="W2137" s="183"/>
      <c r="X2137" s="183"/>
      <c r="Y2137" s="183"/>
      <c r="Z2137" s="183"/>
      <c r="AA2137" s="185"/>
      <c r="AB2137" s="185"/>
      <c r="AC2137" s="185"/>
      <c r="AD2137" s="649"/>
      <c r="AE2137" s="182"/>
      <c r="AF2137" s="332"/>
      <c r="AG2137" s="182"/>
      <c r="AH2137" s="182"/>
      <c r="AI2137" s="182"/>
      <c r="AJ2137" s="640"/>
      <c r="AK2137" s="182"/>
      <c r="AL2137" s="496">
        <f t="shared" si="712"/>
        <v>0</v>
      </c>
      <c r="AM2137" s="496">
        <f t="shared" si="709"/>
        <v>0</v>
      </c>
      <c r="AN2137" s="626"/>
      <c r="AO2137" s="182"/>
      <c r="AP2137" s="182"/>
      <c r="AQ2137" s="332" t="str">
        <f>UPPER(RIGHT(Journal_Live[[#This Row],[DURATION ]]))</f>
        <v/>
      </c>
      <c r="AR2137" s="182"/>
      <c r="AS2137" s="189"/>
      <c r="AT2137" s="189"/>
      <c r="AU2137" s="187"/>
      <c r="AV2137" s="190"/>
      <c r="AW2137" s="191"/>
      <c r="AX2137" s="549" t="s">
        <v>6816</v>
      </c>
      <c r="AY2137" s="549"/>
      <c r="AZ2137" s="551"/>
      <c r="BA2137" s="551"/>
      <c r="BB2137" s="551"/>
      <c r="BC2137" s="551"/>
      <c r="BD2137" s="549"/>
      <c r="BE2137" s="550"/>
      <c r="BF2137" s="549"/>
      <c r="BG2137" s="391">
        <f>SUM($AV$1389:AV2137)</f>
        <v>4820.6140742929338</v>
      </c>
      <c r="BH2137" s="392">
        <f>SUM($AU$1389:AU2137)</f>
        <v>50214.63922077918</v>
      </c>
      <c r="BI2137" s="318">
        <f>SUMIFS($AU$1388:AU2138,$Q$1388:Q2138,"F")</f>
        <v>32973.293506493508</v>
      </c>
      <c r="BJ2137" s="318">
        <f>SUMIFS($AU$1388:AU2138,$Q$1388:Q2138,"S")</f>
        <v>20002.285714285714</v>
      </c>
      <c r="BK2137" s="343">
        <f>SUMIFS($AU$1388:AU2138,$P$1388:P2138,"W")</f>
        <v>31576.759220779561</v>
      </c>
      <c r="BL2137" s="343">
        <f>SUMIFS($AU$1388:AU2138,$P$1388:P2138,"R")</f>
        <v>15726.00000000016</v>
      </c>
      <c r="BM2137" s="343">
        <f>SUMIFS($AU$1388:AU2138,$AQ$1388:AQ2138,"M")</f>
        <v>10931.179999998967</v>
      </c>
      <c r="BN2137" s="343">
        <f>SUMIFS($AU$1388:AU2138,$AQ$1388:AQ2138,"H")</f>
        <v>14523.200000000877</v>
      </c>
      <c r="BO2137" s="343">
        <f>SUMIFS($AU$1388:AU2138,$AQ$1388:AQ2138,"D")</f>
        <v>8014.9928571427408</v>
      </c>
      <c r="BP2137" s="343">
        <f>SUMIFS($AS$1388:AS2703,$AO$1388:AO2703,"W")</f>
        <v>0</v>
      </c>
      <c r="BQ2137" s="343">
        <f>SUMIFS($AU$1388:AU2138,$Q$1388:Q2138,"O")</f>
        <v>-5384.9400000000251</v>
      </c>
      <c r="BR2137" s="343">
        <f>SUMIFS($AU$1388:AU2138,$AA$1388:AA2138,"*")</f>
        <v>37075.122077921827</v>
      </c>
      <c r="BS2137" s="343">
        <f>SUMIFS($AU$1388:AU2138,$AB$1388:AB2138,"*")</f>
        <v>12971.859999999973</v>
      </c>
      <c r="BT2137" s="343">
        <f>SUMIFS($AU$1388:AU2138,$AC$1388:AC2138,"*")</f>
        <v>40173.293506493676</v>
      </c>
      <c r="BU2137" s="343">
        <f>SUMIFS($AU$1388:AU2138,$AA$1388:AA2138,"*",$AB$1388:AB2138,"*")</f>
        <v>8011.9999999997544</v>
      </c>
      <c r="BV2137" s="343">
        <f>SUMIFS($AU$1388:AU2138,$AA$1388:AA2138,"*",$AC$1388:AC2138,"*")</f>
        <v>28153.636363636531</v>
      </c>
      <c r="BW2137" s="343">
        <f>SUMIFS($AU$1388:AU2138,$AB$1388:AB2138,"*",$AC$1388:AC2138,"*")</f>
        <v>9360</v>
      </c>
      <c r="BX2137" s="343">
        <f>SUMIFS($AV$1388:AV2138,$Q$1388:Q2138,"F")</f>
        <v>462.72914667325267</v>
      </c>
      <c r="BY2137" s="343">
        <f>SUMIFS($AV$1388:AV2138,$Q$1388:Q2138,"S")</f>
        <v>738.32562762001328</v>
      </c>
      <c r="BZ2137" s="343">
        <f>SUMIFS($AV$1388:AV2138,$Q$1388:Q2138,"O")</f>
        <v>471.55929999966099</v>
      </c>
    </row>
    <row r="2138" spans="1:78" ht="15.75" customHeight="1">
      <c r="A2138" s="177" t="s">
        <v>6781</v>
      </c>
      <c r="B2138" s="200"/>
      <c r="C2138" s="178"/>
      <c r="D2138" s="178"/>
      <c r="E2138" s="227"/>
      <c r="F2138" s="180"/>
      <c r="G2138" s="181"/>
      <c r="H2138" s="182"/>
      <c r="I2138" s="182"/>
      <c r="J2138" s="182"/>
      <c r="K2138" s="183"/>
      <c r="L2138" s="182"/>
      <c r="M2138" s="182"/>
      <c r="N2138" s="182"/>
      <c r="O2138" s="183"/>
      <c r="P2138" s="183"/>
      <c r="Q2138" s="183"/>
      <c r="R2138" s="183"/>
      <c r="S2138" s="183"/>
      <c r="T2138" s="183"/>
      <c r="U2138" s="183"/>
      <c r="V2138" s="183"/>
      <c r="W2138" s="183"/>
      <c r="X2138" s="183"/>
      <c r="Y2138" s="183"/>
      <c r="Z2138" s="183"/>
      <c r="AA2138" s="185"/>
      <c r="AB2138" s="185"/>
      <c r="AC2138" s="185"/>
      <c r="AD2138" s="649"/>
      <c r="AE2138" s="182"/>
      <c r="AF2138" s="332"/>
      <c r="AG2138" s="182"/>
      <c r="AH2138" s="182"/>
      <c r="AI2138" s="182"/>
      <c r="AJ2138" s="640"/>
      <c r="AK2138" s="182"/>
      <c r="AL2138" s="496">
        <f t="shared" si="712"/>
        <v>0</v>
      </c>
      <c r="AM2138" s="496">
        <f t="shared" si="709"/>
        <v>0</v>
      </c>
      <c r="AN2138" s="626"/>
      <c r="AO2138" s="182"/>
      <c r="AP2138" s="182"/>
      <c r="AQ2138" s="332" t="str">
        <f>UPPER(RIGHT(Journal_Live[[#This Row],[DURATION ]]))</f>
        <v/>
      </c>
      <c r="AR2138" s="182"/>
      <c r="AS2138" s="189"/>
      <c r="AT2138" s="189"/>
      <c r="AU2138" s="187"/>
      <c r="AV2138" s="190"/>
      <c r="AW2138" s="191"/>
      <c r="AX2138" s="581" t="s">
        <v>5924</v>
      </c>
      <c r="AY2138" s="549" t="s">
        <v>6817</v>
      </c>
      <c r="AZ2138" s="551"/>
      <c r="BA2138" s="551"/>
      <c r="BB2138" s="551"/>
      <c r="BC2138" s="551"/>
      <c r="BD2138" s="549"/>
      <c r="BE2138" s="550"/>
      <c r="BF2138" s="549"/>
      <c r="BG2138" s="391">
        <f>SUM($AV$1389:AV2138)</f>
        <v>4820.6140742929338</v>
      </c>
      <c r="BH2138" s="392">
        <f>SUM($AU$1389:AU2138)</f>
        <v>50214.63922077918</v>
      </c>
      <c r="BI2138" s="318">
        <f>SUMIFS($AU$1388:AU2139,$Q$1388:Q2139,"F")</f>
        <v>32973.293506493508</v>
      </c>
      <c r="BJ2138" s="318">
        <f>SUMIFS($AU$1388:AU2139,$Q$1388:Q2139,"S")</f>
        <v>20002.285714285714</v>
      </c>
      <c r="BK2138" s="343">
        <f>SUMIFS($AU$1388:AU2139,$P$1388:P2139,"W")</f>
        <v>31576.759220779561</v>
      </c>
      <c r="BL2138" s="343">
        <f>SUMIFS($AU$1388:AU2139,$P$1388:P2139,"R")</f>
        <v>15726.00000000016</v>
      </c>
      <c r="BM2138" s="343">
        <f>SUMIFS($AU$1388:AU2139,$AQ$1388:AQ2139,"M")</f>
        <v>10931.179999998967</v>
      </c>
      <c r="BN2138" s="343">
        <f>SUMIFS($AU$1388:AU2139,$AQ$1388:AQ2139,"H")</f>
        <v>14523.200000000877</v>
      </c>
      <c r="BO2138" s="343">
        <f>SUMIFS($AU$1388:AU2139,$AQ$1388:AQ2139,"D")</f>
        <v>8014.9928571427408</v>
      </c>
      <c r="BP2138" s="343">
        <f>SUMIFS($AS$1388:AS2704,$AO$1388:AO2704,"W")</f>
        <v>0</v>
      </c>
      <c r="BQ2138" s="343">
        <f>SUMIFS($AU$1388:AU2139,$Q$1388:Q2139,"O")</f>
        <v>-5384.9400000000251</v>
      </c>
      <c r="BR2138" s="343">
        <f>SUMIFS($AU$1388:AU2139,$AA$1388:AA2139,"*")</f>
        <v>37075.122077921827</v>
      </c>
      <c r="BS2138" s="343">
        <f>SUMIFS($AU$1388:AU2139,$AB$1388:AB2139,"*")</f>
        <v>12971.859999999973</v>
      </c>
      <c r="BT2138" s="343">
        <f>SUMIFS($AU$1388:AU2139,$AC$1388:AC2139,"*")</f>
        <v>40173.293506493676</v>
      </c>
      <c r="BU2138" s="343">
        <f>SUMIFS($AU$1388:AU2139,$AA$1388:AA2139,"*",$AB$1388:AB2139,"*")</f>
        <v>8011.9999999997544</v>
      </c>
      <c r="BV2138" s="343">
        <f>SUMIFS($AU$1388:AU2139,$AA$1388:AA2139,"*",$AC$1388:AC2139,"*")</f>
        <v>28153.636363636531</v>
      </c>
      <c r="BW2138" s="343">
        <f>SUMIFS($AU$1388:AU2139,$AB$1388:AB2139,"*",$AC$1388:AC2139,"*")</f>
        <v>9360</v>
      </c>
      <c r="BX2138" s="343">
        <f>SUMIFS($AV$1388:AV2139,$Q$1388:Q2139,"F")</f>
        <v>462.72914667325267</v>
      </c>
      <c r="BY2138" s="343">
        <f>SUMIFS($AV$1388:AV2139,$Q$1388:Q2139,"S")</f>
        <v>738.32562762001328</v>
      </c>
      <c r="BZ2138" s="343">
        <f>SUMIFS($AV$1388:AV2139,$Q$1388:Q2139,"O")</f>
        <v>471.55929999966099</v>
      </c>
    </row>
    <row r="2139" spans="1:78" ht="15.75" customHeight="1">
      <c r="A2139" s="177" t="s">
        <v>6781</v>
      </c>
      <c r="B2139" s="200"/>
      <c r="C2139" s="178"/>
      <c r="D2139" s="178"/>
      <c r="E2139" s="227"/>
      <c r="F2139" s="180"/>
      <c r="G2139" s="181"/>
      <c r="H2139" s="182"/>
      <c r="I2139" s="182"/>
      <c r="J2139" s="182"/>
      <c r="K2139" s="183"/>
      <c r="L2139" s="182"/>
      <c r="M2139" s="182"/>
      <c r="N2139" s="182"/>
      <c r="O2139" s="183"/>
      <c r="P2139" s="183"/>
      <c r="Q2139" s="183"/>
      <c r="R2139" s="183"/>
      <c r="S2139" s="183"/>
      <c r="T2139" s="183"/>
      <c r="U2139" s="183"/>
      <c r="V2139" s="183"/>
      <c r="W2139" s="183"/>
      <c r="X2139" s="183"/>
      <c r="Y2139" s="183"/>
      <c r="Z2139" s="183"/>
      <c r="AA2139" s="185"/>
      <c r="AB2139" s="185"/>
      <c r="AC2139" s="185"/>
      <c r="AD2139" s="649"/>
      <c r="AE2139" s="182"/>
      <c r="AF2139" s="332"/>
      <c r="AG2139" s="182"/>
      <c r="AH2139" s="182"/>
      <c r="AI2139" s="182"/>
      <c r="AJ2139" s="640"/>
      <c r="AK2139" s="182"/>
      <c r="AL2139" s="496">
        <f t="shared" si="712"/>
        <v>0</v>
      </c>
      <c r="AM2139" s="496">
        <f t="shared" si="709"/>
        <v>0</v>
      </c>
      <c r="AN2139" s="626"/>
      <c r="AO2139" s="182"/>
      <c r="AP2139" s="182"/>
      <c r="AQ2139" s="332" t="str">
        <f>UPPER(RIGHT(Journal_Live[[#This Row],[DURATION ]]))</f>
        <v/>
      </c>
      <c r="AR2139" s="182"/>
      <c r="AS2139" s="189"/>
      <c r="AT2139" s="189"/>
      <c r="AU2139" s="187"/>
      <c r="AV2139" s="190"/>
      <c r="AW2139" s="191"/>
      <c r="AX2139" s="551" t="s">
        <v>6818</v>
      </c>
      <c r="AY2139" s="551"/>
      <c r="AZ2139" s="551"/>
      <c r="BA2139" s="551"/>
      <c r="BB2139" s="551"/>
      <c r="BC2139" s="551"/>
      <c r="BD2139" s="549"/>
      <c r="BE2139" s="550"/>
      <c r="BF2139" s="549"/>
      <c r="BG2139" s="391">
        <f>SUM($AV$1389:AV2139)</f>
        <v>4820.6140742929338</v>
      </c>
      <c r="BH2139" s="392">
        <f>SUM($AU$1389:AU2139)</f>
        <v>50214.63922077918</v>
      </c>
      <c r="BI2139" s="318">
        <f>SUMIFS($AU$1388:AU2155,$Q$1388:Q2155,"F")</f>
        <v>32973.293506493508</v>
      </c>
      <c r="BJ2139" s="318">
        <f>SUMIFS($AU$1388:AU2155,$Q$1388:Q2155,"S")</f>
        <v>21202.285714285714</v>
      </c>
      <c r="BK2139" s="343">
        <f>SUMIFS($AU$1388:AU2155,$P$1388:P2155,"W")</f>
        <v>32776.759220779561</v>
      </c>
      <c r="BL2139" s="343">
        <f>SUMIFS($AU$1388:AU2155,$P$1388:P2155,"R")</f>
        <v>15726.00000000016</v>
      </c>
      <c r="BM2139" s="343">
        <f>SUMIFS($AU$1388:AU2155,$AQ$1388:AQ2155,"M")</f>
        <v>12131.179999998967</v>
      </c>
      <c r="BN2139" s="343">
        <f>SUMIFS($AU$1388:AU2155,$AQ$1388:AQ2155,"H")</f>
        <v>14523.200000000877</v>
      </c>
      <c r="BO2139" s="343">
        <f>SUMIFS($AU$1388:AU2155,$AQ$1388:AQ2155,"D")</f>
        <v>8014.9928571427408</v>
      </c>
      <c r="BP2139" s="343">
        <f>SUMIFS($AS$1388:AS2705,$AO$1388:AO2705,"W")</f>
        <v>0</v>
      </c>
      <c r="BQ2139" s="343">
        <f>SUMIFS($AU$1388:AU2155,$Q$1388:Q2155,"O")</f>
        <v>-5384.9400000000251</v>
      </c>
      <c r="BR2139" s="343">
        <f>SUMIFS($AU$1388:AU2155,$AA$1388:AA2155,"*")</f>
        <v>38275.122077921827</v>
      </c>
      <c r="BS2139" s="343">
        <f>SUMIFS($AU$1388:AU2155,$AB$1388:AB2155,"*")</f>
        <v>12971.859999999973</v>
      </c>
      <c r="BT2139" s="343">
        <f>SUMIFS($AU$1388:AU2155,$AC$1388:AC2155,"*")</f>
        <v>41373.293506493676</v>
      </c>
      <c r="BU2139" s="343">
        <f>SUMIFS($AU$1388:AU2155,$AA$1388:AA2155,"*",$AB$1388:AB2155,"*")</f>
        <v>8011.9999999997544</v>
      </c>
      <c r="BV2139" s="343">
        <f>SUMIFS($AU$1388:AU2155,$AA$1388:AA2155,"*",$AC$1388:AC2155,"*")</f>
        <v>29353.636363636531</v>
      </c>
      <c r="BW2139" s="343">
        <f>SUMIFS($AU$1388:AU2155,$AB$1388:AB2155,"*",$AC$1388:AC2155,"*")</f>
        <v>9360</v>
      </c>
      <c r="BX2139" s="343">
        <f>SUMIFS($AV$1388:AV2155,$Q$1388:Q2155,"F")</f>
        <v>462.72914667325267</v>
      </c>
      <c r="BY2139" s="343">
        <f>SUMIFS($AV$1388:AV2155,$Q$1388:Q2155,"S")</f>
        <v>754.32562762001328</v>
      </c>
      <c r="BZ2139" s="343">
        <f>SUMIFS($AV$1388:AV2155,$Q$1388:Q2155,"O")</f>
        <v>471.55929999966099</v>
      </c>
    </row>
    <row r="2140" spans="1:78" ht="15.75" customHeight="1">
      <c r="A2140" s="177" t="s">
        <v>6781</v>
      </c>
      <c r="B2140" s="200"/>
      <c r="C2140" s="178"/>
      <c r="D2140" s="178"/>
      <c r="E2140" s="227"/>
      <c r="F2140" s="180"/>
      <c r="G2140" s="181"/>
      <c r="H2140" s="182"/>
      <c r="I2140" s="182"/>
      <c r="J2140" s="182"/>
      <c r="K2140" s="183"/>
      <c r="L2140" s="182"/>
      <c r="M2140" s="182"/>
      <c r="N2140" s="182"/>
      <c r="O2140" s="183"/>
      <c r="P2140" s="183"/>
      <c r="Q2140" s="183"/>
      <c r="R2140" s="183"/>
      <c r="S2140" s="183"/>
      <c r="T2140" s="183"/>
      <c r="U2140" s="183"/>
      <c r="V2140" s="183"/>
      <c r="W2140" s="183"/>
      <c r="X2140" s="183"/>
      <c r="Y2140" s="183"/>
      <c r="Z2140" s="183"/>
      <c r="AA2140" s="185"/>
      <c r="AB2140" s="185"/>
      <c r="AC2140" s="185"/>
      <c r="AD2140" s="649"/>
      <c r="AE2140" s="182"/>
      <c r="AF2140" s="332"/>
      <c r="AG2140" s="182"/>
      <c r="AH2140" s="182"/>
      <c r="AI2140" s="182"/>
      <c r="AJ2140" s="640"/>
      <c r="AK2140" s="182"/>
      <c r="AL2140" s="496">
        <f t="shared" ref="AL2140:AL2149" si="713">-0.02*Z2140</f>
        <v>0</v>
      </c>
      <c r="AM2140" s="496">
        <f t="shared" si="709"/>
        <v>0</v>
      </c>
      <c r="AN2140" s="626"/>
      <c r="AO2140" s="182"/>
      <c r="AP2140" s="182"/>
      <c r="AQ2140" s="332" t="str">
        <f>UPPER(RIGHT(Journal_Live[[#This Row],[DURATION ]]))</f>
        <v/>
      </c>
      <c r="AR2140" s="182"/>
      <c r="AS2140" s="189"/>
      <c r="AT2140" s="189"/>
      <c r="AU2140" s="187"/>
      <c r="AV2140" s="190"/>
      <c r="AW2140" s="191"/>
      <c r="AX2140" s="551" t="s">
        <v>6819</v>
      </c>
      <c r="AY2140" s="551" t="s">
        <v>6820</v>
      </c>
      <c r="AZ2140" s="551"/>
      <c r="BA2140" s="551"/>
      <c r="BB2140" s="551"/>
      <c r="BC2140" s="551"/>
      <c r="BD2140" s="549"/>
      <c r="BE2140" s="550"/>
      <c r="BF2140" s="549"/>
      <c r="BG2140" s="391">
        <f>SUM($AV$1389:AV2140)</f>
        <v>4820.6140742929338</v>
      </c>
      <c r="BH2140" s="392">
        <f>SUM($AU$1389:AU2140)</f>
        <v>50214.63922077918</v>
      </c>
      <c r="BI2140" s="318">
        <f>SUMIFS($AU$1388:AU2141,$Q$1388:Q2141,"F")</f>
        <v>32973.293506493508</v>
      </c>
      <c r="BJ2140" s="318">
        <f>SUMIFS($AU$1388:AU2141,$Q$1388:Q2141,"S")</f>
        <v>20002.285714285714</v>
      </c>
      <c r="BK2140" s="343">
        <f>SUMIFS($AU$1388:AU2141,$P$1388:P2141,"W")</f>
        <v>31576.759220779561</v>
      </c>
      <c r="BL2140" s="343">
        <f>SUMIFS($AU$1388:AU2141,$P$1388:P2141,"R")</f>
        <v>15726.00000000016</v>
      </c>
      <c r="BM2140" s="343">
        <f>SUMIFS($AU$1388:AU2141,$AQ$1388:AQ2141,"M")</f>
        <v>10931.179999998967</v>
      </c>
      <c r="BN2140" s="343">
        <f>SUMIFS($AU$1388:AU2141,$AQ$1388:AQ2141,"H")</f>
        <v>14523.200000000877</v>
      </c>
      <c r="BO2140" s="343">
        <f>SUMIFS($AU$1388:AU2141,$AQ$1388:AQ2141,"D")</f>
        <v>8014.9928571427408</v>
      </c>
      <c r="BP2140" s="343">
        <f>SUMIFS($AS$1388:AS2691,$AO$1388:AO2691,"W")</f>
        <v>0</v>
      </c>
      <c r="BQ2140" s="343">
        <f>SUMIFS($AU$1388:AU2141,$Q$1388:Q2141,"O")</f>
        <v>-5384.9400000000251</v>
      </c>
      <c r="BR2140" s="343">
        <f>SUMIFS($AU$1388:AU2141,$AA$1388:AA2141,"*")</f>
        <v>37075.122077921827</v>
      </c>
      <c r="BS2140" s="343">
        <f>SUMIFS($AU$1388:AU2141,$AB$1388:AB2141,"*")</f>
        <v>12971.859999999973</v>
      </c>
      <c r="BT2140" s="343">
        <f>SUMIFS($AU$1388:AU2141,$AC$1388:AC2141,"*")</f>
        <v>40173.293506493676</v>
      </c>
      <c r="BU2140" s="343">
        <f>SUMIFS($AU$1388:AU2141,$AA$1388:AA2141,"*",$AB$1388:AB2141,"*")</f>
        <v>8011.9999999997544</v>
      </c>
      <c r="BV2140" s="343">
        <f>SUMIFS($AU$1388:AU2141,$AA$1388:AA2141,"*",$AC$1388:AC2141,"*")</f>
        <v>28153.636363636531</v>
      </c>
      <c r="BW2140" s="343">
        <f>SUMIFS($AU$1388:AU2141,$AB$1388:AB2141,"*",$AC$1388:AC2141,"*")</f>
        <v>9360</v>
      </c>
      <c r="BX2140" s="343">
        <f>SUMIFS($AV$1388:AV2141,$Q$1388:Q2141,"F")</f>
        <v>462.72914667325267</v>
      </c>
      <c r="BY2140" s="343">
        <f>SUMIFS($AV$1388:AV2141,$Q$1388:Q2141,"S")</f>
        <v>738.32562762001328</v>
      </c>
      <c r="BZ2140" s="343">
        <f>SUMIFS($AV$1388:AV2141,$Q$1388:Q2141,"O")</f>
        <v>471.55929999966099</v>
      </c>
    </row>
    <row r="2141" spans="1:78" ht="15.75" customHeight="1">
      <c r="A2141" s="177" t="s">
        <v>6781</v>
      </c>
      <c r="B2141" s="200">
        <v>45446</v>
      </c>
      <c r="C2141" s="178" t="s">
        <v>1838</v>
      </c>
      <c r="D2141" s="178" t="s">
        <v>132</v>
      </c>
      <c r="E2141" s="227"/>
      <c r="F2141" s="180"/>
      <c r="G2141" s="481" t="s">
        <v>2070</v>
      </c>
      <c r="H2141" s="182"/>
      <c r="I2141" s="182"/>
      <c r="J2141" s="182"/>
      <c r="K2141" s="183"/>
      <c r="L2141" s="182"/>
      <c r="M2141" s="182">
        <v>2</v>
      </c>
      <c r="N2141" s="182"/>
      <c r="O2141" s="183" t="s">
        <v>95</v>
      </c>
      <c r="P2141" s="183" t="s">
        <v>96</v>
      </c>
      <c r="Q2141" s="183" t="s">
        <v>97</v>
      </c>
      <c r="R2141" s="183">
        <v>60</v>
      </c>
      <c r="S2141" s="183">
        <v>0</v>
      </c>
      <c r="T2141" s="183">
        <v>30</v>
      </c>
      <c r="U2141" s="183" t="s">
        <v>22</v>
      </c>
      <c r="V2141" s="183"/>
      <c r="W2141" s="183"/>
      <c r="X2141" s="183"/>
      <c r="Y2141" s="184">
        <f>IF(ISBLANK(O2141),"",(IF(O2141=UPPER("IB"),0.005,0.01)))</f>
        <v>0.01</v>
      </c>
      <c r="Z2141" s="185">
        <f>IF(ISBLANK(O2141),"",IF(O2141="IB",8.63*200,IF(O2141="IR",16*100,IF(O2141="YT",20*100,IF(O2141="YT-XT",24*200,IF(O2141="TED",80*100,IF(O2141="IR|YT",300*100)))))))</f>
        <v>1600</v>
      </c>
      <c r="AA2141" s="185" t="s">
        <v>5492</v>
      </c>
      <c r="AB2141" s="185"/>
      <c r="AC2141" s="185" t="s">
        <v>6821</v>
      </c>
      <c r="AD2141" s="649">
        <v>-7.0000000000000007E-2</v>
      </c>
      <c r="AE2141" s="182"/>
      <c r="AF2141" s="332"/>
      <c r="AG2141" s="182"/>
      <c r="AH2141" s="182"/>
      <c r="AI2141" s="182"/>
      <c r="AJ2141" s="640" t="s">
        <v>6822</v>
      </c>
      <c r="AK2141" s="182"/>
      <c r="AL2141" s="496">
        <f t="shared" si="713"/>
        <v>-32</v>
      </c>
      <c r="AM2141" s="496">
        <f t="shared" si="709"/>
        <v>-1920</v>
      </c>
      <c r="AN2141" s="626"/>
      <c r="AO2141" s="182"/>
      <c r="AP2141" s="182" t="s">
        <v>804</v>
      </c>
      <c r="AQ2141" s="332" t="s">
        <v>115</v>
      </c>
      <c r="AR2141" s="182" t="s">
        <v>6823</v>
      </c>
      <c r="AS2141" s="189">
        <v>-7.0000000000000007E-2</v>
      </c>
      <c r="AT2141" s="189">
        <f>IF(ISBLANK(AS2141),,IF(U2141="S",AD2141-AS2141,AS2141-AD2141))</f>
        <v>0</v>
      </c>
      <c r="AU2141" s="187">
        <f>AV2141*R2141</f>
        <v>0</v>
      </c>
      <c r="AV2141" s="190">
        <f t="shared" ref="AV2141:AV2148" si="714">IF(ISBLANK(AS2141),,(AT2141*Z2141))</f>
        <v>0</v>
      </c>
      <c r="AW2141" s="191" t="s">
        <v>115</v>
      </c>
      <c r="AX2141" s="551" t="s">
        <v>6824</v>
      </c>
      <c r="AY2141" s="551"/>
      <c r="AZ2141" s="551"/>
      <c r="BA2141" s="551"/>
      <c r="BB2141" s="551"/>
      <c r="BC2141" s="551"/>
      <c r="BD2141" s="549"/>
      <c r="BE2141" s="550"/>
      <c r="BF2141" s="549"/>
      <c r="BG2141" s="391">
        <f>SUM($AV$1389:AV2141)</f>
        <v>4820.6140742929338</v>
      </c>
      <c r="BH2141" s="392">
        <f>SUM($AU$1389:AU2141)</f>
        <v>50214.63922077918</v>
      </c>
      <c r="BI2141" s="318">
        <f>SUMIFS($AU$1388:AU2142,$Q$1388:Q2142,"F")</f>
        <v>32973.293506493508</v>
      </c>
      <c r="BJ2141" s="318">
        <f>SUMIFS($AU$1388:AU2142,$Q$1388:Q2142,"S")</f>
        <v>20002.285714285714</v>
      </c>
      <c r="BK2141" s="343">
        <f>SUMIFS($AU$1388:AU2142,$P$1388:P2142,"W")</f>
        <v>31576.759220779561</v>
      </c>
      <c r="BL2141" s="343">
        <f>SUMIFS($AU$1388:AU2142,$P$1388:P2142,"R")</f>
        <v>15726.00000000016</v>
      </c>
      <c r="BM2141" s="343">
        <f>SUMIFS($AU$1388:AU2142,$AQ$1388:AQ2142,"M")</f>
        <v>10931.179999998967</v>
      </c>
      <c r="BN2141" s="343">
        <f>SUMIFS($AU$1388:AU2142,$AQ$1388:AQ2142,"H")</f>
        <v>14523.200000000877</v>
      </c>
      <c r="BO2141" s="343">
        <f>SUMIFS($AU$1388:AU2142,$AQ$1388:AQ2142,"D")</f>
        <v>8014.9928571427408</v>
      </c>
      <c r="BP2141" s="343">
        <f>SUMIFS($AS$1388:AS2692,$AO$1388:AO2692,"W")</f>
        <v>0</v>
      </c>
      <c r="BQ2141" s="343">
        <f>SUMIFS($AU$1388:AU2142,$Q$1388:Q2142,"O")</f>
        <v>-5384.9400000000251</v>
      </c>
      <c r="BR2141" s="343">
        <f>SUMIFS($AU$1388:AU2142,$AA$1388:AA2142,"*")</f>
        <v>37075.122077921827</v>
      </c>
      <c r="BS2141" s="343">
        <f>SUMIFS($AU$1388:AU2142,$AB$1388:AB2142,"*")</f>
        <v>12971.859999999973</v>
      </c>
      <c r="BT2141" s="343">
        <f>SUMIFS($AU$1388:AU2142,$AC$1388:AC2142,"*")</f>
        <v>40173.293506493676</v>
      </c>
      <c r="BU2141" s="343">
        <f>SUMIFS($AU$1388:AU2142,$AA$1388:AA2142,"*",$AB$1388:AB2142,"*")</f>
        <v>8011.9999999997544</v>
      </c>
      <c r="BV2141" s="343">
        <f>SUMIFS($AU$1388:AU2142,$AA$1388:AA2142,"*",$AC$1388:AC2142,"*")</f>
        <v>28153.636363636531</v>
      </c>
      <c r="BW2141" s="343">
        <f>SUMIFS($AU$1388:AU2142,$AB$1388:AB2142,"*",$AC$1388:AC2142,"*")</f>
        <v>9360</v>
      </c>
      <c r="BX2141" s="343">
        <f>SUMIFS($AV$1388:AV2142,$Q$1388:Q2142,"F")</f>
        <v>462.72914667325267</v>
      </c>
      <c r="BY2141" s="343">
        <f>SUMIFS($AV$1388:AV2142,$Q$1388:Q2142,"S")</f>
        <v>738.32562762001328</v>
      </c>
      <c r="BZ2141" s="343">
        <f>SUMIFS($AV$1388:AV2142,$Q$1388:Q2142,"O")</f>
        <v>471.55929999966099</v>
      </c>
    </row>
    <row r="2142" spans="1:78" ht="15.75" customHeight="1">
      <c r="A2142" s="177" t="s">
        <v>6781</v>
      </c>
      <c r="B2142" s="200">
        <v>45446</v>
      </c>
      <c r="C2142" s="178" t="s">
        <v>2370</v>
      </c>
      <c r="D2142" s="178" t="s">
        <v>132</v>
      </c>
      <c r="E2142" s="227"/>
      <c r="F2142" s="180"/>
      <c r="G2142" s="181" t="s">
        <v>4147</v>
      </c>
      <c r="H2142" s="182"/>
      <c r="I2142" s="182"/>
      <c r="J2142" s="182"/>
      <c r="K2142" s="183"/>
      <c r="L2142" s="182"/>
      <c r="M2142" s="182"/>
      <c r="N2142" s="182"/>
      <c r="O2142" s="183"/>
      <c r="P2142" s="183"/>
      <c r="Q2142" s="183"/>
      <c r="R2142" s="183"/>
      <c r="S2142" s="183"/>
      <c r="T2142" s="183"/>
      <c r="U2142" s="183"/>
      <c r="V2142" s="183"/>
      <c r="W2142" s="183"/>
      <c r="X2142" s="183"/>
      <c r="Y2142" s="184"/>
      <c r="Z2142" s="185"/>
      <c r="AA2142" s="185"/>
      <c r="AB2142" s="185"/>
      <c r="AC2142" s="185"/>
      <c r="AD2142" s="649"/>
      <c r="AE2142" s="182"/>
      <c r="AF2142" s="332"/>
      <c r="AG2142" s="182"/>
      <c r="AH2142" s="182"/>
      <c r="AI2142" s="182"/>
      <c r="AJ2142" s="640"/>
      <c r="AK2142" s="182"/>
      <c r="AL2142" s="496">
        <f t="shared" si="713"/>
        <v>0</v>
      </c>
      <c r="AM2142" s="496">
        <f t="shared" si="709"/>
        <v>0</v>
      </c>
      <c r="AN2142" s="626"/>
      <c r="AO2142" s="182"/>
      <c r="AP2142" s="182"/>
      <c r="AQ2142" s="332" t="str">
        <f>UPPER(RIGHT(Journal_Live[[#This Row],[DURATION ]]))</f>
        <v/>
      </c>
      <c r="AR2142" s="182"/>
      <c r="AS2142" s="189"/>
      <c r="AT2142" s="189"/>
      <c r="AU2142" s="187"/>
      <c r="AV2142" s="190"/>
      <c r="AW2142" s="191"/>
      <c r="AX2142" s="551" t="s">
        <v>6825</v>
      </c>
      <c r="AY2142" s="551"/>
      <c r="AZ2142" s="551"/>
      <c r="BA2142" s="551"/>
      <c r="BB2142" s="551"/>
      <c r="BC2142" s="551"/>
      <c r="BD2142" s="549"/>
      <c r="BE2142" s="550"/>
      <c r="BF2142" s="549"/>
      <c r="BG2142" s="391">
        <f>SUM($AV$1389:AV2142)</f>
        <v>4820.6140742929338</v>
      </c>
      <c r="BH2142" s="392">
        <f>SUM($AU$1389:AU2142)</f>
        <v>50214.63922077918</v>
      </c>
      <c r="BI2142" s="318">
        <f>SUMIFS($AU$1388:AU2143,$Q$1388:Q2143,"F")</f>
        <v>32973.293506493508</v>
      </c>
      <c r="BJ2142" s="318">
        <f>SUMIFS($AU$1388:AU2143,$Q$1388:Q2143,"S")</f>
        <v>20002.285714285714</v>
      </c>
      <c r="BK2142" s="343">
        <f>SUMIFS($AU$1388:AU2143,$P$1388:P2143,"W")</f>
        <v>31576.759220779561</v>
      </c>
      <c r="BL2142" s="343">
        <f>SUMIFS($AU$1388:AU2143,$P$1388:P2143,"R")</f>
        <v>15726.00000000016</v>
      </c>
      <c r="BM2142" s="343">
        <f>SUMIFS($AU$1388:AU2143,$AQ$1388:AQ2143,"M")</f>
        <v>10931.179999998967</v>
      </c>
      <c r="BN2142" s="343">
        <f>SUMIFS($AU$1388:AU2143,$AQ$1388:AQ2143,"H")</f>
        <v>14523.200000000877</v>
      </c>
      <c r="BO2142" s="343">
        <f>SUMIFS($AU$1388:AU2143,$AQ$1388:AQ2143,"D")</f>
        <v>8014.9928571427408</v>
      </c>
      <c r="BP2142" s="343">
        <f>SUMIFS($AS$1388:AS2693,$AO$1388:AO2693,"W")</f>
        <v>0</v>
      </c>
      <c r="BQ2142" s="343">
        <f>SUMIFS($AU$1388:AU2143,$Q$1388:Q2143,"O")</f>
        <v>-5384.9400000000251</v>
      </c>
      <c r="BR2142" s="343">
        <f>SUMIFS($AU$1388:AU2143,$AA$1388:AA2143,"*")</f>
        <v>37075.122077921827</v>
      </c>
      <c r="BS2142" s="343">
        <f>SUMIFS($AU$1388:AU2143,$AB$1388:AB2143,"*")</f>
        <v>12971.859999999973</v>
      </c>
      <c r="BT2142" s="343">
        <f>SUMIFS($AU$1388:AU2143,$AC$1388:AC2143,"*")</f>
        <v>40173.293506493676</v>
      </c>
      <c r="BU2142" s="343">
        <f>SUMIFS($AU$1388:AU2143,$AA$1388:AA2143,"*",$AB$1388:AB2143,"*")</f>
        <v>8011.9999999997544</v>
      </c>
      <c r="BV2142" s="343">
        <f>SUMIFS($AU$1388:AU2143,$AA$1388:AA2143,"*",$AC$1388:AC2143,"*")</f>
        <v>28153.636363636531</v>
      </c>
      <c r="BW2142" s="343">
        <f>SUMIFS($AU$1388:AU2143,$AB$1388:AB2143,"*",$AC$1388:AC2143,"*")</f>
        <v>9360</v>
      </c>
      <c r="BX2142" s="343">
        <f>SUMIFS($AV$1388:AV2143,$Q$1388:Q2143,"F")</f>
        <v>462.72914667325267</v>
      </c>
      <c r="BY2142" s="343">
        <f>SUMIFS($AV$1388:AV2143,$Q$1388:Q2143,"S")</f>
        <v>738.32562762001328</v>
      </c>
      <c r="BZ2142" s="343">
        <f>SUMIFS($AV$1388:AV2143,$Q$1388:Q2143,"O")</f>
        <v>471.55929999966099</v>
      </c>
    </row>
    <row r="2143" spans="1:78" ht="15.75" customHeight="1">
      <c r="A2143" s="177" t="s">
        <v>6781</v>
      </c>
      <c r="B2143" s="200">
        <v>45446</v>
      </c>
      <c r="C2143" s="178" t="s">
        <v>6409</v>
      </c>
      <c r="D2143" s="178" t="s">
        <v>132</v>
      </c>
      <c r="E2143" s="227"/>
      <c r="F2143" s="180"/>
      <c r="G2143" s="181" t="s">
        <v>6826</v>
      </c>
      <c r="H2143" s="182"/>
      <c r="I2143" s="182"/>
      <c r="J2143" s="182"/>
      <c r="K2143" s="183"/>
      <c r="L2143" s="182"/>
      <c r="M2143" s="182"/>
      <c r="N2143" s="182"/>
      <c r="O2143" s="183"/>
      <c r="P2143" s="183"/>
      <c r="Q2143" s="183"/>
      <c r="R2143" s="183"/>
      <c r="S2143" s="183"/>
      <c r="T2143" s="183"/>
      <c r="U2143" s="183"/>
      <c r="V2143" s="183"/>
      <c r="W2143" s="183"/>
      <c r="X2143" s="183"/>
      <c r="Y2143" s="184"/>
      <c r="Z2143" s="185"/>
      <c r="AA2143" s="185"/>
      <c r="AB2143" s="185"/>
      <c r="AC2143" s="185"/>
      <c r="AD2143" s="649"/>
      <c r="AE2143" s="182"/>
      <c r="AF2143" s="332"/>
      <c r="AG2143" s="182"/>
      <c r="AH2143" s="182"/>
      <c r="AI2143" s="182"/>
      <c r="AJ2143" s="640"/>
      <c r="AK2143" s="182"/>
      <c r="AL2143" s="496">
        <f t="shared" si="713"/>
        <v>0</v>
      </c>
      <c r="AM2143" s="496">
        <f t="shared" si="709"/>
        <v>0</v>
      </c>
      <c r="AN2143" s="626"/>
      <c r="AO2143" s="182"/>
      <c r="AP2143" s="182"/>
      <c r="AQ2143" s="332" t="str">
        <f>UPPER(RIGHT(Journal_Live[[#This Row],[DURATION ]]))</f>
        <v/>
      </c>
      <c r="AR2143" s="182"/>
      <c r="AS2143" s="189"/>
      <c r="AT2143" s="189"/>
      <c r="AU2143" s="187"/>
      <c r="AV2143" s="190"/>
      <c r="AW2143" s="191"/>
      <c r="AX2143" s="551" t="s">
        <v>6827</v>
      </c>
      <c r="AY2143" s="551" t="s">
        <v>6828</v>
      </c>
      <c r="AZ2143" s="551"/>
      <c r="BA2143" s="551"/>
      <c r="BB2143" s="551"/>
      <c r="BC2143" s="551"/>
      <c r="BD2143" s="549"/>
      <c r="BE2143" s="550"/>
      <c r="BF2143" s="549"/>
      <c r="BG2143" s="391">
        <f>SUM($AV$1389:AV2143)</f>
        <v>4820.6140742929338</v>
      </c>
      <c r="BH2143" s="392">
        <f>SUM($AU$1389:AU2143)</f>
        <v>50214.63922077918</v>
      </c>
      <c r="BI2143" s="318">
        <f>SUMIFS($AU$1388:AU2144,$Q$1388:Q2144,"F")</f>
        <v>32973.293506493508</v>
      </c>
      <c r="BJ2143" s="318">
        <f>SUMIFS($AU$1388:AU2144,$Q$1388:Q2144,"S")</f>
        <v>20002.285714285714</v>
      </c>
      <c r="BK2143" s="343">
        <f>SUMIFS($AU$1388:AU2144,$P$1388:P2144,"W")</f>
        <v>31576.759220779561</v>
      </c>
      <c r="BL2143" s="343">
        <f>SUMIFS($AU$1388:AU2144,$P$1388:P2144,"R")</f>
        <v>15726.00000000016</v>
      </c>
      <c r="BM2143" s="343">
        <f>SUMIFS($AU$1388:AU2144,$AQ$1388:AQ2144,"M")</f>
        <v>10931.179999998967</v>
      </c>
      <c r="BN2143" s="343">
        <f>SUMIFS($AU$1388:AU2144,$AQ$1388:AQ2144,"H")</f>
        <v>14523.200000000877</v>
      </c>
      <c r="BO2143" s="343">
        <f>SUMIFS($AU$1388:AU2144,$AQ$1388:AQ2144,"D")</f>
        <v>8014.9928571427408</v>
      </c>
      <c r="BP2143" s="343">
        <f>SUMIFS($AS$1388:AS2694,$AO$1388:AO2694,"W")</f>
        <v>0</v>
      </c>
      <c r="BQ2143" s="343">
        <f>SUMIFS($AU$1388:AU2144,$Q$1388:Q2144,"O")</f>
        <v>-5384.9400000000251</v>
      </c>
      <c r="BR2143" s="343">
        <f>SUMIFS($AU$1388:AU2144,$AA$1388:AA2144,"*")</f>
        <v>37075.122077921827</v>
      </c>
      <c r="BS2143" s="343">
        <f>SUMIFS($AU$1388:AU2144,$AB$1388:AB2144,"*")</f>
        <v>12971.859999999973</v>
      </c>
      <c r="BT2143" s="343">
        <f>SUMIFS($AU$1388:AU2144,$AC$1388:AC2144,"*")</f>
        <v>40173.293506493676</v>
      </c>
      <c r="BU2143" s="343">
        <f>SUMIFS($AU$1388:AU2144,$AA$1388:AA2144,"*",$AB$1388:AB2144,"*")</f>
        <v>8011.9999999997544</v>
      </c>
      <c r="BV2143" s="343">
        <f>SUMIFS($AU$1388:AU2144,$AA$1388:AA2144,"*",$AC$1388:AC2144,"*")</f>
        <v>28153.636363636531</v>
      </c>
      <c r="BW2143" s="343">
        <f>SUMIFS($AU$1388:AU2144,$AB$1388:AB2144,"*",$AC$1388:AC2144,"*")</f>
        <v>9360</v>
      </c>
      <c r="BX2143" s="343">
        <f>SUMIFS($AV$1388:AV2144,$Q$1388:Q2144,"F")</f>
        <v>462.72914667325267</v>
      </c>
      <c r="BY2143" s="343">
        <f>SUMIFS($AV$1388:AV2144,$Q$1388:Q2144,"S")</f>
        <v>738.32562762001328</v>
      </c>
      <c r="BZ2143" s="343">
        <f>SUMIFS($AV$1388:AV2144,$Q$1388:Q2144,"O")</f>
        <v>471.55929999966099</v>
      </c>
    </row>
    <row r="2144" spans="1:78" ht="15.75" customHeight="1">
      <c r="A2144" s="177" t="s">
        <v>6781</v>
      </c>
      <c r="B2144" s="200">
        <v>45446</v>
      </c>
      <c r="C2144" s="178" t="s">
        <v>1187</v>
      </c>
      <c r="D2144" s="178" t="s">
        <v>132</v>
      </c>
      <c r="E2144" s="227" t="s">
        <v>6829</v>
      </c>
      <c r="F2144" s="180" t="s">
        <v>6830</v>
      </c>
      <c r="G2144" s="181"/>
      <c r="H2144" s="182"/>
      <c r="I2144" s="182"/>
      <c r="J2144" s="182">
        <v>1</v>
      </c>
      <c r="K2144" s="183" t="s">
        <v>115</v>
      </c>
      <c r="L2144" s="182"/>
      <c r="M2144" s="182"/>
      <c r="N2144" s="182"/>
      <c r="O2144" s="183"/>
      <c r="P2144" s="183"/>
      <c r="Q2144" s="183"/>
      <c r="R2144" s="183"/>
      <c r="S2144" s="183"/>
      <c r="T2144" s="183"/>
      <c r="U2144" s="183"/>
      <c r="V2144" s="183"/>
      <c r="W2144" s="183"/>
      <c r="X2144" s="183"/>
      <c r="Y2144" s="184"/>
      <c r="Z2144" s="185"/>
      <c r="AA2144" s="185"/>
      <c r="AB2144" s="185"/>
      <c r="AC2144" s="185"/>
      <c r="AD2144" s="649"/>
      <c r="AE2144" s="182"/>
      <c r="AF2144" s="332"/>
      <c r="AG2144" s="182"/>
      <c r="AH2144" s="182"/>
      <c r="AI2144" s="182"/>
      <c r="AJ2144" s="640"/>
      <c r="AK2144" s="182"/>
      <c r="AL2144" s="496">
        <f t="shared" si="713"/>
        <v>0</v>
      </c>
      <c r="AM2144" s="496">
        <f t="shared" si="709"/>
        <v>0</v>
      </c>
      <c r="AN2144" s="626"/>
      <c r="AO2144" s="182"/>
      <c r="AP2144" s="182"/>
      <c r="AQ2144" s="332" t="str">
        <f>UPPER(RIGHT(Journal_Live[[#This Row],[DURATION ]]))</f>
        <v/>
      </c>
      <c r="AR2144" s="182"/>
      <c r="AS2144" s="189"/>
      <c r="AT2144" s="189"/>
      <c r="AU2144" s="187"/>
      <c r="AV2144" s="190"/>
      <c r="AW2144" s="191"/>
      <c r="AX2144" s="551" t="s">
        <v>6831</v>
      </c>
      <c r="AY2144" s="551" t="s">
        <v>6832</v>
      </c>
      <c r="AZ2144" s="551" t="s">
        <v>6833</v>
      </c>
      <c r="BA2144" s="551" t="s">
        <v>6834</v>
      </c>
      <c r="BB2144" s="551" t="s">
        <v>6835</v>
      </c>
      <c r="BC2144" s="551"/>
      <c r="BD2144" s="549"/>
      <c r="BE2144" s="550"/>
      <c r="BF2144" s="549"/>
      <c r="BG2144" s="391">
        <f>SUM($AV$1389:AV2144)</f>
        <v>4820.6140742929338</v>
      </c>
      <c r="BH2144" s="392">
        <f>SUM($AU$1389:AU2144)</f>
        <v>50214.63922077918</v>
      </c>
      <c r="BI2144" s="318">
        <f>SUMIFS($AU$1388:AU2145,$Q$1388:Q2145,"F")</f>
        <v>32973.293506493508</v>
      </c>
      <c r="BJ2144" s="318">
        <f>SUMIFS($AU$1388:AU2145,$Q$1388:Q2145,"S")</f>
        <v>20002.285714285714</v>
      </c>
      <c r="BK2144" s="343">
        <f>SUMIFS($AU$1388:AU2145,$P$1388:P2145,"W")</f>
        <v>31576.759220779561</v>
      </c>
      <c r="BL2144" s="343">
        <f>SUMIFS($AU$1388:AU2145,$P$1388:P2145,"R")</f>
        <v>15726.00000000016</v>
      </c>
      <c r="BM2144" s="343">
        <f>SUMIFS($AU$1388:AU2145,$AQ$1388:AQ2145,"M")</f>
        <v>10931.179999998967</v>
      </c>
      <c r="BN2144" s="343">
        <f>SUMIFS($AU$1388:AU2145,$AQ$1388:AQ2145,"H")</f>
        <v>14523.200000000877</v>
      </c>
      <c r="BO2144" s="343">
        <f>SUMIFS($AU$1388:AU2145,$AQ$1388:AQ2145,"D")</f>
        <v>8014.9928571427408</v>
      </c>
      <c r="BP2144" s="343">
        <f>SUMIFS($AS$1388:AS2695,$AO$1388:AO2695,"W")</f>
        <v>0</v>
      </c>
      <c r="BQ2144" s="343">
        <f>SUMIFS($AU$1388:AU2145,$Q$1388:Q2145,"O")</f>
        <v>-5384.9400000000251</v>
      </c>
      <c r="BR2144" s="343">
        <f>SUMIFS($AU$1388:AU2145,$AA$1388:AA2145,"*")</f>
        <v>37075.122077921827</v>
      </c>
      <c r="BS2144" s="343">
        <f>SUMIFS($AU$1388:AU2145,$AB$1388:AB2145,"*")</f>
        <v>12971.859999999973</v>
      </c>
      <c r="BT2144" s="343">
        <f>SUMIFS($AU$1388:AU2145,$AC$1388:AC2145,"*")</f>
        <v>40173.293506493676</v>
      </c>
      <c r="BU2144" s="343">
        <f>SUMIFS($AU$1388:AU2145,$AA$1388:AA2145,"*",$AB$1388:AB2145,"*")</f>
        <v>8011.9999999997544</v>
      </c>
      <c r="BV2144" s="343">
        <f>SUMIFS($AU$1388:AU2145,$AA$1388:AA2145,"*",$AC$1388:AC2145,"*")</f>
        <v>28153.636363636531</v>
      </c>
      <c r="BW2144" s="343">
        <f>SUMIFS($AU$1388:AU2145,$AB$1388:AB2145,"*",$AC$1388:AC2145,"*")</f>
        <v>9360</v>
      </c>
      <c r="BX2144" s="343">
        <f>SUMIFS($AV$1388:AV2145,$Q$1388:Q2145,"F")</f>
        <v>462.72914667325267</v>
      </c>
      <c r="BY2144" s="343">
        <f>SUMIFS($AV$1388:AV2145,$Q$1388:Q2145,"S")</f>
        <v>738.32562762001328</v>
      </c>
      <c r="BZ2144" s="343">
        <f>SUMIFS($AV$1388:AV2145,$Q$1388:Q2145,"O")</f>
        <v>471.55929999966099</v>
      </c>
    </row>
    <row r="2145" spans="1:78" ht="15.75" customHeight="1">
      <c r="A2145" s="177" t="s">
        <v>6781</v>
      </c>
      <c r="B2145" s="200">
        <v>45447</v>
      </c>
      <c r="C2145" s="178" t="s">
        <v>2020</v>
      </c>
      <c r="D2145" s="178" t="s">
        <v>146</v>
      </c>
      <c r="E2145" s="227" t="s">
        <v>6836</v>
      </c>
      <c r="F2145" s="180"/>
      <c r="G2145" s="181"/>
      <c r="H2145" s="182"/>
      <c r="I2145" s="182"/>
      <c r="J2145" s="182"/>
      <c r="K2145" s="183"/>
      <c r="L2145" s="182"/>
      <c r="M2145" s="182"/>
      <c r="N2145" s="182"/>
      <c r="O2145" s="183"/>
      <c r="P2145" s="183"/>
      <c r="Q2145" s="183"/>
      <c r="R2145" s="183"/>
      <c r="S2145" s="183"/>
      <c r="T2145" s="183"/>
      <c r="U2145" s="183"/>
      <c r="V2145" s="183"/>
      <c r="W2145" s="183"/>
      <c r="X2145" s="183"/>
      <c r="Y2145" s="184"/>
      <c r="Z2145" s="185"/>
      <c r="AA2145" s="185"/>
      <c r="AB2145" s="185"/>
      <c r="AC2145" s="185"/>
      <c r="AD2145" s="649"/>
      <c r="AE2145" s="182"/>
      <c r="AF2145" s="332"/>
      <c r="AG2145" s="182"/>
      <c r="AH2145" s="182"/>
      <c r="AI2145" s="182"/>
      <c r="AJ2145" s="640"/>
      <c r="AK2145" s="182"/>
      <c r="AL2145" s="496">
        <f t="shared" si="713"/>
        <v>0</v>
      </c>
      <c r="AM2145" s="496">
        <f t="shared" si="709"/>
        <v>0</v>
      </c>
      <c r="AN2145" s="626"/>
      <c r="AO2145" s="182"/>
      <c r="AP2145" s="182"/>
      <c r="AQ2145" s="332" t="str">
        <f>UPPER(RIGHT(Journal_Live[[#This Row],[DURATION ]]))</f>
        <v/>
      </c>
      <c r="AR2145" s="182"/>
      <c r="AS2145" s="189"/>
      <c r="AT2145" s="189"/>
      <c r="AU2145" s="187"/>
      <c r="AV2145" s="190"/>
      <c r="AW2145" s="191"/>
      <c r="AX2145" s="551"/>
      <c r="AY2145" s="551"/>
      <c r="AZ2145" s="551"/>
      <c r="BA2145" s="551"/>
      <c r="BB2145" s="551"/>
      <c r="BC2145" s="551"/>
      <c r="BD2145" s="549"/>
      <c r="BE2145" s="550"/>
      <c r="BF2145" s="549"/>
      <c r="BG2145" s="391">
        <f>SUM($AV$1389:AV2145)</f>
        <v>4820.6140742929338</v>
      </c>
      <c r="BH2145" s="392">
        <f>SUM($AU$1389:AU2145)</f>
        <v>50214.63922077918</v>
      </c>
      <c r="BI2145" s="318">
        <f>SUMIFS($AU$1388:AU2146,$Q$1388:Q2146,"F")</f>
        <v>32973.293506493508</v>
      </c>
      <c r="BJ2145" s="318">
        <f>SUMIFS($AU$1388:AU2146,$Q$1388:Q2146,"S")</f>
        <v>20002.285714285714</v>
      </c>
      <c r="BK2145" s="343">
        <f>SUMIFS($AU$1388:AU2146,$P$1388:P2146,"W")</f>
        <v>31576.759220779561</v>
      </c>
      <c r="BL2145" s="343">
        <f>SUMIFS($AU$1388:AU2146,$P$1388:P2146,"R")</f>
        <v>15726.00000000016</v>
      </c>
      <c r="BM2145" s="343">
        <f>SUMIFS($AU$1388:AU2146,$AQ$1388:AQ2146,"M")</f>
        <v>10931.179999998967</v>
      </c>
      <c r="BN2145" s="343">
        <f>SUMIFS($AU$1388:AU2146,$AQ$1388:AQ2146,"H")</f>
        <v>14523.200000000877</v>
      </c>
      <c r="BO2145" s="343">
        <f>SUMIFS($AU$1388:AU2146,$AQ$1388:AQ2146,"D")</f>
        <v>8014.9928571427408</v>
      </c>
      <c r="BP2145" s="343">
        <f>SUMIFS($AS$1388:AS2696,$AO$1388:AO2696,"W")</f>
        <v>0</v>
      </c>
      <c r="BQ2145" s="343">
        <f>SUMIFS($AU$1388:AU2146,$Q$1388:Q2146,"O")</f>
        <v>-5384.9400000000251</v>
      </c>
      <c r="BR2145" s="343">
        <f>SUMIFS($AU$1388:AU2146,$AA$1388:AA2146,"*")</f>
        <v>37075.122077921827</v>
      </c>
      <c r="BS2145" s="343">
        <f>SUMIFS($AU$1388:AU2146,$AB$1388:AB2146,"*")</f>
        <v>12971.859999999973</v>
      </c>
      <c r="BT2145" s="343">
        <f>SUMIFS($AU$1388:AU2146,$AC$1388:AC2146,"*")</f>
        <v>40173.293506493676</v>
      </c>
      <c r="BU2145" s="343">
        <f>SUMIFS($AU$1388:AU2146,$AA$1388:AA2146,"*",$AB$1388:AB2146,"*")</f>
        <v>8011.9999999997544</v>
      </c>
      <c r="BV2145" s="343">
        <f>SUMIFS($AU$1388:AU2146,$AA$1388:AA2146,"*",$AC$1388:AC2146,"*")</f>
        <v>28153.636363636531</v>
      </c>
      <c r="BW2145" s="343">
        <f>SUMIFS($AU$1388:AU2146,$AB$1388:AB2146,"*",$AC$1388:AC2146,"*")</f>
        <v>9360</v>
      </c>
      <c r="BX2145" s="343">
        <f>SUMIFS($AV$1388:AV2146,$Q$1388:Q2146,"F")</f>
        <v>462.72914667325267</v>
      </c>
      <c r="BY2145" s="343">
        <f>SUMIFS($AV$1388:AV2146,$Q$1388:Q2146,"S")</f>
        <v>738.32562762001328</v>
      </c>
      <c r="BZ2145" s="343">
        <f>SUMIFS($AV$1388:AV2146,$Q$1388:Q2146,"O")</f>
        <v>471.55929999966099</v>
      </c>
    </row>
    <row r="2146" spans="1:78" ht="15.75" customHeight="1">
      <c r="A2146" s="177" t="s">
        <v>6781</v>
      </c>
      <c r="B2146" s="200">
        <v>45447</v>
      </c>
      <c r="C2146" s="178" t="s">
        <v>3336</v>
      </c>
      <c r="D2146" s="178" t="s">
        <v>146</v>
      </c>
      <c r="E2146" s="227"/>
      <c r="F2146" s="180"/>
      <c r="G2146" s="181" t="s">
        <v>6399</v>
      </c>
      <c r="H2146" s="182"/>
      <c r="I2146" s="182"/>
      <c r="J2146" s="182"/>
      <c r="K2146" s="183"/>
      <c r="L2146" s="182"/>
      <c r="M2146" s="182"/>
      <c r="N2146" s="182"/>
      <c r="O2146" s="183"/>
      <c r="P2146" s="183"/>
      <c r="Q2146" s="183"/>
      <c r="R2146" s="183"/>
      <c r="S2146" s="183"/>
      <c r="T2146" s="183"/>
      <c r="U2146" s="183"/>
      <c r="V2146" s="183"/>
      <c r="W2146" s="183"/>
      <c r="X2146" s="183"/>
      <c r="Y2146" s="184"/>
      <c r="Z2146" s="185"/>
      <c r="AA2146" s="185"/>
      <c r="AB2146" s="185"/>
      <c r="AC2146" s="185"/>
      <c r="AD2146" s="649"/>
      <c r="AE2146" s="182"/>
      <c r="AF2146" s="332"/>
      <c r="AG2146" s="182"/>
      <c r="AH2146" s="182"/>
      <c r="AI2146" s="182"/>
      <c r="AJ2146" s="640" t="s">
        <v>6837</v>
      </c>
      <c r="AK2146" s="182"/>
      <c r="AL2146" s="496">
        <f t="shared" si="713"/>
        <v>0</v>
      </c>
      <c r="AM2146" s="496">
        <f t="shared" si="709"/>
        <v>0</v>
      </c>
      <c r="AN2146" s="626"/>
      <c r="AO2146" s="182"/>
      <c r="AP2146" s="182"/>
      <c r="AQ2146" s="332" t="str">
        <f>UPPER(RIGHT(Journal_Live[[#This Row],[DURATION ]]))</f>
        <v/>
      </c>
      <c r="AR2146" s="182"/>
      <c r="AS2146" s="189"/>
      <c r="AT2146" s="189"/>
      <c r="AU2146" s="187"/>
      <c r="AV2146" s="190"/>
      <c r="AW2146" s="191"/>
      <c r="AX2146" s="185" t="s">
        <v>6838</v>
      </c>
      <c r="AY2146" s="551" t="s">
        <v>6839</v>
      </c>
      <c r="AZ2146" s="551" t="s">
        <v>6840</v>
      </c>
      <c r="BA2146" s="551"/>
      <c r="BB2146" s="551"/>
      <c r="BC2146" s="551"/>
      <c r="BD2146" s="549" t="s">
        <v>6841</v>
      </c>
      <c r="BE2146" s="550"/>
      <c r="BF2146" s="549"/>
      <c r="BG2146" s="391">
        <f>SUM($AV$1389:AV2146)</f>
        <v>4820.6140742929338</v>
      </c>
      <c r="BH2146" s="392">
        <f>SUM($AU$1389:AU2146)</f>
        <v>50214.63922077918</v>
      </c>
      <c r="BI2146" s="318">
        <f>SUMIFS($AU$1388:AU2147,$Q$1388:Q2147,"F")</f>
        <v>32973.293506493508</v>
      </c>
      <c r="BJ2146" s="318">
        <f>SUMIFS($AU$1388:AU2147,$Q$1388:Q2147,"S")</f>
        <v>20002.285714285714</v>
      </c>
      <c r="BK2146" s="343">
        <f>SUMIFS($AU$1388:AU2147,$P$1388:P2147,"W")</f>
        <v>31576.759220779561</v>
      </c>
      <c r="BL2146" s="343">
        <f>SUMIFS($AU$1388:AU2147,$P$1388:P2147,"R")</f>
        <v>15726.00000000016</v>
      </c>
      <c r="BM2146" s="343">
        <f>SUMIFS($AU$1388:AU2147,$AQ$1388:AQ2147,"M")</f>
        <v>10931.179999998967</v>
      </c>
      <c r="BN2146" s="343">
        <f>SUMIFS($AU$1388:AU2147,$AQ$1388:AQ2147,"H")</f>
        <v>14523.200000000877</v>
      </c>
      <c r="BO2146" s="343">
        <f>SUMIFS($AU$1388:AU2147,$AQ$1388:AQ2147,"D")</f>
        <v>8014.9928571427408</v>
      </c>
      <c r="BP2146" s="343">
        <f>SUMIFS($AS$1388:AS2697,$AO$1388:AO2697,"W")</f>
        <v>0</v>
      </c>
      <c r="BQ2146" s="343">
        <f>SUMIFS($AU$1388:AU2147,$Q$1388:Q2147,"O")</f>
        <v>-5384.9400000000251</v>
      </c>
      <c r="BR2146" s="343">
        <f>SUMIFS($AU$1388:AU2147,$AA$1388:AA2147,"*")</f>
        <v>37075.122077921827</v>
      </c>
      <c r="BS2146" s="343">
        <f>SUMIFS($AU$1388:AU2147,$AB$1388:AB2147,"*")</f>
        <v>12971.859999999973</v>
      </c>
      <c r="BT2146" s="343">
        <f>SUMIFS($AU$1388:AU2147,$AC$1388:AC2147,"*")</f>
        <v>40173.293506493676</v>
      </c>
      <c r="BU2146" s="343">
        <f>SUMIFS($AU$1388:AU2147,$AA$1388:AA2147,"*",$AB$1388:AB2147,"*")</f>
        <v>8011.9999999997544</v>
      </c>
      <c r="BV2146" s="343">
        <f>SUMIFS($AU$1388:AU2147,$AA$1388:AA2147,"*",$AC$1388:AC2147,"*")</f>
        <v>28153.636363636531</v>
      </c>
      <c r="BW2146" s="343">
        <f>SUMIFS($AU$1388:AU2147,$AB$1388:AB2147,"*",$AC$1388:AC2147,"*")</f>
        <v>9360</v>
      </c>
      <c r="BX2146" s="343">
        <f>SUMIFS($AV$1388:AV2147,$Q$1388:Q2147,"F")</f>
        <v>462.72914667325267</v>
      </c>
      <c r="BY2146" s="343">
        <f>SUMIFS($AV$1388:AV2147,$Q$1388:Q2147,"S")</f>
        <v>738.32562762001328</v>
      </c>
      <c r="BZ2146" s="343">
        <f>SUMIFS($AV$1388:AV2147,$Q$1388:Q2147,"O")</f>
        <v>471.55929999966099</v>
      </c>
    </row>
    <row r="2147" spans="1:78" ht="15.75" customHeight="1">
      <c r="A2147" s="177" t="s">
        <v>6781</v>
      </c>
      <c r="B2147" s="200">
        <v>45447</v>
      </c>
      <c r="C2147" s="178" t="s">
        <v>2060</v>
      </c>
      <c r="D2147" s="178" t="s">
        <v>146</v>
      </c>
      <c r="E2147" s="227" t="s">
        <v>6842</v>
      </c>
      <c r="F2147" s="180"/>
      <c r="G2147" s="181"/>
      <c r="H2147" s="182"/>
      <c r="I2147" s="182"/>
      <c r="J2147" s="182">
        <v>1</v>
      </c>
      <c r="K2147" s="183" t="s">
        <v>115</v>
      </c>
      <c r="L2147" s="182"/>
      <c r="M2147" s="182"/>
      <c r="N2147" s="182"/>
      <c r="O2147" s="183"/>
      <c r="P2147" s="183"/>
      <c r="Q2147" s="183"/>
      <c r="R2147" s="183"/>
      <c r="S2147" s="183"/>
      <c r="T2147" s="183"/>
      <c r="U2147" s="183"/>
      <c r="V2147" s="183"/>
      <c r="W2147" s="183"/>
      <c r="X2147" s="183"/>
      <c r="Y2147" s="183"/>
      <c r="Z2147" s="183"/>
      <c r="AA2147" s="185"/>
      <c r="AB2147" s="185"/>
      <c r="AC2147" s="185"/>
      <c r="AD2147" s="649"/>
      <c r="AE2147" s="182"/>
      <c r="AF2147" s="332"/>
      <c r="AG2147" s="182"/>
      <c r="AH2147" s="182"/>
      <c r="AI2147" s="182"/>
      <c r="AJ2147" s="640"/>
      <c r="AK2147" s="182"/>
      <c r="AL2147" s="496">
        <f t="shared" si="713"/>
        <v>0</v>
      </c>
      <c r="AM2147" s="496">
        <f t="shared" si="709"/>
        <v>0</v>
      </c>
      <c r="AN2147" s="626"/>
      <c r="AO2147" s="182"/>
      <c r="AP2147" s="182"/>
      <c r="AQ2147" s="332" t="str">
        <f>UPPER(RIGHT(Journal_Live[[#This Row],[DURATION ]]))</f>
        <v/>
      </c>
      <c r="AR2147" s="182"/>
      <c r="AS2147" s="189"/>
      <c r="AT2147" s="189"/>
      <c r="AU2147" s="187"/>
      <c r="AV2147" s="190"/>
      <c r="AW2147" s="191"/>
      <c r="AX2147" s="551" t="s">
        <v>6843</v>
      </c>
      <c r="AY2147" s="551"/>
      <c r="AZ2147" s="551"/>
      <c r="BA2147" s="551"/>
      <c r="BB2147" s="551"/>
      <c r="BC2147" s="551"/>
      <c r="BD2147" s="549"/>
      <c r="BE2147" s="550"/>
      <c r="BF2147" s="549"/>
      <c r="BG2147" s="391">
        <f>SUM($AV$1389:AV2147)</f>
        <v>4820.6140742929338</v>
      </c>
      <c r="BH2147" s="392">
        <f>SUM($AU$1389:AU2147)</f>
        <v>50214.63922077918</v>
      </c>
      <c r="BI2147" s="318">
        <f>SUMIFS($AU$1388:AU2148,$Q$1388:Q2148,"F")</f>
        <v>32973.293506493508</v>
      </c>
      <c r="BJ2147" s="318">
        <f>SUMIFS($AU$1388:AU2148,$Q$1388:Q2148,"S")</f>
        <v>21202.285714285714</v>
      </c>
      <c r="BK2147" s="343">
        <f>SUMIFS($AU$1388:AU2148,$P$1388:P2148,"W")</f>
        <v>32776.759220779561</v>
      </c>
      <c r="BL2147" s="343">
        <f>SUMIFS($AU$1388:AU2148,$P$1388:P2148,"R")</f>
        <v>15726.00000000016</v>
      </c>
      <c r="BM2147" s="343">
        <f>SUMIFS($AU$1388:AU2148,$AQ$1388:AQ2148,"M")</f>
        <v>12131.179999998967</v>
      </c>
      <c r="BN2147" s="343">
        <f>SUMIFS($AU$1388:AU2148,$AQ$1388:AQ2148,"H")</f>
        <v>14523.200000000877</v>
      </c>
      <c r="BO2147" s="343">
        <f>SUMIFS($AU$1388:AU2148,$AQ$1388:AQ2148,"D")</f>
        <v>8014.9928571427408</v>
      </c>
      <c r="BP2147" s="343">
        <f>SUMIFS($AS$1388:AS2698,$AO$1388:AO2698,"W")</f>
        <v>0</v>
      </c>
      <c r="BQ2147" s="343">
        <f>SUMIFS($AU$1388:AU2148,$Q$1388:Q2148,"O")</f>
        <v>-5384.9400000000251</v>
      </c>
      <c r="BR2147" s="343">
        <f>SUMIFS($AU$1388:AU2148,$AA$1388:AA2148,"*")</f>
        <v>38275.122077921827</v>
      </c>
      <c r="BS2147" s="343">
        <f>SUMIFS($AU$1388:AU2148,$AB$1388:AB2148,"*")</f>
        <v>12971.859999999973</v>
      </c>
      <c r="BT2147" s="343">
        <f>SUMIFS($AU$1388:AU2148,$AC$1388:AC2148,"*")</f>
        <v>41373.293506493676</v>
      </c>
      <c r="BU2147" s="343">
        <f>SUMIFS($AU$1388:AU2148,$AA$1388:AA2148,"*",$AB$1388:AB2148,"*")</f>
        <v>8011.9999999997544</v>
      </c>
      <c r="BV2147" s="343">
        <f>SUMIFS($AU$1388:AU2148,$AA$1388:AA2148,"*",$AC$1388:AC2148,"*")</f>
        <v>29353.636363636531</v>
      </c>
      <c r="BW2147" s="343">
        <f>SUMIFS($AU$1388:AU2148,$AB$1388:AB2148,"*",$AC$1388:AC2148,"*")</f>
        <v>9360</v>
      </c>
      <c r="BX2147" s="343">
        <f>SUMIFS($AV$1388:AV2148,$Q$1388:Q2148,"F")</f>
        <v>462.72914667325267</v>
      </c>
      <c r="BY2147" s="343">
        <f>SUMIFS($AV$1388:AV2148,$Q$1388:Q2148,"S")</f>
        <v>754.32562762001328</v>
      </c>
      <c r="BZ2147" s="343">
        <f>SUMIFS($AV$1388:AV2148,$Q$1388:Q2148,"O")</f>
        <v>471.55929999966099</v>
      </c>
    </row>
    <row r="2148" spans="1:78" ht="15.75" customHeight="1">
      <c r="A2148" s="177" t="s">
        <v>6781</v>
      </c>
      <c r="B2148" s="200">
        <v>45447</v>
      </c>
      <c r="C2148" s="178" t="s">
        <v>682</v>
      </c>
      <c r="D2148" s="178" t="s">
        <v>146</v>
      </c>
      <c r="E2148" s="227"/>
      <c r="F2148" s="180"/>
      <c r="G2148" s="481" t="s">
        <v>2016</v>
      </c>
      <c r="H2148" s="182"/>
      <c r="I2148" s="182"/>
      <c r="J2148" s="182"/>
      <c r="K2148" s="183"/>
      <c r="L2148" s="182"/>
      <c r="M2148" s="182">
        <v>2</v>
      </c>
      <c r="N2148" s="182"/>
      <c r="O2148" s="183" t="s">
        <v>95</v>
      </c>
      <c r="P2148" s="183" t="s">
        <v>96</v>
      </c>
      <c r="Q2148" s="183" t="s">
        <v>97</v>
      </c>
      <c r="R2148" s="183">
        <v>75</v>
      </c>
      <c r="S2148" s="183">
        <v>0</v>
      </c>
      <c r="T2148" s="183">
        <v>75</v>
      </c>
      <c r="U2148" s="183" t="s">
        <v>22</v>
      </c>
      <c r="V2148" s="183"/>
      <c r="W2148" s="183"/>
      <c r="X2148" s="183"/>
      <c r="Y2148" s="184">
        <f>IF(ISBLANK(O2148),"",(IF(O2148=UPPER("IB"),0.005,0.01)))</f>
        <v>0.01</v>
      </c>
      <c r="Z2148" s="185">
        <f>IF(ISBLANK(O2148),"",IF(O2148="IB",8.63*200,IF(O2148="IR",16*100,IF(O2148="YT",20*100,IF(O2148="YT-XT",24*200,IF(O2148="TED",80*100,IF(O2148="IR|YT",300*100)))))))</f>
        <v>1600</v>
      </c>
      <c r="AA2148" s="185" t="s">
        <v>6844</v>
      </c>
      <c r="AB2148" s="185"/>
      <c r="AC2148" s="185" t="s">
        <v>6845</v>
      </c>
      <c r="AD2148" s="649">
        <v>-0.05</v>
      </c>
      <c r="AE2148" s="182"/>
      <c r="AF2148" s="332"/>
      <c r="AG2148" s="182"/>
      <c r="AH2148" s="182"/>
      <c r="AI2148" s="182"/>
      <c r="AJ2148" s="640"/>
      <c r="AK2148" s="182"/>
      <c r="AL2148" s="496">
        <f t="shared" si="713"/>
        <v>-32</v>
      </c>
      <c r="AM2148" s="496">
        <f t="shared" si="709"/>
        <v>-2400</v>
      </c>
      <c r="AN2148" s="626"/>
      <c r="AO2148" s="182"/>
      <c r="AP2148" s="182" t="s">
        <v>6846</v>
      </c>
      <c r="AQ2148" s="332" t="s">
        <v>1259</v>
      </c>
      <c r="AR2148" s="182" t="s">
        <v>6472</v>
      </c>
      <c r="AS2148" s="189">
        <v>-0.04</v>
      </c>
      <c r="AT2148" s="189">
        <f>IF(ISBLANK(AS2148),,IF(U2148="S",AD2148-AS2148,AS2148-AD2148))</f>
        <v>1.0000000000000002E-2</v>
      </c>
      <c r="AU2148" s="187">
        <f>AV2148*R2148</f>
        <v>1200.0000000000002</v>
      </c>
      <c r="AV2148" s="190">
        <f t="shared" si="714"/>
        <v>16.000000000000004</v>
      </c>
      <c r="AW2148" s="191" t="s">
        <v>96</v>
      </c>
      <c r="AX2148" s="551"/>
      <c r="AY2148" s="551"/>
      <c r="AZ2148" s="551"/>
      <c r="BA2148" s="551"/>
      <c r="BB2148" s="551"/>
      <c r="BC2148" s="551"/>
      <c r="BD2148" s="549"/>
      <c r="BE2148" s="550"/>
      <c r="BF2148" s="549"/>
      <c r="BG2148" s="391">
        <f>SUM($AV$1389:AV2148)</f>
        <v>4836.6140742929338</v>
      </c>
      <c r="BH2148" s="392">
        <f>SUM($AU$1389:AU2148)</f>
        <v>51414.63922077918</v>
      </c>
      <c r="BI2148" s="318">
        <f>SUMIFS($AU$1388:AU2149,$Q$1388:Q2149,"F")</f>
        <v>32973.293506493508</v>
      </c>
      <c r="BJ2148" s="318">
        <f>SUMIFS($AU$1388:AU2149,$Q$1388:Q2149,"S")</f>
        <v>21202.285714285714</v>
      </c>
      <c r="BK2148" s="343">
        <f>SUMIFS($AU$1388:AU2149,$P$1388:P2149,"W")</f>
        <v>32776.759220779561</v>
      </c>
      <c r="BL2148" s="343">
        <f>SUMIFS($AU$1388:AU2149,$P$1388:P2149,"R")</f>
        <v>15726.00000000016</v>
      </c>
      <c r="BM2148" s="343">
        <f>SUMIFS($AU$1388:AU2149,$AQ$1388:AQ2149,"M")</f>
        <v>12131.179999998967</v>
      </c>
      <c r="BN2148" s="343">
        <f>SUMIFS($AU$1388:AU2149,$AQ$1388:AQ2149,"H")</f>
        <v>14523.200000000877</v>
      </c>
      <c r="BO2148" s="343">
        <f>SUMIFS($AU$1388:AU2149,$AQ$1388:AQ2149,"D")</f>
        <v>8014.9928571427408</v>
      </c>
      <c r="BP2148" s="343">
        <f>SUMIFS($AS$1388:AS2699,$AO$1388:AO2699,"W")</f>
        <v>0</v>
      </c>
      <c r="BQ2148" s="343">
        <f>SUMIFS($AU$1388:AU2149,$Q$1388:Q2149,"O")</f>
        <v>-5384.9400000000251</v>
      </c>
      <c r="BR2148" s="343">
        <f>SUMIFS($AU$1388:AU2149,$AA$1388:AA2149,"*")</f>
        <v>38275.122077921827</v>
      </c>
      <c r="BS2148" s="343">
        <f>SUMIFS($AU$1388:AU2149,$AB$1388:AB2149,"*")</f>
        <v>12971.859999999973</v>
      </c>
      <c r="BT2148" s="343">
        <f>SUMIFS($AU$1388:AU2149,$AC$1388:AC2149,"*")</f>
        <v>41373.293506493676</v>
      </c>
      <c r="BU2148" s="343">
        <f>SUMIFS($AU$1388:AU2149,$AA$1388:AA2149,"*",$AB$1388:AB2149,"*")</f>
        <v>8011.9999999997544</v>
      </c>
      <c r="BV2148" s="343">
        <f>SUMIFS($AU$1388:AU2149,$AA$1388:AA2149,"*",$AC$1388:AC2149,"*")</f>
        <v>29353.636363636531</v>
      </c>
      <c r="BW2148" s="343">
        <f>SUMIFS($AU$1388:AU2149,$AB$1388:AB2149,"*",$AC$1388:AC2149,"*")</f>
        <v>9360</v>
      </c>
      <c r="BX2148" s="343">
        <f>SUMIFS($AV$1388:AV2149,$Q$1388:Q2149,"F")</f>
        <v>462.72914667325267</v>
      </c>
      <c r="BY2148" s="343">
        <f>SUMIFS($AV$1388:AV2149,$Q$1388:Q2149,"S")</f>
        <v>754.32562762001328</v>
      </c>
      <c r="BZ2148" s="343">
        <f>SUMIFS($AV$1388:AV2149,$Q$1388:Q2149,"O")</f>
        <v>471.55929999966099</v>
      </c>
    </row>
    <row r="2149" spans="1:78" ht="15.75" customHeight="1">
      <c r="A2149" s="177" t="s">
        <v>6781</v>
      </c>
      <c r="B2149" s="200">
        <v>45448</v>
      </c>
      <c r="C2149" s="178" t="s">
        <v>2020</v>
      </c>
      <c r="D2149" s="178" t="s">
        <v>151</v>
      </c>
      <c r="E2149" s="227" t="s">
        <v>6847</v>
      </c>
      <c r="F2149" s="180" t="s">
        <v>6848</v>
      </c>
      <c r="G2149" s="181"/>
      <c r="H2149" s="182">
        <v>1</v>
      </c>
      <c r="I2149" s="182"/>
      <c r="J2149" s="182"/>
      <c r="K2149" s="183" t="s">
        <v>115</v>
      </c>
      <c r="L2149" s="182"/>
      <c r="M2149" s="182"/>
      <c r="N2149" s="182"/>
      <c r="O2149" s="183"/>
      <c r="P2149" s="183"/>
      <c r="Q2149" s="183"/>
      <c r="R2149" s="183"/>
      <c r="S2149" s="183"/>
      <c r="T2149" s="183"/>
      <c r="U2149" s="183"/>
      <c r="V2149" s="183"/>
      <c r="W2149" s="183"/>
      <c r="X2149" s="183"/>
      <c r="Y2149" s="183"/>
      <c r="Z2149" s="183"/>
      <c r="AA2149" s="185"/>
      <c r="AB2149" s="185"/>
      <c r="AC2149" s="185"/>
      <c r="AD2149" s="649"/>
      <c r="AE2149" s="182"/>
      <c r="AF2149" s="332"/>
      <c r="AG2149" s="182"/>
      <c r="AH2149" s="182"/>
      <c r="AI2149" s="182"/>
      <c r="AJ2149" s="640"/>
      <c r="AK2149" s="182"/>
      <c r="AL2149" s="496">
        <f t="shared" si="713"/>
        <v>0</v>
      </c>
      <c r="AM2149" s="496">
        <f t="shared" si="709"/>
        <v>0</v>
      </c>
      <c r="AN2149" s="626"/>
      <c r="AO2149" s="182"/>
      <c r="AP2149" s="182"/>
      <c r="AQ2149" s="332" t="str">
        <f>UPPER(RIGHT(Journal_Live[[#This Row],[DURATION ]]))</f>
        <v/>
      </c>
      <c r="AR2149" s="182"/>
      <c r="AS2149" s="189"/>
      <c r="AT2149" s="189"/>
      <c r="AU2149" s="187"/>
      <c r="AV2149" s="190"/>
      <c r="AW2149" s="191"/>
      <c r="AX2149" s="551"/>
      <c r="AY2149" s="551"/>
      <c r="AZ2149" s="551"/>
      <c r="BA2149" s="551"/>
      <c r="BB2149" s="551"/>
      <c r="BC2149" s="551"/>
      <c r="BD2149" s="549"/>
      <c r="BE2149" s="550"/>
      <c r="BF2149" s="549"/>
      <c r="BG2149" s="391">
        <f>SUM($AV$1389:AV2149)</f>
        <v>4836.6140742929338</v>
      </c>
      <c r="BH2149" s="392">
        <f>SUM($AU$1389:AU2149)</f>
        <v>51414.63922077918</v>
      </c>
      <c r="BI2149" s="318">
        <f>SUMIFS($AU$1388:AU2150,$Q$1388:Q2150,"F")</f>
        <v>32973.293506493508</v>
      </c>
      <c r="BJ2149" s="318">
        <f>SUMIFS($AU$1388:AU2150,$Q$1388:Q2150,"S")</f>
        <v>21202.285714285714</v>
      </c>
      <c r="BK2149" s="343">
        <f>SUMIFS($AU$1388:AU2150,$P$1388:P2150,"W")</f>
        <v>32776.759220779561</v>
      </c>
      <c r="BL2149" s="343">
        <f>SUMIFS($AU$1388:AU2150,$P$1388:P2150,"R")</f>
        <v>15726.00000000016</v>
      </c>
      <c r="BM2149" s="343">
        <f>SUMIFS($AU$1388:AU2150,$AQ$1388:AQ2150,"M")</f>
        <v>12131.179999998967</v>
      </c>
      <c r="BN2149" s="343">
        <f>SUMIFS($AU$1388:AU2150,$AQ$1388:AQ2150,"H")</f>
        <v>14523.200000000877</v>
      </c>
      <c r="BO2149" s="343">
        <f>SUMIFS($AU$1388:AU2150,$AQ$1388:AQ2150,"D")</f>
        <v>8014.9928571427408</v>
      </c>
      <c r="BP2149" s="343">
        <f>SUMIFS($AS$1388:AS2700,$AO$1388:AO2700,"W")</f>
        <v>0</v>
      </c>
      <c r="BQ2149" s="343">
        <f>SUMIFS($AU$1388:AU2150,$Q$1388:Q2150,"O")</f>
        <v>-5384.9400000000251</v>
      </c>
      <c r="BR2149" s="343">
        <f>SUMIFS($AU$1388:AU2150,$AA$1388:AA2150,"*")</f>
        <v>38275.122077921827</v>
      </c>
      <c r="BS2149" s="343">
        <f>SUMIFS($AU$1388:AU2150,$AB$1388:AB2150,"*")</f>
        <v>12971.859999999973</v>
      </c>
      <c r="BT2149" s="343">
        <f>SUMIFS($AU$1388:AU2150,$AC$1388:AC2150,"*")</f>
        <v>41373.293506493676</v>
      </c>
      <c r="BU2149" s="343">
        <f>SUMIFS($AU$1388:AU2150,$AA$1388:AA2150,"*",$AB$1388:AB2150,"*")</f>
        <v>8011.9999999997544</v>
      </c>
      <c r="BV2149" s="343">
        <f>SUMIFS($AU$1388:AU2150,$AA$1388:AA2150,"*",$AC$1388:AC2150,"*")</f>
        <v>29353.636363636531</v>
      </c>
      <c r="BW2149" s="343">
        <f>SUMIFS($AU$1388:AU2150,$AB$1388:AB2150,"*",$AC$1388:AC2150,"*")</f>
        <v>9360</v>
      </c>
      <c r="BX2149" s="343">
        <f>SUMIFS($AV$1388:AV2150,$Q$1388:Q2150,"F")</f>
        <v>462.72914667325267</v>
      </c>
      <c r="BY2149" s="343">
        <f>SUMIFS($AV$1388:AV2150,$Q$1388:Q2150,"S")</f>
        <v>754.32562762001328</v>
      </c>
      <c r="BZ2149" s="343">
        <f>SUMIFS($AV$1388:AV2150,$Q$1388:Q2150,"O")</f>
        <v>471.55929999966099</v>
      </c>
    </row>
    <row r="2150" spans="1:78" ht="15.75" customHeight="1">
      <c r="A2150" s="177" t="s">
        <v>6781</v>
      </c>
      <c r="B2150" s="200"/>
      <c r="C2150" s="178"/>
      <c r="D2150" s="178"/>
      <c r="E2150" s="227" t="s">
        <v>6849</v>
      </c>
      <c r="F2150" s="180" t="s">
        <v>6848</v>
      </c>
      <c r="G2150" s="181"/>
      <c r="H2150" s="182">
        <v>1</v>
      </c>
      <c r="I2150" s="182"/>
      <c r="J2150" s="182"/>
      <c r="K2150" s="183" t="s">
        <v>115</v>
      </c>
      <c r="L2150" s="182"/>
      <c r="M2150" s="182"/>
      <c r="N2150" s="182"/>
      <c r="O2150" s="183"/>
      <c r="P2150" s="183"/>
      <c r="Q2150" s="183"/>
      <c r="R2150" s="183"/>
      <c r="S2150" s="183"/>
      <c r="T2150" s="183"/>
      <c r="U2150" s="183"/>
      <c r="V2150" s="183"/>
      <c r="W2150" s="183"/>
      <c r="X2150" s="183"/>
      <c r="Y2150" s="183"/>
      <c r="Z2150" s="183"/>
      <c r="AA2150" s="185"/>
      <c r="AB2150" s="185"/>
      <c r="AC2150" s="185"/>
      <c r="AD2150" s="649"/>
      <c r="AE2150" s="182"/>
      <c r="AF2150" s="332"/>
      <c r="AG2150" s="182"/>
      <c r="AH2150" s="182"/>
      <c r="AI2150" s="182"/>
      <c r="AJ2150" s="640"/>
      <c r="AK2150" s="182"/>
      <c r="AL2150" s="496">
        <f t="shared" si="712"/>
        <v>0</v>
      </c>
      <c r="AM2150" s="496">
        <f t="shared" si="709"/>
        <v>0</v>
      </c>
      <c r="AN2150" s="626"/>
      <c r="AO2150" s="182"/>
      <c r="AP2150" s="182"/>
      <c r="AQ2150" s="332" t="str">
        <f>UPPER(RIGHT(Journal_Live[[#This Row],[DURATION ]]))</f>
        <v/>
      </c>
      <c r="AR2150" s="182"/>
      <c r="AS2150" s="189"/>
      <c r="AT2150" s="189"/>
      <c r="AU2150" s="187"/>
      <c r="AV2150" s="190"/>
      <c r="AW2150" s="191"/>
      <c r="AX2150" s="551"/>
      <c r="AY2150" s="551"/>
      <c r="AZ2150" s="551"/>
      <c r="BA2150" s="551"/>
      <c r="BB2150" s="551"/>
      <c r="BC2150" s="551"/>
      <c r="BD2150" s="549"/>
      <c r="BE2150" s="550"/>
      <c r="BF2150" s="549"/>
      <c r="BG2150" s="391">
        <f>SUM($AV$1389:AV2150)</f>
        <v>4836.6140742929338</v>
      </c>
      <c r="BH2150" s="392">
        <f>SUM($AU$1389:AU2150)</f>
        <v>51414.63922077918</v>
      </c>
      <c r="BI2150" s="318">
        <f>SUMIFS($AU$1388:AU2151,$Q$1388:Q2151,"F")</f>
        <v>32973.293506493508</v>
      </c>
      <c r="BJ2150" s="318">
        <f>SUMIFS($AU$1388:AU2151,$Q$1388:Q2151,"S")</f>
        <v>21202.285714285714</v>
      </c>
      <c r="BK2150" s="343">
        <f>SUMIFS($AU$1388:AU2151,$P$1388:P2151,"W")</f>
        <v>32776.759220779561</v>
      </c>
      <c r="BL2150" s="343">
        <f>SUMIFS($AU$1388:AU2151,$P$1388:P2151,"R")</f>
        <v>15726.00000000016</v>
      </c>
      <c r="BM2150" s="343">
        <f>SUMIFS($AU$1388:AU2151,$AQ$1388:AQ2151,"M")</f>
        <v>12131.179999998967</v>
      </c>
      <c r="BN2150" s="343">
        <f>SUMIFS($AU$1388:AU2151,$AQ$1388:AQ2151,"H")</f>
        <v>14523.200000000877</v>
      </c>
      <c r="BO2150" s="343">
        <f>SUMIFS($AU$1388:AU2151,$AQ$1388:AQ2151,"D")</f>
        <v>8014.9928571427408</v>
      </c>
      <c r="BP2150" s="343">
        <f>SUMIFS($AS$1388:AS2701,$AO$1388:AO2701,"W")</f>
        <v>0</v>
      </c>
      <c r="BQ2150" s="343">
        <f>SUMIFS($AU$1388:AU2151,$Q$1388:Q2151,"O")</f>
        <v>-5384.9400000000251</v>
      </c>
      <c r="BR2150" s="343">
        <f>SUMIFS($AU$1388:AU2151,$AA$1388:AA2151,"*")</f>
        <v>38275.122077921827</v>
      </c>
      <c r="BS2150" s="343">
        <f>SUMIFS($AU$1388:AU2151,$AB$1388:AB2151,"*")</f>
        <v>12971.859999999973</v>
      </c>
      <c r="BT2150" s="343">
        <f>SUMIFS($AU$1388:AU2151,$AC$1388:AC2151,"*")</f>
        <v>41373.293506493676</v>
      </c>
      <c r="BU2150" s="343">
        <f>SUMIFS($AU$1388:AU2151,$AA$1388:AA2151,"*",$AB$1388:AB2151,"*")</f>
        <v>8011.9999999997544</v>
      </c>
      <c r="BV2150" s="343">
        <f>SUMIFS($AU$1388:AU2151,$AA$1388:AA2151,"*",$AC$1388:AC2151,"*")</f>
        <v>29353.636363636531</v>
      </c>
      <c r="BW2150" s="343">
        <f>SUMIFS($AU$1388:AU2151,$AB$1388:AB2151,"*",$AC$1388:AC2151,"*")</f>
        <v>9360</v>
      </c>
      <c r="BX2150" s="343">
        <f>SUMIFS($AV$1388:AV2151,$Q$1388:Q2151,"F")</f>
        <v>462.72914667325267</v>
      </c>
      <c r="BY2150" s="343">
        <f>SUMIFS($AV$1388:AV2151,$Q$1388:Q2151,"S")</f>
        <v>754.32562762001328</v>
      </c>
      <c r="BZ2150" s="343">
        <f>SUMIFS($AV$1388:AV2151,$Q$1388:Q2151,"O")</f>
        <v>471.55929999966099</v>
      </c>
    </row>
    <row r="2151" spans="1:78" ht="15.75" customHeight="1">
      <c r="A2151" s="177" t="s">
        <v>6781</v>
      </c>
      <c r="B2151" s="200">
        <v>45448</v>
      </c>
      <c r="C2151" s="178" t="s">
        <v>4058</v>
      </c>
      <c r="D2151" s="178" t="s">
        <v>151</v>
      </c>
      <c r="E2151" s="227"/>
      <c r="F2151" s="180"/>
      <c r="G2151" s="181" t="s">
        <v>4147</v>
      </c>
      <c r="H2151" s="182"/>
      <c r="I2151" s="182"/>
      <c r="J2151" s="182"/>
      <c r="K2151" s="183"/>
      <c r="L2151" s="182"/>
      <c r="M2151" s="182"/>
      <c r="N2151" s="182"/>
      <c r="O2151" s="183"/>
      <c r="P2151" s="183"/>
      <c r="Q2151" s="183"/>
      <c r="R2151" s="183"/>
      <c r="S2151" s="183"/>
      <c r="T2151" s="183"/>
      <c r="U2151" s="183"/>
      <c r="V2151" s="183"/>
      <c r="W2151" s="183"/>
      <c r="X2151" s="183"/>
      <c r="Y2151" s="184"/>
      <c r="Z2151" s="185"/>
      <c r="AA2151" s="185"/>
      <c r="AB2151" s="185"/>
      <c r="AC2151" s="185"/>
      <c r="AD2151" s="649"/>
      <c r="AE2151" s="182"/>
      <c r="AF2151" s="332"/>
      <c r="AG2151" s="182"/>
      <c r="AH2151" s="182"/>
      <c r="AI2151" s="182"/>
      <c r="AJ2151" s="640"/>
      <c r="AK2151" s="182"/>
      <c r="AL2151" s="496">
        <f t="shared" si="712"/>
        <v>0</v>
      </c>
      <c r="AM2151" s="496">
        <f t="shared" si="709"/>
        <v>0</v>
      </c>
      <c r="AN2151" s="626"/>
      <c r="AO2151" s="182"/>
      <c r="AP2151" s="182"/>
      <c r="AQ2151" s="332" t="str">
        <f>UPPER(RIGHT(Journal_Live[[#This Row],[DURATION ]]))</f>
        <v/>
      </c>
      <c r="AR2151" s="182"/>
      <c r="AS2151" s="189"/>
      <c r="AT2151" s="189"/>
      <c r="AU2151" s="187"/>
      <c r="AV2151" s="190"/>
      <c r="AW2151" s="191"/>
      <c r="AX2151" s="551" t="s">
        <v>6850</v>
      </c>
      <c r="AY2151" s="549" t="s">
        <v>6851</v>
      </c>
      <c r="AZ2151" s="549" t="s">
        <v>6852</v>
      </c>
      <c r="BA2151" s="549" t="s">
        <v>6853</v>
      </c>
      <c r="BB2151" s="551"/>
      <c r="BC2151" s="551"/>
      <c r="BD2151" s="549"/>
      <c r="BE2151" s="550"/>
      <c r="BF2151" s="549"/>
      <c r="BG2151" s="391">
        <f>SUM($AV$1389:AV2151)</f>
        <v>4836.6140742929338</v>
      </c>
      <c r="BH2151" s="392">
        <f>SUM($AU$1389:AU2151)</f>
        <v>51414.63922077918</v>
      </c>
      <c r="BI2151" s="318">
        <f>SUMIFS($AU$1388:AU2152,$Q$1388:Q2152,"F")</f>
        <v>32973.293506493508</v>
      </c>
      <c r="BJ2151" s="318">
        <f>SUMIFS($AU$1388:AU2152,$Q$1388:Q2152,"S")</f>
        <v>21202.285714285714</v>
      </c>
      <c r="BK2151" s="343">
        <f>SUMIFS($AU$1388:AU2152,$P$1388:P2152,"W")</f>
        <v>32776.759220779561</v>
      </c>
      <c r="BL2151" s="343">
        <f>SUMIFS($AU$1388:AU2152,$P$1388:P2152,"R")</f>
        <v>15726.00000000016</v>
      </c>
      <c r="BM2151" s="343">
        <f>SUMIFS($AU$1388:AU2152,$AQ$1388:AQ2152,"M")</f>
        <v>12131.179999998967</v>
      </c>
      <c r="BN2151" s="343">
        <f>SUMIFS($AU$1388:AU2152,$AQ$1388:AQ2152,"H")</f>
        <v>14523.200000000877</v>
      </c>
      <c r="BO2151" s="343">
        <f>SUMIFS($AU$1388:AU2152,$AQ$1388:AQ2152,"D")</f>
        <v>8014.9928571427408</v>
      </c>
      <c r="BP2151" s="343">
        <f>SUMIFS($AS$1388:AS2702,$AO$1388:AO2702,"W")</f>
        <v>0</v>
      </c>
      <c r="BQ2151" s="343">
        <f>SUMIFS($AU$1388:AU2152,$Q$1388:Q2152,"O")</f>
        <v>-5384.9400000000251</v>
      </c>
      <c r="BR2151" s="343">
        <f>SUMIFS($AU$1388:AU2152,$AA$1388:AA2152,"*")</f>
        <v>38275.122077921827</v>
      </c>
      <c r="BS2151" s="343">
        <f>SUMIFS($AU$1388:AU2152,$AB$1388:AB2152,"*")</f>
        <v>12971.859999999973</v>
      </c>
      <c r="BT2151" s="343">
        <f>SUMIFS($AU$1388:AU2152,$AC$1388:AC2152,"*")</f>
        <v>41373.293506493676</v>
      </c>
      <c r="BU2151" s="343">
        <f>SUMIFS($AU$1388:AU2152,$AA$1388:AA2152,"*",$AB$1388:AB2152,"*")</f>
        <v>8011.9999999997544</v>
      </c>
      <c r="BV2151" s="343">
        <f>SUMIFS($AU$1388:AU2152,$AA$1388:AA2152,"*",$AC$1388:AC2152,"*")</f>
        <v>29353.636363636531</v>
      </c>
      <c r="BW2151" s="343">
        <f>SUMIFS($AU$1388:AU2152,$AB$1388:AB2152,"*",$AC$1388:AC2152,"*")</f>
        <v>9360</v>
      </c>
      <c r="BX2151" s="343">
        <f>SUMIFS($AV$1388:AV2152,$Q$1388:Q2152,"F")</f>
        <v>462.72914667325267</v>
      </c>
      <c r="BY2151" s="343">
        <f>SUMIFS($AV$1388:AV2152,$Q$1388:Q2152,"S")</f>
        <v>754.32562762001328</v>
      </c>
      <c r="BZ2151" s="343">
        <f>SUMIFS($AV$1388:AV2152,$Q$1388:Q2152,"O")</f>
        <v>471.55929999966099</v>
      </c>
    </row>
    <row r="2152" spans="1:78" ht="15.75" customHeight="1">
      <c r="A2152" s="177" t="s">
        <v>6781</v>
      </c>
      <c r="B2152" s="200"/>
      <c r="C2152" s="178"/>
      <c r="D2152" s="178"/>
      <c r="E2152" s="227"/>
      <c r="F2152" s="180"/>
      <c r="G2152" s="181"/>
      <c r="H2152" s="182"/>
      <c r="I2152" s="182"/>
      <c r="J2152" s="182"/>
      <c r="K2152" s="183"/>
      <c r="L2152" s="182"/>
      <c r="M2152" s="182"/>
      <c r="N2152" s="182"/>
      <c r="O2152" s="183"/>
      <c r="P2152" s="183"/>
      <c r="Q2152" s="183"/>
      <c r="R2152" s="183"/>
      <c r="S2152" s="183"/>
      <c r="T2152" s="183"/>
      <c r="U2152" s="183"/>
      <c r="V2152" s="183"/>
      <c r="W2152" s="183"/>
      <c r="X2152" s="183"/>
      <c r="Y2152" s="183"/>
      <c r="Z2152" s="183"/>
      <c r="AA2152" s="185"/>
      <c r="AB2152" s="185"/>
      <c r="AC2152" s="185"/>
      <c r="AD2152" s="649"/>
      <c r="AE2152" s="182"/>
      <c r="AF2152" s="332"/>
      <c r="AG2152" s="182"/>
      <c r="AH2152" s="182"/>
      <c r="AI2152" s="182"/>
      <c r="AJ2152" s="640"/>
      <c r="AK2152" s="182"/>
      <c r="AL2152" s="496">
        <f t="shared" si="712"/>
        <v>0</v>
      </c>
      <c r="AM2152" s="496">
        <f t="shared" si="709"/>
        <v>0</v>
      </c>
      <c r="AN2152" s="626"/>
      <c r="AO2152" s="182"/>
      <c r="AP2152" s="182"/>
      <c r="AQ2152" s="332" t="str">
        <f>UPPER(RIGHT(Journal_Live[[#This Row],[DURATION ]]))</f>
        <v/>
      </c>
      <c r="AR2152" s="182"/>
      <c r="AS2152" s="189"/>
      <c r="AT2152" s="189"/>
      <c r="AU2152" s="187"/>
      <c r="AV2152" s="190"/>
      <c r="AW2152" s="191"/>
      <c r="AX2152" s="549" t="s">
        <v>6854</v>
      </c>
      <c r="AY2152" s="549" t="s">
        <v>6855</v>
      </c>
      <c r="AZ2152" s="551"/>
      <c r="BA2152" s="551"/>
      <c r="BB2152" s="551"/>
      <c r="BC2152" s="551"/>
      <c r="BD2152" s="549"/>
      <c r="BE2152" s="550"/>
      <c r="BF2152" s="549"/>
      <c r="BG2152" s="391">
        <f>SUM($AV$1389:AV2152)</f>
        <v>4836.6140742929338</v>
      </c>
      <c r="BH2152" s="392">
        <f>SUM($AU$1389:AU2152)</f>
        <v>51414.63922077918</v>
      </c>
      <c r="BI2152" s="318">
        <f>SUMIFS($AU$1388:AU2153,$Q$1388:Q2153,"F")</f>
        <v>32973.293506493508</v>
      </c>
      <c r="BJ2152" s="318">
        <f>SUMIFS($AU$1388:AU2153,$Q$1388:Q2153,"S")</f>
        <v>21202.285714285714</v>
      </c>
      <c r="BK2152" s="343">
        <f>SUMIFS($AU$1388:AU2153,$P$1388:P2153,"W")</f>
        <v>32776.759220779561</v>
      </c>
      <c r="BL2152" s="343">
        <f>SUMIFS($AU$1388:AU2153,$P$1388:P2153,"R")</f>
        <v>15726.00000000016</v>
      </c>
      <c r="BM2152" s="343">
        <f>SUMIFS($AU$1388:AU2153,$AQ$1388:AQ2153,"M")</f>
        <v>12131.179999998967</v>
      </c>
      <c r="BN2152" s="343">
        <f>SUMIFS($AU$1388:AU2153,$AQ$1388:AQ2153,"H")</f>
        <v>14523.200000000877</v>
      </c>
      <c r="BO2152" s="343">
        <f>SUMIFS($AU$1388:AU2153,$AQ$1388:AQ2153,"D")</f>
        <v>8014.9928571427408</v>
      </c>
      <c r="BP2152" s="343">
        <f>SUMIFS($AS$1388:AS2703,$AO$1388:AO2703,"W")</f>
        <v>0</v>
      </c>
      <c r="BQ2152" s="343">
        <f>SUMIFS($AU$1388:AU2153,$Q$1388:Q2153,"O")</f>
        <v>-5384.9400000000251</v>
      </c>
      <c r="BR2152" s="343">
        <f>SUMIFS($AU$1388:AU2153,$AA$1388:AA2153,"*")</f>
        <v>38275.122077921827</v>
      </c>
      <c r="BS2152" s="343">
        <f>SUMIFS($AU$1388:AU2153,$AB$1388:AB2153,"*")</f>
        <v>12971.859999999973</v>
      </c>
      <c r="BT2152" s="343">
        <f>SUMIFS($AU$1388:AU2153,$AC$1388:AC2153,"*")</f>
        <v>41373.293506493676</v>
      </c>
      <c r="BU2152" s="343">
        <f>SUMIFS($AU$1388:AU2153,$AA$1388:AA2153,"*",$AB$1388:AB2153,"*")</f>
        <v>8011.9999999997544</v>
      </c>
      <c r="BV2152" s="343">
        <f>SUMIFS($AU$1388:AU2153,$AA$1388:AA2153,"*",$AC$1388:AC2153,"*")</f>
        <v>29353.636363636531</v>
      </c>
      <c r="BW2152" s="343">
        <f>SUMIFS($AU$1388:AU2153,$AB$1388:AB2153,"*",$AC$1388:AC2153,"*")</f>
        <v>9360</v>
      </c>
      <c r="BX2152" s="343">
        <f>SUMIFS($AV$1388:AV2153,$Q$1388:Q2153,"F")</f>
        <v>462.72914667325267</v>
      </c>
      <c r="BY2152" s="343">
        <f>SUMIFS($AV$1388:AV2153,$Q$1388:Q2153,"S")</f>
        <v>754.32562762001328</v>
      </c>
      <c r="BZ2152" s="343">
        <f>SUMIFS($AV$1388:AV2153,$Q$1388:Q2153,"O")</f>
        <v>471.55929999966099</v>
      </c>
    </row>
    <row r="2153" spans="1:78" ht="15.75" customHeight="1">
      <c r="A2153" s="177" t="s">
        <v>6781</v>
      </c>
      <c r="B2153" s="200">
        <v>45448</v>
      </c>
      <c r="C2153" s="178" t="s">
        <v>442</v>
      </c>
      <c r="D2153" s="178" t="s">
        <v>151</v>
      </c>
      <c r="E2153" s="227" t="s">
        <v>6856</v>
      </c>
      <c r="F2153" s="180"/>
      <c r="G2153" s="181"/>
      <c r="H2153" s="182"/>
      <c r="I2153" s="182"/>
      <c r="J2153" s="182"/>
      <c r="K2153" s="183"/>
      <c r="L2153" s="182"/>
      <c r="M2153" s="182"/>
      <c r="N2153" s="182"/>
      <c r="O2153" s="183"/>
      <c r="P2153" s="183"/>
      <c r="Q2153" s="183"/>
      <c r="R2153" s="183"/>
      <c r="S2153" s="183"/>
      <c r="T2153" s="183"/>
      <c r="U2153" s="183"/>
      <c r="V2153" s="183"/>
      <c r="W2153" s="183"/>
      <c r="X2153" s="183"/>
      <c r="Y2153" s="183"/>
      <c r="Z2153" s="183"/>
      <c r="AA2153" s="185"/>
      <c r="AB2153" s="185"/>
      <c r="AC2153" s="185"/>
      <c r="AD2153" s="649"/>
      <c r="AE2153" s="182"/>
      <c r="AF2153" s="332"/>
      <c r="AG2153" s="182"/>
      <c r="AH2153" s="182"/>
      <c r="AI2153" s="182"/>
      <c r="AJ2153" s="640"/>
      <c r="AK2153" s="182"/>
      <c r="AL2153" s="496">
        <f t="shared" si="712"/>
        <v>0</v>
      </c>
      <c r="AM2153" s="496">
        <f t="shared" si="709"/>
        <v>0</v>
      </c>
      <c r="AN2153" s="626"/>
      <c r="AO2153" s="182"/>
      <c r="AP2153" s="182"/>
      <c r="AQ2153" s="332" t="str">
        <f>UPPER(RIGHT(Journal_Live[[#This Row],[DURATION ]]))</f>
        <v/>
      </c>
      <c r="AR2153" s="182"/>
      <c r="AS2153" s="189"/>
      <c r="AT2153" s="189"/>
      <c r="AU2153" s="187"/>
      <c r="AV2153" s="190"/>
      <c r="AW2153" s="191"/>
      <c r="AX2153" s="551"/>
      <c r="AY2153" s="551"/>
      <c r="AZ2153" s="551"/>
      <c r="BA2153" s="551"/>
      <c r="BB2153" s="551"/>
      <c r="BC2153" s="551"/>
      <c r="BD2153" s="549"/>
      <c r="BE2153" s="550"/>
      <c r="BF2153" s="549"/>
      <c r="BG2153" s="391">
        <f>SUM($AV$1389:AV2153)</f>
        <v>4836.6140742929338</v>
      </c>
      <c r="BH2153" s="392">
        <f>SUM($AU$1389:AU2153)</f>
        <v>51414.63922077918</v>
      </c>
      <c r="BI2153" s="318">
        <f>SUMIFS($AU$1388:AU2154,$Q$1388:Q2154,"F")</f>
        <v>32973.293506493508</v>
      </c>
      <c r="BJ2153" s="318">
        <f>SUMIFS($AU$1388:AU2154,$Q$1388:Q2154,"S")</f>
        <v>21202.285714285714</v>
      </c>
      <c r="BK2153" s="343">
        <f>SUMIFS($AU$1388:AU2154,$P$1388:P2154,"W")</f>
        <v>32776.759220779561</v>
      </c>
      <c r="BL2153" s="343">
        <f>SUMIFS($AU$1388:AU2154,$P$1388:P2154,"R")</f>
        <v>15726.00000000016</v>
      </c>
      <c r="BM2153" s="343">
        <f>SUMIFS($AU$1388:AU2154,$AQ$1388:AQ2154,"M")</f>
        <v>12131.179999998967</v>
      </c>
      <c r="BN2153" s="343">
        <f>SUMIFS($AU$1388:AU2154,$AQ$1388:AQ2154,"H")</f>
        <v>14523.200000000877</v>
      </c>
      <c r="BO2153" s="343">
        <f>SUMIFS($AU$1388:AU2154,$AQ$1388:AQ2154,"D")</f>
        <v>8014.9928571427408</v>
      </c>
      <c r="BP2153" s="343">
        <f>SUMIFS($AS$1388:AS2704,$AO$1388:AO2704,"W")</f>
        <v>0</v>
      </c>
      <c r="BQ2153" s="343">
        <f>SUMIFS($AU$1388:AU2154,$Q$1388:Q2154,"O")</f>
        <v>-5384.9400000000251</v>
      </c>
      <c r="BR2153" s="343">
        <f>SUMIFS($AU$1388:AU2154,$AA$1388:AA2154,"*")</f>
        <v>38275.122077921827</v>
      </c>
      <c r="BS2153" s="343">
        <f>SUMIFS($AU$1388:AU2154,$AB$1388:AB2154,"*")</f>
        <v>12971.859999999973</v>
      </c>
      <c r="BT2153" s="343">
        <f>SUMIFS($AU$1388:AU2154,$AC$1388:AC2154,"*")</f>
        <v>41373.293506493676</v>
      </c>
      <c r="BU2153" s="343">
        <f>SUMIFS($AU$1388:AU2154,$AA$1388:AA2154,"*",$AB$1388:AB2154,"*")</f>
        <v>8011.9999999997544</v>
      </c>
      <c r="BV2153" s="343">
        <f>SUMIFS($AU$1388:AU2154,$AA$1388:AA2154,"*",$AC$1388:AC2154,"*")</f>
        <v>29353.636363636531</v>
      </c>
      <c r="BW2153" s="343">
        <f>SUMIFS($AU$1388:AU2154,$AB$1388:AB2154,"*",$AC$1388:AC2154,"*")</f>
        <v>9360</v>
      </c>
      <c r="BX2153" s="343">
        <f>SUMIFS($AV$1388:AV2154,$Q$1388:Q2154,"F")</f>
        <v>462.72914667325267</v>
      </c>
      <c r="BY2153" s="343">
        <f>SUMIFS($AV$1388:AV2154,$Q$1388:Q2154,"S")</f>
        <v>754.32562762001328</v>
      </c>
      <c r="BZ2153" s="343">
        <f>SUMIFS($AV$1388:AV2154,$Q$1388:Q2154,"O")</f>
        <v>471.55929999966099</v>
      </c>
    </row>
    <row r="2154" spans="1:78" ht="15.75" customHeight="1">
      <c r="A2154" s="177" t="s">
        <v>6781</v>
      </c>
      <c r="B2154" s="200">
        <v>45448</v>
      </c>
      <c r="C2154" s="178" t="s">
        <v>2060</v>
      </c>
      <c r="D2154" s="178" t="s">
        <v>151</v>
      </c>
      <c r="E2154" s="227" t="s">
        <v>6857</v>
      </c>
      <c r="F2154" s="180"/>
      <c r="G2154" s="181"/>
      <c r="H2154" s="182">
        <v>1</v>
      </c>
      <c r="I2154" s="182"/>
      <c r="J2154" s="182"/>
      <c r="K2154" s="183" t="s">
        <v>372</v>
      </c>
      <c r="L2154" s="182"/>
      <c r="M2154" s="182"/>
      <c r="N2154" s="182"/>
      <c r="O2154" s="183"/>
      <c r="P2154" s="183"/>
      <c r="Q2154" s="183"/>
      <c r="R2154" s="183"/>
      <c r="S2154" s="183"/>
      <c r="T2154" s="183"/>
      <c r="U2154" s="183"/>
      <c r="V2154" s="183"/>
      <c r="W2154" s="183"/>
      <c r="X2154" s="183"/>
      <c r="Y2154" s="183"/>
      <c r="Z2154" s="183"/>
      <c r="AA2154" s="185"/>
      <c r="AB2154" s="185"/>
      <c r="AC2154" s="185"/>
      <c r="AD2154" s="649"/>
      <c r="AE2154" s="182"/>
      <c r="AF2154" s="332"/>
      <c r="AG2154" s="182"/>
      <c r="AH2154" s="182"/>
      <c r="AI2154" s="182"/>
      <c r="AJ2154" s="640"/>
      <c r="AK2154" s="182"/>
      <c r="AL2154" s="496">
        <f t="shared" si="712"/>
        <v>0</v>
      </c>
      <c r="AM2154" s="496">
        <f t="shared" si="709"/>
        <v>0</v>
      </c>
      <c r="AN2154" s="626"/>
      <c r="AO2154" s="182"/>
      <c r="AP2154" s="182"/>
      <c r="AQ2154" s="332" t="str">
        <f>UPPER(RIGHT(Journal_Live[[#This Row],[DURATION ]]))</f>
        <v/>
      </c>
      <c r="AR2154" s="182"/>
      <c r="AS2154" s="189"/>
      <c r="AT2154" s="189"/>
      <c r="AU2154" s="187"/>
      <c r="AV2154" s="190"/>
      <c r="AW2154" s="191"/>
      <c r="AX2154" s="551"/>
      <c r="AY2154" s="551"/>
      <c r="AZ2154" s="551"/>
      <c r="BA2154" s="551"/>
      <c r="BB2154" s="551"/>
      <c r="BC2154" s="551"/>
      <c r="BD2154" s="549"/>
      <c r="BE2154" s="550"/>
      <c r="BF2154" s="549"/>
      <c r="BG2154" s="391">
        <f>SUM($AV$1389:AV2154)</f>
        <v>4836.6140742929338</v>
      </c>
      <c r="BH2154" s="392">
        <f>SUM($AU$1389:AU2154)</f>
        <v>51414.63922077918</v>
      </c>
      <c r="BI2154" s="318">
        <f>SUMIFS($AU$1388:AU2155,$Q$1388:Q2155,"F")</f>
        <v>32973.293506493508</v>
      </c>
      <c r="BJ2154" s="318">
        <f>SUMIFS($AU$1388:AU2155,$Q$1388:Q2155,"S")</f>
        <v>21202.285714285714</v>
      </c>
      <c r="BK2154" s="343">
        <f>SUMIFS($AU$1388:AU2155,$P$1388:P2155,"W")</f>
        <v>32776.759220779561</v>
      </c>
      <c r="BL2154" s="343">
        <f>SUMIFS($AU$1388:AU2155,$P$1388:P2155,"R")</f>
        <v>15726.00000000016</v>
      </c>
      <c r="BM2154" s="343">
        <f>SUMIFS($AU$1388:AU2155,$AQ$1388:AQ2155,"M")</f>
        <v>12131.179999998967</v>
      </c>
      <c r="BN2154" s="343">
        <f>SUMIFS($AU$1388:AU2155,$AQ$1388:AQ2155,"H")</f>
        <v>14523.200000000877</v>
      </c>
      <c r="BO2154" s="343">
        <f>SUMIFS($AU$1388:AU2155,$AQ$1388:AQ2155,"D")</f>
        <v>8014.9928571427408</v>
      </c>
      <c r="BP2154" s="343">
        <f>SUMIFS($AS$1388:AS2705,$AO$1388:AO2705,"W")</f>
        <v>0</v>
      </c>
      <c r="BQ2154" s="343">
        <f>SUMIFS($AU$1388:AU2155,$Q$1388:Q2155,"O")</f>
        <v>-5384.9400000000251</v>
      </c>
      <c r="BR2154" s="343">
        <f>SUMIFS($AU$1388:AU2155,$AA$1388:AA2155,"*")</f>
        <v>38275.122077921827</v>
      </c>
      <c r="BS2154" s="343">
        <f>SUMIFS($AU$1388:AU2155,$AB$1388:AB2155,"*")</f>
        <v>12971.859999999973</v>
      </c>
      <c r="BT2154" s="343">
        <f>SUMIFS($AU$1388:AU2155,$AC$1388:AC2155,"*")</f>
        <v>41373.293506493676</v>
      </c>
      <c r="BU2154" s="343">
        <f>SUMIFS($AU$1388:AU2155,$AA$1388:AA2155,"*",$AB$1388:AB2155,"*")</f>
        <v>8011.9999999997544</v>
      </c>
      <c r="BV2154" s="343">
        <f>SUMIFS($AU$1388:AU2155,$AA$1388:AA2155,"*",$AC$1388:AC2155,"*")</f>
        <v>29353.636363636531</v>
      </c>
      <c r="BW2154" s="343">
        <f>SUMIFS($AU$1388:AU2155,$AB$1388:AB2155,"*",$AC$1388:AC2155,"*")</f>
        <v>9360</v>
      </c>
      <c r="BX2154" s="343">
        <f>SUMIFS($AV$1388:AV2155,$Q$1388:Q2155,"F")</f>
        <v>462.72914667325267</v>
      </c>
      <c r="BY2154" s="343">
        <f>SUMIFS($AV$1388:AV2155,$Q$1388:Q2155,"S")</f>
        <v>754.32562762001328</v>
      </c>
      <c r="BZ2154" s="343">
        <f>SUMIFS($AV$1388:AV2155,$Q$1388:Q2155,"O")</f>
        <v>471.55929999966099</v>
      </c>
    </row>
    <row r="2155" spans="1:78" ht="15.75" customHeight="1">
      <c r="A2155" s="177" t="s">
        <v>6781</v>
      </c>
      <c r="B2155" s="200"/>
      <c r="C2155" s="178"/>
      <c r="D2155" s="178"/>
      <c r="E2155" s="227" t="s">
        <v>6858</v>
      </c>
      <c r="F2155" s="180"/>
      <c r="G2155" s="181"/>
      <c r="H2155" s="182"/>
      <c r="I2155" s="182"/>
      <c r="J2155" s="182">
        <v>1</v>
      </c>
      <c r="K2155" s="183" t="s">
        <v>115</v>
      </c>
      <c r="L2155" s="182"/>
      <c r="M2155" s="182"/>
      <c r="N2155" s="182"/>
      <c r="O2155" s="183"/>
      <c r="P2155" s="183"/>
      <c r="Q2155" s="183"/>
      <c r="R2155" s="183"/>
      <c r="S2155" s="183"/>
      <c r="T2155" s="183"/>
      <c r="U2155" s="183"/>
      <c r="V2155" s="183"/>
      <c r="W2155" s="183"/>
      <c r="X2155" s="183"/>
      <c r="Y2155" s="183"/>
      <c r="Z2155" s="183"/>
      <c r="AA2155" s="185"/>
      <c r="AB2155" s="185"/>
      <c r="AC2155" s="185"/>
      <c r="AD2155" s="649"/>
      <c r="AE2155" s="182"/>
      <c r="AF2155" s="332"/>
      <c r="AG2155" s="182"/>
      <c r="AH2155" s="182"/>
      <c r="AI2155" s="182"/>
      <c r="AJ2155" s="640"/>
      <c r="AK2155" s="182"/>
      <c r="AL2155" s="496">
        <f t="shared" si="711"/>
        <v>0</v>
      </c>
      <c r="AM2155" s="496">
        <f t="shared" si="709"/>
        <v>0</v>
      </c>
      <c r="AN2155" s="626"/>
      <c r="AO2155" s="182"/>
      <c r="AP2155" s="182"/>
      <c r="AQ2155" s="332" t="str">
        <f>UPPER(RIGHT(Journal_Live[[#This Row],[DURATION ]]))</f>
        <v/>
      </c>
      <c r="AR2155" s="182"/>
      <c r="AS2155" s="189"/>
      <c r="AT2155" s="189"/>
      <c r="AU2155" s="187"/>
      <c r="AV2155" s="190"/>
      <c r="AW2155" s="191"/>
      <c r="AX2155" s="551"/>
      <c r="AY2155" s="551"/>
      <c r="AZ2155" s="551"/>
      <c r="BA2155" s="551"/>
      <c r="BB2155" s="551"/>
      <c r="BC2155" s="551"/>
      <c r="BD2155" s="549"/>
      <c r="BE2155" s="550"/>
      <c r="BF2155" s="549"/>
      <c r="BG2155" s="391">
        <f>SUM($AV$1389:AV2155)</f>
        <v>4836.6140742929338</v>
      </c>
      <c r="BH2155" s="392">
        <f>SUM($AU$1389:AU2155)</f>
        <v>51414.63922077918</v>
      </c>
      <c r="BI2155" s="318">
        <f>SUMIFS($AU$1388:AU2168,$Q$1388:Q2168,"F")</f>
        <v>36587.078121878127</v>
      </c>
      <c r="BJ2155" s="318">
        <f>SUMIFS($AU$1388:AU2168,$Q$1388:Q2168,"S")</f>
        <v>21362.285714285714</v>
      </c>
      <c r="BK2155" s="343">
        <f>SUMIFS($AU$1388:AU2168,$P$1388:P2168,"W")</f>
        <v>34464.143836164178</v>
      </c>
      <c r="BL2155" s="343">
        <f>SUMIFS($AU$1388:AU2168,$P$1388:P2168,"R")</f>
        <v>17812.400000000162</v>
      </c>
      <c r="BM2155" s="343">
        <f>SUMIFS($AU$1388:AU2168,$AQ$1388:AQ2168,"M")</f>
        <v>12131.179999998967</v>
      </c>
      <c r="BN2155" s="343">
        <f>SUMIFS($AU$1388:AU2168,$AQ$1388:AQ2168,"H")</f>
        <v>14523.200000000877</v>
      </c>
      <c r="BO2155" s="343">
        <f>SUMIFS($AU$1388:AU2168,$AQ$1388:AQ2168,"D")</f>
        <v>11302.377472527354</v>
      </c>
      <c r="BP2155" s="343">
        <f>SUMIFS($AS$1388:AS2706,$AO$1388:AO2706,"W")</f>
        <v>0</v>
      </c>
      <c r="BQ2155" s="343">
        <f>SUMIFS($AU$1388:AU2168,$Q$1388:Q2168,"O")</f>
        <v>-5384.9400000000251</v>
      </c>
      <c r="BR2155" s="343">
        <f>SUMIFS($AU$1388:AU2168,$AA$1388:AA2168,"*")</f>
        <v>40521.522077921829</v>
      </c>
      <c r="BS2155" s="343">
        <f>SUMIFS($AU$1388:AU2168,$AB$1388:AB2168,"*")</f>
        <v>14587.859999999973</v>
      </c>
      <c r="BT2155" s="343">
        <f>SUMIFS($AU$1388:AU2168,$AC$1388:AC2168,"*")</f>
        <v>45147.078121878294</v>
      </c>
      <c r="BU2155" s="343">
        <f>SUMIFS($AU$1388:AU2168,$AA$1388:AA2168,"*",$AB$1388:AB2168,"*")</f>
        <v>8011.9999999997544</v>
      </c>
      <c r="BV2155" s="343">
        <f>SUMIFS($AU$1388:AU2168,$AA$1388:AA2168,"*",$AC$1388:AC2168,"*")</f>
        <v>31600.036363636533</v>
      </c>
      <c r="BW2155" s="343">
        <f>SUMIFS($AU$1388:AU2168,$AB$1388:AB2168,"*",$AC$1388:AC2168,"*")</f>
        <v>10976</v>
      </c>
      <c r="BX2155" s="343">
        <f>SUMIFS($AV$1388:AV2168,$Q$1388:Q2168,"F")</f>
        <v>493.65837744248347</v>
      </c>
      <c r="BY2155" s="343">
        <f>SUMIFS($AV$1388:AV2168,$Q$1388:Q2168,"S")</f>
        <v>756.6113419057275</v>
      </c>
      <c r="BZ2155" s="343">
        <f>SUMIFS($AV$1388:AV2168,$Q$1388:Q2168,"O")</f>
        <v>471.55929999966099</v>
      </c>
    </row>
    <row r="2156" spans="1:78" ht="15.75" customHeight="1">
      <c r="A2156" s="177" t="s">
        <v>6781</v>
      </c>
      <c r="B2156" s="200">
        <v>45449</v>
      </c>
      <c r="C2156" s="178"/>
      <c r="D2156" s="178" t="s">
        <v>93</v>
      </c>
      <c r="E2156" s="227" t="s">
        <v>6859</v>
      </c>
      <c r="F2156" s="180"/>
      <c r="G2156" s="181"/>
      <c r="H2156" s="182"/>
      <c r="I2156" s="182"/>
      <c r="J2156" s="182"/>
      <c r="K2156" s="183"/>
      <c r="L2156" s="182"/>
      <c r="M2156" s="182"/>
      <c r="N2156" s="182"/>
      <c r="O2156" s="183"/>
      <c r="P2156" s="183"/>
      <c r="Q2156" s="183"/>
      <c r="R2156" s="183"/>
      <c r="S2156" s="183"/>
      <c r="T2156" s="183"/>
      <c r="U2156" s="183"/>
      <c r="V2156" s="183"/>
      <c r="W2156" s="183"/>
      <c r="X2156" s="183"/>
      <c r="Y2156" s="183"/>
      <c r="Z2156" s="183"/>
      <c r="AA2156" s="185"/>
      <c r="AB2156" s="185"/>
      <c r="AC2156" s="185"/>
      <c r="AD2156" s="649"/>
      <c r="AE2156" s="182"/>
      <c r="AF2156" s="332"/>
      <c r="AG2156" s="182"/>
      <c r="AH2156" s="182"/>
      <c r="AI2156" s="182"/>
      <c r="AJ2156" s="640"/>
      <c r="AK2156" s="182"/>
      <c r="AL2156" s="496">
        <f t="shared" si="711"/>
        <v>0</v>
      </c>
      <c r="AM2156" s="496">
        <f t="shared" si="709"/>
        <v>0</v>
      </c>
      <c r="AN2156" s="626"/>
      <c r="AO2156" s="182"/>
      <c r="AP2156" s="182"/>
      <c r="AQ2156" s="332" t="str">
        <f>UPPER(RIGHT(Journal_Live[[#This Row],[DURATION ]]))</f>
        <v/>
      </c>
      <c r="AR2156" s="182"/>
      <c r="AS2156" s="189"/>
      <c r="AT2156" s="189"/>
      <c r="AU2156" s="187"/>
      <c r="AV2156" s="190"/>
      <c r="AW2156" s="191"/>
      <c r="AX2156" s="551" t="s">
        <v>6860</v>
      </c>
      <c r="AY2156" s="551" t="s">
        <v>6861</v>
      </c>
      <c r="AZ2156" s="551" t="s">
        <v>6862</v>
      </c>
      <c r="BA2156" s="551" t="s">
        <v>6863</v>
      </c>
      <c r="BB2156" s="551"/>
      <c r="BC2156" s="551"/>
      <c r="BD2156" s="549"/>
      <c r="BE2156" s="550"/>
      <c r="BF2156" s="549"/>
      <c r="BG2156" s="391">
        <f>SUM($AV$1389:AV2156)</f>
        <v>4836.6140742929338</v>
      </c>
      <c r="BH2156" s="392">
        <f>SUM($AU$1389:AU2156)</f>
        <v>51414.63922077918</v>
      </c>
      <c r="BI2156" s="318">
        <f>SUMIFS($AU$1388:AU2157,$Q$1388:Q2157,"F")</f>
        <v>32973.293506493508</v>
      </c>
      <c r="BJ2156" s="318">
        <f>SUMIFS($AU$1388:AU2157,$Q$1388:Q2157,"S")</f>
        <v>21202.285714285714</v>
      </c>
      <c r="BK2156" s="343">
        <f>SUMIFS($AU$1388:AU2157,$P$1388:P2157,"W")</f>
        <v>32776.759220779561</v>
      </c>
      <c r="BL2156" s="343">
        <f>SUMIFS($AU$1388:AU2157,$P$1388:P2157,"R")</f>
        <v>15726.00000000016</v>
      </c>
      <c r="BM2156" s="343">
        <f>SUMIFS($AU$1388:AU2157,$AQ$1388:AQ2157,"M")</f>
        <v>12131.179999998967</v>
      </c>
      <c r="BN2156" s="343">
        <f>SUMIFS($AU$1388:AU2157,$AQ$1388:AQ2157,"H")</f>
        <v>14523.200000000877</v>
      </c>
      <c r="BO2156" s="343">
        <f>SUMIFS($AU$1388:AU2157,$AQ$1388:AQ2157,"D")</f>
        <v>8014.9928571427408</v>
      </c>
      <c r="BP2156" s="343">
        <f>SUMIFS($AS$1388:AS2695,$AO$1388:AO2695,"W")</f>
        <v>0</v>
      </c>
      <c r="BQ2156" s="343">
        <f>SUMIFS($AU$1388:AU2157,$Q$1388:Q2157,"O")</f>
        <v>-5384.9400000000251</v>
      </c>
      <c r="BR2156" s="343">
        <f>SUMIFS($AU$1388:AU2157,$AA$1388:AA2157,"*")</f>
        <v>38275.122077921827</v>
      </c>
      <c r="BS2156" s="343">
        <f>SUMIFS($AU$1388:AU2157,$AB$1388:AB2157,"*")</f>
        <v>12971.859999999973</v>
      </c>
      <c r="BT2156" s="343">
        <f>SUMIFS($AU$1388:AU2157,$AC$1388:AC2157,"*")</f>
        <v>41373.293506493676</v>
      </c>
      <c r="BU2156" s="343">
        <f>SUMIFS($AU$1388:AU2157,$AA$1388:AA2157,"*",$AB$1388:AB2157,"*")</f>
        <v>8011.9999999997544</v>
      </c>
      <c r="BV2156" s="343">
        <f>SUMIFS($AU$1388:AU2157,$AA$1388:AA2157,"*",$AC$1388:AC2157,"*")</f>
        <v>29353.636363636531</v>
      </c>
      <c r="BW2156" s="343">
        <f>SUMIFS($AU$1388:AU2157,$AB$1388:AB2157,"*",$AC$1388:AC2157,"*")</f>
        <v>9360</v>
      </c>
      <c r="BX2156" s="343">
        <f>SUMIFS($AV$1388:AV2157,$Q$1388:Q2157,"F")</f>
        <v>462.72914667325267</v>
      </c>
      <c r="BY2156" s="343">
        <f>SUMIFS($AV$1388:AV2157,$Q$1388:Q2157,"S")</f>
        <v>754.32562762001328</v>
      </c>
      <c r="BZ2156" s="343">
        <f>SUMIFS($AV$1388:AV2157,$Q$1388:Q2157,"O")</f>
        <v>471.55929999966099</v>
      </c>
    </row>
    <row r="2157" spans="1:78" ht="15.75" customHeight="1">
      <c r="A2157" s="177" t="s">
        <v>6781</v>
      </c>
      <c r="B2157" s="200">
        <v>45450</v>
      </c>
      <c r="C2157" s="178" t="s">
        <v>664</v>
      </c>
      <c r="D2157" s="178" t="s">
        <v>111</v>
      </c>
      <c r="E2157" s="227"/>
      <c r="F2157" s="180"/>
      <c r="G2157" s="481" t="s">
        <v>2016</v>
      </c>
      <c r="H2157" s="182"/>
      <c r="I2157" s="182"/>
      <c r="J2157" s="182"/>
      <c r="K2157" s="183"/>
      <c r="L2157" s="182"/>
      <c r="M2157" s="182">
        <v>2</v>
      </c>
      <c r="N2157" s="182"/>
      <c r="O2157" s="183" t="s">
        <v>95</v>
      </c>
      <c r="P2157" s="183" t="s">
        <v>96</v>
      </c>
      <c r="Q2157" s="183" t="s">
        <v>97</v>
      </c>
      <c r="R2157" s="183">
        <v>30</v>
      </c>
      <c r="S2157" s="183">
        <v>0</v>
      </c>
      <c r="T2157" s="183">
        <v>30</v>
      </c>
      <c r="U2157" s="183" t="s">
        <v>97</v>
      </c>
      <c r="V2157" s="183"/>
      <c r="W2157" s="183"/>
      <c r="X2157" s="183"/>
      <c r="Y2157" s="184">
        <f>IF(ISBLANK(O2157),"",(IF(O2157=UPPER("IB"),0.005,0.01)))</f>
        <v>0.01</v>
      </c>
      <c r="Z2157" s="185">
        <f>IF(ISBLANK(O2157),"",IF(O2157="IB",8.63*200,IF(O2157="IR",16*100,IF(O2157="YT",20*100,IF(O2157="YT-XT",24*200,IF(O2157="TED",80*100,IF(O2157="IR|YT",300*100)))))))</f>
        <v>1600</v>
      </c>
      <c r="AA2157" s="185"/>
      <c r="AB2157" s="185"/>
      <c r="AC2157" s="185" t="s">
        <v>6864</v>
      </c>
      <c r="AD2157" s="649">
        <v>-0.05</v>
      </c>
      <c r="AE2157" s="182"/>
      <c r="AF2157" s="332"/>
      <c r="AG2157" s="182"/>
      <c r="AH2157" s="182"/>
      <c r="AI2157" s="182"/>
      <c r="AJ2157" s="640"/>
      <c r="AK2157" s="182"/>
      <c r="AL2157" s="496">
        <f t="shared" si="711"/>
        <v>-32</v>
      </c>
      <c r="AM2157" s="496">
        <f t="shared" ref="AM2157:AM2188" si="715">AL2157*(R2157-S2157)</f>
        <v>-960</v>
      </c>
      <c r="AN2157" s="626"/>
      <c r="AO2157" s="182"/>
      <c r="AP2157" s="182" t="s">
        <v>964</v>
      </c>
      <c r="AQ2157" s="332" t="s">
        <v>372</v>
      </c>
      <c r="AR2157" s="182"/>
      <c r="AS2157" s="189">
        <v>-0.05</v>
      </c>
      <c r="AT2157" s="189">
        <f>IF(ISBLANK(AS2157),,IF(U2157="S",AD2157-AS2157,AS2157-AD2157))</f>
        <v>0</v>
      </c>
      <c r="AU2157" s="187">
        <f>AV2157*R2157</f>
        <v>0</v>
      </c>
      <c r="AV2157" s="190">
        <f t="shared" ref="AV2157:AV2221" si="716">IF(ISBLANK(AS2157),,(AT2157*Z2157))</f>
        <v>0</v>
      </c>
      <c r="AW2157" s="191" t="s">
        <v>115</v>
      </c>
      <c r="AX2157" s="551" t="s">
        <v>6865</v>
      </c>
      <c r="AY2157" s="551"/>
      <c r="AZ2157" s="551"/>
      <c r="BA2157" s="551"/>
      <c r="BB2157" s="551"/>
      <c r="BC2157" s="551"/>
      <c r="BD2157" s="549"/>
      <c r="BE2157" s="550"/>
      <c r="BF2157" s="549"/>
      <c r="BG2157" s="391">
        <f>SUM($AV$1389:AV2157)</f>
        <v>4836.6140742929338</v>
      </c>
      <c r="BH2157" s="392">
        <f>SUM($AU$1389:AU2157)</f>
        <v>51414.63922077918</v>
      </c>
      <c r="BI2157" s="318">
        <f>SUMIFS($AU$1388:AU2158,$Q$1388:Q2158,"F")</f>
        <v>32973.293506493508</v>
      </c>
      <c r="BJ2157" s="318">
        <f>SUMIFS($AU$1388:AU2158,$Q$1388:Q2158,"S")</f>
        <v>21202.285714285714</v>
      </c>
      <c r="BK2157" s="343">
        <f>SUMIFS($AU$1388:AU2158,$P$1388:P2158,"W")</f>
        <v>32776.759220779561</v>
      </c>
      <c r="BL2157" s="343">
        <f>SUMIFS($AU$1388:AU2158,$P$1388:P2158,"R")</f>
        <v>15726.00000000016</v>
      </c>
      <c r="BM2157" s="343">
        <f>SUMIFS($AU$1388:AU2158,$AQ$1388:AQ2158,"M")</f>
        <v>12131.179999998967</v>
      </c>
      <c r="BN2157" s="343">
        <f>SUMIFS($AU$1388:AU2158,$AQ$1388:AQ2158,"H")</f>
        <v>14523.200000000877</v>
      </c>
      <c r="BO2157" s="343">
        <f>SUMIFS($AU$1388:AU2158,$AQ$1388:AQ2158,"D")</f>
        <v>8014.9928571427408</v>
      </c>
      <c r="BP2157" s="343">
        <f>SUMIFS($AS$1388:AS2696,$AO$1388:AO2696,"W")</f>
        <v>0</v>
      </c>
      <c r="BQ2157" s="343">
        <f>SUMIFS($AU$1388:AU2158,$Q$1388:Q2158,"O")</f>
        <v>-5384.9400000000251</v>
      </c>
      <c r="BR2157" s="343">
        <f>SUMIFS($AU$1388:AU2158,$AA$1388:AA2158,"*")</f>
        <v>38275.122077921827</v>
      </c>
      <c r="BS2157" s="343">
        <f>SUMIFS($AU$1388:AU2158,$AB$1388:AB2158,"*")</f>
        <v>12971.859999999973</v>
      </c>
      <c r="BT2157" s="343">
        <f>SUMIFS($AU$1388:AU2158,$AC$1388:AC2158,"*")</f>
        <v>41373.293506493676</v>
      </c>
      <c r="BU2157" s="343">
        <f>SUMIFS($AU$1388:AU2158,$AA$1388:AA2158,"*",$AB$1388:AB2158,"*")</f>
        <v>8011.9999999997544</v>
      </c>
      <c r="BV2157" s="343">
        <f>SUMIFS($AU$1388:AU2158,$AA$1388:AA2158,"*",$AC$1388:AC2158,"*")</f>
        <v>29353.636363636531</v>
      </c>
      <c r="BW2157" s="343">
        <f>SUMIFS($AU$1388:AU2158,$AB$1388:AB2158,"*",$AC$1388:AC2158,"*")</f>
        <v>9360</v>
      </c>
      <c r="BX2157" s="343">
        <f>SUMIFS($AV$1388:AV2158,$Q$1388:Q2158,"F")</f>
        <v>462.72914667325267</v>
      </c>
      <c r="BY2157" s="343">
        <f>SUMIFS($AV$1388:AV2158,$Q$1388:Q2158,"S")</f>
        <v>754.32562762001328</v>
      </c>
      <c r="BZ2157" s="343">
        <f>SUMIFS($AV$1388:AV2158,$Q$1388:Q2158,"O")</f>
        <v>471.55929999966099</v>
      </c>
    </row>
    <row r="2158" spans="1:78" ht="15.75" customHeight="1">
      <c r="A2158" s="177" t="s">
        <v>6781</v>
      </c>
      <c r="B2158" s="200">
        <v>45450</v>
      </c>
      <c r="C2158" s="178" t="s">
        <v>1728</v>
      </c>
      <c r="D2158" s="178" t="s">
        <v>111</v>
      </c>
      <c r="E2158" s="227" t="s">
        <v>6866</v>
      </c>
      <c r="F2158" s="180" t="s">
        <v>6867</v>
      </c>
      <c r="G2158" s="181"/>
      <c r="H2158" s="182">
        <v>1</v>
      </c>
      <c r="I2158" s="182"/>
      <c r="J2158" s="182"/>
      <c r="K2158" s="183" t="s">
        <v>372</v>
      </c>
      <c r="L2158" s="182"/>
      <c r="M2158" s="182"/>
      <c r="N2158" s="182"/>
      <c r="O2158" s="183"/>
      <c r="P2158" s="183"/>
      <c r="Q2158" s="183"/>
      <c r="R2158" s="183"/>
      <c r="S2158" s="183"/>
      <c r="T2158" s="183"/>
      <c r="U2158" s="183"/>
      <c r="V2158" s="183"/>
      <c r="W2158" s="183"/>
      <c r="X2158" s="183"/>
      <c r="Y2158" s="184"/>
      <c r="Z2158" s="185"/>
      <c r="AA2158" s="185"/>
      <c r="AB2158" s="185"/>
      <c r="AC2158" s="185"/>
      <c r="AD2158" s="649"/>
      <c r="AE2158" s="182"/>
      <c r="AF2158" s="332"/>
      <c r="AG2158" s="182"/>
      <c r="AH2158" s="182"/>
      <c r="AI2158" s="182"/>
      <c r="AJ2158" s="640"/>
      <c r="AK2158" s="182"/>
      <c r="AL2158" s="496">
        <f t="shared" si="711"/>
        <v>0</v>
      </c>
      <c r="AM2158" s="496">
        <f t="shared" si="715"/>
        <v>0</v>
      </c>
      <c r="AN2158" s="626"/>
      <c r="AO2158" s="182"/>
      <c r="AP2158" s="182"/>
      <c r="AQ2158" s="332" t="str">
        <f>UPPER(RIGHT(Journal_Live[[#This Row],[DURATION ]]))</f>
        <v/>
      </c>
      <c r="AR2158" s="182"/>
      <c r="AS2158" s="189"/>
      <c r="AT2158" s="189"/>
      <c r="AU2158" s="187"/>
      <c r="AV2158" s="190"/>
      <c r="AW2158" s="191"/>
      <c r="AX2158" s="551"/>
      <c r="AY2158" s="551"/>
      <c r="AZ2158" s="551"/>
      <c r="BA2158" s="551"/>
      <c r="BB2158" s="551"/>
      <c r="BC2158" s="551"/>
      <c r="BD2158" s="549"/>
      <c r="BE2158" s="550"/>
      <c r="BF2158" s="549"/>
      <c r="BG2158" s="391">
        <f>SUM($AV$1389:AV2158)</f>
        <v>4836.6140742929338</v>
      </c>
      <c r="BH2158" s="392">
        <f>SUM($AU$1389:AU2158)</f>
        <v>51414.63922077918</v>
      </c>
      <c r="BI2158" s="318">
        <f>SUMIFS($AU$1388:AU2159,$Q$1388:Q2159,"F")</f>
        <v>32973.293506493508</v>
      </c>
      <c r="BJ2158" s="318">
        <f>SUMIFS($AU$1388:AU2159,$Q$1388:Q2159,"S")</f>
        <v>21202.285714285714</v>
      </c>
      <c r="BK2158" s="343">
        <f>SUMIFS($AU$1388:AU2159,$P$1388:P2159,"W")</f>
        <v>32776.759220779561</v>
      </c>
      <c r="BL2158" s="343">
        <f>SUMIFS($AU$1388:AU2159,$P$1388:P2159,"R")</f>
        <v>15726.00000000016</v>
      </c>
      <c r="BM2158" s="343">
        <f>SUMIFS($AU$1388:AU2159,$AQ$1388:AQ2159,"M")</f>
        <v>12131.179999998967</v>
      </c>
      <c r="BN2158" s="343">
        <f>SUMIFS($AU$1388:AU2159,$AQ$1388:AQ2159,"H")</f>
        <v>14523.200000000877</v>
      </c>
      <c r="BO2158" s="343">
        <f>SUMIFS($AU$1388:AU2159,$AQ$1388:AQ2159,"D")</f>
        <v>8014.9928571427408</v>
      </c>
      <c r="BP2158" s="343">
        <f>SUMIFS($AS$1388:AS2697,$AO$1388:AO2697,"W")</f>
        <v>0</v>
      </c>
      <c r="BQ2158" s="343">
        <f>SUMIFS($AU$1388:AU2159,$Q$1388:Q2159,"O")</f>
        <v>-5384.9400000000251</v>
      </c>
      <c r="BR2158" s="343">
        <f>SUMIFS($AU$1388:AU2159,$AA$1388:AA2159,"*")</f>
        <v>38275.122077921827</v>
      </c>
      <c r="BS2158" s="343">
        <f>SUMIFS($AU$1388:AU2159,$AB$1388:AB2159,"*")</f>
        <v>12971.859999999973</v>
      </c>
      <c r="BT2158" s="343">
        <f>SUMIFS($AU$1388:AU2159,$AC$1388:AC2159,"*")</f>
        <v>41373.293506493676</v>
      </c>
      <c r="BU2158" s="343">
        <f>SUMIFS($AU$1388:AU2159,$AA$1388:AA2159,"*",$AB$1388:AB2159,"*")</f>
        <v>8011.9999999997544</v>
      </c>
      <c r="BV2158" s="343">
        <f>SUMIFS($AU$1388:AU2159,$AA$1388:AA2159,"*",$AC$1388:AC2159,"*")</f>
        <v>29353.636363636531</v>
      </c>
      <c r="BW2158" s="343">
        <f>SUMIFS($AU$1388:AU2159,$AB$1388:AB2159,"*",$AC$1388:AC2159,"*")</f>
        <v>9360</v>
      </c>
      <c r="BX2158" s="343">
        <f>SUMIFS($AV$1388:AV2159,$Q$1388:Q2159,"F")</f>
        <v>462.72914667325267</v>
      </c>
      <c r="BY2158" s="343">
        <f>SUMIFS($AV$1388:AV2159,$Q$1388:Q2159,"S")</f>
        <v>754.32562762001328</v>
      </c>
      <c r="BZ2158" s="343">
        <f>SUMIFS($AV$1388:AV2159,$Q$1388:Q2159,"O")</f>
        <v>471.55929999966099</v>
      </c>
    </row>
    <row r="2159" spans="1:78" ht="15.75" customHeight="1">
      <c r="A2159" s="177" t="s">
        <v>6781</v>
      </c>
      <c r="B2159" s="200"/>
      <c r="C2159" s="178"/>
      <c r="D2159" s="178"/>
      <c r="E2159" s="227" t="s">
        <v>6868</v>
      </c>
      <c r="F2159" s="180"/>
      <c r="G2159" s="181"/>
      <c r="H2159" s="182"/>
      <c r="I2159" s="182"/>
      <c r="J2159" s="182"/>
      <c r="K2159" s="183"/>
      <c r="L2159" s="182"/>
      <c r="M2159" s="182"/>
      <c r="N2159" s="182"/>
      <c r="O2159" s="183"/>
      <c r="P2159" s="183"/>
      <c r="Q2159" s="183"/>
      <c r="R2159" s="183"/>
      <c r="S2159" s="183"/>
      <c r="T2159" s="183"/>
      <c r="U2159" s="183"/>
      <c r="V2159" s="183"/>
      <c r="W2159" s="183"/>
      <c r="X2159" s="183"/>
      <c r="Y2159" s="184"/>
      <c r="Z2159" s="185"/>
      <c r="AA2159" s="185"/>
      <c r="AB2159" s="185"/>
      <c r="AC2159" s="185"/>
      <c r="AD2159" s="649"/>
      <c r="AE2159" s="182"/>
      <c r="AF2159" s="332"/>
      <c r="AG2159" s="182"/>
      <c r="AH2159" s="182"/>
      <c r="AI2159" s="182"/>
      <c r="AJ2159" s="640"/>
      <c r="AK2159" s="182"/>
      <c r="AL2159" s="496">
        <f t="shared" si="711"/>
        <v>0</v>
      </c>
      <c r="AM2159" s="496">
        <f t="shared" si="715"/>
        <v>0</v>
      </c>
      <c r="AN2159" s="626"/>
      <c r="AO2159" s="182"/>
      <c r="AP2159" s="182"/>
      <c r="AQ2159" s="332" t="str">
        <f>UPPER(RIGHT(Journal_Live[[#This Row],[DURATION ]]))</f>
        <v/>
      </c>
      <c r="AR2159" s="182"/>
      <c r="AS2159" s="189"/>
      <c r="AT2159" s="189"/>
      <c r="AU2159" s="187"/>
      <c r="AV2159" s="190"/>
      <c r="AW2159" s="191"/>
      <c r="AX2159" s="551"/>
      <c r="AY2159" s="551"/>
      <c r="AZ2159" s="551"/>
      <c r="BA2159" s="551"/>
      <c r="BB2159" s="551"/>
      <c r="BC2159" s="551"/>
      <c r="BD2159" s="549"/>
      <c r="BE2159" s="550"/>
      <c r="BF2159" s="549"/>
      <c r="BG2159" s="391">
        <f>SUM($AV$1389:AV2159)</f>
        <v>4836.6140742929338</v>
      </c>
      <c r="BH2159" s="392">
        <f>SUM($AU$1389:AU2159)</f>
        <v>51414.63922077918</v>
      </c>
      <c r="BI2159" s="318">
        <f>SUMIFS($AU$1388:AU2160,$Q$1388:Q2160,"F")</f>
        <v>34573.293506493508</v>
      </c>
      <c r="BJ2159" s="318">
        <f>SUMIFS($AU$1388:AU2160,$Q$1388:Q2160,"S")</f>
        <v>21202.285714285714</v>
      </c>
      <c r="BK2159" s="343">
        <f>SUMIFS($AU$1388:AU2160,$P$1388:P2160,"W")</f>
        <v>32776.759220779561</v>
      </c>
      <c r="BL2159" s="343">
        <f>SUMIFS($AU$1388:AU2160,$P$1388:P2160,"R")</f>
        <v>17326.00000000016</v>
      </c>
      <c r="BM2159" s="343">
        <f>SUMIFS($AU$1388:AU2160,$AQ$1388:AQ2160,"M")</f>
        <v>12131.179999998967</v>
      </c>
      <c r="BN2159" s="343">
        <f>SUMIFS($AU$1388:AU2160,$AQ$1388:AQ2160,"H")</f>
        <v>14523.200000000877</v>
      </c>
      <c r="BO2159" s="343">
        <f>SUMIFS($AU$1388:AU2160,$AQ$1388:AQ2160,"D")</f>
        <v>9614.9928571427408</v>
      </c>
      <c r="BP2159" s="343">
        <f>SUMIFS($AS$1388:AS2698,$AO$1388:AO2698,"W")</f>
        <v>0</v>
      </c>
      <c r="BQ2159" s="343">
        <f>SUMIFS($AU$1388:AU2160,$Q$1388:Q2160,"O")</f>
        <v>-5384.9400000000251</v>
      </c>
      <c r="BR2159" s="343">
        <f>SUMIFS($AU$1388:AU2160,$AA$1388:AA2160,"*")</f>
        <v>39875.122077921827</v>
      </c>
      <c r="BS2159" s="343">
        <f>SUMIFS($AU$1388:AU2160,$AB$1388:AB2160,"*")</f>
        <v>12971.859999999973</v>
      </c>
      <c r="BT2159" s="343">
        <f>SUMIFS($AU$1388:AU2160,$AC$1388:AC2160,"*")</f>
        <v>42973.293506493676</v>
      </c>
      <c r="BU2159" s="343">
        <f>SUMIFS($AU$1388:AU2160,$AA$1388:AA2160,"*",$AB$1388:AB2160,"*")</f>
        <v>8011.9999999997544</v>
      </c>
      <c r="BV2159" s="343">
        <f>SUMIFS($AU$1388:AU2160,$AA$1388:AA2160,"*",$AC$1388:AC2160,"*")</f>
        <v>30953.636363636531</v>
      </c>
      <c r="BW2159" s="343">
        <f>SUMIFS($AU$1388:AU2160,$AB$1388:AB2160,"*",$AC$1388:AC2160,"*")</f>
        <v>9360</v>
      </c>
      <c r="BX2159" s="343">
        <f>SUMIFS($AV$1388:AV2160,$Q$1388:Q2160,"F")</f>
        <v>478.72914667325267</v>
      </c>
      <c r="BY2159" s="343">
        <f>SUMIFS($AV$1388:AV2160,$Q$1388:Q2160,"S")</f>
        <v>754.32562762001328</v>
      </c>
      <c r="BZ2159" s="343">
        <f>SUMIFS($AV$1388:AV2160,$Q$1388:Q2160,"O")</f>
        <v>471.55929999966099</v>
      </c>
    </row>
    <row r="2160" spans="1:78" ht="15.75" customHeight="1">
      <c r="A2160" s="177" t="s">
        <v>6781</v>
      </c>
      <c r="B2160" s="200">
        <v>45450</v>
      </c>
      <c r="C2160" s="178" t="s">
        <v>2024</v>
      </c>
      <c r="D2160" s="178" t="s">
        <v>111</v>
      </c>
      <c r="E2160" s="227"/>
      <c r="F2160" s="180"/>
      <c r="G2160" s="490" t="s">
        <v>6826</v>
      </c>
      <c r="H2160" s="182"/>
      <c r="I2160" s="182"/>
      <c r="J2160" s="182"/>
      <c r="K2160" s="183"/>
      <c r="L2160" s="182"/>
      <c r="M2160" s="182">
        <v>2</v>
      </c>
      <c r="N2160" s="182"/>
      <c r="O2160" s="183" t="s">
        <v>95</v>
      </c>
      <c r="P2160" s="183" t="s">
        <v>137</v>
      </c>
      <c r="Q2160" s="183" t="s">
        <v>256</v>
      </c>
      <c r="R2160" s="183">
        <v>100</v>
      </c>
      <c r="S2160" s="183">
        <v>0</v>
      </c>
      <c r="T2160" s="183">
        <v>100</v>
      </c>
      <c r="U2160" s="183" t="s">
        <v>22</v>
      </c>
      <c r="V2160" s="183"/>
      <c r="W2160" s="183"/>
      <c r="X2160" s="183"/>
      <c r="Y2160" s="184">
        <f>IF(ISBLANK(O2160),"",(IF(O2160=UPPER("IB"),0.005,0.01)))</f>
        <v>0.01</v>
      </c>
      <c r="Z2160" s="185">
        <f>IF(ISBLANK(O2160),"",IF(O2160="IB",8.63*200,IF(O2160="IR",16*100,IF(O2160="YT",20*100,IF(O2160="YT-XT",24*200,IF(O2160="TED",80*100,IF(O2160="IR|YT",300*100)))))))</f>
        <v>1600</v>
      </c>
      <c r="AA2160" s="185" t="s">
        <v>5202</v>
      </c>
      <c r="AB2160" s="185"/>
      <c r="AC2160" s="185" t="s">
        <v>6869</v>
      </c>
      <c r="AD2160" s="649">
        <v>-0.04</v>
      </c>
      <c r="AE2160" s="182"/>
      <c r="AF2160" s="332"/>
      <c r="AG2160" s="182"/>
      <c r="AH2160" s="182">
        <v>-2</v>
      </c>
      <c r="AI2160" s="182"/>
      <c r="AJ2160" s="640"/>
      <c r="AK2160" s="182"/>
      <c r="AL2160" s="496">
        <f t="shared" si="711"/>
        <v>-32</v>
      </c>
      <c r="AM2160" s="496">
        <f t="shared" si="715"/>
        <v>-3200</v>
      </c>
      <c r="AN2160" s="626"/>
      <c r="AO2160" s="182"/>
      <c r="AP2160" s="182" t="s">
        <v>999</v>
      </c>
      <c r="AQ2160" s="332" t="s">
        <v>115</v>
      </c>
      <c r="AR2160" s="298" t="s">
        <v>6870</v>
      </c>
      <c r="AS2160" s="189">
        <v>-0.03</v>
      </c>
      <c r="AT2160" s="189">
        <f>IF(ISBLANK(AS2160),,IF(U2160="S",AD2160-AS2160,AS2160-AD2160))</f>
        <v>1.0000000000000002E-2</v>
      </c>
      <c r="AU2160" s="187">
        <f>AV2160*R2160</f>
        <v>1600.0000000000005</v>
      </c>
      <c r="AV2160" s="190">
        <f t="shared" si="716"/>
        <v>16.000000000000004</v>
      </c>
      <c r="AW2160" s="191" t="s">
        <v>96</v>
      </c>
      <c r="AX2160" s="551" t="s">
        <v>6871</v>
      </c>
      <c r="AY2160" s="551" t="s">
        <v>6494</v>
      </c>
      <c r="AZ2160" s="551"/>
      <c r="BA2160" s="551"/>
      <c r="BB2160" s="551"/>
      <c r="BC2160" s="551"/>
      <c r="BD2160" s="549"/>
      <c r="BE2160" s="550"/>
      <c r="BF2160" s="549"/>
      <c r="BG2160" s="391">
        <f>SUM($AV$1389:AV2160)</f>
        <v>4852.6140742929338</v>
      </c>
      <c r="BH2160" s="392">
        <f>SUM($AU$1389:AU2160)</f>
        <v>53014.63922077918</v>
      </c>
      <c r="BI2160" s="318">
        <f>SUMIFS($AU$1388:AU2161,$Q$1388:Q2161,"F")</f>
        <v>34573.293506493508</v>
      </c>
      <c r="BJ2160" s="318">
        <f>SUMIFS($AU$1388:AU2161,$Q$1388:Q2161,"S")</f>
        <v>21362.285714285714</v>
      </c>
      <c r="BK2160" s="343">
        <f>SUMIFS($AU$1388:AU2161,$P$1388:P2161,"W")</f>
        <v>32936.759220779561</v>
      </c>
      <c r="BL2160" s="343">
        <f>SUMIFS($AU$1388:AU2161,$P$1388:P2161,"R")</f>
        <v>17326.00000000016</v>
      </c>
      <c r="BM2160" s="343">
        <f>SUMIFS($AU$1388:AU2161,$AQ$1388:AQ2161,"M")</f>
        <v>12131.179999998967</v>
      </c>
      <c r="BN2160" s="343">
        <f>SUMIFS($AU$1388:AU2161,$AQ$1388:AQ2161,"H")</f>
        <v>14523.200000000877</v>
      </c>
      <c r="BO2160" s="343">
        <f>SUMIFS($AU$1388:AU2161,$AQ$1388:AQ2161,"D")</f>
        <v>9774.992857142739</v>
      </c>
      <c r="BP2160" s="343">
        <f>SUMIFS($AS$1388:AS2699,$AO$1388:AO2699,"W")</f>
        <v>0</v>
      </c>
      <c r="BQ2160" s="343">
        <f>SUMIFS($AU$1388:AU2161,$Q$1388:Q2161,"O")</f>
        <v>-5384.9400000000251</v>
      </c>
      <c r="BR2160" s="343">
        <f>SUMIFS($AU$1388:AU2161,$AA$1388:AA2161,"*")</f>
        <v>40035.122077921827</v>
      </c>
      <c r="BS2160" s="343">
        <f>SUMIFS($AU$1388:AU2161,$AB$1388:AB2161,"*")</f>
        <v>12971.859999999973</v>
      </c>
      <c r="BT2160" s="343">
        <f>SUMIFS($AU$1388:AU2161,$AC$1388:AC2161,"*")</f>
        <v>43133.293506493676</v>
      </c>
      <c r="BU2160" s="343">
        <f>SUMIFS($AU$1388:AU2161,$AA$1388:AA2161,"*",$AB$1388:AB2161,"*")</f>
        <v>8011.9999999997544</v>
      </c>
      <c r="BV2160" s="343">
        <f>SUMIFS($AU$1388:AU2161,$AA$1388:AA2161,"*",$AC$1388:AC2161,"*")</f>
        <v>31113.636363636531</v>
      </c>
      <c r="BW2160" s="343">
        <f>SUMIFS($AU$1388:AU2161,$AB$1388:AB2161,"*",$AC$1388:AC2161,"*")</f>
        <v>9360</v>
      </c>
      <c r="BX2160" s="343">
        <f>SUMIFS($AV$1388:AV2161,$Q$1388:Q2161,"F")</f>
        <v>478.72914667325267</v>
      </c>
      <c r="BY2160" s="343">
        <f>SUMIFS($AV$1388:AV2161,$Q$1388:Q2161,"S")</f>
        <v>756.6113419057275</v>
      </c>
      <c r="BZ2160" s="343">
        <f>SUMIFS($AV$1388:AV2161,$Q$1388:Q2161,"O")</f>
        <v>471.55929999966099</v>
      </c>
    </row>
    <row r="2161" spans="1:78" ht="15.75" customHeight="1">
      <c r="A2161" s="177" t="s">
        <v>6781</v>
      </c>
      <c r="B2161" s="200">
        <v>45450</v>
      </c>
      <c r="C2161" s="178" t="s">
        <v>6872</v>
      </c>
      <c r="D2161" s="178" t="s">
        <v>111</v>
      </c>
      <c r="E2161" s="227"/>
      <c r="F2161" s="180"/>
      <c r="G2161" s="572" t="s">
        <v>6873</v>
      </c>
      <c r="H2161" s="182"/>
      <c r="I2161" s="182"/>
      <c r="J2161" s="182"/>
      <c r="K2161" s="183"/>
      <c r="L2161" s="182"/>
      <c r="M2161" s="182">
        <v>2</v>
      </c>
      <c r="N2161" s="182"/>
      <c r="O2161" s="183" t="s">
        <v>95</v>
      </c>
      <c r="P2161" s="183" t="s">
        <v>96</v>
      </c>
      <c r="Q2161" s="183" t="s">
        <v>97</v>
      </c>
      <c r="R2161" s="183">
        <v>70</v>
      </c>
      <c r="S2161" s="183">
        <v>10</v>
      </c>
      <c r="T2161" s="183">
        <v>70</v>
      </c>
      <c r="U2161" s="183" t="s">
        <v>97</v>
      </c>
      <c r="V2161" s="183"/>
      <c r="W2161" s="183"/>
      <c r="X2161" s="183"/>
      <c r="Y2161" s="184">
        <f>IF(ISBLANK(O2161),"",(IF(O2161=UPPER("IB"),0.005,0.01)))</f>
        <v>0.01</v>
      </c>
      <c r="Z2161" s="185">
        <f>IF(ISBLANK(O2161),"",IF(O2161="IB",8.63*200,IF(O2161="IR",16*100,IF(O2161="YT",20*100,IF(O2161="YT-XT",24*200,IF(O2161="TED",80*100,IF(O2161="IR|YT",300*100)))))))</f>
        <v>1600</v>
      </c>
      <c r="AA2161" s="185" t="s">
        <v>6874</v>
      </c>
      <c r="AB2161" s="185"/>
      <c r="AC2161" s="185" t="s">
        <v>6875</v>
      </c>
      <c r="AD2161" s="649">
        <v>-0.09</v>
      </c>
      <c r="AE2161" s="182"/>
      <c r="AF2161" s="332"/>
      <c r="AG2161" s="182"/>
      <c r="AH2161" s="182">
        <v>-12</v>
      </c>
      <c r="AI2161" s="182"/>
      <c r="AJ2161" s="640"/>
      <c r="AK2161" s="182"/>
      <c r="AL2161" s="496">
        <f t="shared" si="711"/>
        <v>-32</v>
      </c>
      <c r="AM2161" s="496">
        <f t="shared" si="715"/>
        <v>-1920</v>
      </c>
      <c r="AN2161" s="626" t="s">
        <v>6876</v>
      </c>
      <c r="AO2161" s="182"/>
      <c r="AP2161" s="182" t="s">
        <v>804</v>
      </c>
      <c r="AQ2161" s="332" t="s">
        <v>115</v>
      </c>
      <c r="AR2161" s="182"/>
      <c r="AS2161" s="189">
        <f>((-0.1*10)+(-0.09*60))/70</f>
        <v>-9.1428571428571415E-2</v>
      </c>
      <c r="AT2161" s="189">
        <f>IF(ISBLANK(AS2161),,IF(U2161="S",AD2161-AS2161,AS2161-AD2161))</f>
        <v>1.4285714285714179E-3</v>
      </c>
      <c r="AU2161" s="187">
        <f>AV2161*R2161</f>
        <v>159.99999999999881</v>
      </c>
      <c r="AV2161" s="190">
        <f t="shared" si="716"/>
        <v>2.2857142857142687</v>
      </c>
      <c r="AW2161" s="191" t="s">
        <v>96</v>
      </c>
      <c r="AX2161" s="551" t="s">
        <v>1361</v>
      </c>
      <c r="AY2161" s="551" t="s">
        <v>6877</v>
      </c>
      <c r="AZ2161" s="551" t="s">
        <v>6878</v>
      </c>
      <c r="BA2161" s="551" t="s">
        <v>6879</v>
      </c>
      <c r="BB2161" s="551" t="s">
        <v>6880</v>
      </c>
      <c r="BC2161" s="551" t="s">
        <v>6881</v>
      </c>
      <c r="BD2161" s="549"/>
      <c r="BE2161" s="550"/>
      <c r="BF2161" s="549"/>
      <c r="BG2161" s="391">
        <f>SUM($AV$1389:AV2161)</f>
        <v>4854.8997885786484</v>
      </c>
      <c r="BH2161" s="392">
        <f>SUM($AU$1389:AU2161)</f>
        <v>53174.63922077918</v>
      </c>
      <c r="BI2161" s="318">
        <f>SUMIFS($AU$1388:AU2162,$Q$1388:Q2162,"F")</f>
        <v>34573.293506493508</v>
      </c>
      <c r="BJ2161" s="318">
        <f>SUMIFS($AU$1388:AU2162,$Q$1388:Q2162,"S")</f>
        <v>21362.285714285714</v>
      </c>
      <c r="BK2161" s="343">
        <f>SUMIFS($AU$1388:AU2162,$P$1388:P2162,"W")</f>
        <v>32936.759220779561</v>
      </c>
      <c r="BL2161" s="343">
        <f>SUMIFS($AU$1388:AU2162,$P$1388:P2162,"R")</f>
        <v>17326.00000000016</v>
      </c>
      <c r="BM2161" s="343">
        <f>SUMIFS($AU$1388:AU2162,$AQ$1388:AQ2162,"M")</f>
        <v>12131.179999998967</v>
      </c>
      <c r="BN2161" s="343">
        <f>SUMIFS($AU$1388:AU2162,$AQ$1388:AQ2162,"H")</f>
        <v>14523.200000000877</v>
      </c>
      <c r="BO2161" s="343">
        <f>SUMIFS($AU$1388:AU2162,$AQ$1388:AQ2162,"D")</f>
        <v>9774.992857142739</v>
      </c>
      <c r="BP2161" s="343">
        <f>SUMIFS($AS$1388:AS2700,$AO$1388:AO2700,"W")</f>
        <v>0</v>
      </c>
      <c r="BQ2161" s="343">
        <f>SUMIFS($AU$1388:AU2162,$Q$1388:Q2162,"O")</f>
        <v>-5384.9400000000251</v>
      </c>
      <c r="BR2161" s="343">
        <f>SUMIFS($AU$1388:AU2162,$AA$1388:AA2162,"*")</f>
        <v>40035.122077921827</v>
      </c>
      <c r="BS2161" s="343">
        <f>SUMIFS($AU$1388:AU2162,$AB$1388:AB2162,"*")</f>
        <v>12971.859999999973</v>
      </c>
      <c r="BT2161" s="343">
        <f>SUMIFS($AU$1388:AU2162,$AC$1388:AC2162,"*")</f>
        <v>43133.293506493676</v>
      </c>
      <c r="BU2161" s="343">
        <f>SUMIFS($AU$1388:AU2162,$AA$1388:AA2162,"*",$AB$1388:AB2162,"*")</f>
        <v>8011.9999999997544</v>
      </c>
      <c r="BV2161" s="343">
        <f>SUMIFS($AU$1388:AU2162,$AA$1388:AA2162,"*",$AC$1388:AC2162,"*")</f>
        <v>31113.636363636531</v>
      </c>
      <c r="BW2161" s="343">
        <f>SUMIFS($AU$1388:AU2162,$AB$1388:AB2162,"*",$AC$1388:AC2162,"*")</f>
        <v>9360</v>
      </c>
      <c r="BX2161" s="343">
        <f>SUMIFS($AV$1388:AV2162,$Q$1388:Q2162,"F")</f>
        <v>478.72914667325267</v>
      </c>
      <c r="BY2161" s="343">
        <f>SUMIFS($AV$1388:AV2162,$Q$1388:Q2162,"S")</f>
        <v>756.6113419057275</v>
      </c>
      <c r="BZ2161" s="343">
        <f>SUMIFS($AV$1388:AV2162,$Q$1388:Q2162,"O")</f>
        <v>471.55929999966099</v>
      </c>
    </row>
    <row r="2162" spans="1:78" ht="15.75" customHeight="1">
      <c r="A2162" s="177" t="s">
        <v>6781</v>
      </c>
      <c r="B2162" s="200">
        <v>45450</v>
      </c>
      <c r="C2162" s="178" t="s">
        <v>2024</v>
      </c>
      <c r="D2162" s="178" t="s">
        <v>111</v>
      </c>
      <c r="E2162" s="227"/>
      <c r="F2162" s="180"/>
      <c r="G2162" s="181" t="s">
        <v>6882</v>
      </c>
      <c r="H2162" s="182"/>
      <c r="I2162" s="182"/>
      <c r="J2162" s="182"/>
      <c r="K2162" s="183"/>
      <c r="L2162" s="182"/>
      <c r="M2162" s="182"/>
      <c r="N2162" s="182"/>
      <c r="O2162" s="183"/>
      <c r="P2162" s="183"/>
      <c r="Q2162" s="183"/>
      <c r="R2162" s="183"/>
      <c r="S2162" s="183"/>
      <c r="T2162" s="183"/>
      <c r="U2162" s="183"/>
      <c r="V2162" s="183"/>
      <c r="W2162" s="183"/>
      <c r="X2162" s="183"/>
      <c r="Y2162" s="184"/>
      <c r="Z2162" s="185"/>
      <c r="AA2162" s="185"/>
      <c r="AB2162" s="185"/>
      <c r="AC2162" s="185"/>
      <c r="AD2162" s="649"/>
      <c r="AE2162" s="182"/>
      <c r="AF2162" s="332"/>
      <c r="AG2162" s="182"/>
      <c r="AH2162" s="182"/>
      <c r="AI2162" s="182"/>
      <c r="AJ2162" s="640"/>
      <c r="AK2162" s="182"/>
      <c r="AL2162" s="496">
        <f t="shared" si="711"/>
        <v>0</v>
      </c>
      <c r="AM2162" s="496">
        <f t="shared" si="715"/>
        <v>0</v>
      </c>
      <c r="AN2162" s="626" t="s">
        <v>6876</v>
      </c>
      <c r="AO2162" s="182"/>
      <c r="AP2162" s="182"/>
      <c r="AQ2162" s="332" t="str">
        <f>UPPER(RIGHT(Journal_Live[[#This Row],[DURATION ]]))</f>
        <v/>
      </c>
      <c r="AR2162" s="182"/>
      <c r="AS2162" s="189"/>
      <c r="AT2162" s="189"/>
      <c r="AU2162" s="187"/>
      <c r="AV2162" s="190"/>
      <c r="AW2162" s="191"/>
      <c r="AX2162" s="551" t="s">
        <v>6883</v>
      </c>
      <c r="AY2162" s="551"/>
      <c r="AZ2162" s="551"/>
      <c r="BA2162" s="551"/>
      <c r="BB2162" s="551"/>
      <c r="BC2162" s="551"/>
      <c r="BD2162" s="549"/>
      <c r="BE2162" s="550"/>
      <c r="BF2162" s="549"/>
      <c r="BG2162" s="391">
        <f>SUM($AV$1389:AV2162)</f>
        <v>4854.8997885786484</v>
      </c>
      <c r="BH2162" s="392">
        <f>SUM($AU$1389:AU2162)</f>
        <v>53174.63922077918</v>
      </c>
      <c r="BI2162" s="318">
        <f>SUMIFS($AU$1388:AU2163,$Q$1388:Q2163,"F")</f>
        <v>34484.678121878125</v>
      </c>
      <c r="BJ2162" s="318">
        <f>SUMIFS($AU$1388:AU2163,$Q$1388:Q2163,"S")</f>
        <v>21362.285714285714</v>
      </c>
      <c r="BK2162" s="343">
        <f>SUMIFS($AU$1388:AU2163,$P$1388:P2163,"W")</f>
        <v>32848.143836164178</v>
      </c>
      <c r="BL2162" s="343">
        <f>SUMIFS($AU$1388:AU2163,$P$1388:P2163,"R")</f>
        <v>17326.00000000016</v>
      </c>
      <c r="BM2162" s="343">
        <f>SUMIFS($AU$1388:AU2163,$AQ$1388:AQ2163,"M")</f>
        <v>12131.179999998967</v>
      </c>
      <c r="BN2162" s="343">
        <f>SUMIFS($AU$1388:AU2163,$AQ$1388:AQ2163,"H")</f>
        <v>14523.200000000877</v>
      </c>
      <c r="BO2162" s="343">
        <f>SUMIFS($AU$1388:AU2163,$AQ$1388:AQ2163,"D")</f>
        <v>9686.3774725273543</v>
      </c>
      <c r="BP2162" s="343">
        <f>SUMIFS($AS$1388:AS2701,$AO$1388:AO2701,"W")</f>
        <v>0</v>
      </c>
      <c r="BQ2162" s="343">
        <f>SUMIFS($AU$1388:AU2163,$Q$1388:Q2163,"O")</f>
        <v>-5384.9400000000251</v>
      </c>
      <c r="BR2162" s="343">
        <f>SUMIFS($AU$1388:AU2163,$AA$1388:AA2163,"*")</f>
        <v>40035.122077921827</v>
      </c>
      <c r="BS2162" s="343">
        <f>SUMIFS($AU$1388:AU2163,$AB$1388:AB2163,"*")</f>
        <v>12971.859999999973</v>
      </c>
      <c r="BT2162" s="343">
        <f>SUMIFS($AU$1388:AU2163,$AC$1388:AC2163,"*")</f>
        <v>43044.678121878293</v>
      </c>
      <c r="BU2162" s="343">
        <f>SUMIFS($AU$1388:AU2163,$AA$1388:AA2163,"*",$AB$1388:AB2163,"*")</f>
        <v>8011.9999999997544</v>
      </c>
      <c r="BV2162" s="343">
        <f>SUMIFS($AU$1388:AU2163,$AA$1388:AA2163,"*",$AC$1388:AC2163,"*")</f>
        <v>31113.636363636531</v>
      </c>
      <c r="BW2162" s="343">
        <f>SUMIFS($AU$1388:AU2163,$AB$1388:AB2163,"*",$AC$1388:AC2163,"*")</f>
        <v>9360</v>
      </c>
      <c r="BX2162" s="343">
        <f>SUMIFS($AV$1388:AV2163,$Q$1388:Q2163,"F")</f>
        <v>474.29837744248346</v>
      </c>
      <c r="BY2162" s="343">
        <f>SUMIFS($AV$1388:AV2163,$Q$1388:Q2163,"S")</f>
        <v>756.6113419057275</v>
      </c>
      <c r="BZ2162" s="343">
        <f>SUMIFS($AV$1388:AV2163,$Q$1388:Q2163,"O")</f>
        <v>471.55929999966099</v>
      </c>
    </row>
    <row r="2163" spans="1:78" ht="15.75" customHeight="1">
      <c r="A2163" s="177" t="s">
        <v>6781</v>
      </c>
      <c r="B2163" s="200">
        <v>45451</v>
      </c>
      <c r="C2163" s="178" t="s">
        <v>6207</v>
      </c>
      <c r="D2163" s="178" t="s">
        <v>1676</v>
      </c>
      <c r="E2163" s="227"/>
      <c r="F2163" s="180"/>
      <c r="G2163" s="481" t="s">
        <v>6884</v>
      </c>
      <c r="H2163" s="182"/>
      <c r="I2163" s="182"/>
      <c r="J2163" s="182"/>
      <c r="K2163" s="183"/>
      <c r="L2163" s="182">
        <v>1</v>
      </c>
      <c r="M2163" s="182"/>
      <c r="N2163" s="182"/>
      <c r="O2163" s="183" t="s">
        <v>95</v>
      </c>
      <c r="P2163" s="183" t="s">
        <v>96</v>
      </c>
      <c r="Q2163" s="183" t="s">
        <v>256</v>
      </c>
      <c r="R2163" s="183">
        <v>20</v>
      </c>
      <c r="S2163" s="183">
        <v>20</v>
      </c>
      <c r="T2163" s="183">
        <v>4</v>
      </c>
      <c r="U2163" s="183" t="s">
        <v>97</v>
      </c>
      <c r="V2163" s="183"/>
      <c r="W2163" s="183"/>
      <c r="X2163" s="183"/>
      <c r="Y2163" s="184">
        <f>IF(ISBLANK(O2163),"",(IF(O2163=UPPER("IB"),0.005,0.01)))</f>
        <v>0.01</v>
      </c>
      <c r="Z2163" s="185">
        <f>IF(ISBLANK(O2163),"",IF(O2163="IB",8.63*200,IF(O2163="IR",16*100,IF(O2163="YT",20*100,IF(O2163="YT-XT",24*200,IF(O2163="TED",80*100,IF(O2163="IR|YT",300*100)))))))</f>
        <v>1600</v>
      </c>
      <c r="AA2163" s="185"/>
      <c r="AB2163" s="185"/>
      <c r="AC2163" s="185" t="s">
        <v>6885</v>
      </c>
      <c r="AD2163" s="649">
        <f>(0.05*5+0.02*27+0.01*33)/65</f>
        <v>1.7230769230769234E-2</v>
      </c>
      <c r="AE2163" s="182"/>
      <c r="AF2163" s="332"/>
      <c r="AG2163" s="182"/>
      <c r="AH2163" s="182" t="s">
        <v>6886</v>
      </c>
      <c r="AI2163" s="182"/>
      <c r="AJ2163" s="640" t="s">
        <v>6887</v>
      </c>
      <c r="AK2163" s="182"/>
      <c r="AL2163" s="496">
        <f t="shared" si="711"/>
        <v>-32</v>
      </c>
      <c r="AM2163" s="496">
        <f t="shared" si="715"/>
        <v>0</v>
      </c>
      <c r="AN2163" s="626"/>
      <c r="AO2163" s="182"/>
      <c r="AP2163" s="182" t="s">
        <v>2333</v>
      </c>
      <c r="AQ2163" s="332" t="s">
        <v>115</v>
      </c>
      <c r="AR2163" s="182" t="s">
        <v>6888</v>
      </c>
      <c r="AS2163" s="189">
        <v>0.02</v>
      </c>
      <c r="AT2163" s="189">
        <f>IF(ISBLANK(AS2163),,IF(U2163="S",AD2163-AS2163,AS2163-AD2163))</f>
        <v>-2.7692307692307669E-3</v>
      </c>
      <c r="AU2163" s="187">
        <f>AV2163*R2163</f>
        <v>-88.615384615384556</v>
      </c>
      <c r="AV2163" s="190">
        <f t="shared" si="716"/>
        <v>-4.4307692307692275</v>
      </c>
      <c r="AW2163" s="191" t="s">
        <v>229</v>
      </c>
      <c r="AX2163" s="551" t="s">
        <v>6883</v>
      </c>
      <c r="AY2163" s="551"/>
      <c r="AZ2163" s="551"/>
      <c r="BA2163" s="551"/>
      <c r="BB2163" s="551"/>
      <c r="BC2163" s="551"/>
      <c r="BD2163" s="549"/>
      <c r="BE2163" s="550"/>
      <c r="BF2163" s="549"/>
      <c r="BG2163" s="391">
        <f>SUM($AV$1389:AV2163)</f>
        <v>4850.4690193478791</v>
      </c>
      <c r="BH2163" s="392">
        <f>SUM($AU$1389:AU2163)</f>
        <v>53086.023836163797</v>
      </c>
      <c r="BI2163" s="318">
        <f>SUMIFS($AU$1388:AU2164,$Q$1388:Q2164,"F")</f>
        <v>34971.078121878127</v>
      </c>
      <c r="BJ2163" s="318">
        <f>SUMIFS($AU$1388:AU2164,$Q$1388:Q2164,"S")</f>
        <v>21362.285714285714</v>
      </c>
      <c r="BK2163" s="343">
        <f>SUMIFS($AU$1388:AU2164,$P$1388:P2164,"W")</f>
        <v>32848.143836164178</v>
      </c>
      <c r="BL2163" s="343">
        <f>SUMIFS($AU$1388:AU2164,$P$1388:P2164,"R")</f>
        <v>17812.400000000162</v>
      </c>
      <c r="BM2163" s="343">
        <f>SUMIFS($AU$1388:AU2164,$AQ$1388:AQ2164,"M")</f>
        <v>12131.179999998967</v>
      </c>
      <c r="BN2163" s="343">
        <f>SUMIFS($AU$1388:AU2164,$AQ$1388:AQ2164,"H")</f>
        <v>14523.200000000877</v>
      </c>
      <c r="BO2163" s="343">
        <f>SUMIFS($AU$1388:AU2164,$AQ$1388:AQ2164,"D")</f>
        <v>9686.3774725273543</v>
      </c>
      <c r="BP2163" s="343">
        <f>SUMIFS($AS$1388:AS2702,$AO$1388:AO2702,"W")</f>
        <v>0</v>
      </c>
      <c r="BQ2163" s="343">
        <f>SUMIFS($AU$1388:AU2164,$Q$1388:Q2164,"O")</f>
        <v>-5384.9400000000251</v>
      </c>
      <c r="BR2163" s="343">
        <f>SUMIFS($AU$1388:AU2164,$AA$1388:AA2164,"*")</f>
        <v>40521.522077921829</v>
      </c>
      <c r="BS2163" s="343">
        <f>SUMIFS($AU$1388:AU2164,$AB$1388:AB2164,"*")</f>
        <v>12971.859999999973</v>
      </c>
      <c r="BT2163" s="343">
        <f>SUMIFS($AU$1388:AU2164,$AC$1388:AC2164,"*")</f>
        <v>43531.078121878294</v>
      </c>
      <c r="BU2163" s="343">
        <f>SUMIFS($AU$1388:AU2164,$AA$1388:AA2164,"*",$AB$1388:AB2164,"*")</f>
        <v>8011.9999999997544</v>
      </c>
      <c r="BV2163" s="343">
        <f>SUMIFS($AU$1388:AU2164,$AA$1388:AA2164,"*",$AC$1388:AC2164,"*")</f>
        <v>31600.036363636533</v>
      </c>
      <c r="BW2163" s="343">
        <f>SUMIFS($AU$1388:AU2164,$AB$1388:AB2164,"*",$AC$1388:AC2164,"*")</f>
        <v>9360</v>
      </c>
      <c r="BX2163" s="343">
        <f>SUMIFS($AV$1388:AV2164,$Q$1388:Q2164,"F")</f>
        <v>477.49837744248345</v>
      </c>
      <c r="BY2163" s="343">
        <f>SUMIFS($AV$1388:AV2164,$Q$1388:Q2164,"S")</f>
        <v>756.6113419057275</v>
      </c>
      <c r="BZ2163" s="343">
        <f>SUMIFS($AV$1388:AV2164,$Q$1388:Q2164,"O")</f>
        <v>471.55929999966099</v>
      </c>
    </row>
    <row r="2164" spans="1:78" ht="15.75" customHeight="1">
      <c r="A2164" s="177" t="s">
        <v>6781</v>
      </c>
      <c r="B2164" s="200">
        <v>45454</v>
      </c>
      <c r="C2164" s="178" t="s">
        <v>733</v>
      </c>
      <c r="D2164" s="178" t="s">
        <v>146</v>
      </c>
      <c r="E2164" s="227"/>
      <c r="F2164" s="180"/>
      <c r="G2164" s="490" t="s">
        <v>6889</v>
      </c>
      <c r="H2164" s="182"/>
      <c r="I2164" s="182"/>
      <c r="J2164" s="182"/>
      <c r="K2164" s="183"/>
      <c r="L2164" s="182"/>
      <c r="M2164" s="182">
        <v>2</v>
      </c>
      <c r="N2164" s="182"/>
      <c r="O2164" s="183" t="s">
        <v>95</v>
      </c>
      <c r="P2164" s="183" t="s">
        <v>137</v>
      </c>
      <c r="Q2164" s="183" t="s">
        <v>256</v>
      </c>
      <c r="R2164" s="183">
        <v>152</v>
      </c>
      <c r="S2164" s="183">
        <v>72</v>
      </c>
      <c r="T2164" s="183">
        <v>24</v>
      </c>
      <c r="U2164" s="183" t="s">
        <v>22</v>
      </c>
      <c r="V2164" s="183"/>
      <c r="W2164" s="183"/>
      <c r="X2164" s="183"/>
      <c r="Y2164" s="184">
        <f>IF(ISBLANK(O2164),"",(IF(O2164=UPPER("IB"),0.005,0.01)))</f>
        <v>0.01</v>
      </c>
      <c r="Z2164" s="185">
        <f>IF(ISBLANK(O2164),"",IF(O2164="IB",8.63*200,IF(O2164="IR",16*100,IF(O2164="YT",20*100,IF(O2164="YT-XT",24*200,IF(O2164="TED",80*100,IF(O2164="IR|YT",300*100)))))))</f>
        <v>1600</v>
      </c>
      <c r="AA2164" s="185" t="s">
        <v>739</v>
      </c>
      <c r="AB2164" s="185"/>
      <c r="AC2164" s="185" t="s">
        <v>6890</v>
      </c>
      <c r="AD2164" s="649">
        <v>-0.05</v>
      </c>
      <c r="AE2164" s="182"/>
      <c r="AF2164" s="332"/>
      <c r="AG2164" s="182"/>
      <c r="AH2164" s="182"/>
      <c r="AI2164" s="182"/>
      <c r="AJ2164" s="640"/>
      <c r="AK2164" s="182"/>
      <c r="AL2164" s="496">
        <f>-0.01*Z2164</f>
        <v>-16</v>
      </c>
      <c r="AM2164" s="496">
        <f t="shared" si="715"/>
        <v>-1280</v>
      </c>
      <c r="AN2164" s="626" t="s">
        <v>6891</v>
      </c>
      <c r="AO2164" s="182"/>
      <c r="AP2164" s="182" t="s">
        <v>3769</v>
      </c>
      <c r="AQ2164" s="332" t="s">
        <v>96</v>
      </c>
      <c r="AR2164" s="298">
        <v>45471</v>
      </c>
      <c r="AS2164" s="189">
        <f>((-0.04*40)+(-0.05*32)+(-0.05*80))/150</f>
        <v>-4.8000000000000001E-2</v>
      </c>
      <c r="AT2164" s="189">
        <f>IF(ISBLANK(AS2164),,IF(U2164="S",AD2164-AS2164,AS2164-AD2164))</f>
        <v>2.0000000000000018E-3</v>
      </c>
      <c r="AU2164" s="187">
        <f>AV2164*R2164</f>
        <v>486.40000000000043</v>
      </c>
      <c r="AV2164" s="190">
        <f t="shared" ref="AV2164:AV2167" si="717">IF(ISBLANK(AS2164),,(AT2164*Z2164))</f>
        <v>3.2000000000000028</v>
      </c>
      <c r="AW2164" s="191" t="s">
        <v>96</v>
      </c>
      <c r="AX2164" s="549"/>
      <c r="AY2164" s="549"/>
      <c r="AZ2164" s="549"/>
      <c r="BA2164" s="551" t="s">
        <v>6892</v>
      </c>
      <c r="BB2164" s="551"/>
      <c r="BC2164" s="551"/>
      <c r="BD2164" s="549"/>
      <c r="BE2164" s="550"/>
      <c r="BF2164" s="549"/>
      <c r="BG2164" s="391">
        <f>SUM($AV$1389:AV2164)</f>
        <v>4853.6690193478789</v>
      </c>
      <c r="BH2164" s="392">
        <f>SUM($AU$1389:AU2164)</f>
        <v>53572.423836163798</v>
      </c>
      <c r="BI2164" s="318">
        <f>SUMIFS($AU$1388:AU2165,$Q$1388:Q2165,"F")</f>
        <v>34971.078121878127</v>
      </c>
      <c r="BJ2164" s="318">
        <f>SUMIFS($AU$1388:AU2165,$Q$1388:Q2165,"S")</f>
        <v>21362.285714285714</v>
      </c>
      <c r="BK2164" s="343">
        <f>SUMIFS($AU$1388:AU2165,$P$1388:P2165,"W")</f>
        <v>32848.143836164178</v>
      </c>
      <c r="BL2164" s="343">
        <f>SUMIFS($AU$1388:AU2165,$P$1388:P2165,"R")</f>
        <v>17812.400000000162</v>
      </c>
      <c r="BM2164" s="343">
        <f>SUMIFS($AU$1388:AU2165,$AQ$1388:AQ2165,"M")</f>
        <v>12131.179999998967</v>
      </c>
      <c r="BN2164" s="343">
        <f>SUMIFS($AU$1388:AU2165,$AQ$1388:AQ2165,"H")</f>
        <v>14523.200000000877</v>
      </c>
      <c r="BO2164" s="343">
        <f>SUMIFS($AU$1388:AU2165,$AQ$1388:AQ2165,"D")</f>
        <v>9686.3774725273543</v>
      </c>
      <c r="BP2164" s="343">
        <f>SUMIFS($AS$1388:AS2703,$AO$1388:AO2703,"W")</f>
        <v>0</v>
      </c>
      <c r="BQ2164" s="343">
        <f>SUMIFS($AU$1388:AU2165,$Q$1388:Q2165,"O")</f>
        <v>-5384.9400000000251</v>
      </c>
      <c r="BR2164" s="343">
        <f>SUMIFS($AU$1388:AU2165,$AA$1388:AA2165,"*")</f>
        <v>40521.522077921829</v>
      </c>
      <c r="BS2164" s="343">
        <f>SUMIFS($AU$1388:AU2165,$AB$1388:AB2165,"*")</f>
        <v>12971.859999999973</v>
      </c>
      <c r="BT2164" s="343">
        <f>SUMIFS($AU$1388:AU2165,$AC$1388:AC2165,"*")</f>
        <v>43531.078121878294</v>
      </c>
      <c r="BU2164" s="343">
        <f>SUMIFS($AU$1388:AU2165,$AA$1388:AA2165,"*",$AB$1388:AB2165,"*")</f>
        <v>8011.9999999997544</v>
      </c>
      <c r="BV2164" s="343">
        <f>SUMIFS($AU$1388:AU2165,$AA$1388:AA2165,"*",$AC$1388:AC2165,"*")</f>
        <v>31600.036363636533</v>
      </c>
      <c r="BW2164" s="343">
        <f>SUMIFS($AU$1388:AU2165,$AB$1388:AB2165,"*",$AC$1388:AC2165,"*")</f>
        <v>9360</v>
      </c>
      <c r="BX2164" s="343">
        <f>SUMIFS($AV$1388:AV2165,$Q$1388:Q2165,"F")</f>
        <v>477.49837744248345</v>
      </c>
      <c r="BY2164" s="343">
        <f>SUMIFS($AV$1388:AV2165,$Q$1388:Q2165,"S")</f>
        <v>756.6113419057275</v>
      </c>
      <c r="BZ2164" s="343">
        <f>SUMIFS($AV$1388:AV2165,$Q$1388:Q2165,"O")</f>
        <v>471.55929999966099</v>
      </c>
    </row>
    <row r="2165" spans="1:78" ht="15.75" customHeight="1">
      <c r="A2165" s="177" t="s">
        <v>6781</v>
      </c>
      <c r="B2165" s="200">
        <v>45454</v>
      </c>
      <c r="C2165" s="178" t="s">
        <v>3152</v>
      </c>
      <c r="D2165" s="178" t="s">
        <v>146</v>
      </c>
      <c r="E2165" s="227"/>
      <c r="F2165" s="180"/>
      <c r="G2165" s="181" t="s">
        <v>6893</v>
      </c>
      <c r="H2165" s="182"/>
      <c r="I2165" s="182"/>
      <c r="J2165" s="182"/>
      <c r="K2165" s="183"/>
      <c r="L2165" s="182"/>
      <c r="M2165" s="182"/>
      <c r="N2165" s="182"/>
      <c r="O2165" s="183"/>
      <c r="P2165" s="183"/>
      <c r="Q2165" s="183"/>
      <c r="R2165" s="183"/>
      <c r="S2165" s="183"/>
      <c r="T2165" s="183"/>
      <c r="U2165" s="183"/>
      <c r="V2165" s="183"/>
      <c r="W2165" s="183"/>
      <c r="X2165" s="183"/>
      <c r="Y2165" s="184"/>
      <c r="Z2165" s="185"/>
      <c r="AA2165" s="185"/>
      <c r="AB2165" s="185"/>
      <c r="AC2165" s="185"/>
      <c r="AD2165" s="649"/>
      <c r="AE2165" s="182"/>
      <c r="AF2165" s="332"/>
      <c r="AG2165" s="182"/>
      <c r="AH2165" s="182"/>
      <c r="AI2165" s="182"/>
      <c r="AJ2165" s="640" t="s">
        <v>6894</v>
      </c>
      <c r="AK2165" s="182"/>
      <c r="AL2165" s="496">
        <f t="shared" ref="AL2165:AL2167" si="718">-0.02*Z2165</f>
        <v>0</v>
      </c>
      <c r="AM2165" s="496">
        <f t="shared" si="715"/>
        <v>0</v>
      </c>
      <c r="AN2165" s="626" t="s">
        <v>6895</v>
      </c>
      <c r="AO2165" s="182"/>
      <c r="AP2165" s="182"/>
      <c r="AQ2165" s="332" t="str">
        <f>UPPER(RIGHT(Journal_Live[[#This Row],[DURATION ]]))</f>
        <v/>
      </c>
      <c r="AR2165" s="182"/>
      <c r="AS2165" s="189"/>
      <c r="AT2165" s="189"/>
      <c r="AU2165" s="187"/>
      <c r="AV2165" s="190"/>
      <c r="AW2165" s="191"/>
      <c r="AX2165" s="549" t="s">
        <v>6896</v>
      </c>
      <c r="AY2165" s="549" t="s">
        <v>6897</v>
      </c>
      <c r="AZ2165" s="549" t="s">
        <v>6898</v>
      </c>
      <c r="BA2165" s="551"/>
      <c r="BB2165" s="551"/>
      <c r="BC2165" s="551"/>
      <c r="BD2165" s="549"/>
      <c r="BE2165" s="550"/>
      <c r="BF2165" s="549"/>
      <c r="BG2165" s="391">
        <f>SUM($AV$1389:AV2165)</f>
        <v>4853.6690193478789</v>
      </c>
      <c r="BH2165" s="392">
        <f>SUM($AU$1389:AU2165)</f>
        <v>53572.423836163798</v>
      </c>
      <c r="BI2165" s="318">
        <f>SUMIFS($AU$1388:AU2166,$Q$1388:Q2166,"F")</f>
        <v>34971.078121878127</v>
      </c>
      <c r="BJ2165" s="318">
        <f>SUMIFS($AU$1388:AU2166,$Q$1388:Q2166,"S")</f>
        <v>21362.285714285714</v>
      </c>
      <c r="BK2165" s="343">
        <f>SUMIFS($AU$1388:AU2166,$P$1388:P2166,"W")</f>
        <v>32848.143836164178</v>
      </c>
      <c r="BL2165" s="343">
        <f>SUMIFS($AU$1388:AU2166,$P$1388:P2166,"R")</f>
        <v>17812.400000000162</v>
      </c>
      <c r="BM2165" s="343">
        <f>SUMIFS($AU$1388:AU2166,$AQ$1388:AQ2166,"M")</f>
        <v>12131.179999998967</v>
      </c>
      <c r="BN2165" s="343">
        <f>SUMIFS($AU$1388:AU2166,$AQ$1388:AQ2166,"H")</f>
        <v>14523.200000000877</v>
      </c>
      <c r="BO2165" s="343">
        <f>SUMIFS($AU$1388:AU2166,$AQ$1388:AQ2166,"D")</f>
        <v>9686.3774725273543</v>
      </c>
      <c r="BP2165" s="343">
        <f>SUMIFS($AS$1388:AS2704,$AO$1388:AO2704,"W")</f>
        <v>0</v>
      </c>
      <c r="BQ2165" s="343">
        <f>SUMIFS($AU$1388:AU2166,$Q$1388:Q2166,"O")</f>
        <v>-5384.9400000000251</v>
      </c>
      <c r="BR2165" s="343">
        <f>SUMIFS($AU$1388:AU2166,$AA$1388:AA2166,"*")</f>
        <v>40521.522077921829</v>
      </c>
      <c r="BS2165" s="343">
        <f>SUMIFS($AU$1388:AU2166,$AB$1388:AB2166,"*")</f>
        <v>12971.859999999973</v>
      </c>
      <c r="BT2165" s="343">
        <f>SUMIFS($AU$1388:AU2166,$AC$1388:AC2166,"*")</f>
        <v>43531.078121878294</v>
      </c>
      <c r="BU2165" s="343">
        <f>SUMIFS($AU$1388:AU2166,$AA$1388:AA2166,"*",$AB$1388:AB2166,"*")</f>
        <v>8011.9999999997544</v>
      </c>
      <c r="BV2165" s="343">
        <f>SUMIFS($AU$1388:AU2166,$AA$1388:AA2166,"*",$AC$1388:AC2166,"*")</f>
        <v>31600.036363636533</v>
      </c>
      <c r="BW2165" s="343">
        <f>SUMIFS($AU$1388:AU2166,$AB$1388:AB2166,"*",$AC$1388:AC2166,"*")</f>
        <v>9360</v>
      </c>
      <c r="BX2165" s="343">
        <f>SUMIFS($AV$1388:AV2166,$Q$1388:Q2166,"F")</f>
        <v>477.49837744248345</v>
      </c>
      <c r="BY2165" s="343">
        <f>SUMIFS($AV$1388:AV2166,$Q$1388:Q2166,"S")</f>
        <v>756.6113419057275</v>
      </c>
      <c r="BZ2165" s="343">
        <f>SUMIFS($AV$1388:AV2166,$Q$1388:Q2166,"O")</f>
        <v>471.55929999966099</v>
      </c>
    </row>
    <row r="2166" spans="1:78" ht="15.75" customHeight="1">
      <c r="A2166" s="177" t="s">
        <v>6781</v>
      </c>
      <c r="B2166" s="200">
        <v>45454</v>
      </c>
      <c r="C2166" s="178" t="s">
        <v>2661</v>
      </c>
      <c r="D2166" s="178" t="s">
        <v>146</v>
      </c>
      <c r="E2166" s="227"/>
      <c r="F2166" s="180"/>
      <c r="G2166" s="181" t="s">
        <v>6899</v>
      </c>
      <c r="H2166" s="182"/>
      <c r="I2166" s="182"/>
      <c r="J2166" s="182"/>
      <c r="K2166" s="183"/>
      <c r="L2166" s="182"/>
      <c r="M2166" s="182">
        <v>2</v>
      </c>
      <c r="N2166" s="182"/>
      <c r="O2166" s="183"/>
      <c r="P2166" s="183"/>
      <c r="Q2166" s="183"/>
      <c r="R2166" s="183"/>
      <c r="S2166" s="183"/>
      <c r="T2166" s="183"/>
      <c r="U2166" s="183"/>
      <c r="V2166" s="183"/>
      <c r="W2166" s="183"/>
      <c r="X2166" s="183"/>
      <c r="Y2166" s="184"/>
      <c r="Z2166" s="185"/>
      <c r="AA2166" s="185"/>
      <c r="AB2166" s="185"/>
      <c r="AC2166" s="185"/>
      <c r="AD2166" s="649"/>
      <c r="AE2166" s="182"/>
      <c r="AF2166" s="332"/>
      <c r="AG2166" s="182"/>
      <c r="AH2166" s="182"/>
      <c r="AI2166" s="182"/>
      <c r="AJ2166" s="640"/>
      <c r="AK2166" s="182"/>
      <c r="AL2166" s="496">
        <f t="shared" si="718"/>
        <v>0</v>
      </c>
      <c r="AM2166" s="496">
        <f t="shared" si="715"/>
        <v>0</v>
      </c>
      <c r="AN2166" s="626"/>
      <c r="AO2166" s="182"/>
      <c r="AP2166" s="182"/>
      <c r="AQ2166" s="332" t="str">
        <f>UPPER(RIGHT(Journal_Live[[#This Row],[DURATION ]]))</f>
        <v/>
      </c>
      <c r="AR2166" s="182"/>
      <c r="AS2166" s="189"/>
      <c r="AT2166" s="189"/>
      <c r="AU2166" s="187"/>
      <c r="AV2166" s="190"/>
      <c r="AW2166" s="191"/>
      <c r="AX2166" s="551" t="s">
        <v>6900</v>
      </c>
      <c r="AY2166" s="551"/>
      <c r="AZ2166" s="551"/>
      <c r="BA2166" s="551"/>
      <c r="BB2166" s="551"/>
      <c r="BC2166" s="551"/>
      <c r="BD2166" s="549"/>
      <c r="BE2166" s="550"/>
      <c r="BF2166" s="549"/>
      <c r="BG2166" s="391">
        <f>SUM($AV$1389:AV2166)</f>
        <v>4853.6690193478789</v>
      </c>
      <c r="BH2166" s="392">
        <f>SUM($AU$1389:AU2166)</f>
        <v>53572.423836163798</v>
      </c>
      <c r="BI2166" s="318">
        <f>SUMIFS($AU$1388:AU2167,$Q$1388:Q2167,"F")</f>
        <v>34971.078121878127</v>
      </c>
      <c r="BJ2166" s="318">
        <f>SUMIFS($AU$1388:AU2167,$Q$1388:Q2167,"S")</f>
        <v>21362.285714285714</v>
      </c>
      <c r="BK2166" s="343">
        <f>SUMIFS($AU$1388:AU2167,$P$1388:P2167,"W")</f>
        <v>32848.143836164178</v>
      </c>
      <c r="BL2166" s="343">
        <f>SUMIFS($AU$1388:AU2167,$P$1388:P2167,"R")</f>
        <v>17812.400000000162</v>
      </c>
      <c r="BM2166" s="343">
        <f>SUMIFS($AU$1388:AU2167,$AQ$1388:AQ2167,"M")</f>
        <v>12131.179999998967</v>
      </c>
      <c r="BN2166" s="343">
        <f>SUMIFS($AU$1388:AU2167,$AQ$1388:AQ2167,"H")</f>
        <v>14523.200000000877</v>
      </c>
      <c r="BO2166" s="343">
        <f>SUMIFS($AU$1388:AU2167,$AQ$1388:AQ2167,"D")</f>
        <v>9686.3774725273543</v>
      </c>
      <c r="BP2166" s="343">
        <f>SUMIFS($AS$1388:AS2705,$AO$1388:AO2705,"W")</f>
        <v>0</v>
      </c>
      <c r="BQ2166" s="343">
        <f>SUMIFS($AU$1388:AU2167,$Q$1388:Q2167,"O")</f>
        <v>-5384.9400000000251</v>
      </c>
      <c r="BR2166" s="343">
        <f>SUMIFS($AU$1388:AU2167,$AA$1388:AA2167,"*")</f>
        <v>40521.522077921829</v>
      </c>
      <c r="BS2166" s="343">
        <f>SUMIFS($AU$1388:AU2167,$AB$1388:AB2167,"*")</f>
        <v>12971.859999999973</v>
      </c>
      <c r="BT2166" s="343">
        <f>SUMIFS($AU$1388:AU2167,$AC$1388:AC2167,"*")</f>
        <v>43531.078121878294</v>
      </c>
      <c r="BU2166" s="343">
        <f>SUMIFS($AU$1388:AU2167,$AA$1388:AA2167,"*",$AB$1388:AB2167,"*")</f>
        <v>8011.9999999997544</v>
      </c>
      <c r="BV2166" s="343">
        <f>SUMIFS($AU$1388:AU2167,$AA$1388:AA2167,"*",$AC$1388:AC2167,"*")</f>
        <v>31600.036363636533</v>
      </c>
      <c r="BW2166" s="343">
        <f>SUMIFS($AU$1388:AU2167,$AB$1388:AB2167,"*",$AC$1388:AC2167,"*")</f>
        <v>9360</v>
      </c>
      <c r="BX2166" s="343">
        <f>SUMIFS($AV$1388:AV2167,$Q$1388:Q2167,"F")</f>
        <v>477.49837744248345</v>
      </c>
      <c r="BY2166" s="343">
        <f>SUMIFS($AV$1388:AV2167,$Q$1388:Q2167,"S")</f>
        <v>756.6113419057275</v>
      </c>
      <c r="BZ2166" s="343">
        <f>SUMIFS($AV$1388:AV2167,$Q$1388:Q2167,"O")</f>
        <v>471.55929999966099</v>
      </c>
    </row>
    <row r="2167" spans="1:78" ht="15.75" customHeight="1">
      <c r="A2167" s="177" t="s">
        <v>6781</v>
      </c>
      <c r="B2167" s="200">
        <v>45454</v>
      </c>
      <c r="C2167" s="178" t="s">
        <v>3476</v>
      </c>
      <c r="D2167" s="178" t="s">
        <v>146</v>
      </c>
      <c r="E2167" s="227"/>
      <c r="F2167" s="180"/>
      <c r="G2167" s="481" t="s">
        <v>5098</v>
      </c>
      <c r="H2167" s="182"/>
      <c r="I2167" s="182"/>
      <c r="J2167" s="182"/>
      <c r="K2167" s="183"/>
      <c r="L2167" s="182"/>
      <c r="M2167" s="182">
        <v>2</v>
      </c>
      <c r="N2167" s="182"/>
      <c r="O2167" s="183" t="s">
        <v>95</v>
      </c>
      <c r="P2167" s="183" t="s">
        <v>137</v>
      </c>
      <c r="Q2167" s="183" t="s">
        <v>97</v>
      </c>
      <c r="R2167" s="183">
        <v>20</v>
      </c>
      <c r="S2167" s="183">
        <v>0</v>
      </c>
      <c r="T2167" s="183">
        <v>20</v>
      </c>
      <c r="U2167" s="183" t="s">
        <v>97</v>
      </c>
      <c r="V2167" s="183"/>
      <c r="W2167" s="183"/>
      <c r="X2167" s="183"/>
      <c r="Y2167" s="184">
        <f>IF(ISBLANK(O2167),"",(IF(O2167=UPPER("IB"),0.005,0.01)))</f>
        <v>0.01</v>
      </c>
      <c r="Z2167" s="185">
        <f>IF(ISBLANK(O2167),"",IF(O2167="IB",8.63*200,IF(O2167="IR",16*100,IF(O2167="YT",20*100,IF(O2167="YT-XT",24*200,IF(O2167="TED",80*100,IF(O2167="IR|YT",300*100)))))))</f>
        <v>1600</v>
      </c>
      <c r="AA2167" s="185" t="s">
        <v>6901</v>
      </c>
      <c r="AB2167" s="185" t="s">
        <v>6902</v>
      </c>
      <c r="AC2167" s="185" t="s">
        <v>6903</v>
      </c>
      <c r="AD2167" s="649">
        <v>-0.17</v>
      </c>
      <c r="AE2167" s="182"/>
      <c r="AF2167" s="332"/>
      <c r="AG2167" s="182"/>
      <c r="AH2167" s="182"/>
      <c r="AI2167" s="182"/>
      <c r="AJ2167" s="640"/>
      <c r="AK2167" s="182"/>
      <c r="AL2167" s="496">
        <f t="shared" si="718"/>
        <v>-32</v>
      </c>
      <c r="AM2167" s="496">
        <f t="shared" si="715"/>
        <v>-640</v>
      </c>
      <c r="AN2167" s="626"/>
      <c r="AO2167" s="182"/>
      <c r="AP2167" s="182" t="s">
        <v>804</v>
      </c>
      <c r="AQ2167" s="332" t="s">
        <v>115</v>
      </c>
      <c r="AR2167" s="182"/>
      <c r="AS2167" s="189">
        <v>-0.17</v>
      </c>
      <c r="AT2167" s="189">
        <f>IF(ISBLANK(AS2167),,IF(U2167="S",AD2167-AS2167,AS2167-AD2167))</f>
        <v>0</v>
      </c>
      <c r="AU2167" s="187">
        <f>AV2167*R2167</f>
        <v>0</v>
      </c>
      <c r="AV2167" s="190">
        <f t="shared" si="717"/>
        <v>0</v>
      </c>
      <c r="AW2167" s="191" t="s">
        <v>115</v>
      </c>
      <c r="AX2167" s="551"/>
      <c r="AY2167" s="551"/>
      <c r="AZ2167" s="551"/>
      <c r="BA2167" s="551"/>
      <c r="BB2167" s="551"/>
      <c r="BC2167" s="551"/>
      <c r="BD2167" s="549"/>
      <c r="BE2167" s="550"/>
      <c r="BF2167" s="549"/>
      <c r="BG2167" s="391">
        <f>SUM($AV$1389:AV2167)</f>
        <v>4853.6690193478789</v>
      </c>
      <c r="BH2167" s="392">
        <f>SUM($AU$1389:AU2167)</f>
        <v>53572.423836163798</v>
      </c>
      <c r="BI2167" s="318">
        <f>SUMIFS($AU$1388:AU2168,$Q$1388:Q2168,"F")</f>
        <v>36587.078121878127</v>
      </c>
      <c r="BJ2167" s="318">
        <f>SUMIFS($AU$1388:AU2168,$Q$1388:Q2168,"S")</f>
        <v>21362.285714285714</v>
      </c>
      <c r="BK2167" s="343">
        <f>SUMIFS($AU$1388:AU2168,$P$1388:P2168,"W")</f>
        <v>34464.143836164178</v>
      </c>
      <c r="BL2167" s="343">
        <f>SUMIFS($AU$1388:AU2168,$P$1388:P2168,"R")</f>
        <v>17812.400000000162</v>
      </c>
      <c r="BM2167" s="343">
        <f>SUMIFS($AU$1388:AU2168,$AQ$1388:AQ2168,"M")</f>
        <v>12131.179999998967</v>
      </c>
      <c r="BN2167" s="343">
        <f>SUMIFS($AU$1388:AU2168,$AQ$1388:AQ2168,"H")</f>
        <v>14523.200000000877</v>
      </c>
      <c r="BO2167" s="343">
        <f>SUMIFS($AU$1388:AU2168,$AQ$1388:AQ2168,"D")</f>
        <v>11302.377472527354</v>
      </c>
      <c r="BP2167" s="343">
        <f>SUMIFS($AS$1388:AS2706,$AO$1388:AO2706,"W")</f>
        <v>0</v>
      </c>
      <c r="BQ2167" s="343">
        <f>SUMIFS($AU$1388:AU2168,$Q$1388:Q2168,"O")</f>
        <v>-5384.9400000000251</v>
      </c>
      <c r="BR2167" s="343">
        <f>SUMIFS($AU$1388:AU2168,$AA$1388:AA2168,"*")</f>
        <v>40521.522077921829</v>
      </c>
      <c r="BS2167" s="343">
        <f>SUMIFS($AU$1388:AU2168,$AB$1388:AB2168,"*")</f>
        <v>14587.859999999973</v>
      </c>
      <c r="BT2167" s="343">
        <f>SUMIFS($AU$1388:AU2168,$AC$1388:AC2168,"*")</f>
        <v>45147.078121878294</v>
      </c>
      <c r="BU2167" s="343">
        <f>SUMIFS($AU$1388:AU2168,$AA$1388:AA2168,"*",$AB$1388:AB2168,"*")</f>
        <v>8011.9999999997544</v>
      </c>
      <c r="BV2167" s="343">
        <f>SUMIFS($AU$1388:AU2168,$AA$1388:AA2168,"*",$AC$1388:AC2168,"*")</f>
        <v>31600.036363636533</v>
      </c>
      <c r="BW2167" s="343">
        <f>SUMIFS($AU$1388:AU2168,$AB$1388:AB2168,"*",$AC$1388:AC2168,"*")</f>
        <v>10976</v>
      </c>
      <c r="BX2167" s="343">
        <f>SUMIFS($AV$1388:AV2168,$Q$1388:Q2168,"F")</f>
        <v>493.65837744248347</v>
      </c>
      <c r="BY2167" s="343">
        <f>SUMIFS($AV$1388:AV2168,$Q$1388:Q2168,"S")</f>
        <v>756.6113419057275</v>
      </c>
      <c r="BZ2167" s="343">
        <f>SUMIFS($AV$1388:AV2168,$Q$1388:Q2168,"O")</f>
        <v>471.55929999966099</v>
      </c>
    </row>
    <row r="2168" spans="1:78" ht="15.75" customHeight="1">
      <c r="A2168" s="177" t="s">
        <v>6781</v>
      </c>
      <c r="B2168" s="200">
        <v>45454</v>
      </c>
      <c r="C2168" s="178" t="s">
        <v>6904</v>
      </c>
      <c r="D2168" s="178" t="s">
        <v>146</v>
      </c>
      <c r="E2168" s="227"/>
      <c r="F2168" s="180"/>
      <c r="G2168" s="490" t="s">
        <v>6905</v>
      </c>
      <c r="H2168" s="182"/>
      <c r="I2168" s="182"/>
      <c r="J2168" s="182"/>
      <c r="K2168" s="183"/>
      <c r="L2168" s="182"/>
      <c r="M2168" s="182">
        <v>2</v>
      </c>
      <c r="N2168" s="182"/>
      <c r="O2168" s="183" t="s">
        <v>95</v>
      </c>
      <c r="P2168" s="183" t="s">
        <v>96</v>
      </c>
      <c r="Q2168" s="183" t="s">
        <v>256</v>
      </c>
      <c r="R2168" s="183">
        <v>100</v>
      </c>
      <c r="S2168" s="183">
        <v>67</v>
      </c>
      <c r="T2168" s="183">
        <v>60</v>
      </c>
      <c r="U2168" s="183" t="s">
        <v>97</v>
      </c>
      <c r="V2168" s="183"/>
      <c r="W2168" s="183"/>
      <c r="X2168" s="183"/>
      <c r="Y2168" s="184">
        <f>IF(ISBLANK(O2168),"",(IF(O2168=UPPER("IB"),0.005,0.01)))</f>
        <v>0.01</v>
      </c>
      <c r="Z2168" s="185">
        <f>IF(ISBLANK(O2168),"",IF(O2168="IB",8.63*200,IF(O2168="IR",16*100,IF(O2168="YT",20*100,IF(O2168="YT-XT",24*200,IF(O2168="TED",80*100,IF(O2168="IR|YT",300*100)))))))</f>
        <v>1600</v>
      </c>
      <c r="AA2168" s="185"/>
      <c r="AB2168" s="185" t="s">
        <v>6902</v>
      </c>
      <c r="AC2168" s="185" t="s">
        <v>6906</v>
      </c>
      <c r="AD2168" s="649">
        <v>0.03</v>
      </c>
      <c r="AE2168" s="182"/>
      <c r="AF2168" s="332"/>
      <c r="AG2168" s="182"/>
      <c r="AH2168" s="182"/>
      <c r="AI2168" s="182"/>
      <c r="AJ2168" s="640" t="s">
        <v>6907</v>
      </c>
      <c r="AK2168" s="182"/>
      <c r="AL2168" s="496">
        <f t="shared" si="711"/>
        <v>-32</v>
      </c>
      <c r="AM2168" s="496">
        <f t="shared" si="715"/>
        <v>-1056</v>
      </c>
      <c r="AN2168" s="626"/>
      <c r="AO2168" s="182"/>
      <c r="AP2168" s="182" t="s">
        <v>864</v>
      </c>
      <c r="AQ2168" s="332" t="s">
        <v>115</v>
      </c>
      <c r="AR2168" s="182"/>
      <c r="AS2168" s="189">
        <f>(0.02*1+0.01*1+0.02*65+0.02*33)/100</f>
        <v>1.9900000000000001E-2</v>
      </c>
      <c r="AT2168" s="189">
        <f>IF(ISBLANK(AS2168),,IF(U2168="S",AD2168-AS2168,AS2168-AD2168))</f>
        <v>1.0099999999999998E-2</v>
      </c>
      <c r="AU2168" s="187">
        <f>AV2168*R2168</f>
        <v>1615.9999999999995</v>
      </c>
      <c r="AV2168" s="190">
        <f t="shared" si="716"/>
        <v>16.159999999999997</v>
      </c>
      <c r="AW2168" s="191" t="s">
        <v>96</v>
      </c>
      <c r="AX2168" s="551" t="s">
        <v>6908</v>
      </c>
      <c r="AY2168" s="551" t="s">
        <v>6909</v>
      </c>
      <c r="AZ2168" s="551"/>
      <c r="BA2168" s="551"/>
      <c r="BB2168" s="551"/>
      <c r="BC2168" s="551"/>
      <c r="BD2168" s="549"/>
      <c r="BE2168" s="550"/>
      <c r="BF2168" s="549"/>
      <c r="BG2168" s="391">
        <f>SUM($AV$1389:AV2168)</f>
        <v>4869.8290193478788</v>
      </c>
      <c r="BH2168" s="392">
        <f>SUM($AU$1389:AU2168)</f>
        <v>55188.423836163798</v>
      </c>
      <c r="BI2168" s="318">
        <f>SUMIFS($AU$1388:AU2188,$Q$1388:Q2188,"F")</f>
        <v>36347.078121878127</v>
      </c>
      <c r="BJ2168" s="318">
        <f>SUMIFS($AU$1388:AU2188,$Q$1388:Q2188,"S")</f>
        <v>24722.28571428571</v>
      </c>
      <c r="BK2168" s="343">
        <f>SUMIFS($AU$1388:AU2188,$P$1388:P2188,"W")</f>
        <v>35024.14383616417</v>
      </c>
      <c r="BL2168" s="343">
        <f>SUMIFS($AU$1388:AU2188,$P$1388:P2188,"R")</f>
        <v>20372.400000000162</v>
      </c>
      <c r="BM2168" s="343">
        <f>SUMIFS($AU$1388:AU2188,$AQ$1388:AQ2188,"M")</f>
        <v>12131.179999998967</v>
      </c>
      <c r="BN2168" s="343">
        <f>SUMIFS($AU$1388:AU2188,$AQ$1388:AQ2188,"H")</f>
        <v>14523.200000000877</v>
      </c>
      <c r="BO2168" s="343">
        <f>SUMIFS($AU$1388:AU2188,$AQ$1388:AQ2188,"D")</f>
        <v>14422.377472527351</v>
      </c>
      <c r="BP2168" s="343">
        <f>SUMIFS($AS$1388:AS2707,$AO$1388:AO2707,"W")</f>
        <v>0</v>
      </c>
      <c r="BQ2168" s="343">
        <f>SUMIFS($AU$1388:AU2188,$Q$1388:Q2188,"O")</f>
        <v>-5384.9400000000251</v>
      </c>
      <c r="BR2168" s="343">
        <f>SUMIFS($AU$1388:AU2188,$AA$1388:AA2188,"*")</f>
        <v>43881.522077921822</v>
      </c>
      <c r="BS2168" s="343">
        <f>SUMIFS($AU$1388:AU2188,$AB$1388:AB2188,"*")</f>
        <v>14347.859999999973</v>
      </c>
      <c r="BT2168" s="343">
        <f>SUMIFS($AU$1388:AU2188,$AC$1388:AC2188,"*")</f>
        <v>47467.078121878294</v>
      </c>
      <c r="BU2168" s="343">
        <f>SUMIFS($AU$1388:AU2188,$AA$1388:AA2188,"*",$AB$1388:AB2188,"*")</f>
        <v>8011.9999999997544</v>
      </c>
      <c r="BV2168" s="343">
        <f>SUMIFS($AU$1388:AU2188,$AA$1388:AA2188,"*",$AC$1388:AC2188,"*")</f>
        <v>34160.036363636536</v>
      </c>
      <c r="BW2168" s="343">
        <f>SUMIFS($AU$1388:AU2188,$AB$1388:AB2188,"*",$AC$1388:AC2188,"*")</f>
        <v>10736</v>
      </c>
      <c r="BX2168" s="343">
        <f>SUMIFS($AV$1388:AV2188,$Q$1388:Q2188,"F")</f>
        <v>477.65837744248347</v>
      </c>
      <c r="BY2168" s="343">
        <f>SUMIFS($AV$1388:AV2188,$Q$1388:Q2188,"S")</f>
        <v>820.61134190572739</v>
      </c>
      <c r="BZ2168" s="343">
        <f>SUMIFS($AV$1388:AV2188,$Q$1388:Q2188,"O")</f>
        <v>471.55929999966099</v>
      </c>
    </row>
    <row r="2169" spans="1:78" ht="15.75" customHeight="1">
      <c r="A2169" s="177" t="s">
        <v>6781</v>
      </c>
      <c r="B2169" s="200"/>
      <c r="C2169" s="178"/>
      <c r="D2169" s="178"/>
      <c r="E2169" s="227"/>
      <c r="F2169" s="180"/>
      <c r="G2169" s="181"/>
      <c r="H2169" s="182"/>
      <c r="I2169" s="182"/>
      <c r="J2169" s="182"/>
      <c r="K2169" s="183"/>
      <c r="L2169" s="182"/>
      <c r="M2169" s="182"/>
      <c r="N2169" s="182"/>
      <c r="O2169" s="183"/>
      <c r="P2169" s="183"/>
      <c r="Q2169" s="183"/>
      <c r="R2169" s="183"/>
      <c r="S2169" s="183"/>
      <c r="T2169" s="183"/>
      <c r="U2169" s="183"/>
      <c r="V2169" s="183"/>
      <c r="W2169" s="183"/>
      <c r="X2169" s="183"/>
      <c r="Y2169" s="183"/>
      <c r="Z2169" s="183"/>
      <c r="AA2169" s="185"/>
      <c r="AB2169" s="185"/>
      <c r="AC2169" s="185"/>
      <c r="AD2169" s="649"/>
      <c r="AE2169" s="182"/>
      <c r="AF2169" s="332"/>
      <c r="AG2169" s="182"/>
      <c r="AH2169" s="182"/>
      <c r="AI2169" s="182"/>
      <c r="AJ2169" s="640"/>
      <c r="AK2169" s="182"/>
      <c r="AL2169" s="496">
        <f t="shared" si="711"/>
        <v>0</v>
      </c>
      <c r="AM2169" s="496">
        <f t="shared" si="715"/>
        <v>0</v>
      </c>
      <c r="AN2169" s="626"/>
      <c r="AO2169" s="182"/>
      <c r="AP2169" s="182"/>
      <c r="AQ2169" s="332" t="str">
        <f>UPPER(RIGHT(Journal_Live[[#This Row],[DURATION ]]))</f>
        <v/>
      </c>
      <c r="AR2169" s="182"/>
      <c r="AS2169" s="189"/>
      <c r="AT2169" s="189"/>
      <c r="AU2169" s="187"/>
      <c r="AV2169" s="190"/>
      <c r="AW2169" s="191"/>
      <c r="AX2169" s="551" t="s">
        <v>6910</v>
      </c>
      <c r="AY2169" s="551" t="s">
        <v>6911</v>
      </c>
      <c r="AZ2169" s="551"/>
      <c r="BA2169" s="551"/>
      <c r="BB2169" s="551"/>
      <c r="BC2169" s="551"/>
      <c r="BD2169" s="549"/>
      <c r="BE2169" s="550"/>
      <c r="BF2169" s="549"/>
      <c r="BG2169" s="391">
        <f>SUM($AV$1389:AV2169)</f>
        <v>4869.8290193478788</v>
      </c>
      <c r="BH2169" s="392">
        <f>SUM($AU$1389:AU2169)</f>
        <v>55188.423836163798</v>
      </c>
      <c r="BI2169" s="318">
        <f>SUMIFS($AU$1388:AU2170,$Q$1388:Q2170,"F")</f>
        <v>36587.078121878127</v>
      </c>
      <c r="BJ2169" s="318">
        <f>SUMIFS($AU$1388:AU2170,$Q$1388:Q2170,"S")</f>
        <v>21362.285714285714</v>
      </c>
      <c r="BK2169" s="343">
        <f>SUMIFS($AU$1388:AU2170,$P$1388:P2170,"W")</f>
        <v>34464.143836164178</v>
      </c>
      <c r="BL2169" s="343">
        <f>SUMIFS($AU$1388:AU2170,$P$1388:P2170,"R")</f>
        <v>17812.400000000162</v>
      </c>
      <c r="BM2169" s="343">
        <f>SUMIFS($AU$1388:AU2170,$AQ$1388:AQ2170,"M")</f>
        <v>12131.179999998967</v>
      </c>
      <c r="BN2169" s="343">
        <f>SUMIFS($AU$1388:AU2170,$AQ$1388:AQ2170,"H")</f>
        <v>14523.200000000877</v>
      </c>
      <c r="BO2169" s="343">
        <f>SUMIFS($AU$1388:AU2170,$AQ$1388:AQ2170,"D")</f>
        <v>11302.377472527354</v>
      </c>
      <c r="BP2169" s="343">
        <f>SUMIFS($AS$1388:AS2698,$AO$1388:AO2698,"W")</f>
        <v>0</v>
      </c>
      <c r="BQ2169" s="343">
        <f>SUMIFS($AU$1388:AU2170,$Q$1388:Q2170,"O")</f>
        <v>-5384.9400000000251</v>
      </c>
      <c r="BR2169" s="343">
        <f>SUMIFS($AU$1388:AU2170,$AA$1388:AA2170,"*")</f>
        <v>40521.522077921829</v>
      </c>
      <c r="BS2169" s="343">
        <f>SUMIFS($AU$1388:AU2170,$AB$1388:AB2170,"*")</f>
        <v>14587.859999999973</v>
      </c>
      <c r="BT2169" s="343">
        <f>SUMIFS($AU$1388:AU2170,$AC$1388:AC2170,"*")</f>
        <v>45147.078121878294</v>
      </c>
      <c r="BU2169" s="343">
        <f>SUMIFS($AU$1388:AU2170,$AA$1388:AA2170,"*",$AB$1388:AB2170,"*")</f>
        <v>8011.9999999997544</v>
      </c>
      <c r="BV2169" s="343">
        <f>SUMIFS($AU$1388:AU2170,$AA$1388:AA2170,"*",$AC$1388:AC2170,"*")</f>
        <v>31600.036363636533</v>
      </c>
      <c r="BW2169" s="343">
        <f>SUMIFS($AU$1388:AU2170,$AB$1388:AB2170,"*",$AC$1388:AC2170,"*")</f>
        <v>10976</v>
      </c>
      <c r="BX2169" s="343">
        <f>SUMIFS($AV$1388:AV2170,$Q$1388:Q2170,"F")</f>
        <v>493.65837744248347</v>
      </c>
      <c r="BY2169" s="343">
        <f>SUMIFS($AV$1388:AV2170,$Q$1388:Q2170,"S")</f>
        <v>756.6113419057275</v>
      </c>
      <c r="BZ2169" s="343">
        <f>SUMIFS($AV$1388:AV2170,$Q$1388:Q2170,"O")</f>
        <v>471.55929999966099</v>
      </c>
    </row>
    <row r="2170" spans="1:78" ht="15.75" customHeight="1">
      <c r="A2170" s="177" t="s">
        <v>6781</v>
      </c>
      <c r="B2170" s="200">
        <v>45455</v>
      </c>
      <c r="C2170" s="178" t="s">
        <v>1714</v>
      </c>
      <c r="D2170" s="178" t="s">
        <v>151</v>
      </c>
      <c r="E2170" s="227" t="s">
        <v>6912</v>
      </c>
      <c r="F2170" s="180"/>
      <c r="G2170" s="181"/>
      <c r="H2170" s="182"/>
      <c r="I2170" s="182"/>
      <c r="J2170" s="182">
        <v>1</v>
      </c>
      <c r="K2170" s="183" t="s">
        <v>115</v>
      </c>
      <c r="L2170" s="182"/>
      <c r="M2170" s="182"/>
      <c r="N2170" s="182"/>
      <c r="O2170" s="183"/>
      <c r="P2170" s="183"/>
      <c r="Q2170" s="183"/>
      <c r="R2170" s="183"/>
      <c r="S2170" s="183"/>
      <c r="T2170" s="183"/>
      <c r="U2170" s="183"/>
      <c r="V2170" s="183"/>
      <c r="W2170" s="183"/>
      <c r="X2170" s="183"/>
      <c r="Y2170" s="183"/>
      <c r="Z2170" s="183"/>
      <c r="AA2170" s="185"/>
      <c r="AB2170" s="185"/>
      <c r="AC2170" s="185"/>
      <c r="AD2170" s="649"/>
      <c r="AE2170" s="182"/>
      <c r="AF2170" s="332"/>
      <c r="AG2170" s="182"/>
      <c r="AH2170" s="182"/>
      <c r="AI2170" s="182"/>
      <c r="AJ2170" s="640"/>
      <c r="AK2170" s="182"/>
      <c r="AL2170" s="496">
        <f t="shared" si="711"/>
        <v>0</v>
      </c>
      <c r="AM2170" s="496">
        <f t="shared" si="715"/>
        <v>0</v>
      </c>
      <c r="AN2170" s="626"/>
      <c r="AO2170" s="182"/>
      <c r="AP2170" s="182"/>
      <c r="AQ2170" s="332" t="str">
        <f>UPPER(RIGHT(Journal_Live[[#This Row],[DURATION ]]))</f>
        <v/>
      </c>
      <c r="AR2170" s="182"/>
      <c r="AS2170" s="189"/>
      <c r="AT2170" s="189"/>
      <c r="AU2170" s="187"/>
      <c r="AV2170" s="190"/>
      <c r="AW2170" s="191"/>
      <c r="AX2170" s="551"/>
      <c r="AY2170" s="551"/>
      <c r="AZ2170" s="551"/>
      <c r="BA2170" s="551"/>
      <c r="BB2170" s="551"/>
      <c r="BC2170" s="551"/>
      <c r="BD2170" s="549"/>
      <c r="BE2170" s="550"/>
      <c r="BF2170" s="549"/>
      <c r="BG2170" s="391">
        <f>SUM($AV$1389:AV2170)</f>
        <v>4869.8290193478788</v>
      </c>
      <c r="BH2170" s="392">
        <f>SUM($AU$1389:AU2170)</f>
        <v>55188.423836163798</v>
      </c>
      <c r="BI2170" s="318">
        <f>SUMIFS($AU$1388:AU2171,$Q$1388:Q2171,"F")</f>
        <v>36587.078121878127</v>
      </c>
      <c r="BJ2170" s="318">
        <f>SUMIFS($AU$1388:AU2171,$Q$1388:Q2171,"S")</f>
        <v>21362.285714285714</v>
      </c>
      <c r="BK2170" s="343">
        <f>SUMIFS($AU$1388:AU2171,$P$1388:P2171,"W")</f>
        <v>34464.143836164178</v>
      </c>
      <c r="BL2170" s="343">
        <f>SUMIFS($AU$1388:AU2171,$P$1388:P2171,"R")</f>
        <v>17812.400000000162</v>
      </c>
      <c r="BM2170" s="343">
        <f>SUMIFS($AU$1388:AU2171,$AQ$1388:AQ2171,"M")</f>
        <v>12131.179999998967</v>
      </c>
      <c r="BN2170" s="343">
        <f>SUMIFS($AU$1388:AU2171,$AQ$1388:AQ2171,"H")</f>
        <v>14523.200000000877</v>
      </c>
      <c r="BO2170" s="343">
        <f>SUMIFS($AU$1388:AU2171,$AQ$1388:AQ2171,"D")</f>
        <v>11302.377472527354</v>
      </c>
      <c r="BP2170" s="343">
        <f>SUMIFS($AS$1388:AS2699,$AO$1388:AO2699,"W")</f>
        <v>0</v>
      </c>
      <c r="BQ2170" s="343">
        <f>SUMIFS($AU$1388:AU2171,$Q$1388:Q2171,"O")</f>
        <v>-5384.9400000000251</v>
      </c>
      <c r="BR2170" s="343">
        <f>SUMIFS($AU$1388:AU2171,$AA$1388:AA2171,"*")</f>
        <v>40521.522077921829</v>
      </c>
      <c r="BS2170" s="343">
        <f>SUMIFS($AU$1388:AU2171,$AB$1388:AB2171,"*")</f>
        <v>14587.859999999973</v>
      </c>
      <c r="BT2170" s="343">
        <f>SUMIFS($AU$1388:AU2171,$AC$1388:AC2171,"*")</f>
        <v>45147.078121878294</v>
      </c>
      <c r="BU2170" s="343">
        <f>SUMIFS($AU$1388:AU2171,$AA$1388:AA2171,"*",$AB$1388:AB2171,"*")</f>
        <v>8011.9999999997544</v>
      </c>
      <c r="BV2170" s="343">
        <f>SUMIFS($AU$1388:AU2171,$AA$1388:AA2171,"*",$AC$1388:AC2171,"*")</f>
        <v>31600.036363636533</v>
      </c>
      <c r="BW2170" s="343">
        <f>SUMIFS($AU$1388:AU2171,$AB$1388:AB2171,"*",$AC$1388:AC2171,"*")</f>
        <v>10976</v>
      </c>
      <c r="BX2170" s="343">
        <f>SUMIFS($AV$1388:AV2171,$Q$1388:Q2171,"F")</f>
        <v>493.65837744248347</v>
      </c>
      <c r="BY2170" s="343">
        <f>SUMIFS($AV$1388:AV2171,$Q$1388:Q2171,"S")</f>
        <v>756.6113419057275</v>
      </c>
      <c r="BZ2170" s="343">
        <f>SUMIFS($AV$1388:AV2171,$Q$1388:Q2171,"O")</f>
        <v>471.55929999966099</v>
      </c>
    </row>
    <row r="2171" spans="1:78" ht="15.75" customHeight="1">
      <c r="A2171" s="177" t="s">
        <v>6781</v>
      </c>
      <c r="B2171" s="200"/>
      <c r="C2171" s="178"/>
      <c r="D2171" s="178"/>
      <c r="E2171" s="227" t="s">
        <v>6913</v>
      </c>
      <c r="F2171" s="180"/>
      <c r="G2171" s="181"/>
      <c r="H2171" s="182"/>
      <c r="I2171" s="182"/>
      <c r="J2171" s="182">
        <v>1</v>
      </c>
      <c r="K2171" s="183" t="s">
        <v>115</v>
      </c>
      <c r="L2171" s="182"/>
      <c r="M2171" s="182"/>
      <c r="N2171" s="182"/>
      <c r="O2171" s="183"/>
      <c r="P2171" s="183"/>
      <c r="Q2171" s="183"/>
      <c r="R2171" s="183"/>
      <c r="S2171" s="183"/>
      <c r="T2171" s="183"/>
      <c r="U2171" s="183"/>
      <c r="V2171" s="183"/>
      <c r="W2171" s="183"/>
      <c r="X2171" s="183"/>
      <c r="Y2171" s="183"/>
      <c r="Z2171" s="183"/>
      <c r="AA2171" s="185"/>
      <c r="AB2171" s="185"/>
      <c r="AC2171" s="185"/>
      <c r="AD2171" s="649"/>
      <c r="AE2171" s="182"/>
      <c r="AF2171" s="332"/>
      <c r="AG2171" s="182"/>
      <c r="AH2171" s="182"/>
      <c r="AI2171" s="182"/>
      <c r="AJ2171" s="640"/>
      <c r="AK2171" s="182"/>
      <c r="AL2171" s="496">
        <f t="shared" si="711"/>
        <v>0</v>
      </c>
      <c r="AM2171" s="496">
        <f t="shared" si="715"/>
        <v>0</v>
      </c>
      <c r="AN2171" s="626"/>
      <c r="AO2171" s="182"/>
      <c r="AP2171" s="182"/>
      <c r="AQ2171" s="332" t="str">
        <f>UPPER(RIGHT(Journal_Live[[#This Row],[DURATION ]]))</f>
        <v/>
      </c>
      <c r="AR2171" s="182"/>
      <c r="AS2171" s="189"/>
      <c r="AT2171" s="189"/>
      <c r="AU2171" s="187"/>
      <c r="AV2171" s="190"/>
      <c r="AW2171" s="191"/>
      <c r="AX2171" s="551"/>
      <c r="AY2171" s="551"/>
      <c r="AZ2171" s="551"/>
      <c r="BA2171" s="551"/>
      <c r="BB2171" s="551"/>
      <c r="BC2171" s="551"/>
      <c r="BD2171" s="549"/>
      <c r="BE2171" s="550"/>
      <c r="BF2171" s="549"/>
      <c r="BG2171" s="391">
        <f>SUM($AV$1389:AV2171)</f>
        <v>4869.8290193478788</v>
      </c>
      <c r="BH2171" s="392">
        <f>SUM($AU$1389:AU2171)</f>
        <v>55188.423836163798</v>
      </c>
      <c r="BI2171" s="318">
        <f>SUMIFS($AU$1388:AU2172,$Q$1388:Q2172,"F")</f>
        <v>36587.078121878127</v>
      </c>
      <c r="BJ2171" s="318">
        <f>SUMIFS($AU$1388:AU2172,$Q$1388:Q2172,"S")</f>
        <v>21362.285714285714</v>
      </c>
      <c r="BK2171" s="343">
        <f>SUMIFS($AU$1388:AU2172,$P$1388:P2172,"W")</f>
        <v>34464.143836164178</v>
      </c>
      <c r="BL2171" s="343">
        <f>SUMIFS($AU$1388:AU2172,$P$1388:P2172,"R")</f>
        <v>17812.400000000162</v>
      </c>
      <c r="BM2171" s="343">
        <f>SUMIFS($AU$1388:AU2172,$AQ$1388:AQ2172,"M")</f>
        <v>12131.179999998967</v>
      </c>
      <c r="BN2171" s="343">
        <f>SUMIFS($AU$1388:AU2172,$AQ$1388:AQ2172,"H")</f>
        <v>14523.200000000877</v>
      </c>
      <c r="BO2171" s="343">
        <f>SUMIFS($AU$1388:AU2172,$AQ$1388:AQ2172,"D")</f>
        <v>11302.377472527354</v>
      </c>
      <c r="BP2171" s="343">
        <f>SUMIFS($AS$1388:AS2700,$AO$1388:AO2700,"W")</f>
        <v>0</v>
      </c>
      <c r="BQ2171" s="343">
        <f>SUMIFS($AU$1388:AU2172,$Q$1388:Q2172,"O")</f>
        <v>-5384.9400000000251</v>
      </c>
      <c r="BR2171" s="343">
        <f>SUMIFS($AU$1388:AU2172,$AA$1388:AA2172,"*")</f>
        <v>40521.522077921829</v>
      </c>
      <c r="BS2171" s="343">
        <f>SUMIFS($AU$1388:AU2172,$AB$1388:AB2172,"*")</f>
        <v>14587.859999999973</v>
      </c>
      <c r="BT2171" s="343">
        <f>SUMIFS($AU$1388:AU2172,$AC$1388:AC2172,"*")</f>
        <v>45147.078121878294</v>
      </c>
      <c r="BU2171" s="343">
        <f>SUMIFS($AU$1388:AU2172,$AA$1388:AA2172,"*",$AB$1388:AB2172,"*")</f>
        <v>8011.9999999997544</v>
      </c>
      <c r="BV2171" s="343">
        <f>SUMIFS($AU$1388:AU2172,$AA$1388:AA2172,"*",$AC$1388:AC2172,"*")</f>
        <v>31600.036363636533</v>
      </c>
      <c r="BW2171" s="343">
        <f>SUMIFS($AU$1388:AU2172,$AB$1388:AB2172,"*",$AC$1388:AC2172,"*")</f>
        <v>10976</v>
      </c>
      <c r="BX2171" s="343">
        <f>SUMIFS($AV$1388:AV2172,$Q$1388:Q2172,"F")</f>
        <v>493.65837744248347</v>
      </c>
      <c r="BY2171" s="343">
        <f>SUMIFS($AV$1388:AV2172,$Q$1388:Q2172,"S")</f>
        <v>756.6113419057275</v>
      </c>
      <c r="BZ2171" s="343">
        <f>SUMIFS($AV$1388:AV2172,$Q$1388:Q2172,"O")</f>
        <v>471.55929999966099</v>
      </c>
    </row>
    <row r="2172" spans="1:78" ht="15.75" customHeight="1">
      <c r="A2172" s="177" t="s">
        <v>6781</v>
      </c>
      <c r="B2172" s="200"/>
      <c r="C2172" s="178"/>
      <c r="D2172" s="178"/>
      <c r="E2172" s="227" t="s">
        <v>6914</v>
      </c>
      <c r="F2172" s="180"/>
      <c r="G2172" s="181"/>
      <c r="H2172" s="182"/>
      <c r="I2172" s="182"/>
      <c r="J2172" s="182">
        <v>1</v>
      </c>
      <c r="K2172" s="183" t="s">
        <v>115</v>
      </c>
      <c r="L2172" s="182"/>
      <c r="M2172" s="182"/>
      <c r="N2172" s="182"/>
      <c r="O2172" s="183"/>
      <c r="P2172" s="183"/>
      <c r="Q2172" s="183"/>
      <c r="R2172" s="183"/>
      <c r="S2172" s="183"/>
      <c r="T2172" s="183"/>
      <c r="U2172" s="183"/>
      <c r="V2172" s="183"/>
      <c r="W2172" s="183"/>
      <c r="X2172" s="183"/>
      <c r="Y2172" s="183"/>
      <c r="Z2172" s="183"/>
      <c r="AA2172" s="185"/>
      <c r="AB2172" s="185"/>
      <c r="AC2172" s="185"/>
      <c r="AD2172" s="649"/>
      <c r="AE2172" s="182"/>
      <c r="AF2172" s="332"/>
      <c r="AG2172" s="182"/>
      <c r="AH2172" s="182"/>
      <c r="AI2172" s="182"/>
      <c r="AJ2172" s="640"/>
      <c r="AK2172" s="182"/>
      <c r="AL2172" s="496">
        <f t="shared" si="711"/>
        <v>0</v>
      </c>
      <c r="AM2172" s="496">
        <f t="shared" si="715"/>
        <v>0</v>
      </c>
      <c r="AN2172" s="626"/>
      <c r="AO2172" s="182"/>
      <c r="AP2172" s="182"/>
      <c r="AQ2172" s="332" t="str">
        <f>UPPER(RIGHT(Journal_Live[[#This Row],[DURATION ]]))</f>
        <v/>
      </c>
      <c r="AR2172" s="182"/>
      <c r="AS2172" s="189"/>
      <c r="AT2172" s="189"/>
      <c r="AU2172" s="187"/>
      <c r="AV2172" s="190"/>
      <c r="AW2172" s="191"/>
      <c r="AX2172" s="551"/>
      <c r="AY2172" s="551"/>
      <c r="AZ2172" s="551"/>
      <c r="BA2172" s="551"/>
      <c r="BB2172" s="551"/>
      <c r="BC2172" s="551"/>
      <c r="BD2172" s="549"/>
      <c r="BE2172" s="550"/>
      <c r="BF2172" s="549"/>
      <c r="BG2172" s="391">
        <f>SUM($AV$1389:AV2172)</f>
        <v>4869.8290193478788</v>
      </c>
      <c r="BH2172" s="392">
        <f>SUM($AU$1389:AU2172)</f>
        <v>55188.423836163798</v>
      </c>
      <c r="BI2172" s="318">
        <f>SUMIFS($AU$1388:AU2173,$Q$1388:Q2173,"F")</f>
        <v>36587.078121878127</v>
      </c>
      <c r="BJ2172" s="318">
        <f>SUMIFS($AU$1388:AU2173,$Q$1388:Q2173,"S")</f>
        <v>21362.285714285714</v>
      </c>
      <c r="BK2172" s="343">
        <f>SUMIFS($AU$1388:AU2173,$P$1388:P2173,"W")</f>
        <v>34464.143836164178</v>
      </c>
      <c r="BL2172" s="343">
        <f>SUMIFS($AU$1388:AU2173,$P$1388:P2173,"R")</f>
        <v>17812.400000000162</v>
      </c>
      <c r="BM2172" s="343">
        <f>SUMIFS($AU$1388:AU2173,$AQ$1388:AQ2173,"M")</f>
        <v>12131.179999998967</v>
      </c>
      <c r="BN2172" s="343">
        <f>SUMIFS($AU$1388:AU2173,$AQ$1388:AQ2173,"H")</f>
        <v>14523.200000000877</v>
      </c>
      <c r="BO2172" s="343">
        <f>SUMIFS($AU$1388:AU2173,$AQ$1388:AQ2173,"D")</f>
        <v>11302.377472527354</v>
      </c>
      <c r="BP2172" s="343">
        <f>SUMIFS($AS$1388:AS2701,$AO$1388:AO2701,"W")</f>
        <v>0</v>
      </c>
      <c r="BQ2172" s="343">
        <f>SUMIFS($AU$1388:AU2173,$Q$1388:Q2173,"O")</f>
        <v>-5384.9400000000251</v>
      </c>
      <c r="BR2172" s="343">
        <f>SUMIFS($AU$1388:AU2173,$AA$1388:AA2173,"*")</f>
        <v>40521.522077921829</v>
      </c>
      <c r="BS2172" s="343">
        <f>SUMIFS($AU$1388:AU2173,$AB$1388:AB2173,"*")</f>
        <v>14587.859999999973</v>
      </c>
      <c r="BT2172" s="343">
        <f>SUMIFS($AU$1388:AU2173,$AC$1388:AC2173,"*")</f>
        <v>45147.078121878294</v>
      </c>
      <c r="BU2172" s="343">
        <f>SUMIFS($AU$1388:AU2173,$AA$1388:AA2173,"*",$AB$1388:AB2173,"*")</f>
        <v>8011.9999999997544</v>
      </c>
      <c r="BV2172" s="343">
        <f>SUMIFS($AU$1388:AU2173,$AA$1388:AA2173,"*",$AC$1388:AC2173,"*")</f>
        <v>31600.036363636533</v>
      </c>
      <c r="BW2172" s="343">
        <f>SUMIFS($AU$1388:AU2173,$AB$1388:AB2173,"*",$AC$1388:AC2173,"*")</f>
        <v>10976</v>
      </c>
      <c r="BX2172" s="343">
        <f>SUMIFS($AV$1388:AV2173,$Q$1388:Q2173,"F")</f>
        <v>493.65837744248347</v>
      </c>
      <c r="BY2172" s="343">
        <f>SUMIFS($AV$1388:AV2173,$Q$1388:Q2173,"S")</f>
        <v>756.6113419057275</v>
      </c>
      <c r="BZ2172" s="343">
        <f>SUMIFS($AV$1388:AV2173,$Q$1388:Q2173,"O")</f>
        <v>471.55929999966099</v>
      </c>
    </row>
    <row r="2173" spans="1:78" ht="15.75" customHeight="1">
      <c r="A2173" s="177" t="s">
        <v>6781</v>
      </c>
      <c r="B2173" s="200"/>
      <c r="C2173" s="178"/>
      <c r="D2173" s="178"/>
      <c r="E2173" s="227" t="s">
        <v>6915</v>
      </c>
      <c r="F2173" s="180"/>
      <c r="G2173" s="181"/>
      <c r="H2173" s="182"/>
      <c r="I2173" s="182"/>
      <c r="J2173" s="182">
        <v>1</v>
      </c>
      <c r="K2173" s="183" t="s">
        <v>115</v>
      </c>
      <c r="L2173" s="182"/>
      <c r="M2173" s="182"/>
      <c r="N2173" s="182"/>
      <c r="O2173" s="183"/>
      <c r="P2173" s="183"/>
      <c r="Q2173" s="183"/>
      <c r="R2173" s="183"/>
      <c r="S2173" s="183"/>
      <c r="T2173" s="183"/>
      <c r="U2173" s="183"/>
      <c r="V2173" s="183"/>
      <c r="W2173" s="183"/>
      <c r="X2173" s="183"/>
      <c r="Y2173" s="183"/>
      <c r="Z2173" s="183"/>
      <c r="AA2173" s="185"/>
      <c r="AB2173" s="185"/>
      <c r="AC2173" s="185"/>
      <c r="AD2173" s="649"/>
      <c r="AE2173" s="182"/>
      <c r="AF2173" s="332"/>
      <c r="AG2173" s="182"/>
      <c r="AH2173" s="182"/>
      <c r="AI2173" s="182"/>
      <c r="AJ2173" s="640"/>
      <c r="AK2173" s="182"/>
      <c r="AL2173" s="496">
        <f t="shared" si="711"/>
        <v>0</v>
      </c>
      <c r="AM2173" s="496">
        <f t="shared" si="715"/>
        <v>0</v>
      </c>
      <c r="AN2173" s="626"/>
      <c r="AO2173" s="182"/>
      <c r="AP2173" s="182"/>
      <c r="AQ2173" s="332" t="str">
        <f>UPPER(RIGHT(Journal_Live[[#This Row],[DURATION ]]))</f>
        <v/>
      </c>
      <c r="AR2173" s="182"/>
      <c r="AS2173" s="189"/>
      <c r="AT2173" s="189"/>
      <c r="AU2173" s="187"/>
      <c r="AV2173" s="190"/>
      <c r="AW2173" s="191"/>
      <c r="AX2173" s="551"/>
      <c r="AY2173" s="551"/>
      <c r="AZ2173" s="551"/>
      <c r="BA2173" s="551"/>
      <c r="BB2173" s="551"/>
      <c r="BC2173" s="551"/>
      <c r="BD2173" s="549"/>
      <c r="BE2173" s="550"/>
      <c r="BF2173" s="549"/>
      <c r="BG2173" s="391">
        <f>SUM($AV$1389:AV2173)</f>
        <v>4869.8290193478788</v>
      </c>
      <c r="BH2173" s="392">
        <f>SUM($AU$1389:AU2173)</f>
        <v>55188.423836163798</v>
      </c>
      <c r="BI2173" s="318">
        <f>SUMIFS($AU$1388:AU2174,$Q$1388:Q2174,"F")</f>
        <v>36587.078121878127</v>
      </c>
      <c r="BJ2173" s="318">
        <f>SUMIFS($AU$1388:AU2174,$Q$1388:Q2174,"S")</f>
        <v>21362.285714285714</v>
      </c>
      <c r="BK2173" s="343">
        <f>SUMIFS($AU$1388:AU2174,$P$1388:P2174,"W")</f>
        <v>34464.143836164178</v>
      </c>
      <c r="BL2173" s="343">
        <f>SUMIFS($AU$1388:AU2174,$P$1388:P2174,"R")</f>
        <v>17812.400000000162</v>
      </c>
      <c r="BM2173" s="343">
        <f>SUMIFS($AU$1388:AU2174,$AQ$1388:AQ2174,"M")</f>
        <v>12131.179999998967</v>
      </c>
      <c r="BN2173" s="343">
        <f>SUMIFS($AU$1388:AU2174,$AQ$1388:AQ2174,"H")</f>
        <v>14523.200000000877</v>
      </c>
      <c r="BO2173" s="343">
        <f>SUMIFS($AU$1388:AU2174,$AQ$1388:AQ2174,"D")</f>
        <v>11302.377472527354</v>
      </c>
      <c r="BP2173" s="343">
        <f>SUMIFS($AS$1388:AS2702,$AO$1388:AO2702,"W")</f>
        <v>0</v>
      </c>
      <c r="BQ2173" s="343">
        <f>SUMIFS($AU$1388:AU2174,$Q$1388:Q2174,"O")</f>
        <v>-5384.9400000000251</v>
      </c>
      <c r="BR2173" s="343">
        <f>SUMIFS($AU$1388:AU2174,$AA$1388:AA2174,"*")</f>
        <v>40521.522077921829</v>
      </c>
      <c r="BS2173" s="343">
        <f>SUMIFS($AU$1388:AU2174,$AB$1388:AB2174,"*")</f>
        <v>14587.859999999973</v>
      </c>
      <c r="BT2173" s="343">
        <f>SUMIFS($AU$1388:AU2174,$AC$1388:AC2174,"*")</f>
        <v>45147.078121878294</v>
      </c>
      <c r="BU2173" s="343">
        <f>SUMIFS($AU$1388:AU2174,$AA$1388:AA2174,"*",$AB$1388:AB2174,"*")</f>
        <v>8011.9999999997544</v>
      </c>
      <c r="BV2173" s="343">
        <f>SUMIFS($AU$1388:AU2174,$AA$1388:AA2174,"*",$AC$1388:AC2174,"*")</f>
        <v>31600.036363636533</v>
      </c>
      <c r="BW2173" s="343">
        <f>SUMIFS($AU$1388:AU2174,$AB$1388:AB2174,"*",$AC$1388:AC2174,"*")</f>
        <v>10976</v>
      </c>
      <c r="BX2173" s="343">
        <f>SUMIFS($AV$1388:AV2174,$Q$1388:Q2174,"F")</f>
        <v>493.65837744248347</v>
      </c>
      <c r="BY2173" s="343">
        <f>SUMIFS($AV$1388:AV2174,$Q$1388:Q2174,"S")</f>
        <v>756.6113419057275</v>
      </c>
      <c r="BZ2173" s="343">
        <f>SUMIFS($AV$1388:AV2174,$Q$1388:Q2174,"O")</f>
        <v>471.55929999966099</v>
      </c>
    </row>
    <row r="2174" spans="1:78" ht="15.75" customHeight="1">
      <c r="A2174" s="177" t="s">
        <v>6781</v>
      </c>
      <c r="B2174" s="200">
        <v>45455</v>
      </c>
      <c r="C2174" s="178" t="s">
        <v>682</v>
      </c>
      <c r="D2174" s="178" t="s">
        <v>151</v>
      </c>
      <c r="E2174" s="227"/>
      <c r="F2174" s="180"/>
      <c r="G2174" s="181" t="s">
        <v>2016</v>
      </c>
      <c r="H2174" s="182"/>
      <c r="I2174" s="182"/>
      <c r="J2174" s="182"/>
      <c r="K2174" s="183"/>
      <c r="L2174" s="182"/>
      <c r="M2174" s="182">
        <v>2</v>
      </c>
      <c r="N2174" s="182"/>
      <c r="O2174" s="183" t="s">
        <v>95</v>
      </c>
      <c r="P2174" s="183" t="s">
        <v>96</v>
      </c>
      <c r="Q2174" s="183" t="s">
        <v>97</v>
      </c>
      <c r="R2174" s="183">
        <v>75</v>
      </c>
      <c r="S2174" s="183">
        <v>0</v>
      </c>
      <c r="T2174" s="183">
        <v>60</v>
      </c>
      <c r="U2174" s="183" t="s">
        <v>22</v>
      </c>
      <c r="V2174" s="183"/>
      <c r="W2174" s="183"/>
      <c r="X2174" s="183"/>
      <c r="Y2174" s="184">
        <f>IF(ISBLANK(O2174),"",(IF(O2174=UPPER("IB"),0.005,0.01)))</f>
        <v>0.01</v>
      </c>
      <c r="Z2174" s="185">
        <f>IF(ISBLANK(O2174),"",IF(O2174="IB",8.63*200,IF(O2174="IR",16*100,IF(O2174="YT",20*100,IF(O2174="YT-XT",24*200,IF(O2174="TED",80*100,IF(O2174="IR|YT",300*100)))))))</f>
        <v>1600</v>
      </c>
      <c r="AA2174" s="185" t="s">
        <v>5413</v>
      </c>
      <c r="AB2174" s="185"/>
      <c r="AC2174" s="185"/>
      <c r="AD2174" s="649">
        <v>-0.06</v>
      </c>
      <c r="AE2174" s="182"/>
      <c r="AF2174" s="332"/>
      <c r="AG2174" s="182"/>
      <c r="AH2174" s="182"/>
      <c r="AI2174" s="182"/>
      <c r="AJ2174" s="640"/>
      <c r="AK2174" s="182"/>
      <c r="AL2174" s="496">
        <f t="shared" si="711"/>
        <v>-32</v>
      </c>
      <c r="AM2174" s="496">
        <f t="shared" si="715"/>
        <v>-2400</v>
      </c>
      <c r="AN2174" s="626"/>
      <c r="AO2174" s="182"/>
      <c r="AP2174" s="182"/>
      <c r="AQ2174" s="332" t="s">
        <v>372</v>
      </c>
      <c r="AR2174" s="182"/>
      <c r="AS2174" s="189">
        <v>-0.06</v>
      </c>
      <c r="AT2174" s="189">
        <f>IF(ISBLANK(AS2174),,IF(U2174="S",AD2174-AS2174,AS2174-AD2174))</f>
        <v>0</v>
      </c>
      <c r="AU2174" s="187">
        <f>AV2174*R2174</f>
        <v>0</v>
      </c>
      <c r="AV2174" s="190">
        <f t="shared" si="716"/>
        <v>0</v>
      </c>
      <c r="AW2174" s="191" t="s">
        <v>115</v>
      </c>
      <c r="AX2174" s="551"/>
      <c r="AY2174" s="551"/>
      <c r="AZ2174" s="551"/>
      <c r="BA2174" s="551"/>
      <c r="BB2174" s="551"/>
      <c r="BC2174" s="551"/>
      <c r="BD2174" s="549"/>
      <c r="BE2174" s="550"/>
      <c r="BF2174" s="549"/>
      <c r="BG2174" s="391">
        <f>SUM($AV$1389:AV2174)</f>
        <v>4869.8290193478788</v>
      </c>
      <c r="BH2174" s="392">
        <f>SUM($AU$1389:AU2174)</f>
        <v>55188.423836163798</v>
      </c>
      <c r="BI2174" s="318">
        <f>SUMIFS($AU$1388:AU2175,$Q$1388:Q2175,"F")</f>
        <v>36587.078121878127</v>
      </c>
      <c r="BJ2174" s="318">
        <f>SUMIFS($AU$1388:AU2175,$Q$1388:Q2175,"S")</f>
        <v>21362.285714285714</v>
      </c>
      <c r="BK2174" s="343">
        <f>SUMIFS($AU$1388:AU2175,$P$1388:P2175,"W")</f>
        <v>34464.143836164178</v>
      </c>
      <c r="BL2174" s="343">
        <f>SUMIFS($AU$1388:AU2175,$P$1388:P2175,"R")</f>
        <v>17812.400000000162</v>
      </c>
      <c r="BM2174" s="343">
        <f>SUMIFS($AU$1388:AU2175,$AQ$1388:AQ2175,"M")</f>
        <v>12131.179999998967</v>
      </c>
      <c r="BN2174" s="343">
        <f>SUMIFS($AU$1388:AU2175,$AQ$1388:AQ2175,"H")</f>
        <v>14523.200000000877</v>
      </c>
      <c r="BO2174" s="343">
        <f>SUMIFS($AU$1388:AU2175,$AQ$1388:AQ2175,"D")</f>
        <v>11302.377472527354</v>
      </c>
      <c r="BP2174" s="343">
        <f>SUMIFS($AS$1388:AS2703,$AO$1388:AO2703,"W")</f>
        <v>0</v>
      </c>
      <c r="BQ2174" s="343">
        <f>SUMIFS($AU$1388:AU2175,$Q$1388:Q2175,"O")</f>
        <v>-5384.9400000000251</v>
      </c>
      <c r="BR2174" s="343">
        <f>SUMIFS($AU$1388:AU2175,$AA$1388:AA2175,"*")</f>
        <v>40521.522077921829</v>
      </c>
      <c r="BS2174" s="343">
        <f>SUMIFS($AU$1388:AU2175,$AB$1388:AB2175,"*")</f>
        <v>14587.859999999973</v>
      </c>
      <c r="BT2174" s="343">
        <f>SUMIFS($AU$1388:AU2175,$AC$1388:AC2175,"*")</f>
        <v>45147.078121878294</v>
      </c>
      <c r="BU2174" s="343">
        <f>SUMIFS($AU$1388:AU2175,$AA$1388:AA2175,"*",$AB$1388:AB2175,"*")</f>
        <v>8011.9999999997544</v>
      </c>
      <c r="BV2174" s="343">
        <f>SUMIFS($AU$1388:AU2175,$AA$1388:AA2175,"*",$AC$1388:AC2175,"*")</f>
        <v>31600.036363636533</v>
      </c>
      <c r="BW2174" s="343">
        <f>SUMIFS($AU$1388:AU2175,$AB$1388:AB2175,"*",$AC$1388:AC2175,"*")</f>
        <v>10976</v>
      </c>
      <c r="BX2174" s="343">
        <f>SUMIFS($AV$1388:AV2175,$Q$1388:Q2175,"F")</f>
        <v>493.65837744248347</v>
      </c>
      <c r="BY2174" s="343">
        <f>SUMIFS($AV$1388:AV2175,$Q$1388:Q2175,"S")</f>
        <v>756.6113419057275</v>
      </c>
      <c r="BZ2174" s="343">
        <f>SUMIFS($AV$1388:AV2175,$Q$1388:Q2175,"O")</f>
        <v>471.55929999966099</v>
      </c>
    </row>
    <row r="2175" spans="1:78" ht="15.75" customHeight="1">
      <c r="A2175" s="177" t="s">
        <v>6781</v>
      </c>
      <c r="B2175" s="200">
        <v>45455</v>
      </c>
      <c r="C2175" s="178" t="s">
        <v>682</v>
      </c>
      <c r="D2175" s="178" t="s">
        <v>151</v>
      </c>
      <c r="E2175" s="227"/>
      <c r="F2175" s="180"/>
      <c r="G2175" s="181" t="s">
        <v>2070</v>
      </c>
      <c r="H2175" s="182"/>
      <c r="I2175" s="182"/>
      <c r="J2175" s="182"/>
      <c r="K2175" s="183"/>
      <c r="L2175" s="182"/>
      <c r="M2175" s="182">
        <v>2</v>
      </c>
      <c r="N2175" s="182"/>
      <c r="O2175" s="183" t="s">
        <v>95</v>
      </c>
      <c r="P2175" s="183" t="s">
        <v>96</v>
      </c>
      <c r="Q2175" s="183" t="s">
        <v>97</v>
      </c>
      <c r="R2175" s="183">
        <v>60</v>
      </c>
      <c r="S2175" s="183">
        <v>0</v>
      </c>
      <c r="T2175" s="183">
        <v>60</v>
      </c>
      <c r="U2175" s="183" t="s">
        <v>22</v>
      </c>
      <c r="V2175" s="183"/>
      <c r="W2175" s="183"/>
      <c r="X2175" s="183"/>
      <c r="Y2175" s="184">
        <f>IF(ISBLANK(O2175),"",(IF(O2175=UPPER("IB"),0.005,0.01)))</f>
        <v>0.01</v>
      </c>
      <c r="Z2175" s="185">
        <f>IF(ISBLANK(O2175),"",IF(O2175="IB",8.63*200,IF(O2175="IR",16*100,IF(O2175="YT",20*100,IF(O2175="YT-XT",24*200,IF(O2175="TED",80*100,IF(O2175="IR|YT",300*100)))))))</f>
        <v>1600</v>
      </c>
      <c r="AA2175" s="185" t="s">
        <v>6916</v>
      </c>
      <c r="AB2175" s="185"/>
      <c r="AC2175" s="185"/>
      <c r="AD2175" s="649">
        <v>-0.09</v>
      </c>
      <c r="AE2175" s="182"/>
      <c r="AF2175" s="332"/>
      <c r="AG2175" s="182"/>
      <c r="AH2175" s="182"/>
      <c r="AI2175" s="182"/>
      <c r="AJ2175" s="640"/>
      <c r="AK2175" s="182"/>
      <c r="AL2175" s="496">
        <f t="shared" ref="AL2175:AL2187" si="719">-0.02*Z2175</f>
        <v>-32</v>
      </c>
      <c r="AM2175" s="496">
        <f t="shared" si="715"/>
        <v>-1920</v>
      </c>
      <c r="AN2175" s="626"/>
      <c r="AO2175" s="182"/>
      <c r="AP2175" s="182"/>
      <c r="AQ2175" s="332" t="s">
        <v>372</v>
      </c>
      <c r="AR2175" s="182"/>
      <c r="AS2175" s="189">
        <v>-0.09</v>
      </c>
      <c r="AT2175" s="189">
        <f>IF(ISBLANK(AS2175),,IF(U2175="S",AD2175-AS2175,AS2175-AD2175))</f>
        <v>0</v>
      </c>
      <c r="AU2175" s="187">
        <f>AV2175*R2175</f>
        <v>0</v>
      </c>
      <c r="AV2175" s="190">
        <f t="shared" ref="AV2175:AV2187" si="720">IF(ISBLANK(AS2175),,(AT2175*Z2175))</f>
        <v>0</v>
      </c>
      <c r="AW2175" s="191" t="s">
        <v>115</v>
      </c>
      <c r="AX2175" s="551"/>
      <c r="AY2175" s="551"/>
      <c r="AZ2175" s="551"/>
      <c r="BA2175" s="551"/>
      <c r="BB2175" s="551"/>
      <c r="BC2175" s="551"/>
      <c r="BD2175" s="549"/>
      <c r="BE2175" s="550"/>
      <c r="BF2175" s="549"/>
      <c r="BG2175" s="391">
        <f>SUM($AV$1389:AV2175)</f>
        <v>4869.8290193478788</v>
      </c>
      <c r="BH2175" s="392">
        <f>SUM($AU$1389:AU2175)</f>
        <v>55188.423836163798</v>
      </c>
      <c r="BI2175" s="318">
        <f>SUMIFS($AU$1388:AU2176,$Q$1388:Q2176,"F")</f>
        <v>36587.078121878127</v>
      </c>
      <c r="BJ2175" s="318">
        <f>SUMIFS($AU$1388:AU2176,$Q$1388:Q2176,"S")</f>
        <v>21362.285714285714</v>
      </c>
      <c r="BK2175" s="343">
        <f>SUMIFS($AU$1388:AU2176,$P$1388:P2176,"W")</f>
        <v>34464.143836164178</v>
      </c>
      <c r="BL2175" s="343">
        <f>SUMIFS($AU$1388:AU2176,$P$1388:P2176,"R")</f>
        <v>17812.400000000162</v>
      </c>
      <c r="BM2175" s="343">
        <f>SUMIFS($AU$1388:AU2176,$AQ$1388:AQ2176,"M")</f>
        <v>12131.179999998967</v>
      </c>
      <c r="BN2175" s="343">
        <f>SUMIFS($AU$1388:AU2176,$AQ$1388:AQ2176,"H")</f>
        <v>14523.200000000877</v>
      </c>
      <c r="BO2175" s="343">
        <f>SUMIFS($AU$1388:AU2176,$AQ$1388:AQ2176,"D")</f>
        <v>11302.377472527354</v>
      </c>
      <c r="BP2175" s="343">
        <f>SUMIFS($AS$1388:AS2704,$AO$1388:AO2704,"W")</f>
        <v>0</v>
      </c>
      <c r="BQ2175" s="343">
        <f>SUMIFS($AU$1388:AU2176,$Q$1388:Q2176,"O")</f>
        <v>-5384.9400000000251</v>
      </c>
      <c r="BR2175" s="343">
        <f>SUMIFS($AU$1388:AU2176,$AA$1388:AA2176,"*")</f>
        <v>40521.522077921829</v>
      </c>
      <c r="BS2175" s="343">
        <f>SUMIFS($AU$1388:AU2176,$AB$1388:AB2176,"*")</f>
        <v>14587.859999999973</v>
      </c>
      <c r="BT2175" s="343">
        <f>SUMIFS($AU$1388:AU2176,$AC$1388:AC2176,"*")</f>
        <v>45147.078121878294</v>
      </c>
      <c r="BU2175" s="343">
        <f>SUMIFS($AU$1388:AU2176,$AA$1388:AA2176,"*",$AB$1388:AB2176,"*")</f>
        <v>8011.9999999997544</v>
      </c>
      <c r="BV2175" s="343">
        <f>SUMIFS($AU$1388:AU2176,$AA$1388:AA2176,"*",$AC$1388:AC2176,"*")</f>
        <v>31600.036363636533</v>
      </c>
      <c r="BW2175" s="343">
        <f>SUMIFS($AU$1388:AU2176,$AB$1388:AB2176,"*",$AC$1388:AC2176,"*")</f>
        <v>10976</v>
      </c>
      <c r="BX2175" s="343">
        <f>SUMIFS($AV$1388:AV2176,$Q$1388:Q2176,"F")</f>
        <v>493.65837744248347</v>
      </c>
      <c r="BY2175" s="343">
        <f>SUMIFS($AV$1388:AV2176,$Q$1388:Q2176,"S")</f>
        <v>756.6113419057275</v>
      </c>
      <c r="BZ2175" s="343">
        <f>SUMIFS($AV$1388:AV2176,$Q$1388:Q2176,"O")</f>
        <v>471.55929999966099</v>
      </c>
    </row>
    <row r="2176" spans="1:78" ht="15.75" customHeight="1">
      <c r="A2176" s="177" t="s">
        <v>6781</v>
      </c>
      <c r="B2176" s="200">
        <v>45455</v>
      </c>
      <c r="C2176" s="178" t="s">
        <v>682</v>
      </c>
      <c r="D2176" s="178" t="s">
        <v>151</v>
      </c>
      <c r="E2176" s="227"/>
      <c r="F2176" s="180"/>
      <c r="G2176" s="181" t="s">
        <v>3625</v>
      </c>
      <c r="H2176" s="182"/>
      <c r="I2176" s="182"/>
      <c r="J2176" s="182"/>
      <c r="K2176" s="183"/>
      <c r="L2176" s="182"/>
      <c r="M2176" s="182">
        <v>2</v>
      </c>
      <c r="N2176" s="182"/>
      <c r="O2176" s="183" t="s">
        <v>95</v>
      </c>
      <c r="P2176" s="183" t="s">
        <v>96</v>
      </c>
      <c r="Q2176" s="183" t="s">
        <v>97</v>
      </c>
      <c r="R2176" s="183">
        <v>100</v>
      </c>
      <c r="S2176" s="183">
        <v>0</v>
      </c>
      <c r="T2176" s="183">
        <v>100</v>
      </c>
      <c r="U2176" s="183" t="s">
        <v>22</v>
      </c>
      <c r="V2176" s="183"/>
      <c r="W2176" s="183"/>
      <c r="X2176" s="183"/>
      <c r="Y2176" s="184">
        <f>IF(ISBLANK(O2176),"",(IF(O2176=UPPER("IB"),0.005,0.01)))</f>
        <v>0.01</v>
      </c>
      <c r="Z2176" s="185">
        <f>IF(ISBLANK(O2176),"",IF(O2176="IB",8.63*200,IF(O2176="IR",16*100,IF(O2176="YT",20*100,IF(O2176="YT-XT",24*200,IF(O2176="TED",80*100,IF(O2176="IR|YT",300*100)))))))</f>
        <v>1600</v>
      </c>
      <c r="AA2176" s="185" t="s">
        <v>6373</v>
      </c>
      <c r="AB2176" s="185"/>
      <c r="AC2176" s="185"/>
      <c r="AD2176" s="649">
        <v>-0.19</v>
      </c>
      <c r="AE2176" s="182"/>
      <c r="AF2176" s="332"/>
      <c r="AG2176" s="182"/>
      <c r="AH2176" s="182"/>
      <c r="AI2176" s="182"/>
      <c r="AJ2176" s="640"/>
      <c r="AK2176" s="182"/>
      <c r="AL2176" s="496">
        <f t="shared" si="719"/>
        <v>-32</v>
      </c>
      <c r="AM2176" s="496">
        <f t="shared" si="715"/>
        <v>-3200</v>
      </c>
      <c r="AN2176" s="626"/>
      <c r="AO2176" s="182"/>
      <c r="AP2176" s="182"/>
      <c r="AQ2176" s="332" t="s">
        <v>372</v>
      </c>
      <c r="AR2176" s="182"/>
      <c r="AS2176" s="189">
        <v>-0.19</v>
      </c>
      <c r="AT2176" s="189">
        <f>IF(ISBLANK(AS2176),,IF(U2176="S",AD2176-AS2176,AS2176-AD2176))</f>
        <v>0</v>
      </c>
      <c r="AU2176" s="187">
        <f>AV2176*R2176</f>
        <v>0</v>
      </c>
      <c r="AV2176" s="190">
        <f t="shared" si="720"/>
        <v>0</v>
      </c>
      <c r="AW2176" s="191" t="s">
        <v>115</v>
      </c>
      <c r="AX2176" s="551" t="s">
        <v>6917</v>
      </c>
      <c r="AY2176" s="551"/>
      <c r="AZ2176" s="551"/>
      <c r="BA2176" s="551"/>
      <c r="BB2176" s="551"/>
      <c r="BC2176" s="551"/>
      <c r="BD2176" s="549"/>
      <c r="BE2176" s="550"/>
      <c r="BF2176" s="549"/>
      <c r="BG2176" s="391">
        <f>SUM($AV$1389:AV2176)</f>
        <v>4869.8290193478788</v>
      </c>
      <c r="BH2176" s="392">
        <f>SUM($AU$1389:AU2176)</f>
        <v>55188.423836163798</v>
      </c>
      <c r="BI2176" s="318">
        <f>SUMIFS($AU$1388:AU2177,$Q$1388:Q2177,"F")</f>
        <v>36587.078121878127</v>
      </c>
      <c r="BJ2176" s="318">
        <f>SUMIFS($AU$1388:AU2177,$Q$1388:Q2177,"S")</f>
        <v>21362.285714285714</v>
      </c>
      <c r="BK2176" s="343">
        <f>SUMIFS($AU$1388:AU2177,$P$1388:P2177,"W")</f>
        <v>34464.143836164178</v>
      </c>
      <c r="BL2176" s="343">
        <f>SUMIFS($AU$1388:AU2177,$P$1388:P2177,"R")</f>
        <v>17812.400000000162</v>
      </c>
      <c r="BM2176" s="343">
        <f>SUMIFS($AU$1388:AU2177,$AQ$1388:AQ2177,"M")</f>
        <v>12131.179999998967</v>
      </c>
      <c r="BN2176" s="343">
        <f>SUMIFS($AU$1388:AU2177,$AQ$1388:AQ2177,"H")</f>
        <v>14523.200000000877</v>
      </c>
      <c r="BO2176" s="343">
        <f>SUMIFS($AU$1388:AU2177,$AQ$1388:AQ2177,"D")</f>
        <v>11302.377472527354</v>
      </c>
      <c r="BP2176" s="343">
        <f>SUMIFS($AS$1388:AS2705,$AO$1388:AO2705,"W")</f>
        <v>0</v>
      </c>
      <c r="BQ2176" s="343">
        <f>SUMIFS($AU$1388:AU2177,$Q$1388:Q2177,"O")</f>
        <v>-5384.9400000000251</v>
      </c>
      <c r="BR2176" s="343">
        <f>SUMIFS($AU$1388:AU2177,$AA$1388:AA2177,"*")</f>
        <v>40521.522077921829</v>
      </c>
      <c r="BS2176" s="343">
        <f>SUMIFS($AU$1388:AU2177,$AB$1388:AB2177,"*")</f>
        <v>14587.859999999973</v>
      </c>
      <c r="BT2176" s="343">
        <f>SUMIFS($AU$1388:AU2177,$AC$1388:AC2177,"*")</f>
        <v>45147.078121878294</v>
      </c>
      <c r="BU2176" s="343">
        <f>SUMIFS($AU$1388:AU2177,$AA$1388:AA2177,"*",$AB$1388:AB2177,"*")</f>
        <v>8011.9999999997544</v>
      </c>
      <c r="BV2176" s="343">
        <f>SUMIFS($AU$1388:AU2177,$AA$1388:AA2177,"*",$AC$1388:AC2177,"*")</f>
        <v>31600.036363636533</v>
      </c>
      <c r="BW2176" s="343">
        <f>SUMIFS($AU$1388:AU2177,$AB$1388:AB2177,"*",$AC$1388:AC2177,"*")</f>
        <v>10976</v>
      </c>
      <c r="BX2176" s="343">
        <f>SUMIFS($AV$1388:AV2177,$Q$1388:Q2177,"F")</f>
        <v>493.65837744248347</v>
      </c>
      <c r="BY2176" s="343">
        <f>SUMIFS($AV$1388:AV2177,$Q$1388:Q2177,"S")</f>
        <v>756.6113419057275</v>
      </c>
      <c r="BZ2176" s="343">
        <f>SUMIFS($AV$1388:AV2177,$Q$1388:Q2177,"O")</f>
        <v>471.55929999966099</v>
      </c>
    </row>
    <row r="2177" spans="1:78" ht="15.75" customHeight="1">
      <c r="A2177" s="177" t="s">
        <v>6781</v>
      </c>
      <c r="B2177" s="200">
        <v>45455</v>
      </c>
      <c r="C2177" s="178" t="s">
        <v>2960</v>
      </c>
      <c r="D2177" s="178" t="s">
        <v>151</v>
      </c>
      <c r="E2177" s="227" t="s">
        <v>6918</v>
      </c>
      <c r="F2177" s="180"/>
      <c r="G2177" s="181"/>
      <c r="H2177" s="182"/>
      <c r="I2177" s="182"/>
      <c r="J2177" s="182"/>
      <c r="K2177" s="183"/>
      <c r="L2177" s="182"/>
      <c r="M2177" s="182"/>
      <c r="N2177" s="182"/>
      <c r="O2177" s="183"/>
      <c r="P2177" s="183"/>
      <c r="Q2177" s="183"/>
      <c r="R2177" s="183"/>
      <c r="S2177" s="183"/>
      <c r="T2177" s="183"/>
      <c r="U2177" s="183"/>
      <c r="V2177" s="183"/>
      <c r="W2177" s="183"/>
      <c r="X2177" s="183"/>
      <c r="Y2177" s="183"/>
      <c r="Z2177" s="183"/>
      <c r="AA2177" s="185"/>
      <c r="AB2177" s="185"/>
      <c r="AC2177" s="185"/>
      <c r="AD2177" s="649"/>
      <c r="AE2177" s="182"/>
      <c r="AF2177" s="332"/>
      <c r="AG2177" s="182"/>
      <c r="AH2177" s="182"/>
      <c r="AI2177" s="182"/>
      <c r="AJ2177" s="640"/>
      <c r="AK2177" s="182"/>
      <c r="AL2177" s="496">
        <f t="shared" si="719"/>
        <v>0</v>
      </c>
      <c r="AM2177" s="496">
        <f t="shared" si="715"/>
        <v>0</v>
      </c>
      <c r="AN2177" s="626"/>
      <c r="AO2177" s="182"/>
      <c r="AP2177" s="182"/>
      <c r="AQ2177" s="332" t="str">
        <f>UPPER(RIGHT(Journal_Live[[#This Row],[DURATION ]]))</f>
        <v/>
      </c>
      <c r="AR2177" s="182"/>
      <c r="AS2177" s="189"/>
      <c r="AT2177" s="189"/>
      <c r="AU2177" s="187"/>
      <c r="AV2177" s="190"/>
      <c r="AW2177" s="191"/>
      <c r="AX2177" s="551" t="s">
        <v>6919</v>
      </c>
      <c r="AY2177" s="551" t="s">
        <v>6920</v>
      </c>
      <c r="AZ2177" s="551" t="s">
        <v>6921</v>
      </c>
      <c r="BA2177" s="551"/>
      <c r="BB2177" s="551"/>
      <c r="BC2177" s="551"/>
      <c r="BD2177" s="549"/>
      <c r="BE2177" s="550"/>
      <c r="BF2177" s="549"/>
      <c r="BG2177" s="391">
        <f>SUM($AV$1389:AV2177)</f>
        <v>4869.8290193478788</v>
      </c>
      <c r="BH2177" s="392">
        <f>SUM($AU$1389:AU2177)</f>
        <v>55188.423836163798</v>
      </c>
      <c r="BI2177" s="318">
        <f>SUMIFS($AU$1388:AU2178,$Q$1388:Q2178,"F")</f>
        <v>36587.078121878127</v>
      </c>
      <c r="BJ2177" s="318">
        <f>SUMIFS($AU$1388:AU2178,$Q$1388:Q2178,"S")</f>
        <v>21362.285714285714</v>
      </c>
      <c r="BK2177" s="343">
        <f>SUMIFS($AU$1388:AU2178,$P$1388:P2178,"W")</f>
        <v>34464.143836164178</v>
      </c>
      <c r="BL2177" s="343">
        <f>SUMIFS($AU$1388:AU2178,$P$1388:P2178,"R")</f>
        <v>17812.400000000162</v>
      </c>
      <c r="BM2177" s="343">
        <f>SUMIFS($AU$1388:AU2178,$AQ$1388:AQ2178,"M")</f>
        <v>12131.179999998967</v>
      </c>
      <c r="BN2177" s="343">
        <f>SUMIFS($AU$1388:AU2178,$AQ$1388:AQ2178,"H")</f>
        <v>14523.200000000877</v>
      </c>
      <c r="BO2177" s="343">
        <f>SUMIFS($AU$1388:AU2178,$AQ$1388:AQ2178,"D")</f>
        <v>11302.377472527354</v>
      </c>
      <c r="BP2177" s="343">
        <f>SUMIFS($AS$1388:AS2706,$AO$1388:AO2706,"W")</f>
        <v>0</v>
      </c>
      <c r="BQ2177" s="343">
        <f>SUMIFS($AU$1388:AU2178,$Q$1388:Q2178,"O")</f>
        <v>-5384.9400000000251</v>
      </c>
      <c r="BR2177" s="343">
        <f>SUMIFS($AU$1388:AU2178,$AA$1388:AA2178,"*")</f>
        <v>40521.522077921829</v>
      </c>
      <c r="BS2177" s="343">
        <f>SUMIFS($AU$1388:AU2178,$AB$1388:AB2178,"*")</f>
        <v>14587.859999999973</v>
      </c>
      <c r="BT2177" s="343">
        <f>SUMIFS($AU$1388:AU2178,$AC$1388:AC2178,"*")</f>
        <v>45147.078121878294</v>
      </c>
      <c r="BU2177" s="343">
        <f>SUMIFS($AU$1388:AU2178,$AA$1388:AA2178,"*",$AB$1388:AB2178,"*")</f>
        <v>8011.9999999997544</v>
      </c>
      <c r="BV2177" s="343">
        <f>SUMIFS($AU$1388:AU2178,$AA$1388:AA2178,"*",$AC$1388:AC2178,"*")</f>
        <v>31600.036363636533</v>
      </c>
      <c r="BW2177" s="343">
        <f>SUMIFS($AU$1388:AU2178,$AB$1388:AB2178,"*",$AC$1388:AC2178,"*")</f>
        <v>10976</v>
      </c>
      <c r="BX2177" s="343">
        <f>SUMIFS($AV$1388:AV2178,$Q$1388:Q2178,"F")</f>
        <v>493.65837744248347</v>
      </c>
      <c r="BY2177" s="343">
        <f>SUMIFS($AV$1388:AV2178,$Q$1388:Q2178,"S")</f>
        <v>756.6113419057275</v>
      </c>
      <c r="BZ2177" s="343">
        <f>SUMIFS($AV$1388:AV2178,$Q$1388:Q2178,"O")</f>
        <v>471.55929999966099</v>
      </c>
    </row>
    <row r="2178" spans="1:78" ht="15.75" customHeight="1">
      <c r="A2178" s="177" t="s">
        <v>6781</v>
      </c>
      <c r="B2178" s="200">
        <v>45455</v>
      </c>
      <c r="C2178" s="178" t="s">
        <v>682</v>
      </c>
      <c r="D2178" s="178" t="s">
        <v>151</v>
      </c>
      <c r="E2178" s="227"/>
      <c r="F2178" s="180"/>
      <c r="G2178" s="481" t="s">
        <v>2807</v>
      </c>
      <c r="H2178" s="182"/>
      <c r="I2178" s="182"/>
      <c r="J2178" s="182"/>
      <c r="K2178" s="183"/>
      <c r="L2178" s="182">
        <v>1</v>
      </c>
      <c r="M2178" s="182"/>
      <c r="N2178" s="182"/>
      <c r="O2178" s="183" t="s">
        <v>95</v>
      </c>
      <c r="P2178" s="183" t="s">
        <v>96</v>
      </c>
      <c r="Q2178" s="231" t="s">
        <v>256</v>
      </c>
      <c r="R2178" s="183">
        <v>30</v>
      </c>
      <c r="S2178" s="183">
        <v>0</v>
      </c>
      <c r="T2178" s="183">
        <v>30</v>
      </c>
      <c r="U2178" s="183" t="s">
        <v>97</v>
      </c>
      <c r="V2178" s="183"/>
      <c r="W2178" s="183"/>
      <c r="X2178" s="183"/>
      <c r="Y2178" s="184">
        <f>IF(ISBLANK(O2178),"",(IF(O2178=UPPER("IB"),0.005,0.01)))</f>
        <v>0.01</v>
      </c>
      <c r="Z2178" s="185">
        <f>IF(ISBLANK(O2178),"",IF(O2178="IB",8.63*200,IF(O2178="IR",16*100,IF(O2178="YT",20*100,IF(O2178="YT-XT",24*200,IF(O2178="TED",80*100,IF(O2178="IR|YT",300*100)))))))</f>
        <v>1600</v>
      </c>
      <c r="AA2178" s="185"/>
      <c r="AB2178" s="185"/>
      <c r="AC2178" s="185" t="s">
        <v>6922</v>
      </c>
      <c r="AD2178" s="649">
        <v>0.03</v>
      </c>
      <c r="AE2178" s="182"/>
      <c r="AF2178" s="332"/>
      <c r="AG2178" s="182"/>
      <c r="AH2178" s="182"/>
      <c r="AI2178" s="182"/>
      <c r="AJ2178" s="640"/>
      <c r="AK2178" s="182"/>
      <c r="AL2178" s="496">
        <f t="shared" si="719"/>
        <v>-32</v>
      </c>
      <c r="AM2178" s="496">
        <f t="shared" si="715"/>
        <v>-960</v>
      </c>
      <c r="AN2178" s="626"/>
      <c r="AO2178" s="182"/>
      <c r="AP2178" s="182" t="s">
        <v>1084</v>
      </c>
      <c r="AQ2178" s="332" t="s">
        <v>372</v>
      </c>
      <c r="AR2178" s="182" t="s">
        <v>6888</v>
      </c>
      <c r="AS2178" s="189">
        <v>0.03</v>
      </c>
      <c r="AT2178" s="189">
        <f>IF(ISBLANK(AS2178),,IF(U2178="S",AD2178-AS2178,AS2178-AD2178))</f>
        <v>0</v>
      </c>
      <c r="AU2178" s="187">
        <f>AV2178*R2178</f>
        <v>0</v>
      </c>
      <c r="AV2178" s="190">
        <f t="shared" si="720"/>
        <v>0</v>
      </c>
      <c r="AW2178" s="191" t="s">
        <v>115</v>
      </c>
      <c r="AX2178" s="551" t="s">
        <v>6923</v>
      </c>
      <c r="AY2178" s="551"/>
      <c r="AZ2178" s="551"/>
      <c r="BA2178" s="551"/>
      <c r="BB2178" s="551"/>
      <c r="BC2178" s="551"/>
      <c r="BD2178" s="549"/>
      <c r="BE2178" s="550"/>
      <c r="BF2178" s="549"/>
      <c r="BG2178" s="391">
        <f>SUM($AV$1389:AV2178)</f>
        <v>4869.8290193478788</v>
      </c>
      <c r="BH2178" s="392">
        <f>SUM($AU$1389:AU2178)</f>
        <v>55188.423836163798</v>
      </c>
      <c r="BI2178" s="318">
        <f>SUMIFS($AU$1388:AU2188,$Q$1388:Q2188,"F")</f>
        <v>36347.078121878127</v>
      </c>
      <c r="BJ2178" s="318">
        <f>SUMIFS($AU$1388:AU2188,$Q$1388:Q2188,"S")</f>
        <v>24722.28571428571</v>
      </c>
      <c r="BK2178" s="343">
        <f>SUMIFS($AU$1388:AU2188,$P$1388:P2188,"W")</f>
        <v>35024.14383616417</v>
      </c>
      <c r="BL2178" s="343">
        <f>SUMIFS($AU$1388:AU2188,$P$1388:P2188,"R")</f>
        <v>20372.400000000162</v>
      </c>
      <c r="BM2178" s="343">
        <f>SUMIFS($AU$1388:AU2188,$AQ$1388:AQ2188,"M")</f>
        <v>12131.179999998967</v>
      </c>
      <c r="BN2178" s="343">
        <f>SUMIFS($AU$1388:AU2188,$AQ$1388:AQ2188,"H")</f>
        <v>14523.200000000877</v>
      </c>
      <c r="BO2178" s="343">
        <f>SUMIFS($AU$1388:AU2188,$AQ$1388:AQ2188,"D")</f>
        <v>14422.377472527351</v>
      </c>
      <c r="BP2178" s="343">
        <f>SUMIFS($AS$1388:AS2707,$AO$1388:AO2707,"W")</f>
        <v>0</v>
      </c>
      <c r="BQ2178" s="343">
        <f>SUMIFS($AU$1388:AU2188,$Q$1388:Q2188,"O")</f>
        <v>-5384.9400000000251</v>
      </c>
      <c r="BR2178" s="343">
        <f>SUMIFS($AU$1388:AU2188,$AA$1388:AA2188,"*")</f>
        <v>43881.522077921822</v>
      </c>
      <c r="BS2178" s="343">
        <f>SUMIFS($AU$1388:AU2188,$AB$1388:AB2188,"*")</f>
        <v>14347.859999999973</v>
      </c>
      <c r="BT2178" s="343">
        <f>SUMIFS($AU$1388:AU2188,$AC$1388:AC2188,"*")</f>
        <v>47467.078121878294</v>
      </c>
      <c r="BU2178" s="343">
        <f>SUMIFS($AU$1388:AU2188,$AA$1388:AA2188,"*",$AB$1388:AB2188,"*")</f>
        <v>8011.9999999997544</v>
      </c>
      <c r="BV2178" s="343">
        <f>SUMIFS($AU$1388:AU2188,$AA$1388:AA2188,"*",$AC$1388:AC2188,"*")</f>
        <v>34160.036363636536</v>
      </c>
      <c r="BW2178" s="343">
        <f>SUMIFS($AU$1388:AU2188,$AB$1388:AB2188,"*",$AC$1388:AC2188,"*")</f>
        <v>10736</v>
      </c>
      <c r="BX2178" s="343">
        <f>SUMIFS($AV$1388:AV2188,$Q$1388:Q2188,"F")</f>
        <v>477.65837744248347</v>
      </c>
      <c r="BY2178" s="343">
        <f>SUMIFS($AV$1388:AV2188,$Q$1388:Q2188,"S")</f>
        <v>820.61134190572739</v>
      </c>
      <c r="BZ2178" s="343">
        <f>SUMIFS($AV$1388:AV2188,$Q$1388:Q2188,"O")</f>
        <v>471.55929999966099</v>
      </c>
    </row>
    <row r="2179" spans="1:78" ht="15.75" customHeight="1">
      <c r="A2179" s="177" t="s">
        <v>6781</v>
      </c>
      <c r="B2179" s="200">
        <v>45456</v>
      </c>
      <c r="C2179" s="178" t="s">
        <v>2081</v>
      </c>
      <c r="D2179" s="178" t="s">
        <v>93</v>
      </c>
      <c r="E2179" s="227" t="s">
        <v>6924</v>
      </c>
      <c r="F2179" s="180"/>
      <c r="G2179" s="181"/>
      <c r="H2179" s="182">
        <v>1</v>
      </c>
      <c r="I2179" s="182"/>
      <c r="J2179" s="182"/>
      <c r="K2179" s="183" t="s">
        <v>372</v>
      </c>
      <c r="L2179" s="182"/>
      <c r="M2179" s="182"/>
      <c r="N2179" s="182"/>
      <c r="O2179" s="183"/>
      <c r="P2179" s="183"/>
      <c r="Q2179" s="183"/>
      <c r="R2179" s="183"/>
      <c r="S2179" s="183"/>
      <c r="T2179" s="183"/>
      <c r="U2179" s="183"/>
      <c r="V2179" s="183"/>
      <c r="W2179" s="183"/>
      <c r="X2179" s="183"/>
      <c r="Y2179" s="183"/>
      <c r="Z2179" s="183"/>
      <c r="AA2179" s="185"/>
      <c r="AB2179" s="185"/>
      <c r="AC2179" s="185"/>
      <c r="AD2179" s="649"/>
      <c r="AE2179" s="182"/>
      <c r="AF2179" s="332"/>
      <c r="AG2179" s="182"/>
      <c r="AH2179" s="182"/>
      <c r="AI2179" s="182"/>
      <c r="AJ2179" s="640"/>
      <c r="AK2179" s="182"/>
      <c r="AL2179" s="496">
        <f t="shared" si="719"/>
        <v>0</v>
      </c>
      <c r="AM2179" s="496">
        <f t="shared" si="715"/>
        <v>0</v>
      </c>
      <c r="AN2179" s="626"/>
      <c r="AO2179" s="182"/>
      <c r="AP2179" s="182"/>
      <c r="AQ2179" s="332" t="str">
        <f>UPPER(RIGHT(Journal_Live[[#This Row],[DURATION ]]))</f>
        <v/>
      </c>
      <c r="AR2179" s="182"/>
      <c r="AS2179" s="189"/>
      <c r="AT2179" s="189"/>
      <c r="AU2179" s="187"/>
      <c r="AV2179" s="190"/>
      <c r="AW2179" s="191"/>
      <c r="AX2179" s="551"/>
      <c r="AY2179" s="551"/>
      <c r="AZ2179" s="551"/>
      <c r="BA2179" s="551"/>
      <c r="BB2179" s="551"/>
      <c r="BC2179" s="551"/>
      <c r="BD2179" s="549"/>
      <c r="BE2179" s="550"/>
      <c r="BF2179" s="549"/>
      <c r="BG2179" s="391">
        <f>SUM($AV$1389:AV2179)</f>
        <v>4869.8290193478788</v>
      </c>
      <c r="BH2179" s="392">
        <f>SUM($AU$1389:AU2179)</f>
        <v>55188.423836163798</v>
      </c>
      <c r="BI2179" s="318">
        <f>SUMIFS($AU$1388:AU2180,$Q$1388:Q2180,"F")</f>
        <v>36587.078121878127</v>
      </c>
      <c r="BJ2179" s="318">
        <f>SUMIFS($AU$1388:AU2180,$Q$1388:Q2180,"S")</f>
        <v>21362.285714285714</v>
      </c>
      <c r="BK2179" s="343">
        <f>SUMIFS($AU$1388:AU2180,$P$1388:P2180,"W")</f>
        <v>34464.143836164178</v>
      </c>
      <c r="BL2179" s="343">
        <f>SUMIFS($AU$1388:AU2180,$P$1388:P2180,"R")</f>
        <v>17812.400000000162</v>
      </c>
      <c r="BM2179" s="343">
        <f>SUMIFS($AU$1388:AU2180,$AQ$1388:AQ2180,"M")</f>
        <v>12131.179999998967</v>
      </c>
      <c r="BN2179" s="343">
        <f>SUMIFS($AU$1388:AU2180,$AQ$1388:AQ2180,"H")</f>
        <v>14523.200000000877</v>
      </c>
      <c r="BO2179" s="343">
        <f>SUMIFS($AU$1388:AU2180,$AQ$1388:AQ2180,"D")</f>
        <v>11302.377472527354</v>
      </c>
      <c r="BP2179" s="343">
        <f>SUMIFS($AS$1388:AS2704,$AO$1388:AO2704,"W")</f>
        <v>0</v>
      </c>
      <c r="BQ2179" s="343">
        <f>SUMIFS($AU$1388:AU2180,$Q$1388:Q2180,"O")</f>
        <v>-5384.9400000000251</v>
      </c>
      <c r="BR2179" s="343">
        <f>SUMIFS($AU$1388:AU2180,$AA$1388:AA2180,"*")</f>
        <v>40521.522077921829</v>
      </c>
      <c r="BS2179" s="343">
        <f>SUMIFS($AU$1388:AU2180,$AB$1388:AB2180,"*")</f>
        <v>14587.859999999973</v>
      </c>
      <c r="BT2179" s="343">
        <f>SUMIFS($AU$1388:AU2180,$AC$1388:AC2180,"*")</f>
        <v>45147.078121878294</v>
      </c>
      <c r="BU2179" s="343">
        <f>SUMIFS($AU$1388:AU2180,$AA$1388:AA2180,"*",$AB$1388:AB2180,"*")</f>
        <v>8011.9999999997544</v>
      </c>
      <c r="BV2179" s="343">
        <f>SUMIFS($AU$1388:AU2180,$AA$1388:AA2180,"*",$AC$1388:AC2180,"*")</f>
        <v>31600.036363636533</v>
      </c>
      <c r="BW2179" s="343">
        <f>SUMIFS($AU$1388:AU2180,$AB$1388:AB2180,"*",$AC$1388:AC2180,"*")</f>
        <v>10976</v>
      </c>
      <c r="BX2179" s="343">
        <f>SUMIFS($AV$1388:AV2180,$Q$1388:Q2180,"F")</f>
        <v>493.65837744248347</v>
      </c>
      <c r="BY2179" s="343">
        <f>SUMIFS($AV$1388:AV2180,$Q$1388:Q2180,"S")</f>
        <v>756.6113419057275</v>
      </c>
      <c r="BZ2179" s="343">
        <f>SUMIFS($AV$1388:AV2180,$Q$1388:Q2180,"O")</f>
        <v>471.55929999966099</v>
      </c>
    </row>
    <row r="2180" spans="1:78" ht="15.75" customHeight="1">
      <c r="A2180" s="177" t="s">
        <v>6781</v>
      </c>
      <c r="B2180" s="200"/>
      <c r="C2180" s="178"/>
      <c r="D2180" s="178"/>
      <c r="E2180" s="227" t="s">
        <v>6925</v>
      </c>
      <c r="F2180" s="180"/>
      <c r="G2180" s="181"/>
      <c r="H2180" s="182"/>
      <c r="I2180" s="182">
        <v>1</v>
      </c>
      <c r="J2180" s="182"/>
      <c r="K2180" s="183"/>
      <c r="L2180" s="182"/>
      <c r="M2180" s="182"/>
      <c r="N2180" s="182"/>
      <c r="O2180" s="183"/>
      <c r="P2180" s="183"/>
      <c r="Q2180" s="183"/>
      <c r="R2180" s="183"/>
      <c r="S2180" s="183"/>
      <c r="T2180" s="183"/>
      <c r="U2180" s="183"/>
      <c r="V2180" s="183"/>
      <c r="W2180" s="183"/>
      <c r="X2180" s="183"/>
      <c r="Y2180" s="183"/>
      <c r="Z2180" s="183"/>
      <c r="AA2180" s="185"/>
      <c r="AB2180" s="185"/>
      <c r="AC2180" s="185"/>
      <c r="AD2180" s="649"/>
      <c r="AE2180" s="182"/>
      <c r="AF2180" s="332"/>
      <c r="AG2180" s="182"/>
      <c r="AH2180" s="182"/>
      <c r="AI2180" s="182"/>
      <c r="AJ2180" s="640"/>
      <c r="AK2180" s="182"/>
      <c r="AL2180" s="496">
        <f t="shared" si="719"/>
        <v>0</v>
      </c>
      <c r="AM2180" s="496">
        <f t="shared" si="715"/>
        <v>0</v>
      </c>
      <c r="AN2180" s="626"/>
      <c r="AO2180" s="182"/>
      <c r="AP2180" s="182"/>
      <c r="AQ2180" s="332" t="str">
        <f>UPPER(RIGHT(Journal_Live[[#This Row],[DURATION ]]))</f>
        <v/>
      </c>
      <c r="AR2180" s="182"/>
      <c r="AS2180" s="189"/>
      <c r="AT2180" s="189"/>
      <c r="AU2180" s="187"/>
      <c r="AV2180" s="190"/>
      <c r="AW2180" s="191"/>
      <c r="AX2180" s="551"/>
      <c r="AY2180" s="551"/>
      <c r="AZ2180" s="551"/>
      <c r="BA2180" s="551"/>
      <c r="BB2180" s="551"/>
      <c r="BC2180" s="551"/>
      <c r="BD2180" s="549"/>
      <c r="BE2180" s="550"/>
      <c r="BF2180" s="549"/>
      <c r="BG2180" s="391">
        <f>SUM($AV$1389:AV2180)</f>
        <v>4869.8290193478788</v>
      </c>
      <c r="BH2180" s="392">
        <f>SUM($AU$1389:AU2180)</f>
        <v>55188.423836163798</v>
      </c>
      <c r="BI2180" s="318">
        <f>SUMIFS($AU$1388:AU2181,$Q$1388:Q2181,"F")</f>
        <v>36347.078121878127</v>
      </c>
      <c r="BJ2180" s="318">
        <f>SUMIFS($AU$1388:AU2181,$Q$1388:Q2181,"S")</f>
        <v>21362.285714285714</v>
      </c>
      <c r="BK2180" s="343">
        <f>SUMIFS($AU$1388:AU2181,$P$1388:P2181,"W")</f>
        <v>34224.143836164178</v>
      </c>
      <c r="BL2180" s="343">
        <f>SUMIFS($AU$1388:AU2181,$P$1388:P2181,"R")</f>
        <v>17812.400000000162</v>
      </c>
      <c r="BM2180" s="343">
        <f>SUMIFS($AU$1388:AU2181,$AQ$1388:AQ2181,"M")</f>
        <v>12131.179999998967</v>
      </c>
      <c r="BN2180" s="343">
        <f>SUMIFS($AU$1388:AU2181,$AQ$1388:AQ2181,"H")</f>
        <v>14523.200000000877</v>
      </c>
      <c r="BO2180" s="343">
        <f>SUMIFS($AU$1388:AU2181,$AQ$1388:AQ2181,"D")</f>
        <v>11062.377472527354</v>
      </c>
      <c r="BP2180" s="343">
        <f>SUMIFS($AS$1388:AS2705,$AO$1388:AO2705,"W")</f>
        <v>0</v>
      </c>
      <c r="BQ2180" s="343">
        <f>SUMIFS($AU$1388:AU2181,$Q$1388:Q2181,"O")</f>
        <v>-5384.9400000000251</v>
      </c>
      <c r="BR2180" s="343">
        <f>SUMIFS($AU$1388:AU2181,$AA$1388:AA2181,"*")</f>
        <v>40521.522077921829</v>
      </c>
      <c r="BS2180" s="343">
        <f>SUMIFS($AU$1388:AU2181,$AB$1388:AB2181,"*")</f>
        <v>14347.859999999973</v>
      </c>
      <c r="BT2180" s="343">
        <f>SUMIFS($AU$1388:AU2181,$AC$1388:AC2181,"*")</f>
        <v>44907.078121878294</v>
      </c>
      <c r="BU2180" s="343">
        <f>SUMIFS($AU$1388:AU2181,$AA$1388:AA2181,"*",$AB$1388:AB2181,"*")</f>
        <v>8011.9999999997544</v>
      </c>
      <c r="BV2180" s="343">
        <f>SUMIFS($AU$1388:AU2181,$AA$1388:AA2181,"*",$AC$1388:AC2181,"*")</f>
        <v>31600.036363636533</v>
      </c>
      <c r="BW2180" s="343">
        <f>SUMIFS($AU$1388:AU2181,$AB$1388:AB2181,"*",$AC$1388:AC2181,"*")</f>
        <v>10736</v>
      </c>
      <c r="BX2180" s="343">
        <f>SUMIFS($AV$1388:AV2181,$Q$1388:Q2181,"F")</f>
        <v>477.65837744248347</v>
      </c>
      <c r="BY2180" s="343">
        <f>SUMIFS($AV$1388:AV2181,$Q$1388:Q2181,"S")</f>
        <v>756.6113419057275</v>
      </c>
      <c r="BZ2180" s="343">
        <f>SUMIFS($AV$1388:AV2181,$Q$1388:Q2181,"O")</f>
        <v>471.55929999966099</v>
      </c>
    </row>
    <row r="2181" spans="1:78" ht="15.75" customHeight="1">
      <c r="A2181" s="177" t="s">
        <v>6781</v>
      </c>
      <c r="B2181" s="200">
        <v>45456</v>
      </c>
      <c r="C2181" s="178" t="s">
        <v>2661</v>
      </c>
      <c r="D2181" s="178" t="s">
        <v>93</v>
      </c>
      <c r="E2181" s="227"/>
      <c r="F2181" s="180"/>
      <c r="G2181" s="481" t="s">
        <v>6926</v>
      </c>
      <c r="H2181" s="182"/>
      <c r="I2181" s="182"/>
      <c r="J2181" s="182"/>
      <c r="K2181" s="183"/>
      <c r="L2181" s="182">
        <v>1</v>
      </c>
      <c r="M2181" s="182"/>
      <c r="N2181" s="182"/>
      <c r="O2181" s="183" t="s">
        <v>95</v>
      </c>
      <c r="P2181" s="183" t="s">
        <v>96</v>
      </c>
      <c r="Q2181" s="183" t="s">
        <v>256</v>
      </c>
      <c r="R2181" s="183">
        <v>15</v>
      </c>
      <c r="S2181" s="183">
        <v>15</v>
      </c>
      <c r="T2181" s="183">
        <v>50</v>
      </c>
      <c r="U2181" s="183" t="s">
        <v>22</v>
      </c>
      <c r="V2181" s="183"/>
      <c r="W2181" s="183"/>
      <c r="X2181" s="183"/>
      <c r="Y2181" s="184">
        <f>IF(ISBLANK(O2181),"",(IF(O2181=UPPER("IB"),0.005,0.01)))</f>
        <v>0.01</v>
      </c>
      <c r="Z2181" s="185">
        <f>IF(ISBLANK(O2181),"",IF(O2181="IB",8.63*200,IF(O2181="IR",16*100,IF(O2181="YT",20*100,IF(O2181="YT-XT",24*200,IF(O2181="TED",80*100,IF(O2181="IR|YT",300*100)))))))</f>
        <v>1600</v>
      </c>
      <c r="AA2181" s="185"/>
      <c r="AB2181" s="185" t="s">
        <v>6927</v>
      </c>
      <c r="AC2181" s="185" t="s">
        <v>6928</v>
      </c>
      <c r="AD2181" s="649">
        <v>0.01</v>
      </c>
      <c r="AE2181" s="182"/>
      <c r="AF2181" s="332"/>
      <c r="AG2181" s="182"/>
      <c r="AH2181" s="182"/>
      <c r="AI2181" s="182"/>
      <c r="AJ2181" s="640"/>
      <c r="AK2181" s="182"/>
      <c r="AL2181" s="496">
        <f t="shared" si="719"/>
        <v>-32</v>
      </c>
      <c r="AM2181" s="496">
        <f t="shared" si="715"/>
        <v>0</v>
      </c>
      <c r="AN2181" s="626"/>
      <c r="AO2181" s="182"/>
      <c r="AP2181" s="182" t="s">
        <v>864</v>
      </c>
      <c r="AQ2181" s="332" t="s">
        <v>115</v>
      </c>
      <c r="AR2181" s="298">
        <v>45461</v>
      </c>
      <c r="AS2181" s="189">
        <v>0</v>
      </c>
      <c r="AT2181" s="189">
        <f t="shared" ref="AT2181:AT2198" si="721">IF(ISBLANK(AS2181),,IF(U2181="S",AD2181-AS2181,AS2181-AD2181))</f>
        <v>-0.01</v>
      </c>
      <c r="AU2181" s="187">
        <f t="shared" ref="AU2181:AU2198" si="722">AV2181*R2181</f>
        <v>-240</v>
      </c>
      <c r="AV2181" s="190">
        <f t="shared" si="720"/>
        <v>-16</v>
      </c>
      <c r="AW2181" s="191" t="s">
        <v>229</v>
      </c>
      <c r="AX2181" s="551"/>
      <c r="AY2181" s="551"/>
      <c r="AZ2181" s="551"/>
      <c r="BA2181" s="551"/>
      <c r="BB2181" s="551"/>
      <c r="BC2181" s="551"/>
      <c r="BD2181" s="549"/>
      <c r="BE2181" s="550"/>
      <c r="BF2181" s="549"/>
      <c r="BG2181" s="391">
        <f>SUM($AV$1389:AV2181)</f>
        <v>4853.8290193478788</v>
      </c>
      <c r="BH2181" s="392">
        <f>SUM($AU$1389:AU2181)</f>
        <v>54948.423836163798</v>
      </c>
      <c r="BI2181" s="318">
        <f>SUMIFS($AU$1388:AU2187,$Q$1388:Q2187,"F")</f>
        <v>36347.078121878127</v>
      </c>
      <c r="BJ2181" s="318">
        <f>SUMIFS($AU$1388:AU2187,$Q$1388:Q2187,"S")</f>
        <v>24722.28571428571</v>
      </c>
      <c r="BK2181" s="343">
        <f>SUMIFS($AU$1388:AU2187,$P$1388:P2187,"W")</f>
        <v>35024.14383616417</v>
      </c>
      <c r="BL2181" s="343">
        <f>SUMIFS($AU$1388:AU2187,$P$1388:P2187,"R")</f>
        <v>20372.400000000162</v>
      </c>
      <c r="BM2181" s="343">
        <f>SUMIFS($AU$1388:AU2187,$AQ$1388:AQ2187,"M")</f>
        <v>12131.179999998967</v>
      </c>
      <c r="BN2181" s="343">
        <f>SUMIFS($AU$1388:AU2187,$AQ$1388:AQ2187,"H")</f>
        <v>14523.200000000877</v>
      </c>
      <c r="BO2181" s="343">
        <f>SUMIFS($AU$1388:AU2187,$AQ$1388:AQ2187,"D")</f>
        <v>14422.377472527351</v>
      </c>
      <c r="BP2181" s="343">
        <f>SUMIFS($AS$1388:AS2706,$AO$1388:AO2706,"W")</f>
        <v>0</v>
      </c>
      <c r="BQ2181" s="343">
        <f>SUMIFS($AU$1388:AU2187,$Q$1388:Q2187,"O")</f>
        <v>-5384.9400000000251</v>
      </c>
      <c r="BR2181" s="343">
        <f>SUMIFS($AU$1388:AU2187,$AA$1388:AA2187,"*")</f>
        <v>43881.522077921822</v>
      </c>
      <c r="BS2181" s="343">
        <f>SUMIFS($AU$1388:AU2187,$AB$1388:AB2187,"*")</f>
        <v>14347.859999999973</v>
      </c>
      <c r="BT2181" s="343">
        <f>SUMIFS($AU$1388:AU2187,$AC$1388:AC2187,"*")</f>
        <v>47467.078121878294</v>
      </c>
      <c r="BU2181" s="343">
        <f>SUMIFS($AU$1388:AU2187,$AA$1388:AA2187,"*",$AB$1388:AB2187,"*")</f>
        <v>8011.9999999997544</v>
      </c>
      <c r="BV2181" s="343">
        <f>SUMIFS($AU$1388:AU2187,$AA$1388:AA2187,"*",$AC$1388:AC2187,"*")</f>
        <v>34160.036363636536</v>
      </c>
      <c r="BW2181" s="343">
        <f>SUMIFS($AU$1388:AU2187,$AB$1388:AB2187,"*",$AC$1388:AC2187,"*")</f>
        <v>10736</v>
      </c>
      <c r="BX2181" s="343">
        <f>SUMIFS($AV$1388:AV2187,$Q$1388:Q2187,"F")</f>
        <v>477.65837744248347</v>
      </c>
      <c r="BY2181" s="343">
        <f>SUMIFS($AV$1388:AV2187,$Q$1388:Q2187,"S")</f>
        <v>820.61134190572739</v>
      </c>
      <c r="BZ2181" s="343">
        <f>SUMIFS($AV$1388:AV2187,$Q$1388:Q2187,"O")</f>
        <v>471.55929999966099</v>
      </c>
    </row>
    <row r="2182" spans="1:78" ht="15.75" customHeight="1">
      <c r="A2182" s="177" t="s">
        <v>6781</v>
      </c>
      <c r="B2182" s="200">
        <v>45456</v>
      </c>
      <c r="C2182" s="178" t="s">
        <v>2238</v>
      </c>
      <c r="D2182" s="178" t="s">
        <v>93</v>
      </c>
      <c r="E2182" s="227"/>
      <c r="F2182" s="180"/>
      <c r="G2182" s="481" t="s">
        <v>6929</v>
      </c>
      <c r="H2182" s="182"/>
      <c r="I2182" s="182"/>
      <c r="J2182" s="182"/>
      <c r="K2182" s="183"/>
      <c r="L2182" s="182">
        <v>1</v>
      </c>
      <c r="M2182" s="182"/>
      <c r="N2182" s="182"/>
      <c r="O2182" s="183" t="s">
        <v>95</v>
      </c>
      <c r="P2182" s="183" t="s">
        <v>96</v>
      </c>
      <c r="Q2182" s="183" t="s">
        <v>97</v>
      </c>
      <c r="R2182" s="183">
        <v>100</v>
      </c>
      <c r="S2182" s="183">
        <v>33</v>
      </c>
      <c r="T2182" s="183">
        <v>50</v>
      </c>
      <c r="U2182" s="183" t="s">
        <v>22</v>
      </c>
      <c r="V2182" s="183"/>
      <c r="W2182" s="183"/>
      <c r="X2182" s="183"/>
      <c r="Y2182" s="184">
        <f>IF(ISBLANK(O2182),"",(IF(O2182=UPPER("IB"),0.005,0.01)))</f>
        <v>0.01</v>
      </c>
      <c r="Z2182" s="185">
        <f>IF(ISBLANK(O2182),"",IF(O2182="IB",8.63*200,IF(O2182="IR",16*100,IF(O2182="YT",20*100,IF(O2182="YT-XT",24*200,IF(O2182="TED",80*100,IF(O2182="IR|YT",300*100)))))))</f>
        <v>1600</v>
      </c>
      <c r="AA2182" s="185"/>
      <c r="AB2182" s="185"/>
      <c r="AC2182" s="185" t="s">
        <v>6930</v>
      </c>
      <c r="AD2182" s="649">
        <v>-0.34</v>
      </c>
      <c r="AE2182" s="182"/>
      <c r="AF2182" s="332"/>
      <c r="AG2182" s="182"/>
      <c r="AH2182" s="182"/>
      <c r="AI2182" s="182"/>
      <c r="AJ2182" s="640"/>
      <c r="AK2182" s="182"/>
      <c r="AL2182" s="496">
        <f t="shared" ref="AL2182:AL2186" si="723">-0.02*Z2182</f>
        <v>-32</v>
      </c>
      <c r="AM2182" s="496">
        <f t="shared" si="715"/>
        <v>-2144</v>
      </c>
      <c r="AN2182" s="626"/>
      <c r="AO2182" s="182"/>
      <c r="AP2182" s="182" t="s">
        <v>3139</v>
      </c>
      <c r="AQ2182" s="332" t="s">
        <v>372</v>
      </c>
      <c r="AR2182" s="182"/>
      <c r="AS2182" s="189">
        <v>-0.34</v>
      </c>
      <c r="AT2182" s="189">
        <f t="shared" si="721"/>
        <v>0</v>
      </c>
      <c r="AU2182" s="187">
        <f t="shared" si="722"/>
        <v>0</v>
      </c>
      <c r="AV2182" s="190">
        <f t="shared" ref="AV2182:AV2186" si="724">IF(ISBLANK(AS2182),,(AT2182*Z2182))</f>
        <v>0</v>
      </c>
      <c r="AW2182" s="191" t="s">
        <v>115</v>
      </c>
      <c r="AX2182" s="551"/>
      <c r="AY2182" s="551"/>
      <c r="AZ2182" s="551"/>
      <c r="BA2182" s="551"/>
      <c r="BB2182" s="551"/>
      <c r="BC2182" s="551"/>
      <c r="BD2182" s="549"/>
      <c r="BE2182" s="550"/>
      <c r="BF2182" s="549"/>
      <c r="BG2182" s="391">
        <f>SUM($AV$1389:AV2182)</f>
        <v>4853.8290193478788</v>
      </c>
      <c r="BH2182" s="392">
        <f>SUM($AU$1389:AU2182)</f>
        <v>54948.423836163798</v>
      </c>
      <c r="BI2182" s="318">
        <f>SUMIFS($AU$1388:AU2183,$Q$1388:Q2183,"F")</f>
        <v>36347.078121878127</v>
      </c>
      <c r="BJ2182" s="318">
        <f>SUMIFS($AU$1388:AU2183,$Q$1388:Q2183,"S")</f>
        <v>21362.285714285714</v>
      </c>
      <c r="BK2182" s="343">
        <f>SUMIFS($AU$1388:AU2183,$P$1388:P2183,"W")</f>
        <v>34224.143836164178</v>
      </c>
      <c r="BL2182" s="343">
        <f>SUMIFS($AU$1388:AU2183,$P$1388:P2183,"R")</f>
        <v>17812.400000000162</v>
      </c>
      <c r="BM2182" s="343">
        <f>SUMIFS($AU$1388:AU2183,$AQ$1388:AQ2183,"M")</f>
        <v>12131.179999998967</v>
      </c>
      <c r="BN2182" s="343">
        <f>SUMIFS($AU$1388:AU2183,$AQ$1388:AQ2183,"H")</f>
        <v>14523.200000000877</v>
      </c>
      <c r="BO2182" s="343">
        <f>SUMIFS($AU$1388:AU2183,$AQ$1388:AQ2183,"D")</f>
        <v>11062.377472527354</v>
      </c>
      <c r="BP2182" s="343">
        <f>SUMIFS($AS$1388:AS2702,$AO$1388:AO2702,"W")</f>
        <v>0</v>
      </c>
      <c r="BQ2182" s="343">
        <f>SUMIFS($AU$1388:AU2183,$Q$1388:Q2183,"O")</f>
        <v>-5384.9400000000251</v>
      </c>
      <c r="BR2182" s="343">
        <f>SUMIFS($AU$1388:AU2183,$AA$1388:AA2183,"*")</f>
        <v>40521.522077921829</v>
      </c>
      <c r="BS2182" s="343">
        <f>SUMIFS($AU$1388:AU2183,$AB$1388:AB2183,"*")</f>
        <v>14347.859999999973</v>
      </c>
      <c r="BT2182" s="343">
        <f>SUMIFS($AU$1388:AU2183,$AC$1388:AC2183,"*")</f>
        <v>44907.078121878294</v>
      </c>
      <c r="BU2182" s="343">
        <f>SUMIFS($AU$1388:AU2183,$AA$1388:AA2183,"*",$AB$1388:AB2183,"*")</f>
        <v>8011.9999999997544</v>
      </c>
      <c r="BV2182" s="343">
        <f>SUMIFS($AU$1388:AU2183,$AA$1388:AA2183,"*",$AC$1388:AC2183,"*")</f>
        <v>31600.036363636533</v>
      </c>
      <c r="BW2182" s="343">
        <f>SUMIFS($AU$1388:AU2183,$AB$1388:AB2183,"*",$AC$1388:AC2183,"*")</f>
        <v>10736</v>
      </c>
      <c r="BX2182" s="343">
        <f>SUMIFS($AV$1388:AV2183,$Q$1388:Q2183,"F")</f>
        <v>477.65837744248347</v>
      </c>
      <c r="BY2182" s="343">
        <f>SUMIFS($AV$1388:AV2183,$Q$1388:Q2183,"S")</f>
        <v>756.6113419057275</v>
      </c>
      <c r="BZ2182" s="343">
        <f>SUMIFS($AV$1388:AV2183,$Q$1388:Q2183,"O")</f>
        <v>471.55929999966099</v>
      </c>
    </row>
    <row r="2183" spans="1:78" ht="15.75" customHeight="1">
      <c r="A2183" s="177" t="s">
        <v>6781</v>
      </c>
      <c r="B2183" s="200">
        <v>45456</v>
      </c>
      <c r="C2183" s="178" t="s">
        <v>2238</v>
      </c>
      <c r="D2183" s="178" t="s">
        <v>93</v>
      </c>
      <c r="E2183" s="227"/>
      <c r="F2183" s="180"/>
      <c r="G2183" s="181" t="s">
        <v>6929</v>
      </c>
      <c r="H2183" s="182"/>
      <c r="I2183" s="182"/>
      <c r="J2183" s="182"/>
      <c r="K2183" s="183"/>
      <c r="L2183" s="182"/>
      <c r="M2183" s="182"/>
      <c r="N2183" s="182"/>
      <c r="O2183" s="183"/>
      <c r="P2183" s="183"/>
      <c r="Q2183" s="183"/>
      <c r="R2183" s="183"/>
      <c r="S2183" s="183"/>
      <c r="T2183" s="183"/>
      <c r="U2183" s="183"/>
      <c r="V2183" s="183"/>
      <c r="W2183" s="183"/>
      <c r="X2183" s="183"/>
      <c r="Y2183" s="184"/>
      <c r="Z2183" s="185"/>
      <c r="AA2183" s="185"/>
      <c r="AB2183" s="185"/>
      <c r="AC2183" s="185"/>
      <c r="AD2183" s="649"/>
      <c r="AE2183" s="182"/>
      <c r="AF2183" s="332"/>
      <c r="AG2183" s="182"/>
      <c r="AH2183" s="182"/>
      <c r="AI2183" s="182"/>
      <c r="AJ2183" s="640"/>
      <c r="AK2183" s="182"/>
      <c r="AL2183" s="496">
        <f t="shared" si="723"/>
        <v>0</v>
      </c>
      <c r="AM2183" s="496">
        <f t="shared" si="715"/>
        <v>0</v>
      </c>
      <c r="AN2183" s="626"/>
      <c r="AO2183" s="182"/>
      <c r="AP2183" s="182"/>
      <c r="AQ2183" s="332" t="str">
        <f>UPPER(RIGHT(Journal_Live[[#This Row],[DURATION ]]))</f>
        <v/>
      </c>
      <c r="AR2183" s="182"/>
      <c r="AS2183" s="189"/>
      <c r="AT2183" s="189">
        <f t="shared" si="721"/>
        <v>0</v>
      </c>
      <c r="AU2183" s="187">
        <f t="shared" si="722"/>
        <v>0</v>
      </c>
      <c r="AV2183" s="190">
        <f t="shared" si="724"/>
        <v>0</v>
      </c>
      <c r="AW2183" s="191"/>
      <c r="AX2183" s="551" t="s">
        <v>987</v>
      </c>
      <c r="AY2183" s="551" t="s">
        <v>6931</v>
      </c>
      <c r="AZ2183" s="551" t="s">
        <v>6932</v>
      </c>
      <c r="BA2183" s="551" t="s">
        <v>6933</v>
      </c>
      <c r="BB2183" s="551"/>
      <c r="BC2183" s="551"/>
      <c r="BD2183" s="549"/>
      <c r="BE2183" s="550"/>
      <c r="BF2183" s="549"/>
      <c r="BG2183" s="391">
        <f>SUM($AV$1389:AV2183)</f>
        <v>4853.8290193478788</v>
      </c>
      <c r="BH2183" s="392">
        <f>SUM($AU$1389:AU2183)</f>
        <v>54948.423836163798</v>
      </c>
      <c r="BI2183" s="318">
        <f>SUMIFS($AU$1388:AU2184,$Q$1388:Q2184,"F")</f>
        <v>36347.078121878127</v>
      </c>
      <c r="BJ2183" s="318">
        <f>SUMIFS($AU$1388:AU2184,$Q$1388:Q2184,"S")</f>
        <v>21362.285714285714</v>
      </c>
      <c r="BK2183" s="343">
        <f>SUMIFS($AU$1388:AU2184,$P$1388:P2184,"W")</f>
        <v>34224.143836164178</v>
      </c>
      <c r="BL2183" s="343">
        <f>SUMIFS($AU$1388:AU2184,$P$1388:P2184,"R")</f>
        <v>17812.400000000162</v>
      </c>
      <c r="BM2183" s="343">
        <f>SUMIFS($AU$1388:AU2184,$AQ$1388:AQ2184,"M")</f>
        <v>12131.179999998967</v>
      </c>
      <c r="BN2183" s="343">
        <f>SUMIFS($AU$1388:AU2184,$AQ$1388:AQ2184,"H")</f>
        <v>14523.200000000877</v>
      </c>
      <c r="BO2183" s="343">
        <f>SUMIFS($AU$1388:AU2184,$AQ$1388:AQ2184,"D")</f>
        <v>11062.377472527354</v>
      </c>
      <c r="BP2183" s="343">
        <f>SUMIFS($AS$1388:AS2703,$AO$1388:AO2703,"W")</f>
        <v>0</v>
      </c>
      <c r="BQ2183" s="343">
        <f>SUMIFS($AU$1388:AU2184,$Q$1388:Q2184,"O")</f>
        <v>-5384.9400000000251</v>
      </c>
      <c r="BR2183" s="343">
        <f>SUMIFS($AU$1388:AU2184,$AA$1388:AA2184,"*")</f>
        <v>40521.522077921829</v>
      </c>
      <c r="BS2183" s="343">
        <f>SUMIFS($AU$1388:AU2184,$AB$1388:AB2184,"*")</f>
        <v>14347.859999999973</v>
      </c>
      <c r="BT2183" s="343">
        <f>SUMIFS($AU$1388:AU2184,$AC$1388:AC2184,"*")</f>
        <v>44907.078121878294</v>
      </c>
      <c r="BU2183" s="343">
        <f>SUMIFS($AU$1388:AU2184,$AA$1388:AA2184,"*",$AB$1388:AB2184,"*")</f>
        <v>8011.9999999997544</v>
      </c>
      <c r="BV2183" s="343">
        <f>SUMIFS($AU$1388:AU2184,$AA$1388:AA2184,"*",$AC$1388:AC2184,"*")</f>
        <v>31600.036363636533</v>
      </c>
      <c r="BW2183" s="343">
        <f>SUMIFS($AU$1388:AU2184,$AB$1388:AB2184,"*",$AC$1388:AC2184,"*")</f>
        <v>10736</v>
      </c>
      <c r="BX2183" s="343">
        <f>SUMIFS($AV$1388:AV2184,$Q$1388:Q2184,"F")</f>
        <v>477.65837744248347</v>
      </c>
      <c r="BY2183" s="343">
        <f>SUMIFS($AV$1388:AV2184,$Q$1388:Q2184,"S")</f>
        <v>756.6113419057275</v>
      </c>
      <c r="BZ2183" s="343">
        <f>SUMIFS($AV$1388:AV2184,$Q$1388:Q2184,"O")</f>
        <v>471.55929999966099</v>
      </c>
    </row>
    <row r="2184" spans="1:78" ht="15.75" customHeight="1">
      <c r="A2184" s="177" t="s">
        <v>6781</v>
      </c>
      <c r="B2184" s="200">
        <v>45457</v>
      </c>
      <c r="C2184" s="178" t="s">
        <v>6934</v>
      </c>
      <c r="D2184" s="178" t="s">
        <v>111</v>
      </c>
      <c r="E2184" s="227" t="s">
        <v>6935</v>
      </c>
      <c r="F2184" s="180"/>
      <c r="G2184" s="181"/>
      <c r="H2184" s="182"/>
      <c r="I2184" s="182"/>
      <c r="J2184" s="182"/>
      <c r="K2184" s="183"/>
      <c r="L2184" s="182"/>
      <c r="M2184" s="182"/>
      <c r="N2184" s="182"/>
      <c r="O2184" s="183"/>
      <c r="P2184" s="183"/>
      <c r="Q2184" s="183"/>
      <c r="R2184" s="183"/>
      <c r="S2184" s="183"/>
      <c r="T2184" s="183"/>
      <c r="U2184" s="183"/>
      <c r="V2184" s="183"/>
      <c r="W2184" s="183"/>
      <c r="X2184" s="183"/>
      <c r="Y2184" s="183"/>
      <c r="Z2184" s="183"/>
      <c r="AA2184" s="185"/>
      <c r="AB2184" s="185"/>
      <c r="AC2184" s="185"/>
      <c r="AD2184" s="649"/>
      <c r="AE2184" s="182"/>
      <c r="AF2184" s="332"/>
      <c r="AG2184" s="182"/>
      <c r="AH2184" s="182"/>
      <c r="AI2184" s="182"/>
      <c r="AJ2184" s="640"/>
      <c r="AK2184" s="182"/>
      <c r="AL2184" s="496">
        <f t="shared" si="723"/>
        <v>0</v>
      </c>
      <c r="AM2184" s="496">
        <f t="shared" si="715"/>
        <v>0</v>
      </c>
      <c r="AN2184" s="626"/>
      <c r="AO2184" s="182"/>
      <c r="AP2184" s="182"/>
      <c r="AQ2184" s="332" t="str">
        <f>UPPER(RIGHT(Journal_Live[[#This Row],[DURATION ]]))</f>
        <v/>
      </c>
      <c r="AR2184" s="182"/>
      <c r="AS2184" s="189"/>
      <c r="AT2184" s="189">
        <f t="shared" si="721"/>
        <v>0</v>
      </c>
      <c r="AU2184" s="187">
        <f t="shared" si="722"/>
        <v>0</v>
      </c>
      <c r="AV2184" s="190">
        <f t="shared" si="724"/>
        <v>0</v>
      </c>
      <c r="AW2184" s="191"/>
      <c r="AX2184" s="551"/>
      <c r="AY2184" s="551"/>
      <c r="AZ2184" s="551"/>
      <c r="BA2184" s="551"/>
      <c r="BB2184" s="551"/>
      <c r="BC2184" s="551"/>
      <c r="BD2184" s="549"/>
      <c r="BE2184" s="550"/>
      <c r="BF2184" s="549"/>
      <c r="BG2184" s="391">
        <f>SUM($AV$1389:AV2184)</f>
        <v>4853.8290193478788</v>
      </c>
      <c r="BH2184" s="392">
        <f>SUM($AU$1389:AU2184)</f>
        <v>54948.423836163798</v>
      </c>
      <c r="BI2184" s="318">
        <f>SUMIFS($AU$1388:AU2185,$Q$1388:Q2185,"F")</f>
        <v>36347.078121878127</v>
      </c>
      <c r="BJ2184" s="318">
        <f>SUMIFS($AU$1388:AU2185,$Q$1388:Q2185,"S")</f>
        <v>22962.285714285714</v>
      </c>
      <c r="BK2184" s="343">
        <f>SUMIFS($AU$1388:AU2185,$P$1388:P2185,"W")</f>
        <v>34224.143836164178</v>
      </c>
      <c r="BL2184" s="343">
        <f>SUMIFS($AU$1388:AU2185,$P$1388:P2185,"R")</f>
        <v>19412.400000000162</v>
      </c>
      <c r="BM2184" s="343">
        <f>SUMIFS($AU$1388:AU2185,$AQ$1388:AQ2185,"M")</f>
        <v>12131.179999998967</v>
      </c>
      <c r="BN2184" s="343">
        <f>SUMIFS($AU$1388:AU2185,$AQ$1388:AQ2185,"H")</f>
        <v>14523.200000000877</v>
      </c>
      <c r="BO2184" s="343">
        <f>SUMIFS($AU$1388:AU2185,$AQ$1388:AQ2185,"D")</f>
        <v>12662.377472527354</v>
      </c>
      <c r="BP2184" s="343">
        <f>SUMIFS($AS$1388:AS2704,$AO$1388:AO2704,"W")</f>
        <v>0</v>
      </c>
      <c r="BQ2184" s="343">
        <f>SUMIFS($AU$1388:AU2185,$Q$1388:Q2185,"O")</f>
        <v>-5384.9400000000251</v>
      </c>
      <c r="BR2184" s="343">
        <f>SUMIFS($AU$1388:AU2185,$AA$1388:AA2185,"*")</f>
        <v>42121.522077921829</v>
      </c>
      <c r="BS2184" s="343">
        <f>SUMIFS($AU$1388:AU2185,$AB$1388:AB2185,"*")</f>
        <v>14347.859999999973</v>
      </c>
      <c r="BT2184" s="343">
        <f>SUMIFS($AU$1388:AU2185,$AC$1388:AC2185,"*")</f>
        <v>46507.078121878294</v>
      </c>
      <c r="BU2184" s="343">
        <f>SUMIFS($AU$1388:AU2185,$AA$1388:AA2185,"*",$AB$1388:AB2185,"*")</f>
        <v>8011.9999999997544</v>
      </c>
      <c r="BV2184" s="343">
        <f>SUMIFS($AU$1388:AU2185,$AA$1388:AA2185,"*",$AC$1388:AC2185,"*")</f>
        <v>33200.036363636536</v>
      </c>
      <c r="BW2184" s="343">
        <f>SUMIFS($AU$1388:AU2185,$AB$1388:AB2185,"*",$AC$1388:AC2185,"*")</f>
        <v>10736</v>
      </c>
      <c r="BX2184" s="343">
        <f>SUMIFS($AV$1388:AV2185,$Q$1388:Q2185,"F")</f>
        <v>477.65837744248347</v>
      </c>
      <c r="BY2184" s="343">
        <f>SUMIFS($AV$1388:AV2185,$Q$1388:Q2185,"S")</f>
        <v>788.6113419057275</v>
      </c>
      <c r="BZ2184" s="343">
        <f>SUMIFS($AV$1388:AV2185,$Q$1388:Q2185,"O")</f>
        <v>471.55929999966099</v>
      </c>
    </row>
    <row r="2185" spans="1:78" ht="15.75" customHeight="1">
      <c r="A2185" s="177" t="s">
        <v>6781</v>
      </c>
      <c r="B2185" s="200">
        <v>45457</v>
      </c>
      <c r="C2185" s="178" t="s">
        <v>6936</v>
      </c>
      <c r="D2185" s="178" t="s">
        <v>111</v>
      </c>
      <c r="E2185" s="227"/>
      <c r="F2185" s="180"/>
      <c r="G2185" s="481" t="s">
        <v>6937</v>
      </c>
      <c r="H2185" s="182"/>
      <c r="I2185" s="182"/>
      <c r="J2185" s="182"/>
      <c r="K2185" s="183"/>
      <c r="L2185" s="182"/>
      <c r="M2185" s="182">
        <v>2</v>
      </c>
      <c r="N2185" s="182"/>
      <c r="O2185" s="183" t="s">
        <v>95</v>
      </c>
      <c r="P2185" s="183" t="s">
        <v>137</v>
      </c>
      <c r="Q2185" s="183" t="s">
        <v>97</v>
      </c>
      <c r="R2185" s="183">
        <v>50</v>
      </c>
      <c r="S2185" s="183">
        <v>27</v>
      </c>
      <c r="T2185" s="183">
        <v>50</v>
      </c>
      <c r="U2185" s="183" t="s">
        <v>97</v>
      </c>
      <c r="V2185" s="183"/>
      <c r="W2185" s="183"/>
      <c r="X2185" s="183"/>
      <c r="Y2185" s="184">
        <f>IF(ISBLANK(O2185),"",(IF(O2185=UPPER("IB"),0.005,0.01)))</f>
        <v>0.01</v>
      </c>
      <c r="Z2185" s="185">
        <f>IF(ISBLANK(O2185),"",IF(O2185="IB",8.63*200,IF(O2185="IR",16*100,IF(O2185="YT",20*100,IF(O2185="YT-XT",24*200,IF(O2185="TED",80*100,IF(O2185="IR|YT",300*100)))))))</f>
        <v>1600</v>
      </c>
      <c r="AA2185" s="185" t="s">
        <v>6938</v>
      </c>
      <c r="AB2185" s="185"/>
      <c r="AC2185" s="185" t="s">
        <v>5818</v>
      </c>
      <c r="AD2185" s="649">
        <v>0.02</v>
      </c>
      <c r="AE2185" s="182"/>
      <c r="AF2185" s="332"/>
      <c r="AG2185" s="182"/>
      <c r="AH2185" s="182"/>
      <c r="AI2185" s="182"/>
      <c r="AJ2185" s="640"/>
      <c r="AK2185" s="182"/>
      <c r="AL2185" s="496">
        <f>-0.03*Z2185</f>
        <v>-48</v>
      </c>
      <c r="AM2185" s="496">
        <f t="shared" si="715"/>
        <v>-1104</v>
      </c>
      <c r="AN2185" s="626"/>
      <c r="AO2185" s="182"/>
      <c r="AP2185" s="182" t="s">
        <v>827</v>
      </c>
      <c r="AQ2185" s="332" t="s">
        <v>115</v>
      </c>
      <c r="AR2185" s="298">
        <v>45462</v>
      </c>
      <c r="AS2185" s="189">
        <f>((0*7)+(-0.01*10)+(0.01*10)+(0*23))/50</f>
        <v>0</v>
      </c>
      <c r="AT2185" s="189">
        <f t="shared" si="721"/>
        <v>0.02</v>
      </c>
      <c r="AU2185" s="187">
        <f t="shared" si="722"/>
        <v>1600</v>
      </c>
      <c r="AV2185" s="190">
        <f t="shared" si="724"/>
        <v>32</v>
      </c>
      <c r="AW2185" s="191" t="s">
        <v>96</v>
      </c>
      <c r="AX2185" s="557" t="s">
        <v>6939</v>
      </c>
      <c r="AY2185" s="557" t="s">
        <v>6940</v>
      </c>
      <c r="AZ2185" s="557" t="s">
        <v>6941</v>
      </c>
      <c r="BA2185" s="551" t="s">
        <v>6942</v>
      </c>
      <c r="BB2185" s="551" t="s">
        <v>6943</v>
      </c>
      <c r="BC2185" s="551"/>
      <c r="BD2185" s="549"/>
      <c r="BE2185" s="550"/>
      <c r="BF2185" s="549"/>
      <c r="BG2185" s="391">
        <f>SUM($AV$1389:AV2185)</f>
        <v>4885.8290193478788</v>
      </c>
      <c r="BH2185" s="392">
        <f>SUM($AU$1389:AU2185)</f>
        <v>56548.423836163798</v>
      </c>
      <c r="BI2185" s="318">
        <f>SUMIFS($AU$1388:AU2186,$Q$1388:Q2186,"F")</f>
        <v>36347.078121878127</v>
      </c>
      <c r="BJ2185" s="318">
        <f>SUMIFS($AU$1388:AU2186,$Q$1388:Q2186,"S")</f>
        <v>23762.28571428571</v>
      </c>
      <c r="BK2185" s="343">
        <f>SUMIFS($AU$1388:AU2186,$P$1388:P2186,"W")</f>
        <v>35024.14383616417</v>
      </c>
      <c r="BL2185" s="343">
        <f>SUMIFS($AU$1388:AU2186,$P$1388:P2186,"R")</f>
        <v>19412.400000000162</v>
      </c>
      <c r="BM2185" s="343">
        <f>SUMIFS($AU$1388:AU2186,$AQ$1388:AQ2186,"M")</f>
        <v>12131.179999998967</v>
      </c>
      <c r="BN2185" s="343">
        <f>SUMIFS($AU$1388:AU2186,$AQ$1388:AQ2186,"H")</f>
        <v>14523.200000000877</v>
      </c>
      <c r="BO2185" s="343">
        <f>SUMIFS($AU$1388:AU2186,$AQ$1388:AQ2186,"D")</f>
        <v>13462.377472527351</v>
      </c>
      <c r="BP2185" s="343">
        <f>SUMIFS($AS$1388:AS2705,$AO$1388:AO2705,"W")</f>
        <v>0</v>
      </c>
      <c r="BQ2185" s="343">
        <f>SUMIFS($AU$1388:AU2186,$Q$1388:Q2186,"O")</f>
        <v>-5384.9400000000251</v>
      </c>
      <c r="BR2185" s="343">
        <f>SUMIFS($AU$1388:AU2186,$AA$1388:AA2186,"*")</f>
        <v>42921.522077921822</v>
      </c>
      <c r="BS2185" s="343">
        <f>SUMIFS($AU$1388:AU2186,$AB$1388:AB2186,"*")</f>
        <v>14347.859999999973</v>
      </c>
      <c r="BT2185" s="343">
        <f>SUMIFS($AU$1388:AU2186,$AC$1388:AC2186,"*")</f>
        <v>46507.078121878294</v>
      </c>
      <c r="BU2185" s="343">
        <f>SUMIFS($AU$1388:AU2186,$AA$1388:AA2186,"*",$AB$1388:AB2186,"*")</f>
        <v>8011.9999999997544</v>
      </c>
      <c r="BV2185" s="343">
        <f>SUMIFS($AU$1388:AU2186,$AA$1388:AA2186,"*",$AC$1388:AC2186,"*")</f>
        <v>33200.036363636536</v>
      </c>
      <c r="BW2185" s="343">
        <f>SUMIFS($AU$1388:AU2186,$AB$1388:AB2186,"*",$AC$1388:AC2186,"*")</f>
        <v>10736</v>
      </c>
      <c r="BX2185" s="343">
        <f>SUMIFS($AV$1388:AV2186,$Q$1388:Q2186,"F")</f>
        <v>477.65837744248347</v>
      </c>
      <c r="BY2185" s="343">
        <f>SUMIFS($AV$1388:AV2186,$Q$1388:Q2186,"S")</f>
        <v>804.61134190572739</v>
      </c>
      <c r="BZ2185" s="343">
        <f>SUMIFS($AV$1388:AV2186,$Q$1388:Q2186,"O")</f>
        <v>471.55929999966099</v>
      </c>
    </row>
    <row r="2186" spans="1:78" ht="15.75" customHeight="1">
      <c r="A2186" s="177" t="s">
        <v>6781</v>
      </c>
      <c r="B2186" s="200">
        <v>45457</v>
      </c>
      <c r="C2186" s="178" t="s">
        <v>6944</v>
      </c>
      <c r="D2186" s="178" t="s">
        <v>111</v>
      </c>
      <c r="E2186" s="227"/>
      <c r="F2186" s="180"/>
      <c r="G2186" s="481" t="s">
        <v>6929</v>
      </c>
      <c r="H2186" s="182"/>
      <c r="I2186" s="182"/>
      <c r="J2186" s="182"/>
      <c r="K2186" s="183"/>
      <c r="L2186" s="182"/>
      <c r="M2186" s="182">
        <v>2</v>
      </c>
      <c r="N2186" s="182"/>
      <c r="O2186" s="183" t="s">
        <v>95</v>
      </c>
      <c r="P2186" s="183" t="s">
        <v>96</v>
      </c>
      <c r="Q2186" s="183" t="s">
        <v>97</v>
      </c>
      <c r="R2186" s="183">
        <v>50</v>
      </c>
      <c r="S2186" s="183">
        <v>50</v>
      </c>
      <c r="T2186" s="183">
        <v>50</v>
      </c>
      <c r="U2186" s="183" t="s">
        <v>97</v>
      </c>
      <c r="V2186" s="183"/>
      <c r="W2186" s="183"/>
      <c r="X2186" s="183"/>
      <c r="Y2186" s="184">
        <f>IF(ISBLANK(O2186),"",(IF(O2186=UPPER("IB"),0.005,0.01)))</f>
        <v>0.01</v>
      </c>
      <c r="Z2186" s="185">
        <f>IF(ISBLANK(O2186),"",IF(O2186="IB",8.63*200,IF(O2186="IR",16*100,IF(O2186="YT",20*100,IF(O2186="YT-XT",24*200,IF(O2186="TED",80*100,IF(O2186="IR|YT",300*100)))))))</f>
        <v>1600</v>
      </c>
      <c r="AA2186" s="185" t="s">
        <v>6945</v>
      </c>
      <c r="AB2186" s="185"/>
      <c r="AC2186" s="185"/>
      <c r="AD2186" s="649">
        <v>-0.34</v>
      </c>
      <c r="AE2186" s="182"/>
      <c r="AF2186" s="332"/>
      <c r="AG2186" s="182"/>
      <c r="AH2186" s="182"/>
      <c r="AI2186" s="182"/>
      <c r="AJ2186" s="640"/>
      <c r="AK2186" s="182"/>
      <c r="AL2186" s="496">
        <f t="shared" si="723"/>
        <v>-32</v>
      </c>
      <c r="AM2186" s="496">
        <f t="shared" si="715"/>
        <v>0</v>
      </c>
      <c r="AN2186" s="626"/>
      <c r="AO2186" s="182"/>
      <c r="AP2186" s="182" t="s">
        <v>804</v>
      </c>
      <c r="AQ2186" s="332" t="s">
        <v>115</v>
      </c>
      <c r="AR2186" s="182" t="s">
        <v>6946</v>
      </c>
      <c r="AS2186" s="189">
        <v>-0.35</v>
      </c>
      <c r="AT2186" s="189">
        <f t="shared" si="721"/>
        <v>9.9999999999999534E-3</v>
      </c>
      <c r="AU2186" s="187">
        <f t="shared" si="722"/>
        <v>799.99999999999625</v>
      </c>
      <c r="AV2186" s="190">
        <f t="shared" si="724"/>
        <v>15.999999999999925</v>
      </c>
      <c r="AW2186" s="191" t="s">
        <v>96</v>
      </c>
      <c r="AX2186" s="551" t="s">
        <v>1043</v>
      </c>
      <c r="AY2186" s="551"/>
      <c r="AZ2186" s="551"/>
      <c r="BA2186" s="551"/>
      <c r="BB2186" s="551"/>
      <c r="BC2186" s="551"/>
      <c r="BD2186" s="549"/>
      <c r="BE2186" s="550"/>
      <c r="BF2186" s="549"/>
      <c r="BG2186" s="391">
        <f>SUM($AV$1389:AV2186)</f>
        <v>4901.8290193478788</v>
      </c>
      <c r="BH2186" s="392">
        <f>SUM($AU$1389:AU2186)</f>
        <v>57348.423836163791</v>
      </c>
      <c r="BI2186" s="318">
        <f>SUMIFS($AU$1388:AU2187,$Q$1388:Q2187,"F")</f>
        <v>36347.078121878127</v>
      </c>
      <c r="BJ2186" s="318">
        <f>SUMIFS($AU$1388:AU2187,$Q$1388:Q2187,"S")</f>
        <v>24722.28571428571</v>
      </c>
      <c r="BK2186" s="343">
        <f>SUMIFS($AU$1388:AU2187,$P$1388:P2187,"W")</f>
        <v>35024.14383616417</v>
      </c>
      <c r="BL2186" s="343">
        <f>SUMIFS($AU$1388:AU2187,$P$1388:P2187,"R")</f>
        <v>20372.400000000162</v>
      </c>
      <c r="BM2186" s="343">
        <f>SUMIFS($AU$1388:AU2187,$AQ$1388:AQ2187,"M")</f>
        <v>12131.179999998967</v>
      </c>
      <c r="BN2186" s="343">
        <f>SUMIFS($AU$1388:AU2187,$AQ$1388:AQ2187,"H")</f>
        <v>14523.200000000877</v>
      </c>
      <c r="BO2186" s="343">
        <f>SUMIFS($AU$1388:AU2187,$AQ$1388:AQ2187,"D")</f>
        <v>14422.377472527351</v>
      </c>
      <c r="BP2186" s="343">
        <f>SUMIFS($AS$1388:AS2706,$AO$1388:AO2706,"W")</f>
        <v>0</v>
      </c>
      <c r="BQ2186" s="343">
        <f>SUMIFS($AU$1388:AU2187,$Q$1388:Q2187,"O")</f>
        <v>-5384.9400000000251</v>
      </c>
      <c r="BR2186" s="343">
        <f>SUMIFS($AU$1388:AU2187,$AA$1388:AA2187,"*")</f>
        <v>43881.522077921822</v>
      </c>
      <c r="BS2186" s="343">
        <f>SUMIFS($AU$1388:AU2187,$AB$1388:AB2187,"*")</f>
        <v>14347.859999999973</v>
      </c>
      <c r="BT2186" s="343">
        <f>SUMIFS($AU$1388:AU2187,$AC$1388:AC2187,"*")</f>
        <v>47467.078121878294</v>
      </c>
      <c r="BU2186" s="343">
        <f>SUMIFS($AU$1388:AU2187,$AA$1388:AA2187,"*",$AB$1388:AB2187,"*")</f>
        <v>8011.9999999997544</v>
      </c>
      <c r="BV2186" s="343">
        <f>SUMIFS($AU$1388:AU2187,$AA$1388:AA2187,"*",$AC$1388:AC2187,"*")</f>
        <v>34160.036363636536</v>
      </c>
      <c r="BW2186" s="343">
        <f>SUMIFS($AU$1388:AU2187,$AB$1388:AB2187,"*",$AC$1388:AC2187,"*")</f>
        <v>10736</v>
      </c>
      <c r="BX2186" s="343">
        <f>SUMIFS($AV$1388:AV2187,$Q$1388:Q2187,"F")</f>
        <v>477.65837744248347</v>
      </c>
      <c r="BY2186" s="343">
        <f>SUMIFS($AV$1388:AV2187,$Q$1388:Q2187,"S")</f>
        <v>820.61134190572739</v>
      </c>
      <c r="BZ2186" s="343">
        <f>SUMIFS($AV$1388:AV2187,$Q$1388:Q2187,"O")</f>
        <v>471.55929999966099</v>
      </c>
    </row>
    <row r="2187" spans="1:78" ht="15.75" customHeight="1">
      <c r="A2187" s="177" t="s">
        <v>6781</v>
      </c>
      <c r="B2187" s="200">
        <v>45457</v>
      </c>
      <c r="C2187" s="178" t="s">
        <v>2931</v>
      </c>
      <c r="D2187" s="178" t="s">
        <v>111</v>
      </c>
      <c r="E2187" s="227"/>
      <c r="F2187" s="180"/>
      <c r="G2187" s="481" t="s">
        <v>6947</v>
      </c>
      <c r="H2187" s="182"/>
      <c r="I2187" s="182"/>
      <c r="J2187" s="182"/>
      <c r="K2187" s="183"/>
      <c r="L2187" s="182"/>
      <c r="M2187" s="182">
        <v>2</v>
      </c>
      <c r="N2187" s="182"/>
      <c r="O2187" s="183" t="s">
        <v>95</v>
      </c>
      <c r="P2187" s="183" t="s">
        <v>137</v>
      </c>
      <c r="Q2187" s="183" t="s">
        <v>97</v>
      </c>
      <c r="R2187" s="183">
        <v>60</v>
      </c>
      <c r="S2187" s="183">
        <v>0</v>
      </c>
      <c r="T2187" s="183">
        <v>100</v>
      </c>
      <c r="U2187" s="183" t="s">
        <v>22</v>
      </c>
      <c r="V2187" s="183"/>
      <c r="W2187" s="183"/>
      <c r="X2187" s="183"/>
      <c r="Y2187" s="184">
        <f>IF(ISBLANK(O2187),"",(IF(O2187=UPPER("IB"),0.005,0.01)))</f>
        <v>0.01</v>
      </c>
      <c r="Z2187" s="185">
        <f>IF(ISBLANK(O2187),"",IF(O2187="IB",8.63*200,IF(O2187="IR",16*100,IF(O2187="YT",20*100,IF(O2187="YT-XT",24*200,IF(O2187="TED",80*100,IF(O2187="IR|YT",300*100)))))))</f>
        <v>1600</v>
      </c>
      <c r="AA2187" s="185" t="s">
        <v>6091</v>
      </c>
      <c r="AB2187" s="185"/>
      <c r="AC2187" s="185" t="s">
        <v>6948</v>
      </c>
      <c r="AD2187" s="649">
        <v>-0.09</v>
      </c>
      <c r="AE2187" s="182"/>
      <c r="AF2187" s="332"/>
      <c r="AG2187" s="182"/>
      <c r="AH2187" s="182"/>
      <c r="AI2187" s="182"/>
      <c r="AJ2187" s="640"/>
      <c r="AK2187" s="182"/>
      <c r="AL2187" s="496">
        <f t="shared" si="719"/>
        <v>-32</v>
      </c>
      <c r="AM2187" s="496">
        <f t="shared" si="715"/>
        <v>-1920</v>
      </c>
      <c r="AN2187" s="626"/>
      <c r="AO2187" s="182"/>
      <c r="AP2187" s="182"/>
      <c r="AQ2187" s="332" t="s">
        <v>115</v>
      </c>
      <c r="AR2187" s="182" t="s">
        <v>6946</v>
      </c>
      <c r="AS2187" s="189">
        <v>-0.08</v>
      </c>
      <c r="AT2187" s="189">
        <f t="shared" si="721"/>
        <v>9.999999999999995E-3</v>
      </c>
      <c r="AU2187" s="187">
        <f t="shared" si="722"/>
        <v>959.99999999999955</v>
      </c>
      <c r="AV2187" s="190">
        <f t="shared" si="720"/>
        <v>15.999999999999993</v>
      </c>
      <c r="AW2187" s="191" t="s">
        <v>96</v>
      </c>
      <c r="AX2187" s="557" t="s">
        <v>6949</v>
      </c>
      <c r="AY2187" s="549" t="s">
        <v>6950</v>
      </c>
      <c r="AZ2187" s="551"/>
      <c r="BA2187" s="551"/>
      <c r="BB2187" s="551"/>
      <c r="BC2187" s="551"/>
      <c r="BD2187" s="549"/>
      <c r="BE2187" s="550"/>
      <c r="BF2187" s="549"/>
      <c r="BG2187" s="391">
        <f>SUM($AV$1389:AV2187)</f>
        <v>4917.8290193478788</v>
      </c>
      <c r="BH2187" s="392">
        <f>SUM($AU$1389:AU2187)</f>
        <v>58308.423836163791</v>
      </c>
      <c r="BI2187" s="318">
        <f>SUMIFS($AU$1388:AU2188,$Q$1388:Q2188,"F")</f>
        <v>36347.078121878127</v>
      </c>
      <c r="BJ2187" s="318">
        <f>SUMIFS($AU$1388:AU2188,$Q$1388:Q2188,"S")</f>
        <v>24722.28571428571</v>
      </c>
      <c r="BK2187" s="343">
        <f>SUMIFS($AU$1388:AU2188,$P$1388:P2188,"W")</f>
        <v>35024.14383616417</v>
      </c>
      <c r="BL2187" s="343">
        <f>SUMIFS($AU$1388:AU2188,$P$1388:P2188,"R")</f>
        <v>20372.400000000162</v>
      </c>
      <c r="BM2187" s="343">
        <f>SUMIFS($AU$1388:AU2188,$AQ$1388:AQ2188,"M")</f>
        <v>12131.179999998967</v>
      </c>
      <c r="BN2187" s="343">
        <f>SUMIFS($AU$1388:AU2188,$AQ$1388:AQ2188,"H")</f>
        <v>14523.200000000877</v>
      </c>
      <c r="BO2187" s="343">
        <f>SUMIFS($AU$1388:AU2188,$AQ$1388:AQ2188,"D")</f>
        <v>14422.377472527351</v>
      </c>
      <c r="BP2187" s="343">
        <f>SUMIFS($AS$1388:AS2707,$AO$1388:AO2707,"W")</f>
        <v>0</v>
      </c>
      <c r="BQ2187" s="343">
        <f>SUMIFS($AU$1388:AU2188,$Q$1388:Q2188,"O")</f>
        <v>-5384.9400000000251</v>
      </c>
      <c r="BR2187" s="343">
        <f>SUMIFS($AU$1388:AU2188,$AA$1388:AA2188,"*")</f>
        <v>43881.522077921822</v>
      </c>
      <c r="BS2187" s="343">
        <f>SUMIFS($AU$1388:AU2188,$AB$1388:AB2188,"*")</f>
        <v>14347.859999999973</v>
      </c>
      <c r="BT2187" s="343">
        <f>SUMIFS($AU$1388:AU2188,$AC$1388:AC2188,"*")</f>
        <v>47467.078121878294</v>
      </c>
      <c r="BU2187" s="343">
        <f>SUMIFS($AU$1388:AU2188,$AA$1388:AA2188,"*",$AB$1388:AB2188,"*")</f>
        <v>8011.9999999997544</v>
      </c>
      <c r="BV2187" s="343">
        <f>SUMIFS($AU$1388:AU2188,$AA$1388:AA2188,"*",$AC$1388:AC2188,"*")</f>
        <v>34160.036363636536</v>
      </c>
      <c r="BW2187" s="343">
        <f>SUMIFS($AU$1388:AU2188,$AB$1388:AB2188,"*",$AC$1388:AC2188,"*")</f>
        <v>10736</v>
      </c>
      <c r="BX2187" s="343">
        <f>SUMIFS($AV$1388:AV2188,$Q$1388:Q2188,"F")</f>
        <v>477.65837744248347</v>
      </c>
      <c r="BY2187" s="343">
        <f>SUMIFS($AV$1388:AV2188,$Q$1388:Q2188,"S")</f>
        <v>820.61134190572739</v>
      </c>
      <c r="BZ2187" s="343">
        <f>SUMIFS($AV$1388:AV2188,$Q$1388:Q2188,"O")</f>
        <v>471.55929999966099</v>
      </c>
    </row>
    <row r="2188" spans="1:78" ht="15.75" customHeight="1">
      <c r="A2188" s="177" t="s">
        <v>6781</v>
      </c>
      <c r="B2188" s="200">
        <v>45460</v>
      </c>
      <c r="C2188" s="178" t="s">
        <v>1304</v>
      </c>
      <c r="D2188" s="178" t="s">
        <v>132</v>
      </c>
      <c r="E2188" s="227"/>
      <c r="F2188" s="180"/>
      <c r="G2188" s="481" t="s">
        <v>4147</v>
      </c>
      <c r="H2188" s="182"/>
      <c r="I2188" s="182"/>
      <c r="J2188" s="182"/>
      <c r="K2188" s="183"/>
      <c r="L2188" s="182"/>
      <c r="M2188" s="182">
        <v>2</v>
      </c>
      <c r="N2188" s="182"/>
      <c r="O2188" s="183" t="s">
        <v>95</v>
      </c>
      <c r="P2188" s="183" t="s">
        <v>137</v>
      </c>
      <c r="Q2188" s="183" t="s">
        <v>97</v>
      </c>
      <c r="R2188" s="183">
        <v>60</v>
      </c>
      <c r="S2188" s="183">
        <v>0</v>
      </c>
      <c r="T2188" s="183">
        <v>100</v>
      </c>
      <c r="U2188" s="183" t="s">
        <v>97</v>
      </c>
      <c r="V2188" s="183"/>
      <c r="W2188" s="183"/>
      <c r="X2188" s="183"/>
      <c r="Y2188" s="184">
        <f>IF(ISBLANK(O2188),"",(IF(O2188=UPPER("IB"),0.005,0.01)))</f>
        <v>0.01</v>
      </c>
      <c r="Z2188" s="185">
        <f>IF(ISBLANK(O2188),"",IF(O2188="IB",8.63*200,IF(O2188="IR",16*100,IF(O2188="YT",20*100,IF(O2188="YT-XT",24*200,IF(O2188="TED",80*100,IF(O2188="IR|YT",300*100)))))))</f>
        <v>1600</v>
      </c>
      <c r="AA2188" s="185"/>
      <c r="AB2188" s="185"/>
      <c r="AC2188" s="185" t="s">
        <v>6951</v>
      </c>
      <c r="AD2188" s="649">
        <v>-0.08</v>
      </c>
      <c r="AE2188" s="182"/>
      <c r="AF2188" s="332"/>
      <c r="AG2188" s="182"/>
      <c r="AH2188" s="182"/>
      <c r="AI2188" s="182"/>
      <c r="AJ2188" s="640"/>
      <c r="AK2188" s="182"/>
      <c r="AL2188" s="496">
        <f>0*Z2188</f>
        <v>0</v>
      </c>
      <c r="AM2188" s="496">
        <f t="shared" si="715"/>
        <v>0</v>
      </c>
      <c r="AN2188" s="626"/>
      <c r="AO2188" s="182"/>
      <c r="AP2188" s="182" t="s">
        <v>1017</v>
      </c>
      <c r="AQ2188" s="332" t="s">
        <v>372</v>
      </c>
      <c r="AR2188" s="182" t="s">
        <v>6488</v>
      </c>
      <c r="AS2188" s="189">
        <v>-0.08</v>
      </c>
      <c r="AT2188" s="189">
        <f t="shared" si="721"/>
        <v>0</v>
      </c>
      <c r="AU2188" s="187">
        <f t="shared" si="722"/>
        <v>0</v>
      </c>
      <c r="AV2188" s="190">
        <f t="shared" si="716"/>
        <v>0</v>
      </c>
      <c r="AW2188" s="191" t="s">
        <v>115</v>
      </c>
      <c r="AX2188" s="551"/>
      <c r="AY2188" s="551"/>
      <c r="AZ2188" s="551"/>
      <c r="BA2188" s="551"/>
      <c r="BB2188" s="551"/>
      <c r="BC2188" s="551"/>
      <c r="BD2188" s="549"/>
      <c r="BE2188" s="550"/>
      <c r="BF2188" s="549"/>
      <c r="BG2188" s="391">
        <f>SUM($AV$1389:AV2188)</f>
        <v>4917.8290193478788</v>
      </c>
      <c r="BH2188" s="392">
        <f>SUM($AU$1389:AU2188)</f>
        <v>58308.423836163791</v>
      </c>
      <c r="BI2188" s="318">
        <f>SUMIFS($AU$1388:AU2221,$Q$1388:Q2221,"F")</f>
        <v>37211.078121878127</v>
      </c>
      <c r="BJ2188" s="318">
        <f>SUMIFS($AU$1388:AU2221,$Q$1388:Q2221,"S")</f>
        <v>25058.28571428571</v>
      </c>
      <c r="BK2188" s="343">
        <f>SUMIFS($AU$1388:AU2221,$P$1388:P2221,"W")</f>
        <v>34608.14383616417</v>
      </c>
      <c r="BL2188" s="343">
        <f>SUMIFS($AU$1388:AU2221,$P$1388:P2221,"R")</f>
        <v>22308.400000000325</v>
      </c>
      <c r="BM2188" s="343">
        <f>SUMIFS($AU$1388:AU2221,$AQ$1388:AQ2221,"M")</f>
        <v>12669.179999998996</v>
      </c>
      <c r="BN2188" s="343">
        <f>SUMIFS($AU$1388:AU2221,$AQ$1388:AQ2221,"H")</f>
        <v>14363.200000001041</v>
      </c>
      <c r="BO2188" s="343">
        <f>SUMIFS($AU$1388:AU2221,$AQ$1388:AQ2221,"D")</f>
        <v>15062.377472527351</v>
      </c>
      <c r="BP2188" s="343">
        <f>SUMIFS($AS$1388:AS2708,$AO$1388:AO2708,"W")</f>
        <v>0</v>
      </c>
      <c r="BQ2188" s="343">
        <f>SUMIFS($AU$1388:AU2221,$Q$1388:Q2221,"O")</f>
        <v>-5006.9399999998313</v>
      </c>
      <c r="BR2188" s="343">
        <f>SUMIFS($AU$1388:AU2221,$AA$1388:AA2221,"*")</f>
        <v>45123.522077922011</v>
      </c>
      <c r="BS2188" s="343">
        <f>SUMIFS($AU$1388:AU2221,$AB$1388:AB2221,"*")</f>
        <v>14251.859999999973</v>
      </c>
      <c r="BT2188" s="343">
        <f>SUMIFS($AU$1388:AU2221,$AC$1388:AC2221,"*")</f>
        <v>47387.078121878294</v>
      </c>
      <c r="BU2188" s="343">
        <f>SUMIFS($AU$1388:AU2221,$AA$1388:AA2221,"*",$AB$1388:AB2221,"*")</f>
        <v>7915.9999999997544</v>
      </c>
      <c r="BV2188" s="343">
        <f>SUMIFS($AU$1388:AU2221,$AA$1388:AA2221,"*",$AC$1388:AC2221,"*")</f>
        <v>33744.036363636536</v>
      </c>
      <c r="BW2188" s="343">
        <f>SUMIFS($AU$1388:AU2221,$AB$1388:AB2221,"*",$AC$1388:AC2221,"*")</f>
        <v>10640</v>
      </c>
      <c r="BX2188" s="343">
        <f>SUMIFS($AV$1388:AV2221,$Q$1388:Q2221,"F")</f>
        <v>488.85837744248346</v>
      </c>
      <c r="BY2188" s="343">
        <f>SUMIFS($AV$1388:AV2221,$Q$1388:Q2221,"S")</f>
        <v>820.61134190572739</v>
      </c>
      <c r="BZ2188" s="343">
        <f>SUMIFS($AV$1388:AV2221,$Q$1388:Q2221,"O")</f>
        <v>545.55929999969885</v>
      </c>
    </row>
    <row r="2189" spans="1:78" ht="15.75" customHeight="1">
      <c r="A2189" s="177" t="s">
        <v>6781</v>
      </c>
      <c r="B2189" s="200">
        <v>45460</v>
      </c>
      <c r="C2189" s="178" t="s">
        <v>3345</v>
      </c>
      <c r="D2189" s="178" t="s">
        <v>132</v>
      </c>
      <c r="E2189" s="227"/>
      <c r="F2189" s="180"/>
      <c r="G2189" s="181" t="s">
        <v>6899</v>
      </c>
      <c r="H2189" s="182"/>
      <c r="I2189" s="182"/>
      <c r="J2189" s="182"/>
      <c r="K2189" s="183"/>
      <c r="L2189" s="182"/>
      <c r="M2189" s="182"/>
      <c r="N2189" s="182"/>
      <c r="O2189" s="183"/>
      <c r="P2189" s="183"/>
      <c r="Q2189" s="183"/>
      <c r="R2189" s="183"/>
      <c r="S2189" s="183"/>
      <c r="T2189" s="183"/>
      <c r="U2189" s="183"/>
      <c r="V2189" s="183"/>
      <c r="W2189" s="183"/>
      <c r="X2189" s="183"/>
      <c r="Y2189" s="184"/>
      <c r="Z2189" s="185"/>
      <c r="AA2189" s="185"/>
      <c r="AB2189" s="185"/>
      <c r="AC2189" s="185"/>
      <c r="AD2189" s="649"/>
      <c r="AE2189" s="182"/>
      <c r="AF2189" s="332"/>
      <c r="AG2189" s="182"/>
      <c r="AH2189" s="182"/>
      <c r="AI2189" s="182"/>
      <c r="AJ2189" s="640"/>
      <c r="AK2189" s="182"/>
      <c r="AL2189" s="496">
        <f>0*Z2189</f>
        <v>0</v>
      </c>
      <c r="AM2189" s="496">
        <f t="shared" ref="AM2189:AM2198" si="725">AL2189*(R2189-S2189)</f>
        <v>0</v>
      </c>
      <c r="AN2189" s="626"/>
      <c r="AO2189" s="182"/>
      <c r="AP2189" s="182"/>
      <c r="AQ2189" s="332" t="str">
        <f>UPPER(RIGHT(Journal_Live[[#This Row],[DURATION ]]))</f>
        <v/>
      </c>
      <c r="AR2189" s="182"/>
      <c r="AS2189" s="189"/>
      <c r="AT2189" s="189">
        <f t="shared" si="721"/>
        <v>0</v>
      </c>
      <c r="AU2189" s="187">
        <f t="shared" si="722"/>
        <v>0</v>
      </c>
      <c r="AV2189" s="190">
        <f t="shared" ref="AV2189:AV2220" si="726">IF(ISBLANK(AS2189),,(AT2189*Z2189))</f>
        <v>0</v>
      </c>
      <c r="AW2189" s="191"/>
      <c r="AX2189" s="551"/>
      <c r="AY2189" s="551"/>
      <c r="AZ2189" s="551"/>
      <c r="BA2189" s="551"/>
      <c r="BB2189" s="551"/>
      <c r="BC2189" s="551"/>
      <c r="BD2189" s="549"/>
      <c r="BE2189" s="550"/>
      <c r="BF2189" s="549"/>
      <c r="BG2189" s="391">
        <f>SUM($AV$1389:AV2189)</f>
        <v>4917.8290193478788</v>
      </c>
      <c r="BH2189" s="392">
        <f>SUM($AU$1389:AU2189)</f>
        <v>58308.423836163791</v>
      </c>
      <c r="BI2189" s="318">
        <f>SUMIFS($AU$1388:AU2190,$Q$1388:Q2190,"F")</f>
        <v>36347.078121878127</v>
      </c>
      <c r="BJ2189" s="318">
        <f>SUMIFS($AU$1388:AU2190,$Q$1388:Q2190,"S")</f>
        <v>24722.28571428571</v>
      </c>
      <c r="BK2189" s="343">
        <f>SUMIFS($AU$1388:AU2190,$P$1388:P2190,"W")</f>
        <v>35024.14383616417</v>
      </c>
      <c r="BL2189" s="343">
        <f>SUMIFS($AU$1388:AU2190,$P$1388:P2190,"R")</f>
        <v>20692.400000000325</v>
      </c>
      <c r="BM2189" s="343">
        <f>SUMIFS($AU$1388:AU2190,$AQ$1388:AQ2190,"M")</f>
        <v>12131.179999998967</v>
      </c>
      <c r="BN2189" s="343">
        <f>SUMIFS($AU$1388:AU2190,$AQ$1388:AQ2190,"H")</f>
        <v>14843.200000001041</v>
      </c>
      <c r="BO2189" s="343">
        <f>SUMIFS($AU$1388:AU2190,$AQ$1388:AQ2190,"D")</f>
        <v>14422.377472527351</v>
      </c>
      <c r="BP2189" s="343">
        <f>SUMIFS($AS$1388:AS2706,$AO$1388:AO2706,"W")</f>
        <v>0</v>
      </c>
      <c r="BQ2189" s="343">
        <f>SUMIFS($AU$1388:AU2190,$Q$1388:Q2190,"O")</f>
        <v>-5064.9399999998614</v>
      </c>
      <c r="BR2189" s="343">
        <f>SUMIFS($AU$1388:AU2190,$AA$1388:AA2190,"*")</f>
        <v>44201.522077921982</v>
      </c>
      <c r="BS2189" s="343">
        <f>SUMIFS($AU$1388:AU2190,$AB$1388:AB2190,"*")</f>
        <v>14347.859999999973</v>
      </c>
      <c r="BT2189" s="343">
        <f>SUMIFS($AU$1388:AU2190,$AC$1388:AC2190,"*")</f>
        <v>47467.078121878294</v>
      </c>
      <c r="BU2189" s="343">
        <f>SUMIFS($AU$1388:AU2190,$AA$1388:AA2190,"*",$AB$1388:AB2190,"*")</f>
        <v>8011.9999999997544</v>
      </c>
      <c r="BV2189" s="343">
        <f>SUMIFS($AU$1388:AU2190,$AA$1388:AA2190,"*",$AC$1388:AC2190,"*")</f>
        <v>34160.036363636536</v>
      </c>
      <c r="BW2189" s="343">
        <f>SUMIFS($AU$1388:AU2190,$AB$1388:AB2190,"*",$AC$1388:AC2190,"*")</f>
        <v>10736</v>
      </c>
      <c r="BX2189" s="343">
        <f>SUMIFS($AV$1388:AV2190,$Q$1388:Q2190,"F")</f>
        <v>477.65837744248347</v>
      </c>
      <c r="BY2189" s="343">
        <f>SUMIFS($AV$1388:AV2190,$Q$1388:Q2190,"S")</f>
        <v>820.61134190572739</v>
      </c>
      <c r="BZ2189" s="343">
        <f>SUMIFS($AV$1388:AV2190,$Q$1388:Q2190,"O")</f>
        <v>487.55929999966918</v>
      </c>
    </row>
    <row r="2190" spans="1:78" ht="15.75" customHeight="1">
      <c r="A2190" s="177" t="s">
        <v>6781</v>
      </c>
      <c r="B2190" s="200">
        <v>45460</v>
      </c>
      <c r="C2190" s="178" t="s">
        <v>6952</v>
      </c>
      <c r="D2190" s="178" t="s">
        <v>132</v>
      </c>
      <c r="E2190" s="227"/>
      <c r="F2190" s="180"/>
      <c r="G2190" s="481" t="s">
        <v>6466</v>
      </c>
      <c r="H2190" s="182"/>
      <c r="I2190" s="182"/>
      <c r="J2190" s="182"/>
      <c r="K2190" s="183"/>
      <c r="L2190" s="182"/>
      <c r="M2190" s="182">
        <v>2</v>
      </c>
      <c r="N2190" s="182"/>
      <c r="O2190" s="183" t="s">
        <v>95</v>
      </c>
      <c r="P2190" s="183" t="s">
        <v>137</v>
      </c>
      <c r="Q2190" s="183" t="s">
        <v>684</v>
      </c>
      <c r="R2190" s="183">
        <v>20</v>
      </c>
      <c r="S2190" s="183">
        <v>0</v>
      </c>
      <c r="T2190" s="183">
        <v>20</v>
      </c>
      <c r="U2190" s="183" t="s">
        <v>97</v>
      </c>
      <c r="V2190" s="183"/>
      <c r="W2190" s="183"/>
      <c r="X2190" s="183"/>
      <c r="Y2190" s="184">
        <f>IF(ISBLANK(O2190),"",(IF(O2190=UPPER("IB"),0.005,0.01)))</f>
        <v>0.01</v>
      </c>
      <c r="Z2190" s="185">
        <f>IF(ISBLANK(O2190),"",IF(O2190="IB",8.63*200,IF(O2190="IR",16*100,IF(O2190="YT",20*100,IF(O2190="YT-XT",24*200,IF(O2190="TED",80*100,IF(O2190="IR|YT",300*100)))))))</f>
        <v>1600</v>
      </c>
      <c r="AA2190" s="185" t="s">
        <v>5245</v>
      </c>
      <c r="AB2190" s="185"/>
      <c r="AC2190" s="185"/>
      <c r="AD2190" s="649">
        <v>96.23</v>
      </c>
      <c r="AE2190" s="182"/>
      <c r="AF2190" s="332"/>
      <c r="AG2190" s="182"/>
      <c r="AH2190" s="182"/>
      <c r="AI2190" s="182"/>
      <c r="AJ2190" s="640"/>
      <c r="AK2190" s="182"/>
      <c r="AL2190" s="496">
        <f t="shared" ref="AL2190:AL2220" si="727">-0.02*Z2190</f>
        <v>-32</v>
      </c>
      <c r="AM2190" s="496">
        <f t="shared" si="725"/>
        <v>-640</v>
      </c>
      <c r="AN2190" s="626"/>
      <c r="AO2190" s="182"/>
      <c r="AP2190" s="182" t="s">
        <v>1897</v>
      </c>
      <c r="AQ2190" s="332" t="s">
        <v>372</v>
      </c>
      <c r="AR2190" s="182" t="s">
        <v>2650</v>
      </c>
      <c r="AS2190" s="189">
        <v>96.22</v>
      </c>
      <c r="AT2190" s="189">
        <f t="shared" si="721"/>
        <v>1.0000000000005116E-2</v>
      </c>
      <c r="AU2190" s="187">
        <f t="shared" si="722"/>
        <v>320.00000000016371</v>
      </c>
      <c r="AV2190" s="190">
        <f t="shared" si="726"/>
        <v>16.000000000008185</v>
      </c>
      <c r="AW2190" s="191" t="s">
        <v>96</v>
      </c>
      <c r="AX2190" s="551"/>
      <c r="AY2190" s="551"/>
      <c r="AZ2190" s="551"/>
      <c r="BA2190" s="551"/>
      <c r="BB2190" s="551" t="s">
        <v>6953</v>
      </c>
      <c r="BC2190" s="551"/>
      <c r="BD2190" s="549"/>
      <c r="BE2190" s="550"/>
      <c r="BF2190" s="549"/>
      <c r="BG2190" s="391">
        <f>SUM($AV$1389:AV2190)</f>
        <v>4933.829019347887</v>
      </c>
      <c r="BH2190" s="392">
        <f>SUM($AU$1389:AU2190)</f>
        <v>58628.423836163958</v>
      </c>
      <c r="BI2190" s="318">
        <f>SUMIFS($AU$1388:AU2191,$Q$1388:Q2191,"F")</f>
        <v>36347.078121878127</v>
      </c>
      <c r="BJ2190" s="318">
        <f>SUMIFS($AU$1388:AU2191,$Q$1388:Q2191,"S")</f>
        <v>24722.28571428571</v>
      </c>
      <c r="BK2190" s="343">
        <f>SUMIFS($AU$1388:AU2191,$P$1388:P2191,"W")</f>
        <v>35024.14383616417</v>
      </c>
      <c r="BL2190" s="343">
        <f>SUMIFS($AU$1388:AU2191,$P$1388:P2191,"R")</f>
        <v>20692.400000000325</v>
      </c>
      <c r="BM2190" s="343">
        <f>SUMIFS($AU$1388:AU2191,$AQ$1388:AQ2191,"M")</f>
        <v>12131.179999998967</v>
      </c>
      <c r="BN2190" s="343">
        <f>SUMIFS($AU$1388:AU2191,$AQ$1388:AQ2191,"H")</f>
        <v>14843.200000001041</v>
      </c>
      <c r="BO2190" s="343">
        <f>SUMIFS($AU$1388:AU2191,$AQ$1388:AQ2191,"D")</f>
        <v>14422.377472527351</v>
      </c>
      <c r="BP2190" s="343">
        <f>SUMIFS($AS$1388:AS2707,$AO$1388:AO2707,"W")</f>
        <v>0</v>
      </c>
      <c r="BQ2190" s="343">
        <f>SUMIFS($AU$1388:AU2191,$Q$1388:Q2191,"O")</f>
        <v>-5064.9399999998614</v>
      </c>
      <c r="BR2190" s="343">
        <f>SUMIFS($AU$1388:AU2191,$AA$1388:AA2191,"*")</f>
        <v>44201.522077921982</v>
      </c>
      <c r="BS2190" s="343">
        <f>SUMIFS($AU$1388:AU2191,$AB$1388:AB2191,"*")</f>
        <v>14347.859999999973</v>
      </c>
      <c r="BT2190" s="343">
        <f>SUMIFS($AU$1388:AU2191,$AC$1388:AC2191,"*")</f>
        <v>47467.078121878294</v>
      </c>
      <c r="BU2190" s="343">
        <f>SUMIFS($AU$1388:AU2191,$AA$1388:AA2191,"*",$AB$1388:AB2191,"*")</f>
        <v>8011.9999999997544</v>
      </c>
      <c r="BV2190" s="343">
        <f>SUMIFS($AU$1388:AU2191,$AA$1388:AA2191,"*",$AC$1388:AC2191,"*")</f>
        <v>34160.036363636536</v>
      </c>
      <c r="BW2190" s="343">
        <f>SUMIFS($AU$1388:AU2191,$AB$1388:AB2191,"*",$AC$1388:AC2191,"*")</f>
        <v>10736</v>
      </c>
      <c r="BX2190" s="343">
        <f>SUMIFS($AV$1388:AV2191,$Q$1388:Q2191,"F")</f>
        <v>477.65837744248347</v>
      </c>
      <c r="BY2190" s="343">
        <f>SUMIFS($AV$1388:AV2191,$Q$1388:Q2191,"S")</f>
        <v>820.61134190572739</v>
      </c>
      <c r="BZ2190" s="343">
        <f>SUMIFS($AV$1388:AV2191,$Q$1388:Q2191,"O")</f>
        <v>487.55929999966918</v>
      </c>
    </row>
    <row r="2191" spans="1:78" ht="15.75" customHeight="1">
      <c r="A2191" s="177" t="s">
        <v>6781</v>
      </c>
      <c r="B2191" s="200">
        <v>45460</v>
      </c>
      <c r="C2191" s="178" t="s">
        <v>5899</v>
      </c>
      <c r="D2191" s="178" t="s">
        <v>132</v>
      </c>
      <c r="E2191" s="227"/>
      <c r="F2191" s="180"/>
      <c r="G2191" s="181" t="s">
        <v>5970</v>
      </c>
      <c r="H2191" s="182"/>
      <c r="I2191" s="182"/>
      <c r="J2191" s="182"/>
      <c r="K2191" s="183"/>
      <c r="L2191" s="182"/>
      <c r="M2191" s="182"/>
      <c r="N2191" s="182"/>
      <c r="O2191" s="183"/>
      <c r="P2191" s="183"/>
      <c r="Q2191" s="183"/>
      <c r="R2191" s="183"/>
      <c r="S2191" s="183"/>
      <c r="T2191" s="183"/>
      <c r="U2191" s="183"/>
      <c r="V2191" s="183"/>
      <c r="W2191" s="183"/>
      <c r="X2191" s="183"/>
      <c r="Y2191" s="184"/>
      <c r="Z2191" s="185"/>
      <c r="AA2191" s="185"/>
      <c r="AB2191" s="185"/>
      <c r="AC2191" s="185"/>
      <c r="AD2191" s="649"/>
      <c r="AE2191" s="182"/>
      <c r="AF2191" s="332"/>
      <c r="AG2191" s="182"/>
      <c r="AH2191" s="182"/>
      <c r="AI2191" s="182"/>
      <c r="AJ2191" s="640"/>
      <c r="AK2191" s="182"/>
      <c r="AL2191" s="496">
        <f t="shared" si="727"/>
        <v>0</v>
      </c>
      <c r="AM2191" s="496">
        <f t="shared" si="725"/>
        <v>0</v>
      </c>
      <c r="AN2191" s="626"/>
      <c r="AO2191" s="182"/>
      <c r="AP2191" s="182"/>
      <c r="AQ2191" s="332" t="str">
        <f>UPPER(RIGHT(Journal_Live[[#This Row],[DURATION ]]))</f>
        <v/>
      </c>
      <c r="AR2191" s="182"/>
      <c r="AS2191" s="189"/>
      <c r="AT2191" s="189">
        <f t="shared" si="721"/>
        <v>0</v>
      </c>
      <c r="AU2191" s="187">
        <f t="shared" si="722"/>
        <v>0</v>
      </c>
      <c r="AV2191" s="190">
        <f t="shared" si="726"/>
        <v>0</v>
      </c>
      <c r="AW2191" s="191"/>
      <c r="AX2191" s="551"/>
      <c r="AY2191" s="551"/>
      <c r="AZ2191" s="551"/>
      <c r="BA2191" s="551"/>
      <c r="BB2191" s="551"/>
      <c r="BC2191" s="551"/>
      <c r="BD2191" s="549"/>
      <c r="BE2191" s="550"/>
      <c r="BF2191" s="549"/>
      <c r="BG2191" s="391">
        <f>SUM($AV$1389:AV2191)</f>
        <v>4933.829019347887</v>
      </c>
      <c r="BH2191" s="392">
        <f>SUM($AU$1389:AU2191)</f>
        <v>58628.423836163958</v>
      </c>
      <c r="BI2191" s="318">
        <f>SUMIFS($AU$1388:AU2221,$Q$1388:Q2221,"F")</f>
        <v>37211.078121878127</v>
      </c>
      <c r="BJ2191" s="318">
        <f>SUMIFS($AU$1388:AU2221,$Q$1388:Q2221,"S")</f>
        <v>25058.28571428571</v>
      </c>
      <c r="BK2191" s="343">
        <f>SUMIFS($AU$1388:AU2221,$P$1388:P2221,"W")</f>
        <v>34608.14383616417</v>
      </c>
      <c r="BL2191" s="343">
        <f>SUMIFS($AU$1388:AU2221,$P$1388:P2221,"R")</f>
        <v>22308.400000000325</v>
      </c>
      <c r="BM2191" s="343">
        <f>SUMIFS($AU$1388:AU2221,$AQ$1388:AQ2221,"M")</f>
        <v>12669.179999998996</v>
      </c>
      <c r="BN2191" s="343">
        <f>SUMIFS($AU$1388:AU2221,$AQ$1388:AQ2221,"H")</f>
        <v>14363.200000001041</v>
      </c>
      <c r="BO2191" s="343">
        <f>SUMIFS($AU$1388:AU2221,$AQ$1388:AQ2221,"D")</f>
        <v>15062.377472527351</v>
      </c>
      <c r="BP2191" s="343">
        <f>SUMIFS($AS$1388:AS2708,$AO$1388:AO2708,"W")</f>
        <v>0</v>
      </c>
      <c r="BQ2191" s="343">
        <f>SUMIFS($AU$1388:AU2221,$Q$1388:Q2221,"O")</f>
        <v>-5006.9399999998313</v>
      </c>
      <c r="BR2191" s="343">
        <f>SUMIFS($AU$1388:AU2221,$AA$1388:AA2221,"*")</f>
        <v>45123.522077922011</v>
      </c>
      <c r="BS2191" s="343">
        <f>SUMIFS($AU$1388:AU2221,$AB$1388:AB2221,"*")</f>
        <v>14251.859999999973</v>
      </c>
      <c r="BT2191" s="343">
        <f>SUMIFS($AU$1388:AU2221,$AC$1388:AC2221,"*")</f>
        <v>47387.078121878294</v>
      </c>
      <c r="BU2191" s="343">
        <f>SUMIFS($AU$1388:AU2221,$AA$1388:AA2221,"*",$AB$1388:AB2221,"*")</f>
        <v>7915.9999999997544</v>
      </c>
      <c r="BV2191" s="343">
        <f>SUMIFS($AU$1388:AU2221,$AA$1388:AA2221,"*",$AC$1388:AC2221,"*")</f>
        <v>33744.036363636536</v>
      </c>
      <c r="BW2191" s="343">
        <f>SUMIFS($AU$1388:AU2221,$AB$1388:AB2221,"*",$AC$1388:AC2221,"*")</f>
        <v>10640</v>
      </c>
      <c r="BX2191" s="343">
        <f>SUMIFS($AV$1388:AV2221,$Q$1388:Q2221,"F")</f>
        <v>488.85837744248346</v>
      </c>
      <c r="BY2191" s="343">
        <f>SUMIFS($AV$1388:AV2221,$Q$1388:Q2221,"S")</f>
        <v>820.61134190572739</v>
      </c>
      <c r="BZ2191" s="343">
        <f>SUMIFS($AV$1388:AV2221,$Q$1388:Q2221,"O")</f>
        <v>545.55929999969885</v>
      </c>
    </row>
    <row r="2192" spans="1:78" ht="15.75" customHeight="1">
      <c r="A2192" s="177" t="s">
        <v>6781</v>
      </c>
      <c r="B2192" s="200">
        <v>45460</v>
      </c>
      <c r="C2192" s="178" t="s">
        <v>2654</v>
      </c>
      <c r="D2192" s="178" t="s">
        <v>132</v>
      </c>
      <c r="E2192" s="227"/>
      <c r="F2192" s="180"/>
      <c r="G2192" s="181"/>
      <c r="H2192" s="182"/>
      <c r="I2192" s="182"/>
      <c r="J2192" s="182"/>
      <c r="K2192" s="183"/>
      <c r="L2192" s="182"/>
      <c r="M2192" s="182"/>
      <c r="N2192" s="182"/>
      <c r="O2192" s="183"/>
      <c r="P2192" s="183"/>
      <c r="Q2192" s="183"/>
      <c r="R2192" s="183"/>
      <c r="S2192" s="183"/>
      <c r="T2192" s="183"/>
      <c r="U2192" s="183"/>
      <c r="V2192" s="183"/>
      <c r="W2192" s="183"/>
      <c r="X2192" s="183"/>
      <c r="Y2192" s="184"/>
      <c r="Z2192" s="185"/>
      <c r="AA2192" s="185"/>
      <c r="AB2192" s="185"/>
      <c r="AC2192" s="185"/>
      <c r="AD2192" s="649"/>
      <c r="AE2192" s="182"/>
      <c r="AF2192" s="332"/>
      <c r="AG2192" s="182"/>
      <c r="AH2192" s="182"/>
      <c r="AI2192" s="182"/>
      <c r="AJ2192" s="640"/>
      <c r="AK2192" s="182"/>
      <c r="AL2192" s="496">
        <f t="shared" si="727"/>
        <v>0</v>
      </c>
      <c r="AM2192" s="496">
        <f t="shared" si="725"/>
        <v>0</v>
      </c>
      <c r="AN2192" s="626"/>
      <c r="AO2192" s="182"/>
      <c r="AP2192" s="182"/>
      <c r="AQ2192" s="332" t="str">
        <f>UPPER(RIGHT(Journal_Live[[#This Row],[DURATION ]]))</f>
        <v/>
      </c>
      <c r="AR2192" s="182"/>
      <c r="AS2192" s="189"/>
      <c r="AT2192" s="189">
        <f t="shared" si="721"/>
        <v>0</v>
      </c>
      <c r="AU2192" s="187">
        <f t="shared" si="722"/>
        <v>0</v>
      </c>
      <c r="AV2192" s="190">
        <f t="shared" si="726"/>
        <v>0</v>
      </c>
      <c r="AW2192" s="191"/>
      <c r="AX2192" s="549" t="s">
        <v>6954</v>
      </c>
      <c r="AY2192" s="549" t="s">
        <v>6955</v>
      </c>
      <c r="AZ2192" s="551"/>
      <c r="BA2192" s="551"/>
      <c r="BB2192" s="551"/>
      <c r="BC2192" s="551"/>
      <c r="BD2192" s="549"/>
      <c r="BE2192" s="550"/>
      <c r="BF2192" s="549"/>
      <c r="BG2192" s="391">
        <f>SUM($AV$1389:AV2192)</f>
        <v>4933.829019347887</v>
      </c>
      <c r="BH2192" s="392">
        <f>SUM($AU$1389:AU2192)</f>
        <v>58628.423836163958</v>
      </c>
      <c r="BI2192" s="318">
        <f>SUMIFS($AU$1388:AU2194,$Q$1388:Q2194,"F")</f>
        <v>36347.078121878127</v>
      </c>
      <c r="BJ2192" s="318">
        <f>SUMIFS($AU$1388:AU2194,$Q$1388:Q2194,"S")</f>
        <v>24722.28571428571</v>
      </c>
      <c r="BK2192" s="343">
        <f>SUMIFS($AU$1388:AU2194,$P$1388:P2194,"W")</f>
        <v>35024.14383616417</v>
      </c>
      <c r="BL2192" s="343">
        <f>SUMIFS($AU$1388:AU2194,$P$1388:P2194,"R")</f>
        <v>20692.400000000325</v>
      </c>
      <c r="BM2192" s="343">
        <f>SUMIFS($AU$1388:AU2194,$AQ$1388:AQ2194,"M")</f>
        <v>12131.179999998967</v>
      </c>
      <c r="BN2192" s="343">
        <f>SUMIFS($AU$1388:AU2194,$AQ$1388:AQ2194,"H")</f>
        <v>14843.200000001041</v>
      </c>
      <c r="BO2192" s="343">
        <f>SUMIFS($AU$1388:AU2194,$AQ$1388:AQ2194,"D")</f>
        <v>14422.377472527351</v>
      </c>
      <c r="BP2192" s="343">
        <f>SUMIFS($AS$1388:AS2704,$AO$1388:AO2704,"W")</f>
        <v>0</v>
      </c>
      <c r="BQ2192" s="343">
        <f>SUMIFS($AU$1388:AU2194,$Q$1388:Q2194,"O")</f>
        <v>-5064.9399999998614</v>
      </c>
      <c r="BR2192" s="343">
        <f>SUMIFS($AU$1388:AU2194,$AA$1388:AA2194,"*")</f>
        <v>44201.522077921982</v>
      </c>
      <c r="BS2192" s="343">
        <f>SUMIFS($AU$1388:AU2194,$AB$1388:AB2194,"*")</f>
        <v>14347.859999999973</v>
      </c>
      <c r="BT2192" s="343">
        <f>SUMIFS($AU$1388:AU2194,$AC$1388:AC2194,"*")</f>
        <v>47467.078121878294</v>
      </c>
      <c r="BU2192" s="343">
        <f>SUMIFS($AU$1388:AU2194,$AA$1388:AA2194,"*",$AB$1388:AB2194,"*")</f>
        <v>8011.9999999997544</v>
      </c>
      <c r="BV2192" s="343">
        <f>SUMIFS($AU$1388:AU2194,$AA$1388:AA2194,"*",$AC$1388:AC2194,"*")</f>
        <v>34160.036363636536</v>
      </c>
      <c r="BW2192" s="343">
        <f>SUMIFS($AU$1388:AU2194,$AB$1388:AB2194,"*",$AC$1388:AC2194,"*")</f>
        <v>10736</v>
      </c>
      <c r="BX2192" s="343">
        <f>SUMIFS($AV$1388:AV2194,$Q$1388:Q2194,"F")</f>
        <v>477.65837744248347</v>
      </c>
      <c r="BY2192" s="343">
        <f>SUMIFS($AV$1388:AV2194,$Q$1388:Q2194,"S")</f>
        <v>820.61134190572739</v>
      </c>
      <c r="BZ2192" s="343">
        <f>SUMIFS($AV$1388:AV2194,$Q$1388:Q2194,"O")</f>
        <v>487.55929999966918</v>
      </c>
    </row>
    <row r="2193" spans="1:78" ht="15.75" customHeight="1">
      <c r="A2193" s="177" t="s">
        <v>6781</v>
      </c>
      <c r="B2193" s="200">
        <v>45460</v>
      </c>
      <c r="C2193" s="178" t="s">
        <v>6956</v>
      </c>
      <c r="D2193" s="178" t="s">
        <v>132</v>
      </c>
      <c r="E2193" s="227"/>
      <c r="F2193" s="180"/>
      <c r="G2193" s="481" t="s">
        <v>6399</v>
      </c>
      <c r="H2193" s="182"/>
      <c r="I2193" s="182"/>
      <c r="J2193" s="182"/>
      <c r="K2193" s="183"/>
      <c r="L2193" s="182">
        <v>1</v>
      </c>
      <c r="M2193" s="182"/>
      <c r="N2193" s="182"/>
      <c r="O2193" s="183" t="s">
        <v>95</v>
      </c>
      <c r="P2193" s="183" t="s">
        <v>137</v>
      </c>
      <c r="Q2193" s="183" t="s">
        <v>684</v>
      </c>
      <c r="R2193" s="183">
        <v>20</v>
      </c>
      <c r="S2193" s="183">
        <v>0</v>
      </c>
      <c r="T2193" s="183">
        <v>20</v>
      </c>
      <c r="U2193" s="183" t="s">
        <v>22</v>
      </c>
      <c r="V2193" s="183"/>
      <c r="W2193" s="183"/>
      <c r="X2193" s="183"/>
      <c r="Y2193" s="184">
        <f>IF(ISBLANK(O2193),"",(IF(O2193=UPPER("IB"),0.005,0.01)))</f>
        <v>0.01</v>
      </c>
      <c r="Z2193" s="185">
        <f>IF(ISBLANK(O2193),"",IF(O2193="IB",8.63*200,IF(O2193="IR",16*100,IF(O2193="YT",20*100,IF(O2193="YT-XT",24*200,IF(O2193="TED",80*100,IF(O2193="IR|YT",300*100)))))))</f>
        <v>1600</v>
      </c>
      <c r="AA2193" s="185" t="s">
        <v>6957</v>
      </c>
      <c r="AB2193" s="185"/>
      <c r="AC2193" s="185"/>
      <c r="AD2193" s="649">
        <v>96.07</v>
      </c>
      <c r="AE2193" s="182"/>
      <c r="AF2193" s="332"/>
      <c r="AG2193" s="182"/>
      <c r="AH2193" s="182"/>
      <c r="AI2193" s="182"/>
      <c r="AJ2193" s="640"/>
      <c r="AK2193" s="182"/>
      <c r="AL2193" s="496">
        <f t="shared" si="727"/>
        <v>-32</v>
      </c>
      <c r="AM2193" s="496">
        <f t="shared" si="725"/>
        <v>-640</v>
      </c>
      <c r="AN2193" s="626"/>
      <c r="AO2193" s="182"/>
      <c r="AP2193" s="182" t="s">
        <v>967</v>
      </c>
      <c r="AQ2193" s="332" t="s">
        <v>372</v>
      </c>
      <c r="AR2193" s="182" t="s">
        <v>6958</v>
      </c>
      <c r="AS2193" s="189">
        <v>96.07</v>
      </c>
      <c r="AT2193" s="189">
        <f t="shared" si="721"/>
        <v>0</v>
      </c>
      <c r="AU2193" s="187">
        <f t="shared" si="722"/>
        <v>0</v>
      </c>
      <c r="AV2193" s="190">
        <f t="shared" si="726"/>
        <v>0</v>
      </c>
      <c r="AW2193" s="191" t="s">
        <v>115</v>
      </c>
      <c r="AX2193" s="549" t="s">
        <v>6959</v>
      </c>
      <c r="AY2193" s="549" t="s">
        <v>6960</v>
      </c>
      <c r="AZ2193" s="551"/>
      <c r="BA2193" s="551"/>
      <c r="BB2193" s="551"/>
      <c r="BC2193" s="551"/>
      <c r="BD2193" s="549"/>
      <c r="BE2193" s="550"/>
      <c r="BF2193" s="549"/>
      <c r="BG2193" s="391">
        <f>SUM($AV$1389:AV2193)</f>
        <v>4933.829019347887</v>
      </c>
      <c r="BH2193" s="392">
        <f>SUM($AU$1389:AU2193)</f>
        <v>58628.423836163958</v>
      </c>
      <c r="BI2193" s="318">
        <f>SUMIFS($AU$1388:AU2195,$Q$1388:Q2195,"F")</f>
        <v>36347.078121878127</v>
      </c>
      <c r="BJ2193" s="318">
        <f>SUMIFS($AU$1388:AU2195,$Q$1388:Q2195,"S")</f>
        <v>24722.28571428571</v>
      </c>
      <c r="BK2193" s="343">
        <f>SUMIFS($AU$1388:AU2195,$P$1388:P2195,"W")</f>
        <v>35024.14383616417</v>
      </c>
      <c r="BL2193" s="343">
        <f>SUMIFS($AU$1388:AU2195,$P$1388:P2195,"R")</f>
        <v>20692.400000000325</v>
      </c>
      <c r="BM2193" s="343">
        <f>SUMIFS($AU$1388:AU2195,$AQ$1388:AQ2195,"M")</f>
        <v>12131.179999998967</v>
      </c>
      <c r="BN2193" s="343">
        <f>SUMIFS($AU$1388:AU2195,$AQ$1388:AQ2195,"H")</f>
        <v>14843.200000001041</v>
      </c>
      <c r="BO2193" s="343">
        <f>SUMIFS($AU$1388:AU2195,$AQ$1388:AQ2195,"D")</f>
        <v>14422.377472527351</v>
      </c>
      <c r="BP2193" s="343">
        <f>SUMIFS($AS$1388:AS2705,$AO$1388:AO2705,"W")</f>
        <v>0</v>
      </c>
      <c r="BQ2193" s="343">
        <f>SUMIFS($AU$1388:AU2195,$Q$1388:Q2195,"O")</f>
        <v>-5064.9399999998614</v>
      </c>
      <c r="BR2193" s="343">
        <f>SUMIFS($AU$1388:AU2195,$AA$1388:AA2195,"*")</f>
        <v>44201.522077921982</v>
      </c>
      <c r="BS2193" s="343">
        <f>SUMIFS($AU$1388:AU2195,$AB$1388:AB2195,"*")</f>
        <v>14347.859999999973</v>
      </c>
      <c r="BT2193" s="343">
        <f>SUMIFS($AU$1388:AU2195,$AC$1388:AC2195,"*")</f>
        <v>47467.078121878294</v>
      </c>
      <c r="BU2193" s="343">
        <f>SUMIFS($AU$1388:AU2195,$AA$1388:AA2195,"*",$AB$1388:AB2195,"*")</f>
        <v>8011.9999999997544</v>
      </c>
      <c r="BV2193" s="343">
        <f>SUMIFS($AU$1388:AU2195,$AA$1388:AA2195,"*",$AC$1388:AC2195,"*")</f>
        <v>34160.036363636536</v>
      </c>
      <c r="BW2193" s="343">
        <f>SUMIFS($AU$1388:AU2195,$AB$1388:AB2195,"*",$AC$1388:AC2195,"*")</f>
        <v>10736</v>
      </c>
      <c r="BX2193" s="343">
        <f>SUMIFS($AV$1388:AV2195,$Q$1388:Q2195,"F")</f>
        <v>477.65837744248347</v>
      </c>
      <c r="BY2193" s="343">
        <f>SUMIFS($AV$1388:AV2195,$Q$1388:Q2195,"S")</f>
        <v>820.61134190572739</v>
      </c>
      <c r="BZ2193" s="343">
        <f>SUMIFS($AV$1388:AV2195,$Q$1388:Q2195,"O")</f>
        <v>487.55929999966918</v>
      </c>
    </row>
    <row r="2194" spans="1:78" ht="15.75" customHeight="1">
      <c r="A2194" s="177" t="s">
        <v>6781</v>
      </c>
      <c r="B2194" s="200"/>
      <c r="C2194" s="178"/>
      <c r="D2194" s="178"/>
      <c r="E2194" s="227"/>
      <c r="F2194" s="180"/>
      <c r="G2194" s="181" t="s">
        <v>6961</v>
      </c>
      <c r="H2194" s="182"/>
      <c r="I2194" s="182"/>
      <c r="J2194" s="182"/>
      <c r="K2194" s="183"/>
      <c r="L2194" s="182"/>
      <c r="M2194" s="182"/>
      <c r="N2194" s="182"/>
      <c r="O2194" s="183"/>
      <c r="P2194" s="183"/>
      <c r="Q2194" s="183"/>
      <c r="R2194" s="183"/>
      <c r="S2194" s="183"/>
      <c r="T2194" s="183"/>
      <c r="U2194" s="183"/>
      <c r="V2194" s="183"/>
      <c r="W2194" s="183"/>
      <c r="X2194" s="183"/>
      <c r="Y2194" s="184"/>
      <c r="Z2194" s="185"/>
      <c r="AA2194" s="185"/>
      <c r="AB2194" s="185"/>
      <c r="AC2194" s="185"/>
      <c r="AD2194" s="649"/>
      <c r="AE2194" s="182"/>
      <c r="AF2194" s="332"/>
      <c r="AG2194" s="182"/>
      <c r="AH2194" s="182"/>
      <c r="AI2194" s="182"/>
      <c r="AJ2194" s="640"/>
      <c r="AK2194" s="182"/>
      <c r="AL2194" s="496">
        <f t="shared" si="727"/>
        <v>0</v>
      </c>
      <c r="AM2194" s="496">
        <f t="shared" si="725"/>
        <v>0</v>
      </c>
      <c r="AN2194" s="626"/>
      <c r="AO2194" s="182"/>
      <c r="AP2194" s="182"/>
      <c r="AQ2194" s="332" t="str">
        <f>UPPER(RIGHT(Journal_Live[[#This Row],[DURATION ]]))</f>
        <v/>
      </c>
      <c r="AR2194" s="182"/>
      <c r="AS2194" s="189"/>
      <c r="AT2194" s="189">
        <f t="shared" si="721"/>
        <v>0</v>
      </c>
      <c r="AU2194" s="187">
        <f t="shared" si="722"/>
        <v>0</v>
      </c>
      <c r="AV2194" s="190">
        <f t="shared" si="726"/>
        <v>0</v>
      </c>
      <c r="AW2194" s="191"/>
      <c r="AX2194" s="551"/>
      <c r="AY2194" s="551"/>
      <c r="AZ2194" s="551"/>
      <c r="BA2194" s="551"/>
      <c r="BB2194" s="551"/>
      <c r="BC2194" s="551"/>
      <c r="BD2194" s="549"/>
      <c r="BE2194" s="550"/>
      <c r="BF2194" s="549"/>
      <c r="BG2194" s="391">
        <f>SUM($AV$1389:AV2194)</f>
        <v>4933.829019347887</v>
      </c>
      <c r="BH2194" s="392">
        <f>SUM($AU$1389:AU2194)</f>
        <v>58628.423836163958</v>
      </c>
      <c r="BI2194" s="318">
        <f>SUMIFS($AU$1388:AU2207,$Q$1388:Q2207,"F")</f>
        <v>37307.078121878127</v>
      </c>
      <c r="BJ2194" s="318">
        <f>SUMIFS($AU$1388:AU2207,$Q$1388:Q2207,"S")</f>
        <v>23922.28571428571</v>
      </c>
      <c r="BK2194" s="343">
        <f>SUMIFS($AU$1388:AU2207,$P$1388:P2207,"W")</f>
        <v>34224.14383616417</v>
      </c>
      <c r="BL2194" s="343">
        <f>SUMIFS($AU$1388:AU2207,$P$1388:P2207,"R")</f>
        <v>21652.400000000325</v>
      </c>
      <c r="BM2194" s="343">
        <f>SUMIFS($AU$1388:AU2207,$AQ$1388:AQ2207,"M")</f>
        <v>12669.179999998996</v>
      </c>
      <c r="BN2194" s="343">
        <f>SUMIFS($AU$1388:AU2207,$AQ$1388:AQ2207,"H")</f>
        <v>13563.200000001041</v>
      </c>
      <c r="BO2194" s="343">
        <f>SUMIFS($AU$1388:AU2207,$AQ$1388:AQ2207,"D")</f>
        <v>15382.377472527351</v>
      </c>
      <c r="BP2194" s="343">
        <f>SUMIFS($AS$1388:AS2706,$AO$1388:AO2706,"W")</f>
        <v>0</v>
      </c>
      <c r="BQ2194" s="343">
        <f>SUMIFS($AU$1388:AU2207,$Q$1388:Q2207,"O")</f>
        <v>-5006.9399999998313</v>
      </c>
      <c r="BR2194" s="343">
        <f>SUMIFS($AU$1388:AU2207,$AA$1388:AA2207,"*")</f>
        <v>44419.522077922011</v>
      </c>
      <c r="BS2194" s="343">
        <f>SUMIFS($AU$1388:AU2207,$AB$1388:AB2207,"*")</f>
        <v>14347.859999999973</v>
      </c>
      <c r="BT2194" s="343">
        <f>SUMIFS($AU$1388:AU2207,$AC$1388:AC2207,"*")</f>
        <v>47147.078121878294</v>
      </c>
      <c r="BU2194" s="343">
        <f>SUMIFS($AU$1388:AU2207,$AA$1388:AA2207,"*",$AB$1388:AB2207,"*")</f>
        <v>8011.9999999997544</v>
      </c>
      <c r="BV2194" s="343">
        <f>SUMIFS($AU$1388:AU2207,$AA$1388:AA2207,"*",$AC$1388:AC2207,"*")</f>
        <v>33840.036363636536</v>
      </c>
      <c r="BW2194" s="343">
        <f>SUMIFS($AU$1388:AU2207,$AB$1388:AB2207,"*",$AC$1388:AC2207,"*")</f>
        <v>10736</v>
      </c>
      <c r="BX2194" s="343">
        <f>SUMIFS($AV$1388:AV2207,$Q$1388:Q2207,"F")</f>
        <v>493.65837744248347</v>
      </c>
      <c r="BY2194" s="343">
        <f>SUMIFS($AV$1388:AV2207,$Q$1388:Q2207,"S")</f>
        <v>804.61134190572739</v>
      </c>
      <c r="BZ2194" s="343">
        <f>SUMIFS($AV$1388:AV2207,$Q$1388:Q2207,"O")</f>
        <v>545.55929999969885</v>
      </c>
    </row>
    <row r="2195" spans="1:78" ht="15.75" customHeight="1">
      <c r="A2195" s="177" t="s">
        <v>6781</v>
      </c>
      <c r="B2195" s="200"/>
      <c r="C2195" s="178"/>
      <c r="D2195" s="178"/>
      <c r="E2195" s="227"/>
      <c r="F2195" s="180"/>
      <c r="G2195" s="181"/>
      <c r="H2195" s="182"/>
      <c r="I2195" s="182"/>
      <c r="J2195" s="182"/>
      <c r="K2195" s="183"/>
      <c r="L2195" s="182"/>
      <c r="M2195" s="182"/>
      <c r="N2195" s="182"/>
      <c r="O2195" s="183"/>
      <c r="P2195" s="183"/>
      <c r="Q2195" s="183"/>
      <c r="R2195" s="183"/>
      <c r="S2195" s="183"/>
      <c r="T2195" s="183"/>
      <c r="U2195" s="183"/>
      <c r="V2195" s="183"/>
      <c r="W2195" s="183"/>
      <c r="X2195" s="183"/>
      <c r="Y2195" s="184"/>
      <c r="Z2195" s="185"/>
      <c r="AA2195" s="185"/>
      <c r="AB2195" s="185"/>
      <c r="AC2195" s="185"/>
      <c r="AD2195" s="649"/>
      <c r="AE2195" s="182"/>
      <c r="AF2195" s="332"/>
      <c r="AG2195" s="182"/>
      <c r="AH2195" s="182"/>
      <c r="AI2195" s="182"/>
      <c r="AJ2195" s="640"/>
      <c r="AK2195" s="182"/>
      <c r="AL2195" s="496">
        <f t="shared" si="727"/>
        <v>0</v>
      </c>
      <c r="AM2195" s="496">
        <f t="shared" si="725"/>
        <v>0</v>
      </c>
      <c r="AN2195" s="626"/>
      <c r="AO2195" s="182"/>
      <c r="AP2195" s="182"/>
      <c r="AQ2195" s="332" t="str">
        <f>UPPER(RIGHT(Journal_Live[[#This Row],[DURATION ]]))</f>
        <v/>
      </c>
      <c r="AR2195" s="182"/>
      <c r="AS2195" s="189"/>
      <c r="AT2195" s="189">
        <f t="shared" si="721"/>
        <v>0</v>
      </c>
      <c r="AU2195" s="187">
        <f t="shared" si="722"/>
        <v>0</v>
      </c>
      <c r="AV2195" s="190">
        <f t="shared" si="726"/>
        <v>0</v>
      </c>
      <c r="AW2195" s="191"/>
      <c r="AX2195" s="551" t="s">
        <v>6962</v>
      </c>
      <c r="AY2195" s="551" t="s">
        <v>6963</v>
      </c>
      <c r="AZ2195" s="551"/>
      <c r="BA2195" s="551"/>
      <c r="BB2195" s="551"/>
      <c r="BC2195" s="551"/>
      <c r="BD2195" s="549"/>
      <c r="BE2195" s="550"/>
      <c r="BF2195" s="549"/>
      <c r="BG2195" s="391">
        <f>SUM($AV$1389:AV2195)</f>
        <v>4933.829019347887</v>
      </c>
      <c r="BH2195" s="392">
        <f>SUM($AU$1389:AU2195)</f>
        <v>58628.423836163958</v>
      </c>
      <c r="BI2195" s="318">
        <f>SUMIFS($AU$1388:AU2221,$Q$1388:Q2221,"F")</f>
        <v>37211.078121878127</v>
      </c>
      <c r="BJ2195" s="318">
        <f>SUMIFS($AU$1388:AU2221,$Q$1388:Q2221,"S")</f>
        <v>25058.28571428571</v>
      </c>
      <c r="BK2195" s="343">
        <f>SUMIFS($AU$1388:AU2221,$P$1388:P2221,"W")</f>
        <v>34608.14383616417</v>
      </c>
      <c r="BL2195" s="343">
        <f>SUMIFS($AU$1388:AU2221,$P$1388:P2221,"R")</f>
        <v>22308.400000000325</v>
      </c>
      <c r="BM2195" s="343">
        <f>SUMIFS($AU$1388:AU2221,$AQ$1388:AQ2221,"M")</f>
        <v>12669.179999998996</v>
      </c>
      <c r="BN2195" s="343">
        <f>SUMIFS($AU$1388:AU2221,$AQ$1388:AQ2221,"H")</f>
        <v>14363.200000001041</v>
      </c>
      <c r="BO2195" s="343">
        <f>SUMIFS($AU$1388:AU2221,$AQ$1388:AQ2221,"D")</f>
        <v>15062.377472527351</v>
      </c>
      <c r="BP2195" s="343">
        <f>SUMIFS($AS$1388:AS2707,$AO$1388:AO2707,"W")</f>
        <v>0</v>
      </c>
      <c r="BQ2195" s="343">
        <f>SUMIFS($AU$1388:AU2221,$Q$1388:Q2221,"O")</f>
        <v>-5006.9399999998313</v>
      </c>
      <c r="BR2195" s="343">
        <f>SUMIFS($AU$1388:AU2221,$AA$1388:AA2221,"*")</f>
        <v>45123.522077922011</v>
      </c>
      <c r="BS2195" s="343">
        <f>SUMIFS($AU$1388:AU2221,$AB$1388:AB2221,"*")</f>
        <v>14251.859999999973</v>
      </c>
      <c r="BT2195" s="343">
        <f>SUMIFS($AU$1388:AU2221,$AC$1388:AC2221,"*")</f>
        <v>47387.078121878294</v>
      </c>
      <c r="BU2195" s="343">
        <f>SUMIFS($AU$1388:AU2221,$AA$1388:AA2221,"*",$AB$1388:AB2221,"*")</f>
        <v>7915.9999999997544</v>
      </c>
      <c r="BV2195" s="343">
        <f>SUMIFS($AU$1388:AU2221,$AA$1388:AA2221,"*",$AC$1388:AC2221,"*")</f>
        <v>33744.036363636536</v>
      </c>
      <c r="BW2195" s="343">
        <f>SUMIFS($AU$1388:AU2221,$AB$1388:AB2221,"*",$AC$1388:AC2221,"*")</f>
        <v>10640</v>
      </c>
      <c r="BX2195" s="343">
        <f>SUMIFS($AV$1388:AV2221,$Q$1388:Q2221,"F")</f>
        <v>488.85837744248346</v>
      </c>
      <c r="BY2195" s="343">
        <f>SUMIFS($AV$1388:AV2221,$Q$1388:Q2221,"S")</f>
        <v>820.61134190572739</v>
      </c>
      <c r="BZ2195" s="343">
        <f>SUMIFS($AV$1388:AV2221,$Q$1388:Q2221,"O")</f>
        <v>545.55929999969885</v>
      </c>
    </row>
    <row r="2196" spans="1:78" ht="15.75" customHeight="1">
      <c r="A2196" s="177" t="s">
        <v>6781</v>
      </c>
      <c r="B2196" s="200">
        <v>45460</v>
      </c>
      <c r="C2196" s="178" t="s">
        <v>3476</v>
      </c>
      <c r="D2196" s="178" t="s">
        <v>132</v>
      </c>
      <c r="E2196" s="227"/>
      <c r="F2196" s="180"/>
      <c r="G2196" s="481" t="s">
        <v>5633</v>
      </c>
      <c r="H2196" s="182"/>
      <c r="I2196" s="182"/>
      <c r="J2196" s="182"/>
      <c r="K2196" s="183"/>
      <c r="L2196" s="182"/>
      <c r="M2196" s="182">
        <v>1</v>
      </c>
      <c r="N2196" s="182"/>
      <c r="O2196" s="183" t="s">
        <v>95</v>
      </c>
      <c r="P2196" s="183" t="s">
        <v>137</v>
      </c>
      <c r="Q2196" s="183" t="s">
        <v>256</v>
      </c>
      <c r="R2196" s="183">
        <v>60</v>
      </c>
      <c r="S2196" s="183">
        <v>0</v>
      </c>
      <c r="T2196" s="183">
        <v>44</v>
      </c>
      <c r="U2196" s="183" t="s">
        <v>22</v>
      </c>
      <c r="V2196" s="183"/>
      <c r="W2196" s="183"/>
      <c r="X2196" s="183"/>
      <c r="Y2196" s="184">
        <f>IF(ISBLANK(O2196),"",(IF(O2196=UPPER("IB"),0.005,0.01)))</f>
        <v>0.01</v>
      </c>
      <c r="Z2196" s="185">
        <f>IF(ISBLANK(O2196),"",IF(O2196="IB",8.63*200,IF(O2196="IR",16*100,IF(O2196="YT",20*100,IF(O2196="YT-XT",24*200,IF(O2196="TED",80*100,IF(O2196="IR|YT",300*100)))))))</f>
        <v>1600</v>
      </c>
      <c r="AA2196" s="185" t="s">
        <v>6964</v>
      </c>
      <c r="AB2196" s="185"/>
      <c r="AC2196" s="185" t="s">
        <v>6965</v>
      </c>
      <c r="AD2196" s="649">
        <v>-0.03</v>
      </c>
      <c r="AE2196" s="182"/>
      <c r="AF2196" s="332"/>
      <c r="AG2196" s="182"/>
      <c r="AH2196" s="182"/>
      <c r="AI2196" s="182"/>
      <c r="AJ2196" s="640" t="s">
        <v>6966</v>
      </c>
      <c r="AK2196" s="182"/>
      <c r="AL2196" s="496">
        <f>0*Z2196</f>
        <v>0</v>
      </c>
      <c r="AM2196" s="496">
        <f t="shared" si="725"/>
        <v>0</v>
      </c>
      <c r="AN2196" s="626"/>
      <c r="AO2196" s="182"/>
      <c r="AP2196" s="182"/>
      <c r="AQ2196" s="332" t="s">
        <v>115</v>
      </c>
      <c r="AR2196" s="182" t="s">
        <v>6967</v>
      </c>
      <c r="AS2196" s="189">
        <v>-0.02</v>
      </c>
      <c r="AT2196" s="189">
        <f t="shared" si="721"/>
        <v>9.9999999999999985E-3</v>
      </c>
      <c r="AU2196" s="187">
        <f t="shared" si="722"/>
        <v>959.99999999999989</v>
      </c>
      <c r="AV2196" s="190">
        <f t="shared" ref="AV2196:AV2206" si="728">IF(ISBLANK(AS2196),,(AT2196*Z2196))</f>
        <v>15.999999999999998</v>
      </c>
      <c r="AW2196" s="191" t="s">
        <v>96</v>
      </c>
      <c r="AX2196" s="551" t="s">
        <v>6968</v>
      </c>
      <c r="AY2196" s="551"/>
      <c r="AZ2196" s="551"/>
      <c r="BA2196" s="551"/>
      <c r="BB2196" s="551"/>
      <c r="BC2196" s="551"/>
      <c r="BD2196" s="549"/>
      <c r="BE2196" s="550"/>
      <c r="BF2196" s="549"/>
      <c r="BG2196" s="391">
        <f>SUM($AV$1389:AV2196)</f>
        <v>4949.829019347887</v>
      </c>
      <c r="BH2196" s="392">
        <f>SUM($AU$1389:AU2196)</f>
        <v>59588.423836163958</v>
      </c>
      <c r="BI2196" s="318">
        <f>SUMIFS($AU$1388:AU2198,$Q$1388:Q2198,"F")</f>
        <v>37307.078121878127</v>
      </c>
      <c r="BJ2196" s="318">
        <f>SUMIFS($AU$1388:AU2198,$Q$1388:Q2198,"S")</f>
        <v>24722.28571428571</v>
      </c>
      <c r="BK2196" s="343">
        <f>SUMIFS($AU$1388:AU2198,$P$1388:P2198,"W")</f>
        <v>35024.14383616417</v>
      </c>
      <c r="BL2196" s="343">
        <f>SUMIFS($AU$1388:AU2198,$P$1388:P2198,"R")</f>
        <v>21652.400000000325</v>
      </c>
      <c r="BM2196" s="343">
        <f>SUMIFS($AU$1388:AU2198,$AQ$1388:AQ2198,"M")</f>
        <v>12131.179999998967</v>
      </c>
      <c r="BN2196" s="343">
        <f>SUMIFS($AU$1388:AU2198,$AQ$1388:AQ2198,"H")</f>
        <v>14843.200000001041</v>
      </c>
      <c r="BO2196" s="343">
        <f>SUMIFS($AU$1388:AU2198,$AQ$1388:AQ2198,"D")</f>
        <v>15382.377472527351</v>
      </c>
      <c r="BP2196" s="343">
        <f>SUMIFS($AS$1388:AS2702,$AO$1388:AO2702,"W")</f>
        <v>0</v>
      </c>
      <c r="BQ2196" s="343">
        <f>SUMIFS($AU$1388:AU2198,$Q$1388:Q2198,"O")</f>
        <v>-5064.9399999998614</v>
      </c>
      <c r="BR2196" s="343">
        <f>SUMIFS($AU$1388:AU2198,$AA$1388:AA2198,"*")</f>
        <v>45161.522077921982</v>
      </c>
      <c r="BS2196" s="343">
        <f>SUMIFS($AU$1388:AU2198,$AB$1388:AB2198,"*")</f>
        <v>14347.859999999973</v>
      </c>
      <c r="BT2196" s="343">
        <f>SUMIFS($AU$1388:AU2198,$AC$1388:AC2198,"*")</f>
        <v>48427.078121878294</v>
      </c>
      <c r="BU2196" s="343">
        <f>SUMIFS($AU$1388:AU2198,$AA$1388:AA2198,"*",$AB$1388:AB2198,"*")</f>
        <v>8011.9999999997544</v>
      </c>
      <c r="BV2196" s="343">
        <f>SUMIFS($AU$1388:AU2198,$AA$1388:AA2198,"*",$AC$1388:AC2198,"*")</f>
        <v>35120.036363636536</v>
      </c>
      <c r="BW2196" s="343">
        <f>SUMIFS($AU$1388:AU2198,$AB$1388:AB2198,"*",$AC$1388:AC2198,"*")</f>
        <v>10736</v>
      </c>
      <c r="BX2196" s="343">
        <f>SUMIFS($AV$1388:AV2198,$Q$1388:Q2198,"F")</f>
        <v>493.65837744248347</v>
      </c>
      <c r="BY2196" s="343">
        <f>SUMIFS($AV$1388:AV2198,$Q$1388:Q2198,"S")</f>
        <v>820.61134190572739</v>
      </c>
      <c r="BZ2196" s="343">
        <f>SUMIFS($AV$1388:AV2198,$Q$1388:Q2198,"O")</f>
        <v>487.55929999966918</v>
      </c>
    </row>
    <row r="2197" spans="1:78" ht="15.75" customHeight="1">
      <c r="A2197" s="177" t="s">
        <v>6781</v>
      </c>
      <c r="B2197" s="200">
        <v>45460</v>
      </c>
      <c r="C2197" s="178" t="s">
        <v>631</v>
      </c>
      <c r="D2197" s="178" t="s">
        <v>132</v>
      </c>
      <c r="E2197" s="227"/>
      <c r="F2197" s="180"/>
      <c r="G2197" s="481" t="s">
        <v>6969</v>
      </c>
      <c r="H2197" s="182"/>
      <c r="I2197" s="182"/>
      <c r="J2197" s="182"/>
      <c r="K2197" s="183"/>
      <c r="L2197" s="182"/>
      <c r="M2197" s="182">
        <v>2</v>
      </c>
      <c r="N2197" s="182"/>
      <c r="O2197" s="183" t="s">
        <v>95</v>
      </c>
      <c r="P2197" s="183" t="s">
        <v>137</v>
      </c>
      <c r="Q2197" s="183" t="s">
        <v>97</v>
      </c>
      <c r="R2197" s="183">
        <v>46</v>
      </c>
      <c r="S2197" s="183">
        <v>0</v>
      </c>
      <c r="T2197" s="183">
        <v>46</v>
      </c>
      <c r="U2197" s="183" t="s">
        <v>97</v>
      </c>
      <c r="V2197" s="183"/>
      <c r="W2197" s="183"/>
      <c r="X2197" s="183"/>
      <c r="Y2197" s="184">
        <f>IF(ISBLANK(O2197),"",(IF(O2197=UPPER("IB"),0.005,0.01)))</f>
        <v>0.01</v>
      </c>
      <c r="Z2197" s="185">
        <f>IF(ISBLANK(O2197),"",IF(O2197="IB",8.63*200,IF(O2197="IR",16*100,IF(O2197="YT",20*100,IF(O2197="YT-XT",24*200,IF(O2197="TED",80*100,IF(O2197="IR|YT",300*100)))))))</f>
        <v>1600</v>
      </c>
      <c r="AA2197" s="185"/>
      <c r="AB2197" s="185"/>
      <c r="AC2197" s="185" t="s">
        <v>6970</v>
      </c>
      <c r="AD2197" s="649">
        <v>-0.13</v>
      </c>
      <c r="AE2197" s="182"/>
      <c r="AF2197" s="332"/>
      <c r="AG2197" s="182"/>
      <c r="AH2197" s="182"/>
      <c r="AI2197" s="182"/>
      <c r="AJ2197" s="640"/>
      <c r="AK2197" s="182"/>
      <c r="AL2197" s="496">
        <f t="shared" ref="AL2197:AL2206" si="729">-0.02*Z2197</f>
        <v>-32</v>
      </c>
      <c r="AM2197" s="496">
        <f t="shared" si="725"/>
        <v>-1472</v>
      </c>
      <c r="AN2197" s="626"/>
      <c r="AO2197" s="182"/>
      <c r="AP2197" s="182" t="s">
        <v>2752</v>
      </c>
      <c r="AQ2197" s="332" t="s">
        <v>372</v>
      </c>
      <c r="AR2197" s="182"/>
      <c r="AS2197" s="189">
        <v>-0.13</v>
      </c>
      <c r="AT2197" s="189">
        <f t="shared" si="721"/>
        <v>0</v>
      </c>
      <c r="AU2197" s="187">
        <f t="shared" si="722"/>
        <v>0</v>
      </c>
      <c r="AV2197" s="190">
        <f t="shared" si="728"/>
        <v>0</v>
      </c>
      <c r="AW2197" s="191" t="s">
        <v>115</v>
      </c>
      <c r="AX2197" s="551"/>
      <c r="AY2197" s="551"/>
      <c r="AZ2197" s="551"/>
      <c r="BA2197" s="551"/>
      <c r="BB2197" s="551"/>
      <c r="BC2197" s="551"/>
      <c r="BD2197" s="549"/>
      <c r="BE2197" s="550"/>
      <c r="BF2197" s="549"/>
      <c r="BG2197" s="391">
        <f>SUM($AV$1389:AV2197)</f>
        <v>4949.829019347887</v>
      </c>
      <c r="BH2197" s="392">
        <f>SUM($AU$1389:AU2197)</f>
        <v>59588.423836163958</v>
      </c>
      <c r="BI2197" s="318">
        <f>SUMIFS($AU$1388:AU2199,$Q$1388:Q2199,"F")</f>
        <v>37307.078121878127</v>
      </c>
      <c r="BJ2197" s="318">
        <f>SUMIFS($AU$1388:AU2199,$Q$1388:Q2199,"S")</f>
        <v>24722.28571428571</v>
      </c>
      <c r="BK2197" s="343">
        <f>SUMIFS($AU$1388:AU2199,$P$1388:P2199,"W")</f>
        <v>35024.14383616417</v>
      </c>
      <c r="BL2197" s="343">
        <f>SUMIFS($AU$1388:AU2199,$P$1388:P2199,"R")</f>
        <v>21652.400000000325</v>
      </c>
      <c r="BM2197" s="343">
        <f>SUMIFS($AU$1388:AU2199,$AQ$1388:AQ2199,"M")</f>
        <v>12131.179999998967</v>
      </c>
      <c r="BN2197" s="343">
        <f>SUMIFS($AU$1388:AU2199,$AQ$1388:AQ2199,"H")</f>
        <v>14843.200000001041</v>
      </c>
      <c r="BO2197" s="343">
        <f>SUMIFS($AU$1388:AU2199,$AQ$1388:AQ2199,"D")</f>
        <v>15382.377472527351</v>
      </c>
      <c r="BP2197" s="343">
        <f>SUMIFS($AS$1388:AS2703,$AO$1388:AO2703,"W")</f>
        <v>0</v>
      </c>
      <c r="BQ2197" s="343">
        <f>SUMIFS($AU$1388:AU2199,$Q$1388:Q2199,"O")</f>
        <v>-5064.9399999998614</v>
      </c>
      <c r="BR2197" s="343">
        <f>SUMIFS($AU$1388:AU2199,$AA$1388:AA2199,"*")</f>
        <v>45161.522077921982</v>
      </c>
      <c r="BS2197" s="343">
        <f>SUMIFS($AU$1388:AU2199,$AB$1388:AB2199,"*")</f>
        <v>14347.859999999973</v>
      </c>
      <c r="BT2197" s="343">
        <f>SUMIFS($AU$1388:AU2199,$AC$1388:AC2199,"*")</f>
        <v>48427.078121878294</v>
      </c>
      <c r="BU2197" s="343">
        <f>SUMIFS($AU$1388:AU2199,$AA$1388:AA2199,"*",$AB$1388:AB2199,"*")</f>
        <v>8011.9999999997544</v>
      </c>
      <c r="BV2197" s="343">
        <f>SUMIFS($AU$1388:AU2199,$AA$1388:AA2199,"*",$AC$1388:AC2199,"*")</f>
        <v>35120.036363636536</v>
      </c>
      <c r="BW2197" s="343">
        <f>SUMIFS($AU$1388:AU2199,$AB$1388:AB2199,"*",$AC$1388:AC2199,"*")</f>
        <v>10736</v>
      </c>
      <c r="BX2197" s="343">
        <f>SUMIFS($AV$1388:AV2199,$Q$1388:Q2199,"F")</f>
        <v>493.65837744248347</v>
      </c>
      <c r="BY2197" s="343">
        <f>SUMIFS($AV$1388:AV2199,$Q$1388:Q2199,"S")</f>
        <v>820.61134190572739</v>
      </c>
      <c r="BZ2197" s="343">
        <f>SUMIFS($AV$1388:AV2199,$Q$1388:Q2199,"O")</f>
        <v>487.55929999966918</v>
      </c>
    </row>
    <row r="2198" spans="1:78" ht="15.75" customHeight="1">
      <c r="A2198" s="177" t="s">
        <v>6781</v>
      </c>
      <c r="B2198" s="200">
        <v>45461</v>
      </c>
      <c r="C2198" s="178" t="s">
        <v>664</v>
      </c>
      <c r="D2198" s="178" t="s">
        <v>146</v>
      </c>
      <c r="E2198" s="227"/>
      <c r="F2198" s="180"/>
      <c r="G2198" s="481" t="s">
        <v>6971</v>
      </c>
      <c r="H2198" s="182"/>
      <c r="I2198" s="182"/>
      <c r="J2198" s="182"/>
      <c r="K2198" s="183"/>
      <c r="L2198" s="182"/>
      <c r="M2198" s="182">
        <v>2</v>
      </c>
      <c r="N2198" s="182"/>
      <c r="O2198" s="183" t="s">
        <v>1057</v>
      </c>
      <c r="P2198" s="183"/>
      <c r="Q2198" s="183" t="s">
        <v>684</v>
      </c>
      <c r="R2198" s="183">
        <v>50</v>
      </c>
      <c r="S2198" s="183">
        <v>0</v>
      </c>
      <c r="T2198" s="183">
        <v>50</v>
      </c>
      <c r="U2198" s="183" t="s">
        <v>97</v>
      </c>
      <c r="V2198" s="183"/>
      <c r="W2198" s="183"/>
      <c r="X2198" s="183"/>
      <c r="Y2198" s="184">
        <f>IF(ISBLANK(O2198),"",(IF(O2198=UPPER("IB"),0.005,0.01)))</f>
        <v>5.0000000000000001E-3</v>
      </c>
      <c r="Z2198" s="185">
        <f>IF(ISBLANK(O2198),"",IF(O2198="IB",8.63*200,IF(O2198="IR",16*100,IF(O2198="YT",20*100,IF(O2198="YT-XT",24*200,IF(O2198="TED",80*100,IF(O2198="IR|YT",300*100)))))))</f>
        <v>1726.0000000000002</v>
      </c>
      <c r="AA2198" s="185"/>
      <c r="AB2198" s="185" t="s">
        <v>6972</v>
      </c>
      <c r="AC2198" s="185"/>
      <c r="AD2198" s="649">
        <v>95.685000000000002</v>
      </c>
      <c r="AE2198" s="182"/>
      <c r="AF2198" s="332"/>
      <c r="AG2198" s="182"/>
      <c r="AH2198" s="182"/>
      <c r="AI2198" s="182"/>
      <c r="AJ2198" s="640"/>
      <c r="AK2198" s="182"/>
      <c r="AL2198" s="496">
        <f t="shared" si="729"/>
        <v>-34.520000000000003</v>
      </c>
      <c r="AM2198" s="496">
        <f t="shared" si="725"/>
        <v>-1726.0000000000002</v>
      </c>
      <c r="AN2198" s="626"/>
      <c r="AO2198" s="182"/>
      <c r="AP2198" s="182"/>
      <c r="AQ2198" s="332" t="str">
        <f>UPPER(RIGHT(Journal_Live[[#This Row],[DURATION ]]))</f>
        <v/>
      </c>
      <c r="AR2198" s="182"/>
      <c r="AS2198" s="189">
        <v>95.685000000000002</v>
      </c>
      <c r="AT2198" s="189">
        <f t="shared" si="721"/>
        <v>0</v>
      </c>
      <c r="AU2198" s="187">
        <f t="shared" si="722"/>
        <v>0</v>
      </c>
      <c r="AV2198" s="190">
        <f t="shared" si="728"/>
        <v>0</v>
      </c>
      <c r="AW2198" s="191" t="s">
        <v>115</v>
      </c>
      <c r="AX2198" s="551" t="s">
        <v>6973</v>
      </c>
      <c r="AY2198" s="551" t="s">
        <v>6974</v>
      </c>
      <c r="AZ2198" s="551" t="s">
        <v>6975</v>
      </c>
      <c r="BA2198" s="551" t="s">
        <v>6976</v>
      </c>
      <c r="BB2198" s="551"/>
      <c r="BC2198" s="551"/>
      <c r="BD2198" s="549"/>
      <c r="BE2198" s="550"/>
      <c r="BF2198" s="549"/>
      <c r="BG2198" s="391">
        <f>SUM($AV$1389:AV2198)</f>
        <v>4949.829019347887</v>
      </c>
      <c r="BH2198" s="392">
        <f>SUM($AU$1389:AU2198)</f>
        <v>59588.423836163958</v>
      </c>
      <c r="BI2198" s="318">
        <f>SUMIFS($AU$1388:AU2200,$Q$1388:Q2200,"F")</f>
        <v>37307.078121878127</v>
      </c>
      <c r="BJ2198" s="318">
        <f>SUMIFS($AU$1388:AU2200,$Q$1388:Q2200,"S")</f>
        <v>24722.28571428571</v>
      </c>
      <c r="BK2198" s="343">
        <f>SUMIFS($AU$1388:AU2200,$P$1388:P2200,"W")</f>
        <v>35024.14383616417</v>
      </c>
      <c r="BL2198" s="343">
        <f>SUMIFS($AU$1388:AU2200,$P$1388:P2200,"R")</f>
        <v>21652.400000000325</v>
      </c>
      <c r="BM2198" s="343">
        <f>SUMIFS($AU$1388:AU2200,$AQ$1388:AQ2200,"M")</f>
        <v>12131.179999998967</v>
      </c>
      <c r="BN2198" s="343">
        <f>SUMIFS($AU$1388:AU2200,$AQ$1388:AQ2200,"H")</f>
        <v>14843.200000001041</v>
      </c>
      <c r="BO2198" s="343">
        <f>SUMIFS($AU$1388:AU2200,$AQ$1388:AQ2200,"D")</f>
        <v>15382.377472527351</v>
      </c>
      <c r="BP2198" s="343">
        <f>SUMIFS($AS$1388:AS2704,$AO$1388:AO2704,"W")</f>
        <v>0</v>
      </c>
      <c r="BQ2198" s="343">
        <f>SUMIFS($AU$1388:AU2200,$Q$1388:Q2200,"O")</f>
        <v>-5064.9399999998614</v>
      </c>
      <c r="BR2198" s="343">
        <f>SUMIFS($AU$1388:AU2200,$AA$1388:AA2200,"*")</f>
        <v>45161.522077921982</v>
      </c>
      <c r="BS2198" s="343">
        <f>SUMIFS($AU$1388:AU2200,$AB$1388:AB2200,"*")</f>
        <v>14347.859999999973</v>
      </c>
      <c r="BT2198" s="343">
        <f>SUMIFS($AU$1388:AU2200,$AC$1388:AC2200,"*")</f>
        <v>48427.078121878294</v>
      </c>
      <c r="BU2198" s="343">
        <f>SUMIFS($AU$1388:AU2200,$AA$1388:AA2200,"*",$AB$1388:AB2200,"*")</f>
        <v>8011.9999999997544</v>
      </c>
      <c r="BV2198" s="343">
        <f>SUMIFS($AU$1388:AU2200,$AA$1388:AA2200,"*",$AC$1388:AC2200,"*")</f>
        <v>35120.036363636536</v>
      </c>
      <c r="BW2198" s="343">
        <f>SUMIFS($AU$1388:AU2200,$AB$1388:AB2200,"*",$AC$1388:AC2200,"*")</f>
        <v>10736</v>
      </c>
      <c r="BX2198" s="343">
        <f>SUMIFS($AV$1388:AV2200,$Q$1388:Q2200,"F")</f>
        <v>493.65837744248347</v>
      </c>
      <c r="BY2198" s="343">
        <f>SUMIFS($AV$1388:AV2200,$Q$1388:Q2200,"S")</f>
        <v>820.61134190572739</v>
      </c>
      <c r="BZ2198" s="343">
        <f>SUMIFS($AV$1388:AV2200,$Q$1388:Q2200,"O")</f>
        <v>487.55929999966918</v>
      </c>
    </row>
    <row r="2199" spans="1:78" ht="15.75" customHeight="1">
      <c r="A2199" s="177" t="s">
        <v>6781</v>
      </c>
      <c r="B2199" s="200"/>
      <c r="C2199" s="178"/>
      <c r="D2199" s="178"/>
      <c r="E2199" s="227"/>
      <c r="F2199" s="180"/>
      <c r="G2199" s="181"/>
      <c r="H2199" s="182"/>
      <c r="I2199" s="182"/>
      <c r="J2199" s="182"/>
      <c r="K2199" s="183"/>
      <c r="L2199" s="182"/>
      <c r="M2199" s="182"/>
      <c r="N2199" s="182"/>
      <c r="O2199" s="183"/>
      <c r="P2199" s="183"/>
      <c r="Q2199" s="183"/>
      <c r="R2199" s="183"/>
      <c r="S2199" s="183"/>
      <c r="T2199" s="183"/>
      <c r="U2199" s="183"/>
      <c r="V2199" s="183"/>
      <c r="W2199" s="183"/>
      <c r="X2199" s="183"/>
      <c r="Y2199" s="184" t="str">
        <f>IF(ISBLANK(O2199),"",(IF(O2199=UPPER("IB"),0.005,0.01)))</f>
        <v/>
      </c>
      <c r="Z2199" s="185" t="str">
        <f>IF(ISBLANK(O2199),"",IF(O2199="IB",8.63*200,IF(O2199="IR",16*100,IF(O2199="YT",20*100,IF(O2199="YT-XT",24*200,IF(O2199="TED",80*100,IF(O2199="IR|YT",300*100)))))))</f>
        <v/>
      </c>
      <c r="AA2199" s="185"/>
      <c r="AB2199" s="185"/>
      <c r="AC2199" s="185"/>
      <c r="AD2199" s="649"/>
      <c r="AE2199" s="182"/>
      <c r="AF2199" s="332"/>
      <c r="AG2199" s="182"/>
      <c r="AH2199" s="182"/>
      <c r="AI2199" s="182"/>
      <c r="AJ2199" s="640"/>
      <c r="AK2199" s="182"/>
      <c r="AL2199" s="496"/>
      <c r="AM2199" s="496"/>
      <c r="AN2199" s="626"/>
      <c r="AO2199" s="182"/>
      <c r="AP2199" s="182"/>
      <c r="AQ2199" s="332"/>
      <c r="AR2199" s="182"/>
      <c r="AS2199" s="189"/>
      <c r="AT2199" s="189"/>
      <c r="AU2199" s="187"/>
      <c r="AV2199" s="190"/>
      <c r="AW2199" s="191"/>
      <c r="AX2199" s="551"/>
      <c r="AZ2199" s="551"/>
      <c r="BA2199" s="551"/>
      <c r="BB2199" s="551"/>
      <c r="BC2199" s="551"/>
      <c r="BD2199" s="549"/>
      <c r="BE2199" s="550"/>
      <c r="BF2199" s="549"/>
      <c r="BG2199" s="391">
        <f>SUM($AV$1389:AV2199)</f>
        <v>4949.829019347887</v>
      </c>
      <c r="BH2199" s="392">
        <f>SUM($AU$1389:AU2199)</f>
        <v>59588.423836163958</v>
      </c>
      <c r="BI2199" s="318">
        <f>SUMIFS($AU$1388:AU2206,$Q$1388:Q2206,"F")</f>
        <v>37307.078121878127</v>
      </c>
      <c r="BJ2199" s="318">
        <f>SUMIFS($AU$1388:AU2206,$Q$1388:Q2206,"S")</f>
        <v>23922.28571428571</v>
      </c>
      <c r="BK2199" s="343">
        <f>SUMIFS($AU$1388:AU2206,$P$1388:P2206,"W")</f>
        <v>34224.14383616417</v>
      </c>
      <c r="BL2199" s="343">
        <f>SUMIFS($AU$1388:AU2206,$P$1388:P2206,"R")</f>
        <v>21652.400000000325</v>
      </c>
      <c r="BM2199" s="343">
        <f>SUMIFS($AU$1388:AU2206,$AQ$1388:AQ2206,"M")</f>
        <v>12669.179999998996</v>
      </c>
      <c r="BN2199" s="343">
        <f>SUMIFS($AU$1388:AU2206,$AQ$1388:AQ2206,"H")</f>
        <v>13563.200000001041</v>
      </c>
      <c r="BO2199" s="343">
        <f>SUMIFS($AU$1388:AU2206,$AQ$1388:AQ2206,"D")</f>
        <v>15382.377472527351</v>
      </c>
      <c r="BP2199" s="343">
        <f>SUMIFS($AS$1388:AS2705,$AO$1388:AO2705,"W")</f>
        <v>0</v>
      </c>
      <c r="BQ2199" s="343">
        <f>SUMIFS($AU$1388:AU2206,$Q$1388:Q2206,"O")</f>
        <v>-5006.9399999998313</v>
      </c>
      <c r="BR2199" s="343">
        <f>SUMIFS($AU$1388:AU2206,$AA$1388:AA2206,"*")</f>
        <v>44419.522077922011</v>
      </c>
      <c r="BS2199" s="343">
        <f>SUMIFS($AU$1388:AU2206,$AB$1388:AB2206,"*")</f>
        <v>14347.859999999973</v>
      </c>
      <c r="BT2199" s="343">
        <f>SUMIFS($AU$1388:AU2206,$AC$1388:AC2206,"*")</f>
        <v>47147.078121878294</v>
      </c>
      <c r="BU2199" s="343">
        <f>SUMIFS($AU$1388:AU2206,$AA$1388:AA2206,"*",$AB$1388:AB2206,"*")</f>
        <v>8011.9999999997544</v>
      </c>
      <c r="BV2199" s="343">
        <f>SUMIFS($AU$1388:AU2206,$AA$1388:AA2206,"*",$AC$1388:AC2206,"*")</f>
        <v>33840.036363636536</v>
      </c>
      <c r="BW2199" s="343">
        <f>SUMIFS($AU$1388:AU2206,$AB$1388:AB2206,"*",$AC$1388:AC2206,"*")</f>
        <v>10736</v>
      </c>
      <c r="BX2199" s="343">
        <f>SUMIFS($AV$1388:AV2206,$Q$1388:Q2206,"F")</f>
        <v>493.65837744248347</v>
      </c>
      <c r="BY2199" s="343">
        <f>SUMIFS($AV$1388:AV2206,$Q$1388:Q2206,"S")</f>
        <v>804.61134190572739</v>
      </c>
      <c r="BZ2199" s="343">
        <f>SUMIFS($AV$1388:AV2206,$Q$1388:Q2206,"O")</f>
        <v>545.55929999969885</v>
      </c>
    </row>
    <row r="2200" spans="1:78" ht="15.75" customHeight="1">
      <c r="A2200" s="177" t="s">
        <v>6781</v>
      </c>
      <c r="B2200" s="200">
        <v>45461</v>
      </c>
      <c r="C2200" s="178" t="s">
        <v>2093</v>
      </c>
      <c r="D2200" s="178" t="s">
        <v>146</v>
      </c>
      <c r="E2200" s="227" t="s">
        <v>4701</v>
      </c>
      <c r="F2200" s="180"/>
      <c r="G2200" s="181" t="s">
        <v>6977</v>
      </c>
      <c r="H2200" s="182"/>
      <c r="I2200" s="182"/>
      <c r="J2200" s="182"/>
      <c r="K2200" s="183"/>
      <c r="L2200" s="182"/>
      <c r="M2200" s="182"/>
      <c r="N2200" s="182"/>
      <c r="O2200" s="183"/>
      <c r="P2200" s="183"/>
      <c r="Q2200" s="183"/>
      <c r="R2200" s="183"/>
      <c r="S2200" s="183"/>
      <c r="T2200" s="183"/>
      <c r="U2200" s="183"/>
      <c r="V2200" s="183"/>
      <c r="W2200" s="183"/>
      <c r="X2200" s="183"/>
      <c r="Y2200" s="184"/>
      <c r="Z2200" s="185"/>
      <c r="AA2200" s="185"/>
      <c r="AB2200" s="185"/>
      <c r="AC2200" s="185"/>
      <c r="AD2200" s="649"/>
      <c r="AE2200" s="182"/>
      <c r="AF2200" s="332"/>
      <c r="AG2200" s="182"/>
      <c r="AH2200" s="182"/>
      <c r="AI2200" s="182" t="s">
        <v>6978</v>
      </c>
      <c r="AJ2200" s="640"/>
      <c r="AK2200" s="182"/>
      <c r="AL2200" s="496">
        <f>-0.03*Z2200</f>
        <v>0</v>
      </c>
      <c r="AM2200" s="496">
        <f t="shared" ref="AM2200:AM2231" si="730">AL2200*(R2200-S2200)</f>
        <v>0</v>
      </c>
      <c r="AN2200" s="626" t="s">
        <v>6979</v>
      </c>
      <c r="AO2200" s="182" t="s">
        <v>6980</v>
      </c>
      <c r="AP2200" s="182"/>
      <c r="AQ2200" s="332" t="str">
        <f>UPPER(RIGHT(Journal_Live[[#This Row],[DURATION ]]))</f>
        <v/>
      </c>
      <c r="AR2200" s="182"/>
      <c r="AS2200" s="189">
        <v>0.04</v>
      </c>
      <c r="AT2200" s="189">
        <f t="shared" ref="AT2200:AT2237" si="731">IF(ISBLANK(AS2200),,IF(U2200="S",AD2200-AS2200,AS2200-AD2200))</f>
        <v>0.04</v>
      </c>
      <c r="AU2200" s="187">
        <f t="shared" ref="AU2200:AU2237" si="732">AV2200*R2200</f>
        <v>0</v>
      </c>
      <c r="AV2200" s="190">
        <f t="shared" si="728"/>
        <v>0</v>
      </c>
      <c r="AW2200" s="191"/>
      <c r="AX2200" s="551" t="s">
        <v>6981</v>
      </c>
      <c r="AY2200" s="551" t="s">
        <v>6982</v>
      </c>
      <c r="AZ2200" s="551" t="s">
        <v>6983</v>
      </c>
      <c r="BA2200" s="549" t="s">
        <v>6984</v>
      </c>
      <c r="BB2200" s="551" t="s">
        <v>6985</v>
      </c>
      <c r="BC2200" s="551" t="s">
        <v>6986</v>
      </c>
      <c r="BD2200" s="549" t="s">
        <v>6987</v>
      </c>
      <c r="BE2200" s="550" t="s">
        <v>6988</v>
      </c>
      <c r="BF2200" s="549" t="s">
        <v>6989</v>
      </c>
      <c r="BG2200" s="391">
        <f>SUM($AV$1389:AV2200)</f>
        <v>4949.829019347887</v>
      </c>
      <c r="BH2200" s="392">
        <f>SUM($AU$1389:AU2200)</f>
        <v>59588.423836163958</v>
      </c>
      <c r="BI2200" s="318">
        <f>SUMIFS($AU$1388:AU2207,$Q$1388:Q2207,"F")</f>
        <v>37307.078121878127</v>
      </c>
      <c r="BJ2200" s="318">
        <f>SUMIFS($AU$1388:AU2207,$Q$1388:Q2207,"S")</f>
        <v>23922.28571428571</v>
      </c>
      <c r="BK2200" s="343">
        <f>SUMIFS($AU$1388:AU2207,$P$1388:P2207,"W")</f>
        <v>34224.14383616417</v>
      </c>
      <c r="BL2200" s="343">
        <f>SUMIFS($AU$1388:AU2207,$P$1388:P2207,"R")</f>
        <v>21652.400000000325</v>
      </c>
      <c r="BM2200" s="343">
        <f>SUMIFS($AU$1388:AU2207,$AQ$1388:AQ2207,"M")</f>
        <v>12669.179999998996</v>
      </c>
      <c r="BN2200" s="343">
        <f>SUMIFS($AU$1388:AU2207,$AQ$1388:AQ2207,"H")</f>
        <v>13563.200000001041</v>
      </c>
      <c r="BO2200" s="343">
        <f>SUMIFS($AU$1388:AU2207,$AQ$1388:AQ2207,"D")</f>
        <v>15382.377472527351</v>
      </c>
      <c r="BP2200" s="343">
        <f>SUMIFS($AS$1388:AS2706,$AO$1388:AO2706,"W")</f>
        <v>0</v>
      </c>
      <c r="BQ2200" s="343">
        <f>SUMIFS($AU$1388:AU2207,$Q$1388:Q2207,"O")</f>
        <v>-5006.9399999998313</v>
      </c>
      <c r="BR2200" s="343">
        <f>SUMIFS($AU$1388:AU2207,$AA$1388:AA2207,"*")</f>
        <v>44419.522077922011</v>
      </c>
      <c r="BS2200" s="343">
        <f>SUMIFS($AU$1388:AU2207,$AB$1388:AB2207,"*")</f>
        <v>14347.859999999973</v>
      </c>
      <c r="BT2200" s="343">
        <f>SUMIFS($AU$1388:AU2207,$AC$1388:AC2207,"*")</f>
        <v>47147.078121878294</v>
      </c>
      <c r="BU2200" s="343">
        <f>SUMIFS($AU$1388:AU2207,$AA$1388:AA2207,"*",$AB$1388:AB2207,"*")</f>
        <v>8011.9999999997544</v>
      </c>
      <c r="BV2200" s="343">
        <f>SUMIFS($AU$1388:AU2207,$AA$1388:AA2207,"*",$AC$1388:AC2207,"*")</f>
        <v>33840.036363636536</v>
      </c>
      <c r="BW2200" s="343">
        <f>SUMIFS($AU$1388:AU2207,$AB$1388:AB2207,"*",$AC$1388:AC2207,"*")</f>
        <v>10736</v>
      </c>
      <c r="BX2200" s="343">
        <f>SUMIFS($AV$1388:AV2207,$Q$1388:Q2207,"F")</f>
        <v>493.65837744248347</v>
      </c>
      <c r="BY2200" s="343">
        <f>SUMIFS($AV$1388:AV2207,$Q$1388:Q2207,"S")</f>
        <v>804.61134190572739</v>
      </c>
      <c r="BZ2200" s="343">
        <f>SUMIFS($AV$1388:AV2207,$Q$1388:Q2207,"O")</f>
        <v>545.55929999969885</v>
      </c>
    </row>
    <row r="2201" spans="1:78" ht="15.75" customHeight="1">
      <c r="A2201" s="177" t="s">
        <v>6781</v>
      </c>
      <c r="B2201" s="200">
        <v>45461</v>
      </c>
      <c r="C2201" s="178" t="s">
        <v>682</v>
      </c>
      <c r="D2201" s="178" t="s">
        <v>146</v>
      </c>
      <c r="E2201" s="227"/>
      <c r="F2201" s="180"/>
      <c r="G2201" s="481" t="s">
        <v>2016</v>
      </c>
      <c r="H2201" s="182"/>
      <c r="I2201" s="182"/>
      <c r="J2201" s="182"/>
      <c r="K2201" s="183"/>
      <c r="L2201" s="182">
        <v>1</v>
      </c>
      <c r="M2201" s="182"/>
      <c r="N2201" s="182"/>
      <c r="O2201" s="183" t="s">
        <v>95</v>
      </c>
      <c r="P2201" s="183" t="s">
        <v>96</v>
      </c>
      <c r="Q2201" s="183" t="s">
        <v>97</v>
      </c>
      <c r="R2201" s="183">
        <v>30</v>
      </c>
      <c r="S2201" s="183">
        <v>0</v>
      </c>
      <c r="T2201" s="183">
        <v>30</v>
      </c>
      <c r="U2201" s="183" t="s">
        <v>97</v>
      </c>
      <c r="V2201" s="183"/>
      <c r="W2201" s="183"/>
      <c r="X2201" s="183"/>
      <c r="Y2201" s="184">
        <f>IF(ISBLANK(O2201),"",(IF(O2201=UPPER("IB"),0.005,0.01)))</f>
        <v>0.01</v>
      </c>
      <c r="Z2201" s="185">
        <f>IF(ISBLANK(O2201),"",IF(O2201="IB",8.63*200,IF(O2201="IR",16*100,IF(O2201="YT",20*100,IF(O2201="YT-XT",24*200,IF(O2201="TED",80*100,IF(O2201="IR|YT",300*100)))))))</f>
        <v>1600</v>
      </c>
      <c r="AA2201" s="185" t="s">
        <v>3801</v>
      </c>
      <c r="AB2201" s="185"/>
      <c r="AC2201" s="185"/>
      <c r="AD2201" s="649">
        <v>-7.0000000000000007E-2</v>
      </c>
      <c r="AE2201" s="182"/>
      <c r="AF2201" s="332"/>
      <c r="AG2201" s="182"/>
      <c r="AH2201" s="182"/>
      <c r="AI2201" s="182"/>
      <c r="AJ2201" s="640"/>
      <c r="AK2201" s="182"/>
      <c r="AL2201" s="496">
        <f t="shared" ref="AL2201:AL2205" si="733">-0.02*Z2201</f>
        <v>-32</v>
      </c>
      <c r="AM2201" s="496">
        <f t="shared" si="730"/>
        <v>-960</v>
      </c>
      <c r="AN2201" s="626"/>
      <c r="AO2201" s="182"/>
      <c r="AP2201" s="182" t="s">
        <v>1837</v>
      </c>
      <c r="AQ2201" s="332" t="s">
        <v>1259</v>
      </c>
      <c r="AR2201" s="182" t="s">
        <v>2608</v>
      </c>
      <c r="AS2201" s="189">
        <v>-0.08</v>
      </c>
      <c r="AT2201" s="189">
        <f t="shared" si="731"/>
        <v>9.999999999999995E-3</v>
      </c>
      <c r="AU2201" s="187">
        <f t="shared" si="732"/>
        <v>479.99999999999977</v>
      </c>
      <c r="AV2201" s="190">
        <f t="shared" ref="AV2201:AV2205" si="734">IF(ISBLANK(AS2201),,(AT2201*Z2201))</f>
        <v>15.999999999999993</v>
      </c>
      <c r="AW2201" s="191" t="s">
        <v>96</v>
      </c>
      <c r="AX2201" s="551"/>
      <c r="AY2201" s="551"/>
      <c r="AZ2201" s="551"/>
      <c r="BA2201" s="551"/>
      <c r="BB2201" s="551"/>
      <c r="BC2201" s="551"/>
      <c r="BD2201" s="549"/>
      <c r="BE2201" s="550"/>
      <c r="BF2201" s="549"/>
      <c r="BG2201" s="391">
        <f>SUM($AV$1389:AV2201)</f>
        <v>4965.829019347887</v>
      </c>
      <c r="BH2201" s="392">
        <f>SUM($AU$1389:AU2201)</f>
        <v>60068.423836163958</v>
      </c>
      <c r="BI2201" s="318">
        <f>SUMIFS($AU$1388:AU2203,$Q$1388:Q2203,"F")</f>
        <v>37307.078121878127</v>
      </c>
      <c r="BJ2201" s="318">
        <f>SUMIFS($AU$1388:AU2203,$Q$1388:Q2203,"S")</f>
        <v>23922.28571428571</v>
      </c>
      <c r="BK2201" s="343">
        <f>SUMIFS($AU$1388:AU2203,$P$1388:P2203,"W")</f>
        <v>34224.14383616417</v>
      </c>
      <c r="BL2201" s="343">
        <f>SUMIFS($AU$1388:AU2203,$P$1388:P2203,"R")</f>
        <v>21652.400000000325</v>
      </c>
      <c r="BM2201" s="343">
        <f>SUMIFS($AU$1388:AU2203,$AQ$1388:AQ2203,"M")</f>
        <v>12611.179999998967</v>
      </c>
      <c r="BN2201" s="343">
        <f>SUMIFS($AU$1388:AU2203,$AQ$1388:AQ2203,"H")</f>
        <v>13563.200000001041</v>
      </c>
      <c r="BO2201" s="343">
        <f>SUMIFS($AU$1388:AU2203,$AQ$1388:AQ2203,"D")</f>
        <v>15382.377472527351</v>
      </c>
      <c r="BP2201" s="343">
        <f>SUMIFS($AS$1388:AS2702,$AO$1388:AO2702,"W")</f>
        <v>0</v>
      </c>
      <c r="BQ2201" s="343">
        <f>SUMIFS($AU$1388:AU2203,$Q$1388:Q2203,"O")</f>
        <v>-5064.9399999998614</v>
      </c>
      <c r="BR2201" s="343">
        <f>SUMIFS($AU$1388:AU2203,$AA$1388:AA2203,"*")</f>
        <v>44361.522077921982</v>
      </c>
      <c r="BS2201" s="343">
        <f>SUMIFS($AU$1388:AU2203,$AB$1388:AB2203,"*")</f>
        <v>14347.859999999973</v>
      </c>
      <c r="BT2201" s="343">
        <f>SUMIFS($AU$1388:AU2203,$AC$1388:AC2203,"*")</f>
        <v>47147.078121878294</v>
      </c>
      <c r="BU2201" s="343">
        <f>SUMIFS($AU$1388:AU2203,$AA$1388:AA2203,"*",$AB$1388:AB2203,"*")</f>
        <v>8011.9999999997544</v>
      </c>
      <c r="BV2201" s="343">
        <f>SUMIFS($AU$1388:AU2203,$AA$1388:AA2203,"*",$AC$1388:AC2203,"*")</f>
        <v>33840.036363636536</v>
      </c>
      <c r="BW2201" s="343">
        <f>SUMIFS($AU$1388:AU2203,$AB$1388:AB2203,"*",$AC$1388:AC2203,"*")</f>
        <v>10736</v>
      </c>
      <c r="BX2201" s="343">
        <f>SUMIFS($AV$1388:AV2203,$Q$1388:Q2203,"F")</f>
        <v>493.65837744248347</v>
      </c>
      <c r="BY2201" s="343">
        <f>SUMIFS($AV$1388:AV2203,$Q$1388:Q2203,"S")</f>
        <v>804.61134190572739</v>
      </c>
      <c r="BZ2201" s="343">
        <f>SUMIFS($AV$1388:AV2203,$Q$1388:Q2203,"O")</f>
        <v>487.55929999966918</v>
      </c>
    </row>
    <row r="2202" spans="1:78" ht="15.75" customHeight="1">
      <c r="A2202" s="177" t="s">
        <v>6781</v>
      </c>
      <c r="B2202" s="200">
        <v>45461</v>
      </c>
      <c r="C2202" s="178" t="s">
        <v>682</v>
      </c>
      <c r="D2202" s="178" t="s">
        <v>146</v>
      </c>
      <c r="E2202" s="227"/>
      <c r="F2202" s="180"/>
      <c r="G2202" s="181" t="s">
        <v>2942</v>
      </c>
      <c r="H2202" s="182"/>
      <c r="I2202" s="182"/>
      <c r="J2202" s="182"/>
      <c r="K2202" s="183"/>
      <c r="L2202" s="182"/>
      <c r="M2202" s="182"/>
      <c r="N2202" s="182"/>
      <c r="O2202" s="183"/>
      <c r="P2202" s="183"/>
      <c r="Q2202" s="183"/>
      <c r="R2202" s="183"/>
      <c r="S2202" s="183"/>
      <c r="T2202" s="183"/>
      <c r="U2202" s="183"/>
      <c r="V2202" s="183"/>
      <c r="W2202" s="183"/>
      <c r="X2202" s="183"/>
      <c r="Y2202" s="184"/>
      <c r="Z2202" s="185"/>
      <c r="AA2202" s="185"/>
      <c r="AB2202" s="185"/>
      <c r="AC2202" s="185"/>
      <c r="AD2202" s="649"/>
      <c r="AE2202" s="182"/>
      <c r="AF2202" s="332"/>
      <c r="AG2202" s="182"/>
      <c r="AH2202" s="182"/>
      <c r="AI2202" s="182"/>
      <c r="AJ2202" s="640"/>
      <c r="AK2202" s="182"/>
      <c r="AL2202" s="496">
        <f t="shared" si="733"/>
        <v>0</v>
      </c>
      <c r="AM2202" s="496">
        <f t="shared" si="730"/>
        <v>0</v>
      </c>
      <c r="AN2202" s="626"/>
      <c r="AO2202" s="182"/>
      <c r="AP2202" s="182"/>
      <c r="AQ2202" s="332" t="str">
        <f>UPPER(RIGHT(Journal_Live[[#This Row],[DURATION ]]))</f>
        <v/>
      </c>
      <c r="AR2202" s="182"/>
      <c r="AS2202" s="189"/>
      <c r="AT2202" s="189">
        <f t="shared" si="731"/>
        <v>0</v>
      </c>
      <c r="AU2202" s="187">
        <f t="shared" si="732"/>
        <v>0</v>
      </c>
      <c r="AV2202" s="190">
        <f t="shared" si="734"/>
        <v>0</v>
      </c>
      <c r="AW2202" s="191"/>
      <c r="AX2202" s="549" t="s">
        <v>6990</v>
      </c>
      <c r="AY2202" s="551"/>
      <c r="AZ2202" s="551"/>
      <c r="BA2202" s="551"/>
      <c r="BB2202" s="551"/>
      <c r="BC2202" s="551"/>
      <c r="BD2202" s="549"/>
      <c r="BE2202" s="550"/>
      <c r="BF2202" s="549"/>
      <c r="BG2202" s="391">
        <f>SUM($AV$1389:AV2202)</f>
        <v>4965.829019347887</v>
      </c>
      <c r="BH2202" s="392">
        <f>SUM($AU$1389:AU2202)</f>
        <v>60068.423836163958</v>
      </c>
      <c r="BI2202" s="318">
        <f>SUMIFS($AU$1388:AU2204,$Q$1388:Q2204,"F")</f>
        <v>37307.078121878127</v>
      </c>
      <c r="BJ2202" s="318">
        <f>SUMIFS($AU$1388:AU2204,$Q$1388:Q2204,"S")</f>
        <v>23922.28571428571</v>
      </c>
      <c r="BK2202" s="343">
        <f>SUMIFS($AU$1388:AU2204,$P$1388:P2204,"W")</f>
        <v>34224.14383616417</v>
      </c>
      <c r="BL2202" s="343">
        <f>SUMIFS($AU$1388:AU2204,$P$1388:P2204,"R")</f>
        <v>21652.400000000325</v>
      </c>
      <c r="BM2202" s="343">
        <f>SUMIFS($AU$1388:AU2204,$AQ$1388:AQ2204,"M")</f>
        <v>12669.179999998996</v>
      </c>
      <c r="BN2202" s="343">
        <f>SUMIFS($AU$1388:AU2204,$AQ$1388:AQ2204,"H")</f>
        <v>13563.200000001041</v>
      </c>
      <c r="BO2202" s="343">
        <f>SUMIFS($AU$1388:AU2204,$AQ$1388:AQ2204,"D")</f>
        <v>15382.377472527351</v>
      </c>
      <c r="BP2202" s="343">
        <f>SUMIFS($AS$1388:AS2703,$AO$1388:AO2703,"W")</f>
        <v>0</v>
      </c>
      <c r="BQ2202" s="343">
        <f>SUMIFS($AU$1388:AU2204,$Q$1388:Q2204,"O")</f>
        <v>-5006.9399999998313</v>
      </c>
      <c r="BR2202" s="343">
        <f>SUMIFS($AU$1388:AU2204,$AA$1388:AA2204,"*")</f>
        <v>44419.522077922011</v>
      </c>
      <c r="BS2202" s="343">
        <f>SUMIFS($AU$1388:AU2204,$AB$1388:AB2204,"*")</f>
        <v>14347.859999999973</v>
      </c>
      <c r="BT2202" s="343">
        <f>SUMIFS($AU$1388:AU2204,$AC$1388:AC2204,"*")</f>
        <v>47147.078121878294</v>
      </c>
      <c r="BU2202" s="343">
        <f>SUMIFS($AU$1388:AU2204,$AA$1388:AA2204,"*",$AB$1388:AB2204,"*")</f>
        <v>8011.9999999997544</v>
      </c>
      <c r="BV2202" s="343">
        <f>SUMIFS($AU$1388:AU2204,$AA$1388:AA2204,"*",$AC$1388:AC2204,"*")</f>
        <v>33840.036363636536</v>
      </c>
      <c r="BW2202" s="343">
        <f>SUMIFS($AU$1388:AU2204,$AB$1388:AB2204,"*",$AC$1388:AC2204,"*")</f>
        <v>10736</v>
      </c>
      <c r="BX2202" s="343">
        <f>SUMIFS($AV$1388:AV2204,$Q$1388:Q2204,"F")</f>
        <v>493.65837744248347</v>
      </c>
      <c r="BY2202" s="343">
        <f>SUMIFS($AV$1388:AV2204,$Q$1388:Q2204,"S")</f>
        <v>804.61134190572739</v>
      </c>
      <c r="BZ2202" s="343">
        <f>SUMIFS($AV$1388:AV2204,$Q$1388:Q2204,"O")</f>
        <v>545.55929999969885</v>
      </c>
    </row>
    <row r="2203" spans="1:78" ht="15.75" customHeight="1">
      <c r="A2203" s="177" t="s">
        <v>6781</v>
      </c>
      <c r="B2203" s="200">
        <v>45461</v>
      </c>
      <c r="C2203" s="178" t="s">
        <v>3152</v>
      </c>
      <c r="D2203" s="178" t="s">
        <v>146</v>
      </c>
      <c r="E2203" s="227" t="s">
        <v>6991</v>
      </c>
      <c r="F2203" s="180"/>
      <c r="G2203" s="481" t="s">
        <v>2016</v>
      </c>
      <c r="H2203" s="182"/>
      <c r="I2203" s="182"/>
      <c r="J2203" s="182"/>
      <c r="K2203" s="183"/>
      <c r="L2203" s="182">
        <v>1</v>
      </c>
      <c r="M2203" s="182"/>
      <c r="N2203" s="182"/>
      <c r="O2203" s="183" t="s">
        <v>95</v>
      </c>
      <c r="P2203" s="183" t="s">
        <v>96</v>
      </c>
      <c r="Q2203" s="183" t="s">
        <v>97</v>
      </c>
      <c r="R2203" s="183">
        <v>40</v>
      </c>
      <c r="S2203" s="183">
        <v>0</v>
      </c>
      <c r="T2203" s="183">
        <v>60</v>
      </c>
      <c r="U2203" s="183" t="s">
        <v>97</v>
      </c>
      <c r="V2203" s="183"/>
      <c r="W2203" s="183"/>
      <c r="X2203" s="183"/>
      <c r="Y2203" s="184">
        <f>IF(ISBLANK(O2203),"",(IF(O2203=UPPER("IB"),0.005,0.01)))</f>
        <v>0.01</v>
      </c>
      <c r="Z2203" s="185">
        <f>IF(ISBLANK(O2203),"",IF(O2203="IB",8.63*200,IF(O2203="IR",16*100,IF(O2203="YT",20*100,IF(O2203="YT-XT",24*200,IF(O2203="TED",80*100,IF(O2203="IR|YT",300*100)))))))</f>
        <v>1600</v>
      </c>
      <c r="AA2203" s="185" t="s">
        <v>6992</v>
      </c>
      <c r="AB2203" s="185"/>
      <c r="AC2203" s="185" t="s">
        <v>6993</v>
      </c>
      <c r="AD2203" s="649">
        <v>-7.0000000000000007E-2</v>
      </c>
      <c r="AE2203" s="182"/>
      <c r="AF2203" s="332"/>
      <c r="AG2203" s="182"/>
      <c r="AH2203" s="182"/>
      <c r="AI2203" s="182"/>
      <c r="AJ2203" s="640"/>
      <c r="AK2203" s="182"/>
      <c r="AL2203" s="496">
        <f t="shared" si="733"/>
        <v>-32</v>
      </c>
      <c r="AM2203" s="496">
        <f t="shared" si="730"/>
        <v>-1280</v>
      </c>
      <c r="AN2203" s="626"/>
      <c r="AO2203" s="182"/>
      <c r="AP2203" s="182"/>
      <c r="AQ2203" s="332" t="s">
        <v>372</v>
      </c>
      <c r="AR2203" s="182" t="s">
        <v>6994</v>
      </c>
      <c r="AS2203" s="189">
        <v>-0.05</v>
      </c>
      <c r="AT2203" s="189">
        <f t="shared" si="731"/>
        <v>-2.0000000000000004E-2</v>
      </c>
      <c r="AU2203" s="187">
        <f t="shared" si="732"/>
        <v>-1280.0000000000002</v>
      </c>
      <c r="AV2203" s="190">
        <f t="shared" si="734"/>
        <v>-32.000000000000007</v>
      </c>
      <c r="AW2203" s="191" t="s">
        <v>229</v>
      </c>
      <c r="AX2203" s="551" t="s">
        <v>6995</v>
      </c>
      <c r="AY2203" s="551" t="s">
        <v>6996</v>
      </c>
      <c r="AZ2203" s="551"/>
      <c r="BA2203" s="551"/>
      <c r="BB2203" s="551"/>
      <c r="BC2203" s="551"/>
      <c r="BD2203" s="549"/>
      <c r="BE2203" s="550"/>
      <c r="BF2203" s="549"/>
      <c r="BG2203" s="391">
        <f>SUM($AV$1389:AV2203)</f>
        <v>4933.829019347887</v>
      </c>
      <c r="BH2203" s="392">
        <f>SUM($AU$1389:AU2203)</f>
        <v>58788.423836163958</v>
      </c>
      <c r="BI2203" s="318">
        <f>SUMIFS($AU$1388:AU2205,$Q$1388:Q2205,"F")</f>
        <v>37307.078121878127</v>
      </c>
      <c r="BJ2203" s="318">
        <f>SUMIFS($AU$1388:AU2205,$Q$1388:Q2205,"S")</f>
        <v>23922.28571428571</v>
      </c>
      <c r="BK2203" s="343">
        <f>SUMIFS($AU$1388:AU2205,$P$1388:P2205,"W")</f>
        <v>34224.14383616417</v>
      </c>
      <c r="BL2203" s="343">
        <f>SUMIFS($AU$1388:AU2205,$P$1388:P2205,"R")</f>
        <v>21652.400000000325</v>
      </c>
      <c r="BM2203" s="343">
        <f>SUMIFS($AU$1388:AU2205,$AQ$1388:AQ2205,"M")</f>
        <v>12669.179999998996</v>
      </c>
      <c r="BN2203" s="343">
        <f>SUMIFS($AU$1388:AU2205,$AQ$1388:AQ2205,"H")</f>
        <v>13563.200000001041</v>
      </c>
      <c r="BO2203" s="343">
        <f>SUMIFS($AU$1388:AU2205,$AQ$1388:AQ2205,"D")</f>
        <v>15382.377472527351</v>
      </c>
      <c r="BP2203" s="343">
        <f>SUMIFS($AS$1388:AS2704,$AO$1388:AO2704,"W")</f>
        <v>0</v>
      </c>
      <c r="BQ2203" s="343">
        <f>SUMIFS($AU$1388:AU2205,$Q$1388:Q2205,"O")</f>
        <v>-5006.9399999998313</v>
      </c>
      <c r="BR2203" s="343">
        <f>SUMIFS($AU$1388:AU2205,$AA$1388:AA2205,"*")</f>
        <v>44419.522077922011</v>
      </c>
      <c r="BS2203" s="343">
        <f>SUMIFS($AU$1388:AU2205,$AB$1388:AB2205,"*")</f>
        <v>14347.859999999973</v>
      </c>
      <c r="BT2203" s="343">
        <f>SUMIFS($AU$1388:AU2205,$AC$1388:AC2205,"*")</f>
        <v>47147.078121878294</v>
      </c>
      <c r="BU2203" s="343">
        <f>SUMIFS($AU$1388:AU2205,$AA$1388:AA2205,"*",$AB$1388:AB2205,"*")</f>
        <v>8011.9999999997544</v>
      </c>
      <c r="BV2203" s="343">
        <f>SUMIFS($AU$1388:AU2205,$AA$1388:AA2205,"*",$AC$1388:AC2205,"*")</f>
        <v>33840.036363636536</v>
      </c>
      <c r="BW2203" s="343">
        <f>SUMIFS($AU$1388:AU2205,$AB$1388:AB2205,"*",$AC$1388:AC2205,"*")</f>
        <v>10736</v>
      </c>
      <c r="BX2203" s="343">
        <f>SUMIFS($AV$1388:AV2205,$Q$1388:Q2205,"F")</f>
        <v>493.65837744248347</v>
      </c>
      <c r="BY2203" s="343">
        <f>SUMIFS($AV$1388:AV2205,$Q$1388:Q2205,"S")</f>
        <v>804.61134190572739</v>
      </c>
      <c r="BZ2203" s="343">
        <f>SUMIFS($AV$1388:AV2205,$Q$1388:Q2205,"O")</f>
        <v>545.55929999969885</v>
      </c>
    </row>
    <row r="2204" spans="1:78" ht="15.75" customHeight="1">
      <c r="A2204" s="177" t="s">
        <v>6781</v>
      </c>
      <c r="B2204" s="200">
        <v>45461</v>
      </c>
      <c r="C2204" s="178" t="s">
        <v>5042</v>
      </c>
      <c r="D2204" s="178" t="s">
        <v>146</v>
      </c>
      <c r="E2204" s="227" t="s">
        <v>6997</v>
      </c>
      <c r="F2204" s="180"/>
      <c r="G2204" s="481" t="s">
        <v>6998</v>
      </c>
      <c r="H2204" s="182"/>
      <c r="I2204" s="182"/>
      <c r="J2204" s="182"/>
      <c r="K2204" s="183"/>
      <c r="L2204" s="182">
        <v>2</v>
      </c>
      <c r="M2204" s="182"/>
      <c r="N2204" s="182"/>
      <c r="O2204" s="183" t="s">
        <v>3618</v>
      </c>
      <c r="P2204" s="183" t="s">
        <v>2260</v>
      </c>
      <c r="Q2204" s="183" t="s">
        <v>684</v>
      </c>
      <c r="R2204" s="183">
        <v>1</v>
      </c>
      <c r="S2204" s="183">
        <v>0</v>
      </c>
      <c r="T2204" s="183">
        <v>1</v>
      </c>
      <c r="U2204" s="183" t="s">
        <v>97</v>
      </c>
      <c r="V2204" s="183"/>
      <c r="W2204" s="183"/>
      <c r="X2204" s="183"/>
      <c r="Y2204" s="184">
        <f>IF(ISBLANK(O2204),"",(IF(O2204=UPPER("IB"),0.005,0.01)))</f>
        <v>0.01</v>
      </c>
      <c r="Z2204" s="185">
        <f>IF(ISBLANK(O2204),"",IF(O2204="IB",8.63*200,IF(O2204="IR",16*100,IF(O2204="YT",20*100,IF(O2204="YT-XT",24*200,IF(O2204="TED",80*100,IF(O2204="XT",29*200)))))))</f>
        <v>5800</v>
      </c>
      <c r="AA2204" s="185" t="s">
        <v>5476</v>
      </c>
      <c r="AB2204" s="185"/>
      <c r="AC2204" s="185"/>
      <c r="AD2204" s="649">
        <v>95.84</v>
      </c>
      <c r="AE2204" s="182"/>
      <c r="AF2204" s="332"/>
      <c r="AG2204" s="182"/>
      <c r="AH2204" s="182"/>
      <c r="AI2204" s="182"/>
      <c r="AJ2204" s="640"/>
      <c r="AK2204" s="182"/>
      <c r="AL2204" s="496">
        <f t="shared" si="733"/>
        <v>-116</v>
      </c>
      <c r="AM2204" s="496">
        <f t="shared" si="730"/>
        <v>-116</v>
      </c>
      <c r="AN2204" s="626"/>
      <c r="AO2204" s="182"/>
      <c r="AP2204" s="182" t="s">
        <v>1843</v>
      </c>
      <c r="AQ2204" s="332" t="str">
        <f>UPPER(RIGHT(Journal_Live[[#This Row],[DURATION ]]))</f>
        <v>M</v>
      </c>
      <c r="AR2204" s="182"/>
      <c r="AS2204" s="189">
        <v>95.83</v>
      </c>
      <c r="AT2204" s="189">
        <f t="shared" si="731"/>
        <v>1.0000000000005116E-2</v>
      </c>
      <c r="AU2204" s="187">
        <f t="shared" si="732"/>
        <v>58.000000000029672</v>
      </c>
      <c r="AV2204" s="190">
        <f t="shared" si="734"/>
        <v>58.000000000029672</v>
      </c>
      <c r="AW2204" s="191" t="s">
        <v>96</v>
      </c>
      <c r="AX2204" s="551"/>
      <c r="AY2204" s="551"/>
      <c r="AZ2204" s="551"/>
      <c r="BA2204" s="551"/>
      <c r="BB2204" s="551"/>
      <c r="BC2204" s="551"/>
      <c r="BD2204" s="549"/>
      <c r="BE2204" s="550"/>
      <c r="BF2204" s="549"/>
      <c r="BG2204" s="391">
        <f>SUM($AV$1389:AV2204)</f>
        <v>4991.829019347917</v>
      </c>
      <c r="BH2204" s="392">
        <f>SUM($AU$1389:AU2204)</f>
        <v>58846.423836163987</v>
      </c>
      <c r="BI2204" s="318">
        <f>SUMIFS($AU$1388:AU2206,$Q$1388:Q2206,"F")</f>
        <v>37307.078121878127</v>
      </c>
      <c r="BJ2204" s="318">
        <f>SUMIFS($AU$1388:AU2206,$Q$1388:Q2206,"S")</f>
        <v>23922.28571428571</v>
      </c>
      <c r="BK2204" s="343">
        <f>SUMIFS($AU$1388:AU2206,$P$1388:P2206,"W")</f>
        <v>34224.14383616417</v>
      </c>
      <c r="BL2204" s="343">
        <f>SUMIFS($AU$1388:AU2206,$P$1388:P2206,"R")</f>
        <v>21652.400000000325</v>
      </c>
      <c r="BM2204" s="343">
        <f>SUMIFS($AU$1388:AU2206,$AQ$1388:AQ2206,"M")</f>
        <v>12669.179999998996</v>
      </c>
      <c r="BN2204" s="343">
        <f>SUMIFS($AU$1388:AU2206,$AQ$1388:AQ2206,"H")</f>
        <v>13563.200000001041</v>
      </c>
      <c r="BO2204" s="343">
        <f>SUMIFS($AU$1388:AU2206,$AQ$1388:AQ2206,"D")</f>
        <v>15382.377472527351</v>
      </c>
      <c r="BP2204" s="343">
        <f>SUMIFS($AS$1388:AS2705,$AO$1388:AO2705,"W")</f>
        <v>0</v>
      </c>
      <c r="BQ2204" s="343">
        <f>SUMIFS($AU$1388:AU2206,$Q$1388:Q2206,"O")</f>
        <v>-5006.9399999998313</v>
      </c>
      <c r="BR2204" s="343">
        <f>SUMIFS($AU$1388:AU2206,$AA$1388:AA2206,"*")</f>
        <v>44419.522077922011</v>
      </c>
      <c r="BS2204" s="343">
        <f>SUMIFS($AU$1388:AU2206,$AB$1388:AB2206,"*")</f>
        <v>14347.859999999973</v>
      </c>
      <c r="BT2204" s="343">
        <f>SUMIFS($AU$1388:AU2206,$AC$1388:AC2206,"*")</f>
        <v>47147.078121878294</v>
      </c>
      <c r="BU2204" s="343">
        <f>SUMIFS($AU$1388:AU2206,$AA$1388:AA2206,"*",$AB$1388:AB2206,"*")</f>
        <v>8011.9999999997544</v>
      </c>
      <c r="BV2204" s="343">
        <f>SUMIFS($AU$1388:AU2206,$AA$1388:AA2206,"*",$AC$1388:AC2206,"*")</f>
        <v>33840.036363636536</v>
      </c>
      <c r="BW2204" s="343">
        <f>SUMIFS($AU$1388:AU2206,$AB$1388:AB2206,"*",$AC$1388:AC2206,"*")</f>
        <v>10736</v>
      </c>
      <c r="BX2204" s="343">
        <f>SUMIFS($AV$1388:AV2206,$Q$1388:Q2206,"F")</f>
        <v>493.65837744248347</v>
      </c>
      <c r="BY2204" s="343">
        <f>SUMIFS($AV$1388:AV2206,$Q$1388:Q2206,"S")</f>
        <v>804.61134190572739</v>
      </c>
      <c r="BZ2204" s="343">
        <f>SUMIFS($AV$1388:AV2206,$Q$1388:Q2206,"O")</f>
        <v>545.55929999969885</v>
      </c>
    </row>
    <row r="2205" spans="1:78" ht="15.75" customHeight="1">
      <c r="A2205" s="177" t="s">
        <v>6781</v>
      </c>
      <c r="B2205" s="200"/>
      <c r="C2205" s="178"/>
      <c r="D2205" s="178"/>
      <c r="E2205" s="227"/>
      <c r="F2205" s="180"/>
      <c r="G2205" s="181"/>
      <c r="H2205" s="182"/>
      <c r="I2205" s="182"/>
      <c r="J2205" s="182"/>
      <c r="K2205" s="183"/>
      <c r="L2205" s="182"/>
      <c r="M2205" s="182"/>
      <c r="N2205" s="182"/>
      <c r="O2205" s="183"/>
      <c r="P2205" s="183"/>
      <c r="Q2205" s="183"/>
      <c r="R2205" s="183"/>
      <c r="S2205" s="183"/>
      <c r="T2205" s="183"/>
      <c r="U2205" s="183"/>
      <c r="V2205" s="183"/>
      <c r="W2205" s="183"/>
      <c r="X2205" s="183"/>
      <c r="Y2205" s="183"/>
      <c r="Z2205" s="183"/>
      <c r="AA2205" s="185"/>
      <c r="AB2205" s="185"/>
      <c r="AC2205" s="185"/>
      <c r="AD2205" s="649"/>
      <c r="AE2205" s="182"/>
      <c r="AF2205" s="332"/>
      <c r="AG2205" s="182"/>
      <c r="AH2205" s="182"/>
      <c r="AI2205" s="182"/>
      <c r="AJ2205" s="640"/>
      <c r="AK2205" s="182"/>
      <c r="AL2205" s="496">
        <f t="shared" si="733"/>
        <v>0</v>
      </c>
      <c r="AM2205" s="496">
        <f t="shared" si="730"/>
        <v>0</v>
      </c>
      <c r="AN2205" s="626"/>
      <c r="AO2205" s="182"/>
      <c r="AP2205" s="182"/>
      <c r="AQ2205" s="332" t="str">
        <f>UPPER(RIGHT(Journal_Live[[#This Row],[DURATION ]]))</f>
        <v/>
      </c>
      <c r="AR2205" s="182"/>
      <c r="AS2205" s="189"/>
      <c r="AT2205" s="189">
        <f t="shared" si="731"/>
        <v>0</v>
      </c>
      <c r="AU2205" s="187">
        <f t="shared" si="732"/>
        <v>0</v>
      </c>
      <c r="AV2205" s="190">
        <f t="shared" si="734"/>
        <v>0</v>
      </c>
      <c r="AW2205" s="191"/>
      <c r="AX2205" s="551" t="s">
        <v>6999</v>
      </c>
      <c r="AY2205" s="551" t="s">
        <v>7000</v>
      </c>
      <c r="AZ2205" s="551" t="s">
        <v>7001</v>
      </c>
      <c r="BA2205" s="551" t="s">
        <v>7002</v>
      </c>
      <c r="BB2205" s="551" t="s">
        <v>7003</v>
      </c>
      <c r="BC2205" s="551"/>
      <c r="BD2205" s="549"/>
      <c r="BE2205" s="550"/>
      <c r="BF2205" s="549"/>
      <c r="BG2205" s="391">
        <f>SUM($AV$1389:AV2205)</f>
        <v>4991.829019347917</v>
      </c>
      <c r="BH2205" s="392">
        <f>SUM($AU$1389:AU2205)</f>
        <v>58846.423836163987</v>
      </c>
      <c r="BI2205" s="318">
        <f>SUMIFS($AU$1388:AU2207,$Q$1388:Q2207,"F")</f>
        <v>37307.078121878127</v>
      </c>
      <c r="BJ2205" s="318">
        <f>SUMIFS($AU$1388:AU2207,$Q$1388:Q2207,"S")</f>
        <v>23922.28571428571</v>
      </c>
      <c r="BK2205" s="343">
        <f>SUMIFS($AU$1388:AU2207,$P$1388:P2207,"W")</f>
        <v>34224.14383616417</v>
      </c>
      <c r="BL2205" s="343">
        <f>SUMIFS($AU$1388:AU2207,$P$1388:P2207,"R")</f>
        <v>21652.400000000325</v>
      </c>
      <c r="BM2205" s="343">
        <f>SUMIFS($AU$1388:AU2207,$AQ$1388:AQ2207,"M")</f>
        <v>12669.179999998996</v>
      </c>
      <c r="BN2205" s="343">
        <f>SUMIFS($AU$1388:AU2207,$AQ$1388:AQ2207,"H")</f>
        <v>13563.200000001041</v>
      </c>
      <c r="BO2205" s="343">
        <f>SUMIFS($AU$1388:AU2207,$AQ$1388:AQ2207,"D")</f>
        <v>15382.377472527351</v>
      </c>
      <c r="BP2205" s="343">
        <f>SUMIFS($AS$1388:AS2706,$AO$1388:AO2706,"W")</f>
        <v>0</v>
      </c>
      <c r="BQ2205" s="343">
        <f>SUMIFS($AU$1388:AU2207,$Q$1388:Q2207,"O")</f>
        <v>-5006.9399999998313</v>
      </c>
      <c r="BR2205" s="343">
        <f>SUMIFS($AU$1388:AU2207,$AA$1388:AA2207,"*")</f>
        <v>44419.522077922011</v>
      </c>
      <c r="BS2205" s="343">
        <f>SUMIFS($AU$1388:AU2207,$AB$1388:AB2207,"*")</f>
        <v>14347.859999999973</v>
      </c>
      <c r="BT2205" s="343">
        <f>SUMIFS($AU$1388:AU2207,$AC$1388:AC2207,"*")</f>
        <v>47147.078121878294</v>
      </c>
      <c r="BU2205" s="343">
        <f>SUMIFS($AU$1388:AU2207,$AA$1388:AA2207,"*",$AB$1388:AB2207,"*")</f>
        <v>8011.9999999997544</v>
      </c>
      <c r="BV2205" s="343">
        <f>SUMIFS($AU$1388:AU2207,$AA$1388:AA2207,"*",$AC$1388:AC2207,"*")</f>
        <v>33840.036363636536</v>
      </c>
      <c r="BW2205" s="343">
        <f>SUMIFS($AU$1388:AU2207,$AB$1388:AB2207,"*",$AC$1388:AC2207,"*")</f>
        <v>10736</v>
      </c>
      <c r="BX2205" s="343">
        <f>SUMIFS($AV$1388:AV2207,$Q$1388:Q2207,"F")</f>
        <v>493.65837744248347</v>
      </c>
      <c r="BY2205" s="343">
        <f>SUMIFS($AV$1388:AV2207,$Q$1388:Q2207,"S")</f>
        <v>804.61134190572739</v>
      </c>
      <c r="BZ2205" s="343">
        <f>SUMIFS($AV$1388:AV2207,$Q$1388:Q2207,"O")</f>
        <v>545.55929999969885</v>
      </c>
    </row>
    <row r="2206" spans="1:78" ht="15.75" customHeight="1">
      <c r="A2206" s="177" t="s">
        <v>6781</v>
      </c>
      <c r="B2206" s="200"/>
      <c r="C2206" s="178"/>
      <c r="D2206" s="178"/>
      <c r="E2206" s="227"/>
      <c r="F2206" s="180"/>
      <c r="G2206" s="181"/>
      <c r="H2206" s="182"/>
      <c r="I2206" s="182"/>
      <c r="J2206" s="182"/>
      <c r="K2206" s="183"/>
      <c r="L2206" s="182"/>
      <c r="M2206" s="182"/>
      <c r="N2206" s="182"/>
      <c r="O2206" s="183"/>
      <c r="P2206" s="183"/>
      <c r="Q2206" s="183"/>
      <c r="R2206" s="183"/>
      <c r="S2206" s="183"/>
      <c r="T2206" s="183"/>
      <c r="U2206" s="183"/>
      <c r="V2206" s="183"/>
      <c r="W2206" s="183"/>
      <c r="X2206" s="183"/>
      <c r="Y2206" s="183"/>
      <c r="Z2206" s="183"/>
      <c r="AA2206" s="185"/>
      <c r="AB2206" s="185"/>
      <c r="AC2206" s="185"/>
      <c r="AD2206" s="649"/>
      <c r="AE2206" s="182"/>
      <c r="AF2206" s="332"/>
      <c r="AG2206" s="182"/>
      <c r="AH2206" s="182"/>
      <c r="AI2206" s="182"/>
      <c r="AJ2206" s="640"/>
      <c r="AK2206" s="182"/>
      <c r="AL2206" s="496">
        <f t="shared" si="729"/>
        <v>0</v>
      </c>
      <c r="AM2206" s="496">
        <f t="shared" si="730"/>
        <v>0</v>
      </c>
      <c r="AN2206" s="626"/>
      <c r="AO2206" s="182"/>
      <c r="AP2206" s="182"/>
      <c r="AQ2206" s="332" t="str">
        <f>UPPER(RIGHT(Journal_Live[[#This Row],[DURATION ]]))</f>
        <v/>
      </c>
      <c r="AR2206" s="182"/>
      <c r="AS2206" s="189"/>
      <c r="AT2206" s="189">
        <f t="shared" si="731"/>
        <v>0</v>
      </c>
      <c r="AU2206" s="187">
        <f t="shared" si="732"/>
        <v>0</v>
      </c>
      <c r="AV2206" s="190">
        <f t="shared" si="728"/>
        <v>0</v>
      </c>
      <c r="AW2206" s="191"/>
      <c r="AX2206" s="551" t="s">
        <v>7004</v>
      </c>
      <c r="AY2206" s="551" t="s">
        <v>7005</v>
      </c>
      <c r="AZ2206" s="551" t="s">
        <v>7006</v>
      </c>
      <c r="BA2206" s="551" t="s">
        <v>7007</v>
      </c>
      <c r="BB2206" s="551"/>
      <c r="BC2206" s="551"/>
      <c r="BD2206" s="549"/>
      <c r="BE2206" s="550"/>
      <c r="BF2206" s="549"/>
      <c r="BG2206" s="391">
        <f>SUM($AV$1389:AV2206)</f>
        <v>4991.829019347917</v>
      </c>
      <c r="BH2206" s="392">
        <f>SUM($AU$1389:AU2206)</f>
        <v>58846.423836163987</v>
      </c>
      <c r="BI2206" s="318">
        <f>SUMIFS($AU$1388:AU2221,$Q$1388:Q2221,"F")</f>
        <v>37211.078121878127</v>
      </c>
      <c r="BJ2206" s="318">
        <f>SUMIFS($AU$1388:AU2221,$Q$1388:Q2221,"S")</f>
        <v>25058.28571428571</v>
      </c>
      <c r="BK2206" s="343">
        <f>SUMIFS($AU$1388:AU2221,$P$1388:P2221,"W")</f>
        <v>34608.14383616417</v>
      </c>
      <c r="BL2206" s="343">
        <f>SUMIFS($AU$1388:AU2221,$P$1388:P2221,"R")</f>
        <v>22308.400000000325</v>
      </c>
      <c r="BM2206" s="343">
        <f>SUMIFS($AU$1388:AU2221,$AQ$1388:AQ2221,"M")</f>
        <v>12669.179999998996</v>
      </c>
      <c r="BN2206" s="343">
        <f>SUMIFS($AU$1388:AU2221,$AQ$1388:AQ2221,"H")</f>
        <v>14363.200000001041</v>
      </c>
      <c r="BO2206" s="343">
        <f>SUMIFS($AU$1388:AU2221,$AQ$1388:AQ2221,"D")</f>
        <v>15062.377472527351</v>
      </c>
      <c r="BP2206" s="343">
        <f>SUMIFS($AS$1388:AS2707,$AO$1388:AO2707,"W")</f>
        <v>0</v>
      </c>
      <c r="BQ2206" s="343">
        <f>SUMIFS($AU$1388:AU2221,$Q$1388:Q2221,"O")</f>
        <v>-5006.9399999998313</v>
      </c>
      <c r="BR2206" s="343">
        <f>SUMIFS($AU$1388:AU2221,$AA$1388:AA2221,"*")</f>
        <v>45123.522077922011</v>
      </c>
      <c r="BS2206" s="343">
        <f>SUMIFS($AU$1388:AU2221,$AB$1388:AB2221,"*")</f>
        <v>14251.859999999973</v>
      </c>
      <c r="BT2206" s="343">
        <f>SUMIFS($AU$1388:AU2221,$AC$1388:AC2221,"*")</f>
        <v>47387.078121878294</v>
      </c>
      <c r="BU2206" s="343">
        <f>SUMIFS($AU$1388:AU2221,$AA$1388:AA2221,"*",$AB$1388:AB2221,"*")</f>
        <v>7915.9999999997544</v>
      </c>
      <c r="BV2206" s="343">
        <f>SUMIFS($AU$1388:AU2221,$AA$1388:AA2221,"*",$AC$1388:AC2221,"*")</f>
        <v>33744.036363636536</v>
      </c>
      <c r="BW2206" s="343">
        <f>SUMIFS($AU$1388:AU2221,$AB$1388:AB2221,"*",$AC$1388:AC2221,"*")</f>
        <v>10640</v>
      </c>
      <c r="BX2206" s="343">
        <f>SUMIFS($AV$1388:AV2221,$Q$1388:Q2221,"F")</f>
        <v>488.85837744248346</v>
      </c>
      <c r="BY2206" s="343">
        <f>SUMIFS($AV$1388:AV2221,$Q$1388:Q2221,"S")</f>
        <v>820.61134190572739</v>
      </c>
      <c r="BZ2206" s="343">
        <f>SUMIFS($AV$1388:AV2221,$Q$1388:Q2221,"O")</f>
        <v>545.55929999969885</v>
      </c>
    </row>
    <row r="2207" spans="1:78" ht="15.75" customHeight="1">
      <c r="A2207" s="177" t="s">
        <v>6781</v>
      </c>
      <c r="B2207" s="200">
        <v>45461</v>
      </c>
      <c r="C2207" s="178" t="s">
        <v>6488</v>
      </c>
      <c r="D2207" s="178" t="s">
        <v>146</v>
      </c>
      <c r="E2207" s="227"/>
      <c r="F2207" s="180"/>
      <c r="G2207" s="570" t="s">
        <v>6208</v>
      </c>
      <c r="H2207" s="182"/>
      <c r="I2207" s="182"/>
      <c r="J2207" s="182"/>
      <c r="K2207" s="183"/>
      <c r="L2207" s="182">
        <v>1</v>
      </c>
      <c r="M2207" s="182"/>
      <c r="N2207" s="182"/>
      <c r="O2207" s="183" t="s">
        <v>95</v>
      </c>
      <c r="P2207" s="183" t="s">
        <v>96</v>
      </c>
      <c r="Q2207" s="183" t="s">
        <v>97</v>
      </c>
      <c r="R2207" s="183">
        <v>60</v>
      </c>
      <c r="S2207" s="183">
        <v>2</v>
      </c>
      <c r="T2207" s="183">
        <v>55</v>
      </c>
      <c r="U2207" s="183" t="s">
        <v>22</v>
      </c>
      <c r="V2207" s="183"/>
      <c r="W2207" s="183"/>
      <c r="X2207" s="183"/>
      <c r="Y2207" s="184">
        <f>IF(ISBLANK(O2207),"",(IF(O2207=UPPER("IB"),0.005,0.01)))</f>
        <v>0.01</v>
      </c>
      <c r="Z2207" s="185">
        <f>IF(ISBLANK(O2207),"",IF(O2207="IB",8.63*200,IF(O2207="IR",16*100,IF(O2207="YT",20*100,IF(O2207="YT-XT",24*200,IF(O2207="TED",80*100,IF(O2207="IR|YT",300*100)))))))</f>
        <v>1600</v>
      </c>
      <c r="AA2207" s="185"/>
      <c r="AB2207" s="185"/>
      <c r="AC2207" s="185" t="s">
        <v>7008</v>
      </c>
      <c r="AD2207" s="649">
        <v>-0.1</v>
      </c>
      <c r="AE2207" s="182"/>
      <c r="AF2207" s="332"/>
      <c r="AG2207" s="182"/>
      <c r="AH2207" s="182"/>
      <c r="AI2207" s="182"/>
      <c r="AJ2207" s="640"/>
      <c r="AK2207" s="182"/>
      <c r="AL2207" s="496">
        <f t="shared" si="727"/>
        <v>-32</v>
      </c>
      <c r="AM2207" s="496">
        <f t="shared" si="730"/>
        <v>-1856</v>
      </c>
      <c r="AN2207" s="626"/>
      <c r="AO2207" s="182"/>
      <c r="AP2207" s="182" t="s">
        <v>589</v>
      </c>
      <c r="AQ2207" s="332" t="s">
        <v>115</v>
      </c>
      <c r="AR2207" s="182" t="s">
        <v>7009</v>
      </c>
      <c r="AS2207" s="189">
        <v>-0.1</v>
      </c>
      <c r="AT2207" s="189">
        <f t="shared" si="731"/>
        <v>0</v>
      </c>
      <c r="AU2207" s="187">
        <f t="shared" si="732"/>
        <v>0</v>
      </c>
      <c r="AV2207" s="190">
        <f t="shared" si="726"/>
        <v>0</v>
      </c>
      <c r="AW2207" s="191" t="s">
        <v>115</v>
      </c>
      <c r="AX2207" s="549" t="s">
        <v>6405</v>
      </c>
      <c r="AY2207" s="551" t="s">
        <v>7010</v>
      </c>
      <c r="AZ2207" s="588" t="s">
        <v>7011</v>
      </c>
      <c r="BA2207" s="551"/>
      <c r="BB2207" s="551"/>
      <c r="BC2207" s="551"/>
      <c r="BD2207" s="549"/>
      <c r="BE2207" s="550"/>
      <c r="BF2207" s="549"/>
      <c r="BG2207" s="391">
        <f>SUM($AV$1389:AV2207)</f>
        <v>4991.829019347917</v>
      </c>
      <c r="BH2207" s="392">
        <f>SUM($AU$1389:AU2207)</f>
        <v>58846.423836163987</v>
      </c>
      <c r="BI2207" s="318">
        <f>SUMIFS($AU$1388:AU2277,$Q$1388:Q2277,"F")</f>
        <v>29235.078121878127</v>
      </c>
      <c r="BJ2207" s="318">
        <f>SUMIFS($AU$1388:AU2277,$Q$1388:Q2277,"S")</f>
        <v>17938.285714285706</v>
      </c>
      <c r="BK2207" s="343">
        <f>SUMIFS($AU$1388:AU2277,$P$1388:P2277,"W")</f>
        <v>17144.143836163403</v>
      </c>
      <c r="BL2207" s="343">
        <f>SUMIFS($AU$1388:AU2277,$P$1388:P2277,"R")</f>
        <v>22616.400000000325</v>
      </c>
      <c r="BM2207" s="343">
        <f>SUMIFS($AU$1388:AU2277,$AQ$1388:AQ2277,"M")</f>
        <v>8875.1799999983887</v>
      </c>
      <c r="BN2207" s="343">
        <f>SUMIFS($AU$1388:AU2277,$AQ$1388:AQ2277,"H")</f>
        <v>11643.200000000877</v>
      </c>
      <c r="BO2207" s="343">
        <f>SUMIFS($AU$1388:AU2277,$AQ$1388:AQ2277,"D")</f>
        <v>13122.377472527351</v>
      </c>
      <c r="BP2207" s="343">
        <f>SUMIFS($AS$1388:AS2708,$AO$1388:AO2708,"W")</f>
        <v>0</v>
      </c>
      <c r="BQ2207" s="343">
        <f>SUMIFS($AU$1388:AU2277,$Q$1388:Q2277,"O")</f>
        <v>-9340.9400000006026</v>
      </c>
      <c r="BR2207" s="343">
        <f>SUMIFS($AU$1388:AU2277,$AA$1388:AA2277,"*")</f>
        <v>37881.5220779214</v>
      </c>
      <c r="BS2207" s="343">
        <f>SUMIFS($AU$1388:AU2277,$AB$1388:AB2277,"*")</f>
        <v>7475.8599999999715</v>
      </c>
      <c r="BT2207" s="343">
        <f>SUMIFS($AU$1388:AU2277,$AC$1388:AC2277,"*")</f>
        <v>33251.078121878119</v>
      </c>
      <c r="BU2207" s="343">
        <f>SUMIFS($AU$1388:AU2277,$AA$1388:AA2277,"*",$AB$1388:AB2277,"*")</f>
        <v>7915.9999999997544</v>
      </c>
      <c r="BV2207" s="343">
        <f>SUMIFS($AU$1388:AU2277,$AA$1388:AA2277,"*",$AC$1388:AC2277,"*")</f>
        <v>29696.036363636529</v>
      </c>
      <c r="BW2207" s="343">
        <f>SUMIFS($AU$1388:AU2277,$AB$1388:AB2277,"*",$AC$1388:AC2277,"*")</f>
        <v>3863.9999999999991</v>
      </c>
      <c r="BX2207" s="343">
        <f>SUMIFS($AV$1388:AV2277,$Q$1388:Q2277,"F")</f>
        <v>383.04019562430165</v>
      </c>
      <c r="BY2207" s="343">
        <f>SUMIFS($AV$1388:AV2277,$Q$1388:Q2277,"S")</f>
        <v>676.61134190572739</v>
      </c>
      <c r="BZ2207" s="343">
        <f>SUMIFS($AV$1388:AV2277,$Q$1388:Q2277,"O")</f>
        <v>378.55929999967736</v>
      </c>
    </row>
    <row r="2208" spans="1:78" ht="15.75" customHeight="1">
      <c r="A2208" s="177" t="s">
        <v>6781</v>
      </c>
      <c r="B2208" s="200">
        <v>45461</v>
      </c>
      <c r="C2208" s="178" t="s">
        <v>7012</v>
      </c>
      <c r="D2208" s="178" t="s">
        <v>146</v>
      </c>
      <c r="E2208" s="227"/>
      <c r="F2208" s="180"/>
      <c r="G2208" s="181" t="s">
        <v>3625</v>
      </c>
      <c r="H2208" s="182"/>
      <c r="I2208" s="182"/>
      <c r="J2208" s="182"/>
      <c r="K2208" s="183"/>
      <c r="L2208" s="182"/>
      <c r="M2208" s="182"/>
      <c r="N2208" s="182"/>
      <c r="O2208" s="183"/>
      <c r="P2208" s="183"/>
      <c r="Q2208" s="183"/>
      <c r="R2208" s="183"/>
      <c r="S2208" s="183"/>
      <c r="T2208" s="183"/>
      <c r="U2208" s="183"/>
      <c r="V2208" s="183"/>
      <c r="W2208" s="183"/>
      <c r="X2208" s="183"/>
      <c r="Y2208" s="184"/>
      <c r="Z2208" s="185"/>
      <c r="AA2208" s="185"/>
      <c r="AB2208" s="185"/>
      <c r="AC2208" s="185"/>
      <c r="AD2208" s="649"/>
      <c r="AE2208" s="182"/>
      <c r="AF2208" s="332"/>
      <c r="AG2208" s="182"/>
      <c r="AH2208" s="182"/>
      <c r="AI2208" s="182"/>
      <c r="AJ2208" s="640"/>
      <c r="AK2208" s="182"/>
      <c r="AL2208" s="496">
        <f t="shared" si="727"/>
        <v>0</v>
      </c>
      <c r="AM2208" s="496">
        <f t="shared" si="730"/>
        <v>0</v>
      </c>
      <c r="AN2208" s="626"/>
      <c r="AO2208" s="182"/>
      <c r="AP2208" s="182"/>
      <c r="AQ2208" s="332" t="str">
        <f>UPPER(RIGHT(Journal_Live[[#This Row],[DURATION ]]))</f>
        <v/>
      </c>
      <c r="AR2208" s="182"/>
      <c r="AS2208" s="189"/>
      <c r="AT2208" s="189">
        <f t="shared" si="731"/>
        <v>0</v>
      </c>
      <c r="AU2208" s="187">
        <f t="shared" si="732"/>
        <v>0</v>
      </c>
      <c r="AV2208" s="190">
        <f t="shared" si="726"/>
        <v>0</v>
      </c>
      <c r="AW2208" s="191"/>
      <c r="AX2208" s="551" t="s">
        <v>7013</v>
      </c>
      <c r="AY2208" s="551" t="s">
        <v>7014</v>
      </c>
      <c r="AZ2208" s="549" t="s">
        <v>7015</v>
      </c>
      <c r="BA2208" s="551"/>
      <c r="BB2208" s="551"/>
      <c r="BC2208" s="551"/>
      <c r="BD2208" s="549"/>
      <c r="BE2208" s="550"/>
      <c r="BF2208" s="549"/>
      <c r="BG2208" s="391">
        <f>SUM($AV$1389:AV2208)</f>
        <v>4991.829019347917</v>
      </c>
      <c r="BH2208" s="392">
        <f>SUM($AU$1389:AU2208)</f>
        <v>58846.423836163987</v>
      </c>
      <c r="BI2208" s="318">
        <f>SUMIFS($AU$1388:AU2210,$Q$1388:Q2210,"F")</f>
        <v>37307.078121878127</v>
      </c>
      <c r="BJ2208" s="318">
        <f>SUMIFS($AU$1388:AU2210,$Q$1388:Q2210,"S")</f>
        <v>23922.28571428571</v>
      </c>
      <c r="BK2208" s="343">
        <f>SUMIFS($AU$1388:AU2210,$P$1388:P2210,"W")</f>
        <v>34224.14383616417</v>
      </c>
      <c r="BL2208" s="343">
        <f>SUMIFS($AU$1388:AU2210,$P$1388:P2210,"R")</f>
        <v>21652.400000000325</v>
      </c>
      <c r="BM2208" s="343">
        <f>SUMIFS($AU$1388:AU2210,$AQ$1388:AQ2210,"M")</f>
        <v>12669.179999998996</v>
      </c>
      <c r="BN2208" s="343">
        <f>SUMIFS($AU$1388:AU2210,$AQ$1388:AQ2210,"H")</f>
        <v>13563.200000001041</v>
      </c>
      <c r="BO2208" s="343">
        <f>SUMIFS($AU$1388:AU2210,$AQ$1388:AQ2210,"D")</f>
        <v>15382.377472527351</v>
      </c>
      <c r="BP2208" s="343">
        <f>SUMIFS($AS$1388:AS2705,$AO$1388:AO2705,"W")</f>
        <v>0</v>
      </c>
      <c r="BQ2208" s="343">
        <f>SUMIFS($AU$1388:AU2210,$Q$1388:Q2210,"O")</f>
        <v>-5006.9399999998313</v>
      </c>
      <c r="BR2208" s="343">
        <f>SUMIFS($AU$1388:AU2210,$AA$1388:AA2210,"*")</f>
        <v>44419.522077922011</v>
      </c>
      <c r="BS2208" s="343">
        <f>SUMIFS($AU$1388:AU2210,$AB$1388:AB2210,"*")</f>
        <v>14347.859999999973</v>
      </c>
      <c r="BT2208" s="343">
        <f>SUMIFS($AU$1388:AU2210,$AC$1388:AC2210,"*")</f>
        <v>47147.078121878294</v>
      </c>
      <c r="BU2208" s="343">
        <f>SUMIFS($AU$1388:AU2210,$AA$1388:AA2210,"*",$AB$1388:AB2210,"*")</f>
        <v>8011.9999999997544</v>
      </c>
      <c r="BV2208" s="343">
        <f>SUMIFS($AU$1388:AU2210,$AA$1388:AA2210,"*",$AC$1388:AC2210,"*")</f>
        <v>33840.036363636536</v>
      </c>
      <c r="BW2208" s="343">
        <f>SUMIFS($AU$1388:AU2210,$AB$1388:AB2210,"*",$AC$1388:AC2210,"*")</f>
        <v>10736</v>
      </c>
      <c r="BX2208" s="343">
        <f>SUMIFS($AV$1388:AV2210,$Q$1388:Q2210,"F")</f>
        <v>493.65837744248347</v>
      </c>
      <c r="BY2208" s="343">
        <f>SUMIFS($AV$1388:AV2210,$Q$1388:Q2210,"S")</f>
        <v>804.61134190572739</v>
      </c>
      <c r="BZ2208" s="343">
        <f>SUMIFS($AV$1388:AV2210,$Q$1388:Q2210,"O")</f>
        <v>545.55929999969885</v>
      </c>
    </row>
    <row r="2209" spans="1:78" ht="15.75" customHeight="1">
      <c r="A2209" s="177" t="s">
        <v>6781</v>
      </c>
      <c r="B2209" s="200">
        <v>45461</v>
      </c>
      <c r="C2209" s="178" t="s">
        <v>1728</v>
      </c>
      <c r="D2209" s="178" t="s">
        <v>146</v>
      </c>
      <c r="E2209" s="227" t="s">
        <v>7016</v>
      </c>
      <c r="F2209" s="180" t="s">
        <v>7017</v>
      </c>
      <c r="G2209" s="181"/>
      <c r="H2209" s="182"/>
      <c r="I2209" s="182"/>
      <c r="J2209" s="182">
        <v>1</v>
      </c>
      <c r="K2209" s="183" t="s">
        <v>115</v>
      </c>
      <c r="L2209" s="182"/>
      <c r="M2209" s="182"/>
      <c r="N2209" s="182"/>
      <c r="O2209" s="183"/>
      <c r="P2209" s="183"/>
      <c r="Q2209" s="183"/>
      <c r="R2209" s="183"/>
      <c r="S2209" s="183"/>
      <c r="T2209" s="183"/>
      <c r="U2209" s="183"/>
      <c r="V2209" s="183"/>
      <c r="W2209" s="183"/>
      <c r="X2209" s="183"/>
      <c r="Y2209" s="183"/>
      <c r="Z2209" s="183"/>
      <c r="AA2209" s="185"/>
      <c r="AB2209" s="185"/>
      <c r="AC2209" s="185"/>
      <c r="AD2209" s="649"/>
      <c r="AE2209" s="182"/>
      <c r="AF2209" s="332"/>
      <c r="AG2209" s="182"/>
      <c r="AH2209" s="182"/>
      <c r="AI2209" s="182"/>
      <c r="AJ2209" s="640"/>
      <c r="AK2209" s="182"/>
      <c r="AL2209" s="496">
        <f t="shared" si="727"/>
        <v>0</v>
      </c>
      <c r="AM2209" s="496">
        <f t="shared" si="730"/>
        <v>0</v>
      </c>
      <c r="AN2209" s="626"/>
      <c r="AO2209" s="182"/>
      <c r="AP2209" s="182"/>
      <c r="AQ2209" s="332" t="str">
        <f>UPPER(RIGHT(Journal_Live[[#This Row],[DURATION ]]))</f>
        <v/>
      </c>
      <c r="AR2209" s="182"/>
      <c r="AS2209" s="189"/>
      <c r="AT2209" s="189">
        <f t="shared" si="731"/>
        <v>0</v>
      </c>
      <c r="AU2209" s="187">
        <f t="shared" si="732"/>
        <v>0</v>
      </c>
      <c r="AV2209" s="190">
        <f t="shared" si="726"/>
        <v>0</v>
      </c>
      <c r="AW2209" s="191"/>
      <c r="AX2209" s="551"/>
      <c r="AY2209" s="551"/>
      <c r="AZ2209" s="551"/>
      <c r="BA2209" s="551"/>
      <c r="BB2209" s="551"/>
      <c r="BC2209" s="551"/>
      <c r="BD2209" s="549"/>
      <c r="BE2209" s="550"/>
      <c r="BF2209" s="549"/>
      <c r="BG2209" s="391">
        <f>SUM($AV$1389:AV2209)</f>
        <v>4991.829019347917</v>
      </c>
      <c r="BH2209" s="392">
        <f>SUM($AU$1389:AU2209)</f>
        <v>58846.423836163987</v>
      </c>
      <c r="BI2209" s="318">
        <f>SUMIFS($AU$1388:AU2216,$Q$1388:Q2216,"F")</f>
        <v>37307.078121878127</v>
      </c>
      <c r="BJ2209" s="318">
        <f>SUMIFS($AU$1388:AU2216,$Q$1388:Q2216,"S")</f>
        <v>24402.28571428571</v>
      </c>
      <c r="BK2209" s="343">
        <f>SUMIFS($AU$1388:AU2216,$P$1388:P2216,"W")</f>
        <v>34704.14383616417</v>
      </c>
      <c r="BL2209" s="343">
        <f>SUMIFS($AU$1388:AU2216,$P$1388:P2216,"R")</f>
        <v>21652.400000000325</v>
      </c>
      <c r="BM2209" s="343">
        <f>SUMIFS($AU$1388:AU2216,$AQ$1388:AQ2216,"M")</f>
        <v>12669.179999998996</v>
      </c>
      <c r="BN2209" s="343">
        <f>SUMIFS($AU$1388:AU2216,$AQ$1388:AQ2216,"H")</f>
        <v>14363.200000001041</v>
      </c>
      <c r="BO2209" s="343">
        <f>SUMIFS($AU$1388:AU2216,$AQ$1388:AQ2216,"D")</f>
        <v>15062.377472527351</v>
      </c>
      <c r="BP2209" s="343">
        <f>SUMIFS($AS$1388:AS2706,$AO$1388:AO2706,"W")</f>
        <v>0</v>
      </c>
      <c r="BQ2209" s="343">
        <f>SUMIFS($AU$1388:AU2216,$Q$1388:Q2216,"O")</f>
        <v>-5006.9399999998313</v>
      </c>
      <c r="BR2209" s="343">
        <f>SUMIFS($AU$1388:AU2216,$AA$1388:AA2216,"*")</f>
        <v>45219.522077922011</v>
      </c>
      <c r="BS2209" s="343">
        <f>SUMIFS($AU$1388:AU2216,$AB$1388:AB2216,"*")</f>
        <v>14347.859999999973</v>
      </c>
      <c r="BT2209" s="343">
        <f>SUMIFS($AU$1388:AU2216,$AC$1388:AC2216,"*")</f>
        <v>46827.078121878294</v>
      </c>
      <c r="BU2209" s="343">
        <f>SUMIFS($AU$1388:AU2216,$AA$1388:AA2216,"*",$AB$1388:AB2216,"*")</f>
        <v>8011.9999999997544</v>
      </c>
      <c r="BV2209" s="343">
        <f>SUMIFS($AU$1388:AU2216,$AA$1388:AA2216,"*",$AC$1388:AC2216,"*")</f>
        <v>33840.036363636536</v>
      </c>
      <c r="BW2209" s="343">
        <f>SUMIFS($AU$1388:AU2216,$AB$1388:AB2216,"*",$AC$1388:AC2216,"*")</f>
        <v>10736</v>
      </c>
      <c r="BX2209" s="343">
        <f>SUMIFS($AV$1388:AV2216,$Q$1388:Q2216,"F")</f>
        <v>493.65837744248347</v>
      </c>
      <c r="BY2209" s="343">
        <f>SUMIFS($AV$1388:AV2216,$Q$1388:Q2216,"S")</f>
        <v>804.61134190572739</v>
      </c>
      <c r="BZ2209" s="343">
        <f>SUMIFS($AV$1388:AV2216,$Q$1388:Q2216,"O")</f>
        <v>545.55929999969885</v>
      </c>
    </row>
    <row r="2210" spans="1:78" ht="15.75" customHeight="1">
      <c r="A2210" s="177" t="s">
        <v>6781</v>
      </c>
      <c r="B2210" s="200"/>
      <c r="C2210" s="178"/>
      <c r="D2210" s="178"/>
      <c r="E2210" s="227" t="s">
        <v>7018</v>
      </c>
      <c r="F2210" s="180"/>
      <c r="G2210" s="181"/>
      <c r="H2210" s="182"/>
      <c r="I2210" s="182"/>
      <c r="J2210" s="182">
        <v>1</v>
      </c>
      <c r="K2210" s="183" t="s">
        <v>115</v>
      </c>
      <c r="L2210" s="182"/>
      <c r="M2210" s="182"/>
      <c r="N2210" s="182"/>
      <c r="O2210" s="183"/>
      <c r="P2210" s="183"/>
      <c r="Q2210" s="183"/>
      <c r="R2210" s="183"/>
      <c r="S2210" s="183"/>
      <c r="T2210" s="183"/>
      <c r="U2210" s="183"/>
      <c r="V2210" s="183"/>
      <c r="W2210" s="183"/>
      <c r="X2210" s="183"/>
      <c r="Y2210" s="183"/>
      <c r="Z2210" s="183"/>
      <c r="AA2210" s="185"/>
      <c r="AB2210" s="185"/>
      <c r="AC2210" s="185"/>
      <c r="AD2210" s="649"/>
      <c r="AE2210" s="182"/>
      <c r="AF2210" s="332"/>
      <c r="AG2210" s="182"/>
      <c r="AH2210" s="182"/>
      <c r="AI2210" s="182"/>
      <c r="AJ2210" s="640"/>
      <c r="AK2210" s="182"/>
      <c r="AL2210" s="496">
        <f t="shared" si="727"/>
        <v>0</v>
      </c>
      <c r="AM2210" s="496">
        <f t="shared" si="730"/>
        <v>0</v>
      </c>
      <c r="AN2210" s="626"/>
      <c r="AO2210" s="182"/>
      <c r="AP2210" s="182"/>
      <c r="AQ2210" s="332" t="str">
        <f>UPPER(RIGHT(Journal_Live[[#This Row],[DURATION ]]))</f>
        <v/>
      </c>
      <c r="AR2210" s="182"/>
      <c r="AS2210" s="189"/>
      <c r="AT2210" s="189">
        <f t="shared" si="731"/>
        <v>0</v>
      </c>
      <c r="AU2210" s="187">
        <f t="shared" si="732"/>
        <v>0</v>
      </c>
      <c r="AV2210" s="190">
        <f t="shared" si="726"/>
        <v>0</v>
      </c>
      <c r="AW2210" s="191"/>
      <c r="AX2210" s="551"/>
      <c r="AY2210" s="551"/>
      <c r="AZ2210" s="551"/>
      <c r="BA2210" s="551"/>
      <c r="BB2210" s="551"/>
      <c r="BC2210" s="551"/>
      <c r="BD2210" s="549"/>
      <c r="BE2210" s="550"/>
      <c r="BF2210" s="549"/>
      <c r="BG2210" s="391">
        <f>SUM($AV$1389:AV2210)</f>
        <v>4991.829019347917</v>
      </c>
      <c r="BH2210" s="392">
        <f>SUM($AU$1389:AU2210)</f>
        <v>58846.423836163987</v>
      </c>
      <c r="BI2210" s="318">
        <f>SUMIFS($AU$1388:AU2221,$Q$1388:Q2221,"F")</f>
        <v>37211.078121878127</v>
      </c>
      <c r="BJ2210" s="318">
        <f>SUMIFS($AU$1388:AU2221,$Q$1388:Q2221,"S")</f>
        <v>25058.28571428571</v>
      </c>
      <c r="BK2210" s="343">
        <f>SUMIFS($AU$1388:AU2221,$P$1388:P2221,"W")</f>
        <v>34608.14383616417</v>
      </c>
      <c r="BL2210" s="343">
        <f>SUMIFS($AU$1388:AU2221,$P$1388:P2221,"R")</f>
        <v>22308.400000000325</v>
      </c>
      <c r="BM2210" s="343">
        <f>SUMIFS($AU$1388:AU2221,$AQ$1388:AQ2221,"M")</f>
        <v>12669.179999998996</v>
      </c>
      <c r="BN2210" s="343">
        <f>SUMIFS($AU$1388:AU2221,$AQ$1388:AQ2221,"H")</f>
        <v>14363.200000001041</v>
      </c>
      <c r="BO2210" s="343">
        <f>SUMIFS($AU$1388:AU2221,$AQ$1388:AQ2221,"D")</f>
        <v>15062.377472527351</v>
      </c>
      <c r="BP2210" s="343">
        <f>SUMIFS($AS$1388:AS2707,$AO$1388:AO2707,"W")</f>
        <v>0</v>
      </c>
      <c r="BQ2210" s="343">
        <f>SUMIFS($AU$1388:AU2221,$Q$1388:Q2221,"O")</f>
        <v>-5006.9399999998313</v>
      </c>
      <c r="BR2210" s="343">
        <f>SUMIFS($AU$1388:AU2221,$AA$1388:AA2221,"*")</f>
        <v>45123.522077922011</v>
      </c>
      <c r="BS2210" s="343">
        <f>SUMIFS($AU$1388:AU2221,$AB$1388:AB2221,"*")</f>
        <v>14251.859999999973</v>
      </c>
      <c r="BT2210" s="343">
        <f>SUMIFS($AU$1388:AU2221,$AC$1388:AC2221,"*")</f>
        <v>47387.078121878294</v>
      </c>
      <c r="BU2210" s="343">
        <f>SUMIFS($AU$1388:AU2221,$AA$1388:AA2221,"*",$AB$1388:AB2221,"*")</f>
        <v>7915.9999999997544</v>
      </c>
      <c r="BV2210" s="343">
        <f>SUMIFS($AU$1388:AU2221,$AA$1388:AA2221,"*",$AC$1388:AC2221,"*")</f>
        <v>33744.036363636536</v>
      </c>
      <c r="BW2210" s="343">
        <f>SUMIFS($AU$1388:AU2221,$AB$1388:AB2221,"*",$AC$1388:AC2221,"*")</f>
        <v>10640</v>
      </c>
      <c r="BX2210" s="343">
        <f>SUMIFS($AV$1388:AV2221,$Q$1388:Q2221,"F")</f>
        <v>488.85837744248346</v>
      </c>
      <c r="BY2210" s="343">
        <f>SUMIFS($AV$1388:AV2221,$Q$1388:Q2221,"S")</f>
        <v>820.61134190572739</v>
      </c>
      <c r="BZ2210" s="343">
        <f>SUMIFS($AV$1388:AV2221,$Q$1388:Q2221,"O")</f>
        <v>545.55929999969885</v>
      </c>
    </row>
    <row r="2211" spans="1:78" ht="15.75" customHeight="1">
      <c r="A2211" s="177" t="s">
        <v>6781</v>
      </c>
      <c r="B2211" s="200">
        <v>45461</v>
      </c>
      <c r="C2211" s="178" t="s">
        <v>682</v>
      </c>
      <c r="D2211" s="178" t="s">
        <v>146</v>
      </c>
      <c r="E2211" s="227"/>
      <c r="F2211" s="180"/>
      <c r="G2211" s="481" t="s">
        <v>2016</v>
      </c>
      <c r="H2211" s="182"/>
      <c r="I2211" s="182"/>
      <c r="J2211" s="182"/>
      <c r="K2211" s="183"/>
      <c r="L2211" s="182">
        <v>1</v>
      </c>
      <c r="M2211" s="182"/>
      <c r="N2211" s="182"/>
      <c r="O2211" s="183" t="s">
        <v>95</v>
      </c>
      <c r="P2211" s="183" t="s">
        <v>96</v>
      </c>
      <c r="Q2211" s="183" t="s">
        <v>97</v>
      </c>
      <c r="R2211" s="183">
        <v>20</v>
      </c>
      <c r="S2211" s="183">
        <v>0</v>
      </c>
      <c r="T2211" s="183">
        <v>20</v>
      </c>
      <c r="U2211" s="183" t="s">
        <v>22</v>
      </c>
      <c r="V2211" s="183"/>
      <c r="W2211" s="183"/>
      <c r="X2211" s="183"/>
      <c r="Y2211" s="184">
        <f>IF(ISBLANK(O2211),"",(IF(O2211=UPPER("IB"),0.005,0.01)))</f>
        <v>0.01</v>
      </c>
      <c r="Z2211" s="185">
        <f>IF(ISBLANK(O2211),"",IF(O2211="IB",8.63*200,IF(O2211="IR",16*100,IF(O2211="YT",20*100,IF(O2211="YT-XT",24*200,IF(O2211="TED",80*100,IF(O2211="IR|YT",300*100)))))))</f>
        <v>1600</v>
      </c>
      <c r="AA2211" s="185"/>
      <c r="AB2211" s="185"/>
      <c r="AC2211" s="185" t="s">
        <v>7019</v>
      </c>
      <c r="AD2211" s="649">
        <v>-0.05</v>
      </c>
      <c r="AE2211" s="182"/>
      <c r="AF2211" s="332"/>
      <c r="AG2211" s="182"/>
      <c r="AH2211" s="182"/>
      <c r="AI2211" s="182"/>
      <c r="AJ2211" s="640"/>
      <c r="AK2211" s="182"/>
      <c r="AL2211" s="496">
        <f>-0.02*Z2211</f>
        <v>-32</v>
      </c>
      <c r="AM2211" s="496">
        <f t="shared" si="730"/>
        <v>-640</v>
      </c>
      <c r="AN2211" s="626"/>
      <c r="AO2211" s="182"/>
      <c r="AP2211" s="182" t="s">
        <v>804</v>
      </c>
      <c r="AQ2211" s="332" t="s">
        <v>115</v>
      </c>
      <c r="AR2211" s="182" t="s">
        <v>7020</v>
      </c>
      <c r="AS2211" s="189">
        <v>-0.06</v>
      </c>
      <c r="AT2211" s="189">
        <f t="shared" si="731"/>
        <v>-9.999999999999995E-3</v>
      </c>
      <c r="AU2211" s="187">
        <f t="shared" si="732"/>
        <v>-319.99999999999989</v>
      </c>
      <c r="AV2211" s="190">
        <f t="shared" ref="AV2211:AV2215" si="735">IF(ISBLANK(AS2211),,(AT2211*Z2211))</f>
        <v>-15.999999999999993</v>
      </c>
      <c r="AW2211" s="191" t="s">
        <v>229</v>
      </c>
      <c r="AX2211" s="549" t="s">
        <v>1415</v>
      </c>
      <c r="AY2211" s="551" t="s">
        <v>7021</v>
      </c>
      <c r="AZ2211" s="551"/>
      <c r="BA2211" s="551"/>
      <c r="BB2211" s="551"/>
      <c r="BC2211" s="551"/>
      <c r="BD2211" s="549"/>
      <c r="BE2211" s="550"/>
      <c r="BF2211" s="549"/>
      <c r="BG2211" s="391">
        <f>SUM($AV$1389:AV2211)</f>
        <v>4975.829019347917</v>
      </c>
      <c r="BH2211" s="392">
        <f>SUM($AU$1389:AU2211)</f>
        <v>58526.423836163987</v>
      </c>
      <c r="BI2211" s="318">
        <f>SUMIFS($AU$1388:AU2213,$Q$1388:Q2213,"F")</f>
        <v>37307.078121878127</v>
      </c>
      <c r="BJ2211" s="318">
        <f>SUMIFS($AU$1388:AU2213,$Q$1388:Q2213,"S")</f>
        <v>24402.28571428571</v>
      </c>
      <c r="BK2211" s="343">
        <f>SUMIFS($AU$1388:AU2213,$P$1388:P2213,"W")</f>
        <v>34704.14383616417</v>
      </c>
      <c r="BL2211" s="343">
        <f>SUMIFS($AU$1388:AU2213,$P$1388:P2213,"R")</f>
        <v>21652.400000000325</v>
      </c>
      <c r="BM2211" s="343">
        <f>SUMIFS($AU$1388:AU2213,$AQ$1388:AQ2213,"M")</f>
        <v>12669.179999998996</v>
      </c>
      <c r="BN2211" s="343">
        <f>SUMIFS($AU$1388:AU2213,$AQ$1388:AQ2213,"H")</f>
        <v>14363.200000001041</v>
      </c>
      <c r="BO2211" s="343">
        <f>SUMIFS($AU$1388:AU2213,$AQ$1388:AQ2213,"D")</f>
        <v>15062.377472527351</v>
      </c>
      <c r="BP2211" s="343">
        <f>SUMIFS($AS$1388:AS2703,$AO$1388:AO2703,"W")</f>
        <v>0</v>
      </c>
      <c r="BQ2211" s="343">
        <f>SUMIFS($AU$1388:AU2213,$Q$1388:Q2213,"O")</f>
        <v>-5006.9399999998313</v>
      </c>
      <c r="BR2211" s="343">
        <f>SUMIFS($AU$1388:AU2213,$AA$1388:AA2213,"*")</f>
        <v>45219.522077922011</v>
      </c>
      <c r="BS2211" s="343">
        <f>SUMIFS($AU$1388:AU2213,$AB$1388:AB2213,"*")</f>
        <v>14347.859999999973</v>
      </c>
      <c r="BT2211" s="343">
        <f>SUMIFS($AU$1388:AU2213,$AC$1388:AC2213,"*")</f>
        <v>46827.078121878294</v>
      </c>
      <c r="BU2211" s="343">
        <f>SUMIFS($AU$1388:AU2213,$AA$1388:AA2213,"*",$AB$1388:AB2213,"*")</f>
        <v>8011.9999999997544</v>
      </c>
      <c r="BV2211" s="343">
        <f>SUMIFS($AU$1388:AU2213,$AA$1388:AA2213,"*",$AC$1388:AC2213,"*")</f>
        <v>33840.036363636536</v>
      </c>
      <c r="BW2211" s="343">
        <f>SUMIFS($AU$1388:AU2213,$AB$1388:AB2213,"*",$AC$1388:AC2213,"*")</f>
        <v>10736</v>
      </c>
      <c r="BX2211" s="343">
        <f>SUMIFS($AV$1388:AV2213,$Q$1388:Q2213,"F")</f>
        <v>493.65837744248347</v>
      </c>
      <c r="BY2211" s="343">
        <f>SUMIFS($AV$1388:AV2213,$Q$1388:Q2213,"S")</f>
        <v>804.61134190572739</v>
      </c>
      <c r="BZ2211" s="343">
        <f>SUMIFS($AV$1388:AV2213,$Q$1388:Q2213,"O")</f>
        <v>545.55929999969885</v>
      </c>
    </row>
    <row r="2212" spans="1:78" ht="15.75" customHeight="1">
      <c r="A2212" s="177" t="s">
        <v>6781</v>
      </c>
      <c r="B2212" s="200">
        <v>45461</v>
      </c>
      <c r="C2212" s="178" t="s">
        <v>682</v>
      </c>
      <c r="D2212" s="178" t="s">
        <v>146</v>
      </c>
      <c r="E2212" s="227"/>
      <c r="F2212" s="180"/>
      <c r="G2212" s="481" t="s">
        <v>2016</v>
      </c>
      <c r="H2212" s="182"/>
      <c r="I2212" s="182"/>
      <c r="J2212" s="182"/>
      <c r="K2212" s="183"/>
      <c r="L2212" s="182">
        <v>1</v>
      </c>
      <c r="M2212" s="182"/>
      <c r="N2212" s="182"/>
      <c r="O2212" s="183" t="s">
        <v>95</v>
      </c>
      <c r="P2212" s="183" t="s">
        <v>96</v>
      </c>
      <c r="Q2212" s="183" t="s">
        <v>97</v>
      </c>
      <c r="R2212" s="183">
        <v>30</v>
      </c>
      <c r="S2212" s="183">
        <v>0</v>
      </c>
      <c r="T2212" s="183">
        <v>20</v>
      </c>
      <c r="U2212" s="183" t="s">
        <v>22</v>
      </c>
      <c r="V2212" s="183"/>
      <c r="W2212" s="183"/>
      <c r="X2212" s="183"/>
      <c r="Y2212" s="184">
        <f>IF(ISBLANK(O2212),"",(IF(O2212=UPPER("IB"),0.005,0.01)))</f>
        <v>0.01</v>
      </c>
      <c r="Z2212" s="185">
        <f>IF(ISBLANK(O2212),"",IF(O2212="IB",8.63*200,IF(O2212="IR",16*100,IF(O2212="YT",20*100,IF(O2212="YT-XT",24*200,IF(O2212="TED",80*100,IF(O2212="IR|YT",300*100)))))))</f>
        <v>1600</v>
      </c>
      <c r="AA2212" s="185"/>
      <c r="AB2212" s="185"/>
      <c r="AC2212" s="185" t="s">
        <v>7019</v>
      </c>
      <c r="AD2212" s="649">
        <v>-0.06</v>
      </c>
      <c r="AE2212" s="182"/>
      <c r="AF2212" s="332"/>
      <c r="AG2212" s="182"/>
      <c r="AH2212" s="182"/>
      <c r="AI2212" s="182"/>
      <c r="AJ2212" s="640"/>
      <c r="AK2212" s="182"/>
      <c r="AL2212" s="496">
        <f>0*Z2212</f>
        <v>0</v>
      </c>
      <c r="AM2212" s="496">
        <f t="shared" si="730"/>
        <v>0</v>
      </c>
      <c r="AN2212" s="626"/>
      <c r="AO2212" s="182"/>
      <c r="AP2212" s="182"/>
      <c r="AQ2212" s="332" t="str">
        <f>UPPER(RIGHT(Journal_Live[[#This Row],[DURATION ]]))</f>
        <v/>
      </c>
      <c r="AR2212" s="182"/>
      <c r="AS2212" s="189">
        <v>-0.06</v>
      </c>
      <c r="AT2212" s="189">
        <f t="shared" si="731"/>
        <v>0</v>
      </c>
      <c r="AU2212" s="187">
        <f t="shared" si="732"/>
        <v>0</v>
      </c>
      <c r="AV2212" s="190">
        <f t="shared" si="735"/>
        <v>0</v>
      </c>
      <c r="AW2212" s="191" t="s">
        <v>115</v>
      </c>
      <c r="AX2212" s="549" t="s">
        <v>7022</v>
      </c>
      <c r="AY2212" s="551"/>
      <c r="AZ2212" s="551"/>
      <c r="BA2212" s="551"/>
      <c r="BB2212" s="551"/>
      <c r="BC2212" s="551"/>
      <c r="BD2212" s="549"/>
      <c r="BE2212" s="550"/>
      <c r="BF2212" s="549"/>
      <c r="BG2212" s="391">
        <f>SUM($AV$1389:AV2212)</f>
        <v>4975.829019347917</v>
      </c>
      <c r="BH2212" s="392">
        <f>SUM($AU$1389:AU2212)</f>
        <v>58526.423836163987</v>
      </c>
      <c r="BI2212" s="318">
        <f>SUMIFS($AU$1388:AU2214,$Q$1388:Q2214,"F")</f>
        <v>37307.078121878127</v>
      </c>
      <c r="BJ2212" s="318">
        <f>SUMIFS($AU$1388:AU2214,$Q$1388:Q2214,"S")</f>
        <v>24402.28571428571</v>
      </c>
      <c r="BK2212" s="343">
        <f>SUMIFS($AU$1388:AU2214,$P$1388:P2214,"W")</f>
        <v>34704.14383616417</v>
      </c>
      <c r="BL2212" s="343">
        <f>SUMIFS($AU$1388:AU2214,$P$1388:P2214,"R")</f>
        <v>21652.400000000325</v>
      </c>
      <c r="BM2212" s="343">
        <f>SUMIFS($AU$1388:AU2214,$AQ$1388:AQ2214,"M")</f>
        <v>12669.179999998996</v>
      </c>
      <c r="BN2212" s="343">
        <f>SUMIFS($AU$1388:AU2214,$AQ$1388:AQ2214,"H")</f>
        <v>14363.200000001041</v>
      </c>
      <c r="BO2212" s="343">
        <f>SUMIFS($AU$1388:AU2214,$AQ$1388:AQ2214,"D")</f>
        <v>15062.377472527351</v>
      </c>
      <c r="BP2212" s="343">
        <f>SUMIFS($AS$1388:AS2704,$AO$1388:AO2704,"W")</f>
        <v>0</v>
      </c>
      <c r="BQ2212" s="343">
        <f>SUMIFS($AU$1388:AU2214,$Q$1388:Q2214,"O")</f>
        <v>-5006.9399999998313</v>
      </c>
      <c r="BR2212" s="343">
        <f>SUMIFS($AU$1388:AU2214,$AA$1388:AA2214,"*")</f>
        <v>45219.522077922011</v>
      </c>
      <c r="BS2212" s="343">
        <f>SUMIFS($AU$1388:AU2214,$AB$1388:AB2214,"*")</f>
        <v>14347.859999999973</v>
      </c>
      <c r="BT2212" s="343">
        <f>SUMIFS($AU$1388:AU2214,$AC$1388:AC2214,"*")</f>
        <v>46827.078121878294</v>
      </c>
      <c r="BU2212" s="343">
        <f>SUMIFS($AU$1388:AU2214,$AA$1388:AA2214,"*",$AB$1388:AB2214,"*")</f>
        <v>8011.9999999997544</v>
      </c>
      <c r="BV2212" s="343">
        <f>SUMIFS($AU$1388:AU2214,$AA$1388:AA2214,"*",$AC$1388:AC2214,"*")</f>
        <v>33840.036363636536</v>
      </c>
      <c r="BW2212" s="343">
        <f>SUMIFS($AU$1388:AU2214,$AB$1388:AB2214,"*",$AC$1388:AC2214,"*")</f>
        <v>10736</v>
      </c>
      <c r="BX2212" s="343">
        <f>SUMIFS($AV$1388:AV2214,$Q$1388:Q2214,"F")</f>
        <v>493.65837744248347</v>
      </c>
      <c r="BY2212" s="343">
        <f>SUMIFS($AV$1388:AV2214,$Q$1388:Q2214,"S")</f>
        <v>804.61134190572739</v>
      </c>
      <c r="BZ2212" s="343">
        <f>SUMIFS($AV$1388:AV2214,$Q$1388:Q2214,"O")</f>
        <v>545.55929999969885</v>
      </c>
    </row>
    <row r="2213" spans="1:78" ht="15.75" customHeight="1">
      <c r="A2213" s="177" t="s">
        <v>6781</v>
      </c>
      <c r="B2213" s="200">
        <v>45461</v>
      </c>
      <c r="C2213" s="178" t="s">
        <v>3981</v>
      </c>
      <c r="D2213" s="178" t="s">
        <v>146</v>
      </c>
      <c r="E2213" s="227"/>
      <c r="F2213" s="180"/>
      <c r="G2213" s="481" t="s">
        <v>7023</v>
      </c>
      <c r="H2213" s="182"/>
      <c r="I2213" s="182"/>
      <c r="J2213" s="182"/>
      <c r="K2213" s="183"/>
      <c r="L2213" s="182">
        <v>1</v>
      </c>
      <c r="M2213" s="182"/>
      <c r="N2213" s="182"/>
      <c r="O2213" s="183" t="s">
        <v>95</v>
      </c>
      <c r="P2213" s="183" t="s">
        <v>96</v>
      </c>
      <c r="Q2213" s="183" t="s">
        <v>97</v>
      </c>
      <c r="R2213" s="183">
        <v>50</v>
      </c>
      <c r="S2213" s="183">
        <v>0</v>
      </c>
      <c r="T2213" s="183">
        <v>50</v>
      </c>
      <c r="U2213" s="183" t="s">
        <v>22</v>
      </c>
      <c r="V2213" s="183"/>
      <c r="W2213" s="183"/>
      <c r="X2213" s="183"/>
      <c r="Y2213" s="184">
        <f>IF(ISBLANK(O2213),"",(IF(O2213=UPPER("IB"),0.005,0.01)))</f>
        <v>0.01</v>
      </c>
      <c r="Z2213" s="185">
        <f>IF(ISBLANK(O2213),"",IF(O2213="IB",8.63*200,IF(O2213="IR",16*100,IF(O2213="YT",20*100,IF(O2213="YT-XT",24*200,IF(O2213="TED",80*100,IF(O2213="IR|YT",300*100)))))))</f>
        <v>1600</v>
      </c>
      <c r="AA2213" s="185" t="s">
        <v>7024</v>
      </c>
      <c r="AB2213" s="185"/>
      <c r="AC2213" s="185"/>
      <c r="AD2213" s="649">
        <v>-0.36</v>
      </c>
      <c r="AE2213" s="182"/>
      <c r="AF2213" s="332"/>
      <c r="AG2213" s="182"/>
      <c r="AH2213" s="182"/>
      <c r="AI2213" s="182"/>
      <c r="AJ2213" s="640"/>
      <c r="AK2213" s="182"/>
      <c r="AL2213" s="496">
        <f t="shared" ref="AL2213:AL2214" si="736">-0.02*Z2213</f>
        <v>-32</v>
      </c>
      <c r="AM2213" s="496">
        <f t="shared" si="730"/>
        <v>-1600</v>
      </c>
      <c r="AN2213" s="626"/>
      <c r="AO2213" s="182"/>
      <c r="AP2213" s="182" t="s">
        <v>3784</v>
      </c>
      <c r="AQ2213" s="332" t="s">
        <v>372</v>
      </c>
      <c r="AR2213" s="182" t="s">
        <v>7025</v>
      </c>
      <c r="AS2213" s="189">
        <v>-0.35</v>
      </c>
      <c r="AT2213" s="189">
        <f t="shared" si="731"/>
        <v>1.0000000000000009E-2</v>
      </c>
      <c r="AU2213" s="187">
        <f t="shared" si="732"/>
        <v>800.00000000000068</v>
      </c>
      <c r="AV2213" s="190">
        <f t="shared" si="735"/>
        <v>16.000000000000014</v>
      </c>
      <c r="AW2213" s="191" t="s">
        <v>96</v>
      </c>
      <c r="AX2213" s="549" t="s">
        <v>7026</v>
      </c>
      <c r="AY2213" s="549" t="s">
        <v>7027</v>
      </c>
      <c r="AZ2213" s="551"/>
      <c r="BA2213" s="551"/>
      <c r="BB2213" s="551"/>
      <c r="BC2213" s="551"/>
      <c r="BD2213" s="549"/>
      <c r="BE2213" s="550"/>
      <c r="BF2213" s="549"/>
      <c r="BG2213" s="391">
        <f>SUM($AV$1389:AV2213)</f>
        <v>4991.829019347917</v>
      </c>
      <c r="BH2213" s="392">
        <f>SUM($AU$1389:AU2213)</f>
        <v>59326.423836163987</v>
      </c>
      <c r="BI2213" s="318">
        <f>SUMIFS($AU$1388:AU2215,$Q$1388:Q2215,"F")</f>
        <v>37307.078121878127</v>
      </c>
      <c r="BJ2213" s="318">
        <f>SUMIFS($AU$1388:AU2215,$Q$1388:Q2215,"S")</f>
        <v>24402.28571428571</v>
      </c>
      <c r="BK2213" s="343">
        <f>SUMIFS($AU$1388:AU2215,$P$1388:P2215,"W")</f>
        <v>34704.14383616417</v>
      </c>
      <c r="BL2213" s="343">
        <f>SUMIFS($AU$1388:AU2215,$P$1388:P2215,"R")</f>
        <v>21652.400000000325</v>
      </c>
      <c r="BM2213" s="343">
        <f>SUMIFS($AU$1388:AU2215,$AQ$1388:AQ2215,"M")</f>
        <v>12669.179999998996</v>
      </c>
      <c r="BN2213" s="343">
        <f>SUMIFS($AU$1388:AU2215,$AQ$1388:AQ2215,"H")</f>
        <v>14363.200000001041</v>
      </c>
      <c r="BO2213" s="343">
        <f>SUMIFS($AU$1388:AU2215,$AQ$1388:AQ2215,"D")</f>
        <v>15062.377472527351</v>
      </c>
      <c r="BP2213" s="343">
        <f>SUMIFS($AS$1388:AS2705,$AO$1388:AO2705,"W")</f>
        <v>0</v>
      </c>
      <c r="BQ2213" s="343">
        <f>SUMIFS($AU$1388:AU2215,$Q$1388:Q2215,"O")</f>
        <v>-5006.9399999998313</v>
      </c>
      <c r="BR2213" s="343">
        <f>SUMIFS($AU$1388:AU2215,$AA$1388:AA2215,"*")</f>
        <v>45219.522077922011</v>
      </c>
      <c r="BS2213" s="343">
        <f>SUMIFS($AU$1388:AU2215,$AB$1388:AB2215,"*")</f>
        <v>14347.859999999973</v>
      </c>
      <c r="BT2213" s="343">
        <f>SUMIFS($AU$1388:AU2215,$AC$1388:AC2215,"*")</f>
        <v>46827.078121878294</v>
      </c>
      <c r="BU2213" s="343">
        <f>SUMIFS($AU$1388:AU2215,$AA$1388:AA2215,"*",$AB$1388:AB2215,"*")</f>
        <v>8011.9999999997544</v>
      </c>
      <c r="BV2213" s="343">
        <f>SUMIFS($AU$1388:AU2215,$AA$1388:AA2215,"*",$AC$1388:AC2215,"*")</f>
        <v>33840.036363636536</v>
      </c>
      <c r="BW2213" s="343">
        <f>SUMIFS($AU$1388:AU2215,$AB$1388:AB2215,"*",$AC$1388:AC2215,"*")</f>
        <v>10736</v>
      </c>
      <c r="BX2213" s="343">
        <f>SUMIFS($AV$1388:AV2215,$Q$1388:Q2215,"F")</f>
        <v>493.65837744248347</v>
      </c>
      <c r="BY2213" s="343">
        <f>SUMIFS($AV$1388:AV2215,$Q$1388:Q2215,"S")</f>
        <v>804.61134190572739</v>
      </c>
      <c r="BZ2213" s="343">
        <f>SUMIFS($AV$1388:AV2215,$Q$1388:Q2215,"O")</f>
        <v>545.55929999969885</v>
      </c>
    </row>
    <row r="2214" spans="1:78" ht="15.75" customHeight="1">
      <c r="A2214" s="177" t="s">
        <v>6781</v>
      </c>
      <c r="B2214" s="200">
        <v>45461</v>
      </c>
      <c r="C2214" s="178" t="s">
        <v>1344</v>
      </c>
      <c r="D2214" s="178" t="s">
        <v>146</v>
      </c>
      <c r="E2214" s="227"/>
      <c r="F2214" s="180"/>
      <c r="G2214" s="570" t="s">
        <v>7028</v>
      </c>
      <c r="H2214" s="182"/>
      <c r="I2214" s="182"/>
      <c r="J2214" s="182"/>
      <c r="K2214" s="183"/>
      <c r="L2214" s="182">
        <v>1</v>
      </c>
      <c r="M2214" s="182"/>
      <c r="N2214" s="182"/>
      <c r="O2214" s="183" t="s">
        <v>95</v>
      </c>
      <c r="P2214" s="183" t="s">
        <v>96</v>
      </c>
      <c r="Q2214" s="183" t="s">
        <v>97</v>
      </c>
      <c r="R2214" s="183">
        <v>23</v>
      </c>
      <c r="S2214" s="183">
        <v>0</v>
      </c>
      <c r="T2214" s="183">
        <v>23</v>
      </c>
      <c r="U2214" s="183" t="s">
        <v>22</v>
      </c>
      <c r="V2214" s="183"/>
      <c r="W2214" s="183"/>
      <c r="X2214" s="183"/>
      <c r="Y2214" s="184">
        <f>IF(ISBLANK(O2214),"",(IF(O2214=UPPER("IB"),0.005,0.01)))</f>
        <v>0.01</v>
      </c>
      <c r="Z2214" s="185">
        <f>IF(ISBLANK(O2214),"",IF(O2214="IB",8.63*200,IF(O2214="IR",16*100,IF(O2214="YT",20*100,IF(O2214="YT-XT",24*200,IF(O2214="TED",80*100,IF(O2214="IR|YT",300*100)))))))</f>
        <v>1600</v>
      </c>
      <c r="AA2214" s="185"/>
      <c r="AB2214" s="185"/>
      <c r="AC2214" s="185" t="s">
        <v>7029</v>
      </c>
      <c r="AD2214" s="649">
        <v>-0.27</v>
      </c>
      <c r="AE2214" s="182"/>
      <c r="AF2214" s="332"/>
      <c r="AG2214" s="182"/>
      <c r="AH2214" s="182"/>
      <c r="AI2214" s="182"/>
      <c r="AJ2214" s="640" t="s">
        <v>7030</v>
      </c>
      <c r="AK2214" s="182"/>
      <c r="AL2214" s="496">
        <f t="shared" si="736"/>
        <v>-32</v>
      </c>
      <c r="AM2214" s="496">
        <f t="shared" si="730"/>
        <v>-736</v>
      </c>
      <c r="AN2214" s="626"/>
      <c r="AO2214" s="182"/>
      <c r="AP2214" s="182" t="s">
        <v>1261</v>
      </c>
      <c r="AQ2214" s="332" t="s">
        <v>115</v>
      </c>
      <c r="AR2214" s="182" t="s">
        <v>7031</v>
      </c>
      <c r="AS2214" s="189">
        <v>-0.27</v>
      </c>
      <c r="AT2214" s="189">
        <f t="shared" si="731"/>
        <v>0</v>
      </c>
      <c r="AU2214" s="187">
        <f t="shared" si="732"/>
        <v>0</v>
      </c>
      <c r="AV2214" s="190">
        <f t="shared" si="735"/>
        <v>0</v>
      </c>
      <c r="AW2214" s="191" t="s">
        <v>115</v>
      </c>
      <c r="AX2214" s="551" t="s">
        <v>7032</v>
      </c>
      <c r="AY2214" s="588" t="s">
        <v>6405</v>
      </c>
      <c r="AZ2214" s="588" t="s">
        <v>7033</v>
      </c>
      <c r="BA2214" s="551"/>
      <c r="BB2214" s="551"/>
      <c r="BC2214" s="551"/>
      <c r="BD2214" s="549"/>
      <c r="BE2214" s="550"/>
      <c r="BF2214" s="549"/>
      <c r="BG2214" s="391">
        <f>SUM($AV$1389:AV2214)</f>
        <v>4991.829019347917</v>
      </c>
      <c r="BH2214" s="392">
        <f>SUM($AU$1389:AU2214)</f>
        <v>59326.423836163987</v>
      </c>
      <c r="BI2214" s="318">
        <f>SUMIFS($AU$1388:AU2216,$Q$1388:Q2216,"F")</f>
        <v>37307.078121878127</v>
      </c>
      <c r="BJ2214" s="318">
        <f>SUMIFS($AU$1388:AU2216,$Q$1388:Q2216,"S")</f>
        <v>24402.28571428571</v>
      </c>
      <c r="BK2214" s="343">
        <f>SUMIFS($AU$1388:AU2216,$P$1388:P2216,"W")</f>
        <v>34704.14383616417</v>
      </c>
      <c r="BL2214" s="343">
        <f>SUMIFS($AU$1388:AU2216,$P$1388:P2216,"R")</f>
        <v>21652.400000000325</v>
      </c>
      <c r="BM2214" s="343">
        <f>SUMIFS($AU$1388:AU2216,$AQ$1388:AQ2216,"M")</f>
        <v>12669.179999998996</v>
      </c>
      <c r="BN2214" s="343">
        <f>SUMIFS($AU$1388:AU2216,$AQ$1388:AQ2216,"H")</f>
        <v>14363.200000001041</v>
      </c>
      <c r="BO2214" s="343">
        <f>SUMIFS($AU$1388:AU2216,$AQ$1388:AQ2216,"D")</f>
        <v>15062.377472527351</v>
      </c>
      <c r="BP2214" s="343">
        <f>SUMIFS($AS$1388:AS2706,$AO$1388:AO2706,"W")</f>
        <v>0</v>
      </c>
      <c r="BQ2214" s="343">
        <f>SUMIFS($AU$1388:AU2216,$Q$1388:Q2216,"O")</f>
        <v>-5006.9399999998313</v>
      </c>
      <c r="BR2214" s="343">
        <f>SUMIFS($AU$1388:AU2216,$AA$1388:AA2216,"*")</f>
        <v>45219.522077922011</v>
      </c>
      <c r="BS2214" s="343">
        <f>SUMIFS($AU$1388:AU2216,$AB$1388:AB2216,"*")</f>
        <v>14347.859999999973</v>
      </c>
      <c r="BT2214" s="343">
        <f>SUMIFS($AU$1388:AU2216,$AC$1388:AC2216,"*")</f>
        <v>46827.078121878294</v>
      </c>
      <c r="BU2214" s="343">
        <f>SUMIFS($AU$1388:AU2216,$AA$1388:AA2216,"*",$AB$1388:AB2216,"*")</f>
        <v>8011.9999999997544</v>
      </c>
      <c r="BV2214" s="343">
        <f>SUMIFS($AU$1388:AU2216,$AA$1388:AA2216,"*",$AC$1388:AC2216,"*")</f>
        <v>33840.036363636536</v>
      </c>
      <c r="BW2214" s="343">
        <f>SUMIFS($AU$1388:AU2216,$AB$1388:AB2216,"*",$AC$1388:AC2216,"*")</f>
        <v>10736</v>
      </c>
      <c r="BX2214" s="343">
        <f>SUMIFS($AV$1388:AV2216,$Q$1388:Q2216,"F")</f>
        <v>493.65837744248347</v>
      </c>
      <c r="BY2214" s="343">
        <f>SUMIFS($AV$1388:AV2216,$Q$1388:Q2216,"S")</f>
        <v>804.61134190572739</v>
      </c>
      <c r="BZ2214" s="343">
        <f>SUMIFS($AV$1388:AV2216,$Q$1388:Q2216,"O")</f>
        <v>545.55929999969885</v>
      </c>
    </row>
    <row r="2215" spans="1:78" ht="15.75" customHeight="1">
      <c r="A2215" s="177" t="s">
        <v>6781</v>
      </c>
      <c r="B2215" s="200">
        <v>45461</v>
      </c>
      <c r="C2215" s="178" t="s">
        <v>3309</v>
      </c>
      <c r="D2215" s="178" t="s">
        <v>146</v>
      </c>
      <c r="E2215" s="227"/>
      <c r="F2215" s="180"/>
      <c r="G2215" s="553" t="s">
        <v>6947</v>
      </c>
      <c r="H2215" s="182"/>
      <c r="I2215" s="182"/>
      <c r="J2215" s="182"/>
      <c r="K2215" s="183"/>
      <c r="L2215" s="182">
        <v>1</v>
      </c>
      <c r="M2215" s="182"/>
      <c r="N2215" s="182"/>
      <c r="O2215" s="183" t="s">
        <v>95</v>
      </c>
      <c r="P2215" s="183" t="s">
        <v>137</v>
      </c>
      <c r="Q2215" s="183" t="s">
        <v>97</v>
      </c>
      <c r="R2215" s="183">
        <v>112</v>
      </c>
      <c r="S2215" s="183">
        <v>0</v>
      </c>
      <c r="T2215" s="183">
        <v>112</v>
      </c>
      <c r="U2215" s="183" t="s">
        <v>22</v>
      </c>
      <c r="V2215" s="183"/>
      <c r="W2215" s="183"/>
      <c r="X2215" s="183"/>
      <c r="Y2215" s="184">
        <f>IF(ISBLANK(O2215),"",(IF(O2215=UPPER("IB"),0.005,0.01)))</f>
        <v>0.01</v>
      </c>
      <c r="Z2215" s="185">
        <f>IF(ISBLANK(O2215),"",IF(O2215="IB",8.63*200,IF(O2215="IR",16*100,IF(O2215="YT",20*100,IF(O2215="YT-XT",24*200,IF(O2215="TED",80*100,IF(O2215="IR|YT",300*100)))))))</f>
        <v>1600</v>
      </c>
      <c r="AA2215" s="185" t="s">
        <v>4949</v>
      </c>
      <c r="AB2215" s="185"/>
      <c r="AC2215" s="185" t="s">
        <v>7034</v>
      </c>
      <c r="AD2215" s="649">
        <v>-0.09</v>
      </c>
      <c r="AE2215" s="182"/>
      <c r="AF2215" s="332"/>
      <c r="AG2215" s="182"/>
      <c r="AH2215" s="182"/>
      <c r="AI2215" s="182"/>
      <c r="AJ2215" s="640"/>
      <c r="AK2215" s="182"/>
      <c r="AL2215" s="496">
        <f>-0.01*Z2215</f>
        <v>-16</v>
      </c>
      <c r="AM2215" s="496">
        <f t="shared" si="730"/>
        <v>-1792</v>
      </c>
      <c r="AN2215" s="626"/>
      <c r="AO2215" s="182"/>
      <c r="AP2215" s="182" t="s">
        <v>864</v>
      </c>
      <c r="AQ2215" s="332" t="s">
        <v>115</v>
      </c>
      <c r="AR2215" s="298">
        <v>45464</v>
      </c>
      <c r="AS2215" s="189">
        <v>-0.09</v>
      </c>
      <c r="AT2215" s="189">
        <f t="shared" si="731"/>
        <v>0</v>
      </c>
      <c r="AU2215" s="187">
        <f t="shared" si="732"/>
        <v>0</v>
      </c>
      <c r="AV2215" s="190">
        <f t="shared" si="735"/>
        <v>0</v>
      </c>
      <c r="AW2215" s="191" t="s">
        <v>115</v>
      </c>
      <c r="AX2215" s="549" t="s">
        <v>7035</v>
      </c>
      <c r="AY2215" s="551"/>
      <c r="AZ2215" s="551"/>
      <c r="BA2215" s="551"/>
      <c r="BB2215" s="551"/>
      <c r="BC2215" s="551"/>
      <c r="BD2215" s="549"/>
      <c r="BE2215" s="550"/>
      <c r="BF2215" s="549"/>
      <c r="BG2215" s="391">
        <f>SUM($AV$1389:AV2215)</f>
        <v>4991.829019347917</v>
      </c>
      <c r="BH2215" s="392">
        <f>SUM($AU$1389:AU2215)</f>
        <v>59326.423836163987</v>
      </c>
      <c r="BI2215" s="318">
        <f>SUMIFS($AU$1388:AU2221,$Q$1388:Q2221,"F")</f>
        <v>37211.078121878127</v>
      </c>
      <c r="BJ2215" s="318">
        <f>SUMIFS($AU$1388:AU2221,$Q$1388:Q2221,"S")</f>
        <v>25058.28571428571</v>
      </c>
      <c r="BK2215" s="343">
        <f>SUMIFS($AU$1388:AU2221,$P$1388:P2221,"W")</f>
        <v>34608.14383616417</v>
      </c>
      <c r="BL2215" s="343">
        <f>SUMIFS($AU$1388:AU2221,$P$1388:P2221,"R")</f>
        <v>22308.400000000325</v>
      </c>
      <c r="BM2215" s="343">
        <f>SUMIFS($AU$1388:AU2221,$AQ$1388:AQ2221,"M")</f>
        <v>12669.179999998996</v>
      </c>
      <c r="BN2215" s="343">
        <f>SUMIFS($AU$1388:AU2221,$AQ$1388:AQ2221,"H")</f>
        <v>14363.200000001041</v>
      </c>
      <c r="BO2215" s="343">
        <f>SUMIFS($AU$1388:AU2221,$AQ$1388:AQ2221,"D")</f>
        <v>15062.377472527351</v>
      </c>
      <c r="BP2215" s="343">
        <f>SUMIFS($AS$1388:AS2707,$AO$1388:AO2707,"W")</f>
        <v>0</v>
      </c>
      <c r="BQ2215" s="343">
        <f>SUMIFS($AU$1388:AU2221,$Q$1388:Q2221,"O")</f>
        <v>-5006.9399999998313</v>
      </c>
      <c r="BR2215" s="343">
        <f>SUMIFS($AU$1388:AU2221,$AA$1388:AA2221,"*")</f>
        <v>45123.522077922011</v>
      </c>
      <c r="BS2215" s="343">
        <f>SUMIFS($AU$1388:AU2221,$AB$1388:AB2221,"*")</f>
        <v>14251.859999999973</v>
      </c>
      <c r="BT2215" s="343">
        <f>SUMIFS($AU$1388:AU2221,$AC$1388:AC2221,"*")</f>
        <v>47387.078121878294</v>
      </c>
      <c r="BU2215" s="343">
        <f>SUMIFS($AU$1388:AU2221,$AA$1388:AA2221,"*",$AB$1388:AB2221,"*")</f>
        <v>7915.9999999997544</v>
      </c>
      <c r="BV2215" s="343">
        <f>SUMIFS($AU$1388:AU2221,$AA$1388:AA2221,"*",$AC$1388:AC2221,"*")</f>
        <v>33744.036363636536</v>
      </c>
      <c r="BW2215" s="343">
        <f>SUMIFS($AU$1388:AU2221,$AB$1388:AB2221,"*",$AC$1388:AC2221,"*")</f>
        <v>10640</v>
      </c>
      <c r="BX2215" s="343">
        <f>SUMIFS($AV$1388:AV2221,$Q$1388:Q2221,"F")</f>
        <v>488.85837744248346</v>
      </c>
      <c r="BY2215" s="343">
        <f>SUMIFS($AV$1388:AV2221,$Q$1388:Q2221,"S")</f>
        <v>820.61134190572739</v>
      </c>
      <c r="BZ2215" s="343">
        <f>SUMIFS($AV$1388:AV2221,$Q$1388:Q2221,"O")</f>
        <v>545.55929999969885</v>
      </c>
    </row>
    <row r="2216" spans="1:78" ht="15.75" customHeight="1">
      <c r="A2216" s="177" t="s">
        <v>6781</v>
      </c>
      <c r="B2216" s="200">
        <v>45462</v>
      </c>
      <c r="C2216" s="178" t="s">
        <v>1437</v>
      </c>
      <c r="D2216" s="178" t="s">
        <v>151</v>
      </c>
      <c r="E2216" s="227"/>
      <c r="F2216" s="180"/>
      <c r="G2216" s="181" t="s">
        <v>2070</v>
      </c>
      <c r="H2216" s="182"/>
      <c r="I2216" s="182"/>
      <c r="J2216" s="182"/>
      <c r="K2216" s="183"/>
      <c r="L2216" s="182"/>
      <c r="M2216" s="182"/>
      <c r="N2216" s="182"/>
      <c r="O2216" s="183"/>
      <c r="P2216" s="183"/>
      <c r="Q2216" s="183"/>
      <c r="R2216" s="183"/>
      <c r="S2216" s="183"/>
      <c r="T2216" s="183"/>
      <c r="U2216" s="183"/>
      <c r="V2216" s="183"/>
      <c r="W2216" s="183"/>
      <c r="X2216" s="183"/>
      <c r="Y2216" s="184"/>
      <c r="Z2216" s="185"/>
      <c r="AA2216" s="185"/>
      <c r="AB2216" s="185"/>
      <c r="AC2216" s="185"/>
      <c r="AD2216" s="649"/>
      <c r="AE2216" s="182"/>
      <c r="AF2216" s="332"/>
      <c r="AG2216" s="182"/>
      <c r="AH2216" s="182"/>
      <c r="AI2216" s="182"/>
      <c r="AJ2216" s="640"/>
      <c r="AK2216" s="182"/>
      <c r="AL2216" s="496">
        <f t="shared" si="727"/>
        <v>0</v>
      </c>
      <c r="AM2216" s="496">
        <f t="shared" si="730"/>
        <v>0</v>
      </c>
      <c r="AN2216" s="626"/>
      <c r="AO2216" s="182"/>
      <c r="AP2216" s="182"/>
      <c r="AQ2216" s="332" t="str">
        <f>UPPER(RIGHT(Journal_Live[[#This Row],[DURATION ]]))</f>
        <v/>
      </c>
      <c r="AR2216" s="182"/>
      <c r="AS2216" s="189"/>
      <c r="AT2216" s="189">
        <f t="shared" si="731"/>
        <v>0</v>
      </c>
      <c r="AU2216" s="187">
        <f t="shared" si="732"/>
        <v>0</v>
      </c>
      <c r="AV2216" s="190">
        <f t="shared" si="726"/>
        <v>0</v>
      </c>
      <c r="AW2216" s="191"/>
      <c r="AX2216" s="551" t="s">
        <v>7036</v>
      </c>
      <c r="AY2216" s="551" t="s">
        <v>7037</v>
      </c>
      <c r="AZ2216" s="549" t="s">
        <v>7038</v>
      </c>
      <c r="BA2216" s="549" t="s">
        <v>7039</v>
      </c>
      <c r="BB2216" s="551" t="s">
        <v>7040</v>
      </c>
      <c r="BC2216" s="551"/>
      <c r="BD2216" s="549"/>
      <c r="BE2216" s="550"/>
      <c r="BF2216" s="549"/>
      <c r="BG2216" s="391">
        <f>SUM($AV$1389:AV2216)</f>
        <v>4991.829019347917</v>
      </c>
      <c r="BH2216" s="392">
        <f>SUM($AU$1389:AU2216)</f>
        <v>59326.423836163987</v>
      </c>
      <c r="BI2216" s="318">
        <f>SUMIFS($AU$1388:AU2277,$Q$1388:Q2277,"F")</f>
        <v>29235.078121878127</v>
      </c>
      <c r="BJ2216" s="318">
        <f>SUMIFS($AU$1388:AU2277,$Q$1388:Q2277,"S")</f>
        <v>17938.285714285706</v>
      </c>
      <c r="BK2216" s="343">
        <f>SUMIFS($AU$1388:AU2277,$P$1388:P2277,"W")</f>
        <v>17144.143836163403</v>
      </c>
      <c r="BL2216" s="343">
        <f>SUMIFS($AU$1388:AU2277,$P$1388:P2277,"R")</f>
        <v>22616.400000000325</v>
      </c>
      <c r="BM2216" s="343">
        <f>SUMIFS($AU$1388:AU2277,$AQ$1388:AQ2277,"M")</f>
        <v>8875.1799999983887</v>
      </c>
      <c r="BN2216" s="343">
        <f>SUMIFS($AU$1388:AU2277,$AQ$1388:AQ2277,"H")</f>
        <v>11643.200000000877</v>
      </c>
      <c r="BO2216" s="343">
        <f>SUMIFS($AU$1388:AU2277,$AQ$1388:AQ2277,"D")</f>
        <v>13122.377472527351</v>
      </c>
      <c r="BP2216" s="343">
        <f>SUMIFS($AS$1388:AS2708,$AO$1388:AO2708,"W")</f>
        <v>0</v>
      </c>
      <c r="BQ2216" s="343">
        <f>SUMIFS($AU$1388:AU2277,$Q$1388:Q2277,"O")</f>
        <v>-9340.9400000006026</v>
      </c>
      <c r="BR2216" s="343">
        <f>SUMIFS($AU$1388:AU2277,$AA$1388:AA2277,"*")</f>
        <v>37881.5220779214</v>
      </c>
      <c r="BS2216" s="343">
        <f>SUMIFS($AU$1388:AU2277,$AB$1388:AB2277,"*")</f>
        <v>7475.8599999999715</v>
      </c>
      <c r="BT2216" s="343">
        <f>SUMIFS($AU$1388:AU2277,$AC$1388:AC2277,"*")</f>
        <v>33251.078121878119</v>
      </c>
      <c r="BU2216" s="343">
        <f>SUMIFS($AU$1388:AU2277,$AA$1388:AA2277,"*",$AB$1388:AB2277,"*")</f>
        <v>7915.9999999997544</v>
      </c>
      <c r="BV2216" s="343">
        <f>SUMIFS($AU$1388:AU2277,$AA$1388:AA2277,"*",$AC$1388:AC2277,"*")</f>
        <v>29696.036363636529</v>
      </c>
      <c r="BW2216" s="343">
        <f>SUMIFS($AU$1388:AU2277,$AB$1388:AB2277,"*",$AC$1388:AC2277,"*")</f>
        <v>3863.9999999999991</v>
      </c>
      <c r="BX2216" s="343">
        <f>SUMIFS($AV$1388:AV2277,$Q$1388:Q2277,"F")</f>
        <v>383.04019562430165</v>
      </c>
      <c r="BY2216" s="343">
        <f>SUMIFS($AV$1388:AV2277,$Q$1388:Q2277,"S")</f>
        <v>676.61134190572739</v>
      </c>
      <c r="BZ2216" s="343">
        <f>SUMIFS($AV$1388:AV2277,$Q$1388:Q2277,"O")</f>
        <v>378.55929999967736</v>
      </c>
    </row>
    <row r="2217" spans="1:78" ht="15.75" customHeight="1">
      <c r="A2217" s="177" t="s">
        <v>6781</v>
      </c>
      <c r="B2217" s="200">
        <v>45462</v>
      </c>
      <c r="C2217" s="178" t="s">
        <v>1437</v>
      </c>
      <c r="D2217" s="178" t="s">
        <v>151</v>
      </c>
      <c r="E2217" s="227"/>
      <c r="F2217" s="180"/>
      <c r="G2217" s="181" t="s">
        <v>7041</v>
      </c>
      <c r="H2217" s="182"/>
      <c r="I2217" s="182"/>
      <c r="J2217" s="182"/>
      <c r="K2217" s="183"/>
      <c r="L2217" s="182"/>
      <c r="M2217" s="182"/>
      <c r="N2217" s="182"/>
      <c r="O2217" s="183"/>
      <c r="P2217" s="183"/>
      <c r="Q2217" s="183"/>
      <c r="R2217" s="183"/>
      <c r="S2217" s="183"/>
      <c r="T2217" s="183"/>
      <c r="U2217" s="183"/>
      <c r="V2217" s="183"/>
      <c r="W2217" s="183"/>
      <c r="X2217" s="183"/>
      <c r="Y2217" s="184"/>
      <c r="Z2217" s="185"/>
      <c r="AA2217" s="185"/>
      <c r="AB2217" s="185"/>
      <c r="AC2217" s="185"/>
      <c r="AD2217" s="649"/>
      <c r="AE2217" s="182"/>
      <c r="AF2217" s="332"/>
      <c r="AG2217" s="182"/>
      <c r="AH2217" s="182"/>
      <c r="AI2217" s="182"/>
      <c r="AJ2217" s="640"/>
      <c r="AK2217" s="182"/>
      <c r="AL2217" s="496">
        <f t="shared" si="727"/>
        <v>0</v>
      </c>
      <c r="AM2217" s="496">
        <f t="shared" si="730"/>
        <v>0</v>
      </c>
      <c r="AN2217" s="626"/>
      <c r="AO2217" s="182"/>
      <c r="AP2217" s="182"/>
      <c r="AQ2217" s="332" t="str">
        <f>UPPER(RIGHT(Journal_Live[[#This Row],[DURATION ]]))</f>
        <v/>
      </c>
      <c r="AR2217" s="182"/>
      <c r="AS2217" s="189"/>
      <c r="AT2217" s="189">
        <f t="shared" si="731"/>
        <v>0</v>
      </c>
      <c r="AU2217" s="187">
        <f t="shared" si="732"/>
        <v>0</v>
      </c>
      <c r="AV2217" s="190">
        <f t="shared" si="726"/>
        <v>0</v>
      </c>
      <c r="AW2217" s="191"/>
      <c r="AX2217" s="551"/>
      <c r="AY2217" s="551"/>
      <c r="AZ2217" s="551"/>
      <c r="BA2217" s="551"/>
      <c r="BB2217" s="551"/>
      <c r="BC2217" s="551"/>
      <c r="BD2217" s="549"/>
      <c r="BE2217" s="550"/>
      <c r="BF2217" s="549"/>
      <c r="BG2217" s="391">
        <f>SUM($AV$1389:AV2217)</f>
        <v>4991.829019347917</v>
      </c>
      <c r="BH2217" s="392">
        <f>SUM($AU$1389:AU2217)</f>
        <v>59326.423836163987</v>
      </c>
      <c r="BI2217" s="318">
        <f>SUMIFS($AU$1388:AU2219,$Q$1388:Q2219,"F")</f>
        <v>37211.078121878127</v>
      </c>
      <c r="BJ2217" s="318">
        <f>SUMIFS($AU$1388:AU2219,$Q$1388:Q2219,"S")</f>
        <v>25058.28571428571</v>
      </c>
      <c r="BK2217" s="343">
        <f>SUMIFS($AU$1388:AU2219,$P$1388:P2219,"W")</f>
        <v>34608.14383616417</v>
      </c>
      <c r="BL2217" s="343">
        <f>SUMIFS($AU$1388:AU2219,$P$1388:P2219,"R")</f>
        <v>22308.400000000325</v>
      </c>
      <c r="BM2217" s="343">
        <f>SUMIFS($AU$1388:AU2219,$AQ$1388:AQ2219,"M")</f>
        <v>12669.179999998996</v>
      </c>
      <c r="BN2217" s="343">
        <f>SUMIFS($AU$1388:AU2219,$AQ$1388:AQ2219,"H")</f>
        <v>14363.200000001041</v>
      </c>
      <c r="BO2217" s="343">
        <f>SUMIFS($AU$1388:AU2219,$AQ$1388:AQ2219,"D")</f>
        <v>15062.377472527351</v>
      </c>
      <c r="BP2217" s="343">
        <f>SUMIFS($AS$1388:AS2705,$AO$1388:AO2705,"W")</f>
        <v>0</v>
      </c>
      <c r="BQ2217" s="343">
        <f>SUMIFS($AU$1388:AU2219,$Q$1388:Q2219,"O")</f>
        <v>-5006.9399999998313</v>
      </c>
      <c r="BR2217" s="343">
        <f>SUMIFS($AU$1388:AU2219,$AA$1388:AA2219,"*")</f>
        <v>45123.522077922011</v>
      </c>
      <c r="BS2217" s="343">
        <f>SUMIFS($AU$1388:AU2219,$AB$1388:AB2219,"*")</f>
        <v>14251.859999999973</v>
      </c>
      <c r="BT2217" s="343">
        <f>SUMIFS($AU$1388:AU2219,$AC$1388:AC2219,"*")</f>
        <v>47387.078121878294</v>
      </c>
      <c r="BU2217" s="343">
        <f>SUMIFS($AU$1388:AU2219,$AA$1388:AA2219,"*",$AB$1388:AB2219,"*")</f>
        <v>7915.9999999997544</v>
      </c>
      <c r="BV2217" s="343">
        <f>SUMIFS($AU$1388:AU2219,$AA$1388:AA2219,"*",$AC$1388:AC2219,"*")</f>
        <v>33744.036363636536</v>
      </c>
      <c r="BW2217" s="343">
        <f>SUMIFS($AU$1388:AU2219,$AB$1388:AB2219,"*",$AC$1388:AC2219,"*")</f>
        <v>10640</v>
      </c>
      <c r="BX2217" s="343">
        <f>SUMIFS($AV$1388:AV2219,$Q$1388:Q2219,"F")</f>
        <v>488.85837744248346</v>
      </c>
      <c r="BY2217" s="343">
        <f>SUMIFS($AV$1388:AV2219,$Q$1388:Q2219,"S")</f>
        <v>820.61134190572739</v>
      </c>
      <c r="BZ2217" s="343">
        <f>SUMIFS($AV$1388:AV2219,$Q$1388:Q2219,"O")</f>
        <v>545.55929999969885</v>
      </c>
    </row>
    <row r="2218" spans="1:78" ht="15.75" customHeight="1">
      <c r="A2218" s="177" t="s">
        <v>6781</v>
      </c>
      <c r="B2218" s="200">
        <v>45462</v>
      </c>
      <c r="C2218" s="178" t="s">
        <v>3368</v>
      </c>
      <c r="D2218" s="178" t="s">
        <v>151</v>
      </c>
      <c r="E2218" s="227"/>
      <c r="F2218" s="180"/>
      <c r="G2218" s="490" t="s">
        <v>3555</v>
      </c>
      <c r="H2218" s="182"/>
      <c r="I2218" s="182"/>
      <c r="J2218" s="182"/>
      <c r="K2218" s="183"/>
      <c r="L2218" s="182"/>
      <c r="M2218" s="182">
        <v>2</v>
      </c>
      <c r="N2218" s="182"/>
      <c r="O2218" s="183" t="s">
        <v>95</v>
      </c>
      <c r="P2218" s="183" t="s">
        <v>96</v>
      </c>
      <c r="Q2218" s="183" t="s">
        <v>256</v>
      </c>
      <c r="R2218" s="183">
        <v>20</v>
      </c>
      <c r="S2218" s="183">
        <v>0</v>
      </c>
      <c r="T2218" s="183">
        <v>20</v>
      </c>
      <c r="U2218" s="183" t="s">
        <v>97</v>
      </c>
      <c r="V2218" s="183"/>
      <c r="W2218" s="183"/>
      <c r="X2218" s="183"/>
      <c r="Y2218" s="184">
        <f>IF(ISBLANK(O2218),"",(IF(O2218=UPPER("IB"),0.005,0.01)))</f>
        <v>0.01</v>
      </c>
      <c r="Z2218" s="185">
        <f>IF(ISBLANK(O2218),"",IF(O2218="IB",8.63*200,IF(O2218="IR",16*100,IF(O2218="YT",20*100,IF(O2218="YT-XT",24*200,IF(O2218="TED",80*100,IF(O2218="IR|YT",300*100)))))))</f>
        <v>1600</v>
      </c>
      <c r="AA2218" s="185" t="s">
        <v>7042</v>
      </c>
      <c r="AB2218" s="185" t="s">
        <v>7043</v>
      </c>
      <c r="AC2218" s="185" t="s">
        <v>7044</v>
      </c>
      <c r="AD2218" s="649">
        <v>5.7000000000000002E-2</v>
      </c>
      <c r="AE2218" s="182"/>
      <c r="AF2218" s="332"/>
      <c r="AG2218" s="182"/>
      <c r="AH2218" s="182" t="s">
        <v>7045</v>
      </c>
      <c r="AI2218" s="182"/>
      <c r="AJ2218" s="640" t="s">
        <v>7046</v>
      </c>
      <c r="AK2218" s="182"/>
      <c r="AL2218" s="496">
        <f t="shared" si="727"/>
        <v>-32</v>
      </c>
      <c r="AM2218" s="496">
        <f t="shared" si="730"/>
        <v>-640</v>
      </c>
      <c r="AN2218" s="626" t="s">
        <v>7047</v>
      </c>
      <c r="AO2218" s="182"/>
      <c r="AP2218" s="182" t="s">
        <v>902</v>
      </c>
      <c r="AQ2218" s="332" t="s">
        <v>96</v>
      </c>
      <c r="AR2218" s="298">
        <v>45469</v>
      </c>
      <c r="AS2218" s="189">
        <v>0.06</v>
      </c>
      <c r="AT2218" s="189">
        <f t="shared" si="731"/>
        <v>-2.9999999999999957E-3</v>
      </c>
      <c r="AU2218" s="187">
        <f t="shared" si="732"/>
        <v>-95.999999999999872</v>
      </c>
      <c r="AV2218" s="190">
        <f t="shared" si="726"/>
        <v>-4.7999999999999936</v>
      </c>
      <c r="AW2218" s="191" t="s">
        <v>229</v>
      </c>
      <c r="AX2218" s="549" t="s">
        <v>7048</v>
      </c>
      <c r="AY2218" s="551"/>
      <c r="AZ2218" s="551"/>
      <c r="BA2218" s="551"/>
      <c r="BB2218" s="551"/>
      <c r="BC2218" s="551"/>
      <c r="BD2218" s="549"/>
      <c r="BE2218" s="550"/>
      <c r="BF2218" s="549"/>
      <c r="BG2218" s="391">
        <f>SUM($AV$1389:AV2218)</f>
        <v>4987.0290193479168</v>
      </c>
      <c r="BH2218" s="392">
        <f>SUM($AU$1389:AU2218)</f>
        <v>59230.423836163987</v>
      </c>
      <c r="BI2218" s="318">
        <f>SUMIFS($AU$1388:AU2220,$Q$1388:Q2220,"F")</f>
        <v>37211.078121878127</v>
      </c>
      <c r="BJ2218" s="318">
        <f>SUMIFS($AU$1388:AU2220,$Q$1388:Q2220,"S")</f>
        <v>25058.28571428571</v>
      </c>
      <c r="BK2218" s="343">
        <f>SUMIFS($AU$1388:AU2220,$P$1388:P2220,"W")</f>
        <v>34608.14383616417</v>
      </c>
      <c r="BL2218" s="343">
        <f>SUMIFS($AU$1388:AU2220,$P$1388:P2220,"R")</f>
        <v>22308.400000000325</v>
      </c>
      <c r="BM2218" s="343">
        <f>SUMIFS($AU$1388:AU2220,$AQ$1388:AQ2220,"M")</f>
        <v>12669.179999998996</v>
      </c>
      <c r="BN2218" s="343">
        <f>SUMIFS($AU$1388:AU2220,$AQ$1388:AQ2220,"H")</f>
        <v>14363.200000001041</v>
      </c>
      <c r="BO2218" s="343">
        <f>SUMIFS($AU$1388:AU2220,$AQ$1388:AQ2220,"D")</f>
        <v>15062.377472527351</v>
      </c>
      <c r="BP2218" s="343">
        <f>SUMIFS($AS$1388:AS2706,$AO$1388:AO2706,"W")</f>
        <v>0</v>
      </c>
      <c r="BQ2218" s="343">
        <f>SUMIFS($AU$1388:AU2220,$Q$1388:Q2220,"O")</f>
        <v>-5006.9399999998313</v>
      </c>
      <c r="BR2218" s="343">
        <f>SUMIFS($AU$1388:AU2220,$AA$1388:AA2220,"*")</f>
        <v>45123.522077922011</v>
      </c>
      <c r="BS2218" s="343">
        <f>SUMIFS($AU$1388:AU2220,$AB$1388:AB2220,"*")</f>
        <v>14251.859999999973</v>
      </c>
      <c r="BT2218" s="343">
        <f>SUMIFS($AU$1388:AU2220,$AC$1388:AC2220,"*")</f>
        <v>47387.078121878294</v>
      </c>
      <c r="BU2218" s="343">
        <f>SUMIFS($AU$1388:AU2220,$AA$1388:AA2220,"*",$AB$1388:AB2220,"*")</f>
        <v>7915.9999999997544</v>
      </c>
      <c r="BV2218" s="343">
        <f>SUMIFS($AU$1388:AU2220,$AA$1388:AA2220,"*",$AC$1388:AC2220,"*")</f>
        <v>33744.036363636536</v>
      </c>
      <c r="BW2218" s="343">
        <f>SUMIFS($AU$1388:AU2220,$AB$1388:AB2220,"*",$AC$1388:AC2220,"*")</f>
        <v>10640</v>
      </c>
      <c r="BX2218" s="343">
        <f>SUMIFS($AV$1388:AV2220,$Q$1388:Q2220,"F")</f>
        <v>488.85837744248346</v>
      </c>
      <c r="BY2218" s="343">
        <f>SUMIFS($AV$1388:AV2220,$Q$1388:Q2220,"S")</f>
        <v>820.61134190572739</v>
      </c>
      <c r="BZ2218" s="343">
        <f>SUMIFS($AV$1388:AV2220,$Q$1388:Q2220,"O")</f>
        <v>545.55929999969885</v>
      </c>
    </row>
    <row r="2219" spans="1:78" ht="15.75" customHeight="1">
      <c r="A2219" s="177" t="s">
        <v>6781</v>
      </c>
      <c r="B2219" s="200">
        <v>45462</v>
      </c>
      <c r="C2219" s="178" t="s">
        <v>1437</v>
      </c>
      <c r="D2219" s="178" t="s">
        <v>151</v>
      </c>
      <c r="E2219" s="227"/>
      <c r="F2219" s="180"/>
      <c r="G2219" s="553" t="s">
        <v>7049</v>
      </c>
      <c r="H2219" s="182"/>
      <c r="I2219" s="182"/>
      <c r="J2219" s="182"/>
      <c r="K2219" s="183"/>
      <c r="L2219" s="182">
        <v>1</v>
      </c>
      <c r="M2219" s="182"/>
      <c r="N2219" s="182"/>
      <c r="O2219" s="183" t="s">
        <v>95</v>
      </c>
      <c r="P2219" s="183" t="s">
        <v>137</v>
      </c>
      <c r="Q2219" s="183" t="s">
        <v>97</v>
      </c>
      <c r="R2219" s="183">
        <v>41</v>
      </c>
      <c r="S2219" s="183">
        <v>0</v>
      </c>
      <c r="T2219" s="183">
        <v>41</v>
      </c>
      <c r="U2219" s="183" t="s">
        <v>97</v>
      </c>
      <c r="V2219" s="183"/>
      <c r="W2219" s="183"/>
      <c r="X2219" s="183"/>
      <c r="Y2219" s="184">
        <f>IF(ISBLANK(O2219),"",(IF(O2219=UPPER("IB"),0.005,0.01)))</f>
        <v>0.01</v>
      </c>
      <c r="Z2219" s="185">
        <f>IF(ISBLANK(O2219),"",IF(O2219="IB",8.63*200,IF(O2219="IR",16*100,IF(O2219="YT",20*100,IF(O2219="YT-XT",24*200,IF(O2219="TED",80*100,IF(O2219="IR|YT",300*100)))))))</f>
        <v>1600</v>
      </c>
      <c r="AA2219" s="185"/>
      <c r="AB2219" s="185"/>
      <c r="AC2219" s="185" t="s">
        <v>7050</v>
      </c>
      <c r="AD2219" s="649">
        <v>-0.03</v>
      </c>
      <c r="AE2219" s="182"/>
      <c r="AF2219" s="332"/>
      <c r="AG2219" s="182"/>
      <c r="AH2219" s="182"/>
      <c r="AI2219" s="182"/>
      <c r="AJ2219" s="640"/>
      <c r="AK2219" s="182"/>
      <c r="AL2219" s="496">
        <f>0*Z2219</f>
        <v>0</v>
      </c>
      <c r="AM2219" s="496">
        <f t="shared" si="730"/>
        <v>0</v>
      </c>
      <c r="AN2219" s="626"/>
      <c r="AO2219" s="182"/>
      <c r="AP2219" s="182"/>
      <c r="AQ2219" s="332" t="str">
        <f>UPPER(RIGHT(Journal_Live[[#This Row],[DURATION ]]))</f>
        <v/>
      </c>
      <c r="AR2219" s="182"/>
      <c r="AS2219" s="189">
        <v>-0.04</v>
      </c>
      <c r="AT2219" s="189">
        <f t="shared" si="731"/>
        <v>1.0000000000000002E-2</v>
      </c>
      <c r="AU2219" s="187">
        <f t="shared" si="732"/>
        <v>656.00000000000011</v>
      </c>
      <c r="AV2219" s="190">
        <f t="shared" si="726"/>
        <v>16.000000000000004</v>
      </c>
      <c r="AW2219" s="191" t="s">
        <v>96</v>
      </c>
      <c r="AX2219" s="551"/>
      <c r="AY2219" s="551"/>
      <c r="AZ2219" s="551"/>
      <c r="BA2219" s="551"/>
      <c r="BB2219" s="551"/>
      <c r="BC2219" s="551"/>
      <c r="BD2219" s="549"/>
      <c r="BE2219" s="550"/>
      <c r="BF2219" s="549"/>
      <c r="BG2219" s="391">
        <f>SUM($AV$1389:AV2219)</f>
        <v>5003.0290193479168</v>
      </c>
      <c r="BH2219" s="392">
        <f>SUM($AU$1389:AU2219)</f>
        <v>59886.423836163987</v>
      </c>
      <c r="BI2219" s="318">
        <f>SUMIFS($AU$1388:AU2221,$Q$1388:Q2221,"F")</f>
        <v>37211.078121878127</v>
      </c>
      <c r="BJ2219" s="318">
        <f>SUMIFS($AU$1388:AU2221,$Q$1388:Q2221,"S")</f>
        <v>25058.28571428571</v>
      </c>
      <c r="BK2219" s="343">
        <f>SUMIFS($AU$1388:AU2221,$P$1388:P2221,"W")</f>
        <v>34608.14383616417</v>
      </c>
      <c r="BL2219" s="343">
        <f>SUMIFS($AU$1388:AU2221,$P$1388:P2221,"R")</f>
        <v>22308.400000000325</v>
      </c>
      <c r="BM2219" s="343">
        <f>SUMIFS($AU$1388:AU2221,$AQ$1388:AQ2221,"M")</f>
        <v>12669.179999998996</v>
      </c>
      <c r="BN2219" s="343">
        <f>SUMIFS($AU$1388:AU2221,$AQ$1388:AQ2221,"H")</f>
        <v>14363.200000001041</v>
      </c>
      <c r="BO2219" s="343">
        <f>SUMIFS($AU$1388:AU2221,$AQ$1388:AQ2221,"D")</f>
        <v>15062.377472527351</v>
      </c>
      <c r="BP2219" s="343">
        <f>SUMIFS($AS$1388:AS2707,$AO$1388:AO2707,"W")</f>
        <v>0</v>
      </c>
      <c r="BQ2219" s="343">
        <f>SUMIFS($AU$1388:AU2221,$Q$1388:Q2221,"O")</f>
        <v>-5006.9399999998313</v>
      </c>
      <c r="BR2219" s="343">
        <f>SUMIFS($AU$1388:AU2221,$AA$1388:AA2221,"*")</f>
        <v>45123.522077922011</v>
      </c>
      <c r="BS2219" s="343">
        <f>SUMIFS($AU$1388:AU2221,$AB$1388:AB2221,"*")</f>
        <v>14251.859999999973</v>
      </c>
      <c r="BT2219" s="343">
        <f>SUMIFS($AU$1388:AU2221,$AC$1388:AC2221,"*")</f>
        <v>47387.078121878294</v>
      </c>
      <c r="BU2219" s="343">
        <f>SUMIFS($AU$1388:AU2221,$AA$1388:AA2221,"*",$AB$1388:AB2221,"*")</f>
        <v>7915.9999999997544</v>
      </c>
      <c r="BV2219" s="343">
        <f>SUMIFS($AU$1388:AU2221,$AA$1388:AA2221,"*",$AC$1388:AC2221,"*")</f>
        <v>33744.036363636536</v>
      </c>
      <c r="BW2219" s="343">
        <f>SUMIFS($AU$1388:AU2221,$AB$1388:AB2221,"*",$AC$1388:AC2221,"*")</f>
        <v>10640</v>
      </c>
      <c r="BX2219" s="343">
        <f>SUMIFS($AV$1388:AV2221,$Q$1388:Q2221,"F")</f>
        <v>488.85837744248346</v>
      </c>
      <c r="BY2219" s="343">
        <f>SUMIFS($AV$1388:AV2221,$Q$1388:Q2221,"S")</f>
        <v>820.61134190572739</v>
      </c>
      <c r="BZ2219" s="343">
        <f>SUMIFS($AV$1388:AV2221,$Q$1388:Q2221,"O")</f>
        <v>545.55929999969885</v>
      </c>
    </row>
    <row r="2220" spans="1:78" ht="15.75" customHeight="1">
      <c r="A2220" s="177" t="s">
        <v>6781</v>
      </c>
      <c r="B2220" s="200">
        <v>45462</v>
      </c>
      <c r="C2220" s="178" t="s">
        <v>5042</v>
      </c>
      <c r="D2220" s="178" t="s">
        <v>151</v>
      </c>
      <c r="E2220" s="227"/>
      <c r="F2220" s="180"/>
      <c r="G2220" s="570" t="s">
        <v>3625</v>
      </c>
      <c r="H2220" s="182"/>
      <c r="I2220" s="182"/>
      <c r="J2220" s="182"/>
      <c r="K2220" s="183"/>
      <c r="L2220" s="182">
        <v>1</v>
      </c>
      <c r="M2220" s="182"/>
      <c r="N2220" s="182"/>
      <c r="O2220" s="183" t="s">
        <v>95</v>
      </c>
      <c r="P2220" s="183" t="s">
        <v>96</v>
      </c>
      <c r="Q2220" s="183" t="s">
        <v>97</v>
      </c>
      <c r="R2220" s="183">
        <v>60</v>
      </c>
      <c r="S2220" s="183">
        <v>8</v>
      </c>
      <c r="T2220" s="183">
        <v>60</v>
      </c>
      <c r="U2220" s="183" t="s">
        <v>22</v>
      </c>
      <c r="V2220" s="183"/>
      <c r="W2220" s="183"/>
      <c r="X2220" s="183"/>
      <c r="Y2220" s="184">
        <f>IF(ISBLANK(O2220),"",(IF(O2220=UPPER("IB"),0.005,0.01)))</f>
        <v>0.01</v>
      </c>
      <c r="Z2220" s="185">
        <f>IF(ISBLANK(O2220),"",IF(O2220="IB",8.63*200,IF(O2220="IR",16*100,IF(O2220="YT",20*100,IF(O2220="YT-XT",24*200,IF(O2220="TED",80*100,IF(O2220="IR|YT",300*100)))))))</f>
        <v>1600</v>
      </c>
      <c r="AA2220" s="185"/>
      <c r="AB2220" s="185"/>
      <c r="AC2220" s="185"/>
      <c r="AD2220" s="649">
        <v>-0.21</v>
      </c>
      <c r="AE2220" s="182"/>
      <c r="AF2220" s="332"/>
      <c r="AG2220" s="182"/>
      <c r="AH2220" s="182"/>
      <c r="AI2220" s="182"/>
      <c r="AJ2220" s="640"/>
      <c r="AK2220" s="182"/>
      <c r="AL2220" s="496">
        <f t="shared" si="727"/>
        <v>-32</v>
      </c>
      <c r="AM2220" s="496">
        <f t="shared" si="730"/>
        <v>-1664</v>
      </c>
      <c r="AN2220" s="626"/>
      <c r="AO2220" s="182"/>
      <c r="AP2220" s="182" t="s">
        <v>5014</v>
      </c>
      <c r="AQ2220" s="332" t="s">
        <v>372</v>
      </c>
      <c r="AR2220" s="298" t="s">
        <v>7051</v>
      </c>
      <c r="AS2220" s="189">
        <v>-0.21</v>
      </c>
      <c r="AT2220" s="189">
        <f t="shared" si="731"/>
        <v>0</v>
      </c>
      <c r="AU2220" s="187">
        <f t="shared" si="732"/>
        <v>0</v>
      </c>
      <c r="AV2220" s="190">
        <f t="shared" si="726"/>
        <v>0</v>
      </c>
      <c r="AW2220" s="191" t="s">
        <v>115</v>
      </c>
      <c r="AX2220" s="551" t="s">
        <v>7052</v>
      </c>
      <c r="AY2220" s="551" t="s">
        <v>7053</v>
      </c>
      <c r="AZ2220" s="588" t="s">
        <v>7054</v>
      </c>
      <c r="BA2220" s="551"/>
      <c r="BB2220" s="551"/>
      <c r="BC2220" s="551"/>
      <c r="BD2220" s="549"/>
      <c r="BE2220" s="550"/>
      <c r="BF2220" s="549"/>
      <c r="BG2220" s="391">
        <f>SUM($AV$1389:AV2220)</f>
        <v>5003.0290193479168</v>
      </c>
      <c r="BH2220" s="392">
        <f>SUM($AU$1389:AU2220)</f>
        <v>59886.423836163987</v>
      </c>
      <c r="BI2220" s="318">
        <f>SUMIFS($AU$1388:AU2277,$Q$1388:Q2277,"F")</f>
        <v>29235.078121878127</v>
      </c>
      <c r="BJ2220" s="318">
        <f>SUMIFS($AU$1388:AU2277,$Q$1388:Q2277,"S")</f>
        <v>17938.285714285706</v>
      </c>
      <c r="BK2220" s="343">
        <f>SUMIFS($AU$1388:AU2277,$P$1388:P2277,"W")</f>
        <v>17144.143836163403</v>
      </c>
      <c r="BL2220" s="343">
        <f>SUMIFS($AU$1388:AU2277,$P$1388:P2277,"R")</f>
        <v>22616.400000000325</v>
      </c>
      <c r="BM2220" s="343">
        <f>SUMIFS($AU$1388:AU2277,$AQ$1388:AQ2277,"M")</f>
        <v>8875.1799999983887</v>
      </c>
      <c r="BN2220" s="343">
        <f>SUMIFS($AU$1388:AU2277,$AQ$1388:AQ2277,"H")</f>
        <v>11643.200000000877</v>
      </c>
      <c r="BO2220" s="343">
        <f>SUMIFS($AU$1388:AU2277,$AQ$1388:AQ2277,"D")</f>
        <v>13122.377472527351</v>
      </c>
      <c r="BP2220" s="343">
        <f>SUMIFS($AS$1388:AS2708,$AO$1388:AO2708,"W")</f>
        <v>0</v>
      </c>
      <c r="BQ2220" s="343">
        <f>SUMIFS($AU$1388:AU2277,$Q$1388:Q2277,"O")</f>
        <v>-9340.9400000006026</v>
      </c>
      <c r="BR2220" s="343">
        <f>SUMIFS($AU$1388:AU2277,$AA$1388:AA2277,"*")</f>
        <v>37881.5220779214</v>
      </c>
      <c r="BS2220" s="343">
        <f>SUMIFS($AU$1388:AU2277,$AB$1388:AB2277,"*")</f>
        <v>7475.8599999999715</v>
      </c>
      <c r="BT2220" s="343">
        <f>SUMIFS($AU$1388:AU2277,$AC$1388:AC2277,"*")</f>
        <v>33251.078121878119</v>
      </c>
      <c r="BU2220" s="343">
        <f>SUMIFS($AU$1388:AU2277,$AA$1388:AA2277,"*",$AB$1388:AB2277,"*")</f>
        <v>7915.9999999997544</v>
      </c>
      <c r="BV2220" s="343">
        <f>SUMIFS($AU$1388:AU2277,$AA$1388:AA2277,"*",$AC$1388:AC2277,"*")</f>
        <v>29696.036363636529</v>
      </c>
      <c r="BW2220" s="343">
        <f>SUMIFS($AU$1388:AU2277,$AB$1388:AB2277,"*",$AC$1388:AC2277,"*")</f>
        <v>3863.9999999999991</v>
      </c>
      <c r="BX2220" s="343">
        <f>SUMIFS($AV$1388:AV2277,$Q$1388:Q2277,"F")</f>
        <v>383.04019562430165</v>
      </c>
      <c r="BY2220" s="343">
        <f>SUMIFS($AV$1388:AV2277,$Q$1388:Q2277,"S")</f>
        <v>676.61134190572739</v>
      </c>
      <c r="BZ2220" s="343">
        <f>SUMIFS($AV$1388:AV2277,$Q$1388:Q2277,"O")</f>
        <v>378.55929999967736</v>
      </c>
    </row>
    <row r="2221" spans="1:78" ht="15.75" customHeight="1">
      <c r="A2221" s="177" t="s">
        <v>6781</v>
      </c>
      <c r="B2221" s="200"/>
      <c r="C2221" s="178"/>
      <c r="D2221" s="178"/>
      <c r="E2221" s="227"/>
      <c r="F2221" s="180"/>
      <c r="G2221" s="181"/>
      <c r="H2221" s="182"/>
      <c r="I2221" s="182"/>
      <c r="J2221" s="182"/>
      <c r="K2221" s="183"/>
      <c r="L2221" s="182"/>
      <c r="M2221" s="182"/>
      <c r="N2221" s="182"/>
      <c r="O2221" s="183"/>
      <c r="P2221" s="183"/>
      <c r="Q2221" s="183"/>
      <c r="R2221" s="183"/>
      <c r="S2221" s="183"/>
      <c r="T2221" s="183"/>
      <c r="U2221" s="183"/>
      <c r="V2221" s="183"/>
      <c r="W2221" s="183"/>
      <c r="X2221" s="183"/>
      <c r="Y2221" s="184"/>
      <c r="Z2221" s="185"/>
      <c r="AA2221" s="185"/>
      <c r="AB2221" s="185"/>
      <c r="AC2221" s="185"/>
      <c r="AD2221" s="649"/>
      <c r="AE2221" s="182"/>
      <c r="AF2221" s="332"/>
      <c r="AG2221" s="182"/>
      <c r="AH2221" s="182"/>
      <c r="AI2221" s="182"/>
      <c r="AJ2221" s="640"/>
      <c r="AK2221" s="182"/>
      <c r="AL2221" s="496">
        <f t="shared" si="711"/>
        <v>0</v>
      </c>
      <c r="AM2221" s="496">
        <f t="shared" si="730"/>
        <v>0</v>
      </c>
      <c r="AN2221" s="626"/>
      <c r="AO2221" s="182"/>
      <c r="AP2221" s="182"/>
      <c r="AQ2221" s="332"/>
      <c r="AR2221" s="182"/>
      <c r="AS2221" s="189"/>
      <c r="AT2221" s="189">
        <f t="shared" si="731"/>
        <v>0</v>
      </c>
      <c r="AU2221" s="187">
        <f t="shared" si="732"/>
        <v>0</v>
      </c>
      <c r="AV2221" s="190">
        <f t="shared" si="716"/>
        <v>0</v>
      </c>
      <c r="AW2221" s="191"/>
      <c r="AX2221" s="551" t="s">
        <v>7055</v>
      </c>
      <c r="AY2221" s="551" t="s">
        <v>7056</v>
      </c>
      <c r="AZ2221" s="551"/>
      <c r="BA2221" s="551"/>
      <c r="BB2221" s="551"/>
      <c r="BC2221" s="551"/>
      <c r="BD2221" s="549"/>
      <c r="BE2221" s="550"/>
      <c r="BF2221" s="549"/>
      <c r="BG2221" s="391">
        <f>SUM($AV$1389:AV2221)</f>
        <v>5003.0290193479168</v>
      </c>
      <c r="BH2221" s="392">
        <f>SUM($AU$1389:AU2221)</f>
        <v>59886.423836163987</v>
      </c>
      <c r="BI2221" s="318">
        <f>SUMIFS($AU$1388:AU2278,$Q$1388:Q2278,"F")</f>
        <v>29235.078121878127</v>
      </c>
      <c r="BJ2221" s="318">
        <f>SUMIFS($AU$1388:AU2278,$Q$1388:Q2278,"S")</f>
        <v>17938.285714285706</v>
      </c>
      <c r="BK2221" s="343">
        <f>SUMIFS($AU$1388:AU2278,$P$1388:P2278,"W")</f>
        <v>17144.143836163403</v>
      </c>
      <c r="BL2221" s="343">
        <f>SUMIFS($AU$1388:AU2278,$P$1388:P2278,"R")</f>
        <v>22616.400000000325</v>
      </c>
      <c r="BM2221" s="343">
        <f>SUMIFS($AU$1388:AU2278,$AQ$1388:AQ2278,"M")</f>
        <v>8875.1799999983887</v>
      </c>
      <c r="BN2221" s="343">
        <f>SUMIFS($AU$1388:AU2278,$AQ$1388:AQ2278,"H")</f>
        <v>11643.200000000877</v>
      </c>
      <c r="BO2221" s="343">
        <f>SUMIFS($AU$1388:AU2278,$AQ$1388:AQ2278,"D")</f>
        <v>13122.377472527351</v>
      </c>
      <c r="BP2221" s="343">
        <f>SUMIFS($AS$1388:AS2709,$AO$1388:AO2709,"W")</f>
        <v>0</v>
      </c>
      <c r="BQ2221" s="343">
        <f>SUMIFS($AU$1388:AU2278,$Q$1388:Q2278,"O")</f>
        <v>-9340.9400000006026</v>
      </c>
      <c r="BR2221" s="343">
        <f>SUMIFS($AU$1388:AU2278,$AA$1388:AA2278,"*")</f>
        <v>37881.5220779214</v>
      </c>
      <c r="BS2221" s="343">
        <f>SUMIFS($AU$1388:AU2278,$AB$1388:AB2278,"*")</f>
        <v>7475.8599999999715</v>
      </c>
      <c r="BT2221" s="343">
        <f>SUMIFS($AU$1388:AU2278,$AC$1388:AC2278,"*")</f>
        <v>33251.078121878119</v>
      </c>
      <c r="BU2221" s="343">
        <f>SUMIFS($AU$1388:AU2278,$AA$1388:AA2278,"*",$AB$1388:AB2278,"*")</f>
        <v>7915.9999999997544</v>
      </c>
      <c r="BV2221" s="343">
        <f>SUMIFS($AU$1388:AU2278,$AA$1388:AA2278,"*",$AC$1388:AC2278,"*")</f>
        <v>29696.036363636529</v>
      </c>
      <c r="BW2221" s="343">
        <f>SUMIFS($AU$1388:AU2278,$AB$1388:AB2278,"*",$AC$1388:AC2278,"*")</f>
        <v>3863.9999999999991</v>
      </c>
      <c r="BX2221" s="343">
        <f>SUMIFS($AV$1388:AV2278,$Q$1388:Q2278,"F")</f>
        <v>383.04019562430165</v>
      </c>
      <c r="BY2221" s="343">
        <f>SUMIFS($AV$1388:AV2278,$Q$1388:Q2278,"S")</f>
        <v>676.61134190572739</v>
      </c>
      <c r="BZ2221" s="343">
        <f>SUMIFS($AV$1388:AV2278,$Q$1388:Q2278,"O")</f>
        <v>378.55929999967736</v>
      </c>
    </row>
    <row r="2222" spans="1:78" ht="15.75" customHeight="1">
      <c r="A2222" s="177" t="s">
        <v>6781</v>
      </c>
      <c r="B2222" s="200">
        <v>45462</v>
      </c>
      <c r="C2222" s="178" t="s">
        <v>2253</v>
      </c>
      <c r="D2222" s="178" t="s">
        <v>151</v>
      </c>
      <c r="E2222" s="227" t="s">
        <v>7057</v>
      </c>
      <c r="F2222" s="180"/>
      <c r="G2222" s="181"/>
      <c r="H2222" s="182"/>
      <c r="I2222" s="182"/>
      <c r="J2222" s="182"/>
      <c r="K2222" s="183"/>
      <c r="L2222" s="182"/>
      <c r="M2222" s="182"/>
      <c r="N2222" s="182"/>
      <c r="O2222" s="183"/>
      <c r="P2222" s="183"/>
      <c r="Q2222" s="183"/>
      <c r="R2222" s="183"/>
      <c r="S2222" s="183"/>
      <c r="T2222" s="183"/>
      <c r="U2222" s="183"/>
      <c r="V2222" s="183"/>
      <c r="W2222" s="183"/>
      <c r="X2222" s="183"/>
      <c r="Y2222" s="184"/>
      <c r="Z2222" s="185"/>
      <c r="AA2222" s="185"/>
      <c r="AB2222" s="185"/>
      <c r="AC2222" s="185"/>
      <c r="AD2222" s="649"/>
      <c r="AE2222" s="182"/>
      <c r="AF2222" s="332"/>
      <c r="AG2222" s="182"/>
      <c r="AH2222" s="182"/>
      <c r="AI2222" s="182"/>
      <c r="AJ2222" s="640"/>
      <c r="AK2222" s="182"/>
      <c r="AL2222" s="496">
        <f t="shared" ref="AL2222:AL2224" si="737">-0.02*Z2222</f>
        <v>0</v>
      </c>
      <c r="AM2222" s="496">
        <f t="shared" si="730"/>
        <v>0</v>
      </c>
      <c r="AN2222" s="626"/>
      <c r="AO2222" s="182"/>
      <c r="AP2222" s="182"/>
      <c r="AQ2222" s="332" t="str">
        <f>UPPER(RIGHT(Journal_Live[[#This Row],[DURATION ]]))</f>
        <v/>
      </c>
      <c r="AR2222" s="182"/>
      <c r="AS2222" s="189"/>
      <c r="AT2222" s="189">
        <f t="shared" si="731"/>
        <v>0</v>
      </c>
      <c r="AU2222" s="187">
        <f t="shared" si="732"/>
        <v>0</v>
      </c>
      <c r="AV2222" s="190">
        <f t="shared" ref="AV2222:AV2225" si="738">IF(ISBLANK(AS2222),,(AT2222*Z2222))</f>
        <v>0</v>
      </c>
      <c r="AW2222" s="191"/>
      <c r="AX2222" s="551"/>
      <c r="AY2222" s="551"/>
      <c r="AZ2222" s="551"/>
      <c r="BA2222" s="551"/>
      <c r="BB2222" s="551"/>
      <c r="BC2222" s="551"/>
      <c r="BD2222" s="549"/>
      <c r="BE2222" s="550"/>
      <c r="BF2222" s="549"/>
      <c r="BG2222" s="391">
        <f>SUM($AV$1389:AV2222)</f>
        <v>5003.0290193479168</v>
      </c>
      <c r="BH2222" s="392">
        <f>SUM($AU$1389:AU2222)</f>
        <v>59886.423836163987</v>
      </c>
      <c r="BI2222" s="318">
        <f>SUMIFS($AU$1388:AU2224,$Q$1388:Q2224,"F")</f>
        <v>37211.078121878127</v>
      </c>
      <c r="BJ2222" s="318">
        <f>SUMIFS($AU$1388:AU2224,$Q$1388:Q2224,"S")</f>
        <v>25058.28571428571</v>
      </c>
      <c r="BK2222" s="343">
        <f>SUMIFS($AU$1388:AU2224,$P$1388:P2224,"W")</f>
        <v>34608.14383616417</v>
      </c>
      <c r="BL2222" s="343">
        <f>SUMIFS($AU$1388:AU2224,$P$1388:P2224,"R")</f>
        <v>22308.400000000325</v>
      </c>
      <c r="BM2222" s="343">
        <f>SUMIFS($AU$1388:AU2224,$AQ$1388:AQ2224,"M")</f>
        <v>12669.179999998996</v>
      </c>
      <c r="BN2222" s="343">
        <f>SUMIFS($AU$1388:AU2224,$AQ$1388:AQ2224,"H")</f>
        <v>14363.200000001041</v>
      </c>
      <c r="BO2222" s="343">
        <f>SUMIFS($AU$1388:AU2224,$AQ$1388:AQ2224,"D")</f>
        <v>15062.377472527351</v>
      </c>
      <c r="BP2222" s="343">
        <f>SUMIFS($AS$1388:AS2703,$AO$1388:AO2703,"W")</f>
        <v>0</v>
      </c>
      <c r="BQ2222" s="343">
        <f>SUMIFS($AU$1388:AU2224,$Q$1388:Q2224,"O")</f>
        <v>-5006.9399999998313</v>
      </c>
      <c r="BR2222" s="343">
        <f>SUMIFS($AU$1388:AU2224,$AA$1388:AA2224,"*")</f>
        <v>45123.522077922011</v>
      </c>
      <c r="BS2222" s="343">
        <f>SUMIFS($AU$1388:AU2224,$AB$1388:AB2224,"*")</f>
        <v>14251.859999999973</v>
      </c>
      <c r="BT2222" s="343">
        <f>SUMIFS($AU$1388:AU2224,$AC$1388:AC2224,"*")</f>
        <v>47387.078121878294</v>
      </c>
      <c r="BU2222" s="343">
        <f>SUMIFS($AU$1388:AU2224,$AA$1388:AA2224,"*",$AB$1388:AB2224,"*")</f>
        <v>7915.9999999997544</v>
      </c>
      <c r="BV2222" s="343">
        <f>SUMIFS($AU$1388:AU2224,$AA$1388:AA2224,"*",$AC$1388:AC2224,"*")</f>
        <v>33744.036363636536</v>
      </c>
      <c r="BW2222" s="343">
        <f>SUMIFS($AU$1388:AU2224,$AB$1388:AB2224,"*",$AC$1388:AC2224,"*")</f>
        <v>10640</v>
      </c>
      <c r="BX2222" s="343">
        <f>SUMIFS($AV$1388:AV2224,$Q$1388:Q2224,"F")</f>
        <v>488.85837744248346</v>
      </c>
      <c r="BY2222" s="343">
        <f>SUMIFS($AV$1388:AV2224,$Q$1388:Q2224,"S")</f>
        <v>820.61134190572739</v>
      </c>
      <c r="BZ2222" s="343">
        <f>SUMIFS($AV$1388:AV2224,$Q$1388:Q2224,"O")</f>
        <v>545.55929999969885</v>
      </c>
    </row>
    <row r="2223" spans="1:78" ht="15.75" customHeight="1">
      <c r="A2223" s="177" t="s">
        <v>6781</v>
      </c>
      <c r="B2223" s="200"/>
      <c r="C2223" s="178"/>
      <c r="D2223" s="178"/>
      <c r="E2223" s="227" t="s">
        <v>7058</v>
      </c>
      <c r="F2223" s="180"/>
      <c r="G2223" s="181"/>
      <c r="H2223" s="182"/>
      <c r="I2223" s="182"/>
      <c r="J2223" s="182"/>
      <c r="K2223" s="183"/>
      <c r="L2223" s="182"/>
      <c r="M2223" s="182"/>
      <c r="N2223" s="182"/>
      <c r="O2223" s="183"/>
      <c r="P2223" s="183"/>
      <c r="Q2223" s="183"/>
      <c r="R2223" s="183"/>
      <c r="S2223" s="183"/>
      <c r="T2223" s="183"/>
      <c r="U2223" s="183"/>
      <c r="V2223" s="183"/>
      <c r="W2223" s="183"/>
      <c r="X2223" s="183"/>
      <c r="Y2223" s="184"/>
      <c r="Z2223" s="185"/>
      <c r="AA2223" s="185"/>
      <c r="AB2223" s="185"/>
      <c r="AC2223" s="185"/>
      <c r="AD2223" s="649"/>
      <c r="AE2223" s="182"/>
      <c r="AF2223" s="332"/>
      <c r="AG2223" s="182"/>
      <c r="AH2223" s="182"/>
      <c r="AI2223" s="182"/>
      <c r="AJ2223" s="640"/>
      <c r="AK2223" s="182"/>
      <c r="AL2223" s="496">
        <f t="shared" si="737"/>
        <v>0</v>
      </c>
      <c r="AM2223" s="496">
        <f t="shared" si="730"/>
        <v>0</v>
      </c>
      <c r="AN2223" s="626"/>
      <c r="AO2223" s="182"/>
      <c r="AP2223" s="182"/>
      <c r="AQ2223" s="332" t="str">
        <f>UPPER(RIGHT(Journal_Live[[#This Row],[DURATION ]]))</f>
        <v/>
      </c>
      <c r="AR2223" s="182"/>
      <c r="AS2223" s="189"/>
      <c r="AT2223" s="189">
        <f t="shared" si="731"/>
        <v>0</v>
      </c>
      <c r="AU2223" s="187">
        <f t="shared" si="732"/>
        <v>0</v>
      </c>
      <c r="AV2223" s="190">
        <f t="shared" si="738"/>
        <v>0</v>
      </c>
      <c r="AW2223" s="191"/>
      <c r="AX2223" s="577" t="s">
        <v>7059</v>
      </c>
      <c r="AY2223" s="549" t="s">
        <v>7060</v>
      </c>
      <c r="AZ2223" s="551" t="s">
        <v>7061</v>
      </c>
      <c r="BA2223" s="551"/>
      <c r="BB2223" s="551"/>
      <c r="BC2223" s="551"/>
      <c r="BD2223" s="549"/>
      <c r="BE2223" s="550"/>
      <c r="BF2223" s="549"/>
      <c r="BG2223" s="391">
        <f>SUM($AV$1389:AV2223)</f>
        <v>5003.0290193479168</v>
      </c>
      <c r="BH2223" s="392">
        <f>SUM($AU$1389:AU2223)</f>
        <v>59886.423836163987</v>
      </c>
      <c r="BI2223" s="318">
        <f>SUMIFS($AU$1388:AU2225,$Q$1388:Q2225,"F")</f>
        <v>37211.078121878127</v>
      </c>
      <c r="BJ2223" s="318">
        <f>SUMIFS($AU$1388:AU2225,$Q$1388:Q2225,"S")</f>
        <v>25058.28571428571</v>
      </c>
      <c r="BK2223" s="343">
        <f>SUMIFS($AU$1388:AU2225,$P$1388:P2225,"W")</f>
        <v>34608.14383616417</v>
      </c>
      <c r="BL2223" s="343">
        <f>SUMIFS($AU$1388:AU2225,$P$1388:P2225,"R")</f>
        <v>22308.400000000325</v>
      </c>
      <c r="BM2223" s="343">
        <f>SUMIFS($AU$1388:AU2225,$AQ$1388:AQ2225,"M")</f>
        <v>12669.179999998996</v>
      </c>
      <c r="BN2223" s="343">
        <f>SUMIFS($AU$1388:AU2225,$AQ$1388:AQ2225,"H")</f>
        <v>14363.200000001041</v>
      </c>
      <c r="BO2223" s="343">
        <f>SUMIFS($AU$1388:AU2225,$AQ$1388:AQ2225,"D")</f>
        <v>15062.377472527351</v>
      </c>
      <c r="BP2223" s="343">
        <f>SUMIFS($AS$1388:AS2704,$AO$1388:AO2704,"W")</f>
        <v>0</v>
      </c>
      <c r="BQ2223" s="343">
        <f>SUMIFS($AU$1388:AU2225,$Q$1388:Q2225,"O")</f>
        <v>-5006.9399999998313</v>
      </c>
      <c r="BR2223" s="343">
        <f>SUMIFS($AU$1388:AU2225,$AA$1388:AA2225,"*")</f>
        <v>45123.522077922011</v>
      </c>
      <c r="BS2223" s="343">
        <f>SUMIFS($AU$1388:AU2225,$AB$1388:AB2225,"*")</f>
        <v>14251.859999999973</v>
      </c>
      <c r="BT2223" s="343">
        <f>SUMIFS($AU$1388:AU2225,$AC$1388:AC2225,"*")</f>
        <v>47387.078121878294</v>
      </c>
      <c r="BU2223" s="343">
        <f>SUMIFS($AU$1388:AU2225,$AA$1388:AA2225,"*",$AB$1388:AB2225,"*")</f>
        <v>7915.9999999997544</v>
      </c>
      <c r="BV2223" s="343">
        <f>SUMIFS($AU$1388:AU2225,$AA$1388:AA2225,"*",$AC$1388:AC2225,"*")</f>
        <v>33744.036363636536</v>
      </c>
      <c r="BW2223" s="343">
        <f>SUMIFS($AU$1388:AU2225,$AB$1388:AB2225,"*",$AC$1388:AC2225,"*")</f>
        <v>10640</v>
      </c>
      <c r="BX2223" s="343">
        <f>SUMIFS($AV$1388:AV2225,$Q$1388:Q2225,"F")</f>
        <v>488.85837744248346</v>
      </c>
      <c r="BY2223" s="343">
        <f>SUMIFS($AV$1388:AV2225,$Q$1388:Q2225,"S")</f>
        <v>820.61134190572739</v>
      </c>
      <c r="BZ2223" s="343">
        <f>SUMIFS($AV$1388:AV2225,$Q$1388:Q2225,"O")</f>
        <v>545.55929999969885</v>
      </c>
    </row>
    <row r="2224" spans="1:78" ht="15.75" customHeight="1">
      <c r="A2224" s="177" t="s">
        <v>6781</v>
      </c>
      <c r="B2224" s="200">
        <v>45462</v>
      </c>
      <c r="C2224" s="178" t="s">
        <v>7062</v>
      </c>
      <c r="D2224" s="178" t="s">
        <v>151</v>
      </c>
      <c r="E2224" s="227"/>
      <c r="F2224" s="180"/>
      <c r="G2224" s="484" t="s">
        <v>7063</v>
      </c>
      <c r="H2224" s="182"/>
      <c r="I2224" s="182"/>
      <c r="J2224" s="182"/>
      <c r="K2224" s="183"/>
      <c r="L2224" s="182"/>
      <c r="M2224" s="182">
        <v>2</v>
      </c>
      <c r="N2224" s="182"/>
      <c r="O2224" s="183" t="s">
        <v>95</v>
      </c>
      <c r="P2224" s="183" t="s">
        <v>96</v>
      </c>
      <c r="Q2224" s="183" t="s">
        <v>256</v>
      </c>
      <c r="R2224" s="183">
        <v>175</v>
      </c>
      <c r="S2224" s="183">
        <v>100</v>
      </c>
      <c r="T2224" s="183">
        <v>75</v>
      </c>
      <c r="U2224" s="183" t="s">
        <v>97</v>
      </c>
      <c r="V2224" s="183"/>
      <c r="W2224" s="183"/>
      <c r="X2224" s="183"/>
      <c r="Y2224" s="184">
        <f>IF(ISBLANK(O2224),"",(IF(O2224=UPPER("IB"),0.005,0.01)))</f>
        <v>0.01</v>
      </c>
      <c r="Z2224" s="185">
        <f>IF(ISBLANK(O2224),"",IF(O2224="IB",8.63*200,IF(O2224="IR",16*100,IF(O2224="YT",20*100,IF(O2224="YT-XT",24*200,IF(O2224="TED",80*100,IF(O2224="IR|YT",300*100)))))))</f>
        <v>1600</v>
      </c>
      <c r="AA2224" s="185" t="s">
        <v>4954</v>
      </c>
      <c r="AB2224" s="185" t="s">
        <v>7064</v>
      </c>
      <c r="AC2224" s="185" t="s">
        <v>7065</v>
      </c>
      <c r="AD2224" s="649">
        <v>-0.04</v>
      </c>
      <c r="AE2224" s="182"/>
      <c r="AF2224" s="332"/>
      <c r="AG2224" s="182"/>
      <c r="AH2224" s="182" t="s">
        <v>7066</v>
      </c>
      <c r="AI2224" s="182"/>
      <c r="AJ2224" s="640" t="s">
        <v>7067</v>
      </c>
      <c r="AK2224" s="182"/>
      <c r="AL2224" s="496">
        <f t="shared" si="737"/>
        <v>-32</v>
      </c>
      <c r="AM2224" s="496">
        <f t="shared" si="730"/>
        <v>-2400</v>
      </c>
      <c r="AN2224" s="626"/>
      <c r="AO2224" s="182"/>
      <c r="AP2224" s="182" t="s">
        <v>1047</v>
      </c>
      <c r="AQ2224" s="332" t="s">
        <v>96</v>
      </c>
      <c r="AR2224" s="298">
        <v>45484</v>
      </c>
      <c r="AS2224" s="189">
        <f>((-0.04*100)+(-0.04*75))/175</f>
        <v>-0.04</v>
      </c>
      <c r="AT2224" s="189">
        <f t="shared" si="731"/>
        <v>0</v>
      </c>
      <c r="AU2224" s="187">
        <f t="shared" si="732"/>
        <v>0</v>
      </c>
      <c r="AV2224" s="190">
        <f t="shared" si="738"/>
        <v>0</v>
      </c>
      <c r="AW2224" s="191" t="s">
        <v>115</v>
      </c>
      <c r="AX2224" s="551" t="s">
        <v>7068</v>
      </c>
      <c r="AY2224" s="579" t="s">
        <v>7069</v>
      </c>
      <c r="AZ2224" s="551"/>
      <c r="BA2224" s="551"/>
      <c r="BB2224" s="551"/>
      <c r="BC2224" s="551"/>
      <c r="BD2224" s="549"/>
      <c r="BE2224" s="550"/>
      <c r="BF2224" s="549"/>
      <c r="BG2224" s="391">
        <f>SUM($AV$1389:AV2224)</f>
        <v>5003.0290193479168</v>
      </c>
      <c r="BH2224" s="392">
        <f>SUM($AU$1389:AU2224)</f>
        <v>59886.423836163987</v>
      </c>
      <c r="BI2224" s="318">
        <f>SUMIFS($AU$1388:AU2226,$Q$1388:Q2226,"F")</f>
        <v>36011.078121878127</v>
      </c>
      <c r="BJ2224" s="318">
        <f>SUMIFS($AU$1388:AU2226,$Q$1388:Q2226,"S")</f>
        <v>25058.28571428571</v>
      </c>
      <c r="BK2224" s="343">
        <f>SUMIFS($AU$1388:AU2226,$P$1388:P2226,"W")</f>
        <v>33408.14383616417</v>
      </c>
      <c r="BL2224" s="343">
        <f>SUMIFS($AU$1388:AU2226,$P$1388:P2226,"R")</f>
        <v>22308.400000000325</v>
      </c>
      <c r="BM2224" s="343">
        <f>SUMIFS($AU$1388:AU2226,$AQ$1388:AQ2226,"M")</f>
        <v>12669.179999998996</v>
      </c>
      <c r="BN2224" s="343">
        <f>SUMIFS($AU$1388:AU2226,$AQ$1388:AQ2226,"H")</f>
        <v>14363.200000001041</v>
      </c>
      <c r="BO2224" s="343">
        <f>SUMIFS($AU$1388:AU2226,$AQ$1388:AQ2226,"D")</f>
        <v>15062.377472527351</v>
      </c>
      <c r="BP2224" s="343">
        <f>SUMIFS($AS$1388:AS2705,$AO$1388:AO2705,"W")</f>
        <v>0</v>
      </c>
      <c r="BQ2224" s="343">
        <f>SUMIFS($AU$1388:AU2226,$Q$1388:Q2226,"O")</f>
        <v>-5006.9399999998313</v>
      </c>
      <c r="BR2224" s="343">
        <f>SUMIFS($AU$1388:AU2226,$AA$1388:AA2226,"*")</f>
        <v>43923.522077922011</v>
      </c>
      <c r="BS2224" s="343">
        <f>SUMIFS($AU$1388:AU2226,$AB$1388:AB2226,"*")</f>
        <v>14251.859999999973</v>
      </c>
      <c r="BT2224" s="343">
        <f>SUMIFS($AU$1388:AU2226,$AC$1388:AC2226,"*")</f>
        <v>46187.078121878294</v>
      </c>
      <c r="BU2224" s="343">
        <f>SUMIFS($AU$1388:AU2226,$AA$1388:AA2226,"*",$AB$1388:AB2226,"*")</f>
        <v>7915.9999999997544</v>
      </c>
      <c r="BV2224" s="343">
        <f>SUMIFS($AU$1388:AU2226,$AA$1388:AA2226,"*",$AC$1388:AC2226,"*")</f>
        <v>32544.036363636536</v>
      </c>
      <c r="BW2224" s="343">
        <f>SUMIFS($AU$1388:AU2226,$AB$1388:AB2226,"*",$AC$1388:AC2226,"*")</f>
        <v>10640</v>
      </c>
      <c r="BX2224" s="343">
        <f>SUMIFS($AV$1388:AV2226,$Q$1388:Q2226,"F")</f>
        <v>440.85837744248346</v>
      </c>
      <c r="BY2224" s="343">
        <f>SUMIFS($AV$1388:AV2226,$Q$1388:Q2226,"S")</f>
        <v>820.61134190572739</v>
      </c>
      <c r="BZ2224" s="343">
        <f>SUMIFS($AV$1388:AV2226,$Q$1388:Q2226,"O")</f>
        <v>545.55929999969885</v>
      </c>
    </row>
    <row r="2225" spans="1:78" ht="15.75" customHeight="1">
      <c r="A2225" s="177" t="s">
        <v>6781</v>
      </c>
      <c r="B2225" s="200">
        <v>45462</v>
      </c>
      <c r="C2225" s="178" t="s">
        <v>2661</v>
      </c>
      <c r="D2225" s="178" t="s">
        <v>151</v>
      </c>
      <c r="E2225" s="227"/>
      <c r="F2225" s="180"/>
      <c r="G2225" s="181" t="s">
        <v>2942</v>
      </c>
      <c r="H2225" s="182"/>
      <c r="I2225" s="182"/>
      <c r="J2225" s="182"/>
      <c r="K2225" s="183"/>
      <c r="L2225" s="182"/>
      <c r="M2225" s="182"/>
      <c r="N2225" s="182"/>
      <c r="O2225" s="183"/>
      <c r="P2225" s="183"/>
      <c r="Q2225" s="183"/>
      <c r="R2225" s="183"/>
      <c r="S2225" s="183"/>
      <c r="T2225" s="183"/>
      <c r="U2225" s="183"/>
      <c r="V2225" s="183"/>
      <c r="W2225" s="183"/>
      <c r="X2225" s="183"/>
      <c r="Y2225" s="184"/>
      <c r="Z2225" s="185"/>
      <c r="AA2225" s="185"/>
      <c r="AB2225" s="185"/>
      <c r="AC2225" s="185"/>
      <c r="AD2225" s="649"/>
      <c r="AE2225" s="182"/>
      <c r="AF2225" s="332"/>
      <c r="AG2225" s="182"/>
      <c r="AH2225" s="182"/>
      <c r="AI2225" s="182"/>
      <c r="AJ2225" s="640"/>
      <c r="AK2225" s="182"/>
      <c r="AL2225" s="496">
        <f>0*Z2225</f>
        <v>0</v>
      </c>
      <c r="AM2225" s="496">
        <f t="shared" si="730"/>
        <v>0</v>
      </c>
      <c r="AN2225" s="626"/>
      <c r="AO2225" s="182"/>
      <c r="AP2225" s="182"/>
      <c r="AQ2225" s="332" t="str">
        <f>UPPER(RIGHT(Journal_Live[[#This Row],[DURATION ]]))</f>
        <v/>
      </c>
      <c r="AR2225" s="182"/>
      <c r="AS2225" s="189"/>
      <c r="AT2225" s="189">
        <f t="shared" si="731"/>
        <v>0</v>
      </c>
      <c r="AU2225" s="187">
        <f t="shared" si="732"/>
        <v>0</v>
      </c>
      <c r="AV2225" s="190">
        <f t="shared" si="738"/>
        <v>0</v>
      </c>
      <c r="AW2225" s="191"/>
      <c r="AX2225" s="551" t="s">
        <v>7070</v>
      </c>
      <c r="AY2225" s="551"/>
      <c r="AZ2225" s="551"/>
      <c r="BA2225" s="551"/>
      <c r="BB2225" s="551"/>
      <c r="BC2225" s="551"/>
      <c r="BD2225" s="549"/>
      <c r="BE2225" s="550"/>
      <c r="BF2225" s="549"/>
      <c r="BG2225" s="391">
        <f>SUM($AV$1389:AV2225)</f>
        <v>5003.0290193479168</v>
      </c>
      <c r="BH2225" s="392">
        <f>SUM($AU$1389:AU2225)</f>
        <v>59886.423836163987</v>
      </c>
      <c r="BI2225" s="318">
        <f>SUMIFS($AU$1388:AU2227,$Q$1388:Q2227,"F")</f>
        <v>30355.078121878127</v>
      </c>
      <c r="BJ2225" s="318">
        <f>SUMIFS($AU$1388:AU2227,$Q$1388:Q2227,"S")</f>
        <v>25058.28571428571</v>
      </c>
      <c r="BK2225" s="343">
        <f>SUMIFS($AU$1388:AU2227,$P$1388:P2227,"W")</f>
        <v>27752.14383616417</v>
      </c>
      <c r="BL2225" s="343">
        <f>SUMIFS($AU$1388:AU2227,$P$1388:P2227,"R")</f>
        <v>22308.400000000325</v>
      </c>
      <c r="BM2225" s="343">
        <f>SUMIFS($AU$1388:AU2227,$AQ$1388:AQ2227,"M")</f>
        <v>12669.179999998996</v>
      </c>
      <c r="BN2225" s="343">
        <f>SUMIFS($AU$1388:AU2227,$AQ$1388:AQ2227,"H")</f>
        <v>14363.200000001041</v>
      </c>
      <c r="BO2225" s="343">
        <f>SUMIFS($AU$1388:AU2227,$AQ$1388:AQ2227,"D")</f>
        <v>15062.377472527351</v>
      </c>
      <c r="BP2225" s="343">
        <f>SUMIFS($AS$1388:AS2706,$AO$1388:AO2706,"W")</f>
        <v>0</v>
      </c>
      <c r="BQ2225" s="343">
        <f>SUMIFS($AU$1388:AU2227,$Q$1388:Q2227,"O")</f>
        <v>-5006.9399999998313</v>
      </c>
      <c r="BR2225" s="343">
        <f>SUMIFS($AU$1388:AU2227,$AA$1388:AA2227,"*")</f>
        <v>43923.522077922011</v>
      </c>
      <c r="BS2225" s="343">
        <f>SUMIFS($AU$1388:AU2227,$AB$1388:AB2227,"*")</f>
        <v>8595.8599999999715</v>
      </c>
      <c r="BT2225" s="343">
        <f>SUMIFS($AU$1388:AU2227,$AC$1388:AC2227,"*")</f>
        <v>40531.078121878294</v>
      </c>
      <c r="BU2225" s="343">
        <f>SUMIFS($AU$1388:AU2227,$AA$1388:AA2227,"*",$AB$1388:AB2227,"*")</f>
        <v>7915.9999999997544</v>
      </c>
      <c r="BV2225" s="343">
        <f>SUMIFS($AU$1388:AU2227,$AA$1388:AA2227,"*",$AC$1388:AC2227,"*")</f>
        <v>32544.036363636536</v>
      </c>
      <c r="BW2225" s="343">
        <f>SUMIFS($AU$1388:AU2227,$AB$1388:AB2227,"*",$AC$1388:AC2227,"*")</f>
        <v>4983.9999999999991</v>
      </c>
      <c r="BX2225" s="343">
        <f>SUMIFS($AV$1388:AV2227,$Q$1388:Q2227,"F")</f>
        <v>389.44019562430162</v>
      </c>
      <c r="BY2225" s="343">
        <f>SUMIFS($AV$1388:AV2227,$Q$1388:Q2227,"S")</f>
        <v>820.61134190572739</v>
      </c>
      <c r="BZ2225" s="343">
        <f>SUMIFS($AV$1388:AV2227,$Q$1388:Q2227,"O")</f>
        <v>545.55929999969885</v>
      </c>
    </row>
    <row r="2226" spans="1:78" ht="15.75" customHeight="1">
      <c r="A2226" s="177" t="s">
        <v>6781</v>
      </c>
      <c r="B2226" s="200">
        <v>45462</v>
      </c>
      <c r="C2226" s="178" t="s">
        <v>4073</v>
      </c>
      <c r="D2226" s="178" t="s">
        <v>151</v>
      </c>
      <c r="E2226" s="227"/>
      <c r="F2226" s="180"/>
      <c r="G2226" s="553" t="s">
        <v>7071</v>
      </c>
      <c r="H2226" s="182"/>
      <c r="I2226" s="182"/>
      <c r="J2226" s="182"/>
      <c r="K2226" s="183"/>
      <c r="L2226" s="182">
        <v>1</v>
      </c>
      <c r="M2226" s="182"/>
      <c r="N2226" s="182"/>
      <c r="O2226" s="183" t="s">
        <v>95</v>
      </c>
      <c r="P2226" s="183" t="s">
        <v>96</v>
      </c>
      <c r="Q2226" s="183" t="s">
        <v>256</v>
      </c>
      <c r="R2226" s="183">
        <v>25</v>
      </c>
      <c r="S2226" s="183">
        <v>0</v>
      </c>
      <c r="T2226" s="183">
        <v>10</v>
      </c>
      <c r="U2226" s="183" t="s">
        <v>97</v>
      </c>
      <c r="V2226" s="183"/>
      <c r="W2226" s="183"/>
      <c r="X2226" s="183"/>
      <c r="Y2226" s="184">
        <f>IF(ISBLANK(O2226),"",(IF(O2226=UPPER("IB"),0.005,0.01)))</f>
        <v>0.01</v>
      </c>
      <c r="Z2226" s="185">
        <f>IF(ISBLANK(O2226),"",IF(O2226="IB",8.63*200,IF(O2226="IR",16*100,IF(O2226="YT",20*100,IF(O2226="YT-XT",24*200,IF(O2226="TED",80*100,IF(O2226="IR|YT",300*100)))))))</f>
        <v>1600</v>
      </c>
      <c r="AA2226" s="185" t="s">
        <v>7072</v>
      </c>
      <c r="AB2226" s="185"/>
      <c r="AC2226" s="185" t="s">
        <v>7073</v>
      </c>
      <c r="AD2226" s="649">
        <v>0.03</v>
      </c>
      <c r="AE2226" s="182"/>
      <c r="AF2226" s="332"/>
      <c r="AG2226" s="182"/>
      <c r="AH2226" s="182"/>
      <c r="AI2226" s="182"/>
      <c r="AJ2226" s="640"/>
      <c r="AK2226" s="182"/>
      <c r="AL2226" s="496">
        <f t="shared" ref="AL2226:AL2276" si="739">-0.02*Z2226</f>
        <v>-32</v>
      </c>
      <c r="AM2226" s="496">
        <f t="shared" si="730"/>
        <v>-800</v>
      </c>
      <c r="AN2226" s="626"/>
      <c r="AO2226" s="182"/>
      <c r="AP2226" s="182"/>
      <c r="AQ2226" s="332" t="str">
        <f>UPPER(RIGHT(Journal_Live[[#This Row],[DURATION ]]))</f>
        <v/>
      </c>
      <c r="AR2226" s="182"/>
      <c r="AS2226" s="189">
        <v>0.06</v>
      </c>
      <c r="AT2226" s="189">
        <f t="shared" si="731"/>
        <v>-0.03</v>
      </c>
      <c r="AU2226" s="187">
        <f t="shared" si="732"/>
        <v>-1200</v>
      </c>
      <c r="AV2226" s="190">
        <f t="shared" ref="AV2226:AV2237" si="740">IF(ISBLANK(AS2226),,(AT2226*Z2226))</f>
        <v>-48</v>
      </c>
      <c r="AW2226" s="191" t="s">
        <v>229</v>
      </c>
      <c r="AX2226" s="551" t="s">
        <v>7074</v>
      </c>
      <c r="AY2226" s="551" t="s">
        <v>7075</v>
      </c>
      <c r="AZ2226" s="551" t="s">
        <v>7076</v>
      </c>
      <c r="BA2226" s="551"/>
      <c r="BB2226" s="551"/>
      <c r="BC2226" s="551"/>
      <c r="BD2226" s="549"/>
      <c r="BE2226" s="550"/>
      <c r="BF2226" s="549"/>
      <c r="BG2226" s="391">
        <f>SUM($AV$1389:AV2226)</f>
        <v>4955.0290193479168</v>
      </c>
      <c r="BH2226" s="392">
        <f>SUM($AU$1389:AU2226)</f>
        <v>58686.423836163987</v>
      </c>
      <c r="BI2226" s="318">
        <f>SUMIFS($AU$1388:AU2228,$Q$1388:Q2228,"F")</f>
        <v>30355.078121878127</v>
      </c>
      <c r="BJ2226" s="318">
        <f>SUMIFS($AU$1388:AU2228,$Q$1388:Q2228,"S")</f>
        <v>25058.28571428571</v>
      </c>
      <c r="BK2226" s="343">
        <f>SUMIFS($AU$1388:AU2228,$P$1388:P2228,"W")</f>
        <v>27752.14383616417</v>
      </c>
      <c r="BL2226" s="343">
        <f>SUMIFS($AU$1388:AU2228,$P$1388:P2228,"R")</f>
        <v>22308.400000000325</v>
      </c>
      <c r="BM2226" s="343">
        <f>SUMIFS($AU$1388:AU2228,$AQ$1388:AQ2228,"M")</f>
        <v>12669.179999998996</v>
      </c>
      <c r="BN2226" s="343">
        <f>SUMIFS($AU$1388:AU2228,$AQ$1388:AQ2228,"H")</f>
        <v>14363.200000001041</v>
      </c>
      <c r="BO2226" s="343">
        <f>SUMIFS($AU$1388:AU2228,$AQ$1388:AQ2228,"D")</f>
        <v>15062.377472527351</v>
      </c>
      <c r="BP2226" s="343">
        <f>SUMIFS($AS$1388:AS2707,$AO$1388:AO2707,"W")</f>
        <v>0</v>
      </c>
      <c r="BQ2226" s="343">
        <f>SUMIFS($AU$1388:AU2228,$Q$1388:Q2228,"O")</f>
        <v>-5006.9399999998313</v>
      </c>
      <c r="BR2226" s="343">
        <f>SUMIFS($AU$1388:AU2228,$AA$1388:AA2228,"*")</f>
        <v>43923.522077922011</v>
      </c>
      <c r="BS2226" s="343">
        <f>SUMIFS($AU$1388:AU2228,$AB$1388:AB2228,"*")</f>
        <v>8595.8599999999715</v>
      </c>
      <c r="BT2226" s="343">
        <f>SUMIFS($AU$1388:AU2228,$AC$1388:AC2228,"*")</f>
        <v>40531.078121878294</v>
      </c>
      <c r="BU2226" s="343">
        <f>SUMIFS($AU$1388:AU2228,$AA$1388:AA2228,"*",$AB$1388:AB2228,"*")</f>
        <v>7915.9999999997544</v>
      </c>
      <c r="BV2226" s="343">
        <f>SUMIFS($AU$1388:AU2228,$AA$1388:AA2228,"*",$AC$1388:AC2228,"*")</f>
        <v>32544.036363636536</v>
      </c>
      <c r="BW2226" s="343">
        <f>SUMIFS($AU$1388:AU2228,$AB$1388:AB2228,"*",$AC$1388:AC2228,"*")</f>
        <v>4983.9999999999991</v>
      </c>
      <c r="BX2226" s="343">
        <f>SUMIFS($AV$1388:AV2228,$Q$1388:Q2228,"F")</f>
        <v>389.44019562430162</v>
      </c>
      <c r="BY2226" s="343">
        <f>SUMIFS($AV$1388:AV2228,$Q$1388:Q2228,"S")</f>
        <v>820.61134190572739</v>
      </c>
      <c r="BZ2226" s="343">
        <f>SUMIFS($AV$1388:AV2228,$Q$1388:Q2228,"O")</f>
        <v>545.55929999969885</v>
      </c>
    </row>
    <row r="2227" spans="1:78" ht="15.75" customHeight="1">
      <c r="A2227" s="177" t="s">
        <v>6781</v>
      </c>
      <c r="B2227" s="200">
        <v>45462</v>
      </c>
      <c r="C2227" s="178" t="s">
        <v>4073</v>
      </c>
      <c r="D2227" s="178" t="s">
        <v>151</v>
      </c>
      <c r="E2227" s="227"/>
      <c r="F2227" s="180"/>
      <c r="G2227" s="578" t="s">
        <v>7077</v>
      </c>
      <c r="H2227" s="182"/>
      <c r="I2227" s="182"/>
      <c r="J2227" s="182"/>
      <c r="K2227" s="183"/>
      <c r="L2227" s="182">
        <v>1</v>
      </c>
      <c r="M2227" s="182"/>
      <c r="N2227" s="182"/>
      <c r="O2227" s="183" t="s">
        <v>95</v>
      </c>
      <c r="P2227" s="183" t="s">
        <v>96</v>
      </c>
      <c r="Q2227" s="183" t="s">
        <v>256</v>
      </c>
      <c r="R2227" s="183">
        <v>110</v>
      </c>
      <c r="S2227" s="183">
        <v>60</v>
      </c>
      <c r="T2227" s="183">
        <v>25</v>
      </c>
      <c r="U2227" s="183" t="s">
        <v>97</v>
      </c>
      <c r="V2227" s="183"/>
      <c r="W2227" s="183"/>
      <c r="X2227" s="183"/>
      <c r="Y2227" s="184">
        <f>IF(ISBLANK(O2227),"",(IF(O2227=UPPER("IB"),0.005,0.01)))</f>
        <v>0.01</v>
      </c>
      <c r="Z2227" s="185">
        <f>IF(ISBLANK(O2227),"",IF(O2227="IB",8.63*200,IF(O2227="IR",16*100,IF(O2227="YT",20*100,IF(O2227="YT-XT",24*200,IF(O2227="TED",80*100,IF(O2227="IR|YT",300*100)))))))</f>
        <v>1600</v>
      </c>
      <c r="AA2227" s="185"/>
      <c r="AB2227" s="185" t="s">
        <v>7078</v>
      </c>
      <c r="AC2227" s="185" t="s">
        <v>7079</v>
      </c>
      <c r="AD2227" s="649">
        <f>(0.014*85+0.047*25)/110</f>
        <v>2.1500000000000002E-2</v>
      </c>
      <c r="AE2227" s="182"/>
      <c r="AF2227" s="332"/>
      <c r="AG2227" s="182"/>
      <c r="AH2227" s="182"/>
      <c r="AI2227" s="182"/>
      <c r="AJ2227" s="640"/>
      <c r="AK2227" s="182"/>
      <c r="AL2227" s="496">
        <f>-0.03*Z2227</f>
        <v>-48</v>
      </c>
      <c r="AM2227" s="496">
        <f t="shared" si="730"/>
        <v>-2400</v>
      </c>
      <c r="AN2227" s="626"/>
      <c r="AO2227" s="182"/>
      <c r="AP2227" s="182" t="s">
        <v>925</v>
      </c>
      <c r="AQ2227" s="332" t="s">
        <v>96</v>
      </c>
      <c r="AR2227" s="182" t="s">
        <v>6967</v>
      </c>
      <c r="AS2227" s="189">
        <f>(0.04*10+0.06*50+0.05*50)/110</f>
        <v>5.3636363636363642E-2</v>
      </c>
      <c r="AT2227" s="189">
        <f t="shared" si="731"/>
        <v>-3.2136363636363643E-2</v>
      </c>
      <c r="AU2227" s="187">
        <f t="shared" si="732"/>
        <v>-5656.0000000000009</v>
      </c>
      <c r="AV2227" s="190">
        <f t="shared" si="740"/>
        <v>-51.418181818181829</v>
      </c>
      <c r="AW2227" s="191" t="s">
        <v>229</v>
      </c>
      <c r="AX2227" s="551" t="s">
        <v>7080</v>
      </c>
      <c r="AY2227" s="589" t="s">
        <v>7081</v>
      </c>
      <c r="AZ2227" s="589" t="s">
        <v>7082</v>
      </c>
      <c r="BA2227" s="589" t="s">
        <v>7083</v>
      </c>
      <c r="BB2227" s="589" t="s">
        <v>56</v>
      </c>
      <c r="BC2227" s="551"/>
      <c r="BD2227" s="549"/>
      <c r="BE2227" s="550"/>
      <c r="BF2227" s="549"/>
      <c r="BG2227" s="391">
        <f>SUM($AV$1389:AV2227)</f>
        <v>4903.6108375297354</v>
      </c>
      <c r="BH2227" s="392">
        <f>SUM($AU$1389:AU2227)</f>
        <v>53030.423836163987</v>
      </c>
      <c r="BI2227" s="318">
        <f>SUMIFS($AU$1388:AU2277,$Q$1388:Q2277,"F")</f>
        <v>29235.078121878127</v>
      </c>
      <c r="BJ2227" s="318">
        <f>SUMIFS($AU$1388:AU2277,$Q$1388:Q2277,"S")</f>
        <v>17938.285714285706</v>
      </c>
      <c r="BK2227" s="343">
        <f>SUMIFS($AU$1388:AU2277,$P$1388:P2277,"W")</f>
        <v>17144.143836163403</v>
      </c>
      <c r="BL2227" s="343">
        <f>SUMIFS($AU$1388:AU2277,$P$1388:P2277,"R")</f>
        <v>22616.400000000325</v>
      </c>
      <c r="BM2227" s="343">
        <f>SUMIFS($AU$1388:AU2277,$AQ$1388:AQ2277,"M")</f>
        <v>8875.1799999983887</v>
      </c>
      <c r="BN2227" s="343">
        <f>SUMIFS($AU$1388:AU2277,$AQ$1388:AQ2277,"H")</f>
        <v>11643.200000000877</v>
      </c>
      <c r="BO2227" s="343">
        <f>SUMIFS($AU$1388:AU2277,$AQ$1388:AQ2277,"D")</f>
        <v>13122.377472527351</v>
      </c>
      <c r="BP2227" s="343">
        <f>SUMIFS($AS$1388:AS2708,$AO$1388:AO2708,"W")</f>
        <v>0</v>
      </c>
      <c r="BQ2227" s="343">
        <f>SUMIFS($AU$1388:AU2277,$Q$1388:Q2277,"O")</f>
        <v>-9340.9400000006026</v>
      </c>
      <c r="BR2227" s="343">
        <f>SUMIFS($AU$1388:AU2277,$AA$1388:AA2277,"*")</f>
        <v>37881.5220779214</v>
      </c>
      <c r="BS2227" s="343">
        <f>SUMIFS($AU$1388:AU2277,$AB$1388:AB2277,"*")</f>
        <v>7475.8599999999715</v>
      </c>
      <c r="BT2227" s="343">
        <f>SUMIFS($AU$1388:AU2277,$AC$1388:AC2277,"*")</f>
        <v>33251.078121878119</v>
      </c>
      <c r="BU2227" s="343">
        <f>SUMIFS($AU$1388:AU2277,$AA$1388:AA2277,"*",$AB$1388:AB2277,"*")</f>
        <v>7915.9999999997544</v>
      </c>
      <c r="BV2227" s="343">
        <f>SUMIFS($AU$1388:AU2277,$AA$1388:AA2277,"*",$AC$1388:AC2277,"*")</f>
        <v>29696.036363636529</v>
      </c>
      <c r="BW2227" s="343">
        <f>SUMIFS($AU$1388:AU2277,$AB$1388:AB2277,"*",$AC$1388:AC2277,"*")</f>
        <v>3863.9999999999991</v>
      </c>
      <c r="BX2227" s="343">
        <f>SUMIFS($AV$1388:AV2277,$Q$1388:Q2277,"F")</f>
        <v>383.04019562430165</v>
      </c>
      <c r="BY2227" s="343">
        <f>SUMIFS($AV$1388:AV2277,$Q$1388:Q2277,"S")</f>
        <v>676.61134190572739</v>
      </c>
      <c r="BZ2227" s="343">
        <f>SUMIFS($AV$1388:AV2277,$Q$1388:Q2277,"O")</f>
        <v>378.55929999967736</v>
      </c>
    </row>
    <row r="2228" spans="1:78" ht="15.75" customHeight="1">
      <c r="A2228" s="177" t="s">
        <v>6781</v>
      </c>
      <c r="B2228" s="200"/>
      <c r="C2228" s="178"/>
      <c r="D2228" s="178"/>
      <c r="E2228" s="227"/>
      <c r="F2228" s="180"/>
      <c r="G2228" s="181"/>
      <c r="H2228" s="182"/>
      <c r="I2228" s="182"/>
      <c r="J2228" s="182"/>
      <c r="K2228" s="183"/>
      <c r="L2228" s="182"/>
      <c r="M2228" s="182"/>
      <c r="N2228" s="182"/>
      <c r="O2228" s="183"/>
      <c r="P2228" s="183"/>
      <c r="Q2228" s="183"/>
      <c r="R2228" s="183"/>
      <c r="S2228" s="183"/>
      <c r="T2228" s="183"/>
      <c r="U2228" s="183"/>
      <c r="V2228" s="183"/>
      <c r="W2228" s="183"/>
      <c r="X2228" s="183"/>
      <c r="Y2228" s="183"/>
      <c r="Z2228" s="183"/>
      <c r="AA2228" s="185"/>
      <c r="AB2228" s="185"/>
      <c r="AC2228" s="185"/>
      <c r="AD2228" s="649"/>
      <c r="AE2228" s="182"/>
      <c r="AF2228" s="332"/>
      <c r="AG2228" s="182"/>
      <c r="AH2228" s="182"/>
      <c r="AI2228" s="182"/>
      <c r="AJ2228" s="640"/>
      <c r="AK2228" s="182"/>
      <c r="AL2228" s="496">
        <f t="shared" si="739"/>
        <v>0</v>
      </c>
      <c r="AM2228" s="496">
        <f t="shared" si="730"/>
        <v>0</v>
      </c>
      <c r="AN2228" s="626"/>
      <c r="AO2228" s="182"/>
      <c r="AP2228" s="182"/>
      <c r="AQ2228" s="332" t="str">
        <f>UPPER(RIGHT(Journal_Live[[#This Row],[DURATION ]]))</f>
        <v/>
      </c>
      <c r="AR2228" s="182"/>
      <c r="AS2228" s="189"/>
      <c r="AT2228" s="189">
        <f t="shared" si="731"/>
        <v>0</v>
      </c>
      <c r="AU2228" s="187">
        <f t="shared" si="732"/>
        <v>0</v>
      </c>
      <c r="AV2228" s="190">
        <f t="shared" si="740"/>
        <v>0</v>
      </c>
      <c r="AW2228" s="191"/>
      <c r="AX2228" s="551" t="s">
        <v>7084</v>
      </c>
      <c r="AY2228" s="551" t="s">
        <v>7085</v>
      </c>
      <c r="AZ2228" s="551" t="s">
        <v>7086</v>
      </c>
      <c r="BA2228" s="549" t="s">
        <v>7087</v>
      </c>
      <c r="BB2228" s="551" t="s">
        <v>7088</v>
      </c>
      <c r="BC2228" s="549" t="s">
        <v>7089</v>
      </c>
      <c r="BD2228" s="549"/>
      <c r="BE2228" s="550"/>
      <c r="BF2228" s="549"/>
      <c r="BG2228" s="391">
        <f>SUM($AV$1389:AV2228)</f>
        <v>4903.6108375297354</v>
      </c>
      <c r="BH2228" s="392">
        <f>SUM($AU$1389:AU2228)</f>
        <v>53030.423836163987</v>
      </c>
      <c r="BI2228" s="318">
        <f>SUMIFS($AU$1388:AU2278,$Q$1388:Q2278,"F")</f>
        <v>29235.078121878127</v>
      </c>
      <c r="BJ2228" s="318">
        <f>SUMIFS($AU$1388:AU2278,$Q$1388:Q2278,"S")</f>
        <v>17938.285714285706</v>
      </c>
      <c r="BK2228" s="343">
        <f>SUMIFS($AU$1388:AU2278,$P$1388:P2278,"W")</f>
        <v>17144.143836163403</v>
      </c>
      <c r="BL2228" s="343">
        <f>SUMIFS($AU$1388:AU2278,$P$1388:P2278,"R")</f>
        <v>22616.400000000325</v>
      </c>
      <c r="BM2228" s="343">
        <f>SUMIFS($AU$1388:AU2278,$AQ$1388:AQ2278,"M")</f>
        <v>8875.1799999983887</v>
      </c>
      <c r="BN2228" s="343">
        <f>SUMIFS($AU$1388:AU2278,$AQ$1388:AQ2278,"H")</f>
        <v>11643.200000000877</v>
      </c>
      <c r="BO2228" s="343">
        <f>SUMIFS($AU$1388:AU2278,$AQ$1388:AQ2278,"D")</f>
        <v>13122.377472527351</v>
      </c>
      <c r="BP2228" s="343">
        <f>SUMIFS($AS$1388:AS2709,$AO$1388:AO2709,"W")</f>
        <v>0</v>
      </c>
      <c r="BQ2228" s="343">
        <f>SUMIFS($AU$1388:AU2278,$Q$1388:Q2278,"O")</f>
        <v>-9340.9400000006026</v>
      </c>
      <c r="BR2228" s="343">
        <f>SUMIFS($AU$1388:AU2278,$AA$1388:AA2278,"*")</f>
        <v>37881.5220779214</v>
      </c>
      <c r="BS2228" s="343">
        <f>SUMIFS($AU$1388:AU2278,$AB$1388:AB2278,"*")</f>
        <v>7475.8599999999715</v>
      </c>
      <c r="BT2228" s="343">
        <f>SUMIFS($AU$1388:AU2278,$AC$1388:AC2278,"*")</f>
        <v>33251.078121878119</v>
      </c>
      <c r="BU2228" s="343">
        <f>SUMIFS($AU$1388:AU2278,$AA$1388:AA2278,"*",$AB$1388:AB2278,"*")</f>
        <v>7915.9999999997544</v>
      </c>
      <c r="BV2228" s="343">
        <f>SUMIFS($AU$1388:AU2278,$AA$1388:AA2278,"*",$AC$1388:AC2278,"*")</f>
        <v>29696.036363636529</v>
      </c>
      <c r="BW2228" s="343">
        <f>SUMIFS($AU$1388:AU2278,$AB$1388:AB2278,"*",$AC$1388:AC2278,"*")</f>
        <v>3863.9999999999991</v>
      </c>
      <c r="BX2228" s="343">
        <f>SUMIFS($AV$1388:AV2278,$Q$1388:Q2278,"F")</f>
        <v>383.04019562430165</v>
      </c>
      <c r="BY2228" s="343">
        <f>SUMIFS($AV$1388:AV2278,$Q$1388:Q2278,"S")</f>
        <v>676.61134190572739</v>
      </c>
      <c r="BZ2228" s="343">
        <f>SUMIFS($AV$1388:AV2278,$Q$1388:Q2278,"O")</f>
        <v>378.55929999967736</v>
      </c>
    </row>
    <row r="2229" spans="1:78" ht="15.75" customHeight="1">
      <c r="A2229" s="177" t="s">
        <v>6781</v>
      </c>
      <c r="B2229" s="200"/>
      <c r="C2229" s="178"/>
      <c r="D2229" s="178"/>
      <c r="E2229" s="227"/>
      <c r="F2229" s="180"/>
      <c r="G2229" s="181"/>
      <c r="H2229" s="182"/>
      <c r="I2229" s="182"/>
      <c r="J2229" s="182"/>
      <c r="K2229" s="183"/>
      <c r="L2229" s="182"/>
      <c r="M2229" s="182"/>
      <c r="N2229" s="182"/>
      <c r="O2229" s="183"/>
      <c r="P2229" s="183"/>
      <c r="Q2229" s="183"/>
      <c r="R2229" s="183"/>
      <c r="S2229" s="183"/>
      <c r="T2229" s="183"/>
      <c r="U2229" s="183"/>
      <c r="V2229" s="183"/>
      <c r="W2229" s="183"/>
      <c r="X2229" s="183"/>
      <c r="Y2229" s="183"/>
      <c r="Z2229" s="183"/>
      <c r="AA2229" s="185"/>
      <c r="AB2229" s="185"/>
      <c r="AC2229" s="185"/>
      <c r="AD2229" s="649"/>
      <c r="AE2229" s="182"/>
      <c r="AF2229" s="332"/>
      <c r="AG2229" s="182"/>
      <c r="AH2229" s="182"/>
      <c r="AI2229" s="182"/>
      <c r="AJ2229" s="640"/>
      <c r="AK2229" s="182"/>
      <c r="AL2229" s="496">
        <f t="shared" si="739"/>
        <v>0</v>
      </c>
      <c r="AM2229" s="496">
        <f t="shared" si="730"/>
        <v>0</v>
      </c>
      <c r="AN2229" s="626"/>
      <c r="AO2229" s="182"/>
      <c r="AP2229" s="182"/>
      <c r="AQ2229" s="332" t="str">
        <f>UPPER(RIGHT(Journal_Live[[#This Row],[DURATION ]]))</f>
        <v/>
      </c>
      <c r="AR2229" s="182"/>
      <c r="AS2229" s="189"/>
      <c r="AT2229" s="189">
        <f t="shared" si="731"/>
        <v>0</v>
      </c>
      <c r="AU2229" s="187">
        <f t="shared" si="732"/>
        <v>0</v>
      </c>
      <c r="AV2229" s="190">
        <f t="shared" si="740"/>
        <v>0</v>
      </c>
      <c r="AW2229" s="191"/>
      <c r="AX2229" s="417" t="s">
        <v>7090</v>
      </c>
      <c r="AY2229" s="549" t="s">
        <v>7091</v>
      </c>
      <c r="AZ2229" s="549" t="s">
        <v>7092</v>
      </c>
      <c r="BA2229" s="549" t="s">
        <v>7093</v>
      </c>
      <c r="BB2229" s="577" t="s">
        <v>7094</v>
      </c>
      <c r="BC2229" s="577" t="s">
        <v>7095</v>
      </c>
      <c r="BD2229" s="549"/>
      <c r="BE2229" s="550"/>
      <c r="BF2229" s="549"/>
      <c r="BG2229" s="391">
        <f>SUM($AV$1389:AV2229)</f>
        <v>4903.6108375297354</v>
      </c>
      <c r="BH2229" s="392">
        <f>SUM($AU$1389:AU2229)</f>
        <v>53030.423836163987</v>
      </c>
      <c r="BI2229" s="318">
        <f>SUMIFS($AU$1388:AU2231,$Q$1388:Q2231,"F")</f>
        <v>30355.078121878127</v>
      </c>
      <c r="BJ2229" s="318">
        <f>SUMIFS($AU$1388:AU2231,$Q$1388:Q2231,"S")</f>
        <v>25058.28571428571</v>
      </c>
      <c r="BK2229" s="343">
        <f>SUMIFS($AU$1388:AU2231,$P$1388:P2231,"W")</f>
        <v>27752.14383616417</v>
      </c>
      <c r="BL2229" s="343">
        <f>SUMIFS($AU$1388:AU2231,$P$1388:P2231,"R")</f>
        <v>22308.400000000325</v>
      </c>
      <c r="BM2229" s="343">
        <f>SUMIFS($AU$1388:AU2231,$AQ$1388:AQ2231,"M")</f>
        <v>12669.179999998996</v>
      </c>
      <c r="BN2229" s="343">
        <f>SUMIFS($AU$1388:AU2231,$AQ$1388:AQ2231,"H")</f>
        <v>14363.200000001041</v>
      </c>
      <c r="BO2229" s="343">
        <f>SUMIFS($AU$1388:AU2231,$AQ$1388:AQ2231,"D")</f>
        <v>15062.377472527351</v>
      </c>
      <c r="BP2229" s="343">
        <f>SUMIFS($AS$1388:AS2706,$AO$1388:AO2706,"W")</f>
        <v>0</v>
      </c>
      <c r="BQ2229" s="343">
        <f>SUMIFS($AU$1388:AU2231,$Q$1388:Q2231,"O")</f>
        <v>-5006.9399999998313</v>
      </c>
      <c r="BR2229" s="343">
        <f>SUMIFS($AU$1388:AU2231,$AA$1388:AA2231,"*")</f>
        <v>43923.522077922011</v>
      </c>
      <c r="BS2229" s="343">
        <f>SUMIFS($AU$1388:AU2231,$AB$1388:AB2231,"*")</f>
        <v>8595.8599999999715</v>
      </c>
      <c r="BT2229" s="343">
        <f>SUMIFS($AU$1388:AU2231,$AC$1388:AC2231,"*")</f>
        <v>40531.078121878294</v>
      </c>
      <c r="BU2229" s="343">
        <f>SUMIFS($AU$1388:AU2231,$AA$1388:AA2231,"*",$AB$1388:AB2231,"*")</f>
        <v>7915.9999999997544</v>
      </c>
      <c r="BV2229" s="343">
        <f>SUMIFS($AU$1388:AU2231,$AA$1388:AA2231,"*",$AC$1388:AC2231,"*")</f>
        <v>32544.036363636536</v>
      </c>
      <c r="BW2229" s="343">
        <f>SUMIFS($AU$1388:AU2231,$AB$1388:AB2231,"*",$AC$1388:AC2231,"*")</f>
        <v>4983.9999999999991</v>
      </c>
      <c r="BX2229" s="343">
        <f>SUMIFS($AV$1388:AV2231,$Q$1388:Q2231,"F")</f>
        <v>389.44019562430162</v>
      </c>
      <c r="BY2229" s="343">
        <f>SUMIFS($AV$1388:AV2231,$Q$1388:Q2231,"S")</f>
        <v>820.61134190572739</v>
      </c>
      <c r="BZ2229" s="343">
        <f>SUMIFS($AV$1388:AV2231,$Q$1388:Q2231,"O")</f>
        <v>545.55929999969885</v>
      </c>
    </row>
    <row r="2230" spans="1:78" ht="15.75" customHeight="1">
      <c r="A2230" s="177" t="s">
        <v>6781</v>
      </c>
      <c r="B2230" s="200"/>
      <c r="C2230" s="178"/>
      <c r="D2230" s="178"/>
      <c r="E2230" s="227"/>
      <c r="F2230" s="180"/>
      <c r="G2230" s="181"/>
      <c r="H2230" s="182"/>
      <c r="I2230" s="182"/>
      <c r="J2230" s="182"/>
      <c r="K2230" s="183"/>
      <c r="L2230" s="182"/>
      <c r="M2230" s="182"/>
      <c r="N2230" s="182"/>
      <c r="O2230" s="183"/>
      <c r="P2230" s="183"/>
      <c r="Q2230" s="183"/>
      <c r="R2230" s="183"/>
      <c r="S2230" s="183"/>
      <c r="T2230" s="183"/>
      <c r="U2230" s="183"/>
      <c r="V2230" s="183"/>
      <c r="W2230" s="183"/>
      <c r="X2230" s="183"/>
      <c r="Y2230" s="183"/>
      <c r="Z2230" s="183"/>
      <c r="AA2230" s="185"/>
      <c r="AB2230" s="185"/>
      <c r="AC2230" s="185"/>
      <c r="AD2230" s="649"/>
      <c r="AE2230" s="182"/>
      <c r="AF2230" s="332"/>
      <c r="AG2230" s="182"/>
      <c r="AH2230" s="182"/>
      <c r="AI2230" s="182"/>
      <c r="AJ2230" s="640"/>
      <c r="AK2230" s="182"/>
      <c r="AL2230" s="496">
        <f t="shared" si="739"/>
        <v>0</v>
      </c>
      <c r="AM2230" s="496">
        <f t="shared" si="730"/>
        <v>0</v>
      </c>
      <c r="AN2230" s="626"/>
      <c r="AO2230" s="182"/>
      <c r="AP2230" s="182"/>
      <c r="AQ2230" s="332" t="str">
        <f>UPPER(RIGHT(Journal_Live[[#This Row],[DURATION ]]))</f>
        <v/>
      </c>
      <c r="AR2230" s="182"/>
      <c r="AS2230" s="189"/>
      <c r="AT2230" s="189">
        <f t="shared" si="731"/>
        <v>0</v>
      </c>
      <c r="AU2230" s="187">
        <f t="shared" si="732"/>
        <v>0</v>
      </c>
      <c r="AV2230" s="190">
        <f t="shared" si="740"/>
        <v>0</v>
      </c>
      <c r="AW2230" s="191"/>
      <c r="AX2230" s="549" t="s">
        <v>7096</v>
      </c>
      <c r="AY2230" s="549" t="s">
        <v>7097</v>
      </c>
      <c r="AZ2230" s="551" t="s">
        <v>7098</v>
      </c>
      <c r="BA2230" s="551"/>
      <c r="BB2230" s="551"/>
      <c r="BC2230" s="551"/>
      <c r="BD2230" s="549"/>
      <c r="BE2230" s="550"/>
      <c r="BF2230" s="549"/>
      <c r="BG2230" s="391">
        <f>SUM($AV$1389:AV2230)</f>
        <v>4903.6108375297354</v>
      </c>
      <c r="BH2230" s="392">
        <f>SUM($AU$1389:AU2230)</f>
        <v>53030.423836163987</v>
      </c>
      <c r="BI2230" s="318">
        <f>SUMIFS($AU$1388:AU2267,$Q$1388:Q2267,"F")</f>
        <v>29235.078121878127</v>
      </c>
      <c r="BJ2230" s="318">
        <f>SUMIFS($AU$1388:AU2267,$Q$1388:Q2267,"S")</f>
        <v>17938.285714285706</v>
      </c>
      <c r="BK2230" s="343">
        <f>SUMIFS($AU$1388:AU2267,$P$1388:P2267,"W")</f>
        <v>17144.143836163403</v>
      </c>
      <c r="BL2230" s="343">
        <f>SUMIFS($AU$1388:AU2267,$P$1388:P2267,"R")</f>
        <v>22616.400000000325</v>
      </c>
      <c r="BM2230" s="343">
        <f>SUMIFS($AU$1388:AU2267,$AQ$1388:AQ2267,"M")</f>
        <v>8875.1799999983887</v>
      </c>
      <c r="BN2230" s="343">
        <f>SUMIFS($AU$1388:AU2267,$AQ$1388:AQ2267,"H")</f>
        <v>11643.200000000877</v>
      </c>
      <c r="BO2230" s="343">
        <f>SUMIFS($AU$1388:AU2267,$AQ$1388:AQ2267,"D")</f>
        <v>13122.377472527351</v>
      </c>
      <c r="BP2230" s="343">
        <f>SUMIFS($AS$1388:AS2707,$AO$1388:AO2707,"W")</f>
        <v>0</v>
      </c>
      <c r="BQ2230" s="343">
        <f>SUMIFS($AU$1388:AU2267,$Q$1388:Q2267,"O")</f>
        <v>-9340.9400000006026</v>
      </c>
      <c r="BR2230" s="343">
        <f>SUMIFS($AU$1388:AU2267,$AA$1388:AA2267,"*")</f>
        <v>37881.5220779214</v>
      </c>
      <c r="BS2230" s="343">
        <f>SUMIFS($AU$1388:AU2267,$AB$1388:AB2267,"*")</f>
        <v>7475.8599999999715</v>
      </c>
      <c r="BT2230" s="343">
        <f>SUMIFS($AU$1388:AU2267,$AC$1388:AC2267,"*")</f>
        <v>33251.078121878119</v>
      </c>
      <c r="BU2230" s="343">
        <f>SUMIFS($AU$1388:AU2267,$AA$1388:AA2267,"*",$AB$1388:AB2267,"*")</f>
        <v>7915.9999999997544</v>
      </c>
      <c r="BV2230" s="343">
        <f>SUMIFS($AU$1388:AU2267,$AA$1388:AA2267,"*",$AC$1388:AC2267,"*")</f>
        <v>29696.036363636529</v>
      </c>
      <c r="BW2230" s="343">
        <f>SUMIFS($AU$1388:AU2267,$AB$1388:AB2267,"*",$AC$1388:AC2267,"*")</f>
        <v>3863.9999999999991</v>
      </c>
      <c r="BX2230" s="343">
        <f>SUMIFS($AV$1388:AV2267,$Q$1388:Q2267,"F")</f>
        <v>383.04019562430165</v>
      </c>
      <c r="BY2230" s="343">
        <f>SUMIFS($AV$1388:AV2267,$Q$1388:Q2267,"S")</f>
        <v>676.61134190572739</v>
      </c>
      <c r="BZ2230" s="343">
        <f>SUMIFS($AV$1388:AV2267,$Q$1388:Q2267,"O")</f>
        <v>378.55929999967736</v>
      </c>
    </row>
    <row r="2231" spans="1:78" ht="15.75" customHeight="1">
      <c r="A2231" s="177" t="s">
        <v>6781</v>
      </c>
      <c r="B2231" s="200">
        <v>45462</v>
      </c>
      <c r="C2231" s="178" t="s">
        <v>7099</v>
      </c>
      <c r="D2231" s="178" t="s">
        <v>151</v>
      </c>
      <c r="E2231" s="227"/>
      <c r="F2231" s="180"/>
      <c r="G2231" s="553" t="s">
        <v>2942</v>
      </c>
      <c r="H2231" s="182"/>
      <c r="I2231" s="182"/>
      <c r="J2231" s="182"/>
      <c r="K2231" s="183"/>
      <c r="L2231" s="182">
        <v>1</v>
      </c>
      <c r="M2231" s="182"/>
      <c r="N2231" s="182"/>
      <c r="O2231" s="183" t="s">
        <v>95</v>
      </c>
      <c r="P2231" s="183" t="s">
        <v>96</v>
      </c>
      <c r="Q2231" s="183" t="s">
        <v>97</v>
      </c>
      <c r="R2231" s="183">
        <v>45</v>
      </c>
      <c r="S2231" s="183">
        <v>1</v>
      </c>
      <c r="T2231" s="183">
        <v>45</v>
      </c>
      <c r="U2231" s="183" t="s">
        <v>22</v>
      </c>
      <c r="V2231" s="183"/>
      <c r="W2231" s="183"/>
      <c r="X2231" s="183"/>
      <c r="Y2231" s="184">
        <f>IF(ISBLANK(O2231),"",(IF(O2231=UPPER("IB"),0.005,0.01)))</f>
        <v>0.01</v>
      </c>
      <c r="Z2231" s="185">
        <f>IF(ISBLANK(O2231),"",IF(O2231="IB",8.63*200,IF(O2231="IR",16*100,IF(O2231="YT",20*100,IF(O2231="YT-XT",24*200,IF(O2231="TED",80*100,IF(O2231="IR|YT",300*100)))))))</f>
        <v>1600</v>
      </c>
      <c r="AA2231" s="185"/>
      <c r="AB2231" s="185"/>
      <c r="AC2231" s="185" t="s">
        <v>7100</v>
      </c>
      <c r="AD2231" s="649">
        <v>-0.1</v>
      </c>
      <c r="AE2231" s="182"/>
      <c r="AF2231" s="332"/>
      <c r="AG2231" s="182"/>
      <c r="AH2231" s="182"/>
      <c r="AI2231" s="182"/>
      <c r="AJ2231" s="640"/>
      <c r="AK2231" s="182"/>
      <c r="AL2231" s="496">
        <f t="shared" si="739"/>
        <v>-32</v>
      </c>
      <c r="AM2231" s="496">
        <f t="shared" si="730"/>
        <v>-1408</v>
      </c>
      <c r="AN2231" s="626"/>
      <c r="AO2231" s="182"/>
      <c r="AP2231" s="182" t="s">
        <v>804</v>
      </c>
      <c r="AQ2231" s="332" t="s">
        <v>115</v>
      </c>
      <c r="AR2231" s="182" t="s">
        <v>7009</v>
      </c>
      <c r="AS2231" s="189">
        <v>-0.1</v>
      </c>
      <c r="AT2231" s="189">
        <f t="shared" si="731"/>
        <v>0</v>
      </c>
      <c r="AU2231" s="187">
        <f t="shared" si="732"/>
        <v>0</v>
      </c>
      <c r="AV2231" s="190">
        <f t="shared" si="740"/>
        <v>0</v>
      </c>
      <c r="AW2231" s="191" t="s">
        <v>115</v>
      </c>
      <c r="AX2231" s="588" t="s">
        <v>7101</v>
      </c>
      <c r="AY2231" s="588" t="s">
        <v>7102</v>
      </c>
      <c r="AZ2231" s="551"/>
      <c r="BA2231" s="551"/>
      <c r="BB2231" s="551"/>
      <c r="BC2231" s="551"/>
      <c r="BD2231" s="549"/>
      <c r="BE2231" s="550"/>
      <c r="BF2231" s="549"/>
      <c r="BG2231" s="391">
        <f>SUM($AV$1389:AV2231)</f>
        <v>4903.6108375297354</v>
      </c>
      <c r="BH2231" s="392">
        <f>SUM($AU$1389:AU2231)</f>
        <v>53030.423836163987</v>
      </c>
      <c r="BI2231" s="318">
        <f>SUMIFS($AU$1388:AU2277,$Q$1388:Q2277,"F")</f>
        <v>29235.078121878127</v>
      </c>
      <c r="BJ2231" s="318">
        <f>SUMIFS($AU$1388:AU2277,$Q$1388:Q2277,"S")</f>
        <v>17938.285714285706</v>
      </c>
      <c r="BK2231" s="343">
        <f>SUMIFS($AU$1388:AU2277,$P$1388:P2277,"W")</f>
        <v>17144.143836163403</v>
      </c>
      <c r="BL2231" s="343">
        <f>SUMIFS($AU$1388:AU2277,$P$1388:P2277,"R")</f>
        <v>22616.400000000325</v>
      </c>
      <c r="BM2231" s="343">
        <f>SUMIFS($AU$1388:AU2277,$AQ$1388:AQ2277,"M")</f>
        <v>8875.1799999983887</v>
      </c>
      <c r="BN2231" s="343">
        <f>SUMIFS($AU$1388:AU2277,$AQ$1388:AQ2277,"H")</f>
        <v>11643.200000000877</v>
      </c>
      <c r="BO2231" s="343">
        <f>SUMIFS($AU$1388:AU2277,$AQ$1388:AQ2277,"D")</f>
        <v>13122.377472527351</v>
      </c>
      <c r="BP2231" s="343">
        <f>SUMIFS($AS$1388:AS2708,$AO$1388:AO2708,"W")</f>
        <v>0</v>
      </c>
      <c r="BQ2231" s="343">
        <f>SUMIFS($AU$1388:AU2277,$Q$1388:Q2277,"O")</f>
        <v>-9340.9400000006026</v>
      </c>
      <c r="BR2231" s="343">
        <f>SUMIFS($AU$1388:AU2277,$AA$1388:AA2277,"*")</f>
        <v>37881.5220779214</v>
      </c>
      <c r="BS2231" s="343">
        <f>SUMIFS($AU$1388:AU2277,$AB$1388:AB2277,"*")</f>
        <v>7475.8599999999715</v>
      </c>
      <c r="BT2231" s="343">
        <f>SUMIFS($AU$1388:AU2277,$AC$1388:AC2277,"*")</f>
        <v>33251.078121878119</v>
      </c>
      <c r="BU2231" s="343">
        <f>SUMIFS($AU$1388:AU2277,$AA$1388:AA2277,"*",$AB$1388:AB2277,"*")</f>
        <v>7915.9999999997544</v>
      </c>
      <c r="BV2231" s="343">
        <f>SUMIFS($AU$1388:AU2277,$AA$1388:AA2277,"*",$AC$1388:AC2277,"*")</f>
        <v>29696.036363636529</v>
      </c>
      <c r="BW2231" s="343">
        <f>SUMIFS($AU$1388:AU2277,$AB$1388:AB2277,"*",$AC$1388:AC2277,"*")</f>
        <v>3863.9999999999991</v>
      </c>
      <c r="BX2231" s="343">
        <f>SUMIFS($AV$1388:AV2277,$Q$1388:Q2277,"F")</f>
        <v>383.04019562430165</v>
      </c>
      <c r="BY2231" s="343">
        <f>SUMIFS($AV$1388:AV2277,$Q$1388:Q2277,"S")</f>
        <v>676.61134190572739</v>
      </c>
      <c r="BZ2231" s="343">
        <f>SUMIFS($AV$1388:AV2277,$Q$1388:Q2277,"O")</f>
        <v>378.55929999967736</v>
      </c>
    </row>
    <row r="2232" spans="1:78" ht="15.75" customHeight="1">
      <c r="A2232" s="177" t="s">
        <v>6781</v>
      </c>
      <c r="B2232" s="200">
        <v>45463</v>
      </c>
      <c r="C2232" s="178" t="s">
        <v>3374</v>
      </c>
      <c r="D2232" s="178" t="s">
        <v>93</v>
      </c>
      <c r="E2232" s="227"/>
      <c r="F2232" s="180"/>
      <c r="G2232" s="181" t="s">
        <v>2016</v>
      </c>
      <c r="H2232" s="182"/>
      <c r="I2232" s="182"/>
      <c r="J2232" s="182"/>
      <c r="K2232" s="183"/>
      <c r="L2232" s="182"/>
      <c r="M2232" s="182"/>
      <c r="N2232" s="182"/>
      <c r="O2232" s="183"/>
      <c r="P2232" s="183"/>
      <c r="Q2232" s="183"/>
      <c r="R2232" s="183"/>
      <c r="S2232" s="183"/>
      <c r="T2232" s="183"/>
      <c r="U2232" s="183"/>
      <c r="V2232" s="183"/>
      <c r="W2232" s="183"/>
      <c r="X2232" s="183"/>
      <c r="Y2232" s="184"/>
      <c r="Z2232" s="185"/>
      <c r="AA2232" s="185"/>
      <c r="AB2232" s="185"/>
      <c r="AC2232" s="185"/>
      <c r="AD2232" s="649"/>
      <c r="AE2232" s="182"/>
      <c r="AF2232" s="332"/>
      <c r="AG2232" s="182"/>
      <c r="AH2232" s="182"/>
      <c r="AI2232" s="182"/>
      <c r="AJ2232" s="640"/>
      <c r="AK2232" s="182"/>
      <c r="AL2232" s="496">
        <f t="shared" si="739"/>
        <v>0</v>
      </c>
      <c r="AM2232" s="496">
        <f t="shared" ref="AM2232:AM2263" si="741">AL2232*(R2232-S2232)</f>
        <v>0</v>
      </c>
      <c r="AN2232" s="626"/>
      <c r="AO2232" s="182"/>
      <c r="AP2232" s="182"/>
      <c r="AQ2232" s="332" t="str">
        <f>UPPER(RIGHT(Journal_Live[[#This Row],[DURATION ]]))</f>
        <v/>
      </c>
      <c r="AR2232" s="182"/>
      <c r="AS2232" s="189"/>
      <c r="AT2232" s="189">
        <f t="shared" si="731"/>
        <v>0</v>
      </c>
      <c r="AU2232" s="187">
        <f t="shared" si="732"/>
        <v>0</v>
      </c>
      <c r="AV2232" s="190">
        <f t="shared" si="740"/>
        <v>0</v>
      </c>
      <c r="AW2232" s="191"/>
      <c r="AX2232" s="551"/>
      <c r="AY2232" s="551"/>
      <c r="AZ2232" s="551"/>
      <c r="BA2232" s="551"/>
      <c r="BB2232" s="551"/>
      <c r="BC2232" s="551"/>
      <c r="BD2232" s="549"/>
      <c r="BE2232" s="550"/>
      <c r="BF2232" s="549"/>
      <c r="BG2232" s="391">
        <f>SUM($AV$1389:AV2232)</f>
        <v>4903.6108375297354</v>
      </c>
      <c r="BH2232" s="392">
        <f>SUM($AU$1389:AU2232)</f>
        <v>53030.423836163987</v>
      </c>
      <c r="BI2232" s="318">
        <f>SUMIFS($AU$1388:AU2234,$Q$1388:Q2234,"F")</f>
        <v>30355.078121878127</v>
      </c>
      <c r="BJ2232" s="318">
        <f>SUMIFS($AU$1388:AU2234,$Q$1388:Q2234,"S")</f>
        <v>25058.28571428571</v>
      </c>
      <c r="BK2232" s="343">
        <f>SUMIFS($AU$1388:AU2234,$P$1388:P2234,"W")</f>
        <v>27752.14383616417</v>
      </c>
      <c r="BL2232" s="343">
        <f>SUMIFS($AU$1388:AU2234,$P$1388:P2234,"R")</f>
        <v>22308.400000000325</v>
      </c>
      <c r="BM2232" s="343">
        <f>SUMIFS($AU$1388:AU2234,$AQ$1388:AQ2234,"M")</f>
        <v>12669.179999998996</v>
      </c>
      <c r="BN2232" s="343">
        <f>SUMIFS($AU$1388:AU2234,$AQ$1388:AQ2234,"H")</f>
        <v>14363.200000001041</v>
      </c>
      <c r="BO2232" s="343">
        <f>SUMIFS($AU$1388:AU2234,$AQ$1388:AQ2234,"D")</f>
        <v>15062.377472527351</v>
      </c>
      <c r="BP2232" s="343">
        <f>SUMIFS($AS$1388:AS2700,$AO$1388:AO2700,"W")</f>
        <v>0</v>
      </c>
      <c r="BQ2232" s="343">
        <f>SUMIFS($AU$1388:AU2234,$Q$1388:Q2234,"O")</f>
        <v>-5006.9399999998313</v>
      </c>
      <c r="BR2232" s="343">
        <f>SUMIFS($AU$1388:AU2234,$AA$1388:AA2234,"*")</f>
        <v>43923.522077922011</v>
      </c>
      <c r="BS2232" s="343">
        <f>SUMIFS($AU$1388:AU2234,$AB$1388:AB2234,"*")</f>
        <v>8595.8599999999715</v>
      </c>
      <c r="BT2232" s="343">
        <f>SUMIFS($AU$1388:AU2234,$AC$1388:AC2234,"*")</f>
        <v>40531.078121878294</v>
      </c>
      <c r="BU2232" s="343">
        <f>SUMIFS($AU$1388:AU2234,$AA$1388:AA2234,"*",$AB$1388:AB2234,"*")</f>
        <v>7915.9999999997544</v>
      </c>
      <c r="BV2232" s="343">
        <f>SUMIFS($AU$1388:AU2234,$AA$1388:AA2234,"*",$AC$1388:AC2234,"*")</f>
        <v>32544.036363636536</v>
      </c>
      <c r="BW2232" s="343">
        <f>SUMIFS($AU$1388:AU2234,$AB$1388:AB2234,"*",$AC$1388:AC2234,"*")</f>
        <v>4983.9999999999991</v>
      </c>
      <c r="BX2232" s="343">
        <f>SUMIFS($AV$1388:AV2234,$Q$1388:Q2234,"F")</f>
        <v>389.44019562430162</v>
      </c>
      <c r="BY2232" s="343">
        <f>SUMIFS($AV$1388:AV2234,$Q$1388:Q2234,"S")</f>
        <v>820.61134190572739</v>
      </c>
      <c r="BZ2232" s="343">
        <f>SUMIFS($AV$1388:AV2234,$Q$1388:Q2234,"O")</f>
        <v>545.55929999969885</v>
      </c>
    </row>
    <row r="2233" spans="1:78" ht="15.75" customHeight="1">
      <c r="A2233" s="177" t="s">
        <v>6781</v>
      </c>
      <c r="B2233" s="200">
        <v>45463</v>
      </c>
      <c r="C2233" s="178" t="s">
        <v>675</v>
      </c>
      <c r="D2233" s="178" t="s">
        <v>93</v>
      </c>
      <c r="E2233" s="227"/>
      <c r="F2233" s="180"/>
      <c r="G2233" s="181" t="s">
        <v>2070</v>
      </c>
      <c r="H2233" s="182"/>
      <c r="I2233" s="182"/>
      <c r="J2233" s="182"/>
      <c r="K2233" s="183"/>
      <c r="L2233" s="182">
        <v>1</v>
      </c>
      <c r="M2233" s="182"/>
      <c r="N2233" s="182"/>
      <c r="O2233" s="183" t="s">
        <v>95</v>
      </c>
      <c r="P2233" s="183" t="s">
        <v>96</v>
      </c>
      <c r="Q2233" s="183" t="s">
        <v>97</v>
      </c>
      <c r="R2233" s="183">
        <v>20</v>
      </c>
      <c r="S2233" s="183">
        <v>0</v>
      </c>
      <c r="T2233" s="183">
        <v>20</v>
      </c>
      <c r="U2233" s="183" t="s">
        <v>97</v>
      </c>
      <c r="V2233" s="183"/>
      <c r="W2233" s="183"/>
      <c r="X2233" s="183"/>
      <c r="Y2233" s="184">
        <f>IF(ISBLANK(O2233),"",(IF(O2233=UPPER("IB"),0.005,0.01)))</f>
        <v>0.01</v>
      </c>
      <c r="Z2233" s="185">
        <f>IF(ISBLANK(O2233),"",IF(O2233="IB",8.63*200,IF(O2233="IR",16*100,IF(O2233="YT",20*100,IF(O2233="YT-XT",24*200,IF(O2233="TED",80*100,IF(O2233="IR|YT",300*100)))))))</f>
        <v>1600</v>
      </c>
      <c r="AA2233" s="185" t="s">
        <v>7103</v>
      </c>
      <c r="AB2233" s="185"/>
      <c r="AC2233" s="185"/>
      <c r="AD2233" s="649">
        <v>-0.1</v>
      </c>
      <c r="AE2233" s="182"/>
      <c r="AF2233" s="332"/>
      <c r="AG2233" s="182"/>
      <c r="AH2233" s="182"/>
      <c r="AI2233" s="182"/>
      <c r="AJ2233" s="640"/>
      <c r="AK2233" s="182"/>
      <c r="AL2233" s="496">
        <f t="shared" si="739"/>
        <v>-32</v>
      </c>
      <c r="AM2233" s="496">
        <f t="shared" si="741"/>
        <v>-640</v>
      </c>
      <c r="AN2233" s="626"/>
      <c r="AO2233" s="182"/>
      <c r="AP2233" s="182"/>
      <c r="AQ2233" s="332" t="s">
        <v>372</v>
      </c>
      <c r="AR2233" s="182"/>
      <c r="AS2233" s="189">
        <v>-0.1</v>
      </c>
      <c r="AT2233" s="189">
        <f t="shared" si="731"/>
        <v>0</v>
      </c>
      <c r="AU2233" s="187">
        <f t="shared" si="732"/>
        <v>0</v>
      </c>
      <c r="AV2233" s="190">
        <f t="shared" si="740"/>
        <v>0</v>
      </c>
      <c r="AW2233" s="191" t="s">
        <v>115</v>
      </c>
      <c r="AX2233" s="551"/>
      <c r="AY2233" s="551"/>
      <c r="AZ2233" s="551"/>
      <c r="BA2233" s="551"/>
      <c r="BB2233" s="551"/>
      <c r="BC2233" s="551"/>
      <c r="BD2233" s="549"/>
      <c r="BE2233" s="550"/>
      <c r="BF2233" s="549"/>
      <c r="BG2233" s="391">
        <f>SUM($AV$1389:AV2233)</f>
        <v>4903.6108375297354</v>
      </c>
      <c r="BH2233" s="392">
        <f>SUM($AU$1389:AU2233)</f>
        <v>53030.423836163987</v>
      </c>
      <c r="BI2233" s="318">
        <f>SUMIFS($AU$1388:AU2235,$Q$1388:Q2235,"F")</f>
        <v>30355.078121878127</v>
      </c>
      <c r="BJ2233" s="318">
        <f>SUMIFS($AU$1388:AU2235,$Q$1388:Q2235,"S")</f>
        <v>27810.285714285706</v>
      </c>
      <c r="BK2233" s="343">
        <f>SUMIFS($AU$1388:AU2235,$P$1388:P2235,"W")</f>
        <v>30504.143836164167</v>
      </c>
      <c r="BL2233" s="343">
        <f>SUMIFS($AU$1388:AU2235,$P$1388:P2235,"R")</f>
        <v>22308.400000000325</v>
      </c>
      <c r="BM2233" s="343">
        <f>SUMIFS($AU$1388:AU2235,$AQ$1388:AQ2235,"M")</f>
        <v>12669.179999998996</v>
      </c>
      <c r="BN2233" s="343">
        <f>SUMIFS($AU$1388:AU2235,$AQ$1388:AQ2235,"H")</f>
        <v>14363.200000001041</v>
      </c>
      <c r="BO2233" s="343">
        <f>SUMIFS($AU$1388:AU2235,$AQ$1388:AQ2235,"D")</f>
        <v>17814.377472527347</v>
      </c>
      <c r="BP2233" s="343">
        <f>SUMIFS($AS$1388:AS2701,$AO$1388:AO2701,"W")</f>
        <v>0</v>
      </c>
      <c r="BQ2233" s="343">
        <f>SUMIFS($AU$1388:AU2235,$Q$1388:Q2235,"O")</f>
        <v>-5006.9399999998313</v>
      </c>
      <c r="BR2233" s="343">
        <f>SUMIFS($AU$1388:AU2235,$AA$1388:AA2235,"*")</f>
        <v>46675.522077922004</v>
      </c>
      <c r="BS2233" s="343">
        <f>SUMIFS($AU$1388:AU2235,$AB$1388:AB2235,"*")</f>
        <v>8595.8599999999715</v>
      </c>
      <c r="BT2233" s="343">
        <f>SUMIFS($AU$1388:AU2235,$AC$1388:AC2235,"*")</f>
        <v>43283.078121878287</v>
      </c>
      <c r="BU2233" s="343">
        <f>SUMIFS($AU$1388:AU2235,$AA$1388:AA2235,"*",$AB$1388:AB2235,"*")</f>
        <v>7915.9999999997544</v>
      </c>
      <c r="BV2233" s="343">
        <f>SUMIFS($AU$1388:AU2235,$AA$1388:AA2235,"*",$AC$1388:AC2235,"*")</f>
        <v>35296.036363636529</v>
      </c>
      <c r="BW2233" s="343">
        <f>SUMIFS($AU$1388:AU2235,$AB$1388:AB2235,"*",$AC$1388:AC2235,"*")</f>
        <v>4983.9999999999991</v>
      </c>
      <c r="BX2233" s="343">
        <f>SUMIFS($AV$1388:AV2235,$Q$1388:Q2235,"F")</f>
        <v>389.44019562430162</v>
      </c>
      <c r="BY2233" s="343">
        <f>SUMIFS($AV$1388:AV2235,$Q$1388:Q2235,"S")</f>
        <v>836.61134190572739</v>
      </c>
      <c r="BZ2233" s="343">
        <f>SUMIFS($AV$1388:AV2235,$Q$1388:Q2235,"O")</f>
        <v>545.55929999969885</v>
      </c>
    </row>
    <row r="2234" spans="1:78" ht="15.75" customHeight="1">
      <c r="A2234" s="177" t="s">
        <v>6781</v>
      </c>
      <c r="B2234" s="200">
        <v>45464</v>
      </c>
      <c r="C2234" s="178" t="s">
        <v>2710</v>
      </c>
      <c r="D2234" s="178" t="s">
        <v>111</v>
      </c>
      <c r="E2234" s="227"/>
      <c r="F2234" s="180"/>
      <c r="G2234" s="481" t="s">
        <v>4147</v>
      </c>
      <c r="H2234" s="182"/>
      <c r="I2234" s="182"/>
      <c r="J2234" s="182"/>
      <c r="K2234" s="183"/>
      <c r="L2234" s="182">
        <v>1</v>
      </c>
      <c r="M2234" s="182">
        <v>1</v>
      </c>
      <c r="N2234" s="182"/>
      <c r="O2234" s="183" t="s">
        <v>95</v>
      </c>
      <c r="P2234" s="183" t="s">
        <v>137</v>
      </c>
      <c r="Q2234" s="183" t="s">
        <v>97</v>
      </c>
      <c r="R2234" s="183">
        <v>160</v>
      </c>
      <c r="S2234" s="183">
        <v>100</v>
      </c>
      <c r="T2234" s="183">
        <v>160</v>
      </c>
      <c r="U2234" s="183" t="s">
        <v>97</v>
      </c>
      <c r="V2234" s="183"/>
      <c r="W2234" s="183"/>
      <c r="X2234" s="183"/>
      <c r="Y2234" s="184">
        <f>IF(ISBLANK(O2234),"",(IF(O2234=UPPER("IB"),0.005,0.01)))</f>
        <v>0.01</v>
      </c>
      <c r="Z2234" s="185">
        <f>IF(ISBLANK(O2234),"",IF(O2234="IB",8.63*200,IF(O2234="IR",16*100,IF(O2234="YT",20*100,IF(O2234="YT-XT",24*200,IF(O2234="TED",80*100,IF(O2234="IR|YT",300*100)))))))</f>
        <v>1600</v>
      </c>
      <c r="AA2234" s="185"/>
      <c r="AB2234" s="185"/>
      <c r="AC2234" s="185" t="s">
        <v>7104</v>
      </c>
      <c r="AD2234" s="649">
        <v>-0.08</v>
      </c>
      <c r="AE2234" s="182"/>
      <c r="AF2234" s="332"/>
      <c r="AG2234" s="182"/>
      <c r="AH2234" s="182"/>
      <c r="AI2234" s="182"/>
      <c r="AJ2234" s="640"/>
      <c r="AK2234" s="182"/>
      <c r="AL2234" s="496">
        <f t="shared" si="739"/>
        <v>-32</v>
      </c>
      <c r="AM2234" s="496">
        <f t="shared" si="741"/>
        <v>-1920</v>
      </c>
      <c r="AN2234" s="626"/>
      <c r="AO2234" s="182"/>
      <c r="AP2234" s="182"/>
      <c r="AQ2234" s="332" t="str">
        <f>UPPER(RIGHT(Journal_Live[[#This Row],[DURATION ]]))</f>
        <v/>
      </c>
      <c r="AR2234" s="182"/>
      <c r="AS2234" s="189">
        <f>-0.08</f>
        <v>-0.08</v>
      </c>
      <c r="AT2234" s="189">
        <f t="shared" si="731"/>
        <v>0</v>
      </c>
      <c r="AU2234" s="187">
        <f t="shared" si="732"/>
        <v>0</v>
      </c>
      <c r="AV2234" s="190">
        <f t="shared" si="740"/>
        <v>0</v>
      </c>
      <c r="AW2234" s="191" t="s">
        <v>115</v>
      </c>
      <c r="AX2234" s="551"/>
      <c r="AY2234" s="551"/>
      <c r="AZ2234" s="551"/>
      <c r="BA2234" s="551"/>
      <c r="BB2234" s="551"/>
      <c r="BC2234" s="551"/>
      <c r="BD2234" s="549"/>
      <c r="BE2234" s="550"/>
      <c r="BF2234" s="549"/>
      <c r="BG2234" s="391">
        <f>SUM($AV$1389:AV2234)</f>
        <v>4903.6108375297354</v>
      </c>
      <c r="BH2234" s="392">
        <f>SUM($AU$1389:AU2234)</f>
        <v>53030.423836163987</v>
      </c>
      <c r="BI2234" s="318">
        <f>SUMIFS($AU$1388:AU2236,$Q$1388:Q2236,"F")</f>
        <v>30355.078121878127</v>
      </c>
      <c r="BJ2234" s="318">
        <f>SUMIFS($AU$1388:AU2236,$Q$1388:Q2236,"S")</f>
        <v>27810.285714285706</v>
      </c>
      <c r="BK2234" s="343">
        <f>SUMIFS($AU$1388:AU2236,$P$1388:P2236,"W")</f>
        <v>30504.143836164167</v>
      </c>
      <c r="BL2234" s="343">
        <f>SUMIFS($AU$1388:AU2236,$P$1388:P2236,"R")</f>
        <v>22308.400000000325</v>
      </c>
      <c r="BM2234" s="343">
        <f>SUMIFS($AU$1388:AU2236,$AQ$1388:AQ2236,"M")</f>
        <v>12669.179999998996</v>
      </c>
      <c r="BN2234" s="343">
        <f>SUMIFS($AU$1388:AU2236,$AQ$1388:AQ2236,"H")</f>
        <v>14363.200000001041</v>
      </c>
      <c r="BO2234" s="343">
        <f>SUMIFS($AU$1388:AU2236,$AQ$1388:AQ2236,"D")</f>
        <v>17814.377472527347</v>
      </c>
      <c r="BP2234" s="343">
        <f>SUMIFS($AS$1388:AS2702,$AO$1388:AO2702,"W")</f>
        <v>0</v>
      </c>
      <c r="BQ2234" s="343">
        <f>SUMIFS($AU$1388:AU2236,$Q$1388:Q2236,"O")</f>
        <v>-5006.9399999998313</v>
      </c>
      <c r="BR2234" s="343">
        <f>SUMIFS($AU$1388:AU2236,$AA$1388:AA2236,"*")</f>
        <v>46675.522077922004</v>
      </c>
      <c r="BS2234" s="343">
        <f>SUMIFS($AU$1388:AU2236,$AB$1388:AB2236,"*")</f>
        <v>8595.8599999999715</v>
      </c>
      <c r="BT2234" s="343">
        <f>SUMIFS($AU$1388:AU2236,$AC$1388:AC2236,"*")</f>
        <v>43283.078121878287</v>
      </c>
      <c r="BU2234" s="343">
        <f>SUMIFS($AU$1388:AU2236,$AA$1388:AA2236,"*",$AB$1388:AB2236,"*")</f>
        <v>7915.9999999997544</v>
      </c>
      <c r="BV2234" s="343">
        <f>SUMIFS($AU$1388:AU2236,$AA$1388:AA2236,"*",$AC$1388:AC2236,"*")</f>
        <v>35296.036363636529</v>
      </c>
      <c r="BW2234" s="343">
        <f>SUMIFS($AU$1388:AU2236,$AB$1388:AB2236,"*",$AC$1388:AC2236,"*")</f>
        <v>4983.9999999999991</v>
      </c>
      <c r="BX2234" s="343">
        <f>SUMIFS($AV$1388:AV2236,$Q$1388:Q2236,"F")</f>
        <v>389.44019562430162</v>
      </c>
      <c r="BY2234" s="343">
        <f>SUMIFS($AV$1388:AV2236,$Q$1388:Q2236,"S")</f>
        <v>836.61134190572739</v>
      </c>
      <c r="BZ2234" s="343">
        <f>SUMIFS($AV$1388:AV2236,$Q$1388:Q2236,"O")</f>
        <v>545.55929999969885</v>
      </c>
    </row>
    <row r="2235" spans="1:78" ht="15.75" customHeight="1">
      <c r="A2235" s="177" t="s">
        <v>6781</v>
      </c>
      <c r="B2235" s="200">
        <v>45464</v>
      </c>
      <c r="C2235" s="178" t="s">
        <v>2235</v>
      </c>
      <c r="D2235" s="178" t="s">
        <v>111</v>
      </c>
      <c r="E2235" s="227"/>
      <c r="F2235" s="180"/>
      <c r="G2235" s="481" t="s">
        <v>7105</v>
      </c>
      <c r="H2235" s="182"/>
      <c r="I2235" s="182"/>
      <c r="J2235" s="182"/>
      <c r="K2235" s="183"/>
      <c r="L2235" s="182"/>
      <c r="M2235" s="182">
        <v>1</v>
      </c>
      <c r="N2235" s="182"/>
      <c r="O2235" s="183" t="s">
        <v>95</v>
      </c>
      <c r="P2235" s="183" t="s">
        <v>96</v>
      </c>
      <c r="Q2235" s="183" t="s">
        <v>97</v>
      </c>
      <c r="R2235" s="183">
        <v>172</v>
      </c>
      <c r="S2235" s="183">
        <v>25</v>
      </c>
      <c r="T2235" s="183">
        <v>100</v>
      </c>
      <c r="U2235" s="183" t="s">
        <v>97</v>
      </c>
      <c r="V2235" s="183"/>
      <c r="W2235" s="183"/>
      <c r="X2235" s="183"/>
      <c r="Y2235" s="184">
        <f>IF(ISBLANK(O2235),"",(IF(O2235=UPPER("IB"),0.005,0.01)))</f>
        <v>0.01</v>
      </c>
      <c r="Z2235" s="185">
        <f>IF(ISBLANK(O2235),"",IF(O2235="IB",8.63*200,IF(O2235="IR",16*100,IF(O2235="YT",20*100,IF(O2235="YT-XT",24*200,IF(O2235="TED",80*100,IF(O2235="IR|YT",300*100)))))))</f>
        <v>1600</v>
      </c>
      <c r="AA2235" s="185" t="s">
        <v>7106</v>
      </c>
      <c r="AB2235" s="185"/>
      <c r="AC2235" s="185" t="s">
        <v>7107</v>
      </c>
      <c r="AD2235" s="649">
        <v>-0.17</v>
      </c>
      <c r="AE2235" s="182"/>
      <c r="AF2235" s="332"/>
      <c r="AG2235" s="182"/>
      <c r="AH2235" s="182"/>
      <c r="AI2235" s="182"/>
      <c r="AJ2235" s="640"/>
      <c r="AK2235" s="182"/>
      <c r="AL2235" s="496">
        <f t="shared" si="739"/>
        <v>-32</v>
      </c>
      <c r="AM2235" s="496">
        <f t="shared" si="741"/>
        <v>-4704</v>
      </c>
      <c r="AN2235" s="626"/>
      <c r="AO2235" s="182"/>
      <c r="AP2235" s="182" t="s">
        <v>999</v>
      </c>
      <c r="AQ2235" s="332" t="s">
        <v>115</v>
      </c>
      <c r="AR2235" s="182"/>
      <c r="AS2235" s="189">
        <v>-0.18</v>
      </c>
      <c r="AT2235" s="189">
        <f t="shared" si="731"/>
        <v>9.9999999999999811E-3</v>
      </c>
      <c r="AU2235" s="187">
        <f t="shared" si="732"/>
        <v>2751.999999999995</v>
      </c>
      <c r="AV2235" s="190">
        <f t="shared" si="740"/>
        <v>15.99999999999997</v>
      </c>
      <c r="AW2235" s="191" t="s">
        <v>96</v>
      </c>
      <c r="AX2235" s="551"/>
      <c r="AY2235" s="551"/>
      <c r="AZ2235" s="551"/>
      <c r="BA2235" s="551"/>
      <c r="BB2235" s="551"/>
      <c r="BC2235" s="551"/>
      <c r="BD2235" s="549"/>
      <c r="BE2235" s="550"/>
      <c r="BF2235" s="549"/>
      <c r="BG2235" s="391">
        <f>SUM($AV$1389:AV2235)</f>
        <v>4919.6108375297354</v>
      </c>
      <c r="BH2235" s="392">
        <f>SUM($AU$1389:AU2235)</f>
        <v>55782.42383616398</v>
      </c>
      <c r="BI2235" s="318">
        <f>SUMIFS($AU$1388:AU2237,$Q$1388:Q2237,"F")</f>
        <v>30355.078121878127</v>
      </c>
      <c r="BJ2235" s="318">
        <f>SUMIFS($AU$1388:AU2237,$Q$1388:Q2237,"S")</f>
        <v>27810.285714285706</v>
      </c>
      <c r="BK2235" s="343">
        <f>SUMIFS($AU$1388:AU2237,$P$1388:P2237,"W")</f>
        <v>30504.143836164167</v>
      </c>
      <c r="BL2235" s="343">
        <f>SUMIFS($AU$1388:AU2237,$P$1388:P2237,"R")</f>
        <v>22608.400000000325</v>
      </c>
      <c r="BM2235" s="343">
        <f>SUMIFS($AU$1388:AU2237,$AQ$1388:AQ2237,"M")</f>
        <v>12669.179999998996</v>
      </c>
      <c r="BN2235" s="343">
        <f>SUMIFS($AU$1388:AU2237,$AQ$1388:AQ2237,"H")</f>
        <v>14363.200000001041</v>
      </c>
      <c r="BO2235" s="343">
        <f>SUMIFS($AU$1388:AU2237,$AQ$1388:AQ2237,"D")</f>
        <v>18114.377472527347</v>
      </c>
      <c r="BP2235" s="343">
        <f>SUMIFS($AS$1388:AS2703,$AO$1388:AO2703,"W")</f>
        <v>0</v>
      </c>
      <c r="BQ2235" s="343">
        <f>SUMIFS($AU$1388:AU2237,$Q$1388:Q2237,"O")</f>
        <v>-5006.9399999998313</v>
      </c>
      <c r="BR2235" s="343">
        <f>SUMIFS($AU$1388:AU2237,$AA$1388:AA2237,"*")</f>
        <v>46975.522077922004</v>
      </c>
      <c r="BS2235" s="343">
        <f>SUMIFS($AU$1388:AU2237,$AB$1388:AB2237,"*")</f>
        <v>8595.8599999999715</v>
      </c>
      <c r="BT2235" s="343">
        <f>SUMIFS($AU$1388:AU2237,$AC$1388:AC2237,"*")</f>
        <v>43283.078121878287</v>
      </c>
      <c r="BU2235" s="343">
        <f>SUMIFS($AU$1388:AU2237,$AA$1388:AA2237,"*",$AB$1388:AB2237,"*")</f>
        <v>7915.9999999997544</v>
      </c>
      <c r="BV2235" s="343">
        <f>SUMIFS($AU$1388:AU2237,$AA$1388:AA2237,"*",$AC$1388:AC2237,"*")</f>
        <v>35296.036363636529</v>
      </c>
      <c r="BW2235" s="343">
        <f>SUMIFS($AU$1388:AU2237,$AB$1388:AB2237,"*",$AC$1388:AC2237,"*")</f>
        <v>4983.9999999999991</v>
      </c>
      <c r="BX2235" s="343">
        <f>SUMIFS($AV$1388:AV2237,$Q$1388:Q2237,"F")</f>
        <v>389.44019562430162</v>
      </c>
      <c r="BY2235" s="343">
        <f>SUMIFS($AV$1388:AV2237,$Q$1388:Q2237,"S")</f>
        <v>836.61134190572739</v>
      </c>
      <c r="BZ2235" s="343">
        <f>SUMIFS($AV$1388:AV2237,$Q$1388:Q2237,"O")</f>
        <v>545.55929999969885</v>
      </c>
    </row>
    <row r="2236" spans="1:78" ht="15.75" customHeight="1">
      <c r="A2236" s="177" t="s">
        <v>6781</v>
      </c>
      <c r="B2236" s="200">
        <v>45464</v>
      </c>
      <c r="C2236" s="194" t="s">
        <v>3414</v>
      </c>
      <c r="D2236" s="178" t="s">
        <v>111</v>
      </c>
      <c r="E2236" s="227"/>
      <c r="F2236" s="180"/>
      <c r="G2236" s="570" t="s">
        <v>2070</v>
      </c>
      <c r="H2236" s="182"/>
      <c r="I2236" s="182"/>
      <c r="J2236" s="182"/>
      <c r="K2236" s="183"/>
      <c r="L2236" s="182">
        <v>1</v>
      </c>
      <c r="M2236" s="182"/>
      <c r="N2236" s="182"/>
      <c r="O2236" s="183" t="s">
        <v>95</v>
      </c>
      <c r="P2236" s="183" t="s">
        <v>96</v>
      </c>
      <c r="Q2236" s="183" t="s">
        <v>97</v>
      </c>
      <c r="R2236" s="183">
        <v>20</v>
      </c>
      <c r="S2236" s="183">
        <v>0</v>
      </c>
      <c r="T2236" s="183">
        <v>20</v>
      </c>
      <c r="U2236" s="183" t="s">
        <v>22</v>
      </c>
      <c r="V2236" s="183"/>
      <c r="W2236" s="183"/>
      <c r="X2236" s="183"/>
      <c r="Y2236" s="184">
        <f>IF(ISBLANK(O2236),"",(IF(O2236=UPPER("IB"),0.005,0.01)))</f>
        <v>0.01</v>
      </c>
      <c r="Z2236" s="185">
        <f>IF(ISBLANK(O2236),"",IF(O2236="IB",8.63*200,IF(O2236="IR",16*100,IF(O2236="YT",20*100,IF(O2236="YT-XT",24*200,IF(O2236="TED",80*100,IF(O2236="IR|YT",300*100)))))))</f>
        <v>1600</v>
      </c>
      <c r="AA2236" s="185"/>
      <c r="AB2236" s="185"/>
      <c r="AC2236" s="185" t="s">
        <v>7108</v>
      </c>
      <c r="AD2236" s="649">
        <v>-0.1</v>
      </c>
      <c r="AE2236" s="182"/>
      <c r="AF2236" s="332"/>
      <c r="AG2236" s="182"/>
      <c r="AH2236" s="182">
        <v>-9</v>
      </c>
      <c r="AI2236" s="182"/>
      <c r="AJ2236" s="640" t="s">
        <v>7109</v>
      </c>
      <c r="AK2236" s="182"/>
      <c r="AL2236" s="496">
        <f t="shared" si="739"/>
        <v>-32</v>
      </c>
      <c r="AM2236" s="496">
        <f t="shared" si="741"/>
        <v>-640</v>
      </c>
      <c r="AN2236" s="626"/>
      <c r="AO2236" s="182"/>
      <c r="AP2236" s="182" t="s">
        <v>864</v>
      </c>
      <c r="AQ2236" s="332" t="s">
        <v>115</v>
      </c>
      <c r="AR2236" s="298">
        <v>45468</v>
      </c>
      <c r="AS2236" s="189">
        <v>-0.1</v>
      </c>
      <c r="AT2236" s="189">
        <f t="shared" si="731"/>
        <v>0</v>
      </c>
      <c r="AU2236" s="187">
        <f t="shared" si="732"/>
        <v>0</v>
      </c>
      <c r="AV2236" s="190">
        <f t="shared" si="740"/>
        <v>0</v>
      </c>
      <c r="AW2236" s="191" t="s">
        <v>115</v>
      </c>
      <c r="AX2236" s="551" t="s">
        <v>7110</v>
      </c>
      <c r="AY2236" s="549"/>
      <c r="AZ2236" s="551"/>
      <c r="BA2236" s="549"/>
      <c r="BB2236" s="551"/>
      <c r="BC2236" s="551"/>
      <c r="BD2236" s="549"/>
      <c r="BE2236" s="550"/>
      <c r="BF2236" s="549"/>
      <c r="BG2236" s="391">
        <f>SUM($AV$1389:AV2236)</f>
        <v>4919.6108375297354</v>
      </c>
      <c r="BH2236" s="392">
        <f>SUM($AU$1389:AU2236)</f>
        <v>55782.42383616398</v>
      </c>
      <c r="BI2236" s="318">
        <f>SUMIFS($AU$1388:AU2238,$Q$1388:Q2238,"F")</f>
        <v>30355.078121878127</v>
      </c>
      <c r="BJ2236" s="318">
        <f>SUMIFS($AU$1388:AU2238,$Q$1388:Q2238,"S")</f>
        <v>27810.285714285706</v>
      </c>
      <c r="BK2236" s="343">
        <f>SUMIFS($AU$1388:AU2238,$P$1388:P2238,"W")</f>
        <v>30504.143836164167</v>
      </c>
      <c r="BL2236" s="343">
        <f>SUMIFS($AU$1388:AU2238,$P$1388:P2238,"R")</f>
        <v>22608.400000000325</v>
      </c>
      <c r="BM2236" s="343">
        <f>SUMIFS($AU$1388:AU2238,$AQ$1388:AQ2238,"M")</f>
        <v>12669.179999998996</v>
      </c>
      <c r="BN2236" s="343">
        <f>SUMIFS($AU$1388:AU2238,$AQ$1388:AQ2238,"H")</f>
        <v>14363.200000001041</v>
      </c>
      <c r="BO2236" s="343">
        <f>SUMIFS($AU$1388:AU2238,$AQ$1388:AQ2238,"D")</f>
        <v>18114.377472527347</v>
      </c>
      <c r="BP2236" s="343">
        <f>SUMIFS($AS$1388:AS2704,$AO$1388:AO2704,"W")</f>
        <v>0</v>
      </c>
      <c r="BQ2236" s="343">
        <f>SUMIFS($AU$1388:AU2238,$Q$1388:Q2238,"O")</f>
        <v>-5006.9399999998313</v>
      </c>
      <c r="BR2236" s="343">
        <f>SUMIFS($AU$1388:AU2238,$AA$1388:AA2238,"*")</f>
        <v>46975.522077922004</v>
      </c>
      <c r="BS2236" s="343">
        <f>SUMIFS($AU$1388:AU2238,$AB$1388:AB2238,"*")</f>
        <v>8595.8599999999715</v>
      </c>
      <c r="BT2236" s="343">
        <f>SUMIFS($AU$1388:AU2238,$AC$1388:AC2238,"*")</f>
        <v>43283.078121878287</v>
      </c>
      <c r="BU2236" s="343">
        <f>SUMIFS($AU$1388:AU2238,$AA$1388:AA2238,"*",$AB$1388:AB2238,"*")</f>
        <v>7915.9999999997544</v>
      </c>
      <c r="BV2236" s="343">
        <f>SUMIFS($AU$1388:AU2238,$AA$1388:AA2238,"*",$AC$1388:AC2238,"*")</f>
        <v>35296.036363636529</v>
      </c>
      <c r="BW2236" s="343">
        <f>SUMIFS($AU$1388:AU2238,$AB$1388:AB2238,"*",$AC$1388:AC2238,"*")</f>
        <v>4983.9999999999991</v>
      </c>
      <c r="BX2236" s="343">
        <f>SUMIFS($AV$1388:AV2238,$Q$1388:Q2238,"F")</f>
        <v>389.44019562430162</v>
      </c>
      <c r="BY2236" s="343">
        <f>SUMIFS($AV$1388:AV2238,$Q$1388:Q2238,"S")</f>
        <v>836.61134190572739</v>
      </c>
      <c r="BZ2236" s="343">
        <f>SUMIFS($AV$1388:AV2238,$Q$1388:Q2238,"O")</f>
        <v>545.55929999969885</v>
      </c>
    </row>
    <row r="2237" spans="1:78" ht="15.75" customHeight="1">
      <c r="A2237" s="177" t="s">
        <v>6781</v>
      </c>
      <c r="B2237" s="200">
        <v>45464</v>
      </c>
      <c r="C2237" s="178" t="s">
        <v>1400</v>
      </c>
      <c r="D2237" s="178" t="s">
        <v>111</v>
      </c>
      <c r="E2237" s="227"/>
      <c r="F2237" s="180"/>
      <c r="G2237" s="481" t="s">
        <v>5025</v>
      </c>
      <c r="H2237" s="182"/>
      <c r="I2237" s="182"/>
      <c r="J2237" s="182"/>
      <c r="K2237" s="183"/>
      <c r="L2237" s="182"/>
      <c r="M2237" s="182">
        <v>1</v>
      </c>
      <c r="N2237" s="182"/>
      <c r="O2237" s="183" t="s">
        <v>5325</v>
      </c>
      <c r="P2237" s="183" t="s">
        <v>137</v>
      </c>
      <c r="Q2237" s="183"/>
      <c r="R2237" s="183">
        <v>1</v>
      </c>
      <c r="S2237" s="183">
        <v>0</v>
      </c>
      <c r="T2237" s="183">
        <v>1</v>
      </c>
      <c r="U2237" s="183" t="s">
        <v>97</v>
      </c>
      <c r="V2237" s="183"/>
      <c r="W2237" s="183"/>
      <c r="X2237" s="183"/>
      <c r="Y2237" s="184">
        <f>IF(ISBLANK(O2237),"",(IF(O2237=UPPER("IB"),0.005,0.01)))</f>
        <v>0.01</v>
      </c>
      <c r="Z2237" s="185">
        <f>IF(ISBLANK(O2237),"",IF(O2237="IB",8.63*200,IF(O2237="IR",16*100,IF(O2237="YT",20*100,IF(O2237="YT-XT",24*200,IF(O2237="TED",80*100,IF(O2237="IR|YT",300*100)))))))</f>
        <v>30000</v>
      </c>
      <c r="AA2237" s="185" t="s">
        <v>6470</v>
      </c>
      <c r="AB2237" s="185"/>
      <c r="AC2237" s="185"/>
      <c r="AD2237" s="649">
        <v>-0.24</v>
      </c>
      <c r="AE2237" s="182"/>
      <c r="AF2237" s="332"/>
      <c r="AG2237" s="182"/>
      <c r="AH2237" s="182"/>
      <c r="AI2237" s="182"/>
      <c r="AJ2237" s="640"/>
      <c r="AK2237" s="182"/>
      <c r="AL2237" s="496">
        <f t="shared" si="739"/>
        <v>-600</v>
      </c>
      <c r="AM2237" s="496">
        <f t="shared" si="741"/>
        <v>-600</v>
      </c>
      <c r="AN2237" s="626"/>
      <c r="AO2237" s="182"/>
      <c r="AP2237" s="182" t="s">
        <v>804</v>
      </c>
      <c r="AQ2237" s="332" t="s">
        <v>115</v>
      </c>
      <c r="AR2237" s="182" t="s">
        <v>1486</v>
      </c>
      <c r="AS2237" s="189">
        <v>-0.25</v>
      </c>
      <c r="AT2237" s="189">
        <f t="shared" si="731"/>
        <v>1.0000000000000009E-2</v>
      </c>
      <c r="AU2237" s="187">
        <f t="shared" si="732"/>
        <v>300.00000000000028</v>
      </c>
      <c r="AV2237" s="190">
        <f t="shared" si="740"/>
        <v>300.00000000000028</v>
      </c>
      <c r="AW2237" s="191" t="s">
        <v>96</v>
      </c>
      <c r="AX2237" s="551" t="s">
        <v>7111</v>
      </c>
      <c r="AY2237" s="551"/>
      <c r="AZ2237" s="551"/>
      <c r="BA2237" s="551"/>
      <c r="BB2237" s="551"/>
      <c r="BC2237" s="551"/>
      <c r="BD2237" s="549"/>
      <c r="BE2237" s="550"/>
      <c r="BF2237" s="549"/>
      <c r="BG2237" s="391">
        <f>SUM($AV$1389:AV2237)</f>
        <v>5219.6108375297354</v>
      </c>
      <c r="BH2237" s="392">
        <f>SUM($AU$1389:AU2237)</f>
        <v>56082.42383616398</v>
      </c>
      <c r="BI2237" s="318">
        <f>SUMIFS($AU$1388:AU2239,$Q$1388:Q2239,"F")</f>
        <v>30355.078121878127</v>
      </c>
      <c r="BJ2237" s="318">
        <f>SUMIFS($AU$1388:AU2239,$Q$1388:Q2239,"S")</f>
        <v>27810.285714285706</v>
      </c>
      <c r="BK2237" s="343">
        <f>SUMIFS($AU$1388:AU2239,$P$1388:P2239,"W")</f>
        <v>30504.143836164167</v>
      </c>
      <c r="BL2237" s="343">
        <f>SUMIFS($AU$1388:AU2239,$P$1388:P2239,"R")</f>
        <v>22608.400000000325</v>
      </c>
      <c r="BM2237" s="343">
        <f>SUMIFS($AU$1388:AU2239,$AQ$1388:AQ2239,"M")</f>
        <v>12669.179999998996</v>
      </c>
      <c r="BN2237" s="343">
        <f>SUMIFS($AU$1388:AU2239,$AQ$1388:AQ2239,"H")</f>
        <v>14363.200000001041</v>
      </c>
      <c r="BO2237" s="343">
        <f>SUMIFS($AU$1388:AU2239,$AQ$1388:AQ2239,"D")</f>
        <v>18114.377472527347</v>
      </c>
      <c r="BP2237" s="343">
        <f>SUMIFS($AS$1388:AS2705,$AO$1388:AO2705,"W")</f>
        <v>0</v>
      </c>
      <c r="BQ2237" s="343">
        <f>SUMIFS($AU$1388:AU2239,$Q$1388:Q2239,"O")</f>
        <v>-5006.9399999998313</v>
      </c>
      <c r="BR2237" s="343">
        <f>SUMIFS($AU$1388:AU2239,$AA$1388:AA2239,"*")</f>
        <v>46975.522077922004</v>
      </c>
      <c r="BS2237" s="343">
        <f>SUMIFS($AU$1388:AU2239,$AB$1388:AB2239,"*")</f>
        <v>8595.8599999999715</v>
      </c>
      <c r="BT2237" s="343">
        <f>SUMIFS($AU$1388:AU2239,$AC$1388:AC2239,"*")</f>
        <v>43283.078121878287</v>
      </c>
      <c r="BU2237" s="343">
        <f>SUMIFS($AU$1388:AU2239,$AA$1388:AA2239,"*",$AB$1388:AB2239,"*")</f>
        <v>7915.9999999997544</v>
      </c>
      <c r="BV2237" s="343">
        <f>SUMIFS($AU$1388:AU2239,$AA$1388:AA2239,"*",$AC$1388:AC2239,"*")</f>
        <v>35296.036363636529</v>
      </c>
      <c r="BW2237" s="343">
        <f>SUMIFS($AU$1388:AU2239,$AB$1388:AB2239,"*",$AC$1388:AC2239,"*")</f>
        <v>4983.9999999999991</v>
      </c>
      <c r="BX2237" s="343">
        <f>SUMIFS($AV$1388:AV2239,$Q$1388:Q2239,"F")</f>
        <v>389.44019562430162</v>
      </c>
      <c r="BY2237" s="343">
        <f>SUMIFS($AV$1388:AV2239,$Q$1388:Q2239,"S")</f>
        <v>836.61134190572739</v>
      </c>
      <c r="BZ2237" s="343">
        <f>SUMIFS($AV$1388:AV2239,$Q$1388:Q2239,"O")</f>
        <v>545.55929999969885</v>
      </c>
    </row>
    <row r="2238" spans="1:78" ht="15.75" customHeight="1">
      <c r="A2238" s="177" t="s">
        <v>6781</v>
      </c>
      <c r="B2238" s="200"/>
      <c r="C2238" s="178"/>
      <c r="D2238" s="178"/>
      <c r="E2238" s="227"/>
      <c r="F2238" s="180"/>
      <c r="G2238" s="181"/>
      <c r="H2238" s="182"/>
      <c r="I2238" s="182"/>
      <c r="J2238" s="182"/>
      <c r="K2238" s="183"/>
      <c r="L2238" s="182"/>
      <c r="M2238" s="182"/>
      <c r="N2238" s="182"/>
      <c r="O2238" s="183"/>
      <c r="P2238" s="183"/>
      <c r="Q2238" s="183"/>
      <c r="R2238" s="183"/>
      <c r="S2238" s="183"/>
      <c r="T2238" s="183"/>
      <c r="U2238" s="183"/>
      <c r="V2238" s="183"/>
      <c r="W2238" s="183"/>
      <c r="X2238" s="183"/>
      <c r="Y2238" s="184"/>
      <c r="Z2238" s="185"/>
      <c r="AA2238" s="185"/>
      <c r="AB2238" s="185"/>
      <c r="AC2238" s="185"/>
      <c r="AD2238" s="649"/>
      <c r="AE2238" s="182"/>
      <c r="AF2238" s="332"/>
      <c r="AG2238" s="182"/>
      <c r="AH2238" s="182"/>
      <c r="AI2238" s="182"/>
      <c r="AJ2238" s="640"/>
      <c r="AK2238" s="182"/>
      <c r="AL2238" s="496">
        <f t="shared" ref="AL2238:AL2266" si="742">-0.02*Z2238</f>
        <v>0</v>
      </c>
      <c r="AM2238" s="496">
        <f t="shared" si="741"/>
        <v>0</v>
      </c>
      <c r="AN2238" s="626"/>
      <c r="AO2238" s="182"/>
      <c r="AP2238" s="182"/>
      <c r="AQ2238" s="332" t="str">
        <f>UPPER(RIGHT(Journal_Live[[#This Row],[DURATION ]]))</f>
        <v/>
      </c>
      <c r="AR2238" s="182"/>
      <c r="AS2238" s="189"/>
      <c r="AT2238" s="189"/>
      <c r="AU2238" s="187"/>
      <c r="AV2238" s="190"/>
      <c r="AW2238" s="191"/>
      <c r="AX2238" s="551" t="s">
        <v>7112</v>
      </c>
      <c r="AY2238" s="549" t="s">
        <v>7113</v>
      </c>
      <c r="AZ2238" s="551" t="s">
        <v>7114</v>
      </c>
      <c r="BA2238" s="549" t="s">
        <v>7059</v>
      </c>
      <c r="BB2238" s="551"/>
      <c r="BC2238" s="551"/>
      <c r="BD2238" s="549"/>
      <c r="BE2238" s="550"/>
      <c r="BF2238" s="549"/>
      <c r="BG2238" s="391">
        <f>SUM($AV$1389:AV2238)</f>
        <v>5219.6108375297354</v>
      </c>
      <c r="BH2238" s="392">
        <f>SUM($AU$1389:AU2238)</f>
        <v>56082.42383616398</v>
      </c>
      <c r="BI2238" s="318">
        <f>SUMIFS($AU$1388:AU2256,$Q$1388:Q2256,"F")</f>
        <v>30355.078121878127</v>
      </c>
      <c r="BJ2238" s="318">
        <f>SUMIFS($AU$1388:AU2256,$Q$1388:Q2256,"S")</f>
        <v>19138.285714285706</v>
      </c>
      <c r="BK2238" s="343">
        <f>SUMIFS($AU$1388:AU2256,$P$1388:P2256,"W")</f>
        <v>19464.143836163403</v>
      </c>
      <c r="BL2238" s="343">
        <f>SUMIFS($AU$1388:AU2256,$P$1388:P2256,"R")</f>
        <v>22616.400000000325</v>
      </c>
      <c r="BM2238" s="343">
        <f>SUMIFS($AU$1388:AU2256,$AQ$1388:AQ2256,"M")</f>
        <v>8875.1799999983887</v>
      </c>
      <c r="BN2238" s="343">
        <f>SUMIFS($AU$1388:AU2256,$AQ$1388:AQ2256,"H")</f>
        <v>11643.200000000877</v>
      </c>
      <c r="BO2238" s="343">
        <f>SUMIFS($AU$1388:AU2256,$AQ$1388:AQ2256,"D")</f>
        <v>13122.377472527351</v>
      </c>
      <c r="BP2238" s="343">
        <f>SUMIFS($AS$1388:AS2706,$AO$1388:AO2706,"W")</f>
        <v>0</v>
      </c>
      <c r="BQ2238" s="343">
        <f>SUMIFS($AU$1388:AU2256,$Q$1388:Q2256,"O")</f>
        <v>-9340.9400000006026</v>
      </c>
      <c r="BR2238" s="343">
        <f>SUMIFS($AU$1388:AU2256,$AA$1388:AA2256,"*")</f>
        <v>37881.5220779214</v>
      </c>
      <c r="BS2238" s="343">
        <f>SUMIFS($AU$1388:AU2256,$AB$1388:AB2256,"*")</f>
        <v>8595.8599999999715</v>
      </c>
      <c r="BT2238" s="343">
        <f>SUMIFS($AU$1388:AU2256,$AC$1388:AC2256,"*")</f>
        <v>35571.078121878119</v>
      </c>
      <c r="BU2238" s="343">
        <f>SUMIFS($AU$1388:AU2256,$AA$1388:AA2256,"*",$AB$1388:AB2256,"*")</f>
        <v>7915.9999999997544</v>
      </c>
      <c r="BV2238" s="343">
        <f>SUMIFS($AU$1388:AU2256,$AA$1388:AA2256,"*",$AC$1388:AC2256,"*")</f>
        <v>29696.036363636529</v>
      </c>
      <c r="BW2238" s="343">
        <f>SUMIFS($AU$1388:AU2256,$AB$1388:AB2256,"*",$AC$1388:AC2256,"*")</f>
        <v>4983.9999999999991</v>
      </c>
      <c r="BX2238" s="343">
        <f>SUMIFS($AV$1388:AV2256,$Q$1388:Q2256,"F")</f>
        <v>389.44019562430162</v>
      </c>
      <c r="BY2238" s="343">
        <f>SUMIFS($AV$1388:AV2256,$Q$1388:Q2256,"S")</f>
        <v>692.61134190572739</v>
      </c>
      <c r="BZ2238" s="343">
        <f>SUMIFS($AV$1388:AV2256,$Q$1388:Q2256,"O")</f>
        <v>378.55929999967736</v>
      </c>
    </row>
    <row r="2239" spans="1:78" ht="15.75" customHeight="1">
      <c r="A2239" s="177" t="s">
        <v>6781</v>
      </c>
      <c r="B2239" s="200"/>
      <c r="C2239" s="178"/>
      <c r="D2239" s="178"/>
      <c r="E2239" s="227"/>
      <c r="F2239" s="180"/>
      <c r="G2239" s="181"/>
      <c r="H2239" s="182"/>
      <c r="I2239" s="182"/>
      <c r="J2239" s="182"/>
      <c r="K2239" s="183"/>
      <c r="L2239" s="182"/>
      <c r="M2239" s="182"/>
      <c r="N2239" s="182"/>
      <c r="O2239" s="183"/>
      <c r="P2239" s="183"/>
      <c r="Q2239" s="183"/>
      <c r="R2239" s="183"/>
      <c r="S2239" s="183"/>
      <c r="T2239" s="183"/>
      <c r="U2239" s="183"/>
      <c r="V2239" s="183"/>
      <c r="W2239" s="183"/>
      <c r="X2239" s="183"/>
      <c r="Y2239" s="184"/>
      <c r="Z2239" s="185"/>
      <c r="AA2239" s="185"/>
      <c r="AB2239" s="185"/>
      <c r="AC2239" s="185"/>
      <c r="AD2239" s="649"/>
      <c r="AE2239" s="182"/>
      <c r="AF2239" s="332"/>
      <c r="AG2239" s="182"/>
      <c r="AH2239" s="182"/>
      <c r="AI2239" s="182"/>
      <c r="AJ2239" s="640"/>
      <c r="AK2239" s="182"/>
      <c r="AL2239" s="496">
        <f t="shared" si="742"/>
        <v>0</v>
      </c>
      <c r="AM2239" s="496">
        <f t="shared" si="741"/>
        <v>0</v>
      </c>
      <c r="AN2239" s="626"/>
      <c r="AO2239" s="182"/>
      <c r="AP2239" s="182"/>
      <c r="AQ2239" s="332" t="str">
        <f>UPPER(RIGHT(Journal_Live[[#This Row],[DURATION ]]))</f>
        <v/>
      </c>
      <c r="AR2239" s="182"/>
      <c r="AS2239" s="189"/>
      <c r="AT2239" s="189"/>
      <c r="AU2239" s="187"/>
      <c r="AV2239" s="190"/>
      <c r="AW2239" s="191"/>
      <c r="AX2239" s="551" t="s">
        <v>7115</v>
      </c>
      <c r="AY2239" s="551" t="s">
        <v>7116</v>
      </c>
      <c r="AZ2239" s="551" t="s">
        <v>7117</v>
      </c>
      <c r="BA2239" s="551"/>
      <c r="BB2239" s="551"/>
      <c r="BC2239" s="551"/>
      <c r="BD2239" s="549"/>
      <c r="BE2239" s="550"/>
      <c r="BF2239" s="549"/>
      <c r="BG2239" s="391">
        <f>SUM($AV$1389:AV2239)</f>
        <v>5219.6108375297354</v>
      </c>
      <c r="BH2239" s="392">
        <f>SUM($AU$1389:AU2239)</f>
        <v>56082.42383616398</v>
      </c>
      <c r="BI2239" s="318">
        <f>SUMIFS($AU$1388:AU2267,$Q$1388:Q2267,"F")</f>
        <v>29235.078121878127</v>
      </c>
      <c r="BJ2239" s="318">
        <f>SUMIFS($AU$1388:AU2267,$Q$1388:Q2267,"S")</f>
        <v>17938.285714285706</v>
      </c>
      <c r="BK2239" s="343">
        <f>SUMIFS($AU$1388:AU2267,$P$1388:P2267,"W")</f>
        <v>17144.143836163403</v>
      </c>
      <c r="BL2239" s="343">
        <f>SUMIFS($AU$1388:AU2267,$P$1388:P2267,"R")</f>
        <v>22616.400000000325</v>
      </c>
      <c r="BM2239" s="343">
        <f>SUMIFS($AU$1388:AU2267,$AQ$1388:AQ2267,"M")</f>
        <v>8875.1799999983887</v>
      </c>
      <c r="BN2239" s="343">
        <f>SUMIFS($AU$1388:AU2267,$AQ$1388:AQ2267,"H")</f>
        <v>11643.200000000877</v>
      </c>
      <c r="BO2239" s="343">
        <f>SUMIFS($AU$1388:AU2267,$AQ$1388:AQ2267,"D")</f>
        <v>13122.377472527351</v>
      </c>
      <c r="BP2239" s="343">
        <f>SUMIFS($AS$1388:AS2707,$AO$1388:AO2707,"W")</f>
        <v>0</v>
      </c>
      <c r="BQ2239" s="343">
        <f>SUMIFS($AU$1388:AU2267,$Q$1388:Q2267,"O")</f>
        <v>-9340.9400000006026</v>
      </c>
      <c r="BR2239" s="343">
        <f>SUMIFS($AU$1388:AU2267,$AA$1388:AA2267,"*")</f>
        <v>37881.5220779214</v>
      </c>
      <c r="BS2239" s="343">
        <f>SUMIFS($AU$1388:AU2267,$AB$1388:AB2267,"*")</f>
        <v>7475.8599999999715</v>
      </c>
      <c r="BT2239" s="343">
        <f>SUMIFS($AU$1388:AU2267,$AC$1388:AC2267,"*")</f>
        <v>33251.078121878119</v>
      </c>
      <c r="BU2239" s="343">
        <f>SUMIFS($AU$1388:AU2267,$AA$1388:AA2267,"*",$AB$1388:AB2267,"*")</f>
        <v>7915.9999999997544</v>
      </c>
      <c r="BV2239" s="343">
        <f>SUMIFS($AU$1388:AU2267,$AA$1388:AA2267,"*",$AC$1388:AC2267,"*")</f>
        <v>29696.036363636529</v>
      </c>
      <c r="BW2239" s="343">
        <f>SUMIFS($AU$1388:AU2267,$AB$1388:AB2267,"*",$AC$1388:AC2267,"*")</f>
        <v>3863.9999999999991</v>
      </c>
      <c r="BX2239" s="343">
        <f>SUMIFS($AV$1388:AV2267,$Q$1388:Q2267,"F")</f>
        <v>383.04019562430165</v>
      </c>
      <c r="BY2239" s="343">
        <f>SUMIFS($AV$1388:AV2267,$Q$1388:Q2267,"S")</f>
        <v>676.61134190572739</v>
      </c>
      <c r="BZ2239" s="343">
        <f>SUMIFS($AV$1388:AV2267,$Q$1388:Q2267,"O")</f>
        <v>378.55929999967736</v>
      </c>
    </row>
    <row r="2240" spans="1:78" ht="15.75" customHeight="1">
      <c r="A2240" s="177" t="s">
        <v>6781</v>
      </c>
      <c r="B2240" s="200"/>
      <c r="C2240" s="178"/>
      <c r="D2240" s="178"/>
      <c r="E2240" s="227"/>
      <c r="F2240" s="180"/>
      <c r="G2240" s="181"/>
      <c r="H2240" s="182"/>
      <c r="I2240" s="182"/>
      <c r="J2240" s="182"/>
      <c r="K2240" s="183"/>
      <c r="L2240" s="182"/>
      <c r="M2240" s="182"/>
      <c r="N2240" s="182"/>
      <c r="O2240" s="183"/>
      <c r="P2240" s="183"/>
      <c r="Q2240" s="183"/>
      <c r="R2240" s="183"/>
      <c r="S2240" s="183"/>
      <c r="T2240" s="183"/>
      <c r="U2240" s="183"/>
      <c r="V2240" s="183"/>
      <c r="W2240" s="183"/>
      <c r="X2240" s="183"/>
      <c r="Y2240" s="184"/>
      <c r="Z2240" s="185"/>
      <c r="AA2240" s="185"/>
      <c r="AB2240" s="185"/>
      <c r="AC2240" s="185"/>
      <c r="AD2240" s="649"/>
      <c r="AE2240" s="182"/>
      <c r="AF2240" s="332"/>
      <c r="AG2240" s="182"/>
      <c r="AH2240" s="182"/>
      <c r="AI2240" s="182"/>
      <c r="AJ2240" s="640"/>
      <c r="AK2240" s="182"/>
      <c r="AL2240" s="496">
        <f t="shared" ref="AL2240:AL2253" si="743">-0.02*Z2240</f>
        <v>0</v>
      </c>
      <c r="AM2240" s="496">
        <f t="shared" si="741"/>
        <v>0</v>
      </c>
      <c r="AN2240" s="626"/>
      <c r="AO2240" s="182"/>
      <c r="AP2240" s="182"/>
      <c r="AQ2240" s="332" t="str">
        <f>UPPER(RIGHT(Journal_Live[[#This Row],[DURATION ]]))</f>
        <v/>
      </c>
      <c r="AR2240" s="182"/>
      <c r="AS2240" s="189"/>
      <c r="AT2240" s="189"/>
      <c r="AU2240" s="187"/>
      <c r="AV2240" s="190"/>
      <c r="AW2240" s="191"/>
      <c r="AX2240" s="551" t="s">
        <v>7118</v>
      </c>
      <c r="AY2240" s="551" t="s">
        <v>6201</v>
      </c>
      <c r="AZ2240" s="551" t="s">
        <v>6150</v>
      </c>
      <c r="BA2240" s="551"/>
      <c r="BB2240" s="551"/>
      <c r="BC2240" s="551"/>
      <c r="BD2240" s="549"/>
      <c r="BE2240" s="550"/>
      <c r="BF2240" s="549"/>
      <c r="BG2240" s="391">
        <f>SUM($AV$1389:AV2240)</f>
        <v>5219.6108375297354</v>
      </c>
      <c r="BH2240" s="392">
        <f>SUM($AU$1389:AU2240)</f>
        <v>56082.42383616398</v>
      </c>
      <c r="BI2240" s="318">
        <f>SUMIFS($AU$1388:AU2242,$Q$1388:Q2242,"F")</f>
        <v>30355.078121878127</v>
      </c>
      <c r="BJ2240" s="318">
        <f>SUMIFS($AU$1388:AU2242,$Q$1388:Q2242,"S")</f>
        <v>27810.285714285706</v>
      </c>
      <c r="BK2240" s="343">
        <f>SUMIFS($AU$1388:AU2242,$P$1388:P2242,"W")</f>
        <v>30504.143836164167</v>
      </c>
      <c r="BL2240" s="343">
        <f>SUMIFS($AU$1388:AU2242,$P$1388:P2242,"R")</f>
        <v>22608.400000000325</v>
      </c>
      <c r="BM2240" s="343">
        <f>SUMIFS($AU$1388:AU2242,$AQ$1388:AQ2242,"M")</f>
        <v>12669.179999998996</v>
      </c>
      <c r="BN2240" s="343">
        <f>SUMIFS($AU$1388:AU2242,$AQ$1388:AQ2242,"H")</f>
        <v>14363.200000001041</v>
      </c>
      <c r="BO2240" s="343">
        <f>SUMIFS($AU$1388:AU2242,$AQ$1388:AQ2242,"D")</f>
        <v>18114.377472527347</v>
      </c>
      <c r="BP2240" s="343">
        <f>SUMIFS($AS$1388:AS2704,$AO$1388:AO2704,"W")</f>
        <v>0</v>
      </c>
      <c r="BQ2240" s="343">
        <f>SUMIFS($AU$1388:AU2242,$Q$1388:Q2242,"O")</f>
        <v>-5006.9399999998313</v>
      </c>
      <c r="BR2240" s="343">
        <f>SUMIFS($AU$1388:AU2242,$AA$1388:AA2242,"*")</f>
        <v>46975.522077922004</v>
      </c>
      <c r="BS2240" s="343">
        <f>SUMIFS($AU$1388:AU2242,$AB$1388:AB2242,"*")</f>
        <v>8595.8599999999715</v>
      </c>
      <c r="BT2240" s="343">
        <f>SUMIFS($AU$1388:AU2242,$AC$1388:AC2242,"*")</f>
        <v>43283.078121878287</v>
      </c>
      <c r="BU2240" s="343">
        <f>SUMIFS($AU$1388:AU2242,$AA$1388:AA2242,"*",$AB$1388:AB2242,"*")</f>
        <v>7915.9999999997544</v>
      </c>
      <c r="BV2240" s="343">
        <f>SUMIFS($AU$1388:AU2242,$AA$1388:AA2242,"*",$AC$1388:AC2242,"*")</f>
        <v>35296.036363636529</v>
      </c>
      <c r="BW2240" s="343">
        <f>SUMIFS($AU$1388:AU2242,$AB$1388:AB2242,"*",$AC$1388:AC2242,"*")</f>
        <v>4983.9999999999991</v>
      </c>
      <c r="BX2240" s="343">
        <f>SUMIFS($AV$1388:AV2242,$Q$1388:Q2242,"F")</f>
        <v>389.44019562430162</v>
      </c>
      <c r="BY2240" s="343">
        <f>SUMIFS($AV$1388:AV2242,$Q$1388:Q2242,"S")</f>
        <v>836.61134190572739</v>
      </c>
      <c r="BZ2240" s="343">
        <f>SUMIFS($AV$1388:AV2242,$Q$1388:Q2242,"O")</f>
        <v>545.55929999969885</v>
      </c>
    </row>
    <row r="2241" spans="1:78" ht="15.75" customHeight="1">
      <c r="A2241" s="177" t="s">
        <v>6781</v>
      </c>
      <c r="B2241" s="200">
        <v>45468</v>
      </c>
      <c r="C2241" s="178" t="s">
        <v>1629</v>
      </c>
      <c r="D2241" s="178" t="s">
        <v>146</v>
      </c>
      <c r="E2241" s="227"/>
      <c r="F2241" s="180"/>
      <c r="G2241" s="481" t="s">
        <v>2016</v>
      </c>
      <c r="H2241" s="182"/>
      <c r="I2241" s="182"/>
      <c r="J2241" s="182"/>
      <c r="K2241" s="183"/>
      <c r="L2241" s="182"/>
      <c r="M2241" s="182">
        <v>1</v>
      </c>
      <c r="N2241" s="182"/>
      <c r="O2241" s="183" t="s">
        <v>95</v>
      </c>
      <c r="P2241" s="183" t="s">
        <v>96</v>
      </c>
      <c r="Q2241" s="183" t="s">
        <v>97</v>
      </c>
      <c r="R2241" s="183">
        <v>30</v>
      </c>
      <c r="S2241" s="183">
        <v>0</v>
      </c>
      <c r="T2241" s="183">
        <v>50</v>
      </c>
      <c r="U2241" s="183" t="s">
        <v>97</v>
      </c>
      <c r="V2241" s="183"/>
      <c r="W2241" s="183"/>
      <c r="X2241" s="183"/>
      <c r="Y2241" s="184">
        <f>IF(ISBLANK(O2241),"",(IF(O2241=UPPER("IB"),0.005,0.01)))</f>
        <v>0.01</v>
      </c>
      <c r="Z2241" s="185">
        <f>IF(ISBLANK(O2241),"",IF(O2241="IB",8.63*200,IF(O2241="IR",16*100,IF(O2241="YT",20*100,IF(O2241="YT-XT",24*200,IF(O2241="TED",80*100,IF(O2241="IR|YT",300*100)))))))</f>
        <v>1600</v>
      </c>
      <c r="AA2241" s="185"/>
      <c r="AB2241" s="185"/>
      <c r="AC2241" s="185" t="s">
        <v>5058</v>
      </c>
      <c r="AD2241" s="649">
        <f>-0.05</f>
        <v>-0.05</v>
      </c>
      <c r="AE2241" s="182"/>
      <c r="AF2241" s="332"/>
      <c r="AG2241" s="182"/>
      <c r="AH2241" s="182"/>
      <c r="AI2241" s="182"/>
      <c r="AJ2241" s="640"/>
      <c r="AK2241" s="182"/>
      <c r="AL2241" s="496">
        <f t="shared" si="743"/>
        <v>-32</v>
      </c>
      <c r="AM2241" s="496">
        <f t="shared" si="741"/>
        <v>-960</v>
      </c>
      <c r="AN2241" s="626"/>
      <c r="AO2241" s="182"/>
      <c r="AP2241" s="182" t="s">
        <v>804</v>
      </c>
      <c r="AQ2241" s="332" t="s">
        <v>115</v>
      </c>
      <c r="AR2241" s="182"/>
      <c r="AS2241" s="189">
        <v>-0.05</v>
      </c>
      <c r="AT2241" s="189">
        <f t="shared" ref="AT2241:AT2262" si="744">IF(ISBLANK(AS2241),,IF(U2241="S",AD2241-AS2241,AS2241-AD2241))</f>
        <v>0</v>
      </c>
      <c r="AU2241" s="187">
        <f t="shared" ref="AU2241:AU2262" si="745">AV2241*R2241</f>
        <v>0</v>
      </c>
      <c r="AV2241" s="190">
        <f t="shared" ref="AV2241:AV2255" si="746">IF(ISBLANK(AS2241),,(AT2241*Z2241))</f>
        <v>0</v>
      </c>
      <c r="AW2241" s="191" t="s">
        <v>115</v>
      </c>
      <c r="AX2241" s="551" t="s">
        <v>7119</v>
      </c>
      <c r="AY2241" s="551"/>
      <c r="AZ2241" s="551"/>
      <c r="BA2241" s="551"/>
      <c r="BB2241" s="551"/>
      <c r="BC2241" s="551"/>
      <c r="BD2241" s="549"/>
      <c r="BE2241" s="550"/>
      <c r="BF2241" s="549"/>
      <c r="BG2241" s="391">
        <f>SUM($AV$1389:AV2241)</f>
        <v>5219.6108375297354</v>
      </c>
      <c r="BH2241" s="392">
        <f>SUM($AU$1389:AU2241)</f>
        <v>56082.42383616398</v>
      </c>
      <c r="BI2241" s="318">
        <f>SUMIFS($AU$1388:AU2243,$Q$1388:Q2243,"F")</f>
        <v>30355.078121878127</v>
      </c>
      <c r="BJ2241" s="318">
        <f>SUMIFS($AU$1388:AU2243,$Q$1388:Q2243,"S")</f>
        <v>27810.285714285706</v>
      </c>
      <c r="BK2241" s="343">
        <f>SUMIFS($AU$1388:AU2243,$P$1388:P2243,"W")</f>
        <v>30184.143836164003</v>
      </c>
      <c r="BL2241" s="343">
        <f>SUMIFS($AU$1388:AU2243,$P$1388:P2243,"R")</f>
        <v>22608.400000000325</v>
      </c>
      <c r="BM2241" s="343">
        <f>SUMIFS($AU$1388:AU2243,$AQ$1388:AQ2243,"M")</f>
        <v>12669.179999998996</v>
      </c>
      <c r="BN2241" s="343">
        <f>SUMIFS($AU$1388:AU2243,$AQ$1388:AQ2243,"H")</f>
        <v>14043.200000000877</v>
      </c>
      <c r="BO2241" s="343">
        <f>SUMIFS($AU$1388:AU2243,$AQ$1388:AQ2243,"D")</f>
        <v>18114.377472527347</v>
      </c>
      <c r="BP2241" s="343">
        <f>SUMIFS($AS$1388:AS2705,$AO$1388:AO2705,"W")</f>
        <v>0</v>
      </c>
      <c r="BQ2241" s="343">
        <f>SUMIFS($AU$1388:AU2243,$Q$1388:Q2243,"O")</f>
        <v>-5326.9399999999951</v>
      </c>
      <c r="BR2241" s="343">
        <f>SUMIFS($AU$1388:AU2243,$AA$1388:AA2243,"*")</f>
        <v>46975.522077922004</v>
      </c>
      <c r="BS2241" s="343">
        <f>SUMIFS($AU$1388:AU2243,$AB$1388:AB2243,"*")</f>
        <v>8595.8599999999715</v>
      </c>
      <c r="BT2241" s="343">
        <f>SUMIFS($AU$1388:AU2243,$AC$1388:AC2243,"*")</f>
        <v>42963.078121878119</v>
      </c>
      <c r="BU2241" s="343">
        <f>SUMIFS($AU$1388:AU2243,$AA$1388:AA2243,"*",$AB$1388:AB2243,"*")</f>
        <v>7915.9999999997544</v>
      </c>
      <c r="BV2241" s="343">
        <f>SUMIFS($AU$1388:AU2243,$AA$1388:AA2243,"*",$AC$1388:AC2243,"*")</f>
        <v>35296.036363636529</v>
      </c>
      <c r="BW2241" s="343">
        <f>SUMIFS($AU$1388:AU2243,$AB$1388:AB2243,"*",$AC$1388:AC2243,"*")</f>
        <v>4983.9999999999991</v>
      </c>
      <c r="BX2241" s="343">
        <f>SUMIFS($AV$1388:AV2243,$Q$1388:Q2243,"F")</f>
        <v>389.44019562430162</v>
      </c>
      <c r="BY2241" s="343">
        <f>SUMIFS($AV$1388:AV2243,$Q$1388:Q2243,"S")</f>
        <v>836.61134190572739</v>
      </c>
      <c r="BZ2241" s="343">
        <f>SUMIFS($AV$1388:AV2243,$Q$1388:Q2243,"O")</f>
        <v>529.55929999969067</v>
      </c>
    </row>
    <row r="2242" spans="1:78" ht="15.75" customHeight="1">
      <c r="A2242" s="177" t="s">
        <v>6781</v>
      </c>
      <c r="B2242" s="200">
        <v>45468</v>
      </c>
      <c r="C2242" s="178" t="s">
        <v>3368</v>
      </c>
      <c r="D2242" s="178" t="s">
        <v>146</v>
      </c>
      <c r="E2242" s="227"/>
      <c r="F2242" s="180"/>
      <c r="G2242" s="181" t="s">
        <v>1694</v>
      </c>
      <c r="H2242" s="182"/>
      <c r="I2242" s="182"/>
      <c r="J2242" s="182"/>
      <c r="K2242" s="183"/>
      <c r="L2242" s="182"/>
      <c r="M2242" s="182">
        <v>1</v>
      </c>
      <c r="N2242" s="182"/>
      <c r="O2242" s="183" t="s">
        <v>95</v>
      </c>
      <c r="P2242" s="183" t="s">
        <v>96</v>
      </c>
      <c r="Q2242" s="183" t="s">
        <v>684</v>
      </c>
      <c r="R2242" s="183">
        <v>20</v>
      </c>
      <c r="S2242" s="183">
        <v>0</v>
      </c>
      <c r="T2242" s="183">
        <v>20</v>
      </c>
      <c r="U2242" s="183" t="s">
        <v>97</v>
      </c>
      <c r="V2242" s="183"/>
      <c r="W2242" s="183"/>
      <c r="X2242" s="183"/>
      <c r="Y2242" s="184">
        <f>IF(ISBLANK(O2242),"",(IF(O2242=UPPER("IB"),0.005,0.01)))</f>
        <v>0.01</v>
      </c>
      <c r="Z2242" s="185">
        <f>IF(ISBLANK(O2242),"",IF(O2242="IB",8.63*200,IF(O2242="IR",16*100,IF(O2242="YT",20*100,IF(O2242="YT-XT",24*200,IF(O2242="TED",80*100,IF(O2242="IR|YT",300*100)))))))</f>
        <v>1600</v>
      </c>
      <c r="AA2242" s="185"/>
      <c r="AB2242" s="185"/>
      <c r="AC2242" s="185" t="s">
        <v>7120</v>
      </c>
      <c r="AD2242" s="649">
        <v>95.65</v>
      </c>
      <c r="AE2242" s="182"/>
      <c r="AF2242" s="332"/>
      <c r="AG2242" s="182"/>
      <c r="AH2242" s="182"/>
      <c r="AI2242" s="182"/>
      <c r="AJ2242" s="640"/>
      <c r="AK2242" s="182"/>
      <c r="AL2242" s="496">
        <f t="shared" si="743"/>
        <v>-32</v>
      </c>
      <c r="AM2242" s="496">
        <f t="shared" si="741"/>
        <v>-640</v>
      </c>
      <c r="AN2242" s="626"/>
      <c r="AO2242" s="182"/>
      <c r="AP2242" s="182"/>
      <c r="AQ2242" s="332" t="s">
        <v>372</v>
      </c>
      <c r="AR2242" s="182" t="s">
        <v>7121</v>
      </c>
      <c r="AS2242" s="189">
        <v>95.65</v>
      </c>
      <c r="AT2242" s="189">
        <f t="shared" si="744"/>
        <v>0</v>
      </c>
      <c r="AU2242" s="187">
        <f t="shared" si="745"/>
        <v>0</v>
      </c>
      <c r="AV2242" s="190">
        <f t="shared" si="746"/>
        <v>0</v>
      </c>
      <c r="AW2242" s="191" t="s">
        <v>115</v>
      </c>
      <c r="AX2242" s="551"/>
      <c r="AY2242" s="551"/>
      <c r="AZ2242" s="551"/>
      <c r="BA2242" s="551"/>
      <c r="BB2242" s="551"/>
      <c r="BC2242" s="551"/>
      <c r="BD2242" s="549"/>
      <c r="BE2242" s="550"/>
      <c r="BF2242" s="549"/>
      <c r="BG2242" s="391">
        <f>SUM($AV$1389:AV2242)</f>
        <v>5219.6108375297354</v>
      </c>
      <c r="BH2242" s="392">
        <f>SUM($AU$1389:AU2242)</f>
        <v>56082.42383616398</v>
      </c>
      <c r="BI2242" s="318">
        <f>SUMIFS($AU$1388:AU2256,$Q$1388:Q2256,"F")</f>
        <v>30355.078121878127</v>
      </c>
      <c r="BJ2242" s="318">
        <f>SUMIFS($AU$1388:AU2256,$Q$1388:Q2256,"S")</f>
        <v>19138.285714285706</v>
      </c>
      <c r="BK2242" s="343">
        <f>SUMIFS($AU$1388:AU2256,$P$1388:P2256,"W")</f>
        <v>19464.143836163403</v>
      </c>
      <c r="BL2242" s="343">
        <f>SUMIFS($AU$1388:AU2256,$P$1388:P2256,"R")</f>
        <v>22616.400000000325</v>
      </c>
      <c r="BM2242" s="343">
        <f>SUMIFS($AU$1388:AU2256,$AQ$1388:AQ2256,"M")</f>
        <v>8875.1799999983887</v>
      </c>
      <c r="BN2242" s="343">
        <f>SUMIFS($AU$1388:AU2256,$AQ$1388:AQ2256,"H")</f>
        <v>11643.200000000877</v>
      </c>
      <c r="BO2242" s="343">
        <f>SUMIFS($AU$1388:AU2256,$AQ$1388:AQ2256,"D")</f>
        <v>13122.377472527351</v>
      </c>
      <c r="BP2242" s="343">
        <f>SUMIFS($AS$1388:AS2706,$AO$1388:AO2706,"W")</f>
        <v>0</v>
      </c>
      <c r="BQ2242" s="343">
        <f>SUMIFS($AU$1388:AU2256,$Q$1388:Q2256,"O")</f>
        <v>-9340.9400000006026</v>
      </c>
      <c r="BR2242" s="343">
        <f>SUMIFS($AU$1388:AU2256,$AA$1388:AA2256,"*")</f>
        <v>37881.5220779214</v>
      </c>
      <c r="BS2242" s="343">
        <f>SUMIFS($AU$1388:AU2256,$AB$1388:AB2256,"*")</f>
        <v>8595.8599999999715</v>
      </c>
      <c r="BT2242" s="343">
        <f>SUMIFS($AU$1388:AU2256,$AC$1388:AC2256,"*")</f>
        <v>35571.078121878119</v>
      </c>
      <c r="BU2242" s="343">
        <f>SUMIFS($AU$1388:AU2256,$AA$1388:AA2256,"*",$AB$1388:AB2256,"*")</f>
        <v>7915.9999999997544</v>
      </c>
      <c r="BV2242" s="343">
        <f>SUMIFS($AU$1388:AU2256,$AA$1388:AA2256,"*",$AC$1388:AC2256,"*")</f>
        <v>29696.036363636529</v>
      </c>
      <c r="BW2242" s="343">
        <f>SUMIFS($AU$1388:AU2256,$AB$1388:AB2256,"*",$AC$1388:AC2256,"*")</f>
        <v>4983.9999999999991</v>
      </c>
      <c r="BX2242" s="343">
        <f>SUMIFS($AV$1388:AV2256,$Q$1388:Q2256,"F")</f>
        <v>389.44019562430162</v>
      </c>
      <c r="BY2242" s="343">
        <f>SUMIFS($AV$1388:AV2256,$Q$1388:Q2256,"S")</f>
        <v>692.61134190572739</v>
      </c>
      <c r="BZ2242" s="343">
        <f>SUMIFS($AV$1388:AV2256,$Q$1388:Q2256,"O")</f>
        <v>378.55929999967736</v>
      </c>
    </row>
    <row r="2243" spans="1:78" ht="15.75" customHeight="1">
      <c r="A2243" s="177" t="s">
        <v>6781</v>
      </c>
      <c r="B2243" s="200">
        <v>45468</v>
      </c>
      <c r="C2243" s="178" t="s">
        <v>3368</v>
      </c>
      <c r="D2243" s="178" t="s">
        <v>146</v>
      </c>
      <c r="E2243" s="227"/>
      <c r="F2243" s="180"/>
      <c r="G2243" s="481" t="s">
        <v>1694</v>
      </c>
      <c r="H2243" s="182"/>
      <c r="I2243" s="182"/>
      <c r="J2243" s="182"/>
      <c r="K2243" s="183"/>
      <c r="L2243" s="182"/>
      <c r="M2243" s="182">
        <v>1</v>
      </c>
      <c r="N2243" s="182"/>
      <c r="O2243" s="183" t="s">
        <v>95</v>
      </c>
      <c r="P2243" s="183" t="s">
        <v>96</v>
      </c>
      <c r="Q2243" s="183" t="s">
        <v>684</v>
      </c>
      <c r="R2243" s="183">
        <v>20</v>
      </c>
      <c r="S2243" s="183">
        <v>0</v>
      </c>
      <c r="T2243" s="183">
        <v>20</v>
      </c>
      <c r="U2243" s="183" t="s">
        <v>97</v>
      </c>
      <c r="V2243" s="183"/>
      <c r="W2243" s="183"/>
      <c r="X2243" s="183"/>
      <c r="Y2243" s="184">
        <f>IF(ISBLANK(O2243),"",(IF(O2243=UPPER("IB"),0.005,0.01)))</f>
        <v>0.01</v>
      </c>
      <c r="Z2243" s="185">
        <f>IF(ISBLANK(O2243),"",IF(O2243="IB",8.63*200,IF(O2243="IR",16*100,IF(O2243="YT",20*100,IF(O2243="YT-XT",24*200,IF(O2243="TED",80*100,IF(O2243="IR|YT",300*100)))))))</f>
        <v>1600</v>
      </c>
      <c r="AA2243" s="185"/>
      <c r="AB2243" s="185"/>
      <c r="AC2243" s="185" t="s">
        <v>7120</v>
      </c>
      <c r="AD2243" s="649">
        <v>95.64</v>
      </c>
      <c r="AE2243" s="182"/>
      <c r="AF2243" s="332"/>
      <c r="AG2243" s="182"/>
      <c r="AH2243" s="182"/>
      <c r="AI2243" s="182"/>
      <c r="AJ2243" s="640"/>
      <c r="AK2243" s="182"/>
      <c r="AL2243" s="496">
        <f t="shared" si="743"/>
        <v>-32</v>
      </c>
      <c r="AM2243" s="496">
        <f t="shared" si="741"/>
        <v>-640</v>
      </c>
      <c r="AN2243" s="626"/>
      <c r="AO2243" s="182"/>
      <c r="AP2243" s="182"/>
      <c r="AQ2243" s="332" t="s">
        <v>372</v>
      </c>
      <c r="AR2243" s="182" t="s">
        <v>7121</v>
      </c>
      <c r="AS2243" s="189">
        <v>95.65</v>
      </c>
      <c r="AT2243" s="189">
        <f t="shared" si="744"/>
        <v>-1.0000000000005116E-2</v>
      </c>
      <c r="AU2243" s="187">
        <f t="shared" si="745"/>
        <v>-320.00000000016371</v>
      </c>
      <c r="AV2243" s="190">
        <f t="shared" si="746"/>
        <v>-16.000000000008185</v>
      </c>
      <c r="AW2243" s="191" t="s">
        <v>229</v>
      </c>
      <c r="AX2243" s="551"/>
      <c r="AY2243" s="551"/>
      <c r="AZ2243" s="551"/>
      <c r="BA2243" s="551"/>
      <c r="BB2243" s="551"/>
      <c r="BC2243" s="551"/>
      <c r="BD2243" s="549"/>
      <c r="BE2243" s="550"/>
      <c r="BF2243" s="549"/>
      <c r="BG2243" s="391">
        <f>SUM($AV$1389:AV2243)</f>
        <v>5203.6108375297272</v>
      </c>
      <c r="BH2243" s="392">
        <f>SUM($AU$1389:AU2243)</f>
        <v>55762.423836163813</v>
      </c>
      <c r="BI2243" s="318">
        <f>SUMIFS($AU$1388:AU2267,$Q$1388:Q2267,"F")</f>
        <v>29235.078121878127</v>
      </c>
      <c r="BJ2243" s="318">
        <f>SUMIFS($AU$1388:AU2267,$Q$1388:Q2267,"S")</f>
        <v>17938.285714285706</v>
      </c>
      <c r="BK2243" s="343">
        <f>SUMIFS($AU$1388:AU2267,$P$1388:P2267,"W")</f>
        <v>17144.143836163403</v>
      </c>
      <c r="BL2243" s="343">
        <f>SUMIFS($AU$1388:AU2267,$P$1388:P2267,"R")</f>
        <v>22616.400000000325</v>
      </c>
      <c r="BM2243" s="343">
        <f>SUMIFS($AU$1388:AU2267,$AQ$1388:AQ2267,"M")</f>
        <v>8875.1799999983887</v>
      </c>
      <c r="BN2243" s="343">
        <f>SUMIFS($AU$1388:AU2267,$AQ$1388:AQ2267,"H")</f>
        <v>11643.200000000877</v>
      </c>
      <c r="BO2243" s="343">
        <f>SUMIFS($AU$1388:AU2267,$AQ$1388:AQ2267,"D")</f>
        <v>13122.377472527351</v>
      </c>
      <c r="BP2243" s="343">
        <f>SUMIFS($AS$1388:AS2707,$AO$1388:AO2707,"W")</f>
        <v>0</v>
      </c>
      <c r="BQ2243" s="343">
        <f>SUMIFS($AU$1388:AU2267,$Q$1388:Q2267,"O")</f>
        <v>-9340.9400000006026</v>
      </c>
      <c r="BR2243" s="343">
        <f>SUMIFS($AU$1388:AU2267,$AA$1388:AA2267,"*")</f>
        <v>37881.5220779214</v>
      </c>
      <c r="BS2243" s="343">
        <f>SUMIFS($AU$1388:AU2267,$AB$1388:AB2267,"*")</f>
        <v>7475.8599999999715</v>
      </c>
      <c r="BT2243" s="343">
        <f>SUMIFS($AU$1388:AU2267,$AC$1388:AC2267,"*")</f>
        <v>33251.078121878119</v>
      </c>
      <c r="BU2243" s="343">
        <f>SUMIFS($AU$1388:AU2267,$AA$1388:AA2267,"*",$AB$1388:AB2267,"*")</f>
        <v>7915.9999999997544</v>
      </c>
      <c r="BV2243" s="343">
        <f>SUMIFS($AU$1388:AU2267,$AA$1388:AA2267,"*",$AC$1388:AC2267,"*")</f>
        <v>29696.036363636529</v>
      </c>
      <c r="BW2243" s="343">
        <f>SUMIFS($AU$1388:AU2267,$AB$1388:AB2267,"*",$AC$1388:AC2267,"*")</f>
        <v>3863.9999999999991</v>
      </c>
      <c r="BX2243" s="343">
        <f>SUMIFS($AV$1388:AV2267,$Q$1388:Q2267,"F")</f>
        <v>383.04019562430165</v>
      </c>
      <c r="BY2243" s="343">
        <f>SUMIFS($AV$1388:AV2267,$Q$1388:Q2267,"S")</f>
        <v>676.61134190572739</v>
      </c>
      <c r="BZ2243" s="343">
        <f>SUMIFS($AV$1388:AV2267,$Q$1388:Q2267,"O")</f>
        <v>378.55929999967736</v>
      </c>
    </row>
    <row r="2244" spans="1:78" ht="15.75" customHeight="1">
      <c r="A2244" s="177" t="s">
        <v>6781</v>
      </c>
      <c r="B2244" s="200">
        <v>45469</v>
      </c>
      <c r="C2244" s="178" t="s">
        <v>2081</v>
      </c>
      <c r="D2244" s="178" t="s">
        <v>151</v>
      </c>
      <c r="E2244" s="227" t="s">
        <v>7122</v>
      </c>
      <c r="F2244" s="180"/>
      <c r="G2244" s="181"/>
      <c r="H2244" s="182">
        <v>1</v>
      </c>
      <c r="I2244" s="182"/>
      <c r="J2244" s="182"/>
      <c r="K2244" s="183" t="s">
        <v>372</v>
      </c>
      <c r="L2244" s="182"/>
      <c r="M2244" s="182"/>
      <c r="N2244" s="182"/>
      <c r="O2244" s="183"/>
      <c r="P2244" s="183"/>
      <c r="Q2244" s="183"/>
      <c r="R2244" s="183"/>
      <c r="S2244" s="183"/>
      <c r="T2244" s="183"/>
      <c r="U2244" s="183"/>
      <c r="V2244" s="183"/>
      <c r="W2244" s="183"/>
      <c r="X2244" s="183"/>
      <c r="Y2244" s="183"/>
      <c r="Z2244" s="183"/>
      <c r="AA2244" s="185"/>
      <c r="AB2244" s="185"/>
      <c r="AC2244" s="185"/>
      <c r="AD2244" s="649"/>
      <c r="AE2244" s="182"/>
      <c r="AF2244" s="332"/>
      <c r="AG2244" s="182"/>
      <c r="AH2244" s="182"/>
      <c r="AI2244" s="182"/>
      <c r="AJ2244" s="640"/>
      <c r="AK2244" s="182"/>
      <c r="AL2244" s="496">
        <f t="shared" ref="AL2244:AL2251" si="747">-0.02*Z2244</f>
        <v>0</v>
      </c>
      <c r="AM2244" s="496">
        <f t="shared" si="741"/>
        <v>0</v>
      </c>
      <c r="AN2244" s="626"/>
      <c r="AO2244" s="182"/>
      <c r="AP2244" s="182"/>
      <c r="AQ2244" s="332" t="str">
        <f>UPPER(RIGHT(Journal_Live[[#This Row],[DURATION ]]))</f>
        <v/>
      </c>
      <c r="AR2244" s="182"/>
      <c r="AS2244" s="189"/>
      <c r="AT2244" s="189">
        <f t="shared" si="744"/>
        <v>0</v>
      </c>
      <c r="AU2244" s="187">
        <f t="shared" si="745"/>
        <v>0</v>
      </c>
      <c r="AV2244" s="190">
        <f t="shared" ref="AV2244:AV2251" si="748">IF(ISBLANK(AS2244),,(AT2244*Z2244))</f>
        <v>0</v>
      </c>
      <c r="AW2244" s="191"/>
      <c r="AX2244" s="551" t="s">
        <v>7123</v>
      </c>
      <c r="AY2244" s="551" t="s">
        <v>7124</v>
      </c>
      <c r="AZ2244" s="551"/>
      <c r="BA2244" s="551"/>
      <c r="BB2244" s="551"/>
      <c r="BC2244" s="551"/>
      <c r="BD2244" s="549"/>
      <c r="BE2244" s="550"/>
      <c r="BF2244" s="549"/>
      <c r="BG2244" s="391">
        <f>SUM($AV$1389:AV2244)</f>
        <v>5203.6108375297272</v>
      </c>
      <c r="BH2244" s="392">
        <f>SUM($AU$1389:AU2244)</f>
        <v>55762.423836163813</v>
      </c>
      <c r="BI2244" s="318">
        <f>SUMIFS($AU$1388:AU2246,$Q$1388:Q2246,"F")</f>
        <v>30355.078121878127</v>
      </c>
      <c r="BJ2244" s="318">
        <f>SUMIFS($AU$1388:AU2246,$Q$1388:Q2246,"S")</f>
        <v>27810.285714285706</v>
      </c>
      <c r="BK2244" s="343">
        <f>SUMIFS($AU$1388:AU2246,$P$1388:P2246,"W")</f>
        <v>30184.143836164003</v>
      </c>
      <c r="BL2244" s="343">
        <f>SUMIFS($AU$1388:AU2246,$P$1388:P2246,"R")</f>
        <v>23508.400000000325</v>
      </c>
      <c r="BM2244" s="343">
        <f>SUMIFS($AU$1388:AU2246,$AQ$1388:AQ2246,"M")</f>
        <v>13569.179999998996</v>
      </c>
      <c r="BN2244" s="343">
        <f>SUMIFS($AU$1388:AU2246,$AQ$1388:AQ2246,"H")</f>
        <v>14043.200000000877</v>
      </c>
      <c r="BO2244" s="343">
        <f>SUMIFS($AU$1388:AU2246,$AQ$1388:AQ2246,"D")</f>
        <v>18114.377472527347</v>
      </c>
      <c r="BP2244" s="343">
        <f>SUMIFS($AS$1388:AS2696,$AO$1388:AO2696,"W")</f>
        <v>0</v>
      </c>
      <c r="BQ2244" s="343">
        <f>SUMIFS($AU$1388:AU2246,$Q$1388:Q2246,"O")</f>
        <v>-5326.9399999999951</v>
      </c>
      <c r="BR2244" s="343">
        <f>SUMIFS($AU$1388:AU2246,$AA$1388:AA2246,"*")</f>
        <v>47875.522077922004</v>
      </c>
      <c r="BS2244" s="343">
        <f>SUMIFS($AU$1388:AU2246,$AB$1388:AB2246,"*")</f>
        <v>8595.8599999999715</v>
      </c>
      <c r="BT2244" s="343">
        <f>SUMIFS($AU$1388:AU2246,$AC$1388:AC2246,"*")</f>
        <v>42963.078121878119</v>
      </c>
      <c r="BU2244" s="343">
        <f>SUMIFS($AU$1388:AU2246,$AA$1388:AA2246,"*",$AB$1388:AB2246,"*")</f>
        <v>7915.9999999997544</v>
      </c>
      <c r="BV2244" s="343">
        <f>SUMIFS($AU$1388:AU2246,$AA$1388:AA2246,"*",$AC$1388:AC2246,"*")</f>
        <v>35296.036363636529</v>
      </c>
      <c r="BW2244" s="343">
        <f>SUMIFS($AU$1388:AU2246,$AB$1388:AB2246,"*",$AC$1388:AC2246,"*")</f>
        <v>4983.9999999999991</v>
      </c>
      <c r="BX2244" s="343">
        <f>SUMIFS($AV$1388:AV2246,$Q$1388:Q2246,"F")</f>
        <v>389.44019562430162</v>
      </c>
      <c r="BY2244" s="343">
        <f>SUMIFS($AV$1388:AV2246,$Q$1388:Q2246,"S")</f>
        <v>836.61134190572739</v>
      </c>
      <c r="BZ2244" s="343">
        <f>SUMIFS($AV$1388:AV2246,$Q$1388:Q2246,"O")</f>
        <v>529.55929999969067</v>
      </c>
    </row>
    <row r="2245" spans="1:78" ht="15.75" customHeight="1">
      <c r="A2245" s="177" t="s">
        <v>6781</v>
      </c>
      <c r="B2245" s="200">
        <v>45469</v>
      </c>
      <c r="C2245" s="178" t="s">
        <v>682</v>
      </c>
      <c r="D2245" s="178" t="s">
        <v>151</v>
      </c>
      <c r="E2245" s="227"/>
      <c r="F2245" s="180"/>
      <c r="G2245" s="181" t="s">
        <v>5025</v>
      </c>
      <c r="H2245" s="182"/>
      <c r="I2245" s="182"/>
      <c r="J2245" s="182"/>
      <c r="K2245" s="183"/>
      <c r="L2245" s="182"/>
      <c r="M2245" s="182">
        <v>1</v>
      </c>
      <c r="N2245" s="182"/>
      <c r="O2245" s="183" t="s">
        <v>5325</v>
      </c>
      <c r="P2245" s="183" t="s">
        <v>137</v>
      </c>
      <c r="Q2245" s="183"/>
      <c r="R2245" s="183">
        <v>1</v>
      </c>
      <c r="S2245" s="183">
        <v>0</v>
      </c>
      <c r="T2245" s="183">
        <v>1</v>
      </c>
      <c r="U2245" s="183" t="s">
        <v>97</v>
      </c>
      <c r="V2245" s="183"/>
      <c r="W2245" s="183"/>
      <c r="X2245" s="183"/>
      <c r="Y2245" s="184">
        <f t="shared" ref="Y2245:Y2255" si="749">IF(ISBLANK(O2245),"",(IF(O2245=UPPER("IB"),0.005,0.01)))</f>
        <v>0.01</v>
      </c>
      <c r="Z2245" s="185">
        <f>IF(ISBLANK(O2245),"",IF(O2245="IB",8.63*200,IF(O2245="IR",16*100,IF(O2245="YT",20*100,IF(O2245="YT-XT",24*200,IF(O2245="TED",80*100,IF(O2245="IR|YT",300*100)))))))</f>
        <v>30000</v>
      </c>
      <c r="AA2245" s="185" t="s">
        <v>3801</v>
      </c>
      <c r="AB2245" s="185"/>
      <c r="AC2245" s="185"/>
      <c r="AD2245" s="649">
        <v>-0.24</v>
      </c>
      <c r="AE2245" s="182"/>
      <c r="AF2245" s="332"/>
      <c r="AG2245" s="182"/>
      <c r="AH2245" s="182"/>
      <c r="AI2245" s="182"/>
      <c r="AJ2245" s="640"/>
      <c r="AK2245" s="182"/>
      <c r="AL2245" s="496">
        <f t="shared" si="747"/>
        <v>-600</v>
      </c>
      <c r="AM2245" s="496">
        <f t="shared" si="741"/>
        <v>-600</v>
      </c>
      <c r="AN2245" s="626"/>
      <c r="AO2245" s="182"/>
      <c r="AP2245" s="182"/>
      <c r="AQ2245" s="332" t="s">
        <v>1259</v>
      </c>
      <c r="AR2245" s="182"/>
      <c r="AS2245" s="189">
        <v>-0.25</v>
      </c>
      <c r="AT2245" s="189">
        <f t="shared" si="744"/>
        <v>1.0000000000000009E-2</v>
      </c>
      <c r="AU2245" s="187">
        <f t="shared" si="745"/>
        <v>300.00000000000028</v>
      </c>
      <c r="AV2245" s="190">
        <f t="shared" si="748"/>
        <v>300.00000000000028</v>
      </c>
      <c r="AW2245" s="191" t="s">
        <v>96</v>
      </c>
      <c r="AX2245" s="551"/>
      <c r="AY2245" s="551"/>
      <c r="AZ2245" s="551"/>
      <c r="BA2245" s="551"/>
      <c r="BB2245" s="551"/>
      <c r="BC2245" s="551"/>
      <c r="BD2245" s="549"/>
      <c r="BE2245" s="550"/>
      <c r="BF2245" s="549"/>
      <c r="BG2245" s="391">
        <f>SUM($AV$1389:AV2245)</f>
        <v>5503.6108375297272</v>
      </c>
      <c r="BH2245" s="392">
        <f>SUM($AU$1389:AU2245)</f>
        <v>56062.423836163813</v>
      </c>
      <c r="BI2245" s="318">
        <f>SUMIFS($AU$1388:AU2247,$Q$1388:Q2247,"F")</f>
        <v>30355.078121878127</v>
      </c>
      <c r="BJ2245" s="318">
        <f>SUMIFS($AU$1388:AU2247,$Q$1388:Q2247,"S")</f>
        <v>27810.285714285706</v>
      </c>
      <c r="BK2245" s="343">
        <f>SUMIFS($AU$1388:AU2247,$P$1388:P2247,"W")</f>
        <v>30184.143836164003</v>
      </c>
      <c r="BL2245" s="343">
        <f>SUMIFS($AU$1388:AU2247,$P$1388:P2247,"R")</f>
        <v>24108.400000000325</v>
      </c>
      <c r="BM2245" s="343">
        <f>SUMIFS($AU$1388:AU2247,$AQ$1388:AQ2247,"M")</f>
        <v>14169.179999998996</v>
      </c>
      <c r="BN2245" s="343">
        <f>SUMIFS($AU$1388:AU2247,$AQ$1388:AQ2247,"H")</f>
        <v>14043.200000000877</v>
      </c>
      <c r="BO2245" s="343">
        <f>SUMIFS($AU$1388:AU2247,$AQ$1388:AQ2247,"D")</f>
        <v>18114.377472527347</v>
      </c>
      <c r="BP2245" s="343">
        <f>SUMIFS($AS$1388:AS2697,$AO$1388:AO2697,"W")</f>
        <v>0</v>
      </c>
      <c r="BQ2245" s="343">
        <f>SUMIFS($AU$1388:AU2247,$Q$1388:Q2247,"O")</f>
        <v>-5326.9399999999951</v>
      </c>
      <c r="BR2245" s="343">
        <f>SUMIFS($AU$1388:AU2247,$AA$1388:AA2247,"*")</f>
        <v>48475.522077922004</v>
      </c>
      <c r="BS2245" s="343">
        <f>SUMIFS($AU$1388:AU2247,$AB$1388:AB2247,"*")</f>
        <v>8595.8599999999715</v>
      </c>
      <c r="BT2245" s="343">
        <f>SUMIFS($AU$1388:AU2247,$AC$1388:AC2247,"*")</f>
        <v>42963.078121878119</v>
      </c>
      <c r="BU2245" s="343">
        <f>SUMIFS($AU$1388:AU2247,$AA$1388:AA2247,"*",$AB$1388:AB2247,"*")</f>
        <v>7915.9999999997544</v>
      </c>
      <c r="BV2245" s="343">
        <f>SUMIFS($AU$1388:AU2247,$AA$1388:AA2247,"*",$AC$1388:AC2247,"*")</f>
        <v>35296.036363636529</v>
      </c>
      <c r="BW2245" s="343">
        <f>SUMIFS($AU$1388:AU2247,$AB$1388:AB2247,"*",$AC$1388:AC2247,"*")</f>
        <v>4983.9999999999991</v>
      </c>
      <c r="BX2245" s="343">
        <f>SUMIFS($AV$1388:AV2247,$Q$1388:Q2247,"F")</f>
        <v>389.44019562430162</v>
      </c>
      <c r="BY2245" s="343">
        <f>SUMIFS($AV$1388:AV2247,$Q$1388:Q2247,"S")</f>
        <v>836.61134190572739</v>
      </c>
      <c r="BZ2245" s="343">
        <f>SUMIFS($AV$1388:AV2247,$Q$1388:Q2247,"O")</f>
        <v>529.55929999969067</v>
      </c>
    </row>
    <row r="2246" spans="1:78" ht="15.75" customHeight="1">
      <c r="A2246" s="177" t="s">
        <v>6781</v>
      </c>
      <c r="B2246" s="200">
        <v>45469</v>
      </c>
      <c r="C2246" s="178" t="s">
        <v>682</v>
      </c>
      <c r="D2246" s="178" t="s">
        <v>151</v>
      </c>
      <c r="E2246" s="227"/>
      <c r="F2246" s="180"/>
      <c r="G2246" s="181" t="s">
        <v>5012</v>
      </c>
      <c r="H2246" s="182"/>
      <c r="I2246" s="182"/>
      <c r="J2246" s="182"/>
      <c r="K2246" s="183"/>
      <c r="L2246" s="182"/>
      <c r="M2246" s="182">
        <v>1</v>
      </c>
      <c r="N2246" s="182"/>
      <c r="O2246" s="183" t="s">
        <v>5325</v>
      </c>
      <c r="P2246" s="183" t="s">
        <v>137</v>
      </c>
      <c r="Q2246" s="183"/>
      <c r="R2246" s="183">
        <v>1</v>
      </c>
      <c r="S2246" s="183">
        <v>0</v>
      </c>
      <c r="T2246" s="183">
        <v>1</v>
      </c>
      <c r="U2246" s="183" t="s">
        <v>97</v>
      </c>
      <c r="V2246" s="183"/>
      <c r="W2246" s="183"/>
      <c r="X2246" s="183"/>
      <c r="Y2246" s="184">
        <f t="shared" si="749"/>
        <v>0.01</v>
      </c>
      <c r="Z2246" s="185">
        <f>IF(ISBLANK(O2246),"",IF(O2246="IB",8.63*200,IF(O2246="IR",16*100,IF(O2246="YT",20*100,IF(O2246="YT-XT",24*200,IF(O2246="TED",80*100,IF(O2246="IR|YT",300*100)))))))</f>
        <v>30000</v>
      </c>
      <c r="AA2246" s="185" t="s">
        <v>3801</v>
      </c>
      <c r="AB2246" s="185"/>
      <c r="AC2246" s="185"/>
      <c r="AD2246" s="649">
        <v>-0.14000000000000001</v>
      </c>
      <c r="AE2246" s="182"/>
      <c r="AF2246" s="332"/>
      <c r="AG2246" s="182"/>
      <c r="AH2246" s="182"/>
      <c r="AI2246" s="182"/>
      <c r="AJ2246" s="640"/>
      <c r="AK2246" s="182"/>
      <c r="AL2246" s="496">
        <f t="shared" si="747"/>
        <v>-600</v>
      </c>
      <c r="AM2246" s="496">
        <f t="shared" si="741"/>
        <v>-600</v>
      </c>
      <c r="AN2246" s="626"/>
      <c r="AO2246" s="182"/>
      <c r="AP2246" s="182"/>
      <c r="AQ2246" s="332" t="s">
        <v>1259</v>
      </c>
      <c r="AR2246" s="182"/>
      <c r="AS2246" s="189">
        <v>-0.16</v>
      </c>
      <c r="AT2246" s="189">
        <f t="shared" si="744"/>
        <v>1.999999999999999E-2</v>
      </c>
      <c r="AU2246" s="187">
        <f t="shared" si="745"/>
        <v>599.99999999999966</v>
      </c>
      <c r="AV2246" s="190">
        <f t="shared" si="748"/>
        <v>599.99999999999966</v>
      </c>
      <c r="AW2246" s="191" t="s">
        <v>96</v>
      </c>
      <c r="AX2246" s="551"/>
      <c r="AY2246" s="551"/>
      <c r="AZ2246" s="551"/>
      <c r="BA2246" s="551"/>
      <c r="BB2246" s="551"/>
      <c r="BC2246" s="551"/>
      <c r="BD2246" s="549"/>
      <c r="BE2246" s="550"/>
      <c r="BF2246" s="549"/>
      <c r="BG2246" s="391">
        <f>SUM($AV$1389:AV2246)</f>
        <v>6103.6108375297272</v>
      </c>
      <c r="BH2246" s="392">
        <f>SUM($AU$1389:AU2246)</f>
        <v>56662.423836163813</v>
      </c>
      <c r="BI2246" s="318">
        <f>SUMIFS($AU$1388:AU2248,$Q$1388:Q2248,"F")</f>
        <v>30355.078121878127</v>
      </c>
      <c r="BJ2246" s="318">
        <f>SUMIFS($AU$1388:AU2248,$Q$1388:Q2248,"S")</f>
        <v>27810.285714285706</v>
      </c>
      <c r="BK2246" s="343">
        <f>SUMIFS($AU$1388:AU2248,$P$1388:P2248,"W")</f>
        <v>30184.143836164003</v>
      </c>
      <c r="BL2246" s="343">
        <f>SUMIFS($AU$1388:AU2248,$P$1388:P2248,"R")</f>
        <v>24108.400000000325</v>
      </c>
      <c r="BM2246" s="343">
        <f>SUMIFS($AU$1388:AU2248,$AQ$1388:AQ2248,"M")</f>
        <v>13995.179999998989</v>
      </c>
      <c r="BN2246" s="343">
        <f>SUMIFS($AU$1388:AU2248,$AQ$1388:AQ2248,"H")</f>
        <v>14043.200000000877</v>
      </c>
      <c r="BO2246" s="343">
        <f>SUMIFS($AU$1388:AU2248,$AQ$1388:AQ2248,"D")</f>
        <v>18114.377472527347</v>
      </c>
      <c r="BP2246" s="343">
        <f>SUMIFS($AS$1388:AS2698,$AO$1388:AO2698,"W")</f>
        <v>0</v>
      </c>
      <c r="BQ2246" s="343">
        <f>SUMIFS($AU$1388:AU2248,$Q$1388:Q2248,"O")</f>
        <v>-5500.9400000000014</v>
      </c>
      <c r="BR2246" s="343">
        <f>SUMIFS($AU$1388:AU2248,$AA$1388:AA2248,"*")</f>
        <v>48301.522077921996</v>
      </c>
      <c r="BS2246" s="343">
        <f>SUMIFS($AU$1388:AU2248,$AB$1388:AB2248,"*")</f>
        <v>8595.8599999999715</v>
      </c>
      <c r="BT2246" s="343">
        <f>SUMIFS($AU$1388:AU2248,$AC$1388:AC2248,"*")</f>
        <v>42963.078121878119</v>
      </c>
      <c r="BU2246" s="343">
        <f>SUMIFS($AU$1388:AU2248,$AA$1388:AA2248,"*",$AB$1388:AB2248,"*")</f>
        <v>7915.9999999997544</v>
      </c>
      <c r="BV2246" s="343">
        <f>SUMIFS($AU$1388:AU2248,$AA$1388:AA2248,"*",$AC$1388:AC2248,"*")</f>
        <v>35296.036363636529</v>
      </c>
      <c r="BW2246" s="343">
        <f>SUMIFS($AU$1388:AU2248,$AB$1388:AB2248,"*",$AC$1388:AC2248,"*")</f>
        <v>4983.9999999999991</v>
      </c>
      <c r="BX2246" s="343">
        <f>SUMIFS($AV$1388:AV2248,$Q$1388:Q2248,"F")</f>
        <v>389.44019562430162</v>
      </c>
      <c r="BY2246" s="343">
        <f>SUMIFS($AV$1388:AV2248,$Q$1388:Q2248,"S")</f>
        <v>836.61134190572739</v>
      </c>
      <c r="BZ2246" s="343">
        <f>SUMIFS($AV$1388:AV2248,$Q$1388:Q2248,"O")</f>
        <v>442.55929999968737</v>
      </c>
    </row>
    <row r="2247" spans="1:78" ht="15.75" customHeight="1">
      <c r="A2247" s="177" t="s">
        <v>6781</v>
      </c>
      <c r="B2247" s="200">
        <v>45469</v>
      </c>
      <c r="C2247" s="178" t="s">
        <v>682</v>
      </c>
      <c r="D2247" s="178" t="s">
        <v>151</v>
      </c>
      <c r="E2247" s="227"/>
      <c r="F2247" s="180"/>
      <c r="G2247" s="181" t="s">
        <v>5672</v>
      </c>
      <c r="H2247" s="182"/>
      <c r="I2247" s="182"/>
      <c r="J2247" s="182"/>
      <c r="K2247" s="183"/>
      <c r="L2247" s="182"/>
      <c r="M2247" s="182">
        <v>1</v>
      </c>
      <c r="N2247" s="182"/>
      <c r="O2247" s="183" t="s">
        <v>5325</v>
      </c>
      <c r="P2247" s="183" t="s">
        <v>137</v>
      </c>
      <c r="Q2247" s="183"/>
      <c r="R2247" s="183">
        <v>1</v>
      </c>
      <c r="S2247" s="183">
        <v>0</v>
      </c>
      <c r="T2247" s="183">
        <v>1</v>
      </c>
      <c r="U2247" s="183" t="s">
        <v>97</v>
      </c>
      <c r="V2247" s="183"/>
      <c r="W2247" s="183"/>
      <c r="X2247" s="183"/>
      <c r="Y2247" s="184">
        <f t="shared" si="749"/>
        <v>0.01</v>
      </c>
      <c r="Z2247" s="185">
        <f>IF(ISBLANK(O2247),"",IF(O2247="IB",8.63*200,IF(O2247="IR",16*100,IF(O2247="YT",20*100,IF(O2247="YT-XT",24*200,IF(O2247="TED",80*100,IF(O2247="IR|YT",300*100)))))))</f>
        <v>30000</v>
      </c>
      <c r="AA2247" s="185" t="s">
        <v>3801</v>
      </c>
      <c r="AB2247" s="185"/>
      <c r="AC2247" s="185"/>
      <c r="AD2247" s="649">
        <v>-0.06</v>
      </c>
      <c r="AE2247" s="182"/>
      <c r="AF2247" s="332"/>
      <c r="AG2247" s="182"/>
      <c r="AH2247" s="182"/>
      <c r="AI2247" s="182"/>
      <c r="AJ2247" s="640"/>
      <c r="AK2247" s="182"/>
      <c r="AL2247" s="496">
        <f t="shared" si="747"/>
        <v>-600</v>
      </c>
      <c r="AM2247" s="496">
        <f t="shared" si="741"/>
        <v>-600</v>
      </c>
      <c r="AN2247" s="626"/>
      <c r="AO2247" s="182"/>
      <c r="AP2247" s="182"/>
      <c r="AQ2247" s="332" t="s">
        <v>1259</v>
      </c>
      <c r="AR2247" s="182"/>
      <c r="AS2247" s="189">
        <v>-0.08</v>
      </c>
      <c r="AT2247" s="189">
        <f t="shared" si="744"/>
        <v>2.0000000000000004E-2</v>
      </c>
      <c r="AU2247" s="187">
        <f t="shared" si="745"/>
        <v>600.00000000000011</v>
      </c>
      <c r="AV2247" s="190">
        <f t="shared" si="748"/>
        <v>600.00000000000011</v>
      </c>
      <c r="AW2247" s="191" t="s">
        <v>96</v>
      </c>
      <c r="AX2247" s="551"/>
      <c r="AY2247" s="551"/>
      <c r="AZ2247" s="551"/>
      <c r="BA2247" s="551"/>
      <c r="BB2247" s="551"/>
      <c r="BC2247" s="551"/>
      <c r="BD2247" s="549"/>
      <c r="BE2247" s="550"/>
      <c r="BF2247" s="549"/>
      <c r="BG2247" s="391">
        <f>SUM($AV$1389:AV2247)</f>
        <v>6703.6108375297272</v>
      </c>
      <c r="BH2247" s="392">
        <f>SUM($AU$1389:AU2247)</f>
        <v>57262.423836163813</v>
      </c>
      <c r="BI2247" s="318">
        <f>SUMIFS($AU$1388:AU2249,$Q$1388:Q2249,"F")</f>
        <v>30355.078121878127</v>
      </c>
      <c r="BJ2247" s="318">
        <f>SUMIFS($AU$1388:AU2249,$Q$1388:Q2249,"S")</f>
        <v>27810.285714285706</v>
      </c>
      <c r="BK2247" s="343">
        <f>SUMIFS($AU$1388:AU2249,$P$1388:P2249,"W")</f>
        <v>26344.143836163403</v>
      </c>
      <c r="BL2247" s="343">
        <f>SUMIFS($AU$1388:AU2249,$P$1388:P2249,"R")</f>
        <v>24108.400000000325</v>
      </c>
      <c r="BM2247" s="343">
        <f>SUMIFS($AU$1388:AU2249,$AQ$1388:AQ2249,"M")</f>
        <v>10155.179999998389</v>
      </c>
      <c r="BN2247" s="343">
        <f>SUMIFS($AU$1388:AU2249,$AQ$1388:AQ2249,"H")</f>
        <v>14043.200000000877</v>
      </c>
      <c r="BO2247" s="343">
        <f>SUMIFS($AU$1388:AU2249,$AQ$1388:AQ2249,"D")</f>
        <v>18114.377472527347</v>
      </c>
      <c r="BP2247" s="343">
        <f>SUMIFS($AS$1388:AS2699,$AO$1388:AO2699,"W")</f>
        <v>0</v>
      </c>
      <c r="BQ2247" s="343">
        <f>SUMIFS($AU$1388:AU2249,$Q$1388:Q2249,"O")</f>
        <v>-9340.9400000006026</v>
      </c>
      <c r="BR2247" s="343">
        <f>SUMIFS($AU$1388:AU2249,$AA$1388:AA2249,"*")</f>
        <v>44461.5220779214</v>
      </c>
      <c r="BS2247" s="343">
        <f>SUMIFS($AU$1388:AU2249,$AB$1388:AB2249,"*")</f>
        <v>8595.8599999999715</v>
      </c>
      <c r="BT2247" s="343">
        <f>SUMIFS($AU$1388:AU2249,$AC$1388:AC2249,"*")</f>
        <v>42963.078121878119</v>
      </c>
      <c r="BU2247" s="343">
        <f>SUMIFS($AU$1388:AU2249,$AA$1388:AA2249,"*",$AB$1388:AB2249,"*")</f>
        <v>7915.9999999997544</v>
      </c>
      <c r="BV2247" s="343">
        <f>SUMIFS($AU$1388:AU2249,$AA$1388:AA2249,"*",$AC$1388:AC2249,"*")</f>
        <v>35296.036363636529</v>
      </c>
      <c r="BW2247" s="343">
        <f>SUMIFS($AU$1388:AU2249,$AB$1388:AB2249,"*",$AC$1388:AC2249,"*")</f>
        <v>4983.9999999999991</v>
      </c>
      <c r="BX2247" s="343">
        <f>SUMIFS($AV$1388:AV2249,$Q$1388:Q2249,"F")</f>
        <v>389.44019562430162</v>
      </c>
      <c r="BY2247" s="343">
        <f>SUMIFS($AV$1388:AV2249,$Q$1388:Q2249,"S")</f>
        <v>836.61134190572739</v>
      </c>
      <c r="BZ2247" s="343">
        <f>SUMIFS($AV$1388:AV2249,$Q$1388:Q2249,"O")</f>
        <v>378.55929999967736</v>
      </c>
    </row>
    <row r="2248" spans="1:78" ht="15.75" customHeight="1">
      <c r="A2248" s="177" t="s">
        <v>6781</v>
      </c>
      <c r="B2248" s="200">
        <v>45469</v>
      </c>
      <c r="C2248" s="178" t="s">
        <v>682</v>
      </c>
      <c r="D2248" s="178" t="s">
        <v>151</v>
      </c>
      <c r="E2248" s="227"/>
      <c r="F2248" s="180"/>
      <c r="G2248" s="181" t="s">
        <v>6998</v>
      </c>
      <c r="H2248" s="182"/>
      <c r="I2248" s="182"/>
      <c r="J2248" s="182"/>
      <c r="K2248" s="183"/>
      <c r="L2248" s="182"/>
      <c r="M2248" s="182">
        <v>1</v>
      </c>
      <c r="N2248" s="182"/>
      <c r="O2248" s="183" t="s">
        <v>3618</v>
      </c>
      <c r="P2248" s="183" t="s">
        <v>2260</v>
      </c>
      <c r="Q2248" s="183" t="s">
        <v>684</v>
      </c>
      <c r="R2248" s="183">
        <v>2</v>
      </c>
      <c r="S2248" s="183">
        <v>0</v>
      </c>
      <c r="T2248" s="183">
        <v>2</v>
      </c>
      <c r="U2248" s="183" t="s">
        <v>22</v>
      </c>
      <c r="V2248" s="183"/>
      <c r="W2248" s="183"/>
      <c r="X2248" s="183"/>
      <c r="Y2248" s="184">
        <f t="shared" si="749"/>
        <v>0.01</v>
      </c>
      <c r="Z2248" s="185">
        <f>IF(ISBLANK(O2248),"",IF(O2248="IB",8.63*200,IF(O2248="IR",16*100,IF(O2248="YT",20*100,IF(O2248="YT-XT",24*200,IF(O2248="TED",80*100,IF(O2248="XT",29*200)))))))</f>
        <v>5800</v>
      </c>
      <c r="AA2248" s="185" t="s">
        <v>3801</v>
      </c>
      <c r="AB2248" s="185"/>
      <c r="AC2248" s="185"/>
      <c r="AD2248" s="649">
        <v>95.74</v>
      </c>
      <c r="AE2248" s="182"/>
      <c r="AF2248" s="332"/>
      <c r="AG2248" s="182"/>
      <c r="AH2248" s="182"/>
      <c r="AI2248" s="182"/>
      <c r="AJ2248" s="640"/>
      <c r="AK2248" s="182"/>
      <c r="AL2248" s="496">
        <f t="shared" si="747"/>
        <v>-116</v>
      </c>
      <c r="AM2248" s="496">
        <f t="shared" si="741"/>
        <v>-232</v>
      </c>
      <c r="AN2248" s="626"/>
      <c r="AO2248" s="182"/>
      <c r="AP2248" s="182"/>
      <c r="AQ2248" s="332" t="s">
        <v>1259</v>
      </c>
      <c r="AR2248" s="182"/>
      <c r="AS2248" s="189">
        <v>95.724999999999994</v>
      </c>
      <c r="AT2248" s="189">
        <f t="shared" si="744"/>
        <v>-1.5000000000000568E-2</v>
      </c>
      <c r="AU2248" s="187">
        <f t="shared" si="745"/>
        <v>-174.00000000000659</v>
      </c>
      <c r="AV2248" s="190">
        <f t="shared" si="748"/>
        <v>-87.000000000003297</v>
      </c>
      <c r="AW2248" s="191" t="s">
        <v>229</v>
      </c>
      <c r="AX2248" s="551" t="s">
        <v>7125</v>
      </c>
      <c r="AY2248" s="551" t="s">
        <v>7126</v>
      </c>
      <c r="AZ2248" s="551" t="s">
        <v>7127</v>
      </c>
      <c r="BA2248" s="551"/>
      <c r="BB2248" s="551"/>
      <c r="BC2248" s="551"/>
      <c r="BD2248" s="549"/>
      <c r="BE2248" s="550"/>
      <c r="BF2248" s="549"/>
      <c r="BG2248" s="391">
        <f>SUM($AV$1389:AV2248)</f>
        <v>6616.6108375297235</v>
      </c>
      <c r="BH2248" s="392">
        <f>SUM($AU$1389:AU2248)</f>
        <v>57088.423836163805</v>
      </c>
      <c r="BI2248" s="318">
        <f>SUMIFS($AU$1388:AU2250,$Q$1388:Q2250,"F")</f>
        <v>30355.078121878127</v>
      </c>
      <c r="BJ2248" s="318">
        <f>SUMIFS($AU$1388:AU2250,$Q$1388:Q2250,"S")</f>
        <v>26530.285714285706</v>
      </c>
      <c r="BK2248" s="343">
        <f>SUMIFS($AU$1388:AU2250,$P$1388:P2250,"W")</f>
        <v>25064.143836163403</v>
      </c>
      <c r="BL2248" s="343">
        <f>SUMIFS($AU$1388:AU2250,$P$1388:P2250,"R")</f>
        <v>24108.400000000325</v>
      </c>
      <c r="BM2248" s="343">
        <f>SUMIFS($AU$1388:AU2250,$AQ$1388:AQ2250,"M")</f>
        <v>8875.1799999983887</v>
      </c>
      <c r="BN2248" s="343">
        <f>SUMIFS($AU$1388:AU2250,$AQ$1388:AQ2250,"H")</f>
        <v>14043.200000000877</v>
      </c>
      <c r="BO2248" s="343">
        <f>SUMIFS($AU$1388:AU2250,$AQ$1388:AQ2250,"D")</f>
        <v>18114.377472527347</v>
      </c>
      <c r="BP2248" s="343">
        <f>SUMIFS($AS$1388:AS2700,$AO$1388:AO2700,"W")</f>
        <v>0</v>
      </c>
      <c r="BQ2248" s="343">
        <f>SUMIFS($AU$1388:AU2250,$Q$1388:Q2250,"O")</f>
        <v>-9340.9400000006026</v>
      </c>
      <c r="BR2248" s="343">
        <f>SUMIFS($AU$1388:AU2250,$AA$1388:AA2250,"*")</f>
        <v>43181.5220779214</v>
      </c>
      <c r="BS2248" s="343">
        <f>SUMIFS($AU$1388:AU2250,$AB$1388:AB2250,"*")</f>
        <v>8595.8599999999715</v>
      </c>
      <c r="BT2248" s="343">
        <f>SUMIFS($AU$1388:AU2250,$AC$1388:AC2250,"*")</f>
        <v>42963.078121878119</v>
      </c>
      <c r="BU2248" s="343">
        <f>SUMIFS($AU$1388:AU2250,$AA$1388:AA2250,"*",$AB$1388:AB2250,"*")</f>
        <v>7915.9999999997544</v>
      </c>
      <c r="BV2248" s="343">
        <f>SUMIFS($AU$1388:AU2250,$AA$1388:AA2250,"*",$AC$1388:AC2250,"*")</f>
        <v>35296.036363636529</v>
      </c>
      <c r="BW2248" s="343">
        <f>SUMIFS($AU$1388:AU2250,$AB$1388:AB2250,"*",$AC$1388:AC2250,"*")</f>
        <v>4983.9999999999991</v>
      </c>
      <c r="BX2248" s="343">
        <f>SUMIFS($AV$1388:AV2250,$Q$1388:Q2250,"F")</f>
        <v>389.44019562430162</v>
      </c>
      <c r="BY2248" s="343">
        <f>SUMIFS($AV$1388:AV2250,$Q$1388:Q2250,"S")</f>
        <v>804.61134190572739</v>
      </c>
      <c r="BZ2248" s="343">
        <f>SUMIFS($AV$1388:AV2250,$Q$1388:Q2250,"O")</f>
        <v>378.55929999967736</v>
      </c>
    </row>
    <row r="2249" spans="1:78" ht="15.75" customHeight="1">
      <c r="A2249" s="177" t="s">
        <v>6781</v>
      </c>
      <c r="B2249" s="200">
        <v>45469</v>
      </c>
      <c r="C2249" s="178" t="s">
        <v>682</v>
      </c>
      <c r="D2249" s="178" t="s">
        <v>151</v>
      </c>
      <c r="E2249" s="227"/>
      <c r="F2249" s="180"/>
      <c r="G2249" s="181" t="s">
        <v>945</v>
      </c>
      <c r="H2249" s="182"/>
      <c r="I2249" s="182"/>
      <c r="J2249" s="182"/>
      <c r="K2249" s="183"/>
      <c r="L2249" s="182"/>
      <c r="M2249" s="182">
        <v>1</v>
      </c>
      <c r="N2249" s="182"/>
      <c r="O2249" s="183" t="s">
        <v>95</v>
      </c>
      <c r="P2249" s="183" t="s">
        <v>96</v>
      </c>
      <c r="Q2249" s="183" t="s">
        <v>684</v>
      </c>
      <c r="R2249" s="183">
        <v>60</v>
      </c>
      <c r="S2249" s="183">
        <v>0</v>
      </c>
      <c r="T2249" s="183">
        <v>60</v>
      </c>
      <c r="U2249" s="183" t="s">
        <v>22</v>
      </c>
      <c r="V2249" s="183"/>
      <c r="W2249" s="183"/>
      <c r="X2249" s="183"/>
      <c r="Y2249" s="184">
        <f t="shared" si="749"/>
        <v>0.01</v>
      </c>
      <c r="Z2249" s="185">
        <f>IF(ISBLANK(O2249),"",IF(O2249="IB",8.63*200,IF(O2249="IR",16*100,IF(O2249="YT",20*100,IF(O2249="YT-XT",24*200,IF(O2249="TED",80*100,IF(O2249="XT",29*200)))))))</f>
        <v>1600</v>
      </c>
      <c r="AA2249" s="185" t="s">
        <v>7128</v>
      </c>
      <c r="AB2249" s="185"/>
      <c r="AC2249" s="185"/>
      <c r="AD2249" s="649">
        <v>95.54</v>
      </c>
      <c r="AE2249" s="182"/>
      <c r="AF2249" s="332"/>
      <c r="AG2249" s="182"/>
      <c r="AH2249" s="182"/>
      <c r="AI2249" s="182"/>
      <c r="AJ2249" s="640"/>
      <c r="AK2249" s="182"/>
      <c r="AL2249" s="496">
        <f t="shared" si="747"/>
        <v>-32</v>
      </c>
      <c r="AM2249" s="496">
        <f t="shared" si="741"/>
        <v>-1920</v>
      </c>
      <c r="AN2249" s="626"/>
      <c r="AO2249" s="182"/>
      <c r="AP2249" s="182"/>
      <c r="AQ2249" s="332" t="s">
        <v>1259</v>
      </c>
      <c r="AR2249" s="182"/>
      <c r="AS2249" s="189">
        <v>95.5</v>
      </c>
      <c r="AT2249" s="189">
        <f t="shared" si="744"/>
        <v>-4.0000000000006253E-2</v>
      </c>
      <c r="AU2249" s="187">
        <f t="shared" si="745"/>
        <v>-3840.0000000006003</v>
      </c>
      <c r="AV2249" s="190">
        <f t="shared" si="748"/>
        <v>-64.000000000010004</v>
      </c>
      <c r="AW2249" s="191" t="s">
        <v>229</v>
      </c>
      <c r="AX2249" s="551" t="s">
        <v>7129</v>
      </c>
      <c r="AY2249" s="551" t="s">
        <v>7130</v>
      </c>
      <c r="AZ2249" s="551" t="s">
        <v>7131</v>
      </c>
      <c r="BA2249" s="551" t="s">
        <v>7132</v>
      </c>
      <c r="BB2249" s="551"/>
      <c r="BC2249" s="551"/>
      <c r="BD2249" s="549"/>
      <c r="BE2249" s="550"/>
      <c r="BF2249" s="549"/>
      <c r="BG2249" s="391">
        <f>SUM($AV$1389:AV2249)</f>
        <v>6552.6108375297135</v>
      </c>
      <c r="BH2249" s="392">
        <f>SUM($AU$1389:AU2249)</f>
        <v>53248.423836163201</v>
      </c>
      <c r="BI2249" s="318">
        <f>SUMIFS($AU$1388:AU2251,$Q$1388:Q2251,"F")</f>
        <v>30355.078121878127</v>
      </c>
      <c r="BJ2249" s="318">
        <f>SUMIFS($AU$1388:AU2251,$Q$1388:Q2251,"S")</f>
        <v>26530.285714285706</v>
      </c>
      <c r="BK2249" s="343">
        <f>SUMIFS($AU$1388:AU2251,$P$1388:P2251,"W")</f>
        <v>25064.143836163403</v>
      </c>
      <c r="BL2249" s="343">
        <f>SUMIFS($AU$1388:AU2251,$P$1388:P2251,"R")</f>
        <v>24108.400000000325</v>
      </c>
      <c r="BM2249" s="343">
        <f>SUMIFS($AU$1388:AU2251,$AQ$1388:AQ2251,"M")</f>
        <v>8875.1799999983887</v>
      </c>
      <c r="BN2249" s="343">
        <f>SUMIFS($AU$1388:AU2251,$AQ$1388:AQ2251,"H")</f>
        <v>14043.200000000877</v>
      </c>
      <c r="BO2249" s="343">
        <f>SUMIFS($AU$1388:AU2251,$AQ$1388:AQ2251,"D")</f>
        <v>18114.377472527347</v>
      </c>
      <c r="BP2249" s="343">
        <f>SUMIFS($AS$1388:AS2701,$AO$1388:AO2701,"W")</f>
        <v>0</v>
      </c>
      <c r="BQ2249" s="343">
        <f>SUMIFS($AU$1388:AU2251,$Q$1388:Q2251,"O")</f>
        <v>-9340.9400000006026</v>
      </c>
      <c r="BR2249" s="343">
        <f>SUMIFS($AU$1388:AU2251,$AA$1388:AA2251,"*")</f>
        <v>43181.5220779214</v>
      </c>
      <c r="BS2249" s="343">
        <f>SUMIFS($AU$1388:AU2251,$AB$1388:AB2251,"*")</f>
        <v>8595.8599999999715</v>
      </c>
      <c r="BT2249" s="343">
        <f>SUMIFS($AU$1388:AU2251,$AC$1388:AC2251,"*")</f>
        <v>42963.078121878119</v>
      </c>
      <c r="BU2249" s="343">
        <f>SUMIFS($AU$1388:AU2251,$AA$1388:AA2251,"*",$AB$1388:AB2251,"*")</f>
        <v>7915.9999999997544</v>
      </c>
      <c r="BV2249" s="343">
        <f>SUMIFS($AU$1388:AU2251,$AA$1388:AA2251,"*",$AC$1388:AC2251,"*")</f>
        <v>35296.036363636529</v>
      </c>
      <c r="BW2249" s="343">
        <f>SUMIFS($AU$1388:AU2251,$AB$1388:AB2251,"*",$AC$1388:AC2251,"*")</f>
        <v>4983.9999999999991</v>
      </c>
      <c r="BX2249" s="343">
        <f>SUMIFS($AV$1388:AV2251,$Q$1388:Q2251,"F")</f>
        <v>389.44019562430162</v>
      </c>
      <c r="BY2249" s="343">
        <f>SUMIFS($AV$1388:AV2251,$Q$1388:Q2251,"S")</f>
        <v>804.61134190572739</v>
      </c>
      <c r="BZ2249" s="343">
        <f>SUMIFS($AV$1388:AV2251,$Q$1388:Q2251,"O")</f>
        <v>378.55929999967736</v>
      </c>
    </row>
    <row r="2250" spans="1:78" ht="15.75" customHeight="1">
      <c r="A2250" s="177" t="s">
        <v>6781</v>
      </c>
      <c r="B2250" s="200">
        <v>45469</v>
      </c>
      <c r="C2250" s="178" t="s">
        <v>682</v>
      </c>
      <c r="D2250" s="178" t="s">
        <v>151</v>
      </c>
      <c r="E2250" s="227"/>
      <c r="F2250" s="180"/>
      <c r="G2250" s="181" t="s">
        <v>6873</v>
      </c>
      <c r="H2250" s="182"/>
      <c r="I2250" s="182"/>
      <c r="J2250" s="182"/>
      <c r="K2250" s="183"/>
      <c r="L2250" s="182"/>
      <c r="M2250" s="182">
        <v>1</v>
      </c>
      <c r="N2250" s="182"/>
      <c r="O2250" s="183" t="s">
        <v>95</v>
      </c>
      <c r="P2250" s="183" t="s">
        <v>96</v>
      </c>
      <c r="Q2250" s="183" t="s">
        <v>97</v>
      </c>
      <c r="R2250" s="183">
        <v>40</v>
      </c>
      <c r="S2250" s="183">
        <v>0</v>
      </c>
      <c r="T2250" s="183">
        <v>40</v>
      </c>
      <c r="U2250" s="183" t="s">
        <v>97</v>
      </c>
      <c r="V2250" s="183"/>
      <c r="W2250" s="183"/>
      <c r="X2250" s="183"/>
      <c r="Y2250" s="184">
        <f t="shared" si="749"/>
        <v>0.01</v>
      </c>
      <c r="Z2250" s="185">
        <f>IF(ISBLANK(O2250),"",IF(O2250="IB",8.63*200,IF(O2250="IR",16*100,IF(O2250="YT",20*100,IF(O2250="YT-XT",24*200,IF(O2250="TED",80*100,IF(O2250="XT",29*200)))))))</f>
        <v>1600</v>
      </c>
      <c r="AA2250" s="185" t="s">
        <v>6195</v>
      </c>
      <c r="AB2250" s="185"/>
      <c r="AC2250" s="185"/>
      <c r="AD2250" s="649">
        <v>-0.125</v>
      </c>
      <c r="AE2250" s="182"/>
      <c r="AF2250" s="332"/>
      <c r="AG2250" s="182"/>
      <c r="AH2250" s="182"/>
      <c r="AI2250" s="182"/>
      <c r="AJ2250" s="640"/>
      <c r="AK2250" s="182"/>
      <c r="AL2250" s="496">
        <f t="shared" si="747"/>
        <v>-32</v>
      </c>
      <c r="AM2250" s="496">
        <f t="shared" si="741"/>
        <v>-1280</v>
      </c>
      <c r="AN2250" s="626"/>
      <c r="AO2250" s="182"/>
      <c r="AP2250" s="182"/>
      <c r="AQ2250" s="332" t="s">
        <v>1259</v>
      </c>
      <c r="AR2250" s="182"/>
      <c r="AS2250" s="189">
        <v>-0.105</v>
      </c>
      <c r="AT2250" s="189">
        <f t="shared" si="744"/>
        <v>-2.0000000000000004E-2</v>
      </c>
      <c r="AU2250" s="187">
        <f t="shared" si="745"/>
        <v>-1280.0000000000002</v>
      </c>
      <c r="AV2250" s="190">
        <f t="shared" si="748"/>
        <v>-32.000000000000007</v>
      </c>
      <c r="AW2250" s="191" t="s">
        <v>229</v>
      </c>
      <c r="AX2250" s="551" t="s">
        <v>7125</v>
      </c>
      <c r="AY2250" s="551"/>
      <c r="AZ2250" s="551"/>
      <c r="BA2250" s="551"/>
      <c r="BB2250" s="551"/>
      <c r="BC2250" s="551"/>
      <c r="BD2250" s="549"/>
      <c r="BE2250" s="550"/>
      <c r="BF2250" s="549"/>
      <c r="BG2250" s="391">
        <f>SUM($AV$1389:AV2250)</f>
        <v>6520.6108375297135</v>
      </c>
      <c r="BH2250" s="392">
        <f>SUM($AU$1389:AU2250)</f>
        <v>51968.423836163201</v>
      </c>
      <c r="BI2250" s="318">
        <f>SUMIFS($AU$1388:AU2252,$Q$1388:Q2252,"F")</f>
        <v>30355.078121878127</v>
      </c>
      <c r="BJ2250" s="318">
        <f>SUMIFS($AU$1388:AU2252,$Q$1388:Q2252,"S")</f>
        <v>24130.285714285706</v>
      </c>
      <c r="BK2250" s="343">
        <f>SUMIFS($AU$1388:AU2252,$P$1388:P2252,"W")</f>
        <v>22664.143836163403</v>
      </c>
      <c r="BL2250" s="343">
        <f>SUMIFS($AU$1388:AU2252,$P$1388:P2252,"R")</f>
        <v>24108.400000000325</v>
      </c>
      <c r="BM2250" s="343">
        <f>SUMIFS($AU$1388:AU2252,$AQ$1388:AQ2252,"M")</f>
        <v>8875.1799999983887</v>
      </c>
      <c r="BN2250" s="343">
        <f>SUMIFS($AU$1388:AU2252,$AQ$1388:AQ2252,"H")</f>
        <v>11643.200000000877</v>
      </c>
      <c r="BO2250" s="343">
        <f>SUMIFS($AU$1388:AU2252,$AQ$1388:AQ2252,"D")</f>
        <v>18114.377472527347</v>
      </c>
      <c r="BP2250" s="343">
        <f>SUMIFS($AS$1388:AS2702,$AO$1388:AO2702,"W")</f>
        <v>0</v>
      </c>
      <c r="BQ2250" s="343">
        <f>SUMIFS($AU$1388:AU2252,$Q$1388:Q2252,"O")</f>
        <v>-9340.9400000006026</v>
      </c>
      <c r="BR2250" s="343">
        <f>SUMIFS($AU$1388:AU2252,$AA$1388:AA2252,"*")</f>
        <v>40781.5220779214</v>
      </c>
      <c r="BS2250" s="343">
        <f>SUMIFS($AU$1388:AU2252,$AB$1388:AB2252,"*")</f>
        <v>8595.8599999999715</v>
      </c>
      <c r="BT2250" s="343">
        <f>SUMIFS($AU$1388:AU2252,$AC$1388:AC2252,"*")</f>
        <v>40563.078121878119</v>
      </c>
      <c r="BU2250" s="343">
        <f>SUMIFS($AU$1388:AU2252,$AA$1388:AA2252,"*",$AB$1388:AB2252,"*")</f>
        <v>7915.9999999997544</v>
      </c>
      <c r="BV2250" s="343">
        <f>SUMIFS($AU$1388:AU2252,$AA$1388:AA2252,"*",$AC$1388:AC2252,"*")</f>
        <v>32896.036363636529</v>
      </c>
      <c r="BW2250" s="343">
        <f>SUMIFS($AU$1388:AU2252,$AB$1388:AB2252,"*",$AC$1388:AC2252,"*")</f>
        <v>4983.9999999999991</v>
      </c>
      <c r="BX2250" s="343">
        <f>SUMIFS($AV$1388:AV2252,$Q$1388:Q2252,"F")</f>
        <v>389.44019562430162</v>
      </c>
      <c r="BY2250" s="343">
        <f>SUMIFS($AV$1388:AV2252,$Q$1388:Q2252,"S")</f>
        <v>772.61134190572739</v>
      </c>
      <c r="BZ2250" s="343">
        <f>SUMIFS($AV$1388:AV2252,$Q$1388:Q2252,"O")</f>
        <v>378.55929999967736</v>
      </c>
    </row>
    <row r="2251" spans="1:78" ht="15.75" customHeight="1">
      <c r="A2251" s="177" t="s">
        <v>6781</v>
      </c>
      <c r="B2251" s="200">
        <v>45469</v>
      </c>
      <c r="C2251" s="178" t="s">
        <v>682</v>
      </c>
      <c r="D2251" s="178" t="s">
        <v>151</v>
      </c>
      <c r="E2251" s="227"/>
      <c r="F2251" s="180"/>
      <c r="G2251" s="181" t="s">
        <v>7133</v>
      </c>
      <c r="H2251" s="182"/>
      <c r="I2251" s="182"/>
      <c r="J2251" s="182"/>
      <c r="K2251" s="183"/>
      <c r="L2251" s="182"/>
      <c r="M2251" s="182">
        <v>1</v>
      </c>
      <c r="N2251" s="182"/>
      <c r="O2251" s="183" t="s">
        <v>95</v>
      </c>
      <c r="P2251" s="183" t="s">
        <v>96</v>
      </c>
      <c r="Q2251" s="183" t="s">
        <v>97</v>
      </c>
      <c r="R2251" s="183">
        <v>50</v>
      </c>
      <c r="S2251" s="183">
        <v>0</v>
      </c>
      <c r="T2251" s="183">
        <v>50</v>
      </c>
      <c r="U2251" s="183" t="s">
        <v>97</v>
      </c>
      <c r="V2251" s="183"/>
      <c r="W2251" s="183"/>
      <c r="X2251" s="183"/>
      <c r="Y2251" s="184">
        <f t="shared" si="749"/>
        <v>0.01</v>
      </c>
      <c r="Z2251" s="185">
        <f>IF(ISBLANK(O2251),"",IF(O2251="IB",8.63*200,IF(O2251="IR",16*100,IF(O2251="YT",20*100,IF(O2251="YT-XT",24*200,IF(O2251="TED",80*100,IF(O2251="XT",29*200)))))))</f>
        <v>1600</v>
      </c>
      <c r="AA2251" s="185" t="s">
        <v>3801</v>
      </c>
      <c r="AB2251" s="185"/>
      <c r="AC2251" s="185" t="s">
        <v>4589</v>
      </c>
      <c r="AD2251" s="649">
        <v>-0.2</v>
      </c>
      <c r="AE2251" s="182"/>
      <c r="AF2251" s="332"/>
      <c r="AG2251" s="182"/>
      <c r="AH2251" s="182"/>
      <c r="AI2251" s="182"/>
      <c r="AJ2251" s="640"/>
      <c r="AK2251" s="182"/>
      <c r="AL2251" s="496">
        <f t="shared" si="747"/>
        <v>-32</v>
      </c>
      <c r="AM2251" s="496">
        <f t="shared" si="741"/>
        <v>-1600</v>
      </c>
      <c r="AN2251" s="626"/>
      <c r="AO2251" s="182"/>
      <c r="AP2251" s="182"/>
      <c r="AQ2251" s="332" t="str">
        <f>UPPER(RIGHT(Journal_Live[[#This Row],[DURATION ]]))</f>
        <v/>
      </c>
      <c r="AR2251" s="182"/>
      <c r="AS2251" s="189">
        <v>-0.2</v>
      </c>
      <c r="AT2251" s="189">
        <f t="shared" si="744"/>
        <v>0</v>
      </c>
      <c r="AU2251" s="187">
        <f t="shared" si="745"/>
        <v>0</v>
      </c>
      <c r="AV2251" s="190">
        <f t="shared" si="748"/>
        <v>0</v>
      </c>
      <c r="AW2251" s="191" t="s">
        <v>115</v>
      </c>
      <c r="AX2251" s="551"/>
      <c r="AY2251" s="551"/>
      <c r="AZ2251" s="551"/>
      <c r="BA2251" s="551"/>
      <c r="BB2251" s="551"/>
      <c r="BC2251" s="551"/>
      <c r="BD2251" s="549"/>
      <c r="BE2251" s="550"/>
      <c r="BF2251" s="549"/>
      <c r="BG2251" s="391">
        <f>SUM($AV$1389:AV2251)</f>
        <v>6520.6108375297135</v>
      </c>
      <c r="BH2251" s="392">
        <f>SUM($AU$1389:AU2251)</f>
        <v>51968.423836163201</v>
      </c>
      <c r="BI2251" s="318">
        <f>SUMIFS($AU$1388:AU2253,$Q$1388:Q2253,"F")</f>
        <v>30355.078121878127</v>
      </c>
      <c r="BJ2251" s="318">
        <f>SUMIFS($AU$1388:AU2253,$Q$1388:Q2253,"S")</f>
        <v>24130.285714285706</v>
      </c>
      <c r="BK2251" s="343">
        <f>SUMIFS($AU$1388:AU2253,$P$1388:P2253,"W")</f>
        <v>22664.143836163403</v>
      </c>
      <c r="BL2251" s="343">
        <f>SUMIFS($AU$1388:AU2253,$P$1388:P2253,"R")</f>
        <v>24408.400000000325</v>
      </c>
      <c r="BM2251" s="343">
        <f>SUMIFS($AU$1388:AU2253,$AQ$1388:AQ2253,"M")</f>
        <v>8875.1799999983887</v>
      </c>
      <c r="BN2251" s="343">
        <f>SUMIFS($AU$1388:AU2253,$AQ$1388:AQ2253,"H")</f>
        <v>11643.200000000877</v>
      </c>
      <c r="BO2251" s="343">
        <f>SUMIFS($AU$1388:AU2253,$AQ$1388:AQ2253,"D")</f>
        <v>18114.377472527347</v>
      </c>
      <c r="BP2251" s="343">
        <f>SUMIFS($AS$1388:AS2703,$AO$1388:AO2703,"W")</f>
        <v>0</v>
      </c>
      <c r="BQ2251" s="343">
        <f>SUMIFS($AU$1388:AU2253,$Q$1388:Q2253,"O")</f>
        <v>-9340.9400000006026</v>
      </c>
      <c r="BR2251" s="343">
        <f>SUMIFS($AU$1388:AU2253,$AA$1388:AA2253,"*")</f>
        <v>41081.5220779214</v>
      </c>
      <c r="BS2251" s="343">
        <f>SUMIFS($AU$1388:AU2253,$AB$1388:AB2253,"*")</f>
        <v>8595.8599999999715</v>
      </c>
      <c r="BT2251" s="343">
        <f>SUMIFS($AU$1388:AU2253,$AC$1388:AC2253,"*")</f>
        <v>40563.078121878119</v>
      </c>
      <c r="BU2251" s="343">
        <f>SUMIFS($AU$1388:AU2253,$AA$1388:AA2253,"*",$AB$1388:AB2253,"*")</f>
        <v>7915.9999999997544</v>
      </c>
      <c r="BV2251" s="343">
        <f>SUMIFS($AU$1388:AU2253,$AA$1388:AA2253,"*",$AC$1388:AC2253,"*")</f>
        <v>32896.036363636529</v>
      </c>
      <c r="BW2251" s="343">
        <f>SUMIFS($AU$1388:AU2253,$AB$1388:AB2253,"*",$AC$1388:AC2253,"*")</f>
        <v>4983.9999999999991</v>
      </c>
      <c r="BX2251" s="343">
        <f>SUMIFS($AV$1388:AV2253,$Q$1388:Q2253,"F")</f>
        <v>389.44019562430162</v>
      </c>
      <c r="BY2251" s="343">
        <f>SUMIFS($AV$1388:AV2253,$Q$1388:Q2253,"S")</f>
        <v>772.61134190572739</v>
      </c>
      <c r="BZ2251" s="343">
        <f>SUMIFS($AV$1388:AV2253,$Q$1388:Q2253,"O")</f>
        <v>378.55929999967736</v>
      </c>
    </row>
    <row r="2252" spans="1:78" ht="15.75" customHeight="1">
      <c r="A2252" s="177" t="s">
        <v>6781</v>
      </c>
      <c r="B2252" s="200">
        <v>45469</v>
      </c>
      <c r="C2252" s="178" t="s">
        <v>682</v>
      </c>
      <c r="D2252" s="178" t="s">
        <v>151</v>
      </c>
      <c r="E2252" s="227"/>
      <c r="F2252" s="180"/>
      <c r="G2252" s="294" t="s">
        <v>2807</v>
      </c>
      <c r="H2252" s="182"/>
      <c r="I2252" s="182"/>
      <c r="J2252" s="182"/>
      <c r="K2252" s="183"/>
      <c r="L2252" s="182"/>
      <c r="M2252" s="182">
        <v>1</v>
      </c>
      <c r="N2252" s="182"/>
      <c r="O2252" s="183" t="s">
        <v>95</v>
      </c>
      <c r="P2252" s="183" t="s">
        <v>96</v>
      </c>
      <c r="Q2252" s="183" t="s">
        <v>97</v>
      </c>
      <c r="R2252" s="183">
        <v>75</v>
      </c>
      <c r="S2252" s="183">
        <v>0</v>
      </c>
      <c r="T2252" s="183">
        <v>75</v>
      </c>
      <c r="U2252" s="183" t="s">
        <v>97</v>
      </c>
      <c r="V2252" s="183"/>
      <c r="W2252" s="183"/>
      <c r="X2252" s="183"/>
      <c r="Y2252" s="184">
        <f t="shared" si="749"/>
        <v>0.01</v>
      </c>
      <c r="Z2252" s="185">
        <f>IF(ISBLANK(O2252),"",IF(O2252="IB",8.63*200,IF(O2252="IR",16*100,IF(O2252="YT",20*100,IF(O2252="YT-XT",24*200,IF(O2252="TED",80*100,IF(O2252="XT",29*200)))))))</f>
        <v>1600</v>
      </c>
      <c r="AA2252" s="185" t="s">
        <v>4954</v>
      </c>
      <c r="AB2252" s="185"/>
      <c r="AC2252" s="185" t="s">
        <v>7134</v>
      </c>
      <c r="AD2252" s="649">
        <v>7.0000000000000007E-2</v>
      </c>
      <c r="AE2252" s="182"/>
      <c r="AF2252" s="332"/>
      <c r="AG2252" s="182"/>
      <c r="AH2252" s="182"/>
      <c r="AI2252" s="182"/>
      <c r="AJ2252" s="640"/>
      <c r="AK2252" s="182"/>
      <c r="AL2252" s="496">
        <f>-0.03*Z2252</f>
        <v>-48</v>
      </c>
      <c r="AM2252" s="496">
        <f t="shared" si="741"/>
        <v>-3600</v>
      </c>
      <c r="AN2252" s="626"/>
      <c r="AO2252" s="182"/>
      <c r="AP2252" s="182"/>
      <c r="AQ2252" s="332" t="s">
        <v>372</v>
      </c>
      <c r="AR2252" s="182"/>
      <c r="AS2252" s="189">
        <v>0.09</v>
      </c>
      <c r="AT2252" s="189">
        <f t="shared" si="744"/>
        <v>-1.999999999999999E-2</v>
      </c>
      <c r="AU2252" s="187">
        <f t="shared" si="745"/>
        <v>-2399.9999999999991</v>
      </c>
      <c r="AV2252" s="190">
        <f t="shared" si="746"/>
        <v>-31.999999999999986</v>
      </c>
      <c r="AW2252" s="191" t="s">
        <v>229</v>
      </c>
      <c r="AX2252" s="551" t="s">
        <v>6405</v>
      </c>
      <c r="AY2252" s="551"/>
      <c r="AZ2252" s="551"/>
      <c r="BA2252" s="551"/>
      <c r="BB2252" s="551"/>
      <c r="BC2252" s="551"/>
      <c r="BD2252" s="549"/>
      <c r="BE2252" s="550"/>
      <c r="BF2252" s="549"/>
      <c r="BG2252" s="391">
        <f>SUM($AV$1389:AV2252)</f>
        <v>6488.6108375297135</v>
      </c>
      <c r="BH2252" s="392">
        <f>SUM($AU$1389:AU2252)</f>
        <v>49568.423836163201</v>
      </c>
      <c r="BI2252" s="318">
        <f>SUMIFS($AU$1388:AU2254,$Q$1388:Q2254,"F")</f>
        <v>30355.078121878127</v>
      </c>
      <c r="BJ2252" s="318">
        <f>SUMIFS($AU$1388:AU2254,$Q$1388:Q2254,"S")</f>
        <v>20930.285714285706</v>
      </c>
      <c r="BK2252" s="343">
        <f>SUMIFS($AU$1388:AU2254,$P$1388:P2254,"W")</f>
        <v>19464.143836163403</v>
      </c>
      <c r="BL2252" s="343">
        <f>SUMIFS($AU$1388:AU2254,$P$1388:P2254,"R")</f>
        <v>24408.400000000325</v>
      </c>
      <c r="BM2252" s="343">
        <f>SUMIFS($AU$1388:AU2254,$AQ$1388:AQ2254,"M")</f>
        <v>8875.1799999983887</v>
      </c>
      <c r="BN2252" s="343">
        <f>SUMIFS($AU$1388:AU2254,$AQ$1388:AQ2254,"H")</f>
        <v>11643.200000000877</v>
      </c>
      <c r="BO2252" s="343">
        <f>SUMIFS($AU$1388:AU2254,$AQ$1388:AQ2254,"D")</f>
        <v>14914.377472527349</v>
      </c>
      <c r="BP2252" s="343">
        <f>SUMIFS($AS$1388:AS2704,$AO$1388:AO2704,"W")</f>
        <v>0</v>
      </c>
      <c r="BQ2252" s="343">
        <f>SUMIFS($AU$1388:AU2254,$Q$1388:Q2254,"O")</f>
        <v>-9340.9400000006026</v>
      </c>
      <c r="BR2252" s="343">
        <f>SUMIFS($AU$1388:AU2254,$AA$1388:AA2254,"*")</f>
        <v>37881.5220779214</v>
      </c>
      <c r="BS2252" s="343">
        <f>SUMIFS($AU$1388:AU2254,$AB$1388:AB2254,"*")</f>
        <v>8595.8599999999715</v>
      </c>
      <c r="BT2252" s="343">
        <f>SUMIFS($AU$1388:AU2254,$AC$1388:AC2254,"*")</f>
        <v>37363.078121878119</v>
      </c>
      <c r="BU2252" s="343">
        <f>SUMIFS($AU$1388:AU2254,$AA$1388:AA2254,"*",$AB$1388:AB2254,"*")</f>
        <v>7915.9999999997544</v>
      </c>
      <c r="BV2252" s="343">
        <f>SUMIFS($AU$1388:AU2254,$AA$1388:AA2254,"*",$AC$1388:AC2254,"*")</f>
        <v>29696.036363636529</v>
      </c>
      <c r="BW2252" s="343">
        <f>SUMIFS($AU$1388:AU2254,$AB$1388:AB2254,"*",$AC$1388:AC2254,"*")</f>
        <v>4983.9999999999991</v>
      </c>
      <c r="BX2252" s="343">
        <f>SUMIFS($AV$1388:AV2254,$Q$1388:Q2254,"F")</f>
        <v>389.44019562430162</v>
      </c>
      <c r="BY2252" s="343">
        <f>SUMIFS($AV$1388:AV2254,$Q$1388:Q2254,"S")</f>
        <v>708.61134190572739</v>
      </c>
      <c r="BZ2252" s="343">
        <f>SUMIFS($AV$1388:AV2254,$Q$1388:Q2254,"O")</f>
        <v>378.55929999967736</v>
      </c>
    </row>
    <row r="2253" spans="1:78" ht="15.75" customHeight="1">
      <c r="A2253" s="177" t="s">
        <v>6781</v>
      </c>
      <c r="B2253" s="200">
        <v>45469</v>
      </c>
      <c r="C2253" s="178" t="s">
        <v>682</v>
      </c>
      <c r="D2253" s="178" t="s">
        <v>151</v>
      </c>
      <c r="E2253" s="227"/>
      <c r="F2253" s="180"/>
      <c r="G2253" s="181" t="s">
        <v>5025</v>
      </c>
      <c r="H2253" s="182"/>
      <c r="I2253" s="182"/>
      <c r="J2253" s="182"/>
      <c r="K2253" s="183"/>
      <c r="L2253" s="182"/>
      <c r="M2253" s="182">
        <v>1</v>
      </c>
      <c r="N2253" s="182"/>
      <c r="O2253" s="183" t="s">
        <v>5325</v>
      </c>
      <c r="P2253" s="183" t="s">
        <v>137</v>
      </c>
      <c r="Q2253" s="183"/>
      <c r="R2253" s="183">
        <v>1</v>
      </c>
      <c r="S2253" s="183">
        <v>0</v>
      </c>
      <c r="T2253" s="183">
        <v>1</v>
      </c>
      <c r="U2253" s="183" t="s">
        <v>22</v>
      </c>
      <c r="V2253" s="183"/>
      <c r="W2253" s="183"/>
      <c r="X2253" s="183"/>
      <c r="Y2253" s="184">
        <f t="shared" si="749"/>
        <v>0.01</v>
      </c>
      <c r="Z2253" s="185">
        <f>IF(ISBLANK(O2253),"",IF(O2253="IB",8.63*200,IF(O2253="IR",16*100,IF(O2253="YT",20*100,IF(O2253="YT-XT",24*200,IF(O2253="TED",80*100,IF(O2253="IR|YT",300*100)))))))</f>
        <v>30000</v>
      </c>
      <c r="AA2253" s="185" t="s">
        <v>3801</v>
      </c>
      <c r="AB2253" s="185"/>
      <c r="AC2253" s="185"/>
      <c r="AD2253" s="649">
        <v>-0.27</v>
      </c>
      <c r="AE2253" s="182"/>
      <c r="AF2253" s="332"/>
      <c r="AG2253" s="182"/>
      <c r="AH2253" s="182"/>
      <c r="AI2253" s="182"/>
      <c r="AJ2253" s="640"/>
      <c r="AK2253" s="182"/>
      <c r="AL2253" s="496">
        <f t="shared" si="743"/>
        <v>-600</v>
      </c>
      <c r="AM2253" s="496">
        <f t="shared" si="741"/>
        <v>-600</v>
      </c>
      <c r="AN2253" s="626"/>
      <c r="AO2253" s="182"/>
      <c r="AP2253" s="182"/>
      <c r="AQ2253" s="332" t="str">
        <f>UPPER(RIGHT(Journal_Live[[#This Row],[DURATION ]]))</f>
        <v/>
      </c>
      <c r="AR2253" s="182"/>
      <c r="AS2253" s="189">
        <v>-0.26</v>
      </c>
      <c r="AT2253" s="189">
        <f t="shared" si="744"/>
        <v>1.0000000000000009E-2</v>
      </c>
      <c r="AU2253" s="187">
        <f t="shared" si="745"/>
        <v>300.00000000000028</v>
      </c>
      <c r="AV2253" s="190">
        <f t="shared" si="746"/>
        <v>300.00000000000028</v>
      </c>
      <c r="AW2253" s="191" t="s">
        <v>96</v>
      </c>
      <c r="AX2253" s="551"/>
      <c r="AY2253" s="551"/>
      <c r="AZ2253" s="551"/>
      <c r="BA2253" s="551"/>
      <c r="BB2253" s="551"/>
      <c r="BC2253" s="551"/>
      <c r="BD2253" s="549"/>
      <c r="BE2253" s="550"/>
      <c r="BF2253" s="549"/>
      <c r="BG2253" s="391">
        <f>SUM($AV$1389:AV2253)</f>
        <v>6788.6108375297135</v>
      </c>
      <c r="BH2253" s="392">
        <f>SUM($AU$1389:AU2253)</f>
        <v>49868.423836163201</v>
      </c>
      <c r="BI2253" s="318">
        <f>SUMIFS($AU$1388:AU2255,$Q$1388:Q2255,"F")</f>
        <v>30355.078121878127</v>
      </c>
      <c r="BJ2253" s="318">
        <f>SUMIFS($AU$1388:AU2255,$Q$1388:Q2255,"S")</f>
        <v>19138.285714285706</v>
      </c>
      <c r="BK2253" s="343">
        <f>SUMIFS($AU$1388:AU2255,$P$1388:P2255,"W")</f>
        <v>19464.143836163403</v>
      </c>
      <c r="BL2253" s="343">
        <f>SUMIFS($AU$1388:AU2255,$P$1388:P2255,"R")</f>
        <v>22616.400000000325</v>
      </c>
      <c r="BM2253" s="343">
        <f>SUMIFS($AU$1388:AU2255,$AQ$1388:AQ2255,"M")</f>
        <v>8875.1799999983887</v>
      </c>
      <c r="BN2253" s="343">
        <f>SUMIFS($AU$1388:AU2255,$AQ$1388:AQ2255,"H")</f>
        <v>11643.200000000877</v>
      </c>
      <c r="BO2253" s="343">
        <f>SUMIFS($AU$1388:AU2255,$AQ$1388:AQ2255,"D")</f>
        <v>13122.377472527351</v>
      </c>
      <c r="BP2253" s="343">
        <f>SUMIFS($AS$1388:AS2705,$AO$1388:AO2705,"W")</f>
        <v>0</v>
      </c>
      <c r="BQ2253" s="343">
        <f>SUMIFS($AU$1388:AU2255,$Q$1388:Q2255,"O")</f>
        <v>-9340.9400000006026</v>
      </c>
      <c r="BR2253" s="343">
        <f>SUMIFS($AU$1388:AU2255,$AA$1388:AA2255,"*")</f>
        <v>37881.5220779214</v>
      </c>
      <c r="BS2253" s="343">
        <f>SUMIFS($AU$1388:AU2255,$AB$1388:AB2255,"*")</f>
        <v>8595.8599999999715</v>
      </c>
      <c r="BT2253" s="343">
        <f>SUMIFS($AU$1388:AU2255,$AC$1388:AC2255,"*")</f>
        <v>35571.078121878119</v>
      </c>
      <c r="BU2253" s="343">
        <f>SUMIFS($AU$1388:AU2255,$AA$1388:AA2255,"*",$AB$1388:AB2255,"*")</f>
        <v>7915.9999999997544</v>
      </c>
      <c r="BV2253" s="343">
        <f>SUMIFS($AU$1388:AU2255,$AA$1388:AA2255,"*",$AC$1388:AC2255,"*")</f>
        <v>29696.036363636529</v>
      </c>
      <c r="BW2253" s="343">
        <f>SUMIFS($AU$1388:AU2255,$AB$1388:AB2255,"*",$AC$1388:AC2255,"*")</f>
        <v>4983.9999999999991</v>
      </c>
      <c r="BX2253" s="343">
        <f>SUMIFS($AV$1388:AV2255,$Q$1388:Q2255,"F")</f>
        <v>389.44019562430162</v>
      </c>
      <c r="BY2253" s="343">
        <f>SUMIFS($AV$1388:AV2255,$Q$1388:Q2255,"S")</f>
        <v>692.61134190572739</v>
      </c>
      <c r="BZ2253" s="343">
        <f>SUMIFS($AV$1388:AV2255,$Q$1388:Q2255,"O")</f>
        <v>378.55929999967736</v>
      </c>
    </row>
    <row r="2254" spans="1:78" ht="15.75" customHeight="1">
      <c r="A2254" s="177" t="s">
        <v>6781</v>
      </c>
      <c r="B2254" s="200">
        <v>45469</v>
      </c>
      <c r="C2254" s="178" t="s">
        <v>682</v>
      </c>
      <c r="D2254" s="178" t="s">
        <v>151</v>
      </c>
      <c r="E2254" s="227"/>
      <c r="F2254" s="180"/>
      <c r="G2254" s="570" t="s">
        <v>7135</v>
      </c>
      <c r="H2254" s="182"/>
      <c r="I2254" s="182"/>
      <c r="J2254" s="182"/>
      <c r="K2254" s="183"/>
      <c r="L2254" s="182"/>
      <c r="M2254" s="182">
        <v>1</v>
      </c>
      <c r="N2254" s="182"/>
      <c r="O2254" s="183" t="s">
        <v>95</v>
      </c>
      <c r="P2254" s="183" t="s">
        <v>96</v>
      </c>
      <c r="Q2254" s="183" t="s">
        <v>97</v>
      </c>
      <c r="R2254" s="183">
        <v>50</v>
      </c>
      <c r="S2254" s="183">
        <v>10</v>
      </c>
      <c r="T2254" s="183">
        <v>50</v>
      </c>
      <c r="U2254" s="183" t="s">
        <v>22</v>
      </c>
      <c r="V2254" s="183"/>
      <c r="W2254" s="183"/>
      <c r="X2254" s="183"/>
      <c r="Y2254" s="184">
        <f t="shared" si="749"/>
        <v>0.01</v>
      </c>
      <c r="Z2254" s="185">
        <f>IF(ISBLANK(O2254),"",IF(O2254="IB",8.63*200,IF(O2254="IR",16*100,IF(O2254="YT",20*100,IF(O2254="YT-XT",24*200,IF(O2254="TED",80*100,IF(O2254="IR|YT",300*100)))))))</f>
        <v>1600</v>
      </c>
      <c r="AA2254" s="185" t="s">
        <v>7136</v>
      </c>
      <c r="AB2254" s="185"/>
      <c r="AC2254" s="185" t="s">
        <v>7137</v>
      </c>
      <c r="AD2254" s="649">
        <v>-0.28000000000000003</v>
      </c>
      <c r="AE2254" s="182"/>
      <c r="AF2254" s="332"/>
      <c r="AG2254" s="182"/>
      <c r="AH2254" s="182"/>
      <c r="AI2254" s="182"/>
      <c r="AJ2254" s="640"/>
      <c r="AK2254" s="182"/>
      <c r="AL2254" s="496">
        <f>-0.03*Z2254</f>
        <v>-48</v>
      </c>
      <c r="AM2254" s="496">
        <f t="shared" si="741"/>
        <v>-1920</v>
      </c>
      <c r="AN2254" s="626"/>
      <c r="AO2254" s="182"/>
      <c r="AP2254" s="182" t="s">
        <v>589</v>
      </c>
      <c r="AQ2254" s="332" t="s">
        <v>115</v>
      </c>
      <c r="AR2254" s="298">
        <v>45471</v>
      </c>
      <c r="AS2254" s="189">
        <f>((-0.32*20)+(-0.32*30))/50</f>
        <v>-0.32</v>
      </c>
      <c r="AT2254" s="189">
        <f t="shared" si="744"/>
        <v>-3.999999999999998E-2</v>
      </c>
      <c r="AU2254" s="187">
        <f t="shared" si="745"/>
        <v>-3199.9999999999986</v>
      </c>
      <c r="AV2254" s="190">
        <f t="shared" si="746"/>
        <v>-63.999999999999972</v>
      </c>
      <c r="AW2254" s="191" t="s">
        <v>229</v>
      </c>
      <c r="AX2254" s="551" t="s">
        <v>7138</v>
      </c>
      <c r="AY2254" s="551" t="s">
        <v>7139</v>
      </c>
      <c r="AZ2254" s="551"/>
      <c r="BA2254" s="551"/>
      <c r="BB2254" s="551"/>
      <c r="BC2254" s="551"/>
      <c r="BD2254" s="549" t="s">
        <v>7140</v>
      </c>
      <c r="BE2254" s="550"/>
      <c r="BF2254" s="549"/>
      <c r="BG2254" s="391">
        <f>SUM($AV$1389:AV2254)</f>
        <v>6724.6108375297135</v>
      </c>
      <c r="BH2254" s="392">
        <f>SUM($AU$1389:AU2254)</f>
        <v>46668.423836163201</v>
      </c>
      <c r="BI2254" s="318">
        <f>SUMIFS($AU$1388:AU2256,$Q$1388:Q2256,"F")</f>
        <v>30355.078121878127</v>
      </c>
      <c r="BJ2254" s="318">
        <f>SUMIFS($AU$1388:AU2256,$Q$1388:Q2256,"S")</f>
        <v>19138.285714285706</v>
      </c>
      <c r="BK2254" s="343">
        <f>SUMIFS($AU$1388:AU2256,$P$1388:P2256,"W")</f>
        <v>19464.143836163403</v>
      </c>
      <c r="BL2254" s="343">
        <f>SUMIFS($AU$1388:AU2256,$P$1388:P2256,"R")</f>
        <v>22616.400000000325</v>
      </c>
      <c r="BM2254" s="343">
        <f>SUMIFS($AU$1388:AU2256,$AQ$1388:AQ2256,"M")</f>
        <v>8875.1799999983887</v>
      </c>
      <c r="BN2254" s="343">
        <f>SUMIFS($AU$1388:AU2256,$AQ$1388:AQ2256,"H")</f>
        <v>11643.200000000877</v>
      </c>
      <c r="BO2254" s="343">
        <f>SUMIFS($AU$1388:AU2256,$AQ$1388:AQ2256,"D")</f>
        <v>13122.377472527351</v>
      </c>
      <c r="BP2254" s="343">
        <f>SUMIFS($AS$1388:AS2706,$AO$1388:AO2706,"W")</f>
        <v>0</v>
      </c>
      <c r="BQ2254" s="343">
        <f>SUMIFS($AU$1388:AU2256,$Q$1388:Q2256,"O")</f>
        <v>-9340.9400000006026</v>
      </c>
      <c r="BR2254" s="343">
        <f>SUMIFS($AU$1388:AU2256,$AA$1388:AA2256,"*")</f>
        <v>37881.5220779214</v>
      </c>
      <c r="BS2254" s="343">
        <f>SUMIFS($AU$1388:AU2256,$AB$1388:AB2256,"*")</f>
        <v>8595.8599999999715</v>
      </c>
      <c r="BT2254" s="343">
        <f>SUMIFS($AU$1388:AU2256,$AC$1388:AC2256,"*")</f>
        <v>35571.078121878119</v>
      </c>
      <c r="BU2254" s="343">
        <f>SUMIFS($AU$1388:AU2256,$AA$1388:AA2256,"*",$AB$1388:AB2256,"*")</f>
        <v>7915.9999999997544</v>
      </c>
      <c r="BV2254" s="343">
        <f>SUMIFS($AU$1388:AU2256,$AA$1388:AA2256,"*",$AC$1388:AC2256,"*")</f>
        <v>29696.036363636529</v>
      </c>
      <c r="BW2254" s="343">
        <f>SUMIFS($AU$1388:AU2256,$AB$1388:AB2256,"*",$AC$1388:AC2256,"*")</f>
        <v>4983.9999999999991</v>
      </c>
      <c r="BX2254" s="343">
        <f>SUMIFS($AV$1388:AV2256,$Q$1388:Q2256,"F")</f>
        <v>389.44019562430162</v>
      </c>
      <c r="BY2254" s="343">
        <f>SUMIFS($AV$1388:AV2256,$Q$1388:Q2256,"S")</f>
        <v>692.61134190572739</v>
      </c>
      <c r="BZ2254" s="343">
        <f>SUMIFS($AV$1388:AV2256,$Q$1388:Q2256,"O")</f>
        <v>378.55929999967736</v>
      </c>
    </row>
    <row r="2255" spans="1:78" ht="15.75" customHeight="1">
      <c r="A2255" s="177" t="s">
        <v>6781</v>
      </c>
      <c r="B2255" s="200">
        <v>45469</v>
      </c>
      <c r="C2255" s="178" t="s">
        <v>682</v>
      </c>
      <c r="D2255" s="178" t="s">
        <v>151</v>
      </c>
      <c r="E2255" s="227"/>
      <c r="F2255" s="180"/>
      <c r="G2255" s="570" t="s">
        <v>7141</v>
      </c>
      <c r="H2255" s="182"/>
      <c r="I2255" s="182"/>
      <c r="J2255" s="182"/>
      <c r="K2255" s="183"/>
      <c r="L2255" s="182"/>
      <c r="M2255" s="182">
        <v>1</v>
      </c>
      <c r="N2255" s="182"/>
      <c r="O2255" s="183" t="s">
        <v>95</v>
      </c>
      <c r="P2255" s="183" t="s">
        <v>137</v>
      </c>
      <c r="Q2255" s="183" t="s">
        <v>97</v>
      </c>
      <c r="R2255" s="183">
        <v>112</v>
      </c>
      <c r="S2255" s="183">
        <v>46</v>
      </c>
      <c r="T2255" s="183">
        <v>112</v>
      </c>
      <c r="U2255" s="183" t="s">
        <v>22</v>
      </c>
      <c r="V2255" s="183"/>
      <c r="W2255" s="183"/>
      <c r="X2255" s="183"/>
      <c r="Y2255" s="184">
        <f t="shared" si="749"/>
        <v>0.01</v>
      </c>
      <c r="Z2255" s="185">
        <f>IF(ISBLANK(O2255),"",IF(O2255="IB",8.63*200,IF(O2255="IR",16*100,IF(O2255="YT",20*100,IF(O2255="YT-XT",24*200,IF(O2255="TED",80*100,IF(O2255="IR|YT",300*100)))))))</f>
        <v>1600</v>
      </c>
      <c r="AA2255" s="185"/>
      <c r="AB2255" s="185"/>
      <c r="AC2255" s="185" t="s">
        <v>7142</v>
      </c>
      <c r="AD2255" s="649">
        <v>-0.1</v>
      </c>
      <c r="AE2255" s="182"/>
      <c r="AF2255" s="332">
        <v>-0.12</v>
      </c>
      <c r="AG2255" s="182"/>
      <c r="AH2255" s="182"/>
      <c r="AI2255" s="182"/>
      <c r="AJ2255" s="640"/>
      <c r="AK2255" s="182"/>
      <c r="AL2255" s="496">
        <f>-0.02*Z2255</f>
        <v>-32</v>
      </c>
      <c r="AM2255" s="496">
        <f t="shared" si="741"/>
        <v>-2112</v>
      </c>
      <c r="AN2255" s="626" t="s">
        <v>151</v>
      </c>
      <c r="AO2255" s="182"/>
      <c r="AP2255" s="182" t="s">
        <v>2333</v>
      </c>
      <c r="AQ2255" s="332" t="s">
        <v>115</v>
      </c>
      <c r="AR2255" s="298">
        <v>45474</v>
      </c>
      <c r="AS2255" s="189">
        <v>-0.11</v>
      </c>
      <c r="AT2255" s="189">
        <f t="shared" si="744"/>
        <v>-9.999999999999995E-3</v>
      </c>
      <c r="AU2255" s="187">
        <f t="shared" si="745"/>
        <v>-1791.9999999999991</v>
      </c>
      <c r="AV2255" s="190">
        <f t="shared" si="746"/>
        <v>-15.999999999999993</v>
      </c>
      <c r="AW2255" s="191" t="s">
        <v>229</v>
      </c>
      <c r="AX2255" s="551"/>
      <c r="AY2255" s="551"/>
      <c r="AZ2255" s="551"/>
      <c r="BA2255" s="551"/>
      <c r="BB2255" s="551"/>
      <c r="BC2255" s="551"/>
      <c r="BD2255" s="549"/>
      <c r="BE2255" s="550"/>
      <c r="BF2255" s="549"/>
      <c r="BG2255" s="391">
        <f>SUM($AV$1389:AV2255)</f>
        <v>6708.6108375297135</v>
      </c>
      <c r="BH2255" s="392">
        <f>SUM($AU$1389:AU2255)</f>
        <v>44876.423836163201</v>
      </c>
      <c r="BI2255" s="318">
        <f>SUMIFS($AU$1388:AU2267,$Q$1388:Q2267,"F")</f>
        <v>29235.078121878127</v>
      </c>
      <c r="BJ2255" s="318">
        <f>SUMIFS($AU$1388:AU2267,$Q$1388:Q2267,"S")</f>
        <v>17938.285714285706</v>
      </c>
      <c r="BK2255" s="343">
        <f>SUMIFS($AU$1388:AU2267,$P$1388:P2267,"W")</f>
        <v>17144.143836163403</v>
      </c>
      <c r="BL2255" s="343">
        <f>SUMIFS($AU$1388:AU2267,$P$1388:P2267,"R")</f>
        <v>22616.400000000325</v>
      </c>
      <c r="BM2255" s="343">
        <f>SUMIFS($AU$1388:AU2267,$AQ$1388:AQ2267,"M")</f>
        <v>8875.1799999983887</v>
      </c>
      <c r="BN2255" s="343">
        <f>SUMIFS($AU$1388:AU2267,$AQ$1388:AQ2267,"H")</f>
        <v>11643.200000000877</v>
      </c>
      <c r="BO2255" s="343">
        <f>SUMIFS($AU$1388:AU2267,$AQ$1388:AQ2267,"D")</f>
        <v>13122.377472527351</v>
      </c>
      <c r="BP2255" s="343">
        <f>SUMIFS($AS$1388:AS2707,$AO$1388:AO2707,"W")</f>
        <v>0</v>
      </c>
      <c r="BQ2255" s="343">
        <f>SUMIFS($AU$1388:AU2267,$Q$1388:Q2267,"O")</f>
        <v>-9340.9400000006026</v>
      </c>
      <c r="BR2255" s="343">
        <f>SUMIFS($AU$1388:AU2267,$AA$1388:AA2267,"*")</f>
        <v>37881.5220779214</v>
      </c>
      <c r="BS2255" s="343">
        <f>SUMIFS($AU$1388:AU2267,$AB$1388:AB2267,"*")</f>
        <v>7475.8599999999715</v>
      </c>
      <c r="BT2255" s="343">
        <f>SUMIFS($AU$1388:AU2267,$AC$1388:AC2267,"*")</f>
        <v>33251.078121878119</v>
      </c>
      <c r="BU2255" s="343">
        <f>SUMIFS($AU$1388:AU2267,$AA$1388:AA2267,"*",$AB$1388:AB2267,"*")</f>
        <v>7915.9999999997544</v>
      </c>
      <c r="BV2255" s="343">
        <f>SUMIFS($AU$1388:AU2267,$AA$1388:AA2267,"*",$AC$1388:AC2267,"*")</f>
        <v>29696.036363636529</v>
      </c>
      <c r="BW2255" s="343">
        <f>SUMIFS($AU$1388:AU2267,$AB$1388:AB2267,"*",$AC$1388:AC2267,"*")</f>
        <v>3863.9999999999991</v>
      </c>
      <c r="BX2255" s="343">
        <f>SUMIFS($AV$1388:AV2267,$Q$1388:Q2267,"F")</f>
        <v>383.04019562430165</v>
      </c>
      <c r="BY2255" s="343">
        <f>SUMIFS($AV$1388:AV2267,$Q$1388:Q2267,"S")</f>
        <v>676.61134190572739</v>
      </c>
      <c r="BZ2255" s="343">
        <f>SUMIFS($AV$1388:AV2267,$Q$1388:Q2267,"O")</f>
        <v>378.55929999967736</v>
      </c>
    </row>
    <row r="2256" spans="1:78" ht="15.75" customHeight="1">
      <c r="A2256" s="177" t="s">
        <v>6781</v>
      </c>
      <c r="B2256" s="200">
        <v>45469</v>
      </c>
      <c r="C2256" s="178" t="s">
        <v>682</v>
      </c>
      <c r="D2256" s="178" t="s">
        <v>151</v>
      </c>
      <c r="E2256" s="227"/>
      <c r="F2256" s="180"/>
      <c r="G2256" s="181" t="s">
        <v>7141</v>
      </c>
      <c r="H2256" s="182"/>
      <c r="I2256" s="182"/>
      <c r="J2256" s="182"/>
      <c r="K2256" s="183"/>
      <c r="L2256" s="182"/>
      <c r="M2256" s="182"/>
      <c r="N2256" s="182"/>
      <c r="O2256" s="183"/>
      <c r="P2256" s="183"/>
      <c r="Q2256" s="183"/>
      <c r="R2256" s="183"/>
      <c r="S2256" s="183"/>
      <c r="T2256" s="183"/>
      <c r="U2256" s="183"/>
      <c r="V2256" s="183"/>
      <c r="W2256" s="183"/>
      <c r="X2256" s="183"/>
      <c r="Y2256" s="184"/>
      <c r="Z2256" s="185"/>
      <c r="AA2256" s="185"/>
      <c r="AB2256" s="185"/>
      <c r="AC2256" s="185"/>
      <c r="AD2256" s="649"/>
      <c r="AE2256" s="182"/>
      <c r="AF2256" s="332"/>
      <c r="AG2256" s="182"/>
      <c r="AH2256" s="182"/>
      <c r="AI2256" s="182"/>
      <c r="AJ2256" s="640"/>
      <c r="AK2256" s="182"/>
      <c r="AL2256" s="496">
        <f>0*Z2256</f>
        <v>0</v>
      </c>
      <c r="AM2256" s="496">
        <f t="shared" si="741"/>
        <v>0</v>
      </c>
      <c r="AN2256" s="626"/>
      <c r="AO2256" s="182"/>
      <c r="AP2256" s="182"/>
      <c r="AQ2256" s="332" t="str">
        <f>UPPER(RIGHT(Journal_Live[[#This Row],[DURATION ]]))</f>
        <v/>
      </c>
      <c r="AR2256" s="182"/>
      <c r="AS2256" s="189"/>
      <c r="AT2256" s="189">
        <f t="shared" si="744"/>
        <v>0</v>
      </c>
      <c r="AU2256" s="187">
        <f t="shared" si="745"/>
        <v>0</v>
      </c>
      <c r="AV2256" s="190">
        <f t="shared" ref="AV2256" si="750">IF(ISBLANK(AS2256),,(AT2256*Z2256))</f>
        <v>0</v>
      </c>
      <c r="AW2256" s="191"/>
      <c r="AX2256" s="551" t="s">
        <v>7143</v>
      </c>
      <c r="AY2256" s="549"/>
      <c r="AZ2256" s="551"/>
      <c r="BA2256" s="551"/>
      <c r="BB2256" s="551"/>
      <c r="BC2256" s="551"/>
      <c r="BD2256" s="549"/>
      <c r="BE2256" s="550"/>
      <c r="BF2256" s="549"/>
      <c r="BG2256" s="391">
        <f>SUM($AV$1389:AV2256)</f>
        <v>6708.6108375297135</v>
      </c>
      <c r="BH2256" s="392">
        <f>SUM($AU$1389:AU2256)</f>
        <v>44876.423836163201</v>
      </c>
      <c r="BI2256" s="318">
        <f>SUMIFS($AU$1388:AU2277,$Q$1388:Q2277,"F")</f>
        <v>29235.078121878127</v>
      </c>
      <c r="BJ2256" s="318">
        <f>SUMIFS($AU$1388:AU2277,$Q$1388:Q2277,"S")</f>
        <v>17938.285714285706</v>
      </c>
      <c r="BK2256" s="343">
        <f>SUMIFS($AU$1388:AU2277,$P$1388:P2277,"W")</f>
        <v>17144.143836163403</v>
      </c>
      <c r="BL2256" s="343">
        <f>SUMIFS($AU$1388:AU2277,$P$1388:P2277,"R")</f>
        <v>22616.400000000325</v>
      </c>
      <c r="BM2256" s="343">
        <f>SUMIFS($AU$1388:AU2277,$AQ$1388:AQ2277,"M")</f>
        <v>8875.1799999983887</v>
      </c>
      <c r="BN2256" s="343">
        <f>SUMIFS($AU$1388:AU2277,$AQ$1388:AQ2277,"H")</f>
        <v>11643.200000000877</v>
      </c>
      <c r="BO2256" s="343">
        <f>SUMIFS($AU$1388:AU2277,$AQ$1388:AQ2277,"D")</f>
        <v>13122.377472527351</v>
      </c>
      <c r="BP2256" s="343">
        <f>SUMIFS($AS$1388:AS2708,$AO$1388:AO2708,"W")</f>
        <v>0</v>
      </c>
      <c r="BQ2256" s="343">
        <f>SUMIFS($AU$1388:AU2277,$Q$1388:Q2277,"O")</f>
        <v>-9340.9400000006026</v>
      </c>
      <c r="BR2256" s="343">
        <f>SUMIFS($AU$1388:AU2277,$AA$1388:AA2277,"*")</f>
        <v>37881.5220779214</v>
      </c>
      <c r="BS2256" s="343">
        <f>SUMIFS($AU$1388:AU2277,$AB$1388:AB2277,"*")</f>
        <v>7475.8599999999715</v>
      </c>
      <c r="BT2256" s="343">
        <f>SUMIFS($AU$1388:AU2277,$AC$1388:AC2277,"*")</f>
        <v>33251.078121878119</v>
      </c>
      <c r="BU2256" s="343">
        <f>SUMIFS($AU$1388:AU2277,$AA$1388:AA2277,"*",$AB$1388:AB2277,"*")</f>
        <v>7915.9999999997544</v>
      </c>
      <c r="BV2256" s="343">
        <f>SUMIFS($AU$1388:AU2277,$AA$1388:AA2277,"*",$AC$1388:AC2277,"*")</f>
        <v>29696.036363636529</v>
      </c>
      <c r="BW2256" s="343">
        <f>SUMIFS($AU$1388:AU2277,$AB$1388:AB2277,"*",$AC$1388:AC2277,"*")</f>
        <v>3863.9999999999991</v>
      </c>
      <c r="BX2256" s="343">
        <f>SUMIFS($AV$1388:AV2277,$Q$1388:Q2277,"F")</f>
        <v>383.04019562430165</v>
      </c>
      <c r="BY2256" s="343">
        <f>SUMIFS($AV$1388:AV2277,$Q$1388:Q2277,"S")</f>
        <v>676.61134190572739</v>
      </c>
      <c r="BZ2256" s="343">
        <f>SUMIFS($AV$1388:AV2277,$Q$1388:Q2277,"O")</f>
        <v>378.55929999967736</v>
      </c>
    </row>
    <row r="2257" spans="1:78" ht="15.75" customHeight="1">
      <c r="A2257" s="177" t="s">
        <v>6781</v>
      </c>
      <c r="B2257" s="200"/>
      <c r="C2257" s="178"/>
      <c r="D2257" s="178"/>
      <c r="E2257" s="227"/>
      <c r="F2257" s="180"/>
      <c r="G2257" s="181"/>
      <c r="H2257" s="182"/>
      <c r="I2257" s="182"/>
      <c r="J2257" s="182"/>
      <c r="K2257" s="183"/>
      <c r="L2257" s="182"/>
      <c r="M2257" s="182"/>
      <c r="N2257" s="182"/>
      <c r="O2257" s="183"/>
      <c r="P2257" s="183"/>
      <c r="Q2257" s="183"/>
      <c r="R2257" s="183"/>
      <c r="S2257" s="183"/>
      <c r="T2257" s="183"/>
      <c r="U2257" s="183"/>
      <c r="V2257" s="183"/>
      <c r="W2257" s="183"/>
      <c r="X2257" s="183"/>
      <c r="Y2257" s="184"/>
      <c r="Z2257" s="185"/>
      <c r="AA2257" s="185"/>
      <c r="AB2257" s="185"/>
      <c r="AC2257" s="185"/>
      <c r="AD2257" s="649"/>
      <c r="AE2257" s="182"/>
      <c r="AF2257" s="332"/>
      <c r="AG2257" s="182"/>
      <c r="AH2257" s="182"/>
      <c r="AI2257" s="182"/>
      <c r="AJ2257" s="640"/>
      <c r="AK2257" s="182"/>
      <c r="AL2257" s="496">
        <f t="shared" ref="AL2257:AL2263" si="751">-0.02*Z2257</f>
        <v>0</v>
      </c>
      <c r="AM2257" s="496">
        <f t="shared" si="741"/>
        <v>0</v>
      </c>
      <c r="AN2257" s="626"/>
      <c r="AO2257" s="182"/>
      <c r="AP2257" s="182"/>
      <c r="AQ2257" s="332" t="str">
        <f>UPPER(RIGHT(Journal_Live[[#This Row],[DURATION ]]))</f>
        <v/>
      </c>
      <c r="AR2257" s="182"/>
      <c r="AS2257" s="189"/>
      <c r="AT2257" s="189">
        <f t="shared" si="744"/>
        <v>0</v>
      </c>
      <c r="AU2257" s="187">
        <f t="shared" si="745"/>
        <v>0</v>
      </c>
      <c r="AV2257" s="190">
        <f t="shared" ref="AV2257:AV2262" si="752">IF(ISBLANK(AS2257),,(AT2257*Z2257))</f>
        <v>0</v>
      </c>
      <c r="AW2257" s="191"/>
      <c r="AX2257" s="551" t="s">
        <v>7144</v>
      </c>
      <c r="AY2257" s="549" t="s">
        <v>7145</v>
      </c>
      <c r="AZ2257" s="551" t="s">
        <v>7146</v>
      </c>
      <c r="BA2257" s="551" t="s">
        <v>7147</v>
      </c>
      <c r="BB2257" s="549" t="s">
        <v>7148</v>
      </c>
      <c r="BC2257" s="551"/>
      <c r="BD2257" s="549" t="s">
        <v>7149</v>
      </c>
      <c r="BE2257" s="550"/>
      <c r="BF2257" s="549"/>
      <c r="BG2257" s="391">
        <f>SUM($AV$1389:AV2257)</f>
        <v>6708.6108375297135</v>
      </c>
      <c r="BH2257" s="392">
        <f>SUM($AU$1389:AU2257)</f>
        <v>44876.423836163201</v>
      </c>
      <c r="BI2257" s="318">
        <f>SUMIFS($AU$1388:AU2259,$Q$1388:Q2259,"F")</f>
        <v>30355.078121878127</v>
      </c>
      <c r="BJ2257" s="318">
        <f>SUMIFS($AU$1388:AU2259,$Q$1388:Q2259,"S")</f>
        <v>19138.285714285706</v>
      </c>
      <c r="BK2257" s="343">
        <f>SUMIFS($AU$1388:AU2259,$P$1388:P2259,"W")</f>
        <v>19464.143836163403</v>
      </c>
      <c r="BL2257" s="343">
        <f>SUMIFS($AU$1388:AU2259,$P$1388:P2259,"R")</f>
        <v>22616.400000000325</v>
      </c>
      <c r="BM2257" s="343">
        <f>SUMIFS($AU$1388:AU2259,$AQ$1388:AQ2259,"M")</f>
        <v>8875.1799999983887</v>
      </c>
      <c r="BN2257" s="343">
        <f>SUMIFS($AU$1388:AU2259,$AQ$1388:AQ2259,"H")</f>
        <v>11643.200000000877</v>
      </c>
      <c r="BO2257" s="343">
        <f>SUMIFS($AU$1388:AU2259,$AQ$1388:AQ2259,"D")</f>
        <v>13122.377472527351</v>
      </c>
      <c r="BP2257" s="343">
        <f>SUMIFS($AS$1388:AS2699,$AO$1388:AO2699,"W")</f>
        <v>0</v>
      </c>
      <c r="BQ2257" s="343">
        <f>SUMIFS($AU$1388:AU2259,$Q$1388:Q2259,"O")</f>
        <v>-9340.9400000006026</v>
      </c>
      <c r="BR2257" s="343">
        <f>SUMIFS($AU$1388:AU2259,$AA$1388:AA2259,"*")</f>
        <v>37881.5220779214</v>
      </c>
      <c r="BS2257" s="343">
        <f>SUMIFS($AU$1388:AU2259,$AB$1388:AB2259,"*")</f>
        <v>8595.8599999999715</v>
      </c>
      <c r="BT2257" s="343">
        <f>SUMIFS($AU$1388:AU2259,$AC$1388:AC2259,"*")</f>
        <v>35571.078121878119</v>
      </c>
      <c r="BU2257" s="343">
        <f>SUMIFS($AU$1388:AU2259,$AA$1388:AA2259,"*",$AB$1388:AB2259,"*")</f>
        <v>7915.9999999997544</v>
      </c>
      <c r="BV2257" s="343">
        <f>SUMIFS($AU$1388:AU2259,$AA$1388:AA2259,"*",$AC$1388:AC2259,"*")</f>
        <v>29696.036363636529</v>
      </c>
      <c r="BW2257" s="343">
        <f>SUMIFS($AU$1388:AU2259,$AB$1388:AB2259,"*",$AC$1388:AC2259,"*")</f>
        <v>4983.9999999999991</v>
      </c>
      <c r="BX2257" s="343">
        <f>SUMIFS($AV$1388:AV2259,$Q$1388:Q2259,"F")</f>
        <v>389.44019562430162</v>
      </c>
      <c r="BY2257" s="343">
        <f>SUMIFS($AV$1388:AV2259,$Q$1388:Q2259,"S")</f>
        <v>692.61134190572739</v>
      </c>
      <c r="BZ2257" s="343">
        <f>SUMIFS($AV$1388:AV2259,$Q$1388:Q2259,"O")</f>
        <v>378.55929999967736</v>
      </c>
    </row>
    <row r="2258" spans="1:78" ht="15.75" customHeight="1">
      <c r="A2258" s="177" t="s">
        <v>6781</v>
      </c>
      <c r="B2258" s="200">
        <v>45469</v>
      </c>
      <c r="C2258" s="178" t="s">
        <v>682</v>
      </c>
      <c r="D2258" s="178" t="s">
        <v>151</v>
      </c>
      <c r="E2258" s="227"/>
      <c r="F2258" s="180"/>
      <c r="G2258" s="181" t="s">
        <v>2016</v>
      </c>
      <c r="H2258" s="182"/>
      <c r="I2258" s="182"/>
      <c r="J2258" s="182"/>
      <c r="K2258" s="183"/>
      <c r="L2258" s="182"/>
      <c r="M2258" s="182"/>
      <c r="N2258" s="182"/>
      <c r="O2258" s="183"/>
      <c r="P2258" s="183"/>
      <c r="Q2258" s="183"/>
      <c r="R2258" s="183"/>
      <c r="S2258" s="183"/>
      <c r="T2258" s="183"/>
      <c r="U2258" s="183"/>
      <c r="V2258" s="183"/>
      <c r="W2258" s="183"/>
      <c r="X2258" s="183"/>
      <c r="Y2258" s="184"/>
      <c r="Z2258" s="185"/>
      <c r="AA2258" s="185"/>
      <c r="AB2258" s="185"/>
      <c r="AC2258" s="185"/>
      <c r="AD2258" s="649"/>
      <c r="AE2258" s="182"/>
      <c r="AF2258" s="332"/>
      <c r="AG2258" s="182"/>
      <c r="AH2258" s="182"/>
      <c r="AI2258" s="182"/>
      <c r="AJ2258" s="640"/>
      <c r="AK2258" s="182"/>
      <c r="AL2258" s="496">
        <f t="shared" si="751"/>
        <v>0</v>
      </c>
      <c r="AM2258" s="496">
        <f t="shared" si="741"/>
        <v>0</v>
      </c>
      <c r="AN2258" s="626"/>
      <c r="AO2258" s="182"/>
      <c r="AP2258" s="182"/>
      <c r="AQ2258" s="332" t="str">
        <f>UPPER(RIGHT(Journal_Live[[#This Row],[DURATION ]]))</f>
        <v/>
      </c>
      <c r="AR2258" s="182"/>
      <c r="AS2258" s="189"/>
      <c r="AT2258" s="189">
        <f t="shared" si="744"/>
        <v>0</v>
      </c>
      <c r="AU2258" s="187">
        <f t="shared" si="745"/>
        <v>0</v>
      </c>
      <c r="AV2258" s="190">
        <f t="shared" si="752"/>
        <v>0</v>
      </c>
      <c r="AW2258" s="191"/>
      <c r="AX2258" s="551"/>
      <c r="AY2258" s="551"/>
      <c r="AZ2258" s="551"/>
      <c r="BA2258" s="551"/>
      <c r="BB2258" s="551"/>
      <c r="BC2258" s="551"/>
      <c r="BD2258" s="549"/>
      <c r="BE2258" s="550"/>
      <c r="BF2258" s="549"/>
      <c r="BG2258" s="391">
        <f>SUM($AV$1389:AV2258)</f>
        <v>6708.6108375297135</v>
      </c>
      <c r="BH2258" s="392">
        <f>SUM($AU$1389:AU2258)</f>
        <v>44876.423836163201</v>
      </c>
      <c r="BI2258" s="318">
        <f>SUMIFS($AU$1388:AU2260,$Q$1388:Q2260,"F")</f>
        <v>30355.078121878127</v>
      </c>
      <c r="BJ2258" s="318">
        <f>SUMIFS($AU$1388:AU2260,$Q$1388:Q2260,"S")</f>
        <v>19138.285714285706</v>
      </c>
      <c r="BK2258" s="343">
        <f>SUMIFS($AU$1388:AU2260,$P$1388:P2260,"W")</f>
        <v>19464.143836163403</v>
      </c>
      <c r="BL2258" s="343">
        <f>SUMIFS($AU$1388:AU2260,$P$1388:P2260,"R")</f>
        <v>22616.400000000325</v>
      </c>
      <c r="BM2258" s="343">
        <f>SUMIFS($AU$1388:AU2260,$AQ$1388:AQ2260,"M")</f>
        <v>8875.1799999983887</v>
      </c>
      <c r="BN2258" s="343">
        <f>SUMIFS($AU$1388:AU2260,$AQ$1388:AQ2260,"H")</f>
        <v>11643.200000000877</v>
      </c>
      <c r="BO2258" s="343">
        <f>SUMIFS($AU$1388:AU2260,$AQ$1388:AQ2260,"D")</f>
        <v>13122.377472527351</v>
      </c>
      <c r="BP2258" s="343">
        <f>SUMIFS($AS$1388:AS2700,$AO$1388:AO2700,"W")</f>
        <v>0</v>
      </c>
      <c r="BQ2258" s="343">
        <f>SUMIFS($AU$1388:AU2260,$Q$1388:Q2260,"O")</f>
        <v>-9340.9400000006026</v>
      </c>
      <c r="BR2258" s="343">
        <f>SUMIFS($AU$1388:AU2260,$AA$1388:AA2260,"*")</f>
        <v>37881.5220779214</v>
      </c>
      <c r="BS2258" s="343">
        <f>SUMIFS($AU$1388:AU2260,$AB$1388:AB2260,"*")</f>
        <v>8595.8599999999715</v>
      </c>
      <c r="BT2258" s="343">
        <f>SUMIFS($AU$1388:AU2260,$AC$1388:AC2260,"*")</f>
        <v>35571.078121878119</v>
      </c>
      <c r="BU2258" s="343">
        <f>SUMIFS($AU$1388:AU2260,$AA$1388:AA2260,"*",$AB$1388:AB2260,"*")</f>
        <v>7915.9999999997544</v>
      </c>
      <c r="BV2258" s="343">
        <f>SUMIFS($AU$1388:AU2260,$AA$1388:AA2260,"*",$AC$1388:AC2260,"*")</f>
        <v>29696.036363636529</v>
      </c>
      <c r="BW2258" s="343">
        <f>SUMIFS($AU$1388:AU2260,$AB$1388:AB2260,"*",$AC$1388:AC2260,"*")</f>
        <v>4983.9999999999991</v>
      </c>
      <c r="BX2258" s="343">
        <f>SUMIFS($AV$1388:AV2260,$Q$1388:Q2260,"F")</f>
        <v>389.44019562430162</v>
      </c>
      <c r="BY2258" s="343">
        <f>SUMIFS($AV$1388:AV2260,$Q$1388:Q2260,"S")</f>
        <v>692.61134190572739</v>
      </c>
      <c r="BZ2258" s="343">
        <f>SUMIFS($AV$1388:AV2260,$Q$1388:Q2260,"O")</f>
        <v>378.55929999967736</v>
      </c>
    </row>
    <row r="2259" spans="1:78" ht="15.75" customHeight="1">
      <c r="A2259" s="177" t="s">
        <v>6781</v>
      </c>
      <c r="B2259" s="200"/>
      <c r="C2259" s="178"/>
      <c r="D2259" s="178"/>
      <c r="E2259" s="227"/>
      <c r="F2259" s="180"/>
      <c r="G2259" s="181"/>
      <c r="H2259" s="182"/>
      <c r="I2259" s="182"/>
      <c r="J2259" s="182"/>
      <c r="K2259" s="183"/>
      <c r="L2259" s="182"/>
      <c r="M2259" s="182"/>
      <c r="N2259" s="182"/>
      <c r="O2259" s="183"/>
      <c r="P2259" s="183"/>
      <c r="Q2259" s="183"/>
      <c r="R2259" s="183"/>
      <c r="S2259" s="183"/>
      <c r="T2259" s="183"/>
      <c r="U2259" s="183"/>
      <c r="V2259" s="183"/>
      <c r="W2259" s="183"/>
      <c r="X2259" s="183"/>
      <c r="Y2259" s="184"/>
      <c r="Z2259" s="185"/>
      <c r="AA2259" s="185"/>
      <c r="AB2259" s="185"/>
      <c r="AC2259" s="185"/>
      <c r="AD2259" s="649"/>
      <c r="AE2259" s="182"/>
      <c r="AF2259" s="332"/>
      <c r="AG2259" s="182"/>
      <c r="AH2259" s="182"/>
      <c r="AI2259" s="182"/>
      <c r="AJ2259" s="640"/>
      <c r="AK2259" s="182"/>
      <c r="AL2259" s="496">
        <f t="shared" si="751"/>
        <v>0</v>
      </c>
      <c r="AM2259" s="496">
        <f t="shared" si="741"/>
        <v>0</v>
      </c>
      <c r="AN2259" s="626"/>
      <c r="AO2259" s="182"/>
      <c r="AP2259" s="182"/>
      <c r="AQ2259" s="332" t="str">
        <f>UPPER(RIGHT(Journal_Live[[#This Row],[DURATION ]]))</f>
        <v/>
      </c>
      <c r="AR2259" s="182"/>
      <c r="AS2259" s="189"/>
      <c r="AT2259" s="189">
        <f t="shared" si="744"/>
        <v>0</v>
      </c>
      <c r="AU2259" s="187">
        <f t="shared" si="745"/>
        <v>0</v>
      </c>
      <c r="AV2259" s="190">
        <f t="shared" si="752"/>
        <v>0</v>
      </c>
      <c r="AW2259" s="191"/>
      <c r="AX2259" s="551" t="s">
        <v>7150</v>
      </c>
      <c r="AY2259" s="551" t="s">
        <v>7151</v>
      </c>
      <c r="AZ2259" s="551" t="s">
        <v>7152</v>
      </c>
      <c r="BA2259" s="551" t="s">
        <v>7153</v>
      </c>
      <c r="BB2259" s="551" t="s">
        <v>7154</v>
      </c>
      <c r="BC2259" s="551"/>
      <c r="BD2259" s="549"/>
      <c r="BE2259" s="550"/>
      <c r="BF2259" s="549"/>
      <c r="BG2259" s="391">
        <f>SUM($AV$1389:AV2259)</f>
        <v>6708.6108375297135</v>
      </c>
      <c r="BH2259" s="392">
        <f>SUM($AU$1389:AU2259)</f>
        <v>44876.423836163201</v>
      </c>
      <c r="BI2259" s="318">
        <f>SUMIFS($AU$1388:AU2261,$Q$1388:Q2261,"F")</f>
        <v>30355.078121878127</v>
      </c>
      <c r="BJ2259" s="318">
        <f>SUMIFS($AU$1388:AU2261,$Q$1388:Q2261,"S")</f>
        <v>17938.285714285706</v>
      </c>
      <c r="BK2259" s="343">
        <f>SUMIFS($AU$1388:AU2261,$P$1388:P2261,"W")</f>
        <v>18264.143836163403</v>
      </c>
      <c r="BL2259" s="343">
        <f>SUMIFS($AU$1388:AU2261,$P$1388:P2261,"R")</f>
        <v>22616.400000000325</v>
      </c>
      <c r="BM2259" s="343">
        <f>SUMIFS($AU$1388:AU2261,$AQ$1388:AQ2261,"M")</f>
        <v>8875.1799999983887</v>
      </c>
      <c r="BN2259" s="343">
        <f>SUMIFS($AU$1388:AU2261,$AQ$1388:AQ2261,"H")</f>
        <v>11643.200000000877</v>
      </c>
      <c r="BO2259" s="343">
        <f>SUMIFS($AU$1388:AU2261,$AQ$1388:AQ2261,"D")</f>
        <v>13122.377472527351</v>
      </c>
      <c r="BP2259" s="343">
        <f>SUMIFS($AS$1388:AS2701,$AO$1388:AO2701,"W")</f>
        <v>0</v>
      </c>
      <c r="BQ2259" s="343">
        <f>SUMIFS($AU$1388:AU2261,$Q$1388:Q2261,"O")</f>
        <v>-9340.9400000006026</v>
      </c>
      <c r="BR2259" s="343">
        <f>SUMIFS($AU$1388:AU2261,$AA$1388:AA2261,"*")</f>
        <v>37881.5220779214</v>
      </c>
      <c r="BS2259" s="343">
        <f>SUMIFS($AU$1388:AU2261,$AB$1388:AB2261,"*")</f>
        <v>8595.8599999999715</v>
      </c>
      <c r="BT2259" s="343">
        <f>SUMIFS($AU$1388:AU2261,$AC$1388:AC2261,"*")</f>
        <v>34371.078121878119</v>
      </c>
      <c r="BU2259" s="343">
        <f>SUMIFS($AU$1388:AU2261,$AA$1388:AA2261,"*",$AB$1388:AB2261,"*")</f>
        <v>7915.9999999997544</v>
      </c>
      <c r="BV2259" s="343">
        <f>SUMIFS($AU$1388:AU2261,$AA$1388:AA2261,"*",$AC$1388:AC2261,"*")</f>
        <v>29696.036363636529</v>
      </c>
      <c r="BW2259" s="343">
        <f>SUMIFS($AU$1388:AU2261,$AB$1388:AB2261,"*",$AC$1388:AC2261,"*")</f>
        <v>4983.9999999999991</v>
      </c>
      <c r="BX2259" s="343">
        <f>SUMIFS($AV$1388:AV2261,$Q$1388:Q2261,"F")</f>
        <v>389.44019562430162</v>
      </c>
      <c r="BY2259" s="343">
        <f>SUMIFS($AV$1388:AV2261,$Q$1388:Q2261,"S")</f>
        <v>676.61134190572739</v>
      </c>
      <c r="BZ2259" s="343">
        <f>SUMIFS($AV$1388:AV2261,$Q$1388:Q2261,"O")</f>
        <v>378.55929999967736</v>
      </c>
    </row>
    <row r="2260" spans="1:78" ht="15.75" customHeight="1">
      <c r="A2260" s="177" t="s">
        <v>6781</v>
      </c>
      <c r="B2260" s="200"/>
      <c r="C2260" s="178"/>
      <c r="D2260" s="178"/>
      <c r="E2260" s="227"/>
      <c r="F2260" s="180"/>
      <c r="G2260" s="181"/>
      <c r="H2260" s="182"/>
      <c r="I2260" s="182"/>
      <c r="J2260" s="182"/>
      <c r="K2260" s="183"/>
      <c r="L2260" s="182"/>
      <c r="M2260" s="182"/>
      <c r="N2260" s="182"/>
      <c r="O2260" s="183"/>
      <c r="P2260" s="183"/>
      <c r="Q2260" s="183"/>
      <c r="R2260" s="183"/>
      <c r="S2260" s="183"/>
      <c r="T2260" s="183"/>
      <c r="U2260" s="183"/>
      <c r="V2260" s="183"/>
      <c r="W2260" s="183"/>
      <c r="X2260" s="183"/>
      <c r="Y2260" s="184"/>
      <c r="Z2260" s="185"/>
      <c r="AA2260" s="185"/>
      <c r="AB2260" s="185"/>
      <c r="AC2260" s="185"/>
      <c r="AD2260" s="649"/>
      <c r="AE2260" s="182"/>
      <c r="AF2260" s="332"/>
      <c r="AG2260" s="182"/>
      <c r="AH2260" s="182"/>
      <c r="AI2260" s="182"/>
      <c r="AJ2260" s="640"/>
      <c r="AK2260" s="182"/>
      <c r="AL2260" s="496">
        <f t="shared" si="751"/>
        <v>0</v>
      </c>
      <c r="AM2260" s="496">
        <f t="shared" si="741"/>
        <v>0</v>
      </c>
      <c r="AN2260" s="626"/>
      <c r="AO2260" s="182"/>
      <c r="AP2260" s="182"/>
      <c r="AQ2260" s="332" t="str">
        <f>UPPER(RIGHT(Journal_Live[[#This Row],[DURATION ]]))</f>
        <v/>
      </c>
      <c r="AR2260" s="182"/>
      <c r="AS2260" s="189"/>
      <c r="AT2260" s="189">
        <f t="shared" si="744"/>
        <v>0</v>
      </c>
      <c r="AU2260" s="187">
        <f t="shared" si="745"/>
        <v>0</v>
      </c>
      <c r="AV2260" s="190">
        <f t="shared" si="752"/>
        <v>0</v>
      </c>
      <c r="AW2260" s="191"/>
      <c r="AX2260" s="551" t="s">
        <v>7155</v>
      </c>
      <c r="AY2260" s="551" t="s">
        <v>7156</v>
      </c>
      <c r="AZ2260" s="551" t="s">
        <v>7157</v>
      </c>
      <c r="BA2260" s="551" t="s">
        <v>7158</v>
      </c>
      <c r="BB2260" s="551"/>
      <c r="BC2260" s="551"/>
      <c r="BD2260" s="549"/>
      <c r="BE2260" s="550"/>
      <c r="BF2260" s="549"/>
      <c r="BG2260" s="391">
        <f>SUM($AV$1389:AV2260)</f>
        <v>6708.6108375297135</v>
      </c>
      <c r="BH2260" s="392">
        <f>SUM($AU$1389:AU2260)</f>
        <v>44876.423836163201</v>
      </c>
      <c r="BI2260" s="318">
        <f>SUMIFS($AU$1388:AU2262,$Q$1388:Q2262,"F")</f>
        <v>29235.078121878127</v>
      </c>
      <c r="BJ2260" s="318">
        <f>SUMIFS($AU$1388:AU2262,$Q$1388:Q2262,"S")</f>
        <v>17938.285714285706</v>
      </c>
      <c r="BK2260" s="343">
        <f>SUMIFS($AU$1388:AU2262,$P$1388:P2262,"W")</f>
        <v>17144.143836163403</v>
      </c>
      <c r="BL2260" s="343">
        <f>SUMIFS($AU$1388:AU2262,$P$1388:P2262,"R")</f>
        <v>22616.400000000325</v>
      </c>
      <c r="BM2260" s="343">
        <f>SUMIFS($AU$1388:AU2262,$AQ$1388:AQ2262,"M")</f>
        <v>8875.1799999983887</v>
      </c>
      <c r="BN2260" s="343">
        <f>SUMIFS($AU$1388:AU2262,$AQ$1388:AQ2262,"H")</f>
        <v>11643.200000000877</v>
      </c>
      <c r="BO2260" s="343">
        <f>SUMIFS($AU$1388:AU2262,$AQ$1388:AQ2262,"D")</f>
        <v>13122.377472527351</v>
      </c>
      <c r="BP2260" s="343">
        <f>SUMIFS($AS$1388:AS2702,$AO$1388:AO2702,"W")</f>
        <v>0</v>
      </c>
      <c r="BQ2260" s="343">
        <f>SUMIFS($AU$1388:AU2262,$Q$1388:Q2262,"O")</f>
        <v>-9340.9400000006026</v>
      </c>
      <c r="BR2260" s="343">
        <f>SUMIFS($AU$1388:AU2262,$AA$1388:AA2262,"*")</f>
        <v>37881.5220779214</v>
      </c>
      <c r="BS2260" s="343">
        <f>SUMIFS($AU$1388:AU2262,$AB$1388:AB2262,"*")</f>
        <v>7475.8599999999715</v>
      </c>
      <c r="BT2260" s="343">
        <f>SUMIFS($AU$1388:AU2262,$AC$1388:AC2262,"*")</f>
        <v>33251.078121878119</v>
      </c>
      <c r="BU2260" s="343">
        <f>SUMIFS($AU$1388:AU2262,$AA$1388:AA2262,"*",$AB$1388:AB2262,"*")</f>
        <v>7915.9999999997544</v>
      </c>
      <c r="BV2260" s="343">
        <f>SUMIFS($AU$1388:AU2262,$AA$1388:AA2262,"*",$AC$1388:AC2262,"*")</f>
        <v>29696.036363636529</v>
      </c>
      <c r="BW2260" s="343">
        <f>SUMIFS($AU$1388:AU2262,$AB$1388:AB2262,"*",$AC$1388:AC2262,"*")</f>
        <v>3863.9999999999991</v>
      </c>
      <c r="BX2260" s="343">
        <f>SUMIFS($AV$1388:AV2262,$Q$1388:Q2262,"F")</f>
        <v>383.04019562430165</v>
      </c>
      <c r="BY2260" s="343">
        <f>SUMIFS($AV$1388:AV2262,$Q$1388:Q2262,"S")</f>
        <v>676.61134190572739</v>
      </c>
      <c r="BZ2260" s="343">
        <f>SUMIFS($AV$1388:AV2262,$Q$1388:Q2262,"O")</f>
        <v>378.55929999967736</v>
      </c>
    </row>
    <row r="2261" spans="1:78" ht="15.75" customHeight="1">
      <c r="A2261" s="177" t="s">
        <v>6781</v>
      </c>
      <c r="B2261" s="200">
        <v>45469</v>
      </c>
      <c r="C2261" s="178" t="s">
        <v>2253</v>
      </c>
      <c r="D2261" s="178" t="s">
        <v>151</v>
      </c>
      <c r="E2261" s="227"/>
      <c r="F2261" s="180"/>
      <c r="G2261" s="497" t="s">
        <v>7159</v>
      </c>
      <c r="H2261" s="182"/>
      <c r="I2261" s="182"/>
      <c r="J2261" s="182"/>
      <c r="K2261" s="183"/>
      <c r="L2261" s="182"/>
      <c r="M2261" s="182">
        <v>1</v>
      </c>
      <c r="N2261" s="182"/>
      <c r="O2261" s="183" t="s">
        <v>95</v>
      </c>
      <c r="P2261" s="183" t="s">
        <v>96</v>
      </c>
      <c r="Q2261" s="183" t="s">
        <v>97</v>
      </c>
      <c r="R2261" s="183">
        <v>75</v>
      </c>
      <c r="S2261" s="183">
        <v>75</v>
      </c>
      <c r="T2261" s="183">
        <v>175</v>
      </c>
      <c r="U2261" s="183" t="s">
        <v>22</v>
      </c>
      <c r="V2261" s="183"/>
      <c r="W2261" s="183"/>
      <c r="X2261" s="183"/>
      <c r="Y2261" s="184">
        <f>IF(ISBLANK(O2261),"",(IF(O2261=UPPER("IB"),0.005,0.01)))</f>
        <v>0.01</v>
      </c>
      <c r="Z2261" s="185">
        <f>IF(ISBLANK(O2261),"",IF(O2261="IB",8.63*200,IF(O2261="IR",16*100,IF(O2261="YT",20*100,IF(O2261="YT-XT",24*200,IF(O2261="TED",80*100,IF(O2261="IR|YT",300*100)))))))</f>
        <v>1600</v>
      </c>
      <c r="AA2261" s="185"/>
      <c r="AB2261" s="185"/>
      <c r="AC2261" s="185" t="s">
        <v>7034</v>
      </c>
      <c r="AD2261" s="649">
        <f>-0.19</f>
        <v>-0.19</v>
      </c>
      <c r="AE2261" s="182"/>
      <c r="AF2261" s="332"/>
      <c r="AG2261" s="182"/>
      <c r="AH2261" s="182"/>
      <c r="AI2261" s="182"/>
      <c r="AJ2261" s="640"/>
      <c r="AK2261" s="182"/>
      <c r="AL2261" s="496">
        <f t="shared" si="751"/>
        <v>-32</v>
      </c>
      <c r="AM2261" s="496">
        <f t="shared" si="741"/>
        <v>0</v>
      </c>
      <c r="AN2261" s="626"/>
      <c r="AO2261" s="182"/>
      <c r="AP2261" s="182"/>
      <c r="AQ2261" s="332" t="str">
        <f>UPPER(RIGHT(Journal_Live[[#This Row],[DURATION ]]))</f>
        <v/>
      </c>
      <c r="AR2261" s="182"/>
      <c r="AS2261" s="189">
        <v>-0.2</v>
      </c>
      <c r="AT2261" s="189">
        <f t="shared" si="744"/>
        <v>-1.0000000000000009E-2</v>
      </c>
      <c r="AU2261" s="187">
        <f t="shared" si="745"/>
        <v>-1200.0000000000011</v>
      </c>
      <c r="AV2261" s="190">
        <f t="shared" si="752"/>
        <v>-16.000000000000014</v>
      </c>
      <c r="AW2261" s="191" t="s">
        <v>229</v>
      </c>
      <c r="AX2261" s="576" t="s">
        <v>7160</v>
      </c>
      <c r="AY2261" s="551" t="s">
        <v>7161</v>
      </c>
      <c r="AZ2261" s="551" t="s">
        <v>7162</v>
      </c>
      <c r="BA2261" s="551"/>
      <c r="BB2261" s="551"/>
      <c r="BC2261" s="551"/>
      <c r="BD2261" s="549"/>
      <c r="BE2261" s="550"/>
      <c r="BF2261" s="549"/>
      <c r="BG2261" s="391">
        <f>SUM($AV$1389:AV2261)</f>
        <v>6692.6108375297135</v>
      </c>
      <c r="BH2261" s="392">
        <f>SUM($AU$1389:AU2261)</f>
        <v>43676.423836163201</v>
      </c>
      <c r="BI2261" s="318">
        <f>SUMIFS($AU$1388:AU2263,$Q$1388:Q2263,"F")</f>
        <v>29235.078121878127</v>
      </c>
      <c r="BJ2261" s="318">
        <f>SUMIFS($AU$1388:AU2263,$Q$1388:Q2263,"S")</f>
        <v>17938.285714285706</v>
      </c>
      <c r="BK2261" s="343">
        <f>SUMIFS($AU$1388:AU2263,$P$1388:P2263,"W")</f>
        <v>17144.143836163403</v>
      </c>
      <c r="BL2261" s="343">
        <f>SUMIFS($AU$1388:AU2263,$P$1388:P2263,"R")</f>
        <v>22616.400000000325</v>
      </c>
      <c r="BM2261" s="343">
        <f>SUMIFS($AU$1388:AU2263,$AQ$1388:AQ2263,"M")</f>
        <v>8875.1799999983887</v>
      </c>
      <c r="BN2261" s="343">
        <f>SUMIFS($AU$1388:AU2263,$AQ$1388:AQ2263,"H")</f>
        <v>11643.200000000877</v>
      </c>
      <c r="BO2261" s="343">
        <f>SUMIFS($AU$1388:AU2263,$AQ$1388:AQ2263,"D")</f>
        <v>13122.377472527351</v>
      </c>
      <c r="BP2261" s="343">
        <f>SUMIFS($AS$1388:AS2703,$AO$1388:AO2703,"W")</f>
        <v>0</v>
      </c>
      <c r="BQ2261" s="343">
        <f>SUMIFS($AU$1388:AU2263,$Q$1388:Q2263,"O")</f>
        <v>-9340.9400000006026</v>
      </c>
      <c r="BR2261" s="343">
        <f>SUMIFS($AU$1388:AU2263,$AA$1388:AA2263,"*")</f>
        <v>37881.5220779214</v>
      </c>
      <c r="BS2261" s="343">
        <f>SUMIFS($AU$1388:AU2263,$AB$1388:AB2263,"*")</f>
        <v>7475.8599999999715</v>
      </c>
      <c r="BT2261" s="343">
        <f>SUMIFS($AU$1388:AU2263,$AC$1388:AC2263,"*")</f>
        <v>33251.078121878119</v>
      </c>
      <c r="BU2261" s="343">
        <f>SUMIFS($AU$1388:AU2263,$AA$1388:AA2263,"*",$AB$1388:AB2263,"*")</f>
        <v>7915.9999999997544</v>
      </c>
      <c r="BV2261" s="343">
        <f>SUMIFS($AU$1388:AU2263,$AA$1388:AA2263,"*",$AC$1388:AC2263,"*")</f>
        <v>29696.036363636529</v>
      </c>
      <c r="BW2261" s="343">
        <f>SUMIFS($AU$1388:AU2263,$AB$1388:AB2263,"*",$AC$1388:AC2263,"*")</f>
        <v>3863.9999999999991</v>
      </c>
      <c r="BX2261" s="343">
        <f>SUMIFS($AV$1388:AV2263,$Q$1388:Q2263,"F")</f>
        <v>383.04019562430165</v>
      </c>
      <c r="BY2261" s="343">
        <f>SUMIFS($AV$1388:AV2263,$Q$1388:Q2263,"S")</f>
        <v>676.61134190572739</v>
      </c>
      <c r="BZ2261" s="343">
        <f>SUMIFS($AV$1388:AV2263,$Q$1388:Q2263,"O")</f>
        <v>378.55929999967736</v>
      </c>
    </row>
    <row r="2262" spans="1:78" ht="15.75" customHeight="1">
      <c r="A2262" s="177" t="s">
        <v>6781</v>
      </c>
      <c r="B2262" s="200">
        <v>45471</v>
      </c>
      <c r="C2262" s="178" t="s">
        <v>3137</v>
      </c>
      <c r="D2262" s="178" t="s">
        <v>111</v>
      </c>
      <c r="E2262" s="227"/>
      <c r="F2262" s="180"/>
      <c r="G2262" s="553" t="s">
        <v>7163</v>
      </c>
      <c r="H2262" s="182"/>
      <c r="I2262" s="182"/>
      <c r="J2262" s="182"/>
      <c r="K2262" s="183"/>
      <c r="L2262" s="182"/>
      <c r="M2262" s="182">
        <v>1</v>
      </c>
      <c r="N2262" s="182"/>
      <c r="O2262" s="183" t="s">
        <v>95</v>
      </c>
      <c r="P2262" s="183" t="s">
        <v>96</v>
      </c>
      <c r="Q2262" s="183" t="s">
        <v>256</v>
      </c>
      <c r="R2262" s="183">
        <v>175</v>
      </c>
      <c r="S2262" s="183">
        <v>140</v>
      </c>
      <c r="T2262" s="183">
        <v>75</v>
      </c>
      <c r="U2262" s="183" t="s">
        <v>97</v>
      </c>
      <c r="V2262" s="183"/>
      <c r="W2262" s="183"/>
      <c r="X2262" s="183"/>
      <c r="Y2262" s="184">
        <f>IF(ISBLANK(O2262),"",(IF(O2262=UPPER("IB"),0.005,0.01)))</f>
        <v>0.01</v>
      </c>
      <c r="Z2262" s="185">
        <f>IF(ISBLANK(O2262),"",IF(O2262="IB",8.63*200,IF(O2262="IR",16*100,IF(O2262="YT",20*100,IF(O2262="YT-XT",24*200,IF(O2262="TED",80*100,IF(O2262="IR|YT",300*100)))))))</f>
        <v>1600</v>
      </c>
      <c r="AA2262" s="185"/>
      <c r="AB2262" s="185" t="s">
        <v>7164</v>
      </c>
      <c r="AC2262" s="185" t="s">
        <v>6755</v>
      </c>
      <c r="AD2262" s="649">
        <v>-0.01</v>
      </c>
      <c r="AE2262" s="182"/>
      <c r="AF2262" s="332">
        <v>0</v>
      </c>
      <c r="AG2262" s="182"/>
      <c r="AH2262" s="182" t="s">
        <v>7165</v>
      </c>
      <c r="AI2262" s="182"/>
      <c r="AJ2262" s="640"/>
      <c r="AK2262" s="182"/>
      <c r="AL2262" s="496">
        <f t="shared" si="751"/>
        <v>-32</v>
      </c>
      <c r="AM2262" s="496">
        <f t="shared" si="741"/>
        <v>-1120</v>
      </c>
      <c r="AN2262" s="626" t="s">
        <v>151</v>
      </c>
      <c r="AO2262" s="182"/>
      <c r="AP2262" s="182"/>
      <c r="AQ2262" s="332" t="str">
        <f>UPPER(RIGHT(Journal_Live[[#This Row],[DURATION ]]))</f>
        <v/>
      </c>
      <c r="AR2262" s="182"/>
      <c r="AS2262" s="189">
        <f>((-0.01*105)+(0*12)+(0*58))/175</f>
        <v>-6.0000000000000001E-3</v>
      </c>
      <c r="AT2262" s="189">
        <f t="shared" si="744"/>
        <v>-4.0000000000000001E-3</v>
      </c>
      <c r="AU2262" s="187">
        <f t="shared" si="745"/>
        <v>-1120</v>
      </c>
      <c r="AV2262" s="190">
        <f t="shared" si="752"/>
        <v>-6.4</v>
      </c>
      <c r="AW2262" s="191" t="s">
        <v>229</v>
      </c>
      <c r="AX2262" s="551" t="s">
        <v>7166</v>
      </c>
      <c r="AY2262" s="551" t="s">
        <v>7167</v>
      </c>
      <c r="AZ2262" s="551" t="s">
        <v>7168</v>
      </c>
      <c r="BA2262" s="549" t="s">
        <v>7169</v>
      </c>
      <c r="BB2262" s="549" t="s">
        <v>7170</v>
      </c>
      <c r="BC2262" s="549" t="s">
        <v>7171</v>
      </c>
      <c r="BD2262" s="549" t="s">
        <v>7172</v>
      </c>
      <c r="BE2262" s="550"/>
      <c r="BF2262" s="549"/>
      <c r="BG2262" s="391">
        <f>SUM($AV$1389:AV2262)</f>
        <v>6686.2108375297139</v>
      </c>
      <c r="BH2262" s="392">
        <f>SUM($AU$1389:AU2262)</f>
        <v>42556.423836163201</v>
      </c>
      <c r="BI2262" s="318">
        <f>SUMIFS($AU$1388:AU2264,$Q$1388:Q2264,"F")</f>
        <v>29235.078121878127</v>
      </c>
      <c r="BJ2262" s="318">
        <f>SUMIFS($AU$1388:AU2264,$Q$1388:Q2264,"S")</f>
        <v>17938.285714285706</v>
      </c>
      <c r="BK2262" s="343">
        <f>SUMIFS($AU$1388:AU2264,$P$1388:P2264,"W")</f>
        <v>17144.143836163403</v>
      </c>
      <c r="BL2262" s="343">
        <f>SUMIFS($AU$1388:AU2264,$P$1388:P2264,"R")</f>
        <v>22616.400000000325</v>
      </c>
      <c r="BM2262" s="343">
        <f>SUMIFS($AU$1388:AU2264,$AQ$1388:AQ2264,"M")</f>
        <v>8875.1799999983887</v>
      </c>
      <c r="BN2262" s="343">
        <f>SUMIFS($AU$1388:AU2264,$AQ$1388:AQ2264,"H")</f>
        <v>11643.200000000877</v>
      </c>
      <c r="BO2262" s="343">
        <f>SUMIFS($AU$1388:AU2264,$AQ$1388:AQ2264,"D")</f>
        <v>13122.377472527351</v>
      </c>
      <c r="BP2262" s="343">
        <f>SUMIFS($AS$1388:AS2704,$AO$1388:AO2704,"W")</f>
        <v>0</v>
      </c>
      <c r="BQ2262" s="343">
        <f>SUMIFS($AU$1388:AU2264,$Q$1388:Q2264,"O")</f>
        <v>-9340.9400000006026</v>
      </c>
      <c r="BR2262" s="343">
        <f>SUMIFS($AU$1388:AU2264,$AA$1388:AA2264,"*")</f>
        <v>37881.5220779214</v>
      </c>
      <c r="BS2262" s="343">
        <f>SUMIFS($AU$1388:AU2264,$AB$1388:AB2264,"*")</f>
        <v>7475.8599999999715</v>
      </c>
      <c r="BT2262" s="343">
        <f>SUMIFS($AU$1388:AU2264,$AC$1388:AC2264,"*")</f>
        <v>33251.078121878119</v>
      </c>
      <c r="BU2262" s="343">
        <f>SUMIFS($AU$1388:AU2264,$AA$1388:AA2264,"*",$AB$1388:AB2264,"*")</f>
        <v>7915.9999999997544</v>
      </c>
      <c r="BV2262" s="343">
        <f>SUMIFS($AU$1388:AU2264,$AA$1388:AA2264,"*",$AC$1388:AC2264,"*")</f>
        <v>29696.036363636529</v>
      </c>
      <c r="BW2262" s="343">
        <f>SUMIFS($AU$1388:AU2264,$AB$1388:AB2264,"*",$AC$1388:AC2264,"*")</f>
        <v>3863.9999999999991</v>
      </c>
      <c r="BX2262" s="343">
        <f>SUMIFS($AV$1388:AV2264,$Q$1388:Q2264,"F")</f>
        <v>383.04019562430165</v>
      </c>
      <c r="BY2262" s="343">
        <f>SUMIFS($AV$1388:AV2264,$Q$1388:Q2264,"S")</f>
        <v>676.61134190572739</v>
      </c>
      <c r="BZ2262" s="343">
        <f>SUMIFS($AV$1388:AV2264,$Q$1388:Q2264,"O")</f>
        <v>378.55929999967736</v>
      </c>
    </row>
    <row r="2263" spans="1:78" ht="15.75" customHeight="1">
      <c r="A2263" s="177" t="s">
        <v>6781</v>
      </c>
      <c r="B2263" s="200"/>
      <c r="C2263" s="178"/>
      <c r="D2263" s="178"/>
      <c r="E2263" s="227"/>
      <c r="F2263" s="180"/>
      <c r="G2263" s="181"/>
      <c r="H2263" s="182"/>
      <c r="I2263" s="182"/>
      <c r="J2263" s="182"/>
      <c r="K2263" s="183"/>
      <c r="L2263" s="182"/>
      <c r="M2263" s="182"/>
      <c r="N2263" s="182"/>
      <c r="O2263" s="183"/>
      <c r="P2263" s="183"/>
      <c r="Q2263" s="183"/>
      <c r="R2263" s="183"/>
      <c r="S2263" s="183"/>
      <c r="T2263" s="183"/>
      <c r="U2263" s="183"/>
      <c r="V2263" s="183"/>
      <c r="W2263" s="183"/>
      <c r="X2263" s="183"/>
      <c r="Y2263" s="183"/>
      <c r="Z2263" s="183"/>
      <c r="AA2263" s="185"/>
      <c r="AB2263" s="185"/>
      <c r="AC2263" s="185"/>
      <c r="AD2263" s="649"/>
      <c r="AE2263" s="182"/>
      <c r="AF2263" s="332"/>
      <c r="AG2263" s="182"/>
      <c r="AH2263" s="182"/>
      <c r="AI2263" s="182"/>
      <c r="AJ2263" s="640"/>
      <c r="AK2263" s="182"/>
      <c r="AL2263" s="496">
        <f t="shared" si="751"/>
        <v>0</v>
      </c>
      <c r="AM2263" s="496">
        <f t="shared" si="741"/>
        <v>0</v>
      </c>
      <c r="AN2263" s="626"/>
      <c r="AO2263" s="182"/>
      <c r="AP2263" s="182"/>
      <c r="AQ2263" s="332" t="str">
        <f>UPPER(RIGHT(Journal_Live[[#This Row],[DURATION ]]))</f>
        <v/>
      </c>
      <c r="AR2263" s="182"/>
      <c r="AS2263" s="189"/>
      <c r="AT2263" s="189"/>
      <c r="AU2263" s="187"/>
      <c r="AV2263" s="190"/>
      <c r="AW2263" s="191"/>
      <c r="AX2263" s="551" t="s">
        <v>7173</v>
      </c>
      <c r="AY2263" s="551" t="s">
        <v>7174</v>
      </c>
      <c r="AZ2263" s="551" t="s">
        <v>7175</v>
      </c>
      <c r="BA2263" s="551" t="s">
        <v>7176</v>
      </c>
      <c r="BB2263" s="551" t="s">
        <v>7177</v>
      </c>
      <c r="BC2263" s="549" t="s">
        <v>7178</v>
      </c>
      <c r="BD2263" s="549" t="s">
        <v>7179</v>
      </c>
      <c r="BE2263" s="550" t="s">
        <v>7180</v>
      </c>
      <c r="BF2263" s="549" t="s">
        <v>7181</v>
      </c>
      <c r="BG2263" s="391">
        <f>SUM($AV$1389:AV2263)</f>
        <v>6686.2108375297139</v>
      </c>
      <c r="BH2263" s="392">
        <f>SUM($AU$1389:AU2263)</f>
        <v>42556.423836163201</v>
      </c>
      <c r="BI2263" s="318">
        <f>SUMIFS($AU$1388:AU2265,$Q$1388:Q2265,"F")</f>
        <v>29235.078121878127</v>
      </c>
      <c r="BJ2263" s="318">
        <f>SUMIFS($AU$1388:AU2265,$Q$1388:Q2265,"S")</f>
        <v>17938.285714285706</v>
      </c>
      <c r="BK2263" s="343">
        <f>SUMIFS($AU$1388:AU2265,$P$1388:P2265,"W")</f>
        <v>17144.143836163403</v>
      </c>
      <c r="BL2263" s="343">
        <f>SUMIFS($AU$1388:AU2265,$P$1388:P2265,"R")</f>
        <v>22616.400000000325</v>
      </c>
      <c r="BM2263" s="343">
        <f>SUMIFS($AU$1388:AU2265,$AQ$1388:AQ2265,"M")</f>
        <v>8875.1799999983887</v>
      </c>
      <c r="BN2263" s="343">
        <f>SUMIFS($AU$1388:AU2265,$AQ$1388:AQ2265,"H")</f>
        <v>11643.200000000877</v>
      </c>
      <c r="BO2263" s="343">
        <f>SUMIFS($AU$1388:AU2265,$AQ$1388:AQ2265,"D")</f>
        <v>13122.377472527351</v>
      </c>
      <c r="BP2263" s="343">
        <f>SUMIFS($AS$1388:AS2705,$AO$1388:AO2705,"W")</f>
        <v>0</v>
      </c>
      <c r="BQ2263" s="343">
        <f>SUMIFS($AU$1388:AU2265,$Q$1388:Q2265,"O")</f>
        <v>-9340.9400000006026</v>
      </c>
      <c r="BR2263" s="343">
        <f>SUMIFS($AU$1388:AU2265,$AA$1388:AA2265,"*")</f>
        <v>37881.5220779214</v>
      </c>
      <c r="BS2263" s="343">
        <f>SUMIFS($AU$1388:AU2265,$AB$1388:AB2265,"*")</f>
        <v>7475.8599999999715</v>
      </c>
      <c r="BT2263" s="343">
        <f>SUMIFS($AU$1388:AU2265,$AC$1388:AC2265,"*")</f>
        <v>33251.078121878119</v>
      </c>
      <c r="BU2263" s="343">
        <f>SUMIFS($AU$1388:AU2265,$AA$1388:AA2265,"*",$AB$1388:AB2265,"*")</f>
        <v>7915.9999999997544</v>
      </c>
      <c r="BV2263" s="343">
        <f>SUMIFS($AU$1388:AU2265,$AA$1388:AA2265,"*",$AC$1388:AC2265,"*")</f>
        <v>29696.036363636529</v>
      </c>
      <c r="BW2263" s="343">
        <f>SUMIFS($AU$1388:AU2265,$AB$1388:AB2265,"*",$AC$1388:AC2265,"*")</f>
        <v>3863.9999999999991</v>
      </c>
      <c r="BX2263" s="343">
        <f>SUMIFS($AV$1388:AV2265,$Q$1388:Q2265,"F")</f>
        <v>383.04019562430165</v>
      </c>
      <c r="BY2263" s="343">
        <f>SUMIFS($AV$1388:AV2265,$Q$1388:Q2265,"S")</f>
        <v>676.61134190572739</v>
      </c>
      <c r="BZ2263" s="343">
        <f>SUMIFS($AV$1388:AV2265,$Q$1388:Q2265,"O")</f>
        <v>378.55929999967736</v>
      </c>
    </row>
    <row r="2264" spans="1:78" ht="15.75" customHeight="1">
      <c r="A2264" s="177" t="s">
        <v>6781</v>
      </c>
      <c r="B2264" s="200"/>
      <c r="C2264" s="178"/>
      <c r="D2264" s="178"/>
      <c r="E2264" s="227"/>
      <c r="F2264" s="180"/>
      <c r="G2264" s="181"/>
      <c r="H2264" s="182"/>
      <c r="I2264" s="182"/>
      <c r="J2264" s="182"/>
      <c r="K2264" s="183"/>
      <c r="L2264" s="182"/>
      <c r="M2264" s="182"/>
      <c r="N2264" s="182"/>
      <c r="O2264" s="183"/>
      <c r="P2264" s="183"/>
      <c r="Q2264" s="183"/>
      <c r="R2264" s="183"/>
      <c r="S2264" s="183"/>
      <c r="T2264" s="183"/>
      <c r="U2264" s="183"/>
      <c r="V2264" s="183"/>
      <c r="W2264" s="183"/>
      <c r="X2264" s="183"/>
      <c r="Y2264" s="183"/>
      <c r="Z2264" s="183"/>
      <c r="AA2264" s="185"/>
      <c r="AB2264" s="185"/>
      <c r="AC2264" s="185"/>
      <c r="AD2264" s="649"/>
      <c r="AE2264" s="182"/>
      <c r="AF2264" s="332"/>
      <c r="AG2264" s="182"/>
      <c r="AH2264" s="182"/>
      <c r="AI2264" s="182"/>
      <c r="AJ2264" s="640"/>
      <c r="AK2264" s="182"/>
      <c r="AL2264" s="496">
        <f t="shared" si="742"/>
        <v>0</v>
      </c>
      <c r="AM2264" s="496">
        <f t="shared" ref="AM2264:AM2280" si="753">AL2264*(R2264-S2264)</f>
        <v>0</v>
      </c>
      <c r="AN2264" s="626"/>
      <c r="AO2264" s="182"/>
      <c r="AP2264" s="182"/>
      <c r="AQ2264" s="332" t="str">
        <f>UPPER(RIGHT(Journal_Live[[#This Row],[DURATION ]]))</f>
        <v/>
      </c>
      <c r="AR2264" s="182"/>
      <c r="AS2264" s="189"/>
      <c r="AT2264" s="189"/>
      <c r="AU2264" s="187"/>
      <c r="AV2264" s="190"/>
      <c r="AW2264" s="191"/>
      <c r="AX2264" s="551" t="s">
        <v>7182</v>
      </c>
      <c r="AY2264" s="551" t="s">
        <v>7183</v>
      </c>
      <c r="AZ2264" s="551" t="s">
        <v>7184</v>
      </c>
      <c r="BA2264" s="551" t="s">
        <v>7185</v>
      </c>
      <c r="BB2264" s="551" t="s">
        <v>7186</v>
      </c>
      <c r="BC2264" s="551" t="s">
        <v>7187</v>
      </c>
      <c r="BD2264" s="549"/>
      <c r="BE2264" s="550"/>
      <c r="BF2264" s="549"/>
      <c r="BG2264" s="391">
        <f>SUM($AV$1389:AV2264)</f>
        <v>6686.2108375297139</v>
      </c>
      <c r="BH2264" s="392">
        <f>SUM($AU$1389:AU2264)</f>
        <v>42556.423836163201</v>
      </c>
      <c r="BI2264" s="318">
        <f>SUMIFS($AU$1388:AU2266,$Q$1388:Q2266,"F")</f>
        <v>29235.078121878127</v>
      </c>
      <c r="BJ2264" s="318">
        <f>SUMIFS($AU$1388:AU2266,$Q$1388:Q2266,"S")</f>
        <v>17938.285714285706</v>
      </c>
      <c r="BK2264" s="343">
        <f>SUMIFS($AU$1388:AU2266,$P$1388:P2266,"W")</f>
        <v>17144.143836163403</v>
      </c>
      <c r="BL2264" s="343">
        <f>SUMIFS($AU$1388:AU2266,$P$1388:P2266,"R")</f>
        <v>22616.400000000325</v>
      </c>
      <c r="BM2264" s="343">
        <f>SUMIFS($AU$1388:AU2266,$AQ$1388:AQ2266,"M")</f>
        <v>8875.1799999983887</v>
      </c>
      <c r="BN2264" s="343">
        <f>SUMIFS($AU$1388:AU2266,$AQ$1388:AQ2266,"H")</f>
        <v>11643.200000000877</v>
      </c>
      <c r="BO2264" s="343">
        <f>SUMIFS($AU$1388:AU2266,$AQ$1388:AQ2266,"D")</f>
        <v>13122.377472527351</v>
      </c>
      <c r="BP2264" s="343">
        <f>SUMIFS($AS$1388:AS2706,$AO$1388:AO2706,"W")</f>
        <v>0</v>
      </c>
      <c r="BQ2264" s="343">
        <f>SUMIFS($AU$1388:AU2266,$Q$1388:Q2266,"O")</f>
        <v>-9340.9400000006026</v>
      </c>
      <c r="BR2264" s="343">
        <f>SUMIFS($AU$1388:AU2266,$AA$1388:AA2266,"*")</f>
        <v>37881.5220779214</v>
      </c>
      <c r="BS2264" s="343">
        <f>SUMIFS($AU$1388:AU2266,$AB$1388:AB2266,"*")</f>
        <v>7475.8599999999715</v>
      </c>
      <c r="BT2264" s="343">
        <f>SUMIFS($AU$1388:AU2266,$AC$1388:AC2266,"*")</f>
        <v>33251.078121878119</v>
      </c>
      <c r="BU2264" s="343">
        <f>SUMIFS($AU$1388:AU2266,$AA$1388:AA2266,"*",$AB$1388:AB2266,"*")</f>
        <v>7915.9999999997544</v>
      </c>
      <c r="BV2264" s="343">
        <f>SUMIFS($AU$1388:AU2266,$AA$1388:AA2266,"*",$AC$1388:AC2266,"*")</f>
        <v>29696.036363636529</v>
      </c>
      <c r="BW2264" s="343">
        <f>SUMIFS($AU$1388:AU2266,$AB$1388:AB2266,"*",$AC$1388:AC2266,"*")</f>
        <v>3863.9999999999991</v>
      </c>
      <c r="BX2264" s="343">
        <f>SUMIFS($AV$1388:AV2266,$Q$1388:Q2266,"F")</f>
        <v>383.04019562430165</v>
      </c>
      <c r="BY2264" s="343">
        <f>SUMIFS($AV$1388:AV2266,$Q$1388:Q2266,"S")</f>
        <v>676.61134190572739</v>
      </c>
      <c r="BZ2264" s="343">
        <f>SUMIFS($AV$1388:AV2266,$Q$1388:Q2266,"O")</f>
        <v>378.55929999967736</v>
      </c>
    </row>
    <row r="2265" spans="1:78" ht="15.75" customHeight="1">
      <c r="A2265" s="177" t="s">
        <v>6781</v>
      </c>
      <c r="B2265" s="200"/>
      <c r="C2265" s="178"/>
      <c r="D2265" s="178"/>
      <c r="E2265" s="227"/>
      <c r="F2265" s="180"/>
      <c r="G2265" s="181"/>
      <c r="H2265" s="182"/>
      <c r="I2265" s="182"/>
      <c r="J2265" s="182"/>
      <c r="K2265" s="183"/>
      <c r="L2265" s="182"/>
      <c r="M2265" s="182"/>
      <c r="N2265" s="182"/>
      <c r="O2265" s="183"/>
      <c r="P2265" s="183"/>
      <c r="Q2265" s="183"/>
      <c r="R2265" s="183"/>
      <c r="S2265" s="183"/>
      <c r="T2265" s="183"/>
      <c r="U2265" s="183"/>
      <c r="V2265" s="183"/>
      <c r="W2265" s="183"/>
      <c r="X2265" s="183"/>
      <c r="Y2265" s="183"/>
      <c r="Z2265" s="183"/>
      <c r="AA2265" s="185"/>
      <c r="AB2265" s="185"/>
      <c r="AC2265" s="185"/>
      <c r="AD2265" s="649"/>
      <c r="AE2265" s="182"/>
      <c r="AF2265" s="332"/>
      <c r="AG2265" s="182"/>
      <c r="AH2265" s="182"/>
      <c r="AI2265" s="182"/>
      <c r="AJ2265" s="640"/>
      <c r="AK2265" s="182"/>
      <c r="AL2265" s="496">
        <f t="shared" si="742"/>
        <v>0</v>
      </c>
      <c r="AM2265" s="496">
        <f t="shared" si="753"/>
        <v>0</v>
      </c>
      <c r="AN2265" s="626"/>
      <c r="AO2265" s="182"/>
      <c r="AP2265" s="182"/>
      <c r="AQ2265" s="332" t="str">
        <f>UPPER(RIGHT(Journal_Live[[#This Row],[DURATION ]]))</f>
        <v/>
      </c>
      <c r="AR2265" s="182"/>
      <c r="AS2265" s="189"/>
      <c r="AT2265" s="189"/>
      <c r="AU2265" s="187"/>
      <c r="AV2265" s="190"/>
      <c r="AW2265" s="191"/>
      <c r="AX2265" s="551" t="s">
        <v>7188</v>
      </c>
      <c r="AY2265" s="549" t="s">
        <v>7189</v>
      </c>
      <c r="AZ2265" s="551" t="s">
        <v>7190</v>
      </c>
      <c r="BA2265" s="551"/>
      <c r="BB2265" s="551"/>
      <c r="BC2265" s="551"/>
      <c r="BD2265" s="549"/>
      <c r="BE2265" s="550"/>
      <c r="BF2265" s="549"/>
      <c r="BG2265" s="391">
        <f>SUM($AV$1389:AV2265)</f>
        <v>6686.2108375297139</v>
      </c>
      <c r="BH2265" s="392">
        <f>SUM($AU$1389:AU2265)</f>
        <v>42556.423836163201</v>
      </c>
      <c r="BI2265" s="318">
        <f>SUMIFS($AU$1388:AU2267,$Q$1388:Q2267,"F")</f>
        <v>29235.078121878127</v>
      </c>
      <c r="BJ2265" s="318">
        <f>SUMIFS($AU$1388:AU2267,$Q$1388:Q2267,"S")</f>
        <v>17938.285714285706</v>
      </c>
      <c r="BK2265" s="343">
        <f>SUMIFS($AU$1388:AU2267,$P$1388:P2267,"W")</f>
        <v>17144.143836163403</v>
      </c>
      <c r="BL2265" s="343">
        <f>SUMIFS($AU$1388:AU2267,$P$1388:P2267,"R")</f>
        <v>22616.400000000325</v>
      </c>
      <c r="BM2265" s="343">
        <f>SUMIFS($AU$1388:AU2267,$AQ$1388:AQ2267,"M")</f>
        <v>8875.1799999983887</v>
      </c>
      <c r="BN2265" s="343">
        <f>SUMIFS($AU$1388:AU2267,$AQ$1388:AQ2267,"H")</f>
        <v>11643.200000000877</v>
      </c>
      <c r="BO2265" s="343">
        <f>SUMIFS($AU$1388:AU2267,$AQ$1388:AQ2267,"D")</f>
        <v>13122.377472527351</v>
      </c>
      <c r="BP2265" s="343">
        <f>SUMIFS($AS$1388:AS2707,$AO$1388:AO2707,"W")</f>
        <v>0</v>
      </c>
      <c r="BQ2265" s="343">
        <f>SUMIFS($AU$1388:AU2267,$Q$1388:Q2267,"O")</f>
        <v>-9340.9400000006026</v>
      </c>
      <c r="BR2265" s="343">
        <f>SUMIFS($AU$1388:AU2267,$AA$1388:AA2267,"*")</f>
        <v>37881.5220779214</v>
      </c>
      <c r="BS2265" s="343">
        <f>SUMIFS($AU$1388:AU2267,$AB$1388:AB2267,"*")</f>
        <v>7475.8599999999715</v>
      </c>
      <c r="BT2265" s="343">
        <f>SUMIFS($AU$1388:AU2267,$AC$1388:AC2267,"*")</f>
        <v>33251.078121878119</v>
      </c>
      <c r="BU2265" s="343">
        <f>SUMIFS($AU$1388:AU2267,$AA$1388:AA2267,"*",$AB$1388:AB2267,"*")</f>
        <v>7915.9999999997544</v>
      </c>
      <c r="BV2265" s="343">
        <f>SUMIFS($AU$1388:AU2267,$AA$1388:AA2267,"*",$AC$1388:AC2267,"*")</f>
        <v>29696.036363636529</v>
      </c>
      <c r="BW2265" s="343">
        <f>SUMIFS($AU$1388:AU2267,$AB$1388:AB2267,"*",$AC$1388:AC2267,"*")</f>
        <v>3863.9999999999991</v>
      </c>
      <c r="BX2265" s="343">
        <f>SUMIFS($AV$1388:AV2267,$Q$1388:Q2267,"F")</f>
        <v>383.04019562430165</v>
      </c>
      <c r="BY2265" s="343">
        <f>SUMIFS($AV$1388:AV2267,$Q$1388:Q2267,"S")</f>
        <v>676.61134190572739</v>
      </c>
      <c r="BZ2265" s="343">
        <f>SUMIFS($AV$1388:AV2267,$Q$1388:Q2267,"O")</f>
        <v>378.55929999967736</v>
      </c>
    </row>
    <row r="2266" spans="1:78" ht="15.75" customHeight="1">
      <c r="A2266" s="177" t="s">
        <v>6781</v>
      </c>
      <c r="B2266" s="200"/>
      <c r="C2266" s="178"/>
      <c r="D2266" s="178"/>
      <c r="E2266" s="227"/>
      <c r="F2266" s="180"/>
      <c r="G2266" s="181"/>
      <c r="H2266" s="182"/>
      <c r="I2266" s="182"/>
      <c r="J2266" s="182"/>
      <c r="K2266" s="183"/>
      <c r="L2266" s="182"/>
      <c r="M2266" s="182"/>
      <c r="N2266" s="182"/>
      <c r="O2266" s="183"/>
      <c r="P2266" s="183"/>
      <c r="Q2266" s="183"/>
      <c r="R2266" s="183"/>
      <c r="S2266" s="183"/>
      <c r="T2266" s="183"/>
      <c r="U2266" s="183"/>
      <c r="V2266" s="183"/>
      <c r="W2266" s="183"/>
      <c r="X2266" s="183"/>
      <c r="Y2266" s="183"/>
      <c r="Z2266" s="183"/>
      <c r="AA2266" s="185"/>
      <c r="AB2266" s="185"/>
      <c r="AC2266" s="185"/>
      <c r="AD2266" s="649"/>
      <c r="AE2266" s="182"/>
      <c r="AF2266" s="332"/>
      <c r="AG2266" s="182"/>
      <c r="AH2266" s="182"/>
      <c r="AI2266" s="182"/>
      <c r="AJ2266" s="640"/>
      <c r="AK2266" s="182"/>
      <c r="AL2266" s="496">
        <f t="shared" si="742"/>
        <v>0</v>
      </c>
      <c r="AM2266" s="496">
        <f t="shared" si="753"/>
        <v>0</v>
      </c>
      <c r="AN2266" s="626"/>
      <c r="AO2266" s="182"/>
      <c r="AP2266" s="182"/>
      <c r="AQ2266" s="332" t="str">
        <f>UPPER(RIGHT(Journal_Live[[#This Row],[DURATION ]]))</f>
        <v/>
      </c>
      <c r="AR2266" s="182"/>
      <c r="AS2266" s="189"/>
      <c r="AT2266" s="189"/>
      <c r="AU2266" s="187"/>
      <c r="AV2266" s="190"/>
      <c r="AW2266" s="191"/>
      <c r="AX2266" s="549" t="s">
        <v>7191</v>
      </c>
      <c r="AY2266" s="549" t="s">
        <v>7192</v>
      </c>
      <c r="AZ2266" s="549" t="s">
        <v>7193</v>
      </c>
      <c r="BA2266" s="549" t="s">
        <v>7194</v>
      </c>
      <c r="BB2266" s="551" t="s">
        <v>7195</v>
      </c>
      <c r="BC2266" s="551"/>
      <c r="BD2266" s="549"/>
      <c r="BE2266" s="550"/>
      <c r="BF2266" s="549"/>
      <c r="BG2266" s="391">
        <f>SUM($AV$1389:AV2266)</f>
        <v>6686.2108375297139</v>
      </c>
      <c r="BH2266" s="392">
        <f>SUM($AU$1389:AU2266)</f>
        <v>42556.423836163201</v>
      </c>
      <c r="BI2266" s="318">
        <f>SUMIFS($AU$1388:AU2277,$Q$1388:Q2277,"F")</f>
        <v>29235.078121878127</v>
      </c>
      <c r="BJ2266" s="318">
        <f>SUMIFS($AU$1388:AU2277,$Q$1388:Q2277,"S")</f>
        <v>17938.285714285706</v>
      </c>
      <c r="BK2266" s="343">
        <f>SUMIFS($AU$1388:AU2277,$P$1388:P2277,"W")</f>
        <v>17144.143836163403</v>
      </c>
      <c r="BL2266" s="343">
        <f>SUMIFS($AU$1388:AU2277,$P$1388:P2277,"R")</f>
        <v>22616.400000000325</v>
      </c>
      <c r="BM2266" s="343">
        <f>SUMIFS($AU$1388:AU2277,$AQ$1388:AQ2277,"M")</f>
        <v>8875.1799999983887</v>
      </c>
      <c r="BN2266" s="343">
        <f>SUMIFS($AU$1388:AU2277,$AQ$1388:AQ2277,"H")</f>
        <v>11643.200000000877</v>
      </c>
      <c r="BO2266" s="343">
        <f>SUMIFS($AU$1388:AU2277,$AQ$1388:AQ2277,"D")</f>
        <v>13122.377472527351</v>
      </c>
      <c r="BP2266" s="343">
        <f>SUMIFS($AS$1388:AS2708,$AO$1388:AO2708,"W")</f>
        <v>0</v>
      </c>
      <c r="BQ2266" s="343">
        <f>SUMIFS($AU$1388:AU2277,$Q$1388:Q2277,"O")</f>
        <v>-9340.9400000006026</v>
      </c>
      <c r="BR2266" s="343">
        <f>SUMIFS($AU$1388:AU2277,$AA$1388:AA2277,"*")</f>
        <v>37881.5220779214</v>
      </c>
      <c r="BS2266" s="343">
        <f>SUMIFS($AU$1388:AU2277,$AB$1388:AB2277,"*")</f>
        <v>7475.8599999999715</v>
      </c>
      <c r="BT2266" s="343">
        <f>SUMIFS($AU$1388:AU2277,$AC$1388:AC2277,"*")</f>
        <v>33251.078121878119</v>
      </c>
      <c r="BU2266" s="343">
        <f>SUMIFS($AU$1388:AU2277,$AA$1388:AA2277,"*",$AB$1388:AB2277,"*")</f>
        <v>7915.9999999997544</v>
      </c>
      <c r="BV2266" s="343">
        <f>SUMIFS($AU$1388:AU2277,$AA$1388:AA2277,"*",$AC$1388:AC2277,"*")</f>
        <v>29696.036363636529</v>
      </c>
      <c r="BW2266" s="343">
        <f>SUMIFS($AU$1388:AU2277,$AB$1388:AB2277,"*",$AC$1388:AC2277,"*")</f>
        <v>3863.9999999999991</v>
      </c>
      <c r="BX2266" s="343">
        <f>SUMIFS($AV$1388:AV2277,$Q$1388:Q2277,"F")</f>
        <v>383.04019562430165</v>
      </c>
      <c r="BY2266" s="343">
        <f>SUMIFS($AV$1388:AV2277,$Q$1388:Q2277,"S")</f>
        <v>676.61134190572739</v>
      </c>
      <c r="BZ2266" s="343">
        <f>SUMIFS($AV$1388:AV2277,$Q$1388:Q2277,"O")</f>
        <v>378.55929999967736</v>
      </c>
    </row>
    <row r="2267" spans="1:78" ht="15.75" customHeight="1">
      <c r="A2267" s="177" t="s">
        <v>6781</v>
      </c>
      <c r="B2267" s="200"/>
      <c r="C2267" s="178"/>
      <c r="D2267" s="178"/>
      <c r="E2267" s="227"/>
      <c r="F2267" s="180"/>
      <c r="G2267" s="181"/>
      <c r="H2267" s="182"/>
      <c r="I2267" s="182"/>
      <c r="J2267" s="182"/>
      <c r="K2267" s="183"/>
      <c r="L2267" s="182"/>
      <c r="M2267" s="182"/>
      <c r="N2267" s="182"/>
      <c r="O2267" s="183"/>
      <c r="P2267" s="183"/>
      <c r="Q2267" s="183"/>
      <c r="R2267" s="183"/>
      <c r="S2267" s="183"/>
      <c r="T2267" s="183"/>
      <c r="U2267" s="183"/>
      <c r="V2267" s="183"/>
      <c r="W2267" s="183"/>
      <c r="X2267" s="183"/>
      <c r="Y2267" s="183"/>
      <c r="Z2267" s="183"/>
      <c r="AA2267" s="185"/>
      <c r="AB2267" s="185"/>
      <c r="AC2267" s="185"/>
      <c r="AD2267" s="649"/>
      <c r="AE2267" s="182"/>
      <c r="AF2267" s="332"/>
      <c r="AG2267" s="182"/>
      <c r="AH2267" s="182"/>
      <c r="AI2267" s="182"/>
      <c r="AJ2267" s="640"/>
      <c r="AK2267" s="182"/>
      <c r="AL2267" s="496">
        <f t="shared" si="739"/>
        <v>0</v>
      </c>
      <c r="AM2267" s="496">
        <f t="shared" si="753"/>
        <v>0</v>
      </c>
      <c r="AN2267" s="626"/>
      <c r="AO2267" s="182"/>
      <c r="AP2267" s="182"/>
      <c r="AQ2267" s="332" t="str">
        <f>UPPER(RIGHT(Journal_Live[[#This Row],[DURATION ]]))</f>
        <v/>
      </c>
      <c r="AR2267" s="182"/>
      <c r="AS2267" s="189"/>
      <c r="AT2267" s="189"/>
      <c r="AU2267" s="187"/>
      <c r="AV2267" s="190"/>
      <c r="AW2267" s="191"/>
      <c r="AX2267" s="549" t="s">
        <v>7196</v>
      </c>
      <c r="AY2267" s="549" t="s">
        <v>7197</v>
      </c>
      <c r="AZ2267" s="549" t="s">
        <v>7198</v>
      </c>
      <c r="BA2267" s="551" t="s">
        <v>7199</v>
      </c>
      <c r="BB2267" s="549" t="s">
        <v>7200</v>
      </c>
      <c r="BC2267" s="551"/>
      <c r="BD2267" s="549"/>
      <c r="BE2267" s="550"/>
      <c r="BF2267" s="549"/>
      <c r="BG2267" s="391">
        <f>SUM($AV$1389:AV2267)</f>
        <v>6686.2108375297139</v>
      </c>
      <c r="BH2267" s="392">
        <f>SUM($AU$1389:AU2267)</f>
        <v>42556.423836163201</v>
      </c>
      <c r="BI2267" s="318">
        <f>SUMIFS($AU$1388:AU2278,$Q$1388:Q2278,"F")</f>
        <v>29235.078121878127</v>
      </c>
      <c r="BJ2267" s="318">
        <f>SUMIFS($AU$1388:AU2278,$Q$1388:Q2278,"S")</f>
        <v>17938.285714285706</v>
      </c>
      <c r="BK2267" s="343">
        <f>SUMIFS($AU$1388:AU2278,$P$1388:P2278,"W")</f>
        <v>17144.143836163403</v>
      </c>
      <c r="BL2267" s="343">
        <f>SUMIFS($AU$1388:AU2278,$P$1388:P2278,"R")</f>
        <v>22616.400000000325</v>
      </c>
      <c r="BM2267" s="343">
        <f>SUMIFS($AU$1388:AU2278,$AQ$1388:AQ2278,"M")</f>
        <v>8875.1799999983887</v>
      </c>
      <c r="BN2267" s="343">
        <f>SUMIFS($AU$1388:AU2278,$AQ$1388:AQ2278,"H")</f>
        <v>11643.200000000877</v>
      </c>
      <c r="BO2267" s="343">
        <f>SUMIFS($AU$1388:AU2278,$AQ$1388:AQ2278,"D")</f>
        <v>13122.377472527351</v>
      </c>
      <c r="BP2267" s="343">
        <f>SUMIFS($AS$1388:AS2709,$AO$1388:AO2709,"W")</f>
        <v>0</v>
      </c>
      <c r="BQ2267" s="343">
        <f>SUMIFS($AU$1388:AU2278,$Q$1388:Q2278,"O")</f>
        <v>-9340.9400000006026</v>
      </c>
      <c r="BR2267" s="343">
        <f>SUMIFS($AU$1388:AU2278,$AA$1388:AA2278,"*")</f>
        <v>37881.5220779214</v>
      </c>
      <c r="BS2267" s="343">
        <f>SUMIFS($AU$1388:AU2278,$AB$1388:AB2278,"*")</f>
        <v>7475.8599999999715</v>
      </c>
      <c r="BT2267" s="343">
        <f>SUMIFS($AU$1388:AU2278,$AC$1388:AC2278,"*")</f>
        <v>33251.078121878119</v>
      </c>
      <c r="BU2267" s="343">
        <f>SUMIFS($AU$1388:AU2278,$AA$1388:AA2278,"*",$AB$1388:AB2278,"*")</f>
        <v>7915.9999999997544</v>
      </c>
      <c r="BV2267" s="343">
        <f>SUMIFS($AU$1388:AU2278,$AA$1388:AA2278,"*",$AC$1388:AC2278,"*")</f>
        <v>29696.036363636529</v>
      </c>
      <c r="BW2267" s="343">
        <f>SUMIFS($AU$1388:AU2278,$AB$1388:AB2278,"*",$AC$1388:AC2278,"*")</f>
        <v>3863.9999999999991</v>
      </c>
      <c r="BX2267" s="343">
        <f>SUMIFS($AV$1388:AV2278,$Q$1388:Q2278,"F")</f>
        <v>383.04019562430165</v>
      </c>
      <c r="BY2267" s="343">
        <f>SUMIFS($AV$1388:AV2278,$Q$1388:Q2278,"S")</f>
        <v>676.61134190572739</v>
      </c>
      <c r="BZ2267" s="343">
        <f>SUMIFS($AV$1388:AV2278,$Q$1388:Q2278,"O")</f>
        <v>378.55929999967736</v>
      </c>
    </row>
    <row r="2268" spans="1:78" ht="15.75" customHeight="1">
      <c r="A2268" s="177" t="s">
        <v>6781</v>
      </c>
      <c r="B2268" s="200"/>
      <c r="C2268" s="178"/>
      <c r="D2268" s="178"/>
      <c r="E2268" s="227"/>
      <c r="F2268" s="180"/>
      <c r="G2268" s="181"/>
      <c r="H2268" s="182"/>
      <c r="I2268" s="182"/>
      <c r="J2268" s="182"/>
      <c r="K2268" s="183"/>
      <c r="L2268" s="182"/>
      <c r="M2268" s="182"/>
      <c r="N2268" s="182"/>
      <c r="O2268" s="183"/>
      <c r="P2268" s="183"/>
      <c r="Q2268" s="183"/>
      <c r="R2268" s="183"/>
      <c r="S2268" s="183"/>
      <c r="T2268" s="183"/>
      <c r="U2268" s="183"/>
      <c r="V2268" s="183"/>
      <c r="W2268" s="183"/>
      <c r="X2268" s="183"/>
      <c r="Y2268" s="184"/>
      <c r="Z2268" s="185"/>
      <c r="AA2268" s="185"/>
      <c r="AB2268" s="185"/>
      <c r="AC2268" s="185"/>
      <c r="AD2268" s="649"/>
      <c r="AE2268" s="182"/>
      <c r="AF2268" s="332"/>
      <c r="AG2268" s="182"/>
      <c r="AH2268" s="182"/>
      <c r="AI2268" s="182"/>
      <c r="AJ2268" s="640"/>
      <c r="AK2268" s="182"/>
      <c r="AL2268" s="496">
        <f t="shared" si="739"/>
        <v>0</v>
      </c>
      <c r="AM2268" s="496">
        <f t="shared" si="753"/>
        <v>0</v>
      </c>
      <c r="AN2268" s="626"/>
      <c r="AO2268" s="182"/>
      <c r="AP2268" s="182"/>
      <c r="AQ2268" s="332" t="str">
        <f>UPPER(RIGHT(Journal_Live[[#This Row],[DURATION ]]))</f>
        <v/>
      </c>
      <c r="AR2268" s="182"/>
      <c r="AS2268" s="189"/>
      <c r="AT2268" s="189"/>
      <c r="AU2268" s="187"/>
      <c r="AV2268" s="190"/>
      <c r="AW2268" s="191"/>
      <c r="AX2268" s="551"/>
      <c r="AY2268" s="551"/>
      <c r="AZ2268" s="551"/>
      <c r="BA2268" s="551"/>
      <c r="BB2268" s="551"/>
      <c r="BC2268" s="551"/>
      <c r="BD2268" s="549"/>
      <c r="BE2268" s="550"/>
      <c r="BF2268" s="549"/>
      <c r="BG2268" s="391">
        <f>SUM($AV$1389:AV2268)</f>
        <v>6686.2108375297139</v>
      </c>
      <c r="BH2268" s="392">
        <f>SUM($AU$1389:AU2268)</f>
        <v>42556.423836163201</v>
      </c>
      <c r="BI2268" s="318">
        <f>SUMIFS($AU$1388:AU2270,$Q$1388:Q2270,"F")</f>
        <v>29235.078121878127</v>
      </c>
      <c r="BJ2268" s="318">
        <f>SUMIFS($AU$1388:AU2270,$Q$1388:Q2270,"S")</f>
        <v>17938.285714285706</v>
      </c>
      <c r="BK2268" s="343">
        <f>SUMIFS($AU$1388:AU2270,$P$1388:P2270,"W")</f>
        <v>17144.143836163403</v>
      </c>
      <c r="BL2268" s="343">
        <f>SUMIFS($AU$1388:AU2270,$P$1388:P2270,"R")</f>
        <v>22616.400000000325</v>
      </c>
      <c r="BM2268" s="343">
        <f>SUMIFS($AU$1388:AU2270,$AQ$1388:AQ2270,"M")</f>
        <v>8875.1799999983887</v>
      </c>
      <c r="BN2268" s="343">
        <f>SUMIFS($AU$1388:AU2270,$AQ$1388:AQ2270,"H")</f>
        <v>11643.200000000877</v>
      </c>
      <c r="BO2268" s="343">
        <f>SUMIFS($AU$1388:AU2270,$AQ$1388:AQ2270,"D")</f>
        <v>13122.377472527351</v>
      </c>
      <c r="BP2268" s="343">
        <f>SUMIFS($AS$1388:AS2701,$AO$1388:AO2701,"W")</f>
        <v>0</v>
      </c>
      <c r="BQ2268" s="343">
        <f>SUMIFS($AU$1388:AU2270,$Q$1388:Q2270,"O")</f>
        <v>-9340.9400000006026</v>
      </c>
      <c r="BR2268" s="343">
        <f>SUMIFS($AU$1388:AU2270,$AA$1388:AA2270,"*")</f>
        <v>37881.5220779214</v>
      </c>
      <c r="BS2268" s="343">
        <f>SUMIFS($AU$1388:AU2270,$AB$1388:AB2270,"*")</f>
        <v>7475.8599999999715</v>
      </c>
      <c r="BT2268" s="343">
        <f>SUMIFS($AU$1388:AU2270,$AC$1388:AC2270,"*")</f>
        <v>33251.078121878119</v>
      </c>
      <c r="BU2268" s="343">
        <f>SUMIFS($AU$1388:AU2270,$AA$1388:AA2270,"*",$AB$1388:AB2270,"*")</f>
        <v>7915.9999999997544</v>
      </c>
      <c r="BV2268" s="343">
        <f>SUMIFS($AU$1388:AU2270,$AA$1388:AA2270,"*",$AC$1388:AC2270,"*")</f>
        <v>29696.036363636529</v>
      </c>
      <c r="BW2268" s="343">
        <f>SUMIFS($AU$1388:AU2270,$AB$1388:AB2270,"*",$AC$1388:AC2270,"*")</f>
        <v>3863.9999999999991</v>
      </c>
      <c r="BX2268" s="343">
        <f>SUMIFS($AV$1388:AV2270,$Q$1388:Q2270,"F")</f>
        <v>383.04019562430165</v>
      </c>
      <c r="BY2268" s="343">
        <f>SUMIFS($AV$1388:AV2270,$Q$1388:Q2270,"S")</f>
        <v>676.61134190572739</v>
      </c>
      <c r="BZ2268" s="343">
        <f>SUMIFS($AV$1388:AV2270,$Q$1388:Q2270,"O")</f>
        <v>378.55929999967736</v>
      </c>
    </row>
    <row r="2269" spans="1:78" ht="15.75" customHeight="1">
      <c r="A2269" s="177" t="s">
        <v>6781</v>
      </c>
      <c r="B2269" s="200">
        <v>45471</v>
      </c>
      <c r="C2269" s="178"/>
      <c r="D2269" s="178" t="s">
        <v>111</v>
      </c>
      <c r="E2269" s="227"/>
      <c r="F2269" s="180"/>
      <c r="G2269" s="181" t="s">
        <v>7201</v>
      </c>
      <c r="H2269" s="182"/>
      <c r="I2269" s="182"/>
      <c r="J2269" s="182"/>
      <c r="K2269" s="183"/>
      <c r="L2269" s="182"/>
      <c r="M2269" s="182"/>
      <c r="N2269" s="182"/>
      <c r="O2269" s="183"/>
      <c r="P2269" s="183"/>
      <c r="Q2269" s="183"/>
      <c r="R2269" s="183"/>
      <c r="S2269" s="183"/>
      <c r="T2269" s="183"/>
      <c r="U2269" s="183"/>
      <c r="V2269" s="183"/>
      <c r="W2269" s="183"/>
      <c r="X2269" s="183"/>
      <c r="Y2269" s="184"/>
      <c r="Z2269" s="185"/>
      <c r="AA2269" s="185"/>
      <c r="AB2269" s="185"/>
      <c r="AC2269" s="185"/>
      <c r="AD2269" s="649"/>
      <c r="AE2269" s="182"/>
      <c r="AF2269" s="332">
        <v>2</v>
      </c>
      <c r="AG2269" s="182"/>
      <c r="AH2269" s="182"/>
      <c r="AI2269" s="182"/>
      <c r="AJ2269" s="640"/>
      <c r="AK2269" s="182"/>
      <c r="AL2269" s="496">
        <f>-0.02*Z2269</f>
        <v>0</v>
      </c>
      <c r="AM2269" s="496">
        <f t="shared" si="753"/>
        <v>0</v>
      </c>
      <c r="AN2269" s="626" t="s">
        <v>151</v>
      </c>
      <c r="AO2269" s="182"/>
      <c r="AP2269" s="182"/>
      <c r="AQ2269" s="332" t="str">
        <f>UPPER(RIGHT(Journal_Live[[#This Row],[DURATION ]]))</f>
        <v/>
      </c>
      <c r="AR2269" s="182"/>
      <c r="AS2269" s="189"/>
      <c r="AT2269" s="189"/>
      <c r="AU2269" s="187"/>
      <c r="AV2269" s="190"/>
      <c r="AW2269" s="191"/>
      <c r="AX2269" s="551" t="s">
        <v>7202</v>
      </c>
      <c r="AY2269" s="551"/>
      <c r="AZ2269" s="551"/>
      <c r="BA2269" s="551"/>
      <c r="BB2269" s="551"/>
      <c r="BC2269" s="551"/>
      <c r="BD2269" s="549"/>
      <c r="BE2269" s="550"/>
      <c r="BF2269" s="549"/>
      <c r="BG2269" s="391">
        <f>SUM($AV$1389:AV2269)</f>
        <v>6686.2108375297139</v>
      </c>
      <c r="BH2269" s="392">
        <f>SUM($AU$1389:AU2269)</f>
        <v>42556.423836163201</v>
      </c>
      <c r="BI2269" s="318">
        <f>SUMIFS($AU$1388:AU2271,$Q$1388:Q2271,"F")</f>
        <v>29235.078121878127</v>
      </c>
      <c r="BJ2269" s="318">
        <f>SUMIFS($AU$1388:AU2271,$Q$1388:Q2271,"S")</f>
        <v>17938.285714285706</v>
      </c>
      <c r="BK2269" s="343">
        <f>SUMIFS($AU$1388:AU2271,$P$1388:P2271,"W")</f>
        <v>17144.143836163403</v>
      </c>
      <c r="BL2269" s="343">
        <f>SUMIFS($AU$1388:AU2271,$P$1388:P2271,"R")</f>
        <v>22616.400000000325</v>
      </c>
      <c r="BM2269" s="343">
        <f>SUMIFS($AU$1388:AU2271,$AQ$1388:AQ2271,"M")</f>
        <v>8875.1799999983887</v>
      </c>
      <c r="BN2269" s="343">
        <f>SUMIFS($AU$1388:AU2271,$AQ$1388:AQ2271,"H")</f>
        <v>11643.200000000877</v>
      </c>
      <c r="BO2269" s="343">
        <f>SUMIFS($AU$1388:AU2271,$AQ$1388:AQ2271,"D")</f>
        <v>13122.377472527351</v>
      </c>
      <c r="BP2269" s="343">
        <f>SUMIFS($AS$1388:AS2702,$AO$1388:AO2702,"W")</f>
        <v>0</v>
      </c>
      <c r="BQ2269" s="343">
        <f>SUMIFS($AU$1388:AU2271,$Q$1388:Q2271,"O")</f>
        <v>-9340.9400000006026</v>
      </c>
      <c r="BR2269" s="343">
        <f>SUMIFS($AU$1388:AU2271,$AA$1388:AA2271,"*")</f>
        <v>37881.5220779214</v>
      </c>
      <c r="BS2269" s="343">
        <f>SUMIFS($AU$1388:AU2271,$AB$1388:AB2271,"*")</f>
        <v>7475.8599999999715</v>
      </c>
      <c r="BT2269" s="343">
        <f>SUMIFS($AU$1388:AU2271,$AC$1388:AC2271,"*")</f>
        <v>33251.078121878119</v>
      </c>
      <c r="BU2269" s="343">
        <f>SUMIFS($AU$1388:AU2271,$AA$1388:AA2271,"*",$AB$1388:AB2271,"*")</f>
        <v>7915.9999999997544</v>
      </c>
      <c r="BV2269" s="343">
        <f>SUMIFS($AU$1388:AU2271,$AA$1388:AA2271,"*",$AC$1388:AC2271,"*")</f>
        <v>29696.036363636529</v>
      </c>
      <c r="BW2269" s="343">
        <f>SUMIFS($AU$1388:AU2271,$AB$1388:AB2271,"*",$AC$1388:AC2271,"*")</f>
        <v>3863.9999999999991</v>
      </c>
      <c r="BX2269" s="343">
        <f>SUMIFS($AV$1388:AV2271,$Q$1388:Q2271,"F")</f>
        <v>383.04019562430165</v>
      </c>
      <c r="BY2269" s="343">
        <f>SUMIFS($AV$1388:AV2271,$Q$1388:Q2271,"S")</f>
        <v>676.61134190572739</v>
      </c>
      <c r="BZ2269" s="343">
        <f>SUMIFS($AV$1388:AV2271,$Q$1388:Q2271,"O")</f>
        <v>378.55929999967736</v>
      </c>
    </row>
    <row r="2270" spans="1:78" ht="15.75" customHeight="1">
      <c r="A2270" s="177" t="s">
        <v>6781</v>
      </c>
      <c r="B2270" s="200"/>
      <c r="C2270" s="178"/>
      <c r="D2270" s="178"/>
      <c r="E2270" s="227"/>
      <c r="F2270" s="180"/>
      <c r="G2270" s="181" t="s">
        <v>7203</v>
      </c>
      <c r="H2270" s="182"/>
      <c r="I2270" s="182"/>
      <c r="J2270" s="182"/>
      <c r="K2270" s="183"/>
      <c r="L2270" s="182"/>
      <c r="M2270" s="182"/>
      <c r="N2270" s="182"/>
      <c r="O2270" s="183"/>
      <c r="P2270" s="183"/>
      <c r="Q2270" s="183"/>
      <c r="R2270" s="183"/>
      <c r="S2270" s="183"/>
      <c r="T2270" s="183"/>
      <c r="U2270" s="183"/>
      <c r="V2270" s="183"/>
      <c r="W2270" s="183"/>
      <c r="X2270" s="183"/>
      <c r="Y2270" s="184"/>
      <c r="Z2270" s="185"/>
      <c r="AA2270" s="185"/>
      <c r="AB2270" s="185"/>
      <c r="AC2270" s="185"/>
      <c r="AD2270" s="649"/>
      <c r="AE2270" s="182"/>
      <c r="AF2270" s="332">
        <v>0</v>
      </c>
      <c r="AG2270" s="182"/>
      <c r="AH2270" s="182"/>
      <c r="AI2270" s="182"/>
      <c r="AJ2270" s="640"/>
      <c r="AK2270" s="182"/>
      <c r="AL2270" s="496">
        <f>-0.02*Z2270</f>
        <v>0</v>
      </c>
      <c r="AM2270" s="496">
        <f t="shared" si="753"/>
        <v>0</v>
      </c>
      <c r="AN2270" s="626" t="s">
        <v>151</v>
      </c>
      <c r="AO2270" s="182"/>
      <c r="AP2270" s="182"/>
      <c r="AQ2270" s="332" t="str">
        <f>UPPER(RIGHT(Journal_Live[[#This Row],[DURATION ]]))</f>
        <v/>
      </c>
      <c r="AR2270" s="182"/>
      <c r="AS2270" s="189"/>
      <c r="AT2270" s="189"/>
      <c r="AU2270" s="187"/>
      <c r="AV2270" s="190"/>
      <c r="AW2270" s="191"/>
      <c r="AX2270" s="551"/>
      <c r="AY2270" s="551"/>
      <c r="AZ2270" s="551"/>
      <c r="BA2270" s="551"/>
      <c r="BB2270" s="551"/>
      <c r="BC2270" s="551"/>
      <c r="BD2270" s="549"/>
      <c r="BE2270" s="550"/>
      <c r="BF2270" s="549"/>
      <c r="BG2270" s="391">
        <f>SUM($AV$1389:AV2270)</f>
        <v>6686.2108375297139</v>
      </c>
      <c r="BH2270" s="392">
        <f>SUM($AU$1389:AU2270)</f>
        <v>42556.423836163201</v>
      </c>
      <c r="BI2270" s="318">
        <f>SUMIFS($AU$1388:AU2272,$Q$1388:Q2272,"F")</f>
        <v>29235.078121878127</v>
      </c>
      <c r="BJ2270" s="318">
        <f>SUMIFS($AU$1388:AU2272,$Q$1388:Q2272,"S")</f>
        <v>17938.285714285706</v>
      </c>
      <c r="BK2270" s="343">
        <f>SUMIFS($AU$1388:AU2272,$P$1388:P2272,"W")</f>
        <v>17144.143836163403</v>
      </c>
      <c r="BL2270" s="343">
        <f>SUMIFS($AU$1388:AU2272,$P$1388:P2272,"R")</f>
        <v>22616.400000000325</v>
      </c>
      <c r="BM2270" s="343">
        <f>SUMIFS($AU$1388:AU2272,$AQ$1388:AQ2272,"M")</f>
        <v>8875.1799999983887</v>
      </c>
      <c r="BN2270" s="343">
        <f>SUMIFS($AU$1388:AU2272,$AQ$1388:AQ2272,"H")</f>
        <v>11643.200000000877</v>
      </c>
      <c r="BO2270" s="343">
        <f>SUMIFS($AU$1388:AU2272,$AQ$1388:AQ2272,"D")</f>
        <v>13122.377472527351</v>
      </c>
      <c r="BP2270" s="343">
        <f>SUMIFS($AS$1388:AS2703,$AO$1388:AO2703,"W")</f>
        <v>0</v>
      </c>
      <c r="BQ2270" s="343">
        <f>SUMIFS($AU$1388:AU2272,$Q$1388:Q2272,"O")</f>
        <v>-9340.9400000006026</v>
      </c>
      <c r="BR2270" s="343">
        <f>SUMIFS($AU$1388:AU2272,$AA$1388:AA2272,"*")</f>
        <v>37881.5220779214</v>
      </c>
      <c r="BS2270" s="343">
        <f>SUMIFS($AU$1388:AU2272,$AB$1388:AB2272,"*")</f>
        <v>7475.8599999999715</v>
      </c>
      <c r="BT2270" s="343">
        <f>SUMIFS($AU$1388:AU2272,$AC$1388:AC2272,"*")</f>
        <v>33251.078121878119</v>
      </c>
      <c r="BU2270" s="343">
        <f>SUMIFS($AU$1388:AU2272,$AA$1388:AA2272,"*",$AB$1388:AB2272,"*")</f>
        <v>7915.9999999997544</v>
      </c>
      <c r="BV2270" s="343">
        <f>SUMIFS($AU$1388:AU2272,$AA$1388:AA2272,"*",$AC$1388:AC2272,"*")</f>
        <v>29696.036363636529</v>
      </c>
      <c r="BW2270" s="343">
        <f>SUMIFS($AU$1388:AU2272,$AB$1388:AB2272,"*",$AC$1388:AC2272,"*")</f>
        <v>3863.9999999999991</v>
      </c>
      <c r="BX2270" s="343">
        <f>SUMIFS($AV$1388:AV2272,$Q$1388:Q2272,"F")</f>
        <v>383.04019562430165</v>
      </c>
      <c r="BY2270" s="343">
        <f>SUMIFS($AV$1388:AV2272,$Q$1388:Q2272,"S")</f>
        <v>676.61134190572739</v>
      </c>
      <c r="BZ2270" s="343">
        <f>SUMIFS($AV$1388:AV2272,$Q$1388:Q2272,"O")</f>
        <v>378.55929999967736</v>
      </c>
    </row>
    <row r="2271" spans="1:78" ht="15.75" customHeight="1">
      <c r="A2271" s="177" t="s">
        <v>6781</v>
      </c>
      <c r="B2271" s="200"/>
      <c r="C2271" s="178"/>
      <c r="D2271" s="178"/>
      <c r="E2271" s="227"/>
      <c r="F2271" s="180"/>
      <c r="G2271" s="181"/>
      <c r="H2271" s="182"/>
      <c r="I2271" s="182"/>
      <c r="J2271" s="182"/>
      <c r="K2271" s="183"/>
      <c r="L2271" s="182"/>
      <c r="M2271" s="182"/>
      <c r="N2271" s="182"/>
      <c r="O2271" s="183"/>
      <c r="P2271" s="183"/>
      <c r="Q2271" s="183"/>
      <c r="R2271" s="183"/>
      <c r="S2271" s="183"/>
      <c r="T2271" s="183"/>
      <c r="U2271" s="183"/>
      <c r="V2271" s="183"/>
      <c r="W2271" s="183"/>
      <c r="X2271" s="183"/>
      <c r="Y2271" s="184"/>
      <c r="Z2271" s="185"/>
      <c r="AA2271" s="185"/>
      <c r="AB2271" s="185"/>
      <c r="AC2271" s="185"/>
      <c r="AD2271" s="649"/>
      <c r="AE2271" s="182"/>
      <c r="AF2271" s="332"/>
      <c r="AG2271" s="182"/>
      <c r="AH2271" s="182"/>
      <c r="AI2271" s="182"/>
      <c r="AJ2271" s="640"/>
      <c r="AK2271" s="182"/>
      <c r="AL2271" s="496">
        <f t="shared" si="739"/>
        <v>0</v>
      </c>
      <c r="AM2271" s="496">
        <f t="shared" si="753"/>
        <v>0</v>
      </c>
      <c r="AN2271" s="626"/>
      <c r="AO2271" s="182"/>
      <c r="AP2271" s="182"/>
      <c r="AQ2271" s="332" t="str">
        <f>UPPER(RIGHT(Journal_Live[[#This Row],[DURATION ]]))</f>
        <v/>
      </c>
      <c r="AR2271" s="182"/>
      <c r="AS2271" s="189"/>
      <c r="AT2271" s="189"/>
      <c r="AU2271" s="187"/>
      <c r="AV2271" s="190"/>
      <c r="AW2271" s="191"/>
      <c r="AX2271" s="549" t="s">
        <v>7204</v>
      </c>
      <c r="AY2271" s="549" t="s">
        <v>7205</v>
      </c>
      <c r="AZ2271" s="549" t="s">
        <v>7206</v>
      </c>
      <c r="BA2271" s="551" t="s">
        <v>7207</v>
      </c>
      <c r="BB2271" s="551" t="s">
        <v>7208</v>
      </c>
      <c r="BC2271" s="549" t="s">
        <v>7209</v>
      </c>
      <c r="BD2271" s="549"/>
      <c r="BE2271" s="550"/>
      <c r="BF2271" s="549"/>
      <c r="BG2271" s="391">
        <f>SUM($AV$1389:AV2271)</f>
        <v>6686.2108375297139</v>
      </c>
      <c r="BH2271" s="392">
        <f>SUM($AU$1389:AU2271)</f>
        <v>42556.423836163201</v>
      </c>
      <c r="BI2271" s="318">
        <f>SUMIFS($AU$1388:AU2273,$Q$1388:Q2273,"F")</f>
        <v>29235.078121878127</v>
      </c>
      <c r="BJ2271" s="318">
        <f>SUMIFS($AU$1388:AU2273,$Q$1388:Q2273,"S")</f>
        <v>17938.285714285706</v>
      </c>
      <c r="BK2271" s="343">
        <f>SUMIFS($AU$1388:AU2273,$P$1388:P2273,"W")</f>
        <v>17144.143836163403</v>
      </c>
      <c r="BL2271" s="343">
        <f>SUMIFS($AU$1388:AU2273,$P$1388:P2273,"R")</f>
        <v>22616.400000000325</v>
      </c>
      <c r="BM2271" s="343">
        <f>SUMIFS($AU$1388:AU2273,$AQ$1388:AQ2273,"M")</f>
        <v>8875.1799999983887</v>
      </c>
      <c r="BN2271" s="343">
        <f>SUMIFS($AU$1388:AU2273,$AQ$1388:AQ2273,"H")</f>
        <v>11643.200000000877</v>
      </c>
      <c r="BO2271" s="343">
        <f>SUMIFS($AU$1388:AU2273,$AQ$1388:AQ2273,"D")</f>
        <v>13122.377472527351</v>
      </c>
      <c r="BP2271" s="343">
        <f>SUMIFS($AS$1388:AS2704,$AO$1388:AO2704,"W")</f>
        <v>0</v>
      </c>
      <c r="BQ2271" s="343">
        <f>SUMIFS($AU$1388:AU2273,$Q$1388:Q2273,"O")</f>
        <v>-9340.9400000006026</v>
      </c>
      <c r="BR2271" s="343">
        <f>SUMIFS($AU$1388:AU2273,$AA$1388:AA2273,"*")</f>
        <v>37881.5220779214</v>
      </c>
      <c r="BS2271" s="343">
        <f>SUMIFS($AU$1388:AU2273,$AB$1388:AB2273,"*")</f>
        <v>7475.8599999999715</v>
      </c>
      <c r="BT2271" s="343">
        <f>SUMIFS($AU$1388:AU2273,$AC$1388:AC2273,"*")</f>
        <v>33251.078121878119</v>
      </c>
      <c r="BU2271" s="343">
        <f>SUMIFS($AU$1388:AU2273,$AA$1388:AA2273,"*",$AB$1388:AB2273,"*")</f>
        <v>7915.9999999997544</v>
      </c>
      <c r="BV2271" s="343">
        <f>SUMIFS($AU$1388:AU2273,$AA$1388:AA2273,"*",$AC$1388:AC2273,"*")</f>
        <v>29696.036363636529</v>
      </c>
      <c r="BW2271" s="343">
        <f>SUMIFS($AU$1388:AU2273,$AB$1388:AB2273,"*",$AC$1388:AC2273,"*")</f>
        <v>3863.9999999999991</v>
      </c>
      <c r="BX2271" s="343">
        <f>SUMIFS($AV$1388:AV2273,$Q$1388:Q2273,"F")</f>
        <v>383.04019562430165</v>
      </c>
      <c r="BY2271" s="343">
        <f>SUMIFS($AV$1388:AV2273,$Q$1388:Q2273,"S")</f>
        <v>676.61134190572739</v>
      </c>
      <c r="BZ2271" s="343">
        <f>SUMIFS($AV$1388:AV2273,$Q$1388:Q2273,"O")</f>
        <v>378.55929999967736</v>
      </c>
    </row>
    <row r="2272" spans="1:78" ht="15.75" customHeight="1">
      <c r="A2272" s="177" t="s">
        <v>7210</v>
      </c>
      <c r="B2272" s="200"/>
      <c r="C2272" s="178"/>
      <c r="D2272" s="178"/>
      <c r="E2272" s="227"/>
      <c r="F2272" s="180"/>
      <c r="G2272" s="181"/>
      <c r="H2272" s="182"/>
      <c r="I2272" s="182"/>
      <c r="J2272" s="182"/>
      <c r="K2272" s="183"/>
      <c r="L2272" s="182"/>
      <c r="M2272" s="182"/>
      <c r="N2272" s="182"/>
      <c r="O2272" s="183"/>
      <c r="P2272" s="183"/>
      <c r="Q2272" s="183"/>
      <c r="R2272" s="183"/>
      <c r="S2272" s="183"/>
      <c r="T2272" s="183"/>
      <c r="U2272" s="183"/>
      <c r="V2272" s="183"/>
      <c r="W2272" s="183"/>
      <c r="X2272" s="183"/>
      <c r="Y2272" s="184"/>
      <c r="Z2272" s="185"/>
      <c r="AA2272" s="185"/>
      <c r="AB2272" s="185"/>
      <c r="AC2272" s="185"/>
      <c r="AD2272" s="649"/>
      <c r="AE2272" s="182"/>
      <c r="AF2272" s="332"/>
      <c r="AG2272" s="182"/>
      <c r="AH2272" s="182"/>
      <c r="AI2272" s="182"/>
      <c r="AJ2272" s="640"/>
      <c r="AK2272" s="182"/>
      <c r="AL2272" s="496">
        <f t="shared" si="739"/>
        <v>0</v>
      </c>
      <c r="AM2272" s="496">
        <f t="shared" si="753"/>
        <v>0</v>
      </c>
      <c r="AN2272" s="626"/>
      <c r="AO2272" s="182"/>
      <c r="AP2272" s="182"/>
      <c r="AQ2272" s="332" t="str">
        <f>UPPER(RIGHT(Journal_Live[[#This Row],[DURATION ]]))</f>
        <v/>
      </c>
      <c r="AR2272" s="182"/>
      <c r="AS2272" s="189"/>
      <c r="AT2272" s="189"/>
      <c r="AU2272" s="187"/>
      <c r="AV2272" s="190"/>
      <c r="AW2272" s="191"/>
      <c r="AX2272" s="599" t="s">
        <v>7211</v>
      </c>
      <c r="AY2272" s="551"/>
      <c r="AZ2272" s="551"/>
      <c r="BA2272" s="551"/>
      <c r="BB2272" s="551"/>
      <c r="BC2272" s="551"/>
      <c r="BD2272" s="549"/>
      <c r="BE2272" s="550"/>
      <c r="BF2272" s="549"/>
      <c r="BG2272" s="391">
        <f>SUM($AV$1389:AV2272)</f>
        <v>6686.2108375297139</v>
      </c>
      <c r="BH2272" s="392">
        <f>SUM($AU$1389:AU2272)</f>
        <v>42556.423836163201</v>
      </c>
      <c r="BI2272" s="318">
        <f>SUMIFS($AU$1388:AU2274,$Q$1388:Q2274,"F")</f>
        <v>29235.078121878127</v>
      </c>
      <c r="BJ2272" s="318">
        <f>SUMIFS($AU$1388:AU2274,$Q$1388:Q2274,"S")</f>
        <v>17938.285714285706</v>
      </c>
      <c r="BK2272" s="343">
        <f>SUMIFS($AU$1388:AU2274,$P$1388:P2274,"W")</f>
        <v>17144.143836163403</v>
      </c>
      <c r="BL2272" s="343">
        <f>SUMIFS($AU$1388:AU2274,$P$1388:P2274,"R")</f>
        <v>22616.400000000325</v>
      </c>
      <c r="BM2272" s="343">
        <f>SUMIFS($AU$1388:AU2274,$AQ$1388:AQ2274,"M")</f>
        <v>8875.1799999983887</v>
      </c>
      <c r="BN2272" s="343">
        <f>SUMIFS($AU$1388:AU2274,$AQ$1388:AQ2274,"H")</f>
        <v>11643.200000000877</v>
      </c>
      <c r="BO2272" s="343">
        <f>SUMIFS($AU$1388:AU2274,$AQ$1388:AQ2274,"D")</f>
        <v>13122.377472527351</v>
      </c>
      <c r="BP2272" s="343">
        <f>SUMIFS($AS$1388:AS2705,$AO$1388:AO2705,"W")</f>
        <v>0</v>
      </c>
      <c r="BQ2272" s="343">
        <f>SUMIFS($AU$1388:AU2274,$Q$1388:Q2274,"O")</f>
        <v>-9340.9400000006026</v>
      </c>
      <c r="BR2272" s="343">
        <f>SUMIFS($AU$1388:AU2274,$AA$1388:AA2274,"*")</f>
        <v>37881.5220779214</v>
      </c>
      <c r="BS2272" s="343">
        <f>SUMIFS($AU$1388:AU2274,$AB$1388:AB2274,"*")</f>
        <v>7475.8599999999715</v>
      </c>
      <c r="BT2272" s="343">
        <f>SUMIFS($AU$1388:AU2274,$AC$1388:AC2274,"*")</f>
        <v>33251.078121878119</v>
      </c>
      <c r="BU2272" s="343">
        <f>SUMIFS($AU$1388:AU2274,$AA$1388:AA2274,"*",$AB$1388:AB2274,"*")</f>
        <v>7915.9999999997544</v>
      </c>
      <c r="BV2272" s="343">
        <f>SUMIFS($AU$1388:AU2274,$AA$1388:AA2274,"*",$AC$1388:AC2274,"*")</f>
        <v>29696.036363636529</v>
      </c>
      <c r="BW2272" s="343">
        <f>SUMIFS($AU$1388:AU2274,$AB$1388:AB2274,"*",$AC$1388:AC2274,"*")</f>
        <v>3863.9999999999991</v>
      </c>
      <c r="BX2272" s="343">
        <f>SUMIFS($AV$1388:AV2274,$Q$1388:Q2274,"F")</f>
        <v>383.04019562430165</v>
      </c>
      <c r="BY2272" s="343">
        <f>SUMIFS($AV$1388:AV2274,$Q$1388:Q2274,"S")</f>
        <v>676.61134190572739</v>
      </c>
      <c r="BZ2272" s="343">
        <f>SUMIFS($AV$1388:AV2274,$Q$1388:Q2274,"O")</f>
        <v>378.55929999967736</v>
      </c>
    </row>
    <row r="2273" spans="1:78" ht="15.75" customHeight="1">
      <c r="A2273" s="177" t="s">
        <v>6781</v>
      </c>
      <c r="B2273" s="200"/>
      <c r="C2273" s="178"/>
      <c r="D2273" s="178"/>
      <c r="E2273" s="227"/>
      <c r="F2273" s="180"/>
      <c r="G2273" s="181"/>
      <c r="H2273" s="182"/>
      <c r="I2273" s="182"/>
      <c r="J2273" s="182"/>
      <c r="K2273" s="183"/>
      <c r="L2273" s="182"/>
      <c r="M2273" s="182"/>
      <c r="N2273" s="182"/>
      <c r="O2273" s="183"/>
      <c r="P2273" s="183"/>
      <c r="Q2273" s="183"/>
      <c r="R2273" s="183"/>
      <c r="S2273" s="183"/>
      <c r="T2273" s="183"/>
      <c r="U2273" s="183"/>
      <c r="V2273" s="183"/>
      <c r="W2273" s="183"/>
      <c r="X2273" s="183"/>
      <c r="Y2273" s="184"/>
      <c r="Z2273" s="185"/>
      <c r="AA2273" s="185"/>
      <c r="AB2273" s="185"/>
      <c r="AC2273" s="185"/>
      <c r="AD2273" s="649"/>
      <c r="AE2273" s="182"/>
      <c r="AF2273" s="332"/>
      <c r="AG2273" s="182"/>
      <c r="AH2273" s="182"/>
      <c r="AI2273" s="182"/>
      <c r="AJ2273" s="640"/>
      <c r="AK2273" s="182"/>
      <c r="AL2273" s="496">
        <f t="shared" ref="AL2273" si="754">-0.02*Z2273</f>
        <v>0</v>
      </c>
      <c r="AM2273" s="496">
        <f t="shared" si="753"/>
        <v>0</v>
      </c>
      <c r="AN2273" s="626"/>
      <c r="AO2273" s="182"/>
      <c r="AP2273" s="182"/>
      <c r="AQ2273" s="332" t="str">
        <f>UPPER(RIGHT(Journal_Live[[#This Row],[DURATION ]]))</f>
        <v/>
      </c>
      <c r="AR2273" s="182"/>
      <c r="AS2273" s="189"/>
      <c r="AT2273" s="189"/>
      <c r="AU2273" s="187"/>
      <c r="AV2273" s="190"/>
      <c r="AW2273" s="191"/>
      <c r="AX2273" s="597" t="s">
        <v>7212</v>
      </c>
      <c r="AY2273" s="597" t="s">
        <v>7213</v>
      </c>
      <c r="AZ2273" s="597" t="s">
        <v>7214</v>
      </c>
      <c r="BA2273" s="597" t="s">
        <v>7215</v>
      </c>
      <c r="BB2273" s="597" t="s">
        <v>7216</v>
      </c>
      <c r="BC2273" s="597" t="s">
        <v>7217</v>
      </c>
      <c r="BD2273" s="597" t="s">
        <v>7218</v>
      </c>
      <c r="BE2273" s="598" t="s">
        <v>7219</v>
      </c>
      <c r="BF2273" s="598" t="s">
        <v>7220</v>
      </c>
      <c r="BG2273" s="391">
        <f>SUM($AV$1389:AV2273)</f>
        <v>6686.2108375297139</v>
      </c>
      <c r="BH2273" s="392">
        <f>SUM($AU$1389:AU2273)</f>
        <v>42556.423836163201</v>
      </c>
      <c r="BI2273" s="318">
        <f>SUMIFS($AU$1388:AU2275,$Q$1388:Q2275,"F")</f>
        <v>29235.078121878127</v>
      </c>
      <c r="BJ2273" s="318">
        <f>SUMIFS($AU$1388:AU2275,$Q$1388:Q2275,"S")</f>
        <v>17938.285714285706</v>
      </c>
      <c r="BK2273" s="343">
        <f>SUMIFS($AU$1388:AU2275,$P$1388:P2275,"W")</f>
        <v>17144.143836163403</v>
      </c>
      <c r="BL2273" s="343">
        <f>SUMIFS($AU$1388:AU2275,$P$1388:P2275,"R")</f>
        <v>22616.400000000325</v>
      </c>
      <c r="BM2273" s="343">
        <f>SUMIFS($AU$1388:AU2275,$AQ$1388:AQ2275,"M")</f>
        <v>8875.1799999983887</v>
      </c>
      <c r="BN2273" s="343">
        <f>SUMIFS($AU$1388:AU2275,$AQ$1388:AQ2275,"H")</f>
        <v>11643.200000000877</v>
      </c>
      <c r="BO2273" s="343">
        <f>SUMIFS($AU$1388:AU2275,$AQ$1388:AQ2275,"D")</f>
        <v>13122.377472527351</v>
      </c>
      <c r="BP2273" s="343">
        <f>SUMIFS($AS$1388:AS2706,$AO$1388:AO2706,"W")</f>
        <v>0</v>
      </c>
      <c r="BQ2273" s="343">
        <f>SUMIFS($AU$1388:AU2275,$Q$1388:Q2275,"O")</f>
        <v>-9340.9400000006026</v>
      </c>
      <c r="BR2273" s="343">
        <f>SUMIFS($AU$1388:AU2275,$AA$1388:AA2275,"*")</f>
        <v>37881.5220779214</v>
      </c>
      <c r="BS2273" s="343">
        <f>SUMIFS($AU$1388:AU2275,$AB$1388:AB2275,"*")</f>
        <v>7475.8599999999715</v>
      </c>
      <c r="BT2273" s="343">
        <f>SUMIFS($AU$1388:AU2275,$AC$1388:AC2275,"*")</f>
        <v>33251.078121878119</v>
      </c>
      <c r="BU2273" s="343">
        <f>SUMIFS($AU$1388:AU2275,$AA$1388:AA2275,"*",$AB$1388:AB2275,"*")</f>
        <v>7915.9999999997544</v>
      </c>
      <c r="BV2273" s="343">
        <f>SUMIFS($AU$1388:AU2275,$AA$1388:AA2275,"*",$AC$1388:AC2275,"*")</f>
        <v>29696.036363636529</v>
      </c>
      <c r="BW2273" s="343">
        <f>SUMIFS($AU$1388:AU2275,$AB$1388:AB2275,"*",$AC$1388:AC2275,"*")</f>
        <v>3863.9999999999991</v>
      </c>
      <c r="BX2273" s="343">
        <f>SUMIFS($AV$1388:AV2275,$Q$1388:Q2275,"F")</f>
        <v>383.04019562430165</v>
      </c>
      <c r="BY2273" s="343">
        <f>SUMIFS($AV$1388:AV2275,$Q$1388:Q2275,"S")</f>
        <v>676.61134190572739</v>
      </c>
      <c r="BZ2273" s="343">
        <f>SUMIFS($AV$1388:AV2275,$Q$1388:Q2275,"O")</f>
        <v>378.55929999967736</v>
      </c>
    </row>
    <row r="2274" spans="1:78" ht="15.75" customHeight="1">
      <c r="A2274" s="177" t="s">
        <v>6781</v>
      </c>
      <c r="B2274" s="200"/>
      <c r="C2274" s="178"/>
      <c r="D2274" s="178"/>
      <c r="E2274" s="227"/>
      <c r="F2274" s="180"/>
      <c r="G2274" s="181"/>
      <c r="H2274" s="182"/>
      <c r="I2274" s="182"/>
      <c r="J2274" s="182"/>
      <c r="K2274" s="183"/>
      <c r="L2274" s="182"/>
      <c r="M2274" s="182"/>
      <c r="N2274" s="182"/>
      <c r="O2274" s="183"/>
      <c r="P2274" s="183"/>
      <c r="Q2274" s="183"/>
      <c r="R2274" s="183"/>
      <c r="S2274" s="183"/>
      <c r="T2274" s="183"/>
      <c r="U2274" s="183"/>
      <c r="V2274" s="183"/>
      <c r="W2274" s="183"/>
      <c r="X2274" s="183"/>
      <c r="Y2274" s="184"/>
      <c r="Z2274" s="185"/>
      <c r="AA2274" s="185"/>
      <c r="AB2274" s="185"/>
      <c r="AC2274" s="185"/>
      <c r="AD2274" s="649"/>
      <c r="AE2274" s="182"/>
      <c r="AF2274" s="332"/>
      <c r="AG2274" s="182"/>
      <c r="AH2274" s="182"/>
      <c r="AI2274" s="182"/>
      <c r="AJ2274" s="640"/>
      <c r="AK2274" s="182"/>
      <c r="AL2274" s="496">
        <f t="shared" si="739"/>
        <v>0</v>
      </c>
      <c r="AM2274" s="496">
        <f t="shared" si="753"/>
        <v>0</v>
      </c>
      <c r="AN2274" s="626"/>
      <c r="AO2274" s="182"/>
      <c r="AP2274" s="182"/>
      <c r="AQ2274" s="332" t="str">
        <f>UPPER(RIGHT(Journal_Live[[#This Row],[DURATION ]]))</f>
        <v/>
      </c>
      <c r="AR2274" s="182"/>
      <c r="AS2274" s="189"/>
      <c r="AT2274" s="189"/>
      <c r="AU2274" s="187"/>
      <c r="AV2274" s="190"/>
      <c r="AW2274" s="191"/>
      <c r="AX2274" s="551"/>
      <c r="AY2274" s="597" t="s">
        <v>7221</v>
      </c>
      <c r="AZ2274" s="597" t="s">
        <v>7222</v>
      </c>
      <c r="BA2274" s="597" t="s">
        <v>7223</v>
      </c>
      <c r="BB2274" s="597" t="s">
        <v>7224</v>
      </c>
      <c r="BC2274" s="597" t="s">
        <v>7225</v>
      </c>
      <c r="BD2274" s="597" t="s">
        <v>7226</v>
      </c>
      <c r="BE2274" s="550"/>
      <c r="BF2274" s="549"/>
      <c r="BG2274" s="391">
        <f>SUM($AV$1389:AV2274)</f>
        <v>6686.2108375297139</v>
      </c>
      <c r="BH2274" s="392">
        <f>SUM($AU$1389:AU2274)</f>
        <v>42556.423836163201</v>
      </c>
      <c r="BI2274" s="318">
        <f>SUMIFS($AU$1388:AU2276,$Q$1388:Q2276,"F")</f>
        <v>29235.078121878127</v>
      </c>
      <c r="BJ2274" s="318">
        <f>SUMIFS($AU$1388:AU2276,$Q$1388:Q2276,"S")</f>
        <v>17938.285714285706</v>
      </c>
      <c r="BK2274" s="343">
        <f>SUMIFS($AU$1388:AU2276,$P$1388:P2276,"W")</f>
        <v>17144.143836163403</v>
      </c>
      <c r="BL2274" s="343">
        <f>SUMIFS($AU$1388:AU2276,$P$1388:P2276,"R")</f>
        <v>22616.400000000325</v>
      </c>
      <c r="BM2274" s="343">
        <f>SUMIFS($AU$1388:AU2276,$AQ$1388:AQ2276,"M")</f>
        <v>8875.1799999983887</v>
      </c>
      <c r="BN2274" s="343">
        <f>SUMIFS($AU$1388:AU2276,$AQ$1388:AQ2276,"H")</f>
        <v>11643.200000000877</v>
      </c>
      <c r="BO2274" s="343">
        <f>SUMIFS($AU$1388:AU2276,$AQ$1388:AQ2276,"D")</f>
        <v>13122.377472527351</v>
      </c>
      <c r="BP2274" s="343">
        <f>SUMIFS($AS$1388:AS2707,$AO$1388:AO2707,"W")</f>
        <v>0</v>
      </c>
      <c r="BQ2274" s="343">
        <f>SUMIFS($AU$1388:AU2276,$Q$1388:Q2276,"O")</f>
        <v>-9340.9400000006026</v>
      </c>
      <c r="BR2274" s="343">
        <f>SUMIFS($AU$1388:AU2276,$AA$1388:AA2276,"*")</f>
        <v>37881.5220779214</v>
      </c>
      <c r="BS2274" s="343">
        <f>SUMIFS($AU$1388:AU2276,$AB$1388:AB2276,"*")</f>
        <v>7475.8599999999715</v>
      </c>
      <c r="BT2274" s="343">
        <f>SUMIFS($AU$1388:AU2276,$AC$1388:AC2276,"*")</f>
        <v>33251.078121878119</v>
      </c>
      <c r="BU2274" s="343">
        <f>SUMIFS($AU$1388:AU2276,$AA$1388:AA2276,"*",$AB$1388:AB2276,"*")</f>
        <v>7915.9999999997544</v>
      </c>
      <c r="BV2274" s="343">
        <f>SUMIFS($AU$1388:AU2276,$AA$1388:AA2276,"*",$AC$1388:AC2276,"*")</f>
        <v>29696.036363636529</v>
      </c>
      <c r="BW2274" s="343">
        <f>SUMIFS($AU$1388:AU2276,$AB$1388:AB2276,"*",$AC$1388:AC2276,"*")</f>
        <v>3863.9999999999991</v>
      </c>
      <c r="BX2274" s="343">
        <f>SUMIFS($AV$1388:AV2276,$Q$1388:Q2276,"F")</f>
        <v>383.04019562430165</v>
      </c>
      <c r="BY2274" s="343">
        <f>SUMIFS($AV$1388:AV2276,$Q$1388:Q2276,"S")</f>
        <v>676.61134190572739</v>
      </c>
      <c r="BZ2274" s="343">
        <f>SUMIFS($AV$1388:AV2276,$Q$1388:Q2276,"O")</f>
        <v>378.55929999967736</v>
      </c>
    </row>
    <row r="2275" spans="1:78" ht="15.75" customHeight="1">
      <c r="A2275" s="177" t="s">
        <v>6781</v>
      </c>
      <c r="B2275" s="200"/>
      <c r="C2275" s="178"/>
      <c r="D2275" s="178"/>
      <c r="E2275" s="227"/>
      <c r="F2275" s="180"/>
      <c r="G2275" s="181"/>
      <c r="H2275" s="182"/>
      <c r="I2275" s="182"/>
      <c r="J2275" s="182"/>
      <c r="K2275" s="183"/>
      <c r="L2275" s="182"/>
      <c r="M2275" s="182"/>
      <c r="N2275" s="182"/>
      <c r="O2275" s="183"/>
      <c r="P2275" s="183"/>
      <c r="Q2275" s="183"/>
      <c r="R2275" s="183"/>
      <c r="S2275" s="183"/>
      <c r="T2275" s="183"/>
      <c r="U2275" s="183"/>
      <c r="V2275" s="183"/>
      <c r="W2275" s="183"/>
      <c r="X2275" s="183"/>
      <c r="Y2275" s="184"/>
      <c r="Z2275" s="185"/>
      <c r="AA2275" s="185"/>
      <c r="AB2275" s="185"/>
      <c r="AC2275" s="185"/>
      <c r="AD2275" s="649"/>
      <c r="AE2275" s="182"/>
      <c r="AF2275" s="332"/>
      <c r="AG2275" s="182"/>
      <c r="AH2275" s="182"/>
      <c r="AI2275" s="182"/>
      <c r="AJ2275" s="640"/>
      <c r="AK2275" s="182"/>
      <c r="AL2275" s="496">
        <f t="shared" ref="AL2275" si="755">-0.02*Z2275</f>
        <v>0</v>
      </c>
      <c r="AM2275" s="496">
        <f t="shared" si="753"/>
        <v>0</v>
      </c>
      <c r="AN2275" s="626"/>
      <c r="AO2275" s="182"/>
      <c r="AP2275" s="182"/>
      <c r="AQ2275" s="332" t="str">
        <f>UPPER(RIGHT(Journal_Live[[#This Row],[DURATION ]]))</f>
        <v/>
      </c>
      <c r="AR2275" s="182"/>
      <c r="AS2275" s="189"/>
      <c r="AT2275" s="189"/>
      <c r="AU2275" s="187"/>
      <c r="AV2275" s="190"/>
      <c r="AW2275" s="191"/>
      <c r="AX2275" s="549" t="s">
        <v>7227</v>
      </c>
      <c r="AY2275" s="549" t="s">
        <v>7228</v>
      </c>
      <c r="AZ2275" s="549" t="s">
        <v>7229</v>
      </c>
      <c r="BA2275" s="549" t="s">
        <v>7230</v>
      </c>
      <c r="BB2275" s="549" t="s">
        <v>7231</v>
      </c>
      <c r="BC2275" s="549" t="s">
        <v>7232</v>
      </c>
      <c r="BD2275" s="549" t="s">
        <v>7233</v>
      </c>
      <c r="BE2275" s="550" t="s">
        <v>7234</v>
      </c>
      <c r="BF2275" s="549" t="s">
        <v>7235</v>
      </c>
      <c r="BG2275" s="391">
        <f>SUM($AV$1389:AV2275)</f>
        <v>6686.2108375297139</v>
      </c>
      <c r="BH2275" s="392">
        <f>SUM($AU$1389:AU2275)</f>
        <v>42556.423836163201</v>
      </c>
      <c r="BI2275" s="318">
        <f>SUMIFS($AU$1388:AU2277,$Q$1388:Q2277,"F")</f>
        <v>29235.078121878127</v>
      </c>
      <c r="BJ2275" s="318">
        <f>SUMIFS($AU$1388:AU2277,$Q$1388:Q2277,"S")</f>
        <v>17938.285714285706</v>
      </c>
      <c r="BK2275" s="343">
        <f>SUMIFS($AU$1388:AU2277,$P$1388:P2277,"W")</f>
        <v>17144.143836163403</v>
      </c>
      <c r="BL2275" s="343">
        <f>SUMIFS($AU$1388:AU2277,$P$1388:P2277,"R")</f>
        <v>22616.400000000325</v>
      </c>
      <c r="BM2275" s="343">
        <f>SUMIFS($AU$1388:AU2277,$AQ$1388:AQ2277,"M")</f>
        <v>8875.1799999983887</v>
      </c>
      <c r="BN2275" s="343">
        <f>SUMIFS($AU$1388:AU2277,$AQ$1388:AQ2277,"H")</f>
        <v>11643.200000000877</v>
      </c>
      <c r="BO2275" s="343">
        <f>SUMIFS($AU$1388:AU2277,$AQ$1388:AQ2277,"D")</f>
        <v>13122.377472527351</v>
      </c>
      <c r="BP2275" s="343">
        <f>SUMIFS($AS$1388:AS2708,$AO$1388:AO2708,"W")</f>
        <v>0</v>
      </c>
      <c r="BQ2275" s="343">
        <f>SUMIFS($AU$1388:AU2277,$Q$1388:Q2277,"O")</f>
        <v>-9340.9400000006026</v>
      </c>
      <c r="BR2275" s="343">
        <f>SUMIFS($AU$1388:AU2277,$AA$1388:AA2277,"*")</f>
        <v>37881.5220779214</v>
      </c>
      <c r="BS2275" s="343">
        <f>SUMIFS($AU$1388:AU2277,$AB$1388:AB2277,"*")</f>
        <v>7475.8599999999715</v>
      </c>
      <c r="BT2275" s="343">
        <f>SUMIFS($AU$1388:AU2277,$AC$1388:AC2277,"*")</f>
        <v>33251.078121878119</v>
      </c>
      <c r="BU2275" s="343">
        <f>SUMIFS($AU$1388:AU2277,$AA$1388:AA2277,"*",$AB$1388:AB2277,"*")</f>
        <v>7915.9999999997544</v>
      </c>
      <c r="BV2275" s="343">
        <f>SUMIFS($AU$1388:AU2277,$AA$1388:AA2277,"*",$AC$1388:AC2277,"*")</f>
        <v>29696.036363636529</v>
      </c>
      <c r="BW2275" s="343">
        <f>SUMIFS($AU$1388:AU2277,$AB$1388:AB2277,"*",$AC$1388:AC2277,"*")</f>
        <v>3863.9999999999991</v>
      </c>
      <c r="BX2275" s="343">
        <f>SUMIFS($AV$1388:AV2277,$Q$1388:Q2277,"F")</f>
        <v>383.04019562430165</v>
      </c>
      <c r="BY2275" s="343">
        <f>SUMIFS($AV$1388:AV2277,$Q$1388:Q2277,"S")</f>
        <v>676.61134190572739</v>
      </c>
      <c r="BZ2275" s="343">
        <f>SUMIFS($AV$1388:AV2277,$Q$1388:Q2277,"O")</f>
        <v>378.55929999967736</v>
      </c>
    </row>
    <row r="2276" spans="1:78" ht="15.75" customHeight="1">
      <c r="A2276" s="177" t="s">
        <v>6781</v>
      </c>
      <c r="B2276" s="200"/>
      <c r="C2276" s="178"/>
      <c r="D2276" s="178"/>
      <c r="E2276" s="227"/>
      <c r="F2276" s="180"/>
      <c r="G2276" s="181"/>
      <c r="H2276" s="182"/>
      <c r="I2276" s="182"/>
      <c r="J2276" s="182"/>
      <c r="K2276" s="183"/>
      <c r="L2276" s="182"/>
      <c r="M2276" s="182"/>
      <c r="N2276" s="182"/>
      <c r="O2276" s="183"/>
      <c r="P2276" s="183"/>
      <c r="Q2276" s="183"/>
      <c r="R2276" s="183"/>
      <c r="S2276" s="183"/>
      <c r="T2276" s="183"/>
      <c r="U2276" s="183"/>
      <c r="V2276" s="183"/>
      <c r="W2276" s="183"/>
      <c r="X2276" s="183"/>
      <c r="Y2276" s="184"/>
      <c r="Z2276" s="185"/>
      <c r="AA2276" s="185"/>
      <c r="AB2276" s="185"/>
      <c r="AC2276" s="185"/>
      <c r="AD2276" s="649"/>
      <c r="AE2276" s="182"/>
      <c r="AF2276" s="332"/>
      <c r="AG2276" s="182"/>
      <c r="AH2276" s="182"/>
      <c r="AI2276" s="182"/>
      <c r="AJ2276" s="640"/>
      <c r="AK2276" s="182"/>
      <c r="AL2276" s="496">
        <f t="shared" si="739"/>
        <v>0</v>
      </c>
      <c r="AM2276" s="496">
        <f t="shared" si="753"/>
        <v>0</v>
      </c>
      <c r="AN2276" s="626"/>
      <c r="AO2276" s="182"/>
      <c r="AP2276" s="182"/>
      <c r="AQ2276" s="332" t="str">
        <f>UPPER(RIGHT(Journal_Live[[#This Row],[DURATION ]]))</f>
        <v/>
      </c>
      <c r="AR2276" s="182"/>
      <c r="AS2276" s="189"/>
      <c r="AT2276" s="189"/>
      <c r="AU2276" s="187"/>
      <c r="AV2276" s="190"/>
      <c r="AW2276" s="191"/>
      <c r="AX2276" s="551"/>
      <c r="AY2276" s="549" t="s">
        <v>7236</v>
      </c>
      <c r="AZ2276" s="551" t="s">
        <v>7237</v>
      </c>
      <c r="BA2276" s="551"/>
      <c r="BB2276" s="551"/>
      <c r="BC2276" s="551"/>
      <c r="BD2276" s="549"/>
      <c r="BE2276" s="550"/>
      <c r="BF2276" s="549"/>
      <c r="BG2276" s="391">
        <f>SUM($AV$1389:AV2276)</f>
        <v>6686.2108375297139</v>
      </c>
      <c r="BH2276" s="392">
        <f>SUM($AU$1389:AU2276)</f>
        <v>42556.423836163201</v>
      </c>
      <c r="BI2276" s="318">
        <f>SUMIFS($AU$1388:AU2278,$Q$1388:Q2278,"F")</f>
        <v>29235.078121878127</v>
      </c>
      <c r="BJ2276" s="318">
        <f>SUMIFS($AU$1388:AU2278,$Q$1388:Q2278,"S")</f>
        <v>17938.285714285706</v>
      </c>
      <c r="BK2276" s="343">
        <f>SUMIFS($AU$1388:AU2278,$P$1388:P2278,"W")</f>
        <v>17144.143836163403</v>
      </c>
      <c r="BL2276" s="343">
        <f>SUMIFS($AU$1388:AU2278,$P$1388:P2278,"R")</f>
        <v>22616.400000000325</v>
      </c>
      <c r="BM2276" s="343">
        <f>SUMIFS($AU$1388:AU2278,$AQ$1388:AQ2278,"M")</f>
        <v>8875.1799999983887</v>
      </c>
      <c r="BN2276" s="343">
        <f>SUMIFS($AU$1388:AU2278,$AQ$1388:AQ2278,"H")</f>
        <v>11643.200000000877</v>
      </c>
      <c r="BO2276" s="343">
        <f>SUMIFS($AU$1388:AU2278,$AQ$1388:AQ2278,"D")</f>
        <v>13122.377472527351</v>
      </c>
      <c r="BP2276" s="343">
        <f>SUMIFS($AS$1388:AS2709,$AO$1388:AO2709,"W")</f>
        <v>0</v>
      </c>
      <c r="BQ2276" s="343">
        <f>SUMIFS($AU$1388:AU2278,$Q$1388:Q2278,"O")</f>
        <v>-9340.9400000006026</v>
      </c>
      <c r="BR2276" s="343">
        <f>SUMIFS($AU$1388:AU2278,$AA$1388:AA2278,"*")</f>
        <v>37881.5220779214</v>
      </c>
      <c r="BS2276" s="343">
        <f>SUMIFS($AU$1388:AU2278,$AB$1388:AB2278,"*")</f>
        <v>7475.8599999999715</v>
      </c>
      <c r="BT2276" s="343">
        <f>SUMIFS($AU$1388:AU2278,$AC$1388:AC2278,"*")</f>
        <v>33251.078121878119</v>
      </c>
      <c r="BU2276" s="343">
        <f>SUMIFS($AU$1388:AU2278,$AA$1388:AA2278,"*",$AB$1388:AB2278,"*")</f>
        <v>7915.9999999997544</v>
      </c>
      <c r="BV2276" s="343">
        <f>SUMIFS($AU$1388:AU2278,$AA$1388:AA2278,"*",$AC$1388:AC2278,"*")</f>
        <v>29696.036363636529</v>
      </c>
      <c r="BW2276" s="343">
        <f>SUMIFS($AU$1388:AU2278,$AB$1388:AB2278,"*",$AC$1388:AC2278,"*")</f>
        <v>3863.9999999999991</v>
      </c>
      <c r="BX2276" s="343">
        <f>SUMIFS($AV$1388:AV2278,$Q$1388:Q2278,"F")</f>
        <v>383.04019562430165</v>
      </c>
      <c r="BY2276" s="343">
        <f>SUMIFS($AV$1388:AV2278,$Q$1388:Q2278,"S")</f>
        <v>676.61134190572739</v>
      </c>
      <c r="BZ2276" s="343">
        <f>SUMIFS($AV$1388:AV2278,$Q$1388:Q2278,"O")</f>
        <v>378.55929999967736</v>
      </c>
    </row>
    <row r="2277" spans="1:78" ht="15.75" customHeight="1">
      <c r="A2277" s="177" t="s">
        <v>6781</v>
      </c>
      <c r="B2277" s="200"/>
      <c r="C2277" s="178"/>
      <c r="D2277" s="178"/>
      <c r="E2277" s="227"/>
      <c r="F2277" s="180"/>
      <c r="G2277" s="181"/>
      <c r="H2277" s="182"/>
      <c r="I2277" s="182"/>
      <c r="J2277" s="182"/>
      <c r="K2277" s="183"/>
      <c r="L2277" s="182"/>
      <c r="M2277" s="182"/>
      <c r="N2277" s="182"/>
      <c r="O2277" s="183"/>
      <c r="P2277" s="183"/>
      <c r="Q2277" s="183"/>
      <c r="R2277" s="183"/>
      <c r="S2277" s="183"/>
      <c r="T2277" s="183"/>
      <c r="U2277" s="183"/>
      <c r="V2277" s="183"/>
      <c r="W2277" s="183"/>
      <c r="X2277" s="183"/>
      <c r="Y2277" s="184"/>
      <c r="Z2277" s="185"/>
      <c r="AA2277" s="185"/>
      <c r="AB2277" s="185"/>
      <c r="AC2277" s="185"/>
      <c r="AD2277" s="649"/>
      <c r="AE2277" s="182"/>
      <c r="AF2277" s="332"/>
      <c r="AG2277" s="182"/>
      <c r="AH2277" s="182"/>
      <c r="AI2277" s="182"/>
      <c r="AJ2277" s="640"/>
      <c r="AK2277" s="182"/>
      <c r="AL2277" s="496">
        <f t="shared" ref="AL2277" si="756">-0.02*Z2277</f>
        <v>0</v>
      </c>
      <c r="AM2277" s="496">
        <f t="shared" si="753"/>
        <v>0</v>
      </c>
      <c r="AN2277" s="626"/>
      <c r="AO2277" s="182"/>
      <c r="AP2277" s="182"/>
      <c r="AQ2277" s="332" t="str">
        <f>UPPER(RIGHT(Journal_Live[[#This Row],[DURATION ]]))</f>
        <v/>
      </c>
      <c r="AR2277" s="182"/>
      <c r="AS2277" s="189"/>
      <c r="AT2277" s="189"/>
      <c r="AU2277" s="187"/>
      <c r="AV2277" s="190"/>
      <c r="AW2277" s="191"/>
      <c r="AX2277" s="551"/>
      <c r="AY2277" s="551"/>
      <c r="AZ2277" s="551"/>
      <c r="BA2277" s="551"/>
      <c r="BB2277" s="551"/>
      <c r="BC2277" s="551"/>
      <c r="BD2277" s="549"/>
      <c r="BE2277" s="550"/>
      <c r="BF2277" s="549"/>
      <c r="BG2277" s="391">
        <f>SUM($AV$1389:AV2277)</f>
        <v>6686.2108375297139</v>
      </c>
      <c r="BH2277" s="392">
        <f>SUM($AU$1389:AU2277)</f>
        <v>42556.423836163201</v>
      </c>
      <c r="BI2277" s="318">
        <f>SUMIFS($AU$1388:AU2279,$Q$1388:Q2279,"F")</f>
        <v>29235.078121878127</v>
      </c>
      <c r="BJ2277" s="318">
        <f>SUMIFS($AU$1388:AU2279,$Q$1388:Q2279,"S")</f>
        <v>17938.285714285706</v>
      </c>
      <c r="BK2277" s="343">
        <f>SUMIFS($AU$1388:AU2279,$P$1388:P2279,"W")</f>
        <v>17144.143836163403</v>
      </c>
      <c r="BL2277" s="343">
        <f>SUMIFS($AU$1388:AU2279,$P$1388:P2279,"R")</f>
        <v>22616.400000000325</v>
      </c>
      <c r="BM2277" s="343">
        <f>SUMIFS($AU$1388:AU2279,$AQ$1388:AQ2279,"M")</f>
        <v>8875.1799999983887</v>
      </c>
      <c r="BN2277" s="343">
        <f>SUMIFS($AU$1388:AU2279,$AQ$1388:AQ2279,"H")</f>
        <v>11643.200000000877</v>
      </c>
      <c r="BO2277" s="343">
        <f>SUMIFS($AU$1388:AU2279,$AQ$1388:AQ2279,"D")</f>
        <v>13122.377472527351</v>
      </c>
      <c r="BP2277" s="343">
        <f>SUMIFS($AS$1388:AS2710,$AO$1388:AO2710,"W")</f>
        <v>0</v>
      </c>
      <c r="BQ2277" s="343">
        <f>SUMIFS($AU$1388:AU2279,$Q$1388:Q2279,"O")</f>
        <v>-9340.9400000006026</v>
      </c>
      <c r="BR2277" s="343">
        <f>SUMIFS($AU$1388:AU2279,$AA$1388:AA2279,"*")</f>
        <v>37881.5220779214</v>
      </c>
      <c r="BS2277" s="343">
        <f>SUMIFS($AU$1388:AU2279,$AB$1388:AB2279,"*")</f>
        <v>7475.8599999999715</v>
      </c>
      <c r="BT2277" s="343">
        <f>SUMIFS($AU$1388:AU2279,$AC$1388:AC2279,"*")</f>
        <v>33251.078121878119</v>
      </c>
      <c r="BU2277" s="343">
        <f>SUMIFS($AU$1388:AU2279,$AA$1388:AA2279,"*",$AB$1388:AB2279,"*")</f>
        <v>7915.9999999997544</v>
      </c>
      <c r="BV2277" s="343">
        <f>SUMIFS($AU$1388:AU2279,$AA$1388:AA2279,"*",$AC$1388:AC2279,"*")</f>
        <v>29696.036363636529</v>
      </c>
      <c r="BW2277" s="343">
        <f>SUMIFS($AU$1388:AU2279,$AB$1388:AB2279,"*",$AC$1388:AC2279,"*")</f>
        <v>3863.9999999999991</v>
      </c>
      <c r="BX2277" s="343">
        <f>SUMIFS($AV$1388:AV2279,$Q$1388:Q2279,"F")</f>
        <v>383.04019562430165</v>
      </c>
      <c r="BY2277" s="343">
        <f>SUMIFS($AV$1388:AV2279,$Q$1388:Q2279,"S")</f>
        <v>676.61134190572739</v>
      </c>
      <c r="BZ2277" s="343">
        <f>SUMIFS($AV$1388:AV2279,$Q$1388:Q2279,"O")</f>
        <v>378.55929999967736</v>
      </c>
    </row>
    <row r="2278" spans="1:78" ht="15.75" customHeight="1">
      <c r="A2278" s="177" t="s">
        <v>6781</v>
      </c>
      <c r="B2278" s="200"/>
      <c r="C2278" s="178"/>
      <c r="D2278" s="178"/>
      <c r="E2278" s="227"/>
      <c r="F2278" s="180"/>
      <c r="G2278" s="181"/>
      <c r="H2278" s="182"/>
      <c r="I2278" s="182"/>
      <c r="J2278" s="182"/>
      <c r="K2278" s="183"/>
      <c r="L2278" s="182"/>
      <c r="M2278" s="182"/>
      <c r="N2278" s="182"/>
      <c r="O2278" s="183"/>
      <c r="P2278" s="183"/>
      <c r="Q2278" s="183"/>
      <c r="R2278" s="183"/>
      <c r="S2278" s="183"/>
      <c r="T2278" s="183"/>
      <c r="U2278" s="183"/>
      <c r="V2278" s="183"/>
      <c r="W2278" s="183"/>
      <c r="X2278" s="183"/>
      <c r="Y2278" s="184"/>
      <c r="Z2278" s="185"/>
      <c r="AA2278" s="185"/>
      <c r="AB2278" s="185"/>
      <c r="AC2278" s="185"/>
      <c r="AD2278" s="649"/>
      <c r="AE2278" s="182"/>
      <c r="AF2278" s="332"/>
      <c r="AG2278" s="182"/>
      <c r="AH2278" s="182"/>
      <c r="AI2278" s="182"/>
      <c r="AJ2278" s="640"/>
      <c r="AK2278" s="182"/>
      <c r="AL2278" s="496">
        <f t="shared" si="710"/>
        <v>0</v>
      </c>
      <c r="AM2278" s="496">
        <f t="shared" si="753"/>
        <v>0</v>
      </c>
      <c r="AN2278" s="626"/>
      <c r="AO2278" s="182"/>
      <c r="AP2278" s="182"/>
      <c r="AQ2278" s="332" t="str">
        <f>UPPER(RIGHT(Journal_Live[[#This Row],[DURATION ]]))</f>
        <v/>
      </c>
      <c r="AR2278" s="182"/>
      <c r="AS2278" s="189"/>
      <c r="AT2278" s="189"/>
      <c r="AU2278" s="187"/>
      <c r="AV2278" s="190"/>
      <c r="AW2278" s="191"/>
      <c r="AX2278" s="551"/>
      <c r="AY2278" s="551"/>
      <c r="AZ2278" s="551"/>
      <c r="BA2278" s="551"/>
      <c r="BB2278" s="551"/>
      <c r="BC2278" s="551"/>
      <c r="BD2278" s="549"/>
      <c r="BE2278" s="550"/>
      <c r="BF2278" s="549"/>
      <c r="BG2278" s="391">
        <f>SUM($AV$1389:AV2278)</f>
        <v>6686.2108375297139</v>
      </c>
      <c r="BH2278" s="392">
        <f>SUM($AU$1389:AU2278)</f>
        <v>42556.423836163201</v>
      </c>
      <c r="BI2278" s="318">
        <f>SUMIFS($AU$1388:AU2279,$Q$1388:Q2279,"F")</f>
        <v>29235.078121878127</v>
      </c>
      <c r="BJ2278" s="318">
        <f>SUMIFS($AU$1388:AU2279,$Q$1388:Q2279,"S")</f>
        <v>17938.285714285706</v>
      </c>
      <c r="BK2278" s="343">
        <f>SUMIFS($AU$1388:AU2279,$P$1388:P2279,"W")</f>
        <v>17144.143836163403</v>
      </c>
      <c r="BL2278" s="343">
        <f>SUMIFS($AU$1388:AU2279,$P$1388:P2279,"R")</f>
        <v>22616.400000000325</v>
      </c>
      <c r="BM2278" s="343">
        <f>SUMIFS($AU$1388:AU2279,$AQ$1388:AQ2279,"M")</f>
        <v>8875.1799999983887</v>
      </c>
      <c r="BN2278" s="343">
        <f>SUMIFS($AU$1388:AU2279,$AQ$1388:AQ2279,"H")</f>
        <v>11643.200000000877</v>
      </c>
      <c r="BO2278" s="343">
        <f>SUMIFS($AU$1388:AU2279,$AQ$1388:AQ2279,"D")</f>
        <v>13122.377472527351</v>
      </c>
      <c r="BP2278" s="343">
        <f>SUMIFS($AS$1388:AS2710,$AO$1388:AO2710,"W")</f>
        <v>0</v>
      </c>
      <c r="BQ2278" s="343">
        <f>SUMIFS($AU$1388:AU2279,$Q$1388:Q2279,"O")</f>
        <v>-9340.9400000006026</v>
      </c>
      <c r="BR2278" s="343">
        <f>SUMIFS($AU$1388:AU2279,$AA$1388:AA2279,"*")</f>
        <v>37881.5220779214</v>
      </c>
      <c r="BS2278" s="343">
        <f>SUMIFS($AU$1388:AU2279,$AB$1388:AB2279,"*")</f>
        <v>7475.8599999999715</v>
      </c>
      <c r="BT2278" s="343">
        <f>SUMIFS($AU$1388:AU2279,$AC$1388:AC2279,"*")</f>
        <v>33251.078121878119</v>
      </c>
      <c r="BU2278" s="343">
        <f>SUMIFS($AU$1388:AU2279,$AA$1388:AA2279,"*",$AB$1388:AB2279,"*")</f>
        <v>7915.9999999997544</v>
      </c>
      <c r="BV2278" s="343">
        <f>SUMIFS($AU$1388:AU2279,$AA$1388:AA2279,"*",$AC$1388:AC2279,"*")</f>
        <v>29696.036363636529</v>
      </c>
      <c r="BW2278" s="343">
        <f>SUMIFS($AU$1388:AU2279,$AB$1388:AB2279,"*",$AC$1388:AC2279,"*")</f>
        <v>3863.9999999999991</v>
      </c>
      <c r="BX2278" s="343">
        <f>SUMIFS($AV$1388:AV2279,$Q$1388:Q2279,"F")</f>
        <v>383.04019562430165</v>
      </c>
      <c r="BY2278" s="343">
        <f>SUMIFS($AV$1388:AV2279,$Q$1388:Q2279,"S")</f>
        <v>676.61134190572739</v>
      </c>
      <c r="BZ2278" s="343">
        <f>SUMIFS($AV$1388:AV2279,$Q$1388:Q2279,"O")</f>
        <v>378.55929999967736</v>
      </c>
    </row>
    <row r="2279" spans="1:78" ht="15.75" customHeight="1">
      <c r="A2279" s="177" t="s">
        <v>6781</v>
      </c>
      <c r="B2279" s="200"/>
      <c r="C2279" s="178"/>
      <c r="D2279" s="178"/>
      <c r="E2279" s="227"/>
      <c r="F2279" s="180"/>
      <c r="G2279" s="181"/>
      <c r="H2279" s="182"/>
      <c r="I2279" s="182"/>
      <c r="J2279" s="182"/>
      <c r="K2279" s="183"/>
      <c r="L2279" s="182"/>
      <c r="M2279" s="182"/>
      <c r="N2279" s="182"/>
      <c r="O2279" s="183"/>
      <c r="P2279" s="183"/>
      <c r="Q2279" s="183"/>
      <c r="R2279" s="183"/>
      <c r="S2279" s="183"/>
      <c r="T2279" s="183"/>
      <c r="U2279" s="183"/>
      <c r="V2279" s="183"/>
      <c r="W2279" s="183"/>
      <c r="X2279" s="183"/>
      <c r="Y2279" s="184"/>
      <c r="Z2279" s="185"/>
      <c r="AA2279" s="185"/>
      <c r="AB2279" s="185"/>
      <c r="AC2279" s="185"/>
      <c r="AD2279" s="649"/>
      <c r="AE2279" s="182"/>
      <c r="AF2279" s="332"/>
      <c r="AG2279" s="182"/>
      <c r="AH2279" s="182"/>
      <c r="AI2279" s="182"/>
      <c r="AJ2279" s="640"/>
      <c r="AK2279" s="182"/>
      <c r="AL2279" s="496">
        <f t="shared" si="708"/>
        <v>0</v>
      </c>
      <c r="AM2279" s="496">
        <f t="shared" si="753"/>
        <v>0</v>
      </c>
      <c r="AN2279" s="626"/>
      <c r="AO2279" s="182"/>
      <c r="AP2279" s="182"/>
      <c r="AQ2279" s="332" t="str">
        <f>UPPER(RIGHT(Journal_Live[[#This Row],[DURATION ]]))</f>
        <v/>
      </c>
      <c r="AR2279" s="182"/>
      <c r="AS2279" s="189"/>
      <c r="AT2279" s="189"/>
      <c r="AU2279" s="187"/>
      <c r="AV2279" s="190"/>
      <c r="AW2279" s="191"/>
      <c r="AX2279" s="587" t="s">
        <v>7238</v>
      </c>
      <c r="AY2279" s="587" t="s">
        <v>7239</v>
      </c>
      <c r="AZ2279" s="587" t="s">
        <v>7240</v>
      </c>
      <c r="BA2279" s="587" t="s">
        <v>7241</v>
      </c>
      <c r="BB2279" s="587" t="s">
        <v>7149</v>
      </c>
      <c r="BC2279" s="587" t="s">
        <v>7242</v>
      </c>
      <c r="BD2279" s="587" t="s">
        <v>7243</v>
      </c>
      <c r="BE2279" s="587" t="s">
        <v>7244</v>
      </c>
      <c r="BF2279" s="587" t="s">
        <v>7245</v>
      </c>
      <c r="BG2279" s="391">
        <f>SUM($AV$1389:AV2279)</f>
        <v>6686.2108375297139</v>
      </c>
      <c r="BH2279" s="392">
        <f>SUM($AU$1389:AU2279)</f>
        <v>42556.423836163201</v>
      </c>
      <c r="BI2279" s="318">
        <f>SUMIFS($AU$1388:AU2280,$Q$1388:Q2280,"F")</f>
        <v>29235.078121878127</v>
      </c>
      <c r="BJ2279" s="318">
        <f>SUMIFS($AU$1388:AU2280,$Q$1388:Q2280,"S")</f>
        <v>17938.285714285706</v>
      </c>
      <c r="BK2279" s="343">
        <f>SUMIFS($AU$1388:AU2280,$P$1388:P2280,"W")</f>
        <v>17144.143836163403</v>
      </c>
      <c r="BL2279" s="343">
        <f>SUMIFS($AU$1388:AU2280,$P$1388:P2280,"R")</f>
        <v>22616.400000000325</v>
      </c>
      <c r="BM2279" s="343">
        <f>SUMIFS($AU$1388:AU2280,$AQ$1388:AQ2280,"M")</f>
        <v>8875.1799999983887</v>
      </c>
      <c r="BN2279" s="343">
        <f>SUMIFS($AU$1388:AU2280,$AQ$1388:AQ2280,"H")</f>
        <v>11643.200000000877</v>
      </c>
      <c r="BO2279" s="343">
        <f>SUMIFS($AU$1388:AU2280,$AQ$1388:AQ2280,"D")</f>
        <v>13122.377472527351</v>
      </c>
      <c r="BP2279" s="343">
        <f>SUMIFS($AS$1388:AS2711,$AO$1388:AO2711,"W")</f>
        <v>0</v>
      </c>
      <c r="BQ2279" s="343">
        <f>SUMIFS($AU$1388:AU2280,$Q$1388:Q2280,"O")</f>
        <v>-9340.9400000006026</v>
      </c>
      <c r="BR2279" s="343">
        <f>SUMIFS($AU$1388:AU2280,$AA$1388:AA2280,"*")</f>
        <v>37881.5220779214</v>
      </c>
      <c r="BS2279" s="343">
        <f>SUMIFS($AU$1388:AU2280,$AB$1388:AB2280,"*")</f>
        <v>7475.8599999999715</v>
      </c>
      <c r="BT2279" s="343">
        <f>SUMIFS($AU$1388:AU2280,$AC$1388:AC2280,"*")</f>
        <v>33251.078121878119</v>
      </c>
      <c r="BU2279" s="343">
        <f>SUMIFS($AU$1388:AU2280,$AA$1388:AA2280,"*",$AB$1388:AB2280,"*")</f>
        <v>7915.9999999997544</v>
      </c>
      <c r="BV2279" s="343">
        <f>SUMIFS($AU$1388:AU2280,$AA$1388:AA2280,"*",$AC$1388:AC2280,"*")</f>
        <v>29696.036363636529</v>
      </c>
      <c r="BW2279" s="343">
        <f>SUMIFS($AU$1388:AU2280,$AB$1388:AB2280,"*",$AC$1388:AC2280,"*")</f>
        <v>3863.9999999999991</v>
      </c>
      <c r="BX2279" s="343">
        <f>SUMIFS($AV$1388:AV2280,$Q$1388:Q2280,"F")</f>
        <v>383.04019562430165</v>
      </c>
      <c r="BY2279" s="343">
        <f>SUMIFS($AV$1388:AV2280,$Q$1388:Q2280,"S")</f>
        <v>676.61134190572739</v>
      </c>
      <c r="BZ2279" s="343">
        <f>SUMIFS($AV$1388:AV2280,$Q$1388:Q2280,"O")</f>
        <v>378.55929999967736</v>
      </c>
    </row>
    <row r="2280" spans="1:78" ht="15.75" customHeight="1">
      <c r="A2280" s="177" t="s">
        <v>6781</v>
      </c>
      <c r="B2280" s="200"/>
      <c r="C2280" s="178"/>
      <c r="D2280" s="178"/>
      <c r="E2280" s="227"/>
      <c r="F2280" s="180"/>
      <c r="G2280" s="181"/>
      <c r="H2280" s="182"/>
      <c r="I2280" s="182"/>
      <c r="J2280" s="182"/>
      <c r="K2280" s="183"/>
      <c r="L2280" s="182"/>
      <c r="M2280" s="182"/>
      <c r="N2280" s="182"/>
      <c r="O2280" s="183"/>
      <c r="P2280" s="183"/>
      <c r="Q2280" s="183"/>
      <c r="R2280" s="183"/>
      <c r="S2280" s="183"/>
      <c r="T2280" s="183"/>
      <c r="U2280" s="183"/>
      <c r="V2280" s="183"/>
      <c r="W2280" s="183"/>
      <c r="X2280" s="183"/>
      <c r="Y2280" s="184"/>
      <c r="Z2280" s="185"/>
      <c r="AA2280" s="185"/>
      <c r="AB2280" s="185"/>
      <c r="AC2280" s="185"/>
      <c r="AD2280" s="649"/>
      <c r="AE2280" s="182"/>
      <c r="AF2280" s="332"/>
      <c r="AG2280" s="182"/>
      <c r="AH2280" s="182"/>
      <c r="AI2280" s="182"/>
      <c r="AJ2280" s="640"/>
      <c r="AK2280" s="182"/>
      <c r="AL2280" s="496">
        <f t="shared" si="708"/>
        <v>0</v>
      </c>
      <c r="AM2280" s="496">
        <f t="shared" si="753"/>
        <v>0</v>
      </c>
      <c r="AN2280" s="626"/>
      <c r="AO2280" s="182"/>
      <c r="AP2280" s="182"/>
      <c r="AQ2280" s="332" t="str">
        <f>UPPER(RIGHT(Journal_Live[[#This Row],[DURATION ]]))</f>
        <v/>
      </c>
      <c r="AR2280" s="182"/>
      <c r="AS2280" s="189"/>
      <c r="AT2280" s="189"/>
      <c r="AU2280" s="187"/>
      <c r="AV2280" s="190"/>
      <c r="AW2280" s="191"/>
      <c r="AX2280" s="417" t="s">
        <v>6854</v>
      </c>
      <c r="AY2280" s="417" t="s">
        <v>7246</v>
      </c>
      <c r="AZ2280" s="417" t="s">
        <v>7247</v>
      </c>
      <c r="BA2280" s="417" t="s">
        <v>7076</v>
      </c>
      <c r="BB2280" s="551"/>
      <c r="BC2280" s="551"/>
      <c r="BD2280" s="549"/>
      <c r="BE2280" s="550"/>
      <c r="BF2280" s="549"/>
      <c r="BG2280" s="391">
        <f>SUM($AV$1389:AV2280)</f>
        <v>6686.2108375297139</v>
      </c>
      <c r="BH2280" s="392">
        <f>SUM($AU$1389:AU2280)</f>
        <v>42556.423836163201</v>
      </c>
      <c r="BI2280" s="318">
        <f>SUMIFS($AU$1388:AU2281,$Q$1388:Q2281,"F")</f>
        <v>29235.078121878127</v>
      </c>
      <c r="BJ2280" s="318">
        <f>SUMIFS($AU$1388:AU2281,$Q$1388:Q2281,"S")</f>
        <v>17938.285714285706</v>
      </c>
      <c r="BK2280" s="343">
        <f>SUMIFS($AU$1388:AU2281,$P$1388:P2281,"W")</f>
        <v>17144.143836163403</v>
      </c>
      <c r="BL2280" s="343">
        <f>SUMIFS($AU$1388:AU2281,$P$1388:P2281,"R")</f>
        <v>22616.400000000325</v>
      </c>
      <c r="BM2280" s="343">
        <f>SUMIFS($AU$1388:AU2281,$AQ$1388:AQ2281,"M")</f>
        <v>8875.1799999983887</v>
      </c>
      <c r="BN2280" s="343">
        <f>SUMIFS($AU$1388:AU2281,$AQ$1388:AQ2281,"H")</f>
        <v>11643.200000000877</v>
      </c>
      <c r="BO2280" s="343">
        <f>SUMIFS($AU$1388:AU2281,$AQ$1388:AQ2281,"D")</f>
        <v>13122.377472527351</v>
      </c>
      <c r="BP2280" s="343">
        <f>SUMIFS($AS$1388:AS2712,$AO$1388:AO2712,"W")</f>
        <v>0</v>
      </c>
      <c r="BQ2280" s="343">
        <f>SUMIFS($AU$1388:AU2281,$Q$1388:Q2281,"O")</f>
        <v>-9340.9400000006026</v>
      </c>
      <c r="BR2280" s="343">
        <f>SUMIFS($AU$1388:AU2281,$AA$1388:AA2281,"*")</f>
        <v>37881.5220779214</v>
      </c>
      <c r="BS2280" s="343">
        <f>SUMIFS($AU$1388:AU2281,$AB$1388:AB2281,"*")</f>
        <v>7475.8599999999715</v>
      </c>
      <c r="BT2280" s="343">
        <f>SUMIFS($AU$1388:AU2281,$AC$1388:AC2281,"*")</f>
        <v>33251.078121878119</v>
      </c>
      <c r="BU2280" s="343">
        <f>SUMIFS($AU$1388:AU2281,$AA$1388:AA2281,"*",$AB$1388:AB2281,"*")</f>
        <v>7915.9999999997544</v>
      </c>
      <c r="BV2280" s="343">
        <f>SUMIFS($AU$1388:AU2281,$AA$1388:AA2281,"*",$AC$1388:AC2281,"*")</f>
        <v>29696.036363636529</v>
      </c>
      <c r="BW2280" s="343">
        <f>SUMIFS($AU$1388:AU2281,$AB$1388:AB2281,"*",$AC$1388:AC2281,"*")</f>
        <v>3863.9999999999991</v>
      </c>
      <c r="BX2280" s="343">
        <f>SUMIFS($AV$1388:AV2281,$Q$1388:Q2281,"F")</f>
        <v>383.04019562430165</v>
      </c>
      <c r="BY2280" s="343">
        <f>SUMIFS($AV$1388:AV2281,$Q$1388:Q2281,"S")</f>
        <v>676.61134190572739</v>
      </c>
      <c r="BZ2280" s="343">
        <f>SUMIFS($AV$1388:AV2281,$Q$1388:Q2281,"O")</f>
        <v>378.55929999967736</v>
      </c>
    </row>
    <row r="2281" spans="1:78" ht="15.75" customHeight="1">
      <c r="A2281" s="492" t="s">
        <v>7248</v>
      </c>
      <c r="B2281" s="273"/>
      <c r="C2281" s="214"/>
      <c r="D2281" s="214"/>
      <c r="E2281" s="215"/>
      <c r="F2281" s="216"/>
      <c r="G2281" s="214"/>
      <c r="H2281" s="214"/>
      <c r="I2281" s="214"/>
      <c r="J2281" s="214"/>
      <c r="K2281" s="217"/>
      <c r="L2281" s="214"/>
      <c r="M2281" s="214"/>
      <c r="N2281" s="214"/>
      <c r="O2281" s="214"/>
      <c r="P2281" s="217"/>
      <c r="Q2281" s="217"/>
      <c r="R2281" s="217"/>
      <c r="S2281" s="217"/>
      <c r="T2281" s="217"/>
      <c r="U2281" s="217"/>
      <c r="V2281" s="217"/>
      <c r="W2281" s="217"/>
      <c r="X2281" s="217"/>
      <c r="Y2281" s="218"/>
      <c r="Z2281" s="218"/>
      <c r="AA2281" s="218"/>
      <c r="AB2281" s="218"/>
      <c r="AC2281" s="218"/>
      <c r="AD2281" s="651"/>
      <c r="AE2281" s="214"/>
      <c r="AF2281" s="214"/>
      <c r="AG2281" s="214"/>
      <c r="AH2281" s="214"/>
      <c r="AI2281" s="214"/>
      <c r="AJ2281" s="642"/>
      <c r="AK2281" s="214"/>
      <c r="AL2281" s="214"/>
      <c r="AM2281" s="214"/>
      <c r="AN2281" s="628"/>
      <c r="AO2281" s="214"/>
      <c r="AP2281" s="214"/>
      <c r="AQ2281" s="334" t="str">
        <f>UPPER(RIGHT(Journal_Live[[#This Row],[DURATION ]]))</f>
        <v/>
      </c>
      <c r="AR2281" s="214"/>
      <c r="AS2281" s="214"/>
      <c r="AT2281" s="214"/>
      <c r="AU2281" s="214"/>
      <c r="AV2281" s="214"/>
      <c r="AW2281" s="214"/>
      <c r="AX2281" s="417"/>
      <c r="AY2281" s="414"/>
      <c r="AZ2281" s="414"/>
      <c r="BA2281" s="414"/>
      <c r="BB2281" s="414"/>
      <c r="BC2281" s="414"/>
      <c r="BD2281" s="414"/>
      <c r="BE2281" s="414"/>
      <c r="BF2281" s="414"/>
      <c r="BG2281" s="391">
        <f>SUM($AV$1389:AV2281)</f>
        <v>6686.2108375297139</v>
      </c>
      <c r="BH2281" s="392">
        <f>SUM($AU$1389:AU2281)</f>
        <v>42556.423836163201</v>
      </c>
      <c r="BI2281" s="318">
        <f>SUMIFS($AS$1388:AS2644,$Q$1388:Q2644,"F")</f>
        <v>-0.33068292040481395</v>
      </c>
      <c r="BJ2281" s="318">
        <f>SUMIFS($AS$1388:AS2644,$Q$1388:Q2644,"S")</f>
        <v>-42.393045297317478</v>
      </c>
      <c r="BK2281" s="343">
        <f>SUMIFS($AS$1388:AS2644,$P$1388:P2644,"W")</f>
        <v>2260.1334672059916</v>
      </c>
      <c r="BL2281" s="343">
        <f>SUMIFS($AS$1388:AS2644,$P$1388:P2644,"R")</f>
        <v>1428.8986379096184</v>
      </c>
      <c r="BM2281" s="343">
        <f>SUMIFS($AS$1388:AS2644,$AO$1388:AO2644,"M")</f>
        <v>0</v>
      </c>
      <c r="BN2281" s="343">
        <f>SUMIFS($AS$1388:AS2644,$AO$1388:AO2644,"H")</f>
        <v>0</v>
      </c>
      <c r="BO2281" s="343">
        <f>SUMIFS($AS$1388:AS2644,$AO$1388:AO2644,"D")</f>
        <v>0</v>
      </c>
      <c r="BP2281" s="343">
        <f>SUMIFS($AS$1388:AS2854,$AO$1388:AO2854,"W")</f>
        <v>0</v>
      </c>
      <c r="BQ2281" s="343">
        <f>SUMIFS($AS$1388:AS2644,$Q$1388:Q2644,"O")</f>
        <v>9298.3289166666655</v>
      </c>
      <c r="BR2281" s="343">
        <f>SUMIFS($AS$1388:AS2644,$Y$1388:Y2644,"*")</f>
        <v>0</v>
      </c>
      <c r="BS2281" s="343">
        <f>SUMIFS($AS$1388:AS2644,$Z$1388:Z2644,"*")</f>
        <v>0</v>
      </c>
      <c r="BT2281" s="343">
        <f>SUMIFS($AS$1388:AS2644,$AA$1388:AA2644,"*")</f>
        <v>8204.8240046316405</v>
      </c>
      <c r="BU2281" s="343">
        <f>SUMIFS($AS$1388:AS2644,$Y$1388:Y2644,"*",$Z$1388:Z2644,"*")</f>
        <v>0</v>
      </c>
      <c r="BV2281" s="343">
        <f>SUMIFS($AS$1388:AS2644,$Y$1388:Y2644,"*",$AA$1388:AA2644,"*")</f>
        <v>0</v>
      </c>
      <c r="BW2281" s="343">
        <f>SUMIFS($AS$1388:AS2644,$Z$1388:Z2644,"*",$AA$1388:AA2644,"*")</f>
        <v>0</v>
      </c>
      <c r="BX2281" s="343">
        <f>SUMIFS($AT$1388:AT2644,$Q$1388:Q2644,"F")</f>
        <v>0.21468701445796326</v>
      </c>
      <c r="BY2281" s="343">
        <f>SUMIFS($AT$1388:AT2644,$Q$1388:Q2644,"S")</f>
        <v>0.44154640263800299</v>
      </c>
      <c r="BZ2281" s="343">
        <f>SUMIFS($AT$1388:AT2644,$Q$1388:Q2644,"O")</f>
        <v>-0.18728333333339395</v>
      </c>
    </row>
    <row r="2282" spans="1:78" ht="15.75" customHeight="1">
      <c r="A2282" s="177" t="s">
        <v>7249</v>
      </c>
      <c r="B2282" s="200"/>
      <c r="C2282" s="178"/>
      <c r="D2282" s="178"/>
      <c r="E2282" s="227"/>
      <c r="F2282" s="180"/>
      <c r="G2282" s="181"/>
      <c r="H2282" s="182"/>
      <c r="I2282" s="182"/>
      <c r="J2282" s="182"/>
      <c r="K2282" s="183"/>
      <c r="L2282" s="182"/>
      <c r="M2282" s="182"/>
      <c r="N2282" s="182"/>
      <c r="O2282" s="183"/>
      <c r="P2282" s="183"/>
      <c r="Q2282" s="183"/>
      <c r="R2282" s="183"/>
      <c r="S2282" s="183"/>
      <c r="T2282" s="183"/>
      <c r="U2282" s="183"/>
      <c r="V2282" s="183"/>
      <c r="W2282" s="183"/>
      <c r="X2282" s="183"/>
      <c r="Y2282" s="184"/>
      <c r="Z2282" s="185"/>
      <c r="AA2282" s="185"/>
      <c r="AB2282" s="185"/>
      <c r="AC2282" s="185"/>
      <c r="AD2282" s="649"/>
      <c r="AE2282" s="182"/>
      <c r="AF2282" s="332"/>
      <c r="AG2282" s="182"/>
      <c r="AH2282" s="182"/>
      <c r="AI2282" s="182"/>
      <c r="AJ2282" s="640"/>
      <c r="AK2282" s="182"/>
      <c r="AL2282" s="496">
        <f t="shared" ref="AL2282:AL2291" si="757">-0.02*Z2282</f>
        <v>0</v>
      </c>
      <c r="AM2282" s="496">
        <f t="shared" ref="AM2282:AM2313" si="758">AL2282*(R2282-S2282)</f>
        <v>0</v>
      </c>
      <c r="AN2282" s="626"/>
      <c r="AO2282" s="182"/>
      <c r="AP2282" s="182"/>
      <c r="AQ2282" s="332" t="str">
        <f>UPPER(RIGHT(Journal_Live[[#This Row],[DURATION ]]))</f>
        <v/>
      </c>
      <c r="AR2282" s="182"/>
      <c r="AS2282" s="189"/>
      <c r="AT2282" s="189"/>
      <c r="AU2282" s="187"/>
      <c r="AV2282" s="190"/>
      <c r="AW2282" s="191"/>
      <c r="AX2282" s="549" t="s">
        <v>7250</v>
      </c>
      <c r="AY2282" s="549" t="s">
        <v>7251</v>
      </c>
      <c r="AZ2282" s="549"/>
      <c r="BA2282" s="549"/>
      <c r="BB2282" s="549"/>
      <c r="BC2282" s="549"/>
      <c r="BD2282" s="549"/>
      <c r="BE2282" s="550"/>
      <c r="BF2282" s="549"/>
      <c r="BG2282" s="391">
        <f>SUM($AV$1389:AV2282)</f>
        <v>6686.2108375297139</v>
      </c>
      <c r="BH2282" s="392">
        <f>SUM($AU$1389:AU2282)</f>
        <v>42556.423836163201</v>
      </c>
      <c r="BI2282" s="318">
        <f>SUMIFS($AU$1388:AU2283,$Q$1388:Q2283,"F")</f>
        <v>29235.078121878127</v>
      </c>
      <c r="BJ2282" s="318">
        <f>SUMIFS($AU$1388:AU2283,$Q$1388:Q2283,"S")</f>
        <v>17938.285714285706</v>
      </c>
      <c r="BK2282" s="343">
        <f>SUMIFS($AU$1388:AU2283,$P$1388:P2283,"W")</f>
        <v>17144.143836163403</v>
      </c>
      <c r="BL2282" s="343">
        <f>SUMIFS($AU$1388:AU2283,$P$1388:P2283,"R")</f>
        <v>22616.400000000325</v>
      </c>
      <c r="BM2282" s="343">
        <f>SUMIFS($AU$1388:AU2283,$AQ$1388:AQ2283,"M")</f>
        <v>8875.1799999983887</v>
      </c>
      <c r="BN2282" s="343">
        <f>SUMIFS($AU$1388:AU2283,$AQ$1388:AQ2283,"H")</f>
        <v>11643.200000000877</v>
      </c>
      <c r="BO2282" s="343">
        <f>SUMIFS($AU$1388:AU2283,$AQ$1388:AQ2283,"D")</f>
        <v>13122.377472527351</v>
      </c>
      <c r="BP2282" s="343">
        <f>SUMIFS($AS$1388:AS2695,$AO$1388:AO2695,"W")</f>
        <v>0</v>
      </c>
      <c r="BQ2282" s="343">
        <f>SUMIFS($AU$1388:AU2283,$Q$1388:Q2283,"O")</f>
        <v>-9340.9400000006026</v>
      </c>
      <c r="BR2282" s="343">
        <f>SUMIFS($AU$1388:AU2283,$AA$1388:AA2283,"*")</f>
        <v>37881.5220779214</v>
      </c>
      <c r="BS2282" s="343">
        <f>SUMIFS($AU$1388:AU2283,$AB$1388:AB2283,"*")</f>
        <v>7475.8599999999715</v>
      </c>
      <c r="BT2282" s="343">
        <f>SUMIFS($AU$1388:AU2283,$AC$1388:AC2283,"*")</f>
        <v>33251.078121878119</v>
      </c>
      <c r="BU2282" s="343">
        <f>SUMIFS($AU$1388:AU2283,$AA$1388:AA2283,"*",$AB$1388:AB2283,"*")</f>
        <v>7915.9999999997544</v>
      </c>
      <c r="BV2282" s="343">
        <f>SUMIFS($AU$1388:AU2283,$AA$1388:AA2283,"*",$AC$1388:AC2283,"*")</f>
        <v>29696.036363636529</v>
      </c>
      <c r="BW2282" s="343">
        <f>SUMIFS($AU$1388:AU2283,$AB$1388:AB2283,"*",$AC$1388:AC2283,"*")</f>
        <v>3863.9999999999991</v>
      </c>
      <c r="BX2282" s="343">
        <f>SUMIFS($AV$1388:AV2283,$Q$1388:Q2283,"F")</f>
        <v>383.04019562430165</v>
      </c>
      <c r="BY2282" s="343">
        <f>SUMIFS($AV$1388:AV2283,$Q$1388:Q2283,"S")</f>
        <v>676.61134190572739</v>
      </c>
      <c r="BZ2282" s="343">
        <f>SUMIFS($AV$1388:AV2283,$Q$1388:Q2283,"O")</f>
        <v>378.55929999967736</v>
      </c>
    </row>
    <row r="2283" spans="1:78" ht="15.75" customHeight="1">
      <c r="A2283" s="177" t="s">
        <v>7249</v>
      </c>
      <c r="B2283" s="200"/>
      <c r="C2283" s="178"/>
      <c r="D2283" s="178"/>
      <c r="E2283" s="227"/>
      <c r="F2283" s="180"/>
      <c r="G2283" s="181"/>
      <c r="H2283" s="182"/>
      <c r="I2283" s="182"/>
      <c r="J2283" s="182"/>
      <c r="K2283" s="183"/>
      <c r="L2283" s="182"/>
      <c r="M2283" s="182"/>
      <c r="N2283" s="182"/>
      <c r="O2283" s="183"/>
      <c r="P2283" s="183"/>
      <c r="Q2283" s="183"/>
      <c r="R2283" s="183"/>
      <c r="S2283" s="183"/>
      <c r="T2283" s="183"/>
      <c r="U2283" s="183"/>
      <c r="V2283" s="183"/>
      <c r="W2283" s="183"/>
      <c r="X2283" s="183"/>
      <c r="Y2283" s="184"/>
      <c r="Z2283" s="185"/>
      <c r="AA2283" s="185"/>
      <c r="AB2283" s="185"/>
      <c r="AC2283" s="185"/>
      <c r="AD2283" s="649"/>
      <c r="AE2283" s="182"/>
      <c r="AF2283" s="332"/>
      <c r="AG2283" s="182"/>
      <c r="AH2283" s="182"/>
      <c r="AI2283" s="182"/>
      <c r="AJ2283" s="640"/>
      <c r="AK2283" s="182"/>
      <c r="AL2283" s="496">
        <f t="shared" si="757"/>
        <v>0</v>
      </c>
      <c r="AM2283" s="496">
        <f t="shared" si="758"/>
        <v>0</v>
      </c>
      <c r="AN2283" s="626"/>
      <c r="AO2283" s="182"/>
      <c r="AP2283" s="182"/>
      <c r="AQ2283" s="332" t="str">
        <f>UPPER(RIGHT(Journal_Live[[#This Row],[DURATION ]]))</f>
        <v/>
      </c>
      <c r="AR2283" s="182"/>
      <c r="AS2283" s="189"/>
      <c r="AT2283" s="189"/>
      <c r="AU2283" s="187"/>
      <c r="AV2283" s="190"/>
      <c r="AW2283" s="191"/>
      <c r="AX2283" s="596" t="s">
        <v>7252</v>
      </c>
      <c r="AY2283" s="549" t="s">
        <v>7253</v>
      </c>
      <c r="AZ2283" s="549" t="s">
        <v>7254</v>
      </c>
      <c r="BA2283" s="550" t="s">
        <v>7255</v>
      </c>
      <c r="BB2283" s="549" t="s">
        <v>7256</v>
      </c>
      <c r="BC2283" s="549" t="s">
        <v>7257</v>
      </c>
      <c r="BD2283" s="549" t="s">
        <v>7258</v>
      </c>
      <c r="BE2283" s="550"/>
      <c r="BF2283" s="549"/>
      <c r="BG2283" s="391">
        <f>SUM($AV$1389:AV2283)</f>
        <v>6686.2108375297139</v>
      </c>
      <c r="BH2283" s="392">
        <f>SUM($AU$1389:AU2283)</f>
        <v>42556.423836163201</v>
      </c>
      <c r="BI2283" s="318">
        <f>SUMIFS($AU$1388:AU2284,$Q$1388:Q2284,"F")</f>
        <v>29235.078121878127</v>
      </c>
      <c r="BJ2283" s="318">
        <f>SUMIFS($AU$1388:AU2284,$Q$1388:Q2284,"S")</f>
        <v>17938.285714285706</v>
      </c>
      <c r="BK2283" s="343">
        <f>SUMIFS($AU$1388:AU2284,$P$1388:P2284,"W")</f>
        <v>17144.143836163403</v>
      </c>
      <c r="BL2283" s="343">
        <f>SUMIFS($AU$1388:AU2284,$P$1388:P2284,"R")</f>
        <v>22616.400000000325</v>
      </c>
      <c r="BM2283" s="343">
        <f>SUMIFS($AU$1388:AU2284,$AQ$1388:AQ2284,"M")</f>
        <v>8875.1799999983887</v>
      </c>
      <c r="BN2283" s="343">
        <f>SUMIFS($AU$1388:AU2284,$AQ$1388:AQ2284,"H")</f>
        <v>11643.200000000877</v>
      </c>
      <c r="BO2283" s="343">
        <f>SUMIFS($AU$1388:AU2284,$AQ$1388:AQ2284,"D")</f>
        <v>13122.377472527351</v>
      </c>
      <c r="BP2283" s="343">
        <f>SUMIFS($AS$1388:AS2696,$AO$1388:AO2696,"W")</f>
        <v>0</v>
      </c>
      <c r="BQ2283" s="343">
        <f>SUMIFS($AU$1388:AU2284,$Q$1388:Q2284,"O")</f>
        <v>-9340.9400000006026</v>
      </c>
      <c r="BR2283" s="343">
        <f>SUMIFS($AU$1388:AU2284,$AA$1388:AA2284,"*")</f>
        <v>37881.5220779214</v>
      </c>
      <c r="BS2283" s="343">
        <f>SUMIFS($AU$1388:AU2284,$AB$1388:AB2284,"*")</f>
        <v>7475.8599999999715</v>
      </c>
      <c r="BT2283" s="343">
        <f>SUMIFS($AU$1388:AU2284,$AC$1388:AC2284,"*")</f>
        <v>33251.078121878119</v>
      </c>
      <c r="BU2283" s="343">
        <f>SUMIFS($AU$1388:AU2284,$AA$1388:AA2284,"*",$AB$1388:AB2284,"*")</f>
        <v>7915.9999999997544</v>
      </c>
      <c r="BV2283" s="343">
        <f>SUMIFS($AU$1388:AU2284,$AA$1388:AA2284,"*",$AC$1388:AC2284,"*")</f>
        <v>29696.036363636529</v>
      </c>
      <c r="BW2283" s="343">
        <f>SUMIFS($AU$1388:AU2284,$AB$1388:AB2284,"*",$AC$1388:AC2284,"*")</f>
        <v>3863.9999999999991</v>
      </c>
      <c r="BX2283" s="343">
        <f>SUMIFS($AV$1388:AV2284,$Q$1388:Q2284,"F")</f>
        <v>383.04019562430165</v>
      </c>
      <c r="BY2283" s="343">
        <f>SUMIFS($AV$1388:AV2284,$Q$1388:Q2284,"S")</f>
        <v>676.61134190572739</v>
      </c>
      <c r="BZ2283" s="343">
        <f>SUMIFS($AV$1388:AV2284,$Q$1388:Q2284,"O")</f>
        <v>378.55929999967736</v>
      </c>
    </row>
    <row r="2284" spans="1:78" ht="15.75" customHeight="1">
      <c r="A2284" s="177" t="s">
        <v>7249</v>
      </c>
      <c r="B2284" s="200"/>
      <c r="C2284" s="178"/>
      <c r="D2284" s="178"/>
      <c r="E2284" s="227"/>
      <c r="F2284" s="180"/>
      <c r="G2284" s="181"/>
      <c r="H2284" s="182"/>
      <c r="I2284" s="182"/>
      <c r="J2284" s="182"/>
      <c r="K2284" s="183"/>
      <c r="L2284" s="182"/>
      <c r="M2284" s="182"/>
      <c r="N2284" s="182"/>
      <c r="O2284" s="183"/>
      <c r="P2284" s="183"/>
      <c r="Q2284" s="183"/>
      <c r="R2284" s="183"/>
      <c r="S2284" s="183"/>
      <c r="T2284" s="183"/>
      <c r="U2284" s="183"/>
      <c r="V2284" s="183"/>
      <c r="W2284" s="183"/>
      <c r="X2284" s="183"/>
      <c r="Y2284" s="184"/>
      <c r="Z2284" s="185"/>
      <c r="AA2284" s="185"/>
      <c r="AB2284" s="185"/>
      <c r="AC2284" s="185"/>
      <c r="AD2284" s="649"/>
      <c r="AE2284" s="182"/>
      <c r="AF2284" s="332"/>
      <c r="AG2284" s="182"/>
      <c r="AH2284" s="182"/>
      <c r="AI2284" s="182"/>
      <c r="AJ2284" s="640"/>
      <c r="AK2284" s="182"/>
      <c r="AL2284" s="496">
        <f t="shared" si="757"/>
        <v>0</v>
      </c>
      <c r="AM2284" s="496">
        <f t="shared" si="758"/>
        <v>0</v>
      </c>
      <c r="AN2284" s="626"/>
      <c r="AO2284" s="182"/>
      <c r="AP2284" s="182"/>
      <c r="AQ2284" s="332" t="str">
        <f>UPPER(RIGHT(Journal_Live[[#This Row],[DURATION ]]))</f>
        <v/>
      </c>
      <c r="AR2284" s="182"/>
      <c r="AS2284" s="189"/>
      <c r="AT2284" s="189"/>
      <c r="AU2284" s="187"/>
      <c r="AV2284" s="190"/>
      <c r="AW2284" s="191"/>
      <c r="AX2284" s="407"/>
      <c r="AY2284" s="409" t="s">
        <v>7259</v>
      </c>
      <c r="AZ2284" s="549" t="s">
        <v>7260</v>
      </c>
      <c r="BA2284" s="549" t="s">
        <v>7261</v>
      </c>
      <c r="BB2284" s="549" t="s">
        <v>7262</v>
      </c>
      <c r="BC2284" s="549" t="s">
        <v>7263</v>
      </c>
      <c r="BD2284" s="549" t="s">
        <v>7264</v>
      </c>
      <c r="BE2284" s="550"/>
      <c r="BF2284" s="549"/>
      <c r="BG2284" s="391">
        <f>SUM($AV$1389:AV2284)</f>
        <v>6686.2108375297139</v>
      </c>
      <c r="BH2284" s="392">
        <f>SUM($AU$1389:AU2284)</f>
        <v>42556.423836163201</v>
      </c>
      <c r="BI2284" s="318">
        <f>SUMIFS($AU$1388:AU2285,$Q$1388:Q2285,"F")</f>
        <v>29235.078121878127</v>
      </c>
      <c r="BJ2284" s="318">
        <f>SUMIFS($AU$1388:AU2285,$Q$1388:Q2285,"S")</f>
        <v>17938.285714285706</v>
      </c>
      <c r="BK2284" s="343">
        <f>SUMIFS($AU$1388:AU2285,$P$1388:P2285,"W")</f>
        <v>17144.143836163403</v>
      </c>
      <c r="BL2284" s="343">
        <f>SUMIFS($AU$1388:AU2285,$P$1388:P2285,"R")</f>
        <v>22616.400000000325</v>
      </c>
      <c r="BM2284" s="343">
        <f>SUMIFS($AU$1388:AU2285,$AQ$1388:AQ2285,"M")</f>
        <v>8875.1799999983887</v>
      </c>
      <c r="BN2284" s="343">
        <f>SUMIFS($AU$1388:AU2285,$AQ$1388:AQ2285,"H")</f>
        <v>11643.200000000877</v>
      </c>
      <c r="BO2284" s="343">
        <f>SUMIFS($AU$1388:AU2285,$AQ$1388:AQ2285,"D")</f>
        <v>13122.377472527351</v>
      </c>
      <c r="BP2284" s="343">
        <f>SUMIFS($AS$1388:AS2697,$AO$1388:AO2697,"W")</f>
        <v>0</v>
      </c>
      <c r="BQ2284" s="343">
        <f>SUMIFS($AU$1388:AU2285,$Q$1388:Q2285,"O")</f>
        <v>-9340.9400000006026</v>
      </c>
      <c r="BR2284" s="343">
        <f>SUMIFS($AU$1388:AU2285,$AA$1388:AA2285,"*")</f>
        <v>37881.5220779214</v>
      </c>
      <c r="BS2284" s="343">
        <f>SUMIFS($AU$1388:AU2285,$AB$1388:AB2285,"*")</f>
        <v>7475.8599999999715</v>
      </c>
      <c r="BT2284" s="343">
        <f>SUMIFS($AU$1388:AU2285,$AC$1388:AC2285,"*")</f>
        <v>33251.078121878119</v>
      </c>
      <c r="BU2284" s="343">
        <f>SUMIFS($AU$1388:AU2285,$AA$1388:AA2285,"*",$AB$1388:AB2285,"*")</f>
        <v>7915.9999999997544</v>
      </c>
      <c r="BV2284" s="343">
        <f>SUMIFS($AU$1388:AU2285,$AA$1388:AA2285,"*",$AC$1388:AC2285,"*")</f>
        <v>29696.036363636529</v>
      </c>
      <c r="BW2284" s="343">
        <f>SUMIFS($AU$1388:AU2285,$AB$1388:AB2285,"*",$AC$1388:AC2285,"*")</f>
        <v>3863.9999999999991</v>
      </c>
      <c r="BX2284" s="343">
        <f>SUMIFS($AV$1388:AV2285,$Q$1388:Q2285,"F")</f>
        <v>383.04019562430165</v>
      </c>
      <c r="BY2284" s="343">
        <f>SUMIFS($AV$1388:AV2285,$Q$1388:Q2285,"S")</f>
        <v>676.61134190572739</v>
      </c>
      <c r="BZ2284" s="343">
        <f>SUMIFS($AV$1388:AV2285,$Q$1388:Q2285,"O")</f>
        <v>378.55929999967736</v>
      </c>
    </row>
    <row r="2285" spans="1:78" ht="15.75" customHeight="1">
      <c r="A2285" s="177" t="s">
        <v>7249</v>
      </c>
      <c r="B2285" s="200"/>
      <c r="C2285" s="178"/>
      <c r="D2285" s="178"/>
      <c r="E2285" s="227"/>
      <c r="F2285" s="180"/>
      <c r="G2285" s="181"/>
      <c r="H2285" s="182"/>
      <c r="I2285" s="182"/>
      <c r="J2285" s="182"/>
      <c r="K2285" s="183"/>
      <c r="L2285" s="182"/>
      <c r="M2285" s="182"/>
      <c r="N2285" s="182"/>
      <c r="O2285" s="183"/>
      <c r="P2285" s="183"/>
      <c r="Q2285" s="183"/>
      <c r="R2285" s="183"/>
      <c r="S2285" s="183"/>
      <c r="T2285" s="183"/>
      <c r="U2285" s="183"/>
      <c r="V2285" s="183"/>
      <c r="W2285" s="183"/>
      <c r="X2285" s="183"/>
      <c r="Y2285" s="184"/>
      <c r="Z2285" s="185"/>
      <c r="AA2285" s="185"/>
      <c r="AB2285" s="185"/>
      <c r="AC2285" s="185"/>
      <c r="AD2285" s="649"/>
      <c r="AE2285" s="182"/>
      <c r="AF2285" s="332"/>
      <c r="AG2285" s="182"/>
      <c r="AH2285" s="182"/>
      <c r="AI2285" s="182"/>
      <c r="AJ2285" s="640"/>
      <c r="AK2285" s="182"/>
      <c r="AL2285" s="496">
        <f t="shared" si="757"/>
        <v>0</v>
      </c>
      <c r="AM2285" s="496">
        <f t="shared" si="758"/>
        <v>0</v>
      </c>
      <c r="AN2285" s="626"/>
      <c r="AO2285" s="182"/>
      <c r="AP2285" s="182"/>
      <c r="AQ2285" s="332" t="str">
        <f>UPPER(RIGHT(Journal_Live[[#This Row],[DURATION ]]))</f>
        <v/>
      </c>
      <c r="AR2285" s="182"/>
      <c r="AS2285" s="189"/>
      <c r="AT2285" s="189"/>
      <c r="AU2285" s="187"/>
      <c r="AV2285" s="190"/>
      <c r="AW2285" s="191"/>
      <c r="AX2285" s="549"/>
      <c r="AY2285" s="549"/>
      <c r="AZ2285" s="549"/>
      <c r="BA2285" s="549"/>
      <c r="BB2285" s="549"/>
      <c r="BC2285" s="549"/>
      <c r="BD2285" s="549"/>
      <c r="BE2285" s="550"/>
      <c r="BF2285" s="549"/>
      <c r="BG2285" s="391">
        <f>SUM($AV$1389:AV2285)</f>
        <v>6686.2108375297139</v>
      </c>
      <c r="BH2285" s="392">
        <f>SUM($AU$1389:AU2285)</f>
        <v>42556.423836163201</v>
      </c>
      <c r="BI2285" s="318">
        <f>SUMIFS($AU$1388:AU2286,$Q$1388:Q2286,"F")</f>
        <v>29235.078121878127</v>
      </c>
      <c r="BJ2285" s="318">
        <f>SUMIFS($AU$1388:AU2286,$Q$1388:Q2286,"S")</f>
        <v>17938.285714285706</v>
      </c>
      <c r="BK2285" s="343">
        <f>SUMIFS($AU$1388:AU2286,$P$1388:P2286,"W")</f>
        <v>17144.143836163403</v>
      </c>
      <c r="BL2285" s="343">
        <f>SUMIFS($AU$1388:AU2286,$P$1388:P2286,"R")</f>
        <v>22616.400000000325</v>
      </c>
      <c r="BM2285" s="343">
        <f>SUMIFS($AU$1388:AU2286,$AQ$1388:AQ2286,"M")</f>
        <v>8875.1799999983887</v>
      </c>
      <c r="BN2285" s="343">
        <f>SUMIFS($AU$1388:AU2286,$AQ$1388:AQ2286,"H")</f>
        <v>11643.200000000877</v>
      </c>
      <c r="BO2285" s="343">
        <f>SUMIFS($AU$1388:AU2286,$AQ$1388:AQ2286,"D")</f>
        <v>13122.377472527351</v>
      </c>
      <c r="BP2285" s="343">
        <f>SUMIFS($AS$1388:AS2698,$AO$1388:AO2698,"W")</f>
        <v>0</v>
      </c>
      <c r="BQ2285" s="343">
        <f>SUMIFS($AU$1388:AU2286,$Q$1388:Q2286,"O")</f>
        <v>-9340.9400000006026</v>
      </c>
      <c r="BR2285" s="343">
        <f>SUMIFS($AU$1388:AU2286,$AA$1388:AA2286,"*")</f>
        <v>37881.5220779214</v>
      </c>
      <c r="BS2285" s="343">
        <f>SUMIFS($AU$1388:AU2286,$AB$1388:AB2286,"*")</f>
        <v>7475.8599999999715</v>
      </c>
      <c r="BT2285" s="343">
        <f>SUMIFS($AU$1388:AU2286,$AC$1388:AC2286,"*")</f>
        <v>33251.078121878119</v>
      </c>
      <c r="BU2285" s="343">
        <f>SUMIFS($AU$1388:AU2286,$AA$1388:AA2286,"*",$AB$1388:AB2286,"*")</f>
        <v>7915.9999999997544</v>
      </c>
      <c r="BV2285" s="343">
        <f>SUMIFS($AU$1388:AU2286,$AA$1388:AA2286,"*",$AC$1388:AC2286,"*")</f>
        <v>29696.036363636529</v>
      </c>
      <c r="BW2285" s="343">
        <f>SUMIFS($AU$1388:AU2286,$AB$1388:AB2286,"*",$AC$1388:AC2286,"*")</f>
        <v>3863.9999999999991</v>
      </c>
      <c r="BX2285" s="343">
        <f>SUMIFS($AV$1388:AV2286,$Q$1388:Q2286,"F")</f>
        <v>383.04019562430165</v>
      </c>
      <c r="BY2285" s="343">
        <f>SUMIFS($AV$1388:AV2286,$Q$1388:Q2286,"S")</f>
        <v>676.61134190572739</v>
      </c>
      <c r="BZ2285" s="343">
        <f>SUMIFS($AV$1388:AV2286,$Q$1388:Q2286,"O")</f>
        <v>378.55929999967736</v>
      </c>
    </row>
    <row r="2286" spans="1:78" ht="15.75" customHeight="1">
      <c r="A2286" s="177" t="s">
        <v>7249</v>
      </c>
      <c r="B2286" s="200"/>
      <c r="C2286" s="178"/>
      <c r="D2286" s="178"/>
      <c r="E2286" s="227"/>
      <c r="F2286" s="180"/>
      <c r="G2286" s="181"/>
      <c r="H2286" s="182"/>
      <c r="I2286" s="182"/>
      <c r="J2286" s="182"/>
      <c r="K2286" s="183"/>
      <c r="L2286" s="182"/>
      <c r="M2286" s="182"/>
      <c r="N2286" s="182"/>
      <c r="O2286" s="183"/>
      <c r="P2286" s="183"/>
      <c r="Q2286" s="183"/>
      <c r="R2286" s="183"/>
      <c r="S2286" s="183"/>
      <c r="T2286" s="183"/>
      <c r="U2286" s="183"/>
      <c r="V2286" s="183"/>
      <c r="W2286" s="183"/>
      <c r="X2286" s="183"/>
      <c r="Y2286" s="184"/>
      <c r="Z2286" s="185"/>
      <c r="AA2286" s="185"/>
      <c r="AB2286" s="185"/>
      <c r="AC2286" s="185"/>
      <c r="AD2286" s="649"/>
      <c r="AE2286" s="182"/>
      <c r="AF2286" s="332"/>
      <c r="AG2286" s="182"/>
      <c r="AH2286" s="182"/>
      <c r="AI2286" s="182"/>
      <c r="AJ2286" s="640"/>
      <c r="AK2286" s="182"/>
      <c r="AL2286" s="496">
        <f t="shared" si="757"/>
        <v>0</v>
      </c>
      <c r="AM2286" s="496">
        <f t="shared" si="758"/>
        <v>0</v>
      </c>
      <c r="AN2286" s="626"/>
      <c r="AO2286" s="182"/>
      <c r="AP2286" s="182"/>
      <c r="AQ2286" s="332" t="str">
        <f>UPPER(RIGHT(Journal_Live[[#This Row],[DURATION ]]))</f>
        <v/>
      </c>
      <c r="AR2286" s="182"/>
      <c r="AS2286" s="189"/>
      <c r="AT2286" s="189"/>
      <c r="AU2286" s="187"/>
      <c r="AV2286" s="190"/>
      <c r="AW2286" s="191"/>
      <c r="AX2286" s="595" t="s">
        <v>7265</v>
      </c>
      <c r="AY2286" s="549" t="s">
        <v>7266</v>
      </c>
      <c r="AZ2286" s="549" t="s">
        <v>7267</v>
      </c>
      <c r="BA2286" s="549" t="s">
        <v>7268</v>
      </c>
      <c r="BB2286" s="549" t="s">
        <v>7269</v>
      </c>
      <c r="BC2286" s="549"/>
      <c r="BD2286" s="549"/>
      <c r="BE2286" s="550"/>
      <c r="BF2286" s="549"/>
      <c r="BG2286" s="391">
        <f>SUM($AV$1389:AV2286)</f>
        <v>6686.2108375297139</v>
      </c>
      <c r="BH2286" s="392">
        <f>SUM($AU$1389:AU2286)</f>
        <v>42556.423836163201</v>
      </c>
      <c r="BI2286" s="318">
        <f>SUMIFS($AU$1388:AU2287,$Q$1388:Q2287,"F")</f>
        <v>29235.078121878127</v>
      </c>
      <c r="BJ2286" s="318">
        <f>SUMIFS($AU$1388:AU2287,$Q$1388:Q2287,"S")</f>
        <v>17938.285714285706</v>
      </c>
      <c r="BK2286" s="343">
        <f>SUMIFS($AU$1388:AU2287,$P$1388:P2287,"W")</f>
        <v>17144.143836163403</v>
      </c>
      <c r="BL2286" s="343">
        <f>SUMIFS($AU$1388:AU2287,$P$1388:P2287,"R")</f>
        <v>22616.400000000325</v>
      </c>
      <c r="BM2286" s="343">
        <f>SUMIFS($AU$1388:AU2287,$AQ$1388:AQ2287,"M")</f>
        <v>8875.1799999983887</v>
      </c>
      <c r="BN2286" s="343">
        <f>SUMIFS($AU$1388:AU2287,$AQ$1388:AQ2287,"H")</f>
        <v>11643.200000000877</v>
      </c>
      <c r="BO2286" s="343">
        <f>SUMIFS($AU$1388:AU2287,$AQ$1388:AQ2287,"D")</f>
        <v>13122.377472527351</v>
      </c>
      <c r="BP2286" s="343">
        <f>SUMIFS($AS$1388:AS2699,$AO$1388:AO2699,"W")</f>
        <v>0</v>
      </c>
      <c r="BQ2286" s="343">
        <f>SUMIFS($AU$1388:AU2287,$Q$1388:Q2287,"O")</f>
        <v>-9340.9400000006026</v>
      </c>
      <c r="BR2286" s="343">
        <f>SUMIFS($AU$1388:AU2287,$AA$1388:AA2287,"*")</f>
        <v>37881.5220779214</v>
      </c>
      <c r="BS2286" s="343">
        <f>SUMIFS($AU$1388:AU2287,$AB$1388:AB2287,"*")</f>
        <v>7475.8599999999715</v>
      </c>
      <c r="BT2286" s="343">
        <f>SUMIFS($AU$1388:AU2287,$AC$1388:AC2287,"*")</f>
        <v>33251.078121878119</v>
      </c>
      <c r="BU2286" s="343">
        <f>SUMIFS($AU$1388:AU2287,$AA$1388:AA2287,"*",$AB$1388:AB2287,"*")</f>
        <v>7915.9999999997544</v>
      </c>
      <c r="BV2286" s="343">
        <f>SUMIFS($AU$1388:AU2287,$AA$1388:AA2287,"*",$AC$1388:AC2287,"*")</f>
        <v>29696.036363636529</v>
      </c>
      <c r="BW2286" s="343">
        <f>SUMIFS($AU$1388:AU2287,$AB$1388:AB2287,"*",$AC$1388:AC2287,"*")</f>
        <v>3863.9999999999991</v>
      </c>
      <c r="BX2286" s="343">
        <f>SUMIFS($AV$1388:AV2287,$Q$1388:Q2287,"F")</f>
        <v>383.04019562430165</v>
      </c>
      <c r="BY2286" s="343">
        <f>SUMIFS($AV$1388:AV2287,$Q$1388:Q2287,"S")</f>
        <v>676.61134190572739</v>
      </c>
      <c r="BZ2286" s="343">
        <f>SUMIFS($AV$1388:AV2287,$Q$1388:Q2287,"O")</f>
        <v>378.55929999967736</v>
      </c>
    </row>
    <row r="2287" spans="1:78" ht="15.75" customHeight="1">
      <c r="A2287" s="177" t="s">
        <v>7249</v>
      </c>
      <c r="B2287" s="200"/>
      <c r="C2287" s="178"/>
      <c r="D2287" s="178"/>
      <c r="E2287" s="227"/>
      <c r="F2287" s="180"/>
      <c r="G2287" s="181"/>
      <c r="H2287" s="182"/>
      <c r="I2287" s="182"/>
      <c r="J2287" s="182"/>
      <c r="K2287" s="183"/>
      <c r="L2287" s="182"/>
      <c r="M2287" s="182"/>
      <c r="N2287" s="182"/>
      <c r="O2287" s="183"/>
      <c r="P2287" s="183"/>
      <c r="Q2287" s="183"/>
      <c r="R2287" s="183"/>
      <c r="S2287" s="183"/>
      <c r="T2287" s="183"/>
      <c r="U2287" s="183"/>
      <c r="V2287" s="183"/>
      <c r="W2287" s="183"/>
      <c r="X2287" s="183"/>
      <c r="Y2287" s="184"/>
      <c r="Z2287" s="185"/>
      <c r="AA2287" s="185"/>
      <c r="AB2287" s="185"/>
      <c r="AC2287" s="185"/>
      <c r="AD2287" s="649"/>
      <c r="AE2287" s="182"/>
      <c r="AF2287" s="332"/>
      <c r="AG2287" s="182"/>
      <c r="AH2287" s="182"/>
      <c r="AI2287" s="182"/>
      <c r="AJ2287" s="640"/>
      <c r="AK2287" s="182"/>
      <c r="AL2287" s="496">
        <f t="shared" si="757"/>
        <v>0</v>
      </c>
      <c r="AM2287" s="496">
        <f t="shared" si="758"/>
        <v>0</v>
      </c>
      <c r="AN2287" s="626"/>
      <c r="AO2287" s="182"/>
      <c r="AP2287" s="182"/>
      <c r="AQ2287" s="332" t="str">
        <f>UPPER(RIGHT(Journal_Live[[#This Row],[DURATION ]]))</f>
        <v/>
      </c>
      <c r="AR2287" s="182"/>
      <c r="AS2287" s="189"/>
      <c r="AT2287" s="189"/>
      <c r="AU2287" s="187"/>
      <c r="AV2287" s="190"/>
      <c r="AW2287" s="191"/>
      <c r="AX2287" s="549" t="s">
        <v>7270</v>
      </c>
      <c r="AY2287" s="549">
        <v>9</v>
      </c>
      <c r="AZ2287" s="549">
        <v>8</v>
      </c>
      <c r="BA2287" s="549" t="s">
        <v>7271</v>
      </c>
      <c r="BB2287" s="549"/>
      <c r="BC2287" s="549"/>
      <c r="BD2287" s="549"/>
      <c r="BE2287" s="550"/>
      <c r="BF2287" s="549"/>
      <c r="BG2287" s="391">
        <f>SUM($AV$1389:AV2287)</f>
        <v>6686.2108375297139</v>
      </c>
      <c r="BH2287" s="392">
        <f>SUM($AU$1389:AU2287)</f>
        <v>42556.423836163201</v>
      </c>
      <c r="BI2287" s="318">
        <f>SUMIFS($AU$1388:AU2288,$Q$1388:Q2288,"F")</f>
        <v>29235.078121878127</v>
      </c>
      <c r="BJ2287" s="318">
        <f>SUMIFS($AU$1388:AU2288,$Q$1388:Q2288,"S")</f>
        <v>17938.285714285706</v>
      </c>
      <c r="BK2287" s="343">
        <f>SUMIFS($AU$1388:AU2288,$P$1388:P2288,"W")</f>
        <v>17144.143836163403</v>
      </c>
      <c r="BL2287" s="343">
        <f>SUMIFS($AU$1388:AU2288,$P$1388:P2288,"R")</f>
        <v>22616.400000000325</v>
      </c>
      <c r="BM2287" s="343">
        <f>SUMIFS($AU$1388:AU2288,$AQ$1388:AQ2288,"M")</f>
        <v>8875.1799999983887</v>
      </c>
      <c r="BN2287" s="343">
        <f>SUMIFS($AU$1388:AU2288,$AQ$1388:AQ2288,"H")</f>
        <v>11643.200000000877</v>
      </c>
      <c r="BO2287" s="343">
        <f>SUMIFS($AU$1388:AU2288,$AQ$1388:AQ2288,"D")</f>
        <v>13122.377472527351</v>
      </c>
      <c r="BP2287" s="343">
        <f>SUMIFS($AS$1388:AS2700,$AO$1388:AO2700,"W")</f>
        <v>0</v>
      </c>
      <c r="BQ2287" s="343">
        <f>SUMIFS($AU$1388:AU2288,$Q$1388:Q2288,"O")</f>
        <v>-9340.9400000006026</v>
      </c>
      <c r="BR2287" s="343">
        <f>SUMIFS($AU$1388:AU2288,$AA$1388:AA2288,"*")</f>
        <v>37881.5220779214</v>
      </c>
      <c r="BS2287" s="343">
        <f>SUMIFS($AU$1388:AU2288,$AB$1388:AB2288,"*")</f>
        <v>7475.8599999999715</v>
      </c>
      <c r="BT2287" s="343">
        <f>SUMIFS($AU$1388:AU2288,$AC$1388:AC2288,"*")</f>
        <v>33251.078121878119</v>
      </c>
      <c r="BU2287" s="343">
        <f>SUMIFS($AU$1388:AU2288,$AA$1388:AA2288,"*",$AB$1388:AB2288,"*")</f>
        <v>7915.9999999997544</v>
      </c>
      <c r="BV2287" s="343">
        <f>SUMIFS($AU$1388:AU2288,$AA$1388:AA2288,"*",$AC$1388:AC2288,"*")</f>
        <v>29696.036363636529</v>
      </c>
      <c r="BW2287" s="343">
        <f>SUMIFS($AU$1388:AU2288,$AB$1388:AB2288,"*",$AC$1388:AC2288,"*")</f>
        <v>3863.9999999999991</v>
      </c>
      <c r="BX2287" s="343">
        <f>SUMIFS($AV$1388:AV2288,$Q$1388:Q2288,"F")</f>
        <v>383.04019562430165</v>
      </c>
      <c r="BY2287" s="343">
        <f>SUMIFS($AV$1388:AV2288,$Q$1388:Q2288,"S")</f>
        <v>676.61134190572739</v>
      </c>
      <c r="BZ2287" s="343">
        <f>SUMIFS($AV$1388:AV2288,$Q$1388:Q2288,"O")</f>
        <v>378.55929999967736</v>
      </c>
    </row>
    <row r="2288" spans="1:78" ht="15.75" customHeight="1">
      <c r="A2288" s="177" t="s">
        <v>7249</v>
      </c>
      <c r="B2288" s="200"/>
      <c r="C2288" s="178"/>
      <c r="D2288" s="178"/>
      <c r="E2288" s="227"/>
      <c r="F2288" s="180"/>
      <c r="G2288" s="181"/>
      <c r="H2288" s="182"/>
      <c r="I2288" s="182"/>
      <c r="J2288" s="182"/>
      <c r="K2288" s="183"/>
      <c r="L2288" s="182"/>
      <c r="M2288" s="182"/>
      <c r="N2288" s="182"/>
      <c r="O2288" s="183"/>
      <c r="P2288" s="183"/>
      <c r="Q2288" s="183"/>
      <c r="R2288" s="183"/>
      <c r="S2288" s="183"/>
      <c r="T2288" s="183"/>
      <c r="U2288" s="183"/>
      <c r="V2288" s="183"/>
      <c r="W2288" s="183"/>
      <c r="X2288" s="183"/>
      <c r="Y2288" s="184"/>
      <c r="Z2288" s="185"/>
      <c r="AA2288" s="185"/>
      <c r="AB2288" s="185"/>
      <c r="AC2288" s="185"/>
      <c r="AD2288" s="649"/>
      <c r="AE2288" s="182"/>
      <c r="AF2288" s="332"/>
      <c r="AG2288" s="182"/>
      <c r="AH2288" s="182"/>
      <c r="AI2288" s="182"/>
      <c r="AJ2288" s="640"/>
      <c r="AK2288" s="182"/>
      <c r="AL2288" s="496">
        <f t="shared" si="757"/>
        <v>0</v>
      </c>
      <c r="AM2288" s="496">
        <f t="shared" si="758"/>
        <v>0</v>
      </c>
      <c r="AN2288" s="626"/>
      <c r="AO2288" s="182"/>
      <c r="AP2288" s="182"/>
      <c r="AQ2288" s="332" t="str">
        <f>UPPER(RIGHT(Journal_Live[[#This Row],[DURATION ]]))</f>
        <v/>
      </c>
      <c r="AR2288" s="182"/>
      <c r="AS2288" s="189"/>
      <c r="AT2288" s="189"/>
      <c r="AU2288" s="187"/>
      <c r="AV2288" s="190"/>
      <c r="AW2288" s="191"/>
      <c r="AX2288" s="549" t="s">
        <v>7272</v>
      </c>
      <c r="AY2288" s="549"/>
      <c r="AZ2288" s="549"/>
      <c r="BA2288" s="549"/>
      <c r="BB2288" s="549"/>
      <c r="BC2288" s="549"/>
      <c r="BD2288" s="549"/>
      <c r="BE2288" s="550"/>
      <c r="BF2288" s="549"/>
      <c r="BG2288" s="391">
        <f>SUM($AV$1389:AV2288)</f>
        <v>6686.2108375297139</v>
      </c>
      <c r="BH2288" s="392">
        <f>SUM($AU$1389:AU2288)</f>
        <v>42556.423836163201</v>
      </c>
      <c r="BI2288" s="318">
        <f>SUMIFS($AU$1388:AU2289,$Q$1388:Q2289,"F")</f>
        <v>29235.078121878127</v>
      </c>
      <c r="BJ2288" s="318">
        <f>SUMIFS($AU$1388:AU2289,$Q$1388:Q2289,"S")</f>
        <v>17938.285714285706</v>
      </c>
      <c r="BK2288" s="343">
        <f>SUMIFS($AU$1388:AU2289,$P$1388:P2289,"W")</f>
        <v>17144.143836163403</v>
      </c>
      <c r="BL2288" s="343">
        <f>SUMIFS($AU$1388:AU2289,$P$1388:P2289,"R")</f>
        <v>22616.400000000325</v>
      </c>
      <c r="BM2288" s="343">
        <f>SUMIFS($AU$1388:AU2289,$AQ$1388:AQ2289,"M")</f>
        <v>8875.1799999983887</v>
      </c>
      <c r="BN2288" s="343">
        <f>SUMIFS($AU$1388:AU2289,$AQ$1388:AQ2289,"H")</f>
        <v>11643.200000000877</v>
      </c>
      <c r="BO2288" s="343">
        <f>SUMIFS($AU$1388:AU2289,$AQ$1388:AQ2289,"D")</f>
        <v>13122.377472527351</v>
      </c>
      <c r="BP2288" s="343">
        <f>SUMIFS($AS$1388:AS2701,$AO$1388:AO2701,"W")</f>
        <v>0</v>
      </c>
      <c r="BQ2288" s="343">
        <f>SUMIFS($AU$1388:AU2289,$Q$1388:Q2289,"O")</f>
        <v>-9340.9400000006026</v>
      </c>
      <c r="BR2288" s="343">
        <f>SUMIFS($AU$1388:AU2289,$AA$1388:AA2289,"*")</f>
        <v>37881.5220779214</v>
      </c>
      <c r="BS2288" s="343">
        <f>SUMIFS($AU$1388:AU2289,$AB$1388:AB2289,"*")</f>
        <v>7475.8599999999715</v>
      </c>
      <c r="BT2288" s="343">
        <f>SUMIFS($AU$1388:AU2289,$AC$1388:AC2289,"*")</f>
        <v>33251.078121878119</v>
      </c>
      <c r="BU2288" s="343">
        <f>SUMIFS($AU$1388:AU2289,$AA$1388:AA2289,"*",$AB$1388:AB2289,"*")</f>
        <v>7915.9999999997544</v>
      </c>
      <c r="BV2288" s="343">
        <f>SUMIFS($AU$1388:AU2289,$AA$1388:AA2289,"*",$AC$1388:AC2289,"*")</f>
        <v>29696.036363636529</v>
      </c>
      <c r="BW2288" s="343">
        <f>SUMIFS($AU$1388:AU2289,$AB$1388:AB2289,"*",$AC$1388:AC2289,"*")</f>
        <v>3863.9999999999991</v>
      </c>
      <c r="BX2288" s="343">
        <f>SUMIFS($AV$1388:AV2289,$Q$1388:Q2289,"F")</f>
        <v>383.04019562430165</v>
      </c>
      <c r="BY2288" s="343">
        <f>SUMIFS($AV$1388:AV2289,$Q$1388:Q2289,"S")</f>
        <v>676.61134190572739</v>
      </c>
      <c r="BZ2288" s="343">
        <f>SUMIFS($AV$1388:AV2289,$Q$1388:Q2289,"O")</f>
        <v>378.55929999967736</v>
      </c>
    </row>
    <row r="2289" spans="1:78" ht="15.75" customHeight="1">
      <c r="A2289" s="177" t="s">
        <v>7249</v>
      </c>
      <c r="B2289" s="200">
        <v>45474</v>
      </c>
      <c r="C2289" s="178" t="s">
        <v>4458</v>
      </c>
      <c r="D2289" s="178" t="s">
        <v>132</v>
      </c>
      <c r="E2289" s="227"/>
      <c r="F2289" s="180"/>
      <c r="G2289" s="553" t="s">
        <v>7049</v>
      </c>
      <c r="H2289" s="182"/>
      <c r="I2289" s="182"/>
      <c r="J2289" s="182"/>
      <c r="K2289" s="183"/>
      <c r="L2289" s="182"/>
      <c r="M2289" s="182">
        <v>1</v>
      </c>
      <c r="N2289" s="182"/>
      <c r="O2289" s="183" t="s">
        <v>95</v>
      </c>
      <c r="P2289" s="183" t="s">
        <v>137</v>
      </c>
      <c r="Q2289" s="183" t="s">
        <v>97</v>
      </c>
      <c r="R2289" s="183">
        <v>72</v>
      </c>
      <c r="S2289" s="183">
        <v>0</v>
      </c>
      <c r="T2289" s="183">
        <v>72</v>
      </c>
      <c r="U2289" s="183" t="s">
        <v>97</v>
      </c>
      <c r="V2289" s="183"/>
      <c r="W2289" s="183"/>
      <c r="X2289" s="183"/>
      <c r="Y2289" s="184">
        <f>IF(ISBLANK(O2289),"",(IF(O2289=UPPER("IB"),0.005,0.01)))</f>
        <v>0.01</v>
      </c>
      <c r="Z2289" s="185">
        <f>IF(ISBLANK(O2289),"",IF(O2289="IB",8.63*200,IF(O2289="IR",16*100,IF(O2289="YT",20*100,IF(O2289="YT-XT",24*200,IF(O2289="TED",80*100,IF(O2289="IR|YT",300*100)))))))</f>
        <v>1600</v>
      </c>
      <c r="AA2289" s="185" t="s">
        <v>7273</v>
      </c>
      <c r="AB2289" s="185"/>
      <c r="AC2289" s="185"/>
      <c r="AD2289" s="649">
        <v>-0.04</v>
      </c>
      <c r="AE2289" s="182"/>
      <c r="AF2289" s="332"/>
      <c r="AG2289" s="182"/>
      <c r="AH2289" s="182"/>
      <c r="AI2289" s="182"/>
      <c r="AJ2289" s="640"/>
      <c r="AK2289" s="182"/>
      <c r="AL2289" s="496">
        <f t="shared" si="757"/>
        <v>-32</v>
      </c>
      <c r="AM2289" s="496">
        <f t="shared" si="758"/>
        <v>-2304</v>
      </c>
      <c r="AN2289" s="626"/>
      <c r="AO2289" s="182"/>
      <c r="AP2289" s="182"/>
      <c r="AQ2289" s="332" t="s">
        <v>372</v>
      </c>
      <c r="AR2289" s="182"/>
      <c r="AS2289" s="189">
        <v>-0.04</v>
      </c>
      <c r="AT2289" s="189">
        <f>IF(ISBLANK(AS2289),,IF(U2289="S",AD2289-AS2289,AS2289-AD2289))</f>
        <v>0</v>
      </c>
      <c r="AU2289" s="187">
        <f>AV2289*R2289</f>
        <v>0</v>
      </c>
      <c r="AV2289" s="190">
        <f t="shared" ref="AV2289:AV2291" si="759">IF(ISBLANK(AS2289),,(AT2289*Z2289))</f>
        <v>0</v>
      </c>
      <c r="AW2289" s="191" t="s">
        <v>115</v>
      </c>
      <c r="AX2289" s="549" t="s">
        <v>7274</v>
      </c>
      <c r="AY2289" s="549"/>
      <c r="AZ2289" s="549"/>
      <c r="BA2289" s="549"/>
      <c r="BB2289" s="549"/>
      <c r="BC2289" s="549"/>
      <c r="BD2289" s="549"/>
      <c r="BE2289" s="550"/>
      <c r="BF2289" s="549"/>
      <c r="BG2289" s="391">
        <f>SUM($AV$1389:AV2289)</f>
        <v>6686.2108375297139</v>
      </c>
      <c r="BH2289" s="392">
        <f>SUM($AU$1389:AU2289)</f>
        <v>42556.423836163201</v>
      </c>
      <c r="BI2289" s="318">
        <f>SUMIFS($AU$1388:AU2290,$Q$1388:Q2290,"F")</f>
        <v>29235.078121878127</v>
      </c>
      <c r="BJ2289" s="318">
        <f>SUMIFS($AU$1388:AU2290,$Q$1388:Q2290,"S")</f>
        <v>17938.285714285706</v>
      </c>
      <c r="BK2289" s="343">
        <f>SUMIFS($AU$1388:AU2290,$P$1388:P2290,"W")</f>
        <v>17144.143836163403</v>
      </c>
      <c r="BL2289" s="343">
        <f>SUMIFS($AU$1388:AU2290,$P$1388:P2290,"R")</f>
        <v>22616.400000000325</v>
      </c>
      <c r="BM2289" s="343">
        <f>SUMIFS($AU$1388:AU2290,$AQ$1388:AQ2290,"M")</f>
        <v>8875.1799999983887</v>
      </c>
      <c r="BN2289" s="343">
        <f>SUMIFS($AU$1388:AU2290,$AQ$1388:AQ2290,"H")</f>
        <v>11643.200000000877</v>
      </c>
      <c r="BO2289" s="343">
        <f>SUMIFS($AU$1388:AU2290,$AQ$1388:AQ2290,"D")</f>
        <v>13122.377472527351</v>
      </c>
      <c r="BP2289" s="343">
        <f>SUMIFS($AS$1388:AS2702,$AO$1388:AO2702,"W")</f>
        <v>0</v>
      </c>
      <c r="BQ2289" s="343">
        <f>SUMIFS($AU$1388:AU2290,$Q$1388:Q2290,"O")</f>
        <v>-9340.9400000006026</v>
      </c>
      <c r="BR2289" s="343">
        <f>SUMIFS($AU$1388:AU2290,$AA$1388:AA2290,"*")</f>
        <v>37881.5220779214</v>
      </c>
      <c r="BS2289" s="343">
        <f>SUMIFS($AU$1388:AU2290,$AB$1388:AB2290,"*")</f>
        <v>7475.8599999999715</v>
      </c>
      <c r="BT2289" s="343">
        <f>SUMIFS($AU$1388:AU2290,$AC$1388:AC2290,"*")</f>
        <v>33251.078121878119</v>
      </c>
      <c r="BU2289" s="343">
        <f>SUMIFS($AU$1388:AU2290,$AA$1388:AA2290,"*",$AB$1388:AB2290,"*")</f>
        <v>7915.9999999997544</v>
      </c>
      <c r="BV2289" s="343">
        <f>SUMIFS($AU$1388:AU2290,$AA$1388:AA2290,"*",$AC$1388:AC2290,"*")</f>
        <v>29696.036363636529</v>
      </c>
      <c r="BW2289" s="343">
        <f>SUMIFS($AU$1388:AU2290,$AB$1388:AB2290,"*",$AC$1388:AC2290,"*")</f>
        <v>3863.9999999999991</v>
      </c>
      <c r="BX2289" s="343">
        <f>SUMIFS($AV$1388:AV2290,$Q$1388:Q2290,"F")</f>
        <v>383.04019562430165</v>
      </c>
      <c r="BY2289" s="343">
        <f>SUMIFS($AV$1388:AV2290,$Q$1388:Q2290,"S")</f>
        <v>676.61134190572739</v>
      </c>
      <c r="BZ2289" s="343">
        <f>SUMIFS($AV$1388:AV2290,$Q$1388:Q2290,"O")</f>
        <v>378.55929999967736</v>
      </c>
    </row>
    <row r="2290" spans="1:78" ht="15.75" customHeight="1">
      <c r="A2290" s="177" t="s">
        <v>7249</v>
      </c>
      <c r="B2290" s="200">
        <v>45474</v>
      </c>
      <c r="C2290" s="178" t="s">
        <v>383</v>
      </c>
      <c r="D2290" s="178" t="s">
        <v>132</v>
      </c>
      <c r="E2290" s="227"/>
      <c r="F2290" s="180"/>
      <c r="G2290" s="553" t="s">
        <v>5012</v>
      </c>
      <c r="H2290" s="182"/>
      <c r="I2290" s="182"/>
      <c r="J2290" s="182"/>
      <c r="K2290" s="183"/>
      <c r="L2290" s="182"/>
      <c r="M2290" s="182">
        <v>1</v>
      </c>
      <c r="N2290" s="182"/>
      <c r="O2290" s="183" t="s">
        <v>5325</v>
      </c>
      <c r="P2290" s="183" t="s">
        <v>137</v>
      </c>
      <c r="Q2290" s="183"/>
      <c r="R2290" s="183">
        <v>1</v>
      </c>
      <c r="S2290" s="183">
        <v>0</v>
      </c>
      <c r="T2290" s="183">
        <v>1</v>
      </c>
      <c r="U2290" s="183" t="s">
        <v>97</v>
      </c>
      <c r="V2290" s="183"/>
      <c r="W2290" s="183"/>
      <c r="X2290" s="183"/>
      <c r="Y2290" s="184">
        <f>IF(ISBLANK(O2290),"",(IF(O2290=UPPER("IB"),0.005,0.01)))</f>
        <v>0.01</v>
      </c>
      <c r="Z2290" s="185">
        <f>IF(ISBLANK(O2290),"",IF(O2290="IB",8.63*200,IF(O2290="IR",16*100,IF(O2290="YT",20*100,IF(O2290="YT-XT",24*200,IF(O2290="TED",80*100,IF(O2290="IR|YT",300*100)))))))</f>
        <v>30000</v>
      </c>
      <c r="AA2290" s="185" t="s">
        <v>99</v>
      </c>
      <c r="AB2290" s="185"/>
      <c r="AC2290" s="185"/>
      <c r="AD2290" s="649">
        <v>-0.16</v>
      </c>
      <c r="AE2290" s="182"/>
      <c r="AF2290" s="332"/>
      <c r="AG2290" s="182"/>
      <c r="AH2290" s="182"/>
      <c r="AI2290" s="182"/>
      <c r="AJ2290" s="640"/>
      <c r="AK2290" s="182"/>
      <c r="AL2290" s="496">
        <f t="shared" si="757"/>
        <v>-600</v>
      </c>
      <c r="AM2290" s="496">
        <f t="shared" si="758"/>
        <v>-600</v>
      </c>
      <c r="AN2290" s="626"/>
      <c r="AO2290" s="182"/>
      <c r="AP2290" s="182"/>
      <c r="AQ2290" s="332" t="s">
        <v>372</v>
      </c>
      <c r="AR2290" s="182" t="s">
        <v>3402</v>
      </c>
      <c r="AS2290" s="189">
        <v>-0.16</v>
      </c>
      <c r="AT2290" s="189">
        <f>IF(ISBLANK(AS2290),,IF(U2290="S",AD2290-AS2290,AS2290-AD2290))</f>
        <v>0</v>
      </c>
      <c r="AU2290" s="187">
        <f>AV2290*R2290</f>
        <v>0</v>
      </c>
      <c r="AV2290" s="190">
        <f t="shared" si="759"/>
        <v>0</v>
      </c>
      <c r="AW2290" s="191" t="s">
        <v>115</v>
      </c>
      <c r="AX2290" s="549"/>
      <c r="AY2290" s="549"/>
      <c r="AZ2290" s="549"/>
      <c r="BA2290" s="549"/>
      <c r="BB2290" s="549"/>
      <c r="BC2290" s="549"/>
      <c r="BD2290" s="549"/>
      <c r="BE2290" s="550"/>
      <c r="BF2290" s="549"/>
      <c r="BG2290" s="391">
        <f>SUM($AV$1389:AV2290)</f>
        <v>6686.2108375297139</v>
      </c>
      <c r="BH2290" s="392">
        <f>SUM($AU$1389:AU2290)</f>
        <v>42556.423836163201</v>
      </c>
      <c r="BI2290" s="318">
        <f>SUMIFS($AU$1388:AU2291,$Q$1388:Q2291,"F")</f>
        <v>29235.078121878127</v>
      </c>
      <c r="BJ2290" s="318">
        <f>SUMIFS($AU$1388:AU2291,$Q$1388:Q2291,"S")</f>
        <v>17938.285714285706</v>
      </c>
      <c r="BK2290" s="343">
        <f>SUMIFS($AU$1388:AU2291,$P$1388:P2291,"W")</f>
        <v>17144.143836163403</v>
      </c>
      <c r="BL2290" s="343">
        <f>SUMIFS($AU$1388:AU2291,$P$1388:P2291,"R")</f>
        <v>22616.400000000325</v>
      </c>
      <c r="BM2290" s="343">
        <f>SUMIFS($AU$1388:AU2291,$AQ$1388:AQ2291,"M")</f>
        <v>8875.1799999983887</v>
      </c>
      <c r="BN2290" s="343">
        <f>SUMIFS($AU$1388:AU2291,$AQ$1388:AQ2291,"H")</f>
        <v>11643.200000000877</v>
      </c>
      <c r="BO2290" s="343">
        <f>SUMIFS($AU$1388:AU2291,$AQ$1388:AQ2291,"D")</f>
        <v>13122.377472527351</v>
      </c>
      <c r="BP2290" s="343">
        <f>SUMIFS($AS$1388:AS2703,$AO$1388:AO2703,"W")</f>
        <v>0</v>
      </c>
      <c r="BQ2290" s="343">
        <f>SUMIFS($AU$1388:AU2291,$Q$1388:Q2291,"O")</f>
        <v>-9340.9400000006026</v>
      </c>
      <c r="BR2290" s="343">
        <f>SUMIFS($AU$1388:AU2291,$AA$1388:AA2291,"*")</f>
        <v>37881.5220779214</v>
      </c>
      <c r="BS2290" s="343">
        <f>SUMIFS($AU$1388:AU2291,$AB$1388:AB2291,"*")</f>
        <v>7475.8599999999715</v>
      </c>
      <c r="BT2290" s="343">
        <f>SUMIFS($AU$1388:AU2291,$AC$1388:AC2291,"*")</f>
        <v>33251.078121878119</v>
      </c>
      <c r="BU2290" s="343">
        <f>SUMIFS($AU$1388:AU2291,$AA$1388:AA2291,"*",$AB$1388:AB2291,"*")</f>
        <v>7915.9999999997544</v>
      </c>
      <c r="BV2290" s="343">
        <f>SUMIFS($AU$1388:AU2291,$AA$1388:AA2291,"*",$AC$1388:AC2291,"*")</f>
        <v>29696.036363636529</v>
      </c>
      <c r="BW2290" s="343">
        <f>SUMIFS($AU$1388:AU2291,$AB$1388:AB2291,"*",$AC$1388:AC2291,"*")</f>
        <v>3863.9999999999991</v>
      </c>
      <c r="BX2290" s="343">
        <f>SUMIFS($AV$1388:AV2291,$Q$1388:Q2291,"F")</f>
        <v>383.04019562430165</v>
      </c>
      <c r="BY2290" s="343">
        <f>SUMIFS($AV$1388:AV2291,$Q$1388:Q2291,"S")</f>
        <v>676.61134190572739</v>
      </c>
      <c r="BZ2290" s="343">
        <f>SUMIFS($AV$1388:AV2291,$Q$1388:Q2291,"O")</f>
        <v>378.55929999967736</v>
      </c>
    </row>
    <row r="2291" spans="1:78" ht="15.75" customHeight="1">
      <c r="A2291" s="177" t="s">
        <v>7249</v>
      </c>
      <c r="B2291" s="200">
        <v>45474</v>
      </c>
      <c r="C2291" s="178" t="s">
        <v>2020</v>
      </c>
      <c r="D2291" s="178" t="s">
        <v>132</v>
      </c>
      <c r="E2291" s="227"/>
      <c r="F2291" s="180"/>
      <c r="G2291" s="181" t="s">
        <v>7275</v>
      </c>
      <c r="H2291" s="182"/>
      <c r="I2291" s="182"/>
      <c r="J2291" s="182"/>
      <c r="K2291" s="183"/>
      <c r="L2291" s="182"/>
      <c r="M2291" s="182"/>
      <c r="N2291" s="182"/>
      <c r="O2291" s="183"/>
      <c r="P2291" s="183"/>
      <c r="Q2291" s="183"/>
      <c r="R2291" s="183"/>
      <c r="S2291" s="183"/>
      <c r="T2291" s="183"/>
      <c r="U2291" s="183"/>
      <c r="V2291" s="183"/>
      <c r="W2291" s="183"/>
      <c r="X2291" s="183"/>
      <c r="Y2291" s="184"/>
      <c r="Z2291" s="185"/>
      <c r="AA2291" s="185"/>
      <c r="AB2291" s="185"/>
      <c r="AC2291" s="185"/>
      <c r="AD2291" s="649"/>
      <c r="AE2291" s="182"/>
      <c r="AF2291" s="332"/>
      <c r="AG2291" s="182"/>
      <c r="AH2291" s="182"/>
      <c r="AI2291" s="182"/>
      <c r="AJ2291" s="640"/>
      <c r="AK2291" s="182"/>
      <c r="AL2291" s="496">
        <f t="shared" si="757"/>
        <v>0</v>
      </c>
      <c r="AM2291" s="496">
        <f t="shared" si="758"/>
        <v>0</v>
      </c>
      <c r="AN2291" s="626"/>
      <c r="AO2291" s="182"/>
      <c r="AP2291" s="182"/>
      <c r="AQ2291" s="332"/>
      <c r="AR2291" s="182"/>
      <c r="AS2291" s="189"/>
      <c r="AT2291" s="189">
        <f>IF(ISBLANK(AS2291),,IF(U2291="S",AD2291-AS2291,AS2291-AD2291))</f>
        <v>0</v>
      </c>
      <c r="AU2291" s="187">
        <f>AV2291*R2291</f>
        <v>0</v>
      </c>
      <c r="AV2291" s="190">
        <f t="shared" si="759"/>
        <v>0</v>
      </c>
      <c r="AW2291" s="191"/>
      <c r="AX2291" s="549"/>
      <c r="AY2291" s="549"/>
      <c r="AZ2291" s="549"/>
      <c r="BA2291" s="549"/>
      <c r="BB2291" s="549"/>
      <c r="BC2291" s="549"/>
      <c r="BD2291" s="549"/>
      <c r="BE2291" s="550"/>
      <c r="BF2291" s="549"/>
      <c r="BG2291" s="391">
        <f>SUM($AV$1389:AV2291)</f>
        <v>6686.2108375297139</v>
      </c>
      <c r="BH2291" s="392">
        <f>SUM($AU$1389:AU2291)</f>
        <v>42556.423836163201</v>
      </c>
      <c r="BI2291" s="318">
        <f>SUMIFS($AU$1388:AU2292,$Q$1388:Q2292,"F")</f>
        <v>29235.078121878127</v>
      </c>
      <c r="BJ2291" s="318">
        <f>SUMIFS($AU$1388:AU2292,$Q$1388:Q2292,"S")</f>
        <v>17938.285714285706</v>
      </c>
      <c r="BK2291" s="343">
        <f>SUMIFS($AU$1388:AU2292,$P$1388:P2292,"W")</f>
        <v>17144.143836163403</v>
      </c>
      <c r="BL2291" s="343">
        <f>SUMIFS($AU$1388:AU2292,$P$1388:P2292,"R")</f>
        <v>22616.400000000325</v>
      </c>
      <c r="BM2291" s="343">
        <f>SUMIFS($AU$1388:AU2292,$AQ$1388:AQ2292,"M")</f>
        <v>8875.1799999983887</v>
      </c>
      <c r="BN2291" s="343">
        <f>SUMIFS($AU$1388:AU2292,$AQ$1388:AQ2292,"H")</f>
        <v>11643.200000000877</v>
      </c>
      <c r="BO2291" s="343">
        <f>SUMIFS($AU$1388:AU2292,$AQ$1388:AQ2292,"D")</f>
        <v>13122.377472527351</v>
      </c>
      <c r="BP2291" s="343">
        <f>SUMIFS($AS$1388:AS2704,$AO$1388:AO2704,"W")</f>
        <v>0</v>
      </c>
      <c r="BQ2291" s="343">
        <f>SUMIFS($AU$1388:AU2292,$Q$1388:Q2292,"O")</f>
        <v>-9340.9400000006026</v>
      </c>
      <c r="BR2291" s="343">
        <f>SUMIFS($AU$1388:AU2292,$AA$1388:AA2292,"*")</f>
        <v>37881.5220779214</v>
      </c>
      <c r="BS2291" s="343">
        <f>SUMIFS($AU$1388:AU2292,$AB$1388:AB2292,"*")</f>
        <v>7475.8599999999715</v>
      </c>
      <c r="BT2291" s="343">
        <f>SUMIFS($AU$1388:AU2292,$AC$1388:AC2292,"*")</f>
        <v>33251.078121878119</v>
      </c>
      <c r="BU2291" s="343">
        <f>SUMIFS($AU$1388:AU2292,$AA$1388:AA2292,"*",$AB$1388:AB2292,"*")</f>
        <v>7915.9999999997544</v>
      </c>
      <c r="BV2291" s="343">
        <f>SUMIFS($AU$1388:AU2292,$AA$1388:AA2292,"*",$AC$1388:AC2292,"*")</f>
        <v>29696.036363636529</v>
      </c>
      <c r="BW2291" s="343">
        <f>SUMIFS($AU$1388:AU2292,$AB$1388:AB2292,"*",$AC$1388:AC2292,"*")</f>
        <v>3863.9999999999991</v>
      </c>
      <c r="BX2291" s="343">
        <f>SUMIFS($AV$1388:AV2292,$Q$1388:Q2292,"F")</f>
        <v>383.04019562430165</v>
      </c>
      <c r="BY2291" s="343">
        <f>SUMIFS($AV$1388:AV2292,$Q$1388:Q2292,"S")</f>
        <v>676.61134190572739</v>
      </c>
      <c r="BZ2291" s="343">
        <f>SUMIFS($AV$1388:AV2292,$Q$1388:Q2292,"O")</f>
        <v>378.55929999967736</v>
      </c>
    </row>
    <row r="2292" spans="1:78" ht="15.75" customHeight="1">
      <c r="A2292" s="177" t="s">
        <v>7249</v>
      </c>
      <c r="B2292" s="200">
        <v>45474</v>
      </c>
      <c r="C2292" s="178" t="s">
        <v>2253</v>
      </c>
      <c r="D2292" s="178" t="s">
        <v>132</v>
      </c>
      <c r="E2292" s="227"/>
      <c r="F2292" s="180"/>
      <c r="G2292" s="553" t="s">
        <v>3334</v>
      </c>
      <c r="H2292" s="182"/>
      <c r="I2292" s="182"/>
      <c r="J2292" s="182"/>
      <c r="K2292" s="183"/>
      <c r="L2292" s="182"/>
      <c r="M2292" s="182">
        <v>1</v>
      </c>
      <c r="N2292" s="182"/>
      <c r="O2292" s="183" t="s">
        <v>95</v>
      </c>
      <c r="P2292" s="183" t="s">
        <v>96</v>
      </c>
      <c r="Q2292" s="183" t="s">
        <v>97</v>
      </c>
      <c r="R2292" s="183">
        <v>70</v>
      </c>
      <c r="S2292" s="183">
        <v>0</v>
      </c>
      <c r="T2292" s="183">
        <v>75</v>
      </c>
      <c r="U2292" s="183" t="s">
        <v>97</v>
      </c>
      <c r="V2292" s="183"/>
      <c r="W2292" s="183"/>
      <c r="X2292" s="183"/>
      <c r="Y2292" s="184">
        <f>IF(ISBLANK(O2292),"",(IF(O2292=UPPER("IB"),0.005,0.01)))</f>
        <v>0.01</v>
      </c>
      <c r="Z2292" s="185">
        <f>IF(ISBLANK(O2292),"",IF(O2292="IB",8.63*200,IF(O2292="IR",16*100,IF(O2292="YT",20*100,IF(O2292="YT-XT",24*200,IF(O2292="TED",80*100,IF(O2292="IR|YT",300*100)))))))</f>
        <v>1600</v>
      </c>
      <c r="AA2292" s="185"/>
      <c r="AB2292" s="185"/>
      <c r="AC2292" s="185" t="s">
        <v>7276</v>
      </c>
      <c r="AD2292" s="649">
        <v>-0.1</v>
      </c>
      <c r="AE2292" s="182"/>
      <c r="AF2292" s="332"/>
      <c r="AG2292" s="182"/>
      <c r="AH2292" s="182"/>
      <c r="AI2292" s="182"/>
      <c r="AJ2292" s="640"/>
      <c r="AK2292" s="182"/>
      <c r="AL2292" s="496">
        <f t="shared" ref="AL2292:AL2322" si="760">-0.02*Z2292</f>
        <v>-32</v>
      </c>
      <c r="AM2292" s="496">
        <f t="shared" si="758"/>
        <v>-2240</v>
      </c>
      <c r="AN2292" s="626"/>
      <c r="AO2292" s="182"/>
      <c r="AP2292" s="182"/>
      <c r="AQ2292" s="332" t="s">
        <v>372</v>
      </c>
      <c r="AR2292" s="332" t="str">
        <f>UPPER(RIGHT(Journal_Live[[#This Row],[DURATION ]]))</f>
        <v/>
      </c>
      <c r="AS2292" s="189">
        <v>-0.1</v>
      </c>
      <c r="AT2292" s="189">
        <f>IF(ISBLANK(AS2292),,IF(U2292="S",AD2292-AS2292,AS2292-AD2292))</f>
        <v>0</v>
      </c>
      <c r="AU2292" s="187">
        <f>AV2292*R2292</f>
        <v>0</v>
      </c>
      <c r="AV2292" s="190">
        <f t="shared" ref="AV2292:AV2316" si="761">IF(ISBLANK(AS2292),,(AT2292*Z2292))</f>
        <v>0</v>
      </c>
      <c r="AW2292" s="191" t="s">
        <v>115</v>
      </c>
      <c r="AX2292" s="549"/>
      <c r="AY2292" s="549"/>
      <c r="AZ2292" s="549"/>
      <c r="BA2292" s="549"/>
      <c r="BB2292" s="549"/>
      <c r="BC2292" s="549"/>
      <c r="BD2292" s="549"/>
      <c r="BE2292" s="550"/>
      <c r="BF2292" s="549"/>
      <c r="BG2292" s="391">
        <f>SUM($AV$1389:AV2292)</f>
        <v>6686.2108375297139</v>
      </c>
      <c r="BH2292" s="392">
        <f>SUM($AU$1389:AU2292)</f>
        <v>42556.423836163201</v>
      </c>
      <c r="BI2292" s="318">
        <f>SUMIFS($AU$1388:AU2293,$Q$1388:Q2293,"F")</f>
        <v>29235.078121878127</v>
      </c>
      <c r="BJ2292" s="318">
        <f>SUMIFS($AU$1388:AU2293,$Q$1388:Q2293,"S")</f>
        <v>17938.285714285706</v>
      </c>
      <c r="BK2292" s="343">
        <f>SUMIFS($AU$1388:AU2293,$P$1388:P2293,"W")</f>
        <v>17144.143836163403</v>
      </c>
      <c r="BL2292" s="343">
        <f>SUMIFS($AU$1388:AU2293,$P$1388:P2293,"R")</f>
        <v>22616.400000000325</v>
      </c>
      <c r="BM2292" s="343">
        <f>SUMIFS($AU$1388:AU2293,$AQ$1388:AQ2293,"M")</f>
        <v>8875.1799999983887</v>
      </c>
      <c r="BN2292" s="343">
        <f>SUMIFS($AU$1388:AU2293,$AQ$1388:AQ2293,"H")</f>
        <v>11643.200000000877</v>
      </c>
      <c r="BO2292" s="343">
        <f>SUMIFS($AU$1388:AU2293,$AQ$1388:AQ2293,"D")</f>
        <v>13122.377472527351</v>
      </c>
      <c r="BP2292" s="343">
        <f>SUMIFS($AS$1388:AS2705,$AO$1388:AO2705,"W")</f>
        <v>0</v>
      </c>
      <c r="BQ2292" s="343">
        <f>SUMIFS($AU$1388:AU2293,$Q$1388:Q2293,"O")</f>
        <v>-9340.9400000006026</v>
      </c>
      <c r="BR2292" s="343">
        <f>SUMIFS($AU$1388:AU2293,$AA$1388:AA2293,"*")</f>
        <v>37881.5220779214</v>
      </c>
      <c r="BS2292" s="343">
        <f>SUMIFS($AU$1388:AU2293,$AB$1388:AB2293,"*")</f>
        <v>7475.8599999999715</v>
      </c>
      <c r="BT2292" s="343">
        <f>SUMIFS($AU$1388:AU2293,$AC$1388:AC2293,"*")</f>
        <v>33251.078121878119</v>
      </c>
      <c r="BU2292" s="343">
        <f>SUMIFS($AU$1388:AU2293,$AA$1388:AA2293,"*",$AB$1388:AB2293,"*")</f>
        <v>7915.9999999997544</v>
      </c>
      <c r="BV2292" s="343">
        <f>SUMIFS($AU$1388:AU2293,$AA$1388:AA2293,"*",$AC$1388:AC2293,"*")</f>
        <v>29696.036363636529</v>
      </c>
      <c r="BW2292" s="343">
        <f>SUMIFS($AU$1388:AU2293,$AB$1388:AB2293,"*",$AC$1388:AC2293,"*")</f>
        <v>3863.9999999999991</v>
      </c>
      <c r="BX2292" s="343">
        <f>SUMIFS($AV$1388:AV2293,$Q$1388:Q2293,"F")</f>
        <v>383.04019562430165</v>
      </c>
      <c r="BY2292" s="343">
        <f>SUMIFS($AV$1388:AV2293,$Q$1388:Q2293,"S")</f>
        <v>676.61134190572739</v>
      </c>
      <c r="BZ2292" s="343">
        <f>SUMIFS($AV$1388:AV2293,$Q$1388:Q2293,"O")</f>
        <v>378.55929999967736</v>
      </c>
    </row>
    <row r="2293" spans="1:78" ht="15.75" customHeight="1">
      <c r="A2293" s="177" t="s">
        <v>7249</v>
      </c>
      <c r="B2293" s="200">
        <v>45474</v>
      </c>
      <c r="C2293" s="178" t="s">
        <v>2253</v>
      </c>
      <c r="D2293" s="178" t="s">
        <v>132</v>
      </c>
      <c r="E2293" s="227"/>
      <c r="F2293" s="180"/>
      <c r="G2293" s="181" t="s">
        <v>3334</v>
      </c>
      <c r="H2293" s="182"/>
      <c r="I2293" s="182"/>
      <c r="J2293" s="182"/>
      <c r="K2293" s="183"/>
      <c r="L2293" s="182"/>
      <c r="M2293" s="182"/>
      <c r="N2293" s="182"/>
      <c r="O2293" s="183"/>
      <c r="P2293" s="183"/>
      <c r="Q2293" s="183"/>
      <c r="R2293" s="183"/>
      <c r="S2293" s="183"/>
      <c r="T2293" s="183"/>
      <c r="U2293" s="183"/>
      <c r="V2293" s="183"/>
      <c r="W2293" s="183"/>
      <c r="X2293" s="183"/>
      <c r="Y2293" s="184"/>
      <c r="Z2293" s="185"/>
      <c r="AA2293" s="185"/>
      <c r="AB2293" s="185"/>
      <c r="AC2293" s="185"/>
      <c r="AD2293" s="649"/>
      <c r="AE2293" s="182"/>
      <c r="AF2293" s="332"/>
      <c r="AG2293" s="182"/>
      <c r="AH2293" s="182"/>
      <c r="AI2293" s="182"/>
      <c r="AJ2293" s="640"/>
      <c r="AK2293" s="182"/>
      <c r="AL2293" s="496">
        <f t="shared" si="760"/>
        <v>0</v>
      </c>
      <c r="AM2293" s="496">
        <f t="shared" si="758"/>
        <v>0</v>
      </c>
      <c r="AN2293" s="626"/>
      <c r="AO2293" s="182"/>
      <c r="AP2293" s="182"/>
      <c r="AQ2293" s="332"/>
      <c r="AR2293" s="182"/>
      <c r="AS2293" s="189"/>
      <c r="AT2293" s="189"/>
      <c r="AU2293" s="187"/>
      <c r="AV2293" s="190"/>
      <c r="AW2293" s="191"/>
      <c r="AX2293" s="549"/>
      <c r="AY2293" s="549"/>
      <c r="AZ2293" s="549"/>
      <c r="BA2293" s="549"/>
      <c r="BB2293" s="549"/>
      <c r="BC2293" s="549"/>
      <c r="BD2293" s="549"/>
      <c r="BE2293" s="550"/>
      <c r="BF2293" s="549"/>
      <c r="BG2293" s="391">
        <f>SUM($AV$1389:AV2293)</f>
        <v>6686.2108375297139</v>
      </c>
      <c r="BH2293" s="392">
        <f>SUM($AU$1389:AU2293)</f>
        <v>42556.423836163201</v>
      </c>
      <c r="BI2293" s="318">
        <f>SUMIFS($AU$1388:AU2294,$Q$1388:Q2294,"F")</f>
        <v>29235.078121878127</v>
      </c>
      <c r="BJ2293" s="318">
        <f>SUMIFS($AU$1388:AU2294,$Q$1388:Q2294,"S")</f>
        <v>17938.285714285706</v>
      </c>
      <c r="BK2293" s="343">
        <f>SUMIFS($AU$1388:AU2294,$P$1388:P2294,"W")</f>
        <v>17144.143836163403</v>
      </c>
      <c r="BL2293" s="343">
        <f>SUMIFS($AU$1388:AU2294,$P$1388:P2294,"R")</f>
        <v>22616.400000000325</v>
      </c>
      <c r="BM2293" s="343">
        <f>SUMIFS($AU$1388:AU2294,$AQ$1388:AQ2294,"M")</f>
        <v>8875.1799999983887</v>
      </c>
      <c r="BN2293" s="343">
        <f>SUMIFS($AU$1388:AU2294,$AQ$1388:AQ2294,"H")</f>
        <v>11643.200000000877</v>
      </c>
      <c r="BO2293" s="343">
        <f>SUMIFS($AU$1388:AU2294,$AQ$1388:AQ2294,"D")</f>
        <v>13122.377472527351</v>
      </c>
      <c r="BP2293" s="343">
        <f>SUMIFS($AS$1388:AS2706,$AO$1388:AO2706,"W")</f>
        <v>0</v>
      </c>
      <c r="BQ2293" s="343">
        <f>SUMIFS($AU$1388:AU2294,$Q$1388:Q2294,"O")</f>
        <v>-9340.9400000006026</v>
      </c>
      <c r="BR2293" s="343">
        <f>SUMIFS($AU$1388:AU2294,$AA$1388:AA2294,"*")</f>
        <v>37881.5220779214</v>
      </c>
      <c r="BS2293" s="343">
        <f>SUMIFS($AU$1388:AU2294,$AB$1388:AB2294,"*")</f>
        <v>7475.8599999999715</v>
      </c>
      <c r="BT2293" s="343">
        <f>SUMIFS($AU$1388:AU2294,$AC$1388:AC2294,"*")</f>
        <v>33251.078121878119</v>
      </c>
      <c r="BU2293" s="343">
        <f>SUMIFS($AU$1388:AU2294,$AA$1388:AA2294,"*",$AB$1388:AB2294,"*")</f>
        <v>7915.9999999997544</v>
      </c>
      <c r="BV2293" s="343">
        <f>SUMIFS($AU$1388:AU2294,$AA$1388:AA2294,"*",$AC$1388:AC2294,"*")</f>
        <v>29696.036363636529</v>
      </c>
      <c r="BW2293" s="343">
        <f>SUMIFS($AU$1388:AU2294,$AB$1388:AB2294,"*",$AC$1388:AC2294,"*")</f>
        <v>3863.9999999999991</v>
      </c>
      <c r="BX2293" s="343">
        <f>SUMIFS($AV$1388:AV2294,$Q$1388:Q2294,"F")</f>
        <v>383.04019562430165</v>
      </c>
      <c r="BY2293" s="343">
        <f>SUMIFS($AV$1388:AV2294,$Q$1388:Q2294,"S")</f>
        <v>676.61134190572739</v>
      </c>
      <c r="BZ2293" s="343">
        <f>SUMIFS($AV$1388:AV2294,$Q$1388:Q2294,"O")</f>
        <v>378.55929999967736</v>
      </c>
    </row>
    <row r="2294" spans="1:78" ht="15.75" customHeight="1">
      <c r="A2294" s="177" t="s">
        <v>7249</v>
      </c>
      <c r="B2294" s="200">
        <v>45474</v>
      </c>
      <c r="C2294" s="178"/>
      <c r="D2294" s="178" t="s">
        <v>132</v>
      </c>
      <c r="E2294" s="227"/>
      <c r="F2294" s="180"/>
      <c r="G2294" s="181" t="s">
        <v>7277</v>
      </c>
      <c r="H2294" s="182"/>
      <c r="I2294" s="182"/>
      <c r="J2294" s="182"/>
      <c r="K2294" s="183"/>
      <c r="L2294" s="182"/>
      <c r="M2294" s="182"/>
      <c r="N2294" s="182"/>
      <c r="O2294" s="183"/>
      <c r="P2294" s="183"/>
      <c r="Q2294" s="183"/>
      <c r="R2294" s="183"/>
      <c r="S2294" s="183"/>
      <c r="T2294" s="183"/>
      <c r="U2294" s="183"/>
      <c r="V2294" s="183"/>
      <c r="W2294" s="183"/>
      <c r="X2294" s="183"/>
      <c r="Y2294" s="184"/>
      <c r="Z2294" s="185"/>
      <c r="AA2294" s="185"/>
      <c r="AB2294" s="185"/>
      <c r="AC2294" s="185"/>
      <c r="AD2294" s="649"/>
      <c r="AE2294" s="182"/>
      <c r="AF2294" s="332"/>
      <c r="AG2294" s="182"/>
      <c r="AH2294" s="182"/>
      <c r="AI2294" s="182"/>
      <c r="AJ2294" s="640"/>
      <c r="AK2294" s="182"/>
      <c r="AL2294" s="496">
        <f t="shared" si="760"/>
        <v>0</v>
      </c>
      <c r="AM2294" s="496">
        <f t="shared" si="758"/>
        <v>0</v>
      </c>
      <c r="AN2294" s="626"/>
      <c r="AO2294" s="182"/>
      <c r="AP2294" s="182"/>
      <c r="AQ2294" s="332" t="str">
        <f>UPPER(RIGHT(Journal_Live[[#This Row],[DURATION ]]))</f>
        <v/>
      </c>
      <c r="AR2294" s="182"/>
      <c r="AS2294" s="189"/>
      <c r="AT2294" s="189"/>
      <c r="AU2294" s="187"/>
      <c r="AV2294" s="190"/>
      <c r="AW2294" s="191"/>
      <c r="AX2294" s="549"/>
      <c r="AY2294" s="549"/>
      <c r="AZ2294" s="549"/>
      <c r="BA2294" s="549"/>
      <c r="BB2294" s="549"/>
      <c r="BC2294" s="549"/>
      <c r="BD2294" s="549"/>
      <c r="BE2294" s="550"/>
      <c r="BF2294" s="549"/>
      <c r="BG2294" s="391">
        <f>SUM($AV$1389:AV2294)</f>
        <v>6686.2108375297139</v>
      </c>
      <c r="BH2294" s="392">
        <f>SUM($AU$1389:AU2294)</f>
        <v>42556.423836163201</v>
      </c>
      <c r="BI2294" s="318">
        <f>SUMIFS($AU$1388:AU2295,$Q$1388:Q2295,"F")</f>
        <v>29235.078121878127</v>
      </c>
      <c r="BJ2294" s="318">
        <f>SUMIFS($AU$1388:AU2295,$Q$1388:Q2295,"S")</f>
        <v>17938.285714285706</v>
      </c>
      <c r="BK2294" s="343">
        <f>SUMIFS($AU$1388:AU2295,$P$1388:P2295,"W")</f>
        <v>17144.143836163403</v>
      </c>
      <c r="BL2294" s="343">
        <f>SUMIFS($AU$1388:AU2295,$P$1388:P2295,"R")</f>
        <v>22616.400000000325</v>
      </c>
      <c r="BM2294" s="343">
        <f>SUMIFS($AU$1388:AU2295,$AQ$1388:AQ2295,"M")</f>
        <v>8875.1799999983887</v>
      </c>
      <c r="BN2294" s="343">
        <f>SUMIFS($AU$1388:AU2295,$AQ$1388:AQ2295,"H")</f>
        <v>11643.200000000877</v>
      </c>
      <c r="BO2294" s="343">
        <f>SUMIFS($AU$1388:AU2295,$AQ$1388:AQ2295,"D")</f>
        <v>13122.377472527351</v>
      </c>
      <c r="BP2294" s="343">
        <f>SUMIFS($AS$1388:AS2707,$AO$1388:AO2707,"W")</f>
        <v>0</v>
      </c>
      <c r="BQ2294" s="343">
        <f>SUMIFS($AU$1388:AU2295,$Q$1388:Q2295,"O")</f>
        <v>-9340.9400000006026</v>
      </c>
      <c r="BR2294" s="343">
        <f>SUMIFS($AU$1388:AU2295,$AA$1388:AA2295,"*")</f>
        <v>37881.5220779214</v>
      </c>
      <c r="BS2294" s="343">
        <f>SUMIFS($AU$1388:AU2295,$AB$1388:AB2295,"*")</f>
        <v>7475.8599999999715</v>
      </c>
      <c r="BT2294" s="343">
        <f>SUMIFS($AU$1388:AU2295,$AC$1388:AC2295,"*")</f>
        <v>33251.078121878119</v>
      </c>
      <c r="BU2294" s="343">
        <f>SUMIFS($AU$1388:AU2295,$AA$1388:AA2295,"*",$AB$1388:AB2295,"*")</f>
        <v>7915.9999999997544</v>
      </c>
      <c r="BV2294" s="343">
        <f>SUMIFS($AU$1388:AU2295,$AA$1388:AA2295,"*",$AC$1388:AC2295,"*")</f>
        <v>29696.036363636529</v>
      </c>
      <c r="BW2294" s="343">
        <f>SUMIFS($AU$1388:AU2295,$AB$1388:AB2295,"*",$AC$1388:AC2295,"*")</f>
        <v>3863.9999999999991</v>
      </c>
      <c r="BX2294" s="343">
        <f>SUMIFS($AV$1388:AV2295,$Q$1388:Q2295,"F")</f>
        <v>383.04019562430165</v>
      </c>
      <c r="BY2294" s="343">
        <f>SUMIFS($AV$1388:AV2295,$Q$1388:Q2295,"S")</f>
        <v>676.61134190572739</v>
      </c>
      <c r="BZ2294" s="343">
        <f>SUMIFS($AV$1388:AV2295,$Q$1388:Q2295,"O")</f>
        <v>378.55929999967736</v>
      </c>
    </row>
    <row r="2295" spans="1:78" ht="15.75" customHeight="1">
      <c r="A2295" s="177" t="s">
        <v>7249</v>
      </c>
      <c r="B2295" s="200">
        <v>45474</v>
      </c>
      <c r="C2295" s="178" t="s">
        <v>7278</v>
      </c>
      <c r="D2295" s="178" t="s">
        <v>132</v>
      </c>
      <c r="E2295" s="227"/>
      <c r="F2295" s="180"/>
      <c r="G2295" s="181" t="s">
        <v>7279</v>
      </c>
      <c r="H2295" s="182"/>
      <c r="I2295" s="182"/>
      <c r="J2295" s="182"/>
      <c r="K2295" s="183"/>
      <c r="L2295" s="182"/>
      <c r="M2295" s="182"/>
      <c r="N2295" s="182"/>
      <c r="O2295" s="183"/>
      <c r="P2295" s="183"/>
      <c r="Q2295" s="183"/>
      <c r="R2295" s="183"/>
      <c r="S2295" s="183"/>
      <c r="T2295" s="183"/>
      <c r="U2295" s="183"/>
      <c r="V2295" s="183"/>
      <c r="W2295" s="183"/>
      <c r="X2295" s="183"/>
      <c r="Y2295" s="184"/>
      <c r="Z2295" s="185"/>
      <c r="AA2295" s="185"/>
      <c r="AB2295" s="185"/>
      <c r="AC2295" s="185"/>
      <c r="AD2295" s="649"/>
      <c r="AE2295" s="182"/>
      <c r="AF2295" s="332"/>
      <c r="AG2295" s="182"/>
      <c r="AH2295" s="182"/>
      <c r="AI2295" s="182"/>
      <c r="AJ2295" s="640"/>
      <c r="AK2295" s="182"/>
      <c r="AL2295" s="496">
        <f t="shared" si="760"/>
        <v>0</v>
      </c>
      <c r="AM2295" s="496">
        <f t="shared" si="758"/>
        <v>0</v>
      </c>
      <c r="AN2295" s="626"/>
      <c r="AO2295" s="182"/>
      <c r="AP2295" s="182"/>
      <c r="AQ2295" s="332" t="str">
        <f>UPPER(RIGHT(Journal_Live[[#This Row],[DURATION ]]))</f>
        <v/>
      </c>
      <c r="AR2295" s="182"/>
      <c r="AS2295" s="189"/>
      <c r="AT2295" s="189"/>
      <c r="AU2295" s="187"/>
      <c r="AV2295" s="190"/>
      <c r="AW2295" s="191"/>
      <c r="AX2295" s="549" t="s">
        <v>7280</v>
      </c>
      <c r="AY2295" s="549" t="s">
        <v>7069</v>
      </c>
      <c r="AZ2295" s="549"/>
      <c r="BA2295" s="549"/>
      <c r="BB2295" s="549"/>
      <c r="BC2295" s="549"/>
      <c r="BD2295" s="549"/>
      <c r="BE2295" s="550"/>
      <c r="BF2295" s="549"/>
      <c r="BG2295" s="391">
        <f>SUM($AV$1389:AV2295)</f>
        <v>6686.2108375297139</v>
      </c>
      <c r="BH2295" s="392">
        <f>SUM($AU$1389:AU2295)</f>
        <v>42556.423836163201</v>
      </c>
      <c r="BI2295" s="318">
        <f>SUMIFS($AU$1388:AU2322,$Q$1388:Q2322,"F")</f>
        <v>29347.078121878127</v>
      </c>
      <c r="BJ2295" s="318">
        <f>SUMIFS($AU$1388:AU2322,$Q$1388:Q2322,"S")</f>
        <v>16866.285714285717</v>
      </c>
      <c r="BK2295" s="343">
        <f>SUMIFS($AU$1388:AU2322,$P$1388:P2322,"W")</f>
        <v>15912.143836163443</v>
      </c>
      <c r="BL2295" s="343">
        <f>SUMIFS($AU$1388:AU2322,$P$1388:P2322,"R")</f>
        <v>22728.400000000325</v>
      </c>
      <c r="BM2295" s="343">
        <f>SUMIFS($AU$1388:AU2322,$AQ$1388:AQ2322,"M")</f>
        <v>8715.1799999984214</v>
      </c>
      <c r="BN2295" s="343">
        <f>SUMIFS($AU$1388:AU2322,$AQ$1388:AQ2322,"H")</f>
        <v>11643.200000000877</v>
      </c>
      <c r="BO2295" s="343">
        <f>SUMIFS($AU$1388:AU2322,$AQ$1388:AQ2322,"D")</f>
        <v>12162.377472527358</v>
      </c>
      <c r="BP2295" s="343">
        <f>SUMIFS($AS$1388:AS2708,$AO$1388:AO2708,"W")</f>
        <v>0</v>
      </c>
      <c r="BQ2295" s="343">
        <f>SUMIFS($AU$1388:AU2322,$Q$1388:Q2322,"O")</f>
        <v>-9500.9400000005699</v>
      </c>
      <c r="BR2295" s="343">
        <f>SUMIFS($AU$1388:AU2322,$AA$1388:AA2322,"*")</f>
        <v>38441.522077921436</v>
      </c>
      <c r="BS2295" s="343">
        <f>SUMIFS($AU$1388:AU2322,$AB$1388:AB2322,"*")</f>
        <v>7475.8599999999715</v>
      </c>
      <c r="BT2295" s="343">
        <f>SUMIFS($AU$1388:AU2322,$AC$1388:AC2322,"*")</f>
        <v>31683.078121878119</v>
      </c>
      <c r="BU2295" s="343">
        <f>SUMIFS($AU$1388:AU2322,$AA$1388:AA2322,"*",$AB$1388:AB2322,"*")</f>
        <v>7915.9999999997544</v>
      </c>
      <c r="BV2295" s="343">
        <f>SUMIFS($AU$1388:AU2322,$AA$1388:AA2322,"*",$AC$1388:AC2322,"*")</f>
        <v>29808.036363636529</v>
      </c>
      <c r="BW2295" s="343">
        <f>SUMIFS($AU$1388:AU2322,$AB$1388:AB2322,"*",$AC$1388:AC2322,"*")</f>
        <v>3863.9999999999991</v>
      </c>
      <c r="BX2295" s="343">
        <f>SUMIFS($AV$1388:AV2322,$Q$1388:Q2322,"F")</f>
        <v>399.04019562430165</v>
      </c>
      <c r="BY2295" s="343">
        <f>SUMIFS($AV$1388:AV2322,$Q$1388:Q2322,"S")</f>
        <v>689.94467523906087</v>
      </c>
      <c r="BZ2295" s="343">
        <f>SUMIFS($AV$1388:AV2322,$Q$1388:Q2322,"O")</f>
        <v>346.55929999968373</v>
      </c>
    </row>
    <row r="2296" spans="1:78" ht="15.75" customHeight="1">
      <c r="A2296" s="177" t="s">
        <v>7249</v>
      </c>
      <c r="B2296" s="200">
        <v>45475</v>
      </c>
      <c r="C2296" s="178" t="s">
        <v>7278</v>
      </c>
      <c r="D2296" s="178" t="s">
        <v>132</v>
      </c>
      <c r="E2296" s="227"/>
      <c r="F2296" s="180"/>
      <c r="G2296" s="553" t="s">
        <v>4147</v>
      </c>
      <c r="H2296" s="182"/>
      <c r="I2296" s="182"/>
      <c r="J2296" s="182"/>
      <c r="K2296" s="183"/>
      <c r="L2296" s="182"/>
      <c r="M2296" s="182">
        <v>1</v>
      </c>
      <c r="N2296" s="182"/>
      <c r="O2296" s="183" t="s">
        <v>95</v>
      </c>
      <c r="P2296" s="183" t="s">
        <v>96</v>
      </c>
      <c r="Q2296" s="183" t="s">
        <v>97</v>
      </c>
      <c r="R2296" s="183">
        <v>55</v>
      </c>
      <c r="S2296" s="183">
        <v>0</v>
      </c>
      <c r="T2296" s="183">
        <v>75</v>
      </c>
      <c r="U2296" s="183" t="s">
        <v>22</v>
      </c>
      <c r="V2296" s="183"/>
      <c r="W2296" s="183"/>
      <c r="X2296" s="183"/>
      <c r="Y2296" s="184">
        <f>IF(ISBLANK(O2296),"",(IF(O2296=UPPER("IB"),0.005,0.01)))</f>
        <v>0.01</v>
      </c>
      <c r="Z2296" s="185">
        <f>IF(ISBLANK(O2296),"",IF(O2296="IB",8.63*200,IF(O2296="IR",16*100,IF(O2296="YT",20*100,IF(O2296="YT-XT",24*200,IF(O2296="TED",80*100,IF(O2296="IR|YT",300*100)))))))</f>
        <v>1600</v>
      </c>
      <c r="AA2296" s="185"/>
      <c r="AB2296" s="185"/>
      <c r="AC2296" s="185" t="s">
        <v>7281</v>
      </c>
      <c r="AD2296" s="649">
        <v>-0.09</v>
      </c>
      <c r="AE2296" s="182"/>
      <c r="AF2296" s="332"/>
      <c r="AG2296" s="182"/>
      <c r="AH2296" s="182"/>
      <c r="AI2296" s="182"/>
      <c r="AJ2296" s="640"/>
      <c r="AK2296" s="182"/>
      <c r="AL2296" s="496">
        <f t="shared" si="760"/>
        <v>-32</v>
      </c>
      <c r="AM2296" s="496">
        <f t="shared" si="758"/>
        <v>-1760</v>
      </c>
      <c r="AN2296" s="626"/>
      <c r="AO2296" s="182"/>
      <c r="AP2296" s="182"/>
      <c r="AQ2296" s="332" t="s">
        <v>115</v>
      </c>
      <c r="AR2296" s="298">
        <v>45481</v>
      </c>
      <c r="AS2296" s="189">
        <v>-0.09</v>
      </c>
      <c r="AT2296" s="189">
        <f>IF(ISBLANK(AS2296),,IF(U2296="S",AD2296-AS2296,AS2296-AD2296))</f>
        <v>0</v>
      </c>
      <c r="AU2296" s="187">
        <f>AV2296*R2296</f>
        <v>0</v>
      </c>
      <c r="AV2296" s="190">
        <f t="shared" si="761"/>
        <v>0</v>
      </c>
      <c r="AW2296" s="191" t="s">
        <v>115</v>
      </c>
      <c r="AX2296" s="549" t="s">
        <v>7282</v>
      </c>
      <c r="AY2296" s="549" t="s">
        <v>7283</v>
      </c>
      <c r="AZ2296" s="549" t="s">
        <v>7284</v>
      </c>
      <c r="BA2296" s="549"/>
      <c r="BB2296" s="549"/>
      <c r="BC2296" s="549"/>
      <c r="BD2296" s="549"/>
      <c r="BE2296" s="550"/>
      <c r="BF2296" s="549"/>
      <c r="BG2296" s="391">
        <f>SUM($AV$1389:AV2296)</f>
        <v>6686.2108375297139</v>
      </c>
      <c r="BH2296" s="392">
        <f>SUM($AU$1389:AU2296)</f>
        <v>42556.423836163201</v>
      </c>
      <c r="BI2296" s="318">
        <f>SUMIFS($AU$1388:AU2297,$Q$1388:Q2297,"F")</f>
        <v>29235.078121878127</v>
      </c>
      <c r="BJ2296" s="318">
        <f>SUMIFS($AU$1388:AU2297,$Q$1388:Q2297,"S")</f>
        <v>17938.285714285706</v>
      </c>
      <c r="BK2296" s="343">
        <f>SUMIFS($AU$1388:AU2297,$P$1388:P2297,"W")</f>
        <v>17144.143836163403</v>
      </c>
      <c r="BL2296" s="343">
        <f>SUMIFS($AU$1388:AU2297,$P$1388:P2297,"R")</f>
        <v>22616.400000000325</v>
      </c>
      <c r="BM2296" s="343">
        <f>SUMIFS($AU$1388:AU2297,$AQ$1388:AQ2297,"M")</f>
        <v>8875.1799999983887</v>
      </c>
      <c r="BN2296" s="343">
        <f>SUMIFS($AU$1388:AU2297,$AQ$1388:AQ2297,"H")</f>
        <v>11643.200000000877</v>
      </c>
      <c r="BO2296" s="343">
        <f>SUMIFS($AU$1388:AU2297,$AQ$1388:AQ2297,"D")</f>
        <v>13122.377472527351</v>
      </c>
      <c r="BP2296" s="343">
        <f>SUMIFS($AS$1388:AS2694,$AO$1388:AO2694,"W")</f>
        <v>0</v>
      </c>
      <c r="BQ2296" s="343">
        <f>SUMIFS($AU$1388:AU2297,$Q$1388:Q2297,"O")</f>
        <v>-9340.9400000006026</v>
      </c>
      <c r="BR2296" s="343">
        <f>SUMIFS($AU$1388:AU2297,$AA$1388:AA2297,"*")</f>
        <v>37881.5220779214</v>
      </c>
      <c r="BS2296" s="343">
        <f>SUMIFS($AU$1388:AU2297,$AB$1388:AB2297,"*")</f>
        <v>7475.8599999999715</v>
      </c>
      <c r="BT2296" s="343">
        <f>SUMIFS($AU$1388:AU2297,$AC$1388:AC2297,"*")</f>
        <v>33251.078121878119</v>
      </c>
      <c r="BU2296" s="343">
        <f>SUMIFS($AU$1388:AU2297,$AA$1388:AA2297,"*",$AB$1388:AB2297,"*")</f>
        <v>7915.9999999997544</v>
      </c>
      <c r="BV2296" s="343">
        <f>SUMIFS($AU$1388:AU2297,$AA$1388:AA2297,"*",$AC$1388:AC2297,"*")</f>
        <v>29696.036363636529</v>
      </c>
      <c r="BW2296" s="343">
        <f>SUMIFS($AU$1388:AU2297,$AB$1388:AB2297,"*",$AC$1388:AC2297,"*")</f>
        <v>3863.9999999999991</v>
      </c>
      <c r="BX2296" s="343">
        <f>SUMIFS($AV$1388:AV2297,$Q$1388:Q2297,"F")</f>
        <v>383.04019562430165</v>
      </c>
      <c r="BY2296" s="343">
        <f>SUMIFS($AV$1388:AV2297,$Q$1388:Q2297,"S")</f>
        <v>676.61134190572739</v>
      </c>
      <c r="BZ2296" s="343">
        <f>SUMIFS($AV$1388:AV2297,$Q$1388:Q2297,"O")</f>
        <v>378.55929999967736</v>
      </c>
    </row>
    <row r="2297" spans="1:78" ht="15.75" customHeight="1">
      <c r="A2297" s="177" t="s">
        <v>7249</v>
      </c>
      <c r="B2297" s="200"/>
      <c r="C2297" s="178"/>
      <c r="D2297" s="178"/>
      <c r="E2297" s="227"/>
      <c r="F2297" s="180"/>
      <c r="G2297" s="181"/>
      <c r="H2297" s="182"/>
      <c r="I2297" s="182"/>
      <c r="J2297" s="182"/>
      <c r="K2297" s="183"/>
      <c r="L2297" s="182"/>
      <c r="M2297" s="182"/>
      <c r="N2297" s="182"/>
      <c r="O2297" s="183"/>
      <c r="P2297" s="183"/>
      <c r="Q2297" s="183"/>
      <c r="R2297" s="183"/>
      <c r="S2297" s="183"/>
      <c r="T2297" s="183"/>
      <c r="U2297" s="183"/>
      <c r="V2297" s="183"/>
      <c r="W2297" s="183"/>
      <c r="X2297" s="183"/>
      <c r="Y2297" s="184"/>
      <c r="Z2297" s="185"/>
      <c r="AA2297" s="185"/>
      <c r="AB2297" s="185"/>
      <c r="AC2297" s="185"/>
      <c r="AD2297" s="649"/>
      <c r="AE2297" s="182"/>
      <c r="AF2297" s="332"/>
      <c r="AG2297" s="182"/>
      <c r="AH2297" s="182"/>
      <c r="AI2297" s="182"/>
      <c r="AJ2297" s="640"/>
      <c r="AK2297" s="182"/>
      <c r="AL2297" s="496">
        <f t="shared" si="760"/>
        <v>0</v>
      </c>
      <c r="AM2297" s="496">
        <f t="shared" si="758"/>
        <v>0</v>
      </c>
      <c r="AN2297" s="626"/>
      <c r="AO2297" s="182"/>
      <c r="AP2297" s="182"/>
      <c r="AQ2297" s="332" t="str">
        <f>UPPER(RIGHT(Journal_Live[[#This Row],[DURATION ]]))</f>
        <v/>
      </c>
      <c r="AR2297" s="182"/>
      <c r="AS2297" s="189"/>
      <c r="AT2297" s="189"/>
      <c r="AU2297" s="187"/>
      <c r="AV2297" s="190"/>
      <c r="AW2297" s="191"/>
      <c r="AX2297" s="549"/>
      <c r="AY2297" s="549"/>
      <c r="AZ2297" s="549"/>
      <c r="BA2297" s="549"/>
      <c r="BB2297" s="549"/>
      <c r="BC2297" s="549"/>
      <c r="BD2297" s="549"/>
      <c r="BE2297" s="550"/>
      <c r="BF2297" s="549"/>
      <c r="BG2297" s="391">
        <f>SUM($AV$1389:AV2297)</f>
        <v>6686.2108375297139</v>
      </c>
      <c r="BH2297" s="392">
        <f>SUM($AU$1389:AU2297)</f>
        <v>42556.423836163201</v>
      </c>
      <c r="BI2297" s="318">
        <f>SUMIFS($AU$1388:AU2298,$Q$1388:Q2298,"F")</f>
        <v>29235.078121878127</v>
      </c>
      <c r="BJ2297" s="318">
        <f>SUMIFS($AU$1388:AU2298,$Q$1388:Q2298,"S")</f>
        <v>17938.285714285706</v>
      </c>
      <c r="BK2297" s="343">
        <f>SUMIFS($AU$1388:AU2298,$P$1388:P2298,"W")</f>
        <v>17144.143836163403</v>
      </c>
      <c r="BL2297" s="343">
        <f>SUMIFS($AU$1388:AU2298,$P$1388:P2298,"R")</f>
        <v>22616.400000000325</v>
      </c>
      <c r="BM2297" s="343">
        <f>SUMIFS($AU$1388:AU2298,$AQ$1388:AQ2298,"M")</f>
        <v>8875.1799999983887</v>
      </c>
      <c r="BN2297" s="343">
        <f>SUMIFS($AU$1388:AU2298,$AQ$1388:AQ2298,"H")</f>
        <v>11643.200000000877</v>
      </c>
      <c r="BO2297" s="343">
        <f>SUMIFS($AU$1388:AU2298,$AQ$1388:AQ2298,"D")</f>
        <v>13122.377472527351</v>
      </c>
      <c r="BP2297" s="343">
        <f>SUMIFS($AS$1388:AS2695,$AO$1388:AO2695,"W")</f>
        <v>0</v>
      </c>
      <c r="BQ2297" s="343">
        <f>SUMIFS($AU$1388:AU2298,$Q$1388:Q2298,"O")</f>
        <v>-9340.9400000006026</v>
      </c>
      <c r="BR2297" s="343">
        <f>SUMIFS($AU$1388:AU2298,$AA$1388:AA2298,"*")</f>
        <v>37881.5220779214</v>
      </c>
      <c r="BS2297" s="343">
        <f>SUMIFS($AU$1388:AU2298,$AB$1388:AB2298,"*")</f>
        <v>7475.8599999999715</v>
      </c>
      <c r="BT2297" s="343">
        <f>SUMIFS($AU$1388:AU2298,$AC$1388:AC2298,"*")</f>
        <v>33251.078121878119</v>
      </c>
      <c r="BU2297" s="343">
        <f>SUMIFS($AU$1388:AU2298,$AA$1388:AA2298,"*",$AB$1388:AB2298,"*")</f>
        <v>7915.9999999997544</v>
      </c>
      <c r="BV2297" s="343">
        <f>SUMIFS($AU$1388:AU2298,$AA$1388:AA2298,"*",$AC$1388:AC2298,"*")</f>
        <v>29696.036363636529</v>
      </c>
      <c r="BW2297" s="343">
        <f>SUMIFS($AU$1388:AU2298,$AB$1388:AB2298,"*",$AC$1388:AC2298,"*")</f>
        <v>3863.9999999999991</v>
      </c>
      <c r="BX2297" s="343">
        <f>SUMIFS($AV$1388:AV2298,$Q$1388:Q2298,"F")</f>
        <v>383.04019562430165</v>
      </c>
      <c r="BY2297" s="343">
        <f>SUMIFS($AV$1388:AV2298,$Q$1388:Q2298,"S")</f>
        <v>676.61134190572739</v>
      </c>
      <c r="BZ2297" s="343">
        <f>SUMIFS($AV$1388:AV2298,$Q$1388:Q2298,"O")</f>
        <v>378.55929999967736</v>
      </c>
    </row>
    <row r="2298" spans="1:78" ht="15.75" customHeight="1">
      <c r="A2298" s="177" t="s">
        <v>7249</v>
      </c>
      <c r="B2298" s="200"/>
      <c r="C2298" s="178"/>
      <c r="D2298" s="178"/>
      <c r="E2298" s="227"/>
      <c r="F2298" s="180"/>
      <c r="G2298" s="181"/>
      <c r="H2298" s="182"/>
      <c r="I2298" s="182"/>
      <c r="J2298" s="182"/>
      <c r="K2298" s="183"/>
      <c r="L2298" s="182"/>
      <c r="M2298" s="182"/>
      <c r="N2298" s="182"/>
      <c r="O2298" s="183"/>
      <c r="P2298" s="183"/>
      <c r="Q2298" s="183"/>
      <c r="R2298" s="183"/>
      <c r="S2298" s="183"/>
      <c r="T2298" s="183"/>
      <c r="U2298" s="183"/>
      <c r="V2298" s="183"/>
      <c r="W2298" s="183"/>
      <c r="X2298" s="183"/>
      <c r="Y2298" s="184"/>
      <c r="Z2298" s="185"/>
      <c r="AA2298" s="185"/>
      <c r="AB2298" s="185"/>
      <c r="AC2298" s="185"/>
      <c r="AD2298" s="649"/>
      <c r="AE2298" s="182"/>
      <c r="AF2298" s="332"/>
      <c r="AG2298" s="182"/>
      <c r="AH2298" s="182"/>
      <c r="AI2298" s="182"/>
      <c r="AJ2298" s="640"/>
      <c r="AK2298" s="182"/>
      <c r="AL2298" s="496">
        <f t="shared" si="760"/>
        <v>0</v>
      </c>
      <c r="AM2298" s="496">
        <f t="shared" si="758"/>
        <v>0</v>
      </c>
      <c r="AN2298" s="626"/>
      <c r="AO2298" s="182"/>
      <c r="AP2298" s="182"/>
      <c r="AQ2298" s="332" t="str">
        <f>UPPER(RIGHT(Journal_Live[[#This Row],[DURATION ]]))</f>
        <v/>
      </c>
      <c r="AR2298" s="182"/>
      <c r="AS2298" s="189"/>
      <c r="AT2298" s="189"/>
      <c r="AU2298" s="187"/>
      <c r="AV2298" s="190"/>
      <c r="AW2298" s="191"/>
      <c r="AX2298" s="549" t="s">
        <v>7285</v>
      </c>
      <c r="AY2298" s="549" t="s">
        <v>7286</v>
      </c>
      <c r="AZ2298" s="549" t="s">
        <v>7287</v>
      </c>
      <c r="BA2298" s="549"/>
      <c r="BB2298" s="549"/>
      <c r="BC2298" s="549"/>
      <c r="BD2298" s="549"/>
      <c r="BE2298" s="550"/>
      <c r="BF2298" s="549"/>
      <c r="BG2298" s="391">
        <f>SUM($AV$1389:AV2298)</f>
        <v>6686.2108375297139</v>
      </c>
      <c r="BH2298" s="392">
        <f>SUM($AU$1389:AU2298)</f>
        <v>42556.423836163201</v>
      </c>
      <c r="BI2298" s="318">
        <f>SUMIFS($AU$1388:AU2299,$Q$1388:Q2299,"F")</f>
        <v>29235.078121878127</v>
      </c>
      <c r="BJ2298" s="318">
        <f>SUMIFS($AU$1388:AU2299,$Q$1388:Q2299,"S")</f>
        <v>17938.285714285706</v>
      </c>
      <c r="BK2298" s="343">
        <f>SUMIFS($AU$1388:AU2299,$P$1388:P2299,"W")</f>
        <v>17144.143836163403</v>
      </c>
      <c r="BL2298" s="343">
        <f>SUMIFS($AU$1388:AU2299,$P$1388:P2299,"R")</f>
        <v>22616.400000000325</v>
      </c>
      <c r="BM2298" s="343">
        <f>SUMIFS($AU$1388:AU2299,$AQ$1388:AQ2299,"M")</f>
        <v>8875.1799999983887</v>
      </c>
      <c r="BN2298" s="343">
        <f>SUMIFS($AU$1388:AU2299,$AQ$1388:AQ2299,"H")</f>
        <v>11643.200000000877</v>
      </c>
      <c r="BO2298" s="343">
        <f>SUMIFS($AU$1388:AU2299,$AQ$1388:AQ2299,"D")</f>
        <v>13122.377472527351</v>
      </c>
      <c r="BP2298" s="343">
        <f>SUMIFS($AS$1388:AS2696,$AO$1388:AO2696,"W")</f>
        <v>0</v>
      </c>
      <c r="BQ2298" s="343">
        <f>SUMIFS($AU$1388:AU2299,$Q$1388:Q2299,"O")</f>
        <v>-9340.9400000006026</v>
      </c>
      <c r="BR2298" s="343">
        <f>SUMIFS($AU$1388:AU2299,$AA$1388:AA2299,"*")</f>
        <v>37881.5220779214</v>
      </c>
      <c r="BS2298" s="343">
        <f>SUMIFS($AU$1388:AU2299,$AB$1388:AB2299,"*")</f>
        <v>7475.8599999999715</v>
      </c>
      <c r="BT2298" s="343">
        <f>SUMIFS($AU$1388:AU2299,$AC$1388:AC2299,"*")</f>
        <v>33251.078121878119</v>
      </c>
      <c r="BU2298" s="343">
        <f>SUMIFS($AU$1388:AU2299,$AA$1388:AA2299,"*",$AB$1388:AB2299,"*")</f>
        <v>7915.9999999997544</v>
      </c>
      <c r="BV2298" s="343">
        <f>SUMIFS($AU$1388:AU2299,$AA$1388:AA2299,"*",$AC$1388:AC2299,"*")</f>
        <v>29696.036363636529</v>
      </c>
      <c r="BW2298" s="343">
        <f>SUMIFS($AU$1388:AU2299,$AB$1388:AB2299,"*",$AC$1388:AC2299,"*")</f>
        <v>3863.9999999999991</v>
      </c>
      <c r="BX2298" s="343">
        <f>SUMIFS($AV$1388:AV2299,$Q$1388:Q2299,"F")</f>
        <v>383.04019562430165</v>
      </c>
      <c r="BY2298" s="343">
        <f>SUMIFS($AV$1388:AV2299,$Q$1388:Q2299,"S")</f>
        <v>676.61134190572739</v>
      </c>
      <c r="BZ2298" s="343">
        <f>SUMIFS($AV$1388:AV2299,$Q$1388:Q2299,"O")</f>
        <v>378.55929999967736</v>
      </c>
    </row>
    <row r="2299" spans="1:78" ht="15.75" customHeight="1">
      <c r="A2299" s="177" t="s">
        <v>7249</v>
      </c>
      <c r="B2299" s="200"/>
      <c r="C2299" s="178"/>
      <c r="D2299" s="178"/>
      <c r="E2299" s="227"/>
      <c r="F2299" s="180"/>
      <c r="G2299" s="181"/>
      <c r="H2299" s="182"/>
      <c r="I2299" s="182"/>
      <c r="J2299" s="182"/>
      <c r="K2299" s="183"/>
      <c r="L2299" s="182"/>
      <c r="M2299" s="182"/>
      <c r="N2299" s="182"/>
      <c r="O2299" s="183"/>
      <c r="P2299" s="183"/>
      <c r="Q2299" s="183"/>
      <c r="R2299" s="183"/>
      <c r="S2299" s="183"/>
      <c r="T2299" s="183"/>
      <c r="U2299" s="183"/>
      <c r="V2299" s="183"/>
      <c r="W2299" s="183"/>
      <c r="X2299" s="183"/>
      <c r="Y2299" s="184"/>
      <c r="Z2299" s="185"/>
      <c r="AA2299" s="185"/>
      <c r="AB2299" s="185"/>
      <c r="AC2299" s="185"/>
      <c r="AD2299" s="649"/>
      <c r="AE2299" s="182"/>
      <c r="AF2299" s="332"/>
      <c r="AG2299" s="182"/>
      <c r="AH2299" s="182"/>
      <c r="AI2299" s="182"/>
      <c r="AJ2299" s="640"/>
      <c r="AK2299" s="182"/>
      <c r="AL2299" s="496">
        <f t="shared" si="760"/>
        <v>0</v>
      </c>
      <c r="AM2299" s="496">
        <f t="shared" si="758"/>
        <v>0</v>
      </c>
      <c r="AN2299" s="626"/>
      <c r="AO2299" s="182"/>
      <c r="AP2299" s="182"/>
      <c r="AQ2299" s="332" t="str">
        <f>UPPER(RIGHT(Journal_Live[[#This Row],[DURATION ]]))</f>
        <v/>
      </c>
      <c r="AR2299" s="182"/>
      <c r="AS2299" s="189"/>
      <c r="AT2299" s="189"/>
      <c r="AU2299" s="187"/>
      <c r="AV2299" s="190"/>
      <c r="AW2299" s="191"/>
      <c r="AX2299" s="549" t="s">
        <v>7288</v>
      </c>
      <c r="AY2299" s="549"/>
      <c r="AZ2299" s="549"/>
      <c r="BA2299" s="549"/>
      <c r="BB2299" s="549"/>
      <c r="BC2299" s="549"/>
      <c r="BD2299" s="549"/>
      <c r="BE2299" s="550"/>
      <c r="BF2299" s="549"/>
      <c r="BG2299" s="391">
        <f>SUM($AV$1389:AV2299)</f>
        <v>6686.2108375297139</v>
      </c>
      <c r="BH2299" s="392">
        <f>SUM($AU$1389:AU2299)</f>
        <v>42556.423836163201</v>
      </c>
      <c r="BI2299" s="318">
        <f>SUMIFS($AU$1388:AU2300,$Q$1388:Q2300,"F")</f>
        <v>29235.078121878127</v>
      </c>
      <c r="BJ2299" s="318">
        <f>SUMIFS($AU$1388:AU2300,$Q$1388:Q2300,"S")</f>
        <v>17938.285714285706</v>
      </c>
      <c r="BK2299" s="343">
        <f>SUMIFS($AU$1388:AU2300,$P$1388:P2300,"W")</f>
        <v>17144.143836163403</v>
      </c>
      <c r="BL2299" s="343">
        <f>SUMIFS($AU$1388:AU2300,$P$1388:P2300,"R")</f>
        <v>22616.400000000325</v>
      </c>
      <c r="BM2299" s="343">
        <f>SUMIFS($AU$1388:AU2300,$AQ$1388:AQ2300,"M")</f>
        <v>8875.1799999983887</v>
      </c>
      <c r="BN2299" s="343">
        <f>SUMIFS($AU$1388:AU2300,$AQ$1388:AQ2300,"H")</f>
        <v>11643.200000000877</v>
      </c>
      <c r="BO2299" s="343">
        <f>SUMIFS($AU$1388:AU2300,$AQ$1388:AQ2300,"D")</f>
        <v>13122.377472527351</v>
      </c>
      <c r="BP2299" s="343">
        <f>SUMIFS($AS$1388:AS2697,$AO$1388:AO2697,"W")</f>
        <v>0</v>
      </c>
      <c r="BQ2299" s="343">
        <f>SUMIFS($AU$1388:AU2300,$Q$1388:Q2300,"O")</f>
        <v>-9340.9400000006026</v>
      </c>
      <c r="BR2299" s="343">
        <f>SUMIFS($AU$1388:AU2300,$AA$1388:AA2300,"*")</f>
        <v>37881.5220779214</v>
      </c>
      <c r="BS2299" s="343">
        <f>SUMIFS($AU$1388:AU2300,$AB$1388:AB2300,"*")</f>
        <v>7475.8599999999715</v>
      </c>
      <c r="BT2299" s="343">
        <f>SUMIFS($AU$1388:AU2300,$AC$1388:AC2300,"*")</f>
        <v>33251.078121878119</v>
      </c>
      <c r="BU2299" s="343">
        <f>SUMIFS($AU$1388:AU2300,$AA$1388:AA2300,"*",$AB$1388:AB2300,"*")</f>
        <v>7915.9999999997544</v>
      </c>
      <c r="BV2299" s="343">
        <f>SUMIFS($AU$1388:AU2300,$AA$1388:AA2300,"*",$AC$1388:AC2300,"*")</f>
        <v>29696.036363636529</v>
      </c>
      <c r="BW2299" s="343">
        <f>SUMIFS($AU$1388:AU2300,$AB$1388:AB2300,"*",$AC$1388:AC2300,"*")</f>
        <v>3863.9999999999991</v>
      </c>
      <c r="BX2299" s="343">
        <f>SUMIFS($AV$1388:AV2300,$Q$1388:Q2300,"F")</f>
        <v>383.04019562430165</v>
      </c>
      <c r="BY2299" s="343">
        <f>SUMIFS($AV$1388:AV2300,$Q$1388:Q2300,"S")</f>
        <v>676.61134190572739</v>
      </c>
      <c r="BZ2299" s="343">
        <f>SUMIFS($AV$1388:AV2300,$Q$1388:Q2300,"O")</f>
        <v>378.55929999967736</v>
      </c>
    </row>
    <row r="2300" spans="1:78" ht="15.75" customHeight="1">
      <c r="A2300" s="177" t="s">
        <v>7249</v>
      </c>
      <c r="B2300" s="200">
        <v>45476</v>
      </c>
      <c r="C2300" s="178" t="s">
        <v>2081</v>
      </c>
      <c r="D2300" s="178" t="s">
        <v>151</v>
      </c>
      <c r="E2300" s="227" t="s">
        <v>7289</v>
      </c>
      <c r="F2300" s="180"/>
      <c r="G2300" s="181"/>
      <c r="H2300" s="182"/>
      <c r="I2300" s="182"/>
      <c r="J2300" s="182"/>
      <c r="K2300" s="183"/>
      <c r="L2300" s="182"/>
      <c r="M2300" s="182"/>
      <c r="N2300" s="182"/>
      <c r="O2300" s="183"/>
      <c r="P2300" s="183"/>
      <c r="Q2300" s="183"/>
      <c r="R2300" s="183"/>
      <c r="S2300" s="183"/>
      <c r="T2300" s="183"/>
      <c r="U2300" s="183"/>
      <c r="V2300" s="183"/>
      <c r="W2300" s="183"/>
      <c r="X2300" s="183"/>
      <c r="Y2300" s="184"/>
      <c r="Z2300" s="185"/>
      <c r="AA2300" s="185"/>
      <c r="AB2300" s="185"/>
      <c r="AC2300" s="185"/>
      <c r="AD2300" s="649"/>
      <c r="AE2300" s="182"/>
      <c r="AF2300" s="332"/>
      <c r="AG2300" s="182"/>
      <c r="AH2300" s="182"/>
      <c r="AI2300" s="182"/>
      <c r="AJ2300" s="640"/>
      <c r="AK2300" s="182"/>
      <c r="AL2300" s="496">
        <f t="shared" si="760"/>
        <v>0</v>
      </c>
      <c r="AM2300" s="496">
        <f t="shared" si="758"/>
        <v>0</v>
      </c>
      <c r="AN2300" s="626"/>
      <c r="AO2300" s="182"/>
      <c r="AP2300" s="182"/>
      <c r="AQ2300" s="332" t="str">
        <f>UPPER(RIGHT(Journal_Live[[#This Row],[DURATION ]]))</f>
        <v/>
      </c>
      <c r="AR2300" s="182"/>
      <c r="AS2300" s="189"/>
      <c r="AT2300" s="189"/>
      <c r="AU2300" s="187"/>
      <c r="AV2300" s="190"/>
      <c r="AW2300" s="191"/>
      <c r="AX2300" s="549"/>
      <c r="AY2300" s="549"/>
      <c r="AZ2300" s="549"/>
      <c r="BA2300" s="549"/>
      <c r="BB2300" s="549"/>
      <c r="BC2300" s="549"/>
      <c r="BD2300" s="549"/>
      <c r="BE2300" s="550"/>
      <c r="BF2300" s="549"/>
      <c r="BG2300" s="391">
        <f>SUM($AV$1389:AV2300)</f>
        <v>6686.2108375297139</v>
      </c>
      <c r="BH2300" s="392">
        <f>SUM($AU$1389:AU2300)</f>
        <v>42556.423836163201</v>
      </c>
      <c r="BI2300" s="318">
        <f>SUMIFS($AU$1388:AU2301,$Q$1388:Q2301,"F")</f>
        <v>29235.078121878127</v>
      </c>
      <c r="BJ2300" s="318">
        <f>SUMIFS($AU$1388:AU2301,$Q$1388:Q2301,"S")</f>
        <v>17938.285714285706</v>
      </c>
      <c r="BK2300" s="343">
        <f>SUMIFS($AU$1388:AU2301,$P$1388:P2301,"W")</f>
        <v>17144.143836163403</v>
      </c>
      <c r="BL2300" s="343">
        <f>SUMIFS($AU$1388:AU2301,$P$1388:P2301,"R")</f>
        <v>22616.400000000325</v>
      </c>
      <c r="BM2300" s="343">
        <f>SUMIFS($AU$1388:AU2301,$AQ$1388:AQ2301,"M")</f>
        <v>8875.1799999983887</v>
      </c>
      <c r="BN2300" s="343">
        <f>SUMIFS($AU$1388:AU2301,$AQ$1388:AQ2301,"H")</f>
        <v>11643.200000000877</v>
      </c>
      <c r="BO2300" s="343">
        <f>SUMIFS($AU$1388:AU2301,$AQ$1388:AQ2301,"D")</f>
        <v>13122.377472527351</v>
      </c>
      <c r="BP2300" s="343">
        <f>SUMIFS($AS$1388:AS2698,$AO$1388:AO2698,"W")</f>
        <v>0</v>
      </c>
      <c r="BQ2300" s="343">
        <f>SUMIFS($AU$1388:AU2301,$Q$1388:Q2301,"O")</f>
        <v>-9340.9400000006026</v>
      </c>
      <c r="BR2300" s="343">
        <f>SUMIFS($AU$1388:AU2301,$AA$1388:AA2301,"*")</f>
        <v>37881.5220779214</v>
      </c>
      <c r="BS2300" s="343">
        <f>SUMIFS($AU$1388:AU2301,$AB$1388:AB2301,"*")</f>
        <v>7475.8599999999715</v>
      </c>
      <c r="BT2300" s="343">
        <f>SUMIFS($AU$1388:AU2301,$AC$1388:AC2301,"*")</f>
        <v>33251.078121878119</v>
      </c>
      <c r="BU2300" s="343">
        <f>SUMIFS($AU$1388:AU2301,$AA$1388:AA2301,"*",$AB$1388:AB2301,"*")</f>
        <v>7915.9999999997544</v>
      </c>
      <c r="BV2300" s="343">
        <f>SUMIFS($AU$1388:AU2301,$AA$1388:AA2301,"*",$AC$1388:AC2301,"*")</f>
        <v>29696.036363636529</v>
      </c>
      <c r="BW2300" s="343">
        <f>SUMIFS($AU$1388:AU2301,$AB$1388:AB2301,"*",$AC$1388:AC2301,"*")</f>
        <v>3863.9999999999991</v>
      </c>
      <c r="BX2300" s="343">
        <f>SUMIFS($AV$1388:AV2301,$Q$1388:Q2301,"F")</f>
        <v>383.04019562430165</v>
      </c>
      <c r="BY2300" s="343">
        <f>SUMIFS($AV$1388:AV2301,$Q$1388:Q2301,"S")</f>
        <v>676.61134190572739</v>
      </c>
      <c r="BZ2300" s="343">
        <f>SUMIFS($AV$1388:AV2301,$Q$1388:Q2301,"O")</f>
        <v>378.55929999967736</v>
      </c>
    </row>
    <row r="2301" spans="1:78" ht="15.75" customHeight="1">
      <c r="A2301" s="177" t="s">
        <v>7249</v>
      </c>
      <c r="B2301" s="200">
        <v>45476</v>
      </c>
      <c r="C2301" s="178" t="s">
        <v>682</v>
      </c>
      <c r="D2301" s="178" t="s">
        <v>151</v>
      </c>
      <c r="E2301" s="227"/>
      <c r="F2301" s="180"/>
      <c r="G2301" s="553" t="s">
        <v>3766</v>
      </c>
      <c r="H2301" s="182"/>
      <c r="I2301" s="182"/>
      <c r="J2301" s="182"/>
      <c r="K2301" s="183"/>
      <c r="L2301" s="182"/>
      <c r="M2301" s="182">
        <v>1</v>
      </c>
      <c r="N2301" s="182"/>
      <c r="O2301" s="183" t="s">
        <v>95</v>
      </c>
      <c r="P2301" s="183" t="s">
        <v>96</v>
      </c>
      <c r="Q2301" s="183" t="s">
        <v>256</v>
      </c>
      <c r="R2301" s="183">
        <v>4</v>
      </c>
      <c r="S2301" s="183">
        <v>0</v>
      </c>
      <c r="T2301" s="183">
        <v>4</v>
      </c>
      <c r="U2301" s="183" t="s">
        <v>97</v>
      </c>
      <c r="V2301" s="183"/>
      <c r="W2301" s="183"/>
      <c r="X2301" s="183"/>
      <c r="Y2301" s="184">
        <f>IF(ISBLANK(O2301),"",(IF(O2301=UPPER("IB"),0.005,0.01)))</f>
        <v>0.01</v>
      </c>
      <c r="Z2301" s="185">
        <f>IF(ISBLANK(O2301),"",IF(O2301="IB",8.63*200,IF(O2301="IR",16*100,IF(O2301="YT",20*100,IF(O2301="YT-XT",24*200,IF(O2301="TED",80*100,IF(O2301="IR|YT",300*100)))))))</f>
        <v>1600</v>
      </c>
      <c r="AA2301" s="185" t="s">
        <v>7290</v>
      </c>
      <c r="AB2301" s="185"/>
      <c r="AC2301" s="185"/>
      <c r="AD2301" s="649">
        <v>0.03</v>
      </c>
      <c r="AE2301" s="182"/>
      <c r="AF2301" s="332"/>
      <c r="AG2301" s="182"/>
      <c r="AH2301" s="182"/>
      <c r="AI2301" s="182"/>
      <c r="AJ2301" s="640"/>
      <c r="AK2301" s="182"/>
      <c r="AL2301" s="496">
        <f t="shared" si="760"/>
        <v>-32</v>
      </c>
      <c r="AM2301" s="496">
        <f t="shared" si="758"/>
        <v>-128</v>
      </c>
      <c r="AN2301" s="626"/>
      <c r="AO2301" s="182"/>
      <c r="AP2301" s="182" t="s">
        <v>1897</v>
      </c>
      <c r="AQ2301" s="332" t="s">
        <v>372</v>
      </c>
      <c r="AR2301" s="182"/>
      <c r="AS2301" s="189">
        <v>0.03</v>
      </c>
      <c r="AT2301" s="189">
        <f>IF(ISBLANK(AS2301),,IF(U2301="S",AD2301-AS2301,AS2301-AD2301))</f>
        <v>0</v>
      </c>
      <c r="AU2301" s="187">
        <f>AV2301*R2301</f>
        <v>0</v>
      </c>
      <c r="AV2301" s="190">
        <f t="shared" si="761"/>
        <v>0</v>
      </c>
      <c r="AW2301" s="191" t="s">
        <v>115</v>
      </c>
      <c r="AX2301" s="549"/>
      <c r="AY2301" s="549"/>
      <c r="AZ2301" s="549"/>
      <c r="BA2301" s="549"/>
      <c r="BB2301" s="549"/>
      <c r="BC2301" s="549"/>
      <c r="BD2301" s="549"/>
      <c r="BE2301" s="550"/>
      <c r="BF2301" s="549"/>
      <c r="BG2301" s="391">
        <f>SUM($AV$1389:AV2301)</f>
        <v>6686.2108375297139</v>
      </c>
      <c r="BH2301" s="392">
        <f>SUM($AU$1389:AU2301)</f>
        <v>42556.423836163201</v>
      </c>
      <c r="BI2301" s="318">
        <f>SUMIFS($AU$1388:AU2302,$Q$1388:Q2302,"F")</f>
        <v>29235.078121878127</v>
      </c>
      <c r="BJ2301" s="318">
        <f>SUMIFS($AU$1388:AU2302,$Q$1388:Q2302,"S")</f>
        <v>17938.285714285706</v>
      </c>
      <c r="BK2301" s="343">
        <f>SUMIFS($AU$1388:AU2302,$P$1388:P2302,"W")</f>
        <v>17144.143836163403</v>
      </c>
      <c r="BL2301" s="343">
        <f>SUMIFS($AU$1388:AU2302,$P$1388:P2302,"R")</f>
        <v>22616.400000000325</v>
      </c>
      <c r="BM2301" s="343">
        <f>SUMIFS($AU$1388:AU2302,$AQ$1388:AQ2302,"M")</f>
        <v>8875.1799999983887</v>
      </c>
      <c r="BN2301" s="343">
        <f>SUMIFS($AU$1388:AU2302,$AQ$1388:AQ2302,"H")</f>
        <v>11643.200000000877</v>
      </c>
      <c r="BO2301" s="343">
        <f>SUMIFS($AU$1388:AU2302,$AQ$1388:AQ2302,"D")</f>
        <v>13122.377472527351</v>
      </c>
      <c r="BP2301" s="343">
        <f>SUMIFS($AS$1388:AS2699,$AO$1388:AO2699,"W")</f>
        <v>0</v>
      </c>
      <c r="BQ2301" s="343">
        <f>SUMIFS($AU$1388:AU2302,$Q$1388:Q2302,"O")</f>
        <v>-9340.9400000006026</v>
      </c>
      <c r="BR2301" s="343">
        <f>SUMIFS($AU$1388:AU2302,$AA$1388:AA2302,"*")</f>
        <v>37881.5220779214</v>
      </c>
      <c r="BS2301" s="343">
        <f>SUMIFS($AU$1388:AU2302,$AB$1388:AB2302,"*")</f>
        <v>7475.8599999999715</v>
      </c>
      <c r="BT2301" s="343">
        <f>SUMIFS($AU$1388:AU2302,$AC$1388:AC2302,"*")</f>
        <v>33251.078121878119</v>
      </c>
      <c r="BU2301" s="343">
        <f>SUMIFS($AU$1388:AU2302,$AA$1388:AA2302,"*",$AB$1388:AB2302,"*")</f>
        <v>7915.9999999997544</v>
      </c>
      <c r="BV2301" s="343">
        <f>SUMIFS($AU$1388:AU2302,$AA$1388:AA2302,"*",$AC$1388:AC2302,"*")</f>
        <v>29696.036363636529</v>
      </c>
      <c r="BW2301" s="343">
        <f>SUMIFS($AU$1388:AU2302,$AB$1388:AB2302,"*",$AC$1388:AC2302,"*")</f>
        <v>3863.9999999999991</v>
      </c>
      <c r="BX2301" s="343">
        <f>SUMIFS($AV$1388:AV2302,$Q$1388:Q2302,"F")</f>
        <v>383.04019562430165</v>
      </c>
      <c r="BY2301" s="343">
        <f>SUMIFS($AV$1388:AV2302,$Q$1388:Q2302,"S")</f>
        <v>676.61134190572739</v>
      </c>
      <c r="BZ2301" s="343">
        <f>SUMIFS($AV$1388:AV2302,$Q$1388:Q2302,"O")</f>
        <v>378.55929999967736</v>
      </c>
    </row>
    <row r="2302" spans="1:78" ht="15.75" customHeight="1">
      <c r="A2302" s="177" t="s">
        <v>7249</v>
      </c>
      <c r="B2302" s="200">
        <v>45476</v>
      </c>
      <c r="C2302" s="178" t="s">
        <v>682</v>
      </c>
      <c r="D2302" s="178" t="s">
        <v>151</v>
      </c>
      <c r="E2302" s="227"/>
      <c r="F2302" s="180"/>
      <c r="G2302" s="181" t="s">
        <v>6998</v>
      </c>
      <c r="H2302" s="182"/>
      <c r="I2302" s="182"/>
      <c r="J2302" s="182"/>
      <c r="K2302" s="183"/>
      <c r="L2302" s="182"/>
      <c r="M2302" s="182">
        <v>1</v>
      </c>
      <c r="N2302" s="182"/>
      <c r="O2302" s="183" t="s">
        <v>3618</v>
      </c>
      <c r="P2302" s="183" t="s">
        <v>2260</v>
      </c>
      <c r="Q2302" s="183" t="s">
        <v>684</v>
      </c>
      <c r="R2302" s="183">
        <v>2</v>
      </c>
      <c r="S2302" s="183">
        <v>0</v>
      </c>
      <c r="T2302" s="183">
        <v>2</v>
      </c>
      <c r="U2302" s="183" t="s">
        <v>97</v>
      </c>
      <c r="V2302" s="183"/>
      <c r="W2302" s="183"/>
      <c r="X2302" s="183"/>
      <c r="Y2302" s="184">
        <f>IF(ISBLANK(O2302),"",(IF(O2302=UPPER("IB"),0.005,0.01)))</f>
        <v>0.01</v>
      </c>
      <c r="Z2302" s="185">
        <f>IF(ISBLANK(O2302),"",IF(O2302="IB",8.63*200,IF(O2302="IR",16*100,IF(O2302="YT",20*100,IF(O2302="YT-XT",24*200,IF(O2302="TED",80*100,IF(O2302="XT",29*200)))))))</f>
        <v>5800</v>
      </c>
      <c r="AA2302" s="185" t="s">
        <v>5476</v>
      </c>
      <c r="AB2302" s="185"/>
      <c r="AC2302" s="185"/>
      <c r="AD2302" s="649">
        <v>95.56</v>
      </c>
      <c r="AE2302" s="182"/>
      <c r="AF2302" s="332"/>
      <c r="AG2302" s="182"/>
      <c r="AH2302" s="182"/>
      <c r="AI2302" s="182"/>
      <c r="AJ2302" s="640"/>
      <c r="AK2302" s="182"/>
      <c r="AL2302" s="496">
        <f t="shared" si="760"/>
        <v>-116</v>
      </c>
      <c r="AM2302" s="496">
        <f t="shared" si="758"/>
        <v>-232</v>
      </c>
      <c r="AN2302" s="626"/>
      <c r="AO2302" s="182"/>
      <c r="AP2302" s="182"/>
      <c r="AQ2302" s="332" t="s">
        <v>1259</v>
      </c>
      <c r="AR2302" s="182"/>
      <c r="AS2302" s="189">
        <v>95.56</v>
      </c>
      <c r="AT2302" s="189">
        <f>IF(ISBLANK(AS2302),,IF(U2302="S",AD2302-AS2302,AS2302-AD2302))</f>
        <v>0</v>
      </c>
      <c r="AU2302" s="187">
        <f>AV2302*R2302</f>
        <v>0</v>
      </c>
      <c r="AV2302" s="190">
        <f t="shared" si="761"/>
        <v>0</v>
      </c>
      <c r="AW2302" s="191" t="s">
        <v>115</v>
      </c>
      <c r="AX2302" s="549"/>
      <c r="AY2302" s="549"/>
      <c r="AZ2302" s="549"/>
      <c r="BA2302" s="549"/>
      <c r="BB2302" s="549"/>
      <c r="BC2302" s="549"/>
      <c r="BD2302" s="549"/>
      <c r="BE2302" s="550"/>
      <c r="BF2302" s="549"/>
      <c r="BG2302" s="391">
        <f>SUM($AV$1389:AV2302)</f>
        <v>6686.2108375297139</v>
      </c>
      <c r="BH2302" s="392">
        <f>SUM($AU$1389:AU2302)</f>
        <v>42556.423836163201</v>
      </c>
      <c r="BI2302" s="318">
        <f>SUMIFS($AU$1388:AU2303,$Q$1388:Q2303,"F")</f>
        <v>29235.078121878127</v>
      </c>
      <c r="BJ2302" s="318">
        <f>SUMIFS($AU$1388:AU2303,$Q$1388:Q2303,"S")</f>
        <v>17938.285714285706</v>
      </c>
      <c r="BK2302" s="343">
        <f>SUMIFS($AU$1388:AU2303,$P$1388:P2303,"W")</f>
        <v>17144.143836163403</v>
      </c>
      <c r="BL2302" s="343">
        <f>SUMIFS($AU$1388:AU2303,$P$1388:P2303,"R")</f>
        <v>22616.400000000325</v>
      </c>
      <c r="BM2302" s="343">
        <f>SUMIFS($AU$1388:AU2303,$AQ$1388:AQ2303,"M")</f>
        <v>8875.1799999983887</v>
      </c>
      <c r="BN2302" s="343">
        <f>SUMIFS($AU$1388:AU2303,$AQ$1388:AQ2303,"H")</f>
        <v>11643.200000000877</v>
      </c>
      <c r="BO2302" s="343">
        <f>SUMIFS($AU$1388:AU2303,$AQ$1388:AQ2303,"D")</f>
        <v>13122.377472527351</v>
      </c>
      <c r="BP2302" s="343">
        <f>SUMIFS($AS$1388:AS2700,$AO$1388:AO2700,"W")</f>
        <v>0</v>
      </c>
      <c r="BQ2302" s="343">
        <f>SUMIFS($AU$1388:AU2303,$Q$1388:Q2303,"O")</f>
        <v>-9340.9400000006026</v>
      </c>
      <c r="BR2302" s="343">
        <f>SUMIFS($AU$1388:AU2303,$AA$1388:AA2303,"*")</f>
        <v>37881.5220779214</v>
      </c>
      <c r="BS2302" s="343">
        <f>SUMIFS($AU$1388:AU2303,$AB$1388:AB2303,"*")</f>
        <v>7475.8599999999715</v>
      </c>
      <c r="BT2302" s="343">
        <f>SUMIFS($AU$1388:AU2303,$AC$1388:AC2303,"*")</f>
        <v>33251.078121878119</v>
      </c>
      <c r="BU2302" s="343">
        <f>SUMIFS($AU$1388:AU2303,$AA$1388:AA2303,"*",$AB$1388:AB2303,"*")</f>
        <v>7915.9999999997544</v>
      </c>
      <c r="BV2302" s="343">
        <f>SUMIFS($AU$1388:AU2303,$AA$1388:AA2303,"*",$AC$1388:AC2303,"*")</f>
        <v>29696.036363636529</v>
      </c>
      <c r="BW2302" s="343">
        <f>SUMIFS($AU$1388:AU2303,$AB$1388:AB2303,"*",$AC$1388:AC2303,"*")</f>
        <v>3863.9999999999991</v>
      </c>
      <c r="BX2302" s="343">
        <f>SUMIFS($AV$1388:AV2303,$Q$1388:Q2303,"F")</f>
        <v>383.04019562430165</v>
      </c>
      <c r="BY2302" s="343">
        <f>SUMIFS($AV$1388:AV2303,$Q$1388:Q2303,"S")</f>
        <v>676.61134190572739</v>
      </c>
      <c r="BZ2302" s="343">
        <f>SUMIFS($AV$1388:AV2303,$Q$1388:Q2303,"O")</f>
        <v>378.55929999967736</v>
      </c>
    </row>
    <row r="2303" spans="1:78" ht="15.75" customHeight="1">
      <c r="A2303" s="177" t="s">
        <v>7249</v>
      </c>
      <c r="B2303" s="200"/>
      <c r="C2303" s="178"/>
      <c r="D2303" s="178"/>
      <c r="E2303" s="227"/>
      <c r="F2303" s="180"/>
      <c r="G2303" s="181"/>
      <c r="H2303" s="182"/>
      <c r="I2303" s="182"/>
      <c r="J2303" s="182"/>
      <c r="K2303" s="183"/>
      <c r="L2303" s="182"/>
      <c r="M2303" s="182"/>
      <c r="N2303" s="182"/>
      <c r="O2303" s="183"/>
      <c r="P2303" s="183"/>
      <c r="Q2303" s="183"/>
      <c r="R2303" s="183"/>
      <c r="S2303" s="183"/>
      <c r="T2303" s="183"/>
      <c r="U2303" s="183"/>
      <c r="V2303" s="183"/>
      <c r="W2303" s="183"/>
      <c r="X2303" s="183"/>
      <c r="Y2303" s="184"/>
      <c r="Z2303" s="185"/>
      <c r="AA2303" s="185"/>
      <c r="AB2303" s="185"/>
      <c r="AC2303" s="185"/>
      <c r="AD2303" s="649"/>
      <c r="AE2303" s="182"/>
      <c r="AF2303" s="332"/>
      <c r="AG2303" s="182"/>
      <c r="AH2303" s="182"/>
      <c r="AI2303" s="182"/>
      <c r="AJ2303" s="640"/>
      <c r="AK2303" s="182"/>
      <c r="AL2303" s="496">
        <f t="shared" si="760"/>
        <v>0</v>
      </c>
      <c r="AM2303" s="496">
        <f t="shared" si="758"/>
        <v>0</v>
      </c>
      <c r="AN2303" s="626"/>
      <c r="AO2303" s="182"/>
      <c r="AP2303" s="182"/>
      <c r="AQ2303" s="332" t="str">
        <f>UPPER(RIGHT(Journal_Live[[#This Row],[DURATION ]]))</f>
        <v/>
      </c>
      <c r="AR2303" s="182"/>
      <c r="AS2303" s="189"/>
      <c r="AT2303" s="189"/>
      <c r="AU2303" s="187"/>
      <c r="AV2303" s="190"/>
      <c r="AW2303" s="191"/>
      <c r="AX2303" s="549" t="s">
        <v>7291</v>
      </c>
      <c r="AY2303" s="549"/>
      <c r="AZ2303" s="549"/>
      <c r="BA2303" s="549"/>
      <c r="BB2303" s="549"/>
      <c r="BC2303" s="549"/>
      <c r="BD2303" s="549"/>
      <c r="BE2303" s="550"/>
      <c r="BF2303" s="549"/>
      <c r="BG2303" s="391">
        <f>SUM($AV$1389:AV2303)</f>
        <v>6686.2108375297139</v>
      </c>
      <c r="BH2303" s="392">
        <f>SUM($AU$1389:AU2303)</f>
        <v>42556.423836163201</v>
      </c>
      <c r="BI2303" s="318">
        <f>SUMIFS($AU$1388:AU2304,$Q$1388:Q2304,"F")</f>
        <v>29235.078121878127</v>
      </c>
      <c r="BJ2303" s="318">
        <f>SUMIFS($AU$1388:AU2304,$Q$1388:Q2304,"S")</f>
        <v>17938.285714285706</v>
      </c>
      <c r="BK2303" s="343">
        <f>SUMIFS($AU$1388:AU2304,$P$1388:P2304,"W")</f>
        <v>17144.143836163403</v>
      </c>
      <c r="BL2303" s="343">
        <f>SUMIFS($AU$1388:AU2304,$P$1388:P2304,"R")</f>
        <v>22616.400000000325</v>
      </c>
      <c r="BM2303" s="343">
        <f>SUMIFS($AU$1388:AU2304,$AQ$1388:AQ2304,"M")</f>
        <v>8875.1799999983887</v>
      </c>
      <c r="BN2303" s="343">
        <f>SUMIFS($AU$1388:AU2304,$AQ$1388:AQ2304,"H")</f>
        <v>11643.200000000877</v>
      </c>
      <c r="BO2303" s="343">
        <f>SUMIFS($AU$1388:AU2304,$AQ$1388:AQ2304,"D")</f>
        <v>13122.377472527351</v>
      </c>
      <c r="BP2303" s="343">
        <f>SUMIFS($AS$1388:AS2701,$AO$1388:AO2701,"W")</f>
        <v>0</v>
      </c>
      <c r="BQ2303" s="343">
        <f>SUMIFS($AU$1388:AU2304,$Q$1388:Q2304,"O")</f>
        <v>-9340.9400000006026</v>
      </c>
      <c r="BR2303" s="343">
        <f>SUMIFS($AU$1388:AU2304,$AA$1388:AA2304,"*")</f>
        <v>37881.5220779214</v>
      </c>
      <c r="BS2303" s="343">
        <f>SUMIFS($AU$1388:AU2304,$AB$1388:AB2304,"*")</f>
        <v>7475.8599999999715</v>
      </c>
      <c r="BT2303" s="343">
        <f>SUMIFS($AU$1388:AU2304,$AC$1388:AC2304,"*")</f>
        <v>33251.078121878119</v>
      </c>
      <c r="BU2303" s="343">
        <f>SUMIFS($AU$1388:AU2304,$AA$1388:AA2304,"*",$AB$1388:AB2304,"*")</f>
        <v>7915.9999999997544</v>
      </c>
      <c r="BV2303" s="343">
        <f>SUMIFS($AU$1388:AU2304,$AA$1388:AA2304,"*",$AC$1388:AC2304,"*")</f>
        <v>29696.036363636529</v>
      </c>
      <c r="BW2303" s="343">
        <f>SUMIFS($AU$1388:AU2304,$AB$1388:AB2304,"*",$AC$1388:AC2304,"*")</f>
        <v>3863.9999999999991</v>
      </c>
      <c r="BX2303" s="343">
        <f>SUMIFS($AV$1388:AV2304,$Q$1388:Q2304,"F")</f>
        <v>383.04019562430165</v>
      </c>
      <c r="BY2303" s="343">
        <f>SUMIFS($AV$1388:AV2304,$Q$1388:Q2304,"S")</f>
        <v>676.61134190572739</v>
      </c>
      <c r="BZ2303" s="343">
        <f>SUMIFS($AV$1388:AV2304,$Q$1388:Q2304,"O")</f>
        <v>378.55929999967736</v>
      </c>
    </row>
    <row r="2304" spans="1:78" ht="15.75" customHeight="1">
      <c r="A2304" s="177" t="s">
        <v>7249</v>
      </c>
      <c r="B2304" s="200">
        <v>45478</v>
      </c>
      <c r="C2304" s="178" t="s">
        <v>1728</v>
      </c>
      <c r="D2304" s="178" t="s">
        <v>111</v>
      </c>
      <c r="E2304" s="227" t="s">
        <v>7292</v>
      </c>
      <c r="F2304" s="180" t="s">
        <v>7293</v>
      </c>
      <c r="G2304" s="181"/>
      <c r="H2304" s="182">
        <v>1</v>
      </c>
      <c r="I2304" s="182"/>
      <c r="J2304" s="182"/>
      <c r="K2304" s="183" t="s">
        <v>372</v>
      </c>
      <c r="L2304" s="182"/>
      <c r="M2304" s="182"/>
      <c r="N2304" s="182"/>
      <c r="O2304" s="183"/>
      <c r="P2304" s="183"/>
      <c r="Q2304" s="183"/>
      <c r="R2304" s="183"/>
      <c r="S2304" s="183"/>
      <c r="T2304" s="183"/>
      <c r="U2304" s="183"/>
      <c r="V2304" s="183"/>
      <c r="W2304" s="183"/>
      <c r="X2304" s="183"/>
      <c r="Y2304" s="184"/>
      <c r="Z2304" s="185"/>
      <c r="AA2304" s="185"/>
      <c r="AB2304" s="185"/>
      <c r="AC2304" s="185"/>
      <c r="AD2304" s="649"/>
      <c r="AE2304" s="182"/>
      <c r="AF2304" s="332"/>
      <c r="AG2304" s="182"/>
      <c r="AH2304" s="182"/>
      <c r="AI2304" s="182"/>
      <c r="AJ2304" s="640"/>
      <c r="AK2304" s="182"/>
      <c r="AL2304" s="496">
        <f t="shared" si="760"/>
        <v>0</v>
      </c>
      <c r="AM2304" s="496">
        <f t="shared" si="758"/>
        <v>0</v>
      </c>
      <c r="AN2304" s="626"/>
      <c r="AO2304" s="182"/>
      <c r="AP2304" s="182"/>
      <c r="AQ2304" s="332" t="str">
        <f>UPPER(RIGHT(Journal_Live[[#This Row],[DURATION ]]))</f>
        <v/>
      </c>
      <c r="AR2304" s="182"/>
      <c r="AS2304" s="189"/>
      <c r="AT2304" s="189"/>
      <c r="AU2304" s="187"/>
      <c r="AV2304" s="190"/>
      <c r="AW2304" s="191"/>
      <c r="AX2304" s="549" t="s">
        <v>7294</v>
      </c>
      <c r="AY2304" s="549"/>
      <c r="AZ2304" s="549"/>
      <c r="BA2304" s="549"/>
      <c r="BB2304" s="549"/>
      <c r="BC2304" s="549"/>
      <c r="BD2304" s="549"/>
      <c r="BE2304" s="550"/>
      <c r="BF2304" s="549"/>
      <c r="BG2304" s="391">
        <f>SUM($AV$1389:AV2304)</f>
        <v>6686.2108375297139</v>
      </c>
      <c r="BH2304" s="392">
        <f>SUM($AU$1389:AU2304)</f>
        <v>42556.423836163201</v>
      </c>
      <c r="BI2304" s="318">
        <f>SUMIFS($AU$1388:AU2305,$Q$1388:Q2305,"F")</f>
        <v>29235.078121878127</v>
      </c>
      <c r="BJ2304" s="318">
        <f>SUMIFS($AU$1388:AU2305,$Q$1388:Q2305,"S")</f>
        <v>17938.285714285706</v>
      </c>
      <c r="BK2304" s="343">
        <f>SUMIFS($AU$1388:AU2305,$P$1388:P2305,"W")</f>
        <v>17144.143836163403</v>
      </c>
      <c r="BL2304" s="343">
        <f>SUMIFS($AU$1388:AU2305,$P$1388:P2305,"R")</f>
        <v>22616.400000000325</v>
      </c>
      <c r="BM2304" s="343">
        <f>SUMIFS($AU$1388:AU2305,$AQ$1388:AQ2305,"M")</f>
        <v>8875.1799999983887</v>
      </c>
      <c r="BN2304" s="343">
        <f>SUMIFS($AU$1388:AU2305,$AQ$1388:AQ2305,"H")</f>
        <v>11643.200000000877</v>
      </c>
      <c r="BO2304" s="343">
        <f>SUMIFS($AU$1388:AU2305,$AQ$1388:AQ2305,"D")</f>
        <v>13122.377472527351</v>
      </c>
      <c r="BP2304" s="343">
        <f>SUMIFS($AS$1388:AS2702,$AO$1388:AO2702,"W")</f>
        <v>0</v>
      </c>
      <c r="BQ2304" s="343">
        <f>SUMIFS($AU$1388:AU2305,$Q$1388:Q2305,"O")</f>
        <v>-9340.9400000006026</v>
      </c>
      <c r="BR2304" s="343">
        <f>SUMIFS($AU$1388:AU2305,$AA$1388:AA2305,"*")</f>
        <v>37881.5220779214</v>
      </c>
      <c r="BS2304" s="343">
        <f>SUMIFS($AU$1388:AU2305,$AB$1388:AB2305,"*")</f>
        <v>7475.8599999999715</v>
      </c>
      <c r="BT2304" s="343">
        <f>SUMIFS($AU$1388:AU2305,$AC$1388:AC2305,"*")</f>
        <v>33251.078121878119</v>
      </c>
      <c r="BU2304" s="343">
        <f>SUMIFS($AU$1388:AU2305,$AA$1388:AA2305,"*",$AB$1388:AB2305,"*")</f>
        <v>7915.9999999997544</v>
      </c>
      <c r="BV2304" s="343">
        <f>SUMIFS($AU$1388:AU2305,$AA$1388:AA2305,"*",$AC$1388:AC2305,"*")</f>
        <v>29696.036363636529</v>
      </c>
      <c r="BW2304" s="343">
        <f>SUMIFS($AU$1388:AU2305,$AB$1388:AB2305,"*",$AC$1388:AC2305,"*")</f>
        <v>3863.9999999999991</v>
      </c>
      <c r="BX2304" s="343">
        <f>SUMIFS($AV$1388:AV2305,$Q$1388:Q2305,"F")</f>
        <v>383.04019562430165</v>
      </c>
      <c r="BY2304" s="343">
        <f>SUMIFS($AV$1388:AV2305,$Q$1388:Q2305,"S")</f>
        <v>676.61134190572739</v>
      </c>
      <c r="BZ2304" s="343">
        <f>SUMIFS($AV$1388:AV2305,$Q$1388:Q2305,"O")</f>
        <v>378.55929999967736</v>
      </c>
    </row>
    <row r="2305" spans="1:78" ht="15.75" customHeight="1">
      <c r="A2305" s="177" t="s">
        <v>7249</v>
      </c>
      <c r="B2305" s="200"/>
      <c r="C2305" s="178"/>
      <c r="D2305" s="178"/>
      <c r="E2305" s="227" t="s">
        <v>7295</v>
      </c>
      <c r="F2305" s="180" t="s">
        <v>7296</v>
      </c>
      <c r="G2305" s="181"/>
      <c r="H2305" s="182">
        <v>1</v>
      </c>
      <c r="I2305" s="182"/>
      <c r="J2305" s="182"/>
      <c r="K2305" s="183" t="s">
        <v>115</v>
      </c>
      <c r="L2305" s="182"/>
      <c r="M2305" s="182"/>
      <c r="N2305" s="182"/>
      <c r="O2305" s="183"/>
      <c r="P2305" s="183"/>
      <c r="Q2305" s="183"/>
      <c r="R2305" s="183"/>
      <c r="S2305" s="183"/>
      <c r="T2305" s="183"/>
      <c r="U2305" s="183"/>
      <c r="V2305" s="183"/>
      <c r="W2305" s="183"/>
      <c r="X2305" s="183"/>
      <c r="Y2305" s="184"/>
      <c r="Z2305" s="185"/>
      <c r="AA2305" s="185"/>
      <c r="AB2305" s="185"/>
      <c r="AC2305" s="185"/>
      <c r="AD2305" s="649"/>
      <c r="AE2305" s="182"/>
      <c r="AF2305" s="332"/>
      <c r="AG2305" s="182"/>
      <c r="AH2305" s="182"/>
      <c r="AI2305" s="182"/>
      <c r="AJ2305" s="640"/>
      <c r="AK2305" s="182"/>
      <c r="AL2305" s="496">
        <f t="shared" si="760"/>
        <v>0</v>
      </c>
      <c r="AM2305" s="496">
        <f t="shared" si="758"/>
        <v>0</v>
      </c>
      <c r="AN2305" s="626"/>
      <c r="AO2305" s="182"/>
      <c r="AP2305" s="182"/>
      <c r="AQ2305" s="332" t="str">
        <f>UPPER(RIGHT(Journal_Live[[#This Row],[DURATION ]]))</f>
        <v/>
      </c>
      <c r="AR2305" s="182"/>
      <c r="AS2305" s="189"/>
      <c r="AT2305" s="189"/>
      <c r="AU2305" s="187"/>
      <c r="AV2305" s="190"/>
      <c r="AW2305" s="191"/>
      <c r="AX2305" s="549"/>
      <c r="AY2305" s="549"/>
      <c r="AZ2305" s="549"/>
      <c r="BA2305" s="549"/>
      <c r="BB2305" s="549"/>
      <c r="BC2305" s="549"/>
      <c r="BD2305" s="549"/>
      <c r="BE2305" s="550"/>
      <c r="BF2305" s="549"/>
      <c r="BG2305" s="391">
        <f>SUM($AV$1389:AV2305)</f>
        <v>6686.2108375297139</v>
      </c>
      <c r="BH2305" s="392">
        <f>SUM($AU$1389:AU2305)</f>
        <v>42556.423836163201</v>
      </c>
      <c r="BI2305" s="318">
        <f>SUMIFS($AU$1388:AU2317,$Q$1388:Q2317,"F")</f>
        <v>29347.078121878127</v>
      </c>
      <c r="BJ2305" s="318">
        <f>SUMIFS($AU$1388:AU2317,$Q$1388:Q2317,"S")</f>
        <v>16866.285714285717</v>
      </c>
      <c r="BK2305" s="343">
        <f>SUMIFS($AU$1388:AU2317,$P$1388:P2317,"W")</f>
        <v>15912.143836163443</v>
      </c>
      <c r="BL2305" s="343">
        <f>SUMIFS($AU$1388:AU2317,$P$1388:P2317,"R")</f>
        <v>22728.400000000325</v>
      </c>
      <c r="BM2305" s="343">
        <f>SUMIFS($AU$1388:AU2317,$AQ$1388:AQ2317,"M")</f>
        <v>8715.1799999984214</v>
      </c>
      <c r="BN2305" s="343">
        <f>SUMIFS($AU$1388:AU2317,$AQ$1388:AQ2317,"H")</f>
        <v>11643.200000000877</v>
      </c>
      <c r="BO2305" s="343">
        <f>SUMIFS($AU$1388:AU2317,$AQ$1388:AQ2317,"D")</f>
        <v>12162.377472527358</v>
      </c>
      <c r="BP2305" s="343">
        <f>SUMIFS($AS$1388:AS2703,$AO$1388:AO2703,"W")</f>
        <v>0</v>
      </c>
      <c r="BQ2305" s="343">
        <f>SUMIFS($AU$1388:AU2317,$Q$1388:Q2317,"O")</f>
        <v>-9500.9400000005699</v>
      </c>
      <c r="BR2305" s="343">
        <f>SUMIFS($AU$1388:AU2317,$AA$1388:AA2317,"*")</f>
        <v>38441.522077921436</v>
      </c>
      <c r="BS2305" s="343">
        <f>SUMIFS($AU$1388:AU2317,$AB$1388:AB2317,"*")</f>
        <v>7475.8599999999715</v>
      </c>
      <c r="BT2305" s="343">
        <f>SUMIFS($AU$1388:AU2317,$AC$1388:AC2317,"*")</f>
        <v>31683.078121878119</v>
      </c>
      <c r="BU2305" s="343">
        <f>SUMIFS($AU$1388:AU2317,$AA$1388:AA2317,"*",$AB$1388:AB2317,"*")</f>
        <v>7915.9999999997544</v>
      </c>
      <c r="BV2305" s="343">
        <f>SUMIFS($AU$1388:AU2317,$AA$1388:AA2317,"*",$AC$1388:AC2317,"*")</f>
        <v>29808.036363636529</v>
      </c>
      <c r="BW2305" s="343">
        <f>SUMIFS($AU$1388:AU2317,$AB$1388:AB2317,"*",$AC$1388:AC2317,"*")</f>
        <v>3863.9999999999991</v>
      </c>
      <c r="BX2305" s="343">
        <f>SUMIFS($AV$1388:AV2317,$Q$1388:Q2317,"F")</f>
        <v>399.04019562430165</v>
      </c>
      <c r="BY2305" s="343">
        <f>SUMIFS($AV$1388:AV2317,$Q$1388:Q2317,"S")</f>
        <v>689.94467523906087</v>
      </c>
      <c r="BZ2305" s="343">
        <f>SUMIFS($AV$1388:AV2317,$Q$1388:Q2317,"O")</f>
        <v>346.55929999968373</v>
      </c>
    </row>
    <row r="2306" spans="1:78" ht="15.75" customHeight="1">
      <c r="A2306" s="177" t="s">
        <v>7249</v>
      </c>
      <c r="B2306" s="200">
        <v>45478</v>
      </c>
      <c r="C2306" s="178" t="s">
        <v>682</v>
      </c>
      <c r="D2306" s="178" t="s">
        <v>111</v>
      </c>
      <c r="E2306" s="227"/>
      <c r="F2306" s="180"/>
      <c r="G2306" s="489" t="s">
        <v>7277</v>
      </c>
      <c r="H2306" s="182"/>
      <c r="I2306" s="182"/>
      <c r="J2306" s="182"/>
      <c r="K2306" s="183"/>
      <c r="L2306" s="182"/>
      <c r="M2306" s="182">
        <v>1</v>
      </c>
      <c r="N2306" s="182"/>
      <c r="O2306" s="183" t="s">
        <v>95</v>
      </c>
      <c r="P2306" s="183" t="s">
        <v>96</v>
      </c>
      <c r="Q2306" s="183" t="s">
        <v>97</v>
      </c>
      <c r="R2306" s="183">
        <v>70</v>
      </c>
      <c r="S2306" s="183">
        <v>35</v>
      </c>
      <c r="T2306" s="183">
        <v>70</v>
      </c>
      <c r="U2306" s="183" t="s">
        <v>22</v>
      </c>
      <c r="V2306" s="183"/>
      <c r="W2306" s="183"/>
      <c r="X2306" s="183"/>
      <c r="Y2306" s="184">
        <f>IF(ISBLANK(O2306),"",(IF(O2306=UPPER("IB"),0.005,0.01)))</f>
        <v>0.01</v>
      </c>
      <c r="Z2306" s="185">
        <f>IF(ISBLANK(O2306),"",IF(O2306="IB",8.63*200,IF(O2306="IR",16*100,IF(O2306="YT",20*100,IF(O2306="YT-XT",24*200,IF(O2306="TED",80*100,IF(O2306="XT",29*200)))))))</f>
        <v>1600</v>
      </c>
      <c r="AA2306" s="185"/>
      <c r="AB2306" s="185"/>
      <c r="AC2306" s="185" t="s">
        <v>7297</v>
      </c>
      <c r="AD2306" s="649">
        <v>-0.19</v>
      </c>
      <c r="AE2306" s="182"/>
      <c r="AF2306" s="332"/>
      <c r="AG2306" s="182"/>
      <c r="AH2306" s="182"/>
      <c r="AI2306" s="182"/>
      <c r="AJ2306" s="640" t="s">
        <v>7298</v>
      </c>
      <c r="AK2306" s="182"/>
      <c r="AL2306" s="496">
        <f t="shared" si="760"/>
        <v>-32</v>
      </c>
      <c r="AM2306" s="496">
        <f t="shared" si="758"/>
        <v>-1120</v>
      </c>
      <c r="AN2306" s="626"/>
      <c r="AO2306" s="182"/>
      <c r="AP2306" s="182"/>
      <c r="AQ2306" s="332" t="s">
        <v>115</v>
      </c>
      <c r="AR2306" s="182" t="s">
        <v>7299</v>
      </c>
      <c r="AS2306" s="189">
        <f>((-0.21*35)+(-0.2*35))/70</f>
        <v>-0.20499999999999999</v>
      </c>
      <c r="AT2306" s="189">
        <f t="shared" ref="AT2306:AT2318" si="762">IF(ISBLANK(AS2306),,IF(U2306="S",AD2306-AS2306,AS2306-AD2306))</f>
        <v>-1.4999999999999986E-2</v>
      </c>
      <c r="AU2306" s="187">
        <f t="shared" ref="AU2306:AU2318" si="763">AV2306*R2306</f>
        <v>-1679.9999999999984</v>
      </c>
      <c r="AV2306" s="190">
        <f t="shared" si="761"/>
        <v>-23.999999999999979</v>
      </c>
      <c r="AW2306" s="191" t="s">
        <v>229</v>
      </c>
      <c r="AX2306" s="551" t="s">
        <v>7300</v>
      </c>
      <c r="AY2306" s="551"/>
      <c r="AZ2306" s="551"/>
      <c r="BA2306" s="551"/>
      <c r="BB2306" s="551"/>
      <c r="BC2306" s="551"/>
      <c r="BD2306" s="549"/>
      <c r="BE2306" s="550"/>
      <c r="BF2306" s="549"/>
      <c r="BG2306" s="391">
        <f>SUM($AV$1389:AV2306)</f>
        <v>6662.2108375297139</v>
      </c>
      <c r="BH2306" s="392">
        <f>SUM($AU$1389:AU2306)</f>
        <v>40876.423836163201</v>
      </c>
      <c r="BI2306" s="318">
        <f>SUMIFS($AU$1388:AU2307,$Q$1388:Q2307,"F")</f>
        <v>29235.078121878127</v>
      </c>
      <c r="BJ2306" s="318">
        <f>SUMIFS($AU$1388:AU2307,$Q$1388:Q2307,"S")</f>
        <v>16610.28571428571</v>
      </c>
      <c r="BK2306" s="343">
        <f>SUMIFS($AU$1388:AU2307,$P$1388:P2307,"W")</f>
        <v>15816.143836163405</v>
      </c>
      <c r="BL2306" s="343">
        <f>SUMIFS($AU$1388:AU2307,$P$1388:P2307,"R")</f>
        <v>22616.400000000325</v>
      </c>
      <c r="BM2306" s="343">
        <f>SUMIFS($AU$1388:AU2307,$AQ$1388:AQ2307,"M")</f>
        <v>8875.1799999983887</v>
      </c>
      <c r="BN2306" s="343">
        <f>SUMIFS($AU$1388:AU2307,$AQ$1388:AQ2307,"H")</f>
        <v>11643.200000000877</v>
      </c>
      <c r="BO2306" s="343">
        <f>SUMIFS($AU$1388:AU2307,$AQ$1388:AQ2307,"D")</f>
        <v>11794.377472527352</v>
      </c>
      <c r="BP2306" s="343">
        <f>SUMIFS($AS$1388:AS2693,$AO$1388:AO2693,"W")</f>
        <v>0</v>
      </c>
      <c r="BQ2306" s="343">
        <f>SUMIFS($AU$1388:AU2307,$Q$1388:Q2307,"O")</f>
        <v>-9340.9400000006026</v>
      </c>
      <c r="BR2306" s="343">
        <f>SUMIFS($AU$1388:AU2307,$AA$1388:AA2307,"*")</f>
        <v>38233.5220779214</v>
      </c>
      <c r="BS2306" s="343">
        <f>SUMIFS($AU$1388:AU2307,$AB$1388:AB2307,"*")</f>
        <v>7475.8599999999715</v>
      </c>
      <c r="BT2306" s="343">
        <f>SUMIFS($AU$1388:AU2307,$AC$1388:AC2307,"*")</f>
        <v>31571.078121878119</v>
      </c>
      <c r="BU2306" s="343">
        <f>SUMIFS($AU$1388:AU2307,$AA$1388:AA2307,"*",$AB$1388:AB2307,"*")</f>
        <v>7915.9999999997544</v>
      </c>
      <c r="BV2306" s="343">
        <f>SUMIFS($AU$1388:AU2307,$AA$1388:AA2307,"*",$AC$1388:AC2307,"*")</f>
        <v>29696.036363636529</v>
      </c>
      <c r="BW2306" s="343">
        <f>SUMIFS($AU$1388:AU2307,$AB$1388:AB2307,"*",$AC$1388:AC2307,"*")</f>
        <v>3863.9999999999991</v>
      </c>
      <c r="BX2306" s="343">
        <f>SUMIFS($AV$1388:AV2307,$Q$1388:Q2307,"F")</f>
        <v>383.04019562430165</v>
      </c>
      <c r="BY2306" s="343">
        <f>SUMIFS($AV$1388:AV2307,$Q$1388:Q2307,"S")</f>
        <v>684.61134190572739</v>
      </c>
      <c r="BZ2306" s="343">
        <f>SUMIFS($AV$1388:AV2307,$Q$1388:Q2307,"O")</f>
        <v>378.55929999967736</v>
      </c>
    </row>
    <row r="2307" spans="1:78" ht="15.75" customHeight="1">
      <c r="A2307" s="177" t="s">
        <v>7249</v>
      </c>
      <c r="B2307" s="200">
        <v>45478</v>
      </c>
      <c r="C2307" s="178" t="s">
        <v>682</v>
      </c>
      <c r="D2307" s="178" t="s">
        <v>111</v>
      </c>
      <c r="E2307" s="227"/>
      <c r="F2307" s="180"/>
      <c r="G2307" s="553" t="s">
        <v>2942</v>
      </c>
      <c r="H2307" s="182"/>
      <c r="I2307" s="182"/>
      <c r="J2307" s="182"/>
      <c r="K2307" s="183"/>
      <c r="L2307" s="182"/>
      <c r="M2307" s="182">
        <v>1</v>
      </c>
      <c r="N2307" s="182"/>
      <c r="O2307" s="183" t="s">
        <v>95</v>
      </c>
      <c r="P2307" s="183" t="s">
        <v>96</v>
      </c>
      <c r="Q2307" s="183" t="s">
        <v>97</v>
      </c>
      <c r="R2307" s="183">
        <v>11</v>
      </c>
      <c r="S2307" s="183">
        <v>0</v>
      </c>
      <c r="T2307" s="183">
        <v>11</v>
      </c>
      <c r="U2307" s="183" t="s">
        <v>97</v>
      </c>
      <c r="V2307" s="183"/>
      <c r="W2307" s="183"/>
      <c r="X2307" s="183"/>
      <c r="Y2307" s="184">
        <f>IF(ISBLANK(O2307),"",(IF(O2307=UPPER("IB"),0.005,0.01)))</f>
        <v>0.01</v>
      </c>
      <c r="Z2307" s="185">
        <f>IF(ISBLANK(O2307),"",IF(O2307="IB",8.63*200,IF(O2307="IR",16*100,IF(O2307="YT",20*100,IF(O2307="YT-XT",24*200,IF(O2307="TED",80*100,IF(O2307="XT",29*200)))))))</f>
        <v>1600</v>
      </c>
      <c r="AA2307" s="185" t="s">
        <v>7301</v>
      </c>
      <c r="AB2307" s="185"/>
      <c r="AC2307" s="185"/>
      <c r="AD2307" s="649">
        <v>-0.08</v>
      </c>
      <c r="AE2307" s="182"/>
      <c r="AF2307" s="332"/>
      <c r="AG2307" s="182"/>
      <c r="AH2307" s="182"/>
      <c r="AI2307" s="182"/>
      <c r="AJ2307" s="640"/>
      <c r="AK2307" s="182"/>
      <c r="AL2307" s="496">
        <f t="shared" si="760"/>
        <v>-32</v>
      </c>
      <c r="AM2307" s="496">
        <f t="shared" si="758"/>
        <v>-352</v>
      </c>
      <c r="AN2307" s="626"/>
      <c r="AO2307" s="182"/>
      <c r="AP2307" s="182" t="s">
        <v>804</v>
      </c>
      <c r="AQ2307" s="332" t="s">
        <v>115</v>
      </c>
      <c r="AR2307" s="182"/>
      <c r="AS2307" s="189">
        <v>-0.1</v>
      </c>
      <c r="AT2307" s="189">
        <f t="shared" si="762"/>
        <v>2.0000000000000004E-2</v>
      </c>
      <c r="AU2307" s="187">
        <f t="shared" si="763"/>
        <v>352.00000000000006</v>
      </c>
      <c r="AV2307" s="190">
        <f t="shared" si="761"/>
        <v>32.000000000000007</v>
      </c>
      <c r="AW2307" s="191" t="s">
        <v>96</v>
      </c>
      <c r="AX2307" s="551"/>
      <c r="AY2307" s="551"/>
      <c r="AZ2307" s="551"/>
      <c r="BA2307" s="551"/>
      <c r="BB2307" s="551"/>
      <c r="BC2307" s="551"/>
      <c r="BD2307" s="549"/>
      <c r="BE2307" s="550"/>
      <c r="BF2307" s="549"/>
      <c r="BG2307" s="391">
        <f>SUM($AV$1389:AV2307)</f>
        <v>6694.2108375297139</v>
      </c>
      <c r="BH2307" s="392">
        <f>SUM($AU$1389:AU2307)</f>
        <v>41228.423836163201</v>
      </c>
      <c r="BI2307" s="318">
        <f>SUMIFS($AU$1388:AU2308,$Q$1388:Q2308,"F")</f>
        <v>29235.078121878127</v>
      </c>
      <c r="BJ2307" s="318">
        <f>SUMIFS($AU$1388:AU2308,$Q$1388:Q2308,"S")</f>
        <v>16610.28571428571</v>
      </c>
      <c r="BK2307" s="343">
        <f>SUMIFS($AU$1388:AU2308,$P$1388:P2308,"W")</f>
        <v>15816.143836163405</v>
      </c>
      <c r="BL2307" s="343">
        <f>SUMIFS($AU$1388:AU2308,$P$1388:P2308,"R")</f>
        <v>22616.400000000325</v>
      </c>
      <c r="BM2307" s="343">
        <f>SUMIFS($AU$1388:AU2308,$AQ$1388:AQ2308,"M")</f>
        <v>8875.1799999983887</v>
      </c>
      <c r="BN2307" s="343">
        <f>SUMIFS($AU$1388:AU2308,$AQ$1388:AQ2308,"H")</f>
        <v>11643.200000000877</v>
      </c>
      <c r="BO2307" s="343">
        <f>SUMIFS($AU$1388:AU2308,$AQ$1388:AQ2308,"D")</f>
        <v>11794.377472527352</v>
      </c>
      <c r="BP2307" s="343">
        <f>SUMIFS($AS$1388:AS2694,$AO$1388:AO2694,"W")</f>
        <v>0</v>
      </c>
      <c r="BQ2307" s="343">
        <f>SUMIFS($AU$1388:AU2308,$Q$1388:Q2308,"O")</f>
        <v>-9340.9400000006026</v>
      </c>
      <c r="BR2307" s="343">
        <f>SUMIFS($AU$1388:AU2308,$AA$1388:AA2308,"*")</f>
        <v>38233.5220779214</v>
      </c>
      <c r="BS2307" s="343">
        <f>SUMIFS($AU$1388:AU2308,$AB$1388:AB2308,"*")</f>
        <v>7475.8599999999715</v>
      </c>
      <c r="BT2307" s="343">
        <f>SUMIFS($AU$1388:AU2308,$AC$1388:AC2308,"*")</f>
        <v>31571.078121878119</v>
      </c>
      <c r="BU2307" s="343">
        <f>SUMIFS($AU$1388:AU2308,$AA$1388:AA2308,"*",$AB$1388:AB2308,"*")</f>
        <v>7915.9999999997544</v>
      </c>
      <c r="BV2307" s="343">
        <f>SUMIFS($AU$1388:AU2308,$AA$1388:AA2308,"*",$AC$1388:AC2308,"*")</f>
        <v>29696.036363636529</v>
      </c>
      <c r="BW2307" s="343">
        <f>SUMIFS($AU$1388:AU2308,$AB$1388:AB2308,"*",$AC$1388:AC2308,"*")</f>
        <v>3863.9999999999991</v>
      </c>
      <c r="BX2307" s="343">
        <f>SUMIFS($AV$1388:AV2308,$Q$1388:Q2308,"F")</f>
        <v>383.04019562430165</v>
      </c>
      <c r="BY2307" s="343">
        <f>SUMIFS($AV$1388:AV2308,$Q$1388:Q2308,"S")</f>
        <v>684.61134190572739</v>
      </c>
      <c r="BZ2307" s="343">
        <f>SUMIFS($AV$1388:AV2308,$Q$1388:Q2308,"O")</f>
        <v>378.55929999967736</v>
      </c>
    </row>
    <row r="2308" spans="1:78" ht="15.75" customHeight="1">
      <c r="A2308" s="177" t="s">
        <v>7249</v>
      </c>
      <c r="B2308" s="200">
        <v>45478</v>
      </c>
      <c r="C2308" s="178" t="s">
        <v>7302</v>
      </c>
      <c r="D2308" s="178" t="s">
        <v>111</v>
      </c>
      <c r="E2308" s="227"/>
      <c r="F2308" s="180"/>
      <c r="G2308" s="553" t="s">
        <v>7279</v>
      </c>
      <c r="H2308" s="182"/>
      <c r="I2308" s="182"/>
      <c r="J2308" s="182"/>
      <c r="K2308" s="183"/>
      <c r="L2308" s="182"/>
      <c r="M2308" s="182">
        <v>1</v>
      </c>
      <c r="N2308" s="182"/>
      <c r="O2308" s="183" t="s">
        <v>95</v>
      </c>
      <c r="P2308" s="183" t="s">
        <v>96</v>
      </c>
      <c r="Q2308" s="183" t="s">
        <v>97</v>
      </c>
      <c r="R2308" s="183">
        <v>25</v>
      </c>
      <c r="S2308" s="183">
        <v>0</v>
      </c>
      <c r="T2308" s="183">
        <v>25</v>
      </c>
      <c r="U2308" s="183" t="s">
        <v>22</v>
      </c>
      <c r="V2308" s="183"/>
      <c r="W2308" s="183"/>
      <c r="X2308" s="183"/>
      <c r="Y2308" s="184">
        <f>IF(ISBLANK(O2308),"",(IF(O2308=UPPER("IB"),0.005,0.01)))</f>
        <v>0.01</v>
      </c>
      <c r="Z2308" s="185">
        <f>IF(ISBLANK(O2308),"",IF(O2308="IB",8.63*200,IF(O2308="IR",16*100,IF(O2308="YT",20*100,IF(O2308="YT-XT",24*200,IF(O2308="TED",80*100,IF(O2308="IR|YT",300*100)))))))</f>
        <v>1600</v>
      </c>
      <c r="AA2308" s="185"/>
      <c r="AB2308" s="185"/>
      <c r="AC2308" s="185" t="s">
        <v>4589</v>
      </c>
      <c r="AD2308" s="649">
        <v>-0.16</v>
      </c>
      <c r="AE2308" s="182"/>
      <c r="AF2308" s="332"/>
      <c r="AG2308" s="182"/>
      <c r="AH2308" s="182"/>
      <c r="AI2308" s="182"/>
      <c r="AJ2308" s="640"/>
      <c r="AK2308" s="182"/>
      <c r="AL2308" s="496">
        <f t="shared" si="760"/>
        <v>-32</v>
      </c>
      <c r="AM2308" s="496">
        <f t="shared" si="758"/>
        <v>-800</v>
      </c>
      <c r="AN2308" s="626"/>
      <c r="AO2308" s="182"/>
      <c r="AP2308" s="182"/>
      <c r="AQ2308" s="332" t="s">
        <v>1259</v>
      </c>
      <c r="AR2308" s="182"/>
      <c r="AS2308" s="189">
        <v>-0.16</v>
      </c>
      <c r="AT2308" s="189">
        <f t="shared" si="762"/>
        <v>0</v>
      </c>
      <c r="AU2308" s="187">
        <f t="shared" si="763"/>
        <v>0</v>
      </c>
      <c r="AV2308" s="190">
        <f t="shared" si="761"/>
        <v>0</v>
      </c>
      <c r="AW2308" s="191" t="s">
        <v>115</v>
      </c>
      <c r="AX2308" s="551"/>
      <c r="AY2308" s="551"/>
      <c r="AZ2308" s="551"/>
      <c r="BA2308" s="551"/>
      <c r="BB2308" s="551"/>
      <c r="BC2308" s="551"/>
      <c r="BD2308" s="549"/>
      <c r="BE2308" s="550"/>
      <c r="BF2308" s="549"/>
      <c r="BG2308" s="391">
        <f>SUM($AV$1389:AV2308)</f>
        <v>6694.2108375297139</v>
      </c>
      <c r="BH2308" s="392">
        <f>SUM($AU$1389:AU2308)</f>
        <v>41228.423836163201</v>
      </c>
      <c r="BI2308" s="318">
        <f>SUMIFS($AU$1388:AU2309,$Q$1388:Q2309,"F")</f>
        <v>29235.078121878127</v>
      </c>
      <c r="BJ2308" s="318">
        <f>SUMIFS($AU$1388:AU2309,$Q$1388:Q2309,"S")</f>
        <v>16610.28571428571</v>
      </c>
      <c r="BK2308" s="343">
        <f>SUMIFS($AU$1388:AU2309,$P$1388:P2309,"W")</f>
        <v>15816.143836163405</v>
      </c>
      <c r="BL2308" s="343">
        <f>SUMIFS($AU$1388:AU2309,$P$1388:P2309,"R")</f>
        <v>22616.400000000325</v>
      </c>
      <c r="BM2308" s="343">
        <f>SUMIFS($AU$1388:AU2309,$AQ$1388:AQ2309,"M")</f>
        <v>8875.1799999983887</v>
      </c>
      <c r="BN2308" s="343">
        <f>SUMIFS($AU$1388:AU2309,$AQ$1388:AQ2309,"H")</f>
        <v>11643.200000000877</v>
      </c>
      <c r="BO2308" s="343">
        <f>SUMIFS($AU$1388:AU2309,$AQ$1388:AQ2309,"D")</f>
        <v>11794.377472527352</v>
      </c>
      <c r="BP2308" s="343">
        <f>SUMIFS($AS$1388:AS2695,$AO$1388:AO2695,"W")</f>
        <v>0</v>
      </c>
      <c r="BQ2308" s="343">
        <f>SUMIFS($AU$1388:AU2309,$Q$1388:Q2309,"O")</f>
        <v>-9340.9400000006026</v>
      </c>
      <c r="BR2308" s="343">
        <f>SUMIFS($AU$1388:AU2309,$AA$1388:AA2309,"*")</f>
        <v>38233.5220779214</v>
      </c>
      <c r="BS2308" s="343">
        <f>SUMIFS($AU$1388:AU2309,$AB$1388:AB2309,"*")</f>
        <v>7475.8599999999715</v>
      </c>
      <c r="BT2308" s="343">
        <f>SUMIFS($AU$1388:AU2309,$AC$1388:AC2309,"*")</f>
        <v>31571.078121878119</v>
      </c>
      <c r="BU2308" s="343">
        <f>SUMIFS($AU$1388:AU2309,$AA$1388:AA2309,"*",$AB$1388:AB2309,"*")</f>
        <v>7915.9999999997544</v>
      </c>
      <c r="BV2308" s="343">
        <f>SUMIFS($AU$1388:AU2309,$AA$1388:AA2309,"*",$AC$1388:AC2309,"*")</f>
        <v>29696.036363636529</v>
      </c>
      <c r="BW2308" s="343">
        <f>SUMIFS($AU$1388:AU2309,$AB$1388:AB2309,"*",$AC$1388:AC2309,"*")</f>
        <v>3863.9999999999991</v>
      </c>
      <c r="BX2308" s="343">
        <f>SUMIFS($AV$1388:AV2309,$Q$1388:Q2309,"F")</f>
        <v>383.04019562430165</v>
      </c>
      <c r="BY2308" s="343">
        <f>SUMIFS($AV$1388:AV2309,$Q$1388:Q2309,"S")</f>
        <v>684.61134190572739</v>
      </c>
      <c r="BZ2308" s="343">
        <f>SUMIFS($AV$1388:AV2309,$Q$1388:Q2309,"O")</f>
        <v>378.55929999967736</v>
      </c>
    </row>
    <row r="2309" spans="1:78" ht="15.75" customHeight="1">
      <c r="A2309" s="177" t="s">
        <v>7249</v>
      </c>
      <c r="B2309" s="200">
        <v>45478</v>
      </c>
      <c r="C2309" s="178" t="s">
        <v>3137</v>
      </c>
      <c r="D2309" s="178" t="s">
        <v>111</v>
      </c>
      <c r="E2309" s="227"/>
      <c r="F2309" s="180"/>
      <c r="G2309" s="181" t="s">
        <v>6929</v>
      </c>
      <c r="H2309" s="182"/>
      <c r="I2309" s="182"/>
      <c r="J2309" s="182"/>
      <c r="K2309" s="183"/>
      <c r="L2309" s="182"/>
      <c r="M2309" s="182"/>
      <c r="N2309" s="182"/>
      <c r="O2309" s="183"/>
      <c r="P2309" s="183"/>
      <c r="Q2309" s="183"/>
      <c r="R2309" s="183"/>
      <c r="S2309" s="183"/>
      <c r="T2309" s="183"/>
      <c r="U2309" s="183"/>
      <c r="V2309" s="183"/>
      <c r="W2309" s="183"/>
      <c r="X2309" s="183"/>
      <c r="Y2309" s="184"/>
      <c r="Z2309" s="185"/>
      <c r="AA2309" s="185"/>
      <c r="AB2309" s="185"/>
      <c r="AC2309" s="185"/>
      <c r="AD2309" s="649"/>
      <c r="AE2309" s="182"/>
      <c r="AF2309" s="332"/>
      <c r="AG2309" s="182"/>
      <c r="AH2309" s="182"/>
      <c r="AI2309" s="182"/>
      <c r="AJ2309" s="640"/>
      <c r="AK2309" s="182"/>
      <c r="AL2309" s="496">
        <f t="shared" si="760"/>
        <v>0</v>
      </c>
      <c r="AM2309" s="496">
        <f t="shared" si="758"/>
        <v>0</v>
      </c>
      <c r="AN2309" s="626"/>
      <c r="AO2309" s="182"/>
      <c r="AP2309" s="182"/>
      <c r="AQ2309" s="332" t="str">
        <f>UPPER(RIGHT(Journal_Live[[#This Row],[DURATION ]]))</f>
        <v/>
      </c>
      <c r="AR2309" s="182"/>
      <c r="AS2309" s="189"/>
      <c r="AT2309" s="189">
        <f t="shared" si="762"/>
        <v>0</v>
      </c>
      <c r="AU2309" s="187">
        <f t="shared" si="763"/>
        <v>0</v>
      </c>
      <c r="AV2309" s="190">
        <f t="shared" si="761"/>
        <v>0</v>
      </c>
      <c r="AW2309" s="191"/>
      <c r="AX2309" s="551"/>
      <c r="AY2309" s="551"/>
      <c r="AZ2309" s="551"/>
      <c r="BA2309" s="551"/>
      <c r="BB2309" s="551"/>
      <c r="BC2309" s="551"/>
      <c r="BD2309" s="549"/>
      <c r="BE2309" s="550"/>
      <c r="BF2309" s="549"/>
      <c r="BG2309" s="391">
        <f>SUM($AV$1389:AV2309)</f>
        <v>6694.2108375297139</v>
      </c>
      <c r="BH2309" s="392">
        <f>SUM($AU$1389:AU2309)</f>
        <v>41228.423836163201</v>
      </c>
      <c r="BI2309" s="318">
        <f>SUMIFS($AU$1388:AU2310,$Q$1388:Q2310,"F")</f>
        <v>29235.078121878127</v>
      </c>
      <c r="BJ2309" s="318">
        <f>SUMIFS($AU$1388:AU2310,$Q$1388:Q2310,"S")</f>
        <v>16610.28571428571</v>
      </c>
      <c r="BK2309" s="343">
        <f>SUMIFS($AU$1388:AU2310,$P$1388:P2310,"W")</f>
        <v>15816.143836163405</v>
      </c>
      <c r="BL2309" s="343">
        <f>SUMIFS($AU$1388:AU2310,$P$1388:P2310,"R")</f>
        <v>22616.400000000325</v>
      </c>
      <c r="BM2309" s="343">
        <f>SUMIFS($AU$1388:AU2310,$AQ$1388:AQ2310,"M")</f>
        <v>8875.1799999983887</v>
      </c>
      <c r="BN2309" s="343">
        <f>SUMIFS($AU$1388:AU2310,$AQ$1388:AQ2310,"H")</f>
        <v>11643.200000000877</v>
      </c>
      <c r="BO2309" s="343">
        <f>SUMIFS($AU$1388:AU2310,$AQ$1388:AQ2310,"D")</f>
        <v>11794.377472527352</v>
      </c>
      <c r="BP2309" s="343">
        <f>SUMIFS($AS$1388:AS2696,$AO$1388:AO2696,"W")</f>
        <v>0</v>
      </c>
      <c r="BQ2309" s="343">
        <f>SUMIFS($AU$1388:AU2310,$Q$1388:Q2310,"O")</f>
        <v>-9340.9400000006026</v>
      </c>
      <c r="BR2309" s="343">
        <f>SUMIFS($AU$1388:AU2310,$AA$1388:AA2310,"*")</f>
        <v>38233.5220779214</v>
      </c>
      <c r="BS2309" s="343">
        <f>SUMIFS($AU$1388:AU2310,$AB$1388:AB2310,"*")</f>
        <v>7475.8599999999715</v>
      </c>
      <c r="BT2309" s="343">
        <f>SUMIFS($AU$1388:AU2310,$AC$1388:AC2310,"*")</f>
        <v>31571.078121878119</v>
      </c>
      <c r="BU2309" s="343">
        <f>SUMIFS($AU$1388:AU2310,$AA$1388:AA2310,"*",$AB$1388:AB2310,"*")</f>
        <v>7915.9999999997544</v>
      </c>
      <c r="BV2309" s="343">
        <f>SUMIFS($AU$1388:AU2310,$AA$1388:AA2310,"*",$AC$1388:AC2310,"*")</f>
        <v>29696.036363636529</v>
      </c>
      <c r="BW2309" s="343">
        <f>SUMIFS($AU$1388:AU2310,$AB$1388:AB2310,"*",$AC$1388:AC2310,"*")</f>
        <v>3863.9999999999991</v>
      </c>
      <c r="BX2309" s="343">
        <f>SUMIFS($AV$1388:AV2310,$Q$1388:Q2310,"F")</f>
        <v>383.04019562430165</v>
      </c>
      <c r="BY2309" s="343">
        <f>SUMIFS($AV$1388:AV2310,$Q$1388:Q2310,"S")</f>
        <v>684.61134190572739</v>
      </c>
      <c r="BZ2309" s="343">
        <f>SUMIFS($AV$1388:AV2310,$Q$1388:Q2310,"O")</f>
        <v>378.55929999967736</v>
      </c>
    </row>
    <row r="2310" spans="1:78" ht="15.75" customHeight="1">
      <c r="A2310" s="177" t="s">
        <v>7249</v>
      </c>
      <c r="B2310" s="200">
        <v>45478</v>
      </c>
      <c r="C2310" s="178" t="s">
        <v>6904</v>
      </c>
      <c r="D2310" s="178" t="s">
        <v>111</v>
      </c>
      <c r="E2310" s="227"/>
      <c r="F2310" s="180"/>
      <c r="G2310" s="553" t="s">
        <v>3334</v>
      </c>
      <c r="H2310" s="182"/>
      <c r="I2310" s="182"/>
      <c r="J2310" s="182"/>
      <c r="K2310" s="183"/>
      <c r="L2310" s="182"/>
      <c r="M2310" s="182">
        <v>1</v>
      </c>
      <c r="N2310" s="182"/>
      <c r="O2310" s="183" t="s">
        <v>95</v>
      </c>
      <c r="P2310" s="183" t="s">
        <v>96</v>
      </c>
      <c r="Q2310" s="183" t="s">
        <v>97</v>
      </c>
      <c r="R2310" s="183">
        <v>36</v>
      </c>
      <c r="S2310" s="183">
        <v>0</v>
      </c>
      <c r="T2310" s="183">
        <v>36</v>
      </c>
      <c r="U2310" s="183" t="s">
        <v>22</v>
      </c>
      <c r="V2310" s="183"/>
      <c r="W2310" s="183"/>
      <c r="X2310" s="183"/>
      <c r="Y2310" s="184">
        <f>IF(ISBLANK(O2310),"",(IF(O2310=UPPER("IB"),0.005,0.01)))</f>
        <v>0.01</v>
      </c>
      <c r="Z2310" s="185">
        <f>IF(ISBLANK(O2310),"",IF(O2310="IB",8.63*200,IF(O2310="IR",16*100,IF(O2310="YT",20*100,IF(O2310="YT-XT",24*200,IF(O2310="TED",80*100,IF(O2310="XT",29*200)))))))</f>
        <v>1600</v>
      </c>
      <c r="AA2310" s="185" t="s">
        <v>6091</v>
      </c>
      <c r="AB2310" s="185"/>
      <c r="AC2310" s="185"/>
      <c r="AD2310" s="649">
        <v>-0.1</v>
      </c>
      <c r="AE2310" s="182"/>
      <c r="AF2310" s="332"/>
      <c r="AG2310" s="182"/>
      <c r="AH2310" s="182"/>
      <c r="AI2310" s="182"/>
      <c r="AJ2310" s="640"/>
      <c r="AK2310" s="182"/>
      <c r="AL2310" s="496">
        <f t="shared" si="760"/>
        <v>-32</v>
      </c>
      <c r="AM2310" s="496">
        <f t="shared" si="758"/>
        <v>-1152</v>
      </c>
      <c r="AN2310" s="626"/>
      <c r="AO2310" s="182"/>
      <c r="AP2310" s="182"/>
      <c r="AQ2310" s="332" t="s">
        <v>115</v>
      </c>
      <c r="AR2310" s="182"/>
      <c r="AS2310" s="189">
        <v>-0.1</v>
      </c>
      <c r="AT2310" s="189">
        <f t="shared" si="762"/>
        <v>0</v>
      </c>
      <c r="AU2310" s="187">
        <f t="shared" si="763"/>
        <v>0</v>
      </c>
      <c r="AV2310" s="190">
        <f t="shared" si="761"/>
        <v>0</v>
      </c>
      <c r="AW2310" s="191" t="s">
        <v>115</v>
      </c>
      <c r="AX2310" s="551"/>
      <c r="AY2310" s="551"/>
      <c r="AZ2310" s="551"/>
      <c r="BA2310" s="551"/>
      <c r="BB2310" s="551"/>
      <c r="BC2310" s="551"/>
      <c r="BD2310" s="549"/>
      <c r="BE2310" s="550"/>
      <c r="BF2310" s="549"/>
      <c r="BG2310" s="391">
        <f>SUM($AV$1389:AV2310)</f>
        <v>6694.2108375297139</v>
      </c>
      <c r="BH2310" s="392">
        <f>SUM($AU$1389:AU2310)</f>
        <v>41228.423836163201</v>
      </c>
      <c r="BI2310" s="318">
        <f>SUMIFS($AU$1388:AU2311,$Q$1388:Q2311,"F")</f>
        <v>29235.078121878127</v>
      </c>
      <c r="BJ2310" s="318">
        <f>SUMIFS($AU$1388:AU2311,$Q$1388:Q2311,"S")</f>
        <v>16610.28571428571</v>
      </c>
      <c r="BK2310" s="343">
        <f>SUMIFS($AU$1388:AU2311,$P$1388:P2311,"W")</f>
        <v>15816.143836163405</v>
      </c>
      <c r="BL2310" s="343">
        <f>SUMIFS($AU$1388:AU2311,$P$1388:P2311,"R")</f>
        <v>22616.400000000325</v>
      </c>
      <c r="BM2310" s="343">
        <f>SUMIFS($AU$1388:AU2311,$AQ$1388:AQ2311,"M")</f>
        <v>8875.1799999983887</v>
      </c>
      <c r="BN2310" s="343">
        <f>SUMIFS($AU$1388:AU2311,$AQ$1388:AQ2311,"H")</f>
        <v>11643.200000000877</v>
      </c>
      <c r="BO2310" s="343">
        <f>SUMIFS($AU$1388:AU2311,$AQ$1388:AQ2311,"D")</f>
        <v>11794.377472527352</v>
      </c>
      <c r="BP2310" s="343">
        <f>SUMIFS($AS$1388:AS2697,$AO$1388:AO2697,"W")</f>
        <v>0</v>
      </c>
      <c r="BQ2310" s="343">
        <f>SUMIFS($AU$1388:AU2311,$Q$1388:Q2311,"O")</f>
        <v>-9340.9400000006026</v>
      </c>
      <c r="BR2310" s="343">
        <f>SUMIFS($AU$1388:AU2311,$AA$1388:AA2311,"*")</f>
        <v>38233.5220779214</v>
      </c>
      <c r="BS2310" s="343">
        <f>SUMIFS($AU$1388:AU2311,$AB$1388:AB2311,"*")</f>
        <v>7475.8599999999715</v>
      </c>
      <c r="BT2310" s="343">
        <f>SUMIFS($AU$1388:AU2311,$AC$1388:AC2311,"*")</f>
        <v>31571.078121878119</v>
      </c>
      <c r="BU2310" s="343">
        <f>SUMIFS($AU$1388:AU2311,$AA$1388:AA2311,"*",$AB$1388:AB2311,"*")</f>
        <v>7915.9999999997544</v>
      </c>
      <c r="BV2310" s="343">
        <f>SUMIFS($AU$1388:AU2311,$AA$1388:AA2311,"*",$AC$1388:AC2311,"*")</f>
        <v>29696.036363636529</v>
      </c>
      <c r="BW2310" s="343">
        <f>SUMIFS($AU$1388:AU2311,$AB$1388:AB2311,"*",$AC$1388:AC2311,"*")</f>
        <v>3863.9999999999991</v>
      </c>
      <c r="BX2310" s="343">
        <f>SUMIFS($AV$1388:AV2311,$Q$1388:Q2311,"F")</f>
        <v>383.04019562430165</v>
      </c>
      <c r="BY2310" s="343">
        <f>SUMIFS($AV$1388:AV2311,$Q$1388:Q2311,"S")</f>
        <v>684.61134190572739</v>
      </c>
      <c r="BZ2310" s="343">
        <f>SUMIFS($AV$1388:AV2311,$Q$1388:Q2311,"O")</f>
        <v>378.55929999967736</v>
      </c>
    </row>
    <row r="2311" spans="1:78" ht="15.75" customHeight="1">
      <c r="A2311" s="177" t="s">
        <v>7249</v>
      </c>
      <c r="B2311" s="200">
        <v>45481</v>
      </c>
      <c r="C2311" s="178" t="s">
        <v>7303</v>
      </c>
      <c r="D2311" s="178" t="s">
        <v>111</v>
      </c>
      <c r="E2311" s="227"/>
      <c r="F2311" s="180"/>
      <c r="G2311" s="181" t="s">
        <v>7277</v>
      </c>
      <c r="H2311" s="182"/>
      <c r="I2311" s="182"/>
      <c r="J2311" s="182"/>
      <c r="K2311" s="183"/>
      <c r="L2311" s="182"/>
      <c r="M2311" s="182"/>
      <c r="N2311" s="182"/>
      <c r="O2311" s="183"/>
      <c r="P2311" s="183"/>
      <c r="Q2311" s="183"/>
      <c r="R2311" s="183"/>
      <c r="S2311" s="183"/>
      <c r="T2311" s="183"/>
      <c r="U2311" s="183"/>
      <c r="V2311" s="183"/>
      <c r="W2311" s="183"/>
      <c r="X2311" s="183"/>
      <c r="Y2311" s="184"/>
      <c r="Z2311" s="185"/>
      <c r="AA2311" s="185"/>
      <c r="AB2311" s="185"/>
      <c r="AC2311" s="185"/>
      <c r="AD2311" s="649"/>
      <c r="AE2311" s="182"/>
      <c r="AF2311" s="332"/>
      <c r="AG2311" s="182"/>
      <c r="AH2311" s="182"/>
      <c r="AI2311" s="182"/>
      <c r="AJ2311" s="640"/>
      <c r="AK2311" s="182"/>
      <c r="AL2311" s="496">
        <f t="shared" si="760"/>
        <v>0</v>
      </c>
      <c r="AM2311" s="496">
        <f t="shared" si="758"/>
        <v>0</v>
      </c>
      <c r="AN2311" s="626"/>
      <c r="AO2311" s="182"/>
      <c r="AP2311" s="182"/>
      <c r="AQ2311" s="332" t="str">
        <f>UPPER(RIGHT(Journal_Live[[#This Row],[DURATION ]]))</f>
        <v/>
      </c>
      <c r="AR2311" s="182"/>
      <c r="AS2311" s="189"/>
      <c r="AT2311" s="189">
        <f t="shared" si="762"/>
        <v>0</v>
      </c>
      <c r="AU2311" s="187">
        <f t="shared" si="763"/>
        <v>0</v>
      </c>
      <c r="AV2311" s="190">
        <f t="shared" si="761"/>
        <v>0</v>
      </c>
      <c r="AW2311" s="191"/>
      <c r="AX2311" s="551" t="s">
        <v>7304</v>
      </c>
      <c r="AY2311" s="551" t="s">
        <v>7305</v>
      </c>
      <c r="AZ2311" s="551" t="s">
        <v>6091</v>
      </c>
      <c r="BA2311" s="551" t="s">
        <v>7306</v>
      </c>
      <c r="BB2311" s="551" t="s">
        <v>7307</v>
      </c>
      <c r="BC2311" s="551"/>
      <c r="BD2311" s="549"/>
      <c r="BE2311" s="550"/>
      <c r="BF2311" s="549"/>
      <c r="BG2311" s="391">
        <f>SUM($AV$1389:AV2311)</f>
        <v>6694.2108375297139</v>
      </c>
      <c r="BH2311" s="392">
        <f>SUM($AU$1389:AU2311)</f>
        <v>41228.423836163201</v>
      </c>
      <c r="BI2311" s="318">
        <f>SUMIFS($AU$1388:AU2312,$Q$1388:Q2312,"F")</f>
        <v>29235.078121878127</v>
      </c>
      <c r="BJ2311" s="318">
        <f>SUMIFS($AU$1388:AU2312,$Q$1388:Q2312,"S")</f>
        <v>16866.285714285717</v>
      </c>
      <c r="BK2311" s="343">
        <f>SUMIFS($AU$1388:AU2312,$P$1388:P2312,"W")</f>
        <v>16072.14383616341</v>
      </c>
      <c r="BL2311" s="343">
        <f>SUMIFS($AU$1388:AU2312,$P$1388:P2312,"R")</f>
        <v>22616.400000000325</v>
      </c>
      <c r="BM2311" s="343">
        <f>SUMIFS($AU$1388:AU2312,$AQ$1388:AQ2312,"M")</f>
        <v>8875.1799999983887</v>
      </c>
      <c r="BN2311" s="343">
        <f>SUMIFS($AU$1388:AU2312,$AQ$1388:AQ2312,"H")</f>
        <v>11643.200000000877</v>
      </c>
      <c r="BO2311" s="343">
        <f>SUMIFS($AU$1388:AU2312,$AQ$1388:AQ2312,"D")</f>
        <v>12050.377472527358</v>
      </c>
      <c r="BP2311" s="343">
        <f>SUMIFS($AS$1388:AS2698,$AO$1388:AO2698,"W")</f>
        <v>0</v>
      </c>
      <c r="BQ2311" s="343">
        <f>SUMIFS($AU$1388:AU2312,$Q$1388:Q2312,"O")</f>
        <v>-9340.9400000006026</v>
      </c>
      <c r="BR2311" s="343">
        <f>SUMIFS($AU$1388:AU2312,$AA$1388:AA2312,"*")</f>
        <v>38489.522077921407</v>
      </c>
      <c r="BS2311" s="343">
        <f>SUMIFS($AU$1388:AU2312,$AB$1388:AB2312,"*")</f>
        <v>7475.8599999999715</v>
      </c>
      <c r="BT2311" s="343">
        <f>SUMIFS($AU$1388:AU2312,$AC$1388:AC2312,"*")</f>
        <v>31571.078121878119</v>
      </c>
      <c r="BU2311" s="343">
        <f>SUMIFS($AU$1388:AU2312,$AA$1388:AA2312,"*",$AB$1388:AB2312,"*")</f>
        <v>7915.9999999997544</v>
      </c>
      <c r="BV2311" s="343">
        <f>SUMIFS($AU$1388:AU2312,$AA$1388:AA2312,"*",$AC$1388:AC2312,"*")</f>
        <v>29696.036363636529</v>
      </c>
      <c r="BW2311" s="343">
        <f>SUMIFS($AU$1388:AU2312,$AB$1388:AB2312,"*",$AC$1388:AC2312,"*")</f>
        <v>3863.9999999999991</v>
      </c>
      <c r="BX2311" s="343">
        <f>SUMIFS($AV$1388:AV2312,$Q$1388:Q2312,"F")</f>
        <v>383.04019562430165</v>
      </c>
      <c r="BY2311" s="343">
        <f>SUMIFS($AV$1388:AV2312,$Q$1388:Q2312,"S")</f>
        <v>689.94467523906087</v>
      </c>
      <c r="BZ2311" s="343">
        <f>SUMIFS($AV$1388:AV2312,$Q$1388:Q2312,"O")</f>
        <v>378.55929999967736</v>
      </c>
    </row>
    <row r="2312" spans="1:78" ht="15.75" customHeight="1">
      <c r="A2312" s="177" t="s">
        <v>7249</v>
      </c>
      <c r="B2312" s="200">
        <v>45481</v>
      </c>
      <c r="C2312" s="178" t="s">
        <v>7308</v>
      </c>
      <c r="D2312" s="178" t="s">
        <v>132</v>
      </c>
      <c r="E2312" s="227"/>
      <c r="F2312" s="180"/>
      <c r="G2312" s="553" t="s">
        <v>6929</v>
      </c>
      <c r="H2312" s="182"/>
      <c r="I2312" s="182"/>
      <c r="J2312" s="182"/>
      <c r="K2312" s="183"/>
      <c r="L2312" s="182"/>
      <c r="M2312" s="182">
        <v>1</v>
      </c>
      <c r="N2312" s="182"/>
      <c r="O2312" s="183" t="s">
        <v>95</v>
      </c>
      <c r="P2312" s="183" t="s">
        <v>96</v>
      </c>
      <c r="Q2312" s="183" t="s">
        <v>97</v>
      </c>
      <c r="R2312" s="183">
        <v>48</v>
      </c>
      <c r="S2312" s="183">
        <v>16</v>
      </c>
      <c r="T2312" s="183">
        <v>14</v>
      </c>
      <c r="U2312" s="183" t="s">
        <v>22</v>
      </c>
      <c r="V2312" s="183"/>
      <c r="W2312" s="183"/>
      <c r="X2312" s="183"/>
      <c r="Y2312" s="184">
        <f>IF(ISBLANK(O2312),"",(IF(O2312=UPPER("IB"),0.005,0.01)))</f>
        <v>0.01</v>
      </c>
      <c r="Z2312" s="185">
        <f>IF(ISBLANK(O2312),"",IF(O2312="IB",8.63*200,IF(O2312="IR",16*100,IF(O2312="YT",20*100,IF(O2312="YT-XT",24*200,IF(O2312="TED",80*100,IF(O2312="IR|YT",300*100)))))))</f>
        <v>1600</v>
      </c>
      <c r="AA2312" s="185" t="s">
        <v>7309</v>
      </c>
      <c r="AB2312" s="185"/>
      <c r="AC2312" s="185"/>
      <c r="AD2312" s="649">
        <f>((-0.37*32)+(-0.38*16))/48</f>
        <v>-0.37333333333333335</v>
      </c>
      <c r="AE2312" s="182"/>
      <c r="AF2312" s="332"/>
      <c r="AG2312" s="182"/>
      <c r="AH2312" s="182"/>
      <c r="AI2312" s="182"/>
      <c r="AJ2312" s="640"/>
      <c r="AK2312" s="182"/>
      <c r="AL2312" s="496">
        <f t="shared" si="760"/>
        <v>-32</v>
      </c>
      <c r="AM2312" s="496">
        <f t="shared" si="758"/>
        <v>-1024</v>
      </c>
      <c r="AN2312" s="626"/>
      <c r="AO2312" s="182"/>
      <c r="AP2312" s="182" t="s">
        <v>827</v>
      </c>
      <c r="AQ2312" s="332" t="s">
        <v>115</v>
      </c>
      <c r="AR2312" s="182" t="s">
        <v>7299</v>
      </c>
      <c r="AS2312" s="189">
        <f>((-0.37*16)+(-0.37*32))/48</f>
        <v>-0.36999999999999994</v>
      </c>
      <c r="AT2312" s="189">
        <f t="shared" si="762"/>
        <v>3.3333333333334103E-3</v>
      </c>
      <c r="AU2312" s="187">
        <f t="shared" si="763"/>
        <v>256.00000000000591</v>
      </c>
      <c r="AV2312" s="190">
        <f t="shared" si="761"/>
        <v>5.3333333333334565</v>
      </c>
      <c r="AW2312" s="191" t="s">
        <v>96</v>
      </c>
      <c r="AX2312" s="551"/>
      <c r="AY2312" s="551"/>
      <c r="AZ2312" s="551"/>
      <c r="BA2312" s="551"/>
      <c r="BB2312" s="551"/>
      <c r="BC2312" s="551"/>
      <c r="BD2312" s="549"/>
      <c r="BE2312" s="550"/>
      <c r="BF2312" s="549"/>
      <c r="BG2312" s="391">
        <f>SUM($AV$1389:AV2312)</f>
        <v>6699.5441708630469</v>
      </c>
      <c r="BH2312" s="392">
        <f>SUM($AU$1389:AU2312)</f>
        <v>41484.423836163209</v>
      </c>
      <c r="BI2312" s="318">
        <f>SUMIFS($AU$1388:AU2313,$Q$1388:Q2313,"F")</f>
        <v>29235.078121878127</v>
      </c>
      <c r="BJ2312" s="318">
        <f>SUMIFS($AU$1388:AU2313,$Q$1388:Q2313,"S")</f>
        <v>16866.285714285717</v>
      </c>
      <c r="BK2312" s="343">
        <f>SUMIFS($AU$1388:AU2313,$P$1388:P2313,"W")</f>
        <v>16072.14383616341</v>
      </c>
      <c r="BL2312" s="343">
        <f>SUMIFS($AU$1388:AU2313,$P$1388:P2313,"R")</f>
        <v>22616.400000000325</v>
      </c>
      <c r="BM2312" s="343">
        <f>SUMIFS($AU$1388:AU2313,$AQ$1388:AQ2313,"M")</f>
        <v>8875.1799999983887</v>
      </c>
      <c r="BN2312" s="343">
        <f>SUMIFS($AU$1388:AU2313,$AQ$1388:AQ2313,"H")</f>
        <v>11643.200000000877</v>
      </c>
      <c r="BO2312" s="343">
        <f>SUMIFS($AU$1388:AU2313,$AQ$1388:AQ2313,"D")</f>
        <v>12050.377472527358</v>
      </c>
      <c r="BP2312" s="343">
        <f>SUMIFS($AS$1388:AS2699,$AO$1388:AO2699,"W")</f>
        <v>0</v>
      </c>
      <c r="BQ2312" s="343">
        <f>SUMIFS($AU$1388:AU2313,$Q$1388:Q2313,"O")</f>
        <v>-9340.9400000006026</v>
      </c>
      <c r="BR2312" s="343">
        <f>SUMIFS($AU$1388:AU2313,$AA$1388:AA2313,"*")</f>
        <v>38489.522077921407</v>
      </c>
      <c r="BS2312" s="343">
        <f>SUMIFS($AU$1388:AU2313,$AB$1388:AB2313,"*")</f>
        <v>7475.8599999999715</v>
      </c>
      <c r="BT2312" s="343">
        <f>SUMIFS($AU$1388:AU2313,$AC$1388:AC2313,"*")</f>
        <v>31571.078121878119</v>
      </c>
      <c r="BU2312" s="343">
        <f>SUMIFS($AU$1388:AU2313,$AA$1388:AA2313,"*",$AB$1388:AB2313,"*")</f>
        <v>7915.9999999997544</v>
      </c>
      <c r="BV2312" s="343">
        <f>SUMIFS($AU$1388:AU2313,$AA$1388:AA2313,"*",$AC$1388:AC2313,"*")</f>
        <v>29696.036363636529</v>
      </c>
      <c r="BW2312" s="343">
        <f>SUMIFS($AU$1388:AU2313,$AB$1388:AB2313,"*",$AC$1388:AC2313,"*")</f>
        <v>3863.9999999999991</v>
      </c>
      <c r="BX2312" s="343">
        <f>SUMIFS($AV$1388:AV2313,$Q$1388:Q2313,"F")</f>
        <v>383.04019562430165</v>
      </c>
      <c r="BY2312" s="343">
        <f>SUMIFS($AV$1388:AV2313,$Q$1388:Q2313,"S")</f>
        <v>689.94467523906087</v>
      </c>
      <c r="BZ2312" s="343">
        <f>SUMIFS($AV$1388:AV2313,$Q$1388:Q2313,"O")</f>
        <v>378.55929999967736</v>
      </c>
    </row>
    <row r="2313" spans="1:78" ht="15.75" customHeight="1">
      <c r="A2313" s="177" t="s">
        <v>7249</v>
      </c>
      <c r="B2313" s="200"/>
      <c r="C2313" s="178"/>
      <c r="D2313" s="178"/>
      <c r="E2313" s="227"/>
      <c r="F2313" s="180"/>
      <c r="G2313" s="181"/>
      <c r="H2313" s="182"/>
      <c r="I2313" s="182"/>
      <c r="J2313" s="182"/>
      <c r="K2313" s="183"/>
      <c r="L2313" s="182"/>
      <c r="M2313" s="182"/>
      <c r="N2313" s="182"/>
      <c r="O2313" s="183"/>
      <c r="P2313" s="183"/>
      <c r="Q2313" s="183"/>
      <c r="R2313" s="183"/>
      <c r="S2313" s="183"/>
      <c r="T2313" s="183"/>
      <c r="U2313" s="183"/>
      <c r="V2313" s="183"/>
      <c r="W2313" s="183"/>
      <c r="X2313" s="183"/>
      <c r="Y2313" s="184"/>
      <c r="Z2313" s="185"/>
      <c r="AA2313" s="185"/>
      <c r="AB2313" s="185"/>
      <c r="AC2313" s="185"/>
      <c r="AD2313" s="649"/>
      <c r="AE2313" s="182"/>
      <c r="AF2313" s="332"/>
      <c r="AG2313" s="182"/>
      <c r="AH2313" s="182"/>
      <c r="AI2313" s="182"/>
      <c r="AJ2313" s="640"/>
      <c r="AK2313" s="182"/>
      <c r="AL2313" s="496">
        <f t="shared" si="760"/>
        <v>0</v>
      </c>
      <c r="AM2313" s="496">
        <f t="shared" si="758"/>
        <v>0</v>
      </c>
      <c r="AN2313" s="626"/>
      <c r="AO2313" s="182"/>
      <c r="AP2313" s="182"/>
      <c r="AQ2313" s="332" t="str">
        <f>UPPER(RIGHT(Journal_Live[[#This Row],[DURATION ]]))</f>
        <v/>
      </c>
      <c r="AR2313" s="182"/>
      <c r="AS2313" s="189"/>
      <c r="AT2313" s="189">
        <f t="shared" si="762"/>
        <v>0</v>
      </c>
      <c r="AU2313" s="187">
        <f t="shared" si="763"/>
        <v>0</v>
      </c>
      <c r="AV2313" s="190">
        <f t="shared" si="761"/>
        <v>0</v>
      </c>
      <c r="AW2313" s="191"/>
      <c r="AX2313" s="551" t="s">
        <v>7310</v>
      </c>
      <c r="AY2313" s="551"/>
      <c r="AZ2313" s="551"/>
      <c r="BA2313" s="551"/>
      <c r="BB2313" s="551"/>
      <c r="BC2313" s="551"/>
      <c r="BD2313" s="549"/>
      <c r="BE2313" s="550"/>
      <c r="BF2313" s="549"/>
      <c r="BG2313" s="391">
        <f>SUM($AV$1389:AV2313)</f>
        <v>6699.5441708630469</v>
      </c>
      <c r="BH2313" s="392">
        <f>SUM($AU$1389:AU2313)</f>
        <v>41484.423836163209</v>
      </c>
      <c r="BI2313" s="318">
        <f>SUMIFS($AU$1388:AU2314,$Q$1388:Q2314,"F")</f>
        <v>29347.078121878127</v>
      </c>
      <c r="BJ2313" s="318">
        <f>SUMIFS($AU$1388:AU2314,$Q$1388:Q2314,"S")</f>
        <v>16866.285714285717</v>
      </c>
      <c r="BK2313" s="343">
        <f>SUMIFS($AU$1388:AU2314,$P$1388:P2314,"W")</f>
        <v>16072.14383616341</v>
      </c>
      <c r="BL2313" s="343">
        <f>SUMIFS($AU$1388:AU2314,$P$1388:P2314,"R")</f>
        <v>22728.400000000325</v>
      </c>
      <c r="BM2313" s="343">
        <f>SUMIFS($AU$1388:AU2314,$AQ$1388:AQ2314,"M")</f>
        <v>8875.1799999983887</v>
      </c>
      <c r="BN2313" s="343">
        <f>SUMIFS($AU$1388:AU2314,$AQ$1388:AQ2314,"H")</f>
        <v>11643.200000000877</v>
      </c>
      <c r="BO2313" s="343">
        <f>SUMIFS($AU$1388:AU2314,$AQ$1388:AQ2314,"D")</f>
        <v>12162.377472527358</v>
      </c>
      <c r="BP2313" s="343">
        <f>SUMIFS($AS$1388:AS2700,$AO$1388:AO2700,"W")</f>
        <v>0</v>
      </c>
      <c r="BQ2313" s="343">
        <f>SUMIFS($AU$1388:AU2314,$Q$1388:Q2314,"O")</f>
        <v>-9340.9400000006026</v>
      </c>
      <c r="BR2313" s="343">
        <f>SUMIFS($AU$1388:AU2314,$AA$1388:AA2314,"*")</f>
        <v>38601.522077921407</v>
      </c>
      <c r="BS2313" s="343">
        <f>SUMIFS($AU$1388:AU2314,$AB$1388:AB2314,"*")</f>
        <v>7475.8599999999715</v>
      </c>
      <c r="BT2313" s="343">
        <f>SUMIFS($AU$1388:AU2314,$AC$1388:AC2314,"*")</f>
        <v>31683.078121878119</v>
      </c>
      <c r="BU2313" s="343">
        <f>SUMIFS($AU$1388:AU2314,$AA$1388:AA2314,"*",$AB$1388:AB2314,"*")</f>
        <v>7915.9999999997544</v>
      </c>
      <c r="BV2313" s="343">
        <f>SUMIFS($AU$1388:AU2314,$AA$1388:AA2314,"*",$AC$1388:AC2314,"*")</f>
        <v>29808.036363636529</v>
      </c>
      <c r="BW2313" s="343">
        <f>SUMIFS($AU$1388:AU2314,$AB$1388:AB2314,"*",$AC$1388:AC2314,"*")</f>
        <v>3863.9999999999991</v>
      </c>
      <c r="BX2313" s="343">
        <f>SUMIFS($AV$1388:AV2314,$Q$1388:Q2314,"F")</f>
        <v>399.04019562430165</v>
      </c>
      <c r="BY2313" s="343">
        <f>SUMIFS($AV$1388:AV2314,$Q$1388:Q2314,"S")</f>
        <v>689.94467523906087</v>
      </c>
      <c r="BZ2313" s="343">
        <f>SUMIFS($AV$1388:AV2314,$Q$1388:Q2314,"O")</f>
        <v>378.55929999967736</v>
      </c>
    </row>
    <row r="2314" spans="1:78" ht="15.75" customHeight="1">
      <c r="A2314" s="177" t="s">
        <v>7249</v>
      </c>
      <c r="B2314" s="200">
        <v>45483</v>
      </c>
      <c r="C2314" s="178" t="s">
        <v>379</v>
      </c>
      <c r="D2314" s="178" t="s">
        <v>151</v>
      </c>
      <c r="E2314" s="227"/>
      <c r="F2314" s="180"/>
      <c r="G2314" s="490" t="s">
        <v>7311</v>
      </c>
      <c r="H2314" s="182"/>
      <c r="I2314" s="182"/>
      <c r="J2314" s="182"/>
      <c r="K2314" s="183"/>
      <c r="L2314" s="182"/>
      <c r="M2314" s="182">
        <v>2</v>
      </c>
      <c r="N2314" s="182"/>
      <c r="O2314" s="183" t="s">
        <v>95</v>
      </c>
      <c r="P2314" s="183" t="s">
        <v>137</v>
      </c>
      <c r="Q2314" s="183" t="s">
        <v>256</v>
      </c>
      <c r="R2314" s="183">
        <v>7</v>
      </c>
      <c r="S2314" s="183">
        <v>0</v>
      </c>
      <c r="T2314" s="183">
        <v>7</v>
      </c>
      <c r="U2314" s="183" t="s">
        <v>97</v>
      </c>
      <c r="V2314" s="183"/>
      <c r="W2314" s="183"/>
      <c r="X2314" s="183"/>
      <c r="Y2314" s="184">
        <f>IF(ISBLANK(O2314),"",(IF(O2314=UPPER("IB"),0.005,0.01)))</f>
        <v>0.01</v>
      </c>
      <c r="Z2314" s="185">
        <f>IF(ISBLANK(O2314),"",IF(O2314="IB",8.63*200,IF(O2314="IR",16*100,IF(O2314="YT",20*100,IF(O2314="YT-XT",24*200,IF(O2314="TED",80*100,IF(O2314="IR|YT",300*100)))))))</f>
        <v>1600</v>
      </c>
      <c r="AA2314" s="185" t="s">
        <v>7312</v>
      </c>
      <c r="AB2314" s="185"/>
      <c r="AC2314" s="185" t="s">
        <v>5818</v>
      </c>
      <c r="AD2314" s="649">
        <v>0.02</v>
      </c>
      <c r="AE2314" s="182"/>
      <c r="AF2314" s="332"/>
      <c r="AG2314" s="182"/>
      <c r="AH2314" s="182"/>
      <c r="AI2314" s="182"/>
      <c r="AJ2314" s="640" t="s">
        <v>7313</v>
      </c>
      <c r="AK2314" s="182"/>
      <c r="AL2314" s="496">
        <f t="shared" si="760"/>
        <v>-32</v>
      </c>
      <c r="AM2314" s="496">
        <f t="shared" ref="AM2314:AM2342" si="764">AL2314*(R2314-S2314)</f>
        <v>-224</v>
      </c>
      <c r="AN2314" s="626"/>
      <c r="AO2314" s="182"/>
      <c r="AP2314" s="182"/>
      <c r="AQ2314" s="332" t="s">
        <v>115</v>
      </c>
      <c r="AR2314" s="182" t="s">
        <v>7314</v>
      </c>
      <c r="AS2314" s="189">
        <v>0.01</v>
      </c>
      <c r="AT2314" s="189">
        <f t="shared" si="762"/>
        <v>0.01</v>
      </c>
      <c r="AU2314" s="187">
        <f t="shared" si="763"/>
        <v>112</v>
      </c>
      <c r="AV2314" s="190">
        <f t="shared" si="761"/>
        <v>16</v>
      </c>
      <c r="AW2314" s="191" t="s">
        <v>96</v>
      </c>
      <c r="AX2314" s="551"/>
      <c r="AY2314" s="551"/>
      <c r="AZ2314" s="551"/>
      <c r="BA2314" s="551"/>
      <c r="BB2314" s="551"/>
      <c r="BC2314" s="551"/>
      <c r="BD2314" s="549"/>
      <c r="BE2314" s="550"/>
      <c r="BF2314" s="549"/>
      <c r="BG2314" s="391">
        <f>SUM($AV$1389:AV2314)</f>
        <v>6715.5441708630469</v>
      </c>
      <c r="BH2314" s="392">
        <f>SUM($AU$1389:AU2314)</f>
        <v>41596.423836163209</v>
      </c>
      <c r="BI2314" s="318">
        <f>SUMIFS($AU$1388:AU2315,$Q$1388:Q2315,"F")</f>
        <v>29347.078121878127</v>
      </c>
      <c r="BJ2314" s="318">
        <f>SUMIFS($AU$1388:AU2315,$Q$1388:Q2315,"S")</f>
        <v>16866.285714285717</v>
      </c>
      <c r="BK2314" s="343">
        <f>SUMIFS($AU$1388:AU2315,$P$1388:P2315,"W")</f>
        <v>16072.14383616341</v>
      </c>
      <c r="BL2314" s="343">
        <f>SUMIFS($AU$1388:AU2315,$P$1388:P2315,"R")</f>
        <v>22728.400000000325</v>
      </c>
      <c r="BM2314" s="343">
        <f>SUMIFS($AU$1388:AU2315,$AQ$1388:AQ2315,"M")</f>
        <v>8875.1799999983887</v>
      </c>
      <c r="BN2314" s="343">
        <f>SUMIFS($AU$1388:AU2315,$AQ$1388:AQ2315,"H")</f>
        <v>11643.200000000877</v>
      </c>
      <c r="BO2314" s="343">
        <f>SUMIFS($AU$1388:AU2315,$AQ$1388:AQ2315,"D")</f>
        <v>12162.377472527358</v>
      </c>
      <c r="BP2314" s="343">
        <f>SUMIFS($AS$1388:AS2701,$AO$1388:AO2701,"W")</f>
        <v>0</v>
      </c>
      <c r="BQ2314" s="343">
        <f>SUMIFS($AU$1388:AU2315,$Q$1388:Q2315,"O")</f>
        <v>-9340.9400000006026</v>
      </c>
      <c r="BR2314" s="343">
        <f>SUMIFS($AU$1388:AU2315,$AA$1388:AA2315,"*")</f>
        <v>38601.522077921407</v>
      </c>
      <c r="BS2314" s="343">
        <f>SUMIFS($AU$1388:AU2315,$AB$1388:AB2315,"*")</f>
        <v>7475.8599999999715</v>
      </c>
      <c r="BT2314" s="343">
        <f>SUMIFS($AU$1388:AU2315,$AC$1388:AC2315,"*")</f>
        <v>31683.078121878119</v>
      </c>
      <c r="BU2314" s="343">
        <f>SUMIFS($AU$1388:AU2315,$AA$1388:AA2315,"*",$AB$1388:AB2315,"*")</f>
        <v>7915.9999999997544</v>
      </c>
      <c r="BV2314" s="343">
        <f>SUMIFS($AU$1388:AU2315,$AA$1388:AA2315,"*",$AC$1388:AC2315,"*")</f>
        <v>29808.036363636529</v>
      </c>
      <c r="BW2314" s="343">
        <f>SUMIFS($AU$1388:AU2315,$AB$1388:AB2315,"*",$AC$1388:AC2315,"*")</f>
        <v>3863.9999999999991</v>
      </c>
      <c r="BX2314" s="343">
        <f>SUMIFS($AV$1388:AV2315,$Q$1388:Q2315,"F")</f>
        <v>399.04019562430165</v>
      </c>
      <c r="BY2314" s="343">
        <f>SUMIFS($AV$1388:AV2315,$Q$1388:Q2315,"S")</f>
        <v>689.94467523906087</v>
      </c>
      <c r="BZ2314" s="343">
        <f>SUMIFS($AV$1388:AV2315,$Q$1388:Q2315,"O")</f>
        <v>378.55929999967736</v>
      </c>
    </row>
    <row r="2315" spans="1:78" ht="15.75" customHeight="1">
      <c r="A2315" s="177" t="s">
        <v>7249</v>
      </c>
      <c r="B2315" s="200"/>
      <c r="C2315" s="178"/>
      <c r="D2315" s="178"/>
      <c r="E2315" s="227"/>
      <c r="F2315" s="180"/>
      <c r="G2315" s="181"/>
      <c r="H2315" s="182"/>
      <c r="I2315" s="182"/>
      <c r="J2315" s="182"/>
      <c r="K2315" s="183"/>
      <c r="L2315" s="182"/>
      <c r="M2315" s="182"/>
      <c r="N2315" s="182"/>
      <c r="O2315" s="183"/>
      <c r="P2315" s="183"/>
      <c r="Q2315" s="183"/>
      <c r="R2315" s="183"/>
      <c r="S2315" s="183"/>
      <c r="T2315" s="183"/>
      <c r="U2315" s="183"/>
      <c r="V2315" s="183"/>
      <c r="W2315" s="183"/>
      <c r="X2315" s="183"/>
      <c r="Y2315" s="184"/>
      <c r="Z2315" s="185"/>
      <c r="AA2315" s="185"/>
      <c r="AB2315" s="185"/>
      <c r="AC2315" s="185"/>
      <c r="AD2315" s="649"/>
      <c r="AE2315" s="182"/>
      <c r="AF2315" s="332"/>
      <c r="AG2315" s="182"/>
      <c r="AH2315" s="182"/>
      <c r="AI2315" s="182"/>
      <c r="AJ2315" s="640"/>
      <c r="AK2315" s="182"/>
      <c r="AL2315" s="496">
        <f t="shared" si="760"/>
        <v>0</v>
      </c>
      <c r="AM2315" s="496">
        <f t="shared" si="764"/>
        <v>0</v>
      </c>
      <c r="AN2315" s="626"/>
      <c r="AO2315" s="182"/>
      <c r="AP2315" s="182"/>
      <c r="AQ2315" s="332" t="str">
        <f>UPPER(RIGHT(Journal_Live[[#This Row],[DURATION ]]))</f>
        <v/>
      </c>
      <c r="AR2315" s="182"/>
      <c r="AS2315" s="189"/>
      <c r="AT2315" s="189">
        <f t="shared" si="762"/>
        <v>0</v>
      </c>
      <c r="AU2315" s="187">
        <f t="shared" si="763"/>
        <v>0</v>
      </c>
      <c r="AV2315" s="190">
        <f t="shared" si="761"/>
        <v>0</v>
      </c>
      <c r="AW2315" s="191"/>
      <c r="AX2315" s="549" t="s">
        <v>6896</v>
      </c>
      <c r="AY2315" s="549" t="s">
        <v>7315</v>
      </c>
      <c r="AZ2315" s="549" t="s">
        <v>6898</v>
      </c>
      <c r="BA2315" s="551"/>
      <c r="BB2315" s="551"/>
      <c r="BC2315" s="551"/>
      <c r="BD2315" s="549"/>
      <c r="BE2315" s="550"/>
      <c r="BF2315" s="549"/>
      <c r="BG2315" s="391">
        <f>SUM($AV$1389:AV2315)</f>
        <v>6715.5441708630469</v>
      </c>
      <c r="BH2315" s="392">
        <f>SUM($AU$1389:AU2315)</f>
        <v>41596.423836163209</v>
      </c>
      <c r="BI2315" s="318">
        <f>SUMIFS($AU$1388:AU2316,$Q$1388:Q2316,"F")</f>
        <v>29347.078121878127</v>
      </c>
      <c r="BJ2315" s="318">
        <f>SUMIFS($AU$1388:AU2316,$Q$1388:Q2316,"S")</f>
        <v>16866.285714285717</v>
      </c>
      <c r="BK2315" s="343">
        <f>SUMIFS($AU$1388:AU2316,$P$1388:P2316,"W")</f>
        <v>16072.14383616341</v>
      </c>
      <c r="BL2315" s="343">
        <f>SUMIFS($AU$1388:AU2316,$P$1388:P2316,"R")</f>
        <v>22728.400000000325</v>
      </c>
      <c r="BM2315" s="343">
        <f>SUMIFS($AU$1388:AU2316,$AQ$1388:AQ2316,"M")</f>
        <v>8875.1799999983887</v>
      </c>
      <c r="BN2315" s="343">
        <f>SUMIFS($AU$1388:AU2316,$AQ$1388:AQ2316,"H")</f>
        <v>11643.200000000877</v>
      </c>
      <c r="BO2315" s="343">
        <f>SUMIFS($AU$1388:AU2316,$AQ$1388:AQ2316,"D")</f>
        <v>12162.377472527358</v>
      </c>
      <c r="BP2315" s="343">
        <f>SUMIFS($AS$1388:AS2702,$AO$1388:AO2702,"W")</f>
        <v>0</v>
      </c>
      <c r="BQ2315" s="343">
        <f>SUMIFS($AU$1388:AU2316,$Q$1388:Q2316,"O")</f>
        <v>-9340.9400000006026</v>
      </c>
      <c r="BR2315" s="343">
        <f>SUMIFS($AU$1388:AU2316,$AA$1388:AA2316,"*")</f>
        <v>38601.522077921407</v>
      </c>
      <c r="BS2315" s="343">
        <f>SUMIFS($AU$1388:AU2316,$AB$1388:AB2316,"*")</f>
        <v>7475.8599999999715</v>
      </c>
      <c r="BT2315" s="343">
        <f>SUMIFS($AU$1388:AU2316,$AC$1388:AC2316,"*")</f>
        <v>31683.078121878119</v>
      </c>
      <c r="BU2315" s="343">
        <f>SUMIFS($AU$1388:AU2316,$AA$1388:AA2316,"*",$AB$1388:AB2316,"*")</f>
        <v>7915.9999999997544</v>
      </c>
      <c r="BV2315" s="343">
        <f>SUMIFS($AU$1388:AU2316,$AA$1388:AA2316,"*",$AC$1388:AC2316,"*")</f>
        <v>29808.036363636529</v>
      </c>
      <c r="BW2315" s="343">
        <f>SUMIFS($AU$1388:AU2316,$AB$1388:AB2316,"*",$AC$1388:AC2316,"*")</f>
        <v>3863.9999999999991</v>
      </c>
      <c r="BX2315" s="343">
        <f>SUMIFS($AV$1388:AV2316,$Q$1388:Q2316,"F")</f>
        <v>399.04019562430165</v>
      </c>
      <c r="BY2315" s="343">
        <f>SUMIFS($AV$1388:AV2316,$Q$1388:Q2316,"S")</f>
        <v>689.94467523906087</v>
      </c>
      <c r="BZ2315" s="343">
        <f>SUMIFS($AV$1388:AV2316,$Q$1388:Q2316,"O")</f>
        <v>378.55929999967736</v>
      </c>
    </row>
    <row r="2316" spans="1:78" ht="15.75" customHeight="1">
      <c r="A2316" s="177" t="s">
        <v>7249</v>
      </c>
      <c r="B2316" s="200">
        <v>45484</v>
      </c>
      <c r="C2316" s="178" t="s">
        <v>3790</v>
      </c>
      <c r="D2316" s="178" t="s">
        <v>93</v>
      </c>
      <c r="E2316" s="227"/>
      <c r="F2316" s="180"/>
      <c r="G2316" s="553" t="s">
        <v>7316</v>
      </c>
      <c r="H2316" s="182"/>
      <c r="I2316" s="182"/>
      <c r="J2316" s="182"/>
      <c r="K2316" s="183"/>
      <c r="L2316" s="182">
        <v>1</v>
      </c>
      <c r="M2316" s="182"/>
      <c r="N2316" s="182"/>
      <c r="O2316" s="183" t="s">
        <v>95</v>
      </c>
      <c r="P2316" s="183" t="s">
        <v>96</v>
      </c>
      <c r="Q2316" s="183" t="s">
        <v>97</v>
      </c>
      <c r="R2316" s="183">
        <v>10</v>
      </c>
      <c r="S2316" s="183">
        <v>0</v>
      </c>
      <c r="T2316" s="183">
        <v>10</v>
      </c>
      <c r="U2316" s="183" t="s">
        <v>22</v>
      </c>
      <c r="V2316" s="183"/>
      <c r="W2316" s="183"/>
      <c r="X2316" s="183"/>
      <c r="Y2316" s="184">
        <f>IF(ISBLANK(O2316),"",(IF(O2316=UPPER("IB"),0.005,0.01)))</f>
        <v>0.01</v>
      </c>
      <c r="Z2316" s="185">
        <f>IF(ISBLANK(O2316),"",IF(O2316="IB",8.63*200,IF(O2316="IR",16*100,IF(O2316="YT",20*100,IF(O2316="YT-XT",24*200,IF(O2316="TED",80*100,IF(O2316="IR|YT",300*100)))))))</f>
        <v>1600</v>
      </c>
      <c r="AA2316" s="185" t="s">
        <v>7317</v>
      </c>
      <c r="AB2316" s="185"/>
      <c r="AC2316" s="185"/>
      <c r="AD2316" s="649">
        <v>-0.2</v>
      </c>
      <c r="AE2316" s="182"/>
      <c r="AF2316" s="332"/>
      <c r="AG2316" s="182"/>
      <c r="AH2316" s="182"/>
      <c r="AI2316" s="182"/>
      <c r="AJ2316" s="640"/>
      <c r="AK2316" s="182"/>
      <c r="AL2316" s="496">
        <f t="shared" si="760"/>
        <v>-32</v>
      </c>
      <c r="AM2316" s="496">
        <f t="shared" si="764"/>
        <v>-320</v>
      </c>
      <c r="AN2316" s="626"/>
      <c r="AO2316" s="182"/>
      <c r="AP2316" s="182"/>
      <c r="AQ2316" s="332" t="str">
        <f>UPPER(RIGHT(Journal_Live[[#This Row],[DURATION ]]))</f>
        <v/>
      </c>
      <c r="AR2316" s="182"/>
      <c r="AS2316" s="189">
        <v>-0.2</v>
      </c>
      <c r="AT2316" s="189">
        <f t="shared" si="762"/>
        <v>0</v>
      </c>
      <c r="AU2316" s="187">
        <f t="shared" si="763"/>
        <v>0</v>
      </c>
      <c r="AV2316" s="190">
        <f t="shared" si="761"/>
        <v>0</v>
      </c>
      <c r="AW2316" s="191" t="s">
        <v>115</v>
      </c>
      <c r="AX2316" s="551"/>
      <c r="AY2316" s="551"/>
      <c r="AZ2316" s="551"/>
      <c r="BA2316" s="551"/>
      <c r="BB2316" s="551"/>
      <c r="BC2316" s="551"/>
      <c r="BD2316" s="549"/>
      <c r="BE2316" s="550"/>
      <c r="BF2316" s="549"/>
      <c r="BG2316" s="391">
        <f>SUM($AV$1389:AV2316)</f>
        <v>6715.5441708630469</v>
      </c>
      <c r="BH2316" s="392">
        <f>SUM($AU$1389:AU2316)</f>
        <v>41596.423836163209</v>
      </c>
      <c r="BI2316" s="318">
        <f>SUMIFS($AU$1388:AU2317,$Q$1388:Q2317,"F")</f>
        <v>29347.078121878127</v>
      </c>
      <c r="BJ2316" s="318">
        <f>SUMIFS($AU$1388:AU2317,$Q$1388:Q2317,"S")</f>
        <v>16866.285714285717</v>
      </c>
      <c r="BK2316" s="343">
        <f>SUMIFS($AU$1388:AU2317,$P$1388:P2317,"W")</f>
        <v>15912.143836163443</v>
      </c>
      <c r="BL2316" s="343">
        <f>SUMIFS($AU$1388:AU2317,$P$1388:P2317,"R")</f>
        <v>22728.400000000325</v>
      </c>
      <c r="BM2316" s="343">
        <f>SUMIFS($AU$1388:AU2317,$AQ$1388:AQ2317,"M")</f>
        <v>8715.1799999984214</v>
      </c>
      <c r="BN2316" s="343">
        <f>SUMIFS($AU$1388:AU2317,$AQ$1388:AQ2317,"H")</f>
        <v>11643.200000000877</v>
      </c>
      <c r="BO2316" s="343">
        <f>SUMIFS($AU$1388:AU2317,$AQ$1388:AQ2317,"D")</f>
        <v>12162.377472527358</v>
      </c>
      <c r="BP2316" s="343">
        <f>SUMIFS($AS$1388:AS2703,$AO$1388:AO2703,"W")</f>
        <v>0</v>
      </c>
      <c r="BQ2316" s="343">
        <f>SUMIFS($AU$1388:AU2317,$Q$1388:Q2317,"O")</f>
        <v>-9500.9400000005699</v>
      </c>
      <c r="BR2316" s="343">
        <f>SUMIFS($AU$1388:AU2317,$AA$1388:AA2317,"*")</f>
        <v>38441.522077921436</v>
      </c>
      <c r="BS2316" s="343">
        <f>SUMIFS($AU$1388:AU2317,$AB$1388:AB2317,"*")</f>
        <v>7475.8599999999715</v>
      </c>
      <c r="BT2316" s="343">
        <f>SUMIFS($AU$1388:AU2317,$AC$1388:AC2317,"*")</f>
        <v>31683.078121878119</v>
      </c>
      <c r="BU2316" s="343">
        <f>SUMIFS($AU$1388:AU2317,$AA$1388:AA2317,"*",$AB$1388:AB2317,"*")</f>
        <v>7915.9999999997544</v>
      </c>
      <c r="BV2316" s="343">
        <f>SUMIFS($AU$1388:AU2317,$AA$1388:AA2317,"*",$AC$1388:AC2317,"*")</f>
        <v>29808.036363636529</v>
      </c>
      <c r="BW2316" s="343">
        <f>SUMIFS($AU$1388:AU2317,$AB$1388:AB2317,"*",$AC$1388:AC2317,"*")</f>
        <v>3863.9999999999991</v>
      </c>
      <c r="BX2316" s="343">
        <f>SUMIFS($AV$1388:AV2317,$Q$1388:Q2317,"F")</f>
        <v>399.04019562430165</v>
      </c>
      <c r="BY2316" s="343">
        <f>SUMIFS($AV$1388:AV2317,$Q$1388:Q2317,"S")</f>
        <v>689.94467523906087</v>
      </c>
      <c r="BZ2316" s="343">
        <f>SUMIFS($AV$1388:AV2317,$Q$1388:Q2317,"O")</f>
        <v>346.55929999968373</v>
      </c>
    </row>
    <row r="2317" spans="1:78" ht="15.75" customHeight="1">
      <c r="A2317" s="177" t="s">
        <v>7249</v>
      </c>
      <c r="B2317" s="200">
        <v>45484</v>
      </c>
      <c r="C2317" s="178" t="s">
        <v>3484</v>
      </c>
      <c r="D2317" s="178" t="s">
        <v>93</v>
      </c>
      <c r="E2317" s="227"/>
      <c r="F2317" s="180"/>
      <c r="G2317" s="181" t="s">
        <v>6399</v>
      </c>
      <c r="H2317" s="182"/>
      <c r="I2317" s="182"/>
      <c r="J2317" s="182"/>
      <c r="K2317" s="183"/>
      <c r="L2317" s="182">
        <v>1</v>
      </c>
      <c r="M2317" s="182"/>
      <c r="N2317" s="182"/>
      <c r="O2317" s="183" t="s">
        <v>95</v>
      </c>
      <c r="P2317" s="183" t="s">
        <v>96</v>
      </c>
      <c r="Q2317" s="183" t="s">
        <v>684</v>
      </c>
      <c r="R2317" s="183">
        <v>5</v>
      </c>
      <c r="S2317" s="183">
        <v>0</v>
      </c>
      <c r="T2317" s="183">
        <v>5</v>
      </c>
      <c r="U2317" s="183" t="s">
        <v>22</v>
      </c>
      <c r="V2317" s="183"/>
      <c r="W2317" s="183"/>
      <c r="X2317" s="183"/>
      <c r="Y2317" s="184">
        <f>IF(ISBLANK(O2317),"",(IF(O2317=UPPER("IB"),0.005,0.01)))</f>
        <v>0.01</v>
      </c>
      <c r="Z2317" s="185">
        <f>IF(ISBLANK(O2317),"",IF(O2317="IB",8.63*200,IF(O2317="IR",16*100,IF(O2317="YT",20*100,IF(O2317="YT-XT",24*200,IF(O2317="TED",80*100,IF(O2317="IR|YT",300*100)))))))</f>
        <v>1600</v>
      </c>
      <c r="AA2317" s="185" t="s">
        <v>7318</v>
      </c>
      <c r="AB2317" s="185"/>
      <c r="AC2317" s="185"/>
      <c r="AD2317" s="649">
        <v>95.77</v>
      </c>
      <c r="AE2317" s="182"/>
      <c r="AF2317" s="332"/>
      <c r="AG2317" s="182"/>
      <c r="AH2317" s="182"/>
      <c r="AI2317" s="182"/>
      <c r="AJ2317" s="640"/>
      <c r="AK2317" s="182"/>
      <c r="AL2317" s="496">
        <f t="shared" ref="AL2317:AL2321" si="765">-0.02*Z2317</f>
        <v>-32</v>
      </c>
      <c r="AM2317" s="496">
        <f t="shared" si="764"/>
        <v>-160</v>
      </c>
      <c r="AN2317" s="626"/>
      <c r="AO2317" s="182"/>
      <c r="AP2317" s="182"/>
      <c r="AQ2317" s="332" t="s">
        <v>1259</v>
      </c>
      <c r="AR2317" s="182"/>
      <c r="AS2317" s="189">
        <v>95.75</v>
      </c>
      <c r="AT2317" s="189">
        <f t="shared" si="762"/>
        <v>-1.9999999999996021E-2</v>
      </c>
      <c r="AU2317" s="187">
        <f t="shared" si="763"/>
        <v>-159.99999999996817</v>
      </c>
      <c r="AV2317" s="190">
        <f t="shared" ref="AV2317:AV2318" si="766">IF(ISBLANK(AS2317),,(AT2317*Z2317))</f>
        <v>-31.999999999993634</v>
      </c>
      <c r="AW2317" s="191" t="s">
        <v>229</v>
      </c>
      <c r="AX2317" s="551"/>
      <c r="AY2317" s="551"/>
      <c r="AZ2317" s="551"/>
      <c r="BA2317" s="551"/>
      <c r="BB2317" s="551"/>
      <c r="BC2317" s="551"/>
      <c r="BD2317" s="549"/>
      <c r="BE2317" s="550"/>
      <c r="BF2317" s="549"/>
      <c r="BG2317" s="391">
        <f>SUM($AV$1389:AV2317)</f>
        <v>6683.5441708630533</v>
      </c>
      <c r="BH2317" s="392">
        <f>SUM($AU$1389:AU2317)</f>
        <v>41436.423836163238</v>
      </c>
      <c r="BI2317" s="318">
        <f>SUMIFS($AU$1388:AU2318,$Q$1388:Q2318,"F")</f>
        <v>29347.078121878127</v>
      </c>
      <c r="BJ2317" s="318">
        <f>SUMIFS($AU$1388:AU2318,$Q$1388:Q2318,"S")</f>
        <v>16866.285714285717</v>
      </c>
      <c r="BK2317" s="343">
        <f>SUMIFS($AU$1388:AU2318,$P$1388:P2318,"W")</f>
        <v>15912.143836163443</v>
      </c>
      <c r="BL2317" s="343">
        <f>SUMIFS($AU$1388:AU2318,$P$1388:P2318,"R")</f>
        <v>22728.400000000325</v>
      </c>
      <c r="BM2317" s="343">
        <f>SUMIFS($AU$1388:AU2318,$AQ$1388:AQ2318,"M")</f>
        <v>8715.1799999984214</v>
      </c>
      <c r="BN2317" s="343">
        <f>SUMIFS($AU$1388:AU2318,$AQ$1388:AQ2318,"H")</f>
        <v>11643.200000000877</v>
      </c>
      <c r="BO2317" s="343">
        <f>SUMIFS($AU$1388:AU2318,$AQ$1388:AQ2318,"D")</f>
        <v>12162.377472527358</v>
      </c>
      <c r="BP2317" s="343">
        <f>SUMIFS($AS$1388:AS2704,$AO$1388:AO2704,"W")</f>
        <v>0</v>
      </c>
      <c r="BQ2317" s="343">
        <f>SUMIFS($AU$1388:AU2318,$Q$1388:Q2318,"O")</f>
        <v>-9500.9400000005699</v>
      </c>
      <c r="BR2317" s="343">
        <f>SUMIFS($AU$1388:AU2318,$AA$1388:AA2318,"*")</f>
        <v>38441.522077921436</v>
      </c>
      <c r="BS2317" s="343">
        <f>SUMIFS($AU$1388:AU2318,$AB$1388:AB2318,"*")</f>
        <v>7475.8599999999715</v>
      </c>
      <c r="BT2317" s="343">
        <f>SUMIFS($AU$1388:AU2318,$AC$1388:AC2318,"*")</f>
        <v>31683.078121878119</v>
      </c>
      <c r="BU2317" s="343">
        <f>SUMIFS($AU$1388:AU2318,$AA$1388:AA2318,"*",$AB$1388:AB2318,"*")</f>
        <v>7915.9999999997544</v>
      </c>
      <c r="BV2317" s="343">
        <f>SUMIFS($AU$1388:AU2318,$AA$1388:AA2318,"*",$AC$1388:AC2318,"*")</f>
        <v>29808.036363636529</v>
      </c>
      <c r="BW2317" s="343">
        <f>SUMIFS($AU$1388:AU2318,$AB$1388:AB2318,"*",$AC$1388:AC2318,"*")</f>
        <v>3863.9999999999991</v>
      </c>
      <c r="BX2317" s="343">
        <f>SUMIFS($AV$1388:AV2318,$Q$1388:Q2318,"F")</f>
        <v>399.04019562430165</v>
      </c>
      <c r="BY2317" s="343">
        <f>SUMIFS($AV$1388:AV2318,$Q$1388:Q2318,"S")</f>
        <v>689.94467523906087</v>
      </c>
      <c r="BZ2317" s="343">
        <f>SUMIFS($AV$1388:AV2318,$Q$1388:Q2318,"O")</f>
        <v>346.55929999968373</v>
      </c>
    </row>
    <row r="2318" spans="1:78" ht="15.75" customHeight="1">
      <c r="A2318" s="177" t="s">
        <v>7249</v>
      </c>
      <c r="B2318" s="200">
        <v>45484</v>
      </c>
      <c r="C2318" s="178" t="s">
        <v>2267</v>
      </c>
      <c r="D2318" s="178" t="s">
        <v>93</v>
      </c>
      <c r="E2318" s="227"/>
      <c r="F2318" s="180"/>
      <c r="G2318" s="553" t="s">
        <v>7277</v>
      </c>
      <c r="H2318" s="182"/>
      <c r="I2318" s="182"/>
      <c r="J2318" s="182"/>
      <c r="K2318" s="183"/>
      <c r="L2318" s="182">
        <v>1</v>
      </c>
      <c r="M2318" s="182"/>
      <c r="N2318" s="182"/>
      <c r="O2318" s="183" t="s">
        <v>95</v>
      </c>
      <c r="P2318" s="183" t="s">
        <v>96</v>
      </c>
      <c r="Q2318" s="183" t="s">
        <v>97</v>
      </c>
      <c r="R2318" s="183">
        <v>5</v>
      </c>
      <c r="S2318" s="183">
        <v>0</v>
      </c>
      <c r="T2318" s="183">
        <v>5</v>
      </c>
      <c r="U2318" s="183" t="s">
        <v>97</v>
      </c>
      <c r="V2318" s="183"/>
      <c r="W2318" s="183"/>
      <c r="X2318" s="183"/>
      <c r="Y2318" s="184">
        <f>IF(ISBLANK(O2318),"",(IF(O2318=UPPER("IB"),0.005,0.01)))</f>
        <v>0.01</v>
      </c>
      <c r="Z2318" s="185">
        <f>IF(ISBLANK(O2318),"",IF(O2318="IB",8.63*200,IF(O2318="IR",16*100,IF(O2318="YT",20*100,IF(O2318="YT-XT",24*200,IF(O2318="TED",80*100,IF(O2318="IR|YT",300*100)))))))</f>
        <v>1600</v>
      </c>
      <c r="AA2318" s="185" t="s">
        <v>7319</v>
      </c>
      <c r="AB2318" s="185"/>
      <c r="AC2318" s="185"/>
      <c r="AD2318" s="649">
        <v>-0.21</v>
      </c>
      <c r="AE2318" s="182"/>
      <c r="AF2318" s="332"/>
      <c r="AG2318" s="182"/>
      <c r="AH2318" s="182"/>
      <c r="AI2318" s="182"/>
      <c r="AJ2318" s="640"/>
      <c r="AK2318" s="182"/>
      <c r="AL2318" s="496">
        <f t="shared" si="765"/>
        <v>-32</v>
      </c>
      <c r="AM2318" s="496">
        <f t="shared" si="764"/>
        <v>-160</v>
      </c>
      <c r="AN2318" s="626"/>
      <c r="AO2318" s="182"/>
      <c r="AP2318" s="182"/>
      <c r="AQ2318" s="332" t="s">
        <v>372</v>
      </c>
      <c r="AR2318" s="182" t="s">
        <v>7320</v>
      </c>
      <c r="AS2318" s="189">
        <v>-0.21</v>
      </c>
      <c r="AT2318" s="189">
        <f t="shared" si="762"/>
        <v>0</v>
      </c>
      <c r="AU2318" s="187">
        <f t="shared" si="763"/>
        <v>0</v>
      </c>
      <c r="AV2318" s="190">
        <f t="shared" si="766"/>
        <v>0</v>
      </c>
      <c r="AW2318" s="191" t="s">
        <v>115</v>
      </c>
      <c r="AX2318" s="551" t="s">
        <v>7321</v>
      </c>
      <c r="AY2318" s="551"/>
      <c r="AZ2318" s="551"/>
      <c r="BA2318" s="551"/>
      <c r="BB2318" s="551"/>
      <c r="BC2318" s="551"/>
      <c r="BD2318" s="549"/>
      <c r="BE2318" s="550"/>
      <c r="BF2318" s="549"/>
      <c r="BG2318" s="391">
        <f>SUM($AV$1389:AV2318)</f>
        <v>6683.5441708630533</v>
      </c>
      <c r="BH2318" s="392">
        <f>SUM($AU$1389:AU2318)</f>
        <v>41436.423836163238</v>
      </c>
      <c r="BI2318" s="318">
        <f>SUMIFS($AU$1388:AU2319,$Q$1388:Q2319,"F")</f>
        <v>29347.078121878127</v>
      </c>
      <c r="BJ2318" s="318">
        <f>SUMIFS($AU$1388:AU2319,$Q$1388:Q2319,"S")</f>
        <v>16866.285714285717</v>
      </c>
      <c r="BK2318" s="343">
        <f>SUMIFS($AU$1388:AU2319,$P$1388:P2319,"W")</f>
        <v>15912.143836163443</v>
      </c>
      <c r="BL2318" s="343">
        <f>SUMIFS($AU$1388:AU2319,$P$1388:P2319,"R")</f>
        <v>22728.400000000325</v>
      </c>
      <c r="BM2318" s="343">
        <f>SUMIFS($AU$1388:AU2319,$AQ$1388:AQ2319,"M")</f>
        <v>8715.1799999984214</v>
      </c>
      <c r="BN2318" s="343">
        <f>SUMIFS($AU$1388:AU2319,$AQ$1388:AQ2319,"H")</f>
        <v>11643.200000000877</v>
      </c>
      <c r="BO2318" s="343">
        <f>SUMIFS($AU$1388:AU2319,$AQ$1388:AQ2319,"D")</f>
        <v>12162.377472527358</v>
      </c>
      <c r="BP2318" s="343">
        <f>SUMIFS($AS$1388:AS2705,$AO$1388:AO2705,"W")</f>
        <v>0</v>
      </c>
      <c r="BQ2318" s="343">
        <f>SUMIFS($AU$1388:AU2319,$Q$1388:Q2319,"O")</f>
        <v>-9500.9400000005699</v>
      </c>
      <c r="BR2318" s="343">
        <f>SUMIFS($AU$1388:AU2319,$AA$1388:AA2319,"*")</f>
        <v>38441.522077921436</v>
      </c>
      <c r="BS2318" s="343">
        <f>SUMIFS($AU$1388:AU2319,$AB$1388:AB2319,"*")</f>
        <v>7475.8599999999715</v>
      </c>
      <c r="BT2318" s="343">
        <f>SUMIFS($AU$1388:AU2319,$AC$1388:AC2319,"*")</f>
        <v>31683.078121878119</v>
      </c>
      <c r="BU2318" s="343">
        <f>SUMIFS($AU$1388:AU2319,$AA$1388:AA2319,"*",$AB$1388:AB2319,"*")</f>
        <v>7915.9999999997544</v>
      </c>
      <c r="BV2318" s="343">
        <f>SUMIFS($AU$1388:AU2319,$AA$1388:AA2319,"*",$AC$1388:AC2319,"*")</f>
        <v>29808.036363636529</v>
      </c>
      <c r="BW2318" s="343">
        <f>SUMIFS($AU$1388:AU2319,$AB$1388:AB2319,"*",$AC$1388:AC2319,"*")</f>
        <v>3863.9999999999991</v>
      </c>
      <c r="BX2318" s="343">
        <f>SUMIFS($AV$1388:AV2319,$Q$1388:Q2319,"F")</f>
        <v>399.04019562430165</v>
      </c>
      <c r="BY2318" s="343">
        <f>SUMIFS($AV$1388:AV2319,$Q$1388:Q2319,"S")</f>
        <v>689.94467523906087</v>
      </c>
      <c r="BZ2318" s="343">
        <f>SUMIFS($AV$1388:AV2319,$Q$1388:Q2319,"O")</f>
        <v>346.55929999968373</v>
      </c>
    </row>
    <row r="2319" spans="1:78" ht="15.75" customHeight="1">
      <c r="A2319" s="177" t="s">
        <v>7249</v>
      </c>
      <c r="B2319" s="200">
        <v>45484</v>
      </c>
      <c r="C2319" s="178" t="s">
        <v>2661</v>
      </c>
      <c r="D2319" s="178" t="s">
        <v>93</v>
      </c>
      <c r="E2319" s="227" t="s">
        <v>7322</v>
      </c>
      <c r="F2319" s="180"/>
      <c r="G2319" s="181"/>
      <c r="H2319" s="182">
        <v>1</v>
      </c>
      <c r="I2319" s="182"/>
      <c r="J2319" s="182"/>
      <c r="K2319" s="183" t="s">
        <v>372</v>
      </c>
      <c r="L2319" s="182"/>
      <c r="M2319" s="182"/>
      <c r="N2319" s="182"/>
      <c r="O2319" s="183"/>
      <c r="P2319" s="183"/>
      <c r="Q2319" s="183"/>
      <c r="R2319" s="183"/>
      <c r="S2319" s="183"/>
      <c r="T2319" s="183"/>
      <c r="U2319" s="183"/>
      <c r="V2319" s="183"/>
      <c r="W2319" s="183"/>
      <c r="X2319" s="183"/>
      <c r="Y2319" s="184"/>
      <c r="Z2319" s="185"/>
      <c r="AA2319" s="185"/>
      <c r="AB2319" s="185"/>
      <c r="AC2319" s="185"/>
      <c r="AD2319" s="649"/>
      <c r="AE2319" s="182"/>
      <c r="AF2319" s="332"/>
      <c r="AG2319" s="182"/>
      <c r="AH2319" s="182"/>
      <c r="AI2319" s="182"/>
      <c r="AJ2319" s="640"/>
      <c r="AK2319" s="182"/>
      <c r="AL2319" s="496">
        <f t="shared" si="765"/>
        <v>0</v>
      </c>
      <c r="AM2319" s="496">
        <f t="shared" si="764"/>
        <v>0</v>
      </c>
      <c r="AN2319" s="626"/>
      <c r="AO2319" s="182"/>
      <c r="AP2319" s="182"/>
      <c r="AQ2319" s="332" t="str">
        <f>UPPER(RIGHT(Journal_Live[[#This Row],[DURATION ]]))</f>
        <v/>
      </c>
      <c r="AR2319" s="182"/>
      <c r="AS2319" s="189"/>
      <c r="AT2319" s="189"/>
      <c r="AU2319" s="187"/>
      <c r="AV2319" s="190"/>
      <c r="AW2319" s="191"/>
      <c r="AX2319" s="551"/>
      <c r="AY2319" s="551"/>
      <c r="AZ2319" s="551"/>
      <c r="BA2319" s="551"/>
      <c r="BB2319" s="551"/>
      <c r="BC2319" s="551"/>
      <c r="BD2319" s="549"/>
      <c r="BE2319" s="550"/>
      <c r="BF2319" s="549"/>
      <c r="BG2319" s="391">
        <f>SUM($AV$1389:AV2319)</f>
        <v>6683.5441708630533</v>
      </c>
      <c r="BH2319" s="392">
        <f>SUM($AU$1389:AU2319)</f>
        <v>41436.423836163238</v>
      </c>
      <c r="BI2319" s="318">
        <f>SUMIFS($AU$1388:AU2320,$Q$1388:Q2320,"F")</f>
        <v>29347.078121878127</v>
      </c>
      <c r="BJ2319" s="318">
        <f>SUMIFS($AU$1388:AU2320,$Q$1388:Q2320,"S")</f>
        <v>16866.285714285717</v>
      </c>
      <c r="BK2319" s="343">
        <f>SUMIFS($AU$1388:AU2320,$P$1388:P2320,"W")</f>
        <v>15912.143836163443</v>
      </c>
      <c r="BL2319" s="343">
        <f>SUMIFS($AU$1388:AU2320,$P$1388:P2320,"R")</f>
        <v>22728.400000000325</v>
      </c>
      <c r="BM2319" s="343">
        <f>SUMIFS($AU$1388:AU2320,$AQ$1388:AQ2320,"M")</f>
        <v>8715.1799999984214</v>
      </c>
      <c r="BN2319" s="343">
        <f>SUMIFS($AU$1388:AU2320,$AQ$1388:AQ2320,"H")</f>
        <v>11643.200000000877</v>
      </c>
      <c r="BO2319" s="343">
        <f>SUMIFS($AU$1388:AU2320,$AQ$1388:AQ2320,"D")</f>
        <v>12162.377472527358</v>
      </c>
      <c r="BP2319" s="343">
        <f>SUMIFS($AS$1388:AS2706,$AO$1388:AO2706,"W")</f>
        <v>0</v>
      </c>
      <c r="BQ2319" s="343">
        <f>SUMIFS($AU$1388:AU2320,$Q$1388:Q2320,"O")</f>
        <v>-9500.9400000005699</v>
      </c>
      <c r="BR2319" s="343">
        <f>SUMIFS($AU$1388:AU2320,$AA$1388:AA2320,"*")</f>
        <v>38441.522077921436</v>
      </c>
      <c r="BS2319" s="343">
        <f>SUMIFS($AU$1388:AU2320,$AB$1388:AB2320,"*")</f>
        <v>7475.8599999999715</v>
      </c>
      <c r="BT2319" s="343">
        <f>SUMIFS($AU$1388:AU2320,$AC$1388:AC2320,"*")</f>
        <v>31683.078121878119</v>
      </c>
      <c r="BU2319" s="343">
        <f>SUMIFS($AU$1388:AU2320,$AA$1388:AA2320,"*",$AB$1388:AB2320,"*")</f>
        <v>7915.9999999997544</v>
      </c>
      <c r="BV2319" s="343">
        <f>SUMIFS($AU$1388:AU2320,$AA$1388:AA2320,"*",$AC$1388:AC2320,"*")</f>
        <v>29808.036363636529</v>
      </c>
      <c r="BW2319" s="343">
        <f>SUMIFS($AU$1388:AU2320,$AB$1388:AB2320,"*",$AC$1388:AC2320,"*")</f>
        <v>3863.9999999999991</v>
      </c>
      <c r="BX2319" s="343">
        <f>SUMIFS($AV$1388:AV2320,$Q$1388:Q2320,"F")</f>
        <v>399.04019562430165</v>
      </c>
      <c r="BY2319" s="343">
        <f>SUMIFS($AV$1388:AV2320,$Q$1388:Q2320,"S")</f>
        <v>689.94467523906087</v>
      </c>
      <c r="BZ2319" s="343">
        <f>SUMIFS($AV$1388:AV2320,$Q$1388:Q2320,"O")</f>
        <v>346.55929999968373</v>
      </c>
    </row>
    <row r="2320" spans="1:78" ht="15.75" customHeight="1">
      <c r="A2320" s="177" t="s">
        <v>7249</v>
      </c>
      <c r="B2320" s="200">
        <v>45484</v>
      </c>
      <c r="C2320" s="178" t="s">
        <v>1714</v>
      </c>
      <c r="D2320" s="178" t="s">
        <v>93</v>
      </c>
      <c r="E2320" s="227" t="s">
        <v>7323</v>
      </c>
      <c r="F2320" s="180"/>
      <c r="G2320" s="181"/>
      <c r="H2320" s="182"/>
      <c r="I2320" s="182"/>
      <c r="J2320" s="182">
        <v>1</v>
      </c>
      <c r="K2320" s="183" t="s">
        <v>115</v>
      </c>
      <c r="L2320" s="182"/>
      <c r="M2320" s="182"/>
      <c r="N2320" s="182"/>
      <c r="O2320" s="183"/>
      <c r="P2320" s="183"/>
      <c r="Q2320" s="183"/>
      <c r="R2320" s="183"/>
      <c r="S2320" s="183"/>
      <c r="T2320" s="183"/>
      <c r="U2320" s="183"/>
      <c r="V2320" s="183"/>
      <c r="W2320" s="183"/>
      <c r="X2320" s="183"/>
      <c r="Y2320" s="184"/>
      <c r="Z2320" s="185"/>
      <c r="AA2320" s="185"/>
      <c r="AB2320" s="185"/>
      <c r="AC2320" s="185"/>
      <c r="AD2320" s="649"/>
      <c r="AE2320" s="182"/>
      <c r="AF2320" s="332"/>
      <c r="AG2320" s="182"/>
      <c r="AH2320" s="182"/>
      <c r="AI2320" s="182"/>
      <c r="AJ2320" s="640"/>
      <c r="AK2320" s="182"/>
      <c r="AL2320" s="496">
        <f t="shared" si="765"/>
        <v>0</v>
      </c>
      <c r="AM2320" s="496">
        <f t="shared" si="764"/>
        <v>0</v>
      </c>
      <c r="AN2320" s="626"/>
      <c r="AO2320" s="182"/>
      <c r="AP2320" s="182"/>
      <c r="AQ2320" s="332" t="str">
        <f>UPPER(RIGHT(Journal_Live[[#This Row],[DURATION ]]))</f>
        <v/>
      </c>
      <c r="AR2320" s="182"/>
      <c r="AS2320" s="189"/>
      <c r="AT2320" s="189"/>
      <c r="AU2320" s="187"/>
      <c r="AV2320" s="190"/>
      <c r="AW2320" s="191"/>
      <c r="AX2320" s="551"/>
      <c r="AY2320" s="551"/>
      <c r="AZ2320" s="551"/>
      <c r="BA2320" s="551"/>
      <c r="BB2320" s="551"/>
      <c r="BC2320" s="551"/>
      <c r="BD2320" s="549"/>
      <c r="BE2320" s="550"/>
      <c r="BF2320" s="549"/>
      <c r="BG2320" s="391">
        <f>SUM($AV$1389:AV2320)</f>
        <v>6683.5441708630533</v>
      </c>
      <c r="BH2320" s="392">
        <f>SUM($AU$1389:AU2320)</f>
        <v>41436.423836163238</v>
      </c>
      <c r="BI2320" s="318">
        <f>SUMIFS($AU$1388:AU2321,$Q$1388:Q2321,"F")</f>
        <v>29347.078121878127</v>
      </c>
      <c r="BJ2320" s="318">
        <f>SUMIFS($AU$1388:AU2321,$Q$1388:Q2321,"S")</f>
        <v>16866.285714285717</v>
      </c>
      <c r="BK2320" s="343">
        <f>SUMIFS($AU$1388:AU2321,$P$1388:P2321,"W")</f>
        <v>15912.143836163443</v>
      </c>
      <c r="BL2320" s="343">
        <f>SUMIFS($AU$1388:AU2321,$P$1388:P2321,"R")</f>
        <v>22728.400000000325</v>
      </c>
      <c r="BM2320" s="343">
        <f>SUMIFS($AU$1388:AU2321,$AQ$1388:AQ2321,"M")</f>
        <v>8715.1799999984214</v>
      </c>
      <c r="BN2320" s="343">
        <f>SUMIFS($AU$1388:AU2321,$AQ$1388:AQ2321,"H")</f>
        <v>11643.200000000877</v>
      </c>
      <c r="BO2320" s="343">
        <f>SUMIFS($AU$1388:AU2321,$AQ$1388:AQ2321,"D")</f>
        <v>12162.377472527358</v>
      </c>
      <c r="BP2320" s="343">
        <f>SUMIFS($AS$1388:AS2707,$AO$1388:AO2707,"W")</f>
        <v>0</v>
      </c>
      <c r="BQ2320" s="343">
        <f>SUMIFS($AU$1388:AU2321,$Q$1388:Q2321,"O")</f>
        <v>-9500.9400000005699</v>
      </c>
      <c r="BR2320" s="343">
        <f>SUMIFS($AU$1388:AU2321,$AA$1388:AA2321,"*")</f>
        <v>38441.522077921436</v>
      </c>
      <c r="BS2320" s="343">
        <f>SUMIFS($AU$1388:AU2321,$AB$1388:AB2321,"*")</f>
        <v>7475.8599999999715</v>
      </c>
      <c r="BT2320" s="343">
        <f>SUMIFS($AU$1388:AU2321,$AC$1388:AC2321,"*")</f>
        <v>31683.078121878119</v>
      </c>
      <c r="BU2320" s="343">
        <f>SUMIFS($AU$1388:AU2321,$AA$1388:AA2321,"*",$AB$1388:AB2321,"*")</f>
        <v>7915.9999999997544</v>
      </c>
      <c r="BV2320" s="343">
        <f>SUMIFS($AU$1388:AU2321,$AA$1388:AA2321,"*",$AC$1388:AC2321,"*")</f>
        <v>29808.036363636529</v>
      </c>
      <c r="BW2320" s="343">
        <f>SUMIFS($AU$1388:AU2321,$AB$1388:AB2321,"*",$AC$1388:AC2321,"*")</f>
        <v>3863.9999999999991</v>
      </c>
      <c r="BX2320" s="343">
        <f>SUMIFS($AV$1388:AV2321,$Q$1388:Q2321,"F")</f>
        <v>399.04019562430165</v>
      </c>
      <c r="BY2320" s="343">
        <f>SUMIFS($AV$1388:AV2321,$Q$1388:Q2321,"S")</f>
        <v>689.94467523906087</v>
      </c>
      <c r="BZ2320" s="343">
        <f>SUMIFS($AV$1388:AV2321,$Q$1388:Q2321,"O")</f>
        <v>346.55929999968373</v>
      </c>
    </row>
    <row r="2321" spans="1:78" ht="15.75" customHeight="1">
      <c r="A2321" s="177" t="s">
        <v>7249</v>
      </c>
      <c r="B2321" s="200"/>
      <c r="C2321" s="178"/>
      <c r="D2321" s="178"/>
      <c r="E2321" s="227" t="s">
        <v>7324</v>
      </c>
      <c r="F2321" s="180"/>
      <c r="G2321" s="181"/>
      <c r="H2321" s="182"/>
      <c r="I2321" s="182"/>
      <c r="J2321" s="182">
        <v>1</v>
      </c>
      <c r="K2321" s="183" t="s">
        <v>115</v>
      </c>
      <c r="L2321" s="182"/>
      <c r="M2321" s="182"/>
      <c r="N2321" s="182"/>
      <c r="O2321" s="183"/>
      <c r="P2321" s="183"/>
      <c r="Q2321" s="183"/>
      <c r="R2321" s="183"/>
      <c r="S2321" s="183"/>
      <c r="T2321" s="183"/>
      <c r="U2321" s="183"/>
      <c r="V2321" s="183"/>
      <c r="W2321" s="183"/>
      <c r="X2321" s="183"/>
      <c r="Y2321" s="184"/>
      <c r="Z2321" s="185"/>
      <c r="AA2321" s="185"/>
      <c r="AB2321" s="185"/>
      <c r="AC2321" s="185"/>
      <c r="AD2321" s="649"/>
      <c r="AE2321" s="182"/>
      <c r="AF2321" s="332"/>
      <c r="AG2321" s="182"/>
      <c r="AH2321" s="182"/>
      <c r="AI2321" s="182"/>
      <c r="AJ2321" s="640"/>
      <c r="AK2321" s="182"/>
      <c r="AL2321" s="496">
        <f t="shared" si="765"/>
        <v>0</v>
      </c>
      <c r="AM2321" s="496">
        <f t="shared" si="764"/>
        <v>0</v>
      </c>
      <c r="AN2321" s="626"/>
      <c r="AO2321" s="182"/>
      <c r="AP2321" s="182"/>
      <c r="AQ2321" s="332" t="str">
        <f>UPPER(RIGHT(Journal_Live[[#This Row],[DURATION ]]))</f>
        <v/>
      </c>
      <c r="AR2321" s="182"/>
      <c r="AS2321" s="189"/>
      <c r="AT2321" s="189"/>
      <c r="AU2321" s="187"/>
      <c r="AV2321" s="190"/>
      <c r="AW2321" s="191"/>
      <c r="AX2321" s="551"/>
      <c r="AY2321" s="551"/>
      <c r="AZ2321" s="551"/>
      <c r="BA2321" s="551"/>
      <c r="BB2321" s="551"/>
      <c r="BC2321" s="551"/>
      <c r="BD2321" s="549"/>
      <c r="BE2321" s="550"/>
      <c r="BF2321" s="549"/>
      <c r="BG2321" s="391">
        <f>SUM($AV$1389:AV2321)</f>
        <v>6683.5441708630533</v>
      </c>
      <c r="BH2321" s="392">
        <f>SUM($AU$1389:AU2321)</f>
        <v>41436.423836163238</v>
      </c>
      <c r="BI2321" s="318">
        <f>SUMIFS($AU$1388:AU2322,$Q$1388:Q2322,"F")</f>
        <v>29347.078121878127</v>
      </c>
      <c r="BJ2321" s="318">
        <f>SUMIFS($AU$1388:AU2322,$Q$1388:Q2322,"S")</f>
        <v>16866.285714285717</v>
      </c>
      <c r="BK2321" s="343">
        <f>SUMIFS($AU$1388:AU2322,$P$1388:P2322,"W")</f>
        <v>15912.143836163443</v>
      </c>
      <c r="BL2321" s="343">
        <f>SUMIFS($AU$1388:AU2322,$P$1388:P2322,"R")</f>
        <v>22728.400000000325</v>
      </c>
      <c r="BM2321" s="343">
        <f>SUMIFS($AU$1388:AU2322,$AQ$1388:AQ2322,"M")</f>
        <v>8715.1799999984214</v>
      </c>
      <c r="BN2321" s="343">
        <f>SUMIFS($AU$1388:AU2322,$AQ$1388:AQ2322,"H")</f>
        <v>11643.200000000877</v>
      </c>
      <c r="BO2321" s="343">
        <f>SUMIFS($AU$1388:AU2322,$AQ$1388:AQ2322,"D")</f>
        <v>12162.377472527358</v>
      </c>
      <c r="BP2321" s="343">
        <f>SUMIFS($AS$1388:AS2708,$AO$1388:AO2708,"W")</f>
        <v>0</v>
      </c>
      <c r="BQ2321" s="343">
        <f>SUMIFS($AU$1388:AU2322,$Q$1388:Q2322,"O")</f>
        <v>-9500.9400000005699</v>
      </c>
      <c r="BR2321" s="343">
        <f>SUMIFS($AU$1388:AU2322,$AA$1388:AA2322,"*")</f>
        <v>38441.522077921436</v>
      </c>
      <c r="BS2321" s="343">
        <f>SUMIFS($AU$1388:AU2322,$AB$1388:AB2322,"*")</f>
        <v>7475.8599999999715</v>
      </c>
      <c r="BT2321" s="343">
        <f>SUMIFS($AU$1388:AU2322,$AC$1388:AC2322,"*")</f>
        <v>31683.078121878119</v>
      </c>
      <c r="BU2321" s="343">
        <f>SUMIFS($AU$1388:AU2322,$AA$1388:AA2322,"*",$AB$1388:AB2322,"*")</f>
        <v>7915.9999999997544</v>
      </c>
      <c r="BV2321" s="343">
        <f>SUMIFS($AU$1388:AU2322,$AA$1388:AA2322,"*",$AC$1388:AC2322,"*")</f>
        <v>29808.036363636529</v>
      </c>
      <c r="BW2321" s="343">
        <f>SUMIFS($AU$1388:AU2322,$AB$1388:AB2322,"*",$AC$1388:AC2322,"*")</f>
        <v>3863.9999999999991</v>
      </c>
      <c r="BX2321" s="343">
        <f>SUMIFS($AV$1388:AV2322,$Q$1388:Q2322,"F")</f>
        <v>399.04019562430165</v>
      </c>
      <c r="BY2321" s="343">
        <f>SUMIFS($AV$1388:AV2322,$Q$1388:Q2322,"S")</f>
        <v>689.94467523906087</v>
      </c>
      <c r="BZ2321" s="343">
        <f>SUMIFS($AV$1388:AV2322,$Q$1388:Q2322,"O")</f>
        <v>346.55929999968373</v>
      </c>
    </row>
    <row r="2322" spans="1:78" ht="15.75" customHeight="1">
      <c r="A2322" s="177" t="s">
        <v>7249</v>
      </c>
      <c r="B2322" s="200"/>
      <c r="C2322" s="178"/>
      <c r="D2322" s="178"/>
      <c r="E2322" s="227" t="s">
        <v>7325</v>
      </c>
      <c r="F2322" s="180"/>
      <c r="G2322" s="181"/>
      <c r="H2322" s="182"/>
      <c r="I2322" s="182"/>
      <c r="J2322" s="182">
        <v>1</v>
      </c>
      <c r="K2322" s="183" t="s">
        <v>115</v>
      </c>
      <c r="L2322" s="182"/>
      <c r="M2322" s="182"/>
      <c r="N2322" s="182"/>
      <c r="O2322" s="183"/>
      <c r="P2322" s="183"/>
      <c r="Q2322" s="183"/>
      <c r="R2322" s="183"/>
      <c r="S2322" s="183"/>
      <c r="T2322" s="183"/>
      <c r="U2322" s="183"/>
      <c r="V2322" s="183"/>
      <c r="W2322" s="183"/>
      <c r="X2322" s="183"/>
      <c r="Y2322" s="184"/>
      <c r="Z2322" s="185"/>
      <c r="AA2322" s="185"/>
      <c r="AB2322" s="185"/>
      <c r="AC2322" s="185"/>
      <c r="AD2322" s="649"/>
      <c r="AE2322" s="182"/>
      <c r="AF2322" s="332"/>
      <c r="AG2322" s="182"/>
      <c r="AH2322" s="182"/>
      <c r="AI2322" s="182"/>
      <c r="AJ2322" s="640"/>
      <c r="AK2322" s="182"/>
      <c r="AL2322" s="496">
        <f t="shared" si="760"/>
        <v>0</v>
      </c>
      <c r="AM2322" s="496">
        <f t="shared" si="764"/>
        <v>0</v>
      </c>
      <c r="AN2322" s="626"/>
      <c r="AO2322" s="182"/>
      <c r="AP2322" s="182"/>
      <c r="AQ2322" s="332" t="str">
        <f>UPPER(RIGHT(Journal_Live[[#This Row],[DURATION ]]))</f>
        <v/>
      </c>
      <c r="AR2322" s="182"/>
      <c r="AS2322" s="189"/>
      <c r="AT2322" s="189"/>
      <c r="AU2322" s="187"/>
      <c r="AV2322" s="190"/>
      <c r="AW2322" s="191"/>
      <c r="AX2322" s="551"/>
      <c r="AY2322" s="551"/>
      <c r="AZ2322" s="551"/>
      <c r="BA2322" s="551"/>
      <c r="BB2322" s="551"/>
      <c r="BC2322" s="551"/>
      <c r="BD2322" s="549"/>
      <c r="BE2322" s="550"/>
      <c r="BF2322" s="549"/>
      <c r="BG2322" s="391">
        <f>SUM($AV$1389:AV2322)</f>
        <v>6683.5441708630533</v>
      </c>
      <c r="BH2322" s="392">
        <f>SUM($AU$1389:AU2322)</f>
        <v>41436.423836163238</v>
      </c>
      <c r="BI2322" s="318">
        <f>SUMIFS($AU$1388:AU2323,$Q$1388:Q2323,"F")</f>
        <v>29347.078121878127</v>
      </c>
      <c r="BJ2322" s="318">
        <f>SUMIFS($AU$1388:AU2323,$Q$1388:Q2323,"S")</f>
        <v>16866.285714285717</v>
      </c>
      <c r="BK2322" s="343">
        <f>SUMIFS($AU$1388:AU2323,$P$1388:P2323,"W")</f>
        <v>15912.143836163443</v>
      </c>
      <c r="BL2322" s="343">
        <f>SUMIFS($AU$1388:AU2323,$P$1388:P2323,"R")</f>
        <v>22728.400000000325</v>
      </c>
      <c r="BM2322" s="343">
        <f>SUMIFS($AU$1388:AU2323,$AQ$1388:AQ2323,"M")</f>
        <v>8715.1799999984214</v>
      </c>
      <c r="BN2322" s="343">
        <f>SUMIFS($AU$1388:AU2323,$AQ$1388:AQ2323,"H")</f>
        <v>11643.200000000877</v>
      </c>
      <c r="BO2322" s="343">
        <f>SUMIFS($AU$1388:AU2323,$AQ$1388:AQ2323,"D")</f>
        <v>12162.377472527358</v>
      </c>
      <c r="BP2322" s="343">
        <f>SUMIFS($AS$1388:AS2709,$AO$1388:AO2709,"W")</f>
        <v>0</v>
      </c>
      <c r="BQ2322" s="343">
        <f>SUMIFS($AU$1388:AU2323,$Q$1388:Q2323,"O")</f>
        <v>-9500.9400000005699</v>
      </c>
      <c r="BR2322" s="343">
        <f>SUMIFS($AU$1388:AU2323,$AA$1388:AA2323,"*")</f>
        <v>38441.522077921436</v>
      </c>
      <c r="BS2322" s="343">
        <f>SUMIFS($AU$1388:AU2323,$AB$1388:AB2323,"*")</f>
        <v>7475.8599999999715</v>
      </c>
      <c r="BT2322" s="343">
        <f>SUMIFS($AU$1388:AU2323,$AC$1388:AC2323,"*")</f>
        <v>31683.078121878119</v>
      </c>
      <c r="BU2322" s="343">
        <f>SUMIFS($AU$1388:AU2323,$AA$1388:AA2323,"*",$AB$1388:AB2323,"*")</f>
        <v>7915.9999999997544</v>
      </c>
      <c r="BV2322" s="343">
        <f>SUMIFS($AU$1388:AU2323,$AA$1388:AA2323,"*",$AC$1388:AC2323,"*")</f>
        <v>29808.036363636529</v>
      </c>
      <c r="BW2322" s="343">
        <f>SUMIFS($AU$1388:AU2323,$AB$1388:AB2323,"*",$AC$1388:AC2323,"*")</f>
        <v>3863.9999999999991</v>
      </c>
      <c r="BX2322" s="343">
        <f>SUMIFS($AV$1388:AV2323,$Q$1388:Q2323,"F")</f>
        <v>399.04019562430165</v>
      </c>
      <c r="BY2322" s="343">
        <f>SUMIFS($AV$1388:AV2323,$Q$1388:Q2323,"S")</f>
        <v>689.94467523906087</v>
      </c>
      <c r="BZ2322" s="343">
        <f>SUMIFS($AV$1388:AV2323,$Q$1388:Q2323,"O")</f>
        <v>346.55929999968373</v>
      </c>
    </row>
    <row r="2323" spans="1:78" ht="15.75" customHeight="1">
      <c r="A2323" s="177" t="s">
        <v>7249</v>
      </c>
      <c r="B2323" s="200"/>
      <c r="C2323" s="178"/>
      <c r="D2323" s="178"/>
      <c r="E2323" s="227" t="s">
        <v>7326</v>
      </c>
      <c r="F2323" s="180"/>
      <c r="G2323" s="181"/>
      <c r="H2323" s="182"/>
      <c r="I2323" s="182"/>
      <c r="J2323" s="182">
        <v>1</v>
      </c>
      <c r="K2323" s="183" t="s">
        <v>115</v>
      </c>
      <c r="L2323" s="182"/>
      <c r="M2323" s="182"/>
      <c r="N2323" s="182"/>
      <c r="O2323" s="183"/>
      <c r="P2323" s="183"/>
      <c r="Q2323" s="183"/>
      <c r="R2323" s="183"/>
      <c r="S2323" s="183"/>
      <c r="T2323" s="183"/>
      <c r="U2323" s="183"/>
      <c r="V2323" s="183"/>
      <c r="W2323" s="183"/>
      <c r="X2323" s="183"/>
      <c r="Y2323" s="184"/>
      <c r="Z2323" s="185"/>
      <c r="AA2323" s="185"/>
      <c r="AB2323" s="185"/>
      <c r="AC2323" s="185"/>
      <c r="AD2323" s="649"/>
      <c r="AE2323" s="182"/>
      <c r="AF2323" s="332"/>
      <c r="AG2323" s="182"/>
      <c r="AH2323" s="182"/>
      <c r="AI2323" s="182"/>
      <c r="AJ2323" s="640"/>
      <c r="AK2323" s="182"/>
      <c r="AL2323" s="496">
        <f t="shared" ref="AL2323:AL2380" si="767">-0.02*Z2323</f>
        <v>0</v>
      </c>
      <c r="AM2323" s="496">
        <f t="shared" si="764"/>
        <v>0</v>
      </c>
      <c r="AN2323" s="626"/>
      <c r="AO2323" s="182"/>
      <c r="AP2323" s="182"/>
      <c r="AQ2323" s="332" t="str">
        <f>UPPER(RIGHT(Journal_Live[[#This Row],[DURATION ]]))</f>
        <v/>
      </c>
      <c r="AR2323" s="182"/>
      <c r="AS2323" s="189"/>
      <c r="AT2323" s="189"/>
      <c r="AU2323" s="187"/>
      <c r="AV2323" s="190"/>
      <c r="AW2323" s="191"/>
      <c r="AX2323" s="551"/>
      <c r="AY2323" s="551"/>
      <c r="AZ2323" s="551"/>
      <c r="BA2323" s="551"/>
      <c r="BB2323" s="551"/>
      <c r="BC2323" s="551"/>
      <c r="BD2323" s="549"/>
      <c r="BE2323" s="550"/>
      <c r="BF2323" s="549"/>
      <c r="BG2323" s="391">
        <f>SUM($AV$1389:AV2323)</f>
        <v>6683.5441708630533</v>
      </c>
      <c r="BH2323" s="392">
        <f>SUM($AU$1389:AU2323)</f>
        <v>41436.423836163238</v>
      </c>
      <c r="BI2323" s="318">
        <f>SUMIFS($AU$1388:AU2378,$Q$1388:Q2378,"F")</f>
        <v>28758.758121878131</v>
      </c>
      <c r="BJ2323" s="318">
        <f>SUMIFS($AU$1388:AU2378,$Q$1388:Q2378,"S")</f>
        <v>18338.285714285717</v>
      </c>
      <c r="BK2323" s="343">
        <f>SUMIFS($AU$1388:AU2378,$P$1388:P2378,"W")</f>
        <v>16085.423836163443</v>
      </c>
      <c r="BL2323" s="343">
        <f>SUMIFS($AU$1388:AU2378,$P$1388:P2378,"R")</f>
        <v>23278.800000000327</v>
      </c>
      <c r="BM2323" s="343">
        <f>SUMIFS($AU$1388:AU2378,$AQ$1388:AQ2378,"M")</f>
        <v>9563.1799999983832</v>
      </c>
      <c r="BN2323" s="343">
        <f>SUMIFS($AU$1388:AU2378,$AQ$1388:AQ2378,"H")</f>
        <v>12587.200000000877</v>
      </c>
      <c r="BO2323" s="343">
        <f>SUMIFS($AU$1388:AU2378,$AQ$1388:AQ2378,"D")</f>
        <v>11195.57747252718</v>
      </c>
      <c r="BP2323" s="343">
        <f>SUMIFS($AS$1388:AS2710,$AO$1388:AO2710,"W")</f>
        <v>0</v>
      </c>
      <c r="BQ2323" s="343">
        <f>SUMIFS($AU$1388:AU2378,$Q$1388:Q2378,"O")</f>
        <v>-9366.1400000007852</v>
      </c>
      <c r="BR2323" s="343">
        <f>SUMIFS($AU$1388:AU2378,$AA$1388:AA2378,"*")</f>
        <v>39156.002077921221</v>
      </c>
      <c r="BS2323" s="343">
        <f>SUMIFS($AU$1388:AU2378,$AB$1388:AB2378,"*")</f>
        <v>7005.8599999997941</v>
      </c>
      <c r="BT2323" s="343">
        <f>SUMIFS($AU$1388:AU2378,$AC$1388:AC2378,"*")</f>
        <v>31968.358121878122</v>
      </c>
      <c r="BU2323" s="343">
        <f>SUMIFS($AU$1388:AU2378,$AA$1388:AA2378,"*",$AB$1388:AB2378,"*")</f>
        <v>7301.9999999995771</v>
      </c>
      <c r="BV2323" s="343">
        <f>SUMIFS($AU$1388:AU2378,$AA$1388:AA2378,"*",$AC$1388:AC2378,"*")</f>
        <v>29949.316363636532</v>
      </c>
      <c r="BW2323" s="343">
        <f>SUMIFS($AU$1388:AU2378,$AB$1388:AB2378,"*",$AC$1388:AC2378,"*")</f>
        <v>3739.199999999998</v>
      </c>
      <c r="BX2323" s="343">
        <f>SUMIFS($AV$1388:AV2378,$Q$1388:Q2378,"F")</f>
        <v>396.72999236351012</v>
      </c>
      <c r="BY2323" s="343">
        <f>SUMIFS($AV$1388:AV2378,$Q$1388:Q2378,"S")</f>
        <v>775.76285705724263</v>
      </c>
      <c r="BZ2323" s="343">
        <f>SUMIFS($AV$1388:AV2378,$Q$1388:Q2378,"O")</f>
        <v>569.29929999965555</v>
      </c>
    </row>
    <row r="2324" spans="1:78" ht="15.75" customHeight="1">
      <c r="A2324" s="177" t="s">
        <v>7249</v>
      </c>
      <c r="B2324" s="200">
        <v>45484</v>
      </c>
      <c r="C2324" s="178" t="s">
        <v>682</v>
      </c>
      <c r="D2324" s="178" t="s">
        <v>93</v>
      </c>
      <c r="E2324" s="227"/>
      <c r="F2324" s="180"/>
      <c r="G2324" s="553" t="s">
        <v>2070</v>
      </c>
      <c r="H2324" s="182"/>
      <c r="I2324" s="182"/>
      <c r="J2324" s="182"/>
      <c r="K2324" s="183"/>
      <c r="L2324" s="182"/>
      <c r="M2324" s="182">
        <v>2</v>
      </c>
      <c r="N2324" s="182"/>
      <c r="O2324" s="183" t="s">
        <v>95</v>
      </c>
      <c r="P2324" s="183" t="s">
        <v>96</v>
      </c>
      <c r="Q2324" s="183" t="s">
        <v>97</v>
      </c>
      <c r="R2324" s="183">
        <v>18</v>
      </c>
      <c r="S2324" s="183">
        <v>0</v>
      </c>
      <c r="T2324" s="183">
        <v>18</v>
      </c>
      <c r="U2324" s="183" t="s">
        <v>22</v>
      </c>
      <c r="V2324" s="183"/>
      <c r="W2324" s="183"/>
      <c r="X2324" s="183"/>
      <c r="Y2324" s="184">
        <f>IF(ISBLANK(O2324),"",(IF(O2324=UPPER("IB"),0.005,0.01)))</f>
        <v>0.01</v>
      </c>
      <c r="Z2324" s="185">
        <f>IF(ISBLANK(O2324),"",IF(O2324="IB",8.63*200,IF(O2324="IR",16*100,IF(O2324="YT",20*100,IF(O2324="YT-XT",24*200,IF(O2324="TED",80*100,IF(O2324="IR|YT",300*100)))))))</f>
        <v>1600</v>
      </c>
      <c r="AA2324" s="185" t="s">
        <v>7327</v>
      </c>
      <c r="AB2324" s="185"/>
      <c r="AC2324" s="185"/>
      <c r="AD2324" s="649">
        <v>-0.1</v>
      </c>
      <c r="AE2324" s="182"/>
      <c r="AF2324" s="332"/>
      <c r="AG2324" s="182"/>
      <c r="AH2324" s="182"/>
      <c r="AI2324" s="182"/>
      <c r="AJ2324" s="640"/>
      <c r="AK2324" s="182"/>
      <c r="AL2324" s="496">
        <f t="shared" si="767"/>
        <v>-32</v>
      </c>
      <c r="AM2324" s="496">
        <f t="shared" si="764"/>
        <v>-576</v>
      </c>
      <c r="AN2324" s="626"/>
      <c r="AO2324" s="182"/>
      <c r="AP2324" s="182"/>
      <c r="AQ2324" s="332" t="s">
        <v>1259</v>
      </c>
      <c r="AR2324" s="182"/>
      <c r="AS2324" s="189">
        <v>-0.09</v>
      </c>
      <c r="AT2324" s="189">
        <f>IF(ISBLANK(AS2324),,IF(U2324="S",AD2324-AS2324,AS2324-AD2324))</f>
        <v>1.0000000000000009E-2</v>
      </c>
      <c r="AU2324" s="187">
        <f>AV2324*R2324</f>
        <v>288.00000000000023</v>
      </c>
      <c r="AV2324" s="190">
        <f t="shared" ref="AV2324:AV2380" si="768">IF(ISBLANK(AS2324),,(AT2324*Z2324))</f>
        <v>16.000000000000014</v>
      </c>
      <c r="AW2324" s="191" t="s">
        <v>96</v>
      </c>
      <c r="AX2324" s="551"/>
      <c r="AY2324" s="551"/>
      <c r="AZ2324" s="551"/>
      <c r="BA2324" s="551"/>
      <c r="BB2324" s="551"/>
      <c r="BC2324" s="551"/>
      <c r="BD2324" s="549"/>
      <c r="BE2324" s="550"/>
      <c r="BF2324" s="549"/>
      <c r="BG2324" s="391">
        <f>SUM($AV$1389:AV2324)</f>
        <v>6699.5441708630533</v>
      </c>
      <c r="BH2324" s="392">
        <f>SUM($AU$1389:AU2324)</f>
        <v>41724.423836163238</v>
      </c>
      <c r="BI2324" s="318">
        <f>SUMIFS($AU$1388:AU2325,$Q$1388:Q2325,"F")</f>
        <v>29347.078121878127</v>
      </c>
      <c r="BJ2324" s="318">
        <f>SUMIFS($AU$1388:AU2325,$Q$1388:Q2325,"S")</f>
        <v>17394.285714285717</v>
      </c>
      <c r="BK2324" s="343">
        <f>SUMIFS($AU$1388:AU2325,$P$1388:P2325,"W")</f>
        <v>16440.143836163443</v>
      </c>
      <c r="BL2324" s="343">
        <f>SUMIFS($AU$1388:AU2325,$P$1388:P2325,"R")</f>
        <v>22728.400000000325</v>
      </c>
      <c r="BM2324" s="343">
        <f>SUMIFS($AU$1388:AU2325,$AQ$1388:AQ2325,"M")</f>
        <v>9243.1799999984214</v>
      </c>
      <c r="BN2324" s="343">
        <f>SUMIFS($AU$1388:AU2325,$AQ$1388:AQ2325,"H")</f>
        <v>11643.200000000877</v>
      </c>
      <c r="BO2324" s="343">
        <f>SUMIFS($AU$1388:AU2325,$AQ$1388:AQ2325,"D")</f>
        <v>12162.377472527358</v>
      </c>
      <c r="BP2324" s="343">
        <f>SUMIFS($AS$1388:AS2702,$AO$1388:AO2702,"W")</f>
        <v>0</v>
      </c>
      <c r="BQ2324" s="343">
        <f>SUMIFS($AU$1388:AU2325,$Q$1388:Q2325,"O")</f>
        <v>-9500.9400000005699</v>
      </c>
      <c r="BR2324" s="343">
        <f>SUMIFS($AU$1388:AU2325,$AA$1388:AA2325,"*")</f>
        <v>38969.522077921436</v>
      </c>
      <c r="BS2324" s="343">
        <f>SUMIFS($AU$1388:AU2325,$AB$1388:AB2325,"*")</f>
        <v>7475.8599999999715</v>
      </c>
      <c r="BT2324" s="343">
        <f>SUMIFS($AU$1388:AU2325,$AC$1388:AC2325,"*")</f>
        <v>31683.078121878119</v>
      </c>
      <c r="BU2324" s="343">
        <f>SUMIFS($AU$1388:AU2325,$AA$1388:AA2325,"*",$AB$1388:AB2325,"*")</f>
        <v>7915.9999999997544</v>
      </c>
      <c r="BV2324" s="343">
        <f>SUMIFS($AU$1388:AU2325,$AA$1388:AA2325,"*",$AC$1388:AC2325,"*")</f>
        <v>29808.036363636529</v>
      </c>
      <c r="BW2324" s="343">
        <f>SUMIFS($AU$1388:AU2325,$AB$1388:AB2325,"*",$AC$1388:AC2325,"*")</f>
        <v>3863.9999999999991</v>
      </c>
      <c r="BX2324" s="343">
        <f>SUMIFS($AV$1388:AV2325,$Q$1388:Q2325,"F")</f>
        <v>399.04019562430165</v>
      </c>
      <c r="BY2324" s="343">
        <f>SUMIFS($AV$1388:AV2325,$Q$1388:Q2325,"S")</f>
        <v>721.94467523906087</v>
      </c>
      <c r="BZ2324" s="343">
        <f>SUMIFS($AV$1388:AV2325,$Q$1388:Q2325,"O")</f>
        <v>346.55929999968373</v>
      </c>
    </row>
    <row r="2325" spans="1:78" ht="15.75" customHeight="1">
      <c r="A2325" s="177" t="s">
        <v>7249</v>
      </c>
      <c r="B2325" s="200">
        <v>45484</v>
      </c>
      <c r="C2325" s="178" t="s">
        <v>682</v>
      </c>
      <c r="D2325" s="178" t="s">
        <v>93</v>
      </c>
      <c r="E2325" s="227"/>
      <c r="F2325" s="180"/>
      <c r="G2325" s="553" t="s">
        <v>7133</v>
      </c>
      <c r="H2325" s="182"/>
      <c r="I2325" s="182"/>
      <c r="J2325" s="182"/>
      <c r="K2325" s="183"/>
      <c r="L2325" s="182"/>
      <c r="M2325" s="182">
        <v>2</v>
      </c>
      <c r="N2325" s="182"/>
      <c r="O2325" s="183" t="s">
        <v>95</v>
      </c>
      <c r="P2325" s="183" t="s">
        <v>96</v>
      </c>
      <c r="Q2325" s="183" t="s">
        <v>97</v>
      </c>
      <c r="R2325" s="183">
        <v>15</v>
      </c>
      <c r="S2325" s="183">
        <v>0</v>
      </c>
      <c r="T2325" s="183">
        <v>15</v>
      </c>
      <c r="U2325" s="183" t="s">
        <v>22</v>
      </c>
      <c r="V2325" s="183"/>
      <c r="W2325" s="183"/>
      <c r="X2325" s="183"/>
      <c r="Y2325" s="184">
        <f>IF(ISBLANK(O2325),"",(IF(O2325=UPPER("IB"),0.005,0.01)))</f>
        <v>0.01</v>
      </c>
      <c r="Z2325" s="185">
        <f>IF(ISBLANK(O2325),"",IF(O2325="IB",8.63*200,IF(O2325="IR",16*100,IF(O2325="YT",20*100,IF(O2325="YT-XT",24*200,IF(O2325="TED",80*100,IF(O2325="IR|YT",300*100)))))))</f>
        <v>1600</v>
      </c>
      <c r="AA2325" s="185" t="s">
        <v>7327</v>
      </c>
      <c r="AB2325" s="185"/>
      <c r="AC2325" s="185"/>
      <c r="AD2325" s="649">
        <v>-0.21</v>
      </c>
      <c r="AE2325" s="182"/>
      <c r="AF2325" s="332"/>
      <c r="AG2325" s="182"/>
      <c r="AH2325" s="182"/>
      <c r="AI2325" s="182"/>
      <c r="AJ2325" s="640"/>
      <c r="AK2325" s="182"/>
      <c r="AL2325" s="496">
        <f t="shared" si="767"/>
        <v>-32</v>
      </c>
      <c r="AM2325" s="496">
        <f t="shared" si="764"/>
        <v>-480</v>
      </c>
      <c r="AN2325" s="626"/>
      <c r="AO2325" s="182"/>
      <c r="AP2325" s="182"/>
      <c r="AQ2325" s="332" t="s">
        <v>1259</v>
      </c>
      <c r="AR2325" s="182"/>
      <c r="AS2325" s="189">
        <v>-0.2</v>
      </c>
      <c r="AT2325" s="189">
        <f>IF(ISBLANK(AS2325),,IF(U2325="S",AD2325-AS2325,AS2325-AD2325))</f>
        <v>9.9999999999999811E-3</v>
      </c>
      <c r="AU2325" s="187">
        <f>AV2325*R2325</f>
        <v>239.99999999999955</v>
      </c>
      <c r="AV2325" s="190">
        <f t="shared" si="768"/>
        <v>15.99999999999997</v>
      </c>
      <c r="AW2325" s="191" t="s">
        <v>96</v>
      </c>
      <c r="AX2325" s="551"/>
      <c r="AY2325" s="551"/>
      <c r="AZ2325" s="551"/>
      <c r="BA2325" s="551"/>
      <c r="BB2325" s="551"/>
      <c r="BC2325" s="551"/>
      <c r="BD2325" s="549"/>
      <c r="BE2325" s="550"/>
      <c r="BF2325" s="549"/>
      <c r="BG2325" s="391">
        <f>SUM($AV$1389:AV2325)</f>
        <v>6715.5441708630533</v>
      </c>
      <c r="BH2325" s="392">
        <f>SUM($AU$1389:AU2325)</f>
        <v>41964.423836163238</v>
      </c>
      <c r="BI2325" s="318">
        <f>SUMIFS($AU$1388:AU2326,$Q$1388:Q2326,"F")</f>
        <v>29347.078121878127</v>
      </c>
      <c r="BJ2325" s="318">
        <f>SUMIFS($AU$1388:AU2326,$Q$1388:Q2326,"S")</f>
        <v>17394.285714285717</v>
      </c>
      <c r="BK2325" s="343">
        <f>SUMIFS($AU$1388:AU2326,$P$1388:P2326,"W")</f>
        <v>16440.143836163443</v>
      </c>
      <c r="BL2325" s="343">
        <f>SUMIFS($AU$1388:AU2326,$P$1388:P2326,"R")</f>
        <v>22728.400000000325</v>
      </c>
      <c r="BM2325" s="343">
        <f>SUMIFS($AU$1388:AU2326,$AQ$1388:AQ2326,"M")</f>
        <v>9243.1799999984214</v>
      </c>
      <c r="BN2325" s="343">
        <f>SUMIFS($AU$1388:AU2326,$AQ$1388:AQ2326,"H")</f>
        <v>11643.200000000877</v>
      </c>
      <c r="BO2325" s="343">
        <f>SUMIFS($AU$1388:AU2326,$AQ$1388:AQ2326,"D")</f>
        <v>12162.377472527358</v>
      </c>
      <c r="BP2325" s="343">
        <f>SUMIFS($AS$1388:AS2703,$AO$1388:AO2703,"W")</f>
        <v>0</v>
      </c>
      <c r="BQ2325" s="343">
        <f>SUMIFS($AU$1388:AU2326,$Q$1388:Q2326,"O")</f>
        <v>-9500.9400000005699</v>
      </c>
      <c r="BR2325" s="343">
        <f>SUMIFS($AU$1388:AU2326,$AA$1388:AA2326,"*")</f>
        <v>38969.522077921436</v>
      </c>
      <c r="BS2325" s="343">
        <f>SUMIFS($AU$1388:AU2326,$AB$1388:AB2326,"*")</f>
        <v>7475.8599999999715</v>
      </c>
      <c r="BT2325" s="343">
        <f>SUMIFS($AU$1388:AU2326,$AC$1388:AC2326,"*")</f>
        <v>31683.078121878119</v>
      </c>
      <c r="BU2325" s="343">
        <f>SUMIFS($AU$1388:AU2326,$AA$1388:AA2326,"*",$AB$1388:AB2326,"*")</f>
        <v>7915.9999999997544</v>
      </c>
      <c r="BV2325" s="343">
        <f>SUMIFS($AU$1388:AU2326,$AA$1388:AA2326,"*",$AC$1388:AC2326,"*")</f>
        <v>29808.036363636529</v>
      </c>
      <c r="BW2325" s="343">
        <f>SUMIFS($AU$1388:AU2326,$AB$1388:AB2326,"*",$AC$1388:AC2326,"*")</f>
        <v>3863.9999999999991</v>
      </c>
      <c r="BX2325" s="343">
        <f>SUMIFS($AV$1388:AV2326,$Q$1388:Q2326,"F")</f>
        <v>399.04019562430165</v>
      </c>
      <c r="BY2325" s="343">
        <f>SUMIFS($AV$1388:AV2326,$Q$1388:Q2326,"S")</f>
        <v>721.94467523906087</v>
      </c>
      <c r="BZ2325" s="343">
        <f>SUMIFS($AV$1388:AV2326,$Q$1388:Q2326,"O")</f>
        <v>346.55929999968373</v>
      </c>
    </row>
    <row r="2326" spans="1:78" ht="15.75" customHeight="1">
      <c r="A2326" s="177" t="s">
        <v>7249</v>
      </c>
      <c r="B2326" s="200">
        <v>45484</v>
      </c>
      <c r="C2326" s="178" t="s">
        <v>682</v>
      </c>
      <c r="D2326" s="178" t="s">
        <v>93</v>
      </c>
      <c r="E2326" s="227"/>
      <c r="F2326" s="180"/>
      <c r="G2326" s="553" t="s">
        <v>6998</v>
      </c>
      <c r="H2326" s="182"/>
      <c r="I2326" s="182"/>
      <c r="J2326" s="182"/>
      <c r="K2326" s="183"/>
      <c r="L2326" s="182">
        <v>1</v>
      </c>
      <c r="M2326" s="182"/>
      <c r="N2326" s="182"/>
      <c r="O2326" s="183" t="s">
        <v>3618</v>
      </c>
      <c r="P2326" s="183" t="s">
        <v>2260</v>
      </c>
      <c r="Q2326" s="183" t="s">
        <v>684</v>
      </c>
      <c r="R2326" s="183">
        <v>1</v>
      </c>
      <c r="S2326" s="183">
        <v>0</v>
      </c>
      <c r="T2326" s="183">
        <v>1</v>
      </c>
      <c r="U2326" s="183" t="s">
        <v>22</v>
      </c>
      <c r="V2326" s="183"/>
      <c r="W2326" s="183"/>
      <c r="X2326" s="183"/>
      <c r="Y2326" s="184">
        <f>IF(ISBLANK(O2326),"",(IF(O2326=UPPER("IB"),0.005,0.01)))</f>
        <v>0.01</v>
      </c>
      <c r="Z2326" s="185">
        <f>IF(ISBLANK(O2326),"",IF(O2326="IB",8.63*200,IF(O2326="IR",16*100,IF(O2326="YT",20*100,IF(O2326="YT-XT",24*200,IF(O2326="TED",80*100,IF(O2326="XT",29*200)))))))</f>
        <v>5800</v>
      </c>
      <c r="AA2326" s="185" t="s">
        <v>5476</v>
      </c>
      <c r="AB2326" s="185"/>
      <c r="AC2326" s="185"/>
      <c r="AD2326" s="649">
        <v>95.694999999999993</v>
      </c>
      <c r="AE2326" s="182"/>
      <c r="AF2326" s="332"/>
      <c r="AG2326" s="182"/>
      <c r="AH2326" s="182"/>
      <c r="AI2326" s="182"/>
      <c r="AJ2326" s="640"/>
      <c r="AK2326" s="182"/>
      <c r="AL2326" s="496">
        <f t="shared" si="767"/>
        <v>-116</v>
      </c>
      <c r="AM2326" s="496">
        <f t="shared" si="764"/>
        <v>-116</v>
      </c>
      <c r="AN2326" s="626"/>
      <c r="AO2326" s="182"/>
      <c r="AP2326" s="182"/>
      <c r="AQ2326" s="332" t="str">
        <f>UPPER(RIGHT(Journal_Live[[#This Row],[DURATION ]]))</f>
        <v/>
      </c>
      <c r="AR2326" s="182"/>
      <c r="AS2326" s="189">
        <v>95.694999999999993</v>
      </c>
      <c r="AT2326" s="189">
        <f>IF(ISBLANK(AS2326),,IF(U2326="S",AD2326-AS2326,AS2326-AD2326))</f>
        <v>0</v>
      </c>
      <c r="AU2326" s="187">
        <f>AV2326*R2326</f>
        <v>0</v>
      </c>
      <c r="AV2326" s="190">
        <f t="shared" si="768"/>
        <v>0</v>
      </c>
      <c r="AW2326" s="191" t="s">
        <v>115</v>
      </c>
      <c r="AX2326" s="551"/>
      <c r="AY2326" s="551"/>
      <c r="AZ2326" s="551"/>
      <c r="BA2326" s="551"/>
      <c r="BB2326" s="551"/>
      <c r="BC2326" s="551"/>
      <c r="BD2326" s="549"/>
      <c r="BE2326" s="550"/>
      <c r="BF2326" s="549"/>
      <c r="BG2326" s="391">
        <f>SUM($AV$1389:AV2326)</f>
        <v>6715.5441708630533</v>
      </c>
      <c r="BH2326" s="392">
        <f>SUM($AU$1389:AU2326)</f>
        <v>41964.423836163238</v>
      </c>
      <c r="BI2326" s="318">
        <f>SUMIFS($AU$1388:AU2327,$Q$1388:Q2327,"F")</f>
        <v>29347.078121878127</v>
      </c>
      <c r="BJ2326" s="318">
        <f>SUMIFS($AU$1388:AU2327,$Q$1388:Q2327,"S")</f>
        <v>17394.285714285717</v>
      </c>
      <c r="BK2326" s="343">
        <f>SUMIFS($AU$1388:AU2327,$P$1388:P2327,"W")</f>
        <v>16440.143836163443</v>
      </c>
      <c r="BL2326" s="343">
        <f>SUMIFS($AU$1388:AU2327,$P$1388:P2327,"R")</f>
        <v>22728.400000000325</v>
      </c>
      <c r="BM2326" s="343">
        <f>SUMIFS($AU$1388:AU2327,$AQ$1388:AQ2327,"M")</f>
        <v>9243.1799999984214</v>
      </c>
      <c r="BN2326" s="343">
        <f>SUMIFS($AU$1388:AU2327,$AQ$1388:AQ2327,"H")</f>
        <v>11643.200000000877</v>
      </c>
      <c r="BO2326" s="343">
        <f>SUMIFS($AU$1388:AU2327,$AQ$1388:AQ2327,"D")</f>
        <v>12162.377472527358</v>
      </c>
      <c r="BP2326" s="343">
        <f>SUMIFS($AS$1388:AS2704,$AO$1388:AO2704,"W")</f>
        <v>0</v>
      </c>
      <c r="BQ2326" s="343">
        <f>SUMIFS($AU$1388:AU2327,$Q$1388:Q2327,"O")</f>
        <v>-9500.9400000005699</v>
      </c>
      <c r="BR2326" s="343">
        <f>SUMIFS($AU$1388:AU2327,$AA$1388:AA2327,"*")</f>
        <v>38969.522077921436</v>
      </c>
      <c r="BS2326" s="343">
        <f>SUMIFS($AU$1388:AU2327,$AB$1388:AB2327,"*")</f>
        <v>7475.8599999999715</v>
      </c>
      <c r="BT2326" s="343">
        <f>SUMIFS($AU$1388:AU2327,$AC$1388:AC2327,"*")</f>
        <v>31683.078121878119</v>
      </c>
      <c r="BU2326" s="343">
        <f>SUMIFS($AU$1388:AU2327,$AA$1388:AA2327,"*",$AB$1388:AB2327,"*")</f>
        <v>7915.9999999997544</v>
      </c>
      <c r="BV2326" s="343">
        <f>SUMIFS($AU$1388:AU2327,$AA$1388:AA2327,"*",$AC$1388:AC2327,"*")</f>
        <v>29808.036363636529</v>
      </c>
      <c r="BW2326" s="343">
        <f>SUMIFS($AU$1388:AU2327,$AB$1388:AB2327,"*",$AC$1388:AC2327,"*")</f>
        <v>3863.9999999999991</v>
      </c>
      <c r="BX2326" s="343">
        <f>SUMIFS($AV$1388:AV2327,$Q$1388:Q2327,"F")</f>
        <v>399.04019562430165</v>
      </c>
      <c r="BY2326" s="343">
        <f>SUMIFS($AV$1388:AV2327,$Q$1388:Q2327,"S")</f>
        <v>721.94467523906087</v>
      </c>
      <c r="BZ2326" s="343">
        <f>SUMIFS($AV$1388:AV2327,$Q$1388:Q2327,"O")</f>
        <v>346.55929999968373</v>
      </c>
    </row>
    <row r="2327" spans="1:78" ht="15.75" customHeight="1">
      <c r="A2327" s="177" t="s">
        <v>7249</v>
      </c>
      <c r="B2327" s="200">
        <v>45484</v>
      </c>
      <c r="C2327" s="178" t="s">
        <v>682</v>
      </c>
      <c r="D2327" s="178" t="s">
        <v>93</v>
      </c>
      <c r="E2327" s="227"/>
      <c r="F2327" s="180"/>
      <c r="G2327" s="181" t="s">
        <v>3334</v>
      </c>
      <c r="H2327" s="182"/>
      <c r="I2327" s="182"/>
      <c r="J2327" s="182"/>
      <c r="K2327" s="183"/>
      <c r="L2327" s="182"/>
      <c r="M2327" s="182"/>
      <c r="N2327" s="182"/>
      <c r="O2327" s="183"/>
      <c r="P2327" s="183"/>
      <c r="Q2327" s="183"/>
      <c r="R2327" s="183"/>
      <c r="S2327" s="183"/>
      <c r="T2327" s="183"/>
      <c r="U2327" s="183"/>
      <c r="V2327" s="183"/>
      <c r="W2327" s="183"/>
      <c r="X2327" s="183"/>
      <c r="Y2327" s="184"/>
      <c r="Z2327" s="185"/>
      <c r="AA2327" s="185"/>
      <c r="AB2327" s="185"/>
      <c r="AC2327" s="185"/>
      <c r="AD2327" s="649"/>
      <c r="AE2327" s="182"/>
      <c r="AF2327" s="332"/>
      <c r="AG2327" s="182"/>
      <c r="AH2327" s="182"/>
      <c r="AI2327" s="182"/>
      <c r="AJ2327" s="640"/>
      <c r="AK2327" s="182"/>
      <c r="AL2327" s="496">
        <f t="shared" si="767"/>
        <v>0</v>
      </c>
      <c r="AM2327" s="496">
        <f t="shared" si="764"/>
        <v>0</v>
      </c>
      <c r="AN2327" s="626"/>
      <c r="AO2327" s="182"/>
      <c r="AP2327" s="182"/>
      <c r="AQ2327" s="332" t="str">
        <f>UPPER(RIGHT(Journal_Live[[#This Row],[DURATION ]]))</f>
        <v/>
      </c>
      <c r="AR2327" s="182"/>
      <c r="AS2327" s="189"/>
      <c r="AT2327" s="189"/>
      <c r="AU2327" s="187"/>
      <c r="AV2327" s="190"/>
      <c r="AW2327" s="191"/>
      <c r="AX2327" s="551"/>
      <c r="AY2327" s="551"/>
      <c r="AZ2327" s="551"/>
      <c r="BA2327" s="551"/>
      <c r="BB2327" s="551"/>
      <c r="BC2327" s="551"/>
      <c r="BD2327" s="549"/>
      <c r="BE2327" s="550"/>
      <c r="BF2327" s="549"/>
      <c r="BG2327" s="391">
        <f>SUM($AV$1389:AV2327)</f>
        <v>6715.5441708630533</v>
      </c>
      <c r="BH2327" s="392">
        <f>SUM($AU$1389:AU2327)</f>
        <v>41964.423836163238</v>
      </c>
      <c r="BI2327" s="318">
        <f>SUMIFS($AU$1388:AU2328,$Q$1388:Q2328,"F")</f>
        <v>29347.078121878127</v>
      </c>
      <c r="BJ2327" s="318">
        <f>SUMIFS($AU$1388:AU2328,$Q$1388:Q2328,"S")</f>
        <v>17394.285714285717</v>
      </c>
      <c r="BK2327" s="343">
        <f>SUMIFS($AU$1388:AU2328,$P$1388:P2328,"W")</f>
        <v>16440.143836163443</v>
      </c>
      <c r="BL2327" s="343">
        <f>SUMIFS($AU$1388:AU2328,$P$1388:P2328,"R")</f>
        <v>22728.400000000325</v>
      </c>
      <c r="BM2327" s="343">
        <f>SUMIFS($AU$1388:AU2328,$AQ$1388:AQ2328,"M")</f>
        <v>9243.1799999984214</v>
      </c>
      <c r="BN2327" s="343">
        <f>SUMIFS($AU$1388:AU2328,$AQ$1388:AQ2328,"H")</f>
        <v>11643.200000000877</v>
      </c>
      <c r="BO2327" s="343">
        <f>SUMIFS($AU$1388:AU2328,$AQ$1388:AQ2328,"D")</f>
        <v>11817.177472527181</v>
      </c>
      <c r="BP2327" s="343">
        <f>SUMIFS($AS$1388:AS2705,$AO$1388:AO2705,"W")</f>
        <v>0</v>
      </c>
      <c r="BQ2327" s="343">
        <f>SUMIFS($AU$1388:AU2328,$Q$1388:Q2328,"O")</f>
        <v>-9846.140000000747</v>
      </c>
      <c r="BR2327" s="343">
        <f>SUMIFS($AU$1388:AU2328,$AA$1388:AA2328,"*")</f>
        <v>38624.322077921257</v>
      </c>
      <c r="BS2327" s="343">
        <f>SUMIFS($AU$1388:AU2328,$AB$1388:AB2328,"*")</f>
        <v>7130.6599999997952</v>
      </c>
      <c r="BT2327" s="343">
        <f>SUMIFS($AU$1388:AU2328,$AC$1388:AC2328,"*")</f>
        <v>31683.078121878119</v>
      </c>
      <c r="BU2327" s="343">
        <f>SUMIFS($AU$1388:AU2328,$AA$1388:AA2328,"*",$AB$1388:AB2328,"*")</f>
        <v>7570.7999999995782</v>
      </c>
      <c r="BV2327" s="343">
        <f>SUMIFS($AU$1388:AU2328,$AA$1388:AA2328,"*",$AC$1388:AC2328,"*")</f>
        <v>29808.036363636529</v>
      </c>
      <c r="BW2327" s="343">
        <f>SUMIFS($AU$1388:AU2328,$AB$1388:AB2328,"*",$AC$1388:AC2328,"*")</f>
        <v>3863.9999999999991</v>
      </c>
      <c r="BX2327" s="343">
        <f>SUMIFS($AV$1388:AV2328,$Q$1388:Q2328,"F")</f>
        <v>399.04019562430165</v>
      </c>
      <c r="BY2327" s="343">
        <f>SUMIFS($AV$1388:AV2328,$Q$1388:Q2328,"S")</f>
        <v>721.94467523906087</v>
      </c>
      <c r="BZ2327" s="343">
        <f>SUMIFS($AV$1388:AV2328,$Q$1388:Q2328,"O")</f>
        <v>329.29929999967487</v>
      </c>
    </row>
    <row r="2328" spans="1:78" ht="15.75" customHeight="1">
      <c r="A2328" s="177" t="s">
        <v>7249</v>
      </c>
      <c r="B2328" s="200">
        <v>45484</v>
      </c>
      <c r="C2328" s="178" t="s">
        <v>4906</v>
      </c>
      <c r="D2328" s="178" t="s">
        <v>93</v>
      </c>
      <c r="E2328" s="227"/>
      <c r="F2328" s="180"/>
      <c r="G2328" s="553" t="s">
        <v>7328</v>
      </c>
      <c r="H2328" s="182"/>
      <c r="I2328" s="182"/>
      <c r="J2328" s="182"/>
      <c r="K2328" s="183"/>
      <c r="L2328" s="182">
        <v>1</v>
      </c>
      <c r="M2328" s="182"/>
      <c r="N2328" s="182"/>
      <c r="O2328" s="183" t="s">
        <v>1057</v>
      </c>
      <c r="P2328" s="183"/>
      <c r="Q2328" s="183" t="s">
        <v>684</v>
      </c>
      <c r="R2328" s="183">
        <v>20</v>
      </c>
      <c r="S2328" s="183">
        <v>10</v>
      </c>
      <c r="T2328" s="183">
        <v>10</v>
      </c>
      <c r="U2328" s="183" t="s">
        <v>97</v>
      </c>
      <c r="V2328" s="183"/>
      <c r="W2328" s="183"/>
      <c r="X2328" s="183"/>
      <c r="Y2328" s="184">
        <f>IF(ISBLANK(O2328),"",(IF(O2328=UPPER("IB"),0.005,0.01)))</f>
        <v>5.0000000000000001E-3</v>
      </c>
      <c r="Z2328" s="185">
        <f>IF(ISBLANK(O2328),"",IF(O2328="IB",8.63*200,IF(O2328="IR",16*100,IF(O2328="YT",20*100,IF(O2328="YT-XT",24*200,IF(O2328="TED",80*100,IF(O2328="XT",29*200)))))))</f>
        <v>1726.0000000000002</v>
      </c>
      <c r="AA2328" s="185" t="s">
        <v>7329</v>
      </c>
      <c r="AB2328" s="185" t="s">
        <v>7330</v>
      </c>
      <c r="AC2328" s="185"/>
      <c r="AD2328" s="649">
        <v>95.614999999999995</v>
      </c>
      <c r="AE2328" s="182"/>
      <c r="AF2328" s="332"/>
      <c r="AG2328" s="182"/>
      <c r="AH2328" s="182"/>
      <c r="AI2328" s="182"/>
      <c r="AJ2328" s="640"/>
      <c r="AK2328" s="182"/>
      <c r="AL2328" s="496">
        <f t="shared" si="767"/>
        <v>-34.520000000000003</v>
      </c>
      <c r="AM2328" s="496">
        <f t="shared" si="764"/>
        <v>-345.20000000000005</v>
      </c>
      <c r="AN2328" s="626"/>
      <c r="AO2328" s="182"/>
      <c r="AP2328" s="182" t="s">
        <v>827</v>
      </c>
      <c r="AQ2328" s="332" t="s">
        <v>115</v>
      </c>
      <c r="AR2328" s="182" t="s">
        <v>7331</v>
      </c>
      <c r="AS2328" s="189">
        <v>95.625</v>
      </c>
      <c r="AT2328" s="189">
        <f t="shared" ref="AT2328:AT2342" si="769">IF(ISBLANK(AS2328),,IF(U2328="S",AD2328-AS2328,AS2328-AD2328))</f>
        <v>-1.0000000000005116E-2</v>
      </c>
      <c r="AU2328" s="187">
        <f t="shared" ref="AU2328:AU2342" si="770">AV2328*R2328</f>
        <v>-345.20000000017666</v>
      </c>
      <c r="AV2328" s="190">
        <f t="shared" si="768"/>
        <v>-17.260000000008834</v>
      </c>
      <c r="AW2328" s="191" t="s">
        <v>229</v>
      </c>
      <c r="AX2328" s="551"/>
      <c r="AY2328" s="551"/>
      <c r="AZ2328" s="551"/>
      <c r="BA2328" s="551"/>
      <c r="BB2328" s="551"/>
      <c r="BC2328" s="551"/>
      <c r="BD2328" s="549"/>
      <c r="BE2328" s="550"/>
      <c r="BF2328" s="549"/>
      <c r="BG2328" s="391">
        <f>SUM($AV$1389:AV2328)</f>
        <v>6698.2841708630449</v>
      </c>
      <c r="BH2328" s="392">
        <f>SUM($AU$1389:AU2328)</f>
        <v>41619.223836163059</v>
      </c>
      <c r="BI2328" s="318">
        <f>SUMIFS($AU$1388:AU2329,$Q$1388:Q2329,"F")</f>
        <v>29347.078121878127</v>
      </c>
      <c r="BJ2328" s="318">
        <f>SUMIFS($AU$1388:AU2329,$Q$1388:Q2329,"S")</f>
        <v>17634.285714285717</v>
      </c>
      <c r="BK2328" s="343">
        <f>SUMIFS($AU$1388:AU2329,$P$1388:P2329,"W")</f>
        <v>16680.143836163443</v>
      </c>
      <c r="BL2328" s="343">
        <f>SUMIFS($AU$1388:AU2329,$P$1388:P2329,"R")</f>
        <v>22728.400000000325</v>
      </c>
      <c r="BM2328" s="343">
        <f>SUMIFS($AU$1388:AU2329,$AQ$1388:AQ2329,"M")</f>
        <v>9243.1799999984214</v>
      </c>
      <c r="BN2328" s="343">
        <f>SUMIFS($AU$1388:AU2329,$AQ$1388:AQ2329,"H")</f>
        <v>11883.200000000877</v>
      </c>
      <c r="BO2328" s="343">
        <f>SUMIFS($AU$1388:AU2329,$AQ$1388:AQ2329,"D")</f>
        <v>11817.177472527181</v>
      </c>
      <c r="BP2328" s="343">
        <f>SUMIFS($AS$1388:AS2706,$AO$1388:AO2706,"W")</f>
        <v>0</v>
      </c>
      <c r="BQ2328" s="343">
        <f>SUMIFS($AU$1388:AU2329,$Q$1388:Q2329,"O")</f>
        <v>-9846.140000000747</v>
      </c>
      <c r="BR2328" s="343">
        <f>SUMIFS($AU$1388:AU2329,$AA$1388:AA2329,"*")</f>
        <v>38864.322077921257</v>
      </c>
      <c r="BS2328" s="343">
        <f>SUMIFS($AU$1388:AU2329,$AB$1388:AB2329,"*")</f>
        <v>7130.6599999997952</v>
      </c>
      <c r="BT2328" s="343">
        <f>SUMIFS($AU$1388:AU2329,$AC$1388:AC2329,"*")</f>
        <v>31683.078121878119</v>
      </c>
      <c r="BU2328" s="343">
        <f>SUMIFS($AU$1388:AU2329,$AA$1388:AA2329,"*",$AB$1388:AB2329,"*")</f>
        <v>7570.7999999995782</v>
      </c>
      <c r="BV2328" s="343">
        <f>SUMIFS($AU$1388:AU2329,$AA$1388:AA2329,"*",$AC$1388:AC2329,"*")</f>
        <v>29808.036363636529</v>
      </c>
      <c r="BW2328" s="343">
        <f>SUMIFS($AU$1388:AU2329,$AB$1388:AB2329,"*",$AC$1388:AC2329,"*")</f>
        <v>3863.9999999999991</v>
      </c>
      <c r="BX2328" s="343">
        <f>SUMIFS($AV$1388:AV2329,$Q$1388:Q2329,"F")</f>
        <v>399.04019562430165</v>
      </c>
      <c r="BY2328" s="343">
        <f>SUMIFS($AV$1388:AV2329,$Q$1388:Q2329,"S")</f>
        <v>737.94467523906087</v>
      </c>
      <c r="BZ2328" s="343">
        <f>SUMIFS($AV$1388:AV2329,$Q$1388:Q2329,"O")</f>
        <v>329.29929999967487</v>
      </c>
    </row>
    <row r="2329" spans="1:78" ht="15.75" customHeight="1">
      <c r="A2329" s="177" t="s">
        <v>7249</v>
      </c>
      <c r="B2329" s="200">
        <v>45484</v>
      </c>
      <c r="C2329" s="178" t="s">
        <v>5068</v>
      </c>
      <c r="D2329" s="178" t="s">
        <v>93</v>
      </c>
      <c r="E2329" s="227"/>
      <c r="F2329" s="180"/>
      <c r="G2329" s="553" t="s">
        <v>7133</v>
      </c>
      <c r="H2329" s="182"/>
      <c r="I2329" s="182"/>
      <c r="J2329" s="182"/>
      <c r="K2329" s="183"/>
      <c r="L2329" s="182"/>
      <c r="M2329" s="182">
        <v>2</v>
      </c>
      <c r="N2329" s="182"/>
      <c r="O2329" s="183" t="s">
        <v>95</v>
      </c>
      <c r="P2329" s="183" t="s">
        <v>96</v>
      </c>
      <c r="Q2329" s="183" t="s">
        <v>97</v>
      </c>
      <c r="R2329" s="183">
        <v>15</v>
      </c>
      <c r="S2329" s="183">
        <v>0</v>
      </c>
      <c r="T2329" s="183">
        <v>8</v>
      </c>
      <c r="U2329" s="183" t="s">
        <v>22</v>
      </c>
      <c r="V2329" s="183"/>
      <c r="W2329" s="183"/>
      <c r="X2329" s="183"/>
      <c r="Y2329" s="184">
        <f>IF(ISBLANK(O2329),"",(IF(O2329=UPPER("IB"),0.005,0.01)))</f>
        <v>0.01</v>
      </c>
      <c r="Z2329" s="185">
        <f>IF(ISBLANK(O2329),"",IF(O2329="IB",8.63*200,IF(O2329="IR",16*100,IF(O2329="YT",20*100,IF(O2329="YT-XT",24*200,IF(O2329="TED",80*100,IF(O2329="IR|YT",300*100)))))))</f>
        <v>1600</v>
      </c>
      <c r="AA2329" s="185" t="s">
        <v>7332</v>
      </c>
      <c r="AB2329" s="185"/>
      <c r="AC2329" s="185"/>
      <c r="AD2329" s="649">
        <v>-0.2</v>
      </c>
      <c r="AE2329" s="182"/>
      <c r="AF2329" s="332"/>
      <c r="AG2329" s="182"/>
      <c r="AH2329" s="182"/>
      <c r="AI2329" s="182"/>
      <c r="AJ2329" s="644" t="s">
        <v>7333</v>
      </c>
      <c r="AK2329" s="182"/>
      <c r="AL2329" s="496">
        <f t="shared" si="767"/>
        <v>-32</v>
      </c>
      <c r="AM2329" s="496">
        <f t="shared" si="764"/>
        <v>-480</v>
      </c>
      <c r="AN2329" s="626" t="s">
        <v>7334</v>
      </c>
      <c r="AO2329" s="182"/>
      <c r="AP2329" s="182" t="s">
        <v>838</v>
      </c>
      <c r="AQ2329" s="332" t="s">
        <v>372</v>
      </c>
      <c r="AR2329" s="182" t="s">
        <v>7335</v>
      </c>
      <c r="AS2329" s="189">
        <v>-0.19</v>
      </c>
      <c r="AT2329" s="189">
        <f t="shared" si="769"/>
        <v>1.0000000000000009E-2</v>
      </c>
      <c r="AU2329" s="187">
        <f t="shared" si="770"/>
        <v>240.00000000000023</v>
      </c>
      <c r="AV2329" s="190">
        <f t="shared" si="768"/>
        <v>16.000000000000014</v>
      </c>
      <c r="AW2329" s="191" t="s">
        <v>96</v>
      </c>
      <c r="AX2329" s="551"/>
      <c r="AY2329" s="551"/>
      <c r="AZ2329" s="551"/>
      <c r="BA2329" s="551"/>
      <c r="BB2329" s="551"/>
      <c r="BC2329" s="551"/>
      <c r="BD2329" s="549"/>
      <c r="BE2329" s="550"/>
      <c r="BF2329" s="549"/>
      <c r="BG2329" s="391">
        <f>SUM($AV$1389:AV2329)</f>
        <v>6714.2841708630449</v>
      </c>
      <c r="BH2329" s="392">
        <f>SUM($AU$1389:AU2329)</f>
        <v>41859.223836163059</v>
      </c>
      <c r="BI2329" s="318">
        <f>SUMIFS($AU$1388:AU2330,$Q$1388:Q2330,"F")</f>
        <v>29347.078121878127</v>
      </c>
      <c r="BJ2329" s="318">
        <f>SUMIFS($AU$1388:AU2330,$Q$1388:Q2330,"S")</f>
        <v>17890.285714285717</v>
      </c>
      <c r="BK2329" s="343">
        <f>SUMIFS($AU$1388:AU2330,$P$1388:P2330,"W")</f>
        <v>16936.143836163443</v>
      </c>
      <c r="BL2329" s="343">
        <f>SUMIFS($AU$1388:AU2330,$P$1388:P2330,"R")</f>
        <v>22728.400000000325</v>
      </c>
      <c r="BM2329" s="343">
        <f>SUMIFS($AU$1388:AU2330,$AQ$1388:AQ2330,"M")</f>
        <v>9243.1799999984214</v>
      </c>
      <c r="BN2329" s="343">
        <f>SUMIFS($AU$1388:AU2330,$AQ$1388:AQ2330,"H")</f>
        <v>12139.200000000877</v>
      </c>
      <c r="BO2329" s="343">
        <f>SUMIFS($AU$1388:AU2330,$AQ$1388:AQ2330,"D")</f>
        <v>11817.177472527181</v>
      </c>
      <c r="BP2329" s="343">
        <f>SUMIFS($AS$1388:AS2707,$AO$1388:AO2707,"W")</f>
        <v>0</v>
      </c>
      <c r="BQ2329" s="343">
        <f>SUMIFS($AU$1388:AU2330,$Q$1388:Q2330,"O")</f>
        <v>-9846.140000000747</v>
      </c>
      <c r="BR2329" s="343">
        <f>SUMIFS($AU$1388:AU2330,$AA$1388:AA2330,"*")</f>
        <v>39120.322077921257</v>
      </c>
      <c r="BS2329" s="343">
        <f>SUMIFS($AU$1388:AU2330,$AB$1388:AB2330,"*")</f>
        <v>7130.6599999997952</v>
      </c>
      <c r="BT2329" s="343">
        <f>SUMIFS($AU$1388:AU2330,$AC$1388:AC2330,"*")</f>
        <v>31683.078121878119</v>
      </c>
      <c r="BU2329" s="343">
        <f>SUMIFS($AU$1388:AU2330,$AA$1388:AA2330,"*",$AB$1388:AB2330,"*")</f>
        <v>7570.7999999995782</v>
      </c>
      <c r="BV2329" s="343">
        <f>SUMIFS($AU$1388:AU2330,$AA$1388:AA2330,"*",$AC$1388:AC2330,"*")</f>
        <v>29808.036363636529</v>
      </c>
      <c r="BW2329" s="343">
        <f>SUMIFS($AU$1388:AU2330,$AB$1388:AB2330,"*",$AC$1388:AC2330,"*")</f>
        <v>3863.9999999999991</v>
      </c>
      <c r="BX2329" s="343">
        <f>SUMIFS($AV$1388:AV2330,$Q$1388:Q2330,"F")</f>
        <v>399.04019562430165</v>
      </c>
      <c r="BY2329" s="343">
        <f>SUMIFS($AV$1388:AV2330,$Q$1388:Q2330,"S")</f>
        <v>753.94467523906087</v>
      </c>
      <c r="BZ2329" s="343">
        <f>SUMIFS($AV$1388:AV2330,$Q$1388:Q2330,"O")</f>
        <v>329.29929999967487</v>
      </c>
    </row>
    <row r="2330" spans="1:78" ht="15.75" customHeight="1">
      <c r="A2330" s="177" t="s">
        <v>7249</v>
      </c>
      <c r="B2330" s="200">
        <v>45484</v>
      </c>
      <c r="C2330" s="178" t="s">
        <v>7336</v>
      </c>
      <c r="D2330" s="178" t="s">
        <v>93</v>
      </c>
      <c r="E2330" s="227"/>
      <c r="F2330" s="180"/>
      <c r="G2330" s="553" t="s">
        <v>7277</v>
      </c>
      <c r="H2330" s="182"/>
      <c r="I2330" s="182"/>
      <c r="J2330" s="182"/>
      <c r="K2330" s="183"/>
      <c r="L2330" s="182"/>
      <c r="M2330" s="182">
        <v>2</v>
      </c>
      <c r="N2330" s="182"/>
      <c r="O2330" s="183" t="s">
        <v>95</v>
      </c>
      <c r="P2330" s="183" t="s">
        <v>96</v>
      </c>
      <c r="Q2330" s="183" t="s">
        <v>97</v>
      </c>
      <c r="R2330" s="183">
        <v>16</v>
      </c>
      <c r="S2330" s="183">
        <v>8</v>
      </c>
      <c r="T2330" s="183">
        <v>16</v>
      </c>
      <c r="U2330" s="183" t="s">
        <v>22</v>
      </c>
      <c r="V2330" s="183"/>
      <c r="W2330" s="183"/>
      <c r="X2330" s="183"/>
      <c r="Y2330" s="184">
        <f>IF(ISBLANK(O2330),"",(IF(O2330=UPPER("IB"),0.005,0.01)))</f>
        <v>0.01</v>
      </c>
      <c r="Z2330" s="185">
        <f>IF(ISBLANK(O2330),"",IF(O2330="IB",8.63*200,IF(O2330="IR",16*100,IF(O2330="YT",20*100,IF(O2330="YT-XT",24*200,IF(O2330="TED",80*100,IF(O2330="IR|YT",300*100)))))))</f>
        <v>1600</v>
      </c>
      <c r="AA2330" s="185" t="s">
        <v>7337</v>
      </c>
      <c r="AB2330" s="185"/>
      <c r="AC2330" s="185"/>
      <c r="AD2330" s="649">
        <v>-0.23</v>
      </c>
      <c r="AE2330" s="182"/>
      <c r="AF2330" s="332"/>
      <c r="AG2330" s="182"/>
      <c r="AH2330" s="182"/>
      <c r="AI2330" s="182"/>
      <c r="AJ2330" s="640"/>
      <c r="AK2330" s="182"/>
      <c r="AL2330" s="496">
        <f t="shared" ref="AL2330:AL2339" si="771">-0.02*Z2330</f>
        <v>-32</v>
      </c>
      <c r="AM2330" s="496">
        <f t="shared" si="764"/>
        <v>-256</v>
      </c>
      <c r="AN2330" s="626"/>
      <c r="AO2330" s="182"/>
      <c r="AP2330" s="182" t="s">
        <v>1433</v>
      </c>
      <c r="AQ2330" s="332" t="s">
        <v>372</v>
      </c>
      <c r="AR2330" s="182" t="s">
        <v>191</v>
      </c>
      <c r="AS2330" s="189">
        <f>((-0.22*8)+(-0.22*8))/16</f>
        <v>-0.22</v>
      </c>
      <c r="AT2330" s="189">
        <f t="shared" si="769"/>
        <v>1.0000000000000009E-2</v>
      </c>
      <c r="AU2330" s="187">
        <f t="shared" si="770"/>
        <v>256.00000000000023</v>
      </c>
      <c r="AV2330" s="190">
        <f t="shared" ref="AV2330:AV2340" si="772">IF(ISBLANK(AS2330),,(AT2330*Z2330))</f>
        <v>16.000000000000014</v>
      </c>
      <c r="AW2330" s="191" t="s">
        <v>96</v>
      </c>
      <c r="AX2330" s="551"/>
      <c r="AY2330" s="551"/>
      <c r="AZ2330" s="551"/>
      <c r="BA2330" s="551"/>
      <c r="BB2330" s="551"/>
      <c r="BC2330" s="551"/>
      <c r="BD2330" s="549"/>
      <c r="BE2330" s="550"/>
      <c r="BF2330" s="549"/>
      <c r="BG2330" s="391">
        <f>SUM($AV$1389:AV2330)</f>
        <v>6730.2841708630449</v>
      </c>
      <c r="BH2330" s="392">
        <f>SUM($AU$1389:AU2330)</f>
        <v>42115.223836163059</v>
      </c>
      <c r="BI2330" s="318">
        <f>SUMIFS($AU$1388:AU2331,$Q$1388:Q2331,"F")</f>
        <v>29347.078121878127</v>
      </c>
      <c r="BJ2330" s="318">
        <f>SUMIFS($AU$1388:AU2331,$Q$1388:Q2331,"S")</f>
        <v>17890.285714285717</v>
      </c>
      <c r="BK2330" s="343">
        <f>SUMIFS($AU$1388:AU2331,$P$1388:P2331,"W")</f>
        <v>16936.143836163443</v>
      </c>
      <c r="BL2330" s="343">
        <f>SUMIFS($AU$1388:AU2331,$P$1388:P2331,"R")</f>
        <v>22728.400000000325</v>
      </c>
      <c r="BM2330" s="343">
        <f>SUMIFS($AU$1388:AU2331,$AQ$1388:AQ2331,"M")</f>
        <v>9243.1799999984214</v>
      </c>
      <c r="BN2330" s="343">
        <f>SUMIFS($AU$1388:AU2331,$AQ$1388:AQ2331,"H")</f>
        <v>12139.200000000877</v>
      </c>
      <c r="BO2330" s="343">
        <f>SUMIFS($AU$1388:AU2331,$AQ$1388:AQ2331,"D")</f>
        <v>11817.177472527181</v>
      </c>
      <c r="BP2330" s="343">
        <f>SUMIFS($AS$1388:AS2708,$AO$1388:AO2708,"W")</f>
        <v>0</v>
      </c>
      <c r="BQ2330" s="343">
        <f>SUMIFS($AU$1388:AU2331,$Q$1388:Q2331,"O")</f>
        <v>-9846.140000000747</v>
      </c>
      <c r="BR2330" s="343">
        <f>SUMIFS($AU$1388:AU2331,$AA$1388:AA2331,"*")</f>
        <v>39120.322077921257</v>
      </c>
      <c r="BS2330" s="343">
        <f>SUMIFS($AU$1388:AU2331,$AB$1388:AB2331,"*")</f>
        <v>7130.6599999997952</v>
      </c>
      <c r="BT2330" s="343">
        <f>SUMIFS($AU$1388:AU2331,$AC$1388:AC2331,"*")</f>
        <v>31683.078121878119</v>
      </c>
      <c r="BU2330" s="343">
        <f>SUMIFS($AU$1388:AU2331,$AA$1388:AA2331,"*",$AB$1388:AB2331,"*")</f>
        <v>7570.7999999995782</v>
      </c>
      <c r="BV2330" s="343">
        <f>SUMIFS($AU$1388:AU2331,$AA$1388:AA2331,"*",$AC$1388:AC2331,"*")</f>
        <v>29808.036363636529</v>
      </c>
      <c r="BW2330" s="343">
        <f>SUMIFS($AU$1388:AU2331,$AB$1388:AB2331,"*",$AC$1388:AC2331,"*")</f>
        <v>3863.9999999999991</v>
      </c>
      <c r="BX2330" s="343">
        <f>SUMIFS($AV$1388:AV2331,$Q$1388:Q2331,"F")</f>
        <v>399.04019562430165</v>
      </c>
      <c r="BY2330" s="343">
        <f>SUMIFS($AV$1388:AV2331,$Q$1388:Q2331,"S")</f>
        <v>753.94467523906087</v>
      </c>
      <c r="BZ2330" s="343">
        <f>SUMIFS($AV$1388:AV2331,$Q$1388:Q2331,"O")</f>
        <v>329.29929999967487</v>
      </c>
    </row>
    <row r="2331" spans="1:78" ht="15.75" customHeight="1">
      <c r="A2331" s="177" t="s">
        <v>7249</v>
      </c>
      <c r="B2331" s="200"/>
      <c r="C2331" s="178"/>
      <c r="D2331" s="178"/>
      <c r="E2331" s="227"/>
      <c r="F2331" s="180"/>
      <c r="G2331" s="181"/>
      <c r="H2331" s="182"/>
      <c r="I2331" s="182"/>
      <c r="J2331" s="182"/>
      <c r="K2331" s="183"/>
      <c r="L2331" s="182"/>
      <c r="M2331" s="182"/>
      <c r="N2331" s="182"/>
      <c r="O2331" s="183"/>
      <c r="P2331" s="183"/>
      <c r="Q2331" s="183"/>
      <c r="R2331" s="183"/>
      <c r="S2331" s="183"/>
      <c r="T2331" s="183"/>
      <c r="U2331" s="183"/>
      <c r="V2331" s="183"/>
      <c r="W2331" s="183"/>
      <c r="X2331" s="183"/>
      <c r="Y2331" s="184"/>
      <c r="Z2331" s="185"/>
      <c r="AA2331" s="185"/>
      <c r="AB2331" s="185"/>
      <c r="AC2331" s="185"/>
      <c r="AD2331" s="649"/>
      <c r="AE2331" s="182"/>
      <c r="AF2331" s="332"/>
      <c r="AG2331" s="182"/>
      <c r="AH2331" s="182"/>
      <c r="AI2331" s="182"/>
      <c r="AJ2331" s="640"/>
      <c r="AK2331" s="182"/>
      <c r="AL2331" s="496">
        <f t="shared" si="771"/>
        <v>0</v>
      </c>
      <c r="AM2331" s="496">
        <f t="shared" si="764"/>
        <v>0</v>
      </c>
      <c r="AN2331" s="626"/>
      <c r="AO2331" s="182"/>
      <c r="AP2331" s="182"/>
      <c r="AQ2331" s="332" t="str">
        <f>UPPER(RIGHT(Journal_Live[[#This Row],[DURATION ]]))</f>
        <v/>
      </c>
      <c r="AR2331" s="182"/>
      <c r="AS2331" s="189"/>
      <c r="AT2331" s="189">
        <f t="shared" si="769"/>
        <v>0</v>
      </c>
      <c r="AU2331" s="187">
        <f t="shared" si="770"/>
        <v>0</v>
      </c>
      <c r="AV2331" s="190">
        <f t="shared" si="772"/>
        <v>0</v>
      </c>
      <c r="AW2331" s="191"/>
      <c r="AX2331" s="551" t="s">
        <v>7338</v>
      </c>
      <c r="AY2331" s="551"/>
      <c r="AZ2331" s="551"/>
      <c r="BA2331" s="551"/>
      <c r="BB2331" s="551"/>
      <c r="BC2331" s="551"/>
      <c r="BD2331" s="549"/>
      <c r="BE2331" s="550"/>
      <c r="BF2331" s="549"/>
      <c r="BG2331" s="391">
        <f>SUM($AV$1389:AV2331)</f>
        <v>6730.2841708630449</v>
      </c>
      <c r="BH2331" s="392">
        <f>SUM($AU$1389:AU2331)</f>
        <v>42115.223836163059</v>
      </c>
      <c r="BI2331" s="318">
        <f>SUMIFS($AU$1388:AU2332,$Q$1388:Q2332,"F")</f>
        <v>29347.078121878127</v>
      </c>
      <c r="BJ2331" s="318">
        <f>SUMIFS($AU$1388:AU2332,$Q$1388:Q2332,"S")</f>
        <v>17890.285714285717</v>
      </c>
      <c r="BK2331" s="343">
        <f>SUMIFS($AU$1388:AU2332,$P$1388:P2332,"W")</f>
        <v>16936.143836163443</v>
      </c>
      <c r="BL2331" s="343">
        <f>SUMIFS($AU$1388:AU2332,$P$1388:P2332,"R")</f>
        <v>22728.400000000325</v>
      </c>
      <c r="BM2331" s="343">
        <f>SUMIFS($AU$1388:AU2332,$AQ$1388:AQ2332,"M")</f>
        <v>9243.1799999984214</v>
      </c>
      <c r="BN2331" s="343">
        <f>SUMIFS($AU$1388:AU2332,$AQ$1388:AQ2332,"H")</f>
        <v>12139.200000000877</v>
      </c>
      <c r="BO2331" s="343">
        <f>SUMIFS($AU$1388:AU2332,$AQ$1388:AQ2332,"D")</f>
        <v>11817.177472527181</v>
      </c>
      <c r="BP2331" s="343">
        <f>SUMIFS($AS$1388:AS2709,$AO$1388:AO2709,"W")</f>
        <v>0</v>
      </c>
      <c r="BQ2331" s="343">
        <f>SUMIFS($AU$1388:AU2332,$Q$1388:Q2332,"O")</f>
        <v>-9846.140000000747</v>
      </c>
      <c r="BR2331" s="343">
        <f>SUMIFS($AU$1388:AU2332,$AA$1388:AA2332,"*")</f>
        <v>39120.322077921257</v>
      </c>
      <c r="BS2331" s="343">
        <f>SUMIFS($AU$1388:AU2332,$AB$1388:AB2332,"*")</f>
        <v>7130.6599999997952</v>
      </c>
      <c r="BT2331" s="343">
        <f>SUMIFS($AU$1388:AU2332,$AC$1388:AC2332,"*")</f>
        <v>31683.078121878119</v>
      </c>
      <c r="BU2331" s="343">
        <f>SUMIFS($AU$1388:AU2332,$AA$1388:AA2332,"*",$AB$1388:AB2332,"*")</f>
        <v>7570.7999999995782</v>
      </c>
      <c r="BV2331" s="343">
        <f>SUMIFS($AU$1388:AU2332,$AA$1388:AA2332,"*",$AC$1388:AC2332,"*")</f>
        <v>29808.036363636529</v>
      </c>
      <c r="BW2331" s="343">
        <f>SUMIFS($AU$1388:AU2332,$AB$1388:AB2332,"*",$AC$1388:AC2332,"*")</f>
        <v>3863.9999999999991</v>
      </c>
      <c r="BX2331" s="343">
        <f>SUMIFS($AV$1388:AV2332,$Q$1388:Q2332,"F")</f>
        <v>399.04019562430165</v>
      </c>
      <c r="BY2331" s="343">
        <f>SUMIFS($AV$1388:AV2332,$Q$1388:Q2332,"S")</f>
        <v>753.94467523906087</v>
      </c>
      <c r="BZ2331" s="343">
        <f>SUMIFS($AV$1388:AV2332,$Q$1388:Q2332,"O")</f>
        <v>329.29929999967487</v>
      </c>
    </row>
    <row r="2332" spans="1:78" ht="15.75" customHeight="1">
      <c r="A2332" s="177" t="s">
        <v>7249</v>
      </c>
      <c r="B2332" s="200">
        <v>45485</v>
      </c>
      <c r="C2332" s="178" t="s">
        <v>1304</v>
      </c>
      <c r="D2332" s="178" t="s">
        <v>111</v>
      </c>
      <c r="E2332" s="227"/>
      <c r="F2332" s="180"/>
      <c r="G2332" s="181" t="s">
        <v>7279</v>
      </c>
      <c r="H2332" s="182"/>
      <c r="I2332" s="182"/>
      <c r="J2332" s="182"/>
      <c r="K2332" s="183"/>
      <c r="L2332" s="182"/>
      <c r="M2332" s="182">
        <v>1</v>
      </c>
      <c r="N2332" s="182"/>
      <c r="O2332" s="183" t="s">
        <v>95</v>
      </c>
      <c r="P2332" s="183" t="s">
        <v>137</v>
      </c>
      <c r="Q2332" s="183" t="s">
        <v>97</v>
      </c>
      <c r="R2332" s="183">
        <v>2</v>
      </c>
      <c r="S2332" s="183">
        <v>0</v>
      </c>
      <c r="T2332" s="183">
        <v>2</v>
      </c>
      <c r="U2332" s="183" t="s">
        <v>97</v>
      </c>
      <c r="V2332" s="183"/>
      <c r="W2332" s="183"/>
      <c r="X2332" s="183"/>
      <c r="Y2332" s="184">
        <f>IF(ISBLANK(O2332),"",(IF(O2332=UPPER("IB"),0.005,0.01)))</f>
        <v>0.01</v>
      </c>
      <c r="Z2332" s="185">
        <f>IF(ISBLANK(O2332),"",IF(O2332="IB",8.63*200,IF(O2332="IR",16*100,IF(O2332="YT",20*100,IF(O2332="YT-XT",24*200,IF(O2332="TED",80*100,IF(O2332="IR|YT",300*100)))))))</f>
        <v>1600</v>
      </c>
      <c r="AA2332" s="185" t="s">
        <v>7339</v>
      </c>
      <c r="AB2332" s="185"/>
      <c r="AC2332" s="185" t="s">
        <v>7340</v>
      </c>
      <c r="AD2332" s="649">
        <v>-0.16</v>
      </c>
      <c r="AE2332" s="182"/>
      <c r="AF2332" s="332"/>
      <c r="AG2332" s="182"/>
      <c r="AH2332" s="182"/>
      <c r="AI2332" s="182"/>
      <c r="AJ2332" s="640"/>
      <c r="AK2332" s="182"/>
      <c r="AL2332" s="496">
        <f t="shared" si="771"/>
        <v>-32</v>
      </c>
      <c r="AM2332" s="496">
        <f t="shared" si="764"/>
        <v>-64</v>
      </c>
      <c r="AN2332" s="626"/>
      <c r="AO2332" s="182"/>
      <c r="AP2332" s="182"/>
      <c r="AQ2332" s="332" t="s">
        <v>372</v>
      </c>
      <c r="AR2332" s="182"/>
      <c r="AS2332" s="189">
        <v>-0.16</v>
      </c>
      <c r="AT2332" s="189">
        <f t="shared" si="769"/>
        <v>0</v>
      </c>
      <c r="AU2332" s="187">
        <f t="shared" si="770"/>
        <v>0</v>
      </c>
      <c r="AV2332" s="190">
        <f t="shared" si="772"/>
        <v>0</v>
      </c>
      <c r="AW2332" s="191" t="s">
        <v>115</v>
      </c>
      <c r="AX2332" s="551"/>
      <c r="AY2332" s="551"/>
      <c r="AZ2332" s="551"/>
      <c r="BA2332" s="551"/>
      <c r="BB2332" s="551"/>
      <c r="BC2332" s="551"/>
      <c r="BD2332" s="549"/>
      <c r="BE2332" s="550"/>
      <c r="BF2332" s="549"/>
      <c r="BG2332" s="391">
        <f>SUM($AV$1389:AV2332)</f>
        <v>6730.2841708630449</v>
      </c>
      <c r="BH2332" s="392">
        <f>SUM($AU$1389:AU2332)</f>
        <v>42115.223836163059</v>
      </c>
      <c r="BI2332" s="318">
        <f>SUMIFS($AU$1388:AU2378,$Q$1388:Q2378,"F")</f>
        <v>28758.758121878131</v>
      </c>
      <c r="BJ2332" s="318">
        <f>SUMIFS($AU$1388:AU2378,$Q$1388:Q2378,"S")</f>
        <v>18338.285714285717</v>
      </c>
      <c r="BK2332" s="343">
        <f>SUMIFS($AU$1388:AU2378,$P$1388:P2378,"W")</f>
        <v>16085.423836163443</v>
      </c>
      <c r="BL2332" s="343">
        <f>SUMIFS($AU$1388:AU2378,$P$1388:P2378,"R")</f>
        <v>23278.800000000327</v>
      </c>
      <c r="BM2332" s="343">
        <f>SUMIFS($AU$1388:AU2378,$AQ$1388:AQ2378,"M")</f>
        <v>9563.1799999983832</v>
      </c>
      <c r="BN2332" s="343">
        <f>SUMIFS($AU$1388:AU2378,$AQ$1388:AQ2378,"H")</f>
        <v>12587.200000000877</v>
      </c>
      <c r="BO2332" s="343">
        <f>SUMIFS($AU$1388:AU2378,$AQ$1388:AQ2378,"D")</f>
        <v>11195.57747252718</v>
      </c>
      <c r="BP2332" s="343">
        <f>SUMIFS($AS$1388:AS2710,$AO$1388:AO2710,"W")</f>
        <v>0</v>
      </c>
      <c r="BQ2332" s="343">
        <f>SUMIFS($AU$1388:AU2378,$Q$1388:Q2378,"O")</f>
        <v>-9366.1400000007852</v>
      </c>
      <c r="BR2332" s="343">
        <f>SUMIFS($AU$1388:AU2378,$AA$1388:AA2378,"*")</f>
        <v>39156.002077921221</v>
      </c>
      <c r="BS2332" s="343">
        <f>SUMIFS($AU$1388:AU2378,$AB$1388:AB2378,"*")</f>
        <v>7005.8599999997941</v>
      </c>
      <c r="BT2332" s="343">
        <f>SUMIFS($AU$1388:AU2378,$AC$1388:AC2378,"*")</f>
        <v>31968.358121878122</v>
      </c>
      <c r="BU2332" s="343">
        <f>SUMIFS($AU$1388:AU2378,$AA$1388:AA2378,"*",$AB$1388:AB2378,"*")</f>
        <v>7301.9999999995771</v>
      </c>
      <c r="BV2332" s="343">
        <f>SUMIFS($AU$1388:AU2378,$AA$1388:AA2378,"*",$AC$1388:AC2378,"*")</f>
        <v>29949.316363636532</v>
      </c>
      <c r="BW2332" s="343">
        <f>SUMIFS($AU$1388:AU2378,$AB$1388:AB2378,"*",$AC$1388:AC2378,"*")</f>
        <v>3739.199999999998</v>
      </c>
      <c r="BX2332" s="343">
        <f>SUMIFS($AV$1388:AV2378,$Q$1388:Q2378,"F")</f>
        <v>396.72999236351012</v>
      </c>
      <c r="BY2332" s="343">
        <f>SUMIFS($AV$1388:AV2378,$Q$1388:Q2378,"S")</f>
        <v>775.76285705724263</v>
      </c>
      <c r="BZ2332" s="343">
        <f>SUMIFS($AV$1388:AV2378,$Q$1388:Q2378,"O")</f>
        <v>569.29929999965555</v>
      </c>
    </row>
    <row r="2333" spans="1:78" ht="15.75" customHeight="1">
      <c r="A2333" s="177" t="s">
        <v>7249</v>
      </c>
      <c r="B2333" s="200"/>
      <c r="C2333" s="178"/>
      <c r="D2333" s="178"/>
      <c r="E2333" s="227"/>
      <c r="F2333" s="180"/>
      <c r="G2333" s="181"/>
      <c r="H2333" s="182"/>
      <c r="I2333" s="182"/>
      <c r="J2333" s="182"/>
      <c r="K2333" s="183"/>
      <c r="L2333" s="182"/>
      <c r="M2333" s="182"/>
      <c r="N2333" s="182"/>
      <c r="O2333" s="183"/>
      <c r="P2333" s="183"/>
      <c r="Q2333" s="183"/>
      <c r="R2333" s="183"/>
      <c r="S2333" s="183"/>
      <c r="T2333" s="183"/>
      <c r="U2333" s="183"/>
      <c r="V2333" s="183"/>
      <c r="W2333" s="183"/>
      <c r="X2333" s="183"/>
      <c r="Y2333" s="183"/>
      <c r="Z2333" s="183"/>
      <c r="AA2333" s="185"/>
      <c r="AB2333" s="185"/>
      <c r="AC2333" s="185"/>
      <c r="AD2333" s="649"/>
      <c r="AE2333" s="182"/>
      <c r="AF2333" s="332"/>
      <c r="AG2333" s="182"/>
      <c r="AH2333" s="182"/>
      <c r="AI2333" s="182"/>
      <c r="AJ2333" s="640"/>
      <c r="AK2333" s="182"/>
      <c r="AL2333" s="496">
        <f t="shared" ref="AL2333:AL2338" si="773">-0.02*Z2333</f>
        <v>0</v>
      </c>
      <c r="AM2333" s="496">
        <f t="shared" si="764"/>
        <v>0</v>
      </c>
      <c r="AN2333" s="626"/>
      <c r="AO2333" s="182"/>
      <c r="AP2333" s="182"/>
      <c r="AQ2333" s="332" t="str">
        <f>UPPER(RIGHT(Journal_Live[[#This Row],[DURATION ]]))</f>
        <v/>
      </c>
      <c r="AR2333" s="182"/>
      <c r="AS2333" s="189"/>
      <c r="AT2333" s="189">
        <f t="shared" si="769"/>
        <v>0</v>
      </c>
      <c r="AU2333" s="187">
        <f t="shared" si="770"/>
        <v>0</v>
      </c>
      <c r="AV2333" s="190">
        <f t="shared" ref="AV2333:AV2338" si="774">IF(ISBLANK(AS2333),,(AT2333*Z2333))</f>
        <v>0</v>
      </c>
      <c r="AW2333" s="191"/>
      <c r="AX2333" s="551" t="s">
        <v>7341</v>
      </c>
      <c r="AY2333" s="551" t="s">
        <v>7342</v>
      </c>
      <c r="AZ2333" s="551" t="s">
        <v>7343</v>
      </c>
      <c r="BA2333" s="551"/>
      <c r="BB2333" s="551"/>
      <c r="BC2333" s="551"/>
      <c r="BD2333" s="549"/>
      <c r="BE2333" s="550"/>
      <c r="BF2333" s="549"/>
      <c r="BG2333" s="391">
        <f>SUM($AV$1389:AV2333)</f>
        <v>6730.2841708630449</v>
      </c>
      <c r="BH2333" s="392">
        <f>SUM($AU$1389:AU2333)</f>
        <v>42115.223836163059</v>
      </c>
      <c r="BI2333" s="318">
        <f>SUMIFS($AU$1388:AU2334,$Q$1388:Q2334,"F")</f>
        <v>29347.078121878127</v>
      </c>
      <c r="BJ2333" s="318">
        <f>SUMIFS($AU$1388:AU2334,$Q$1388:Q2334,"S")</f>
        <v>17890.285714285717</v>
      </c>
      <c r="BK2333" s="343">
        <f>SUMIFS($AU$1388:AU2334,$P$1388:P2334,"W")</f>
        <v>16936.143836163443</v>
      </c>
      <c r="BL2333" s="343">
        <f>SUMIFS($AU$1388:AU2334,$P$1388:P2334,"R")</f>
        <v>22728.400000000325</v>
      </c>
      <c r="BM2333" s="343">
        <f>SUMIFS($AU$1388:AU2334,$AQ$1388:AQ2334,"M")</f>
        <v>9243.1799999984214</v>
      </c>
      <c r="BN2333" s="343">
        <f>SUMIFS($AU$1388:AU2334,$AQ$1388:AQ2334,"H")</f>
        <v>12139.200000000877</v>
      </c>
      <c r="BO2333" s="343">
        <f>SUMIFS($AU$1388:AU2334,$AQ$1388:AQ2334,"D")</f>
        <v>11817.177472527181</v>
      </c>
      <c r="BP2333" s="343">
        <f>SUMIFS($AS$1388:AS2702,$AO$1388:AO2702,"W")</f>
        <v>0</v>
      </c>
      <c r="BQ2333" s="343">
        <f>SUMIFS($AU$1388:AU2334,$Q$1388:Q2334,"O")</f>
        <v>-9846.140000000747</v>
      </c>
      <c r="BR2333" s="343">
        <f>SUMIFS($AU$1388:AU2334,$AA$1388:AA2334,"*")</f>
        <v>39120.322077921257</v>
      </c>
      <c r="BS2333" s="343">
        <f>SUMIFS($AU$1388:AU2334,$AB$1388:AB2334,"*")</f>
        <v>7130.6599999997952</v>
      </c>
      <c r="BT2333" s="343">
        <f>SUMIFS($AU$1388:AU2334,$AC$1388:AC2334,"*")</f>
        <v>31683.078121878119</v>
      </c>
      <c r="BU2333" s="343">
        <f>SUMIFS($AU$1388:AU2334,$AA$1388:AA2334,"*",$AB$1388:AB2334,"*")</f>
        <v>7570.7999999995782</v>
      </c>
      <c r="BV2333" s="343">
        <f>SUMIFS($AU$1388:AU2334,$AA$1388:AA2334,"*",$AC$1388:AC2334,"*")</f>
        <v>29808.036363636529</v>
      </c>
      <c r="BW2333" s="343">
        <f>SUMIFS($AU$1388:AU2334,$AB$1388:AB2334,"*",$AC$1388:AC2334,"*")</f>
        <v>3863.9999999999991</v>
      </c>
      <c r="BX2333" s="343">
        <f>SUMIFS($AV$1388:AV2334,$Q$1388:Q2334,"F")</f>
        <v>399.04019562430165</v>
      </c>
      <c r="BY2333" s="343">
        <f>SUMIFS($AV$1388:AV2334,$Q$1388:Q2334,"S")</f>
        <v>753.94467523906087</v>
      </c>
      <c r="BZ2333" s="343">
        <f>SUMIFS($AV$1388:AV2334,$Q$1388:Q2334,"O")</f>
        <v>329.29929999967487</v>
      </c>
    </row>
    <row r="2334" spans="1:78" ht="15.75" customHeight="1">
      <c r="A2334" s="605" t="s">
        <v>7249</v>
      </c>
      <c r="B2334" s="606"/>
      <c r="C2334" s="607"/>
      <c r="D2334" s="607"/>
      <c r="E2334" s="608"/>
      <c r="F2334" s="609"/>
      <c r="G2334" s="610"/>
      <c r="H2334" s="607"/>
      <c r="I2334" s="607"/>
      <c r="J2334" s="607"/>
      <c r="K2334" s="610"/>
      <c r="L2334" s="607"/>
      <c r="M2334" s="607"/>
      <c r="N2334" s="607"/>
      <c r="O2334" s="610"/>
      <c r="P2334" s="610"/>
      <c r="Q2334" s="610"/>
      <c r="R2334" s="610"/>
      <c r="S2334" s="610"/>
      <c r="T2334" s="610"/>
      <c r="U2334" s="610"/>
      <c r="V2334" s="610"/>
      <c r="W2334" s="610"/>
      <c r="X2334" s="610"/>
      <c r="Y2334" s="610"/>
      <c r="Z2334" s="610"/>
      <c r="AA2334" s="611"/>
      <c r="AB2334" s="611"/>
      <c r="AC2334" s="611"/>
      <c r="AD2334" s="654"/>
      <c r="AE2334" s="607"/>
      <c r="AF2334" s="612"/>
      <c r="AG2334" s="607"/>
      <c r="AH2334" s="607"/>
      <c r="AI2334" s="607"/>
      <c r="AJ2334" s="640"/>
      <c r="AK2334" s="607"/>
      <c r="AL2334" s="613">
        <f t="shared" si="773"/>
        <v>0</v>
      </c>
      <c r="AM2334" s="613">
        <f t="shared" si="764"/>
        <v>0</v>
      </c>
      <c r="AN2334" s="633"/>
      <c r="AO2334" s="607"/>
      <c r="AP2334" s="607"/>
      <c r="AQ2334" s="612" t="str">
        <f>UPPER(RIGHT(Journal_Live[[#This Row],[DURATION ]]))</f>
        <v/>
      </c>
      <c r="AR2334" s="607"/>
      <c r="AS2334" s="614"/>
      <c r="AT2334" s="614">
        <f t="shared" si="769"/>
        <v>0</v>
      </c>
      <c r="AU2334" s="613">
        <f t="shared" si="770"/>
        <v>0</v>
      </c>
      <c r="AV2334" s="615">
        <f t="shared" si="774"/>
        <v>0</v>
      </c>
      <c r="AW2334" s="616"/>
      <c r="AX2334" s="604" t="s">
        <v>7344</v>
      </c>
      <c r="AY2334" s="604" t="s">
        <v>7345</v>
      </c>
      <c r="AZ2334" s="604" t="s">
        <v>7346</v>
      </c>
      <c r="BA2334" s="604" t="s">
        <v>7347</v>
      </c>
      <c r="BB2334" s="604"/>
      <c r="BC2334" s="604"/>
      <c r="BD2334" s="617"/>
      <c r="BE2334" s="618"/>
      <c r="BF2334" s="617"/>
      <c r="BG2334" s="619">
        <f>SUM($AV$1389:AV2334)</f>
        <v>6730.2841708630449</v>
      </c>
      <c r="BH2334" s="620">
        <f>SUM($AU$1389:AU2334)</f>
        <v>42115.223836163059</v>
      </c>
      <c r="BI2334" s="621">
        <f>SUMIFS($AU$1388:AU2335,$Q$1388:Q2335,"F")</f>
        <v>29347.078121878127</v>
      </c>
      <c r="BJ2334" s="621">
        <f>SUMIFS($AU$1388:AU2335,$Q$1388:Q2335,"S")</f>
        <v>18034.285714285717</v>
      </c>
      <c r="BK2334" s="622">
        <f>SUMIFS($AU$1388:AU2335,$P$1388:P2335,"W")</f>
        <v>17080.143836163443</v>
      </c>
      <c r="BL2334" s="622">
        <f>SUMIFS($AU$1388:AU2335,$P$1388:P2335,"R")</f>
        <v>22728.400000000325</v>
      </c>
      <c r="BM2334" s="622">
        <f>SUMIFS($AU$1388:AU2335,$AQ$1388:AQ2335,"M")</f>
        <v>9243.1799999984214</v>
      </c>
      <c r="BN2334" s="622">
        <f>SUMIFS($AU$1388:AU2335,$AQ$1388:AQ2335,"H")</f>
        <v>12283.200000000877</v>
      </c>
      <c r="BO2334" s="622">
        <f>SUMIFS($AU$1388:AU2335,$AQ$1388:AQ2335,"D")</f>
        <v>11817.177472527181</v>
      </c>
      <c r="BP2334" s="622">
        <f>SUMIFS($AS$1388:AS2703,$AO$1388:AO2703,"W")</f>
        <v>0</v>
      </c>
      <c r="BQ2334" s="622">
        <f>SUMIFS($AU$1388:AU2335,$Q$1388:Q2335,"O")</f>
        <v>-9846.140000000747</v>
      </c>
      <c r="BR2334" s="622">
        <f>SUMIFS($AU$1388:AU2335,$AA$1388:AA2335,"*")</f>
        <v>39264.322077921257</v>
      </c>
      <c r="BS2334" s="622">
        <f>SUMIFS($AU$1388:AU2335,$AB$1388:AB2335,"*")</f>
        <v>7130.6599999997952</v>
      </c>
      <c r="BT2334" s="622">
        <f>SUMIFS($AU$1388:AU2335,$AC$1388:AC2335,"*")</f>
        <v>31683.078121878119</v>
      </c>
      <c r="BU2334" s="622">
        <f>SUMIFS($AU$1388:AU2335,$AA$1388:AA2335,"*",$AB$1388:AB2335,"*")</f>
        <v>7570.7999999995782</v>
      </c>
      <c r="BV2334" s="622">
        <f>SUMIFS($AU$1388:AU2335,$AA$1388:AA2335,"*",$AC$1388:AC2335,"*")</f>
        <v>29808.036363636529</v>
      </c>
      <c r="BW2334" s="622">
        <f>SUMIFS($AU$1388:AU2335,$AB$1388:AB2335,"*",$AC$1388:AC2335,"*")</f>
        <v>3863.9999999999991</v>
      </c>
      <c r="BX2334" s="622">
        <f>SUMIFS($AV$1388:AV2335,$Q$1388:Q2335,"F")</f>
        <v>399.04019562430165</v>
      </c>
      <c r="BY2334" s="622">
        <f>SUMIFS($AV$1388:AV2335,$Q$1388:Q2335,"S")</f>
        <v>769.94467523906087</v>
      </c>
      <c r="BZ2334" s="622">
        <f>SUMIFS($AV$1388:AV2335,$Q$1388:Q2335,"O")</f>
        <v>329.29929999967487</v>
      </c>
    </row>
    <row r="2335" spans="1:78" ht="15.75" customHeight="1">
      <c r="A2335" s="177" t="s">
        <v>7249</v>
      </c>
      <c r="B2335" s="200">
        <v>45488</v>
      </c>
      <c r="C2335" s="178" t="s">
        <v>7348</v>
      </c>
      <c r="D2335" s="178" t="s">
        <v>132</v>
      </c>
      <c r="E2335" s="227"/>
      <c r="F2335" s="180"/>
      <c r="G2335" s="553" t="s">
        <v>7277</v>
      </c>
      <c r="H2335" s="182"/>
      <c r="I2335" s="182"/>
      <c r="J2335" s="182"/>
      <c r="K2335" s="183"/>
      <c r="L2335" s="182"/>
      <c r="M2335" s="182">
        <v>2</v>
      </c>
      <c r="N2335" s="182"/>
      <c r="O2335" s="183" t="s">
        <v>95</v>
      </c>
      <c r="P2335" s="183" t="s">
        <v>96</v>
      </c>
      <c r="Q2335" s="183" t="s">
        <v>97</v>
      </c>
      <c r="R2335" s="183">
        <v>9</v>
      </c>
      <c r="S2335" s="183">
        <v>9</v>
      </c>
      <c r="T2335" s="183">
        <v>9</v>
      </c>
      <c r="U2335" s="183" t="s">
        <v>97</v>
      </c>
      <c r="V2335" s="183" t="s">
        <v>7349</v>
      </c>
      <c r="W2335" s="183" t="s">
        <v>22</v>
      </c>
      <c r="X2335" s="183"/>
      <c r="Y2335" s="184">
        <f t="shared" ref="Y2335:Y2342" si="775">IF(ISBLANK(O2335),"",(IF(O2335=UPPER("IB"),0.005,0.01)))</f>
        <v>0.01</v>
      </c>
      <c r="Z2335" s="185">
        <f t="shared" ref="Z2335:Z2342" si="776">IF(ISBLANK(O2335),"",IF(O2335="IB",8.63*200,IF(O2335="IR",16*100,IF(O2335="YT",20*100,IF(O2335="YT-XT",24*200,IF(O2335="TED",80*100,IF(O2335="IR|YT",300*100)))))))</f>
        <v>1600</v>
      </c>
      <c r="AA2335" s="185" t="s">
        <v>7350</v>
      </c>
      <c r="AB2335" s="185"/>
      <c r="AC2335" s="185"/>
      <c r="AD2335" s="649">
        <v>-0.2</v>
      </c>
      <c r="AE2335" s="182"/>
      <c r="AF2335" s="332"/>
      <c r="AG2335" s="182"/>
      <c r="AH2335" s="182">
        <v>-22</v>
      </c>
      <c r="AI2335" s="182"/>
      <c r="AJ2335" s="644" t="s">
        <v>7351</v>
      </c>
      <c r="AK2335" s="182"/>
      <c r="AL2335" s="496">
        <f t="shared" si="773"/>
        <v>-32</v>
      </c>
      <c r="AM2335" s="496">
        <f t="shared" si="764"/>
        <v>0</v>
      </c>
      <c r="AN2335" s="626"/>
      <c r="AO2335" s="182"/>
      <c r="AP2335" s="182"/>
      <c r="AQ2335" s="332" t="s">
        <v>372</v>
      </c>
      <c r="AR2335" s="298" t="s">
        <v>7352</v>
      </c>
      <c r="AS2335" s="189">
        <f>((-0.21*9)+(-0.21*9))/18</f>
        <v>-0.21</v>
      </c>
      <c r="AT2335" s="189">
        <f t="shared" si="769"/>
        <v>9.9999999999999811E-3</v>
      </c>
      <c r="AU2335" s="187">
        <f t="shared" si="770"/>
        <v>143.99999999999972</v>
      </c>
      <c r="AV2335" s="190">
        <f t="shared" si="774"/>
        <v>15.99999999999997</v>
      </c>
      <c r="AW2335" s="191" t="s">
        <v>96</v>
      </c>
      <c r="AX2335" s="551"/>
      <c r="AY2335" s="551"/>
      <c r="AZ2335" s="551"/>
      <c r="BA2335" s="551"/>
      <c r="BB2335" s="551"/>
      <c r="BC2335" s="551"/>
      <c r="BD2335" s="549"/>
      <c r="BE2335" s="550"/>
      <c r="BF2335" s="549"/>
      <c r="BG2335" s="391">
        <f>SUM($AV$1389:AV2335)</f>
        <v>6746.2841708630449</v>
      </c>
      <c r="BH2335" s="392">
        <f>SUM($AU$1389:AU2335)</f>
        <v>42259.223836163059</v>
      </c>
      <c r="BI2335" s="318">
        <f>SUMIFS($AU$1388:AU2336,$Q$1388:Q2336,"F")</f>
        <v>29347.078121878127</v>
      </c>
      <c r="BJ2335" s="318">
        <f>SUMIFS($AU$1388:AU2336,$Q$1388:Q2336,"S")</f>
        <v>18034.285714285717</v>
      </c>
      <c r="BK2335" s="343">
        <f>SUMIFS($AU$1388:AU2336,$P$1388:P2336,"W")</f>
        <v>17080.143836163443</v>
      </c>
      <c r="BL2335" s="343">
        <f>SUMIFS($AU$1388:AU2336,$P$1388:P2336,"R")</f>
        <v>22728.400000000325</v>
      </c>
      <c r="BM2335" s="343">
        <f>SUMIFS($AU$1388:AU2336,$AQ$1388:AQ2336,"M")</f>
        <v>9243.1799999984214</v>
      </c>
      <c r="BN2335" s="343">
        <f>SUMIFS($AU$1388:AU2336,$AQ$1388:AQ2336,"H")</f>
        <v>12283.200000000877</v>
      </c>
      <c r="BO2335" s="343">
        <f>SUMIFS($AU$1388:AU2336,$AQ$1388:AQ2336,"D")</f>
        <v>11817.177472527181</v>
      </c>
      <c r="BP2335" s="343">
        <f>SUMIFS($AS$1388:AS2704,$AO$1388:AO2704,"W")</f>
        <v>0</v>
      </c>
      <c r="BQ2335" s="343">
        <f>SUMIFS($AU$1388:AU2336,$Q$1388:Q2336,"O")</f>
        <v>-9846.140000000747</v>
      </c>
      <c r="BR2335" s="343">
        <f>SUMIFS($AU$1388:AU2336,$AA$1388:AA2336,"*")</f>
        <v>39264.322077921257</v>
      </c>
      <c r="BS2335" s="343">
        <f>SUMIFS($AU$1388:AU2336,$AB$1388:AB2336,"*")</f>
        <v>7130.6599999997952</v>
      </c>
      <c r="BT2335" s="343">
        <f>SUMIFS($AU$1388:AU2336,$AC$1388:AC2336,"*")</f>
        <v>31683.078121878119</v>
      </c>
      <c r="BU2335" s="343">
        <f>SUMIFS($AU$1388:AU2336,$AA$1388:AA2336,"*",$AB$1388:AB2336,"*")</f>
        <v>7570.7999999995782</v>
      </c>
      <c r="BV2335" s="343">
        <f>SUMIFS($AU$1388:AU2336,$AA$1388:AA2336,"*",$AC$1388:AC2336,"*")</f>
        <v>29808.036363636529</v>
      </c>
      <c r="BW2335" s="343">
        <f>SUMIFS($AU$1388:AU2336,$AB$1388:AB2336,"*",$AC$1388:AC2336,"*")</f>
        <v>3863.9999999999991</v>
      </c>
      <c r="BX2335" s="343">
        <f>SUMIFS($AV$1388:AV2336,$Q$1388:Q2336,"F")</f>
        <v>399.04019562430165</v>
      </c>
      <c r="BY2335" s="343">
        <f>SUMIFS($AV$1388:AV2336,$Q$1388:Q2336,"S")</f>
        <v>769.94467523906087</v>
      </c>
      <c r="BZ2335" s="343">
        <f>SUMIFS($AV$1388:AV2336,$Q$1388:Q2336,"O")</f>
        <v>329.29929999967487</v>
      </c>
    </row>
    <row r="2336" spans="1:78" ht="15.75" customHeight="1">
      <c r="A2336" s="177" t="s">
        <v>7249</v>
      </c>
      <c r="B2336" s="200">
        <v>45488</v>
      </c>
      <c r="C2336" s="178" t="s">
        <v>7353</v>
      </c>
      <c r="D2336" s="178" t="s">
        <v>132</v>
      </c>
      <c r="E2336" s="227"/>
      <c r="F2336" s="180"/>
      <c r="G2336" s="553" t="s">
        <v>7133</v>
      </c>
      <c r="H2336" s="182"/>
      <c r="I2336" s="182"/>
      <c r="J2336" s="182"/>
      <c r="K2336" s="183"/>
      <c r="L2336" s="182"/>
      <c r="M2336" s="182">
        <v>2</v>
      </c>
      <c r="N2336" s="182"/>
      <c r="O2336" s="183" t="s">
        <v>95</v>
      </c>
      <c r="P2336" s="183" t="s">
        <v>96</v>
      </c>
      <c r="Q2336" s="183" t="s">
        <v>97</v>
      </c>
      <c r="R2336" s="183">
        <v>9</v>
      </c>
      <c r="S2336" s="183">
        <v>9</v>
      </c>
      <c r="T2336" s="183">
        <v>16</v>
      </c>
      <c r="U2336" s="183" t="s">
        <v>22</v>
      </c>
      <c r="V2336" s="183"/>
      <c r="W2336" s="183"/>
      <c r="X2336" s="183"/>
      <c r="Y2336" s="184">
        <f t="shared" si="775"/>
        <v>0.01</v>
      </c>
      <c r="Z2336" s="185">
        <f t="shared" si="776"/>
        <v>1600</v>
      </c>
      <c r="AA2336" s="185" t="s">
        <v>7354</v>
      </c>
      <c r="AB2336" s="185"/>
      <c r="AC2336" s="185" t="s">
        <v>7355</v>
      </c>
      <c r="AD2336" s="649">
        <v>-0.21</v>
      </c>
      <c r="AE2336" s="182"/>
      <c r="AF2336" s="332"/>
      <c r="AG2336" s="182"/>
      <c r="AH2336" s="182"/>
      <c r="AI2336" s="182"/>
      <c r="AJ2336" s="640"/>
      <c r="AK2336" s="182"/>
      <c r="AL2336" s="496">
        <f t="shared" si="773"/>
        <v>-32</v>
      </c>
      <c r="AM2336" s="496">
        <f t="shared" si="764"/>
        <v>0</v>
      </c>
      <c r="AN2336" s="626"/>
      <c r="AO2336" s="182"/>
      <c r="AP2336" s="182"/>
      <c r="AQ2336" s="332" t="str">
        <f>UPPER(RIGHT(Journal_Live[[#This Row],[DURATION ]]))</f>
        <v/>
      </c>
      <c r="AR2336" s="182"/>
      <c r="AS2336" s="189">
        <v>-0.21</v>
      </c>
      <c r="AT2336" s="189">
        <f t="shared" si="769"/>
        <v>0</v>
      </c>
      <c r="AU2336" s="187">
        <f t="shared" si="770"/>
        <v>0</v>
      </c>
      <c r="AV2336" s="190">
        <f t="shared" si="774"/>
        <v>0</v>
      </c>
      <c r="AW2336" s="191" t="s">
        <v>115</v>
      </c>
      <c r="AX2336" s="551"/>
      <c r="AY2336" s="551"/>
      <c r="AZ2336" s="551"/>
      <c r="BA2336" s="551"/>
      <c r="BB2336" s="551"/>
      <c r="BC2336" s="551"/>
      <c r="BD2336" s="549"/>
      <c r="BE2336" s="550"/>
      <c r="BF2336" s="549"/>
      <c r="BG2336" s="391">
        <f>SUM($AV$1389:AV2336)</f>
        <v>6746.2841708630449</v>
      </c>
      <c r="BH2336" s="392">
        <f>SUM($AU$1389:AU2336)</f>
        <v>42259.223836163059</v>
      </c>
      <c r="BI2336" s="318">
        <f>SUMIFS($AU$1388:AU2337,$Q$1388:Q2337,"F")</f>
        <v>28737.158121878128</v>
      </c>
      <c r="BJ2336" s="318">
        <f>SUMIFS($AU$1388:AU2337,$Q$1388:Q2337,"S")</f>
        <v>18034.285714285717</v>
      </c>
      <c r="BK2336" s="343">
        <f>SUMIFS($AU$1388:AU2337,$P$1388:P2337,"W")</f>
        <v>16470.223836163445</v>
      </c>
      <c r="BL2336" s="343">
        <f>SUMIFS($AU$1388:AU2337,$P$1388:P2337,"R")</f>
        <v>22728.400000000325</v>
      </c>
      <c r="BM2336" s="343">
        <f>SUMIFS($AU$1388:AU2337,$AQ$1388:AQ2337,"M")</f>
        <v>9243.1799999984214</v>
      </c>
      <c r="BN2336" s="343">
        <f>SUMIFS($AU$1388:AU2337,$AQ$1388:AQ2337,"H")</f>
        <v>12283.200000000877</v>
      </c>
      <c r="BO2336" s="343">
        <f>SUMIFS($AU$1388:AU2337,$AQ$1388:AQ2337,"D")</f>
        <v>11817.177472527181</v>
      </c>
      <c r="BP2336" s="343">
        <f>SUMIFS($AS$1388:AS2705,$AO$1388:AO2705,"W")</f>
        <v>0</v>
      </c>
      <c r="BQ2336" s="343">
        <f>SUMIFS($AU$1388:AU2337,$Q$1388:Q2337,"O")</f>
        <v>-9846.140000000747</v>
      </c>
      <c r="BR2336" s="343">
        <f>SUMIFS($AU$1388:AU2337,$AA$1388:AA2337,"*")</f>
        <v>38654.402077921259</v>
      </c>
      <c r="BS2336" s="343">
        <f>SUMIFS($AU$1388:AU2337,$AB$1388:AB2337,"*")</f>
        <v>7130.6599999997952</v>
      </c>
      <c r="BT2336" s="343">
        <f>SUMIFS($AU$1388:AU2337,$AC$1388:AC2337,"*")</f>
        <v>31073.158121878121</v>
      </c>
      <c r="BU2336" s="343">
        <f>SUMIFS($AU$1388:AU2337,$AA$1388:AA2337,"*",$AB$1388:AB2337,"*")</f>
        <v>7570.7999999995782</v>
      </c>
      <c r="BV2336" s="343">
        <f>SUMIFS($AU$1388:AU2337,$AA$1388:AA2337,"*",$AC$1388:AC2337,"*")</f>
        <v>29198.116363636531</v>
      </c>
      <c r="BW2336" s="343">
        <f>SUMIFS($AU$1388:AU2337,$AB$1388:AB2337,"*",$AC$1388:AC2337,"*")</f>
        <v>3863.9999999999991</v>
      </c>
      <c r="BX2336" s="343">
        <f>SUMIFS($AV$1388:AV2337,$Q$1388:Q2337,"F")</f>
        <v>381.10137209488988</v>
      </c>
      <c r="BY2336" s="343">
        <f>SUMIFS($AV$1388:AV2337,$Q$1388:Q2337,"S")</f>
        <v>769.94467523906087</v>
      </c>
      <c r="BZ2336" s="343">
        <f>SUMIFS($AV$1388:AV2337,$Q$1388:Q2337,"O")</f>
        <v>329.29929999967487</v>
      </c>
    </row>
    <row r="2337" spans="1:78" ht="15.75" customHeight="1">
      <c r="A2337" s="177" t="s">
        <v>7249</v>
      </c>
      <c r="B2337" s="200">
        <v>45489</v>
      </c>
      <c r="C2337" s="178" t="s">
        <v>7303</v>
      </c>
      <c r="D2337" s="178" t="s">
        <v>146</v>
      </c>
      <c r="E2337" s="227"/>
      <c r="F2337" s="180"/>
      <c r="G2337" s="570" t="s">
        <v>7356</v>
      </c>
      <c r="H2337" s="182"/>
      <c r="I2337" s="182"/>
      <c r="J2337" s="182"/>
      <c r="K2337" s="183"/>
      <c r="L2337" s="182"/>
      <c r="M2337" s="182">
        <v>2</v>
      </c>
      <c r="N2337" s="182"/>
      <c r="O2337" s="183" t="s">
        <v>95</v>
      </c>
      <c r="P2337" s="183" t="s">
        <v>96</v>
      </c>
      <c r="Q2337" s="183" t="s">
        <v>256</v>
      </c>
      <c r="R2337" s="183">
        <v>34</v>
      </c>
      <c r="S2337" s="183">
        <v>0</v>
      </c>
      <c r="T2337" s="183">
        <v>9</v>
      </c>
      <c r="U2337" s="183" t="s">
        <v>22</v>
      </c>
      <c r="V2337" s="183" t="s">
        <v>7357</v>
      </c>
      <c r="W2337" s="183" t="s">
        <v>20</v>
      </c>
      <c r="X2337" s="183"/>
      <c r="Y2337" s="184">
        <f t="shared" si="775"/>
        <v>0.01</v>
      </c>
      <c r="Z2337" s="185">
        <f t="shared" si="776"/>
        <v>1600</v>
      </c>
      <c r="AA2337" s="185" t="s">
        <v>6373</v>
      </c>
      <c r="AB2337" s="185"/>
      <c r="AC2337" s="185" t="s">
        <v>7358</v>
      </c>
      <c r="AD2337" s="649">
        <f>((-0.0038*26)+(-0.01*8))/34</f>
        <v>-5.2588235294117654E-3</v>
      </c>
      <c r="AE2337" s="182"/>
      <c r="AF2337" s="332"/>
      <c r="AG2337" s="182"/>
      <c r="AH2337" s="182" t="s">
        <v>7359</v>
      </c>
      <c r="AI2337" s="182" t="s">
        <v>7360</v>
      </c>
      <c r="AJ2337" s="640"/>
      <c r="AK2337" s="182"/>
      <c r="AL2337" s="496">
        <f>-0.02*Z2337</f>
        <v>-32</v>
      </c>
      <c r="AM2337" s="496">
        <f t="shared" si="764"/>
        <v>-1088</v>
      </c>
      <c r="AN2337" s="409" t="s">
        <v>7361</v>
      </c>
      <c r="AO2337" s="182" t="s">
        <v>7362</v>
      </c>
      <c r="AP2337" s="182" t="s">
        <v>897</v>
      </c>
      <c r="AQ2337" s="332" t="s">
        <v>96</v>
      </c>
      <c r="AR2337" s="298">
        <v>45502</v>
      </c>
      <c r="AS2337" s="189">
        <f>((-0.02*22)+(-0.01*12))/34</f>
        <v>-1.6470588235294119E-2</v>
      </c>
      <c r="AT2337" s="189">
        <f t="shared" si="769"/>
        <v>-1.1211764705882353E-2</v>
      </c>
      <c r="AU2337" s="187">
        <f t="shared" si="770"/>
        <v>-609.92000000000007</v>
      </c>
      <c r="AV2337" s="190">
        <f t="shared" si="774"/>
        <v>-17.938823529411767</v>
      </c>
      <c r="AW2337" s="191" t="s">
        <v>229</v>
      </c>
      <c r="AX2337" s="551" t="s">
        <v>7363</v>
      </c>
      <c r="AY2337" s="551" t="s">
        <v>7364</v>
      </c>
      <c r="AZ2337" s="551" t="s">
        <v>7365</v>
      </c>
      <c r="BA2337" s="551"/>
      <c r="BB2337" s="551"/>
      <c r="BC2337" s="551"/>
      <c r="BD2337" s="549"/>
      <c r="BE2337" s="550"/>
      <c r="BF2337" s="549"/>
      <c r="BG2337" s="391">
        <f>SUM($AV$1389:AV2337)</f>
        <v>6728.3453473336331</v>
      </c>
      <c r="BH2337" s="392">
        <f>SUM($AU$1389:AU2337)</f>
        <v>41649.303836163061</v>
      </c>
      <c r="BI2337" s="318">
        <f>SUMIFS($AU$1388:AU2338,$Q$1388:Q2338,"F")</f>
        <v>28468.358121878129</v>
      </c>
      <c r="BJ2337" s="318">
        <f>SUMIFS($AU$1388:AU2338,$Q$1388:Q2338,"S")</f>
        <v>18034.285714285717</v>
      </c>
      <c r="BK2337" s="343">
        <f>SUMIFS($AU$1388:AU2338,$P$1388:P2338,"W")</f>
        <v>16201.423836163443</v>
      </c>
      <c r="BL2337" s="343">
        <f>SUMIFS($AU$1388:AU2338,$P$1388:P2338,"R")</f>
        <v>22728.400000000325</v>
      </c>
      <c r="BM2337" s="343">
        <f>SUMIFS($AU$1388:AU2338,$AQ$1388:AQ2338,"M")</f>
        <v>9243.1799999984214</v>
      </c>
      <c r="BN2337" s="343">
        <f>SUMIFS($AU$1388:AU2338,$AQ$1388:AQ2338,"H")</f>
        <v>12283.200000000877</v>
      </c>
      <c r="BO2337" s="343">
        <f>SUMIFS($AU$1388:AU2338,$AQ$1388:AQ2338,"D")</f>
        <v>11817.177472527181</v>
      </c>
      <c r="BP2337" s="343">
        <f>SUMIFS($AS$1388:AS2706,$AO$1388:AO2706,"W")</f>
        <v>0</v>
      </c>
      <c r="BQ2337" s="343">
        <f>SUMIFS($AU$1388:AU2338,$Q$1388:Q2338,"O")</f>
        <v>-9846.140000000747</v>
      </c>
      <c r="BR2337" s="343">
        <f>SUMIFS($AU$1388:AU2338,$AA$1388:AA2338,"*")</f>
        <v>38385.602077921256</v>
      </c>
      <c r="BS2337" s="343">
        <f>SUMIFS($AU$1388:AU2338,$AB$1388:AB2338,"*")</f>
        <v>6861.8599999997941</v>
      </c>
      <c r="BT2337" s="343">
        <f>SUMIFS($AU$1388:AU2338,$AC$1388:AC2338,"*")</f>
        <v>30804.358121878122</v>
      </c>
      <c r="BU2337" s="343">
        <f>SUMIFS($AU$1388:AU2338,$AA$1388:AA2338,"*",$AB$1388:AB2338,"*")</f>
        <v>7301.9999999995771</v>
      </c>
      <c r="BV2337" s="343">
        <f>SUMIFS($AU$1388:AU2338,$AA$1388:AA2338,"*",$AC$1388:AC2338,"*")</f>
        <v>28929.316363636532</v>
      </c>
      <c r="BW2337" s="343">
        <f>SUMIFS($AU$1388:AU2338,$AB$1388:AB2338,"*",$AC$1388:AC2338,"*")</f>
        <v>3595.199999999998</v>
      </c>
      <c r="BX2337" s="343">
        <f>SUMIFS($AV$1388:AV2338,$Q$1388:Q2338,"F")</f>
        <v>371.14581653933431</v>
      </c>
      <c r="BY2337" s="343">
        <f>SUMIFS($AV$1388:AV2338,$Q$1388:Q2338,"S")</f>
        <v>769.94467523906087</v>
      </c>
      <c r="BZ2337" s="343">
        <f>SUMIFS($AV$1388:AV2338,$Q$1388:Q2338,"O")</f>
        <v>329.29929999967487</v>
      </c>
    </row>
    <row r="2338" spans="1:78" ht="15.75" customHeight="1">
      <c r="A2338" s="177" t="s">
        <v>7249</v>
      </c>
      <c r="B2338" s="200">
        <v>45459</v>
      </c>
      <c r="C2338" s="178" t="s">
        <v>1437</v>
      </c>
      <c r="D2338" s="178" t="s">
        <v>146</v>
      </c>
      <c r="E2338" s="227"/>
      <c r="F2338" s="180"/>
      <c r="G2338" s="481" t="s">
        <v>7366</v>
      </c>
      <c r="H2338" s="182"/>
      <c r="I2338" s="182"/>
      <c r="J2338" s="182"/>
      <c r="K2338" s="183"/>
      <c r="L2338" s="182">
        <v>1</v>
      </c>
      <c r="M2338" s="182">
        <v>2</v>
      </c>
      <c r="N2338" s="182"/>
      <c r="O2338" s="183" t="s">
        <v>95</v>
      </c>
      <c r="P2338" s="183" t="s">
        <v>96</v>
      </c>
      <c r="Q2338" s="183" t="s">
        <v>256</v>
      </c>
      <c r="R2338" s="183">
        <v>27</v>
      </c>
      <c r="S2338" s="183">
        <v>16</v>
      </c>
      <c r="T2338" s="183">
        <v>16</v>
      </c>
      <c r="U2338" s="183" t="s">
        <v>22</v>
      </c>
      <c r="V2338" s="183" t="s">
        <v>7357</v>
      </c>
      <c r="W2338" s="183" t="s">
        <v>7367</v>
      </c>
      <c r="X2338" s="183"/>
      <c r="Y2338" s="184">
        <f t="shared" si="775"/>
        <v>0.01</v>
      </c>
      <c r="Z2338" s="185">
        <f t="shared" si="776"/>
        <v>1600</v>
      </c>
      <c r="AA2338" s="185" t="s">
        <v>7368</v>
      </c>
      <c r="AB2338" s="185" t="s">
        <v>7369</v>
      </c>
      <c r="AC2338" s="185" t="s">
        <v>7370</v>
      </c>
      <c r="AD2338" s="649">
        <f>-0.416+0.44</f>
        <v>2.4000000000000021E-2</v>
      </c>
      <c r="AE2338" s="182"/>
      <c r="AF2338" s="332"/>
      <c r="AG2338" s="182"/>
      <c r="AH2338" s="182">
        <v>4</v>
      </c>
      <c r="AI2338" s="182"/>
      <c r="AJ2338" s="640" t="s">
        <v>7371</v>
      </c>
      <c r="AK2338" s="182"/>
      <c r="AL2338" s="496">
        <f t="shared" si="773"/>
        <v>-32</v>
      </c>
      <c r="AM2338" s="496">
        <f t="shared" si="764"/>
        <v>-352</v>
      </c>
      <c r="AN2338" s="626" t="s">
        <v>7372</v>
      </c>
      <c r="AO2338" s="182" t="s">
        <v>7373</v>
      </c>
      <c r="AP2338" s="182" t="s">
        <v>897</v>
      </c>
      <c r="AQ2338" s="332" t="s">
        <v>96</v>
      </c>
      <c r="AR2338" s="298">
        <v>45502</v>
      </c>
      <c r="AS2338" s="189">
        <f>((0.03*16)+(0*11))/27</f>
        <v>1.7777777777777778E-2</v>
      </c>
      <c r="AT2338" s="189">
        <f t="shared" si="769"/>
        <v>-6.2222222222222436E-3</v>
      </c>
      <c r="AU2338" s="187">
        <f t="shared" si="770"/>
        <v>-268.80000000000092</v>
      </c>
      <c r="AV2338" s="190">
        <f t="shared" si="774"/>
        <v>-9.9555555555555895</v>
      </c>
      <c r="AW2338" s="191" t="s">
        <v>229</v>
      </c>
      <c r="AX2338" s="551"/>
      <c r="AY2338" s="551"/>
      <c r="AZ2338" s="551"/>
      <c r="BA2338" s="551"/>
      <c r="BB2338" s="551"/>
      <c r="BC2338" s="551"/>
      <c r="BD2338" s="549"/>
      <c r="BE2338" s="550"/>
      <c r="BF2338" s="549"/>
      <c r="BG2338" s="391">
        <f>SUM($AV$1389:AV2338)</f>
        <v>6718.3897917780778</v>
      </c>
      <c r="BH2338" s="392">
        <f>SUM($AU$1389:AU2338)</f>
        <v>41380.503836163058</v>
      </c>
      <c r="BI2338" s="318">
        <f>SUMIFS($AU$1388:AU2339,$Q$1388:Q2339,"F")</f>
        <v>28468.358121878129</v>
      </c>
      <c r="BJ2338" s="318">
        <f>SUMIFS($AU$1388:AU2339,$Q$1388:Q2339,"S")</f>
        <v>17570.285714285717</v>
      </c>
      <c r="BK2338" s="343">
        <f>SUMIFS($AU$1388:AU2339,$P$1388:P2339,"W")</f>
        <v>15737.423836163443</v>
      </c>
      <c r="BL2338" s="343">
        <f>SUMIFS($AU$1388:AU2339,$P$1388:P2339,"R")</f>
        <v>22728.400000000325</v>
      </c>
      <c r="BM2338" s="343">
        <f>SUMIFS($AU$1388:AU2339,$AQ$1388:AQ2339,"M")</f>
        <v>9243.1799999984214</v>
      </c>
      <c r="BN2338" s="343">
        <f>SUMIFS($AU$1388:AU2339,$AQ$1388:AQ2339,"H")</f>
        <v>11819.200000000877</v>
      </c>
      <c r="BO2338" s="343">
        <f>SUMIFS($AU$1388:AU2339,$AQ$1388:AQ2339,"D")</f>
        <v>11817.177472527181</v>
      </c>
      <c r="BP2338" s="343">
        <f>SUMIFS($AS$1388:AS2707,$AO$1388:AO2707,"W")</f>
        <v>0</v>
      </c>
      <c r="BQ2338" s="343">
        <f>SUMIFS($AU$1388:AU2339,$Q$1388:Q2339,"O")</f>
        <v>-9846.140000000747</v>
      </c>
      <c r="BR2338" s="343">
        <f>SUMIFS($AU$1388:AU2339,$AA$1388:AA2339,"*")</f>
        <v>37921.602077921256</v>
      </c>
      <c r="BS2338" s="343">
        <f>SUMIFS($AU$1388:AU2339,$AB$1388:AB2339,"*")</f>
        <v>6861.8599999997941</v>
      </c>
      <c r="BT2338" s="343">
        <f>SUMIFS($AU$1388:AU2339,$AC$1388:AC2339,"*")</f>
        <v>30804.358121878122</v>
      </c>
      <c r="BU2338" s="343">
        <f>SUMIFS($AU$1388:AU2339,$AA$1388:AA2339,"*",$AB$1388:AB2339,"*")</f>
        <v>7301.9999999995771</v>
      </c>
      <c r="BV2338" s="343">
        <f>SUMIFS($AU$1388:AU2339,$AA$1388:AA2339,"*",$AC$1388:AC2339,"*")</f>
        <v>28929.316363636532</v>
      </c>
      <c r="BW2338" s="343">
        <f>SUMIFS($AU$1388:AU2339,$AB$1388:AB2339,"*",$AC$1388:AC2339,"*")</f>
        <v>3595.199999999998</v>
      </c>
      <c r="BX2338" s="343">
        <f>SUMIFS($AV$1388:AV2339,$Q$1388:Q2339,"F")</f>
        <v>371.14581653933431</v>
      </c>
      <c r="BY2338" s="343">
        <f>SUMIFS($AV$1388:AV2339,$Q$1388:Q2339,"S")</f>
        <v>727.76285705724263</v>
      </c>
      <c r="BZ2338" s="343">
        <f>SUMIFS($AV$1388:AV2339,$Q$1388:Q2339,"O")</f>
        <v>329.29929999967487</v>
      </c>
    </row>
    <row r="2339" spans="1:78" ht="15.75" customHeight="1">
      <c r="A2339" s="177" t="s">
        <v>7249</v>
      </c>
      <c r="B2339" s="200">
        <v>45459</v>
      </c>
      <c r="C2339" s="178" t="s">
        <v>1437</v>
      </c>
      <c r="D2339" s="178" t="s">
        <v>146</v>
      </c>
      <c r="E2339" s="227"/>
      <c r="F2339" s="180"/>
      <c r="G2339" s="553" t="s">
        <v>7374</v>
      </c>
      <c r="H2339" s="182"/>
      <c r="I2339" s="182"/>
      <c r="J2339" s="182"/>
      <c r="K2339" s="183"/>
      <c r="L2339" s="182">
        <v>1</v>
      </c>
      <c r="M2339" s="182">
        <v>2</v>
      </c>
      <c r="N2339" s="182"/>
      <c r="O2339" s="183" t="s">
        <v>95</v>
      </c>
      <c r="P2339" s="183" t="s">
        <v>96</v>
      </c>
      <c r="Q2339" s="183" t="s">
        <v>97</v>
      </c>
      <c r="R2339" s="183">
        <v>11</v>
      </c>
      <c r="S2339" s="183">
        <v>4</v>
      </c>
      <c r="T2339" s="183">
        <v>11</v>
      </c>
      <c r="U2339" s="183" t="s">
        <v>22</v>
      </c>
      <c r="V2339" s="183" t="s">
        <v>7349</v>
      </c>
      <c r="W2339" s="183" t="s">
        <v>22</v>
      </c>
      <c r="X2339" s="183"/>
      <c r="Y2339" s="184">
        <f t="shared" si="775"/>
        <v>0.01</v>
      </c>
      <c r="Z2339" s="185">
        <f t="shared" si="776"/>
        <v>1600</v>
      </c>
      <c r="AA2339" s="185" t="s">
        <v>7368</v>
      </c>
      <c r="AB2339" s="185"/>
      <c r="AC2339" s="185"/>
      <c r="AD2339" s="649">
        <v>-0.41</v>
      </c>
      <c r="AE2339" s="182"/>
      <c r="AF2339" s="332"/>
      <c r="AG2339" s="182"/>
      <c r="AH2339" s="182"/>
      <c r="AI2339" s="182" t="s">
        <v>7375</v>
      </c>
      <c r="AJ2339" s="640" t="s">
        <v>7376</v>
      </c>
      <c r="AK2339" s="182"/>
      <c r="AL2339" s="496">
        <f t="shared" si="771"/>
        <v>-32</v>
      </c>
      <c r="AM2339" s="496">
        <f t="shared" si="764"/>
        <v>-224</v>
      </c>
      <c r="AN2339" s="626"/>
      <c r="AO2339" s="182"/>
      <c r="AP2339" s="182"/>
      <c r="AQ2339" s="332" t="s">
        <v>372</v>
      </c>
      <c r="AR2339" s="182"/>
      <c r="AS2339" s="189">
        <f>((-0.43*4)+(-0.44*7))/11</f>
        <v>-0.43636363636363634</v>
      </c>
      <c r="AT2339" s="189">
        <f t="shared" si="769"/>
        <v>-2.6363636363636367E-2</v>
      </c>
      <c r="AU2339" s="187">
        <f t="shared" si="770"/>
        <v>-464.00000000000006</v>
      </c>
      <c r="AV2339" s="190">
        <f t="shared" si="772"/>
        <v>-42.181818181818187</v>
      </c>
      <c r="AW2339" s="191" t="s">
        <v>229</v>
      </c>
      <c r="AX2339" s="551" t="s">
        <v>7377</v>
      </c>
      <c r="AY2339" s="551" t="s">
        <v>7378</v>
      </c>
      <c r="AZ2339" s="551"/>
      <c r="BA2339" s="551"/>
      <c r="BB2339" s="551"/>
      <c r="BC2339" s="551"/>
      <c r="BD2339" s="549"/>
      <c r="BE2339" s="550"/>
      <c r="BF2339" s="549"/>
      <c r="BG2339" s="391">
        <f>SUM($AV$1389:AV2339)</f>
        <v>6676.2079735962598</v>
      </c>
      <c r="BH2339" s="392">
        <f>SUM($AU$1389:AU2339)</f>
        <v>40916.503836163058</v>
      </c>
      <c r="BI2339" s="318">
        <f>SUMIFS($AU$1388:AU2340,$Q$1388:Q2340,"F")</f>
        <v>29380.358121878129</v>
      </c>
      <c r="BJ2339" s="318">
        <f>SUMIFS($AU$1388:AU2340,$Q$1388:Q2340,"S")</f>
        <v>17570.285714285717</v>
      </c>
      <c r="BK2339" s="343">
        <f>SUMIFS($AU$1388:AU2340,$P$1388:P2340,"W")</f>
        <v>15737.423836163443</v>
      </c>
      <c r="BL2339" s="343">
        <f>SUMIFS($AU$1388:AU2340,$P$1388:P2340,"R")</f>
        <v>23640.400000000325</v>
      </c>
      <c r="BM2339" s="343">
        <f>SUMIFS($AU$1388:AU2340,$AQ$1388:AQ2340,"M")</f>
        <v>9243.1799999984214</v>
      </c>
      <c r="BN2339" s="343">
        <f>SUMIFS($AU$1388:AU2340,$AQ$1388:AQ2340,"H")</f>
        <v>11819.200000000877</v>
      </c>
      <c r="BO2339" s="343">
        <f>SUMIFS($AU$1388:AU2340,$AQ$1388:AQ2340,"D")</f>
        <v>11817.177472527181</v>
      </c>
      <c r="BP2339" s="343">
        <f>SUMIFS($AS$1388:AS2708,$AO$1388:AO2708,"W")</f>
        <v>0</v>
      </c>
      <c r="BQ2339" s="343">
        <f>SUMIFS($AU$1388:AU2340,$Q$1388:Q2340,"O")</f>
        <v>-9846.140000000747</v>
      </c>
      <c r="BR2339" s="343">
        <f>SUMIFS($AU$1388:AU2340,$AA$1388:AA2340,"*")</f>
        <v>38833.602077921256</v>
      </c>
      <c r="BS2339" s="343">
        <f>SUMIFS($AU$1388:AU2340,$AB$1388:AB2340,"*")</f>
        <v>6861.8599999997941</v>
      </c>
      <c r="BT2339" s="343">
        <f>SUMIFS($AU$1388:AU2340,$AC$1388:AC2340,"*")</f>
        <v>31716.358121878122</v>
      </c>
      <c r="BU2339" s="343">
        <f>SUMIFS($AU$1388:AU2340,$AA$1388:AA2340,"*",$AB$1388:AB2340,"*")</f>
        <v>7301.9999999995771</v>
      </c>
      <c r="BV2339" s="343">
        <f>SUMIFS($AU$1388:AU2340,$AA$1388:AA2340,"*",$AC$1388:AC2340,"*")</f>
        <v>29841.316363636532</v>
      </c>
      <c r="BW2339" s="343">
        <f>SUMIFS($AU$1388:AU2340,$AB$1388:AB2340,"*",$AC$1388:AC2340,"*")</f>
        <v>3595.199999999998</v>
      </c>
      <c r="BX2339" s="343">
        <f>SUMIFS($AV$1388:AV2340,$Q$1388:Q2340,"F")</f>
        <v>387.43153082504858</v>
      </c>
      <c r="BY2339" s="343">
        <f>SUMIFS($AV$1388:AV2340,$Q$1388:Q2340,"S")</f>
        <v>727.76285705724263</v>
      </c>
      <c r="BZ2339" s="343">
        <f>SUMIFS($AV$1388:AV2340,$Q$1388:Q2340,"O")</f>
        <v>329.29929999967487</v>
      </c>
    </row>
    <row r="2340" spans="1:78" ht="15.75" customHeight="1">
      <c r="A2340" s="177" t="s">
        <v>7249</v>
      </c>
      <c r="B2340" s="200">
        <v>45459</v>
      </c>
      <c r="C2340" s="178" t="s">
        <v>7379</v>
      </c>
      <c r="D2340" s="178" t="s">
        <v>146</v>
      </c>
      <c r="E2340" s="227"/>
      <c r="F2340" s="180"/>
      <c r="G2340" s="553" t="s">
        <v>7380</v>
      </c>
      <c r="H2340" s="182"/>
      <c r="I2340" s="182"/>
      <c r="J2340" s="182"/>
      <c r="K2340" s="183"/>
      <c r="L2340" s="182"/>
      <c r="M2340" s="182">
        <v>1</v>
      </c>
      <c r="N2340" s="182"/>
      <c r="O2340" s="183" t="s">
        <v>95</v>
      </c>
      <c r="P2340" s="183" t="s">
        <v>137</v>
      </c>
      <c r="Q2340" s="183" t="s">
        <v>256</v>
      </c>
      <c r="R2340" s="183">
        <v>56</v>
      </c>
      <c r="S2340" s="183">
        <v>56</v>
      </c>
      <c r="T2340" s="183">
        <v>27</v>
      </c>
      <c r="U2340" s="183" t="s">
        <v>22</v>
      </c>
      <c r="V2340" s="183" t="s">
        <v>7357</v>
      </c>
      <c r="W2340" s="183" t="s">
        <v>7367</v>
      </c>
      <c r="X2340" s="183"/>
      <c r="Y2340" s="184">
        <f t="shared" si="775"/>
        <v>0.01</v>
      </c>
      <c r="Z2340" s="185">
        <f t="shared" si="776"/>
        <v>1600</v>
      </c>
      <c r="AA2340" s="185" t="s">
        <v>7381</v>
      </c>
      <c r="AB2340" s="185"/>
      <c r="AC2340" s="185" t="s">
        <v>7382</v>
      </c>
      <c r="AD2340" s="649">
        <f>((-0.055*54)+(-0.05*18))/72</f>
        <v>-5.3749999999999999E-2</v>
      </c>
      <c r="AE2340" s="182"/>
      <c r="AF2340" s="332"/>
      <c r="AG2340" s="182"/>
      <c r="AH2340" s="182" t="s">
        <v>7383</v>
      </c>
      <c r="AI2340" s="182"/>
      <c r="AJ2340" s="640" t="s">
        <v>7384</v>
      </c>
      <c r="AK2340" s="182"/>
      <c r="AL2340" s="496">
        <f>-0.01*Z2340</f>
        <v>-16</v>
      </c>
      <c r="AM2340" s="496">
        <f t="shared" si="764"/>
        <v>0</v>
      </c>
      <c r="AN2340" s="626"/>
      <c r="AO2340" s="182"/>
      <c r="AP2340" s="182"/>
      <c r="AQ2340" s="332" t="s">
        <v>96</v>
      </c>
      <c r="AR2340" s="182" t="s">
        <v>7385</v>
      </c>
      <c r="AS2340" s="189">
        <f>((-0.05*20)+(-0.04*36))/56</f>
        <v>-4.3571428571428573E-2</v>
      </c>
      <c r="AT2340" s="189">
        <f t="shared" si="769"/>
        <v>1.0178571428571426E-2</v>
      </c>
      <c r="AU2340" s="187">
        <f t="shared" si="770"/>
        <v>911.99999999999977</v>
      </c>
      <c r="AV2340" s="190">
        <f t="shared" si="772"/>
        <v>16.285714285714281</v>
      </c>
      <c r="AW2340" s="191" t="s">
        <v>96</v>
      </c>
      <c r="AX2340" s="551" t="s">
        <v>7386</v>
      </c>
      <c r="AY2340" s="551"/>
      <c r="AZ2340" s="551"/>
      <c r="BA2340" s="551"/>
      <c r="BB2340" s="551"/>
      <c r="BC2340" s="551"/>
      <c r="BD2340" s="549"/>
      <c r="BE2340" s="550"/>
      <c r="BF2340" s="549"/>
      <c r="BG2340" s="391">
        <f>SUM($AV$1389:AV2340)</f>
        <v>6692.4936878819744</v>
      </c>
      <c r="BH2340" s="392">
        <f>SUM($AU$1389:AU2340)</f>
        <v>41828.503836163058</v>
      </c>
      <c r="BI2340" s="318">
        <f>SUMIFS($AU$1388:AU2360,$Q$1388:Q2360,"F")</f>
        <v>29584.358121878129</v>
      </c>
      <c r="BJ2340" s="318">
        <f>SUMIFS($AU$1388:AU2360,$Q$1388:Q2360,"S")</f>
        <v>18290.285714285717</v>
      </c>
      <c r="BK2340" s="343">
        <f>SUMIFS($AU$1388:AU2360,$P$1388:P2360,"W")</f>
        <v>16085.423836163443</v>
      </c>
      <c r="BL2340" s="343">
        <f>SUMIFS($AU$1388:AU2360,$P$1388:P2360,"R")</f>
        <v>24216.400000000325</v>
      </c>
      <c r="BM2340" s="343">
        <f>SUMIFS($AU$1388:AU2360,$AQ$1388:AQ2360,"M")</f>
        <v>9283.179999998385</v>
      </c>
      <c r="BN2340" s="343">
        <f>SUMIFS($AU$1388:AU2360,$AQ$1388:AQ2360,"H")</f>
        <v>12539.200000000877</v>
      </c>
      <c r="BO2340" s="343">
        <f>SUMIFS($AU$1388:AU2360,$AQ$1388:AQ2360,"D")</f>
        <v>12021.177472527181</v>
      </c>
      <c r="BP2340" s="343">
        <f>SUMIFS($AS$1388:AS2709,$AO$1388:AO2709,"W")</f>
        <v>0</v>
      </c>
      <c r="BQ2340" s="343">
        <f>SUMIFS($AU$1388:AU2360,$Q$1388:Q2360,"O")</f>
        <v>-9806.1400000007834</v>
      </c>
      <c r="BR2340" s="343">
        <f>SUMIFS($AU$1388:AU2360,$AA$1388:AA2360,"*")</f>
        <v>39653.602077921219</v>
      </c>
      <c r="BS2340" s="343">
        <f>SUMIFS($AU$1388:AU2360,$AB$1388:AB2360,"*")</f>
        <v>7005.8599999997941</v>
      </c>
      <c r="BT2340" s="343">
        <f>SUMIFS($AU$1388:AU2360,$AC$1388:AC2360,"*")</f>
        <v>31920.358121878122</v>
      </c>
      <c r="BU2340" s="343">
        <f>SUMIFS($AU$1388:AU2360,$AA$1388:AA2360,"*",$AB$1388:AB2360,"*")</f>
        <v>7301.9999999995771</v>
      </c>
      <c r="BV2340" s="343">
        <f>SUMIFS($AU$1388:AU2360,$AA$1388:AA2360,"*",$AC$1388:AC2360,"*")</f>
        <v>29901.316363636532</v>
      </c>
      <c r="BW2340" s="343">
        <f>SUMIFS($AU$1388:AU2360,$AB$1388:AB2360,"*",$AC$1388:AC2360,"*")</f>
        <v>3739.199999999998</v>
      </c>
      <c r="BX2340" s="343">
        <f>SUMIFS($AV$1388:AV2360,$Q$1388:Q2360,"F")</f>
        <v>409.43153082504858</v>
      </c>
      <c r="BY2340" s="343">
        <f>SUMIFS($AV$1388:AV2360,$Q$1388:Q2360,"S")</f>
        <v>759.76285705724263</v>
      </c>
      <c r="BZ2340" s="343">
        <f>SUMIFS($AV$1388:AV2360,$Q$1388:Q2360,"O")</f>
        <v>349.29929999965668</v>
      </c>
    </row>
    <row r="2341" spans="1:78" ht="15.75" customHeight="1">
      <c r="A2341" s="177" t="s">
        <v>7249</v>
      </c>
      <c r="B2341" s="200">
        <v>45459</v>
      </c>
      <c r="C2341" s="178" t="s">
        <v>5742</v>
      </c>
      <c r="D2341" s="178" t="s">
        <v>146</v>
      </c>
      <c r="E2341" s="227"/>
      <c r="F2341" s="180"/>
      <c r="G2341" s="181" t="s">
        <v>7133</v>
      </c>
      <c r="H2341" s="182"/>
      <c r="I2341" s="182"/>
      <c r="J2341" s="182"/>
      <c r="K2341" s="183"/>
      <c r="L2341" s="182"/>
      <c r="M2341" s="182">
        <v>1</v>
      </c>
      <c r="N2341" s="182"/>
      <c r="O2341" s="183" t="s">
        <v>95</v>
      </c>
      <c r="P2341" s="183" t="s">
        <v>96</v>
      </c>
      <c r="Q2341" s="183" t="s">
        <v>97</v>
      </c>
      <c r="R2341" s="183">
        <v>18</v>
      </c>
      <c r="S2341" s="183">
        <v>0</v>
      </c>
      <c r="T2341" s="183">
        <v>18</v>
      </c>
      <c r="U2341" s="183" t="s">
        <v>22</v>
      </c>
      <c r="V2341" s="183"/>
      <c r="W2341" s="183"/>
      <c r="X2341" s="183"/>
      <c r="Y2341" s="184">
        <f t="shared" si="775"/>
        <v>0.01</v>
      </c>
      <c r="Z2341" s="185">
        <f t="shared" si="776"/>
        <v>1600</v>
      </c>
      <c r="AA2341" s="185" t="s">
        <v>5347</v>
      </c>
      <c r="AB2341" s="185"/>
      <c r="AC2341" s="185"/>
      <c r="AD2341" s="649">
        <v>-0.24</v>
      </c>
      <c r="AE2341" s="182"/>
      <c r="AF2341" s="332"/>
      <c r="AG2341" s="182"/>
      <c r="AH2341" s="182"/>
      <c r="AI2341" s="182"/>
      <c r="AJ2341" s="640"/>
      <c r="AK2341" s="182"/>
      <c r="AL2341" s="496">
        <f t="shared" ref="AL2341:AL2359" si="777">-0.02*Z2341</f>
        <v>-32</v>
      </c>
      <c r="AM2341" s="496">
        <f t="shared" si="764"/>
        <v>-576</v>
      </c>
      <c r="AN2341" s="626"/>
      <c r="AO2341" s="182"/>
      <c r="AP2341" s="182"/>
      <c r="AQ2341" s="332" t="s">
        <v>1259</v>
      </c>
      <c r="AR2341" s="182"/>
      <c r="AS2341" s="189">
        <v>-0.24</v>
      </c>
      <c r="AT2341" s="189">
        <f t="shared" si="769"/>
        <v>0</v>
      </c>
      <c r="AU2341" s="187">
        <f t="shared" si="770"/>
        <v>0</v>
      </c>
      <c r="AV2341" s="190">
        <f t="shared" ref="AV2341:AV2377" si="778">IF(ISBLANK(AS2341),,(AT2341*Z2341))</f>
        <v>0</v>
      </c>
      <c r="AW2341" s="191" t="s">
        <v>115</v>
      </c>
      <c r="AX2341" s="551" t="s">
        <v>7387</v>
      </c>
      <c r="AY2341" s="551"/>
      <c r="AZ2341" s="551"/>
      <c r="BA2341" s="551"/>
      <c r="BB2341" s="551"/>
      <c r="BC2341" s="551"/>
      <c r="BD2341" s="549"/>
      <c r="BE2341" s="550"/>
      <c r="BF2341" s="549"/>
      <c r="BG2341" s="391">
        <f>SUM($AV$1389:AV2341)</f>
        <v>6692.4936878819744</v>
      </c>
      <c r="BH2341" s="392">
        <f>SUM($AU$1389:AU2341)</f>
        <v>41828.503836163058</v>
      </c>
      <c r="BI2341" s="318">
        <f>SUMIFS($AU$1388:AU2342,$Q$1388:Q2342,"F")</f>
        <v>29524.358121878129</v>
      </c>
      <c r="BJ2341" s="318">
        <f>SUMIFS($AU$1388:AU2342,$Q$1388:Q2342,"S")</f>
        <v>17570.285714285717</v>
      </c>
      <c r="BK2341" s="343">
        <f>SUMIFS($AU$1388:AU2342,$P$1388:P2342,"W")</f>
        <v>15881.423836163443</v>
      </c>
      <c r="BL2341" s="343">
        <f>SUMIFS($AU$1388:AU2342,$P$1388:P2342,"R")</f>
        <v>23640.400000000325</v>
      </c>
      <c r="BM2341" s="343">
        <f>SUMIFS($AU$1388:AU2342,$AQ$1388:AQ2342,"M")</f>
        <v>9243.1799999984214</v>
      </c>
      <c r="BN2341" s="343">
        <f>SUMIFS($AU$1388:AU2342,$AQ$1388:AQ2342,"H")</f>
        <v>11819.200000000877</v>
      </c>
      <c r="BO2341" s="343">
        <f>SUMIFS($AU$1388:AU2342,$AQ$1388:AQ2342,"D")</f>
        <v>11961.177472527181</v>
      </c>
      <c r="BP2341" s="343">
        <f>SUMIFS($AS$1388:AS2706,$AO$1388:AO2706,"W")</f>
        <v>0</v>
      </c>
      <c r="BQ2341" s="343">
        <f>SUMIFS($AU$1388:AU2342,$Q$1388:Q2342,"O")</f>
        <v>-9846.140000000747</v>
      </c>
      <c r="BR2341" s="343">
        <f>SUMIFS($AU$1388:AU2342,$AA$1388:AA2342,"*")</f>
        <v>38833.602077921256</v>
      </c>
      <c r="BS2341" s="343">
        <f>SUMIFS($AU$1388:AU2342,$AB$1388:AB2342,"*")</f>
        <v>7005.8599999997941</v>
      </c>
      <c r="BT2341" s="343">
        <f>SUMIFS($AU$1388:AU2342,$AC$1388:AC2342,"*")</f>
        <v>31860.358121878122</v>
      </c>
      <c r="BU2341" s="343">
        <f>SUMIFS($AU$1388:AU2342,$AA$1388:AA2342,"*",$AB$1388:AB2342,"*")</f>
        <v>7301.9999999995771</v>
      </c>
      <c r="BV2341" s="343">
        <f>SUMIFS($AU$1388:AU2342,$AA$1388:AA2342,"*",$AC$1388:AC2342,"*")</f>
        <v>29841.316363636532</v>
      </c>
      <c r="BW2341" s="343">
        <f>SUMIFS($AU$1388:AU2342,$AB$1388:AB2342,"*",$AC$1388:AC2342,"*")</f>
        <v>3739.199999999998</v>
      </c>
      <c r="BX2341" s="343">
        <f>SUMIFS($AV$1388:AV2342,$Q$1388:Q2342,"F")</f>
        <v>403.43153082504858</v>
      </c>
      <c r="BY2341" s="343">
        <f>SUMIFS($AV$1388:AV2342,$Q$1388:Q2342,"S")</f>
        <v>727.76285705724263</v>
      </c>
      <c r="BZ2341" s="343">
        <f>SUMIFS($AV$1388:AV2342,$Q$1388:Q2342,"O")</f>
        <v>329.29929999967487</v>
      </c>
    </row>
    <row r="2342" spans="1:78" ht="15.75" customHeight="1">
      <c r="A2342" s="177" t="s">
        <v>7249</v>
      </c>
      <c r="B2342" s="200">
        <v>45459</v>
      </c>
      <c r="C2342" s="178" t="s">
        <v>7388</v>
      </c>
      <c r="D2342" s="178" t="s">
        <v>146</v>
      </c>
      <c r="E2342" s="227"/>
      <c r="F2342" s="180"/>
      <c r="G2342" s="553" t="s">
        <v>3858</v>
      </c>
      <c r="H2342" s="182"/>
      <c r="I2342" s="182"/>
      <c r="J2342" s="182"/>
      <c r="K2342" s="183"/>
      <c r="L2342" s="182"/>
      <c r="M2342" s="182">
        <v>1</v>
      </c>
      <c r="N2342" s="182"/>
      <c r="O2342" s="183" t="s">
        <v>95</v>
      </c>
      <c r="P2342" s="183" t="s">
        <v>96</v>
      </c>
      <c r="Q2342" s="183" t="s">
        <v>256</v>
      </c>
      <c r="R2342" s="183">
        <v>9</v>
      </c>
      <c r="S2342" s="183">
        <v>0</v>
      </c>
      <c r="T2342" s="183">
        <v>9</v>
      </c>
      <c r="U2342" s="183" t="s">
        <v>97</v>
      </c>
      <c r="V2342" s="183" t="s">
        <v>7357</v>
      </c>
      <c r="W2342" s="183" t="s">
        <v>115</v>
      </c>
      <c r="X2342" s="183"/>
      <c r="Y2342" s="184">
        <f t="shared" si="775"/>
        <v>0.01</v>
      </c>
      <c r="Z2342" s="185">
        <f t="shared" si="776"/>
        <v>1600</v>
      </c>
      <c r="AA2342" s="185"/>
      <c r="AB2342" s="185" t="s">
        <v>7389</v>
      </c>
      <c r="AC2342" s="185" t="s">
        <v>7390</v>
      </c>
      <c r="AD2342" s="649">
        <v>-0.01</v>
      </c>
      <c r="AE2342" s="182"/>
      <c r="AF2342" s="332"/>
      <c r="AG2342" s="182"/>
      <c r="AH2342" s="182" t="s">
        <v>7391</v>
      </c>
      <c r="AI2342" s="182"/>
      <c r="AJ2342" s="640"/>
      <c r="AK2342" s="182"/>
      <c r="AL2342" s="496">
        <f t="shared" si="777"/>
        <v>-32</v>
      </c>
      <c r="AM2342" s="496">
        <f t="shared" si="764"/>
        <v>-288</v>
      </c>
      <c r="AN2342" s="626"/>
      <c r="AO2342" s="182"/>
      <c r="AP2342" s="182"/>
      <c r="AQ2342" s="332" t="s">
        <v>115</v>
      </c>
      <c r="AR2342" s="298">
        <v>45492</v>
      </c>
      <c r="AS2342" s="189">
        <v>-0.02</v>
      </c>
      <c r="AT2342" s="189">
        <f t="shared" si="769"/>
        <v>0.01</v>
      </c>
      <c r="AU2342" s="187">
        <f t="shared" si="770"/>
        <v>144</v>
      </c>
      <c r="AV2342" s="190">
        <f t="shared" si="778"/>
        <v>16</v>
      </c>
      <c r="AW2342" s="191" t="s">
        <v>96</v>
      </c>
      <c r="AX2342" s="551"/>
      <c r="AY2342" s="551"/>
      <c r="AZ2342" s="551"/>
      <c r="BA2342" s="551"/>
      <c r="BB2342" s="551"/>
      <c r="BC2342" s="551"/>
      <c r="BD2342" s="549"/>
      <c r="BE2342" s="550"/>
      <c r="BF2342" s="549"/>
      <c r="BG2342" s="391">
        <f>SUM($AV$1389:AV2342)</f>
        <v>6708.4936878819744</v>
      </c>
      <c r="BH2342" s="392">
        <f>SUM($AU$1389:AU2342)</f>
        <v>41972.503836163058</v>
      </c>
      <c r="BI2342" s="318">
        <f>SUMIFS($AU$1388:AU2349,$Q$1388:Q2349,"F")</f>
        <v>29524.358121878129</v>
      </c>
      <c r="BJ2342" s="318">
        <f>SUMIFS($AU$1388:AU2349,$Q$1388:Q2349,"S")</f>
        <v>17570.285714285717</v>
      </c>
      <c r="BK2342" s="343">
        <f>SUMIFS($AU$1388:AU2349,$P$1388:P2349,"W")</f>
        <v>15881.423836163443</v>
      </c>
      <c r="BL2342" s="343">
        <f>SUMIFS($AU$1388:AU2349,$P$1388:P2349,"R")</f>
        <v>23640.400000000325</v>
      </c>
      <c r="BM2342" s="343">
        <f>SUMIFS($AU$1388:AU2349,$AQ$1388:AQ2349,"M")</f>
        <v>9283.179999998385</v>
      </c>
      <c r="BN2342" s="343">
        <f>SUMIFS($AU$1388:AU2349,$AQ$1388:AQ2349,"H")</f>
        <v>11819.200000000877</v>
      </c>
      <c r="BO2342" s="343">
        <f>SUMIFS($AU$1388:AU2349,$AQ$1388:AQ2349,"D")</f>
        <v>11961.177472527181</v>
      </c>
      <c r="BP2342" s="343">
        <f>SUMIFS($AS$1388:AS2707,$AO$1388:AO2707,"W")</f>
        <v>0</v>
      </c>
      <c r="BQ2342" s="343">
        <f>SUMIFS($AU$1388:AU2349,$Q$1388:Q2349,"O")</f>
        <v>-9806.1400000007834</v>
      </c>
      <c r="BR2342" s="343">
        <f>SUMIFS($AU$1388:AU2349,$AA$1388:AA2349,"*")</f>
        <v>38873.602077921219</v>
      </c>
      <c r="BS2342" s="343">
        <f>SUMIFS($AU$1388:AU2349,$AB$1388:AB2349,"*")</f>
        <v>7005.8599999997941</v>
      </c>
      <c r="BT2342" s="343">
        <f>SUMIFS($AU$1388:AU2349,$AC$1388:AC2349,"*")</f>
        <v>31860.358121878122</v>
      </c>
      <c r="BU2342" s="343">
        <f>SUMIFS($AU$1388:AU2349,$AA$1388:AA2349,"*",$AB$1388:AB2349,"*")</f>
        <v>7301.9999999995771</v>
      </c>
      <c r="BV2342" s="343">
        <f>SUMIFS($AU$1388:AU2349,$AA$1388:AA2349,"*",$AC$1388:AC2349,"*")</f>
        <v>29841.316363636532</v>
      </c>
      <c r="BW2342" s="343">
        <f>SUMIFS($AU$1388:AU2349,$AB$1388:AB2349,"*",$AC$1388:AC2349,"*")</f>
        <v>3739.199999999998</v>
      </c>
      <c r="BX2342" s="343">
        <f>SUMIFS($AV$1388:AV2349,$Q$1388:Q2349,"F")</f>
        <v>403.43153082504858</v>
      </c>
      <c r="BY2342" s="343">
        <f>SUMIFS($AV$1388:AV2349,$Q$1388:Q2349,"S")</f>
        <v>727.76285705724263</v>
      </c>
      <c r="BZ2342" s="343">
        <f>SUMIFS($AV$1388:AV2349,$Q$1388:Q2349,"O")</f>
        <v>349.29929999965668</v>
      </c>
    </row>
    <row r="2343" spans="1:78" ht="15.75" customHeight="1">
      <c r="A2343" s="177" t="s">
        <v>7249</v>
      </c>
      <c r="B2343" s="200"/>
      <c r="C2343" s="178"/>
      <c r="D2343" s="178"/>
      <c r="E2343" s="227"/>
      <c r="F2343" s="180"/>
      <c r="G2343" s="181"/>
      <c r="H2343" s="182"/>
      <c r="I2343" s="182"/>
      <c r="J2343" s="182"/>
      <c r="K2343" s="183"/>
      <c r="L2343" s="182"/>
      <c r="M2343" s="182"/>
      <c r="N2343" s="182"/>
      <c r="O2343" s="183"/>
      <c r="P2343" s="183"/>
      <c r="Q2343" s="183"/>
      <c r="R2343" s="183"/>
      <c r="S2343" s="183"/>
      <c r="T2343" s="183"/>
      <c r="U2343" s="183"/>
      <c r="V2343" s="183"/>
      <c r="W2343" s="183"/>
      <c r="X2343" s="183"/>
      <c r="Y2343" s="184"/>
      <c r="Z2343" s="185"/>
      <c r="AA2343" s="185"/>
      <c r="AB2343" s="185"/>
      <c r="AC2343" s="185"/>
      <c r="AD2343" s="649"/>
      <c r="AE2343" s="182"/>
      <c r="AF2343" s="332"/>
      <c r="AG2343" s="182"/>
      <c r="AH2343" s="182"/>
      <c r="AI2343" s="182"/>
      <c r="AJ2343" s="640"/>
      <c r="AK2343" s="182"/>
      <c r="AL2343" s="496">
        <f t="shared" ref="AL2343:AL2348" si="779">-0.02*Z2343</f>
        <v>0</v>
      </c>
      <c r="AM2343" s="496">
        <f t="shared" ref="AM2343:AM2348" si="780">AL2343*(R2343-S2343)</f>
        <v>0</v>
      </c>
      <c r="AN2343" s="626"/>
      <c r="AO2343" s="182"/>
      <c r="AP2343" s="182"/>
      <c r="AQ2343" s="332" t="str">
        <f>UPPER(RIGHT(Journal_Live[[#This Row],[DURATION ]]))</f>
        <v/>
      </c>
      <c r="AR2343" s="182"/>
      <c r="AS2343" s="189"/>
      <c r="AT2343" s="189"/>
      <c r="AU2343" s="187"/>
      <c r="AV2343" s="190"/>
      <c r="AW2343" s="191"/>
      <c r="AX2343" s="551" t="s">
        <v>7392</v>
      </c>
      <c r="AY2343" s="551" t="s">
        <v>7393</v>
      </c>
      <c r="AZ2343" s="551"/>
      <c r="BA2343" s="551"/>
      <c r="BB2343" s="551"/>
      <c r="BC2343" s="551"/>
      <c r="BD2343" s="549"/>
      <c r="BE2343" s="550"/>
      <c r="BF2343" s="549"/>
      <c r="BG2343" s="391">
        <f>SUM($AV$1389:AV2343)</f>
        <v>6708.4936878819744</v>
      </c>
      <c r="BH2343" s="392">
        <f>SUM($AU$1389:AU2343)</f>
        <v>41972.503836163058</v>
      </c>
      <c r="BI2343" s="318">
        <f>SUMIFS($AU$1388:AU2344,$Q$1388:Q2344,"F")</f>
        <v>29524.358121878129</v>
      </c>
      <c r="BJ2343" s="318">
        <f>SUMIFS($AU$1388:AU2344,$Q$1388:Q2344,"S")</f>
        <v>17570.285714285717</v>
      </c>
      <c r="BK2343" s="343">
        <f>SUMIFS($AU$1388:AU2344,$P$1388:P2344,"W")</f>
        <v>15881.423836163443</v>
      </c>
      <c r="BL2343" s="343">
        <f>SUMIFS($AU$1388:AU2344,$P$1388:P2344,"R")</f>
        <v>23640.400000000325</v>
      </c>
      <c r="BM2343" s="343">
        <f>SUMIFS($AU$1388:AU2344,$AQ$1388:AQ2344,"M")</f>
        <v>9243.1799999984214</v>
      </c>
      <c r="BN2343" s="343">
        <f>SUMIFS($AU$1388:AU2344,$AQ$1388:AQ2344,"H")</f>
        <v>11819.200000000877</v>
      </c>
      <c r="BO2343" s="343">
        <f>SUMIFS($AU$1388:AU2344,$AQ$1388:AQ2344,"D")</f>
        <v>11961.177472527181</v>
      </c>
      <c r="BP2343" s="343">
        <f>SUMIFS($AS$1388:AS2702,$AO$1388:AO2702,"W")</f>
        <v>0</v>
      </c>
      <c r="BQ2343" s="343">
        <f>SUMIFS($AU$1388:AU2344,$Q$1388:Q2344,"O")</f>
        <v>-9846.140000000747</v>
      </c>
      <c r="BR2343" s="343">
        <f>SUMIFS($AU$1388:AU2344,$AA$1388:AA2344,"*")</f>
        <v>38833.602077921256</v>
      </c>
      <c r="BS2343" s="343">
        <f>SUMIFS($AU$1388:AU2344,$AB$1388:AB2344,"*")</f>
        <v>7005.8599999997941</v>
      </c>
      <c r="BT2343" s="343">
        <f>SUMIFS($AU$1388:AU2344,$AC$1388:AC2344,"*")</f>
        <v>31860.358121878122</v>
      </c>
      <c r="BU2343" s="343">
        <f>SUMIFS($AU$1388:AU2344,$AA$1388:AA2344,"*",$AB$1388:AB2344,"*")</f>
        <v>7301.9999999995771</v>
      </c>
      <c r="BV2343" s="343">
        <f>SUMIFS($AU$1388:AU2344,$AA$1388:AA2344,"*",$AC$1388:AC2344,"*")</f>
        <v>29841.316363636532</v>
      </c>
      <c r="BW2343" s="343">
        <f>SUMIFS($AU$1388:AU2344,$AB$1388:AB2344,"*",$AC$1388:AC2344,"*")</f>
        <v>3739.199999999998</v>
      </c>
      <c r="BX2343" s="343">
        <f>SUMIFS($AV$1388:AV2344,$Q$1388:Q2344,"F")</f>
        <v>403.43153082504858</v>
      </c>
      <c r="BY2343" s="343">
        <f>SUMIFS($AV$1388:AV2344,$Q$1388:Q2344,"S")</f>
        <v>727.76285705724263</v>
      </c>
      <c r="BZ2343" s="343">
        <f>SUMIFS($AV$1388:AV2344,$Q$1388:Q2344,"O")</f>
        <v>329.29929999967487</v>
      </c>
    </row>
    <row r="2344" spans="1:78" ht="15.75" customHeight="1">
      <c r="A2344" s="177" t="s">
        <v>7249</v>
      </c>
      <c r="B2344" s="200">
        <v>45491</v>
      </c>
      <c r="C2344" s="178" t="s">
        <v>2081</v>
      </c>
      <c r="D2344" s="178" t="s">
        <v>93</v>
      </c>
      <c r="E2344" s="227" t="s">
        <v>7394</v>
      </c>
      <c r="F2344" s="180"/>
      <c r="G2344" s="181"/>
      <c r="H2344" s="182"/>
      <c r="I2344" s="182">
        <v>1</v>
      </c>
      <c r="J2344" s="182"/>
      <c r="K2344" s="183"/>
      <c r="L2344" s="182"/>
      <c r="M2344" s="182"/>
      <c r="N2344" s="182"/>
      <c r="O2344" s="183"/>
      <c r="P2344" s="183"/>
      <c r="Q2344" s="183"/>
      <c r="R2344" s="183"/>
      <c r="S2344" s="183"/>
      <c r="T2344" s="183"/>
      <c r="U2344" s="183"/>
      <c r="V2344" s="183"/>
      <c r="W2344" s="183"/>
      <c r="X2344" s="183"/>
      <c r="Y2344" s="184"/>
      <c r="Z2344" s="185"/>
      <c r="AA2344" s="185"/>
      <c r="AB2344" s="185"/>
      <c r="AC2344" s="185"/>
      <c r="AD2344" s="649"/>
      <c r="AE2344" s="182"/>
      <c r="AF2344" s="332"/>
      <c r="AG2344" s="182"/>
      <c r="AH2344" s="182"/>
      <c r="AI2344" s="182"/>
      <c r="AJ2344" s="640"/>
      <c r="AK2344" s="182"/>
      <c r="AL2344" s="496">
        <f t="shared" si="779"/>
        <v>0</v>
      </c>
      <c r="AM2344" s="496">
        <f t="shared" si="780"/>
        <v>0</v>
      </c>
      <c r="AN2344" s="626"/>
      <c r="AO2344" s="182"/>
      <c r="AP2344" s="182"/>
      <c r="AQ2344" s="332" t="str">
        <f>UPPER(RIGHT(Journal_Live[[#This Row],[DURATION ]]))</f>
        <v/>
      </c>
      <c r="AR2344" s="182"/>
      <c r="AS2344" s="189"/>
      <c r="AT2344" s="189"/>
      <c r="AU2344" s="187"/>
      <c r="AV2344" s="190"/>
      <c r="AW2344" s="191"/>
      <c r="AX2344" s="551"/>
      <c r="AY2344" s="551"/>
      <c r="AZ2344" s="551"/>
      <c r="BA2344" s="551"/>
      <c r="BB2344" s="551"/>
      <c r="BC2344" s="551"/>
      <c r="BD2344" s="549"/>
      <c r="BE2344" s="550"/>
      <c r="BF2344" s="549"/>
      <c r="BG2344" s="391">
        <f>SUM($AV$1389:AV2344)</f>
        <v>6708.4936878819744</v>
      </c>
      <c r="BH2344" s="392">
        <f>SUM($AU$1389:AU2344)</f>
        <v>41972.503836163058</v>
      </c>
      <c r="BI2344" s="318">
        <f>SUMIFS($AU$1388:AU2345,$Q$1388:Q2345,"F")</f>
        <v>29524.358121878129</v>
      </c>
      <c r="BJ2344" s="318">
        <f>SUMIFS($AU$1388:AU2345,$Q$1388:Q2345,"S")</f>
        <v>17570.285714285717</v>
      </c>
      <c r="BK2344" s="343">
        <f>SUMIFS($AU$1388:AU2345,$P$1388:P2345,"W")</f>
        <v>15881.423836163443</v>
      </c>
      <c r="BL2344" s="343">
        <f>SUMIFS($AU$1388:AU2345,$P$1388:P2345,"R")</f>
        <v>23640.400000000325</v>
      </c>
      <c r="BM2344" s="343">
        <f>SUMIFS($AU$1388:AU2345,$AQ$1388:AQ2345,"M")</f>
        <v>9243.1799999984214</v>
      </c>
      <c r="BN2344" s="343">
        <f>SUMIFS($AU$1388:AU2345,$AQ$1388:AQ2345,"H")</f>
        <v>11819.200000000877</v>
      </c>
      <c r="BO2344" s="343">
        <f>SUMIFS($AU$1388:AU2345,$AQ$1388:AQ2345,"D")</f>
        <v>11961.177472527181</v>
      </c>
      <c r="BP2344" s="343">
        <f>SUMIFS($AS$1388:AS2703,$AO$1388:AO2703,"W")</f>
        <v>0</v>
      </c>
      <c r="BQ2344" s="343">
        <f>SUMIFS($AU$1388:AU2345,$Q$1388:Q2345,"O")</f>
        <v>-9846.140000000747</v>
      </c>
      <c r="BR2344" s="343">
        <f>SUMIFS($AU$1388:AU2345,$AA$1388:AA2345,"*")</f>
        <v>38833.602077921256</v>
      </c>
      <c r="BS2344" s="343">
        <f>SUMIFS($AU$1388:AU2345,$AB$1388:AB2345,"*")</f>
        <v>7005.8599999997941</v>
      </c>
      <c r="BT2344" s="343">
        <f>SUMIFS($AU$1388:AU2345,$AC$1388:AC2345,"*")</f>
        <v>31860.358121878122</v>
      </c>
      <c r="BU2344" s="343">
        <f>SUMIFS($AU$1388:AU2345,$AA$1388:AA2345,"*",$AB$1388:AB2345,"*")</f>
        <v>7301.9999999995771</v>
      </c>
      <c r="BV2344" s="343">
        <f>SUMIFS($AU$1388:AU2345,$AA$1388:AA2345,"*",$AC$1388:AC2345,"*")</f>
        <v>29841.316363636532</v>
      </c>
      <c r="BW2344" s="343">
        <f>SUMIFS($AU$1388:AU2345,$AB$1388:AB2345,"*",$AC$1388:AC2345,"*")</f>
        <v>3739.199999999998</v>
      </c>
      <c r="BX2344" s="343">
        <f>SUMIFS($AV$1388:AV2345,$Q$1388:Q2345,"F")</f>
        <v>403.43153082504858</v>
      </c>
      <c r="BY2344" s="343">
        <f>SUMIFS($AV$1388:AV2345,$Q$1388:Q2345,"S")</f>
        <v>727.76285705724263</v>
      </c>
      <c r="BZ2344" s="343">
        <f>SUMIFS($AV$1388:AV2345,$Q$1388:Q2345,"O")</f>
        <v>329.29929999967487</v>
      </c>
    </row>
    <row r="2345" spans="1:78" ht="15.75" customHeight="1">
      <c r="A2345" s="177" t="s">
        <v>7249</v>
      </c>
      <c r="B2345" s="200"/>
      <c r="C2345" s="178"/>
      <c r="D2345" s="178"/>
      <c r="E2345" s="227" t="s">
        <v>7395</v>
      </c>
      <c r="F2345" s="180"/>
      <c r="G2345" s="181"/>
      <c r="H2345" s="182">
        <v>1</v>
      </c>
      <c r="I2345" s="182"/>
      <c r="J2345" s="182"/>
      <c r="K2345" s="183" t="s">
        <v>372</v>
      </c>
      <c r="L2345" s="182"/>
      <c r="M2345" s="182"/>
      <c r="N2345" s="182"/>
      <c r="O2345" s="183"/>
      <c r="P2345" s="183"/>
      <c r="Q2345" s="183"/>
      <c r="R2345" s="183"/>
      <c r="S2345" s="183"/>
      <c r="T2345" s="183"/>
      <c r="U2345" s="183"/>
      <c r="V2345" s="183"/>
      <c r="W2345" s="183"/>
      <c r="X2345" s="183"/>
      <c r="Y2345" s="184"/>
      <c r="Z2345" s="185"/>
      <c r="AA2345" s="185"/>
      <c r="AB2345" s="185"/>
      <c r="AC2345" s="185"/>
      <c r="AD2345" s="649"/>
      <c r="AE2345" s="182"/>
      <c r="AF2345" s="332"/>
      <c r="AG2345" s="182"/>
      <c r="AH2345" s="182"/>
      <c r="AI2345" s="182"/>
      <c r="AJ2345" s="640"/>
      <c r="AK2345" s="182"/>
      <c r="AL2345" s="496">
        <f t="shared" si="779"/>
        <v>0</v>
      </c>
      <c r="AM2345" s="496">
        <f t="shared" si="780"/>
        <v>0</v>
      </c>
      <c r="AN2345" s="626"/>
      <c r="AO2345" s="182"/>
      <c r="AP2345" s="182"/>
      <c r="AQ2345" s="332" t="str">
        <f>UPPER(RIGHT(Journal_Live[[#This Row],[DURATION ]]))</f>
        <v/>
      </c>
      <c r="AR2345" s="182"/>
      <c r="AS2345" s="189"/>
      <c r="AT2345" s="189"/>
      <c r="AU2345" s="187"/>
      <c r="AV2345" s="190"/>
      <c r="AW2345" s="191"/>
      <c r="AX2345" s="551"/>
      <c r="AY2345" s="551"/>
      <c r="AZ2345" s="551"/>
      <c r="BA2345" s="551"/>
      <c r="BB2345" s="551"/>
      <c r="BC2345" s="551"/>
      <c r="BD2345" s="549"/>
      <c r="BE2345" s="550"/>
      <c r="BF2345" s="549"/>
      <c r="BG2345" s="391">
        <f>SUM($AV$1389:AV2345)</f>
        <v>6708.4936878819744</v>
      </c>
      <c r="BH2345" s="392">
        <f>SUM($AU$1389:AU2345)</f>
        <v>41972.503836163058</v>
      </c>
      <c r="BI2345" s="318">
        <f>SUMIFS($AU$1388:AU2346,$Q$1388:Q2346,"F")</f>
        <v>29524.358121878129</v>
      </c>
      <c r="BJ2345" s="318">
        <f>SUMIFS($AU$1388:AU2346,$Q$1388:Q2346,"S")</f>
        <v>17570.285714285717</v>
      </c>
      <c r="BK2345" s="343">
        <f>SUMIFS($AU$1388:AU2346,$P$1388:P2346,"W")</f>
        <v>15881.423836163443</v>
      </c>
      <c r="BL2345" s="343">
        <f>SUMIFS($AU$1388:AU2346,$P$1388:P2346,"R")</f>
        <v>23640.400000000325</v>
      </c>
      <c r="BM2345" s="343">
        <f>SUMIFS($AU$1388:AU2346,$AQ$1388:AQ2346,"M")</f>
        <v>9283.179999998385</v>
      </c>
      <c r="BN2345" s="343">
        <f>SUMIFS($AU$1388:AU2346,$AQ$1388:AQ2346,"H")</f>
        <v>11819.200000000877</v>
      </c>
      <c r="BO2345" s="343">
        <f>SUMIFS($AU$1388:AU2346,$AQ$1388:AQ2346,"D")</f>
        <v>11961.177472527181</v>
      </c>
      <c r="BP2345" s="343">
        <f>SUMIFS($AS$1388:AS2704,$AO$1388:AO2704,"W")</f>
        <v>0</v>
      </c>
      <c r="BQ2345" s="343">
        <f>SUMIFS($AU$1388:AU2346,$Q$1388:Q2346,"O")</f>
        <v>-9806.1400000007834</v>
      </c>
      <c r="BR2345" s="343">
        <f>SUMIFS($AU$1388:AU2346,$AA$1388:AA2346,"*")</f>
        <v>38873.602077921219</v>
      </c>
      <c r="BS2345" s="343">
        <f>SUMIFS($AU$1388:AU2346,$AB$1388:AB2346,"*")</f>
        <v>7005.8599999997941</v>
      </c>
      <c r="BT2345" s="343">
        <f>SUMIFS($AU$1388:AU2346,$AC$1388:AC2346,"*")</f>
        <v>31860.358121878122</v>
      </c>
      <c r="BU2345" s="343">
        <f>SUMIFS($AU$1388:AU2346,$AA$1388:AA2346,"*",$AB$1388:AB2346,"*")</f>
        <v>7301.9999999995771</v>
      </c>
      <c r="BV2345" s="343">
        <f>SUMIFS($AU$1388:AU2346,$AA$1388:AA2346,"*",$AC$1388:AC2346,"*")</f>
        <v>29841.316363636532</v>
      </c>
      <c r="BW2345" s="343">
        <f>SUMIFS($AU$1388:AU2346,$AB$1388:AB2346,"*",$AC$1388:AC2346,"*")</f>
        <v>3739.199999999998</v>
      </c>
      <c r="BX2345" s="343">
        <f>SUMIFS($AV$1388:AV2346,$Q$1388:Q2346,"F")</f>
        <v>403.43153082504858</v>
      </c>
      <c r="BY2345" s="343">
        <f>SUMIFS($AV$1388:AV2346,$Q$1388:Q2346,"S")</f>
        <v>727.76285705724263</v>
      </c>
      <c r="BZ2345" s="343">
        <f>SUMIFS($AV$1388:AV2346,$Q$1388:Q2346,"O")</f>
        <v>349.29929999965668</v>
      </c>
    </row>
    <row r="2346" spans="1:78" ht="15.75" customHeight="1">
      <c r="A2346" s="177" t="s">
        <v>7249</v>
      </c>
      <c r="B2346" s="200">
        <v>45491</v>
      </c>
      <c r="C2346" s="178" t="s">
        <v>682</v>
      </c>
      <c r="D2346" s="178" t="s">
        <v>93</v>
      </c>
      <c r="E2346" s="227"/>
      <c r="F2346" s="180"/>
      <c r="G2346" s="553" t="s">
        <v>7396</v>
      </c>
      <c r="H2346" s="182"/>
      <c r="I2346" s="182"/>
      <c r="J2346" s="182"/>
      <c r="K2346" s="183"/>
      <c r="L2346" s="182">
        <v>1</v>
      </c>
      <c r="M2346" s="182"/>
      <c r="N2346" s="182"/>
      <c r="O2346" s="183" t="s">
        <v>2432</v>
      </c>
      <c r="P2346" s="183"/>
      <c r="Q2346" s="183" t="s">
        <v>684</v>
      </c>
      <c r="R2346" s="183">
        <v>2</v>
      </c>
      <c r="S2346" s="183">
        <v>0</v>
      </c>
      <c r="T2346" s="183">
        <v>2</v>
      </c>
      <c r="U2346" s="183" t="s">
        <v>97</v>
      </c>
      <c r="V2346" s="183" t="s">
        <v>7349</v>
      </c>
      <c r="W2346" s="183" t="s">
        <v>115</v>
      </c>
      <c r="X2346" s="183"/>
      <c r="Y2346" s="184">
        <f>IF(ISBLANK(O2346),"",(IF(O2346=UPPER("IB"),0.005,0.01)))</f>
        <v>0.01</v>
      </c>
      <c r="Z2346" s="185">
        <f>IF(ISBLANK(O2346),"",IF(O2346="IB",8.63*200,IF(O2346="IR",16*100,IF(O2346="YT",20*100,IF(O2346="YT-XT",24*200,IF(O2346="TED",80*100,IF(O2346="IR|YT",300*100)))))))</f>
        <v>2000</v>
      </c>
      <c r="AA2346" s="185" t="s">
        <v>5476</v>
      </c>
      <c r="AB2346" s="185"/>
      <c r="AC2346" s="185"/>
      <c r="AD2346" s="649">
        <v>96.05</v>
      </c>
      <c r="AE2346" s="182"/>
      <c r="AF2346" s="332"/>
      <c r="AG2346" s="182"/>
      <c r="AH2346" s="182"/>
      <c r="AI2346" s="182"/>
      <c r="AJ2346" s="640"/>
      <c r="AK2346" s="182"/>
      <c r="AL2346" s="496">
        <f t="shared" si="779"/>
        <v>-40</v>
      </c>
      <c r="AM2346" s="496">
        <f t="shared" si="780"/>
        <v>-80</v>
      </c>
      <c r="AN2346" s="626"/>
      <c r="AO2346" s="182"/>
      <c r="AP2346" s="182"/>
      <c r="AQ2346" s="332" t="s">
        <v>1259</v>
      </c>
      <c r="AR2346" s="182"/>
      <c r="AS2346" s="189">
        <f>96.04</f>
        <v>96.04</v>
      </c>
      <c r="AT2346" s="189">
        <f t="shared" ref="AT2346:AT2348" si="781">IF(ISBLANK(AS2346),,IF(U2346="S",AD2346-AS2346,AS2346-AD2346))</f>
        <v>9.9999999999909051E-3</v>
      </c>
      <c r="AU2346" s="187">
        <f t="shared" ref="AU2346:AU2348" si="782">AV2346*R2346</f>
        <v>39.99999999996362</v>
      </c>
      <c r="AV2346" s="190">
        <f t="shared" ref="AV2346:AV2348" si="783">IF(ISBLANK(AS2346),,(AT2346*Z2346))</f>
        <v>19.99999999998181</v>
      </c>
      <c r="AW2346" s="191" t="s">
        <v>96</v>
      </c>
      <c r="AX2346" s="551"/>
      <c r="AY2346" s="551"/>
      <c r="AZ2346" s="551"/>
      <c r="BA2346" s="551"/>
      <c r="BB2346" s="551"/>
      <c r="BC2346" s="551"/>
      <c r="BD2346" s="549"/>
      <c r="BE2346" s="550"/>
      <c r="BF2346" s="549"/>
      <c r="BG2346" s="391">
        <f>SUM($AV$1389:AV2346)</f>
        <v>6728.4936878819562</v>
      </c>
      <c r="BH2346" s="392">
        <f>SUM($AU$1389:AU2346)</f>
        <v>42012.503836163021</v>
      </c>
      <c r="BI2346" s="318">
        <f>SUMIFS($AU$1388:AU2347,$Q$1388:Q2347,"F")</f>
        <v>29524.358121878129</v>
      </c>
      <c r="BJ2346" s="318">
        <f>SUMIFS($AU$1388:AU2347,$Q$1388:Q2347,"S")</f>
        <v>17570.285714285717</v>
      </c>
      <c r="BK2346" s="343">
        <f>SUMIFS($AU$1388:AU2347,$P$1388:P2347,"W")</f>
        <v>15881.423836163443</v>
      </c>
      <c r="BL2346" s="343">
        <f>SUMIFS($AU$1388:AU2347,$P$1388:P2347,"R")</f>
        <v>23640.400000000325</v>
      </c>
      <c r="BM2346" s="343">
        <f>SUMIFS($AU$1388:AU2347,$AQ$1388:AQ2347,"M")</f>
        <v>9283.179999998385</v>
      </c>
      <c r="BN2346" s="343">
        <f>SUMIFS($AU$1388:AU2347,$AQ$1388:AQ2347,"H")</f>
        <v>11819.200000000877</v>
      </c>
      <c r="BO2346" s="343">
        <f>SUMIFS($AU$1388:AU2347,$AQ$1388:AQ2347,"D")</f>
        <v>11961.177472527181</v>
      </c>
      <c r="BP2346" s="343">
        <f>SUMIFS($AS$1388:AS2705,$AO$1388:AO2705,"W")</f>
        <v>0</v>
      </c>
      <c r="BQ2346" s="343">
        <f>SUMIFS($AU$1388:AU2347,$Q$1388:Q2347,"O")</f>
        <v>-9806.1400000007834</v>
      </c>
      <c r="BR2346" s="343">
        <f>SUMIFS($AU$1388:AU2347,$AA$1388:AA2347,"*")</f>
        <v>38873.602077921219</v>
      </c>
      <c r="BS2346" s="343">
        <f>SUMIFS($AU$1388:AU2347,$AB$1388:AB2347,"*")</f>
        <v>7005.8599999997941</v>
      </c>
      <c r="BT2346" s="343">
        <f>SUMIFS($AU$1388:AU2347,$AC$1388:AC2347,"*")</f>
        <v>31860.358121878122</v>
      </c>
      <c r="BU2346" s="343">
        <f>SUMIFS($AU$1388:AU2347,$AA$1388:AA2347,"*",$AB$1388:AB2347,"*")</f>
        <v>7301.9999999995771</v>
      </c>
      <c r="BV2346" s="343">
        <f>SUMIFS($AU$1388:AU2347,$AA$1388:AA2347,"*",$AC$1388:AC2347,"*")</f>
        <v>29841.316363636532</v>
      </c>
      <c r="BW2346" s="343">
        <f>SUMIFS($AU$1388:AU2347,$AB$1388:AB2347,"*",$AC$1388:AC2347,"*")</f>
        <v>3739.199999999998</v>
      </c>
      <c r="BX2346" s="343">
        <f>SUMIFS($AV$1388:AV2347,$Q$1388:Q2347,"F")</f>
        <v>403.43153082504858</v>
      </c>
      <c r="BY2346" s="343">
        <f>SUMIFS($AV$1388:AV2347,$Q$1388:Q2347,"S")</f>
        <v>727.76285705724263</v>
      </c>
      <c r="BZ2346" s="343">
        <f>SUMIFS($AV$1388:AV2347,$Q$1388:Q2347,"O")</f>
        <v>349.29929999965668</v>
      </c>
    </row>
    <row r="2347" spans="1:78" ht="15.75" customHeight="1">
      <c r="A2347" s="177" t="s">
        <v>7249</v>
      </c>
      <c r="B2347" s="200">
        <v>45491</v>
      </c>
      <c r="C2347" s="178" t="s">
        <v>764</v>
      </c>
      <c r="D2347" s="178" t="s">
        <v>93</v>
      </c>
      <c r="E2347" s="227"/>
      <c r="F2347" s="180"/>
      <c r="G2347" s="181" t="s">
        <v>7397</v>
      </c>
      <c r="H2347" s="182"/>
      <c r="I2347" s="182"/>
      <c r="J2347" s="182"/>
      <c r="K2347" s="183"/>
      <c r="L2347" s="182"/>
      <c r="M2347" s="182">
        <v>1</v>
      </c>
      <c r="N2347" s="182"/>
      <c r="O2347" s="183" t="s">
        <v>95</v>
      </c>
      <c r="P2347" s="183" t="s">
        <v>96</v>
      </c>
      <c r="Q2347" s="183" t="s">
        <v>97</v>
      </c>
      <c r="R2347" s="183">
        <v>12</v>
      </c>
      <c r="S2347" s="183">
        <v>0</v>
      </c>
      <c r="T2347" s="183">
        <v>12</v>
      </c>
      <c r="U2347" s="183" t="s">
        <v>22</v>
      </c>
      <c r="V2347" s="183" t="s">
        <v>7349</v>
      </c>
      <c r="W2347" s="183" t="s">
        <v>22</v>
      </c>
      <c r="X2347" s="183"/>
      <c r="Y2347" s="184">
        <f>IF(ISBLANK(O2347),"",(IF(O2347=UPPER("IB"),0.005,0.01)))</f>
        <v>0.01</v>
      </c>
      <c r="Z2347" s="185">
        <f>IF(ISBLANK(O2347),"",IF(O2347="IB",8.63*200,IF(O2347="IR",16*100,IF(O2347="YT",20*100,IF(O2347="YT-XT",24*200,IF(O2347="TED",80*100,IF(O2347="IR|YT",300*100)))))))</f>
        <v>1600</v>
      </c>
      <c r="AA2347" s="185" t="s">
        <v>7398</v>
      </c>
      <c r="AB2347" s="185"/>
      <c r="AC2347" s="185"/>
      <c r="AD2347" s="649">
        <v>-0.5</v>
      </c>
      <c r="AE2347" s="182"/>
      <c r="AF2347" s="332"/>
      <c r="AG2347" s="182"/>
      <c r="AH2347" s="182"/>
      <c r="AI2347" s="182"/>
      <c r="AJ2347" s="640"/>
      <c r="AK2347" s="182"/>
      <c r="AL2347" s="496">
        <f t="shared" si="779"/>
        <v>-32</v>
      </c>
      <c r="AM2347" s="496">
        <f t="shared" si="780"/>
        <v>-384</v>
      </c>
      <c r="AN2347" s="626"/>
      <c r="AO2347" s="182"/>
      <c r="AP2347" s="182" t="s">
        <v>7399</v>
      </c>
      <c r="AQ2347" s="332" t="s">
        <v>1259</v>
      </c>
      <c r="AR2347" s="182"/>
      <c r="AS2347" s="189">
        <v>-0.5</v>
      </c>
      <c r="AT2347" s="189">
        <f t="shared" si="781"/>
        <v>0</v>
      </c>
      <c r="AU2347" s="187">
        <f t="shared" si="782"/>
        <v>0</v>
      </c>
      <c r="AV2347" s="190">
        <f t="shared" si="783"/>
        <v>0</v>
      </c>
      <c r="AW2347" s="191" t="s">
        <v>115</v>
      </c>
      <c r="AX2347" s="551" t="s">
        <v>7400</v>
      </c>
      <c r="AY2347" s="551"/>
      <c r="AZ2347" s="551"/>
      <c r="BA2347" s="551"/>
      <c r="BB2347" s="551"/>
      <c r="BC2347" s="551"/>
      <c r="BD2347" s="549"/>
      <c r="BE2347" s="550"/>
      <c r="BF2347" s="549"/>
      <c r="BG2347" s="391">
        <f>SUM($AV$1389:AV2347)</f>
        <v>6728.4936878819562</v>
      </c>
      <c r="BH2347" s="392">
        <f>SUM($AU$1389:AU2347)</f>
        <v>42012.503836163021</v>
      </c>
      <c r="BI2347" s="318">
        <f>SUMIFS($AU$1388:AU2348,$Q$1388:Q2348,"F")</f>
        <v>29524.358121878129</v>
      </c>
      <c r="BJ2347" s="318">
        <f>SUMIFS($AU$1388:AU2348,$Q$1388:Q2348,"S")</f>
        <v>17570.285714285717</v>
      </c>
      <c r="BK2347" s="343">
        <f>SUMIFS($AU$1388:AU2348,$P$1388:P2348,"W")</f>
        <v>15881.423836163443</v>
      </c>
      <c r="BL2347" s="343">
        <f>SUMIFS($AU$1388:AU2348,$P$1388:P2348,"R")</f>
        <v>23640.400000000325</v>
      </c>
      <c r="BM2347" s="343">
        <f>SUMIFS($AU$1388:AU2348,$AQ$1388:AQ2348,"M")</f>
        <v>9283.179999998385</v>
      </c>
      <c r="BN2347" s="343">
        <f>SUMIFS($AU$1388:AU2348,$AQ$1388:AQ2348,"H")</f>
        <v>11819.200000000877</v>
      </c>
      <c r="BO2347" s="343">
        <f>SUMIFS($AU$1388:AU2348,$AQ$1388:AQ2348,"D")</f>
        <v>11961.177472527181</v>
      </c>
      <c r="BP2347" s="343">
        <f>SUMIFS($AS$1388:AS2706,$AO$1388:AO2706,"W")</f>
        <v>0</v>
      </c>
      <c r="BQ2347" s="343">
        <f>SUMIFS($AU$1388:AU2348,$Q$1388:Q2348,"O")</f>
        <v>-9806.1400000007834</v>
      </c>
      <c r="BR2347" s="343">
        <f>SUMIFS($AU$1388:AU2348,$AA$1388:AA2348,"*")</f>
        <v>38873.602077921219</v>
      </c>
      <c r="BS2347" s="343">
        <f>SUMIFS($AU$1388:AU2348,$AB$1388:AB2348,"*")</f>
        <v>7005.8599999997941</v>
      </c>
      <c r="BT2347" s="343">
        <f>SUMIFS($AU$1388:AU2348,$AC$1388:AC2348,"*")</f>
        <v>31860.358121878122</v>
      </c>
      <c r="BU2347" s="343">
        <f>SUMIFS($AU$1388:AU2348,$AA$1388:AA2348,"*",$AB$1388:AB2348,"*")</f>
        <v>7301.9999999995771</v>
      </c>
      <c r="BV2347" s="343">
        <f>SUMIFS($AU$1388:AU2348,$AA$1388:AA2348,"*",$AC$1388:AC2348,"*")</f>
        <v>29841.316363636532</v>
      </c>
      <c r="BW2347" s="343">
        <f>SUMIFS($AU$1388:AU2348,$AB$1388:AB2348,"*",$AC$1388:AC2348,"*")</f>
        <v>3739.199999999998</v>
      </c>
      <c r="BX2347" s="343">
        <f>SUMIFS($AV$1388:AV2348,$Q$1388:Q2348,"F")</f>
        <v>403.43153082504858</v>
      </c>
      <c r="BY2347" s="343">
        <f>SUMIFS($AV$1388:AV2348,$Q$1388:Q2348,"S")</f>
        <v>727.76285705724263</v>
      </c>
      <c r="BZ2347" s="343">
        <f>SUMIFS($AV$1388:AV2348,$Q$1388:Q2348,"O")</f>
        <v>349.29929999965668</v>
      </c>
    </row>
    <row r="2348" spans="1:78" ht="15.75" customHeight="1">
      <c r="A2348" s="177" t="s">
        <v>7249</v>
      </c>
      <c r="B2348" s="200">
        <v>45491</v>
      </c>
      <c r="C2348" s="178" t="s">
        <v>3214</v>
      </c>
      <c r="D2348" s="178" t="s">
        <v>93</v>
      </c>
      <c r="E2348" s="227"/>
      <c r="F2348" s="180"/>
      <c r="G2348" s="181" t="s">
        <v>2070</v>
      </c>
      <c r="H2348" s="182"/>
      <c r="I2348" s="182"/>
      <c r="J2348" s="182"/>
      <c r="K2348" s="183"/>
      <c r="L2348" s="182"/>
      <c r="M2348" s="182"/>
      <c r="N2348" s="182"/>
      <c r="O2348" s="183"/>
      <c r="P2348" s="183"/>
      <c r="Q2348" s="183"/>
      <c r="R2348" s="183"/>
      <c r="S2348" s="183"/>
      <c r="T2348" s="183"/>
      <c r="U2348" s="183"/>
      <c r="V2348" s="183"/>
      <c r="W2348" s="183"/>
      <c r="X2348" s="183"/>
      <c r="Y2348" s="184"/>
      <c r="Z2348" s="185"/>
      <c r="AA2348" s="185"/>
      <c r="AB2348" s="185"/>
      <c r="AC2348" s="185"/>
      <c r="AD2348" s="649"/>
      <c r="AE2348" s="182"/>
      <c r="AF2348" s="332"/>
      <c r="AG2348" s="182"/>
      <c r="AH2348" s="182"/>
      <c r="AI2348" s="182"/>
      <c r="AJ2348" s="640"/>
      <c r="AK2348" s="182"/>
      <c r="AL2348" s="496">
        <f t="shared" si="779"/>
        <v>0</v>
      </c>
      <c r="AM2348" s="496">
        <f t="shared" si="780"/>
        <v>0</v>
      </c>
      <c r="AN2348" s="626"/>
      <c r="AO2348" s="182"/>
      <c r="AP2348" s="182"/>
      <c r="AQ2348" s="332" t="str">
        <f>UPPER(RIGHT(Journal_Live[[#This Row],[DURATION ]]))</f>
        <v/>
      </c>
      <c r="AR2348" s="182"/>
      <c r="AS2348" s="189"/>
      <c r="AT2348" s="189">
        <f t="shared" si="781"/>
        <v>0</v>
      </c>
      <c r="AU2348" s="187">
        <f t="shared" si="782"/>
        <v>0</v>
      </c>
      <c r="AV2348" s="190">
        <f t="shared" si="783"/>
        <v>0</v>
      </c>
      <c r="AW2348" s="191"/>
      <c r="AX2348" s="551"/>
      <c r="AY2348" s="551"/>
      <c r="AZ2348" s="551"/>
      <c r="BA2348" s="551"/>
      <c r="BB2348" s="551"/>
      <c r="BC2348" s="551"/>
      <c r="BD2348" s="549"/>
      <c r="BE2348" s="550"/>
      <c r="BF2348" s="549"/>
      <c r="BG2348" s="391">
        <f>SUM($AV$1389:AV2348)</f>
        <v>6728.4936878819562</v>
      </c>
      <c r="BH2348" s="392">
        <f>SUM($AU$1389:AU2348)</f>
        <v>42012.503836163021</v>
      </c>
      <c r="BI2348" s="318">
        <f>SUMIFS($AU$1388:AU2349,$Q$1388:Q2349,"F")</f>
        <v>29524.358121878129</v>
      </c>
      <c r="BJ2348" s="318">
        <f>SUMIFS($AU$1388:AU2349,$Q$1388:Q2349,"S")</f>
        <v>17570.285714285717</v>
      </c>
      <c r="BK2348" s="343">
        <f>SUMIFS($AU$1388:AU2349,$P$1388:P2349,"W")</f>
        <v>15881.423836163443</v>
      </c>
      <c r="BL2348" s="343">
        <f>SUMIFS($AU$1388:AU2349,$P$1388:P2349,"R")</f>
        <v>23640.400000000325</v>
      </c>
      <c r="BM2348" s="343">
        <f>SUMIFS($AU$1388:AU2349,$AQ$1388:AQ2349,"M")</f>
        <v>9283.179999998385</v>
      </c>
      <c r="BN2348" s="343">
        <f>SUMIFS($AU$1388:AU2349,$AQ$1388:AQ2349,"H")</f>
        <v>11819.200000000877</v>
      </c>
      <c r="BO2348" s="343">
        <f>SUMIFS($AU$1388:AU2349,$AQ$1388:AQ2349,"D")</f>
        <v>11961.177472527181</v>
      </c>
      <c r="BP2348" s="343">
        <f>SUMIFS($AS$1388:AS2707,$AO$1388:AO2707,"W")</f>
        <v>0</v>
      </c>
      <c r="BQ2348" s="343">
        <f>SUMIFS($AU$1388:AU2349,$Q$1388:Q2349,"O")</f>
        <v>-9806.1400000007834</v>
      </c>
      <c r="BR2348" s="343">
        <f>SUMIFS($AU$1388:AU2349,$AA$1388:AA2349,"*")</f>
        <v>38873.602077921219</v>
      </c>
      <c r="BS2348" s="343">
        <f>SUMIFS($AU$1388:AU2349,$AB$1388:AB2349,"*")</f>
        <v>7005.8599999997941</v>
      </c>
      <c r="BT2348" s="343">
        <f>SUMIFS($AU$1388:AU2349,$AC$1388:AC2349,"*")</f>
        <v>31860.358121878122</v>
      </c>
      <c r="BU2348" s="343">
        <f>SUMIFS($AU$1388:AU2349,$AA$1388:AA2349,"*",$AB$1388:AB2349,"*")</f>
        <v>7301.9999999995771</v>
      </c>
      <c r="BV2348" s="343">
        <f>SUMIFS($AU$1388:AU2349,$AA$1388:AA2349,"*",$AC$1388:AC2349,"*")</f>
        <v>29841.316363636532</v>
      </c>
      <c r="BW2348" s="343">
        <f>SUMIFS($AU$1388:AU2349,$AB$1388:AB2349,"*",$AC$1388:AC2349,"*")</f>
        <v>3739.199999999998</v>
      </c>
      <c r="BX2348" s="343">
        <f>SUMIFS($AV$1388:AV2349,$Q$1388:Q2349,"F")</f>
        <v>403.43153082504858</v>
      </c>
      <c r="BY2348" s="343">
        <f>SUMIFS($AV$1388:AV2349,$Q$1388:Q2349,"S")</f>
        <v>727.76285705724263</v>
      </c>
      <c r="BZ2348" s="343">
        <f>SUMIFS($AV$1388:AV2349,$Q$1388:Q2349,"O")</f>
        <v>349.29929999965668</v>
      </c>
    </row>
    <row r="2349" spans="1:78" ht="15.75" customHeight="1">
      <c r="A2349" s="177" t="s">
        <v>7249</v>
      </c>
      <c r="B2349" s="200">
        <v>45491</v>
      </c>
      <c r="C2349" s="178" t="s">
        <v>7388</v>
      </c>
      <c r="D2349" s="178" t="s">
        <v>93</v>
      </c>
      <c r="E2349" s="227"/>
      <c r="F2349" s="180"/>
      <c r="G2349" s="553" t="s">
        <v>3858</v>
      </c>
      <c r="H2349" s="182"/>
      <c r="I2349" s="182"/>
      <c r="J2349" s="182"/>
      <c r="K2349" s="183"/>
      <c r="L2349" s="182"/>
      <c r="M2349" s="182">
        <v>1</v>
      </c>
      <c r="N2349" s="182"/>
      <c r="O2349" s="183" t="s">
        <v>95</v>
      </c>
      <c r="P2349" s="183" t="s">
        <v>96</v>
      </c>
      <c r="Q2349" s="183" t="s">
        <v>256</v>
      </c>
      <c r="R2349" s="183">
        <v>9</v>
      </c>
      <c r="S2349" s="183">
        <v>5</v>
      </c>
      <c r="T2349" s="183">
        <v>9</v>
      </c>
      <c r="U2349" s="183" t="s">
        <v>22</v>
      </c>
      <c r="V2349" s="183" t="s">
        <v>7357</v>
      </c>
      <c r="W2349" s="183" t="s">
        <v>115</v>
      </c>
      <c r="X2349" s="183"/>
      <c r="Y2349" s="184">
        <f>IF(ISBLANK(O2349),"",(IF(O2349=UPPER("IB"),0.005,0.01)))</f>
        <v>0.01</v>
      </c>
      <c r="Z2349" s="185">
        <f>IF(ISBLANK(O2349),"",IF(O2349="IB",8.63*200,IF(O2349="IR",16*100,IF(O2349="YT",20*100,IF(O2349="YT-XT",24*200,IF(O2349="TED",80*100,IF(O2349="IR|YT",300*100)))))))</f>
        <v>1600</v>
      </c>
      <c r="AA2349" s="185" t="s">
        <v>7401</v>
      </c>
      <c r="AB2349" s="185"/>
      <c r="AC2349" s="185"/>
      <c r="AD2349" s="649">
        <v>-0.02</v>
      </c>
      <c r="AE2349" s="182"/>
      <c r="AF2349" s="332"/>
      <c r="AG2349" s="182"/>
      <c r="AH2349" s="182" t="s">
        <v>7402</v>
      </c>
      <c r="AI2349" s="182"/>
      <c r="AJ2349" s="640" t="s">
        <v>7403</v>
      </c>
      <c r="AK2349" s="182"/>
      <c r="AL2349" s="496">
        <f t="shared" si="777"/>
        <v>-32</v>
      </c>
      <c r="AM2349" s="496">
        <f>AL2349*(R2349-S2349)</f>
        <v>-128</v>
      </c>
      <c r="AN2349" s="626"/>
      <c r="AO2349" s="182"/>
      <c r="AP2349" s="182" t="s">
        <v>2333</v>
      </c>
      <c r="AQ2349" s="332" t="s">
        <v>115</v>
      </c>
      <c r="AR2349" s="298">
        <v>45497</v>
      </c>
      <c r="AS2349" s="189">
        <f>((-0.02*5)+(-0.02*4))/9</f>
        <v>-0.02</v>
      </c>
      <c r="AT2349" s="189">
        <f>IF(ISBLANK(AS2349),,IF(U2349="S",AD2349-AS2349,AS2349-AD2349))</f>
        <v>0</v>
      </c>
      <c r="AU2349" s="187">
        <f>AV2349*R2349</f>
        <v>0</v>
      </c>
      <c r="AV2349" s="190">
        <f t="shared" si="778"/>
        <v>0</v>
      </c>
      <c r="AW2349" s="191" t="s">
        <v>115</v>
      </c>
      <c r="AX2349" s="551"/>
      <c r="AY2349" s="551"/>
      <c r="AZ2349" s="551"/>
      <c r="BA2349" s="551"/>
      <c r="BB2349" s="551"/>
      <c r="BC2349" s="551"/>
      <c r="BD2349" s="549"/>
      <c r="BE2349" s="550"/>
      <c r="BF2349" s="549"/>
      <c r="BG2349" s="391">
        <f>SUM($AV$1389:AV2349)</f>
        <v>6728.4936878819562</v>
      </c>
      <c r="BH2349" s="392">
        <f>SUM($AU$1389:AU2349)</f>
        <v>42012.503836163021</v>
      </c>
      <c r="BI2349" s="318">
        <f>SUMIFS($AU$1388:AU2350,$Q$1388:Q2350,"F")</f>
        <v>29524.358121878129</v>
      </c>
      <c r="BJ2349" s="318">
        <f>SUMIFS($AU$1388:AU2350,$Q$1388:Q2350,"S")</f>
        <v>17570.285714285717</v>
      </c>
      <c r="BK2349" s="343">
        <f>SUMIFS($AU$1388:AU2350,$P$1388:P2350,"W")</f>
        <v>15881.423836163443</v>
      </c>
      <c r="BL2349" s="343">
        <f>SUMIFS($AU$1388:AU2350,$P$1388:P2350,"R")</f>
        <v>23640.400000000325</v>
      </c>
      <c r="BM2349" s="343">
        <f>SUMIFS($AU$1388:AU2350,$AQ$1388:AQ2350,"M")</f>
        <v>9283.179999998385</v>
      </c>
      <c r="BN2349" s="343">
        <f>SUMIFS($AU$1388:AU2350,$AQ$1388:AQ2350,"H")</f>
        <v>11819.200000000877</v>
      </c>
      <c r="BO2349" s="343">
        <f>SUMIFS($AU$1388:AU2350,$AQ$1388:AQ2350,"D")</f>
        <v>11961.177472527181</v>
      </c>
      <c r="BP2349" s="343">
        <f>SUMIFS($AS$1388:AS2708,$AO$1388:AO2708,"W")</f>
        <v>0</v>
      </c>
      <c r="BQ2349" s="343">
        <f>SUMIFS($AU$1388:AU2350,$Q$1388:Q2350,"O")</f>
        <v>-9806.1400000007834</v>
      </c>
      <c r="BR2349" s="343">
        <f>SUMIFS($AU$1388:AU2350,$AA$1388:AA2350,"*")</f>
        <v>38873.602077921219</v>
      </c>
      <c r="BS2349" s="343">
        <f>SUMIFS($AU$1388:AU2350,$AB$1388:AB2350,"*")</f>
        <v>7005.8599999997941</v>
      </c>
      <c r="BT2349" s="343">
        <f>SUMIFS($AU$1388:AU2350,$AC$1388:AC2350,"*")</f>
        <v>31860.358121878122</v>
      </c>
      <c r="BU2349" s="343">
        <f>SUMIFS($AU$1388:AU2350,$AA$1388:AA2350,"*",$AB$1388:AB2350,"*")</f>
        <v>7301.9999999995771</v>
      </c>
      <c r="BV2349" s="343">
        <f>SUMIFS($AU$1388:AU2350,$AA$1388:AA2350,"*",$AC$1388:AC2350,"*")</f>
        <v>29841.316363636532</v>
      </c>
      <c r="BW2349" s="343">
        <f>SUMIFS($AU$1388:AU2350,$AB$1388:AB2350,"*",$AC$1388:AC2350,"*")</f>
        <v>3739.199999999998</v>
      </c>
      <c r="BX2349" s="343">
        <f>SUMIFS($AV$1388:AV2350,$Q$1388:Q2350,"F")</f>
        <v>403.43153082504858</v>
      </c>
      <c r="BY2349" s="343">
        <f>SUMIFS($AV$1388:AV2350,$Q$1388:Q2350,"S")</f>
        <v>727.76285705724263</v>
      </c>
      <c r="BZ2349" s="343">
        <f>SUMIFS($AV$1388:AV2350,$Q$1388:Q2350,"O")</f>
        <v>349.29929999965668</v>
      </c>
    </row>
    <row r="2350" spans="1:78" ht="15.75" customHeight="1">
      <c r="A2350" s="177" t="s">
        <v>7249</v>
      </c>
      <c r="B2350" s="200"/>
      <c r="C2350" s="178"/>
      <c r="D2350" s="178"/>
      <c r="E2350" s="227"/>
      <c r="F2350" s="180"/>
      <c r="G2350" s="181"/>
      <c r="H2350" s="182"/>
      <c r="I2350" s="182"/>
      <c r="J2350" s="182"/>
      <c r="K2350" s="183"/>
      <c r="L2350" s="182"/>
      <c r="M2350" s="182"/>
      <c r="N2350" s="182"/>
      <c r="O2350" s="183"/>
      <c r="P2350" s="183"/>
      <c r="Q2350" s="183"/>
      <c r="R2350" s="183"/>
      <c r="S2350" s="183"/>
      <c r="T2350" s="183"/>
      <c r="U2350" s="183"/>
      <c r="V2350" s="183"/>
      <c r="W2350" s="183"/>
      <c r="X2350" s="183"/>
      <c r="Y2350" s="184"/>
      <c r="Z2350" s="185"/>
      <c r="AA2350" s="185"/>
      <c r="AB2350" s="185"/>
      <c r="AC2350" s="185"/>
      <c r="AD2350" s="649"/>
      <c r="AE2350" s="182"/>
      <c r="AF2350" s="332"/>
      <c r="AG2350" s="182"/>
      <c r="AH2350" s="182"/>
      <c r="AI2350" s="182"/>
      <c r="AJ2350" s="640"/>
      <c r="AK2350" s="182"/>
      <c r="AL2350" s="496">
        <f t="shared" si="777"/>
        <v>0</v>
      </c>
      <c r="AM2350" s="496">
        <f>AL2350*(R2350-S2350)</f>
        <v>0</v>
      </c>
      <c r="AN2350" s="626"/>
      <c r="AO2350" s="182"/>
      <c r="AP2350" s="182"/>
      <c r="AQ2350" s="332"/>
      <c r="AR2350" s="298"/>
      <c r="AS2350" s="189"/>
      <c r="AT2350" s="189">
        <f>IF(ISBLANK(AS2350),,IF(U2350="S",AD2350-AS2350,AS2350-AD2350))</f>
        <v>0</v>
      </c>
      <c r="AU2350" s="187">
        <f>AV2350*R2350</f>
        <v>0</v>
      </c>
      <c r="AV2350" s="190">
        <f t="shared" si="778"/>
        <v>0</v>
      </c>
      <c r="AW2350" s="191"/>
      <c r="AX2350" s="551" t="s">
        <v>7404</v>
      </c>
      <c r="AY2350" s="551"/>
      <c r="AZ2350" s="551"/>
      <c r="BA2350" s="551"/>
      <c r="BB2350" s="551"/>
      <c r="BC2350" s="551"/>
      <c r="BD2350" s="549"/>
      <c r="BE2350" s="550"/>
      <c r="BF2350" s="549"/>
      <c r="BG2350" s="391">
        <f>SUM($AV$1389:AV2350)</f>
        <v>6728.4936878819562</v>
      </c>
      <c r="BH2350" s="392">
        <f>SUM($AU$1389:AU2350)</f>
        <v>42012.503836163021</v>
      </c>
      <c r="BI2350" s="318">
        <f>SUMIFS($AU$1388:AU2360,$Q$1388:Q2360,"F")</f>
        <v>29584.358121878129</v>
      </c>
      <c r="BJ2350" s="318">
        <f>SUMIFS($AU$1388:AU2360,$Q$1388:Q2360,"S")</f>
        <v>18290.285714285717</v>
      </c>
      <c r="BK2350" s="343">
        <f>SUMIFS($AU$1388:AU2360,$P$1388:P2360,"W")</f>
        <v>16085.423836163443</v>
      </c>
      <c r="BL2350" s="343">
        <f>SUMIFS($AU$1388:AU2360,$P$1388:P2360,"R")</f>
        <v>24216.400000000325</v>
      </c>
      <c r="BM2350" s="343">
        <f>SUMIFS($AU$1388:AU2360,$AQ$1388:AQ2360,"M")</f>
        <v>9283.179999998385</v>
      </c>
      <c r="BN2350" s="343">
        <f>SUMIFS($AU$1388:AU2360,$AQ$1388:AQ2360,"H")</f>
        <v>12539.200000000877</v>
      </c>
      <c r="BO2350" s="343">
        <f>SUMIFS($AU$1388:AU2360,$AQ$1388:AQ2360,"D")</f>
        <v>12021.177472527181</v>
      </c>
      <c r="BP2350" s="343">
        <f>SUMIFS($AS$1388:AS2709,$AO$1388:AO2709,"W")</f>
        <v>0</v>
      </c>
      <c r="BQ2350" s="343">
        <f>SUMIFS($AU$1388:AU2360,$Q$1388:Q2360,"O")</f>
        <v>-9806.1400000007834</v>
      </c>
      <c r="BR2350" s="343">
        <f>SUMIFS($AU$1388:AU2360,$AA$1388:AA2360,"*")</f>
        <v>39653.602077921219</v>
      </c>
      <c r="BS2350" s="343">
        <f>SUMIFS($AU$1388:AU2360,$AB$1388:AB2360,"*")</f>
        <v>7005.8599999997941</v>
      </c>
      <c r="BT2350" s="343">
        <f>SUMIFS($AU$1388:AU2360,$AC$1388:AC2360,"*")</f>
        <v>31920.358121878122</v>
      </c>
      <c r="BU2350" s="343">
        <f>SUMIFS($AU$1388:AU2360,$AA$1388:AA2360,"*",$AB$1388:AB2360,"*")</f>
        <v>7301.9999999995771</v>
      </c>
      <c r="BV2350" s="343">
        <f>SUMIFS($AU$1388:AU2360,$AA$1388:AA2360,"*",$AC$1388:AC2360,"*")</f>
        <v>29901.316363636532</v>
      </c>
      <c r="BW2350" s="343">
        <f>SUMIFS($AU$1388:AU2360,$AB$1388:AB2360,"*",$AC$1388:AC2360,"*")</f>
        <v>3739.199999999998</v>
      </c>
      <c r="BX2350" s="343">
        <f>SUMIFS($AV$1388:AV2360,$Q$1388:Q2360,"F")</f>
        <v>409.43153082504858</v>
      </c>
      <c r="BY2350" s="343">
        <f>SUMIFS($AV$1388:AV2360,$Q$1388:Q2360,"S")</f>
        <v>759.76285705724263</v>
      </c>
      <c r="BZ2350" s="343">
        <f>SUMIFS($AV$1388:AV2360,$Q$1388:Q2360,"O")</f>
        <v>349.29929999965668</v>
      </c>
    </row>
    <row r="2351" spans="1:78" ht="15.75" customHeight="1">
      <c r="A2351" s="177" t="s">
        <v>7249</v>
      </c>
      <c r="B2351" s="200">
        <v>45492</v>
      </c>
      <c r="C2351" s="178" t="s">
        <v>7308</v>
      </c>
      <c r="D2351" s="178" t="s">
        <v>111</v>
      </c>
      <c r="E2351" s="227"/>
      <c r="F2351" s="180"/>
      <c r="G2351" s="553" t="s">
        <v>7133</v>
      </c>
      <c r="H2351" s="182"/>
      <c r="I2351" s="182"/>
      <c r="J2351" s="182"/>
      <c r="K2351" s="183"/>
      <c r="L2351" s="182"/>
      <c r="M2351" s="182">
        <v>1</v>
      </c>
      <c r="N2351" s="182"/>
      <c r="O2351" s="183" t="s">
        <v>95</v>
      </c>
      <c r="P2351" s="183" t="s">
        <v>96</v>
      </c>
      <c r="Q2351" s="183" t="s">
        <v>97</v>
      </c>
      <c r="R2351" s="183">
        <v>11</v>
      </c>
      <c r="S2351" s="183">
        <v>0</v>
      </c>
      <c r="T2351" s="183">
        <v>11</v>
      </c>
      <c r="U2351" s="183" t="s">
        <v>97</v>
      </c>
      <c r="V2351" s="183" t="s">
        <v>7349</v>
      </c>
      <c r="W2351" s="183" t="s">
        <v>22</v>
      </c>
      <c r="X2351" s="183"/>
      <c r="Y2351" s="184">
        <f>IF(ISBLANK(O2351),"",(IF(O2351=UPPER("IB"),0.005,0.01)))</f>
        <v>0.01</v>
      </c>
      <c r="Z2351" s="185">
        <f>IF(ISBLANK(O2351),"",IF(O2351="IB",8.63*200,IF(O2351="IR",16*100,IF(O2351="YT",20*100,IF(O2351="YT-XT",24*200,IF(O2351="TED",80*100,IF(O2351="IR|YT",300*100)))))))</f>
        <v>1600</v>
      </c>
      <c r="AA2351" s="185" t="s">
        <v>5492</v>
      </c>
      <c r="AB2351" s="185"/>
      <c r="AC2351" s="185" t="s">
        <v>7034</v>
      </c>
      <c r="AD2351" s="649">
        <v>-0.26</v>
      </c>
      <c r="AE2351" s="182"/>
      <c r="AF2351" s="332"/>
      <c r="AG2351" s="182"/>
      <c r="AH2351" s="182"/>
      <c r="AI2351" s="182"/>
      <c r="AJ2351" s="640"/>
      <c r="AK2351" s="182"/>
      <c r="AL2351" s="496">
        <f t="shared" si="777"/>
        <v>-32</v>
      </c>
      <c r="AM2351" s="496">
        <f t="shared" ref="AM2351:AM2359" si="784">AL2351*(R2351-S2351)</f>
        <v>-352</v>
      </c>
      <c r="AN2351" s="626"/>
      <c r="AO2351" s="182"/>
      <c r="AP2351" s="182" t="s">
        <v>770</v>
      </c>
      <c r="AQ2351" s="332" t="s">
        <v>115</v>
      </c>
      <c r="AR2351" s="182"/>
      <c r="AS2351" s="189">
        <v>-0.26</v>
      </c>
      <c r="AT2351" s="189">
        <f t="shared" ref="AT2351:AT2359" si="785">IF(ISBLANK(AS2351),,IF(U2351="S",AD2351-AS2351,AS2351-AD2351))</f>
        <v>0</v>
      </c>
      <c r="AU2351" s="187">
        <f t="shared" ref="AU2351:AU2359" si="786">AV2351*R2351</f>
        <v>0</v>
      </c>
      <c r="AV2351" s="190">
        <f t="shared" si="778"/>
        <v>0</v>
      </c>
      <c r="AW2351" s="191" t="s">
        <v>115</v>
      </c>
      <c r="AX2351" s="551"/>
      <c r="AY2351" s="551"/>
      <c r="AZ2351" s="551"/>
      <c r="BA2351" s="551"/>
      <c r="BB2351" s="551"/>
      <c r="BC2351" s="551"/>
      <c r="BD2351" s="549"/>
      <c r="BE2351" s="550"/>
      <c r="BF2351" s="549"/>
      <c r="BG2351" s="391">
        <f>SUM($AV$1389:AV2351)</f>
        <v>6728.4936878819562</v>
      </c>
      <c r="BH2351" s="392">
        <f>SUM($AU$1389:AU2351)</f>
        <v>42012.503836163021</v>
      </c>
      <c r="BI2351" s="318">
        <f>SUMIFS($AU$1388:AU2352,$Q$1388:Q2352,"F")</f>
        <v>29524.358121878129</v>
      </c>
      <c r="BJ2351" s="318">
        <f>SUMIFS($AU$1388:AU2352,$Q$1388:Q2352,"S")</f>
        <v>17570.285714285717</v>
      </c>
      <c r="BK2351" s="343">
        <f>SUMIFS($AU$1388:AU2352,$P$1388:P2352,"W")</f>
        <v>15881.423836163443</v>
      </c>
      <c r="BL2351" s="343">
        <f>SUMIFS($AU$1388:AU2352,$P$1388:P2352,"R")</f>
        <v>23640.400000000325</v>
      </c>
      <c r="BM2351" s="343">
        <f>SUMIFS($AU$1388:AU2352,$AQ$1388:AQ2352,"M")</f>
        <v>9283.179999998385</v>
      </c>
      <c r="BN2351" s="343">
        <f>SUMIFS($AU$1388:AU2352,$AQ$1388:AQ2352,"H")</f>
        <v>11819.200000000877</v>
      </c>
      <c r="BO2351" s="343">
        <f>SUMIFS($AU$1388:AU2352,$AQ$1388:AQ2352,"D")</f>
        <v>11961.177472527181</v>
      </c>
      <c r="BP2351" s="343">
        <f>SUMIFS($AS$1388:AS2706,$AO$1388:AO2706,"W")</f>
        <v>0</v>
      </c>
      <c r="BQ2351" s="343">
        <f>SUMIFS($AU$1388:AU2352,$Q$1388:Q2352,"O")</f>
        <v>-9806.1400000007834</v>
      </c>
      <c r="BR2351" s="343">
        <f>SUMIFS($AU$1388:AU2352,$AA$1388:AA2352,"*")</f>
        <v>38873.602077921219</v>
      </c>
      <c r="BS2351" s="343">
        <f>SUMIFS($AU$1388:AU2352,$AB$1388:AB2352,"*")</f>
        <v>7005.8599999997941</v>
      </c>
      <c r="BT2351" s="343">
        <f>SUMIFS($AU$1388:AU2352,$AC$1388:AC2352,"*")</f>
        <v>31860.358121878122</v>
      </c>
      <c r="BU2351" s="343">
        <f>SUMIFS($AU$1388:AU2352,$AA$1388:AA2352,"*",$AB$1388:AB2352,"*")</f>
        <v>7301.9999999995771</v>
      </c>
      <c r="BV2351" s="343">
        <f>SUMIFS($AU$1388:AU2352,$AA$1388:AA2352,"*",$AC$1388:AC2352,"*")</f>
        <v>29841.316363636532</v>
      </c>
      <c r="BW2351" s="343">
        <f>SUMIFS($AU$1388:AU2352,$AB$1388:AB2352,"*",$AC$1388:AC2352,"*")</f>
        <v>3739.199999999998</v>
      </c>
      <c r="BX2351" s="343">
        <f>SUMIFS($AV$1388:AV2352,$Q$1388:Q2352,"F")</f>
        <v>403.43153082504858</v>
      </c>
      <c r="BY2351" s="343">
        <f>SUMIFS($AV$1388:AV2352,$Q$1388:Q2352,"S")</f>
        <v>727.76285705724263</v>
      </c>
      <c r="BZ2351" s="343">
        <f>SUMIFS($AV$1388:AV2352,$Q$1388:Q2352,"O")</f>
        <v>349.29929999965668</v>
      </c>
    </row>
    <row r="2352" spans="1:78" ht="15.75" customHeight="1">
      <c r="A2352" s="177" t="s">
        <v>7249</v>
      </c>
      <c r="B2352" s="200"/>
      <c r="C2352" s="178"/>
      <c r="D2352" s="178"/>
      <c r="E2352" s="227"/>
      <c r="F2352" s="180"/>
      <c r="G2352" s="181"/>
      <c r="H2352" s="182"/>
      <c r="I2352" s="182"/>
      <c r="J2352" s="182"/>
      <c r="K2352" s="183"/>
      <c r="L2352" s="182"/>
      <c r="M2352" s="182"/>
      <c r="N2352" s="182"/>
      <c r="O2352" s="183"/>
      <c r="P2352" s="183"/>
      <c r="Q2352" s="183"/>
      <c r="R2352" s="183"/>
      <c r="S2352" s="183"/>
      <c r="T2352" s="183"/>
      <c r="U2352" s="183"/>
      <c r="V2352" s="183"/>
      <c r="W2352" s="183"/>
      <c r="X2352" s="183"/>
      <c r="Y2352" s="183"/>
      <c r="Z2352" s="183"/>
      <c r="AA2352" s="185"/>
      <c r="AB2352" s="185"/>
      <c r="AC2352" s="185"/>
      <c r="AD2352" s="649"/>
      <c r="AE2352" s="182"/>
      <c r="AF2352" s="332"/>
      <c r="AG2352" s="182"/>
      <c r="AH2352" s="182"/>
      <c r="AI2352" s="182"/>
      <c r="AJ2352" s="640"/>
      <c r="AK2352" s="182"/>
      <c r="AL2352" s="496">
        <f t="shared" si="777"/>
        <v>0</v>
      </c>
      <c r="AM2352" s="496">
        <f t="shared" si="784"/>
        <v>0</v>
      </c>
      <c r="AN2352" s="626"/>
      <c r="AO2352" s="182"/>
      <c r="AP2352" s="182"/>
      <c r="AQ2352" s="332" t="str">
        <f>UPPER(RIGHT(Journal_Live[[#This Row],[DURATION ]]))</f>
        <v/>
      </c>
      <c r="AR2352" s="182"/>
      <c r="AS2352" s="189"/>
      <c r="AT2352" s="189">
        <f t="shared" si="785"/>
        <v>0</v>
      </c>
      <c r="AU2352" s="187">
        <f t="shared" si="786"/>
        <v>0</v>
      </c>
      <c r="AV2352" s="190">
        <f t="shared" si="778"/>
        <v>0</v>
      </c>
      <c r="AW2352" s="191"/>
      <c r="AX2352" s="551" t="s">
        <v>7405</v>
      </c>
      <c r="AY2352" s="551" t="s">
        <v>7406</v>
      </c>
      <c r="AZ2352" s="551" t="s">
        <v>7407</v>
      </c>
      <c r="BA2352" s="551"/>
      <c r="BB2352" s="551"/>
      <c r="BC2352" s="551"/>
      <c r="BD2352" s="549"/>
      <c r="BE2352" s="550"/>
      <c r="BF2352" s="549"/>
      <c r="BG2352" s="391">
        <f>SUM($AV$1389:AV2352)</f>
        <v>6728.4936878819562</v>
      </c>
      <c r="BH2352" s="392">
        <f>SUM($AU$1389:AU2352)</f>
        <v>42012.503836163021</v>
      </c>
      <c r="BI2352" s="318">
        <f>SUMIFS($AU$1388:AU2353,$Q$1388:Q2353,"F")</f>
        <v>29524.358121878129</v>
      </c>
      <c r="BJ2352" s="318">
        <f>SUMIFS($AU$1388:AU2353,$Q$1388:Q2353,"S")</f>
        <v>17570.285714285717</v>
      </c>
      <c r="BK2352" s="343">
        <f>SUMIFS($AU$1388:AU2353,$P$1388:P2353,"W")</f>
        <v>15881.423836163443</v>
      </c>
      <c r="BL2352" s="343">
        <f>SUMIFS($AU$1388:AU2353,$P$1388:P2353,"R")</f>
        <v>23640.400000000325</v>
      </c>
      <c r="BM2352" s="343">
        <f>SUMIFS($AU$1388:AU2353,$AQ$1388:AQ2353,"M")</f>
        <v>9283.179999998385</v>
      </c>
      <c r="BN2352" s="343">
        <f>SUMIFS($AU$1388:AU2353,$AQ$1388:AQ2353,"H")</f>
        <v>11819.200000000877</v>
      </c>
      <c r="BO2352" s="343">
        <f>SUMIFS($AU$1388:AU2353,$AQ$1388:AQ2353,"D")</f>
        <v>11961.177472527181</v>
      </c>
      <c r="BP2352" s="343">
        <f>SUMIFS($AS$1388:AS2707,$AO$1388:AO2707,"W")</f>
        <v>0</v>
      </c>
      <c r="BQ2352" s="343">
        <f>SUMIFS($AU$1388:AU2353,$Q$1388:Q2353,"O")</f>
        <v>-9806.1400000007834</v>
      </c>
      <c r="BR2352" s="343">
        <f>SUMIFS($AU$1388:AU2353,$AA$1388:AA2353,"*")</f>
        <v>38873.602077921219</v>
      </c>
      <c r="BS2352" s="343">
        <f>SUMIFS($AU$1388:AU2353,$AB$1388:AB2353,"*")</f>
        <v>7005.8599999997941</v>
      </c>
      <c r="BT2352" s="343">
        <f>SUMIFS($AU$1388:AU2353,$AC$1388:AC2353,"*")</f>
        <v>31860.358121878122</v>
      </c>
      <c r="BU2352" s="343">
        <f>SUMIFS($AU$1388:AU2353,$AA$1388:AA2353,"*",$AB$1388:AB2353,"*")</f>
        <v>7301.9999999995771</v>
      </c>
      <c r="BV2352" s="343">
        <f>SUMIFS($AU$1388:AU2353,$AA$1388:AA2353,"*",$AC$1388:AC2353,"*")</f>
        <v>29841.316363636532</v>
      </c>
      <c r="BW2352" s="343">
        <f>SUMIFS($AU$1388:AU2353,$AB$1388:AB2353,"*",$AC$1388:AC2353,"*")</f>
        <v>3739.199999999998</v>
      </c>
      <c r="BX2352" s="343">
        <f>SUMIFS($AV$1388:AV2353,$Q$1388:Q2353,"F")</f>
        <v>403.43153082504858</v>
      </c>
      <c r="BY2352" s="343">
        <f>SUMIFS($AV$1388:AV2353,$Q$1388:Q2353,"S")</f>
        <v>727.76285705724263</v>
      </c>
      <c r="BZ2352" s="343">
        <f>SUMIFS($AV$1388:AV2353,$Q$1388:Q2353,"O")</f>
        <v>349.29929999965668</v>
      </c>
    </row>
    <row r="2353" spans="1:79" ht="15.75" customHeight="1">
      <c r="A2353" s="177" t="s">
        <v>7249</v>
      </c>
      <c r="B2353" s="200">
        <v>45492</v>
      </c>
      <c r="C2353" s="178" t="s">
        <v>7308</v>
      </c>
      <c r="D2353" s="178" t="s">
        <v>111</v>
      </c>
      <c r="E2353" s="227"/>
      <c r="F2353" s="180"/>
      <c r="G2353" s="181" t="s">
        <v>7408</v>
      </c>
      <c r="H2353" s="182"/>
      <c r="I2353" s="182"/>
      <c r="J2353" s="182"/>
      <c r="K2353" s="183"/>
      <c r="L2353" s="182"/>
      <c r="M2353" s="182"/>
      <c r="N2353" s="182"/>
      <c r="O2353" s="183"/>
      <c r="P2353" s="183"/>
      <c r="Q2353" s="183"/>
      <c r="R2353" s="183"/>
      <c r="S2353" s="183"/>
      <c r="T2353" s="183"/>
      <c r="U2353" s="183"/>
      <c r="V2353" s="183"/>
      <c r="W2353" s="183"/>
      <c r="X2353" s="183"/>
      <c r="Y2353" s="184"/>
      <c r="Z2353" s="185"/>
      <c r="AA2353" s="185"/>
      <c r="AB2353" s="185"/>
      <c r="AC2353" s="185"/>
      <c r="AD2353" s="649"/>
      <c r="AE2353" s="182"/>
      <c r="AF2353" s="332"/>
      <c r="AG2353" s="182"/>
      <c r="AH2353" s="182"/>
      <c r="AI2353" s="182"/>
      <c r="AJ2353" s="640"/>
      <c r="AK2353" s="182"/>
      <c r="AL2353" s="496">
        <f t="shared" si="777"/>
        <v>0</v>
      </c>
      <c r="AM2353" s="496">
        <f t="shared" si="784"/>
        <v>0</v>
      </c>
      <c r="AN2353" s="626"/>
      <c r="AO2353" s="182"/>
      <c r="AP2353" s="182"/>
      <c r="AQ2353" s="332" t="str">
        <f>UPPER(RIGHT(Journal_Live[[#This Row],[DURATION ]]))</f>
        <v/>
      </c>
      <c r="AR2353" s="182"/>
      <c r="AS2353" s="189"/>
      <c r="AT2353" s="189">
        <f t="shared" si="785"/>
        <v>0</v>
      </c>
      <c r="AU2353" s="187">
        <f t="shared" si="786"/>
        <v>0</v>
      </c>
      <c r="AV2353" s="190">
        <f t="shared" si="778"/>
        <v>0</v>
      </c>
      <c r="AW2353" s="191"/>
      <c r="AX2353" s="551"/>
      <c r="AY2353" s="551"/>
      <c r="AZ2353" s="551"/>
      <c r="BA2353" s="551"/>
      <c r="BB2353" s="551"/>
      <c r="BC2353" s="551"/>
      <c r="BD2353" s="549"/>
      <c r="BE2353" s="550"/>
      <c r="BF2353" s="549"/>
      <c r="BG2353" s="391">
        <f>SUM($AV$1389:AV2353)</f>
        <v>6728.4936878819562</v>
      </c>
      <c r="BH2353" s="392">
        <f>SUM($AU$1389:AU2353)</f>
        <v>42012.503836163021</v>
      </c>
      <c r="BI2353" s="318">
        <f>SUMIFS($AU$1388:AU2359,$Q$1388:Q2359,"F")</f>
        <v>29524.358121878129</v>
      </c>
      <c r="BJ2353" s="318">
        <f>SUMIFS($AU$1388:AU2359,$Q$1388:Q2359,"S")</f>
        <v>18290.285714285717</v>
      </c>
      <c r="BK2353" s="343">
        <f>SUMIFS($AU$1388:AU2359,$P$1388:P2359,"W")</f>
        <v>16025.423836163443</v>
      </c>
      <c r="BL2353" s="343">
        <f>SUMIFS($AU$1388:AU2359,$P$1388:P2359,"R")</f>
        <v>24216.400000000325</v>
      </c>
      <c r="BM2353" s="343">
        <f>SUMIFS($AU$1388:AU2359,$AQ$1388:AQ2359,"M")</f>
        <v>9283.179999998385</v>
      </c>
      <c r="BN2353" s="343">
        <f>SUMIFS($AU$1388:AU2359,$AQ$1388:AQ2359,"H")</f>
        <v>12539.200000000877</v>
      </c>
      <c r="BO2353" s="343">
        <f>SUMIFS($AU$1388:AU2359,$AQ$1388:AQ2359,"D")</f>
        <v>11961.177472527181</v>
      </c>
      <c r="BP2353" s="343">
        <f>SUMIFS($AS$1388:AS2708,$AO$1388:AO2708,"W")</f>
        <v>0</v>
      </c>
      <c r="BQ2353" s="343">
        <f>SUMIFS($AU$1388:AU2359,$Q$1388:Q2359,"O")</f>
        <v>-9806.1400000007834</v>
      </c>
      <c r="BR2353" s="343">
        <f>SUMIFS($AU$1388:AU2359,$AA$1388:AA2359,"*")</f>
        <v>39593.602077921219</v>
      </c>
      <c r="BS2353" s="343">
        <f>SUMIFS($AU$1388:AU2359,$AB$1388:AB2359,"*")</f>
        <v>7005.8599999997941</v>
      </c>
      <c r="BT2353" s="343">
        <f>SUMIFS($AU$1388:AU2359,$AC$1388:AC2359,"*")</f>
        <v>31860.358121878122</v>
      </c>
      <c r="BU2353" s="343">
        <f>SUMIFS($AU$1388:AU2359,$AA$1388:AA2359,"*",$AB$1388:AB2359,"*")</f>
        <v>7301.9999999995771</v>
      </c>
      <c r="BV2353" s="343">
        <f>SUMIFS($AU$1388:AU2359,$AA$1388:AA2359,"*",$AC$1388:AC2359,"*")</f>
        <v>29841.316363636532</v>
      </c>
      <c r="BW2353" s="343">
        <f>SUMIFS($AU$1388:AU2359,$AB$1388:AB2359,"*",$AC$1388:AC2359,"*")</f>
        <v>3739.199999999998</v>
      </c>
      <c r="BX2353" s="343">
        <f>SUMIFS($AV$1388:AV2359,$Q$1388:Q2359,"F")</f>
        <v>403.43153082504858</v>
      </c>
      <c r="BY2353" s="343">
        <f>SUMIFS($AV$1388:AV2359,$Q$1388:Q2359,"S")</f>
        <v>759.76285705724263</v>
      </c>
      <c r="BZ2353" s="343">
        <f>SUMIFS($AV$1388:AV2359,$Q$1388:Q2359,"O")</f>
        <v>349.29929999965668</v>
      </c>
    </row>
    <row r="2354" spans="1:79" ht="15.75" customHeight="1">
      <c r="A2354" s="177" t="s">
        <v>7249</v>
      </c>
      <c r="B2354" s="200">
        <v>45497</v>
      </c>
      <c r="C2354" s="178" t="s">
        <v>7308</v>
      </c>
      <c r="D2354" s="178" t="s">
        <v>151</v>
      </c>
      <c r="E2354" s="227"/>
      <c r="F2354" s="180"/>
      <c r="G2354" s="553" t="s">
        <v>7049</v>
      </c>
      <c r="H2354" s="182"/>
      <c r="I2354" s="182"/>
      <c r="J2354" s="182"/>
      <c r="K2354" s="183"/>
      <c r="L2354" s="182"/>
      <c r="M2354" s="182">
        <v>1</v>
      </c>
      <c r="N2354" s="182"/>
      <c r="O2354" s="183" t="s">
        <v>95</v>
      </c>
      <c r="P2354" s="183" t="s">
        <v>96</v>
      </c>
      <c r="Q2354" s="183" t="s">
        <v>97</v>
      </c>
      <c r="R2354" s="183">
        <v>25</v>
      </c>
      <c r="S2354" s="183">
        <v>0</v>
      </c>
      <c r="T2354" s="183">
        <v>25</v>
      </c>
      <c r="U2354" s="183" t="s">
        <v>22</v>
      </c>
      <c r="V2354" s="183" t="s">
        <v>7349</v>
      </c>
      <c r="W2354" s="183" t="s">
        <v>22</v>
      </c>
      <c r="X2354" s="183"/>
      <c r="Y2354" s="184">
        <f t="shared" ref="Y2354:Y2360" si="787">IF(ISBLANK(O2354),"",(IF(O2354=UPPER("IB"),0.005,0.01)))</f>
        <v>0.01</v>
      </c>
      <c r="Z2354" s="185">
        <f t="shared" ref="Z2354:Z2360" si="788">IF(ISBLANK(O2354),"",IF(O2354="IB",8.63*200,IF(O2354="IR",16*100,IF(O2354="YT",20*100,IF(O2354="YT-XT",24*200,IF(O2354="TED",80*100,IF(O2354="IR|YT",300*100)))))))</f>
        <v>1600</v>
      </c>
      <c r="AA2354" s="185" t="s">
        <v>5492</v>
      </c>
      <c r="AB2354" s="185"/>
      <c r="AC2354" s="185"/>
      <c r="AD2354" s="649">
        <v>-0.05</v>
      </c>
      <c r="AE2354" s="182"/>
      <c r="AF2354" s="332"/>
      <c r="AG2354" s="182"/>
      <c r="AH2354" s="182"/>
      <c r="AI2354" s="182"/>
      <c r="AJ2354" s="640"/>
      <c r="AK2354" s="182"/>
      <c r="AL2354" s="496">
        <f t="shared" ref="AL2354:AL2358" si="789">-0.02*Z2354</f>
        <v>-32</v>
      </c>
      <c r="AM2354" s="496">
        <f t="shared" ref="AM2354:AM2358" si="790">AL2354*(R2354-S2354)</f>
        <v>-800</v>
      </c>
      <c r="AN2354" s="626"/>
      <c r="AO2354" s="182"/>
      <c r="AP2354" s="182" t="s">
        <v>902</v>
      </c>
      <c r="AQ2354" s="332" t="s">
        <v>96</v>
      </c>
      <c r="AR2354" s="182"/>
      <c r="AS2354" s="189">
        <v>-0.05</v>
      </c>
      <c r="AT2354" s="189">
        <f t="shared" ref="AT2354:AT2358" si="791">IF(ISBLANK(AS2354),,IF(U2354="S",AD2354-AS2354,AS2354-AD2354))</f>
        <v>0</v>
      </c>
      <c r="AU2354" s="187">
        <f t="shared" ref="AU2354:AU2358" si="792">AV2354*R2354</f>
        <v>0</v>
      </c>
      <c r="AV2354" s="190">
        <f t="shared" ref="AV2354:AV2358" si="793">IF(ISBLANK(AS2354),,(AT2354*Z2354))</f>
        <v>0</v>
      </c>
      <c r="AW2354" s="191" t="s">
        <v>115</v>
      </c>
      <c r="AX2354" s="551"/>
      <c r="AY2354" s="551"/>
      <c r="AZ2354" s="551"/>
      <c r="BA2354" s="551"/>
      <c r="BB2354" s="551"/>
      <c r="BC2354" s="551"/>
      <c r="BD2354" s="549"/>
      <c r="BE2354" s="550"/>
      <c r="BF2354" s="549"/>
      <c r="BG2354" s="391">
        <f>SUM($AV$1389:AV2354)</f>
        <v>6728.4936878819562</v>
      </c>
      <c r="BH2354" s="392">
        <f>SUM($AU$1389:AU2354)</f>
        <v>42012.503836163021</v>
      </c>
      <c r="BI2354" s="318">
        <f>SUMIFS($AU$1388:AU2355,$Q$1388:Q2355,"F")</f>
        <v>29524.358121878129</v>
      </c>
      <c r="BJ2354" s="318">
        <f>SUMIFS($AU$1388:AU2355,$Q$1388:Q2355,"S")</f>
        <v>17570.285714285717</v>
      </c>
      <c r="BK2354" s="343">
        <f>SUMIFS($AU$1388:AU2355,$P$1388:P2355,"W")</f>
        <v>15881.423836163443</v>
      </c>
      <c r="BL2354" s="343">
        <f>SUMIFS($AU$1388:AU2355,$P$1388:P2355,"R")</f>
        <v>23640.400000000325</v>
      </c>
      <c r="BM2354" s="343">
        <f>SUMIFS($AU$1388:AU2355,$AQ$1388:AQ2355,"M")</f>
        <v>9283.179999998385</v>
      </c>
      <c r="BN2354" s="343">
        <f>SUMIFS($AU$1388:AU2355,$AQ$1388:AQ2355,"H")</f>
        <v>11819.200000000877</v>
      </c>
      <c r="BO2354" s="343">
        <f>SUMIFS($AU$1388:AU2355,$AQ$1388:AQ2355,"D")</f>
        <v>11961.177472527181</v>
      </c>
      <c r="BP2354" s="343">
        <f>SUMIFS($AS$1388:AS2704,$AO$1388:AO2704,"W")</f>
        <v>0</v>
      </c>
      <c r="BQ2354" s="343">
        <f>SUMIFS($AU$1388:AU2355,$Q$1388:Q2355,"O")</f>
        <v>-9806.1400000007834</v>
      </c>
      <c r="BR2354" s="343">
        <f>SUMIFS($AU$1388:AU2355,$AA$1388:AA2355,"*")</f>
        <v>38873.602077921219</v>
      </c>
      <c r="BS2354" s="343">
        <f>SUMIFS($AU$1388:AU2355,$AB$1388:AB2355,"*")</f>
        <v>7005.8599999997941</v>
      </c>
      <c r="BT2354" s="343">
        <f>SUMIFS($AU$1388:AU2355,$AC$1388:AC2355,"*")</f>
        <v>31860.358121878122</v>
      </c>
      <c r="BU2354" s="343">
        <f>SUMIFS($AU$1388:AU2355,$AA$1388:AA2355,"*",$AB$1388:AB2355,"*")</f>
        <v>7301.9999999995771</v>
      </c>
      <c r="BV2354" s="343">
        <f>SUMIFS($AU$1388:AU2355,$AA$1388:AA2355,"*",$AC$1388:AC2355,"*")</f>
        <v>29841.316363636532</v>
      </c>
      <c r="BW2354" s="343">
        <f>SUMIFS($AU$1388:AU2355,$AB$1388:AB2355,"*",$AC$1388:AC2355,"*")</f>
        <v>3739.199999999998</v>
      </c>
      <c r="BX2354" s="343">
        <f>SUMIFS($AV$1388:AV2355,$Q$1388:Q2355,"F")</f>
        <v>403.43153082504858</v>
      </c>
      <c r="BY2354" s="343">
        <f>SUMIFS($AV$1388:AV2355,$Q$1388:Q2355,"S")</f>
        <v>727.76285705724263</v>
      </c>
      <c r="BZ2354" s="343">
        <f>SUMIFS($AV$1388:AV2355,$Q$1388:Q2355,"O")</f>
        <v>349.29929999965668</v>
      </c>
    </row>
    <row r="2355" spans="1:79" ht="15.75" customHeight="1">
      <c r="A2355" s="177" t="s">
        <v>7249</v>
      </c>
      <c r="B2355" s="200">
        <v>45497</v>
      </c>
      <c r="C2355" s="178" t="s">
        <v>7308</v>
      </c>
      <c r="D2355" s="178" t="s">
        <v>151</v>
      </c>
      <c r="E2355" s="227"/>
      <c r="F2355" s="180"/>
      <c r="G2355" s="553" t="s">
        <v>2942</v>
      </c>
      <c r="H2355" s="182"/>
      <c r="I2355" s="182"/>
      <c r="J2355" s="182"/>
      <c r="K2355" s="183"/>
      <c r="L2355" s="182"/>
      <c r="M2355" s="182">
        <v>1</v>
      </c>
      <c r="N2355" s="182"/>
      <c r="O2355" s="183" t="s">
        <v>95</v>
      </c>
      <c r="P2355" s="183" t="s">
        <v>96</v>
      </c>
      <c r="Q2355" s="183" t="s">
        <v>97</v>
      </c>
      <c r="R2355" s="183">
        <v>16</v>
      </c>
      <c r="S2355" s="183">
        <v>0</v>
      </c>
      <c r="T2355" s="183">
        <v>16</v>
      </c>
      <c r="U2355" s="183" t="s">
        <v>22</v>
      </c>
      <c r="V2355" s="183" t="s">
        <v>7349</v>
      </c>
      <c r="W2355" s="183" t="s">
        <v>22</v>
      </c>
      <c r="X2355" s="183"/>
      <c r="Y2355" s="184">
        <f t="shared" si="787"/>
        <v>0.01</v>
      </c>
      <c r="Z2355" s="185">
        <f t="shared" si="788"/>
        <v>1600</v>
      </c>
      <c r="AA2355" s="185" t="s">
        <v>5492</v>
      </c>
      <c r="AB2355" s="185"/>
      <c r="AC2355" s="185"/>
      <c r="AD2355" s="649">
        <v>-0.25</v>
      </c>
      <c r="AE2355" s="182"/>
      <c r="AF2355" s="332"/>
      <c r="AG2355" s="182"/>
      <c r="AH2355" s="182"/>
      <c r="AI2355" s="182"/>
      <c r="AJ2355" s="640"/>
      <c r="AK2355" s="182"/>
      <c r="AL2355" s="496">
        <f t="shared" si="789"/>
        <v>-32</v>
      </c>
      <c r="AM2355" s="496">
        <f t="shared" si="790"/>
        <v>-512</v>
      </c>
      <c r="AN2355" s="626"/>
      <c r="AO2355" s="182"/>
      <c r="AP2355" s="182"/>
      <c r="AQ2355" s="332" t="s">
        <v>1259</v>
      </c>
      <c r="AR2355" s="182"/>
      <c r="AS2355" s="189">
        <v>-0.25</v>
      </c>
      <c r="AT2355" s="189">
        <f t="shared" si="791"/>
        <v>0</v>
      </c>
      <c r="AU2355" s="187">
        <f t="shared" si="792"/>
        <v>0</v>
      </c>
      <c r="AV2355" s="190">
        <f t="shared" si="793"/>
        <v>0</v>
      </c>
      <c r="AW2355" s="191" t="s">
        <v>115</v>
      </c>
      <c r="AX2355" s="551" t="s">
        <v>7409</v>
      </c>
      <c r="AY2355" s="551"/>
      <c r="AZ2355" s="551"/>
      <c r="BA2355" s="551"/>
      <c r="BB2355" s="551"/>
      <c r="BC2355" s="551"/>
      <c r="BD2355" s="549"/>
      <c r="BE2355" s="550"/>
      <c r="BF2355" s="549"/>
      <c r="BG2355" s="391">
        <f>SUM($AV$1389:AV2355)</f>
        <v>6728.4936878819562</v>
      </c>
      <c r="BH2355" s="392">
        <f>SUM($AU$1389:AU2355)</f>
        <v>42012.503836163021</v>
      </c>
      <c r="BI2355" s="318">
        <f>SUMIFS($AU$1388:AU2356,$Q$1388:Q2356,"F")</f>
        <v>29524.358121878129</v>
      </c>
      <c r="BJ2355" s="318">
        <f>SUMIFS($AU$1388:AU2356,$Q$1388:Q2356,"S")</f>
        <v>17714.285714285717</v>
      </c>
      <c r="BK2355" s="343">
        <f>SUMIFS($AU$1388:AU2356,$P$1388:P2356,"W")</f>
        <v>16025.423836163443</v>
      </c>
      <c r="BL2355" s="343">
        <f>SUMIFS($AU$1388:AU2356,$P$1388:P2356,"R")</f>
        <v>23640.400000000325</v>
      </c>
      <c r="BM2355" s="343">
        <f>SUMIFS($AU$1388:AU2356,$AQ$1388:AQ2356,"M")</f>
        <v>9283.179999998385</v>
      </c>
      <c r="BN2355" s="343">
        <f>SUMIFS($AU$1388:AU2356,$AQ$1388:AQ2356,"H")</f>
        <v>11963.200000000877</v>
      </c>
      <c r="BO2355" s="343">
        <f>SUMIFS($AU$1388:AU2356,$AQ$1388:AQ2356,"D")</f>
        <v>11961.177472527181</v>
      </c>
      <c r="BP2355" s="343">
        <f>SUMIFS($AS$1388:AS2705,$AO$1388:AO2705,"W")</f>
        <v>0</v>
      </c>
      <c r="BQ2355" s="343">
        <f>SUMIFS($AU$1388:AU2356,$Q$1388:Q2356,"O")</f>
        <v>-9806.1400000007834</v>
      </c>
      <c r="BR2355" s="343">
        <f>SUMIFS($AU$1388:AU2356,$AA$1388:AA2356,"*")</f>
        <v>39017.602077921219</v>
      </c>
      <c r="BS2355" s="343">
        <f>SUMIFS($AU$1388:AU2356,$AB$1388:AB2356,"*")</f>
        <v>7005.8599999997941</v>
      </c>
      <c r="BT2355" s="343">
        <f>SUMIFS($AU$1388:AU2356,$AC$1388:AC2356,"*")</f>
        <v>31860.358121878122</v>
      </c>
      <c r="BU2355" s="343">
        <f>SUMIFS($AU$1388:AU2356,$AA$1388:AA2356,"*",$AB$1388:AB2356,"*")</f>
        <v>7301.9999999995771</v>
      </c>
      <c r="BV2355" s="343">
        <f>SUMIFS($AU$1388:AU2356,$AA$1388:AA2356,"*",$AC$1388:AC2356,"*")</f>
        <v>29841.316363636532</v>
      </c>
      <c r="BW2355" s="343">
        <f>SUMIFS($AU$1388:AU2356,$AB$1388:AB2356,"*",$AC$1388:AC2356,"*")</f>
        <v>3739.199999999998</v>
      </c>
      <c r="BX2355" s="343">
        <f>SUMIFS($AV$1388:AV2356,$Q$1388:Q2356,"F")</f>
        <v>403.43153082504858</v>
      </c>
      <c r="BY2355" s="343">
        <f>SUMIFS($AV$1388:AV2356,$Q$1388:Q2356,"S")</f>
        <v>743.76285705724263</v>
      </c>
      <c r="BZ2355" s="343">
        <f>SUMIFS($AV$1388:AV2356,$Q$1388:Q2356,"O")</f>
        <v>349.29929999965668</v>
      </c>
    </row>
    <row r="2356" spans="1:79" ht="15.75" customHeight="1">
      <c r="A2356" s="177" t="s">
        <v>7249</v>
      </c>
      <c r="B2356" s="200">
        <v>45497</v>
      </c>
      <c r="C2356" s="178" t="s">
        <v>7308</v>
      </c>
      <c r="D2356" s="178" t="s">
        <v>151</v>
      </c>
      <c r="E2356" s="227"/>
      <c r="F2356" s="180"/>
      <c r="G2356" s="553" t="s">
        <v>2070</v>
      </c>
      <c r="H2356" s="182"/>
      <c r="I2356" s="182"/>
      <c r="J2356" s="182"/>
      <c r="K2356" s="183"/>
      <c r="L2356" s="182"/>
      <c r="M2356" s="182">
        <v>1</v>
      </c>
      <c r="N2356" s="182"/>
      <c r="O2356" s="183" t="s">
        <v>95</v>
      </c>
      <c r="P2356" s="183" t="s">
        <v>96</v>
      </c>
      <c r="Q2356" s="183" t="s">
        <v>97</v>
      </c>
      <c r="R2356" s="183">
        <v>9</v>
      </c>
      <c r="S2356" s="183">
        <v>0</v>
      </c>
      <c r="T2356" s="183">
        <v>9</v>
      </c>
      <c r="U2356" s="183" t="s">
        <v>22</v>
      </c>
      <c r="V2356" s="183" t="s">
        <v>7349</v>
      </c>
      <c r="W2356" s="183" t="s">
        <v>22</v>
      </c>
      <c r="X2356" s="183"/>
      <c r="Y2356" s="184">
        <f t="shared" si="787"/>
        <v>0.01</v>
      </c>
      <c r="Z2356" s="185">
        <f t="shared" si="788"/>
        <v>1600</v>
      </c>
      <c r="AA2356" s="185" t="s">
        <v>7410</v>
      </c>
      <c r="AB2356" s="185"/>
      <c r="AC2356" s="185"/>
      <c r="AD2356" s="649">
        <v>-0.13</v>
      </c>
      <c r="AE2356" s="182"/>
      <c r="AF2356" s="332"/>
      <c r="AG2356" s="182"/>
      <c r="AH2356" s="182"/>
      <c r="AI2356" s="182"/>
      <c r="AJ2356" s="640" t="s">
        <v>7411</v>
      </c>
      <c r="AK2356" s="182"/>
      <c r="AL2356" s="496">
        <f t="shared" si="789"/>
        <v>-32</v>
      </c>
      <c r="AM2356" s="496">
        <f t="shared" si="790"/>
        <v>-288</v>
      </c>
      <c r="AN2356" s="626"/>
      <c r="AO2356" s="182"/>
      <c r="AP2356" s="182"/>
      <c r="AQ2356" s="332" t="s">
        <v>372</v>
      </c>
      <c r="AR2356" s="182"/>
      <c r="AS2356" s="189">
        <v>-0.12</v>
      </c>
      <c r="AT2356" s="189">
        <f t="shared" si="791"/>
        <v>1.0000000000000009E-2</v>
      </c>
      <c r="AU2356" s="187">
        <f t="shared" si="792"/>
        <v>144.00000000000011</v>
      </c>
      <c r="AV2356" s="190">
        <f t="shared" si="793"/>
        <v>16.000000000000014</v>
      </c>
      <c r="AW2356" s="191" t="s">
        <v>96</v>
      </c>
      <c r="AX2356" s="551"/>
      <c r="AY2356" s="551"/>
      <c r="AZ2356" s="551"/>
      <c r="BA2356" s="551"/>
      <c r="BB2356" s="551"/>
      <c r="BC2356" s="551"/>
      <c r="BD2356" s="549"/>
      <c r="BE2356" s="550"/>
      <c r="BF2356" s="549"/>
      <c r="BG2356" s="391">
        <f>SUM($AV$1389:AV2356)</f>
        <v>6744.4936878819562</v>
      </c>
      <c r="BH2356" s="392">
        <f>SUM($AU$1389:AU2356)</f>
        <v>42156.503836163021</v>
      </c>
      <c r="BI2356" s="318">
        <f>SUMIFS($AU$1388:AU2357,$Q$1388:Q2357,"F")</f>
        <v>29524.358121878129</v>
      </c>
      <c r="BJ2356" s="318">
        <f>SUMIFS($AU$1388:AU2357,$Q$1388:Q2357,"S")</f>
        <v>18290.285714285717</v>
      </c>
      <c r="BK2356" s="343">
        <f>SUMIFS($AU$1388:AU2357,$P$1388:P2357,"W")</f>
        <v>16025.423836163443</v>
      </c>
      <c r="BL2356" s="343">
        <f>SUMIFS($AU$1388:AU2357,$P$1388:P2357,"R")</f>
        <v>24216.400000000325</v>
      </c>
      <c r="BM2356" s="343">
        <f>SUMIFS($AU$1388:AU2357,$AQ$1388:AQ2357,"M")</f>
        <v>9283.179999998385</v>
      </c>
      <c r="BN2356" s="343">
        <f>SUMIFS($AU$1388:AU2357,$AQ$1388:AQ2357,"H")</f>
        <v>12539.200000000877</v>
      </c>
      <c r="BO2356" s="343">
        <f>SUMIFS($AU$1388:AU2357,$AQ$1388:AQ2357,"D")</f>
        <v>11961.177472527181</v>
      </c>
      <c r="BP2356" s="343">
        <f>SUMIFS($AS$1388:AS2706,$AO$1388:AO2706,"W")</f>
        <v>0</v>
      </c>
      <c r="BQ2356" s="343">
        <f>SUMIFS($AU$1388:AU2357,$Q$1388:Q2357,"O")</f>
        <v>-9806.1400000007834</v>
      </c>
      <c r="BR2356" s="343">
        <f>SUMIFS($AU$1388:AU2357,$AA$1388:AA2357,"*")</f>
        <v>39593.602077921219</v>
      </c>
      <c r="BS2356" s="343">
        <f>SUMIFS($AU$1388:AU2357,$AB$1388:AB2357,"*")</f>
        <v>7005.8599999997941</v>
      </c>
      <c r="BT2356" s="343">
        <f>SUMIFS($AU$1388:AU2357,$AC$1388:AC2357,"*")</f>
        <v>31860.358121878122</v>
      </c>
      <c r="BU2356" s="343">
        <f>SUMIFS($AU$1388:AU2357,$AA$1388:AA2357,"*",$AB$1388:AB2357,"*")</f>
        <v>7301.9999999995771</v>
      </c>
      <c r="BV2356" s="343">
        <f>SUMIFS($AU$1388:AU2357,$AA$1388:AA2357,"*",$AC$1388:AC2357,"*")</f>
        <v>29841.316363636532</v>
      </c>
      <c r="BW2356" s="343">
        <f>SUMIFS($AU$1388:AU2357,$AB$1388:AB2357,"*",$AC$1388:AC2357,"*")</f>
        <v>3739.199999999998</v>
      </c>
      <c r="BX2356" s="343">
        <f>SUMIFS($AV$1388:AV2357,$Q$1388:Q2357,"F")</f>
        <v>403.43153082504858</v>
      </c>
      <c r="BY2356" s="343">
        <f>SUMIFS($AV$1388:AV2357,$Q$1388:Q2357,"S")</f>
        <v>759.76285705724263</v>
      </c>
      <c r="BZ2356" s="343">
        <f>SUMIFS($AV$1388:AV2357,$Q$1388:Q2357,"O")</f>
        <v>349.29929999965668</v>
      </c>
    </row>
    <row r="2357" spans="1:79" ht="15.75" customHeight="1">
      <c r="A2357" s="177" t="s">
        <v>7249</v>
      </c>
      <c r="B2357" s="200">
        <v>45497</v>
      </c>
      <c r="C2357" s="178" t="s">
        <v>4093</v>
      </c>
      <c r="D2357" s="178" t="s">
        <v>151</v>
      </c>
      <c r="E2357" s="227"/>
      <c r="F2357" s="180"/>
      <c r="G2357" s="553" t="s">
        <v>7141</v>
      </c>
      <c r="H2357" s="182"/>
      <c r="I2357" s="182"/>
      <c r="J2357" s="182"/>
      <c r="K2357" s="183"/>
      <c r="L2357" s="182"/>
      <c r="M2357" s="182">
        <v>1</v>
      </c>
      <c r="N2357" s="182"/>
      <c r="O2357" s="183" t="s">
        <v>95</v>
      </c>
      <c r="P2357" s="183" t="s">
        <v>137</v>
      </c>
      <c r="Q2357" s="183" t="s">
        <v>97</v>
      </c>
      <c r="R2357" s="183">
        <v>36</v>
      </c>
      <c r="S2357" s="183">
        <v>0</v>
      </c>
      <c r="T2357" s="183">
        <v>36</v>
      </c>
      <c r="U2357" s="183" t="s">
        <v>22</v>
      </c>
      <c r="V2357" s="183" t="s">
        <v>7349</v>
      </c>
      <c r="W2357" s="183" t="s">
        <v>22</v>
      </c>
      <c r="X2357" s="183"/>
      <c r="Y2357" s="184">
        <f t="shared" si="787"/>
        <v>0.01</v>
      </c>
      <c r="Z2357" s="185">
        <f t="shared" si="788"/>
        <v>1600</v>
      </c>
      <c r="AA2357" s="185" t="s">
        <v>7412</v>
      </c>
      <c r="AB2357" s="185"/>
      <c r="AC2357" s="185"/>
      <c r="AD2357" s="649">
        <v>-0.14000000000000001</v>
      </c>
      <c r="AE2357" s="182"/>
      <c r="AF2357" s="332"/>
      <c r="AG2357" s="182"/>
      <c r="AH2357" s="182"/>
      <c r="AI2357" s="182"/>
      <c r="AJ2357" s="640"/>
      <c r="AK2357" s="182"/>
      <c r="AL2357" s="496">
        <f t="shared" si="789"/>
        <v>-32</v>
      </c>
      <c r="AM2357" s="496">
        <f t="shared" si="790"/>
        <v>-1152</v>
      </c>
      <c r="AN2357" s="626"/>
      <c r="AO2357" s="182"/>
      <c r="AP2357" s="182"/>
      <c r="AQ2357" s="332" t="s">
        <v>372</v>
      </c>
      <c r="AR2357" s="182" t="s">
        <v>7413</v>
      </c>
      <c r="AS2357" s="189">
        <v>-0.13</v>
      </c>
      <c r="AT2357" s="189">
        <f t="shared" si="791"/>
        <v>1.0000000000000009E-2</v>
      </c>
      <c r="AU2357" s="187">
        <f t="shared" si="792"/>
        <v>576.00000000000045</v>
      </c>
      <c r="AV2357" s="190">
        <f t="shared" si="793"/>
        <v>16.000000000000014</v>
      </c>
      <c r="AW2357" s="191" t="s">
        <v>96</v>
      </c>
      <c r="AX2357" s="551"/>
      <c r="AY2357" s="551"/>
      <c r="AZ2357" s="551"/>
      <c r="BA2357" s="551"/>
      <c r="BB2357" s="551"/>
      <c r="BC2357" s="551"/>
      <c r="BD2357" s="549"/>
      <c r="BE2357" s="550"/>
      <c r="BF2357" s="549"/>
      <c r="BG2357" s="391">
        <f>SUM($AV$1389:AV2357)</f>
        <v>6760.4936878819562</v>
      </c>
      <c r="BH2357" s="392">
        <f>SUM($AU$1389:AU2357)</f>
        <v>42732.503836163021</v>
      </c>
      <c r="BI2357" s="318">
        <f>SUMIFS($AU$1388:AU2358,$Q$1388:Q2358,"F")</f>
        <v>29524.358121878129</v>
      </c>
      <c r="BJ2357" s="318">
        <f>SUMIFS($AU$1388:AU2358,$Q$1388:Q2358,"S")</f>
        <v>18290.285714285717</v>
      </c>
      <c r="BK2357" s="343">
        <f>SUMIFS($AU$1388:AU2358,$P$1388:P2358,"W")</f>
        <v>16025.423836163443</v>
      </c>
      <c r="BL2357" s="343">
        <f>SUMIFS($AU$1388:AU2358,$P$1388:P2358,"R")</f>
        <v>24216.400000000325</v>
      </c>
      <c r="BM2357" s="343">
        <f>SUMIFS($AU$1388:AU2358,$AQ$1388:AQ2358,"M")</f>
        <v>9283.179999998385</v>
      </c>
      <c r="BN2357" s="343">
        <f>SUMIFS($AU$1388:AU2358,$AQ$1388:AQ2358,"H")</f>
        <v>12539.200000000877</v>
      </c>
      <c r="BO2357" s="343">
        <f>SUMIFS($AU$1388:AU2358,$AQ$1388:AQ2358,"D")</f>
        <v>11961.177472527181</v>
      </c>
      <c r="BP2357" s="343">
        <f>SUMIFS($AS$1388:AS2707,$AO$1388:AO2707,"W")</f>
        <v>0</v>
      </c>
      <c r="BQ2357" s="343">
        <f>SUMIFS($AU$1388:AU2358,$Q$1388:Q2358,"O")</f>
        <v>-9806.1400000007834</v>
      </c>
      <c r="BR2357" s="343">
        <f>SUMIFS($AU$1388:AU2358,$AA$1388:AA2358,"*")</f>
        <v>39593.602077921219</v>
      </c>
      <c r="BS2357" s="343">
        <f>SUMIFS($AU$1388:AU2358,$AB$1388:AB2358,"*")</f>
        <v>7005.8599999997941</v>
      </c>
      <c r="BT2357" s="343">
        <f>SUMIFS($AU$1388:AU2358,$AC$1388:AC2358,"*")</f>
        <v>31860.358121878122</v>
      </c>
      <c r="BU2357" s="343">
        <f>SUMIFS($AU$1388:AU2358,$AA$1388:AA2358,"*",$AB$1388:AB2358,"*")</f>
        <v>7301.9999999995771</v>
      </c>
      <c r="BV2357" s="343">
        <f>SUMIFS($AU$1388:AU2358,$AA$1388:AA2358,"*",$AC$1388:AC2358,"*")</f>
        <v>29841.316363636532</v>
      </c>
      <c r="BW2357" s="343">
        <f>SUMIFS($AU$1388:AU2358,$AB$1388:AB2358,"*",$AC$1388:AC2358,"*")</f>
        <v>3739.199999999998</v>
      </c>
      <c r="BX2357" s="343">
        <f>SUMIFS($AV$1388:AV2358,$Q$1388:Q2358,"F")</f>
        <v>403.43153082504858</v>
      </c>
      <c r="BY2357" s="343">
        <f>SUMIFS($AV$1388:AV2358,$Q$1388:Q2358,"S")</f>
        <v>759.76285705724263</v>
      </c>
      <c r="BZ2357" s="343">
        <f>SUMIFS($AV$1388:AV2358,$Q$1388:Q2358,"O")</f>
        <v>349.29929999965668</v>
      </c>
    </row>
    <row r="2358" spans="1:79" ht="15.75" customHeight="1">
      <c r="A2358" s="177" t="s">
        <v>7249</v>
      </c>
      <c r="B2358" s="200">
        <v>45497</v>
      </c>
      <c r="C2358" s="178" t="s">
        <v>7308</v>
      </c>
      <c r="D2358" s="178" t="s">
        <v>151</v>
      </c>
      <c r="E2358" s="227"/>
      <c r="F2358" s="180"/>
      <c r="G2358" s="181" t="s">
        <v>7279</v>
      </c>
      <c r="H2358" s="182"/>
      <c r="I2358" s="182"/>
      <c r="J2358" s="182"/>
      <c r="K2358" s="183"/>
      <c r="L2358" s="182"/>
      <c r="M2358" s="182">
        <v>1</v>
      </c>
      <c r="N2358" s="182"/>
      <c r="O2358" s="183" t="s">
        <v>95</v>
      </c>
      <c r="P2358" s="183" t="s">
        <v>137</v>
      </c>
      <c r="Q2358" s="183" t="s">
        <v>97</v>
      </c>
      <c r="R2358" s="183">
        <v>16</v>
      </c>
      <c r="S2358" s="183">
        <v>0</v>
      </c>
      <c r="T2358" s="183">
        <v>16</v>
      </c>
      <c r="U2358" s="183" t="s">
        <v>97</v>
      </c>
      <c r="V2358" s="183" t="s">
        <v>7349</v>
      </c>
      <c r="W2358" s="183" t="s">
        <v>22</v>
      </c>
      <c r="X2358" s="183"/>
      <c r="Y2358" s="184">
        <f t="shared" si="787"/>
        <v>0.01</v>
      </c>
      <c r="Z2358" s="185">
        <f t="shared" si="788"/>
        <v>1600</v>
      </c>
      <c r="AA2358" s="185"/>
      <c r="AB2358" s="185"/>
      <c r="AC2358" s="185" t="s">
        <v>7414</v>
      </c>
      <c r="AD2358" s="649">
        <v>-0.18</v>
      </c>
      <c r="AE2358" s="182"/>
      <c r="AF2358" s="332"/>
      <c r="AG2358" s="182"/>
      <c r="AH2358" s="182"/>
      <c r="AI2358" s="182"/>
      <c r="AJ2358" s="640"/>
      <c r="AK2358" s="182"/>
      <c r="AL2358" s="496">
        <f t="shared" si="789"/>
        <v>-32</v>
      </c>
      <c r="AM2358" s="496">
        <f t="shared" si="790"/>
        <v>-512</v>
      </c>
      <c r="AN2358" s="626"/>
      <c r="AO2358" s="182"/>
      <c r="AP2358" s="182"/>
      <c r="AQ2358" s="332" t="s">
        <v>372</v>
      </c>
      <c r="AR2358" s="182"/>
      <c r="AS2358" s="189">
        <v>-0.18</v>
      </c>
      <c r="AT2358" s="189">
        <f t="shared" si="791"/>
        <v>0</v>
      </c>
      <c r="AU2358" s="187">
        <f t="shared" si="792"/>
        <v>0</v>
      </c>
      <c r="AV2358" s="190">
        <f t="shared" si="793"/>
        <v>0</v>
      </c>
      <c r="AW2358" s="191" t="s">
        <v>115</v>
      </c>
      <c r="AX2358" s="551"/>
      <c r="AY2358" s="551"/>
      <c r="AZ2358" s="551"/>
      <c r="BA2358" s="551"/>
      <c r="BB2358" s="551"/>
      <c r="BC2358" s="551"/>
      <c r="BD2358" s="549"/>
      <c r="BE2358" s="550"/>
      <c r="BF2358" s="549"/>
      <c r="BG2358" s="391">
        <f>SUM($AV$1389:AV2358)</f>
        <v>6760.4936878819562</v>
      </c>
      <c r="BH2358" s="392">
        <f>SUM($AU$1389:AU2358)</f>
        <v>42732.503836163021</v>
      </c>
      <c r="BI2358" s="318">
        <f>SUMIFS($AU$1388:AU2359,$Q$1388:Q2359,"F")</f>
        <v>29524.358121878129</v>
      </c>
      <c r="BJ2358" s="318">
        <f>SUMIFS($AU$1388:AU2359,$Q$1388:Q2359,"S")</f>
        <v>18290.285714285717</v>
      </c>
      <c r="BK2358" s="343">
        <f>SUMIFS($AU$1388:AU2359,$P$1388:P2359,"W")</f>
        <v>16025.423836163443</v>
      </c>
      <c r="BL2358" s="343">
        <f>SUMIFS($AU$1388:AU2359,$P$1388:P2359,"R")</f>
        <v>24216.400000000325</v>
      </c>
      <c r="BM2358" s="343">
        <f>SUMIFS($AU$1388:AU2359,$AQ$1388:AQ2359,"M")</f>
        <v>9283.179999998385</v>
      </c>
      <c r="BN2358" s="343">
        <f>SUMIFS($AU$1388:AU2359,$AQ$1388:AQ2359,"H")</f>
        <v>12539.200000000877</v>
      </c>
      <c r="BO2358" s="343">
        <f>SUMIFS($AU$1388:AU2359,$AQ$1388:AQ2359,"D")</f>
        <v>11961.177472527181</v>
      </c>
      <c r="BP2358" s="343">
        <f>SUMIFS($AS$1388:AS2708,$AO$1388:AO2708,"W")</f>
        <v>0</v>
      </c>
      <c r="BQ2358" s="343">
        <f>SUMIFS($AU$1388:AU2359,$Q$1388:Q2359,"O")</f>
        <v>-9806.1400000007834</v>
      </c>
      <c r="BR2358" s="343">
        <f>SUMIFS($AU$1388:AU2359,$AA$1388:AA2359,"*")</f>
        <v>39593.602077921219</v>
      </c>
      <c r="BS2358" s="343">
        <f>SUMIFS($AU$1388:AU2359,$AB$1388:AB2359,"*")</f>
        <v>7005.8599999997941</v>
      </c>
      <c r="BT2358" s="343">
        <f>SUMIFS($AU$1388:AU2359,$AC$1388:AC2359,"*")</f>
        <v>31860.358121878122</v>
      </c>
      <c r="BU2358" s="343">
        <f>SUMIFS($AU$1388:AU2359,$AA$1388:AA2359,"*",$AB$1388:AB2359,"*")</f>
        <v>7301.9999999995771</v>
      </c>
      <c r="BV2358" s="343">
        <f>SUMIFS($AU$1388:AU2359,$AA$1388:AA2359,"*",$AC$1388:AC2359,"*")</f>
        <v>29841.316363636532</v>
      </c>
      <c r="BW2358" s="343">
        <f>SUMIFS($AU$1388:AU2359,$AB$1388:AB2359,"*",$AC$1388:AC2359,"*")</f>
        <v>3739.199999999998</v>
      </c>
      <c r="BX2358" s="343">
        <f>SUMIFS($AV$1388:AV2359,$Q$1388:Q2359,"F")</f>
        <v>403.43153082504858</v>
      </c>
      <c r="BY2358" s="343">
        <f>SUMIFS($AV$1388:AV2359,$Q$1388:Q2359,"S")</f>
        <v>759.76285705724263</v>
      </c>
      <c r="BZ2358" s="343">
        <f>SUMIFS($AV$1388:AV2359,$Q$1388:Q2359,"O")</f>
        <v>349.29929999965668</v>
      </c>
    </row>
    <row r="2359" spans="1:79" ht="15.75" customHeight="1">
      <c r="A2359" s="177" t="s">
        <v>7249</v>
      </c>
      <c r="B2359" s="200">
        <v>45497</v>
      </c>
      <c r="C2359" s="178" t="s">
        <v>7308</v>
      </c>
      <c r="D2359" s="178" t="s">
        <v>151</v>
      </c>
      <c r="E2359" s="227"/>
      <c r="F2359" s="180"/>
      <c r="G2359" s="553" t="s">
        <v>7415</v>
      </c>
      <c r="H2359" s="182"/>
      <c r="I2359" s="182"/>
      <c r="J2359" s="182"/>
      <c r="K2359" s="183"/>
      <c r="L2359" s="182"/>
      <c r="M2359" s="182">
        <v>1</v>
      </c>
      <c r="N2359" s="182"/>
      <c r="O2359" s="183" t="s">
        <v>95</v>
      </c>
      <c r="P2359" s="183" t="s">
        <v>137</v>
      </c>
      <c r="Q2359" s="183" t="s">
        <v>97</v>
      </c>
      <c r="R2359" s="183">
        <v>18</v>
      </c>
      <c r="S2359" s="183">
        <v>0</v>
      </c>
      <c r="T2359" s="183">
        <v>18</v>
      </c>
      <c r="U2359" s="183" t="s">
        <v>97</v>
      </c>
      <c r="V2359" s="183" t="s">
        <v>7349</v>
      </c>
      <c r="W2359" s="183" t="s">
        <v>22</v>
      </c>
      <c r="X2359" s="183"/>
      <c r="Y2359" s="184">
        <f t="shared" si="787"/>
        <v>0.01</v>
      </c>
      <c r="Z2359" s="185">
        <f t="shared" si="788"/>
        <v>1600</v>
      </c>
      <c r="AA2359" s="185"/>
      <c r="AB2359" s="185"/>
      <c r="AC2359" s="185" t="s">
        <v>4468</v>
      </c>
      <c r="AD2359" s="649">
        <v>-0.08</v>
      </c>
      <c r="AE2359" s="182"/>
      <c r="AF2359" s="332"/>
      <c r="AG2359" s="182"/>
      <c r="AH2359" s="182"/>
      <c r="AI2359" s="182"/>
      <c r="AJ2359" s="640"/>
      <c r="AK2359" s="182"/>
      <c r="AL2359" s="496">
        <f t="shared" si="777"/>
        <v>-32</v>
      </c>
      <c r="AM2359" s="496">
        <f t="shared" si="784"/>
        <v>-576</v>
      </c>
      <c r="AN2359" s="626"/>
      <c r="AO2359" s="182"/>
      <c r="AP2359" s="182" t="s">
        <v>751</v>
      </c>
      <c r="AQ2359" s="332" t="s">
        <v>115</v>
      </c>
      <c r="AR2359" s="298">
        <v>45503</v>
      </c>
      <c r="AS2359" s="189">
        <v>-0.08</v>
      </c>
      <c r="AT2359" s="189">
        <f t="shared" si="785"/>
        <v>0</v>
      </c>
      <c r="AU2359" s="187">
        <f t="shared" si="786"/>
        <v>0</v>
      </c>
      <c r="AV2359" s="190">
        <f t="shared" si="778"/>
        <v>0</v>
      </c>
      <c r="AW2359" s="191" t="s">
        <v>115</v>
      </c>
      <c r="AX2359" s="551"/>
      <c r="AY2359" s="551"/>
      <c r="AZ2359" s="551"/>
      <c r="BA2359" s="551"/>
      <c r="BB2359" s="551"/>
      <c r="BC2359" s="551"/>
      <c r="BD2359" s="549"/>
      <c r="BE2359" s="550"/>
      <c r="BF2359" s="549"/>
      <c r="BG2359" s="391">
        <f>SUM($AV$1389:AV2359)</f>
        <v>6760.4936878819562</v>
      </c>
      <c r="BH2359" s="392">
        <f>SUM($AU$1389:AU2359)</f>
        <v>42732.503836163021</v>
      </c>
      <c r="BI2359" s="318">
        <f>SUMIFS($AU$1388:AU2360,$Q$1388:Q2360,"F")</f>
        <v>29584.358121878129</v>
      </c>
      <c r="BJ2359" s="318">
        <f>SUMIFS($AU$1388:AU2360,$Q$1388:Q2360,"S")</f>
        <v>18290.285714285717</v>
      </c>
      <c r="BK2359" s="343">
        <f>SUMIFS($AU$1388:AU2360,$P$1388:P2360,"W")</f>
        <v>16085.423836163443</v>
      </c>
      <c r="BL2359" s="343">
        <f>SUMIFS($AU$1388:AU2360,$P$1388:P2360,"R")</f>
        <v>24216.400000000325</v>
      </c>
      <c r="BM2359" s="343">
        <f>SUMIFS($AU$1388:AU2360,$AQ$1388:AQ2360,"M")</f>
        <v>9283.179999998385</v>
      </c>
      <c r="BN2359" s="343">
        <f>SUMIFS($AU$1388:AU2360,$AQ$1388:AQ2360,"H")</f>
        <v>12539.200000000877</v>
      </c>
      <c r="BO2359" s="343">
        <f>SUMIFS($AU$1388:AU2360,$AQ$1388:AQ2360,"D")</f>
        <v>12021.177472527181</v>
      </c>
      <c r="BP2359" s="343">
        <f>SUMIFS($AS$1388:AS2709,$AO$1388:AO2709,"W")</f>
        <v>0</v>
      </c>
      <c r="BQ2359" s="343">
        <f>SUMIFS($AU$1388:AU2360,$Q$1388:Q2360,"O")</f>
        <v>-9806.1400000007834</v>
      </c>
      <c r="BR2359" s="343">
        <f>SUMIFS($AU$1388:AU2360,$AA$1388:AA2360,"*")</f>
        <v>39653.602077921219</v>
      </c>
      <c r="BS2359" s="343">
        <f>SUMIFS($AU$1388:AU2360,$AB$1388:AB2360,"*")</f>
        <v>7005.8599999997941</v>
      </c>
      <c r="BT2359" s="343">
        <f>SUMIFS($AU$1388:AU2360,$AC$1388:AC2360,"*")</f>
        <v>31920.358121878122</v>
      </c>
      <c r="BU2359" s="343">
        <f>SUMIFS($AU$1388:AU2360,$AA$1388:AA2360,"*",$AB$1388:AB2360,"*")</f>
        <v>7301.9999999995771</v>
      </c>
      <c r="BV2359" s="343">
        <f>SUMIFS($AU$1388:AU2360,$AA$1388:AA2360,"*",$AC$1388:AC2360,"*")</f>
        <v>29901.316363636532</v>
      </c>
      <c r="BW2359" s="343">
        <f>SUMIFS($AU$1388:AU2360,$AB$1388:AB2360,"*",$AC$1388:AC2360,"*")</f>
        <v>3739.199999999998</v>
      </c>
      <c r="BX2359" s="343">
        <f>SUMIFS($AV$1388:AV2360,$Q$1388:Q2360,"F")</f>
        <v>409.43153082504858</v>
      </c>
      <c r="BY2359" s="343">
        <f>SUMIFS($AV$1388:AV2360,$Q$1388:Q2360,"S")</f>
        <v>759.76285705724263</v>
      </c>
      <c r="BZ2359" s="343">
        <f>SUMIFS($AV$1388:AV2360,$Q$1388:Q2360,"O")</f>
        <v>349.29929999965668</v>
      </c>
    </row>
    <row r="2360" spans="1:79" ht="15.75" customHeight="1">
      <c r="A2360" s="177" t="s">
        <v>7249</v>
      </c>
      <c r="B2360" s="200">
        <v>45489</v>
      </c>
      <c r="C2360" s="178" t="s">
        <v>7303</v>
      </c>
      <c r="D2360" s="178" t="s">
        <v>146</v>
      </c>
      <c r="E2360" s="227"/>
      <c r="F2360" s="180"/>
      <c r="G2360" s="481" t="s">
        <v>7356</v>
      </c>
      <c r="H2360" s="182"/>
      <c r="I2360" s="182"/>
      <c r="J2360" s="182"/>
      <c r="K2360" s="183"/>
      <c r="L2360" s="182"/>
      <c r="M2360" s="182">
        <v>2</v>
      </c>
      <c r="N2360" s="182"/>
      <c r="O2360" s="183" t="s">
        <v>95</v>
      </c>
      <c r="P2360" s="183" t="s">
        <v>96</v>
      </c>
      <c r="Q2360" s="183" t="s">
        <v>256</v>
      </c>
      <c r="R2360" s="183">
        <v>10</v>
      </c>
      <c r="S2360" s="183">
        <v>10</v>
      </c>
      <c r="T2360" s="183">
        <v>9</v>
      </c>
      <c r="U2360" s="183" t="s">
        <v>22</v>
      </c>
      <c r="V2360" s="183" t="s">
        <v>7357</v>
      </c>
      <c r="W2360" s="183" t="s">
        <v>20</v>
      </c>
      <c r="X2360" s="183"/>
      <c r="Y2360" s="184">
        <f t="shared" si="787"/>
        <v>0.01</v>
      </c>
      <c r="Z2360" s="185">
        <f t="shared" si="788"/>
        <v>1600</v>
      </c>
      <c r="AA2360" s="185" t="s">
        <v>6373</v>
      </c>
      <c r="AB2360" s="185"/>
      <c r="AC2360" s="185" t="s">
        <v>7358</v>
      </c>
      <c r="AD2360" s="649">
        <f>((-0.015*9)+(0*27))/36</f>
        <v>-3.7500000000000003E-3</v>
      </c>
      <c r="AE2360" s="182"/>
      <c r="AF2360" s="332"/>
      <c r="AG2360" s="182"/>
      <c r="AH2360" s="182" t="s">
        <v>7416</v>
      </c>
      <c r="AI2360" s="182" t="s">
        <v>7360</v>
      </c>
      <c r="AJ2360" s="640"/>
      <c r="AK2360" s="182"/>
      <c r="AL2360" s="496">
        <f>-0.02*Z2360</f>
        <v>-32</v>
      </c>
      <c r="AM2360" s="496">
        <f>AL2360*(R2360-S2360)</f>
        <v>0</v>
      </c>
      <c r="AN2360" s="409" t="s">
        <v>7361</v>
      </c>
      <c r="AO2360" s="182" t="s">
        <v>7362</v>
      </c>
      <c r="AP2360" s="182"/>
      <c r="AQ2360" s="332" t="s">
        <v>115</v>
      </c>
      <c r="AR2360" s="182"/>
      <c r="AS2360" s="189">
        <f>((0*10)+(0*26))/36</f>
        <v>0</v>
      </c>
      <c r="AT2360" s="189">
        <f>IF(ISBLANK(AS2360),,IF(U2360="S",AD2360-AS2360,AS2360-AD2360))</f>
        <v>3.7500000000000003E-3</v>
      </c>
      <c r="AU2360" s="187">
        <f>AV2360*R2360</f>
        <v>60.000000000000007</v>
      </c>
      <c r="AV2360" s="190">
        <f t="shared" si="778"/>
        <v>6.0000000000000009</v>
      </c>
      <c r="AW2360" s="191" t="s">
        <v>96</v>
      </c>
      <c r="AX2360" s="551"/>
      <c r="AY2360" s="551"/>
      <c r="AZ2360" s="551"/>
      <c r="BA2360" s="551"/>
      <c r="BB2360" s="551"/>
      <c r="BC2360" s="551"/>
      <c r="BD2360" s="549"/>
      <c r="BE2360" s="550"/>
      <c r="BF2360" s="549"/>
      <c r="BG2360" s="391">
        <f>SUM($AV$1389:AV2360)</f>
        <v>6766.4936878819562</v>
      </c>
      <c r="BH2360" s="392">
        <f>SUM($AU$1389:AU2360)</f>
        <v>42792.503836163021</v>
      </c>
      <c r="BI2360" s="318">
        <f>SUMIFS($AU$1388:AU2378,$Q$1388:Q2378,"F")</f>
        <v>28758.758121878131</v>
      </c>
      <c r="BJ2360" s="318">
        <f>SUMIFS($AU$1388:AU2361,$Q$1388:Q2361,"S")</f>
        <v>18290.285714285717</v>
      </c>
      <c r="BK2360" s="343">
        <f>SUMIFS($AU$1388:AU2378,$P$1388:P2378,"W")</f>
        <v>16085.423836163443</v>
      </c>
      <c r="BL2360" s="343">
        <f>SUMIFS($AU$1388:AU2378,$P$1388:P2378,"R")</f>
        <v>23278.800000000327</v>
      </c>
      <c r="BM2360" s="343">
        <f>SUMIFS($AU$1388:AU2378,$AQ$1388:AQ2378,"M")</f>
        <v>9563.1799999983832</v>
      </c>
      <c r="BN2360" s="343">
        <f>SUMIFS($AU$1388:AU2378,$AQ$1388:AQ2378,"H")</f>
        <v>12587.200000000877</v>
      </c>
      <c r="BO2360" s="343">
        <f>SUMIFS($AU$1388:AU2378,$AQ$1388:AQ2378,"D")</f>
        <v>11195.57747252718</v>
      </c>
      <c r="BP2360" s="343">
        <f>SUMIFS($AS$1388:AS2729,$AO$1388:AO2729,"W")</f>
        <v>0</v>
      </c>
      <c r="BQ2360" s="343">
        <f>SUMIFS($AU$1388:AU2378,$Q$1388:Q2378,"O")</f>
        <v>-9366.1400000007852</v>
      </c>
      <c r="BR2360" s="343">
        <f>SUMIFS($AU$1388:AU2378,$AA$1388:AA2378,"*")</f>
        <v>39156.002077921221</v>
      </c>
      <c r="BS2360" s="343">
        <f>SUMIFS($AU$1388:AU2378,$AB$1388:AB2378,"*")</f>
        <v>7005.8599999997941</v>
      </c>
      <c r="BT2360" s="343">
        <f>SUMIFS($AU$1388:AU2378,$AC$1388:AC2378,"*")</f>
        <v>31968.358121878122</v>
      </c>
      <c r="BU2360" s="343">
        <f>SUMIFS($AU$1388:AU2378,$AA$1388:AA2378,"*",$AB$1388:AB2378,"*")</f>
        <v>7301.9999999995771</v>
      </c>
      <c r="BV2360" s="343">
        <f>SUMIFS($AU$1388:AU2378,$AA$1388:AA2378,"*",$AC$1388:AC2378,"*")</f>
        <v>29949.316363636532</v>
      </c>
      <c r="BW2360" s="343">
        <f>SUMIFS($AU$1388:AU2378,$AB$1388:AB2378,"*",$AC$1388:AC2378,"*")</f>
        <v>3739.199999999998</v>
      </c>
      <c r="BX2360" s="343">
        <f>SUMIFS($AV$1388:AV2378,$Q$1388:Q2378,"F")</f>
        <v>396.72999236351012</v>
      </c>
      <c r="BY2360" s="343">
        <f>SUMIFS($AV$1388:AV2378,$Q$1388:Q2378,"S")</f>
        <v>775.76285705724263</v>
      </c>
      <c r="BZ2360" s="343">
        <f>SUMIFS($AV$1388:AV2378,$Q$1388:Q2378,"O")</f>
        <v>569.29929999965555</v>
      </c>
      <c r="CA2360" s="343"/>
    </row>
    <row r="2361" spans="1:79" ht="15.75" customHeight="1">
      <c r="A2361" s="177" t="s">
        <v>7249</v>
      </c>
      <c r="B2361" s="200"/>
      <c r="C2361" s="178"/>
      <c r="D2361" s="178"/>
      <c r="E2361" s="227"/>
      <c r="F2361" s="180"/>
      <c r="G2361" s="181"/>
      <c r="H2361" s="182"/>
      <c r="I2361" s="182"/>
      <c r="J2361" s="182"/>
      <c r="K2361" s="183"/>
      <c r="L2361" s="182"/>
      <c r="M2361" s="182"/>
      <c r="N2361" s="182"/>
      <c r="O2361" s="183"/>
      <c r="P2361" s="183"/>
      <c r="Q2361" s="183"/>
      <c r="R2361" s="183"/>
      <c r="S2361" s="183"/>
      <c r="T2361" s="183"/>
      <c r="U2361" s="183"/>
      <c r="V2361" s="183"/>
      <c r="W2361" s="183"/>
      <c r="X2361" s="183"/>
      <c r="Y2361" s="184"/>
      <c r="Z2361" s="185"/>
      <c r="AA2361" s="185"/>
      <c r="AB2361" s="185"/>
      <c r="AC2361" s="185"/>
      <c r="AD2361" s="649"/>
      <c r="AE2361" s="182"/>
      <c r="AF2361" s="332"/>
      <c r="AG2361" s="182"/>
      <c r="AH2361" s="182"/>
      <c r="AI2361" s="182"/>
      <c r="AJ2361" s="640"/>
      <c r="AK2361" s="182"/>
      <c r="AL2361" s="496">
        <f t="shared" ref="AL2361:AL2377" si="794">-0.02*Z2361</f>
        <v>0</v>
      </c>
      <c r="AM2361" s="496">
        <f t="shared" ref="AM2361:AM2377" si="795">AL2361*(R2361-S2361)</f>
        <v>0</v>
      </c>
      <c r="AN2361" s="626"/>
      <c r="AO2361" s="182"/>
      <c r="AP2361" s="182"/>
      <c r="AQ2361" s="332" t="str">
        <f>UPPER(RIGHT(Journal_Live[[#This Row],[DURATION ]]))</f>
        <v/>
      </c>
      <c r="AR2361" s="182"/>
      <c r="AS2361" s="189"/>
      <c r="AT2361" s="189">
        <f t="shared" ref="AT2361:AT2377" si="796">IF(ISBLANK(AS2361),,IF(U2361="S",AD2361-AS2361,AS2361-AD2361))</f>
        <v>0</v>
      </c>
      <c r="AU2361" s="187">
        <f t="shared" ref="AU2361:AU2377" si="797">AV2361*R2361</f>
        <v>0</v>
      </c>
      <c r="AV2361" s="190">
        <f t="shared" si="778"/>
        <v>0</v>
      </c>
      <c r="AW2361" s="191"/>
      <c r="AX2361" s="551" t="s">
        <v>7417</v>
      </c>
      <c r="AY2361" s="634" t="s">
        <v>7418</v>
      </c>
      <c r="AZ2361" s="551" t="s">
        <v>7419</v>
      </c>
      <c r="BA2361" s="551" t="s">
        <v>7420</v>
      </c>
      <c r="BB2361" s="551"/>
      <c r="BC2361" s="551"/>
      <c r="BD2361" s="549"/>
      <c r="BE2361" s="550"/>
      <c r="BF2361" s="549"/>
      <c r="BG2361" s="391">
        <f>SUM($AV$1389:AV2361)</f>
        <v>6766.4936878819562</v>
      </c>
      <c r="BH2361" s="392">
        <f>SUM($AU$1389:AU2361)</f>
        <v>42792.503836163021</v>
      </c>
      <c r="BI2361" s="318">
        <f>SUMIFS($AU$1388:AU2362,$Q$1388:Q2362,"F")</f>
        <v>29584.358121878129</v>
      </c>
      <c r="BJ2361" s="318">
        <f>SUMIFS($AU$1388:AU2362,$Q$1388:Q2362,"S")</f>
        <v>18290.285714285717</v>
      </c>
      <c r="BK2361" s="343">
        <f>SUMIFS($AU$1388:AU2362,$P$1388:P2362,"W")</f>
        <v>16085.423836163443</v>
      </c>
      <c r="BL2361" s="343">
        <f>SUMIFS($AU$1388:AU2362,$P$1388:P2362,"R")</f>
        <v>24056.400000000325</v>
      </c>
      <c r="BM2361" s="343">
        <f>SUMIFS($AU$1388:AU2362,$AQ$1388:AQ2362,"M")</f>
        <v>9123.179999998385</v>
      </c>
      <c r="BN2361" s="343">
        <f>SUMIFS($AU$1388:AU2362,$AQ$1388:AQ2362,"H")</f>
        <v>12539.200000000877</v>
      </c>
      <c r="BO2361" s="343">
        <f>SUMIFS($AU$1388:AU2362,$AQ$1388:AQ2362,"D")</f>
        <v>12021.177472527181</v>
      </c>
      <c r="BP2361" s="343">
        <f>SUMIFS($AS$1388:AS2702,$AO$1388:AO2702,"W")</f>
        <v>0</v>
      </c>
      <c r="BQ2361" s="343">
        <f>SUMIFS($AU$1388:AU2362,$Q$1388:Q2362,"O")</f>
        <v>-9806.1400000007834</v>
      </c>
      <c r="BR2361" s="343">
        <f>SUMIFS($AU$1388:AU2362,$AA$1388:AA2362,"*")</f>
        <v>39493.602077921219</v>
      </c>
      <c r="BS2361" s="343">
        <f>SUMIFS($AU$1388:AU2362,$AB$1388:AB2362,"*")</f>
        <v>7005.8599999997941</v>
      </c>
      <c r="BT2361" s="343">
        <f>SUMIFS($AU$1388:AU2362,$AC$1388:AC2362,"*")</f>
        <v>31920.358121878122</v>
      </c>
      <c r="BU2361" s="343">
        <f>SUMIFS($AU$1388:AU2362,$AA$1388:AA2362,"*",$AB$1388:AB2362,"*")</f>
        <v>7301.9999999995771</v>
      </c>
      <c r="BV2361" s="343">
        <f>SUMIFS($AU$1388:AU2362,$AA$1388:AA2362,"*",$AC$1388:AC2362,"*")</f>
        <v>29901.316363636532</v>
      </c>
      <c r="BW2361" s="343">
        <f>SUMIFS($AU$1388:AU2362,$AB$1388:AB2362,"*",$AC$1388:AC2362,"*")</f>
        <v>3739.199999999998</v>
      </c>
      <c r="BX2361" s="343">
        <f>SUMIFS($AV$1388:AV2362,$Q$1388:Q2362,"F")</f>
        <v>409.43153082504858</v>
      </c>
      <c r="BY2361" s="343">
        <f>SUMIFS($AV$1388:AV2362,$Q$1388:Q2362,"S")</f>
        <v>759.76285705724263</v>
      </c>
      <c r="BZ2361" s="343">
        <f>SUMIFS($AV$1388:AV2362,$Q$1388:Q2362,"O")</f>
        <v>349.29929999965668</v>
      </c>
    </row>
    <row r="2362" spans="1:79" ht="15.75" customHeight="1">
      <c r="A2362" s="177" t="s">
        <v>7249</v>
      </c>
      <c r="B2362" s="200">
        <v>45503</v>
      </c>
      <c r="C2362" s="178" t="s">
        <v>7308</v>
      </c>
      <c r="D2362" s="178" t="s">
        <v>146</v>
      </c>
      <c r="E2362" s="227"/>
      <c r="F2362" s="180"/>
      <c r="G2362" s="181" t="s">
        <v>5672</v>
      </c>
      <c r="H2362" s="182"/>
      <c r="I2362" s="182"/>
      <c r="J2362" s="182"/>
      <c r="K2362" s="183"/>
      <c r="L2362" s="182">
        <v>1</v>
      </c>
      <c r="M2362" s="182"/>
      <c r="N2362" s="182"/>
      <c r="O2362" s="183" t="s">
        <v>2652</v>
      </c>
      <c r="P2362" s="183" t="s">
        <v>137</v>
      </c>
      <c r="Q2362" s="183"/>
      <c r="R2362" s="183">
        <v>1</v>
      </c>
      <c r="S2362" s="183">
        <v>0</v>
      </c>
      <c r="T2362" s="183">
        <v>1</v>
      </c>
      <c r="U2362" s="183" t="s">
        <v>97</v>
      </c>
      <c r="V2362" s="183" t="s">
        <v>7349</v>
      </c>
      <c r="W2362" s="183" t="s">
        <v>115</v>
      </c>
      <c r="X2362" s="183"/>
      <c r="Y2362" s="184">
        <f>IF(ISBLANK(O2362),"",(IF(O2362=UPPER("IB"),0.005,0.01)))</f>
        <v>0.01</v>
      </c>
      <c r="Z2362" s="185">
        <f>IF(ISBLANK(O2362),"",IF(O2362="IB",8.63*200,IF(O2362="IR",16*100,IF(O2362="YT",20*100,IF(O2362="YT-XT",24*200,IF(O2362="TED",80*100,IF(O2362="IR|YT",300*100)))))))</f>
        <v>8000</v>
      </c>
      <c r="AA2362" s="185" t="s">
        <v>7421</v>
      </c>
      <c r="AB2362" s="185"/>
      <c r="AC2362" s="185"/>
      <c r="AD2362" s="649">
        <v>0.02</v>
      </c>
      <c r="AE2362" s="182"/>
      <c r="AF2362" s="332"/>
      <c r="AG2362" s="182"/>
      <c r="AH2362" s="182"/>
      <c r="AI2362" s="182"/>
      <c r="AJ2362" s="640"/>
      <c r="AK2362" s="182"/>
      <c r="AL2362" s="496">
        <f t="shared" si="794"/>
        <v>-160</v>
      </c>
      <c r="AM2362" s="496">
        <f t="shared" si="795"/>
        <v>-160</v>
      </c>
      <c r="AN2362" s="626"/>
      <c r="AO2362" s="182"/>
      <c r="AP2362" s="182"/>
      <c r="AQ2362" s="332" t="s">
        <v>1259</v>
      </c>
      <c r="AR2362" s="182"/>
      <c r="AS2362" s="189">
        <v>0.04</v>
      </c>
      <c r="AT2362" s="189">
        <f t="shared" si="796"/>
        <v>-0.02</v>
      </c>
      <c r="AU2362" s="187">
        <f t="shared" si="797"/>
        <v>-160</v>
      </c>
      <c r="AV2362" s="190">
        <f t="shared" si="778"/>
        <v>-160</v>
      </c>
      <c r="AW2362" s="191" t="s">
        <v>229</v>
      </c>
      <c r="AX2362" s="551" t="s">
        <v>7422</v>
      </c>
      <c r="AY2362" s="551" t="s">
        <v>7423</v>
      </c>
      <c r="AZ2362" s="551"/>
      <c r="BA2362" s="551"/>
      <c r="BB2362" s="551"/>
      <c r="BC2362" s="551"/>
      <c r="BD2362" s="549"/>
      <c r="BE2362" s="550"/>
      <c r="BF2362" s="549"/>
      <c r="BG2362" s="391">
        <f>SUM($AV$1389:AV2362)</f>
        <v>6606.4936878819562</v>
      </c>
      <c r="BH2362" s="392">
        <f>SUM($AU$1389:AU2362)</f>
        <v>42632.503836163021</v>
      </c>
      <c r="BI2362" s="318">
        <f>SUMIFS($AU$1388:AU2363,$Q$1388:Q2363,"F")</f>
        <v>29584.358121878129</v>
      </c>
      <c r="BJ2362" s="318">
        <f>SUMIFS($AU$1388:AU2363,$Q$1388:Q2363,"S")</f>
        <v>18290.285714285717</v>
      </c>
      <c r="BK2362" s="343">
        <f>SUMIFS($AU$1388:AU2363,$P$1388:P2363,"W")</f>
        <v>16085.423836163443</v>
      </c>
      <c r="BL2362" s="343">
        <f>SUMIFS($AU$1388:AU2363,$P$1388:P2363,"R")</f>
        <v>24056.400000000325</v>
      </c>
      <c r="BM2362" s="343">
        <f>SUMIFS($AU$1388:AU2363,$AQ$1388:AQ2363,"M")</f>
        <v>9123.179999998385</v>
      </c>
      <c r="BN2362" s="343">
        <f>SUMIFS($AU$1388:AU2363,$AQ$1388:AQ2363,"H")</f>
        <v>12539.200000000877</v>
      </c>
      <c r="BO2362" s="343">
        <f>SUMIFS($AU$1388:AU2363,$AQ$1388:AQ2363,"D")</f>
        <v>12021.177472527181</v>
      </c>
      <c r="BP2362" s="343">
        <f>SUMIFS($AS$1388:AS2703,$AO$1388:AO2703,"W")</f>
        <v>0</v>
      </c>
      <c r="BQ2362" s="343">
        <f>SUMIFS($AU$1388:AU2363,$Q$1388:Q2363,"O")</f>
        <v>-9806.1400000007834</v>
      </c>
      <c r="BR2362" s="343">
        <f>SUMIFS($AU$1388:AU2363,$AA$1388:AA2363,"*")</f>
        <v>39493.602077921219</v>
      </c>
      <c r="BS2362" s="343">
        <f>SUMIFS($AU$1388:AU2363,$AB$1388:AB2363,"*")</f>
        <v>7005.8599999997941</v>
      </c>
      <c r="BT2362" s="343">
        <f>SUMIFS($AU$1388:AU2363,$AC$1388:AC2363,"*")</f>
        <v>31920.358121878122</v>
      </c>
      <c r="BU2362" s="343">
        <f>SUMIFS($AU$1388:AU2363,$AA$1388:AA2363,"*",$AB$1388:AB2363,"*")</f>
        <v>7301.9999999995771</v>
      </c>
      <c r="BV2362" s="343">
        <f>SUMIFS($AU$1388:AU2363,$AA$1388:AA2363,"*",$AC$1388:AC2363,"*")</f>
        <v>29901.316363636532</v>
      </c>
      <c r="BW2362" s="343">
        <f>SUMIFS($AU$1388:AU2363,$AB$1388:AB2363,"*",$AC$1388:AC2363,"*")</f>
        <v>3739.199999999998</v>
      </c>
      <c r="BX2362" s="343">
        <f>SUMIFS($AV$1388:AV2363,$Q$1388:Q2363,"F")</f>
        <v>409.43153082504858</v>
      </c>
      <c r="BY2362" s="343">
        <f>SUMIFS($AV$1388:AV2363,$Q$1388:Q2363,"S")</f>
        <v>759.76285705724263</v>
      </c>
      <c r="BZ2362" s="343">
        <f>SUMIFS($AV$1388:AV2363,$Q$1388:Q2363,"O")</f>
        <v>349.29929999965668</v>
      </c>
    </row>
    <row r="2363" spans="1:79" ht="15.75" customHeight="1">
      <c r="A2363" s="177" t="s">
        <v>7249</v>
      </c>
      <c r="B2363" s="200">
        <v>45503</v>
      </c>
      <c r="C2363" s="178" t="s">
        <v>7308</v>
      </c>
      <c r="D2363" s="178" t="s">
        <v>146</v>
      </c>
      <c r="E2363" s="227"/>
      <c r="F2363" s="180"/>
      <c r="G2363" s="553" t="s">
        <v>7141</v>
      </c>
      <c r="H2363" s="182"/>
      <c r="I2363" s="182"/>
      <c r="J2363" s="182"/>
      <c r="K2363" s="183"/>
      <c r="L2363" s="182"/>
      <c r="M2363" s="182">
        <v>1</v>
      </c>
      <c r="N2363" s="182"/>
      <c r="O2363" s="183" t="s">
        <v>95</v>
      </c>
      <c r="P2363" s="183" t="s">
        <v>96</v>
      </c>
      <c r="Q2363" s="183" t="s">
        <v>97</v>
      </c>
      <c r="R2363" s="183">
        <v>34</v>
      </c>
      <c r="S2363" s="183">
        <v>0</v>
      </c>
      <c r="T2363" s="183">
        <v>34</v>
      </c>
      <c r="U2363" s="183" t="s">
        <v>22</v>
      </c>
      <c r="V2363" s="183" t="s">
        <v>7349</v>
      </c>
      <c r="W2363" s="183" t="s">
        <v>22</v>
      </c>
      <c r="X2363" s="183"/>
      <c r="Y2363" s="184">
        <f>IF(ISBLANK(O2363),"",(IF(O2363=UPPER("IB"),0.005,0.01)))</f>
        <v>0.01</v>
      </c>
      <c r="Z2363" s="185">
        <f>IF(ISBLANK(O2363),"",IF(O2363="IB",8.63*200,IF(O2363="IR",16*100,IF(O2363="YT",20*100,IF(O2363="YT-XT",24*200,IF(O2363="TED",80*100,IF(O2363="IR|YT",300*100)))))))</f>
        <v>1600</v>
      </c>
      <c r="AA2363" s="185"/>
      <c r="AB2363" s="185"/>
      <c r="AC2363" s="185" t="s">
        <v>7424</v>
      </c>
      <c r="AD2363" s="649">
        <v>-0.14000000000000001</v>
      </c>
      <c r="AE2363" s="182"/>
      <c r="AF2363" s="332"/>
      <c r="AG2363" s="182"/>
      <c r="AH2363" s="182"/>
      <c r="AI2363" s="182"/>
      <c r="AJ2363" s="640"/>
      <c r="AK2363" s="182"/>
      <c r="AL2363" s="496">
        <f t="shared" si="794"/>
        <v>-32</v>
      </c>
      <c r="AM2363" s="496">
        <f t="shared" si="795"/>
        <v>-1088</v>
      </c>
      <c r="AN2363" s="626"/>
      <c r="AO2363" s="182"/>
      <c r="AP2363" s="182"/>
      <c r="AQ2363" s="332" t="str">
        <f>UPPER(RIGHT(Journal_Live[[#This Row],[DURATION ]]))</f>
        <v/>
      </c>
      <c r="AR2363" s="182"/>
      <c r="AS2363" s="189">
        <v>-0.14000000000000001</v>
      </c>
      <c r="AT2363" s="189">
        <f t="shared" si="796"/>
        <v>0</v>
      </c>
      <c r="AU2363" s="187">
        <f t="shared" si="797"/>
        <v>0</v>
      </c>
      <c r="AV2363" s="190">
        <f t="shared" si="778"/>
        <v>0</v>
      </c>
      <c r="AW2363" s="191" t="s">
        <v>115</v>
      </c>
      <c r="AX2363" s="551" t="s">
        <v>7425</v>
      </c>
      <c r="AY2363" s="551"/>
      <c r="AZ2363" s="551"/>
      <c r="BA2363" s="551"/>
      <c r="BB2363" s="551"/>
      <c r="BC2363" s="551"/>
      <c r="BD2363" s="549"/>
      <c r="BE2363" s="550"/>
      <c r="BF2363" s="549"/>
      <c r="BG2363" s="391">
        <f>SUM($AV$1389:AV2363)</f>
        <v>6606.4936878819562</v>
      </c>
      <c r="BH2363" s="392">
        <f>SUM($AU$1389:AU2363)</f>
        <v>42632.503836163021</v>
      </c>
      <c r="BI2363" s="318">
        <f>SUMIFS($AU$1388:AU2364,$Q$1388:Q2364,"F")</f>
        <v>29584.358121878129</v>
      </c>
      <c r="BJ2363" s="318">
        <f>SUMIFS($AU$1388:AU2364,$Q$1388:Q2364,"S")</f>
        <v>18290.285714285717</v>
      </c>
      <c r="BK2363" s="343">
        <f>SUMIFS($AU$1388:AU2364,$P$1388:P2364,"W")</f>
        <v>16085.423836163443</v>
      </c>
      <c r="BL2363" s="343">
        <f>SUMIFS($AU$1388:AU2364,$P$1388:P2364,"R")</f>
        <v>24056.400000000325</v>
      </c>
      <c r="BM2363" s="343">
        <f>SUMIFS($AU$1388:AU2364,$AQ$1388:AQ2364,"M")</f>
        <v>9123.179999998385</v>
      </c>
      <c r="BN2363" s="343">
        <f>SUMIFS($AU$1388:AU2364,$AQ$1388:AQ2364,"H")</f>
        <v>12539.200000000877</v>
      </c>
      <c r="BO2363" s="343">
        <f>SUMIFS($AU$1388:AU2364,$AQ$1388:AQ2364,"D")</f>
        <v>12021.177472527181</v>
      </c>
      <c r="BP2363" s="343">
        <f>SUMIFS($AS$1388:AS2704,$AO$1388:AO2704,"W")</f>
        <v>0</v>
      </c>
      <c r="BQ2363" s="343">
        <f>SUMIFS($AU$1388:AU2364,$Q$1388:Q2364,"O")</f>
        <v>-9806.1400000007834</v>
      </c>
      <c r="BR2363" s="343">
        <f>SUMIFS($AU$1388:AU2364,$AA$1388:AA2364,"*")</f>
        <v>39493.602077921219</v>
      </c>
      <c r="BS2363" s="343">
        <f>SUMIFS($AU$1388:AU2364,$AB$1388:AB2364,"*")</f>
        <v>7005.8599999997941</v>
      </c>
      <c r="BT2363" s="343">
        <f>SUMIFS($AU$1388:AU2364,$AC$1388:AC2364,"*")</f>
        <v>31920.358121878122</v>
      </c>
      <c r="BU2363" s="343">
        <f>SUMIFS($AU$1388:AU2364,$AA$1388:AA2364,"*",$AB$1388:AB2364,"*")</f>
        <v>7301.9999999995771</v>
      </c>
      <c r="BV2363" s="343">
        <f>SUMIFS($AU$1388:AU2364,$AA$1388:AA2364,"*",$AC$1388:AC2364,"*")</f>
        <v>29901.316363636532</v>
      </c>
      <c r="BW2363" s="343">
        <f>SUMIFS($AU$1388:AU2364,$AB$1388:AB2364,"*",$AC$1388:AC2364,"*")</f>
        <v>3739.199999999998</v>
      </c>
      <c r="BX2363" s="343">
        <f>SUMIFS($AV$1388:AV2364,$Q$1388:Q2364,"F")</f>
        <v>409.43153082504858</v>
      </c>
      <c r="BY2363" s="343">
        <f>SUMIFS($AV$1388:AV2364,$Q$1388:Q2364,"S")</f>
        <v>759.76285705724263</v>
      </c>
      <c r="BZ2363" s="343">
        <f>SUMIFS($AV$1388:AV2364,$Q$1388:Q2364,"O")</f>
        <v>349.29929999965668</v>
      </c>
    </row>
    <row r="2364" spans="1:79" ht="15.75" customHeight="1">
      <c r="A2364" s="177" t="s">
        <v>7249</v>
      </c>
      <c r="B2364" s="200">
        <v>45504</v>
      </c>
      <c r="C2364" s="178" t="s">
        <v>2081</v>
      </c>
      <c r="D2364" s="178" t="s">
        <v>151</v>
      </c>
      <c r="E2364" s="227" t="s">
        <v>7426</v>
      </c>
      <c r="F2364" s="180"/>
      <c r="G2364" s="181"/>
      <c r="H2364" s="182"/>
      <c r="I2364" s="182">
        <v>1</v>
      </c>
      <c r="J2364" s="182"/>
      <c r="K2364" s="183"/>
      <c r="L2364" s="182"/>
      <c r="M2364" s="182"/>
      <c r="N2364" s="182"/>
      <c r="O2364" s="183"/>
      <c r="P2364" s="183"/>
      <c r="Q2364" s="183"/>
      <c r="R2364" s="183"/>
      <c r="S2364" s="183"/>
      <c r="T2364" s="183"/>
      <c r="U2364" s="183"/>
      <c r="V2364" s="183"/>
      <c r="W2364" s="183"/>
      <c r="X2364" s="183"/>
      <c r="Y2364" s="184"/>
      <c r="Z2364" s="185"/>
      <c r="AA2364" s="185"/>
      <c r="AB2364" s="185"/>
      <c r="AC2364" s="185"/>
      <c r="AD2364" s="649"/>
      <c r="AE2364" s="182"/>
      <c r="AF2364" s="332"/>
      <c r="AG2364" s="182"/>
      <c r="AH2364" s="182"/>
      <c r="AI2364" s="182"/>
      <c r="AJ2364" s="640"/>
      <c r="AK2364" s="182"/>
      <c r="AL2364" s="496">
        <f t="shared" si="794"/>
        <v>0</v>
      </c>
      <c r="AM2364" s="496">
        <f t="shared" si="795"/>
        <v>0</v>
      </c>
      <c r="AN2364" s="626"/>
      <c r="AO2364" s="182"/>
      <c r="AP2364" s="182"/>
      <c r="AQ2364" s="332" t="str">
        <f>UPPER(RIGHT(Journal_Live[[#This Row],[DURATION ]]))</f>
        <v/>
      </c>
      <c r="AR2364" s="182"/>
      <c r="AS2364" s="189"/>
      <c r="AT2364" s="189">
        <f t="shared" si="796"/>
        <v>0</v>
      </c>
      <c r="AU2364" s="187">
        <f t="shared" si="797"/>
        <v>0</v>
      </c>
      <c r="AV2364" s="190">
        <f t="shared" si="778"/>
        <v>0</v>
      </c>
      <c r="AW2364" s="191"/>
      <c r="AX2364" s="551"/>
      <c r="AY2364" s="551"/>
      <c r="AZ2364" s="551"/>
      <c r="BA2364" s="551"/>
      <c r="BB2364" s="551"/>
      <c r="BC2364" s="551"/>
      <c r="BD2364" s="549"/>
      <c r="BE2364" s="550"/>
      <c r="BF2364" s="549"/>
      <c r="BG2364" s="391">
        <f>SUM($AV$1389:AV2364)</f>
        <v>6606.4936878819562</v>
      </c>
      <c r="BH2364" s="392">
        <f>SUM($AU$1389:AU2364)</f>
        <v>42632.503836163021</v>
      </c>
      <c r="BI2364" s="318">
        <f>SUMIFS($AU$1388:AU2365,$Q$1388:Q2365,"F")</f>
        <v>29584.358121878129</v>
      </c>
      <c r="BJ2364" s="318">
        <f>SUMIFS($AU$1388:AU2365,$Q$1388:Q2365,"S")</f>
        <v>18290.285714285717</v>
      </c>
      <c r="BK2364" s="343">
        <f>SUMIFS($AU$1388:AU2365,$P$1388:P2365,"W")</f>
        <v>16085.423836163443</v>
      </c>
      <c r="BL2364" s="343">
        <f>SUMIFS($AU$1388:AU2365,$P$1388:P2365,"R")</f>
        <v>24056.400000000325</v>
      </c>
      <c r="BM2364" s="343">
        <f>SUMIFS($AU$1388:AU2365,$AQ$1388:AQ2365,"M")</f>
        <v>9123.179999998385</v>
      </c>
      <c r="BN2364" s="343">
        <f>SUMIFS($AU$1388:AU2365,$AQ$1388:AQ2365,"H")</f>
        <v>12539.200000000877</v>
      </c>
      <c r="BO2364" s="343">
        <f>SUMIFS($AU$1388:AU2365,$AQ$1388:AQ2365,"D")</f>
        <v>12021.177472527181</v>
      </c>
      <c r="BP2364" s="343">
        <f>SUMIFS($AS$1388:AS2705,$AO$1388:AO2705,"W")</f>
        <v>0</v>
      </c>
      <c r="BQ2364" s="343">
        <f>SUMIFS($AU$1388:AU2365,$Q$1388:Q2365,"O")</f>
        <v>-9806.1400000007834</v>
      </c>
      <c r="BR2364" s="343">
        <f>SUMIFS($AU$1388:AU2365,$AA$1388:AA2365,"*")</f>
        <v>39493.602077921219</v>
      </c>
      <c r="BS2364" s="343">
        <f>SUMIFS($AU$1388:AU2365,$AB$1388:AB2365,"*")</f>
        <v>7005.8599999997941</v>
      </c>
      <c r="BT2364" s="343">
        <f>SUMIFS($AU$1388:AU2365,$AC$1388:AC2365,"*")</f>
        <v>31920.358121878122</v>
      </c>
      <c r="BU2364" s="343">
        <f>SUMIFS($AU$1388:AU2365,$AA$1388:AA2365,"*",$AB$1388:AB2365,"*")</f>
        <v>7301.9999999995771</v>
      </c>
      <c r="BV2364" s="343">
        <f>SUMIFS($AU$1388:AU2365,$AA$1388:AA2365,"*",$AC$1388:AC2365,"*")</f>
        <v>29901.316363636532</v>
      </c>
      <c r="BW2364" s="343">
        <f>SUMIFS($AU$1388:AU2365,$AB$1388:AB2365,"*",$AC$1388:AC2365,"*")</f>
        <v>3739.199999999998</v>
      </c>
      <c r="BX2364" s="343">
        <f>SUMIFS($AV$1388:AV2365,$Q$1388:Q2365,"F")</f>
        <v>409.43153082504858</v>
      </c>
      <c r="BY2364" s="343">
        <f>SUMIFS($AV$1388:AV2365,$Q$1388:Q2365,"S")</f>
        <v>759.76285705724263</v>
      </c>
      <c r="BZ2364" s="343">
        <f>SUMIFS($AV$1388:AV2365,$Q$1388:Q2365,"O")</f>
        <v>349.29929999965668</v>
      </c>
    </row>
    <row r="2365" spans="1:79" ht="15.75" customHeight="1">
      <c r="A2365" s="177" t="s">
        <v>7249</v>
      </c>
      <c r="B2365" s="200"/>
      <c r="C2365" s="178"/>
      <c r="D2365" s="178"/>
      <c r="E2365" s="227" t="s">
        <v>7427</v>
      </c>
      <c r="F2365" s="180"/>
      <c r="G2365" s="181"/>
      <c r="H2365" s="182"/>
      <c r="I2365" s="182">
        <v>1</v>
      </c>
      <c r="J2365" s="182"/>
      <c r="K2365" s="183"/>
      <c r="L2365" s="182"/>
      <c r="M2365" s="182"/>
      <c r="N2365" s="182"/>
      <c r="O2365" s="183"/>
      <c r="P2365" s="183"/>
      <c r="Q2365" s="183"/>
      <c r="R2365" s="183"/>
      <c r="S2365" s="183"/>
      <c r="T2365" s="183"/>
      <c r="U2365" s="183"/>
      <c r="V2365" s="183"/>
      <c r="W2365" s="183"/>
      <c r="X2365" s="183"/>
      <c r="Y2365" s="184"/>
      <c r="Z2365" s="185"/>
      <c r="AA2365" s="185"/>
      <c r="AB2365" s="185"/>
      <c r="AC2365" s="185"/>
      <c r="AD2365" s="649"/>
      <c r="AE2365" s="182"/>
      <c r="AF2365" s="332"/>
      <c r="AG2365" s="182"/>
      <c r="AH2365" s="182"/>
      <c r="AI2365" s="182"/>
      <c r="AJ2365" s="640"/>
      <c r="AK2365" s="182"/>
      <c r="AL2365" s="496">
        <f t="shared" si="794"/>
        <v>0</v>
      </c>
      <c r="AM2365" s="496">
        <f t="shared" si="795"/>
        <v>0</v>
      </c>
      <c r="AN2365" s="626"/>
      <c r="AO2365" s="182"/>
      <c r="AP2365" s="182"/>
      <c r="AQ2365" s="332" t="str">
        <f>UPPER(RIGHT(Journal_Live[[#This Row],[DURATION ]]))</f>
        <v/>
      </c>
      <c r="AR2365" s="182"/>
      <c r="AS2365" s="189"/>
      <c r="AT2365" s="189">
        <f t="shared" si="796"/>
        <v>0</v>
      </c>
      <c r="AU2365" s="187">
        <f t="shared" si="797"/>
        <v>0</v>
      </c>
      <c r="AV2365" s="190">
        <f t="shared" si="778"/>
        <v>0</v>
      </c>
      <c r="AW2365" s="191"/>
      <c r="AX2365" s="551"/>
      <c r="AY2365" s="551"/>
      <c r="AZ2365" s="551"/>
      <c r="BA2365" s="551"/>
      <c r="BB2365" s="551"/>
      <c r="BC2365" s="551"/>
      <c r="BD2365" s="549"/>
      <c r="BE2365" s="550"/>
      <c r="BF2365" s="549"/>
      <c r="BG2365" s="391">
        <f>SUM($AV$1389:AV2365)</f>
        <v>6606.4936878819562</v>
      </c>
      <c r="BH2365" s="392">
        <f>SUM($AU$1389:AU2365)</f>
        <v>42632.503836163021</v>
      </c>
      <c r="BI2365" s="318">
        <f>SUMIFS($AU$1388:AU2366,$Q$1388:Q2366,"F")</f>
        <v>29584.358121878129</v>
      </c>
      <c r="BJ2365" s="318">
        <f>SUMIFS($AU$1388:AU2366,$Q$1388:Q2366,"S")</f>
        <v>18290.285714285717</v>
      </c>
      <c r="BK2365" s="343">
        <f>SUMIFS($AU$1388:AU2366,$P$1388:P2366,"W")</f>
        <v>16085.423836163443</v>
      </c>
      <c r="BL2365" s="343">
        <f>SUMIFS($AU$1388:AU2366,$P$1388:P2366,"R")</f>
        <v>24056.400000000325</v>
      </c>
      <c r="BM2365" s="343">
        <f>SUMIFS($AU$1388:AU2366,$AQ$1388:AQ2366,"M")</f>
        <v>9123.179999998385</v>
      </c>
      <c r="BN2365" s="343">
        <f>SUMIFS($AU$1388:AU2366,$AQ$1388:AQ2366,"H")</f>
        <v>12539.200000000877</v>
      </c>
      <c r="BO2365" s="343">
        <f>SUMIFS($AU$1388:AU2366,$AQ$1388:AQ2366,"D")</f>
        <v>12021.177472527181</v>
      </c>
      <c r="BP2365" s="343">
        <f>SUMIFS($AS$1388:AS2706,$AO$1388:AO2706,"W")</f>
        <v>0</v>
      </c>
      <c r="BQ2365" s="343">
        <f>SUMIFS($AU$1388:AU2366,$Q$1388:Q2366,"O")</f>
        <v>-9806.1400000007834</v>
      </c>
      <c r="BR2365" s="343">
        <f>SUMIFS($AU$1388:AU2366,$AA$1388:AA2366,"*")</f>
        <v>39493.602077921219</v>
      </c>
      <c r="BS2365" s="343">
        <f>SUMIFS($AU$1388:AU2366,$AB$1388:AB2366,"*")</f>
        <v>7005.8599999997941</v>
      </c>
      <c r="BT2365" s="343">
        <f>SUMIFS($AU$1388:AU2366,$AC$1388:AC2366,"*")</f>
        <v>31920.358121878122</v>
      </c>
      <c r="BU2365" s="343">
        <f>SUMIFS($AU$1388:AU2366,$AA$1388:AA2366,"*",$AB$1388:AB2366,"*")</f>
        <v>7301.9999999995771</v>
      </c>
      <c r="BV2365" s="343">
        <f>SUMIFS($AU$1388:AU2366,$AA$1388:AA2366,"*",$AC$1388:AC2366,"*")</f>
        <v>29901.316363636532</v>
      </c>
      <c r="BW2365" s="343">
        <f>SUMIFS($AU$1388:AU2366,$AB$1388:AB2366,"*",$AC$1388:AC2366,"*")</f>
        <v>3739.199999999998</v>
      </c>
      <c r="BX2365" s="343">
        <f>SUMIFS($AV$1388:AV2366,$Q$1388:Q2366,"F")</f>
        <v>409.43153082504858</v>
      </c>
      <c r="BY2365" s="343">
        <f>SUMIFS($AV$1388:AV2366,$Q$1388:Q2366,"S")</f>
        <v>759.76285705724263</v>
      </c>
      <c r="BZ2365" s="343">
        <f>SUMIFS($AV$1388:AV2366,$Q$1388:Q2366,"O")</f>
        <v>349.29929999965668</v>
      </c>
    </row>
    <row r="2366" spans="1:79" ht="15.75" customHeight="1">
      <c r="A2366" s="177" t="s">
        <v>7249</v>
      </c>
      <c r="B2366" s="200"/>
      <c r="C2366" s="178"/>
      <c r="D2366" s="178"/>
      <c r="E2366" s="227" t="s">
        <v>7428</v>
      </c>
      <c r="F2366" s="180"/>
      <c r="G2366" s="181"/>
      <c r="H2366" s="182"/>
      <c r="I2366" s="182"/>
      <c r="J2366" s="182">
        <v>1</v>
      </c>
      <c r="K2366" s="183" t="s">
        <v>115</v>
      </c>
      <c r="L2366" s="182"/>
      <c r="M2366" s="182"/>
      <c r="N2366" s="182"/>
      <c r="O2366" s="183"/>
      <c r="P2366" s="183"/>
      <c r="Q2366" s="183"/>
      <c r="R2366" s="183"/>
      <c r="S2366" s="183"/>
      <c r="T2366" s="183"/>
      <c r="U2366" s="183"/>
      <c r="V2366" s="183"/>
      <c r="W2366" s="183"/>
      <c r="X2366" s="183"/>
      <c r="Y2366" s="184"/>
      <c r="Z2366" s="185"/>
      <c r="AA2366" s="185"/>
      <c r="AB2366" s="185"/>
      <c r="AC2366" s="185"/>
      <c r="AD2366" s="649"/>
      <c r="AE2366" s="182"/>
      <c r="AF2366" s="332"/>
      <c r="AG2366" s="182"/>
      <c r="AH2366" s="182"/>
      <c r="AI2366" s="182"/>
      <c r="AJ2366" s="640"/>
      <c r="AK2366" s="182"/>
      <c r="AL2366" s="496">
        <f t="shared" si="794"/>
        <v>0</v>
      </c>
      <c r="AM2366" s="496">
        <f t="shared" si="795"/>
        <v>0</v>
      </c>
      <c r="AN2366" s="626"/>
      <c r="AO2366" s="182"/>
      <c r="AP2366" s="182"/>
      <c r="AQ2366" s="332" t="str">
        <f>UPPER(RIGHT(Journal_Live[[#This Row],[DURATION ]]))</f>
        <v/>
      </c>
      <c r="AR2366" s="182"/>
      <c r="AS2366" s="189"/>
      <c r="AT2366" s="189">
        <f t="shared" si="796"/>
        <v>0</v>
      </c>
      <c r="AU2366" s="187">
        <f t="shared" si="797"/>
        <v>0</v>
      </c>
      <c r="AV2366" s="190">
        <f t="shared" si="778"/>
        <v>0</v>
      </c>
      <c r="AW2366" s="191"/>
      <c r="AX2366" s="551"/>
      <c r="AY2366" s="551"/>
      <c r="AZ2366" s="551"/>
      <c r="BA2366" s="551"/>
      <c r="BB2366" s="551"/>
      <c r="BC2366" s="551"/>
      <c r="BD2366" s="549"/>
      <c r="BE2366" s="550"/>
      <c r="BF2366" s="549"/>
      <c r="BG2366" s="391">
        <f>SUM($AV$1389:AV2366)</f>
        <v>6606.4936878819562</v>
      </c>
      <c r="BH2366" s="392">
        <f>SUM($AU$1389:AU2366)</f>
        <v>42632.503836163021</v>
      </c>
      <c r="BI2366" s="318">
        <f>SUMIFS($AU$1388:AU2367,$Q$1388:Q2367,"F")</f>
        <v>29584.358121878129</v>
      </c>
      <c r="BJ2366" s="318">
        <f>SUMIFS($AU$1388:AU2367,$Q$1388:Q2367,"S")</f>
        <v>18290.285714285717</v>
      </c>
      <c r="BK2366" s="343">
        <f>SUMIFS($AU$1388:AU2367,$P$1388:P2367,"W")</f>
        <v>16085.423836163443</v>
      </c>
      <c r="BL2366" s="343">
        <f>SUMIFS($AU$1388:AU2367,$P$1388:P2367,"R")</f>
        <v>24056.400000000325</v>
      </c>
      <c r="BM2366" s="343">
        <f>SUMIFS($AU$1388:AU2367,$AQ$1388:AQ2367,"M")</f>
        <v>9123.179999998385</v>
      </c>
      <c r="BN2366" s="343">
        <f>SUMIFS($AU$1388:AU2367,$AQ$1388:AQ2367,"H")</f>
        <v>12539.200000000877</v>
      </c>
      <c r="BO2366" s="343">
        <f>SUMIFS($AU$1388:AU2367,$AQ$1388:AQ2367,"D")</f>
        <v>12021.177472527181</v>
      </c>
      <c r="BP2366" s="343">
        <f>SUMIFS($AS$1388:AS2707,$AO$1388:AO2707,"W")</f>
        <v>0</v>
      </c>
      <c r="BQ2366" s="343">
        <f>SUMIFS($AU$1388:AU2367,$Q$1388:Q2367,"O")</f>
        <v>-9806.1400000007834</v>
      </c>
      <c r="BR2366" s="343">
        <f>SUMIFS($AU$1388:AU2367,$AA$1388:AA2367,"*")</f>
        <v>39493.602077921219</v>
      </c>
      <c r="BS2366" s="343">
        <f>SUMIFS($AU$1388:AU2367,$AB$1388:AB2367,"*")</f>
        <v>7005.8599999997941</v>
      </c>
      <c r="BT2366" s="343">
        <f>SUMIFS($AU$1388:AU2367,$AC$1388:AC2367,"*")</f>
        <v>31920.358121878122</v>
      </c>
      <c r="BU2366" s="343">
        <f>SUMIFS($AU$1388:AU2367,$AA$1388:AA2367,"*",$AB$1388:AB2367,"*")</f>
        <v>7301.9999999995771</v>
      </c>
      <c r="BV2366" s="343">
        <f>SUMIFS($AU$1388:AU2367,$AA$1388:AA2367,"*",$AC$1388:AC2367,"*")</f>
        <v>29901.316363636532</v>
      </c>
      <c r="BW2366" s="343">
        <f>SUMIFS($AU$1388:AU2367,$AB$1388:AB2367,"*",$AC$1388:AC2367,"*")</f>
        <v>3739.199999999998</v>
      </c>
      <c r="BX2366" s="343">
        <f>SUMIFS($AV$1388:AV2367,$Q$1388:Q2367,"F")</f>
        <v>409.43153082504858</v>
      </c>
      <c r="BY2366" s="343">
        <f>SUMIFS($AV$1388:AV2367,$Q$1388:Q2367,"S")</f>
        <v>759.76285705724263</v>
      </c>
      <c r="BZ2366" s="343">
        <f>SUMIFS($AV$1388:AV2367,$Q$1388:Q2367,"O")</f>
        <v>349.29929999965668</v>
      </c>
    </row>
    <row r="2367" spans="1:79" ht="15.75" customHeight="1">
      <c r="A2367" s="177" t="s">
        <v>7249</v>
      </c>
      <c r="B2367" s="200"/>
      <c r="C2367" s="178"/>
      <c r="D2367" s="178"/>
      <c r="E2367" s="227" t="s">
        <v>7429</v>
      </c>
      <c r="F2367" s="180"/>
      <c r="G2367" s="181"/>
      <c r="H2367" s="182"/>
      <c r="I2367" s="182"/>
      <c r="J2367" s="182">
        <v>1</v>
      </c>
      <c r="K2367" s="183" t="s">
        <v>115</v>
      </c>
      <c r="L2367" s="182"/>
      <c r="M2367" s="182"/>
      <c r="N2367" s="182"/>
      <c r="O2367" s="183"/>
      <c r="P2367" s="183"/>
      <c r="Q2367" s="183"/>
      <c r="R2367" s="183"/>
      <c r="S2367" s="183"/>
      <c r="T2367" s="183"/>
      <c r="U2367" s="183"/>
      <c r="V2367" s="183"/>
      <c r="W2367" s="183"/>
      <c r="X2367" s="183"/>
      <c r="Y2367" s="184"/>
      <c r="Z2367" s="185"/>
      <c r="AA2367" s="185"/>
      <c r="AB2367" s="185"/>
      <c r="AC2367" s="185"/>
      <c r="AD2367" s="649"/>
      <c r="AE2367" s="182"/>
      <c r="AF2367" s="332"/>
      <c r="AG2367" s="182"/>
      <c r="AH2367" s="182"/>
      <c r="AI2367" s="182"/>
      <c r="AJ2367" s="640"/>
      <c r="AK2367" s="182"/>
      <c r="AL2367" s="496">
        <f t="shared" si="794"/>
        <v>0</v>
      </c>
      <c r="AM2367" s="496">
        <f t="shared" si="795"/>
        <v>0</v>
      </c>
      <c r="AN2367" s="626"/>
      <c r="AO2367" s="182"/>
      <c r="AP2367" s="182"/>
      <c r="AQ2367" s="332" t="str">
        <f>UPPER(RIGHT(Journal_Live[[#This Row],[DURATION ]]))</f>
        <v/>
      </c>
      <c r="AR2367" s="182"/>
      <c r="AS2367" s="189"/>
      <c r="AT2367" s="189">
        <f t="shared" si="796"/>
        <v>0</v>
      </c>
      <c r="AU2367" s="187">
        <f t="shared" si="797"/>
        <v>0</v>
      </c>
      <c r="AV2367" s="190">
        <f t="shared" si="778"/>
        <v>0</v>
      </c>
      <c r="AW2367" s="191"/>
      <c r="AX2367" s="551"/>
      <c r="AY2367" s="551"/>
      <c r="AZ2367" s="551"/>
      <c r="BA2367" s="551"/>
      <c r="BB2367" s="551"/>
      <c r="BC2367" s="551"/>
      <c r="BD2367" s="549"/>
      <c r="BE2367" s="550"/>
      <c r="BF2367" s="549"/>
      <c r="BG2367" s="391">
        <f>SUM($AV$1389:AV2367)</f>
        <v>6606.4936878819562</v>
      </c>
      <c r="BH2367" s="392">
        <f>SUM($AU$1389:AU2367)</f>
        <v>42632.503836163021</v>
      </c>
      <c r="BI2367" s="318">
        <f>SUMIFS($AU$1388:AU2368,$Q$1388:Q2368,"F")</f>
        <v>29584.358121878129</v>
      </c>
      <c r="BJ2367" s="318">
        <f>SUMIFS($AU$1388:AU2368,$Q$1388:Q2368,"S")</f>
        <v>18290.285714285717</v>
      </c>
      <c r="BK2367" s="343">
        <f>SUMIFS($AU$1388:AU2368,$P$1388:P2368,"W")</f>
        <v>16085.423836163443</v>
      </c>
      <c r="BL2367" s="343">
        <f>SUMIFS($AU$1388:AU2368,$P$1388:P2368,"R")</f>
        <v>24056.400000000325</v>
      </c>
      <c r="BM2367" s="343">
        <f>SUMIFS($AU$1388:AU2368,$AQ$1388:AQ2368,"M")</f>
        <v>9563.1799999983832</v>
      </c>
      <c r="BN2367" s="343">
        <f>SUMIFS($AU$1388:AU2368,$AQ$1388:AQ2368,"H")</f>
        <v>12539.200000000877</v>
      </c>
      <c r="BO2367" s="343">
        <f>SUMIFS($AU$1388:AU2368,$AQ$1388:AQ2368,"D")</f>
        <v>12021.177472527181</v>
      </c>
      <c r="BP2367" s="343">
        <f>SUMIFS($AS$1388:AS2708,$AO$1388:AO2708,"W")</f>
        <v>0</v>
      </c>
      <c r="BQ2367" s="343">
        <f>SUMIFS($AU$1388:AU2368,$Q$1388:Q2368,"O")</f>
        <v>-9366.1400000007852</v>
      </c>
      <c r="BR2367" s="343">
        <f>SUMIFS($AU$1388:AU2368,$AA$1388:AA2368,"*")</f>
        <v>39933.602077921219</v>
      </c>
      <c r="BS2367" s="343">
        <f>SUMIFS($AU$1388:AU2368,$AB$1388:AB2368,"*")</f>
        <v>7005.8599999997941</v>
      </c>
      <c r="BT2367" s="343">
        <f>SUMIFS($AU$1388:AU2368,$AC$1388:AC2368,"*")</f>
        <v>31920.358121878122</v>
      </c>
      <c r="BU2367" s="343">
        <f>SUMIFS($AU$1388:AU2368,$AA$1388:AA2368,"*",$AB$1388:AB2368,"*")</f>
        <v>7301.9999999995771</v>
      </c>
      <c r="BV2367" s="343">
        <f>SUMIFS($AU$1388:AU2368,$AA$1388:AA2368,"*",$AC$1388:AC2368,"*")</f>
        <v>29901.316363636532</v>
      </c>
      <c r="BW2367" s="343">
        <f>SUMIFS($AU$1388:AU2368,$AB$1388:AB2368,"*",$AC$1388:AC2368,"*")</f>
        <v>3739.199999999998</v>
      </c>
      <c r="BX2367" s="343">
        <f>SUMIFS($AV$1388:AV2368,$Q$1388:Q2368,"F")</f>
        <v>409.43153082504858</v>
      </c>
      <c r="BY2367" s="343">
        <f>SUMIFS($AV$1388:AV2368,$Q$1388:Q2368,"S")</f>
        <v>759.76285705724263</v>
      </c>
      <c r="BZ2367" s="343">
        <f>SUMIFS($AV$1388:AV2368,$Q$1388:Q2368,"O")</f>
        <v>569.29929999965555</v>
      </c>
    </row>
    <row r="2368" spans="1:79" ht="15.75" customHeight="1">
      <c r="A2368" s="177" t="s">
        <v>7249</v>
      </c>
      <c r="B2368" s="200">
        <v>45504</v>
      </c>
      <c r="C2368" s="178" t="s">
        <v>682</v>
      </c>
      <c r="D2368" s="178" t="s">
        <v>151</v>
      </c>
      <c r="E2368" s="227"/>
      <c r="F2368" s="180"/>
      <c r="G2368" s="553" t="s">
        <v>7396</v>
      </c>
      <c r="H2368" s="182"/>
      <c r="I2368" s="182"/>
      <c r="J2368" s="182"/>
      <c r="K2368" s="183"/>
      <c r="L2368" s="182">
        <v>2</v>
      </c>
      <c r="M2368" s="182"/>
      <c r="N2368" s="182"/>
      <c r="O2368" s="183" t="s">
        <v>2432</v>
      </c>
      <c r="P2368" s="183" t="s">
        <v>2260</v>
      </c>
      <c r="Q2368" s="183" t="s">
        <v>684</v>
      </c>
      <c r="R2368" s="183">
        <v>2</v>
      </c>
      <c r="S2368" s="183">
        <v>0</v>
      </c>
      <c r="T2368" s="183">
        <v>2</v>
      </c>
      <c r="U2368" s="183" t="s">
        <v>22</v>
      </c>
      <c r="V2368" s="183" t="s">
        <v>7349</v>
      </c>
      <c r="W2368" s="183" t="s">
        <v>22</v>
      </c>
      <c r="X2368" s="183"/>
      <c r="Y2368" s="184">
        <f>IF(ISBLANK(O2368),"",(IF(O2368=UPPER("IB"),0.005,0.01)))</f>
        <v>0.01</v>
      </c>
      <c r="Z2368" s="185">
        <f>IF(ISBLANK(O2368),"",IF(O2368="IB",8.63*200,IF(O2368="IR",16*100,IF(O2368="YT",20*100,IF(O2368="YT-XT",24*200,IF(O2368="TED",80*100,IF(O2368="IR|YT",300*100)))))))</f>
        <v>2000</v>
      </c>
      <c r="AA2368" s="185" t="s">
        <v>5476</v>
      </c>
      <c r="AB2368" s="185"/>
      <c r="AC2368" s="185"/>
      <c r="AD2368" s="649">
        <v>96.17</v>
      </c>
      <c r="AE2368" s="182"/>
      <c r="AF2368" s="332"/>
      <c r="AG2368" s="182"/>
      <c r="AH2368" s="182"/>
      <c r="AI2368" s="182"/>
      <c r="AJ2368" s="640"/>
      <c r="AK2368" s="182"/>
      <c r="AL2368" s="496">
        <f t="shared" si="794"/>
        <v>-40</v>
      </c>
      <c r="AM2368" s="496">
        <f t="shared" si="795"/>
        <v>-80</v>
      </c>
      <c r="AN2368" s="626"/>
      <c r="AO2368" s="182"/>
      <c r="AP2368" s="182" t="s">
        <v>7430</v>
      </c>
      <c r="AQ2368" s="332" t="s">
        <v>1259</v>
      </c>
      <c r="AR2368" s="182"/>
      <c r="AS2368" s="189">
        <v>96.28</v>
      </c>
      <c r="AT2368" s="189">
        <f t="shared" si="796"/>
        <v>0.10999999999999943</v>
      </c>
      <c r="AU2368" s="187">
        <f t="shared" si="797"/>
        <v>439.99999999999773</v>
      </c>
      <c r="AV2368" s="190">
        <f t="shared" si="778"/>
        <v>219.99999999999886</v>
      </c>
      <c r="AW2368" s="191" t="s">
        <v>96</v>
      </c>
      <c r="AX2368" s="551" t="s">
        <v>7431</v>
      </c>
      <c r="AY2368" s="551"/>
      <c r="AZ2368" s="551"/>
      <c r="BA2368" s="551"/>
      <c r="BB2368" s="551"/>
      <c r="BC2368" s="551"/>
      <c r="BD2368" s="549"/>
      <c r="BE2368" s="550" t="s">
        <v>7432</v>
      </c>
      <c r="BF2368" s="549"/>
      <c r="BG2368" s="391">
        <f>SUM($AV$1389:AV2368)</f>
        <v>6826.4936878819553</v>
      </c>
      <c r="BH2368" s="392">
        <f>SUM($AU$1389:AU2368)</f>
        <v>43072.503836163021</v>
      </c>
      <c r="BI2368" s="318">
        <f>SUMIFS($AU$1388:AU2377,$Q$1388:Q2377,"F")</f>
        <v>28758.758121878131</v>
      </c>
      <c r="BJ2368" s="318">
        <f>SUMIFS($AU$1388:AU2369,$Q$1388:Q2369,"S")</f>
        <v>18290.285714285717</v>
      </c>
      <c r="BK2368" s="343">
        <f>SUMIFS($AU$1388:AU2377,$P$1388:P2377,"W")</f>
        <v>16085.423836163443</v>
      </c>
      <c r="BL2368" s="343">
        <f>SUMIFS($AU$1388:AU2377,$P$1388:P2377,"R")</f>
        <v>23278.800000000327</v>
      </c>
      <c r="BM2368" s="343">
        <f>SUMIFS($AU$1388:AU2377,$AQ$1388:AQ2377,"M")</f>
        <v>9563.1799999983832</v>
      </c>
      <c r="BN2368" s="343">
        <f>SUMIFS($AU$1388:AU2377,$AQ$1388:AQ2377,"H")</f>
        <v>12587.200000000877</v>
      </c>
      <c r="BO2368" s="343">
        <f>SUMIFS($AU$1388:AU2377,$AQ$1388:AQ2377,"D")</f>
        <v>11195.57747252718</v>
      </c>
      <c r="BP2368" s="343">
        <f>SUMIFS($AS$1388:AS2709,$AO$1388:AO2709,"W")</f>
        <v>0</v>
      </c>
      <c r="BQ2368" s="343">
        <f>SUMIFS($AU$1388:AU2377,$Q$1388:Q2377,"O")</f>
        <v>-9366.1400000007852</v>
      </c>
      <c r="BR2368" s="343">
        <f>SUMIFS($AU$1388:AU2377,$AA$1388:AA2377,"*")</f>
        <v>39156.002077921221</v>
      </c>
      <c r="BS2368" s="343">
        <f>SUMIFS($AU$1388:AU2377,$AB$1388:AB2377,"*")</f>
        <v>7005.8599999997941</v>
      </c>
      <c r="BT2368" s="343">
        <f>SUMIFS($AU$1388:AU2377,$AC$1388:AC2377,"*")</f>
        <v>31968.358121878122</v>
      </c>
      <c r="BU2368" s="343">
        <f>SUMIFS($AU$1388:AU2377,$AA$1388:AA2377,"*",$AB$1388:AB2377,"*")</f>
        <v>7301.9999999995771</v>
      </c>
      <c r="BV2368" s="343">
        <f>SUMIFS($AU$1388:AU2377,$AA$1388:AA2377,"*",$AC$1388:AC2377,"*")</f>
        <v>29949.316363636532</v>
      </c>
      <c r="BW2368" s="343">
        <f>SUMIFS($AU$1388:AU2377,$AB$1388:AB2377,"*",$AC$1388:AC2377,"*")</f>
        <v>3739.199999999998</v>
      </c>
      <c r="BX2368" s="343">
        <f>SUMIFS($AV$1388:AV2377,$Q$1388:Q2377,"F")</f>
        <v>396.72999236351012</v>
      </c>
      <c r="BY2368" s="343">
        <f>SUMIFS($AV$1388:AV2377,$Q$1388:Q2377,"S")</f>
        <v>775.76285705724263</v>
      </c>
      <c r="BZ2368" s="343">
        <f>SUMIFS($AV$1388:AV2377,$Q$1388:Q2377,"O")</f>
        <v>569.29929999965555</v>
      </c>
    </row>
    <row r="2369" spans="1:78" ht="15.75" customHeight="1">
      <c r="A2369" s="177" t="s">
        <v>7249</v>
      </c>
      <c r="B2369" s="200">
        <v>45504</v>
      </c>
      <c r="C2369" s="178" t="s">
        <v>682</v>
      </c>
      <c r="D2369" s="178" t="s">
        <v>151</v>
      </c>
      <c r="E2369" s="227"/>
      <c r="F2369" s="180"/>
      <c r="G2369" s="553" t="s">
        <v>7433</v>
      </c>
      <c r="H2369" s="182"/>
      <c r="I2369" s="182"/>
      <c r="J2369" s="182"/>
      <c r="K2369" s="183"/>
      <c r="L2369" s="182">
        <v>1</v>
      </c>
      <c r="M2369" s="182"/>
      <c r="N2369" s="182"/>
      <c r="O2369" s="183" t="s">
        <v>95</v>
      </c>
      <c r="P2369" s="183" t="s">
        <v>137</v>
      </c>
      <c r="Q2369" s="183" t="s">
        <v>256</v>
      </c>
      <c r="R2369" s="183">
        <v>65</v>
      </c>
      <c r="S2369" s="183">
        <v>36</v>
      </c>
      <c r="T2369" s="183">
        <v>22</v>
      </c>
      <c r="U2369" s="183" t="s">
        <v>22</v>
      </c>
      <c r="V2369" s="183" t="s">
        <v>7357</v>
      </c>
      <c r="W2369" s="183" t="s">
        <v>22</v>
      </c>
      <c r="X2369" s="183"/>
      <c r="Y2369" s="184">
        <f>IF(ISBLANK(O2369),"",(IF(O2369=UPPER("IB"),0.005,0.01)))</f>
        <v>0.01</v>
      </c>
      <c r="Z2369" s="185">
        <f>IF(ISBLANK(O2369),"",IF(O2369="IB",8.63*200,IF(O2369="IR",16*100,IF(O2369="YT",20*100,IF(O2369="YT-XT",24*200,IF(O2369="TED",80*100,IF(O2369="IR|YT",300*100)))))))</f>
        <v>1600</v>
      </c>
      <c r="AA2369" s="185" t="s">
        <v>7434</v>
      </c>
      <c r="AB2369" s="185"/>
      <c r="AC2369" s="185"/>
      <c r="AD2369" s="649">
        <f>((-0.05*40)+(-0.06*9)+(-0.054*16))/65</f>
        <v>-5.2369230769230765E-2</v>
      </c>
      <c r="AE2369" s="182"/>
      <c r="AF2369" s="332"/>
      <c r="AG2369" s="182"/>
      <c r="AH2369" s="182"/>
      <c r="AI2369" s="182"/>
      <c r="AJ2369" s="640"/>
      <c r="AK2369" s="182"/>
      <c r="AL2369" s="496">
        <f t="shared" ref="AL2369:AL2376" si="798">-0.02*Z2369</f>
        <v>-32</v>
      </c>
      <c r="AM2369" s="496">
        <f t="shared" ref="AM2369:AM2376" si="799">AL2369*(R2369-S2369)</f>
        <v>-928</v>
      </c>
      <c r="AN2369" s="626"/>
      <c r="AO2369" s="182"/>
      <c r="AP2369" s="182"/>
      <c r="AQ2369" s="332" t="s">
        <v>115</v>
      </c>
      <c r="AR2369" s="298">
        <v>45509</v>
      </c>
      <c r="AS2369" s="189">
        <f>((-0.05*36)+(-0.07*20)+(-0.08*9))/65</f>
        <v>-6.0307692307692305E-2</v>
      </c>
      <c r="AT2369" s="189">
        <f t="shared" ref="AT2369:AT2376" si="800">IF(ISBLANK(AS2369),,IF(U2369="S",AD2369-AS2369,AS2369-AD2369))</f>
        <v>-7.9384615384615401E-3</v>
      </c>
      <c r="AU2369" s="187">
        <f t="shared" ref="AU2369:AU2376" si="801">AV2369*R2369</f>
        <v>-825.60000000000014</v>
      </c>
      <c r="AV2369" s="190">
        <f t="shared" ref="AV2369:AV2376" si="802">IF(ISBLANK(AS2369),,(AT2369*Z2369))</f>
        <v>-12.701538461538464</v>
      </c>
      <c r="AW2369" s="191" t="s">
        <v>229</v>
      </c>
      <c r="AX2369" s="551" t="s">
        <v>7435</v>
      </c>
      <c r="AY2369" s="551"/>
      <c r="AZ2369" s="551"/>
      <c r="BA2369" s="551"/>
      <c r="BB2369" s="551" t="s">
        <v>7436</v>
      </c>
      <c r="BC2369" s="551"/>
      <c r="BD2369" s="549"/>
      <c r="BE2369" s="550"/>
      <c r="BF2369" s="549"/>
      <c r="BG2369" s="391">
        <f>SUM($AV$1389:AV2369)</f>
        <v>6813.7921494204165</v>
      </c>
      <c r="BH2369" s="392">
        <f>SUM($AU$1389:AU2369)</f>
        <v>42246.903836163023</v>
      </c>
      <c r="BI2369" s="318">
        <f>SUMIFS($AU$1388:AU2370,$Q$1388:Q2370,"F")</f>
        <v>28758.758121878131</v>
      </c>
      <c r="BJ2369" s="318">
        <f>SUMIFS($AU$1388:AU2370,$Q$1388:Q2370,"S")</f>
        <v>18290.285714285717</v>
      </c>
      <c r="BK2369" s="343">
        <f>SUMIFS($AU$1388:AU2370,$P$1388:P2370,"W")</f>
        <v>16085.423836163443</v>
      </c>
      <c r="BL2369" s="343">
        <f>SUMIFS($AU$1388:AU2370,$P$1388:P2370,"R")</f>
        <v>23230.800000000327</v>
      </c>
      <c r="BM2369" s="343">
        <f>SUMIFS($AU$1388:AU2370,$AQ$1388:AQ2370,"M")</f>
        <v>9563.1799999983832</v>
      </c>
      <c r="BN2369" s="343">
        <f>SUMIFS($AU$1388:AU2370,$AQ$1388:AQ2370,"H")</f>
        <v>12539.200000000877</v>
      </c>
      <c r="BO2369" s="343">
        <f>SUMIFS($AU$1388:AU2370,$AQ$1388:AQ2370,"D")</f>
        <v>11195.57747252718</v>
      </c>
      <c r="BP2369" s="343">
        <f>SUMIFS($AS$1388:AS2706,$AO$1388:AO2706,"W")</f>
        <v>0</v>
      </c>
      <c r="BQ2369" s="343">
        <f>SUMIFS($AU$1388:AU2370,$Q$1388:Q2370,"O")</f>
        <v>-9366.1400000007852</v>
      </c>
      <c r="BR2369" s="343">
        <f>SUMIFS($AU$1388:AU2370,$AA$1388:AA2370,"*")</f>
        <v>39108.002077921221</v>
      </c>
      <c r="BS2369" s="343">
        <f>SUMIFS($AU$1388:AU2370,$AB$1388:AB2370,"*")</f>
        <v>7005.8599999997941</v>
      </c>
      <c r="BT2369" s="343">
        <f>SUMIFS($AU$1388:AU2370,$AC$1388:AC2370,"*")</f>
        <v>31920.358121878122</v>
      </c>
      <c r="BU2369" s="343">
        <f>SUMIFS($AU$1388:AU2370,$AA$1388:AA2370,"*",$AB$1388:AB2370,"*")</f>
        <v>7301.9999999995771</v>
      </c>
      <c r="BV2369" s="343">
        <f>SUMIFS($AU$1388:AU2370,$AA$1388:AA2370,"*",$AC$1388:AC2370,"*")</f>
        <v>29901.316363636532</v>
      </c>
      <c r="BW2369" s="343">
        <f>SUMIFS($AU$1388:AU2370,$AB$1388:AB2370,"*",$AC$1388:AC2370,"*")</f>
        <v>3739.199999999998</v>
      </c>
      <c r="BX2369" s="343">
        <f>SUMIFS($AV$1388:AV2370,$Q$1388:Q2370,"F")</f>
        <v>396.72999236351012</v>
      </c>
      <c r="BY2369" s="343">
        <f>SUMIFS($AV$1388:AV2370,$Q$1388:Q2370,"S")</f>
        <v>759.76285705724263</v>
      </c>
      <c r="BZ2369" s="343">
        <f>SUMIFS($AV$1388:AV2370,$Q$1388:Q2370,"O")</f>
        <v>569.29929999965555</v>
      </c>
    </row>
    <row r="2370" spans="1:78" ht="15.75" customHeight="1">
      <c r="A2370" s="177" t="s">
        <v>7249</v>
      </c>
      <c r="B2370" s="200">
        <v>45504</v>
      </c>
      <c r="C2370" s="178" t="s">
        <v>682</v>
      </c>
      <c r="D2370" s="178" t="s">
        <v>151</v>
      </c>
      <c r="E2370" s="227"/>
      <c r="F2370" s="180"/>
      <c r="G2370" s="553" t="s">
        <v>7437</v>
      </c>
      <c r="H2370" s="182"/>
      <c r="I2370" s="182"/>
      <c r="J2370" s="182"/>
      <c r="K2370" s="183"/>
      <c r="L2370" s="182">
        <v>1</v>
      </c>
      <c r="M2370" s="182"/>
      <c r="N2370" s="182"/>
      <c r="O2370" s="183" t="s">
        <v>95</v>
      </c>
      <c r="P2370" s="183" t="s">
        <v>96</v>
      </c>
      <c r="Q2370" s="183" t="s">
        <v>97</v>
      </c>
      <c r="R2370" s="183">
        <v>10</v>
      </c>
      <c r="S2370" s="183">
        <v>0</v>
      </c>
      <c r="T2370" s="183">
        <v>10</v>
      </c>
      <c r="U2370" s="183" t="s">
        <v>22</v>
      </c>
      <c r="V2370" s="183" t="s">
        <v>7349</v>
      </c>
      <c r="W2370" s="183" t="s">
        <v>115</v>
      </c>
      <c r="X2370" s="183"/>
      <c r="Y2370" s="184">
        <f>IF(ISBLANK(O2370),"",(IF(O2370=UPPER("IB"),0.005,0.01)))</f>
        <v>0.01</v>
      </c>
      <c r="Z2370" s="185">
        <f>IF(ISBLANK(O2370),"",IF(O2370="IB",8.63*200,IF(O2370="IR",16*100,IF(O2370="YT",20*100,IF(O2370="YT-XT",24*200,IF(O2370="TED",80*100,IF(O2370="IR|YT",300*100)))))))</f>
        <v>1600</v>
      </c>
      <c r="AA2370" s="185" t="s">
        <v>7438</v>
      </c>
      <c r="AB2370" s="185"/>
      <c r="AC2370" s="185"/>
      <c r="AD2370" s="649">
        <v>-0.56999999999999995</v>
      </c>
      <c r="AE2370" s="182"/>
      <c r="AF2370" s="332"/>
      <c r="AG2370" s="182"/>
      <c r="AH2370" s="182"/>
      <c r="AI2370" s="182"/>
      <c r="AJ2370" s="640"/>
      <c r="AK2370" s="182"/>
      <c r="AL2370" s="496">
        <f t="shared" si="798"/>
        <v>-32</v>
      </c>
      <c r="AM2370" s="496">
        <f t="shared" si="799"/>
        <v>-320</v>
      </c>
      <c r="AN2370" s="626"/>
      <c r="AO2370" s="182"/>
      <c r="AP2370" s="182"/>
      <c r="AQ2370" s="332" t="s">
        <v>1259</v>
      </c>
      <c r="AR2370" s="182"/>
      <c r="AS2370" s="189">
        <v>-0.56999999999999995</v>
      </c>
      <c r="AT2370" s="189">
        <f t="shared" ref="AT2370" si="803">IF(ISBLANK(AS2370),,IF(U2370="S",AD2370-AS2370,AS2370-AD2370))</f>
        <v>0</v>
      </c>
      <c r="AU2370" s="187">
        <f t="shared" ref="AU2370" si="804">AV2370*R2370</f>
        <v>0</v>
      </c>
      <c r="AV2370" s="190">
        <f t="shared" ref="AV2370" si="805">IF(ISBLANK(AS2370),,(AT2370*Z2370))</f>
        <v>0</v>
      </c>
      <c r="AW2370" s="191" t="s">
        <v>115</v>
      </c>
      <c r="AX2370" s="551" t="s">
        <v>7439</v>
      </c>
      <c r="AY2370" s="551"/>
      <c r="AZ2370" s="551"/>
      <c r="BA2370" s="551"/>
      <c r="BB2370" s="551"/>
      <c r="BC2370" s="551"/>
      <c r="BD2370" s="549"/>
      <c r="BE2370" s="550"/>
      <c r="BF2370" s="549"/>
      <c r="BG2370" s="391">
        <f>SUM($AV$1389:AV2370)</f>
        <v>6813.7921494204165</v>
      </c>
      <c r="BH2370" s="392">
        <f>SUM($AU$1389:AU2370)</f>
        <v>42246.903836163023</v>
      </c>
      <c r="BI2370" s="318">
        <f>SUMIFS($AU$1388:AU2371,$Q$1388:Q2371,"F")</f>
        <v>28758.758121878131</v>
      </c>
      <c r="BJ2370" s="318">
        <f>SUMIFS($AU$1388:AU2371,$Q$1388:Q2371,"S")</f>
        <v>18290.285714285717</v>
      </c>
      <c r="BK2370" s="343">
        <f>SUMIFS($AU$1388:AU2371,$P$1388:P2371,"W")</f>
        <v>16085.423836163443</v>
      </c>
      <c r="BL2370" s="343">
        <f>SUMIFS($AU$1388:AU2371,$P$1388:P2371,"R")</f>
        <v>23230.800000000327</v>
      </c>
      <c r="BM2370" s="343">
        <f>SUMIFS($AU$1388:AU2371,$AQ$1388:AQ2371,"M")</f>
        <v>9563.1799999983832</v>
      </c>
      <c r="BN2370" s="343">
        <f>SUMIFS($AU$1388:AU2371,$AQ$1388:AQ2371,"H")</f>
        <v>12539.200000000877</v>
      </c>
      <c r="BO2370" s="343">
        <f>SUMIFS($AU$1388:AU2371,$AQ$1388:AQ2371,"D")</f>
        <v>11195.57747252718</v>
      </c>
      <c r="BP2370" s="343">
        <f>SUMIFS($AS$1388:AS2707,$AO$1388:AO2707,"W")</f>
        <v>0</v>
      </c>
      <c r="BQ2370" s="343">
        <f>SUMIFS($AU$1388:AU2371,$Q$1388:Q2371,"O")</f>
        <v>-9366.1400000007852</v>
      </c>
      <c r="BR2370" s="343">
        <f>SUMIFS($AU$1388:AU2371,$AA$1388:AA2371,"*")</f>
        <v>39108.002077921221</v>
      </c>
      <c r="BS2370" s="343">
        <f>SUMIFS($AU$1388:AU2371,$AB$1388:AB2371,"*")</f>
        <v>7005.8599999997941</v>
      </c>
      <c r="BT2370" s="343">
        <f>SUMIFS($AU$1388:AU2371,$AC$1388:AC2371,"*")</f>
        <v>31920.358121878122</v>
      </c>
      <c r="BU2370" s="343">
        <f>SUMIFS($AU$1388:AU2371,$AA$1388:AA2371,"*",$AB$1388:AB2371,"*")</f>
        <v>7301.9999999995771</v>
      </c>
      <c r="BV2370" s="343">
        <f>SUMIFS($AU$1388:AU2371,$AA$1388:AA2371,"*",$AC$1388:AC2371,"*")</f>
        <v>29901.316363636532</v>
      </c>
      <c r="BW2370" s="343">
        <f>SUMIFS($AU$1388:AU2371,$AB$1388:AB2371,"*",$AC$1388:AC2371,"*")</f>
        <v>3739.199999999998</v>
      </c>
      <c r="BX2370" s="343">
        <f>SUMIFS($AV$1388:AV2371,$Q$1388:Q2371,"F")</f>
        <v>396.72999236351012</v>
      </c>
      <c r="BY2370" s="343">
        <f>SUMIFS($AV$1388:AV2371,$Q$1388:Q2371,"S")</f>
        <v>759.76285705724263</v>
      </c>
      <c r="BZ2370" s="343">
        <f>SUMIFS($AV$1388:AV2371,$Q$1388:Q2371,"O")</f>
        <v>569.29929999965555</v>
      </c>
    </row>
    <row r="2371" spans="1:78" ht="15.75" customHeight="1">
      <c r="A2371" s="177" t="s">
        <v>7249</v>
      </c>
      <c r="B2371" s="200">
        <v>45504</v>
      </c>
      <c r="C2371" s="178" t="s">
        <v>3003</v>
      </c>
      <c r="D2371" s="178" t="s">
        <v>151</v>
      </c>
      <c r="E2371" s="227" t="s">
        <v>7440</v>
      </c>
      <c r="F2371" s="180" t="s">
        <v>7441</v>
      </c>
      <c r="G2371" s="181"/>
      <c r="H2371" s="182"/>
      <c r="I2371" s="182"/>
      <c r="J2371" s="182"/>
      <c r="K2371" s="183"/>
      <c r="L2371" s="182"/>
      <c r="M2371" s="182"/>
      <c r="N2371" s="182"/>
      <c r="O2371" s="183"/>
      <c r="P2371" s="183"/>
      <c r="Q2371" s="183"/>
      <c r="R2371" s="183"/>
      <c r="S2371" s="183"/>
      <c r="T2371" s="183"/>
      <c r="U2371" s="183"/>
      <c r="V2371" s="183"/>
      <c r="W2371" s="183"/>
      <c r="X2371" s="183"/>
      <c r="Y2371" s="183"/>
      <c r="Z2371" s="185"/>
      <c r="AA2371" s="185"/>
      <c r="AB2371" s="185"/>
      <c r="AC2371" s="185"/>
      <c r="AD2371" s="649"/>
      <c r="AE2371" s="182"/>
      <c r="AF2371" s="332"/>
      <c r="AG2371" s="182"/>
      <c r="AH2371" s="182"/>
      <c r="AI2371" s="182"/>
      <c r="AJ2371" s="640"/>
      <c r="AK2371" s="182"/>
      <c r="AL2371" s="496">
        <f t="shared" si="798"/>
        <v>0</v>
      </c>
      <c r="AM2371" s="496">
        <f t="shared" si="799"/>
        <v>0</v>
      </c>
      <c r="AN2371" s="626"/>
      <c r="AO2371" s="182"/>
      <c r="AP2371" s="182"/>
      <c r="AQ2371" s="332" t="str">
        <f>UPPER(RIGHT(Journal_Live[[#This Row],[DURATION ]]))</f>
        <v/>
      </c>
      <c r="AR2371" s="182"/>
      <c r="AS2371" s="189"/>
      <c r="AT2371" s="189">
        <f t="shared" si="800"/>
        <v>0</v>
      </c>
      <c r="AU2371" s="187">
        <f t="shared" si="801"/>
        <v>0</v>
      </c>
      <c r="AV2371" s="190">
        <f t="shared" si="802"/>
        <v>0</v>
      </c>
      <c r="AW2371" s="191"/>
      <c r="AX2371" s="551"/>
      <c r="AY2371" s="551"/>
      <c r="AZ2371" s="551"/>
      <c r="BA2371" s="551"/>
      <c r="BB2371" s="551"/>
      <c r="BC2371" s="551"/>
      <c r="BD2371" s="549"/>
      <c r="BE2371" s="550"/>
      <c r="BF2371" s="549"/>
      <c r="BG2371" s="391">
        <f>SUM($AV$1389:AV2371)</f>
        <v>6813.7921494204165</v>
      </c>
      <c r="BH2371" s="392">
        <f>SUM($AU$1389:AU2371)</f>
        <v>42246.903836163023</v>
      </c>
      <c r="BI2371" s="318">
        <f>SUMIFS($AU$1388:AU2372,$Q$1388:Q2372,"F")</f>
        <v>28758.758121878131</v>
      </c>
      <c r="BJ2371" s="318">
        <f>SUMIFS($AU$1388:AU2372,$Q$1388:Q2372,"S")</f>
        <v>18290.285714285717</v>
      </c>
      <c r="BK2371" s="343">
        <f>SUMIFS($AU$1388:AU2372,$P$1388:P2372,"W")</f>
        <v>16085.423836163443</v>
      </c>
      <c r="BL2371" s="343">
        <f>SUMIFS($AU$1388:AU2372,$P$1388:P2372,"R")</f>
        <v>23230.800000000327</v>
      </c>
      <c r="BM2371" s="343">
        <f>SUMIFS($AU$1388:AU2372,$AQ$1388:AQ2372,"M")</f>
        <v>9563.1799999983832</v>
      </c>
      <c r="BN2371" s="343">
        <f>SUMIFS($AU$1388:AU2372,$AQ$1388:AQ2372,"H")</f>
        <v>12539.200000000877</v>
      </c>
      <c r="BO2371" s="343">
        <f>SUMIFS($AU$1388:AU2372,$AQ$1388:AQ2372,"D")</f>
        <v>11195.57747252718</v>
      </c>
      <c r="BP2371" s="343">
        <f>SUMIFS($AS$1388:AS2708,$AO$1388:AO2708,"W")</f>
        <v>0</v>
      </c>
      <c r="BQ2371" s="343">
        <f>SUMIFS($AU$1388:AU2372,$Q$1388:Q2372,"O")</f>
        <v>-9366.1400000007852</v>
      </c>
      <c r="BR2371" s="343">
        <f>SUMIFS($AU$1388:AU2372,$AA$1388:AA2372,"*")</f>
        <v>39108.002077921221</v>
      </c>
      <c r="BS2371" s="343">
        <f>SUMIFS($AU$1388:AU2372,$AB$1388:AB2372,"*")</f>
        <v>7005.8599999997941</v>
      </c>
      <c r="BT2371" s="343">
        <f>SUMIFS($AU$1388:AU2372,$AC$1388:AC2372,"*")</f>
        <v>31920.358121878122</v>
      </c>
      <c r="BU2371" s="343">
        <f>SUMIFS($AU$1388:AU2372,$AA$1388:AA2372,"*",$AB$1388:AB2372,"*")</f>
        <v>7301.9999999995771</v>
      </c>
      <c r="BV2371" s="343">
        <f>SUMIFS($AU$1388:AU2372,$AA$1388:AA2372,"*",$AC$1388:AC2372,"*")</f>
        <v>29901.316363636532</v>
      </c>
      <c r="BW2371" s="343">
        <f>SUMIFS($AU$1388:AU2372,$AB$1388:AB2372,"*",$AC$1388:AC2372,"*")</f>
        <v>3739.199999999998</v>
      </c>
      <c r="BX2371" s="343">
        <f>SUMIFS($AV$1388:AV2372,$Q$1388:Q2372,"F")</f>
        <v>396.72999236351012</v>
      </c>
      <c r="BY2371" s="343">
        <f>SUMIFS($AV$1388:AV2372,$Q$1388:Q2372,"S")</f>
        <v>759.76285705724263</v>
      </c>
      <c r="BZ2371" s="343">
        <f>SUMIFS($AV$1388:AV2372,$Q$1388:Q2372,"O")</f>
        <v>569.29929999965555</v>
      </c>
    </row>
    <row r="2372" spans="1:78" ht="15.75" customHeight="1">
      <c r="A2372" s="177" t="s">
        <v>7249</v>
      </c>
      <c r="B2372" s="200">
        <v>45504</v>
      </c>
      <c r="C2372" s="178" t="s">
        <v>682</v>
      </c>
      <c r="D2372" s="178" t="s">
        <v>151</v>
      </c>
      <c r="E2372" s="227"/>
      <c r="F2372" s="180"/>
      <c r="G2372" s="181" t="s">
        <v>6998</v>
      </c>
      <c r="H2372" s="182"/>
      <c r="I2372" s="182"/>
      <c r="J2372" s="182"/>
      <c r="K2372" s="183"/>
      <c r="L2372" s="182">
        <v>2</v>
      </c>
      <c r="M2372" s="182"/>
      <c r="N2372" s="182"/>
      <c r="O2372" s="183" t="s">
        <v>3618</v>
      </c>
      <c r="P2372" s="183" t="s">
        <v>2260</v>
      </c>
      <c r="Q2372" s="183" t="s">
        <v>684</v>
      </c>
      <c r="R2372" s="183">
        <v>1</v>
      </c>
      <c r="S2372" s="183">
        <v>0</v>
      </c>
      <c r="T2372" s="183">
        <v>1</v>
      </c>
      <c r="U2372" s="183" t="s">
        <v>97</v>
      </c>
      <c r="V2372" s="183" t="s">
        <v>7349</v>
      </c>
      <c r="W2372" s="183" t="s">
        <v>22</v>
      </c>
      <c r="X2372" s="183"/>
      <c r="Y2372" s="184">
        <f>IF(ISBLANK(O2372),"",(IF(O2372=UPPER("IB"),0.005,0.01)))</f>
        <v>0.01</v>
      </c>
      <c r="Z2372" s="185">
        <f>IF(ISBLANK(O2372),"",IF(O2372="IB",8.63*200,IF(O2372="IR",16*100,IF(O2372="YT",20*100,IF(O2372="YT-XT",24*200,IF(O2372="TED",80*100,IF(O2372="XT",29*200)))))))</f>
        <v>5800</v>
      </c>
      <c r="AA2372" s="185" t="s">
        <v>5476</v>
      </c>
      <c r="AB2372" s="185"/>
      <c r="AC2372" s="185"/>
      <c r="AD2372" s="649">
        <v>95.855000000000004</v>
      </c>
      <c r="AE2372" s="182"/>
      <c r="AF2372" s="332"/>
      <c r="AG2372" s="182"/>
      <c r="AH2372" s="182"/>
      <c r="AI2372" s="182"/>
      <c r="AJ2372" s="640"/>
      <c r="AK2372" s="182"/>
      <c r="AL2372" s="496">
        <f t="shared" si="798"/>
        <v>-116</v>
      </c>
      <c r="AM2372" s="496">
        <f t="shared" si="799"/>
        <v>-116</v>
      </c>
      <c r="AN2372" s="626"/>
      <c r="AO2372" s="182"/>
      <c r="AP2372" s="182"/>
      <c r="AQ2372" s="332" t="s">
        <v>1259</v>
      </c>
      <c r="AR2372" s="182"/>
      <c r="AS2372" s="189">
        <v>95.855000000000004</v>
      </c>
      <c r="AT2372" s="189">
        <f t="shared" si="800"/>
        <v>0</v>
      </c>
      <c r="AU2372" s="187">
        <f t="shared" si="801"/>
        <v>0</v>
      </c>
      <c r="AV2372" s="190">
        <f t="shared" si="802"/>
        <v>0</v>
      </c>
      <c r="AW2372" s="191" t="s">
        <v>115</v>
      </c>
      <c r="AX2372" s="551" t="s">
        <v>7442</v>
      </c>
      <c r="AY2372" s="551"/>
      <c r="AZ2372" s="551"/>
      <c r="BA2372" s="551"/>
      <c r="BB2372" s="551"/>
      <c r="BC2372" s="551"/>
      <c r="BD2372" s="549"/>
      <c r="BE2372" s="550"/>
      <c r="BF2372" s="549"/>
      <c r="BG2372" s="391">
        <f>SUM($AV$1389:AV2372)</f>
        <v>6813.7921494204165</v>
      </c>
      <c r="BH2372" s="392">
        <f>SUM($AU$1389:AU2372)</f>
        <v>42246.903836163023</v>
      </c>
      <c r="BI2372" s="318">
        <f>SUMIFS($AU$1388:AU2377,$Q$1388:Q2377,"F")</f>
        <v>28758.758121878131</v>
      </c>
      <c r="BJ2372" s="318">
        <f>SUMIFS($AU$1388:AU2373,$Q$1388:Q2373,"S")</f>
        <v>18338.285714285717</v>
      </c>
      <c r="BK2372" s="343">
        <f>SUMIFS($AU$1388:AU2377,$P$1388:P2377,"W")</f>
        <v>16085.423836163443</v>
      </c>
      <c r="BL2372" s="343">
        <f>SUMIFS($AU$1388:AU2377,$P$1388:P2377,"R")</f>
        <v>23278.800000000327</v>
      </c>
      <c r="BM2372" s="343">
        <f>SUMIFS($AU$1388:AU2377,$AQ$1388:AQ2377,"M")</f>
        <v>9563.1799999983832</v>
      </c>
      <c r="BN2372" s="343">
        <f>SUMIFS($AU$1388:AU2377,$AQ$1388:AQ2377,"H")</f>
        <v>12587.200000000877</v>
      </c>
      <c r="BO2372" s="343">
        <f>SUMIFS($AU$1388:AU2377,$AQ$1388:AQ2377,"D")</f>
        <v>11195.57747252718</v>
      </c>
      <c r="BP2372" s="343">
        <f>SUMIFS($AS$1388:AS2709,$AO$1388:AO2709,"W")</f>
        <v>0</v>
      </c>
      <c r="BQ2372" s="343">
        <f>SUMIFS($AU$1388:AU2377,$Q$1388:Q2377,"O")</f>
        <v>-9366.1400000007852</v>
      </c>
      <c r="BR2372" s="343">
        <f>SUMIFS($AU$1388:AU2377,$AA$1388:AA2377,"*")</f>
        <v>39156.002077921221</v>
      </c>
      <c r="BS2372" s="343">
        <f>SUMIFS($AU$1388:AU2377,$AB$1388:AB2377,"*")</f>
        <v>7005.8599999997941</v>
      </c>
      <c r="BT2372" s="343">
        <f>SUMIFS($AU$1388:AU2377,$AC$1388:AC2377,"*")</f>
        <v>31968.358121878122</v>
      </c>
      <c r="BU2372" s="343">
        <f>SUMIFS($AU$1388:AU2377,$AA$1388:AA2377,"*",$AB$1388:AB2377,"*")</f>
        <v>7301.9999999995771</v>
      </c>
      <c r="BV2372" s="343">
        <f>SUMIFS($AU$1388:AU2377,$AA$1388:AA2377,"*",$AC$1388:AC2377,"*")</f>
        <v>29949.316363636532</v>
      </c>
      <c r="BW2372" s="343">
        <f>SUMIFS($AU$1388:AU2377,$AB$1388:AB2377,"*",$AC$1388:AC2377,"*")</f>
        <v>3739.199999999998</v>
      </c>
      <c r="BX2372" s="343">
        <f>SUMIFS($AV$1388:AV2377,$Q$1388:Q2377,"F")</f>
        <v>396.72999236351012</v>
      </c>
      <c r="BY2372" s="343">
        <f>SUMIFS($AV$1388:AV2377,$Q$1388:Q2377,"S")</f>
        <v>775.76285705724263</v>
      </c>
      <c r="BZ2372" s="343">
        <f>SUMIFS($AV$1388:AV2377,$Q$1388:Q2377,"O")</f>
        <v>569.29929999965555</v>
      </c>
    </row>
    <row r="2373" spans="1:78" ht="15.75" customHeight="1">
      <c r="A2373" s="177" t="s">
        <v>7249</v>
      </c>
      <c r="B2373" s="200">
        <v>45504</v>
      </c>
      <c r="C2373" s="178" t="s">
        <v>682</v>
      </c>
      <c r="D2373" s="178" t="s">
        <v>151</v>
      </c>
      <c r="E2373" s="227"/>
      <c r="F2373" s="180"/>
      <c r="G2373" s="181" t="s">
        <v>7141</v>
      </c>
      <c r="H2373" s="182"/>
      <c r="I2373" s="182"/>
      <c r="J2373" s="182"/>
      <c r="K2373" s="183"/>
      <c r="L2373" s="182">
        <v>1</v>
      </c>
      <c r="M2373" s="182"/>
      <c r="N2373" s="182"/>
      <c r="O2373" s="183" t="s">
        <v>95</v>
      </c>
      <c r="P2373" s="183" t="s">
        <v>137</v>
      </c>
      <c r="Q2373" s="183" t="s">
        <v>97</v>
      </c>
      <c r="R2373" s="183">
        <v>3</v>
      </c>
      <c r="S2373" s="183">
        <v>0</v>
      </c>
      <c r="T2373" s="183">
        <v>3</v>
      </c>
      <c r="U2373" s="183" t="s">
        <v>97</v>
      </c>
      <c r="V2373" s="183" t="s">
        <v>7349</v>
      </c>
      <c r="W2373" s="183" t="s">
        <v>115</v>
      </c>
      <c r="X2373" s="183"/>
      <c r="Y2373" s="184">
        <f>IF(ISBLANK(O2373),"",(IF(O2373=UPPER("IB"),0.005,0.01)))</f>
        <v>0.01</v>
      </c>
      <c r="Z2373" s="185">
        <f>IF(ISBLANK(O2373),"",IF(O2373="IB",8.63*200,IF(O2373="IR",16*100,IF(O2373="YT",20*100,IF(O2373="YT-XT",24*200,IF(O2373="TED",80*100,IF(O2373="XT",29*200)))))))</f>
        <v>1600</v>
      </c>
      <c r="AA2373" s="185" t="s">
        <v>5492</v>
      </c>
      <c r="AB2373" s="185"/>
      <c r="AC2373" s="185" t="s">
        <v>7443</v>
      </c>
      <c r="AD2373" s="649">
        <v>-0.12</v>
      </c>
      <c r="AE2373" s="182"/>
      <c r="AF2373" s="332"/>
      <c r="AG2373" s="182"/>
      <c r="AH2373" s="182"/>
      <c r="AI2373" s="182"/>
      <c r="AJ2373" s="640"/>
      <c r="AK2373" s="182"/>
      <c r="AL2373" s="496">
        <f t="shared" si="798"/>
        <v>-32</v>
      </c>
      <c r="AM2373" s="496">
        <f t="shared" si="799"/>
        <v>-96</v>
      </c>
      <c r="AN2373" s="626"/>
      <c r="AO2373" s="182"/>
      <c r="AP2373" s="182"/>
      <c r="AQ2373" s="332" t="s">
        <v>372</v>
      </c>
      <c r="AR2373" s="182" t="s">
        <v>7308</v>
      </c>
      <c r="AS2373" s="189">
        <v>-0.13</v>
      </c>
      <c r="AT2373" s="189">
        <f t="shared" si="800"/>
        <v>1.0000000000000009E-2</v>
      </c>
      <c r="AU2373" s="187">
        <f t="shared" si="801"/>
        <v>48.000000000000043</v>
      </c>
      <c r="AV2373" s="190">
        <f t="shared" si="802"/>
        <v>16.000000000000014</v>
      </c>
      <c r="AW2373" s="191" t="s">
        <v>96</v>
      </c>
      <c r="AX2373" s="551"/>
      <c r="AY2373" s="551"/>
      <c r="AZ2373" s="551"/>
      <c r="BA2373" s="551"/>
      <c r="BB2373" s="551"/>
      <c r="BC2373" s="551"/>
      <c r="BD2373" s="549"/>
      <c r="BE2373" s="550"/>
      <c r="BF2373" s="549"/>
      <c r="BG2373" s="391">
        <f>SUM($AV$1389:AV2373)</f>
        <v>6829.7921494204165</v>
      </c>
      <c r="BH2373" s="392">
        <f>SUM($AU$1389:AU2373)</f>
        <v>42294.903836163023</v>
      </c>
      <c r="BI2373" s="318">
        <f>SUMIFS($AU$1388:AU2374,$Q$1388:Q2374,"F")</f>
        <v>28758.758121878131</v>
      </c>
      <c r="BJ2373" s="318">
        <f>SUMIFS($AU$1388:AU2374,$Q$1388:Q2374,"S")</f>
        <v>18338.285714285717</v>
      </c>
      <c r="BK2373" s="343">
        <f>SUMIFS($AU$1388:AU2374,$P$1388:P2374,"W")</f>
        <v>16085.423836163443</v>
      </c>
      <c r="BL2373" s="343">
        <f>SUMIFS($AU$1388:AU2374,$P$1388:P2374,"R")</f>
        <v>23278.800000000327</v>
      </c>
      <c r="BM2373" s="343">
        <f>SUMIFS($AU$1388:AU2374,$AQ$1388:AQ2374,"M")</f>
        <v>9563.1799999983832</v>
      </c>
      <c r="BN2373" s="343">
        <f>SUMIFS($AU$1388:AU2374,$AQ$1388:AQ2374,"H")</f>
        <v>12587.200000000877</v>
      </c>
      <c r="BO2373" s="343">
        <f>SUMIFS($AU$1388:AU2374,$AQ$1388:AQ2374,"D")</f>
        <v>11195.57747252718</v>
      </c>
      <c r="BP2373" s="343">
        <f>SUMIFS($AS$1388:AS2706,$AO$1388:AO2706,"W")</f>
        <v>0</v>
      </c>
      <c r="BQ2373" s="343">
        <f>SUMIFS($AU$1388:AU2374,$Q$1388:Q2374,"O")</f>
        <v>-9366.1400000007852</v>
      </c>
      <c r="BR2373" s="343">
        <f>SUMIFS($AU$1388:AU2374,$AA$1388:AA2374,"*")</f>
        <v>39156.002077921221</v>
      </c>
      <c r="BS2373" s="343">
        <f>SUMIFS($AU$1388:AU2374,$AB$1388:AB2374,"*")</f>
        <v>7005.8599999997941</v>
      </c>
      <c r="BT2373" s="343">
        <f>SUMIFS($AU$1388:AU2374,$AC$1388:AC2374,"*")</f>
        <v>31968.358121878122</v>
      </c>
      <c r="BU2373" s="343">
        <f>SUMIFS($AU$1388:AU2374,$AA$1388:AA2374,"*",$AB$1388:AB2374,"*")</f>
        <v>7301.9999999995771</v>
      </c>
      <c r="BV2373" s="343">
        <f>SUMIFS($AU$1388:AU2374,$AA$1388:AA2374,"*",$AC$1388:AC2374,"*")</f>
        <v>29949.316363636532</v>
      </c>
      <c r="BW2373" s="343">
        <f>SUMIFS($AU$1388:AU2374,$AB$1388:AB2374,"*",$AC$1388:AC2374,"*")</f>
        <v>3739.199999999998</v>
      </c>
      <c r="BX2373" s="343">
        <f>SUMIFS($AV$1388:AV2374,$Q$1388:Q2374,"F")</f>
        <v>396.72999236351012</v>
      </c>
      <c r="BY2373" s="343">
        <f>SUMIFS($AV$1388:AV2374,$Q$1388:Q2374,"S")</f>
        <v>775.76285705724263</v>
      </c>
      <c r="BZ2373" s="343">
        <f>SUMIFS($AV$1388:AV2374,$Q$1388:Q2374,"O")</f>
        <v>569.29929999965555</v>
      </c>
    </row>
    <row r="2374" spans="1:78" ht="15.75" customHeight="1">
      <c r="A2374" s="177" t="s">
        <v>7249</v>
      </c>
      <c r="B2374" s="200"/>
      <c r="C2374" s="178"/>
      <c r="D2374" s="178"/>
      <c r="E2374" s="227"/>
      <c r="F2374" s="180"/>
      <c r="G2374" s="181"/>
      <c r="H2374" s="182"/>
      <c r="I2374" s="182"/>
      <c r="J2374" s="182"/>
      <c r="K2374" s="183"/>
      <c r="L2374" s="182"/>
      <c r="M2374" s="182"/>
      <c r="N2374" s="182"/>
      <c r="O2374" s="183"/>
      <c r="P2374" s="183"/>
      <c r="Q2374" s="183"/>
      <c r="R2374" s="183"/>
      <c r="S2374" s="183"/>
      <c r="T2374" s="183"/>
      <c r="U2374" s="183"/>
      <c r="V2374" s="183"/>
      <c r="W2374" s="183"/>
      <c r="X2374" s="183"/>
      <c r="Y2374" s="184"/>
      <c r="Z2374" s="185"/>
      <c r="AA2374" s="185"/>
      <c r="AB2374" s="185"/>
      <c r="AC2374" s="185"/>
      <c r="AD2374" s="649"/>
      <c r="AE2374" s="182"/>
      <c r="AF2374" s="332"/>
      <c r="AG2374" s="182"/>
      <c r="AH2374" s="182"/>
      <c r="AI2374" s="182"/>
      <c r="AJ2374" s="640"/>
      <c r="AK2374" s="182"/>
      <c r="AL2374" s="496">
        <f t="shared" si="798"/>
        <v>0</v>
      </c>
      <c r="AM2374" s="496">
        <f t="shared" si="799"/>
        <v>0</v>
      </c>
      <c r="AN2374" s="626"/>
      <c r="AO2374" s="182"/>
      <c r="AP2374" s="182"/>
      <c r="AQ2374" s="332" t="str">
        <f>UPPER(RIGHT(Journal_Live[[#This Row],[DURATION ]]))</f>
        <v/>
      </c>
      <c r="AR2374" s="182"/>
      <c r="AS2374" s="189"/>
      <c r="AT2374" s="189">
        <f t="shared" si="800"/>
        <v>0</v>
      </c>
      <c r="AU2374" s="187">
        <f t="shared" si="801"/>
        <v>0</v>
      </c>
      <c r="AV2374" s="190">
        <f t="shared" si="802"/>
        <v>0</v>
      </c>
      <c r="AW2374" s="191"/>
      <c r="AX2374" s="551" t="s">
        <v>7444</v>
      </c>
      <c r="AY2374" s="551" t="s">
        <v>3756</v>
      </c>
      <c r="AZ2374" s="551" t="s">
        <v>7445</v>
      </c>
      <c r="BA2374" s="551"/>
      <c r="BB2374" s="551"/>
      <c r="BC2374" s="551"/>
      <c r="BD2374" s="549"/>
      <c r="BE2374" s="550"/>
      <c r="BF2374" s="549"/>
      <c r="BG2374" s="391">
        <f>SUM($AV$1389:AV2374)</f>
        <v>6829.7921494204165</v>
      </c>
      <c r="BH2374" s="392">
        <f>SUM($AU$1389:AU2374)</f>
        <v>42294.903836163023</v>
      </c>
      <c r="BI2374" s="318">
        <f>SUMIFS($AU$1388:AU2375,$Q$1388:Q2375,"F")</f>
        <v>28758.758121878131</v>
      </c>
      <c r="BJ2374" s="318">
        <f>SUMIFS($AU$1388:AU2375,$Q$1388:Q2375,"S")</f>
        <v>18338.285714285717</v>
      </c>
      <c r="BK2374" s="343">
        <f>SUMIFS($AU$1388:AU2375,$P$1388:P2375,"W")</f>
        <v>16085.423836163443</v>
      </c>
      <c r="BL2374" s="343">
        <f>SUMIFS($AU$1388:AU2375,$P$1388:P2375,"R")</f>
        <v>23278.800000000327</v>
      </c>
      <c r="BM2374" s="343">
        <f>SUMIFS($AU$1388:AU2375,$AQ$1388:AQ2375,"M")</f>
        <v>9563.1799999983832</v>
      </c>
      <c r="BN2374" s="343">
        <f>SUMIFS($AU$1388:AU2375,$AQ$1388:AQ2375,"H")</f>
        <v>12587.200000000877</v>
      </c>
      <c r="BO2374" s="343">
        <f>SUMIFS($AU$1388:AU2375,$AQ$1388:AQ2375,"D")</f>
        <v>11195.57747252718</v>
      </c>
      <c r="BP2374" s="343">
        <f>SUMIFS($AS$1388:AS2707,$AO$1388:AO2707,"W")</f>
        <v>0</v>
      </c>
      <c r="BQ2374" s="343">
        <f>SUMIFS($AU$1388:AU2375,$Q$1388:Q2375,"O")</f>
        <v>-9366.1400000007852</v>
      </c>
      <c r="BR2374" s="343">
        <f>SUMIFS($AU$1388:AU2375,$AA$1388:AA2375,"*")</f>
        <v>39156.002077921221</v>
      </c>
      <c r="BS2374" s="343">
        <f>SUMIFS($AU$1388:AU2375,$AB$1388:AB2375,"*")</f>
        <v>7005.8599999997941</v>
      </c>
      <c r="BT2374" s="343">
        <f>SUMIFS($AU$1388:AU2375,$AC$1388:AC2375,"*")</f>
        <v>31968.358121878122</v>
      </c>
      <c r="BU2374" s="343">
        <f>SUMIFS($AU$1388:AU2375,$AA$1388:AA2375,"*",$AB$1388:AB2375,"*")</f>
        <v>7301.9999999995771</v>
      </c>
      <c r="BV2374" s="343">
        <f>SUMIFS($AU$1388:AU2375,$AA$1388:AA2375,"*",$AC$1388:AC2375,"*")</f>
        <v>29949.316363636532</v>
      </c>
      <c r="BW2374" s="343">
        <f>SUMIFS($AU$1388:AU2375,$AB$1388:AB2375,"*",$AC$1388:AC2375,"*")</f>
        <v>3739.199999999998</v>
      </c>
      <c r="BX2374" s="343">
        <f>SUMIFS($AV$1388:AV2375,$Q$1388:Q2375,"F")</f>
        <v>396.72999236351012</v>
      </c>
      <c r="BY2374" s="343">
        <f>SUMIFS($AV$1388:AV2375,$Q$1388:Q2375,"S")</f>
        <v>775.76285705724263</v>
      </c>
      <c r="BZ2374" s="343">
        <f>SUMIFS($AV$1388:AV2375,$Q$1388:Q2375,"O")</f>
        <v>569.29929999965555</v>
      </c>
    </row>
    <row r="2375" spans="1:78" ht="15.75" customHeight="1">
      <c r="A2375" s="177" t="s">
        <v>7249</v>
      </c>
      <c r="B2375" s="200"/>
      <c r="C2375" s="178"/>
      <c r="D2375" s="178"/>
      <c r="E2375" s="227"/>
      <c r="F2375" s="180"/>
      <c r="G2375" s="181"/>
      <c r="H2375" s="182"/>
      <c r="I2375" s="182"/>
      <c r="J2375" s="182"/>
      <c r="K2375" s="183"/>
      <c r="L2375" s="182"/>
      <c r="M2375" s="182"/>
      <c r="N2375" s="182"/>
      <c r="O2375" s="183"/>
      <c r="P2375" s="183"/>
      <c r="Q2375" s="183"/>
      <c r="R2375" s="183"/>
      <c r="S2375" s="183"/>
      <c r="T2375" s="183"/>
      <c r="U2375" s="183"/>
      <c r="V2375" s="183"/>
      <c r="W2375" s="183"/>
      <c r="X2375" s="183"/>
      <c r="Y2375" s="184"/>
      <c r="Z2375" s="185"/>
      <c r="AA2375" s="185"/>
      <c r="AB2375" s="185"/>
      <c r="AC2375" s="185"/>
      <c r="AD2375" s="649"/>
      <c r="AE2375" s="182"/>
      <c r="AF2375" s="332"/>
      <c r="AG2375" s="182"/>
      <c r="AH2375" s="182"/>
      <c r="AI2375" s="182"/>
      <c r="AJ2375" s="640"/>
      <c r="AK2375" s="182"/>
      <c r="AL2375" s="496">
        <f t="shared" si="798"/>
        <v>0</v>
      </c>
      <c r="AM2375" s="496">
        <f t="shared" si="799"/>
        <v>0</v>
      </c>
      <c r="AN2375" s="626"/>
      <c r="AO2375" s="182"/>
      <c r="AP2375" s="182"/>
      <c r="AQ2375" s="332" t="str">
        <f>UPPER(RIGHT(Journal_Live[[#This Row],[DURATION ]]))</f>
        <v/>
      </c>
      <c r="AR2375" s="182"/>
      <c r="AS2375" s="189"/>
      <c r="AT2375" s="189">
        <f t="shared" si="800"/>
        <v>0</v>
      </c>
      <c r="AU2375" s="187">
        <f t="shared" si="801"/>
        <v>0</v>
      </c>
      <c r="AV2375" s="190">
        <f t="shared" si="802"/>
        <v>0</v>
      </c>
      <c r="AW2375" s="191"/>
      <c r="AX2375" s="551"/>
      <c r="AY2375" s="551"/>
      <c r="AZ2375" s="551"/>
      <c r="BA2375" s="551"/>
      <c r="BB2375" s="551"/>
      <c r="BC2375" s="551"/>
      <c r="BD2375" s="549"/>
      <c r="BE2375" s="550"/>
      <c r="BF2375" s="549"/>
      <c r="BG2375" s="391">
        <f>SUM($AV$1389:AV2375)</f>
        <v>6829.7921494204165</v>
      </c>
      <c r="BH2375" s="392">
        <f>SUM($AU$1389:AU2375)</f>
        <v>42294.903836163023</v>
      </c>
      <c r="BI2375" s="318">
        <f>SUMIFS($AU$1388:AU2376,$Q$1388:Q2376,"F")</f>
        <v>28758.758121878131</v>
      </c>
      <c r="BJ2375" s="318">
        <f>SUMIFS($AU$1388:AU2376,$Q$1388:Q2376,"S")</f>
        <v>18338.285714285717</v>
      </c>
      <c r="BK2375" s="343">
        <f>SUMIFS($AU$1388:AU2376,$P$1388:P2376,"W")</f>
        <v>16085.423836163443</v>
      </c>
      <c r="BL2375" s="343">
        <f>SUMIFS($AU$1388:AU2376,$P$1388:P2376,"R")</f>
        <v>23278.800000000327</v>
      </c>
      <c r="BM2375" s="343">
        <f>SUMIFS($AU$1388:AU2376,$AQ$1388:AQ2376,"M")</f>
        <v>9563.1799999983832</v>
      </c>
      <c r="BN2375" s="343">
        <f>SUMIFS($AU$1388:AU2376,$AQ$1388:AQ2376,"H")</f>
        <v>12587.200000000877</v>
      </c>
      <c r="BO2375" s="343">
        <f>SUMIFS($AU$1388:AU2376,$AQ$1388:AQ2376,"D")</f>
        <v>11195.57747252718</v>
      </c>
      <c r="BP2375" s="343">
        <f>SUMIFS($AS$1388:AS2708,$AO$1388:AO2708,"W")</f>
        <v>0</v>
      </c>
      <c r="BQ2375" s="343">
        <f>SUMIFS($AU$1388:AU2376,$Q$1388:Q2376,"O")</f>
        <v>-9366.1400000007852</v>
      </c>
      <c r="BR2375" s="343">
        <f>SUMIFS($AU$1388:AU2376,$AA$1388:AA2376,"*")</f>
        <v>39156.002077921221</v>
      </c>
      <c r="BS2375" s="343">
        <f>SUMIFS($AU$1388:AU2376,$AB$1388:AB2376,"*")</f>
        <v>7005.8599999997941</v>
      </c>
      <c r="BT2375" s="343">
        <f>SUMIFS($AU$1388:AU2376,$AC$1388:AC2376,"*")</f>
        <v>31968.358121878122</v>
      </c>
      <c r="BU2375" s="343">
        <f>SUMIFS($AU$1388:AU2376,$AA$1388:AA2376,"*",$AB$1388:AB2376,"*")</f>
        <v>7301.9999999995771</v>
      </c>
      <c r="BV2375" s="343">
        <f>SUMIFS($AU$1388:AU2376,$AA$1388:AA2376,"*",$AC$1388:AC2376,"*")</f>
        <v>29949.316363636532</v>
      </c>
      <c r="BW2375" s="343">
        <f>SUMIFS($AU$1388:AU2376,$AB$1388:AB2376,"*",$AC$1388:AC2376,"*")</f>
        <v>3739.199999999998</v>
      </c>
      <c r="BX2375" s="343">
        <f>SUMIFS($AV$1388:AV2376,$Q$1388:Q2376,"F")</f>
        <v>396.72999236351012</v>
      </c>
      <c r="BY2375" s="343">
        <f>SUMIFS($AV$1388:AV2376,$Q$1388:Q2376,"S")</f>
        <v>775.76285705724263</v>
      </c>
      <c r="BZ2375" s="343">
        <f>SUMIFS($AV$1388:AV2376,$Q$1388:Q2376,"O")</f>
        <v>569.29929999965555</v>
      </c>
    </row>
    <row r="2376" spans="1:78" ht="15.75" customHeight="1">
      <c r="A2376" s="177" t="s">
        <v>7249</v>
      </c>
      <c r="B2376" s="200"/>
      <c r="C2376" s="178"/>
      <c r="D2376" s="178"/>
      <c r="E2376" s="227"/>
      <c r="F2376" s="180"/>
      <c r="G2376" s="181"/>
      <c r="H2376" s="182"/>
      <c r="I2376" s="182"/>
      <c r="J2376" s="182"/>
      <c r="K2376" s="183"/>
      <c r="L2376" s="182"/>
      <c r="M2376" s="182"/>
      <c r="N2376" s="182"/>
      <c r="O2376" s="183"/>
      <c r="P2376" s="183"/>
      <c r="Q2376" s="183"/>
      <c r="R2376" s="183"/>
      <c r="S2376" s="183"/>
      <c r="T2376" s="183"/>
      <c r="U2376" s="183"/>
      <c r="V2376" s="183"/>
      <c r="W2376" s="183"/>
      <c r="X2376" s="183"/>
      <c r="Y2376" s="184"/>
      <c r="Z2376" s="185"/>
      <c r="AA2376" s="185"/>
      <c r="AB2376" s="185"/>
      <c r="AC2376" s="185"/>
      <c r="AD2376" s="649"/>
      <c r="AE2376" s="182"/>
      <c r="AF2376" s="332"/>
      <c r="AG2376" s="182"/>
      <c r="AH2376" s="182"/>
      <c r="AI2376" s="182"/>
      <c r="AJ2376" s="640"/>
      <c r="AK2376" s="182"/>
      <c r="AL2376" s="496">
        <f t="shared" si="798"/>
        <v>0</v>
      </c>
      <c r="AM2376" s="496">
        <f t="shared" si="799"/>
        <v>0</v>
      </c>
      <c r="AN2376" s="626"/>
      <c r="AO2376" s="182"/>
      <c r="AP2376" s="182"/>
      <c r="AQ2376" s="332" t="str">
        <f>UPPER(RIGHT(Journal_Live[[#This Row],[DURATION ]]))</f>
        <v/>
      </c>
      <c r="AR2376" s="182"/>
      <c r="AS2376" s="189"/>
      <c r="AT2376" s="189">
        <f t="shared" si="800"/>
        <v>0</v>
      </c>
      <c r="AU2376" s="187">
        <f t="shared" si="801"/>
        <v>0</v>
      </c>
      <c r="AV2376" s="190">
        <f t="shared" si="802"/>
        <v>0</v>
      </c>
      <c r="AW2376" s="191"/>
      <c r="AX2376" s="551"/>
      <c r="AY2376" s="551"/>
      <c r="AZ2376" s="551"/>
      <c r="BA2376" s="551"/>
      <c r="BB2376" s="551"/>
      <c r="BC2376" s="551"/>
      <c r="BD2376" s="549"/>
      <c r="BE2376" s="550"/>
      <c r="BF2376" s="549"/>
      <c r="BG2376" s="391">
        <f>SUM($AV$1389:AV2376)</f>
        <v>6829.7921494204165</v>
      </c>
      <c r="BH2376" s="392">
        <f>SUM($AU$1389:AU2376)</f>
        <v>42294.903836163023</v>
      </c>
      <c r="BI2376" s="318">
        <f>SUMIFS($AU$1388:AU2377,$Q$1388:Q2377,"F")</f>
        <v>28758.758121878131</v>
      </c>
      <c r="BJ2376" s="318">
        <f>SUMIFS($AU$1388:AU2377,$Q$1388:Q2377,"S")</f>
        <v>18338.285714285717</v>
      </c>
      <c r="BK2376" s="343">
        <f>SUMIFS($AU$1388:AU2377,$P$1388:P2377,"W")</f>
        <v>16085.423836163443</v>
      </c>
      <c r="BL2376" s="343">
        <f>SUMIFS($AU$1388:AU2377,$P$1388:P2377,"R")</f>
        <v>23278.800000000327</v>
      </c>
      <c r="BM2376" s="343">
        <f>SUMIFS($AU$1388:AU2377,$AQ$1388:AQ2377,"M")</f>
        <v>9563.1799999983832</v>
      </c>
      <c r="BN2376" s="343">
        <f>SUMIFS($AU$1388:AU2377,$AQ$1388:AQ2377,"H")</f>
        <v>12587.200000000877</v>
      </c>
      <c r="BO2376" s="343">
        <f>SUMIFS($AU$1388:AU2377,$AQ$1388:AQ2377,"D")</f>
        <v>11195.57747252718</v>
      </c>
      <c r="BP2376" s="343">
        <f>SUMIFS($AS$1388:AS2709,$AO$1388:AO2709,"W")</f>
        <v>0</v>
      </c>
      <c r="BQ2376" s="343">
        <f>SUMIFS($AU$1388:AU2377,$Q$1388:Q2377,"O")</f>
        <v>-9366.1400000007852</v>
      </c>
      <c r="BR2376" s="343">
        <f>SUMIFS($AU$1388:AU2377,$AA$1388:AA2377,"*")</f>
        <v>39156.002077921221</v>
      </c>
      <c r="BS2376" s="343">
        <f>SUMIFS($AU$1388:AU2377,$AB$1388:AB2377,"*")</f>
        <v>7005.8599999997941</v>
      </c>
      <c r="BT2376" s="343">
        <f>SUMIFS($AU$1388:AU2377,$AC$1388:AC2377,"*")</f>
        <v>31968.358121878122</v>
      </c>
      <c r="BU2376" s="343">
        <f>SUMIFS($AU$1388:AU2377,$AA$1388:AA2377,"*",$AB$1388:AB2377,"*")</f>
        <v>7301.9999999995771</v>
      </c>
      <c r="BV2376" s="343">
        <f>SUMIFS($AU$1388:AU2377,$AA$1388:AA2377,"*",$AC$1388:AC2377,"*")</f>
        <v>29949.316363636532</v>
      </c>
      <c r="BW2376" s="343">
        <f>SUMIFS($AU$1388:AU2377,$AB$1388:AB2377,"*",$AC$1388:AC2377,"*")</f>
        <v>3739.199999999998</v>
      </c>
      <c r="BX2376" s="343">
        <f>SUMIFS($AV$1388:AV2377,$Q$1388:Q2377,"F")</f>
        <v>396.72999236351012</v>
      </c>
      <c r="BY2376" s="343">
        <f>SUMIFS($AV$1388:AV2377,$Q$1388:Q2377,"S")</f>
        <v>775.76285705724263</v>
      </c>
      <c r="BZ2376" s="343">
        <f>SUMIFS($AV$1388:AV2377,$Q$1388:Q2377,"O")</f>
        <v>569.29929999965555</v>
      </c>
    </row>
    <row r="2377" spans="1:78" ht="15.75" customHeight="1">
      <c r="A2377" s="177" t="s">
        <v>7249</v>
      </c>
      <c r="B2377" s="200"/>
      <c r="C2377" s="178"/>
      <c r="D2377" s="178"/>
      <c r="E2377" s="227"/>
      <c r="F2377" s="180"/>
      <c r="G2377" s="181"/>
      <c r="H2377" s="182"/>
      <c r="I2377" s="182"/>
      <c r="J2377" s="182"/>
      <c r="K2377" s="183"/>
      <c r="L2377" s="182"/>
      <c r="M2377" s="182"/>
      <c r="N2377" s="182"/>
      <c r="O2377" s="183"/>
      <c r="P2377" s="183"/>
      <c r="Q2377" s="183"/>
      <c r="R2377" s="183"/>
      <c r="S2377" s="183"/>
      <c r="T2377" s="183"/>
      <c r="U2377" s="183"/>
      <c r="V2377" s="183"/>
      <c r="W2377" s="183"/>
      <c r="X2377" s="183"/>
      <c r="Y2377" s="184"/>
      <c r="Z2377" s="185"/>
      <c r="AA2377" s="185"/>
      <c r="AB2377" s="185"/>
      <c r="AC2377" s="185"/>
      <c r="AD2377" s="649"/>
      <c r="AE2377" s="182"/>
      <c r="AF2377" s="332"/>
      <c r="AG2377" s="182"/>
      <c r="AH2377" s="182"/>
      <c r="AI2377" s="182"/>
      <c r="AJ2377" s="640"/>
      <c r="AK2377" s="182"/>
      <c r="AL2377" s="496">
        <f t="shared" si="794"/>
        <v>0</v>
      </c>
      <c r="AM2377" s="496">
        <f t="shared" si="795"/>
        <v>0</v>
      </c>
      <c r="AN2377" s="626"/>
      <c r="AO2377" s="182"/>
      <c r="AP2377" s="182"/>
      <c r="AQ2377" s="332" t="str">
        <f>UPPER(RIGHT(Journal_Live[[#This Row],[DURATION ]]))</f>
        <v/>
      </c>
      <c r="AR2377" s="182"/>
      <c r="AS2377" s="189"/>
      <c r="AT2377" s="189">
        <f t="shared" si="796"/>
        <v>0</v>
      </c>
      <c r="AU2377" s="187">
        <f t="shared" si="797"/>
        <v>0</v>
      </c>
      <c r="AV2377" s="190">
        <f t="shared" si="778"/>
        <v>0</v>
      </c>
      <c r="AW2377" s="191"/>
      <c r="AX2377" s="551"/>
      <c r="AY2377" s="551"/>
      <c r="AZ2377" s="551"/>
      <c r="BA2377" s="551"/>
      <c r="BB2377" s="551"/>
      <c r="BC2377" s="551"/>
      <c r="BD2377" s="549"/>
      <c r="BE2377" s="550"/>
      <c r="BF2377" s="549"/>
      <c r="BG2377" s="391">
        <f>SUM($AV$1389:AV2377)</f>
        <v>6829.7921494204165</v>
      </c>
      <c r="BH2377" s="392">
        <f>SUM($AU$1389:AU2377)</f>
        <v>42294.903836163023</v>
      </c>
      <c r="BI2377" s="318">
        <f>SUMIFS($AU$1388:AU2378,$Q$1388:Q2378,"F")</f>
        <v>28758.758121878131</v>
      </c>
      <c r="BJ2377" s="318">
        <f>SUMIFS($AU$1388:AU2378,$Q$1388:Q2378,"S")</f>
        <v>18338.285714285717</v>
      </c>
      <c r="BK2377" s="343">
        <f>SUMIFS($AU$1388:AU2378,$P$1388:P2378,"W")</f>
        <v>16085.423836163443</v>
      </c>
      <c r="BL2377" s="343">
        <f>SUMIFS($AU$1388:AU2378,$P$1388:P2378,"R")</f>
        <v>23278.800000000327</v>
      </c>
      <c r="BM2377" s="343">
        <f>SUMIFS($AU$1388:AU2378,$AQ$1388:AQ2378,"M")</f>
        <v>9563.1799999983832</v>
      </c>
      <c r="BN2377" s="343">
        <f>SUMIFS($AU$1388:AU2378,$AQ$1388:AQ2378,"H")</f>
        <v>12587.200000000877</v>
      </c>
      <c r="BO2377" s="343">
        <f>SUMIFS($AU$1388:AU2378,$AQ$1388:AQ2378,"D")</f>
        <v>11195.57747252718</v>
      </c>
      <c r="BP2377" s="343">
        <f>SUMIFS($AS$1388:AS2710,$AO$1388:AO2710,"W")</f>
        <v>0</v>
      </c>
      <c r="BQ2377" s="343">
        <f>SUMIFS($AU$1388:AU2378,$Q$1388:Q2378,"O")</f>
        <v>-9366.1400000007852</v>
      </c>
      <c r="BR2377" s="343">
        <f>SUMIFS($AU$1388:AU2378,$AA$1388:AA2378,"*")</f>
        <v>39156.002077921221</v>
      </c>
      <c r="BS2377" s="343">
        <f>SUMIFS($AU$1388:AU2378,$AB$1388:AB2378,"*")</f>
        <v>7005.8599999997941</v>
      </c>
      <c r="BT2377" s="343">
        <f>SUMIFS($AU$1388:AU2378,$AC$1388:AC2378,"*")</f>
        <v>31968.358121878122</v>
      </c>
      <c r="BU2377" s="343">
        <f>SUMIFS($AU$1388:AU2378,$AA$1388:AA2378,"*",$AB$1388:AB2378,"*")</f>
        <v>7301.9999999995771</v>
      </c>
      <c r="BV2377" s="343">
        <f>SUMIFS($AU$1388:AU2378,$AA$1388:AA2378,"*",$AC$1388:AC2378,"*")</f>
        <v>29949.316363636532</v>
      </c>
      <c r="BW2377" s="343">
        <f>SUMIFS($AU$1388:AU2378,$AB$1388:AB2378,"*",$AC$1388:AC2378,"*")</f>
        <v>3739.199999999998</v>
      </c>
      <c r="BX2377" s="343">
        <f>SUMIFS($AV$1388:AV2378,$Q$1388:Q2378,"F")</f>
        <v>396.72999236351012</v>
      </c>
      <c r="BY2377" s="343">
        <f>SUMIFS($AV$1388:AV2378,$Q$1388:Q2378,"S")</f>
        <v>775.76285705724263</v>
      </c>
      <c r="BZ2377" s="343">
        <f>SUMIFS($AV$1388:AV2378,$Q$1388:Q2378,"O")</f>
        <v>569.29929999965555</v>
      </c>
    </row>
    <row r="2378" spans="1:78" ht="15.75" customHeight="1">
      <c r="A2378" s="177" t="s">
        <v>7249</v>
      </c>
      <c r="B2378" s="200"/>
      <c r="C2378" s="178"/>
      <c r="D2378" s="178"/>
      <c r="E2378" s="227"/>
      <c r="F2378" s="180"/>
      <c r="G2378" s="181"/>
      <c r="H2378" s="182"/>
      <c r="I2378" s="182"/>
      <c r="J2378" s="182"/>
      <c r="K2378" s="183"/>
      <c r="L2378" s="182"/>
      <c r="M2378" s="182"/>
      <c r="N2378" s="182"/>
      <c r="O2378" s="183"/>
      <c r="P2378" s="183"/>
      <c r="Q2378" s="183"/>
      <c r="R2378" s="183"/>
      <c r="S2378" s="183"/>
      <c r="T2378" s="183"/>
      <c r="U2378" s="183"/>
      <c r="V2378" s="183"/>
      <c r="W2378" s="183"/>
      <c r="X2378" s="183"/>
      <c r="Y2378" s="184"/>
      <c r="Z2378" s="185"/>
      <c r="AA2378" s="185"/>
      <c r="AB2378" s="185"/>
      <c r="AC2378" s="185"/>
      <c r="AD2378" s="649"/>
      <c r="AE2378" s="182"/>
      <c r="AF2378" s="332"/>
      <c r="AG2378" s="182"/>
      <c r="AH2378" s="182"/>
      <c r="AI2378" s="182"/>
      <c r="AJ2378" s="640"/>
      <c r="AK2378" s="182"/>
      <c r="AL2378" s="496">
        <f t="shared" si="767"/>
        <v>0</v>
      </c>
      <c r="AM2378" s="496">
        <f>AL2378*(R2378-S2378)</f>
        <v>0</v>
      </c>
      <c r="AN2378" s="626"/>
      <c r="AO2378" s="182"/>
      <c r="AP2378" s="182"/>
      <c r="AQ2378" s="332" t="str">
        <f>UPPER(RIGHT(Journal_Live[[#This Row],[DURATION ]]))</f>
        <v/>
      </c>
      <c r="AR2378" s="182"/>
      <c r="AS2378" s="189"/>
      <c r="AT2378" s="189">
        <f>IF(ISBLANK(AS2378),,IF(U2378="S",AD2378-AS2378,AS2378-AD2378))</f>
        <v>0</v>
      </c>
      <c r="AU2378" s="187">
        <f>AV2378*R2378</f>
        <v>0</v>
      </c>
      <c r="AV2378" s="190">
        <f t="shared" si="768"/>
        <v>0</v>
      </c>
      <c r="AW2378" s="191"/>
      <c r="AX2378" s="551"/>
      <c r="AY2378" s="551"/>
      <c r="AZ2378" s="551"/>
      <c r="BA2378" s="551"/>
      <c r="BB2378" s="551"/>
      <c r="BC2378" s="551"/>
      <c r="BD2378" s="549"/>
      <c r="BE2378" s="550"/>
      <c r="BF2378" s="549"/>
      <c r="BG2378" s="391">
        <f>SUM($AV$1389:AV2378)</f>
        <v>6829.7921494204165</v>
      </c>
      <c r="BH2378" s="392">
        <f>SUM($AU$1389:AU2378)</f>
        <v>42294.903836163023</v>
      </c>
      <c r="BI2378" s="318">
        <f>SUMIFS($AU$1388:AU2379,$Q$1388:Q2379,"F")</f>
        <v>28758.758121878131</v>
      </c>
      <c r="BJ2378" s="318">
        <f>SUMIFS($AU$1388:AU2379,$Q$1388:Q2379,"S")</f>
        <v>18338.285714285717</v>
      </c>
      <c r="BK2378" s="343">
        <f>SUMIFS($AU$1388:AU2379,$P$1388:P2379,"W")</f>
        <v>16085.423836163443</v>
      </c>
      <c r="BL2378" s="343">
        <f>SUMIFS($AU$1388:AU2379,$P$1388:P2379,"R")</f>
        <v>23278.800000000327</v>
      </c>
      <c r="BM2378" s="343">
        <f>SUMIFS($AU$1388:AU2379,$AQ$1388:AQ2379,"M")</f>
        <v>9563.1799999983832</v>
      </c>
      <c r="BN2378" s="343">
        <f>SUMIFS($AU$1388:AU2379,$AQ$1388:AQ2379,"H")</f>
        <v>12587.200000000877</v>
      </c>
      <c r="BO2378" s="343">
        <f>SUMIFS($AU$1388:AU2379,$AQ$1388:AQ2379,"D")</f>
        <v>11195.57747252718</v>
      </c>
      <c r="BP2378" s="343">
        <f>SUMIFS($AS$1388:AS2711,$AO$1388:AO2711,"W")</f>
        <v>0</v>
      </c>
      <c r="BQ2378" s="343">
        <f>SUMIFS($AU$1388:AU2379,$Q$1388:Q2379,"O")</f>
        <v>-9366.1400000007852</v>
      </c>
      <c r="BR2378" s="343">
        <f>SUMIFS($AU$1388:AU2379,$AA$1388:AA2379,"*")</f>
        <v>39156.002077921221</v>
      </c>
      <c r="BS2378" s="343">
        <f>SUMIFS($AU$1388:AU2379,$AB$1388:AB2379,"*")</f>
        <v>7005.8599999997941</v>
      </c>
      <c r="BT2378" s="343">
        <f>SUMIFS($AU$1388:AU2379,$AC$1388:AC2379,"*")</f>
        <v>31968.358121878122</v>
      </c>
      <c r="BU2378" s="343">
        <f>SUMIFS($AU$1388:AU2379,$AA$1388:AA2379,"*",$AB$1388:AB2379,"*")</f>
        <v>7301.9999999995771</v>
      </c>
      <c r="BV2378" s="343">
        <f>SUMIFS($AU$1388:AU2379,$AA$1388:AA2379,"*",$AC$1388:AC2379,"*")</f>
        <v>29949.316363636532</v>
      </c>
      <c r="BW2378" s="343">
        <f>SUMIFS($AU$1388:AU2379,$AB$1388:AB2379,"*",$AC$1388:AC2379,"*")</f>
        <v>3739.199999999998</v>
      </c>
      <c r="BX2378" s="343">
        <f>SUMIFS($AV$1388:AV2379,$Q$1388:Q2379,"F")</f>
        <v>396.72999236351012</v>
      </c>
      <c r="BY2378" s="343">
        <f>SUMIFS($AV$1388:AV2379,$Q$1388:Q2379,"S")</f>
        <v>775.76285705724263</v>
      </c>
      <c r="BZ2378" s="343">
        <f>SUMIFS($AV$1388:AV2379,$Q$1388:Q2379,"O")</f>
        <v>569.29929999965555</v>
      </c>
    </row>
    <row r="2379" spans="1:78" ht="15.75" customHeight="1">
      <c r="A2379" s="177" t="s">
        <v>7249</v>
      </c>
      <c r="B2379" s="200"/>
      <c r="C2379" s="178"/>
      <c r="D2379" s="178"/>
      <c r="E2379" s="227"/>
      <c r="F2379" s="180"/>
      <c r="G2379" s="181"/>
      <c r="H2379" s="182"/>
      <c r="I2379" s="182"/>
      <c r="J2379" s="182"/>
      <c r="K2379" s="183"/>
      <c r="L2379" s="182"/>
      <c r="M2379" s="182"/>
      <c r="N2379" s="182"/>
      <c r="O2379" s="183"/>
      <c r="P2379" s="183"/>
      <c r="Q2379" s="183"/>
      <c r="R2379" s="183"/>
      <c r="S2379" s="183"/>
      <c r="T2379" s="183"/>
      <c r="U2379" s="183"/>
      <c r="V2379" s="183"/>
      <c r="W2379" s="183"/>
      <c r="X2379" s="183"/>
      <c r="Y2379" s="184"/>
      <c r="Z2379" s="185"/>
      <c r="AA2379" s="185"/>
      <c r="AB2379" s="185"/>
      <c r="AC2379" s="185"/>
      <c r="AD2379" s="649"/>
      <c r="AE2379" s="182"/>
      <c r="AF2379" s="332"/>
      <c r="AG2379" s="182"/>
      <c r="AH2379" s="182"/>
      <c r="AI2379" s="182"/>
      <c r="AJ2379" s="640"/>
      <c r="AK2379" s="182"/>
      <c r="AL2379" s="496">
        <f t="shared" si="767"/>
        <v>0</v>
      </c>
      <c r="AM2379" s="496">
        <f>AL2379*(R2379-S2379)</f>
        <v>0</v>
      </c>
      <c r="AN2379" s="626"/>
      <c r="AO2379" s="182"/>
      <c r="AP2379" s="182"/>
      <c r="AQ2379" s="332" t="str">
        <f>UPPER(RIGHT(Journal_Live[[#This Row],[DURATION ]]))</f>
        <v/>
      </c>
      <c r="AR2379" s="182"/>
      <c r="AS2379" s="189"/>
      <c r="AT2379" s="189">
        <f>IF(ISBLANK(AS2379),,IF(U2379="S",AD2379-AS2379,AS2379-AD2379))</f>
        <v>0</v>
      </c>
      <c r="AU2379" s="187">
        <f>AV2379*R2379</f>
        <v>0</v>
      </c>
      <c r="AV2379" s="190">
        <f t="shared" si="768"/>
        <v>0</v>
      </c>
      <c r="AW2379" s="191"/>
      <c r="AX2379" s="417" t="s">
        <v>7446</v>
      </c>
      <c r="AY2379" s="417" t="s">
        <v>7365</v>
      </c>
      <c r="AZ2379" s="551"/>
      <c r="BA2379" s="551"/>
      <c r="BB2379" s="551"/>
      <c r="BC2379" s="551"/>
      <c r="BD2379" s="551"/>
      <c r="BE2379" s="550"/>
      <c r="BF2379" s="549"/>
      <c r="BG2379" s="391">
        <f>SUM($AV$1389:AV2379)</f>
        <v>6829.7921494204165</v>
      </c>
      <c r="BH2379" s="392">
        <f>SUM($AU$1389:AU2379)</f>
        <v>42294.903836163023</v>
      </c>
      <c r="BI2379" s="318">
        <f>SUMIFS($AU$1388:AU2380,$Q$1388:Q2380,"F")</f>
        <v>28758.758121878131</v>
      </c>
      <c r="BJ2379" s="318">
        <f>SUMIFS($AU$1388:AU2380,$Q$1388:Q2380,"S")</f>
        <v>18338.285714285717</v>
      </c>
      <c r="BK2379" s="343">
        <f>SUMIFS($AU$1388:AU2380,$P$1388:P2380,"W")</f>
        <v>16085.423836163443</v>
      </c>
      <c r="BL2379" s="343">
        <f>SUMIFS($AU$1388:AU2380,$P$1388:P2380,"R")</f>
        <v>23278.800000000327</v>
      </c>
      <c r="BM2379" s="343">
        <f>SUMIFS($AU$1388:AU2380,$AQ$1388:AQ2380,"M")</f>
        <v>9563.1799999983832</v>
      </c>
      <c r="BN2379" s="343">
        <f>SUMIFS($AU$1388:AU2380,$AQ$1388:AQ2380,"H")</f>
        <v>12587.200000000877</v>
      </c>
      <c r="BO2379" s="343">
        <f>SUMIFS($AU$1388:AU2380,$AQ$1388:AQ2380,"D")</f>
        <v>11195.57747252718</v>
      </c>
      <c r="BP2379" s="343">
        <f>SUMIFS($AS$1388:AS2712,$AO$1388:AO2712,"W")</f>
        <v>0</v>
      </c>
      <c r="BQ2379" s="343">
        <f>SUMIFS($AU$1388:AU2380,$Q$1388:Q2380,"O")</f>
        <v>-9366.1400000007852</v>
      </c>
      <c r="BR2379" s="343">
        <f>SUMIFS($AU$1388:AU2380,$AA$1388:AA2380,"*")</f>
        <v>39156.002077921221</v>
      </c>
      <c r="BS2379" s="343">
        <f>SUMIFS($AU$1388:AU2380,$AB$1388:AB2380,"*")</f>
        <v>7005.8599999997941</v>
      </c>
      <c r="BT2379" s="343">
        <f>SUMIFS($AU$1388:AU2380,$AC$1388:AC2380,"*")</f>
        <v>31968.358121878122</v>
      </c>
      <c r="BU2379" s="343">
        <f>SUMIFS($AU$1388:AU2380,$AA$1388:AA2380,"*",$AB$1388:AB2380,"*")</f>
        <v>7301.9999999995771</v>
      </c>
      <c r="BV2379" s="343">
        <f>SUMIFS($AU$1388:AU2380,$AA$1388:AA2380,"*",$AC$1388:AC2380,"*")</f>
        <v>29949.316363636532</v>
      </c>
      <c r="BW2379" s="343">
        <f>SUMIFS($AU$1388:AU2380,$AB$1388:AB2380,"*",$AC$1388:AC2380,"*")</f>
        <v>3739.199999999998</v>
      </c>
      <c r="BX2379" s="343">
        <f>SUMIFS($AV$1388:AV2380,$Q$1388:Q2380,"F")</f>
        <v>396.72999236351012</v>
      </c>
      <c r="BY2379" s="343">
        <f>SUMIFS($AV$1388:AV2380,$Q$1388:Q2380,"S")</f>
        <v>775.76285705724263</v>
      </c>
      <c r="BZ2379" s="343">
        <f>SUMIFS($AV$1388:AV2380,$Q$1388:Q2380,"O")</f>
        <v>569.29929999965555</v>
      </c>
    </row>
    <row r="2380" spans="1:78" ht="15.75" customHeight="1">
      <c r="A2380" s="177" t="s">
        <v>7249</v>
      </c>
      <c r="B2380" s="200"/>
      <c r="C2380" s="178"/>
      <c r="D2380" s="178"/>
      <c r="E2380" s="227"/>
      <c r="F2380" s="180"/>
      <c r="G2380" s="181"/>
      <c r="H2380" s="182"/>
      <c r="I2380" s="182"/>
      <c r="J2380" s="182"/>
      <c r="K2380" s="183"/>
      <c r="L2380" s="182"/>
      <c r="M2380" s="182"/>
      <c r="N2380" s="182"/>
      <c r="O2380" s="183"/>
      <c r="P2380" s="183"/>
      <c r="Q2380" s="183"/>
      <c r="R2380" s="183"/>
      <c r="S2380" s="183"/>
      <c r="T2380" s="183"/>
      <c r="U2380" s="183"/>
      <c r="V2380" s="183"/>
      <c r="W2380" s="183"/>
      <c r="X2380" s="183"/>
      <c r="Y2380" s="184"/>
      <c r="Z2380" s="185"/>
      <c r="AA2380" s="185"/>
      <c r="AB2380" s="185"/>
      <c r="AC2380" s="185"/>
      <c r="AD2380" s="649"/>
      <c r="AE2380" s="182"/>
      <c r="AF2380" s="332"/>
      <c r="AG2380" s="182"/>
      <c r="AH2380" s="182"/>
      <c r="AI2380" s="182"/>
      <c r="AJ2380" s="640"/>
      <c r="AK2380" s="182"/>
      <c r="AL2380" s="496">
        <f t="shared" si="767"/>
        <v>0</v>
      </c>
      <c r="AM2380" s="496">
        <f>AL2380*(R2380-S2380)</f>
        <v>0</v>
      </c>
      <c r="AN2380" s="626"/>
      <c r="AO2380" s="182"/>
      <c r="AP2380" s="182"/>
      <c r="AQ2380" s="332" t="str">
        <f>UPPER(RIGHT(Journal_Live[[#This Row],[DURATION ]]))</f>
        <v/>
      </c>
      <c r="AR2380" s="182"/>
      <c r="AS2380" s="189"/>
      <c r="AT2380" s="189">
        <f>IF(ISBLANK(AS2380),,IF(U2380="S",AD2380-AS2380,AS2380-AD2380))</f>
        <v>0</v>
      </c>
      <c r="AU2380" s="187">
        <f>AV2380*R2380</f>
        <v>0</v>
      </c>
      <c r="AV2380" s="190">
        <f t="shared" si="768"/>
        <v>0</v>
      </c>
      <c r="AW2380" s="191"/>
      <c r="AX2380" s="417" t="s">
        <v>7447</v>
      </c>
      <c r="AY2380" s="417" t="s">
        <v>7448</v>
      </c>
      <c r="AZ2380" s="417" t="s">
        <v>7449</v>
      </c>
      <c r="BA2380" s="417" t="s">
        <v>7342</v>
      </c>
      <c r="BB2380" s="417" t="s">
        <v>7450</v>
      </c>
      <c r="BC2380" s="417" t="s">
        <v>7451</v>
      </c>
      <c r="BD2380" s="417" t="s">
        <v>7452</v>
      </c>
      <c r="BE2380" s="417" t="s">
        <v>7453</v>
      </c>
      <c r="BF2380" s="417" t="s">
        <v>7454</v>
      </c>
      <c r="BG2380" s="391">
        <f>SUM($AV$1389:AV2380)</f>
        <v>6829.7921494204165</v>
      </c>
      <c r="BH2380" s="392">
        <f>SUM($AU$1389:AU2380)</f>
        <v>42294.903836163023</v>
      </c>
      <c r="BI2380" s="318">
        <f>SUMIFS($AU$1388:AU2381,$Q$1388:Q2381,"F")</f>
        <v>28758.758121878131</v>
      </c>
      <c r="BJ2380" s="318">
        <f>SUMIFS($AU$1388:AU2381,$Q$1388:Q2381,"S")</f>
        <v>18338.285714285717</v>
      </c>
      <c r="BK2380" s="343">
        <f>SUMIFS($AU$1388:AU2381,$P$1388:P2381,"W")</f>
        <v>16085.423836163443</v>
      </c>
      <c r="BL2380" s="343">
        <f>SUMIFS($AU$1388:AU2381,$P$1388:P2381,"R")</f>
        <v>23278.800000000327</v>
      </c>
      <c r="BM2380" s="343">
        <f>SUMIFS($AU$1388:AU2381,$AQ$1388:AQ2381,"M")</f>
        <v>9563.1799999983832</v>
      </c>
      <c r="BN2380" s="343">
        <f>SUMIFS($AU$1388:AU2381,$AQ$1388:AQ2381,"H")</f>
        <v>12587.200000000877</v>
      </c>
      <c r="BO2380" s="343">
        <f>SUMIFS($AU$1388:AU2381,$AQ$1388:AQ2381,"D")</f>
        <v>11195.57747252718</v>
      </c>
      <c r="BP2380" s="343">
        <f>SUMIFS($AS$1388:AS2713,$AO$1388:AO2713,"W")</f>
        <v>0</v>
      </c>
      <c r="BQ2380" s="343">
        <f>SUMIFS($AU$1388:AU2381,$Q$1388:Q2381,"O")</f>
        <v>-9366.1400000007852</v>
      </c>
      <c r="BR2380" s="343">
        <f>SUMIFS($AU$1388:AU2381,$AA$1388:AA2381,"*")</f>
        <v>39156.002077921221</v>
      </c>
      <c r="BS2380" s="343">
        <f>SUMIFS($AU$1388:AU2381,$AB$1388:AB2381,"*")</f>
        <v>7005.8599999997941</v>
      </c>
      <c r="BT2380" s="343">
        <f>SUMIFS($AU$1388:AU2381,$AC$1388:AC2381,"*")</f>
        <v>31968.358121878122</v>
      </c>
      <c r="BU2380" s="343">
        <f>SUMIFS($AU$1388:AU2381,$AA$1388:AA2381,"*",$AB$1388:AB2381,"*")</f>
        <v>7301.9999999995771</v>
      </c>
      <c r="BV2380" s="343">
        <f>SUMIFS($AU$1388:AU2381,$AA$1388:AA2381,"*",$AC$1388:AC2381,"*")</f>
        <v>29949.316363636532</v>
      </c>
      <c r="BW2380" s="343">
        <f>SUMIFS($AU$1388:AU2381,$AB$1388:AB2381,"*",$AC$1388:AC2381,"*")</f>
        <v>3739.199999999998</v>
      </c>
      <c r="BX2380" s="343">
        <f>SUMIFS($AV$1388:AV2381,$Q$1388:Q2381,"F")</f>
        <v>396.72999236351012</v>
      </c>
      <c r="BY2380" s="343">
        <f>SUMIFS($AV$1388:AV2381,$Q$1388:Q2381,"S")</f>
        <v>775.76285705724263</v>
      </c>
      <c r="BZ2380" s="343">
        <f>SUMIFS($AV$1388:AV2381,$Q$1388:Q2381,"O")</f>
        <v>569.29929999965555</v>
      </c>
    </row>
    <row r="2381" spans="1:78" ht="15.75" customHeight="1">
      <c r="A2381" s="177" t="s">
        <v>7249</v>
      </c>
      <c r="B2381" s="200"/>
      <c r="C2381" s="178"/>
      <c r="D2381" s="178"/>
      <c r="E2381" s="227"/>
      <c r="F2381" s="180"/>
      <c r="G2381" s="181"/>
      <c r="H2381" s="182"/>
      <c r="I2381" s="182"/>
      <c r="J2381" s="182"/>
      <c r="K2381" s="183"/>
      <c r="L2381" s="182"/>
      <c r="M2381" s="182"/>
      <c r="N2381" s="182"/>
      <c r="O2381" s="183"/>
      <c r="P2381" s="183"/>
      <c r="Q2381" s="183"/>
      <c r="R2381" s="183"/>
      <c r="S2381" s="183"/>
      <c r="T2381" s="183"/>
      <c r="U2381" s="183"/>
      <c r="V2381" s="183"/>
      <c r="W2381" s="183"/>
      <c r="X2381" s="183"/>
      <c r="Y2381" s="184"/>
      <c r="Z2381" s="185"/>
      <c r="AA2381" s="185"/>
      <c r="AB2381" s="185"/>
      <c r="AC2381" s="185"/>
      <c r="AD2381" s="649"/>
      <c r="AE2381" s="182"/>
      <c r="AF2381" s="332"/>
      <c r="AG2381" s="182"/>
      <c r="AH2381" s="182"/>
      <c r="AI2381" s="182"/>
      <c r="AJ2381" s="640"/>
      <c r="AK2381" s="182"/>
      <c r="AL2381" s="496">
        <f t="shared" si="658"/>
        <v>0</v>
      </c>
      <c r="AM2381" s="496">
        <f>AL2381*(R2381-S2381)</f>
        <v>0</v>
      </c>
      <c r="AN2381" s="626"/>
      <c r="AO2381" s="182"/>
      <c r="AP2381" s="182"/>
      <c r="AQ2381" s="332" t="str">
        <f>UPPER(RIGHT(Journal_Live[[#This Row],[DURATION ]]))</f>
        <v/>
      </c>
      <c r="AR2381" s="182"/>
      <c r="AS2381" s="189"/>
      <c r="AT2381" s="189">
        <f>IF(ISBLANK(AS2381),,IF(U2381="S",AD2381-AS2381,AS2381-AD2381))</f>
        <v>0</v>
      </c>
      <c r="AU2381" s="187">
        <f>AV2381*R2381</f>
        <v>0</v>
      </c>
      <c r="AV2381" s="190">
        <f t="shared" si="685"/>
        <v>0</v>
      </c>
      <c r="AW2381" s="191"/>
      <c r="AX2381" s="417" t="s">
        <v>7455</v>
      </c>
      <c r="AY2381" s="417" t="s">
        <v>7456</v>
      </c>
      <c r="AZ2381" s="417" t="s">
        <v>7457</v>
      </c>
      <c r="BA2381" s="417" t="s">
        <v>7458</v>
      </c>
      <c r="BB2381" s="417" t="s">
        <v>7459</v>
      </c>
      <c r="BC2381" s="417" t="s">
        <v>7460</v>
      </c>
      <c r="BD2381" s="417" t="s">
        <v>7461</v>
      </c>
      <c r="BE2381" s="417" t="s">
        <v>7462</v>
      </c>
      <c r="BF2381" s="417" t="s">
        <v>7463</v>
      </c>
      <c r="BG2381" s="391">
        <f>SUM($AV$1389:AV2381)</f>
        <v>6829.7921494204165</v>
      </c>
      <c r="BH2381" s="392">
        <f>SUM($AU$1389:AU2381)</f>
        <v>42294.903836163023</v>
      </c>
      <c r="BI2381" s="318">
        <f>SUMIFS($AU$1388:AU2382,$Q$1388:Q2382,"F")</f>
        <v>28758.758121878131</v>
      </c>
      <c r="BJ2381" s="318">
        <f>SUMIFS($AU$1388:AU2382,$Q$1388:Q2382,"S")</f>
        <v>18338.285714285717</v>
      </c>
      <c r="BK2381" s="343">
        <f>SUMIFS($AU$1388:AU2382,$P$1388:P2382,"W")</f>
        <v>16085.423836163443</v>
      </c>
      <c r="BL2381" s="343">
        <f>SUMIFS($AU$1388:AU2382,$P$1388:P2382,"R")</f>
        <v>23278.800000000327</v>
      </c>
      <c r="BM2381" s="343">
        <f>SUMIFS($AU$1388:AU2382,$AQ$1388:AQ2382,"M")</f>
        <v>9563.1799999983832</v>
      </c>
      <c r="BN2381" s="343">
        <f>SUMIFS($AU$1388:AU2382,$AQ$1388:AQ2382,"H")</f>
        <v>12587.200000000877</v>
      </c>
      <c r="BO2381" s="343">
        <f>SUMIFS($AU$1388:AU2382,$AQ$1388:AQ2382,"D")</f>
        <v>11195.57747252718</v>
      </c>
      <c r="BP2381" s="343">
        <f>SUMIFS($AS$1388:AS2714,$AO$1388:AO2714,"W")</f>
        <v>0</v>
      </c>
      <c r="BQ2381" s="343">
        <f>SUMIFS($AU$1388:AU2382,$Q$1388:Q2382,"O")</f>
        <v>-9366.1400000007852</v>
      </c>
      <c r="BR2381" s="343">
        <f>SUMIFS($AU$1388:AU2382,$AA$1388:AA2382,"*")</f>
        <v>39156.002077921221</v>
      </c>
      <c r="BS2381" s="343">
        <f>SUMIFS($AU$1388:AU2382,$AB$1388:AB2382,"*")</f>
        <v>7005.8599999997941</v>
      </c>
      <c r="BT2381" s="343">
        <f>SUMIFS($AU$1388:AU2382,$AC$1388:AC2382,"*")</f>
        <v>31968.358121878122</v>
      </c>
      <c r="BU2381" s="343">
        <f>SUMIFS($AU$1388:AU2382,$AA$1388:AA2382,"*",$AB$1388:AB2382,"*")</f>
        <v>7301.9999999995771</v>
      </c>
      <c r="BV2381" s="343">
        <f>SUMIFS($AU$1388:AU2382,$AA$1388:AA2382,"*",$AC$1388:AC2382,"*")</f>
        <v>29949.316363636532</v>
      </c>
      <c r="BW2381" s="343">
        <f>SUMIFS($AU$1388:AU2382,$AB$1388:AB2382,"*",$AC$1388:AC2382,"*")</f>
        <v>3739.199999999998</v>
      </c>
      <c r="BX2381" s="343">
        <f>SUMIFS($AV$1388:AV2382,$Q$1388:Q2382,"F")</f>
        <v>396.72999236351012</v>
      </c>
      <c r="BY2381" s="343">
        <f>SUMIFS($AV$1388:AV2382,$Q$1388:Q2382,"S")</f>
        <v>775.76285705724263</v>
      </c>
      <c r="BZ2381" s="343">
        <f>SUMIFS($AV$1388:AV2382,$Q$1388:Q2382,"O")</f>
        <v>569.29929999965555</v>
      </c>
    </row>
    <row r="2382" spans="1:78" ht="15.75" customHeight="1">
      <c r="A2382" s="492" t="s">
        <v>7464</v>
      </c>
      <c r="B2382" s="273"/>
      <c r="C2382" s="214"/>
      <c r="D2382" s="214"/>
      <c r="E2382" s="215"/>
      <c r="F2382" s="216"/>
      <c r="G2382" s="214"/>
      <c r="H2382" s="214"/>
      <c r="I2382" s="214"/>
      <c r="J2382" s="214"/>
      <c r="K2382" s="217"/>
      <c r="L2382" s="214"/>
      <c r="M2382" s="214"/>
      <c r="N2382" s="214"/>
      <c r="O2382" s="214"/>
      <c r="P2382" s="217"/>
      <c r="Q2382" s="217"/>
      <c r="R2382" s="217"/>
      <c r="S2382" s="217"/>
      <c r="T2382" s="217"/>
      <c r="U2382" s="217"/>
      <c r="V2382" s="217"/>
      <c r="W2382" s="217"/>
      <c r="X2382" s="217"/>
      <c r="Y2382" s="217"/>
      <c r="Z2382" s="217"/>
      <c r="AA2382" s="218"/>
      <c r="AB2382" s="218"/>
      <c r="AC2382" s="218"/>
      <c r="AD2382" s="651"/>
      <c r="AE2382" s="214"/>
      <c r="AF2382" s="214"/>
      <c r="AG2382" s="214"/>
      <c r="AH2382" s="214"/>
      <c r="AI2382" s="214"/>
      <c r="AJ2382" s="642"/>
      <c r="AK2382" s="214"/>
      <c r="AL2382" s="214"/>
      <c r="AM2382" s="214"/>
      <c r="AN2382" s="628"/>
      <c r="AO2382" s="214"/>
      <c r="AP2382" s="214"/>
      <c r="AQ2382" s="334" t="str">
        <f>UPPER(RIGHT(Journal_Live[[#This Row],[DURATION ]]))</f>
        <v/>
      </c>
      <c r="AR2382" s="214"/>
      <c r="AS2382" s="214"/>
      <c r="AT2382" s="214"/>
      <c r="AU2382" s="214"/>
      <c r="AV2382" s="214"/>
      <c r="AW2382" s="214"/>
      <c r="AX2382" s="417"/>
      <c r="AY2382" s="417"/>
      <c r="AZ2382" s="417"/>
      <c r="BA2382" s="414"/>
      <c r="BB2382" s="414"/>
      <c r="BC2382" s="414"/>
      <c r="BD2382" s="414"/>
      <c r="BE2382" s="414"/>
      <c r="BF2382" s="414"/>
      <c r="BG2382" s="391">
        <f>SUM($AV$1389:AV2382)</f>
        <v>6829.7921494204165</v>
      </c>
      <c r="BH2382" s="392">
        <f>SUM($AU$1389:AU2382)</f>
        <v>42294.903836163023</v>
      </c>
      <c r="BI2382" s="318">
        <f>SUMIFS($AS$1388:AS2650,$Q$1388:Q2650,"F")</f>
        <v>-0.33068292040481395</v>
      </c>
      <c r="BJ2382" s="318">
        <f>SUMIFS($AU$1388:AU2383,$Q$1388:Q2383,"S")</f>
        <v>18338.285714285717</v>
      </c>
      <c r="BK2382" s="343">
        <f>SUMIFS($AS$1388:AS2650,$P$1388:P2650,"W")</f>
        <v>2260.1334672059916</v>
      </c>
      <c r="BL2382" s="343">
        <f>SUMIFS($AS$1388:AS2650,$P$1388:P2650,"R")</f>
        <v>1428.8986379096184</v>
      </c>
      <c r="BM2382" s="343">
        <f>SUMIFS($AS$1388:AS2650,$AO$1388:AO2650,"M")</f>
        <v>0</v>
      </c>
      <c r="BN2382" s="343">
        <f>SUMIFS($AS$1388:AS2650,$AO$1388:AO2650,"H")</f>
        <v>0</v>
      </c>
      <c r="BO2382" s="343">
        <f>SUMIFS($AS$1388:AS2650,$AO$1388:AO2650,"D")</f>
        <v>0</v>
      </c>
      <c r="BP2382" s="343">
        <f>SUMIFS($AS$1388:AS2860,$AO$1388:AO2860,"W")</f>
        <v>0</v>
      </c>
      <c r="BQ2382" s="343">
        <f>SUMIFS($AS$1388:AS2650,$Q$1388:Q2650,"O")</f>
        <v>9298.3289166666655</v>
      </c>
      <c r="BR2382" s="343">
        <f>SUMIFS($AS$1388:AS2650,$Y$1388:Y2650,"*")</f>
        <v>0</v>
      </c>
      <c r="BS2382" s="343">
        <f>SUMIFS($AS$1388:AS2650,$Z$1388:Z2650,"*")</f>
        <v>0</v>
      </c>
      <c r="BT2382" s="343">
        <f>SUMIFS($AS$1388:AS2650,$AA$1388:AA2650,"*")</f>
        <v>8204.8240046316405</v>
      </c>
      <c r="BU2382" s="343">
        <f>SUMIFS($AS$1388:AS2650,$Y$1388:Y2650,"*",$Z$1388:Z2650,"*")</f>
        <v>0</v>
      </c>
      <c r="BV2382" s="343">
        <f>SUMIFS($AS$1388:AS2650,$Y$1388:Y2650,"*",$AA$1388:AA2650,"*")</f>
        <v>0</v>
      </c>
      <c r="BW2382" s="343">
        <f>SUMIFS($AS$1388:AS2650,$Z$1388:Z2650,"*",$AA$1388:AA2650,"*")</f>
        <v>0</v>
      </c>
      <c r="BX2382" s="343">
        <f>SUMIFS($AT$1388:AT2650,$Q$1388:Q2650,"F")</f>
        <v>0.21468701445796326</v>
      </c>
      <c r="BY2382" s="343">
        <f>SUMIFS($AT$1388:AT2650,$Q$1388:Q2650,"S")</f>
        <v>0.44154640263800299</v>
      </c>
      <c r="BZ2382" s="343">
        <f>SUMIFS($AT$1388:AT2650,$Q$1388:Q2650,"O")</f>
        <v>-0.18728333333339395</v>
      </c>
    </row>
    <row r="2383" spans="1:78" ht="15.75" customHeight="1">
      <c r="A2383" s="177" t="s">
        <v>7465</v>
      </c>
      <c r="B2383" s="200"/>
      <c r="C2383" s="178"/>
      <c r="D2383" s="178"/>
      <c r="E2383" s="227"/>
      <c r="F2383" s="180"/>
      <c r="G2383" s="181"/>
      <c r="H2383" s="182"/>
      <c r="I2383" s="182"/>
      <c r="J2383" s="182"/>
      <c r="K2383" s="183"/>
      <c r="L2383" s="182"/>
      <c r="M2383" s="182"/>
      <c r="N2383" s="182"/>
      <c r="O2383" s="183"/>
      <c r="P2383" s="183"/>
      <c r="Q2383" s="183"/>
      <c r="R2383" s="183"/>
      <c r="S2383" s="183"/>
      <c r="T2383" s="183"/>
      <c r="U2383" s="183"/>
      <c r="V2383" s="183"/>
      <c r="W2383" s="183"/>
      <c r="X2383" s="183"/>
      <c r="Y2383" s="184"/>
      <c r="Z2383" s="185"/>
      <c r="AA2383" s="185"/>
      <c r="AB2383" s="185"/>
      <c r="AC2383" s="185"/>
      <c r="AD2383" s="649"/>
      <c r="AE2383" s="182"/>
      <c r="AF2383" s="332"/>
      <c r="AG2383" s="182"/>
      <c r="AH2383" s="182"/>
      <c r="AI2383" s="182"/>
      <c r="AJ2383" s="640"/>
      <c r="AK2383" s="182"/>
      <c r="AL2383" s="496">
        <f t="shared" ref="AL2383:AL2391" si="806">-0.02*Z2383</f>
        <v>0</v>
      </c>
      <c r="AM2383" s="496">
        <f t="shared" ref="AM2383:AM2396" si="807">AL2383*(R2383-S2383)</f>
        <v>0</v>
      </c>
      <c r="AN2383" s="626"/>
      <c r="AO2383" s="182"/>
      <c r="AP2383" s="182"/>
      <c r="AQ2383" s="332" t="str">
        <f>UPPER(RIGHT(Journal_Live[[#This Row],[DURATION ]]))</f>
        <v/>
      </c>
      <c r="AR2383" s="182"/>
      <c r="AS2383" s="189"/>
      <c r="AT2383" s="189">
        <f t="shared" ref="AT2383:AT2396" si="808">IF(ISBLANK(AS2383),,IF(U2383="S",AD2383-AS2383,AS2383-AD2383))</f>
        <v>0</v>
      </c>
      <c r="AU2383" s="187">
        <f t="shared" ref="AU2383:AU2396" si="809">AV2383*R2383</f>
        <v>0</v>
      </c>
      <c r="AV2383" s="190">
        <f t="shared" ref="AV2383:AV2391" si="810">IF(ISBLANK(AS2383),,(AT2383*Z2383))</f>
        <v>0</v>
      </c>
      <c r="AW2383" s="191"/>
      <c r="AX2383" s="549"/>
      <c r="AY2383" s="549"/>
      <c r="AZ2383" s="549"/>
      <c r="BA2383" s="549"/>
      <c r="BB2383" s="549"/>
      <c r="BC2383" s="549"/>
      <c r="BD2383" s="549"/>
      <c r="BE2383" s="550"/>
      <c r="BF2383" s="549"/>
      <c r="BG2383" s="391">
        <f>SUM($AV$1389:AV2383)</f>
        <v>6829.7921494204165</v>
      </c>
      <c r="BH2383" s="392">
        <f>SUM($AU$1389:AU2383)</f>
        <v>42294.903836163023</v>
      </c>
      <c r="BI2383" s="318">
        <f>SUMIFS($AU$1388:AU2386,$Q$1388:Q2386,"F")</f>
        <v>27318.758121878131</v>
      </c>
      <c r="BJ2383" s="318">
        <f>SUMIFS($AU$1388:AU2384,$Q$1388:Q2384,"S")</f>
        <v>18850.285714285717</v>
      </c>
      <c r="BK2383" s="343">
        <f>SUMIFS($AU$1388:AU2386,$P$1388:P2386,"W")</f>
        <v>14645.423836163443</v>
      </c>
      <c r="BL2383" s="343">
        <f>SUMIFS($AU$1388:AU2386,$P$1388:P2386,"R")</f>
        <v>23790.800000000327</v>
      </c>
      <c r="BM2383" s="343">
        <f>SUMIFS($AU$1388:AU2386,$AQ$1388:AQ2386,"M")</f>
        <v>9563.1799999983832</v>
      </c>
      <c r="BN2383" s="343">
        <f>SUMIFS($AU$1388:AU2386,$AQ$1388:AQ2386,"H")</f>
        <v>13051.200000000877</v>
      </c>
      <c r="BO2383" s="343">
        <f>SUMIFS($AU$1388:AU2386,$AQ$1388:AQ2386,"D")</f>
        <v>9755.5774725271804</v>
      </c>
      <c r="BP2383" s="343">
        <f>SUMIFS($AS$1388:AS2702,$AO$1388:AO2702,"W")</f>
        <v>0</v>
      </c>
      <c r="BQ2383" s="343">
        <f>SUMIFS($AU$1388:AU2386,$Q$1388:Q2386,"O")</f>
        <v>-9366.1400000007852</v>
      </c>
      <c r="BR2383" s="343">
        <f>SUMIFS($AU$1388:AU2386,$AA$1388:AA2386,"*")</f>
        <v>38180.002077921221</v>
      </c>
      <c r="BS2383" s="343">
        <f>SUMIFS($AU$1388:AU2386,$AB$1388:AB2386,"*")</f>
        <v>7005.8599999997941</v>
      </c>
      <c r="BT2383" s="343">
        <f>SUMIFS($AU$1388:AU2386,$AC$1388:AC2386,"*")</f>
        <v>31040.358121878122</v>
      </c>
      <c r="BU2383" s="343">
        <f>SUMIFS($AU$1388:AU2386,$AA$1388:AA2386,"*",$AB$1388:AB2386,"*")</f>
        <v>7301.9999999995771</v>
      </c>
      <c r="BV2383" s="343">
        <f>SUMIFS($AU$1388:AU2386,$AA$1388:AA2386,"*",$AC$1388:AC2386,"*")</f>
        <v>29021.316363636532</v>
      </c>
      <c r="BW2383" s="343">
        <f>SUMIFS($AU$1388:AU2386,$AB$1388:AB2386,"*",$AC$1388:AC2386,"*")</f>
        <v>3739.199999999998</v>
      </c>
      <c r="BX2383" s="343">
        <f>SUMIFS($AV$1388:AV2386,$Q$1388:Q2386,"F")</f>
        <v>341.34537697889471</v>
      </c>
      <c r="BY2383" s="343">
        <f>SUMIFS($AV$1388:AV2386,$Q$1388:Q2386,"S")</f>
        <v>767.76285705724263</v>
      </c>
      <c r="BZ2383" s="343">
        <f>SUMIFS($AV$1388:AV2386,$Q$1388:Q2386,"O")</f>
        <v>569.29929999965555</v>
      </c>
    </row>
    <row r="2384" spans="1:78" ht="15.75" customHeight="1">
      <c r="A2384" s="177" t="s">
        <v>7465</v>
      </c>
      <c r="B2384" s="200">
        <v>45505</v>
      </c>
      <c r="C2384" s="178" t="s">
        <v>7466</v>
      </c>
      <c r="D2384" s="178" t="s">
        <v>93</v>
      </c>
      <c r="E2384" s="227"/>
      <c r="F2384" s="180"/>
      <c r="G2384" s="553" t="s">
        <v>7141</v>
      </c>
      <c r="H2384" s="182"/>
      <c r="I2384" s="182"/>
      <c r="J2384" s="182"/>
      <c r="K2384" s="183"/>
      <c r="L2384" s="182"/>
      <c r="M2384" s="182">
        <v>2</v>
      </c>
      <c r="N2384" s="182"/>
      <c r="O2384" s="183" t="s">
        <v>95</v>
      </c>
      <c r="P2384" s="183" t="s">
        <v>137</v>
      </c>
      <c r="Q2384" s="183" t="s">
        <v>97</v>
      </c>
      <c r="R2384" s="183">
        <v>32</v>
      </c>
      <c r="S2384" s="183">
        <v>0</v>
      </c>
      <c r="T2384" s="183">
        <v>32</v>
      </c>
      <c r="U2384" s="183" t="s">
        <v>22</v>
      </c>
      <c r="V2384" s="183" t="s">
        <v>7349</v>
      </c>
      <c r="W2384" s="183" t="s">
        <v>22</v>
      </c>
      <c r="X2384" s="183" t="s">
        <v>7467</v>
      </c>
      <c r="Y2384" s="184">
        <f>IF(ISBLANK(O2384),"",(IF(O2384=UPPER("IB"),0.005,0.01)))</f>
        <v>0.01</v>
      </c>
      <c r="Z2384" s="185">
        <f>IF(ISBLANK(O2384),"",IF(O2384="IB",8.63*200,IF(O2384="IR",16*100,IF(O2384="YT",20*100,IF(O2384="YT-XT",24*200,IF(O2384="TED",80*100,IF(O2384="XT",29*200)))))))</f>
        <v>1600</v>
      </c>
      <c r="AA2384" s="185" t="s">
        <v>5492</v>
      </c>
      <c r="AB2384" s="185"/>
      <c r="AC2384" s="185" t="s">
        <v>7468</v>
      </c>
      <c r="AD2384" s="649">
        <v>-0.13</v>
      </c>
      <c r="AE2384" s="182"/>
      <c r="AF2384" s="332"/>
      <c r="AG2384" s="182"/>
      <c r="AH2384" s="182"/>
      <c r="AI2384" s="182"/>
      <c r="AJ2384" s="640" t="s">
        <v>7469</v>
      </c>
      <c r="AK2384" s="182"/>
      <c r="AL2384" s="496">
        <f t="shared" si="806"/>
        <v>-32</v>
      </c>
      <c r="AM2384" s="496">
        <f t="shared" si="807"/>
        <v>-1024</v>
      </c>
      <c r="AN2384" s="626"/>
      <c r="AO2384" s="182"/>
      <c r="AP2384" s="182" t="s">
        <v>1005</v>
      </c>
      <c r="AQ2384" s="332" t="s">
        <v>372</v>
      </c>
      <c r="AR2384" s="182" t="s">
        <v>7470</v>
      </c>
      <c r="AS2384" s="189">
        <v>-0.12</v>
      </c>
      <c r="AT2384" s="189">
        <f t="shared" si="808"/>
        <v>1.0000000000000009E-2</v>
      </c>
      <c r="AU2384" s="187">
        <f t="shared" si="809"/>
        <v>512.00000000000045</v>
      </c>
      <c r="AV2384" s="190">
        <f t="shared" si="810"/>
        <v>16.000000000000014</v>
      </c>
      <c r="AW2384" s="191" t="s">
        <v>96</v>
      </c>
      <c r="AX2384" s="549"/>
      <c r="AY2384" s="549"/>
      <c r="AZ2384" s="549"/>
      <c r="BA2384" s="549"/>
      <c r="BB2384" s="549"/>
      <c r="BC2384" s="551"/>
      <c r="BD2384" s="549"/>
      <c r="BE2384" s="550"/>
      <c r="BF2384" s="549"/>
      <c r="BG2384" s="391">
        <f>SUM($AV$1389:AV2384)</f>
        <v>6845.7921494204165</v>
      </c>
      <c r="BH2384" s="392">
        <f>SUM($AU$1389:AU2384)</f>
        <v>42806.903836163023</v>
      </c>
      <c r="BI2384" s="318">
        <f>SUMIFS($AU$1388:AU2387,$Q$1388:Q2387,"F")</f>
        <v>27318.758121878131</v>
      </c>
      <c r="BJ2384" s="318">
        <f>SUMIFS($AU$1388:AU2385,$Q$1388:Q2385,"S")</f>
        <v>18850.285714285717</v>
      </c>
      <c r="BK2384" s="343">
        <f>SUMIFS($AU$1388:AU2387,$P$1388:P2387,"W")</f>
        <v>14645.423836163443</v>
      </c>
      <c r="BL2384" s="343">
        <f>SUMIFS($AU$1388:AU2387,$P$1388:P2387,"R")</f>
        <v>23790.800000000327</v>
      </c>
      <c r="BM2384" s="343">
        <f>SUMIFS($AU$1388:AU2387,$AQ$1388:AQ2387,"M")</f>
        <v>9563.1799999983832</v>
      </c>
      <c r="BN2384" s="343">
        <f>SUMIFS($AU$1388:AU2387,$AQ$1388:AQ2387,"H")</f>
        <v>13051.200000000877</v>
      </c>
      <c r="BO2384" s="343">
        <f>SUMIFS($AU$1388:AU2387,$AQ$1388:AQ2387,"D")</f>
        <v>9755.5774725271804</v>
      </c>
      <c r="BP2384" s="343">
        <f>SUMIFS($AS$1388:AS2703,$AO$1388:AO2703,"W")</f>
        <v>0</v>
      </c>
      <c r="BQ2384" s="343">
        <f>SUMIFS($AU$1388:AU2387,$Q$1388:Q2387,"O")</f>
        <v>-9366.1400000007852</v>
      </c>
      <c r="BR2384" s="343">
        <f>SUMIFS($AU$1388:AU2387,$AA$1388:AA2387,"*")</f>
        <v>38180.002077921221</v>
      </c>
      <c r="BS2384" s="343">
        <f>SUMIFS($AU$1388:AU2387,$AB$1388:AB2387,"*")</f>
        <v>7005.8599999997941</v>
      </c>
      <c r="BT2384" s="343">
        <f>SUMIFS($AU$1388:AU2387,$AC$1388:AC2387,"*")</f>
        <v>31040.358121878122</v>
      </c>
      <c r="BU2384" s="343">
        <f>SUMIFS($AU$1388:AU2387,$AA$1388:AA2387,"*",$AB$1388:AB2387,"*")</f>
        <v>7301.9999999995771</v>
      </c>
      <c r="BV2384" s="343">
        <f>SUMIFS($AU$1388:AU2387,$AA$1388:AA2387,"*",$AC$1388:AC2387,"*")</f>
        <v>29021.316363636532</v>
      </c>
      <c r="BW2384" s="343">
        <f>SUMIFS($AU$1388:AU2387,$AB$1388:AB2387,"*",$AC$1388:AC2387,"*")</f>
        <v>3739.199999999998</v>
      </c>
      <c r="BX2384" s="343">
        <f>SUMIFS($AV$1388:AV2387,$Q$1388:Q2387,"F")</f>
        <v>341.34537697889471</v>
      </c>
      <c r="BY2384" s="343">
        <f>SUMIFS($AV$1388:AV2387,$Q$1388:Q2387,"S")</f>
        <v>767.76285705724263</v>
      </c>
      <c r="BZ2384" s="343">
        <f>SUMIFS($AV$1388:AV2387,$Q$1388:Q2387,"O")</f>
        <v>569.29929999965555</v>
      </c>
    </row>
    <row r="2385" spans="1:78" ht="15.75" customHeight="1">
      <c r="A2385" s="177" t="s">
        <v>7471</v>
      </c>
      <c r="B2385" s="200">
        <v>45505</v>
      </c>
      <c r="C2385" s="178" t="s">
        <v>3242</v>
      </c>
      <c r="D2385" s="178" t="s">
        <v>93</v>
      </c>
      <c r="E2385" s="227"/>
      <c r="F2385" s="180"/>
      <c r="G2385" s="553" t="s">
        <v>7472</v>
      </c>
      <c r="H2385" s="182"/>
      <c r="I2385" s="182"/>
      <c r="J2385" s="182"/>
      <c r="K2385" s="183"/>
      <c r="L2385" s="182">
        <v>1</v>
      </c>
      <c r="M2385" s="182"/>
      <c r="N2385" s="182"/>
      <c r="O2385" s="183" t="s">
        <v>95</v>
      </c>
      <c r="P2385" s="183" t="s">
        <v>96</v>
      </c>
      <c r="Q2385" s="183" t="s">
        <v>256</v>
      </c>
      <c r="R2385" s="183">
        <v>26</v>
      </c>
      <c r="S2385" s="183">
        <v>8</v>
      </c>
      <c r="T2385" s="183">
        <v>18</v>
      </c>
      <c r="U2385" s="183" t="s">
        <v>22</v>
      </c>
      <c r="V2385" s="183" t="s">
        <v>7357</v>
      </c>
      <c r="W2385" s="183" t="s">
        <v>22</v>
      </c>
      <c r="X2385" s="183" t="s">
        <v>7473</v>
      </c>
      <c r="Y2385" s="184">
        <f>IF(ISBLANK(O2385),"",(IF(O2385=UPPER("IB"),0.005,0.01)))</f>
        <v>0.01</v>
      </c>
      <c r="Z2385" s="185">
        <f>IF(ISBLANK(O2385),"",IF(O2385="IB",8.63*200,IF(O2385="IR",16*100,IF(O2385="YT",20*100,IF(O2385="YT-XT",24*200,IF(O2385="TED",80*100,IF(O2385="XT",29*200)))))))</f>
        <v>1600</v>
      </c>
      <c r="AA2385" s="185" t="s">
        <v>7474</v>
      </c>
      <c r="AB2385" s="185"/>
      <c r="AC2385" s="185" t="s">
        <v>7475</v>
      </c>
      <c r="AD2385" s="649">
        <v>-0.02</v>
      </c>
      <c r="AE2385" s="182"/>
      <c r="AF2385" s="332"/>
      <c r="AG2385" s="182"/>
      <c r="AH2385" s="182"/>
      <c r="AI2385" s="182"/>
      <c r="AJ2385" s="640"/>
      <c r="AK2385" s="182"/>
      <c r="AL2385" s="496">
        <f>-0.03*Z2385</f>
        <v>-48</v>
      </c>
      <c r="AM2385" s="496">
        <f t="shared" si="807"/>
        <v>-864</v>
      </c>
      <c r="AN2385" s="626"/>
      <c r="AO2385" s="182"/>
      <c r="AP2385" s="182" t="s">
        <v>827</v>
      </c>
      <c r="AQ2385" s="332" t="s">
        <v>115</v>
      </c>
      <c r="AR2385" s="182" t="s">
        <v>7476</v>
      </c>
      <c r="AS2385" s="189">
        <f>((-0.06*12)+(-0.05*8)+(-0.05*6))/26</f>
        <v>-5.4615384615384621E-2</v>
      </c>
      <c r="AT2385" s="189">
        <f t="shared" si="808"/>
        <v>-3.4615384615384617E-2</v>
      </c>
      <c r="AU2385" s="187">
        <f t="shared" si="809"/>
        <v>-1440</v>
      </c>
      <c r="AV2385" s="190">
        <f t="shared" si="810"/>
        <v>-55.384615384615387</v>
      </c>
      <c r="AW2385" s="191" t="s">
        <v>229</v>
      </c>
      <c r="AX2385" s="549" t="s">
        <v>7477</v>
      </c>
      <c r="AY2385" s="549" t="s">
        <v>7478</v>
      </c>
      <c r="AZ2385" s="549"/>
      <c r="BA2385" s="549"/>
      <c r="BB2385" s="549"/>
      <c r="BC2385" s="551"/>
      <c r="BD2385" s="549"/>
      <c r="BE2385" s="550"/>
      <c r="BF2385" s="549"/>
      <c r="BG2385" s="391">
        <f>SUM($AV$1389:AV2385)</f>
        <v>6790.4075340358013</v>
      </c>
      <c r="BH2385" s="392">
        <f>SUM($AU$1389:AU2385)</f>
        <v>41366.903836163023</v>
      </c>
      <c r="BI2385" s="318">
        <f>SUMIFS($AU$1388:AU2388,$Q$1388:Q2388,"F")</f>
        <v>27318.758121878131</v>
      </c>
      <c r="BJ2385" s="318">
        <f>SUMIFS($AU$1388:AU2386,$Q$1388:Q2386,"S")</f>
        <v>18802.285714285717</v>
      </c>
      <c r="BK2385" s="343">
        <f>SUMIFS($AU$1388:AU2388,$P$1388:P2388,"W")</f>
        <v>14645.423836163443</v>
      </c>
      <c r="BL2385" s="343">
        <f>SUMIFS($AU$1388:AU2388,$P$1388:P2388,"R")</f>
        <v>23790.800000000327</v>
      </c>
      <c r="BM2385" s="343">
        <f>SUMIFS($AU$1388:AU2388,$AQ$1388:AQ2388,"M")</f>
        <v>9563.1799999983832</v>
      </c>
      <c r="BN2385" s="343">
        <f>SUMIFS($AU$1388:AU2388,$AQ$1388:AQ2388,"H")</f>
        <v>13051.200000000877</v>
      </c>
      <c r="BO2385" s="343">
        <f>SUMIFS($AU$1388:AU2388,$AQ$1388:AQ2388,"D")</f>
        <v>9755.5774725271804</v>
      </c>
      <c r="BP2385" s="343">
        <f>SUMIFS($AS$1388:AS2704,$AO$1388:AO2704,"W")</f>
        <v>0</v>
      </c>
      <c r="BQ2385" s="343">
        <f>SUMIFS($AU$1388:AU2388,$Q$1388:Q2388,"O")</f>
        <v>-9366.1400000007852</v>
      </c>
      <c r="BR2385" s="343">
        <f>SUMIFS($AU$1388:AU2388,$AA$1388:AA2388,"*")</f>
        <v>38180.002077921221</v>
      </c>
      <c r="BS2385" s="343">
        <f>SUMIFS($AU$1388:AU2388,$AB$1388:AB2388,"*")</f>
        <v>7005.8599999997941</v>
      </c>
      <c r="BT2385" s="343">
        <f>SUMIFS($AU$1388:AU2388,$AC$1388:AC2388,"*")</f>
        <v>31040.358121878122</v>
      </c>
      <c r="BU2385" s="343">
        <f>SUMIFS($AU$1388:AU2388,$AA$1388:AA2388,"*",$AB$1388:AB2388,"*")</f>
        <v>7301.9999999995771</v>
      </c>
      <c r="BV2385" s="343">
        <f>SUMIFS($AU$1388:AU2388,$AA$1388:AA2388,"*",$AC$1388:AC2388,"*")</f>
        <v>29021.316363636532</v>
      </c>
      <c r="BW2385" s="343">
        <f>SUMIFS($AU$1388:AU2388,$AB$1388:AB2388,"*",$AC$1388:AC2388,"*")</f>
        <v>3739.199999999998</v>
      </c>
      <c r="BX2385" s="343">
        <f>SUMIFS($AV$1388:AV2388,$Q$1388:Q2388,"F")</f>
        <v>341.34537697889471</v>
      </c>
      <c r="BY2385" s="343">
        <f>SUMIFS($AV$1388:AV2388,$Q$1388:Q2388,"S")</f>
        <v>767.76285705724263</v>
      </c>
      <c r="BZ2385" s="343">
        <f>SUMIFS($AV$1388:AV2388,$Q$1388:Q2388,"O")</f>
        <v>569.29929999965555</v>
      </c>
    </row>
    <row r="2386" spans="1:78" ht="15.75" customHeight="1">
      <c r="A2386" s="177" t="s">
        <v>7465</v>
      </c>
      <c r="B2386" s="200">
        <v>45505</v>
      </c>
      <c r="C2386" s="178" t="s">
        <v>1322</v>
      </c>
      <c r="D2386" s="178" t="s">
        <v>93</v>
      </c>
      <c r="E2386" s="227"/>
      <c r="F2386" s="180"/>
      <c r="G2386" s="635" t="s">
        <v>2545</v>
      </c>
      <c r="H2386" s="182"/>
      <c r="I2386" s="182"/>
      <c r="J2386" s="182"/>
      <c r="K2386" s="183"/>
      <c r="L2386" s="182">
        <v>1</v>
      </c>
      <c r="M2386" s="182"/>
      <c r="N2386" s="182"/>
      <c r="O2386" s="183" t="s">
        <v>2259</v>
      </c>
      <c r="P2386" s="183" t="s">
        <v>2260</v>
      </c>
      <c r="Q2386" s="183" t="s">
        <v>97</v>
      </c>
      <c r="R2386" s="183">
        <v>2</v>
      </c>
      <c r="S2386" s="183">
        <v>0</v>
      </c>
      <c r="T2386" s="183">
        <v>1</v>
      </c>
      <c r="U2386" s="183" t="s">
        <v>97</v>
      </c>
      <c r="V2386" s="183" t="s">
        <v>7349</v>
      </c>
      <c r="W2386" s="183" t="s">
        <v>22</v>
      </c>
      <c r="X2386" s="183"/>
      <c r="Y2386" s="184">
        <f>IF(ISBLANK(O2386),"",(IF(O2386=UPPER("IB"),0.005,0.01)))</f>
        <v>0.01</v>
      </c>
      <c r="Z2386" s="185">
        <f>IF(ISBLANK(O2386),"",IF(O2386="IB",8.63*200,IF(O2386="IR",16*100,IF(O2386="YT",20*100,IF(O2386="YT-XT",24*200,IF(O2386="TED",80*100,IF(O2386="XT",29*200)))))))</f>
        <v>4800</v>
      </c>
      <c r="AA2386" s="185" t="s">
        <v>7479</v>
      </c>
      <c r="AB2386" s="185"/>
      <c r="AC2386" s="185"/>
      <c r="AD2386" s="649">
        <v>0.39500000000000002</v>
      </c>
      <c r="AE2386" s="182"/>
      <c r="AF2386" s="332"/>
      <c r="AG2386" s="182"/>
      <c r="AH2386" s="182"/>
      <c r="AI2386" s="182"/>
      <c r="AJ2386" s="640"/>
      <c r="AK2386" s="182"/>
      <c r="AL2386" s="496">
        <f t="shared" si="806"/>
        <v>-96</v>
      </c>
      <c r="AM2386" s="496">
        <f t="shared" si="807"/>
        <v>-192</v>
      </c>
      <c r="AN2386" s="626"/>
      <c r="AO2386" s="182"/>
      <c r="AP2386" s="182" t="s">
        <v>2214</v>
      </c>
      <c r="AQ2386" s="332" t="s">
        <v>372</v>
      </c>
      <c r="AR2386" s="182" t="s">
        <v>7480</v>
      </c>
      <c r="AS2386" s="189">
        <v>0.4</v>
      </c>
      <c r="AT2386" s="189">
        <f t="shared" si="808"/>
        <v>-5.0000000000000044E-3</v>
      </c>
      <c r="AU2386" s="187">
        <f t="shared" si="809"/>
        <v>-48.000000000000043</v>
      </c>
      <c r="AV2386" s="190">
        <f t="shared" si="810"/>
        <v>-24.000000000000021</v>
      </c>
      <c r="AW2386" s="191" t="s">
        <v>229</v>
      </c>
      <c r="AX2386" s="549" t="s">
        <v>7481</v>
      </c>
      <c r="AY2386" s="549"/>
      <c r="AZ2386" s="549"/>
      <c r="BA2386" s="549"/>
      <c r="BB2386" s="549"/>
      <c r="BC2386" s="551"/>
      <c r="BD2386" s="549"/>
      <c r="BE2386" s="550"/>
      <c r="BF2386" s="549"/>
      <c r="BG2386" s="391">
        <f>SUM($AV$1389:AV2386)</f>
        <v>6766.4075340358013</v>
      </c>
      <c r="BH2386" s="392">
        <f>SUM($AU$1389:AU2386)</f>
        <v>41318.903836163023</v>
      </c>
      <c r="BI2386" s="318">
        <f>SUMIFS($AU$1388:AU2389,$Q$1388:Q2389,"F")</f>
        <v>27318.758121878131</v>
      </c>
      <c r="BJ2386" s="318">
        <f>SUMIFS($AU$1388:AU2387,$Q$1388:Q2387,"S")</f>
        <v>18802.285714285717</v>
      </c>
      <c r="BK2386" s="343">
        <f>SUMIFS($AU$1388:AU2389,$P$1388:P2389,"W")</f>
        <v>14645.423836163443</v>
      </c>
      <c r="BL2386" s="343">
        <f>SUMIFS($AU$1388:AU2389,$P$1388:P2389,"R")</f>
        <v>23790.800000000327</v>
      </c>
      <c r="BM2386" s="343">
        <f>SUMIFS($AU$1388:AU2389,$AQ$1388:AQ2389,"M")</f>
        <v>9563.1799999983832</v>
      </c>
      <c r="BN2386" s="343">
        <f>SUMIFS($AU$1388:AU2389,$AQ$1388:AQ2389,"H")</f>
        <v>13051.200000000877</v>
      </c>
      <c r="BO2386" s="343">
        <f>SUMIFS($AU$1388:AU2389,$AQ$1388:AQ2389,"D")</f>
        <v>9755.5774725271804</v>
      </c>
      <c r="BP2386" s="343">
        <f>SUMIFS($AS$1388:AS2705,$AO$1388:AO2705,"W")</f>
        <v>0</v>
      </c>
      <c r="BQ2386" s="343">
        <f>SUMIFS($AU$1388:AU2389,$Q$1388:Q2389,"O")</f>
        <v>-9366.1400000007852</v>
      </c>
      <c r="BR2386" s="343">
        <f>SUMIFS($AU$1388:AU2389,$AA$1388:AA2389,"*")</f>
        <v>38180.002077921221</v>
      </c>
      <c r="BS2386" s="343">
        <f>SUMIFS($AU$1388:AU2389,$AB$1388:AB2389,"*")</f>
        <v>7005.8599999997941</v>
      </c>
      <c r="BT2386" s="343">
        <f>SUMIFS($AU$1388:AU2389,$AC$1388:AC2389,"*")</f>
        <v>31040.358121878122</v>
      </c>
      <c r="BU2386" s="343">
        <f>SUMIFS($AU$1388:AU2389,$AA$1388:AA2389,"*",$AB$1388:AB2389,"*")</f>
        <v>7301.9999999995771</v>
      </c>
      <c r="BV2386" s="343">
        <f>SUMIFS($AU$1388:AU2389,$AA$1388:AA2389,"*",$AC$1388:AC2389,"*")</f>
        <v>29021.316363636532</v>
      </c>
      <c r="BW2386" s="343">
        <f>SUMIFS($AU$1388:AU2389,$AB$1388:AB2389,"*",$AC$1388:AC2389,"*")</f>
        <v>3739.199999999998</v>
      </c>
      <c r="BX2386" s="343">
        <f>SUMIFS($AV$1388:AV2389,$Q$1388:Q2389,"F")</f>
        <v>341.34537697889471</v>
      </c>
      <c r="BY2386" s="343">
        <f>SUMIFS($AV$1388:AV2389,$Q$1388:Q2389,"S")</f>
        <v>767.76285705724263</v>
      </c>
      <c r="BZ2386" s="343">
        <f>SUMIFS($AV$1388:AV2389,$Q$1388:Q2389,"O")</f>
        <v>569.29929999965555</v>
      </c>
    </row>
    <row r="2387" spans="1:78" ht="15.75" customHeight="1">
      <c r="A2387" s="177" t="s">
        <v>7465</v>
      </c>
      <c r="B2387" s="200">
        <v>45506</v>
      </c>
      <c r="C2387" s="178" t="s">
        <v>7303</v>
      </c>
      <c r="D2387" s="178" t="s">
        <v>111</v>
      </c>
      <c r="E2387" s="227"/>
      <c r="F2387" s="180"/>
      <c r="G2387" s="553" t="s">
        <v>7277</v>
      </c>
      <c r="H2387" s="182"/>
      <c r="I2387" s="182"/>
      <c r="J2387" s="182"/>
      <c r="K2387" s="183"/>
      <c r="L2387" s="182"/>
      <c r="M2387" s="182">
        <v>1</v>
      </c>
      <c r="N2387" s="182"/>
      <c r="O2387" s="183" t="s">
        <v>95</v>
      </c>
      <c r="P2387" s="183" t="s">
        <v>96</v>
      </c>
      <c r="Q2387" s="183" t="s">
        <v>97</v>
      </c>
      <c r="R2387" s="183">
        <v>16</v>
      </c>
      <c r="S2387" s="183">
        <v>0</v>
      </c>
      <c r="T2387" s="183">
        <v>16</v>
      </c>
      <c r="U2387" s="183" t="s">
        <v>97</v>
      </c>
      <c r="V2387" s="183" t="s">
        <v>7349</v>
      </c>
      <c r="W2387" s="183" t="s">
        <v>22</v>
      </c>
      <c r="X2387" s="183" t="s">
        <v>7467</v>
      </c>
      <c r="Y2387" s="184">
        <f>IF(ISBLANK(O2387),"",(IF(O2387=UPPER("IB"),0.005,0.01)))</f>
        <v>0.01</v>
      </c>
      <c r="Z2387" s="185">
        <f>IF(ISBLANK(O2387),"",IF(O2387="IB",8.63*200,IF(O2387="IR",16*100,IF(O2387="YT",20*100,IF(O2387="YT-XT",24*200,IF(O2387="TED",80*100,IF(O2387="XT",29*200)))))))</f>
        <v>1600</v>
      </c>
      <c r="AA2387" s="185" t="s">
        <v>5492</v>
      </c>
      <c r="AB2387" s="185"/>
      <c r="AC2387" s="185"/>
      <c r="AD2387" s="649">
        <v>-0.31</v>
      </c>
      <c r="AE2387" s="182"/>
      <c r="AF2387" s="332"/>
      <c r="AG2387" s="182"/>
      <c r="AH2387" s="182"/>
      <c r="AI2387" s="182"/>
      <c r="AJ2387" s="640"/>
      <c r="AK2387" s="182"/>
      <c r="AL2387" s="496">
        <f t="shared" si="806"/>
        <v>-32</v>
      </c>
      <c r="AM2387" s="496">
        <f t="shared" si="807"/>
        <v>-512</v>
      </c>
      <c r="AN2387" s="626"/>
      <c r="AO2387" s="182"/>
      <c r="AP2387" s="182"/>
      <c r="AQ2387" s="332" t="str">
        <f>UPPER(RIGHT(Journal_Live[[#This Row],[DURATION ]]))</f>
        <v/>
      </c>
      <c r="AR2387" s="182" t="s">
        <v>1142</v>
      </c>
      <c r="AS2387" s="189">
        <v>-0.31</v>
      </c>
      <c r="AT2387" s="189">
        <f t="shared" si="808"/>
        <v>0</v>
      </c>
      <c r="AU2387" s="187">
        <f t="shared" si="809"/>
        <v>0</v>
      </c>
      <c r="AV2387" s="190">
        <f t="shared" si="810"/>
        <v>0</v>
      </c>
      <c r="AW2387" s="191" t="s">
        <v>115</v>
      </c>
      <c r="AX2387" s="549" t="s">
        <v>7482</v>
      </c>
      <c r="AY2387" s="549" t="s">
        <v>940</v>
      </c>
      <c r="AZ2387" s="549"/>
      <c r="BA2387" s="549"/>
      <c r="BB2387" s="549"/>
      <c r="BC2387" s="551"/>
      <c r="BD2387" s="549"/>
      <c r="BE2387" s="550"/>
      <c r="BF2387" s="549"/>
      <c r="BG2387" s="391">
        <f>SUM($AV$1389:AV2387)</f>
        <v>6766.4075340358013</v>
      </c>
      <c r="BH2387" s="392">
        <f>SUM($AU$1389:AU2387)</f>
        <v>41318.903836163023</v>
      </c>
      <c r="BI2387" s="318">
        <f>SUMIFS($AU$1388:AU2390,$Q$1388:Q2390,"F")</f>
        <v>27318.758121878131</v>
      </c>
      <c r="BJ2387" s="318">
        <f>SUMIFS($AU$1388:AU2388,$Q$1388:Q2388,"S")</f>
        <v>18802.285714285717</v>
      </c>
      <c r="BK2387" s="343">
        <f>SUMIFS($AU$1388:AU2390,$P$1388:P2390,"W")</f>
        <v>14645.423836163443</v>
      </c>
      <c r="BL2387" s="343">
        <f>SUMIFS($AU$1388:AU2390,$P$1388:P2390,"R")</f>
        <v>23790.800000000327</v>
      </c>
      <c r="BM2387" s="343">
        <f>SUMIFS($AU$1388:AU2390,$AQ$1388:AQ2390,"M")</f>
        <v>9563.1799999983832</v>
      </c>
      <c r="BN2387" s="343">
        <f>SUMIFS($AU$1388:AU2390,$AQ$1388:AQ2390,"H")</f>
        <v>13051.200000000877</v>
      </c>
      <c r="BO2387" s="343">
        <f>SUMIFS($AU$1388:AU2390,$AQ$1388:AQ2390,"D")</f>
        <v>9755.5774725271804</v>
      </c>
      <c r="BP2387" s="343">
        <f>SUMIFS($AS$1388:AS2706,$AO$1388:AO2706,"W")</f>
        <v>0</v>
      </c>
      <c r="BQ2387" s="343">
        <f>SUMIFS($AU$1388:AU2390,$Q$1388:Q2390,"O")</f>
        <v>-9366.1400000007852</v>
      </c>
      <c r="BR2387" s="343">
        <f>SUMIFS($AU$1388:AU2390,$AA$1388:AA2390,"*")</f>
        <v>38180.002077921221</v>
      </c>
      <c r="BS2387" s="343">
        <f>SUMIFS($AU$1388:AU2390,$AB$1388:AB2390,"*")</f>
        <v>7005.8599999997941</v>
      </c>
      <c r="BT2387" s="343">
        <f>SUMIFS($AU$1388:AU2390,$AC$1388:AC2390,"*")</f>
        <v>31040.358121878122</v>
      </c>
      <c r="BU2387" s="343">
        <f>SUMIFS($AU$1388:AU2390,$AA$1388:AA2390,"*",$AB$1388:AB2390,"*")</f>
        <v>7301.9999999995771</v>
      </c>
      <c r="BV2387" s="343">
        <f>SUMIFS($AU$1388:AU2390,$AA$1388:AA2390,"*",$AC$1388:AC2390,"*")</f>
        <v>29021.316363636532</v>
      </c>
      <c r="BW2387" s="343">
        <f>SUMIFS($AU$1388:AU2390,$AB$1388:AB2390,"*",$AC$1388:AC2390,"*")</f>
        <v>3739.199999999998</v>
      </c>
      <c r="BX2387" s="343">
        <f>SUMIFS($AV$1388:AV2390,$Q$1388:Q2390,"F")</f>
        <v>341.34537697889471</v>
      </c>
      <c r="BY2387" s="343">
        <f>SUMIFS($AV$1388:AV2390,$Q$1388:Q2390,"S")</f>
        <v>767.76285705724263</v>
      </c>
      <c r="BZ2387" s="343">
        <f>SUMIFS($AV$1388:AV2390,$Q$1388:Q2390,"O")</f>
        <v>569.29929999965555</v>
      </c>
    </row>
    <row r="2388" spans="1:78" ht="15.75" customHeight="1">
      <c r="A2388" s="177" t="s">
        <v>7465</v>
      </c>
      <c r="B2388" s="200"/>
      <c r="C2388" s="178"/>
      <c r="D2388" s="178"/>
      <c r="E2388" s="227"/>
      <c r="F2388" s="180"/>
      <c r="G2388" s="181"/>
      <c r="H2388" s="182"/>
      <c r="I2388" s="182"/>
      <c r="J2388" s="182"/>
      <c r="K2388" s="183"/>
      <c r="L2388" s="182"/>
      <c r="M2388" s="182"/>
      <c r="N2388" s="182"/>
      <c r="O2388" s="183"/>
      <c r="P2388" s="183"/>
      <c r="Q2388" s="183"/>
      <c r="R2388" s="183"/>
      <c r="S2388" s="183"/>
      <c r="T2388" s="183"/>
      <c r="U2388" s="183"/>
      <c r="V2388" s="183"/>
      <c r="W2388" s="183"/>
      <c r="X2388" s="183"/>
      <c r="Y2388" s="184"/>
      <c r="Z2388" s="185"/>
      <c r="AA2388" s="185"/>
      <c r="AB2388" s="185"/>
      <c r="AC2388" s="185"/>
      <c r="AD2388" s="649"/>
      <c r="AE2388" s="182"/>
      <c r="AF2388" s="332"/>
      <c r="AG2388" s="182"/>
      <c r="AH2388" s="182"/>
      <c r="AI2388" s="182"/>
      <c r="AJ2388" s="640"/>
      <c r="AK2388" s="182"/>
      <c r="AL2388" s="496">
        <f t="shared" si="806"/>
        <v>0</v>
      </c>
      <c r="AM2388" s="496">
        <f t="shared" si="807"/>
        <v>0</v>
      </c>
      <c r="AN2388" s="626"/>
      <c r="AO2388" s="182"/>
      <c r="AP2388" s="182"/>
      <c r="AQ2388" s="332" t="str">
        <f>UPPER(RIGHT(Journal_Live[[#This Row],[DURATION ]]))</f>
        <v/>
      </c>
      <c r="AR2388" s="182"/>
      <c r="AS2388" s="189"/>
      <c r="AT2388" s="189">
        <f t="shared" si="808"/>
        <v>0</v>
      </c>
      <c r="AU2388" s="187">
        <f t="shared" si="809"/>
        <v>0</v>
      </c>
      <c r="AV2388" s="190">
        <f t="shared" si="810"/>
        <v>0</v>
      </c>
      <c r="AW2388" s="191"/>
      <c r="AX2388" s="636" t="s">
        <v>7483</v>
      </c>
      <c r="AY2388" s="549"/>
      <c r="AZ2388" s="549"/>
      <c r="BA2388" s="549"/>
      <c r="BB2388" s="549"/>
      <c r="BC2388" s="551"/>
      <c r="BD2388" s="549"/>
      <c r="BE2388" s="550"/>
      <c r="BF2388" s="549"/>
      <c r="BG2388" s="391">
        <f>SUM($AV$1389:AV2388)</f>
        <v>6766.4075340358013</v>
      </c>
      <c r="BH2388" s="392">
        <f>SUM($AU$1389:AU2388)</f>
        <v>41318.903836163023</v>
      </c>
      <c r="BI2388" s="318">
        <f>SUMIFS($AU$1388:AU2391,$Q$1388:Q2391,"F")</f>
        <v>27318.758121878131</v>
      </c>
      <c r="BJ2388" s="318">
        <f>SUMIFS($AU$1388:AU2389,$Q$1388:Q2389,"S")</f>
        <v>18802.285714285717</v>
      </c>
      <c r="BK2388" s="343">
        <f>SUMIFS($AU$1388:AU2391,$P$1388:P2391,"W")</f>
        <v>14645.423836163443</v>
      </c>
      <c r="BL2388" s="343">
        <f>SUMIFS($AU$1388:AU2391,$P$1388:P2391,"R")</f>
        <v>23790.800000000327</v>
      </c>
      <c r="BM2388" s="343">
        <f>SUMIFS($AU$1388:AU2391,$AQ$1388:AQ2391,"M")</f>
        <v>9563.1799999983832</v>
      </c>
      <c r="BN2388" s="343">
        <f>SUMIFS($AU$1388:AU2391,$AQ$1388:AQ2391,"H")</f>
        <v>13051.200000000877</v>
      </c>
      <c r="BO2388" s="343">
        <f>SUMIFS($AU$1388:AU2391,$AQ$1388:AQ2391,"D")</f>
        <v>9755.5774725271804</v>
      </c>
      <c r="BP2388" s="343">
        <f>SUMIFS($AS$1388:AS2707,$AO$1388:AO2707,"W")</f>
        <v>0</v>
      </c>
      <c r="BQ2388" s="343">
        <f>SUMIFS($AU$1388:AU2391,$Q$1388:Q2391,"O")</f>
        <v>-9366.1400000007852</v>
      </c>
      <c r="BR2388" s="343">
        <f>SUMIFS($AU$1388:AU2391,$AA$1388:AA2391,"*")</f>
        <v>38180.002077921221</v>
      </c>
      <c r="BS2388" s="343">
        <f>SUMIFS($AU$1388:AU2391,$AB$1388:AB2391,"*")</f>
        <v>7005.8599999997941</v>
      </c>
      <c r="BT2388" s="343">
        <f>SUMIFS($AU$1388:AU2391,$AC$1388:AC2391,"*")</f>
        <v>31040.358121878122</v>
      </c>
      <c r="BU2388" s="343">
        <f>SUMIFS($AU$1388:AU2391,$AA$1388:AA2391,"*",$AB$1388:AB2391,"*")</f>
        <v>7301.9999999995771</v>
      </c>
      <c r="BV2388" s="343">
        <f>SUMIFS($AU$1388:AU2391,$AA$1388:AA2391,"*",$AC$1388:AC2391,"*")</f>
        <v>29021.316363636532</v>
      </c>
      <c r="BW2388" s="343">
        <f>SUMIFS($AU$1388:AU2391,$AB$1388:AB2391,"*",$AC$1388:AC2391,"*")</f>
        <v>3739.199999999998</v>
      </c>
      <c r="BX2388" s="343">
        <f>SUMIFS($AV$1388:AV2391,$Q$1388:Q2391,"F")</f>
        <v>341.34537697889471</v>
      </c>
      <c r="BY2388" s="343">
        <f>SUMIFS($AV$1388:AV2391,$Q$1388:Q2391,"S")</f>
        <v>767.76285705724263</v>
      </c>
      <c r="BZ2388" s="343">
        <f>SUMIFS($AV$1388:AV2391,$Q$1388:Q2391,"O")</f>
        <v>569.29929999965555</v>
      </c>
    </row>
    <row r="2389" spans="1:78" ht="15.75" customHeight="1">
      <c r="A2389" s="177" t="s">
        <v>7465</v>
      </c>
      <c r="B2389" s="200">
        <v>45506</v>
      </c>
      <c r="C2389" s="178" t="s">
        <v>1728</v>
      </c>
      <c r="D2389" s="178" t="s">
        <v>111</v>
      </c>
      <c r="E2389" s="227" t="s">
        <v>7484</v>
      </c>
      <c r="F2389" s="180" t="s">
        <v>7293</v>
      </c>
      <c r="G2389" s="181"/>
      <c r="H2389" s="182"/>
      <c r="I2389" s="182"/>
      <c r="J2389" s="182">
        <v>1</v>
      </c>
      <c r="K2389" s="183" t="s">
        <v>115</v>
      </c>
      <c r="L2389" s="182"/>
      <c r="M2389" s="182"/>
      <c r="N2389" s="182"/>
      <c r="O2389" s="183"/>
      <c r="P2389" s="183"/>
      <c r="Q2389" s="183"/>
      <c r="R2389" s="183"/>
      <c r="S2389" s="183"/>
      <c r="T2389" s="183"/>
      <c r="U2389" s="183"/>
      <c r="V2389" s="183"/>
      <c r="W2389" s="183"/>
      <c r="X2389" s="183"/>
      <c r="Y2389" s="184"/>
      <c r="Z2389" s="185"/>
      <c r="AA2389" s="185"/>
      <c r="AB2389" s="185"/>
      <c r="AC2389" s="185"/>
      <c r="AD2389" s="649"/>
      <c r="AE2389" s="182"/>
      <c r="AF2389" s="332"/>
      <c r="AG2389" s="182"/>
      <c r="AH2389" s="182"/>
      <c r="AI2389" s="182"/>
      <c r="AJ2389" s="640"/>
      <c r="AK2389" s="182"/>
      <c r="AL2389" s="496">
        <f t="shared" si="806"/>
        <v>0</v>
      </c>
      <c r="AM2389" s="496">
        <f t="shared" si="807"/>
        <v>0</v>
      </c>
      <c r="AN2389" s="626"/>
      <c r="AO2389" s="182"/>
      <c r="AP2389" s="182"/>
      <c r="AQ2389" s="332" t="str">
        <f>UPPER(RIGHT(Journal_Live[[#This Row],[DURATION ]]))</f>
        <v/>
      </c>
      <c r="AR2389" s="182"/>
      <c r="AS2389" s="189"/>
      <c r="AT2389" s="189">
        <f t="shared" si="808"/>
        <v>0</v>
      </c>
      <c r="AU2389" s="187">
        <f t="shared" si="809"/>
        <v>0</v>
      </c>
      <c r="AV2389" s="190">
        <f t="shared" si="810"/>
        <v>0</v>
      </c>
      <c r="AW2389" s="191"/>
      <c r="AX2389" s="549"/>
      <c r="AY2389" s="549"/>
      <c r="AZ2389" s="549"/>
      <c r="BA2389" s="549"/>
      <c r="BB2389" s="549"/>
      <c r="BC2389" s="551"/>
      <c r="BD2389" s="549"/>
      <c r="BE2389" s="550"/>
      <c r="BF2389" s="549"/>
      <c r="BG2389" s="391">
        <f>SUM($AV$1389:AV2389)</f>
        <v>6766.4075340358013</v>
      </c>
      <c r="BH2389" s="392">
        <f>SUM($AU$1389:AU2389)</f>
        <v>41318.903836163023</v>
      </c>
      <c r="BI2389" s="318">
        <f>SUMIFS($AU$1388:AU2392,$Q$1388:Q2392,"F")</f>
        <v>27318.758121878131</v>
      </c>
      <c r="BJ2389" s="318">
        <f>SUMIFS($AU$1388:AU2390,$Q$1388:Q2390,"S")</f>
        <v>18802.285714285717</v>
      </c>
      <c r="BK2389" s="343">
        <f>SUMIFS($AU$1388:AU2392,$P$1388:P2392,"W")</f>
        <v>14693.423836163443</v>
      </c>
      <c r="BL2389" s="343">
        <f>SUMIFS($AU$1388:AU2392,$P$1388:P2392,"R")</f>
        <v>23790.800000000327</v>
      </c>
      <c r="BM2389" s="343">
        <f>SUMIFS($AU$1388:AU2392,$AQ$1388:AQ2392,"M")</f>
        <v>9611.1799999983832</v>
      </c>
      <c r="BN2389" s="343">
        <f>SUMIFS($AU$1388:AU2392,$AQ$1388:AQ2392,"H")</f>
        <v>13051.200000000877</v>
      </c>
      <c r="BO2389" s="343">
        <f>SUMIFS($AU$1388:AU2392,$AQ$1388:AQ2392,"D")</f>
        <v>9755.5774725271804</v>
      </c>
      <c r="BP2389" s="343">
        <f>SUMIFS($AS$1388:AS2708,$AO$1388:AO2708,"W")</f>
        <v>0</v>
      </c>
      <c r="BQ2389" s="343">
        <f>SUMIFS($AU$1388:AU2392,$Q$1388:Q2392,"O")</f>
        <v>-9366.1400000007852</v>
      </c>
      <c r="BR2389" s="343">
        <f>SUMIFS($AU$1388:AU2392,$AA$1388:AA2392,"*")</f>
        <v>38228.002077921221</v>
      </c>
      <c r="BS2389" s="343">
        <f>SUMIFS($AU$1388:AU2392,$AB$1388:AB2392,"*")</f>
        <v>7005.8599999997941</v>
      </c>
      <c r="BT2389" s="343">
        <f>SUMIFS($AU$1388:AU2392,$AC$1388:AC2392,"*")</f>
        <v>31040.358121878122</v>
      </c>
      <c r="BU2389" s="343">
        <f>SUMIFS($AU$1388:AU2392,$AA$1388:AA2392,"*",$AB$1388:AB2392,"*")</f>
        <v>7301.9999999995771</v>
      </c>
      <c r="BV2389" s="343">
        <f>SUMIFS($AU$1388:AU2392,$AA$1388:AA2392,"*",$AC$1388:AC2392,"*")</f>
        <v>29021.316363636532</v>
      </c>
      <c r="BW2389" s="343">
        <f>SUMIFS($AU$1388:AU2392,$AB$1388:AB2392,"*",$AC$1388:AC2392,"*")</f>
        <v>3739.199999999998</v>
      </c>
      <c r="BX2389" s="343">
        <f>SUMIFS($AV$1388:AV2392,$Q$1388:Q2392,"F")</f>
        <v>341.34537697889471</v>
      </c>
      <c r="BY2389" s="343">
        <f>SUMIFS($AV$1388:AV2392,$Q$1388:Q2392,"S")</f>
        <v>770.42952372390926</v>
      </c>
      <c r="BZ2389" s="343">
        <f>SUMIFS($AV$1388:AV2392,$Q$1388:Q2392,"O")</f>
        <v>569.29929999965555</v>
      </c>
    </row>
    <row r="2390" spans="1:78" ht="15.75" customHeight="1">
      <c r="A2390" s="177" t="s">
        <v>7465</v>
      </c>
      <c r="B2390" s="200"/>
      <c r="C2390" s="178"/>
      <c r="D2390" s="178"/>
      <c r="E2390" s="227" t="s">
        <v>7485</v>
      </c>
      <c r="F2390" s="180"/>
      <c r="G2390" s="181"/>
      <c r="H2390" s="182"/>
      <c r="I2390" s="182"/>
      <c r="J2390" s="182">
        <v>1</v>
      </c>
      <c r="K2390" s="183" t="s">
        <v>115</v>
      </c>
      <c r="L2390" s="182"/>
      <c r="M2390" s="182"/>
      <c r="N2390" s="182"/>
      <c r="O2390" s="183"/>
      <c r="P2390" s="183"/>
      <c r="Q2390" s="183"/>
      <c r="R2390" s="183"/>
      <c r="S2390" s="183"/>
      <c r="T2390" s="183"/>
      <c r="U2390" s="183"/>
      <c r="V2390" s="183"/>
      <c r="W2390" s="183"/>
      <c r="X2390" s="183"/>
      <c r="Y2390" s="184"/>
      <c r="Z2390" s="185"/>
      <c r="AA2390" s="185"/>
      <c r="AB2390" s="185"/>
      <c r="AC2390" s="185"/>
      <c r="AD2390" s="649"/>
      <c r="AE2390" s="182"/>
      <c r="AF2390" s="332"/>
      <c r="AG2390" s="182"/>
      <c r="AH2390" s="182"/>
      <c r="AI2390" s="182"/>
      <c r="AJ2390" s="640"/>
      <c r="AK2390" s="182"/>
      <c r="AL2390" s="496">
        <f t="shared" si="806"/>
        <v>0</v>
      </c>
      <c r="AM2390" s="496">
        <f t="shared" si="807"/>
        <v>0</v>
      </c>
      <c r="AN2390" s="626"/>
      <c r="AO2390" s="182"/>
      <c r="AP2390" s="182"/>
      <c r="AQ2390" s="332" t="str">
        <f>UPPER(RIGHT(Journal_Live[[#This Row],[DURATION ]]))</f>
        <v/>
      </c>
      <c r="AR2390" s="182"/>
      <c r="AS2390" s="189"/>
      <c r="AT2390" s="189">
        <f t="shared" si="808"/>
        <v>0</v>
      </c>
      <c r="AU2390" s="187">
        <f t="shared" si="809"/>
        <v>0</v>
      </c>
      <c r="AV2390" s="190">
        <f t="shared" si="810"/>
        <v>0</v>
      </c>
      <c r="AW2390" s="191"/>
      <c r="AX2390" s="549"/>
      <c r="AY2390" s="549"/>
      <c r="AZ2390" s="549"/>
      <c r="BA2390" s="549"/>
      <c r="BB2390" s="549"/>
      <c r="BC2390" s="551"/>
      <c r="BD2390" s="549"/>
      <c r="BE2390" s="550"/>
      <c r="BF2390" s="549"/>
      <c r="BG2390" s="391">
        <f>SUM($AV$1389:AV2390)</f>
        <v>6766.4075340358013</v>
      </c>
      <c r="BH2390" s="392">
        <f>SUM($AU$1389:AU2390)</f>
        <v>41318.903836163023</v>
      </c>
      <c r="BI2390" s="318">
        <f>SUMIFS($AU$1388:AU2393,$Q$1388:Q2393,"F")</f>
        <v>27318.758121878131</v>
      </c>
      <c r="BJ2390" s="318">
        <f>SUMIFS($AU$1388:AU2391,$Q$1388:Q2391,"S")</f>
        <v>18802.285714285717</v>
      </c>
      <c r="BK2390" s="343">
        <f>SUMIFS($AU$1388:AU2393,$P$1388:P2393,"W")</f>
        <v>14949.423836163445</v>
      </c>
      <c r="BL2390" s="343">
        <f>SUMIFS($AU$1388:AU2393,$P$1388:P2393,"R")</f>
        <v>23790.800000000327</v>
      </c>
      <c r="BM2390" s="343">
        <f>SUMIFS($AU$1388:AU2393,$AQ$1388:AQ2393,"M")</f>
        <v>9867.179999998385</v>
      </c>
      <c r="BN2390" s="343">
        <f>SUMIFS($AU$1388:AU2393,$AQ$1388:AQ2393,"H")</f>
        <v>13051.200000000877</v>
      </c>
      <c r="BO2390" s="343">
        <f>SUMIFS($AU$1388:AU2393,$AQ$1388:AQ2393,"D")</f>
        <v>9755.5774725271804</v>
      </c>
      <c r="BP2390" s="343">
        <f>SUMIFS($AS$1388:AS2709,$AO$1388:AO2709,"W")</f>
        <v>0</v>
      </c>
      <c r="BQ2390" s="343">
        <f>SUMIFS($AU$1388:AU2393,$Q$1388:Q2393,"O")</f>
        <v>-9366.1400000007852</v>
      </c>
      <c r="BR2390" s="343">
        <f>SUMIFS($AU$1388:AU2393,$AA$1388:AA2393,"*")</f>
        <v>38484.002077921221</v>
      </c>
      <c r="BS2390" s="343">
        <f>SUMIFS($AU$1388:AU2393,$AB$1388:AB2393,"*")</f>
        <v>7005.8599999997941</v>
      </c>
      <c r="BT2390" s="343">
        <f>SUMIFS($AU$1388:AU2393,$AC$1388:AC2393,"*")</f>
        <v>31040.358121878122</v>
      </c>
      <c r="BU2390" s="343">
        <f>SUMIFS($AU$1388:AU2393,$AA$1388:AA2393,"*",$AB$1388:AB2393,"*")</f>
        <v>7301.9999999995771</v>
      </c>
      <c r="BV2390" s="343">
        <f>SUMIFS($AU$1388:AU2393,$AA$1388:AA2393,"*",$AC$1388:AC2393,"*")</f>
        <v>29021.316363636532</v>
      </c>
      <c r="BW2390" s="343">
        <f>SUMIFS($AU$1388:AU2393,$AB$1388:AB2393,"*",$AC$1388:AC2393,"*")</f>
        <v>3739.199999999998</v>
      </c>
      <c r="BX2390" s="343">
        <f>SUMIFS($AV$1388:AV2393,$Q$1388:Q2393,"F")</f>
        <v>341.34537697889471</v>
      </c>
      <c r="BY2390" s="343">
        <f>SUMIFS($AV$1388:AV2393,$Q$1388:Q2393,"S")</f>
        <v>786.42952372390937</v>
      </c>
      <c r="BZ2390" s="343">
        <f>SUMIFS($AV$1388:AV2393,$Q$1388:Q2393,"O")</f>
        <v>569.29929999965555</v>
      </c>
    </row>
    <row r="2391" spans="1:78" ht="15.75" customHeight="1">
      <c r="A2391" s="177" t="s">
        <v>7465</v>
      </c>
      <c r="B2391" s="200"/>
      <c r="C2391" s="178"/>
      <c r="D2391" s="178"/>
      <c r="E2391" s="227" t="s">
        <v>7486</v>
      </c>
      <c r="F2391" s="180"/>
      <c r="G2391" s="181"/>
      <c r="H2391" s="182"/>
      <c r="I2391" s="182"/>
      <c r="J2391" s="182">
        <v>1</v>
      </c>
      <c r="K2391" s="183" t="s">
        <v>115</v>
      </c>
      <c r="L2391" s="182"/>
      <c r="M2391" s="182"/>
      <c r="N2391" s="182"/>
      <c r="O2391" s="183"/>
      <c r="P2391" s="183"/>
      <c r="Q2391" s="183"/>
      <c r="R2391" s="183"/>
      <c r="S2391" s="183"/>
      <c r="T2391" s="183"/>
      <c r="U2391" s="183"/>
      <c r="V2391" s="183"/>
      <c r="W2391" s="183"/>
      <c r="X2391" s="183"/>
      <c r="Y2391" s="184"/>
      <c r="Z2391" s="185"/>
      <c r="AA2391" s="185"/>
      <c r="AB2391" s="185"/>
      <c r="AC2391" s="185"/>
      <c r="AD2391" s="649"/>
      <c r="AE2391" s="182"/>
      <c r="AF2391" s="332"/>
      <c r="AG2391" s="182"/>
      <c r="AH2391" s="182"/>
      <c r="AI2391" s="182"/>
      <c r="AJ2391" s="640"/>
      <c r="AK2391" s="182"/>
      <c r="AL2391" s="496">
        <f t="shared" si="806"/>
        <v>0</v>
      </c>
      <c r="AM2391" s="496">
        <f t="shared" si="807"/>
        <v>0</v>
      </c>
      <c r="AN2391" s="626"/>
      <c r="AO2391" s="182"/>
      <c r="AP2391" s="182"/>
      <c r="AQ2391" s="332" t="str">
        <f>UPPER(RIGHT(Journal_Live[[#This Row],[DURATION ]]))</f>
        <v/>
      </c>
      <c r="AR2391" s="182"/>
      <c r="AS2391" s="189"/>
      <c r="AT2391" s="189">
        <f t="shared" si="808"/>
        <v>0</v>
      </c>
      <c r="AU2391" s="187">
        <f t="shared" si="809"/>
        <v>0</v>
      </c>
      <c r="AV2391" s="190">
        <f t="shared" si="810"/>
        <v>0</v>
      </c>
      <c r="AW2391" s="191"/>
      <c r="AX2391" s="549"/>
      <c r="AY2391" s="549"/>
      <c r="AZ2391" s="549"/>
      <c r="BA2391" s="549"/>
      <c r="BB2391" s="549"/>
      <c r="BC2391" s="551"/>
      <c r="BD2391" s="549"/>
      <c r="BE2391" s="550"/>
      <c r="BF2391" s="549"/>
      <c r="BG2391" s="391">
        <f>SUM($AV$1389:AV2391)</f>
        <v>6766.4075340358013</v>
      </c>
      <c r="BH2391" s="392">
        <f>SUM($AU$1389:AU2391)</f>
        <v>41318.903836163023</v>
      </c>
      <c r="BI2391" s="318">
        <f>SUMIFS($AU$1388:AU2394,$Q$1388:Q2394,"F")</f>
        <v>27318.758121878131</v>
      </c>
      <c r="BJ2391" s="318">
        <f>SUMIFS($AU$1388:AU2392,$Q$1388:Q2392,"S")</f>
        <v>18850.285714285717</v>
      </c>
      <c r="BK2391" s="343">
        <f>SUMIFS($AU$1388:AU2394,$P$1388:P2394,"W")</f>
        <v>14949.423836163445</v>
      </c>
      <c r="BL2391" s="343">
        <f>SUMIFS($AU$1388:AU2394,$P$1388:P2394,"R")</f>
        <v>22926.800000000327</v>
      </c>
      <c r="BM2391" s="343">
        <f>SUMIFS($AU$1388:AU2394,$AQ$1388:AQ2394,"M")</f>
        <v>9867.179999998385</v>
      </c>
      <c r="BN2391" s="343">
        <f>SUMIFS($AU$1388:AU2394,$AQ$1388:AQ2394,"H")</f>
        <v>13051.200000000877</v>
      </c>
      <c r="BO2391" s="343">
        <f>SUMIFS($AU$1388:AU2394,$AQ$1388:AQ2394,"D")</f>
        <v>8891.5774725271804</v>
      </c>
      <c r="BP2391" s="343">
        <f>SUMIFS($AS$1388:AS2710,$AO$1388:AO2710,"W")</f>
        <v>0</v>
      </c>
      <c r="BQ2391" s="343">
        <f>SUMIFS($AU$1388:AU2394,$Q$1388:Q2394,"O")</f>
        <v>-9366.1400000007852</v>
      </c>
      <c r="BR2391" s="343">
        <f>SUMIFS($AU$1388:AU2394,$AA$1388:AA2394,"*")</f>
        <v>37620.002077921221</v>
      </c>
      <c r="BS2391" s="343">
        <f>SUMIFS($AU$1388:AU2394,$AB$1388:AB2394,"*")</f>
        <v>7005.8599999997941</v>
      </c>
      <c r="BT2391" s="343">
        <f>SUMIFS($AU$1388:AU2394,$AC$1388:AC2394,"*")</f>
        <v>31040.358121878122</v>
      </c>
      <c r="BU2391" s="343">
        <f>SUMIFS($AU$1388:AU2394,$AA$1388:AA2394,"*",$AB$1388:AB2394,"*")</f>
        <v>7301.9999999995771</v>
      </c>
      <c r="BV2391" s="343">
        <f>SUMIFS($AU$1388:AU2394,$AA$1388:AA2394,"*",$AC$1388:AC2394,"*")</f>
        <v>29021.316363636532</v>
      </c>
      <c r="BW2391" s="343">
        <f>SUMIFS($AU$1388:AU2394,$AB$1388:AB2394,"*",$AC$1388:AC2394,"*")</f>
        <v>3739.199999999998</v>
      </c>
      <c r="BX2391" s="343">
        <f>SUMIFS($AV$1388:AV2394,$Q$1388:Q2394,"F")</f>
        <v>341.34537697889471</v>
      </c>
      <c r="BY2391" s="343">
        <f>SUMIFS($AV$1388:AV2394,$Q$1388:Q2394,"S")</f>
        <v>738.42952372390937</v>
      </c>
      <c r="BZ2391" s="343">
        <f>SUMIFS($AV$1388:AV2394,$Q$1388:Q2394,"O")</f>
        <v>569.29929999965555</v>
      </c>
    </row>
    <row r="2392" spans="1:78" ht="15.75" customHeight="1">
      <c r="A2392" s="177" t="s">
        <v>7465</v>
      </c>
      <c r="B2392" s="200">
        <v>45506</v>
      </c>
      <c r="C2392" s="178" t="s">
        <v>682</v>
      </c>
      <c r="D2392" s="178" t="s">
        <v>111</v>
      </c>
      <c r="E2392" s="227"/>
      <c r="F2392" s="180"/>
      <c r="G2392" s="553" t="s">
        <v>7487</v>
      </c>
      <c r="H2392" s="182"/>
      <c r="I2392" s="182"/>
      <c r="J2392" s="182"/>
      <c r="K2392" s="183"/>
      <c r="L2392" s="182"/>
      <c r="M2392" s="182">
        <v>1</v>
      </c>
      <c r="N2392" s="182"/>
      <c r="O2392" s="183" t="s">
        <v>95</v>
      </c>
      <c r="P2392" s="183" t="s">
        <v>96</v>
      </c>
      <c r="Q2392" s="183" t="s">
        <v>97</v>
      </c>
      <c r="R2392" s="183">
        <v>18</v>
      </c>
      <c r="S2392" s="183">
        <v>0</v>
      </c>
      <c r="T2392" s="183">
        <v>9</v>
      </c>
      <c r="U2392" s="183" t="s">
        <v>22</v>
      </c>
      <c r="V2392" s="183" t="s">
        <v>7349</v>
      </c>
      <c r="W2392" s="183" t="s">
        <v>115</v>
      </c>
      <c r="X2392" s="183" t="s">
        <v>7488</v>
      </c>
      <c r="Y2392" s="184">
        <f t="shared" ref="Y2392:Y2397" si="811">IF(ISBLANK(O2392),"",(IF(O2392=UPPER("IB"),0.005,0.01)))</f>
        <v>0.01</v>
      </c>
      <c r="Z2392" s="185">
        <f t="shared" ref="Z2392:Z2397" si="812">IF(ISBLANK(O2392),"",IF(O2392="IB",8.63*200,IF(O2392="IR",16*100,IF(O2392="YT",20*100,IF(O2392="YT-XT",24*200,IF(O2392="TED",80*100,IF(O2392="XT",29*200)))))))</f>
        <v>1600</v>
      </c>
      <c r="AA2392" s="185" t="s">
        <v>7489</v>
      </c>
      <c r="AB2392" s="185"/>
      <c r="AC2392" s="185"/>
      <c r="AD2392" s="649">
        <v>-0.255</v>
      </c>
      <c r="AE2392" s="182"/>
      <c r="AF2392" s="332"/>
      <c r="AG2392" s="182"/>
      <c r="AH2392" s="182"/>
      <c r="AI2392" s="182"/>
      <c r="AJ2392" s="640"/>
      <c r="AK2392" s="182"/>
      <c r="AL2392" s="496">
        <f t="shared" ref="AL2392:AL2474" si="813">-0.02*Z2392</f>
        <v>-32</v>
      </c>
      <c r="AM2392" s="496">
        <f t="shared" si="807"/>
        <v>-576</v>
      </c>
      <c r="AN2392" s="626"/>
      <c r="AO2392" s="182"/>
      <c r="AP2392" s="182"/>
      <c r="AQ2392" s="332" t="s">
        <v>1259</v>
      </c>
      <c r="AR2392" s="182"/>
      <c r="AS2392" s="189">
        <f>((-0.25*6)+(-0.26*6)+(-0.25*6))/18</f>
        <v>-0.25333333333333335</v>
      </c>
      <c r="AT2392" s="189">
        <f t="shared" si="808"/>
        <v>1.6666666666666496E-3</v>
      </c>
      <c r="AU2392" s="187">
        <f t="shared" si="809"/>
        <v>47.99999999999951</v>
      </c>
      <c r="AV2392" s="190">
        <f t="shared" ref="AV2392:AV2474" si="814">IF(ISBLANK(AS2392),,(AT2392*Z2392))</f>
        <v>2.6666666666666394</v>
      </c>
      <c r="AW2392" s="191" t="s">
        <v>96</v>
      </c>
      <c r="AX2392" s="549"/>
      <c r="AY2392" s="549"/>
      <c r="AZ2392" s="549"/>
      <c r="BA2392" s="549"/>
      <c r="BB2392" s="549"/>
      <c r="BC2392" s="551"/>
      <c r="BD2392" s="549"/>
      <c r="BE2392" s="550"/>
      <c r="BF2392" s="549"/>
      <c r="BG2392" s="391">
        <f>SUM($AV$1389:AV2392)</f>
        <v>6769.0742007024683</v>
      </c>
      <c r="BH2392" s="392">
        <f>SUM($AU$1389:AU2392)</f>
        <v>41366.903836163023</v>
      </c>
      <c r="BI2392" s="318">
        <f>SUMIFS($AU$1388:AU2395,$Q$1388:Q2395,"F")</f>
        <v>27318.758121878131</v>
      </c>
      <c r="BJ2392" s="318">
        <f>SUMIFS($AU$1388:AU2393,$Q$1388:Q2393,"S")</f>
        <v>19106.285714285717</v>
      </c>
      <c r="BK2392" s="343">
        <f>SUMIFS($AU$1388:AU2395,$P$1388:P2395,"W")</f>
        <v>14949.423836163445</v>
      </c>
      <c r="BL2392" s="343">
        <f>SUMIFS($AU$1388:AU2395,$P$1388:P2395,"R")</f>
        <v>20366.800000000327</v>
      </c>
      <c r="BM2392" s="343">
        <f>SUMIFS($AU$1388:AU2395,$AQ$1388:AQ2395,"M")</f>
        <v>9867.179999998385</v>
      </c>
      <c r="BN2392" s="343">
        <f>SUMIFS($AU$1388:AU2395,$AQ$1388:AQ2395,"H")</f>
        <v>13051.200000000877</v>
      </c>
      <c r="BO2392" s="343">
        <f>SUMIFS($AU$1388:AU2395,$AQ$1388:AQ2395,"D")</f>
        <v>6331.5774725271795</v>
      </c>
      <c r="BP2392" s="343">
        <f>SUMIFS($AS$1388:AS2711,$AO$1388:AO2711,"W")</f>
        <v>0</v>
      </c>
      <c r="BQ2392" s="343">
        <f>SUMIFS($AU$1388:AU2395,$Q$1388:Q2395,"O")</f>
        <v>-9366.1400000007852</v>
      </c>
      <c r="BR2392" s="343">
        <f>SUMIFS($AU$1388:AU2395,$AA$1388:AA2395,"*")</f>
        <v>35060.002077921221</v>
      </c>
      <c r="BS2392" s="343">
        <f>SUMIFS($AU$1388:AU2395,$AB$1388:AB2395,"*")</f>
        <v>7005.8599999997941</v>
      </c>
      <c r="BT2392" s="343">
        <f>SUMIFS($AU$1388:AU2395,$AC$1388:AC2395,"*")</f>
        <v>28480.358121878122</v>
      </c>
      <c r="BU2392" s="343">
        <f>SUMIFS($AU$1388:AU2395,$AA$1388:AA2395,"*",$AB$1388:AB2395,"*")</f>
        <v>7301.9999999995771</v>
      </c>
      <c r="BV2392" s="343">
        <f>SUMIFS($AU$1388:AU2395,$AA$1388:AA2395,"*",$AC$1388:AC2395,"*")</f>
        <v>26461.316363636532</v>
      </c>
      <c r="BW2392" s="343">
        <f>SUMIFS($AU$1388:AU2395,$AB$1388:AB2395,"*",$AC$1388:AC2395,"*")</f>
        <v>3739.199999999998</v>
      </c>
      <c r="BX2392" s="343">
        <f>SUMIFS($AV$1388:AV2395,$Q$1388:Q2395,"F")</f>
        <v>341.34537697889471</v>
      </c>
      <c r="BY2392" s="343">
        <f>SUMIFS($AV$1388:AV2395,$Q$1388:Q2395,"S")</f>
        <v>658.42952372390937</v>
      </c>
      <c r="BZ2392" s="343">
        <f>SUMIFS($AV$1388:AV2395,$Q$1388:Q2395,"O")</f>
        <v>569.29929999965555</v>
      </c>
    </row>
    <row r="2393" spans="1:78" ht="15.75" customHeight="1">
      <c r="A2393" s="177" t="s">
        <v>7465</v>
      </c>
      <c r="B2393" s="200">
        <v>45506</v>
      </c>
      <c r="C2393" s="178" t="s">
        <v>682</v>
      </c>
      <c r="D2393" s="178" t="s">
        <v>111</v>
      </c>
      <c r="E2393" s="227"/>
      <c r="F2393" s="180"/>
      <c r="G2393" s="553" t="s">
        <v>7159</v>
      </c>
      <c r="H2393" s="182"/>
      <c r="I2393" s="182"/>
      <c r="J2393" s="182"/>
      <c r="K2393" s="183"/>
      <c r="L2393" s="182"/>
      <c r="M2393" s="182">
        <v>1</v>
      </c>
      <c r="N2393" s="182"/>
      <c r="O2393" s="183" t="s">
        <v>95</v>
      </c>
      <c r="P2393" s="183" t="s">
        <v>96</v>
      </c>
      <c r="Q2393" s="183" t="s">
        <v>97</v>
      </c>
      <c r="R2393" s="183">
        <v>16</v>
      </c>
      <c r="S2393" s="183">
        <v>0</v>
      </c>
      <c r="T2393" s="183">
        <v>11</v>
      </c>
      <c r="U2393" s="183" t="s">
        <v>97</v>
      </c>
      <c r="V2393" s="183" t="s">
        <v>7349</v>
      </c>
      <c r="W2393" s="183" t="s">
        <v>115</v>
      </c>
      <c r="X2393" s="183" t="s">
        <v>7467</v>
      </c>
      <c r="Y2393" s="184">
        <f t="shared" si="811"/>
        <v>0.01</v>
      </c>
      <c r="Z2393" s="185">
        <f t="shared" si="812"/>
        <v>1600</v>
      </c>
      <c r="AA2393" s="185" t="s">
        <v>7490</v>
      </c>
      <c r="AB2393" s="185"/>
      <c r="AC2393" s="185"/>
      <c r="AD2393" s="649">
        <v>-0.22</v>
      </c>
      <c r="AE2393" s="182"/>
      <c r="AF2393" s="332"/>
      <c r="AG2393" s="182"/>
      <c r="AH2393" s="182"/>
      <c r="AI2393" s="182"/>
      <c r="AJ2393" s="640"/>
      <c r="AK2393" s="182"/>
      <c r="AL2393" s="496">
        <f t="shared" si="813"/>
        <v>-32</v>
      </c>
      <c r="AM2393" s="496">
        <f t="shared" si="807"/>
        <v>-512</v>
      </c>
      <c r="AN2393" s="626"/>
      <c r="AO2393" s="182"/>
      <c r="AP2393" s="182"/>
      <c r="AQ2393" s="332" t="s">
        <v>1259</v>
      </c>
      <c r="AR2393" s="182"/>
      <c r="AS2393" s="189">
        <f>((-0.23*11)+(-0.23*5))/16</f>
        <v>-0.23000000000000004</v>
      </c>
      <c r="AT2393" s="189">
        <f t="shared" si="808"/>
        <v>1.0000000000000037E-2</v>
      </c>
      <c r="AU2393" s="187">
        <f t="shared" si="809"/>
        <v>256.00000000000091</v>
      </c>
      <c r="AV2393" s="190">
        <f t="shared" si="814"/>
        <v>16.000000000000057</v>
      </c>
      <c r="AW2393" s="191" t="s">
        <v>96</v>
      </c>
      <c r="AX2393" s="549"/>
      <c r="AY2393" s="549"/>
      <c r="AZ2393" s="549"/>
      <c r="BA2393" s="549"/>
      <c r="BB2393" s="549"/>
      <c r="BC2393" s="551"/>
      <c r="BD2393" s="549"/>
      <c r="BE2393" s="550"/>
      <c r="BF2393" s="549"/>
      <c r="BG2393" s="391">
        <f>SUM($AV$1389:AV2393)</f>
        <v>6785.0742007024683</v>
      </c>
      <c r="BH2393" s="392">
        <f>SUM($AU$1389:AU2393)</f>
        <v>41622.903836163023</v>
      </c>
      <c r="BI2393" s="318">
        <f>SUMIFS($AU$1388:AU2396,$Q$1388:Q2396,"F")</f>
        <v>27318.758121878131</v>
      </c>
      <c r="BJ2393" s="318">
        <f>SUMIFS($AU$1388:AU2394,$Q$1388:Q2394,"S")</f>
        <v>18242.285714285717</v>
      </c>
      <c r="BK2393" s="343">
        <f>SUMIFS($AU$1388:AU2396,$P$1388:P2396,"W")</f>
        <v>14949.423836163445</v>
      </c>
      <c r="BL2393" s="343">
        <f>SUMIFS($AU$1388:AU2396,$P$1388:P2396,"R")</f>
        <v>20366.800000000327</v>
      </c>
      <c r="BM2393" s="343">
        <f>SUMIFS($AU$1388:AU2396,$AQ$1388:AQ2396,"M")</f>
        <v>9867.179999998385</v>
      </c>
      <c r="BN2393" s="343">
        <f>SUMIFS($AU$1388:AU2396,$AQ$1388:AQ2396,"H")</f>
        <v>13051.200000000877</v>
      </c>
      <c r="BO2393" s="343">
        <f>SUMIFS($AU$1388:AU2396,$AQ$1388:AQ2396,"D")</f>
        <v>6331.5774725271795</v>
      </c>
      <c r="BP2393" s="343">
        <f>SUMIFS($AS$1388:AS2712,$AO$1388:AO2712,"W")</f>
        <v>0</v>
      </c>
      <c r="BQ2393" s="343">
        <f>SUMIFS($AU$1388:AU2396,$Q$1388:Q2396,"O")</f>
        <v>-9366.1400000007852</v>
      </c>
      <c r="BR2393" s="343">
        <f>SUMIFS($AU$1388:AU2396,$AA$1388:AA2396,"*")</f>
        <v>35060.002077921221</v>
      </c>
      <c r="BS2393" s="343">
        <f>SUMIFS($AU$1388:AU2396,$AB$1388:AB2396,"*")</f>
        <v>7005.8599999997941</v>
      </c>
      <c r="BT2393" s="343">
        <f>SUMIFS($AU$1388:AU2396,$AC$1388:AC2396,"*")</f>
        <v>28480.358121878122</v>
      </c>
      <c r="BU2393" s="343">
        <f>SUMIFS($AU$1388:AU2396,$AA$1388:AA2396,"*",$AB$1388:AB2396,"*")</f>
        <v>7301.9999999995771</v>
      </c>
      <c r="BV2393" s="343">
        <f>SUMIFS($AU$1388:AU2396,$AA$1388:AA2396,"*",$AC$1388:AC2396,"*")</f>
        <v>26461.316363636532</v>
      </c>
      <c r="BW2393" s="343">
        <f>SUMIFS($AU$1388:AU2396,$AB$1388:AB2396,"*",$AC$1388:AC2396,"*")</f>
        <v>3739.199999999998</v>
      </c>
      <c r="BX2393" s="343">
        <f>SUMIFS($AV$1388:AV2396,$Q$1388:Q2396,"F")</f>
        <v>341.34537697889471</v>
      </c>
      <c r="BY2393" s="343">
        <f>SUMIFS($AV$1388:AV2396,$Q$1388:Q2396,"S")</f>
        <v>658.42952372390937</v>
      </c>
      <c r="BZ2393" s="343">
        <f>SUMIFS($AV$1388:AV2396,$Q$1388:Q2396,"O")</f>
        <v>569.29929999965555</v>
      </c>
    </row>
    <row r="2394" spans="1:78" ht="15.75" customHeight="1">
      <c r="A2394" s="177" t="s">
        <v>7471</v>
      </c>
      <c r="B2394" s="200">
        <v>45506</v>
      </c>
      <c r="C2394" s="178" t="s">
        <v>675</v>
      </c>
      <c r="D2394" s="178" t="s">
        <v>111</v>
      </c>
      <c r="E2394" s="227"/>
      <c r="F2394" s="180"/>
      <c r="G2394" s="553" t="s">
        <v>7141</v>
      </c>
      <c r="H2394" s="182"/>
      <c r="I2394" s="182"/>
      <c r="J2394" s="182"/>
      <c r="K2394" s="183"/>
      <c r="L2394" s="182"/>
      <c r="M2394" s="182">
        <v>1</v>
      </c>
      <c r="N2394" s="182"/>
      <c r="O2394" s="183" t="s">
        <v>95</v>
      </c>
      <c r="P2394" s="183" t="s">
        <v>137</v>
      </c>
      <c r="Q2394" s="183" t="s">
        <v>97</v>
      </c>
      <c r="R2394" s="183">
        <v>18</v>
      </c>
      <c r="S2394" s="183">
        <v>0</v>
      </c>
      <c r="T2394" s="183">
        <v>18</v>
      </c>
      <c r="U2394" s="183" t="s">
        <v>97</v>
      </c>
      <c r="V2394" s="183" t="s">
        <v>7349</v>
      </c>
      <c r="W2394" s="183" t="s">
        <v>22</v>
      </c>
      <c r="X2394" s="183" t="s">
        <v>7467</v>
      </c>
      <c r="Y2394" s="184">
        <f t="shared" si="811"/>
        <v>0.01</v>
      </c>
      <c r="Z2394" s="185">
        <f t="shared" si="812"/>
        <v>1600</v>
      </c>
      <c r="AA2394" s="185" t="s">
        <v>7491</v>
      </c>
      <c r="AB2394" s="185"/>
      <c r="AC2394" s="185"/>
      <c r="AD2394" s="649">
        <v>-0.11</v>
      </c>
      <c r="AE2394" s="182"/>
      <c r="AF2394" s="332"/>
      <c r="AG2394" s="182"/>
      <c r="AH2394" s="182"/>
      <c r="AI2394" s="182"/>
      <c r="AJ2394" s="640"/>
      <c r="AK2394" s="182"/>
      <c r="AL2394" s="496">
        <f t="shared" si="813"/>
        <v>-32</v>
      </c>
      <c r="AM2394" s="496">
        <f t="shared" si="807"/>
        <v>-576</v>
      </c>
      <c r="AN2394" s="626"/>
      <c r="AO2394" s="182"/>
      <c r="AP2394" s="182" t="s">
        <v>804</v>
      </c>
      <c r="AQ2394" s="332" t="s">
        <v>115</v>
      </c>
      <c r="AR2394" s="182"/>
      <c r="AS2394" s="189">
        <v>-0.08</v>
      </c>
      <c r="AT2394" s="189">
        <f t="shared" si="808"/>
        <v>-0.03</v>
      </c>
      <c r="AU2394" s="187">
        <f t="shared" si="809"/>
        <v>-864</v>
      </c>
      <c r="AV2394" s="190">
        <f t="shared" si="814"/>
        <v>-48</v>
      </c>
      <c r="AW2394" s="191" t="s">
        <v>229</v>
      </c>
      <c r="AX2394" s="549" t="s">
        <v>7492</v>
      </c>
      <c r="AY2394" s="549"/>
      <c r="AZ2394" s="549"/>
      <c r="BA2394" s="549"/>
      <c r="BB2394" s="549"/>
      <c r="BC2394" s="551"/>
      <c r="BD2394" s="549"/>
      <c r="BE2394" s="550"/>
      <c r="BF2394" s="549"/>
      <c r="BG2394" s="391">
        <f>SUM($AV$1389:AV2394)</f>
        <v>6737.0742007024683</v>
      </c>
      <c r="BH2394" s="392">
        <f>SUM($AU$1389:AU2394)</f>
        <v>40758.903836163023</v>
      </c>
      <c r="BI2394" s="318">
        <f>SUMIFS($AU$1388:AU2475,$Q$1388:Q2475,"F")</f>
        <v>27302.758121878131</v>
      </c>
      <c r="BJ2394" s="318">
        <f>SUMIFS($AU$1388:AU2395,$Q$1388:Q2395,"S")</f>
        <v>15682.285714285717</v>
      </c>
      <c r="BK2394" s="343">
        <f>SUMIFS($AU$1388:AU2475,$P$1388:P2475,"W")</f>
        <v>14725.423836163412</v>
      </c>
      <c r="BL2394" s="343">
        <f>SUMIFS($AU$1388:AU2475,$P$1388:P2475,"R")</f>
        <v>20606.800000000316</v>
      </c>
      <c r="BM2394" s="343">
        <f>SUMIFS($AU$1388:AU2475,$AQ$1388:AQ2475,"M")</f>
        <v>9430.1799999983141</v>
      </c>
      <c r="BN2394" s="343">
        <f>SUMIFS($AU$1388:AU2475,$AQ$1388:AQ2475,"H")</f>
        <v>13147.200000000877</v>
      </c>
      <c r="BO2394" s="343">
        <f>SUMIFS($AU$1388:AU2475,$AQ$1388:AQ2475,"D")</f>
        <v>7291.5774725271494</v>
      </c>
      <c r="BP2394" s="343">
        <f>SUMIFS($AS$1388:AS2713,$AO$1388:AO2713,"W")</f>
        <v>0</v>
      </c>
      <c r="BQ2394" s="343">
        <f>SUMIFS($AU$1388:AU2475,$Q$1388:Q2475,"O")</f>
        <v>-9935.1400000008871</v>
      </c>
      <c r="BR2394" s="343">
        <f>SUMIFS($AU$1388:AU2475,$AA$1388:AA2475,"*")</f>
        <v>34559.002077921141</v>
      </c>
      <c r="BS2394" s="343">
        <f>SUMIFS($AU$1388:AU2475,$AB$1388:AB2475,"*")</f>
        <v>7433.8599999997632</v>
      </c>
      <c r="BT2394" s="343">
        <f>SUMIFS($AU$1388:AU2475,$AC$1388:AC2475,"*")</f>
        <v>28192.358121878111</v>
      </c>
      <c r="BU2394" s="343">
        <f>SUMIFS($AU$1388:AU2475,$AA$1388:AA2475,"*",$AB$1388:AB2475,"*")</f>
        <v>7493.9999999995462</v>
      </c>
      <c r="BV2394" s="343">
        <f>SUMIFS($AU$1388:AU2475,$AA$1388:AA2475,"*",$AC$1388:AC2475,"*")</f>
        <v>25997.316363636532</v>
      </c>
      <c r="BW2394" s="343">
        <f>SUMIFS($AU$1388:AU2475,$AB$1388:AB2475,"*",$AC$1388:AC2475,"*")</f>
        <v>3851.199999999998</v>
      </c>
      <c r="BX2394" s="343">
        <f>SUMIFS($AV$1388:AV2475,$Q$1388:Q2475,"F")</f>
        <v>369.34537697889471</v>
      </c>
      <c r="BY2394" s="343">
        <f>SUMIFS($AV$1388:AV2475,$Q$1388:Q2475,"S")</f>
        <v>676.67714277152845</v>
      </c>
      <c r="BZ2394" s="343">
        <f>SUMIFS($AV$1388:AV2475,$Q$1388:Q2475,"O")</f>
        <v>326.96596666624367</v>
      </c>
    </row>
    <row r="2395" spans="1:78" ht="15.75" customHeight="1">
      <c r="A2395" s="177" t="s">
        <v>7471</v>
      </c>
      <c r="B2395" s="200">
        <v>45506</v>
      </c>
      <c r="C2395" s="178" t="s">
        <v>7308</v>
      </c>
      <c r="D2395" s="178" t="s">
        <v>111</v>
      </c>
      <c r="E2395" s="227"/>
      <c r="F2395" s="180"/>
      <c r="G2395" s="553" t="s">
        <v>7493</v>
      </c>
      <c r="H2395" s="182"/>
      <c r="I2395" s="182"/>
      <c r="J2395" s="182"/>
      <c r="K2395" s="183"/>
      <c r="L2395" s="182"/>
      <c r="M2395" s="182">
        <v>1</v>
      </c>
      <c r="N2395" s="182"/>
      <c r="O2395" s="183" t="s">
        <v>95</v>
      </c>
      <c r="P2395" s="183" t="s">
        <v>137</v>
      </c>
      <c r="Q2395" s="183" t="s">
        <v>97</v>
      </c>
      <c r="R2395" s="183">
        <v>32</v>
      </c>
      <c r="S2395" s="183">
        <v>0</v>
      </c>
      <c r="T2395" s="183">
        <v>32</v>
      </c>
      <c r="U2395" s="183" t="s">
        <v>97</v>
      </c>
      <c r="V2395" s="183" t="s">
        <v>7349</v>
      </c>
      <c r="W2395" s="183" t="s">
        <v>115</v>
      </c>
      <c r="X2395" s="183" t="s">
        <v>7488</v>
      </c>
      <c r="Y2395" s="184">
        <f t="shared" si="811"/>
        <v>0.01</v>
      </c>
      <c r="Z2395" s="185">
        <f t="shared" si="812"/>
        <v>1600</v>
      </c>
      <c r="AA2395" s="185" t="s">
        <v>5492</v>
      </c>
      <c r="AB2395" s="185"/>
      <c r="AC2395" s="185" t="s">
        <v>7494</v>
      </c>
      <c r="AD2395" s="649">
        <v>-0.17</v>
      </c>
      <c r="AE2395" s="182"/>
      <c r="AF2395" s="332"/>
      <c r="AG2395" s="182"/>
      <c r="AH2395" s="182"/>
      <c r="AI2395" s="182"/>
      <c r="AJ2395" s="640"/>
      <c r="AK2395" s="182"/>
      <c r="AL2395" s="496">
        <f t="shared" si="813"/>
        <v>-32</v>
      </c>
      <c r="AM2395" s="496">
        <f t="shared" si="807"/>
        <v>-1024</v>
      </c>
      <c r="AN2395" s="626"/>
      <c r="AO2395" s="182"/>
      <c r="AP2395" s="182"/>
      <c r="AQ2395" s="332" t="s">
        <v>115</v>
      </c>
      <c r="AR2395" s="182"/>
      <c r="AS2395" s="189">
        <v>-0.12</v>
      </c>
      <c r="AT2395" s="189">
        <f t="shared" si="808"/>
        <v>-5.0000000000000017E-2</v>
      </c>
      <c r="AU2395" s="187">
        <f t="shared" si="809"/>
        <v>-2560.0000000000009</v>
      </c>
      <c r="AV2395" s="190">
        <f t="shared" si="814"/>
        <v>-80.000000000000028</v>
      </c>
      <c r="AW2395" s="191" t="s">
        <v>229</v>
      </c>
      <c r="AX2395" s="549" t="s">
        <v>7495</v>
      </c>
      <c r="AY2395" s="549"/>
      <c r="AZ2395" s="549"/>
      <c r="BA2395" s="549"/>
      <c r="BB2395" s="549"/>
      <c r="BC2395" s="551"/>
      <c r="BD2395" s="549"/>
      <c r="BE2395" s="550"/>
      <c r="BF2395" s="549"/>
      <c r="BG2395" s="391">
        <f>SUM($AV$1389:AV2395)</f>
        <v>6657.0742007024683</v>
      </c>
      <c r="BH2395" s="392">
        <f>SUM($AU$1389:AU2395)</f>
        <v>38198.903836163023</v>
      </c>
      <c r="BI2395" s="318">
        <f>SUMIFS($AU$1388:AU2476,$Q$1388:Q2476,"F")</f>
        <v>27302.758121878131</v>
      </c>
      <c r="BJ2395" s="318">
        <f>SUMIFS($AU$1388:AU2396,$Q$1388:Q2396,"S")</f>
        <v>15682.285714285717</v>
      </c>
      <c r="BK2395" s="343">
        <f>SUMIFS($AU$1388:AU2476,$P$1388:P2476,"W")</f>
        <v>14725.423836163412</v>
      </c>
      <c r="BL2395" s="343">
        <f>SUMIFS($AU$1388:AU2476,$P$1388:P2476,"R")</f>
        <v>20606.800000000316</v>
      </c>
      <c r="BM2395" s="343">
        <f>SUMIFS($AU$1388:AU2476,$AQ$1388:AQ2476,"M")</f>
        <v>9430.1799999983141</v>
      </c>
      <c r="BN2395" s="343">
        <f>SUMIFS($AU$1388:AU2476,$AQ$1388:AQ2476,"H")</f>
        <v>13147.200000000877</v>
      </c>
      <c r="BO2395" s="343">
        <f>SUMIFS($AU$1388:AU2476,$AQ$1388:AQ2476,"D")</f>
        <v>7291.5774725271494</v>
      </c>
      <c r="BP2395" s="343">
        <f>SUMIFS($AS$1388:AS2714,$AO$1388:AO2714,"W")</f>
        <v>0</v>
      </c>
      <c r="BQ2395" s="343">
        <f>SUMIFS($AU$1388:AU2476,$Q$1388:Q2476,"O")</f>
        <v>-9935.1400000008871</v>
      </c>
      <c r="BR2395" s="343">
        <f>SUMIFS($AU$1388:AU2476,$AA$1388:AA2476,"*")</f>
        <v>34559.002077921141</v>
      </c>
      <c r="BS2395" s="343">
        <f>SUMIFS($AU$1388:AU2476,$AB$1388:AB2476,"*")</f>
        <v>7433.8599999997632</v>
      </c>
      <c r="BT2395" s="343">
        <f>SUMIFS($AU$1388:AU2476,$AC$1388:AC2476,"*")</f>
        <v>28192.358121878111</v>
      </c>
      <c r="BU2395" s="343">
        <f>SUMIFS($AU$1388:AU2476,$AA$1388:AA2476,"*",$AB$1388:AB2476,"*")</f>
        <v>7493.9999999995462</v>
      </c>
      <c r="BV2395" s="343">
        <f>SUMIFS($AU$1388:AU2476,$AA$1388:AA2476,"*",$AC$1388:AC2476,"*")</f>
        <v>25997.316363636532</v>
      </c>
      <c r="BW2395" s="343">
        <f>SUMIFS($AU$1388:AU2476,$AB$1388:AB2476,"*",$AC$1388:AC2476,"*")</f>
        <v>3851.199999999998</v>
      </c>
      <c r="BX2395" s="343">
        <f>SUMIFS($AV$1388:AV2476,$Q$1388:Q2476,"F")</f>
        <v>369.34537697889471</v>
      </c>
      <c r="BY2395" s="343">
        <f>SUMIFS($AV$1388:AV2476,$Q$1388:Q2476,"S")</f>
        <v>676.67714277152845</v>
      </c>
      <c r="BZ2395" s="343">
        <f>SUMIFS($AV$1388:AV2476,$Q$1388:Q2476,"O")</f>
        <v>326.96596666624367</v>
      </c>
    </row>
    <row r="2396" spans="1:78" ht="15.75" customHeight="1">
      <c r="A2396" s="177" t="s">
        <v>7465</v>
      </c>
      <c r="B2396" s="200">
        <v>45506</v>
      </c>
      <c r="C2396" s="178" t="s">
        <v>7308</v>
      </c>
      <c r="D2396" s="178" t="s">
        <v>111</v>
      </c>
      <c r="E2396" s="227"/>
      <c r="F2396" s="180"/>
      <c r="G2396" s="553" t="s">
        <v>7159</v>
      </c>
      <c r="H2396" s="182"/>
      <c r="I2396" s="182"/>
      <c r="J2396" s="182"/>
      <c r="K2396" s="183"/>
      <c r="L2396" s="182"/>
      <c r="M2396" s="182">
        <v>1</v>
      </c>
      <c r="N2396" s="182"/>
      <c r="O2396" s="183" t="s">
        <v>95</v>
      </c>
      <c r="P2396" s="183" t="s">
        <v>96</v>
      </c>
      <c r="Q2396" s="183" t="s">
        <v>97</v>
      </c>
      <c r="R2396" s="183">
        <v>16</v>
      </c>
      <c r="S2396" s="183">
        <v>0</v>
      </c>
      <c r="T2396" s="183">
        <v>16</v>
      </c>
      <c r="U2396" s="183" t="s">
        <v>97</v>
      </c>
      <c r="V2396" s="183" t="s">
        <v>7349</v>
      </c>
      <c r="W2396" s="183" t="s">
        <v>115</v>
      </c>
      <c r="X2396" s="183"/>
      <c r="Y2396" s="184">
        <f t="shared" si="811"/>
        <v>0.01</v>
      </c>
      <c r="Z2396" s="185">
        <f t="shared" si="812"/>
        <v>1600</v>
      </c>
      <c r="AA2396" s="185" t="s">
        <v>5492</v>
      </c>
      <c r="AB2396" s="185"/>
      <c r="AC2396" s="185"/>
      <c r="AD2396" s="649">
        <v>-0.22</v>
      </c>
      <c r="AE2396" s="182"/>
      <c r="AF2396" s="332"/>
      <c r="AG2396" s="182"/>
      <c r="AH2396" s="182"/>
      <c r="AI2396" s="182"/>
      <c r="AJ2396" s="640"/>
      <c r="AK2396" s="182"/>
      <c r="AL2396" s="496">
        <f t="shared" si="813"/>
        <v>-32</v>
      </c>
      <c r="AM2396" s="496">
        <f t="shared" si="807"/>
        <v>-512</v>
      </c>
      <c r="AN2396" s="626"/>
      <c r="AO2396" s="182"/>
      <c r="AP2396" s="182"/>
      <c r="AQ2396" s="332" t="s">
        <v>115</v>
      </c>
      <c r="AR2396" s="182"/>
      <c r="AS2396" s="189">
        <v>-0.22</v>
      </c>
      <c r="AT2396" s="189">
        <f t="shared" si="808"/>
        <v>0</v>
      </c>
      <c r="AU2396" s="187">
        <f t="shared" si="809"/>
        <v>0</v>
      </c>
      <c r="AV2396" s="190">
        <f t="shared" si="814"/>
        <v>0</v>
      </c>
      <c r="AW2396" s="191" t="s">
        <v>115</v>
      </c>
      <c r="AX2396" s="549"/>
      <c r="AY2396" s="549"/>
      <c r="AZ2396" s="549"/>
      <c r="BA2396" s="549"/>
      <c r="BB2396" s="549"/>
      <c r="BC2396" s="551"/>
      <c r="BD2396" s="549"/>
      <c r="BE2396" s="550"/>
      <c r="BF2396" s="549"/>
      <c r="BG2396" s="391">
        <f>SUM($AV$1389:AV2396)</f>
        <v>6657.0742007024683</v>
      </c>
      <c r="BH2396" s="392">
        <f>SUM($AU$1389:AU2396)</f>
        <v>38198.903836163023</v>
      </c>
      <c r="BI2396" s="318">
        <f>SUMIFS($AU$1388:AU2477,$Q$1388:Q2477,"F")</f>
        <v>27302.758121878131</v>
      </c>
      <c r="BJ2396" s="318">
        <f>SUMIFS($AU$1388:AU2397,$Q$1388:Q2397,"S")</f>
        <v>15874.285714285717</v>
      </c>
      <c r="BK2396" s="343">
        <f>SUMIFS($AU$1388:AU2477,$P$1388:P2477,"W")</f>
        <v>14725.423836163412</v>
      </c>
      <c r="BL2396" s="343">
        <f>SUMIFS($AU$1388:AU2477,$P$1388:P2477,"R")</f>
        <v>20606.800000000316</v>
      </c>
      <c r="BM2396" s="343">
        <f>SUMIFS($AU$1388:AU2477,$AQ$1388:AQ2477,"M")</f>
        <v>9430.1799999983141</v>
      </c>
      <c r="BN2396" s="343">
        <f>SUMIFS($AU$1388:AU2477,$AQ$1388:AQ2477,"H")</f>
        <v>13147.200000000877</v>
      </c>
      <c r="BO2396" s="343">
        <f>SUMIFS($AU$1388:AU2477,$AQ$1388:AQ2477,"D")</f>
        <v>7291.5774725271494</v>
      </c>
      <c r="BP2396" s="343">
        <f>SUMIFS($AS$1388:AS2715,$AO$1388:AO2715,"W")</f>
        <v>0</v>
      </c>
      <c r="BQ2396" s="343">
        <f>SUMIFS($AU$1388:AU2477,$Q$1388:Q2477,"O")</f>
        <v>-9935.1400000008871</v>
      </c>
      <c r="BR2396" s="343">
        <f>SUMIFS($AU$1388:AU2477,$AA$1388:AA2477,"*")</f>
        <v>34559.002077921141</v>
      </c>
      <c r="BS2396" s="343">
        <f>SUMIFS($AU$1388:AU2477,$AB$1388:AB2477,"*")</f>
        <v>7433.8599999997632</v>
      </c>
      <c r="BT2396" s="343">
        <f>SUMIFS($AU$1388:AU2477,$AC$1388:AC2477,"*")</f>
        <v>28192.358121878111</v>
      </c>
      <c r="BU2396" s="343">
        <f>SUMIFS($AU$1388:AU2477,$AA$1388:AA2477,"*",$AB$1388:AB2477,"*")</f>
        <v>7493.9999999995462</v>
      </c>
      <c r="BV2396" s="343">
        <f>SUMIFS($AU$1388:AU2477,$AA$1388:AA2477,"*",$AC$1388:AC2477,"*")</f>
        <v>25997.316363636532</v>
      </c>
      <c r="BW2396" s="343">
        <f>SUMIFS($AU$1388:AU2477,$AB$1388:AB2477,"*",$AC$1388:AC2477,"*")</f>
        <v>3851.199999999998</v>
      </c>
      <c r="BX2396" s="343">
        <f>SUMIFS($AV$1388:AV2477,$Q$1388:Q2477,"F")</f>
        <v>369.34537697889471</v>
      </c>
      <c r="BY2396" s="343">
        <f>SUMIFS($AV$1388:AV2477,$Q$1388:Q2477,"S")</f>
        <v>676.67714277152845</v>
      </c>
      <c r="BZ2396" s="343">
        <f>SUMIFS($AV$1388:AV2477,$Q$1388:Q2477,"O")</f>
        <v>326.96596666624367</v>
      </c>
    </row>
    <row r="2397" spans="1:78" ht="15.75" customHeight="1">
      <c r="A2397" s="177" t="s">
        <v>7465</v>
      </c>
      <c r="B2397" s="200">
        <v>45506</v>
      </c>
      <c r="C2397" s="178" t="s">
        <v>7496</v>
      </c>
      <c r="D2397" s="178" t="s">
        <v>111</v>
      </c>
      <c r="E2397" s="227"/>
      <c r="F2397" s="180"/>
      <c r="G2397" s="553" t="s">
        <v>7135</v>
      </c>
      <c r="H2397" s="182"/>
      <c r="I2397" s="182"/>
      <c r="J2397" s="182"/>
      <c r="K2397" s="183"/>
      <c r="L2397" s="182"/>
      <c r="M2397" s="182">
        <v>1</v>
      </c>
      <c r="N2397" s="182"/>
      <c r="O2397" s="183" t="s">
        <v>95</v>
      </c>
      <c r="P2397" s="183" t="s">
        <v>96</v>
      </c>
      <c r="Q2397" s="183" t="s">
        <v>97</v>
      </c>
      <c r="R2397" s="183">
        <v>12</v>
      </c>
      <c r="S2397" s="183">
        <v>0</v>
      </c>
      <c r="T2397" s="183">
        <v>12</v>
      </c>
      <c r="U2397" s="183" t="s">
        <v>97</v>
      </c>
      <c r="V2397" s="183" t="s">
        <v>7349</v>
      </c>
      <c r="W2397" s="183" t="s">
        <v>22</v>
      </c>
      <c r="X2397" s="183" t="s">
        <v>7497</v>
      </c>
      <c r="Y2397" s="184">
        <f t="shared" si="811"/>
        <v>0.01</v>
      </c>
      <c r="Z2397" s="185">
        <f t="shared" si="812"/>
        <v>1600</v>
      </c>
      <c r="AA2397" s="185" t="s">
        <v>7498</v>
      </c>
      <c r="AB2397" s="185"/>
      <c r="AC2397" s="185"/>
      <c r="AD2397" s="649">
        <v>-0.32</v>
      </c>
      <c r="AE2397" s="182"/>
      <c r="AF2397" s="332"/>
      <c r="AG2397" s="182"/>
      <c r="AH2397" s="182"/>
      <c r="AI2397" s="182"/>
      <c r="AJ2397" s="640"/>
      <c r="AK2397" s="182"/>
      <c r="AL2397" s="496">
        <f t="shared" ref="AL2397:AL2404" si="815">-0.02*Z2397</f>
        <v>-32</v>
      </c>
      <c r="AM2397" s="496">
        <f t="shared" ref="AM2397:AM2404" si="816">AL2397*(R2397-S2397)</f>
        <v>-384</v>
      </c>
      <c r="AN2397" s="626"/>
      <c r="AO2397" s="182"/>
      <c r="AP2397" s="182" t="s">
        <v>804</v>
      </c>
      <c r="AQ2397" s="332" t="s">
        <v>115</v>
      </c>
      <c r="AR2397" s="182" t="s">
        <v>7476</v>
      </c>
      <c r="AS2397" s="189">
        <v>-0.33</v>
      </c>
      <c r="AT2397" s="189">
        <f t="shared" ref="AT2397:AT2404" si="817">IF(ISBLANK(AS2397),,IF(U2397="S",AD2397-AS2397,AS2397-AD2397))</f>
        <v>1.0000000000000009E-2</v>
      </c>
      <c r="AU2397" s="187">
        <f t="shared" ref="AU2397:AU2404" si="818">AV2397*R2397</f>
        <v>192.00000000000017</v>
      </c>
      <c r="AV2397" s="190">
        <f t="shared" ref="AV2397:AV2404" si="819">IF(ISBLANK(AS2397),,(AT2397*Z2397))</f>
        <v>16.000000000000014</v>
      </c>
      <c r="AW2397" s="191" t="s">
        <v>96</v>
      </c>
      <c r="AX2397" s="549" t="s">
        <v>6091</v>
      </c>
      <c r="AY2397" s="549"/>
      <c r="AZ2397" s="549"/>
      <c r="BA2397" s="549"/>
      <c r="BB2397" s="551"/>
      <c r="BC2397" s="551"/>
      <c r="BD2397" s="549"/>
      <c r="BE2397" s="550"/>
      <c r="BF2397" s="549"/>
      <c r="BG2397" s="391">
        <f>SUM($AV$1389:AV2397)</f>
        <v>6673.0742007024683</v>
      </c>
      <c r="BH2397" s="392">
        <f>SUM($AU$1389:AU2397)</f>
        <v>38390.903836163023</v>
      </c>
      <c r="BI2397" s="318">
        <f>SUMIFS($AU$1388:AU2616,$Q$1388:Q2616,"F")</f>
        <v>27110.758121878131</v>
      </c>
      <c r="BJ2397" s="318">
        <f>SUMIFS($AU$1388:AU2398,$Q$1388:Q2398,"S")</f>
        <v>15874.285714285717</v>
      </c>
      <c r="BK2397" s="343">
        <f>SUMIFS($AU$1388:AU2616,$P$1388:P2616,"W")</f>
        <v>14245.423836163525</v>
      </c>
      <c r="BL2397" s="343">
        <f>SUMIFS($AU$1388:AU2616,$P$1388:P2616,"R")</f>
        <v>21038.800000000316</v>
      </c>
      <c r="BM2397" s="343">
        <f>SUMIFS($AU$1388:AU2616,$AQ$1388:AQ2616,"M")</f>
        <v>8785.3799999984803</v>
      </c>
      <c r="BN2397" s="343">
        <f>SUMIFS($AU$1388:AU2616,$AQ$1388:AQ2616,"H")</f>
        <v>14526.200000000817</v>
      </c>
      <c r="BO2397" s="343">
        <f>SUMIFS($AU$1388:AU2616,$AQ$1388:AQ2616,"D")</f>
        <v>5755.5774725271895</v>
      </c>
      <c r="BP2397" s="343">
        <f>SUMIFS($AS$1388:AS2704,$AO$1388:AO2704,"W")</f>
        <v>0</v>
      </c>
      <c r="BQ2397" s="343">
        <f>SUMIFS($AU$1388:AU2616,$Q$1388:Q2616,"O")</f>
        <v>-10432.940000000743</v>
      </c>
      <c r="BR2397" s="343">
        <f>SUMIFS($AU$1388:AU2616,$AA$1388:AA2616,"*")</f>
        <v>34509.202077921196</v>
      </c>
      <c r="BS2397" s="343">
        <f>SUMIFS($AU$1388:AU2616,$AB$1388:AB2616,"*")</f>
        <v>6553.859999999815</v>
      </c>
      <c r="BT2397" s="343">
        <f>SUMIFS($AU$1388:AU2616,$AC$1388:AC2616,"*")</f>
        <v>28096.358121878111</v>
      </c>
      <c r="BU2397" s="343">
        <f>SUMIFS($AU$1388:AU2616,$AA$1388:AA2616,"*",$AB$1388:AB2616,"*")</f>
        <v>7397.9999999995107</v>
      </c>
      <c r="BV2397" s="343">
        <f>SUMIFS($AU$1388:AU2616,$AA$1388:AA2616,"*",$AC$1388:AC2616,"*")</f>
        <v>25869.316363636532</v>
      </c>
      <c r="BW2397" s="343">
        <f>SUMIFS($AU$1388:AU2616,$AB$1388:AB2616,"*",$AC$1388:AC2616,"*")</f>
        <v>3595.199999999998</v>
      </c>
      <c r="BX2397" s="343">
        <f>SUMIFS($AV$1388:AV2616,$Q$1388:Q2616,"F")</f>
        <v>343.49922313274095</v>
      </c>
      <c r="BY2397" s="343">
        <f>SUMIFS($AV$1388:AV2616,$Q$1388:Q2616,"S")</f>
        <v>690.47424422080383</v>
      </c>
      <c r="BZ2397" s="343">
        <f>SUMIFS($AV$1388:AV2616,$Q$1388:Q2616,"O")</f>
        <v>121.16596666627566</v>
      </c>
    </row>
    <row r="2398" spans="1:78" ht="15.75" customHeight="1">
      <c r="A2398" s="177" t="s">
        <v>7465</v>
      </c>
      <c r="B2398" s="200">
        <v>45509</v>
      </c>
      <c r="C2398" s="178" t="s">
        <v>7303</v>
      </c>
      <c r="D2398" s="178" t="s">
        <v>132</v>
      </c>
      <c r="E2398" s="227" t="s">
        <v>7499</v>
      </c>
      <c r="F2398" s="180"/>
      <c r="G2398" s="181"/>
      <c r="H2398" s="182"/>
      <c r="I2398" s="182"/>
      <c r="J2398" s="182"/>
      <c r="K2398" s="183"/>
      <c r="L2398" s="182"/>
      <c r="M2398" s="182"/>
      <c r="N2398" s="182"/>
      <c r="O2398" s="183"/>
      <c r="P2398" s="183"/>
      <c r="Q2398" s="183"/>
      <c r="R2398" s="183"/>
      <c r="S2398" s="183"/>
      <c r="T2398" s="183"/>
      <c r="U2398" s="183"/>
      <c r="V2398" s="183"/>
      <c r="W2398" s="183"/>
      <c r="X2398" s="183"/>
      <c r="Y2398" s="183"/>
      <c r="Z2398" s="183"/>
      <c r="AA2398" s="185"/>
      <c r="AB2398" s="185"/>
      <c r="AC2398" s="185"/>
      <c r="AD2398" s="649"/>
      <c r="AE2398" s="182"/>
      <c r="AF2398" s="332"/>
      <c r="AG2398" s="182"/>
      <c r="AH2398" s="182"/>
      <c r="AI2398" s="182"/>
      <c r="AJ2398" s="640"/>
      <c r="AK2398" s="182"/>
      <c r="AL2398" s="496">
        <f t="shared" si="815"/>
        <v>0</v>
      </c>
      <c r="AM2398" s="496">
        <f t="shared" si="816"/>
        <v>0</v>
      </c>
      <c r="AN2398" s="626"/>
      <c r="AO2398" s="182"/>
      <c r="AP2398" s="182"/>
      <c r="AQ2398" s="332" t="str">
        <f>UPPER(RIGHT(Journal_Live[[#This Row],[DURATION ]]))</f>
        <v/>
      </c>
      <c r="AR2398" s="182"/>
      <c r="AS2398" s="189"/>
      <c r="AT2398" s="189">
        <f t="shared" si="817"/>
        <v>0</v>
      </c>
      <c r="AU2398" s="187">
        <f t="shared" si="818"/>
        <v>0</v>
      </c>
      <c r="AV2398" s="190">
        <f t="shared" si="819"/>
        <v>0</v>
      </c>
      <c r="AW2398" s="191"/>
      <c r="AX2398" s="549" t="s">
        <v>7500</v>
      </c>
      <c r="AY2398" s="549"/>
      <c r="AZ2398" s="549"/>
      <c r="BA2398" s="549"/>
      <c r="BB2398" s="551"/>
      <c r="BC2398" s="551"/>
      <c r="BD2398" s="549"/>
      <c r="BE2398" s="550"/>
      <c r="BF2398" s="549"/>
      <c r="BG2398" s="391">
        <f>SUM($AV$1389:AV2398)</f>
        <v>6673.0742007024683</v>
      </c>
      <c r="BH2398" s="392">
        <f>SUM($AU$1389:AU2398)</f>
        <v>38390.903836163023</v>
      </c>
      <c r="BI2398" s="318">
        <f>SUMIFS($AU$1388:AU2617,$Q$1388:Q2617,"F")</f>
        <v>27110.758121878131</v>
      </c>
      <c r="BJ2398" s="318">
        <f>SUMIFS($AU$1388:AU2399,$Q$1388:Q2399,"S")</f>
        <v>15874.285714285717</v>
      </c>
      <c r="BK2398" s="343">
        <f>SUMIFS($AU$1388:AU2617,$P$1388:P2617,"W")</f>
        <v>14245.423836163525</v>
      </c>
      <c r="BL2398" s="343">
        <f>SUMIFS($AU$1388:AU2617,$P$1388:P2617,"R")</f>
        <v>21038.800000000316</v>
      </c>
      <c r="BM2398" s="343">
        <f>SUMIFS($AU$1388:AU2617,$AQ$1388:AQ2617,"M")</f>
        <v>8785.3799999984803</v>
      </c>
      <c r="BN2398" s="343">
        <f>SUMIFS($AU$1388:AU2617,$AQ$1388:AQ2617,"H")</f>
        <v>14526.200000000817</v>
      </c>
      <c r="BO2398" s="343">
        <f>SUMIFS($AU$1388:AU2617,$AQ$1388:AQ2617,"D")</f>
        <v>5755.5774725271895</v>
      </c>
      <c r="BP2398" s="343">
        <f>SUMIFS($AS$1388:AS2705,$AO$1388:AO2705,"W")</f>
        <v>0</v>
      </c>
      <c r="BQ2398" s="343">
        <f>SUMIFS($AU$1388:AU2617,$Q$1388:Q2617,"O")</f>
        <v>-10432.940000000743</v>
      </c>
      <c r="BR2398" s="343">
        <f>SUMIFS($AU$1388:AU2617,$AA$1388:AA2617,"*")</f>
        <v>34509.202077921196</v>
      </c>
      <c r="BS2398" s="343">
        <f>SUMIFS($AU$1388:AU2617,$AB$1388:AB2617,"*")</f>
        <v>6553.859999999815</v>
      </c>
      <c r="BT2398" s="343">
        <f>SUMIFS($AU$1388:AU2617,$AC$1388:AC2617,"*")</f>
        <v>28096.358121878111</v>
      </c>
      <c r="BU2398" s="343">
        <f>SUMIFS($AU$1388:AU2617,$AA$1388:AA2617,"*",$AB$1388:AB2617,"*")</f>
        <v>7397.9999999995107</v>
      </c>
      <c r="BV2398" s="343">
        <f>SUMIFS($AU$1388:AU2617,$AA$1388:AA2617,"*",$AC$1388:AC2617,"*")</f>
        <v>25869.316363636532</v>
      </c>
      <c r="BW2398" s="343">
        <f>SUMIFS($AU$1388:AU2617,$AB$1388:AB2617,"*",$AC$1388:AC2617,"*")</f>
        <v>3595.199999999998</v>
      </c>
      <c r="BX2398" s="343">
        <f>SUMIFS($AV$1388:AV2617,$Q$1388:Q2617,"F")</f>
        <v>343.49922313274095</v>
      </c>
      <c r="BY2398" s="343">
        <f>SUMIFS($AV$1388:AV2617,$Q$1388:Q2617,"S")</f>
        <v>690.47424422080383</v>
      </c>
      <c r="BZ2398" s="343">
        <f>SUMIFS($AV$1388:AV2617,$Q$1388:Q2617,"O")</f>
        <v>121.16596666627566</v>
      </c>
    </row>
    <row r="2399" spans="1:78" ht="15.75" customHeight="1">
      <c r="A2399" s="177" t="s">
        <v>7471</v>
      </c>
      <c r="B2399" s="200">
        <v>45509</v>
      </c>
      <c r="C2399" s="178" t="s">
        <v>7303</v>
      </c>
      <c r="D2399" s="178" t="s">
        <v>132</v>
      </c>
      <c r="E2399" s="227"/>
      <c r="F2399" s="180"/>
      <c r="G2399" s="553" t="s">
        <v>7501</v>
      </c>
      <c r="H2399" s="182"/>
      <c r="I2399" s="182"/>
      <c r="J2399" s="182"/>
      <c r="K2399" s="183"/>
      <c r="L2399" s="182">
        <v>1</v>
      </c>
      <c r="M2399" s="182"/>
      <c r="N2399" s="182"/>
      <c r="O2399" s="183" t="s">
        <v>95</v>
      </c>
      <c r="P2399" s="183" t="s">
        <v>96</v>
      </c>
      <c r="Q2399" s="183" t="s">
        <v>256</v>
      </c>
      <c r="R2399" s="183">
        <v>4</v>
      </c>
      <c r="S2399" s="183">
        <v>0</v>
      </c>
      <c r="T2399" s="183">
        <v>4</v>
      </c>
      <c r="U2399" s="183" t="s">
        <v>22</v>
      </c>
      <c r="V2399" s="183" t="s">
        <v>7349</v>
      </c>
      <c r="W2399" s="183" t="s">
        <v>22</v>
      </c>
      <c r="X2399" s="183" t="s">
        <v>7473</v>
      </c>
      <c r="Y2399" s="184">
        <f>IF(ISBLANK(O2399),"",(IF(O2399=UPPER("IB"),0.005,0.01)))</f>
        <v>0.01</v>
      </c>
      <c r="Z2399" s="185">
        <f>IF(ISBLANK(O2399),"",IF(O2399="IB",8.63*200,IF(O2399="IR",16*100,IF(O2399="YT",20*100,IF(O2399="YT-XT",24*200,IF(O2399="TED",80*100,IF(O2399="XT",29*200)))))))</f>
        <v>1600</v>
      </c>
      <c r="AA2399" s="185" t="s">
        <v>7474</v>
      </c>
      <c r="AB2399" s="185"/>
      <c r="AC2399" s="185"/>
      <c r="AD2399" s="649">
        <v>-0.05</v>
      </c>
      <c r="AE2399" s="182"/>
      <c r="AF2399" s="332"/>
      <c r="AG2399" s="182"/>
      <c r="AH2399" s="182"/>
      <c r="AI2399" s="182"/>
      <c r="AJ2399" s="640"/>
      <c r="AK2399" s="182"/>
      <c r="AL2399" s="496">
        <f t="shared" si="815"/>
        <v>-32</v>
      </c>
      <c r="AM2399" s="496">
        <f t="shared" si="816"/>
        <v>-128</v>
      </c>
      <c r="AN2399" s="626"/>
      <c r="AO2399" s="182"/>
      <c r="AP2399" s="182"/>
      <c r="AQ2399" s="332" t="s">
        <v>372</v>
      </c>
      <c r="AR2399" s="182" t="s">
        <v>7379</v>
      </c>
      <c r="AS2399" s="189">
        <v>-0.06</v>
      </c>
      <c r="AT2399" s="189">
        <f t="shared" si="817"/>
        <v>-9.999999999999995E-3</v>
      </c>
      <c r="AU2399" s="187">
        <f t="shared" si="818"/>
        <v>-63.999999999999972</v>
      </c>
      <c r="AV2399" s="190">
        <f t="shared" si="819"/>
        <v>-15.999999999999993</v>
      </c>
      <c r="AW2399" s="191" t="s">
        <v>229</v>
      </c>
      <c r="AX2399" s="549"/>
      <c r="AY2399" s="549"/>
      <c r="AZ2399" s="549"/>
      <c r="BA2399" s="549"/>
      <c r="BB2399" s="551"/>
      <c r="BC2399" s="551"/>
      <c r="BD2399" s="549"/>
      <c r="BE2399" s="550"/>
      <c r="BF2399" s="549"/>
      <c r="BG2399" s="391">
        <f>SUM($AV$1389:AV2399)</f>
        <v>6657.0742007024683</v>
      </c>
      <c r="BH2399" s="392">
        <f>SUM($AU$1389:AU2399)</f>
        <v>38326.903836163023</v>
      </c>
      <c r="BI2399" s="318">
        <f>SUMIFS($AU$1388:AU2618,$Q$1388:Q2618,"F")</f>
        <v>27110.758121878131</v>
      </c>
      <c r="BJ2399" s="318">
        <f>SUMIFS($AU$1388:AU2400,$Q$1388:Q2400,"S")</f>
        <v>15874.285714285717</v>
      </c>
      <c r="BK2399" s="343">
        <f>SUMIFS($AU$1388:AU2618,$P$1388:P2618,"W")</f>
        <v>14245.423836163525</v>
      </c>
      <c r="BL2399" s="343">
        <f>SUMIFS($AU$1388:AU2618,$P$1388:P2618,"R")</f>
        <v>21038.800000000316</v>
      </c>
      <c r="BM2399" s="343">
        <f>SUMIFS($AU$1388:AU2618,$AQ$1388:AQ2618,"M")</f>
        <v>8785.3799999984803</v>
      </c>
      <c r="BN2399" s="343">
        <f>SUMIFS($AU$1388:AU2618,$AQ$1388:AQ2618,"H")</f>
        <v>14526.200000000817</v>
      </c>
      <c r="BO2399" s="343">
        <f>SUMIFS($AU$1388:AU2618,$AQ$1388:AQ2618,"D")</f>
        <v>5755.5774725271895</v>
      </c>
      <c r="BP2399" s="343">
        <f>SUMIFS($AS$1388:AS2706,$AO$1388:AO2706,"W")</f>
        <v>0</v>
      </c>
      <c r="BQ2399" s="343">
        <f>SUMIFS($AU$1388:AU2618,$Q$1388:Q2618,"O")</f>
        <v>-10432.940000000743</v>
      </c>
      <c r="BR2399" s="343">
        <f>SUMIFS($AU$1388:AU2618,$AA$1388:AA2618,"*")</f>
        <v>34509.202077921196</v>
      </c>
      <c r="BS2399" s="343">
        <f>SUMIFS($AU$1388:AU2618,$AB$1388:AB2618,"*")</f>
        <v>6553.859999999815</v>
      </c>
      <c r="BT2399" s="343">
        <f>SUMIFS($AU$1388:AU2618,$AC$1388:AC2618,"*")</f>
        <v>28096.358121878111</v>
      </c>
      <c r="BU2399" s="343">
        <f>SUMIFS($AU$1388:AU2618,$AA$1388:AA2618,"*",$AB$1388:AB2618,"*")</f>
        <v>7397.9999999995107</v>
      </c>
      <c r="BV2399" s="343">
        <f>SUMIFS($AU$1388:AU2618,$AA$1388:AA2618,"*",$AC$1388:AC2618,"*")</f>
        <v>25869.316363636532</v>
      </c>
      <c r="BW2399" s="343">
        <f>SUMIFS($AU$1388:AU2618,$AB$1388:AB2618,"*",$AC$1388:AC2618,"*")</f>
        <v>3595.199999999998</v>
      </c>
      <c r="BX2399" s="343">
        <f>SUMIFS($AV$1388:AV2618,$Q$1388:Q2618,"F")</f>
        <v>343.49922313274095</v>
      </c>
      <c r="BY2399" s="343">
        <f>SUMIFS($AV$1388:AV2618,$Q$1388:Q2618,"S")</f>
        <v>690.47424422080383</v>
      </c>
      <c r="BZ2399" s="343">
        <f>SUMIFS($AV$1388:AV2618,$Q$1388:Q2618,"O")</f>
        <v>121.16596666627566</v>
      </c>
    </row>
    <row r="2400" spans="1:78" ht="15.75" customHeight="1">
      <c r="A2400" s="177" t="s">
        <v>7471</v>
      </c>
      <c r="B2400" s="200">
        <v>45509</v>
      </c>
      <c r="C2400" s="178" t="s">
        <v>7502</v>
      </c>
      <c r="D2400" s="178" t="s">
        <v>132</v>
      </c>
      <c r="E2400" s="227"/>
      <c r="F2400" s="180"/>
      <c r="G2400" s="181" t="s">
        <v>6399</v>
      </c>
      <c r="H2400" s="182"/>
      <c r="I2400" s="182"/>
      <c r="J2400" s="182"/>
      <c r="K2400" s="183"/>
      <c r="L2400" s="182">
        <v>1</v>
      </c>
      <c r="M2400" s="182"/>
      <c r="N2400" s="182"/>
      <c r="O2400" s="183" t="s">
        <v>95</v>
      </c>
      <c r="P2400" s="183" t="s">
        <v>137</v>
      </c>
      <c r="Q2400" s="183" t="s">
        <v>684</v>
      </c>
      <c r="R2400" s="183">
        <v>5</v>
      </c>
      <c r="S2400" s="183">
        <v>0</v>
      </c>
      <c r="T2400" s="183">
        <v>5</v>
      </c>
      <c r="U2400" s="183" t="s">
        <v>22</v>
      </c>
      <c r="V2400" s="183" t="s">
        <v>7349</v>
      </c>
      <c r="W2400" s="183" t="s">
        <v>22</v>
      </c>
      <c r="X2400" s="183"/>
      <c r="Y2400" s="184">
        <f>IF(ISBLANK(O2400),"",(IF(O2400=UPPER("IB"),0.005,0.01)))</f>
        <v>0.01</v>
      </c>
      <c r="Z2400" s="185">
        <f>IF(ISBLANK(O2400),"",IF(O2400="IB",8.63*200,IF(O2400="IR",16*100,IF(O2400="YT",20*100,IF(O2400="YT-XT",24*200,IF(O2400="TED",80*100,IF(O2400="XT",29*200)))))))</f>
        <v>1600</v>
      </c>
      <c r="AA2400" s="185"/>
      <c r="AB2400" s="185"/>
      <c r="AC2400" s="185" t="s">
        <v>7120</v>
      </c>
      <c r="AD2400" s="649">
        <v>96.7</v>
      </c>
      <c r="AE2400" s="182"/>
      <c r="AF2400" s="332"/>
      <c r="AG2400" s="182"/>
      <c r="AH2400" s="182"/>
      <c r="AI2400" s="182"/>
      <c r="AJ2400" s="640"/>
      <c r="AK2400" s="182"/>
      <c r="AL2400" s="496">
        <f t="shared" si="815"/>
        <v>-32</v>
      </c>
      <c r="AM2400" s="496">
        <f t="shared" si="816"/>
        <v>-160</v>
      </c>
      <c r="AN2400" s="626"/>
      <c r="AO2400" s="182"/>
      <c r="AP2400" s="182"/>
      <c r="AQ2400" s="332" t="s">
        <v>1259</v>
      </c>
      <c r="AR2400" s="182"/>
      <c r="AS2400" s="189">
        <v>96.67</v>
      </c>
      <c r="AT2400" s="189">
        <f t="shared" si="817"/>
        <v>-3.0000000000001137E-2</v>
      </c>
      <c r="AU2400" s="187">
        <f t="shared" si="818"/>
        <v>-240.00000000000909</v>
      </c>
      <c r="AV2400" s="190">
        <f t="shared" si="819"/>
        <v>-48.000000000001819</v>
      </c>
      <c r="AW2400" s="191" t="s">
        <v>229</v>
      </c>
      <c r="AX2400" s="549" t="s">
        <v>7503</v>
      </c>
      <c r="AY2400" s="549"/>
      <c r="AZ2400" s="549"/>
      <c r="BA2400" s="549"/>
      <c r="BB2400" s="551"/>
      <c r="BC2400" s="551"/>
      <c r="BD2400" s="549"/>
      <c r="BE2400" s="550"/>
      <c r="BF2400" s="549"/>
      <c r="BG2400" s="391">
        <f>SUM($AV$1389:AV2400)</f>
        <v>6609.0742007024664</v>
      </c>
      <c r="BH2400" s="392">
        <f>SUM($AU$1389:AU2400)</f>
        <v>38086.903836163016</v>
      </c>
      <c r="BI2400" s="318">
        <f>SUMIFS($AU$1388:AU2619,$Q$1388:Q2619,"F")</f>
        <v>27110.758121878131</v>
      </c>
      <c r="BJ2400" s="318">
        <f>SUMIFS($AU$1388:AU2401,$Q$1388:Q2401,"S")</f>
        <v>15874.285714285717</v>
      </c>
      <c r="BK2400" s="343">
        <f>SUMIFS($AU$1388:AU2619,$P$1388:P2619,"W")</f>
        <v>14245.423836163525</v>
      </c>
      <c r="BL2400" s="343">
        <f>SUMIFS($AU$1388:AU2619,$P$1388:P2619,"R")</f>
        <v>21038.800000000316</v>
      </c>
      <c r="BM2400" s="343">
        <f>SUMIFS($AU$1388:AU2619,$AQ$1388:AQ2619,"M")</f>
        <v>8785.3799999984803</v>
      </c>
      <c r="BN2400" s="343">
        <f>SUMIFS($AU$1388:AU2619,$AQ$1388:AQ2619,"H")</f>
        <v>14526.200000000817</v>
      </c>
      <c r="BO2400" s="343">
        <f>SUMIFS($AU$1388:AU2619,$AQ$1388:AQ2619,"D")</f>
        <v>5755.5774725271895</v>
      </c>
      <c r="BP2400" s="343">
        <f>SUMIFS($AS$1388:AS2707,$AO$1388:AO2707,"W")</f>
        <v>0</v>
      </c>
      <c r="BQ2400" s="343">
        <f>SUMIFS($AU$1388:AU2619,$Q$1388:Q2619,"O")</f>
        <v>-10432.940000000743</v>
      </c>
      <c r="BR2400" s="343">
        <f>SUMIFS($AU$1388:AU2619,$AA$1388:AA2619,"*")</f>
        <v>34509.202077921196</v>
      </c>
      <c r="BS2400" s="343">
        <f>SUMIFS($AU$1388:AU2619,$AB$1388:AB2619,"*")</f>
        <v>6553.859999999815</v>
      </c>
      <c r="BT2400" s="343">
        <f>SUMIFS($AU$1388:AU2619,$AC$1388:AC2619,"*")</f>
        <v>28096.358121878111</v>
      </c>
      <c r="BU2400" s="343">
        <f>SUMIFS($AU$1388:AU2619,$AA$1388:AA2619,"*",$AB$1388:AB2619,"*")</f>
        <v>7397.9999999995107</v>
      </c>
      <c r="BV2400" s="343">
        <f>SUMIFS($AU$1388:AU2619,$AA$1388:AA2619,"*",$AC$1388:AC2619,"*")</f>
        <v>25869.316363636532</v>
      </c>
      <c r="BW2400" s="343">
        <f>SUMIFS($AU$1388:AU2619,$AB$1388:AB2619,"*",$AC$1388:AC2619,"*")</f>
        <v>3595.199999999998</v>
      </c>
      <c r="BX2400" s="343">
        <f>SUMIFS($AV$1388:AV2619,$Q$1388:Q2619,"F")</f>
        <v>343.49922313274095</v>
      </c>
      <c r="BY2400" s="343">
        <f>SUMIFS($AV$1388:AV2619,$Q$1388:Q2619,"S")</f>
        <v>690.47424422080383</v>
      </c>
      <c r="BZ2400" s="343">
        <f>SUMIFS($AV$1388:AV2619,$Q$1388:Q2619,"O")</f>
        <v>121.16596666627566</v>
      </c>
    </row>
    <row r="2401" spans="1:78" ht="15.75" customHeight="1">
      <c r="A2401" s="177" t="s">
        <v>7465</v>
      </c>
      <c r="B2401" s="200"/>
      <c r="C2401" s="178"/>
      <c r="D2401" s="178"/>
      <c r="E2401" s="227"/>
      <c r="F2401" s="180"/>
      <c r="G2401" s="181"/>
      <c r="H2401" s="182"/>
      <c r="I2401" s="182"/>
      <c r="J2401" s="182"/>
      <c r="K2401" s="183"/>
      <c r="L2401" s="182"/>
      <c r="M2401" s="182"/>
      <c r="N2401" s="182"/>
      <c r="O2401" s="183"/>
      <c r="P2401" s="183"/>
      <c r="Q2401" s="183"/>
      <c r="R2401" s="183"/>
      <c r="S2401" s="183"/>
      <c r="T2401" s="183"/>
      <c r="U2401" s="183"/>
      <c r="V2401" s="183"/>
      <c r="W2401" s="183"/>
      <c r="X2401" s="183"/>
      <c r="Y2401" s="183"/>
      <c r="Z2401" s="183"/>
      <c r="AA2401" s="185"/>
      <c r="AB2401" s="185"/>
      <c r="AC2401" s="185"/>
      <c r="AD2401" s="649"/>
      <c r="AE2401" s="182"/>
      <c r="AF2401" s="332"/>
      <c r="AG2401" s="182"/>
      <c r="AH2401" s="182"/>
      <c r="AI2401" s="182"/>
      <c r="AJ2401" s="640"/>
      <c r="AK2401" s="182"/>
      <c r="AL2401" s="496">
        <f t="shared" si="815"/>
        <v>0</v>
      </c>
      <c r="AM2401" s="496">
        <f t="shared" si="816"/>
        <v>0</v>
      </c>
      <c r="AN2401" s="626"/>
      <c r="AO2401" s="182"/>
      <c r="AP2401" s="182"/>
      <c r="AQ2401" s="332" t="str">
        <f>UPPER(RIGHT(Journal_Live[[#This Row],[DURATION ]]))</f>
        <v/>
      </c>
      <c r="AR2401" s="182"/>
      <c r="AS2401" s="189"/>
      <c r="AT2401" s="189">
        <f t="shared" si="817"/>
        <v>0</v>
      </c>
      <c r="AU2401" s="187">
        <f t="shared" si="818"/>
        <v>0</v>
      </c>
      <c r="AV2401" s="190">
        <f t="shared" si="819"/>
        <v>0</v>
      </c>
      <c r="AW2401" s="191"/>
      <c r="AX2401" s="617" t="s">
        <v>7504</v>
      </c>
      <c r="AY2401" s="617" t="s">
        <v>7505</v>
      </c>
      <c r="AZ2401" s="617" t="s">
        <v>7506</v>
      </c>
      <c r="BA2401" s="617" t="s">
        <v>7507</v>
      </c>
      <c r="BB2401" s="617" t="s">
        <v>7508</v>
      </c>
      <c r="BC2401" s="617" t="s">
        <v>7509</v>
      </c>
      <c r="BD2401" s="617" t="s">
        <v>7510</v>
      </c>
      <c r="BE2401" s="550"/>
      <c r="BF2401" s="549"/>
      <c r="BG2401" s="391">
        <f>SUM($AV$1389:AV2401)</f>
        <v>6609.0742007024664</v>
      </c>
      <c r="BH2401" s="392">
        <f>SUM($AU$1389:AU2401)</f>
        <v>38086.903836163016</v>
      </c>
      <c r="BI2401" s="318">
        <f>SUMIFS($AU$1388:AU2620,$Q$1388:Q2620,"F")</f>
        <v>27110.758121878131</v>
      </c>
      <c r="BJ2401" s="318">
        <f>SUMIFS($AU$1388:AU2402,$Q$1388:Q2402,"S")</f>
        <v>15874.285714285717</v>
      </c>
      <c r="BK2401" s="343">
        <f>SUMIFS($AU$1388:AU2620,$P$1388:P2620,"W")</f>
        <v>14245.423836163525</v>
      </c>
      <c r="BL2401" s="343">
        <f>SUMIFS($AU$1388:AU2620,$P$1388:P2620,"R")</f>
        <v>21038.800000000316</v>
      </c>
      <c r="BM2401" s="343">
        <f>SUMIFS($AU$1388:AU2620,$AQ$1388:AQ2620,"M")</f>
        <v>8785.3799999984803</v>
      </c>
      <c r="BN2401" s="343">
        <f>SUMIFS($AU$1388:AU2620,$AQ$1388:AQ2620,"H")</f>
        <v>14526.200000000817</v>
      </c>
      <c r="BO2401" s="343">
        <f>SUMIFS($AU$1388:AU2620,$AQ$1388:AQ2620,"D")</f>
        <v>5755.5774725271895</v>
      </c>
      <c r="BP2401" s="343">
        <f>SUMIFS($AS$1388:AS2708,$AO$1388:AO2708,"W")</f>
        <v>0</v>
      </c>
      <c r="BQ2401" s="343">
        <f>SUMIFS($AU$1388:AU2620,$Q$1388:Q2620,"O")</f>
        <v>-10432.940000000743</v>
      </c>
      <c r="BR2401" s="343">
        <f>SUMIFS($AU$1388:AU2620,$AA$1388:AA2620,"*")</f>
        <v>34509.202077921196</v>
      </c>
      <c r="BS2401" s="343">
        <f>SUMIFS($AU$1388:AU2620,$AB$1388:AB2620,"*")</f>
        <v>6553.859999999815</v>
      </c>
      <c r="BT2401" s="343">
        <f>SUMIFS($AU$1388:AU2620,$AC$1388:AC2620,"*")</f>
        <v>28096.358121878111</v>
      </c>
      <c r="BU2401" s="343">
        <f>SUMIFS($AU$1388:AU2620,$AA$1388:AA2620,"*",$AB$1388:AB2620,"*")</f>
        <v>7397.9999999995107</v>
      </c>
      <c r="BV2401" s="343">
        <f>SUMIFS($AU$1388:AU2620,$AA$1388:AA2620,"*",$AC$1388:AC2620,"*")</f>
        <v>25869.316363636532</v>
      </c>
      <c r="BW2401" s="343">
        <f>SUMIFS($AU$1388:AU2620,$AB$1388:AB2620,"*",$AC$1388:AC2620,"*")</f>
        <v>3595.199999999998</v>
      </c>
      <c r="BX2401" s="343">
        <f>SUMIFS($AV$1388:AV2620,$Q$1388:Q2620,"F")</f>
        <v>343.49922313274095</v>
      </c>
      <c r="BY2401" s="343">
        <f>SUMIFS($AV$1388:AV2620,$Q$1388:Q2620,"S")</f>
        <v>690.47424422080383</v>
      </c>
      <c r="BZ2401" s="343">
        <f>SUMIFS($AV$1388:AV2620,$Q$1388:Q2620,"O")</f>
        <v>121.16596666627566</v>
      </c>
    </row>
    <row r="2402" spans="1:78" ht="15.75" customHeight="1">
      <c r="A2402" s="177" t="s">
        <v>7465</v>
      </c>
      <c r="B2402" s="200">
        <v>45509</v>
      </c>
      <c r="C2402" s="178" t="s">
        <v>2060</v>
      </c>
      <c r="D2402" s="178" t="s">
        <v>132</v>
      </c>
      <c r="E2402" s="227" t="s">
        <v>7511</v>
      </c>
      <c r="F2402" s="180"/>
      <c r="G2402" s="181"/>
      <c r="H2402" s="182"/>
      <c r="I2402" s="182"/>
      <c r="J2402" s="182"/>
      <c r="K2402" s="183"/>
      <c r="L2402" s="182"/>
      <c r="M2402" s="182"/>
      <c r="N2402" s="182"/>
      <c r="O2402" s="183"/>
      <c r="P2402" s="183"/>
      <c r="Q2402" s="183"/>
      <c r="R2402" s="183"/>
      <c r="S2402" s="183"/>
      <c r="T2402" s="183"/>
      <c r="U2402" s="183"/>
      <c r="V2402" s="183"/>
      <c r="W2402" s="183"/>
      <c r="X2402" s="183"/>
      <c r="Y2402" s="183"/>
      <c r="Z2402" s="183"/>
      <c r="AA2402" s="185"/>
      <c r="AB2402" s="185"/>
      <c r="AC2402" s="185"/>
      <c r="AD2402" s="649"/>
      <c r="AE2402" s="182"/>
      <c r="AF2402" s="332"/>
      <c r="AG2402" s="182"/>
      <c r="AH2402" s="182"/>
      <c r="AI2402" s="182"/>
      <c r="AJ2402" s="640"/>
      <c r="AK2402" s="182"/>
      <c r="AL2402" s="496">
        <f t="shared" si="815"/>
        <v>0</v>
      </c>
      <c r="AM2402" s="496">
        <f t="shared" si="816"/>
        <v>0</v>
      </c>
      <c r="AN2402" s="626"/>
      <c r="AO2402" s="182"/>
      <c r="AP2402" s="182"/>
      <c r="AQ2402" s="332" t="str">
        <f>UPPER(RIGHT(Journal_Live[[#This Row],[DURATION ]]))</f>
        <v/>
      </c>
      <c r="AR2402" s="182"/>
      <c r="AS2402" s="189"/>
      <c r="AT2402" s="189">
        <f t="shared" si="817"/>
        <v>0</v>
      </c>
      <c r="AU2402" s="187">
        <f t="shared" si="818"/>
        <v>0</v>
      </c>
      <c r="AV2402" s="190">
        <f t="shared" si="819"/>
        <v>0</v>
      </c>
      <c r="AW2402" s="191"/>
      <c r="AX2402" s="617" t="s">
        <v>7512</v>
      </c>
      <c r="AY2402" s="617" t="s">
        <v>7513</v>
      </c>
      <c r="AZ2402" s="617" t="s">
        <v>7514</v>
      </c>
      <c r="BA2402" s="617" t="s">
        <v>7515</v>
      </c>
      <c r="BB2402" s="617" t="s">
        <v>7516</v>
      </c>
      <c r="BC2402" s="551"/>
      <c r="BD2402" s="549"/>
      <c r="BE2402" s="550"/>
      <c r="BF2402" s="549"/>
      <c r="BG2402" s="391">
        <f>SUM($AV$1389:AV2402)</f>
        <v>6609.0742007024664</v>
      </c>
      <c r="BH2402" s="392">
        <f>SUM($AU$1389:AU2402)</f>
        <v>38086.903836163016</v>
      </c>
      <c r="BI2402" s="318">
        <f>SUMIFS($AU$1388:AU2621,$Q$1388:Q2621,"F")</f>
        <v>27110.758121878131</v>
      </c>
      <c r="BJ2402" s="318">
        <f>SUMIFS($AU$1388:AU2403,$Q$1388:Q2403,"S")</f>
        <v>15874.285714285717</v>
      </c>
      <c r="BK2402" s="343">
        <f>SUMIFS($AU$1388:AU2621,$P$1388:P2621,"W")</f>
        <v>14245.423836163525</v>
      </c>
      <c r="BL2402" s="343">
        <f>SUMIFS($AU$1388:AU2621,$P$1388:P2621,"R")</f>
        <v>21038.800000000316</v>
      </c>
      <c r="BM2402" s="343">
        <f>SUMIFS($AU$1388:AU2621,$AQ$1388:AQ2621,"M")</f>
        <v>8785.3799999984803</v>
      </c>
      <c r="BN2402" s="343">
        <f>SUMIFS($AU$1388:AU2621,$AQ$1388:AQ2621,"H")</f>
        <v>14526.200000000817</v>
      </c>
      <c r="BO2402" s="343">
        <f>SUMIFS($AU$1388:AU2621,$AQ$1388:AQ2621,"D")</f>
        <v>5755.5774725271895</v>
      </c>
      <c r="BP2402" s="343">
        <f>SUMIFS($AS$1388:AS2709,$AO$1388:AO2709,"W")</f>
        <v>0</v>
      </c>
      <c r="BQ2402" s="343">
        <f>SUMIFS($AU$1388:AU2621,$Q$1388:Q2621,"O")</f>
        <v>-10432.940000000743</v>
      </c>
      <c r="BR2402" s="343">
        <f>SUMIFS($AU$1388:AU2621,$AA$1388:AA2621,"*")</f>
        <v>34509.202077921196</v>
      </c>
      <c r="BS2402" s="343">
        <f>SUMIFS($AU$1388:AU2621,$AB$1388:AB2621,"*")</f>
        <v>6553.859999999815</v>
      </c>
      <c r="BT2402" s="343">
        <f>SUMIFS($AU$1388:AU2621,$AC$1388:AC2621,"*")</f>
        <v>28096.358121878111</v>
      </c>
      <c r="BU2402" s="343">
        <f>SUMIFS($AU$1388:AU2621,$AA$1388:AA2621,"*",$AB$1388:AB2621,"*")</f>
        <v>7397.9999999995107</v>
      </c>
      <c r="BV2402" s="343">
        <f>SUMIFS($AU$1388:AU2621,$AA$1388:AA2621,"*",$AC$1388:AC2621,"*")</f>
        <v>25869.316363636532</v>
      </c>
      <c r="BW2402" s="343">
        <f>SUMIFS($AU$1388:AU2621,$AB$1388:AB2621,"*",$AC$1388:AC2621,"*")</f>
        <v>3595.199999999998</v>
      </c>
      <c r="BX2402" s="343">
        <f>SUMIFS($AV$1388:AV2621,$Q$1388:Q2621,"F")</f>
        <v>343.49922313274095</v>
      </c>
      <c r="BY2402" s="343">
        <f>SUMIFS($AV$1388:AV2621,$Q$1388:Q2621,"S")</f>
        <v>690.47424422080383</v>
      </c>
      <c r="BZ2402" s="343">
        <f>SUMIFS($AV$1388:AV2621,$Q$1388:Q2621,"O")</f>
        <v>121.16596666627566</v>
      </c>
    </row>
    <row r="2403" spans="1:78" ht="15.75" customHeight="1">
      <c r="A2403" s="177" t="s">
        <v>7465</v>
      </c>
      <c r="B2403" s="200"/>
      <c r="C2403" s="178"/>
      <c r="D2403" s="178"/>
      <c r="E2403" s="227" t="s">
        <v>7517</v>
      </c>
      <c r="F2403" s="180"/>
      <c r="G2403" s="181"/>
      <c r="H2403" s="182"/>
      <c r="I2403" s="182"/>
      <c r="J2403" s="182"/>
      <c r="K2403" s="183"/>
      <c r="L2403" s="182"/>
      <c r="M2403" s="182"/>
      <c r="N2403" s="182"/>
      <c r="O2403" s="183"/>
      <c r="P2403" s="183"/>
      <c r="Q2403" s="183"/>
      <c r="R2403" s="183"/>
      <c r="S2403" s="183"/>
      <c r="T2403" s="183"/>
      <c r="U2403" s="183"/>
      <c r="V2403" s="183"/>
      <c r="W2403" s="183"/>
      <c r="X2403" s="183"/>
      <c r="Y2403" s="183"/>
      <c r="Z2403" s="183"/>
      <c r="AA2403" s="185"/>
      <c r="AB2403" s="185"/>
      <c r="AC2403" s="185"/>
      <c r="AD2403" s="649"/>
      <c r="AE2403" s="182"/>
      <c r="AF2403" s="332"/>
      <c r="AG2403" s="182"/>
      <c r="AH2403" s="182"/>
      <c r="AI2403" s="182"/>
      <c r="AJ2403" s="640"/>
      <c r="AK2403" s="182"/>
      <c r="AL2403" s="496">
        <f t="shared" si="815"/>
        <v>0</v>
      </c>
      <c r="AM2403" s="496">
        <f t="shared" si="816"/>
        <v>0</v>
      </c>
      <c r="AN2403" s="626"/>
      <c r="AO2403" s="182"/>
      <c r="AP2403" s="182"/>
      <c r="AQ2403" s="332" t="str">
        <f>UPPER(RIGHT(Journal_Live[[#This Row],[DURATION ]]))</f>
        <v/>
      </c>
      <c r="AR2403" s="182"/>
      <c r="AS2403" s="189"/>
      <c r="AT2403" s="189">
        <f t="shared" si="817"/>
        <v>0</v>
      </c>
      <c r="AU2403" s="187">
        <f t="shared" si="818"/>
        <v>0</v>
      </c>
      <c r="AV2403" s="190">
        <f t="shared" si="819"/>
        <v>0</v>
      </c>
      <c r="AW2403" s="191"/>
      <c r="AX2403" s="617" t="s">
        <v>7518</v>
      </c>
      <c r="AY2403" s="617" t="s">
        <v>7519</v>
      </c>
      <c r="AZ2403" s="617" t="s">
        <v>7520</v>
      </c>
      <c r="BA2403" s="617" t="s">
        <v>7521</v>
      </c>
      <c r="BB2403" s="551"/>
      <c r="BC2403" s="551"/>
      <c r="BD2403" s="549"/>
      <c r="BE2403" s="550"/>
      <c r="BF2403" s="549"/>
      <c r="BG2403" s="391">
        <f>SUM($AV$1389:AV2403)</f>
        <v>6609.0742007024664</v>
      </c>
      <c r="BH2403" s="392">
        <f>SUM($AU$1389:AU2403)</f>
        <v>38086.903836163016</v>
      </c>
      <c r="BI2403" s="318">
        <f>SUMIFS($AU$1388:AU2622,$Q$1388:Q2622,"F")</f>
        <v>27110.758121878131</v>
      </c>
      <c r="BJ2403" s="318">
        <f>SUMIFS($AU$1388:AU2404,$Q$1388:Q2404,"S")</f>
        <v>15874.285714285717</v>
      </c>
      <c r="BK2403" s="343">
        <f>SUMIFS($AU$1388:AU2622,$P$1388:P2622,"W")</f>
        <v>14245.423836163525</v>
      </c>
      <c r="BL2403" s="343">
        <f>SUMIFS($AU$1388:AU2622,$P$1388:P2622,"R")</f>
        <v>21038.800000000316</v>
      </c>
      <c r="BM2403" s="343">
        <f>SUMIFS($AU$1388:AU2622,$AQ$1388:AQ2622,"M")</f>
        <v>8785.3799999984803</v>
      </c>
      <c r="BN2403" s="343">
        <f>SUMIFS($AU$1388:AU2622,$AQ$1388:AQ2622,"H")</f>
        <v>14526.200000000817</v>
      </c>
      <c r="BO2403" s="343">
        <f>SUMIFS($AU$1388:AU2622,$AQ$1388:AQ2622,"D")</f>
        <v>5755.5774725271895</v>
      </c>
      <c r="BP2403" s="343">
        <f>SUMIFS($AS$1388:AS2710,$AO$1388:AO2710,"W")</f>
        <v>0</v>
      </c>
      <c r="BQ2403" s="343">
        <f>SUMIFS($AU$1388:AU2622,$Q$1388:Q2622,"O")</f>
        <v>-10432.940000000743</v>
      </c>
      <c r="BR2403" s="343">
        <f>SUMIFS($AU$1388:AU2622,$AA$1388:AA2622,"*")</f>
        <v>34509.202077921196</v>
      </c>
      <c r="BS2403" s="343">
        <f>SUMIFS($AU$1388:AU2622,$AB$1388:AB2622,"*")</f>
        <v>6553.859999999815</v>
      </c>
      <c r="BT2403" s="343">
        <f>SUMIFS($AU$1388:AU2622,$AC$1388:AC2622,"*")</f>
        <v>28096.358121878111</v>
      </c>
      <c r="BU2403" s="343">
        <f>SUMIFS($AU$1388:AU2622,$AA$1388:AA2622,"*",$AB$1388:AB2622,"*")</f>
        <v>7397.9999999995107</v>
      </c>
      <c r="BV2403" s="343">
        <f>SUMIFS($AU$1388:AU2622,$AA$1388:AA2622,"*",$AC$1388:AC2622,"*")</f>
        <v>25869.316363636532</v>
      </c>
      <c r="BW2403" s="343">
        <f>SUMIFS($AU$1388:AU2622,$AB$1388:AB2622,"*",$AC$1388:AC2622,"*")</f>
        <v>3595.199999999998</v>
      </c>
      <c r="BX2403" s="343">
        <f>SUMIFS($AV$1388:AV2622,$Q$1388:Q2622,"F")</f>
        <v>343.49922313274095</v>
      </c>
      <c r="BY2403" s="343">
        <f>SUMIFS($AV$1388:AV2622,$Q$1388:Q2622,"S")</f>
        <v>690.47424422080383</v>
      </c>
      <c r="BZ2403" s="343">
        <f>SUMIFS($AV$1388:AV2622,$Q$1388:Q2622,"O")</f>
        <v>121.16596666627566</v>
      </c>
    </row>
    <row r="2404" spans="1:78" ht="15.75" customHeight="1">
      <c r="A2404" s="177" t="s">
        <v>7465</v>
      </c>
      <c r="B2404" s="200"/>
      <c r="C2404" s="178"/>
      <c r="D2404" s="178"/>
      <c r="E2404" s="227" t="s">
        <v>7522</v>
      </c>
      <c r="F2404" s="180" t="s">
        <v>7523</v>
      </c>
      <c r="G2404" s="181"/>
      <c r="H2404" s="182">
        <v>1</v>
      </c>
      <c r="I2404" s="182"/>
      <c r="J2404" s="182"/>
      <c r="K2404" s="183" t="s">
        <v>372</v>
      </c>
      <c r="L2404" s="182"/>
      <c r="M2404" s="182"/>
      <c r="N2404" s="182"/>
      <c r="O2404" s="183"/>
      <c r="P2404" s="183"/>
      <c r="Q2404" s="183"/>
      <c r="R2404" s="183"/>
      <c r="S2404" s="183"/>
      <c r="T2404" s="183"/>
      <c r="U2404" s="183"/>
      <c r="V2404" s="183"/>
      <c r="W2404" s="183"/>
      <c r="X2404" s="183"/>
      <c r="Y2404" s="183"/>
      <c r="Z2404" s="183"/>
      <c r="AA2404" s="185"/>
      <c r="AB2404" s="185"/>
      <c r="AC2404" s="185"/>
      <c r="AD2404" s="649"/>
      <c r="AE2404" s="182"/>
      <c r="AF2404" s="332"/>
      <c r="AG2404" s="182"/>
      <c r="AH2404" s="182"/>
      <c r="AI2404" s="182"/>
      <c r="AJ2404" s="640"/>
      <c r="AK2404" s="182"/>
      <c r="AL2404" s="496">
        <f t="shared" si="815"/>
        <v>0</v>
      </c>
      <c r="AM2404" s="496">
        <f t="shared" si="816"/>
        <v>0</v>
      </c>
      <c r="AN2404" s="626"/>
      <c r="AO2404" s="182"/>
      <c r="AP2404" s="182"/>
      <c r="AQ2404" s="332" t="str">
        <f>UPPER(RIGHT(Journal_Live[[#This Row],[DURATION ]]))</f>
        <v/>
      </c>
      <c r="AR2404" s="182"/>
      <c r="AS2404" s="189"/>
      <c r="AT2404" s="189">
        <f t="shared" si="817"/>
        <v>0</v>
      </c>
      <c r="AU2404" s="187">
        <f t="shared" si="818"/>
        <v>0</v>
      </c>
      <c r="AV2404" s="190">
        <f t="shared" si="819"/>
        <v>0</v>
      </c>
      <c r="AW2404" s="191"/>
      <c r="AX2404" s="549"/>
      <c r="AY2404" s="549"/>
      <c r="AZ2404" s="549"/>
      <c r="BA2404" s="549"/>
      <c r="BB2404" s="551"/>
      <c r="BC2404" s="551"/>
      <c r="BD2404" s="549"/>
      <c r="BE2404" s="550"/>
      <c r="BF2404" s="549"/>
      <c r="BG2404" s="391">
        <f>SUM($AV$1389:AV2404)</f>
        <v>6609.0742007024664</v>
      </c>
      <c r="BH2404" s="392">
        <f>SUM($AU$1389:AU2404)</f>
        <v>38086.903836163016</v>
      </c>
      <c r="BI2404" s="318">
        <f>SUMIFS($AU$1388:AU2623,$Q$1388:Q2623,"F")</f>
        <v>27110.758121878131</v>
      </c>
      <c r="BJ2404" s="318">
        <f>SUMIFS($AU$1388:AU2405,$Q$1388:Q2405,"S")</f>
        <v>15874.285714285717</v>
      </c>
      <c r="BK2404" s="343">
        <f>SUMIFS($AU$1388:AU2623,$P$1388:P2623,"W")</f>
        <v>14245.423836163525</v>
      </c>
      <c r="BL2404" s="343">
        <f>SUMIFS($AU$1388:AU2623,$P$1388:P2623,"R")</f>
        <v>21038.800000000316</v>
      </c>
      <c r="BM2404" s="343">
        <f>SUMIFS($AU$1388:AU2623,$AQ$1388:AQ2623,"M")</f>
        <v>8785.3799999984803</v>
      </c>
      <c r="BN2404" s="343">
        <f>SUMIFS($AU$1388:AU2623,$AQ$1388:AQ2623,"H")</f>
        <v>14526.200000000817</v>
      </c>
      <c r="BO2404" s="343">
        <f>SUMIFS($AU$1388:AU2623,$AQ$1388:AQ2623,"D")</f>
        <v>5755.5774725271895</v>
      </c>
      <c r="BP2404" s="343">
        <f>SUMIFS($AS$1388:AS2711,$AO$1388:AO2711,"W")</f>
        <v>0</v>
      </c>
      <c r="BQ2404" s="343">
        <f>SUMIFS($AU$1388:AU2623,$Q$1388:Q2623,"O")</f>
        <v>-10432.940000000743</v>
      </c>
      <c r="BR2404" s="343">
        <f>SUMIFS($AU$1388:AU2623,$AA$1388:AA2623,"*")</f>
        <v>34509.202077921196</v>
      </c>
      <c r="BS2404" s="343">
        <f>SUMIFS($AU$1388:AU2623,$AB$1388:AB2623,"*")</f>
        <v>6553.859999999815</v>
      </c>
      <c r="BT2404" s="343">
        <f>SUMIFS($AU$1388:AU2623,$AC$1388:AC2623,"*")</f>
        <v>28096.358121878111</v>
      </c>
      <c r="BU2404" s="343">
        <f>SUMIFS($AU$1388:AU2623,$AA$1388:AA2623,"*",$AB$1388:AB2623,"*")</f>
        <v>7397.9999999995107</v>
      </c>
      <c r="BV2404" s="343">
        <f>SUMIFS($AU$1388:AU2623,$AA$1388:AA2623,"*",$AC$1388:AC2623,"*")</f>
        <v>25869.316363636532</v>
      </c>
      <c r="BW2404" s="343">
        <f>SUMIFS($AU$1388:AU2623,$AB$1388:AB2623,"*",$AC$1388:AC2623,"*")</f>
        <v>3595.199999999998</v>
      </c>
      <c r="BX2404" s="343">
        <f>SUMIFS($AV$1388:AV2623,$Q$1388:Q2623,"F")</f>
        <v>343.49922313274095</v>
      </c>
      <c r="BY2404" s="343">
        <f>SUMIFS($AV$1388:AV2623,$Q$1388:Q2623,"S")</f>
        <v>690.47424422080383</v>
      </c>
      <c r="BZ2404" s="343">
        <f>SUMIFS($AV$1388:AV2623,$Q$1388:Q2623,"O")</f>
        <v>121.16596666627566</v>
      </c>
    </row>
    <row r="2405" spans="1:78" ht="15.75" customHeight="1">
      <c r="A2405" s="177" t="s">
        <v>7465</v>
      </c>
      <c r="B2405" s="200"/>
      <c r="C2405" s="178"/>
      <c r="D2405" s="178"/>
      <c r="E2405" s="227"/>
      <c r="F2405" s="180"/>
      <c r="G2405" s="497" t="s">
        <v>6998</v>
      </c>
      <c r="H2405" s="182"/>
      <c r="I2405" s="182"/>
      <c r="J2405" s="182"/>
      <c r="K2405" s="183"/>
      <c r="L2405" s="182">
        <v>2</v>
      </c>
      <c r="M2405" s="182"/>
      <c r="N2405" s="182"/>
      <c r="O2405" s="183" t="s">
        <v>3618</v>
      </c>
      <c r="P2405" s="183" t="s">
        <v>2260</v>
      </c>
      <c r="Q2405" s="183" t="s">
        <v>684</v>
      </c>
      <c r="R2405" s="183">
        <v>1</v>
      </c>
      <c r="S2405" s="183">
        <v>0</v>
      </c>
      <c r="T2405" s="183">
        <v>1</v>
      </c>
      <c r="U2405" s="183" t="s">
        <v>97</v>
      </c>
      <c r="V2405" s="183" t="s">
        <v>7349</v>
      </c>
      <c r="W2405" s="183" t="s">
        <v>22</v>
      </c>
      <c r="X2405" s="183"/>
      <c r="Y2405" s="184">
        <f>IF(ISBLANK(O2405),"",(IF(O2405=UPPER("IB"),0.005,0.01)))</f>
        <v>0.01</v>
      </c>
      <c r="Z2405" s="185">
        <f>IF(ISBLANK(O2405),"",IF(O2405="IB",8.63*200,IF(O2405="IR",16*100,IF(O2405="YT",20*100,IF(O2405="YT-XT",24*200,IF(O2405="TED",80*100,IF(O2405="XT",29*200)))))))</f>
        <v>5800</v>
      </c>
      <c r="AA2405" s="185" t="s">
        <v>5476</v>
      </c>
      <c r="AB2405" s="185"/>
      <c r="AC2405" s="185"/>
      <c r="AD2405" s="649">
        <v>96.13</v>
      </c>
      <c r="AE2405" s="182"/>
      <c r="AF2405" s="332"/>
      <c r="AG2405" s="182"/>
      <c r="AH2405" s="182"/>
      <c r="AI2405" s="182"/>
      <c r="AJ2405" s="640"/>
      <c r="AK2405" s="182"/>
      <c r="AL2405" s="496">
        <f t="shared" si="813"/>
        <v>-116</v>
      </c>
      <c r="AM2405" s="496">
        <f t="shared" ref="AM2405:AM2474" si="820">AL2405*(R2405-S2405)</f>
        <v>-116</v>
      </c>
      <c r="AN2405" s="626"/>
      <c r="AO2405" s="182"/>
      <c r="AP2405" s="182" t="s">
        <v>7524</v>
      </c>
      <c r="AQ2405" s="332" t="s">
        <v>1259</v>
      </c>
      <c r="AR2405" s="182" t="s">
        <v>7525</v>
      </c>
      <c r="AS2405" s="189">
        <v>96.12</v>
      </c>
      <c r="AT2405" s="189">
        <f t="shared" ref="AT2405:AT2474" si="821">IF(ISBLANK(AS2405),,IF(U2405="S",AD2405-AS2405,AS2405-AD2405))</f>
        <v>9.9999999999909051E-3</v>
      </c>
      <c r="AU2405" s="187">
        <f t="shared" ref="AU2405:AU2474" si="822">AV2405*R2405</f>
        <v>57.999999999947249</v>
      </c>
      <c r="AV2405" s="190">
        <f t="shared" si="814"/>
        <v>57.999999999947249</v>
      </c>
      <c r="AW2405" s="191" t="s">
        <v>96</v>
      </c>
      <c r="AX2405" s="549" t="s">
        <v>7526</v>
      </c>
      <c r="AY2405" s="549" t="s">
        <v>7527</v>
      </c>
      <c r="AZ2405" s="549"/>
      <c r="BA2405" s="549"/>
      <c r="BB2405" s="551" t="s">
        <v>7528</v>
      </c>
      <c r="BC2405" s="551" t="s">
        <v>7529</v>
      </c>
      <c r="BD2405" s="549" t="s">
        <v>7530</v>
      </c>
      <c r="BE2405" s="550"/>
      <c r="BF2405" s="549"/>
      <c r="BG2405" s="391">
        <f>SUM($AV$1389:AV2405)</f>
        <v>6667.0742007024137</v>
      </c>
      <c r="BH2405" s="392">
        <f>SUM($AU$1389:AU2405)</f>
        <v>38144.903836162965</v>
      </c>
      <c r="BI2405" s="318">
        <f>SUMIFS($AU$1388:AU2624,$Q$1388:Q2624,"F")</f>
        <v>27110.758121878131</v>
      </c>
      <c r="BJ2405" s="318">
        <f>SUMIFS($AU$1388:AU2406,$Q$1388:Q2406,"S")</f>
        <v>15874.285714285717</v>
      </c>
      <c r="BK2405" s="343">
        <f>SUMIFS($AU$1388:AU2624,$P$1388:P2624,"W")</f>
        <v>14245.423836163525</v>
      </c>
      <c r="BL2405" s="343">
        <f>SUMIFS($AU$1388:AU2624,$P$1388:P2624,"R")</f>
        <v>21038.800000000316</v>
      </c>
      <c r="BM2405" s="343">
        <f>SUMIFS($AU$1388:AU2624,$AQ$1388:AQ2624,"M")</f>
        <v>8785.3799999984803</v>
      </c>
      <c r="BN2405" s="343">
        <f>SUMIFS($AU$1388:AU2624,$AQ$1388:AQ2624,"H")</f>
        <v>14526.200000000817</v>
      </c>
      <c r="BO2405" s="343">
        <f>SUMIFS($AU$1388:AU2624,$AQ$1388:AQ2624,"D")</f>
        <v>5755.5774725271895</v>
      </c>
      <c r="BP2405" s="343">
        <f>SUMIFS($AS$1388:AS2712,$AO$1388:AO2712,"W")</f>
        <v>0</v>
      </c>
      <c r="BQ2405" s="343">
        <f>SUMIFS($AU$1388:AU2624,$Q$1388:Q2624,"O")</f>
        <v>-10432.940000000743</v>
      </c>
      <c r="BR2405" s="343">
        <f>SUMIFS($AU$1388:AU2624,$AA$1388:AA2624,"*")</f>
        <v>34509.202077921196</v>
      </c>
      <c r="BS2405" s="343">
        <f>SUMIFS($AU$1388:AU2624,$AB$1388:AB2624,"*")</f>
        <v>6553.859999999815</v>
      </c>
      <c r="BT2405" s="343">
        <f>SUMIFS($AU$1388:AU2624,$AC$1388:AC2624,"*")</f>
        <v>28096.358121878111</v>
      </c>
      <c r="BU2405" s="343">
        <f>SUMIFS($AU$1388:AU2624,$AA$1388:AA2624,"*",$AB$1388:AB2624,"*")</f>
        <v>7397.9999999995107</v>
      </c>
      <c r="BV2405" s="343">
        <f>SUMIFS($AU$1388:AU2624,$AA$1388:AA2624,"*",$AC$1388:AC2624,"*")</f>
        <v>25869.316363636532</v>
      </c>
      <c r="BW2405" s="343">
        <f>SUMIFS($AU$1388:AU2624,$AB$1388:AB2624,"*",$AC$1388:AC2624,"*")</f>
        <v>3595.199999999998</v>
      </c>
      <c r="BX2405" s="343">
        <f>SUMIFS($AV$1388:AV2624,$Q$1388:Q2624,"F")</f>
        <v>343.49922313274095</v>
      </c>
      <c r="BY2405" s="343">
        <f>SUMIFS($AV$1388:AV2624,$Q$1388:Q2624,"S")</f>
        <v>690.47424422080383</v>
      </c>
      <c r="BZ2405" s="343">
        <f>SUMIFS($AV$1388:AV2624,$Q$1388:Q2624,"O")</f>
        <v>121.16596666627566</v>
      </c>
    </row>
    <row r="2406" spans="1:78" ht="15.75" customHeight="1">
      <c r="A2406" s="177" t="s">
        <v>7465</v>
      </c>
      <c r="B2406" s="200"/>
      <c r="C2406" s="178"/>
      <c r="D2406" s="178"/>
      <c r="E2406" s="227"/>
      <c r="F2406" s="180"/>
      <c r="G2406" s="181"/>
      <c r="H2406" s="182"/>
      <c r="I2406" s="182"/>
      <c r="J2406" s="182"/>
      <c r="K2406" s="183"/>
      <c r="L2406" s="182"/>
      <c r="M2406" s="182"/>
      <c r="N2406" s="182"/>
      <c r="O2406" s="183"/>
      <c r="P2406" s="183"/>
      <c r="Q2406" s="183"/>
      <c r="R2406" s="183"/>
      <c r="S2406" s="183"/>
      <c r="T2406" s="183"/>
      <c r="U2406" s="183"/>
      <c r="V2406" s="183"/>
      <c r="W2406" s="183"/>
      <c r="X2406" s="183"/>
      <c r="Y2406" s="184"/>
      <c r="Z2406" s="185"/>
      <c r="AA2406" s="185"/>
      <c r="AB2406" s="185"/>
      <c r="AC2406" s="185"/>
      <c r="AD2406" s="649"/>
      <c r="AE2406" s="182"/>
      <c r="AF2406" s="332"/>
      <c r="AG2406" s="182"/>
      <c r="AH2406" s="182"/>
      <c r="AI2406" s="182"/>
      <c r="AJ2406" s="640"/>
      <c r="AK2406" s="182"/>
      <c r="AL2406" s="496">
        <f t="shared" si="813"/>
        <v>0</v>
      </c>
      <c r="AM2406" s="496">
        <f t="shared" si="820"/>
        <v>0</v>
      </c>
      <c r="AN2406" s="626"/>
      <c r="AO2406" s="182"/>
      <c r="AP2406" s="182"/>
      <c r="AQ2406" s="332" t="str">
        <f>UPPER(RIGHT(Journal_Live[[#This Row],[DURATION ]]))</f>
        <v/>
      </c>
      <c r="AR2406" s="182"/>
      <c r="AS2406" s="189"/>
      <c r="AT2406" s="189">
        <f t="shared" si="821"/>
        <v>0</v>
      </c>
      <c r="AU2406" s="187">
        <f t="shared" si="822"/>
        <v>0</v>
      </c>
      <c r="AV2406" s="190">
        <f t="shared" si="814"/>
        <v>0</v>
      </c>
      <c r="AW2406" s="191"/>
      <c r="AX2406" s="549"/>
      <c r="AY2406" s="549"/>
      <c r="AZ2406" s="549"/>
      <c r="BA2406" s="549"/>
      <c r="BB2406" s="551" t="s">
        <v>7531</v>
      </c>
      <c r="BC2406" s="551"/>
      <c r="BD2406" s="549" t="s">
        <v>7532</v>
      </c>
      <c r="BE2406" s="550"/>
      <c r="BF2406" s="549"/>
      <c r="BG2406" s="391">
        <f>SUM($AV$1389:AV2406)</f>
        <v>6667.0742007024137</v>
      </c>
      <c r="BH2406" s="392">
        <f>SUM($AU$1389:AU2406)</f>
        <v>38144.903836162965</v>
      </c>
      <c r="BI2406" s="318">
        <f>SUMIFS($AU$1388:AU2625,$Q$1388:Q2625,"F")</f>
        <v>27110.758121878131</v>
      </c>
      <c r="BJ2406" s="318">
        <f>SUMIFS($AU$1388:AU2407,$Q$1388:Q2407,"S")</f>
        <v>15874.285714285717</v>
      </c>
      <c r="BK2406" s="343">
        <f>SUMIFS($AU$1388:AU2625,$P$1388:P2625,"W")</f>
        <v>14245.423836163525</v>
      </c>
      <c r="BL2406" s="343">
        <f>SUMIFS($AU$1388:AU2625,$P$1388:P2625,"R")</f>
        <v>21038.800000000316</v>
      </c>
      <c r="BM2406" s="343">
        <f>SUMIFS($AU$1388:AU2625,$AQ$1388:AQ2625,"M")</f>
        <v>8785.3799999984803</v>
      </c>
      <c r="BN2406" s="343">
        <f>SUMIFS($AU$1388:AU2625,$AQ$1388:AQ2625,"H")</f>
        <v>14526.200000000817</v>
      </c>
      <c r="BO2406" s="343">
        <f>SUMIFS($AU$1388:AU2625,$AQ$1388:AQ2625,"D")</f>
        <v>5755.5774725271895</v>
      </c>
      <c r="BP2406" s="343">
        <f>SUMIFS($AS$1388:AS2713,$AO$1388:AO2713,"W")</f>
        <v>0</v>
      </c>
      <c r="BQ2406" s="343">
        <f>SUMIFS($AU$1388:AU2625,$Q$1388:Q2625,"O")</f>
        <v>-10432.940000000743</v>
      </c>
      <c r="BR2406" s="343">
        <f>SUMIFS($AU$1388:AU2625,$AA$1388:AA2625,"*")</f>
        <v>34509.202077921196</v>
      </c>
      <c r="BS2406" s="343">
        <f>SUMIFS($AU$1388:AU2625,$AB$1388:AB2625,"*")</f>
        <v>6553.859999999815</v>
      </c>
      <c r="BT2406" s="343">
        <f>SUMIFS($AU$1388:AU2625,$AC$1388:AC2625,"*")</f>
        <v>28096.358121878111</v>
      </c>
      <c r="BU2406" s="343">
        <f>SUMIFS($AU$1388:AU2625,$AA$1388:AA2625,"*",$AB$1388:AB2625,"*")</f>
        <v>7397.9999999995107</v>
      </c>
      <c r="BV2406" s="343">
        <f>SUMIFS($AU$1388:AU2625,$AA$1388:AA2625,"*",$AC$1388:AC2625,"*")</f>
        <v>25869.316363636532</v>
      </c>
      <c r="BW2406" s="343">
        <f>SUMIFS($AU$1388:AU2625,$AB$1388:AB2625,"*",$AC$1388:AC2625,"*")</f>
        <v>3595.199999999998</v>
      </c>
      <c r="BX2406" s="343">
        <f>SUMIFS($AV$1388:AV2625,$Q$1388:Q2625,"F")</f>
        <v>343.49922313274095</v>
      </c>
      <c r="BY2406" s="343">
        <f>SUMIFS($AV$1388:AV2625,$Q$1388:Q2625,"S")</f>
        <v>690.47424422080383</v>
      </c>
      <c r="BZ2406" s="343">
        <f>SUMIFS($AV$1388:AV2625,$Q$1388:Q2625,"O")</f>
        <v>121.16596666627566</v>
      </c>
    </row>
    <row r="2407" spans="1:78" ht="15.75" customHeight="1">
      <c r="A2407" s="177" t="s">
        <v>7465</v>
      </c>
      <c r="B2407" s="200"/>
      <c r="C2407" s="178"/>
      <c r="D2407" s="178"/>
      <c r="E2407" s="227"/>
      <c r="F2407" s="180"/>
      <c r="G2407" s="181"/>
      <c r="H2407" s="182"/>
      <c r="I2407" s="182"/>
      <c r="J2407" s="182"/>
      <c r="K2407" s="183"/>
      <c r="L2407" s="182"/>
      <c r="M2407" s="182"/>
      <c r="N2407" s="182"/>
      <c r="O2407" s="183"/>
      <c r="P2407" s="183"/>
      <c r="Q2407" s="183"/>
      <c r="R2407" s="183"/>
      <c r="S2407" s="183"/>
      <c r="T2407" s="183"/>
      <c r="U2407" s="183"/>
      <c r="V2407" s="183"/>
      <c r="W2407" s="183"/>
      <c r="X2407" s="183"/>
      <c r="Y2407" s="184"/>
      <c r="Z2407" s="185"/>
      <c r="AA2407" s="185"/>
      <c r="AB2407" s="185"/>
      <c r="AC2407" s="185"/>
      <c r="AD2407" s="649"/>
      <c r="AE2407" s="182"/>
      <c r="AF2407" s="332"/>
      <c r="AG2407" s="182"/>
      <c r="AH2407" s="182"/>
      <c r="AI2407" s="182"/>
      <c r="AJ2407" s="640"/>
      <c r="AK2407" s="182"/>
      <c r="AL2407" s="496">
        <f t="shared" si="813"/>
        <v>0</v>
      </c>
      <c r="AM2407" s="496">
        <f t="shared" si="820"/>
        <v>0</v>
      </c>
      <c r="AN2407" s="626"/>
      <c r="AO2407" s="182"/>
      <c r="AP2407" s="182"/>
      <c r="AQ2407" s="332" t="str">
        <f>UPPER(RIGHT(Journal_Live[[#This Row],[DURATION ]]))</f>
        <v/>
      </c>
      <c r="AR2407" s="182"/>
      <c r="AS2407" s="189"/>
      <c r="AT2407" s="189">
        <f t="shared" si="821"/>
        <v>0</v>
      </c>
      <c r="AU2407" s="187">
        <f t="shared" si="822"/>
        <v>0</v>
      </c>
      <c r="AV2407" s="190">
        <f t="shared" si="814"/>
        <v>0</v>
      </c>
      <c r="AW2407" s="191"/>
      <c r="AX2407" s="549"/>
      <c r="AY2407" s="549"/>
      <c r="AZ2407" s="549"/>
      <c r="BA2407" s="549"/>
      <c r="BB2407" s="551" t="s">
        <v>7533</v>
      </c>
      <c r="BC2407" s="551"/>
      <c r="BD2407" s="549" t="s">
        <v>7534</v>
      </c>
      <c r="BE2407" s="550"/>
      <c r="BF2407" s="549"/>
      <c r="BG2407" s="391">
        <f>SUM($AV$1389:AV2407)</f>
        <v>6667.0742007024137</v>
      </c>
      <c r="BH2407" s="392">
        <f>SUM($AU$1389:AU2407)</f>
        <v>38144.903836162965</v>
      </c>
      <c r="BI2407" s="318">
        <f>SUMIFS($AU$1388:AU2626,$Q$1388:Q2626,"F")</f>
        <v>27110.758121878131</v>
      </c>
      <c r="BJ2407" s="318">
        <f>SUMIFS($AU$1388:AU2408,$Q$1388:Q2408,"S")</f>
        <v>15874.285714285717</v>
      </c>
      <c r="BK2407" s="343">
        <f>SUMIFS($AU$1388:AU2626,$P$1388:P2626,"W")</f>
        <v>14245.423836163525</v>
      </c>
      <c r="BL2407" s="343">
        <f>SUMIFS($AU$1388:AU2626,$P$1388:P2626,"R")</f>
        <v>21038.800000000316</v>
      </c>
      <c r="BM2407" s="343">
        <f>SUMIFS($AU$1388:AU2626,$AQ$1388:AQ2626,"M")</f>
        <v>8785.3799999984803</v>
      </c>
      <c r="BN2407" s="343">
        <f>SUMIFS($AU$1388:AU2626,$AQ$1388:AQ2626,"H")</f>
        <v>14526.200000000817</v>
      </c>
      <c r="BO2407" s="343">
        <f>SUMIFS($AU$1388:AU2626,$AQ$1388:AQ2626,"D")</f>
        <v>5755.5774725271895</v>
      </c>
      <c r="BP2407" s="343">
        <f>SUMIFS($AS$1388:AS2714,$AO$1388:AO2714,"W")</f>
        <v>0</v>
      </c>
      <c r="BQ2407" s="343">
        <f>SUMIFS($AU$1388:AU2626,$Q$1388:Q2626,"O")</f>
        <v>-10432.940000000743</v>
      </c>
      <c r="BR2407" s="343">
        <f>SUMIFS($AU$1388:AU2626,$AA$1388:AA2626,"*")</f>
        <v>34509.202077921196</v>
      </c>
      <c r="BS2407" s="343">
        <f>SUMIFS($AU$1388:AU2626,$AB$1388:AB2626,"*")</f>
        <v>6553.859999999815</v>
      </c>
      <c r="BT2407" s="343">
        <f>SUMIFS($AU$1388:AU2626,$AC$1388:AC2626,"*")</f>
        <v>28096.358121878111</v>
      </c>
      <c r="BU2407" s="343">
        <f>SUMIFS($AU$1388:AU2626,$AA$1388:AA2626,"*",$AB$1388:AB2626,"*")</f>
        <v>7397.9999999995107</v>
      </c>
      <c r="BV2407" s="343">
        <f>SUMIFS($AU$1388:AU2626,$AA$1388:AA2626,"*",$AC$1388:AC2626,"*")</f>
        <v>25869.316363636532</v>
      </c>
      <c r="BW2407" s="343">
        <f>SUMIFS($AU$1388:AU2626,$AB$1388:AB2626,"*",$AC$1388:AC2626,"*")</f>
        <v>3595.199999999998</v>
      </c>
      <c r="BX2407" s="343">
        <f>SUMIFS($AV$1388:AV2626,$Q$1388:Q2626,"F")</f>
        <v>343.49922313274095</v>
      </c>
      <c r="BY2407" s="343">
        <f>SUMIFS($AV$1388:AV2626,$Q$1388:Q2626,"S")</f>
        <v>690.47424422080383</v>
      </c>
      <c r="BZ2407" s="343">
        <f>SUMIFS($AV$1388:AV2626,$Q$1388:Q2626,"O")</f>
        <v>121.16596666627566</v>
      </c>
    </row>
    <row r="2408" spans="1:78" ht="15.75" customHeight="1">
      <c r="A2408" s="177" t="s">
        <v>7465</v>
      </c>
      <c r="B2408" s="200">
        <v>45510</v>
      </c>
      <c r="C2408" s="178" t="s">
        <v>2093</v>
      </c>
      <c r="D2408" s="178" t="s">
        <v>146</v>
      </c>
      <c r="E2408" s="227" t="s">
        <v>7535</v>
      </c>
      <c r="F2408" s="180"/>
      <c r="G2408" s="181"/>
      <c r="H2408" s="182"/>
      <c r="I2408" s="182"/>
      <c r="J2408" s="182"/>
      <c r="K2408" s="183"/>
      <c r="L2408" s="182"/>
      <c r="M2408" s="182"/>
      <c r="N2408" s="182"/>
      <c r="O2408" s="183"/>
      <c r="P2408" s="183"/>
      <c r="Q2408" s="183"/>
      <c r="R2408" s="183"/>
      <c r="S2408" s="183"/>
      <c r="T2408" s="183"/>
      <c r="U2408" s="183"/>
      <c r="V2408" s="183"/>
      <c r="W2408" s="183"/>
      <c r="X2408" s="183"/>
      <c r="Y2408" s="184"/>
      <c r="Z2408" s="185"/>
      <c r="AA2408" s="185"/>
      <c r="AB2408" s="185"/>
      <c r="AC2408" s="185"/>
      <c r="AD2408" s="649"/>
      <c r="AE2408" s="182"/>
      <c r="AF2408" s="332"/>
      <c r="AG2408" s="182"/>
      <c r="AH2408" s="182"/>
      <c r="AI2408" s="182"/>
      <c r="AJ2408" s="640"/>
      <c r="AK2408" s="182"/>
      <c r="AL2408" s="496">
        <f t="shared" si="813"/>
        <v>0</v>
      </c>
      <c r="AM2408" s="496">
        <f t="shared" si="820"/>
        <v>0</v>
      </c>
      <c r="AN2408" s="626"/>
      <c r="AO2408" s="182"/>
      <c r="AP2408" s="182"/>
      <c r="AQ2408" s="332" t="str">
        <f>UPPER(RIGHT(Journal_Live[[#This Row],[DURATION ]]))</f>
        <v/>
      </c>
      <c r="AR2408" s="182"/>
      <c r="AS2408" s="189"/>
      <c r="AT2408" s="189">
        <f t="shared" si="821"/>
        <v>0</v>
      </c>
      <c r="AU2408" s="187">
        <f t="shared" si="822"/>
        <v>0</v>
      </c>
      <c r="AV2408" s="190">
        <f t="shared" si="814"/>
        <v>0</v>
      </c>
      <c r="AW2408" s="191"/>
      <c r="AX2408" s="549"/>
      <c r="AY2408" s="549"/>
      <c r="AZ2408" s="549"/>
      <c r="BA2408" s="549"/>
      <c r="BB2408" s="551"/>
      <c r="BC2408" s="551"/>
      <c r="BD2408" s="549"/>
      <c r="BE2408" s="550"/>
      <c r="BF2408" s="549"/>
      <c r="BG2408" s="391">
        <f>SUM($AV$1389:AV2408)</f>
        <v>6667.0742007024137</v>
      </c>
      <c r="BH2408" s="392">
        <f>SUM($AU$1389:AU2408)</f>
        <v>38144.903836162965</v>
      </c>
      <c r="BI2408" s="318">
        <f>SUMIFS($AU$1388:AU2627,$Q$1388:Q2627,"F")</f>
        <v>27110.758121878131</v>
      </c>
      <c r="BJ2408" s="318">
        <f>SUMIFS($AU$1388:AU2475,$Q$1388:Q2475,"S")</f>
        <v>16018.285714285717</v>
      </c>
      <c r="BK2408" s="343">
        <f>SUMIFS($AU$1388:AU2627,$P$1388:P2627,"W")</f>
        <v>14245.423836163525</v>
      </c>
      <c r="BL2408" s="343">
        <f>SUMIFS($AU$1388:AU2627,$P$1388:P2627,"R")</f>
        <v>21038.800000000316</v>
      </c>
      <c r="BM2408" s="343">
        <f>SUMIFS($AU$1388:AU2627,$AQ$1388:AQ2627,"M")</f>
        <v>8785.3799999984803</v>
      </c>
      <c r="BN2408" s="343">
        <f>SUMIFS($AU$1388:AU2627,$AQ$1388:AQ2627,"H")</f>
        <v>14526.200000000817</v>
      </c>
      <c r="BO2408" s="343">
        <f>SUMIFS($AU$1388:AU2627,$AQ$1388:AQ2627,"D")</f>
        <v>5755.5774725271895</v>
      </c>
      <c r="BP2408" s="343">
        <f>SUMIFS($AS$1388:AS2715,$AO$1388:AO2715,"W")</f>
        <v>0</v>
      </c>
      <c r="BQ2408" s="343">
        <f>SUMIFS($AU$1388:AU2627,$Q$1388:Q2627,"O")</f>
        <v>-10432.940000000743</v>
      </c>
      <c r="BR2408" s="343">
        <f>SUMIFS($AU$1388:AU2627,$AA$1388:AA2627,"*")</f>
        <v>34509.202077921196</v>
      </c>
      <c r="BS2408" s="343">
        <f>SUMIFS($AU$1388:AU2627,$AB$1388:AB2627,"*")</f>
        <v>6553.859999999815</v>
      </c>
      <c r="BT2408" s="343">
        <f>SUMIFS($AU$1388:AU2627,$AC$1388:AC2627,"*")</f>
        <v>28096.358121878111</v>
      </c>
      <c r="BU2408" s="343">
        <f>SUMIFS($AU$1388:AU2627,$AA$1388:AA2627,"*",$AB$1388:AB2627,"*")</f>
        <v>7397.9999999995107</v>
      </c>
      <c r="BV2408" s="343">
        <f>SUMIFS($AU$1388:AU2627,$AA$1388:AA2627,"*",$AC$1388:AC2627,"*")</f>
        <v>25869.316363636532</v>
      </c>
      <c r="BW2408" s="343">
        <f>SUMIFS($AU$1388:AU2627,$AB$1388:AB2627,"*",$AC$1388:AC2627,"*")</f>
        <v>3595.199999999998</v>
      </c>
      <c r="BX2408" s="343">
        <f>SUMIFS($AV$1388:AV2627,$Q$1388:Q2627,"F")</f>
        <v>343.49922313274095</v>
      </c>
      <c r="BY2408" s="343">
        <f>SUMIFS($AV$1388:AV2627,$Q$1388:Q2627,"S")</f>
        <v>690.47424422080383</v>
      </c>
      <c r="BZ2408" s="343">
        <f>SUMIFS($AV$1388:AV2627,$Q$1388:Q2627,"O")</f>
        <v>121.16596666627566</v>
      </c>
    </row>
    <row r="2409" spans="1:78" ht="15.75" customHeight="1">
      <c r="A2409" s="177" t="s">
        <v>7465</v>
      </c>
      <c r="B2409" s="200"/>
      <c r="C2409" s="178"/>
      <c r="D2409" s="178"/>
      <c r="E2409" s="227"/>
      <c r="F2409" s="180"/>
      <c r="G2409" s="181"/>
      <c r="H2409" s="182"/>
      <c r="I2409" s="182"/>
      <c r="J2409" s="182"/>
      <c r="K2409" s="183"/>
      <c r="L2409" s="182"/>
      <c r="M2409" s="182"/>
      <c r="N2409" s="182"/>
      <c r="O2409" s="183"/>
      <c r="P2409" s="183"/>
      <c r="Q2409" s="183"/>
      <c r="R2409" s="183"/>
      <c r="S2409" s="183"/>
      <c r="T2409" s="183"/>
      <c r="U2409" s="183"/>
      <c r="V2409" s="183"/>
      <c r="W2409" s="183"/>
      <c r="X2409" s="183"/>
      <c r="Y2409" s="184"/>
      <c r="Z2409" s="185"/>
      <c r="AA2409" s="185"/>
      <c r="AB2409" s="185"/>
      <c r="AC2409" s="185"/>
      <c r="AD2409" s="649"/>
      <c r="AE2409" s="182"/>
      <c r="AF2409" s="332"/>
      <c r="AG2409" s="182"/>
      <c r="AH2409" s="182"/>
      <c r="AI2409" s="182"/>
      <c r="AJ2409" s="640"/>
      <c r="AK2409" s="182"/>
      <c r="AL2409" s="496">
        <f t="shared" si="813"/>
        <v>0</v>
      </c>
      <c r="AM2409" s="496">
        <f t="shared" si="820"/>
        <v>0</v>
      </c>
      <c r="AN2409" s="626"/>
      <c r="AO2409" s="182"/>
      <c r="AP2409" s="182"/>
      <c r="AQ2409" s="332" t="str">
        <f>UPPER(RIGHT(Journal_Live[[#This Row],[DURATION ]]))</f>
        <v/>
      </c>
      <c r="AR2409" s="182"/>
      <c r="AS2409" s="189"/>
      <c r="AT2409" s="189">
        <f t="shared" si="821"/>
        <v>0</v>
      </c>
      <c r="AU2409" s="187">
        <f t="shared" si="822"/>
        <v>0</v>
      </c>
      <c r="AV2409" s="190">
        <f t="shared" si="814"/>
        <v>0</v>
      </c>
      <c r="AW2409" s="191"/>
      <c r="AX2409" s="549" t="s">
        <v>7536</v>
      </c>
      <c r="AY2409" s="549" t="s">
        <v>7537</v>
      </c>
      <c r="AZ2409" s="575" t="s">
        <v>7538</v>
      </c>
      <c r="BA2409" s="549"/>
      <c r="BB2409" s="551"/>
      <c r="BC2409" s="551"/>
      <c r="BD2409" s="549"/>
      <c r="BE2409" s="550"/>
      <c r="BF2409" s="549"/>
      <c r="BG2409" s="391">
        <f>SUM($AV$1389:AV2409)</f>
        <v>6667.0742007024137</v>
      </c>
      <c r="BH2409" s="392">
        <f>SUM($AU$1389:AU2409)</f>
        <v>38144.903836162965</v>
      </c>
      <c r="BI2409" s="318">
        <f>SUMIFS($AU$1388:AU2617,$Q$1388:Q2617,"F")</f>
        <v>27110.758121878131</v>
      </c>
      <c r="BJ2409" s="318">
        <f>SUMIFS($AU$1388:AU2410,$Q$1388:Q2410,"S")</f>
        <v>15874.285714285717</v>
      </c>
      <c r="BK2409" s="343">
        <f>SUMIFS($AU$1388:AU2617,$P$1388:P2617,"W")</f>
        <v>14245.423836163525</v>
      </c>
      <c r="BL2409" s="343">
        <f>SUMIFS($AU$1388:AU2617,$P$1388:P2617,"R")</f>
        <v>21038.800000000316</v>
      </c>
      <c r="BM2409" s="343">
        <f>SUMIFS($AU$1388:AU2617,$AQ$1388:AQ2617,"M")</f>
        <v>8785.3799999984803</v>
      </c>
      <c r="BN2409" s="343">
        <f>SUMIFS($AU$1388:AU2617,$AQ$1388:AQ2617,"H")</f>
        <v>14526.200000000817</v>
      </c>
      <c r="BO2409" s="343">
        <f>SUMIFS($AU$1388:AU2617,$AQ$1388:AQ2617,"D")</f>
        <v>5755.5774725271895</v>
      </c>
      <c r="BP2409" s="343">
        <f>SUMIFS($AS$1388:AS2705,$AO$1388:AO2705,"W")</f>
        <v>0</v>
      </c>
      <c r="BQ2409" s="343">
        <f>SUMIFS($AU$1388:AU2617,$Q$1388:Q2617,"O")</f>
        <v>-10432.940000000743</v>
      </c>
      <c r="BR2409" s="343">
        <f>SUMIFS($AU$1388:AU2617,$AA$1388:AA2617,"*")</f>
        <v>34509.202077921196</v>
      </c>
      <c r="BS2409" s="343">
        <f>SUMIFS($AU$1388:AU2617,$AB$1388:AB2617,"*")</f>
        <v>6553.859999999815</v>
      </c>
      <c r="BT2409" s="343">
        <f>SUMIFS($AU$1388:AU2617,$AC$1388:AC2617,"*")</f>
        <v>28096.358121878111</v>
      </c>
      <c r="BU2409" s="343">
        <f>SUMIFS($AU$1388:AU2617,$AA$1388:AA2617,"*",$AB$1388:AB2617,"*")</f>
        <v>7397.9999999995107</v>
      </c>
      <c r="BV2409" s="343">
        <f>SUMIFS($AU$1388:AU2617,$AA$1388:AA2617,"*",$AC$1388:AC2617,"*")</f>
        <v>25869.316363636532</v>
      </c>
      <c r="BW2409" s="343">
        <f>SUMIFS($AU$1388:AU2617,$AB$1388:AB2617,"*",$AC$1388:AC2617,"*")</f>
        <v>3595.199999999998</v>
      </c>
      <c r="BX2409" s="343">
        <f>SUMIFS($AV$1388:AV2617,$Q$1388:Q2617,"F")</f>
        <v>343.49922313274095</v>
      </c>
      <c r="BY2409" s="343">
        <f>SUMIFS($AV$1388:AV2617,$Q$1388:Q2617,"S")</f>
        <v>690.47424422080383</v>
      </c>
      <c r="BZ2409" s="343">
        <f>SUMIFS($AV$1388:AV2617,$Q$1388:Q2617,"O")</f>
        <v>121.16596666627566</v>
      </c>
    </row>
    <row r="2410" spans="1:78" ht="15.75" customHeight="1">
      <c r="A2410" s="177" t="s">
        <v>7465</v>
      </c>
      <c r="B2410" s="200"/>
      <c r="C2410" s="178"/>
      <c r="D2410" s="178"/>
      <c r="E2410" s="227"/>
      <c r="F2410" s="180"/>
      <c r="G2410" s="181"/>
      <c r="H2410" s="182"/>
      <c r="I2410" s="182"/>
      <c r="J2410" s="182"/>
      <c r="K2410" s="183"/>
      <c r="L2410" s="182"/>
      <c r="M2410" s="182"/>
      <c r="N2410" s="182"/>
      <c r="O2410" s="183"/>
      <c r="P2410" s="183"/>
      <c r="Q2410" s="183"/>
      <c r="R2410" s="183"/>
      <c r="S2410" s="183"/>
      <c r="T2410" s="183"/>
      <c r="U2410" s="183"/>
      <c r="V2410" s="183"/>
      <c r="W2410" s="183"/>
      <c r="X2410" s="183"/>
      <c r="Y2410" s="184"/>
      <c r="Z2410" s="185"/>
      <c r="AA2410" s="185"/>
      <c r="AB2410" s="185"/>
      <c r="AC2410" s="185"/>
      <c r="AD2410" s="649"/>
      <c r="AE2410" s="182"/>
      <c r="AF2410" s="332"/>
      <c r="AG2410" s="182"/>
      <c r="AH2410" s="182"/>
      <c r="AI2410" s="182"/>
      <c r="AJ2410" s="640"/>
      <c r="AK2410" s="182"/>
      <c r="AL2410" s="496">
        <f t="shared" si="813"/>
        <v>0</v>
      </c>
      <c r="AM2410" s="496">
        <f t="shared" si="820"/>
        <v>0</v>
      </c>
      <c r="AN2410" s="626"/>
      <c r="AO2410" s="182"/>
      <c r="AP2410" s="182"/>
      <c r="AQ2410" s="332" t="str">
        <f>UPPER(RIGHT(Journal_Live[[#This Row],[DURATION ]]))</f>
        <v/>
      </c>
      <c r="AR2410" s="182"/>
      <c r="AS2410" s="189"/>
      <c r="AT2410" s="189">
        <f t="shared" si="821"/>
        <v>0</v>
      </c>
      <c r="AU2410" s="187">
        <f t="shared" si="822"/>
        <v>0</v>
      </c>
      <c r="AV2410" s="190">
        <f t="shared" si="814"/>
        <v>0</v>
      </c>
      <c r="AW2410" s="191"/>
      <c r="AX2410" s="549" t="s">
        <v>7488</v>
      </c>
      <c r="AY2410" s="549" t="s">
        <v>7539</v>
      </c>
      <c r="AZ2410" s="549" t="s">
        <v>7540</v>
      </c>
      <c r="BA2410" s="549" t="s">
        <v>7541</v>
      </c>
      <c r="BB2410" s="549" t="s">
        <v>7542</v>
      </c>
      <c r="BC2410" s="549" t="s">
        <v>7543</v>
      </c>
      <c r="BD2410" s="549"/>
      <c r="BE2410" s="550"/>
      <c r="BF2410" s="549"/>
      <c r="BG2410" s="391">
        <f>SUM($AV$1389:AV2410)</f>
        <v>6667.0742007024137</v>
      </c>
      <c r="BH2410" s="392">
        <f>SUM($AU$1389:AU2410)</f>
        <v>38144.903836162965</v>
      </c>
      <c r="BI2410" s="318">
        <f>SUMIFS($AU$1388:AU2618,$Q$1388:Q2618,"F")</f>
        <v>27110.758121878131</v>
      </c>
      <c r="BJ2410" s="318">
        <f>SUMIFS($AU$1388:AU2411,$Q$1388:Q2411,"S")</f>
        <v>15874.285714285717</v>
      </c>
      <c r="BK2410" s="343">
        <f>SUMIFS($AU$1388:AU2618,$P$1388:P2618,"W")</f>
        <v>14245.423836163525</v>
      </c>
      <c r="BL2410" s="343">
        <f>SUMIFS($AU$1388:AU2618,$P$1388:P2618,"R")</f>
        <v>21038.800000000316</v>
      </c>
      <c r="BM2410" s="343">
        <f>SUMIFS($AU$1388:AU2618,$AQ$1388:AQ2618,"M")</f>
        <v>8785.3799999984803</v>
      </c>
      <c r="BN2410" s="343">
        <f>SUMIFS($AU$1388:AU2618,$AQ$1388:AQ2618,"H")</f>
        <v>14526.200000000817</v>
      </c>
      <c r="BO2410" s="343">
        <f>SUMIFS($AU$1388:AU2618,$AQ$1388:AQ2618,"D")</f>
        <v>5755.5774725271895</v>
      </c>
      <c r="BP2410" s="343">
        <f>SUMIFS($AS$1388:AS2706,$AO$1388:AO2706,"W")</f>
        <v>0</v>
      </c>
      <c r="BQ2410" s="343">
        <f>SUMIFS($AU$1388:AU2618,$Q$1388:Q2618,"O")</f>
        <v>-10432.940000000743</v>
      </c>
      <c r="BR2410" s="343">
        <f>SUMIFS($AU$1388:AU2618,$AA$1388:AA2618,"*")</f>
        <v>34509.202077921196</v>
      </c>
      <c r="BS2410" s="343">
        <f>SUMIFS($AU$1388:AU2618,$AB$1388:AB2618,"*")</f>
        <v>6553.859999999815</v>
      </c>
      <c r="BT2410" s="343">
        <f>SUMIFS($AU$1388:AU2618,$AC$1388:AC2618,"*")</f>
        <v>28096.358121878111</v>
      </c>
      <c r="BU2410" s="343">
        <f>SUMIFS($AU$1388:AU2618,$AA$1388:AA2618,"*",$AB$1388:AB2618,"*")</f>
        <v>7397.9999999995107</v>
      </c>
      <c r="BV2410" s="343">
        <f>SUMIFS($AU$1388:AU2618,$AA$1388:AA2618,"*",$AC$1388:AC2618,"*")</f>
        <v>25869.316363636532</v>
      </c>
      <c r="BW2410" s="343">
        <f>SUMIFS($AU$1388:AU2618,$AB$1388:AB2618,"*",$AC$1388:AC2618,"*")</f>
        <v>3595.199999999998</v>
      </c>
      <c r="BX2410" s="343">
        <f>SUMIFS($AV$1388:AV2618,$Q$1388:Q2618,"F")</f>
        <v>343.49922313274095</v>
      </c>
      <c r="BY2410" s="343">
        <f>SUMIFS($AV$1388:AV2618,$Q$1388:Q2618,"S")</f>
        <v>690.47424422080383</v>
      </c>
      <c r="BZ2410" s="343">
        <f>SUMIFS($AV$1388:AV2618,$Q$1388:Q2618,"O")</f>
        <v>121.16596666627566</v>
      </c>
    </row>
    <row r="2411" spans="1:78" ht="15.75" customHeight="1">
      <c r="A2411" s="177" t="s">
        <v>7465</v>
      </c>
      <c r="B2411" s="200"/>
      <c r="C2411" s="178"/>
      <c r="D2411" s="178"/>
      <c r="E2411" s="227"/>
      <c r="F2411" s="180"/>
      <c r="G2411" s="181"/>
      <c r="H2411" s="182"/>
      <c r="I2411" s="182"/>
      <c r="J2411" s="182"/>
      <c r="K2411" s="183"/>
      <c r="L2411" s="182"/>
      <c r="M2411" s="182"/>
      <c r="N2411" s="182"/>
      <c r="O2411" s="183"/>
      <c r="P2411" s="183"/>
      <c r="Q2411" s="183"/>
      <c r="R2411" s="183"/>
      <c r="S2411" s="183"/>
      <c r="T2411" s="183"/>
      <c r="U2411" s="183"/>
      <c r="V2411" s="183"/>
      <c r="W2411" s="183"/>
      <c r="X2411" s="183"/>
      <c r="Y2411" s="184"/>
      <c r="Z2411" s="185"/>
      <c r="AA2411" s="185"/>
      <c r="AB2411" s="185"/>
      <c r="AC2411" s="185"/>
      <c r="AD2411" s="649"/>
      <c r="AE2411" s="182"/>
      <c r="AF2411" s="332"/>
      <c r="AG2411" s="182"/>
      <c r="AH2411" s="182"/>
      <c r="AI2411" s="182"/>
      <c r="AJ2411" s="640"/>
      <c r="AK2411" s="182"/>
      <c r="AL2411" s="496">
        <f t="shared" si="813"/>
        <v>0</v>
      </c>
      <c r="AM2411" s="496">
        <f t="shared" si="820"/>
        <v>0</v>
      </c>
      <c r="AN2411" s="626"/>
      <c r="AO2411" s="182"/>
      <c r="AP2411" s="182"/>
      <c r="AQ2411" s="332" t="str">
        <f>UPPER(RIGHT(Journal_Live[[#This Row],[DURATION ]]))</f>
        <v/>
      </c>
      <c r="AR2411" s="182"/>
      <c r="AS2411" s="189"/>
      <c r="AT2411" s="189">
        <f t="shared" si="821"/>
        <v>0</v>
      </c>
      <c r="AU2411" s="187">
        <f t="shared" si="822"/>
        <v>0</v>
      </c>
      <c r="AV2411" s="190">
        <f t="shared" si="814"/>
        <v>0</v>
      </c>
      <c r="AW2411" s="191"/>
      <c r="AX2411" s="549" t="s">
        <v>7467</v>
      </c>
      <c r="AY2411" s="549" t="s">
        <v>7544</v>
      </c>
      <c r="AZ2411" s="549" t="s">
        <v>7539</v>
      </c>
      <c r="BA2411" s="549" t="s">
        <v>7545</v>
      </c>
      <c r="BB2411" s="549" t="s">
        <v>7541</v>
      </c>
      <c r="BC2411" s="549" t="s">
        <v>7542</v>
      </c>
      <c r="BD2411" s="549"/>
      <c r="BE2411" s="550"/>
      <c r="BF2411" s="549"/>
      <c r="BG2411" s="391">
        <f>SUM($AV$1389:AV2411)</f>
        <v>6667.0742007024137</v>
      </c>
      <c r="BH2411" s="392">
        <f>SUM($AU$1389:AU2411)</f>
        <v>38144.903836162965</v>
      </c>
      <c r="BI2411" s="318">
        <f>SUMIFS($AU$1388:AU2619,$Q$1388:Q2619,"F")</f>
        <v>27110.758121878131</v>
      </c>
      <c r="BJ2411" s="318">
        <f>SUMIFS($AU$1388:AU2412,$Q$1388:Q2412,"S")</f>
        <v>15874.285714285717</v>
      </c>
      <c r="BK2411" s="343">
        <f>SUMIFS($AU$1388:AU2619,$P$1388:P2619,"W")</f>
        <v>14245.423836163525</v>
      </c>
      <c r="BL2411" s="343">
        <f>SUMIFS($AU$1388:AU2619,$P$1388:P2619,"R")</f>
        <v>21038.800000000316</v>
      </c>
      <c r="BM2411" s="343">
        <f>SUMIFS($AU$1388:AU2619,$AQ$1388:AQ2619,"M")</f>
        <v>8785.3799999984803</v>
      </c>
      <c r="BN2411" s="343">
        <f>SUMIFS($AU$1388:AU2619,$AQ$1388:AQ2619,"H")</f>
        <v>14526.200000000817</v>
      </c>
      <c r="BO2411" s="343">
        <f>SUMIFS($AU$1388:AU2619,$AQ$1388:AQ2619,"D")</f>
        <v>5755.5774725271895</v>
      </c>
      <c r="BP2411" s="343">
        <f>SUMIFS($AS$1388:AS2707,$AO$1388:AO2707,"W")</f>
        <v>0</v>
      </c>
      <c r="BQ2411" s="343">
        <f>SUMIFS($AU$1388:AU2619,$Q$1388:Q2619,"O")</f>
        <v>-10432.940000000743</v>
      </c>
      <c r="BR2411" s="343">
        <f>SUMIFS($AU$1388:AU2619,$AA$1388:AA2619,"*")</f>
        <v>34509.202077921196</v>
      </c>
      <c r="BS2411" s="343">
        <f>SUMIFS($AU$1388:AU2619,$AB$1388:AB2619,"*")</f>
        <v>6553.859999999815</v>
      </c>
      <c r="BT2411" s="343">
        <f>SUMIFS($AU$1388:AU2619,$AC$1388:AC2619,"*")</f>
        <v>28096.358121878111</v>
      </c>
      <c r="BU2411" s="343">
        <f>SUMIFS($AU$1388:AU2619,$AA$1388:AA2619,"*",$AB$1388:AB2619,"*")</f>
        <v>7397.9999999995107</v>
      </c>
      <c r="BV2411" s="343">
        <f>SUMIFS($AU$1388:AU2619,$AA$1388:AA2619,"*",$AC$1388:AC2619,"*")</f>
        <v>25869.316363636532</v>
      </c>
      <c r="BW2411" s="343">
        <f>SUMIFS($AU$1388:AU2619,$AB$1388:AB2619,"*",$AC$1388:AC2619,"*")</f>
        <v>3595.199999999998</v>
      </c>
      <c r="BX2411" s="343">
        <f>SUMIFS($AV$1388:AV2619,$Q$1388:Q2619,"F")</f>
        <v>343.49922313274095</v>
      </c>
      <c r="BY2411" s="343">
        <f>SUMIFS($AV$1388:AV2619,$Q$1388:Q2619,"S")</f>
        <v>690.47424422080383</v>
      </c>
      <c r="BZ2411" s="343">
        <f>SUMIFS($AV$1388:AV2619,$Q$1388:Q2619,"O")</f>
        <v>121.16596666627566</v>
      </c>
    </row>
    <row r="2412" spans="1:78" ht="15.75" customHeight="1">
      <c r="A2412" s="177" t="s">
        <v>7465</v>
      </c>
      <c r="B2412" s="200">
        <v>45511</v>
      </c>
      <c r="C2412" s="178" t="s">
        <v>7546</v>
      </c>
      <c r="D2412" s="178" t="s">
        <v>151</v>
      </c>
      <c r="E2412" s="227"/>
      <c r="F2412" s="180"/>
      <c r="G2412" s="553" t="s">
        <v>7547</v>
      </c>
      <c r="H2412" s="182"/>
      <c r="I2412" s="182"/>
      <c r="J2412" s="182"/>
      <c r="K2412" s="183"/>
      <c r="L2412" s="182">
        <v>1</v>
      </c>
      <c r="M2412" s="182"/>
      <c r="N2412" s="182"/>
      <c r="O2412" s="183" t="s">
        <v>95</v>
      </c>
      <c r="P2412" s="183" t="s">
        <v>137</v>
      </c>
      <c r="Q2412" s="183" t="s">
        <v>97</v>
      </c>
      <c r="R2412" s="183">
        <v>2</v>
      </c>
      <c r="S2412" s="183">
        <v>0</v>
      </c>
      <c r="T2412" s="183">
        <v>2</v>
      </c>
      <c r="U2412" s="183" t="s">
        <v>22</v>
      </c>
      <c r="V2412" s="183" t="s">
        <v>7349</v>
      </c>
      <c r="W2412" s="183" t="s">
        <v>7548</v>
      </c>
      <c r="X2412" s="183"/>
      <c r="Y2412" s="184">
        <f>IF(ISBLANK(O2412),"",(IF(O2412=UPPER("IB"),0.005,0.01)))</f>
        <v>0.01</v>
      </c>
      <c r="Z2412" s="185">
        <f>IF(ISBLANK(O2412),"",IF(O2412="IB",8.63*200,IF(O2412="IR",16*100,IF(O2412="YT",20*100,IF(O2412="YT-XT",24*200,IF(O2412="TED",80*100,IF(O2412="XT",29*200)))))))</f>
        <v>1600</v>
      </c>
      <c r="AA2412" s="185" t="s">
        <v>7549</v>
      </c>
      <c r="AB2412" s="185"/>
      <c r="AC2412" s="185"/>
      <c r="AD2412" s="649">
        <v>-0.09</v>
      </c>
      <c r="AE2412" s="182"/>
      <c r="AF2412" s="332"/>
      <c r="AG2412" s="182"/>
      <c r="AH2412" s="182"/>
      <c r="AI2412" s="182"/>
      <c r="AJ2412" s="640" t="s">
        <v>7550</v>
      </c>
      <c r="AK2412" s="182"/>
      <c r="AL2412" s="496">
        <f t="shared" si="813"/>
        <v>-32</v>
      </c>
      <c r="AM2412" s="496">
        <f t="shared" si="820"/>
        <v>-64</v>
      </c>
      <c r="AN2412" s="626"/>
      <c r="AO2412" s="182"/>
      <c r="AP2412" s="182"/>
      <c r="AQ2412" s="332" t="s">
        <v>372</v>
      </c>
      <c r="AR2412" s="182"/>
      <c r="AS2412" s="189">
        <v>-0.09</v>
      </c>
      <c r="AT2412" s="189">
        <f t="shared" si="821"/>
        <v>0</v>
      </c>
      <c r="AU2412" s="187">
        <f t="shared" si="822"/>
        <v>0</v>
      </c>
      <c r="AV2412" s="190">
        <f t="shared" si="814"/>
        <v>0</v>
      </c>
      <c r="AW2412" s="191" t="s">
        <v>115</v>
      </c>
      <c r="AX2412" s="549"/>
      <c r="AY2412" s="549"/>
      <c r="AZ2412" s="549"/>
      <c r="BA2412" s="549"/>
      <c r="BB2412" s="551"/>
      <c r="BC2412" s="551"/>
      <c r="BD2412" s="549"/>
      <c r="BE2412" s="550"/>
      <c r="BF2412" s="549"/>
      <c r="BG2412" s="391">
        <f>SUM($AV$1389:AV2412)</f>
        <v>6667.0742007024137</v>
      </c>
      <c r="BH2412" s="392">
        <f>SUM($AU$1389:AU2412)</f>
        <v>38144.903836162965</v>
      </c>
      <c r="BI2412" s="318">
        <f>SUMIFS($AU$1388:AU2620,$Q$1388:Q2620,"F")</f>
        <v>27110.758121878131</v>
      </c>
      <c r="BJ2412" s="318">
        <f>SUMIFS($AU$1388:AU2413,$Q$1388:Q2413,"S")</f>
        <v>15778.285714285717</v>
      </c>
      <c r="BK2412" s="343">
        <f>SUMIFS($AU$1388:AU2620,$P$1388:P2620,"W")</f>
        <v>14245.423836163525</v>
      </c>
      <c r="BL2412" s="343">
        <f>SUMIFS($AU$1388:AU2620,$P$1388:P2620,"R")</f>
        <v>21038.800000000316</v>
      </c>
      <c r="BM2412" s="343">
        <f>SUMIFS($AU$1388:AU2620,$AQ$1388:AQ2620,"M")</f>
        <v>8785.3799999984803</v>
      </c>
      <c r="BN2412" s="343">
        <f>SUMIFS($AU$1388:AU2620,$AQ$1388:AQ2620,"H")</f>
        <v>14526.200000000817</v>
      </c>
      <c r="BO2412" s="343">
        <f>SUMIFS($AU$1388:AU2620,$AQ$1388:AQ2620,"D")</f>
        <v>5755.5774725271895</v>
      </c>
      <c r="BP2412" s="343">
        <f>SUMIFS($AS$1388:AS2708,$AO$1388:AO2708,"W")</f>
        <v>0</v>
      </c>
      <c r="BQ2412" s="343">
        <f>SUMIFS($AU$1388:AU2620,$Q$1388:Q2620,"O")</f>
        <v>-10432.940000000743</v>
      </c>
      <c r="BR2412" s="343">
        <f>SUMIFS($AU$1388:AU2620,$AA$1388:AA2620,"*")</f>
        <v>34509.202077921196</v>
      </c>
      <c r="BS2412" s="343">
        <f>SUMIFS($AU$1388:AU2620,$AB$1388:AB2620,"*")</f>
        <v>6553.859999999815</v>
      </c>
      <c r="BT2412" s="343">
        <f>SUMIFS($AU$1388:AU2620,$AC$1388:AC2620,"*")</f>
        <v>28096.358121878111</v>
      </c>
      <c r="BU2412" s="343">
        <f>SUMIFS($AU$1388:AU2620,$AA$1388:AA2620,"*",$AB$1388:AB2620,"*")</f>
        <v>7397.9999999995107</v>
      </c>
      <c r="BV2412" s="343">
        <f>SUMIFS($AU$1388:AU2620,$AA$1388:AA2620,"*",$AC$1388:AC2620,"*")</f>
        <v>25869.316363636532</v>
      </c>
      <c r="BW2412" s="343">
        <f>SUMIFS($AU$1388:AU2620,$AB$1388:AB2620,"*",$AC$1388:AC2620,"*")</f>
        <v>3595.199999999998</v>
      </c>
      <c r="BX2412" s="343">
        <f>SUMIFS($AV$1388:AV2620,$Q$1388:Q2620,"F")</f>
        <v>343.49922313274095</v>
      </c>
      <c r="BY2412" s="343">
        <f>SUMIFS($AV$1388:AV2620,$Q$1388:Q2620,"S")</f>
        <v>690.47424422080383</v>
      </c>
      <c r="BZ2412" s="343">
        <f>SUMIFS($AV$1388:AV2620,$Q$1388:Q2620,"O")</f>
        <v>121.16596666627566</v>
      </c>
    </row>
    <row r="2413" spans="1:78" ht="15.75" customHeight="1">
      <c r="A2413" s="177" t="s">
        <v>7465</v>
      </c>
      <c r="B2413" s="200">
        <v>45511</v>
      </c>
      <c r="C2413" s="178" t="s">
        <v>3414</v>
      </c>
      <c r="D2413" s="178" t="s">
        <v>151</v>
      </c>
      <c r="E2413" s="227"/>
      <c r="F2413" s="180"/>
      <c r="G2413" s="553" t="s">
        <v>2070</v>
      </c>
      <c r="H2413" s="182"/>
      <c r="I2413" s="182"/>
      <c r="J2413" s="182"/>
      <c r="K2413" s="183"/>
      <c r="L2413" s="182">
        <v>1</v>
      </c>
      <c r="M2413" s="182"/>
      <c r="N2413" s="182"/>
      <c r="O2413" s="183" t="s">
        <v>95</v>
      </c>
      <c r="P2413" s="183" t="s">
        <v>96</v>
      </c>
      <c r="Q2413" s="183" t="s">
        <v>97</v>
      </c>
      <c r="R2413" s="183">
        <v>6</v>
      </c>
      <c r="S2413" s="183">
        <v>0</v>
      </c>
      <c r="T2413" s="183">
        <v>3</v>
      </c>
      <c r="U2413" s="183" t="s">
        <v>97</v>
      </c>
      <c r="V2413" s="183" t="s">
        <v>7349</v>
      </c>
      <c r="W2413" s="183" t="s">
        <v>7548</v>
      </c>
      <c r="X2413" s="183" t="s">
        <v>7488</v>
      </c>
      <c r="Y2413" s="184">
        <f>IF(ISBLANK(O2413),"",(IF(O2413=UPPER("IB"),0.005,0.01)))</f>
        <v>0.01</v>
      </c>
      <c r="Z2413" s="185">
        <f>IF(ISBLANK(O2413),"",IF(O2413="IB",8.63*200,IF(O2413="IR",16*100,IF(O2413="YT",20*100,IF(O2413="YT-XT",24*200,IF(O2413="TED",80*100,IF(O2413="XT",29*200)))))))</f>
        <v>1600</v>
      </c>
      <c r="AA2413" s="185" t="s">
        <v>7551</v>
      </c>
      <c r="AB2413" s="185"/>
      <c r="AC2413" s="185"/>
      <c r="AD2413" s="649">
        <v>-0.23</v>
      </c>
      <c r="AE2413" s="182"/>
      <c r="AF2413" s="332"/>
      <c r="AG2413" s="182"/>
      <c r="AH2413" s="182"/>
      <c r="AI2413" s="182"/>
      <c r="AJ2413" s="640"/>
      <c r="AK2413" s="182"/>
      <c r="AL2413" s="496">
        <f t="shared" si="813"/>
        <v>-32</v>
      </c>
      <c r="AM2413" s="496">
        <f t="shared" si="820"/>
        <v>-192</v>
      </c>
      <c r="AN2413" s="626"/>
      <c r="AO2413" s="182"/>
      <c r="AP2413" s="182"/>
      <c r="AQ2413" s="332" t="s">
        <v>372</v>
      </c>
      <c r="AR2413" s="182"/>
      <c r="AS2413" s="189">
        <v>-0.22</v>
      </c>
      <c r="AT2413" s="189">
        <f t="shared" si="821"/>
        <v>-1.0000000000000009E-2</v>
      </c>
      <c r="AU2413" s="187">
        <f t="shared" si="822"/>
        <v>-96.000000000000085</v>
      </c>
      <c r="AV2413" s="190">
        <f t="shared" si="814"/>
        <v>-16.000000000000014</v>
      </c>
      <c r="AW2413" s="191" t="s">
        <v>229</v>
      </c>
      <c r="AX2413" s="549" t="s">
        <v>2564</v>
      </c>
      <c r="AY2413" s="549"/>
      <c r="AZ2413" s="549"/>
      <c r="BA2413" s="549"/>
      <c r="BB2413" s="551"/>
      <c r="BC2413" s="551"/>
      <c r="BD2413" s="549"/>
      <c r="BE2413" s="550"/>
      <c r="BF2413" s="549"/>
      <c r="BG2413" s="391">
        <f>SUM($AV$1389:AV2413)</f>
        <v>6651.0742007024137</v>
      </c>
      <c r="BH2413" s="392">
        <f>SUM($AU$1389:AU2413)</f>
        <v>38048.903836162965</v>
      </c>
      <c r="BI2413" s="318">
        <f>SUMIFS($AU$1388:AU2621,$Q$1388:Q2621,"F")</f>
        <v>27110.758121878131</v>
      </c>
      <c r="BJ2413" s="318">
        <f>SUMIFS($AU$1388:AU2414,$Q$1388:Q2414,"S")</f>
        <v>15650.285714285717</v>
      </c>
      <c r="BK2413" s="343">
        <f>SUMIFS($AU$1388:AU2621,$P$1388:P2621,"W")</f>
        <v>14245.423836163525</v>
      </c>
      <c r="BL2413" s="343">
        <f>SUMIFS($AU$1388:AU2621,$P$1388:P2621,"R")</f>
        <v>21038.800000000316</v>
      </c>
      <c r="BM2413" s="343">
        <f>SUMIFS($AU$1388:AU2621,$AQ$1388:AQ2621,"M")</f>
        <v>8785.3799999984803</v>
      </c>
      <c r="BN2413" s="343">
        <f>SUMIFS($AU$1388:AU2621,$AQ$1388:AQ2621,"H")</f>
        <v>14526.200000000817</v>
      </c>
      <c r="BO2413" s="343">
        <f>SUMIFS($AU$1388:AU2621,$AQ$1388:AQ2621,"D")</f>
        <v>5755.5774725271895</v>
      </c>
      <c r="BP2413" s="343">
        <f>SUMIFS($AS$1388:AS2709,$AO$1388:AO2709,"W")</f>
        <v>0</v>
      </c>
      <c r="BQ2413" s="343">
        <f>SUMIFS($AU$1388:AU2621,$Q$1388:Q2621,"O")</f>
        <v>-10432.940000000743</v>
      </c>
      <c r="BR2413" s="343">
        <f>SUMIFS($AU$1388:AU2621,$AA$1388:AA2621,"*")</f>
        <v>34509.202077921196</v>
      </c>
      <c r="BS2413" s="343">
        <f>SUMIFS($AU$1388:AU2621,$AB$1388:AB2621,"*")</f>
        <v>6553.859999999815</v>
      </c>
      <c r="BT2413" s="343">
        <f>SUMIFS($AU$1388:AU2621,$AC$1388:AC2621,"*")</f>
        <v>28096.358121878111</v>
      </c>
      <c r="BU2413" s="343">
        <f>SUMIFS($AU$1388:AU2621,$AA$1388:AA2621,"*",$AB$1388:AB2621,"*")</f>
        <v>7397.9999999995107</v>
      </c>
      <c r="BV2413" s="343">
        <f>SUMIFS($AU$1388:AU2621,$AA$1388:AA2621,"*",$AC$1388:AC2621,"*")</f>
        <v>25869.316363636532</v>
      </c>
      <c r="BW2413" s="343">
        <f>SUMIFS($AU$1388:AU2621,$AB$1388:AB2621,"*",$AC$1388:AC2621,"*")</f>
        <v>3595.199999999998</v>
      </c>
      <c r="BX2413" s="343">
        <f>SUMIFS($AV$1388:AV2621,$Q$1388:Q2621,"F")</f>
        <v>343.49922313274095</v>
      </c>
      <c r="BY2413" s="343">
        <f>SUMIFS($AV$1388:AV2621,$Q$1388:Q2621,"S")</f>
        <v>690.47424422080383</v>
      </c>
      <c r="BZ2413" s="343">
        <f>SUMIFS($AV$1388:AV2621,$Q$1388:Q2621,"O")</f>
        <v>121.16596666627566</v>
      </c>
    </row>
    <row r="2414" spans="1:78" ht="15.75" customHeight="1">
      <c r="A2414" s="177" t="s">
        <v>7465</v>
      </c>
      <c r="B2414" s="200">
        <v>45511</v>
      </c>
      <c r="C2414" s="178" t="s">
        <v>3414</v>
      </c>
      <c r="D2414" s="178" t="s">
        <v>151</v>
      </c>
      <c r="E2414" s="227"/>
      <c r="F2414" s="180"/>
      <c r="G2414" s="553" t="s">
        <v>2942</v>
      </c>
      <c r="H2414" s="182"/>
      <c r="I2414" s="182"/>
      <c r="J2414" s="182"/>
      <c r="K2414" s="183"/>
      <c r="L2414" s="182">
        <v>1</v>
      </c>
      <c r="M2414" s="182"/>
      <c r="N2414" s="182"/>
      <c r="O2414" s="183" t="s">
        <v>95</v>
      </c>
      <c r="P2414" s="183" t="s">
        <v>96</v>
      </c>
      <c r="Q2414" s="183" t="s">
        <v>97</v>
      </c>
      <c r="R2414" s="183">
        <v>4</v>
      </c>
      <c r="S2414" s="183">
        <v>0</v>
      </c>
      <c r="T2414" s="183">
        <v>4</v>
      </c>
      <c r="U2414" s="183" t="s">
        <v>97</v>
      </c>
      <c r="V2414" s="183" t="s">
        <v>7349</v>
      </c>
      <c r="W2414" s="183" t="s">
        <v>7548</v>
      </c>
      <c r="X2414" s="183" t="s">
        <v>7488</v>
      </c>
      <c r="Y2414" s="184">
        <f>IF(ISBLANK(O2414),"",(IF(O2414=UPPER("IB"),0.005,0.01)))</f>
        <v>0.01</v>
      </c>
      <c r="Z2414" s="185">
        <f>IF(ISBLANK(O2414),"",IF(O2414="IB",8.63*200,IF(O2414="IR",16*100,IF(O2414="YT",20*100,IF(O2414="YT-XT",24*200,IF(O2414="TED",80*100,IF(O2414="XT",29*200)))))))</f>
        <v>1600</v>
      </c>
      <c r="AA2414" s="185" t="s">
        <v>7552</v>
      </c>
      <c r="AB2414" s="185"/>
      <c r="AC2414" s="185"/>
      <c r="AD2414" s="649">
        <v>-0.18</v>
      </c>
      <c r="AE2414" s="182"/>
      <c r="AF2414" s="332"/>
      <c r="AG2414" s="182"/>
      <c r="AH2414" s="182"/>
      <c r="AI2414" s="182"/>
      <c r="AJ2414" s="640" t="s">
        <v>7553</v>
      </c>
      <c r="AK2414" s="182"/>
      <c r="AL2414" s="496">
        <f t="shared" si="813"/>
        <v>-32</v>
      </c>
      <c r="AM2414" s="496">
        <f t="shared" si="820"/>
        <v>-128</v>
      </c>
      <c r="AN2414" s="626"/>
      <c r="AO2414" s="182"/>
      <c r="AP2414" s="182"/>
      <c r="AQ2414" s="332" t="s">
        <v>372</v>
      </c>
      <c r="AR2414" s="182"/>
      <c r="AS2414" s="189">
        <v>-0.16</v>
      </c>
      <c r="AT2414" s="189">
        <f t="shared" si="821"/>
        <v>-1.999999999999999E-2</v>
      </c>
      <c r="AU2414" s="187">
        <f t="shared" si="822"/>
        <v>-127.99999999999994</v>
      </c>
      <c r="AV2414" s="190">
        <f t="shared" si="814"/>
        <v>-31.999999999999986</v>
      </c>
      <c r="AW2414" s="191" t="s">
        <v>229</v>
      </c>
      <c r="AX2414" s="549"/>
      <c r="AY2414" s="549"/>
      <c r="AZ2414" s="549"/>
      <c r="BA2414" s="549"/>
      <c r="BB2414" s="551"/>
      <c r="BC2414" s="551"/>
      <c r="BD2414" s="549"/>
      <c r="BE2414" s="550"/>
      <c r="BF2414" s="549"/>
      <c r="BG2414" s="391">
        <f>SUM($AV$1389:AV2414)</f>
        <v>6619.0742007024137</v>
      </c>
      <c r="BH2414" s="392">
        <f>SUM($AU$1389:AU2414)</f>
        <v>37920.903836162965</v>
      </c>
      <c r="BI2414" s="318">
        <f>SUMIFS($AU$1388:AU2622,$Q$1388:Q2622,"F")</f>
        <v>27110.758121878131</v>
      </c>
      <c r="BJ2414" s="318">
        <f>SUMIFS($AU$1388:AU2415,$Q$1388:Q2415,"S")</f>
        <v>15650.285714285717</v>
      </c>
      <c r="BK2414" s="343">
        <f>SUMIFS($AU$1388:AU2622,$P$1388:P2622,"W")</f>
        <v>14245.423836163525</v>
      </c>
      <c r="BL2414" s="343">
        <f>SUMIFS($AU$1388:AU2622,$P$1388:P2622,"R")</f>
        <v>21038.800000000316</v>
      </c>
      <c r="BM2414" s="343">
        <f>SUMIFS($AU$1388:AU2622,$AQ$1388:AQ2622,"M")</f>
        <v>8785.3799999984803</v>
      </c>
      <c r="BN2414" s="343">
        <f>SUMIFS($AU$1388:AU2622,$AQ$1388:AQ2622,"H")</f>
        <v>14526.200000000817</v>
      </c>
      <c r="BO2414" s="343">
        <f>SUMIFS($AU$1388:AU2622,$AQ$1388:AQ2622,"D")</f>
        <v>5755.5774725271895</v>
      </c>
      <c r="BP2414" s="343">
        <f>SUMIFS($AS$1388:AS2710,$AO$1388:AO2710,"W")</f>
        <v>0</v>
      </c>
      <c r="BQ2414" s="343">
        <f>SUMIFS($AU$1388:AU2622,$Q$1388:Q2622,"O")</f>
        <v>-10432.940000000743</v>
      </c>
      <c r="BR2414" s="343">
        <f>SUMIFS($AU$1388:AU2622,$AA$1388:AA2622,"*")</f>
        <v>34509.202077921196</v>
      </c>
      <c r="BS2414" s="343">
        <f>SUMIFS($AU$1388:AU2622,$AB$1388:AB2622,"*")</f>
        <v>6553.859999999815</v>
      </c>
      <c r="BT2414" s="343">
        <f>SUMIFS($AU$1388:AU2622,$AC$1388:AC2622,"*")</f>
        <v>28096.358121878111</v>
      </c>
      <c r="BU2414" s="343">
        <f>SUMIFS($AU$1388:AU2622,$AA$1388:AA2622,"*",$AB$1388:AB2622,"*")</f>
        <v>7397.9999999995107</v>
      </c>
      <c r="BV2414" s="343">
        <f>SUMIFS($AU$1388:AU2622,$AA$1388:AA2622,"*",$AC$1388:AC2622,"*")</f>
        <v>25869.316363636532</v>
      </c>
      <c r="BW2414" s="343">
        <f>SUMIFS($AU$1388:AU2622,$AB$1388:AB2622,"*",$AC$1388:AC2622,"*")</f>
        <v>3595.199999999998</v>
      </c>
      <c r="BX2414" s="343">
        <f>SUMIFS($AV$1388:AV2622,$Q$1388:Q2622,"F")</f>
        <v>343.49922313274095</v>
      </c>
      <c r="BY2414" s="343">
        <f>SUMIFS($AV$1388:AV2622,$Q$1388:Q2622,"S")</f>
        <v>690.47424422080383</v>
      </c>
      <c r="BZ2414" s="343">
        <f>SUMIFS($AV$1388:AV2622,$Q$1388:Q2622,"O")</f>
        <v>121.16596666627566</v>
      </c>
    </row>
    <row r="2415" spans="1:78" ht="15.75" customHeight="1">
      <c r="A2415" s="177" t="s">
        <v>7465</v>
      </c>
      <c r="B2415" s="200"/>
      <c r="C2415" s="178"/>
      <c r="D2415" s="178"/>
      <c r="E2415" s="227"/>
      <c r="F2415" s="180"/>
      <c r="G2415" s="181"/>
      <c r="H2415" s="182"/>
      <c r="I2415" s="182"/>
      <c r="J2415" s="182"/>
      <c r="K2415" s="183"/>
      <c r="L2415" s="182"/>
      <c r="M2415" s="182"/>
      <c r="N2415" s="182"/>
      <c r="O2415" s="183"/>
      <c r="P2415" s="183"/>
      <c r="Q2415" s="183"/>
      <c r="R2415" s="183"/>
      <c r="S2415" s="183"/>
      <c r="T2415" s="183"/>
      <c r="U2415" s="183"/>
      <c r="V2415" s="183"/>
      <c r="W2415" s="183"/>
      <c r="X2415" s="183"/>
      <c r="Y2415" s="183"/>
      <c r="Z2415" s="183"/>
      <c r="AA2415" s="185"/>
      <c r="AB2415" s="185"/>
      <c r="AC2415" s="185"/>
      <c r="AD2415" s="649"/>
      <c r="AE2415" s="182"/>
      <c r="AF2415" s="332"/>
      <c r="AG2415" s="182"/>
      <c r="AH2415" s="182"/>
      <c r="AI2415" s="182"/>
      <c r="AJ2415" s="640"/>
      <c r="AK2415" s="182"/>
      <c r="AL2415" s="496">
        <f t="shared" si="813"/>
        <v>0</v>
      </c>
      <c r="AM2415" s="496">
        <f t="shared" si="820"/>
        <v>0</v>
      </c>
      <c r="AN2415" s="626"/>
      <c r="AO2415" s="182"/>
      <c r="AP2415" s="182"/>
      <c r="AQ2415" s="332" t="str">
        <f>UPPER(RIGHT(Journal_Live[[#This Row],[DURATION ]]))</f>
        <v/>
      </c>
      <c r="AR2415" s="182"/>
      <c r="AS2415" s="189"/>
      <c r="AT2415" s="189">
        <f t="shared" si="821"/>
        <v>0</v>
      </c>
      <c r="AU2415" s="187">
        <f t="shared" si="822"/>
        <v>0</v>
      </c>
      <c r="AV2415" s="190">
        <f t="shared" si="814"/>
        <v>0</v>
      </c>
      <c r="AW2415" s="191"/>
      <c r="AX2415" s="549" t="s">
        <v>5924</v>
      </c>
      <c r="AY2415" s="637" t="s">
        <v>7554</v>
      </c>
      <c r="AZ2415" s="637" t="s">
        <v>7555</v>
      </c>
      <c r="BA2415" s="637" t="s">
        <v>7556</v>
      </c>
      <c r="BB2415" s="637" t="s">
        <v>7557</v>
      </c>
      <c r="BC2415" s="637" t="s">
        <v>7558</v>
      </c>
      <c r="BD2415" s="637" t="s">
        <v>7559</v>
      </c>
      <c r="BE2415" s="550" t="s">
        <v>7560</v>
      </c>
      <c r="BF2415" s="549"/>
      <c r="BG2415" s="391">
        <f>SUM($AV$1389:AV2415)</f>
        <v>6619.0742007024137</v>
      </c>
      <c r="BH2415" s="392">
        <f>SUM($AU$1389:AU2415)</f>
        <v>37920.903836162965</v>
      </c>
      <c r="BI2415" s="318">
        <f>SUMIFS($AU$1388:AU2623,$Q$1388:Q2623,"F")</f>
        <v>27110.758121878131</v>
      </c>
      <c r="BJ2415" s="318">
        <f>SUMIFS($AU$1388:AU2423,$Q$1388:Q2423,"S")</f>
        <v>15650.285714285717</v>
      </c>
      <c r="BK2415" s="343">
        <f>SUMIFS($AU$1388:AU2623,$P$1388:P2623,"W")</f>
        <v>14245.423836163525</v>
      </c>
      <c r="BL2415" s="343">
        <f>SUMIFS($AU$1388:AU2623,$P$1388:P2623,"R")</f>
        <v>21038.800000000316</v>
      </c>
      <c r="BM2415" s="343">
        <f>SUMIFS($AU$1388:AU2623,$AQ$1388:AQ2623,"M")</f>
        <v>8785.3799999984803</v>
      </c>
      <c r="BN2415" s="343">
        <f>SUMIFS($AU$1388:AU2623,$AQ$1388:AQ2623,"H")</f>
        <v>14526.200000000817</v>
      </c>
      <c r="BO2415" s="343">
        <f>SUMIFS($AU$1388:AU2623,$AQ$1388:AQ2623,"D")</f>
        <v>5755.5774725271895</v>
      </c>
      <c r="BP2415" s="343">
        <f>SUMIFS($AS$1388:AS2711,$AO$1388:AO2711,"W")</f>
        <v>0</v>
      </c>
      <c r="BQ2415" s="343">
        <f>SUMIFS($AU$1388:AU2623,$Q$1388:Q2623,"O")</f>
        <v>-10432.940000000743</v>
      </c>
      <c r="BR2415" s="343">
        <f>SUMIFS($AU$1388:AU2623,$AA$1388:AA2623,"*")</f>
        <v>34509.202077921196</v>
      </c>
      <c r="BS2415" s="343">
        <f>SUMIFS($AU$1388:AU2623,$AB$1388:AB2623,"*")</f>
        <v>6553.859999999815</v>
      </c>
      <c r="BT2415" s="343">
        <f>SUMIFS($AU$1388:AU2623,$AC$1388:AC2623,"*")</f>
        <v>28096.358121878111</v>
      </c>
      <c r="BU2415" s="343">
        <f>SUMIFS($AU$1388:AU2623,$AA$1388:AA2623,"*",$AB$1388:AB2623,"*")</f>
        <v>7397.9999999995107</v>
      </c>
      <c r="BV2415" s="343">
        <f>SUMIFS($AU$1388:AU2623,$AA$1388:AA2623,"*",$AC$1388:AC2623,"*")</f>
        <v>25869.316363636532</v>
      </c>
      <c r="BW2415" s="343">
        <f>SUMIFS($AU$1388:AU2623,$AB$1388:AB2623,"*",$AC$1388:AC2623,"*")</f>
        <v>3595.199999999998</v>
      </c>
      <c r="BX2415" s="343">
        <f>SUMIFS($AV$1388:AV2623,$Q$1388:Q2623,"F")</f>
        <v>343.49922313274095</v>
      </c>
      <c r="BY2415" s="343">
        <f>SUMIFS($AV$1388:AV2623,$Q$1388:Q2623,"S")</f>
        <v>690.47424422080383</v>
      </c>
      <c r="BZ2415" s="343">
        <f>SUMIFS($AV$1388:AV2623,$Q$1388:Q2623,"O")</f>
        <v>121.16596666627566</v>
      </c>
    </row>
    <row r="2416" spans="1:78" ht="15.75" customHeight="1">
      <c r="A2416" s="177" t="s">
        <v>7465</v>
      </c>
      <c r="B2416" s="200"/>
      <c r="C2416" s="178"/>
      <c r="D2416" s="178"/>
      <c r="E2416" s="227"/>
      <c r="F2416" s="180"/>
      <c r="G2416" s="181"/>
      <c r="H2416" s="182"/>
      <c r="I2416" s="182"/>
      <c r="J2416" s="182"/>
      <c r="K2416" s="183"/>
      <c r="L2416" s="182"/>
      <c r="M2416" s="182"/>
      <c r="N2416" s="182"/>
      <c r="O2416" s="183"/>
      <c r="P2416" s="183"/>
      <c r="Q2416" s="183"/>
      <c r="R2416" s="183"/>
      <c r="S2416" s="183"/>
      <c r="T2416" s="183"/>
      <c r="U2416" s="183"/>
      <c r="V2416" s="183"/>
      <c r="W2416" s="183"/>
      <c r="X2416" s="183"/>
      <c r="Y2416" s="183"/>
      <c r="Z2416" s="183"/>
      <c r="AA2416" s="185"/>
      <c r="AB2416" s="185"/>
      <c r="AC2416" s="185"/>
      <c r="AD2416" s="649"/>
      <c r="AE2416" s="182"/>
      <c r="AF2416" s="332"/>
      <c r="AG2416" s="182"/>
      <c r="AH2416" s="182"/>
      <c r="AI2416" s="182"/>
      <c r="AJ2416" s="640"/>
      <c r="AK2416" s="182"/>
      <c r="AL2416" s="496">
        <f t="shared" ref="AL2416:AL2422" si="823">-0.02*Z2416</f>
        <v>0</v>
      </c>
      <c r="AM2416" s="496">
        <f t="shared" ref="AM2416:AM2422" si="824">AL2416*(R2416-S2416)</f>
        <v>0</v>
      </c>
      <c r="AN2416" s="626"/>
      <c r="AO2416" s="182"/>
      <c r="AP2416" s="182"/>
      <c r="AQ2416" s="332" t="str">
        <f>UPPER(RIGHT(Journal_Live[[#This Row],[DURATION ]]))</f>
        <v/>
      </c>
      <c r="AR2416" s="182"/>
      <c r="AS2416" s="189"/>
      <c r="AT2416" s="189">
        <f t="shared" ref="AT2416:AT2422" si="825">IF(ISBLANK(AS2416),,IF(U2416="S",AD2416-AS2416,AS2416-AD2416))</f>
        <v>0</v>
      </c>
      <c r="AU2416" s="187">
        <f t="shared" ref="AU2416:AU2422" si="826">AV2416*R2416</f>
        <v>0</v>
      </c>
      <c r="AV2416" s="190">
        <f t="shared" ref="AV2416:AV2422" si="827">IF(ISBLANK(AS2416),,(AT2416*Z2416))</f>
        <v>0</v>
      </c>
      <c r="AW2416" s="191"/>
      <c r="AX2416" s="549" t="s">
        <v>7536</v>
      </c>
      <c r="AY2416" s="549" t="s">
        <v>7561</v>
      </c>
      <c r="AZ2416" s="549"/>
      <c r="BA2416" s="549"/>
      <c r="BB2416" s="551"/>
      <c r="BC2416" s="551"/>
      <c r="BD2416" s="549"/>
      <c r="BE2416" s="550"/>
      <c r="BF2416" s="549"/>
      <c r="BG2416" s="391">
        <f>SUM($AV$1389:AV2416)</f>
        <v>6619.0742007024137</v>
      </c>
      <c r="BH2416" s="392">
        <f>SUM($AU$1389:AU2416)</f>
        <v>37920.903836162965</v>
      </c>
      <c r="BI2416" s="318">
        <f>SUMIFS($AU$1388:AU2617,$Q$1388:Q2617,"F")</f>
        <v>27110.758121878131</v>
      </c>
      <c r="BJ2416" s="318">
        <f>SUMIFS($AU$1388:AU2417,$Q$1388:Q2417,"S")</f>
        <v>15650.285714285717</v>
      </c>
      <c r="BK2416" s="343">
        <f>SUMIFS($AU$1388:AU2617,$P$1388:P2617,"W")</f>
        <v>14245.423836163525</v>
      </c>
      <c r="BL2416" s="343">
        <f>SUMIFS($AU$1388:AU2617,$P$1388:P2617,"R")</f>
        <v>21038.800000000316</v>
      </c>
      <c r="BM2416" s="343">
        <f>SUMIFS($AU$1388:AU2617,$AQ$1388:AQ2617,"M")</f>
        <v>8785.3799999984803</v>
      </c>
      <c r="BN2416" s="343">
        <f>SUMIFS($AU$1388:AU2617,$AQ$1388:AQ2617,"H")</f>
        <v>14526.200000000817</v>
      </c>
      <c r="BO2416" s="343">
        <f>SUMIFS($AU$1388:AU2617,$AQ$1388:AQ2617,"D")</f>
        <v>5755.5774725271895</v>
      </c>
      <c r="BP2416" s="343">
        <f>SUMIFS($AS$1388:AS2705,$AO$1388:AO2705,"W")</f>
        <v>0</v>
      </c>
      <c r="BQ2416" s="343">
        <f>SUMIFS($AU$1388:AU2617,$Q$1388:Q2617,"O")</f>
        <v>-10432.940000000743</v>
      </c>
      <c r="BR2416" s="343">
        <f>SUMIFS($AU$1388:AU2617,$AA$1388:AA2617,"*")</f>
        <v>34509.202077921196</v>
      </c>
      <c r="BS2416" s="343">
        <f>SUMIFS($AU$1388:AU2617,$AB$1388:AB2617,"*")</f>
        <v>6553.859999999815</v>
      </c>
      <c r="BT2416" s="343">
        <f>SUMIFS($AU$1388:AU2617,$AC$1388:AC2617,"*")</f>
        <v>28096.358121878111</v>
      </c>
      <c r="BU2416" s="343">
        <f>SUMIFS($AU$1388:AU2617,$AA$1388:AA2617,"*",$AB$1388:AB2617,"*")</f>
        <v>7397.9999999995107</v>
      </c>
      <c r="BV2416" s="343">
        <f>SUMIFS($AU$1388:AU2617,$AA$1388:AA2617,"*",$AC$1388:AC2617,"*")</f>
        <v>25869.316363636532</v>
      </c>
      <c r="BW2416" s="343">
        <f>SUMIFS($AU$1388:AU2617,$AB$1388:AB2617,"*",$AC$1388:AC2617,"*")</f>
        <v>3595.199999999998</v>
      </c>
      <c r="BX2416" s="343">
        <f>SUMIFS($AV$1388:AV2617,$Q$1388:Q2617,"F")</f>
        <v>343.49922313274095</v>
      </c>
      <c r="BY2416" s="343">
        <f>SUMIFS($AV$1388:AV2617,$Q$1388:Q2617,"S")</f>
        <v>690.47424422080383</v>
      </c>
      <c r="BZ2416" s="343">
        <f>SUMIFS($AV$1388:AV2617,$Q$1388:Q2617,"O")</f>
        <v>121.16596666627566</v>
      </c>
    </row>
    <row r="2417" spans="1:78" ht="15.75" customHeight="1">
      <c r="A2417" s="177" t="s">
        <v>7465</v>
      </c>
      <c r="B2417" s="200"/>
      <c r="C2417" s="178"/>
      <c r="D2417" s="178"/>
      <c r="E2417" s="227"/>
      <c r="F2417" s="180"/>
      <c r="G2417" s="181"/>
      <c r="H2417" s="182"/>
      <c r="I2417" s="182"/>
      <c r="J2417" s="182"/>
      <c r="K2417" s="183"/>
      <c r="L2417" s="182"/>
      <c r="M2417" s="182"/>
      <c r="N2417" s="182"/>
      <c r="O2417" s="183"/>
      <c r="P2417" s="183"/>
      <c r="Q2417" s="183"/>
      <c r="R2417" s="183"/>
      <c r="S2417" s="183"/>
      <c r="T2417" s="183"/>
      <c r="U2417" s="183"/>
      <c r="V2417" s="183"/>
      <c r="W2417" s="183"/>
      <c r="X2417" s="183"/>
      <c r="Y2417" s="183"/>
      <c r="Z2417" s="183"/>
      <c r="AA2417" s="185"/>
      <c r="AB2417" s="185"/>
      <c r="AC2417" s="185"/>
      <c r="AD2417" s="649"/>
      <c r="AE2417" s="182"/>
      <c r="AF2417" s="332"/>
      <c r="AG2417" s="182"/>
      <c r="AH2417" s="182"/>
      <c r="AI2417" s="182"/>
      <c r="AJ2417" s="640"/>
      <c r="AK2417" s="182"/>
      <c r="AL2417" s="496">
        <f t="shared" si="823"/>
        <v>0</v>
      </c>
      <c r="AM2417" s="496">
        <f t="shared" si="824"/>
        <v>0</v>
      </c>
      <c r="AN2417" s="626"/>
      <c r="AO2417" s="182"/>
      <c r="AP2417" s="182"/>
      <c r="AQ2417" s="332" t="str">
        <f>UPPER(RIGHT(Journal_Live[[#This Row],[DURATION ]]))</f>
        <v/>
      </c>
      <c r="AR2417" s="182"/>
      <c r="AS2417" s="189"/>
      <c r="AT2417" s="189">
        <f t="shared" si="825"/>
        <v>0</v>
      </c>
      <c r="AU2417" s="187">
        <f t="shared" si="826"/>
        <v>0</v>
      </c>
      <c r="AV2417" s="190">
        <f t="shared" si="827"/>
        <v>0</v>
      </c>
      <c r="AW2417" s="191"/>
      <c r="AX2417" s="549" t="s">
        <v>7562</v>
      </c>
      <c r="AY2417" s="549" t="s">
        <v>7563</v>
      </c>
      <c r="AZ2417" s="549" t="s">
        <v>7564</v>
      </c>
      <c r="BA2417" s="549" t="s">
        <v>7565</v>
      </c>
      <c r="BB2417" s="549" t="s">
        <v>7566</v>
      </c>
      <c r="BC2417" s="549" t="s">
        <v>7567</v>
      </c>
      <c r="BD2417" s="549" t="s">
        <v>7568</v>
      </c>
      <c r="BE2417" s="550" t="s">
        <v>7569</v>
      </c>
      <c r="BF2417" s="549"/>
      <c r="BG2417" s="391">
        <f>SUM($AV$1389:AV2417)</f>
        <v>6619.0742007024137</v>
      </c>
      <c r="BH2417" s="392">
        <f>SUM($AU$1389:AU2417)</f>
        <v>37920.903836162965</v>
      </c>
      <c r="BI2417" s="318">
        <f>SUMIFS($AU$1388:AU2618,$Q$1388:Q2618,"F")</f>
        <v>27110.758121878131</v>
      </c>
      <c r="BJ2417" s="318">
        <f>SUMIFS($AU$1388:AU2418,$Q$1388:Q2418,"S")</f>
        <v>15650.285714285717</v>
      </c>
      <c r="BK2417" s="343">
        <f>SUMIFS($AU$1388:AU2618,$P$1388:P2618,"W")</f>
        <v>14245.423836163525</v>
      </c>
      <c r="BL2417" s="343">
        <f>SUMIFS($AU$1388:AU2618,$P$1388:P2618,"R")</f>
        <v>21038.800000000316</v>
      </c>
      <c r="BM2417" s="343">
        <f>SUMIFS($AU$1388:AU2618,$AQ$1388:AQ2618,"M")</f>
        <v>8785.3799999984803</v>
      </c>
      <c r="BN2417" s="343">
        <f>SUMIFS($AU$1388:AU2618,$AQ$1388:AQ2618,"H")</f>
        <v>14526.200000000817</v>
      </c>
      <c r="BO2417" s="343">
        <f>SUMIFS($AU$1388:AU2618,$AQ$1388:AQ2618,"D")</f>
        <v>5755.5774725271895</v>
      </c>
      <c r="BP2417" s="343">
        <f>SUMIFS($AS$1388:AS2706,$AO$1388:AO2706,"W")</f>
        <v>0</v>
      </c>
      <c r="BQ2417" s="343">
        <f>SUMIFS($AU$1388:AU2618,$Q$1388:Q2618,"O")</f>
        <v>-10432.940000000743</v>
      </c>
      <c r="BR2417" s="343">
        <f>SUMIFS($AU$1388:AU2618,$AA$1388:AA2618,"*")</f>
        <v>34509.202077921196</v>
      </c>
      <c r="BS2417" s="343">
        <f>SUMIFS($AU$1388:AU2618,$AB$1388:AB2618,"*")</f>
        <v>6553.859999999815</v>
      </c>
      <c r="BT2417" s="343">
        <f>SUMIFS($AU$1388:AU2618,$AC$1388:AC2618,"*")</f>
        <v>28096.358121878111</v>
      </c>
      <c r="BU2417" s="343">
        <f>SUMIFS($AU$1388:AU2618,$AA$1388:AA2618,"*",$AB$1388:AB2618,"*")</f>
        <v>7397.9999999995107</v>
      </c>
      <c r="BV2417" s="343">
        <f>SUMIFS($AU$1388:AU2618,$AA$1388:AA2618,"*",$AC$1388:AC2618,"*")</f>
        <v>25869.316363636532</v>
      </c>
      <c r="BW2417" s="343">
        <f>SUMIFS($AU$1388:AU2618,$AB$1388:AB2618,"*",$AC$1388:AC2618,"*")</f>
        <v>3595.199999999998</v>
      </c>
      <c r="BX2417" s="343">
        <f>SUMIFS($AV$1388:AV2618,$Q$1388:Q2618,"F")</f>
        <v>343.49922313274095</v>
      </c>
      <c r="BY2417" s="343">
        <f>SUMIFS($AV$1388:AV2618,$Q$1388:Q2618,"S")</f>
        <v>690.47424422080383</v>
      </c>
      <c r="BZ2417" s="343">
        <f>SUMIFS($AV$1388:AV2618,$Q$1388:Q2618,"O")</f>
        <v>121.16596666627566</v>
      </c>
    </row>
    <row r="2418" spans="1:78" ht="15.75" customHeight="1">
      <c r="A2418" s="177" t="s">
        <v>7465</v>
      </c>
      <c r="B2418" s="200"/>
      <c r="C2418" s="178"/>
      <c r="D2418" s="178"/>
      <c r="E2418" s="227"/>
      <c r="F2418" s="180"/>
      <c r="G2418" s="181"/>
      <c r="H2418" s="182"/>
      <c r="I2418" s="182"/>
      <c r="J2418" s="182"/>
      <c r="K2418" s="183"/>
      <c r="L2418" s="182"/>
      <c r="M2418" s="182"/>
      <c r="N2418" s="182"/>
      <c r="O2418" s="183"/>
      <c r="P2418" s="183"/>
      <c r="Q2418" s="183"/>
      <c r="R2418" s="183"/>
      <c r="S2418" s="183"/>
      <c r="T2418" s="183"/>
      <c r="U2418" s="183"/>
      <c r="V2418" s="183"/>
      <c r="W2418" s="183"/>
      <c r="X2418" s="183"/>
      <c r="Y2418" s="183"/>
      <c r="Z2418" s="183"/>
      <c r="AA2418" s="185"/>
      <c r="AB2418" s="185"/>
      <c r="AC2418" s="185"/>
      <c r="AD2418" s="649"/>
      <c r="AE2418" s="182"/>
      <c r="AF2418" s="332"/>
      <c r="AG2418" s="182"/>
      <c r="AH2418" s="182"/>
      <c r="AI2418" s="182"/>
      <c r="AJ2418" s="640"/>
      <c r="AK2418" s="182"/>
      <c r="AL2418" s="496">
        <f t="shared" si="823"/>
        <v>0</v>
      </c>
      <c r="AM2418" s="496">
        <f t="shared" si="824"/>
        <v>0</v>
      </c>
      <c r="AN2418" s="626"/>
      <c r="AO2418" s="182"/>
      <c r="AP2418" s="182"/>
      <c r="AQ2418" s="332" t="str">
        <f>UPPER(RIGHT(Journal_Live[[#This Row],[DURATION ]]))</f>
        <v/>
      </c>
      <c r="AR2418" s="182"/>
      <c r="AS2418" s="189"/>
      <c r="AT2418" s="189">
        <f t="shared" si="825"/>
        <v>0</v>
      </c>
      <c r="AU2418" s="187">
        <f t="shared" si="826"/>
        <v>0</v>
      </c>
      <c r="AV2418" s="190">
        <f t="shared" si="827"/>
        <v>0</v>
      </c>
      <c r="AW2418" s="191"/>
      <c r="AX2418" s="549" t="s">
        <v>7570</v>
      </c>
      <c r="AY2418" s="549" t="s">
        <v>7571</v>
      </c>
      <c r="AZ2418" s="549" t="s">
        <v>7572</v>
      </c>
      <c r="BA2418" s="549"/>
      <c r="BB2418" s="551"/>
      <c r="BC2418" s="551"/>
      <c r="BD2418" s="549"/>
      <c r="BE2418" s="550"/>
      <c r="BF2418" s="549"/>
      <c r="BG2418" s="391">
        <f>SUM($AV$1389:AV2418)</f>
        <v>6619.0742007024137</v>
      </c>
      <c r="BH2418" s="392">
        <f>SUM($AU$1389:AU2418)</f>
        <v>37920.903836162965</v>
      </c>
      <c r="BI2418" s="318">
        <f>SUMIFS($AU$1388:AU2619,$Q$1388:Q2619,"F")</f>
        <v>27110.758121878131</v>
      </c>
      <c r="BJ2418" s="318">
        <f>SUMIFS($AU$1388:AU2419,$Q$1388:Q2419,"S")</f>
        <v>15650.285714285717</v>
      </c>
      <c r="BK2418" s="343">
        <f>SUMIFS($AU$1388:AU2619,$P$1388:P2619,"W")</f>
        <v>14245.423836163525</v>
      </c>
      <c r="BL2418" s="343">
        <f>SUMIFS($AU$1388:AU2619,$P$1388:P2619,"R")</f>
        <v>21038.800000000316</v>
      </c>
      <c r="BM2418" s="343">
        <f>SUMIFS($AU$1388:AU2619,$AQ$1388:AQ2619,"M")</f>
        <v>8785.3799999984803</v>
      </c>
      <c r="BN2418" s="343">
        <f>SUMIFS($AU$1388:AU2619,$AQ$1388:AQ2619,"H")</f>
        <v>14526.200000000817</v>
      </c>
      <c r="BO2418" s="343">
        <f>SUMIFS($AU$1388:AU2619,$AQ$1388:AQ2619,"D")</f>
        <v>5755.5774725271895</v>
      </c>
      <c r="BP2418" s="343">
        <f>SUMIFS($AS$1388:AS2707,$AO$1388:AO2707,"W")</f>
        <v>0</v>
      </c>
      <c r="BQ2418" s="343">
        <f>SUMIFS($AU$1388:AU2619,$Q$1388:Q2619,"O")</f>
        <v>-10432.940000000743</v>
      </c>
      <c r="BR2418" s="343">
        <f>SUMIFS($AU$1388:AU2619,$AA$1388:AA2619,"*")</f>
        <v>34509.202077921196</v>
      </c>
      <c r="BS2418" s="343">
        <f>SUMIFS($AU$1388:AU2619,$AB$1388:AB2619,"*")</f>
        <v>6553.859999999815</v>
      </c>
      <c r="BT2418" s="343">
        <f>SUMIFS($AU$1388:AU2619,$AC$1388:AC2619,"*")</f>
        <v>28096.358121878111</v>
      </c>
      <c r="BU2418" s="343">
        <f>SUMIFS($AU$1388:AU2619,$AA$1388:AA2619,"*",$AB$1388:AB2619,"*")</f>
        <v>7397.9999999995107</v>
      </c>
      <c r="BV2418" s="343">
        <f>SUMIFS($AU$1388:AU2619,$AA$1388:AA2619,"*",$AC$1388:AC2619,"*")</f>
        <v>25869.316363636532</v>
      </c>
      <c r="BW2418" s="343">
        <f>SUMIFS($AU$1388:AU2619,$AB$1388:AB2619,"*",$AC$1388:AC2619,"*")</f>
        <v>3595.199999999998</v>
      </c>
      <c r="BX2418" s="343">
        <f>SUMIFS($AV$1388:AV2619,$Q$1388:Q2619,"F")</f>
        <v>343.49922313274095</v>
      </c>
      <c r="BY2418" s="343">
        <f>SUMIFS($AV$1388:AV2619,$Q$1388:Q2619,"S")</f>
        <v>690.47424422080383</v>
      </c>
      <c r="BZ2418" s="343">
        <f>SUMIFS($AV$1388:AV2619,$Q$1388:Q2619,"O")</f>
        <v>121.16596666627566</v>
      </c>
    </row>
    <row r="2419" spans="1:78" ht="15.75" customHeight="1">
      <c r="A2419" s="177" t="s">
        <v>7465</v>
      </c>
      <c r="B2419" s="200">
        <v>45513</v>
      </c>
      <c r="C2419" s="178" t="s">
        <v>379</v>
      </c>
      <c r="D2419" s="178" t="s">
        <v>111</v>
      </c>
      <c r="E2419" s="227"/>
      <c r="F2419" s="180"/>
      <c r="G2419" s="553" t="s">
        <v>2070</v>
      </c>
      <c r="H2419" s="182"/>
      <c r="I2419" s="182"/>
      <c r="J2419" s="182"/>
      <c r="K2419" s="183"/>
      <c r="L2419" s="182">
        <v>1</v>
      </c>
      <c r="M2419" s="182"/>
      <c r="N2419" s="182"/>
      <c r="O2419" s="183" t="s">
        <v>95</v>
      </c>
      <c r="P2419" s="183" t="s">
        <v>96</v>
      </c>
      <c r="Q2419" s="183" t="s">
        <v>97</v>
      </c>
      <c r="R2419" s="183">
        <v>3</v>
      </c>
      <c r="S2419" s="183">
        <v>0</v>
      </c>
      <c r="T2419" s="183">
        <v>3</v>
      </c>
      <c r="U2419" s="183" t="s">
        <v>22</v>
      </c>
      <c r="V2419" s="183" t="s">
        <v>7349</v>
      </c>
      <c r="W2419" s="183" t="s">
        <v>7548</v>
      </c>
      <c r="X2419" s="183"/>
      <c r="Y2419" s="184">
        <f>IF(ISBLANK(O2419),"",(IF(O2419=UPPER("IB"),0.005,0.01)))</f>
        <v>0.01</v>
      </c>
      <c r="Z2419" s="185">
        <f>IF(ISBLANK(O2419),"",IF(O2419="IB",8.63*200,IF(O2419="IR",16*100,IF(O2419="YT",20*100,IF(O2419="YT-XT",24*200,IF(O2419="TED",80*100,IF(O2419="XT",29*200)))))))</f>
        <v>1600</v>
      </c>
      <c r="AA2419" s="185" t="s">
        <v>5476</v>
      </c>
      <c r="AB2419" s="185"/>
      <c r="AC2419" s="185"/>
      <c r="AD2419" s="649">
        <v>-0.23</v>
      </c>
      <c r="AE2419" s="182"/>
      <c r="AF2419" s="332"/>
      <c r="AG2419" s="182"/>
      <c r="AH2419" s="182"/>
      <c r="AI2419" s="182"/>
      <c r="AJ2419" s="640"/>
      <c r="AK2419" s="182"/>
      <c r="AL2419" s="496">
        <f t="shared" si="823"/>
        <v>-32</v>
      </c>
      <c r="AM2419" s="496">
        <f t="shared" si="824"/>
        <v>-96</v>
      </c>
      <c r="AN2419" s="626"/>
      <c r="AO2419" s="182"/>
      <c r="AP2419" s="182"/>
      <c r="AQ2419" s="332" t="s">
        <v>372</v>
      </c>
      <c r="AR2419" s="182"/>
      <c r="AS2419" s="189">
        <v>-0.23</v>
      </c>
      <c r="AT2419" s="189">
        <f t="shared" si="825"/>
        <v>0</v>
      </c>
      <c r="AU2419" s="187">
        <f t="shared" si="826"/>
        <v>0</v>
      </c>
      <c r="AV2419" s="190">
        <f t="shared" si="827"/>
        <v>0</v>
      </c>
      <c r="AW2419" s="191" t="s">
        <v>115</v>
      </c>
      <c r="AX2419" s="549"/>
      <c r="AY2419" s="549"/>
      <c r="AZ2419" s="549"/>
      <c r="BA2419" s="549"/>
      <c r="BB2419" s="551"/>
      <c r="BC2419" s="551"/>
      <c r="BD2419" s="549"/>
      <c r="BE2419" s="550"/>
      <c r="BF2419" s="549"/>
      <c r="BG2419" s="391"/>
      <c r="BH2419" s="392"/>
      <c r="BI2419" s="318"/>
      <c r="BJ2419" s="318"/>
      <c r="BK2419" s="343"/>
      <c r="BL2419" s="343"/>
      <c r="BM2419" s="343"/>
      <c r="BN2419" s="343"/>
      <c r="BO2419" s="343"/>
      <c r="BP2419" s="343"/>
      <c r="BQ2419" s="343"/>
      <c r="BR2419" s="343"/>
      <c r="BS2419" s="343"/>
      <c r="BT2419" s="343"/>
      <c r="BU2419" s="343"/>
      <c r="BV2419" s="343"/>
      <c r="BW2419" s="343"/>
      <c r="BX2419" s="343"/>
      <c r="BY2419" s="343"/>
      <c r="BZ2419" s="343"/>
    </row>
    <row r="2420" spans="1:78" ht="15.75" customHeight="1">
      <c r="A2420" s="177" t="s">
        <v>7471</v>
      </c>
      <c r="B2420" s="200"/>
      <c r="C2420" s="178"/>
      <c r="D2420" s="178"/>
      <c r="E2420" s="227"/>
      <c r="F2420" s="180"/>
      <c r="G2420" s="181"/>
      <c r="H2420" s="182"/>
      <c r="I2420" s="182"/>
      <c r="J2420" s="182"/>
      <c r="K2420" s="183"/>
      <c r="L2420" s="182"/>
      <c r="M2420" s="182"/>
      <c r="N2420" s="182"/>
      <c r="O2420" s="183"/>
      <c r="P2420" s="183"/>
      <c r="Q2420" s="183"/>
      <c r="R2420" s="183"/>
      <c r="S2420" s="183"/>
      <c r="T2420" s="183"/>
      <c r="U2420" s="183"/>
      <c r="V2420" s="183"/>
      <c r="W2420" s="183"/>
      <c r="X2420" s="183"/>
      <c r="Y2420" s="184"/>
      <c r="Z2420" s="185"/>
      <c r="AA2420" s="185"/>
      <c r="AB2420" s="185"/>
      <c r="AC2420" s="185"/>
      <c r="AD2420" s="649"/>
      <c r="AE2420" s="182"/>
      <c r="AF2420" s="332"/>
      <c r="AG2420" s="182"/>
      <c r="AH2420" s="182"/>
      <c r="AI2420" s="182"/>
      <c r="AJ2420" s="640"/>
      <c r="AK2420" s="182"/>
      <c r="AL2420" s="496">
        <f t="shared" si="823"/>
        <v>0</v>
      </c>
      <c r="AM2420" s="496">
        <f t="shared" si="824"/>
        <v>0</v>
      </c>
      <c r="AN2420" s="626"/>
      <c r="AO2420" s="182"/>
      <c r="AP2420" s="182"/>
      <c r="AQ2420" s="332" t="str">
        <f>UPPER(RIGHT(Journal_Live[[#This Row],[DURATION ]]))</f>
        <v/>
      </c>
      <c r="AR2420" s="182"/>
      <c r="AS2420" s="189"/>
      <c r="AT2420" s="189">
        <f t="shared" si="825"/>
        <v>0</v>
      </c>
      <c r="AU2420" s="187">
        <f t="shared" si="826"/>
        <v>0</v>
      </c>
      <c r="AV2420" s="190">
        <f t="shared" si="827"/>
        <v>0</v>
      </c>
      <c r="AW2420" s="191"/>
      <c r="AX2420" s="549" t="s">
        <v>7573</v>
      </c>
      <c r="AY2420" s="549" t="s">
        <v>7574</v>
      </c>
      <c r="AZ2420" s="549" t="s">
        <v>7575</v>
      </c>
      <c r="BA2420" s="549"/>
      <c r="BB2420" s="551"/>
      <c r="BC2420" s="551"/>
      <c r="BD2420" s="549"/>
      <c r="BE2420" s="550"/>
      <c r="BF2420" s="549"/>
      <c r="BG2420" s="391">
        <f>SUM($AV$2420:AV2420)</f>
        <v>0</v>
      </c>
      <c r="BH2420" s="392">
        <f>SUM($AU$2420:AU2420)</f>
        <v>0</v>
      </c>
      <c r="BI2420" s="318">
        <f>SUMIFS($AU$2420:AU2621,$Q$2420:Q2621,"F")</f>
        <v>-143.99999999999949</v>
      </c>
      <c r="BJ2420" s="318">
        <f>SUMIFS($AU$2420:AU2621,$Q$2420:Q2621,"S")</f>
        <v>256.00000000000466</v>
      </c>
      <c r="BK2420" s="343">
        <f>SUMIFS($AU$2420:AU2621,$P$2420:P2621,"W")</f>
        <v>-607.99999999991883</v>
      </c>
      <c r="BL2420" s="343">
        <f>SUMIFS($AU$2420:AU2621,$P$2420:P2621,"R")</f>
        <v>911.99999999999966</v>
      </c>
      <c r="BM2420" s="343">
        <f>SUMIFS($AU$2420:AU2621,$AQ$2420:AQ2621,"M")</f>
        <v>-899.79999999984489</v>
      </c>
      <c r="BN2420" s="343">
        <f>SUMIFS($AU$2420:AU2621,$AQ$2420:AQ2621,"H")</f>
        <v>1762.9999999999427</v>
      </c>
      <c r="BO2420" s="343">
        <f>SUMIFS($AU$2420:AU2621,$AQ$2420:AQ2621,"D")</f>
        <v>-767.99999999998977</v>
      </c>
      <c r="BP2420" s="343">
        <f>SUMIFS($AS$2420:AS2709,$AO$2420:AO2709,"W")</f>
        <v>0</v>
      </c>
      <c r="BQ2420" s="343">
        <f>SUMIFS($AU$2420:AU2621,$Q$2420:Q2621,"O")</f>
        <v>-884.7999999998965</v>
      </c>
      <c r="BR2420" s="343">
        <f>SUMIFS($AU$2420:AU2621,$AA$2420:AA2621,"*")</f>
        <v>-512.79999999998074</v>
      </c>
      <c r="BS2420" s="343">
        <f>SUMIFS($AU$2420:AU2621,$AB$2420:AB2621,"*")</f>
        <v>-451.99999999997726</v>
      </c>
      <c r="BT2420" s="343">
        <f>SUMIFS($AU$2420:AU2621,$AC$2420:AC2621,"*")</f>
        <v>-143.99999999999909</v>
      </c>
      <c r="BU2420" s="343">
        <f>SUMIFS($AU$2420:AU2621,$AA$2420:AA2621,"*",$AB$2420:AB2621,"*")</f>
        <v>95.999999999933891</v>
      </c>
      <c r="BV2420" s="343">
        <f>SUMIFS($AU$2420:AU2621,$AA$2420:AA2621,"*",$AC$2420:AC2621,"*")</f>
        <v>-591.99999999999977</v>
      </c>
      <c r="BW2420" s="343">
        <f>SUMIFS($AU$2420:AU2621,$AB$2420:AB2621,"*",$AC$2420:AC2621,"*")</f>
        <v>-143.99999999999966</v>
      </c>
      <c r="BX2420" s="343">
        <f>SUMIFS($AV$2420:AV2621,$Q$2420:Q2621,"F")</f>
        <v>18.153846153846242</v>
      </c>
      <c r="BY2420" s="343">
        <f>SUMIFS($AV$2420:AV2621,$Q$2420:Q2621,"S")</f>
        <v>64.044720496894826</v>
      </c>
      <c r="BZ2420" s="343">
        <f>SUMIFS($AV$2420:AV2621,$Q$2420:Q2621,"O")</f>
        <v>-458.13333333332537</v>
      </c>
    </row>
    <row r="2421" spans="1:78" ht="15.75" customHeight="1">
      <c r="A2421" s="177" t="s">
        <v>7465</v>
      </c>
      <c r="B2421" s="200"/>
      <c r="C2421" s="178"/>
      <c r="D2421" s="178"/>
      <c r="E2421" s="227"/>
      <c r="F2421" s="180"/>
      <c r="G2421" s="181"/>
      <c r="H2421" s="182"/>
      <c r="I2421" s="182"/>
      <c r="J2421" s="182"/>
      <c r="K2421" s="183"/>
      <c r="L2421" s="182"/>
      <c r="M2421" s="182"/>
      <c r="N2421" s="182"/>
      <c r="O2421" s="183"/>
      <c r="P2421" s="183"/>
      <c r="Q2421" s="183"/>
      <c r="R2421" s="183"/>
      <c r="S2421" s="183"/>
      <c r="T2421" s="183"/>
      <c r="U2421" s="183"/>
      <c r="V2421" s="183"/>
      <c r="W2421" s="183"/>
      <c r="X2421" s="183"/>
      <c r="Y2421" s="184"/>
      <c r="Z2421" s="185"/>
      <c r="AA2421" s="185"/>
      <c r="AB2421" s="185"/>
      <c r="AC2421" s="185"/>
      <c r="AD2421" s="649"/>
      <c r="AE2421" s="182"/>
      <c r="AF2421" s="332"/>
      <c r="AG2421" s="182"/>
      <c r="AH2421" s="182"/>
      <c r="AI2421" s="182"/>
      <c r="AJ2421" s="640"/>
      <c r="AK2421" s="182"/>
      <c r="AL2421" s="496">
        <f t="shared" si="823"/>
        <v>0</v>
      </c>
      <c r="AM2421" s="496">
        <f t="shared" si="824"/>
        <v>0</v>
      </c>
      <c r="AN2421" s="626"/>
      <c r="AO2421" s="182"/>
      <c r="AP2421" s="182"/>
      <c r="AQ2421" s="332" t="str">
        <f>UPPER(RIGHT(Journal_Live[[#This Row],[DURATION ]]))</f>
        <v/>
      </c>
      <c r="AR2421" s="182"/>
      <c r="AS2421" s="189"/>
      <c r="AT2421" s="189">
        <f t="shared" si="825"/>
        <v>0</v>
      </c>
      <c r="AU2421" s="187">
        <f t="shared" si="826"/>
        <v>0</v>
      </c>
      <c r="AV2421" s="190">
        <f t="shared" si="827"/>
        <v>0</v>
      </c>
      <c r="AW2421" s="191"/>
      <c r="AX2421" s="549" t="s">
        <v>7576</v>
      </c>
      <c r="AY2421" s="549" t="s">
        <v>7577</v>
      </c>
      <c r="AZ2421" s="549" t="s">
        <v>7578</v>
      </c>
      <c r="BA2421" s="549" t="s">
        <v>7579</v>
      </c>
      <c r="BB2421" s="551"/>
      <c r="BC2421" s="551"/>
      <c r="BD2421" s="549"/>
      <c r="BE2421" s="550"/>
      <c r="BF2421" s="549"/>
      <c r="BG2421" s="391">
        <f>SUM($AV$2420:AV2421)</f>
        <v>0</v>
      </c>
      <c r="BH2421" s="392">
        <f>SUM($AU$2420:AU2421)</f>
        <v>0</v>
      </c>
      <c r="BI2421" s="318">
        <f>SUMIFS($AU$2420:AU2622,$Q$2420:Q2622,"F")</f>
        <v>-143.99999999999949</v>
      </c>
      <c r="BJ2421" s="318">
        <f>SUMIFS($AU$2420:AU2622,$Q$2420:Q2622,"S")</f>
        <v>256.00000000000466</v>
      </c>
      <c r="BK2421" s="343">
        <f>SUMIFS($AU$2420:AU2622,$P$2420:P2622,"W")</f>
        <v>-607.99999999991883</v>
      </c>
      <c r="BL2421" s="343">
        <f>SUMIFS($AU$2420:AU2622,$P$2420:P2622,"R")</f>
        <v>911.99999999999966</v>
      </c>
      <c r="BM2421" s="343">
        <f>SUMIFS($AU$2420:AU2622,$AQ$2420:AQ2622,"M")</f>
        <v>-899.79999999984489</v>
      </c>
      <c r="BN2421" s="343">
        <f>SUMIFS($AU$2420:AU2622,$AQ$2420:AQ2622,"H")</f>
        <v>1762.9999999999427</v>
      </c>
      <c r="BO2421" s="343">
        <f>SUMIFS($AU$2420:AU2622,$AQ$2420:AQ2622,"D")</f>
        <v>-767.99999999998977</v>
      </c>
      <c r="BP2421" s="343">
        <f>SUMIFS($AS$2420:AS2710,$AO$2420:AO2710,"W")</f>
        <v>0</v>
      </c>
      <c r="BQ2421" s="343">
        <f>SUMIFS($AU$2420:AU2622,$Q$2420:Q2622,"O")</f>
        <v>-884.7999999998965</v>
      </c>
      <c r="BR2421" s="343">
        <f>SUMIFS($AU$2420:AU2622,$AA$2420:AA2622,"*")</f>
        <v>-512.79999999998074</v>
      </c>
      <c r="BS2421" s="343">
        <f>SUMIFS($AU$2420:AU2622,$AB$2420:AB2622,"*")</f>
        <v>-451.99999999997726</v>
      </c>
      <c r="BT2421" s="343">
        <f>SUMIFS($AU$2420:AU2622,$AC$2420:AC2622,"*")</f>
        <v>-143.99999999999909</v>
      </c>
      <c r="BU2421" s="343">
        <f>SUMIFS($AU$2420:AU2622,$AA$2420:AA2622,"*",$AB$2420:AB2622,"*")</f>
        <v>95.999999999933891</v>
      </c>
      <c r="BV2421" s="343">
        <f>SUMIFS($AU$2420:AU2622,$AA$2420:AA2622,"*",$AC$2420:AC2622,"*")</f>
        <v>-591.99999999999977</v>
      </c>
      <c r="BW2421" s="343">
        <f>SUMIFS($AU$2420:AU2622,$AB$2420:AB2622,"*",$AC$2420:AC2622,"*")</f>
        <v>-143.99999999999966</v>
      </c>
      <c r="BX2421" s="343">
        <f>SUMIFS($AV$2420:AV2622,$Q$2420:Q2622,"F")</f>
        <v>18.153846153846242</v>
      </c>
      <c r="BY2421" s="343">
        <f>SUMIFS($AV$2420:AV2622,$Q$2420:Q2622,"S")</f>
        <v>64.044720496894826</v>
      </c>
      <c r="BZ2421" s="343">
        <f>SUMIFS($AV$2420:AV2622,$Q$2420:Q2622,"O")</f>
        <v>-458.13333333332537</v>
      </c>
    </row>
    <row r="2422" spans="1:78" ht="15.75" customHeight="1">
      <c r="A2422" s="177" t="s">
        <v>7465</v>
      </c>
      <c r="B2422" s="200">
        <v>45516</v>
      </c>
      <c r="C2422" s="178" t="s">
        <v>7303</v>
      </c>
      <c r="D2422" s="178" t="s">
        <v>132</v>
      </c>
      <c r="E2422" s="227"/>
      <c r="F2422" s="180"/>
      <c r="G2422" s="481" t="s">
        <v>7580</v>
      </c>
      <c r="H2422" s="182"/>
      <c r="I2422" s="182"/>
      <c r="J2422" s="182"/>
      <c r="K2422" s="183"/>
      <c r="L2422" s="182"/>
      <c r="M2422" s="182">
        <v>1</v>
      </c>
      <c r="N2422" s="182"/>
      <c r="O2422" s="183" t="s">
        <v>95</v>
      </c>
      <c r="P2422" s="183" t="s">
        <v>96</v>
      </c>
      <c r="Q2422" s="183" t="s">
        <v>256</v>
      </c>
      <c r="R2422" s="183">
        <v>3</v>
      </c>
      <c r="S2422" s="183">
        <v>0</v>
      </c>
      <c r="T2422" s="183">
        <v>3</v>
      </c>
      <c r="U2422" s="183" t="s">
        <v>97</v>
      </c>
      <c r="V2422" s="183" t="s">
        <v>7357</v>
      </c>
      <c r="W2422" s="183" t="s">
        <v>7548</v>
      </c>
      <c r="X2422" s="183" t="s">
        <v>7473</v>
      </c>
      <c r="Y2422" s="184">
        <f>IF(ISBLANK(O2422),"",(IF(O2422=UPPER("IB"),0.005,0.01)))</f>
        <v>0.01</v>
      </c>
      <c r="Z2422" s="185">
        <f>IF(ISBLANK(O2422),"",IF(O2422="IB",8.63*200,IF(O2422="IR",16*100,IF(O2422="YT",20*100,IF(O2422="YT-XT",24*200,IF(O2422="TED",80*100,IF(O2422="XT",29*200)))))))</f>
        <v>1600</v>
      </c>
      <c r="AA2422" s="185"/>
      <c r="AB2422" s="185" t="s">
        <v>7581</v>
      </c>
      <c r="AC2422" s="185" t="s">
        <v>7582</v>
      </c>
      <c r="AD2422" s="649">
        <v>-0.12</v>
      </c>
      <c r="AE2422" s="182"/>
      <c r="AF2422" s="332"/>
      <c r="AG2422" s="182"/>
      <c r="AH2422" s="182"/>
      <c r="AI2422" s="182"/>
      <c r="AJ2422" s="640" t="s">
        <v>7583</v>
      </c>
      <c r="AK2422" s="182"/>
      <c r="AL2422" s="496">
        <f t="shared" si="823"/>
        <v>-32</v>
      </c>
      <c r="AM2422" s="496">
        <f t="shared" si="824"/>
        <v>-96</v>
      </c>
      <c r="AN2422" s="626"/>
      <c r="AO2422" s="182"/>
      <c r="AP2422" s="182" t="s">
        <v>589</v>
      </c>
      <c r="AQ2422" s="332" t="s">
        <v>115</v>
      </c>
      <c r="AR2422" s="298">
        <v>45518</v>
      </c>
      <c r="AS2422" s="189">
        <v>-0.13</v>
      </c>
      <c r="AT2422" s="189">
        <f t="shared" si="825"/>
        <v>1.0000000000000009E-2</v>
      </c>
      <c r="AU2422" s="187">
        <f t="shared" si="826"/>
        <v>48.000000000000043</v>
      </c>
      <c r="AV2422" s="190">
        <f t="shared" si="827"/>
        <v>16.000000000000014</v>
      </c>
      <c r="AW2422" s="191" t="s">
        <v>96</v>
      </c>
      <c r="AX2422" s="549" t="s">
        <v>7584</v>
      </c>
      <c r="AY2422" s="549" t="s">
        <v>7585</v>
      </c>
      <c r="AZ2422" s="549"/>
      <c r="BA2422" s="549"/>
      <c r="BB2422" s="551"/>
      <c r="BC2422" s="551"/>
      <c r="BD2422" s="549"/>
      <c r="BE2422" s="550"/>
      <c r="BF2422" s="549"/>
      <c r="BG2422" s="391">
        <f>SUM($AV$2420:AV2422)</f>
        <v>16.000000000000014</v>
      </c>
      <c r="BH2422" s="392">
        <f>SUM($AU$2420:AU2422)</f>
        <v>48.000000000000043</v>
      </c>
      <c r="BI2422" s="318">
        <f>SUMIFS($AU$2420:AU2623,$Q$2420:Q2623,"F")</f>
        <v>-143.99999999999949</v>
      </c>
      <c r="BJ2422" s="318">
        <f>SUMIFS($AU$2420:AU2623,$Q$2420:Q2623,"S")</f>
        <v>256.00000000000466</v>
      </c>
      <c r="BK2422" s="343">
        <f>SUMIFS($AU$2420:AU2623,$P$2420:P2623,"W")</f>
        <v>-607.99999999991883</v>
      </c>
      <c r="BL2422" s="343">
        <f>SUMIFS($AU$2420:AU2623,$P$2420:P2623,"R")</f>
        <v>911.99999999999966</v>
      </c>
      <c r="BM2422" s="343">
        <f>SUMIFS($AU$2420:AU2623,$AQ$2420:AQ2623,"M")</f>
        <v>-899.79999999984489</v>
      </c>
      <c r="BN2422" s="343">
        <f>SUMIFS($AU$2420:AU2623,$AQ$2420:AQ2623,"H")</f>
        <v>1762.9999999999427</v>
      </c>
      <c r="BO2422" s="343">
        <f>SUMIFS($AU$2420:AU2623,$AQ$2420:AQ2623,"D")</f>
        <v>-767.99999999998977</v>
      </c>
      <c r="BP2422" s="343">
        <f>SUMIFS($AS$2420:AS2711,$AO$2420:AO2711,"W")</f>
        <v>0</v>
      </c>
      <c r="BQ2422" s="343">
        <f>SUMIFS($AU$2420:AU2623,$Q$2420:Q2623,"O")</f>
        <v>-884.7999999998965</v>
      </c>
      <c r="BR2422" s="343">
        <f>SUMIFS($AU$2420:AU2623,$AA$2420:AA2623,"*")</f>
        <v>-512.79999999998074</v>
      </c>
      <c r="BS2422" s="343">
        <f>SUMIFS($AU$2420:AU2623,$AB$2420:AB2623,"*")</f>
        <v>-451.99999999997726</v>
      </c>
      <c r="BT2422" s="343">
        <f>SUMIFS($AU$2420:AU2623,$AC$2420:AC2623,"*")</f>
        <v>-143.99999999999909</v>
      </c>
      <c r="BU2422" s="343">
        <f>SUMIFS($AU$2420:AU2623,$AA$2420:AA2623,"*",$AB$2420:AB2623,"*")</f>
        <v>95.999999999933891</v>
      </c>
      <c r="BV2422" s="343">
        <f>SUMIFS($AU$2420:AU2623,$AA$2420:AA2623,"*",$AC$2420:AC2623,"*")</f>
        <v>-591.99999999999977</v>
      </c>
      <c r="BW2422" s="343">
        <f>SUMIFS($AU$2420:AU2623,$AB$2420:AB2623,"*",$AC$2420:AC2623,"*")</f>
        <v>-143.99999999999966</v>
      </c>
      <c r="BX2422" s="343">
        <f>SUMIFS($AV$2420:AV2623,$Q$2420:Q2623,"F")</f>
        <v>18.153846153846242</v>
      </c>
      <c r="BY2422" s="343">
        <f>SUMIFS($AV$2420:AV2623,$Q$2420:Q2623,"S")</f>
        <v>64.044720496894826</v>
      </c>
      <c r="BZ2422" s="343">
        <f>SUMIFS($AV$2420:AV2623,$Q$2420:Q2623,"O")</f>
        <v>-458.13333333332537</v>
      </c>
    </row>
    <row r="2423" spans="1:78" ht="15.75" customHeight="1">
      <c r="A2423" s="177" t="s">
        <v>7465</v>
      </c>
      <c r="B2423" s="200">
        <v>45516</v>
      </c>
      <c r="C2423" s="178" t="s">
        <v>7303</v>
      </c>
      <c r="D2423" s="178" t="s">
        <v>132</v>
      </c>
      <c r="E2423" s="227"/>
      <c r="F2423" s="180"/>
      <c r="G2423" s="481" t="s">
        <v>7586</v>
      </c>
      <c r="H2423" s="182"/>
      <c r="I2423" s="182"/>
      <c r="J2423" s="182"/>
      <c r="K2423" s="183"/>
      <c r="L2423" s="182"/>
      <c r="M2423" s="182">
        <v>1</v>
      </c>
      <c r="N2423" s="182"/>
      <c r="O2423" s="183" t="s">
        <v>95</v>
      </c>
      <c r="P2423" s="183" t="s">
        <v>137</v>
      </c>
      <c r="Q2423" s="183" t="s">
        <v>256</v>
      </c>
      <c r="R2423" s="183">
        <v>7</v>
      </c>
      <c r="S2423" s="183">
        <v>0</v>
      </c>
      <c r="T2423" s="183">
        <v>5</v>
      </c>
      <c r="U2423" s="183" t="s">
        <v>22</v>
      </c>
      <c r="V2423" s="183" t="s">
        <v>7357</v>
      </c>
      <c r="W2423" s="183" t="s">
        <v>7548</v>
      </c>
      <c r="X2423" s="183" t="s">
        <v>7587</v>
      </c>
      <c r="Y2423" s="184">
        <f>IF(ISBLANK(O2423),"",(IF(O2423=UPPER("IB"),0.005,0.01)))</f>
        <v>0.01</v>
      </c>
      <c r="Z2423" s="185">
        <f>IF(ISBLANK(O2423),"",IF(O2423="IB",8.63*200,IF(O2423="IR",16*100,IF(O2423="YT",20*100,IF(O2423="YT-XT",24*200,IF(O2423="TED",80*100,IF(O2423="XT",29*200)))))))</f>
        <v>1600</v>
      </c>
      <c r="AA2423" s="185" t="s">
        <v>7588</v>
      </c>
      <c r="AB2423" s="185"/>
      <c r="AC2423" s="185"/>
      <c r="AD2423" s="649">
        <v>-0.03</v>
      </c>
      <c r="AE2423" s="182"/>
      <c r="AF2423" s="332"/>
      <c r="AG2423" s="182"/>
      <c r="AH2423" s="182"/>
      <c r="AI2423" s="182" t="s">
        <v>7589</v>
      </c>
      <c r="AJ2423" s="640"/>
      <c r="AK2423" s="182"/>
      <c r="AL2423" s="496">
        <f t="shared" si="813"/>
        <v>-32</v>
      </c>
      <c r="AM2423" s="496">
        <f t="shared" si="820"/>
        <v>-224</v>
      </c>
      <c r="AN2423" s="626"/>
      <c r="AO2423" s="182"/>
      <c r="AP2423" s="182" t="s">
        <v>864</v>
      </c>
      <c r="AQ2423" s="332" t="s">
        <v>115</v>
      </c>
      <c r="AR2423" s="298">
        <v>45519</v>
      </c>
      <c r="AS2423" s="189">
        <v>-0.02</v>
      </c>
      <c r="AT2423" s="189">
        <f t="shared" si="821"/>
        <v>9.9999999999999985E-3</v>
      </c>
      <c r="AU2423" s="187">
        <f t="shared" si="822"/>
        <v>111.99999999999999</v>
      </c>
      <c r="AV2423" s="190">
        <f t="shared" si="814"/>
        <v>15.999999999999998</v>
      </c>
      <c r="AW2423" s="191" t="s">
        <v>96</v>
      </c>
      <c r="AX2423" s="549"/>
      <c r="AY2423" s="549"/>
      <c r="AZ2423" s="549"/>
      <c r="BA2423" s="549"/>
      <c r="BB2423" s="551"/>
      <c r="BC2423" s="551"/>
      <c r="BD2423" s="549"/>
      <c r="BE2423" s="550"/>
      <c r="BF2423" s="549"/>
      <c r="BG2423" s="391">
        <f>SUM($AV$2420:AV2423)</f>
        <v>32.000000000000014</v>
      </c>
      <c r="BH2423" s="392">
        <f>SUM($AU$2420:AU2423)</f>
        <v>160.00000000000003</v>
      </c>
      <c r="BI2423" s="318">
        <f>SUMIFS($AU$2420:AU2624,$Q$2420:Q2624,"F")</f>
        <v>-143.99999999999949</v>
      </c>
      <c r="BJ2423" s="318">
        <f>SUMIFS($AU$2420:AU2624,$Q$2420:Q2624,"S")</f>
        <v>256.00000000000466</v>
      </c>
      <c r="BK2423" s="343">
        <f>SUMIFS($AU$2420:AU2624,$P$2420:P2624,"W")</f>
        <v>-607.99999999991883</v>
      </c>
      <c r="BL2423" s="343">
        <f>SUMIFS($AU$2420:AU2624,$P$2420:P2624,"R")</f>
        <v>911.99999999999966</v>
      </c>
      <c r="BM2423" s="343">
        <f>SUMIFS($AU$2420:AU2624,$AQ$2420:AQ2624,"M")</f>
        <v>-899.79999999984489</v>
      </c>
      <c r="BN2423" s="343">
        <f>SUMIFS($AU$2420:AU2624,$AQ$2420:AQ2624,"H")</f>
        <v>1762.9999999999427</v>
      </c>
      <c r="BO2423" s="343">
        <f>SUMIFS($AU$2420:AU2624,$AQ$2420:AQ2624,"D")</f>
        <v>-767.99999999998977</v>
      </c>
      <c r="BP2423" s="343">
        <f>SUMIFS($AS$2420:AS2712,$AO$2420:AO2712,"W")</f>
        <v>0</v>
      </c>
      <c r="BQ2423" s="343">
        <f>SUMIFS($AU$2420:AU2624,$Q$2420:Q2624,"O")</f>
        <v>-884.7999999998965</v>
      </c>
      <c r="BR2423" s="343">
        <f>SUMIFS($AU$2420:AU2624,$AA$2420:AA2624,"*")</f>
        <v>-512.79999999998074</v>
      </c>
      <c r="BS2423" s="343">
        <f>SUMIFS($AU$2420:AU2624,$AB$2420:AB2624,"*")</f>
        <v>-451.99999999997726</v>
      </c>
      <c r="BT2423" s="343">
        <f>SUMIFS($AU$2420:AU2624,$AC$2420:AC2624,"*")</f>
        <v>-143.99999999999909</v>
      </c>
      <c r="BU2423" s="343">
        <f>SUMIFS($AU$2420:AU2624,$AA$2420:AA2624,"*",$AB$2420:AB2624,"*")</f>
        <v>95.999999999933891</v>
      </c>
      <c r="BV2423" s="343">
        <f>SUMIFS($AU$2420:AU2624,$AA$2420:AA2624,"*",$AC$2420:AC2624,"*")</f>
        <v>-591.99999999999977</v>
      </c>
      <c r="BW2423" s="343">
        <f>SUMIFS($AU$2420:AU2624,$AB$2420:AB2624,"*",$AC$2420:AC2624,"*")</f>
        <v>-143.99999999999966</v>
      </c>
      <c r="BX2423" s="343">
        <f>SUMIFS($AV$2420:AV2624,$Q$2420:Q2624,"F")</f>
        <v>18.153846153846242</v>
      </c>
      <c r="BY2423" s="343">
        <f>SUMIFS($AV$2420:AV2624,$Q$2420:Q2624,"S")</f>
        <v>64.044720496894826</v>
      </c>
      <c r="BZ2423" s="343">
        <f>SUMIFS($AV$2420:AV2624,$Q$2420:Q2624,"O")</f>
        <v>-458.13333333332537</v>
      </c>
    </row>
    <row r="2424" spans="1:78" ht="15.75" customHeight="1">
      <c r="A2424" s="177" t="s">
        <v>7465</v>
      </c>
      <c r="B2424" s="200">
        <v>45517</v>
      </c>
      <c r="C2424" s="178" t="s">
        <v>7303</v>
      </c>
      <c r="D2424" s="178" t="s">
        <v>146</v>
      </c>
      <c r="E2424" s="227"/>
      <c r="F2424" s="180"/>
      <c r="G2424" s="481" t="s">
        <v>7279</v>
      </c>
      <c r="H2424" s="182"/>
      <c r="I2424" s="182"/>
      <c r="J2424" s="182"/>
      <c r="K2424" s="183"/>
      <c r="L2424" s="182"/>
      <c r="M2424" s="182">
        <v>2</v>
      </c>
      <c r="N2424" s="182"/>
      <c r="O2424" s="183" t="s">
        <v>95</v>
      </c>
      <c r="P2424" s="183" t="s">
        <v>137</v>
      </c>
      <c r="Q2424" s="183" t="s">
        <v>97</v>
      </c>
      <c r="R2424" s="183">
        <v>7</v>
      </c>
      <c r="S2424" s="183">
        <v>0</v>
      </c>
      <c r="T2424" s="183">
        <v>7</v>
      </c>
      <c r="U2424" s="183" t="s">
        <v>22</v>
      </c>
      <c r="V2424" s="183" t="s">
        <v>7349</v>
      </c>
      <c r="W2424" s="183" t="s">
        <v>115</v>
      </c>
      <c r="X2424" s="183" t="s">
        <v>7467</v>
      </c>
      <c r="Y2424" s="184">
        <f>IF(ISBLANK(O2424),"",(IF(O2424=UPPER("IB"),0.005,0.01)))</f>
        <v>0.01</v>
      </c>
      <c r="Z2424" s="185">
        <f>IF(ISBLANK(O2424),"",IF(O2424="IB",8.63*200,IF(O2424="IR",16*100,IF(O2424="YT",20*100,IF(O2424="YT-XT",24*200,IF(O2424="TED",80*100,IF(O2424="XT",29*200)))))))</f>
        <v>1600</v>
      </c>
      <c r="AA2424" s="185" t="s">
        <v>7590</v>
      </c>
      <c r="AB2424" s="185"/>
      <c r="AC2424" s="185"/>
      <c r="AD2424" s="649">
        <v>-0.17</v>
      </c>
      <c r="AE2424" s="182"/>
      <c r="AF2424" s="332"/>
      <c r="AG2424" s="182"/>
      <c r="AH2424" s="182"/>
      <c r="AI2424" s="182"/>
      <c r="AJ2424" s="640" t="s">
        <v>7591</v>
      </c>
      <c r="AK2424" s="182"/>
      <c r="AL2424" s="496">
        <f t="shared" si="813"/>
        <v>-32</v>
      </c>
      <c r="AM2424" s="496">
        <f t="shared" si="820"/>
        <v>-224</v>
      </c>
      <c r="AN2424" s="626"/>
      <c r="AO2424" s="182"/>
      <c r="AP2424" s="182"/>
      <c r="AQ2424" s="332" t="s">
        <v>372</v>
      </c>
      <c r="AR2424" s="182" t="s">
        <v>7592</v>
      </c>
      <c r="AS2424" s="189">
        <v>-0.16</v>
      </c>
      <c r="AT2424" s="189">
        <f t="shared" si="821"/>
        <v>1.0000000000000009E-2</v>
      </c>
      <c r="AU2424" s="187">
        <f t="shared" si="822"/>
        <v>112.0000000000001</v>
      </c>
      <c r="AV2424" s="190">
        <f t="shared" si="814"/>
        <v>16.000000000000014</v>
      </c>
      <c r="AW2424" s="191" t="s">
        <v>96</v>
      </c>
      <c r="AX2424" s="549" t="s">
        <v>782</v>
      </c>
      <c r="AY2424" s="549"/>
      <c r="AZ2424" s="549"/>
      <c r="BA2424" s="549"/>
      <c r="BB2424" s="551"/>
      <c r="BC2424" s="551"/>
      <c r="BD2424" s="549"/>
      <c r="BE2424" s="550"/>
      <c r="BF2424" s="549"/>
      <c r="BG2424" s="391">
        <f>SUM($AV$2420:AV2424)</f>
        <v>48.000000000000028</v>
      </c>
      <c r="BH2424" s="392">
        <f>SUM($AU$2420:AU2424)</f>
        <v>272.00000000000011</v>
      </c>
      <c r="BI2424" s="318">
        <f>SUMIFS($AU$2420:AU2625,$Q$2420:Q2625,"F")</f>
        <v>-143.99999999999949</v>
      </c>
      <c r="BJ2424" s="318">
        <f>SUMIFS($AU$2420:AU2625,$Q$2420:Q2625,"S")</f>
        <v>256.00000000000466</v>
      </c>
      <c r="BK2424" s="343">
        <f>SUMIFS($AU$2420:AU2625,$P$2420:P2625,"W")</f>
        <v>-607.99999999991883</v>
      </c>
      <c r="BL2424" s="343">
        <f>SUMIFS($AU$2420:AU2625,$P$2420:P2625,"R")</f>
        <v>911.99999999999966</v>
      </c>
      <c r="BM2424" s="343">
        <f>SUMIFS($AU$2420:AU2625,$AQ$2420:AQ2625,"M")</f>
        <v>-899.79999999984489</v>
      </c>
      <c r="BN2424" s="343">
        <f>SUMIFS($AU$2420:AU2625,$AQ$2420:AQ2625,"H")</f>
        <v>1762.9999999999427</v>
      </c>
      <c r="BO2424" s="343">
        <f>SUMIFS($AU$2420:AU2625,$AQ$2420:AQ2625,"D")</f>
        <v>-767.99999999998977</v>
      </c>
      <c r="BP2424" s="343">
        <f>SUMIFS($AS$2420:AS2713,$AO$2420:AO2713,"W")</f>
        <v>0</v>
      </c>
      <c r="BQ2424" s="343">
        <f>SUMIFS($AU$2420:AU2625,$Q$2420:Q2625,"O")</f>
        <v>-884.7999999998965</v>
      </c>
      <c r="BR2424" s="343">
        <f>SUMIFS($AU$2420:AU2625,$AA$2420:AA2625,"*")</f>
        <v>-512.79999999998074</v>
      </c>
      <c r="BS2424" s="343">
        <f>SUMIFS($AU$2420:AU2625,$AB$2420:AB2625,"*")</f>
        <v>-451.99999999997726</v>
      </c>
      <c r="BT2424" s="343">
        <f>SUMIFS($AU$2420:AU2625,$AC$2420:AC2625,"*")</f>
        <v>-143.99999999999909</v>
      </c>
      <c r="BU2424" s="343">
        <f>SUMIFS($AU$2420:AU2625,$AA$2420:AA2625,"*",$AB$2420:AB2625,"*")</f>
        <v>95.999999999933891</v>
      </c>
      <c r="BV2424" s="343">
        <f>SUMIFS($AU$2420:AU2625,$AA$2420:AA2625,"*",$AC$2420:AC2625,"*")</f>
        <v>-591.99999999999977</v>
      </c>
      <c r="BW2424" s="343">
        <f>SUMIFS($AU$2420:AU2625,$AB$2420:AB2625,"*",$AC$2420:AC2625,"*")</f>
        <v>-143.99999999999966</v>
      </c>
      <c r="BX2424" s="343">
        <f>SUMIFS($AV$2420:AV2625,$Q$2420:Q2625,"F")</f>
        <v>18.153846153846242</v>
      </c>
      <c r="BY2424" s="343">
        <f>SUMIFS($AV$2420:AV2625,$Q$2420:Q2625,"S")</f>
        <v>64.044720496894826</v>
      </c>
      <c r="BZ2424" s="343">
        <f>SUMIFS($AV$2420:AV2625,$Q$2420:Q2625,"O")</f>
        <v>-458.13333333332537</v>
      </c>
    </row>
    <row r="2425" spans="1:78" ht="15.75" customHeight="1">
      <c r="A2425" s="177" t="s">
        <v>7465</v>
      </c>
      <c r="B2425" s="200">
        <v>45518</v>
      </c>
      <c r="C2425" s="178" t="s">
        <v>3001</v>
      </c>
      <c r="D2425" s="178" t="s">
        <v>146</v>
      </c>
      <c r="E2425" s="227" t="s">
        <v>7593</v>
      </c>
      <c r="F2425" s="180"/>
      <c r="G2425" s="181"/>
      <c r="H2425" s="182"/>
      <c r="I2425" s="182"/>
      <c r="J2425" s="182"/>
      <c r="K2425" s="183"/>
      <c r="L2425" s="182"/>
      <c r="M2425" s="182"/>
      <c r="N2425" s="182"/>
      <c r="O2425" s="183"/>
      <c r="P2425" s="183"/>
      <c r="Q2425" s="183"/>
      <c r="R2425" s="183"/>
      <c r="S2425" s="183"/>
      <c r="T2425" s="183"/>
      <c r="U2425" s="183"/>
      <c r="V2425" s="183"/>
      <c r="W2425" s="183"/>
      <c r="X2425" s="183"/>
      <c r="Y2425" s="183"/>
      <c r="Z2425" s="183"/>
      <c r="AA2425" s="185"/>
      <c r="AB2425" s="185"/>
      <c r="AC2425" s="185"/>
      <c r="AD2425" s="649"/>
      <c r="AE2425" s="182"/>
      <c r="AF2425" s="332"/>
      <c r="AG2425" s="182"/>
      <c r="AH2425" s="182"/>
      <c r="AI2425" s="182"/>
      <c r="AJ2425" s="640"/>
      <c r="AK2425" s="182"/>
      <c r="AL2425" s="496">
        <f t="shared" si="813"/>
        <v>0</v>
      </c>
      <c r="AM2425" s="496">
        <f t="shared" si="820"/>
        <v>0</v>
      </c>
      <c r="AN2425" s="626"/>
      <c r="AO2425" s="182"/>
      <c r="AP2425" s="182"/>
      <c r="AQ2425" s="332" t="str">
        <f>UPPER(RIGHT(Journal_Live[[#This Row],[DURATION ]]))</f>
        <v/>
      </c>
      <c r="AR2425" s="182"/>
      <c r="AS2425" s="189"/>
      <c r="AT2425" s="189">
        <f t="shared" si="821"/>
        <v>0</v>
      </c>
      <c r="AU2425" s="187">
        <f t="shared" si="822"/>
        <v>0</v>
      </c>
      <c r="AV2425" s="190">
        <f t="shared" si="814"/>
        <v>0</v>
      </c>
      <c r="AW2425" s="191"/>
      <c r="AX2425" s="549"/>
      <c r="AY2425" s="549"/>
      <c r="AZ2425" s="549"/>
      <c r="BA2425" s="549"/>
      <c r="BB2425" s="551"/>
      <c r="BC2425" s="551"/>
      <c r="BD2425" s="549"/>
      <c r="BE2425" s="550"/>
      <c r="BF2425" s="549"/>
      <c r="BG2425" s="391">
        <f>SUM($AV$2420:AV2425)</f>
        <v>48.000000000000028</v>
      </c>
      <c r="BH2425" s="392">
        <f>SUM($AU$2420:AU2425)</f>
        <v>272.00000000000011</v>
      </c>
      <c r="BI2425" s="318">
        <f>SUMIFS($AU$2420:AU2626,$Q$2420:Q2626,"F")</f>
        <v>-143.99999999999949</v>
      </c>
      <c r="BJ2425" s="318">
        <f>SUMIFS($AU$2420:AU2626,$Q$2420:Q2626,"S")</f>
        <v>256.00000000000466</v>
      </c>
      <c r="BK2425" s="343">
        <f>SUMIFS($AU$2420:AU2626,$P$2420:P2626,"W")</f>
        <v>-607.99999999991883</v>
      </c>
      <c r="BL2425" s="343">
        <f>SUMIFS($AU$2420:AU2626,$P$2420:P2626,"R")</f>
        <v>911.99999999999966</v>
      </c>
      <c r="BM2425" s="343">
        <f>SUMIFS($AU$2420:AU2626,$AQ$2420:AQ2626,"M")</f>
        <v>-899.79999999984489</v>
      </c>
      <c r="BN2425" s="343">
        <f>SUMIFS($AU$2420:AU2626,$AQ$2420:AQ2626,"H")</f>
        <v>1762.9999999999427</v>
      </c>
      <c r="BO2425" s="343">
        <f>SUMIFS($AU$2420:AU2626,$AQ$2420:AQ2626,"D")</f>
        <v>-767.99999999998977</v>
      </c>
      <c r="BP2425" s="343">
        <f>SUMIFS($AS$2420:AS2714,$AO$2420:AO2714,"W")</f>
        <v>0</v>
      </c>
      <c r="BQ2425" s="343">
        <f>SUMIFS($AU$2420:AU2626,$Q$2420:Q2626,"O")</f>
        <v>-884.7999999998965</v>
      </c>
      <c r="BR2425" s="343">
        <f>SUMIFS($AU$2420:AU2626,$AA$2420:AA2626,"*")</f>
        <v>-512.79999999998074</v>
      </c>
      <c r="BS2425" s="343">
        <f>SUMIFS($AU$2420:AU2626,$AB$2420:AB2626,"*")</f>
        <v>-451.99999999997726</v>
      </c>
      <c r="BT2425" s="343">
        <f>SUMIFS($AU$2420:AU2626,$AC$2420:AC2626,"*")</f>
        <v>-143.99999999999909</v>
      </c>
      <c r="BU2425" s="343">
        <f>SUMIFS($AU$2420:AU2626,$AA$2420:AA2626,"*",$AB$2420:AB2626,"*")</f>
        <v>95.999999999933891</v>
      </c>
      <c r="BV2425" s="343">
        <f>SUMIFS($AU$2420:AU2626,$AA$2420:AA2626,"*",$AC$2420:AC2626,"*")</f>
        <v>-591.99999999999977</v>
      </c>
      <c r="BW2425" s="343">
        <f>SUMIFS($AU$2420:AU2626,$AB$2420:AB2626,"*",$AC$2420:AC2626,"*")</f>
        <v>-143.99999999999966</v>
      </c>
      <c r="BX2425" s="343">
        <f>SUMIFS($AV$2420:AV2626,$Q$2420:Q2626,"F")</f>
        <v>18.153846153846242</v>
      </c>
      <c r="BY2425" s="343">
        <f>SUMIFS($AV$2420:AV2626,$Q$2420:Q2626,"S")</f>
        <v>64.044720496894826</v>
      </c>
      <c r="BZ2425" s="343">
        <f>SUMIFS($AV$2420:AV2626,$Q$2420:Q2626,"O")</f>
        <v>-458.13333333332537</v>
      </c>
    </row>
    <row r="2426" spans="1:78" ht="15.75" customHeight="1">
      <c r="A2426" s="177" t="s">
        <v>7465</v>
      </c>
      <c r="B2426" s="200">
        <v>45518</v>
      </c>
      <c r="C2426" s="178" t="s">
        <v>682</v>
      </c>
      <c r="D2426" s="178" t="s">
        <v>151</v>
      </c>
      <c r="E2426" s="227"/>
      <c r="F2426" s="180"/>
      <c r="G2426" s="181" t="s">
        <v>6998</v>
      </c>
      <c r="H2426" s="182"/>
      <c r="I2426" s="182"/>
      <c r="J2426" s="182"/>
      <c r="K2426" s="183"/>
      <c r="L2426" s="182">
        <v>2</v>
      </c>
      <c r="M2426" s="182"/>
      <c r="N2426" s="182"/>
      <c r="O2426" s="183" t="s">
        <v>3618</v>
      </c>
      <c r="P2426" s="183" t="s">
        <v>2260</v>
      </c>
      <c r="Q2426" s="183" t="s">
        <v>684</v>
      </c>
      <c r="R2426" s="183">
        <v>1</v>
      </c>
      <c r="S2426" s="183">
        <v>0</v>
      </c>
      <c r="T2426" s="183">
        <v>1</v>
      </c>
      <c r="U2426" s="183" t="s">
        <v>22</v>
      </c>
      <c r="V2426" s="183" t="s">
        <v>7349</v>
      </c>
      <c r="W2426" s="183" t="s">
        <v>115</v>
      </c>
      <c r="X2426" s="183"/>
      <c r="Y2426" s="184">
        <f>IF(ISBLANK(O2426),"",(IF(O2426=UPPER("IB"),0.005,0.01)))</f>
        <v>0.01</v>
      </c>
      <c r="Z2426" s="185">
        <f>IF(ISBLANK(O2426),"",IF(O2426="IB",8.63*200,IF(O2426="IR",16*100,IF(O2426="YT",20*100,IF(O2426="YT-XT",24*200,IF(O2426="TED",80*100,IF(O2426="XT",29*200)))))))</f>
        <v>5800</v>
      </c>
      <c r="AA2426" s="185" t="s">
        <v>5476</v>
      </c>
      <c r="AB2426" s="185"/>
      <c r="AC2426" s="185"/>
      <c r="AD2426" s="649">
        <v>96.045000000000002</v>
      </c>
      <c r="AE2426" s="182"/>
      <c r="AF2426" s="332"/>
      <c r="AG2426" s="182"/>
      <c r="AH2426" s="182"/>
      <c r="AI2426" s="182"/>
      <c r="AJ2426" s="640"/>
      <c r="AK2426" s="182"/>
      <c r="AL2426" s="496">
        <f t="shared" ref="AL2426:AL2473" si="828">-0.02*Z2426</f>
        <v>-116</v>
      </c>
      <c r="AM2426" s="496">
        <f t="shared" ref="AM2426:AM2473" si="829">AL2426*(R2426-S2426)</f>
        <v>-116</v>
      </c>
      <c r="AN2426" s="626"/>
      <c r="AO2426" s="182"/>
      <c r="AP2426" s="182"/>
      <c r="AQ2426" s="332" t="s">
        <v>1259</v>
      </c>
      <c r="AR2426" s="182"/>
      <c r="AS2426" s="189">
        <v>96.03</v>
      </c>
      <c r="AT2426" s="189">
        <f t="shared" ref="AT2426:AT2473" si="830">IF(ISBLANK(AS2426),,IF(U2426="S",AD2426-AS2426,AS2426-AD2426))</f>
        <v>-1.5000000000000568E-2</v>
      </c>
      <c r="AU2426" s="187">
        <f t="shared" ref="AU2426:AU2473" si="831">AV2426*R2426</f>
        <v>-87.000000000003297</v>
      </c>
      <c r="AV2426" s="190">
        <f t="shared" ref="AV2426:AV2473" si="832">IF(ISBLANK(AS2426),,(AT2426*Z2426))</f>
        <v>-87.000000000003297</v>
      </c>
      <c r="AW2426" s="191" t="s">
        <v>229</v>
      </c>
      <c r="AX2426" s="549"/>
      <c r="AY2426" s="549"/>
      <c r="AZ2426" s="549"/>
      <c r="BA2426" s="549"/>
      <c r="BB2426" s="551"/>
      <c r="BC2426" s="551"/>
      <c r="BD2426" s="549"/>
      <c r="BE2426" s="550"/>
      <c r="BF2426" s="549"/>
      <c r="BG2426" s="391">
        <f>SUM($AV$2420:AV2426)</f>
        <v>-39.000000000003268</v>
      </c>
      <c r="BH2426" s="392">
        <f>SUM($AU$2420:AU2426)</f>
        <v>184.99999999999682</v>
      </c>
      <c r="BI2426" s="318">
        <f>SUMIFS($AU$2420:AU2622,$Q$2420:Q2622,"F")</f>
        <v>-143.99999999999949</v>
      </c>
      <c r="BJ2426" s="318">
        <f>SUMIFS($AU$2420:AU2622,$Q$2420:Q2622,"S")</f>
        <v>256.00000000000466</v>
      </c>
      <c r="BK2426" s="343">
        <f>SUMIFS($AU$2420:AU2622,$P$2420:P2622,"W")</f>
        <v>-607.99999999991883</v>
      </c>
      <c r="BL2426" s="343">
        <f>SUMIFS($AU$2420:AU2622,$P$2420:P2622,"R")</f>
        <v>911.99999999999966</v>
      </c>
      <c r="BM2426" s="343">
        <f>SUMIFS($AU$2420:AU2622,$AQ$2420:AQ2622,"M")</f>
        <v>-899.79999999984489</v>
      </c>
      <c r="BN2426" s="343">
        <f>SUMIFS($AU$2420:AU2622,$AQ$2420:AQ2622,"H")</f>
        <v>1762.9999999999427</v>
      </c>
      <c r="BO2426" s="343">
        <f>SUMIFS($AU$2420:AU2622,$AQ$2420:AQ2622,"D")</f>
        <v>-767.99999999998977</v>
      </c>
      <c r="BP2426" s="343">
        <f>SUMIFS($AS$2420:AS2710,$AO$2420:AO2710,"W")</f>
        <v>0</v>
      </c>
      <c r="BQ2426" s="343">
        <f>SUMIFS($AU$2420:AU2622,$Q$2420:Q2622,"O")</f>
        <v>-884.7999999998965</v>
      </c>
      <c r="BR2426" s="343">
        <f>SUMIFS($AU$2420:AU2622,$AA$2420:AA2622,"*")</f>
        <v>-512.79999999998074</v>
      </c>
      <c r="BS2426" s="343">
        <f>SUMIFS($AU$2420:AU2622,$AB$2420:AB2622,"*")</f>
        <v>-451.99999999997726</v>
      </c>
      <c r="BT2426" s="343">
        <f>SUMIFS($AU$2420:AU2622,$AC$2420:AC2622,"*")</f>
        <v>-143.99999999999909</v>
      </c>
      <c r="BU2426" s="343">
        <f>SUMIFS($AU$2420:AU2622,$AA$2420:AA2622,"*",$AB$2420:AB2622,"*")</f>
        <v>95.999999999933891</v>
      </c>
      <c r="BV2426" s="343">
        <f>SUMIFS($AU$2420:AU2622,$AA$2420:AA2622,"*",$AC$2420:AC2622,"*")</f>
        <v>-591.99999999999977</v>
      </c>
      <c r="BW2426" s="343">
        <f>SUMIFS($AU$2420:AU2622,$AB$2420:AB2622,"*",$AC$2420:AC2622,"*")</f>
        <v>-143.99999999999966</v>
      </c>
      <c r="BX2426" s="343">
        <f>SUMIFS($AV$2420:AV2622,$Q$2420:Q2622,"F")</f>
        <v>18.153846153846242</v>
      </c>
      <c r="BY2426" s="343">
        <f>SUMIFS($AV$2420:AV2622,$Q$2420:Q2622,"S")</f>
        <v>64.044720496894826</v>
      </c>
      <c r="BZ2426" s="343">
        <f>SUMIFS($AV$2420:AV2622,$Q$2420:Q2622,"O")</f>
        <v>-458.13333333332537</v>
      </c>
    </row>
    <row r="2427" spans="1:78" ht="15.75" customHeight="1">
      <c r="A2427" s="177" t="s">
        <v>7465</v>
      </c>
      <c r="B2427" s="200">
        <v>45518</v>
      </c>
      <c r="C2427" s="178" t="s">
        <v>682</v>
      </c>
      <c r="D2427" s="178" t="s">
        <v>151</v>
      </c>
      <c r="E2427" s="227"/>
      <c r="F2427" s="180"/>
      <c r="G2427" s="181" t="s">
        <v>7396</v>
      </c>
      <c r="H2427" s="182"/>
      <c r="I2427" s="182"/>
      <c r="J2427" s="182"/>
      <c r="K2427" s="183"/>
      <c r="L2427" s="182">
        <v>2</v>
      </c>
      <c r="M2427" s="182"/>
      <c r="N2427" s="182"/>
      <c r="O2427" s="183" t="s">
        <v>2432</v>
      </c>
      <c r="P2427" s="183" t="s">
        <v>2260</v>
      </c>
      <c r="Q2427" s="183" t="s">
        <v>684</v>
      </c>
      <c r="R2427" s="183">
        <v>1</v>
      </c>
      <c r="S2427" s="183">
        <v>0</v>
      </c>
      <c r="T2427" s="183">
        <v>1</v>
      </c>
      <c r="U2427" s="183" t="s">
        <v>22</v>
      </c>
      <c r="V2427" s="183" t="s">
        <v>7349</v>
      </c>
      <c r="W2427" s="183" t="s">
        <v>115</v>
      </c>
      <c r="X2427" s="183"/>
      <c r="Y2427" s="184">
        <f>IF(ISBLANK(O2427),"",(IF(O2427=UPPER("IB"),0.005,0.01)))</f>
        <v>0.01</v>
      </c>
      <c r="Z2427" s="185">
        <f>IF(ISBLANK(O2427),"",IF(O2427="IB",8.63*200,IF(O2427="IR",16*100,IF(O2427="YT",20*100,IF(O2427="YT-XT",24*200,IF(O2427="TED",80*100,IF(O2427="XT",29*200)))))))</f>
        <v>2000</v>
      </c>
      <c r="AA2427" s="185" t="s">
        <v>5476</v>
      </c>
      <c r="AB2427" s="185"/>
      <c r="AC2427" s="185"/>
      <c r="AD2427" s="649">
        <v>96.47</v>
      </c>
      <c r="AE2427" s="182"/>
      <c r="AF2427" s="332"/>
      <c r="AG2427" s="182"/>
      <c r="AH2427" s="182"/>
      <c r="AI2427" s="182"/>
      <c r="AJ2427" s="640"/>
      <c r="AK2427" s="182"/>
      <c r="AL2427" s="496">
        <f t="shared" si="828"/>
        <v>-40</v>
      </c>
      <c r="AM2427" s="496">
        <f t="shared" si="829"/>
        <v>-40</v>
      </c>
      <c r="AN2427" s="626"/>
      <c r="AO2427" s="182"/>
      <c r="AP2427" s="182"/>
      <c r="AQ2427" s="332" t="s">
        <v>1259</v>
      </c>
      <c r="AR2427" s="182"/>
      <c r="AS2427" s="189">
        <v>96.44</v>
      </c>
      <c r="AT2427" s="189">
        <f t="shared" si="830"/>
        <v>-3.0000000000001137E-2</v>
      </c>
      <c r="AU2427" s="187">
        <f t="shared" si="831"/>
        <v>-60.000000000002274</v>
      </c>
      <c r="AV2427" s="190">
        <f t="shared" si="832"/>
        <v>-60.000000000002274</v>
      </c>
      <c r="AW2427" s="191" t="s">
        <v>229</v>
      </c>
      <c r="AX2427" s="549"/>
      <c r="AY2427" s="549"/>
      <c r="AZ2427" s="549"/>
      <c r="BA2427" s="549"/>
      <c r="BB2427" s="551"/>
      <c r="BC2427" s="551"/>
      <c r="BD2427" s="549"/>
      <c r="BE2427" s="550"/>
      <c r="BF2427" s="549"/>
      <c r="BG2427" s="391">
        <f>SUM($AV$2420:AV2427)</f>
        <v>-99.000000000005542</v>
      </c>
      <c r="BH2427" s="392">
        <f>SUM($AU$2420:AU2427)</f>
        <v>124.99999999999454</v>
      </c>
      <c r="BI2427" s="318">
        <f>SUMIFS($AU$2420:AU2623,$Q$2420:Q2623,"F")</f>
        <v>-143.99999999999949</v>
      </c>
      <c r="BJ2427" s="318">
        <f>SUMIFS($AU$2420:AU2623,$Q$2420:Q2623,"S")</f>
        <v>256.00000000000466</v>
      </c>
      <c r="BK2427" s="343">
        <f>SUMIFS($AU$2420:AU2623,$P$2420:P2623,"W")</f>
        <v>-607.99999999991883</v>
      </c>
      <c r="BL2427" s="343">
        <f>SUMIFS($AU$2420:AU2623,$P$2420:P2623,"R")</f>
        <v>911.99999999999966</v>
      </c>
      <c r="BM2427" s="343">
        <f>SUMIFS($AU$2420:AU2623,$AQ$2420:AQ2623,"M")</f>
        <v>-899.79999999984489</v>
      </c>
      <c r="BN2427" s="343">
        <f>SUMIFS($AU$2420:AU2623,$AQ$2420:AQ2623,"H")</f>
        <v>1762.9999999999427</v>
      </c>
      <c r="BO2427" s="343">
        <f>SUMIFS($AU$2420:AU2623,$AQ$2420:AQ2623,"D")</f>
        <v>-767.99999999998977</v>
      </c>
      <c r="BP2427" s="343">
        <f>SUMIFS($AS$2420:AS2711,$AO$2420:AO2711,"W")</f>
        <v>0</v>
      </c>
      <c r="BQ2427" s="343">
        <f>SUMIFS($AU$2420:AU2623,$Q$2420:Q2623,"O")</f>
        <v>-884.7999999998965</v>
      </c>
      <c r="BR2427" s="343">
        <f>SUMIFS($AU$2420:AU2623,$AA$2420:AA2623,"*")</f>
        <v>-512.79999999998074</v>
      </c>
      <c r="BS2427" s="343">
        <f>SUMIFS($AU$2420:AU2623,$AB$2420:AB2623,"*")</f>
        <v>-451.99999999997726</v>
      </c>
      <c r="BT2427" s="343">
        <f>SUMIFS($AU$2420:AU2623,$AC$2420:AC2623,"*")</f>
        <v>-143.99999999999909</v>
      </c>
      <c r="BU2427" s="343">
        <f>SUMIFS($AU$2420:AU2623,$AA$2420:AA2623,"*",$AB$2420:AB2623,"*")</f>
        <v>95.999999999933891</v>
      </c>
      <c r="BV2427" s="343">
        <f>SUMIFS($AU$2420:AU2623,$AA$2420:AA2623,"*",$AC$2420:AC2623,"*")</f>
        <v>-591.99999999999977</v>
      </c>
      <c r="BW2427" s="343">
        <f>SUMIFS($AU$2420:AU2623,$AB$2420:AB2623,"*",$AC$2420:AC2623,"*")</f>
        <v>-143.99999999999966</v>
      </c>
      <c r="BX2427" s="343">
        <f>SUMIFS($AV$2420:AV2623,$Q$2420:Q2623,"F")</f>
        <v>18.153846153846242</v>
      </c>
      <c r="BY2427" s="343">
        <f>SUMIFS($AV$2420:AV2623,$Q$2420:Q2623,"S")</f>
        <v>64.044720496894826</v>
      </c>
      <c r="BZ2427" s="343">
        <f>SUMIFS($AV$2420:AV2623,$Q$2420:Q2623,"O")</f>
        <v>-458.13333333332537</v>
      </c>
    </row>
    <row r="2428" spans="1:78" ht="15.75" customHeight="1">
      <c r="A2428" s="177" t="s">
        <v>7465</v>
      </c>
      <c r="B2428" s="200">
        <v>45518</v>
      </c>
      <c r="C2428" s="178" t="s">
        <v>1728</v>
      </c>
      <c r="D2428" s="178" t="s">
        <v>151</v>
      </c>
      <c r="E2428" s="227" t="s">
        <v>7594</v>
      </c>
      <c r="F2428" s="180"/>
      <c r="G2428" s="181"/>
      <c r="H2428" s="182"/>
      <c r="I2428" s="182">
        <v>1</v>
      </c>
      <c r="J2428" s="182"/>
      <c r="K2428" s="183"/>
      <c r="L2428" s="182"/>
      <c r="M2428" s="182"/>
      <c r="N2428" s="182"/>
      <c r="O2428" s="183"/>
      <c r="P2428" s="183"/>
      <c r="Q2428" s="183"/>
      <c r="R2428" s="183"/>
      <c r="S2428" s="183"/>
      <c r="T2428" s="183"/>
      <c r="U2428" s="183"/>
      <c r="V2428" s="183"/>
      <c r="W2428" s="183"/>
      <c r="X2428" s="183"/>
      <c r="Y2428" s="183"/>
      <c r="Z2428" s="183"/>
      <c r="AA2428" s="185"/>
      <c r="AB2428" s="185"/>
      <c r="AC2428" s="185"/>
      <c r="AD2428" s="649"/>
      <c r="AE2428" s="182"/>
      <c r="AF2428" s="332"/>
      <c r="AG2428" s="182"/>
      <c r="AH2428" s="182"/>
      <c r="AI2428" s="182"/>
      <c r="AJ2428" s="640"/>
      <c r="AK2428" s="182"/>
      <c r="AL2428" s="496">
        <f t="shared" ref="AL2428:AL2433" si="833">-0.02*Z2428</f>
        <v>0</v>
      </c>
      <c r="AM2428" s="496">
        <f t="shared" ref="AM2428:AM2433" si="834">AL2428*(R2428-S2428)</f>
        <v>0</v>
      </c>
      <c r="AN2428" s="626"/>
      <c r="AO2428" s="182"/>
      <c r="AP2428" s="182"/>
      <c r="AQ2428" s="332" t="str">
        <f>UPPER(RIGHT(Journal_Live[[#This Row],[DURATION ]]))</f>
        <v/>
      </c>
      <c r="AR2428" s="182"/>
      <c r="AS2428" s="189"/>
      <c r="AT2428" s="189">
        <f t="shared" ref="AT2428:AT2433" si="835">IF(ISBLANK(AS2428),,IF(U2428="S",AD2428-AS2428,AS2428-AD2428))</f>
        <v>0</v>
      </c>
      <c r="AU2428" s="187">
        <f t="shared" ref="AU2428:AU2433" si="836">AV2428*R2428</f>
        <v>0</v>
      </c>
      <c r="AV2428" s="190">
        <f t="shared" ref="AV2428:AV2433" si="837">IF(ISBLANK(AS2428),,(AT2428*Z2428))</f>
        <v>0</v>
      </c>
      <c r="AW2428" s="191"/>
      <c r="AX2428" s="549"/>
      <c r="AY2428" s="549"/>
      <c r="AZ2428" s="549"/>
      <c r="BA2428" s="549"/>
      <c r="BB2428" s="551"/>
      <c r="BC2428" s="551"/>
      <c r="BD2428" s="549"/>
      <c r="BE2428" s="550"/>
      <c r="BF2428" s="549"/>
      <c r="BG2428" s="391">
        <f>SUM($AV$2420:AV2428)</f>
        <v>-99.000000000005542</v>
      </c>
      <c r="BH2428" s="392">
        <f>SUM($AU$2420:AU2428)</f>
        <v>124.99999999999454</v>
      </c>
      <c r="BI2428" s="318">
        <f>SUMIFS($AU$2420:AU2618,$Q$2420:Q2618,"F")</f>
        <v>-143.99999999999949</v>
      </c>
      <c r="BJ2428" s="318">
        <f>SUMIFS($AU$2420:AU2618,$Q$2420:Q2618,"S")</f>
        <v>256.00000000000466</v>
      </c>
      <c r="BK2428" s="343">
        <f>SUMIFS($AU$2420:AU2618,$P$2420:P2618,"W")</f>
        <v>-607.99999999991883</v>
      </c>
      <c r="BL2428" s="343">
        <f>SUMIFS($AU$2420:AU2618,$P$2420:P2618,"R")</f>
        <v>911.99999999999966</v>
      </c>
      <c r="BM2428" s="343">
        <f>SUMIFS($AU$2420:AU2618,$AQ$2420:AQ2618,"M")</f>
        <v>-899.79999999984489</v>
      </c>
      <c r="BN2428" s="343">
        <f>SUMIFS($AU$2420:AU2618,$AQ$2420:AQ2618,"H")</f>
        <v>1762.9999999999427</v>
      </c>
      <c r="BO2428" s="343">
        <f>SUMIFS($AU$2420:AU2618,$AQ$2420:AQ2618,"D")</f>
        <v>-767.99999999998977</v>
      </c>
      <c r="BP2428" s="343">
        <f>SUMIFS($AS$2420:AS2706,$AO$2420:AO2706,"W")</f>
        <v>0</v>
      </c>
      <c r="BQ2428" s="343">
        <f>SUMIFS($AU$2420:AU2618,$Q$2420:Q2618,"O")</f>
        <v>-884.7999999998965</v>
      </c>
      <c r="BR2428" s="343">
        <f>SUMIFS($AU$2420:AU2618,$AA$2420:AA2618,"*")</f>
        <v>-512.79999999998074</v>
      </c>
      <c r="BS2428" s="343">
        <f>SUMIFS($AU$2420:AU2618,$AB$2420:AB2618,"*")</f>
        <v>-451.99999999997726</v>
      </c>
      <c r="BT2428" s="343">
        <f>SUMIFS($AU$2420:AU2618,$AC$2420:AC2618,"*")</f>
        <v>-143.99999999999909</v>
      </c>
      <c r="BU2428" s="343">
        <f>SUMIFS($AU$2420:AU2618,$AA$2420:AA2618,"*",$AB$2420:AB2618,"*")</f>
        <v>95.999999999933891</v>
      </c>
      <c r="BV2428" s="343">
        <f>SUMIFS($AU$2420:AU2618,$AA$2420:AA2618,"*",$AC$2420:AC2618,"*")</f>
        <v>-591.99999999999977</v>
      </c>
      <c r="BW2428" s="343">
        <f>SUMIFS($AU$2420:AU2618,$AB$2420:AB2618,"*",$AC$2420:AC2618,"*")</f>
        <v>-143.99999999999966</v>
      </c>
      <c r="BX2428" s="343">
        <f>SUMIFS($AV$2420:AV2618,$Q$2420:Q2618,"F")</f>
        <v>18.153846153846242</v>
      </c>
      <c r="BY2428" s="343">
        <f>SUMIFS($AV$2420:AV2618,$Q$2420:Q2618,"S")</f>
        <v>64.044720496894826</v>
      </c>
      <c r="BZ2428" s="343">
        <f>SUMIFS($AV$2420:AV2618,$Q$2420:Q2618,"O")</f>
        <v>-458.13333333332537</v>
      </c>
    </row>
    <row r="2429" spans="1:78" ht="15.75" customHeight="1">
      <c r="A2429" s="177" t="s">
        <v>7465</v>
      </c>
      <c r="B2429" s="200"/>
      <c r="C2429" s="178"/>
      <c r="D2429" s="178"/>
      <c r="E2429" s="227" t="s">
        <v>7595</v>
      </c>
      <c r="F2429" s="180"/>
      <c r="G2429" s="181"/>
      <c r="H2429" s="182"/>
      <c r="I2429" s="182"/>
      <c r="J2429" s="182">
        <v>1</v>
      </c>
      <c r="K2429" s="183" t="s">
        <v>115</v>
      </c>
      <c r="L2429" s="182"/>
      <c r="M2429" s="182"/>
      <c r="N2429" s="182"/>
      <c r="O2429" s="183"/>
      <c r="P2429" s="183"/>
      <c r="Q2429" s="183"/>
      <c r="R2429" s="183"/>
      <c r="S2429" s="183"/>
      <c r="T2429" s="183"/>
      <c r="U2429" s="183"/>
      <c r="V2429" s="183"/>
      <c r="W2429" s="183"/>
      <c r="X2429" s="183"/>
      <c r="Y2429" s="183"/>
      <c r="Z2429" s="183"/>
      <c r="AA2429" s="185"/>
      <c r="AB2429" s="185"/>
      <c r="AC2429" s="185"/>
      <c r="AD2429" s="649"/>
      <c r="AE2429" s="182"/>
      <c r="AF2429" s="332"/>
      <c r="AG2429" s="182"/>
      <c r="AH2429" s="182"/>
      <c r="AI2429" s="182"/>
      <c r="AJ2429" s="640"/>
      <c r="AK2429" s="182"/>
      <c r="AL2429" s="496">
        <f t="shared" si="833"/>
        <v>0</v>
      </c>
      <c r="AM2429" s="496">
        <f t="shared" si="834"/>
        <v>0</v>
      </c>
      <c r="AN2429" s="626"/>
      <c r="AO2429" s="182"/>
      <c r="AP2429" s="182"/>
      <c r="AQ2429" s="332" t="str">
        <f>UPPER(RIGHT(Journal_Live[[#This Row],[DURATION ]]))</f>
        <v/>
      </c>
      <c r="AR2429" s="182"/>
      <c r="AS2429" s="189"/>
      <c r="AT2429" s="189">
        <f t="shared" si="835"/>
        <v>0</v>
      </c>
      <c r="AU2429" s="187">
        <f t="shared" si="836"/>
        <v>0</v>
      </c>
      <c r="AV2429" s="190">
        <f t="shared" si="837"/>
        <v>0</v>
      </c>
      <c r="AW2429" s="191"/>
      <c r="AX2429" s="549"/>
      <c r="AY2429" s="549"/>
      <c r="AZ2429" s="549"/>
      <c r="BA2429" s="549"/>
      <c r="BB2429" s="551"/>
      <c r="BC2429" s="551"/>
      <c r="BD2429" s="549"/>
      <c r="BE2429" s="550"/>
      <c r="BF2429" s="549"/>
      <c r="BG2429" s="391">
        <f>SUM($AV$2420:AV2429)</f>
        <v>-99.000000000005542</v>
      </c>
      <c r="BH2429" s="392">
        <f>SUM($AU$2420:AU2429)</f>
        <v>124.99999999999454</v>
      </c>
      <c r="BI2429" s="318">
        <f>SUMIFS($AU$2420:AU2619,$Q$2420:Q2619,"F")</f>
        <v>-143.99999999999949</v>
      </c>
      <c r="BJ2429" s="318">
        <f>SUMIFS($AU$2420:AU2619,$Q$2420:Q2619,"S")</f>
        <v>256.00000000000466</v>
      </c>
      <c r="BK2429" s="343">
        <f>SUMIFS($AU$2420:AU2619,$P$2420:P2619,"W")</f>
        <v>-607.99999999991883</v>
      </c>
      <c r="BL2429" s="343">
        <f>SUMIFS($AU$2420:AU2619,$P$2420:P2619,"R")</f>
        <v>911.99999999999966</v>
      </c>
      <c r="BM2429" s="343">
        <f>SUMIFS($AU$2420:AU2619,$AQ$2420:AQ2619,"M")</f>
        <v>-899.79999999984489</v>
      </c>
      <c r="BN2429" s="343">
        <f>SUMIFS($AU$2420:AU2619,$AQ$2420:AQ2619,"H")</f>
        <v>1762.9999999999427</v>
      </c>
      <c r="BO2429" s="343">
        <f>SUMIFS($AU$2420:AU2619,$AQ$2420:AQ2619,"D")</f>
        <v>-767.99999999998977</v>
      </c>
      <c r="BP2429" s="343">
        <f>SUMIFS($AS$2420:AS2707,$AO$2420:AO2707,"W")</f>
        <v>0</v>
      </c>
      <c r="BQ2429" s="343">
        <f>SUMIFS($AU$2420:AU2619,$Q$2420:Q2619,"O")</f>
        <v>-884.7999999998965</v>
      </c>
      <c r="BR2429" s="343">
        <f>SUMIFS($AU$2420:AU2619,$AA$2420:AA2619,"*")</f>
        <v>-512.79999999998074</v>
      </c>
      <c r="BS2429" s="343">
        <f>SUMIFS($AU$2420:AU2619,$AB$2420:AB2619,"*")</f>
        <v>-451.99999999997726</v>
      </c>
      <c r="BT2429" s="343">
        <f>SUMIFS($AU$2420:AU2619,$AC$2420:AC2619,"*")</f>
        <v>-143.99999999999909</v>
      </c>
      <c r="BU2429" s="343">
        <f>SUMIFS($AU$2420:AU2619,$AA$2420:AA2619,"*",$AB$2420:AB2619,"*")</f>
        <v>95.999999999933891</v>
      </c>
      <c r="BV2429" s="343">
        <f>SUMIFS($AU$2420:AU2619,$AA$2420:AA2619,"*",$AC$2420:AC2619,"*")</f>
        <v>-591.99999999999977</v>
      </c>
      <c r="BW2429" s="343">
        <f>SUMIFS($AU$2420:AU2619,$AB$2420:AB2619,"*",$AC$2420:AC2619,"*")</f>
        <v>-143.99999999999966</v>
      </c>
      <c r="BX2429" s="343">
        <f>SUMIFS($AV$2420:AV2619,$Q$2420:Q2619,"F")</f>
        <v>18.153846153846242</v>
      </c>
      <c r="BY2429" s="343">
        <f>SUMIFS($AV$2420:AV2619,$Q$2420:Q2619,"S")</f>
        <v>64.044720496894826</v>
      </c>
      <c r="BZ2429" s="343">
        <f>SUMIFS($AV$2420:AV2619,$Q$2420:Q2619,"O")</f>
        <v>-458.13333333332537</v>
      </c>
    </row>
    <row r="2430" spans="1:78" ht="15.75" customHeight="1">
      <c r="A2430" s="177" t="s">
        <v>7465</v>
      </c>
      <c r="B2430" s="200"/>
      <c r="C2430" s="178"/>
      <c r="D2430" s="178"/>
      <c r="E2430" s="227" t="s">
        <v>7596</v>
      </c>
      <c r="F2430" s="180"/>
      <c r="G2430" s="181"/>
      <c r="H2430" s="182"/>
      <c r="I2430" s="182">
        <v>1</v>
      </c>
      <c r="J2430" s="182"/>
      <c r="K2430" s="183"/>
      <c r="L2430" s="182"/>
      <c r="M2430" s="182"/>
      <c r="N2430" s="182"/>
      <c r="O2430" s="183"/>
      <c r="P2430" s="183"/>
      <c r="Q2430" s="183"/>
      <c r="R2430" s="183"/>
      <c r="S2430" s="183"/>
      <c r="T2430" s="183"/>
      <c r="U2430" s="183"/>
      <c r="V2430" s="183"/>
      <c r="W2430" s="183"/>
      <c r="X2430" s="183"/>
      <c r="Y2430" s="183"/>
      <c r="Z2430" s="183"/>
      <c r="AA2430" s="185"/>
      <c r="AB2430" s="185"/>
      <c r="AC2430" s="185"/>
      <c r="AD2430" s="649"/>
      <c r="AE2430" s="182"/>
      <c r="AF2430" s="332"/>
      <c r="AG2430" s="182"/>
      <c r="AH2430" s="182"/>
      <c r="AI2430" s="182"/>
      <c r="AJ2430" s="640"/>
      <c r="AK2430" s="182"/>
      <c r="AL2430" s="496">
        <f t="shared" si="833"/>
        <v>0</v>
      </c>
      <c r="AM2430" s="496">
        <f t="shared" si="834"/>
        <v>0</v>
      </c>
      <c r="AN2430" s="626"/>
      <c r="AO2430" s="182"/>
      <c r="AP2430" s="182"/>
      <c r="AQ2430" s="332" t="str">
        <f>UPPER(RIGHT(Journal_Live[[#This Row],[DURATION ]]))</f>
        <v/>
      </c>
      <c r="AR2430" s="182"/>
      <c r="AS2430" s="189"/>
      <c r="AT2430" s="189">
        <f t="shared" si="835"/>
        <v>0</v>
      </c>
      <c r="AU2430" s="187">
        <f t="shared" si="836"/>
        <v>0</v>
      </c>
      <c r="AV2430" s="190">
        <f t="shared" si="837"/>
        <v>0</v>
      </c>
      <c r="AW2430" s="191"/>
      <c r="AX2430" s="549"/>
      <c r="AY2430" s="549"/>
      <c r="AZ2430" s="549"/>
      <c r="BA2430" s="549"/>
      <c r="BB2430" s="551"/>
      <c r="BC2430" s="551"/>
      <c r="BD2430" s="549"/>
      <c r="BE2430" s="550"/>
      <c r="BF2430" s="549"/>
      <c r="BG2430" s="391">
        <f>SUM($AV$2420:AV2430)</f>
        <v>-99.000000000005542</v>
      </c>
      <c r="BH2430" s="392">
        <f>SUM($AU$2420:AU2430)</f>
        <v>124.99999999999454</v>
      </c>
      <c r="BI2430" s="318">
        <f>SUMIFS($AU$2420:AU2620,$Q$2420:Q2620,"F")</f>
        <v>-143.99999999999949</v>
      </c>
      <c r="BJ2430" s="318">
        <f>SUMIFS($AU$2420:AU2620,$Q$2420:Q2620,"S")</f>
        <v>256.00000000000466</v>
      </c>
      <c r="BK2430" s="343">
        <f>SUMIFS($AU$2420:AU2620,$P$2420:P2620,"W")</f>
        <v>-607.99999999991883</v>
      </c>
      <c r="BL2430" s="343">
        <f>SUMIFS($AU$2420:AU2620,$P$2420:P2620,"R")</f>
        <v>911.99999999999966</v>
      </c>
      <c r="BM2430" s="343">
        <f>SUMIFS($AU$2420:AU2620,$AQ$2420:AQ2620,"M")</f>
        <v>-899.79999999984489</v>
      </c>
      <c r="BN2430" s="343">
        <f>SUMIFS($AU$2420:AU2620,$AQ$2420:AQ2620,"H")</f>
        <v>1762.9999999999427</v>
      </c>
      <c r="BO2430" s="343">
        <f>SUMIFS($AU$2420:AU2620,$AQ$2420:AQ2620,"D")</f>
        <v>-767.99999999998977</v>
      </c>
      <c r="BP2430" s="343">
        <f>SUMIFS($AS$2420:AS2708,$AO$2420:AO2708,"W")</f>
        <v>0</v>
      </c>
      <c r="BQ2430" s="343">
        <f>SUMIFS($AU$2420:AU2620,$Q$2420:Q2620,"O")</f>
        <v>-884.7999999998965</v>
      </c>
      <c r="BR2430" s="343">
        <f>SUMIFS($AU$2420:AU2620,$AA$2420:AA2620,"*")</f>
        <v>-512.79999999998074</v>
      </c>
      <c r="BS2430" s="343">
        <f>SUMIFS($AU$2420:AU2620,$AB$2420:AB2620,"*")</f>
        <v>-451.99999999997726</v>
      </c>
      <c r="BT2430" s="343">
        <f>SUMIFS($AU$2420:AU2620,$AC$2420:AC2620,"*")</f>
        <v>-143.99999999999909</v>
      </c>
      <c r="BU2430" s="343">
        <f>SUMIFS($AU$2420:AU2620,$AA$2420:AA2620,"*",$AB$2420:AB2620,"*")</f>
        <v>95.999999999933891</v>
      </c>
      <c r="BV2430" s="343">
        <f>SUMIFS($AU$2420:AU2620,$AA$2420:AA2620,"*",$AC$2420:AC2620,"*")</f>
        <v>-591.99999999999977</v>
      </c>
      <c r="BW2430" s="343">
        <f>SUMIFS($AU$2420:AU2620,$AB$2420:AB2620,"*",$AC$2420:AC2620,"*")</f>
        <v>-143.99999999999966</v>
      </c>
      <c r="BX2430" s="343">
        <f>SUMIFS($AV$2420:AV2620,$Q$2420:Q2620,"F")</f>
        <v>18.153846153846242</v>
      </c>
      <c r="BY2430" s="343">
        <f>SUMIFS($AV$2420:AV2620,$Q$2420:Q2620,"S")</f>
        <v>64.044720496894826</v>
      </c>
      <c r="BZ2430" s="343">
        <f>SUMIFS($AV$2420:AV2620,$Q$2420:Q2620,"O")</f>
        <v>-458.13333333332537</v>
      </c>
    </row>
    <row r="2431" spans="1:78" ht="15.75" customHeight="1">
      <c r="A2431" s="177" t="s">
        <v>7465</v>
      </c>
      <c r="B2431" s="200"/>
      <c r="C2431" s="178"/>
      <c r="D2431" s="178"/>
      <c r="E2431" s="227" t="s">
        <v>7597</v>
      </c>
      <c r="F2431" s="180"/>
      <c r="G2431" s="181"/>
      <c r="H2431" s="182"/>
      <c r="I2431" s="182">
        <v>1</v>
      </c>
      <c r="J2431" s="182"/>
      <c r="K2431" s="183"/>
      <c r="L2431" s="182"/>
      <c r="M2431" s="182"/>
      <c r="N2431" s="182"/>
      <c r="O2431" s="183"/>
      <c r="P2431" s="183"/>
      <c r="Q2431" s="183"/>
      <c r="R2431" s="183"/>
      <c r="S2431" s="183"/>
      <c r="T2431" s="183"/>
      <c r="U2431" s="183"/>
      <c r="V2431" s="183"/>
      <c r="W2431" s="183"/>
      <c r="X2431" s="183"/>
      <c r="Y2431" s="183"/>
      <c r="Z2431" s="183"/>
      <c r="AA2431" s="185"/>
      <c r="AB2431" s="185"/>
      <c r="AC2431" s="185"/>
      <c r="AD2431" s="649"/>
      <c r="AE2431" s="182"/>
      <c r="AF2431" s="332"/>
      <c r="AG2431" s="182"/>
      <c r="AH2431" s="182"/>
      <c r="AI2431" s="182"/>
      <c r="AJ2431" s="640"/>
      <c r="AK2431" s="182"/>
      <c r="AL2431" s="496">
        <f t="shared" si="833"/>
        <v>0</v>
      </c>
      <c r="AM2431" s="496">
        <f t="shared" si="834"/>
        <v>0</v>
      </c>
      <c r="AN2431" s="626"/>
      <c r="AO2431" s="182"/>
      <c r="AP2431" s="182"/>
      <c r="AQ2431" s="332" t="str">
        <f>UPPER(RIGHT(Journal_Live[[#This Row],[DURATION ]]))</f>
        <v/>
      </c>
      <c r="AR2431" s="182"/>
      <c r="AS2431" s="189"/>
      <c r="AT2431" s="189">
        <f t="shared" si="835"/>
        <v>0</v>
      </c>
      <c r="AU2431" s="187">
        <f t="shared" si="836"/>
        <v>0</v>
      </c>
      <c r="AV2431" s="190">
        <f t="shared" si="837"/>
        <v>0</v>
      </c>
      <c r="AW2431" s="191"/>
      <c r="AX2431" s="549"/>
      <c r="AY2431" s="549"/>
      <c r="AZ2431" s="549"/>
      <c r="BA2431" s="549"/>
      <c r="BB2431" s="551"/>
      <c r="BC2431" s="551"/>
      <c r="BD2431" s="549"/>
      <c r="BE2431" s="550"/>
      <c r="BF2431" s="549"/>
      <c r="BG2431" s="391">
        <f>SUM($AV$2420:AV2431)</f>
        <v>-99.000000000005542</v>
      </c>
      <c r="BH2431" s="392">
        <f>SUM($AU$2420:AU2431)</f>
        <v>124.99999999999454</v>
      </c>
      <c r="BI2431" s="318">
        <f>SUMIFS($AU$2420:AU2621,$Q$2420:Q2621,"F")</f>
        <v>-143.99999999999949</v>
      </c>
      <c r="BJ2431" s="318">
        <f>SUMIFS($AU$2420:AU2621,$Q$2420:Q2621,"S")</f>
        <v>256.00000000000466</v>
      </c>
      <c r="BK2431" s="343">
        <f>SUMIFS($AU$2420:AU2621,$P$2420:P2621,"W")</f>
        <v>-607.99999999991883</v>
      </c>
      <c r="BL2431" s="343">
        <f>SUMIFS($AU$2420:AU2621,$P$2420:P2621,"R")</f>
        <v>911.99999999999966</v>
      </c>
      <c r="BM2431" s="343">
        <f>SUMIFS($AU$2420:AU2621,$AQ$2420:AQ2621,"M")</f>
        <v>-899.79999999984489</v>
      </c>
      <c r="BN2431" s="343">
        <f>SUMIFS($AU$2420:AU2621,$AQ$2420:AQ2621,"H")</f>
        <v>1762.9999999999427</v>
      </c>
      <c r="BO2431" s="343">
        <f>SUMIFS($AU$2420:AU2621,$AQ$2420:AQ2621,"D")</f>
        <v>-767.99999999998977</v>
      </c>
      <c r="BP2431" s="343">
        <f>SUMIFS($AS$2420:AS2709,$AO$2420:AO2709,"W")</f>
        <v>0</v>
      </c>
      <c r="BQ2431" s="343">
        <f>SUMIFS($AU$2420:AU2621,$Q$2420:Q2621,"O")</f>
        <v>-884.7999999998965</v>
      </c>
      <c r="BR2431" s="343">
        <f>SUMIFS($AU$2420:AU2621,$AA$2420:AA2621,"*")</f>
        <v>-512.79999999998074</v>
      </c>
      <c r="BS2431" s="343">
        <f>SUMIFS($AU$2420:AU2621,$AB$2420:AB2621,"*")</f>
        <v>-451.99999999997726</v>
      </c>
      <c r="BT2431" s="343">
        <f>SUMIFS($AU$2420:AU2621,$AC$2420:AC2621,"*")</f>
        <v>-143.99999999999909</v>
      </c>
      <c r="BU2431" s="343">
        <f>SUMIFS($AU$2420:AU2621,$AA$2420:AA2621,"*",$AB$2420:AB2621,"*")</f>
        <v>95.999999999933891</v>
      </c>
      <c r="BV2431" s="343">
        <f>SUMIFS($AU$2420:AU2621,$AA$2420:AA2621,"*",$AC$2420:AC2621,"*")</f>
        <v>-591.99999999999977</v>
      </c>
      <c r="BW2431" s="343">
        <f>SUMIFS($AU$2420:AU2621,$AB$2420:AB2621,"*",$AC$2420:AC2621,"*")</f>
        <v>-143.99999999999966</v>
      </c>
      <c r="BX2431" s="343">
        <f>SUMIFS($AV$2420:AV2621,$Q$2420:Q2621,"F")</f>
        <v>18.153846153846242</v>
      </c>
      <c r="BY2431" s="343">
        <f>SUMIFS($AV$2420:AV2621,$Q$2420:Q2621,"S")</f>
        <v>64.044720496894826</v>
      </c>
      <c r="BZ2431" s="343">
        <f>SUMIFS($AV$2420:AV2621,$Q$2420:Q2621,"O")</f>
        <v>-458.13333333332537</v>
      </c>
    </row>
    <row r="2432" spans="1:78" ht="15.75" customHeight="1">
      <c r="A2432" s="177" t="s">
        <v>7465</v>
      </c>
      <c r="B2432" s="200">
        <v>45519</v>
      </c>
      <c r="C2432" s="178" t="s">
        <v>2081</v>
      </c>
      <c r="D2432" s="178" t="s">
        <v>93</v>
      </c>
      <c r="E2432" s="227" t="s">
        <v>7598</v>
      </c>
      <c r="F2432" s="180" t="s">
        <v>7599</v>
      </c>
      <c r="G2432" s="181"/>
      <c r="H2432" s="182">
        <v>1</v>
      </c>
      <c r="I2432" s="182"/>
      <c r="J2432" s="182"/>
      <c r="K2432" s="183" t="s">
        <v>372</v>
      </c>
      <c r="L2432" s="182"/>
      <c r="M2432" s="182"/>
      <c r="N2432" s="182"/>
      <c r="O2432" s="183"/>
      <c r="P2432" s="183"/>
      <c r="Q2432" s="183"/>
      <c r="R2432" s="183"/>
      <c r="S2432" s="183"/>
      <c r="T2432" s="183"/>
      <c r="U2432" s="183"/>
      <c r="V2432" s="183"/>
      <c r="W2432" s="183"/>
      <c r="X2432" s="183"/>
      <c r="Y2432" s="183"/>
      <c r="Z2432" s="183"/>
      <c r="AA2432" s="185"/>
      <c r="AB2432" s="185"/>
      <c r="AC2432" s="185"/>
      <c r="AD2432" s="649"/>
      <c r="AE2432" s="182"/>
      <c r="AF2432" s="332"/>
      <c r="AG2432" s="182"/>
      <c r="AH2432" s="182"/>
      <c r="AI2432" s="182"/>
      <c r="AJ2432" s="640"/>
      <c r="AK2432" s="182"/>
      <c r="AL2432" s="496">
        <f t="shared" si="833"/>
        <v>0</v>
      </c>
      <c r="AM2432" s="496">
        <f t="shared" si="834"/>
        <v>0</v>
      </c>
      <c r="AN2432" s="626"/>
      <c r="AO2432" s="182"/>
      <c r="AP2432" s="182"/>
      <c r="AQ2432" s="332" t="str">
        <f>UPPER(RIGHT(Journal_Live[[#This Row],[DURATION ]]))</f>
        <v/>
      </c>
      <c r="AR2432" s="182"/>
      <c r="AS2432" s="189"/>
      <c r="AT2432" s="189">
        <f t="shared" si="835"/>
        <v>0</v>
      </c>
      <c r="AU2432" s="187">
        <f t="shared" si="836"/>
        <v>0</v>
      </c>
      <c r="AV2432" s="190">
        <f t="shared" si="837"/>
        <v>0</v>
      </c>
      <c r="AW2432" s="191"/>
      <c r="AX2432" s="549"/>
      <c r="AY2432" s="549"/>
      <c r="AZ2432" s="549"/>
      <c r="BA2432" s="549"/>
      <c r="BB2432" s="551"/>
      <c r="BC2432" s="551"/>
      <c r="BD2432" s="549"/>
      <c r="BE2432" s="550"/>
      <c r="BF2432" s="549"/>
      <c r="BG2432" s="391">
        <f>SUM($AV$2420:AV2432)</f>
        <v>-99.000000000005542</v>
      </c>
      <c r="BH2432" s="392">
        <f>SUM($AU$2420:AU2432)</f>
        <v>124.99999999999454</v>
      </c>
      <c r="BI2432" s="318">
        <f>SUMIFS($AU$2420:AU2622,$Q$2420:Q2622,"F")</f>
        <v>-143.99999999999949</v>
      </c>
      <c r="BJ2432" s="318">
        <f>SUMIFS($AU$2420:AU2622,$Q$2420:Q2622,"S")</f>
        <v>256.00000000000466</v>
      </c>
      <c r="BK2432" s="343">
        <f>SUMIFS($AU$2420:AU2622,$P$2420:P2622,"W")</f>
        <v>-607.99999999991883</v>
      </c>
      <c r="BL2432" s="343">
        <f>SUMIFS($AU$2420:AU2622,$P$2420:P2622,"R")</f>
        <v>911.99999999999966</v>
      </c>
      <c r="BM2432" s="343">
        <f>SUMIFS($AU$2420:AU2622,$AQ$2420:AQ2622,"M")</f>
        <v>-899.79999999984489</v>
      </c>
      <c r="BN2432" s="343">
        <f>SUMIFS($AU$2420:AU2622,$AQ$2420:AQ2622,"H")</f>
        <v>1762.9999999999427</v>
      </c>
      <c r="BO2432" s="343">
        <f>SUMIFS($AU$2420:AU2622,$AQ$2420:AQ2622,"D")</f>
        <v>-767.99999999998977</v>
      </c>
      <c r="BP2432" s="343">
        <f>SUMIFS($AS$2420:AS2710,$AO$2420:AO2710,"W")</f>
        <v>0</v>
      </c>
      <c r="BQ2432" s="343">
        <f>SUMIFS($AU$2420:AU2622,$Q$2420:Q2622,"O")</f>
        <v>-884.7999999998965</v>
      </c>
      <c r="BR2432" s="343">
        <f>SUMIFS($AU$2420:AU2622,$AA$2420:AA2622,"*")</f>
        <v>-512.79999999998074</v>
      </c>
      <c r="BS2432" s="343">
        <f>SUMIFS($AU$2420:AU2622,$AB$2420:AB2622,"*")</f>
        <v>-451.99999999997726</v>
      </c>
      <c r="BT2432" s="343">
        <f>SUMIFS($AU$2420:AU2622,$AC$2420:AC2622,"*")</f>
        <v>-143.99999999999909</v>
      </c>
      <c r="BU2432" s="343">
        <f>SUMIFS($AU$2420:AU2622,$AA$2420:AA2622,"*",$AB$2420:AB2622,"*")</f>
        <v>95.999999999933891</v>
      </c>
      <c r="BV2432" s="343">
        <f>SUMIFS($AU$2420:AU2622,$AA$2420:AA2622,"*",$AC$2420:AC2622,"*")</f>
        <v>-591.99999999999977</v>
      </c>
      <c r="BW2432" s="343">
        <f>SUMIFS($AU$2420:AU2622,$AB$2420:AB2622,"*",$AC$2420:AC2622,"*")</f>
        <v>-143.99999999999966</v>
      </c>
      <c r="BX2432" s="343">
        <f>SUMIFS($AV$2420:AV2622,$Q$2420:Q2622,"F")</f>
        <v>18.153846153846242</v>
      </c>
      <c r="BY2432" s="343">
        <f>SUMIFS($AV$2420:AV2622,$Q$2420:Q2622,"S")</f>
        <v>64.044720496894826</v>
      </c>
      <c r="BZ2432" s="343">
        <f>SUMIFS($AV$2420:AV2622,$Q$2420:Q2622,"O")</f>
        <v>-458.13333333332537</v>
      </c>
    </row>
    <row r="2433" spans="1:78" ht="15.75" customHeight="1">
      <c r="A2433" s="177" t="s">
        <v>7465</v>
      </c>
      <c r="B2433" s="200"/>
      <c r="C2433" s="178"/>
      <c r="D2433" s="178"/>
      <c r="E2433" s="227" t="s">
        <v>7600</v>
      </c>
      <c r="F2433" s="180" t="s">
        <v>7601</v>
      </c>
      <c r="G2433" s="181"/>
      <c r="H2433" s="182">
        <v>1</v>
      </c>
      <c r="I2433" s="182"/>
      <c r="J2433" s="182"/>
      <c r="K2433" s="183" t="s">
        <v>115</v>
      </c>
      <c r="L2433" s="182"/>
      <c r="M2433" s="182"/>
      <c r="N2433" s="182"/>
      <c r="O2433" s="183"/>
      <c r="P2433" s="183"/>
      <c r="Q2433" s="183"/>
      <c r="R2433" s="183"/>
      <c r="S2433" s="183"/>
      <c r="T2433" s="183"/>
      <c r="U2433" s="183"/>
      <c r="V2433" s="183"/>
      <c r="W2433" s="183"/>
      <c r="X2433" s="183"/>
      <c r="Y2433" s="183"/>
      <c r="Z2433" s="183"/>
      <c r="AA2433" s="185"/>
      <c r="AB2433" s="185"/>
      <c r="AC2433" s="185"/>
      <c r="AD2433" s="649"/>
      <c r="AE2433" s="182"/>
      <c r="AF2433" s="332"/>
      <c r="AG2433" s="182"/>
      <c r="AH2433" s="182"/>
      <c r="AI2433" s="182"/>
      <c r="AJ2433" s="640"/>
      <c r="AK2433" s="182"/>
      <c r="AL2433" s="496">
        <f t="shared" si="833"/>
        <v>0</v>
      </c>
      <c r="AM2433" s="496">
        <f t="shared" si="834"/>
        <v>0</v>
      </c>
      <c r="AN2433" s="626"/>
      <c r="AO2433" s="182"/>
      <c r="AP2433" s="182"/>
      <c r="AQ2433" s="332" t="str">
        <f>UPPER(RIGHT(Journal_Live[[#This Row],[DURATION ]]))</f>
        <v/>
      </c>
      <c r="AR2433" s="182"/>
      <c r="AS2433" s="189"/>
      <c r="AT2433" s="189">
        <f t="shared" si="835"/>
        <v>0</v>
      </c>
      <c r="AU2433" s="187">
        <f t="shared" si="836"/>
        <v>0</v>
      </c>
      <c r="AV2433" s="190">
        <f t="shared" si="837"/>
        <v>0</v>
      </c>
      <c r="AW2433" s="191"/>
      <c r="AX2433" s="549"/>
      <c r="AY2433" s="549"/>
      <c r="AZ2433" s="549"/>
      <c r="BA2433" s="549"/>
      <c r="BB2433" s="551"/>
      <c r="BC2433" s="551"/>
      <c r="BD2433" s="549"/>
      <c r="BE2433" s="550"/>
      <c r="BF2433" s="549"/>
      <c r="BG2433" s="391">
        <f>SUM($AV$2420:AV2433)</f>
        <v>-99.000000000005542</v>
      </c>
      <c r="BH2433" s="392">
        <f>SUM($AU$2420:AU2433)</f>
        <v>124.99999999999454</v>
      </c>
      <c r="BI2433" s="318">
        <f>SUMIFS($AU$2420:AU2623,$Q$2420:Q2623,"F")</f>
        <v>-143.99999999999949</v>
      </c>
      <c r="BJ2433" s="318">
        <f>SUMIFS($AU$2420:AU2623,$Q$2420:Q2623,"S")</f>
        <v>256.00000000000466</v>
      </c>
      <c r="BK2433" s="343">
        <f>SUMIFS($AU$2420:AU2623,$P$2420:P2623,"W")</f>
        <v>-607.99999999991883</v>
      </c>
      <c r="BL2433" s="343">
        <f>SUMIFS($AU$2420:AU2623,$P$2420:P2623,"R")</f>
        <v>911.99999999999966</v>
      </c>
      <c r="BM2433" s="343">
        <f>SUMIFS($AU$2420:AU2623,$AQ$2420:AQ2623,"M")</f>
        <v>-899.79999999984489</v>
      </c>
      <c r="BN2433" s="343">
        <f>SUMIFS($AU$2420:AU2623,$AQ$2420:AQ2623,"H")</f>
        <v>1762.9999999999427</v>
      </c>
      <c r="BO2433" s="343">
        <f>SUMIFS($AU$2420:AU2623,$AQ$2420:AQ2623,"D")</f>
        <v>-767.99999999998977</v>
      </c>
      <c r="BP2433" s="343">
        <f>SUMIFS($AS$2420:AS2711,$AO$2420:AO2711,"W")</f>
        <v>0</v>
      </c>
      <c r="BQ2433" s="343">
        <f>SUMIFS($AU$2420:AU2623,$Q$2420:Q2623,"O")</f>
        <v>-884.7999999998965</v>
      </c>
      <c r="BR2433" s="343">
        <f>SUMIFS($AU$2420:AU2623,$AA$2420:AA2623,"*")</f>
        <v>-512.79999999998074</v>
      </c>
      <c r="BS2433" s="343">
        <f>SUMIFS($AU$2420:AU2623,$AB$2420:AB2623,"*")</f>
        <v>-451.99999999997726</v>
      </c>
      <c r="BT2433" s="343">
        <f>SUMIFS($AU$2420:AU2623,$AC$2420:AC2623,"*")</f>
        <v>-143.99999999999909</v>
      </c>
      <c r="BU2433" s="343">
        <f>SUMIFS($AU$2420:AU2623,$AA$2420:AA2623,"*",$AB$2420:AB2623,"*")</f>
        <v>95.999999999933891</v>
      </c>
      <c r="BV2433" s="343">
        <f>SUMIFS($AU$2420:AU2623,$AA$2420:AA2623,"*",$AC$2420:AC2623,"*")</f>
        <v>-591.99999999999977</v>
      </c>
      <c r="BW2433" s="343">
        <f>SUMIFS($AU$2420:AU2623,$AB$2420:AB2623,"*",$AC$2420:AC2623,"*")</f>
        <v>-143.99999999999966</v>
      </c>
      <c r="BX2433" s="343">
        <f>SUMIFS($AV$2420:AV2623,$Q$2420:Q2623,"F")</f>
        <v>18.153846153846242</v>
      </c>
      <c r="BY2433" s="343">
        <f>SUMIFS($AV$2420:AV2623,$Q$2420:Q2623,"S")</f>
        <v>64.044720496894826</v>
      </c>
      <c r="BZ2433" s="343">
        <f>SUMIFS($AV$2420:AV2623,$Q$2420:Q2623,"O")</f>
        <v>-458.13333333332537</v>
      </c>
    </row>
    <row r="2434" spans="1:78" ht="15.75" customHeight="1">
      <c r="A2434" s="177" t="s">
        <v>7465</v>
      </c>
      <c r="B2434" s="200">
        <v>45519</v>
      </c>
      <c r="C2434" s="178" t="s">
        <v>7602</v>
      </c>
      <c r="D2434" s="178" t="s">
        <v>93</v>
      </c>
      <c r="E2434" s="227"/>
      <c r="F2434" s="180"/>
      <c r="G2434" s="181" t="s">
        <v>2942</v>
      </c>
      <c r="H2434" s="182"/>
      <c r="I2434" s="182"/>
      <c r="J2434" s="182"/>
      <c r="K2434" s="183"/>
      <c r="L2434" s="182">
        <v>1</v>
      </c>
      <c r="M2434" s="182"/>
      <c r="N2434" s="182"/>
      <c r="O2434" s="183" t="s">
        <v>95</v>
      </c>
      <c r="P2434" s="183" t="s">
        <v>96</v>
      </c>
      <c r="Q2434" s="183" t="s">
        <v>97</v>
      </c>
      <c r="R2434" s="183">
        <v>3</v>
      </c>
      <c r="S2434" s="183">
        <v>0</v>
      </c>
      <c r="T2434" s="183">
        <v>3</v>
      </c>
      <c r="U2434" s="183" t="s">
        <v>97</v>
      </c>
      <c r="V2434" s="183" t="s">
        <v>7349</v>
      </c>
      <c r="W2434" s="183" t="s">
        <v>115</v>
      </c>
      <c r="X2434" s="183" t="s">
        <v>7488</v>
      </c>
      <c r="Y2434" s="184">
        <f>IF(ISBLANK(O2434),"",(IF(O2434=UPPER("IB"),0.005,0.01)))</f>
        <v>0.01</v>
      </c>
      <c r="Z2434" s="185">
        <f>IF(ISBLANK(O2434),"",IF(O2434="IB",8.63*200,IF(O2434="IR",16*100,IF(O2434="YT",20*100,IF(O2434="YT-XT",24*200,IF(O2434="TED",80*100,IF(O2434="XT",29*200)))))))</f>
        <v>1600</v>
      </c>
      <c r="AA2434" s="185"/>
      <c r="AB2434" s="185" t="s">
        <v>7603</v>
      </c>
      <c r="AC2434" s="185"/>
      <c r="AD2434" s="649">
        <v>-0.19</v>
      </c>
      <c r="AE2434" s="182"/>
      <c r="AF2434" s="332"/>
      <c r="AG2434" s="182"/>
      <c r="AH2434" s="182"/>
      <c r="AI2434" s="182"/>
      <c r="AJ2434" s="640"/>
      <c r="AK2434" s="182"/>
      <c r="AL2434" s="496">
        <f t="shared" si="828"/>
        <v>-32</v>
      </c>
      <c r="AM2434" s="496">
        <f t="shared" si="829"/>
        <v>-96</v>
      </c>
      <c r="AN2434" s="626"/>
      <c r="AO2434" s="182"/>
      <c r="AP2434" s="182"/>
      <c r="AQ2434" s="332" t="s">
        <v>372</v>
      </c>
      <c r="AR2434" s="182"/>
      <c r="AS2434" s="189">
        <v>-0.2</v>
      </c>
      <c r="AT2434" s="189">
        <f t="shared" si="830"/>
        <v>1.0000000000000009E-2</v>
      </c>
      <c r="AU2434" s="187">
        <f t="shared" si="831"/>
        <v>48.000000000000043</v>
      </c>
      <c r="AV2434" s="190">
        <f t="shared" si="832"/>
        <v>16.000000000000014</v>
      </c>
      <c r="AW2434" s="191" t="s">
        <v>96</v>
      </c>
      <c r="AX2434" s="549" t="s">
        <v>7604</v>
      </c>
      <c r="AY2434" s="549" t="s">
        <v>7605</v>
      </c>
      <c r="AZ2434" s="549" t="s">
        <v>7606</v>
      </c>
      <c r="BA2434" s="549" t="s">
        <v>7607</v>
      </c>
      <c r="BB2434" s="551"/>
      <c r="BC2434" s="551"/>
      <c r="BD2434" s="549"/>
      <c r="BE2434" s="550"/>
      <c r="BF2434" s="549"/>
      <c r="BG2434" s="391">
        <f>SUM($AV$2420:AV2434)</f>
        <v>-83.000000000005528</v>
      </c>
      <c r="BH2434" s="392">
        <f>SUM($AU$2420:AU2434)</f>
        <v>172.9999999999946</v>
      </c>
      <c r="BI2434" s="318">
        <f>SUMIFS($AU$2420:AU2624,$Q$2420:Q2624,"F")</f>
        <v>-143.99999999999949</v>
      </c>
      <c r="BJ2434" s="318">
        <f>SUMIFS($AU$2420:AU2624,$Q$2420:Q2624,"S")</f>
        <v>256.00000000000466</v>
      </c>
      <c r="BK2434" s="343">
        <f>SUMIFS($AU$2420:AU2624,$P$2420:P2624,"W")</f>
        <v>-607.99999999991883</v>
      </c>
      <c r="BL2434" s="343">
        <f>SUMIFS($AU$2420:AU2624,$P$2420:P2624,"R")</f>
        <v>911.99999999999966</v>
      </c>
      <c r="BM2434" s="343">
        <f>SUMIFS($AU$2420:AU2624,$AQ$2420:AQ2624,"M")</f>
        <v>-899.79999999984489</v>
      </c>
      <c r="BN2434" s="343">
        <f>SUMIFS($AU$2420:AU2624,$AQ$2420:AQ2624,"H")</f>
        <v>1762.9999999999427</v>
      </c>
      <c r="BO2434" s="343">
        <f>SUMIFS($AU$2420:AU2624,$AQ$2420:AQ2624,"D")</f>
        <v>-767.99999999998977</v>
      </c>
      <c r="BP2434" s="343">
        <f>SUMIFS($AS$2420:AS2712,$AO$2420:AO2712,"W")</f>
        <v>0</v>
      </c>
      <c r="BQ2434" s="343">
        <f>SUMIFS($AU$2420:AU2624,$Q$2420:Q2624,"O")</f>
        <v>-884.7999999998965</v>
      </c>
      <c r="BR2434" s="343">
        <f>SUMIFS($AU$2420:AU2624,$AA$2420:AA2624,"*")</f>
        <v>-512.79999999998074</v>
      </c>
      <c r="BS2434" s="343">
        <f>SUMIFS($AU$2420:AU2624,$AB$2420:AB2624,"*")</f>
        <v>-451.99999999997726</v>
      </c>
      <c r="BT2434" s="343">
        <f>SUMIFS($AU$2420:AU2624,$AC$2420:AC2624,"*")</f>
        <v>-143.99999999999909</v>
      </c>
      <c r="BU2434" s="343">
        <f>SUMIFS($AU$2420:AU2624,$AA$2420:AA2624,"*",$AB$2420:AB2624,"*")</f>
        <v>95.999999999933891</v>
      </c>
      <c r="BV2434" s="343">
        <f>SUMIFS($AU$2420:AU2624,$AA$2420:AA2624,"*",$AC$2420:AC2624,"*")</f>
        <v>-591.99999999999977</v>
      </c>
      <c r="BW2434" s="343">
        <f>SUMIFS($AU$2420:AU2624,$AB$2420:AB2624,"*",$AC$2420:AC2624,"*")</f>
        <v>-143.99999999999966</v>
      </c>
      <c r="BX2434" s="343">
        <f>SUMIFS($AV$2420:AV2624,$Q$2420:Q2624,"F")</f>
        <v>18.153846153846242</v>
      </c>
      <c r="BY2434" s="343">
        <f>SUMIFS($AV$2420:AV2624,$Q$2420:Q2624,"S")</f>
        <v>64.044720496894826</v>
      </c>
      <c r="BZ2434" s="343">
        <f>SUMIFS($AV$2420:AV2624,$Q$2420:Q2624,"O")</f>
        <v>-458.13333333332537</v>
      </c>
    </row>
    <row r="2435" spans="1:78" ht="15.75" customHeight="1">
      <c r="A2435" s="177" t="s">
        <v>7465</v>
      </c>
      <c r="B2435" s="200">
        <v>45519</v>
      </c>
      <c r="C2435" s="178" t="s">
        <v>7602</v>
      </c>
      <c r="D2435" s="178" t="s">
        <v>93</v>
      </c>
      <c r="E2435" s="227"/>
      <c r="F2435" s="180"/>
      <c r="G2435" s="181" t="s">
        <v>7159</v>
      </c>
      <c r="H2435" s="182"/>
      <c r="I2435" s="182"/>
      <c r="J2435" s="182"/>
      <c r="K2435" s="183"/>
      <c r="L2435" s="182"/>
      <c r="M2435" s="182"/>
      <c r="N2435" s="182"/>
      <c r="O2435" s="183"/>
      <c r="P2435" s="183"/>
      <c r="Q2435" s="183"/>
      <c r="R2435" s="183"/>
      <c r="S2435" s="183"/>
      <c r="T2435" s="183"/>
      <c r="U2435" s="183"/>
      <c r="V2435" s="183"/>
      <c r="W2435" s="183"/>
      <c r="X2435" s="183"/>
      <c r="Y2435" s="184"/>
      <c r="Z2435" s="185"/>
      <c r="AA2435" s="185"/>
      <c r="AB2435" s="185"/>
      <c r="AC2435" s="185"/>
      <c r="AD2435" s="649"/>
      <c r="AE2435" s="182"/>
      <c r="AF2435" s="332"/>
      <c r="AG2435" s="182"/>
      <c r="AH2435" s="182"/>
      <c r="AI2435" s="182"/>
      <c r="AJ2435" s="640"/>
      <c r="AK2435" s="182"/>
      <c r="AL2435" s="496">
        <f t="shared" ref="AL2435:AL2439" si="838">-0.02*Z2435</f>
        <v>0</v>
      </c>
      <c r="AM2435" s="496">
        <f t="shared" ref="AM2435:AM2447" si="839">AL2435*(R2435-S2435)</f>
        <v>0</v>
      </c>
      <c r="AN2435" s="626"/>
      <c r="AO2435" s="182"/>
      <c r="AP2435" s="182"/>
      <c r="AQ2435" s="332" t="str">
        <f>UPPER(RIGHT(Journal_Live[[#This Row],[DURATION ]]))</f>
        <v/>
      </c>
      <c r="AR2435" s="182"/>
      <c r="AS2435" s="189"/>
      <c r="AT2435" s="189">
        <f t="shared" ref="AT2435:AT2447" si="840">IF(ISBLANK(AS2435),,IF(U2435="S",AD2435-AS2435,AS2435-AD2435))</f>
        <v>0</v>
      </c>
      <c r="AU2435" s="187">
        <f t="shared" ref="AU2435:AU2447" si="841">AV2435*R2435</f>
        <v>0</v>
      </c>
      <c r="AV2435" s="190">
        <f t="shared" ref="AV2435:AV2447" si="842">IF(ISBLANK(AS2435),,(AT2435*Z2435))</f>
        <v>0</v>
      </c>
      <c r="AW2435" s="191"/>
      <c r="AX2435" s="549" t="s">
        <v>7608</v>
      </c>
      <c r="AY2435" s="549" t="s">
        <v>7609</v>
      </c>
      <c r="AZ2435" s="549"/>
      <c r="BA2435" s="549"/>
      <c r="BB2435" s="551"/>
      <c r="BC2435" s="551"/>
      <c r="BD2435" s="549"/>
      <c r="BE2435" s="550"/>
      <c r="BF2435" s="549"/>
      <c r="BG2435" s="391">
        <f>SUM($AV$2420:AV2435)</f>
        <v>-83.000000000005528</v>
      </c>
      <c r="BH2435" s="392">
        <f>SUM($AU$2420:AU2435)</f>
        <v>172.9999999999946</v>
      </c>
      <c r="BI2435" s="318">
        <f>SUMIFS($AU$2420:AU2619,$Q$2420:Q2619,"F")</f>
        <v>-143.99999999999949</v>
      </c>
      <c r="BJ2435" s="318">
        <f>SUMIFS($AU$2420:AU2619,$Q$2420:Q2619,"S")</f>
        <v>256.00000000000466</v>
      </c>
      <c r="BK2435" s="343">
        <f>SUMIFS($AU$2420:AU2619,$P$2420:P2619,"W")</f>
        <v>-607.99999999991883</v>
      </c>
      <c r="BL2435" s="343">
        <f>SUMIFS($AU$2420:AU2619,$P$2420:P2619,"R")</f>
        <v>911.99999999999966</v>
      </c>
      <c r="BM2435" s="343">
        <f>SUMIFS($AU$2420:AU2619,$AQ$2420:AQ2619,"M")</f>
        <v>-899.79999999984489</v>
      </c>
      <c r="BN2435" s="343">
        <f>SUMIFS($AU$2420:AU2619,$AQ$2420:AQ2619,"H")</f>
        <v>1762.9999999999427</v>
      </c>
      <c r="BO2435" s="343">
        <f>SUMIFS($AU$2420:AU2619,$AQ$2420:AQ2619,"D")</f>
        <v>-767.99999999998977</v>
      </c>
      <c r="BP2435" s="343">
        <f>SUMIFS($AS$2420:AS2707,$AO$2420:AO2707,"W")</f>
        <v>0</v>
      </c>
      <c r="BQ2435" s="343">
        <f>SUMIFS($AU$2420:AU2619,$Q$2420:Q2619,"O")</f>
        <v>-884.7999999998965</v>
      </c>
      <c r="BR2435" s="343">
        <f>SUMIFS($AU$2420:AU2619,$AA$2420:AA2619,"*")</f>
        <v>-512.79999999998074</v>
      </c>
      <c r="BS2435" s="343">
        <f>SUMIFS($AU$2420:AU2619,$AB$2420:AB2619,"*")</f>
        <v>-451.99999999997726</v>
      </c>
      <c r="BT2435" s="343">
        <f>SUMIFS($AU$2420:AU2619,$AC$2420:AC2619,"*")</f>
        <v>-143.99999999999909</v>
      </c>
      <c r="BU2435" s="343">
        <f>SUMIFS($AU$2420:AU2619,$AA$2420:AA2619,"*",$AB$2420:AB2619,"*")</f>
        <v>95.999999999933891</v>
      </c>
      <c r="BV2435" s="343">
        <f>SUMIFS($AU$2420:AU2619,$AA$2420:AA2619,"*",$AC$2420:AC2619,"*")</f>
        <v>-591.99999999999977</v>
      </c>
      <c r="BW2435" s="343">
        <f>SUMIFS($AU$2420:AU2619,$AB$2420:AB2619,"*",$AC$2420:AC2619,"*")</f>
        <v>-143.99999999999966</v>
      </c>
      <c r="BX2435" s="343">
        <f>SUMIFS($AV$2420:AV2619,$Q$2420:Q2619,"F")</f>
        <v>18.153846153846242</v>
      </c>
      <c r="BY2435" s="343">
        <f>SUMIFS($AV$2420:AV2619,$Q$2420:Q2619,"S")</f>
        <v>64.044720496894826</v>
      </c>
      <c r="BZ2435" s="343">
        <f>SUMIFS($AV$2420:AV2619,$Q$2420:Q2619,"O")</f>
        <v>-458.13333333332537</v>
      </c>
    </row>
    <row r="2436" spans="1:78" ht="15.75" customHeight="1">
      <c r="A2436" s="177" t="s">
        <v>7465</v>
      </c>
      <c r="B2436" s="200">
        <v>45519</v>
      </c>
      <c r="C2436" s="178" t="s">
        <v>1714</v>
      </c>
      <c r="D2436" s="178" t="s">
        <v>93</v>
      </c>
      <c r="E2436" s="227" t="s">
        <v>7610</v>
      </c>
      <c r="F2436" s="180" t="s">
        <v>7611</v>
      </c>
      <c r="G2436" s="181"/>
      <c r="H2436" s="182">
        <v>1</v>
      </c>
      <c r="I2436" s="182"/>
      <c r="J2436" s="182"/>
      <c r="K2436" s="183" t="s">
        <v>372</v>
      </c>
      <c r="L2436" s="182"/>
      <c r="M2436" s="182"/>
      <c r="N2436" s="182"/>
      <c r="O2436" s="183"/>
      <c r="P2436" s="183"/>
      <c r="Q2436" s="183"/>
      <c r="R2436" s="183"/>
      <c r="S2436" s="183"/>
      <c r="T2436" s="183"/>
      <c r="U2436" s="183"/>
      <c r="V2436" s="183"/>
      <c r="W2436" s="183"/>
      <c r="X2436" s="183"/>
      <c r="Y2436" s="183"/>
      <c r="Z2436" s="183"/>
      <c r="AA2436" s="185"/>
      <c r="AB2436" s="185"/>
      <c r="AC2436" s="185"/>
      <c r="AD2436" s="649"/>
      <c r="AE2436" s="182"/>
      <c r="AF2436" s="332"/>
      <c r="AG2436" s="182"/>
      <c r="AH2436" s="182"/>
      <c r="AI2436" s="182"/>
      <c r="AJ2436" s="640"/>
      <c r="AK2436" s="182"/>
      <c r="AL2436" s="496">
        <f t="shared" si="838"/>
        <v>0</v>
      </c>
      <c r="AM2436" s="496">
        <f t="shared" si="839"/>
        <v>0</v>
      </c>
      <c r="AN2436" s="626"/>
      <c r="AO2436" s="182"/>
      <c r="AP2436" s="182"/>
      <c r="AQ2436" s="332" t="str">
        <f>UPPER(RIGHT(Journal_Live[[#This Row],[DURATION ]]))</f>
        <v/>
      </c>
      <c r="AR2436" s="182"/>
      <c r="AS2436" s="189"/>
      <c r="AT2436" s="189">
        <f t="shared" si="840"/>
        <v>0</v>
      </c>
      <c r="AU2436" s="187">
        <f t="shared" si="841"/>
        <v>0</v>
      </c>
      <c r="AV2436" s="190">
        <f t="shared" si="842"/>
        <v>0</v>
      </c>
      <c r="AW2436" s="191"/>
      <c r="AX2436" s="549"/>
      <c r="AY2436" s="549"/>
      <c r="AZ2436" s="549"/>
      <c r="BA2436" s="549"/>
      <c r="BB2436" s="551"/>
      <c r="BC2436" s="551"/>
      <c r="BD2436" s="549"/>
      <c r="BE2436" s="550"/>
      <c r="BF2436" s="549"/>
      <c r="BG2436" s="391">
        <f>SUM($AV$2420:AV2436)</f>
        <v>-83.000000000005528</v>
      </c>
      <c r="BH2436" s="392">
        <f>SUM($AU$2420:AU2436)</f>
        <v>172.9999999999946</v>
      </c>
      <c r="BI2436" s="318">
        <f>SUMIFS($AU$2420:AU2620,$Q$2420:Q2620,"F")</f>
        <v>-143.99999999999949</v>
      </c>
      <c r="BJ2436" s="318">
        <f>SUMIFS($AU$2420:AU2620,$Q$2420:Q2620,"S")</f>
        <v>256.00000000000466</v>
      </c>
      <c r="BK2436" s="343">
        <f>SUMIFS($AU$2420:AU2620,$P$2420:P2620,"W")</f>
        <v>-607.99999999991883</v>
      </c>
      <c r="BL2436" s="343">
        <f>SUMIFS($AU$2420:AU2620,$P$2420:P2620,"R")</f>
        <v>911.99999999999966</v>
      </c>
      <c r="BM2436" s="343">
        <f>SUMIFS($AU$2420:AU2620,$AQ$2420:AQ2620,"M")</f>
        <v>-899.79999999984489</v>
      </c>
      <c r="BN2436" s="343">
        <f>SUMIFS($AU$2420:AU2620,$AQ$2420:AQ2620,"H")</f>
        <v>1762.9999999999427</v>
      </c>
      <c r="BO2436" s="343">
        <f>SUMIFS($AU$2420:AU2620,$AQ$2420:AQ2620,"D")</f>
        <v>-767.99999999998977</v>
      </c>
      <c r="BP2436" s="343">
        <f>SUMIFS($AS$2420:AS2708,$AO$2420:AO2708,"W")</f>
        <v>0</v>
      </c>
      <c r="BQ2436" s="343">
        <f>SUMIFS($AU$2420:AU2620,$Q$2420:Q2620,"O")</f>
        <v>-884.7999999998965</v>
      </c>
      <c r="BR2436" s="343">
        <f>SUMIFS($AU$2420:AU2620,$AA$2420:AA2620,"*")</f>
        <v>-512.79999999998074</v>
      </c>
      <c r="BS2436" s="343">
        <f>SUMIFS($AU$2420:AU2620,$AB$2420:AB2620,"*")</f>
        <v>-451.99999999997726</v>
      </c>
      <c r="BT2436" s="343">
        <f>SUMIFS($AU$2420:AU2620,$AC$2420:AC2620,"*")</f>
        <v>-143.99999999999909</v>
      </c>
      <c r="BU2436" s="343">
        <f>SUMIFS($AU$2420:AU2620,$AA$2420:AA2620,"*",$AB$2420:AB2620,"*")</f>
        <v>95.999999999933891</v>
      </c>
      <c r="BV2436" s="343">
        <f>SUMIFS($AU$2420:AU2620,$AA$2420:AA2620,"*",$AC$2420:AC2620,"*")</f>
        <v>-591.99999999999977</v>
      </c>
      <c r="BW2436" s="343">
        <f>SUMIFS($AU$2420:AU2620,$AB$2420:AB2620,"*",$AC$2420:AC2620,"*")</f>
        <v>-143.99999999999966</v>
      </c>
      <c r="BX2436" s="343">
        <f>SUMIFS($AV$2420:AV2620,$Q$2420:Q2620,"F")</f>
        <v>18.153846153846242</v>
      </c>
      <c r="BY2436" s="343">
        <f>SUMIFS($AV$2420:AV2620,$Q$2420:Q2620,"S")</f>
        <v>64.044720496894826</v>
      </c>
      <c r="BZ2436" s="343">
        <f>SUMIFS($AV$2420:AV2620,$Q$2420:Q2620,"O")</f>
        <v>-458.13333333332537</v>
      </c>
    </row>
    <row r="2437" spans="1:78" ht="15.75" customHeight="1">
      <c r="A2437" s="177" t="s">
        <v>7465</v>
      </c>
      <c r="B2437" s="200"/>
      <c r="C2437" s="178"/>
      <c r="D2437" s="178"/>
      <c r="E2437" s="227" t="s">
        <v>7612</v>
      </c>
      <c r="F2437" s="180" t="s">
        <v>7293</v>
      </c>
      <c r="G2437" s="181"/>
      <c r="H2437" s="182"/>
      <c r="I2437" s="182"/>
      <c r="J2437" s="182">
        <v>1</v>
      </c>
      <c r="K2437" s="183" t="s">
        <v>372</v>
      </c>
      <c r="L2437" s="182"/>
      <c r="M2437" s="182"/>
      <c r="N2437" s="182"/>
      <c r="O2437" s="183"/>
      <c r="P2437" s="183"/>
      <c r="Q2437" s="183"/>
      <c r="R2437" s="183"/>
      <c r="S2437" s="183"/>
      <c r="T2437" s="183"/>
      <c r="U2437" s="183"/>
      <c r="V2437" s="183"/>
      <c r="W2437" s="183"/>
      <c r="X2437" s="183"/>
      <c r="Y2437" s="183"/>
      <c r="Z2437" s="183"/>
      <c r="AA2437" s="185"/>
      <c r="AB2437" s="185"/>
      <c r="AC2437" s="185"/>
      <c r="AD2437" s="649"/>
      <c r="AE2437" s="182"/>
      <c r="AF2437" s="332"/>
      <c r="AG2437" s="182"/>
      <c r="AH2437" s="182"/>
      <c r="AI2437" s="182"/>
      <c r="AJ2437" s="640"/>
      <c r="AK2437" s="182"/>
      <c r="AL2437" s="496">
        <f t="shared" si="838"/>
        <v>0</v>
      </c>
      <c r="AM2437" s="496">
        <f t="shared" si="839"/>
        <v>0</v>
      </c>
      <c r="AN2437" s="626"/>
      <c r="AO2437" s="182"/>
      <c r="AP2437" s="182"/>
      <c r="AQ2437" s="332" t="str">
        <f>UPPER(RIGHT(Journal_Live[[#This Row],[DURATION ]]))</f>
        <v/>
      </c>
      <c r="AR2437" s="182"/>
      <c r="AS2437" s="189"/>
      <c r="AT2437" s="189">
        <f t="shared" si="840"/>
        <v>0</v>
      </c>
      <c r="AU2437" s="187">
        <f t="shared" si="841"/>
        <v>0</v>
      </c>
      <c r="AV2437" s="190">
        <f t="shared" si="842"/>
        <v>0</v>
      </c>
      <c r="AW2437" s="191"/>
      <c r="AX2437" s="549"/>
      <c r="AY2437" s="549"/>
      <c r="AZ2437" s="549"/>
      <c r="BA2437" s="549"/>
      <c r="BB2437" s="551"/>
      <c r="BC2437" s="551"/>
      <c r="BD2437" s="549"/>
      <c r="BE2437" s="550"/>
      <c r="BF2437" s="549"/>
      <c r="BG2437" s="391">
        <f>SUM($AV$2420:AV2437)</f>
        <v>-83.000000000005528</v>
      </c>
      <c r="BH2437" s="392">
        <f>SUM($AU$2420:AU2437)</f>
        <v>172.9999999999946</v>
      </c>
      <c r="BI2437" s="318">
        <f>SUMIFS($AU$2420:AU2621,$Q$2420:Q2621,"F")</f>
        <v>-143.99999999999949</v>
      </c>
      <c r="BJ2437" s="318">
        <f>SUMIFS($AU$2420:AU2621,$Q$2420:Q2621,"S")</f>
        <v>256.00000000000466</v>
      </c>
      <c r="BK2437" s="343">
        <f>SUMIFS($AU$2420:AU2621,$P$2420:P2621,"W")</f>
        <v>-607.99999999991883</v>
      </c>
      <c r="BL2437" s="343">
        <f>SUMIFS($AU$2420:AU2621,$P$2420:P2621,"R")</f>
        <v>911.99999999999966</v>
      </c>
      <c r="BM2437" s="343">
        <f>SUMIFS($AU$2420:AU2621,$AQ$2420:AQ2621,"M")</f>
        <v>-899.79999999984489</v>
      </c>
      <c r="BN2437" s="343">
        <f>SUMIFS($AU$2420:AU2621,$AQ$2420:AQ2621,"H")</f>
        <v>1762.9999999999427</v>
      </c>
      <c r="BO2437" s="343">
        <f>SUMIFS($AU$2420:AU2621,$AQ$2420:AQ2621,"D")</f>
        <v>-767.99999999998977</v>
      </c>
      <c r="BP2437" s="343">
        <f>SUMIFS($AS$2420:AS2709,$AO$2420:AO2709,"W")</f>
        <v>0</v>
      </c>
      <c r="BQ2437" s="343">
        <f>SUMIFS($AU$2420:AU2621,$Q$2420:Q2621,"O")</f>
        <v>-884.7999999998965</v>
      </c>
      <c r="BR2437" s="343">
        <f>SUMIFS($AU$2420:AU2621,$AA$2420:AA2621,"*")</f>
        <v>-512.79999999998074</v>
      </c>
      <c r="BS2437" s="343">
        <f>SUMIFS($AU$2420:AU2621,$AB$2420:AB2621,"*")</f>
        <v>-451.99999999997726</v>
      </c>
      <c r="BT2437" s="343">
        <f>SUMIFS($AU$2420:AU2621,$AC$2420:AC2621,"*")</f>
        <v>-143.99999999999909</v>
      </c>
      <c r="BU2437" s="343">
        <f>SUMIFS($AU$2420:AU2621,$AA$2420:AA2621,"*",$AB$2420:AB2621,"*")</f>
        <v>95.999999999933891</v>
      </c>
      <c r="BV2437" s="343">
        <f>SUMIFS($AU$2420:AU2621,$AA$2420:AA2621,"*",$AC$2420:AC2621,"*")</f>
        <v>-591.99999999999977</v>
      </c>
      <c r="BW2437" s="343">
        <f>SUMIFS($AU$2420:AU2621,$AB$2420:AB2621,"*",$AC$2420:AC2621,"*")</f>
        <v>-143.99999999999966</v>
      </c>
      <c r="BX2437" s="343">
        <f>SUMIFS($AV$2420:AV2621,$Q$2420:Q2621,"F")</f>
        <v>18.153846153846242</v>
      </c>
      <c r="BY2437" s="343">
        <f>SUMIFS($AV$2420:AV2621,$Q$2420:Q2621,"S")</f>
        <v>64.044720496894826</v>
      </c>
      <c r="BZ2437" s="343">
        <f>SUMIFS($AV$2420:AV2621,$Q$2420:Q2621,"O")</f>
        <v>-458.13333333332537</v>
      </c>
    </row>
    <row r="2438" spans="1:78" ht="15.75" customHeight="1">
      <c r="A2438" s="177" t="s">
        <v>7465</v>
      </c>
      <c r="B2438" s="200"/>
      <c r="C2438" s="178"/>
      <c r="D2438" s="178"/>
      <c r="E2438" s="227" t="s">
        <v>7613</v>
      </c>
      <c r="F2438" s="180"/>
      <c r="G2438" s="181"/>
      <c r="H2438" s="182"/>
      <c r="I2438" s="182"/>
      <c r="J2438" s="182">
        <v>1</v>
      </c>
      <c r="K2438" s="183" t="s">
        <v>115</v>
      </c>
      <c r="L2438" s="182"/>
      <c r="M2438" s="182"/>
      <c r="N2438" s="182"/>
      <c r="O2438" s="183"/>
      <c r="P2438" s="183"/>
      <c r="Q2438" s="183"/>
      <c r="R2438" s="183"/>
      <c r="S2438" s="183"/>
      <c r="T2438" s="183"/>
      <c r="U2438" s="183"/>
      <c r="V2438" s="183"/>
      <c r="W2438" s="183"/>
      <c r="X2438" s="183"/>
      <c r="Y2438" s="183"/>
      <c r="Z2438" s="183"/>
      <c r="AA2438" s="185"/>
      <c r="AB2438" s="185"/>
      <c r="AC2438" s="185"/>
      <c r="AD2438" s="649"/>
      <c r="AE2438" s="182"/>
      <c r="AF2438" s="332"/>
      <c r="AG2438" s="182"/>
      <c r="AH2438" s="182"/>
      <c r="AI2438" s="182"/>
      <c r="AJ2438" s="640"/>
      <c r="AK2438" s="182"/>
      <c r="AL2438" s="496">
        <f t="shared" si="838"/>
        <v>0</v>
      </c>
      <c r="AM2438" s="496">
        <f t="shared" si="839"/>
        <v>0</v>
      </c>
      <c r="AN2438" s="626"/>
      <c r="AO2438" s="182"/>
      <c r="AP2438" s="182"/>
      <c r="AQ2438" s="332" t="str">
        <f>UPPER(RIGHT(Journal_Live[[#This Row],[DURATION ]]))</f>
        <v/>
      </c>
      <c r="AR2438" s="182"/>
      <c r="AS2438" s="189"/>
      <c r="AT2438" s="189">
        <f t="shared" si="840"/>
        <v>0</v>
      </c>
      <c r="AU2438" s="187">
        <f t="shared" si="841"/>
        <v>0</v>
      </c>
      <c r="AV2438" s="190">
        <f t="shared" si="842"/>
        <v>0</v>
      </c>
      <c r="AW2438" s="191"/>
      <c r="AX2438" s="549"/>
      <c r="AY2438" s="549"/>
      <c r="AZ2438" s="549"/>
      <c r="BA2438" s="549"/>
      <c r="BB2438" s="551"/>
      <c r="BC2438" s="551"/>
      <c r="BD2438" s="549"/>
      <c r="BE2438" s="550"/>
      <c r="BF2438" s="549"/>
      <c r="BG2438" s="391">
        <f>SUM($AV$2420:AV2438)</f>
        <v>-83.000000000005528</v>
      </c>
      <c r="BH2438" s="392">
        <f>SUM($AU$2420:AU2438)</f>
        <v>172.9999999999946</v>
      </c>
      <c r="BI2438" s="318">
        <f>SUMIFS($AU$2420:AU2622,$Q$2420:Q2622,"F")</f>
        <v>-143.99999999999949</v>
      </c>
      <c r="BJ2438" s="318">
        <f>SUMIFS($AU$2420:AU2622,$Q$2420:Q2622,"S")</f>
        <v>256.00000000000466</v>
      </c>
      <c r="BK2438" s="343">
        <f>SUMIFS($AU$2420:AU2622,$P$2420:P2622,"W")</f>
        <v>-607.99999999991883</v>
      </c>
      <c r="BL2438" s="343">
        <f>SUMIFS($AU$2420:AU2622,$P$2420:P2622,"R")</f>
        <v>911.99999999999966</v>
      </c>
      <c r="BM2438" s="343">
        <f>SUMIFS($AU$2420:AU2622,$AQ$2420:AQ2622,"M")</f>
        <v>-899.79999999984489</v>
      </c>
      <c r="BN2438" s="343">
        <f>SUMIFS($AU$2420:AU2622,$AQ$2420:AQ2622,"H")</f>
        <v>1762.9999999999427</v>
      </c>
      <c r="BO2438" s="343">
        <f>SUMIFS($AU$2420:AU2622,$AQ$2420:AQ2622,"D")</f>
        <v>-767.99999999998977</v>
      </c>
      <c r="BP2438" s="343">
        <f>SUMIFS($AS$2420:AS2710,$AO$2420:AO2710,"W")</f>
        <v>0</v>
      </c>
      <c r="BQ2438" s="343">
        <f>SUMIFS($AU$2420:AU2622,$Q$2420:Q2622,"O")</f>
        <v>-884.7999999998965</v>
      </c>
      <c r="BR2438" s="343">
        <f>SUMIFS($AU$2420:AU2622,$AA$2420:AA2622,"*")</f>
        <v>-512.79999999998074</v>
      </c>
      <c r="BS2438" s="343">
        <f>SUMIFS($AU$2420:AU2622,$AB$2420:AB2622,"*")</f>
        <v>-451.99999999997726</v>
      </c>
      <c r="BT2438" s="343">
        <f>SUMIFS($AU$2420:AU2622,$AC$2420:AC2622,"*")</f>
        <v>-143.99999999999909</v>
      </c>
      <c r="BU2438" s="343">
        <f>SUMIFS($AU$2420:AU2622,$AA$2420:AA2622,"*",$AB$2420:AB2622,"*")</f>
        <v>95.999999999933891</v>
      </c>
      <c r="BV2438" s="343">
        <f>SUMIFS($AU$2420:AU2622,$AA$2420:AA2622,"*",$AC$2420:AC2622,"*")</f>
        <v>-591.99999999999977</v>
      </c>
      <c r="BW2438" s="343">
        <f>SUMIFS($AU$2420:AU2622,$AB$2420:AB2622,"*",$AC$2420:AC2622,"*")</f>
        <v>-143.99999999999966</v>
      </c>
      <c r="BX2438" s="343">
        <f>SUMIFS($AV$2420:AV2622,$Q$2420:Q2622,"F")</f>
        <v>18.153846153846242</v>
      </c>
      <c r="BY2438" s="343">
        <f>SUMIFS($AV$2420:AV2622,$Q$2420:Q2622,"S")</f>
        <v>64.044720496894826</v>
      </c>
      <c r="BZ2438" s="343">
        <f>SUMIFS($AV$2420:AV2622,$Q$2420:Q2622,"O")</f>
        <v>-458.13333333332537</v>
      </c>
    </row>
    <row r="2439" spans="1:78" ht="15.75" customHeight="1">
      <c r="A2439" s="177" t="s">
        <v>7465</v>
      </c>
      <c r="B2439" s="200"/>
      <c r="C2439" s="178"/>
      <c r="D2439" s="178"/>
      <c r="E2439" s="227" t="s">
        <v>7614</v>
      </c>
      <c r="F2439" s="180" t="s">
        <v>7293</v>
      </c>
      <c r="G2439" s="181"/>
      <c r="H2439" s="182">
        <v>1</v>
      </c>
      <c r="I2439" s="182"/>
      <c r="J2439" s="182"/>
      <c r="K2439" s="183" t="s">
        <v>372</v>
      </c>
      <c r="L2439" s="182"/>
      <c r="M2439" s="182"/>
      <c r="N2439" s="182"/>
      <c r="O2439" s="183"/>
      <c r="P2439" s="183"/>
      <c r="Q2439" s="183"/>
      <c r="R2439" s="183"/>
      <c r="S2439" s="183"/>
      <c r="T2439" s="183"/>
      <c r="U2439" s="183"/>
      <c r="V2439" s="183"/>
      <c r="W2439" s="183"/>
      <c r="X2439" s="183"/>
      <c r="Y2439" s="183"/>
      <c r="Z2439" s="183"/>
      <c r="AA2439" s="185"/>
      <c r="AB2439" s="185"/>
      <c r="AC2439" s="185"/>
      <c r="AD2439" s="649"/>
      <c r="AE2439" s="182"/>
      <c r="AF2439" s="332"/>
      <c r="AG2439" s="182"/>
      <c r="AH2439" s="182"/>
      <c r="AI2439" s="182"/>
      <c r="AJ2439" s="640"/>
      <c r="AK2439" s="182"/>
      <c r="AL2439" s="496">
        <f t="shared" si="838"/>
        <v>0</v>
      </c>
      <c r="AM2439" s="496">
        <f t="shared" si="839"/>
        <v>0</v>
      </c>
      <c r="AN2439" s="626"/>
      <c r="AO2439" s="182"/>
      <c r="AP2439" s="182"/>
      <c r="AQ2439" s="332" t="str">
        <f>UPPER(RIGHT(Journal_Live[[#This Row],[DURATION ]]))</f>
        <v/>
      </c>
      <c r="AR2439" s="182"/>
      <c r="AS2439" s="189"/>
      <c r="AT2439" s="189">
        <f t="shared" si="840"/>
        <v>0</v>
      </c>
      <c r="AU2439" s="187">
        <f t="shared" si="841"/>
        <v>0</v>
      </c>
      <c r="AV2439" s="190">
        <f t="shared" si="842"/>
        <v>0</v>
      </c>
      <c r="AW2439" s="191"/>
      <c r="AX2439" s="549"/>
      <c r="AY2439" s="549"/>
      <c r="AZ2439" s="549"/>
      <c r="BA2439" s="549"/>
      <c r="BB2439" s="551"/>
      <c r="BC2439" s="551"/>
      <c r="BD2439" s="549"/>
      <c r="BE2439" s="550"/>
      <c r="BF2439" s="549"/>
      <c r="BG2439" s="391">
        <f>SUM($AV$2420:AV2439)</f>
        <v>-83.000000000005528</v>
      </c>
      <c r="BH2439" s="392">
        <f>SUM($AU$2420:AU2439)</f>
        <v>172.9999999999946</v>
      </c>
      <c r="BI2439" s="318">
        <f>SUMIFS($AU$2420:AU2623,$Q$2420:Q2623,"F")</f>
        <v>-143.99999999999949</v>
      </c>
      <c r="BJ2439" s="318">
        <f>SUMIFS($AU$2420:AU2623,$Q$2420:Q2623,"S")</f>
        <v>256.00000000000466</v>
      </c>
      <c r="BK2439" s="343">
        <f>SUMIFS($AU$2420:AU2623,$P$2420:P2623,"W")</f>
        <v>-607.99999999991883</v>
      </c>
      <c r="BL2439" s="343">
        <f>SUMIFS($AU$2420:AU2623,$P$2420:P2623,"R")</f>
        <v>911.99999999999966</v>
      </c>
      <c r="BM2439" s="343">
        <f>SUMIFS($AU$2420:AU2623,$AQ$2420:AQ2623,"M")</f>
        <v>-899.79999999984489</v>
      </c>
      <c r="BN2439" s="343">
        <f>SUMIFS($AU$2420:AU2623,$AQ$2420:AQ2623,"H")</f>
        <v>1762.9999999999427</v>
      </c>
      <c r="BO2439" s="343">
        <f>SUMIFS($AU$2420:AU2623,$AQ$2420:AQ2623,"D")</f>
        <v>-767.99999999998977</v>
      </c>
      <c r="BP2439" s="343">
        <f>SUMIFS($AS$2420:AS2711,$AO$2420:AO2711,"W")</f>
        <v>0</v>
      </c>
      <c r="BQ2439" s="343">
        <f>SUMIFS($AU$2420:AU2623,$Q$2420:Q2623,"O")</f>
        <v>-884.7999999998965</v>
      </c>
      <c r="BR2439" s="343">
        <f>SUMIFS($AU$2420:AU2623,$AA$2420:AA2623,"*")</f>
        <v>-512.79999999998074</v>
      </c>
      <c r="BS2439" s="343">
        <f>SUMIFS($AU$2420:AU2623,$AB$2420:AB2623,"*")</f>
        <v>-451.99999999997726</v>
      </c>
      <c r="BT2439" s="343">
        <f>SUMIFS($AU$2420:AU2623,$AC$2420:AC2623,"*")</f>
        <v>-143.99999999999909</v>
      </c>
      <c r="BU2439" s="343">
        <f>SUMIFS($AU$2420:AU2623,$AA$2420:AA2623,"*",$AB$2420:AB2623,"*")</f>
        <v>95.999999999933891</v>
      </c>
      <c r="BV2439" s="343">
        <f>SUMIFS($AU$2420:AU2623,$AA$2420:AA2623,"*",$AC$2420:AC2623,"*")</f>
        <v>-591.99999999999977</v>
      </c>
      <c r="BW2439" s="343">
        <f>SUMIFS($AU$2420:AU2623,$AB$2420:AB2623,"*",$AC$2420:AC2623,"*")</f>
        <v>-143.99999999999966</v>
      </c>
      <c r="BX2439" s="343">
        <f>SUMIFS($AV$2420:AV2623,$Q$2420:Q2623,"F")</f>
        <v>18.153846153846242</v>
      </c>
      <c r="BY2439" s="343">
        <f>SUMIFS($AV$2420:AV2623,$Q$2420:Q2623,"S")</f>
        <v>64.044720496894826</v>
      </c>
      <c r="BZ2439" s="343">
        <f>SUMIFS($AV$2420:AV2623,$Q$2420:Q2623,"O")</f>
        <v>-458.13333333332537</v>
      </c>
    </row>
    <row r="2440" spans="1:78" ht="15.75" customHeight="1">
      <c r="A2440" s="177" t="s">
        <v>7465</v>
      </c>
      <c r="B2440" s="200">
        <v>45519</v>
      </c>
      <c r="C2440" s="178" t="s">
        <v>7615</v>
      </c>
      <c r="D2440" s="178" t="s">
        <v>93</v>
      </c>
      <c r="E2440" s="227"/>
      <c r="F2440" s="180"/>
      <c r="G2440" s="497" t="s">
        <v>2016</v>
      </c>
      <c r="H2440" s="182"/>
      <c r="I2440" s="182"/>
      <c r="J2440" s="182"/>
      <c r="K2440" s="183"/>
      <c r="L2440" s="182">
        <v>1</v>
      </c>
      <c r="M2440" s="182"/>
      <c r="N2440" s="182"/>
      <c r="O2440" s="183" t="s">
        <v>95</v>
      </c>
      <c r="P2440" s="183" t="s">
        <v>96</v>
      </c>
      <c r="Q2440" s="183" t="s">
        <v>97</v>
      </c>
      <c r="R2440" s="183">
        <v>3</v>
      </c>
      <c r="S2440" s="183">
        <v>0</v>
      </c>
      <c r="T2440" s="183">
        <v>3</v>
      </c>
      <c r="U2440" s="183" t="s">
        <v>97</v>
      </c>
      <c r="V2440" s="183" t="s">
        <v>7349</v>
      </c>
      <c r="W2440" s="183" t="s">
        <v>115</v>
      </c>
      <c r="X2440" s="183" t="s">
        <v>7488</v>
      </c>
      <c r="Y2440" s="184">
        <f t="shared" ref="Y2440:Y2453" si="843">IF(ISBLANK(O2440),"",(IF(O2440=UPPER("IB"),0.005,0.01)))</f>
        <v>0.01</v>
      </c>
      <c r="Z2440" s="185">
        <f t="shared" ref="Z2440:Z2453" si="844">IF(ISBLANK(O2440),"",IF(O2440="IB",8.63*200,IF(O2440="IR",16*100,IF(O2440="YT",20*100,IF(O2440="YT-XT",24*200,IF(O2440="TED",80*100,IF(O2440="XT",29*200)))))))</f>
        <v>1600</v>
      </c>
      <c r="AA2440" s="185" t="s">
        <v>7616</v>
      </c>
      <c r="AB2440" s="185"/>
      <c r="AC2440" s="185"/>
      <c r="AD2440" s="649">
        <v>-0.18</v>
      </c>
      <c r="AE2440" s="182" t="s">
        <v>7617</v>
      </c>
      <c r="AF2440" s="332"/>
      <c r="AG2440" s="182"/>
      <c r="AH2440" s="182"/>
      <c r="AI2440" s="182"/>
      <c r="AJ2440" s="640"/>
      <c r="AK2440" s="182"/>
      <c r="AL2440" s="496">
        <f t="shared" ref="AL2440:AL2446" si="845">-0.02*Z2440</f>
        <v>-32</v>
      </c>
      <c r="AM2440" s="496">
        <f t="shared" ref="AM2440:AM2446" si="846">AL2440*(R2440-S2440)</f>
        <v>-96</v>
      </c>
      <c r="AN2440" s="626" t="s">
        <v>7618</v>
      </c>
      <c r="AO2440" s="182" t="s">
        <v>7619</v>
      </c>
      <c r="AP2440" s="182" t="s">
        <v>960</v>
      </c>
      <c r="AQ2440" s="332" t="s">
        <v>372</v>
      </c>
      <c r="AR2440" s="182" t="s">
        <v>7620</v>
      </c>
      <c r="AS2440" s="189">
        <v>-0.17</v>
      </c>
      <c r="AT2440" s="189">
        <f t="shared" ref="AT2440:AT2446" si="847">IF(ISBLANK(AS2440),,IF(U2440="S",AD2440-AS2440,AS2440-AD2440))</f>
        <v>-9.9999999999999811E-3</v>
      </c>
      <c r="AU2440" s="187">
        <f t="shared" ref="AU2440:AU2446" si="848">AV2440*R2440</f>
        <v>-47.999999999999908</v>
      </c>
      <c r="AV2440" s="190">
        <f t="shared" ref="AV2440:AV2446" si="849">IF(ISBLANK(AS2440),,(AT2440*Z2440))</f>
        <v>-15.99999999999997</v>
      </c>
      <c r="AW2440" s="191" t="s">
        <v>229</v>
      </c>
      <c r="AX2440" s="549" t="s">
        <v>7621</v>
      </c>
      <c r="AY2440" s="549"/>
      <c r="AZ2440" s="549"/>
      <c r="BA2440" s="549"/>
      <c r="BB2440" s="551"/>
      <c r="BC2440" s="551"/>
      <c r="BD2440" s="549"/>
      <c r="BE2440" s="550"/>
      <c r="BF2440" s="549"/>
      <c r="BG2440" s="391">
        <f>SUM($AV$2420:AV2440)</f>
        <v>-99.0000000000055</v>
      </c>
      <c r="BH2440" s="392">
        <f>SUM($AU$2420:AU2440)</f>
        <v>124.99999999999469</v>
      </c>
      <c r="BI2440" s="318">
        <f>SUMIFS($AU$2420:AU2617,$Q$2420:Q2617,"F")</f>
        <v>-143.99999999999949</v>
      </c>
      <c r="BJ2440" s="318">
        <f>SUMIFS($AU$2420:AU2617,$Q$2420:Q2617,"S")</f>
        <v>256.00000000000466</v>
      </c>
      <c r="BK2440" s="343">
        <f>SUMIFS($AU$2420:AU2617,$P$2420:P2617,"W")</f>
        <v>-607.99999999991883</v>
      </c>
      <c r="BL2440" s="343">
        <f>SUMIFS($AU$2420:AU2617,$P$2420:P2617,"R")</f>
        <v>911.99999999999966</v>
      </c>
      <c r="BM2440" s="343">
        <f>SUMIFS($AU$2420:AU2617,$AQ$2420:AQ2617,"M")</f>
        <v>-899.79999999984489</v>
      </c>
      <c r="BN2440" s="343">
        <f>SUMIFS($AU$2420:AU2617,$AQ$2420:AQ2617,"H")</f>
        <v>1762.9999999999427</v>
      </c>
      <c r="BO2440" s="343">
        <f>SUMIFS($AU$2420:AU2617,$AQ$2420:AQ2617,"D")</f>
        <v>-767.99999999998977</v>
      </c>
      <c r="BP2440" s="343">
        <f>SUMIFS($AS$2420:AS2705,$AO$2420:AO2705,"W")</f>
        <v>0</v>
      </c>
      <c r="BQ2440" s="343">
        <f>SUMIFS($AU$2420:AU2617,$Q$2420:Q2617,"O")</f>
        <v>-884.7999999998965</v>
      </c>
      <c r="BR2440" s="343">
        <f>SUMIFS($AU$2420:AU2617,$AA$2420:AA2617,"*")</f>
        <v>-512.79999999998074</v>
      </c>
      <c r="BS2440" s="343">
        <f>SUMIFS($AU$2420:AU2617,$AB$2420:AB2617,"*")</f>
        <v>-451.99999999997726</v>
      </c>
      <c r="BT2440" s="343">
        <f>SUMIFS($AU$2420:AU2617,$AC$2420:AC2617,"*")</f>
        <v>-143.99999999999909</v>
      </c>
      <c r="BU2440" s="343">
        <f>SUMIFS($AU$2420:AU2617,$AA$2420:AA2617,"*",$AB$2420:AB2617,"*")</f>
        <v>95.999999999933891</v>
      </c>
      <c r="BV2440" s="343">
        <f>SUMIFS($AU$2420:AU2617,$AA$2420:AA2617,"*",$AC$2420:AC2617,"*")</f>
        <v>-591.99999999999977</v>
      </c>
      <c r="BW2440" s="343">
        <f>SUMIFS($AU$2420:AU2617,$AB$2420:AB2617,"*",$AC$2420:AC2617,"*")</f>
        <v>-143.99999999999966</v>
      </c>
      <c r="BX2440" s="343">
        <f>SUMIFS($AV$2420:AV2617,$Q$2420:Q2617,"F")</f>
        <v>18.153846153846242</v>
      </c>
      <c r="BY2440" s="343">
        <f>SUMIFS($AV$2420:AV2617,$Q$2420:Q2617,"S")</f>
        <v>64.044720496894826</v>
      </c>
      <c r="BZ2440" s="343">
        <f>SUMIFS($AV$2420:AV2617,$Q$2420:Q2617,"O")</f>
        <v>-458.13333333332537</v>
      </c>
    </row>
    <row r="2441" spans="1:78" ht="15.75" customHeight="1">
      <c r="A2441" s="177" t="s">
        <v>7465</v>
      </c>
      <c r="B2441" s="200">
        <v>45519</v>
      </c>
      <c r="C2441" s="178" t="s">
        <v>1728</v>
      </c>
      <c r="D2441" s="178" t="s">
        <v>93</v>
      </c>
      <c r="E2441" s="227"/>
      <c r="F2441" s="180"/>
      <c r="G2441" s="497" t="s">
        <v>7622</v>
      </c>
      <c r="H2441" s="182"/>
      <c r="I2441" s="182"/>
      <c r="J2441" s="182"/>
      <c r="K2441" s="183"/>
      <c r="L2441" s="182"/>
      <c r="M2441" s="182">
        <v>1</v>
      </c>
      <c r="N2441" s="182"/>
      <c r="O2441" s="183" t="s">
        <v>95</v>
      </c>
      <c r="P2441" s="183" t="s">
        <v>96</v>
      </c>
      <c r="Q2441" s="183" t="s">
        <v>256</v>
      </c>
      <c r="R2441" s="183">
        <v>5</v>
      </c>
      <c r="S2441" s="183">
        <v>0</v>
      </c>
      <c r="T2441" s="183">
        <v>5</v>
      </c>
      <c r="U2441" s="183" t="s">
        <v>97</v>
      </c>
      <c r="V2441" s="183" t="s">
        <v>7357</v>
      </c>
      <c r="W2441" s="183" t="s">
        <v>115</v>
      </c>
      <c r="X2441" s="183"/>
      <c r="Y2441" s="184">
        <f t="shared" si="843"/>
        <v>0.01</v>
      </c>
      <c r="Z2441" s="185">
        <f t="shared" si="844"/>
        <v>1600</v>
      </c>
      <c r="AA2441" s="185" t="s">
        <v>7623</v>
      </c>
      <c r="AB2441" s="185"/>
      <c r="AC2441" s="185" t="s">
        <v>7624</v>
      </c>
      <c r="AD2441" s="649">
        <v>-0.02</v>
      </c>
      <c r="AE2441" s="182"/>
      <c r="AF2441" s="332"/>
      <c r="AG2441" s="182"/>
      <c r="AH2441" s="182"/>
      <c r="AI2441" s="182"/>
      <c r="AJ2441" s="640"/>
      <c r="AK2441" s="182"/>
      <c r="AL2441" s="496">
        <f>-0.01*Z2441</f>
        <v>-16</v>
      </c>
      <c r="AM2441" s="496">
        <f t="shared" si="846"/>
        <v>-80</v>
      </c>
      <c r="AN2441" s="626" t="s">
        <v>7618</v>
      </c>
      <c r="AO2441" s="182"/>
      <c r="AP2441" s="182"/>
      <c r="AQ2441" s="332" t="str">
        <f>UPPER(RIGHT(Journal_Live[[#This Row],[DURATION ]]))</f>
        <v/>
      </c>
      <c r="AR2441" s="182"/>
      <c r="AS2441" s="189">
        <v>-0.02</v>
      </c>
      <c r="AT2441" s="189">
        <f t="shared" si="847"/>
        <v>0</v>
      </c>
      <c r="AU2441" s="187">
        <f t="shared" si="848"/>
        <v>0</v>
      </c>
      <c r="AV2441" s="190">
        <f t="shared" si="849"/>
        <v>0</v>
      </c>
      <c r="AW2441" s="191" t="s">
        <v>115</v>
      </c>
      <c r="AX2441" s="549" t="s">
        <v>7621</v>
      </c>
      <c r="AY2441" s="549" t="s">
        <v>7625</v>
      </c>
      <c r="AZ2441" s="549" t="s">
        <v>7626</v>
      </c>
      <c r="BA2441" s="549"/>
      <c r="BB2441" s="551"/>
      <c r="BC2441" s="551"/>
      <c r="BD2441" s="549"/>
      <c r="BE2441" s="550"/>
      <c r="BF2441" s="549"/>
      <c r="BG2441" s="391">
        <f>SUM($AV$2420:AV2441)</f>
        <v>-99.0000000000055</v>
      </c>
      <c r="BH2441" s="392">
        <f>SUM($AU$2420:AU2441)</f>
        <v>124.99999999999469</v>
      </c>
      <c r="BI2441" s="318">
        <f>SUMIFS($AU$2420:AU2618,$Q$2420:Q2618,"F")</f>
        <v>-143.99999999999949</v>
      </c>
      <c r="BJ2441" s="318">
        <f>SUMIFS($AU$2420:AU2618,$Q$2420:Q2618,"S")</f>
        <v>256.00000000000466</v>
      </c>
      <c r="BK2441" s="343">
        <f>SUMIFS($AU$2420:AU2618,$P$2420:P2618,"W")</f>
        <v>-607.99999999991883</v>
      </c>
      <c r="BL2441" s="343">
        <f>SUMIFS($AU$2420:AU2618,$P$2420:P2618,"R")</f>
        <v>911.99999999999966</v>
      </c>
      <c r="BM2441" s="343">
        <f>SUMIFS($AU$2420:AU2618,$AQ$2420:AQ2618,"M")</f>
        <v>-899.79999999984489</v>
      </c>
      <c r="BN2441" s="343">
        <f>SUMIFS($AU$2420:AU2618,$AQ$2420:AQ2618,"H")</f>
        <v>1762.9999999999427</v>
      </c>
      <c r="BO2441" s="343">
        <f>SUMIFS($AU$2420:AU2618,$AQ$2420:AQ2618,"D")</f>
        <v>-767.99999999998977</v>
      </c>
      <c r="BP2441" s="343">
        <f>SUMIFS($AS$2420:AS2706,$AO$2420:AO2706,"W")</f>
        <v>0</v>
      </c>
      <c r="BQ2441" s="343">
        <f>SUMIFS($AU$2420:AU2618,$Q$2420:Q2618,"O")</f>
        <v>-884.7999999998965</v>
      </c>
      <c r="BR2441" s="343">
        <f>SUMIFS($AU$2420:AU2618,$AA$2420:AA2618,"*")</f>
        <v>-512.79999999998074</v>
      </c>
      <c r="BS2441" s="343">
        <f>SUMIFS($AU$2420:AU2618,$AB$2420:AB2618,"*")</f>
        <v>-451.99999999997726</v>
      </c>
      <c r="BT2441" s="343">
        <f>SUMIFS($AU$2420:AU2618,$AC$2420:AC2618,"*")</f>
        <v>-143.99999999999909</v>
      </c>
      <c r="BU2441" s="343">
        <f>SUMIFS($AU$2420:AU2618,$AA$2420:AA2618,"*",$AB$2420:AB2618,"*")</f>
        <v>95.999999999933891</v>
      </c>
      <c r="BV2441" s="343">
        <f>SUMIFS($AU$2420:AU2618,$AA$2420:AA2618,"*",$AC$2420:AC2618,"*")</f>
        <v>-591.99999999999977</v>
      </c>
      <c r="BW2441" s="343">
        <f>SUMIFS($AU$2420:AU2618,$AB$2420:AB2618,"*",$AC$2420:AC2618,"*")</f>
        <v>-143.99999999999966</v>
      </c>
      <c r="BX2441" s="343">
        <f>SUMIFS($AV$2420:AV2618,$Q$2420:Q2618,"F")</f>
        <v>18.153846153846242</v>
      </c>
      <c r="BY2441" s="343">
        <f>SUMIFS($AV$2420:AV2618,$Q$2420:Q2618,"S")</f>
        <v>64.044720496894826</v>
      </c>
      <c r="BZ2441" s="343">
        <f>SUMIFS($AV$2420:AV2618,$Q$2420:Q2618,"O")</f>
        <v>-458.13333333332537</v>
      </c>
    </row>
    <row r="2442" spans="1:78" ht="15.75" customHeight="1">
      <c r="A2442" s="177" t="s">
        <v>7465</v>
      </c>
      <c r="B2442" s="200">
        <v>45519</v>
      </c>
      <c r="C2442" s="178" t="s">
        <v>1728</v>
      </c>
      <c r="D2442" s="178" t="s">
        <v>93</v>
      </c>
      <c r="E2442" s="227"/>
      <c r="F2442" s="180"/>
      <c r="G2442" s="570" t="s">
        <v>7277</v>
      </c>
      <c r="H2442" s="182"/>
      <c r="I2442" s="182"/>
      <c r="J2442" s="182"/>
      <c r="K2442" s="183"/>
      <c r="L2442" s="182"/>
      <c r="M2442" s="182">
        <v>1</v>
      </c>
      <c r="N2442" s="182"/>
      <c r="O2442" s="183" t="s">
        <v>95</v>
      </c>
      <c r="P2442" s="183" t="s">
        <v>96</v>
      </c>
      <c r="Q2442" s="183" t="s">
        <v>97</v>
      </c>
      <c r="R2442" s="183">
        <v>3</v>
      </c>
      <c r="S2442" s="183">
        <v>0</v>
      </c>
      <c r="T2442" s="183">
        <v>3</v>
      </c>
      <c r="U2442" s="183" t="s">
        <v>97</v>
      </c>
      <c r="V2442" s="183" t="s">
        <v>7349</v>
      </c>
      <c r="W2442" s="183" t="s">
        <v>115</v>
      </c>
      <c r="X2442" s="183"/>
      <c r="Y2442" s="184">
        <f t="shared" si="843"/>
        <v>0.01</v>
      </c>
      <c r="Z2442" s="185">
        <f t="shared" si="844"/>
        <v>1600</v>
      </c>
      <c r="AA2442" s="185" t="s">
        <v>5492</v>
      </c>
      <c r="AB2442" s="185"/>
      <c r="AC2442" s="185"/>
      <c r="AD2442" s="649">
        <v>-0.3</v>
      </c>
      <c r="AE2442" s="182"/>
      <c r="AF2442" s="332"/>
      <c r="AG2442" s="182"/>
      <c r="AH2442" s="182"/>
      <c r="AI2442" s="182"/>
      <c r="AJ2442" s="640"/>
      <c r="AK2442" s="182"/>
      <c r="AL2442" s="496">
        <f t="shared" si="845"/>
        <v>-32</v>
      </c>
      <c r="AM2442" s="496">
        <f t="shared" si="846"/>
        <v>-96</v>
      </c>
      <c r="AN2442" s="626" t="s">
        <v>7618</v>
      </c>
      <c r="AO2442" s="182"/>
      <c r="AP2442" s="182"/>
      <c r="AQ2442" s="332" t="s">
        <v>372</v>
      </c>
      <c r="AR2442" s="182" t="s">
        <v>7627</v>
      </c>
      <c r="AS2442" s="189">
        <v>-0.3</v>
      </c>
      <c r="AT2442" s="189">
        <f t="shared" si="847"/>
        <v>0</v>
      </c>
      <c r="AU2442" s="187">
        <f t="shared" si="848"/>
        <v>0</v>
      </c>
      <c r="AV2442" s="190">
        <f t="shared" si="849"/>
        <v>0</v>
      </c>
      <c r="AW2442" s="191" t="s">
        <v>115</v>
      </c>
      <c r="AX2442" s="549" t="s">
        <v>7621</v>
      </c>
      <c r="AY2442" s="549"/>
      <c r="AZ2442" s="549"/>
      <c r="BA2442" s="549"/>
      <c r="BB2442" s="551"/>
      <c r="BC2442" s="551"/>
      <c r="BD2442" s="549"/>
      <c r="BE2442" s="550"/>
      <c r="BF2442" s="549"/>
      <c r="BG2442" s="391">
        <f>SUM($AV$2420:AV2442)</f>
        <v>-99.0000000000055</v>
      </c>
      <c r="BH2442" s="392">
        <f>SUM($AU$2420:AU2442)</f>
        <v>124.99999999999469</v>
      </c>
      <c r="BI2442" s="318">
        <f>SUMIFS($AU$2420:AU2619,$Q$2420:Q2619,"F")</f>
        <v>-143.99999999999949</v>
      </c>
      <c r="BJ2442" s="318">
        <f>SUMIFS($AU$2420:AU2619,$Q$2420:Q2619,"S")</f>
        <v>256.00000000000466</v>
      </c>
      <c r="BK2442" s="343">
        <f>SUMIFS($AU$2420:AU2619,$P$2420:P2619,"W")</f>
        <v>-607.99999999991883</v>
      </c>
      <c r="BL2442" s="343">
        <f>SUMIFS($AU$2420:AU2619,$P$2420:P2619,"R")</f>
        <v>911.99999999999966</v>
      </c>
      <c r="BM2442" s="343">
        <f>SUMIFS($AU$2420:AU2619,$AQ$2420:AQ2619,"M")</f>
        <v>-899.79999999984489</v>
      </c>
      <c r="BN2442" s="343">
        <f>SUMIFS($AU$2420:AU2619,$AQ$2420:AQ2619,"H")</f>
        <v>1762.9999999999427</v>
      </c>
      <c r="BO2442" s="343">
        <f>SUMIFS($AU$2420:AU2619,$AQ$2420:AQ2619,"D")</f>
        <v>-767.99999999998977</v>
      </c>
      <c r="BP2442" s="343">
        <f>SUMIFS($AS$2420:AS2707,$AO$2420:AO2707,"W")</f>
        <v>0</v>
      </c>
      <c r="BQ2442" s="343">
        <f>SUMIFS($AU$2420:AU2619,$Q$2420:Q2619,"O")</f>
        <v>-884.7999999998965</v>
      </c>
      <c r="BR2442" s="343">
        <f>SUMIFS($AU$2420:AU2619,$AA$2420:AA2619,"*")</f>
        <v>-512.79999999998074</v>
      </c>
      <c r="BS2442" s="343">
        <f>SUMIFS($AU$2420:AU2619,$AB$2420:AB2619,"*")</f>
        <v>-451.99999999997726</v>
      </c>
      <c r="BT2442" s="343">
        <f>SUMIFS($AU$2420:AU2619,$AC$2420:AC2619,"*")</f>
        <v>-143.99999999999909</v>
      </c>
      <c r="BU2442" s="343">
        <f>SUMIFS($AU$2420:AU2619,$AA$2420:AA2619,"*",$AB$2420:AB2619,"*")</f>
        <v>95.999999999933891</v>
      </c>
      <c r="BV2442" s="343">
        <f>SUMIFS($AU$2420:AU2619,$AA$2420:AA2619,"*",$AC$2420:AC2619,"*")</f>
        <v>-591.99999999999977</v>
      </c>
      <c r="BW2442" s="343">
        <f>SUMIFS($AU$2420:AU2619,$AB$2420:AB2619,"*",$AC$2420:AC2619,"*")</f>
        <v>-143.99999999999966</v>
      </c>
      <c r="BX2442" s="343">
        <f>SUMIFS($AV$2420:AV2619,$Q$2420:Q2619,"F")</f>
        <v>18.153846153846242</v>
      </c>
      <c r="BY2442" s="343">
        <f>SUMIFS($AV$2420:AV2619,$Q$2420:Q2619,"S")</f>
        <v>64.044720496894826</v>
      </c>
      <c r="BZ2442" s="343">
        <f>SUMIFS($AV$2420:AV2619,$Q$2420:Q2619,"O")</f>
        <v>-458.13333333332537</v>
      </c>
    </row>
    <row r="2443" spans="1:78" ht="15.75" customHeight="1">
      <c r="A2443" s="177" t="s">
        <v>7465</v>
      </c>
      <c r="B2443" s="200">
        <v>45519</v>
      </c>
      <c r="C2443" s="178" t="s">
        <v>1728</v>
      </c>
      <c r="D2443" s="178" t="s">
        <v>93</v>
      </c>
      <c r="E2443" s="227"/>
      <c r="F2443" s="180"/>
      <c r="G2443" s="497" t="s">
        <v>7628</v>
      </c>
      <c r="H2443" s="182"/>
      <c r="I2443" s="182"/>
      <c r="J2443" s="182"/>
      <c r="K2443" s="183"/>
      <c r="L2443" s="182"/>
      <c r="M2443" s="182">
        <v>1</v>
      </c>
      <c r="N2443" s="182"/>
      <c r="O2443" s="183" t="s">
        <v>95</v>
      </c>
      <c r="P2443" s="183" t="s">
        <v>96</v>
      </c>
      <c r="Q2443" s="183" t="s">
        <v>97</v>
      </c>
      <c r="R2443" s="183">
        <v>5</v>
      </c>
      <c r="S2443" s="183">
        <v>0</v>
      </c>
      <c r="T2443" s="183">
        <v>5</v>
      </c>
      <c r="U2443" s="183" t="s">
        <v>97</v>
      </c>
      <c r="V2443" s="183" t="s">
        <v>7349</v>
      </c>
      <c r="W2443" s="183" t="s">
        <v>115</v>
      </c>
      <c r="X2443" s="183"/>
      <c r="Y2443" s="184">
        <f t="shared" si="843"/>
        <v>0.01</v>
      </c>
      <c r="Z2443" s="185">
        <f t="shared" si="844"/>
        <v>1600</v>
      </c>
      <c r="AA2443" s="185" t="s">
        <v>7629</v>
      </c>
      <c r="AB2443" s="185"/>
      <c r="AC2443" s="185" t="s">
        <v>7630</v>
      </c>
      <c r="AD2443" s="649">
        <v>-0.19</v>
      </c>
      <c r="AE2443" s="182"/>
      <c r="AF2443" s="332"/>
      <c r="AG2443" s="182"/>
      <c r="AH2443" s="182"/>
      <c r="AI2443" s="182"/>
      <c r="AJ2443" s="640" t="s">
        <v>7631</v>
      </c>
      <c r="AK2443" s="182"/>
      <c r="AL2443" s="496">
        <f t="shared" si="845"/>
        <v>-32</v>
      </c>
      <c r="AM2443" s="496">
        <f t="shared" si="846"/>
        <v>-160</v>
      </c>
      <c r="AN2443" s="626" t="s">
        <v>7618</v>
      </c>
      <c r="AO2443" s="182"/>
      <c r="AP2443" s="182"/>
      <c r="AQ2443" s="332" t="s">
        <v>372</v>
      </c>
      <c r="AR2443" s="298" t="s">
        <v>7632</v>
      </c>
      <c r="AS2443" s="189">
        <v>-0.19</v>
      </c>
      <c r="AT2443" s="189">
        <f t="shared" si="847"/>
        <v>0</v>
      </c>
      <c r="AU2443" s="187">
        <f t="shared" si="848"/>
        <v>0</v>
      </c>
      <c r="AV2443" s="190">
        <f t="shared" si="849"/>
        <v>0</v>
      </c>
      <c r="AW2443" s="191" t="s">
        <v>115</v>
      </c>
      <c r="AX2443" s="549" t="s">
        <v>7621</v>
      </c>
      <c r="AY2443" s="549"/>
      <c r="AZ2443" s="549"/>
      <c r="BA2443" s="549"/>
      <c r="BB2443" s="551"/>
      <c r="BC2443" s="551"/>
      <c r="BD2443" s="549"/>
      <c r="BE2443" s="550"/>
      <c r="BF2443" s="549"/>
      <c r="BG2443" s="391">
        <f>SUM($AV$2420:AV2443)</f>
        <v>-99.0000000000055</v>
      </c>
      <c r="BH2443" s="392">
        <f>SUM($AU$2420:AU2443)</f>
        <v>124.99999999999469</v>
      </c>
      <c r="BI2443" s="318">
        <f>SUMIFS($AU$2420:AU2620,$Q$2420:Q2620,"F")</f>
        <v>-143.99999999999949</v>
      </c>
      <c r="BJ2443" s="318">
        <f>SUMIFS($AU$2420:AU2620,$Q$2420:Q2620,"S")</f>
        <v>256.00000000000466</v>
      </c>
      <c r="BK2443" s="343">
        <f>SUMIFS($AU$2420:AU2620,$P$2420:P2620,"W")</f>
        <v>-607.99999999991883</v>
      </c>
      <c r="BL2443" s="343">
        <f>SUMIFS($AU$2420:AU2620,$P$2420:P2620,"R")</f>
        <v>911.99999999999966</v>
      </c>
      <c r="BM2443" s="343">
        <f>SUMIFS($AU$2420:AU2620,$AQ$2420:AQ2620,"M")</f>
        <v>-899.79999999984489</v>
      </c>
      <c r="BN2443" s="343">
        <f>SUMIFS($AU$2420:AU2620,$AQ$2420:AQ2620,"H")</f>
        <v>1762.9999999999427</v>
      </c>
      <c r="BO2443" s="343">
        <f>SUMIFS($AU$2420:AU2620,$AQ$2420:AQ2620,"D")</f>
        <v>-767.99999999998977</v>
      </c>
      <c r="BP2443" s="343">
        <f>SUMIFS($AS$2420:AS2708,$AO$2420:AO2708,"W")</f>
        <v>0</v>
      </c>
      <c r="BQ2443" s="343">
        <f>SUMIFS($AU$2420:AU2620,$Q$2420:Q2620,"O")</f>
        <v>-884.7999999998965</v>
      </c>
      <c r="BR2443" s="343">
        <f>SUMIFS($AU$2420:AU2620,$AA$2420:AA2620,"*")</f>
        <v>-512.79999999998074</v>
      </c>
      <c r="BS2443" s="343">
        <f>SUMIFS($AU$2420:AU2620,$AB$2420:AB2620,"*")</f>
        <v>-451.99999999997726</v>
      </c>
      <c r="BT2443" s="343">
        <f>SUMIFS($AU$2420:AU2620,$AC$2420:AC2620,"*")</f>
        <v>-143.99999999999909</v>
      </c>
      <c r="BU2443" s="343">
        <f>SUMIFS($AU$2420:AU2620,$AA$2420:AA2620,"*",$AB$2420:AB2620,"*")</f>
        <v>95.999999999933891</v>
      </c>
      <c r="BV2443" s="343">
        <f>SUMIFS($AU$2420:AU2620,$AA$2420:AA2620,"*",$AC$2420:AC2620,"*")</f>
        <v>-591.99999999999977</v>
      </c>
      <c r="BW2443" s="343">
        <f>SUMIFS($AU$2420:AU2620,$AB$2420:AB2620,"*",$AC$2420:AC2620,"*")</f>
        <v>-143.99999999999966</v>
      </c>
      <c r="BX2443" s="343">
        <f>SUMIFS($AV$2420:AV2620,$Q$2420:Q2620,"F")</f>
        <v>18.153846153846242</v>
      </c>
      <c r="BY2443" s="343">
        <f>SUMIFS($AV$2420:AV2620,$Q$2420:Q2620,"S")</f>
        <v>64.044720496894826</v>
      </c>
      <c r="BZ2443" s="343">
        <f>SUMIFS($AV$2420:AV2620,$Q$2420:Q2620,"O")</f>
        <v>-458.13333333332537</v>
      </c>
    </row>
    <row r="2444" spans="1:78" ht="15.75" customHeight="1">
      <c r="A2444" s="177" t="s">
        <v>7465</v>
      </c>
      <c r="B2444" s="200">
        <v>45519</v>
      </c>
      <c r="C2444" s="178" t="s">
        <v>1728</v>
      </c>
      <c r="D2444" s="178" t="s">
        <v>93</v>
      </c>
      <c r="E2444" s="227"/>
      <c r="F2444" s="180"/>
      <c r="G2444" s="497" t="s">
        <v>7633</v>
      </c>
      <c r="H2444" s="182"/>
      <c r="I2444" s="182"/>
      <c r="J2444" s="182"/>
      <c r="K2444" s="183"/>
      <c r="L2444" s="182"/>
      <c r="M2444" s="182">
        <v>1</v>
      </c>
      <c r="N2444" s="182"/>
      <c r="O2444" s="183" t="s">
        <v>95</v>
      </c>
      <c r="P2444" s="183" t="s">
        <v>96</v>
      </c>
      <c r="Q2444" s="183" t="s">
        <v>97</v>
      </c>
      <c r="R2444" s="183">
        <v>8</v>
      </c>
      <c r="S2444" s="183">
        <v>5</v>
      </c>
      <c r="T2444" s="183">
        <v>5</v>
      </c>
      <c r="U2444" s="183" t="s">
        <v>97</v>
      </c>
      <c r="V2444" s="183" t="s">
        <v>7349</v>
      </c>
      <c r="W2444" s="183" t="s">
        <v>115</v>
      </c>
      <c r="X2444" s="183" t="s">
        <v>7488</v>
      </c>
      <c r="Y2444" s="184">
        <f t="shared" si="843"/>
        <v>0.01</v>
      </c>
      <c r="Z2444" s="185">
        <f t="shared" si="844"/>
        <v>1600</v>
      </c>
      <c r="AA2444" s="185" t="s">
        <v>7634</v>
      </c>
      <c r="AB2444" s="185"/>
      <c r="AC2444" s="185"/>
      <c r="AD2444" s="649">
        <f>((-0.3*3)+(-0.29*5))/8</f>
        <v>-0.29374999999999996</v>
      </c>
      <c r="AE2444" s="182"/>
      <c r="AF2444" s="332"/>
      <c r="AG2444" s="182"/>
      <c r="AH2444" s="182"/>
      <c r="AI2444" s="182"/>
      <c r="AJ2444" s="640" t="s">
        <v>7635</v>
      </c>
      <c r="AK2444" s="182"/>
      <c r="AL2444" s="496">
        <f>-0.01*Z2444</f>
        <v>-16</v>
      </c>
      <c r="AM2444" s="496">
        <f t="shared" si="846"/>
        <v>-48</v>
      </c>
      <c r="AN2444" s="626" t="s">
        <v>7618</v>
      </c>
      <c r="AO2444" s="182"/>
      <c r="AP2444" s="182"/>
      <c r="AQ2444" s="332" t="str">
        <f>UPPER(RIGHT(Journal_Live[[#This Row],[DURATION ]]))</f>
        <v/>
      </c>
      <c r="AR2444" s="182" t="s">
        <v>7636</v>
      </c>
      <c r="AS2444" s="189">
        <f>((-0.3*5)+(-0.29*3))/8</f>
        <v>-0.29625000000000001</v>
      </c>
      <c r="AT2444" s="189">
        <f t="shared" si="847"/>
        <v>2.5000000000000577E-3</v>
      </c>
      <c r="AU2444" s="187">
        <f t="shared" si="848"/>
        <v>32.000000000000739</v>
      </c>
      <c r="AV2444" s="190">
        <f t="shared" si="849"/>
        <v>4.0000000000000924</v>
      </c>
      <c r="AW2444" s="191" t="s">
        <v>96</v>
      </c>
      <c r="AX2444" s="549" t="s">
        <v>7637</v>
      </c>
      <c r="AY2444" s="549"/>
      <c r="AZ2444" s="549"/>
      <c r="BA2444" s="549"/>
      <c r="BB2444" s="551"/>
      <c r="BC2444" s="551"/>
      <c r="BD2444" s="549"/>
      <c r="BE2444" s="550"/>
      <c r="BF2444" s="549"/>
      <c r="BG2444" s="391">
        <f>SUM($AV$2420:AV2444)</f>
        <v>-95.0000000000054</v>
      </c>
      <c r="BH2444" s="392">
        <f>SUM($AU$2420:AU2444)</f>
        <v>156.99999999999542</v>
      </c>
      <c r="BI2444" s="318">
        <f>SUMIFS($AU$2420:AU2621,$Q$2420:Q2621,"F")</f>
        <v>-143.99999999999949</v>
      </c>
      <c r="BJ2444" s="318">
        <f>SUMIFS($AU$2420:AU2621,$Q$2420:Q2621,"S")</f>
        <v>256.00000000000466</v>
      </c>
      <c r="BK2444" s="343">
        <f>SUMIFS($AU$2420:AU2621,$P$2420:P2621,"W")</f>
        <v>-607.99999999991883</v>
      </c>
      <c r="BL2444" s="343">
        <f>SUMIFS($AU$2420:AU2621,$P$2420:P2621,"R")</f>
        <v>911.99999999999966</v>
      </c>
      <c r="BM2444" s="343">
        <f>SUMIFS($AU$2420:AU2621,$AQ$2420:AQ2621,"M")</f>
        <v>-899.79999999984489</v>
      </c>
      <c r="BN2444" s="343">
        <f>SUMIFS($AU$2420:AU2621,$AQ$2420:AQ2621,"H")</f>
        <v>1762.9999999999427</v>
      </c>
      <c r="BO2444" s="343">
        <f>SUMIFS($AU$2420:AU2621,$AQ$2420:AQ2621,"D")</f>
        <v>-767.99999999998977</v>
      </c>
      <c r="BP2444" s="343">
        <f>SUMIFS($AS$2420:AS2709,$AO$2420:AO2709,"W")</f>
        <v>0</v>
      </c>
      <c r="BQ2444" s="343">
        <f>SUMIFS($AU$2420:AU2621,$Q$2420:Q2621,"O")</f>
        <v>-884.7999999998965</v>
      </c>
      <c r="BR2444" s="343">
        <f>SUMIFS($AU$2420:AU2621,$AA$2420:AA2621,"*")</f>
        <v>-512.79999999998074</v>
      </c>
      <c r="BS2444" s="343">
        <f>SUMIFS($AU$2420:AU2621,$AB$2420:AB2621,"*")</f>
        <v>-451.99999999997726</v>
      </c>
      <c r="BT2444" s="343">
        <f>SUMIFS($AU$2420:AU2621,$AC$2420:AC2621,"*")</f>
        <v>-143.99999999999909</v>
      </c>
      <c r="BU2444" s="343">
        <f>SUMIFS($AU$2420:AU2621,$AA$2420:AA2621,"*",$AB$2420:AB2621,"*")</f>
        <v>95.999999999933891</v>
      </c>
      <c r="BV2444" s="343">
        <f>SUMIFS($AU$2420:AU2621,$AA$2420:AA2621,"*",$AC$2420:AC2621,"*")</f>
        <v>-591.99999999999977</v>
      </c>
      <c r="BW2444" s="343">
        <f>SUMIFS($AU$2420:AU2621,$AB$2420:AB2621,"*",$AC$2420:AC2621,"*")</f>
        <v>-143.99999999999966</v>
      </c>
      <c r="BX2444" s="343">
        <f>SUMIFS($AV$2420:AV2621,$Q$2420:Q2621,"F")</f>
        <v>18.153846153846242</v>
      </c>
      <c r="BY2444" s="343">
        <f>SUMIFS($AV$2420:AV2621,$Q$2420:Q2621,"S")</f>
        <v>64.044720496894826</v>
      </c>
      <c r="BZ2444" s="343">
        <f>SUMIFS($AV$2420:AV2621,$Q$2420:Q2621,"O")</f>
        <v>-458.13333333332537</v>
      </c>
    </row>
    <row r="2445" spans="1:78" ht="15.75" customHeight="1">
      <c r="A2445" s="177" t="s">
        <v>7465</v>
      </c>
      <c r="B2445" s="200">
        <v>45519</v>
      </c>
      <c r="C2445" s="178" t="s">
        <v>7638</v>
      </c>
      <c r="D2445" s="178" t="s">
        <v>93</v>
      </c>
      <c r="E2445" s="227"/>
      <c r="F2445" s="180"/>
      <c r="G2445" s="570" t="s">
        <v>7639</v>
      </c>
      <c r="H2445" s="182"/>
      <c r="I2445" s="182"/>
      <c r="J2445" s="182"/>
      <c r="K2445" s="183"/>
      <c r="L2445" s="182">
        <v>1</v>
      </c>
      <c r="M2445" s="182"/>
      <c r="N2445" s="182"/>
      <c r="O2445" s="183" t="s">
        <v>95</v>
      </c>
      <c r="P2445" s="183" t="s">
        <v>96</v>
      </c>
      <c r="Q2445" s="183" t="s">
        <v>97</v>
      </c>
      <c r="R2445" s="183">
        <v>2</v>
      </c>
      <c r="S2445" s="183">
        <v>0</v>
      </c>
      <c r="T2445" s="183">
        <v>2</v>
      </c>
      <c r="U2445" s="183" t="s">
        <v>97</v>
      </c>
      <c r="V2445" s="183" t="s">
        <v>7349</v>
      </c>
      <c r="W2445" s="183" t="s">
        <v>115</v>
      </c>
      <c r="X2445" s="183"/>
      <c r="Y2445" s="184">
        <f t="shared" si="843"/>
        <v>0.01</v>
      </c>
      <c r="Z2445" s="185">
        <f t="shared" si="844"/>
        <v>1600</v>
      </c>
      <c r="AA2445" s="185" t="s">
        <v>7640</v>
      </c>
      <c r="AB2445" s="185" t="s">
        <v>7641</v>
      </c>
      <c r="AC2445" s="185"/>
      <c r="AD2445" s="649">
        <v>-0.65</v>
      </c>
      <c r="AE2445" s="182"/>
      <c r="AF2445" s="332"/>
      <c r="AG2445" s="182"/>
      <c r="AH2445" s="182" t="s">
        <v>7642</v>
      </c>
      <c r="AI2445" s="182"/>
      <c r="AJ2445" s="640"/>
      <c r="AK2445" s="182"/>
      <c r="AL2445" s="496">
        <f t="shared" si="845"/>
        <v>-32</v>
      </c>
      <c r="AM2445" s="496">
        <f t="shared" si="846"/>
        <v>-64</v>
      </c>
      <c r="AN2445" s="626" t="s">
        <v>7618</v>
      </c>
      <c r="AO2445" s="182"/>
      <c r="AP2445" s="182"/>
      <c r="AQ2445" s="332" t="s">
        <v>372</v>
      </c>
      <c r="AR2445" s="298" t="s">
        <v>7636</v>
      </c>
      <c r="AS2445" s="189">
        <v>-0.65</v>
      </c>
      <c r="AT2445" s="189">
        <f t="shared" si="847"/>
        <v>0</v>
      </c>
      <c r="AU2445" s="187">
        <f t="shared" si="848"/>
        <v>0</v>
      </c>
      <c r="AV2445" s="190">
        <f t="shared" si="849"/>
        <v>0</v>
      </c>
      <c r="AW2445" s="191" t="s">
        <v>115</v>
      </c>
      <c r="AX2445" s="549" t="s">
        <v>7643</v>
      </c>
      <c r="AY2445" s="549" t="s">
        <v>7644</v>
      </c>
      <c r="AZ2445" s="549"/>
      <c r="BA2445" s="549"/>
      <c r="BB2445" s="551"/>
      <c r="BC2445" s="551"/>
      <c r="BD2445" s="549"/>
      <c r="BE2445" s="550"/>
      <c r="BF2445" s="549"/>
      <c r="BG2445" s="391">
        <f>SUM($AV$2420:AV2445)</f>
        <v>-95.0000000000054</v>
      </c>
      <c r="BH2445" s="392">
        <f>SUM($AU$2420:AU2445)</f>
        <v>156.99999999999542</v>
      </c>
      <c r="BI2445" s="318">
        <f>SUMIFS($AU$2420:AU2622,$Q$2420:Q2622,"F")</f>
        <v>-143.99999999999949</v>
      </c>
      <c r="BJ2445" s="318">
        <f>SUMIFS($AU$2420:AU2622,$Q$2420:Q2622,"S")</f>
        <v>256.00000000000466</v>
      </c>
      <c r="BK2445" s="343">
        <f>SUMIFS($AU$2420:AU2622,$P$2420:P2622,"W")</f>
        <v>-607.99999999991883</v>
      </c>
      <c r="BL2445" s="343">
        <f>SUMIFS($AU$2420:AU2622,$P$2420:P2622,"R")</f>
        <v>911.99999999999966</v>
      </c>
      <c r="BM2445" s="343">
        <f>SUMIFS($AU$2420:AU2622,$AQ$2420:AQ2622,"M")</f>
        <v>-899.79999999984489</v>
      </c>
      <c r="BN2445" s="343">
        <f>SUMIFS($AU$2420:AU2622,$AQ$2420:AQ2622,"H")</f>
        <v>1762.9999999999427</v>
      </c>
      <c r="BO2445" s="343">
        <f>SUMIFS($AU$2420:AU2622,$AQ$2420:AQ2622,"D")</f>
        <v>-767.99999999998977</v>
      </c>
      <c r="BP2445" s="343">
        <f>SUMIFS($AS$2420:AS2710,$AO$2420:AO2710,"W")</f>
        <v>0</v>
      </c>
      <c r="BQ2445" s="343">
        <f>SUMIFS($AU$2420:AU2622,$Q$2420:Q2622,"O")</f>
        <v>-884.7999999998965</v>
      </c>
      <c r="BR2445" s="343">
        <f>SUMIFS($AU$2420:AU2622,$AA$2420:AA2622,"*")</f>
        <v>-512.79999999998074</v>
      </c>
      <c r="BS2445" s="343">
        <f>SUMIFS($AU$2420:AU2622,$AB$2420:AB2622,"*")</f>
        <v>-451.99999999997726</v>
      </c>
      <c r="BT2445" s="343">
        <f>SUMIFS($AU$2420:AU2622,$AC$2420:AC2622,"*")</f>
        <v>-143.99999999999909</v>
      </c>
      <c r="BU2445" s="343">
        <f>SUMIFS($AU$2420:AU2622,$AA$2420:AA2622,"*",$AB$2420:AB2622,"*")</f>
        <v>95.999999999933891</v>
      </c>
      <c r="BV2445" s="343">
        <f>SUMIFS($AU$2420:AU2622,$AA$2420:AA2622,"*",$AC$2420:AC2622,"*")</f>
        <v>-591.99999999999977</v>
      </c>
      <c r="BW2445" s="343">
        <f>SUMIFS($AU$2420:AU2622,$AB$2420:AB2622,"*",$AC$2420:AC2622,"*")</f>
        <v>-143.99999999999966</v>
      </c>
      <c r="BX2445" s="343">
        <f>SUMIFS($AV$2420:AV2622,$Q$2420:Q2622,"F")</f>
        <v>18.153846153846242</v>
      </c>
      <c r="BY2445" s="343">
        <f>SUMIFS($AV$2420:AV2622,$Q$2420:Q2622,"S")</f>
        <v>64.044720496894826</v>
      </c>
      <c r="BZ2445" s="343">
        <f>SUMIFS($AV$2420:AV2622,$Q$2420:Q2622,"O")</f>
        <v>-458.13333333332537</v>
      </c>
    </row>
    <row r="2446" spans="1:78" ht="15.75" customHeight="1">
      <c r="A2446" s="177" t="s">
        <v>7465</v>
      </c>
      <c r="B2446" s="200">
        <v>45520</v>
      </c>
      <c r="C2446" s="178" t="s">
        <v>1304</v>
      </c>
      <c r="D2446" s="178" t="s">
        <v>111</v>
      </c>
      <c r="E2446" s="227"/>
      <c r="F2446" s="180"/>
      <c r="G2446" s="646" t="s">
        <v>7645</v>
      </c>
      <c r="H2446" s="182"/>
      <c r="I2446" s="182"/>
      <c r="J2446" s="182"/>
      <c r="K2446" s="183"/>
      <c r="L2446" s="182">
        <v>1</v>
      </c>
      <c r="M2446" s="182"/>
      <c r="N2446" s="182"/>
      <c r="O2446" s="183" t="s">
        <v>95</v>
      </c>
      <c r="P2446" s="183" t="s">
        <v>96</v>
      </c>
      <c r="Q2446" s="183" t="s">
        <v>256</v>
      </c>
      <c r="R2446" s="183">
        <v>5</v>
      </c>
      <c r="S2446" s="183">
        <v>0</v>
      </c>
      <c r="T2446" s="183">
        <v>5</v>
      </c>
      <c r="U2446" s="183" t="s">
        <v>97</v>
      </c>
      <c r="V2446" s="183" t="s">
        <v>7357</v>
      </c>
      <c r="W2446" s="183" t="s">
        <v>115</v>
      </c>
      <c r="X2446" s="183" t="s">
        <v>7473</v>
      </c>
      <c r="Y2446" s="184">
        <f t="shared" si="843"/>
        <v>0.01</v>
      </c>
      <c r="Z2446" s="185">
        <f t="shared" si="844"/>
        <v>1600</v>
      </c>
      <c r="AA2446" s="185" t="s">
        <v>6373</v>
      </c>
      <c r="AB2446" s="185" t="s">
        <v>7646</v>
      </c>
      <c r="AC2446" s="185"/>
      <c r="AD2446" s="649">
        <v>-0.09</v>
      </c>
      <c r="AE2446" s="182"/>
      <c r="AF2446" s="332"/>
      <c r="AG2446" s="182"/>
      <c r="AH2446" s="182"/>
      <c r="AI2446" s="182"/>
      <c r="AJ2446" s="640" t="s">
        <v>7647</v>
      </c>
      <c r="AK2446" s="182"/>
      <c r="AL2446" s="496">
        <f t="shared" si="845"/>
        <v>-32</v>
      </c>
      <c r="AM2446" s="496">
        <f t="shared" si="846"/>
        <v>-160</v>
      </c>
      <c r="AN2446" s="626"/>
      <c r="AO2446" s="182"/>
      <c r="AP2446" s="182" t="s">
        <v>770</v>
      </c>
      <c r="AQ2446" s="332" t="s">
        <v>115</v>
      </c>
      <c r="AR2446" s="298">
        <v>45523</v>
      </c>
      <c r="AS2446" s="189">
        <v>-0.12</v>
      </c>
      <c r="AT2446" s="189">
        <f t="shared" si="847"/>
        <v>0.03</v>
      </c>
      <c r="AU2446" s="187">
        <f t="shared" si="848"/>
        <v>240</v>
      </c>
      <c r="AV2446" s="190">
        <f t="shared" si="849"/>
        <v>48</v>
      </c>
      <c r="AW2446" s="191" t="s">
        <v>96</v>
      </c>
      <c r="AX2446" s="549" t="s">
        <v>7648</v>
      </c>
      <c r="AY2446" s="549"/>
      <c r="AZ2446" s="549"/>
      <c r="BA2446" s="549"/>
      <c r="BB2446" s="551"/>
      <c r="BC2446" s="551"/>
      <c r="BD2446" s="549"/>
      <c r="BE2446" s="550"/>
      <c r="BF2446" s="549"/>
      <c r="BG2446" s="391">
        <f>SUM($AV$2420:AV2446)</f>
        <v>-47.0000000000054</v>
      </c>
      <c r="BH2446" s="392">
        <f>SUM($AU$2420:AU2446)</f>
        <v>396.99999999999545</v>
      </c>
      <c r="BI2446" s="318">
        <f>SUMIFS($AU$2420:AU2623,$Q$2420:Q2623,"F")</f>
        <v>-143.99999999999949</v>
      </c>
      <c r="BJ2446" s="318">
        <f>SUMIFS($AU$2420:AU2623,$Q$2420:Q2623,"S")</f>
        <v>256.00000000000466</v>
      </c>
      <c r="BK2446" s="343">
        <f>SUMIFS($AU$2420:AU2623,$P$2420:P2623,"W")</f>
        <v>-607.99999999991883</v>
      </c>
      <c r="BL2446" s="343">
        <f>SUMIFS($AU$2420:AU2623,$P$2420:P2623,"R")</f>
        <v>911.99999999999966</v>
      </c>
      <c r="BM2446" s="343">
        <f>SUMIFS($AU$2420:AU2623,$AQ$2420:AQ2623,"M")</f>
        <v>-899.79999999984489</v>
      </c>
      <c r="BN2446" s="343">
        <f>SUMIFS($AU$2420:AU2623,$AQ$2420:AQ2623,"H")</f>
        <v>1762.9999999999427</v>
      </c>
      <c r="BO2446" s="343">
        <f>SUMIFS($AU$2420:AU2623,$AQ$2420:AQ2623,"D")</f>
        <v>-767.99999999998977</v>
      </c>
      <c r="BP2446" s="343">
        <f>SUMIFS($AS$2420:AS2711,$AO$2420:AO2711,"W")</f>
        <v>0</v>
      </c>
      <c r="BQ2446" s="343">
        <f>SUMIFS($AU$2420:AU2623,$Q$2420:Q2623,"O")</f>
        <v>-884.7999999998965</v>
      </c>
      <c r="BR2446" s="343">
        <f>SUMIFS($AU$2420:AU2623,$AA$2420:AA2623,"*")</f>
        <v>-512.79999999998074</v>
      </c>
      <c r="BS2446" s="343">
        <f>SUMIFS($AU$2420:AU2623,$AB$2420:AB2623,"*")</f>
        <v>-451.99999999997726</v>
      </c>
      <c r="BT2446" s="343">
        <f>SUMIFS($AU$2420:AU2623,$AC$2420:AC2623,"*")</f>
        <v>-143.99999999999909</v>
      </c>
      <c r="BU2446" s="343">
        <f>SUMIFS($AU$2420:AU2623,$AA$2420:AA2623,"*",$AB$2420:AB2623,"*")</f>
        <v>95.999999999933891</v>
      </c>
      <c r="BV2446" s="343">
        <f>SUMIFS($AU$2420:AU2623,$AA$2420:AA2623,"*",$AC$2420:AC2623,"*")</f>
        <v>-591.99999999999977</v>
      </c>
      <c r="BW2446" s="343">
        <f>SUMIFS($AU$2420:AU2623,$AB$2420:AB2623,"*",$AC$2420:AC2623,"*")</f>
        <v>-143.99999999999966</v>
      </c>
      <c r="BX2446" s="343">
        <f>SUMIFS($AV$2420:AV2623,$Q$2420:Q2623,"F")</f>
        <v>18.153846153846242</v>
      </c>
      <c r="BY2446" s="343">
        <f>SUMIFS($AV$2420:AV2623,$Q$2420:Q2623,"S")</f>
        <v>64.044720496894826</v>
      </c>
      <c r="BZ2446" s="343">
        <f>SUMIFS($AV$2420:AV2623,$Q$2420:Q2623,"O")</f>
        <v>-458.13333333332537</v>
      </c>
    </row>
    <row r="2447" spans="1:78" ht="15.75" customHeight="1">
      <c r="A2447" s="177" t="s">
        <v>7465</v>
      </c>
      <c r="B2447" s="200">
        <v>45520</v>
      </c>
      <c r="C2447" s="178" t="s">
        <v>1304</v>
      </c>
      <c r="D2447" s="178" t="s">
        <v>111</v>
      </c>
      <c r="E2447" s="227"/>
      <c r="F2447" s="180"/>
      <c r="G2447" s="497" t="s">
        <v>7649</v>
      </c>
      <c r="H2447" s="182"/>
      <c r="I2447" s="182"/>
      <c r="J2447" s="182"/>
      <c r="K2447" s="183"/>
      <c r="L2447" s="182">
        <v>1</v>
      </c>
      <c r="M2447" s="182"/>
      <c r="N2447" s="182"/>
      <c r="O2447" s="183" t="s">
        <v>95</v>
      </c>
      <c r="P2447" s="183" t="s">
        <v>96</v>
      </c>
      <c r="Q2447" s="183" t="s">
        <v>97</v>
      </c>
      <c r="R2447" s="183">
        <v>5</v>
      </c>
      <c r="S2447" s="183">
        <v>0</v>
      </c>
      <c r="T2447" s="183">
        <v>5</v>
      </c>
      <c r="U2447" s="183" t="s">
        <v>22</v>
      </c>
      <c r="V2447" s="183" t="s">
        <v>7357</v>
      </c>
      <c r="W2447" s="183" t="s">
        <v>115</v>
      </c>
      <c r="X2447" s="183" t="s">
        <v>7650</v>
      </c>
      <c r="Y2447" s="184">
        <f t="shared" si="843"/>
        <v>0.01</v>
      </c>
      <c r="Z2447" s="185">
        <f t="shared" si="844"/>
        <v>1600</v>
      </c>
      <c r="AA2447" s="185"/>
      <c r="AB2447" s="185"/>
      <c r="AC2447" s="185" t="s">
        <v>7651</v>
      </c>
      <c r="AD2447" s="649">
        <v>-0.19</v>
      </c>
      <c r="AE2447" s="182"/>
      <c r="AF2447" s="332"/>
      <c r="AG2447" s="182"/>
      <c r="AH2447" s="182"/>
      <c r="AI2447" s="182"/>
      <c r="AJ2447" s="640"/>
      <c r="AK2447" s="182"/>
      <c r="AL2447" s="496">
        <f>0*Z2447</f>
        <v>0</v>
      </c>
      <c r="AM2447" s="496">
        <f t="shared" si="839"/>
        <v>0</v>
      </c>
      <c r="AN2447" s="626"/>
      <c r="AO2447" s="182"/>
      <c r="AP2447" s="182" t="s">
        <v>1639</v>
      </c>
      <c r="AQ2447" s="332" t="s">
        <v>372</v>
      </c>
      <c r="AR2447" s="182" t="s">
        <v>2437</v>
      </c>
      <c r="AS2447" s="189">
        <v>-0.18</v>
      </c>
      <c r="AT2447" s="189">
        <f t="shared" si="840"/>
        <v>1.0000000000000009E-2</v>
      </c>
      <c r="AU2447" s="187">
        <f t="shared" si="841"/>
        <v>80.000000000000071</v>
      </c>
      <c r="AV2447" s="190">
        <f t="shared" si="842"/>
        <v>16.000000000000014</v>
      </c>
      <c r="AW2447" s="191" t="s">
        <v>96</v>
      </c>
      <c r="AX2447" s="549"/>
      <c r="AY2447" s="549"/>
      <c r="AZ2447" s="549"/>
      <c r="BA2447" s="549"/>
      <c r="BB2447" s="551"/>
      <c r="BC2447" s="551"/>
      <c r="BD2447" s="549"/>
      <c r="BE2447" s="550"/>
      <c r="BF2447" s="549"/>
      <c r="BG2447" s="391">
        <f>SUM($AV$2420:AV2447)</f>
        <v>-31.000000000005386</v>
      </c>
      <c r="BH2447" s="392">
        <f>SUM($AU$2420:AU2447)</f>
        <v>476.99999999999551</v>
      </c>
      <c r="BI2447" s="318">
        <f>SUMIFS($AU$2420:AU2624,$Q$2420:Q2624,"F")</f>
        <v>-143.99999999999949</v>
      </c>
      <c r="BJ2447" s="318">
        <f>SUMIFS($AU$2420:AU2624,$Q$2420:Q2624,"S")</f>
        <v>256.00000000000466</v>
      </c>
      <c r="BK2447" s="343">
        <f>SUMIFS($AU$2420:AU2624,$P$2420:P2624,"W")</f>
        <v>-607.99999999991883</v>
      </c>
      <c r="BL2447" s="343">
        <f>SUMIFS($AU$2420:AU2624,$P$2420:P2624,"R")</f>
        <v>911.99999999999966</v>
      </c>
      <c r="BM2447" s="343">
        <f>SUMIFS($AU$2420:AU2624,$AQ$2420:AQ2624,"M")</f>
        <v>-899.79999999984489</v>
      </c>
      <c r="BN2447" s="343">
        <f>SUMIFS($AU$2420:AU2624,$AQ$2420:AQ2624,"H")</f>
        <v>1762.9999999999427</v>
      </c>
      <c r="BO2447" s="343">
        <f>SUMIFS($AU$2420:AU2624,$AQ$2420:AQ2624,"D")</f>
        <v>-767.99999999998977</v>
      </c>
      <c r="BP2447" s="343">
        <f>SUMIFS($AS$2420:AS2712,$AO$2420:AO2712,"W")</f>
        <v>0</v>
      </c>
      <c r="BQ2447" s="343">
        <f>SUMIFS($AU$2420:AU2624,$Q$2420:Q2624,"O")</f>
        <v>-884.7999999998965</v>
      </c>
      <c r="BR2447" s="343">
        <f>SUMIFS($AU$2420:AU2624,$AA$2420:AA2624,"*")</f>
        <v>-512.79999999998074</v>
      </c>
      <c r="BS2447" s="343">
        <f>SUMIFS($AU$2420:AU2624,$AB$2420:AB2624,"*")</f>
        <v>-451.99999999997726</v>
      </c>
      <c r="BT2447" s="343">
        <f>SUMIFS($AU$2420:AU2624,$AC$2420:AC2624,"*")</f>
        <v>-143.99999999999909</v>
      </c>
      <c r="BU2447" s="343">
        <f>SUMIFS($AU$2420:AU2624,$AA$2420:AA2624,"*",$AB$2420:AB2624,"*")</f>
        <v>95.999999999933891</v>
      </c>
      <c r="BV2447" s="343">
        <f>SUMIFS($AU$2420:AU2624,$AA$2420:AA2624,"*",$AC$2420:AC2624,"*")</f>
        <v>-591.99999999999977</v>
      </c>
      <c r="BW2447" s="343">
        <f>SUMIFS($AU$2420:AU2624,$AB$2420:AB2624,"*",$AC$2420:AC2624,"*")</f>
        <v>-143.99999999999966</v>
      </c>
      <c r="BX2447" s="343">
        <f>SUMIFS($AV$2420:AV2624,$Q$2420:Q2624,"F")</f>
        <v>18.153846153846242</v>
      </c>
      <c r="BY2447" s="343">
        <f>SUMIFS($AV$2420:AV2624,$Q$2420:Q2624,"S")</f>
        <v>64.044720496894826</v>
      </c>
      <c r="BZ2447" s="343">
        <f>SUMIFS($AV$2420:AV2624,$Q$2420:Q2624,"O")</f>
        <v>-458.13333333332537</v>
      </c>
    </row>
    <row r="2448" spans="1:78" ht="15.75" customHeight="1">
      <c r="A2448" s="177" t="s">
        <v>7465</v>
      </c>
      <c r="B2448" s="200">
        <v>45520</v>
      </c>
      <c r="C2448" s="178" t="s">
        <v>7652</v>
      </c>
      <c r="D2448" s="178" t="s">
        <v>111</v>
      </c>
      <c r="E2448" s="227"/>
      <c r="F2448" s="180"/>
      <c r="G2448" s="497" t="s">
        <v>7159</v>
      </c>
      <c r="H2448" s="182"/>
      <c r="I2448" s="182"/>
      <c r="J2448" s="182"/>
      <c r="K2448" s="183"/>
      <c r="L2448" s="182"/>
      <c r="M2448" s="182">
        <v>1</v>
      </c>
      <c r="N2448" s="182"/>
      <c r="O2448" s="183" t="s">
        <v>95</v>
      </c>
      <c r="P2448" s="183" t="s">
        <v>96</v>
      </c>
      <c r="Q2448" s="183" t="s">
        <v>97</v>
      </c>
      <c r="R2448" s="183">
        <v>7</v>
      </c>
      <c r="S2448" s="183">
        <v>0</v>
      </c>
      <c r="T2448" s="183">
        <v>7</v>
      </c>
      <c r="U2448" s="183" t="s">
        <v>97</v>
      </c>
      <c r="V2448" s="183" t="s">
        <v>7349</v>
      </c>
      <c r="W2448" s="183" t="s">
        <v>115</v>
      </c>
      <c r="X2448" s="183" t="s">
        <v>7467</v>
      </c>
      <c r="Y2448" s="184">
        <f t="shared" si="843"/>
        <v>0.01</v>
      </c>
      <c r="Z2448" s="185">
        <f t="shared" si="844"/>
        <v>1600</v>
      </c>
      <c r="AA2448" s="185" t="s">
        <v>7653</v>
      </c>
      <c r="AB2448" s="185"/>
      <c r="AC2448" s="185"/>
      <c r="AD2448" s="649">
        <v>-0.19</v>
      </c>
      <c r="AE2448" s="182"/>
      <c r="AF2448" s="332"/>
      <c r="AG2448" s="182"/>
      <c r="AH2448" s="182"/>
      <c r="AI2448" s="182"/>
      <c r="AJ2448" s="640"/>
      <c r="AK2448" s="182"/>
      <c r="AL2448" s="496">
        <f t="shared" si="828"/>
        <v>-32</v>
      </c>
      <c r="AM2448" s="496">
        <f t="shared" si="829"/>
        <v>-224</v>
      </c>
      <c r="AN2448" s="626"/>
      <c r="AO2448" s="182"/>
      <c r="AP2448" s="182" t="s">
        <v>7654</v>
      </c>
      <c r="AQ2448" s="332" t="s">
        <v>372</v>
      </c>
      <c r="AR2448" s="182" t="s">
        <v>7655</v>
      </c>
      <c r="AS2448" s="189">
        <v>-0.2</v>
      </c>
      <c r="AT2448" s="189">
        <f t="shared" si="830"/>
        <v>1.0000000000000009E-2</v>
      </c>
      <c r="AU2448" s="187">
        <f t="shared" si="831"/>
        <v>112.0000000000001</v>
      </c>
      <c r="AV2448" s="190">
        <f t="shared" si="832"/>
        <v>16.000000000000014</v>
      </c>
      <c r="AW2448" s="191" t="s">
        <v>96</v>
      </c>
      <c r="AX2448" s="549"/>
      <c r="AY2448" s="549"/>
      <c r="AZ2448" s="549" t="s">
        <v>7656</v>
      </c>
      <c r="BA2448" s="549"/>
      <c r="BB2448" s="551"/>
      <c r="BC2448" s="551"/>
      <c r="BD2448" s="549"/>
      <c r="BE2448" s="550"/>
      <c r="BF2448" s="549"/>
      <c r="BG2448" s="391">
        <f>SUM($AV$2420:AV2448)</f>
        <v>-15.000000000005372</v>
      </c>
      <c r="BH2448" s="392">
        <f>SUM($AU$2420:AU2448)</f>
        <v>588.99999999999557</v>
      </c>
      <c r="BI2448" s="318">
        <f>SUMIFS($AU$2420:AU2625,$Q$2420:Q2625,"F")</f>
        <v>-143.99999999999949</v>
      </c>
      <c r="BJ2448" s="318">
        <f>SUMIFS($AU$2420:AU2625,$Q$2420:Q2625,"S")</f>
        <v>256.00000000000466</v>
      </c>
      <c r="BK2448" s="343">
        <f>SUMIFS($AU$2420:AU2625,$P$2420:P2625,"W")</f>
        <v>-607.99999999991883</v>
      </c>
      <c r="BL2448" s="343">
        <f>SUMIFS($AU$2420:AU2625,$P$2420:P2625,"R")</f>
        <v>911.99999999999966</v>
      </c>
      <c r="BM2448" s="343">
        <f>SUMIFS($AU$2420:AU2625,$AQ$2420:AQ2625,"M")</f>
        <v>-899.79999999984489</v>
      </c>
      <c r="BN2448" s="343">
        <f>SUMIFS($AU$2420:AU2625,$AQ$2420:AQ2625,"H")</f>
        <v>1762.9999999999427</v>
      </c>
      <c r="BO2448" s="343">
        <f>SUMIFS($AU$2420:AU2625,$AQ$2420:AQ2625,"D")</f>
        <v>-767.99999999998977</v>
      </c>
      <c r="BP2448" s="343">
        <f>SUMIFS($AS$2420:AS2713,$AO$2420:AO2713,"W")</f>
        <v>0</v>
      </c>
      <c r="BQ2448" s="343">
        <f>SUMIFS($AU$2420:AU2625,$Q$2420:Q2625,"O")</f>
        <v>-884.7999999998965</v>
      </c>
      <c r="BR2448" s="343">
        <f>SUMIFS($AU$2420:AU2625,$AA$2420:AA2625,"*")</f>
        <v>-512.79999999998074</v>
      </c>
      <c r="BS2448" s="343">
        <f>SUMIFS($AU$2420:AU2625,$AB$2420:AB2625,"*")</f>
        <v>-451.99999999997726</v>
      </c>
      <c r="BT2448" s="343">
        <f>SUMIFS($AU$2420:AU2625,$AC$2420:AC2625,"*")</f>
        <v>-143.99999999999909</v>
      </c>
      <c r="BU2448" s="343">
        <f>SUMIFS($AU$2420:AU2625,$AA$2420:AA2625,"*",$AB$2420:AB2625,"*")</f>
        <v>95.999999999933891</v>
      </c>
      <c r="BV2448" s="343">
        <f>SUMIFS($AU$2420:AU2625,$AA$2420:AA2625,"*",$AC$2420:AC2625,"*")</f>
        <v>-591.99999999999977</v>
      </c>
      <c r="BW2448" s="343">
        <f>SUMIFS($AU$2420:AU2625,$AB$2420:AB2625,"*",$AC$2420:AC2625,"*")</f>
        <v>-143.99999999999966</v>
      </c>
      <c r="BX2448" s="343">
        <f>SUMIFS($AV$2420:AV2625,$Q$2420:Q2625,"F")</f>
        <v>18.153846153846242</v>
      </c>
      <c r="BY2448" s="343">
        <f>SUMIFS($AV$2420:AV2625,$Q$2420:Q2625,"S")</f>
        <v>64.044720496894826</v>
      </c>
      <c r="BZ2448" s="343">
        <f>SUMIFS($AV$2420:AV2625,$Q$2420:Q2625,"O")</f>
        <v>-458.13333333332537</v>
      </c>
    </row>
    <row r="2449" spans="1:78" ht="15.75" customHeight="1">
      <c r="A2449" s="177" t="s">
        <v>7465</v>
      </c>
      <c r="B2449" s="200">
        <v>45520</v>
      </c>
      <c r="C2449" s="178" t="s">
        <v>7657</v>
      </c>
      <c r="D2449" s="178" t="s">
        <v>111</v>
      </c>
      <c r="E2449" s="227"/>
      <c r="F2449" s="180"/>
      <c r="G2449" s="497" t="s">
        <v>7049</v>
      </c>
      <c r="H2449" s="182"/>
      <c r="I2449" s="182"/>
      <c r="J2449" s="182"/>
      <c r="K2449" s="183"/>
      <c r="L2449" s="182"/>
      <c r="M2449" s="182">
        <v>1</v>
      </c>
      <c r="N2449" s="182"/>
      <c r="O2449" s="183" t="s">
        <v>95</v>
      </c>
      <c r="P2449" s="183" t="s">
        <v>137</v>
      </c>
      <c r="Q2449" s="183" t="s">
        <v>97</v>
      </c>
      <c r="R2449" s="183">
        <v>7</v>
      </c>
      <c r="S2449" s="183">
        <v>0</v>
      </c>
      <c r="T2449" s="183">
        <v>2</v>
      </c>
      <c r="U2449" s="183" t="s">
        <v>22</v>
      </c>
      <c r="V2449" s="183" t="s">
        <v>7349</v>
      </c>
      <c r="W2449" s="183" t="s">
        <v>115</v>
      </c>
      <c r="X2449" s="183"/>
      <c r="Y2449" s="184">
        <f t="shared" si="843"/>
        <v>0.01</v>
      </c>
      <c r="Z2449" s="185">
        <f t="shared" si="844"/>
        <v>1600</v>
      </c>
      <c r="AA2449" s="185" t="s">
        <v>7658</v>
      </c>
      <c r="AB2449" s="185" t="s">
        <v>7659</v>
      </c>
      <c r="AC2449" s="185"/>
      <c r="AD2449" s="649">
        <v>-0.04</v>
      </c>
      <c r="AE2449" s="182"/>
      <c r="AF2449" s="332"/>
      <c r="AG2449" s="182"/>
      <c r="AH2449" s="182"/>
      <c r="AI2449" s="182"/>
      <c r="AJ2449" s="640"/>
      <c r="AK2449" s="182"/>
      <c r="AL2449" s="496">
        <f t="shared" si="828"/>
        <v>-32</v>
      </c>
      <c r="AM2449" s="496">
        <f t="shared" si="829"/>
        <v>-224</v>
      </c>
      <c r="AN2449" s="626"/>
      <c r="AO2449" s="182"/>
      <c r="AP2449" s="182"/>
      <c r="AQ2449" s="332" t="str">
        <f>UPPER(RIGHT(Journal_Live[[#This Row],[DURATION ]]))</f>
        <v/>
      </c>
      <c r="AR2449" s="182"/>
      <c r="AS2449" s="189">
        <v>-0.04</v>
      </c>
      <c r="AT2449" s="189">
        <f t="shared" si="830"/>
        <v>0</v>
      </c>
      <c r="AU2449" s="187">
        <f t="shared" si="831"/>
        <v>0</v>
      </c>
      <c r="AV2449" s="190">
        <f t="shared" si="832"/>
        <v>0</v>
      </c>
      <c r="AW2449" s="191" t="s">
        <v>115</v>
      </c>
      <c r="AX2449" s="549" t="s">
        <v>7660</v>
      </c>
      <c r="AY2449" s="549" t="s">
        <v>7661</v>
      </c>
      <c r="AZ2449" s="549"/>
      <c r="BA2449" s="549"/>
      <c r="BB2449" s="551"/>
      <c r="BC2449" s="551"/>
      <c r="BD2449" s="549"/>
      <c r="BE2449" s="550"/>
      <c r="BF2449" s="549"/>
      <c r="BG2449" s="391">
        <f>SUM($AV$2420:AV2449)</f>
        <v>-15.000000000005372</v>
      </c>
      <c r="BH2449" s="392">
        <f>SUM($AU$2420:AU2449)</f>
        <v>588.99999999999557</v>
      </c>
      <c r="BI2449" s="318">
        <f>SUMIFS($AU$2420:AU2626,$Q$2420:Q2626,"F")</f>
        <v>-143.99999999999949</v>
      </c>
      <c r="BJ2449" s="318">
        <f>SUMIFS($AU$2420:AU2626,$Q$2420:Q2626,"S")</f>
        <v>256.00000000000466</v>
      </c>
      <c r="BK2449" s="343">
        <f>SUMIFS($AU$2420:AU2626,$P$2420:P2626,"W")</f>
        <v>-607.99999999991883</v>
      </c>
      <c r="BL2449" s="343">
        <f>SUMIFS($AU$2420:AU2626,$P$2420:P2626,"R")</f>
        <v>911.99999999999966</v>
      </c>
      <c r="BM2449" s="343">
        <f>SUMIFS($AU$2420:AU2626,$AQ$2420:AQ2626,"M")</f>
        <v>-899.79999999984489</v>
      </c>
      <c r="BN2449" s="343">
        <f>SUMIFS($AU$2420:AU2626,$AQ$2420:AQ2626,"H")</f>
        <v>1762.9999999999427</v>
      </c>
      <c r="BO2449" s="343">
        <f>SUMIFS($AU$2420:AU2626,$AQ$2420:AQ2626,"D")</f>
        <v>-767.99999999998977</v>
      </c>
      <c r="BP2449" s="343">
        <f>SUMIFS($AS$2420:AS2714,$AO$2420:AO2714,"W")</f>
        <v>0</v>
      </c>
      <c r="BQ2449" s="343">
        <f>SUMIFS($AU$2420:AU2626,$Q$2420:Q2626,"O")</f>
        <v>-884.7999999998965</v>
      </c>
      <c r="BR2449" s="343">
        <f>SUMIFS($AU$2420:AU2626,$AA$2420:AA2626,"*")</f>
        <v>-512.79999999998074</v>
      </c>
      <c r="BS2449" s="343">
        <f>SUMIFS($AU$2420:AU2626,$AB$2420:AB2626,"*")</f>
        <v>-451.99999999997726</v>
      </c>
      <c r="BT2449" s="343">
        <f>SUMIFS($AU$2420:AU2626,$AC$2420:AC2626,"*")</f>
        <v>-143.99999999999909</v>
      </c>
      <c r="BU2449" s="343">
        <f>SUMIFS($AU$2420:AU2626,$AA$2420:AA2626,"*",$AB$2420:AB2626,"*")</f>
        <v>95.999999999933891</v>
      </c>
      <c r="BV2449" s="343">
        <f>SUMIFS($AU$2420:AU2626,$AA$2420:AA2626,"*",$AC$2420:AC2626,"*")</f>
        <v>-591.99999999999977</v>
      </c>
      <c r="BW2449" s="343">
        <f>SUMIFS($AU$2420:AU2626,$AB$2420:AB2626,"*",$AC$2420:AC2626,"*")</f>
        <v>-143.99999999999966</v>
      </c>
      <c r="BX2449" s="343">
        <f>SUMIFS($AV$2420:AV2626,$Q$2420:Q2626,"F")</f>
        <v>18.153846153846242</v>
      </c>
      <c r="BY2449" s="343">
        <f>SUMIFS($AV$2420:AV2626,$Q$2420:Q2626,"S")</f>
        <v>64.044720496894826</v>
      </c>
      <c r="BZ2449" s="343">
        <f>SUMIFS($AV$2420:AV2626,$Q$2420:Q2626,"O")</f>
        <v>-458.13333333332537</v>
      </c>
    </row>
    <row r="2450" spans="1:78" ht="15.75" customHeight="1">
      <c r="A2450" s="177" t="s">
        <v>7465</v>
      </c>
      <c r="B2450" s="200">
        <v>45524</v>
      </c>
      <c r="C2450" s="178" t="s">
        <v>7662</v>
      </c>
      <c r="D2450" s="178" t="s">
        <v>146</v>
      </c>
      <c r="E2450" s="227"/>
      <c r="F2450" s="180"/>
      <c r="G2450" s="497" t="s">
        <v>7663</v>
      </c>
      <c r="H2450" s="182"/>
      <c r="I2450" s="182"/>
      <c r="J2450" s="182"/>
      <c r="K2450" s="183"/>
      <c r="L2450" s="182"/>
      <c r="M2450" s="182">
        <v>1</v>
      </c>
      <c r="N2450" s="182"/>
      <c r="O2450" s="183" t="s">
        <v>95</v>
      </c>
      <c r="P2450" s="183" t="s">
        <v>96</v>
      </c>
      <c r="Q2450" s="183" t="s">
        <v>256</v>
      </c>
      <c r="R2450" s="183">
        <v>2</v>
      </c>
      <c r="S2450" s="183">
        <v>0</v>
      </c>
      <c r="T2450" s="183">
        <v>2</v>
      </c>
      <c r="U2450" s="183" t="s">
        <v>22</v>
      </c>
      <c r="V2450" s="183" t="s">
        <v>7357</v>
      </c>
      <c r="W2450" s="183" t="s">
        <v>115</v>
      </c>
      <c r="X2450" s="183"/>
      <c r="Y2450" s="184">
        <f t="shared" si="843"/>
        <v>0.01</v>
      </c>
      <c r="Z2450" s="185">
        <f t="shared" si="844"/>
        <v>1600</v>
      </c>
      <c r="AA2450" s="185" t="s">
        <v>7664</v>
      </c>
      <c r="AB2450" s="185"/>
      <c r="AC2450" s="185"/>
      <c r="AD2450" s="649">
        <v>-0.05</v>
      </c>
      <c r="AE2450" s="182"/>
      <c r="AF2450" s="332"/>
      <c r="AG2450" s="182"/>
      <c r="AH2450" s="182"/>
      <c r="AI2450" s="182"/>
      <c r="AJ2450" s="640"/>
      <c r="AK2450" s="182"/>
      <c r="AL2450" s="496">
        <f t="shared" ref="AL2450:AL2458" si="850">-0.02*Z2450</f>
        <v>-32</v>
      </c>
      <c r="AM2450" s="496">
        <f t="shared" ref="AM2450:AM2458" si="851">AL2450*(R2450-S2450)</f>
        <v>-64</v>
      </c>
      <c r="AN2450" s="626"/>
      <c r="AO2450" s="182"/>
      <c r="AP2450" s="182"/>
      <c r="AQ2450" s="332" t="s">
        <v>372</v>
      </c>
      <c r="AR2450" s="182"/>
      <c r="AS2450" s="189">
        <v>-0.05</v>
      </c>
      <c r="AT2450" s="189">
        <f t="shared" ref="AT2450:AT2458" si="852">IF(ISBLANK(AS2450),,IF(U2450="S",AD2450-AS2450,AS2450-AD2450))</f>
        <v>0</v>
      </c>
      <c r="AU2450" s="187">
        <f t="shared" ref="AU2450:AU2458" si="853">AV2450*R2450</f>
        <v>0</v>
      </c>
      <c r="AV2450" s="190">
        <f t="shared" ref="AV2450:AV2458" si="854">IF(ISBLANK(AS2450),,(AT2450*Z2450))</f>
        <v>0</v>
      </c>
      <c r="AW2450" s="191" t="s">
        <v>115</v>
      </c>
      <c r="AX2450" s="549" t="s">
        <v>7321</v>
      </c>
      <c r="AY2450" s="549" t="s">
        <v>7665</v>
      </c>
      <c r="AZ2450" s="549"/>
      <c r="BA2450" s="549"/>
      <c r="BB2450" s="551"/>
      <c r="BC2450" s="551"/>
      <c r="BD2450" s="549"/>
      <c r="BE2450" s="550"/>
      <c r="BF2450" s="549"/>
      <c r="BG2450" s="391">
        <f>SUM($AV$2420:AV2450)</f>
        <v>-15.000000000005372</v>
      </c>
      <c r="BH2450" s="392">
        <f>SUM($AU$2420:AU2450)</f>
        <v>588.99999999999557</v>
      </c>
      <c r="BI2450" s="318">
        <f>SUMIFS($AU$2420:AU2613,$Q$2420:Q2613,"F")</f>
        <v>-143.99999999999949</v>
      </c>
      <c r="BJ2450" s="318">
        <f>SUMIFS($AU$2420:AU2613,$Q$2420:Q2613,"S")</f>
        <v>256.00000000000466</v>
      </c>
      <c r="BK2450" s="343">
        <f>SUMIFS($AU$2420:AU2613,$P$2420:P2613,"W")</f>
        <v>-607.99999999991883</v>
      </c>
      <c r="BL2450" s="343">
        <f>SUMIFS($AU$2420:AU2613,$P$2420:P2613,"R")</f>
        <v>911.99999999999966</v>
      </c>
      <c r="BM2450" s="343">
        <f>SUMIFS($AU$2420:AU2613,$AQ$2420:AQ2613,"M")</f>
        <v>-899.79999999984489</v>
      </c>
      <c r="BN2450" s="343">
        <f>SUMIFS($AU$2420:AU2613,$AQ$2420:AQ2613,"H")</f>
        <v>1762.9999999999427</v>
      </c>
      <c r="BO2450" s="343">
        <f>SUMIFS($AU$2420:AU2613,$AQ$2420:AQ2613,"D")</f>
        <v>-767.99999999998977</v>
      </c>
      <c r="BP2450" s="343">
        <f>SUMIFS($AS$2420:AS2701,$AO$2420:AO2701,"W")</f>
        <v>0</v>
      </c>
      <c r="BQ2450" s="343">
        <f>SUMIFS($AU$2420:AU2613,$Q$2420:Q2613,"O")</f>
        <v>-884.7999999998965</v>
      </c>
      <c r="BR2450" s="343">
        <f>SUMIFS($AU$2420:AU2613,$AA$2420:AA2613,"*")</f>
        <v>-512.79999999998074</v>
      </c>
      <c r="BS2450" s="343">
        <f>SUMIFS($AU$2420:AU2613,$AB$2420:AB2613,"*")</f>
        <v>-451.99999999997726</v>
      </c>
      <c r="BT2450" s="343">
        <f>SUMIFS($AU$2420:AU2613,$AC$2420:AC2613,"*")</f>
        <v>-143.99999999999909</v>
      </c>
      <c r="BU2450" s="343">
        <f>SUMIFS($AU$2420:AU2613,$AA$2420:AA2613,"*",$AB$2420:AB2613,"*")</f>
        <v>95.999999999933891</v>
      </c>
      <c r="BV2450" s="343">
        <f>SUMIFS($AU$2420:AU2613,$AA$2420:AA2613,"*",$AC$2420:AC2613,"*")</f>
        <v>-591.99999999999977</v>
      </c>
      <c r="BW2450" s="343">
        <f>SUMIFS($AU$2420:AU2613,$AB$2420:AB2613,"*",$AC$2420:AC2613,"*")</f>
        <v>-143.99999999999966</v>
      </c>
      <c r="BX2450" s="343">
        <f>SUMIFS($AV$2420:AV2613,$Q$2420:Q2613,"F")</f>
        <v>18.153846153846242</v>
      </c>
      <c r="BY2450" s="343">
        <f>SUMIFS($AV$2420:AV2613,$Q$2420:Q2613,"S")</f>
        <v>64.044720496894826</v>
      </c>
      <c r="BZ2450" s="343">
        <f>SUMIFS($AV$2420:AV2613,$Q$2420:Q2613,"O")</f>
        <v>-458.13333333332537</v>
      </c>
    </row>
    <row r="2451" spans="1:78" ht="15.75" customHeight="1">
      <c r="A2451" s="177" t="s">
        <v>7465</v>
      </c>
      <c r="B2451" s="200">
        <v>45524</v>
      </c>
      <c r="C2451" s="178" t="s">
        <v>7662</v>
      </c>
      <c r="D2451" s="178" t="s">
        <v>146</v>
      </c>
      <c r="E2451" s="227"/>
      <c r="F2451" s="180"/>
      <c r="G2451" s="497" t="s">
        <v>7141</v>
      </c>
      <c r="H2451" s="182"/>
      <c r="I2451" s="182"/>
      <c r="J2451" s="182"/>
      <c r="K2451" s="183"/>
      <c r="L2451" s="182"/>
      <c r="M2451" s="182">
        <v>1</v>
      </c>
      <c r="N2451" s="182"/>
      <c r="O2451" s="183" t="s">
        <v>95</v>
      </c>
      <c r="P2451" s="183" t="s">
        <v>137</v>
      </c>
      <c r="Q2451" s="183" t="s">
        <v>97</v>
      </c>
      <c r="R2451" s="183">
        <v>7</v>
      </c>
      <c r="S2451" s="183">
        <v>0</v>
      </c>
      <c r="T2451" s="183">
        <v>7</v>
      </c>
      <c r="U2451" s="183" t="s">
        <v>22</v>
      </c>
      <c r="V2451" s="183" t="s">
        <v>7349</v>
      </c>
      <c r="W2451" s="183" t="s">
        <v>115</v>
      </c>
      <c r="X2451" s="183"/>
      <c r="Y2451" s="184">
        <f t="shared" si="843"/>
        <v>0.01</v>
      </c>
      <c r="Z2451" s="185">
        <f t="shared" si="844"/>
        <v>1600</v>
      </c>
      <c r="AA2451" s="185" t="s">
        <v>7666</v>
      </c>
      <c r="AB2451" s="185" t="s">
        <v>7667</v>
      </c>
      <c r="AC2451" s="185"/>
      <c r="AD2451" s="649">
        <v>-0.11</v>
      </c>
      <c r="AE2451" s="182"/>
      <c r="AF2451" s="332"/>
      <c r="AG2451" s="182"/>
      <c r="AH2451" s="182"/>
      <c r="AI2451" s="182"/>
      <c r="AJ2451" s="640" t="s">
        <v>7668</v>
      </c>
      <c r="AK2451" s="182"/>
      <c r="AL2451" s="496">
        <f t="shared" si="850"/>
        <v>-32</v>
      </c>
      <c r="AM2451" s="496">
        <f t="shared" si="851"/>
        <v>-224</v>
      </c>
      <c r="AN2451" s="626"/>
      <c r="AO2451" s="182"/>
      <c r="AP2451" s="182" t="s">
        <v>804</v>
      </c>
      <c r="AQ2451" s="332" t="s">
        <v>115</v>
      </c>
      <c r="AR2451" s="182" t="s">
        <v>7669</v>
      </c>
      <c r="AS2451" s="189">
        <v>-0.11</v>
      </c>
      <c r="AT2451" s="189">
        <f t="shared" si="852"/>
        <v>0</v>
      </c>
      <c r="AU2451" s="187">
        <f t="shared" si="853"/>
        <v>0</v>
      </c>
      <c r="AV2451" s="190">
        <f t="shared" si="854"/>
        <v>0</v>
      </c>
      <c r="AW2451" s="191" t="s">
        <v>115</v>
      </c>
      <c r="AX2451" s="549"/>
      <c r="AY2451" s="549"/>
      <c r="AZ2451" s="549"/>
      <c r="BA2451" s="549"/>
      <c r="BB2451" s="551"/>
      <c r="BC2451" s="551"/>
      <c r="BD2451" s="549"/>
      <c r="BE2451" s="550"/>
      <c r="BF2451" s="549"/>
      <c r="BG2451" s="391">
        <f>SUM($AV$2420:AV2451)</f>
        <v>-15.000000000005372</v>
      </c>
      <c r="BH2451" s="392">
        <f>SUM($AU$2420:AU2451)</f>
        <v>588.99999999999557</v>
      </c>
      <c r="BI2451" s="318">
        <f>SUMIFS($AU$2420:AU2614,$Q$2420:Q2614,"F")</f>
        <v>-143.99999999999949</v>
      </c>
      <c r="BJ2451" s="318">
        <f>SUMIFS($AU$2420:AU2614,$Q$2420:Q2614,"S")</f>
        <v>256.00000000000466</v>
      </c>
      <c r="BK2451" s="343">
        <f>SUMIFS($AU$2420:AU2614,$P$2420:P2614,"W")</f>
        <v>-607.99999999991883</v>
      </c>
      <c r="BL2451" s="343">
        <f>SUMIFS($AU$2420:AU2614,$P$2420:P2614,"R")</f>
        <v>911.99999999999966</v>
      </c>
      <c r="BM2451" s="343">
        <f>SUMIFS($AU$2420:AU2614,$AQ$2420:AQ2614,"M")</f>
        <v>-899.79999999984489</v>
      </c>
      <c r="BN2451" s="343">
        <f>SUMIFS($AU$2420:AU2614,$AQ$2420:AQ2614,"H")</f>
        <v>1762.9999999999427</v>
      </c>
      <c r="BO2451" s="343">
        <f>SUMIFS($AU$2420:AU2614,$AQ$2420:AQ2614,"D")</f>
        <v>-767.99999999998977</v>
      </c>
      <c r="BP2451" s="343">
        <f>SUMIFS($AS$2420:AS2702,$AO$2420:AO2702,"W")</f>
        <v>0</v>
      </c>
      <c r="BQ2451" s="343">
        <f>SUMIFS($AU$2420:AU2614,$Q$2420:Q2614,"O")</f>
        <v>-884.7999999998965</v>
      </c>
      <c r="BR2451" s="343">
        <f>SUMIFS($AU$2420:AU2614,$AA$2420:AA2614,"*")</f>
        <v>-512.79999999998074</v>
      </c>
      <c r="BS2451" s="343">
        <f>SUMIFS($AU$2420:AU2614,$AB$2420:AB2614,"*")</f>
        <v>-451.99999999997726</v>
      </c>
      <c r="BT2451" s="343">
        <f>SUMIFS($AU$2420:AU2614,$AC$2420:AC2614,"*")</f>
        <v>-143.99999999999909</v>
      </c>
      <c r="BU2451" s="343">
        <f>SUMIFS($AU$2420:AU2614,$AA$2420:AA2614,"*",$AB$2420:AB2614,"*")</f>
        <v>95.999999999933891</v>
      </c>
      <c r="BV2451" s="343">
        <f>SUMIFS($AU$2420:AU2614,$AA$2420:AA2614,"*",$AC$2420:AC2614,"*")</f>
        <v>-591.99999999999977</v>
      </c>
      <c r="BW2451" s="343">
        <f>SUMIFS($AU$2420:AU2614,$AB$2420:AB2614,"*",$AC$2420:AC2614,"*")</f>
        <v>-143.99999999999966</v>
      </c>
      <c r="BX2451" s="343">
        <f>SUMIFS($AV$2420:AV2614,$Q$2420:Q2614,"F")</f>
        <v>18.153846153846242</v>
      </c>
      <c r="BY2451" s="343">
        <f>SUMIFS($AV$2420:AV2614,$Q$2420:Q2614,"S")</f>
        <v>64.044720496894826</v>
      </c>
      <c r="BZ2451" s="343">
        <f>SUMIFS($AV$2420:AV2614,$Q$2420:Q2614,"O")</f>
        <v>-458.13333333332537</v>
      </c>
    </row>
    <row r="2452" spans="1:78" ht="15.75" customHeight="1">
      <c r="A2452" s="177" t="s">
        <v>7465</v>
      </c>
      <c r="B2452" s="200">
        <v>45524</v>
      </c>
      <c r="C2452" s="178" t="s">
        <v>7662</v>
      </c>
      <c r="D2452" s="178" t="s">
        <v>146</v>
      </c>
      <c r="E2452" s="227"/>
      <c r="F2452" s="180"/>
      <c r="G2452" s="490" t="s">
        <v>4941</v>
      </c>
      <c r="H2452" s="182"/>
      <c r="I2452" s="182"/>
      <c r="J2452" s="182"/>
      <c r="K2452" s="183"/>
      <c r="L2452" s="182"/>
      <c r="M2452" s="182">
        <v>1</v>
      </c>
      <c r="N2452" s="182"/>
      <c r="O2452" s="183" t="s">
        <v>95</v>
      </c>
      <c r="P2452" s="183" t="s">
        <v>137</v>
      </c>
      <c r="Q2452" s="183" t="s">
        <v>97</v>
      </c>
      <c r="R2452" s="183">
        <v>2</v>
      </c>
      <c r="S2452" s="183">
        <v>0</v>
      </c>
      <c r="T2452" s="183">
        <v>7</v>
      </c>
      <c r="U2452" s="183" t="s">
        <v>22</v>
      </c>
      <c r="V2452" s="183" t="s">
        <v>7349</v>
      </c>
      <c r="W2452" s="183" t="s">
        <v>115</v>
      </c>
      <c r="X2452" s="183"/>
      <c r="Y2452" s="184">
        <f t="shared" si="843"/>
        <v>0.01</v>
      </c>
      <c r="Z2452" s="185">
        <f t="shared" si="844"/>
        <v>1600</v>
      </c>
      <c r="AA2452" s="185" t="s">
        <v>7666</v>
      </c>
      <c r="AB2452" s="185" t="s">
        <v>7670</v>
      </c>
      <c r="AC2452" s="185" t="s">
        <v>7671</v>
      </c>
      <c r="AD2452" s="649">
        <v>-7.0000000000000007E-2</v>
      </c>
      <c r="AE2452" s="182"/>
      <c r="AF2452" s="332"/>
      <c r="AG2452" s="182"/>
      <c r="AH2452" s="182"/>
      <c r="AI2452" s="182"/>
      <c r="AJ2452" s="640"/>
      <c r="AK2452" s="182"/>
      <c r="AL2452" s="496">
        <f t="shared" si="850"/>
        <v>-32</v>
      </c>
      <c r="AM2452" s="496">
        <f t="shared" si="851"/>
        <v>-64</v>
      </c>
      <c r="AN2452" s="626"/>
      <c r="AO2452" s="182"/>
      <c r="AP2452" s="182"/>
      <c r="AQ2452" s="332" t="s">
        <v>372</v>
      </c>
      <c r="AR2452" s="182"/>
      <c r="AS2452" s="189">
        <v>-7.0000000000000007E-2</v>
      </c>
      <c r="AT2452" s="189">
        <f t="shared" si="852"/>
        <v>0</v>
      </c>
      <c r="AU2452" s="187">
        <f t="shared" si="853"/>
        <v>0</v>
      </c>
      <c r="AV2452" s="190">
        <f t="shared" si="854"/>
        <v>0</v>
      </c>
      <c r="AW2452" s="191" t="s">
        <v>115</v>
      </c>
      <c r="AX2452" s="549"/>
      <c r="AY2452" s="549"/>
      <c r="AZ2452" s="549"/>
      <c r="BA2452" s="549"/>
      <c r="BB2452" s="551"/>
      <c r="BC2452" s="551"/>
      <c r="BD2452" s="549"/>
      <c r="BE2452" s="550"/>
      <c r="BF2452" s="549"/>
      <c r="BG2452" s="391">
        <f>SUM($AV$2420:AV2452)</f>
        <v>-15.000000000005372</v>
      </c>
      <c r="BH2452" s="392">
        <f>SUM($AU$2420:AU2452)</f>
        <v>588.99999999999557</v>
      </c>
      <c r="BI2452" s="318">
        <f>SUMIFS($AU$2420:AU2615,$Q$2420:Q2615,"F")</f>
        <v>-143.99999999999949</v>
      </c>
      <c r="BJ2452" s="318">
        <f>SUMIFS($AU$2420:AU2615,$Q$2420:Q2615,"S")</f>
        <v>256.00000000000466</v>
      </c>
      <c r="BK2452" s="343">
        <f>SUMIFS($AU$2420:AU2615,$P$2420:P2615,"W")</f>
        <v>-607.99999999991883</v>
      </c>
      <c r="BL2452" s="343">
        <f>SUMIFS($AU$2420:AU2615,$P$2420:P2615,"R")</f>
        <v>911.99999999999966</v>
      </c>
      <c r="BM2452" s="343">
        <f>SUMIFS($AU$2420:AU2615,$AQ$2420:AQ2615,"M")</f>
        <v>-899.79999999984489</v>
      </c>
      <c r="BN2452" s="343">
        <f>SUMIFS($AU$2420:AU2615,$AQ$2420:AQ2615,"H")</f>
        <v>1762.9999999999427</v>
      </c>
      <c r="BO2452" s="343">
        <f>SUMIFS($AU$2420:AU2615,$AQ$2420:AQ2615,"D")</f>
        <v>-767.99999999998977</v>
      </c>
      <c r="BP2452" s="343">
        <f>SUMIFS($AS$2420:AS2703,$AO$2420:AO2703,"W")</f>
        <v>0</v>
      </c>
      <c r="BQ2452" s="343">
        <f>SUMIFS($AU$2420:AU2615,$Q$2420:Q2615,"O")</f>
        <v>-884.7999999998965</v>
      </c>
      <c r="BR2452" s="343">
        <f>SUMIFS($AU$2420:AU2615,$AA$2420:AA2615,"*")</f>
        <v>-512.79999999998074</v>
      </c>
      <c r="BS2452" s="343">
        <f>SUMIFS($AU$2420:AU2615,$AB$2420:AB2615,"*")</f>
        <v>-451.99999999997726</v>
      </c>
      <c r="BT2452" s="343">
        <f>SUMIFS($AU$2420:AU2615,$AC$2420:AC2615,"*")</f>
        <v>-143.99999999999909</v>
      </c>
      <c r="BU2452" s="343">
        <f>SUMIFS($AU$2420:AU2615,$AA$2420:AA2615,"*",$AB$2420:AB2615,"*")</f>
        <v>95.999999999933891</v>
      </c>
      <c r="BV2452" s="343">
        <f>SUMIFS($AU$2420:AU2615,$AA$2420:AA2615,"*",$AC$2420:AC2615,"*")</f>
        <v>-591.99999999999977</v>
      </c>
      <c r="BW2452" s="343">
        <f>SUMIFS($AU$2420:AU2615,$AB$2420:AB2615,"*",$AC$2420:AC2615,"*")</f>
        <v>-143.99999999999966</v>
      </c>
      <c r="BX2452" s="343">
        <f>SUMIFS($AV$2420:AV2615,$Q$2420:Q2615,"F")</f>
        <v>18.153846153846242</v>
      </c>
      <c r="BY2452" s="343">
        <f>SUMIFS($AV$2420:AV2615,$Q$2420:Q2615,"S")</f>
        <v>64.044720496894826</v>
      </c>
      <c r="BZ2452" s="343">
        <f>SUMIFS($AV$2420:AV2615,$Q$2420:Q2615,"O")</f>
        <v>-458.13333333332537</v>
      </c>
    </row>
    <row r="2453" spans="1:78" ht="15.75" customHeight="1">
      <c r="A2453" s="177" t="s">
        <v>7465</v>
      </c>
      <c r="B2453" s="200">
        <v>45525</v>
      </c>
      <c r="C2453" s="178" t="s">
        <v>5201</v>
      </c>
      <c r="D2453" s="178" t="s">
        <v>146</v>
      </c>
      <c r="E2453" s="227"/>
      <c r="F2453" s="180"/>
      <c r="G2453" s="497" t="s">
        <v>5633</v>
      </c>
      <c r="H2453" s="182"/>
      <c r="I2453" s="182"/>
      <c r="J2453" s="182"/>
      <c r="K2453" s="183"/>
      <c r="L2453" s="182"/>
      <c r="M2453" s="182">
        <v>1</v>
      </c>
      <c r="N2453" s="182"/>
      <c r="O2453" s="183" t="s">
        <v>95</v>
      </c>
      <c r="P2453" s="183" t="s">
        <v>137</v>
      </c>
      <c r="Q2453" s="183" t="s">
        <v>256</v>
      </c>
      <c r="R2453" s="183">
        <v>5</v>
      </c>
      <c r="S2453" s="183">
        <v>0</v>
      </c>
      <c r="T2453" s="183">
        <v>5</v>
      </c>
      <c r="U2453" s="183" t="s">
        <v>22</v>
      </c>
      <c r="V2453" s="183" t="s">
        <v>7357</v>
      </c>
      <c r="W2453" s="183" t="s">
        <v>115</v>
      </c>
      <c r="X2453" s="183" t="s">
        <v>7587</v>
      </c>
      <c r="Y2453" s="184">
        <f t="shared" si="843"/>
        <v>0.01</v>
      </c>
      <c r="Z2453" s="185">
        <f t="shared" si="844"/>
        <v>1600</v>
      </c>
      <c r="AA2453" s="185" t="s">
        <v>7672</v>
      </c>
      <c r="AB2453" s="185"/>
      <c r="AC2453" s="185"/>
      <c r="AD2453" s="649">
        <v>-0.03</v>
      </c>
      <c r="AE2453" s="182"/>
      <c r="AF2453" s="332"/>
      <c r="AG2453" s="182"/>
      <c r="AH2453" s="182"/>
      <c r="AI2453" s="182"/>
      <c r="AJ2453" s="640"/>
      <c r="AK2453" s="182"/>
      <c r="AL2453" s="496">
        <f t="shared" si="850"/>
        <v>-32</v>
      </c>
      <c r="AM2453" s="496">
        <f t="shared" si="851"/>
        <v>-160</v>
      </c>
      <c r="AN2453" s="626"/>
      <c r="AO2453" s="182"/>
      <c r="AP2453" s="182"/>
      <c r="AQ2453" s="332" t="s">
        <v>372</v>
      </c>
      <c r="AR2453" s="182" t="s">
        <v>7673</v>
      </c>
      <c r="AS2453" s="189">
        <v>-0.02</v>
      </c>
      <c r="AT2453" s="189">
        <f t="shared" si="852"/>
        <v>9.9999999999999985E-3</v>
      </c>
      <c r="AU2453" s="187">
        <f t="shared" si="853"/>
        <v>79.999999999999986</v>
      </c>
      <c r="AV2453" s="190">
        <f t="shared" si="854"/>
        <v>15.999999999999998</v>
      </c>
      <c r="AW2453" s="191" t="s">
        <v>96</v>
      </c>
      <c r="AX2453" s="549"/>
      <c r="AY2453" s="549"/>
      <c r="AZ2453" s="549"/>
      <c r="BA2453" s="549"/>
      <c r="BB2453" s="551"/>
      <c r="BC2453" s="551"/>
      <c r="BD2453" s="549"/>
      <c r="BE2453" s="550"/>
      <c r="BF2453" s="549"/>
      <c r="BG2453" s="391">
        <f>SUM($AV$2420:AV2453)</f>
        <v>0.99999999999462652</v>
      </c>
      <c r="BH2453" s="392">
        <f>SUM($AU$2420:AU2453)</f>
        <v>668.99999999999557</v>
      </c>
      <c r="BI2453" s="318">
        <f>SUMIFS($AU$2420:AU2616,$Q$2420:Q2616,"F")</f>
        <v>-143.99999999999949</v>
      </c>
      <c r="BJ2453" s="318">
        <f>SUMIFS($AU$2420:AU2616,$Q$2420:Q2616,"S")</f>
        <v>256.00000000000466</v>
      </c>
      <c r="BK2453" s="343">
        <f>SUMIFS($AU$2420:AU2616,$P$2420:P2616,"W")</f>
        <v>-607.99999999991883</v>
      </c>
      <c r="BL2453" s="343">
        <f>SUMIFS($AU$2420:AU2616,$P$2420:P2616,"R")</f>
        <v>911.99999999999966</v>
      </c>
      <c r="BM2453" s="343">
        <f>SUMIFS($AU$2420:AU2616,$AQ$2420:AQ2616,"M")</f>
        <v>-899.79999999984489</v>
      </c>
      <c r="BN2453" s="343">
        <f>SUMIFS($AU$2420:AU2616,$AQ$2420:AQ2616,"H")</f>
        <v>1762.9999999999427</v>
      </c>
      <c r="BO2453" s="343">
        <f>SUMIFS($AU$2420:AU2616,$AQ$2420:AQ2616,"D")</f>
        <v>-767.99999999998977</v>
      </c>
      <c r="BP2453" s="343">
        <f>SUMIFS($AS$2420:AS2704,$AO$2420:AO2704,"W")</f>
        <v>0</v>
      </c>
      <c r="BQ2453" s="343">
        <f>SUMIFS($AU$2420:AU2616,$Q$2420:Q2616,"O")</f>
        <v>-884.7999999998965</v>
      </c>
      <c r="BR2453" s="343">
        <f>SUMIFS($AU$2420:AU2616,$AA$2420:AA2616,"*")</f>
        <v>-512.79999999998074</v>
      </c>
      <c r="BS2453" s="343">
        <f>SUMIFS($AU$2420:AU2616,$AB$2420:AB2616,"*")</f>
        <v>-451.99999999997726</v>
      </c>
      <c r="BT2453" s="343">
        <f>SUMIFS($AU$2420:AU2616,$AC$2420:AC2616,"*")</f>
        <v>-143.99999999999909</v>
      </c>
      <c r="BU2453" s="343">
        <f>SUMIFS($AU$2420:AU2616,$AA$2420:AA2616,"*",$AB$2420:AB2616,"*")</f>
        <v>95.999999999933891</v>
      </c>
      <c r="BV2453" s="343">
        <f>SUMIFS($AU$2420:AU2616,$AA$2420:AA2616,"*",$AC$2420:AC2616,"*")</f>
        <v>-591.99999999999977</v>
      </c>
      <c r="BW2453" s="343">
        <f>SUMIFS($AU$2420:AU2616,$AB$2420:AB2616,"*",$AC$2420:AC2616,"*")</f>
        <v>-143.99999999999966</v>
      </c>
      <c r="BX2453" s="343">
        <f>SUMIFS($AV$2420:AV2616,$Q$2420:Q2616,"F")</f>
        <v>18.153846153846242</v>
      </c>
      <c r="BY2453" s="343">
        <f>SUMIFS($AV$2420:AV2616,$Q$2420:Q2616,"S")</f>
        <v>64.044720496894826</v>
      </c>
      <c r="BZ2453" s="343">
        <f>SUMIFS($AV$2420:AV2616,$Q$2420:Q2616,"O")</f>
        <v>-458.13333333332537</v>
      </c>
    </row>
    <row r="2454" spans="1:78" ht="15.75" customHeight="1">
      <c r="A2454" s="177" t="s">
        <v>7465</v>
      </c>
      <c r="B2454" s="200"/>
      <c r="C2454" s="178"/>
      <c r="D2454" s="178"/>
      <c r="E2454" s="227"/>
      <c r="F2454" s="180"/>
      <c r="G2454" s="181"/>
      <c r="H2454" s="182"/>
      <c r="I2454" s="182"/>
      <c r="J2454" s="182"/>
      <c r="K2454" s="183"/>
      <c r="L2454" s="182"/>
      <c r="M2454" s="182"/>
      <c r="N2454" s="182"/>
      <c r="O2454" s="183"/>
      <c r="P2454" s="183"/>
      <c r="Q2454" s="183"/>
      <c r="R2454" s="183"/>
      <c r="S2454" s="183"/>
      <c r="T2454" s="183"/>
      <c r="U2454" s="183"/>
      <c r="V2454" s="183"/>
      <c r="W2454" s="183"/>
      <c r="X2454" s="183"/>
      <c r="Y2454" s="184"/>
      <c r="Z2454" s="185"/>
      <c r="AA2454" s="185"/>
      <c r="AB2454" s="185"/>
      <c r="AC2454" s="185"/>
      <c r="AD2454" s="649"/>
      <c r="AE2454" s="182"/>
      <c r="AF2454" s="332"/>
      <c r="AG2454" s="182"/>
      <c r="AH2454" s="182"/>
      <c r="AI2454" s="182"/>
      <c r="AJ2454" s="640"/>
      <c r="AK2454" s="182"/>
      <c r="AL2454" s="496">
        <f t="shared" si="850"/>
        <v>0</v>
      </c>
      <c r="AM2454" s="496">
        <f t="shared" si="851"/>
        <v>0</v>
      </c>
      <c r="AN2454" s="626"/>
      <c r="AO2454" s="182"/>
      <c r="AP2454" s="182"/>
      <c r="AQ2454" s="332" t="str">
        <f>UPPER(RIGHT(Journal_Live[[#This Row],[DURATION ]]))</f>
        <v/>
      </c>
      <c r="AR2454" s="182"/>
      <c r="AS2454" s="189"/>
      <c r="AT2454" s="189">
        <f t="shared" si="852"/>
        <v>0</v>
      </c>
      <c r="AU2454" s="187">
        <f t="shared" si="853"/>
        <v>0</v>
      </c>
      <c r="AV2454" s="190">
        <f t="shared" si="854"/>
        <v>0</v>
      </c>
      <c r="AW2454" s="191"/>
      <c r="AX2454" s="549" t="s">
        <v>7674</v>
      </c>
      <c r="AY2454" s="637" t="s">
        <v>7675</v>
      </c>
      <c r="AZ2454" s="637" t="s">
        <v>7676</v>
      </c>
      <c r="BA2454" s="637" t="s">
        <v>7677</v>
      </c>
      <c r="BB2454" s="637" t="s">
        <v>7678</v>
      </c>
      <c r="BC2454" s="637" t="s">
        <v>7679</v>
      </c>
      <c r="BD2454" s="637" t="s">
        <v>7680</v>
      </c>
      <c r="BE2454" s="550"/>
      <c r="BF2454" s="549"/>
      <c r="BG2454" s="391">
        <f>SUM($AV$2420:AV2454)</f>
        <v>0.99999999999462652</v>
      </c>
      <c r="BH2454" s="392">
        <f>SUM($AU$2420:AU2454)</f>
        <v>668.99999999999557</v>
      </c>
      <c r="BI2454" s="318">
        <f>SUMIFS($AU$2420:AU2617,$Q$2420:Q2617,"F")</f>
        <v>-143.99999999999949</v>
      </c>
      <c r="BJ2454" s="318">
        <f>SUMIFS($AU$2420:AU2617,$Q$2420:Q2617,"S")</f>
        <v>256.00000000000466</v>
      </c>
      <c r="BK2454" s="343">
        <f>SUMIFS($AU$2420:AU2617,$P$2420:P2617,"W")</f>
        <v>-607.99999999991883</v>
      </c>
      <c r="BL2454" s="343">
        <f>SUMIFS($AU$2420:AU2617,$P$2420:P2617,"R")</f>
        <v>911.99999999999966</v>
      </c>
      <c r="BM2454" s="343">
        <f>SUMIFS($AU$2420:AU2617,$AQ$2420:AQ2617,"M")</f>
        <v>-899.79999999984489</v>
      </c>
      <c r="BN2454" s="343">
        <f>SUMIFS($AU$2420:AU2617,$AQ$2420:AQ2617,"H")</f>
        <v>1762.9999999999427</v>
      </c>
      <c r="BO2454" s="343">
        <f>SUMIFS($AU$2420:AU2617,$AQ$2420:AQ2617,"D")</f>
        <v>-767.99999999998977</v>
      </c>
      <c r="BP2454" s="343">
        <f>SUMIFS($AS$2420:AS2705,$AO$2420:AO2705,"W")</f>
        <v>0</v>
      </c>
      <c r="BQ2454" s="343">
        <f>SUMIFS($AU$2420:AU2617,$Q$2420:Q2617,"O")</f>
        <v>-884.7999999998965</v>
      </c>
      <c r="BR2454" s="343">
        <f>SUMIFS($AU$2420:AU2617,$AA$2420:AA2617,"*")</f>
        <v>-512.79999999998074</v>
      </c>
      <c r="BS2454" s="343">
        <f>SUMIFS($AU$2420:AU2617,$AB$2420:AB2617,"*")</f>
        <v>-451.99999999997726</v>
      </c>
      <c r="BT2454" s="343">
        <f>SUMIFS($AU$2420:AU2617,$AC$2420:AC2617,"*")</f>
        <v>-143.99999999999909</v>
      </c>
      <c r="BU2454" s="343">
        <f>SUMIFS($AU$2420:AU2617,$AA$2420:AA2617,"*",$AB$2420:AB2617,"*")</f>
        <v>95.999999999933891</v>
      </c>
      <c r="BV2454" s="343">
        <f>SUMIFS($AU$2420:AU2617,$AA$2420:AA2617,"*",$AC$2420:AC2617,"*")</f>
        <v>-591.99999999999977</v>
      </c>
      <c r="BW2454" s="343">
        <f>SUMIFS($AU$2420:AU2617,$AB$2420:AB2617,"*",$AC$2420:AC2617,"*")</f>
        <v>-143.99999999999966</v>
      </c>
      <c r="BX2454" s="343">
        <f>SUMIFS($AV$2420:AV2617,$Q$2420:Q2617,"F")</f>
        <v>18.153846153846242</v>
      </c>
      <c r="BY2454" s="343">
        <f>SUMIFS($AV$2420:AV2617,$Q$2420:Q2617,"S")</f>
        <v>64.044720496894826</v>
      </c>
      <c r="BZ2454" s="343">
        <f>SUMIFS($AV$2420:AV2617,$Q$2420:Q2617,"O")</f>
        <v>-458.13333333332537</v>
      </c>
    </row>
    <row r="2455" spans="1:78" ht="15.75" customHeight="1">
      <c r="A2455" s="177" t="s">
        <v>7465</v>
      </c>
      <c r="B2455" s="200"/>
      <c r="C2455" s="178"/>
      <c r="D2455" s="178"/>
      <c r="E2455" s="227"/>
      <c r="F2455" s="180"/>
      <c r="G2455" s="181"/>
      <c r="H2455" s="182"/>
      <c r="I2455" s="182"/>
      <c r="J2455" s="182"/>
      <c r="K2455" s="183"/>
      <c r="L2455" s="182"/>
      <c r="M2455" s="182"/>
      <c r="N2455" s="182"/>
      <c r="O2455" s="183"/>
      <c r="P2455" s="183"/>
      <c r="Q2455" s="183"/>
      <c r="R2455" s="183"/>
      <c r="S2455" s="183"/>
      <c r="T2455" s="183"/>
      <c r="U2455" s="183"/>
      <c r="V2455" s="183"/>
      <c r="W2455" s="183"/>
      <c r="X2455" s="183"/>
      <c r="Y2455" s="184"/>
      <c r="Z2455" s="185"/>
      <c r="AA2455" s="185"/>
      <c r="AB2455" s="185"/>
      <c r="AC2455" s="185"/>
      <c r="AD2455" s="649"/>
      <c r="AE2455" s="182"/>
      <c r="AF2455" s="332"/>
      <c r="AG2455" s="182"/>
      <c r="AH2455" s="182"/>
      <c r="AI2455" s="182"/>
      <c r="AJ2455" s="640"/>
      <c r="AK2455" s="182"/>
      <c r="AL2455" s="496">
        <f t="shared" si="850"/>
        <v>0</v>
      </c>
      <c r="AM2455" s="496">
        <f t="shared" si="851"/>
        <v>0</v>
      </c>
      <c r="AN2455" s="626"/>
      <c r="AO2455" s="182"/>
      <c r="AP2455" s="182"/>
      <c r="AQ2455" s="332" t="str">
        <f>UPPER(RIGHT(Journal_Live[[#This Row],[DURATION ]]))</f>
        <v/>
      </c>
      <c r="AR2455" s="182"/>
      <c r="AS2455" s="189"/>
      <c r="AT2455" s="189">
        <f t="shared" si="852"/>
        <v>0</v>
      </c>
      <c r="AU2455" s="187">
        <f t="shared" si="853"/>
        <v>0</v>
      </c>
      <c r="AV2455" s="190">
        <f t="shared" si="854"/>
        <v>0</v>
      </c>
      <c r="AW2455" s="191"/>
      <c r="AX2455" s="549" t="s">
        <v>7681</v>
      </c>
      <c r="AY2455" s="549" t="s">
        <v>7682</v>
      </c>
      <c r="AZ2455" s="549"/>
      <c r="BA2455" s="549"/>
      <c r="BB2455" s="551"/>
      <c r="BC2455" s="551"/>
      <c r="BD2455" s="549"/>
      <c r="BE2455" s="550"/>
      <c r="BF2455" s="549"/>
      <c r="BG2455" s="391">
        <f>SUM($AV$2420:AV2455)</f>
        <v>0.99999999999462652</v>
      </c>
      <c r="BH2455" s="392">
        <f>SUM($AU$2420:AU2455)</f>
        <v>668.99999999999557</v>
      </c>
      <c r="BI2455" s="318">
        <f>SUMIFS($AU$2420:AU2618,$Q$2420:Q2618,"F")</f>
        <v>-143.99999999999949</v>
      </c>
      <c r="BJ2455" s="318">
        <f>SUMIFS($AU$2420:AU2618,$Q$2420:Q2618,"S")</f>
        <v>256.00000000000466</v>
      </c>
      <c r="BK2455" s="343">
        <f>SUMIFS($AU$2420:AU2618,$P$2420:P2618,"W")</f>
        <v>-607.99999999991883</v>
      </c>
      <c r="BL2455" s="343">
        <f>SUMIFS($AU$2420:AU2618,$P$2420:P2618,"R")</f>
        <v>911.99999999999966</v>
      </c>
      <c r="BM2455" s="343">
        <f>SUMIFS($AU$2420:AU2618,$AQ$2420:AQ2618,"M")</f>
        <v>-899.79999999984489</v>
      </c>
      <c r="BN2455" s="343">
        <f>SUMIFS($AU$2420:AU2618,$AQ$2420:AQ2618,"H")</f>
        <v>1762.9999999999427</v>
      </c>
      <c r="BO2455" s="343">
        <f>SUMIFS($AU$2420:AU2618,$AQ$2420:AQ2618,"D")</f>
        <v>-767.99999999998977</v>
      </c>
      <c r="BP2455" s="343">
        <f>SUMIFS($AS$2420:AS2706,$AO$2420:AO2706,"W")</f>
        <v>0</v>
      </c>
      <c r="BQ2455" s="343">
        <f>SUMIFS($AU$2420:AU2618,$Q$2420:Q2618,"O")</f>
        <v>-884.7999999998965</v>
      </c>
      <c r="BR2455" s="343">
        <f>SUMIFS($AU$2420:AU2618,$AA$2420:AA2618,"*")</f>
        <v>-512.79999999998074</v>
      </c>
      <c r="BS2455" s="343">
        <f>SUMIFS($AU$2420:AU2618,$AB$2420:AB2618,"*")</f>
        <v>-451.99999999997726</v>
      </c>
      <c r="BT2455" s="343">
        <f>SUMIFS($AU$2420:AU2618,$AC$2420:AC2618,"*")</f>
        <v>-143.99999999999909</v>
      </c>
      <c r="BU2455" s="343">
        <f>SUMIFS($AU$2420:AU2618,$AA$2420:AA2618,"*",$AB$2420:AB2618,"*")</f>
        <v>95.999999999933891</v>
      </c>
      <c r="BV2455" s="343">
        <f>SUMIFS($AU$2420:AU2618,$AA$2420:AA2618,"*",$AC$2420:AC2618,"*")</f>
        <v>-591.99999999999977</v>
      </c>
      <c r="BW2455" s="343">
        <f>SUMIFS($AU$2420:AU2618,$AB$2420:AB2618,"*",$AC$2420:AC2618,"*")</f>
        <v>-143.99999999999966</v>
      </c>
      <c r="BX2455" s="343">
        <f>SUMIFS($AV$2420:AV2618,$Q$2420:Q2618,"F")</f>
        <v>18.153846153846242</v>
      </c>
      <c r="BY2455" s="343">
        <f>SUMIFS($AV$2420:AV2618,$Q$2420:Q2618,"S")</f>
        <v>64.044720496894826</v>
      </c>
      <c r="BZ2455" s="343">
        <f>SUMIFS($AV$2420:AV2618,$Q$2420:Q2618,"O")</f>
        <v>-458.13333333332537</v>
      </c>
    </row>
    <row r="2456" spans="1:78" ht="15.75" customHeight="1">
      <c r="A2456" s="177" t="s">
        <v>7465</v>
      </c>
      <c r="B2456" s="200">
        <v>45525</v>
      </c>
      <c r="C2456" s="178" t="s">
        <v>2060</v>
      </c>
      <c r="D2456" s="178" t="s">
        <v>146</v>
      </c>
      <c r="E2456" s="227" t="s">
        <v>7683</v>
      </c>
      <c r="F2456" s="180"/>
      <c r="G2456" s="181" t="s">
        <v>7396</v>
      </c>
      <c r="H2456" s="182"/>
      <c r="I2456" s="182"/>
      <c r="J2456" s="182"/>
      <c r="K2456" s="183"/>
      <c r="L2456" s="182">
        <v>1</v>
      </c>
      <c r="M2456" s="182"/>
      <c r="N2456" s="182"/>
      <c r="O2456" s="183" t="s">
        <v>2432</v>
      </c>
      <c r="P2456" s="183"/>
      <c r="Q2456" s="183" t="s">
        <v>684</v>
      </c>
      <c r="R2456" s="183">
        <v>2</v>
      </c>
      <c r="S2456" s="183">
        <v>0</v>
      </c>
      <c r="T2456" s="183">
        <v>2</v>
      </c>
      <c r="U2456" s="183" t="s">
        <v>97</v>
      </c>
      <c r="V2456" s="183" t="s">
        <v>7349</v>
      </c>
      <c r="W2456" s="183" t="s">
        <v>115</v>
      </c>
      <c r="X2456" s="183"/>
      <c r="Y2456" s="184">
        <f>IF(ISBLANK(O2456),"",(IF(O2456=UPPER("IB"),0.005,0.01)))</f>
        <v>0.01</v>
      </c>
      <c r="Z2456" s="185">
        <f>IF(ISBLANK(O2456),"",IF(O2456="IB",8.63*200,IF(O2456="IR",16*100,IF(O2456="YT",20*100,IF(O2456="YT-XT",24*200,IF(O2456="TED",80*100,IF(O2456="XT",29*200)))))))</f>
        <v>2000</v>
      </c>
      <c r="AA2456" s="185" t="s">
        <v>1096</v>
      </c>
      <c r="AB2456" s="185"/>
      <c r="AC2456" s="185"/>
      <c r="AD2456" s="649">
        <v>96.49</v>
      </c>
      <c r="AE2456" s="182"/>
      <c r="AF2456" s="332"/>
      <c r="AG2456" s="182"/>
      <c r="AH2456" s="182"/>
      <c r="AI2456" s="182"/>
      <c r="AJ2456" s="640"/>
      <c r="AK2456" s="182"/>
      <c r="AL2456" s="496">
        <f t="shared" si="850"/>
        <v>-40</v>
      </c>
      <c r="AM2456" s="496">
        <f t="shared" si="851"/>
        <v>-80</v>
      </c>
      <c r="AN2456" s="626"/>
      <c r="AO2456" s="182"/>
      <c r="AP2456" s="182"/>
      <c r="AQ2456" s="332" t="s">
        <v>1259</v>
      </c>
      <c r="AR2456" s="182"/>
      <c r="AS2456" s="189">
        <v>96.504999999999995</v>
      </c>
      <c r="AT2456" s="189">
        <f t="shared" si="852"/>
        <v>-1.5000000000000568E-2</v>
      </c>
      <c r="AU2456" s="187">
        <f t="shared" si="853"/>
        <v>-60.000000000002274</v>
      </c>
      <c r="AV2456" s="190">
        <f t="shared" si="854"/>
        <v>-30.000000000001137</v>
      </c>
      <c r="AW2456" s="191" t="s">
        <v>229</v>
      </c>
      <c r="AX2456" s="549"/>
      <c r="AY2456" s="549"/>
      <c r="AZ2456" s="549"/>
      <c r="BA2456" s="549"/>
      <c r="BB2456" s="551"/>
      <c r="BC2456" s="551"/>
      <c r="BD2456" s="549"/>
      <c r="BE2456" s="550"/>
      <c r="BF2456" s="549"/>
      <c r="BG2456" s="391">
        <f>SUM($AV$2420:AV2456)</f>
        <v>-29.000000000006509</v>
      </c>
      <c r="BH2456" s="392">
        <f>SUM($AU$2420:AU2456)</f>
        <v>608.99999999999329</v>
      </c>
      <c r="BI2456" s="318">
        <f>SUMIFS($AU$2420:AU2619,$Q$2420:Q2619,"F")</f>
        <v>-143.99999999999949</v>
      </c>
      <c r="BJ2456" s="318">
        <f>SUMIFS($AU$2420:AU2619,$Q$2420:Q2619,"S")</f>
        <v>256.00000000000466</v>
      </c>
      <c r="BK2456" s="343">
        <f>SUMIFS($AU$2420:AU2619,$P$2420:P2619,"W")</f>
        <v>-607.99999999991883</v>
      </c>
      <c r="BL2456" s="343">
        <f>SUMIFS($AU$2420:AU2619,$P$2420:P2619,"R")</f>
        <v>911.99999999999966</v>
      </c>
      <c r="BM2456" s="343">
        <f>SUMIFS($AU$2420:AU2619,$AQ$2420:AQ2619,"M")</f>
        <v>-899.79999999984489</v>
      </c>
      <c r="BN2456" s="343">
        <f>SUMIFS($AU$2420:AU2619,$AQ$2420:AQ2619,"H")</f>
        <v>1762.9999999999427</v>
      </c>
      <c r="BO2456" s="343">
        <f>SUMIFS($AU$2420:AU2619,$AQ$2420:AQ2619,"D")</f>
        <v>-767.99999999998977</v>
      </c>
      <c r="BP2456" s="343">
        <f>SUMIFS($AS$2420:AS2707,$AO$2420:AO2707,"W")</f>
        <v>0</v>
      </c>
      <c r="BQ2456" s="343">
        <f>SUMIFS($AU$2420:AU2619,$Q$2420:Q2619,"O")</f>
        <v>-884.7999999998965</v>
      </c>
      <c r="BR2456" s="343">
        <f>SUMIFS($AU$2420:AU2619,$AA$2420:AA2619,"*")</f>
        <v>-512.79999999998074</v>
      </c>
      <c r="BS2456" s="343">
        <f>SUMIFS($AU$2420:AU2619,$AB$2420:AB2619,"*")</f>
        <v>-451.99999999997726</v>
      </c>
      <c r="BT2456" s="343">
        <f>SUMIFS($AU$2420:AU2619,$AC$2420:AC2619,"*")</f>
        <v>-143.99999999999909</v>
      </c>
      <c r="BU2456" s="343">
        <f>SUMIFS($AU$2420:AU2619,$AA$2420:AA2619,"*",$AB$2420:AB2619,"*")</f>
        <v>95.999999999933891</v>
      </c>
      <c r="BV2456" s="343">
        <f>SUMIFS($AU$2420:AU2619,$AA$2420:AA2619,"*",$AC$2420:AC2619,"*")</f>
        <v>-591.99999999999977</v>
      </c>
      <c r="BW2456" s="343">
        <f>SUMIFS($AU$2420:AU2619,$AB$2420:AB2619,"*",$AC$2420:AC2619,"*")</f>
        <v>-143.99999999999966</v>
      </c>
      <c r="BX2456" s="343">
        <f>SUMIFS($AV$2420:AV2619,$Q$2420:Q2619,"F")</f>
        <v>18.153846153846242</v>
      </c>
      <c r="BY2456" s="343">
        <f>SUMIFS($AV$2420:AV2619,$Q$2420:Q2619,"S")</f>
        <v>64.044720496894826</v>
      </c>
      <c r="BZ2456" s="343">
        <f>SUMIFS($AV$2420:AV2619,$Q$2420:Q2619,"O")</f>
        <v>-458.13333333332537</v>
      </c>
    </row>
    <row r="2457" spans="1:78" ht="15.75" customHeight="1">
      <c r="A2457" s="177" t="s">
        <v>7465</v>
      </c>
      <c r="B2457" s="200">
        <v>45525</v>
      </c>
      <c r="C2457" s="178" t="s">
        <v>2060</v>
      </c>
      <c r="D2457" s="178" t="s">
        <v>146</v>
      </c>
      <c r="E2457" s="227" t="s">
        <v>7683</v>
      </c>
      <c r="F2457" s="180"/>
      <c r="G2457" s="497" t="s">
        <v>7684</v>
      </c>
      <c r="H2457" s="182"/>
      <c r="I2457" s="182"/>
      <c r="J2457" s="182"/>
      <c r="K2457" s="183"/>
      <c r="L2457" s="182">
        <v>1</v>
      </c>
      <c r="M2457" s="182"/>
      <c r="N2457" s="182"/>
      <c r="O2457" s="183" t="s">
        <v>95</v>
      </c>
      <c r="P2457" s="183" t="s">
        <v>96</v>
      </c>
      <c r="Q2457" s="183" t="s">
        <v>684</v>
      </c>
      <c r="R2457" s="183">
        <v>1</v>
      </c>
      <c r="S2457" s="183">
        <v>0</v>
      </c>
      <c r="T2457" s="183">
        <v>1</v>
      </c>
      <c r="U2457" s="183" t="s">
        <v>22</v>
      </c>
      <c r="V2457" s="183" t="s">
        <v>7349</v>
      </c>
      <c r="W2457" s="183" t="s">
        <v>7548</v>
      </c>
      <c r="X2457" s="183"/>
      <c r="Y2457" s="184">
        <f>IF(ISBLANK(O2457),"",(IF(O2457=UPPER("IB"),0.005,0.01)))</f>
        <v>0.01</v>
      </c>
      <c r="Z2457" s="185">
        <f>IF(ISBLANK(O2457),"",IF(O2457="IB",8.63*200,IF(O2457="IR",16*100,IF(O2457="YT",20*100,IF(O2457="YT-XT",24*200,IF(O2457="TED",80*100,IF(O2457="XT",29*200)))))))</f>
        <v>1600</v>
      </c>
      <c r="AA2457" s="185" t="s">
        <v>1096</v>
      </c>
      <c r="AB2457" s="185"/>
      <c r="AC2457" s="185"/>
      <c r="AD2457" s="649">
        <v>96.43</v>
      </c>
      <c r="AE2457" s="182"/>
      <c r="AF2457" s="332"/>
      <c r="AG2457" s="182"/>
      <c r="AH2457" s="182"/>
      <c r="AI2457" s="182"/>
      <c r="AJ2457" s="640"/>
      <c r="AK2457" s="182"/>
      <c r="AL2457" s="496">
        <f t="shared" si="850"/>
        <v>-32</v>
      </c>
      <c r="AM2457" s="496">
        <f t="shared" si="851"/>
        <v>-32</v>
      </c>
      <c r="AN2457" s="626"/>
      <c r="AO2457" s="182"/>
      <c r="AP2457" s="182"/>
      <c r="AQ2457" s="332" t="s">
        <v>1259</v>
      </c>
      <c r="AR2457" s="182"/>
      <c r="AS2457" s="189">
        <v>96.4</v>
      </c>
      <c r="AT2457" s="189">
        <f t="shared" si="852"/>
        <v>-3.0000000000001137E-2</v>
      </c>
      <c r="AU2457" s="187">
        <f t="shared" si="853"/>
        <v>-48.000000000001819</v>
      </c>
      <c r="AV2457" s="190">
        <f t="shared" si="854"/>
        <v>-48.000000000001819</v>
      </c>
      <c r="AW2457" s="191" t="s">
        <v>229</v>
      </c>
      <c r="AX2457" s="549"/>
      <c r="AY2457" s="549"/>
      <c r="AZ2457" s="549"/>
      <c r="BA2457" s="549"/>
      <c r="BB2457" s="551"/>
      <c r="BC2457" s="551"/>
      <c r="BD2457" s="549"/>
      <c r="BE2457" s="550"/>
      <c r="BF2457" s="549"/>
      <c r="BG2457" s="391">
        <f>SUM($AV$2420:AV2457)</f>
        <v>-77.000000000008328</v>
      </c>
      <c r="BH2457" s="392">
        <f>SUM($AU$2420:AU2457)</f>
        <v>560.99999999999147</v>
      </c>
      <c r="BI2457" s="318">
        <f>SUMIFS($AU$2420:AU2620,$Q$2420:Q2620,"F")</f>
        <v>-143.99999999999949</v>
      </c>
      <c r="BJ2457" s="318">
        <f>SUMIFS($AU$2420:AU2620,$Q$2420:Q2620,"S")</f>
        <v>256.00000000000466</v>
      </c>
      <c r="BK2457" s="343">
        <f>SUMIFS($AU$2420:AU2620,$P$2420:P2620,"W")</f>
        <v>-607.99999999991883</v>
      </c>
      <c r="BL2457" s="343">
        <f>SUMIFS($AU$2420:AU2620,$P$2420:P2620,"R")</f>
        <v>911.99999999999966</v>
      </c>
      <c r="BM2457" s="343">
        <f>SUMIFS($AU$2420:AU2620,$AQ$2420:AQ2620,"M")</f>
        <v>-899.79999999984489</v>
      </c>
      <c r="BN2457" s="343">
        <f>SUMIFS($AU$2420:AU2620,$AQ$2420:AQ2620,"H")</f>
        <v>1762.9999999999427</v>
      </c>
      <c r="BO2457" s="343">
        <f>SUMIFS($AU$2420:AU2620,$AQ$2420:AQ2620,"D")</f>
        <v>-767.99999999998977</v>
      </c>
      <c r="BP2457" s="343">
        <f>SUMIFS($AS$2420:AS2708,$AO$2420:AO2708,"W")</f>
        <v>0</v>
      </c>
      <c r="BQ2457" s="343">
        <f>SUMIFS($AU$2420:AU2620,$Q$2420:Q2620,"O")</f>
        <v>-884.7999999998965</v>
      </c>
      <c r="BR2457" s="343">
        <f>SUMIFS($AU$2420:AU2620,$AA$2420:AA2620,"*")</f>
        <v>-512.79999999998074</v>
      </c>
      <c r="BS2457" s="343">
        <f>SUMIFS($AU$2420:AU2620,$AB$2420:AB2620,"*")</f>
        <v>-451.99999999997726</v>
      </c>
      <c r="BT2457" s="343">
        <f>SUMIFS($AU$2420:AU2620,$AC$2420:AC2620,"*")</f>
        <v>-143.99999999999909</v>
      </c>
      <c r="BU2457" s="343">
        <f>SUMIFS($AU$2420:AU2620,$AA$2420:AA2620,"*",$AB$2420:AB2620,"*")</f>
        <v>95.999999999933891</v>
      </c>
      <c r="BV2457" s="343">
        <f>SUMIFS($AU$2420:AU2620,$AA$2420:AA2620,"*",$AC$2420:AC2620,"*")</f>
        <v>-591.99999999999977</v>
      </c>
      <c r="BW2457" s="343">
        <f>SUMIFS($AU$2420:AU2620,$AB$2420:AB2620,"*",$AC$2420:AC2620,"*")</f>
        <v>-143.99999999999966</v>
      </c>
      <c r="BX2457" s="343">
        <f>SUMIFS($AV$2420:AV2620,$Q$2420:Q2620,"F")</f>
        <v>18.153846153846242</v>
      </c>
      <c r="BY2457" s="343">
        <f>SUMIFS($AV$2420:AV2620,$Q$2420:Q2620,"S")</f>
        <v>64.044720496894826</v>
      </c>
      <c r="BZ2457" s="343">
        <f>SUMIFS($AV$2420:AV2620,$Q$2420:Q2620,"O")</f>
        <v>-458.13333333332537</v>
      </c>
    </row>
    <row r="2458" spans="1:78" ht="15.75" customHeight="1">
      <c r="A2458" s="177" t="s">
        <v>7465</v>
      </c>
      <c r="B2458" s="200"/>
      <c r="C2458" s="178"/>
      <c r="D2458" s="178"/>
      <c r="E2458" s="227"/>
      <c r="F2458" s="180"/>
      <c r="G2458" s="181"/>
      <c r="H2458" s="182"/>
      <c r="I2458" s="182"/>
      <c r="J2458" s="182"/>
      <c r="K2458" s="183"/>
      <c r="L2458" s="182"/>
      <c r="M2458" s="182"/>
      <c r="N2458" s="182"/>
      <c r="O2458" s="183"/>
      <c r="P2458" s="183"/>
      <c r="Q2458" s="183"/>
      <c r="R2458" s="183"/>
      <c r="S2458" s="183"/>
      <c r="T2458" s="183"/>
      <c r="U2458" s="183"/>
      <c r="V2458" s="183"/>
      <c r="W2458" s="183"/>
      <c r="X2458" s="183"/>
      <c r="Y2458" s="184"/>
      <c r="Z2458" s="185"/>
      <c r="AA2458" s="185"/>
      <c r="AB2458" s="185"/>
      <c r="AC2458" s="185"/>
      <c r="AD2458" s="649"/>
      <c r="AE2458" s="182"/>
      <c r="AF2458" s="332"/>
      <c r="AG2458" s="182"/>
      <c r="AH2458" s="182"/>
      <c r="AI2458" s="182"/>
      <c r="AJ2458" s="640"/>
      <c r="AK2458" s="182"/>
      <c r="AL2458" s="496">
        <f t="shared" si="850"/>
        <v>0</v>
      </c>
      <c r="AM2458" s="496">
        <f t="shared" si="851"/>
        <v>0</v>
      </c>
      <c r="AN2458" s="626"/>
      <c r="AO2458" s="182"/>
      <c r="AP2458" s="182"/>
      <c r="AQ2458" s="332" t="str">
        <f>UPPER(RIGHT(Journal_Live[[#This Row],[DURATION ]]))</f>
        <v/>
      </c>
      <c r="AR2458" s="182"/>
      <c r="AS2458" s="189"/>
      <c r="AT2458" s="189">
        <f t="shared" si="852"/>
        <v>0</v>
      </c>
      <c r="AU2458" s="187">
        <f t="shared" si="853"/>
        <v>0</v>
      </c>
      <c r="AV2458" s="190">
        <f t="shared" si="854"/>
        <v>0</v>
      </c>
      <c r="AW2458" s="191"/>
      <c r="AX2458" s="549" t="s">
        <v>7685</v>
      </c>
      <c r="AY2458" s="549" t="s">
        <v>7686</v>
      </c>
      <c r="AZ2458" s="549" t="s">
        <v>7687</v>
      </c>
      <c r="BA2458" s="549" t="s">
        <v>7688</v>
      </c>
      <c r="BB2458" s="551"/>
      <c r="BC2458" s="551"/>
      <c r="BD2458" s="549"/>
      <c r="BE2458" s="550"/>
      <c r="BF2458" s="549"/>
      <c r="BG2458" s="391">
        <f>SUM($AV$2420:AV2458)</f>
        <v>-77.000000000008328</v>
      </c>
      <c r="BH2458" s="392">
        <f>SUM($AU$2420:AU2458)</f>
        <v>560.99999999999147</v>
      </c>
      <c r="BI2458" s="318">
        <f>SUMIFS($AU$2420:AU2621,$Q$2420:Q2621,"F")</f>
        <v>-143.99999999999949</v>
      </c>
      <c r="BJ2458" s="318">
        <f>SUMIFS($AU$2420:AU2621,$Q$2420:Q2621,"S")</f>
        <v>256.00000000000466</v>
      </c>
      <c r="BK2458" s="343">
        <f>SUMIFS($AU$2420:AU2621,$P$2420:P2621,"W")</f>
        <v>-607.99999999991883</v>
      </c>
      <c r="BL2458" s="343">
        <f>SUMIFS($AU$2420:AU2621,$P$2420:P2621,"R")</f>
        <v>911.99999999999966</v>
      </c>
      <c r="BM2458" s="343">
        <f>SUMIFS($AU$2420:AU2621,$AQ$2420:AQ2621,"M")</f>
        <v>-899.79999999984489</v>
      </c>
      <c r="BN2458" s="343">
        <f>SUMIFS($AU$2420:AU2621,$AQ$2420:AQ2621,"H")</f>
        <v>1762.9999999999427</v>
      </c>
      <c r="BO2458" s="343">
        <f>SUMIFS($AU$2420:AU2621,$AQ$2420:AQ2621,"D")</f>
        <v>-767.99999999998977</v>
      </c>
      <c r="BP2458" s="343">
        <f>SUMIFS($AS$2420:AS2709,$AO$2420:AO2709,"W")</f>
        <v>0</v>
      </c>
      <c r="BQ2458" s="343">
        <f>SUMIFS($AU$2420:AU2621,$Q$2420:Q2621,"O")</f>
        <v>-884.7999999998965</v>
      </c>
      <c r="BR2458" s="343">
        <f>SUMIFS($AU$2420:AU2621,$AA$2420:AA2621,"*")</f>
        <v>-512.79999999998074</v>
      </c>
      <c r="BS2458" s="343">
        <f>SUMIFS($AU$2420:AU2621,$AB$2420:AB2621,"*")</f>
        <v>-451.99999999997726</v>
      </c>
      <c r="BT2458" s="343">
        <f>SUMIFS($AU$2420:AU2621,$AC$2420:AC2621,"*")</f>
        <v>-143.99999999999909</v>
      </c>
      <c r="BU2458" s="343">
        <f>SUMIFS($AU$2420:AU2621,$AA$2420:AA2621,"*",$AB$2420:AB2621,"*")</f>
        <v>95.999999999933891</v>
      </c>
      <c r="BV2458" s="343">
        <f>SUMIFS($AU$2420:AU2621,$AA$2420:AA2621,"*",$AC$2420:AC2621,"*")</f>
        <v>-591.99999999999977</v>
      </c>
      <c r="BW2458" s="343">
        <f>SUMIFS($AU$2420:AU2621,$AB$2420:AB2621,"*",$AC$2420:AC2621,"*")</f>
        <v>-143.99999999999966</v>
      </c>
      <c r="BX2458" s="343">
        <f>SUMIFS($AV$2420:AV2621,$Q$2420:Q2621,"F")</f>
        <v>18.153846153846242</v>
      </c>
      <c r="BY2458" s="343">
        <f>SUMIFS($AV$2420:AV2621,$Q$2420:Q2621,"S")</f>
        <v>64.044720496894826</v>
      </c>
      <c r="BZ2458" s="343">
        <f>SUMIFS($AV$2420:AV2621,$Q$2420:Q2621,"O")</f>
        <v>-458.13333333332537</v>
      </c>
    </row>
    <row r="2459" spans="1:78" ht="15.75" customHeight="1">
      <c r="A2459" s="177" t="s">
        <v>7465</v>
      </c>
      <c r="B2459" s="200">
        <v>45527</v>
      </c>
      <c r="C2459" s="178" t="s">
        <v>3687</v>
      </c>
      <c r="D2459" s="178" t="s">
        <v>111</v>
      </c>
      <c r="E2459" s="227" t="s">
        <v>7689</v>
      </c>
      <c r="F2459" s="180"/>
      <c r="G2459" s="181"/>
      <c r="H2459" s="182"/>
      <c r="I2459" s="182"/>
      <c r="J2459" s="182"/>
      <c r="K2459" s="183"/>
      <c r="L2459" s="182"/>
      <c r="M2459" s="182"/>
      <c r="N2459" s="182"/>
      <c r="O2459" s="183"/>
      <c r="P2459" s="183"/>
      <c r="Q2459" s="183"/>
      <c r="R2459" s="183"/>
      <c r="S2459" s="183"/>
      <c r="T2459" s="183"/>
      <c r="U2459" s="183"/>
      <c r="V2459" s="183"/>
      <c r="W2459" s="183"/>
      <c r="X2459" s="183"/>
      <c r="Y2459" s="184"/>
      <c r="Z2459" s="185"/>
      <c r="AA2459" s="185"/>
      <c r="AB2459" s="185"/>
      <c r="AC2459" s="185"/>
      <c r="AD2459" s="649"/>
      <c r="AE2459" s="182"/>
      <c r="AF2459" s="332"/>
      <c r="AG2459" s="182"/>
      <c r="AH2459" s="182"/>
      <c r="AI2459" s="182"/>
      <c r="AJ2459" s="640"/>
      <c r="AK2459" s="182"/>
      <c r="AL2459" s="496">
        <f t="shared" si="828"/>
        <v>0</v>
      </c>
      <c r="AM2459" s="496">
        <f t="shared" si="829"/>
        <v>0</v>
      </c>
      <c r="AN2459" s="626"/>
      <c r="AO2459" s="182"/>
      <c r="AP2459" s="182"/>
      <c r="AQ2459" s="332" t="str">
        <f>UPPER(RIGHT(Journal_Live[[#This Row],[DURATION ]]))</f>
        <v/>
      </c>
      <c r="AR2459" s="182"/>
      <c r="AS2459" s="189"/>
      <c r="AT2459" s="189">
        <f t="shared" si="830"/>
        <v>0</v>
      </c>
      <c r="AU2459" s="187">
        <f t="shared" si="831"/>
        <v>0</v>
      </c>
      <c r="AV2459" s="190">
        <f t="shared" si="832"/>
        <v>0</v>
      </c>
      <c r="AW2459" s="191"/>
      <c r="AX2459" s="549"/>
      <c r="AY2459" s="549"/>
      <c r="AZ2459" s="549"/>
      <c r="BA2459" s="549"/>
      <c r="BB2459" s="551"/>
      <c r="BC2459" s="551"/>
      <c r="BD2459" s="549"/>
      <c r="BE2459" s="550"/>
      <c r="BF2459" s="549"/>
      <c r="BG2459" s="391">
        <f>SUM($AV$2420:AV2459)</f>
        <v>-77.000000000008328</v>
      </c>
      <c r="BH2459" s="392">
        <f>SUM($AU$2420:AU2459)</f>
        <v>560.99999999999147</v>
      </c>
      <c r="BI2459" s="318">
        <f>SUMIFS($AU$2420:AU2622,$Q$2420:Q2622,"F")</f>
        <v>-143.99999999999949</v>
      </c>
      <c r="BJ2459" s="318">
        <f>SUMIFS($AU$2420:AU2622,$Q$2420:Q2622,"S")</f>
        <v>256.00000000000466</v>
      </c>
      <c r="BK2459" s="343">
        <f>SUMIFS($AU$2420:AU2622,$P$2420:P2622,"W")</f>
        <v>-607.99999999991883</v>
      </c>
      <c r="BL2459" s="343">
        <f>SUMIFS($AU$2420:AU2622,$P$2420:P2622,"R")</f>
        <v>911.99999999999966</v>
      </c>
      <c r="BM2459" s="343">
        <f>SUMIFS($AU$2420:AU2622,$AQ$2420:AQ2622,"M")</f>
        <v>-899.79999999984489</v>
      </c>
      <c r="BN2459" s="343">
        <f>SUMIFS($AU$2420:AU2622,$AQ$2420:AQ2622,"H")</f>
        <v>1762.9999999999427</v>
      </c>
      <c r="BO2459" s="343">
        <f>SUMIFS($AU$2420:AU2622,$AQ$2420:AQ2622,"D")</f>
        <v>-767.99999999998977</v>
      </c>
      <c r="BP2459" s="343">
        <f>SUMIFS($AS$2420:AS2710,$AO$2420:AO2710,"W")</f>
        <v>0</v>
      </c>
      <c r="BQ2459" s="343">
        <f>SUMIFS($AU$2420:AU2622,$Q$2420:Q2622,"O")</f>
        <v>-884.7999999998965</v>
      </c>
      <c r="BR2459" s="343">
        <f>SUMIFS($AU$2420:AU2622,$AA$2420:AA2622,"*")</f>
        <v>-512.79999999998074</v>
      </c>
      <c r="BS2459" s="343">
        <f>SUMIFS($AU$2420:AU2622,$AB$2420:AB2622,"*")</f>
        <v>-451.99999999997726</v>
      </c>
      <c r="BT2459" s="343">
        <f>SUMIFS($AU$2420:AU2622,$AC$2420:AC2622,"*")</f>
        <v>-143.99999999999909</v>
      </c>
      <c r="BU2459" s="343">
        <f>SUMIFS($AU$2420:AU2622,$AA$2420:AA2622,"*",$AB$2420:AB2622,"*")</f>
        <v>95.999999999933891</v>
      </c>
      <c r="BV2459" s="343">
        <f>SUMIFS($AU$2420:AU2622,$AA$2420:AA2622,"*",$AC$2420:AC2622,"*")</f>
        <v>-591.99999999999977</v>
      </c>
      <c r="BW2459" s="343">
        <f>SUMIFS($AU$2420:AU2622,$AB$2420:AB2622,"*",$AC$2420:AC2622,"*")</f>
        <v>-143.99999999999966</v>
      </c>
      <c r="BX2459" s="343">
        <f>SUMIFS($AV$2420:AV2622,$Q$2420:Q2622,"F")</f>
        <v>18.153846153846242</v>
      </c>
      <c r="BY2459" s="343">
        <f>SUMIFS($AV$2420:AV2622,$Q$2420:Q2622,"S")</f>
        <v>64.044720496894826</v>
      </c>
      <c r="BZ2459" s="343">
        <f>SUMIFS($AV$2420:AV2622,$Q$2420:Q2622,"O")</f>
        <v>-458.13333333332537</v>
      </c>
    </row>
    <row r="2460" spans="1:78" ht="15.75" customHeight="1">
      <c r="A2460" s="177" t="s">
        <v>7465</v>
      </c>
      <c r="B2460" s="200">
        <v>45527</v>
      </c>
      <c r="C2460" s="178" t="s">
        <v>1663</v>
      </c>
      <c r="D2460" s="178" t="s">
        <v>111</v>
      </c>
      <c r="E2460" s="227" t="s">
        <v>7690</v>
      </c>
      <c r="F2460" s="180" t="s">
        <v>7691</v>
      </c>
      <c r="G2460" s="497" t="s">
        <v>7692</v>
      </c>
      <c r="H2460" s="182"/>
      <c r="I2460" s="182"/>
      <c r="J2460" s="182"/>
      <c r="K2460" s="183"/>
      <c r="L2460" s="182"/>
      <c r="M2460" s="182">
        <v>1</v>
      </c>
      <c r="N2460" s="182"/>
      <c r="O2460" s="183" t="s">
        <v>95</v>
      </c>
      <c r="P2460" s="183" t="s">
        <v>96</v>
      </c>
      <c r="Q2460" s="183" t="s">
        <v>256</v>
      </c>
      <c r="R2460" s="183">
        <v>12</v>
      </c>
      <c r="S2460" s="183">
        <v>0</v>
      </c>
      <c r="T2460" s="183">
        <v>7</v>
      </c>
      <c r="U2460" s="183" t="s">
        <v>97</v>
      </c>
      <c r="V2460" s="183" t="s">
        <v>7357</v>
      </c>
      <c r="W2460" s="183" t="s">
        <v>115</v>
      </c>
      <c r="X2460" s="183" t="s">
        <v>7587</v>
      </c>
      <c r="Y2460" s="184">
        <f>IF(ISBLANK(O2460),"",(IF(O2460=UPPER("IB"),0.005,0.01)))</f>
        <v>0.01</v>
      </c>
      <c r="Z2460" s="185">
        <f>IF(ISBLANK(O2460),"",IF(O2460="IB",8.63*200,IF(O2460="IR",16*100,IF(O2460="YT",20*100,IF(O2460="YT-XT",24*200,IF(O2460="TED",80*100,IF(O2460="XT",29*200)))))))</f>
        <v>1600</v>
      </c>
      <c r="AA2460" s="185" t="s">
        <v>7693</v>
      </c>
      <c r="AB2460" s="185" t="s">
        <v>7646</v>
      </c>
      <c r="AC2460" s="185" t="s">
        <v>5818</v>
      </c>
      <c r="AD2460" s="649">
        <f>((-0.07*9)+(-0.08*3))/12</f>
        <v>-7.2500000000000009E-2</v>
      </c>
      <c r="AE2460" s="182"/>
      <c r="AF2460" s="332"/>
      <c r="AG2460" s="182"/>
      <c r="AH2460" s="182" t="s">
        <v>7694</v>
      </c>
      <c r="AI2460" s="182"/>
      <c r="AJ2460" s="640" t="s">
        <v>7695</v>
      </c>
      <c r="AK2460" s="182"/>
      <c r="AL2460" s="496">
        <f t="shared" si="828"/>
        <v>-32</v>
      </c>
      <c r="AM2460" s="496">
        <f t="shared" si="829"/>
        <v>-384</v>
      </c>
      <c r="AN2460" s="626" t="s">
        <v>7696</v>
      </c>
      <c r="AO2460" s="182"/>
      <c r="AP2460" s="182" t="s">
        <v>925</v>
      </c>
      <c r="AQ2460" s="332" t="s">
        <v>96</v>
      </c>
      <c r="AR2460" s="182"/>
      <c r="AS2460" s="189">
        <v>-7.0000000000000007E-2</v>
      </c>
      <c r="AT2460" s="189">
        <f t="shared" si="830"/>
        <v>-2.5000000000000022E-3</v>
      </c>
      <c r="AU2460" s="187">
        <f t="shared" si="831"/>
        <v>-48.000000000000043</v>
      </c>
      <c r="AV2460" s="190">
        <f t="shared" si="832"/>
        <v>-4.0000000000000036</v>
      </c>
      <c r="AW2460" s="191" t="s">
        <v>229</v>
      </c>
      <c r="AX2460" s="549"/>
      <c r="AY2460" s="549"/>
      <c r="AZ2460" s="549"/>
      <c r="BA2460" s="549"/>
      <c r="BB2460" s="551"/>
      <c r="BC2460" s="551"/>
      <c r="BD2460" s="549"/>
      <c r="BE2460" s="550"/>
      <c r="BF2460" s="549"/>
      <c r="BG2460" s="391">
        <f>SUM($AV$2420:AV2460)</f>
        <v>-81.000000000008328</v>
      </c>
      <c r="BH2460" s="392">
        <f>SUM($AU$2420:AU2460)</f>
        <v>512.99999999999147</v>
      </c>
      <c r="BI2460" s="318">
        <f>SUMIFS($AU$2420:AU2623,$Q$2420:Q2623,"F")</f>
        <v>-143.99999999999949</v>
      </c>
      <c r="BJ2460" s="318">
        <f>SUMIFS($AU$2420:AU2623,$Q$2420:Q2623,"S")</f>
        <v>256.00000000000466</v>
      </c>
      <c r="BK2460" s="343">
        <f>SUMIFS($AU$2420:AU2623,$P$2420:P2623,"W")</f>
        <v>-607.99999999991883</v>
      </c>
      <c r="BL2460" s="343">
        <f>SUMIFS($AU$2420:AU2623,$P$2420:P2623,"R")</f>
        <v>911.99999999999966</v>
      </c>
      <c r="BM2460" s="343">
        <f>SUMIFS($AU$2420:AU2623,$AQ$2420:AQ2623,"M")</f>
        <v>-899.79999999984489</v>
      </c>
      <c r="BN2460" s="343">
        <f>SUMIFS($AU$2420:AU2623,$AQ$2420:AQ2623,"H")</f>
        <v>1762.9999999999427</v>
      </c>
      <c r="BO2460" s="343">
        <f>SUMIFS($AU$2420:AU2623,$AQ$2420:AQ2623,"D")</f>
        <v>-767.99999999998977</v>
      </c>
      <c r="BP2460" s="343">
        <f>SUMIFS($AS$2420:AS2711,$AO$2420:AO2711,"W")</f>
        <v>0</v>
      </c>
      <c r="BQ2460" s="343">
        <f>SUMIFS($AU$2420:AU2623,$Q$2420:Q2623,"O")</f>
        <v>-884.7999999998965</v>
      </c>
      <c r="BR2460" s="343">
        <f>SUMIFS($AU$2420:AU2623,$AA$2420:AA2623,"*")</f>
        <v>-512.79999999998074</v>
      </c>
      <c r="BS2460" s="343">
        <f>SUMIFS($AU$2420:AU2623,$AB$2420:AB2623,"*")</f>
        <v>-451.99999999997726</v>
      </c>
      <c r="BT2460" s="343">
        <f>SUMIFS($AU$2420:AU2623,$AC$2420:AC2623,"*")</f>
        <v>-143.99999999999909</v>
      </c>
      <c r="BU2460" s="343">
        <f>SUMIFS($AU$2420:AU2623,$AA$2420:AA2623,"*",$AB$2420:AB2623,"*")</f>
        <v>95.999999999933891</v>
      </c>
      <c r="BV2460" s="343">
        <f>SUMIFS($AU$2420:AU2623,$AA$2420:AA2623,"*",$AC$2420:AC2623,"*")</f>
        <v>-591.99999999999977</v>
      </c>
      <c r="BW2460" s="343">
        <f>SUMIFS($AU$2420:AU2623,$AB$2420:AB2623,"*",$AC$2420:AC2623,"*")</f>
        <v>-143.99999999999966</v>
      </c>
      <c r="BX2460" s="343">
        <f>SUMIFS($AV$2420:AV2623,$Q$2420:Q2623,"F")</f>
        <v>18.153846153846242</v>
      </c>
      <c r="BY2460" s="343">
        <f>SUMIFS($AV$2420:AV2623,$Q$2420:Q2623,"S")</f>
        <v>64.044720496894826</v>
      </c>
      <c r="BZ2460" s="343">
        <f>SUMIFS($AV$2420:AV2623,$Q$2420:Q2623,"O")</f>
        <v>-458.13333333332537</v>
      </c>
    </row>
    <row r="2461" spans="1:78" ht="15.75" customHeight="1">
      <c r="A2461" s="177" t="s">
        <v>7465</v>
      </c>
      <c r="B2461" s="200">
        <v>45527</v>
      </c>
      <c r="C2461" s="178" t="s">
        <v>1919</v>
      </c>
      <c r="D2461" s="178" t="s">
        <v>111</v>
      </c>
      <c r="E2461" s="227"/>
      <c r="F2461" s="180"/>
      <c r="G2461" s="570" t="s">
        <v>7697</v>
      </c>
      <c r="H2461" s="182"/>
      <c r="I2461" s="182"/>
      <c r="J2461" s="182"/>
      <c r="K2461" s="183"/>
      <c r="L2461" s="182"/>
      <c r="M2461" s="182">
        <v>1</v>
      </c>
      <c r="N2461" s="182"/>
      <c r="O2461" s="183" t="s">
        <v>95</v>
      </c>
      <c r="P2461" s="183" t="s">
        <v>96</v>
      </c>
      <c r="Q2461" s="183" t="s">
        <v>97</v>
      </c>
      <c r="R2461" s="183">
        <v>7</v>
      </c>
      <c r="S2461" s="183">
        <v>3</v>
      </c>
      <c r="T2461" s="183">
        <v>7</v>
      </c>
      <c r="U2461" s="183" t="s">
        <v>22</v>
      </c>
      <c r="V2461" s="183" t="s">
        <v>7349</v>
      </c>
      <c r="W2461" s="183" t="s">
        <v>115</v>
      </c>
      <c r="X2461" s="183" t="s">
        <v>7467</v>
      </c>
      <c r="Y2461" s="184">
        <f>IF(ISBLANK(O2461),"",(IF(O2461=UPPER("IB"),0.005,0.01)))</f>
        <v>0.01</v>
      </c>
      <c r="Z2461" s="185">
        <f>IF(ISBLANK(O2461),"",IF(O2461="IB",8.63*200,IF(O2461="IR",16*100,IF(O2461="YT",20*100,IF(O2461="YT-XT",24*200,IF(O2461="TED",80*100,IF(O2461="XT",29*200)))))))</f>
        <v>1600</v>
      </c>
      <c r="AA2461" s="185" t="s">
        <v>6470</v>
      </c>
      <c r="AB2461" s="185"/>
      <c r="AC2461" s="185" t="s">
        <v>7698</v>
      </c>
      <c r="AD2461" s="649">
        <v>-0.33</v>
      </c>
      <c r="AE2461" s="182"/>
      <c r="AF2461" s="332"/>
      <c r="AG2461" s="182"/>
      <c r="AH2461" s="182"/>
      <c r="AI2461" s="182"/>
      <c r="AJ2461" s="640"/>
      <c r="AK2461" s="182"/>
      <c r="AL2461" s="496">
        <f t="shared" si="828"/>
        <v>-32</v>
      </c>
      <c r="AM2461" s="496">
        <f t="shared" si="829"/>
        <v>-128</v>
      </c>
      <c r="AN2461" s="626" t="s">
        <v>7699</v>
      </c>
      <c r="AO2461" s="182"/>
      <c r="AP2461" s="182" t="s">
        <v>902</v>
      </c>
      <c r="AQ2461" s="332" t="s">
        <v>96</v>
      </c>
      <c r="AR2461" s="182"/>
      <c r="AS2461" s="189">
        <f>((-0.36*3)+(-0.38*4))/7</f>
        <v>-0.37142857142857144</v>
      </c>
      <c r="AT2461" s="189">
        <f t="shared" si="830"/>
        <v>-4.1428571428571426E-2</v>
      </c>
      <c r="AU2461" s="187">
        <f t="shared" si="831"/>
        <v>-463.99999999999994</v>
      </c>
      <c r="AV2461" s="190">
        <f t="shared" si="832"/>
        <v>-66.285714285714278</v>
      </c>
      <c r="AW2461" s="191" t="s">
        <v>229</v>
      </c>
      <c r="AX2461" s="549" t="s">
        <v>7700</v>
      </c>
      <c r="AY2461" s="549" t="s">
        <v>7701</v>
      </c>
      <c r="AZ2461" s="549" t="s">
        <v>7702</v>
      </c>
      <c r="BA2461" s="549"/>
      <c r="BB2461" s="551"/>
      <c r="BC2461" s="551"/>
      <c r="BD2461" s="549"/>
      <c r="BE2461" s="550"/>
      <c r="BF2461" s="549"/>
      <c r="BG2461" s="391">
        <f>SUM($AV$2420:AV2461)</f>
        <v>-147.28571428572261</v>
      </c>
      <c r="BH2461" s="392">
        <f>SUM($AU$2420:AU2461)</f>
        <v>48.99999999999153</v>
      </c>
      <c r="BI2461" s="318">
        <f>SUMIFS($AU$2420:AU2624,$Q$2420:Q2624,"F")</f>
        <v>-143.99999999999949</v>
      </c>
      <c r="BJ2461" s="318">
        <f>SUMIFS($AU$2420:AU2624,$Q$2420:Q2624,"S")</f>
        <v>256.00000000000466</v>
      </c>
      <c r="BK2461" s="343">
        <f>SUMIFS($AU$2420:AU2624,$P$2420:P2624,"W")</f>
        <v>-607.99999999991883</v>
      </c>
      <c r="BL2461" s="343">
        <f>SUMIFS($AU$2420:AU2624,$P$2420:P2624,"R")</f>
        <v>911.99999999999966</v>
      </c>
      <c r="BM2461" s="343">
        <f>SUMIFS($AU$2420:AU2624,$AQ$2420:AQ2624,"M")</f>
        <v>-899.79999999984489</v>
      </c>
      <c r="BN2461" s="343">
        <f>SUMIFS($AU$2420:AU2624,$AQ$2420:AQ2624,"H")</f>
        <v>1762.9999999999427</v>
      </c>
      <c r="BO2461" s="343">
        <f>SUMIFS($AU$2420:AU2624,$AQ$2420:AQ2624,"D")</f>
        <v>-767.99999999998977</v>
      </c>
      <c r="BP2461" s="343">
        <f>SUMIFS($AS$2420:AS2712,$AO$2420:AO2712,"W")</f>
        <v>0</v>
      </c>
      <c r="BQ2461" s="343">
        <f>SUMIFS($AU$2420:AU2624,$Q$2420:Q2624,"O")</f>
        <v>-884.7999999998965</v>
      </c>
      <c r="BR2461" s="343">
        <f>SUMIFS($AU$2420:AU2624,$AA$2420:AA2624,"*")</f>
        <v>-512.79999999998074</v>
      </c>
      <c r="BS2461" s="343">
        <f>SUMIFS($AU$2420:AU2624,$AB$2420:AB2624,"*")</f>
        <v>-451.99999999997726</v>
      </c>
      <c r="BT2461" s="343">
        <f>SUMIFS($AU$2420:AU2624,$AC$2420:AC2624,"*")</f>
        <v>-143.99999999999909</v>
      </c>
      <c r="BU2461" s="343">
        <f>SUMIFS($AU$2420:AU2624,$AA$2420:AA2624,"*",$AB$2420:AB2624,"*")</f>
        <v>95.999999999933891</v>
      </c>
      <c r="BV2461" s="343">
        <f>SUMIFS($AU$2420:AU2624,$AA$2420:AA2624,"*",$AC$2420:AC2624,"*")</f>
        <v>-591.99999999999977</v>
      </c>
      <c r="BW2461" s="343">
        <f>SUMIFS($AU$2420:AU2624,$AB$2420:AB2624,"*",$AC$2420:AC2624,"*")</f>
        <v>-143.99999999999966</v>
      </c>
      <c r="BX2461" s="343">
        <f>SUMIFS($AV$2420:AV2624,$Q$2420:Q2624,"F")</f>
        <v>18.153846153846242</v>
      </c>
      <c r="BY2461" s="343">
        <f>SUMIFS($AV$2420:AV2624,$Q$2420:Q2624,"S")</f>
        <v>64.044720496894826</v>
      </c>
      <c r="BZ2461" s="343">
        <f>SUMIFS($AV$2420:AV2624,$Q$2420:Q2624,"O")</f>
        <v>-458.13333333332537</v>
      </c>
    </row>
    <row r="2462" spans="1:78" ht="15.75" customHeight="1">
      <c r="A2462" s="177" t="s">
        <v>7465</v>
      </c>
      <c r="B2462" s="200">
        <v>45530</v>
      </c>
      <c r="C2462" s="178" t="s">
        <v>2370</v>
      </c>
      <c r="D2462" s="178" t="s">
        <v>132</v>
      </c>
      <c r="E2462" s="227"/>
      <c r="F2462" s="180"/>
      <c r="G2462" s="497" t="s">
        <v>7703</v>
      </c>
      <c r="H2462" s="182"/>
      <c r="I2462" s="182"/>
      <c r="J2462" s="182"/>
      <c r="K2462" s="183"/>
      <c r="L2462" s="182"/>
      <c r="M2462" s="182">
        <v>1</v>
      </c>
      <c r="N2462" s="182"/>
      <c r="O2462" s="183" t="s">
        <v>95</v>
      </c>
      <c r="P2462" s="183" t="s">
        <v>96</v>
      </c>
      <c r="Q2462" s="183" t="s">
        <v>256</v>
      </c>
      <c r="R2462" s="183">
        <v>8</v>
      </c>
      <c r="S2462" s="183">
        <v>0</v>
      </c>
      <c r="T2462" s="183">
        <v>8</v>
      </c>
      <c r="U2462" s="183" t="s">
        <v>22</v>
      </c>
      <c r="V2462" s="183" t="s">
        <v>7357</v>
      </c>
      <c r="W2462" s="183" t="s">
        <v>115</v>
      </c>
      <c r="X2462" s="183" t="s">
        <v>7473</v>
      </c>
      <c r="Y2462" s="184">
        <f>IF(ISBLANK(O2462),"",(IF(O2462=UPPER("IB"),0.005,0.01)))</f>
        <v>0.01</v>
      </c>
      <c r="Z2462" s="185">
        <f>IF(ISBLANK(O2462),"",IF(O2462="IB",8.63*200,IF(O2462="IR",16*100,IF(O2462="YT",20*100,IF(O2462="YT-XT",24*200,IF(O2462="TED",80*100,IF(O2462="XT",29*200)))))))</f>
        <v>1600</v>
      </c>
      <c r="AA2462" s="185" t="s">
        <v>7704</v>
      </c>
      <c r="AB2462" s="185"/>
      <c r="AC2462" s="185"/>
      <c r="AD2462" s="649">
        <v>-0.13</v>
      </c>
      <c r="AE2462" s="182"/>
      <c r="AF2462" s="332"/>
      <c r="AG2462" s="182"/>
      <c r="AH2462" s="182"/>
      <c r="AI2462" s="182"/>
      <c r="AJ2462" s="640"/>
      <c r="AK2462" s="182"/>
      <c r="AL2462" s="496">
        <f t="shared" si="828"/>
        <v>-32</v>
      </c>
      <c r="AM2462" s="496">
        <f t="shared" si="829"/>
        <v>-256</v>
      </c>
      <c r="AN2462" s="626"/>
      <c r="AO2462" s="182"/>
      <c r="AP2462" s="182" t="s">
        <v>902</v>
      </c>
      <c r="AQ2462" s="332" t="s">
        <v>96</v>
      </c>
      <c r="AR2462" s="182"/>
      <c r="AS2462" s="189">
        <v>-0.16</v>
      </c>
      <c r="AT2462" s="189">
        <f t="shared" si="830"/>
        <v>-0.03</v>
      </c>
      <c r="AU2462" s="187">
        <f t="shared" si="831"/>
        <v>-384</v>
      </c>
      <c r="AV2462" s="190">
        <f t="shared" si="832"/>
        <v>-48</v>
      </c>
      <c r="AW2462" s="191" t="s">
        <v>229</v>
      </c>
      <c r="AX2462" s="549"/>
      <c r="AY2462" s="549"/>
      <c r="AZ2462" s="549"/>
      <c r="BA2462" s="549"/>
      <c r="BB2462" s="551"/>
      <c r="BC2462" s="551"/>
      <c r="BD2462" s="549"/>
      <c r="BE2462" s="550"/>
      <c r="BF2462" s="549"/>
      <c r="BG2462" s="391">
        <f>SUM($AV$2420:AV2462)</f>
        <v>-195.28571428572261</v>
      </c>
      <c r="BH2462" s="392">
        <f>SUM($AU$2420:AU2462)</f>
        <v>-335.00000000000847</v>
      </c>
      <c r="BI2462" s="318">
        <f>SUMIFS($AU$2420:AU2625,$Q$2420:Q2625,"F")</f>
        <v>-143.99999999999949</v>
      </c>
      <c r="BJ2462" s="318">
        <f>SUMIFS($AU$2420:AU2625,$Q$2420:Q2625,"S")</f>
        <v>256.00000000000466</v>
      </c>
      <c r="BK2462" s="343">
        <f>SUMIFS($AU$2420:AU2625,$P$2420:P2625,"W")</f>
        <v>-607.99999999991883</v>
      </c>
      <c r="BL2462" s="343">
        <f>SUMIFS($AU$2420:AU2625,$P$2420:P2625,"R")</f>
        <v>911.99999999999966</v>
      </c>
      <c r="BM2462" s="343">
        <f>SUMIFS($AU$2420:AU2625,$AQ$2420:AQ2625,"M")</f>
        <v>-899.79999999984489</v>
      </c>
      <c r="BN2462" s="343">
        <f>SUMIFS($AU$2420:AU2625,$AQ$2420:AQ2625,"H")</f>
        <v>1762.9999999999427</v>
      </c>
      <c r="BO2462" s="343">
        <f>SUMIFS($AU$2420:AU2625,$AQ$2420:AQ2625,"D")</f>
        <v>-767.99999999998977</v>
      </c>
      <c r="BP2462" s="343">
        <f>SUMIFS($AS$2420:AS2713,$AO$2420:AO2713,"W")</f>
        <v>0</v>
      </c>
      <c r="BQ2462" s="343">
        <f>SUMIFS($AU$2420:AU2625,$Q$2420:Q2625,"O")</f>
        <v>-884.7999999998965</v>
      </c>
      <c r="BR2462" s="343">
        <f>SUMIFS($AU$2420:AU2625,$AA$2420:AA2625,"*")</f>
        <v>-512.79999999998074</v>
      </c>
      <c r="BS2462" s="343">
        <f>SUMIFS($AU$2420:AU2625,$AB$2420:AB2625,"*")</f>
        <v>-451.99999999997726</v>
      </c>
      <c r="BT2462" s="343">
        <f>SUMIFS($AU$2420:AU2625,$AC$2420:AC2625,"*")</f>
        <v>-143.99999999999909</v>
      </c>
      <c r="BU2462" s="343">
        <f>SUMIFS($AU$2420:AU2625,$AA$2420:AA2625,"*",$AB$2420:AB2625,"*")</f>
        <v>95.999999999933891</v>
      </c>
      <c r="BV2462" s="343">
        <f>SUMIFS($AU$2420:AU2625,$AA$2420:AA2625,"*",$AC$2420:AC2625,"*")</f>
        <v>-591.99999999999977</v>
      </c>
      <c r="BW2462" s="343">
        <f>SUMIFS($AU$2420:AU2625,$AB$2420:AB2625,"*",$AC$2420:AC2625,"*")</f>
        <v>-143.99999999999966</v>
      </c>
      <c r="BX2462" s="343">
        <f>SUMIFS($AV$2420:AV2625,$Q$2420:Q2625,"F")</f>
        <v>18.153846153846242</v>
      </c>
      <c r="BY2462" s="343">
        <f>SUMIFS($AV$2420:AV2625,$Q$2420:Q2625,"S")</f>
        <v>64.044720496894826</v>
      </c>
      <c r="BZ2462" s="343">
        <f>SUMIFS($AV$2420:AV2625,$Q$2420:Q2625,"O")</f>
        <v>-458.13333333332537</v>
      </c>
    </row>
    <row r="2463" spans="1:78" ht="15.75" customHeight="1">
      <c r="A2463" s="177" t="s">
        <v>7465</v>
      </c>
      <c r="B2463" s="200">
        <v>45531</v>
      </c>
      <c r="C2463" s="178" t="s">
        <v>5021</v>
      </c>
      <c r="D2463" s="178" t="s">
        <v>146</v>
      </c>
      <c r="E2463" s="227"/>
      <c r="F2463" s="180"/>
      <c r="G2463" s="497" t="s">
        <v>6208</v>
      </c>
      <c r="H2463" s="182"/>
      <c r="I2463" s="182"/>
      <c r="J2463" s="182"/>
      <c r="K2463" s="183"/>
      <c r="L2463" s="182"/>
      <c r="M2463" s="182">
        <v>1</v>
      </c>
      <c r="N2463" s="182"/>
      <c r="O2463" s="183" t="s">
        <v>95</v>
      </c>
      <c r="P2463" s="183" t="s">
        <v>96</v>
      </c>
      <c r="Q2463" s="183" t="s">
        <v>97</v>
      </c>
      <c r="R2463" s="183">
        <v>7</v>
      </c>
      <c r="S2463" s="183">
        <v>2</v>
      </c>
      <c r="T2463" s="183">
        <v>3</v>
      </c>
      <c r="U2463" s="183" t="s">
        <v>97</v>
      </c>
      <c r="V2463" s="183" t="s">
        <v>7357</v>
      </c>
      <c r="W2463" s="183" t="s">
        <v>115</v>
      </c>
      <c r="X2463" s="183" t="s">
        <v>7488</v>
      </c>
      <c r="Y2463" s="184">
        <f>IF(ISBLANK(O2463),"",(IF(O2463=UPPER("IB"),0.005,0.01)))</f>
        <v>0.01</v>
      </c>
      <c r="Z2463" s="185">
        <f>IF(ISBLANK(O2463),"",IF(O2463="IB",8.63*200,IF(O2463="IR",16*100,IF(O2463="YT",20*100,IF(O2463="YT-XT",24*200,IF(O2463="TED",80*100,IF(O2463="XT",29*200)))))))</f>
        <v>1600</v>
      </c>
      <c r="AA2463" s="185"/>
      <c r="AB2463" s="185" t="s">
        <v>7705</v>
      </c>
      <c r="AC2463" s="185" t="s">
        <v>7706</v>
      </c>
      <c r="AD2463" s="649">
        <f>((-0.29*3)+(-0.31*4))/7</f>
        <v>-0.30142857142857143</v>
      </c>
      <c r="AE2463" s="182"/>
      <c r="AF2463" s="332"/>
      <c r="AG2463" s="182"/>
      <c r="AH2463" s="182"/>
      <c r="AI2463" s="182"/>
      <c r="AJ2463" s="640"/>
      <c r="AK2463" s="182"/>
      <c r="AL2463" s="496">
        <f t="shared" ref="AL2463:AL2472" si="855">-0.02*Z2463</f>
        <v>-32</v>
      </c>
      <c r="AM2463" s="496">
        <f t="shared" ref="AM2463:AM2472" si="856">AL2463*(R2463-S2463)</f>
        <v>-160</v>
      </c>
      <c r="AN2463" s="626" t="s">
        <v>7699</v>
      </c>
      <c r="AO2463" s="182"/>
      <c r="AP2463" s="182" t="s">
        <v>925</v>
      </c>
      <c r="AQ2463" s="332" t="s">
        <v>96</v>
      </c>
      <c r="AR2463" s="182"/>
      <c r="AS2463" s="189">
        <f>((-0.29*2)+(-0.32*5))/7</f>
        <v>-0.31142857142857144</v>
      </c>
      <c r="AT2463" s="189">
        <f t="shared" ref="AT2463:AT2472" si="857">IF(ISBLANK(AS2463),,IF(U2463="S",AD2463-AS2463,AS2463-AD2463))</f>
        <v>1.0000000000000009E-2</v>
      </c>
      <c r="AU2463" s="187">
        <f t="shared" ref="AU2463:AU2472" si="858">AV2463*R2463</f>
        <v>112.0000000000001</v>
      </c>
      <c r="AV2463" s="190">
        <f t="shared" ref="AV2463:AV2472" si="859">IF(ISBLANK(AS2463),,(AT2463*Z2463))</f>
        <v>16.000000000000014</v>
      </c>
      <c r="AW2463" s="191" t="s">
        <v>96</v>
      </c>
      <c r="AX2463" s="549"/>
      <c r="AY2463" s="549"/>
      <c r="AZ2463" s="549"/>
      <c r="BA2463" s="549"/>
      <c r="BB2463" s="551"/>
      <c r="BC2463" s="551"/>
      <c r="BD2463" s="549"/>
      <c r="BE2463" s="550"/>
      <c r="BF2463" s="549"/>
      <c r="BG2463" s="391">
        <f>SUM($AV$2420:AV2463)</f>
        <v>-179.28571428572258</v>
      </c>
      <c r="BH2463" s="392">
        <f>SUM($AU$2420:AU2463)</f>
        <v>-223.00000000000836</v>
      </c>
      <c r="BI2463" s="318">
        <f>SUMIFS($AU$2420:AU2621,$Q$2420:Q2621,"F")</f>
        <v>-143.99999999999949</v>
      </c>
      <c r="BJ2463" s="318">
        <f>SUMIFS($AU$2420:AU2621,$Q$2420:Q2621,"S")</f>
        <v>256.00000000000466</v>
      </c>
      <c r="BK2463" s="343">
        <f>SUMIFS($AU$2420:AU2621,$P$2420:P2621,"W")</f>
        <v>-607.99999999991883</v>
      </c>
      <c r="BL2463" s="343">
        <f>SUMIFS($AU$2420:AU2621,$P$2420:P2621,"R")</f>
        <v>911.99999999999966</v>
      </c>
      <c r="BM2463" s="343">
        <f>SUMIFS($AU$2420:AU2621,$AQ$2420:AQ2621,"M")</f>
        <v>-899.79999999984489</v>
      </c>
      <c r="BN2463" s="343">
        <f>SUMIFS($AU$2420:AU2621,$AQ$2420:AQ2621,"H")</f>
        <v>1762.9999999999427</v>
      </c>
      <c r="BO2463" s="343">
        <f>SUMIFS($AU$2420:AU2621,$AQ$2420:AQ2621,"D")</f>
        <v>-767.99999999998977</v>
      </c>
      <c r="BP2463" s="343">
        <f>SUMIFS($AS$2420:AS2709,$AO$2420:AO2709,"W")</f>
        <v>0</v>
      </c>
      <c r="BQ2463" s="343">
        <f>SUMIFS($AU$2420:AU2621,$Q$2420:Q2621,"O")</f>
        <v>-884.7999999998965</v>
      </c>
      <c r="BR2463" s="343">
        <f>SUMIFS($AU$2420:AU2621,$AA$2420:AA2621,"*")</f>
        <v>-512.79999999998074</v>
      </c>
      <c r="BS2463" s="343">
        <f>SUMIFS($AU$2420:AU2621,$AB$2420:AB2621,"*")</f>
        <v>-451.99999999997726</v>
      </c>
      <c r="BT2463" s="343">
        <f>SUMIFS($AU$2420:AU2621,$AC$2420:AC2621,"*")</f>
        <v>-143.99999999999909</v>
      </c>
      <c r="BU2463" s="343">
        <f>SUMIFS($AU$2420:AU2621,$AA$2420:AA2621,"*",$AB$2420:AB2621,"*")</f>
        <v>95.999999999933891</v>
      </c>
      <c r="BV2463" s="343">
        <f>SUMIFS($AU$2420:AU2621,$AA$2420:AA2621,"*",$AC$2420:AC2621,"*")</f>
        <v>-591.99999999999977</v>
      </c>
      <c r="BW2463" s="343">
        <f>SUMIFS($AU$2420:AU2621,$AB$2420:AB2621,"*",$AC$2420:AC2621,"*")</f>
        <v>-143.99999999999966</v>
      </c>
      <c r="BX2463" s="343">
        <f>SUMIFS($AV$2420:AV2621,$Q$2420:Q2621,"F")</f>
        <v>18.153846153846242</v>
      </c>
      <c r="BY2463" s="343">
        <f>SUMIFS($AV$2420:AV2621,$Q$2420:Q2621,"S")</f>
        <v>64.044720496894826</v>
      </c>
      <c r="BZ2463" s="343">
        <f>SUMIFS($AV$2420:AV2621,$Q$2420:Q2621,"O")</f>
        <v>-458.13333333332537</v>
      </c>
    </row>
    <row r="2464" spans="1:78" ht="15.75" customHeight="1">
      <c r="A2464" s="177" t="s">
        <v>7465</v>
      </c>
      <c r="B2464" s="200">
        <v>45532</v>
      </c>
      <c r="C2464" s="178" t="s">
        <v>2020</v>
      </c>
      <c r="D2464" s="178" t="s">
        <v>151</v>
      </c>
      <c r="E2464" s="227" t="s">
        <v>7707</v>
      </c>
      <c r="F2464" s="180"/>
      <c r="G2464" s="181"/>
      <c r="H2464" s="182">
        <v>1</v>
      </c>
      <c r="I2464" s="182"/>
      <c r="J2464" s="182"/>
      <c r="K2464" s="183" t="s">
        <v>372</v>
      </c>
      <c r="L2464" s="182"/>
      <c r="M2464" s="182"/>
      <c r="N2464" s="182"/>
      <c r="O2464" s="183"/>
      <c r="P2464" s="183"/>
      <c r="Q2464" s="183"/>
      <c r="R2464" s="183"/>
      <c r="S2464" s="183"/>
      <c r="T2464" s="183"/>
      <c r="U2464" s="183"/>
      <c r="V2464" s="183"/>
      <c r="W2464" s="183"/>
      <c r="X2464" s="183"/>
      <c r="Y2464" s="183"/>
      <c r="Z2464" s="183"/>
      <c r="AA2464" s="185"/>
      <c r="AB2464" s="185"/>
      <c r="AC2464" s="185"/>
      <c r="AD2464" s="649"/>
      <c r="AE2464" s="182"/>
      <c r="AF2464" s="332"/>
      <c r="AG2464" s="182"/>
      <c r="AH2464" s="182"/>
      <c r="AI2464" s="182"/>
      <c r="AJ2464" s="640"/>
      <c r="AK2464" s="182"/>
      <c r="AL2464" s="496">
        <f t="shared" si="855"/>
        <v>0</v>
      </c>
      <c r="AM2464" s="496">
        <f t="shared" si="856"/>
        <v>0</v>
      </c>
      <c r="AN2464" s="626"/>
      <c r="AO2464" s="182"/>
      <c r="AP2464" s="182"/>
      <c r="AQ2464" s="332" t="str">
        <f>UPPER(RIGHT(Journal_Live[[#This Row],[DURATION ]]))</f>
        <v/>
      </c>
      <c r="AR2464" s="182"/>
      <c r="AS2464" s="189"/>
      <c r="AT2464" s="189">
        <f t="shared" si="857"/>
        <v>0</v>
      </c>
      <c r="AU2464" s="187">
        <f t="shared" si="858"/>
        <v>0</v>
      </c>
      <c r="AV2464" s="190">
        <f t="shared" si="859"/>
        <v>0</v>
      </c>
      <c r="AW2464" s="191"/>
      <c r="AX2464" s="549"/>
      <c r="AY2464" s="549"/>
      <c r="AZ2464" s="549"/>
      <c r="BA2464" s="549"/>
      <c r="BB2464" s="551"/>
      <c r="BC2464" s="551"/>
      <c r="BD2464" s="549"/>
      <c r="BE2464" s="550"/>
      <c r="BF2464" s="549"/>
      <c r="BG2464" s="391">
        <f>SUM($AV$2420:AV2464)</f>
        <v>-179.28571428572258</v>
      </c>
      <c r="BH2464" s="392">
        <f>SUM($AU$2420:AU2464)</f>
        <v>-223.00000000000836</v>
      </c>
      <c r="BI2464" s="318">
        <f>SUMIFS($AU$2420:AU2622,$Q$2420:Q2622,"F")</f>
        <v>-143.99999999999949</v>
      </c>
      <c r="BJ2464" s="318">
        <f>SUMIFS($AU$2420:AU2622,$Q$2420:Q2622,"S")</f>
        <v>256.00000000000466</v>
      </c>
      <c r="BK2464" s="343">
        <f>SUMIFS($AU$2420:AU2622,$P$2420:P2622,"W")</f>
        <v>-607.99999999991883</v>
      </c>
      <c r="BL2464" s="343">
        <f>SUMIFS($AU$2420:AU2622,$P$2420:P2622,"R")</f>
        <v>911.99999999999966</v>
      </c>
      <c r="BM2464" s="343">
        <f>SUMIFS($AU$2420:AU2622,$AQ$2420:AQ2622,"M")</f>
        <v>-899.79999999984489</v>
      </c>
      <c r="BN2464" s="343">
        <f>SUMIFS($AU$2420:AU2622,$AQ$2420:AQ2622,"H")</f>
        <v>1762.9999999999427</v>
      </c>
      <c r="BO2464" s="343">
        <f>SUMIFS($AU$2420:AU2622,$AQ$2420:AQ2622,"D")</f>
        <v>-767.99999999998977</v>
      </c>
      <c r="BP2464" s="343">
        <f>SUMIFS($AS$2420:AS2710,$AO$2420:AO2710,"W")</f>
        <v>0</v>
      </c>
      <c r="BQ2464" s="343">
        <f>SUMIFS($AU$2420:AU2622,$Q$2420:Q2622,"O")</f>
        <v>-884.7999999998965</v>
      </c>
      <c r="BR2464" s="343">
        <f>SUMIFS($AU$2420:AU2622,$AA$2420:AA2622,"*")</f>
        <v>-512.79999999998074</v>
      </c>
      <c r="BS2464" s="343">
        <f>SUMIFS($AU$2420:AU2622,$AB$2420:AB2622,"*")</f>
        <v>-451.99999999997726</v>
      </c>
      <c r="BT2464" s="343">
        <f>SUMIFS($AU$2420:AU2622,$AC$2420:AC2622,"*")</f>
        <v>-143.99999999999909</v>
      </c>
      <c r="BU2464" s="343">
        <f>SUMIFS($AU$2420:AU2622,$AA$2420:AA2622,"*",$AB$2420:AB2622,"*")</f>
        <v>95.999999999933891</v>
      </c>
      <c r="BV2464" s="343">
        <f>SUMIFS($AU$2420:AU2622,$AA$2420:AA2622,"*",$AC$2420:AC2622,"*")</f>
        <v>-591.99999999999977</v>
      </c>
      <c r="BW2464" s="343">
        <f>SUMIFS($AU$2420:AU2622,$AB$2420:AB2622,"*",$AC$2420:AC2622,"*")</f>
        <v>-143.99999999999966</v>
      </c>
      <c r="BX2464" s="343">
        <f>SUMIFS($AV$2420:AV2622,$Q$2420:Q2622,"F")</f>
        <v>18.153846153846242</v>
      </c>
      <c r="BY2464" s="343">
        <f>SUMIFS($AV$2420:AV2622,$Q$2420:Q2622,"S")</f>
        <v>64.044720496894826</v>
      </c>
      <c r="BZ2464" s="343">
        <f>SUMIFS($AV$2420:AV2622,$Q$2420:Q2622,"O")</f>
        <v>-458.13333333332537</v>
      </c>
    </row>
    <row r="2465" spans="1:78" ht="15.75" customHeight="1">
      <c r="A2465" s="177" t="s">
        <v>7465</v>
      </c>
      <c r="B2465" s="200">
        <v>45532</v>
      </c>
      <c r="C2465" s="178" t="s">
        <v>682</v>
      </c>
      <c r="D2465" s="178" t="s">
        <v>151</v>
      </c>
      <c r="E2465" s="227"/>
      <c r="F2465" s="180"/>
      <c r="G2465" s="497" t="s">
        <v>7663</v>
      </c>
      <c r="H2465" s="182"/>
      <c r="I2465" s="182"/>
      <c r="J2465" s="182"/>
      <c r="K2465" s="183"/>
      <c r="L2465" s="182"/>
      <c r="M2465" s="182">
        <v>1</v>
      </c>
      <c r="N2465" s="182"/>
      <c r="O2465" s="183" t="s">
        <v>95</v>
      </c>
      <c r="P2465" s="183" t="s">
        <v>96</v>
      </c>
      <c r="Q2465" s="183" t="s">
        <v>97</v>
      </c>
      <c r="R2465" s="183">
        <v>3</v>
      </c>
      <c r="S2465" s="183">
        <v>0</v>
      </c>
      <c r="T2465" s="183">
        <v>3</v>
      </c>
      <c r="U2465" s="183" t="s">
        <v>22</v>
      </c>
      <c r="V2465" s="183" t="s">
        <v>7357</v>
      </c>
      <c r="W2465" s="183" t="s">
        <v>115</v>
      </c>
      <c r="X2465" s="183" t="s">
        <v>7473</v>
      </c>
      <c r="Y2465" s="184">
        <f>IF(ISBLANK(O2465),"",(IF(O2465=UPPER("IB"),0.005,0.01)))</f>
        <v>0.01</v>
      </c>
      <c r="Z2465" s="185">
        <f>IF(ISBLANK(O2465),"",IF(O2465="IB",8.63*200,IF(O2465="IR",16*100,IF(O2465="YT",20*100,IF(O2465="YT-XT",24*200,IF(O2465="TED",80*100,IF(O2465="XT",29*200)))))))</f>
        <v>1600</v>
      </c>
      <c r="AA2465" s="185" t="s">
        <v>7708</v>
      </c>
      <c r="AB2465" s="185"/>
      <c r="AC2465" s="185" t="s">
        <v>7709</v>
      </c>
      <c r="AD2465" s="649">
        <v>-0.05</v>
      </c>
      <c r="AE2465" s="182"/>
      <c r="AF2465" s="332"/>
      <c r="AG2465" s="182"/>
      <c r="AH2465" s="182"/>
      <c r="AI2465" s="182"/>
      <c r="AJ2465" s="640"/>
      <c r="AK2465" s="182"/>
      <c r="AL2465" s="496">
        <f t="shared" si="855"/>
        <v>-32</v>
      </c>
      <c r="AM2465" s="496">
        <f t="shared" si="856"/>
        <v>-96</v>
      </c>
      <c r="AN2465" s="626"/>
      <c r="AO2465" s="182"/>
      <c r="AP2465" s="182" t="s">
        <v>3253</v>
      </c>
      <c r="AQ2465" s="332" t="s">
        <v>115</v>
      </c>
      <c r="AR2465" s="298">
        <v>45537</v>
      </c>
      <c r="AS2465" s="189">
        <v>-0.04</v>
      </c>
      <c r="AT2465" s="189">
        <f t="shared" si="857"/>
        <v>1.0000000000000002E-2</v>
      </c>
      <c r="AU2465" s="187">
        <f t="shared" si="858"/>
        <v>48.000000000000014</v>
      </c>
      <c r="AV2465" s="190">
        <f t="shared" si="859"/>
        <v>16.000000000000004</v>
      </c>
      <c r="AW2465" s="191" t="s">
        <v>96</v>
      </c>
      <c r="AX2465" s="549"/>
      <c r="AY2465" s="549"/>
      <c r="AZ2465" s="549"/>
      <c r="BA2465" s="549"/>
      <c r="BB2465" s="551"/>
      <c r="BC2465" s="551"/>
      <c r="BD2465" s="549"/>
      <c r="BE2465" s="550"/>
      <c r="BF2465" s="549"/>
      <c r="BG2465" s="391">
        <f>SUM($AV$2420:AV2465)</f>
        <v>-163.28571428572258</v>
      </c>
      <c r="BH2465" s="392">
        <f>SUM($AU$2420:AU2465)</f>
        <v>-175.00000000000836</v>
      </c>
      <c r="BI2465" s="318">
        <f>SUMIFS($AU$2420:AU2623,$Q$2420:Q2623,"F")</f>
        <v>-143.99999999999949</v>
      </c>
      <c r="BJ2465" s="318">
        <f>SUMIFS($AU$2420:AU2623,$Q$2420:Q2623,"S")</f>
        <v>256.00000000000466</v>
      </c>
      <c r="BK2465" s="343">
        <f>SUMIFS($AU$2420:AU2623,$P$2420:P2623,"W")</f>
        <v>-607.99999999991883</v>
      </c>
      <c r="BL2465" s="343">
        <f>SUMIFS($AU$2420:AU2623,$P$2420:P2623,"R")</f>
        <v>911.99999999999966</v>
      </c>
      <c r="BM2465" s="343">
        <f>SUMIFS($AU$2420:AU2623,$AQ$2420:AQ2623,"M")</f>
        <v>-899.79999999984489</v>
      </c>
      <c r="BN2465" s="343">
        <f>SUMIFS($AU$2420:AU2623,$AQ$2420:AQ2623,"H")</f>
        <v>1762.9999999999427</v>
      </c>
      <c r="BO2465" s="343">
        <f>SUMIFS($AU$2420:AU2623,$AQ$2420:AQ2623,"D")</f>
        <v>-767.99999999998977</v>
      </c>
      <c r="BP2465" s="343">
        <f>SUMIFS($AS$2420:AS2711,$AO$2420:AO2711,"W")</f>
        <v>0</v>
      </c>
      <c r="BQ2465" s="343">
        <f>SUMIFS($AU$2420:AU2623,$Q$2420:Q2623,"O")</f>
        <v>-884.7999999998965</v>
      </c>
      <c r="BR2465" s="343">
        <f>SUMIFS($AU$2420:AU2623,$AA$2420:AA2623,"*")</f>
        <v>-512.79999999998074</v>
      </c>
      <c r="BS2465" s="343">
        <f>SUMIFS($AU$2420:AU2623,$AB$2420:AB2623,"*")</f>
        <v>-451.99999999997726</v>
      </c>
      <c r="BT2465" s="343">
        <f>SUMIFS($AU$2420:AU2623,$AC$2420:AC2623,"*")</f>
        <v>-143.99999999999909</v>
      </c>
      <c r="BU2465" s="343">
        <f>SUMIFS($AU$2420:AU2623,$AA$2420:AA2623,"*",$AB$2420:AB2623,"*")</f>
        <v>95.999999999933891</v>
      </c>
      <c r="BV2465" s="343">
        <f>SUMIFS($AU$2420:AU2623,$AA$2420:AA2623,"*",$AC$2420:AC2623,"*")</f>
        <v>-591.99999999999977</v>
      </c>
      <c r="BW2465" s="343">
        <f>SUMIFS($AU$2420:AU2623,$AB$2420:AB2623,"*",$AC$2420:AC2623,"*")</f>
        <v>-143.99999999999966</v>
      </c>
      <c r="BX2465" s="343">
        <f>SUMIFS($AV$2420:AV2623,$Q$2420:Q2623,"F")</f>
        <v>18.153846153846242</v>
      </c>
      <c r="BY2465" s="343">
        <f>SUMIFS($AV$2420:AV2623,$Q$2420:Q2623,"S")</f>
        <v>64.044720496894826</v>
      </c>
      <c r="BZ2465" s="343">
        <f>SUMIFS($AV$2420:AV2623,$Q$2420:Q2623,"O")</f>
        <v>-458.13333333332537</v>
      </c>
    </row>
    <row r="2466" spans="1:78" ht="15.75" customHeight="1">
      <c r="A2466" s="177" t="s">
        <v>7465</v>
      </c>
      <c r="B2466" s="200">
        <v>45532</v>
      </c>
      <c r="C2466" s="178" t="s">
        <v>7710</v>
      </c>
      <c r="D2466" s="178" t="s">
        <v>151</v>
      </c>
      <c r="E2466" s="227"/>
      <c r="F2466" s="180"/>
      <c r="G2466" s="497" t="s">
        <v>7141</v>
      </c>
      <c r="H2466" s="182"/>
      <c r="I2466" s="182"/>
      <c r="J2466" s="182"/>
      <c r="K2466" s="183"/>
      <c r="L2466" s="182"/>
      <c r="M2466" s="182">
        <v>1</v>
      </c>
      <c r="N2466" s="182"/>
      <c r="O2466" s="183" t="s">
        <v>95</v>
      </c>
      <c r="P2466" s="183" t="s">
        <v>96</v>
      </c>
      <c r="Q2466" s="183" t="s">
        <v>97</v>
      </c>
      <c r="R2466" s="183">
        <v>7</v>
      </c>
      <c r="S2466" s="183">
        <v>0</v>
      </c>
      <c r="T2466" s="183">
        <v>7</v>
      </c>
      <c r="U2466" s="183" t="s">
        <v>22</v>
      </c>
      <c r="V2466" s="183" t="s">
        <v>7349</v>
      </c>
      <c r="W2466" s="183" t="s">
        <v>115</v>
      </c>
      <c r="X2466" s="183" t="s">
        <v>7467</v>
      </c>
      <c r="Y2466" s="184">
        <f>IF(ISBLANK(O2466),"",(IF(O2466=UPPER("IB"),0.005,0.01)))</f>
        <v>0.01</v>
      </c>
      <c r="Z2466" s="185">
        <f>IF(ISBLANK(O2466),"",IF(O2466="IB",8.63*200,IF(O2466="IR",16*100,IF(O2466="YT",20*100,IF(O2466="YT-XT",24*200,IF(O2466="TED",80*100,IF(O2466="XT",29*200)))))))</f>
        <v>1600</v>
      </c>
      <c r="AA2466" s="185" t="s">
        <v>7711</v>
      </c>
      <c r="AB2466" s="185" t="s">
        <v>7712</v>
      </c>
      <c r="AC2466" s="185"/>
      <c r="AD2466" s="649">
        <v>-0.13</v>
      </c>
      <c r="AE2466" s="182"/>
      <c r="AF2466" s="332"/>
      <c r="AG2466" s="182"/>
      <c r="AH2466" s="182"/>
      <c r="AI2466" s="182"/>
      <c r="AJ2466" s="640"/>
      <c r="AK2466" s="182"/>
      <c r="AL2466" s="496">
        <f t="shared" si="855"/>
        <v>-32</v>
      </c>
      <c r="AM2466" s="496">
        <f t="shared" si="856"/>
        <v>-224</v>
      </c>
      <c r="AN2466" s="626"/>
      <c r="AO2466" s="182"/>
      <c r="AP2466" s="182" t="s">
        <v>770</v>
      </c>
      <c r="AQ2466" s="332" t="s">
        <v>115</v>
      </c>
      <c r="AR2466" s="182"/>
      <c r="AS2466" s="189">
        <v>-0.12</v>
      </c>
      <c r="AT2466" s="189">
        <f t="shared" si="857"/>
        <v>1.0000000000000009E-2</v>
      </c>
      <c r="AU2466" s="187">
        <f t="shared" si="858"/>
        <v>112.0000000000001</v>
      </c>
      <c r="AV2466" s="190">
        <f t="shared" si="859"/>
        <v>16.000000000000014</v>
      </c>
      <c r="AW2466" s="191" t="s">
        <v>96</v>
      </c>
      <c r="AX2466" s="549" t="s">
        <v>7713</v>
      </c>
      <c r="AY2466" s="549"/>
      <c r="AZ2466" s="549"/>
      <c r="BA2466" s="549"/>
      <c r="BB2466" s="551"/>
      <c r="BC2466" s="551"/>
      <c r="BD2466" s="549"/>
      <c r="BE2466" s="550"/>
      <c r="BF2466" s="549"/>
      <c r="BG2466" s="391">
        <f>SUM($AV$2420:AV2466)</f>
        <v>-147.28571428572258</v>
      </c>
      <c r="BH2466" s="392">
        <f>SUM($AU$2420:AU2466)</f>
        <v>-63.000000000008257</v>
      </c>
      <c r="BI2466" s="318">
        <f>SUMIFS($AU$2420:AU2624,$Q$2420:Q2624,"F")</f>
        <v>-143.99999999999949</v>
      </c>
      <c r="BJ2466" s="318">
        <f>SUMIFS($AU$2420:AU2624,$Q$2420:Q2624,"S")</f>
        <v>256.00000000000466</v>
      </c>
      <c r="BK2466" s="343">
        <f>SUMIFS($AU$2420:AU2624,$P$2420:P2624,"W")</f>
        <v>-607.99999999991883</v>
      </c>
      <c r="BL2466" s="343">
        <f>SUMIFS($AU$2420:AU2624,$P$2420:P2624,"R")</f>
        <v>911.99999999999966</v>
      </c>
      <c r="BM2466" s="343">
        <f>SUMIFS($AU$2420:AU2624,$AQ$2420:AQ2624,"M")</f>
        <v>-899.79999999984489</v>
      </c>
      <c r="BN2466" s="343">
        <f>SUMIFS($AU$2420:AU2624,$AQ$2420:AQ2624,"H")</f>
        <v>1762.9999999999427</v>
      </c>
      <c r="BO2466" s="343">
        <f>SUMIFS($AU$2420:AU2624,$AQ$2420:AQ2624,"D")</f>
        <v>-767.99999999998977</v>
      </c>
      <c r="BP2466" s="343">
        <f>SUMIFS($AS$2420:AS2712,$AO$2420:AO2712,"W")</f>
        <v>0</v>
      </c>
      <c r="BQ2466" s="343">
        <f>SUMIFS($AU$2420:AU2624,$Q$2420:Q2624,"O")</f>
        <v>-884.7999999998965</v>
      </c>
      <c r="BR2466" s="343">
        <f>SUMIFS($AU$2420:AU2624,$AA$2420:AA2624,"*")</f>
        <v>-512.79999999998074</v>
      </c>
      <c r="BS2466" s="343">
        <f>SUMIFS($AU$2420:AU2624,$AB$2420:AB2624,"*")</f>
        <v>-451.99999999997726</v>
      </c>
      <c r="BT2466" s="343">
        <f>SUMIFS($AU$2420:AU2624,$AC$2420:AC2624,"*")</f>
        <v>-143.99999999999909</v>
      </c>
      <c r="BU2466" s="343">
        <f>SUMIFS($AU$2420:AU2624,$AA$2420:AA2624,"*",$AB$2420:AB2624,"*")</f>
        <v>95.999999999933891</v>
      </c>
      <c r="BV2466" s="343">
        <f>SUMIFS($AU$2420:AU2624,$AA$2420:AA2624,"*",$AC$2420:AC2624,"*")</f>
        <v>-591.99999999999977</v>
      </c>
      <c r="BW2466" s="343">
        <f>SUMIFS($AU$2420:AU2624,$AB$2420:AB2624,"*",$AC$2420:AC2624,"*")</f>
        <v>-143.99999999999966</v>
      </c>
      <c r="BX2466" s="343">
        <f>SUMIFS($AV$2420:AV2624,$Q$2420:Q2624,"F")</f>
        <v>18.153846153846242</v>
      </c>
      <c r="BY2466" s="343">
        <f>SUMIFS($AV$2420:AV2624,$Q$2420:Q2624,"S")</f>
        <v>64.044720496894826</v>
      </c>
      <c r="BZ2466" s="343">
        <f>SUMIFS($AV$2420:AV2624,$Q$2420:Q2624,"O")</f>
        <v>-458.13333333332537</v>
      </c>
    </row>
    <row r="2467" spans="1:78" ht="15.75" customHeight="1">
      <c r="A2467" s="177" t="s">
        <v>7465</v>
      </c>
      <c r="B2467" s="200">
        <v>45532</v>
      </c>
      <c r="C2467" s="178" t="s">
        <v>7714</v>
      </c>
      <c r="D2467" s="178" t="s">
        <v>151</v>
      </c>
      <c r="E2467" s="227"/>
      <c r="F2467" s="180"/>
      <c r="G2467" s="497" t="s">
        <v>7715</v>
      </c>
      <c r="H2467" s="182"/>
      <c r="I2467" s="182"/>
      <c r="J2467" s="182"/>
      <c r="K2467" s="183"/>
      <c r="L2467" s="182"/>
      <c r="M2467" s="182">
        <v>1</v>
      </c>
      <c r="N2467" s="182"/>
      <c r="O2467" s="183" t="s">
        <v>3618</v>
      </c>
      <c r="P2467" s="183" t="s">
        <v>2260</v>
      </c>
      <c r="Q2467" s="183" t="s">
        <v>684</v>
      </c>
      <c r="R2467" s="183">
        <v>6</v>
      </c>
      <c r="S2467" s="183">
        <v>4</v>
      </c>
      <c r="T2467" s="183">
        <v>6</v>
      </c>
      <c r="U2467" s="183" t="s">
        <v>97</v>
      </c>
      <c r="V2467" s="183" t="s">
        <v>7349</v>
      </c>
      <c r="W2467" s="183" t="s">
        <v>115</v>
      </c>
      <c r="X2467" s="183"/>
      <c r="Y2467" s="184">
        <f>IF(ISBLANK(O2467),"",(IF(O2467=UPPER("IB"),0.005,0.01)))</f>
        <v>0.01</v>
      </c>
      <c r="Z2467" s="185">
        <f>IF(ISBLANK(O2467),"",IF(O2467="IB",8.63*200,IF(O2467="IR",16*100,IF(O2467="YT",20*100,IF(O2467="YT-XT",24*200,IF(O2467="TED",80*100,IF(O2467="XT",29*200)))))))</f>
        <v>5800</v>
      </c>
      <c r="AA2467" s="185"/>
      <c r="AB2467" s="185" t="s">
        <v>7716</v>
      </c>
      <c r="AC2467" s="185"/>
      <c r="AD2467" s="649">
        <v>5.0000000000000001E-3</v>
      </c>
      <c r="AE2467" s="182"/>
      <c r="AF2467" s="332"/>
      <c r="AG2467" s="182"/>
      <c r="AH2467" s="182"/>
      <c r="AI2467" s="182"/>
      <c r="AJ2467" s="640"/>
      <c r="AK2467" s="182"/>
      <c r="AL2467" s="496">
        <f t="shared" si="855"/>
        <v>-116</v>
      </c>
      <c r="AM2467" s="496">
        <f t="shared" si="856"/>
        <v>-232</v>
      </c>
      <c r="AN2467" s="626"/>
      <c r="AO2467" s="182"/>
      <c r="AP2467" s="182"/>
      <c r="AQ2467" s="332" t="s">
        <v>96</v>
      </c>
      <c r="AR2467" s="298">
        <v>45541</v>
      </c>
      <c r="AS2467" s="189">
        <f>((0.005*2)+(0.01*4))/6</f>
        <v>8.3333333333333332E-3</v>
      </c>
      <c r="AT2467" s="189">
        <f t="shared" si="857"/>
        <v>-3.3333333333333331E-3</v>
      </c>
      <c r="AU2467" s="187">
        <f t="shared" si="858"/>
        <v>-116</v>
      </c>
      <c r="AV2467" s="190">
        <f t="shared" si="859"/>
        <v>-19.333333333333332</v>
      </c>
      <c r="AW2467" s="191" t="s">
        <v>229</v>
      </c>
      <c r="AX2467" s="549"/>
      <c r="AY2467" s="549"/>
      <c r="AZ2467" s="549"/>
      <c r="BA2467" s="549"/>
      <c r="BB2467" s="551"/>
      <c r="BC2467" s="551"/>
      <c r="BD2467" s="549"/>
      <c r="BE2467" s="550"/>
      <c r="BF2467" s="549"/>
      <c r="BG2467" s="391">
        <f>SUM($AV$2420:AV2467)</f>
        <v>-166.61904761905592</v>
      </c>
      <c r="BH2467" s="392">
        <f>SUM($AU$2420:AU2467)</f>
        <v>-179.00000000000824</v>
      </c>
      <c r="BI2467" s="318">
        <f>SUMIFS($AU$2420:AU2625,$Q$2420:Q2625,"F")</f>
        <v>-143.99999999999949</v>
      </c>
      <c r="BJ2467" s="318">
        <f>SUMIFS($AU$2420:AU2625,$Q$2420:Q2625,"S")</f>
        <v>256.00000000000466</v>
      </c>
      <c r="BK2467" s="343">
        <f>SUMIFS($AU$2420:AU2625,$P$2420:P2625,"W")</f>
        <v>-607.99999999991883</v>
      </c>
      <c r="BL2467" s="343">
        <f>SUMIFS($AU$2420:AU2625,$P$2420:P2625,"R")</f>
        <v>911.99999999999966</v>
      </c>
      <c r="BM2467" s="343">
        <f>SUMIFS($AU$2420:AU2625,$AQ$2420:AQ2625,"M")</f>
        <v>-899.79999999984489</v>
      </c>
      <c r="BN2467" s="343">
        <f>SUMIFS($AU$2420:AU2625,$AQ$2420:AQ2625,"H")</f>
        <v>1762.9999999999427</v>
      </c>
      <c r="BO2467" s="343">
        <f>SUMIFS($AU$2420:AU2625,$AQ$2420:AQ2625,"D")</f>
        <v>-767.99999999998977</v>
      </c>
      <c r="BP2467" s="343">
        <f>SUMIFS($AS$2420:AS2713,$AO$2420:AO2713,"W")</f>
        <v>0</v>
      </c>
      <c r="BQ2467" s="343">
        <f>SUMIFS($AU$2420:AU2625,$Q$2420:Q2625,"O")</f>
        <v>-884.7999999998965</v>
      </c>
      <c r="BR2467" s="343">
        <f>SUMIFS($AU$2420:AU2625,$AA$2420:AA2625,"*")</f>
        <v>-512.79999999998074</v>
      </c>
      <c r="BS2467" s="343">
        <f>SUMIFS($AU$2420:AU2625,$AB$2420:AB2625,"*")</f>
        <v>-451.99999999997726</v>
      </c>
      <c r="BT2467" s="343">
        <f>SUMIFS($AU$2420:AU2625,$AC$2420:AC2625,"*")</f>
        <v>-143.99999999999909</v>
      </c>
      <c r="BU2467" s="343">
        <f>SUMIFS($AU$2420:AU2625,$AA$2420:AA2625,"*",$AB$2420:AB2625,"*")</f>
        <v>95.999999999933891</v>
      </c>
      <c r="BV2467" s="343">
        <f>SUMIFS($AU$2420:AU2625,$AA$2420:AA2625,"*",$AC$2420:AC2625,"*")</f>
        <v>-591.99999999999977</v>
      </c>
      <c r="BW2467" s="343">
        <f>SUMIFS($AU$2420:AU2625,$AB$2420:AB2625,"*",$AC$2420:AC2625,"*")</f>
        <v>-143.99999999999966</v>
      </c>
      <c r="BX2467" s="343">
        <f>SUMIFS($AV$2420:AV2625,$Q$2420:Q2625,"F")</f>
        <v>18.153846153846242</v>
      </c>
      <c r="BY2467" s="343">
        <f>SUMIFS($AV$2420:AV2625,$Q$2420:Q2625,"S")</f>
        <v>64.044720496894826</v>
      </c>
      <c r="BZ2467" s="343">
        <f>SUMIFS($AV$2420:AV2625,$Q$2420:Q2625,"O")</f>
        <v>-458.13333333332537</v>
      </c>
    </row>
    <row r="2468" spans="1:78" ht="15.75" customHeight="1">
      <c r="A2468" s="177" t="s">
        <v>7465</v>
      </c>
      <c r="B2468" s="200">
        <v>45533</v>
      </c>
      <c r="C2468" s="178" t="s">
        <v>7717</v>
      </c>
      <c r="D2468" s="178" t="s">
        <v>93</v>
      </c>
      <c r="E2468" s="227"/>
      <c r="F2468" s="180"/>
      <c r="G2468" s="497" t="s">
        <v>945</v>
      </c>
      <c r="H2468" s="182"/>
      <c r="I2468" s="182"/>
      <c r="J2468" s="182"/>
      <c r="K2468" s="183"/>
      <c r="L2468" s="182"/>
      <c r="M2468" s="182">
        <v>1</v>
      </c>
      <c r="N2468" s="182"/>
      <c r="O2468" s="183" t="s">
        <v>95</v>
      </c>
      <c r="P2468" s="183" t="s">
        <v>96</v>
      </c>
      <c r="Q2468" s="183" t="s">
        <v>684</v>
      </c>
      <c r="R2468" s="183">
        <v>2</v>
      </c>
      <c r="S2468" s="183">
        <v>0</v>
      </c>
      <c r="T2468" s="183">
        <v>2</v>
      </c>
      <c r="U2468" s="183" t="s">
        <v>22</v>
      </c>
      <c r="V2468" s="183" t="s">
        <v>7357</v>
      </c>
      <c r="W2468" s="183" t="s">
        <v>115</v>
      </c>
      <c r="X2468" s="183"/>
      <c r="Y2468" s="184">
        <f>IF(ISBLANK(O2468),"",(IF(O2468=UPPER("IB"),0.005,0.01)))</f>
        <v>0.01</v>
      </c>
      <c r="Z2468" s="185">
        <f>IF(ISBLANK(O2468),"",IF(O2468="IB",8.63*200,IF(O2468="IR",16*100,IF(O2468="YT",20*100,IF(O2468="YT-XT",24*200,IF(O2468="TED",80*100,IF(O2468="XT",29*200)))))))</f>
        <v>1600</v>
      </c>
      <c r="AA2468" s="185" t="s">
        <v>7718</v>
      </c>
      <c r="AB2468" s="185" t="s">
        <v>7719</v>
      </c>
      <c r="AC2468" s="185"/>
      <c r="AD2468" s="649">
        <v>95.635000000000005</v>
      </c>
      <c r="AE2468" s="182"/>
      <c r="AF2468" s="332"/>
      <c r="AG2468" s="182"/>
      <c r="AH2468" s="182"/>
      <c r="AI2468" s="182"/>
      <c r="AJ2468" s="640"/>
      <c r="AK2468" s="182"/>
      <c r="AL2468" s="496">
        <f t="shared" si="855"/>
        <v>-32</v>
      </c>
      <c r="AM2468" s="496">
        <f t="shared" si="856"/>
        <v>-64</v>
      </c>
      <c r="AN2468" s="626" t="s">
        <v>7699</v>
      </c>
      <c r="AO2468" s="182"/>
      <c r="AP2468" s="182" t="s">
        <v>751</v>
      </c>
      <c r="AQ2468" s="332" t="s">
        <v>115</v>
      </c>
      <c r="AR2468" s="182"/>
      <c r="AS2468" s="189">
        <v>95.63</v>
      </c>
      <c r="AT2468" s="189">
        <f t="shared" si="857"/>
        <v>-5.0000000000096634E-3</v>
      </c>
      <c r="AU2468" s="187">
        <f t="shared" si="858"/>
        <v>-16.000000000030923</v>
      </c>
      <c r="AV2468" s="190">
        <f t="shared" si="859"/>
        <v>-8.0000000000154614</v>
      </c>
      <c r="AW2468" s="191" t="s">
        <v>229</v>
      </c>
      <c r="AX2468" s="549"/>
      <c r="AY2468" s="549"/>
      <c r="AZ2468" s="549"/>
      <c r="BA2468" s="549"/>
      <c r="BB2468" s="551"/>
      <c r="BC2468" s="551"/>
      <c r="BD2468" s="549"/>
      <c r="BE2468" s="550"/>
      <c r="BF2468" s="549"/>
      <c r="BG2468" s="391">
        <f>SUM($AV$2420:AV2468)</f>
        <v>-174.61904761907138</v>
      </c>
      <c r="BH2468" s="392">
        <f>SUM($AU$2420:AU2468)</f>
        <v>-195.00000000003917</v>
      </c>
      <c r="BI2468" s="318">
        <f>SUMIFS($AU$2420:AU2621,$Q$2420:Q2621,"F")</f>
        <v>-143.99999999999949</v>
      </c>
      <c r="BJ2468" s="318">
        <f>SUMIFS($AU$2420:AU2621,$Q$2420:Q2621,"S")</f>
        <v>256.00000000000466</v>
      </c>
      <c r="BK2468" s="343">
        <f>SUMIFS($AU$2420:AU2621,$P$2420:P2621,"W")</f>
        <v>-607.99999999991883</v>
      </c>
      <c r="BL2468" s="343">
        <f>SUMIFS($AU$2420:AU2621,$P$2420:P2621,"R")</f>
        <v>911.99999999999966</v>
      </c>
      <c r="BM2468" s="343">
        <f>SUMIFS($AU$2420:AU2621,$AQ$2420:AQ2621,"M")</f>
        <v>-899.79999999984489</v>
      </c>
      <c r="BN2468" s="343">
        <f>SUMIFS($AU$2420:AU2621,$AQ$2420:AQ2621,"H")</f>
        <v>1762.9999999999427</v>
      </c>
      <c r="BO2468" s="343">
        <f>SUMIFS($AU$2420:AU2621,$AQ$2420:AQ2621,"D")</f>
        <v>-767.99999999998977</v>
      </c>
      <c r="BP2468" s="343">
        <f>SUMIFS($AS$2420:AS2709,$AO$2420:AO2709,"W")</f>
        <v>0</v>
      </c>
      <c r="BQ2468" s="343">
        <f>SUMIFS($AU$2420:AU2621,$Q$2420:Q2621,"O")</f>
        <v>-884.7999999998965</v>
      </c>
      <c r="BR2468" s="343">
        <f>SUMIFS($AU$2420:AU2621,$AA$2420:AA2621,"*")</f>
        <v>-512.79999999998074</v>
      </c>
      <c r="BS2468" s="343">
        <f>SUMIFS($AU$2420:AU2621,$AB$2420:AB2621,"*")</f>
        <v>-451.99999999997726</v>
      </c>
      <c r="BT2468" s="343">
        <f>SUMIFS($AU$2420:AU2621,$AC$2420:AC2621,"*")</f>
        <v>-143.99999999999909</v>
      </c>
      <c r="BU2468" s="343">
        <f>SUMIFS($AU$2420:AU2621,$AA$2420:AA2621,"*",$AB$2420:AB2621,"*")</f>
        <v>95.999999999933891</v>
      </c>
      <c r="BV2468" s="343">
        <f>SUMIFS($AU$2420:AU2621,$AA$2420:AA2621,"*",$AC$2420:AC2621,"*")</f>
        <v>-591.99999999999977</v>
      </c>
      <c r="BW2468" s="343">
        <f>SUMIFS($AU$2420:AU2621,$AB$2420:AB2621,"*",$AC$2420:AC2621,"*")</f>
        <v>-143.99999999999966</v>
      </c>
      <c r="BX2468" s="343">
        <f>SUMIFS($AV$2420:AV2621,$Q$2420:Q2621,"F")</f>
        <v>18.153846153846242</v>
      </c>
      <c r="BY2468" s="343">
        <f>SUMIFS($AV$2420:AV2621,$Q$2420:Q2621,"S")</f>
        <v>64.044720496894826</v>
      </c>
      <c r="BZ2468" s="343">
        <f>SUMIFS($AV$2420:AV2621,$Q$2420:Q2621,"O")</f>
        <v>-458.13333333332537</v>
      </c>
    </row>
    <row r="2469" spans="1:78" ht="15.75" customHeight="1">
      <c r="A2469" s="177" t="s">
        <v>7465</v>
      </c>
      <c r="B2469" s="200">
        <v>45533</v>
      </c>
      <c r="C2469" s="178" t="s">
        <v>7717</v>
      </c>
      <c r="D2469" s="178" t="s">
        <v>93</v>
      </c>
      <c r="E2469" s="227"/>
      <c r="F2469" s="180"/>
      <c r="G2469" s="497" t="s">
        <v>2016</v>
      </c>
      <c r="H2469" s="182"/>
      <c r="I2469" s="182"/>
      <c r="J2469" s="182"/>
      <c r="K2469" s="183"/>
      <c r="L2469" s="182"/>
      <c r="M2469" s="182">
        <v>1</v>
      </c>
      <c r="N2469" s="182"/>
      <c r="O2469" s="183" t="s">
        <v>95</v>
      </c>
      <c r="P2469" s="183" t="s">
        <v>96</v>
      </c>
      <c r="Q2469" s="183" t="s">
        <v>97</v>
      </c>
      <c r="R2469" s="183">
        <v>4</v>
      </c>
      <c r="S2469" s="183">
        <v>1</v>
      </c>
      <c r="T2469" s="183">
        <v>1</v>
      </c>
      <c r="U2469" s="183" t="s">
        <v>97</v>
      </c>
      <c r="V2469" s="183" t="s">
        <v>7357</v>
      </c>
      <c r="W2469" s="183" t="s">
        <v>7548</v>
      </c>
      <c r="X2469" s="183" t="s">
        <v>7488</v>
      </c>
      <c r="Y2469" s="184">
        <f>IF(ISBLANK(O2469),"",(IF(O2469=UPPER("IB"),0.005,0.01)))</f>
        <v>0.01</v>
      </c>
      <c r="Z2469" s="185">
        <f>IF(ISBLANK(O2469),"",IF(O2469="IB",8.63*200,IF(O2469="IR",16*100,IF(O2469="YT",20*100,IF(O2469="YT-XT",24*200,IF(O2469="TED",80*100,IF(O2469="XT",29*200)))))))</f>
        <v>1600</v>
      </c>
      <c r="AA2469" s="185" t="s">
        <v>7720</v>
      </c>
      <c r="AB2469" s="185" t="s">
        <v>7721</v>
      </c>
      <c r="AC2469" s="185"/>
      <c r="AD2469" s="649">
        <f>((-0.2*1)+(-0.16*3))/4</f>
        <v>-0.16999999999999998</v>
      </c>
      <c r="AE2469" s="182"/>
      <c r="AF2469" s="332"/>
      <c r="AG2469" s="182"/>
      <c r="AH2469" s="182"/>
      <c r="AI2469" s="182"/>
      <c r="AJ2469" s="640"/>
      <c r="AK2469" s="182"/>
      <c r="AL2469" s="496">
        <f t="shared" si="855"/>
        <v>-32</v>
      </c>
      <c r="AM2469" s="496">
        <f t="shared" si="856"/>
        <v>-96</v>
      </c>
      <c r="AN2469" s="626"/>
      <c r="AO2469" s="182"/>
      <c r="AP2469" s="182"/>
      <c r="AQ2469" s="332" t="s">
        <v>115</v>
      </c>
      <c r="AR2469" s="182"/>
      <c r="AS2469" s="189">
        <f>((-0.17)+(-0.15*3))/4</f>
        <v>-0.155</v>
      </c>
      <c r="AT2469" s="189">
        <f t="shared" si="857"/>
        <v>-1.4999999999999986E-2</v>
      </c>
      <c r="AU2469" s="187">
        <f t="shared" si="858"/>
        <v>-95.999999999999915</v>
      </c>
      <c r="AV2469" s="190">
        <f t="shared" si="859"/>
        <v>-23.999999999999979</v>
      </c>
      <c r="AW2469" s="191" t="s">
        <v>229</v>
      </c>
      <c r="AX2469" s="549"/>
      <c r="AY2469" s="549"/>
      <c r="AZ2469" s="549"/>
      <c r="BA2469" s="549"/>
      <c r="BB2469" s="551"/>
      <c r="BC2469" s="551"/>
      <c r="BD2469" s="549"/>
      <c r="BE2469" s="550"/>
      <c r="BF2469" s="549"/>
      <c r="BG2469" s="391">
        <f>SUM($AV$2420:AV2469)</f>
        <v>-198.61904761907135</v>
      </c>
      <c r="BH2469" s="392">
        <f>SUM($AU$2420:AU2469)</f>
        <v>-291.00000000003911</v>
      </c>
      <c r="BI2469" s="318">
        <f>SUMIFS($AU$2420:AU2622,$Q$2420:Q2622,"F")</f>
        <v>-143.99999999999949</v>
      </c>
      <c r="BJ2469" s="318">
        <f>SUMIFS($AU$2420:AU2622,$Q$2420:Q2622,"S")</f>
        <v>256.00000000000466</v>
      </c>
      <c r="BK2469" s="343">
        <f>SUMIFS($AU$2420:AU2622,$P$2420:P2622,"W")</f>
        <v>-607.99999999991883</v>
      </c>
      <c r="BL2469" s="343">
        <f>SUMIFS($AU$2420:AU2622,$P$2420:P2622,"R")</f>
        <v>911.99999999999966</v>
      </c>
      <c r="BM2469" s="343">
        <f>SUMIFS($AU$2420:AU2622,$AQ$2420:AQ2622,"M")</f>
        <v>-899.79999999984489</v>
      </c>
      <c r="BN2469" s="343">
        <f>SUMIFS($AU$2420:AU2622,$AQ$2420:AQ2622,"H")</f>
        <v>1762.9999999999427</v>
      </c>
      <c r="BO2469" s="343">
        <f>SUMIFS($AU$2420:AU2622,$AQ$2420:AQ2622,"D")</f>
        <v>-767.99999999998977</v>
      </c>
      <c r="BP2469" s="343">
        <f>SUMIFS($AS$2420:AS2710,$AO$2420:AO2710,"W")</f>
        <v>0</v>
      </c>
      <c r="BQ2469" s="343">
        <f>SUMIFS($AU$2420:AU2622,$Q$2420:Q2622,"O")</f>
        <v>-884.7999999998965</v>
      </c>
      <c r="BR2469" s="343">
        <f>SUMIFS($AU$2420:AU2622,$AA$2420:AA2622,"*")</f>
        <v>-512.79999999998074</v>
      </c>
      <c r="BS2469" s="343">
        <f>SUMIFS($AU$2420:AU2622,$AB$2420:AB2622,"*")</f>
        <v>-451.99999999997726</v>
      </c>
      <c r="BT2469" s="343">
        <f>SUMIFS($AU$2420:AU2622,$AC$2420:AC2622,"*")</f>
        <v>-143.99999999999909</v>
      </c>
      <c r="BU2469" s="343">
        <f>SUMIFS($AU$2420:AU2622,$AA$2420:AA2622,"*",$AB$2420:AB2622,"*")</f>
        <v>95.999999999933891</v>
      </c>
      <c r="BV2469" s="343">
        <f>SUMIFS($AU$2420:AU2622,$AA$2420:AA2622,"*",$AC$2420:AC2622,"*")</f>
        <v>-591.99999999999977</v>
      </c>
      <c r="BW2469" s="343">
        <f>SUMIFS($AU$2420:AU2622,$AB$2420:AB2622,"*",$AC$2420:AC2622,"*")</f>
        <v>-143.99999999999966</v>
      </c>
      <c r="BX2469" s="343">
        <f>SUMIFS($AV$2420:AV2622,$Q$2420:Q2622,"F")</f>
        <v>18.153846153846242</v>
      </c>
      <c r="BY2469" s="343">
        <f>SUMIFS($AV$2420:AV2622,$Q$2420:Q2622,"S")</f>
        <v>64.044720496894826</v>
      </c>
      <c r="BZ2469" s="343">
        <f>SUMIFS($AV$2420:AV2622,$Q$2420:Q2622,"O")</f>
        <v>-458.13333333332537</v>
      </c>
    </row>
    <row r="2470" spans="1:78" ht="15.75" customHeight="1">
      <c r="A2470" s="177" t="s">
        <v>7465</v>
      </c>
      <c r="B2470" s="200">
        <v>45533</v>
      </c>
      <c r="C2470" s="178" t="s">
        <v>1714</v>
      </c>
      <c r="D2470" s="178" t="s">
        <v>93</v>
      </c>
      <c r="E2470" s="227" t="s">
        <v>7722</v>
      </c>
      <c r="F2470" s="180"/>
      <c r="G2470" s="181"/>
      <c r="H2470" s="182">
        <v>1</v>
      </c>
      <c r="I2470" s="182"/>
      <c r="J2470" s="182"/>
      <c r="K2470" s="183" t="s">
        <v>372</v>
      </c>
      <c r="L2470" s="182"/>
      <c r="M2470" s="182"/>
      <c r="N2470" s="182"/>
      <c r="O2470" s="183"/>
      <c r="P2470" s="183"/>
      <c r="Q2470" s="183"/>
      <c r="R2470" s="183"/>
      <c r="S2470" s="183"/>
      <c r="T2470" s="183"/>
      <c r="U2470" s="183"/>
      <c r="V2470" s="183"/>
      <c r="W2470" s="183"/>
      <c r="X2470" s="183"/>
      <c r="Y2470" s="183"/>
      <c r="Z2470" s="183"/>
      <c r="AA2470" s="185"/>
      <c r="AB2470" s="185"/>
      <c r="AC2470" s="185"/>
      <c r="AD2470" s="649"/>
      <c r="AE2470" s="182"/>
      <c r="AF2470" s="332"/>
      <c r="AG2470" s="182"/>
      <c r="AH2470" s="182"/>
      <c r="AI2470" s="182"/>
      <c r="AJ2470" s="640"/>
      <c r="AK2470" s="182"/>
      <c r="AL2470" s="496">
        <f t="shared" si="855"/>
        <v>0</v>
      </c>
      <c r="AM2470" s="496">
        <f t="shared" si="856"/>
        <v>0</v>
      </c>
      <c r="AN2470" s="626"/>
      <c r="AO2470" s="182"/>
      <c r="AP2470" s="182"/>
      <c r="AQ2470" s="332" t="str">
        <f>UPPER(RIGHT(Journal_Live[[#This Row],[DURATION ]]))</f>
        <v/>
      </c>
      <c r="AR2470" s="182"/>
      <c r="AS2470" s="189"/>
      <c r="AT2470" s="189">
        <f t="shared" si="857"/>
        <v>0</v>
      </c>
      <c r="AU2470" s="187">
        <f t="shared" si="858"/>
        <v>0</v>
      </c>
      <c r="AV2470" s="190">
        <f t="shared" si="859"/>
        <v>0</v>
      </c>
      <c r="AW2470" s="191"/>
      <c r="AX2470" s="549" t="s">
        <v>7723</v>
      </c>
      <c r="AY2470" s="549" t="s">
        <v>7724</v>
      </c>
      <c r="AZ2470" s="549" t="s">
        <v>7725</v>
      </c>
      <c r="BA2470" s="549"/>
      <c r="BB2470" s="551"/>
      <c r="BC2470" s="551"/>
      <c r="BD2470" s="549"/>
      <c r="BE2470" s="550"/>
      <c r="BF2470" s="549"/>
      <c r="BG2470" s="391">
        <f>SUM($AV$2420:AV2470)</f>
        <v>-198.61904761907135</v>
      </c>
      <c r="BH2470" s="392">
        <f>SUM($AU$2420:AU2470)</f>
        <v>-291.00000000003911</v>
      </c>
      <c r="BI2470" s="318">
        <f>SUMIFS($AU$2420:AU2623,$Q$2420:Q2623,"F")</f>
        <v>-143.99999999999949</v>
      </c>
      <c r="BJ2470" s="318">
        <f>SUMIFS($AU$2420:AU2623,$Q$2420:Q2623,"S")</f>
        <v>256.00000000000466</v>
      </c>
      <c r="BK2470" s="343">
        <f>SUMIFS($AU$2420:AU2623,$P$2420:P2623,"W")</f>
        <v>-607.99999999991883</v>
      </c>
      <c r="BL2470" s="343">
        <f>SUMIFS($AU$2420:AU2623,$P$2420:P2623,"R")</f>
        <v>911.99999999999966</v>
      </c>
      <c r="BM2470" s="343">
        <f>SUMIFS($AU$2420:AU2623,$AQ$2420:AQ2623,"M")</f>
        <v>-899.79999999984489</v>
      </c>
      <c r="BN2470" s="343">
        <f>SUMIFS($AU$2420:AU2623,$AQ$2420:AQ2623,"H")</f>
        <v>1762.9999999999427</v>
      </c>
      <c r="BO2470" s="343">
        <f>SUMIFS($AU$2420:AU2623,$AQ$2420:AQ2623,"D")</f>
        <v>-767.99999999998977</v>
      </c>
      <c r="BP2470" s="343">
        <f>SUMIFS($AS$2420:AS2711,$AO$2420:AO2711,"W")</f>
        <v>0</v>
      </c>
      <c r="BQ2470" s="343">
        <f>SUMIFS($AU$2420:AU2623,$Q$2420:Q2623,"O")</f>
        <v>-884.7999999998965</v>
      </c>
      <c r="BR2470" s="343">
        <f>SUMIFS($AU$2420:AU2623,$AA$2420:AA2623,"*")</f>
        <v>-512.79999999998074</v>
      </c>
      <c r="BS2470" s="343">
        <f>SUMIFS($AU$2420:AU2623,$AB$2420:AB2623,"*")</f>
        <v>-451.99999999997726</v>
      </c>
      <c r="BT2470" s="343">
        <f>SUMIFS($AU$2420:AU2623,$AC$2420:AC2623,"*")</f>
        <v>-143.99999999999909</v>
      </c>
      <c r="BU2470" s="343">
        <f>SUMIFS($AU$2420:AU2623,$AA$2420:AA2623,"*",$AB$2420:AB2623,"*")</f>
        <v>95.999999999933891</v>
      </c>
      <c r="BV2470" s="343">
        <f>SUMIFS($AU$2420:AU2623,$AA$2420:AA2623,"*",$AC$2420:AC2623,"*")</f>
        <v>-591.99999999999977</v>
      </c>
      <c r="BW2470" s="343">
        <f>SUMIFS($AU$2420:AU2623,$AB$2420:AB2623,"*",$AC$2420:AC2623,"*")</f>
        <v>-143.99999999999966</v>
      </c>
      <c r="BX2470" s="343">
        <f>SUMIFS($AV$2420:AV2623,$Q$2420:Q2623,"F")</f>
        <v>18.153846153846242</v>
      </c>
      <c r="BY2470" s="343">
        <f>SUMIFS($AV$2420:AV2623,$Q$2420:Q2623,"S")</f>
        <v>64.044720496894826</v>
      </c>
      <c r="BZ2470" s="343">
        <f>SUMIFS($AV$2420:AV2623,$Q$2420:Q2623,"O")</f>
        <v>-458.13333333332537</v>
      </c>
    </row>
    <row r="2471" spans="1:78" ht="15.75" customHeight="1">
      <c r="A2471" s="177" t="s">
        <v>7465</v>
      </c>
      <c r="B2471" s="200">
        <v>45534</v>
      </c>
      <c r="C2471" s="178" t="s">
        <v>2081</v>
      </c>
      <c r="D2471" s="178" t="s">
        <v>111</v>
      </c>
      <c r="E2471" s="227" t="s">
        <v>7726</v>
      </c>
      <c r="F2471" s="180"/>
      <c r="G2471" s="181"/>
      <c r="H2471" s="182"/>
      <c r="I2471" s="182"/>
      <c r="J2471" s="182">
        <v>1</v>
      </c>
      <c r="K2471" s="183" t="s">
        <v>115</v>
      </c>
      <c r="L2471" s="182"/>
      <c r="M2471" s="182"/>
      <c r="N2471" s="182"/>
      <c r="O2471" s="183"/>
      <c r="P2471" s="183"/>
      <c r="Q2471" s="183"/>
      <c r="R2471" s="183"/>
      <c r="S2471" s="183"/>
      <c r="T2471" s="183"/>
      <c r="U2471" s="183"/>
      <c r="V2471" s="183"/>
      <c r="W2471" s="183"/>
      <c r="X2471" s="183"/>
      <c r="Y2471" s="183"/>
      <c r="Z2471" s="183"/>
      <c r="AA2471" s="185"/>
      <c r="AB2471" s="185"/>
      <c r="AC2471" s="185"/>
      <c r="AD2471" s="649"/>
      <c r="AE2471" s="182"/>
      <c r="AF2471" s="332"/>
      <c r="AG2471" s="182"/>
      <c r="AH2471" s="182"/>
      <c r="AI2471" s="182"/>
      <c r="AJ2471" s="640"/>
      <c r="AK2471" s="182"/>
      <c r="AL2471" s="496">
        <f t="shared" si="855"/>
        <v>0</v>
      </c>
      <c r="AM2471" s="496">
        <f t="shared" si="856"/>
        <v>0</v>
      </c>
      <c r="AN2471" s="626"/>
      <c r="AO2471" s="182"/>
      <c r="AP2471" s="182"/>
      <c r="AQ2471" s="332" t="str">
        <f>UPPER(RIGHT(Journal_Live[[#This Row],[DURATION ]]))</f>
        <v/>
      </c>
      <c r="AR2471" s="182"/>
      <c r="AS2471" s="189"/>
      <c r="AT2471" s="189">
        <f t="shared" si="857"/>
        <v>0</v>
      </c>
      <c r="AU2471" s="187">
        <f t="shared" si="858"/>
        <v>0</v>
      </c>
      <c r="AV2471" s="190">
        <f t="shared" si="859"/>
        <v>0</v>
      </c>
      <c r="AW2471" s="191"/>
      <c r="AX2471" s="549"/>
      <c r="AY2471" s="549"/>
      <c r="AZ2471" s="549"/>
      <c r="BA2471" s="549"/>
      <c r="BB2471" s="551"/>
      <c r="BC2471" s="551"/>
      <c r="BD2471" s="549"/>
      <c r="BE2471" s="550"/>
      <c r="BF2471" s="549"/>
      <c r="BG2471" s="391">
        <f>SUM($AV$2420:AV2471)</f>
        <v>-198.61904761907135</v>
      </c>
      <c r="BH2471" s="392">
        <f>SUM($AU$2420:AU2471)</f>
        <v>-291.00000000003911</v>
      </c>
      <c r="BI2471" s="318">
        <f>SUMIFS($AU$2420:AU2624,$Q$2420:Q2624,"F")</f>
        <v>-143.99999999999949</v>
      </c>
      <c r="BJ2471" s="318">
        <f>SUMIFS($AU$2420:AU2624,$Q$2420:Q2624,"S")</f>
        <v>256.00000000000466</v>
      </c>
      <c r="BK2471" s="343">
        <f>SUMIFS($AU$2420:AU2624,$P$2420:P2624,"W")</f>
        <v>-607.99999999991883</v>
      </c>
      <c r="BL2471" s="343">
        <f>SUMIFS($AU$2420:AU2624,$P$2420:P2624,"R")</f>
        <v>911.99999999999966</v>
      </c>
      <c r="BM2471" s="343">
        <f>SUMIFS($AU$2420:AU2624,$AQ$2420:AQ2624,"M")</f>
        <v>-899.79999999984489</v>
      </c>
      <c r="BN2471" s="343">
        <f>SUMIFS($AU$2420:AU2624,$AQ$2420:AQ2624,"H")</f>
        <v>1762.9999999999427</v>
      </c>
      <c r="BO2471" s="343">
        <f>SUMIFS($AU$2420:AU2624,$AQ$2420:AQ2624,"D")</f>
        <v>-767.99999999998977</v>
      </c>
      <c r="BP2471" s="343">
        <f>SUMIFS($AS$2420:AS2712,$AO$2420:AO2712,"W")</f>
        <v>0</v>
      </c>
      <c r="BQ2471" s="343">
        <f>SUMIFS($AU$2420:AU2624,$Q$2420:Q2624,"O")</f>
        <v>-884.7999999998965</v>
      </c>
      <c r="BR2471" s="343">
        <f>SUMIFS($AU$2420:AU2624,$AA$2420:AA2624,"*")</f>
        <v>-512.79999999998074</v>
      </c>
      <c r="BS2471" s="343">
        <f>SUMIFS($AU$2420:AU2624,$AB$2420:AB2624,"*")</f>
        <v>-451.99999999997726</v>
      </c>
      <c r="BT2471" s="343">
        <f>SUMIFS($AU$2420:AU2624,$AC$2420:AC2624,"*")</f>
        <v>-143.99999999999909</v>
      </c>
      <c r="BU2471" s="343">
        <f>SUMIFS($AU$2420:AU2624,$AA$2420:AA2624,"*",$AB$2420:AB2624,"*")</f>
        <v>95.999999999933891</v>
      </c>
      <c r="BV2471" s="343">
        <f>SUMIFS($AU$2420:AU2624,$AA$2420:AA2624,"*",$AC$2420:AC2624,"*")</f>
        <v>-591.99999999999977</v>
      </c>
      <c r="BW2471" s="343">
        <f>SUMIFS($AU$2420:AU2624,$AB$2420:AB2624,"*",$AC$2420:AC2624,"*")</f>
        <v>-143.99999999999966</v>
      </c>
      <c r="BX2471" s="343">
        <f>SUMIFS($AV$2420:AV2624,$Q$2420:Q2624,"F")</f>
        <v>18.153846153846242</v>
      </c>
      <c r="BY2471" s="343">
        <f>SUMIFS($AV$2420:AV2624,$Q$2420:Q2624,"S")</f>
        <v>64.044720496894826</v>
      </c>
      <c r="BZ2471" s="343">
        <f>SUMIFS($AV$2420:AV2624,$Q$2420:Q2624,"O")</f>
        <v>-458.13333333332537</v>
      </c>
    </row>
    <row r="2472" spans="1:78" ht="15.75" customHeight="1">
      <c r="A2472" s="177" t="s">
        <v>7465</v>
      </c>
      <c r="B2472" s="200">
        <v>45534</v>
      </c>
      <c r="C2472" s="178" t="s">
        <v>7278</v>
      </c>
      <c r="D2472" s="178" t="s">
        <v>111</v>
      </c>
      <c r="E2472" s="227"/>
      <c r="F2472" s="180"/>
      <c r="G2472" s="497" t="s">
        <v>2016</v>
      </c>
      <c r="H2472" s="182"/>
      <c r="I2472" s="182"/>
      <c r="J2472" s="182"/>
      <c r="K2472" s="183"/>
      <c r="L2472" s="182"/>
      <c r="M2472" s="182">
        <v>1</v>
      </c>
      <c r="N2472" s="182"/>
      <c r="O2472" s="183" t="s">
        <v>95</v>
      </c>
      <c r="P2472" s="183" t="s">
        <v>96</v>
      </c>
      <c r="Q2472" s="183" t="s">
        <v>97</v>
      </c>
      <c r="R2472" s="183">
        <v>5</v>
      </c>
      <c r="S2472" s="183">
        <v>2</v>
      </c>
      <c r="T2472" s="183">
        <v>1</v>
      </c>
      <c r="U2472" s="183" t="s">
        <v>97</v>
      </c>
      <c r="V2472" s="183" t="s">
        <v>7357</v>
      </c>
      <c r="W2472" s="183" t="s">
        <v>7548</v>
      </c>
      <c r="X2472" s="183" t="s">
        <v>7488</v>
      </c>
      <c r="Y2472" s="184">
        <f>IF(ISBLANK(O2472),"",(IF(O2472=UPPER("IB"),0.005,0.01)))</f>
        <v>0.01</v>
      </c>
      <c r="Z2472" s="185">
        <f>IF(ISBLANK(O2472),"",IF(O2472="IB",8.63*200,IF(O2472="IR",16*100,IF(O2472="YT",20*100,IF(O2472="YT-XT",24*200,IF(O2472="TED",80*100,IF(O2472="XT",29*200)))))))</f>
        <v>1600</v>
      </c>
      <c r="AA2472" s="185"/>
      <c r="AB2472" s="185" t="s">
        <v>7721</v>
      </c>
      <c r="AC2472" s="185"/>
      <c r="AD2472" s="649">
        <v>-0.17</v>
      </c>
      <c r="AE2472" s="182"/>
      <c r="AF2472" s="332"/>
      <c r="AG2472" s="182"/>
      <c r="AH2472" s="182"/>
      <c r="AI2472" s="182"/>
      <c r="AJ2472" s="640"/>
      <c r="AK2472" s="182"/>
      <c r="AL2472" s="496">
        <f t="shared" si="855"/>
        <v>-32</v>
      </c>
      <c r="AM2472" s="496">
        <f t="shared" si="856"/>
        <v>-96</v>
      </c>
      <c r="AN2472" s="626" t="s">
        <v>7727</v>
      </c>
      <c r="AO2472" s="182"/>
      <c r="AP2472" s="182"/>
      <c r="AQ2472" s="332" t="s">
        <v>115</v>
      </c>
      <c r="AR2472" s="298">
        <v>45539</v>
      </c>
      <c r="AS2472" s="189">
        <f>((-0.15*1)+(-0.16*1)+(-0.21*3))/5</f>
        <v>-0.188</v>
      </c>
      <c r="AT2472" s="189">
        <f t="shared" si="857"/>
        <v>1.7999999999999988E-2</v>
      </c>
      <c r="AU2472" s="187">
        <f t="shared" si="858"/>
        <v>143.99999999999991</v>
      </c>
      <c r="AV2472" s="190">
        <f t="shared" si="859"/>
        <v>28.799999999999983</v>
      </c>
      <c r="AW2472" s="191" t="s">
        <v>96</v>
      </c>
      <c r="AX2472" s="549"/>
      <c r="AY2472" s="549"/>
      <c r="AZ2472" s="549"/>
      <c r="BA2472" s="549"/>
      <c r="BB2472" s="551"/>
      <c r="BC2472" s="551"/>
      <c r="BD2472" s="549"/>
      <c r="BE2472" s="550"/>
      <c r="BF2472" s="549"/>
      <c r="BG2472" s="391">
        <f>SUM($AV$2420:AV2472)</f>
        <v>-169.81904761907137</v>
      </c>
      <c r="BH2472" s="392">
        <f>SUM($AU$2420:AU2472)</f>
        <v>-147.00000000003919</v>
      </c>
      <c r="BI2472" s="318">
        <f>SUMIFS($AU$2420:AU2625,$Q$2420:Q2625,"F")</f>
        <v>-143.99999999999949</v>
      </c>
      <c r="BJ2472" s="318">
        <f>SUMIFS($AU$2420:AU2625,$Q$2420:Q2625,"S")</f>
        <v>256.00000000000466</v>
      </c>
      <c r="BK2472" s="343">
        <f>SUMIFS($AU$2420:AU2625,$P$2420:P2625,"W")</f>
        <v>-607.99999999991883</v>
      </c>
      <c r="BL2472" s="343">
        <f>SUMIFS($AU$2420:AU2625,$P$2420:P2625,"R")</f>
        <v>911.99999999999966</v>
      </c>
      <c r="BM2472" s="343">
        <f>SUMIFS($AU$2420:AU2625,$AQ$2420:AQ2625,"M")</f>
        <v>-899.79999999984489</v>
      </c>
      <c r="BN2472" s="343">
        <f>SUMIFS($AU$2420:AU2625,$AQ$2420:AQ2625,"H")</f>
        <v>1762.9999999999427</v>
      </c>
      <c r="BO2472" s="343">
        <f>SUMIFS($AU$2420:AU2625,$AQ$2420:AQ2625,"D")</f>
        <v>-767.99999999998977</v>
      </c>
      <c r="BP2472" s="343">
        <f>SUMIFS($AS$2420:AS2713,$AO$2420:AO2713,"W")</f>
        <v>0</v>
      </c>
      <c r="BQ2472" s="343">
        <f>SUMIFS($AU$2420:AU2625,$Q$2420:Q2625,"O")</f>
        <v>-884.7999999998965</v>
      </c>
      <c r="BR2472" s="343">
        <f>SUMIFS($AU$2420:AU2625,$AA$2420:AA2625,"*")</f>
        <v>-512.79999999998074</v>
      </c>
      <c r="BS2472" s="343">
        <f>SUMIFS($AU$2420:AU2625,$AB$2420:AB2625,"*")</f>
        <v>-451.99999999997726</v>
      </c>
      <c r="BT2472" s="343">
        <f>SUMIFS($AU$2420:AU2625,$AC$2420:AC2625,"*")</f>
        <v>-143.99999999999909</v>
      </c>
      <c r="BU2472" s="343">
        <f>SUMIFS($AU$2420:AU2625,$AA$2420:AA2625,"*",$AB$2420:AB2625,"*")</f>
        <v>95.999999999933891</v>
      </c>
      <c r="BV2472" s="343">
        <f>SUMIFS($AU$2420:AU2625,$AA$2420:AA2625,"*",$AC$2420:AC2625,"*")</f>
        <v>-591.99999999999977</v>
      </c>
      <c r="BW2472" s="343">
        <f>SUMIFS($AU$2420:AU2625,$AB$2420:AB2625,"*",$AC$2420:AC2625,"*")</f>
        <v>-143.99999999999966</v>
      </c>
      <c r="BX2472" s="343">
        <f>SUMIFS($AV$2420:AV2625,$Q$2420:Q2625,"F")</f>
        <v>18.153846153846242</v>
      </c>
      <c r="BY2472" s="343">
        <f>SUMIFS($AV$2420:AV2625,$Q$2420:Q2625,"S")</f>
        <v>64.044720496894826</v>
      </c>
      <c r="BZ2472" s="343">
        <f>SUMIFS($AV$2420:AV2625,$Q$2420:Q2625,"O")</f>
        <v>-458.13333333332537</v>
      </c>
    </row>
    <row r="2473" spans="1:78" ht="15.75" customHeight="1">
      <c r="A2473" s="177" t="s">
        <v>7465</v>
      </c>
      <c r="B2473" s="200"/>
      <c r="C2473" s="178"/>
      <c r="D2473" s="178"/>
      <c r="E2473" s="227"/>
      <c r="F2473" s="180"/>
      <c r="G2473" s="181"/>
      <c r="H2473" s="182"/>
      <c r="I2473" s="182"/>
      <c r="J2473" s="182"/>
      <c r="K2473" s="183"/>
      <c r="L2473" s="182"/>
      <c r="M2473" s="182"/>
      <c r="N2473" s="182"/>
      <c r="O2473" s="183"/>
      <c r="P2473" s="183"/>
      <c r="Q2473" s="183"/>
      <c r="R2473" s="183"/>
      <c r="S2473" s="183"/>
      <c r="T2473" s="183"/>
      <c r="U2473" s="183"/>
      <c r="V2473" s="183"/>
      <c r="W2473" s="183"/>
      <c r="X2473" s="183"/>
      <c r="Y2473" s="183"/>
      <c r="Z2473" s="183"/>
      <c r="AA2473" s="185"/>
      <c r="AB2473" s="185"/>
      <c r="AC2473" s="185"/>
      <c r="AD2473" s="649"/>
      <c r="AE2473" s="182"/>
      <c r="AF2473" s="332"/>
      <c r="AG2473" s="182"/>
      <c r="AH2473" s="182"/>
      <c r="AI2473" s="182"/>
      <c r="AJ2473" s="640"/>
      <c r="AK2473" s="182"/>
      <c r="AL2473" s="496">
        <f t="shared" si="828"/>
        <v>0</v>
      </c>
      <c r="AM2473" s="496">
        <f t="shared" si="829"/>
        <v>0</v>
      </c>
      <c r="AN2473" s="626"/>
      <c r="AO2473" s="182"/>
      <c r="AP2473" s="182"/>
      <c r="AQ2473" s="332" t="str">
        <f>UPPER(RIGHT(Journal_Live[[#This Row],[DURATION ]]))</f>
        <v/>
      </c>
      <c r="AR2473" s="182"/>
      <c r="AS2473" s="189"/>
      <c r="AT2473" s="189">
        <f t="shared" si="830"/>
        <v>0</v>
      </c>
      <c r="AU2473" s="187">
        <f t="shared" si="831"/>
        <v>0</v>
      </c>
      <c r="AV2473" s="190">
        <f t="shared" si="832"/>
        <v>0</v>
      </c>
      <c r="AW2473" s="191"/>
      <c r="AX2473" s="549" t="s">
        <v>7728</v>
      </c>
      <c r="AY2473" s="549" t="s">
        <v>7729</v>
      </c>
      <c r="AZ2473" s="549" t="s">
        <v>7730</v>
      </c>
      <c r="BA2473" s="549" t="s">
        <v>7731</v>
      </c>
      <c r="BB2473" s="551"/>
      <c r="BC2473" s="551"/>
      <c r="BD2473" s="549"/>
      <c r="BE2473" s="550"/>
      <c r="BF2473" s="549"/>
      <c r="BG2473" s="391">
        <f>SUM($AV$2420:AV2473)</f>
        <v>-169.81904761907137</v>
      </c>
      <c r="BH2473" s="392">
        <f>SUM($AU$2420:AU2473)</f>
        <v>-147.00000000003919</v>
      </c>
      <c r="BI2473" s="318">
        <f>SUMIFS($AU$2420:AU2626,$Q$2420:Q2626,"F")</f>
        <v>-143.99999999999949</v>
      </c>
      <c r="BJ2473" s="318">
        <f>SUMIFS($AU$2420:AU2626,$Q$2420:Q2626,"S")</f>
        <v>256.00000000000466</v>
      </c>
      <c r="BK2473" s="343">
        <f>SUMIFS($AU$2420:AU2626,$P$2420:P2626,"W")</f>
        <v>-607.99999999991883</v>
      </c>
      <c r="BL2473" s="343">
        <f>SUMIFS($AU$2420:AU2626,$P$2420:P2626,"R")</f>
        <v>911.99999999999966</v>
      </c>
      <c r="BM2473" s="343">
        <f>SUMIFS($AU$2420:AU2626,$AQ$2420:AQ2626,"M")</f>
        <v>-899.79999999984489</v>
      </c>
      <c r="BN2473" s="343">
        <f>SUMIFS($AU$2420:AU2626,$AQ$2420:AQ2626,"H")</f>
        <v>1762.9999999999427</v>
      </c>
      <c r="BO2473" s="343">
        <f>SUMIFS($AU$2420:AU2626,$AQ$2420:AQ2626,"D")</f>
        <v>-767.99999999998977</v>
      </c>
      <c r="BP2473" s="343">
        <f>SUMIFS($AS$2420:AS2714,$AO$2420:AO2714,"W")</f>
        <v>0</v>
      </c>
      <c r="BQ2473" s="343">
        <f>SUMIFS($AU$2420:AU2626,$Q$2420:Q2626,"O")</f>
        <v>-884.7999999998965</v>
      </c>
      <c r="BR2473" s="343">
        <f>SUMIFS($AU$2420:AU2626,$AA$2420:AA2626,"*")</f>
        <v>-512.79999999998074</v>
      </c>
      <c r="BS2473" s="343">
        <f>SUMIFS($AU$2420:AU2626,$AB$2420:AB2626,"*")</f>
        <v>-451.99999999997726</v>
      </c>
      <c r="BT2473" s="343">
        <f>SUMIFS($AU$2420:AU2626,$AC$2420:AC2626,"*")</f>
        <v>-143.99999999999909</v>
      </c>
      <c r="BU2473" s="343">
        <f>SUMIFS($AU$2420:AU2626,$AA$2420:AA2626,"*",$AB$2420:AB2626,"*")</f>
        <v>95.999999999933891</v>
      </c>
      <c r="BV2473" s="343">
        <f>SUMIFS($AU$2420:AU2626,$AA$2420:AA2626,"*",$AC$2420:AC2626,"*")</f>
        <v>-591.99999999999977</v>
      </c>
      <c r="BW2473" s="343">
        <f>SUMIFS($AU$2420:AU2626,$AB$2420:AB2626,"*",$AC$2420:AC2626,"*")</f>
        <v>-143.99999999999966</v>
      </c>
      <c r="BX2473" s="343">
        <f>SUMIFS($AV$2420:AV2626,$Q$2420:Q2626,"F")</f>
        <v>18.153846153846242</v>
      </c>
      <c r="BY2473" s="343">
        <f>SUMIFS($AV$2420:AV2626,$Q$2420:Q2626,"S")</f>
        <v>64.044720496894826</v>
      </c>
      <c r="BZ2473" s="343">
        <f>SUMIFS($AV$2420:AV2626,$Q$2420:Q2626,"O")</f>
        <v>-458.13333333332537</v>
      </c>
    </row>
    <row r="2474" spans="1:78" ht="15.75" customHeight="1">
      <c r="A2474" s="177" t="s">
        <v>7465</v>
      </c>
      <c r="B2474" s="200">
        <v>45534</v>
      </c>
      <c r="C2474" s="178" t="s">
        <v>7710</v>
      </c>
      <c r="D2474" s="178" t="s">
        <v>111</v>
      </c>
      <c r="E2474" s="227"/>
      <c r="F2474" s="180"/>
      <c r="G2474" s="497" t="s">
        <v>7279</v>
      </c>
      <c r="H2474" s="182"/>
      <c r="I2474" s="182"/>
      <c r="J2474" s="182"/>
      <c r="K2474" s="183"/>
      <c r="L2474" s="182"/>
      <c r="M2474" s="182">
        <v>1</v>
      </c>
      <c r="N2474" s="182"/>
      <c r="O2474" s="183" t="s">
        <v>95</v>
      </c>
      <c r="P2474" s="183" t="s">
        <v>137</v>
      </c>
      <c r="Q2474" s="183" t="s">
        <v>97</v>
      </c>
      <c r="R2474" s="183">
        <v>15</v>
      </c>
      <c r="S2474" s="183">
        <v>0</v>
      </c>
      <c r="T2474" s="183">
        <v>7</v>
      </c>
      <c r="U2474" s="183" t="s">
        <v>22</v>
      </c>
      <c r="V2474" s="183" t="s">
        <v>7357</v>
      </c>
      <c r="W2474" s="183" t="s">
        <v>22</v>
      </c>
      <c r="X2474" s="183" t="s">
        <v>7467</v>
      </c>
      <c r="Y2474" s="184">
        <f>IF(ISBLANK(O2474),"",(IF(O2474=UPPER("IB"),0.005,0.01)))</f>
        <v>0.01</v>
      </c>
      <c r="Z2474" s="185">
        <f>IF(ISBLANK(O2474),"",IF(O2474="IB",8.63*200,IF(O2474="IR",16*100,IF(O2474="YT",20*100,IF(O2474="YT-XT",24*200,IF(O2474="TED",80*100,IF(O2474="XT",29*200)))))))</f>
        <v>1600</v>
      </c>
      <c r="AA2474" s="185"/>
      <c r="AB2474" s="185"/>
      <c r="AC2474" s="185" t="s">
        <v>7732</v>
      </c>
      <c r="AD2474" s="649">
        <f>((-0.17*11)+(-0.16*4))/15</f>
        <v>-0.16733333333333336</v>
      </c>
      <c r="AE2474" s="182"/>
      <c r="AF2474" s="332"/>
      <c r="AG2474" s="182"/>
      <c r="AH2474" s="182"/>
      <c r="AI2474" s="182"/>
      <c r="AJ2474" s="640"/>
      <c r="AK2474" s="182"/>
      <c r="AL2474" s="496">
        <f t="shared" si="813"/>
        <v>-32</v>
      </c>
      <c r="AM2474" s="496">
        <f t="shared" si="820"/>
        <v>-480</v>
      </c>
      <c r="AN2474" s="626"/>
      <c r="AO2474" s="182"/>
      <c r="AP2474" s="182" t="s">
        <v>999</v>
      </c>
      <c r="AQ2474" s="332" t="s">
        <v>115</v>
      </c>
      <c r="AR2474" s="298">
        <v>45538</v>
      </c>
      <c r="AS2474" s="189">
        <v>-0.16</v>
      </c>
      <c r="AT2474" s="189">
        <f t="shared" si="821"/>
        <v>7.3333333333333584E-3</v>
      </c>
      <c r="AU2474" s="187">
        <f t="shared" si="822"/>
        <v>176.0000000000006</v>
      </c>
      <c r="AV2474" s="190">
        <f t="shared" si="814"/>
        <v>11.733333333333373</v>
      </c>
      <c r="AW2474" s="191" t="s">
        <v>96</v>
      </c>
      <c r="AX2474" s="549"/>
      <c r="AY2474" s="549"/>
      <c r="AZ2474" s="549"/>
      <c r="BA2474" s="549"/>
      <c r="BB2474" s="551"/>
      <c r="BC2474" s="551"/>
      <c r="BD2474" s="549"/>
      <c r="BE2474" s="550"/>
      <c r="BF2474" s="549"/>
      <c r="BG2474" s="391">
        <f>SUM($AV$2420:AV2474)</f>
        <v>-158.08571428573799</v>
      </c>
      <c r="BH2474" s="392">
        <f>SUM($AU$2420:AU2474)</f>
        <v>28.999999999961403</v>
      </c>
      <c r="BI2474" s="318">
        <f>SUMIFS($AU$2420:AU2627,$Q$2420:Q2627,"F")</f>
        <v>-143.99999999999949</v>
      </c>
      <c r="BJ2474" s="318">
        <f>SUMIFS($AU$2420:AU2627,$Q$2420:Q2627,"S")</f>
        <v>256.00000000000466</v>
      </c>
      <c r="BK2474" s="343">
        <f>SUMIFS($AU$2420:AU2627,$P$2420:P2627,"W")</f>
        <v>-607.99999999991883</v>
      </c>
      <c r="BL2474" s="343">
        <f>SUMIFS($AU$2420:AU2627,$P$2420:P2627,"R")</f>
        <v>911.99999999999966</v>
      </c>
      <c r="BM2474" s="343">
        <f>SUMIFS($AU$2420:AU2627,$AQ$2420:AQ2627,"M")</f>
        <v>-899.79999999984489</v>
      </c>
      <c r="BN2474" s="343">
        <f>SUMIFS($AU$2420:AU2627,$AQ$2420:AQ2627,"H")</f>
        <v>1762.9999999999427</v>
      </c>
      <c r="BO2474" s="343">
        <f>SUMIFS($AU$2420:AU2627,$AQ$2420:AQ2627,"D")</f>
        <v>-767.99999999998977</v>
      </c>
      <c r="BP2474" s="343">
        <f>SUMIFS($AS$2420:AS2715,$AO$2420:AO2715,"W")</f>
        <v>0</v>
      </c>
      <c r="BQ2474" s="343">
        <f>SUMIFS($AU$2420:AU2627,$Q$2420:Q2627,"O")</f>
        <v>-884.7999999998965</v>
      </c>
      <c r="BR2474" s="343">
        <f>SUMIFS($AU$2420:AU2627,$AA$2420:AA2627,"*")</f>
        <v>-512.79999999998074</v>
      </c>
      <c r="BS2474" s="343">
        <f>SUMIFS($AU$2420:AU2627,$AB$2420:AB2627,"*")</f>
        <v>-451.99999999997726</v>
      </c>
      <c r="BT2474" s="343">
        <f>SUMIFS($AU$2420:AU2627,$AC$2420:AC2627,"*")</f>
        <v>-143.99999999999909</v>
      </c>
      <c r="BU2474" s="343">
        <f>SUMIFS($AU$2420:AU2627,$AA$2420:AA2627,"*",$AB$2420:AB2627,"*")</f>
        <v>95.999999999933891</v>
      </c>
      <c r="BV2474" s="343">
        <f>SUMIFS($AU$2420:AU2627,$AA$2420:AA2627,"*",$AC$2420:AC2627,"*")</f>
        <v>-591.99999999999977</v>
      </c>
      <c r="BW2474" s="343">
        <f>SUMIFS($AU$2420:AU2627,$AB$2420:AB2627,"*",$AC$2420:AC2627,"*")</f>
        <v>-143.99999999999966</v>
      </c>
      <c r="BX2474" s="343">
        <f>SUMIFS($AV$2420:AV2627,$Q$2420:Q2627,"F")</f>
        <v>18.153846153846242</v>
      </c>
      <c r="BY2474" s="343">
        <f>SUMIFS($AV$2420:AV2627,$Q$2420:Q2627,"S")</f>
        <v>64.044720496894826</v>
      </c>
      <c r="BZ2474" s="343">
        <f>SUMIFS($AV$2420:AV2627,$Q$2420:Q2627,"O")</f>
        <v>-458.13333333332537</v>
      </c>
    </row>
    <row r="2475" spans="1:78" ht="15.75" customHeight="1">
      <c r="A2475" s="177" t="s">
        <v>7465</v>
      </c>
      <c r="B2475" s="200"/>
      <c r="C2475" s="178"/>
      <c r="D2475" s="178"/>
      <c r="E2475" s="227"/>
      <c r="F2475" s="180"/>
      <c r="G2475" s="181"/>
      <c r="H2475" s="182"/>
      <c r="I2475" s="182"/>
      <c r="J2475" s="182"/>
      <c r="K2475" s="183"/>
      <c r="L2475" s="182"/>
      <c r="M2475" s="182"/>
      <c r="N2475" s="182"/>
      <c r="O2475" s="183"/>
      <c r="P2475" s="183"/>
      <c r="Q2475" s="183"/>
      <c r="R2475" s="183"/>
      <c r="S2475" s="183"/>
      <c r="T2475" s="183"/>
      <c r="U2475" s="183"/>
      <c r="V2475" s="183"/>
      <c r="W2475" s="183"/>
      <c r="X2475" s="183"/>
      <c r="Y2475" s="183"/>
      <c r="Z2475" s="183"/>
      <c r="AA2475" s="185"/>
      <c r="AB2475" s="185"/>
      <c r="AC2475" s="185"/>
      <c r="AD2475" s="649"/>
      <c r="AE2475" s="182"/>
      <c r="AF2475" s="332"/>
      <c r="AG2475" s="182"/>
      <c r="AH2475" s="182"/>
      <c r="AI2475" s="182"/>
      <c r="AJ2475" s="640"/>
      <c r="AK2475" s="182"/>
      <c r="AL2475" s="496">
        <f t="shared" ref="AL2475:AL2477" si="860">-0.02*Z2475</f>
        <v>0</v>
      </c>
      <c r="AM2475" s="496">
        <f>AL2475*(R2475-S2475)</f>
        <v>0</v>
      </c>
      <c r="AN2475" s="626"/>
      <c r="AO2475" s="182"/>
      <c r="AP2475" s="182"/>
      <c r="AQ2475" s="332" t="str">
        <f>UPPER(RIGHT(Journal_Live[[#This Row],[DURATION ]]))</f>
        <v/>
      </c>
      <c r="AR2475" s="182"/>
      <c r="AS2475" s="189"/>
      <c r="AT2475" s="189">
        <f>IF(ISBLANK(AS2475),,IF(U2475="S",AD2475-AS2475,AS2475-AD2475))</f>
        <v>0</v>
      </c>
      <c r="AU2475" s="187">
        <f>AV2475*R2475</f>
        <v>0</v>
      </c>
      <c r="AV2475" s="190">
        <f t="shared" si="685"/>
        <v>0</v>
      </c>
      <c r="AW2475" s="191"/>
      <c r="AX2475" s="549"/>
      <c r="AY2475" s="549"/>
      <c r="AZ2475" s="549"/>
      <c r="BA2475" s="549"/>
      <c r="BB2475" s="551"/>
      <c r="BC2475" s="551"/>
      <c r="BD2475" s="549"/>
      <c r="BE2475" s="550"/>
      <c r="BF2475" s="549"/>
      <c r="BG2475" s="391">
        <f>SUM($AV$2420:AV2475)</f>
        <v>-158.08571428573799</v>
      </c>
      <c r="BH2475" s="392">
        <f>SUM($AU$2420:AU2475)</f>
        <v>28.999999999961403</v>
      </c>
      <c r="BI2475" s="318">
        <f>SUMIFS($AU$2420:AU2628,$Q$2420:Q2628,"F")</f>
        <v>-143.99999999999949</v>
      </c>
      <c r="BJ2475" s="318">
        <f>SUMIFS($AU$2420:AU2628,$Q$2420:Q2628,"S")</f>
        <v>256.00000000000466</v>
      </c>
      <c r="BK2475" s="343">
        <f>SUMIFS($AU$2420:AU2628,$P$2420:P2628,"W")</f>
        <v>-607.99999999991883</v>
      </c>
      <c r="BL2475" s="343">
        <f>SUMIFS($AU$2420:AU2628,$P$2420:P2628,"R")</f>
        <v>911.99999999999966</v>
      </c>
      <c r="BM2475" s="343">
        <f>SUMIFS($AU$2420:AU2628,$AQ$2420:AQ2628,"M")</f>
        <v>-899.79999999984489</v>
      </c>
      <c r="BN2475" s="343">
        <f>SUMIFS($AU$2420:AU2628,$AQ$2420:AQ2628,"H")</f>
        <v>1762.9999999999427</v>
      </c>
      <c r="BO2475" s="343">
        <f>SUMIFS($AU$2420:AU2628,$AQ$2420:AQ2628,"D")</f>
        <v>-767.99999999998977</v>
      </c>
      <c r="BP2475" s="343">
        <f>SUMIFS($AS$2420:AS2716,$AO$2420:AO2716,"W")</f>
        <v>0</v>
      </c>
      <c r="BQ2475" s="343">
        <f>SUMIFS($AU$2420:AU2628,$Q$2420:Q2628,"O")</f>
        <v>-884.7999999998965</v>
      </c>
      <c r="BR2475" s="343">
        <f>SUMIFS($AU$2420:AU2628,$AA$2420:AA2628,"*")</f>
        <v>-512.79999999998074</v>
      </c>
      <c r="BS2475" s="343">
        <f>SUMIFS($AU$2420:AU2628,$AB$2420:AB2628,"*")</f>
        <v>-451.99999999997726</v>
      </c>
      <c r="BT2475" s="343">
        <f>SUMIFS($AU$2420:AU2628,$AC$2420:AC2628,"*")</f>
        <v>-143.99999999999909</v>
      </c>
      <c r="BU2475" s="343">
        <f>SUMIFS($AU$2420:AU2628,$AA$2420:AA2628,"*",$AB$2420:AB2628,"*")</f>
        <v>95.999999999933891</v>
      </c>
      <c r="BV2475" s="343">
        <f>SUMIFS($AU$2420:AU2628,$AA$2420:AA2628,"*",$AC$2420:AC2628,"*")</f>
        <v>-591.99999999999977</v>
      </c>
      <c r="BW2475" s="343">
        <f>SUMIFS($AU$2420:AU2628,$AB$2420:AB2628,"*",$AC$2420:AC2628,"*")</f>
        <v>-143.99999999999966</v>
      </c>
      <c r="BX2475" s="343">
        <f>SUMIFS($AV$2420:AV2628,$Q$2420:Q2628,"F")</f>
        <v>18.153846153846242</v>
      </c>
      <c r="BY2475" s="343">
        <f>SUMIFS($AV$2420:AV2628,$Q$2420:Q2628,"S")</f>
        <v>64.044720496894826</v>
      </c>
      <c r="BZ2475" s="343">
        <f>SUMIFS($AV$2420:AV2628,$Q$2420:Q2628,"O")</f>
        <v>-458.13333333332537</v>
      </c>
    </row>
    <row r="2476" spans="1:78" ht="15.75" customHeight="1">
      <c r="A2476" s="177" t="s">
        <v>7465</v>
      </c>
      <c r="B2476" s="200"/>
      <c r="C2476" s="178"/>
      <c r="D2476" s="178"/>
      <c r="E2476" s="227"/>
      <c r="F2476" s="180"/>
      <c r="G2476" s="181"/>
      <c r="H2476" s="182"/>
      <c r="I2476" s="182"/>
      <c r="J2476" s="182"/>
      <c r="K2476" s="183"/>
      <c r="L2476" s="182"/>
      <c r="M2476" s="182"/>
      <c r="N2476" s="182"/>
      <c r="O2476" s="183"/>
      <c r="P2476" s="183"/>
      <c r="Q2476" s="183"/>
      <c r="R2476" s="183"/>
      <c r="S2476" s="183"/>
      <c r="T2476" s="183"/>
      <c r="U2476" s="183"/>
      <c r="V2476" s="183"/>
      <c r="W2476" s="183"/>
      <c r="X2476" s="183"/>
      <c r="Y2476" s="183"/>
      <c r="Z2476" s="183"/>
      <c r="AA2476" s="185"/>
      <c r="AB2476" s="185"/>
      <c r="AC2476" s="185"/>
      <c r="AD2476" s="649"/>
      <c r="AE2476" s="182"/>
      <c r="AF2476" s="332"/>
      <c r="AG2476" s="182"/>
      <c r="AH2476" s="182"/>
      <c r="AI2476" s="182"/>
      <c r="AJ2476" s="640"/>
      <c r="AK2476" s="182"/>
      <c r="AL2476" s="496">
        <f t="shared" si="860"/>
        <v>0</v>
      </c>
      <c r="AM2476" s="496">
        <f>AL2476*(R2476-S2476)</f>
        <v>0</v>
      </c>
      <c r="AN2476" s="626"/>
      <c r="AO2476" s="182"/>
      <c r="AP2476" s="182"/>
      <c r="AQ2476" s="332" t="str">
        <f>UPPER(RIGHT(Journal_Live[[#This Row],[DURATION ]]))</f>
        <v/>
      </c>
      <c r="AR2476" s="182"/>
      <c r="AS2476" s="189"/>
      <c r="AT2476" s="189">
        <f>IF(ISBLANK(AS2476),,IF(U2476="S",AD2476-AS2476,AS2476-AD2476))</f>
        <v>0</v>
      </c>
      <c r="AU2476" s="187">
        <f>AV2476*R2476</f>
        <v>0</v>
      </c>
      <c r="AV2476" s="190">
        <f t="shared" ref="AV2476:AV2477" si="861">IF(ISBLANK(AS2476),,(AT2476*Z2476))</f>
        <v>0</v>
      </c>
      <c r="AW2476" s="191"/>
      <c r="AX2476" s="551"/>
      <c r="AY2476" s="551"/>
      <c r="AZ2476" s="551"/>
      <c r="BA2476" s="551"/>
      <c r="BB2476" s="551"/>
      <c r="BC2476" s="551"/>
      <c r="BD2476" s="551"/>
      <c r="BE2476" s="550"/>
      <c r="BF2476" s="549"/>
      <c r="BG2476" s="391">
        <f>SUM($AV$2420:AV2476)</f>
        <v>-158.08571428573799</v>
      </c>
      <c r="BH2476" s="392">
        <f>SUM($AU$2420:AU2476)</f>
        <v>28.999999999961403</v>
      </c>
      <c r="BI2476" s="318">
        <f>SUMIFS($AU$2420:AU2629,$Q$2420:Q2629,"F")</f>
        <v>-143.99999999999949</v>
      </c>
      <c r="BJ2476" s="318">
        <f>SUMIFS($AU$2420:AU2629,$Q$2420:Q2629,"S")</f>
        <v>256.00000000000466</v>
      </c>
      <c r="BK2476" s="343">
        <f>SUMIFS($AU$2420:AU2629,$P$2420:P2629,"W")</f>
        <v>-607.99999999991883</v>
      </c>
      <c r="BL2476" s="343">
        <f>SUMIFS($AU$2420:AU2629,$P$2420:P2629,"R")</f>
        <v>911.99999999999966</v>
      </c>
      <c r="BM2476" s="343">
        <f>SUMIFS($AU$2420:AU2629,$AQ$2420:AQ2629,"M")</f>
        <v>-899.79999999984489</v>
      </c>
      <c r="BN2476" s="343">
        <f>SUMIFS($AU$2420:AU2629,$AQ$2420:AQ2629,"H")</f>
        <v>1762.9999999999427</v>
      </c>
      <c r="BO2476" s="343">
        <f>SUMIFS($AU$2420:AU2629,$AQ$2420:AQ2629,"D")</f>
        <v>-767.99999999998977</v>
      </c>
      <c r="BP2476" s="343">
        <f>SUMIFS($AS$2420:AS2717,$AO$2420:AO2717,"W")</f>
        <v>0</v>
      </c>
      <c r="BQ2476" s="343">
        <f>SUMIFS($AU$2420:AU2629,$Q$2420:Q2629,"O")</f>
        <v>-884.7999999998965</v>
      </c>
      <c r="BR2476" s="343">
        <f>SUMIFS($AU$2420:AU2629,$AA$2420:AA2629,"*")</f>
        <v>-512.79999999998074</v>
      </c>
      <c r="BS2476" s="343">
        <f>SUMIFS($AU$2420:AU2629,$AB$2420:AB2629,"*")</f>
        <v>-451.99999999997726</v>
      </c>
      <c r="BT2476" s="343">
        <f>SUMIFS($AU$2420:AU2629,$AC$2420:AC2629,"*")</f>
        <v>-143.99999999999909</v>
      </c>
      <c r="BU2476" s="343">
        <f>SUMIFS($AU$2420:AU2629,$AA$2420:AA2629,"*",$AB$2420:AB2629,"*")</f>
        <v>95.999999999933891</v>
      </c>
      <c r="BV2476" s="343">
        <f>SUMIFS($AU$2420:AU2629,$AA$2420:AA2629,"*",$AC$2420:AC2629,"*")</f>
        <v>-591.99999999999977</v>
      </c>
      <c r="BW2476" s="343">
        <f>SUMIFS($AU$2420:AU2629,$AB$2420:AB2629,"*",$AC$2420:AC2629,"*")</f>
        <v>-143.99999999999966</v>
      </c>
      <c r="BX2476" s="343">
        <f>SUMIFS($AV$2420:AV2629,$Q$2420:Q2629,"F")</f>
        <v>18.153846153846242</v>
      </c>
      <c r="BY2476" s="343">
        <f>SUMIFS($AV$2420:AV2629,$Q$2420:Q2629,"S")</f>
        <v>64.044720496894826</v>
      </c>
      <c r="BZ2476" s="343">
        <f>SUMIFS($AV$2420:AV2629,$Q$2420:Q2629,"O")</f>
        <v>-458.13333333332537</v>
      </c>
    </row>
    <row r="2477" spans="1:78" ht="15.75" customHeight="1">
      <c r="A2477" s="177" t="s">
        <v>7465</v>
      </c>
      <c r="B2477" s="200"/>
      <c r="C2477" s="178"/>
      <c r="D2477" s="178"/>
      <c r="E2477" s="227"/>
      <c r="F2477" s="180"/>
      <c r="G2477" s="181"/>
      <c r="H2477" s="182"/>
      <c r="I2477" s="182"/>
      <c r="J2477" s="182"/>
      <c r="K2477" s="183"/>
      <c r="L2477" s="182"/>
      <c r="M2477" s="182"/>
      <c r="N2477" s="182"/>
      <c r="O2477" s="183"/>
      <c r="P2477" s="183"/>
      <c r="Q2477" s="183"/>
      <c r="R2477" s="183"/>
      <c r="S2477" s="183"/>
      <c r="T2477" s="183"/>
      <c r="U2477" s="183"/>
      <c r="V2477" s="183"/>
      <c r="W2477" s="183"/>
      <c r="X2477" s="183"/>
      <c r="Y2477" s="183"/>
      <c r="Z2477" s="183"/>
      <c r="AA2477" s="185"/>
      <c r="AB2477" s="185"/>
      <c r="AC2477" s="185"/>
      <c r="AD2477" s="649"/>
      <c r="AE2477" s="182"/>
      <c r="AF2477" s="332"/>
      <c r="AG2477" s="182"/>
      <c r="AH2477" s="182"/>
      <c r="AI2477" s="182"/>
      <c r="AJ2477" s="640"/>
      <c r="AK2477" s="182"/>
      <c r="AL2477" s="496">
        <f t="shared" si="860"/>
        <v>0</v>
      </c>
      <c r="AM2477" s="496">
        <f>AL2477*(R2477-S2477)</f>
        <v>0</v>
      </c>
      <c r="AN2477" s="626"/>
      <c r="AO2477" s="182"/>
      <c r="AP2477" s="182"/>
      <c r="AQ2477" s="332" t="str">
        <f>UPPER(RIGHT(Journal_Live[[#This Row],[DURATION ]]))</f>
        <v/>
      </c>
      <c r="AR2477" s="182"/>
      <c r="AS2477" s="189"/>
      <c r="AT2477" s="189">
        <f>IF(ISBLANK(AS2477),,IF(U2477="S",AD2477-AS2477,AS2477-AD2477))</f>
        <v>0</v>
      </c>
      <c r="AU2477" s="187">
        <f>AV2477*R2477</f>
        <v>0</v>
      </c>
      <c r="AV2477" s="190">
        <f t="shared" si="861"/>
        <v>0</v>
      </c>
      <c r="AW2477" s="191"/>
      <c r="AX2477" s="551"/>
      <c r="AY2477" s="551"/>
      <c r="AZ2477" s="551"/>
      <c r="BA2477" s="551"/>
      <c r="BB2477" s="551"/>
      <c r="BC2477" s="551"/>
      <c r="BD2477" s="551"/>
      <c r="BE2477" s="550"/>
      <c r="BF2477" s="549"/>
      <c r="BG2477" s="391">
        <f>SUM($AV$2420:AV2477)</f>
        <v>-158.08571428573799</v>
      </c>
      <c r="BH2477" s="392">
        <f>SUM($AU$2420:AU2477)</f>
        <v>28.999999999961403</v>
      </c>
      <c r="BI2477" s="318">
        <f>SUMIFS($AU$2420:AU2630,$Q$2420:Q2630,"F")</f>
        <v>-143.99999999999949</v>
      </c>
      <c r="BJ2477" s="318">
        <f>SUMIFS($AU$2420:AU2630,$Q$2420:Q2630,"S")</f>
        <v>256.00000000000466</v>
      </c>
      <c r="BK2477" s="343">
        <f>SUMIFS($AU$2420:AU2630,$P$2420:P2630,"W")</f>
        <v>-607.99999999991883</v>
      </c>
      <c r="BL2477" s="343">
        <f>SUMIFS($AU$2420:AU2630,$P$2420:P2630,"R")</f>
        <v>911.99999999999966</v>
      </c>
      <c r="BM2477" s="343">
        <f>SUMIFS($AU$2420:AU2630,$AQ$2420:AQ2630,"M")</f>
        <v>-899.79999999984489</v>
      </c>
      <c r="BN2477" s="343">
        <f>SUMIFS($AU$2420:AU2630,$AQ$2420:AQ2630,"H")</f>
        <v>1762.9999999999427</v>
      </c>
      <c r="BO2477" s="343">
        <f>SUMIFS($AU$2420:AU2630,$AQ$2420:AQ2630,"D")</f>
        <v>-767.99999999998977</v>
      </c>
      <c r="BP2477" s="343">
        <f>SUMIFS($AS$2420:AS2718,$AO$2420:AO2718,"W")</f>
        <v>0</v>
      </c>
      <c r="BQ2477" s="343">
        <f>SUMIFS($AU$2420:AU2630,$Q$2420:Q2630,"O")</f>
        <v>-884.7999999998965</v>
      </c>
      <c r="BR2477" s="343">
        <f>SUMIFS($AU$2420:AU2630,$AA$2420:AA2630,"*")</f>
        <v>-512.79999999998074</v>
      </c>
      <c r="BS2477" s="343">
        <f>SUMIFS($AU$2420:AU2630,$AB$2420:AB2630,"*")</f>
        <v>-451.99999999997726</v>
      </c>
      <c r="BT2477" s="343">
        <f>SUMIFS($AU$2420:AU2630,$AC$2420:AC2630,"*")</f>
        <v>-143.99999999999909</v>
      </c>
      <c r="BU2477" s="343">
        <f>SUMIFS($AU$2420:AU2630,$AA$2420:AA2630,"*",$AB$2420:AB2630,"*")</f>
        <v>95.999999999933891</v>
      </c>
      <c r="BV2477" s="343">
        <f>SUMIFS($AU$2420:AU2630,$AA$2420:AA2630,"*",$AC$2420:AC2630,"*")</f>
        <v>-591.99999999999977</v>
      </c>
      <c r="BW2477" s="343">
        <f>SUMIFS($AU$2420:AU2630,$AB$2420:AB2630,"*",$AC$2420:AC2630,"*")</f>
        <v>-143.99999999999966</v>
      </c>
      <c r="BX2477" s="343">
        <f>SUMIFS($AV$2420:AV2630,$Q$2420:Q2630,"F")</f>
        <v>18.153846153846242</v>
      </c>
      <c r="BY2477" s="343">
        <f>SUMIFS($AV$2420:AV2630,$Q$2420:Q2630,"S")</f>
        <v>64.044720496894826</v>
      </c>
      <c r="BZ2477" s="343">
        <f>SUMIFS($AV$2420:AV2630,$Q$2420:Q2630,"O")</f>
        <v>-458.13333333332537</v>
      </c>
    </row>
    <row r="2478" spans="1:78" ht="15.75" customHeight="1">
      <c r="A2478" s="177" t="s">
        <v>7465</v>
      </c>
      <c r="B2478" s="200"/>
      <c r="C2478" s="178"/>
      <c r="D2478" s="178"/>
      <c r="E2478" s="227"/>
      <c r="F2478" s="180"/>
      <c r="G2478" s="181"/>
      <c r="H2478" s="182"/>
      <c r="I2478" s="182"/>
      <c r="J2478" s="182"/>
      <c r="K2478" s="183"/>
      <c r="L2478" s="182"/>
      <c r="M2478" s="182"/>
      <c r="N2478" s="182"/>
      <c r="O2478" s="183"/>
      <c r="P2478" s="183"/>
      <c r="Q2478" s="183"/>
      <c r="R2478" s="183"/>
      <c r="S2478" s="183"/>
      <c r="T2478" s="183"/>
      <c r="U2478" s="183"/>
      <c r="V2478" s="183"/>
      <c r="W2478" s="183"/>
      <c r="X2478" s="183"/>
      <c r="Y2478" s="183"/>
      <c r="Z2478" s="183"/>
      <c r="AA2478" s="185"/>
      <c r="AB2478" s="185"/>
      <c r="AC2478" s="185"/>
      <c r="AD2478" s="649"/>
      <c r="AE2478" s="182"/>
      <c r="AF2478" s="332"/>
      <c r="AG2478" s="182"/>
      <c r="AH2478" s="182"/>
      <c r="AI2478" s="182"/>
      <c r="AJ2478" s="640"/>
      <c r="AK2478" s="182"/>
      <c r="AL2478" s="496">
        <f t="shared" ref="AL2478" si="862">-0.02*Z2478</f>
        <v>0</v>
      </c>
      <c r="AM2478" s="496">
        <f>AL2478*(R2478-S2478)</f>
        <v>0</v>
      </c>
      <c r="AN2478" s="626"/>
      <c r="AO2478" s="182"/>
      <c r="AP2478" s="182"/>
      <c r="AQ2478" s="332" t="str">
        <f>UPPER(RIGHT(Journal_Live[[#This Row],[DURATION ]]))</f>
        <v/>
      </c>
      <c r="AR2478" s="182"/>
      <c r="AS2478" s="189"/>
      <c r="AT2478" s="189">
        <f>IF(ISBLANK(AS2478),,IF(U2478="S",AD2478-AS2478,AS2478-AD2478))</f>
        <v>0</v>
      </c>
      <c r="AU2478" s="187">
        <f>AV2478*R2478</f>
        <v>0</v>
      </c>
      <c r="AV2478" s="190">
        <f t="shared" ref="AV2478" si="863">IF(ISBLANK(AS2478),,(AT2478*Z2478))</f>
        <v>0</v>
      </c>
      <c r="AW2478" s="191"/>
      <c r="AX2478" s="551"/>
      <c r="AY2478" s="551"/>
      <c r="AZ2478" s="551"/>
      <c r="BA2478" s="551"/>
      <c r="BB2478" s="551"/>
      <c r="BC2478" s="551"/>
      <c r="BD2478" s="551"/>
      <c r="BE2478" s="550"/>
      <c r="BF2478" s="549"/>
      <c r="BG2478" s="391">
        <f>SUM($AV$2420:AV2478)</f>
        <v>-158.08571428573799</v>
      </c>
      <c r="BH2478" s="392">
        <f>SUM($AU$2420:AU2478)</f>
        <v>28.999999999961403</v>
      </c>
      <c r="BI2478" s="318">
        <f>SUMIFS($AU$2420:AU2631,$Q$2420:Q2631,"F")</f>
        <v>-143.99999999999949</v>
      </c>
      <c r="BJ2478" s="318">
        <f>SUMIFS($AU$2420:AU2631,$Q$2420:Q2631,"S")</f>
        <v>256.00000000000466</v>
      </c>
      <c r="BK2478" s="343">
        <f>SUMIFS($AU$2420:AU2631,$P$2420:P2631,"W")</f>
        <v>-607.99999999991883</v>
      </c>
      <c r="BL2478" s="343">
        <f>SUMIFS($AU$2420:AU2631,$P$2420:P2631,"R")</f>
        <v>911.99999999999966</v>
      </c>
      <c r="BM2478" s="343">
        <f>SUMIFS($AU$2420:AU2631,$AQ$2420:AQ2631,"M")</f>
        <v>-899.79999999984489</v>
      </c>
      <c r="BN2478" s="343">
        <f>SUMIFS($AU$2420:AU2631,$AQ$2420:AQ2631,"H")</f>
        <v>1762.9999999999427</v>
      </c>
      <c r="BO2478" s="343">
        <f>SUMIFS($AU$2420:AU2631,$AQ$2420:AQ2631,"D")</f>
        <v>-767.99999999998977</v>
      </c>
      <c r="BP2478" s="343">
        <f>SUMIFS($AS$2420:AS2719,$AO$2420:AO2719,"W")</f>
        <v>0</v>
      </c>
      <c r="BQ2478" s="343">
        <f>SUMIFS($AU$2420:AU2631,$Q$2420:Q2631,"O")</f>
        <v>-884.7999999998965</v>
      </c>
      <c r="BR2478" s="343">
        <f>SUMIFS($AU$2420:AU2631,$AA$2420:AA2631,"*")</f>
        <v>-512.79999999998074</v>
      </c>
      <c r="BS2478" s="343">
        <f>SUMIFS($AU$2420:AU2631,$AB$2420:AB2631,"*")</f>
        <v>-451.99999999997726</v>
      </c>
      <c r="BT2478" s="343">
        <f>SUMIFS($AU$2420:AU2631,$AC$2420:AC2631,"*")</f>
        <v>-143.99999999999909</v>
      </c>
      <c r="BU2478" s="343">
        <f>SUMIFS($AU$2420:AU2631,$AA$2420:AA2631,"*",$AB$2420:AB2631,"*")</f>
        <v>95.999999999933891</v>
      </c>
      <c r="BV2478" s="343">
        <f>SUMIFS($AU$2420:AU2631,$AA$2420:AA2631,"*",$AC$2420:AC2631,"*")</f>
        <v>-591.99999999999977</v>
      </c>
      <c r="BW2478" s="343">
        <f>SUMIFS($AU$2420:AU2631,$AB$2420:AB2631,"*",$AC$2420:AC2631,"*")</f>
        <v>-143.99999999999966</v>
      </c>
      <c r="BX2478" s="343">
        <f>SUMIFS($AV$2420:AV2631,$Q$2420:Q2631,"F")</f>
        <v>18.153846153846242</v>
      </c>
      <c r="BY2478" s="343">
        <f>SUMIFS($AV$2420:AV2631,$Q$2420:Q2631,"S")</f>
        <v>64.044720496894826</v>
      </c>
      <c r="BZ2478" s="343">
        <f>SUMIFS($AV$2420:AV2631,$Q$2420:Q2631,"O")</f>
        <v>-458.13333333332537</v>
      </c>
    </row>
    <row r="2479" spans="1:78" ht="15.75" customHeight="1">
      <c r="A2479" s="492" t="s">
        <v>7733</v>
      </c>
      <c r="B2479" s="273"/>
      <c r="C2479" s="214"/>
      <c r="D2479" s="214"/>
      <c r="E2479" s="215"/>
      <c r="F2479" s="216"/>
      <c r="G2479" s="214"/>
      <c r="H2479" s="214"/>
      <c r="I2479" s="214"/>
      <c r="J2479" s="214"/>
      <c r="K2479" s="217"/>
      <c r="L2479" s="214"/>
      <c r="M2479" s="214"/>
      <c r="N2479" s="214"/>
      <c r="O2479" s="214"/>
      <c r="P2479" s="217"/>
      <c r="Q2479" s="217"/>
      <c r="R2479" s="217"/>
      <c r="S2479" s="217"/>
      <c r="T2479" s="217"/>
      <c r="U2479" s="217"/>
      <c r="V2479" s="217"/>
      <c r="W2479" s="217"/>
      <c r="X2479" s="217"/>
      <c r="Y2479" s="217"/>
      <c r="Z2479" s="218" t="str">
        <f>IF(ISBLANK(O2479),"",IF(O2479="IB",8.63*200,IF(O2479="IR",16*100,IF(O2479="YT",20*100,IF(O2479="YT-XT",24*200,IF(O2479="TED",80*100))))))</f>
        <v/>
      </c>
      <c r="AA2479" s="218"/>
      <c r="AB2479" s="218"/>
      <c r="AC2479" s="218"/>
      <c r="AD2479" s="651"/>
      <c r="AE2479" s="214"/>
      <c r="AF2479" s="214"/>
      <c r="AG2479" s="214"/>
      <c r="AH2479" s="214"/>
      <c r="AI2479" s="214"/>
      <c r="AJ2479" s="645"/>
      <c r="AK2479" s="214"/>
      <c r="AL2479" s="214"/>
      <c r="AM2479" s="214"/>
      <c r="AN2479" s="628"/>
      <c r="AO2479" s="214"/>
      <c r="AP2479" s="214"/>
      <c r="AQ2479" s="334" t="str">
        <f>UPPER(RIGHT(Journal_Live[[#This Row],[DURATION ]]))</f>
        <v/>
      </c>
      <c r="AR2479" s="214"/>
      <c r="AS2479" s="214"/>
      <c r="AT2479" s="214"/>
      <c r="AU2479" s="214"/>
      <c r="AV2479" s="214"/>
      <c r="AW2479" s="214"/>
      <c r="AX2479" s="417"/>
      <c r="AY2479" s="417"/>
      <c r="AZ2479" s="417"/>
      <c r="BA2479" s="417"/>
      <c r="BB2479" s="417"/>
      <c r="BC2479" s="414"/>
      <c r="BD2479" s="414"/>
      <c r="BE2479" s="414"/>
      <c r="BF2479" s="414"/>
      <c r="BG2479" s="391">
        <f>SUM($AV$2420:AV2479)</f>
        <v>-158.08571428573799</v>
      </c>
      <c r="BH2479" s="392">
        <f>SUM($AU$2420:AU2479)</f>
        <v>28.999999999961403</v>
      </c>
      <c r="BI2479" s="318">
        <f>SUMIFS($AU$2420:AU2632,$Q$2420:Q2632,"F")</f>
        <v>-143.99999999999949</v>
      </c>
      <c r="BJ2479" s="318">
        <f>SUMIFS($AU$2420:AU2632,$Q$2420:Q2632,"S")</f>
        <v>256.00000000000466</v>
      </c>
      <c r="BK2479" s="343">
        <f>SUMIFS($AU$2420:AU2632,$P$2420:P2632,"W")</f>
        <v>-607.99999999991883</v>
      </c>
      <c r="BL2479" s="343">
        <f>SUMIFS($AU$2420:AU2632,$P$2420:P2632,"R")</f>
        <v>911.99999999999966</v>
      </c>
      <c r="BM2479" s="343">
        <f>SUMIFS($AU$2420:AU2632,$AQ$2420:AQ2632,"M")</f>
        <v>-899.79999999984489</v>
      </c>
      <c r="BN2479" s="343">
        <f>SUMIFS($AU$2420:AU2632,$AQ$2420:AQ2632,"H")</f>
        <v>1762.9999999999427</v>
      </c>
      <c r="BO2479" s="343">
        <f>SUMIFS($AU$2420:AU2632,$AQ$2420:AQ2632,"D")</f>
        <v>-767.99999999998977</v>
      </c>
      <c r="BP2479" s="343">
        <f>SUMIFS($AS$2420:AS2720,$AO$2420:AO2720,"W")</f>
        <v>0</v>
      </c>
      <c r="BQ2479" s="343">
        <f>SUMIFS($AU$2420:AU2632,$Q$2420:Q2632,"O")</f>
        <v>-884.7999999998965</v>
      </c>
      <c r="BR2479" s="343">
        <f>SUMIFS($AU$2420:AU2632,$AA$2420:AA2632,"*")</f>
        <v>-512.79999999998074</v>
      </c>
      <c r="BS2479" s="343">
        <f>SUMIFS($AU$2420:AU2632,$AB$2420:AB2632,"*")</f>
        <v>-451.99999999997726</v>
      </c>
      <c r="BT2479" s="343">
        <f>SUMIFS($AU$2420:AU2632,$AC$2420:AC2632,"*")</f>
        <v>-143.99999999999909</v>
      </c>
      <c r="BU2479" s="343">
        <f>SUMIFS($AU$2420:AU2632,$AA$2420:AA2632,"*",$AB$2420:AB2632,"*")</f>
        <v>95.999999999933891</v>
      </c>
      <c r="BV2479" s="343">
        <f>SUMIFS($AU$2420:AU2632,$AA$2420:AA2632,"*",$AC$2420:AC2632,"*")</f>
        <v>-591.99999999999977</v>
      </c>
      <c r="BW2479" s="343">
        <f>SUMIFS($AU$2420:AU2632,$AB$2420:AB2632,"*",$AC$2420:AC2632,"*")</f>
        <v>-143.99999999999966</v>
      </c>
      <c r="BX2479" s="343">
        <f>SUMIFS($AV$2420:AV2632,$Q$2420:Q2632,"F")</f>
        <v>18.153846153846242</v>
      </c>
      <c r="BY2479" s="343">
        <f>SUMIFS($AV$2420:AV2632,$Q$2420:Q2632,"S")</f>
        <v>64.044720496894826</v>
      </c>
      <c r="BZ2479" s="343">
        <f>SUMIFS($AV$2420:AV2632,$Q$2420:Q2632,"O")</f>
        <v>-458.13333333332537</v>
      </c>
    </row>
    <row r="2480" spans="1:78" ht="15.75" customHeight="1">
      <c r="A2480" s="177" t="s">
        <v>7734</v>
      </c>
      <c r="B2480" s="200">
        <v>45538</v>
      </c>
      <c r="C2480" s="178" t="s">
        <v>7735</v>
      </c>
      <c r="D2480" s="178" t="s">
        <v>146</v>
      </c>
      <c r="E2480" s="227"/>
      <c r="F2480" s="180"/>
      <c r="G2480" s="497" t="s">
        <v>2070</v>
      </c>
      <c r="H2480" s="182"/>
      <c r="I2480" s="182"/>
      <c r="J2480" s="182"/>
      <c r="K2480" s="183"/>
      <c r="L2480" s="182"/>
      <c r="M2480" s="182">
        <v>1</v>
      </c>
      <c r="N2480" s="182"/>
      <c r="O2480" s="183" t="s">
        <v>95</v>
      </c>
      <c r="P2480" s="183" t="s">
        <v>96</v>
      </c>
      <c r="Q2480" s="183" t="s">
        <v>97</v>
      </c>
      <c r="R2480" s="183">
        <v>6</v>
      </c>
      <c r="S2480" s="183">
        <v>0</v>
      </c>
      <c r="T2480" s="183">
        <v>6</v>
      </c>
      <c r="U2480" s="183" t="s">
        <v>97</v>
      </c>
      <c r="V2480" s="183" t="s">
        <v>7349</v>
      </c>
      <c r="W2480" s="183" t="s">
        <v>22</v>
      </c>
      <c r="X2480" s="183" t="s">
        <v>7488</v>
      </c>
      <c r="Y2480" s="184">
        <f>IF(ISBLANK(O2480),"",(IF(O2480=UPPER("IB"),0.005,0.01)))</f>
        <v>0.01</v>
      </c>
      <c r="Z2480" s="185">
        <f>IF(ISBLANK(O2480),"",IF(O2480="IB",8.63*200,IF(O2480="IR",16*100,IF(O2480="YT",20*100,IF(O2480="YT-XT",24*200,IF(O2480="TED",80*100,IF(O2480="XT",29*200)))))))</f>
        <v>1600</v>
      </c>
      <c r="AA2480" s="185"/>
      <c r="AB2480" s="185" t="s">
        <v>7736</v>
      </c>
      <c r="AC2480" s="185"/>
      <c r="AD2480" s="649">
        <v>-0.28999999999999998</v>
      </c>
      <c r="AE2480" s="182"/>
      <c r="AF2480" s="332"/>
      <c r="AG2480" s="182"/>
      <c r="AH2480" s="182"/>
      <c r="AI2480" s="182"/>
      <c r="AJ2480" s="640"/>
      <c r="AK2480" s="182"/>
      <c r="AL2480" s="496">
        <f t="shared" ref="AL2480:AL2493" si="864">-0.02*Z2480</f>
        <v>-32</v>
      </c>
      <c r="AM2480" s="496">
        <f t="shared" ref="AM2480:AM2517" si="865">AL2480*(R2480-S2480)</f>
        <v>-192</v>
      </c>
      <c r="AN2480" s="626"/>
      <c r="AO2480" s="182"/>
      <c r="AP2480" s="182"/>
      <c r="AQ2480" s="332" t="s">
        <v>372</v>
      </c>
      <c r="AR2480" s="182"/>
      <c r="AS2480" s="189">
        <v>-0.3</v>
      </c>
      <c r="AT2480" s="189">
        <f t="shared" ref="AT2480:AT2517" si="866">IF(ISBLANK(AS2480),,IF(U2480="S",AD2480-AS2480,AS2480-AD2480))</f>
        <v>1.0000000000000009E-2</v>
      </c>
      <c r="AU2480" s="187">
        <f t="shared" ref="AU2480:AU2517" si="867">AV2480*R2480</f>
        <v>96.000000000000085</v>
      </c>
      <c r="AV2480" s="190">
        <f t="shared" ref="AV2480:AV2493" si="868">IF(ISBLANK(AS2480),,(AT2480*Z2480))</f>
        <v>16.000000000000014</v>
      </c>
      <c r="AW2480" s="191" t="s">
        <v>96</v>
      </c>
      <c r="AX2480" s="549"/>
      <c r="AY2480" s="549"/>
      <c r="AZ2480" s="549"/>
      <c r="BA2480" s="549"/>
      <c r="BB2480" s="549"/>
      <c r="BC2480" s="551"/>
      <c r="BD2480" s="549"/>
      <c r="BE2480" s="550"/>
      <c r="BF2480" s="549"/>
      <c r="BG2480" s="391">
        <f>SUM($AV$2420:AV2480)</f>
        <v>-142.08571428573799</v>
      </c>
      <c r="BH2480" s="392">
        <f>SUM($AU$2420:AU2480)</f>
        <v>124.99999999996149</v>
      </c>
      <c r="BI2480" s="318">
        <f>SUMIFS($AU$2420:AU2633,$Q$2420:Q2633,"F")</f>
        <v>-143.99999999999949</v>
      </c>
      <c r="BJ2480" s="318">
        <f>SUMIFS($AU$2420:AU2633,$Q$2420:Q2633,"S")</f>
        <v>256.00000000000466</v>
      </c>
      <c r="BK2480" s="343">
        <f>SUMIFS($AU$2420:AU2633,$P$2420:P2633,"W")</f>
        <v>-607.99999999991883</v>
      </c>
      <c r="BL2480" s="343">
        <f>SUMIFS($AU$2420:AU2633,$P$2420:P2633,"R")</f>
        <v>911.99999999999966</v>
      </c>
      <c r="BM2480" s="343">
        <f>SUMIFS($AU$2420:AU2633,$AQ$2420:AQ2633,"M")</f>
        <v>-899.79999999984489</v>
      </c>
      <c r="BN2480" s="343">
        <f>SUMIFS($AU$2420:AU2633,$AQ$2420:AQ2633,"H")</f>
        <v>1762.9999999999427</v>
      </c>
      <c r="BO2480" s="343">
        <f>SUMIFS($AU$2420:AU2633,$AQ$2420:AQ2633,"D")</f>
        <v>-767.99999999998977</v>
      </c>
      <c r="BP2480" s="343">
        <f>SUMIFS($AS$2420:AS2721,$AO$2420:AO2721,"W")</f>
        <v>0</v>
      </c>
      <c r="BQ2480" s="343">
        <f>SUMIFS($AU$2420:AU2633,$Q$2420:Q2633,"O")</f>
        <v>-884.7999999998965</v>
      </c>
      <c r="BR2480" s="343">
        <f>SUMIFS($AU$2420:AU2633,$AA$2420:AA2633,"*")</f>
        <v>-512.79999999998074</v>
      </c>
      <c r="BS2480" s="343">
        <f>SUMIFS($AU$2420:AU2633,$AB$2420:AB2633,"*")</f>
        <v>-451.99999999997726</v>
      </c>
      <c r="BT2480" s="343">
        <f>SUMIFS($AU$2420:AU2633,$AC$2420:AC2633,"*")</f>
        <v>-143.99999999999909</v>
      </c>
      <c r="BU2480" s="343">
        <f>SUMIFS($AU$2420:AU2633,$AA$2420:AA2633,"*",$AB$2420:AB2633,"*")</f>
        <v>95.999999999933891</v>
      </c>
      <c r="BV2480" s="343">
        <f>SUMIFS($AU$2420:AU2633,$AA$2420:AA2633,"*",$AC$2420:AC2633,"*")</f>
        <v>-591.99999999999977</v>
      </c>
      <c r="BW2480" s="343">
        <f>SUMIFS($AU$2420:AU2633,$AB$2420:AB2633,"*",$AC$2420:AC2633,"*")</f>
        <v>-143.99999999999966</v>
      </c>
      <c r="BX2480" s="343">
        <f>SUMIFS($AV$2420:AV2633,$Q$2420:Q2633,"F")</f>
        <v>18.153846153846242</v>
      </c>
      <c r="BY2480" s="343">
        <f>SUMIFS($AV$2420:AV2633,$Q$2420:Q2633,"S")</f>
        <v>64.044720496894826</v>
      </c>
      <c r="BZ2480" s="343">
        <f>SUMIFS($AV$2420:AV2633,$Q$2420:Q2633,"O")</f>
        <v>-458.13333333332537</v>
      </c>
    </row>
    <row r="2481" spans="1:78" ht="15.75" customHeight="1">
      <c r="A2481" s="177" t="s">
        <v>7734</v>
      </c>
      <c r="B2481" s="200">
        <v>45538</v>
      </c>
      <c r="C2481" s="178" t="s">
        <v>7735</v>
      </c>
      <c r="D2481" s="178" t="s">
        <v>146</v>
      </c>
      <c r="E2481" s="227"/>
      <c r="F2481" s="180"/>
      <c r="G2481" s="497" t="s">
        <v>3766</v>
      </c>
      <c r="H2481" s="182"/>
      <c r="I2481" s="182"/>
      <c r="J2481" s="182"/>
      <c r="K2481" s="183"/>
      <c r="L2481" s="182"/>
      <c r="M2481" s="182">
        <v>1</v>
      </c>
      <c r="N2481" s="182"/>
      <c r="O2481" s="183" t="s">
        <v>95</v>
      </c>
      <c r="P2481" s="183" t="s">
        <v>96</v>
      </c>
      <c r="Q2481" s="183" t="s">
        <v>256</v>
      </c>
      <c r="R2481" s="183">
        <v>6</v>
      </c>
      <c r="S2481" s="183">
        <v>3</v>
      </c>
      <c r="T2481" s="183">
        <v>6</v>
      </c>
      <c r="U2481" s="183" t="s">
        <v>97</v>
      </c>
      <c r="V2481" s="183" t="s">
        <v>7357</v>
      </c>
      <c r="W2481" s="183" t="s">
        <v>115</v>
      </c>
      <c r="X2481" s="183" t="s">
        <v>7587</v>
      </c>
      <c r="Y2481" s="184">
        <f>IF(ISBLANK(O2481),"",(IF(O2481=UPPER("IB"),0.005,0.01)))</f>
        <v>0.01</v>
      </c>
      <c r="Z2481" s="185">
        <f>IF(ISBLANK(O2481),"",IF(O2481="IB",8.63*200,IF(O2481="IR",16*100,IF(O2481="YT",20*100,IF(O2481="YT-XT",24*200,IF(O2481="TED",80*100,IF(O2481="XT",29*200)))))))</f>
        <v>1600</v>
      </c>
      <c r="AA2481" s="185" t="s">
        <v>7737</v>
      </c>
      <c r="AB2481" s="185" t="s">
        <v>7738</v>
      </c>
      <c r="AC2481" s="185"/>
      <c r="AD2481" s="649">
        <v>-0.06</v>
      </c>
      <c r="AE2481" s="182"/>
      <c r="AF2481" s="332"/>
      <c r="AG2481" s="182"/>
      <c r="AH2481" s="182"/>
      <c r="AI2481" s="182"/>
      <c r="AJ2481" s="640"/>
      <c r="AK2481" s="182"/>
      <c r="AL2481" s="496">
        <f t="shared" si="864"/>
        <v>-32</v>
      </c>
      <c r="AM2481" s="496">
        <f t="shared" si="865"/>
        <v>-96</v>
      </c>
      <c r="AN2481" s="626" t="s">
        <v>7739</v>
      </c>
      <c r="AO2481" s="182" t="s">
        <v>7740</v>
      </c>
      <c r="AP2481" s="182"/>
      <c r="AQ2481" s="332" t="s">
        <v>115</v>
      </c>
      <c r="AR2481" s="298" t="s">
        <v>7741</v>
      </c>
      <c r="AS2481" s="189">
        <f>((-0.07*3)+(-0.07*3))/6</f>
        <v>-7.0000000000000007E-2</v>
      </c>
      <c r="AT2481" s="189">
        <f t="shared" si="866"/>
        <v>1.0000000000000009E-2</v>
      </c>
      <c r="AU2481" s="187">
        <f t="shared" si="867"/>
        <v>96.000000000000085</v>
      </c>
      <c r="AV2481" s="190">
        <f t="shared" si="868"/>
        <v>16.000000000000014</v>
      </c>
      <c r="AW2481" s="191" t="s">
        <v>96</v>
      </c>
      <c r="AX2481" s="549"/>
      <c r="AY2481" s="549"/>
      <c r="AZ2481" s="549"/>
      <c r="BA2481" s="549"/>
      <c r="BB2481" s="549"/>
      <c r="BC2481" s="551"/>
      <c r="BD2481" s="549"/>
      <c r="BE2481" s="550"/>
      <c r="BF2481" s="549"/>
      <c r="BG2481" s="391">
        <f>SUM($AV$2420:AV2481)</f>
        <v>-126.08571428573798</v>
      </c>
      <c r="BH2481" s="392">
        <f>SUM($AU$2420:AU2481)</f>
        <v>220.99999999996157</v>
      </c>
      <c r="BI2481" s="318">
        <f>SUMIFS($AU$2420:AU2634,$Q$2420:Q2634,"F")</f>
        <v>-143.99999999999949</v>
      </c>
      <c r="BJ2481" s="318">
        <f>SUMIFS($AU$2420:AU2634,$Q$2420:Q2634,"S")</f>
        <v>256.00000000000466</v>
      </c>
      <c r="BK2481" s="343">
        <f>SUMIFS($AU$2420:AU2634,$P$2420:P2634,"W")</f>
        <v>-607.99999999991883</v>
      </c>
      <c r="BL2481" s="343">
        <f>SUMIFS($AU$2420:AU2634,$P$2420:P2634,"R")</f>
        <v>911.99999999999966</v>
      </c>
      <c r="BM2481" s="343">
        <f>SUMIFS($AU$2420:AU2634,$AQ$2420:AQ2634,"M")</f>
        <v>-899.79999999984489</v>
      </c>
      <c r="BN2481" s="343">
        <f>SUMIFS($AU$2420:AU2634,$AQ$2420:AQ2634,"H")</f>
        <v>1762.9999999999427</v>
      </c>
      <c r="BO2481" s="343">
        <f>SUMIFS($AU$2420:AU2634,$AQ$2420:AQ2634,"D")</f>
        <v>-767.99999999998977</v>
      </c>
      <c r="BP2481" s="343">
        <f>SUMIFS($AS$2420:AS2722,$AO$2420:AO2722,"W")</f>
        <v>0</v>
      </c>
      <c r="BQ2481" s="343">
        <f>SUMIFS($AU$2420:AU2634,$Q$2420:Q2634,"O")</f>
        <v>-884.7999999998965</v>
      </c>
      <c r="BR2481" s="343">
        <f>SUMIFS($AU$2420:AU2634,$AA$2420:AA2634,"*")</f>
        <v>-512.79999999998074</v>
      </c>
      <c r="BS2481" s="343">
        <f>SUMIFS($AU$2420:AU2634,$AB$2420:AB2634,"*")</f>
        <v>-451.99999999997726</v>
      </c>
      <c r="BT2481" s="343">
        <f>SUMIFS($AU$2420:AU2634,$AC$2420:AC2634,"*")</f>
        <v>-143.99999999999909</v>
      </c>
      <c r="BU2481" s="343">
        <f>SUMIFS($AU$2420:AU2634,$AA$2420:AA2634,"*",$AB$2420:AB2634,"*")</f>
        <v>95.999999999933891</v>
      </c>
      <c r="BV2481" s="343">
        <f>SUMIFS($AU$2420:AU2634,$AA$2420:AA2634,"*",$AC$2420:AC2634,"*")</f>
        <v>-591.99999999999977</v>
      </c>
      <c r="BW2481" s="343">
        <f>SUMIFS($AU$2420:AU2634,$AB$2420:AB2634,"*",$AC$2420:AC2634,"*")</f>
        <v>-143.99999999999966</v>
      </c>
      <c r="BX2481" s="343">
        <f>SUMIFS($AV$2420:AV2634,$Q$2420:Q2634,"F")</f>
        <v>18.153846153846242</v>
      </c>
      <c r="BY2481" s="343">
        <f>SUMIFS($AV$2420:AV2634,$Q$2420:Q2634,"S")</f>
        <v>64.044720496894826</v>
      </c>
      <c r="BZ2481" s="343">
        <f>SUMIFS($AV$2420:AV2634,$Q$2420:Q2634,"O")</f>
        <v>-458.13333333332537</v>
      </c>
    </row>
    <row r="2482" spans="1:78" ht="15.75" customHeight="1">
      <c r="A2482" s="177" t="s">
        <v>7734</v>
      </c>
      <c r="B2482" s="200">
        <v>45538</v>
      </c>
      <c r="C2482" s="178" t="s">
        <v>7735</v>
      </c>
      <c r="D2482" s="178" t="s">
        <v>146</v>
      </c>
      <c r="E2482" s="227"/>
      <c r="F2482" s="180"/>
      <c r="G2482" s="181" t="s">
        <v>7141</v>
      </c>
      <c r="H2482" s="182"/>
      <c r="I2482" s="182"/>
      <c r="J2482" s="182"/>
      <c r="K2482" s="183"/>
      <c r="L2482" s="182"/>
      <c r="M2482" s="182">
        <v>1</v>
      </c>
      <c r="N2482" s="182"/>
      <c r="O2482" s="183" t="s">
        <v>95</v>
      </c>
      <c r="P2482" s="183" t="s">
        <v>137</v>
      </c>
      <c r="Q2482" s="183" t="s">
        <v>97</v>
      </c>
      <c r="R2482" s="183">
        <v>10</v>
      </c>
      <c r="S2482" s="183">
        <v>0</v>
      </c>
      <c r="T2482" s="183">
        <v>10</v>
      </c>
      <c r="U2482" s="183" t="s">
        <v>22</v>
      </c>
      <c r="V2482" s="183" t="s">
        <v>7349</v>
      </c>
      <c r="W2482" s="183" t="s">
        <v>22</v>
      </c>
      <c r="X2482" s="183" t="s">
        <v>7467</v>
      </c>
      <c r="Y2482" s="184">
        <f>IF(ISBLANK(O2482),"",(IF(O2482=UPPER("IB"),0.005,0.01)))</f>
        <v>0.01</v>
      </c>
      <c r="Z2482" s="185">
        <f>IF(ISBLANK(O2482),"",IF(O2482="IB",8.63*200,IF(O2482="IR",16*100,IF(O2482="YT",20*100,IF(O2482="YT-XT",24*200,IF(O2482="TED",80*100,IF(O2482="XT",29*200)))))))</f>
        <v>1600</v>
      </c>
      <c r="AA2482" s="185" t="s">
        <v>7742</v>
      </c>
      <c r="AB2482" s="185"/>
      <c r="AC2482" s="185"/>
      <c r="AD2482" s="649">
        <v>-0.12</v>
      </c>
      <c r="AE2482" s="182"/>
      <c r="AF2482" s="332"/>
      <c r="AG2482" s="182"/>
      <c r="AH2482" s="182"/>
      <c r="AI2482" s="182"/>
      <c r="AJ2482" s="640"/>
      <c r="AK2482" s="182"/>
      <c r="AL2482" s="496">
        <f t="shared" si="864"/>
        <v>-32</v>
      </c>
      <c r="AM2482" s="496">
        <f t="shared" si="865"/>
        <v>-320</v>
      </c>
      <c r="AN2482" s="626"/>
      <c r="AO2482" s="182"/>
      <c r="AP2482" s="182"/>
      <c r="AQ2482" s="332" t="s">
        <v>372</v>
      </c>
      <c r="AR2482" s="182"/>
      <c r="AS2482" s="189">
        <v>-0.11</v>
      </c>
      <c r="AT2482" s="189">
        <f t="shared" si="866"/>
        <v>9.999999999999995E-3</v>
      </c>
      <c r="AU2482" s="187">
        <f t="shared" si="867"/>
        <v>159.99999999999994</v>
      </c>
      <c r="AV2482" s="190">
        <f t="shared" si="868"/>
        <v>15.999999999999993</v>
      </c>
      <c r="AW2482" s="191" t="s">
        <v>96</v>
      </c>
      <c r="AX2482" s="549"/>
      <c r="AY2482" s="549"/>
      <c r="AZ2482" s="549"/>
      <c r="BA2482" s="549"/>
      <c r="BB2482" s="549"/>
      <c r="BC2482" s="551"/>
      <c r="BD2482" s="549"/>
      <c r="BE2482" s="550"/>
      <c r="BF2482" s="549"/>
      <c r="BG2482" s="391">
        <f>SUM($AV$2420:AV2482)</f>
        <v>-110.08571428573799</v>
      </c>
      <c r="BH2482" s="392">
        <f>SUM($AU$2420:AU2482)</f>
        <v>380.99999999996152</v>
      </c>
      <c r="BI2482" s="318">
        <f>SUMIFS($AU$2420:AU2635,$Q$2420:Q2635,"F")</f>
        <v>-143.99999999999949</v>
      </c>
      <c r="BJ2482" s="318">
        <f>SUMIFS($AU$2420:AU2635,$Q$2420:Q2635,"S")</f>
        <v>256.00000000000466</v>
      </c>
      <c r="BK2482" s="343">
        <f>SUMIFS($AU$2420:AU2635,$P$2420:P2635,"W")</f>
        <v>-607.99999999991883</v>
      </c>
      <c r="BL2482" s="343">
        <f>SUMIFS($AU$2420:AU2635,$P$2420:P2635,"R")</f>
        <v>911.99999999999966</v>
      </c>
      <c r="BM2482" s="343">
        <f>SUMIFS($AU$2420:AU2635,$AQ$2420:AQ2635,"M")</f>
        <v>-899.79999999984489</v>
      </c>
      <c r="BN2482" s="343">
        <f>SUMIFS($AU$2420:AU2635,$AQ$2420:AQ2635,"H")</f>
        <v>1762.9999999999427</v>
      </c>
      <c r="BO2482" s="343">
        <f>SUMIFS($AU$2420:AU2635,$AQ$2420:AQ2635,"D")</f>
        <v>-767.99999999998977</v>
      </c>
      <c r="BP2482" s="343">
        <f>SUMIFS($AS$2420:AS2723,$AO$2420:AO2723,"W")</f>
        <v>0</v>
      </c>
      <c r="BQ2482" s="343">
        <f>SUMIFS($AU$2420:AU2635,$Q$2420:Q2635,"O")</f>
        <v>-884.7999999998965</v>
      </c>
      <c r="BR2482" s="343">
        <f>SUMIFS($AU$2420:AU2635,$AA$2420:AA2635,"*")</f>
        <v>-512.79999999998074</v>
      </c>
      <c r="BS2482" s="343">
        <f>SUMIFS($AU$2420:AU2635,$AB$2420:AB2635,"*")</f>
        <v>-451.99999999997726</v>
      </c>
      <c r="BT2482" s="343">
        <f>SUMIFS($AU$2420:AU2635,$AC$2420:AC2635,"*")</f>
        <v>-143.99999999999909</v>
      </c>
      <c r="BU2482" s="343">
        <f>SUMIFS($AU$2420:AU2635,$AA$2420:AA2635,"*",$AB$2420:AB2635,"*")</f>
        <v>95.999999999933891</v>
      </c>
      <c r="BV2482" s="343">
        <f>SUMIFS($AU$2420:AU2635,$AA$2420:AA2635,"*",$AC$2420:AC2635,"*")</f>
        <v>-591.99999999999977</v>
      </c>
      <c r="BW2482" s="343">
        <f>SUMIFS($AU$2420:AU2635,$AB$2420:AB2635,"*",$AC$2420:AC2635,"*")</f>
        <v>-143.99999999999966</v>
      </c>
      <c r="BX2482" s="343">
        <f>SUMIFS($AV$2420:AV2635,$Q$2420:Q2635,"F")</f>
        <v>18.153846153846242</v>
      </c>
      <c r="BY2482" s="343">
        <f>SUMIFS($AV$2420:AV2635,$Q$2420:Q2635,"S")</f>
        <v>64.044720496894826</v>
      </c>
      <c r="BZ2482" s="343">
        <f>SUMIFS($AV$2420:AV2635,$Q$2420:Q2635,"O")</f>
        <v>-458.13333333332537</v>
      </c>
    </row>
    <row r="2483" spans="1:78" ht="15.75" customHeight="1">
      <c r="A2483" s="177" t="s">
        <v>7734</v>
      </c>
      <c r="B2483" s="200"/>
      <c r="C2483" s="178"/>
      <c r="D2483" s="178"/>
      <c r="E2483" s="227"/>
      <c r="F2483" s="180"/>
      <c r="G2483" s="181"/>
      <c r="H2483" s="182"/>
      <c r="I2483" s="182"/>
      <c r="J2483" s="182"/>
      <c r="K2483" s="183"/>
      <c r="L2483" s="182"/>
      <c r="M2483" s="182"/>
      <c r="N2483" s="182"/>
      <c r="O2483" s="183"/>
      <c r="P2483" s="183"/>
      <c r="Q2483" s="183"/>
      <c r="R2483" s="183"/>
      <c r="S2483" s="183"/>
      <c r="T2483" s="183"/>
      <c r="U2483" s="183"/>
      <c r="V2483" s="183"/>
      <c r="W2483" s="183"/>
      <c r="X2483" s="183"/>
      <c r="Y2483" s="183"/>
      <c r="Z2483" s="183"/>
      <c r="AA2483" s="185"/>
      <c r="AB2483" s="185"/>
      <c r="AC2483" s="185"/>
      <c r="AD2483" s="649"/>
      <c r="AE2483" s="182"/>
      <c r="AF2483" s="332"/>
      <c r="AG2483" s="182"/>
      <c r="AH2483" s="182"/>
      <c r="AI2483" s="182"/>
      <c r="AJ2483" s="640"/>
      <c r="AK2483" s="182"/>
      <c r="AL2483" s="496">
        <f t="shared" si="864"/>
        <v>0</v>
      </c>
      <c r="AM2483" s="496">
        <f t="shared" si="865"/>
        <v>0</v>
      </c>
      <c r="AN2483" s="626"/>
      <c r="AO2483" s="182"/>
      <c r="AP2483" s="182"/>
      <c r="AQ2483" s="332" t="str">
        <f>UPPER(RIGHT(Journal_Live[[#This Row],[DURATION ]]))</f>
        <v/>
      </c>
      <c r="AR2483" s="182"/>
      <c r="AS2483" s="189"/>
      <c r="AT2483" s="189">
        <f t="shared" si="866"/>
        <v>0</v>
      </c>
      <c r="AU2483" s="187">
        <f t="shared" si="867"/>
        <v>0</v>
      </c>
      <c r="AV2483" s="190">
        <f t="shared" si="868"/>
        <v>0</v>
      </c>
      <c r="AW2483" s="191"/>
      <c r="AX2483" s="549" t="s">
        <v>7743</v>
      </c>
      <c r="AY2483" s="549" t="s">
        <v>7744</v>
      </c>
      <c r="AZ2483" s="549"/>
      <c r="BA2483" s="549"/>
      <c r="BB2483" s="549"/>
      <c r="BC2483" s="551"/>
      <c r="BD2483" s="549"/>
      <c r="BE2483" s="550"/>
      <c r="BF2483" s="549"/>
      <c r="BG2483" s="391">
        <f>SUM($AV$2420:AV2483)</f>
        <v>-110.08571428573799</v>
      </c>
      <c r="BH2483" s="392">
        <f>SUM($AU$2420:AU2483)</f>
        <v>380.99999999996152</v>
      </c>
      <c r="BI2483" s="318">
        <f>SUMIFS($AU$2420:AU2636,$Q$2420:Q2636,"F")</f>
        <v>-143.99999999999949</v>
      </c>
      <c r="BJ2483" s="318">
        <f>SUMIFS($AU$2420:AU2636,$Q$2420:Q2636,"S")</f>
        <v>256.00000000000466</v>
      </c>
      <c r="BK2483" s="343">
        <f>SUMIFS($AU$2420:AU2636,$P$2420:P2636,"W")</f>
        <v>-607.99999999991883</v>
      </c>
      <c r="BL2483" s="343">
        <f>SUMIFS($AU$2420:AU2636,$P$2420:P2636,"R")</f>
        <v>911.99999999999966</v>
      </c>
      <c r="BM2483" s="343">
        <f>SUMIFS($AU$2420:AU2636,$AQ$2420:AQ2636,"M")</f>
        <v>-899.79999999984489</v>
      </c>
      <c r="BN2483" s="343">
        <f>SUMIFS($AU$2420:AU2636,$AQ$2420:AQ2636,"H")</f>
        <v>1762.9999999999427</v>
      </c>
      <c r="BO2483" s="343">
        <f>SUMIFS($AU$2420:AU2636,$AQ$2420:AQ2636,"D")</f>
        <v>-767.99999999998977</v>
      </c>
      <c r="BP2483" s="343">
        <f>SUMIFS($AS$2420:AS2724,$AO$2420:AO2724,"W")</f>
        <v>0</v>
      </c>
      <c r="BQ2483" s="343">
        <f>SUMIFS($AU$2420:AU2636,$Q$2420:Q2636,"O")</f>
        <v>-884.7999999998965</v>
      </c>
      <c r="BR2483" s="343">
        <f>SUMIFS($AU$2420:AU2636,$AA$2420:AA2636,"*")</f>
        <v>-512.79999999998074</v>
      </c>
      <c r="BS2483" s="343">
        <f>SUMIFS($AU$2420:AU2636,$AB$2420:AB2636,"*")</f>
        <v>-451.99999999997726</v>
      </c>
      <c r="BT2483" s="343">
        <f>SUMIFS($AU$2420:AU2636,$AC$2420:AC2636,"*")</f>
        <v>-143.99999999999909</v>
      </c>
      <c r="BU2483" s="343">
        <f>SUMIFS($AU$2420:AU2636,$AA$2420:AA2636,"*",$AB$2420:AB2636,"*")</f>
        <v>95.999999999933891</v>
      </c>
      <c r="BV2483" s="343">
        <f>SUMIFS($AU$2420:AU2636,$AA$2420:AA2636,"*",$AC$2420:AC2636,"*")</f>
        <v>-591.99999999999977</v>
      </c>
      <c r="BW2483" s="343">
        <f>SUMIFS($AU$2420:AU2636,$AB$2420:AB2636,"*",$AC$2420:AC2636,"*")</f>
        <v>-143.99999999999966</v>
      </c>
      <c r="BX2483" s="343">
        <f>SUMIFS($AV$2420:AV2636,$Q$2420:Q2636,"F")</f>
        <v>18.153846153846242</v>
      </c>
      <c r="BY2483" s="343">
        <f>SUMIFS($AV$2420:AV2636,$Q$2420:Q2636,"S")</f>
        <v>64.044720496894826</v>
      </c>
      <c r="BZ2483" s="343">
        <f>SUMIFS($AV$2420:AV2636,$Q$2420:Q2636,"O")</f>
        <v>-458.13333333332537</v>
      </c>
    </row>
    <row r="2484" spans="1:78" ht="15.75" customHeight="1">
      <c r="A2484" s="177" t="s">
        <v>7734</v>
      </c>
      <c r="B2484" s="200"/>
      <c r="C2484" s="178"/>
      <c r="D2484" s="178"/>
      <c r="E2484" s="227"/>
      <c r="F2484" s="180"/>
      <c r="G2484" s="181"/>
      <c r="H2484" s="182"/>
      <c r="I2484" s="182"/>
      <c r="J2484" s="182"/>
      <c r="K2484" s="183"/>
      <c r="L2484" s="182"/>
      <c r="M2484" s="182"/>
      <c r="N2484" s="182"/>
      <c r="O2484" s="183"/>
      <c r="P2484" s="183"/>
      <c r="Q2484" s="183"/>
      <c r="R2484" s="183"/>
      <c r="S2484" s="183"/>
      <c r="T2484" s="183"/>
      <c r="U2484" s="183"/>
      <c r="V2484" s="183"/>
      <c r="W2484" s="183"/>
      <c r="X2484" s="183"/>
      <c r="Y2484" s="183"/>
      <c r="Z2484" s="183"/>
      <c r="AA2484" s="185"/>
      <c r="AB2484" s="185"/>
      <c r="AC2484" s="185"/>
      <c r="AD2484" s="649"/>
      <c r="AE2484" s="182"/>
      <c r="AF2484" s="332" t="s">
        <v>529</v>
      </c>
      <c r="AG2484" s="182"/>
      <c r="AH2484" s="182"/>
      <c r="AI2484" s="182"/>
      <c r="AJ2484" s="640"/>
      <c r="AK2484" s="182"/>
      <c r="AL2484" s="496">
        <f t="shared" si="864"/>
        <v>0</v>
      </c>
      <c r="AM2484" s="496">
        <f t="shared" si="865"/>
        <v>0</v>
      </c>
      <c r="AN2484" s="626"/>
      <c r="AO2484" s="182"/>
      <c r="AP2484" s="182"/>
      <c r="AQ2484" s="332" t="str">
        <f>UPPER(RIGHT(Journal_Live[[#This Row],[DURATION ]]))</f>
        <v/>
      </c>
      <c r="AR2484" s="182"/>
      <c r="AS2484" s="189"/>
      <c r="AT2484" s="189">
        <f t="shared" si="866"/>
        <v>0</v>
      </c>
      <c r="AU2484" s="187">
        <f t="shared" si="867"/>
        <v>0</v>
      </c>
      <c r="AV2484" s="190">
        <f t="shared" si="868"/>
        <v>0</v>
      </c>
      <c r="AW2484" s="191"/>
      <c r="AX2484" s="549" t="s">
        <v>7745</v>
      </c>
      <c r="AY2484" s="549" t="s">
        <v>7746</v>
      </c>
      <c r="AZ2484" s="549" t="s">
        <v>7747</v>
      </c>
      <c r="BA2484" s="549"/>
      <c r="BB2484" s="549"/>
      <c r="BC2484" s="551"/>
      <c r="BD2484" s="549"/>
      <c r="BE2484" s="550"/>
      <c r="BF2484" s="549"/>
      <c r="BG2484" s="391">
        <f>SUM($AV$2420:AV2484)</f>
        <v>-110.08571428573799</v>
      </c>
      <c r="BH2484" s="392">
        <f>SUM($AU$2420:AU2484)</f>
        <v>380.99999999996152</v>
      </c>
      <c r="BI2484" s="318">
        <f>SUMIFS($AU$2420:AU2637,$Q$2420:Q2637,"F")</f>
        <v>-143.99999999999949</v>
      </c>
      <c r="BJ2484" s="318">
        <f>SUMIFS($AU$2420:AU2637,$Q$2420:Q2637,"S")</f>
        <v>256.00000000000466</v>
      </c>
      <c r="BK2484" s="343">
        <f>SUMIFS($AU$2420:AU2637,$P$2420:P2637,"W")</f>
        <v>-607.99999999991883</v>
      </c>
      <c r="BL2484" s="343">
        <f>SUMIFS($AU$2420:AU2637,$P$2420:P2637,"R")</f>
        <v>911.99999999999966</v>
      </c>
      <c r="BM2484" s="343">
        <f>SUMIFS($AU$2420:AU2637,$AQ$2420:AQ2637,"M")</f>
        <v>-899.79999999984489</v>
      </c>
      <c r="BN2484" s="343">
        <f>SUMIFS($AU$2420:AU2637,$AQ$2420:AQ2637,"H")</f>
        <v>1762.9999999999427</v>
      </c>
      <c r="BO2484" s="343">
        <f>SUMIFS($AU$2420:AU2637,$AQ$2420:AQ2637,"D")</f>
        <v>-767.99999999998977</v>
      </c>
      <c r="BP2484" s="343">
        <f>SUMIFS($AS$2420:AS2725,$AO$2420:AO2725,"W")</f>
        <v>0</v>
      </c>
      <c r="BQ2484" s="343">
        <f>SUMIFS($AU$2420:AU2637,$Q$2420:Q2637,"O")</f>
        <v>-884.7999999998965</v>
      </c>
      <c r="BR2484" s="343">
        <f>SUMIFS($AU$2420:AU2637,$AA$2420:AA2637,"*")</f>
        <v>-512.79999999998074</v>
      </c>
      <c r="BS2484" s="343">
        <f>SUMIFS($AU$2420:AU2637,$AB$2420:AB2637,"*")</f>
        <v>-451.99999999997726</v>
      </c>
      <c r="BT2484" s="343">
        <f>SUMIFS($AU$2420:AU2637,$AC$2420:AC2637,"*")</f>
        <v>-143.99999999999909</v>
      </c>
      <c r="BU2484" s="343">
        <f>SUMIFS($AU$2420:AU2637,$AA$2420:AA2637,"*",$AB$2420:AB2637,"*")</f>
        <v>95.999999999933891</v>
      </c>
      <c r="BV2484" s="343">
        <f>SUMIFS($AU$2420:AU2637,$AA$2420:AA2637,"*",$AC$2420:AC2637,"*")</f>
        <v>-591.99999999999977</v>
      </c>
      <c r="BW2484" s="343">
        <f>SUMIFS($AU$2420:AU2637,$AB$2420:AB2637,"*",$AC$2420:AC2637,"*")</f>
        <v>-143.99999999999966</v>
      </c>
      <c r="BX2484" s="343">
        <f>SUMIFS($AV$2420:AV2637,$Q$2420:Q2637,"F")</f>
        <v>18.153846153846242</v>
      </c>
      <c r="BY2484" s="343">
        <f>SUMIFS($AV$2420:AV2637,$Q$2420:Q2637,"S")</f>
        <v>64.044720496894826</v>
      </c>
      <c r="BZ2484" s="343">
        <f>SUMIFS($AV$2420:AV2637,$Q$2420:Q2637,"O")</f>
        <v>-458.13333333332537</v>
      </c>
    </row>
    <row r="2485" spans="1:78" ht="15.75" customHeight="1">
      <c r="A2485" s="177" t="s">
        <v>7734</v>
      </c>
      <c r="B2485" s="200">
        <v>45539</v>
      </c>
      <c r="C2485" s="178" t="s">
        <v>2081</v>
      </c>
      <c r="D2485" s="178" t="s">
        <v>151</v>
      </c>
      <c r="E2485" s="227" t="s">
        <v>7748</v>
      </c>
      <c r="F2485" s="180" t="s">
        <v>7749</v>
      </c>
      <c r="G2485" s="181"/>
      <c r="H2485" s="182"/>
      <c r="I2485" s="182"/>
      <c r="J2485" s="182"/>
      <c r="K2485" s="183"/>
      <c r="L2485" s="182"/>
      <c r="M2485" s="182"/>
      <c r="N2485" s="182"/>
      <c r="O2485" s="183"/>
      <c r="P2485" s="183"/>
      <c r="Q2485" s="183"/>
      <c r="R2485" s="183"/>
      <c r="S2485" s="183"/>
      <c r="T2485" s="183"/>
      <c r="U2485" s="183"/>
      <c r="V2485" s="183"/>
      <c r="W2485" s="183"/>
      <c r="X2485" s="183"/>
      <c r="Y2485" s="183"/>
      <c r="Z2485" s="183"/>
      <c r="AA2485" s="185"/>
      <c r="AB2485" s="185"/>
      <c r="AC2485" s="185"/>
      <c r="AD2485" s="649"/>
      <c r="AE2485" s="182"/>
      <c r="AF2485" s="332"/>
      <c r="AG2485" s="182"/>
      <c r="AH2485" s="182"/>
      <c r="AI2485" s="182"/>
      <c r="AJ2485" s="640"/>
      <c r="AK2485" s="182"/>
      <c r="AL2485" s="496">
        <f t="shared" si="864"/>
        <v>0</v>
      </c>
      <c r="AM2485" s="496">
        <f t="shared" si="865"/>
        <v>0</v>
      </c>
      <c r="AN2485" s="626"/>
      <c r="AO2485" s="182"/>
      <c r="AP2485" s="182"/>
      <c r="AQ2485" s="332" t="str">
        <f>UPPER(RIGHT(Journal_Live[[#This Row],[DURATION ]]))</f>
        <v/>
      </c>
      <c r="AR2485" s="182"/>
      <c r="AS2485" s="189"/>
      <c r="AT2485" s="189">
        <f t="shared" si="866"/>
        <v>0</v>
      </c>
      <c r="AU2485" s="187">
        <f t="shared" si="867"/>
        <v>0</v>
      </c>
      <c r="AV2485" s="190">
        <f t="shared" si="868"/>
        <v>0</v>
      </c>
      <c r="AW2485" s="191"/>
      <c r="AX2485" s="549"/>
      <c r="AY2485" s="549"/>
      <c r="AZ2485" s="549"/>
      <c r="BA2485" s="549"/>
      <c r="BB2485" s="549"/>
      <c r="BC2485" s="551"/>
      <c r="BD2485" s="549"/>
      <c r="BE2485" s="550"/>
      <c r="BF2485" s="549"/>
      <c r="BG2485" s="391">
        <f>SUM($AV$2420:AV2485)</f>
        <v>-110.08571428573799</v>
      </c>
      <c r="BH2485" s="392">
        <f>SUM($AU$2420:AU2485)</f>
        <v>380.99999999996152</v>
      </c>
      <c r="BI2485" s="318">
        <f>SUMIFS($AU$2420:AU2638,$Q$2420:Q2638,"F")</f>
        <v>-143.99999999999949</v>
      </c>
      <c r="BJ2485" s="318">
        <f>SUMIFS($AU$2420:AU2638,$Q$2420:Q2638,"S")</f>
        <v>256.00000000000466</v>
      </c>
      <c r="BK2485" s="343">
        <f>SUMIFS($AU$2420:AU2638,$P$2420:P2638,"W")</f>
        <v>-607.99999999991883</v>
      </c>
      <c r="BL2485" s="343">
        <f>SUMIFS($AU$2420:AU2638,$P$2420:P2638,"R")</f>
        <v>911.99999999999966</v>
      </c>
      <c r="BM2485" s="343">
        <f>SUMIFS($AU$2420:AU2638,$AQ$2420:AQ2638,"M")</f>
        <v>-899.79999999984489</v>
      </c>
      <c r="BN2485" s="343">
        <f>SUMIFS($AU$2420:AU2638,$AQ$2420:AQ2638,"H")</f>
        <v>1762.9999999999427</v>
      </c>
      <c r="BO2485" s="343">
        <f>SUMIFS($AU$2420:AU2638,$AQ$2420:AQ2638,"D")</f>
        <v>-767.99999999998977</v>
      </c>
      <c r="BP2485" s="343">
        <f>SUMIFS($AS$2420:AS2726,$AO$2420:AO2726,"W")</f>
        <v>0</v>
      </c>
      <c r="BQ2485" s="343">
        <f>SUMIFS($AU$2420:AU2638,$Q$2420:Q2638,"O")</f>
        <v>-884.7999999998965</v>
      </c>
      <c r="BR2485" s="343">
        <f>SUMIFS($AU$2420:AU2638,$AA$2420:AA2638,"*")</f>
        <v>-512.79999999998074</v>
      </c>
      <c r="BS2485" s="343">
        <f>SUMIFS($AU$2420:AU2638,$AB$2420:AB2638,"*")</f>
        <v>-451.99999999997726</v>
      </c>
      <c r="BT2485" s="343">
        <f>SUMIFS($AU$2420:AU2638,$AC$2420:AC2638,"*")</f>
        <v>-143.99999999999909</v>
      </c>
      <c r="BU2485" s="343">
        <f>SUMIFS($AU$2420:AU2638,$AA$2420:AA2638,"*",$AB$2420:AB2638,"*")</f>
        <v>95.999999999933891</v>
      </c>
      <c r="BV2485" s="343">
        <f>SUMIFS($AU$2420:AU2638,$AA$2420:AA2638,"*",$AC$2420:AC2638,"*")</f>
        <v>-591.99999999999977</v>
      </c>
      <c r="BW2485" s="343">
        <f>SUMIFS($AU$2420:AU2638,$AB$2420:AB2638,"*",$AC$2420:AC2638,"*")</f>
        <v>-143.99999999999966</v>
      </c>
      <c r="BX2485" s="343">
        <f>SUMIFS($AV$2420:AV2638,$Q$2420:Q2638,"F")</f>
        <v>18.153846153846242</v>
      </c>
      <c r="BY2485" s="343">
        <f>SUMIFS($AV$2420:AV2638,$Q$2420:Q2638,"S")</f>
        <v>64.044720496894826</v>
      </c>
      <c r="BZ2485" s="343">
        <f>SUMIFS($AV$2420:AV2638,$Q$2420:Q2638,"O")</f>
        <v>-458.13333333332537</v>
      </c>
    </row>
    <row r="2486" spans="1:78" ht="15.75" customHeight="1">
      <c r="A2486" s="177" t="s">
        <v>7734</v>
      </c>
      <c r="B2486" s="200">
        <v>45539</v>
      </c>
      <c r="C2486" s="178" t="s">
        <v>1187</v>
      </c>
      <c r="D2486" s="178" t="s">
        <v>151</v>
      </c>
      <c r="E2486" s="227" t="s">
        <v>7750</v>
      </c>
      <c r="F2486" s="180"/>
      <c r="G2486" s="181"/>
      <c r="H2486" s="182"/>
      <c r="I2486" s="182"/>
      <c r="J2486" s="182">
        <v>1</v>
      </c>
      <c r="K2486" s="183" t="s">
        <v>115</v>
      </c>
      <c r="L2486" s="182"/>
      <c r="M2486" s="182"/>
      <c r="N2486" s="182"/>
      <c r="O2486" s="183"/>
      <c r="P2486" s="183"/>
      <c r="Q2486" s="183"/>
      <c r="R2486" s="183"/>
      <c r="S2486" s="183"/>
      <c r="T2486" s="183"/>
      <c r="U2486" s="183"/>
      <c r="V2486" s="183"/>
      <c r="W2486" s="183"/>
      <c r="X2486" s="183"/>
      <c r="Y2486" s="183"/>
      <c r="Z2486" s="183"/>
      <c r="AA2486" s="185"/>
      <c r="AB2486" s="185"/>
      <c r="AC2486" s="185"/>
      <c r="AD2486" s="649"/>
      <c r="AE2486" s="182"/>
      <c r="AF2486" s="332"/>
      <c r="AG2486" s="182"/>
      <c r="AH2486" s="182"/>
      <c r="AI2486" s="182"/>
      <c r="AJ2486" s="640"/>
      <c r="AK2486" s="182"/>
      <c r="AL2486" s="496">
        <f t="shared" si="864"/>
        <v>0</v>
      </c>
      <c r="AM2486" s="496">
        <f t="shared" si="865"/>
        <v>0</v>
      </c>
      <c r="AN2486" s="626"/>
      <c r="AO2486" s="182"/>
      <c r="AP2486" s="182"/>
      <c r="AQ2486" s="332" t="str">
        <f>UPPER(RIGHT(Journal_Live[[#This Row],[DURATION ]]))</f>
        <v/>
      </c>
      <c r="AR2486" s="182"/>
      <c r="AS2486" s="189"/>
      <c r="AT2486" s="189">
        <f t="shared" si="866"/>
        <v>0</v>
      </c>
      <c r="AU2486" s="187">
        <f t="shared" si="867"/>
        <v>0</v>
      </c>
      <c r="AV2486" s="190">
        <f t="shared" si="868"/>
        <v>0</v>
      </c>
      <c r="AW2486" s="191"/>
      <c r="AX2486" s="549"/>
      <c r="AY2486" s="549"/>
      <c r="AZ2486" s="549"/>
      <c r="BA2486" s="549"/>
      <c r="BB2486" s="549"/>
      <c r="BC2486" s="551"/>
      <c r="BD2486" s="549"/>
      <c r="BE2486" s="550"/>
      <c r="BF2486" s="549"/>
      <c r="BG2486" s="391">
        <f>SUM($AV$2420:AV2486)</f>
        <v>-110.08571428573799</v>
      </c>
      <c r="BH2486" s="392">
        <f>SUM($AU$2420:AU2486)</f>
        <v>380.99999999996152</v>
      </c>
      <c r="BI2486" s="318">
        <f>SUMIFS($AU$2420:AU2639,$Q$2420:Q2639,"F")</f>
        <v>-143.99999999999949</v>
      </c>
      <c r="BJ2486" s="318">
        <f>SUMIFS($AU$2420:AU2639,$Q$2420:Q2639,"S")</f>
        <v>256.00000000000466</v>
      </c>
      <c r="BK2486" s="343">
        <f>SUMIFS($AU$2420:AU2639,$P$2420:P2639,"W")</f>
        <v>-607.99999999991883</v>
      </c>
      <c r="BL2486" s="343">
        <f>SUMIFS($AU$2420:AU2639,$P$2420:P2639,"R")</f>
        <v>911.99999999999966</v>
      </c>
      <c r="BM2486" s="343">
        <f>SUMIFS($AU$2420:AU2639,$AQ$2420:AQ2639,"M")</f>
        <v>-899.79999999984489</v>
      </c>
      <c r="BN2486" s="343">
        <f>SUMIFS($AU$2420:AU2639,$AQ$2420:AQ2639,"H")</f>
        <v>1762.9999999999427</v>
      </c>
      <c r="BO2486" s="343">
        <f>SUMIFS($AU$2420:AU2639,$AQ$2420:AQ2639,"D")</f>
        <v>-767.99999999998977</v>
      </c>
      <c r="BP2486" s="343">
        <f>SUMIFS($AS$2420:AS2727,$AO$2420:AO2727,"W")</f>
        <v>0</v>
      </c>
      <c r="BQ2486" s="343">
        <f>SUMIFS($AU$2420:AU2639,$Q$2420:Q2639,"O")</f>
        <v>-884.7999999998965</v>
      </c>
      <c r="BR2486" s="343">
        <f>SUMIFS($AU$2420:AU2639,$AA$2420:AA2639,"*")</f>
        <v>-512.79999999998074</v>
      </c>
      <c r="BS2486" s="343">
        <f>SUMIFS($AU$2420:AU2639,$AB$2420:AB2639,"*")</f>
        <v>-451.99999999997726</v>
      </c>
      <c r="BT2486" s="343">
        <f>SUMIFS($AU$2420:AU2639,$AC$2420:AC2639,"*")</f>
        <v>-143.99999999999909</v>
      </c>
      <c r="BU2486" s="343">
        <f>SUMIFS($AU$2420:AU2639,$AA$2420:AA2639,"*",$AB$2420:AB2639,"*")</f>
        <v>95.999999999933891</v>
      </c>
      <c r="BV2486" s="343">
        <f>SUMIFS($AU$2420:AU2639,$AA$2420:AA2639,"*",$AC$2420:AC2639,"*")</f>
        <v>-591.99999999999977</v>
      </c>
      <c r="BW2486" s="343">
        <f>SUMIFS($AU$2420:AU2639,$AB$2420:AB2639,"*",$AC$2420:AC2639,"*")</f>
        <v>-143.99999999999966</v>
      </c>
      <c r="BX2486" s="343">
        <f>SUMIFS($AV$2420:AV2639,$Q$2420:Q2639,"F")</f>
        <v>18.153846153846242</v>
      </c>
      <c r="BY2486" s="343">
        <f>SUMIFS($AV$2420:AV2639,$Q$2420:Q2639,"S")</f>
        <v>64.044720496894826</v>
      </c>
      <c r="BZ2486" s="343">
        <f>SUMIFS($AV$2420:AV2639,$Q$2420:Q2639,"O")</f>
        <v>-458.13333333332537</v>
      </c>
    </row>
    <row r="2487" spans="1:78" ht="15.75" customHeight="1">
      <c r="A2487" s="177" t="s">
        <v>7734</v>
      </c>
      <c r="B2487" s="200">
        <v>45539</v>
      </c>
      <c r="C2487" s="178" t="s">
        <v>1142</v>
      </c>
      <c r="D2487" s="178" t="s">
        <v>151</v>
      </c>
      <c r="E2487" s="227"/>
      <c r="F2487" s="180"/>
      <c r="G2487" s="497" t="s">
        <v>3334</v>
      </c>
      <c r="H2487" s="182"/>
      <c r="I2487" s="182"/>
      <c r="J2487" s="182"/>
      <c r="K2487" s="183"/>
      <c r="L2487" s="182"/>
      <c r="M2487" s="182">
        <v>1</v>
      </c>
      <c r="N2487" s="182"/>
      <c r="O2487" s="183" t="s">
        <v>95</v>
      </c>
      <c r="P2487" s="183" t="s">
        <v>96</v>
      </c>
      <c r="Q2487" s="183" t="s">
        <v>97</v>
      </c>
      <c r="R2487" s="183">
        <v>9</v>
      </c>
      <c r="S2487" s="183">
        <v>0</v>
      </c>
      <c r="T2487" s="183">
        <v>9</v>
      </c>
      <c r="U2487" s="183" t="s">
        <v>22</v>
      </c>
      <c r="V2487" s="183" t="s">
        <v>7349</v>
      </c>
      <c r="W2487" s="183" t="s">
        <v>22</v>
      </c>
      <c r="X2487" s="183" t="s">
        <v>7488</v>
      </c>
      <c r="Y2487" s="184">
        <f>IF(ISBLANK(O2487),"",(IF(O2487=UPPER("IB"),0.005,0.01)))</f>
        <v>0.01</v>
      </c>
      <c r="Z2487" s="185">
        <f>IF(ISBLANK(O2487),"",IF(O2487="IB",8.63*200,IF(O2487="IR",16*100,IF(O2487="YT",20*100,IF(O2487="YT-XT",24*200,IF(O2487="TED",80*100,IF(O2487="XT",29*200)))))))</f>
        <v>1600</v>
      </c>
      <c r="AA2487" s="185" t="s">
        <v>7751</v>
      </c>
      <c r="AB2487" s="185"/>
      <c r="AC2487" s="185"/>
      <c r="AD2487" s="649">
        <v>-0.13</v>
      </c>
      <c r="AE2487" s="182"/>
      <c r="AF2487" s="332"/>
      <c r="AG2487" s="182"/>
      <c r="AH2487" s="182"/>
      <c r="AI2487" s="182"/>
      <c r="AJ2487" s="640"/>
      <c r="AK2487" s="182"/>
      <c r="AL2487" s="496">
        <f t="shared" si="864"/>
        <v>-32</v>
      </c>
      <c r="AM2487" s="496">
        <f t="shared" si="865"/>
        <v>-288</v>
      </c>
      <c r="AN2487" s="626"/>
      <c r="AO2487" s="182"/>
      <c r="AP2487" s="182"/>
      <c r="AQ2487" s="332" t="s">
        <v>372</v>
      </c>
      <c r="AR2487" s="182"/>
      <c r="AS2487" s="189">
        <v>-0.13</v>
      </c>
      <c r="AT2487" s="189">
        <f t="shared" si="866"/>
        <v>0</v>
      </c>
      <c r="AU2487" s="187">
        <f t="shared" si="867"/>
        <v>0</v>
      </c>
      <c r="AV2487" s="190">
        <f t="shared" si="868"/>
        <v>0</v>
      </c>
      <c r="AW2487" s="191" t="s">
        <v>115</v>
      </c>
      <c r="AX2487" s="549" t="s">
        <v>7752</v>
      </c>
      <c r="AY2487" s="549"/>
      <c r="AZ2487" s="549"/>
      <c r="BA2487" s="549"/>
      <c r="BB2487" s="549"/>
      <c r="BC2487" s="551"/>
      <c r="BD2487" s="549"/>
      <c r="BE2487" s="550"/>
      <c r="BF2487" s="549"/>
      <c r="BG2487" s="391">
        <f>SUM($AV$2420:AV2487)</f>
        <v>-110.08571428573799</v>
      </c>
      <c r="BH2487" s="392">
        <f>SUM($AU$2420:AU2487)</f>
        <v>380.99999999996152</v>
      </c>
      <c r="BI2487" s="318">
        <f>SUMIFS($AU$2420:AU2640,$Q$2420:Q2640,"F")</f>
        <v>-143.99999999999949</v>
      </c>
      <c r="BJ2487" s="318">
        <f>SUMIFS($AU$2420:AU2640,$Q$2420:Q2640,"S")</f>
        <v>256.00000000000466</v>
      </c>
      <c r="BK2487" s="343">
        <f>SUMIFS($AU$2420:AU2640,$P$2420:P2640,"W")</f>
        <v>-607.99999999991883</v>
      </c>
      <c r="BL2487" s="343">
        <f>SUMIFS($AU$2420:AU2640,$P$2420:P2640,"R")</f>
        <v>911.99999999999966</v>
      </c>
      <c r="BM2487" s="343">
        <f>SUMIFS($AU$2420:AU2640,$AQ$2420:AQ2640,"M")</f>
        <v>-899.79999999984489</v>
      </c>
      <c r="BN2487" s="343">
        <f>SUMIFS($AU$2420:AU2640,$AQ$2420:AQ2640,"H")</f>
        <v>1762.9999999999427</v>
      </c>
      <c r="BO2487" s="343">
        <f>SUMIFS($AU$2420:AU2640,$AQ$2420:AQ2640,"D")</f>
        <v>-767.99999999998977</v>
      </c>
      <c r="BP2487" s="343">
        <f>SUMIFS($AS$2420:AS2728,$AO$2420:AO2728,"W")</f>
        <v>0</v>
      </c>
      <c r="BQ2487" s="343">
        <f>SUMIFS($AU$2420:AU2640,$Q$2420:Q2640,"O")</f>
        <v>-884.7999999998965</v>
      </c>
      <c r="BR2487" s="343">
        <f>SUMIFS($AU$2420:AU2640,$AA$2420:AA2640,"*")</f>
        <v>-512.79999999998074</v>
      </c>
      <c r="BS2487" s="343">
        <f>SUMIFS($AU$2420:AU2640,$AB$2420:AB2640,"*")</f>
        <v>-451.99999999997726</v>
      </c>
      <c r="BT2487" s="343">
        <f>SUMIFS($AU$2420:AU2640,$AC$2420:AC2640,"*")</f>
        <v>-143.99999999999909</v>
      </c>
      <c r="BU2487" s="343">
        <f>SUMIFS($AU$2420:AU2640,$AA$2420:AA2640,"*",$AB$2420:AB2640,"*")</f>
        <v>95.999999999933891</v>
      </c>
      <c r="BV2487" s="343">
        <f>SUMIFS($AU$2420:AU2640,$AA$2420:AA2640,"*",$AC$2420:AC2640,"*")</f>
        <v>-591.99999999999977</v>
      </c>
      <c r="BW2487" s="343">
        <f>SUMIFS($AU$2420:AU2640,$AB$2420:AB2640,"*",$AC$2420:AC2640,"*")</f>
        <v>-143.99999999999966</v>
      </c>
      <c r="BX2487" s="343">
        <f>SUMIFS($AV$2420:AV2640,$Q$2420:Q2640,"F")</f>
        <v>18.153846153846242</v>
      </c>
      <c r="BY2487" s="343">
        <f>SUMIFS($AV$2420:AV2640,$Q$2420:Q2640,"S")</f>
        <v>64.044720496894826</v>
      </c>
      <c r="BZ2487" s="343">
        <f>SUMIFS($AV$2420:AV2640,$Q$2420:Q2640,"O")</f>
        <v>-458.13333333332537</v>
      </c>
    </row>
    <row r="2488" spans="1:78" ht="15.75" customHeight="1">
      <c r="A2488" s="177" t="s">
        <v>7734</v>
      </c>
      <c r="B2488" s="200">
        <v>45539</v>
      </c>
      <c r="C2488" s="178" t="s">
        <v>1142</v>
      </c>
      <c r="D2488" s="178" t="s">
        <v>151</v>
      </c>
      <c r="E2488" s="227"/>
      <c r="F2488" s="180"/>
      <c r="G2488" s="497" t="s">
        <v>7141</v>
      </c>
      <c r="H2488" s="182"/>
      <c r="I2488" s="182"/>
      <c r="J2488" s="182"/>
      <c r="K2488" s="183"/>
      <c r="L2488" s="182"/>
      <c r="M2488" s="182">
        <v>1</v>
      </c>
      <c r="N2488" s="182"/>
      <c r="O2488" s="183" t="s">
        <v>95</v>
      </c>
      <c r="P2488" s="183" t="s">
        <v>96</v>
      </c>
      <c r="Q2488" s="183" t="s">
        <v>97</v>
      </c>
      <c r="R2488" s="183">
        <v>14</v>
      </c>
      <c r="S2488" s="183">
        <v>0</v>
      </c>
      <c r="T2488" s="183">
        <v>14</v>
      </c>
      <c r="U2488" s="183" t="s">
        <v>22</v>
      </c>
      <c r="V2488" s="183" t="s">
        <v>7349</v>
      </c>
      <c r="W2488" s="183" t="s">
        <v>22</v>
      </c>
      <c r="X2488" s="183" t="s">
        <v>7467</v>
      </c>
      <c r="Y2488" s="184">
        <f>IF(ISBLANK(O2488),"",(IF(O2488=UPPER("IB"),0.005,0.01)))</f>
        <v>0.01</v>
      </c>
      <c r="Z2488" s="185">
        <f>IF(ISBLANK(O2488),"",IF(O2488="IB",8.63*200,IF(O2488="IR",16*100,IF(O2488="YT",20*100,IF(O2488="YT-XT",24*200,IF(O2488="TED",80*100,IF(O2488="XT",29*200)))))))</f>
        <v>1600</v>
      </c>
      <c r="AA2488" s="185" t="s">
        <v>7753</v>
      </c>
      <c r="AB2488" s="185"/>
      <c r="AC2488" s="185"/>
      <c r="AD2488" s="649">
        <v>-0.12</v>
      </c>
      <c r="AE2488" s="182"/>
      <c r="AF2488" s="332"/>
      <c r="AG2488" s="182"/>
      <c r="AH2488" s="182"/>
      <c r="AI2488" s="182"/>
      <c r="AJ2488" s="640"/>
      <c r="AK2488" s="182"/>
      <c r="AL2488" s="496">
        <f t="shared" si="864"/>
        <v>-32</v>
      </c>
      <c r="AM2488" s="496">
        <f t="shared" si="865"/>
        <v>-448</v>
      </c>
      <c r="AN2488" s="626"/>
      <c r="AO2488" s="182"/>
      <c r="AP2488" s="182"/>
      <c r="AQ2488" s="332" t="s">
        <v>115</v>
      </c>
      <c r="AR2488" s="182"/>
      <c r="AS2488" s="189">
        <v>-0.11</v>
      </c>
      <c r="AT2488" s="189">
        <f t="shared" si="866"/>
        <v>9.999999999999995E-3</v>
      </c>
      <c r="AU2488" s="187">
        <f t="shared" si="867"/>
        <v>223.99999999999989</v>
      </c>
      <c r="AV2488" s="190">
        <f t="shared" si="868"/>
        <v>15.999999999999993</v>
      </c>
      <c r="AW2488" s="191" t="s">
        <v>96</v>
      </c>
      <c r="AX2488" s="549"/>
      <c r="AY2488" s="549"/>
      <c r="AZ2488" s="549"/>
      <c r="BA2488" s="549"/>
      <c r="BB2488" s="549"/>
      <c r="BC2488" s="551"/>
      <c r="BD2488" s="549"/>
      <c r="BE2488" s="550"/>
      <c r="BF2488" s="549"/>
      <c r="BG2488" s="391">
        <f>SUM($AV$2420:AV2488)</f>
        <v>-94.085714285737993</v>
      </c>
      <c r="BH2488" s="392">
        <f>SUM($AU$2420:AU2488)</f>
        <v>604.99999999996135</v>
      </c>
      <c r="BI2488" s="318">
        <f>SUMIFS($AU$2420:AU2641,$Q$2420:Q2641,"F")</f>
        <v>-143.99999999999949</v>
      </c>
      <c r="BJ2488" s="318">
        <f>SUMIFS($AU$2420:AU2641,$Q$2420:Q2641,"S")</f>
        <v>256.00000000000466</v>
      </c>
      <c r="BK2488" s="343">
        <f>SUMIFS($AU$2420:AU2641,$P$2420:P2641,"W")</f>
        <v>-607.99999999991883</v>
      </c>
      <c r="BL2488" s="343">
        <f>SUMIFS($AU$2420:AU2641,$P$2420:P2641,"R")</f>
        <v>911.99999999999966</v>
      </c>
      <c r="BM2488" s="343">
        <f>SUMIFS($AU$2420:AU2641,$AQ$2420:AQ2641,"M")</f>
        <v>-899.79999999984489</v>
      </c>
      <c r="BN2488" s="343">
        <f>SUMIFS($AU$2420:AU2641,$AQ$2420:AQ2641,"H")</f>
        <v>1762.9999999999427</v>
      </c>
      <c r="BO2488" s="343">
        <f>SUMIFS($AU$2420:AU2641,$AQ$2420:AQ2641,"D")</f>
        <v>-767.99999999998977</v>
      </c>
      <c r="BP2488" s="343">
        <f>SUMIFS($AS$2420:AS2729,$AO$2420:AO2729,"W")</f>
        <v>0</v>
      </c>
      <c r="BQ2488" s="343">
        <f>SUMIFS($AU$2420:AU2641,$Q$2420:Q2641,"O")</f>
        <v>-884.7999999998965</v>
      </c>
      <c r="BR2488" s="343">
        <f>SUMIFS($AU$2420:AU2641,$AA$2420:AA2641,"*")</f>
        <v>-512.79999999998074</v>
      </c>
      <c r="BS2488" s="343">
        <f>SUMIFS($AU$2420:AU2641,$AB$2420:AB2641,"*")</f>
        <v>-451.99999999997726</v>
      </c>
      <c r="BT2488" s="343">
        <f>SUMIFS($AU$2420:AU2641,$AC$2420:AC2641,"*")</f>
        <v>-143.99999999999909</v>
      </c>
      <c r="BU2488" s="343">
        <f>SUMIFS($AU$2420:AU2641,$AA$2420:AA2641,"*",$AB$2420:AB2641,"*")</f>
        <v>95.999999999933891</v>
      </c>
      <c r="BV2488" s="343">
        <f>SUMIFS($AU$2420:AU2641,$AA$2420:AA2641,"*",$AC$2420:AC2641,"*")</f>
        <v>-591.99999999999977</v>
      </c>
      <c r="BW2488" s="343">
        <f>SUMIFS($AU$2420:AU2641,$AB$2420:AB2641,"*",$AC$2420:AC2641,"*")</f>
        <v>-143.99999999999966</v>
      </c>
      <c r="BX2488" s="343">
        <f>SUMIFS($AV$2420:AV2641,$Q$2420:Q2641,"F")</f>
        <v>18.153846153846242</v>
      </c>
      <c r="BY2488" s="343">
        <f>SUMIFS($AV$2420:AV2641,$Q$2420:Q2641,"S")</f>
        <v>64.044720496894826</v>
      </c>
      <c r="BZ2488" s="343">
        <f>SUMIFS($AV$2420:AV2641,$Q$2420:Q2641,"O")</f>
        <v>-458.13333333332537</v>
      </c>
    </row>
    <row r="2489" spans="1:78" ht="15.75" customHeight="1">
      <c r="A2489" s="177" t="s">
        <v>7734</v>
      </c>
      <c r="B2489" s="200">
        <v>45539</v>
      </c>
      <c r="C2489" s="178" t="s">
        <v>1142</v>
      </c>
      <c r="D2489" s="178" t="s">
        <v>151</v>
      </c>
      <c r="E2489" s="227"/>
      <c r="F2489" s="180"/>
      <c r="G2489" s="497" t="s">
        <v>3334</v>
      </c>
      <c r="H2489" s="182"/>
      <c r="I2489" s="182"/>
      <c r="J2489" s="182"/>
      <c r="K2489" s="183"/>
      <c r="L2489" s="182"/>
      <c r="M2489" s="182">
        <v>1</v>
      </c>
      <c r="N2489" s="182"/>
      <c r="O2489" s="183" t="s">
        <v>95</v>
      </c>
      <c r="P2489" s="183" t="s">
        <v>96</v>
      </c>
      <c r="Q2489" s="183" t="s">
        <v>97</v>
      </c>
      <c r="R2489" s="183">
        <v>12</v>
      </c>
      <c r="S2489" s="183">
        <v>0</v>
      </c>
      <c r="T2489" s="183">
        <v>12</v>
      </c>
      <c r="U2489" s="183" t="s">
        <v>22</v>
      </c>
      <c r="V2489" s="183" t="s">
        <v>7349</v>
      </c>
      <c r="W2489" s="183" t="s">
        <v>22</v>
      </c>
      <c r="X2489" s="183" t="s">
        <v>7488</v>
      </c>
      <c r="Y2489" s="184">
        <f>IF(ISBLANK(O2489),"",(IF(O2489=UPPER("IB"),0.005,0.01)))</f>
        <v>0.01</v>
      </c>
      <c r="Z2489" s="185">
        <f>IF(ISBLANK(O2489),"",IF(O2489="IB",8.63*200,IF(O2489="IR",16*100,IF(O2489="YT",20*100,IF(O2489="YT-XT",24*200,IF(O2489="TED",80*100,IF(O2489="XT",29*200)))))))</f>
        <v>1600</v>
      </c>
      <c r="AA2489" s="185" t="s">
        <v>4949</v>
      </c>
      <c r="AB2489" s="185"/>
      <c r="AC2489" s="185"/>
      <c r="AD2489" s="649">
        <v>-0.22</v>
      </c>
      <c r="AE2489" s="182"/>
      <c r="AF2489" s="332"/>
      <c r="AG2489" s="182"/>
      <c r="AH2489" s="182"/>
      <c r="AI2489" s="182"/>
      <c r="AJ2489" s="640"/>
      <c r="AK2489" s="182"/>
      <c r="AL2489" s="496">
        <f t="shared" si="864"/>
        <v>-32</v>
      </c>
      <c r="AM2489" s="496">
        <f t="shared" si="865"/>
        <v>-384</v>
      </c>
      <c r="AN2489" s="626"/>
      <c r="AO2489" s="182"/>
      <c r="AP2489" s="182"/>
      <c r="AQ2489" s="332" t="s">
        <v>372</v>
      </c>
      <c r="AR2489" s="182"/>
      <c r="AS2489" s="189">
        <v>-0.22</v>
      </c>
      <c r="AT2489" s="189">
        <f t="shared" si="866"/>
        <v>0</v>
      </c>
      <c r="AU2489" s="187">
        <f t="shared" si="867"/>
        <v>0</v>
      </c>
      <c r="AV2489" s="190">
        <f t="shared" si="868"/>
        <v>0</v>
      </c>
      <c r="AW2489" s="191" t="s">
        <v>115</v>
      </c>
      <c r="AX2489" s="549"/>
      <c r="AY2489" s="549"/>
      <c r="AZ2489" s="549"/>
      <c r="BA2489" s="549"/>
      <c r="BB2489" s="549"/>
      <c r="BC2489" s="551"/>
      <c r="BD2489" s="549"/>
      <c r="BE2489" s="550"/>
      <c r="BF2489" s="549"/>
      <c r="BG2489" s="391">
        <f>SUM($AV$2420:AV2489)</f>
        <v>-94.085714285737993</v>
      </c>
      <c r="BH2489" s="392">
        <f>SUM($AU$2420:AU2489)</f>
        <v>604.99999999996135</v>
      </c>
      <c r="BI2489" s="318">
        <f>SUMIFS($AU$2420:AU2642,$Q$2420:Q2642,"F")</f>
        <v>-143.99999999999949</v>
      </c>
      <c r="BJ2489" s="318">
        <f>SUMIFS($AU$2420:AU2642,$Q$2420:Q2642,"S")</f>
        <v>256.00000000000466</v>
      </c>
      <c r="BK2489" s="343">
        <f>SUMIFS($AU$2420:AU2642,$P$2420:P2642,"W")</f>
        <v>-607.99999999991883</v>
      </c>
      <c r="BL2489" s="343">
        <f>SUMIFS($AU$2420:AU2642,$P$2420:P2642,"R")</f>
        <v>911.99999999999966</v>
      </c>
      <c r="BM2489" s="343">
        <f>SUMIFS($AU$2420:AU2642,$AQ$2420:AQ2642,"M")</f>
        <v>-899.79999999984489</v>
      </c>
      <c r="BN2489" s="343">
        <f>SUMIFS($AU$2420:AU2642,$AQ$2420:AQ2642,"H")</f>
        <v>1762.9999999999427</v>
      </c>
      <c r="BO2489" s="343">
        <f>SUMIFS($AU$2420:AU2642,$AQ$2420:AQ2642,"D")</f>
        <v>-767.99999999998977</v>
      </c>
      <c r="BP2489" s="343">
        <f>SUMIFS($AS$2420:AS2730,$AO$2420:AO2730,"W")</f>
        <v>0</v>
      </c>
      <c r="BQ2489" s="343">
        <f>SUMIFS($AU$2420:AU2642,$Q$2420:Q2642,"O")</f>
        <v>-884.7999999998965</v>
      </c>
      <c r="BR2489" s="343">
        <f>SUMIFS($AU$2420:AU2642,$AA$2420:AA2642,"*")</f>
        <v>-512.79999999998074</v>
      </c>
      <c r="BS2489" s="343">
        <f>SUMIFS($AU$2420:AU2642,$AB$2420:AB2642,"*")</f>
        <v>-451.99999999997726</v>
      </c>
      <c r="BT2489" s="343">
        <f>SUMIFS($AU$2420:AU2642,$AC$2420:AC2642,"*")</f>
        <v>-143.99999999999909</v>
      </c>
      <c r="BU2489" s="343">
        <f>SUMIFS($AU$2420:AU2642,$AA$2420:AA2642,"*",$AB$2420:AB2642,"*")</f>
        <v>95.999999999933891</v>
      </c>
      <c r="BV2489" s="343">
        <f>SUMIFS($AU$2420:AU2642,$AA$2420:AA2642,"*",$AC$2420:AC2642,"*")</f>
        <v>-591.99999999999977</v>
      </c>
      <c r="BW2489" s="343">
        <f>SUMIFS($AU$2420:AU2642,$AB$2420:AB2642,"*",$AC$2420:AC2642,"*")</f>
        <v>-143.99999999999966</v>
      </c>
      <c r="BX2489" s="343">
        <f>SUMIFS($AV$2420:AV2642,$Q$2420:Q2642,"F")</f>
        <v>18.153846153846242</v>
      </c>
      <c r="BY2489" s="343">
        <f>SUMIFS($AV$2420:AV2642,$Q$2420:Q2642,"S")</f>
        <v>64.044720496894826</v>
      </c>
      <c r="BZ2489" s="343">
        <f>SUMIFS($AV$2420:AV2642,$Q$2420:Q2642,"O")</f>
        <v>-458.13333333332537</v>
      </c>
    </row>
    <row r="2490" spans="1:78" ht="15.75" customHeight="1">
      <c r="A2490" s="177" t="s">
        <v>7734</v>
      </c>
      <c r="B2490" s="200">
        <v>45539</v>
      </c>
      <c r="C2490" s="178" t="s">
        <v>7308</v>
      </c>
      <c r="D2490" s="178" t="s">
        <v>151</v>
      </c>
      <c r="E2490" s="227"/>
      <c r="F2490" s="180"/>
      <c r="G2490" s="497" t="s">
        <v>7754</v>
      </c>
      <c r="H2490" s="182"/>
      <c r="I2490" s="182"/>
      <c r="J2490" s="182"/>
      <c r="K2490" s="183"/>
      <c r="L2490" s="182"/>
      <c r="M2490" s="182">
        <v>1</v>
      </c>
      <c r="N2490" s="182"/>
      <c r="O2490" s="183" t="s">
        <v>95</v>
      </c>
      <c r="P2490" s="183" t="s">
        <v>96</v>
      </c>
      <c r="Q2490" s="183" t="s">
        <v>97</v>
      </c>
      <c r="R2490" s="183">
        <v>4</v>
      </c>
      <c r="S2490" s="183">
        <v>0</v>
      </c>
      <c r="T2490" s="183">
        <v>4</v>
      </c>
      <c r="U2490" s="183" t="s">
        <v>22</v>
      </c>
      <c r="V2490" s="183" t="s">
        <v>7349</v>
      </c>
      <c r="W2490" s="183" t="s">
        <v>22</v>
      </c>
      <c r="X2490" s="183" t="s">
        <v>7467</v>
      </c>
      <c r="Y2490" s="184">
        <f>IF(ISBLANK(O2490),"",(IF(O2490=UPPER("IB"),0.005,0.01)))</f>
        <v>0.01</v>
      </c>
      <c r="Z2490" s="185">
        <f>IF(ISBLANK(O2490),"",IF(O2490="IB",8.63*200,IF(O2490="IR",16*100,IF(O2490="YT",20*100,IF(O2490="YT-XT",24*200,IF(O2490="TED",80*100,IF(O2490="XT",29*200)))))))</f>
        <v>1600</v>
      </c>
      <c r="AA2490" s="185" t="s">
        <v>7755</v>
      </c>
      <c r="AB2490" s="185"/>
      <c r="AC2490" s="185"/>
      <c r="AD2490" s="649">
        <v>-0.16</v>
      </c>
      <c r="AE2490" s="182"/>
      <c r="AF2490" s="332"/>
      <c r="AG2490" s="182"/>
      <c r="AH2490" s="182"/>
      <c r="AI2490" s="182"/>
      <c r="AJ2490" s="640"/>
      <c r="AK2490" s="182"/>
      <c r="AL2490" s="496">
        <f t="shared" si="864"/>
        <v>-32</v>
      </c>
      <c r="AM2490" s="496">
        <f t="shared" si="865"/>
        <v>-128</v>
      </c>
      <c r="AN2490" s="626"/>
      <c r="AO2490" s="182"/>
      <c r="AP2490" s="182"/>
      <c r="AQ2490" s="332" t="str">
        <f>UPPER(RIGHT(Journal_Live[[#This Row],[DURATION ]]))</f>
        <v/>
      </c>
      <c r="AR2490" s="182"/>
      <c r="AS2490" s="189">
        <v>-0.16</v>
      </c>
      <c r="AT2490" s="189">
        <f t="shared" si="866"/>
        <v>0</v>
      </c>
      <c r="AU2490" s="187">
        <f t="shared" si="867"/>
        <v>0</v>
      </c>
      <c r="AV2490" s="190">
        <f t="shared" si="868"/>
        <v>0</v>
      </c>
      <c r="AW2490" s="191" t="s">
        <v>115</v>
      </c>
      <c r="AX2490" s="549"/>
      <c r="AY2490" s="549"/>
      <c r="AZ2490" s="549"/>
      <c r="BA2490" s="549"/>
      <c r="BB2490" s="549"/>
      <c r="BC2490" s="551"/>
      <c r="BD2490" s="549"/>
      <c r="BE2490" s="550"/>
      <c r="BF2490" s="549"/>
      <c r="BG2490" s="391">
        <f>SUM($AV$2420:AV2490)</f>
        <v>-94.085714285737993</v>
      </c>
      <c r="BH2490" s="392">
        <f>SUM($AU$2420:AU2490)</f>
        <v>604.99999999996135</v>
      </c>
      <c r="BI2490" s="318">
        <f>SUMIFS($AU$2420:AU2643,$Q$2420:Q2643,"F")</f>
        <v>-143.99999999999949</v>
      </c>
      <c r="BJ2490" s="318">
        <f>SUMIFS($AU$2420:AU2643,$Q$2420:Q2643,"S")</f>
        <v>256.00000000000466</v>
      </c>
      <c r="BK2490" s="343">
        <f>SUMIFS($AU$2420:AU2643,$P$2420:P2643,"W")</f>
        <v>-607.99999999991883</v>
      </c>
      <c r="BL2490" s="343">
        <f>SUMIFS($AU$2420:AU2643,$P$2420:P2643,"R")</f>
        <v>911.99999999999966</v>
      </c>
      <c r="BM2490" s="343">
        <f>SUMIFS($AU$2420:AU2643,$AQ$2420:AQ2643,"M")</f>
        <v>-899.79999999984489</v>
      </c>
      <c r="BN2490" s="343">
        <f>SUMIFS($AU$2420:AU2643,$AQ$2420:AQ2643,"H")</f>
        <v>1762.9999999999427</v>
      </c>
      <c r="BO2490" s="343">
        <f>SUMIFS($AU$2420:AU2643,$AQ$2420:AQ2643,"D")</f>
        <v>-767.99999999998977</v>
      </c>
      <c r="BP2490" s="343">
        <f>SUMIFS($AS$2420:AS2731,$AO$2420:AO2731,"W")</f>
        <v>0</v>
      </c>
      <c r="BQ2490" s="343">
        <f>SUMIFS($AU$2420:AU2643,$Q$2420:Q2643,"O")</f>
        <v>-884.7999999998965</v>
      </c>
      <c r="BR2490" s="343">
        <f>SUMIFS($AU$2420:AU2643,$AA$2420:AA2643,"*")</f>
        <v>-512.79999999998074</v>
      </c>
      <c r="BS2490" s="343">
        <f>SUMIFS($AU$2420:AU2643,$AB$2420:AB2643,"*")</f>
        <v>-451.99999999997726</v>
      </c>
      <c r="BT2490" s="343">
        <f>SUMIFS($AU$2420:AU2643,$AC$2420:AC2643,"*")</f>
        <v>-143.99999999999909</v>
      </c>
      <c r="BU2490" s="343">
        <f>SUMIFS($AU$2420:AU2643,$AA$2420:AA2643,"*",$AB$2420:AB2643,"*")</f>
        <v>95.999999999933891</v>
      </c>
      <c r="BV2490" s="343">
        <f>SUMIFS($AU$2420:AU2643,$AA$2420:AA2643,"*",$AC$2420:AC2643,"*")</f>
        <v>-591.99999999999977</v>
      </c>
      <c r="BW2490" s="343">
        <f>SUMIFS($AU$2420:AU2643,$AB$2420:AB2643,"*",$AC$2420:AC2643,"*")</f>
        <v>-143.99999999999966</v>
      </c>
      <c r="BX2490" s="343">
        <f>SUMIFS($AV$2420:AV2643,$Q$2420:Q2643,"F")</f>
        <v>18.153846153846242</v>
      </c>
      <c r="BY2490" s="343">
        <f>SUMIFS($AV$2420:AV2643,$Q$2420:Q2643,"S")</f>
        <v>64.044720496894826</v>
      </c>
      <c r="BZ2490" s="343">
        <f>SUMIFS($AV$2420:AV2643,$Q$2420:Q2643,"O")</f>
        <v>-458.13333333332537</v>
      </c>
    </row>
    <row r="2491" spans="1:78" ht="15.75" customHeight="1">
      <c r="A2491" s="177" t="s">
        <v>7734</v>
      </c>
      <c r="B2491" s="200">
        <v>45540</v>
      </c>
      <c r="C2491" s="178" t="s">
        <v>7717</v>
      </c>
      <c r="D2491" s="178" t="s">
        <v>93</v>
      </c>
      <c r="E2491" s="227"/>
      <c r="F2491" s="180"/>
      <c r="G2491" s="497" t="s">
        <v>6826</v>
      </c>
      <c r="H2491" s="182"/>
      <c r="I2491" s="182"/>
      <c r="J2491" s="182"/>
      <c r="K2491" s="183"/>
      <c r="L2491" s="182"/>
      <c r="M2491" s="182">
        <v>1</v>
      </c>
      <c r="N2491" s="182"/>
      <c r="O2491" s="183" t="s">
        <v>95</v>
      </c>
      <c r="P2491" s="183" t="s">
        <v>137</v>
      </c>
      <c r="Q2491" s="183" t="s">
        <v>256</v>
      </c>
      <c r="R2491" s="183">
        <v>24</v>
      </c>
      <c r="S2491" s="183">
        <v>0</v>
      </c>
      <c r="T2491" s="183">
        <v>24</v>
      </c>
      <c r="U2491" s="183" t="s">
        <v>97</v>
      </c>
      <c r="V2491" s="183" t="s">
        <v>7357</v>
      </c>
      <c r="W2491" s="183" t="s">
        <v>7367</v>
      </c>
      <c r="X2491" s="183" t="s">
        <v>7467</v>
      </c>
      <c r="Y2491" s="184">
        <f>IF(ISBLANK(O2491),"",(IF(O2491=UPPER("IB"),0.005,0.01)))</f>
        <v>0.01</v>
      </c>
      <c r="Z2491" s="185">
        <f>IF(ISBLANK(O2491),"",IF(O2491="IB",8.63*200,IF(O2491="IR",16*100,IF(O2491="YT",20*100,IF(O2491="YT-XT",24*200,IF(O2491="TED",80*100,IF(O2491="XT",29*200)))))))</f>
        <v>1600</v>
      </c>
      <c r="AA2491" s="185" t="s">
        <v>7756</v>
      </c>
      <c r="AB2491" s="185"/>
      <c r="AC2491" s="185" t="s">
        <v>7757</v>
      </c>
      <c r="AD2491" s="649">
        <v>-0.01</v>
      </c>
      <c r="AE2491" s="182"/>
      <c r="AF2491" s="332"/>
      <c r="AG2491" s="182"/>
      <c r="AH2491" s="182"/>
      <c r="AI2491" s="182"/>
      <c r="AJ2491" s="640"/>
      <c r="AK2491" s="182"/>
      <c r="AL2491" s="496">
        <f t="shared" si="864"/>
        <v>-32</v>
      </c>
      <c r="AM2491" s="496">
        <f t="shared" si="865"/>
        <v>-768</v>
      </c>
      <c r="AN2491" s="626"/>
      <c r="AO2491" s="182"/>
      <c r="AP2491" s="182"/>
      <c r="AQ2491" s="332" t="s">
        <v>115</v>
      </c>
      <c r="AR2491" s="182"/>
      <c r="AS2491" s="189">
        <v>-0.02</v>
      </c>
      <c r="AT2491" s="189">
        <f t="shared" si="866"/>
        <v>0.01</v>
      </c>
      <c r="AU2491" s="187">
        <f t="shared" si="867"/>
        <v>384</v>
      </c>
      <c r="AV2491" s="190">
        <f t="shared" si="868"/>
        <v>16</v>
      </c>
      <c r="AW2491" s="191" t="s">
        <v>96</v>
      </c>
      <c r="AX2491" s="549" t="s">
        <v>7758</v>
      </c>
      <c r="AY2491" s="549"/>
      <c r="AZ2491" s="549"/>
      <c r="BA2491" s="549"/>
      <c r="BB2491" s="549"/>
      <c r="BC2491" s="551"/>
      <c r="BD2491" s="549"/>
      <c r="BE2491" s="550"/>
      <c r="BF2491" s="549"/>
      <c r="BG2491" s="391">
        <f>SUM($AV$2420:AV2491)</f>
        <v>-78.085714285737993</v>
      </c>
      <c r="BH2491" s="392">
        <f>SUM($AU$2420:AU2491)</f>
        <v>988.99999999996135</v>
      </c>
      <c r="BI2491" s="318">
        <f>SUMIFS($AU$2420:AU2644,$Q$2420:Q2644,"F")</f>
        <v>-143.99999999999949</v>
      </c>
      <c r="BJ2491" s="318">
        <f>SUMIFS($AU$2420:AU2644,$Q$2420:Q2644,"S")</f>
        <v>256.00000000000466</v>
      </c>
      <c r="BK2491" s="343">
        <f>SUMIFS($AU$2420:AU2644,$P$2420:P2644,"W")</f>
        <v>-607.99999999991883</v>
      </c>
      <c r="BL2491" s="343">
        <f>SUMIFS($AU$2420:AU2644,$P$2420:P2644,"R")</f>
        <v>911.99999999999966</v>
      </c>
      <c r="BM2491" s="343">
        <f>SUMIFS($AU$2420:AU2644,$AQ$2420:AQ2644,"M")</f>
        <v>-899.79999999984489</v>
      </c>
      <c r="BN2491" s="343">
        <f>SUMIFS($AU$2420:AU2644,$AQ$2420:AQ2644,"H")</f>
        <v>1762.9999999999427</v>
      </c>
      <c r="BO2491" s="343">
        <f>SUMIFS($AU$2420:AU2644,$AQ$2420:AQ2644,"D")</f>
        <v>-767.99999999998977</v>
      </c>
      <c r="BP2491" s="343">
        <f>SUMIFS($AS$2420:AS2732,$AO$2420:AO2732,"W")</f>
        <v>0</v>
      </c>
      <c r="BQ2491" s="343">
        <f>SUMIFS($AU$2420:AU2644,$Q$2420:Q2644,"O")</f>
        <v>-884.7999999998965</v>
      </c>
      <c r="BR2491" s="343">
        <f>SUMIFS($AU$2420:AU2644,$AA$2420:AA2644,"*")</f>
        <v>-512.79999999998074</v>
      </c>
      <c r="BS2491" s="343">
        <f>SUMIFS($AU$2420:AU2644,$AB$2420:AB2644,"*")</f>
        <v>-451.99999999997726</v>
      </c>
      <c r="BT2491" s="343">
        <f>SUMIFS($AU$2420:AU2644,$AC$2420:AC2644,"*")</f>
        <v>-143.99999999999909</v>
      </c>
      <c r="BU2491" s="343">
        <f>SUMIFS($AU$2420:AU2644,$AA$2420:AA2644,"*",$AB$2420:AB2644,"*")</f>
        <v>95.999999999933891</v>
      </c>
      <c r="BV2491" s="343">
        <f>SUMIFS($AU$2420:AU2644,$AA$2420:AA2644,"*",$AC$2420:AC2644,"*")</f>
        <v>-591.99999999999977</v>
      </c>
      <c r="BW2491" s="343">
        <f>SUMIFS($AU$2420:AU2644,$AB$2420:AB2644,"*",$AC$2420:AC2644,"*")</f>
        <v>-143.99999999999966</v>
      </c>
      <c r="BX2491" s="343">
        <f>SUMIFS($AV$2420:AV2644,$Q$2420:Q2644,"F")</f>
        <v>18.153846153846242</v>
      </c>
      <c r="BY2491" s="343">
        <f>SUMIFS($AV$2420:AV2644,$Q$2420:Q2644,"S")</f>
        <v>64.044720496894826</v>
      </c>
      <c r="BZ2491" s="343">
        <f>SUMIFS($AV$2420:AV2644,$Q$2420:Q2644,"O")</f>
        <v>-458.13333333332537</v>
      </c>
    </row>
    <row r="2492" spans="1:78" ht="15.75" customHeight="1">
      <c r="A2492" s="177" t="s">
        <v>7734</v>
      </c>
      <c r="B2492" s="200">
        <v>45540</v>
      </c>
      <c r="C2492" s="178" t="s">
        <v>7308</v>
      </c>
      <c r="D2492" s="178" t="s">
        <v>93</v>
      </c>
      <c r="E2492" s="227" t="s">
        <v>7759</v>
      </c>
      <c r="F2492" s="180"/>
      <c r="G2492" s="181"/>
      <c r="H2492" s="182">
        <v>1</v>
      </c>
      <c r="I2492" s="182"/>
      <c r="J2492" s="182"/>
      <c r="K2492" s="183" t="s">
        <v>372</v>
      </c>
      <c r="L2492" s="182"/>
      <c r="M2492" s="182"/>
      <c r="N2492" s="182"/>
      <c r="O2492" s="183"/>
      <c r="P2492" s="183"/>
      <c r="Q2492" s="183"/>
      <c r="R2492" s="183"/>
      <c r="S2492" s="183"/>
      <c r="T2492" s="183"/>
      <c r="U2492" s="183"/>
      <c r="V2492" s="183"/>
      <c r="W2492" s="183"/>
      <c r="X2492" s="183"/>
      <c r="Y2492" s="183"/>
      <c r="Z2492" s="183"/>
      <c r="AA2492" s="185"/>
      <c r="AB2492" s="185"/>
      <c r="AC2492" s="185"/>
      <c r="AD2492" s="649"/>
      <c r="AE2492" s="182"/>
      <c r="AF2492" s="332"/>
      <c r="AG2492" s="182"/>
      <c r="AH2492" s="182"/>
      <c r="AI2492" s="182"/>
      <c r="AJ2492" s="640"/>
      <c r="AK2492" s="182"/>
      <c r="AL2492" s="496">
        <f t="shared" si="864"/>
        <v>0</v>
      </c>
      <c r="AM2492" s="496">
        <f t="shared" si="865"/>
        <v>0</v>
      </c>
      <c r="AN2492" s="626"/>
      <c r="AO2492" s="182"/>
      <c r="AP2492" s="182"/>
      <c r="AQ2492" s="332" t="str">
        <f>UPPER(RIGHT(Journal_Live[[#This Row],[DURATION ]]))</f>
        <v/>
      </c>
      <c r="AR2492" s="182"/>
      <c r="AS2492" s="189"/>
      <c r="AT2492" s="189">
        <f t="shared" si="866"/>
        <v>0</v>
      </c>
      <c r="AU2492" s="187">
        <f t="shared" si="867"/>
        <v>0</v>
      </c>
      <c r="AV2492" s="190">
        <f t="shared" si="868"/>
        <v>0</v>
      </c>
      <c r="AW2492" s="191"/>
      <c r="AX2492" s="549"/>
      <c r="AY2492" s="549"/>
      <c r="AZ2492" s="549"/>
      <c r="BA2492" s="549"/>
      <c r="BB2492" s="549"/>
      <c r="BC2492" s="551"/>
      <c r="BD2492" s="549"/>
      <c r="BE2492" s="550"/>
      <c r="BF2492" s="549"/>
      <c r="BG2492" s="391">
        <f>SUM($AV$2420:AV2492)</f>
        <v>-78.085714285737993</v>
      </c>
      <c r="BH2492" s="392">
        <f>SUM($AU$2420:AU2492)</f>
        <v>988.99999999996135</v>
      </c>
      <c r="BI2492" s="318">
        <f>SUMIFS($AU$2420:AU2645,$Q$2420:Q2645,"F")</f>
        <v>-143.99999999999949</v>
      </c>
      <c r="BJ2492" s="318">
        <f>SUMIFS($AU$2420:AU2645,$Q$2420:Q2645,"S")</f>
        <v>256.00000000000466</v>
      </c>
      <c r="BK2492" s="343">
        <f>SUMIFS($AU$2420:AU2645,$P$2420:P2645,"W")</f>
        <v>-607.99999999991883</v>
      </c>
      <c r="BL2492" s="343">
        <f>SUMIFS($AU$2420:AU2645,$P$2420:P2645,"R")</f>
        <v>911.99999999999966</v>
      </c>
      <c r="BM2492" s="343">
        <f>SUMIFS($AU$2420:AU2645,$AQ$2420:AQ2645,"M")</f>
        <v>-899.79999999984489</v>
      </c>
      <c r="BN2492" s="343">
        <f>SUMIFS($AU$2420:AU2645,$AQ$2420:AQ2645,"H")</f>
        <v>1762.9999999999427</v>
      </c>
      <c r="BO2492" s="343">
        <f>SUMIFS($AU$2420:AU2645,$AQ$2420:AQ2645,"D")</f>
        <v>-767.99999999998977</v>
      </c>
      <c r="BP2492" s="343">
        <f>SUMIFS($AS$2420:AS2733,$AO$2420:AO2733,"W")</f>
        <v>0</v>
      </c>
      <c r="BQ2492" s="343">
        <f>SUMIFS($AU$2420:AU2645,$Q$2420:Q2645,"O")</f>
        <v>-884.7999999998965</v>
      </c>
      <c r="BR2492" s="343">
        <f>SUMIFS($AU$2420:AU2645,$AA$2420:AA2645,"*")</f>
        <v>-512.79999999998074</v>
      </c>
      <c r="BS2492" s="343">
        <f>SUMIFS($AU$2420:AU2645,$AB$2420:AB2645,"*")</f>
        <v>-451.99999999997726</v>
      </c>
      <c r="BT2492" s="343">
        <f>SUMIFS($AU$2420:AU2645,$AC$2420:AC2645,"*")</f>
        <v>-143.99999999999909</v>
      </c>
      <c r="BU2492" s="343">
        <f>SUMIFS($AU$2420:AU2645,$AA$2420:AA2645,"*",$AB$2420:AB2645,"*")</f>
        <v>95.999999999933891</v>
      </c>
      <c r="BV2492" s="343">
        <f>SUMIFS($AU$2420:AU2645,$AA$2420:AA2645,"*",$AC$2420:AC2645,"*")</f>
        <v>-591.99999999999977</v>
      </c>
      <c r="BW2492" s="343">
        <f>SUMIFS($AU$2420:AU2645,$AB$2420:AB2645,"*",$AC$2420:AC2645,"*")</f>
        <v>-143.99999999999966</v>
      </c>
      <c r="BX2492" s="343">
        <f>SUMIFS($AV$2420:AV2645,$Q$2420:Q2645,"F")</f>
        <v>18.153846153846242</v>
      </c>
      <c r="BY2492" s="343">
        <f>SUMIFS($AV$2420:AV2645,$Q$2420:Q2645,"S")</f>
        <v>64.044720496894826</v>
      </c>
      <c r="BZ2492" s="343">
        <f>SUMIFS($AV$2420:AV2645,$Q$2420:Q2645,"O")</f>
        <v>-458.13333333332537</v>
      </c>
    </row>
    <row r="2493" spans="1:78" ht="15.75" customHeight="1">
      <c r="A2493" s="177" t="s">
        <v>7734</v>
      </c>
      <c r="B2493" s="200">
        <v>45541</v>
      </c>
      <c r="C2493" s="178" t="s">
        <v>1259</v>
      </c>
      <c r="D2493" s="178" t="s">
        <v>111</v>
      </c>
      <c r="E2493" s="227"/>
      <c r="F2493" s="180"/>
      <c r="G2493" s="497" t="s">
        <v>7159</v>
      </c>
      <c r="H2493" s="182"/>
      <c r="I2493" s="182"/>
      <c r="J2493" s="182"/>
      <c r="K2493" s="183"/>
      <c r="L2493" s="182"/>
      <c r="M2493" s="182">
        <v>1</v>
      </c>
      <c r="N2493" s="182"/>
      <c r="O2493" s="183" t="s">
        <v>95</v>
      </c>
      <c r="P2493" s="183" t="s">
        <v>96</v>
      </c>
      <c r="Q2493" s="183" t="s">
        <v>97</v>
      </c>
      <c r="R2493" s="183">
        <v>16</v>
      </c>
      <c r="S2493" s="183">
        <v>0</v>
      </c>
      <c r="T2493" s="183">
        <v>14</v>
      </c>
      <c r="U2493" s="183" t="s">
        <v>22</v>
      </c>
      <c r="V2493" s="183" t="s">
        <v>7349</v>
      </c>
      <c r="W2493" s="183" t="s">
        <v>22</v>
      </c>
      <c r="X2493" s="183" t="s">
        <v>7467</v>
      </c>
      <c r="Y2493" s="184">
        <f>IF(ISBLANK(O2493),"",(IF(O2493=UPPER("IB"),0.005,0.01)))</f>
        <v>0.01</v>
      </c>
      <c r="Z2493" s="185">
        <f>IF(ISBLANK(O2493),"",IF(O2493="IB",8.63*200,IF(O2493="IR",16*100,IF(O2493="YT",20*100,IF(O2493="YT-XT",24*200,IF(O2493="TED",80*100,IF(O2493="XT",29*200)))))))</f>
        <v>1600</v>
      </c>
      <c r="AA2493" s="185" t="s">
        <v>7339</v>
      </c>
      <c r="AB2493" s="185"/>
      <c r="AC2493" s="185"/>
      <c r="AD2493" s="649">
        <v>-0.23</v>
      </c>
      <c r="AE2493" s="182"/>
      <c r="AF2493" s="332"/>
      <c r="AG2493" s="182"/>
      <c r="AH2493" s="182"/>
      <c r="AI2493" s="182"/>
      <c r="AJ2493" s="640"/>
      <c r="AK2493" s="182"/>
      <c r="AL2493" s="496">
        <f t="shared" si="864"/>
        <v>-32</v>
      </c>
      <c r="AM2493" s="496">
        <f t="shared" si="865"/>
        <v>-512</v>
      </c>
      <c r="AN2493" s="626"/>
      <c r="AO2493" s="182"/>
      <c r="AP2493" s="182"/>
      <c r="AQ2493" s="332" t="s">
        <v>372</v>
      </c>
      <c r="AR2493" s="182"/>
      <c r="AS2493" s="189">
        <v>-0.22</v>
      </c>
      <c r="AT2493" s="189">
        <f t="shared" si="866"/>
        <v>1.0000000000000009E-2</v>
      </c>
      <c r="AU2493" s="187">
        <f t="shared" si="867"/>
        <v>256.00000000000023</v>
      </c>
      <c r="AV2493" s="190">
        <f t="shared" si="868"/>
        <v>16.000000000000014</v>
      </c>
      <c r="AW2493" s="191" t="s">
        <v>96</v>
      </c>
      <c r="AX2493" s="549"/>
      <c r="AY2493" s="549"/>
      <c r="AZ2493" s="549"/>
      <c r="BA2493" s="549"/>
      <c r="BB2493" s="549"/>
      <c r="BC2493" s="551"/>
      <c r="BD2493" s="549"/>
      <c r="BE2493" s="550"/>
      <c r="BF2493" s="549"/>
      <c r="BG2493" s="391">
        <f>SUM($AV$2420:AV2493)</f>
        <v>-62.085714285737978</v>
      </c>
      <c r="BH2493" s="392">
        <f>SUM($AU$2420:AU2493)</f>
        <v>1244.9999999999616</v>
      </c>
      <c r="BI2493" s="318">
        <f>SUMIFS($AU$2420:AU2646,$Q$2420:Q2646,"F")</f>
        <v>-143.99999999999949</v>
      </c>
      <c r="BJ2493" s="318">
        <f>SUMIFS($AU$2420:AU2646,$Q$2420:Q2646,"S")</f>
        <v>256.00000000000466</v>
      </c>
      <c r="BK2493" s="343">
        <f>SUMIFS($AU$2420:AU2646,$P$2420:P2646,"W")</f>
        <v>-607.99999999991883</v>
      </c>
      <c r="BL2493" s="343">
        <f>SUMIFS($AU$2420:AU2646,$P$2420:P2646,"R")</f>
        <v>911.99999999999966</v>
      </c>
      <c r="BM2493" s="343">
        <f>SUMIFS($AU$2420:AU2646,$AQ$2420:AQ2646,"M")</f>
        <v>-899.79999999984489</v>
      </c>
      <c r="BN2493" s="343">
        <f>SUMIFS($AU$2420:AU2646,$AQ$2420:AQ2646,"H")</f>
        <v>1762.9999999999427</v>
      </c>
      <c r="BO2493" s="343">
        <f>SUMIFS($AU$2420:AU2646,$AQ$2420:AQ2646,"D")</f>
        <v>-767.99999999998977</v>
      </c>
      <c r="BP2493" s="343">
        <f>SUMIFS($AS$2420:AS2734,$AO$2420:AO2734,"W")</f>
        <v>0</v>
      </c>
      <c r="BQ2493" s="343">
        <f>SUMIFS($AU$2420:AU2646,$Q$2420:Q2646,"O")</f>
        <v>-884.7999999998965</v>
      </c>
      <c r="BR2493" s="343">
        <f>SUMIFS($AU$2420:AU2646,$AA$2420:AA2646,"*")</f>
        <v>-512.79999999998074</v>
      </c>
      <c r="BS2493" s="343">
        <f>SUMIFS($AU$2420:AU2646,$AB$2420:AB2646,"*")</f>
        <v>-451.99999999997726</v>
      </c>
      <c r="BT2493" s="343">
        <f>SUMIFS($AU$2420:AU2646,$AC$2420:AC2646,"*")</f>
        <v>-143.99999999999909</v>
      </c>
      <c r="BU2493" s="343">
        <f>SUMIFS($AU$2420:AU2646,$AA$2420:AA2646,"*",$AB$2420:AB2646,"*")</f>
        <v>95.999999999933891</v>
      </c>
      <c r="BV2493" s="343">
        <f>SUMIFS($AU$2420:AU2646,$AA$2420:AA2646,"*",$AC$2420:AC2646,"*")</f>
        <v>-591.99999999999977</v>
      </c>
      <c r="BW2493" s="343">
        <f>SUMIFS($AU$2420:AU2646,$AB$2420:AB2646,"*",$AC$2420:AC2646,"*")</f>
        <v>-143.99999999999966</v>
      </c>
      <c r="BX2493" s="343">
        <f>SUMIFS($AV$2420:AV2646,$Q$2420:Q2646,"F")</f>
        <v>18.153846153846242</v>
      </c>
      <c r="BY2493" s="343">
        <f>SUMIFS($AV$2420:AV2646,$Q$2420:Q2646,"S")</f>
        <v>64.044720496894826</v>
      </c>
      <c r="BZ2493" s="343">
        <f>SUMIFS($AV$2420:AV2646,$Q$2420:Q2646,"O")</f>
        <v>-458.13333333332537</v>
      </c>
    </row>
    <row r="2494" spans="1:78" ht="15.75" customHeight="1">
      <c r="A2494" s="177" t="s">
        <v>7734</v>
      </c>
      <c r="B2494" s="200">
        <v>45541</v>
      </c>
      <c r="C2494" s="178" t="s">
        <v>1259</v>
      </c>
      <c r="D2494" s="178" t="s">
        <v>111</v>
      </c>
      <c r="E2494" s="227"/>
      <c r="F2494" s="180"/>
      <c r="G2494" s="497" t="s">
        <v>7277</v>
      </c>
      <c r="H2494" s="182"/>
      <c r="I2494" s="182"/>
      <c r="J2494" s="182"/>
      <c r="K2494" s="183"/>
      <c r="L2494" s="182"/>
      <c r="M2494" s="182">
        <v>1</v>
      </c>
      <c r="N2494" s="182"/>
      <c r="O2494" s="183" t="s">
        <v>95</v>
      </c>
      <c r="P2494" s="183" t="s">
        <v>96</v>
      </c>
      <c r="Q2494" s="183" t="s">
        <v>97</v>
      </c>
      <c r="R2494" s="183">
        <v>3</v>
      </c>
      <c r="S2494" s="183">
        <v>0</v>
      </c>
      <c r="T2494" s="183">
        <v>3</v>
      </c>
      <c r="U2494" s="183" t="s">
        <v>22</v>
      </c>
      <c r="V2494" s="183" t="s">
        <v>7349</v>
      </c>
      <c r="W2494" s="183" t="s">
        <v>7548</v>
      </c>
      <c r="X2494" s="183" t="s">
        <v>7467</v>
      </c>
      <c r="Y2494" s="184">
        <f>IF(ISBLANK(O2494),"",(IF(O2494=UPPER("IB"),0.005,0.01)))</f>
        <v>0.01</v>
      </c>
      <c r="Z2494" s="185">
        <f>IF(ISBLANK(O2494),"",IF(O2494="IB",8.63*200,IF(O2494="IR",16*100,IF(O2494="YT",20*100,IF(O2494="YT-XT",24*200,IF(O2494="TED",80*100,IF(O2494="XT",29*200)))))))</f>
        <v>1600</v>
      </c>
      <c r="AA2494" s="185" t="s">
        <v>1043</v>
      </c>
      <c r="AB2494" s="185"/>
      <c r="AC2494" s="185"/>
      <c r="AD2494" s="649">
        <v>-0.39</v>
      </c>
      <c r="AE2494" s="182"/>
      <c r="AF2494" s="332"/>
      <c r="AG2494" s="182"/>
      <c r="AH2494" s="182"/>
      <c r="AI2494" s="182"/>
      <c r="AJ2494" s="640"/>
      <c r="AK2494" s="182"/>
      <c r="AL2494" s="496">
        <f t="shared" ref="AL2494:AL2516" si="869">-0.02*Z2494</f>
        <v>-32</v>
      </c>
      <c r="AM2494" s="496">
        <f t="shared" si="865"/>
        <v>-96</v>
      </c>
      <c r="AN2494" s="626"/>
      <c r="AO2494" s="182"/>
      <c r="AP2494" s="182"/>
      <c r="AQ2494" s="332" t="s">
        <v>372</v>
      </c>
      <c r="AR2494" s="182"/>
      <c r="AS2494" s="189">
        <v>-0.39</v>
      </c>
      <c r="AT2494" s="189">
        <f t="shared" si="866"/>
        <v>0</v>
      </c>
      <c r="AU2494" s="187">
        <f t="shared" si="867"/>
        <v>0</v>
      </c>
      <c r="AV2494" s="190">
        <f t="shared" ref="AV2494:AV2517" si="870">IF(ISBLANK(AS2494),,(AT2494*Z2494))</f>
        <v>0</v>
      </c>
      <c r="AW2494" s="191" t="s">
        <v>115</v>
      </c>
      <c r="AX2494" s="549" t="s">
        <v>7760</v>
      </c>
      <c r="AY2494" s="549"/>
      <c r="AZ2494" s="549"/>
      <c r="BA2494" s="549"/>
      <c r="BB2494" s="549"/>
      <c r="BC2494" s="551"/>
      <c r="BD2494" s="549"/>
      <c r="BE2494" s="550"/>
      <c r="BF2494" s="549"/>
      <c r="BG2494" s="391">
        <f>SUM($AV$2420:AV2494)</f>
        <v>-62.085714285737978</v>
      </c>
      <c r="BH2494" s="392">
        <f>SUM($AU$2420:AU2494)</f>
        <v>1244.9999999999616</v>
      </c>
      <c r="BI2494" s="318">
        <f>SUMIFS($AU$2420:AU2647,$Q$2420:Q2647,"F")</f>
        <v>-143.99999999999949</v>
      </c>
      <c r="BJ2494" s="318">
        <f>SUMIFS($AU$2420:AU2647,$Q$2420:Q2647,"S")</f>
        <v>256.00000000000466</v>
      </c>
      <c r="BK2494" s="343">
        <f>SUMIFS($AU$2420:AU2647,$P$2420:P2647,"W")</f>
        <v>-607.99999999991883</v>
      </c>
      <c r="BL2494" s="343">
        <f>SUMIFS($AU$2420:AU2647,$P$2420:P2647,"R")</f>
        <v>911.99999999999966</v>
      </c>
      <c r="BM2494" s="343">
        <f>SUMIFS($AU$2420:AU2647,$AQ$2420:AQ2647,"M")</f>
        <v>-899.79999999984489</v>
      </c>
      <c r="BN2494" s="343">
        <f>SUMIFS($AU$2420:AU2647,$AQ$2420:AQ2647,"H")</f>
        <v>1762.9999999999427</v>
      </c>
      <c r="BO2494" s="343">
        <f>SUMIFS($AU$2420:AU2647,$AQ$2420:AQ2647,"D")</f>
        <v>-767.99999999998977</v>
      </c>
      <c r="BP2494" s="343">
        <f>SUMIFS($AS$2420:AS2735,$AO$2420:AO2735,"W")</f>
        <v>0</v>
      </c>
      <c r="BQ2494" s="343">
        <f>SUMIFS($AU$2420:AU2647,$Q$2420:Q2647,"O")</f>
        <v>-884.7999999998965</v>
      </c>
      <c r="BR2494" s="343">
        <f>SUMIFS($AU$2420:AU2647,$AA$2420:AA2647,"*")</f>
        <v>-512.79999999998074</v>
      </c>
      <c r="BS2494" s="343">
        <f>SUMIFS($AU$2420:AU2647,$AB$2420:AB2647,"*")</f>
        <v>-451.99999999997726</v>
      </c>
      <c r="BT2494" s="343">
        <f>SUMIFS($AU$2420:AU2647,$AC$2420:AC2647,"*")</f>
        <v>-143.99999999999909</v>
      </c>
      <c r="BU2494" s="343">
        <f>SUMIFS($AU$2420:AU2647,$AA$2420:AA2647,"*",$AB$2420:AB2647,"*")</f>
        <v>95.999999999933891</v>
      </c>
      <c r="BV2494" s="343">
        <f>SUMIFS($AU$2420:AU2647,$AA$2420:AA2647,"*",$AC$2420:AC2647,"*")</f>
        <v>-591.99999999999977</v>
      </c>
      <c r="BW2494" s="343">
        <f>SUMIFS($AU$2420:AU2647,$AB$2420:AB2647,"*",$AC$2420:AC2647,"*")</f>
        <v>-143.99999999999966</v>
      </c>
      <c r="BX2494" s="343">
        <f>SUMIFS($AV$2420:AV2647,$Q$2420:Q2647,"F")</f>
        <v>18.153846153846242</v>
      </c>
      <c r="BY2494" s="343">
        <f>SUMIFS($AV$2420:AV2647,$Q$2420:Q2647,"S")</f>
        <v>64.044720496894826</v>
      </c>
      <c r="BZ2494" s="343">
        <f>SUMIFS($AV$2420:AV2647,$Q$2420:Q2647,"O")</f>
        <v>-458.13333333332537</v>
      </c>
    </row>
    <row r="2495" spans="1:78" ht="15.75" customHeight="1">
      <c r="A2495" s="177" t="s">
        <v>7734</v>
      </c>
      <c r="B2495" s="200">
        <v>45541</v>
      </c>
      <c r="C2495" s="178" t="s">
        <v>1728</v>
      </c>
      <c r="D2495" s="178" t="s">
        <v>111</v>
      </c>
      <c r="E2495" s="227" t="s">
        <v>7761</v>
      </c>
      <c r="F2495" s="180"/>
      <c r="G2495" s="181"/>
      <c r="H2495" s="182"/>
      <c r="I2495" s="182"/>
      <c r="J2495" s="182">
        <v>1</v>
      </c>
      <c r="K2495" s="183" t="s">
        <v>115</v>
      </c>
      <c r="L2495" s="182"/>
      <c r="M2495" s="182"/>
      <c r="N2495" s="182"/>
      <c r="O2495" s="183"/>
      <c r="P2495" s="183"/>
      <c r="Q2495" s="183"/>
      <c r="R2495" s="183"/>
      <c r="S2495" s="183"/>
      <c r="T2495" s="183"/>
      <c r="U2495" s="183"/>
      <c r="V2495" s="183"/>
      <c r="W2495" s="183"/>
      <c r="X2495" s="183"/>
      <c r="Y2495" s="183"/>
      <c r="Z2495" s="183"/>
      <c r="AA2495" s="185"/>
      <c r="AB2495" s="185"/>
      <c r="AC2495" s="185"/>
      <c r="AD2495" s="649"/>
      <c r="AE2495" s="182"/>
      <c r="AF2495" s="332"/>
      <c r="AG2495" s="182"/>
      <c r="AH2495" s="182"/>
      <c r="AI2495" s="182"/>
      <c r="AJ2495" s="640"/>
      <c r="AK2495" s="182"/>
      <c r="AL2495" s="496">
        <f t="shared" si="869"/>
        <v>0</v>
      </c>
      <c r="AM2495" s="496">
        <f t="shared" si="865"/>
        <v>0</v>
      </c>
      <c r="AN2495" s="626"/>
      <c r="AO2495" s="182"/>
      <c r="AP2495" s="182"/>
      <c r="AQ2495" s="332" t="str">
        <f>UPPER(RIGHT(Journal_Live[[#This Row],[DURATION ]]))</f>
        <v/>
      </c>
      <c r="AR2495" s="182"/>
      <c r="AS2495" s="189"/>
      <c r="AT2495" s="189">
        <f t="shared" si="866"/>
        <v>0</v>
      </c>
      <c r="AU2495" s="187">
        <f t="shared" si="867"/>
        <v>0</v>
      </c>
      <c r="AV2495" s="190">
        <f t="shared" si="870"/>
        <v>0</v>
      </c>
      <c r="AW2495" s="191"/>
      <c r="AX2495" s="549"/>
      <c r="AY2495" s="549"/>
      <c r="AZ2495" s="549"/>
      <c r="BA2495" s="549"/>
      <c r="BB2495" s="549"/>
      <c r="BC2495" s="551"/>
      <c r="BD2495" s="549"/>
      <c r="BE2495" s="550"/>
      <c r="BF2495" s="549"/>
      <c r="BG2495" s="391">
        <f>SUM($AV$2420:AV2495)</f>
        <v>-62.085714285737978</v>
      </c>
      <c r="BH2495" s="392">
        <f>SUM($AU$2420:AU2495)</f>
        <v>1244.9999999999616</v>
      </c>
      <c r="BI2495" s="318">
        <f>SUMIFS($AU$2420:AU2648,$Q$2420:Q2648,"F")</f>
        <v>-143.99999999999949</v>
      </c>
      <c r="BJ2495" s="318">
        <f>SUMIFS($AU$2420:AU2648,$Q$2420:Q2648,"S")</f>
        <v>256.00000000000466</v>
      </c>
      <c r="BK2495" s="343">
        <f>SUMIFS($AU$2420:AU2648,$P$2420:P2648,"W")</f>
        <v>-607.99999999991883</v>
      </c>
      <c r="BL2495" s="343">
        <f>SUMIFS($AU$2420:AU2648,$P$2420:P2648,"R")</f>
        <v>911.99999999999966</v>
      </c>
      <c r="BM2495" s="343">
        <f>SUMIFS($AU$2420:AU2648,$AQ$2420:AQ2648,"M")</f>
        <v>-899.79999999984489</v>
      </c>
      <c r="BN2495" s="343">
        <f>SUMIFS($AU$2420:AU2648,$AQ$2420:AQ2648,"H")</f>
        <v>1762.9999999999427</v>
      </c>
      <c r="BO2495" s="343">
        <f>SUMIFS($AU$2420:AU2648,$AQ$2420:AQ2648,"D")</f>
        <v>-767.99999999998977</v>
      </c>
      <c r="BP2495" s="343">
        <f>SUMIFS($AS$2420:AS2736,$AO$2420:AO2736,"W")</f>
        <v>0</v>
      </c>
      <c r="BQ2495" s="343">
        <f>SUMIFS($AU$2420:AU2648,$Q$2420:Q2648,"O")</f>
        <v>-884.7999999998965</v>
      </c>
      <c r="BR2495" s="343">
        <f>SUMIFS($AU$2420:AU2648,$AA$2420:AA2648,"*")</f>
        <v>-512.79999999998074</v>
      </c>
      <c r="BS2495" s="343">
        <f>SUMIFS($AU$2420:AU2648,$AB$2420:AB2648,"*")</f>
        <v>-451.99999999997726</v>
      </c>
      <c r="BT2495" s="343">
        <f>SUMIFS($AU$2420:AU2648,$AC$2420:AC2648,"*")</f>
        <v>-143.99999999999909</v>
      </c>
      <c r="BU2495" s="343">
        <f>SUMIFS($AU$2420:AU2648,$AA$2420:AA2648,"*",$AB$2420:AB2648,"*")</f>
        <v>95.999999999933891</v>
      </c>
      <c r="BV2495" s="343">
        <f>SUMIFS($AU$2420:AU2648,$AA$2420:AA2648,"*",$AC$2420:AC2648,"*")</f>
        <v>-591.99999999999977</v>
      </c>
      <c r="BW2495" s="343">
        <f>SUMIFS($AU$2420:AU2648,$AB$2420:AB2648,"*",$AC$2420:AC2648,"*")</f>
        <v>-143.99999999999966</v>
      </c>
      <c r="BX2495" s="343">
        <f>SUMIFS($AV$2420:AV2648,$Q$2420:Q2648,"F")</f>
        <v>18.153846153846242</v>
      </c>
      <c r="BY2495" s="343">
        <f>SUMIFS($AV$2420:AV2648,$Q$2420:Q2648,"S")</f>
        <v>64.044720496894826</v>
      </c>
      <c r="BZ2495" s="343">
        <f>SUMIFS($AV$2420:AV2648,$Q$2420:Q2648,"O")</f>
        <v>-458.13333333332537</v>
      </c>
    </row>
    <row r="2496" spans="1:78" ht="15.75" customHeight="1">
      <c r="A2496" s="177" t="s">
        <v>7734</v>
      </c>
      <c r="B2496" s="200"/>
      <c r="C2496" s="178"/>
      <c r="D2496" s="178"/>
      <c r="E2496" s="227" t="s">
        <v>7762</v>
      </c>
      <c r="F2496" s="180"/>
      <c r="G2496" s="181"/>
      <c r="H2496" s="182"/>
      <c r="I2496" s="182">
        <v>1</v>
      </c>
      <c r="J2496" s="182"/>
      <c r="K2496" s="183"/>
      <c r="L2496" s="182"/>
      <c r="M2496" s="182"/>
      <c r="N2496" s="182"/>
      <c r="O2496" s="183"/>
      <c r="P2496" s="183"/>
      <c r="Q2496" s="183"/>
      <c r="R2496" s="183"/>
      <c r="S2496" s="183"/>
      <c r="T2496" s="183"/>
      <c r="U2496" s="183"/>
      <c r="V2496" s="183"/>
      <c r="W2496" s="183"/>
      <c r="X2496" s="183"/>
      <c r="Y2496" s="183"/>
      <c r="Z2496" s="183"/>
      <c r="AA2496" s="185"/>
      <c r="AB2496" s="185"/>
      <c r="AC2496" s="185"/>
      <c r="AD2496" s="649"/>
      <c r="AE2496" s="182"/>
      <c r="AF2496" s="332"/>
      <c r="AG2496" s="182"/>
      <c r="AH2496" s="182"/>
      <c r="AI2496" s="182"/>
      <c r="AJ2496" s="640"/>
      <c r="AK2496" s="182"/>
      <c r="AL2496" s="496">
        <f t="shared" si="869"/>
        <v>0</v>
      </c>
      <c r="AM2496" s="496">
        <f t="shared" si="865"/>
        <v>0</v>
      </c>
      <c r="AN2496" s="626"/>
      <c r="AO2496" s="182"/>
      <c r="AP2496" s="182"/>
      <c r="AQ2496" s="332" t="str">
        <f>UPPER(RIGHT(Journal_Live[[#This Row],[DURATION ]]))</f>
        <v/>
      </c>
      <c r="AR2496" s="182"/>
      <c r="AS2496" s="189"/>
      <c r="AT2496" s="189">
        <f t="shared" si="866"/>
        <v>0</v>
      </c>
      <c r="AU2496" s="187">
        <f t="shared" si="867"/>
        <v>0</v>
      </c>
      <c r="AV2496" s="190">
        <f t="shared" si="870"/>
        <v>0</v>
      </c>
      <c r="AW2496" s="191"/>
      <c r="AX2496" s="551" t="s">
        <v>7763</v>
      </c>
      <c r="AY2496" s="551" t="s">
        <v>7764</v>
      </c>
      <c r="AZ2496" s="551"/>
      <c r="BA2496" s="551"/>
      <c r="BB2496" s="551"/>
      <c r="BC2496" s="551"/>
      <c r="BD2496" s="549"/>
      <c r="BE2496" s="550"/>
      <c r="BF2496" s="549"/>
      <c r="BG2496" s="391">
        <f>SUM($AV$2420:AV2496)</f>
        <v>-62.085714285737978</v>
      </c>
      <c r="BH2496" s="392">
        <f>SUM($AU$2420:AU2496)</f>
        <v>1244.9999999999616</v>
      </c>
      <c r="BI2496" s="318">
        <f>SUMIFS($AU$2420:AU2649,$Q$2420:Q2649,"F")</f>
        <v>-143.99999999999949</v>
      </c>
      <c r="BJ2496" s="318">
        <f>SUMIFS($AU$2420:AU2649,$Q$2420:Q2649,"S")</f>
        <v>256.00000000000466</v>
      </c>
      <c r="BK2496" s="343">
        <f>SUMIFS($AU$2420:AU2649,$P$2420:P2649,"W")</f>
        <v>-607.99999999991883</v>
      </c>
      <c r="BL2496" s="343">
        <f>SUMIFS($AU$2420:AU2649,$P$2420:P2649,"R")</f>
        <v>911.99999999999966</v>
      </c>
      <c r="BM2496" s="343">
        <f>SUMIFS($AU$2420:AU2649,$AQ$2420:AQ2649,"M")</f>
        <v>-899.79999999984489</v>
      </c>
      <c r="BN2496" s="343">
        <f>SUMIFS($AU$2420:AU2649,$AQ$2420:AQ2649,"H")</f>
        <v>1762.9999999999427</v>
      </c>
      <c r="BO2496" s="343">
        <f>SUMIFS($AU$2420:AU2649,$AQ$2420:AQ2649,"D")</f>
        <v>-767.99999999998977</v>
      </c>
      <c r="BP2496" s="343">
        <f>SUMIFS($AS$2420:AS2737,$AO$2420:AO2737,"W")</f>
        <v>0</v>
      </c>
      <c r="BQ2496" s="343">
        <f>SUMIFS($AU$2420:AU2649,$Q$2420:Q2649,"O")</f>
        <v>-884.7999999998965</v>
      </c>
      <c r="BR2496" s="343">
        <f>SUMIFS($AU$2420:AU2649,$AA$2420:AA2649,"*")</f>
        <v>-512.79999999998074</v>
      </c>
      <c r="BS2496" s="343">
        <f>SUMIFS($AU$2420:AU2649,$AB$2420:AB2649,"*")</f>
        <v>-451.99999999997726</v>
      </c>
      <c r="BT2496" s="343">
        <f>SUMIFS($AU$2420:AU2649,$AC$2420:AC2649,"*")</f>
        <v>-143.99999999999909</v>
      </c>
      <c r="BU2496" s="343">
        <f>SUMIFS($AU$2420:AU2649,$AA$2420:AA2649,"*",$AB$2420:AB2649,"*")</f>
        <v>95.999999999933891</v>
      </c>
      <c r="BV2496" s="343">
        <f>SUMIFS($AU$2420:AU2649,$AA$2420:AA2649,"*",$AC$2420:AC2649,"*")</f>
        <v>-591.99999999999977</v>
      </c>
      <c r="BW2496" s="343">
        <f>SUMIFS($AU$2420:AU2649,$AB$2420:AB2649,"*",$AC$2420:AC2649,"*")</f>
        <v>-143.99999999999966</v>
      </c>
      <c r="BX2496" s="343">
        <f>SUMIFS($AV$2420:AV2649,$Q$2420:Q2649,"F")</f>
        <v>18.153846153846242</v>
      </c>
      <c r="BY2496" s="343">
        <f>SUMIFS($AV$2420:AV2649,$Q$2420:Q2649,"S")</f>
        <v>64.044720496894826</v>
      </c>
      <c r="BZ2496" s="343">
        <f>SUMIFS($AV$2420:AV2649,$Q$2420:Q2649,"O")</f>
        <v>-458.13333333332537</v>
      </c>
    </row>
    <row r="2497" spans="1:78" ht="15.75" customHeight="1">
      <c r="A2497" s="177" t="s">
        <v>7734</v>
      </c>
      <c r="B2497" s="200"/>
      <c r="C2497" s="178"/>
      <c r="D2497" s="178"/>
      <c r="E2497" s="227"/>
      <c r="F2497" s="180"/>
      <c r="G2497" s="181"/>
      <c r="H2497" s="182"/>
      <c r="I2497" s="182"/>
      <c r="J2497" s="182"/>
      <c r="K2497" s="183"/>
      <c r="L2497" s="182"/>
      <c r="M2497" s="182"/>
      <c r="N2497" s="182"/>
      <c r="O2497" s="183"/>
      <c r="P2497" s="183"/>
      <c r="Q2497" s="183"/>
      <c r="R2497" s="183"/>
      <c r="S2497" s="183"/>
      <c r="T2497" s="183"/>
      <c r="U2497" s="183"/>
      <c r="V2497" s="183"/>
      <c r="W2497" s="183"/>
      <c r="X2497" s="183"/>
      <c r="Y2497" s="183"/>
      <c r="Z2497" s="183"/>
      <c r="AA2497" s="185"/>
      <c r="AB2497" s="185"/>
      <c r="AC2497" s="185"/>
      <c r="AD2497" s="649"/>
      <c r="AE2497" s="182"/>
      <c r="AF2497" s="332"/>
      <c r="AG2497" s="182"/>
      <c r="AH2497" s="182"/>
      <c r="AI2497" s="182"/>
      <c r="AJ2497" s="640"/>
      <c r="AK2497" s="182"/>
      <c r="AL2497" s="496">
        <f t="shared" si="869"/>
        <v>0</v>
      </c>
      <c r="AM2497" s="496">
        <f t="shared" si="865"/>
        <v>0</v>
      </c>
      <c r="AN2497" s="626"/>
      <c r="AO2497" s="182"/>
      <c r="AP2497" s="182"/>
      <c r="AQ2497" s="332" t="str">
        <f>UPPER(RIGHT(Journal_Live[[#This Row],[DURATION ]]))</f>
        <v/>
      </c>
      <c r="AR2497" s="182"/>
      <c r="AS2497" s="189"/>
      <c r="AT2497" s="189">
        <f t="shared" si="866"/>
        <v>0</v>
      </c>
      <c r="AU2497" s="187">
        <f t="shared" si="867"/>
        <v>0</v>
      </c>
      <c r="AV2497" s="190">
        <f t="shared" si="870"/>
        <v>0</v>
      </c>
      <c r="AW2497" s="191"/>
      <c r="AX2497" s="551" t="s">
        <v>7765</v>
      </c>
      <c r="AY2497" s="637" t="s">
        <v>7766</v>
      </c>
      <c r="AZ2497" s="637" t="s">
        <v>7767</v>
      </c>
      <c r="BA2497" s="551"/>
      <c r="BB2497" s="551"/>
      <c r="BC2497" s="551"/>
      <c r="BD2497" s="549"/>
      <c r="BE2497" s="550"/>
      <c r="BF2497" s="549"/>
      <c r="BG2497" s="391">
        <f>SUM($AV$2420:AV2497)</f>
        <v>-62.085714285737978</v>
      </c>
      <c r="BH2497" s="392">
        <f>SUM($AU$2420:AU2497)</f>
        <v>1244.9999999999616</v>
      </c>
      <c r="BI2497" s="318">
        <f>SUMIFS($AU$2420:AU2650,$Q$2420:Q2650,"F")</f>
        <v>-143.99999999999949</v>
      </c>
      <c r="BJ2497" s="318">
        <f>SUMIFS($AU$2420:AU2650,$Q$2420:Q2650,"S")</f>
        <v>256.00000000000466</v>
      </c>
      <c r="BK2497" s="343">
        <f>SUMIFS($AU$2420:AU2650,$P$2420:P2650,"W")</f>
        <v>-607.99999999991883</v>
      </c>
      <c r="BL2497" s="343">
        <f>SUMIFS($AU$2420:AU2650,$P$2420:P2650,"R")</f>
        <v>911.99999999999966</v>
      </c>
      <c r="BM2497" s="343">
        <f>SUMIFS($AU$2420:AU2650,$AQ$2420:AQ2650,"M")</f>
        <v>-899.79999999984489</v>
      </c>
      <c r="BN2497" s="343">
        <f>SUMIFS($AU$2420:AU2650,$AQ$2420:AQ2650,"H")</f>
        <v>1762.9999999999427</v>
      </c>
      <c r="BO2497" s="343">
        <f>SUMIFS($AU$2420:AU2650,$AQ$2420:AQ2650,"D")</f>
        <v>-767.99999999998977</v>
      </c>
      <c r="BP2497" s="343">
        <f>SUMIFS($AS$2420:AS2738,$AO$2420:AO2738,"W")</f>
        <v>0</v>
      </c>
      <c r="BQ2497" s="343">
        <f>SUMIFS($AU$2420:AU2650,$Q$2420:Q2650,"O")</f>
        <v>-884.7999999998965</v>
      </c>
      <c r="BR2497" s="343">
        <f>SUMIFS($AU$2420:AU2650,$AA$2420:AA2650,"*")</f>
        <v>-512.79999999998074</v>
      </c>
      <c r="BS2497" s="343">
        <f>SUMIFS($AU$2420:AU2650,$AB$2420:AB2650,"*")</f>
        <v>-451.99999999997726</v>
      </c>
      <c r="BT2497" s="343">
        <f>SUMIFS($AU$2420:AU2650,$AC$2420:AC2650,"*")</f>
        <v>-143.99999999999909</v>
      </c>
      <c r="BU2497" s="343">
        <f>SUMIFS($AU$2420:AU2650,$AA$2420:AA2650,"*",$AB$2420:AB2650,"*")</f>
        <v>95.999999999933891</v>
      </c>
      <c r="BV2497" s="343">
        <f>SUMIFS($AU$2420:AU2650,$AA$2420:AA2650,"*",$AC$2420:AC2650,"*")</f>
        <v>-591.99999999999977</v>
      </c>
      <c r="BW2497" s="343">
        <f>SUMIFS($AU$2420:AU2650,$AB$2420:AB2650,"*",$AC$2420:AC2650,"*")</f>
        <v>-143.99999999999966</v>
      </c>
      <c r="BX2497" s="343">
        <f>SUMIFS($AV$2420:AV2650,$Q$2420:Q2650,"F")</f>
        <v>18.153846153846242</v>
      </c>
      <c r="BY2497" s="343">
        <f>SUMIFS($AV$2420:AV2650,$Q$2420:Q2650,"S")</f>
        <v>64.044720496894826</v>
      </c>
      <c r="BZ2497" s="343">
        <f>SUMIFS($AV$2420:AV2650,$Q$2420:Q2650,"O")</f>
        <v>-458.13333333332537</v>
      </c>
    </row>
    <row r="2498" spans="1:78" ht="15.75" customHeight="1">
      <c r="A2498" s="177" t="s">
        <v>7734</v>
      </c>
      <c r="B2498" s="200"/>
      <c r="C2498" s="178"/>
      <c r="D2498" s="178"/>
      <c r="E2498" s="227"/>
      <c r="F2498" s="180"/>
      <c r="G2498" s="181"/>
      <c r="H2498" s="182"/>
      <c r="I2498" s="182"/>
      <c r="J2498" s="182"/>
      <c r="K2498" s="183"/>
      <c r="L2498" s="182"/>
      <c r="M2498" s="182"/>
      <c r="N2498" s="182"/>
      <c r="O2498" s="183"/>
      <c r="P2498" s="183"/>
      <c r="Q2498" s="183"/>
      <c r="R2498" s="183"/>
      <c r="S2498" s="183"/>
      <c r="T2498" s="183"/>
      <c r="U2498" s="183"/>
      <c r="V2498" s="183"/>
      <c r="W2498" s="183"/>
      <c r="X2498" s="183"/>
      <c r="Y2498" s="183"/>
      <c r="Z2498" s="183"/>
      <c r="AA2498" s="185"/>
      <c r="AB2498" s="185"/>
      <c r="AC2498" s="185"/>
      <c r="AD2498" s="649"/>
      <c r="AE2498" s="182"/>
      <c r="AF2498" s="332"/>
      <c r="AG2498" s="182"/>
      <c r="AH2498" s="182"/>
      <c r="AI2498" s="182"/>
      <c r="AJ2498" s="640"/>
      <c r="AK2498" s="182"/>
      <c r="AL2498" s="496">
        <f t="shared" si="869"/>
        <v>0</v>
      </c>
      <c r="AM2498" s="496">
        <f t="shared" si="865"/>
        <v>0</v>
      </c>
      <c r="AN2498" s="626"/>
      <c r="AO2498" s="182"/>
      <c r="AP2498" s="182"/>
      <c r="AQ2498" s="332" t="str">
        <f>UPPER(RIGHT(Journal_Live[[#This Row],[DURATION ]]))</f>
        <v/>
      </c>
      <c r="AR2498" s="182"/>
      <c r="AS2498" s="189"/>
      <c r="AT2498" s="189">
        <f t="shared" si="866"/>
        <v>0</v>
      </c>
      <c r="AU2498" s="187">
        <f t="shared" si="867"/>
        <v>0</v>
      </c>
      <c r="AV2498" s="190">
        <f t="shared" si="870"/>
        <v>0</v>
      </c>
      <c r="AW2498" s="191"/>
      <c r="AX2498" s="551" t="s">
        <v>7768</v>
      </c>
      <c r="AY2498" s="551" t="s">
        <v>7769</v>
      </c>
      <c r="AZ2498" s="551" t="s">
        <v>7770</v>
      </c>
      <c r="BA2498" s="551"/>
      <c r="BB2498" s="551"/>
      <c r="BC2498" s="551"/>
      <c r="BD2498" s="549"/>
      <c r="BE2498" s="550"/>
      <c r="BF2498" s="549"/>
      <c r="BG2498" s="391">
        <f>SUM($AV$2420:AV2498)</f>
        <v>-62.085714285737978</v>
      </c>
      <c r="BH2498" s="392">
        <f>SUM($AU$2420:AU2498)</f>
        <v>1244.9999999999616</v>
      </c>
      <c r="BI2498" s="318">
        <f>SUMIFS($AU$2420:AU2651,$Q$2420:Q2651,"F")</f>
        <v>-143.99999999999949</v>
      </c>
      <c r="BJ2498" s="318">
        <f>SUMIFS($AU$2420:AU2651,$Q$2420:Q2651,"S")</f>
        <v>256.00000000000466</v>
      </c>
      <c r="BK2498" s="343">
        <f>SUMIFS($AU$2420:AU2651,$P$2420:P2651,"W")</f>
        <v>-607.99999999991883</v>
      </c>
      <c r="BL2498" s="343">
        <f>SUMIFS($AU$2420:AU2651,$P$2420:P2651,"R")</f>
        <v>911.99999999999966</v>
      </c>
      <c r="BM2498" s="343">
        <f>SUMIFS($AU$2420:AU2651,$AQ$2420:AQ2651,"M")</f>
        <v>-899.79999999984489</v>
      </c>
      <c r="BN2498" s="343">
        <f>SUMIFS($AU$2420:AU2651,$AQ$2420:AQ2651,"H")</f>
        <v>1762.9999999999427</v>
      </c>
      <c r="BO2498" s="343">
        <f>SUMIFS($AU$2420:AU2651,$AQ$2420:AQ2651,"D")</f>
        <v>-767.99999999998977</v>
      </c>
      <c r="BP2498" s="343">
        <f>SUMIFS($AS$2420:AS2739,$AO$2420:AO2739,"W")</f>
        <v>0</v>
      </c>
      <c r="BQ2498" s="343">
        <f>SUMIFS($AU$2420:AU2651,$Q$2420:Q2651,"O")</f>
        <v>-884.7999999998965</v>
      </c>
      <c r="BR2498" s="343">
        <f>SUMIFS($AU$2420:AU2651,$AA$2420:AA2651,"*")</f>
        <v>-512.79999999998074</v>
      </c>
      <c r="BS2498" s="343">
        <f>SUMIFS($AU$2420:AU2651,$AB$2420:AB2651,"*")</f>
        <v>-451.99999999997726</v>
      </c>
      <c r="BT2498" s="343">
        <f>SUMIFS($AU$2420:AU2651,$AC$2420:AC2651,"*")</f>
        <v>-143.99999999999909</v>
      </c>
      <c r="BU2498" s="343">
        <f>SUMIFS($AU$2420:AU2651,$AA$2420:AA2651,"*",$AB$2420:AB2651,"*")</f>
        <v>95.999999999933891</v>
      </c>
      <c r="BV2498" s="343">
        <f>SUMIFS($AU$2420:AU2651,$AA$2420:AA2651,"*",$AC$2420:AC2651,"*")</f>
        <v>-591.99999999999977</v>
      </c>
      <c r="BW2498" s="343">
        <f>SUMIFS($AU$2420:AU2651,$AB$2420:AB2651,"*",$AC$2420:AC2651,"*")</f>
        <v>-143.99999999999966</v>
      </c>
      <c r="BX2498" s="343">
        <f>SUMIFS($AV$2420:AV2651,$Q$2420:Q2651,"F")</f>
        <v>18.153846153846242</v>
      </c>
      <c r="BY2498" s="343">
        <f>SUMIFS($AV$2420:AV2651,$Q$2420:Q2651,"S")</f>
        <v>64.044720496894826</v>
      </c>
      <c r="BZ2498" s="343">
        <f>SUMIFS($AV$2420:AV2651,$Q$2420:Q2651,"O")</f>
        <v>-458.13333333332537</v>
      </c>
    </row>
    <row r="2499" spans="1:78" ht="15.75" customHeight="1">
      <c r="A2499" s="177" t="s">
        <v>7734</v>
      </c>
      <c r="B2499" s="200"/>
      <c r="C2499" s="178"/>
      <c r="D2499" s="178"/>
      <c r="E2499" s="227"/>
      <c r="F2499" s="180"/>
      <c r="G2499" s="181"/>
      <c r="H2499" s="182"/>
      <c r="I2499" s="182"/>
      <c r="J2499" s="182"/>
      <c r="K2499" s="183"/>
      <c r="L2499" s="182"/>
      <c r="M2499" s="182"/>
      <c r="N2499" s="182"/>
      <c r="O2499" s="183"/>
      <c r="P2499" s="183"/>
      <c r="Q2499" s="183"/>
      <c r="R2499" s="183"/>
      <c r="S2499" s="183"/>
      <c r="T2499" s="183"/>
      <c r="U2499" s="183"/>
      <c r="V2499" s="183"/>
      <c r="W2499" s="183"/>
      <c r="X2499" s="183"/>
      <c r="Y2499" s="183"/>
      <c r="Z2499" s="183"/>
      <c r="AA2499" s="185"/>
      <c r="AB2499" s="185"/>
      <c r="AC2499" s="185"/>
      <c r="AD2499" s="649"/>
      <c r="AE2499" s="182"/>
      <c r="AF2499" s="332"/>
      <c r="AG2499" s="182"/>
      <c r="AH2499" s="182"/>
      <c r="AI2499" s="182"/>
      <c r="AJ2499" s="640"/>
      <c r="AK2499" s="182"/>
      <c r="AL2499" s="496">
        <f t="shared" si="869"/>
        <v>0</v>
      </c>
      <c r="AM2499" s="496">
        <f t="shared" si="865"/>
        <v>0</v>
      </c>
      <c r="AN2499" s="626"/>
      <c r="AO2499" s="182"/>
      <c r="AP2499" s="182"/>
      <c r="AQ2499" s="332" t="str">
        <f>UPPER(RIGHT(Journal_Live[[#This Row],[DURATION ]]))</f>
        <v/>
      </c>
      <c r="AR2499" s="182"/>
      <c r="AS2499" s="189"/>
      <c r="AT2499" s="189">
        <f t="shared" si="866"/>
        <v>0</v>
      </c>
      <c r="AU2499" s="187">
        <f t="shared" si="867"/>
        <v>0</v>
      </c>
      <c r="AV2499" s="190">
        <f t="shared" si="870"/>
        <v>0</v>
      </c>
      <c r="AW2499" s="191"/>
      <c r="AX2499" s="661" t="s">
        <v>7771</v>
      </c>
      <c r="AY2499" s="662" t="s">
        <v>7772</v>
      </c>
      <c r="AZ2499" s="662" t="s">
        <v>7773</v>
      </c>
      <c r="BA2499" s="662" t="s">
        <v>7774</v>
      </c>
      <c r="BB2499" s="662" t="s">
        <v>7775</v>
      </c>
      <c r="BC2499" s="551"/>
      <c r="BD2499" s="549"/>
      <c r="BE2499" s="550"/>
      <c r="BF2499" s="549"/>
      <c r="BG2499" s="391">
        <f>SUM($AV$2420:AV2499)</f>
        <v>-62.085714285737978</v>
      </c>
      <c r="BH2499" s="392">
        <f>SUM($AU$2420:AU2499)</f>
        <v>1244.9999999999616</v>
      </c>
      <c r="BI2499" s="318">
        <f>SUMIFS($AU$2420:AU2652,$Q$2420:Q2652,"F")</f>
        <v>-143.99999999999949</v>
      </c>
      <c r="BJ2499" s="318">
        <f>SUMIFS($AU$2420:AU2652,$Q$2420:Q2652,"S")</f>
        <v>256.00000000000466</v>
      </c>
      <c r="BK2499" s="343">
        <f>SUMIFS($AU$2420:AU2652,$P$2420:P2652,"W")</f>
        <v>-607.99999999991883</v>
      </c>
      <c r="BL2499" s="343">
        <f>SUMIFS($AU$2420:AU2652,$P$2420:P2652,"R")</f>
        <v>911.99999999999966</v>
      </c>
      <c r="BM2499" s="343">
        <f>SUMIFS($AU$2420:AU2652,$AQ$2420:AQ2652,"M")</f>
        <v>-899.79999999984489</v>
      </c>
      <c r="BN2499" s="343">
        <f>SUMIFS($AU$2420:AU2652,$AQ$2420:AQ2652,"H")</f>
        <v>1762.9999999999427</v>
      </c>
      <c r="BO2499" s="343">
        <f>SUMIFS($AU$2420:AU2652,$AQ$2420:AQ2652,"D")</f>
        <v>-767.99999999998977</v>
      </c>
      <c r="BP2499" s="343">
        <f>SUMIFS($AS$2420:AS2740,$AO$2420:AO2740,"W")</f>
        <v>0</v>
      </c>
      <c r="BQ2499" s="343">
        <f>SUMIFS($AU$2420:AU2652,$Q$2420:Q2652,"O")</f>
        <v>-884.7999999998965</v>
      </c>
      <c r="BR2499" s="343">
        <f>SUMIFS($AU$2420:AU2652,$AA$2420:AA2652,"*")</f>
        <v>-512.79999999998074</v>
      </c>
      <c r="BS2499" s="343">
        <f>SUMIFS($AU$2420:AU2652,$AB$2420:AB2652,"*")</f>
        <v>-451.99999999997726</v>
      </c>
      <c r="BT2499" s="343">
        <f>SUMIFS($AU$2420:AU2652,$AC$2420:AC2652,"*")</f>
        <v>-143.99999999999909</v>
      </c>
      <c r="BU2499" s="343">
        <f>SUMIFS($AU$2420:AU2652,$AA$2420:AA2652,"*",$AB$2420:AB2652,"*")</f>
        <v>95.999999999933891</v>
      </c>
      <c r="BV2499" s="343">
        <f>SUMIFS($AU$2420:AU2652,$AA$2420:AA2652,"*",$AC$2420:AC2652,"*")</f>
        <v>-591.99999999999977</v>
      </c>
      <c r="BW2499" s="343">
        <f>SUMIFS($AU$2420:AU2652,$AB$2420:AB2652,"*",$AC$2420:AC2652,"*")</f>
        <v>-143.99999999999966</v>
      </c>
      <c r="BX2499" s="343">
        <f>SUMIFS($AV$2420:AV2652,$Q$2420:Q2652,"F")</f>
        <v>18.153846153846242</v>
      </c>
      <c r="BY2499" s="343">
        <f>SUMIFS($AV$2420:AV2652,$Q$2420:Q2652,"S")</f>
        <v>64.044720496894826</v>
      </c>
      <c r="BZ2499" s="343">
        <f>SUMIFS($AV$2420:AV2652,$Q$2420:Q2652,"O")</f>
        <v>-458.13333333332537</v>
      </c>
    </row>
    <row r="2500" spans="1:78" ht="15.75" customHeight="1">
      <c r="A2500" s="177" t="s">
        <v>7734</v>
      </c>
      <c r="B2500" s="200"/>
      <c r="C2500" s="178"/>
      <c r="D2500" s="178"/>
      <c r="E2500" s="227"/>
      <c r="F2500" s="180"/>
      <c r="G2500" s="181"/>
      <c r="H2500" s="182"/>
      <c r="I2500" s="182"/>
      <c r="J2500" s="182"/>
      <c r="K2500" s="183"/>
      <c r="L2500" s="182"/>
      <c r="M2500" s="182"/>
      <c r="N2500" s="182"/>
      <c r="O2500" s="183"/>
      <c r="P2500" s="183"/>
      <c r="Q2500" s="183"/>
      <c r="R2500" s="183"/>
      <c r="S2500" s="183"/>
      <c r="T2500" s="183"/>
      <c r="U2500" s="183"/>
      <c r="V2500" s="183"/>
      <c r="W2500" s="183"/>
      <c r="X2500" s="183"/>
      <c r="Y2500" s="183"/>
      <c r="Z2500" s="183"/>
      <c r="AA2500" s="185"/>
      <c r="AB2500" s="185"/>
      <c r="AC2500" s="185"/>
      <c r="AD2500" s="649"/>
      <c r="AE2500" s="182"/>
      <c r="AF2500" s="332"/>
      <c r="AG2500" s="182"/>
      <c r="AH2500" s="182"/>
      <c r="AI2500" s="182"/>
      <c r="AJ2500" s="640"/>
      <c r="AK2500" s="182"/>
      <c r="AL2500" s="496">
        <f t="shared" si="869"/>
        <v>0</v>
      </c>
      <c r="AM2500" s="496">
        <f t="shared" si="865"/>
        <v>0</v>
      </c>
      <c r="AN2500" s="626"/>
      <c r="AO2500" s="182"/>
      <c r="AP2500" s="182"/>
      <c r="AQ2500" s="332" t="str">
        <f>UPPER(RIGHT(Journal_Live[[#This Row],[DURATION ]]))</f>
        <v/>
      </c>
      <c r="AR2500" s="182"/>
      <c r="AS2500" s="189"/>
      <c r="AT2500" s="189">
        <f t="shared" si="866"/>
        <v>0</v>
      </c>
      <c r="AU2500" s="187">
        <f t="shared" si="867"/>
        <v>0</v>
      </c>
      <c r="AV2500" s="190">
        <f t="shared" si="870"/>
        <v>0</v>
      </c>
      <c r="AW2500" s="191"/>
      <c r="AX2500" s="661" t="s">
        <v>7776</v>
      </c>
      <c r="AY2500" s="662" t="s">
        <v>7777</v>
      </c>
      <c r="AZ2500" s="662" t="s">
        <v>7778</v>
      </c>
      <c r="BA2500" s="662" t="s">
        <v>7779</v>
      </c>
      <c r="BB2500" s="662" t="s">
        <v>7780</v>
      </c>
      <c r="BC2500" s="551"/>
      <c r="BD2500" s="549"/>
      <c r="BE2500" s="550"/>
      <c r="BF2500" s="549"/>
      <c r="BG2500" s="391">
        <f>SUM($AV$2420:AV2500)</f>
        <v>-62.085714285737978</v>
      </c>
      <c r="BH2500" s="392">
        <f>SUM($AU$2420:AU2500)</f>
        <v>1244.9999999999616</v>
      </c>
      <c r="BI2500" s="318">
        <f>SUMIFS($AU$2420:AU2653,$Q$2420:Q2653,"F")</f>
        <v>-143.99999999999949</v>
      </c>
      <c r="BJ2500" s="318">
        <f>SUMIFS($AU$2420:AU2653,$Q$2420:Q2653,"S")</f>
        <v>256.00000000000466</v>
      </c>
      <c r="BK2500" s="343">
        <f>SUMIFS($AU$2420:AU2653,$P$2420:P2653,"W")</f>
        <v>-607.99999999991883</v>
      </c>
      <c r="BL2500" s="343">
        <f>SUMIFS($AU$2420:AU2653,$P$2420:P2653,"R")</f>
        <v>911.99999999999966</v>
      </c>
      <c r="BM2500" s="343">
        <f>SUMIFS($AU$2420:AU2653,$AQ$2420:AQ2653,"M")</f>
        <v>-899.79999999984489</v>
      </c>
      <c r="BN2500" s="343">
        <f>SUMIFS($AU$2420:AU2653,$AQ$2420:AQ2653,"H")</f>
        <v>1762.9999999999427</v>
      </c>
      <c r="BO2500" s="343">
        <f>SUMIFS($AU$2420:AU2653,$AQ$2420:AQ2653,"D")</f>
        <v>-767.99999999998977</v>
      </c>
      <c r="BP2500" s="343">
        <f>SUMIFS($AS$2420:AS2741,$AO$2420:AO2741,"W")</f>
        <v>0</v>
      </c>
      <c r="BQ2500" s="343">
        <f>SUMIFS($AU$2420:AU2653,$Q$2420:Q2653,"O")</f>
        <v>-884.7999999998965</v>
      </c>
      <c r="BR2500" s="343">
        <f>SUMIFS($AU$2420:AU2653,$AA$2420:AA2653,"*")</f>
        <v>-512.79999999998074</v>
      </c>
      <c r="BS2500" s="343">
        <f>SUMIFS($AU$2420:AU2653,$AB$2420:AB2653,"*")</f>
        <v>-451.99999999997726</v>
      </c>
      <c r="BT2500" s="343">
        <f>SUMIFS($AU$2420:AU2653,$AC$2420:AC2653,"*")</f>
        <v>-143.99999999999909</v>
      </c>
      <c r="BU2500" s="343">
        <f>SUMIFS($AU$2420:AU2653,$AA$2420:AA2653,"*",$AB$2420:AB2653,"*")</f>
        <v>95.999999999933891</v>
      </c>
      <c r="BV2500" s="343">
        <f>SUMIFS($AU$2420:AU2653,$AA$2420:AA2653,"*",$AC$2420:AC2653,"*")</f>
        <v>-591.99999999999977</v>
      </c>
      <c r="BW2500" s="343">
        <f>SUMIFS($AU$2420:AU2653,$AB$2420:AB2653,"*",$AC$2420:AC2653,"*")</f>
        <v>-143.99999999999966</v>
      </c>
      <c r="BX2500" s="343">
        <f>SUMIFS($AV$2420:AV2653,$Q$2420:Q2653,"F")</f>
        <v>18.153846153846242</v>
      </c>
      <c r="BY2500" s="343">
        <f>SUMIFS($AV$2420:AV2653,$Q$2420:Q2653,"S")</f>
        <v>64.044720496894826</v>
      </c>
      <c r="BZ2500" s="343">
        <f>SUMIFS($AV$2420:AV2653,$Q$2420:Q2653,"O")</f>
        <v>-458.13333333332537</v>
      </c>
    </row>
    <row r="2501" spans="1:78" ht="15.75" customHeight="1">
      <c r="A2501" s="663" t="s">
        <v>7734</v>
      </c>
      <c r="B2501" s="200">
        <v>45562</v>
      </c>
      <c r="C2501" s="178" t="s">
        <v>7303</v>
      </c>
      <c r="D2501" s="178" t="s">
        <v>111</v>
      </c>
      <c r="E2501" s="227"/>
      <c r="F2501" s="180"/>
      <c r="G2501" s="181" t="s">
        <v>5981</v>
      </c>
      <c r="H2501" s="182"/>
      <c r="I2501" s="182"/>
      <c r="J2501" s="182"/>
      <c r="K2501" s="183"/>
      <c r="L2501" s="182"/>
      <c r="M2501" s="182"/>
      <c r="N2501" s="182"/>
      <c r="O2501" s="183" t="s">
        <v>95</v>
      </c>
      <c r="P2501" s="183" t="s">
        <v>96</v>
      </c>
      <c r="Q2501" s="183" t="s">
        <v>684</v>
      </c>
      <c r="R2501" s="183">
        <v>2</v>
      </c>
      <c r="S2501" s="183">
        <v>0</v>
      </c>
      <c r="T2501" s="183">
        <v>2</v>
      </c>
      <c r="U2501" s="183" t="s">
        <v>22</v>
      </c>
      <c r="V2501" s="183" t="s">
        <v>7349</v>
      </c>
      <c r="W2501" s="183" t="s">
        <v>7548</v>
      </c>
      <c r="X2501" s="183"/>
      <c r="Y2501" s="184">
        <f t="shared" ref="Y2501:Y2510" si="871">IF(ISBLANK(O2501),"",(IF(O2501=UPPER("IB"),0.005,0.01)))</f>
        <v>0.01</v>
      </c>
      <c r="Z2501" s="185">
        <f t="shared" ref="Z2501:Z2510" si="872">IF(ISBLANK(O2501),"",IF(O2501="IB",8.63*200,IF(O2501="IR",16*100,IF(O2501="YT",20*100,IF(O2501="YT-XT",24*200,IF(O2501="TED",80*100,IF(O2501="XT",29*200)))))))</f>
        <v>1600</v>
      </c>
      <c r="AA2501" s="185" t="s">
        <v>7781</v>
      </c>
      <c r="AB2501" s="185"/>
      <c r="AC2501" s="185"/>
      <c r="AD2501" s="649">
        <v>96.72</v>
      </c>
      <c r="AE2501" s="182"/>
      <c r="AF2501" s="332"/>
      <c r="AG2501" s="182"/>
      <c r="AH2501" s="182"/>
      <c r="AI2501" s="182"/>
      <c r="AJ2501" s="640"/>
      <c r="AK2501" s="182"/>
      <c r="AL2501" s="496">
        <f t="shared" si="869"/>
        <v>-32</v>
      </c>
      <c r="AM2501" s="496">
        <f t="shared" si="865"/>
        <v>-64</v>
      </c>
      <c r="AN2501" s="626"/>
      <c r="AO2501" s="182"/>
      <c r="AP2501" s="182" t="s">
        <v>977</v>
      </c>
      <c r="AQ2501" s="332" t="s">
        <v>1259</v>
      </c>
      <c r="AR2501" s="182"/>
      <c r="AS2501" s="189">
        <v>96.7</v>
      </c>
      <c r="AT2501" s="189">
        <f t="shared" si="866"/>
        <v>-1.9999999999996021E-2</v>
      </c>
      <c r="AU2501" s="187">
        <f t="shared" si="867"/>
        <v>-63.999999999987267</v>
      </c>
      <c r="AV2501" s="190">
        <f t="shared" si="870"/>
        <v>-31.999999999993634</v>
      </c>
      <c r="AW2501" s="191" t="s">
        <v>229</v>
      </c>
      <c r="AX2501" s="551"/>
      <c r="AY2501" s="551"/>
      <c r="AZ2501" s="551"/>
      <c r="BA2501" s="551"/>
      <c r="BB2501" s="551"/>
      <c r="BC2501" s="551"/>
      <c r="BD2501" s="549"/>
      <c r="BE2501" s="550"/>
      <c r="BF2501" s="549"/>
      <c r="BG2501" s="391">
        <f>SUM($AV$2420:AV2501)</f>
        <v>-94.085714285731612</v>
      </c>
      <c r="BH2501" s="392">
        <f>SUM($AU$2420:AU2501)</f>
        <v>1180.9999999999743</v>
      </c>
      <c r="BI2501" s="318">
        <f>SUMIFS($AU$2420:AU2654,$Q$2420:Q2654,"F")</f>
        <v>-143.99999999999949</v>
      </c>
      <c r="BJ2501" s="318">
        <f>SUMIFS($AU$2420:AU2654,$Q$2420:Q2654,"S")</f>
        <v>256.00000000000466</v>
      </c>
      <c r="BK2501" s="343">
        <f>SUMIFS($AU$2420:AU2654,$P$2420:P2654,"W")</f>
        <v>-607.99999999991883</v>
      </c>
      <c r="BL2501" s="343">
        <f>SUMIFS($AU$2420:AU2654,$P$2420:P2654,"R")</f>
        <v>911.99999999999966</v>
      </c>
      <c r="BM2501" s="343">
        <f>SUMIFS($AU$2420:AU2654,$AQ$2420:AQ2654,"M")</f>
        <v>-899.79999999984489</v>
      </c>
      <c r="BN2501" s="343">
        <f>SUMIFS($AU$2420:AU2654,$AQ$2420:AQ2654,"H")</f>
        <v>1762.9999999999427</v>
      </c>
      <c r="BO2501" s="343">
        <f>SUMIFS($AU$2420:AU2654,$AQ$2420:AQ2654,"D")</f>
        <v>-767.99999999998977</v>
      </c>
      <c r="BP2501" s="343">
        <f>SUMIFS($AS$2420:AS2742,$AO$2420:AO2742,"W")</f>
        <v>0</v>
      </c>
      <c r="BQ2501" s="343">
        <f>SUMIFS($AU$2420:AU2654,$Q$2420:Q2654,"O")</f>
        <v>-884.7999999998965</v>
      </c>
      <c r="BR2501" s="343">
        <f>SUMIFS($AU$2420:AU2654,$AA$2420:AA2654,"*")</f>
        <v>-512.79999999998074</v>
      </c>
      <c r="BS2501" s="343">
        <f>SUMIFS($AU$2420:AU2654,$AB$2420:AB2654,"*")</f>
        <v>-451.99999999997726</v>
      </c>
      <c r="BT2501" s="343">
        <f>SUMIFS($AU$2420:AU2654,$AC$2420:AC2654,"*")</f>
        <v>-143.99999999999909</v>
      </c>
      <c r="BU2501" s="343">
        <f>SUMIFS($AU$2420:AU2654,$AA$2420:AA2654,"*",$AB$2420:AB2654,"*")</f>
        <v>95.999999999933891</v>
      </c>
      <c r="BV2501" s="343">
        <f>SUMIFS($AU$2420:AU2654,$AA$2420:AA2654,"*",$AC$2420:AC2654,"*")</f>
        <v>-591.99999999999977</v>
      </c>
      <c r="BW2501" s="343">
        <f>SUMIFS($AU$2420:AU2654,$AB$2420:AB2654,"*",$AC$2420:AC2654,"*")</f>
        <v>-143.99999999999966</v>
      </c>
      <c r="BX2501" s="343">
        <f>SUMIFS($AV$2420:AV2654,$Q$2420:Q2654,"F")</f>
        <v>18.153846153846242</v>
      </c>
      <c r="BY2501" s="343">
        <f>SUMIFS($AV$2420:AV2654,$Q$2420:Q2654,"S")</f>
        <v>64.044720496894826</v>
      </c>
      <c r="BZ2501" s="343">
        <f>SUMIFS($AV$2420:AV2654,$Q$2420:Q2654,"O")</f>
        <v>-458.13333333332537</v>
      </c>
    </row>
    <row r="2502" spans="1:78" ht="15.75" customHeight="1">
      <c r="A2502" s="663" t="s">
        <v>7734</v>
      </c>
      <c r="B2502" s="200">
        <v>45562</v>
      </c>
      <c r="C2502" s="178" t="s">
        <v>7303</v>
      </c>
      <c r="D2502" s="178" t="s">
        <v>111</v>
      </c>
      <c r="E2502" s="227"/>
      <c r="F2502" s="180"/>
      <c r="G2502" s="610" t="s">
        <v>7782</v>
      </c>
      <c r="H2502" s="182"/>
      <c r="I2502" s="182"/>
      <c r="J2502" s="182"/>
      <c r="K2502" s="183"/>
      <c r="L2502" s="182"/>
      <c r="M2502" s="182"/>
      <c r="N2502" s="182"/>
      <c r="O2502" s="183" t="s">
        <v>95</v>
      </c>
      <c r="P2502" s="183" t="s">
        <v>96</v>
      </c>
      <c r="Q2502" s="183" t="s">
        <v>256</v>
      </c>
      <c r="R2502" s="183">
        <v>5</v>
      </c>
      <c r="S2502" s="183">
        <v>0</v>
      </c>
      <c r="T2502" s="183">
        <v>5</v>
      </c>
      <c r="U2502" s="183" t="s">
        <v>97</v>
      </c>
      <c r="V2502" s="183" t="s">
        <v>7357</v>
      </c>
      <c r="W2502" s="183" t="s">
        <v>7548</v>
      </c>
      <c r="X2502" s="183" t="s">
        <v>7587</v>
      </c>
      <c r="Y2502" s="184">
        <f t="shared" si="871"/>
        <v>0.01</v>
      </c>
      <c r="Z2502" s="185">
        <f t="shared" si="872"/>
        <v>1600</v>
      </c>
      <c r="AA2502" s="185"/>
      <c r="AB2502" s="185" t="s">
        <v>7783</v>
      </c>
      <c r="AC2502" s="185"/>
      <c r="AD2502" s="649">
        <v>-0.3</v>
      </c>
      <c r="AE2502" s="182"/>
      <c r="AF2502" s="332"/>
      <c r="AG2502" s="182"/>
      <c r="AH2502" s="182"/>
      <c r="AI2502" s="182"/>
      <c r="AJ2502" s="640"/>
      <c r="AK2502" s="182"/>
      <c r="AL2502" s="496">
        <f t="shared" si="869"/>
        <v>-32</v>
      </c>
      <c r="AM2502" s="496">
        <f t="shared" si="865"/>
        <v>-160</v>
      </c>
      <c r="AN2502" s="626"/>
      <c r="AO2502" s="182"/>
      <c r="AP2502" s="182" t="s">
        <v>589</v>
      </c>
      <c r="AQ2502" s="332" t="s">
        <v>115</v>
      </c>
      <c r="AR2502" s="182"/>
      <c r="AS2502" s="189">
        <v>-0.28000000000000003</v>
      </c>
      <c r="AT2502" s="189">
        <f t="shared" si="866"/>
        <v>-1.9999999999999962E-2</v>
      </c>
      <c r="AU2502" s="187">
        <f t="shared" si="867"/>
        <v>-159.99999999999969</v>
      </c>
      <c r="AV2502" s="190">
        <f t="shared" si="870"/>
        <v>-31.99999999999994</v>
      </c>
      <c r="AW2502" s="191" t="s">
        <v>229</v>
      </c>
      <c r="AX2502" s="551"/>
      <c r="AY2502" s="551"/>
      <c r="AZ2502" s="551"/>
      <c r="BA2502" s="551"/>
      <c r="BB2502" s="551"/>
      <c r="BC2502" s="551"/>
      <c r="BD2502" s="549"/>
      <c r="BE2502" s="550"/>
      <c r="BF2502" s="549"/>
      <c r="BG2502" s="391">
        <f>SUM($AV$2420:AV2502)</f>
        <v>-126.08571428573156</v>
      </c>
      <c r="BH2502" s="392">
        <f>SUM($AU$2420:AU2502)</f>
        <v>1020.9999999999746</v>
      </c>
      <c r="BI2502" s="318">
        <f>SUMIFS($AU$2420:AU2655,$Q$2420:Q2655,"F")</f>
        <v>-143.99999999999949</v>
      </c>
      <c r="BJ2502" s="318">
        <f>SUMIFS($AU$2420:AU2655,$Q$2420:Q2655,"S")</f>
        <v>256.00000000000466</v>
      </c>
      <c r="BK2502" s="343">
        <f>SUMIFS($AU$2420:AU2655,$P$2420:P2655,"W")</f>
        <v>-607.99999999991883</v>
      </c>
      <c r="BL2502" s="343">
        <f>SUMIFS($AU$2420:AU2655,$P$2420:P2655,"R")</f>
        <v>911.99999999999966</v>
      </c>
      <c r="BM2502" s="343">
        <f>SUMIFS($AU$2420:AU2655,$AQ$2420:AQ2655,"M")</f>
        <v>-899.79999999984489</v>
      </c>
      <c r="BN2502" s="343">
        <f>SUMIFS($AU$2420:AU2655,$AQ$2420:AQ2655,"H")</f>
        <v>1762.9999999999427</v>
      </c>
      <c r="BO2502" s="343">
        <f>SUMIFS($AU$2420:AU2655,$AQ$2420:AQ2655,"D")</f>
        <v>-767.99999999998977</v>
      </c>
      <c r="BP2502" s="343">
        <f>SUMIFS($AS$2420:AS2743,$AO$2420:AO2743,"W")</f>
        <v>0</v>
      </c>
      <c r="BQ2502" s="343">
        <f>SUMIFS($AU$2420:AU2655,$Q$2420:Q2655,"O")</f>
        <v>-884.7999999998965</v>
      </c>
      <c r="BR2502" s="343">
        <f>SUMIFS($AU$2420:AU2655,$AA$2420:AA2655,"*")</f>
        <v>-512.79999999998074</v>
      </c>
      <c r="BS2502" s="343">
        <f>SUMIFS($AU$2420:AU2655,$AB$2420:AB2655,"*")</f>
        <v>-451.99999999997726</v>
      </c>
      <c r="BT2502" s="343">
        <f>SUMIFS($AU$2420:AU2655,$AC$2420:AC2655,"*")</f>
        <v>-143.99999999999909</v>
      </c>
      <c r="BU2502" s="343">
        <f>SUMIFS($AU$2420:AU2655,$AA$2420:AA2655,"*",$AB$2420:AB2655,"*")</f>
        <v>95.999999999933891</v>
      </c>
      <c r="BV2502" s="343">
        <f>SUMIFS($AU$2420:AU2655,$AA$2420:AA2655,"*",$AC$2420:AC2655,"*")</f>
        <v>-591.99999999999977</v>
      </c>
      <c r="BW2502" s="343">
        <f>SUMIFS($AU$2420:AU2655,$AB$2420:AB2655,"*",$AC$2420:AC2655,"*")</f>
        <v>-143.99999999999966</v>
      </c>
      <c r="BX2502" s="343">
        <f>SUMIFS($AV$2420:AV2655,$Q$2420:Q2655,"F")</f>
        <v>18.153846153846242</v>
      </c>
      <c r="BY2502" s="343">
        <f>SUMIFS($AV$2420:AV2655,$Q$2420:Q2655,"S")</f>
        <v>64.044720496894826</v>
      </c>
      <c r="BZ2502" s="343">
        <f>SUMIFS($AV$2420:AV2655,$Q$2420:Q2655,"O")</f>
        <v>-458.13333333332537</v>
      </c>
    </row>
    <row r="2503" spans="1:78" ht="15.75" customHeight="1">
      <c r="A2503" s="663" t="s">
        <v>7734</v>
      </c>
      <c r="B2503" s="200">
        <v>45562</v>
      </c>
      <c r="C2503" s="178" t="s">
        <v>7303</v>
      </c>
      <c r="D2503" s="178" t="s">
        <v>111</v>
      </c>
      <c r="E2503" s="227"/>
      <c r="F2503" s="180"/>
      <c r="G2503" s="578" t="s">
        <v>2942</v>
      </c>
      <c r="H2503" s="182"/>
      <c r="I2503" s="182"/>
      <c r="J2503" s="182"/>
      <c r="K2503" s="183"/>
      <c r="L2503" s="182"/>
      <c r="M2503" s="182"/>
      <c r="N2503" s="182"/>
      <c r="O2503" s="183" t="s">
        <v>95</v>
      </c>
      <c r="P2503" s="183" t="s">
        <v>96</v>
      </c>
      <c r="Q2503" s="183" t="s">
        <v>97</v>
      </c>
      <c r="R2503" s="183">
        <v>20</v>
      </c>
      <c r="S2503" s="183">
        <v>0</v>
      </c>
      <c r="T2503" s="183">
        <v>10</v>
      </c>
      <c r="U2503" s="183" t="s">
        <v>97</v>
      </c>
      <c r="V2503" s="183" t="s">
        <v>7357</v>
      </c>
      <c r="W2503" s="183" t="s">
        <v>115</v>
      </c>
      <c r="X2503" s="183" t="s">
        <v>7488</v>
      </c>
      <c r="Y2503" s="184">
        <f t="shared" si="871"/>
        <v>0.01</v>
      </c>
      <c r="Z2503" s="185">
        <f t="shared" si="872"/>
        <v>1600</v>
      </c>
      <c r="AA2503" s="185"/>
      <c r="AB2503" s="185" t="s">
        <v>7784</v>
      </c>
      <c r="AC2503" s="185"/>
      <c r="AD2503" s="649">
        <f>((-0.315*10)+(-0.3*10))/20</f>
        <v>-0.3075</v>
      </c>
      <c r="AE2503" s="182"/>
      <c r="AF2503" s="600" t="s">
        <v>7785</v>
      </c>
      <c r="AG2503" s="182"/>
      <c r="AH2503" s="182"/>
      <c r="AI2503" s="182"/>
      <c r="AJ2503" s="640"/>
      <c r="AK2503" s="182"/>
      <c r="AL2503" s="496">
        <f>-0.03*Z2503</f>
        <v>-48</v>
      </c>
      <c r="AM2503" s="496">
        <f t="shared" si="865"/>
        <v>-960</v>
      </c>
      <c r="AN2503" s="626"/>
      <c r="AO2503" s="182"/>
      <c r="AP2503" s="182" t="s">
        <v>589</v>
      </c>
      <c r="AQ2503" s="332" t="s">
        <v>115</v>
      </c>
      <c r="AR2503" s="182"/>
      <c r="AS2503" s="189">
        <f>((-0.28*15)+(-0.28*5))/20</f>
        <v>-0.28000000000000003</v>
      </c>
      <c r="AT2503" s="189">
        <f t="shared" si="866"/>
        <v>-2.7499999999999969E-2</v>
      </c>
      <c r="AU2503" s="187">
        <f t="shared" si="867"/>
        <v>-879.99999999999898</v>
      </c>
      <c r="AV2503" s="190">
        <f t="shared" si="870"/>
        <v>-43.99999999999995</v>
      </c>
      <c r="AW2503" s="191" t="s">
        <v>229</v>
      </c>
      <c r="AX2503" s="551"/>
      <c r="AY2503" s="551"/>
      <c r="AZ2503" s="551"/>
      <c r="BA2503" s="551"/>
      <c r="BB2503" s="551"/>
      <c r="BC2503" s="551"/>
      <c r="BD2503" s="549"/>
      <c r="BE2503" s="550"/>
      <c r="BF2503" s="549"/>
      <c r="BG2503" s="391">
        <f>SUM($AV$2420:AV2503)</f>
        <v>-170.08571428573151</v>
      </c>
      <c r="BH2503" s="392">
        <f>SUM($AU$2420:AU2503)</f>
        <v>140.99999999997567</v>
      </c>
      <c r="BI2503" s="318">
        <f>SUMIFS($AU$2420:AU2656,$Q$2420:Q2656,"F")</f>
        <v>-143.99999999999949</v>
      </c>
      <c r="BJ2503" s="318">
        <f>SUMIFS($AU$2420:AU2656,$Q$2420:Q2656,"S")</f>
        <v>256.00000000000466</v>
      </c>
      <c r="BK2503" s="343">
        <f>SUMIFS($AU$2420:AU2656,$P$2420:P2656,"W")</f>
        <v>-607.99999999991883</v>
      </c>
      <c r="BL2503" s="343">
        <f>SUMIFS($AU$2420:AU2656,$P$2420:P2656,"R")</f>
        <v>911.99999999999966</v>
      </c>
      <c r="BM2503" s="343">
        <f>SUMIFS($AU$2420:AU2656,$AQ$2420:AQ2656,"M")</f>
        <v>-899.79999999984489</v>
      </c>
      <c r="BN2503" s="343">
        <f>SUMIFS($AU$2420:AU2656,$AQ$2420:AQ2656,"H")</f>
        <v>1762.9999999999427</v>
      </c>
      <c r="BO2503" s="343">
        <f>SUMIFS($AU$2420:AU2656,$AQ$2420:AQ2656,"D")</f>
        <v>-767.99999999998977</v>
      </c>
      <c r="BP2503" s="343">
        <f>SUMIFS($AS$2420:AS2744,$AO$2420:AO2744,"W")</f>
        <v>0</v>
      </c>
      <c r="BQ2503" s="343">
        <f>SUMIFS($AU$2420:AU2656,$Q$2420:Q2656,"O")</f>
        <v>-884.7999999998965</v>
      </c>
      <c r="BR2503" s="343">
        <f>SUMIFS($AU$2420:AU2656,$AA$2420:AA2656,"*")</f>
        <v>-512.79999999998074</v>
      </c>
      <c r="BS2503" s="343">
        <f>SUMIFS($AU$2420:AU2656,$AB$2420:AB2656,"*")</f>
        <v>-451.99999999997726</v>
      </c>
      <c r="BT2503" s="343">
        <f>SUMIFS($AU$2420:AU2656,$AC$2420:AC2656,"*")</f>
        <v>-143.99999999999909</v>
      </c>
      <c r="BU2503" s="343">
        <f>SUMIFS($AU$2420:AU2656,$AA$2420:AA2656,"*",$AB$2420:AB2656,"*")</f>
        <v>95.999999999933891</v>
      </c>
      <c r="BV2503" s="343">
        <f>SUMIFS($AU$2420:AU2656,$AA$2420:AA2656,"*",$AC$2420:AC2656,"*")</f>
        <v>-591.99999999999977</v>
      </c>
      <c r="BW2503" s="343">
        <f>SUMIFS($AU$2420:AU2656,$AB$2420:AB2656,"*",$AC$2420:AC2656,"*")</f>
        <v>-143.99999999999966</v>
      </c>
      <c r="BX2503" s="343">
        <f>SUMIFS($AV$2420:AV2656,$Q$2420:Q2656,"F")</f>
        <v>18.153846153846242</v>
      </c>
      <c r="BY2503" s="343">
        <f>SUMIFS($AV$2420:AV2656,$Q$2420:Q2656,"S")</f>
        <v>64.044720496894826</v>
      </c>
      <c r="BZ2503" s="343">
        <f>SUMIFS($AV$2420:AV2656,$Q$2420:Q2656,"O")</f>
        <v>-458.13333333332537</v>
      </c>
    </row>
    <row r="2504" spans="1:78" ht="15.75" customHeight="1">
      <c r="A2504" s="663" t="s">
        <v>7734</v>
      </c>
      <c r="B2504" s="200">
        <v>45562</v>
      </c>
      <c r="C2504" s="178" t="s">
        <v>7303</v>
      </c>
      <c r="D2504" s="178" t="s">
        <v>111</v>
      </c>
      <c r="E2504" s="227"/>
      <c r="F2504" s="180"/>
      <c r="G2504" s="578" t="s">
        <v>7133</v>
      </c>
      <c r="H2504" s="182"/>
      <c r="I2504" s="182"/>
      <c r="J2504" s="182"/>
      <c r="K2504" s="183"/>
      <c r="L2504" s="182"/>
      <c r="M2504" s="182"/>
      <c r="N2504" s="182"/>
      <c r="O2504" s="183" t="s">
        <v>95</v>
      </c>
      <c r="P2504" s="183" t="s">
        <v>96</v>
      </c>
      <c r="Q2504" s="183" t="s">
        <v>97</v>
      </c>
      <c r="R2504" s="183">
        <v>12</v>
      </c>
      <c r="S2504" s="183">
        <v>8</v>
      </c>
      <c r="T2504" s="183">
        <v>7</v>
      </c>
      <c r="U2504" s="183" t="s">
        <v>97</v>
      </c>
      <c r="V2504" s="183" t="s">
        <v>7357</v>
      </c>
      <c r="W2504" s="183" t="s">
        <v>115</v>
      </c>
      <c r="X2504" s="183" t="s">
        <v>7488</v>
      </c>
      <c r="Y2504" s="184">
        <f t="shared" si="871"/>
        <v>0.01</v>
      </c>
      <c r="Z2504" s="185">
        <f t="shared" si="872"/>
        <v>1600</v>
      </c>
      <c r="AA2504" s="185" t="s">
        <v>7786</v>
      </c>
      <c r="AB2504" s="185"/>
      <c r="AC2504" s="185"/>
      <c r="AD2504" s="649">
        <f>((-0.65*7)+(-0.66*3)+(-0.67*2))/12</f>
        <v>-0.65583333333333327</v>
      </c>
      <c r="AE2504" s="182"/>
      <c r="AF2504" s="332"/>
      <c r="AG2504" s="182"/>
      <c r="AH2504" s="182"/>
      <c r="AI2504" s="182"/>
      <c r="AJ2504" s="640"/>
      <c r="AK2504" s="182"/>
      <c r="AL2504" s="496">
        <f>-0.03*Z2504</f>
        <v>-48</v>
      </c>
      <c r="AM2504" s="496">
        <f t="shared" si="865"/>
        <v>-192</v>
      </c>
      <c r="AN2504" s="626"/>
      <c r="AO2504" s="182"/>
      <c r="AP2504" s="182" t="s">
        <v>1261</v>
      </c>
      <c r="AQ2504" s="332" t="s">
        <v>115</v>
      </c>
      <c r="AR2504" s="182"/>
      <c r="AS2504" s="189">
        <f>((-0.66*2)+(-0.67*1)+(-0.62*5)+(-0.62*4))/12</f>
        <v>-0.63083333333333336</v>
      </c>
      <c r="AT2504" s="189">
        <f t="shared" si="866"/>
        <v>-2.4999999999999911E-2</v>
      </c>
      <c r="AU2504" s="187">
        <f t="shared" si="867"/>
        <v>-479.99999999999829</v>
      </c>
      <c r="AV2504" s="190">
        <f t="shared" si="870"/>
        <v>-39.999999999999858</v>
      </c>
      <c r="AW2504" s="191" t="s">
        <v>229</v>
      </c>
      <c r="AX2504" s="551" t="s">
        <v>7787</v>
      </c>
      <c r="AY2504" s="551" t="s">
        <v>7788</v>
      </c>
      <c r="AZ2504" s="551" t="s">
        <v>7789</v>
      </c>
      <c r="BA2504" s="551"/>
      <c r="BB2504" s="551"/>
      <c r="BC2504" s="551"/>
      <c r="BD2504" s="549"/>
      <c r="BE2504" s="550"/>
      <c r="BF2504" s="549"/>
      <c r="BG2504" s="391">
        <f>SUM($AV$2420:AV2504)</f>
        <v>-210.08571428573137</v>
      </c>
      <c r="BH2504" s="392">
        <f>SUM($AU$2420:AU2504)</f>
        <v>-339.00000000002262</v>
      </c>
      <c r="BI2504" s="318">
        <f>SUMIFS($AU$2420:AU2657,$Q$2420:Q2657,"F")</f>
        <v>-143.99999999999949</v>
      </c>
      <c r="BJ2504" s="318">
        <f>SUMIFS($AU$2420:AU2657,$Q$2420:Q2657,"S")</f>
        <v>256.00000000000466</v>
      </c>
      <c r="BK2504" s="343">
        <f>SUMIFS($AU$2420:AU2657,$P$2420:P2657,"W")</f>
        <v>-607.99999999991883</v>
      </c>
      <c r="BL2504" s="343">
        <f>SUMIFS($AU$2420:AU2657,$P$2420:P2657,"R")</f>
        <v>911.99999999999966</v>
      </c>
      <c r="BM2504" s="343">
        <f>SUMIFS($AU$2420:AU2657,$AQ$2420:AQ2657,"M")</f>
        <v>-899.79999999984489</v>
      </c>
      <c r="BN2504" s="343">
        <f>SUMIFS($AU$2420:AU2657,$AQ$2420:AQ2657,"H")</f>
        <v>1762.9999999999427</v>
      </c>
      <c r="BO2504" s="343">
        <f>SUMIFS($AU$2420:AU2657,$AQ$2420:AQ2657,"D")</f>
        <v>-767.99999999998977</v>
      </c>
      <c r="BP2504" s="343">
        <f>SUMIFS($AS$2420:AS2745,$AO$2420:AO2745,"W")</f>
        <v>0</v>
      </c>
      <c r="BQ2504" s="343">
        <f>SUMIFS($AU$2420:AU2657,$Q$2420:Q2657,"O")</f>
        <v>-884.7999999998965</v>
      </c>
      <c r="BR2504" s="343">
        <f>SUMIFS($AU$2420:AU2657,$AA$2420:AA2657,"*")</f>
        <v>-512.79999999998074</v>
      </c>
      <c r="BS2504" s="343">
        <f>SUMIFS($AU$2420:AU2657,$AB$2420:AB2657,"*")</f>
        <v>-451.99999999997726</v>
      </c>
      <c r="BT2504" s="343">
        <f>SUMIFS($AU$2420:AU2657,$AC$2420:AC2657,"*")</f>
        <v>-143.99999999999909</v>
      </c>
      <c r="BU2504" s="343">
        <f>SUMIFS($AU$2420:AU2657,$AA$2420:AA2657,"*",$AB$2420:AB2657,"*")</f>
        <v>95.999999999933891</v>
      </c>
      <c r="BV2504" s="343">
        <f>SUMIFS($AU$2420:AU2657,$AA$2420:AA2657,"*",$AC$2420:AC2657,"*")</f>
        <v>-591.99999999999977</v>
      </c>
      <c r="BW2504" s="343">
        <f>SUMIFS($AU$2420:AU2657,$AB$2420:AB2657,"*",$AC$2420:AC2657,"*")</f>
        <v>-143.99999999999966</v>
      </c>
      <c r="BX2504" s="343">
        <f>SUMIFS($AV$2420:AV2657,$Q$2420:Q2657,"F")</f>
        <v>18.153846153846242</v>
      </c>
      <c r="BY2504" s="343">
        <f>SUMIFS($AV$2420:AV2657,$Q$2420:Q2657,"S")</f>
        <v>64.044720496894826</v>
      </c>
      <c r="BZ2504" s="343">
        <f>SUMIFS($AV$2420:AV2657,$Q$2420:Q2657,"O")</f>
        <v>-458.13333333332537</v>
      </c>
    </row>
    <row r="2505" spans="1:78" ht="15.75" customHeight="1">
      <c r="A2505" s="663" t="s">
        <v>7734</v>
      </c>
      <c r="B2505" s="200">
        <v>45562</v>
      </c>
      <c r="C2505" s="178" t="s">
        <v>7303</v>
      </c>
      <c r="D2505" s="178" t="s">
        <v>111</v>
      </c>
      <c r="E2505" s="227"/>
      <c r="F2505" s="180"/>
      <c r="G2505" s="481" t="s">
        <v>7790</v>
      </c>
      <c r="H2505" s="182"/>
      <c r="I2505" s="182"/>
      <c r="J2505" s="182"/>
      <c r="K2505" s="183"/>
      <c r="L2505" s="182"/>
      <c r="M2505" s="182"/>
      <c r="N2505" s="182"/>
      <c r="O2505" s="183" t="s">
        <v>95</v>
      </c>
      <c r="P2505" s="183" t="s">
        <v>137</v>
      </c>
      <c r="Q2505" s="183" t="s">
        <v>256</v>
      </c>
      <c r="R2505" s="183">
        <v>16</v>
      </c>
      <c r="S2505" s="183">
        <v>0</v>
      </c>
      <c r="T2505" s="183">
        <v>16</v>
      </c>
      <c r="U2505" s="183" t="s">
        <v>22</v>
      </c>
      <c r="V2505" s="183" t="s">
        <v>7357</v>
      </c>
      <c r="W2505" s="183" t="s">
        <v>22</v>
      </c>
      <c r="X2505" s="183" t="s">
        <v>7467</v>
      </c>
      <c r="Y2505" s="184">
        <f t="shared" si="871"/>
        <v>0.01</v>
      </c>
      <c r="Z2505" s="185">
        <f t="shared" si="872"/>
        <v>1600</v>
      </c>
      <c r="AA2505" s="185" t="s">
        <v>7791</v>
      </c>
      <c r="AB2505" s="664" t="s">
        <v>7792</v>
      </c>
      <c r="AC2505" s="185"/>
      <c r="AD2505" s="649">
        <v>-0.01</v>
      </c>
      <c r="AE2505" s="182"/>
      <c r="AF2505" s="332"/>
      <c r="AG2505" s="182"/>
      <c r="AH2505" s="182"/>
      <c r="AI2505" s="182"/>
      <c r="AJ2505" s="640" t="s">
        <v>7793</v>
      </c>
      <c r="AK2505" s="182"/>
      <c r="AL2505" s="496">
        <f t="shared" ref="AL2505:AL2517" si="873">-0.02*Z2505</f>
        <v>-32</v>
      </c>
      <c r="AM2505" s="496">
        <f t="shared" si="865"/>
        <v>-512</v>
      </c>
      <c r="AN2505" s="626"/>
      <c r="AO2505" s="182"/>
      <c r="AP2505" s="182"/>
      <c r="AQ2505" s="332" t="str">
        <f>UPPER(RIGHT(Journal_Live[[#This Row],[DURATION ]]))</f>
        <v/>
      </c>
      <c r="AR2505" s="182"/>
      <c r="AS2505" s="189">
        <v>-0.01</v>
      </c>
      <c r="AT2505" s="189">
        <f t="shared" si="866"/>
        <v>0</v>
      </c>
      <c r="AU2505" s="187">
        <f t="shared" si="867"/>
        <v>0</v>
      </c>
      <c r="AV2505" s="190">
        <f t="shared" si="870"/>
        <v>0</v>
      </c>
      <c r="AW2505" s="191" t="s">
        <v>115</v>
      </c>
      <c r="AX2505" s="551" t="s">
        <v>7794</v>
      </c>
      <c r="AY2505" s="551"/>
      <c r="AZ2505" s="551"/>
      <c r="BA2505" s="551"/>
      <c r="BB2505" s="551"/>
      <c r="BC2505" s="551"/>
      <c r="BD2505" s="549"/>
      <c r="BE2505" s="550"/>
      <c r="BF2505" s="549"/>
      <c r="BG2505" s="391">
        <f>SUM($AV$2420:AV2505)</f>
        <v>-210.08571428573137</v>
      </c>
      <c r="BH2505" s="392">
        <f>SUM($AU$2420:AU2505)</f>
        <v>-339.00000000002262</v>
      </c>
      <c r="BI2505" s="318">
        <f>SUMIFS($AU$2420:AU2658,$Q$2420:Q2658,"F")</f>
        <v>-143.99999999999949</v>
      </c>
      <c r="BJ2505" s="318">
        <f>SUMIFS($AU$2420:AU2658,$Q$2420:Q2658,"S")</f>
        <v>256.00000000000466</v>
      </c>
      <c r="BK2505" s="343">
        <f>SUMIFS($AU$2420:AU2658,$P$2420:P2658,"W")</f>
        <v>-607.99999999991883</v>
      </c>
      <c r="BL2505" s="343">
        <f>SUMIFS($AU$2420:AU2658,$P$2420:P2658,"R")</f>
        <v>911.99999999999966</v>
      </c>
      <c r="BM2505" s="343">
        <f>SUMIFS($AU$2420:AU2658,$AQ$2420:AQ2658,"M")</f>
        <v>-899.79999999984489</v>
      </c>
      <c r="BN2505" s="343">
        <f>SUMIFS($AU$2420:AU2658,$AQ$2420:AQ2658,"H")</f>
        <v>1762.9999999999427</v>
      </c>
      <c r="BO2505" s="343">
        <f>SUMIFS($AU$2420:AU2658,$AQ$2420:AQ2658,"D")</f>
        <v>-767.99999999998977</v>
      </c>
      <c r="BP2505" s="343">
        <f>SUMIFS($AS$2420:AS2746,$AO$2420:AO2746,"W")</f>
        <v>0</v>
      </c>
      <c r="BQ2505" s="343">
        <f>SUMIFS($AU$2420:AU2658,$Q$2420:Q2658,"O")</f>
        <v>-884.7999999998965</v>
      </c>
      <c r="BR2505" s="343">
        <f>SUMIFS($AU$2420:AU2658,$AA$2420:AA2658,"*")</f>
        <v>-512.79999999998074</v>
      </c>
      <c r="BS2505" s="343">
        <f>SUMIFS($AU$2420:AU2658,$AB$2420:AB2658,"*")</f>
        <v>-451.99999999997726</v>
      </c>
      <c r="BT2505" s="343">
        <f>SUMIFS($AU$2420:AU2658,$AC$2420:AC2658,"*")</f>
        <v>-143.99999999999909</v>
      </c>
      <c r="BU2505" s="343">
        <f>SUMIFS($AU$2420:AU2658,$AA$2420:AA2658,"*",$AB$2420:AB2658,"*")</f>
        <v>95.999999999933891</v>
      </c>
      <c r="BV2505" s="343">
        <f>SUMIFS($AU$2420:AU2658,$AA$2420:AA2658,"*",$AC$2420:AC2658,"*")</f>
        <v>-591.99999999999977</v>
      </c>
      <c r="BW2505" s="343">
        <f>SUMIFS($AU$2420:AU2658,$AB$2420:AB2658,"*",$AC$2420:AC2658,"*")</f>
        <v>-143.99999999999966</v>
      </c>
      <c r="BX2505" s="343">
        <f>SUMIFS($AV$2420:AV2658,$Q$2420:Q2658,"F")</f>
        <v>18.153846153846242</v>
      </c>
      <c r="BY2505" s="343">
        <f>SUMIFS($AV$2420:AV2658,$Q$2420:Q2658,"S")</f>
        <v>64.044720496894826</v>
      </c>
      <c r="BZ2505" s="343">
        <f>SUMIFS($AV$2420:AV2658,$Q$2420:Q2658,"O")</f>
        <v>-458.13333333332537</v>
      </c>
    </row>
    <row r="2506" spans="1:78" ht="15.75" customHeight="1">
      <c r="A2506" s="663" t="s">
        <v>7734</v>
      </c>
      <c r="B2506" s="200">
        <v>45562</v>
      </c>
      <c r="C2506" s="178" t="s">
        <v>7303</v>
      </c>
      <c r="D2506" s="178" t="s">
        <v>111</v>
      </c>
      <c r="E2506" s="227"/>
      <c r="F2506" s="180"/>
      <c r="G2506" s="481" t="s">
        <v>2545</v>
      </c>
      <c r="H2506" s="182"/>
      <c r="I2506" s="182"/>
      <c r="J2506" s="182"/>
      <c r="K2506" s="183"/>
      <c r="L2506" s="182"/>
      <c r="M2506" s="182"/>
      <c r="N2506" s="182"/>
      <c r="O2506" s="183" t="s">
        <v>2259</v>
      </c>
      <c r="P2506" s="183"/>
      <c r="Q2506" s="183"/>
      <c r="R2506" s="183">
        <v>1</v>
      </c>
      <c r="S2506" s="183">
        <v>0</v>
      </c>
      <c r="T2506" s="183">
        <v>1</v>
      </c>
      <c r="U2506" s="183" t="s">
        <v>22</v>
      </c>
      <c r="V2506" s="183" t="s">
        <v>7349</v>
      </c>
      <c r="W2506" s="183" t="s">
        <v>7548</v>
      </c>
      <c r="X2506" s="183"/>
      <c r="Y2506" s="184">
        <f t="shared" si="871"/>
        <v>0.01</v>
      </c>
      <c r="Z2506" s="185">
        <f t="shared" si="872"/>
        <v>4800</v>
      </c>
      <c r="AA2506" s="185" t="s">
        <v>7795</v>
      </c>
      <c r="AB2506" s="185"/>
      <c r="AC2506" s="185"/>
      <c r="AD2506" s="649">
        <v>0.53</v>
      </c>
      <c r="AE2506" s="182"/>
      <c r="AF2506" s="332"/>
      <c r="AG2506" s="182"/>
      <c r="AH2506" s="182"/>
      <c r="AI2506" s="182"/>
      <c r="AJ2506" s="640"/>
      <c r="AK2506" s="182"/>
      <c r="AL2506" s="496">
        <f t="shared" si="873"/>
        <v>-96</v>
      </c>
      <c r="AM2506" s="496">
        <f t="shared" si="865"/>
        <v>-96</v>
      </c>
      <c r="AN2506" s="626"/>
      <c r="AO2506" s="182"/>
      <c r="AP2506" s="182"/>
      <c r="AQ2506" s="332" t="s">
        <v>372</v>
      </c>
      <c r="AR2506" s="182"/>
      <c r="AS2506" s="189">
        <v>0.53</v>
      </c>
      <c r="AT2506" s="189">
        <f t="shared" si="866"/>
        <v>0</v>
      </c>
      <c r="AU2506" s="187">
        <f t="shared" si="867"/>
        <v>0</v>
      </c>
      <c r="AV2506" s="190">
        <f t="shared" si="870"/>
        <v>0</v>
      </c>
      <c r="AW2506" s="191" t="s">
        <v>115</v>
      </c>
      <c r="AX2506" s="551"/>
      <c r="AY2506" s="551"/>
      <c r="AZ2506" s="551"/>
      <c r="BA2506" s="551"/>
      <c r="BB2506" s="551"/>
      <c r="BC2506" s="551"/>
      <c r="BD2506" s="549"/>
      <c r="BE2506" s="550"/>
      <c r="BF2506" s="549"/>
      <c r="BG2506" s="391">
        <f>SUM($AV$2420:AV2506)</f>
        <v>-210.08571428573137</v>
      </c>
      <c r="BH2506" s="392">
        <f>SUM($AU$2420:AU2506)</f>
        <v>-339.00000000002262</v>
      </c>
      <c r="BI2506" s="318">
        <f>SUMIFS($AU$2420:AU2659,$Q$2420:Q2659,"F")</f>
        <v>-143.99999999999949</v>
      </c>
      <c r="BJ2506" s="318">
        <f>SUMIFS($AU$2420:AU2659,$Q$2420:Q2659,"S")</f>
        <v>256.00000000000466</v>
      </c>
      <c r="BK2506" s="343">
        <f>SUMIFS($AU$2420:AU2659,$P$2420:P2659,"W")</f>
        <v>-607.99999999991883</v>
      </c>
      <c r="BL2506" s="343">
        <f>SUMIFS($AU$2420:AU2659,$P$2420:P2659,"R")</f>
        <v>911.99999999999966</v>
      </c>
      <c r="BM2506" s="343">
        <f>SUMIFS($AU$2420:AU2659,$AQ$2420:AQ2659,"M")</f>
        <v>-899.79999999984489</v>
      </c>
      <c r="BN2506" s="343">
        <f>SUMIFS($AU$2420:AU2659,$AQ$2420:AQ2659,"H")</f>
        <v>1762.9999999999427</v>
      </c>
      <c r="BO2506" s="343">
        <f>SUMIFS($AU$2420:AU2659,$AQ$2420:AQ2659,"D")</f>
        <v>-767.99999999998977</v>
      </c>
      <c r="BP2506" s="343">
        <f>SUMIFS($AS$2420:AS2747,$AO$2420:AO2747,"W")</f>
        <v>0</v>
      </c>
      <c r="BQ2506" s="343">
        <f>SUMIFS($AU$2420:AU2659,$Q$2420:Q2659,"O")</f>
        <v>-884.7999999998965</v>
      </c>
      <c r="BR2506" s="343">
        <f>SUMIFS($AU$2420:AU2659,$AA$2420:AA2659,"*")</f>
        <v>-512.79999999998074</v>
      </c>
      <c r="BS2506" s="343">
        <f>SUMIFS($AU$2420:AU2659,$AB$2420:AB2659,"*")</f>
        <v>-451.99999999997726</v>
      </c>
      <c r="BT2506" s="343">
        <f>SUMIFS($AU$2420:AU2659,$AC$2420:AC2659,"*")</f>
        <v>-143.99999999999909</v>
      </c>
      <c r="BU2506" s="343">
        <f>SUMIFS($AU$2420:AU2659,$AA$2420:AA2659,"*",$AB$2420:AB2659,"*")</f>
        <v>95.999999999933891</v>
      </c>
      <c r="BV2506" s="343">
        <f>SUMIFS($AU$2420:AU2659,$AA$2420:AA2659,"*",$AC$2420:AC2659,"*")</f>
        <v>-591.99999999999977</v>
      </c>
      <c r="BW2506" s="343">
        <f>SUMIFS($AU$2420:AU2659,$AB$2420:AB2659,"*",$AC$2420:AC2659,"*")</f>
        <v>-143.99999999999966</v>
      </c>
      <c r="BX2506" s="343">
        <f>SUMIFS($AV$2420:AV2659,$Q$2420:Q2659,"F")</f>
        <v>18.153846153846242</v>
      </c>
      <c r="BY2506" s="343">
        <f>SUMIFS($AV$2420:AV2659,$Q$2420:Q2659,"S")</f>
        <v>64.044720496894826</v>
      </c>
      <c r="BZ2506" s="343">
        <f>SUMIFS($AV$2420:AV2659,$Q$2420:Q2659,"O")</f>
        <v>-458.13333333332537</v>
      </c>
    </row>
    <row r="2507" spans="1:78" ht="15.75" customHeight="1">
      <c r="A2507" s="663" t="s">
        <v>7734</v>
      </c>
      <c r="B2507" s="200">
        <v>45562</v>
      </c>
      <c r="C2507" s="178" t="s">
        <v>7278</v>
      </c>
      <c r="D2507" s="178" t="s">
        <v>111</v>
      </c>
      <c r="E2507" s="227"/>
      <c r="F2507" s="180"/>
      <c r="G2507" s="481" t="s">
        <v>7796</v>
      </c>
      <c r="H2507" s="182"/>
      <c r="I2507" s="182"/>
      <c r="J2507" s="182"/>
      <c r="K2507" s="183"/>
      <c r="L2507" s="182"/>
      <c r="M2507" s="182"/>
      <c r="N2507" s="182"/>
      <c r="O2507" s="183" t="s">
        <v>95</v>
      </c>
      <c r="P2507" s="183" t="s">
        <v>96</v>
      </c>
      <c r="Q2507" s="183" t="s">
        <v>97</v>
      </c>
      <c r="R2507" s="183">
        <v>16</v>
      </c>
      <c r="S2507" s="183">
        <v>0</v>
      </c>
      <c r="T2507" s="183">
        <v>16</v>
      </c>
      <c r="U2507" s="183" t="s">
        <v>22</v>
      </c>
      <c r="V2507" s="183" t="s">
        <v>7349</v>
      </c>
      <c r="W2507" s="183" t="s">
        <v>115</v>
      </c>
      <c r="X2507" s="183" t="s">
        <v>7488</v>
      </c>
      <c r="Y2507" s="184">
        <f t="shared" si="871"/>
        <v>0.01</v>
      </c>
      <c r="Z2507" s="185">
        <f t="shared" si="872"/>
        <v>1600</v>
      </c>
      <c r="AA2507" s="185" t="s">
        <v>4949</v>
      </c>
      <c r="AB2507" s="185" t="s">
        <v>7797</v>
      </c>
      <c r="AC2507" s="185" t="s">
        <v>7798</v>
      </c>
      <c r="AD2507" s="649">
        <v>-0.01</v>
      </c>
      <c r="AE2507" s="182"/>
      <c r="AF2507" s="332"/>
      <c r="AG2507" s="182"/>
      <c r="AH2507" s="182"/>
      <c r="AI2507" s="182"/>
      <c r="AJ2507" s="640"/>
      <c r="AK2507" s="182"/>
      <c r="AL2507" s="496">
        <f t="shared" si="873"/>
        <v>-32</v>
      </c>
      <c r="AM2507" s="496">
        <f t="shared" si="865"/>
        <v>-512</v>
      </c>
      <c r="AN2507" s="626"/>
      <c r="AO2507" s="182"/>
      <c r="AP2507" s="182"/>
      <c r="AQ2507" s="332" t="str">
        <f>UPPER(RIGHT(Journal_Live[[#This Row],[DURATION ]]))</f>
        <v/>
      </c>
      <c r="AR2507" s="182"/>
      <c r="AS2507" s="189">
        <v>-0.01</v>
      </c>
      <c r="AT2507" s="189">
        <f t="shared" si="866"/>
        <v>0</v>
      </c>
      <c r="AU2507" s="187">
        <f t="shared" si="867"/>
        <v>0</v>
      </c>
      <c r="AV2507" s="190">
        <f t="shared" si="870"/>
        <v>0</v>
      </c>
      <c r="AW2507" s="191" t="s">
        <v>115</v>
      </c>
      <c r="AX2507" s="551"/>
      <c r="AY2507" s="551"/>
      <c r="AZ2507" s="551"/>
      <c r="BA2507" s="551"/>
      <c r="BB2507" s="551"/>
      <c r="BC2507" s="551"/>
      <c r="BD2507" s="549"/>
      <c r="BE2507" s="550"/>
      <c r="BF2507" s="549"/>
      <c r="BG2507" s="391">
        <f>SUM($AV$2420:AV2507)</f>
        <v>-210.08571428573137</v>
      </c>
      <c r="BH2507" s="392">
        <f>SUM($AU$2420:AU2507)</f>
        <v>-339.00000000002262</v>
      </c>
      <c r="BI2507" s="318">
        <f>SUMIFS($AU$2420:AU2660,$Q$2420:Q2660,"F")</f>
        <v>-143.99999999999949</v>
      </c>
      <c r="BJ2507" s="318">
        <f>SUMIFS($AU$2420:AU2660,$Q$2420:Q2660,"S")</f>
        <v>256.00000000000466</v>
      </c>
      <c r="BK2507" s="343">
        <f>SUMIFS($AU$2420:AU2660,$P$2420:P2660,"W")</f>
        <v>-607.99999999991883</v>
      </c>
      <c r="BL2507" s="343">
        <f>SUMIFS($AU$2420:AU2660,$P$2420:P2660,"R")</f>
        <v>911.99999999999966</v>
      </c>
      <c r="BM2507" s="343">
        <f>SUMIFS($AU$2420:AU2660,$AQ$2420:AQ2660,"M")</f>
        <v>-899.79999999984489</v>
      </c>
      <c r="BN2507" s="343">
        <f>SUMIFS($AU$2420:AU2660,$AQ$2420:AQ2660,"H")</f>
        <v>1762.9999999999427</v>
      </c>
      <c r="BO2507" s="343">
        <f>SUMIFS($AU$2420:AU2660,$AQ$2420:AQ2660,"D")</f>
        <v>-767.99999999998977</v>
      </c>
      <c r="BP2507" s="343">
        <f>SUMIFS($AS$2420:AS2748,$AO$2420:AO2748,"W")</f>
        <v>0</v>
      </c>
      <c r="BQ2507" s="343">
        <f>SUMIFS($AU$2420:AU2660,$Q$2420:Q2660,"O")</f>
        <v>-884.7999999998965</v>
      </c>
      <c r="BR2507" s="343">
        <f>SUMIFS($AU$2420:AU2660,$AA$2420:AA2660,"*")</f>
        <v>-512.79999999998074</v>
      </c>
      <c r="BS2507" s="343">
        <f>SUMIFS($AU$2420:AU2660,$AB$2420:AB2660,"*")</f>
        <v>-451.99999999997726</v>
      </c>
      <c r="BT2507" s="343">
        <f>SUMIFS($AU$2420:AU2660,$AC$2420:AC2660,"*")</f>
        <v>-143.99999999999909</v>
      </c>
      <c r="BU2507" s="343">
        <f>SUMIFS($AU$2420:AU2660,$AA$2420:AA2660,"*",$AB$2420:AB2660,"*")</f>
        <v>95.999999999933891</v>
      </c>
      <c r="BV2507" s="343">
        <f>SUMIFS($AU$2420:AU2660,$AA$2420:AA2660,"*",$AC$2420:AC2660,"*")</f>
        <v>-591.99999999999977</v>
      </c>
      <c r="BW2507" s="343">
        <f>SUMIFS($AU$2420:AU2660,$AB$2420:AB2660,"*",$AC$2420:AC2660,"*")</f>
        <v>-143.99999999999966</v>
      </c>
      <c r="BX2507" s="343">
        <f>SUMIFS($AV$2420:AV2660,$Q$2420:Q2660,"F")</f>
        <v>18.153846153846242</v>
      </c>
      <c r="BY2507" s="343">
        <f>SUMIFS($AV$2420:AV2660,$Q$2420:Q2660,"S")</f>
        <v>64.044720496894826</v>
      </c>
      <c r="BZ2507" s="343">
        <f>SUMIFS($AV$2420:AV2660,$Q$2420:Q2660,"O")</f>
        <v>-458.13333333332537</v>
      </c>
    </row>
    <row r="2508" spans="1:78" ht="15.75" customHeight="1">
      <c r="A2508" s="663" t="s">
        <v>7734</v>
      </c>
      <c r="B2508" s="200">
        <v>45565</v>
      </c>
      <c r="C2508" s="178" t="s">
        <v>7717</v>
      </c>
      <c r="D2508" s="178" t="s">
        <v>132</v>
      </c>
      <c r="E2508" s="227"/>
      <c r="F2508" s="180"/>
      <c r="G2508" s="481" t="s">
        <v>3431</v>
      </c>
      <c r="H2508" s="182"/>
      <c r="I2508" s="182"/>
      <c r="J2508" s="182"/>
      <c r="K2508" s="183"/>
      <c r="L2508" s="182"/>
      <c r="M2508" s="182"/>
      <c r="N2508" s="182"/>
      <c r="O2508" s="183" t="s">
        <v>95</v>
      </c>
      <c r="P2508" s="183" t="s">
        <v>96</v>
      </c>
      <c r="Q2508" s="183" t="s">
        <v>97</v>
      </c>
      <c r="R2508" s="183">
        <v>6</v>
      </c>
      <c r="S2508" s="183">
        <v>0</v>
      </c>
      <c r="T2508" s="183">
        <v>5</v>
      </c>
      <c r="U2508" s="183" t="s">
        <v>97</v>
      </c>
      <c r="V2508" s="183" t="s">
        <v>7349</v>
      </c>
      <c r="W2508" s="183" t="s">
        <v>115</v>
      </c>
      <c r="X2508" s="183" t="s">
        <v>7467</v>
      </c>
      <c r="Y2508" s="184">
        <f t="shared" si="871"/>
        <v>0.01</v>
      </c>
      <c r="Z2508" s="185">
        <f t="shared" si="872"/>
        <v>1600</v>
      </c>
      <c r="AA2508" s="185" t="s">
        <v>5083</v>
      </c>
      <c r="AB2508" s="185"/>
      <c r="AC2508" s="185"/>
      <c r="AD2508" s="649">
        <v>-0.65</v>
      </c>
      <c r="AE2508" s="182"/>
      <c r="AF2508" s="332"/>
      <c r="AG2508" s="182"/>
      <c r="AH2508" s="182"/>
      <c r="AI2508" s="182"/>
      <c r="AJ2508" s="640"/>
      <c r="AK2508" s="182"/>
      <c r="AL2508" s="496">
        <f t="shared" si="873"/>
        <v>-32</v>
      </c>
      <c r="AM2508" s="496">
        <f t="shared" si="865"/>
        <v>-192</v>
      </c>
      <c r="AN2508" s="626"/>
      <c r="AO2508" s="182"/>
      <c r="AP2508" s="182"/>
      <c r="AQ2508" s="332" t="s">
        <v>372</v>
      </c>
      <c r="AR2508" s="182"/>
      <c r="AS2508" s="189">
        <v>-0.64</v>
      </c>
      <c r="AT2508" s="189">
        <f t="shared" si="866"/>
        <v>-1.0000000000000009E-2</v>
      </c>
      <c r="AU2508" s="187">
        <f t="shared" si="867"/>
        <v>-96.000000000000085</v>
      </c>
      <c r="AV2508" s="190">
        <f t="shared" si="870"/>
        <v>-16.000000000000014</v>
      </c>
      <c r="AW2508" s="191" t="s">
        <v>229</v>
      </c>
      <c r="AX2508" s="551"/>
      <c r="AY2508" s="551"/>
      <c r="AZ2508" s="551"/>
      <c r="BA2508" s="551"/>
      <c r="BB2508" s="551"/>
      <c r="BC2508" s="551"/>
      <c r="BD2508" s="549"/>
      <c r="BE2508" s="550"/>
      <c r="BF2508" s="549"/>
      <c r="BG2508" s="391">
        <f>SUM($AV$2420:AV2508)</f>
        <v>-226.0857142857314</v>
      </c>
      <c r="BH2508" s="392">
        <f>SUM($AU$2420:AU2508)</f>
        <v>-435.00000000002274</v>
      </c>
      <c r="BI2508" s="318">
        <f>SUMIFS($AU$2420:AU2661,$Q$2420:Q2661,"F")</f>
        <v>-143.99999999999949</v>
      </c>
      <c r="BJ2508" s="318">
        <f>SUMIFS($AU$2420:AU2661,$Q$2420:Q2661,"S")</f>
        <v>256.00000000000466</v>
      </c>
      <c r="BK2508" s="343">
        <f>SUMIFS($AU$2420:AU2661,$P$2420:P2661,"W")</f>
        <v>-607.99999999991883</v>
      </c>
      <c r="BL2508" s="343">
        <f>SUMIFS($AU$2420:AU2661,$P$2420:P2661,"R")</f>
        <v>911.99999999999966</v>
      </c>
      <c r="BM2508" s="343">
        <f>SUMIFS($AU$2420:AU2661,$AQ$2420:AQ2661,"M")</f>
        <v>-899.79999999984489</v>
      </c>
      <c r="BN2508" s="343">
        <f>SUMIFS($AU$2420:AU2661,$AQ$2420:AQ2661,"H")</f>
        <v>1762.9999999999427</v>
      </c>
      <c r="BO2508" s="343">
        <f>SUMIFS($AU$2420:AU2661,$AQ$2420:AQ2661,"D")</f>
        <v>-767.99999999998977</v>
      </c>
      <c r="BP2508" s="343">
        <f>SUMIFS($AS$2420:AS2749,$AO$2420:AO2749,"W")</f>
        <v>0</v>
      </c>
      <c r="BQ2508" s="343">
        <f>SUMIFS($AU$2420:AU2661,$Q$2420:Q2661,"O")</f>
        <v>-884.7999999998965</v>
      </c>
      <c r="BR2508" s="343">
        <f>SUMIFS($AU$2420:AU2661,$AA$2420:AA2661,"*")</f>
        <v>-512.79999999998074</v>
      </c>
      <c r="BS2508" s="343">
        <f>SUMIFS($AU$2420:AU2661,$AB$2420:AB2661,"*")</f>
        <v>-451.99999999997726</v>
      </c>
      <c r="BT2508" s="343">
        <f>SUMIFS($AU$2420:AU2661,$AC$2420:AC2661,"*")</f>
        <v>-143.99999999999909</v>
      </c>
      <c r="BU2508" s="343">
        <f>SUMIFS($AU$2420:AU2661,$AA$2420:AA2661,"*",$AB$2420:AB2661,"*")</f>
        <v>95.999999999933891</v>
      </c>
      <c r="BV2508" s="343">
        <f>SUMIFS($AU$2420:AU2661,$AA$2420:AA2661,"*",$AC$2420:AC2661,"*")</f>
        <v>-591.99999999999977</v>
      </c>
      <c r="BW2508" s="343">
        <f>SUMIFS($AU$2420:AU2661,$AB$2420:AB2661,"*",$AC$2420:AC2661,"*")</f>
        <v>-143.99999999999966</v>
      </c>
      <c r="BX2508" s="343">
        <f>SUMIFS($AV$2420:AV2661,$Q$2420:Q2661,"F")</f>
        <v>18.153846153846242</v>
      </c>
      <c r="BY2508" s="343">
        <f>SUMIFS($AV$2420:AV2661,$Q$2420:Q2661,"S")</f>
        <v>64.044720496894826</v>
      </c>
      <c r="BZ2508" s="343">
        <f>SUMIFS($AV$2420:AV2661,$Q$2420:Q2661,"O")</f>
        <v>-458.13333333332537</v>
      </c>
    </row>
    <row r="2509" spans="1:78" ht="15.75" customHeight="1">
      <c r="A2509" s="663" t="s">
        <v>7734</v>
      </c>
      <c r="B2509" s="200">
        <v>45565</v>
      </c>
      <c r="C2509" s="178" t="s">
        <v>7717</v>
      </c>
      <c r="D2509" s="178" t="s">
        <v>132</v>
      </c>
      <c r="E2509" s="227"/>
      <c r="F2509" s="180"/>
      <c r="G2509" s="481" t="s">
        <v>2070</v>
      </c>
      <c r="H2509" s="182"/>
      <c r="I2509" s="182"/>
      <c r="J2509" s="182"/>
      <c r="K2509" s="183"/>
      <c r="L2509" s="182"/>
      <c r="M2509" s="182"/>
      <c r="N2509" s="182"/>
      <c r="O2509" s="183" t="s">
        <v>95</v>
      </c>
      <c r="P2509" s="183" t="s">
        <v>96</v>
      </c>
      <c r="Q2509" s="183" t="s">
        <v>97</v>
      </c>
      <c r="R2509" s="183">
        <v>5</v>
      </c>
      <c r="S2509" s="183">
        <v>0</v>
      </c>
      <c r="T2509" s="183">
        <v>5</v>
      </c>
      <c r="U2509" s="183" t="s">
        <v>97</v>
      </c>
      <c r="V2509" s="183" t="s">
        <v>7349</v>
      </c>
      <c r="W2509" s="183" t="s">
        <v>115</v>
      </c>
      <c r="X2509" s="183" t="s">
        <v>7488</v>
      </c>
      <c r="Y2509" s="184">
        <f t="shared" si="871"/>
        <v>0.01</v>
      </c>
      <c r="Z2509" s="185">
        <f t="shared" si="872"/>
        <v>1600</v>
      </c>
      <c r="AA2509" s="185" t="s">
        <v>5083</v>
      </c>
      <c r="AB2509" s="185"/>
      <c r="AC2509" s="185"/>
      <c r="AD2509" s="649">
        <v>-0.35</v>
      </c>
      <c r="AE2509" s="182"/>
      <c r="AF2509" s="332"/>
      <c r="AG2509" s="182"/>
      <c r="AH2509" s="182"/>
      <c r="AI2509" s="182"/>
      <c r="AJ2509" s="640"/>
      <c r="AK2509" s="182"/>
      <c r="AL2509" s="496">
        <f t="shared" si="873"/>
        <v>-32</v>
      </c>
      <c r="AM2509" s="496">
        <f t="shared" si="865"/>
        <v>-160</v>
      </c>
      <c r="AN2509" s="626"/>
      <c r="AO2509" s="182"/>
      <c r="AP2509" s="182"/>
      <c r="AQ2509" s="332" t="str">
        <f>UPPER(RIGHT(Journal_Live[[#This Row],[DURATION ]]))</f>
        <v/>
      </c>
      <c r="AR2509" s="182"/>
      <c r="AS2509" s="189">
        <v>-0.35</v>
      </c>
      <c r="AT2509" s="189">
        <f t="shared" si="866"/>
        <v>0</v>
      </c>
      <c r="AU2509" s="187">
        <f t="shared" si="867"/>
        <v>0</v>
      </c>
      <c r="AV2509" s="190">
        <f t="shared" si="870"/>
        <v>0</v>
      </c>
      <c r="AW2509" s="191" t="s">
        <v>115</v>
      </c>
      <c r="AX2509" s="551" t="s">
        <v>7799</v>
      </c>
      <c r="AY2509" s="551" t="s">
        <v>7800</v>
      </c>
      <c r="AZ2509" s="551"/>
      <c r="BA2509" s="551"/>
      <c r="BB2509" s="551"/>
      <c r="BC2509" s="551"/>
      <c r="BD2509" s="549"/>
      <c r="BE2509" s="550"/>
      <c r="BF2509" s="549"/>
      <c r="BG2509" s="391">
        <f>SUM($AV$2420:AV2509)</f>
        <v>-226.0857142857314</v>
      </c>
      <c r="BH2509" s="392">
        <f>SUM($AU$2420:AU2509)</f>
        <v>-435.00000000002274</v>
      </c>
      <c r="BI2509" s="318">
        <f>SUMIFS($AU$2420:AU2662,$Q$2420:Q2662,"F")</f>
        <v>-143.99999999999949</v>
      </c>
      <c r="BJ2509" s="318">
        <f>SUMIFS($AU$2420:AU2662,$Q$2420:Q2662,"S")</f>
        <v>256.00000000000466</v>
      </c>
      <c r="BK2509" s="343">
        <f>SUMIFS($AU$2420:AU2662,$P$2420:P2662,"W")</f>
        <v>-607.99999999991883</v>
      </c>
      <c r="BL2509" s="343">
        <f>SUMIFS($AU$2420:AU2662,$P$2420:P2662,"R")</f>
        <v>911.99999999999966</v>
      </c>
      <c r="BM2509" s="343">
        <f>SUMIFS($AU$2420:AU2662,$AQ$2420:AQ2662,"M")</f>
        <v>-899.79999999984489</v>
      </c>
      <c r="BN2509" s="343">
        <f>SUMIFS($AU$2420:AU2662,$AQ$2420:AQ2662,"H")</f>
        <v>1762.9999999999427</v>
      </c>
      <c r="BO2509" s="343">
        <f>SUMIFS($AU$2420:AU2662,$AQ$2420:AQ2662,"D")</f>
        <v>-767.99999999998977</v>
      </c>
      <c r="BP2509" s="343">
        <f>SUMIFS($AS$2420:AS2750,$AO$2420:AO2750,"W")</f>
        <v>0</v>
      </c>
      <c r="BQ2509" s="343">
        <f>SUMIFS($AU$2420:AU2662,$Q$2420:Q2662,"O")</f>
        <v>-884.7999999998965</v>
      </c>
      <c r="BR2509" s="343">
        <f>SUMIFS($AU$2420:AU2662,$AA$2420:AA2662,"*")</f>
        <v>-512.79999999998074</v>
      </c>
      <c r="BS2509" s="343">
        <f>SUMIFS($AU$2420:AU2662,$AB$2420:AB2662,"*")</f>
        <v>-451.99999999997726</v>
      </c>
      <c r="BT2509" s="343">
        <f>SUMIFS($AU$2420:AU2662,$AC$2420:AC2662,"*")</f>
        <v>-143.99999999999909</v>
      </c>
      <c r="BU2509" s="343">
        <f>SUMIFS($AU$2420:AU2662,$AA$2420:AA2662,"*",$AB$2420:AB2662,"*")</f>
        <v>95.999999999933891</v>
      </c>
      <c r="BV2509" s="343">
        <f>SUMIFS($AU$2420:AU2662,$AA$2420:AA2662,"*",$AC$2420:AC2662,"*")</f>
        <v>-591.99999999999977</v>
      </c>
      <c r="BW2509" s="343">
        <f>SUMIFS($AU$2420:AU2662,$AB$2420:AB2662,"*",$AC$2420:AC2662,"*")</f>
        <v>-143.99999999999966</v>
      </c>
      <c r="BX2509" s="343">
        <f>SUMIFS($AV$2420:AV2662,$Q$2420:Q2662,"F")</f>
        <v>18.153846153846242</v>
      </c>
      <c r="BY2509" s="343">
        <f>SUMIFS($AV$2420:AV2662,$Q$2420:Q2662,"S")</f>
        <v>64.044720496894826</v>
      </c>
      <c r="BZ2509" s="343">
        <f>SUMIFS($AV$2420:AV2662,$Q$2420:Q2662,"O")</f>
        <v>-458.13333333332537</v>
      </c>
    </row>
    <row r="2510" spans="1:78" ht="15.75" customHeight="1">
      <c r="A2510" s="663" t="s">
        <v>7734</v>
      </c>
      <c r="B2510" s="200">
        <v>45565</v>
      </c>
      <c r="C2510" s="178" t="s">
        <v>6034</v>
      </c>
      <c r="D2510" s="178" t="s">
        <v>132</v>
      </c>
      <c r="E2510" s="227"/>
      <c r="F2510" s="180"/>
      <c r="G2510" s="481" t="s">
        <v>7277</v>
      </c>
      <c r="H2510" s="182"/>
      <c r="I2510" s="182"/>
      <c r="J2510" s="182"/>
      <c r="K2510" s="183"/>
      <c r="L2510" s="182"/>
      <c r="M2510" s="182"/>
      <c r="N2510" s="182"/>
      <c r="O2510" s="183" t="s">
        <v>95</v>
      </c>
      <c r="P2510" s="183" t="s">
        <v>96</v>
      </c>
      <c r="Q2510" s="183" t="s">
        <v>97</v>
      </c>
      <c r="R2510" s="183">
        <v>12</v>
      </c>
      <c r="S2510" s="183">
        <v>7</v>
      </c>
      <c r="T2510" s="183">
        <v>5</v>
      </c>
      <c r="U2510" s="183" t="s">
        <v>97</v>
      </c>
      <c r="V2510" s="183" t="s">
        <v>7357</v>
      </c>
      <c r="W2510" s="183" t="s">
        <v>115</v>
      </c>
      <c r="X2510" s="183" t="s">
        <v>7488</v>
      </c>
      <c r="Y2510" s="184">
        <f t="shared" si="871"/>
        <v>0.01</v>
      </c>
      <c r="Z2510" s="185">
        <f t="shared" si="872"/>
        <v>1600</v>
      </c>
      <c r="AA2510" s="185" t="s">
        <v>4954</v>
      </c>
      <c r="AB2510" s="185" t="s">
        <v>7801</v>
      </c>
      <c r="AC2510" s="185"/>
      <c r="AD2510" s="649">
        <v>-0.47</v>
      </c>
      <c r="AE2510" s="182"/>
      <c r="AF2510" s="332"/>
      <c r="AG2510" s="182"/>
      <c r="AH2510" s="182"/>
      <c r="AI2510" s="182"/>
      <c r="AJ2510" s="640"/>
      <c r="AK2510" s="182"/>
      <c r="AL2510" s="496">
        <f t="shared" si="873"/>
        <v>-32</v>
      </c>
      <c r="AM2510" s="496">
        <f t="shared" si="865"/>
        <v>-160</v>
      </c>
      <c r="AN2510" s="626"/>
      <c r="AO2510" s="182"/>
      <c r="AP2510" s="182" t="s">
        <v>804</v>
      </c>
      <c r="AQ2510" s="332" t="s">
        <v>115</v>
      </c>
      <c r="AR2510" s="182"/>
      <c r="AS2510" s="189">
        <f>((-0.45*7)+(-0.46*5))/12</f>
        <v>-0.45416666666666666</v>
      </c>
      <c r="AT2510" s="189">
        <f t="shared" si="866"/>
        <v>-1.583333333333331E-2</v>
      </c>
      <c r="AU2510" s="187">
        <f t="shared" si="867"/>
        <v>-303.99999999999955</v>
      </c>
      <c r="AV2510" s="190">
        <f t="shared" si="870"/>
        <v>-25.333333333333297</v>
      </c>
      <c r="AW2510" s="191" t="s">
        <v>229</v>
      </c>
      <c r="AX2510" s="551"/>
      <c r="AY2510" s="551"/>
      <c r="AZ2510" s="551"/>
      <c r="BA2510" s="551"/>
      <c r="BB2510" s="551"/>
      <c r="BC2510" s="551"/>
      <c r="BD2510" s="549"/>
      <c r="BE2510" s="550"/>
      <c r="BF2510" s="549"/>
      <c r="BG2510" s="391">
        <f>SUM($AV$2420:AV2510)</f>
        <v>-251.41904761906468</v>
      </c>
      <c r="BH2510" s="392">
        <f>SUM($AU$2420:AU2510)</f>
        <v>-739.00000000002228</v>
      </c>
      <c r="BI2510" s="318">
        <f>SUMIFS($AU$2420:AU2663,$Q$2420:Q2663,"F")</f>
        <v>-143.99999999999949</v>
      </c>
      <c r="BJ2510" s="318">
        <f>SUMIFS($AU$2420:AU2663,$Q$2420:Q2663,"S")</f>
        <v>256.00000000000466</v>
      </c>
      <c r="BK2510" s="343">
        <f>SUMIFS($AU$2420:AU2663,$P$2420:P2663,"W")</f>
        <v>-607.99999999991883</v>
      </c>
      <c r="BL2510" s="343">
        <f>SUMIFS($AU$2420:AU2663,$P$2420:P2663,"R")</f>
        <v>911.99999999999966</v>
      </c>
      <c r="BM2510" s="343">
        <f>SUMIFS($AU$2420:AU2663,$AQ$2420:AQ2663,"M")</f>
        <v>-899.79999999984489</v>
      </c>
      <c r="BN2510" s="343">
        <f>SUMIFS($AU$2420:AU2663,$AQ$2420:AQ2663,"H")</f>
        <v>1762.9999999999427</v>
      </c>
      <c r="BO2510" s="343">
        <f>SUMIFS($AU$2420:AU2663,$AQ$2420:AQ2663,"D")</f>
        <v>-767.99999999998977</v>
      </c>
      <c r="BP2510" s="343">
        <f>SUMIFS($AS$2420:AS2751,$AO$2420:AO2751,"W")</f>
        <v>0</v>
      </c>
      <c r="BQ2510" s="343">
        <f>SUMIFS($AU$2420:AU2663,$Q$2420:Q2663,"O")</f>
        <v>-884.7999999998965</v>
      </c>
      <c r="BR2510" s="343">
        <f>SUMIFS($AU$2420:AU2663,$AA$2420:AA2663,"*")</f>
        <v>-512.79999999998074</v>
      </c>
      <c r="BS2510" s="343">
        <f>SUMIFS($AU$2420:AU2663,$AB$2420:AB2663,"*")</f>
        <v>-451.99999999997726</v>
      </c>
      <c r="BT2510" s="343">
        <f>SUMIFS($AU$2420:AU2663,$AC$2420:AC2663,"*")</f>
        <v>-143.99999999999909</v>
      </c>
      <c r="BU2510" s="343">
        <f>SUMIFS($AU$2420:AU2663,$AA$2420:AA2663,"*",$AB$2420:AB2663,"*")</f>
        <v>95.999999999933891</v>
      </c>
      <c r="BV2510" s="343">
        <f>SUMIFS($AU$2420:AU2663,$AA$2420:AA2663,"*",$AC$2420:AC2663,"*")</f>
        <v>-591.99999999999977</v>
      </c>
      <c r="BW2510" s="343">
        <f>SUMIFS($AU$2420:AU2663,$AB$2420:AB2663,"*",$AC$2420:AC2663,"*")</f>
        <v>-143.99999999999966</v>
      </c>
      <c r="BX2510" s="343">
        <f>SUMIFS($AV$2420:AV2663,$Q$2420:Q2663,"F")</f>
        <v>18.153846153846242</v>
      </c>
      <c r="BY2510" s="343">
        <f>SUMIFS($AV$2420:AV2663,$Q$2420:Q2663,"S")</f>
        <v>64.044720496894826</v>
      </c>
      <c r="BZ2510" s="343">
        <f>SUMIFS($AV$2420:AV2663,$Q$2420:Q2663,"O")</f>
        <v>-458.13333333332537</v>
      </c>
    </row>
    <row r="2511" spans="1:78" ht="15.75" customHeight="1">
      <c r="A2511" s="663" t="s">
        <v>7734</v>
      </c>
      <c r="B2511" s="200"/>
      <c r="C2511" s="178"/>
      <c r="D2511" s="178"/>
      <c r="E2511" s="227"/>
      <c r="F2511" s="180"/>
      <c r="G2511" s="181"/>
      <c r="H2511" s="182"/>
      <c r="I2511" s="182"/>
      <c r="J2511" s="182"/>
      <c r="K2511" s="183"/>
      <c r="L2511" s="182"/>
      <c r="M2511" s="182"/>
      <c r="N2511" s="182"/>
      <c r="O2511" s="183"/>
      <c r="P2511" s="183"/>
      <c r="Q2511" s="183"/>
      <c r="R2511" s="183"/>
      <c r="S2511" s="183"/>
      <c r="T2511" s="183"/>
      <c r="U2511" s="183"/>
      <c r="V2511" s="183"/>
      <c r="W2511" s="183"/>
      <c r="X2511" s="183"/>
      <c r="Y2511" s="184"/>
      <c r="Z2511" s="185"/>
      <c r="AA2511" s="185"/>
      <c r="AB2511" s="185"/>
      <c r="AC2511" s="185"/>
      <c r="AD2511" s="649"/>
      <c r="AE2511" s="182"/>
      <c r="AF2511" s="332"/>
      <c r="AG2511" s="182"/>
      <c r="AH2511" s="182"/>
      <c r="AI2511" s="182"/>
      <c r="AJ2511" s="640"/>
      <c r="AK2511" s="182"/>
      <c r="AL2511" s="496">
        <f t="shared" si="873"/>
        <v>0</v>
      </c>
      <c r="AM2511" s="496">
        <f t="shared" si="865"/>
        <v>0</v>
      </c>
      <c r="AN2511" s="626"/>
      <c r="AO2511" s="182"/>
      <c r="AP2511" s="182"/>
      <c r="AQ2511" s="332" t="str">
        <f>UPPER(RIGHT(Journal_Live[[#This Row],[DURATION ]]))</f>
        <v/>
      </c>
      <c r="AR2511" s="182"/>
      <c r="AS2511" s="189"/>
      <c r="AT2511" s="189">
        <f t="shared" si="866"/>
        <v>0</v>
      </c>
      <c r="AU2511" s="187">
        <f t="shared" si="867"/>
        <v>0</v>
      </c>
      <c r="AV2511" s="190">
        <f t="shared" si="870"/>
        <v>0</v>
      </c>
      <c r="AW2511" s="191"/>
      <c r="AX2511" s="551" t="s">
        <v>7802</v>
      </c>
      <c r="AY2511" s="551" t="s">
        <v>7803</v>
      </c>
      <c r="AZ2511" s="551"/>
      <c r="BA2511" s="551"/>
      <c r="BB2511" s="551"/>
      <c r="BC2511" s="551"/>
      <c r="BD2511" s="549"/>
      <c r="BE2511" s="550"/>
      <c r="BF2511" s="549"/>
      <c r="BG2511" s="391">
        <f>SUM($AV$2420:AV2511)</f>
        <v>-251.41904761906468</v>
      </c>
      <c r="BH2511" s="392">
        <f>SUM($AU$2420:AU2511)</f>
        <v>-739.00000000002228</v>
      </c>
      <c r="BI2511" s="318">
        <f>SUMIFS($AU$2420:AU2664,$Q$2420:Q2664,"F")</f>
        <v>-143.99999999999949</v>
      </c>
      <c r="BJ2511" s="318">
        <f>SUMIFS($AU$2420:AU2664,$Q$2420:Q2664,"S")</f>
        <v>256.00000000000466</v>
      </c>
      <c r="BK2511" s="343">
        <f>SUMIFS($AU$2420:AU2664,$P$2420:P2664,"W")</f>
        <v>-607.99999999991883</v>
      </c>
      <c r="BL2511" s="343">
        <f>SUMIFS($AU$2420:AU2664,$P$2420:P2664,"R")</f>
        <v>911.99999999999966</v>
      </c>
      <c r="BM2511" s="343">
        <f>SUMIFS($AU$2420:AU2664,$AQ$2420:AQ2664,"M")</f>
        <v>-899.79999999984489</v>
      </c>
      <c r="BN2511" s="343">
        <f>SUMIFS($AU$2420:AU2664,$AQ$2420:AQ2664,"H")</f>
        <v>1762.9999999999427</v>
      </c>
      <c r="BO2511" s="343">
        <f>SUMIFS($AU$2420:AU2664,$AQ$2420:AQ2664,"D")</f>
        <v>-767.99999999998977</v>
      </c>
      <c r="BP2511" s="343">
        <f>SUMIFS($AS$2420:AS2752,$AO$2420:AO2752,"W")</f>
        <v>0</v>
      </c>
      <c r="BQ2511" s="343">
        <f>SUMIFS($AU$2420:AU2664,$Q$2420:Q2664,"O")</f>
        <v>-884.7999999998965</v>
      </c>
      <c r="BR2511" s="343">
        <f>SUMIFS($AU$2420:AU2664,$AA$2420:AA2664,"*")</f>
        <v>-512.79999999998074</v>
      </c>
      <c r="BS2511" s="343">
        <f>SUMIFS($AU$2420:AU2664,$AB$2420:AB2664,"*")</f>
        <v>-451.99999999997726</v>
      </c>
      <c r="BT2511" s="343">
        <f>SUMIFS($AU$2420:AU2664,$AC$2420:AC2664,"*")</f>
        <v>-143.99999999999909</v>
      </c>
      <c r="BU2511" s="343">
        <f>SUMIFS($AU$2420:AU2664,$AA$2420:AA2664,"*",$AB$2420:AB2664,"*")</f>
        <v>95.999999999933891</v>
      </c>
      <c r="BV2511" s="343">
        <f>SUMIFS($AU$2420:AU2664,$AA$2420:AA2664,"*",$AC$2420:AC2664,"*")</f>
        <v>-591.99999999999977</v>
      </c>
      <c r="BW2511" s="343">
        <f>SUMIFS($AU$2420:AU2664,$AB$2420:AB2664,"*",$AC$2420:AC2664,"*")</f>
        <v>-143.99999999999966</v>
      </c>
      <c r="BX2511" s="343">
        <f>SUMIFS($AV$2420:AV2664,$Q$2420:Q2664,"F")</f>
        <v>18.153846153846242</v>
      </c>
      <c r="BY2511" s="343">
        <f>SUMIFS($AV$2420:AV2664,$Q$2420:Q2664,"S")</f>
        <v>64.044720496894826</v>
      </c>
      <c r="BZ2511" s="343">
        <f>SUMIFS($AV$2420:AV2664,$Q$2420:Q2664,"O")</f>
        <v>-458.13333333332537</v>
      </c>
    </row>
    <row r="2512" spans="1:78" ht="15.75" customHeight="1">
      <c r="A2512" s="663" t="s">
        <v>7734</v>
      </c>
      <c r="B2512" s="200"/>
      <c r="C2512" s="178"/>
      <c r="D2512" s="178"/>
      <c r="E2512" s="227"/>
      <c r="F2512" s="180"/>
      <c r="G2512" s="181"/>
      <c r="H2512" s="182"/>
      <c r="I2512" s="182"/>
      <c r="J2512" s="182"/>
      <c r="K2512" s="183"/>
      <c r="L2512" s="182"/>
      <c r="M2512" s="182"/>
      <c r="N2512" s="182"/>
      <c r="O2512" s="183"/>
      <c r="P2512" s="183"/>
      <c r="Q2512" s="183"/>
      <c r="R2512" s="183"/>
      <c r="S2512" s="183"/>
      <c r="T2512" s="183"/>
      <c r="U2512" s="183"/>
      <c r="V2512" s="183"/>
      <c r="W2512" s="183"/>
      <c r="X2512" s="183"/>
      <c r="Y2512" s="184"/>
      <c r="Z2512" s="185"/>
      <c r="AA2512" s="185"/>
      <c r="AB2512" s="185"/>
      <c r="AC2512" s="185"/>
      <c r="AD2512" s="649"/>
      <c r="AE2512" s="182"/>
      <c r="AF2512" s="332"/>
      <c r="AG2512" s="182"/>
      <c r="AH2512" s="182"/>
      <c r="AI2512" s="182"/>
      <c r="AJ2512" s="640"/>
      <c r="AK2512" s="182"/>
      <c r="AL2512" s="496">
        <f t="shared" si="873"/>
        <v>0</v>
      </c>
      <c r="AM2512" s="496">
        <f t="shared" si="865"/>
        <v>0</v>
      </c>
      <c r="AN2512" s="626"/>
      <c r="AO2512" s="182"/>
      <c r="AP2512" s="182"/>
      <c r="AQ2512" s="332" t="str">
        <f>UPPER(RIGHT(Journal_Live[[#This Row],[DURATION ]]))</f>
        <v/>
      </c>
      <c r="AR2512" s="182"/>
      <c r="AS2512" s="189"/>
      <c r="AT2512" s="189">
        <f t="shared" si="866"/>
        <v>0</v>
      </c>
      <c r="AU2512" s="187">
        <f t="shared" si="867"/>
        <v>0</v>
      </c>
      <c r="AV2512" s="190">
        <f t="shared" si="870"/>
        <v>0</v>
      </c>
      <c r="AW2512" s="191"/>
      <c r="AX2512" s="551"/>
      <c r="AY2512" s="551"/>
      <c r="AZ2512" s="551"/>
      <c r="BA2512" s="551"/>
      <c r="BB2512" s="551"/>
      <c r="BC2512" s="551"/>
      <c r="BD2512" s="549"/>
      <c r="BE2512" s="550"/>
      <c r="BF2512" s="549"/>
      <c r="BG2512" s="391">
        <f>SUM($AV$2420:AV2512)</f>
        <v>-251.41904761906468</v>
      </c>
      <c r="BH2512" s="392">
        <f>SUM($AU$2420:AU2512)</f>
        <v>-739.00000000002228</v>
      </c>
      <c r="BI2512" s="318">
        <f>SUMIFS($AU$2420:AU2665,$Q$2420:Q2665,"F")</f>
        <v>-143.99999999999949</v>
      </c>
      <c r="BJ2512" s="318">
        <f>SUMIFS($AU$2420:AU2665,$Q$2420:Q2665,"S")</f>
        <v>256.00000000000466</v>
      </c>
      <c r="BK2512" s="343">
        <f>SUMIFS($AU$2420:AU2665,$P$2420:P2665,"W")</f>
        <v>-607.99999999991883</v>
      </c>
      <c r="BL2512" s="343">
        <f>SUMIFS($AU$2420:AU2665,$P$2420:P2665,"R")</f>
        <v>911.99999999999966</v>
      </c>
      <c r="BM2512" s="343">
        <f>SUMIFS($AU$2420:AU2665,$AQ$2420:AQ2665,"M")</f>
        <v>-899.79999999984489</v>
      </c>
      <c r="BN2512" s="343">
        <f>SUMIFS($AU$2420:AU2665,$AQ$2420:AQ2665,"H")</f>
        <v>1762.9999999999427</v>
      </c>
      <c r="BO2512" s="343">
        <f>SUMIFS($AU$2420:AU2665,$AQ$2420:AQ2665,"D")</f>
        <v>-767.99999999998977</v>
      </c>
      <c r="BP2512" s="343">
        <f>SUMIFS($AS$2420:AS2753,$AO$2420:AO2753,"W")</f>
        <v>0</v>
      </c>
      <c r="BQ2512" s="343">
        <f>SUMIFS($AU$2420:AU2665,$Q$2420:Q2665,"O")</f>
        <v>-884.7999999998965</v>
      </c>
      <c r="BR2512" s="343">
        <f>SUMIFS($AU$2420:AU2665,$AA$2420:AA2665,"*")</f>
        <v>-512.79999999998074</v>
      </c>
      <c r="BS2512" s="343">
        <f>SUMIFS($AU$2420:AU2665,$AB$2420:AB2665,"*")</f>
        <v>-451.99999999997726</v>
      </c>
      <c r="BT2512" s="343">
        <f>SUMIFS($AU$2420:AU2665,$AC$2420:AC2665,"*")</f>
        <v>-143.99999999999909</v>
      </c>
      <c r="BU2512" s="343">
        <f>SUMIFS($AU$2420:AU2665,$AA$2420:AA2665,"*",$AB$2420:AB2665,"*")</f>
        <v>95.999999999933891</v>
      </c>
      <c r="BV2512" s="343">
        <f>SUMIFS($AU$2420:AU2665,$AA$2420:AA2665,"*",$AC$2420:AC2665,"*")</f>
        <v>-591.99999999999977</v>
      </c>
      <c r="BW2512" s="343">
        <f>SUMIFS($AU$2420:AU2665,$AB$2420:AB2665,"*",$AC$2420:AC2665,"*")</f>
        <v>-143.99999999999966</v>
      </c>
      <c r="BX2512" s="343">
        <f>SUMIFS($AV$2420:AV2665,$Q$2420:Q2665,"F")</f>
        <v>18.153846153846242</v>
      </c>
      <c r="BY2512" s="343">
        <f>SUMIFS($AV$2420:AV2665,$Q$2420:Q2665,"S")</f>
        <v>64.044720496894826</v>
      </c>
      <c r="BZ2512" s="343">
        <f>SUMIFS($AV$2420:AV2665,$Q$2420:Q2665,"O")</f>
        <v>-458.13333333332537</v>
      </c>
    </row>
    <row r="2513" spans="1:78" ht="15.75" customHeight="1">
      <c r="A2513" s="663" t="s">
        <v>7734</v>
      </c>
      <c r="B2513" s="200"/>
      <c r="C2513" s="178"/>
      <c r="D2513" s="178"/>
      <c r="E2513" s="227"/>
      <c r="F2513" s="180"/>
      <c r="G2513" s="181"/>
      <c r="H2513" s="182"/>
      <c r="I2513" s="182"/>
      <c r="J2513" s="182"/>
      <c r="K2513" s="183"/>
      <c r="L2513" s="182"/>
      <c r="M2513" s="182"/>
      <c r="N2513" s="182"/>
      <c r="O2513" s="183"/>
      <c r="P2513" s="183"/>
      <c r="Q2513" s="183"/>
      <c r="R2513" s="183"/>
      <c r="S2513" s="183"/>
      <c r="T2513" s="183"/>
      <c r="U2513" s="183"/>
      <c r="V2513" s="183"/>
      <c r="W2513" s="183"/>
      <c r="X2513" s="183"/>
      <c r="Y2513" s="184"/>
      <c r="Z2513" s="185"/>
      <c r="AA2513" s="185"/>
      <c r="AB2513" s="185"/>
      <c r="AC2513" s="185"/>
      <c r="AD2513" s="649"/>
      <c r="AE2513" s="182"/>
      <c r="AF2513" s="332"/>
      <c r="AG2513" s="182"/>
      <c r="AH2513" s="182"/>
      <c r="AI2513" s="182"/>
      <c r="AJ2513" s="640"/>
      <c r="AK2513" s="182"/>
      <c r="AL2513" s="496">
        <f t="shared" si="873"/>
        <v>0</v>
      </c>
      <c r="AM2513" s="496">
        <f t="shared" si="865"/>
        <v>0</v>
      </c>
      <c r="AN2513" s="626"/>
      <c r="AO2513" s="182"/>
      <c r="AP2513" s="182"/>
      <c r="AQ2513" s="332" t="str">
        <f>UPPER(RIGHT(Journal_Live[[#This Row],[DURATION ]]))</f>
        <v/>
      </c>
      <c r="AR2513" s="182"/>
      <c r="AS2513" s="189"/>
      <c r="AT2513" s="189">
        <f t="shared" si="866"/>
        <v>0</v>
      </c>
      <c r="AU2513" s="187">
        <f t="shared" si="867"/>
        <v>0</v>
      </c>
      <c r="AV2513" s="190">
        <f t="shared" si="870"/>
        <v>0</v>
      </c>
      <c r="AW2513" s="191"/>
      <c r="AX2513" s="551"/>
      <c r="AY2513" s="551"/>
      <c r="AZ2513" s="551"/>
      <c r="BA2513" s="551"/>
      <c r="BB2513" s="551"/>
      <c r="BC2513" s="551"/>
      <c r="BD2513" s="549"/>
      <c r="BE2513" s="550"/>
      <c r="BF2513" s="549"/>
      <c r="BG2513" s="391">
        <f>SUM($AV$2420:AV2513)</f>
        <v>-251.41904761906468</v>
      </c>
      <c r="BH2513" s="392">
        <f>SUM($AU$2420:AU2513)</f>
        <v>-739.00000000002228</v>
      </c>
      <c r="BI2513" s="318">
        <f>SUMIFS($AU$2420:AU2666,$Q$2420:Q2666,"F")</f>
        <v>-143.99999999999949</v>
      </c>
      <c r="BJ2513" s="318">
        <f>SUMIFS($AU$2420:AU2666,$Q$2420:Q2666,"S")</f>
        <v>256.00000000000466</v>
      </c>
      <c r="BK2513" s="343">
        <f>SUMIFS($AU$2420:AU2666,$P$2420:P2666,"W")</f>
        <v>-607.99999999991883</v>
      </c>
      <c r="BL2513" s="343">
        <f>SUMIFS($AU$2420:AU2666,$P$2420:P2666,"R")</f>
        <v>911.99999999999966</v>
      </c>
      <c r="BM2513" s="343">
        <f>SUMIFS($AU$2420:AU2666,$AQ$2420:AQ2666,"M")</f>
        <v>-899.79999999984489</v>
      </c>
      <c r="BN2513" s="343">
        <f>SUMIFS($AU$2420:AU2666,$AQ$2420:AQ2666,"H")</f>
        <v>1762.9999999999427</v>
      </c>
      <c r="BO2513" s="343">
        <f>SUMIFS($AU$2420:AU2666,$AQ$2420:AQ2666,"D")</f>
        <v>-767.99999999998977</v>
      </c>
      <c r="BP2513" s="343">
        <f>SUMIFS($AS$2420:AS2754,$AO$2420:AO2754,"W")</f>
        <v>0</v>
      </c>
      <c r="BQ2513" s="343">
        <f>SUMIFS($AU$2420:AU2666,$Q$2420:Q2666,"O")</f>
        <v>-884.7999999998965</v>
      </c>
      <c r="BR2513" s="343">
        <f>SUMIFS($AU$2420:AU2666,$AA$2420:AA2666,"*")</f>
        <v>-512.79999999998074</v>
      </c>
      <c r="BS2513" s="343">
        <f>SUMIFS($AU$2420:AU2666,$AB$2420:AB2666,"*")</f>
        <v>-451.99999999997726</v>
      </c>
      <c r="BT2513" s="343">
        <f>SUMIFS($AU$2420:AU2666,$AC$2420:AC2666,"*")</f>
        <v>-143.99999999999909</v>
      </c>
      <c r="BU2513" s="343">
        <f>SUMIFS($AU$2420:AU2666,$AA$2420:AA2666,"*",$AB$2420:AB2666,"*")</f>
        <v>95.999999999933891</v>
      </c>
      <c r="BV2513" s="343">
        <f>SUMIFS($AU$2420:AU2666,$AA$2420:AA2666,"*",$AC$2420:AC2666,"*")</f>
        <v>-591.99999999999977</v>
      </c>
      <c r="BW2513" s="343">
        <f>SUMIFS($AU$2420:AU2666,$AB$2420:AB2666,"*",$AC$2420:AC2666,"*")</f>
        <v>-143.99999999999966</v>
      </c>
      <c r="BX2513" s="343">
        <f>SUMIFS($AV$2420:AV2666,$Q$2420:Q2666,"F")</f>
        <v>18.153846153846242</v>
      </c>
      <c r="BY2513" s="343">
        <f>SUMIFS($AV$2420:AV2666,$Q$2420:Q2666,"S")</f>
        <v>64.044720496894826</v>
      </c>
      <c r="BZ2513" s="343">
        <f>SUMIFS($AV$2420:AV2666,$Q$2420:Q2666,"O")</f>
        <v>-458.13333333332537</v>
      </c>
    </row>
    <row r="2514" spans="1:78" ht="15.75" customHeight="1">
      <c r="A2514" s="663" t="s">
        <v>7734</v>
      </c>
      <c r="B2514" s="200"/>
      <c r="C2514" s="178"/>
      <c r="D2514" s="178"/>
      <c r="E2514" s="227"/>
      <c r="F2514" s="180"/>
      <c r="G2514" s="181"/>
      <c r="H2514" s="182"/>
      <c r="I2514" s="182"/>
      <c r="J2514" s="182"/>
      <c r="K2514" s="183"/>
      <c r="L2514" s="182"/>
      <c r="M2514" s="182"/>
      <c r="N2514" s="182"/>
      <c r="O2514" s="183"/>
      <c r="P2514" s="183"/>
      <c r="Q2514" s="183"/>
      <c r="R2514" s="183"/>
      <c r="S2514" s="183"/>
      <c r="T2514" s="183"/>
      <c r="U2514" s="183"/>
      <c r="V2514" s="183"/>
      <c r="W2514" s="183"/>
      <c r="X2514" s="183"/>
      <c r="Y2514" s="184"/>
      <c r="Z2514" s="185"/>
      <c r="AA2514" s="185"/>
      <c r="AB2514" s="185"/>
      <c r="AC2514" s="185"/>
      <c r="AD2514" s="649"/>
      <c r="AE2514" s="182"/>
      <c r="AF2514" s="332"/>
      <c r="AG2514" s="182"/>
      <c r="AH2514" s="182"/>
      <c r="AI2514" s="182"/>
      <c r="AJ2514" s="640"/>
      <c r="AK2514" s="182"/>
      <c r="AL2514" s="496">
        <f t="shared" si="873"/>
        <v>0</v>
      </c>
      <c r="AM2514" s="496">
        <f t="shared" si="865"/>
        <v>0</v>
      </c>
      <c r="AN2514" s="626"/>
      <c r="AO2514" s="182"/>
      <c r="AP2514" s="182"/>
      <c r="AQ2514" s="332" t="str">
        <f>UPPER(RIGHT(Journal_Live[[#This Row],[DURATION ]]))</f>
        <v/>
      </c>
      <c r="AR2514" s="182"/>
      <c r="AS2514" s="189"/>
      <c r="AT2514" s="189">
        <f t="shared" si="866"/>
        <v>0</v>
      </c>
      <c r="AU2514" s="187">
        <f t="shared" si="867"/>
        <v>0</v>
      </c>
      <c r="AV2514" s="190">
        <f t="shared" si="870"/>
        <v>0</v>
      </c>
      <c r="AW2514" s="191"/>
      <c r="AX2514" s="551"/>
      <c r="AY2514" s="551"/>
      <c r="AZ2514" s="551"/>
      <c r="BA2514" s="551"/>
      <c r="BB2514" s="551"/>
      <c r="BC2514" s="551"/>
      <c r="BD2514" s="549"/>
      <c r="BE2514" s="550"/>
      <c r="BF2514" s="549"/>
      <c r="BG2514" s="391">
        <f>SUM($AV$2420:AV2514)</f>
        <v>-251.41904761906468</v>
      </c>
      <c r="BH2514" s="392">
        <f>SUM($AU$2420:AU2514)</f>
        <v>-739.00000000002228</v>
      </c>
      <c r="BI2514" s="318">
        <f>SUMIFS($AU$2420:AU2667,$Q$2420:Q2667,"F")</f>
        <v>-143.99999999999949</v>
      </c>
      <c r="BJ2514" s="318">
        <f>SUMIFS($AU$2420:AU2667,$Q$2420:Q2667,"S")</f>
        <v>256.00000000000466</v>
      </c>
      <c r="BK2514" s="343">
        <f>SUMIFS($AU$2420:AU2667,$P$2420:P2667,"W")</f>
        <v>-607.99999999991883</v>
      </c>
      <c r="BL2514" s="343">
        <f>SUMIFS($AU$2420:AU2667,$P$2420:P2667,"R")</f>
        <v>911.99999999999966</v>
      </c>
      <c r="BM2514" s="343">
        <f>SUMIFS($AU$2420:AU2667,$AQ$2420:AQ2667,"M")</f>
        <v>-899.79999999984489</v>
      </c>
      <c r="BN2514" s="343">
        <f>SUMIFS($AU$2420:AU2667,$AQ$2420:AQ2667,"H")</f>
        <v>1762.9999999999427</v>
      </c>
      <c r="BO2514" s="343">
        <f>SUMIFS($AU$2420:AU2667,$AQ$2420:AQ2667,"D")</f>
        <v>-767.99999999998977</v>
      </c>
      <c r="BP2514" s="343">
        <f>SUMIFS($AS$2420:AS2755,$AO$2420:AO2755,"W")</f>
        <v>0</v>
      </c>
      <c r="BQ2514" s="343">
        <f>SUMIFS($AU$2420:AU2667,$Q$2420:Q2667,"O")</f>
        <v>-884.7999999998965</v>
      </c>
      <c r="BR2514" s="343">
        <f>SUMIFS($AU$2420:AU2667,$AA$2420:AA2667,"*")</f>
        <v>-512.79999999998074</v>
      </c>
      <c r="BS2514" s="343">
        <f>SUMIFS($AU$2420:AU2667,$AB$2420:AB2667,"*")</f>
        <v>-451.99999999997726</v>
      </c>
      <c r="BT2514" s="343">
        <f>SUMIFS($AU$2420:AU2667,$AC$2420:AC2667,"*")</f>
        <v>-143.99999999999909</v>
      </c>
      <c r="BU2514" s="343">
        <f>SUMIFS($AU$2420:AU2667,$AA$2420:AA2667,"*",$AB$2420:AB2667,"*")</f>
        <v>95.999999999933891</v>
      </c>
      <c r="BV2514" s="343">
        <f>SUMIFS($AU$2420:AU2667,$AA$2420:AA2667,"*",$AC$2420:AC2667,"*")</f>
        <v>-591.99999999999977</v>
      </c>
      <c r="BW2514" s="343">
        <f>SUMIFS($AU$2420:AU2667,$AB$2420:AB2667,"*",$AC$2420:AC2667,"*")</f>
        <v>-143.99999999999966</v>
      </c>
      <c r="BX2514" s="343">
        <f>SUMIFS($AV$2420:AV2667,$Q$2420:Q2667,"F")</f>
        <v>18.153846153846242</v>
      </c>
      <c r="BY2514" s="343">
        <f>SUMIFS($AV$2420:AV2667,$Q$2420:Q2667,"S")</f>
        <v>64.044720496894826</v>
      </c>
      <c r="BZ2514" s="343">
        <f>SUMIFS($AV$2420:AV2667,$Q$2420:Q2667,"O")</f>
        <v>-458.13333333332537</v>
      </c>
    </row>
    <row r="2515" spans="1:78" ht="15.75" customHeight="1">
      <c r="A2515" s="663" t="s">
        <v>7734</v>
      </c>
      <c r="B2515" s="200"/>
      <c r="C2515" s="178"/>
      <c r="D2515" s="178"/>
      <c r="E2515" s="227"/>
      <c r="F2515" s="180"/>
      <c r="G2515" s="181"/>
      <c r="H2515" s="182"/>
      <c r="I2515" s="182"/>
      <c r="J2515" s="182"/>
      <c r="K2515" s="183"/>
      <c r="L2515" s="182"/>
      <c r="M2515" s="182"/>
      <c r="N2515" s="182"/>
      <c r="O2515" s="183"/>
      <c r="P2515" s="183"/>
      <c r="Q2515" s="183"/>
      <c r="R2515" s="183"/>
      <c r="S2515" s="183"/>
      <c r="T2515" s="183"/>
      <c r="U2515" s="183"/>
      <c r="V2515" s="183"/>
      <c r="W2515" s="183"/>
      <c r="X2515" s="183"/>
      <c r="Y2515" s="184"/>
      <c r="Z2515" s="185"/>
      <c r="AA2515" s="185"/>
      <c r="AB2515" s="185"/>
      <c r="AC2515" s="185"/>
      <c r="AD2515" s="649"/>
      <c r="AE2515" s="182"/>
      <c r="AF2515" s="332"/>
      <c r="AG2515" s="182"/>
      <c r="AH2515" s="182"/>
      <c r="AI2515" s="182"/>
      <c r="AJ2515" s="640"/>
      <c r="AK2515" s="182"/>
      <c r="AL2515" s="496">
        <f t="shared" si="873"/>
        <v>0</v>
      </c>
      <c r="AM2515" s="496">
        <f t="shared" si="865"/>
        <v>0</v>
      </c>
      <c r="AN2515" s="626"/>
      <c r="AO2515" s="182"/>
      <c r="AP2515" s="182"/>
      <c r="AQ2515" s="332" t="str">
        <f>UPPER(RIGHT(Journal_Live[[#This Row],[DURATION ]]))</f>
        <v/>
      </c>
      <c r="AR2515" s="182"/>
      <c r="AS2515" s="189"/>
      <c r="AT2515" s="189">
        <f t="shared" si="866"/>
        <v>0</v>
      </c>
      <c r="AU2515" s="187">
        <f t="shared" si="867"/>
        <v>0</v>
      </c>
      <c r="AV2515" s="190">
        <f t="shared" si="870"/>
        <v>0</v>
      </c>
      <c r="AW2515" s="191"/>
      <c r="AX2515" s="551"/>
      <c r="AY2515" s="551"/>
      <c r="AZ2515" s="551"/>
      <c r="BA2515" s="551"/>
      <c r="BB2515" s="551"/>
      <c r="BC2515" s="551"/>
      <c r="BD2515" s="549"/>
      <c r="BE2515" s="550"/>
      <c r="BF2515" s="549"/>
      <c r="BG2515" s="391">
        <f>SUM($AV$2420:AV2515)</f>
        <v>-251.41904761906468</v>
      </c>
      <c r="BH2515" s="392">
        <f>SUM($AU$2420:AU2515)</f>
        <v>-739.00000000002228</v>
      </c>
      <c r="BI2515" s="318">
        <f>SUMIFS($AU$2420:AU2668,$Q$2420:Q2668,"F")</f>
        <v>-143.99999999999949</v>
      </c>
      <c r="BJ2515" s="318">
        <f>SUMIFS($AU$2420:AU2668,$Q$2420:Q2668,"S")</f>
        <v>256.00000000000466</v>
      </c>
      <c r="BK2515" s="343">
        <f>SUMIFS($AU$2420:AU2668,$P$2420:P2668,"W")</f>
        <v>-607.99999999991883</v>
      </c>
      <c r="BL2515" s="343">
        <f>SUMIFS($AU$2420:AU2668,$P$2420:P2668,"R")</f>
        <v>911.99999999999966</v>
      </c>
      <c r="BM2515" s="343">
        <f>SUMIFS($AU$2420:AU2668,$AQ$2420:AQ2668,"M")</f>
        <v>-899.79999999984489</v>
      </c>
      <c r="BN2515" s="343">
        <f>SUMIFS($AU$2420:AU2668,$AQ$2420:AQ2668,"H")</f>
        <v>1762.9999999999427</v>
      </c>
      <c r="BO2515" s="343">
        <f>SUMIFS($AU$2420:AU2668,$AQ$2420:AQ2668,"D")</f>
        <v>-767.99999999998977</v>
      </c>
      <c r="BP2515" s="343">
        <f>SUMIFS($AS$2420:AS2756,$AO$2420:AO2756,"W")</f>
        <v>0</v>
      </c>
      <c r="BQ2515" s="343">
        <f>SUMIFS($AU$2420:AU2668,$Q$2420:Q2668,"O")</f>
        <v>-884.7999999998965</v>
      </c>
      <c r="BR2515" s="343">
        <f>SUMIFS($AU$2420:AU2668,$AA$2420:AA2668,"*")</f>
        <v>-512.79999999998074</v>
      </c>
      <c r="BS2515" s="343">
        <f>SUMIFS($AU$2420:AU2668,$AB$2420:AB2668,"*")</f>
        <v>-451.99999999997726</v>
      </c>
      <c r="BT2515" s="343">
        <f>SUMIFS($AU$2420:AU2668,$AC$2420:AC2668,"*")</f>
        <v>-143.99999999999909</v>
      </c>
      <c r="BU2515" s="343">
        <f>SUMIFS($AU$2420:AU2668,$AA$2420:AA2668,"*",$AB$2420:AB2668,"*")</f>
        <v>95.999999999933891</v>
      </c>
      <c r="BV2515" s="343">
        <f>SUMIFS($AU$2420:AU2668,$AA$2420:AA2668,"*",$AC$2420:AC2668,"*")</f>
        <v>-591.99999999999977</v>
      </c>
      <c r="BW2515" s="343">
        <f>SUMIFS($AU$2420:AU2668,$AB$2420:AB2668,"*",$AC$2420:AC2668,"*")</f>
        <v>-143.99999999999966</v>
      </c>
      <c r="BX2515" s="343">
        <f>SUMIFS($AV$2420:AV2668,$Q$2420:Q2668,"F")</f>
        <v>18.153846153846242</v>
      </c>
      <c r="BY2515" s="343">
        <f>SUMIFS($AV$2420:AV2668,$Q$2420:Q2668,"S")</f>
        <v>64.044720496894826</v>
      </c>
      <c r="BZ2515" s="343">
        <f>SUMIFS($AV$2420:AV2668,$Q$2420:Q2668,"O")</f>
        <v>-458.13333333332537</v>
      </c>
    </row>
    <row r="2516" spans="1:78" ht="15.75" customHeight="1">
      <c r="A2516" s="663" t="s">
        <v>7734</v>
      </c>
      <c r="B2516" s="200"/>
      <c r="C2516" s="178"/>
      <c r="D2516" s="178"/>
      <c r="E2516" s="227"/>
      <c r="F2516" s="180"/>
      <c r="G2516" s="181"/>
      <c r="H2516" s="182"/>
      <c r="I2516" s="182"/>
      <c r="J2516" s="182"/>
      <c r="K2516" s="183"/>
      <c r="L2516" s="182"/>
      <c r="M2516" s="182"/>
      <c r="N2516" s="182"/>
      <c r="O2516" s="183"/>
      <c r="P2516" s="183"/>
      <c r="Q2516" s="183"/>
      <c r="R2516" s="183"/>
      <c r="S2516" s="183"/>
      <c r="T2516" s="183"/>
      <c r="U2516" s="183"/>
      <c r="V2516" s="183"/>
      <c r="W2516" s="183"/>
      <c r="X2516" s="183"/>
      <c r="Y2516" s="184"/>
      <c r="Z2516" s="185"/>
      <c r="AA2516" s="185"/>
      <c r="AB2516" s="185"/>
      <c r="AC2516" s="185"/>
      <c r="AD2516" s="649"/>
      <c r="AE2516" s="182"/>
      <c r="AF2516" s="332"/>
      <c r="AG2516" s="182"/>
      <c r="AH2516" s="182"/>
      <c r="AI2516" s="182"/>
      <c r="AJ2516" s="640"/>
      <c r="AK2516" s="182"/>
      <c r="AL2516" s="496">
        <f t="shared" si="873"/>
        <v>0</v>
      </c>
      <c r="AM2516" s="496">
        <f t="shared" si="865"/>
        <v>0</v>
      </c>
      <c r="AN2516" s="626"/>
      <c r="AO2516" s="182"/>
      <c r="AP2516" s="182"/>
      <c r="AQ2516" s="332" t="str">
        <f>UPPER(RIGHT(Journal_Live[[#This Row],[DURATION ]]))</f>
        <v/>
      </c>
      <c r="AR2516" s="182"/>
      <c r="AS2516" s="189"/>
      <c r="AT2516" s="189">
        <f t="shared" si="866"/>
        <v>0</v>
      </c>
      <c r="AU2516" s="187">
        <f t="shared" si="867"/>
        <v>0</v>
      </c>
      <c r="AV2516" s="190">
        <f t="shared" si="870"/>
        <v>0</v>
      </c>
      <c r="AW2516" s="191"/>
      <c r="AX2516" s="551"/>
      <c r="AY2516" s="551" t="s">
        <v>7804</v>
      </c>
      <c r="AZ2516" s="515" t="s">
        <v>7805</v>
      </c>
      <c r="BA2516" s="551"/>
      <c r="BB2516" s="551"/>
      <c r="BC2516" s="551"/>
      <c r="BD2516" s="551"/>
      <c r="BE2516" s="550"/>
      <c r="BF2516" s="549"/>
      <c r="BG2516" s="391">
        <f>SUM($AV$2420:AV2516)</f>
        <v>-251.41904761906468</v>
      </c>
      <c r="BH2516" s="392">
        <f>SUM($AU$2420:AU2516)</f>
        <v>-739.00000000002228</v>
      </c>
      <c r="BI2516" s="318">
        <f>SUMIFS($AU$2420:AU2669,$Q$2420:Q2669,"F")</f>
        <v>-143.99999999999949</v>
      </c>
      <c r="BJ2516" s="318">
        <f>SUMIFS($AU$2420:AU2669,$Q$2420:Q2669,"S")</f>
        <v>256.00000000000466</v>
      </c>
      <c r="BK2516" s="343">
        <f>SUMIFS($AU$2420:AU2669,$P$2420:P2669,"W")</f>
        <v>-607.99999999991883</v>
      </c>
      <c r="BL2516" s="343">
        <f>SUMIFS($AU$2420:AU2669,$P$2420:P2669,"R")</f>
        <v>911.99999999999966</v>
      </c>
      <c r="BM2516" s="343">
        <f>SUMIFS($AU$2420:AU2669,$AQ$2420:AQ2669,"M")</f>
        <v>-899.79999999984489</v>
      </c>
      <c r="BN2516" s="343">
        <f>SUMIFS($AU$2420:AU2669,$AQ$2420:AQ2669,"H")</f>
        <v>1762.9999999999427</v>
      </c>
      <c r="BO2516" s="343">
        <f>SUMIFS($AU$2420:AU2669,$AQ$2420:AQ2669,"D")</f>
        <v>-767.99999999998977</v>
      </c>
      <c r="BP2516" s="343">
        <f>SUMIFS($AS$2420:AS2757,$AO$2420:AO2757,"W")</f>
        <v>0</v>
      </c>
      <c r="BQ2516" s="343">
        <f>SUMIFS($AU$2420:AU2669,$Q$2420:Q2669,"O")</f>
        <v>-884.7999999998965</v>
      </c>
      <c r="BR2516" s="343">
        <f>SUMIFS($AU$2420:AU2669,$AA$2420:AA2669,"*")</f>
        <v>-512.79999999998074</v>
      </c>
      <c r="BS2516" s="343">
        <f>SUMIFS($AU$2420:AU2669,$AB$2420:AB2669,"*")</f>
        <v>-451.99999999997726</v>
      </c>
      <c r="BT2516" s="343">
        <f>SUMIFS($AU$2420:AU2669,$AC$2420:AC2669,"*")</f>
        <v>-143.99999999999909</v>
      </c>
      <c r="BU2516" s="343">
        <f>SUMIFS($AU$2420:AU2669,$AA$2420:AA2669,"*",$AB$2420:AB2669,"*")</f>
        <v>95.999999999933891</v>
      </c>
      <c r="BV2516" s="343">
        <f>SUMIFS($AU$2420:AU2669,$AA$2420:AA2669,"*",$AC$2420:AC2669,"*")</f>
        <v>-591.99999999999977</v>
      </c>
      <c r="BW2516" s="343">
        <f>SUMIFS($AU$2420:AU2669,$AB$2420:AB2669,"*",$AC$2420:AC2669,"*")</f>
        <v>-143.99999999999966</v>
      </c>
      <c r="BX2516" s="343">
        <f>SUMIFS($AV$2420:AV2669,$Q$2420:Q2669,"F")</f>
        <v>18.153846153846242</v>
      </c>
      <c r="BY2516" s="343">
        <f>SUMIFS($AV$2420:AV2669,$Q$2420:Q2669,"S")</f>
        <v>64.044720496894826</v>
      </c>
      <c r="BZ2516" s="343">
        <f>SUMIFS($AV$2420:AV2669,$Q$2420:Q2669,"O")</f>
        <v>-458.13333333332537</v>
      </c>
    </row>
    <row r="2517" spans="1:78" ht="15.75" customHeight="1">
      <c r="A2517" s="663" t="s">
        <v>7734</v>
      </c>
      <c r="B2517" s="200"/>
      <c r="C2517" s="178"/>
      <c r="D2517" s="178"/>
      <c r="E2517" s="227"/>
      <c r="F2517" s="180"/>
      <c r="G2517" s="181"/>
      <c r="H2517" s="182"/>
      <c r="I2517" s="182"/>
      <c r="J2517" s="182"/>
      <c r="K2517" s="183"/>
      <c r="L2517" s="182"/>
      <c r="M2517" s="182"/>
      <c r="N2517" s="182"/>
      <c r="O2517" s="183"/>
      <c r="P2517" s="183"/>
      <c r="Q2517" s="183"/>
      <c r="R2517" s="183"/>
      <c r="S2517" s="183"/>
      <c r="T2517" s="183"/>
      <c r="U2517" s="183"/>
      <c r="V2517" s="183"/>
      <c r="W2517" s="183"/>
      <c r="X2517" s="183"/>
      <c r="Y2517" s="184"/>
      <c r="Z2517" s="185"/>
      <c r="AA2517" s="185"/>
      <c r="AB2517" s="185"/>
      <c r="AC2517" s="185"/>
      <c r="AD2517" s="649"/>
      <c r="AE2517" s="182"/>
      <c r="AF2517" s="332"/>
      <c r="AG2517" s="182"/>
      <c r="AH2517" s="182"/>
      <c r="AI2517" s="182"/>
      <c r="AJ2517" s="640"/>
      <c r="AK2517" s="182"/>
      <c r="AL2517" s="496">
        <f t="shared" si="873"/>
        <v>0</v>
      </c>
      <c r="AM2517" s="496">
        <f t="shared" si="865"/>
        <v>0</v>
      </c>
      <c r="AN2517" s="626"/>
      <c r="AO2517" s="182"/>
      <c r="AP2517" s="182"/>
      <c r="AQ2517" s="332" t="str">
        <f>UPPER(RIGHT(Journal_Live[[#This Row],[DURATION ]]))</f>
        <v/>
      </c>
      <c r="AR2517" s="182"/>
      <c r="AS2517" s="189"/>
      <c r="AT2517" s="189">
        <f t="shared" si="866"/>
        <v>0</v>
      </c>
      <c r="AU2517" s="187">
        <f t="shared" si="867"/>
        <v>0</v>
      </c>
      <c r="AV2517" s="190">
        <f t="shared" si="870"/>
        <v>0</v>
      </c>
      <c r="AW2517" s="191"/>
      <c r="AX2517" s="551"/>
      <c r="AY2517" s="637" t="s">
        <v>7806</v>
      </c>
      <c r="AZ2517" s="637" t="s">
        <v>7807</v>
      </c>
      <c r="BA2517" s="637" t="s">
        <v>7808</v>
      </c>
      <c r="BB2517" s="637" t="s">
        <v>7809</v>
      </c>
      <c r="BC2517" s="637" t="s">
        <v>7810</v>
      </c>
      <c r="BD2517" s="637" t="s">
        <v>7811</v>
      </c>
      <c r="BE2517" s="550"/>
      <c r="BF2517" s="549"/>
      <c r="BG2517" s="391">
        <f>SUM($AV$2420:AV2517)</f>
        <v>-251.41904761906468</v>
      </c>
      <c r="BH2517" s="392">
        <f>SUM($AU$2420:AU2517)</f>
        <v>-739.00000000002228</v>
      </c>
      <c r="BI2517" s="318">
        <f>SUMIFS($AU$2420:AU2670,$Q$2420:Q2670,"F")</f>
        <v>-143.99999999999949</v>
      </c>
      <c r="BJ2517" s="318">
        <f>SUMIFS($AU$2420:AU2670,$Q$2420:Q2670,"S")</f>
        <v>256.00000000000466</v>
      </c>
      <c r="BK2517" s="343">
        <f>SUMIFS($AU$2420:AU2670,$P$2420:P2670,"W")</f>
        <v>-607.99999999991883</v>
      </c>
      <c r="BL2517" s="343">
        <f>SUMIFS($AU$2420:AU2670,$P$2420:P2670,"R")</f>
        <v>911.99999999999966</v>
      </c>
      <c r="BM2517" s="343">
        <f>SUMIFS($AU$2420:AU2670,$AQ$2420:AQ2670,"M")</f>
        <v>-899.79999999984489</v>
      </c>
      <c r="BN2517" s="343">
        <f>SUMIFS($AU$2420:AU2670,$AQ$2420:AQ2670,"H")</f>
        <v>1762.9999999999427</v>
      </c>
      <c r="BO2517" s="343">
        <f>SUMIFS($AU$2420:AU2670,$AQ$2420:AQ2670,"D")</f>
        <v>-767.99999999998977</v>
      </c>
      <c r="BP2517" s="343">
        <f>SUMIFS($AS$2420:AS2758,$AO$2420:AO2758,"W")</f>
        <v>0</v>
      </c>
      <c r="BQ2517" s="343">
        <f>SUMIFS($AU$2420:AU2670,$Q$2420:Q2670,"O")</f>
        <v>-884.7999999998965</v>
      </c>
      <c r="BR2517" s="343">
        <f>SUMIFS($AU$2420:AU2670,$AA$2420:AA2670,"*")</f>
        <v>-512.79999999998074</v>
      </c>
      <c r="BS2517" s="343">
        <f>SUMIFS($AU$2420:AU2670,$AB$2420:AB2670,"*")</f>
        <v>-451.99999999997726</v>
      </c>
      <c r="BT2517" s="343">
        <f>SUMIFS($AU$2420:AU2670,$AC$2420:AC2670,"*")</f>
        <v>-143.99999999999909</v>
      </c>
      <c r="BU2517" s="343">
        <f>SUMIFS($AU$2420:AU2670,$AA$2420:AA2670,"*",$AB$2420:AB2670,"*")</f>
        <v>95.999999999933891</v>
      </c>
      <c r="BV2517" s="343">
        <f>SUMIFS($AU$2420:AU2670,$AA$2420:AA2670,"*",$AC$2420:AC2670,"*")</f>
        <v>-591.99999999999977</v>
      </c>
      <c r="BW2517" s="343">
        <f>SUMIFS($AU$2420:AU2670,$AB$2420:AB2670,"*",$AC$2420:AC2670,"*")</f>
        <v>-143.99999999999966</v>
      </c>
      <c r="BX2517" s="343">
        <f>SUMIFS($AV$2420:AV2670,$Q$2420:Q2670,"F")</f>
        <v>18.153846153846242</v>
      </c>
      <c r="BY2517" s="343">
        <f>SUMIFS($AV$2420:AV2670,$Q$2420:Q2670,"S")</f>
        <v>64.044720496894826</v>
      </c>
      <c r="BZ2517" s="343">
        <f>SUMIFS($AV$2420:AV2670,$Q$2420:Q2670,"O")</f>
        <v>-458.13333333332537</v>
      </c>
    </row>
    <row r="2518" spans="1:78" ht="15.75" customHeight="1">
      <c r="A2518" s="665" t="s">
        <v>7812</v>
      </c>
      <c r="B2518" s="273"/>
      <c r="C2518" s="214"/>
      <c r="D2518" s="214"/>
      <c r="E2518" s="215"/>
      <c r="F2518" s="216"/>
      <c r="G2518" s="214"/>
      <c r="H2518" s="214"/>
      <c r="I2518" s="214"/>
      <c r="J2518" s="214"/>
      <c r="K2518" s="217"/>
      <c r="L2518" s="214"/>
      <c r="M2518" s="214"/>
      <c r="N2518" s="214"/>
      <c r="O2518" s="214"/>
      <c r="P2518" s="217"/>
      <c r="Q2518" s="217"/>
      <c r="R2518" s="217"/>
      <c r="S2518" s="217"/>
      <c r="T2518" s="217"/>
      <c r="U2518" s="217"/>
      <c r="V2518" s="217"/>
      <c r="W2518" s="217"/>
      <c r="X2518" s="217"/>
      <c r="Y2518" s="218"/>
      <c r="Z2518" s="218"/>
      <c r="AA2518" s="218"/>
      <c r="AB2518" s="218"/>
      <c r="AC2518" s="218"/>
      <c r="AD2518" s="651"/>
      <c r="AE2518" s="214"/>
      <c r="AF2518" s="214"/>
      <c r="AG2518" s="214"/>
      <c r="AH2518" s="214"/>
      <c r="AI2518" s="214"/>
      <c r="AJ2518" s="645"/>
      <c r="AK2518" s="214"/>
      <c r="AL2518" s="214"/>
      <c r="AM2518" s="214"/>
      <c r="AN2518" s="628"/>
      <c r="AO2518" s="214"/>
      <c r="AP2518" s="214"/>
      <c r="AQ2518" s="334" t="str">
        <f>UPPER(RIGHT(Journal_Live[[#This Row],[DURATION ]]))</f>
        <v/>
      </c>
      <c r="AR2518" s="214"/>
      <c r="AS2518" s="214"/>
      <c r="AT2518" s="214"/>
      <c r="AU2518" s="214"/>
      <c r="AV2518" s="214"/>
      <c r="AW2518" s="214"/>
      <c r="AX2518" s="417"/>
      <c r="AY2518" s="414"/>
      <c r="AZ2518" s="414"/>
      <c r="BA2518" s="414"/>
      <c r="BB2518" s="414"/>
      <c r="BC2518" s="414"/>
      <c r="BD2518" s="414"/>
      <c r="BE2518" s="414"/>
      <c r="BF2518" s="414"/>
      <c r="BG2518" s="391">
        <f>SUM($AV$2420:AV2518)</f>
        <v>-251.41904761906468</v>
      </c>
      <c r="BH2518" s="392">
        <f>SUM($AU$2420:AU2518)</f>
        <v>-739.00000000002228</v>
      </c>
      <c r="BI2518" s="318">
        <f>SUMIFS($AU$2420:AU2671,$Q$2420:Q2671,"F")</f>
        <v>-143.99999999999949</v>
      </c>
      <c r="BJ2518" s="318">
        <f>SUMIFS($AU$2420:AU2671,$Q$2420:Q2671,"S")</f>
        <v>256.00000000000466</v>
      </c>
      <c r="BK2518" s="343">
        <f>SUMIFS($AU$2420:AU2671,$P$2420:P2671,"W")</f>
        <v>-607.99999999991883</v>
      </c>
      <c r="BL2518" s="343">
        <f>SUMIFS($AU$2420:AU2671,$P$2420:P2671,"R")</f>
        <v>911.99999999999966</v>
      </c>
      <c r="BM2518" s="343">
        <f>SUMIFS($AU$2420:AU2671,$AQ$2420:AQ2671,"M")</f>
        <v>-899.79999999984489</v>
      </c>
      <c r="BN2518" s="343">
        <f>SUMIFS($AU$2420:AU2671,$AQ$2420:AQ2671,"H")</f>
        <v>1762.9999999999427</v>
      </c>
      <c r="BO2518" s="343">
        <f>SUMIFS($AU$2420:AU2671,$AQ$2420:AQ2671,"D")</f>
        <v>-767.99999999998977</v>
      </c>
      <c r="BP2518" s="343">
        <f>SUMIFS($AS$2420:AS2759,$AO$2420:AO2759,"W")</f>
        <v>0</v>
      </c>
      <c r="BQ2518" s="343">
        <f>SUMIFS($AU$2420:AU2671,$Q$2420:Q2671,"O")</f>
        <v>-884.7999999998965</v>
      </c>
      <c r="BR2518" s="343">
        <f>SUMIFS($AU$2420:AU2671,$AA$2420:AA2671,"*")</f>
        <v>-512.79999999998074</v>
      </c>
      <c r="BS2518" s="343">
        <f>SUMIFS($AU$2420:AU2671,$AB$2420:AB2671,"*")</f>
        <v>-451.99999999997726</v>
      </c>
      <c r="BT2518" s="343">
        <f>SUMIFS($AU$2420:AU2671,$AC$2420:AC2671,"*")</f>
        <v>-143.99999999999909</v>
      </c>
      <c r="BU2518" s="343">
        <f>SUMIFS($AU$2420:AU2671,$AA$2420:AA2671,"*",$AB$2420:AB2671,"*")</f>
        <v>95.999999999933891</v>
      </c>
      <c r="BV2518" s="343">
        <f>SUMIFS($AU$2420:AU2671,$AA$2420:AA2671,"*",$AC$2420:AC2671,"*")</f>
        <v>-591.99999999999977</v>
      </c>
      <c r="BW2518" s="343">
        <f>SUMIFS($AU$2420:AU2671,$AB$2420:AB2671,"*",$AC$2420:AC2671,"*")</f>
        <v>-143.99999999999966</v>
      </c>
      <c r="BX2518" s="343">
        <f>SUMIFS($AV$2420:AV2671,$Q$2420:Q2671,"F")</f>
        <v>18.153846153846242</v>
      </c>
      <c r="BY2518" s="343">
        <f>SUMIFS($AV$2420:AV2671,$Q$2420:Q2671,"S")</f>
        <v>64.044720496894826</v>
      </c>
      <c r="BZ2518" s="343">
        <f>SUMIFS($AV$2420:AV2671,$Q$2420:Q2671,"O")</f>
        <v>-458.13333333332537</v>
      </c>
    </row>
    <row r="2519" spans="1:78" ht="15.75" customHeight="1">
      <c r="A2519" s="663" t="s">
        <v>7813</v>
      </c>
      <c r="B2519" s="200">
        <v>45566</v>
      </c>
      <c r="C2519" s="178" t="s">
        <v>7303</v>
      </c>
      <c r="D2519" s="178" t="s">
        <v>146</v>
      </c>
      <c r="E2519" s="227"/>
      <c r="F2519" s="180"/>
      <c r="G2519" s="481" t="s">
        <v>7814</v>
      </c>
      <c r="H2519" s="182"/>
      <c r="I2519" s="182"/>
      <c r="J2519" s="182"/>
      <c r="K2519" s="183"/>
      <c r="L2519" s="182"/>
      <c r="M2519" s="182"/>
      <c r="N2519" s="182"/>
      <c r="O2519" s="183" t="s">
        <v>95</v>
      </c>
      <c r="P2519" s="183" t="s">
        <v>96</v>
      </c>
      <c r="Q2519" s="183" t="s">
        <v>684</v>
      </c>
      <c r="R2519" s="183">
        <v>5</v>
      </c>
      <c r="S2519" s="183">
        <v>0</v>
      </c>
      <c r="T2519" s="183">
        <v>5</v>
      </c>
      <c r="U2519" s="183" t="s">
        <v>22</v>
      </c>
      <c r="V2519" s="183" t="s">
        <v>7349</v>
      </c>
      <c r="W2519" s="183" t="s">
        <v>115</v>
      </c>
      <c r="X2519" s="183"/>
      <c r="Y2519" s="184">
        <f t="shared" ref="Y2519:Y2527" si="874">IF(ISBLANK(O2519),"",(IF(O2519=UPPER("IB"),0.005,0.01)))</f>
        <v>0.01</v>
      </c>
      <c r="Z2519" s="185">
        <f t="shared" ref="Z2519:Z2527" si="875">IF(ISBLANK(O2519),"",IF(O2519="IB",8.63*200,IF(O2519="IR",16*100,IF(O2519="YT",20*100,IF(O2519="YT-XT",24*200,IF(O2519="TED",80*100,IF(O2519="XT",29*200)))))))</f>
        <v>1600</v>
      </c>
      <c r="AA2519" s="185" t="s">
        <v>6373</v>
      </c>
      <c r="AB2519" s="185" t="s">
        <v>7815</v>
      </c>
      <c r="AC2519" s="185"/>
      <c r="AD2519" s="649">
        <v>95.76</v>
      </c>
      <c r="AE2519" s="182"/>
      <c r="AF2519" s="332"/>
      <c r="AG2519" s="182"/>
      <c r="AH2519" s="182"/>
      <c r="AI2519" s="182"/>
      <c r="AJ2519" s="640"/>
      <c r="AK2519" s="182"/>
      <c r="AL2519" s="496">
        <f t="shared" ref="AL2519:AL2602" si="876">-0.02*Z2519</f>
        <v>-32</v>
      </c>
      <c r="AM2519" s="496">
        <f t="shared" ref="AM2519:AM2602" si="877">AL2519*(R2519-S2519)</f>
        <v>-160</v>
      </c>
      <c r="AN2519" s="626"/>
      <c r="AO2519" s="182"/>
      <c r="AP2519" s="182"/>
      <c r="AQ2519" s="332" t="s">
        <v>372</v>
      </c>
      <c r="AR2519" s="182" t="s">
        <v>7816</v>
      </c>
      <c r="AS2519" s="189">
        <v>95.77</v>
      </c>
      <c r="AT2519" s="189">
        <f t="shared" ref="AT2519:AT2602" si="878">IF(ISBLANK(AS2519),,IF(U2519="S",AD2519-AS2519,AS2519-AD2519))</f>
        <v>9.9999999999909051E-3</v>
      </c>
      <c r="AU2519" s="187">
        <f t="shared" ref="AU2519:AU2602" si="879">AV2519*R2519</f>
        <v>79.99999999992724</v>
      </c>
      <c r="AV2519" s="190">
        <f t="shared" ref="AV2519:AV2602" si="880">IF(ISBLANK(AS2519),,(AT2519*Z2519))</f>
        <v>15.999999999985448</v>
      </c>
      <c r="AW2519" s="191" t="s">
        <v>96</v>
      </c>
      <c r="AX2519" s="551" t="s">
        <v>7817</v>
      </c>
      <c r="AY2519" s="551"/>
      <c r="AZ2519" s="551"/>
      <c r="BA2519" s="551"/>
      <c r="BB2519" s="551"/>
      <c r="BC2519" s="551"/>
      <c r="BD2519" s="549"/>
      <c r="BE2519" s="550"/>
      <c r="BF2519" s="549"/>
      <c r="BG2519" s="391">
        <f>SUM($AV$2420:AV2519)</f>
        <v>-235.41904761907924</v>
      </c>
      <c r="BH2519" s="392">
        <f>SUM($AU$2420:AU2519)</f>
        <v>-659.00000000009504</v>
      </c>
      <c r="BI2519" s="318">
        <f>SUMIFS($AU$2420:AU2672,$Q$2420:Q2672,"F")</f>
        <v>-143.99999999999949</v>
      </c>
      <c r="BJ2519" s="318">
        <f>SUMIFS($AU$2420:AU2672,$Q$2420:Q2672,"S")</f>
        <v>256.00000000000466</v>
      </c>
      <c r="BK2519" s="343">
        <f>SUMIFS($AU$2420:AU2672,$P$2420:P2672,"W")</f>
        <v>-607.99999999991883</v>
      </c>
      <c r="BL2519" s="343">
        <f>SUMIFS($AU$2420:AU2672,$P$2420:P2672,"R")</f>
        <v>911.99999999999966</v>
      </c>
      <c r="BM2519" s="343">
        <f>SUMIFS($AU$2420:AU2672,$AQ$2420:AQ2672,"M")</f>
        <v>-899.79999999984489</v>
      </c>
      <c r="BN2519" s="343">
        <f>SUMIFS($AU$2420:AU2672,$AQ$2420:AQ2672,"H")</f>
        <v>1762.9999999999427</v>
      </c>
      <c r="BO2519" s="343">
        <f>SUMIFS($AU$2420:AU2672,$AQ$2420:AQ2672,"D")</f>
        <v>-767.99999999998977</v>
      </c>
      <c r="BP2519" s="343">
        <f>SUMIFS($AS$2420:AS2760,$AO$2420:AO2760,"W")</f>
        <v>0</v>
      </c>
      <c r="BQ2519" s="343">
        <f>SUMIFS($AU$2420:AU2672,$Q$2420:Q2672,"O")</f>
        <v>-884.7999999998965</v>
      </c>
      <c r="BR2519" s="343">
        <f>SUMIFS($AU$2420:AU2672,$AA$2420:AA2672,"*")</f>
        <v>-512.79999999998074</v>
      </c>
      <c r="BS2519" s="343">
        <f>SUMIFS($AU$2420:AU2672,$AB$2420:AB2672,"*")</f>
        <v>-451.99999999997726</v>
      </c>
      <c r="BT2519" s="343">
        <f>SUMIFS($AU$2420:AU2672,$AC$2420:AC2672,"*")</f>
        <v>-143.99999999999909</v>
      </c>
      <c r="BU2519" s="343">
        <f>SUMIFS($AU$2420:AU2672,$AA$2420:AA2672,"*",$AB$2420:AB2672,"*")</f>
        <v>95.999999999933891</v>
      </c>
      <c r="BV2519" s="343">
        <f>SUMIFS($AU$2420:AU2672,$AA$2420:AA2672,"*",$AC$2420:AC2672,"*")</f>
        <v>-591.99999999999977</v>
      </c>
      <c r="BW2519" s="343">
        <f>SUMIFS($AU$2420:AU2672,$AB$2420:AB2672,"*",$AC$2420:AC2672,"*")</f>
        <v>-143.99999999999966</v>
      </c>
      <c r="BX2519" s="343">
        <f>SUMIFS($AV$2420:AV2672,$Q$2420:Q2672,"F")</f>
        <v>18.153846153846242</v>
      </c>
      <c r="BY2519" s="343">
        <f>SUMIFS($AV$2420:AV2672,$Q$2420:Q2672,"S")</f>
        <v>64.044720496894826</v>
      </c>
      <c r="BZ2519" s="343">
        <f>SUMIFS($AV$2420:AV2672,$Q$2420:Q2672,"O")</f>
        <v>-458.13333333332537</v>
      </c>
    </row>
    <row r="2520" spans="1:78" ht="15.75" customHeight="1">
      <c r="A2520" s="663" t="s">
        <v>7813</v>
      </c>
      <c r="B2520" s="200"/>
      <c r="C2520" s="178"/>
      <c r="D2520" s="178"/>
      <c r="E2520" s="227"/>
      <c r="F2520" s="180"/>
      <c r="G2520" s="181"/>
      <c r="H2520" s="182"/>
      <c r="I2520" s="182"/>
      <c r="J2520" s="182"/>
      <c r="K2520" s="183"/>
      <c r="L2520" s="182"/>
      <c r="M2520" s="182"/>
      <c r="N2520" s="182"/>
      <c r="O2520" s="183"/>
      <c r="P2520" s="183"/>
      <c r="Q2520" s="183"/>
      <c r="R2520" s="183"/>
      <c r="S2520" s="183"/>
      <c r="T2520" s="183"/>
      <c r="U2520" s="183"/>
      <c r="V2520" s="183"/>
      <c r="W2520" s="183"/>
      <c r="X2520" s="183"/>
      <c r="Y2520" s="183"/>
      <c r="Z2520" s="183"/>
      <c r="AA2520" s="185"/>
      <c r="AB2520" s="185"/>
      <c r="AC2520" s="185"/>
      <c r="AD2520" s="649"/>
      <c r="AE2520" s="182"/>
      <c r="AF2520" s="332"/>
      <c r="AG2520" s="182"/>
      <c r="AH2520" s="182"/>
      <c r="AI2520" s="182"/>
      <c r="AJ2520" s="640"/>
      <c r="AK2520" s="182"/>
      <c r="AL2520" s="496">
        <f t="shared" si="876"/>
        <v>0</v>
      </c>
      <c r="AM2520" s="496">
        <f t="shared" si="877"/>
        <v>0</v>
      </c>
      <c r="AN2520" s="626"/>
      <c r="AO2520" s="182"/>
      <c r="AP2520" s="182"/>
      <c r="AQ2520" s="332" t="str">
        <f>UPPER(RIGHT(Journal_Live[[#This Row],[DURATION ]]))</f>
        <v/>
      </c>
      <c r="AR2520" s="182"/>
      <c r="AS2520" s="189"/>
      <c r="AT2520" s="189">
        <f t="shared" si="878"/>
        <v>0</v>
      </c>
      <c r="AU2520" s="187">
        <f t="shared" si="879"/>
        <v>0</v>
      </c>
      <c r="AV2520" s="190">
        <f t="shared" si="880"/>
        <v>0</v>
      </c>
      <c r="AW2520" s="191"/>
      <c r="AX2520" s="551" t="s">
        <v>7818</v>
      </c>
      <c r="AY2520" s="551" t="s">
        <v>7819</v>
      </c>
      <c r="AZ2520" s="551" t="s">
        <v>7820</v>
      </c>
      <c r="BA2520" s="551"/>
      <c r="BB2520" s="551"/>
      <c r="BC2520" s="551"/>
      <c r="BD2520" s="549"/>
      <c r="BE2520" s="550"/>
      <c r="BF2520" s="549"/>
      <c r="BG2520" s="391">
        <f>SUM($AV$2420:AV2520)</f>
        <v>-235.41904761907924</v>
      </c>
      <c r="BH2520" s="392">
        <f>SUM($AU$2420:AU2520)</f>
        <v>-659.00000000009504</v>
      </c>
      <c r="BI2520" s="318">
        <f>SUMIFS($AU$2420:AU2673,$Q$2420:Q2673,"F")</f>
        <v>-143.99999999999949</v>
      </c>
      <c r="BJ2520" s="318">
        <f>SUMIFS($AU$2420:AU2673,$Q$2420:Q2673,"S")</f>
        <v>256.00000000000466</v>
      </c>
      <c r="BK2520" s="343">
        <f>SUMIFS($AU$2420:AU2673,$P$2420:P2673,"W")</f>
        <v>-607.99999999991883</v>
      </c>
      <c r="BL2520" s="343">
        <f>SUMIFS($AU$2420:AU2673,$P$2420:P2673,"R")</f>
        <v>911.99999999999966</v>
      </c>
      <c r="BM2520" s="343">
        <f>SUMIFS($AU$2420:AU2673,$AQ$2420:AQ2673,"M")</f>
        <v>-899.79999999984489</v>
      </c>
      <c r="BN2520" s="343">
        <f>SUMIFS($AU$2420:AU2673,$AQ$2420:AQ2673,"H")</f>
        <v>1762.9999999999427</v>
      </c>
      <c r="BO2520" s="343">
        <f>SUMIFS($AU$2420:AU2673,$AQ$2420:AQ2673,"D")</f>
        <v>-767.99999999998977</v>
      </c>
      <c r="BP2520" s="343">
        <f>SUMIFS($AS$2420:AS2761,$AO$2420:AO2761,"W")</f>
        <v>0</v>
      </c>
      <c r="BQ2520" s="343">
        <f>SUMIFS($AU$2420:AU2673,$Q$2420:Q2673,"O")</f>
        <v>-884.7999999998965</v>
      </c>
      <c r="BR2520" s="343">
        <f>SUMIFS($AU$2420:AU2673,$AA$2420:AA2673,"*")</f>
        <v>-512.79999999998074</v>
      </c>
      <c r="BS2520" s="343">
        <f>SUMIFS($AU$2420:AU2673,$AB$2420:AB2673,"*")</f>
        <v>-451.99999999997726</v>
      </c>
      <c r="BT2520" s="343">
        <f>SUMIFS($AU$2420:AU2673,$AC$2420:AC2673,"*")</f>
        <v>-143.99999999999909</v>
      </c>
      <c r="BU2520" s="343">
        <f>SUMIFS($AU$2420:AU2673,$AA$2420:AA2673,"*",$AB$2420:AB2673,"*")</f>
        <v>95.999999999933891</v>
      </c>
      <c r="BV2520" s="343">
        <f>SUMIFS($AU$2420:AU2673,$AA$2420:AA2673,"*",$AC$2420:AC2673,"*")</f>
        <v>-591.99999999999977</v>
      </c>
      <c r="BW2520" s="343">
        <f>SUMIFS($AU$2420:AU2673,$AB$2420:AB2673,"*",$AC$2420:AC2673,"*")</f>
        <v>-143.99999999999966</v>
      </c>
      <c r="BX2520" s="343">
        <f>SUMIFS($AV$2420:AV2673,$Q$2420:Q2673,"F")</f>
        <v>18.153846153846242</v>
      </c>
      <c r="BY2520" s="343">
        <f>SUMIFS($AV$2420:AV2673,$Q$2420:Q2673,"S")</f>
        <v>64.044720496894826</v>
      </c>
      <c r="BZ2520" s="343">
        <f>SUMIFS($AV$2420:AV2673,$Q$2420:Q2673,"O")</f>
        <v>-458.13333333332537</v>
      </c>
    </row>
    <row r="2521" spans="1:78" ht="15.75" customHeight="1">
      <c r="A2521" s="663" t="s">
        <v>7813</v>
      </c>
      <c r="B2521" s="200"/>
      <c r="C2521" s="178"/>
      <c r="D2521" s="178"/>
      <c r="E2521" s="227"/>
      <c r="F2521" s="180"/>
      <c r="G2521" s="181"/>
      <c r="H2521" s="182"/>
      <c r="I2521" s="182"/>
      <c r="J2521" s="182"/>
      <c r="K2521" s="183"/>
      <c r="L2521" s="182"/>
      <c r="M2521" s="182"/>
      <c r="N2521" s="182"/>
      <c r="O2521" s="183"/>
      <c r="P2521" s="183"/>
      <c r="Q2521" s="183"/>
      <c r="R2521" s="183"/>
      <c r="S2521" s="183"/>
      <c r="T2521" s="183"/>
      <c r="U2521" s="183"/>
      <c r="V2521" s="183"/>
      <c r="W2521" s="183"/>
      <c r="X2521" s="183"/>
      <c r="Y2521" s="183"/>
      <c r="Z2521" s="183"/>
      <c r="AA2521" s="185"/>
      <c r="AB2521" s="185"/>
      <c r="AC2521" s="185"/>
      <c r="AD2521" s="649"/>
      <c r="AE2521" s="182"/>
      <c r="AF2521" s="332"/>
      <c r="AG2521" s="182"/>
      <c r="AH2521" s="182"/>
      <c r="AI2521" s="182"/>
      <c r="AJ2521" s="640"/>
      <c r="AK2521" s="182"/>
      <c r="AL2521" s="496">
        <f t="shared" si="876"/>
        <v>0</v>
      </c>
      <c r="AM2521" s="496">
        <f t="shared" si="877"/>
        <v>0</v>
      </c>
      <c r="AN2521" s="626"/>
      <c r="AO2521" s="182"/>
      <c r="AP2521" s="182"/>
      <c r="AQ2521" s="332" t="str">
        <f>UPPER(RIGHT(Journal_Live[[#This Row],[DURATION ]]))</f>
        <v/>
      </c>
      <c r="AR2521" s="182"/>
      <c r="AS2521" s="189"/>
      <c r="AT2521" s="189">
        <f t="shared" si="878"/>
        <v>0</v>
      </c>
      <c r="AU2521" s="187">
        <f t="shared" si="879"/>
        <v>0</v>
      </c>
      <c r="AV2521" s="190">
        <f t="shared" si="880"/>
        <v>0</v>
      </c>
      <c r="AW2521" s="191"/>
      <c r="AX2521" s="551" t="s">
        <v>7821</v>
      </c>
      <c r="AY2521" s="551"/>
      <c r="AZ2521" s="551"/>
      <c r="BA2521" s="551"/>
      <c r="BB2521" s="551"/>
      <c r="BC2521" s="551"/>
      <c r="BD2521" s="549"/>
      <c r="BE2521" s="550"/>
      <c r="BF2521" s="549"/>
      <c r="BG2521" s="391">
        <f>SUM($AV$2420:AV2521)</f>
        <v>-235.41904761907924</v>
      </c>
      <c r="BH2521" s="392">
        <f>SUM($AU$2420:AU2521)</f>
        <v>-659.00000000009504</v>
      </c>
      <c r="BI2521" s="318">
        <f>SUMIFS($AU$2420:AU2674,$Q$2420:Q2674,"F")</f>
        <v>-143.99999999999949</v>
      </c>
      <c r="BJ2521" s="318">
        <f>SUMIFS($AU$2420:AU2674,$Q$2420:Q2674,"S")</f>
        <v>256.00000000000466</v>
      </c>
      <c r="BK2521" s="343">
        <f>SUMIFS($AU$2420:AU2674,$P$2420:P2674,"W")</f>
        <v>-607.99999999991883</v>
      </c>
      <c r="BL2521" s="343">
        <f>SUMIFS($AU$2420:AU2674,$P$2420:P2674,"R")</f>
        <v>911.99999999999966</v>
      </c>
      <c r="BM2521" s="343">
        <f>SUMIFS($AU$2420:AU2674,$AQ$2420:AQ2674,"M")</f>
        <v>-899.79999999984489</v>
      </c>
      <c r="BN2521" s="343">
        <f>SUMIFS($AU$2420:AU2674,$AQ$2420:AQ2674,"H")</f>
        <v>1762.9999999999427</v>
      </c>
      <c r="BO2521" s="343">
        <f>SUMIFS($AU$2420:AU2674,$AQ$2420:AQ2674,"D")</f>
        <v>-767.99999999998977</v>
      </c>
      <c r="BP2521" s="343">
        <f>SUMIFS($AS$2420:AS2762,$AO$2420:AO2762,"W")</f>
        <v>0</v>
      </c>
      <c r="BQ2521" s="343">
        <f>SUMIFS($AU$2420:AU2674,$Q$2420:Q2674,"O")</f>
        <v>-884.7999999998965</v>
      </c>
      <c r="BR2521" s="343">
        <f>SUMIFS($AU$2420:AU2674,$AA$2420:AA2674,"*")</f>
        <v>-512.79999999998074</v>
      </c>
      <c r="BS2521" s="343">
        <f>SUMIFS($AU$2420:AU2674,$AB$2420:AB2674,"*")</f>
        <v>-451.99999999997726</v>
      </c>
      <c r="BT2521" s="343">
        <f>SUMIFS($AU$2420:AU2674,$AC$2420:AC2674,"*")</f>
        <v>-143.99999999999909</v>
      </c>
      <c r="BU2521" s="343">
        <f>SUMIFS($AU$2420:AU2674,$AA$2420:AA2674,"*",$AB$2420:AB2674,"*")</f>
        <v>95.999999999933891</v>
      </c>
      <c r="BV2521" s="343">
        <f>SUMIFS($AU$2420:AU2674,$AA$2420:AA2674,"*",$AC$2420:AC2674,"*")</f>
        <v>-591.99999999999977</v>
      </c>
      <c r="BW2521" s="343">
        <f>SUMIFS($AU$2420:AU2674,$AB$2420:AB2674,"*",$AC$2420:AC2674,"*")</f>
        <v>-143.99999999999966</v>
      </c>
      <c r="BX2521" s="343">
        <f>SUMIFS($AV$2420:AV2674,$Q$2420:Q2674,"F")</f>
        <v>18.153846153846242</v>
      </c>
      <c r="BY2521" s="343">
        <f>SUMIFS($AV$2420:AV2674,$Q$2420:Q2674,"S")</f>
        <v>64.044720496894826</v>
      </c>
      <c r="BZ2521" s="343">
        <f>SUMIFS($AV$2420:AV2674,$Q$2420:Q2674,"O")</f>
        <v>-458.13333333332537</v>
      </c>
    </row>
    <row r="2522" spans="1:78" ht="15.75" customHeight="1">
      <c r="A2522" s="663" t="s">
        <v>7813</v>
      </c>
      <c r="B2522" s="200">
        <v>45566</v>
      </c>
      <c r="C2522" s="178" t="s">
        <v>1187</v>
      </c>
      <c r="D2522" s="178" t="s">
        <v>146</v>
      </c>
      <c r="E2522" s="227" t="s">
        <v>7822</v>
      </c>
      <c r="F2522" s="180" t="s">
        <v>7823</v>
      </c>
      <c r="G2522" s="181"/>
      <c r="H2522" s="182">
        <v>1</v>
      </c>
      <c r="I2522" s="182"/>
      <c r="J2522" s="182"/>
      <c r="K2522" s="183" t="s">
        <v>372</v>
      </c>
      <c r="L2522" s="182"/>
      <c r="M2522" s="182"/>
      <c r="N2522" s="182"/>
      <c r="O2522" s="183"/>
      <c r="P2522" s="183"/>
      <c r="Q2522" s="183"/>
      <c r="R2522" s="183"/>
      <c r="S2522" s="183"/>
      <c r="T2522" s="183"/>
      <c r="U2522" s="183"/>
      <c r="V2522" s="183"/>
      <c r="W2522" s="183"/>
      <c r="X2522" s="183"/>
      <c r="Y2522" s="183"/>
      <c r="Z2522" s="183"/>
      <c r="AA2522" s="185"/>
      <c r="AB2522" s="185"/>
      <c r="AC2522" s="185"/>
      <c r="AD2522" s="649"/>
      <c r="AE2522" s="182"/>
      <c r="AF2522" s="332"/>
      <c r="AG2522" s="182"/>
      <c r="AH2522" s="182"/>
      <c r="AI2522" s="182"/>
      <c r="AJ2522" s="640"/>
      <c r="AK2522" s="182"/>
      <c r="AL2522" s="496">
        <f t="shared" si="876"/>
        <v>0</v>
      </c>
      <c r="AM2522" s="496">
        <f t="shared" si="877"/>
        <v>0</v>
      </c>
      <c r="AN2522" s="626"/>
      <c r="AO2522" s="182"/>
      <c r="AP2522" s="182"/>
      <c r="AQ2522" s="332" t="str">
        <f>UPPER(RIGHT(Journal_Live[[#This Row],[DURATION ]]))</f>
        <v/>
      </c>
      <c r="AR2522" s="182"/>
      <c r="AS2522" s="189"/>
      <c r="AT2522" s="189">
        <f t="shared" si="878"/>
        <v>0</v>
      </c>
      <c r="AU2522" s="187">
        <f t="shared" si="879"/>
        <v>0</v>
      </c>
      <c r="AV2522" s="190">
        <f t="shared" si="880"/>
        <v>0</v>
      </c>
      <c r="AW2522" s="191"/>
      <c r="AX2522" s="551"/>
      <c r="AY2522" s="551"/>
      <c r="AZ2522" s="551"/>
      <c r="BA2522" s="551"/>
      <c r="BB2522" s="551"/>
      <c r="BC2522" s="551"/>
      <c r="BD2522" s="549"/>
      <c r="BE2522" s="550"/>
      <c r="BF2522" s="549"/>
      <c r="BG2522" s="391">
        <f>SUM($AV$2420:AV2522)</f>
        <v>-235.41904761907924</v>
      </c>
      <c r="BH2522" s="392">
        <f>SUM($AU$2420:AU2522)</f>
        <v>-659.00000000009504</v>
      </c>
      <c r="BI2522" s="318">
        <f>SUMIFS($AU$2420:AU2675,$Q$2420:Q2675,"F")</f>
        <v>-143.99999999999949</v>
      </c>
      <c r="BJ2522" s="318">
        <f>SUMIFS($AU$2420:AU2675,$Q$2420:Q2675,"S")</f>
        <v>256.00000000000466</v>
      </c>
      <c r="BK2522" s="343">
        <f>SUMIFS($AU$2420:AU2675,$P$2420:P2675,"W")</f>
        <v>-607.99999999991883</v>
      </c>
      <c r="BL2522" s="343">
        <f>SUMIFS($AU$2420:AU2675,$P$2420:P2675,"R")</f>
        <v>911.99999999999966</v>
      </c>
      <c r="BM2522" s="343">
        <f>SUMIFS($AU$2420:AU2675,$AQ$2420:AQ2675,"M")</f>
        <v>-899.79999999984489</v>
      </c>
      <c r="BN2522" s="343">
        <f>SUMIFS($AU$2420:AU2675,$AQ$2420:AQ2675,"H")</f>
        <v>1762.9999999999427</v>
      </c>
      <c r="BO2522" s="343">
        <f>SUMIFS($AU$2420:AU2675,$AQ$2420:AQ2675,"D")</f>
        <v>-767.99999999998977</v>
      </c>
      <c r="BP2522" s="343">
        <f>SUMIFS($AS$2420:AS2763,$AO$2420:AO2763,"W")</f>
        <v>0</v>
      </c>
      <c r="BQ2522" s="343">
        <f>SUMIFS($AU$2420:AU2675,$Q$2420:Q2675,"O")</f>
        <v>-884.7999999998965</v>
      </c>
      <c r="BR2522" s="343">
        <f>SUMIFS($AU$2420:AU2675,$AA$2420:AA2675,"*")</f>
        <v>-512.79999999998074</v>
      </c>
      <c r="BS2522" s="343">
        <f>SUMIFS($AU$2420:AU2675,$AB$2420:AB2675,"*")</f>
        <v>-451.99999999997726</v>
      </c>
      <c r="BT2522" s="343">
        <f>SUMIFS($AU$2420:AU2675,$AC$2420:AC2675,"*")</f>
        <v>-143.99999999999909</v>
      </c>
      <c r="BU2522" s="343">
        <f>SUMIFS($AU$2420:AU2675,$AA$2420:AA2675,"*",$AB$2420:AB2675,"*")</f>
        <v>95.999999999933891</v>
      </c>
      <c r="BV2522" s="343">
        <f>SUMIFS($AU$2420:AU2675,$AA$2420:AA2675,"*",$AC$2420:AC2675,"*")</f>
        <v>-591.99999999999977</v>
      </c>
      <c r="BW2522" s="343">
        <f>SUMIFS($AU$2420:AU2675,$AB$2420:AB2675,"*",$AC$2420:AC2675,"*")</f>
        <v>-143.99999999999966</v>
      </c>
      <c r="BX2522" s="343">
        <f>SUMIFS($AV$2420:AV2675,$Q$2420:Q2675,"F")</f>
        <v>18.153846153846242</v>
      </c>
      <c r="BY2522" s="343">
        <f>SUMIFS($AV$2420:AV2675,$Q$2420:Q2675,"S")</f>
        <v>64.044720496894826</v>
      </c>
      <c r="BZ2522" s="343">
        <f>SUMIFS($AV$2420:AV2675,$Q$2420:Q2675,"O")</f>
        <v>-458.13333333332537</v>
      </c>
    </row>
    <row r="2523" spans="1:78" ht="15.75" customHeight="1">
      <c r="A2523" s="663" t="s">
        <v>7813</v>
      </c>
      <c r="B2523" s="200"/>
      <c r="C2523" s="178"/>
      <c r="D2523" s="178"/>
      <c r="E2523" s="227" t="s">
        <v>7824</v>
      </c>
      <c r="F2523" s="180"/>
      <c r="G2523" s="181"/>
      <c r="H2523" s="182"/>
      <c r="I2523" s="182"/>
      <c r="J2523" s="182">
        <v>1</v>
      </c>
      <c r="K2523" s="183" t="s">
        <v>115</v>
      </c>
      <c r="L2523" s="182"/>
      <c r="M2523" s="182"/>
      <c r="N2523" s="182"/>
      <c r="O2523" s="183"/>
      <c r="P2523" s="183"/>
      <c r="Q2523" s="183"/>
      <c r="R2523" s="183"/>
      <c r="S2523" s="183"/>
      <c r="T2523" s="183"/>
      <c r="U2523" s="183"/>
      <c r="V2523" s="183"/>
      <c r="W2523" s="183"/>
      <c r="X2523" s="183"/>
      <c r="Y2523" s="183"/>
      <c r="Z2523" s="183"/>
      <c r="AA2523" s="185"/>
      <c r="AB2523" s="185"/>
      <c r="AC2523" s="185"/>
      <c r="AD2523" s="649"/>
      <c r="AE2523" s="182"/>
      <c r="AF2523" s="332"/>
      <c r="AG2523" s="182"/>
      <c r="AH2523" s="182"/>
      <c r="AI2523" s="182"/>
      <c r="AJ2523" s="640"/>
      <c r="AK2523" s="182"/>
      <c r="AL2523" s="496">
        <f t="shared" si="876"/>
        <v>0</v>
      </c>
      <c r="AM2523" s="496">
        <f t="shared" si="877"/>
        <v>0</v>
      </c>
      <c r="AN2523" s="626"/>
      <c r="AO2523" s="182"/>
      <c r="AP2523" s="182"/>
      <c r="AQ2523" s="332" t="str">
        <f>UPPER(RIGHT(Journal_Live[[#This Row],[DURATION ]]))</f>
        <v/>
      </c>
      <c r="AR2523" s="182"/>
      <c r="AS2523" s="189"/>
      <c r="AT2523" s="189">
        <f t="shared" si="878"/>
        <v>0</v>
      </c>
      <c r="AU2523" s="187">
        <f t="shared" si="879"/>
        <v>0</v>
      </c>
      <c r="AV2523" s="190">
        <f t="shared" si="880"/>
        <v>0</v>
      </c>
      <c r="AW2523" s="191"/>
      <c r="AX2523" s="551"/>
      <c r="AY2523" s="551"/>
      <c r="AZ2523" s="551"/>
      <c r="BA2523" s="551"/>
      <c r="BB2523" s="551"/>
      <c r="BC2523" s="551"/>
      <c r="BD2523" s="549"/>
      <c r="BE2523" s="550"/>
      <c r="BF2523" s="549"/>
      <c r="BG2523" s="391">
        <f>SUM($AV$2420:AV2523)</f>
        <v>-235.41904761907924</v>
      </c>
      <c r="BH2523" s="392">
        <f>SUM($AU$2420:AU2523)</f>
        <v>-659.00000000009504</v>
      </c>
      <c r="BI2523" s="318">
        <f>SUMIFS($AU$2420:AU2676,$Q$2420:Q2676,"F")</f>
        <v>-143.99999999999949</v>
      </c>
      <c r="BJ2523" s="318">
        <f>SUMIFS($AU$2420:AU2676,$Q$2420:Q2676,"S")</f>
        <v>256.00000000000466</v>
      </c>
      <c r="BK2523" s="343">
        <f>SUMIFS($AU$2420:AU2676,$P$2420:P2676,"W")</f>
        <v>-607.99999999991883</v>
      </c>
      <c r="BL2523" s="343">
        <f>SUMIFS($AU$2420:AU2676,$P$2420:P2676,"R")</f>
        <v>911.99999999999966</v>
      </c>
      <c r="BM2523" s="343">
        <f>SUMIFS($AU$2420:AU2676,$AQ$2420:AQ2676,"M")</f>
        <v>-899.79999999984489</v>
      </c>
      <c r="BN2523" s="343">
        <f>SUMIFS($AU$2420:AU2676,$AQ$2420:AQ2676,"H")</f>
        <v>1762.9999999999427</v>
      </c>
      <c r="BO2523" s="343">
        <f>SUMIFS($AU$2420:AU2676,$AQ$2420:AQ2676,"D")</f>
        <v>-767.99999999998977</v>
      </c>
      <c r="BP2523" s="343">
        <f>SUMIFS($AS$2420:AS2764,$AO$2420:AO2764,"W")</f>
        <v>0</v>
      </c>
      <c r="BQ2523" s="343">
        <f>SUMIFS($AU$2420:AU2676,$Q$2420:Q2676,"O")</f>
        <v>-884.7999999998965</v>
      </c>
      <c r="BR2523" s="343">
        <f>SUMIFS($AU$2420:AU2676,$AA$2420:AA2676,"*")</f>
        <v>-512.79999999998074</v>
      </c>
      <c r="BS2523" s="343">
        <f>SUMIFS($AU$2420:AU2676,$AB$2420:AB2676,"*")</f>
        <v>-451.99999999997726</v>
      </c>
      <c r="BT2523" s="343">
        <f>SUMIFS($AU$2420:AU2676,$AC$2420:AC2676,"*")</f>
        <v>-143.99999999999909</v>
      </c>
      <c r="BU2523" s="343">
        <f>SUMIFS($AU$2420:AU2676,$AA$2420:AA2676,"*",$AB$2420:AB2676,"*")</f>
        <v>95.999999999933891</v>
      </c>
      <c r="BV2523" s="343">
        <f>SUMIFS($AU$2420:AU2676,$AA$2420:AA2676,"*",$AC$2420:AC2676,"*")</f>
        <v>-591.99999999999977</v>
      </c>
      <c r="BW2523" s="343">
        <f>SUMIFS($AU$2420:AU2676,$AB$2420:AB2676,"*",$AC$2420:AC2676,"*")</f>
        <v>-143.99999999999966</v>
      </c>
      <c r="BX2523" s="343">
        <f>SUMIFS($AV$2420:AV2676,$Q$2420:Q2676,"F")</f>
        <v>18.153846153846242</v>
      </c>
      <c r="BY2523" s="343">
        <f>SUMIFS($AV$2420:AV2676,$Q$2420:Q2676,"S")</f>
        <v>64.044720496894826</v>
      </c>
      <c r="BZ2523" s="343">
        <f>SUMIFS($AV$2420:AV2676,$Q$2420:Q2676,"O")</f>
        <v>-458.13333333332537</v>
      </c>
    </row>
    <row r="2524" spans="1:78" ht="15.75" customHeight="1">
      <c r="A2524" s="663" t="s">
        <v>7813</v>
      </c>
      <c r="B2524" s="200">
        <v>45566</v>
      </c>
      <c r="C2524" s="178" t="s">
        <v>1142</v>
      </c>
      <c r="D2524" s="178" t="s">
        <v>146</v>
      </c>
      <c r="E2524" s="227"/>
      <c r="F2524" s="180"/>
      <c r="G2524" s="181" t="s">
        <v>7825</v>
      </c>
      <c r="H2524" s="182"/>
      <c r="I2524" s="182"/>
      <c r="J2524" s="182"/>
      <c r="K2524" s="183"/>
      <c r="L2524" s="182"/>
      <c r="M2524" s="182"/>
      <c r="N2524" s="182"/>
      <c r="O2524" s="183" t="s">
        <v>3618</v>
      </c>
      <c r="P2524" s="183" t="s">
        <v>2260</v>
      </c>
      <c r="Q2524" s="183" t="s">
        <v>684</v>
      </c>
      <c r="R2524" s="183">
        <v>1</v>
      </c>
      <c r="S2524" s="183">
        <v>0</v>
      </c>
      <c r="T2524" s="183">
        <v>1</v>
      </c>
      <c r="U2524" s="183" t="s">
        <v>97</v>
      </c>
      <c r="V2524" s="183" t="s">
        <v>7349</v>
      </c>
      <c r="W2524" s="183" t="s">
        <v>115</v>
      </c>
      <c r="X2524" s="183"/>
      <c r="Y2524" s="184">
        <f>IF(ISBLANK(O2524),"",(IF(O2524=UPPER("IB"),0.005,0.01)))</f>
        <v>0.01</v>
      </c>
      <c r="Z2524" s="185">
        <f>IF(ISBLANK(O2524),"",IF(O2524="IB",8.63*200,IF(O2524="IR",16*100,IF(O2524="YT",20*100,IF(O2524="YT-XT",24*200,IF(O2524="TED",80*100,IF(O2524="XT",29*200)))))))</f>
        <v>5800</v>
      </c>
      <c r="AA2524" s="185" t="s">
        <v>7826</v>
      </c>
      <c r="AB2524" s="185"/>
      <c r="AC2524" s="185"/>
      <c r="AD2524" s="649">
        <v>96.055000000000007</v>
      </c>
      <c r="AE2524" s="182"/>
      <c r="AF2524" s="332"/>
      <c r="AG2524" s="182"/>
      <c r="AH2524" s="182"/>
      <c r="AI2524" s="182"/>
      <c r="AJ2524" s="640"/>
      <c r="AK2524" s="182"/>
      <c r="AL2524" s="496">
        <f t="shared" si="876"/>
        <v>-116</v>
      </c>
      <c r="AM2524" s="496">
        <f t="shared" si="877"/>
        <v>-116</v>
      </c>
      <c r="AN2524" s="626"/>
      <c r="AO2524" s="182"/>
      <c r="AP2524" s="182"/>
      <c r="AQ2524" s="332" t="s">
        <v>1259</v>
      </c>
      <c r="AR2524" s="182"/>
      <c r="AS2524" s="189">
        <v>96.064999999999998</v>
      </c>
      <c r="AT2524" s="189">
        <f t="shared" si="878"/>
        <v>-9.9999999999909051E-3</v>
      </c>
      <c r="AU2524" s="187">
        <f t="shared" si="879"/>
        <v>-57.999999999947249</v>
      </c>
      <c r="AV2524" s="190">
        <f t="shared" si="880"/>
        <v>-57.999999999947249</v>
      </c>
      <c r="AW2524" s="191" t="s">
        <v>229</v>
      </c>
      <c r="AX2524" s="551"/>
      <c r="AY2524" s="551"/>
      <c r="AZ2524" s="551"/>
      <c r="BA2524" s="551"/>
      <c r="BB2524" s="551"/>
      <c r="BC2524" s="551"/>
      <c r="BD2524" s="549"/>
      <c r="BE2524" s="550"/>
      <c r="BF2524" s="549"/>
      <c r="BG2524" s="391">
        <f>SUM($AV$2420:AV2524)</f>
        <v>-293.41904761902651</v>
      </c>
      <c r="BH2524" s="392">
        <f>SUM($AU$2420:AU2524)</f>
        <v>-717.00000000004229</v>
      </c>
      <c r="BI2524" s="318">
        <f>SUMIFS($AU$2420:AU2677,$Q$2420:Q2677,"F")</f>
        <v>-143.99999999999949</v>
      </c>
      <c r="BJ2524" s="318">
        <f>SUMIFS($AU$2420:AU2677,$Q$2420:Q2677,"S")</f>
        <v>256.00000000000466</v>
      </c>
      <c r="BK2524" s="343">
        <f>SUMIFS($AU$2420:AU2677,$P$2420:P2677,"W")</f>
        <v>-607.99999999991883</v>
      </c>
      <c r="BL2524" s="343">
        <f>SUMIFS($AU$2420:AU2677,$P$2420:P2677,"R")</f>
        <v>911.99999999999966</v>
      </c>
      <c r="BM2524" s="343">
        <f>SUMIFS($AU$2420:AU2677,$AQ$2420:AQ2677,"M")</f>
        <v>-899.79999999984489</v>
      </c>
      <c r="BN2524" s="343">
        <f>SUMIFS($AU$2420:AU2677,$AQ$2420:AQ2677,"H")</f>
        <v>1762.9999999999427</v>
      </c>
      <c r="BO2524" s="343">
        <f>SUMIFS($AU$2420:AU2677,$AQ$2420:AQ2677,"D")</f>
        <v>-767.99999999998977</v>
      </c>
      <c r="BP2524" s="343">
        <f>SUMIFS($AS$2420:AS2765,$AO$2420:AO2765,"W")</f>
        <v>0</v>
      </c>
      <c r="BQ2524" s="343">
        <f>SUMIFS($AU$2420:AU2677,$Q$2420:Q2677,"O")</f>
        <v>-884.7999999998965</v>
      </c>
      <c r="BR2524" s="343">
        <f>SUMIFS($AU$2420:AU2677,$AA$2420:AA2677,"*")</f>
        <v>-512.79999999998074</v>
      </c>
      <c r="BS2524" s="343">
        <f>SUMIFS($AU$2420:AU2677,$AB$2420:AB2677,"*")</f>
        <v>-451.99999999997726</v>
      </c>
      <c r="BT2524" s="343">
        <f>SUMIFS($AU$2420:AU2677,$AC$2420:AC2677,"*")</f>
        <v>-143.99999999999909</v>
      </c>
      <c r="BU2524" s="343">
        <f>SUMIFS($AU$2420:AU2677,$AA$2420:AA2677,"*",$AB$2420:AB2677,"*")</f>
        <v>95.999999999933891</v>
      </c>
      <c r="BV2524" s="343">
        <f>SUMIFS($AU$2420:AU2677,$AA$2420:AA2677,"*",$AC$2420:AC2677,"*")</f>
        <v>-591.99999999999977</v>
      </c>
      <c r="BW2524" s="343">
        <f>SUMIFS($AU$2420:AU2677,$AB$2420:AB2677,"*",$AC$2420:AC2677,"*")</f>
        <v>-143.99999999999966</v>
      </c>
      <c r="BX2524" s="343">
        <f>SUMIFS($AV$2420:AV2677,$Q$2420:Q2677,"F")</f>
        <v>18.153846153846242</v>
      </c>
      <c r="BY2524" s="343">
        <f>SUMIFS($AV$2420:AV2677,$Q$2420:Q2677,"S")</f>
        <v>64.044720496894826</v>
      </c>
      <c r="BZ2524" s="343">
        <f>SUMIFS($AV$2420:AV2677,$Q$2420:Q2677,"O")</f>
        <v>-458.13333333332537</v>
      </c>
    </row>
    <row r="2525" spans="1:78" ht="15.75" customHeight="1">
      <c r="A2525" s="663" t="s">
        <v>7813</v>
      </c>
      <c r="B2525" s="200"/>
      <c r="C2525" s="178"/>
      <c r="D2525" s="178"/>
      <c r="E2525" s="227"/>
      <c r="F2525" s="180"/>
      <c r="G2525" s="181"/>
      <c r="H2525" s="182"/>
      <c r="I2525" s="182"/>
      <c r="J2525" s="182"/>
      <c r="K2525" s="183"/>
      <c r="L2525" s="182"/>
      <c r="M2525" s="182"/>
      <c r="N2525" s="182"/>
      <c r="O2525" s="183"/>
      <c r="P2525" s="183"/>
      <c r="Q2525" s="183"/>
      <c r="R2525" s="183"/>
      <c r="S2525" s="183"/>
      <c r="T2525" s="183"/>
      <c r="U2525" s="183"/>
      <c r="V2525" s="183"/>
      <c r="W2525" s="183"/>
      <c r="X2525" s="183"/>
      <c r="Y2525" s="183"/>
      <c r="Z2525" s="183"/>
      <c r="AA2525" s="185"/>
      <c r="AB2525" s="185"/>
      <c r="AC2525" s="185"/>
      <c r="AD2525" s="649"/>
      <c r="AE2525" s="182"/>
      <c r="AF2525" s="332"/>
      <c r="AG2525" s="182"/>
      <c r="AH2525" s="182"/>
      <c r="AI2525" s="182"/>
      <c r="AJ2525" s="640"/>
      <c r="AK2525" s="182"/>
      <c r="AL2525" s="496">
        <f t="shared" si="876"/>
        <v>0</v>
      </c>
      <c r="AM2525" s="496">
        <f t="shared" si="877"/>
        <v>0</v>
      </c>
      <c r="AN2525" s="626"/>
      <c r="AO2525" s="182"/>
      <c r="AP2525" s="182"/>
      <c r="AQ2525" s="332" t="str">
        <f>UPPER(RIGHT(Journal_Live[[#This Row],[DURATION ]]))</f>
        <v/>
      </c>
      <c r="AR2525" s="182"/>
      <c r="AS2525" s="189"/>
      <c r="AT2525" s="189">
        <f t="shared" si="878"/>
        <v>0</v>
      </c>
      <c r="AU2525" s="187">
        <f t="shared" si="879"/>
        <v>0</v>
      </c>
      <c r="AV2525" s="190">
        <f t="shared" si="880"/>
        <v>0</v>
      </c>
      <c r="AW2525" s="191"/>
      <c r="AX2525" s="549" t="s">
        <v>7827</v>
      </c>
      <c r="AY2525" s="551" t="s">
        <v>7828</v>
      </c>
      <c r="AZ2525" s="551" t="s">
        <v>7829</v>
      </c>
      <c r="BA2525" s="551" t="s">
        <v>7830</v>
      </c>
      <c r="BB2525" s="551" t="s">
        <v>7831</v>
      </c>
      <c r="BC2525" s="551" t="s">
        <v>7832</v>
      </c>
      <c r="BD2525" s="549"/>
      <c r="BE2525" s="550"/>
      <c r="BF2525" s="549"/>
      <c r="BG2525" s="391">
        <f>SUM($AV$2420:AV2525)</f>
        <v>-293.41904761902651</v>
      </c>
      <c r="BH2525" s="392">
        <f>SUM($AU$2420:AU2525)</f>
        <v>-717.00000000004229</v>
      </c>
      <c r="BI2525" s="318">
        <f>SUMIFS($AU$2420:AU2678,$Q$2420:Q2678,"F")</f>
        <v>-143.99999999999949</v>
      </c>
      <c r="BJ2525" s="318">
        <f>SUMIFS($AU$2420:AU2678,$Q$2420:Q2678,"S")</f>
        <v>256.00000000000466</v>
      </c>
      <c r="BK2525" s="343">
        <f>SUMIFS($AU$2420:AU2678,$P$2420:P2678,"W")</f>
        <v>-607.99999999991883</v>
      </c>
      <c r="BL2525" s="343">
        <f>SUMIFS($AU$2420:AU2678,$P$2420:P2678,"R")</f>
        <v>911.99999999999966</v>
      </c>
      <c r="BM2525" s="343">
        <f>SUMIFS($AU$2420:AU2678,$AQ$2420:AQ2678,"M")</f>
        <v>-899.79999999984489</v>
      </c>
      <c r="BN2525" s="343">
        <f>SUMIFS($AU$2420:AU2678,$AQ$2420:AQ2678,"H")</f>
        <v>1762.9999999999427</v>
      </c>
      <c r="BO2525" s="343">
        <f>SUMIFS($AU$2420:AU2678,$AQ$2420:AQ2678,"D")</f>
        <v>-767.99999999998977</v>
      </c>
      <c r="BP2525" s="343">
        <f>SUMIFS($AS$2420:AS2766,$AO$2420:AO2766,"W")</f>
        <v>0</v>
      </c>
      <c r="BQ2525" s="343">
        <f>SUMIFS($AU$2420:AU2678,$Q$2420:Q2678,"O")</f>
        <v>-884.7999999998965</v>
      </c>
      <c r="BR2525" s="343">
        <f>SUMIFS($AU$2420:AU2678,$AA$2420:AA2678,"*")</f>
        <v>-512.79999999998074</v>
      </c>
      <c r="BS2525" s="343">
        <f>SUMIFS($AU$2420:AU2678,$AB$2420:AB2678,"*")</f>
        <v>-451.99999999997726</v>
      </c>
      <c r="BT2525" s="343">
        <f>SUMIFS($AU$2420:AU2678,$AC$2420:AC2678,"*")</f>
        <v>-143.99999999999909</v>
      </c>
      <c r="BU2525" s="343">
        <f>SUMIFS($AU$2420:AU2678,$AA$2420:AA2678,"*",$AB$2420:AB2678,"*")</f>
        <v>95.999999999933891</v>
      </c>
      <c r="BV2525" s="343">
        <f>SUMIFS($AU$2420:AU2678,$AA$2420:AA2678,"*",$AC$2420:AC2678,"*")</f>
        <v>-591.99999999999977</v>
      </c>
      <c r="BW2525" s="343">
        <f>SUMIFS($AU$2420:AU2678,$AB$2420:AB2678,"*",$AC$2420:AC2678,"*")</f>
        <v>-143.99999999999966</v>
      </c>
      <c r="BX2525" s="343">
        <f>SUMIFS($AV$2420:AV2678,$Q$2420:Q2678,"F")</f>
        <v>18.153846153846242</v>
      </c>
      <c r="BY2525" s="343">
        <f>SUMIFS($AV$2420:AV2678,$Q$2420:Q2678,"S")</f>
        <v>64.044720496894826</v>
      </c>
      <c r="BZ2525" s="343">
        <f>SUMIFS($AV$2420:AV2678,$Q$2420:Q2678,"O")</f>
        <v>-458.13333333332537</v>
      </c>
    </row>
    <row r="2526" spans="1:78" ht="15.75" customHeight="1">
      <c r="A2526" s="663" t="s">
        <v>7813</v>
      </c>
      <c r="B2526" s="200"/>
      <c r="C2526" s="178"/>
      <c r="D2526" s="178"/>
      <c r="E2526" s="227"/>
      <c r="F2526" s="180"/>
      <c r="G2526" s="181"/>
      <c r="H2526" s="182"/>
      <c r="I2526" s="182"/>
      <c r="J2526" s="182"/>
      <c r="K2526" s="183"/>
      <c r="L2526" s="182"/>
      <c r="M2526" s="182"/>
      <c r="N2526" s="182"/>
      <c r="O2526" s="183"/>
      <c r="P2526" s="183"/>
      <c r="Q2526" s="183"/>
      <c r="R2526" s="183"/>
      <c r="S2526" s="183"/>
      <c r="T2526" s="183"/>
      <c r="U2526" s="183"/>
      <c r="V2526" s="183"/>
      <c r="W2526" s="183"/>
      <c r="X2526" s="183"/>
      <c r="Y2526" s="183"/>
      <c r="Z2526" s="183"/>
      <c r="AA2526" s="185"/>
      <c r="AB2526" s="185"/>
      <c r="AC2526" s="185"/>
      <c r="AD2526" s="649"/>
      <c r="AE2526" s="182"/>
      <c r="AF2526" s="332"/>
      <c r="AG2526" s="182"/>
      <c r="AH2526" s="182"/>
      <c r="AI2526" s="182"/>
      <c r="AJ2526" s="640"/>
      <c r="AK2526" s="182"/>
      <c r="AL2526" s="496">
        <f t="shared" si="876"/>
        <v>0</v>
      </c>
      <c r="AM2526" s="496">
        <f t="shared" si="877"/>
        <v>0</v>
      </c>
      <c r="AN2526" s="626"/>
      <c r="AO2526" s="182"/>
      <c r="AP2526" s="182"/>
      <c r="AQ2526" s="332" t="str">
        <f>UPPER(RIGHT(Journal_Live[[#This Row],[DURATION ]]))</f>
        <v/>
      </c>
      <c r="AR2526" s="182"/>
      <c r="AS2526" s="189"/>
      <c r="AT2526" s="189">
        <f t="shared" si="878"/>
        <v>0</v>
      </c>
      <c r="AU2526" s="187">
        <f t="shared" si="879"/>
        <v>0</v>
      </c>
      <c r="AV2526" s="190">
        <f t="shared" si="880"/>
        <v>0</v>
      </c>
      <c r="AW2526" s="191"/>
      <c r="AX2526" s="551" t="s">
        <v>7833</v>
      </c>
      <c r="AY2526" s="551"/>
      <c r="AZ2526" s="551"/>
      <c r="BA2526" s="551"/>
      <c r="BB2526" s="551"/>
      <c r="BC2526" s="551"/>
      <c r="BD2526" s="549"/>
      <c r="BE2526" s="550"/>
      <c r="BF2526" s="549"/>
      <c r="BG2526" s="391">
        <f>SUM($AV$2420:AV2526)</f>
        <v>-293.41904761902651</v>
      </c>
      <c r="BH2526" s="392">
        <f>SUM($AU$2420:AU2526)</f>
        <v>-717.00000000004229</v>
      </c>
      <c r="BI2526" s="318">
        <f>SUMIFS($AU$2420:AU2679,$Q$2420:Q2679,"F")</f>
        <v>-143.99999999999949</v>
      </c>
      <c r="BJ2526" s="318">
        <f>SUMIFS($AU$2420:AU2679,$Q$2420:Q2679,"S")</f>
        <v>256.00000000000466</v>
      </c>
      <c r="BK2526" s="343">
        <f>SUMIFS($AU$2420:AU2679,$P$2420:P2679,"W")</f>
        <v>-607.99999999991883</v>
      </c>
      <c r="BL2526" s="343">
        <f>SUMIFS($AU$2420:AU2679,$P$2420:P2679,"R")</f>
        <v>911.99999999999966</v>
      </c>
      <c r="BM2526" s="343">
        <f>SUMIFS($AU$2420:AU2679,$AQ$2420:AQ2679,"M")</f>
        <v>-899.79999999984489</v>
      </c>
      <c r="BN2526" s="343">
        <f>SUMIFS($AU$2420:AU2679,$AQ$2420:AQ2679,"H")</f>
        <v>1762.9999999999427</v>
      </c>
      <c r="BO2526" s="343">
        <f>SUMIFS($AU$2420:AU2679,$AQ$2420:AQ2679,"D")</f>
        <v>-767.99999999998977</v>
      </c>
      <c r="BP2526" s="343">
        <f>SUMIFS($AS$2420:AS2767,$AO$2420:AO2767,"W")</f>
        <v>0</v>
      </c>
      <c r="BQ2526" s="343">
        <f>SUMIFS($AU$2420:AU2679,$Q$2420:Q2679,"O")</f>
        <v>-884.7999999998965</v>
      </c>
      <c r="BR2526" s="343">
        <f>SUMIFS($AU$2420:AU2679,$AA$2420:AA2679,"*")</f>
        <v>-512.79999999998074</v>
      </c>
      <c r="BS2526" s="343">
        <f>SUMIFS($AU$2420:AU2679,$AB$2420:AB2679,"*")</f>
        <v>-451.99999999997726</v>
      </c>
      <c r="BT2526" s="343">
        <f>SUMIFS($AU$2420:AU2679,$AC$2420:AC2679,"*")</f>
        <v>-143.99999999999909</v>
      </c>
      <c r="BU2526" s="343">
        <f>SUMIFS($AU$2420:AU2679,$AA$2420:AA2679,"*",$AB$2420:AB2679,"*")</f>
        <v>95.999999999933891</v>
      </c>
      <c r="BV2526" s="343">
        <f>SUMIFS($AU$2420:AU2679,$AA$2420:AA2679,"*",$AC$2420:AC2679,"*")</f>
        <v>-591.99999999999977</v>
      </c>
      <c r="BW2526" s="343">
        <f>SUMIFS($AU$2420:AU2679,$AB$2420:AB2679,"*",$AC$2420:AC2679,"*")</f>
        <v>-143.99999999999966</v>
      </c>
      <c r="BX2526" s="343">
        <f>SUMIFS($AV$2420:AV2679,$Q$2420:Q2679,"F")</f>
        <v>18.153846153846242</v>
      </c>
      <c r="BY2526" s="343">
        <f>SUMIFS($AV$2420:AV2679,$Q$2420:Q2679,"S")</f>
        <v>64.044720496894826</v>
      </c>
      <c r="BZ2526" s="343">
        <f>SUMIFS($AV$2420:AV2679,$Q$2420:Q2679,"O")</f>
        <v>-458.13333333332537</v>
      </c>
    </row>
    <row r="2527" spans="1:78" ht="15.75" customHeight="1">
      <c r="A2527" s="663" t="s">
        <v>7813</v>
      </c>
      <c r="B2527" s="200"/>
      <c r="C2527" s="178"/>
      <c r="D2527" s="178"/>
      <c r="E2527" s="227"/>
      <c r="F2527" s="180"/>
      <c r="G2527" s="181"/>
      <c r="H2527" s="182"/>
      <c r="I2527" s="182"/>
      <c r="J2527" s="182"/>
      <c r="K2527" s="183"/>
      <c r="L2527" s="182"/>
      <c r="M2527" s="182"/>
      <c r="N2527" s="182"/>
      <c r="O2527" s="183"/>
      <c r="P2527" s="183"/>
      <c r="Q2527" s="183"/>
      <c r="R2527" s="183"/>
      <c r="S2527" s="183"/>
      <c r="T2527" s="183"/>
      <c r="U2527" s="183"/>
      <c r="V2527" s="183"/>
      <c r="W2527" s="183"/>
      <c r="X2527" s="183"/>
      <c r="Y2527" s="183"/>
      <c r="Z2527" s="183"/>
      <c r="AA2527" s="185"/>
      <c r="AB2527" s="185"/>
      <c r="AC2527" s="185"/>
      <c r="AD2527" s="649"/>
      <c r="AE2527" s="182"/>
      <c r="AF2527" s="332"/>
      <c r="AG2527" s="182"/>
      <c r="AH2527" s="182"/>
      <c r="AI2527" s="182"/>
      <c r="AJ2527" s="640"/>
      <c r="AK2527" s="182"/>
      <c r="AL2527" s="496">
        <f t="shared" si="876"/>
        <v>0</v>
      </c>
      <c r="AM2527" s="496">
        <f t="shared" si="877"/>
        <v>0</v>
      </c>
      <c r="AN2527" s="626"/>
      <c r="AO2527" s="182"/>
      <c r="AP2527" s="182"/>
      <c r="AQ2527" s="332" t="str">
        <f>UPPER(RIGHT(Journal_Live[[#This Row],[DURATION ]]))</f>
        <v/>
      </c>
      <c r="AR2527" s="182"/>
      <c r="AS2527" s="189"/>
      <c r="AT2527" s="189">
        <f t="shared" si="878"/>
        <v>0</v>
      </c>
      <c r="AU2527" s="187">
        <f t="shared" si="879"/>
        <v>0</v>
      </c>
      <c r="AV2527" s="190">
        <f t="shared" si="880"/>
        <v>0</v>
      </c>
      <c r="AW2527" s="191"/>
      <c r="AX2527" s="551" t="s">
        <v>7834</v>
      </c>
      <c r="AY2527" s="551"/>
      <c r="AZ2527" s="551"/>
      <c r="BA2527" s="551"/>
      <c r="BB2527" s="551"/>
      <c r="BC2527" s="551"/>
      <c r="BD2527" s="549"/>
      <c r="BE2527" s="550"/>
      <c r="BF2527" s="549"/>
      <c r="BG2527" s="391">
        <f>SUM($AV$2420:AV2527)</f>
        <v>-293.41904761902651</v>
      </c>
      <c r="BH2527" s="392">
        <f>SUM($AU$2420:AU2527)</f>
        <v>-717.00000000004229</v>
      </c>
      <c r="BI2527" s="318">
        <f>SUMIFS($AU$2420:AU2680,$Q$2420:Q2680,"F")</f>
        <v>-143.99999999999949</v>
      </c>
      <c r="BJ2527" s="318">
        <f>SUMIFS($AU$2420:AU2680,$Q$2420:Q2680,"S")</f>
        <v>256.00000000000466</v>
      </c>
      <c r="BK2527" s="343">
        <f>SUMIFS($AU$2420:AU2680,$P$2420:P2680,"W")</f>
        <v>-607.99999999991883</v>
      </c>
      <c r="BL2527" s="343">
        <f>SUMIFS($AU$2420:AU2680,$P$2420:P2680,"R")</f>
        <v>911.99999999999966</v>
      </c>
      <c r="BM2527" s="343">
        <f>SUMIFS($AU$2420:AU2680,$AQ$2420:AQ2680,"M")</f>
        <v>-899.79999999984489</v>
      </c>
      <c r="BN2527" s="343">
        <f>SUMIFS($AU$2420:AU2680,$AQ$2420:AQ2680,"H")</f>
        <v>1762.9999999999427</v>
      </c>
      <c r="BO2527" s="343">
        <f>SUMIFS($AU$2420:AU2680,$AQ$2420:AQ2680,"D")</f>
        <v>-767.99999999998977</v>
      </c>
      <c r="BP2527" s="343">
        <f>SUMIFS($AS$2420:AS2768,$AO$2420:AO2768,"W")</f>
        <v>0</v>
      </c>
      <c r="BQ2527" s="343">
        <f>SUMIFS($AU$2420:AU2680,$Q$2420:Q2680,"O")</f>
        <v>-884.7999999998965</v>
      </c>
      <c r="BR2527" s="343">
        <f>SUMIFS($AU$2420:AU2680,$AA$2420:AA2680,"*")</f>
        <v>-512.79999999998074</v>
      </c>
      <c r="BS2527" s="343">
        <f>SUMIFS($AU$2420:AU2680,$AB$2420:AB2680,"*")</f>
        <v>-451.99999999997726</v>
      </c>
      <c r="BT2527" s="343">
        <f>SUMIFS($AU$2420:AU2680,$AC$2420:AC2680,"*")</f>
        <v>-143.99999999999909</v>
      </c>
      <c r="BU2527" s="343">
        <f>SUMIFS($AU$2420:AU2680,$AA$2420:AA2680,"*",$AB$2420:AB2680,"*")</f>
        <v>95.999999999933891</v>
      </c>
      <c r="BV2527" s="343">
        <f>SUMIFS($AU$2420:AU2680,$AA$2420:AA2680,"*",$AC$2420:AC2680,"*")</f>
        <v>-591.99999999999977</v>
      </c>
      <c r="BW2527" s="343">
        <f>SUMIFS($AU$2420:AU2680,$AB$2420:AB2680,"*",$AC$2420:AC2680,"*")</f>
        <v>-143.99999999999966</v>
      </c>
      <c r="BX2527" s="343">
        <f>SUMIFS($AV$2420:AV2680,$Q$2420:Q2680,"F")</f>
        <v>18.153846153846242</v>
      </c>
      <c r="BY2527" s="343">
        <f>SUMIFS($AV$2420:AV2680,$Q$2420:Q2680,"S")</f>
        <v>64.044720496894826</v>
      </c>
      <c r="BZ2527" s="343">
        <f>SUMIFS($AV$2420:AV2680,$Q$2420:Q2680,"O")</f>
        <v>-458.13333333332537</v>
      </c>
    </row>
    <row r="2528" spans="1:78" ht="15.75" customHeight="1">
      <c r="A2528" s="663" t="s">
        <v>7813</v>
      </c>
      <c r="B2528" s="200">
        <v>45568</v>
      </c>
      <c r="C2528" s="178" t="s">
        <v>7714</v>
      </c>
      <c r="D2528" s="178" t="s">
        <v>93</v>
      </c>
      <c r="E2528" s="227"/>
      <c r="F2528" s="180"/>
      <c r="G2528" s="481" t="s">
        <v>7814</v>
      </c>
      <c r="H2528" s="182"/>
      <c r="I2528" s="182"/>
      <c r="J2528" s="182"/>
      <c r="K2528" s="183"/>
      <c r="L2528" s="182"/>
      <c r="M2528" s="182"/>
      <c r="N2528" s="182"/>
      <c r="O2528" s="183" t="s">
        <v>95</v>
      </c>
      <c r="P2528" s="183" t="s">
        <v>96</v>
      </c>
      <c r="Q2528" s="183" t="s">
        <v>684</v>
      </c>
      <c r="R2528" s="183">
        <v>5</v>
      </c>
      <c r="S2528" s="183">
        <v>2</v>
      </c>
      <c r="T2528" s="183">
        <v>5</v>
      </c>
      <c r="U2528" s="183" t="s">
        <v>22</v>
      </c>
      <c r="V2528" s="183" t="s">
        <v>7349</v>
      </c>
      <c r="W2528" s="183" t="s">
        <v>115</v>
      </c>
      <c r="X2528" s="183"/>
      <c r="Y2528" s="184">
        <f t="shared" ref="Y2528:Y2532" si="881">IF(ISBLANK(O2528),"",(IF(O2528=UPPER("IB"),0.005,0.01)))</f>
        <v>0.01</v>
      </c>
      <c r="Z2528" s="185">
        <f t="shared" ref="Z2528:Z2532" si="882">IF(ISBLANK(O2528),"",IF(O2528="IB",8.63*200,IF(O2528="IR",16*100,IF(O2528="YT",20*100,IF(O2528="YT-XT",24*200,IF(O2528="TED",80*100,IF(O2528="XT",29*200)))))))</f>
        <v>1600</v>
      </c>
      <c r="AA2528" s="185" t="s">
        <v>6373</v>
      </c>
      <c r="AB2528" s="185" t="s">
        <v>7815</v>
      </c>
      <c r="AC2528" s="185"/>
      <c r="AD2528" s="649">
        <f>(95.76*4+95.77*1)/5</f>
        <v>95.762</v>
      </c>
      <c r="AE2528" s="182"/>
      <c r="AF2528" s="332"/>
      <c r="AG2528" s="182"/>
      <c r="AH2528" s="182"/>
      <c r="AI2528" s="182"/>
      <c r="AJ2528" s="640"/>
      <c r="AK2528" s="182"/>
      <c r="AL2528" s="496">
        <f t="shared" si="876"/>
        <v>-32</v>
      </c>
      <c r="AM2528" s="496">
        <f t="shared" si="877"/>
        <v>-96</v>
      </c>
      <c r="AN2528" s="626"/>
      <c r="AO2528" s="182"/>
      <c r="AP2528" s="182" t="s">
        <v>770</v>
      </c>
      <c r="AQ2528" s="332" t="s">
        <v>115</v>
      </c>
      <c r="AR2528" s="182" t="s">
        <v>111</v>
      </c>
      <c r="AS2528" s="189">
        <v>95.76</v>
      </c>
      <c r="AT2528" s="189">
        <f t="shared" si="878"/>
        <v>-1.9999999999953388E-3</v>
      </c>
      <c r="AU2528" s="187">
        <f t="shared" si="879"/>
        <v>-15.999999999962711</v>
      </c>
      <c r="AV2528" s="190">
        <f t="shared" si="880"/>
        <v>-3.1999999999925421</v>
      </c>
      <c r="AW2528" s="191" t="s">
        <v>229</v>
      </c>
      <c r="AX2528" s="551"/>
      <c r="AY2528" s="551"/>
      <c r="AZ2528" s="551"/>
      <c r="BA2528" s="551"/>
      <c r="BB2528" s="551"/>
      <c r="BC2528" s="551"/>
      <c r="BD2528" s="549"/>
      <c r="BE2528" s="550"/>
      <c r="BF2528" s="549"/>
      <c r="BG2528" s="391">
        <f>SUM($AV$2420:AV2528)</f>
        <v>-296.61904761901906</v>
      </c>
      <c r="BH2528" s="392">
        <f>SUM($AU$2420:AU2528)</f>
        <v>-733.000000000005</v>
      </c>
      <c r="BI2528" s="318">
        <f>SUMIFS($AU$2420:AU2681,$Q$2420:Q2681,"F")</f>
        <v>-143.99999999999949</v>
      </c>
      <c r="BJ2528" s="318">
        <f>SUMIFS($AU$2420:AU2681,$Q$2420:Q2681,"S")</f>
        <v>256.00000000000466</v>
      </c>
      <c r="BK2528" s="343">
        <f>SUMIFS($AU$2420:AU2681,$P$2420:P2681,"W")</f>
        <v>-607.99999999991883</v>
      </c>
      <c r="BL2528" s="343">
        <f>SUMIFS($AU$2420:AU2681,$P$2420:P2681,"R")</f>
        <v>911.99999999999966</v>
      </c>
      <c r="BM2528" s="343">
        <f>SUMIFS($AU$2420:AU2681,$AQ$2420:AQ2681,"M")</f>
        <v>-899.79999999984489</v>
      </c>
      <c r="BN2528" s="343">
        <f>SUMIFS($AU$2420:AU2681,$AQ$2420:AQ2681,"H")</f>
        <v>1762.9999999999427</v>
      </c>
      <c r="BO2528" s="343">
        <f>SUMIFS($AU$2420:AU2681,$AQ$2420:AQ2681,"D")</f>
        <v>-767.99999999998977</v>
      </c>
      <c r="BP2528" s="343">
        <f>SUMIFS($AS$2420:AS2769,$AO$2420:AO2769,"W")</f>
        <v>0</v>
      </c>
      <c r="BQ2528" s="343">
        <f>SUMIFS($AU$2420:AU2681,$Q$2420:Q2681,"O")</f>
        <v>-884.7999999998965</v>
      </c>
      <c r="BR2528" s="343">
        <f>SUMIFS($AU$2420:AU2681,$AA$2420:AA2681,"*")</f>
        <v>-512.79999999998074</v>
      </c>
      <c r="BS2528" s="343">
        <f>SUMIFS($AU$2420:AU2681,$AB$2420:AB2681,"*")</f>
        <v>-451.99999999997726</v>
      </c>
      <c r="BT2528" s="343">
        <f>SUMIFS($AU$2420:AU2681,$AC$2420:AC2681,"*")</f>
        <v>-143.99999999999909</v>
      </c>
      <c r="BU2528" s="343">
        <f>SUMIFS($AU$2420:AU2681,$AA$2420:AA2681,"*",$AB$2420:AB2681,"*")</f>
        <v>95.999999999933891</v>
      </c>
      <c r="BV2528" s="343">
        <f>SUMIFS($AU$2420:AU2681,$AA$2420:AA2681,"*",$AC$2420:AC2681,"*")</f>
        <v>-591.99999999999977</v>
      </c>
      <c r="BW2528" s="343">
        <f>SUMIFS($AU$2420:AU2681,$AB$2420:AB2681,"*",$AC$2420:AC2681,"*")</f>
        <v>-143.99999999999966</v>
      </c>
      <c r="BX2528" s="343">
        <f>SUMIFS($AV$2420:AV2681,$Q$2420:Q2681,"F")</f>
        <v>18.153846153846242</v>
      </c>
      <c r="BY2528" s="343">
        <f>SUMIFS($AV$2420:AV2681,$Q$2420:Q2681,"S")</f>
        <v>64.044720496894826</v>
      </c>
      <c r="BZ2528" s="343">
        <f>SUMIFS($AV$2420:AV2681,$Q$2420:Q2681,"O")</f>
        <v>-458.13333333332537</v>
      </c>
    </row>
    <row r="2529" spans="1:78" ht="15.75" customHeight="1">
      <c r="A2529" s="663" t="s">
        <v>7813</v>
      </c>
      <c r="B2529" s="200">
        <v>45568</v>
      </c>
      <c r="C2529" s="178" t="s">
        <v>7714</v>
      </c>
      <c r="D2529" s="178" t="s">
        <v>93</v>
      </c>
      <c r="E2529" s="227"/>
      <c r="F2529" s="180"/>
      <c r="G2529" s="481" t="s">
        <v>3334</v>
      </c>
      <c r="H2529" s="182"/>
      <c r="I2529" s="182"/>
      <c r="J2529" s="182"/>
      <c r="K2529" s="183"/>
      <c r="L2529" s="182"/>
      <c r="M2529" s="182"/>
      <c r="N2529" s="182"/>
      <c r="O2529" s="183" t="s">
        <v>95</v>
      </c>
      <c r="P2529" s="183" t="s">
        <v>96</v>
      </c>
      <c r="Q2529" s="183" t="s">
        <v>97</v>
      </c>
      <c r="R2529" s="183">
        <v>3</v>
      </c>
      <c r="S2529" s="183">
        <v>0</v>
      </c>
      <c r="T2529" s="183">
        <v>3</v>
      </c>
      <c r="U2529" s="183" t="s">
        <v>97</v>
      </c>
      <c r="V2529" s="183" t="s">
        <v>7357</v>
      </c>
      <c r="W2529" s="183" t="s">
        <v>7548</v>
      </c>
      <c r="X2529" s="183" t="s">
        <v>7488</v>
      </c>
      <c r="Y2529" s="184">
        <f t="shared" si="881"/>
        <v>0.01</v>
      </c>
      <c r="Z2529" s="185">
        <f t="shared" si="882"/>
        <v>1600</v>
      </c>
      <c r="AA2529" s="185"/>
      <c r="AB2529" s="185" t="s">
        <v>7835</v>
      </c>
      <c r="AC2529" s="185"/>
      <c r="AD2529" s="649">
        <v>-0.17</v>
      </c>
      <c r="AE2529" s="182"/>
      <c r="AF2529" s="332"/>
      <c r="AG2529" s="182"/>
      <c r="AH2529" s="182"/>
      <c r="AI2529" s="182"/>
      <c r="AJ2529" s="640"/>
      <c r="AK2529" s="182"/>
      <c r="AL2529" s="496">
        <f>-0.03*Z2529</f>
        <v>-48</v>
      </c>
      <c r="AM2529" s="496">
        <f t="shared" si="877"/>
        <v>-144</v>
      </c>
      <c r="AN2529" s="626"/>
      <c r="AO2529" s="182"/>
      <c r="AP2529" s="182"/>
      <c r="AQ2529" s="332" t="s">
        <v>115</v>
      </c>
      <c r="AR2529" s="182" t="s">
        <v>132</v>
      </c>
      <c r="AS2529" s="189">
        <v>-0.14000000000000001</v>
      </c>
      <c r="AT2529" s="189">
        <f t="shared" si="878"/>
        <v>-0.03</v>
      </c>
      <c r="AU2529" s="187">
        <f t="shared" si="879"/>
        <v>-144</v>
      </c>
      <c r="AV2529" s="190">
        <f t="shared" si="880"/>
        <v>-48</v>
      </c>
      <c r="AW2529" s="191" t="s">
        <v>229</v>
      </c>
      <c r="AX2529" s="551"/>
      <c r="AY2529" s="551"/>
      <c r="AZ2529" s="551"/>
      <c r="BA2529" s="551"/>
      <c r="BB2529" s="551"/>
      <c r="BC2529" s="551"/>
      <c r="BD2529" s="549"/>
      <c r="BE2529" s="550"/>
      <c r="BF2529" s="549"/>
      <c r="BG2529" s="391">
        <f>SUM($AV$2420:AV2529)</f>
        <v>-344.61904761901906</v>
      </c>
      <c r="BH2529" s="392">
        <f>SUM($AU$2420:AU2529)</f>
        <v>-877.000000000005</v>
      </c>
      <c r="BI2529" s="318">
        <f>SUMIFS($AU$2420:AU2682,$Q$2420:Q2682,"F")</f>
        <v>-143.99999999999949</v>
      </c>
      <c r="BJ2529" s="318">
        <f>SUMIFS($AU$2420:AU2682,$Q$2420:Q2682,"S")</f>
        <v>256.00000000000466</v>
      </c>
      <c r="BK2529" s="343">
        <f>SUMIFS($AU$2420:AU2682,$P$2420:P2682,"W")</f>
        <v>-607.99999999991883</v>
      </c>
      <c r="BL2529" s="343">
        <f>SUMIFS($AU$2420:AU2682,$P$2420:P2682,"R")</f>
        <v>911.99999999999966</v>
      </c>
      <c r="BM2529" s="343">
        <f>SUMIFS($AU$2420:AU2682,$AQ$2420:AQ2682,"M")</f>
        <v>-899.79999999984489</v>
      </c>
      <c r="BN2529" s="343">
        <f>SUMIFS($AU$2420:AU2682,$AQ$2420:AQ2682,"H")</f>
        <v>1762.9999999999427</v>
      </c>
      <c r="BO2529" s="343">
        <f>SUMIFS($AU$2420:AU2682,$AQ$2420:AQ2682,"D")</f>
        <v>-767.99999999998977</v>
      </c>
      <c r="BP2529" s="343">
        <f>SUMIFS($AS$2420:AS2770,$AO$2420:AO2770,"W")</f>
        <v>0</v>
      </c>
      <c r="BQ2529" s="343">
        <f>SUMIFS($AU$2420:AU2682,$Q$2420:Q2682,"O")</f>
        <v>-884.7999999998965</v>
      </c>
      <c r="BR2529" s="343">
        <f>SUMIFS($AU$2420:AU2682,$AA$2420:AA2682,"*")</f>
        <v>-512.79999999998074</v>
      </c>
      <c r="BS2529" s="343">
        <f>SUMIFS($AU$2420:AU2682,$AB$2420:AB2682,"*")</f>
        <v>-451.99999999997726</v>
      </c>
      <c r="BT2529" s="343">
        <f>SUMIFS($AU$2420:AU2682,$AC$2420:AC2682,"*")</f>
        <v>-143.99999999999909</v>
      </c>
      <c r="BU2529" s="343">
        <f>SUMIFS($AU$2420:AU2682,$AA$2420:AA2682,"*",$AB$2420:AB2682,"*")</f>
        <v>95.999999999933891</v>
      </c>
      <c r="BV2529" s="343">
        <f>SUMIFS($AU$2420:AU2682,$AA$2420:AA2682,"*",$AC$2420:AC2682,"*")</f>
        <v>-591.99999999999977</v>
      </c>
      <c r="BW2529" s="343">
        <f>SUMIFS($AU$2420:AU2682,$AB$2420:AB2682,"*",$AC$2420:AC2682,"*")</f>
        <v>-143.99999999999966</v>
      </c>
      <c r="BX2529" s="343">
        <f>SUMIFS($AV$2420:AV2682,$Q$2420:Q2682,"F")</f>
        <v>18.153846153846242</v>
      </c>
      <c r="BY2529" s="343">
        <f>SUMIFS($AV$2420:AV2682,$Q$2420:Q2682,"S")</f>
        <v>64.044720496894826</v>
      </c>
      <c r="BZ2529" s="343">
        <f>SUMIFS($AV$2420:AV2682,$Q$2420:Q2682,"O")</f>
        <v>-458.13333333332537</v>
      </c>
    </row>
    <row r="2530" spans="1:78" ht="15.75" customHeight="1">
      <c r="A2530" s="663" t="s">
        <v>7813</v>
      </c>
      <c r="B2530" s="200">
        <v>45568</v>
      </c>
      <c r="C2530" s="178" t="s">
        <v>7714</v>
      </c>
      <c r="D2530" s="178" t="s">
        <v>93</v>
      </c>
      <c r="E2530" s="227"/>
      <c r="F2530" s="180"/>
      <c r="G2530" s="481" t="s">
        <v>7836</v>
      </c>
      <c r="H2530" s="182"/>
      <c r="I2530" s="182"/>
      <c r="J2530" s="182"/>
      <c r="K2530" s="183"/>
      <c r="L2530" s="182"/>
      <c r="M2530" s="182"/>
      <c r="N2530" s="182"/>
      <c r="O2530" s="183" t="s">
        <v>95</v>
      </c>
      <c r="P2530" s="183" t="s">
        <v>96</v>
      </c>
      <c r="Q2530" s="183" t="s">
        <v>97</v>
      </c>
      <c r="R2530" s="183">
        <v>2</v>
      </c>
      <c r="S2530" s="183">
        <v>0</v>
      </c>
      <c r="T2530" s="183">
        <v>2</v>
      </c>
      <c r="U2530" s="183" t="s">
        <v>22</v>
      </c>
      <c r="V2530" s="183" t="s">
        <v>7357</v>
      </c>
      <c r="W2530" s="183" t="s">
        <v>7548</v>
      </c>
      <c r="X2530" s="183" t="s">
        <v>7497</v>
      </c>
      <c r="Y2530" s="184">
        <f t="shared" si="881"/>
        <v>0.01</v>
      </c>
      <c r="Z2530" s="185">
        <f t="shared" si="882"/>
        <v>1600</v>
      </c>
      <c r="AA2530" s="185"/>
      <c r="AB2530" s="185"/>
      <c r="AC2530" s="185" t="s">
        <v>7837</v>
      </c>
      <c r="AD2530" s="649">
        <v>-0.15</v>
      </c>
      <c r="AE2530" s="182"/>
      <c r="AF2530" s="332"/>
      <c r="AG2530" s="182"/>
      <c r="AH2530" s="182"/>
      <c r="AI2530" s="182"/>
      <c r="AJ2530" s="640"/>
      <c r="AK2530" s="182"/>
      <c r="AL2530" s="496">
        <f t="shared" si="876"/>
        <v>-32</v>
      </c>
      <c r="AM2530" s="496">
        <f t="shared" si="877"/>
        <v>-64</v>
      </c>
      <c r="AN2530" s="626"/>
      <c r="AO2530" s="182"/>
      <c r="AP2530" s="182"/>
      <c r="AQ2530" s="332" t="s">
        <v>115</v>
      </c>
      <c r="AR2530" s="182" t="s">
        <v>7838</v>
      </c>
      <c r="AS2530" s="189">
        <v>-0.14000000000000001</v>
      </c>
      <c r="AT2530" s="189">
        <f t="shared" si="878"/>
        <v>9.9999999999999811E-3</v>
      </c>
      <c r="AU2530" s="187">
        <f t="shared" si="879"/>
        <v>31.99999999999994</v>
      </c>
      <c r="AV2530" s="190">
        <f t="shared" si="880"/>
        <v>15.99999999999997</v>
      </c>
      <c r="AW2530" s="191" t="s">
        <v>96</v>
      </c>
      <c r="AX2530" s="551"/>
      <c r="AY2530" s="551"/>
      <c r="AZ2530" s="551"/>
      <c r="BA2530" s="551"/>
      <c r="BB2530" s="551"/>
      <c r="BC2530" s="551"/>
      <c r="BD2530" s="549"/>
      <c r="BE2530" s="550"/>
      <c r="BF2530" s="549"/>
      <c r="BG2530" s="391">
        <f>SUM($AV$2420:AV2530)</f>
        <v>-328.61904761901911</v>
      </c>
      <c r="BH2530" s="392">
        <f>SUM($AU$2420:AU2530)</f>
        <v>-845.00000000000512</v>
      </c>
      <c r="BI2530" s="318">
        <f>SUMIFS($AU$2420:AU2683,$Q$2420:Q2683,"F")</f>
        <v>-143.99999999999949</v>
      </c>
      <c r="BJ2530" s="318">
        <f>SUMIFS($AU$2420:AU2683,$Q$2420:Q2683,"S")</f>
        <v>256.00000000000466</v>
      </c>
      <c r="BK2530" s="343">
        <f>SUMIFS($AU$2420:AU2683,$P$2420:P2683,"W")</f>
        <v>-607.99999999991883</v>
      </c>
      <c r="BL2530" s="343">
        <f>SUMIFS($AU$2420:AU2683,$P$2420:P2683,"R")</f>
        <v>911.99999999999966</v>
      </c>
      <c r="BM2530" s="343">
        <f>SUMIFS($AU$2420:AU2683,$AQ$2420:AQ2683,"M")</f>
        <v>-899.79999999984489</v>
      </c>
      <c r="BN2530" s="343">
        <f>SUMIFS($AU$2420:AU2683,$AQ$2420:AQ2683,"H")</f>
        <v>1762.9999999999427</v>
      </c>
      <c r="BO2530" s="343">
        <f>SUMIFS($AU$2420:AU2683,$AQ$2420:AQ2683,"D")</f>
        <v>-767.99999999998977</v>
      </c>
      <c r="BP2530" s="343">
        <f>SUMIFS($AS$2420:AS2771,$AO$2420:AO2771,"W")</f>
        <v>0</v>
      </c>
      <c r="BQ2530" s="343">
        <f>SUMIFS($AU$2420:AU2683,$Q$2420:Q2683,"O")</f>
        <v>-884.7999999998965</v>
      </c>
      <c r="BR2530" s="343">
        <f>SUMIFS($AU$2420:AU2683,$AA$2420:AA2683,"*")</f>
        <v>-512.79999999998074</v>
      </c>
      <c r="BS2530" s="343">
        <f>SUMIFS($AU$2420:AU2683,$AB$2420:AB2683,"*")</f>
        <v>-451.99999999997726</v>
      </c>
      <c r="BT2530" s="343">
        <f>SUMIFS($AU$2420:AU2683,$AC$2420:AC2683,"*")</f>
        <v>-143.99999999999909</v>
      </c>
      <c r="BU2530" s="343">
        <f>SUMIFS($AU$2420:AU2683,$AA$2420:AA2683,"*",$AB$2420:AB2683,"*")</f>
        <v>95.999999999933891</v>
      </c>
      <c r="BV2530" s="343">
        <f>SUMIFS($AU$2420:AU2683,$AA$2420:AA2683,"*",$AC$2420:AC2683,"*")</f>
        <v>-591.99999999999977</v>
      </c>
      <c r="BW2530" s="343">
        <f>SUMIFS($AU$2420:AU2683,$AB$2420:AB2683,"*",$AC$2420:AC2683,"*")</f>
        <v>-143.99999999999966</v>
      </c>
      <c r="BX2530" s="343">
        <f>SUMIFS($AV$2420:AV2683,$Q$2420:Q2683,"F")</f>
        <v>18.153846153846242</v>
      </c>
      <c r="BY2530" s="343">
        <f>SUMIFS($AV$2420:AV2683,$Q$2420:Q2683,"S")</f>
        <v>64.044720496894826</v>
      </c>
      <c r="BZ2530" s="343">
        <f>SUMIFS($AV$2420:AV2683,$Q$2420:Q2683,"O")</f>
        <v>-458.13333333332537</v>
      </c>
    </row>
    <row r="2531" spans="1:78" ht="15.75" customHeight="1">
      <c r="A2531" s="663" t="s">
        <v>7813</v>
      </c>
      <c r="B2531" s="200">
        <v>45569</v>
      </c>
      <c r="C2531" s="178" t="s">
        <v>7714</v>
      </c>
      <c r="D2531" s="178" t="s">
        <v>111</v>
      </c>
      <c r="E2531" s="227"/>
      <c r="F2531" s="180"/>
      <c r="G2531" s="181" t="s">
        <v>7839</v>
      </c>
      <c r="H2531" s="182"/>
      <c r="I2531" s="182"/>
      <c r="J2531" s="182"/>
      <c r="K2531" s="183"/>
      <c r="L2531" s="182"/>
      <c r="M2531" s="182"/>
      <c r="N2531" s="182"/>
      <c r="O2531" s="183" t="s">
        <v>95</v>
      </c>
      <c r="P2531" s="183" t="s">
        <v>96</v>
      </c>
      <c r="Q2531" s="183" t="s">
        <v>97</v>
      </c>
      <c r="R2531" s="183">
        <v>2</v>
      </c>
      <c r="S2531" s="183">
        <v>0</v>
      </c>
      <c r="T2531" s="183">
        <v>2</v>
      </c>
      <c r="U2531" s="183" t="s">
        <v>97</v>
      </c>
      <c r="V2531" s="183" t="s">
        <v>7357</v>
      </c>
      <c r="W2531" s="183" t="s">
        <v>115</v>
      </c>
      <c r="X2531" s="183"/>
      <c r="Y2531" s="184">
        <f t="shared" si="881"/>
        <v>0.01</v>
      </c>
      <c r="Z2531" s="185">
        <f t="shared" si="882"/>
        <v>1600</v>
      </c>
      <c r="AA2531" s="185" t="s">
        <v>7840</v>
      </c>
      <c r="AB2531" s="185"/>
      <c r="AC2531" s="185"/>
      <c r="AD2531" s="649">
        <v>-0.24</v>
      </c>
      <c r="AE2531" s="182"/>
      <c r="AF2531" s="332"/>
      <c r="AG2531" s="182"/>
      <c r="AH2531" s="182"/>
      <c r="AI2531" s="182"/>
      <c r="AJ2531" s="640"/>
      <c r="AK2531" s="182"/>
      <c r="AL2531" s="496">
        <f t="shared" si="876"/>
        <v>-32</v>
      </c>
      <c r="AM2531" s="496">
        <f t="shared" si="877"/>
        <v>-64</v>
      </c>
      <c r="AN2531" s="626"/>
      <c r="AO2531" s="182"/>
      <c r="AP2531" s="182"/>
      <c r="AQ2531" s="332" t="s">
        <v>372</v>
      </c>
      <c r="AR2531" s="182" t="s">
        <v>7841</v>
      </c>
      <c r="AS2531" s="189">
        <v>-0.24</v>
      </c>
      <c r="AT2531" s="189">
        <f t="shared" si="878"/>
        <v>0</v>
      </c>
      <c r="AU2531" s="187">
        <f t="shared" si="879"/>
        <v>0</v>
      </c>
      <c r="AV2531" s="190">
        <f t="shared" si="880"/>
        <v>0</v>
      </c>
      <c r="AW2531" s="191" t="s">
        <v>115</v>
      </c>
      <c r="AX2531" s="551"/>
      <c r="AY2531" s="551"/>
      <c r="AZ2531" s="551"/>
      <c r="BA2531" s="551"/>
      <c r="BB2531" s="551"/>
      <c r="BC2531" s="551"/>
      <c r="BD2531" s="549"/>
      <c r="BE2531" s="550"/>
      <c r="BF2531" s="549"/>
      <c r="BG2531" s="391">
        <f>SUM($AV$2420:AV2531)</f>
        <v>-328.61904761901911</v>
      </c>
      <c r="BH2531" s="392">
        <f>SUM($AU$2420:AU2531)</f>
        <v>-845.00000000000512</v>
      </c>
      <c r="BI2531" s="318">
        <f>SUMIFS($AU$2420:AU2684,$Q$2420:Q2684,"F")</f>
        <v>-143.99999999999949</v>
      </c>
      <c r="BJ2531" s="318">
        <f>SUMIFS($AU$2420:AU2684,$Q$2420:Q2684,"S")</f>
        <v>256.00000000000466</v>
      </c>
      <c r="BK2531" s="343">
        <f>SUMIFS($AU$2420:AU2684,$P$2420:P2684,"W")</f>
        <v>-607.99999999991883</v>
      </c>
      <c r="BL2531" s="343">
        <f>SUMIFS($AU$2420:AU2684,$P$2420:P2684,"R")</f>
        <v>911.99999999999966</v>
      </c>
      <c r="BM2531" s="343">
        <f>SUMIFS($AU$2420:AU2684,$AQ$2420:AQ2684,"M")</f>
        <v>-899.79999999984489</v>
      </c>
      <c r="BN2531" s="343">
        <f>SUMIFS($AU$2420:AU2684,$AQ$2420:AQ2684,"H")</f>
        <v>1762.9999999999427</v>
      </c>
      <c r="BO2531" s="343">
        <f>SUMIFS($AU$2420:AU2684,$AQ$2420:AQ2684,"D")</f>
        <v>-767.99999999998977</v>
      </c>
      <c r="BP2531" s="343">
        <f>SUMIFS($AS$2420:AS2772,$AO$2420:AO2772,"W")</f>
        <v>0</v>
      </c>
      <c r="BQ2531" s="343">
        <f>SUMIFS($AU$2420:AU2684,$Q$2420:Q2684,"O")</f>
        <v>-884.7999999998965</v>
      </c>
      <c r="BR2531" s="343">
        <f>SUMIFS($AU$2420:AU2684,$AA$2420:AA2684,"*")</f>
        <v>-512.79999999998074</v>
      </c>
      <c r="BS2531" s="343">
        <f>SUMIFS($AU$2420:AU2684,$AB$2420:AB2684,"*")</f>
        <v>-451.99999999997726</v>
      </c>
      <c r="BT2531" s="343">
        <f>SUMIFS($AU$2420:AU2684,$AC$2420:AC2684,"*")</f>
        <v>-143.99999999999909</v>
      </c>
      <c r="BU2531" s="343">
        <f>SUMIFS($AU$2420:AU2684,$AA$2420:AA2684,"*",$AB$2420:AB2684,"*")</f>
        <v>95.999999999933891</v>
      </c>
      <c r="BV2531" s="343">
        <f>SUMIFS($AU$2420:AU2684,$AA$2420:AA2684,"*",$AC$2420:AC2684,"*")</f>
        <v>-591.99999999999977</v>
      </c>
      <c r="BW2531" s="343">
        <f>SUMIFS($AU$2420:AU2684,$AB$2420:AB2684,"*",$AC$2420:AC2684,"*")</f>
        <v>-143.99999999999966</v>
      </c>
      <c r="BX2531" s="343">
        <f>SUMIFS($AV$2420:AV2684,$Q$2420:Q2684,"F")</f>
        <v>18.153846153846242</v>
      </c>
      <c r="BY2531" s="343">
        <f>SUMIFS($AV$2420:AV2684,$Q$2420:Q2684,"S")</f>
        <v>64.044720496894826</v>
      </c>
      <c r="BZ2531" s="343">
        <f>SUMIFS($AV$2420:AV2684,$Q$2420:Q2684,"O")</f>
        <v>-458.13333333332537</v>
      </c>
    </row>
    <row r="2532" spans="1:78" ht="15.75" customHeight="1">
      <c r="A2532" s="663" t="s">
        <v>7813</v>
      </c>
      <c r="B2532" s="200">
        <v>45569</v>
      </c>
      <c r="C2532" s="178" t="s">
        <v>7303</v>
      </c>
      <c r="D2532" s="178" t="s">
        <v>111</v>
      </c>
      <c r="E2532" s="227"/>
      <c r="F2532" s="180"/>
      <c r="G2532" s="481" t="s">
        <v>7141</v>
      </c>
      <c r="H2532" s="182"/>
      <c r="I2532" s="182"/>
      <c r="J2532" s="182"/>
      <c r="K2532" s="183"/>
      <c r="L2532" s="182"/>
      <c r="M2532" s="182"/>
      <c r="N2532" s="182"/>
      <c r="O2532" s="183" t="s">
        <v>95</v>
      </c>
      <c r="P2532" s="183" t="s">
        <v>96</v>
      </c>
      <c r="Q2532" s="183" t="s">
        <v>97</v>
      </c>
      <c r="R2532" s="183">
        <v>12</v>
      </c>
      <c r="S2532" s="183">
        <v>0</v>
      </c>
      <c r="T2532" s="183">
        <v>12</v>
      </c>
      <c r="U2532" s="183" t="s">
        <v>97</v>
      </c>
      <c r="V2532" s="183" t="s">
        <v>7357</v>
      </c>
      <c r="W2532" s="183" t="s">
        <v>22</v>
      </c>
      <c r="X2532" s="183" t="s">
        <v>7467</v>
      </c>
      <c r="Y2532" s="184">
        <f t="shared" si="881"/>
        <v>0.01</v>
      </c>
      <c r="Z2532" s="185">
        <f t="shared" si="882"/>
        <v>1600</v>
      </c>
      <c r="AA2532" s="185" t="s">
        <v>7842</v>
      </c>
      <c r="AB2532" s="185"/>
      <c r="AC2532" s="185"/>
      <c r="AD2532" s="649">
        <v>-0.06</v>
      </c>
      <c r="AE2532" s="182"/>
      <c r="AF2532" s="332"/>
      <c r="AG2532" s="182"/>
      <c r="AH2532" s="182"/>
      <c r="AI2532" s="182"/>
      <c r="AJ2532" s="640"/>
      <c r="AK2532" s="182"/>
      <c r="AL2532" s="496">
        <f t="shared" si="876"/>
        <v>-32</v>
      </c>
      <c r="AM2532" s="496">
        <f t="shared" si="877"/>
        <v>-384</v>
      </c>
      <c r="AN2532" s="626"/>
      <c r="AO2532" s="182"/>
      <c r="AP2532" s="182"/>
      <c r="AQ2532" s="332" t="s">
        <v>372</v>
      </c>
      <c r="AR2532" s="182" t="s">
        <v>682</v>
      </c>
      <c r="AS2532" s="189">
        <v>-7.0000000000000007E-2</v>
      </c>
      <c r="AT2532" s="189">
        <f t="shared" si="878"/>
        <v>1.0000000000000009E-2</v>
      </c>
      <c r="AU2532" s="187">
        <f t="shared" si="879"/>
        <v>192.00000000000017</v>
      </c>
      <c r="AV2532" s="190">
        <f t="shared" si="880"/>
        <v>16.000000000000014</v>
      </c>
      <c r="AW2532" s="191" t="s">
        <v>96</v>
      </c>
      <c r="AX2532" s="551"/>
      <c r="AY2532" s="551"/>
      <c r="AZ2532" s="551"/>
      <c r="BA2532" s="551"/>
      <c r="BB2532" s="551"/>
      <c r="BC2532" s="551"/>
      <c r="BD2532" s="549"/>
      <c r="BE2532" s="550"/>
      <c r="BF2532" s="549"/>
      <c r="BG2532" s="391">
        <f>SUM($AV$2420:AV2532)</f>
        <v>-312.61904761901911</v>
      </c>
      <c r="BH2532" s="392">
        <f>SUM($AU$2420:AU2532)</f>
        <v>-653.000000000005</v>
      </c>
      <c r="BI2532" s="318">
        <f>SUMIFS($AU$2420:AU2685,$Q$2420:Q2685,"F")</f>
        <v>-143.99999999999949</v>
      </c>
      <c r="BJ2532" s="318">
        <f>SUMIFS($AU$2420:AU2685,$Q$2420:Q2685,"S")</f>
        <v>256.00000000000466</v>
      </c>
      <c r="BK2532" s="343">
        <f>SUMIFS($AU$2420:AU2685,$P$2420:P2685,"W")</f>
        <v>-607.99999999991883</v>
      </c>
      <c r="BL2532" s="343">
        <f>SUMIFS($AU$2420:AU2685,$P$2420:P2685,"R")</f>
        <v>911.99999999999966</v>
      </c>
      <c r="BM2532" s="343">
        <f>SUMIFS($AU$2420:AU2685,$AQ$2420:AQ2685,"M")</f>
        <v>-899.79999999984489</v>
      </c>
      <c r="BN2532" s="343">
        <f>SUMIFS($AU$2420:AU2685,$AQ$2420:AQ2685,"H")</f>
        <v>1762.9999999999427</v>
      </c>
      <c r="BO2532" s="343">
        <f>SUMIFS($AU$2420:AU2685,$AQ$2420:AQ2685,"D")</f>
        <v>-767.99999999998977</v>
      </c>
      <c r="BP2532" s="343">
        <f>SUMIFS($AS$2420:AS2773,$AO$2420:AO2773,"W")</f>
        <v>0</v>
      </c>
      <c r="BQ2532" s="343">
        <f>SUMIFS($AU$2420:AU2685,$Q$2420:Q2685,"O")</f>
        <v>-884.7999999998965</v>
      </c>
      <c r="BR2532" s="343">
        <f>SUMIFS($AU$2420:AU2685,$AA$2420:AA2685,"*")</f>
        <v>-512.79999999998074</v>
      </c>
      <c r="BS2532" s="343">
        <f>SUMIFS($AU$2420:AU2685,$AB$2420:AB2685,"*")</f>
        <v>-451.99999999997726</v>
      </c>
      <c r="BT2532" s="343">
        <f>SUMIFS($AU$2420:AU2685,$AC$2420:AC2685,"*")</f>
        <v>-143.99999999999909</v>
      </c>
      <c r="BU2532" s="343">
        <f>SUMIFS($AU$2420:AU2685,$AA$2420:AA2685,"*",$AB$2420:AB2685,"*")</f>
        <v>95.999999999933891</v>
      </c>
      <c r="BV2532" s="343">
        <f>SUMIFS($AU$2420:AU2685,$AA$2420:AA2685,"*",$AC$2420:AC2685,"*")</f>
        <v>-591.99999999999977</v>
      </c>
      <c r="BW2532" s="343">
        <f>SUMIFS($AU$2420:AU2685,$AB$2420:AB2685,"*",$AC$2420:AC2685,"*")</f>
        <v>-143.99999999999966</v>
      </c>
      <c r="BX2532" s="343">
        <f>SUMIFS($AV$2420:AV2685,$Q$2420:Q2685,"F")</f>
        <v>18.153846153846242</v>
      </c>
      <c r="BY2532" s="343">
        <f>SUMIFS($AV$2420:AV2685,$Q$2420:Q2685,"S")</f>
        <v>64.044720496894826</v>
      </c>
      <c r="BZ2532" s="343">
        <f>SUMIFS($AV$2420:AV2685,$Q$2420:Q2685,"O")</f>
        <v>-458.13333333332537</v>
      </c>
    </row>
    <row r="2533" spans="1:78" ht="15.75" customHeight="1">
      <c r="A2533" s="663" t="s">
        <v>7813</v>
      </c>
      <c r="B2533" s="200">
        <v>45569</v>
      </c>
      <c r="C2533" s="178" t="s">
        <v>1728</v>
      </c>
      <c r="D2533" s="178" t="s">
        <v>111</v>
      </c>
      <c r="E2533" s="227" t="s">
        <v>7843</v>
      </c>
      <c r="F2533" s="180" t="s">
        <v>7749</v>
      </c>
      <c r="G2533" s="181"/>
      <c r="H2533" s="182">
        <v>1</v>
      </c>
      <c r="I2533" s="182"/>
      <c r="J2533" s="182"/>
      <c r="K2533" s="183" t="s">
        <v>372</v>
      </c>
      <c r="L2533" s="182"/>
      <c r="M2533" s="182"/>
      <c r="N2533" s="182"/>
      <c r="O2533" s="183"/>
      <c r="P2533" s="183"/>
      <c r="Q2533" s="183"/>
      <c r="R2533" s="183"/>
      <c r="S2533" s="183"/>
      <c r="T2533" s="183"/>
      <c r="U2533" s="183"/>
      <c r="V2533" s="183"/>
      <c r="W2533" s="183"/>
      <c r="X2533" s="183"/>
      <c r="Y2533" s="183"/>
      <c r="Z2533" s="183"/>
      <c r="AA2533" s="185"/>
      <c r="AB2533" s="185"/>
      <c r="AC2533" s="185"/>
      <c r="AD2533" s="649"/>
      <c r="AE2533" s="182"/>
      <c r="AF2533" s="332"/>
      <c r="AG2533" s="182"/>
      <c r="AH2533" s="182"/>
      <c r="AI2533" s="182"/>
      <c r="AJ2533" s="640"/>
      <c r="AK2533" s="182"/>
      <c r="AL2533" s="496">
        <f t="shared" si="876"/>
        <v>0</v>
      </c>
      <c r="AM2533" s="496">
        <f t="shared" si="877"/>
        <v>0</v>
      </c>
      <c r="AN2533" s="626"/>
      <c r="AO2533" s="182"/>
      <c r="AP2533" s="182"/>
      <c r="AQ2533" s="332" t="str">
        <f>UPPER(RIGHT(Journal_Live[[#This Row],[DURATION ]]))</f>
        <v/>
      </c>
      <c r="AR2533" s="182"/>
      <c r="AS2533" s="189"/>
      <c r="AT2533" s="189">
        <f t="shared" si="878"/>
        <v>0</v>
      </c>
      <c r="AU2533" s="187">
        <f t="shared" si="879"/>
        <v>0</v>
      </c>
      <c r="AV2533" s="190">
        <f t="shared" si="880"/>
        <v>0</v>
      </c>
      <c r="AW2533" s="191"/>
      <c r="AX2533" s="551"/>
      <c r="AY2533" s="551"/>
      <c r="AZ2533" s="551"/>
      <c r="BA2533" s="551"/>
      <c r="BB2533" s="551"/>
      <c r="BC2533" s="551"/>
      <c r="BD2533" s="549"/>
      <c r="BE2533" s="550"/>
      <c r="BF2533" s="549"/>
      <c r="BG2533" s="391">
        <f>SUM($AV$2420:AV2533)</f>
        <v>-312.61904761901911</v>
      </c>
      <c r="BH2533" s="392">
        <f>SUM($AU$2420:AU2533)</f>
        <v>-653.000000000005</v>
      </c>
      <c r="BI2533" s="318">
        <f>SUMIFS($AU$2420:AU2686,$Q$2420:Q2686,"F")</f>
        <v>-143.99999999999949</v>
      </c>
      <c r="BJ2533" s="318">
        <f>SUMIFS($AU$2420:AU2686,$Q$2420:Q2686,"S")</f>
        <v>256.00000000000466</v>
      </c>
      <c r="BK2533" s="343">
        <f>SUMIFS($AU$2420:AU2686,$P$2420:P2686,"W")</f>
        <v>-607.99999999991883</v>
      </c>
      <c r="BL2533" s="343">
        <f>SUMIFS($AU$2420:AU2686,$P$2420:P2686,"R")</f>
        <v>911.99999999999966</v>
      </c>
      <c r="BM2533" s="343">
        <f>SUMIFS($AU$2420:AU2686,$AQ$2420:AQ2686,"M")</f>
        <v>-899.79999999984489</v>
      </c>
      <c r="BN2533" s="343">
        <f>SUMIFS($AU$2420:AU2686,$AQ$2420:AQ2686,"H")</f>
        <v>1762.9999999999427</v>
      </c>
      <c r="BO2533" s="343">
        <f>SUMIFS($AU$2420:AU2686,$AQ$2420:AQ2686,"D")</f>
        <v>-767.99999999998977</v>
      </c>
      <c r="BP2533" s="343">
        <f>SUMIFS($AS$2420:AS2774,$AO$2420:AO2774,"W")</f>
        <v>0</v>
      </c>
      <c r="BQ2533" s="343">
        <f>SUMIFS($AU$2420:AU2686,$Q$2420:Q2686,"O")</f>
        <v>-884.7999999998965</v>
      </c>
      <c r="BR2533" s="343">
        <f>SUMIFS($AU$2420:AU2686,$AA$2420:AA2686,"*")</f>
        <v>-512.79999999998074</v>
      </c>
      <c r="BS2533" s="343">
        <f>SUMIFS($AU$2420:AU2686,$AB$2420:AB2686,"*")</f>
        <v>-451.99999999997726</v>
      </c>
      <c r="BT2533" s="343">
        <f>SUMIFS($AU$2420:AU2686,$AC$2420:AC2686,"*")</f>
        <v>-143.99999999999909</v>
      </c>
      <c r="BU2533" s="343">
        <f>SUMIFS($AU$2420:AU2686,$AA$2420:AA2686,"*",$AB$2420:AB2686,"*")</f>
        <v>95.999999999933891</v>
      </c>
      <c r="BV2533" s="343">
        <f>SUMIFS($AU$2420:AU2686,$AA$2420:AA2686,"*",$AC$2420:AC2686,"*")</f>
        <v>-591.99999999999977</v>
      </c>
      <c r="BW2533" s="343">
        <f>SUMIFS($AU$2420:AU2686,$AB$2420:AB2686,"*",$AC$2420:AC2686,"*")</f>
        <v>-143.99999999999966</v>
      </c>
      <c r="BX2533" s="343">
        <f>SUMIFS($AV$2420:AV2686,$Q$2420:Q2686,"F")</f>
        <v>18.153846153846242</v>
      </c>
      <c r="BY2533" s="343">
        <f>SUMIFS($AV$2420:AV2686,$Q$2420:Q2686,"S")</f>
        <v>64.044720496894826</v>
      </c>
      <c r="BZ2533" s="343">
        <f>SUMIFS($AV$2420:AV2686,$Q$2420:Q2686,"O")</f>
        <v>-458.13333333332537</v>
      </c>
    </row>
    <row r="2534" spans="1:78" ht="15.75" customHeight="1">
      <c r="A2534" s="663" t="s">
        <v>7813</v>
      </c>
      <c r="B2534" s="200"/>
      <c r="C2534" s="178"/>
      <c r="D2534" s="178"/>
      <c r="E2534" s="227" t="s">
        <v>7844</v>
      </c>
      <c r="F2534" s="180" t="s">
        <v>7845</v>
      </c>
      <c r="G2534" s="181"/>
      <c r="H2534" s="182"/>
      <c r="I2534" s="182"/>
      <c r="J2534" s="182">
        <v>1</v>
      </c>
      <c r="K2534" s="183" t="s">
        <v>372</v>
      </c>
      <c r="L2534" s="182"/>
      <c r="M2534" s="182"/>
      <c r="N2534" s="182"/>
      <c r="O2534" s="183"/>
      <c r="P2534" s="183"/>
      <c r="Q2534" s="183"/>
      <c r="R2534" s="183"/>
      <c r="S2534" s="183"/>
      <c r="T2534" s="183"/>
      <c r="U2534" s="183"/>
      <c r="V2534" s="183"/>
      <c r="W2534" s="183"/>
      <c r="X2534" s="183"/>
      <c r="Y2534" s="183"/>
      <c r="Z2534" s="183"/>
      <c r="AA2534" s="185"/>
      <c r="AB2534" s="185"/>
      <c r="AC2534" s="185"/>
      <c r="AD2534" s="649"/>
      <c r="AE2534" s="182"/>
      <c r="AF2534" s="332"/>
      <c r="AG2534" s="182"/>
      <c r="AH2534" s="182"/>
      <c r="AI2534" s="182"/>
      <c r="AJ2534" s="640"/>
      <c r="AK2534" s="182"/>
      <c r="AL2534" s="496">
        <f t="shared" si="876"/>
        <v>0</v>
      </c>
      <c r="AM2534" s="496">
        <f t="shared" si="877"/>
        <v>0</v>
      </c>
      <c r="AN2534" s="626"/>
      <c r="AO2534" s="182"/>
      <c r="AP2534" s="182"/>
      <c r="AQ2534" s="332" t="str">
        <f>UPPER(RIGHT(Journal_Live[[#This Row],[DURATION ]]))</f>
        <v/>
      </c>
      <c r="AR2534" s="182"/>
      <c r="AS2534" s="189"/>
      <c r="AT2534" s="189">
        <f t="shared" si="878"/>
        <v>0</v>
      </c>
      <c r="AU2534" s="187">
        <f t="shared" si="879"/>
        <v>0</v>
      </c>
      <c r="AV2534" s="190">
        <f t="shared" si="880"/>
        <v>0</v>
      </c>
      <c r="AW2534" s="191"/>
      <c r="AX2534" s="551"/>
      <c r="AY2534" s="551"/>
      <c r="AZ2534" s="551"/>
      <c r="BA2534" s="551"/>
      <c r="BB2534" s="551"/>
      <c r="BC2534" s="551"/>
      <c r="BD2534" s="549"/>
      <c r="BE2534" s="550"/>
      <c r="BF2534" s="549"/>
      <c r="BG2534" s="391">
        <f>SUM($AV$2420:AV2534)</f>
        <v>-312.61904761901911</v>
      </c>
      <c r="BH2534" s="392">
        <f>SUM($AU$2420:AU2534)</f>
        <v>-653.000000000005</v>
      </c>
      <c r="BI2534" s="318">
        <f>SUMIFS($AU$2420:AU2687,$Q$2420:Q2687,"F")</f>
        <v>-143.99999999999949</v>
      </c>
      <c r="BJ2534" s="318">
        <f>SUMIFS($AU$2420:AU2687,$Q$2420:Q2687,"S")</f>
        <v>256.00000000000466</v>
      </c>
      <c r="BK2534" s="343">
        <f>SUMIFS($AU$2420:AU2687,$P$2420:P2687,"W")</f>
        <v>-607.99999999991883</v>
      </c>
      <c r="BL2534" s="343">
        <f>SUMIFS($AU$2420:AU2687,$P$2420:P2687,"R")</f>
        <v>911.99999999999966</v>
      </c>
      <c r="BM2534" s="343">
        <f>SUMIFS($AU$2420:AU2687,$AQ$2420:AQ2687,"M")</f>
        <v>-899.79999999984489</v>
      </c>
      <c r="BN2534" s="343">
        <f>SUMIFS($AU$2420:AU2687,$AQ$2420:AQ2687,"H")</f>
        <v>1762.9999999999427</v>
      </c>
      <c r="BO2534" s="343">
        <f>SUMIFS($AU$2420:AU2687,$AQ$2420:AQ2687,"D")</f>
        <v>-767.99999999998977</v>
      </c>
      <c r="BP2534" s="343">
        <f>SUMIFS($AS$2420:AS2775,$AO$2420:AO2775,"W")</f>
        <v>0</v>
      </c>
      <c r="BQ2534" s="343">
        <f>SUMIFS($AU$2420:AU2687,$Q$2420:Q2687,"O")</f>
        <v>-884.7999999998965</v>
      </c>
      <c r="BR2534" s="343">
        <f>SUMIFS($AU$2420:AU2687,$AA$2420:AA2687,"*")</f>
        <v>-512.79999999998074</v>
      </c>
      <c r="BS2534" s="343">
        <f>SUMIFS($AU$2420:AU2687,$AB$2420:AB2687,"*")</f>
        <v>-451.99999999997726</v>
      </c>
      <c r="BT2534" s="343">
        <f>SUMIFS($AU$2420:AU2687,$AC$2420:AC2687,"*")</f>
        <v>-143.99999999999909</v>
      </c>
      <c r="BU2534" s="343">
        <f>SUMIFS($AU$2420:AU2687,$AA$2420:AA2687,"*",$AB$2420:AB2687,"*")</f>
        <v>95.999999999933891</v>
      </c>
      <c r="BV2534" s="343">
        <f>SUMIFS($AU$2420:AU2687,$AA$2420:AA2687,"*",$AC$2420:AC2687,"*")</f>
        <v>-591.99999999999977</v>
      </c>
      <c r="BW2534" s="343">
        <f>SUMIFS($AU$2420:AU2687,$AB$2420:AB2687,"*",$AC$2420:AC2687,"*")</f>
        <v>-143.99999999999966</v>
      </c>
      <c r="BX2534" s="343">
        <f>SUMIFS($AV$2420:AV2687,$Q$2420:Q2687,"F")</f>
        <v>18.153846153846242</v>
      </c>
      <c r="BY2534" s="343">
        <f>SUMIFS($AV$2420:AV2687,$Q$2420:Q2687,"S")</f>
        <v>64.044720496894826</v>
      </c>
      <c r="BZ2534" s="343">
        <f>SUMIFS($AV$2420:AV2687,$Q$2420:Q2687,"O")</f>
        <v>-458.13333333332537</v>
      </c>
    </row>
    <row r="2535" spans="1:78" ht="15.75" customHeight="1">
      <c r="A2535" s="663" t="s">
        <v>7813</v>
      </c>
      <c r="B2535" s="200">
        <v>45569</v>
      </c>
      <c r="C2535" s="178" t="s">
        <v>682</v>
      </c>
      <c r="D2535" s="178" t="s">
        <v>111</v>
      </c>
      <c r="E2535" s="227"/>
      <c r="F2535" s="180"/>
      <c r="G2535" s="481" t="s">
        <v>7846</v>
      </c>
      <c r="H2535" s="182"/>
      <c r="I2535" s="182"/>
      <c r="J2535" s="182"/>
      <c r="K2535" s="183"/>
      <c r="L2535" s="182"/>
      <c r="M2535" s="182"/>
      <c r="N2535" s="182"/>
      <c r="O2535" s="183" t="s">
        <v>95</v>
      </c>
      <c r="P2535" s="183" t="s">
        <v>96</v>
      </c>
      <c r="Q2535" s="183" t="s">
        <v>256</v>
      </c>
      <c r="R2535" s="183">
        <v>12</v>
      </c>
      <c r="S2535" s="183">
        <v>0</v>
      </c>
      <c r="T2535" s="183">
        <v>12</v>
      </c>
      <c r="U2535" s="183" t="s">
        <v>22</v>
      </c>
      <c r="V2535" s="183" t="s">
        <v>7357</v>
      </c>
      <c r="W2535" s="183" t="s">
        <v>22</v>
      </c>
      <c r="X2535" s="183" t="s">
        <v>7473</v>
      </c>
      <c r="Y2535" s="184">
        <f t="shared" ref="Y2535:Y2541" si="883">IF(ISBLANK(O2535),"",(IF(O2535=UPPER("IB"),0.005,0.01)))</f>
        <v>0.01</v>
      </c>
      <c r="Z2535" s="185">
        <f t="shared" ref="Z2535:Z2541" si="884">IF(ISBLANK(O2535),"",IF(O2535="IB",8.63*200,IF(O2535="IR",16*100,IF(O2535="YT",20*100,IF(O2535="YT-XT",24*200,IF(O2535="TED",80*100,IF(O2535="XT",29*200)))))))</f>
        <v>1600</v>
      </c>
      <c r="AA2535" s="185" t="s">
        <v>7847</v>
      </c>
      <c r="AB2535" s="185"/>
      <c r="AC2535" s="185"/>
      <c r="AD2535" s="649">
        <v>-0.1</v>
      </c>
      <c r="AE2535" s="182"/>
      <c r="AF2535" s="332"/>
      <c r="AG2535" s="182"/>
      <c r="AH2535" s="182"/>
      <c r="AI2535" s="182"/>
      <c r="AJ2535" s="640"/>
      <c r="AK2535" s="182"/>
      <c r="AL2535" s="496">
        <f t="shared" si="876"/>
        <v>-32</v>
      </c>
      <c r="AM2535" s="496">
        <f t="shared" si="877"/>
        <v>-384</v>
      </c>
      <c r="AN2535" s="626"/>
      <c r="AO2535" s="182"/>
      <c r="AP2535" s="182"/>
      <c r="AQ2535" s="332"/>
      <c r="AR2535" s="182"/>
      <c r="AS2535" s="189">
        <v>-0.1</v>
      </c>
      <c r="AT2535" s="189">
        <f t="shared" si="878"/>
        <v>0</v>
      </c>
      <c r="AU2535" s="187">
        <f t="shared" si="879"/>
        <v>0</v>
      </c>
      <c r="AV2535" s="190">
        <f t="shared" si="880"/>
        <v>0</v>
      </c>
      <c r="AW2535" s="191" t="s">
        <v>115</v>
      </c>
      <c r="AX2535" s="551"/>
      <c r="AY2535" s="551"/>
      <c r="AZ2535" s="551"/>
      <c r="BA2535" s="551"/>
      <c r="BB2535" s="551"/>
      <c r="BC2535" s="551"/>
      <c r="BD2535" s="549"/>
      <c r="BE2535" s="550"/>
      <c r="BF2535" s="549"/>
      <c r="BG2535" s="391">
        <f>SUM($AV$2420:AV2535)</f>
        <v>-312.61904761901911</v>
      </c>
      <c r="BH2535" s="392">
        <f>SUM($AU$2420:AU2535)</f>
        <v>-653.000000000005</v>
      </c>
      <c r="BI2535" s="318">
        <f>SUMIFS($AU$2420:AU2688,$Q$2420:Q2688,"F")</f>
        <v>-143.99999999999949</v>
      </c>
      <c r="BJ2535" s="318">
        <f>SUMIFS($AU$2420:AU2688,$Q$2420:Q2688,"S")</f>
        <v>256.00000000000466</v>
      </c>
      <c r="BK2535" s="343">
        <f>SUMIFS($AU$2420:AU2688,$P$2420:P2688,"W")</f>
        <v>-607.99999999991883</v>
      </c>
      <c r="BL2535" s="343">
        <f>SUMIFS($AU$2420:AU2688,$P$2420:P2688,"R")</f>
        <v>911.99999999999966</v>
      </c>
      <c r="BM2535" s="343">
        <f>SUMIFS($AU$2420:AU2688,$AQ$2420:AQ2688,"M")</f>
        <v>-899.79999999984489</v>
      </c>
      <c r="BN2535" s="343">
        <f>SUMIFS($AU$2420:AU2688,$AQ$2420:AQ2688,"H")</f>
        <v>1762.9999999999427</v>
      </c>
      <c r="BO2535" s="343">
        <f>SUMIFS($AU$2420:AU2688,$AQ$2420:AQ2688,"D")</f>
        <v>-767.99999999998977</v>
      </c>
      <c r="BP2535" s="343">
        <f>SUMIFS($AS$2420:AS2776,$AO$2420:AO2776,"W")</f>
        <v>0</v>
      </c>
      <c r="BQ2535" s="343">
        <f>SUMIFS($AU$2420:AU2688,$Q$2420:Q2688,"O")</f>
        <v>-884.7999999998965</v>
      </c>
      <c r="BR2535" s="343">
        <f>SUMIFS($AU$2420:AU2688,$AA$2420:AA2688,"*")</f>
        <v>-512.79999999998074</v>
      </c>
      <c r="BS2535" s="343">
        <f>SUMIFS($AU$2420:AU2688,$AB$2420:AB2688,"*")</f>
        <v>-451.99999999997726</v>
      </c>
      <c r="BT2535" s="343">
        <f>SUMIFS($AU$2420:AU2688,$AC$2420:AC2688,"*")</f>
        <v>-143.99999999999909</v>
      </c>
      <c r="BU2535" s="343">
        <f>SUMIFS($AU$2420:AU2688,$AA$2420:AA2688,"*",$AB$2420:AB2688,"*")</f>
        <v>95.999999999933891</v>
      </c>
      <c r="BV2535" s="343">
        <f>SUMIFS($AU$2420:AU2688,$AA$2420:AA2688,"*",$AC$2420:AC2688,"*")</f>
        <v>-591.99999999999977</v>
      </c>
      <c r="BW2535" s="343">
        <f>SUMIFS($AU$2420:AU2688,$AB$2420:AB2688,"*",$AC$2420:AC2688,"*")</f>
        <v>-143.99999999999966</v>
      </c>
      <c r="BX2535" s="343">
        <f>SUMIFS($AV$2420:AV2688,$Q$2420:Q2688,"F")</f>
        <v>18.153846153846242</v>
      </c>
      <c r="BY2535" s="343">
        <f>SUMIFS($AV$2420:AV2688,$Q$2420:Q2688,"S")</f>
        <v>64.044720496894826</v>
      </c>
      <c r="BZ2535" s="343">
        <f>SUMIFS($AV$2420:AV2688,$Q$2420:Q2688,"O")</f>
        <v>-458.13333333332537</v>
      </c>
    </row>
    <row r="2536" spans="1:78" ht="15.75" customHeight="1">
      <c r="A2536" s="663" t="s">
        <v>7813</v>
      </c>
      <c r="B2536" s="200">
        <v>45569</v>
      </c>
      <c r="C2536" s="178" t="s">
        <v>682</v>
      </c>
      <c r="D2536" s="178" t="s">
        <v>111</v>
      </c>
      <c r="E2536" s="227"/>
      <c r="F2536" s="180"/>
      <c r="G2536" s="481" t="s">
        <v>7848</v>
      </c>
      <c r="H2536" s="182"/>
      <c r="I2536" s="182"/>
      <c r="J2536" s="182"/>
      <c r="K2536" s="183"/>
      <c r="L2536" s="182"/>
      <c r="M2536" s="182"/>
      <c r="N2536" s="182"/>
      <c r="O2536" s="183" t="s">
        <v>95</v>
      </c>
      <c r="P2536" s="183" t="s">
        <v>96</v>
      </c>
      <c r="Q2536" s="183" t="s">
        <v>97</v>
      </c>
      <c r="R2536" s="183">
        <v>2</v>
      </c>
      <c r="S2536" s="183">
        <v>0</v>
      </c>
      <c r="T2536" s="183">
        <v>2</v>
      </c>
      <c r="U2536" s="183" t="s">
        <v>22</v>
      </c>
      <c r="V2536" s="183" t="s">
        <v>7357</v>
      </c>
      <c r="W2536" s="183" t="s">
        <v>22</v>
      </c>
      <c r="X2536" s="183" t="s">
        <v>7497</v>
      </c>
      <c r="Y2536" s="184">
        <f t="shared" si="883"/>
        <v>0.01</v>
      </c>
      <c r="Z2536" s="185">
        <f t="shared" si="884"/>
        <v>1600</v>
      </c>
      <c r="AA2536" s="185" t="s">
        <v>7849</v>
      </c>
      <c r="AB2536" s="185"/>
      <c r="AC2536" s="185"/>
      <c r="AD2536" s="649">
        <v>-0.15</v>
      </c>
      <c r="AE2536" s="182"/>
      <c r="AF2536" s="332"/>
      <c r="AG2536" s="182"/>
      <c r="AH2536" s="182"/>
      <c r="AI2536" s="182"/>
      <c r="AJ2536" s="640"/>
      <c r="AK2536" s="182"/>
      <c r="AL2536" s="496">
        <f t="shared" si="876"/>
        <v>-32</v>
      </c>
      <c r="AM2536" s="496">
        <f t="shared" si="877"/>
        <v>-64</v>
      </c>
      <c r="AN2536" s="626"/>
      <c r="AO2536" s="182"/>
      <c r="AP2536" s="182"/>
      <c r="AQ2536" s="332"/>
      <c r="AR2536" s="182"/>
      <c r="AS2536" s="189">
        <v>-0.15</v>
      </c>
      <c r="AT2536" s="189">
        <f t="shared" si="878"/>
        <v>0</v>
      </c>
      <c r="AU2536" s="187">
        <f t="shared" si="879"/>
        <v>0</v>
      </c>
      <c r="AV2536" s="190">
        <f t="shared" si="880"/>
        <v>0</v>
      </c>
      <c r="AW2536" s="191" t="s">
        <v>115</v>
      </c>
      <c r="AX2536" s="551"/>
      <c r="AY2536" s="551"/>
      <c r="AZ2536" s="551"/>
      <c r="BA2536" s="551"/>
      <c r="BB2536" s="551"/>
      <c r="BC2536" s="551"/>
      <c r="BD2536" s="549"/>
      <c r="BE2536" s="550"/>
      <c r="BF2536" s="549"/>
      <c r="BG2536" s="391">
        <f>SUM($AV$2420:AV2536)</f>
        <v>-312.61904761901911</v>
      </c>
      <c r="BH2536" s="392">
        <f>SUM($AU$2420:AU2536)</f>
        <v>-653.000000000005</v>
      </c>
      <c r="BI2536" s="318">
        <f>SUMIFS($AU$2420:AU2689,$Q$2420:Q2689,"F")</f>
        <v>-143.99999999999949</v>
      </c>
      <c r="BJ2536" s="318">
        <f>SUMIFS($AU$2420:AU2689,$Q$2420:Q2689,"S")</f>
        <v>256.00000000000466</v>
      </c>
      <c r="BK2536" s="343">
        <f>SUMIFS($AU$2420:AU2689,$P$2420:P2689,"W")</f>
        <v>-607.99999999991883</v>
      </c>
      <c r="BL2536" s="343">
        <f>SUMIFS($AU$2420:AU2689,$P$2420:P2689,"R")</f>
        <v>911.99999999999966</v>
      </c>
      <c r="BM2536" s="343">
        <f>SUMIFS($AU$2420:AU2689,$AQ$2420:AQ2689,"M")</f>
        <v>-899.79999999984489</v>
      </c>
      <c r="BN2536" s="343">
        <f>SUMIFS($AU$2420:AU2689,$AQ$2420:AQ2689,"H")</f>
        <v>1762.9999999999427</v>
      </c>
      <c r="BO2536" s="343">
        <f>SUMIFS($AU$2420:AU2689,$AQ$2420:AQ2689,"D")</f>
        <v>-767.99999999998977</v>
      </c>
      <c r="BP2536" s="343">
        <f>SUMIFS($AS$2420:AS2777,$AO$2420:AO2777,"W")</f>
        <v>0</v>
      </c>
      <c r="BQ2536" s="343">
        <f>SUMIFS($AU$2420:AU2689,$Q$2420:Q2689,"O")</f>
        <v>-884.7999999998965</v>
      </c>
      <c r="BR2536" s="343">
        <f>SUMIFS($AU$2420:AU2689,$AA$2420:AA2689,"*")</f>
        <v>-512.79999999998074</v>
      </c>
      <c r="BS2536" s="343">
        <f>SUMIFS($AU$2420:AU2689,$AB$2420:AB2689,"*")</f>
        <v>-451.99999999997726</v>
      </c>
      <c r="BT2536" s="343">
        <f>SUMIFS($AU$2420:AU2689,$AC$2420:AC2689,"*")</f>
        <v>-143.99999999999909</v>
      </c>
      <c r="BU2536" s="343">
        <f>SUMIFS($AU$2420:AU2689,$AA$2420:AA2689,"*",$AB$2420:AB2689,"*")</f>
        <v>95.999999999933891</v>
      </c>
      <c r="BV2536" s="343">
        <f>SUMIFS($AU$2420:AU2689,$AA$2420:AA2689,"*",$AC$2420:AC2689,"*")</f>
        <v>-591.99999999999977</v>
      </c>
      <c r="BW2536" s="343">
        <f>SUMIFS($AU$2420:AU2689,$AB$2420:AB2689,"*",$AC$2420:AC2689,"*")</f>
        <v>-143.99999999999966</v>
      </c>
      <c r="BX2536" s="343">
        <f>SUMIFS($AV$2420:AV2689,$Q$2420:Q2689,"F")</f>
        <v>18.153846153846242</v>
      </c>
      <c r="BY2536" s="343">
        <f>SUMIFS($AV$2420:AV2689,$Q$2420:Q2689,"S")</f>
        <v>64.044720496894826</v>
      </c>
      <c r="BZ2536" s="343">
        <f>SUMIFS($AV$2420:AV2689,$Q$2420:Q2689,"O")</f>
        <v>-458.13333333332537</v>
      </c>
    </row>
    <row r="2537" spans="1:78" ht="15.75" customHeight="1">
      <c r="A2537" s="663" t="s">
        <v>7813</v>
      </c>
      <c r="B2537" s="200">
        <v>45569</v>
      </c>
      <c r="C2537" s="178" t="s">
        <v>682</v>
      </c>
      <c r="D2537" s="178" t="s">
        <v>111</v>
      </c>
      <c r="E2537" s="227"/>
      <c r="F2537" s="180"/>
      <c r="G2537" s="481" t="s">
        <v>3334</v>
      </c>
      <c r="H2537" s="182"/>
      <c r="I2537" s="182"/>
      <c r="J2537" s="182"/>
      <c r="K2537" s="183"/>
      <c r="L2537" s="182"/>
      <c r="M2537" s="182"/>
      <c r="N2537" s="182"/>
      <c r="O2537" s="183" t="s">
        <v>95</v>
      </c>
      <c r="P2537" s="183" t="s">
        <v>96</v>
      </c>
      <c r="Q2537" s="183" t="s">
        <v>97</v>
      </c>
      <c r="R2537" s="183">
        <v>5</v>
      </c>
      <c r="S2537" s="183">
        <v>0</v>
      </c>
      <c r="T2537" s="183">
        <v>5</v>
      </c>
      <c r="U2537" s="183" t="s">
        <v>97</v>
      </c>
      <c r="V2537" s="183"/>
      <c r="W2537" s="183"/>
      <c r="X2537" s="183" t="s">
        <v>7488</v>
      </c>
      <c r="Y2537" s="184">
        <f t="shared" si="883"/>
        <v>0.01</v>
      </c>
      <c r="Z2537" s="185">
        <f t="shared" si="884"/>
        <v>1600</v>
      </c>
      <c r="AA2537" s="185" t="s">
        <v>4954</v>
      </c>
      <c r="AB2537" s="185"/>
      <c r="AC2537" s="185"/>
      <c r="AD2537" s="649">
        <v>-0.15</v>
      </c>
      <c r="AE2537" s="182"/>
      <c r="AF2537" s="332"/>
      <c r="AG2537" s="182"/>
      <c r="AH2537" s="182"/>
      <c r="AI2537" s="182"/>
      <c r="AJ2537" s="640"/>
      <c r="AK2537" s="182"/>
      <c r="AL2537" s="496">
        <f t="shared" si="876"/>
        <v>-32</v>
      </c>
      <c r="AM2537" s="496">
        <f t="shared" si="877"/>
        <v>-160</v>
      </c>
      <c r="AN2537" s="626"/>
      <c r="AO2537" s="182"/>
      <c r="AP2537" s="182"/>
      <c r="AQ2537" s="332" t="s">
        <v>1259</v>
      </c>
      <c r="AR2537" s="182"/>
      <c r="AS2537" s="189">
        <v>-0.15</v>
      </c>
      <c r="AT2537" s="189">
        <f t="shared" si="878"/>
        <v>0</v>
      </c>
      <c r="AU2537" s="187">
        <f t="shared" si="879"/>
        <v>0</v>
      </c>
      <c r="AV2537" s="190">
        <f t="shared" si="880"/>
        <v>0</v>
      </c>
      <c r="AW2537" s="191" t="s">
        <v>115</v>
      </c>
      <c r="AX2537" s="551"/>
      <c r="AY2537" s="551"/>
      <c r="AZ2537" s="551"/>
      <c r="BA2537" s="551"/>
      <c r="BB2537" s="551"/>
      <c r="BC2537" s="551"/>
      <c r="BD2537" s="549"/>
      <c r="BE2537" s="550"/>
      <c r="BF2537" s="549"/>
      <c r="BG2537" s="391">
        <f>SUM($AV$2420:AV2537)</f>
        <v>-312.61904761901911</v>
      </c>
      <c r="BH2537" s="392">
        <f>SUM($AU$2420:AU2537)</f>
        <v>-653.000000000005</v>
      </c>
      <c r="BI2537" s="318">
        <f>SUMIFS($AU$2420:AU2690,$Q$2420:Q2690,"F")</f>
        <v>-143.99999999999949</v>
      </c>
      <c r="BJ2537" s="318">
        <f>SUMIFS($AU$2420:AU2690,$Q$2420:Q2690,"S")</f>
        <v>256.00000000000466</v>
      </c>
      <c r="BK2537" s="343">
        <f>SUMIFS($AU$2420:AU2690,$P$2420:P2690,"W")</f>
        <v>-607.99999999991883</v>
      </c>
      <c r="BL2537" s="343">
        <f>SUMIFS($AU$2420:AU2690,$P$2420:P2690,"R")</f>
        <v>911.99999999999966</v>
      </c>
      <c r="BM2537" s="343">
        <f>SUMIFS($AU$2420:AU2690,$AQ$2420:AQ2690,"M")</f>
        <v>-899.79999999984489</v>
      </c>
      <c r="BN2537" s="343">
        <f>SUMIFS($AU$2420:AU2690,$AQ$2420:AQ2690,"H")</f>
        <v>1762.9999999999427</v>
      </c>
      <c r="BO2537" s="343">
        <f>SUMIFS($AU$2420:AU2690,$AQ$2420:AQ2690,"D")</f>
        <v>-767.99999999998977</v>
      </c>
      <c r="BP2537" s="343">
        <f>SUMIFS($AS$2420:AS2778,$AO$2420:AO2778,"W")</f>
        <v>0</v>
      </c>
      <c r="BQ2537" s="343">
        <f>SUMIFS($AU$2420:AU2690,$Q$2420:Q2690,"O")</f>
        <v>-884.7999999998965</v>
      </c>
      <c r="BR2537" s="343">
        <f>SUMIFS($AU$2420:AU2690,$AA$2420:AA2690,"*")</f>
        <v>-512.79999999998074</v>
      </c>
      <c r="BS2537" s="343">
        <f>SUMIFS($AU$2420:AU2690,$AB$2420:AB2690,"*")</f>
        <v>-451.99999999997726</v>
      </c>
      <c r="BT2537" s="343">
        <f>SUMIFS($AU$2420:AU2690,$AC$2420:AC2690,"*")</f>
        <v>-143.99999999999909</v>
      </c>
      <c r="BU2537" s="343">
        <f>SUMIFS($AU$2420:AU2690,$AA$2420:AA2690,"*",$AB$2420:AB2690,"*")</f>
        <v>95.999999999933891</v>
      </c>
      <c r="BV2537" s="343">
        <f>SUMIFS($AU$2420:AU2690,$AA$2420:AA2690,"*",$AC$2420:AC2690,"*")</f>
        <v>-591.99999999999977</v>
      </c>
      <c r="BW2537" s="343">
        <f>SUMIFS($AU$2420:AU2690,$AB$2420:AB2690,"*",$AC$2420:AC2690,"*")</f>
        <v>-143.99999999999966</v>
      </c>
      <c r="BX2537" s="343">
        <f>SUMIFS($AV$2420:AV2690,$Q$2420:Q2690,"F")</f>
        <v>18.153846153846242</v>
      </c>
      <c r="BY2537" s="343">
        <f>SUMIFS($AV$2420:AV2690,$Q$2420:Q2690,"S")</f>
        <v>64.044720496894826</v>
      </c>
      <c r="BZ2537" s="343">
        <f>SUMIFS($AV$2420:AV2690,$Q$2420:Q2690,"O")</f>
        <v>-458.13333333332537</v>
      </c>
    </row>
    <row r="2538" spans="1:78" ht="15.75" customHeight="1">
      <c r="A2538" s="663" t="s">
        <v>7813</v>
      </c>
      <c r="B2538" s="200">
        <v>45569</v>
      </c>
      <c r="C2538" s="178" t="s">
        <v>682</v>
      </c>
      <c r="D2538" s="178" t="s">
        <v>111</v>
      </c>
      <c r="E2538" s="227"/>
      <c r="F2538" s="180"/>
      <c r="G2538" s="181" t="s">
        <v>7850</v>
      </c>
      <c r="H2538" s="182"/>
      <c r="I2538" s="182"/>
      <c r="J2538" s="182"/>
      <c r="K2538" s="183"/>
      <c r="L2538" s="182"/>
      <c r="M2538" s="182"/>
      <c r="N2538" s="182"/>
      <c r="O2538" s="183" t="s">
        <v>2432</v>
      </c>
      <c r="P2538" s="183"/>
      <c r="Q2538" s="183" t="s">
        <v>684</v>
      </c>
      <c r="R2538" s="183">
        <v>1</v>
      </c>
      <c r="S2538" s="183">
        <v>0</v>
      </c>
      <c r="T2538" s="183">
        <v>1</v>
      </c>
      <c r="U2538" s="183" t="s">
        <v>97</v>
      </c>
      <c r="V2538" s="183" t="s">
        <v>7349</v>
      </c>
      <c r="W2538" s="183" t="s">
        <v>7548</v>
      </c>
      <c r="X2538" s="183"/>
      <c r="Y2538" s="184">
        <f t="shared" si="883"/>
        <v>0.01</v>
      </c>
      <c r="Z2538" s="185">
        <f t="shared" si="884"/>
        <v>2000</v>
      </c>
      <c r="AA2538" s="185" t="s">
        <v>5476</v>
      </c>
      <c r="AB2538" s="185"/>
      <c r="AC2538" s="185"/>
      <c r="AD2538" s="649">
        <v>96.36</v>
      </c>
      <c r="AE2538" s="182"/>
      <c r="AF2538" s="332"/>
      <c r="AG2538" s="182"/>
      <c r="AH2538" s="182"/>
      <c r="AI2538" s="182"/>
      <c r="AJ2538" s="640"/>
      <c r="AK2538" s="182"/>
      <c r="AL2538" s="496">
        <f t="shared" si="876"/>
        <v>-40</v>
      </c>
      <c r="AM2538" s="496">
        <f t="shared" si="877"/>
        <v>-40</v>
      </c>
      <c r="AN2538" s="626"/>
      <c r="AO2538" s="182"/>
      <c r="AP2538" s="182"/>
      <c r="AQ2538" s="332" t="s">
        <v>1259</v>
      </c>
      <c r="AR2538" s="182" t="s">
        <v>7851</v>
      </c>
      <c r="AS2538" s="189">
        <v>96.35</v>
      </c>
      <c r="AT2538" s="189">
        <f t="shared" si="878"/>
        <v>1.0000000000005116E-2</v>
      </c>
      <c r="AU2538" s="187">
        <f t="shared" si="879"/>
        <v>20.000000000010232</v>
      </c>
      <c r="AV2538" s="190">
        <f t="shared" si="880"/>
        <v>20.000000000010232</v>
      </c>
      <c r="AW2538" s="191" t="s">
        <v>96</v>
      </c>
      <c r="AX2538" s="551"/>
      <c r="AY2538" s="551"/>
      <c r="AZ2538" s="551"/>
      <c r="BA2538" s="551"/>
      <c r="BB2538" s="551"/>
      <c r="BC2538" s="551"/>
      <c r="BD2538" s="549"/>
      <c r="BE2538" s="550"/>
      <c r="BF2538" s="549"/>
      <c r="BG2538" s="391">
        <f>SUM($AV$2420:AV2538)</f>
        <v>-292.61904761900888</v>
      </c>
      <c r="BH2538" s="392">
        <f>SUM($AU$2420:AU2538)</f>
        <v>-632.99999999999477</v>
      </c>
      <c r="BI2538" s="318">
        <f>SUMIFS($AU$2420:AU2691,$Q$2420:Q2691,"F")</f>
        <v>-143.99999999999949</v>
      </c>
      <c r="BJ2538" s="318">
        <f>SUMIFS($AU$2420:AU2691,$Q$2420:Q2691,"S")</f>
        <v>256.00000000000466</v>
      </c>
      <c r="BK2538" s="343">
        <f>SUMIFS($AU$2420:AU2691,$P$2420:P2691,"W")</f>
        <v>-607.99999999991883</v>
      </c>
      <c r="BL2538" s="343">
        <f>SUMIFS($AU$2420:AU2691,$P$2420:P2691,"R")</f>
        <v>911.99999999999966</v>
      </c>
      <c r="BM2538" s="343">
        <f>SUMIFS($AU$2420:AU2691,$AQ$2420:AQ2691,"M")</f>
        <v>-899.79999999984489</v>
      </c>
      <c r="BN2538" s="343">
        <f>SUMIFS($AU$2420:AU2691,$AQ$2420:AQ2691,"H")</f>
        <v>1762.9999999999427</v>
      </c>
      <c r="BO2538" s="343">
        <f>SUMIFS($AU$2420:AU2691,$AQ$2420:AQ2691,"D")</f>
        <v>-767.99999999998977</v>
      </c>
      <c r="BP2538" s="343">
        <f>SUMIFS($AS$2420:AS2779,$AO$2420:AO2779,"W")</f>
        <v>0</v>
      </c>
      <c r="BQ2538" s="343">
        <f>SUMIFS($AU$2420:AU2691,$Q$2420:Q2691,"O")</f>
        <v>-884.7999999998965</v>
      </c>
      <c r="BR2538" s="343">
        <f>SUMIFS($AU$2420:AU2691,$AA$2420:AA2691,"*")</f>
        <v>-512.79999999998074</v>
      </c>
      <c r="BS2538" s="343">
        <f>SUMIFS($AU$2420:AU2691,$AB$2420:AB2691,"*")</f>
        <v>-451.99999999997726</v>
      </c>
      <c r="BT2538" s="343">
        <f>SUMIFS($AU$2420:AU2691,$AC$2420:AC2691,"*")</f>
        <v>-143.99999999999909</v>
      </c>
      <c r="BU2538" s="343">
        <f>SUMIFS($AU$2420:AU2691,$AA$2420:AA2691,"*",$AB$2420:AB2691,"*")</f>
        <v>95.999999999933891</v>
      </c>
      <c r="BV2538" s="343">
        <f>SUMIFS($AU$2420:AU2691,$AA$2420:AA2691,"*",$AC$2420:AC2691,"*")</f>
        <v>-591.99999999999977</v>
      </c>
      <c r="BW2538" s="343">
        <f>SUMIFS($AU$2420:AU2691,$AB$2420:AB2691,"*",$AC$2420:AC2691,"*")</f>
        <v>-143.99999999999966</v>
      </c>
      <c r="BX2538" s="343">
        <f>SUMIFS($AV$2420:AV2691,$Q$2420:Q2691,"F")</f>
        <v>18.153846153846242</v>
      </c>
      <c r="BY2538" s="343">
        <f>SUMIFS($AV$2420:AV2691,$Q$2420:Q2691,"S")</f>
        <v>64.044720496894826</v>
      </c>
      <c r="BZ2538" s="343">
        <f>SUMIFS($AV$2420:AV2691,$Q$2420:Q2691,"O")</f>
        <v>-458.13333333332537</v>
      </c>
    </row>
    <row r="2539" spans="1:78" ht="15.75" customHeight="1">
      <c r="A2539" s="663" t="s">
        <v>7813</v>
      </c>
      <c r="B2539" s="200">
        <v>45569</v>
      </c>
      <c r="C2539" s="178" t="s">
        <v>682</v>
      </c>
      <c r="D2539" s="178" t="s">
        <v>111</v>
      </c>
      <c r="E2539" s="227"/>
      <c r="F2539" s="180"/>
      <c r="G2539" s="481" t="s">
        <v>2942</v>
      </c>
      <c r="H2539" s="182"/>
      <c r="I2539" s="182"/>
      <c r="J2539" s="182"/>
      <c r="K2539" s="183"/>
      <c r="L2539" s="182"/>
      <c r="M2539" s="182"/>
      <c r="N2539" s="182"/>
      <c r="O2539" s="183" t="s">
        <v>95</v>
      </c>
      <c r="P2539" s="183" t="s">
        <v>96</v>
      </c>
      <c r="Q2539" s="183" t="s">
        <v>97</v>
      </c>
      <c r="R2539" s="183">
        <v>4</v>
      </c>
      <c r="S2539" s="183">
        <v>0</v>
      </c>
      <c r="T2539" s="183">
        <v>4</v>
      </c>
      <c r="U2539" s="183" t="s">
        <v>97</v>
      </c>
      <c r="V2539" s="183" t="s">
        <v>7349</v>
      </c>
      <c r="W2539" s="183" t="s">
        <v>115</v>
      </c>
      <c r="X2539" s="183" t="s">
        <v>7467</v>
      </c>
      <c r="Y2539" s="184">
        <f t="shared" si="883"/>
        <v>0.01</v>
      </c>
      <c r="Z2539" s="185">
        <f t="shared" si="884"/>
        <v>1600</v>
      </c>
      <c r="AA2539" s="185" t="s">
        <v>7852</v>
      </c>
      <c r="AB2539" s="185"/>
      <c r="AC2539" s="185"/>
      <c r="AD2539" s="649">
        <v>-0.36</v>
      </c>
      <c r="AE2539" s="182"/>
      <c r="AF2539" s="332"/>
      <c r="AG2539" s="182"/>
      <c r="AH2539" s="182"/>
      <c r="AI2539" s="182"/>
      <c r="AJ2539" s="640"/>
      <c r="AK2539" s="182"/>
      <c r="AL2539" s="496">
        <f t="shared" si="876"/>
        <v>-32</v>
      </c>
      <c r="AM2539" s="496">
        <f t="shared" si="877"/>
        <v>-128</v>
      </c>
      <c r="AN2539" s="626"/>
      <c r="AO2539" s="182"/>
      <c r="AP2539" s="182"/>
      <c r="AQ2539" s="332" t="s">
        <v>1259</v>
      </c>
      <c r="AR2539" s="182"/>
      <c r="AS2539" s="189">
        <v>-0.36</v>
      </c>
      <c r="AT2539" s="189">
        <f t="shared" si="878"/>
        <v>0</v>
      </c>
      <c r="AU2539" s="187">
        <f t="shared" si="879"/>
        <v>0</v>
      </c>
      <c r="AV2539" s="190">
        <f t="shared" si="880"/>
        <v>0</v>
      </c>
      <c r="AW2539" s="191" t="s">
        <v>115</v>
      </c>
      <c r="AX2539" s="551"/>
      <c r="AY2539" s="551"/>
      <c r="AZ2539" s="551"/>
      <c r="BA2539" s="551"/>
      <c r="BB2539" s="551"/>
      <c r="BC2539" s="551"/>
      <c r="BD2539" s="549"/>
      <c r="BE2539" s="550"/>
      <c r="BF2539" s="549"/>
      <c r="BG2539" s="391">
        <f>SUM($AV$2420:AV2539)</f>
        <v>-292.61904761900888</v>
      </c>
      <c r="BH2539" s="392">
        <f>SUM($AU$2420:AU2539)</f>
        <v>-632.99999999999477</v>
      </c>
      <c r="BI2539" s="318">
        <f>SUMIFS($AU$2420:AU2692,$Q$2420:Q2692,"F")</f>
        <v>-143.99999999999949</v>
      </c>
      <c r="BJ2539" s="318">
        <f>SUMIFS($AU$2420:AU2692,$Q$2420:Q2692,"S")</f>
        <v>256.00000000000466</v>
      </c>
      <c r="BK2539" s="343">
        <f>SUMIFS($AU$2420:AU2692,$P$2420:P2692,"W")</f>
        <v>-607.99999999991883</v>
      </c>
      <c r="BL2539" s="343">
        <f>SUMIFS($AU$2420:AU2692,$P$2420:P2692,"R")</f>
        <v>911.99999999999966</v>
      </c>
      <c r="BM2539" s="343">
        <f>SUMIFS($AU$2420:AU2692,$AQ$2420:AQ2692,"M")</f>
        <v>-899.79999999984489</v>
      </c>
      <c r="BN2539" s="343">
        <f>SUMIFS($AU$2420:AU2692,$AQ$2420:AQ2692,"H")</f>
        <v>1762.9999999999427</v>
      </c>
      <c r="BO2539" s="343">
        <f>SUMIFS($AU$2420:AU2692,$AQ$2420:AQ2692,"D")</f>
        <v>-767.99999999998977</v>
      </c>
      <c r="BP2539" s="343">
        <f>SUMIFS($AS$2420:AS2780,$AO$2420:AO2780,"W")</f>
        <v>0</v>
      </c>
      <c r="BQ2539" s="343">
        <f>SUMIFS($AU$2420:AU2692,$Q$2420:Q2692,"O")</f>
        <v>-884.7999999998965</v>
      </c>
      <c r="BR2539" s="343">
        <f>SUMIFS($AU$2420:AU2692,$AA$2420:AA2692,"*")</f>
        <v>-512.79999999998074</v>
      </c>
      <c r="BS2539" s="343">
        <f>SUMIFS($AU$2420:AU2692,$AB$2420:AB2692,"*")</f>
        <v>-451.99999999997726</v>
      </c>
      <c r="BT2539" s="343">
        <f>SUMIFS($AU$2420:AU2692,$AC$2420:AC2692,"*")</f>
        <v>-143.99999999999909</v>
      </c>
      <c r="BU2539" s="343">
        <f>SUMIFS($AU$2420:AU2692,$AA$2420:AA2692,"*",$AB$2420:AB2692,"*")</f>
        <v>95.999999999933891</v>
      </c>
      <c r="BV2539" s="343">
        <f>SUMIFS($AU$2420:AU2692,$AA$2420:AA2692,"*",$AC$2420:AC2692,"*")</f>
        <v>-591.99999999999977</v>
      </c>
      <c r="BW2539" s="343">
        <f>SUMIFS($AU$2420:AU2692,$AB$2420:AB2692,"*",$AC$2420:AC2692,"*")</f>
        <v>-143.99999999999966</v>
      </c>
      <c r="BX2539" s="343">
        <f>SUMIFS($AV$2420:AV2692,$Q$2420:Q2692,"F")</f>
        <v>18.153846153846242</v>
      </c>
      <c r="BY2539" s="343">
        <f>SUMIFS($AV$2420:AV2692,$Q$2420:Q2692,"S")</f>
        <v>64.044720496894826</v>
      </c>
      <c r="BZ2539" s="343">
        <f>SUMIFS($AV$2420:AV2692,$Q$2420:Q2692,"O")</f>
        <v>-458.13333333332537</v>
      </c>
    </row>
    <row r="2540" spans="1:78" ht="15.75" customHeight="1">
      <c r="A2540" s="663" t="s">
        <v>7813</v>
      </c>
      <c r="B2540" s="200">
        <v>45569</v>
      </c>
      <c r="C2540" s="178" t="s">
        <v>682</v>
      </c>
      <c r="D2540" s="178" t="s">
        <v>111</v>
      </c>
      <c r="E2540" s="227"/>
      <c r="F2540" s="180"/>
      <c r="G2540" s="181" t="s">
        <v>7853</v>
      </c>
      <c r="H2540" s="182"/>
      <c r="I2540" s="182"/>
      <c r="J2540" s="182"/>
      <c r="K2540" s="183"/>
      <c r="L2540" s="182"/>
      <c r="M2540" s="182"/>
      <c r="N2540" s="182"/>
      <c r="O2540" s="183" t="s">
        <v>95</v>
      </c>
      <c r="P2540" s="183" t="s">
        <v>96</v>
      </c>
      <c r="Q2540" s="183" t="s">
        <v>97</v>
      </c>
      <c r="R2540" s="183">
        <v>24</v>
      </c>
      <c r="S2540" s="183">
        <v>0</v>
      </c>
      <c r="T2540" s="183">
        <v>24</v>
      </c>
      <c r="U2540" s="183" t="s">
        <v>22</v>
      </c>
      <c r="V2540" s="183" t="s">
        <v>7349</v>
      </c>
      <c r="W2540" s="183" t="s">
        <v>115</v>
      </c>
      <c r="X2540" s="183" t="s">
        <v>7488</v>
      </c>
      <c r="Y2540" s="184">
        <f t="shared" si="883"/>
        <v>0.01</v>
      </c>
      <c r="Z2540" s="185">
        <f t="shared" si="884"/>
        <v>1600</v>
      </c>
      <c r="AA2540" s="185"/>
      <c r="AB2540" s="185"/>
      <c r="AC2540" s="185" t="s">
        <v>7854</v>
      </c>
      <c r="AD2540" s="649">
        <v>-0.01</v>
      </c>
      <c r="AE2540" s="182"/>
      <c r="AF2540" s="332"/>
      <c r="AG2540" s="182"/>
      <c r="AH2540" s="182"/>
      <c r="AI2540" s="182"/>
      <c r="AJ2540" s="640"/>
      <c r="AK2540" s="182"/>
      <c r="AL2540" s="496">
        <f t="shared" si="876"/>
        <v>-32</v>
      </c>
      <c r="AM2540" s="496">
        <f t="shared" si="877"/>
        <v>-768</v>
      </c>
      <c r="AN2540" s="626"/>
      <c r="AO2540" s="182"/>
      <c r="AP2540" s="182"/>
      <c r="AQ2540" s="332" t="s">
        <v>1259</v>
      </c>
      <c r="AR2540" s="182"/>
      <c r="AS2540" s="189">
        <v>-0.01</v>
      </c>
      <c r="AT2540" s="189">
        <f t="shared" si="878"/>
        <v>0</v>
      </c>
      <c r="AU2540" s="187">
        <f t="shared" si="879"/>
        <v>0</v>
      </c>
      <c r="AV2540" s="190">
        <f t="shared" si="880"/>
        <v>0</v>
      </c>
      <c r="AW2540" s="191" t="s">
        <v>115</v>
      </c>
      <c r="AX2540" s="551"/>
      <c r="AY2540" s="551"/>
      <c r="AZ2540" s="551"/>
      <c r="BA2540" s="551"/>
      <c r="BB2540" s="551"/>
      <c r="BC2540" s="551"/>
      <c r="BD2540" s="549"/>
      <c r="BE2540" s="550"/>
      <c r="BF2540" s="549"/>
      <c r="BG2540" s="391">
        <f>SUM($AV$2420:AV2540)</f>
        <v>-292.61904761900888</v>
      </c>
      <c r="BH2540" s="392">
        <f>SUM($AU$2420:AU2540)</f>
        <v>-632.99999999999477</v>
      </c>
      <c r="BI2540" s="318">
        <f>SUMIFS($AU$2420:AU2693,$Q$2420:Q2693,"F")</f>
        <v>-143.99999999999949</v>
      </c>
      <c r="BJ2540" s="318">
        <f>SUMIFS($AU$2420:AU2693,$Q$2420:Q2693,"S")</f>
        <v>256.00000000000466</v>
      </c>
      <c r="BK2540" s="343">
        <f>SUMIFS($AU$2420:AU2693,$P$2420:P2693,"W")</f>
        <v>-607.99999999991883</v>
      </c>
      <c r="BL2540" s="343">
        <f>SUMIFS($AU$2420:AU2693,$P$2420:P2693,"R")</f>
        <v>911.99999999999966</v>
      </c>
      <c r="BM2540" s="343">
        <f>SUMIFS($AU$2420:AU2693,$AQ$2420:AQ2693,"M")</f>
        <v>-899.79999999984489</v>
      </c>
      <c r="BN2540" s="343">
        <f>SUMIFS($AU$2420:AU2693,$AQ$2420:AQ2693,"H")</f>
        <v>1762.9999999999427</v>
      </c>
      <c r="BO2540" s="343">
        <f>SUMIFS($AU$2420:AU2693,$AQ$2420:AQ2693,"D")</f>
        <v>-767.99999999998977</v>
      </c>
      <c r="BP2540" s="343">
        <f>SUMIFS($AS$2420:AS2781,$AO$2420:AO2781,"W")</f>
        <v>0</v>
      </c>
      <c r="BQ2540" s="343">
        <f>SUMIFS($AU$2420:AU2693,$Q$2420:Q2693,"O")</f>
        <v>-884.7999999998965</v>
      </c>
      <c r="BR2540" s="343">
        <f>SUMIFS($AU$2420:AU2693,$AA$2420:AA2693,"*")</f>
        <v>-512.79999999998074</v>
      </c>
      <c r="BS2540" s="343">
        <f>SUMIFS($AU$2420:AU2693,$AB$2420:AB2693,"*")</f>
        <v>-451.99999999997726</v>
      </c>
      <c r="BT2540" s="343">
        <f>SUMIFS($AU$2420:AU2693,$AC$2420:AC2693,"*")</f>
        <v>-143.99999999999909</v>
      </c>
      <c r="BU2540" s="343">
        <f>SUMIFS($AU$2420:AU2693,$AA$2420:AA2693,"*",$AB$2420:AB2693,"*")</f>
        <v>95.999999999933891</v>
      </c>
      <c r="BV2540" s="343">
        <f>SUMIFS($AU$2420:AU2693,$AA$2420:AA2693,"*",$AC$2420:AC2693,"*")</f>
        <v>-591.99999999999977</v>
      </c>
      <c r="BW2540" s="343">
        <f>SUMIFS($AU$2420:AU2693,$AB$2420:AB2693,"*",$AC$2420:AC2693,"*")</f>
        <v>-143.99999999999966</v>
      </c>
      <c r="BX2540" s="343">
        <f>SUMIFS($AV$2420:AV2693,$Q$2420:Q2693,"F")</f>
        <v>18.153846153846242</v>
      </c>
      <c r="BY2540" s="343">
        <f>SUMIFS($AV$2420:AV2693,$Q$2420:Q2693,"S")</f>
        <v>64.044720496894826</v>
      </c>
      <c r="BZ2540" s="343">
        <f>SUMIFS($AV$2420:AV2693,$Q$2420:Q2693,"O")</f>
        <v>-458.13333333332537</v>
      </c>
    </row>
    <row r="2541" spans="1:78" ht="15.75" customHeight="1">
      <c r="A2541" s="663" t="s">
        <v>7813</v>
      </c>
      <c r="B2541" s="200">
        <v>45569</v>
      </c>
      <c r="C2541" s="178" t="s">
        <v>682</v>
      </c>
      <c r="D2541" s="178" t="s">
        <v>111</v>
      </c>
      <c r="E2541" s="227"/>
      <c r="F2541" s="180"/>
      <c r="G2541" s="181" t="s">
        <v>1694</v>
      </c>
      <c r="H2541" s="182"/>
      <c r="I2541" s="182"/>
      <c r="J2541" s="182"/>
      <c r="K2541" s="183"/>
      <c r="L2541" s="182"/>
      <c r="M2541" s="182"/>
      <c r="N2541" s="182"/>
      <c r="O2541" s="183" t="s">
        <v>95</v>
      </c>
      <c r="P2541" s="183" t="s">
        <v>96</v>
      </c>
      <c r="Q2541" s="183" t="s">
        <v>684</v>
      </c>
      <c r="R2541" s="183">
        <v>2</v>
      </c>
      <c r="S2541" s="183">
        <v>0</v>
      </c>
      <c r="T2541" s="183">
        <v>2</v>
      </c>
      <c r="U2541" s="183" t="s">
        <v>22</v>
      </c>
      <c r="V2541" s="183" t="s">
        <v>7349</v>
      </c>
      <c r="W2541" s="183" t="s">
        <v>115</v>
      </c>
      <c r="X2541" s="183"/>
      <c r="Y2541" s="184">
        <f t="shared" si="883"/>
        <v>0.01</v>
      </c>
      <c r="Z2541" s="185">
        <f t="shared" si="884"/>
        <v>1600</v>
      </c>
      <c r="AA2541" s="185"/>
      <c r="AB2541" s="185" t="s">
        <v>7855</v>
      </c>
      <c r="AC2541" s="185"/>
      <c r="AD2541" s="649">
        <v>95.72</v>
      </c>
      <c r="AE2541" s="182"/>
      <c r="AF2541" s="332"/>
      <c r="AG2541" s="182"/>
      <c r="AH2541" s="182"/>
      <c r="AI2541" s="182"/>
      <c r="AJ2541" s="640"/>
      <c r="AK2541" s="182"/>
      <c r="AL2541" s="496">
        <f t="shared" si="876"/>
        <v>-32</v>
      </c>
      <c r="AM2541" s="496">
        <f t="shared" si="877"/>
        <v>-64</v>
      </c>
      <c r="AN2541" s="626"/>
      <c r="AO2541" s="182"/>
      <c r="AP2541" s="182"/>
      <c r="AQ2541" s="332" t="s">
        <v>1259</v>
      </c>
      <c r="AR2541" s="182" t="s">
        <v>7856</v>
      </c>
      <c r="AS2541" s="189">
        <v>95.73</v>
      </c>
      <c r="AT2541" s="189">
        <f t="shared" si="878"/>
        <v>1.0000000000005116E-2</v>
      </c>
      <c r="AU2541" s="187">
        <f t="shared" si="879"/>
        <v>32.000000000016371</v>
      </c>
      <c r="AV2541" s="190">
        <f t="shared" si="880"/>
        <v>16.000000000008185</v>
      </c>
      <c r="AW2541" s="191" t="s">
        <v>96</v>
      </c>
      <c r="AX2541" s="551"/>
      <c r="AY2541" s="551"/>
      <c r="AZ2541" s="551"/>
      <c r="BA2541" s="551"/>
      <c r="BB2541" s="551"/>
      <c r="BC2541" s="551"/>
      <c r="BD2541" s="549"/>
      <c r="BE2541" s="550"/>
      <c r="BF2541" s="549"/>
      <c r="BG2541" s="391">
        <f>SUM($AV$2420:AV2541)</f>
        <v>-276.6190476190007</v>
      </c>
      <c r="BH2541" s="392">
        <f>SUM($AU$2420:AU2541)</f>
        <v>-600.9999999999784</v>
      </c>
      <c r="BI2541" s="318">
        <f>SUMIFS($AU$2420:AU2694,$Q$2420:Q2694,"F")</f>
        <v>-143.99999999999949</v>
      </c>
      <c r="BJ2541" s="318">
        <f>SUMIFS($AU$2420:AU2694,$Q$2420:Q2694,"S")</f>
        <v>256.00000000000466</v>
      </c>
      <c r="BK2541" s="343">
        <f>SUMIFS($AU$2420:AU2694,$P$2420:P2694,"W")</f>
        <v>-607.99999999991883</v>
      </c>
      <c r="BL2541" s="343">
        <f>SUMIFS($AU$2420:AU2694,$P$2420:P2694,"R")</f>
        <v>911.99999999999966</v>
      </c>
      <c r="BM2541" s="343">
        <f>SUMIFS($AU$2420:AU2694,$AQ$2420:AQ2694,"M")</f>
        <v>-899.79999999984489</v>
      </c>
      <c r="BN2541" s="343">
        <f>SUMIFS($AU$2420:AU2694,$AQ$2420:AQ2694,"H")</f>
        <v>1762.9999999999427</v>
      </c>
      <c r="BO2541" s="343">
        <f>SUMIFS($AU$2420:AU2694,$AQ$2420:AQ2694,"D")</f>
        <v>-767.99999999998977</v>
      </c>
      <c r="BP2541" s="343">
        <f>SUMIFS($AS$2420:AS2782,$AO$2420:AO2782,"W")</f>
        <v>0</v>
      </c>
      <c r="BQ2541" s="343">
        <f>SUMIFS($AU$2420:AU2694,$Q$2420:Q2694,"O")</f>
        <v>-884.7999999998965</v>
      </c>
      <c r="BR2541" s="343">
        <f>SUMIFS($AU$2420:AU2694,$AA$2420:AA2694,"*")</f>
        <v>-512.79999999998074</v>
      </c>
      <c r="BS2541" s="343">
        <f>SUMIFS($AU$2420:AU2694,$AB$2420:AB2694,"*")</f>
        <v>-451.99999999997726</v>
      </c>
      <c r="BT2541" s="343">
        <f>SUMIFS($AU$2420:AU2694,$AC$2420:AC2694,"*")</f>
        <v>-143.99999999999909</v>
      </c>
      <c r="BU2541" s="343">
        <f>SUMIFS($AU$2420:AU2694,$AA$2420:AA2694,"*",$AB$2420:AB2694,"*")</f>
        <v>95.999999999933891</v>
      </c>
      <c r="BV2541" s="343">
        <f>SUMIFS($AU$2420:AU2694,$AA$2420:AA2694,"*",$AC$2420:AC2694,"*")</f>
        <v>-591.99999999999977</v>
      </c>
      <c r="BW2541" s="343">
        <f>SUMIFS($AU$2420:AU2694,$AB$2420:AB2694,"*",$AC$2420:AC2694,"*")</f>
        <v>-143.99999999999966</v>
      </c>
      <c r="BX2541" s="343">
        <f>SUMIFS($AV$2420:AV2694,$Q$2420:Q2694,"F")</f>
        <v>18.153846153846242</v>
      </c>
      <c r="BY2541" s="343">
        <f>SUMIFS($AV$2420:AV2694,$Q$2420:Q2694,"S")</f>
        <v>64.044720496894826</v>
      </c>
      <c r="BZ2541" s="343">
        <f>SUMIFS($AV$2420:AV2694,$Q$2420:Q2694,"O")</f>
        <v>-458.13333333332537</v>
      </c>
    </row>
    <row r="2542" spans="1:78" ht="15.75" customHeight="1">
      <c r="A2542" s="663" t="s">
        <v>7813</v>
      </c>
      <c r="B2542" s="200">
        <v>45569</v>
      </c>
      <c r="C2542" s="178" t="s">
        <v>682</v>
      </c>
      <c r="D2542" s="178" t="s">
        <v>111</v>
      </c>
      <c r="E2542" s="227"/>
      <c r="F2542" s="180"/>
      <c r="G2542" s="489" t="s">
        <v>3858</v>
      </c>
      <c r="H2542" s="182"/>
      <c r="I2542" s="182"/>
      <c r="J2542" s="182"/>
      <c r="K2542" s="183"/>
      <c r="L2542" s="182"/>
      <c r="M2542" s="182"/>
      <c r="N2542" s="182"/>
      <c r="O2542" s="183" t="s">
        <v>95</v>
      </c>
      <c r="P2542" s="183" t="s">
        <v>96</v>
      </c>
      <c r="Q2542" s="183" t="s">
        <v>256</v>
      </c>
      <c r="R2542" s="183">
        <v>26</v>
      </c>
      <c r="S2542" s="183">
        <v>0</v>
      </c>
      <c r="T2542" s="183">
        <v>16</v>
      </c>
      <c r="U2542" s="183" t="s">
        <v>97</v>
      </c>
      <c r="V2542" s="183" t="s">
        <v>7357</v>
      </c>
      <c r="W2542" s="183" t="s">
        <v>7367</v>
      </c>
      <c r="X2542" s="183" t="s">
        <v>7587</v>
      </c>
      <c r="Y2542" s="184">
        <f>IF(ISBLANK(O2542),"",(IF(O2542=UPPER("IB"),0.005,0.01)))</f>
        <v>0.01</v>
      </c>
      <c r="Z2542" s="185">
        <f>IF(ISBLANK(O2542),"",IF(O2542="IB",8.63*200,IF(O2542="IR",16*100,IF(O2542="YT",20*100,IF(O2542="YT-XT",24*200,IF(O2542="TED",80*100,IF(O2542="XT",29*200)))))))</f>
        <v>1600</v>
      </c>
      <c r="AA2542" s="185" t="s">
        <v>7857</v>
      </c>
      <c r="AB2542" s="185" t="s">
        <v>7858</v>
      </c>
      <c r="AC2542" s="185" t="s">
        <v>7859</v>
      </c>
      <c r="AD2542" s="649">
        <f>-(0.06*16+0.05*10)/26</f>
        <v>-5.6153846153846151E-2</v>
      </c>
      <c r="AE2542" s="182"/>
      <c r="AF2542" s="332"/>
      <c r="AG2542" s="182"/>
      <c r="AH2542" s="182"/>
      <c r="AI2542" s="182"/>
      <c r="AJ2542" s="640"/>
      <c r="AK2542" s="182"/>
      <c r="AL2542" s="496">
        <f>-0.02*Z2542</f>
        <v>-32</v>
      </c>
      <c r="AM2542" s="496">
        <f t="shared" si="877"/>
        <v>-832</v>
      </c>
      <c r="AN2542" s="626"/>
      <c r="AO2542" s="182"/>
      <c r="AP2542" s="182"/>
      <c r="AQ2542" s="332" t="s">
        <v>115</v>
      </c>
      <c r="AR2542" s="182"/>
      <c r="AS2542" s="189">
        <v>-0.05</v>
      </c>
      <c r="AT2542" s="189">
        <f t="shared" si="878"/>
        <v>-6.1538461538461486E-3</v>
      </c>
      <c r="AU2542" s="187">
        <f t="shared" si="879"/>
        <v>-255.99999999999977</v>
      </c>
      <c r="AV2542" s="190">
        <f>IF(ISBLANK(AS2542),,(AT2542*Z2542))</f>
        <v>-9.8461538461538378</v>
      </c>
      <c r="AW2542" s="191" t="s">
        <v>229</v>
      </c>
      <c r="AX2542" s="549" t="s">
        <v>7860</v>
      </c>
      <c r="AY2542" s="551" t="s">
        <v>7861</v>
      </c>
      <c r="AZ2542" s="551" t="s">
        <v>7862</v>
      </c>
      <c r="BA2542" s="551" t="s">
        <v>7863</v>
      </c>
      <c r="BB2542" s="551"/>
      <c r="BC2542" s="551"/>
      <c r="BD2542" s="549"/>
      <c r="BE2542" s="550"/>
      <c r="BF2542" s="549"/>
      <c r="BG2542" s="391">
        <f>SUM($AV$2420:AV2542)</f>
        <v>-286.46520146515451</v>
      </c>
      <c r="BH2542" s="392">
        <f>SUM($AU$2420:AU2542)</f>
        <v>-856.99999999997817</v>
      </c>
      <c r="BI2542" s="318">
        <f>SUMIFS($AU$2420:AU2695,$Q$2420:Q2695,"F")</f>
        <v>-143.99999999999949</v>
      </c>
      <c r="BJ2542" s="318">
        <f>SUMIFS($AU$2420:AU2695,$Q$2420:Q2695,"S")</f>
        <v>256.00000000000466</v>
      </c>
      <c r="BK2542" s="343">
        <f>SUMIFS($AU$2420:AU2695,$P$2420:P2695,"W")</f>
        <v>-607.99999999991883</v>
      </c>
      <c r="BL2542" s="343">
        <f>SUMIFS($AU$2420:AU2695,$P$2420:P2695,"R")</f>
        <v>911.99999999999966</v>
      </c>
      <c r="BM2542" s="343">
        <f>SUMIFS($AU$2420:AU2695,$AQ$2420:AQ2695,"M")</f>
        <v>-899.79999999984489</v>
      </c>
      <c r="BN2542" s="343">
        <f>SUMIFS($AU$2420:AU2695,$AQ$2420:AQ2695,"H")</f>
        <v>1762.9999999999427</v>
      </c>
      <c r="BO2542" s="343">
        <f>SUMIFS($AU$2420:AU2695,$AQ$2420:AQ2695,"D")</f>
        <v>-767.99999999998977</v>
      </c>
      <c r="BP2542" s="343">
        <f>SUMIFS($AS$2420:AS2783,$AO$2420:AO2783,"W")</f>
        <v>0</v>
      </c>
      <c r="BQ2542" s="343">
        <f>SUMIFS($AU$2420:AU2695,$Q$2420:Q2695,"O")</f>
        <v>-884.7999999998965</v>
      </c>
      <c r="BR2542" s="343">
        <f>SUMIFS($AU$2420:AU2695,$AA$2420:AA2695,"*")</f>
        <v>-512.79999999998074</v>
      </c>
      <c r="BS2542" s="343">
        <f>SUMIFS($AU$2420:AU2695,$AB$2420:AB2695,"*")</f>
        <v>-451.99999999997726</v>
      </c>
      <c r="BT2542" s="343">
        <f>SUMIFS($AU$2420:AU2695,$AC$2420:AC2695,"*")</f>
        <v>-143.99999999999909</v>
      </c>
      <c r="BU2542" s="343">
        <f>SUMIFS($AU$2420:AU2695,$AA$2420:AA2695,"*",$AB$2420:AB2695,"*")</f>
        <v>95.999999999933891</v>
      </c>
      <c r="BV2542" s="343">
        <f>SUMIFS($AU$2420:AU2695,$AA$2420:AA2695,"*",$AC$2420:AC2695,"*")</f>
        <v>-591.99999999999977</v>
      </c>
      <c r="BW2542" s="343">
        <f>SUMIFS($AU$2420:AU2695,$AB$2420:AB2695,"*",$AC$2420:AC2695,"*")</f>
        <v>-143.99999999999966</v>
      </c>
      <c r="BX2542" s="343">
        <f>SUMIFS($AV$2420:AV2695,$Q$2420:Q2695,"F")</f>
        <v>18.153846153846242</v>
      </c>
      <c r="BY2542" s="343">
        <f>SUMIFS($AV$2420:AV2695,$Q$2420:Q2695,"S")</f>
        <v>64.044720496894826</v>
      </c>
      <c r="BZ2542" s="343">
        <f>SUMIFS($AV$2420:AV2695,$Q$2420:Q2695,"O")</f>
        <v>-458.13333333332537</v>
      </c>
    </row>
    <row r="2543" spans="1:78" ht="15.75" customHeight="1">
      <c r="A2543" s="663" t="s">
        <v>7813</v>
      </c>
      <c r="B2543" s="200">
        <v>45569</v>
      </c>
      <c r="C2543" s="178" t="s">
        <v>682</v>
      </c>
      <c r="D2543" s="178" t="s">
        <v>111</v>
      </c>
      <c r="E2543" s="227"/>
      <c r="F2543" s="180"/>
      <c r="G2543" s="181" t="s">
        <v>7277</v>
      </c>
      <c r="H2543" s="182"/>
      <c r="I2543" s="182"/>
      <c r="J2543" s="182"/>
      <c r="K2543" s="183"/>
      <c r="L2543" s="182"/>
      <c r="M2543" s="182"/>
      <c r="N2543" s="182"/>
      <c r="O2543" s="183" t="s">
        <v>95</v>
      </c>
      <c r="P2543" s="183" t="s">
        <v>96</v>
      </c>
      <c r="Q2543" s="183" t="s">
        <v>97</v>
      </c>
      <c r="R2543" s="183">
        <v>10</v>
      </c>
      <c r="S2543" s="183">
        <v>0</v>
      </c>
      <c r="T2543" s="183">
        <v>10</v>
      </c>
      <c r="U2543" s="183" t="s">
        <v>97</v>
      </c>
      <c r="V2543" s="183" t="s">
        <v>7349</v>
      </c>
      <c r="W2543" s="183" t="s">
        <v>20</v>
      </c>
      <c r="X2543" s="183" t="s">
        <v>7467</v>
      </c>
      <c r="Y2543" s="184">
        <f>IF(ISBLANK(O2543),"",(IF(O2543=UPPER("IB"),0.005,0.01)))</f>
        <v>0.01</v>
      </c>
      <c r="Z2543" s="185">
        <f>IF(ISBLANK(O2543),"",IF(O2543="IB",8.63*200,IF(O2543="IR",16*100,IF(O2543="YT",20*100,IF(O2543="YT-XT",24*200,IF(O2543="TED",80*100,IF(O2543="XT",29*200)))))))</f>
        <v>1600</v>
      </c>
      <c r="AA2543" s="185" t="s">
        <v>7864</v>
      </c>
      <c r="AB2543" s="185"/>
      <c r="AC2543" s="185"/>
      <c r="AD2543" s="649">
        <v>-0.35</v>
      </c>
      <c r="AE2543" s="182"/>
      <c r="AF2543" s="332"/>
      <c r="AG2543" s="182"/>
      <c r="AH2543" s="182"/>
      <c r="AI2543" s="182"/>
      <c r="AJ2543" s="640"/>
      <c r="AK2543" s="182"/>
      <c r="AL2543" s="496">
        <f>-0.02*Z2543</f>
        <v>-32</v>
      </c>
      <c r="AM2543" s="496">
        <f t="shared" si="877"/>
        <v>-320</v>
      </c>
      <c r="AN2543" s="626"/>
      <c r="AO2543" s="182"/>
      <c r="AP2543" s="182"/>
      <c r="AQ2543" s="332" t="s">
        <v>1259</v>
      </c>
      <c r="AR2543" s="182" t="s">
        <v>5304</v>
      </c>
      <c r="AS2543" s="189">
        <v>-0.36</v>
      </c>
      <c r="AT2543" s="189">
        <f t="shared" si="878"/>
        <v>1.0000000000000009E-2</v>
      </c>
      <c r="AU2543" s="187">
        <f t="shared" si="879"/>
        <v>160.00000000000014</v>
      </c>
      <c r="AV2543" s="190">
        <f>IF(ISBLANK(AS2543),,(AT2543*Z2543))</f>
        <v>16.000000000000014</v>
      </c>
      <c r="AW2543" s="191" t="s">
        <v>96</v>
      </c>
      <c r="AX2543" s="551"/>
      <c r="AY2543" s="551"/>
      <c r="AZ2543" s="551"/>
      <c r="BA2543" s="551"/>
      <c r="BB2543" s="551"/>
      <c r="BC2543" s="551"/>
      <c r="BD2543" s="549"/>
      <c r="BE2543" s="550"/>
      <c r="BF2543" s="549"/>
      <c r="BG2543" s="391">
        <f>SUM($AV$2420:AV2543)</f>
        <v>-270.46520146515451</v>
      </c>
      <c r="BH2543" s="392">
        <f>SUM($AU$2420:AU2543)</f>
        <v>-696.99999999997806</v>
      </c>
      <c r="BI2543" s="318">
        <f>SUMIFS($AU$2420:AU2696,$Q$2420:Q2696,"F")</f>
        <v>-143.99999999999949</v>
      </c>
      <c r="BJ2543" s="318">
        <f>SUMIFS($AU$2420:AU2696,$Q$2420:Q2696,"S")</f>
        <v>256.00000000000466</v>
      </c>
      <c r="BK2543" s="343">
        <f>SUMIFS($AU$2420:AU2696,$P$2420:P2696,"W")</f>
        <v>-607.99999999991883</v>
      </c>
      <c r="BL2543" s="343">
        <f>SUMIFS($AU$2420:AU2696,$P$2420:P2696,"R")</f>
        <v>911.99999999999966</v>
      </c>
      <c r="BM2543" s="343">
        <f>SUMIFS($AU$2420:AU2696,$AQ$2420:AQ2696,"M")</f>
        <v>-899.79999999984489</v>
      </c>
      <c r="BN2543" s="343">
        <f>SUMIFS($AU$2420:AU2696,$AQ$2420:AQ2696,"H")</f>
        <v>1762.9999999999427</v>
      </c>
      <c r="BO2543" s="343">
        <f>SUMIFS($AU$2420:AU2696,$AQ$2420:AQ2696,"D")</f>
        <v>-767.99999999998977</v>
      </c>
      <c r="BP2543" s="343">
        <f>SUMIFS($AS$2420:AS2784,$AO$2420:AO2784,"W")</f>
        <v>0</v>
      </c>
      <c r="BQ2543" s="343">
        <f>SUMIFS($AU$2420:AU2696,$Q$2420:Q2696,"O")</f>
        <v>-884.7999999998965</v>
      </c>
      <c r="BR2543" s="343">
        <f>SUMIFS($AU$2420:AU2696,$AA$2420:AA2696,"*")</f>
        <v>-512.79999999998074</v>
      </c>
      <c r="BS2543" s="343">
        <f>SUMIFS($AU$2420:AU2696,$AB$2420:AB2696,"*")</f>
        <v>-451.99999999997726</v>
      </c>
      <c r="BT2543" s="343">
        <f>SUMIFS($AU$2420:AU2696,$AC$2420:AC2696,"*")</f>
        <v>-143.99999999999909</v>
      </c>
      <c r="BU2543" s="343">
        <f>SUMIFS($AU$2420:AU2696,$AA$2420:AA2696,"*",$AB$2420:AB2696,"*")</f>
        <v>95.999999999933891</v>
      </c>
      <c r="BV2543" s="343">
        <f>SUMIFS($AU$2420:AU2696,$AA$2420:AA2696,"*",$AC$2420:AC2696,"*")</f>
        <v>-591.99999999999977</v>
      </c>
      <c r="BW2543" s="343">
        <f>SUMIFS($AU$2420:AU2696,$AB$2420:AB2696,"*",$AC$2420:AC2696,"*")</f>
        <v>-143.99999999999966</v>
      </c>
      <c r="BX2543" s="343">
        <f>SUMIFS($AV$2420:AV2696,$Q$2420:Q2696,"F")</f>
        <v>18.153846153846242</v>
      </c>
      <c r="BY2543" s="343">
        <f>SUMIFS($AV$2420:AV2696,$Q$2420:Q2696,"S")</f>
        <v>64.044720496894826</v>
      </c>
      <c r="BZ2543" s="343">
        <f>SUMIFS($AV$2420:AV2696,$Q$2420:Q2696,"O")</f>
        <v>-458.13333333332537</v>
      </c>
    </row>
    <row r="2544" spans="1:78" ht="15.75" customHeight="1">
      <c r="A2544" s="663" t="s">
        <v>7813</v>
      </c>
      <c r="B2544" s="200">
        <v>45569</v>
      </c>
      <c r="C2544" s="178" t="s">
        <v>682</v>
      </c>
      <c r="D2544" s="178" t="s">
        <v>111</v>
      </c>
      <c r="E2544" s="227"/>
      <c r="F2544" s="180"/>
      <c r="G2544" s="181" t="s">
        <v>1694</v>
      </c>
      <c r="H2544" s="182"/>
      <c r="I2544" s="182"/>
      <c r="J2544" s="182"/>
      <c r="K2544" s="183"/>
      <c r="L2544" s="182"/>
      <c r="M2544" s="182"/>
      <c r="N2544" s="182"/>
      <c r="O2544" s="183" t="s">
        <v>95</v>
      </c>
      <c r="P2544" s="183" t="s">
        <v>96</v>
      </c>
      <c r="Q2544" s="183" t="s">
        <v>684</v>
      </c>
      <c r="R2544" s="183">
        <v>4</v>
      </c>
      <c r="S2544" s="183">
        <v>0</v>
      </c>
      <c r="T2544" s="183">
        <v>4</v>
      </c>
      <c r="U2544" s="183" t="s">
        <v>22</v>
      </c>
      <c r="V2544" s="183" t="s">
        <v>7349</v>
      </c>
      <c r="W2544" s="183" t="s">
        <v>115</v>
      </c>
      <c r="X2544" s="183"/>
      <c r="Y2544" s="184">
        <f t="shared" ref="Y2544:Y2547" si="885">IF(ISBLANK(O2544),"",(IF(O2544=UPPER("IB"),0.005,0.01)))</f>
        <v>0.01</v>
      </c>
      <c r="Z2544" s="185">
        <f t="shared" ref="Z2544:Z2547" si="886">IF(ISBLANK(O2544),"",IF(O2544="IB",8.63*200,IF(O2544="IR",16*100,IF(O2544="YT",20*100,IF(O2544="YT-XT",24*200,IF(O2544="TED",80*100,IF(O2544="XT",29*200)))))))</f>
        <v>1600</v>
      </c>
      <c r="AA2544" s="185"/>
      <c r="AB2544" s="185" t="s">
        <v>7855</v>
      </c>
      <c r="AC2544" s="185"/>
      <c r="AD2544" s="649">
        <v>95.72</v>
      </c>
      <c r="AE2544" s="182"/>
      <c r="AF2544" s="332"/>
      <c r="AG2544" s="182"/>
      <c r="AH2544" s="182"/>
      <c r="AI2544" s="182"/>
      <c r="AJ2544" s="640"/>
      <c r="AK2544" s="182"/>
      <c r="AL2544" s="496">
        <f t="shared" si="876"/>
        <v>-32</v>
      </c>
      <c r="AM2544" s="496">
        <f t="shared" si="877"/>
        <v>-128</v>
      </c>
      <c r="AN2544" s="626"/>
      <c r="AO2544" s="182"/>
      <c r="AP2544" s="182"/>
      <c r="AQ2544" s="332" t="s">
        <v>1259</v>
      </c>
      <c r="AR2544" s="182"/>
      <c r="AS2544" s="189">
        <v>95.72</v>
      </c>
      <c r="AT2544" s="189">
        <f t="shared" si="878"/>
        <v>0</v>
      </c>
      <c r="AU2544" s="187">
        <f t="shared" si="879"/>
        <v>0</v>
      </c>
      <c r="AV2544" s="190">
        <f t="shared" si="880"/>
        <v>0</v>
      </c>
      <c r="AW2544" s="191" t="s">
        <v>115</v>
      </c>
      <c r="AX2544" s="551"/>
      <c r="AY2544" s="551"/>
      <c r="AZ2544" s="551"/>
      <c r="BA2544" s="551"/>
      <c r="BB2544" s="551"/>
      <c r="BC2544" s="551"/>
      <c r="BD2544" s="549"/>
      <c r="BE2544" s="550"/>
      <c r="BF2544" s="549"/>
      <c r="BG2544" s="391">
        <f>SUM($AV$2420:AV2544)</f>
        <v>-270.46520146515451</v>
      </c>
      <c r="BH2544" s="392">
        <f>SUM($AU$2420:AU2544)</f>
        <v>-696.99999999997806</v>
      </c>
      <c r="BI2544" s="318">
        <f>SUMIFS($AU$2420:AU2697,$Q$2420:Q2697,"F")</f>
        <v>-143.99999999999949</v>
      </c>
      <c r="BJ2544" s="318">
        <f>SUMIFS($AU$2420:AU2697,$Q$2420:Q2697,"S")</f>
        <v>256.00000000000466</v>
      </c>
      <c r="BK2544" s="343">
        <f>SUMIFS($AU$2420:AU2697,$P$2420:P2697,"W")</f>
        <v>-607.99999999991883</v>
      </c>
      <c r="BL2544" s="343">
        <f>SUMIFS($AU$2420:AU2697,$P$2420:P2697,"R")</f>
        <v>911.99999999999966</v>
      </c>
      <c r="BM2544" s="343">
        <f>SUMIFS($AU$2420:AU2697,$AQ$2420:AQ2697,"M")</f>
        <v>-899.79999999984489</v>
      </c>
      <c r="BN2544" s="343">
        <f>SUMIFS($AU$2420:AU2697,$AQ$2420:AQ2697,"H")</f>
        <v>1762.9999999999427</v>
      </c>
      <c r="BO2544" s="343">
        <f>SUMIFS($AU$2420:AU2697,$AQ$2420:AQ2697,"D")</f>
        <v>-767.99999999998977</v>
      </c>
      <c r="BP2544" s="343">
        <f>SUMIFS($AS$2420:AS2785,$AO$2420:AO2785,"W")</f>
        <v>0</v>
      </c>
      <c r="BQ2544" s="343">
        <f>SUMIFS($AU$2420:AU2697,$Q$2420:Q2697,"O")</f>
        <v>-884.7999999998965</v>
      </c>
      <c r="BR2544" s="343">
        <f>SUMIFS($AU$2420:AU2697,$AA$2420:AA2697,"*")</f>
        <v>-512.79999999998074</v>
      </c>
      <c r="BS2544" s="343">
        <f>SUMIFS($AU$2420:AU2697,$AB$2420:AB2697,"*")</f>
        <v>-451.99999999997726</v>
      </c>
      <c r="BT2544" s="343">
        <f>SUMIFS($AU$2420:AU2697,$AC$2420:AC2697,"*")</f>
        <v>-143.99999999999909</v>
      </c>
      <c r="BU2544" s="343">
        <f>SUMIFS($AU$2420:AU2697,$AA$2420:AA2697,"*",$AB$2420:AB2697,"*")</f>
        <v>95.999999999933891</v>
      </c>
      <c r="BV2544" s="343">
        <f>SUMIFS($AU$2420:AU2697,$AA$2420:AA2697,"*",$AC$2420:AC2697,"*")</f>
        <v>-591.99999999999977</v>
      </c>
      <c r="BW2544" s="343">
        <f>SUMIFS($AU$2420:AU2697,$AB$2420:AB2697,"*",$AC$2420:AC2697,"*")</f>
        <v>-143.99999999999966</v>
      </c>
      <c r="BX2544" s="343">
        <f>SUMIFS($AV$2420:AV2697,$Q$2420:Q2697,"F")</f>
        <v>18.153846153846242</v>
      </c>
      <c r="BY2544" s="343">
        <f>SUMIFS($AV$2420:AV2697,$Q$2420:Q2697,"S")</f>
        <v>64.044720496894826</v>
      </c>
      <c r="BZ2544" s="343">
        <f>SUMIFS($AV$2420:AV2697,$Q$2420:Q2697,"O")</f>
        <v>-458.13333333332537</v>
      </c>
    </row>
    <row r="2545" spans="1:78" ht="15.75" customHeight="1">
      <c r="A2545" s="663" t="s">
        <v>7813</v>
      </c>
      <c r="B2545" s="200">
        <v>45569</v>
      </c>
      <c r="C2545" s="178" t="s">
        <v>682</v>
      </c>
      <c r="D2545" s="178" t="s">
        <v>111</v>
      </c>
      <c r="E2545" s="227"/>
      <c r="F2545" s="180"/>
      <c r="G2545" s="181" t="s">
        <v>1694</v>
      </c>
      <c r="H2545" s="182"/>
      <c r="I2545" s="182"/>
      <c r="J2545" s="182"/>
      <c r="K2545" s="183"/>
      <c r="L2545" s="182"/>
      <c r="M2545" s="182"/>
      <c r="N2545" s="182"/>
      <c r="O2545" s="183" t="s">
        <v>95</v>
      </c>
      <c r="P2545" s="183" t="s">
        <v>96</v>
      </c>
      <c r="Q2545" s="183" t="s">
        <v>684</v>
      </c>
      <c r="R2545" s="183">
        <v>4</v>
      </c>
      <c r="S2545" s="183">
        <v>0</v>
      </c>
      <c r="T2545" s="183">
        <v>4</v>
      </c>
      <c r="U2545" s="183" t="s">
        <v>22</v>
      </c>
      <c r="V2545" s="183" t="s">
        <v>7349</v>
      </c>
      <c r="W2545" s="183" t="s">
        <v>115</v>
      </c>
      <c r="X2545" s="183"/>
      <c r="Y2545" s="184">
        <f t="shared" si="885"/>
        <v>0.01</v>
      </c>
      <c r="Z2545" s="185">
        <f t="shared" si="886"/>
        <v>1600</v>
      </c>
      <c r="AA2545" s="185"/>
      <c r="AB2545" s="185" t="s">
        <v>7855</v>
      </c>
      <c r="AC2545" s="185"/>
      <c r="AD2545" s="649">
        <v>95.71</v>
      </c>
      <c r="AE2545" s="182"/>
      <c r="AF2545" s="332"/>
      <c r="AG2545" s="182"/>
      <c r="AH2545" s="182"/>
      <c r="AI2545" s="182"/>
      <c r="AJ2545" s="640"/>
      <c r="AK2545" s="182"/>
      <c r="AL2545" s="496">
        <f t="shared" si="876"/>
        <v>-32</v>
      </c>
      <c r="AM2545" s="496">
        <f t="shared" si="877"/>
        <v>-128</v>
      </c>
      <c r="AN2545" s="626"/>
      <c r="AO2545" s="182"/>
      <c r="AP2545" s="182"/>
      <c r="AQ2545" s="332" t="s">
        <v>372</v>
      </c>
      <c r="AR2545" s="182"/>
      <c r="AS2545" s="189">
        <f>(95.7*2+95.7*2)/4</f>
        <v>95.7</v>
      </c>
      <c r="AT2545" s="189">
        <f t="shared" si="878"/>
        <v>-9.9999999999909051E-3</v>
      </c>
      <c r="AU2545" s="187">
        <f t="shared" si="879"/>
        <v>-63.999999999941792</v>
      </c>
      <c r="AV2545" s="190">
        <f t="shared" si="880"/>
        <v>-15.999999999985448</v>
      </c>
      <c r="AW2545" s="191" t="s">
        <v>229</v>
      </c>
      <c r="AX2545" s="551"/>
      <c r="AY2545" s="551"/>
      <c r="AZ2545" s="551"/>
      <c r="BA2545" s="551"/>
      <c r="BB2545" s="551"/>
      <c r="BC2545" s="551"/>
      <c r="BD2545" s="549"/>
      <c r="BE2545" s="550"/>
      <c r="BF2545" s="549"/>
      <c r="BG2545" s="391">
        <f>SUM($AV$2420:AV2545)</f>
        <v>-286.46520146513996</v>
      </c>
      <c r="BH2545" s="392">
        <f>SUM($AU$2420:AU2545)</f>
        <v>-760.99999999991985</v>
      </c>
      <c r="BI2545" s="318">
        <f>SUMIFS($AU$2420:AU2698,$Q$2420:Q2698,"F")</f>
        <v>-143.99999999999949</v>
      </c>
      <c r="BJ2545" s="318">
        <f>SUMIFS($AU$2420:AU2698,$Q$2420:Q2698,"S")</f>
        <v>256.00000000000466</v>
      </c>
      <c r="BK2545" s="343">
        <f>SUMIFS($AU$2420:AU2698,$P$2420:P2698,"W")</f>
        <v>-607.99999999991883</v>
      </c>
      <c r="BL2545" s="343">
        <f>SUMIFS($AU$2420:AU2698,$P$2420:P2698,"R")</f>
        <v>911.99999999999966</v>
      </c>
      <c r="BM2545" s="343">
        <f>SUMIFS($AU$2420:AU2698,$AQ$2420:AQ2698,"M")</f>
        <v>-899.79999999984489</v>
      </c>
      <c r="BN2545" s="343">
        <f>SUMIFS($AU$2420:AU2698,$AQ$2420:AQ2698,"H")</f>
        <v>1762.9999999999427</v>
      </c>
      <c r="BO2545" s="343">
        <f>SUMIFS($AU$2420:AU2698,$AQ$2420:AQ2698,"D")</f>
        <v>-767.99999999998977</v>
      </c>
      <c r="BP2545" s="343">
        <f>SUMIFS($AS$2420:AS2786,$AO$2420:AO2786,"W")</f>
        <v>0</v>
      </c>
      <c r="BQ2545" s="343">
        <f>SUMIFS($AU$2420:AU2698,$Q$2420:Q2698,"O")</f>
        <v>-884.7999999998965</v>
      </c>
      <c r="BR2545" s="343">
        <f>SUMIFS($AU$2420:AU2698,$AA$2420:AA2698,"*")</f>
        <v>-512.79999999998074</v>
      </c>
      <c r="BS2545" s="343">
        <f>SUMIFS($AU$2420:AU2698,$AB$2420:AB2698,"*")</f>
        <v>-451.99999999997726</v>
      </c>
      <c r="BT2545" s="343">
        <f>SUMIFS($AU$2420:AU2698,$AC$2420:AC2698,"*")</f>
        <v>-143.99999999999909</v>
      </c>
      <c r="BU2545" s="343">
        <f>SUMIFS($AU$2420:AU2698,$AA$2420:AA2698,"*",$AB$2420:AB2698,"*")</f>
        <v>95.999999999933891</v>
      </c>
      <c r="BV2545" s="343">
        <f>SUMIFS($AU$2420:AU2698,$AA$2420:AA2698,"*",$AC$2420:AC2698,"*")</f>
        <v>-591.99999999999977</v>
      </c>
      <c r="BW2545" s="343">
        <f>SUMIFS($AU$2420:AU2698,$AB$2420:AB2698,"*",$AC$2420:AC2698,"*")</f>
        <v>-143.99999999999966</v>
      </c>
      <c r="BX2545" s="343">
        <f>SUMIFS($AV$2420:AV2698,$Q$2420:Q2698,"F")</f>
        <v>18.153846153846242</v>
      </c>
      <c r="BY2545" s="343">
        <f>SUMIFS($AV$2420:AV2698,$Q$2420:Q2698,"S")</f>
        <v>64.044720496894826</v>
      </c>
      <c r="BZ2545" s="343">
        <f>SUMIFS($AV$2420:AV2698,$Q$2420:Q2698,"O")</f>
        <v>-458.13333333332537</v>
      </c>
    </row>
    <row r="2546" spans="1:78" ht="15.75" customHeight="1">
      <c r="A2546" s="663" t="s">
        <v>7813</v>
      </c>
      <c r="B2546" s="200">
        <v>45569</v>
      </c>
      <c r="C2546" s="178" t="s">
        <v>682</v>
      </c>
      <c r="D2546" s="178" t="s">
        <v>111</v>
      </c>
      <c r="E2546" s="227"/>
      <c r="F2546" s="180"/>
      <c r="G2546" s="481" t="s">
        <v>6929</v>
      </c>
      <c r="H2546" s="182"/>
      <c r="I2546" s="182"/>
      <c r="J2546" s="182"/>
      <c r="K2546" s="183"/>
      <c r="L2546" s="182"/>
      <c r="M2546" s="182"/>
      <c r="N2546" s="182"/>
      <c r="O2546" s="183" t="s">
        <v>95</v>
      </c>
      <c r="P2546" s="183" t="s">
        <v>96</v>
      </c>
      <c r="Q2546" s="183" t="s">
        <v>97</v>
      </c>
      <c r="R2546" s="183">
        <v>4</v>
      </c>
      <c r="S2546" s="183">
        <v>0</v>
      </c>
      <c r="T2546" s="183">
        <v>4</v>
      </c>
      <c r="U2546" s="183" t="s">
        <v>22</v>
      </c>
      <c r="V2546" s="183" t="s">
        <v>7349</v>
      </c>
      <c r="W2546" s="183" t="s">
        <v>115</v>
      </c>
      <c r="X2546" s="183" t="s">
        <v>7497</v>
      </c>
      <c r="Y2546" s="184">
        <f t="shared" si="885"/>
        <v>0.01</v>
      </c>
      <c r="Z2546" s="185">
        <f t="shared" si="886"/>
        <v>1600</v>
      </c>
      <c r="AA2546" s="185" t="s">
        <v>7865</v>
      </c>
      <c r="AB2546" s="185"/>
      <c r="AC2546" s="185"/>
      <c r="AD2546" s="649">
        <v>-0.5</v>
      </c>
      <c r="AE2546" s="182"/>
      <c r="AF2546" s="332"/>
      <c r="AG2546" s="182"/>
      <c r="AH2546" s="182"/>
      <c r="AI2546" s="182"/>
      <c r="AJ2546" s="640"/>
      <c r="AK2546" s="182"/>
      <c r="AL2546" s="496">
        <f t="shared" si="876"/>
        <v>-32</v>
      </c>
      <c r="AM2546" s="496">
        <f t="shared" si="877"/>
        <v>-128</v>
      </c>
      <c r="AN2546" s="626"/>
      <c r="AO2546" s="182"/>
      <c r="AP2546" s="182"/>
      <c r="AQ2546" s="332" t="s">
        <v>115</v>
      </c>
      <c r="AR2546" s="182" t="s">
        <v>1486</v>
      </c>
      <c r="AS2546" s="189">
        <v>-0.5</v>
      </c>
      <c r="AT2546" s="189">
        <f t="shared" si="878"/>
        <v>0</v>
      </c>
      <c r="AU2546" s="187">
        <f t="shared" si="879"/>
        <v>0</v>
      </c>
      <c r="AV2546" s="190">
        <f t="shared" si="880"/>
        <v>0</v>
      </c>
      <c r="AW2546" s="191" t="s">
        <v>115</v>
      </c>
      <c r="AX2546" s="551"/>
      <c r="AY2546" s="551"/>
      <c r="AZ2546" s="551"/>
      <c r="BA2546" s="551"/>
      <c r="BB2546" s="551"/>
      <c r="BC2546" s="551"/>
      <c r="BD2546" s="549"/>
      <c r="BE2546" s="550"/>
      <c r="BF2546" s="549"/>
      <c r="BG2546" s="391">
        <f>SUM($AV$2420:AV2546)</f>
        <v>-286.46520146513996</v>
      </c>
      <c r="BH2546" s="392">
        <f>SUM($AU$2420:AU2546)</f>
        <v>-760.99999999991985</v>
      </c>
      <c r="BI2546" s="318">
        <f>SUMIFS($AU$2420:AU2699,$Q$2420:Q2699,"F")</f>
        <v>-143.99999999999949</v>
      </c>
      <c r="BJ2546" s="318">
        <f>SUMIFS($AU$2420:AU2699,$Q$2420:Q2699,"S")</f>
        <v>256.00000000000466</v>
      </c>
      <c r="BK2546" s="343">
        <f>SUMIFS($AU$2420:AU2699,$P$2420:P2699,"W")</f>
        <v>-607.99999999991883</v>
      </c>
      <c r="BL2546" s="343">
        <f>SUMIFS($AU$2420:AU2699,$P$2420:P2699,"R")</f>
        <v>911.99999999999966</v>
      </c>
      <c r="BM2546" s="343">
        <f>SUMIFS($AU$2420:AU2699,$AQ$2420:AQ2699,"M")</f>
        <v>-899.79999999984489</v>
      </c>
      <c r="BN2546" s="343">
        <f>SUMIFS($AU$2420:AU2699,$AQ$2420:AQ2699,"H")</f>
        <v>1762.9999999999427</v>
      </c>
      <c r="BO2546" s="343">
        <f>SUMIFS($AU$2420:AU2699,$AQ$2420:AQ2699,"D")</f>
        <v>-767.99999999998977</v>
      </c>
      <c r="BP2546" s="343">
        <f>SUMIFS($AS$2420:AS2787,$AO$2420:AO2787,"W")</f>
        <v>0</v>
      </c>
      <c r="BQ2546" s="343">
        <f>SUMIFS($AU$2420:AU2699,$Q$2420:Q2699,"O")</f>
        <v>-884.7999999998965</v>
      </c>
      <c r="BR2546" s="343">
        <f>SUMIFS($AU$2420:AU2699,$AA$2420:AA2699,"*")</f>
        <v>-512.79999999998074</v>
      </c>
      <c r="BS2546" s="343">
        <f>SUMIFS($AU$2420:AU2699,$AB$2420:AB2699,"*")</f>
        <v>-451.99999999997726</v>
      </c>
      <c r="BT2546" s="343">
        <f>SUMIFS($AU$2420:AU2699,$AC$2420:AC2699,"*")</f>
        <v>-143.99999999999909</v>
      </c>
      <c r="BU2546" s="343">
        <f>SUMIFS($AU$2420:AU2699,$AA$2420:AA2699,"*",$AB$2420:AB2699,"*")</f>
        <v>95.999999999933891</v>
      </c>
      <c r="BV2546" s="343">
        <f>SUMIFS($AU$2420:AU2699,$AA$2420:AA2699,"*",$AC$2420:AC2699,"*")</f>
        <v>-591.99999999999977</v>
      </c>
      <c r="BW2546" s="343">
        <f>SUMIFS($AU$2420:AU2699,$AB$2420:AB2699,"*",$AC$2420:AC2699,"*")</f>
        <v>-143.99999999999966</v>
      </c>
      <c r="BX2546" s="343">
        <f>SUMIFS($AV$2420:AV2699,$Q$2420:Q2699,"F")</f>
        <v>18.153846153846242</v>
      </c>
      <c r="BY2546" s="343">
        <f>SUMIFS($AV$2420:AV2699,$Q$2420:Q2699,"S")</f>
        <v>64.044720496894826</v>
      </c>
      <c r="BZ2546" s="343">
        <f>SUMIFS($AV$2420:AV2699,$Q$2420:Q2699,"O")</f>
        <v>-458.13333333332537</v>
      </c>
    </row>
    <row r="2547" spans="1:78" ht="15.75" customHeight="1">
      <c r="A2547" s="663" t="s">
        <v>7813</v>
      </c>
      <c r="B2547" s="200">
        <v>45569</v>
      </c>
      <c r="C2547" s="178" t="s">
        <v>682</v>
      </c>
      <c r="D2547" s="178" t="s">
        <v>111</v>
      </c>
      <c r="E2547" s="227"/>
      <c r="F2547" s="180"/>
      <c r="G2547" s="481" t="s">
        <v>7836</v>
      </c>
      <c r="H2547" s="182"/>
      <c r="I2547" s="182"/>
      <c r="J2547" s="182"/>
      <c r="K2547" s="183"/>
      <c r="L2547" s="182"/>
      <c r="M2547" s="182"/>
      <c r="N2547" s="182"/>
      <c r="O2547" s="183" t="s">
        <v>95</v>
      </c>
      <c r="P2547" s="183" t="s">
        <v>96</v>
      </c>
      <c r="Q2547" s="183" t="s">
        <v>97</v>
      </c>
      <c r="R2547" s="183">
        <v>6</v>
      </c>
      <c r="S2547" s="183">
        <v>0</v>
      </c>
      <c r="T2547" s="183">
        <v>6</v>
      </c>
      <c r="U2547" s="183" t="s">
        <v>22</v>
      </c>
      <c r="V2547" s="183" t="s">
        <v>7349</v>
      </c>
      <c r="W2547" s="183" t="s">
        <v>115</v>
      </c>
      <c r="X2547" s="183" t="s">
        <v>7497</v>
      </c>
      <c r="Y2547" s="184">
        <f t="shared" si="885"/>
        <v>0.01</v>
      </c>
      <c r="Z2547" s="185">
        <f t="shared" si="886"/>
        <v>1600</v>
      </c>
      <c r="AA2547" s="185" t="s">
        <v>6373</v>
      </c>
      <c r="AB2547" s="185"/>
      <c r="AC2547" s="185"/>
      <c r="AD2547" s="649">
        <v>-0.16</v>
      </c>
      <c r="AE2547" s="182"/>
      <c r="AF2547" s="332"/>
      <c r="AG2547" s="182"/>
      <c r="AH2547" s="182"/>
      <c r="AI2547" s="182"/>
      <c r="AJ2547" s="640"/>
      <c r="AK2547" s="182"/>
      <c r="AL2547" s="496">
        <f t="shared" si="876"/>
        <v>-32</v>
      </c>
      <c r="AM2547" s="496">
        <f t="shared" si="877"/>
        <v>-192</v>
      </c>
      <c r="AN2547" s="626"/>
      <c r="AO2547" s="182"/>
      <c r="AP2547" s="182"/>
      <c r="AQ2547" s="332" t="s">
        <v>115</v>
      </c>
      <c r="AR2547" s="182" t="s">
        <v>1486</v>
      </c>
      <c r="AS2547" s="189">
        <v>-0.16</v>
      </c>
      <c r="AT2547" s="189">
        <f t="shared" si="878"/>
        <v>0</v>
      </c>
      <c r="AU2547" s="187">
        <f t="shared" si="879"/>
        <v>0</v>
      </c>
      <c r="AV2547" s="190">
        <f t="shared" si="880"/>
        <v>0</v>
      </c>
      <c r="AW2547" s="191" t="s">
        <v>115</v>
      </c>
      <c r="AX2547" s="551"/>
      <c r="AY2547" s="551"/>
      <c r="AZ2547" s="551"/>
      <c r="BA2547" s="551"/>
      <c r="BB2547" s="551"/>
      <c r="BC2547" s="551"/>
      <c r="BD2547" s="549"/>
      <c r="BE2547" s="550"/>
      <c r="BF2547" s="549"/>
      <c r="BG2547" s="391">
        <f>SUM($AV$2420:AV2547)</f>
        <v>-286.46520146513996</v>
      </c>
      <c r="BH2547" s="392">
        <f>SUM($AU$2420:AU2547)</f>
        <v>-760.99999999991985</v>
      </c>
      <c r="BI2547" s="318">
        <f>SUMIFS($AU$2420:AU2700,$Q$2420:Q2700,"F")</f>
        <v>-143.99999999999949</v>
      </c>
      <c r="BJ2547" s="318">
        <f>SUMIFS($AU$2420:AU2700,$Q$2420:Q2700,"S")</f>
        <v>256.00000000000466</v>
      </c>
      <c r="BK2547" s="343">
        <f>SUMIFS($AU$2420:AU2700,$P$2420:P2700,"W")</f>
        <v>-607.99999999991883</v>
      </c>
      <c r="BL2547" s="343">
        <f>SUMIFS($AU$2420:AU2700,$P$2420:P2700,"R")</f>
        <v>911.99999999999966</v>
      </c>
      <c r="BM2547" s="343">
        <f>SUMIFS($AU$2420:AU2700,$AQ$2420:AQ2700,"M")</f>
        <v>-899.79999999984489</v>
      </c>
      <c r="BN2547" s="343">
        <f>SUMIFS($AU$2420:AU2700,$AQ$2420:AQ2700,"H")</f>
        <v>1762.9999999999427</v>
      </c>
      <c r="BO2547" s="343">
        <f>SUMIFS($AU$2420:AU2700,$AQ$2420:AQ2700,"D")</f>
        <v>-767.99999999998977</v>
      </c>
      <c r="BP2547" s="343">
        <f>SUMIFS($AS$2420:AS2788,$AO$2420:AO2788,"W")</f>
        <v>0</v>
      </c>
      <c r="BQ2547" s="343">
        <f>SUMIFS($AU$2420:AU2700,$Q$2420:Q2700,"O")</f>
        <v>-884.7999999998965</v>
      </c>
      <c r="BR2547" s="343">
        <f>SUMIFS($AU$2420:AU2700,$AA$2420:AA2700,"*")</f>
        <v>-512.79999999998074</v>
      </c>
      <c r="BS2547" s="343">
        <f>SUMIFS($AU$2420:AU2700,$AB$2420:AB2700,"*")</f>
        <v>-451.99999999997726</v>
      </c>
      <c r="BT2547" s="343">
        <f>SUMIFS($AU$2420:AU2700,$AC$2420:AC2700,"*")</f>
        <v>-143.99999999999909</v>
      </c>
      <c r="BU2547" s="343">
        <f>SUMIFS($AU$2420:AU2700,$AA$2420:AA2700,"*",$AB$2420:AB2700,"*")</f>
        <v>95.999999999933891</v>
      </c>
      <c r="BV2547" s="343">
        <f>SUMIFS($AU$2420:AU2700,$AA$2420:AA2700,"*",$AC$2420:AC2700,"*")</f>
        <v>-591.99999999999977</v>
      </c>
      <c r="BW2547" s="343">
        <f>SUMIFS($AU$2420:AU2700,$AB$2420:AB2700,"*",$AC$2420:AC2700,"*")</f>
        <v>-143.99999999999966</v>
      </c>
      <c r="BX2547" s="343">
        <f>SUMIFS($AV$2420:AV2700,$Q$2420:Q2700,"F")</f>
        <v>18.153846153846242</v>
      </c>
      <c r="BY2547" s="343">
        <f>SUMIFS($AV$2420:AV2700,$Q$2420:Q2700,"S")</f>
        <v>64.044720496894826</v>
      </c>
      <c r="BZ2547" s="343">
        <f>SUMIFS($AV$2420:AV2700,$Q$2420:Q2700,"O")</f>
        <v>-458.13333333332537</v>
      </c>
    </row>
    <row r="2548" spans="1:78" ht="15.75" customHeight="1">
      <c r="A2548" s="663" t="s">
        <v>7813</v>
      </c>
      <c r="B2548" s="200">
        <v>45569</v>
      </c>
      <c r="C2548" s="178" t="s">
        <v>682</v>
      </c>
      <c r="D2548" s="178" t="s">
        <v>111</v>
      </c>
      <c r="E2548" s="227"/>
      <c r="F2548" s="180"/>
      <c r="G2548" s="481" t="s">
        <v>7279</v>
      </c>
      <c r="H2548" s="182"/>
      <c r="I2548" s="182"/>
      <c r="J2548" s="182"/>
      <c r="K2548" s="183"/>
      <c r="L2548" s="182"/>
      <c r="M2548" s="182"/>
      <c r="N2548" s="182"/>
      <c r="O2548" s="183" t="s">
        <v>95</v>
      </c>
      <c r="P2548" s="183" t="s">
        <v>96</v>
      </c>
      <c r="Q2548" s="183" t="s">
        <v>97</v>
      </c>
      <c r="R2548" s="183">
        <v>12</v>
      </c>
      <c r="S2548" s="183">
        <v>0</v>
      </c>
      <c r="T2548" s="183">
        <v>12</v>
      </c>
      <c r="U2548" s="183" t="s">
        <v>22</v>
      </c>
      <c r="V2548" s="183" t="s">
        <v>7349</v>
      </c>
      <c r="W2548" s="183" t="s">
        <v>20</v>
      </c>
      <c r="X2548" s="183" t="s">
        <v>7467</v>
      </c>
      <c r="Y2548" s="184">
        <f>IF(ISBLANK(O2548),"",(IF(O2548=UPPER("IB"),0.005,0.01)))</f>
        <v>0.01</v>
      </c>
      <c r="Z2548" s="185">
        <f>IF(ISBLANK(O2548),"",IF(O2548="IB",8.63*200,IF(O2548="IR",16*100,IF(O2548="YT",20*100,IF(O2548="YT-XT",24*200,IF(O2548="TED",80*100,IF(O2548="XT",29*200)))))))</f>
        <v>1600</v>
      </c>
      <c r="AA2548" s="185" t="s">
        <v>7866</v>
      </c>
      <c r="AB2548" s="185"/>
      <c r="AC2548" s="185" t="s">
        <v>7867</v>
      </c>
      <c r="AD2548" s="649">
        <v>-0.17</v>
      </c>
      <c r="AE2548" s="182"/>
      <c r="AF2548" s="332"/>
      <c r="AG2548" s="182"/>
      <c r="AH2548" s="182"/>
      <c r="AI2548" s="182"/>
      <c r="AJ2548" s="640"/>
      <c r="AK2548" s="182"/>
      <c r="AL2548" s="496">
        <f t="shared" si="876"/>
        <v>-32</v>
      </c>
      <c r="AM2548" s="496">
        <f t="shared" si="877"/>
        <v>-384</v>
      </c>
      <c r="AN2548" s="626"/>
      <c r="AO2548" s="182"/>
      <c r="AP2548" s="182"/>
      <c r="AQ2548" s="332" t="s">
        <v>115</v>
      </c>
      <c r="AR2548" s="182"/>
      <c r="AS2548" s="189">
        <v>-0.17</v>
      </c>
      <c r="AT2548" s="189">
        <f t="shared" si="878"/>
        <v>0</v>
      </c>
      <c r="AU2548" s="187">
        <f t="shared" si="879"/>
        <v>0</v>
      </c>
      <c r="AV2548" s="190">
        <f t="shared" si="880"/>
        <v>0</v>
      </c>
      <c r="AW2548" s="191" t="s">
        <v>115</v>
      </c>
      <c r="AX2548" s="551"/>
      <c r="AY2548" s="551"/>
      <c r="AZ2548" s="551"/>
      <c r="BA2548" s="551" t="s">
        <v>7868</v>
      </c>
      <c r="BB2548" s="551"/>
      <c r="BC2548" s="551"/>
      <c r="BD2548" s="549"/>
      <c r="BE2548" s="550"/>
      <c r="BF2548" s="549"/>
      <c r="BG2548" s="391">
        <f>SUM($AV$2420:AV2548)</f>
        <v>-286.46520146513996</v>
      </c>
      <c r="BH2548" s="392">
        <f>SUM($AU$2420:AU2548)</f>
        <v>-760.99999999991985</v>
      </c>
      <c r="BI2548" s="318">
        <f>SUMIFS($AU$2420:AU2701,$Q$2420:Q2701,"F")</f>
        <v>-143.99999999999949</v>
      </c>
      <c r="BJ2548" s="318">
        <f>SUMIFS($AU$2420:AU2701,$Q$2420:Q2701,"S")</f>
        <v>256.00000000000466</v>
      </c>
      <c r="BK2548" s="343">
        <f>SUMIFS($AU$2420:AU2701,$P$2420:P2701,"W")</f>
        <v>-607.99999999991883</v>
      </c>
      <c r="BL2548" s="343">
        <f>SUMIFS($AU$2420:AU2701,$P$2420:P2701,"R")</f>
        <v>911.99999999999966</v>
      </c>
      <c r="BM2548" s="343">
        <f>SUMIFS($AU$2420:AU2701,$AQ$2420:AQ2701,"M")</f>
        <v>-899.79999999984489</v>
      </c>
      <c r="BN2548" s="343">
        <f>SUMIFS($AU$2420:AU2701,$AQ$2420:AQ2701,"H")</f>
        <v>1762.9999999999427</v>
      </c>
      <c r="BO2548" s="343">
        <f>SUMIFS($AU$2420:AU2701,$AQ$2420:AQ2701,"D")</f>
        <v>-767.99999999998977</v>
      </c>
      <c r="BP2548" s="343">
        <f>SUMIFS($AS$2420:AS2789,$AO$2420:AO2789,"W")</f>
        <v>0</v>
      </c>
      <c r="BQ2548" s="343">
        <f>SUMIFS($AU$2420:AU2701,$Q$2420:Q2701,"O")</f>
        <v>-884.7999999998965</v>
      </c>
      <c r="BR2548" s="343">
        <f>SUMIFS($AU$2420:AU2701,$AA$2420:AA2701,"*")</f>
        <v>-512.79999999998074</v>
      </c>
      <c r="BS2548" s="343">
        <f>SUMIFS($AU$2420:AU2701,$AB$2420:AB2701,"*")</f>
        <v>-451.99999999997726</v>
      </c>
      <c r="BT2548" s="343">
        <f>SUMIFS($AU$2420:AU2701,$AC$2420:AC2701,"*")</f>
        <v>-143.99999999999909</v>
      </c>
      <c r="BU2548" s="343">
        <f>SUMIFS($AU$2420:AU2701,$AA$2420:AA2701,"*",$AB$2420:AB2701,"*")</f>
        <v>95.999999999933891</v>
      </c>
      <c r="BV2548" s="343">
        <f>SUMIFS($AU$2420:AU2701,$AA$2420:AA2701,"*",$AC$2420:AC2701,"*")</f>
        <v>-591.99999999999977</v>
      </c>
      <c r="BW2548" s="343">
        <f>SUMIFS($AU$2420:AU2701,$AB$2420:AB2701,"*",$AC$2420:AC2701,"*")</f>
        <v>-143.99999999999966</v>
      </c>
      <c r="BX2548" s="343">
        <f>SUMIFS($AV$2420:AV2701,$Q$2420:Q2701,"F")</f>
        <v>18.153846153846242</v>
      </c>
      <c r="BY2548" s="343">
        <f>SUMIFS($AV$2420:AV2701,$Q$2420:Q2701,"S")</f>
        <v>64.044720496894826</v>
      </c>
      <c r="BZ2548" s="343">
        <f>SUMIFS($AV$2420:AV2701,$Q$2420:Q2701,"O")</f>
        <v>-458.13333333332537</v>
      </c>
    </row>
    <row r="2549" spans="1:78" ht="15.75" customHeight="1">
      <c r="A2549" s="663" t="s">
        <v>7813</v>
      </c>
      <c r="B2549" s="200">
        <v>45573</v>
      </c>
      <c r="C2549" s="178" t="s">
        <v>4065</v>
      </c>
      <c r="D2549" s="178" t="s">
        <v>146</v>
      </c>
      <c r="E2549" s="227"/>
      <c r="F2549" s="180"/>
      <c r="G2549" s="181" t="s">
        <v>3992</v>
      </c>
      <c r="H2549" s="182"/>
      <c r="I2549" s="182"/>
      <c r="J2549" s="182"/>
      <c r="K2549" s="183"/>
      <c r="L2549" s="182"/>
      <c r="M2549" s="182"/>
      <c r="N2549" s="182"/>
      <c r="O2549" s="183" t="s">
        <v>95</v>
      </c>
      <c r="P2549" s="183" t="s">
        <v>96</v>
      </c>
      <c r="Q2549" s="183" t="s">
        <v>684</v>
      </c>
      <c r="R2549" s="183">
        <v>3</v>
      </c>
      <c r="S2549" s="183">
        <v>0</v>
      </c>
      <c r="T2549" s="183">
        <v>3</v>
      </c>
      <c r="U2549" s="183" t="s">
        <v>97</v>
      </c>
      <c r="V2549" s="183" t="s">
        <v>7349</v>
      </c>
      <c r="W2549" s="183" t="s">
        <v>115</v>
      </c>
      <c r="X2549" s="183"/>
      <c r="Y2549" s="184">
        <f t="shared" ref="Y2549" si="887">IF(ISBLANK(O2549),"",(IF(O2549=UPPER("IB"),0.005,0.01)))</f>
        <v>0.01</v>
      </c>
      <c r="Z2549" s="185">
        <f t="shared" ref="Z2549" si="888">IF(ISBLANK(O2549),"",IF(O2549="IB",8.63*200,IF(O2549="IR",16*100,IF(O2549="YT",20*100,IF(O2549="YT-XT",24*200,IF(O2549="TED",80*100,IF(O2549="XT",29*200)))))))</f>
        <v>1600</v>
      </c>
      <c r="AA2549" s="185" t="s">
        <v>7869</v>
      </c>
      <c r="AB2549" s="185"/>
      <c r="AC2549" s="185"/>
      <c r="AD2549" s="649">
        <v>96.09</v>
      </c>
      <c r="AE2549" s="182"/>
      <c r="AF2549" s="332"/>
      <c r="AG2549" s="182"/>
      <c r="AH2549" s="182"/>
      <c r="AI2549" s="182"/>
      <c r="AJ2549" s="640"/>
      <c r="AK2549" s="182"/>
      <c r="AL2549" s="496">
        <f t="shared" si="876"/>
        <v>-32</v>
      </c>
      <c r="AM2549" s="496">
        <f t="shared" si="877"/>
        <v>-96</v>
      </c>
      <c r="AN2549" s="626"/>
      <c r="AO2549" s="182"/>
      <c r="AP2549" s="182"/>
      <c r="AQ2549" s="332" t="s">
        <v>1259</v>
      </c>
      <c r="AR2549" s="182"/>
      <c r="AS2549" s="189">
        <v>96.1</v>
      </c>
      <c r="AT2549" s="189">
        <f t="shared" si="878"/>
        <v>-9.9999999999909051E-3</v>
      </c>
      <c r="AU2549" s="187">
        <f t="shared" si="879"/>
        <v>-47.999999999956344</v>
      </c>
      <c r="AV2549" s="190">
        <f t="shared" si="880"/>
        <v>-15.999999999985448</v>
      </c>
      <c r="AW2549" s="191" t="s">
        <v>229</v>
      </c>
      <c r="AX2549" s="551" t="s">
        <v>7870</v>
      </c>
      <c r="AY2549" s="551" t="s">
        <v>7871</v>
      </c>
      <c r="AZ2549" s="551" t="s">
        <v>7872</v>
      </c>
      <c r="BA2549" s="551" t="s">
        <v>7873</v>
      </c>
      <c r="BB2549" s="551" t="s">
        <v>7874</v>
      </c>
      <c r="BC2549" s="551"/>
      <c r="BD2549" s="549"/>
      <c r="BE2549" s="550"/>
      <c r="BF2549" s="549"/>
      <c r="BG2549" s="391">
        <f>SUM($AV$2420:AV2549)</f>
        <v>-302.4652014651254</v>
      </c>
      <c r="BH2549" s="392">
        <f>SUM($AU$2420:AU2549)</f>
        <v>-808.9999999998762</v>
      </c>
      <c r="BI2549" s="318">
        <f>SUMIFS($AU$2420:AU2702,$Q$2420:Q2702,"F")</f>
        <v>-143.99999999999949</v>
      </c>
      <c r="BJ2549" s="318">
        <f>SUMIFS($AU$2420:AU2702,$Q$2420:Q2702,"S")</f>
        <v>256.00000000000466</v>
      </c>
      <c r="BK2549" s="343">
        <f>SUMIFS($AU$2420:AU2702,$P$2420:P2702,"W")</f>
        <v>-607.99999999991883</v>
      </c>
      <c r="BL2549" s="343">
        <f>SUMIFS($AU$2420:AU2702,$P$2420:P2702,"R")</f>
        <v>911.99999999999966</v>
      </c>
      <c r="BM2549" s="343">
        <f>SUMIFS($AU$2420:AU2702,$AQ$2420:AQ2702,"M")</f>
        <v>-899.79999999984489</v>
      </c>
      <c r="BN2549" s="343">
        <f>SUMIFS($AU$2420:AU2702,$AQ$2420:AQ2702,"H")</f>
        <v>1762.9999999999427</v>
      </c>
      <c r="BO2549" s="343">
        <f>SUMIFS($AU$2420:AU2702,$AQ$2420:AQ2702,"D")</f>
        <v>-767.99999999998977</v>
      </c>
      <c r="BP2549" s="343">
        <f>SUMIFS($AS$2420:AS2790,$AO$2420:AO2790,"W")</f>
        <v>0</v>
      </c>
      <c r="BQ2549" s="343">
        <f>SUMIFS($AU$2420:AU2702,$Q$2420:Q2702,"O")</f>
        <v>-884.7999999998965</v>
      </c>
      <c r="BR2549" s="343">
        <f>SUMIFS($AU$2420:AU2702,$AA$2420:AA2702,"*")</f>
        <v>-512.79999999998074</v>
      </c>
      <c r="BS2549" s="343">
        <f>SUMIFS($AU$2420:AU2702,$AB$2420:AB2702,"*")</f>
        <v>-451.99999999997726</v>
      </c>
      <c r="BT2549" s="343">
        <f>SUMIFS($AU$2420:AU2702,$AC$2420:AC2702,"*")</f>
        <v>-143.99999999999909</v>
      </c>
      <c r="BU2549" s="343">
        <f>SUMIFS($AU$2420:AU2702,$AA$2420:AA2702,"*",$AB$2420:AB2702,"*")</f>
        <v>95.999999999933891</v>
      </c>
      <c r="BV2549" s="343">
        <f>SUMIFS($AU$2420:AU2702,$AA$2420:AA2702,"*",$AC$2420:AC2702,"*")</f>
        <v>-591.99999999999977</v>
      </c>
      <c r="BW2549" s="343">
        <f>SUMIFS($AU$2420:AU2702,$AB$2420:AB2702,"*",$AC$2420:AC2702,"*")</f>
        <v>-143.99999999999966</v>
      </c>
      <c r="BX2549" s="343">
        <f>SUMIFS($AV$2420:AV2702,$Q$2420:Q2702,"F")</f>
        <v>18.153846153846242</v>
      </c>
      <c r="BY2549" s="343">
        <f>SUMIFS($AV$2420:AV2702,$Q$2420:Q2702,"S")</f>
        <v>64.044720496894826</v>
      </c>
      <c r="BZ2549" s="343">
        <f>SUMIFS($AV$2420:AV2702,$Q$2420:Q2702,"O")</f>
        <v>-458.13333333332537</v>
      </c>
    </row>
    <row r="2550" spans="1:78" ht="15.75" customHeight="1">
      <c r="A2550" s="663" t="s">
        <v>7813</v>
      </c>
      <c r="B2550" s="200">
        <v>45573</v>
      </c>
      <c r="C2550" s="178" t="s">
        <v>7875</v>
      </c>
      <c r="D2550" s="178" t="s">
        <v>146</v>
      </c>
      <c r="E2550" s="227"/>
      <c r="F2550" s="180"/>
      <c r="G2550" s="481" t="s">
        <v>4147</v>
      </c>
      <c r="H2550" s="182"/>
      <c r="I2550" s="182"/>
      <c r="J2550" s="182"/>
      <c r="K2550" s="183"/>
      <c r="L2550" s="182"/>
      <c r="M2550" s="182"/>
      <c r="N2550" s="182"/>
      <c r="O2550" s="183" t="s">
        <v>95</v>
      </c>
      <c r="P2550" s="183" t="s">
        <v>96</v>
      </c>
      <c r="Q2550" s="183" t="s">
        <v>97</v>
      </c>
      <c r="R2550" s="183">
        <v>11</v>
      </c>
      <c r="S2550" s="183">
        <v>0</v>
      </c>
      <c r="T2550" s="183">
        <v>11</v>
      </c>
      <c r="U2550" s="183" t="s">
        <v>97</v>
      </c>
      <c r="V2550" s="183" t="s">
        <v>7349</v>
      </c>
      <c r="W2550" s="183" t="s">
        <v>20</v>
      </c>
      <c r="X2550" s="183" t="s">
        <v>7467</v>
      </c>
      <c r="Y2550" s="184">
        <f>IF(ISBLANK(O2550),"",(IF(O2550=UPPER("IB"),0.005,0.01)))</f>
        <v>0.01</v>
      </c>
      <c r="Z2550" s="185">
        <f>IF(ISBLANK(O2550),"",IF(O2550="IB",8.63*200,IF(O2550="IR",16*100,IF(O2550="YT",20*100,IF(O2550="YT-XT",24*200,IF(O2550="TED",80*100,IF(O2550="XT",29*200)))))))</f>
        <v>1600</v>
      </c>
      <c r="AA2550" s="185"/>
      <c r="AB2550" s="185"/>
      <c r="AC2550" s="185" t="s">
        <v>7876</v>
      </c>
      <c r="AD2550" s="649">
        <v>-0.11</v>
      </c>
      <c r="AE2550" s="182"/>
      <c r="AF2550" s="332"/>
      <c r="AG2550" s="182"/>
      <c r="AH2550" s="182"/>
      <c r="AI2550" s="182"/>
      <c r="AJ2550" s="640"/>
      <c r="AK2550" s="182"/>
      <c r="AL2550" s="496">
        <f t="shared" si="876"/>
        <v>-32</v>
      </c>
      <c r="AM2550" s="496">
        <f t="shared" si="877"/>
        <v>-352</v>
      </c>
      <c r="AN2550" s="626"/>
      <c r="AO2550" s="182"/>
      <c r="AP2550" s="182"/>
      <c r="AQ2550" s="332" t="s">
        <v>372</v>
      </c>
      <c r="AR2550" s="182"/>
      <c r="AS2550" s="189">
        <v>-0.11</v>
      </c>
      <c r="AT2550" s="189">
        <f t="shared" si="878"/>
        <v>0</v>
      </c>
      <c r="AU2550" s="187">
        <f t="shared" si="879"/>
        <v>0</v>
      </c>
      <c r="AV2550" s="190">
        <f t="shared" si="880"/>
        <v>0</v>
      </c>
      <c r="AW2550" s="191" t="s">
        <v>115</v>
      </c>
      <c r="AX2550" s="551" t="s">
        <v>7877</v>
      </c>
      <c r="AY2550" s="551" t="s">
        <v>7878</v>
      </c>
      <c r="AZ2550" s="551"/>
      <c r="BA2550" s="551"/>
      <c r="BB2550" s="551"/>
      <c r="BC2550" s="551"/>
      <c r="BD2550" s="549"/>
      <c r="BE2550" s="550"/>
      <c r="BF2550" s="549"/>
      <c r="BG2550" s="391">
        <f>SUM($AV$2420:AV2550)</f>
        <v>-302.4652014651254</v>
      </c>
      <c r="BH2550" s="392">
        <f>SUM($AU$2420:AU2550)</f>
        <v>-808.9999999998762</v>
      </c>
      <c r="BI2550" s="318">
        <f>SUMIFS($AU$2420:AU2703,$Q$2420:Q2703,"F")</f>
        <v>-143.99999999999949</v>
      </c>
      <c r="BJ2550" s="318">
        <f>SUMIFS($AU$2420:AU2703,$Q$2420:Q2703,"S")</f>
        <v>256.00000000000466</v>
      </c>
      <c r="BK2550" s="343">
        <f>SUMIFS($AU$2420:AU2703,$P$2420:P2703,"W")</f>
        <v>-607.99999999991883</v>
      </c>
      <c r="BL2550" s="343">
        <f>SUMIFS($AU$2420:AU2703,$P$2420:P2703,"R")</f>
        <v>911.99999999999966</v>
      </c>
      <c r="BM2550" s="343">
        <f>SUMIFS($AU$2420:AU2703,$AQ$2420:AQ2703,"M")</f>
        <v>-899.79999999984489</v>
      </c>
      <c r="BN2550" s="343">
        <f>SUMIFS($AU$2420:AU2703,$AQ$2420:AQ2703,"H")</f>
        <v>1762.9999999999427</v>
      </c>
      <c r="BO2550" s="343">
        <f>SUMIFS($AU$2420:AU2703,$AQ$2420:AQ2703,"D")</f>
        <v>-767.99999999998977</v>
      </c>
      <c r="BP2550" s="343">
        <f>SUMIFS($AS$2420:AS2791,$AO$2420:AO2791,"W")</f>
        <v>0</v>
      </c>
      <c r="BQ2550" s="343">
        <f>SUMIFS($AU$2420:AU2703,$Q$2420:Q2703,"O")</f>
        <v>-884.7999999998965</v>
      </c>
      <c r="BR2550" s="343">
        <f>SUMIFS($AU$2420:AU2703,$AA$2420:AA2703,"*")</f>
        <v>-512.79999999998074</v>
      </c>
      <c r="BS2550" s="343">
        <f>SUMIFS($AU$2420:AU2703,$AB$2420:AB2703,"*")</f>
        <v>-451.99999999997726</v>
      </c>
      <c r="BT2550" s="343">
        <f>SUMIFS($AU$2420:AU2703,$AC$2420:AC2703,"*")</f>
        <v>-143.99999999999909</v>
      </c>
      <c r="BU2550" s="343">
        <f>SUMIFS($AU$2420:AU2703,$AA$2420:AA2703,"*",$AB$2420:AB2703,"*")</f>
        <v>95.999999999933891</v>
      </c>
      <c r="BV2550" s="343">
        <f>SUMIFS($AU$2420:AU2703,$AA$2420:AA2703,"*",$AC$2420:AC2703,"*")</f>
        <v>-591.99999999999977</v>
      </c>
      <c r="BW2550" s="343">
        <f>SUMIFS($AU$2420:AU2703,$AB$2420:AB2703,"*",$AC$2420:AC2703,"*")</f>
        <v>-143.99999999999966</v>
      </c>
      <c r="BX2550" s="343">
        <f>SUMIFS($AV$2420:AV2703,$Q$2420:Q2703,"F")</f>
        <v>18.153846153846242</v>
      </c>
      <c r="BY2550" s="343">
        <f>SUMIFS($AV$2420:AV2703,$Q$2420:Q2703,"S")</f>
        <v>64.044720496894826</v>
      </c>
      <c r="BZ2550" s="343">
        <f>SUMIFS($AV$2420:AV2703,$Q$2420:Q2703,"O")</f>
        <v>-458.13333333332537</v>
      </c>
    </row>
    <row r="2551" spans="1:78" ht="15.75" customHeight="1">
      <c r="A2551" s="663" t="s">
        <v>7813</v>
      </c>
      <c r="B2551" s="200"/>
      <c r="C2551" s="178"/>
      <c r="D2551" s="178"/>
      <c r="E2551" s="227"/>
      <c r="F2551" s="180"/>
      <c r="G2551" s="181"/>
      <c r="H2551" s="182"/>
      <c r="I2551" s="182"/>
      <c r="J2551" s="182"/>
      <c r="K2551" s="183"/>
      <c r="L2551" s="182"/>
      <c r="M2551" s="182"/>
      <c r="N2551" s="182"/>
      <c r="O2551" s="183"/>
      <c r="P2551" s="183"/>
      <c r="Q2551" s="183"/>
      <c r="R2551" s="183"/>
      <c r="S2551" s="183"/>
      <c r="T2551" s="183"/>
      <c r="U2551" s="183"/>
      <c r="V2551" s="183"/>
      <c r="W2551" s="183"/>
      <c r="X2551" s="183"/>
      <c r="Y2551" s="183"/>
      <c r="Z2551" s="183"/>
      <c r="AA2551" s="185"/>
      <c r="AB2551" s="185"/>
      <c r="AC2551" s="185"/>
      <c r="AD2551" s="649"/>
      <c r="AE2551" s="182"/>
      <c r="AF2551" s="332"/>
      <c r="AG2551" s="182"/>
      <c r="AH2551" s="182"/>
      <c r="AI2551" s="182"/>
      <c r="AJ2551" s="640"/>
      <c r="AK2551" s="182"/>
      <c r="AL2551" s="496">
        <f t="shared" si="876"/>
        <v>0</v>
      </c>
      <c r="AM2551" s="496">
        <f t="shared" si="877"/>
        <v>0</v>
      </c>
      <c r="AN2551" s="626"/>
      <c r="AO2551" s="182"/>
      <c r="AP2551" s="182"/>
      <c r="AQ2551" s="332" t="str">
        <f>UPPER(RIGHT(Journal_Live[[#This Row],[DURATION ]]))</f>
        <v/>
      </c>
      <c r="AR2551" s="182"/>
      <c r="AS2551" s="189"/>
      <c r="AT2551" s="189">
        <f t="shared" si="878"/>
        <v>0</v>
      </c>
      <c r="AU2551" s="187">
        <f t="shared" si="879"/>
        <v>0</v>
      </c>
      <c r="AV2551" s="190">
        <f t="shared" si="880"/>
        <v>0</v>
      </c>
      <c r="AW2551" s="191"/>
      <c r="AX2551" s="551" t="s">
        <v>7879</v>
      </c>
      <c r="AY2551" s="551" t="s">
        <v>7880</v>
      </c>
      <c r="AZ2551" s="551" t="s">
        <v>7881</v>
      </c>
      <c r="BA2551" s="551"/>
      <c r="BB2551" s="551"/>
      <c r="BC2551" s="551"/>
      <c r="BD2551" s="549"/>
      <c r="BE2551" s="550"/>
      <c r="BF2551" s="549"/>
      <c r="BG2551" s="391">
        <f>SUM($AV$2420:AV2551)</f>
        <v>-302.4652014651254</v>
      </c>
      <c r="BH2551" s="392">
        <f>SUM($AU$2420:AU2551)</f>
        <v>-808.9999999998762</v>
      </c>
      <c r="BI2551" s="318">
        <f>SUMIFS($AU$2420:AU2704,$Q$2420:Q2704,"F")</f>
        <v>-143.99999999999949</v>
      </c>
      <c r="BJ2551" s="318">
        <f>SUMIFS($AU$2420:AU2704,$Q$2420:Q2704,"S")</f>
        <v>256.00000000000466</v>
      </c>
      <c r="BK2551" s="343">
        <f>SUMIFS($AU$2420:AU2704,$P$2420:P2704,"W")</f>
        <v>-607.99999999991883</v>
      </c>
      <c r="BL2551" s="343">
        <f>SUMIFS($AU$2420:AU2704,$P$2420:P2704,"R")</f>
        <v>911.99999999999966</v>
      </c>
      <c r="BM2551" s="343">
        <f>SUMIFS($AU$2420:AU2704,$AQ$2420:AQ2704,"M")</f>
        <v>-899.79999999984489</v>
      </c>
      <c r="BN2551" s="343">
        <f>SUMIFS($AU$2420:AU2704,$AQ$2420:AQ2704,"H")</f>
        <v>1762.9999999999427</v>
      </c>
      <c r="BO2551" s="343">
        <f>SUMIFS($AU$2420:AU2704,$AQ$2420:AQ2704,"D")</f>
        <v>-767.99999999998977</v>
      </c>
      <c r="BP2551" s="343">
        <f>SUMIFS($AS$2420:AS2792,$AO$2420:AO2792,"W")</f>
        <v>0</v>
      </c>
      <c r="BQ2551" s="343">
        <f>SUMIFS($AU$2420:AU2704,$Q$2420:Q2704,"O")</f>
        <v>-884.7999999998965</v>
      </c>
      <c r="BR2551" s="343">
        <f>SUMIFS($AU$2420:AU2704,$AA$2420:AA2704,"*")</f>
        <v>-512.79999999998074</v>
      </c>
      <c r="BS2551" s="343">
        <f>SUMIFS($AU$2420:AU2704,$AB$2420:AB2704,"*")</f>
        <v>-451.99999999997726</v>
      </c>
      <c r="BT2551" s="343">
        <f>SUMIFS($AU$2420:AU2704,$AC$2420:AC2704,"*")</f>
        <v>-143.99999999999909</v>
      </c>
      <c r="BU2551" s="343">
        <f>SUMIFS($AU$2420:AU2704,$AA$2420:AA2704,"*",$AB$2420:AB2704,"*")</f>
        <v>95.999999999933891</v>
      </c>
      <c r="BV2551" s="343">
        <f>SUMIFS($AU$2420:AU2704,$AA$2420:AA2704,"*",$AC$2420:AC2704,"*")</f>
        <v>-591.99999999999977</v>
      </c>
      <c r="BW2551" s="343">
        <f>SUMIFS($AU$2420:AU2704,$AB$2420:AB2704,"*",$AC$2420:AC2704,"*")</f>
        <v>-143.99999999999966</v>
      </c>
      <c r="BX2551" s="343">
        <f>SUMIFS($AV$2420:AV2704,$Q$2420:Q2704,"F")</f>
        <v>18.153846153846242</v>
      </c>
      <c r="BY2551" s="343">
        <f>SUMIFS($AV$2420:AV2704,$Q$2420:Q2704,"S")</f>
        <v>64.044720496894826</v>
      </c>
      <c r="BZ2551" s="343">
        <f>SUMIFS($AV$2420:AV2704,$Q$2420:Q2704,"O")</f>
        <v>-458.13333333332537</v>
      </c>
    </row>
    <row r="2552" spans="1:78" ht="15.75" customHeight="1">
      <c r="A2552" s="663" t="s">
        <v>7813</v>
      </c>
      <c r="B2552" s="200">
        <v>45574</v>
      </c>
      <c r="C2552" s="178" t="s">
        <v>500</v>
      </c>
      <c r="D2552" s="178" t="s">
        <v>151</v>
      </c>
      <c r="E2552" s="227" t="s">
        <v>7882</v>
      </c>
      <c r="F2552" s="180"/>
      <c r="G2552" s="181"/>
      <c r="H2552" s="182"/>
      <c r="I2552" s="182">
        <v>1</v>
      </c>
      <c r="J2552" s="182"/>
      <c r="K2552" s="183"/>
      <c r="L2552" s="182"/>
      <c r="M2552" s="182"/>
      <c r="N2552" s="182"/>
      <c r="O2552" s="183"/>
      <c r="P2552" s="183"/>
      <c r="Q2552" s="183"/>
      <c r="R2552" s="183"/>
      <c r="S2552" s="183"/>
      <c r="T2552" s="183"/>
      <c r="U2552" s="183"/>
      <c r="V2552" s="183"/>
      <c r="W2552" s="183"/>
      <c r="X2552" s="183"/>
      <c r="Y2552" s="183"/>
      <c r="Z2552" s="183"/>
      <c r="AA2552" s="185"/>
      <c r="AB2552" s="185"/>
      <c r="AC2552" s="185"/>
      <c r="AD2552" s="649"/>
      <c r="AE2552" s="182"/>
      <c r="AF2552" s="332"/>
      <c r="AG2552" s="182"/>
      <c r="AH2552" s="182"/>
      <c r="AI2552" s="182"/>
      <c r="AJ2552" s="640"/>
      <c r="AK2552" s="182"/>
      <c r="AL2552" s="496">
        <f t="shared" si="876"/>
        <v>0</v>
      </c>
      <c r="AM2552" s="496">
        <f t="shared" si="877"/>
        <v>0</v>
      </c>
      <c r="AN2552" s="626"/>
      <c r="AO2552" s="182"/>
      <c r="AP2552" s="182"/>
      <c r="AQ2552" s="332" t="str">
        <f>UPPER(RIGHT(Journal_Live[[#This Row],[DURATION ]]))</f>
        <v/>
      </c>
      <c r="AR2552" s="182"/>
      <c r="AS2552" s="189"/>
      <c r="AT2552" s="189">
        <f t="shared" si="878"/>
        <v>0</v>
      </c>
      <c r="AU2552" s="187">
        <f t="shared" si="879"/>
        <v>0</v>
      </c>
      <c r="AV2552" s="190">
        <f t="shared" si="880"/>
        <v>0</v>
      </c>
      <c r="AW2552" s="191"/>
      <c r="AX2552" s="551"/>
      <c r="AY2552" s="551"/>
      <c r="AZ2552" s="551"/>
      <c r="BA2552" s="551"/>
      <c r="BB2552" s="551"/>
      <c r="BC2552" s="551"/>
      <c r="BD2552" s="549"/>
      <c r="BE2552" s="550"/>
      <c r="BF2552" s="549"/>
      <c r="BG2552" s="391">
        <f>SUM($AV$2420:AV2552)</f>
        <v>-302.4652014651254</v>
      </c>
      <c r="BH2552" s="392">
        <f>SUM($AU$2420:AU2552)</f>
        <v>-808.9999999998762</v>
      </c>
      <c r="BI2552" s="318">
        <f>SUMIFS($AU$2420:AU2705,$Q$2420:Q2705,"F")</f>
        <v>-143.99999999999949</v>
      </c>
      <c r="BJ2552" s="318">
        <f>SUMIFS($AU$2420:AU2705,$Q$2420:Q2705,"S")</f>
        <v>256.00000000000466</v>
      </c>
      <c r="BK2552" s="343">
        <f>SUMIFS($AU$2420:AU2705,$P$2420:P2705,"W")</f>
        <v>-607.99999999991883</v>
      </c>
      <c r="BL2552" s="343">
        <f>SUMIFS($AU$2420:AU2705,$P$2420:P2705,"R")</f>
        <v>911.99999999999966</v>
      </c>
      <c r="BM2552" s="343">
        <f>SUMIFS($AU$2420:AU2705,$AQ$2420:AQ2705,"M")</f>
        <v>-899.79999999984489</v>
      </c>
      <c r="BN2552" s="343">
        <f>SUMIFS($AU$2420:AU2705,$AQ$2420:AQ2705,"H")</f>
        <v>1762.9999999999427</v>
      </c>
      <c r="BO2552" s="343">
        <f>SUMIFS($AU$2420:AU2705,$AQ$2420:AQ2705,"D")</f>
        <v>-767.99999999998977</v>
      </c>
      <c r="BP2552" s="343">
        <f>SUMIFS($AS$2420:AS2793,$AO$2420:AO2793,"W")</f>
        <v>0</v>
      </c>
      <c r="BQ2552" s="343">
        <f>SUMIFS($AU$2420:AU2705,$Q$2420:Q2705,"O")</f>
        <v>-884.7999999998965</v>
      </c>
      <c r="BR2552" s="343">
        <f>SUMIFS($AU$2420:AU2705,$AA$2420:AA2705,"*")</f>
        <v>-512.79999999998074</v>
      </c>
      <c r="BS2552" s="343">
        <f>SUMIFS($AU$2420:AU2705,$AB$2420:AB2705,"*")</f>
        <v>-451.99999999997726</v>
      </c>
      <c r="BT2552" s="343">
        <f>SUMIFS($AU$2420:AU2705,$AC$2420:AC2705,"*")</f>
        <v>-143.99999999999909</v>
      </c>
      <c r="BU2552" s="343">
        <f>SUMIFS($AU$2420:AU2705,$AA$2420:AA2705,"*",$AB$2420:AB2705,"*")</f>
        <v>95.999999999933891</v>
      </c>
      <c r="BV2552" s="343">
        <f>SUMIFS($AU$2420:AU2705,$AA$2420:AA2705,"*",$AC$2420:AC2705,"*")</f>
        <v>-591.99999999999977</v>
      </c>
      <c r="BW2552" s="343">
        <f>SUMIFS($AU$2420:AU2705,$AB$2420:AB2705,"*",$AC$2420:AC2705,"*")</f>
        <v>-143.99999999999966</v>
      </c>
      <c r="BX2552" s="343">
        <f>SUMIFS($AV$2420:AV2705,$Q$2420:Q2705,"F")</f>
        <v>18.153846153846242</v>
      </c>
      <c r="BY2552" s="343">
        <f>SUMIFS($AV$2420:AV2705,$Q$2420:Q2705,"S")</f>
        <v>64.044720496894826</v>
      </c>
      <c r="BZ2552" s="343">
        <f>SUMIFS($AV$2420:AV2705,$Q$2420:Q2705,"O")</f>
        <v>-458.13333333332537</v>
      </c>
    </row>
    <row r="2553" spans="1:78" ht="15.75" customHeight="1">
      <c r="A2553" s="663" t="s">
        <v>7813</v>
      </c>
      <c r="B2553" s="200">
        <v>45574</v>
      </c>
      <c r="C2553" s="178" t="s">
        <v>682</v>
      </c>
      <c r="D2553" s="178" t="s">
        <v>151</v>
      </c>
      <c r="E2553" s="227"/>
      <c r="F2553" s="180"/>
      <c r="G2553" s="181" t="s">
        <v>7825</v>
      </c>
      <c r="H2553" s="182"/>
      <c r="I2553" s="182"/>
      <c r="J2553" s="182"/>
      <c r="K2553" s="183"/>
      <c r="L2553" s="182"/>
      <c r="M2553" s="182"/>
      <c r="N2553" s="182"/>
      <c r="O2553" s="183" t="s">
        <v>3618</v>
      </c>
      <c r="P2553" s="183"/>
      <c r="Q2553" s="183" t="s">
        <v>684</v>
      </c>
      <c r="R2553" s="183">
        <v>1</v>
      </c>
      <c r="S2553" s="183">
        <v>0</v>
      </c>
      <c r="T2553" s="183">
        <v>1</v>
      </c>
      <c r="U2553" s="183" t="s">
        <v>22</v>
      </c>
      <c r="V2553" s="183" t="s">
        <v>7349</v>
      </c>
      <c r="W2553" s="183" t="s">
        <v>7548</v>
      </c>
      <c r="X2553" s="183"/>
      <c r="Y2553" s="184">
        <f t="shared" ref="Y2553:Y2554" si="889">IF(ISBLANK(O2553),"",(IF(O2553=UPPER("IB"),0.005,0.01)))</f>
        <v>0.01</v>
      </c>
      <c r="Z2553" s="185">
        <f t="shared" ref="Z2553:Z2554" si="890">IF(ISBLANK(O2553),"",IF(O2553="IB",8.63*200,IF(O2553="IR",16*100,IF(O2553="YT",20*100,IF(O2553="YT-XT",24*200,IF(O2553="TED",80*100,IF(O2553="XT",29*200)))))))</f>
        <v>5800</v>
      </c>
      <c r="AA2553" s="185" t="s">
        <v>5476</v>
      </c>
      <c r="AB2553" s="185"/>
      <c r="AC2553" s="185"/>
      <c r="AD2553" s="649">
        <v>95.84</v>
      </c>
      <c r="AE2553" s="182"/>
      <c r="AF2553" s="332"/>
      <c r="AG2553" s="182"/>
      <c r="AH2553" s="182"/>
      <c r="AI2553" s="182"/>
      <c r="AJ2553" s="640"/>
      <c r="AK2553" s="182"/>
      <c r="AL2553" s="496">
        <f t="shared" si="876"/>
        <v>-116</v>
      </c>
      <c r="AM2553" s="496">
        <f t="shared" si="877"/>
        <v>-116</v>
      </c>
      <c r="AN2553" s="626"/>
      <c r="AO2553" s="182"/>
      <c r="AP2553" s="182"/>
      <c r="AQ2553" s="332" t="s">
        <v>1259</v>
      </c>
      <c r="AR2553" s="182"/>
      <c r="AS2553" s="189">
        <v>95.83</v>
      </c>
      <c r="AT2553" s="189">
        <f t="shared" si="878"/>
        <v>-1.0000000000005116E-2</v>
      </c>
      <c r="AU2553" s="187">
        <f t="shared" si="879"/>
        <v>-58.000000000029672</v>
      </c>
      <c r="AV2553" s="190">
        <f t="shared" si="880"/>
        <v>-58.000000000029672</v>
      </c>
      <c r="AW2553" s="191" t="s">
        <v>229</v>
      </c>
      <c r="AX2553" s="551" t="s">
        <v>7883</v>
      </c>
      <c r="AY2553" s="551"/>
      <c r="AZ2553" s="551"/>
      <c r="BA2553" s="551"/>
      <c r="BB2553" s="551"/>
      <c r="BC2553" s="551"/>
      <c r="BD2553" s="549"/>
      <c r="BE2553" s="550"/>
      <c r="BF2553" s="549"/>
      <c r="BG2553" s="391">
        <f>SUM($AV$2420:AV2553)</f>
        <v>-360.46520146515508</v>
      </c>
      <c r="BH2553" s="392">
        <f>SUM($AU$2420:AU2553)</f>
        <v>-866.99999999990587</v>
      </c>
      <c r="BI2553" s="318">
        <f>SUMIFS($AU$2420:AU2706,$Q$2420:Q2706,"F")</f>
        <v>-143.99999999999949</v>
      </c>
      <c r="BJ2553" s="318">
        <f>SUMIFS($AU$2420:AU2706,$Q$2420:Q2706,"S")</f>
        <v>256.00000000000466</v>
      </c>
      <c r="BK2553" s="343">
        <f>SUMIFS($AU$2420:AU2706,$P$2420:P2706,"W")</f>
        <v>-607.99999999991883</v>
      </c>
      <c r="BL2553" s="343">
        <f>SUMIFS($AU$2420:AU2706,$P$2420:P2706,"R")</f>
        <v>911.99999999999966</v>
      </c>
      <c r="BM2553" s="343">
        <f>SUMIFS($AU$2420:AU2706,$AQ$2420:AQ2706,"M")</f>
        <v>-899.79999999984489</v>
      </c>
      <c r="BN2553" s="343">
        <f>SUMIFS($AU$2420:AU2706,$AQ$2420:AQ2706,"H")</f>
        <v>1762.9999999999427</v>
      </c>
      <c r="BO2553" s="343">
        <f>SUMIFS($AU$2420:AU2706,$AQ$2420:AQ2706,"D")</f>
        <v>-767.99999999998977</v>
      </c>
      <c r="BP2553" s="343">
        <f>SUMIFS($AS$2420:AS2794,$AO$2420:AO2794,"W")</f>
        <v>0</v>
      </c>
      <c r="BQ2553" s="343">
        <f>SUMIFS($AU$2420:AU2706,$Q$2420:Q2706,"O")</f>
        <v>-884.7999999998965</v>
      </c>
      <c r="BR2553" s="343">
        <f>SUMIFS($AU$2420:AU2706,$AA$2420:AA2706,"*")</f>
        <v>-512.79999999998074</v>
      </c>
      <c r="BS2553" s="343">
        <f>SUMIFS($AU$2420:AU2706,$AB$2420:AB2706,"*")</f>
        <v>-451.99999999997726</v>
      </c>
      <c r="BT2553" s="343">
        <f>SUMIFS($AU$2420:AU2706,$AC$2420:AC2706,"*")</f>
        <v>-143.99999999999909</v>
      </c>
      <c r="BU2553" s="343">
        <f>SUMIFS($AU$2420:AU2706,$AA$2420:AA2706,"*",$AB$2420:AB2706,"*")</f>
        <v>95.999999999933891</v>
      </c>
      <c r="BV2553" s="343">
        <f>SUMIFS($AU$2420:AU2706,$AA$2420:AA2706,"*",$AC$2420:AC2706,"*")</f>
        <v>-591.99999999999977</v>
      </c>
      <c r="BW2553" s="343">
        <f>SUMIFS($AU$2420:AU2706,$AB$2420:AB2706,"*",$AC$2420:AC2706,"*")</f>
        <v>-143.99999999999966</v>
      </c>
      <c r="BX2553" s="343">
        <f>SUMIFS($AV$2420:AV2706,$Q$2420:Q2706,"F")</f>
        <v>18.153846153846242</v>
      </c>
      <c r="BY2553" s="343">
        <f>SUMIFS($AV$2420:AV2706,$Q$2420:Q2706,"S")</f>
        <v>64.044720496894826</v>
      </c>
      <c r="BZ2553" s="343">
        <f>SUMIFS($AV$2420:AV2706,$Q$2420:Q2706,"O")</f>
        <v>-458.13333333332537</v>
      </c>
    </row>
    <row r="2554" spans="1:78" ht="15.75" customHeight="1">
      <c r="A2554" s="663" t="s">
        <v>7813</v>
      </c>
      <c r="B2554" s="200">
        <v>45574</v>
      </c>
      <c r="C2554" s="178" t="s">
        <v>1437</v>
      </c>
      <c r="D2554" s="178" t="s">
        <v>151</v>
      </c>
      <c r="E2554" s="227"/>
      <c r="F2554" s="180"/>
      <c r="G2554" s="181" t="s">
        <v>7836</v>
      </c>
      <c r="H2554" s="182"/>
      <c r="I2554" s="182"/>
      <c r="J2554" s="182"/>
      <c r="K2554" s="183"/>
      <c r="L2554" s="182"/>
      <c r="M2554" s="182"/>
      <c r="N2554" s="182"/>
      <c r="O2554" s="183" t="s">
        <v>95</v>
      </c>
      <c r="P2554" s="183" t="s">
        <v>96</v>
      </c>
      <c r="Q2554" s="183" t="s">
        <v>97</v>
      </c>
      <c r="R2554" s="183">
        <v>6</v>
      </c>
      <c r="S2554" s="183">
        <v>0</v>
      </c>
      <c r="T2554" s="183">
        <v>6</v>
      </c>
      <c r="U2554" s="183" t="s">
        <v>22</v>
      </c>
      <c r="V2554" s="183" t="s">
        <v>7349</v>
      </c>
      <c r="W2554" s="183" t="s">
        <v>7548</v>
      </c>
      <c r="X2554" s="183" t="s">
        <v>7497</v>
      </c>
      <c r="Y2554" s="184">
        <f t="shared" si="889"/>
        <v>0.01</v>
      </c>
      <c r="Z2554" s="185">
        <f t="shared" si="890"/>
        <v>1600</v>
      </c>
      <c r="AA2554" s="185" t="s">
        <v>6373</v>
      </c>
      <c r="AB2554" s="185"/>
      <c r="AC2554" s="185"/>
      <c r="AD2554" s="649">
        <v>-0.16</v>
      </c>
      <c r="AE2554" s="182"/>
      <c r="AF2554" s="332"/>
      <c r="AG2554" s="182"/>
      <c r="AH2554" s="182"/>
      <c r="AI2554" s="182"/>
      <c r="AJ2554" s="640"/>
      <c r="AK2554" s="182"/>
      <c r="AL2554" s="496">
        <f t="shared" si="876"/>
        <v>-32</v>
      </c>
      <c r="AM2554" s="496">
        <f t="shared" si="877"/>
        <v>-192</v>
      </c>
      <c r="AN2554" s="626"/>
      <c r="AO2554" s="182"/>
      <c r="AP2554" s="182"/>
      <c r="AQ2554" s="332" t="s">
        <v>372</v>
      </c>
      <c r="AR2554" s="182"/>
      <c r="AS2554" s="189">
        <v>-0.16</v>
      </c>
      <c r="AT2554" s="189">
        <f t="shared" si="878"/>
        <v>0</v>
      </c>
      <c r="AU2554" s="187">
        <f t="shared" si="879"/>
        <v>0</v>
      </c>
      <c r="AV2554" s="190">
        <f t="shared" si="880"/>
        <v>0</v>
      </c>
      <c r="AW2554" s="191" t="s">
        <v>115</v>
      </c>
      <c r="AX2554" s="551"/>
      <c r="AY2554" s="551"/>
      <c r="AZ2554" s="551"/>
      <c r="BA2554" s="551"/>
      <c r="BB2554" s="551"/>
      <c r="BC2554" s="551"/>
      <c r="BD2554" s="549"/>
      <c r="BE2554" s="550"/>
      <c r="BF2554" s="549"/>
      <c r="BG2554" s="391">
        <f>SUM($AV$2420:AV2554)</f>
        <v>-360.46520146515508</v>
      </c>
      <c r="BH2554" s="392">
        <f>SUM($AU$2420:AU2554)</f>
        <v>-866.99999999990587</v>
      </c>
      <c r="BI2554" s="318">
        <f>SUMIFS($AU$2420:AU2707,$Q$2420:Q2707,"F")</f>
        <v>-143.99999999999949</v>
      </c>
      <c r="BJ2554" s="318">
        <f>SUMIFS($AU$2420:AU2707,$Q$2420:Q2707,"S")</f>
        <v>256.00000000000466</v>
      </c>
      <c r="BK2554" s="343">
        <f>SUMIFS($AU$2420:AU2707,$P$2420:P2707,"W")</f>
        <v>-607.99999999991883</v>
      </c>
      <c r="BL2554" s="343">
        <f>SUMIFS($AU$2420:AU2707,$P$2420:P2707,"R")</f>
        <v>911.99999999999966</v>
      </c>
      <c r="BM2554" s="343">
        <f>SUMIFS($AU$2420:AU2707,$AQ$2420:AQ2707,"M")</f>
        <v>-899.79999999984489</v>
      </c>
      <c r="BN2554" s="343">
        <f>SUMIFS($AU$2420:AU2707,$AQ$2420:AQ2707,"H")</f>
        <v>1762.9999999999427</v>
      </c>
      <c r="BO2554" s="343">
        <f>SUMIFS($AU$2420:AU2707,$AQ$2420:AQ2707,"D")</f>
        <v>-767.99999999998977</v>
      </c>
      <c r="BP2554" s="343">
        <f>SUMIFS($AS$2420:AS2795,$AO$2420:AO2795,"W")</f>
        <v>0</v>
      </c>
      <c r="BQ2554" s="343">
        <f>SUMIFS($AU$2420:AU2707,$Q$2420:Q2707,"O")</f>
        <v>-884.7999999998965</v>
      </c>
      <c r="BR2554" s="343">
        <f>SUMIFS($AU$2420:AU2707,$AA$2420:AA2707,"*")</f>
        <v>-512.79999999998074</v>
      </c>
      <c r="BS2554" s="343">
        <f>SUMIFS($AU$2420:AU2707,$AB$2420:AB2707,"*")</f>
        <v>-451.99999999997726</v>
      </c>
      <c r="BT2554" s="343">
        <f>SUMIFS($AU$2420:AU2707,$AC$2420:AC2707,"*")</f>
        <v>-143.99999999999909</v>
      </c>
      <c r="BU2554" s="343">
        <f>SUMIFS($AU$2420:AU2707,$AA$2420:AA2707,"*",$AB$2420:AB2707,"*")</f>
        <v>95.999999999933891</v>
      </c>
      <c r="BV2554" s="343">
        <f>SUMIFS($AU$2420:AU2707,$AA$2420:AA2707,"*",$AC$2420:AC2707,"*")</f>
        <v>-591.99999999999977</v>
      </c>
      <c r="BW2554" s="343">
        <f>SUMIFS($AU$2420:AU2707,$AB$2420:AB2707,"*",$AC$2420:AC2707,"*")</f>
        <v>-143.99999999999966</v>
      </c>
      <c r="BX2554" s="343">
        <f>SUMIFS($AV$2420:AV2707,$Q$2420:Q2707,"F")</f>
        <v>18.153846153846242</v>
      </c>
      <c r="BY2554" s="343">
        <f>SUMIFS($AV$2420:AV2707,$Q$2420:Q2707,"S")</f>
        <v>64.044720496894826</v>
      </c>
      <c r="BZ2554" s="343">
        <f>SUMIFS($AV$2420:AV2707,$Q$2420:Q2707,"O")</f>
        <v>-458.13333333332537</v>
      </c>
    </row>
    <row r="2555" spans="1:78" ht="15.75" customHeight="1">
      <c r="A2555" s="663" t="s">
        <v>7813</v>
      </c>
      <c r="B2555" s="200"/>
      <c r="C2555" s="178"/>
      <c r="D2555" s="178"/>
      <c r="E2555" s="227"/>
      <c r="F2555" s="180"/>
      <c r="G2555" s="181"/>
      <c r="H2555" s="182"/>
      <c r="I2555" s="182"/>
      <c r="J2555" s="182"/>
      <c r="K2555" s="183"/>
      <c r="L2555" s="182"/>
      <c r="M2555" s="182"/>
      <c r="N2555" s="182"/>
      <c r="O2555" s="183"/>
      <c r="P2555" s="183"/>
      <c r="Q2555" s="183"/>
      <c r="R2555" s="183"/>
      <c r="S2555" s="183"/>
      <c r="T2555" s="183"/>
      <c r="U2555" s="183"/>
      <c r="V2555" s="183"/>
      <c r="W2555" s="183"/>
      <c r="X2555" s="183"/>
      <c r="Y2555" s="184"/>
      <c r="Z2555" s="185"/>
      <c r="AA2555" s="185"/>
      <c r="AB2555" s="185"/>
      <c r="AC2555" s="185"/>
      <c r="AD2555" s="649"/>
      <c r="AE2555" s="182"/>
      <c r="AF2555" s="332"/>
      <c r="AG2555" s="182"/>
      <c r="AH2555" s="182"/>
      <c r="AI2555" s="182"/>
      <c r="AJ2555" s="640"/>
      <c r="AK2555" s="182"/>
      <c r="AL2555" s="496">
        <f t="shared" si="876"/>
        <v>0</v>
      </c>
      <c r="AM2555" s="496">
        <f t="shared" si="877"/>
        <v>0</v>
      </c>
      <c r="AN2555" s="626"/>
      <c r="AO2555" s="182"/>
      <c r="AP2555" s="182"/>
      <c r="AQ2555" s="332" t="str">
        <f>UPPER(RIGHT(Journal_Live[[#This Row],[DURATION ]]))</f>
        <v/>
      </c>
      <c r="AR2555" s="182"/>
      <c r="AS2555" s="189"/>
      <c r="AT2555" s="189">
        <f t="shared" si="878"/>
        <v>0</v>
      </c>
      <c r="AU2555" s="187">
        <f t="shared" si="879"/>
        <v>0</v>
      </c>
      <c r="AV2555" s="190">
        <f t="shared" si="880"/>
        <v>0</v>
      </c>
      <c r="AW2555" s="191"/>
      <c r="AX2555" s="549" t="s">
        <v>7884</v>
      </c>
      <c r="AY2555" s="549" t="s">
        <v>7885</v>
      </c>
      <c r="AZ2555" s="551" t="s">
        <v>7886</v>
      </c>
      <c r="BA2555" s="551"/>
      <c r="BB2555" s="551"/>
      <c r="BC2555" s="551"/>
      <c r="BD2555" s="549"/>
      <c r="BE2555" s="550"/>
      <c r="BF2555" s="549"/>
      <c r="BG2555" s="391">
        <f>SUM($AV$2420:AV2555)</f>
        <v>-360.46520146515508</v>
      </c>
      <c r="BH2555" s="392">
        <f>SUM($AU$2420:AU2555)</f>
        <v>-866.99999999990587</v>
      </c>
      <c r="BI2555" s="318">
        <f>SUMIFS($AU$2420:AU2708,$Q$2420:Q2708,"F")</f>
        <v>-143.99999999999949</v>
      </c>
      <c r="BJ2555" s="318">
        <f>SUMIFS($AU$2420:AU2708,$Q$2420:Q2708,"S")</f>
        <v>256.00000000000466</v>
      </c>
      <c r="BK2555" s="343">
        <f>SUMIFS($AU$2420:AU2708,$P$2420:P2708,"W")</f>
        <v>-607.99999999991883</v>
      </c>
      <c r="BL2555" s="343">
        <f>SUMIFS($AU$2420:AU2708,$P$2420:P2708,"R")</f>
        <v>911.99999999999966</v>
      </c>
      <c r="BM2555" s="343">
        <f>SUMIFS($AU$2420:AU2708,$AQ$2420:AQ2708,"M")</f>
        <v>-899.79999999984489</v>
      </c>
      <c r="BN2555" s="343">
        <f>SUMIFS($AU$2420:AU2708,$AQ$2420:AQ2708,"H")</f>
        <v>1762.9999999999427</v>
      </c>
      <c r="BO2555" s="343">
        <f>SUMIFS($AU$2420:AU2708,$AQ$2420:AQ2708,"D")</f>
        <v>-767.99999999998977</v>
      </c>
      <c r="BP2555" s="343">
        <f>SUMIFS($AS$2420:AS2796,$AO$2420:AO2796,"W")</f>
        <v>0</v>
      </c>
      <c r="BQ2555" s="343">
        <f>SUMIFS($AU$2420:AU2708,$Q$2420:Q2708,"O")</f>
        <v>-884.7999999998965</v>
      </c>
      <c r="BR2555" s="343">
        <f>SUMIFS($AU$2420:AU2708,$AA$2420:AA2708,"*")</f>
        <v>-512.79999999998074</v>
      </c>
      <c r="BS2555" s="343">
        <f>SUMIFS($AU$2420:AU2708,$AB$2420:AB2708,"*")</f>
        <v>-451.99999999997726</v>
      </c>
      <c r="BT2555" s="343">
        <f>SUMIFS($AU$2420:AU2708,$AC$2420:AC2708,"*")</f>
        <v>-143.99999999999909</v>
      </c>
      <c r="BU2555" s="343">
        <f>SUMIFS($AU$2420:AU2708,$AA$2420:AA2708,"*",$AB$2420:AB2708,"*")</f>
        <v>95.999999999933891</v>
      </c>
      <c r="BV2555" s="343">
        <f>SUMIFS($AU$2420:AU2708,$AA$2420:AA2708,"*",$AC$2420:AC2708,"*")</f>
        <v>-591.99999999999977</v>
      </c>
      <c r="BW2555" s="343">
        <f>SUMIFS($AU$2420:AU2708,$AB$2420:AB2708,"*",$AC$2420:AC2708,"*")</f>
        <v>-143.99999999999966</v>
      </c>
      <c r="BX2555" s="343">
        <f>SUMIFS($AV$2420:AV2708,$Q$2420:Q2708,"F")</f>
        <v>18.153846153846242</v>
      </c>
      <c r="BY2555" s="343">
        <f>SUMIFS($AV$2420:AV2708,$Q$2420:Q2708,"S")</f>
        <v>64.044720496894826</v>
      </c>
      <c r="BZ2555" s="343">
        <f>SUMIFS($AV$2420:AV2708,$Q$2420:Q2708,"O")</f>
        <v>-458.13333333332537</v>
      </c>
    </row>
    <row r="2556" spans="1:78" ht="15.75" customHeight="1">
      <c r="A2556" s="663" t="s">
        <v>7813</v>
      </c>
      <c r="B2556" s="200">
        <v>45575</v>
      </c>
      <c r="C2556" s="178" t="s">
        <v>1714</v>
      </c>
      <c r="D2556" s="178" t="s">
        <v>93</v>
      </c>
      <c r="E2556" s="227" t="s">
        <v>7887</v>
      </c>
      <c r="F2556" s="180" t="s">
        <v>7888</v>
      </c>
      <c r="G2556" s="181"/>
      <c r="H2556" s="182">
        <v>1</v>
      </c>
      <c r="I2556" s="182"/>
      <c r="J2556" s="182"/>
      <c r="K2556" s="183" t="s">
        <v>372</v>
      </c>
      <c r="L2556" s="182"/>
      <c r="M2556" s="182"/>
      <c r="N2556" s="182"/>
      <c r="O2556" s="183"/>
      <c r="P2556" s="183"/>
      <c r="Q2556" s="183"/>
      <c r="R2556" s="183"/>
      <c r="S2556" s="183"/>
      <c r="T2556" s="183"/>
      <c r="U2556" s="183"/>
      <c r="V2556" s="183"/>
      <c r="W2556" s="183"/>
      <c r="X2556" s="183"/>
      <c r="Y2556" s="184"/>
      <c r="Z2556" s="185"/>
      <c r="AA2556" s="185"/>
      <c r="AB2556" s="185"/>
      <c r="AC2556" s="185"/>
      <c r="AD2556" s="649"/>
      <c r="AE2556" s="182"/>
      <c r="AF2556" s="332"/>
      <c r="AG2556" s="182"/>
      <c r="AH2556" s="182"/>
      <c r="AI2556" s="182"/>
      <c r="AJ2556" s="640"/>
      <c r="AK2556" s="182"/>
      <c r="AL2556" s="496">
        <f t="shared" si="876"/>
        <v>0</v>
      </c>
      <c r="AM2556" s="496">
        <f t="shared" si="877"/>
        <v>0</v>
      </c>
      <c r="AN2556" s="626"/>
      <c r="AO2556" s="182"/>
      <c r="AP2556" s="182"/>
      <c r="AQ2556" s="332" t="str">
        <f>UPPER(RIGHT(Journal_Live[[#This Row],[DURATION ]]))</f>
        <v/>
      </c>
      <c r="AR2556" s="182"/>
      <c r="AS2556" s="189"/>
      <c r="AT2556" s="189">
        <f t="shared" si="878"/>
        <v>0</v>
      </c>
      <c r="AU2556" s="187">
        <f t="shared" si="879"/>
        <v>0</v>
      </c>
      <c r="AV2556" s="190">
        <f t="shared" si="880"/>
        <v>0</v>
      </c>
      <c r="AW2556" s="191"/>
      <c r="AX2556" s="551"/>
      <c r="AY2556" s="551"/>
      <c r="AZ2556" s="551"/>
      <c r="BA2556" s="551"/>
      <c r="BB2556" s="551"/>
      <c r="BC2556" s="551"/>
      <c r="BD2556" s="549"/>
      <c r="BE2556" s="550"/>
      <c r="BF2556" s="549"/>
      <c r="BG2556" s="391">
        <f>SUM($AV$2420:AV2556)</f>
        <v>-360.46520146515508</v>
      </c>
      <c r="BH2556" s="392">
        <f>SUM($AU$2420:AU2556)</f>
        <v>-866.99999999990587</v>
      </c>
      <c r="BI2556" s="318">
        <f>SUMIFS($AU$2420:AU2709,$Q$2420:Q2709,"F")</f>
        <v>-143.99999999999949</v>
      </c>
      <c r="BJ2556" s="318">
        <f>SUMIFS($AU$2420:AU2709,$Q$2420:Q2709,"S")</f>
        <v>256.00000000000466</v>
      </c>
      <c r="BK2556" s="343">
        <f>SUMIFS($AU$2420:AU2709,$P$2420:P2709,"W")</f>
        <v>-607.99999999991883</v>
      </c>
      <c r="BL2556" s="343">
        <f>SUMIFS($AU$2420:AU2709,$P$2420:P2709,"R")</f>
        <v>911.99999999999966</v>
      </c>
      <c r="BM2556" s="343">
        <f>SUMIFS($AU$2420:AU2709,$AQ$2420:AQ2709,"M")</f>
        <v>-899.79999999984489</v>
      </c>
      <c r="BN2556" s="343">
        <f>SUMIFS($AU$2420:AU2709,$AQ$2420:AQ2709,"H")</f>
        <v>1762.9999999999427</v>
      </c>
      <c r="BO2556" s="343">
        <f>SUMIFS($AU$2420:AU2709,$AQ$2420:AQ2709,"D")</f>
        <v>-767.99999999998977</v>
      </c>
      <c r="BP2556" s="343">
        <f>SUMIFS($AS$2420:AS2797,$AO$2420:AO2797,"W")</f>
        <v>0</v>
      </c>
      <c r="BQ2556" s="343">
        <f>SUMIFS($AU$2420:AU2709,$Q$2420:Q2709,"O")</f>
        <v>-884.7999999998965</v>
      </c>
      <c r="BR2556" s="343">
        <f>SUMIFS($AU$2420:AU2709,$AA$2420:AA2709,"*")</f>
        <v>-512.79999999998074</v>
      </c>
      <c r="BS2556" s="343">
        <f>SUMIFS($AU$2420:AU2709,$AB$2420:AB2709,"*")</f>
        <v>-451.99999999997726</v>
      </c>
      <c r="BT2556" s="343">
        <f>SUMIFS($AU$2420:AU2709,$AC$2420:AC2709,"*")</f>
        <v>-143.99999999999909</v>
      </c>
      <c r="BU2556" s="343">
        <f>SUMIFS($AU$2420:AU2709,$AA$2420:AA2709,"*",$AB$2420:AB2709,"*")</f>
        <v>95.999999999933891</v>
      </c>
      <c r="BV2556" s="343">
        <f>SUMIFS($AU$2420:AU2709,$AA$2420:AA2709,"*",$AC$2420:AC2709,"*")</f>
        <v>-591.99999999999977</v>
      </c>
      <c r="BW2556" s="343">
        <f>SUMIFS($AU$2420:AU2709,$AB$2420:AB2709,"*",$AC$2420:AC2709,"*")</f>
        <v>-143.99999999999966</v>
      </c>
      <c r="BX2556" s="343">
        <f>SUMIFS($AV$2420:AV2709,$Q$2420:Q2709,"F")</f>
        <v>18.153846153846242</v>
      </c>
      <c r="BY2556" s="343">
        <f>SUMIFS($AV$2420:AV2709,$Q$2420:Q2709,"S")</f>
        <v>64.044720496894826</v>
      </c>
      <c r="BZ2556" s="343">
        <f>SUMIFS($AV$2420:AV2709,$Q$2420:Q2709,"O")</f>
        <v>-458.13333333332537</v>
      </c>
    </row>
    <row r="2557" spans="1:78" ht="15.75" customHeight="1">
      <c r="A2557" s="663" t="s">
        <v>7813</v>
      </c>
      <c r="B2557" s="200"/>
      <c r="C2557" s="178"/>
      <c r="D2557" s="178"/>
      <c r="E2557" s="227" t="s">
        <v>7889</v>
      </c>
      <c r="F2557" s="180" t="s">
        <v>7890</v>
      </c>
      <c r="G2557" s="181"/>
      <c r="H2557" s="182">
        <v>1</v>
      </c>
      <c r="I2557" s="182"/>
      <c r="J2557" s="182"/>
      <c r="K2557" s="183" t="s">
        <v>372</v>
      </c>
      <c r="L2557" s="182"/>
      <c r="M2557" s="182"/>
      <c r="N2557" s="182"/>
      <c r="O2557" s="183"/>
      <c r="P2557" s="183"/>
      <c r="Q2557" s="183"/>
      <c r="R2557" s="183"/>
      <c r="S2557" s="183"/>
      <c r="T2557" s="183"/>
      <c r="U2557" s="183"/>
      <c r="V2557" s="183"/>
      <c r="W2557" s="183"/>
      <c r="X2557" s="183"/>
      <c r="Y2557" s="184"/>
      <c r="Z2557" s="185"/>
      <c r="AA2557" s="185"/>
      <c r="AB2557" s="185"/>
      <c r="AC2557" s="185"/>
      <c r="AD2557" s="649"/>
      <c r="AE2557" s="182"/>
      <c r="AF2557" s="332"/>
      <c r="AG2557" s="182"/>
      <c r="AH2557" s="182"/>
      <c r="AI2557" s="182"/>
      <c r="AJ2557" s="640"/>
      <c r="AK2557" s="182"/>
      <c r="AL2557" s="496">
        <f t="shared" si="876"/>
        <v>0</v>
      </c>
      <c r="AM2557" s="496">
        <f t="shared" si="877"/>
        <v>0</v>
      </c>
      <c r="AN2557" s="626"/>
      <c r="AO2557" s="182"/>
      <c r="AP2557" s="182"/>
      <c r="AQ2557" s="332" t="str">
        <f>UPPER(RIGHT(Journal_Live[[#This Row],[DURATION ]]))</f>
        <v/>
      </c>
      <c r="AR2557" s="182"/>
      <c r="AS2557" s="189"/>
      <c r="AT2557" s="189">
        <f t="shared" si="878"/>
        <v>0</v>
      </c>
      <c r="AU2557" s="187">
        <f t="shared" si="879"/>
        <v>0</v>
      </c>
      <c r="AV2557" s="190">
        <f t="shared" si="880"/>
        <v>0</v>
      </c>
      <c r="AW2557" s="191"/>
      <c r="AX2557" s="551"/>
      <c r="AY2557" s="551"/>
      <c r="AZ2557" s="551"/>
      <c r="BA2557" s="551"/>
      <c r="BB2557" s="551"/>
      <c r="BC2557" s="551"/>
      <c r="BD2557" s="549"/>
      <c r="BE2557" s="550"/>
      <c r="BF2557" s="549"/>
      <c r="BG2557" s="391">
        <f>SUM($AV$2420:AV2557)</f>
        <v>-360.46520146515508</v>
      </c>
      <c r="BH2557" s="392">
        <f>SUM($AU$2420:AU2557)</f>
        <v>-866.99999999990587</v>
      </c>
      <c r="BI2557" s="318">
        <f>SUMIFS($AU$2420:AU2710,$Q$2420:Q2710,"F")</f>
        <v>-143.99999999999949</v>
      </c>
      <c r="BJ2557" s="318">
        <f>SUMIFS($AU$2420:AU2710,$Q$2420:Q2710,"S")</f>
        <v>256.00000000000466</v>
      </c>
      <c r="BK2557" s="343">
        <f>SUMIFS($AU$2420:AU2710,$P$2420:P2710,"W")</f>
        <v>-607.99999999991883</v>
      </c>
      <c r="BL2557" s="343">
        <f>SUMIFS($AU$2420:AU2710,$P$2420:P2710,"R")</f>
        <v>911.99999999999966</v>
      </c>
      <c r="BM2557" s="343">
        <f>SUMIFS($AU$2420:AU2710,$AQ$2420:AQ2710,"M")</f>
        <v>-899.79999999984489</v>
      </c>
      <c r="BN2557" s="343">
        <f>SUMIFS($AU$2420:AU2710,$AQ$2420:AQ2710,"H")</f>
        <v>1762.9999999999427</v>
      </c>
      <c r="BO2557" s="343">
        <f>SUMIFS($AU$2420:AU2710,$AQ$2420:AQ2710,"D")</f>
        <v>-767.99999999998977</v>
      </c>
      <c r="BP2557" s="343">
        <f>SUMIFS($AS$2420:AS2798,$AO$2420:AO2798,"W")</f>
        <v>0</v>
      </c>
      <c r="BQ2557" s="343">
        <f>SUMIFS($AU$2420:AU2710,$Q$2420:Q2710,"O")</f>
        <v>-884.7999999998965</v>
      </c>
      <c r="BR2557" s="343">
        <f>SUMIFS($AU$2420:AU2710,$AA$2420:AA2710,"*")</f>
        <v>-512.79999999998074</v>
      </c>
      <c r="BS2557" s="343">
        <f>SUMIFS($AU$2420:AU2710,$AB$2420:AB2710,"*")</f>
        <v>-451.99999999997726</v>
      </c>
      <c r="BT2557" s="343">
        <f>SUMIFS($AU$2420:AU2710,$AC$2420:AC2710,"*")</f>
        <v>-143.99999999999909</v>
      </c>
      <c r="BU2557" s="343">
        <f>SUMIFS($AU$2420:AU2710,$AA$2420:AA2710,"*",$AB$2420:AB2710,"*")</f>
        <v>95.999999999933891</v>
      </c>
      <c r="BV2557" s="343">
        <f>SUMIFS($AU$2420:AU2710,$AA$2420:AA2710,"*",$AC$2420:AC2710,"*")</f>
        <v>-591.99999999999977</v>
      </c>
      <c r="BW2557" s="343">
        <f>SUMIFS($AU$2420:AU2710,$AB$2420:AB2710,"*",$AC$2420:AC2710,"*")</f>
        <v>-143.99999999999966</v>
      </c>
      <c r="BX2557" s="343">
        <f>SUMIFS($AV$2420:AV2710,$Q$2420:Q2710,"F")</f>
        <v>18.153846153846242</v>
      </c>
      <c r="BY2557" s="343">
        <f>SUMIFS($AV$2420:AV2710,$Q$2420:Q2710,"S")</f>
        <v>64.044720496894826</v>
      </c>
      <c r="BZ2557" s="343">
        <f>SUMIFS($AV$2420:AV2710,$Q$2420:Q2710,"O")</f>
        <v>-458.13333333332537</v>
      </c>
    </row>
    <row r="2558" spans="1:78" ht="15.75" customHeight="1">
      <c r="A2558" s="663" t="s">
        <v>7813</v>
      </c>
      <c r="B2558" s="200"/>
      <c r="C2558" s="178"/>
      <c r="D2558" s="178"/>
      <c r="E2558" s="227" t="s">
        <v>7891</v>
      </c>
      <c r="F2558" s="180"/>
      <c r="G2558" s="181"/>
      <c r="H2558" s="182">
        <v>1</v>
      </c>
      <c r="I2558" s="182"/>
      <c r="J2558" s="182"/>
      <c r="K2558" s="183" t="s">
        <v>372</v>
      </c>
      <c r="L2558" s="182"/>
      <c r="M2558" s="182"/>
      <c r="N2558" s="182"/>
      <c r="O2558" s="183"/>
      <c r="P2558" s="183"/>
      <c r="Q2558" s="183"/>
      <c r="R2558" s="183"/>
      <c r="S2558" s="183"/>
      <c r="T2558" s="183"/>
      <c r="U2558" s="183"/>
      <c r="V2558" s="183"/>
      <c r="W2558" s="183"/>
      <c r="X2558" s="183"/>
      <c r="Y2558" s="184"/>
      <c r="Z2558" s="185"/>
      <c r="AA2558" s="185"/>
      <c r="AB2558" s="185"/>
      <c r="AC2558" s="185"/>
      <c r="AD2558" s="649"/>
      <c r="AE2558" s="182"/>
      <c r="AF2558" s="332"/>
      <c r="AG2558" s="182"/>
      <c r="AH2558" s="182"/>
      <c r="AI2558" s="182"/>
      <c r="AJ2558" s="640"/>
      <c r="AK2558" s="182"/>
      <c r="AL2558" s="496">
        <f t="shared" si="876"/>
        <v>0</v>
      </c>
      <c r="AM2558" s="496">
        <f t="shared" si="877"/>
        <v>0</v>
      </c>
      <c r="AN2558" s="626"/>
      <c r="AO2558" s="182"/>
      <c r="AP2558" s="182"/>
      <c r="AQ2558" s="332" t="str">
        <f>UPPER(RIGHT(Journal_Live[[#This Row],[DURATION ]]))</f>
        <v/>
      </c>
      <c r="AR2558" s="182"/>
      <c r="AS2558" s="189"/>
      <c r="AT2558" s="189">
        <f t="shared" si="878"/>
        <v>0</v>
      </c>
      <c r="AU2558" s="187">
        <f t="shared" si="879"/>
        <v>0</v>
      </c>
      <c r="AV2558" s="190">
        <f t="shared" si="880"/>
        <v>0</v>
      </c>
      <c r="AW2558" s="191"/>
      <c r="AX2558" s="551"/>
      <c r="AY2558" s="551"/>
      <c r="AZ2558" s="551"/>
      <c r="BA2558" s="551"/>
      <c r="BB2558" s="551"/>
      <c r="BC2558" s="551"/>
      <c r="BD2558" s="549"/>
      <c r="BE2558" s="550"/>
      <c r="BF2558" s="549"/>
      <c r="BG2558" s="391">
        <f>SUM($AV$2420:AV2558)</f>
        <v>-360.46520146515508</v>
      </c>
      <c r="BH2558" s="392">
        <f>SUM($AU$2420:AU2558)</f>
        <v>-866.99999999990587</v>
      </c>
      <c r="BI2558" s="318">
        <f>SUMIFS($AU$2420:AU2711,$Q$2420:Q2711,"F")</f>
        <v>-143.99999999999949</v>
      </c>
      <c r="BJ2558" s="318">
        <f>SUMIFS($AU$2420:AU2711,$Q$2420:Q2711,"S")</f>
        <v>256.00000000000466</v>
      </c>
      <c r="BK2558" s="343">
        <f>SUMIFS($AU$2420:AU2711,$P$2420:P2711,"W")</f>
        <v>-607.99999999991883</v>
      </c>
      <c r="BL2558" s="343">
        <f>SUMIFS($AU$2420:AU2711,$P$2420:P2711,"R")</f>
        <v>911.99999999999966</v>
      </c>
      <c r="BM2558" s="343">
        <f>SUMIFS($AU$2420:AU2711,$AQ$2420:AQ2711,"M")</f>
        <v>-899.79999999984489</v>
      </c>
      <c r="BN2558" s="343">
        <f>SUMIFS($AU$2420:AU2711,$AQ$2420:AQ2711,"H")</f>
        <v>1762.9999999999427</v>
      </c>
      <c r="BO2558" s="343">
        <f>SUMIFS($AU$2420:AU2711,$AQ$2420:AQ2711,"D")</f>
        <v>-767.99999999998977</v>
      </c>
      <c r="BP2558" s="343">
        <f>SUMIFS($AS$2420:AS2799,$AO$2420:AO2799,"W")</f>
        <v>0</v>
      </c>
      <c r="BQ2558" s="343">
        <f>SUMIFS($AU$2420:AU2711,$Q$2420:Q2711,"O")</f>
        <v>-884.7999999998965</v>
      </c>
      <c r="BR2558" s="343">
        <f>SUMIFS($AU$2420:AU2711,$AA$2420:AA2711,"*")</f>
        <v>-512.79999999998074</v>
      </c>
      <c r="BS2558" s="343">
        <f>SUMIFS($AU$2420:AU2711,$AB$2420:AB2711,"*")</f>
        <v>-451.99999999997726</v>
      </c>
      <c r="BT2558" s="343">
        <f>SUMIFS($AU$2420:AU2711,$AC$2420:AC2711,"*")</f>
        <v>-143.99999999999909</v>
      </c>
      <c r="BU2558" s="343">
        <f>SUMIFS($AU$2420:AU2711,$AA$2420:AA2711,"*",$AB$2420:AB2711,"*")</f>
        <v>95.999999999933891</v>
      </c>
      <c r="BV2558" s="343">
        <f>SUMIFS($AU$2420:AU2711,$AA$2420:AA2711,"*",$AC$2420:AC2711,"*")</f>
        <v>-591.99999999999977</v>
      </c>
      <c r="BW2558" s="343">
        <f>SUMIFS($AU$2420:AU2711,$AB$2420:AB2711,"*",$AC$2420:AC2711,"*")</f>
        <v>-143.99999999999966</v>
      </c>
      <c r="BX2558" s="343">
        <f>SUMIFS($AV$2420:AV2711,$Q$2420:Q2711,"F")</f>
        <v>18.153846153846242</v>
      </c>
      <c r="BY2558" s="343">
        <f>SUMIFS($AV$2420:AV2711,$Q$2420:Q2711,"S")</f>
        <v>64.044720496894826</v>
      </c>
      <c r="BZ2558" s="343">
        <f>SUMIFS($AV$2420:AV2711,$Q$2420:Q2711,"O")</f>
        <v>-458.13333333332537</v>
      </c>
    </row>
    <row r="2559" spans="1:78" ht="15.75" customHeight="1">
      <c r="A2559" s="663" t="s">
        <v>7813</v>
      </c>
      <c r="B2559" s="200">
        <v>45575</v>
      </c>
      <c r="C2559" s="178" t="s">
        <v>1142</v>
      </c>
      <c r="D2559" s="178" t="s">
        <v>93</v>
      </c>
      <c r="E2559" s="227" t="s">
        <v>7892</v>
      </c>
      <c r="F2559" s="180"/>
      <c r="G2559" s="481" t="s">
        <v>3618</v>
      </c>
      <c r="H2559" s="182"/>
      <c r="I2559" s="182"/>
      <c r="J2559" s="182"/>
      <c r="K2559" s="183"/>
      <c r="L2559" s="182"/>
      <c r="M2559" s="182"/>
      <c r="N2559" s="182"/>
      <c r="O2559" s="183" t="s">
        <v>3618</v>
      </c>
      <c r="P2559" s="183"/>
      <c r="Q2559" s="183" t="s">
        <v>684</v>
      </c>
      <c r="R2559" s="183">
        <v>3</v>
      </c>
      <c r="S2559" s="183">
        <v>0</v>
      </c>
      <c r="T2559" s="183">
        <v>3</v>
      </c>
      <c r="U2559" s="183" t="s">
        <v>97</v>
      </c>
      <c r="V2559" s="183" t="s">
        <v>7349</v>
      </c>
      <c r="W2559" s="183" t="s">
        <v>22</v>
      </c>
      <c r="X2559" s="183"/>
      <c r="Y2559" s="184">
        <f t="shared" ref="Y2559:Y2566" si="891">IF(ISBLANK(O2559),"",(IF(O2559=UPPER("IB"),0.005,0.01)))</f>
        <v>0.01</v>
      </c>
      <c r="Z2559" s="185">
        <f t="shared" ref="Z2559:Z2566" si="892">IF(ISBLANK(O2559),"",IF(O2559="IB",8.63*200,IF(O2559="IR",16*100,IF(O2559="YT",20*100,IF(O2559="YT-XT",24*200,IF(O2559="TED",80*100,IF(O2559="XT",29*200)))))))</f>
        <v>5800</v>
      </c>
      <c r="AA2559" s="185" t="s">
        <v>7893</v>
      </c>
      <c r="AB2559" s="185"/>
      <c r="AC2559" s="185"/>
      <c r="AD2559" s="649">
        <v>95.76</v>
      </c>
      <c r="AE2559" s="182"/>
      <c r="AF2559" s="332"/>
      <c r="AG2559" s="182"/>
      <c r="AH2559" s="182"/>
      <c r="AI2559" s="182"/>
      <c r="AJ2559" s="640"/>
      <c r="AK2559" s="182"/>
      <c r="AL2559" s="496">
        <f t="shared" si="876"/>
        <v>-116</v>
      </c>
      <c r="AM2559" s="496">
        <f t="shared" si="877"/>
        <v>-348</v>
      </c>
      <c r="AN2559" s="626"/>
      <c r="AO2559" s="182"/>
      <c r="AP2559" s="182"/>
      <c r="AQ2559" s="332" t="s">
        <v>1259</v>
      </c>
      <c r="AR2559" s="182"/>
      <c r="AS2559" s="189">
        <v>95.762</v>
      </c>
      <c r="AT2559" s="189">
        <f t="shared" si="878"/>
        <v>-1.9999999999953388E-3</v>
      </c>
      <c r="AU2559" s="187">
        <f t="shared" si="879"/>
        <v>-34.799999999918896</v>
      </c>
      <c r="AV2559" s="190">
        <f t="shared" si="880"/>
        <v>-11.599999999972965</v>
      </c>
      <c r="AW2559" s="191" t="s">
        <v>229</v>
      </c>
      <c r="AX2559" s="551" t="s">
        <v>7894</v>
      </c>
      <c r="AY2559" s="551"/>
      <c r="AZ2559" s="551"/>
      <c r="BA2559" s="551"/>
      <c r="BB2559" s="551"/>
      <c r="BC2559" s="551"/>
      <c r="BD2559" s="549"/>
      <c r="BE2559" s="550"/>
      <c r="BF2559" s="549"/>
      <c r="BG2559" s="391">
        <f>SUM($AV$2420:AV2559)</f>
        <v>-372.06520146512804</v>
      </c>
      <c r="BH2559" s="392">
        <f>SUM($AU$2420:AU2559)</f>
        <v>-901.79999999982476</v>
      </c>
      <c r="BI2559" s="318">
        <f>SUMIFS($AU$2420:AU2712,$Q$2420:Q2712,"F")</f>
        <v>-143.99999999999949</v>
      </c>
      <c r="BJ2559" s="318">
        <f>SUMIFS($AU$2420:AU2712,$Q$2420:Q2712,"S")</f>
        <v>256.00000000000466</v>
      </c>
      <c r="BK2559" s="343">
        <f>SUMIFS($AU$2420:AU2712,$P$2420:P2712,"W")</f>
        <v>-607.99999999991883</v>
      </c>
      <c r="BL2559" s="343">
        <f>SUMIFS($AU$2420:AU2712,$P$2420:P2712,"R")</f>
        <v>911.99999999999966</v>
      </c>
      <c r="BM2559" s="343">
        <f>SUMIFS($AU$2420:AU2712,$AQ$2420:AQ2712,"M")</f>
        <v>-899.79999999984489</v>
      </c>
      <c r="BN2559" s="343">
        <f>SUMIFS($AU$2420:AU2712,$AQ$2420:AQ2712,"H")</f>
        <v>1762.9999999999427</v>
      </c>
      <c r="BO2559" s="343">
        <f>SUMIFS($AU$2420:AU2712,$AQ$2420:AQ2712,"D")</f>
        <v>-767.99999999998977</v>
      </c>
      <c r="BP2559" s="343">
        <f>SUMIFS($AS$2420:AS2800,$AO$2420:AO2800,"W")</f>
        <v>0</v>
      </c>
      <c r="BQ2559" s="343">
        <f>SUMIFS($AU$2420:AU2712,$Q$2420:Q2712,"O")</f>
        <v>-884.7999999998965</v>
      </c>
      <c r="BR2559" s="343">
        <f>SUMIFS($AU$2420:AU2712,$AA$2420:AA2712,"*")</f>
        <v>-512.79999999998074</v>
      </c>
      <c r="BS2559" s="343">
        <f>SUMIFS($AU$2420:AU2712,$AB$2420:AB2712,"*")</f>
        <v>-451.99999999997726</v>
      </c>
      <c r="BT2559" s="343">
        <f>SUMIFS($AU$2420:AU2712,$AC$2420:AC2712,"*")</f>
        <v>-143.99999999999909</v>
      </c>
      <c r="BU2559" s="343">
        <f>SUMIFS($AU$2420:AU2712,$AA$2420:AA2712,"*",$AB$2420:AB2712,"*")</f>
        <v>95.999999999933891</v>
      </c>
      <c r="BV2559" s="343">
        <f>SUMIFS($AU$2420:AU2712,$AA$2420:AA2712,"*",$AC$2420:AC2712,"*")</f>
        <v>-591.99999999999977</v>
      </c>
      <c r="BW2559" s="343">
        <f>SUMIFS($AU$2420:AU2712,$AB$2420:AB2712,"*",$AC$2420:AC2712,"*")</f>
        <v>-143.99999999999966</v>
      </c>
      <c r="BX2559" s="343">
        <f>SUMIFS($AV$2420:AV2712,$Q$2420:Q2712,"F")</f>
        <v>18.153846153846242</v>
      </c>
      <c r="BY2559" s="343">
        <f>SUMIFS($AV$2420:AV2712,$Q$2420:Q2712,"S")</f>
        <v>64.044720496894826</v>
      </c>
      <c r="BZ2559" s="343">
        <f>SUMIFS($AV$2420:AV2712,$Q$2420:Q2712,"O")</f>
        <v>-458.13333333332537</v>
      </c>
    </row>
    <row r="2560" spans="1:78" ht="15.75" customHeight="1">
      <c r="A2560" s="663" t="s">
        <v>7813</v>
      </c>
      <c r="B2560" s="200">
        <v>45575</v>
      </c>
      <c r="C2560" s="178" t="s">
        <v>1142</v>
      </c>
      <c r="D2560" s="178" t="s">
        <v>93</v>
      </c>
      <c r="E2560" s="227"/>
      <c r="F2560" s="180"/>
      <c r="G2560" s="481" t="s">
        <v>2432</v>
      </c>
      <c r="H2560" s="182"/>
      <c r="I2560" s="182"/>
      <c r="J2560" s="182"/>
      <c r="K2560" s="183"/>
      <c r="L2560" s="182"/>
      <c r="M2560" s="182"/>
      <c r="N2560" s="182"/>
      <c r="O2560" s="183" t="s">
        <v>2432</v>
      </c>
      <c r="P2560" s="183"/>
      <c r="Q2560" s="183" t="s">
        <v>684</v>
      </c>
      <c r="R2560" s="183">
        <v>9</v>
      </c>
      <c r="S2560" s="183">
        <v>0</v>
      </c>
      <c r="T2560" s="183">
        <v>9</v>
      </c>
      <c r="U2560" s="183" t="s">
        <v>97</v>
      </c>
      <c r="V2560" s="183" t="s">
        <v>7349</v>
      </c>
      <c r="W2560" s="183" t="s">
        <v>22</v>
      </c>
      <c r="X2560" s="183"/>
      <c r="Y2560" s="184">
        <f t="shared" si="891"/>
        <v>0.01</v>
      </c>
      <c r="Z2560" s="185">
        <f t="shared" si="892"/>
        <v>2000</v>
      </c>
      <c r="AA2560" s="185" t="s">
        <v>7893</v>
      </c>
      <c r="AB2560" s="185"/>
      <c r="AC2560" s="185"/>
      <c r="AD2560" s="649">
        <v>96.227000000000004</v>
      </c>
      <c r="AE2560" s="182"/>
      <c r="AF2560" s="332"/>
      <c r="AG2560" s="182"/>
      <c r="AH2560" s="182"/>
      <c r="AI2560" s="182"/>
      <c r="AJ2560" s="640"/>
      <c r="AK2560" s="182"/>
      <c r="AL2560" s="496">
        <f t="shared" si="876"/>
        <v>-40</v>
      </c>
      <c r="AM2560" s="496">
        <f t="shared" si="877"/>
        <v>-360</v>
      </c>
      <c r="AN2560" s="626"/>
      <c r="AO2560" s="182"/>
      <c r="AP2560" s="182"/>
      <c r="AQ2560" s="332" t="s">
        <v>1259</v>
      </c>
      <c r="AR2560" s="182"/>
      <c r="AS2560" s="189">
        <v>96.26</v>
      </c>
      <c r="AT2560" s="189">
        <f t="shared" si="878"/>
        <v>-3.3000000000001251E-2</v>
      </c>
      <c r="AU2560" s="187">
        <f t="shared" si="879"/>
        <v>-594.00000000002251</v>
      </c>
      <c r="AV2560" s="190">
        <f t="shared" si="880"/>
        <v>-66.000000000002501</v>
      </c>
      <c r="AW2560" s="191" t="s">
        <v>229</v>
      </c>
      <c r="AX2560" s="551" t="s">
        <v>7895</v>
      </c>
      <c r="AY2560" s="551" t="s">
        <v>7896</v>
      </c>
      <c r="AZ2560" s="551"/>
      <c r="BA2560" s="551"/>
      <c r="BB2560" s="551"/>
      <c r="BC2560" s="551"/>
      <c r="BD2560" s="549"/>
      <c r="BE2560" s="550"/>
      <c r="BF2560" s="549"/>
      <c r="BG2560" s="391">
        <f>SUM($AV$2420:AV2560)</f>
        <v>-438.06520146513054</v>
      </c>
      <c r="BH2560" s="392">
        <f>SUM($AU$2420:AU2560)</f>
        <v>-1495.7999999998474</v>
      </c>
      <c r="BI2560" s="318">
        <f>SUMIFS($AU$2420:AU2713,$Q$2420:Q2713,"F")</f>
        <v>-143.99999999999949</v>
      </c>
      <c r="BJ2560" s="318">
        <f>SUMIFS($AU$2420:AU2713,$Q$2420:Q2713,"S")</f>
        <v>256.00000000000466</v>
      </c>
      <c r="BK2560" s="343">
        <f>SUMIFS($AU$2420:AU2713,$P$2420:P2713,"W")</f>
        <v>-607.99999999991883</v>
      </c>
      <c r="BL2560" s="343">
        <f>SUMIFS($AU$2420:AU2713,$P$2420:P2713,"R")</f>
        <v>911.99999999999966</v>
      </c>
      <c r="BM2560" s="343">
        <f>SUMIFS($AU$2420:AU2713,$AQ$2420:AQ2713,"M")</f>
        <v>-899.79999999984489</v>
      </c>
      <c r="BN2560" s="343">
        <f>SUMIFS($AU$2420:AU2713,$AQ$2420:AQ2713,"H")</f>
        <v>1762.9999999999427</v>
      </c>
      <c r="BO2560" s="343">
        <f>SUMIFS($AU$2420:AU2713,$AQ$2420:AQ2713,"D")</f>
        <v>-767.99999999998977</v>
      </c>
      <c r="BP2560" s="343">
        <f>SUMIFS($AS$2420:AS2801,$AO$2420:AO2801,"W")</f>
        <v>0</v>
      </c>
      <c r="BQ2560" s="343">
        <f>SUMIFS($AU$2420:AU2713,$Q$2420:Q2713,"O")</f>
        <v>-884.7999999998965</v>
      </c>
      <c r="BR2560" s="343">
        <f>SUMIFS($AU$2420:AU2713,$AA$2420:AA2713,"*")</f>
        <v>-512.79999999998074</v>
      </c>
      <c r="BS2560" s="343">
        <f>SUMIFS($AU$2420:AU2713,$AB$2420:AB2713,"*")</f>
        <v>-451.99999999997726</v>
      </c>
      <c r="BT2560" s="343">
        <f>SUMIFS($AU$2420:AU2713,$AC$2420:AC2713,"*")</f>
        <v>-143.99999999999909</v>
      </c>
      <c r="BU2560" s="343">
        <f>SUMIFS($AU$2420:AU2713,$AA$2420:AA2713,"*",$AB$2420:AB2713,"*")</f>
        <v>95.999999999933891</v>
      </c>
      <c r="BV2560" s="343">
        <f>SUMIFS($AU$2420:AU2713,$AA$2420:AA2713,"*",$AC$2420:AC2713,"*")</f>
        <v>-591.99999999999977</v>
      </c>
      <c r="BW2560" s="343">
        <f>SUMIFS($AU$2420:AU2713,$AB$2420:AB2713,"*",$AC$2420:AC2713,"*")</f>
        <v>-143.99999999999966</v>
      </c>
      <c r="BX2560" s="343">
        <f>SUMIFS($AV$2420:AV2713,$Q$2420:Q2713,"F")</f>
        <v>18.153846153846242</v>
      </c>
      <c r="BY2560" s="343">
        <f>SUMIFS($AV$2420:AV2713,$Q$2420:Q2713,"S")</f>
        <v>64.044720496894826</v>
      </c>
      <c r="BZ2560" s="343">
        <f>SUMIFS($AV$2420:AV2713,$Q$2420:Q2713,"O")</f>
        <v>-458.13333333332537</v>
      </c>
    </row>
    <row r="2561" spans="1:78" ht="15.75" customHeight="1">
      <c r="A2561" s="663" t="s">
        <v>7813</v>
      </c>
      <c r="B2561" s="200">
        <v>45575</v>
      </c>
      <c r="C2561" s="178" t="s">
        <v>682</v>
      </c>
      <c r="D2561" s="178" t="s">
        <v>93</v>
      </c>
      <c r="E2561" s="227"/>
      <c r="F2561" s="180"/>
      <c r="G2561" s="481" t="s">
        <v>7897</v>
      </c>
      <c r="H2561" s="182"/>
      <c r="I2561" s="182"/>
      <c r="J2561" s="182"/>
      <c r="K2561" s="183"/>
      <c r="L2561" s="182"/>
      <c r="M2561" s="182"/>
      <c r="N2561" s="182"/>
      <c r="O2561" s="183" t="s">
        <v>95</v>
      </c>
      <c r="P2561" s="183" t="s">
        <v>137</v>
      </c>
      <c r="Q2561" s="183" t="s">
        <v>97</v>
      </c>
      <c r="R2561" s="183">
        <v>32</v>
      </c>
      <c r="S2561" s="183">
        <v>0</v>
      </c>
      <c r="T2561" s="183">
        <v>32</v>
      </c>
      <c r="U2561" s="183" t="s">
        <v>22</v>
      </c>
      <c r="V2561" s="183" t="s">
        <v>7357</v>
      </c>
      <c r="W2561" s="183" t="s">
        <v>20</v>
      </c>
      <c r="X2561" s="183" t="s">
        <v>7467</v>
      </c>
      <c r="Y2561" s="184">
        <f t="shared" si="891"/>
        <v>0.01</v>
      </c>
      <c r="Z2561" s="185">
        <f t="shared" si="892"/>
        <v>1600</v>
      </c>
      <c r="AA2561" s="185"/>
      <c r="AB2561" s="185"/>
      <c r="AC2561" s="185" t="s">
        <v>7898</v>
      </c>
      <c r="AD2561" s="649">
        <v>-0.08</v>
      </c>
      <c r="AE2561" s="182"/>
      <c r="AF2561" s="332"/>
      <c r="AG2561" s="182"/>
      <c r="AH2561" s="182"/>
      <c r="AI2561" s="182"/>
      <c r="AJ2561" s="640"/>
      <c r="AK2561" s="182"/>
      <c r="AL2561" s="496">
        <f t="shared" si="876"/>
        <v>-32</v>
      </c>
      <c r="AM2561" s="496">
        <f t="shared" si="877"/>
        <v>-1024</v>
      </c>
      <c r="AN2561" s="626"/>
      <c r="AO2561" s="182"/>
      <c r="AP2561" s="182"/>
      <c r="AQ2561" s="332" t="s">
        <v>96</v>
      </c>
      <c r="AR2561" s="298">
        <v>45583</v>
      </c>
      <c r="AS2561" s="189">
        <v>-0.08</v>
      </c>
      <c r="AT2561" s="189">
        <f t="shared" si="878"/>
        <v>0</v>
      </c>
      <c r="AU2561" s="187">
        <f t="shared" si="879"/>
        <v>0</v>
      </c>
      <c r="AV2561" s="190">
        <f t="shared" si="880"/>
        <v>0</v>
      </c>
      <c r="AW2561" s="191" t="s">
        <v>115</v>
      </c>
      <c r="AX2561" s="551" t="s">
        <v>7899</v>
      </c>
      <c r="AY2561" s="551" t="s">
        <v>7900</v>
      </c>
      <c r="AZ2561" s="551"/>
      <c r="BA2561" s="551"/>
      <c r="BB2561" s="551"/>
      <c r="BC2561" s="551"/>
      <c r="BD2561" s="549"/>
      <c r="BE2561" s="550"/>
      <c r="BF2561" s="549"/>
      <c r="BG2561" s="391">
        <f>SUM($AV$2420:AV2561)</f>
        <v>-438.06520146513054</v>
      </c>
      <c r="BH2561" s="392">
        <f>SUM($AU$2420:AU2561)</f>
        <v>-1495.7999999998474</v>
      </c>
      <c r="BI2561" s="318">
        <f>SUMIFS($AU$2420:AU2714,$Q$2420:Q2714,"F")</f>
        <v>-143.99999999999949</v>
      </c>
      <c r="BJ2561" s="318">
        <f>SUMIFS($AU$2420:AU2714,$Q$2420:Q2714,"S")</f>
        <v>256.00000000000466</v>
      </c>
      <c r="BK2561" s="343">
        <f>SUMIFS($AU$2420:AU2714,$P$2420:P2714,"W")</f>
        <v>-607.99999999991883</v>
      </c>
      <c r="BL2561" s="343">
        <f>SUMIFS($AU$2420:AU2714,$P$2420:P2714,"R")</f>
        <v>911.99999999999966</v>
      </c>
      <c r="BM2561" s="343">
        <f>SUMIFS($AU$2420:AU2714,$AQ$2420:AQ2714,"M")</f>
        <v>-899.79999999984489</v>
      </c>
      <c r="BN2561" s="343">
        <f>SUMIFS($AU$2420:AU2714,$AQ$2420:AQ2714,"H")</f>
        <v>1762.9999999999427</v>
      </c>
      <c r="BO2561" s="343">
        <f>SUMIFS($AU$2420:AU2714,$AQ$2420:AQ2714,"D")</f>
        <v>-767.99999999998977</v>
      </c>
      <c r="BP2561" s="343">
        <f>SUMIFS($AS$2420:AS2802,$AO$2420:AO2802,"W")</f>
        <v>0</v>
      </c>
      <c r="BQ2561" s="343">
        <f>SUMIFS($AU$2420:AU2714,$Q$2420:Q2714,"O")</f>
        <v>-884.7999999998965</v>
      </c>
      <c r="BR2561" s="343">
        <f>SUMIFS($AU$2420:AU2714,$AA$2420:AA2714,"*")</f>
        <v>-512.79999999998074</v>
      </c>
      <c r="BS2561" s="343">
        <f>SUMIFS($AU$2420:AU2714,$AB$2420:AB2714,"*")</f>
        <v>-451.99999999997726</v>
      </c>
      <c r="BT2561" s="343">
        <f>SUMIFS($AU$2420:AU2714,$AC$2420:AC2714,"*")</f>
        <v>-143.99999999999909</v>
      </c>
      <c r="BU2561" s="343">
        <f>SUMIFS($AU$2420:AU2714,$AA$2420:AA2714,"*",$AB$2420:AB2714,"*")</f>
        <v>95.999999999933891</v>
      </c>
      <c r="BV2561" s="343">
        <f>SUMIFS($AU$2420:AU2714,$AA$2420:AA2714,"*",$AC$2420:AC2714,"*")</f>
        <v>-591.99999999999977</v>
      </c>
      <c r="BW2561" s="343">
        <f>SUMIFS($AU$2420:AU2714,$AB$2420:AB2714,"*",$AC$2420:AC2714,"*")</f>
        <v>-143.99999999999966</v>
      </c>
      <c r="BX2561" s="343">
        <f>SUMIFS($AV$2420:AV2714,$Q$2420:Q2714,"F")</f>
        <v>18.153846153846242</v>
      </c>
      <c r="BY2561" s="343">
        <f>SUMIFS($AV$2420:AV2714,$Q$2420:Q2714,"S")</f>
        <v>64.044720496894826</v>
      </c>
      <c r="BZ2561" s="343">
        <f>SUMIFS($AV$2420:AV2714,$Q$2420:Q2714,"O")</f>
        <v>-458.13333333332537</v>
      </c>
    </row>
    <row r="2562" spans="1:78" ht="15.75" customHeight="1">
      <c r="A2562" s="663" t="s">
        <v>7813</v>
      </c>
      <c r="B2562" s="200">
        <v>45575</v>
      </c>
      <c r="C2562" s="178" t="s">
        <v>682</v>
      </c>
      <c r="D2562" s="178" t="s">
        <v>93</v>
      </c>
      <c r="E2562" s="227"/>
      <c r="F2562" s="180"/>
      <c r="G2562" s="481" t="s">
        <v>7814</v>
      </c>
      <c r="H2562" s="182"/>
      <c r="I2562" s="182"/>
      <c r="J2562" s="182"/>
      <c r="K2562" s="183"/>
      <c r="L2562" s="182"/>
      <c r="M2562" s="182"/>
      <c r="N2562" s="182"/>
      <c r="O2562" s="183" t="s">
        <v>95</v>
      </c>
      <c r="P2562" s="183" t="s">
        <v>96</v>
      </c>
      <c r="Q2562" s="183" t="s">
        <v>684</v>
      </c>
      <c r="R2562" s="183">
        <v>4</v>
      </c>
      <c r="S2562" s="183">
        <v>0</v>
      </c>
      <c r="T2562" s="183">
        <v>4</v>
      </c>
      <c r="U2562" s="183" t="s">
        <v>97</v>
      </c>
      <c r="V2562" s="183" t="s">
        <v>7349</v>
      </c>
      <c r="W2562" s="183" t="s">
        <v>22</v>
      </c>
      <c r="X2562" s="183"/>
      <c r="Y2562" s="184">
        <f t="shared" si="891"/>
        <v>0.01</v>
      </c>
      <c r="Z2562" s="185">
        <f t="shared" si="892"/>
        <v>1600</v>
      </c>
      <c r="AA2562" s="185"/>
      <c r="AB2562" s="185" t="s">
        <v>7901</v>
      </c>
      <c r="AC2562" s="185"/>
      <c r="AD2562" s="649">
        <v>95.69</v>
      </c>
      <c r="AE2562" s="182"/>
      <c r="AF2562" s="332"/>
      <c r="AG2562" s="182"/>
      <c r="AH2562" s="182"/>
      <c r="AI2562" s="182"/>
      <c r="AJ2562" s="640"/>
      <c r="AK2562" s="182"/>
      <c r="AL2562" s="496">
        <f t="shared" si="876"/>
        <v>-32</v>
      </c>
      <c r="AM2562" s="496">
        <f t="shared" si="877"/>
        <v>-128</v>
      </c>
      <c r="AN2562" s="626"/>
      <c r="AO2562" s="182"/>
      <c r="AP2562" s="182"/>
      <c r="AQ2562" s="332" t="s">
        <v>1259</v>
      </c>
      <c r="AR2562" s="182"/>
      <c r="AS2562" s="189">
        <v>95.69</v>
      </c>
      <c r="AT2562" s="189">
        <f t="shared" si="878"/>
        <v>0</v>
      </c>
      <c r="AU2562" s="187">
        <f t="shared" si="879"/>
        <v>0</v>
      </c>
      <c r="AV2562" s="190">
        <f t="shared" si="880"/>
        <v>0</v>
      </c>
      <c r="AW2562" s="191" t="s">
        <v>115</v>
      </c>
      <c r="AX2562" s="551"/>
      <c r="AY2562" s="551"/>
      <c r="AZ2562" s="551"/>
      <c r="BA2562" s="551"/>
      <c r="BB2562" s="551"/>
      <c r="BC2562" s="551"/>
      <c r="BD2562" s="549"/>
      <c r="BE2562" s="550"/>
      <c r="BF2562" s="549"/>
      <c r="BG2562" s="391">
        <f>SUM($AV$2420:AV2562)</f>
        <v>-438.06520146513054</v>
      </c>
      <c r="BH2562" s="392">
        <f>SUM($AU$2420:AU2562)</f>
        <v>-1495.7999999998474</v>
      </c>
      <c r="BI2562" s="318">
        <f>SUMIFS($AU$2420:AU2715,$Q$2420:Q2715,"F")</f>
        <v>-143.99999999999949</v>
      </c>
      <c r="BJ2562" s="318">
        <f>SUMIFS($AU$2420:AU2715,$Q$2420:Q2715,"S")</f>
        <v>256.00000000000466</v>
      </c>
      <c r="BK2562" s="343">
        <f>SUMIFS($AU$2420:AU2715,$P$2420:P2715,"W")</f>
        <v>-607.99999999991883</v>
      </c>
      <c r="BL2562" s="343">
        <f>SUMIFS($AU$2420:AU2715,$P$2420:P2715,"R")</f>
        <v>911.99999999999966</v>
      </c>
      <c r="BM2562" s="343">
        <f>SUMIFS($AU$2420:AU2715,$AQ$2420:AQ2715,"M")</f>
        <v>-899.79999999984489</v>
      </c>
      <c r="BN2562" s="343">
        <f>SUMIFS($AU$2420:AU2715,$AQ$2420:AQ2715,"H")</f>
        <v>1762.9999999999427</v>
      </c>
      <c r="BO2562" s="343">
        <f>SUMIFS($AU$2420:AU2715,$AQ$2420:AQ2715,"D")</f>
        <v>-767.99999999998977</v>
      </c>
      <c r="BP2562" s="343">
        <f>SUMIFS($AS$2420:AS2803,$AO$2420:AO2803,"W")</f>
        <v>0</v>
      </c>
      <c r="BQ2562" s="343">
        <f>SUMIFS($AU$2420:AU2715,$Q$2420:Q2715,"O")</f>
        <v>-884.7999999998965</v>
      </c>
      <c r="BR2562" s="343">
        <f>SUMIFS($AU$2420:AU2715,$AA$2420:AA2715,"*")</f>
        <v>-512.79999999998074</v>
      </c>
      <c r="BS2562" s="343">
        <f>SUMIFS($AU$2420:AU2715,$AB$2420:AB2715,"*")</f>
        <v>-451.99999999997726</v>
      </c>
      <c r="BT2562" s="343">
        <f>SUMIFS($AU$2420:AU2715,$AC$2420:AC2715,"*")</f>
        <v>-143.99999999999909</v>
      </c>
      <c r="BU2562" s="343">
        <f>SUMIFS($AU$2420:AU2715,$AA$2420:AA2715,"*",$AB$2420:AB2715,"*")</f>
        <v>95.999999999933891</v>
      </c>
      <c r="BV2562" s="343">
        <f>SUMIFS($AU$2420:AU2715,$AA$2420:AA2715,"*",$AC$2420:AC2715,"*")</f>
        <v>-591.99999999999977</v>
      </c>
      <c r="BW2562" s="343">
        <f>SUMIFS($AU$2420:AU2715,$AB$2420:AB2715,"*",$AC$2420:AC2715,"*")</f>
        <v>-143.99999999999966</v>
      </c>
      <c r="BX2562" s="343">
        <f>SUMIFS($AV$2420:AV2715,$Q$2420:Q2715,"F")</f>
        <v>18.153846153846242</v>
      </c>
      <c r="BY2562" s="343">
        <f>SUMIFS($AV$2420:AV2715,$Q$2420:Q2715,"S")</f>
        <v>64.044720496894826</v>
      </c>
      <c r="BZ2562" s="343">
        <f>SUMIFS($AV$2420:AV2715,$Q$2420:Q2715,"O")</f>
        <v>-458.13333333332537</v>
      </c>
    </row>
    <row r="2563" spans="1:78" ht="15.75" customHeight="1">
      <c r="A2563" s="663" t="s">
        <v>7813</v>
      </c>
      <c r="B2563" s="200">
        <v>45575</v>
      </c>
      <c r="C2563" s="178" t="s">
        <v>7902</v>
      </c>
      <c r="D2563" s="178" t="s">
        <v>93</v>
      </c>
      <c r="E2563" s="227"/>
      <c r="F2563" s="180"/>
      <c r="G2563" s="481" t="s">
        <v>7049</v>
      </c>
      <c r="H2563" s="182"/>
      <c r="I2563" s="182"/>
      <c r="J2563" s="182"/>
      <c r="K2563" s="183"/>
      <c r="L2563" s="182"/>
      <c r="M2563" s="182"/>
      <c r="N2563" s="182"/>
      <c r="O2563" s="183" t="s">
        <v>95</v>
      </c>
      <c r="P2563" s="183" t="s">
        <v>137</v>
      </c>
      <c r="Q2563" s="183" t="s">
        <v>97</v>
      </c>
      <c r="R2563" s="183">
        <v>4</v>
      </c>
      <c r="S2563" s="183">
        <v>0</v>
      </c>
      <c r="T2563" s="183">
        <v>4</v>
      </c>
      <c r="U2563" s="183" t="s">
        <v>97</v>
      </c>
      <c r="V2563" s="183" t="s">
        <v>7357</v>
      </c>
      <c r="W2563" s="183" t="s">
        <v>7548</v>
      </c>
      <c r="X2563" s="183" t="s">
        <v>7488</v>
      </c>
      <c r="Y2563" s="184">
        <f t="shared" si="891"/>
        <v>0.01</v>
      </c>
      <c r="Z2563" s="185">
        <f t="shared" si="892"/>
        <v>1600</v>
      </c>
      <c r="AA2563" s="185"/>
      <c r="AB2563" s="185"/>
      <c r="AC2563" s="185" t="s">
        <v>7903</v>
      </c>
      <c r="AD2563" s="649">
        <v>0</v>
      </c>
      <c r="AE2563" s="182"/>
      <c r="AF2563" s="332"/>
      <c r="AG2563" s="182"/>
      <c r="AH2563" s="182"/>
      <c r="AI2563" s="182"/>
      <c r="AJ2563" s="640"/>
      <c r="AK2563" s="182"/>
      <c r="AL2563" s="496">
        <f t="shared" si="876"/>
        <v>-32</v>
      </c>
      <c r="AM2563" s="496">
        <f t="shared" si="877"/>
        <v>-128</v>
      </c>
      <c r="AN2563" s="626"/>
      <c r="AO2563" s="182"/>
      <c r="AP2563" s="182"/>
      <c r="AQ2563" s="332" t="s">
        <v>115</v>
      </c>
      <c r="AR2563" s="182"/>
      <c r="AS2563" s="189">
        <v>0</v>
      </c>
      <c r="AT2563" s="189">
        <f t="shared" si="878"/>
        <v>0</v>
      </c>
      <c r="AU2563" s="187">
        <f t="shared" si="879"/>
        <v>0</v>
      </c>
      <c r="AV2563" s="190">
        <f t="shared" si="880"/>
        <v>0</v>
      </c>
      <c r="AW2563" s="191" t="s">
        <v>115</v>
      </c>
      <c r="AX2563" s="551" t="s">
        <v>7904</v>
      </c>
      <c r="AY2563" s="551"/>
      <c r="AZ2563" s="551"/>
      <c r="BA2563" s="551"/>
      <c r="BB2563" s="551"/>
      <c r="BC2563" s="551"/>
      <c r="BD2563" s="549"/>
      <c r="BE2563" s="550"/>
      <c r="BF2563" s="549"/>
      <c r="BG2563" s="391">
        <f>SUM($AV$2420:AV2563)</f>
        <v>-438.06520146513054</v>
      </c>
      <c r="BH2563" s="392">
        <f>SUM($AU$2420:AU2563)</f>
        <v>-1495.7999999998474</v>
      </c>
      <c r="BI2563" s="318">
        <f>SUMIFS($AU$2420:AU2716,$Q$2420:Q2716,"F")</f>
        <v>-143.99999999999949</v>
      </c>
      <c r="BJ2563" s="318">
        <f>SUMIFS($AU$2420:AU2716,$Q$2420:Q2716,"S")</f>
        <v>256.00000000000466</v>
      </c>
      <c r="BK2563" s="343">
        <f>SUMIFS($AU$2420:AU2716,$P$2420:P2716,"W")</f>
        <v>-607.99999999991883</v>
      </c>
      <c r="BL2563" s="343">
        <f>SUMIFS($AU$2420:AU2716,$P$2420:P2716,"R")</f>
        <v>911.99999999999966</v>
      </c>
      <c r="BM2563" s="343">
        <f>SUMIFS($AU$2420:AU2716,$AQ$2420:AQ2716,"M")</f>
        <v>-899.79999999984489</v>
      </c>
      <c r="BN2563" s="343">
        <f>SUMIFS($AU$2420:AU2716,$AQ$2420:AQ2716,"H")</f>
        <v>1762.9999999999427</v>
      </c>
      <c r="BO2563" s="343">
        <f>SUMIFS($AU$2420:AU2716,$AQ$2420:AQ2716,"D")</f>
        <v>-767.99999999998977</v>
      </c>
      <c r="BP2563" s="343">
        <f>SUMIFS($AS$2420:AS2804,$AO$2420:AO2804,"W")</f>
        <v>0</v>
      </c>
      <c r="BQ2563" s="343">
        <f>SUMIFS($AU$2420:AU2716,$Q$2420:Q2716,"O")</f>
        <v>-884.7999999998965</v>
      </c>
      <c r="BR2563" s="343">
        <f>SUMIFS($AU$2420:AU2716,$AA$2420:AA2716,"*")</f>
        <v>-512.79999999998074</v>
      </c>
      <c r="BS2563" s="343">
        <f>SUMIFS($AU$2420:AU2716,$AB$2420:AB2716,"*")</f>
        <v>-451.99999999997726</v>
      </c>
      <c r="BT2563" s="343">
        <f>SUMIFS($AU$2420:AU2716,$AC$2420:AC2716,"*")</f>
        <v>-143.99999999999909</v>
      </c>
      <c r="BU2563" s="343">
        <f>SUMIFS($AU$2420:AU2716,$AA$2420:AA2716,"*",$AB$2420:AB2716,"*")</f>
        <v>95.999999999933891</v>
      </c>
      <c r="BV2563" s="343">
        <f>SUMIFS($AU$2420:AU2716,$AA$2420:AA2716,"*",$AC$2420:AC2716,"*")</f>
        <v>-591.99999999999977</v>
      </c>
      <c r="BW2563" s="343">
        <f>SUMIFS($AU$2420:AU2716,$AB$2420:AB2716,"*",$AC$2420:AC2716,"*")</f>
        <v>-143.99999999999966</v>
      </c>
      <c r="BX2563" s="343">
        <f>SUMIFS($AV$2420:AV2716,$Q$2420:Q2716,"F")</f>
        <v>18.153846153846242</v>
      </c>
      <c r="BY2563" s="343">
        <f>SUMIFS($AV$2420:AV2716,$Q$2420:Q2716,"S")</f>
        <v>64.044720496894826</v>
      </c>
      <c r="BZ2563" s="343">
        <f>SUMIFS($AV$2420:AV2716,$Q$2420:Q2716,"O")</f>
        <v>-458.13333333332537</v>
      </c>
    </row>
    <row r="2564" spans="1:78" ht="15.75" customHeight="1">
      <c r="A2564" s="663" t="s">
        <v>7813</v>
      </c>
      <c r="B2564" s="200"/>
      <c r="C2564" s="178"/>
      <c r="D2564" s="178"/>
      <c r="E2564" s="227"/>
      <c r="F2564" s="180"/>
      <c r="G2564" s="181"/>
      <c r="H2564" s="182"/>
      <c r="I2564" s="182"/>
      <c r="J2564" s="182"/>
      <c r="K2564" s="183"/>
      <c r="L2564" s="182"/>
      <c r="M2564" s="182"/>
      <c r="N2564" s="182"/>
      <c r="O2564" s="183"/>
      <c r="P2564" s="183"/>
      <c r="Q2564" s="183"/>
      <c r="R2564" s="183"/>
      <c r="S2564" s="183"/>
      <c r="T2564" s="183"/>
      <c r="U2564" s="183"/>
      <c r="V2564" s="183"/>
      <c r="W2564" s="183"/>
      <c r="X2564" s="183"/>
      <c r="Y2564" s="183"/>
      <c r="Z2564" s="183"/>
      <c r="AA2564" s="185"/>
      <c r="AB2564" s="185"/>
      <c r="AC2564" s="185"/>
      <c r="AD2564" s="649"/>
      <c r="AE2564" s="182"/>
      <c r="AF2564" s="332"/>
      <c r="AG2564" s="182"/>
      <c r="AH2564" s="182"/>
      <c r="AI2564" s="182"/>
      <c r="AJ2564" s="640"/>
      <c r="AK2564" s="182"/>
      <c r="AL2564" s="496">
        <f t="shared" si="876"/>
        <v>0</v>
      </c>
      <c r="AM2564" s="496">
        <f t="shared" si="877"/>
        <v>0</v>
      </c>
      <c r="AN2564" s="626"/>
      <c r="AO2564" s="182"/>
      <c r="AP2564" s="182"/>
      <c r="AQ2564" s="332" t="str">
        <f>UPPER(RIGHT(Journal_Live[[#This Row],[DURATION ]]))</f>
        <v/>
      </c>
      <c r="AR2564" s="182"/>
      <c r="AS2564" s="189"/>
      <c r="AT2564" s="189">
        <f t="shared" si="878"/>
        <v>0</v>
      </c>
      <c r="AU2564" s="187">
        <f t="shared" si="879"/>
        <v>0</v>
      </c>
      <c r="AV2564" s="190">
        <f t="shared" si="880"/>
        <v>0</v>
      </c>
      <c r="AW2564" s="191"/>
      <c r="AX2564" s="549" t="s">
        <v>7905</v>
      </c>
      <c r="AY2564" s="575" t="s">
        <v>7906</v>
      </c>
      <c r="AZ2564" s="575" t="s">
        <v>7907</v>
      </c>
      <c r="BA2564" s="551" t="s">
        <v>7908</v>
      </c>
      <c r="BB2564" s="551"/>
      <c r="BC2564" s="551"/>
      <c r="BD2564" s="549"/>
      <c r="BE2564" s="550"/>
      <c r="BF2564" s="549"/>
      <c r="BG2564" s="391">
        <f>SUM($AV$2420:AV2564)</f>
        <v>-438.06520146513054</v>
      </c>
      <c r="BH2564" s="392">
        <f>SUM($AU$2420:AU2564)</f>
        <v>-1495.7999999998474</v>
      </c>
      <c r="BI2564" s="318">
        <f>SUMIFS($AU$2420:AU2717,$Q$2420:Q2717,"F")</f>
        <v>-143.99999999999949</v>
      </c>
      <c r="BJ2564" s="318">
        <f>SUMIFS($AU$2420:AU2717,$Q$2420:Q2717,"S")</f>
        <v>256.00000000000466</v>
      </c>
      <c r="BK2564" s="343">
        <f>SUMIFS($AU$2420:AU2717,$P$2420:P2717,"W")</f>
        <v>-607.99999999991883</v>
      </c>
      <c r="BL2564" s="343">
        <f>SUMIFS($AU$2420:AU2717,$P$2420:P2717,"R")</f>
        <v>911.99999999999966</v>
      </c>
      <c r="BM2564" s="343">
        <f>SUMIFS($AU$2420:AU2717,$AQ$2420:AQ2717,"M")</f>
        <v>-899.79999999984489</v>
      </c>
      <c r="BN2564" s="343">
        <f>SUMIFS($AU$2420:AU2717,$AQ$2420:AQ2717,"H")</f>
        <v>1762.9999999999427</v>
      </c>
      <c r="BO2564" s="343">
        <f>SUMIFS($AU$2420:AU2717,$AQ$2420:AQ2717,"D")</f>
        <v>-767.99999999998977</v>
      </c>
      <c r="BP2564" s="343">
        <f>SUMIFS($AS$2420:AS2805,$AO$2420:AO2805,"W")</f>
        <v>0</v>
      </c>
      <c r="BQ2564" s="343">
        <f>SUMIFS($AU$2420:AU2717,$Q$2420:Q2717,"O")</f>
        <v>-884.7999999998965</v>
      </c>
      <c r="BR2564" s="343">
        <f>SUMIFS($AU$2420:AU2717,$AA$2420:AA2717,"*")</f>
        <v>-512.79999999998074</v>
      </c>
      <c r="BS2564" s="343">
        <f>SUMIFS($AU$2420:AU2717,$AB$2420:AB2717,"*")</f>
        <v>-451.99999999997726</v>
      </c>
      <c r="BT2564" s="343">
        <f>SUMIFS($AU$2420:AU2717,$AC$2420:AC2717,"*")</f>
        <v>-143.99999999999909</v>
      </c>
      <c r="BU2564" s="343">
        <f>SUMIFS($AU$2420:AU2717,$AA$2420:AA2717,"*",$AB$2420:AB2717,"*")</f>
        <v>95.999999999933891</v>
      </c>
      <c r="BV2564" s="343">
        <f>SUMIFS($AU$2420:AU2717,$AA$2420:AA2717,"*",$AC$2420:AC2717,"*")</f>
        <v>-591.99999999999977</v>
      </c>
      <c r="BW2564" s="343">
        <f>SUMIFS($AU$2420:AU2717,$AB$2420:AB2717,"*",$AC$2420:AC2717,"*")</f>
        <v>-143.99999999999966</v>
      </c>
      <c r="BX2564" s="343">
        <f>SUMIFS($AV$2420:AV2717,$Q$2420:Q2717,"F")</f>
        <v>18.153846153846242</v>
      </c>
      <c r="BY2564" s="343">
        <f>SUMIFS($AV$2420:AV2717,$Q$2420:Q2717,"S")</f>
        <v>64.044720496894826</v>
      </c>
      <c r="BZ2564" s="343">
        <f>SUMIFS($AV$2420:AV2717,$Q$2420:Q2717,"O")</f>
        <v>-458.13333333332537</v>
      </c>
    </row>
    <row r="2565" spans="1:78" ht="15.75" customHeight="1">
      <c r="A2565" s="663" t="s">
        <v>7813</v>
      </c>
      <c r="B2565" s="200"/>
      <c r="C2565" s="178"/>
      <c r="D2565" s="178"/>
      <c r="E2565" s="227"/>
      <c r="F2565" s="180"/>
      <c r="G2565" s="181"/>
      <c r="H2565" s="182"/>
      <c r="I2565" s="182"/>
      <c r="J2565" s="182"/>
      <c r="K2565" s="183"/>
      <c r="L2565" s="182"/>
      <c r="M2565" s="182"/>
      <c r="N2565" s="182"/>
      <c r="O2565" s="183"/>
      <c r="P2565" s="183"/>
      <c r="Q2565" s="183"/>
      <c r="R2565" s="183"/>
      <c r="S2565" s="183"/>
      <c r="T2565" s="183"/>
      <c r="U2565" s="183"/>
      <c r="V2565" s="183"/>
      <c r="W2565" s="183"/>
      <c r="X2565" s="183"/>
      <c r="Y2565" s="183"/>
      <c r="Z2565" s="183"/>
      <c r="AA2565" s="185"/>
      <c r="AB2565" s="185"/>
      <c r="AC2565" s="185"/>
      <c r="AD2565" s="649"/>
      <c r="AE2565" s="182"/>
      <c r="AF2565" s="332"/>
      <c r="AG2565" s="182"/>
      <c r="AH2565" s="182"/>
      <c r="AI2565" s="182"/>
      <c r="AJ2565" s="640"/>
      <c r="AK2565" s="182"/>
      <c r="AL2565" s="496">
        <f t="shared" si="876"/>
        <v>0</v>
      </c>
      <c r="AM2565" s="496">
        <f t="shared" si="877"/>
        <v>0</v>
      </c>
      <c r="AN2565" s="626"/>
      <c r="AO2565" s="182"/>
      <c r="AP2565" s="182"/>
      <c r="AQ2565" s="332" t="str">
        <f>UPPER(RIGHT(Journal_Live[[#This Row],[DURATION ]]))</f>
        <v/>
      </c>
      <c r="AR2565" s="182"/>
      <c r="AS2565" s="189"/>
      <c r="AT2565" s="189">
        <f t="shared" si="878"/>
        <v>0</v>
      </c>
      <c r="AU2565" s="187">
        <f t="shared" si="879"/>
        <v>0</v>
      </c>
      <c r="AV2565" s="190">
        <f t="shared" si="880"/>
        <v>0</v>
      </c>
      <c r="AW2565" s="191"/>
      <c r="AX2565" s="551" t="s">
        <v>7909</v>
      </c>
      <c r="AY2565" s="551" t="s">
        <v>7910</v>
      </c>
      <c r="AZ2565" s="551"/>
      <c r="BA2565" s="551"/>
      <c r="BB2565" s="551"/>
      <c r="BC2565" s="551"/>
      <c r="BD2565" s="549"/>
      <c r="BE2565" s="550"/>
      <c r="BF2565" s="549"/>
      <c r="BG2565" s="391">
        <f>SUM($AV$2420:AV2565)</f>
        <v>-438.06520146513054</v>
      </c>
      <c r="BH2565" s="392">
        <f>SUM($AU$2420:AU2565)</f>
        <v>-1495.7999999998474</v>
      </c>
      <c r="BI2565" s="318">
        <f>SUMIFS($AU$2420:AU2718,$Q$2420:Q2718,"F")</f>
        <v>-143.99999999999949</v>
      </c>
      <c r="BJ2565" s="318">
        <f>SUMIFS($AU$2420:AU2718,$Q$2420:Q2718,"S")</f>
        <v>256.00000000000466</v>
      </c>
      <c r="BK2565" s="343">
        <f>SUMIFS($AU$2420:AU2718,$P$2420:P2718,"W")</f>
        <v>-607.99999999991883</v>
      </c>
      <c r="BL2565" s="343">
        <f>SUMIFS($AU$2420:AU2718,$P$2420:P2718,"R")</f>
        <v>911.99999999999966</v>
      </c>
      <c r="BM2565" s="343">
        <f>SUMIFS($AU$2420:AU2718,$AQ$2420:AQ2718,"M")</f>
        <v>-899.79999999984489</v>
      </c>
      <c r="BN2565" s="343">
        <f>SUMIFS($AU$2420:AU2718,$AQ$2420:AQ2718,"H")</f>
        <v>1762.9999999999427</v>
      </c>
      <c r="BO2565" s="343">
        <f>SUMIFS($AU$2420:AU2718,$AQ$2420:AQ2718,"D")</f>
        <v>-767.99999999998977</v>
      </c>
      <c r="BP2565" s="343">
        <f>SUMIFS($AS$2420:AS2806,$AO$2420:AO2806,"W")</f>
        <v>0</v>
      </c>
      <c r="BQ2565" s="343">
        <f>SUMIFS($AU$2420:AU2718,$Q$2420:Q2718,"O")</f>
        <v>-884.7999999998965</v>
      </c>
      <c r="BR2565" s="343">
        <f>SUMIFS($AU$2420:AU2718,$AA$2420:AA2718,"*")</f>
        <v>-512.79999999998074</v>
      </c>
      <c r="BS2565" s="343">
        <f>SUMIFS($AU$2420:AU2718,$AB$2420:AB2718,"*")</f>
        <v>-451.99999999997726</v>
      </c>
      <c r="BT2565" s="343">
        <f>SUMIFS($AU$2420:AU2718,$AC$2420:AC2718,"*")</f>
        <v>-143.99999999999909</v>
      </c>
      <c r="BU2565" s="343">
        <f>SUMIFS($AU$2420:AU2718,$AA$2420:AA2718,"*",$AB$2420:AB2718,"*")</f>
        <v>95.999999999933891</v>
      </c>
      <c r="BV2565" s="343">
        <f>SUMIFS($AU$2420:AU2718,$AA$2420:AA2718,"*",$AC$2420:AC2718,"*")</f>
        <v>-591.99999999999977</v>
      </c>
      <c r="BW2565" s="343">
        <f>SUMIFS($AU$2420:AU2718,$AB$2420:AB2718,"*",$AC$2420:AC2718,"*")</f>
        <v>-143.99999999999966</v>
      </c>
      <c r="BX2565" s="343">
        <f>SUMIFS($AV$2420:AV2718,$Q$2420:Q2718,"F")</f>
        <v>18.153846153846242</v>
      </c>
      <c r="BY2565" s="343">
        <f>SUMIFS($AV$2420:AV2718,$Q$2420:Q2718,"S")</f>
        <v>64.044720496894826</v>
      </c>
      <c r="BZ2565" s="343">
        <f>SUMIFS($AV$2420:AV2718,$Q$2420:Q2718,"O")</f>
        <v>-458.13333333332537</v>
      </c>
    </row>
    <row r="2566" spans="1:78" ht="15.75" customHeight="1">
      <c r="A2566" s="663" t="s">
        <v>7813</v>
      </c>
      <c r="B2566" s="200">
        <v>45580</v>
      </c>
      <c r="C2566" s="178" t="s">
        <v>7303</v>
      </c>
      <c r="D2566" s="178" t="s">
        <v>146</v>
      </c>
      <c r="E2566" s="227"/>
      <c r="F2566" s="180"/>
      <c r="G2566" s="481" t="s">
        <v>1694</v>
      </c>
      <c r="H2566" s="182"/>
      <c r="I2566" s="182"/>
      <c r="J2566" s="182"/>
      <c r="K2566" s="183"/>
      <c r="L2566" s="182"/>
      <c r="M2566" s="182"/>
      <c r="N2566" s="182"/>
      <c r="O2566" s="183" t="s">
        <v>95</v>
      </c>
      <c r="P2566" s="183" t="s">
        <v>96</v>
      </c>
      <c r="Q2566" s="183" t="s">
        <v>684</v>
      </c>
      <c r="R2566" s="183">
        <v>7</v>
      </c>
      <c r="S2566" s="183">
        <v>0</v>
      </c>
      <c r="T2566" s="183">
        <v>7</v>
      </c>
      <c r="U2566" s="183" t="s">
        <v>97</v>
      </c>
      <c r="V2566" s="183" t="s">
        <v>7349</v>
      </c>
      <c r="W2566" s="183" t="s">
        <v>20</v>
      </c>
      <c r="X2566" s="183"/>
      <c r="Y2566" s="184">
        <f t="shared" ref="Y2566:Y2568" si="893">IF(ISBLANK(O2566),"",(IF(O2566=UPPER("IB"),0.005,0.01)))</f>
        <v>0.01</v>
      </c>
      <c r="Z2566" s="185">
        <f t="shared" ref="Z2566:Z2568" si="894">IF(ISBLANK(O2566),"",IF(O2566="IB",8.63*200,IF(O2566="IR",16*100,IF(O2566="YT",20*100,IF(O2566="YT-XT",24*200,IF(O2566="TED",80*100,IF(O2566="XT",29*200)))))))</f>
        <v>1600</v>
      </c>
      <c r="AA2566" s="185"/>
      <c r="AB2566" s="185" t="s">
        <v>7911</v>
      </c>
      <c r="AC2566" s="185"/>
      <c r="AD2566" s="649">
        <v>95.69</v>
      </c>
      <c r="AE2566" s="182"/>
      <c r="AF2566" s="332"/>
      <c r="AG2566" s="182"/>
      <c r="AH2566" s="182"/>
      <c r="AI2566" s="182"/>
      <c r="AJ2566" s="640"/>
      <c r="AK2566" s="182"/>
      <c r="AL2566" s="496">
        <f t="shared" si="876"/>
        <v>-32</v>
      </c>
      <c r="AM2566" s="496">
        <f t="shared" si="877"/>
        <v>-224</v>
      </c>
      <c r="AN2566" s="626"/>
      <c r="AO2566" s="182"/>
      <c r="AP2566" s="182"/>
      <c r="AQ2566" s="332" t="s">
        <v>372</v>
      </c>
      <c r="AR2566" s="182" t="s">
        <v>7912</v>
      </c>
      <c r="AS2566" s="189">
        <v>95.68</v>
      </c>
      <c r="AT2566" s="189">
        <f t="shared" si="878"/>
        <v>9.9999999999909051E-3</v>
      </c>
      <c r="AU2566" s="187">
        <f t="shared" si="879"/>
        <v>111.99999999989814</v>
      </c>
      <c r="AV2566" s="190">
        <f t="shared" si="880"/>
        <v>15.999999999985448</v>
      </c>
      <c r="AW2566" s="191" t="s">
        <v>96</v>
      </c>
      <c r="AX2566" s="551" t="s">
        <v>7913</v>
      </c>
      <c r="AY2566" s="551"/>
      <c r="AZ2566" s="551"/>
      <c r="BA2566" s="551"/>
      <c r="BB2566" s="551"/>
      <c r="BC2566" s="551"/>
      <c r="BD2566" s="549"/>
      <c r="BE2566" s="550"/>
      <c r="BF2566" s="549"/>
      <c r="BG2566" s="391">
        <f>SUM($AV$2420:AV2566)</f>
        <v>-422.06520146514509</v>
      </c>
      <c r="BH2566" s="392">
        <f>SUM($AU$2420:AU2566)</f>
        <v>-1383.7999999999493</v>
      </c>
      <c r="BI2566" s="318">
        <f>SUMIFS($AU$2420:AU2719,$Q$2420:Q2719,"F")</f>
        <v>-143.99999999999949</v>
      </c>
      <c r="BJ2566" s="318">
        <f>SUMIFS($AU$2420:AU2719,$Q$2420:Q2719,"S")</f>
        <v>256.00000000000466</v>
      </c>
      <c r="BK2566" s="343">
        <f>SUMIFS($AU$2420:AU2719,$P$2420:P2719,"W")</f>
        <v>-607.99999999991883</v>
      </c>
      <c r="BL2566" s="343">
        <f>SUMIFS($AU$2420:AU2719,$P$2420:P2719,"R")</f>
        <v>911.99999999999966</v>
      </c>
      <c r="BM2566" s="343">
        <f>SUMIFS($AU$2420:AU2719,$AQ$2420:AQ2719,"M")</f>
        <v>-899.79999999984489</v>
      </c>
      <c r="BN2566" s="343">
        <f>SUMIFS($AU$2420:AU2719,$AQ$2420:AQ2719,"H")</f>
        <v>1762.9999999999427</v>
      </c>
      <c r="BO2566" s="343">
        <f>SUMIFS($AU$2420:AU2719,$AQ$2420:AQ2719,"D")</f>
        <v>-767.99999999998977</v>
      </c>
      <c r="BP2566" s="343">
        <f>SUMIFS($AS$2420:AS2807,$AO$2420:AO2807,"W")</f>
        <v>0</v>
      </c>
      <c r="BQ2566" s="343">
        <f>SUMIFS($AU$2420:AU2719,$Q$2420:Q2719,"O")</f>
        <v>-884.7999999998965</v>
      </c>
      <c r="BR2566" s="343">
        <f>SUMIFS($AU$2420:AU2719,$AA$2420:AA2719,"*")</f>
        <v>-512.79999999998074</v>
      </c>
      <c r="BS2566" s="343">
        <f>SUMIFS($AU$2420:AU2719,$AB$2420:AB2719,"*")</f>
        <v>-451.99999999997726</v>
      </c>
      <c r="BT2566" s="343">
        <f>SUMIFS($AU$2420:AU2719,$AC$2420:AC2719,"*")</f>
        <v>-143.99999999999909</v>
      </c>
      <c r="BU2566" s="343">
        <f>SUMIFS($AU$2420:AU2719,$AA$2420:AA2719,"*",$AB$2420:AB2719,"*")</f>
        <v>95.999999999933891</v>
      </c>
      <c r="BV2566" s="343">
        <f>SUMIFS($AU$2420:AU2719,$AA$2420:AA2719,"*",$AC$2420:AC2719,"*")</f>
        <v>-591.99999999999977</v>
      </c>
      <c r="BW2566" s="343">
        <f>SUMIFS($AU$2420:AU2719,$AB$2420:AB2719,"*",$AC$2420:AC2719,"*")</f>
        <v>-143.99999999999966</v>
      </c>
      <c r="BX2566" s="343">
        <f>SUMIFS($AV$2420:AV2719,$Q$2420:Q2719,"F")</f>
        <v>18.153846153846242</v>
      </c>
      <c r="BY2566" s="343">
        <f>SUMIFS($AV$2420:AV2719,$Q$2420:Q2719,"S")</f>
        <v>64.044720496894826</v>
      </c>
      <c r="BZ2566" s="343">
        <f>SUMIFS($AV$2420:AV2719,$Q$2420:Q2719,"O")</f>
        <v>-458.13333333332537</v>
      </c>
    </row>
    <row r="2567" spans="1:78" ht="15.75" customHeight="1">
      <c r="A2567" s="663" t="s">
        <v>7813</v>
      </c>
      <c r="B2567" s="200">
        <v>45580</v>
      </c>
      <c r="C2567" s="178" t="s">
        <v>7303</v>
      </c>
      <c r="D2567" s="178" t="s">
        <v>146</v>
      </c>
      <c r="E2567" s="227"/>
      <c r="F2567" s="180"/>
      <c r="G2567" s="481" t="s">
        <v>7914</v>
      </c>
      <c r="H2567" s="182"/>
      <c r="I2567" s="182"/>
      <c r="J2567" s="182"/>
      <c r="K2567" s="183"/>
      <c r="L2567" s="182"/>
      <c r="M2567" s="182"/>
      <c r="N2567" s="182"/>
      <c r="O2567" s="183" t="s">
        <v>95</v>
      </c>
      <c r="P2567" s="183" t="s">
        <v>96</v>
      </c>
      <c r="Q2567" s="183" t="s">
        <v>97</v>
      </c>
      <c r="R2567" s="183">
        <v>9</v>
      </c>
      <c r="S2567" s="183">
        <v>0</v>
      </c>
      <c r="T2567" s="183">
        <v>9</v>
      </c>
      <c r="U2567" s="183" t="s">
        <v>22</v>
      </c>
      <c r="V2567" s="183" t="s">
        <v>7349</v>
      </c>
      <c r="W2567" s="183" t="s">
        <v>22</v>
      </c>
      <c r="X2567" s="183" t="s">
        <v>7497</v>
      </c>
      <c r="Y2567" s="184">
        <f t="shared" si="893"/>
        <v>0.01</v>
      </c>
      <c r="Z2567" s="185">
        <f t="shared" si="894"/>
        <v>1600</v>
      </c>
      <c r="AA2567" s="185" t="s">
        <v>6373</v>
      </c>
      <c r="AB2567" s="185"/>
      <c r="AC2567" s="185"/>
      <c r="AD2567" s="649">
        <v>-0.16</v>
      </c>
      <c r="AE2567" s="182"/>
      <c r="AF2567" s="332"/>
      <c r="AG2567" s="182"/>
      <c r="AH2567" s="182"/>
      <c r="AI2567" s="182"/>
      <c r="AJ2567" s="640"/>
      <c r="AK2567" s="182"/>
      <c r="AL2567" s="496">
        <f t="shared" si="876"/>
        <v>-32</v>
      </c>
      <c r="AM2567" s="496">
        <f t="shared" si="877"/>
        <v>-288</v>
      </c>
      <c r="AN2567" s="626"/>
      <c r="AO2567" s="182"/>
      <c r="AP2567" s="182"/>
      <c r="AQ2567" s="332" t="s">
        <v>372</v>
      </c>
      <c r="AR2567" s="182" t="s">
        <v>2246</v>
      </c>
      <c r="AS2567" s="189">
        <v>-0.15</v>
      </c>
      <c r="AT2567" s="189">
        <f t="shared" si="878"/>
        <v>1.0000000000000009E-2</v>
      </c>
      <c r="AU2567" s="187">
        <f t="shared" si="879"/>
        <v>144.00000000000011</v>
      </c>
      <c r="AV2567" s="190">
        <f t="shared" si="880"/>
        <v>16.000000000000014</v>
      </c>
      <c r="AW2567" s="191" t="s">
        <v>96</v>
      </c>
      <c r="AX2567" s="551"/>
      <c r="AY2567" s="551"/>
      <c r="AZ2567" s="551"/>
      <c r="BA2567" s="551"/>
      <c r="BB2567" s="551"/>
      <c r="BC2567" s="551"/>
      <c r="BD2567" s="549"/>
      <c r="BE2567" s="550"/>
      <c r="BF2567" s="549"/>
      <c r="BG2567" s="391">
        <f>SUM($AV$2420:AV2567)</f>
        <v>-406.06520146514509</v>
      </c>
      <c r="BH2567" s="392">
        <f>SUM($AU$2420:AU2567)</f>
        <v>-1239.7999999999493</v>
      </c>
      <c r="BI2567" s="318">
        <f>SUMIFS($AU$2420:AU2720,$Q$2420:Q2720,"F")</f>
        <v>-143.99999999999949</v>
      </c>
      <c r="BJ2567" s="318">
        <f>SUMIFS($AU$2420:AU2720,$Q$2420:Q2720,"S")</f>
        <v>256.00000000000466</v>
      </c>
      <c r="BK2567" s="343">
        <f>SUMIFS($AU$2420:AU2720,$P$2420:P2720,"W")</f>
        <v>-607.99999999991883</v>
      </c>
      <c r="BL2567" s="343">
        <f>SUMIFS($AU$2420:AU2720,$P$2420:P2720,"R")</f>
        <v>911.99999999999966</v>
      </c>
      <c r="BM2567" s="343">
        <f>SUMIFS($AU$2420:AU2720,$AQ$2420:AQ2720,"M")</f>
        <v>-899.79999999984489</v>
      </c>
      <c r="BN2567" s="343">
        <f>SUMIFS($AU$2420:AU2720,$AQ$2420:AQ2720,"H")</f>
        <v>1762.9999999999427</v>
      </c>
      <c r="BO2567" s="343">
        <f>SUMIFS($AU$2420:AU2720,$AQ$2420:AQ2720,"D")</f>
        <v>-767.99999999998977</v>
      </c>
      <c r="BP2567" s="343">
        <f>SUMIFS($AS$2420:AS2808,$AO$2420:AO2808,"W")</f>
        <v>0</v>
      </c>
      <c r="BQ2567" s="343">
        <f>SUMIFS($AU$2420:AU2720,$Q$2420:Q2720,"O")</f>
        <v>-884.7999999998965</v>
      </c>
      <c r="BR2567" s="343">
        <f>SUMIFS($AU$2420:AU2720,$AA$2420:AA2720,"*")</f>
        <v>-512.79999999998074</v>
      </c>
      <c r="BS2567" s="343">
        <f>SUMIFS($AU$2420:AU2720,$AB$2420:AB2720,"*")</f>
        <v>-451.99999999997726</v>
      </c>
      <c r="BT2567" s="343">
        <f>SUMIFS($AU$2420:AU2720,$AC$2420:AC2720,"*")</f>
        <v>-143.99999999999909</v>
      </c>
      <c r="BU2567" s="343">
        <f>SUMIFS($AU$2420:AU2720,$AA$2420:AA2720,"*",$AB$2420:AB2720,"*")</f>
        <v>95.999999999933891</v>
      </c>
      <c r="BV2567" s="343">
        <f>SUMIFS($AU$2420:AU2720,$AA$2420:AA2720,"*",$AC$2420:AC2720,"*")</f>
        <v>-591.99999999999977</v>
      </c>
      <c r="BW2567" s="343">
        <f>SUMIFS($AU$2420:AU2720,$AB$2420:AB2720,"*",$AC$2420:AC2720,"*")</f>
        <v>-143.99999999999966</v>
      </c>
      <c r="BX2567" s="343">
        <f>SUMIFS($AV$2420:AV2720,$Q$2420:Q2720,"F")</f>
        <v>18.153846153846242</v>
      </c>
      <c r="BY2567" s="343">
        <f>SUMIFS($AV$2420:AV2720,$Q$2420:Q2720,"S")</f>
        <v>64.044720496894826</v>
      </c>
      <c r="BZ2567" s="343">
        <f>SUMIFS($AV$2420:AV2720,$Q$2420:Q2720,"O")</f>
        <v>-458.13333333332537</v>
      </c>
    </row>
    <row r="2568" spans="1:78" ht="15.75" customHeight="1">
      <c r="A2568" s="663" t="s">
        <v>7813</v>
      </c>
      <c r="B2568" s="200">
        <v>45581</v>
      </c>
      <c r="C2568" s="178" t="s">
        <v>7308</v>
      </c>
      <c r="D2568" s="178" t="s">
        <v>151</v>
      </c>
      <c r="E2568" s="227"/>
      <c r="F2568" s="180"/>
      <c r="G2568" s="481" t="s">
        <v>1694</v>
      </c>
      <c r="H2568" s="182"/>
      <c r="I2568" s="182"/>
      <c r="J2568" s="182"/>
      <c r="K2568" s="183"/>
      <c r="L2568" s="182"/>
      <c r="M2568" s="182"/>
      <c r="N2568" s="182"/>
      <c r="O2568" s="183" t="s">
        <v>95</v>
      </c>
      <c r="P2568" s="183" t="s">
        <v>96</v>
      </c>
      <c r="Q2568" s="183" t="s">
        <v>684</v>
      </c>
      <c r="R2568" s="183">
        <v>14</v>
      </c>
      <c r="S2568" s="183">
        <v>0</v>
      </c>
      <c r="T2568" s="183">
        <v>7</v>
      </c>
      <c r="U2568" s="183" t="s">
        <v>97</v>
      </c>
      <c r="V2568" s="183" t="s">
        <v>7349</v>
      </c>
      <c r="W2568" s="183" t="s">
        <v>20</v>
      </c>
      <c r="X2568" s="183"/>
      <c r="Y2568" s="184">
        <f t="shared" si="893"/>
        <v>0.01</v>
      </c>
      <c r="Z2568" s="185">
        <f t="shared" si="894"/>
        <v>1600</v>
      </c>
      <c r="AA2568" s="185" t="s">
        <v>4954</v>
      </c>
      <c r="AB2568" s="185" t="s">
        <v>7911</v>
      </c>
      <c r="AC2568" s="185"/>
      <c r="AD2568" s="649">
        <v>95.71</v>
      </c>
      <c r="AE2568" s="182"/>
      <c r="AF2568" s="332"/>
      <c r="AG2568" s="182"/>
      <c r="AH2568" s="182"/>
      <c r="AI2568" s="182"/>
      <c r="AJ2568" s="640"/>
      <c r="AK2568" s="182"/>
      <c r="AL2568" s="496">
        <f t="shared" si="876"/>
        <v>-32</v>
      </c>
      <c r="AM2568" s="496">
        <f t="shared" si="877"/>
        <v>-448</v>
      </c>
      <c r="AN2568" s="626"/>
      <c r="AO2568" s="182"/>
      <c r="AP2568" s="182"/>
      <c r="AQ2568" s="332" t="s">
        <v>372</v>
      </c>
      <c r="AR2568" s="182"/>
      <c r="AS2568" s="189">
        <v>95.71</v>
      </c>
      <c r="AT2568" s="189">
        <f t="shared" si="878"/>
        <v>0</v>
      </c>
      <c r="AU2568" s="187">
        <f t="shared" si="879"/>
        <v>0</v>
      </c>
      <c r="AV2568" s="190">
        <f t="shared" si="880"/>
        <v>0</v>
      </c>
      <c r="AW2568" s="191" t="s">
        <v>115</v>
      </c>
      <c r="AX2568" s="551"/>
      <c r="AY2568" s="551"/>
      <c r="AZ2568" s="551"/>
      <c r="BA2568" s="551"/>
      <c r="BB2568" s="551"/>
      <c r="BC2568" s="551"/>
      <c r="BD2568" s="549"/>
      <c r="BE2568" s="550"/>
      <c r="BF2568" s="549"/>
      <c r="BG2568" s="391">
        <f>SUM($AV$2420:AV2568)</f>
        <v>-406.06520146514509</v>
      </c>
      <c r="BH2568" s="392">
        <f>SUM($AU$2420:AU2568)</f>
        <v>-1239.7999999999493</v>
      </c>
      <c r="BI2568" s="318">
        <f>SUMIFS($AU$2420:AU2721,$Q$2420:Q2721,"F")</f>
        <v>-143.99999999999949</v>
      </c>
      <c r="BJ2568" s="318">
        <f>SUMIFS($AU$2420:AU2721,$Q$2420:Q2721,"S")</f>
        <v>256.00000000000466</v>
      </c>
      <c r="BK2568" s="343">
        <f>SUMIFS($AU$2420:AU2721,$P$2420:P2721,"W")</f>
        <v>-607.99999999991883</v>
      </c>
      <c r="BL2568" s="343">
        <f>SUMIFS($AU$2420:AU2721,$P$2420:P2721,"R")</f>
        <v>911.99999999999966</v>
      </c>
      <c r="BM2568" s="343">
        <f>SUMIFS($AU$2420:AU2721,$AQ$2420:AQ2721,"M")</f>
        <v>-899.79999999984489</v>
      </c>
      <c r="BN2568" s="343">
        <f>SUMIFS($AU$2420:AU2721,$AQ$2420:AQ2721,"H")</f>
        <v>1762.9999999999427</v>
      </c>
      <c r="BO2568" s="343">
        <f>SUMIFS($AU$2420:AU2721,$AQ$2420:AQ2721,"D")</f>
        <v>-767.99999999998977</v>
      </c>
      <c r="BP2568" s="343">
        <f>SUMIFS($AS$2420:AS2809,$AO$2420:AO2809,"W")</f>
        <v>0</v>
      </c>
      <c r="BQ2568" s="343">
        <f>SUMIFS($AU$2420:AU2721,$Q$2420:Q2721,"O")</f>
        <v>-884.7999999998965</v>
      </c>
      <c r="BR2568" s="343">
        <f>SUMIFS($AU$2420:AU2721,$AA$2420:AA2721,"*")</f>
        <v>-512.79999999998074</v>
      </c>
      <c r="BS2568" s="343">
        <f>SUMIFS($AU$2420:AU2721,$AB$2420:AB2721,"*")</f>
        <v>-451.99999999997726</v>
      </c>
      <c r="BT2568" s="343">
        <f>SUMIFS($AU$2420:AU2721,$AC$2420:AC2721,"*")</f>
        <v>-143.99999999999909</v>
      </c>
      <c r="BU2568" s="343">
        <f>SUMIFS($AU$2420:AU2721,$AA$2420:AA2721,"*",$AB$2420:AB2721,"*")</f>
        <v>95.999999999933891</v>
      </c>
      <c r="BV2568" s="343">
        <f>SUMIFS($AU$2420:AU2721,$AA$2420:AA2721,"*",$AC$2420:AC2721,"*")</f>
        <v>-591.99999999999977</v>
      </c>
      <c r="BW2568" s="343">
        <f>SUMIFS($AU$2420:AU2721,$AB$2420:AB2721,"*",$AC$2420:AC2721,"*")</f>
        <v>-143.99999999999966</v>
      </c>
      <c r="BX2568" s="343">
        <f>SUMIFS($AV$2420:AV2721,$Q$2420:Q2721,"F")</f>
        <v>18.153846153846242</v>
      </c>
      <c r="BY2568" s="343">
        <f>SUMIFS($AV$2420:AV2721,$Q$2420:Q2721,"S")</f>
        <v>64.044720496894826</v>
      </c>
      <c r="BZ2568" s="343">
        <f>SUMIFS($AV$2420:AV2721,$Q$2420:Q2721,"O")</f>
        <v>-458.13333333332537</v>
      </c>
    </row>
    <row r="2569" spans="1:78" ht="15.75" customHeight="1">
      <c r="A2569" s="663" t="s">
        <v>7813</v>
      </c>
      <c r="B2569" s="200">
        <v>45582</v>
      </c>
      <c r="C2569" s="178" t="s">
        <v>7303</v>
      </c>
      <c r="D2569" s="178" t="s">
        <v>93</v>
      </c>
      <c r="E2569" s="227" t="s">
        <v>7915</v>
      </c>
      <c r="F2569" s="180" t="s">
        <v>7916</v>
      </c>
      <c r="G2569" s="181"/>
      <c r="H2569" s="182">
        <v>1</v>
      </c>
      <c r="I2569" s="182"/>
      <c r="J2569" s="182"/>
      <c r="K2569" s="183" t="s">
        <v>372</v>
      </c>
      <c r="L2569" s="182"/>
      <c r="M2569" s="182"/>
      <c r="N2569" s="182"/>
      <c r="O2569" s="183"/>
      <c r="P2569" s="183"/>
      <c r="Q2569" s="183"/>
      <c r="R2569" s="183"/>
      <c r="S2569" s="183"/>
      <c r="T2569" s="183"/>
      <c r="U2569" s="183"/>
      <c r="V2569" s="183"/>
      <c r="W2569" s="183"/>
      <c r="X2569" s="183"/>
      <c r="Y2569" s="184"/>
      <c r="Z2569" s="185"/>
      <c r="AA2569" s="185"/>
      <c r="AB2569" s="185"/>
      <c r="AC2569" s="185"/>
      <c r="AD2569" s="649"/>
      <c r="AE2569" s="182"/>
      <c r="AF2569" s="332"/>
      <c r="AG2569" s="182"/>
      <c r="AH2569" s="182"/>
      <c r="AI2569" s="182"/>
      <c r="AJ2569" s="640"/>
      <c r="AK2569" s="182"/>
      <c r="AL2569" s="496">
        <f t="shared" si="876"/>
        <v>0</v>
      </c>
      <c r="AM2569" s="496">
        <f t="shared" si="877"/>
        <v>0</v>
      </c>
      <c r="AN2569" s="626"/>
      <c r="AO2569" s="182"/>
      <c r="AP2569" s="182"/>
      <c r="AQ2569" s="332" t="str">
        <f>UPPER(RIGHT(Journal_Live[[#This Row],[DURATION ]]))</f>
        <v/>
      </c>
      <c r="AR2569" s="182"/>
      <c r="AS2569" s="189"/>
      <c r="AT2569" s="189">
        <f t="shared" si="878"/>
        <v>0</v>
      </c>
      <c r="AU2569" s="187">
        <f t="shared" si="879"/>
        <v>0</v>
      </c>
      <c r="AV2569" s="190">
        <f t="shared" si="880"/>
        <v>0</v>
      </c>
      <c r="AW2569" s="191"/>
      <c r="AX2569" s="551"/>
      <c r="AY2569" s="551"/>
      <c r="AZ2569" s="551"/>
      <c r="BA2569" s="551"/>
      <c r="BB2569" s="551"/>
      <c r="BC2569" s="551"/>
      <c r="BD2569" s="549"/>
      <c r="BE2569" s="550"/>
      <c r="BF2569" s="549"/>
      <c r="BG2569" s="391">
        <f>SUM($AV$2420:AV2569)</f>
        <v>-406.06520146514509</v>
      </c>
      <c r="BH2569" s="392">
        <f>SUM($AU$2420:AU2569)</f>
        <v>-1239.7999999999493</v>
      </c>
      <c r="BI2569" s="318">
        <f>SUMIFS($AU$2420:AU2722,$Q$2420:Q2722,"F")</f>
        <v>-143.99999999999949</v>
      </c>
      <c r="BJ2569" s="318">
        <f>SUMIFS($AU$2420:AU2722,$Q$2420:Q2722,"S")</f>
        <v>256.00000000000466</v>
      </c>
      <c r="BK2569" s="343">
        <f>SUMIFS($AU$2420:AU2722,$P$2420:P2722,"W")</f>
        <v>-607.99999999991883</v>
      </c>
      <c r="BL2569" s="343">
        <f>SUMIFS($AU$2420:AU2722,$P$2420:P2722,"R")</f>
        <v>911.99999999999966</v>
      </c>
      <c r="BM2569" s="343">
        <f>SUMIFS($AU$2420:AU2722,$AQ$2420:AQ2722,"M")</f>
        <v>-899.79999999984489</v>
      </c>
      <c r="BN2569" s="343">
        <f>SUMIFS($AU$2420:AU2722,$AQ$2420:AQ2722,"H")</f>
        <v>1762.9999999999427</v>
      </c>
      <c r="BO2569" s="343">
        <f>SUMIFS($AU$2420:AU2722,$AQ$2420:AQ2722,"D")</f>
        <v>-767.99999999998977</v>
      </c>
      <c r="BP2569" s="343">
        <f>SUMIFS($AS$2420:AS2810,$AO$2420:AO2810,"W")</f>
        <v>0</v>
      </c>
      <c r="BQ2569" s="343">
        <f>SUMIFS($AU$2420:AU2722,$Q$2420:Q2722,"O")</f>
        <v>-884.7999999998965</v>
      </c>
      <c r="BR2569" s="343">
        <f>SUMIFS($AU$2420:AU2722,$AA$2420:AA2722,"*")</f>
        <v>-512.79999999998074</v>
      </c>
      <c r="BS2569" s="343">
        <f>SUMIFS($AU$2420:AU2722,$AB$2420:AB2722,"*")</f>
        <v>-451.99999999997726</v>
      </c>
      <c r="BT2569" s="343">
        <f>SUMIFS($AU$2420:AU2722,$AC$2420:AC2722,"*")</f>
        <v>-143.99999999999909</v>
      </c>
      <c r="BU2569" s="343">
        <f>SUMIFS($AU$2420:AU2722,$AA$2420:AA2722,"*",$AB$2420:AB2722,"*")</f>
        <v>95.999999999933891</v>
      </c>
      <c r="BV2569" s="343">
        <f>SUMIFS($AU$2420:AU2722,$AA$2420:AA2722,"*",$AC$2420:AC2722,"*")</f>
        <v>-591.99999999999977</v>
      </c>
      <c r="BW2569" s="343">
        <f>SUMIFS($AU$2420:AU2722,$AB$2420:AB2722,"*",$AC$2420:AC2722,"*")</f>
        <v>-143.99999999999966</v>
      </c>
      <c r="BX2569" s="343">
        <f>SUMIFS($AV$2420:AV2722,$Q$2420:Q2722,"F")</f>
        <v>18.153846153846242</v>
      </c>
      <c r="BY2569" s="343">
        <f>SUMIFS($AV$2420:AV2722,$Q$2420:Q2722,"S")</f>
        <v>64.044720496894826</v>
      </c>
      <c r="BZ2569" s="343">
        <f>SUMIFS($AV$2420:AV2722,$Q$2420:Q2722,"O")</f>
        <v>-458.13333333332537</v>
      </c>
    </row>
    <row r="2570" spans="1:78" ht="15.75" customHeight="1">
      <c r="A2570" s="663" t="s">
        <v>7813</v>
      </c>
      <c r="B2570" s="200"/>
      <c r="C2570" s="178"/>
      <c r="D2570" s="178"/>
      <c r="E2570" s="227" t="s">
        <v>7917</v>
      </c>
      <c r="F2570" s="180"/>
      <c r="G2570" s="181"/>
      <c r="H2570" s="182"/>
      <c r="I2570" s="182"/>
      <c r="J2570" s="182">
        <v>1</v>
      </c>
      <c r="K2570" s="183" t="s">
        <v>372</v>
      </c>
      <c r="L2570" s="182"/>
      <c r="M2570" s="182"/>
      <c r="N2570" s="182"/>
      <c r="O2570" s="183"/>
      <c r="P2570" s="183"/>
      <c r="Q2570" s="183"/>
      <c r="R2570" s="183"/>
      <c r="S2570" s="183"/>
      <c r="T2570" s="183"/>
      <c r="U2570" s="183"/>
      <c r="V2570" s="183"/>
      <c r="W2570" s="183"/>
      <c r="X2570" s="183"/>
      <c r="Y2570" s="184"/>
      <c r="Z2570" s="185"/>
      <c r="AA2570" s="185"/>
      <c r="AB2570" s="185"/>
      <c r="AC2570" s="185"/>
      <c r="AD2570" s="649"/>
      <c r="AE2570" s="182"/>
      <c r="AF2570" s="332"/>
      <c r="AG2570" s="182"/>
      <c r="AH2570" s="182"/>
      <c r="AI2570" s="182"/>
      <c r="AJ2570" s="640"/>
      <c r="AK2570" s="182"/>
      <c r="AL2570" s="496">
        <f t="shared" si="876"/>
        <v>0</v>
      </c>
      <c r="AM2570" s="496">
        <f t="shared" si="877"/>
        <v>0</v>
      </c>
      <c r="AN2570" s="626"/>
      <c r="AO2570" s="182"/>
      <c r="AP2570" s="182"/>
      <c r="AQ2570" s="332" t="str">
        <f>UPPER(RIGHT(Journal_Live[[#This Row],[DURATION ]]))</f>
        <v/>
      </c>
      <c r="AR2570" s="182"/>
      <c r="AS2570" s="189"/>
      <c r="AT2570" s="189">
        <f t="shared" si="878"/>
        <v>0</v>
      </c>
      <c r="AU2570" s="187">
        <f t="shared" si="879"/>
        <v>0</v>
      </c>
      <c r="AV2570" s="190">
        <f t="shared" si="880"/>
        <v>0</v>
      </c>
      <c r="AW2570" s="191"/>
      <c r="AX2570" s="551"/>
      <c r="AY2570" s="551"/>
      <c r="AZ2570" s="551"/>
      <c r="BA2570" s="551"/>
      <c r="BB2570" s="551"/>
      <c r="BC2570" s="551"/>
      <c r="BD2570" s="549"/>
      <c r="BE2570" s="550"/>
      <c r="BF2570" s="549"/>
      <c r="BG2570" s="391">
        <f>SUM($AV$2420:AV2570)</f>
        <v>-406.06520146514509</v>
      </c>
      <c r="BH2570" s="392">
        <f>SUM($AU$2420:AU2570)</f>
        <v>-1239.7999999999493</v>
      </c>
      <c r="BI2570" s="318">
        <f>SUMIFS($AU$2420:AU2723,$Q$2420:Q2723,"F")</f>
        <v>-143.99999999999949</v>
      </c>
      <c r="BJ2570" s="318">
        <f>SUMIFS($AU$2420:AU2723,$Q$2420:Q2723,"S")</f>
        <v>256.00000000000466</v>
      </c>
      <c r="BK2570" s="343">
        <f>SUMIFS($AU$2420:AU2723,$P$2420:P2723,"W")</f>
        <v>-607.99999999991883</v>
      </c>
      <c r="BL2570" s="343">
        <f>SUMIFS($AU$2420:AU2723,$P$2420:P2723,"R")</f>
        <v>911.99999999999966</v>
      </c>
      <c r="BM2570" s="343">
        <f>SUMIFS($AU$2420:AU2723,$AQ$2420:AQ2723,"M")</f>
        <v>-899.79999999984489</v>
      </c>
      <c r="BN2570" s="343">
        <f>SUMIFS($AU$2420:AU2723,$AQ$2420:AQ2723,"H")</f>
        <v>1762.9999999999427</v>
      </c>
      <c r="BO2570" s="343">
        <f>SUMIFS($AU$2420:AU2723,$AQ$2420:AQ2723,"D")</f>
        <v>-767.99999999998977</v>
      </c>
      <c r="BP2570" s="343">
        <f>SUMIFS($AS$2420:AS2811,$AO$2420:AO2811,"W")</f>
        <v>0</v>
      </c>
      <c r="BQ2570" s="343">
        <f>SUMIFS($AU$2420:AU2723,$Q$2420:Q2723,"O")</f>
        <v>-884.7999999998965</v>
      </c>
      <c r="BR2570" s="343">
        <f>SUMIFS($AU$2420:AU2723,$AA$2420:AA2723,"*")</f>
        <v>-512.79999999998074</v>
      </c>
      <c r="BS2570" s="343">
        <f>SUMIFS($AU$2420:AU2723,$AB$2420:AB2723,"*")</f>
        <v>-451.99999999997726</v>
      </c>
      <c r="BT2570" s="343">
        <f>SUMIFS($AU$2420:AU2723,$AC$2420:AC2723,"*")</f>
        <v>-143.99999999999909</v>
      </c>
      <c r="BU2570" s="343">
        <f>SUMIFS($AU$2420:AU2723,$AA$2420:AA2723,"*",$AB$2420:AB2723,"*")</f>
        <v>95.999999999933891</v>
      </c>
      <c r="BV2570" s="343">
        <f>SUMIFS($AU$2420:AU2723,$AA$2420:AA2723,"*",$AC$2420:AC2723,"*")</f>
        <v>-591.99999999999977</v>
      </c>
      <c r="BW2570" s="343">
        <f>SUMIFS($AU$2420:AU2723,$AB$2420:AB2723,"*",$AC$2420:AC2723,"*")</f>
        <v>-143.99999999999966</v>
      </c>
      <c r="BX2570" s="343">
        <f>SUMIFS($AV$2420:AV2723,$Q$2420:Q2723,"F")</f>
        <v>18.153846153846242</v>
      </c>
      <c r="BY2570" s="343">
        <f>SUMIFS($AV$2420:AV2723,$Q$2420:Q2723,"S")</f>
        <v>64.044720496894826</v>
      </c>
      <c r="BZ2570" s="343">
        <f>SUMIFS($AV$2420:AV2723,$Q$2420:Q2723,"O")</f>
        <v>-458.13333333332537</v>
      </c>
    </row>
    <row r="2571" spans="1:78" ht="15.75" customHeight="1">
      <c r="A2571" s="663" t="s">
        <v>7813</v>
      </c>
      <c r="B2571" s="200">
        <v>45582</v>
      </c>
      <c r="C2571" s="178" t="s">
        <v>682</v>
      </c>
      <c r="D2571" s="178" t="s">
        <v>93</v>
      </c>
      <c r="E2571" s="227"/>
      <c r="F2571" s="180"/>
      <c r="G2571" s="481" t="s">
        <v>3962</v>
      </c>
      <c r="H2571" s="182"/>
      <c r="I2571" s="182"/>
      <c r="J2571" s="182"/>
      <c r="K2571" s="183"/>
      <c r="L2571" s="182"/>
      <c r="M2571" s="182"/>
      <c r="N2571" s="182"/>
      <c r="O2571" s="183" t="s">
        <v>95</v>
      </c>
      <c r="P2571" s="183" t="s">
        <v>96</v>
      </c>
      <c r="Q2571" s="183" t="s">
        <v>256</v>
      </c>
      <c r="R2571" s="183">
        <v>16</v>
      </c>
      <c r="S2571" s="183">
        <v>0</v>
      </c>
      <c r="T2571" s="183">
        <v>16</v>
      </c>
      <c r="U2571" s="183" t="s">
        <v>97</v>
      </c>
      <c r="V2571" s="183" t="s">
        <v>7357</v>
      </c>
      <c r="W2571" s="183" t="s">
        <v>22</v>
      </c>
      <c r="X2571" s="183" t="s">
        <v>7587</v>
      </c>
      <c r="Y2571" s="184">
        <f t="shared" ref="Y2571:Y2583" si="895">IF(ISBLANK(O2571),"",(IF(O2571=UPPER("IB"),0.005,0.01)))</f>
        <v>0.01</v>
      </c>
      <c r="Z2571" s="185">
        <f t="shared" ref="Z2571:Z2583" si="896">IF(ISBLANK(O2571),"",IF(O2571="IB",8.63*200,IF(O2571="IR",16*100,IF(O2571="YT",20*100,IF(O2571="YT-XT",24*200,IF(O2571="TED",80*100,IF(O2571="XT",29*200)))))))</f>
        <v>1600</v>
      </c>
      <c r="AA2571" s="185" t="s">
        <v>4954</v>
      </c>
      <c r="AB2571" s="185"/>
      <c r="AC2571" s="185" t="s">
        <v>5818</v>
      </c>
      <c r="AD2571" s="649">
        <v>-0.04</v>
      </c>
      <c r="AE2571" s="182"/>
      <c r="AF2571" s="332"/>
      <c r="AG2571" s="182"/>
      <c r="AH2571" s="182"/>
      <c r="AI2571" s="182"/>
      <c r="AJ2571" s="640"/>
      <c r="AK2571" s="182"/>
      <c r="AL2571" s="496">
        <f t="shared" si="876"/>
        <v>-32</v>
      </c>
      <c r="AM2571" s="496">
        <f t="shared" si="877"/>
        <v>-512</v>
      </c>
      <c r="AN2571" s="626"/>
      <c r="AO2571" s="182"/>
      <c r="AP2571" s="182" t="s">
        <v>999</v>
      </c>
      <c r="AQ2571" s="332" t="s">
        <v>115</v>
      </c>
      <c r="AR2571" s="182" t="s">
        <v>146</v>
      </c>
      <c r="AS2571" s="189">
        <v>-0.03</v>
      </c>
      <c r="AT2571" s="189">
        <f t="shared" si="878"/>
        <v>-1.0000000000000002E-2</v>
      </c>
      <c r="AU2571" s="187">
        <f t="shared" si="879"/>
        <v>-256.00000000000006</v>
      </c>
      <c r="AV2571" s="190">
        <f t="shared" si="880"/>
        <v>-16.000000000000004</v>
      </c>
      <c r="AW2571" s="191" t="s">
        <v>229</v>
      </c>
      <c r="AX2571" s="551" t="s">
        <v>7918</v>
      </c>
      <c r="AY2571" s="551" t="s">
        <v>7919</v>
      </c>
      <c r="AZ2571" s="551" t="s">
        <v>7920</v>
      </c>
      <c r="BA2571" s="551" t="s">
        <v>7921</v>
      </c>
      <c r="BB2571" s="551"/>
      <c r="BC2571" s="551"/>
      <c r="BD2571" s="549" t="s">
        <v>7918</v>
      </c>
      <c r="BE2571" s="549" t="s">
        <v>7919</v>
      </c>
      <c r="BF2571" s="549"/>
      <c r="BG2571" s="391">
        <f>SUM($AV$2420:AV2571)</f>
        <v>-422.06520146514509</v>
      </c>
      <c r="BH2571" s="392">
        <f>SUM($AU$2420:AU2571)</f>
        <v>-1495.7999999999493</v>
      </c>
      <c r="BI2571" s="318">
        <f>SUMIFS($AU$2420:AU2724,$Q$2420:Q2724,"F")</f>
        <v>-143.99999999999949</v>
      </c>
      <c r="BJ2571" s="318">
        <f>SUMIFS($AU$2420:AU2724,$Q$2420:Q2724,"S")</f>
        <v>256.00000000000466</v>
      </c>
      <c r="BK2571" s="343">
        <f>SUMIFS($AU$2420:AU2724,$P$2420:P2724,"W")</f>
        <v>-607.99999999991883</v>
      </c>
      <c r="BL2571" s="343">
        <f>SUMIFS($AU$2420:AU2724,$P$2420:P2724,"R")</f>
        <v>911.99999999999966</v>
      </c>
      <c r="BM2571" s="343">
        <f>SUMIFS($AU$2420:AU2724,$AQ$2420:AQ2724,"M")</f>
        <v>-899.79999999984489</v>
      </c>
      <c r="BN2571" s="343">
        <f>SUMIFS($AU$2420:AU2724,$AQ$2420:AQ2724,"H")</f>
        <v>1762.9999999999427</v>
      </c>
      <c r="BO2571" s="343">
        <f>SUMIFS($AU$2420:AU2724,$AQ$2420:AQ2724,"D")</f>
        <v>-767.99999999998977</v>
      </c>
      <c r="BP2571" s="343">
        <f>SUMIFS($AS$2420:AS2812,$AO$2420:AO2812,"W")</f>
        <v>0</v>
      </c>
      <c r="BQ2571" s="343">
        <f>SUMIFS($AU$2420:AU2724,$Q$2420:Q2724,"O")</f>
        <v>-884.7999999998965</v>
      </c>
      <c r="BR2571" s="343">
        <f>SUMIFS($AU$2420:AU2724,$AA$2420:AA2724,"*")</f>
        <v>-512.79999999998074</v>
      </c>
      <c r="BS2571" s="343">
        <f>SUMIFS($AU$2420:AU2724,$AB$2420:AB2724,"*")</f>
        <v>-451.99999999997726</v>
      </c>
      <c r="BT2571" s="343">
        <f>SUMIFS($AU$2420:AU2724,$AC$2420:AC2724,"*")</f>
        <v>-143.99999999999909</v>
      </c>
      <c r="BU2571" s="343">
        <f>SUMIFS($AU$2420:AU2724,$AA$2420:AA2724,"*",$AB$2420:AB2724,"*")</f>
        <v>95.999999999933891</v>
      </c>
      <c r="BV2571" s="343">
        <f>SUMIFS($AU$2420:AU2724,$AA$2420:AA2724,"*",$AC$2420:AC2724,"*")</f>
        <v>-591.99999999999977</v>
      </c>
      <c r="BW2571" s="343">
        <f>SUMIFS($AU$2420:AU2724,$AB$2420:AB2724,"*",$AC$2420:AC2724,"*")</f>
        <v>-143.99999999999966</v>
      </c>
      <c r="BX2571" s="343">
        <f>SUMIFS($AV$2420:AV2724,$Q$2420:Q2724,"F")</f>
        <v>18.153846153846242</v>
      </c>
      <c r="BY2571" s="343">
        <f>SUMIFS($AV$2420:AV2724,$Q$2420:Q2724,"S")</f>
        <v>64.044720496894826</v>
      </c>
      <c r="BZ2571" s="343">
        <f>SUMIFS($AV$2420:AV2724,$Q$2420:Q2724,"O")</f>
        <v>-458.13333333332537</v>
      </c>
    </row>
    <row r="2572" spans="1:78" ht="15.75" customHeight="1">
      <c r="A2572" s="663" t="s">
        <v>7813</v>
      </c>
      <c r="B2572" s="200">
        <v>45582</v>
      </c>
      <c r="C2572" s="178" t="s">
        <v>682</v>
      </c>
      <c r="D2572" s="178" t="s">
        <v>93</v>
      </c>
      <c r="E2572" s="227"/>
      <c r="F2572" s="180"/>
      <c r="G2572" s="481" t="s">
        <v>3334</v>
      </c>
      <c r="H2572" s="182"/>
      <c r="I2572" s="182"/>
      <c r="J2572" s="182"/>
      <c r="K2572" s="183"/>
      <c r="L2572" s="182"/>
      <c r="M2572" s="182"/>
      <c r="N2572" s="182"/>
      <c r="O2572" s="183" t="s">
        <v>95</v>
      </c>
      <c r="P2572" s="183" t="s">
        <v>96</v>
      </c>
      <c r="Q2572" s="183" t="s">
        <v>97</v>
      </c>
      <c r="R2572" s="183">
        <v>16</v>
      </c>
      <c r="S2572" s="183">
        <v>0</v>
      </c>
      <c r="T2572" s="183">
        <v>16</v>
      </c>
      <c r="U2572" s="183" t="s">
        <v>97</v>
      </c>
      <c r="V2572" s="183" t="s">
        <v>7349</v>
      </c>
      <c r="W2572" s="183" t="s">
        <v>20</v>
      </c>
      <c r="X2572" s="183" t="s">
        <v>7488</v>
      </c>
      <c r="Y2572" s="184">
        <f t="shared" si="895"/>
        <v>0.01</v>
      </c>
      <c r="Z2572" s="185">
        <f t="shared" si="896"/>
        <v>1600</v>
      </c>
      <c r="AA2572" s="185" t="s">
        <v>7922</v>
      </c>
      <c r="AB2572" s="185" t="s">
        <v>7923</v>
      </c>
      <c r="AC2572" s="185"/>
      <c r="AD2572" s="649">
        <v>-0.15</v>
      </c>
      <c r="AE2572" s="182"/>
      <c r="AF2572" s="332"/>
      <c r="AG2572" s="182"/>
      <c r="AH2572" s="182"/>
      <c r="AI2572" s="182"/>
      <c r="AJ2572" s="640"/>
      <c r="AK2572" s="182"/>
      <c r="AL2572" s="496">
        <f t="shared" si="876"/>
        <v>-32</v>
      </c>
      <c r="AM2572" s="496">
        <f t="shared" si="877"/>
        <v>-512</v>
      </c>
      <c r="AN2572" s="626"/>
      <c r="AO2572" s="182"/>
      <c r="AP2572" s="182"/>
      <c r="AQ2572" s="332" t="s">
        <v>372</v>
      </c>
      <c r="AR2572" s="182"/>
      <c r="AS2572" s="189">
        <v>-0.16</v>
      </c>
      <c r="AT2572" s="189">
        <f t="shared" si="878"/>
        <v>1.0000000000000009E-2</v>
      </c>
      <c r="AU2572" s="187">
        <f t="shared" si="879"/>
        <v>256.00000000000023</v>
      </c>
      <c r="AV2572" s="190">
        <f t="shared" si="880"/>
        <v>16.000000000000014</v>
      </c>
      <c r="AW2572" s="191" t="s">
        <v>96</v>
      </c>
      <c r="AX2572" s="551"/>
      <c r="AY2572" s="551"/>
      <c r="AZ2572" s="551"/>
      <c r="BA2572" s="551"/>
      <c r="BB2572" s="551"/>
      <c r="BC2572" s="551"/>
      <c r="BD2572" s="549"/>
      <c r="BE2572" s="550"/>
      <c r="BF2572" s="549"/>
      <c r="BG2572" s="391">
        <f>SUM($AV$2420:AV2572)</f>
        <v>-406.06520146514509</v>
      </c>
      <c r="BH2572" s="392">
        <f>SUM($AU$2420:AU2572)</f>
        <v>-1239.799999999949</v>
      </c>
      <c r="BI2572" s="318">
        <f>SUMIFS($AU$2420:AU2725,$Q$2420:Q2725,"F")</f>
        <v>-143.99999999999949</v>
      </c>
      <c r="BJ2572" s="318">
        <f>SUMIFS($AU$2420:AU2725,$Q$2420:Q2725,"S")</f>
        <v>256.00000000000466</v>
      </c>
      <c r="BK2572" s="343">
        <f>SUMIFS($AU$2420:AU2725,$P$2420:P2725,"W")</f>
        <v>-607.99999999991883</v>
      </c>
      <c r="BL2572" s="343">
        <f>SUMIFS($AU$2420:AU2725,$P$2420:P2725,"R")</f>
        <v>911.99999999999966</v>
      </c>
      <c r="BM2572" s="343">
        <f>SUMIFS($AU$2420:AU2725,$AQ$2420:AQ2725,"M")</f>
        <v>-899.79999999984489</v>
      </c>
      <c r="BN2572" s="343">
        <f>SUMIFS($AU$2420:AU2725,$AQ$2420:AQ2725,"H")</f>
        <v>1762.9999999999427</v>
      </c>
      <c r="BO2572" s="343">
        <f>SUMIFS($AU$2420:AU2725,$AQ$2420:AQ2725,"D")</f>
        <v>-767.99999999998977</v>
      </c>
      <c r="BP2572" s="343">
        <f>SUMIFS($AS$2420:AS2813,$AO$2420:AO2813,"W")</f>
        <v>0</v>
      </c>
      <c r="BQ2572" s="343">
        <f>SUMIFS($AU$2420:AU2725,$Q$2420:Q2725,"O")</f>
        <v>-884.7999999998965</v>
      </c>
      <c r="BR2572" s="343">
        <f>SUMIFS($AU$2420:AU2725,$AA$2420:AA2725,"*")</f>
        <v>-512.79999999998074</v>
      </c>
      <c r="BS2572" s="343">
        <f>SUMIFS($AU$2420:AU2725,$AB$2420:AB2725,"*")</f>
        <v>-451.99999999997726</v>
      </c>
      <c r="BT2572" s="343">
        <f>SUMIFS($AU$2420:AU2725,$AC$2420:AC2725,"*")</f>
        <v>-143.99999999999909</v>
      </c>
      <c r="BU2572" s="343">
        <f>SUMIFS($AU$2420:AU2725,$AA$2420:AA2725,"*",$AB$2420:AB2725,"*")</f>
        <v>95.999999999933891</v>
      </c>
      <c r="BV2572" s="343">
        <f>SUMIFS($AU$2420:AU2725,$AA$2420:AA2725,"*",$AC$2420:AC2725,"*")</f>
        <v>-591.99999999999977</v>
      </c>
      <c r="BW2572" s="343">
        <f>SUMIFS($AU$2420:AU2725,$AB$2420:AB2725,"*",$AC$2420:AC2725,"*")</f>
        <v>-143.99999999999966</v>
      </c>
      <c r="BX2572" s="343">
        <f>SUMIFS($AV$2420:AV2725,$Q$2420:Q2725,"F")</f>
        <v>18.153846153846242</v>
      </c>
      <c r="BY2572" s="343">
        <f>SUMIFS($AV$2420:AV2725,$Q$2420:Q2725,"S")</f>
        <v>64.044720496894826</v>
      </c>
      <c r="BZ2572" s="343">
        <f>SUMIFS($AV$2420:AV2725,$Q$2420:Q2725,"O")</f>
        <v>-458.13333333332537</v>
      </c>
    </row>
    <row r="2573" spans="1:78" ht="15.75" customHeight="1">
      <c r="A2573" s="663" t="s">
        <v>7813</v>
      </c>
      <c r="B2573" s="200">
        <v>45582</v>
      </c>
      <c r="C2573" s="178" t="s">
        <v>682</v>
      </c>
      <c r="D2573" s="178" t="s">
        <v>93</v>
      </c>
      <c r="E2573" s="227"/>
      <c r="F2573" s="180"/>
      <c r="G2573" s="181" t="s">
        <v>7159</v>
      </c>
      <c r="H2573" s="182"/>
      <c r="I2573" s="182"/>
      <c r="J2573" s="182"/>
      <c r="K2573" s="183"/>
      <c r="L2573" s="182"/>
      <c r="M2573" s="182"/>
      <c r="N2573" s="182"/>
      <c r="O2573" s="183" t="s">
        <v>95</v>
      </c>
      <c r="P2573" s="183" t="s">
        <v>96</v>
      </c>
      <c r="Q2573" s="183" t="s">
        <v>97</v>
      </c>
      <c r="R2573" s="183">
        <v>16</v>
      </c>
      <c r="S2573" s="183">
        <v>0</v>
      </c>
      <c r="T2573" s="183">
        <v>16</v>
      </c>
      <c r="U2573" s="183" t="s">
        <v>97</v>
      </c>
      <c r="V2573" s="183" t="s">
        <v>7349</v>
      </c>
      <c r="W2573" s="183" t="s">
        <v>20</v>
      </c>
      <c r="X2573" s="183" t="s">
        <v>7467</v>
      </c>
      <c r="Y2573" s="184">
        <f t="shared" si="895"/>
        <v>0.01</v>
      </c>
      <c r="Z2573" s="185">
        <f t="shared" si="896"/>
        <v>1600</v>
      </c>
      <c r="AA2573" s="185" t="s">
        <v>7922</v>
      </c>
      <c r="AB2573" s="185" t="s">
        <v>7923</v>
      </c>
      <c r="AC2573" s="185"/>
      <c r="AD2573" s="649">
        <v>-0.26</v>
      </c>
      <c r="AE2573" s="182"/>
      <c r="AF2573" s="332"/>
      <c r="AG2573" s="182"/>
      <c r="AH2573" s="182"/>
      <c r="AI2573" s="182"/>
      <c r="AJ2573" s="640"/>
      <c r="AK2573" s="182"/>
      <c r="AL2573" s="496">
        <f t="shared" si="876"/>
        <v>-32</v>
      </c>
      <c r="AM2573" s="496">
        <f t="shared" si="877"/>
        <v>-512</v>
      </c>
      <c r="AN2573" s="626"/>
      <c r="AO2573" s="182"/>
      <c r="AP2573" s="182"/>
      <c r="AQ2573" s="332" t="s">
        <v>372</v>
      </c>
      <c r="AR2573" s="182"/>
      <c r="AS2573" s="189">
        <v>-0.26</v>
      </c>
      <c r="AT2573" s="189">
        <f t="shared" si="878"/>
        <v>0</v>
      </c>
      <c r="AU2573" s="187">
        <f t="shared" si="879"/>
        <v>0</v>
      </c>
      <c r="AV2573" s="190">
        <f t="shared" si="880"/>
        <v>0</v>
      </c>
      <c r="AW2573" s="191" t="s">
        <v>115</v>
      </c>
      <c r="AX2573" s="551" t="s">
        <v>7924</v>
      </c>
      <c r="AY2573" s="551" t="s">
        <v>7925</v>
      </c>
      <c r="AZ2573" s="551"/>
      <c r="BA2573" s="551"/>
      <c r="BB2573" s="551"/>
      <c r="BC2573" s="551"/>
      <c r="BD2573" s="549"/>
      <c r="BE2573" s="550"/>
      <c r="BF2573" s="549"/>
      <c r="BG2573" s="391">
        <f>SUM($AV$2420:AV2573)</f>
        <v>-406.06520146514509</v>
      </c>
      <c r="BH2573" s="392">
        <f>SUM($AU$2420:AU2573)</f>
        <v>-1239.799999999949</v>
      </c>
      <c r="BI2573" s="318">
        <f>SUMIFS($AU$2420:AU2726,$Q$2420:Q2726,"F")</f>
        <v>-143.99999999999949</v>
      </c>
      <c r="BJ2573" s="318">
        <f>SUMIFS($AU$2420:AU2726,$Q$2420:Q2726,"S")</f>
        <v>256.00000000000466</v>
      </c>
      <c r="BK2573" s="343">
        <f>SUMIFS($AU$2420:AU2726,$P$2420:P2726,"W")</f>
        <v>-607.99999999991883</v>
      </c>
      <c r="BL2573" s="343">
        <f>SUMIFS($AU$2420:AU2726,$P$2420:P2726,"R")</f>
        <v>911.99999999999966</v>
      </c>
      <c r="BM2573" s="343">
        <f>SUMIFS($AU$2420:AU2726,$AQ$2420:AQ2726,"M")</f>
        <v>-899.79999999984489</v>
      </c>
      <c r="BN2573" s="343">
        <f>SUMIFS($AU$2420:AU2726,$AQ$2420:AQ2726,"H")</f>
        <v>1762.9999999999427</v>
      </c>
      <c r="BO2573" s="343">
        <f>SUMIFS($AU$2420:AU2726,$AQ$2420:AQ2726,"D")</f>
        <v>-767.99999999998977</v>
      </c>
      <c r="BP2573" s="343">
        <f>SUMIFS($AS$2420:AS2814,$AO$2420:AO2814,"W")</f>
        <v>0</v>
      </c>
      <c r="BQ2573" s="343">
        <f>SUMIFS($AU$2420:AU2726,$Q$2420:Q2726,"O")</f>
        <v>-884.7999999998965</v>
      </c>
      <c r="BR2573" s="343">
        <f>SUMIFS($AU$2420:AU2726,$AA$2420:AA2726,"*")</f>
        <v>-512.79999999998074</v>
      </c>
      <c r="BS2573" s="343">
        <f>SUMIFS($AU$2420:AU2726,$AB$2420:AB2726,"*")</f>
        <v>-451.99999999997726</v>
      </c>
      <c r="BT2573" s="343">
        <f>SUMIFS($AU$2420:AU2726,$AC$2420:AC2726,"*")</f>
        <v>-143.99999999999909</v>
      </c>
      <c r="BU2573" s="343">
        <f>SUMIFS($AU$2420:AU2726,$AA$2420:AA2726,"*",$AB$2420:AB2726,"*")</f>
        <v>95.999999999933891</v>
      </c>
      <c r="BV2573" s="343">
        <f>SUMIFS($AU$2420:AU2726,$AA$2420:AA2726,"*",$AC$2420:AC2726,"*")</f>
        <v>-591.99999999999977</v>
      </c>
      <c r="BW2573" s="343">
        <f>SUMIFS($AU$2420:AU2726,$AB$2420:AB2726,"*",$AC$2420:AC2726,"*")</f>
        <v>-143.99999999999966</v>
      </c>
      <c r="BX2573" s="343">
        <f>SUMIFS($AV$2420:AV2726,$Q$2420:Q2726,"F")</f>
        <v>18.153846153846242</v>
      </c>
      <c r="BY2573" s="343">
        <f>SUMIFS($AV$2420:AV2726,$Q$2420:Q2726,"S")</f>
        <v>64.044720496894826</v>
      </c>
      <c r="BZ2573" s="343">
        <f>SUMIFS($AV$2420:AV2726,$Q$2420:Q2726,"O")</f>
        <v>-458.13333333332537</v>
      </c>
    </row>
    <row r="2574" spans="1:78" ht="15.75" customHeight="1">
      <c r="A2574" s="663" t="s">
        <v>7813</v>
      </c>
      <c r="B2574" s="200">
        <v>45582</v>
      </c>
      <c r="C2574" s="178" t="s">
        <v>682</v>
      </c>
      <c r="D2574" s="178" t="s">
        <v>93</v>
      </c>
      <c r="E2574" s="227"/>
      <c r="F2574" s="180"/>
      <c r="G2574" s="181" t="s">
        <v>7049</v>
      </c>
      <c r="H2574" s="182"/>
      <c r="I2574" s="182"/>
      <c r="J2574" s="182"/>
      <c r="K2574" s="183"/>
      <c r="L2574" s="182"/>
      <c r="M2574" s="182"/>
      <c r="N2574" s="182"/>
      <c r="O2574" s="183"/>
      <c r="P2574" s="183"/>
      <c r="Q2574" s="183"/>
      <c r="R2574" s="183"/>
      <c r="S2574" s="183"/>
      <c r="T2574" s="183"/>
      <c r="U2574" s="183"/>
      <c r="V2574" s="183"/>
      <c r="W2574" s="183"/>
      <c r="X2574" s="183"/>
      <c r="Y2574" s="184"/>
      <c r="Z2574" s="185"/>
      <c r="AA2574" s="185"/>
      <c r="AB2574" s="185"/>
      <c r="AC2574" s="185"/>
      <c r="AD2574" s="649"/>
      <c r="AE2574" s="182"/>
      <c r="AF2574" s="332"/>
      <c r="AG2574" s="182"/>
      <c r="AH2574" s="182"/>
      <c r="AI2574" s="182"/>
      <c r="AJ2574" s="640"/>
      <c r="AK2574" s="182"/>
      <c r="AL2574" s="496">
        <f t="shared" si="876"/>
        <v>0</v>
      </c>
      <c r="AM2574" s="496">
        <f t="shared" si="877"/>
        <v>0</v>
      </c>
      <c r="AN2574" s="626"/>
      <c r="AO2574" s="182"/>
      <c r="AP2574" s="182"/>
      <c r="AQ2574" s="332" t="str">
        <f>UPPER(RIGHT(Journal_Live[[#This Row],[DURATION ]]))</f>
        <v/>
      </c>
      <c r="AR2574" s="182"/>
      <c r="AS2574" s="189"/>
      <c r="AT2574" s="189">
        <f t="shared" si="878"/>
        <v>0</v>
      </c>
      <c r="AU2574" s="187">
        <f t="shared" si="879"/>
        <v>0</v>
      </c>
      <c r="AV2574" s="190">
        <f t="shared" si="880"/>
        <v>0</v>
      </c>
      <c r="AW2574" s="191"/>
      <c r="AX2574" s="551"/>
      <c r="AY2574" s="551"/>
      <c r="AZ2574" s="551"/>
      <c r="BA2574" s="551"/>
      <c r="BB2574" s="551"/>
      <c r="BC2574" s="551"/>
      <c r="BD2574" s="549"/>
      <c r="BE2574" s="550"/>
      <c r="BF2574" s="549"/>
      <c r="BG2574" s="391">
        <f>SUM($AV$2420:AV2574)</f>
        <v>-406.06520146514509</v>
      </c>
      <c r="BH2574" s="392">
        <f>SUM($AU$2420:AU2574)</f>
        <v>-1239.799999999949</v>
      </c>
      <c r="BI2574" s="318">
        <f>SUMIFS($AU$2420:AU2727,$Q$2420:Q2727,"F")</f>
        <v>-143.99999999999949</v>
      </c>
      <c r="BJ2574" s="318">
        <f>SUMIFS($AU$2420:AU2727,$Q$2420:Q2727,"S")</f>
        <v>256.00000000000466</v>
      </c>
      <c r="BK2574" s="343">
        <f>SUMIFS($AU$2420:AU2727,$P$2420:P2727,"W")</f>
        <v>-607.99999999991883</v>
      </c>
      <c r="BL2574" s="343">
        <f>SUMIFS($AU$2420:AU2727,$P$2420:P2727,"R")</f>
        <v>911.99999999999966</v>
      </c>
      <c r="BM2574" s="343">
        <f>SUMIFS($AU$2420:AU2727,$AQ$2420:AQ2727,"M")</f>
        <v>-899.79999999984489</v>
      </c>
      <c r="BN2574" s="343">
        <f>SUMIFS($AU$2420:AU2727,$AQ$2420:AQ2727,"H")</f>
        <v>1762.9999999999427</v>
      </c>
      <c r="BO2574" s="343">
        <f>SUMIFS($AU$2420:AU2727,$AQ$2420:AQ2727,"D")</f>
        <v>-767.99999999998977</v>
      </c>
      <c r="BP2574" s="343">
        <f>SUMIFS($AS$2420:AS2815,$AO$2420:AO2815,"W")</f>
        <v>0</v>
      </c>
      <c r="BQ2574" s="343">
        <f>SUMIFS($AU$2420:AU2727,$Q$2420:Q2727,"O")</f>
        <v>-884.7999999998965</v>
      </c>
      <c r="BR2574" s="343">
        <f>SUMIFS($AU$2420:AU2727,$AA$2420:AA2727,"*")</f>
        <v>-512.79999999998074</v>
      </c>
      <c r="BS2574" s="343">
        <f>SUMIFS($AU$2420:AU2727,$AB$2420:AB2727,"*")</f>
        <v>-451.99999999997726</v>
      </c>
      <c r="BT2574" s="343">
        <f>SUMIFS($AU$2420:AU2727,$AC$2420:AC2727,"*")</f>
        <v>-143.99999999999909</v>
      </c>
      <c r="BU2574" s="343">
        <f>SUMIFS($AU$2420:AU2727,$AA$2420:AA2727,"*",$AB$2420:AB2727,"*")</f>
        <v>95.999999999933891</v>
      </c>
      <c r="BV2574" s="343">
        <f>SUMIFS($AU$2420:AU2727,$AA$2420:AA2727,"*",$AC$2420:AC2727,"*")</f>
        <v>-591.99999999999977</v>
      </c>
      <c r="BW2574" s="343">
        <f>SUMIFS($AU$2420:AU2727,$AB$2420:AB2727,"*",$AC$2420:AC2727,"*")</f>
        <v>-143.99999999999966</v>
      </c>
      <c r="BX2574" s="343">
        <f>SUMIFS($AV$2420:AV2727,$Q$2420:Q2727,"F")</f>
        <v>18.153846153846242</v>
      </c>
      <c r="BY2574" s="343">
        <f>SUMIFS($AV$2420:AV2727,$Q$2420:Q2727,"S")</f>
        <v>64.044720496894826</v>
      </c>
      <c r="BZ2574" s="343">
        <f>SUMIFS($AV$2420:AV2727,$Q$2420:Q2727,"O")</f>
        <v>-458.13333333332537</v>
      </c>
    </row>
    <row r="2575" spans="1:78" ht="15.75" customHeight="1">
      <c r="A2575" s="663" t="s">
        <v>7813</v>
      </c>
      <c r="B2575" s="200">
        <v>45582</v>
      </c>
      <c r="C2575" s="178" t="s">
        <v>682</v>
      </c>
      <c r="D2575" s="178" t="s">
        <v>93</v>
      </c>
      <c r="E2575" s="227"/>
      <c r="F2575" s="180"/>
      <c r="G2575" s="481" t="s">
        <v>7836</v>
      </c>
      <c r="H2575" s="182"/>
      <c r="I2575" s="182"/>
      <c r="J2575" s="182"/>
      <c r="K2575" s="183"/>
      <c r="L2575" s="182"/>
      <c r="M2575" s="182"/>
      <c r="N2575" s="182"/>
      <c r="O2575" s="183" t="s">
        <v>95</v>
      </c>
      <c r="P2575" s="183" t="s">
        <v>96</v>
      </c>
      <c r="Q2575" s="183" t="s">
        <v>97</v>
      </c>
      <c r="R2575" s="183">
        <v>7</v>
      </c>
      <c r="S2575" s="183">
        <v>3</v>
      </c>
      <c r="T2575" s="183">
        <v>7</v>
      </c>
      <c r="U2575" s="183" t="s">
        <v>22</v>
      </c>
      <c r="V2575" s="183" t="s">
        <v>7349</v>
      </c>
      <c r="W2575" s="183" t="s">
        <v>22</v>
      </c>
      <c r="X2575" s="183" t="s">
        <v>7497</v>
      </c>
      <c r="Y2575" s="184">
        <f t="shared" si="895"/>
        <v>0.01</v>
      </c>
      <c r="Z2575" s="185">
        <f t="shared" si="896"/>
        <v>1600</v>
      </c>
      <c r="AA2575" s="185" t="s">
        <v>7926</v>
      </c>
      <c r="AB2575" s="185"/>
      <c r="AC2575" s="185"/>
      <c r="AD2575" s="649">
        <v>-0.17</v>
      </c>
      <c r="AE2575" s="182"/>
      <c r="AF2575" s="332"/>
      <c r="AG2575" s="182"/>
      <c r="AH2575" s="182"/>
      <c r="AI2575" s="182"/>
      <c r="AJ2575" s="640" t="s">
        <v>7927</v>
      </c>
      <c r="AK2575" s="182"/>
      <c r="AL2575" s="496">
        <f t="shared" si="876"/>
        <v>-32</v>
      </c>
      <c r="AM2575" s="496">
        <f t="shared" si="877"/>
        <v>-128</v>
      </c>
      <c r="AN2575" s="626"/>
      <c r="AO2575" s="182"/>
      <c r="AP2575" s="182" t="s">
        <v>770</v>
      </c>
      <c r="AQ2575" s="332" t="s">
        <v>115</v>
      </c>
      <c r="AR2575" s="182" t="s">
        <v>7928</v>
      </c>
      <c r="AS2575" s="189">
        <v>-0.16</v>
      </c>
      <c r="AT2575" s="189">
        <f t="shared" si="878"/>
        <v>1.0000000000000009E-2</v>
      </c>
      <c r="AU2575" s="187">
        <f t="shared" si="879"/>
        <v>112.0000000000001</v>
      </c>
      <c r="AV2575" s="190">
        <f t="shared" si="880"/>
        <v>16.000000000000014</v>
      </c>
      <c r="AW2575" s="191" t="s">
        <v>96</v>
      </c>
      <c r="AX2575" s="551"/>
      <c r="AY2575" s="551"/>
      <c r="AZ2575" s="551"/>
      <c r="BA2575" s="551"/>
      <c r="BB2575" s="551"/>
      <c r="BC2575" s="551"/>
      <c r="BD2575" s="549"/>
      <c r="BE2575" s="550"/>
      <c r="BF2575" s="549"/>
      <c r="BG2575" s="391">
        <f>SUM($AV$2420:AV2575)</f>
        <v>-390.06520146514509</v>
      </c>
      <c r="BH2575" s="392">
        <f>SUM($AU$2420:AU2575)</f>
        <v>-1127.799999999949</v>
      </c>
      <c r="BI2575" s="318">
        <f>SUMIFS($AU$2420:AU2728,$Q$2420:Q2728,"F")</f>
        <v>-143.99999999999949</v>
      </c>
      <c r="BJ2575" s="318">
        <f>SUMIFS($AU$2420:AU2728,$Q$2420:Q2728,"S")</f>
        <v>256.00000000000466</v>
      </c>
      <c r="BK2575" s="343">
        <f>SUMIFS($AU$2420:AU2728,$P$2420:P2728,"W")</f>
        <v>-607.99999999991883</v>
      </c>
      <c r="BL2575" s="343">
        <f>SUMIFS($AU$2420:AU2728,$P$2420:P2728,"R")</f>
        <v>911.99999999999966</v>
      </c>
      <c r="BM2575" s="343">
        <f>SUMIFS($AU$2420:AU2728,$AQ$2420:AQ2728,"M")</f>
        <v>-899.79999999984489</v>
      </c>
      <c r="BN2575" s="343">
        <f>SUMIFS($AU$2420:AU2728,$AQ$2420:AQ2728,"H")</f>
        <v>1762.9999999999427</v>
      </c>
      <c r="BO2575" s="343">
        <f>SUMIFS($AU$2420:AU2728,$AQ$2420:AQ2728,"D")</f>
        <v>-767.99999999998977</v>
      </c>
      <c r="BP2575" s="343">
        <f>SUMIFS($AS$2420:AS2816,$AO$2420:AO2816,"W")</f>
        <v>0</v>
      </c>
      <c r="BQ2575" s="343">
        <f>SUMIFS($AU$2420:AU2728,$Q$2420:Q2728,"O")</f>
        <v>-884.7999999998965</v>
      </c>
      <c r="BR2575" s="343">
        <f>SUMIFS($AU$2420:AU2728,$AA$2420:AA2728,"*")</f>
        <v>-512.79999999998074</v>
      </c>
      <c r="BS2575" s="343">
        <f>SUMIFS($AU$2420:AU2728,$AB$2420:AB2728,"*")</f>
        <v>-451.99999999997726</v>
      </c>
      <c r="BT2575" s="343">
        <f>SUMIFS($AU$2420:AU2728,$AC$2420:AC2728,"*")</f>
        <v>-143.99999999999909</v>
      </c>
      <c r="BU2575" s="343">
        <f>SUMIFS($AU$2420:AU2728,$AA$2420:AA2728,"*",$AB$2420:AB2728,"*")</f>
        <v>95.999999999933891</v>
      </c>
      <c r="BV2575" s="343">
        <f>SUMIFS($AU$2420:AU2728,$AA$2420:AA2728,"*",$AC$2420:AC2728,"*")</f>
        <v>-591.99999999999977</v>
      </c>
      <c r="BW2575" s="343">
        <f>SUMIFS($AU$2420:AU2728,$AB$2420:AB2728,"*",$AC$2420:AC2728,"*")</f>
        <v>-143.99999999999966</v>
      </c>
      <c r="BX2575" s="343">
        <f>SUMIFS($AV$2420:AV2728,$Q$2420:Q2728,"F")</f>
        <v>18.153846153846242</v>
      </c>
      <c r="BY2575" s="343">
        <f>SUMIFS($AV$2420:AV2728,$Q$2420:Q2728,"S")</f>
        <v>64.044720496894826</v>
      </c>
      <c r="BZ2575" s="343">
        <f>SUMIFS($AV$2420:AV2728,$Q$2420:Q2728,"O")</f>
        <v>-458.13333333332537</v>
      </c>
    </row>
    <row r="2576" spans="1:78" ht="15.75" customHeight="1">
      <c r="A2576" s="663" t="s">
        <v>7813</v>
      </c>
      <c r="B2576" s="200">
        <v>45582</v>
      </c>
      <c r="C2576" s="178" t="s">
        <v>682</v>
      </c>
      <c r="D2576" s="178" t="s">
        <v>93</v>
      </c>
      <c r="E2576" s="227"/>
      <c r="F2576" s="180"/>
      <c r="G2576" s="481" t="s">
        <v>7135</v>
      </c>
      <c r="H2576" s="182"/>
      <c r="I2576" s="182"/>
      <c r="J2576" s="182"/>
      <c r="K2576" s="183"/>
      <c r="L2576" s="182"/>
      <c r="M2576" s="182"/>
      <c r="N2576" s="182"/>
      <c r="O2576" s="183" t="s">
        <v>95</v>
      </c>
      <c r="P2576" s="183" t="s">
        <v>96</v>
      </c>
      <c r="Q2576" s="183" t="s">
        <v>97</v>
      </c>
      <c r="R2576" s="183">
        <v>7</v>
      </c>
      <c r="S2576" s="183">
        <v>0</v>
      </c>
      <c r="T2576" s="183">
        <v>7</v>
      </c>
      <c r="U2576" s="183" t="s">
        <v>22</v>
      </c>
      <c r="V2576" s="183" t="s">
        <v>7349</v>
      </c>
      <c r="W2576" s="183" t="s">
        <v>22</v>
      </c>
      <c r="X2576" s="183" t="s">
        <v>7497</v>
      </c>
      <c r="Y2576" s="184">
        <f t="shared" si="895"/>
        <v>0.01</v>
      </c>
      <c r="Z2576" s="185">
        <f t="shared" si="896"/>
        <v>1600</v>
      </c>
      <c r="AA2576" s="185" t="s">
        <v>7926</v>
      </c>
      <c r="AB2576" s="185"/>
      <c r="AC2576" s="185"/>
      <c r="AD2576" s="649">
        <v>-0.35</v>
      </c>
      <c r="AE2576" s="182"/>
      <c r="AF2576" s="332"/>
      <c r="AG2576" s="182"/>
      <c r="AH2576" s="182"/>
      <c r="AI2576" s="182"/>
      <c r="AJ2576" s="640" t="s">
        <v>7929</v>
      </c>
      <c r="AK2576" s="182"/>
      <c r="AL2576" s="496">
        <f t="shared" si="876"/>
        <v>-32</v>
      </c>
      <c r="AM2576" s="496">
        <f t="shared" si="877"/>
        <v>-224</v>
      </c>
      <c r="AN2576" s="626"/>
      <c r="AO2576" s="182"/>
      <c r="AP2576" s="182" t="s">
        <v>770</v>
      </c>
      <c r="AQ2576" s="332" t="s">
        <v>115</v>
      </c>
      <c r="AR2576" s="182" t="s">
        <v>7928</v>
      </c>
      <c r="AS2576" s="189">
        <v>-0.34</v>
      </c>
      <c r="AT2576" s="189">
        <f t="shared" si="878"/>
        <v>9.9999999999999534E-3</v>
      </c>
      <c r="AU2576" s="187">
        <f t="shared" si="879"/>
        <v>111.99999999999947</v>
      </c>
      <c r="AV2576" s="190">
        <f t="shared" si="880"/>
        <v>15.999999999999925</v>
      </c>
      <c r="AW2576" s="191" t="s">
        <v>96</v>
      </c>
      <c r="AX2576" s="551"/>
      <c r="AY2576" s="551"/>
      <c r="AZ2576" s="551"/>
      <c r="BA2576" s="551"/>
      <c r="BB2576" s="551"/>
      <c r="BC2576" s="551"/>
      <c r="BD2576" s="549"/>
      <c r="BE2576" s="550"/>
      <c r="BF2576" s="549"/>
      <c r="BG2576" s="391">
        <f>SUM($AV$2420:AV2576)</f>
        <v>-374.06520146514515</v>
      </c>
      <c r="BH2576" s="392">
        <f>SUM($AU$2420:AU2576)</f>
        <v>-1015.7999999999496</v>
      </c>
      <c r="BI2576" s="318">
        <f>SUMIFS($AU$2420:AU2729,$Q$2420:Q2729,"F")</f>
        <v>-143.99999999999949</v>
      </c>
      <c r="BJ2576" s="318">
        <f>SUMIFS($AU$2420:AU2729,$Q$2420:Q2729,"S")</f>
        <v>256.00000000000466</v>
      </c>
      <c r="BK2576" s="343">
        <f>SUMIFS($AU$2420:AU2729,$P$2420:P2729,"W")</f>
        <v>-607.99999999991883</v>
      </c>
      <c r="BL2576" s="343">
        <f>SUMIFS($AU$2420:AU2729,$P$2420:P2729,"R")</f>
        <v>911.99999999999966</v>
      </c>
      <c r="BM2576" s="343">
        <f>SUMIFS($AU$2420:AU2729,$AQ$2420:AQ2729,"M")</f>
        <v>-899.79999999984489</v>
      </c>
      <c r="BN2576" s="343">
        <f>SUMIFS($AU$2420:AU2729,$AQ$2420:AQ2729,"H")</f>
        <v>1762.9999999999427</v>
      </c>
      <c r="BO2576" s="343">
        <f>SUMIFS($AU$2420:AU2729,$AQ$2420:AQ2729,"D")</f>
        <v>-767.99999999998977</v>
      </c>
      <c r="BP2576" s="343">
        <f>SUMIFS($AS$2420:AS2817,$AO$2420:AO2817,"W")</f>
        <v>0</v>
      </c>
      <c r="BQ2576" s="343">
        <f>SUMIFS($AU$2420:AU2729,$Q$2420:Q2729,"O")</f>
        <v>-884.7999999998965</v>
      </c>
      <c r="BR2576" s="343">
        <f>SUMIFS($AU$2420:AU2729,$AA$2420:AA2729,"*")</f>
        <v>-512.79999999998074</v>
      </c>
      <c r="BS2576" s="343">
        <f>SUMIFS($AU$2420:AU2729,$AB$2420:AB2729,"*")</f>
        <v>-451.99999999997726</v>
      </c>
      <c r="BT2576" s="343">
        <f>SUMIFS($AU$2420:AU2729,$AC$2420:AC2729,"*")</f>
        <v>-143.99999999999909</v>
      </c>
      <c r="BU2576" s="343">
        <f>SUMIFS($AU$2420:AU2729,$AA$2420:AA2729,"*",$AB$2420:AB2729,"*")</f>
        <v>95.999999999933891</v>
      </c>
      <c r="BV2576" s="343">
        <f>SUMIFS($AU$2420:AU2729,$AA$2420:AA2729,"*",$AC$2420:AC2729,"*")</f>
        <v>-591.99999999999977</v>
      </c>
      <c r="BW2576" s="343">
        <f>SUMIFS($AU$2420:AU2729,$AB$2420:AB2729,"*",$AC$2420:AC2729,"*")</f>
        <v>-143.99999999999966</v>
      </c>
      <c r="BX2576" s="343">
        <f>SUMIFS($AV$2420:AV2729,$Q$2420:Q2729,"F")</f>
        <v>18.153846153846242</v>
      </c>
      <c r="BY2576" s="343">
        <f>SUMIFS($AV$2420:AV2729,$Q$2420:Q2729,"S")</f>
        <v>64.044720496894826</v>
      </c>
      <c r="BZ2576" s="343">
        <f>SUMIFS($AV$2420:AV2729,$Q$2420:Q2729,"O")</f>
        <v>-458.13333333332537</v>
      </c>
    </row>
    <row r="2577" spans="1:78" ht="15.75" customHeight="1">
      <c r="A2577" s="663" t="s">
        <v>7813</v>
      </c>
      <c r="B2577" s="200">
        <v>45582</v>
      </c>
      <c r="C2577" s="178" t="s">
        <v>682</v>
      </c>
      <c r="D2577" s="178" t="s">
        <v>93</v>
      </c>
      <c r="E2577" s="227"/>
      <c r="F2577" s="180"/>
      <c r="G2577" s="481" t="s">
        <v>7279</v>
      </c>
      <c r="H2577" s="182"/>
      <c r="I2577" s="182"/>
      <c r="J2577" s="182"/>
      <c r="K2577" s="183"/>
      <c r="L2577" s="182"/>
      <c r="M2577" s="182"/>
      <c r="N2577" s="182"/>
      <c r="O2577" s="183" t="s">
        <v>95</v>
      </c>
      <c r="P2577" s="183" t="s">
        <v>96</v>
      </c>
      <c r="Q2577" s="183" t="s">
        <v>97</v>
      </c>
      <c r="R2577" s="183">
        <v>16</v>
      </c>
      <c r="S2577" s="183">
        <v>0</v>
      </c>
      <c r="T2577" s="183">
        <v>16</v>
      </c>
      <c r="U2577" s="183" t="s">
        <v>22</v>
      </c>
      <c r="V2577" s="183" t="s">
        <v>7349</v>
      </c>
      <c r="W2577" s="183" t="s">
        <v>22</v>
      </c>
      <c r="X2577" s="183" t="s">
        <v>7467</v>
      </c>
      <c r="Y2577" s="184">
        <f t="shared" si="895"/>
        <v>0.01</v>
      </c>
      <c r="Z2577" s="185">
        <f t="shared" si="896"/>
        <v>1600</v>
      </c>
      <c r="AA2577" s="185" t="s">
        <v>6373</v>
      </c>
      <c r="AB2577" s="185"/>
      <c r="AC2577" s="185"/>
      <c r="AD2577" s="649">
        <v>-0.18</v>
      </c>
      <c r="AE2577" s="182"/>
      <c r="AF2577" s="332"/>
      <c r="AG2577" s="182"/>
      <c r="AH2577" s="182"/>
      <c r="AI2577" s="182"/>
      <c r="AJ2577" s="640"/>
      <c r="AK2577" s="182"/>
      <c r="AL2577" s="496">
        <f t="shared" si="876"/>
        <v>-32</v>
      </c>
      <c r="AM2577" s="496">
        <f t="shared" si="877"/>
        <v>-512</v>
      </c>
      <c r="AN2577" s="626"/>
      <c r="AO2577" s="182"/>
      <c r="AP2577" s="182" t="s">
        <v>1084</v>
      </c>
      <c r="AQ2577" s="332" t="s">
        <v>372</v>
      </c>
      <c r="AR2577" s="182" t="s">
        <v>1919</v>
      </c>
      <c r="AS2577" s="189">
        <v>-0.18</v>
      </c>
      <c r="AT2577" s="189">
        <f t="shared" si="878"/>
        <v>0</v>
      </c>
      <c r="AU2577" s="187">
        <f t="shared" si="879"/>
        <v>0</v>
      </c>
      <c r="AV2577" s="190">
        <f t="shared" si="880"/>
        <v>0</v>
      </c>
      <c r="AW2577" s="191" t="s">
        <v>115</v>
      </c>
      <c r="AX2577" s="551"/>
      <c r="AY2577" s="551"/>
      <c r="AZ2577" s="551"/>
      <c r="BA2577" s="551"/>
      <c r="BB2577" s="551"/>
      <c r="BC2577" s="551"/>
      <c r="BD2577" s="549" t="s">
        <v>7930</v>
      </c>
      <c r="BE2577" s="550"/>
      <c r="BF2577" s="549"/>
      <c r="BG2577" s="391">
        <f>SUM($AV$2420:AV2577)</f>
        <v>-374.06520146514515</v>
      </c>
      <c r="BH2577" s="392">
        <f>SUM($AU$2420:AU2577)</f>
        <v>-1015.7999999999496</v>
      </c>
      <c r="BI2577" s="318">
        <f>SUMIFS($AU$2420:AU2730,$Q$2420:Q2730,"F")</f>
        <v>-143.99999999999949</v>
      </c>
      <c r="BJ2577" s="318">
        <f>SUMIFS($AU$2420:AU2730,$Q$2420:Q2730,"S")</f>
        <v>256.00000000000466</v>
      </c>
      <c r="BK2577" s="343">
        <f>SUMIFS($AU$2420:AU2730,$P$2420:P2730,"W")</f>
        <v>-607.99999999991883</v>
      </c>
      <c r="BL2577" s="343">
        <f>SUMIFS($AU$2420:AU2730,$P$2420:P2730,"R")</f>
        <v>911.99999999999966</v>
      </c>
      <c r="BM2577" s="343">
        <f>SUMIFS($AU$2420:AU2730,$AQ$2420:AQ2730,"M")</f>
        <v>-899.79999999984489</v>
      </c>
      <c r="BN2577" s="343">
        <f>SUMIFS($AU$2420:AU2730,$AQ$2420:AQ2730,"H")</f>
        <v>1762.9999999999427</v>
      </c>
      <c r="BO2577" s="343">
        <f>SUMIFS($AU$2420:AU2730,$AQ$2420:AQ2730,"D")</f>
        <v>-767.99999999998977</v>
      </c>
      <c r="BP2577" s="343">
        <f>SUMIFS($AS$2420:AS2818,$AO$2420:AO2818,"W")</f>
        <v>0</v>
      </c>
      <c r="BQ2577" s="343">
        <f>SUMIFS($AU$2420:AU2730,$Q$2420:Q2730,"O")</f>
        <v>-884.7999999998965</v>
      </c>
      <c r="BR2577" s="343">
        <f>SUMIFS($AU$2420:AU2730,$AA$2420:AA2730,"*")</f>
        <v>-512.79999999998074</v>
      </c>
      <c r="BS2577" s="343">
        <f>SUMIFS($AU$2420:AU2730,$AB$2420:AB2730,"*")</f>
        <v>-451.99999999997726</v>
      </c>
      <c r="BT2577" s="343">
        <f>SUMIFS($AU$2420:AU2730,$AC$2420:AC2730,"*")</f>
        <v>-143.99999999999909</v>
      </c>
      <c r="BU2577" s="343">
        <f>SUMIFS($AU$2420:AU2730,$AA$2420:AA2730,"*",$AB$2420:AB2730,"*")</f>
        <v>95.999999999933891</v>
      </c>
      <c r="BV2577" s="343">
        <f>SUMIFS($AU$2420:AU2730,$AA$2420:AA2730,"*",$AC$2420:AC2730,"*")</f>
        <v>-591.99999999999977</v>
      </c>
      <c r="BW2577" s="343">
        <f>SUMIFS($AU$2420:AU2730,$AB$2420:AB2730,"*",$AC$2420:AC2730,"*")</f>
        <v>-143.99999999999966</v>
      </c>
      <c r="BX2577" s="343">
        <f>SUMIFS($AV$2420:AV2730,$Q$2420:Q2730,"F")</f>
        <v>18.153846153846242</v>
      </c>
      <c r="BY2577" s="343">
        <f>SUMIFS($AV$2420:AV2730,$Q$2420:Q2730,"S")</f>
        <v>64.044720496894826</v>
      </c>
      <c r="BZ2577" s="343">
        <f>SUMIFS($AV$2420:AV2730,$Q$2420:Q2730,"O")</f>
        <v>-458.13333333332537</v>
      </c>
    </row>
    <row r="2578" spans="1:78" ht="15.75" customHeight="1">
      <c r="A2578" s="663" t="s">
        <v>7813</v>
      </c>
      <c r="B2578" s="200">
        <v>45583</v>
      </c>
      <c r="C2578" s="178" t="s">
        <v>7303</v>
      </c>
      <c r="D2578" s="178" t="s">
        <v>111</v>
      </c>
      <c r="E2578" s="227"/>
      <c r="F2578" s="180"/>
      <c r="G2578" s="481" t="s">
        <v>7159</v>
      </c>
      <c r="H2578" s="182"/>
      <c r="I2578" s="182"/>
      <c r="J2578" s="182"/>
      <c r="K2578" s="183"/>
      <c r="L2578" s="182"/>
      <c r="M2578" s="182"/>
      <c r="N2578" s="182"/>
      <c r="O2578" s="183" t="s">
        <v>95</v>
      </c>
      <c r="P2578" s="183" t="s">
        <v>96</v>
      </c>
      <c r="Q2578" s="183" t="s">
        <v>97</v>
      </c>
      <c r="R2578" s="183">
        <v>10</v>
      </c>
      <c r="S2578" s="183">
        <v>10</v>
      </c>
      <c r="T2578" s="183">
        <v>10</v>
      </c>
      <c r="U2578" s="183" t="s">
        <v>97</v>
      </c>
      <c r="V2578" s="183" t="s">
        <v>7349</v>
      </c>
      <c r="W2578" s="183" t="s">
        <v>20</v>
      </c>
      <c r="X2578" s="183" t="s">
        <v>7467</v>
      </c>
      <c r="Y2578" s="184">
        <f t="shared" si="895"/>
        <v>0.01</v>
      </c>
      <c r="Z2578" s="185">
        <f t="shared" si="896"/>
        <v>1600</v>
      </c>
      <c r="AA2578" s="185" t="s">
        <v>4954</v>
      </c>
      <c r="AB2578" s="185" t="s">
        <v>7923</v>
      </c>
      <c r="AC2578" s="185"/>
      <c r="AD2578" s="649">
        <v>-0.27</v>
      </c>
      <c r="AE2578" s="182"/>
      <c r="AF2578" s="332"/>
      <c r="AG2578" s="182"/>
      <c r="AH2578" s="182"/>
      <c r="AI2578" s="182"/>
      <c r="AJ2578" s="640"/>
      <c r="AK2578" s="182"/>
      <c r="AL2578" s="496">
        <f t="shared" si="876"/>
        <v>-32</v>
      </c>
      <c r="AM2578" s="496">
        <f t="shared" si="877"/>
        <v>0</v>
      </c>
      <c r="AN2578" s="626"/>
      <c r="AO2578" s="182"/>
      <c r="AP2578" s="182"/>
      <c r="AQ2578" s="332" t="s">
        <v>372</v>
      </c>
      <c r="AR2578" s="182"/>
      <c r="AS2578" s="189">
        <v>-0.28000000000000003</v>
      </c>
      <c r="AT2578" s="189">
        <f t="shared" si="878"/>
        <v>1.0000000000000009E-2</v>
      </c>
      <c r="AU2578" s="187">
        <f t="shared" si="879"/>
        <v>160.00000000000014</v>
      </c>
      <c r="AV2578" s="190">
        <f t="shared" si="880"/>
        <v>16.000000000000014</v>
      </c>
      <c r="AW2578" s="191" t="s">
        <v>96</v>
      </c>
      <c r="AX2578" s="551" t="s">
        <v>7931</v>
      </c>
      <c r="AY2578" s="551" t="s">
        <v>7932</v>
      </c>
      <c r="AZ2578" s="551" t="s">
        <v>7933</v>
      </c>
      <c r="BA2578" s="551"/>
      <c r="BB2578" s="551"/>
      <c r="BC2578" s="551"/>
      <c r="BD2578" s="549"/>
      <c r="BE2578" s="550"/>
      <c r="BF2578" s="549"/>
      <c r="BG2578" s="391">
        <f>SUM($AV$2420:AV2578)</f>
        <v>-358.06520146514515</v>
      </c>
      <c r="BH2578" s="392">
        <f>SUM($AU$2420:AU2578)</f>
        <v>-855.79999999994948</v>
      </c>
      <c r="BI2578" s="318">
        <f>SUMIFS($AU$2420:AU2731,$Q$2420:Q2731,"F")</f>
        <v>-143.99999999999949</v>
      </c>
      <c r="BJ2578" s="318">
        <f>SUMIFS($AU$2420:AU2731,$Q$2420:Q2731,"S")</f>
        <v>256.00000000000466</v>
      </c>
      <c r="BK2578" s="343">
        <f>SUMIFS($AU$2420:AU2731,$P$2420:P2731,"W")</f>
        <v>-607.99999999991883</v>
      </c>
      <c r="BL2578" s="343">
        <f>SUMIFS($AU$2420:AU2731,$P$2420:P2731,"R")</f>
        <v>911.99999999999966</v>
      </c>
      <c r="BM2578" s="343">
        <f>SUMIFS($AU$2420:AU2731,$AQ$2420:AQ2731,"M")</f>
        <v>-899.79999999984489</v>
      </c>
      <c r="BN2578" s="343">
        <f>SUMIFS($AU$2420:AU2731,$AQ$2420:AQ2731,"H")</f>
        <v>1762.9999999999427</v>
      </c>
      <c r="BO2578" s="343">
        <f>SUMIFS($AU$2420:AU2731,$AQ$2420:AQ2731,"D")</f>
        <v>-767.99999999998977</v>
      </c>
      <c r="BP2578" s="343">
        <f>SUMIFS($AS$2420:AS2819,$AO$2420:AO2819,"W")</f>
        <v>0</v>
      </c>
      <c r="BQ2578" s="343">
        <f>SUMIFS($AU$2420:AU2731,$Q$2420:Q2731,"O")</f>
        <v>-884.7999999998965</v>
      </c>
      <c r="BR2578" s="343">
        <f>SUMIFS($AU$2420:AU2731,$AA$2420:AA2731,"*")</f>
        <v>-512.79999999998074</v>
      </c>
      <c r="BS2578" s="343">
        <f>SUMIFS($AU$2420:AU2731,$AB$2420:AB2731,"*")</f>
        <v>-451.99999999997726</v>
      </c>
      <c r="BT2578" s="343">
        <f>SUMIFS($AU$2420:AU2731,$AC$2420:AC2731,"*")</f>
        <v>-143.99999999999909</v>
      </c>
      <c r="BU2578" s="343">
        <f>SUMIFS($AU$2420:AU2731,$AA$2420:AA2731,"*",$AB$2420:AB2731,"*")</f>
        <v>95.999999999933891</v>
      </c>
      <c r="BV2578" s="343">
        <f>SUMIFS($AU$2420:AU2731,$AA$2420:AA2731,"*",$AC$2420:AC2731,"*")</f>
        <v>-591.99999999999977</v>
      </c>
      <c r="BW2578" s="343">
        <f>SUMIFS($AU$2420:AU2731,$AB$2420:AB2731,"*",$AC$2420:AC2731,"*")</f>
        <v>-143.99999999999966</v>
      </c>
      <c r="BX2578" s="343">
        <f>SUMIFS($AV$2420:AV2731,$Q$2420:Q2731,"F")</f>
        <v>18.153846153846242</v>
      </c>
      <c r="BY2578" s="343">
        <f>SUMIFS($AV$2420:AV2731,$Q$2420:Q2731,"S")</f>
        <v>64.044720496894826</v>
      </c>
      <c r="BZ2578" s="343">
        <f>SUMIFS($AV$2420:AV2731,$Q$2420:Q2731,"O")</f>
        <v>-458.13333333332537</v>
      </c>
    </row>
    <row r="2579" spans="1:78" ht="15.75" customHeight="1">
      <c r="A2579" s="663" t="s">
        <v>7813</v>
      </c>
      <c r="B2579" s="200">
        <v>45583</v>
      </c>
      <c r="C2579" s="178" t="s">
        <v>7303</v>
      </c>
      <c r="D2579" s="178" t="s">
        <v>111</v>
      </c>
      <c r="E2579" s="227"/>
      <c r="F2579" s="180"/>
      <c r="G2579" s="481" t="s">
        <v>7159</v>
      </c>
      <c r="H2579" s="182"/>
      <c r="I2579" s="182"/>
      <c r="J2579" s="182"/>
      <c r="K2579" s="183"/>
      <c r="L2579" s="182"/>
      <c r="M2579" s="182"/>
      <c r="N2579" s="182"/>
      <c r="O2579" s="183" t="s">
        <v>95</v>
      </c>
      <c r="P2579" s="183" t="s">
        <v>96</v>
      </c>
      <c r="Q2579" s="183" t="s">
        <v>97</v>
      </c>
      <c r="R2579" s="183">
        <v>26</v>
      </c>
      <c r="S2579" s="183">
        <v>16</v>
      </c>
      <c r="T2579" s="183">
        <v>10</v>
      </c>
      <c r="U2579" s="183" t="s">
        <v>97</v>
      </c>
      <c r="V2579" s="183" t="s">
        <v>7349</v>
      </c>
      <c r="W2579" s="183" t="s">
        <v>20</v>
      </c>
      <c r="X2579" s="183" t="s">
        <v>7467</v>
      </c>
      <c r="Y2579" s="184">
        <f t="shared" si="895"/>
        <v>0.01</v>
      </c>
      <c r="Z2579" s="185">
        <f t="shared" si="896"/>
        <v>1600</v>
      </c>
      <c r="AA2579" s="185" t="s">
        <v>4954</v>
      </c>
      <c r="AB2579" s="185" t="s">
        <v>7923</v>
      </c>
      <c r="AC2579" s="185"/>
      <c r="AD2579" s="649">
        <v>-0.27</v>
      </c>
      <c r="AE2579" s="182"/>
      <c r="AF2579" s="332"/>
      <c r="AG2579" s="182"/>
      <c r="AH2579" s="182"/>
      <c r="AI2579" s="182"/>
      <c r="AJ2579" s="640"/>
      <c r="AK2579" s="182"/>
      <c r="AL2579" s="496">
        <f t="shared" si="876"/>
        <v>-32</v>
      </c>
      <c r="AM2579" s="496">
        <f t="shared" si="877"/>
        <v>-320</v>
      </c>
      <c r="AN2579" s="626"/>
      <c r="AO2579" s="182"/>
      <c r="AP2579" s="182" t="s">
        <v>589</v>
      </c>
      <c r="AQ2579" s="332" t="s">
        <v>115</v>
      </c>
      <c r="AR2579" s="182" t="s">
        <v>7934</v>
      </c>
      <c r="AS2579" s="189">
        <v>-0.27</v>
      </c>
      <c r="AT2579" s="189">
        <f t="shared" si="878"/>
        <v>0</v>
      </c>
      <c r="AU2579" s="187">
        <f t="shared" si="879"/>
        <v>0</v>
      </c>
      <c r="AV2579" s="190">
        <f t="shared" si="880"/>
        <v>0</v>
      </c>
      <c r="AW2579" s="191" t="s">
        <v>115</v>
      </c>
      <c r="AX2579" s="551" t="s">
        <v>7935</v>
      </c>
      <c r="AY2579" s="551" t="s">
        <v>7936</v>
      </c>
      <c r="AZ2579" s="551"/>
      <c r="BA2579" s="551"/>
      <c r="BB2579" s="551"/>
      <c r="BC2579" s="551"/>
      <c r="BD2579" s="549"/>
      <c r="BE2579" s="550"/>
      <c r="BF2579" s="549"/>
      <c r="BG2579" s="391">
        <f>SUM($AV$2420:AV2579)</f>
        <v>-358.06520146514515</v>
      </c>
      <c r="BH2579" s="392">
        <f>SUM($AU$2420:AU2579)</f>
        <v>-855.79999999994948</v>
      </c>
      <c r="BI2579" s="318">
        <f>SUMIFS($AU$2420:AU2732,$Q$2420:Q2732,"F")</f>
        <v>-143.99999999999949</v>
      </c>
      <c r="BJ2579" s="318">
        <f>SUMIFS($AU$2420:AU2732,$Q$2420:Q2732,"S")</f>
        <v>256.00000000000466</v>
      </c>
      <c r="BK2579" s="343">
        <f>SUMIFS($AU$2420:AU2732,$P$2420:P2732,"W")</f>
        <v>-607.99999999991883</v>
      </c>
      <c r="BL2579" s="343">
        <f>SUMIFS($AU$2420:AU2732,$P$2420:P2732,"R")</f>
        <v>911.99999999999966</v>
      </c>
      <c r="BM2579" s="343">
        <f>SUMIFS($AU$2420:AU2732,$AQ$2420:AQ2732,"M")</f>
        <v>-899.79999999984489</v>
      </c>
      <c r="BN2579" s="343">
        <f>SUMIFS($AU$2420:AU2732,$AQ$2420:AQ2732,"H")</f>
        <v>1762.9999999999427</v>
      </c>
      <c r="BO2579" s="343">
        <f>SUMIFS($AU$2420:AU2732,$AQ$2420:AQ2732,"D")</f>
        <v>-767.99999999998977</v>
      </c>
      <c r="BP2579" s="343">
        <f>SUMIFS($AS$2420:AS2820,$AO$2420:AO2820,"W")</f>
        <v>0</v>
      </c>
      <c r="BQ2579" s="343">
        <f>SUMIFS($AU$2420:AU2732,$Q$2420:Q2732,"O")</f>
        <v>-884.7999999998965</v>
      </c>
      <c r="BR2579" s="343">
        <f>SUMIFS($AU$2420:AU2732,$AA$2420:AA2732,"*")</f>
        <v>-512.79999999998074</v>
      </c>
      <c r="BS2579" s="343">
        <f>SUMIFS($AU$2420:AU2732,$AB$2420:AB2732,"*")</f>
        <v>-451.99999999997726</v>
      </c>
      <c r="BT2579" s="343">
        <f>SUMIFS($AU$2420:AU2732,$AC$2420:AC2732,"*")</f>
        <v>-143.99999999999909</v>
      </c>
      <c r="BU2579" s="343">
        <f>SUMIFS($AU$2420:AU2732,$AA$2420:AA2732,"*",$AB$2420:AB2732,"*")</f>
        <v>95.999999999933891</v>
      </c>
      <c r="BV2579" s="343">
        <f>SUMIFS($AU$2420:AU2732,$AA$2420:AA2732,"*",$AC$2420:AC2732,"*")</f>
        <v>-591.99999999999977</v>
      </c>
      <c r="BW2579" s="343">
        <f>SUMIFS($AU$2420:AU2732,$AB$2420:AB2732,"*",$AC$2420:AC2732,"*")</f>
        <v>-143.99999999999966</v>
      </c>
      <c r="BX2579" s="343">
        <f>SUMIFS($AV$2420:AV2732,$Q$2420:Q2732,"F")</f>
        <v>18.153846153846242</v>
      </c>
      <c r="BY2579" s="343">
        <f>SUMIFS($AV$2420:AV2732,$Q$2420:Q2732,"S")</f>
        <v>64.044720496894826</v>
      </c>
      <c r="BZ2579" s="343">
        <f>SUMIFS($AV$2420:AV2732,$Q$2420:Q2732,"O")</f>
        <v>-458.13333333332537</v>
      </c>
    </row>
    <row r="2580" spans="1:78" ht="15.75" customHeight="1">
      <c r="A2580" s="663" t="s">
        <v>7813</v>
      </c>
      <c r="B2580" s="200">
        <v>45583</v>
      </c>
      <c r="C2580" s="178" t="s">
        <v>7717</v>
      </c>
      <c r="D2580" s="178" t="s">
        <v>111</v>
      </c>
      <c r="E2580" s="227"/>
      <c r="F2580" s="180"/>
      <c r="G2580" s="181" t="s">
        <v>7825</v>
      </c>
      <c r="H2580" s="182"/>
      <c r="I2580" s="182"/>
      <c r="J2580" s="182"/>
      <c r="K2580" s="183"/>
      <c r="L2580" s="182"/>
      <c r="M2580" s="182"/>
      <c r="N2580" s="182"/>
      <c r="O2580" s="183" t="s">
        <v>3618</v>
      </c>
      <c r="P2580" s="183"/>
      <c r="Q2580" s="183" t="s">
        <v>684</v>
      </c>
      <c r="R2580" s="183">
        <v>1</v>
      </c>
      <c r="S2580" s="183">
        <v>0</v>
      </c>
      <c r="T2580" s="183">
        <v>1</v>
      </c>
      <c r="U2580" s="183" t="s">
        <v>22</v>
      </c>
      <c r="V2580" s="183" t="s">
        <v>7349</v>
      </c>
      <c r="W2580" s="183" t="s">
        <v>7548</v>
      </c>
      <c r="X2580" s="183"/>
      <c r="Y2580" s="184">
        <f t="shared" si="895"/>
        <v>0.01</v>
      </c>
      <c r="Z2580" s="185">
        <f t="shared" si="896"/>
        <v>5800</v>
      </c>
      <c r="AA2580" s="185" t="s">
        <v>7937</v>
      </c>
      <c r="AB2580" s="185"/>
      <c r="AC2580" s="185"/>
      <c r="AD2580" s="649">
        <v>95.68</v>
      </c>
      <c r="AE2580" s="182"/>
      <c r="AF2580" s="332"/>
      <c r="AG2580" s="182"/>
      <c r="AH2580" s="182"/>
      <c r="AI2580" s="182"/>
      <c r="AJ2580" s="640"/>
      <c r="AK2580" s="182"/>
      <c r="AL2580" s="496">
        <f t="shared" si="876"/>
        <v>-116</v>
      </c>
      <c r="AM2580" s="496">
        <f t="shared" si="877"/>
        <v>-116</v>
      </c>
      <c r="AN2580" s="626"/>
      <c r="AO2580" s="182"/>
      <c r="AP2580" s="182"/>
      <c r="AQ2580" s="332" t="s">
        <v>372</v>
      </c>
      <c r="AR2580" s="182"/>
      <c r="AS2580" s="189">
        <v>95.674999999999997</v>
      </c>
      <c r="AT2580" s="189">
        <f t="shared" si="878"/>
        <v>-5.0000000000096634E-3</v>
      </c>
      <c r="AU2580" s="187">
        <f t="shared" si="879"/>
        <v>-29.000000000056048</v>
      </c>
      <c r="AV2580" s="190">
        <f t="shared" si="880"/>
        <v>-29.000000000056048</v>
      </c>
      <c r="AW2580" s="191" t="s">
        <v>229</v>
      </c>
      <c r="AX2580" s="551" t="s">
        <v>7938</v>
      </c>
      <c r="AY2580" s="551" t="s">
        <v>7939</v>
      </c>
      <c r="AZ2580" s="551" t="s">
        <v>7940</v>
      </c>
      <c r="BA2580" s="551"/>
      <c r="BB2580" s="551"/>
      <c r="BC2580" s="551"/>
      <c r="BD2580" s="549"/>
      <c r="BE2580" s="550"/>
      <c r="BF2580" s="549"/>
      <c r="BG2580" s="391">
        <f>SUM($AV$2420:AV2580)</f>
        <v>-387.0652014652012</v>
      </c>
      <c r="BH2580" s="392">
        <f>SUM($AU$2420:AU2580)</f>
        <v>-884.80000000000553</v>
      </c>
      <c r="BI2580" s="318">
        <f>SUMIFS($AU$2420:AU2733,$Q$2420:Q2733,"F")</f>
        <v>-143.99999999999949</v>
      </c>
      <c r="BJ2580" s="318">
        <f>SUMIFS($AU$2420:AU2733,$Q$2420:Q2733,"S")</f>
        <v>256.00000000000466</v>
      </c>
      <c r="BK2580" s="343">
        <f>SUMIFS($AU$2420:AU2733,$P$2420:P2733,"W")</f>
        <v>-607.99999999991883</v>
      </c>
      <c r="BL2580" s="343">
        <f>SUMIFS($AU$2420:AU2733,$P$2420:P2733,"R")</f>
        <v>911.99999999999966</v>
      </c>
      <c r="BM2580" s="343">
        <f>SUMIFS($AU$2420:AU2733,$AQ$2420:AQ2733,"M")</f>
        <v>-899.79999999984489</v>
      </c>
      <c r="BN2580" s="343">
        <f>SUMIFS($AU$2420:AU2733,$AQ$2420:AQ2733,"H")</f>
        <v>1762.9999999999427</v>
      </c>
      <c r="BO2580" s="343">
        <f>SUMIFS($AU$2420:AU2733,$AQ$2420:AQ2733,"D")</f>
        <v>-767.99999999998977</v>
      </c>
      <c r="BP2580" s="343">
        <f>SUMIFS($AS$2420:AS2821,$AO$2420:AO2821,"W")</f>
        <v>0</v>
      </c>
      <c r="BQ2580" s="343">
        <f>SUMIFS($AU$2420:AU2733,$Q$2420:Q2733,"O")</f>
        <v>-884.7999999998965</v>
      </c>
      <c r="BR2580" s="343">
        <f>SUMIFS($AU$2420:AU2733,$AA$2420:AA2733,"*")</f>
        <v>-512.79999999998074</v>
      </c>
      <c r="BS2580" s="343">
        <f>SUMIFS($AU$2420:AU2733,$AB$2420:AB2733,"*")</f>
        <v>-451.99999999997726</v>
      </c>
      <c r="BT2580" s="343">
        <f>SUMIFS($AU$2420:AU2733,$AC$2420:AC2733,"*")</f>
        <v>-143.99999999999909</v>
      </c>
      <c r="BU2580" s="343">
        <f>SUMIFS($AU$2420:AU2733,$AA$2420:AA2733,"*",$AB$2420:AB2733,"*")</f>
        <v>95.999999999933891</v>
      </c>
      <c r="BV2580" s="343">
        <f>SUMIFS($AU$2420:AU2733,$AA$2420:AA2733,"*",$AC$2420:AC2733,"*")</f>
        <v>-591.99999999999977</v>
      </c>
      <c r="BW2580" s="343">
        <f>SUMIFS($AU$2420:AU2733,$AB$2420:AB2733,"*",$AC$2420:AC2733,"*")</f>
        <v>-143.99999999999966</v>
      </c>
      <c r="BX2580" s="343">
        <f>SUMIFS($AV$2420:AV2733,$Q$2420:Q2733,"F")</f>
        <v>18.153846153846242</v>
      </c>
      <c r="BY2580" s="343">
        <f>SUMIFS($AV$2420:AV2733,$Q$2420:Q2733,"S")</f>
        <v>64.044720496894826</v>
      </c>
      <c r="BZ2580" s="343">
        <f>SUMIFS($AV$2420:AV2733,$Q$2420:Q2733,"O")</f>
        <v>-458.13333333332537</v>
      </c>
    </row>
    <row r="2581" spans="1:78" ht="15.75" customHeight="1">
      <c r="A2581" s="663" t="s">
        <v>7813</v>
      </c>
      <c r="B2581" s="200">
        <v>45583</v>
      </c>
      <c r="C2581" s="178" t="s">
        <v>7303</v>
      </c>
      <c r="D2581" s="178" t="s">
        <v>111</v>
      </c>
      <c r="E2581" s="227"/>
      <c r="F2581" s="180"/>
      <c r="G2581" s="481" t="s">
        <v>7941</v>
      </c>
      <c r="H2581" s="182"/>
      <c r="I2581" s="182"/>
      <c r="J2581" s="182"/>
      <c r="K2581" s="183"/>
      <c r="L2581" s="182"/>
      <c r="M2581" s="182"/>
      <c r="N2581" s="182"/>
      <c r="O2581" s="183" t="s">
        <v>95</v>
      </c>
      <c r="P2581" s="183" t="s">
        <v>96</v>
      </c>
      <c r="Q2581" s="183" t="s">
        <v>97</v>
      </c>
      <c r="R2581" s="183">
        <v>10</v>
      </c>
      <c r="S2581" s="183">
        <v>0</v>
      </c>
      <c r="T2581" s="183">
        <v>10</v>
      </c>
      <c r="U2581" s="183" t="s">
        <v>97</v>
      </c>
      <c r="V2581" s="183" t="s">
        <v>7349</v>
      </c>
      <c r="W2581" s="183" t="s">
        <v>20</v>
      </c>
      <c r="X2581" s="183" t="s">
        <v>7488</v>
      </c>
      <c r="Y2581" s="184">
        <f t="shared" si="895"/>
        <v>0.01</v>
      </c>
      <c r="Z2581" s="185">
        <f t="shared" si="896"/>
        <v>1600</v>
      </c>
      <c r="AA2581" s="185" t="s">
        <v>4954</v>
      </c>
      <c r="AB2581" s="185" t="s">
        <v>7942</v>
      </c>
      <c r="AC2581" s="185"/>
      <c r="AD2581" s="649">
        <v>-0.15</v>
      </c>
      <c r="AE2581" s="182"/>
      <c r="AF2581" s="332"/>
      <c r="AG2581" s="182"/>
      <c r="AH2581" s="182"/>
      <c r="AI2581" s="182"/>
      <c r="AJ2581" s="640"/>
      <c r="AK2581" s="182"/>
      <c r="AL2581" s="496">
        <f t="shared" si="876"/>
        <v>-32</v>
      </c>
      <c r="AM2581" s="496">
        <f t="shared" si="877"/>
        <v>-320</v>
      </c>
      <c r="AN2581" s="626"/>
      <c r="AO2581" s="182"/>
      <c r="AP2581" s="182" t="s">
        <v>589</v>
      </c>
      <c r="AQ2581" s="332" t="s">
        <v>115</v>
      </c>
      <c r="AR2581" s="182" t="s">
        <v>7934</v>
      </c>
      <c r="AS2581" s="189">
        <v>-0.15</v>
      </c>
      <c r="AT2581" s="189">
        <f t="shared" si="878"/>
        <v>0</v>
      </c>
      <c r="AU2581" s="187">
        <f t="shared" si="879"/>
        <v>0</v>
      </c>
      <c r="AV2581" s="190">
        <f t="shared" si="880"/>
        <v>0</v>
      </c>
      <c r="AW2581" s="191" t="s">
        <v>115</v>
      </c>
      <c r="AX2581" s="551"/>
      <c r="AY2581" s="551"/>
      <c r="AZ2581" s="551"/>
      <c r="BA2581" s="551"/>
      <c r="BB2581" s="551"/>
      <c r="BC2581" s="551"/>
      <c r="BD2581" s="549"/>
      <c r="BE2581" s="550"/>
      <c r="BF2581" s="549"/>
      <c r="BG2581" s="391">
        <f>SUM($AV$2420:AV2581)</f>
        <v>-387.0652014652012</v>
      </c>
      <c r="BH2581" s="392">
        <f>SUM($AU$2420:AU2581)</f>
        <v>-884.80000000000553</v>
      </c>
      <c r="BI2581" s="318">
        <f>SUMIFS($AU$2420:AU2734,$Q$2420:Q2734,"F")</f>
        <v>-143.99999999999949</v>
      </c>
      <c r="BJ2581" s="318">
        <f>SUMIFS($AU$2420:AU2734,$Q$2420:Q2734,"S")</f>
        <v>256.00000000000466</v>
      </c>
      <c r="BK2581" s="343">
        <f>SUMIFS($AU$2420:AU2734,$P$2420:P2734,"W")</f>
        <v>-607.99999999991883</v>
      </c>
      <c r="BL2581" s="343">
        <f>SUMIFS($AU$2420:AU2734,$P$2420:P2734,"R")</f>
        <v>911.99999999999966</v>
      </c>
      <c r="BM2581" s="343">
        <f>SUMIFS($AU$2420:AU2734,$AQ$2420:AQ2734,"M")</f>
        <v>-899.79999999984489</v>
      </c>
      <c r="BN2581" s="343">
        <f>SUMIFS($AU$2420:AU2734,$AQ$2420:AQ2734,"H")</f>
        <v>1762.9999999999427</v>
      </c>
      <c r="BO2581" s="343">
        <f>SUMIFS($AU$2420:AU2734,$AQ$2420:AQ2734,"D")</f>
        <v>-767.99999999998977</v>
      </c>
      <c r="BP2581" s="343">
        <f>SUMIFS($AS$2420:AS2822,$AO$2420:AO2822,"W")</f>
        <v>0</v>
      </c>
      <c r="BQ2581" s="343">
        <f>SUMIFS($AU$2420:AU2734,$Q$2420:Q2734,"O")</f>
        <v>-884.7999999998965</v>
      </c>
      <c r="BR2581" s="343">
        <f>SUMIFS($AU$2420:AU2734,$AA$2420:AA2734,"*")</f>
        <v>-512.79999999998074</v>
      </c>
      <c r="BS2581" s="343">
        <f>SUMIFS($AU$2420:AU2734,$AB$2420:AB2734,"*")</f>
        <v>-451.99999999997726</v>
      </c>
      <c r="BT2581" s="343">
        <f>SUMIFS($AU$2420:AU2734,$AC$2420:AC2734,"*")</f>
        <v>-143.99999999999909</v>
      </c>
      <c r="BU2581" s="343">
        <f>SUMIFS($AU$2420:AU2734,$AA$2420:AA2734,"*",$AB$2420:AB2734,"*")</f>
        <v>95.999999999933891</v>
      </c>
      <c r="BV2581" s="343">
        <f>SUMIFS($AU$2420:AU2734,$AA$2420:AA2734,"*",$AC$2420:AC2734,"*")</f>
        <v>-591.99999999999977</v>
      </c>
      <c r="BW2581" s="343">
        <f>SUMIFS($AU$2420:AU2734,$AB$2420:AB2734,"*",$AC$2420:AC2734,"*")</f>
        <v>-143.99999999999966</v>
      </c>
      <c r="BX2581" s="343">
        <f>SUMIFS($AV$2420:AV2734,$Q$2420:Q2734,"F")</f>
        <v>18.153846153846242</v>
      </c>
      <c r="BY2581" s="343">
        <f>SUMIFS($AV$2420:AV2734,$Q$2420:Q2734,"S")</f>
        <v>64.044720496894826</v>
      </c>
      <c r="BZ2581" s="343">
        <f>SUMIFS($AV$2420:AV2734,$Q$2420:Q2734,"O")</f>
        <v>-458.13333333332537</v>
      </c>
    </row>
    <row r="2582" spans="1:78" ht="15.75" customHeight="1">
      <c r="A2582" s="663" t="s">
        <v>7813</v>
      </c>
      <c r="B2582" s="200">
        <v>45586</v>
      </c>
      <c r="C2582" s="178" t="s">
        <v>7943</v>
      </c>
      <c r="D2582" s="178" t="s">
        <v>132</v>
      </c>
      <c r="E2582" s="227"/>
      <c r="F2582" s="180"/>
      <c r="G2582" s="481" t="s">
        <v>7944</v>
      </c>
      <c r="H2582" s="182"/>
      <c r="I2582" s="182"/>
      <c r="J2582" s="182"/>
      <c r="K2582" s="183"/>
      <c r="L2582" s="182"/>
      <c r="M2582" s="182"/>
      <c r="N2582" s="182"/>
      <c r="O2582" s="183" t="s">
        <v>95</v>
      </c>
      <c r="P2582" s="183" t="s">
        <v>137</v>
      </c>
      <c r="Q2582" s="183" t="s">
        <v>97</v>
      </c>
      <c r="R2582" s="183">
        <v>32</v>
      </c>
      <c r="S2582" s="183">
        <v>0</v>
      </c>
      <c r="T2582" s="183">
        <v>32</v>
      </c>
      <c r="U2582" s="183" t="s">
        <v>97</v>
      </c>
      <c r="V2582" s="183" t="s">
        <v>7357</v>
      </c>
      <c r="W2582" s="183" t="s">
        <v>20</v>
      </c>
      <c r="X2582" s="183" t="s">
        <v>7467</v>
      </c>
      <c r="Y2582" s="184">
        <f t="shared" si="895"/>
        <v>0.01</v>
      </c>
      <c r="Z2582" s="185">
        <f t="shared" si="896"/>
        <v>1600</v>
      </c>
      <c r="AA2582" s="185" t="s">
        <v>7945</v>
      </c>
      <c r="AB2582" s="185"/>
      <c r="AC2582" s="185" t="s">
        <v>7946</v>
      </c>
      <c r="AD2582" s="649">
        <v>0.03</v>
      </c>
      <c r="AE2582" s="182"/>
      <c r="AF2582" s="332"/>
      <c r="AG2582" s="182"/>
      <c r="AH2582" s="182"/>
      <c r="AI2582" s="182"/>
      <c r="AJ2582" s="640"/>
      <c r="AK2582" s="182"/>
      <c r="AL2582" s="496">
        <f t="shared" si="876"/>
        <v>-32</v>
      </c>
      <c r="AM2582" s="496">
        <f t="shared" si="877"/>
        <v>-1024</v>
      </c>
      <c r="AN2582" s="626"/>
      <c r="AO2582" s="182"/>
      <c r="AP2582" s="182" t="s">
        <v>804</v>
      </c>
      <c r="AQ2582" s="332" t="s">
        <v>115</v>
      </c>
      <c r="AR2582" s="182" t="s">
        <v>7934</v>
      </c>
      <c r="AS2582" s="189">
        <v>0.03</v>
      </c>
      <c r="AT2582" s="189">
        <f t="shared" si="878"/>
        <v>0</v>
      </c>
      <c r="AU2582" s="187">
        <f t="shared" si="879"/>
        <v>0</v>
      </c>
      <c r="AV2582" s="190">
        <f t="shared" si="880"/>
        <v>0</v>
      </c>
      <c r="AW2582" s="191" t="s">
        <v>115</v>
      </c>
      <c r="AX2582" s="551" t="s">
        <v>7947</v>
      </c>
      <c r="AY2582" s="551" t="s">
        <v>7948</v>
      </c>
      <c r="AZ2582" s="551" t="s">
        <v>7949</v>
      </c>
      <c r="BA2582" s="551"/>
      <c r="BB2582" s="551"/>
      <c r="BC2582" s="551"/>
      <c r="BD2582" s="549"/>
      <c r="BE2582" s="550"/>
      <c r="BF2582" s="549"/>
      <c r="BG2582" s="391">
        <f>SUM($AV$2420:AV2582)</f>
        <v>-387.0652014652012</v>
      </c>
      <c r="BH2582" s="392">
        <f>SUM($AU$2420:AU2582)</f>
        <v>-884.80000000000553</v>
      </c>
      <c r="BI2582" s="318">
        <f>SUMIFS($AU$2420:AU2735,$Q$2420:Q2735,"F")</f>
        <v>-143.99999999999949</v>
      </c>
      <c r="BJ2582" s="318">
        <f>SUMIFS($AU$2420:AU2735,$Q$2420:Q2735,"S")</f>
        <v>256.00000000000466</v>
      </c>
      <c r="BK2582" s="343">
        <f>SUMIFS($AU$2420:AU2735,$P$2420:P2735,"W")</f>
        <v>-607.99999999991883</v>
      </c>
      <c r="BL2582" s="343">
        <f>SUMIFS($AU$2420:AU2735,$P$2420:P2735,"R")</f>
        <v>911.99999999999966</v>
      </c>
      <c r="BM2582" s="343">
        <f>SUMIFS($AU$2420:AU2735,$AQ$2420:AQ2735,"M")</f>
        <v>-899.79999999984489</v>
      </c>
      <c r="BN2582" s="343">
        <f>SUMIFS($AU$2420:AU2735,$AQ$2420:AQ2735,"H")</f>
        <v>1762.9999999999427</v>
      </c>
      <c r="BO2582" s="343">
        <f>SUMIFS($AU$2420:AU2735,$AQ$2420:AQ2735,"D")</f>
        <v>-767.99999999998977</v>
      </c>
      <c r="BP2582" s="343">
        <f>SUMIFS($AS$2420:AS2823,$AO$2420:AO2823,"W")</f>
        <v>0</v>
      </c>
      <c r="BQ2582" s="343">
        <f>SUMIFS($AU$2420:AU2735,$Q$2420:Q2735,"O")</f>
        <v>-884.7999999998965</v>
      </c>
      <c r="BR2582" s="343">
        <f>SUMIFS($AU$2420:AU2735,$AA$2420:AA2735,"*")</f>
        <v>-512.79999999998074</v>
      </c>
      <c r="BS2582" s="343">
        <f>SUMIFS($AU$2420:AU2735,$AB$2420:AB2735,"*")</f>
        <v>-451.99999999997726</v>
      </c>
      <c r="BT2582" s="343">
        <f>SUMIFS($AU$2420:AU2735,$AC$2420:AC2735,"*")</f>
        <v>-143.99999999999909</v>
      </c>
      <c r="BU2582" s="343">
        <f>SUMIFS($AU$2420:AU2735,$AA$2420:AA2735,"*",$AB$2420:AB2735,"*")</f>
        <v>95.999999999933891</v>
      </c>
      <c r="BV2582" s="343">
        <f>SUMIFS($AU$2420:AU2735,$AA$2420:AA2735,"*",$AC$2420:AC2735,"*")</f>
        <v>-591.99999999999977</v>
      </c>
      <c r="BW2582" s="343">
        <f>SUMIFS($AU$2420:AU2735,$AB$2420:AB2735,"*",$AC$2420:AC2735,"*")</f>
        <v>-143.99999999999966</v>
      </c>
      <c r="BX2582" s="343">
        <f>SUMIFS($AV$2420:AV2735,$Q$2420:Q2735,"F")</f>
        <v>18.153846153846242</v>
      </c>
      <c r="BY2582" s="343">
        <f>SUMIFS($AV$2420:AV2735,$Q$2420:Q2735,"S")</f>
        <v>64.044720496894826</v>
      </c>
      <c r="BZ2582" s="343">
        <f>SUMIFS($AV$2420:AV2735,$Q$2420:Q2735,"O")</f>
        <v>-458.13333333332537</v>
      </c>
    </row>
    <row r="2583" spans="1:78" ht="15.75" customHeight="1">
      <c r="A2583" s="663" t="s">
        <v>7813</v>
      </c>
      <c r="B2583" s="200">
        <v>45587</v>
      </c>
      <c r="C2583" s="178" t="s">
        <v>7717</v>
      </c>
      <c r="D2583" s="178" t="s">
        <v>146</v>
      </c>
      <c r="E2583" s="666" t="s">
        <v>7950</v>
      </c>
      <c r="F2583" s="180"/>
      <c r="G2583" s="481" t="s">
        <v>7159</v>
      </c>
      <c r="H2583" s="182"/>
      <c r="I2583" s="182"/>
      <c r="J2583" s="182"/>
      <c r="K2583" s="183"/>
      <c r="L2583" s="182"/>
      <c r="M2583" s="182"/>
      <c r="N2583" s="182"/>
      <c r="O2583" s="183" t="s">
        <v>95</v>
      </c>
      <c r="P2583" s="183" t="s">
        <v>137</v>
      </c>
      <c r="Q2583" s="183" t="s">
        <v>97</v>
      </c>
      <c r="R2583" s="183">
        <v>23</v>
      </c>
      <c r="S2583" s="183">
        <v>0</v>
      </c>
      <c r="T2583" s="183">
        <v>23</v>
      </c>
      <c r="U2583" s="183" t="s">
        <v>97</v>
      </c>
      <c r="V2583" s="183" t="s">
        <v>7349</v>
      </c>
      <c r="W2583" s="183" t="s">
        <v>20</v>
      </c>
      <c r="X2583" s="183" t="s">
        <v>7467</v>
      </c>
      <c r="Y2583" s="184">
        <f t="shared" si="895"/>
        <v>0.01</v>
      </c>
      <c r="Z2583" s="185">
        <f t="shared" si="896"/>
        <v>1600</v>
      </c>
      <c r="AA2583" s="185" t="s">
        <v>1824</v>
      </c>
      <c r="AB2583" s="185" t="s">
        <v>7951</v>
      </c>
      <c r="AC2583" s="185"/>
      <c r="AD2583" s="649">
        <f>((-0.26*7)+(-0.25*16))/23</f>
        <v>-0.25304347826086959</v>
      </c>
      <c r="AE2583" s="182"/>
      <c r="AF2583" s="332"/>
      <c r="AG2583" s="182"/>
      <c r="AH2583" s="182"/>
      <c r="AI2583" s="182"/>
      <c r="AJ2583" s="640"/>
      <c r="AK2583" s="182"/>
      <c r="AL2583" s="496">
        <f t="shared" si="876"/>
        <v>-32</v>
      </c>
      <c r="AM2583" s="496">
        <f t="shared" si="877"/>
        <v>-736</v>
      </c>
      <c r="AN2583" s="626"/>
      <c r="AO2583" s="182"/>
      <c r="AP2583" s="182"/>
      <c r="AQ2583" s="332" t="s">
        <v>372</v>
      </c>
      <c r="AR2583" s="182" t="s">
        <v>146</v>
      </c>
      <c r="AS2583" s="189">
        <v>-0.25</v>
      </c>
      <c r="AT2583" s="189">
        <f t="shared" si="878"/>
        <v>-3.0434782608695921E-3</v>
      </c>
      <c r="AU2583" s="187">
        <f t="shared" si="879"/>
        <v>-112.00000000000099</v>
      </c>
      <c r="AV2583" s="190">
        <f t="shared" si="880"/>
        <v>-4.8695652173913473</v>
      </c>
      <c r="AW2583" s="191" t="s">
        <v>229</v>
      </c>
      <c r="AX2583" s="551" t="s">
        <v>5062</v>
      </c>
      <c r="AY2583" s="551"/>
      <c r="AZ2583" s="551"/>
      <c r="BA2583" s="551"/>
      <c r="BB2583" s="551"/>
      <c r="BC2583" s="551"/>
      <c r="BD2583" s="549"/>
      <c r="BE2583" s="550"/>
      <c r="BF2583" s="549"/>
      <c r="BG2583" s="391">
        <f>SUM($AV$2420:AV2583)</f>
        <v>-391.93476668259257</v>
      </c>
      <c r="BH2583" s="392">
        <f>SUM($AU$2420:AU2583)</f>
        <v>-996.80000000000655</v>
      </c>
      <c r="BI2583" s="318">
        <f>SUMIFS($AU$2420:AU2736,$Q$2420:Q2736,"F")</f>
        <v>-143.99999999999949</v>
      </c>
      <c r="BJ2583" s="318">
        <f>SUMIFS($AU$2420:AU2736,$Q$2420:Q2736,"S")</f>
        <v>256.00000000000466</v>
      </c>
      <c r="BK2583" s="343">
        <f>SUMIFS($AU$2420:AU2736,$P$2420:P2736,"W")</f>
        <v>-607.99999999991883</v>
      </c>
      <c r="BL2583" s="343">
        <f>SUMIFS($AU$2420:AU2736,$P$2420:P2736,"R")</f>
        <v>911.99999999999966</v>
      </c>
      <c r="BM2583" s="343">
        <f>SUMIFS($AU$2420:AU2736,$AQ$2420:AQ2736,"M")</f>
        <v>-899.79999999984489</v>
      </c>
      <c r="BN2583" s="343">
        <f>SUMIFS($AU$2420:AU2736,$AQ$2420:AQ2736,"H")</f>
        <v>1762.9999999999427</v>
      </c>
      <c r="BO2583" s="343">
        <f>SUMIFS($AU$2420:AU2736,$AQ$2420:AQ2736,"D")</f>
        <v>-767.99999999998977</v>
      </c>
      <c r="BP2583" s="343">
        <f>SUMIFS($AS$2420:AS2824,$AO$2420:AO2824,"W")</f>
        <v>0</v>
      </c>
      <c r="BQ2583" s="343">
        <f>SUMIFS($AU$2420:AU2736,$Q$2420:Q2736,"O")</f>
        <v>-884.7999999998965</v>
      </c>
      <c r="BR2583" s="343">
        <f>SUMIFS($AU$2420:AU2736,$AA$2420:AA2736,"*")</f>
        <v>-512.79999999998074</v>
      </c>
      <c r="BS2583" s="343">
        <f>SUMIFS($AU$2420:AU2736,$AB$2420:AB2736,"*")</f>
        <v>-451.99999999997726</v>
      </c>
      <c r="BT2583" s="343">
        <f>SUMIFS($AU$2420:AU2736,$AC$2420:AC2736,"*")</f>
        <v>-143.99999999999909</v>
      </c>
      <c r="BU2583" s="343">
        <f>SUMIFS($AU$2420:AU2736,$AA$2420:AA2736,"*",$AB$2420:AB2736,"*")</f>
        <v>95.999999999933891</v>
      </c>
      <c r="BV2583" s="343">
        <f>SUMIFS($AU$2420:AU2736,$AA$2420:AA2736,"*",$AC$2420:AC2736,"*")</f>
        <v>-591.99999999999977</v>
      </c>
      <c r="BW2583" s="343">
        <f>SUMIFS($AU$2420:AU2736,$AB$2420:AB2736,"*",$AC$2420:AC2736,"*")</f>
        <v>-143.99999999999966</v>
      </c>
      <c r="BX2583" s="343">
        <f>SUMIFS($AV$2420:AV2736,$Q$2420:Q2736,"F")</f>
        <v>18.153846153846242</v>
      </c>
      <c r="BY2583" s="343">
        <f>SUMIFS($AV$2420:AV2736,$Q$2420:Q2736,"S")</f>
        <v>64.044720496894826</v>
      </c>
      <c r="BZ2583" s="343">
        <f>SUMIFS($AV$2420:AV2736,$Q$2420:Q2736,"O")</f>
        <v>-458.13333333332537</v>
      </c>
    </row>
    <row r="2584" spans="1:78" ht="15.75" customHeight="1">
      <c r="A2584" s="663" t="s">
        <v>7813</v>
      </c>
      <c r="B2584" s="200"/>
      <c r="C2584" s="178"/>
      <c r="D2584" s="178"/>
      <c r="E2584" s="227"/>
      <c r="F2584" s="180"/>
      <c r="G2584" s="181"/>
      <c r="H2584" s="182"/>
      <c r="I2584" s="182"/>
      <c r="J2584" s="182"/>
      <c r="K2584" s="183"/>
      <c r="L2584" s="182"/>
      <c r="M2584" s="182"/>
      <c r="N2584" s="182"/>
      <c r="O2584" s="183"/>
      <c r="P2584" s="183"/>
      <c r="Q2584" s="183"/>
      <c r="R2584" s="183"/>
      <c r="S2584" s="183"/>
      <c r="T2584" s="183"/>
      <c r="U2584" s="183"/>
      <c r="V2584" s="183"/>
      <c r="W2584" s="183"/>
      <c r="X2584" s="183"/>
      <c r="Y2584" s="183"/>
      <c r="Z2584" s="183"/>
      <c r="AA2584" s="185"/>
      <c r="AB2584" s="185"/>
      <c r="AC2584" s="185"/>
      <c r="AD2584" s="649"/>
      <c r="AE2584" s="182"/>
      <c r="AF2584" s="332"/>
      <c r="AG2584" s="182"/>
      <c r="AH2584" s="182"/>
      <c r="AI2584" s="182"/>
      <c r="AJ2584" s="640"/>
      <c r="AK2584" s="182"/>
      <c r="AL2584" s="496">
        <f t="shared" si="876"/>
        <v>0</v>
      </c>
      <c r="AM2584" s="496">
        <f t="shared" si="877"/>
        <v>0</v>
      </c>
      <c r="AN2584" s="626"/>
      <c r="AO2584" s="182"/>
      <c r="AP2584" s="182"/>
      <c r="AQ2584" s="332" t="str">
        <f>UPPER(RIGHT(Journal_Live[[#This Row],[DURATION ]]))</f>
        <v/>
      </c>
      <c r="AR2584" s="182"/>
      <c r="AS2584" s="189"/>
      <c r="AT2584" s="189">
        <f t="shared" si="878"/>
        <v>0</v>
      </c>
      <c r="AU2584" s="187">
        <f t="shared" si="879"/>
        <v>0</v>
      </c>
      <c r="AV2584" s="190">
        <f t="shared" si="880"/>
        <v>0</v>
      </c>
      <c r="AW2584" s="191"/>
      <c r="AX2584" t="s">
        <v>7950</v>
      </c>
      <c r="AY2584" t="s">
        <v>7952</v>
      </c>
      <c r="AZ2584" s="667" t="s">
        <v>7953</v>
      </c>
      <c r="BA2584" s="668" t="s">
        <v>7954</v>
      </c>
      <c r="BB2584" s="551"/>
      <c r="BC2584" s="551"/>
      <c r="BD2584" s="549"/>
      <c r="BE2584" s="550"/>
      <c r="BF2584" s="549"/>
      <c r="BG2584" s="391">
        <f>SUM($AV$2420:AV2584)</f>
        <v>-391.93476668259257</v>
      </c>
      <c r="BH2584" s="392">
        <f>SUM($AU$2420:AU2584)</f>
        <v>-996.80000000000655</v>
      </c>
      <c r="BI2584" s="318">
        <f>SUMIFS($AU$2420:AU2737,$Q$2420:Q2737,"F")</f>
        <v>-143.99999999999949</v>
      </c>
      <c r="BJ2584" s="318">
        <f>SUMIFS($AU$2420:AU2737,$Q$2420:Q2737,"S")</f>
        <v>256.00000000000466</v>
      </c>
      <c r="BK2584" s="343">
        <f>SUMIFS($AU$2420:AU2737,$P$2420:P2737,"W")</f>
        <v>-607.99999999991883</v>
      </c>
      <c r="BL2584" s="343">
        <f>SUMIFS($AU$2420:AU2737,$P$2420:P2737,"R")</f>
        <v>911.99999999999966</v>
      </c>
      <c r="BM2584" s="343">
        <f>SUMIFS($AU$2420:AU2737,$AQ$2420:AQ2737,"M")</f>
        <v>-899.79999999984489</v>
      </c>
      <c r="BN2584" s="343">
        <f>SUMIFS($AU$2420:AU2737,$AQ$2420:AQ2737,"H")</f>
        <v>1762.9999999999427</v>
      </c>
      <c r="BO2584" s="343">
        <f>SUMIFS($AU$2420:AU2737,$AQ$2420:AQ2737,"D")</f>
        <v>-767.99999999998977</v>
      </c>
      <c r="BP2584" s="343">
        <f>SUMIFS($AS$2420:AS2825,$AO$2420:AO2825,"W")</f>
        <v>0</v>
      </c>
      <c r="BQ2584" s="343">
        <f>SUMIFS($AU$2420:AU2737,$Q$2420:Q2737,"O")</f>
        <v>-884.7999999998965</v>
      </c>
      <c r="BR2584" s="343">
        <f>SUMIFS($AU$2420:AU2737,$AA$2420:AA2737,"*")</f>
        <v>-512.79999999998074</v>
      </c>
      <c r="BS2584" s="343">
        <f>SUMIFS($AU$2420:AU2737,$AB$2420:AB2737,"*")</f>
        <v>-451.99999999997726</v>
      </c>
      <c r="BT2584" s="343">
        <f>SUMIFS($AU$2420:AU2737,$AC$2420:AC2737,"*")</f>
        <v>-143.99999999999909</v>
      </c>
      <c r="BU2584" s="343">
        <f>SUMIFS($AU$2420:AU2737,$AA$2420:AA2737,"*",$AB$2420:AB2737,"*")</f>
        <v>95.999999999933891</v>
      </c>
      <c r="BV2584" s="343">
        <f>SUMIFS($AU$2420:AU2737,$AA$2420:AA2737,"*",$AC$2420:AC2737,"*")</f>
        <v>-591.99999999999977</v>
      </c>
      <c r="BW2584" s="343">
        <f>SUMIFS($AU$2420:AU2737,$AB$2420:AB2737,"*",$AC$2420:AC2737,"*")</f>
        <v>-143.99999999999966</v>
      </c>
      <c r="BX2584" s="343">
        <f>SUMIFS($AV$2420:AV2737,$Q$2420:Q2737,"F")</f>
        <v>18.153846153846242</v>
      </c>
      <c r="BY2584" s="343">
        <f>SUMIFS($AV$2420:AV2737,$Q$2420:Q2737,"S")</f>
        <v>64.044720496894826</v>
      </c>
      <c r="BZ2584" s="343">
        <f>SUMIFS($AV$2420:AV2737,$Q$2420:Q2737,"O")</f>
        <v>-458.13333333332537</v>
      </c>
    </row>
    <row r="2585" spans="1:78" ht="15.75" customHeight="1">
      <c r="A2585" s="663" t="s">
        <v>7813</v>
      </c>
      <c r="B2585" s="200"/>
      <c r="C2585" s="178"/>
      <c r="D2585" s="178"/>
      <c r="E2585" s="227"/>
      <c r="F2585" s="180"/>
      <c r="G2585" s="181"/>
      <c r="H2585" s="182"/>
      <c r="I2585" s="182"/>
      <c r="J2585" s="182"/>
      <c r="K2585" s="183"/>
      <c r="L2585" s="182"/>
      <c r="M2585" s="182"/>
      <c r="N2585" s="182"/>
      <c r="O2585" s="183"/>
      <c r="P2585" s="183"/>
      <c r="Q2585" s="183"/>
      <c r="R2585" s="183"/>
      <c r="S2585" s="183"/>
      <c r="T2585" s="183"/>
      <c r="U2585" s="183"/>
      <c r="V2585" s="183"/>
      <c r="W2585" s="183"/>
      <c r="X2585" s="183"/>
      <c r="Y2585" s="183"/>
      <c r="Z2585" s="183"/>
      <c r="AA2585" s="185"/>
      <c r="AB2585" s="185"/>
      <c r="AC2585" s="185"/>
      <c r="AD2585" s="649"/>
      <c r="AE2585" s="182"/>
      <c r="AF2585" s="332"/>
      <c r="AG2585" s="182"/>
      <c r="AH2585" s="182"/>
      <c r="AI2585" s="182"/>
      <c r="AJ2585" s="640"/>
      <c r="AK2585" s="182"/>
      <c r="AL2585" s="496">
        <f t="shared" si="876"/>
        <v>0</v>
      </c>
      <c r="AM2585" s="496">
        <f t="shared" si="877"/>
        <v>0</v>
      </c>
      <c r="AN2585" s="626"/>
      <c r="AO2585" s="182"/>
      <c r="AP2585" s="182"/>
      <c r="AQ2585" s="332" t="str">
        <f>UPPER(RIGHT(Journal_Live[[#This Row],[DURATION ]]))</f>
        <v/>
      </c>
      <c r="AR2585" s="182"/>
      <c r="AS2585" s="189"/>
      <c r="AT2585" s="189">
        <f t="shared" si="878"/>
        <v>0</v>
      </c>
      <c r="AU2585" s="187">
        <f t="shared" si="879"/>
        <v>0</v>
      </c>
      <c r="AV2585" s="190">
        <f t="shared" si="880"/>
        <v>0</v>
      </c>
      <c r="AW2585" s="191"/>
      <c r="AX2585" s="549"/>
      <c r="AY2585" s="549"/>
      <c r="AZ2585" s="549"/>
      <c r="BA2585" s="549"/>
      <c r="BB2585" s="549"/>
      <c r="BC2585" s="551"/>
      <c r="BD2585" s="549"/>
      <c r="BE2585" s="550"/>
      <c r="BF2585" s="549"/>
      <c r="BG2585" s="391">
        <f>SUM($AV$2420:AV2585)</f>
        <v>-391.93476668259257</v>
      </c>
      <c r="BH2585" s="392">
        <f>SUM($AU$2420:AU2585)</f>
        <v>-996.80000000000655</v>
      </c>
      <c r="BI2585" s="318">
        <f>SUMIFS($AU$2420:AU2738,$Q$2420:Q2738,"F")</f>
        <v>-143.99999999999949</v>
      </c>
      <c r="BJ2585" s="318">
        <f>SUMIFS($AU$2420:AU2738,$Q$2420:Q2738,"S")</f>
        <v>256.00000000000466</v>
      </c>
      <c r="BK2585" s="343">
        <f>SUMIFS($AU$2420:AU2738,$P$2420:P2738,"W")</f>
        <v>-607.99999999991883</v>
      </c>
      <c r="BL2585" s="343">
        <f>SUMIFS($AU$2420:AU2738,$P$2420:P2738,"R")</f>
        <v>911.99999999999966</v>
      </c>
      <c r="BM2585" s="343">
        <f>SUMIFS($AU$2420:AU2738,$AQ$2420:AQ2738,"M")</f>
        <v>-899.79999999984489</v>
      </c>
      <c r="BN2585" s="343">
        <f>SUMIFS($AU$2420:AU2738,$AQ$2420:AQ2738,"H")</f>
        <v>1762.9999999999427</v>
      </c>
      <c r="BO2585" s="343">
        <f>SUMIFS($AU$2420:AU2738,$AQ$2420:AQ2738,"D")</f>
        <v>-767.99999999998977</v>
      </c>
      <c r="BP2585" s="343">
        <f>SUMIFS($AS$2420:AS2826,$AO$2420:AO2826,"W")</f>
        <v>0</v>
      </c>
      <c r="BQ2585" s="343">
        <f>SUMIFS($AU$2420:AU2738,$Q$2420:Q2738,"O")</f>
        <v>-884.7999999998965</v>
      </c>
      <c r="BR2585" s="343">
        <f>SUMIFS($AU$2420:AU2738,$AA$2420:AA2738,"*")</f>
        <v>-512.79999999998074</v>
      </c>
      <c r="BS2585" s="343">
        <f>SUMIFS($AU$2420:AU2738,$AB$2420:AB2738,"*")</f>
        <v>-451.99999999997726</v>
      </c>
      <c r="BT2585" s="343">
        <f>SUMIFS($AU$2420:AU2738,$AC$2420:AC2738,"*")</f>
        <v>-143.99999999999909</v>
      </c>
      <c r="BU2585" s="343">
        <f>SUMIFS($AU$2420:AU2738,$AA$2420:AA2738,"*",$AB$2420:AB2738,"*")</f>
        <v>95.999999999933891</v>
      </c>
      <c r="BV2585" s="343">
        <f>SUMIFS($AU$2420:AU2738,$AA$2420:AA2738,"*",$AC$2420:AC2738,"*")</f>
        <v>-591.99999999999977</v>
      </c>
      <c r="BW2585" s="343">
        <f>SUMIFS($AU$2420:AU2738,$AB$2420:AB2738,"*",$AC$2420:AC2738,"*")</f>
        <v>-143.99999999999966</v>
      </c>
      <c r="BX2585" s="343">
        <f>SUMIFS($AV$2420:AV2738,$Q$2420:Q2738,"F")</f>
        <v>18.153846153846242</v>
      </c>
      <c r="BY2585" s="343">
        <f>SUMIFS($AV$2420:AV2738,$Q$2420:Q2738,"S")</f>
        <v>64.044720496894826</v>
      </c>
      <c r="BZ2585" s="343">
        <f>SUMIFS($AV$2420:AV2738,$Q$2420:Q2738,"O")</f>
        <v>-458.13333333332537</v>
      </c>
    </row>
    <row r="2586" spans="1:78" ht="15.75" customHeight="1">
      <c r="A2586" s="663" t="s">
        <v>7813</v>
      </c>
      <c r="B2586" s="200">
        <v>45588</v>
      </c>
      <c r="C2586" s="178" t="s">
        <v>7717</v>
      </c>
      <c r="D2586" s="178" t="s">
        <v>151</v>
      </c>
      <c r="E2586" s="227"/>
      <c r="F2586" s="180"/>
      <c r="G2586" s="181" t="s">
        <v>1694</v>
      </c>
      <c r="H2586" s="182"/>
      <c r="I2586" s="182"/>
      <c r="J2586" s="182"/>
      <c r="K2586" s="183"/>
      <c r="L2586" s="182"/>
      <c r="M2586" s="182"/>
      <c r="N2586" s="182"/>
      <c r="O2586" s="183" t="s">
        <v>95</v>
      </c>
      <c r="P2586" s="183" t="s">
        <v>96</v>
      </c>
      <c r="Q2586" s="183" t="s">
        <v>684</v>
      </c>
      <c r="R2586" s="183">
        <v>14</v>
      </c>
      <c r="S2586" s="183">
        <v>0</v>
      </c>
      <c r="T2586" s="183">
        <v>14</v>
      </c>
      <c r="U2586" s="183" t="s">
        <v>22</v>
      </c>
      <c r="V2586" s="183" t="s">
        <v>7349</v>
      </c>
      <c r="W2586" s="183" t="s">
        <v>20</v>
      </c>
      <c r="X2586" s="183"/>
      <c r="Y2586" s="184">
        <f t="shared" ref="Y2586" si="897">IF(ISBLANK(O2586),"",(IF(O2586=UPPER("IB"),0.005,0.01)))</f>
        <v>0.01</v>
      </c>
      <c r="Z2586" s="185">
        <f t="shared" ref="Z2586" si="898">IF(ISBLANK(O2586),"",IF(O2586="IB",8.63*200,IF(O2586="IR",16*100,IF(O2586="YT",20*100,IF(O2586="YT-XT",24*200,IF(O2586="TED",80*100,IF(O2586="XT",29*200)))))))</f>
        <v>1600</v>
      </c>
      <c r="AA2586" s="185"/>
      <c r="AB2586" s="185" t="s">
        <v>7955</v>
      </c>
      <c r="AC2586" s="185"/>
      <c r="AD2586" s="649">
        <v>95.63</v>
      </c>
      <c r="AE2586" s="182"/>
      <c r="AF2586" s="332"/>
      <c r="AG2586" s="182"/>
      <c r="AH2586" s="182"/>
      <c r="AI2586" s="182"/>
      <c r="AJ2586" s="640"/>
      <c r="AK2586" s="182"/>
      <c r="AL2586" s="496">
        <f t="shared" si="876"/>
        <v>-32</v>
      </c>
      <c r="AM2586" s="496">
        <f t="shared" si="877"/>
        <v>-448</v>
      </c>
      <c r="AN2586" s="626"/>
      <c r="AO2586" s="182"/>
      <c r="AP2586" s="182" t="s">
        <v>2527</v>
      </c>
      <c r="AQ2586" s="332" t="s">
        <v>372</v>
      </c>
      <c r="AR2586" s="182"/>
      <c r="AS2586" s="189">
        <v>95.64</v>
      </c>
      <c r="AT2586" s="189">
        <f t="shared" si="878"/>
        <v>1.0000000000005116E-2</v>
      </c>
      <c r="AU2586" s="187">
        <f t="shared" si="879"/>
        <v>224.0000000001146</v>
      </c>
      <c r="AV2586" s="190">
        <f t="shared" si="880"/>
        <v>16.000000000008185</v>
      </c>
      <c r="AW2586" s="191" t="s">
        <v>96</v>
      </c>
      <c r="AX2586" s="551"/>
      <c r="AY2586" s="551"/>
      <c r="AZ2586" s="551"/>
      <c r="BA2586" s="551"/>
      <c r="BB2586" s="551"/>
      <c r="BC2586" s="551"/>
      <c r="BD2586" s="549"/>
      <c r="BE2586" s="550"/>
      <c r="BF2586" s="549"/>
      <c r="BG2586" s="391">
        <f>SUM($AV$2420:AV2586)</f>
        <v>-375.93476668258438</v>
      </c>
      <c r="BH2586" s="392">
        <f>SUM($AU$2420:AU2586)</f>
        <v>-772.79999999989195</v>
      </c>
      <c r="BI2586" s="318">
        <f>SUMIFS($AU$2420:AU2739,$Q$2420:Q2739,"F")</f>
        <v>-143.99999999999949</v>
      </c>
      <c r="BJ2586" s="318">
        <f>SUMIFS($AU$2420:AU2739,$Q$2420:Q2739,"S")</f>
        <v>256.00000000000466</v>
      </c>
      <c r="BK2586" s="343">
        <f>SUMIFS($AU$2420:AU2739,$P$2420:P2739,"W")</f>
        <v>-607.99999999991883</v>
      </c>
      <c r="BL2586" s="343">
        <f>SUMIFS($AU$2420:AU2739,$P$2420:P2739,"R")</f>
        <v>911.99999999999966</v>
      </c>
      <c r="BM2586" s="343">
        <f>SUMIFS($AU$2420:AU2739,$AQ$2420:AQ2739,"M")</f>
        <v>-899.79999999984489</v>
      </c>
      <c r="BN2586" s="343">
        <f>SUMIFS($AU$2420:AU2739,$AQ$2420:AQ2739,"H")</f>
        <v>1762.9999999999427</v>
      </c>
      <c r="BO2586" s="343">
        <f>SUMIFS($AU$2420:AU2739,$AQ$2420:AQ2739,"D")</f>
        <v>-767.99999999998977</v>
      </c>
      <c r="BP2586" s="343">
        <f>SUMIFS($AS$2420:AS2827,$AO$2420:AO2827,"W")</f>
        <v>0</v>
      </c>
      <c r="BQ2586" s="343">
        <f>SUMIFS($AU$2420:AU2739,$Q$2420:Q2739,"O")</f>
        <v>-884.7999999998965</v>
      </c>
      <c r="BR2586" s="343">
        <f>SUMIFS($AU$2420:AU2739,$AA$2420:AA2739,"*")</f>
        <v>-512.79999999998074</v>
      </c>
      <c r="BS2586" s="343">
        <f>SUMIFS($AU$2420:AU2739,$AB$2420:AB2739,"*")</f>
        <v>-451.99999999997726</v>
      </c>
      <c r="BT2586" s="343">
        <f>SUMIFS($AU$2420:AU2739,$AC$2420:AC2739,"*")</f>
        <v>-143.99999999999909</v>
      </c>
      <c r="BU2586" s="343">
        <f>SUMIFS($AU$2420:AU2739,$AA$2420:AA2739,"*",$AB$2420:AB2739,"*")</f>
        <v>95.999999999933891</v>
      </c>
      <c r="BV2586" s="343">
        <f>SUMIFS($AU$2420:AU2739,$AA$2420:AA2739,"*",$AC$2420:AC2739,"*")</f>
        <v>-591.99999999999977</v>
      </c>
      <c r="BW2586" s="343">
        <f>SUMIFS($AU$2420:AU2739,$AB$2420:AB2739,"*",$AC$2420:AC2739,"*")</f>
        <v>-143.99999999999966</v>
      </c>
      <c r="BX2586" s="343">
        <f>SUMIFS($AV$2420:AV2739,$Q$2420:Q2739,"F")</f>
        <v>18.153846153846242</v>
      </c>
      <c r="BY2586" s="343">
        <f>SUMIFS($AV$2420:AV2739,$Q$2420:Q2739,"S")</f>
        <v>64.044720496894826</v>
      </c>
      <c r="BZ2586" s="343">
        <f>SUMIFS($AV$2420:AV2739,$Q$2420:Q2739,"O")</f>
        <v>-458.13333333332537</v>
      </c>
    </row>
    <row r="2587" spans="1:78" ht="15.75" customHeight="1">
      <c r="A2587" s="663" t="s">
        <v>7813</v>
      </c>
      <c r="B2587" s="200"/>
      <c r="C2587" s="178"/>
      <c r="D2587" s="178"/>
      <c r="E2587" s="227"/>
      <c r="F2587" s="180"/>
      <c r="G2587" s="181"/>
      <c r="H2587" s="182"/>
      <c r="I2587" s="182"/>
      <c r="J2587" s="182"/>
      <c r="K2587" s="183"/>
      <c r="L2587" s="182"/>
      <c r="M2587" s="182"/>
      <c r="N2587" s="182"/>
      <c r="O2587" s="183"/>
      <c r="P2587" s="183"/>
      <c r="Q2587" s="183"/>
      <c r="R2587" s="183"/>
      <c r="S2587" s="183"/>
      <c r="T2587" s="183"/>
      <c r="U2587" s="183"/>
      <c r="V2587" s="183"/>
      <c r="W2587" s="183"/>
      <c r="X2587" s="183"/>
      <c r="Y2587" s="183"/>
      <c r="Z2587" s="183"/>
      <c r="AA2587" s="185"/>
      <c r="AB2587" s="185"/>
      <c r="AC2587" s="185"/>
      <c r="AD2587" s="649"/>
      <c r="AE2587" s="182"/>
      <c r="AF2587" s="332"/>
      <c r="AG2587" s="182"/>
      <c r="AH2587" s="182"/>
      <c r="AI2587" s="182"/>
      <c r="AJ2587" s="640"/>
      <c r="AK2587" s="182"/>
      <c r="AL2587" s="496">
        <f t="shared" si="876"/>
        <v>0</v>
      </c>
      <c r="AM2587" s="496">
        <f t="shared" si="877"/>
        <v>0</v>
      </c>
      <c r="AN2587" s="626"/>
      <c r="AO2587" s="182"/>
      <c r="AP2587" s="182"/>
      <c r="AQ2587" s="332" t="str">
        <f>UPPER(RIGHT(Journal_Live[[#This Row],[DURATION ]]))</f>
        <v/>
      </c>
      <c r="AR2587" s="182"/>
      <c r="AS2587" s="189"/>
      <c r="AT2587" s="189">
        <f t="shared" si="878"/>
        <v>0</v>
      </c>
      <c r="AU2587" s="187">
        <f t="shared" si="879"/>
        <v>0</v>
      </c>
      <c r="AV2587" s="190">
        <f t="shared" si="880"/>
        <v>0</v>
      </c>
      <c r="AW2587" s="191"/>
      <c r="AX2587" s="637" t="s">
        <v>7956</v>
      </c>
      <c r="AY2587" s="549" t="s">
        <v>7957</v>
      </c>
      <c r="AZ2587" s="549" t="s">
        <v>7958</v>
      </c>
      <c r="BA2587" s="549" t="s">
        <v>7959</v>
      </c>
      <c r="BB2587" s="549" t="s">
        <v>7960</v>
      </c>
      <c r="BC2587" s="551"/>
      <c r="BD2587" s="549"/>
      <c r="BE2587" s="550"/>
      <c r="BF2587" s="549"/>
      <c r="BG2587" s="391">
        <f>SUM($AV$2420:AV2587)</f>
        <v>-375.93476668258438</v>
      </c>
      <c r="BH2587" s="392">
        <f>SUM($AU$2420:AU2587)</f>
        <v>-772.79999999989195</v>
      </c>
      <c r="BI2587" s="318">
        <f>SUMIFS($AU$2420:AU2740,$Q$2420:Q2740,"F")</f>
        <v>-143.99999999999949</v>
      </c>
      <c r="BJ2587" s="318">
        <f>SUMIFS($AU$2420:AU2740,$Q$2420:Q2740,"S")</f>
        <v>256.00000000000466</v>
      </c>
      <c r="BK2587" s="343">
        <f>SUMIFS($AU$2420:AU2740,$P$2420:P2740,"W")</f>
        <v>-607.99999999991883</v>
      </c>
      <c r="BL2587" s="343">
        <f>SUMIFS($AU$2420:AU2740,$P$2420:P2740,"R")</f>
        <v>911.99999999999966</v>
      </c>
      <c r="BM2587" s="343">
        <f>SUMIFS($AU$2420:AU2740,$AQ$2420:AQ2740,"M")</f>
        <v>-899.79999999984489</v>
      </c>
      <c r="BN2587" s="343">
        <f>SUMIFS($AU$2420:AU2740,$AQ$2420:AQ2740,"H")</f>
        <v>1762.9999999999427</v>
      </c>
      <c r="BO2587" s="343">
        <f>SUMIFS($AU$2420:AU2740,$AQ$2420:AQ2740,"D")</f>
        <v>-767.99999999998977</v>
      </c>
      <c r="BP2587" s="343">
        <f>SUMIFS($AS$2420:AS2828,$AO$2420:AO2828,"W")</f>
        <v>0</v>
      </c>
      <c r="BQ2587" s="343">
        <f>SUMIFS($AU$2420:AU2740,$Q$2420:Q2740,"O")</f>
        <v>-884.7999999998965</v>
      </c>
      <c r="BR2587" s="343">
        <f>SUMIFS($AU$2420:AU2740,$AA$2420:AA2740,"*")</f>
        <v>-512.79999999998074</v>
      </c>
      <c r="BS2587" s="343">
        <f>SUMIFS($AU$2420:AU2740,$AB$2420:AB2740,"*")</f>
        <v>-451.99999999997726</v>
      </c>
      <c r="BT2587" s="343">
        <f>SUMIFS($AU$2420:AU2740,$AC$2420:AC2740,"*")</f>
        <v>-143.99999999999909</v>
      </c>
      <c r="BU2587" s="343">
        <f>SUMIFS($AU$2420:AU2740,$AA$2420:AA2740,"*",$AB$2420:AB2740,"*")</f>
        <v>95.999999999933891</v>
      </c>
      <c r="BV2587" s="343">
        <f>SUMIFS($AU$2420:AU2740,$AA$2420:AA2740,"*",$AC$2420:AC2740,"*")</f>
        <v>-591.99999999999977</v>
      </c>
      <c r="BW2587" s="343">
        <f>SUMIFS($AU$2420:AU2740,$AB$2420:AB2740,"*",$AC$2420:AC2740,"*")</f>
        <v>-143.99999999999966</v>
      </c>
      <c r="BX2587" s="343">
        <f>SUMIFS($AV$2420:AV2740,$Q$2420:Q2740,"F")</f>
        <v>18.153846153846242</v>
      </c>
      <c r="BY2587" s="343">
        <f>SUMIFS($AV$2420:AV2740,$Q$2420:Q2740,"S")</f>
        <v>64.044720496894826</v>
      </c>
      <c r="BZ2587" s="343">
        <f>SUMIFS($AV$2420:AV2740,$Q$2420:Q2740,"O")</f>
        <v>-458.13333333332537</v>
      </c>
    </row>
    <row r="2588" spans="1:78" ht="15.75" customHeight="1">
      <c r="A2588" s="663" t="s">
        <v>7813</v>
      </c>
      <c r="B2588" s="200"/>
      <c r="C2588" s="178"/>
      <c r="D2588" s="178"/>
      <c r="E2588" s="227"/>
      <c r="F2588" s="180"/>
      <c r="G2588" s="181"/>
      <c r="H2588" s="182"/>
      <c r="I2588" s="182"/>
      <c r="J2588" s="182"/>
      <c r="K2588" s="183"/>
      <c r="L2588" s="182"/>
      <c r="M2588" s="182"/>
      <c r="N2588" s="182"/>
      <c r="O2588" s="183"/>
      <c r="P2588" s="183"/>
      <c r="Q2588" s="183"/>
      <c r="R2588" s="183"/>
      <c r="S2588" s="183"/>
      <c r="T2588" s="183"/>
      <c r="U2588" s="183"/>
      <c r="V2588" s="183"/>
      <c r="W2588" s="183"/>
      <c r="X2588" s="183"/>
      <c r="Y2588" s="183"/>
      <c r="Z2588" s="183"/>
      <c r="AA2588" s="185"/>
      <c r="AB2588" s="185"/>
      <c r="AC2588" s="185"/>
      <c r="AD2588" s="649"/>
      <c r="AE2588" s="182"/>
      <c r="AF2588" s="332"/>
      <c r="AG2588" s="182"/>
      <c r="AH2588" s="182"/>
      <c r="AI2588" s="182"/>
      <c r="AJ2588" s="640"/>
      <c r="AK2588" s="182"/>
      <c r="AL2588" s="496">
        <f t="shared" si="876"/>
        <v>0</v>
      </c>
      <c r="AM2588" s="496">
        <f t="shared" si="877"/>
        <v>0</v>
      </c>
      <c r="AN2588" s="626"/>
      <c r="AO2588" s="182"/>
      <c r="AP2588" s="182"/>
      <c r="AQ2588" s="332" t="str">
        <f>UPPER(RIGHT(Journal_Live[[#This Row],[DURATION ]]))</f>
        <v/>
      </c>
      <c r="AR2588" s="182"/>
      <c r="AS2588" s="189"/>
      <c r="AT2588" s="189">
        <f t="shared" si="878"/>
        <v>0</v>
      </c>
      <c r="AU2588" s="187">
        <f t="shared" si="879"/>
        <v>0</v>
      </c>
      <c r="AV2588" s="190">
        <f t="shared" si="880"/>
        <v>0</v>
      </c>
      <c r="AW2588" s="191"/>
      <c r="AX2588" s="551"/>
      <c r="AY2588" s="551"/>
      <c r="AZ2588" s="551"/>
      <c r="BA2588" s="551"/>
      <c r="BB2588" s="551"/>
      <c r="BC2588" s="551"/>
      <c r="BD2588" s="549"/>
      <c r="BE2588" s="550"/>
      <c r="BF2588" s="549"/>
      <c r="BG2588" s="391">
        <f>SUM($AV$2420:AV2588)</f>
        <v>-375.93476668258438</v>
      </c>
      <c r="BH2588" s="392">
        <f>SUM($AU$2420:AU2588)</f>
        <v>-772.79999999989195</v>
      </c>
      <c r="BI2588" s="318">
        <f>SUMIFS($AU$2420:AU2741,$Q$2420:Q2741,"F")</f>
        <v>-143.99999999999949</v>
      </c>
      <c r="BJ2588" s="318">
        <f>SUMIFS($AU$2420:AU2741,$Q$2420:Q2741,"S")</f>
        <v>256.00000000000466</v>
      </c>
      <c r="BK2588" s="343">
        <f>SUMIFS($AU$2420:AU2741,$P$2420:P2741,"W")</f>
        <v>-607.99999999991883</v>
      </c>
      <c r="BL2588" s="343">
        <f>SUMIFS($AU$2420:AU2741,$P$2420:P2741,"R")</f>
        <v>911.99999999999966</v>
      </c>
      <c r="BM2588" s="343">
        <f>SUMIFS($AU$2420:AU2741,$AQ$2420:AQ2741,"M")</f>
        <v>-899.79999999984489</v>
      </c>
      <c r="BN2588" s="343">
        <f>SUMIFS($AU$2420:AU2741,$AQ$2420:AQ2741,"H")</f>
        <v>1762.9999999999427</v>
      </c>
      <c r="BO2588" s="343">
        <f>SUMIFS($AU$2420:AU2741,$AQ$2420:AQ2741,"D")</f>
        <v>-767.99999999998977</v>
      </c>
      <c r="BP2588" s="343">
        <f>SUMIFS($AS$2420:AS2829,$AO$2420:AO2829,"W")</f>
        <v>0</v>
      </c>
      <c r="BQ2588" s="343">
        <f>SUMIFS($AU$2420:AU2741,$Q$2420:Q2741,"O")</f>
        <v>-884.7999999998965</v>
      </c>
      <c r="BR2588" s="343">
        <f>SUMIFS($AU$2420:AU2741,$AA$2420:AA2741,"*")</f>
        <v>-512.79999999998074</v>
      </c>
      <c r="BS2588" s="343">
        <f>SUMIFS($AU$2420:AU2741,$AB$2420:AB2741,"*")</f>
        <v>-451.99999999997726</v>
      </c>
      <c r="BT2588" s="343">
        <f>SUMIFS($AU$2420:AU2741,$AC$2420:AC2741,"*")</f>
        <v>-143.99999999999909</v>
      </c>
      <c r="BU2588" s="343">
        <f>SUMIFS($AU$2420:AU2741,$AA$2420:AA2741,"*",$AB$2420:AB2741,"*")</f>
        <v>95.999999999933891</v>
      </c>
      <c r="BV2588" s="343">
        <f>SUMIFS($AU$2420:AU2741,$AA$2420:AA2741,"*",$AC$2420:AC2741,"*")</f>
        <v>-591.99999999999977</v>
      </c>
      <c r="BW2588" s="343">
        <f>SUMIFS($AU$2420:AU2741,$AB$2420:AB2741,"*",$AC$2420:AC2741,"*")</f>
        <v>-143.99999999999966</v>
      </c>
      <c r="BX2588" s="343">
        <f>SUMIFS($AV$2420:AV2741,$Q$2420:Q2741,"F")</f>
        <v>18.153846153846242</v>
      </c>
      <c r="BY2588" s="343">
        <f>SUMIFS($AV$2420:AV2741,$Q$2420:Q2741,"S")</f>
        <v>64.044720496894826</v>
      </c>
      <c r="BZ2588" s="343">
        <f>SUMIFS($AV$2420:AV2741,$Q$2420:Q2741,"O")</f>
        <v>-458.13333333332537</v>
      </c>
    </row>
    <row r="2589" spans="1:78" ht="15.75" customHeight="1">
      <c r="A2589" s="663" t="s">
        <v>7813</v>
      </c>
      <c r="B2589" s="200"/>
      <c r="C2589" s="178"/>
      <c r="D2589" s="178"/>
      <c r="E2589" s="227"/>
      <c r="F2589" s="180"/>
      <c r="G2589" s="181"/>
      <c r="H2589" s="182"/>
      <c r="I2589" s="182"/>
      <c r="J2589" s="182"/>
      <c r="K2589" s="183"/>
      <c r="L2589" s="182"/>
      <c r="M2589" s="182"/>
      <c r="N2589" s="182"/>
      <c r="O2589" s="183"/>
      <c r="P2589" s="183"/>
      <c r="Q2589" s="183"/>
      <c r="R2589" s="183"/>
      <c r="S2589" s="183"/>
      <c r="T2589" s="183"/>
      <c r="U2589" s="183"/>
      <c r="V2589" s="183"/>
      <c r="W2589" s="183"/>
      <c r="X2589" s="183"/>
      <c r="Y2589" s="183"/>
      <c r="Z2589" s="183"/>
      <c r="AA2589" s="185"/>
      <c r="AB2589" s="185"/>
      <c r="AC2589" s="185"/>
      <c r="AD2589" s="649"/>
      <c r="AE2589" s="182"/>
      <c r="AF2589" s="332"/>
      <c r="AG2589" s="182"/>
      <c r="AH2589" s="182"/>
      <c r="AI2589" s="182"/>
      <c r="AJ2589" s="640"/>
      <c r="AK2589" s="182"/>
      <c r="AL2589" s="496">
        <f t="shared" si="876"/>
        <v>0</v>
      </c>
      <c r="AM2589" s="496">
        <f t="shared" si="877"/>
        <v>0</v>
      </c>
      <c r="AN2589" s="626"/>
      <c r="AO2589" s="182"/>
      <c r="AP2589" s="182"/>
      <c r="AQ2589" s="332" t="str">
        <f>UPPER(RIGHT(Journal_Live[[#This Row],[DURATION ]]))</f>
        <v/>
      </c>
      <c r="AR2589" s="182"/>
      <c r="AS2589" s="189"/>
      <c r="AT2589" s="189">
        <f t="shared" si="878"/>
        <v>0</v>
      </c>
      <c r="AU2589" s="187">
        <f t="shared" si="879"/>
        <v>0</v>
      </c>
      <c r="AV2589" s="190">
        <f t="shared" si="880"/>
        <v>0</v>
      </c>
      <c r="AW2589" s="191"/>
      <c r="AX2589" s="551"/>
      <c r="AY2589" s="551"/>
      <c r="AZ2589" s="551"/>
      <c r="BA2589" s="551"/>
      <c r="BB2589" s="551"/>
      <c r="BC2589" s="551"/>
      <c r="BD2589" s="549"/>
      <c r="BE2589" s="550"/>
      <c r="BF2589" s="549"/>
      <c r="BG2589" s="391">
        <f>SUM($AV$2420:AV2589)</f>
        <v>-375.93476668258438</v>
      </c>
      <c r="BH2589" s="392">
        <f>SUM($AU$2420:AU2589)</f>
        <v>-772.79999999989195</v>
      </c>
      <c r="BI2589" s="318">
        <f>SUMIFS($AU$2420:AU2742,$Q$2420:Q2742,"F")</f>
        <v>-143.99999999999949</v>
      </c>
      <c r="BJ2589" s="318">
        <f>SUMIFS($AU$2420:AU2742,$Q$2420:Q2742,"S")</f>
        <v>256.00000000000466</v>
      </c>
      <c r="BK2589" s="343">
        <f>SUMIFS($AU$2420:AU2742,$P$2420:P2742,"W")</f>
        <v>-607.99999999991883</v>
      </c>
      <c r="BL2589" s="343">
        <f>SUMIFS($AU$2420:AU2742,$P$2420:P2742,"R")</f>
        <v>911.99999999999966</v>
      </c>
      <c r="BM2589" s="343">
        <f>SUMIFS($AU$2420:AU2742,$AQ$2420:AQ2742,"M")</f>
        <v>-899.79999999984489</v>
      </c>
      <c r="BN2589" s="343">
        <f>SUMIFS($AU$2420:AU2742,$AQ$2420:AQ2742,"H")</f>
        <v>1762.9999999999427</v>
      </c>
      <c r="BO2589" s="343">
        <f>SUMIFS($AU$2420:AU2742,$AQ$2420:AQ2742,"D")</f>
        <v>-767.99999999998977</v>
      </c>
      <c r="BP2589" s="343">
        <f>SUMIFS($AS$2420:AS2830,$AO$2420:AO2830,"W")</f>
        <v>0</v>
      </c>
      <c r="BQ2589" s="343">
        <f>SUMIFS($AU$2420:AU2742,$Q$2420:Q2742,"O")</f>
        <v>-884.7999999998965</v>
      </c>
      <c r="BR2589" s="343">
        <f>SUMIFS($AU$2420:AU2742,$AA$2420:AA2742,"*")</f>
        <v>-512.79999999998074</v>
      </c>
      <c r="BS2589" s="343">
        <f>SUMIFS($AU$2420:AU2742,$AB$2420:AB2742,"*")</f>
        <v>-451.99999999997726</v>
      </c>
      <c r="BT2589" s="343">
        <f>SUMIFS($AU$2420:AU2742,$AC$2420:AC2742,"*")</f>
        <v>-143.99999999999909</v>
      </c>
      <c r="BU2589" s="343">
        <f>SUMIFS($AU$2420:AU2742,$AA$2420:AA2742,"*",$AB$2420:AB2742,"*")</f>
        <v>95.999999999933891</v>
      </c>
      <c r="BV2589" s="343">
        <f>SUMIFS($AU$2420:AU2742,$AA$2420:AA2742,"*",$AC$2420:AC2742,"*")</f>
        <v>-591.99999999999977</v>
      </c>
      <c r="BW2589" s="343">
        <f>SUMIFS($AU$2420:AU2742,$AB$2420:AB2742,"*",$AC$2420:AC2742,"*")</f>
        <v>-143.99999999999966</v>
      </c>
      <c r="BX2589" s="343">
        <f>SUMIFS($AV$2420:AV2742,$Q$2420:Q2742,"F")</f>
        <v>18.153846153846242</v>
      </c>
      <c r="BY2589" s="343">
        <f>SUMIFS($AV$2420:AV2742,$Q$2420:Q2742,"S")</f>
        <v>64.044720496894826</v>
      </c>
      <c r="BZ2589" s="343">
        <f>SUMIFS($AV$2420:AV2742,$Q$2420:Q2742,"O")</f>
        <v>-458.13333333332537</v>
      </c>
    </row>
    <row r="2590" spans="1:78" ht="15.75" customHeight="1">
      <c r="A2590" s="177" t="s">
        <v>7813</v>
      </c>
      <c r="B2590" s="200"/>
      <c r="C2590" s="178"/>
      <c r="D2590" s="178"/>
      <c r="E2590" s="227"/>
      <c r="F2590" s="180"/>
      <c r="G2590" s="181"/>
      <c r="H2590" s="182"/>
      <c r="I2590" s="182"/>
      <c r="J2590" s="182"/>
      <c r="K2590" s="183"/>
      <c r="L2590" s="182"/>
      <c r="M2590" s="182"/>
      <c r="N2590" s="182"/>
      <c r="O2590" s="183"/>
      <c r="P2590" s="183"/>
      <c r="Q2590" s="183"/>
      <c r="R2590" s="183"/>
      <c r="S2590" s="183"/>
      <c r="T2590" s="183"/>
      <c r="U2590" s="183"/>
      <c r="V2590" s="183"/>
      <c r="W2590" s="183"/>
      <c r="X2590" s="183"/>
      <c r="Y2590" s="183"/>
      <c r="Z2590" s="183"/>
      <c r="AA2590" s="185"/>
      <c r="AB2590" s="185"/>
      <c r="AC2590" s="185"/>
      <c r="AD2590" s="649"/>
      <c r="AE2590" s="182"/>
      <c r="AF2590" s="332"/>
      <c r="AG2590" s="182"/>
      <c r="AH2590" s="182"/>
      <c r="AI2590" s="182"/>
      <c r="AJ2590" s="640"/>
      <c r="AK2590" s="182"/>
      <c r="AL2590" s="496">
        <f t="shared" ref="AL2578:AL2598" si="899">-0.02*Z2590</f>
        <v>0</v>
      </c>
      <c r="AM2590" s="496">
        <f t="shared" ref="AM2578:AM2598" si="900">AL2590*(R2590-S2590)</f>
        <v>0</v>
      </c>
      <c r="AN2590" s="626"/>
      <c r="AO2590" s="182"/>
      <c r="AP2590" s="182"/>
      <c r="AQ2590" s="332" t="str">
        <f>UPPER(RIGHT(Journal_Live[[#This Row],[DURATION ]]))</f>
        <v/>
      </c>
      <c r="AR2590" s="182"/>
      <c r="AS2590" s="189"/>
      <c r="AT2590" s="189">
        <f t="shared" ref="AT2578:AT2598" si="901">IF(ISBLANK(AS2590),,IF(U2590="S",AD2590-AS2590,AS2590-AD2590))</f>
        <v>0</v>
      </c>
      <c r="AU2590" s="187">
        <f t="shared" ref="AU2578:AU2598" si="902">AV2590*R2590</f>
        <v>0</v>
      </c>
      <c r="AV2590" s="190">
        <f t="shared" ref="AV2578:AV2598" si="903">IF(ISBLANK(AS2590),,(AT2590*Z2590))</f>
        <v>0</v>
      </c>
      <c r="AW2590" s="191"/>
      <c r="AX2590" s="551"/>
      <c r="AY2590" s="551"/>
      <c r="AZ2590" s="551"/>
      <c r="BA2590" s="551"/>
      <c r="BB2590" s="551"/>
      <c r="BC2590" s="551"/>
      <c r="BD2590" s="549"/>
      <c r="BE2590" s="550"/>
      <c r="BF2590" s="549"/>
      <c r="BG2590" s="391">
        <f>SUM($AV$2420:AV2590)</f>
        <v>-375.93476668258438</v>
      </c>
      <c r="BH2590" s="392">
        <f>SUM($AU$2420:AU2590)</f>
        <v>-772.79999999989195</v>
      </c>
      <c r="BI2590" s="318">
        <f>SUMIFS($AU$2420:AU2743,$Q$2420:Q2743,"F")</f>
        <v>-143.99999999999949</v>
      </c>
      <c r="BJ2590" s="318">
        <f>SUMIFS($AU$2420:AU2743,$Q$2420:Q2743,"S")</f>
        <v>256.00000000000466</v>
      </c>
      <c r="BK2590" s="343">
        <f>SUMIFS($AU$2420:AU2743,$P$2420:P2743,"W")</f>
        <v>-607.99999999991883</v>
      </c>
      <c r="BL2590" s="343">
        <f>SUMIFS($AU$2420:AU2743,$P$2420:P2743,"R")</f>
        <v>911.99999999999966</v>
      </c>
      <c r="BM2590" s="343">
        <f>SUMIFS($AU$2420:AU2743,$AQ$2420:AQ2743,"M")</f>
        <v>-899.79999999984489</v>
      </c>
      <c r="BN2590" s="343">
        <f>SUMIFS($AU$2420:AU2743,$AQ$2420:AQ2743,"H")</f>
        <v>1762.9999999999427</v>
      </c>
      <c r="BO2590" s="343">
        <f>SUMIFS($AU$2420:AU2743,$AQ$2420:AQ2743,"D")</f>
        <v>-767.99999999998977</v>
      </c>
      <c r="BP2590" s="343">
        <f>SUMIFS($AS$2420:AS2831,$AO$2420:AO2831,"W")</f>
        <v>0</v>
      </c>
      <c r="BQ2590" s="343">
        <f>SUMIFS($AU$2420:AU2743,$Q$2420:Q2743,"O")</f>
        <v>-884.7999999998965</v>
      </c>
      <c r="BR2590" s="343">
        <f>SUMIFS($AU$2420:AU2743,$AA$2420:AA2743,"*")</f>
        <v>-512.79999999998074</v>
      </c>
      <c r="BS2590" s="343">
        <f>SUMIFS($AU$2420:AU2743,$AB$2420:AB2743,"*")</f>
        <v>-451.99999999997726</v>
      </c>
      <c r="BT2590" s="343">
        <f>SUMIFS($AU$2420:AU2743,$AC$2420:AC2743,"*")</f>
        <v>-143.99999999999909</v>
      </c>
      <c r="BU2590" s="343">
        <f>SUMIFS($AU$2420:AU2743,$AA$2420:AA2743,"*",$AB$2420:AB2743,"*")</f>
        <v>95.999999999933891</v>
      </c>
      <c r="BV2590" s="343">
        <f>SUMIFS($AU$2420:AU2743,$AA$2420:AA2743,"*",$AC$2420:AC2743,"*")</f>
        <v>-591.99999999999977</v>
      </c>
      <c r="BW2590" s="343">
        <f>SUMIFS($AU$2420:AU2743,$AB$2420:AB2743,"*",$AC$2420:AC2743,"*")</f>
        <v>-143.99999999999966</v>
      </c>
      <c r="BX2590" s="343">
        <f>SUMIFS($AV$2420:AV2743,$Q$2420:Q2743,"F")</f>
        <v>18.153846153846242</v>
      </c>
      <c r="BY2590" s="343">
        <f>SUMIFS($AV$2420:AV2743,$Q$2420:Q2743,"S")</f>
        <v>64.044720496894826</v>
      </c>
      <c r="BZ2590" s="343">
        <f>SUMIFS($AV$2420:AV2743,$Q$2420:Q2743,"O")</f>
        <v>-458.13333333332537</v>
      </c>
    </row>
    <row r="2591" spans="1:78" ht="15.75" customHeight="1">
      <c r="A2591" s="177" t="s">
        <v>7813</v>
      </c>
      <c r="B2591" s="200"/>
      <c r="C2591" s="178"/>
      <c r="D2591" s="178"/>
      <c r="E2591" s="227"/>
      <c r="F2591" s="180"/>
      <c r="G2591" s="181"/>
      <c r="H2591" s="182"/>
      <c r="I2591" s="182"/>
      <c r="J2591" s="182"/>
      <c r="K2591" s="183"/>
      <c r="L2591" s="182"/>
      <c r="M2591" s="182"/>
      <c r="N2591" s="182"/>
      <c r="O2591" s="183"/>
      <c r="P2591" s="183"/>
      <c r="Q2591" s="183"/>
      <c r="R2591" s="183"/>
      <c r="S2591" s="183"/>
      <c r="T2591" s="183"/>
      <c r="U2591" s="183"/>
      <c r="V2591" s="183"/>
      <c r="W2591" s="183"/>
      <c r="X2591" s="183"/>
      <c r="Y2591" s="183"/>
      <c r="Z2591" s="183"/>
      <c r="AA2591" s="185"/>
      <c r="AB2591" s="185"/>
      <c r="AC2591" s="185"/>
      <c r="AD2591" s="649"/>
      <c r="AE2591" s="182"/>
      <c r="AF2591" s="332"/>
      <c r="AG2591" s="182"/>
      <c r="AH2591" s="182"/>
      <c r="AI2591" s="182"/>
      <c r="AJ2591" s="640"/>
      <c r="AK2591" s="182"/>
      <c r="AL2591" s="496">
        <f t="shared" si="899"/>
        <v>0</v>
      </c>
      <c r="AM2591" s="496">
        <f t="shared" si="900"/>
        <v>0</v>
      </c>
      <c r="AN2591" s="626"/>
      <c r="AO2591" s="182"/>
      <c r="AP2591" s="182"/>
      <c r="AQ2591" s="332" t="str">
        <f>UPPER(RIGHT(Journal_Live[[#This Row],[DURATION ]]))</f>
        <v/>
      </c>
      <c r="AR2591" s="182"/>
      <c r="AS2591" s="189"/>
      <c r="AT2591" s="189">
        <f t="shared" si="901"/>
        <v>0</v>
      </c>
      <c r="AU2591" s="187">
        <f t="shared" si="902"/>
        <v>0</v>
      </c>
      <c r="AV2591" s="190">
        <f t="shared" si="903"/>
        <v>0</v>
      </c>
      <c r="AW2591" s="191"/>
      <c r="AX2591" s="551"/>
      <c r="AY2591" s="551"/>
      <c r="AZ2591" s="551"/>
      <c r="BA2591" s="551"/>
      <c r="BB2591" s="551"/>
      <c r="BC2591" s="551"/>
      <c r="BD2591" s="549"/>
      <c r="BE2591" s="550"/>
      <c r="BF2591" s="549"/>
      <c r="BG2591" s="391">
        <f>SUM($AV$2420:AV2591)</f>
        <v>-375.93476668258438</v>
      </c>
      <c r="BH2591" s="392">
        <f>SUM($AU$2420:AU2591)</f>
        <v>-772.79999999989195</v>
      </c>
      <c r="BI2591" s="318">
        <f>SUMIFS($AU$2420:AU2744,$Q$2420:Q2744,"F")</f>
        <v>-143.99999999999949</v>
      </c>
      <c r="BJ2591" s="318">
        <f>SUMIFS($AU$2420:AU2744,$Q$2420:Q2744,"S")</f>
        <v>256.00000000000466</v>
      </c>
      <c r="BK2591" s="343">
        <f>SUMIFS($AU$2420:AU2744,$P$2420:P2744,"W")</f>
        <v>-607.99999999991883</v>
      </c>
      <c r="BL2591" s="343">
        <f>SUMIFS($AU$2420:AU2744,$P$2420:P2744,"R")</f>
        <v>911.99999999999966</v>
      </c>
      <c r="BM2591" s="343">
        <f>SUMIFS($AU$2420:AU2744,$AQ$2420:AQ2744,"M")</f>
        <v>-899.79999999984489</v>
      </c>
      <c r="BN2591" s="343">
        <f>SUMIFS($AU$2420:AU2744,$AQ$2420:AQ2744,"H")</f>
        <v>1762.9999999999427</v>
      </c>
      <c r="BO2591" s="343">
        <f>SUMIFS($AU$2420:AU2744,$AQ$2420:AQ2744,"D")</f>
        <v>-767.99999999998977</v>
      </c>
      <c r="BP2591" s="343">
        <f>SUMIFS($AS$2420:AS2832,$AO$2420:AO2832,"W")</f>
        <v>0</v>
      </c>
      <c r="BQ2591" s="343">
        <f>SUMIFS($AU$2420:AU2744,$Q$2420:Q2744,"O")</f>
        <v>-884.7999999998965</v>
      </c>
      <c r="BR2591" s="343">
        <f>SUMIFS($AU$2420:AU2744,$AA$2420:AA2744,"*")</f>
        <v>-512.79999999998074</v>
      </c>
      <c r="BS2591" s="343">
        <f>SUMIFS($AU$2420:AU2744,$AB$2420:AB2744,"*")</f>
        <v>-451.99999999997726</v>
      </c>
      <c r="BT2591" s="343">
        <f>SUMIFS($AU$2420:AU2744,$AC$2420:AC2744,"*")</f>
        <v>-143.99999999999909</v>
      </c>
      <c r="BU2591" s="343">
        <f>SUMIFS($AU$2420:AU2744,$AA$2420:AA2744,"*",$AB$2420:AB2744,"*")</f>
        <v>95.999999999933891</v>
      </c>
      <c r="BV2591" s="343">
        <f>SUMIFS($AU$2420:AU2744,$AA$2420:AA2744,"*",$AC$2420:AC2744,"*")</f>
        <v>-591.99999999999977</v>
      </c>
      <c r="BW2591" s="343">
        <f>SUMIFS($AU$2420:AU2744,$AB$2420:AB2744,"*",$AC$2420:AC2744,"*")</f>
        <v>-143.99999999999966</v>
      </c>
      <c r="BX2591" s="343">
        <f>SUMIFS($AV$2420:AV2744,$Q$2420:Q2744,"F")</f>
        <v>18.153846153846242</v>
      </c>
      <c r="BY2591" s="343">
        <f>SUMIFS($AV$2420:AV2744,$Q$2420:Q2744,"S")</f>
        <v>64.044720496894826</v>
      </c>
      <c r="BZ2591" s="343">
        <f>SUMIFS($AV$2420:AV2744,$Q$2420:Q2744,"O")</f>
        <v>-458.13333333332537</v>
      </c>
    </row>
    <row r="2592" spans="1:78" ht="15.75" customHeight="1">
      <c r="A2592" s="177" t="s">
        <v>7813</v>
      </c>
      <c r="B2592" s="200"/>
      <c r="C2592" s="178"/>
      <c r="D2592" s="178"/>
      <c r="E2592" s="227"/>
      <c r="F2592" s="180"/>
      <c r="G2592" s="181"/>
      <c r="H2592" s="182"/>
      <c r="I2592" s="182"/>
      <c r="J2592" s="182"/>
      <c r="K2592" s="183"/>
      <c r="L2592" s="182"/>
      <c r="M2592" s="182"/>
      <c r="N2592" s="182"/>
      <c r="O2592" s="183"/>
      <c r="P2592" s="183"/>
      <c r="Q2592" s="183"/>
      <c r="R2592" s="183"/>
      <c r="S2592" s="183"/>
      <c r="T2592" s="183"/>
      <c r="U2592" s="183"/>
      <c r="V2592" s="183"/>
      <c r="W2592" s="183"/>
      <c r="X2592" s="183"/>
      <c r="Y2592" s="183"/>
      <c r="Z2592" s="183"/>
      <c r="AA2592" s="185"/>
      <c r="AB2592" s="185"/>
      <c r="AC2592" s="185"/>
      <c r="AD2592" s="649"/>
      <c r="AE2592" s="182"/>
      <c r="AF2592" s="332"/>
      <c r="AG2592" s="182"/>
      <c r="AH2592" s="182"/>
      <c r="AI2592" s="182"/>
      <c r="AJ2592" s="640"/>
      <c r="AK2592" s="182"/>
      <c r="AL2592" s="496">
        <f t="shared" si="899"/>
        <v>0</v>
      </c>
      <c r="AM2592" s="496">
        <f t="shared" si="900"/>
        <v>0</v>
      </c>
      <c r="AN2592" s="626"/>
      <c r="AO2592" s="182"/>
      <c r="AP2592" s="182"/>
      <c r="AQ2592" s="332" t="str">
        <f>UPPER(RIGHT(Journal_Live[[#This Row],[DURATION ]]))</f>
        <v/>
      </c>
      <c r="AR2592" s="182"/>
      <c r="AS2592" s="189"/>
      <c r="AT2592" s="189">
        <f t="shared" si="901"/>
        <v>0</v>
      </c>
      <c r="AU2592" s="187">
        <f t="shared" si="902"/>
        <v>0</v>
      </c>
      <c r="AV2592" s="190">
        <f t="shared" si="903"/>
        <v>0</v>
      </c>
      <c r="AW2592" s="191"/>
      <c r="AX2592" s="551"/>
      <c r="AY2592" s="551"/>
      <c r="AZ2592" s="551"/>
      <c r="BA2592" s="551"/>
      <c r="BB2592" s="551"/>
      <c r="BC2592" s="551"/>
      <c r="BD2592" s="549"/>
      <c r="BE2592" s="550"/>
      <c r="BF2592" s="549"/>
      <c r="BG2592" s="391">
        <f>SUM($AV$2420:AV2592)</f>
        <v>-375.93476668258438</v>
      </c>
      <c r="BH2592" s="392">
        <f>SUM($AU$2420:AU2592)</f>
        <v>-772.79999999989195</v>
      </c>
      <c r="BI2592" s="318">
        <f>SUMIFS($AU$2420:AU2745,$Q$2420:Q2745,"F")</f>
        <v>-143.99999999999949</v>
      </c>
      <c r="BJ2592" s="318">
        <f>SUMIFS($AU$2420:AU2745,$Q$2420:Q2745,"S")</f>
        <v>256.00000000000466</v>
      </c>
      <c r="BK2592" s="343">
        <f>SUMIFS($AU$2420:AU2745,$P$2420:P2745,"W")</f>
        <v>-607.99999999991883</v>
      </c>
      <c r="BL2592" s="343">
        <f>SUMIFS($AU$2420:AU2745,$P$2420:P2745,"R")</f>
        <v>911.99999999999966</v>
      </c>
      <c r="BM2592" s="343">
        <f>SUMIFS($AU$2420:AU2745,$AQ$2420:AQ2745,"M")</f>
        <v>-899.79999999984489</v>
      </c>
      <c r="BN2592" s="343">
        <f>SUMIFS($AU$2420:AU2745,$AQ$2420:AQ2745,"H")</f>
        <v>1762.9999999999427</v>
      </c>
      <c r="BO2592" s="343">
        <f>SUMIFS($AU$2420:AU2745,$AQ$2420:AQ2745,"D")</f>
        <v>-767.99999999998977</v>
      </c>
      <c r="BP2592" s="343">
        <f>SUMIFS($AS$2420:AS2833,$AO$2420:AO2833,"W")</f>
        <v>0</v>
      </c>
      <c r="BQ2592" s="343">
        <f>SUMIFS($AU$2420:AU2745,$Q$2420:Q2745,"O")</f>
        <v>-884.7999999998965</v>
      </c>
      <c r="BR2592" s="343">
        <f>SUMIFS($AU$2420:AU2745,$AA$2420:AA2745,"*")</f>
        <v>-512.79999999998074</v>
      </c>
      <c r="BS2592" s="343">
        <f>SUMIFS($AU$2420:AU2745,$AB$2420:AB2745,"*")</f>
        <v>-451.99999999997726</v>
      </c>
      <c r="BT2592" s="343">
        <f>SUMIFS($AU$2420:AU2745,$AC$2420:AC2745,"*")</f>
        <v>-143.99999999999909</v>
      </c>
      <c r="BU2592" s="343">
        <f>SUMIFS($AU$2420:AU2745,$AA$2420:AA2745,"*",$AB$2420:AB2745,"*")</f>
        <v>95.999999999933891</v>
      </c>
      <c r="BV2592" s="343">
        <f>SUMIFS($AU$2420:AU2745,$AA$2420:AA2745,"*",$AC$2420:AC2745,"*")</f>
        <v>-591.99999999999977</v>
      </c>
      <c r="BW2592" s="343">
        <f>SUMIFS($AU$2420:AU2745,$AB$2420:AB2745,"*",$AC$2420:AC2745,"*")</f>
        <v>-143.99999999999966</v>
      </c>
      <c r="BX2592" s="343">
        <f>SUMIFS($AV$2420:AV2745,$Q$2420:Q2745,"F")</f>
        <v>18.153846153846242</v>
      </c>
      <c r="BY2592" s="343">
        <f>SUMIFS($AV$2420:AV2745,$Q$2420:Q2745,"S")</f>
        <v>64.044720496894826</v>
      </c>
      <c r="BZ2592" s="343">
        <f>SUMIFS($AV$2420:AV2745,$Q$2420:Q2745,"O")</f>
        <v>-458.13333333332537</v>
      </c>
    </row>
    <row r="2593" spans="1:78" ht="15.75" customHeight="1">
      <c r="A2593" s="177" t="s">
        <v>7813</v>
      </c>
      <c r="B2593" s="200"/>
      <c r="C2593" s="178"/>
      <c r="D2593" s="178"/>
      <c r="E2593" s="227"/>
      <c r="F2593" s="180"/>
      <c r="G2593" s="181"/>
      <c r="H2593" s="182"/>
      <c r="I2593" s="182"/>
      <c r="J2593" s="182"/>
      <c r="K2593" s="183"/>
      <c r="L2593" s="182"/>
      <c r="M2593" s="182"/>
      <c r="N2593" s="182"/>
      <c r="O2593" s="183"/>
      <c r="P2593" s="183"/>
      <c r="Q2593" s="183"/>
      <c r="R2593" s="183"/>
      <c r="S2593" s="183"/>
      <c r="T2593" s="183"/>
      <c r="U2593" s="183"/>
      <c r="V2593" s="183"/>
      <c r="W2593" s="183"/>
      <c r="X2593" s="183"/>
      <c r="Y2593" s="183"/>
      <c r="Z2593" s="183"/>
      <c r="AA2593" s="185"/>
      <c r="AB2593" s="185"/>
      <c r="AC2593" s="185"/>
      <c r="AD2593" s="649"/>
      <c r="AE2593" s="182"/>
      <c r="AF2593" s="332"/>
      <c r="AG2593" s="182"/>
      <c r="AH2593" s="182"/>
      <c r="AI2593" s="182"/>
      <c r="AJ2593" s="640"/>
      <c r="AK2593" s="182"/>
      <c r="AL2593" s="496">
        <f t="shared" si="899"/>
        <v>0</v>
      </c>
      <c r="AM2593" s="496">
        <f t="shared" si="900"/>
        <v>0</v>
      </c>
      <c r="AN2593" s="626"/>
      <c r="AO2593" s="182"/>
      <c r="AP2593" s="182"/>
      <c r="AQ2593" s="332" t="str">
        <f>UPPER(RIGHT(Journal_Live[[#This Row],[DURATION ]]))</f>
        <v/>
      </c>
      <c r="AR2593" s="182"/>
      <c r="AS2593" s="189"/>
      <c r="AT2593" s="189">
        <f t="shared" si="901"/>
        <v>0</v>
      </c>
      <c r="AU2593" s="187">
        <f t="shared" si="902"/>
        <v>0</v>
      </c>
      <c r="AV2593" s="190">
        <f t="shared" si="903"/>
        <v>0</v>
      </c>
      <c r="AW2593" s="191"/>
      <c r="AX2593" s="551"/>
      <c r="AY2593" s="551"/>
      <c r="AZ2593" s="551"/>
      <c r="BA2593" s="551"/>
      <c r="BB2593" s="551"/>
      <c r="BC2593" s="551"/>
      <c r="BD2593" s="549"/>
      <c r="BE2593" s="550"/>
      <c r="BF2593" s="549"/>
      <c r="BG2593" s="391">
        <f>SUM($AV$2420:AV2593)</f>
        <v>-375.93476668258438</v>
      </c>
      <c r="BH2593" s="392">
        <f>SUM($AU$2420:AU2593)</f>
        <v>-772.79999999989195</v>
      </c>
      <c r="BI2593" s="318">
        <f>SUMIFS($AU$2420:AU2746,$Q$2420:Q2746,"F")</f>
        <v>-143.99999999999949</v>
      </c>
      <c r="BJ2593" s="318">
        <f>SUMIFS($AU$2420:AU2746,$Q$2420:Q2746,"S")</f>
        <v>256.00000000000466</v>
      </c>
      <c r="BK2593" s="343">
        <f>SUMIFS($AU$2420:AU2746,$P$2420:P2746,"W")</f>
        <v>-607.99999999991883</v>
      </c>
      <c r="BL2593" s="343">
        <f>SUMIFS($AU$2420:AU2746,$P$2420:P2746,"R")</f>
        <v>911.99999999999966</v>
      </c>
      <c r="BM2593" s="343">
        <f>SUMIFS($AU$2420:AU2746,$AQ$2420:AQ2746,"M")</f>
        <v>-899.79999999984489</v>
      </c>
      <c r="BN2593" s="343">
        <f>SUMIFS($AU$2420:AU2746,$AQ$2420:AQ2746,"H")</f>
        <v>1762.9999999999427</v>
      </c>
      <c r="BO2593" s="343">
        <f>SUMIFS($AU$2420:AU2746,$AQ$2420:AQ2746,"D")</f>
        <v>-767.99999999998977</v>
      </c>
      <c r="BP2593" s="343">
        <f>SUMIFS($AS$2420:AS2834,$AO$2420:AO2834,"W")</f>
        <v>0</v>
      </c>
      <c r="BQ2593" s="343">
        <f>SUMIFS($AU$2420:AU2746,$Q$2420:Q2746,"O")</f>
        <v>-884.7999999998965</v>
      </c>
      <c r="BR2593" s="343">
        <f>SUMIFS($AU$2420:AU2746,$AA$2420:AA2746,"*")</f>
        <v>-512.79999999998074</v>
      </c>
      <c r="BS2593" s="343">
        <f>SUMIFS($AU$2420:AU2746,$AB$2420:AB2746,"*")</f>
        <v>-451.99999999997726</v>
      </c>
      <c r="BT2593" s="343">
        <f>SUMIFS($AU$2420:AU2746,$AC$2420:AC2746,"*")</f>
        <v>-143.99999999999909</v>
      </c>
      <c r="BU2593" s="343">
        <f>SUMIFS($AU$2420:AU2746,$AA$2420:AA2746,"*",$AB$2420:AB2746,"*")</f>
        <v>95.999999999933891</v>
      </c>
      <c r="BV2593" s="343">
        <f>SUMIFS($AU$2420:AU2746,$AA$2420:AA2746,"*",$AC$2420:AC2746,"*")</f>
        <v>-591.99999999999977</v>
      </c>
      <c r="BW2593" s="343">
        <f>SUMIFS($AU$2420:AU2746,$AB$2420:AB2746,"*",$AC$2420:AC2746,"*")</f>
        <v>-143.99999999999966</v>
      </c>
      <c r="BX2593" s="343">
        <f>SUMIFS($AV$2420:AV2746,$Q$2420:Q2746,"F")</f>
        <v>18.153846153846242</v>
      </c>
      <c r="BY2593" s="343">
        <f>SUMIFS($AV$2420:AV2746,$Q$2420:Q2746,"S")</f>
        <v>64.044720496894826</v>
      </c>
      <c r="BZ2593" s="343">
        <f>SUMIFS($AV$2420:AV2746,$Q$2420:Q2746,"O")</f>
        <v>-458.13333333332537</v>
      </c>
    </row>
    <row r="2594" spans="1:78" ht="15.75" customHeight="1">
      <c r="A2594" s="177" t="s">
        <v>7813</v>
      </c>
      <c r="B2594" s="200"/>
      <c r="C2594" s="178"/>
      <c r="D2594" s="178"/>
      <c r="E2594" s="227"/>
      <c r="F2594" s="180"/>
      <c r="G2594" s="181"/>
      <c r="H2594" s="182"/>
      <c r="I2594" s="182"/>
      <c r="J2594" s="182"/>
      <c r="K2594" s="183"/>
      <c r="L2594" s="182"/>
      <c r="M2594" s="182"/>
      <c r="N2594" s="182"/>
      <c r="O2594" s="183"/>
      <c r="P2594" s="183"/>
      <c r="Q2594" s="183"/>
      <c r="R2594" s="183"/>
      <c r="S2594" s="183"/>
      <c r="T2594" s="183"/>
      <c r="U2594" s="183"/>
      <c r="V2594" s="183"/>
      <c r="W2594" s="183"/>
      <c r="X2594" s="183"/>
      <c r="Y2594" s="183"/>
      <c r="Z2594" s="183"/>
      <c r="AA2594" s="185"/>
      <c r="AB2594" s="185"/>
      <c r="AC2594" s="185"/>
      <c r="AD2594" s="649"/>
      <c r="AE2594" s="182"/>
      <c r="AF2594" s="332"/>
      <c r="AG2594" s="182"/>
      <c r="AH2594" s="182"/>
      <c r="AI2594" s="182"/>
      <c r="AJ2594" s="640"/>
      <c r="AK2594" s="182"/>
      <c r="AL2594" s="496">
        <f t="shared" si="899"/>
        <v>0</v>
      </c>
      <c r="AM2594" s="496">
        <f t="shared" si="900"/>
        <v>0</v>
      </c>
      <c r="AN2594" s="626"/>
      <c r="AO2594" s="182"/>
      <c r="AP2594" s="182"/>
      <c r="AQ2594" s="332" t="str">
        <f>UPPER(RIGHT(Journal_Live[[#This Row],[DURATION ]]))</f>
        <v/>
      </c>
      <c r="AR2594" s="182"/>
      <c r="AS2594" s="189"/>
      <c r="AT2594" s="189">
        <f t="shared" si="901"/>
        <v>0</v>
      </c>
      <c r="AU2594" s="187">
        <f t="shared" si="902"/>
        <v>0</v>
      </c>
      <c r="AV2594" s="190">
        <f t="shared" si="903"/>
        <v>0</v>
      </c>
      <c r="AW2594" s="191"/>
      <c r="AX2594" s="551"/>
      <c r="AY2594" s="551"/>
      <c r="AZ2594" s="551"/>
      <c r="BA2594" s="551"/>
      <c r="BB2594" s="551"/>
      <c r="BC2594" s="551"/>
      <c r="BD2594" s="549"/>
      <c r="BE2594" s="550"/>
      <c r="BF2594" s="549"/>
      <c r="BG2594" s="391">
        <f>SUM($AV$2420:AV2594)</f>
        <v>-375.93476668258438</v>
      </c>
      <c r="BH2594" s="392">
        <f>SUM($AU$2420:AU2594)</f>
        <v>-772.79999999989195</v>
      </c>
      <c r="BI2594" s="318">
        <f>SUMIFS($AU$2420:AU2747,$Q$2420:Q2747,"F")</f>
        <v>-143.99999999999949</v>
      </c>
      <c r="BJ2594" s="318">
        <f>SUMIFS($AU$2420:AU2747,$Q$2420:Q2747,"S")</f>
        <v>256.00000000000466</v>
      </c>
      <c r="BK2594" s="343">
        <f>SUMIFS($AU$2420:AU2747,$P$2420:P2747,"W")</f>
        <v>-607.99999999991883</v>
      </c>
      <c r="BL2594" s="343">
        <f>SUMIFS($AU$2420:AU2747,$P$2420:P2747,"R")</f>
        <v>911.99999999999966</v>
      </c>
      <c r="BM2594" s="343">
        <f>SUMIFS($AU$2420:AU2747,$AQ$2420:AQ2747,"M")</f>
        <v>-899.79999999984489</v>
      </c>
      <c r="BN2594" s="343">
        <f>SUMIFS($AU$2420:AU2747,$AQ$2420:AQ2747,"H")</f>
        <v>1762.9999999999427</v>
      </c>
      <c r="BO2594" s="343">
        <f>SUMIFS($AU$2420:AU2747,$AQ$2420:AQ2747,"D")</f>
        <v>-767.99999999998977</v>
      </c>
      <c r="BP2594" s="343">
        <f>SUMIFS($AS$2420:AS2835,$AO$2420:AO2835,"W")</f>
        <v>0</v>
      </c>
      <c r="BQ2594" s="343">
        <f>SUMIFS($AU$2420:AU2747,$Q$2420:Q2747,"O")</f>
        <v>-884.7999999998965</v>
      </c>
      <c r="BR2594" s="343">
        <f>SUMIFS($AU$2420:AU2747,$AA$2420:AA2747,"*")</f>
        <v>-512.79999999998074</v>
      </c>
      <c r="BS2594" s="343">
        <f>SUMIFS($AU$2420:AU2747,$AB$2420:AB2747,"*")</f>
        <v>-451.99999999997726</v>
      </c>
      <c r="BT2594" s="343">
        <f>SUMIFS($AU$2420:AU2747,$AC$2420:AC2747,"*")</f>
        <v>-143.99999999999909</v>
      </c>
      <c r="BU2594" s="343">
        <f>SUMIFS($AU$2420:AU2747,$AA$2420:AA2747,"*",$AB$2420:AB2747,"*")</f>
        <v>95.999999999933891</v>
      </c>
      <c r="BV2594" s="343">
        <f>SUMIFS($AU$2420:AU2747,$AA$2420:AA2747,"*",$AC$2420:AC2747,"*")</f>
        <v>-591.99999999999977</v>
      </c>
      <c r="BW2594" s="343">
        <f>SUMIFS($AU$2420:AU2747,$AB$2420:AB2747,"*",$AC$2420:AC2747,"*")</f>
        <v>-143.99999999999966</v>
      </c>
      <c r="BX2594" s="343">
        <f>SUMIFS($AV$2420:AV2747,$Q$2420:Q2747,"F")</f>
        <v>18.153846153846242</v>
      </c>
      <c r="BY2594" s="343">
        <f>SUMIFS($AV$2420:AV2747,$Q$2420:Q2747,"S")</f>
        <v>64.044720496894826</v>
      </c>
      <c r="BZ2594" s="343">
        <f>SUMIFS($AV$2420:AV2747,$Q$2420:Q2747,"O")</f>
        <v>-458.13333333332537</v>
      </c>
    </row>
    <row r="2595" spans="1:78" ht="15.75" customHeight="1">
      <c r="A2595" s="177" t="s">
        <v>7813</v>
      </c>
      <c r="B2595" s="200"/>
      <c r="C2595" s="178"/>
      <c r="D2595" s="178"/>
      <c r="E2595" s="227"/>
      <c r="F2595" s="180"/>
      <c r="G2595" s="181"/>
      <c r="H2595" s="182"/>
      <c r="I2595" s="182"/>
      <c r="J2595" s="182"/>
      <c r="K2595" s="183"/>
      <c r="L2595" s="182"/>
      <c r="M2595" s="182"/>
      <c r="N2595" s="182"/>
      <c r="O2595" s="183"/>
      <c r="P2595" s="183"/>
      <c r="Q2595" s="183"/>
      <c r="R2595" s="183"/>
      <c r="S2595" s="183"/>
      <c r="T2595" s="183"/>
      <c r="U2595" s="183"/>
      <c r="V2595" s="183"/>
      <c r="W2595" s="183"/>
      <c r="X2595" s="183"/>
      <c r="Y2595" s="183"/>
      <c r="Z2595" s="183"/>
      <c r="AA2595" s="185"/>
      <c r="AB2595" s="185"/>
      <c r="AC2595" s="185"/>
      <c r="AD2595" s="649"/>
      <c r="AE2595" s="182"/>
      <c r="AF2595" s="332"/>
      <c r="AG2595" s="182"/>
      <c r="AH2595" s="182"/>
      <c r="AI2595" s="182"/>
      <c r="AJ2595" s="640"/>
      <c r="AK2595" s="182"/>
      <c r="AL2595" s="496">
        <f t="shared" si="899"/>
        <v>0</v>
      </c>
      <c r="AM2595" s="496">
        <f t="shared" si="900"/>
        <v>0</v>
      </c>
      <c r="AN2595" s="626"/>
      <c r="AO2595" s="182"/>
      <c r="AP2595" s="182"/>
      <c r="AQ2595" s="332" t="str">
        <f>UPPER(RIGHT(Journal_Live[[#This Row],[DURATION ]]))</f>
        <v/>
      </c>
      <c r="AR2595" s="182"/>
      <c r="AS2595" s="189"/>
      <c r="AT2595" s="189">
        <f t="shared" si="901"/>
        <v>0</v>
      </c>
      <c r="AU2595" s="187">
        <f t="shared" si="902"/>
        <v>0</v>
      </c>
      <c r="AV2595" s="190">
        <f t="shared" si="903"/>
        <v>0</v>
      </c>
      <c r="AW2595" s="191"/>
      <c r="AX2595" s="551"/>
      <c r="AY2595" s="551"/>
      <c r="AZ2595" s="551"/>
      <c r="BA2595" s="551"/>
      <c r="BB2595" s="551"/>
      <c r="BC2595" s="551"/>
      <c r="BD2595" s="549"/>
      <c r="BE2595" s="550"/>
      <c r="BF2595" s="549"/>
      <c r="BG2595" s="391">
        <f>SUM($AV$2420:AV2595)</f>
        <v>-375.93476668258438</v>
      </c>
      <c r="BH2595" s="392">
        <f>SUM($AU$2420:AU2595)</f>
        <v>-772.79999999989195</v>
      </c>
      <c r="BI2595" s="318">
        <f>SUMIFS($AU$2420:AU2748,$Q$2420:Q2748,"F")</f>
        <v>-143.99999999999949</v>
      </c>
      <c r="BJ2595" s="318">
        <f>SUMIFS($AU$2420:AU2748,$Q$2420:Q2748,"S")</f>
        <v>256.00000000000466</v>
      </c>
      <c r="BK2595" s="343">
        <f>SUMIFS($AU$2420:AU2748,$P$2420:P2748,"W")</f>
        <v>-607.99999999991883</v>
      </c>
      <c r="BL2595" s="343">
        <f>SUMIFS($AU$2420:AU2748,$P$2420:P2748,"R")</f>
        <v>911.99999999999966</v>
      </c>
      <c r="BM2595" s="343">
        <f>SUMIFS($AU$2420:AU2748,$AQ$2420:AQ2748,"M")</f>
        <v>-899.79999999984489</v>
      </c>
      <c r="BN2595" s="343">
        <f>SUMIFS($AU$2420:AU2748,$AQ$2420:AQ2748,"H")</f>
        <v>1762.9999999999427</v>
      </c>
      <c r="BO2595" s="343">
        <f>SUMIFS($AU$2420:AU2748,$AQ$2420:AQ2748,"D")</f>
        <v>-767.99999999998977</v>
      </c>
      <c r="BP2595" s="343">
        <f>SUMIFS($AS$2420:AS2836,$AO$2420:AO2836,"W")</f>
        <v>0</v>
      </c>
      <c r="BQ2595" s="343">
        <f>SUMIFS($AU$2420:AU2748,$Q$2420:Q2748,"O")</f>
        <v>-884.7999999998965</v>
      </c>
      <c r="BR2595" s="343">
        <f>SUMIFS($AU$2420:AU2748,$AA$2420:AA2748,"*")</f>
        <v>-512.79999999998074</v>
      </c>
      <c r="BS2595" s="343">
        <f>SUMIFS($AU$2420:AU2748,$AB$2420:AB2748,"*")</f>
        <v>-451.99999999997726</v>
      </c>
      <c r="BT2595" s="343">
        <f>SUMIFS($AU$2420:AU2748,$AC$2420:AC2748,"*")</f>
        <v>-143.99999999999909</v>
      </c>
      <c r="BU2595" s="343">
        <f>SUMIFS($AU$2420:AU2748,$AA$2420:AA2748,"*",$AB$2420:AB2748,"*")</f>
        <v>95.999999999933891</v>
      </c>
      <c r="BV2595" s="343">
        <f>SUMIFS($AU$2420:AU2748,$AA$2420:AA2748,"*",$AC$2420:AC2748,"*")</f>
        <v>-591.99999999999977</v>
      </c>
      <c r="BW2595" s="343">
        <f>SUMIFS($AU$2420:AU2748,$AB$2420:AB2748,"*",$AC$2420:AC2748,"*")</f>
        <v>-143.99999999999966</v>
      </c>
      <c r="BX2595" s="343">
        <f>SUMIFS($AV$2420:AV2748,$Q$2420:Q2748,"F")</f>
        <v>18.153846153846242</v>
      </c>
      <c r="BY2595" s="343">
        <f>SUMIFS($AV$2420:AV2748,$Q$2420:Q2748,"S")</f>
        <v>64.044720496894826</v>
      </c>
      <c r="BZ2595" s="343">
        <f>SUMIFS($AV$2420:AV2748,$Q$2420:Q2748,"O")</f>
        <v>-458.13333333332537</v>
      </c>
    </row>
    <row r="2596" spans="1:78" ht="15.75" customHeight="1">
      <c r="A2596" s="177" t="s">
        <v>7813</v>
      </c>
      <c r="B2596" s="200"/>
      <c r="C2596" s="178"/>
      <c r="D2596" s="178"/>
      <c r="E2596" s="227"/>
      <c r="F2596" s="180"/>
      <c r="G2596" s="181"/>
      <c r="H2596" s="182"/>
      <c r="I2596" s="182"/>
      <c r="J2596" s="182"/>
      <c r="K2596" s="183"/>
      <c r="L2596" s="182"/>
      <c r="M2596" s="182"/>
      <c r="N2596" s="182"/>
      <c r="O2596" s="183"/>
      <c r="P2596" s="183"/>
      <c r="Q2596" s="183"/>
      <c r="R2596" s="183"/>
      <c r="S2596" s="183"/>
      <c r="T2596" s="183"/>
      <c r="U2596" s="183"/>
      <c r="V2596" s="183"/>
      <c r="W2596" s="183"/>
      <c r="X2596" s="183"/>
      <c r="Y2596" s="183"/>
      <c r="Z2596" s="183"/>
      <c r="AA2596" s="185"/>
      <c r="AB2596" s="185"/>
      <c r="AC2596" s="185"/>
      <c r="AD2596" s="649"/>
      <c r="AE2596" s="182"/>
      <c r="AF2596" s="332"/>
      <c r="AG2596" s="182"/>
      <c r="AH2596" s="182"/>
      <c r="AI2596" s="182"/>
      <c r="AJ2596" s="640"/>
      <c r="AK2596" s="182"/>
      <c r="AL2596" s="496">
        <f t="shared" si="899"/>
        <v>0</v>
      </c>
      <c r="AM2596" s="496">
        <f t="shared" si="900"/>
        <v>0</v>
      </c>
      <c r="AN2596" s="626"/>
      <c r="AO2596" s="182"/>
      <c r="AP2596" s="182"/>
      <c r="AQ2596" s="332" t="str">
        <f>UPPER(RIGHT(Journal_Live[[#This Row],[DURATION ]]))</f>
        <v/>
      </c>
      <c r="AR2596" s="182"/>
      <c r="AS2596" s="189"/>
      <c r="AT2596" s="189">
        <f t="shared" si="901"/>
        <v>0</v>
      </c>
      <c r="AU2596" s="187">
        <f t="shared" si="902"/>
        <v>0</v>
      </c>
      <c r="AV2596" s="190">
        <f t="shared" si="903"/>
        <v>0</v>
      </c>
      <c r="AW2596" s="191"/>
      <c r="AX2596" s="551"/>
      <c r="AY2596" s="551"/>
      <c r="AZ2596" s="551"/>
      <c r="BA2596" s="551"/>
      <c r="BB2596" s="551"/>
      <c r="BC2596" s="551"/>
      <c r="BD2596" s="549"/>
      <c r="BE2596" s="550"/>
      <c r="BF2596" s="549"/>
      <c r="BG2596" s="391">
        <f>SUM($AV$2420:AV2596)</f>
        <v>-375.93476668258438</v>
      </c>
      <c r="BH2596" s="392">
        <f>SUM($AU$2420:AU2596)</f>
        <v>-772.79999999989195</v>
      </c>
      <c r="BI2596" s="318">
        <f>SUMIFS($AU$2420:AU2749,$Q$2420:Q2749,"F")</f>
        <v>-143.99999999999949</v>
      </c>
      <c r="BJ2596" s="318">
        <f>SUMIFS($AU$2420:AU2749,$Q$2420:Q2749,"S")</f>
        <v>256.00000000000466</v>
      </c>
      <c r="BK2596" s="343">
        <f>SUMIFS($AU$2420:AU2749,$P$2420:P2749,"W")</f>
        <v>-607.99999999991883</v>
      </c>
      <c r="BL2596" s="343">
        <f>SUMIFS($AU$2420:AU2749,$P$2420:P2749,"R")</f>
        <v>911.99999999999966</v>
      </c>
      <c r="BM2596" s="343">
        <f>SUMIFS($AU$2420:AU2749,$AQ$2420:AQ2749,"M")</f>
        <v>-899.79999999984489</v>
      </c>
      <c r="BN2596" s="343">
        <f>SUMIFS($AU$2420:AU2749,$AQ$2420:AQ2749,"H")</f>
        <v>1762.9999999999427</v>
      </c>
      <c r="BO2596" s="343">
        <f>SUMIFS($AU$2420:AU2749,$AQ$2420:AQ2749,"D")</f>
        <v>-767.99999999998977</v>
      </c>
      <c r="BP2596" s="343">
        <f>SUMIFS($AS$2420:AS2837,$AO$2420:AO2837,"W")</f>
        <v>0</v>
      </c>
      <c r="BQ2596" s="343">
        <f>SUMIFS($AU$2420:AU2749,$Q$2420:Q2749,"O")</f>
        <v>-884.7999999998965</v>
      </c>
      <c r="BR2596" s="343">
        <f>SUMIFS($AU$2420:AU2749,$AA$2420:AA2749,"*")</f>
        <v>-512.79999999998074</v>
      </c>
      <c r="BS2596" s="343">
        <f>SUMIFS($AU$2420:AU2749,$AB$2420:AB2749,"*")</f>
        <v>-451.99999999997726</v>
      </c>
      <c r="BT2596" s="343">
        <f>SUMIFS($AU$2420:AU2749,$AC$2420:AC2749,"*")</f>
        <v>-143.99999999999909</v>
      </c>
      <c r="BU2596" s="343">
        <f>SUMIFS($AU$2420:AU2749,$AA$2420:AA2749,"*",$AB$2420:AB2749,"*")</f>
        <v>95.999999999933891</v>
      </c>
      <c r="BV2596" s="343">
        <f>SUMIFS($AU$2420:AU2749,$AA$2420:AA2749,"*",$AC$2420:AC2749,"*")</f>
        <v>-591.99999999999977</v>
      </c>
      <c r="BW2596" s="343">
        <f>SUMIFS($AU$2420:AU2749,$AB$2420:AB2749,"*",$AC$2420:AC2749,"*")</f>
        <v>-143.99999999999966</v>
      </c>
      <c r="BX2596" s="343">
        <f>SUMIFS($AV$2420:AV2749,$Q$2420:Q2749,"F")</f>
        <v>18.153846153846242</v>
      </c>
      <c r="BY2596" s="343">
        <f>SUMIFS($AV$2420:AV2749,$Q$2420:Q2749,"S")</f>
        <v>64.044720496894826</v>
      </c>
      <c r="BZ2596" s="343">
        <f>SUMIFS($AV$2420:AV2749,$Q$2420:Q2749,"O")</f>
        <v>-458.13333333332537</v>
      </c>
    </row>
    <row r="2597" spans="1:78" ht="15.75" customHeight="1">
      <c r="A2597" s="177" t="s">
        <v>7813</v>
      </c>
      <c r="B2597" s="200"/>
      <c r="C2597" s="178"/>
      <c r="D2597" s="178"/>
      <c r="E2597" s="227"/>
      <c r="F2597" s="180"/>
      <c r="G2597" s="181"/>
      <c r="H2597" s="182"/>
      <c r="I2597" s="182"/>
      <c r="J2597" s="182"/>
      <c r="K2597" s="183"/>
      <c r="L2597" s="182"/>
      <c r="M2597" s="182"/>
      <c r="N2597" s="182"/>
      <c r="O2597" s="183"/>
      <c r="P2597" s="183"/>
      <c r="Q2597" s="183"/>
      <c r="R2597" s="183"/>
      <c r="S2597" s="183"/>
      <c r="T2597" s="183"/>
      <c r="U2597" s="183"/>
      <c r="V2597" s="183"/>
      <c r="W2597" s="183"/>
      <c r="X2597" s="183"/>
      <c r="Y2597" s="183"/>
      <c r="Z2597" s="183"/>
      <c r="AA2597" s="185"/>
      <c r="AB2597" s="185"/>
      <c r="AC2597" s="185"/>
      <c r="AD2597" s="649"/>
      <c r="AE2597" s="182"/>
      <c r="AF2597" s="332"/>
      <c r="AG2597" s="182"/>
      <c r="AH2597" s="182"/>
      <c r="AI2597" s="182"/>
      <c r="AJ2597" s="640"/>
      <c r="AK2597" s="182"/>
      <c r="AL2597" s="496">
        <f t="shared" si="899"/>
        <v>0</v>
      </c>
      <c r="AM2597" s="496">
        <f t="shared" si="900"/>
        <v>0</v>
      </c>
      <c r="AN2597" s="626"/>
      <c r="AO2597" s="182"/>
      <c r="AP2597" s="182"/>
      <c r="AQ2597" s="332" t="str">
        <f>UPPER(RIGHT(Journal_Live[[#This Row],[DURATION ]]))</f>
        <v/>
      </c>
      <c r="AR2597" s="182"/>
      <c r="AS2597" s="189"/>
      <c r="AT2597" s="189">
        <f t="shared" si="901"/>
        <v>0</v>
      </c>
      <c r="AU2597" s="187">
        <f t="shared" si="902"/>
        <v>0</v>
      </c>
      <c r="AV2597" s="190">
        <f t="shared" si="903"/>
        <v>0</v>
      </c>
      <c r="AW2597" s="191"/>
      <c r="AX2597" s="551"/>
      <c r="AY2597" s="551"/>
      <c r="AZ2597" s="551"/>
      <c r="BA2597" s="551"/>
      <c r="BB2597" s="551"/>
      <c r="BC2597" s="551"/>
      <c r="BD2597" s="549"/>
      <c r="BE2597" s="550"/>
      <c r="BF2597" s="549"/>
      <c r="BG2597" s="391">
        <f>SUM($AV$2420:AV2597)</f>
        <v>-375.93476668258438</v>
      </c>
      <c r="BH2597" s="392">
        <f>SUM($AU$2420:AU2597)</f>
        <v>-772.79999999989195</v>
      </c>
      <c r="BI2597" s="318">
        <f>SUMIFS($AU$2420:AU2750,$Q$2420:Q2750,"F")</f>
        <v>-143.99999999999949</v>
      </c>
      <c r="BJ2597" s="318">
        <f>SUMIFS($AU$2420:AU2750,$Q$2420:Q2750,"S")</f>
        <v>256.00000000000466</v>
      </c>
      <c r="BK2597" s="343">
        <f>SUMIFS($AU$2420:AU2750,$P$2420:P2750,"W")</f>
        <v>-607.99999999991883</v>
      </c>
      <c r="BL2597" s="343">
        <f>SUMIFS($AU$2420:AU2750,$P$2420:P2750,"R")</f>
        <v>911.99999999999966</v>
      </c>
      <c r="BM2597" s="343">
        <f>SUMIFS($AU$2420:AU2750,$AQ$2420:AQ2750,"M")</f>
        <v>-899.79999999984489</v>
      </c>
      <c r="BN2597" s="343">
        <f>SUMIFS($AU$2420:AU2750,$AQ$2420:AQ2750,"H")</f>
        <v>1762.9999999999427</v>
      </c>
      <c r="BO2597" s="343">
        <f>SUMIFS($AU$2420:AU2750,$AQ$2420:AQ2750,"D")</f>
        <v>-767.99999999998977</v>
      </c>
      <c r="BP2597" s="343">
        <f>SUMIFS($AS$2420:AS2838,$AO$2420:AO2838,"W")</f>
        <v>0</v>
      </c>
      <c r="BQ2597" s="343">
        <f>SUMIFS($AU$2420:AU2750,$Q$2420:Q2750,"O")</f>
        <v>-884.7999999998965</v>
      </c>
      <c r="BR2597" s="343">
        <f>SUMIFS($AU$2420:AU2750,$AA$2420:AA2750,"*")</f>
        <v>-512.79999999998074</v>
      </c>
      <c r="BS2597" s="343">
        <f>SUMIFS($AU$2420:AU2750,$AB$2420:AB2750,"*")</f>
        <v>-451.99999999997726</v>
      </c>
      <c r="BT2597" s="343">
        <f>SUMIFS($AU$2420:AU2750,$AC$2420:AC2750,"*")</f>
        <v>-143.99999999999909</v>
      </c>
      <c r="BU2597" s="343">
        <f>SUMIFS($AU$2420:AU2750,$AA$2420:AA2750,"*",$AB$2420:AB2750,"*")</f>
        <v>95.999999999933891</v>
      </c>
      <c r="BV2597" s="343">
        <f>SUMIFS($AU$2420:AU2750,$AA$2420:AA2750,"*",$AC$2420:AC2750,"*")</f>
        <v>-591.99999999999977</v>
      </c>
      <c r="BW2597" s="343">
        <f>SUMIFS($AU$2420:AU2750,$AB$2420:AB2750,"*",$AC$2420:AC2750,"*")</f>
        <v>-143.99999999999966</v>
      </c>
      <c r="BX2597" s="343">
        <f>SUMIFS($AV$2420:AV2750,$Q$2420:Q2750,"F")</f>
        <v>18.153846153846242</v>
      </c>
      <c r="BY2597" s="343">
        <f>SUMIFS($AV$2420:AV2750,$Q$2420:Q2750,"S")</f>
        <v>64.044720496894826</v>
      </c>
      <c r="BZ2597" s="343">
        <f>SUMIFS($AV$2420:AV2750,$Q$2420:Q2750,"O")</f>
        <v>-458.13333333332537</v>
      </c>
    </row>
    <row r="2598" spans="1:78" ht="15.75" customHeight="1">
      <c r="A2598" s="177" t="s">
        <v>7813</v>
      </c>
      <c r="B2598" s="200"/>
      <c r="C2598" s="178"/>
      <c r="D2598" s="178"/>
      <c r="E2598" s="227"/>
      <c r="F2598" s="180"/>
      <c r="G2598" s="181"/>
      <c r="H2598" s="182"/>
      <c r="I2598" s="182"/>
      <c r="J2598" s="182"/>
      <c r="K2598" s="183"/>
      <c r="L2598" s="182"/>
      <c r="M2598" s="182"/>
      <c r="N2598" s="182"/>
      <c r="O2598" s="183"/>
      <c r="P2598" s="183"/>
      <c r="Q2598" s="183"/>
      <c r="R2598" s="183"/>
      <c r="S2598" s="183"/>
      <c r="T2598" s="183"/>
      <c r="U2598" s="183"/>
      <c r="V2598" s="183"/>
      <c r="W2598" s="183"/>
      <c r="X2598" s="183"/>
      <c r="Y2598" s="183"/>
      <c r="Z2598" s="183"/>
      <c r="AA2598" s="185"/>
      <c r="AB2598" s="185"/>
      <c r="AC2598" s="185"/>
      <c r="AD2598" s="649"/>
      <c r="AE2598" s="182"/>
      <c r="AF2598" s="332"/>
      <c r="AG2598" s="182"/>
      <c r="AH2598" s="182"/>
      <c r="AI2598" s="182"/>
      <c r="AJ2598" s="640"/>
      <c r="AK2598" s="182"/>
      <c r="AL2598" s="496">
        <f t="shared" si="899"/>
        <v>0</v>
      </c>
      <c r="AM2598" s="496">
        <f t="shared" si="900"/>
        <v>0</v>
      </c>
      <c r="AN2598" s="626"/>
      <c r="AO2598" s="182"/>
      <c r="AP2598" s="182"/>
      <c r="AQ2598" s="332" t="str">
        <f>UPPER(RIGHT(Journal_Live[[#This Row],[DURATION ]]))</f>
        <v/>
      </c>
      <c r="AR2598" s="182"/>
      <c r="AS2598" s="189"/>
      <c r="AT2598" s="189">
        <f t="shared" si="901"/>
        <v>0</v>
      </c>
      <c r="AU2598" s="187">
        <f t="shared" si="902"/>
        <v>0</v>
      </c>
      <c r="AV2598" s="190">
        <f t="shared" si="903"/>
        <v>0</v>
      </c>
      <c r="AW2598" s="191"/>
      <c r="AX2598" s="551"/>
      <c r="AY2598" s="551"/>
      <c r="AZ2598" s="551"/>
      <c r="BA2598" s="551"/>
      <c r="BB2598" s="551"/>
      <c r="BC2598" s="551"/>
      <c r="BD2598" s="549"/>
      <c r="BE2598" s="550"/>
      <c r="BF2598" s="549"/>
      <c r="BG2598" s="391">
        <f>SUM($AV$2420:AV2598)</f>
        <v>-375.93476668258438</v>
      </c>
      <c r="BH2598" s="392">
        <f>SUM($AU$2420:AU2598)</f>
        <v>-772.79999999989195</v>
      </c>
      <c r="BI2598" s="318">
        <f>SUMIFS($AU$2420:AU2751,$Q$2420:Q2751,"F")</f>
        <v>-143.99999999999949</v>
      </c>
      <c r="BJ2598" s="318">
        <f>SUMIFS($AU$2420:AU2751,$Q$2420:Q2751,"S")</f>
        <v>256.00000000000466</v>
      </c>
      <c r="BK2598" s="343">
        <f>SUMIFS($AU$2420:AU2751,$P$2420:P2751,"W")</f>
        <v>-607.99999999991883</v>
      </c>
      <c r="BL2598" s="343">
        <f>SUMIFS($AU$2420:AU2751,$P$2420:P2751,"R")</f>
        <v>911.99999999999966</v>
      </c>
      <c r="BM2598" s="343">
        <f>SUMIFS($AU$2420:AU2751,$AQ$2420:AQ2751,"M")</f>
        <v>-899.79999999984489</v>
      </c>
      <c r="BN2598" s="343">
        <f>SUMIFS($AU$2420:AU2751,$AQ$2420:AQ2751,"H")</f>
        <v>1762.9999999999427</v>
      </c>
      <c r="BO2598" s="343">
        <f>SUMIFS($AU$2420:AU2751,$AQ$2420:AQ2751,"D")</f>
        <v>-767.99999999998977</v>
      </c>
      <c r="BP2598" s="343">
        <f>SUMIFS($AS$2420:AS2839,$AO$2420:AO2839,"W")</f>
        <v>0</v>
      </c>
      <c r="BQ2598" s="343">
        <f>SUMIFS($AU$2420:AU2751,$Q$2420:Q2751,"O")</f>
        <v>-884.7999999998965</v>
      </c>
      <c r="BR2598" s="343">
        <f>SUMIFS($AU$2420:AU2751,$AA$2420:AA2751,"*")</f>
        <v>-512.79999999998074</v>
      </c>
      <c r="BS2598" s="343">
        <f>SUMIFS($AU$2420:AU2751,$AB$2420:AB2751,"*")</f>
        <v>-451.99999999997726</v>
      </c>
      <c r="BT2598" s="343">
        <f>SUMIFS($AU$2420:AU2751,$AC$2420:AC2751,"*")</f>
        <v>-143.99999999999909</v>
      </c>
      <c r="BU2598" s="343">
        <f>SUMIFS($AU$2420:AU2751,$AA$2420:AA2751,"*",$AB$2420:AB2751,"*")</f>
        <v>95.999999999933891</v>
      </c>
      <c r="BV2598" s="343">
        <f>SUMIFS($AU$2420:AU2751,$AA$2420:AA2751,"*",$AC$2420:AC2751,"*")</f>
        <v>-591.99999999999977</v>
      </c>
      <c r="BW2598" s="343">
        <f>SUMIFS($AU$2420:AU2751,$AB$2420:AB2751,"*",$AC$2420:AC2751,"*")</f>
        <v>-143.99999999999966</v>
      </c>
      <c r="BX2598" s="343">
        <f>SUMIFS($AV$2420:AV2751,$Q$2420:Q2751,"F")</f>
        <v>18.153846153846242</v>
      </c>
      <c r="BY2598" s="343">
        <f>SUMIFS($AV$2420:AV2751,$Q$2420:Q2751,"S")</f>
        <v>64.044720496894826</v>
      </c>
      <c r="BZ2598" s="343">
        <f>SUMIFS($AV$2420:AV2751,$Q$2420:Q2751,"O")</f>
        <v>-458.13333333332537</v>
      </c>
    </row>
    <row r="2599" spans="1:78" ht="15.75" customHeight="1">
      <c r="A2599" s="177" t="s">
        <v>7813</v>
      </c>
      <c r="B2599" s="200"/>
      <c r="C2599" s="178"/>
      <c r="D2599" s="178"/>
      <c r="E2599" s="227"/>
      <c r="F2599" s="180"/>
      <c r="G2599" s="181"/>
      <c r="H2599" s="182"/>
      <c r="I2599" s="182"/>
      <c r="J2599" s="182"/>
      <c r="K2599" s="183"/>
      <c r="L2599" s="182"/>
      <c r="M2599" s="182"/>
      <c r="N2599" s="182"/>
      <c r="O2599" s="183"/>
      <c r="P2599" s="183"/>
      <c r="Q2599" s="183"/>
      <c r="R2599" s="183"/>
      <c r="S2599" s="183"/>
      <c r="T2599" s="183"/>
      <c r="U2599" s="183"/>
      <c r="V2599" s="183"/>
      <c r="W2599" s="183"/>
      <c r="X2599" s="183"/>
      <c r="Y2599" s="183"/>
      <c r="Z2599" s="183"/>
      <c r="AA2599" s="185"/>
      <c r="AB2599" s="185"/>
      <c r="AC2599" s="185"/>
      <c r="AD2599" s="649"/>
      <c r="AE2599" s="182"/>
      <c r="AF2599" s="332"/>
      <c r="AG2599" s="182"/>
      <c r="AH2599" s="182"/>
      <c r="AI2599" s="182"/>
      <c r="AJ2599" s="640"/>
      <c r="AK2599" s="182"/>
      <c r="AL2599" s="496">
        <f t="shared" ref="AL2574:AL2600" si="904">-0.02*Z2599</f>
        <v>0</v>
      </c>
      <c r="AM2599" s="496">
        <f t="shared" ref="AM2574:AM2600" si="905">AL2599*(R2599-S2599)</f>
        <v>0</v>
      </c>
      <c r="AN2599" s="626"/>
      <c r="AO2599" s="182"/>
      <c r="AP2599" s="182"/>
      <c r="AQ2599" s="332" t="str">
        <f>UPPER(RIGHT(Journal_Live[[#This Row],[DURATION ]]))</f>
        <v/>
      </c>
      <c r="AR2599" s="182"/>
      <c r="AS2599" s="189"/>
      <c r="AT2599" s="189">
        <f t="shared" ref="AT2574:AT2600" si="906">IF(ISBLANK(AS2599),,IF(U2599="S",AD2599-AS2599,AS2599-AD2599))</f>
        <v>0</v>
      </c>
      <c r="AU2599" s="187">
        <f t="shared" ref="AU2574:AU2600" si="907">AV2599*R2599</f>
        <v>0</v>
      </c>
      <c r="AV2599" s="190">
        <f t="shared" ref="AV2574:AV2600" si="908">IF(ISBLANK(AS2599),,(AT2599*Z2599))</f>
        <v>0</v>
      </c>
      <c r="AW2599" s="191"/>
      <c r="AX2599" s="551"/>
      <c r="AY2599" s="551"/>
      <c r="AZ2599" s="551"/>
      <c r="BA2599" s="551"/>
      <c r="BB2599" s="551"/>
      <c r="BC2599" s="551"/>
      <c r="BD2599" s="549"/>
      <c r="BE2599" s="550"/>
      <c r="BF2599" s="549"/>
      <c r="BG2599" s="391">
        <f>SUM($AV$2420:AV2599)</f>
        <v>-375.93476668258438</v>
      </c>
      <c r="BH2599" s="392">
        <f>SUM($AU$2420:AU2599)</f>
        <v>-772.79999999989195</v>
      </c>
      <c r="BI2599" s="318">
        <f>SUMIFS($AU$2420:AU2752,$Q$2420:Q2752,"F")</f>
        <v>-143.99999999999949</v>
      </c>
      <c r="BJ2599" s="318">
        <f>SUMIFS($AU$2420:AU2752,$Q$2420:Q2752,"S")</f>
        <v>256.00000000000466</v>
      </c>
      <c r="BK2599" s="343">
        <f>SUMIFS($AU$2420:AU2752,$P$2420:P2752,"W")</f>
        <v>-607.99999999991883</v>
      </c>
      <c r="BL2599" s="343">
        <f>SUMIFS($AU$2420:AU2752,$P$2420:P2752,"R")</f>
        <v>911.99999999999966</v>
      </c>
      <c r="BM2599" s="343">
        <f>SUMIFS($AU$2420:AU2752,$AQ$2420:AQ2752,"M")</f>
        <v>-899.79999999984489</v>
      </c>
      <c r="BN2599" s="343">
        <f>SUMIFS($AU$2420:AU2752,$AQ$2420:AQ2752,"H")</f>
        <v>1762.9999999999427</v>
      </c>
      <c r="BO2599" s="343">
        <f>SUMIFS($AU$2420:AU2752,$AQ$2420:AQ2752,"D")</f>
        <v>-767.99999999998977</v>
      </c>
      <c r="BP2599" s="343">
        <f>SUMIFS($AS$2420:AS2840,$AO$2420:AO2840,"W")</f>
        <v>0</v>
      </c>
      <c r="BQ2599" s="343">
        <f>SUMIFS($AU$2420:AU2752,$Q$2420:Q2752,"O")</f>
        <v>-884.7999999998965</v>
      </c>
      <c r="BR2599" s="343">
        <f>SUMIFS($AU$2420:AU2752,$AA$2420:AA2752,"*")</f>
        <v>-512.79999999998074</v>
      </c>
      <c r="BS2599" s="343">
        <f>SUMIFS($AU$2420:AU2752,$AB$2420:AB2752,"*")</f>
        <v>-451.99999999997726</v>
      </c>
      <c r="BT2599" s="343">
        <f>SUMIFS($AU$2420:AU2752,$AC$2420:AC2752,"*")</f>
        <v>-143.99999999999909</v>
      </c>
      <c r="BU2599" s="343">
        <f>SUMIFS($AU$2420:AU2752,$AA$2420:AA2752,"*",$AB$2420:AB2752,"*")</f>
        <v>95.999999999933891</v>
      </c>
      <c r="BV2599" s="343">
        <f>SUMIFS($AU$2420:AU2752,$AA$2420:AA2752,"*",$AC$2420:AC2752,"*")</f>
        <v>-591.99999999999977</v>
      </c>
      <c r="BW2599" s="343">
        <f>SUMIFS($AU$2420:AU2752,$AB$2420:AB2752,"*",$AC$2420:AC2752,"*")</f>
        <v>-143.99999999999966</v>
      </c>
      <c r="BX2599" s="343">
        <f>SUMIFS($AV$2420:AV2752,$Q$2420:Q2752,"F")</f>
        <v>18.153846153846242</v>
      </c>
      <c r="BY2599" s="343">
        <f>SUMIFS($AV$2420:AV2752,$Q$2420:Q2752,"S")</f>
        <v>64.044720496894826</v>
      </c>
      <c r="BZ2599" s="343">
        <f>SUMIFS($AV$2420:AV2752,$Q$2420:Q2752,"O")</f>
        <v>-458.13333333332537</v>
      </c>
    </row>
    <row r="2600" spans="1:78" ht="15.75" customHeight="1">
      <c r="A2600" s="177" t="s">
        <v>7813</v>
      </c>
      <c r="B2600" s="200"/>
      <c r="C2600" s="178"/>
      <c r="D2600" s="178"/>
      <c r="E2600" s="227"/>
      <c r="F2600" s="180"/>
      <c r="G2600" s="181"/>
      <c r="H2600" s="182"/>
      <c r="I2600" s="182"/>
      <c r="J2600" s="182"/>
      <c r="K2600" s="183"/>
      <c r="L2600" s="182"/>
      <c r="M2600" s="182"/>
      <c r="N2600" s="182"/>
      <c r="O2600" s="183"/>
      <c r="P2600" s="183"/>
      <c r="Q2600" s="183"/>
      <c r="R2600" s="183"/>
      <c r="S2600" s="183"/>
      <c r="T2600" s="183"/>
      <c r="U2600" s="183"/>
      <c r="V2600" s="183"/>
      <c r="W2600" s="183"/>
      <c r="X2600" s="183"/>
      <c r="Y2600" s="183"/>
      <c r="Z2600" s="183"/>
      <c r="AA2600" s="185"/>
      <c r="AB2600" s="185"/>
      <c r="AC2600" s="185"/>
      <c r="AD2600" s="649"/>
      <c r="AE2600" s="182"/>
      <c r="AF2600" s="332"/>
      <c r="AG2600" s="182"/>
      <c r="AH2600" s="182"/>
      <c r="AI2600" s="182"/>
      <c r="AJ2600" s="640"/>
      <c r="AK2600" s="182"/>
      <c r="AL2600" s="496">
        <f t="shared" si="904"/>
        <v>0</v>
      </c>
      <c r="AM2600" s="496">
        <f t="shared" si="905"/>
        <v>0</v>
      </c>
      <c r="AN2600" s="626"/>
      <c r="AO2600" s="182"/>
      <c r="AP2600" s="182"/>
      <c r="AQ2600" s="332" t="str">
        <f>UPPER(RIGHT(Journal_Live[[#This Row],[DURATION ]]))</f>
        <v/>
      </c>
      <c r="AR2600" s="182"/>
      <c r="AS2600" s="189"/>
      <c r="AT2600" s="189">
        <f t="shared" si="906"/>
        <v>0</v>
      </c>
      <c r="AU2600" s="187">
        <f t="shared" si="907"/>
        <v>0</v>
      </c>
      <c r="AV2600" s="190">
        <f t="shared" si="908"/>
        <v>0</v>
      </c>
      <c r="AW2600" s="191"/>
      <c r="AX2600" s="551"/>
      <c r="AY2600" s="551"/>
      <c r="AZ2600" s="551"/>
      <c r="BA2600" s="551"/>
      <c r="BB2600" s="551"/>
      <c r="BC2600" s="551"/>
      <c r="BD2600" s="549"/>
      <c r="BE2600" s="550"/>
      <c r="BF2600" s="549"/>
      <c r="BG2600" s="391">
        <f>SUM($AV$2420:AV2600)</f>
        <v>-375.93476668258438</v>
      </c>
      <c r="BH2600" s="392">
        <f>SUM($AU$2420:AU2600)</f>
        <v>-772.79999999989195</v>
      </c>
      <c r="BI2600" s="318">
        <f>SUMIFS($AU$2420:AU2753,$Q$2420:Q2753,"F")</f>
        <v>-143.99999999999949</v>
      </c>
      <c r="BJ2600" s="318">
        <f>SUMIFS($AU$2420:AU2753,$Q$2420:Q2753,"S")</f>
        <v>256.00000000000466</v>
      </c>
      <c r="BK2600" s="343">
        <f>SUMIFS($AU$2420:AU2753,$P$2420:P2753,"W")</f>
        <v>-607.99999999991883</v>
      </c>
      <c r="BL2600" s="343">
        <f>SUMIFS($AU$2420:AU2753,$P$2420:P2753,"R")</f>
        <v>911.99999999999966</v>
      </c>
      <c r="BM2600" s="343">
        <f>SUMIFS($AU$2420:AU2753,$AQ$2420:AQ2753,"M")</f>
        <v>-899.79999999984489</v>
      </c>
      <c r="BN2600" s="343">
        <f>SUMIFS($AU$2420:AU2753,$AQ$2420:AQ2753,"H")</f>
        <v>1762.9999999999427</v>
      </c>
      <c r="BO2600" s="343">
        <f>SUMIFS($AU$2420:AU2753,$AQ$2420:AQ2753,"D")</f>
        <v>-767.99999999998977</v>
      </c>
      <c r="BP2600" s="343">
        <f>SUMIFS($AS$2420:AS2841,$AO$2420:AO2841,"W")</f>
        <v>0</v>
      </c>
      <c r="BQ2600" s="343">
        <f>SUMIFS($AU$2420:AU2753,$Q$2420:Q2753,"O")</f>
        <v>-884.7999999998965</v>
      </c>
      <c r="BR2600" s="343">
        <f>SUMIFS($AU$2420:AU2753,$AA$2420:AA2753,"*")</f>
        <v>-512.79999999998074</v>
      </c>
      <c r="BS2600" s="343">
        <f>SUMIFS($AU$2420:AU2753,$AB$2420:AB2753,"*")</f>
        <v>-451.99999999997726</v>
      </c>
      <c r="BT2600" s="343">
        <f>SUMIFS($AU$2420:AU2753,$AC$2420:AC2753,"*")</f>
        <v>-143.99999999999909</v>
      </c>
      <c r="BU2600" s="343">
        <f>SUMIFS($AU$2420:AU2753,$AA$2420:AA2753,"*",$AB$2420:AB2753,"*")</f>
        <v>95.999999999933891</v>
      </c>
      <c r="BV2600" s="343">
        <f>SUMIFS($AU$2420:AU2753,$AA$2420:AA2753,"*",$AC$2420:AC2753,"*")</f>
        <v>-591.99999999999977</v>
      </c>
      <c r="BW2600" s="343">
        <f>SUMIFS($AU$2420:AU2753,$AB$2420:AB2753,"*",$AC$2420:AC2753,"*")</f>
        <v>-143.99999999999966</v>
      </c>
      <c r="BX2600" s="343">
        <f>SUMIFS($AV$2420:AV2753,$Q$2420:Q2753,"F")</f>
        <v>18.153846153846242</v>
      </c>
      <c r="BY2600" s="343">
        <f>SUMIFS($AV$2420:AV2753,$Q$2420:Q2753,"S")</f>
        <v>64.044720496894826</v>
      </c>
      <c r="BZ2600" s="343">
        <f>SUMIFS($AV$2420:AV2753,$Q$2420:Q2753,"O")</f>
        <v>-458.13333333332537</v>
      </c>
    </row>
    <row r="2601" spans="1:78" ht="15.75" customHeight="1">
      <c r="A2601" s="177" t="s">
        <v>7813</v>
      </c>
      <c r="B2601" s="200"/>
      <c r="C2601" s="178"/>
      <c r="D2601" s="178"/>
      <c r="E2601" s="227"/>
      <c r="F2601" s="180"/>
      <c r="G2601" s="181"/>
      <c r="H2601" s="182"/>
      <c r="I2601" s="182"/>
      <c r="J2601" s="182"/>
      <c r="K2601" s="183"/>
      <c r="L2601" s="182"/>
      <c r="M2601" s="182"/>
      <c r="N2601" s="182"/>
      <c r="O2601" s="183"/>
      <c r="P2601" s="183"/>
      <c r="Q2601" s="183"/>
      <c r="R2601" s="183"/>
      <c r="S2601" s="183"/>
      <c r="T2601" s="183"/>
      <c r="U2601" s="183"/>
      <c r="V2601" s="183"/>
      <c r="W2601" s="183"/>
      <c r="X2601" s="183"/>
      <c r="Y2601" s="183"/>
      <c r="Z2601" s="183"/>
      <c r="AA2601" s="185"/>
      <c r="AB2601" s="185"/>
      <c r="AC2601" s="185"/>
      <c r="AD2601" s="649"/>
      <c r="AE2601" s="182"/>
      <c r="AF2601" s="332"/>
      <c r="AG2601" s="182"/>
      <c r="AH2601" s="182"/>
      <c r="AI2601" s="182"/>
      <c r="AJ2601" s="640"/>
      <c r="AK2601" s="182"/>
      <c r="AL2601" s="496">
        <f t="shared" si="876"/>
        <v>0</v>
      </c>
      <c r="AM2601" s="496">
        <f t="shared" si="877"/>
        <v>0</v>
      </c>
      <c r="AN2601" s="626"/>
      <c r="AO2601" s="182"/>
      <c r="AP2601" s="182"/>
      <c r="AQ2601" s="332" t="str">
        <f>UPPER(RIGHT(Journal_Live[[#This Row],[DURATION ]]))</f>
        <v/>
      </c>
      <c r="AR2601" s="182"/>
      <c r="AS2601" s="189"/>
      <c r="AT2601" s="189">
        <f t="shared" si="878"/>
        <v>0</v>
      </c>
      <c r="AU2601" s="187">
        <f t="shared" si="879"/>
        <v>0</v>
      </c>
      <c r="AV2601" s="190">
        <f t="shared" si="880"/>
        <v>0</v>
      </c>
      <c r="AW2601" s="191"/>
      <c r="AX2601" s="551"/>
      <c r="AY2601" s="551"/>
      <c r="AZ2601" s="551"/>
      <c r="BA2601" s="551"/>
      <c r="BB2601" s="551"/>
      <c r="BC2601" s="551"/>
      <c r="BD2601" s="549"/>
      <c r="BE2601" s="550"/>
      <c r="BF2601" s="549"/>
      <c r="BG2601" s="391">
        <f>SUM($AV$2420:AV2601)</f>
        <v>-375.93476668258438</v>
      </c>
      <c r="BH2601" s="392">
        <f>SUM($AU$2420:AU2601)</f>
        <v>-772.79999999989195</v>
      </c>
      <c r="BI2601" s="318">
        <f>SUMIFS($AU$2420:AU2754,$Q$2420:Q2754,"F")</f>
        <v>-143.99999999999949</v>
      </c>
      <c r="BJ2601" s="318">
        <f>SUMIFS($AU$2420:AU2754,$Q$2420:Q2754,"S")</f>
        <v>256.00000000000466</v>
      </c>
      <c r="BK2601" s="343">
        <f>SUMIFS($AU$2420:AU2754,$P$2420:P2754,"W")</f>
        <v>-607.99999999991883</v>
      </c>
      <c r="BL2601" s="343">
        <f>SUMIFS($AU$2420:AU2754,$P$2420:P2754,"R")</f>
        <v>911.99999999999966</v>
      </c>
      <c r="BM2601" s="343">
        <f>SUMIFS($AU$2420:AU2754,$AQ$2420:AQ2754,"M")</f>
        <v>-899.79999999984489</v>
      </c>
      <c r="BN2601" s="343">
        <f>SUMIFS($AU$2420:AU2754,$AQ$2420:AQ2754,"H")</f>
        <v>1762.9999999999427</v>
      </c>
      <c r="BO2601" s="343">
        <f>SUMIFS($AU$2420:AU2754,$AQ$2420:AQ2754,"D")</f>
        <v>-767.99999999998977</v>
      </c>
      <c r="BP2601" s="343">
        <f>SUMIFS($AS$2420:AS2842,$AO$2420:AO2842,"W")</f>
        <v>0</v>
      </c>
      <c r="BQ2601" s="343">
        <f>SUMIFS($AU$2420:AU2754,$Q$2420:Q2754,"O")</f>
        <v>-884.7999999998965</v>
      </c>
      <c r="BR2601" s="343">
        <f>SUMIFS($AU$2420:AU2754,$AA$2420:AA2754,"*")</f>
        <v>-512.79999999998074</v>
      </c>
      <c r="BS2601" s="343">
        <f>SUMIFS($AU$2420:AU2754,$AB$2420:AB2754,"*")</f>
        <v>-451.99999999997726</v>
      </c>
      <c r="BT2601" s="343">
        <f>SUMIFS($AU$2420:AU2754,$AC$2420:AC2754,"*")</f>
        <v>-143.99999999999909</v>
      </c>
      <c r="BU2601" s="343">
        <f>SUMIFS($AU$2420:AU2754,$AA$2420:AA2754,"*",$AB$2420:AB2754,"*")</f>
        <v>95.999999999933891</v>
      </c>
      <c r="BV2601" s="343">
        <f>SUMIFS($AU$2420:AU2754,$AA$2420:AA2754,"*",$AC$2420:AC2754,"*")</f>
        <v>-591.99999999999977</v>
      </c>
      <c r="BW2601" s="343">
        <f>SUMIFS($AU$2420:AU2754,$AB$2420:AB2754,"*",$AC$2420:AC2754,"*")</f>
        <v>-143.99999999999966</v>
      </c>
      <c r="BX2601" s="343">
        <f>SUMIFS($AV$2420:AV2754,$Q$2420:Q2754,"F")</f>
        <v>18.153846153846242</v>
      </c>
      <c r="BY2601" s="343">
        <f>SUMIFS($AV$2420:AV2754,$Q$2420:Q2754,"S")</f>
        <v>64.044720496894826</v>
      </c>
      <c r="BZ2601" s="343">
        <f>SUMIFS($AV$2420:AV2754,$Q$2420:Q2754,"O")</f>
        <v>-458.13333333332537</v>
      </c>
    </row>
    <row r="2602" spans="1:78" ht="15.75" customHeight="1">
      <c r="A2602" s="177" t="s">
        <v>7813</v>
      </c>
      <c r="B2602" s="200"/>
      <c r="C2602" s="178"/>
      <c r="D2602" s="178"/>
      <c r="E2602" s="227"/>
      <c r="F2602" s="180"/>
      <c r="G2602" s="181"/>
      <c r="H2602" s="182"/>
      <c r="I2602" s="182"/>
      <c r="J2602" s="182"/>
      <c r="K2602" s="183"/>
      <c r="L2602" s="182"/>
      <c r="M2602" s="182"/>
      <c r="N2602" s="182"/>
      <c r="O2602" s="183"/>
      <c r="P2602" s="183"/>
      <c r="Q2602" s="183"/>
      <c r="R2602" s="183"/>
      <c r="S2602" s="183"/>
      <c r="T2602" s="183"/>
      <c r="U2602" s="183"/>
      <c r="V2602" s="183"/>
      <c r="W2602" s="183"/>
      <c r="X2602" s="183"/>
      <c r="Y2602" s="183"/>
      <c r="Z2602" s="183"/>
      <c r="AA2602" s="185"/>
      <c r="AB2602" s="185"/>
      <c r="AC2602" s="185"/>
      <c r="AD2602" s="649"/>
      <c r="AE2602" s="182"/>
      <c r="AF2602" s="332"/>
      <c r="AG2602" s="182"/>
      <c r="AH2602" s="182"/>
      <c r="AI2602" s="182"/>
      <c r="AJ2602" s="640"/>
      <c r="AK2602" s="182"/>
      <c r="AL2602" s="496">
        <f t="shared" si="876"/>
        <v>0</v>
      </c>
      <c r="AM2602" s="496">
        <f t="shared" si="877"/>
        <v>0</v>
      </c>
      <c r="AN2602" s="626"/>
      <c r="AO2602" s="182"/>
      <c r="AP2602" s="182"/>
      <c r="AQ2602" s="332" t="str">
        <f>UPPER(RIGHT(Journal_Live[[#This Row],[DURATION ]]))</f>
        <v/>
      </c>
      <c r="AR2602" s="182"/>
      <c r="AS2602" s="189"/>
      <c r="AT2602" s="189">
        <f t="shared" si="878"/>
        <v>0</v>
      </c>
      <c r="AU2602" s="187">
        <f t="shared" si="879"/>
        <v>0</v>
      </c>
      <c r="AV2602" s="190">
        <f t="shared" si="880"/>
        <v>0</v>
      </c>
      <c r="AW2602" s="191"/>
      <c r="AX2602" s="551"/>
      <c r="AY2602" s="551"/>
      <c r="AZ2602" s="551"/>
      <c r="BA2602" s="551"/>
      <c r="BB2602" s="551"/>
      <c r="BC2602" s="551"/>
      <c r="BD2602" s="549"/>
      <c r="BE2602" s="550"/>
      <c r="BF2602" s="549"/>
      <c r="BG2602" s="391">
        <f>SUM($AV$2420:AV2602)</f>
        <v>-375.93476668258438</v>
      </c>
      <c r="BH2602" s="392">
        <f>SUM($AU$2420:AU2602)</f>
        <v>-772.79999999989195</v>
      </c>
      <c r="BI2602" s="318">
        <f>SUMIFS($AU$2420:AU2755,$Q$2420:Q2755,"F")</f>
        <v>-143.99999999999949</v>
      </c>
      <c r="BJ2602" s="318">
        <f>SUMIFS($AU$2420:AU2755,$Q$2420:Q2755,"S")</f>
        <v>256.00000000000466</v>
      </c>
      <c r="BK2602" s="343">
        <f>SUMIFS($AU$2420:AU2755,$P$2420:P2755,"W")</f>
        <v>-607.99999999991883</v>
      </c>
      <c r="BL2602" s="343">
        <f>SUMIFS($AU$2420:AU2755,$P$2420:P2755,"R")</f>
        <v>911.99999999999966</v>
      </c>
      <c r="BM2602" s="343">
        <f>SUMIFS($AU$2420:AU2755,$AQ$2420:AQ2755,"M")</f>
        <v>-899.79999999984489</v>
      </c>
      <c r="BN2602" s="343">
        <f>SUMIFS($AU$2420:AU2755,$AQ$2420:AQ2755,"H")</f>
        <v>1762.9999999999427</v>
      </c>
      <c r="BO2602" s="343">
        <f>SUMIFS($AU$2420:AU2755,$AQ$2420:AQ2755,"D")</f>
        <v>-767.99999999998977</v>
      </c>
      <c r="BP2602" s="343">
        <f>SUMIFS($AS$2420:AS2843,$AO$2420:AO2843,"W")</f>
        <v>0</v>
      </c>
      <c r="BQ2602" s="343">
        <f>SUMIFS($AU$2420:AU2755,$Q$2420:Q2755,"O")</f>
        <v>-884.7999999998965</v>
      </c>
      <c r="BR2602" s="343">
        <f>SUMIFS($AU$2420:AU2755,$AA$2420:AA2755,"*")</f>
        <v>-512.79999999998074</v>
      </c>
      <c r="BS2602" s="343">
        <f>SUMIFS($AU$2420:AU2755,$AB$2420:AB2755,"*")</f>
        <v>-451.99999999997726</v>
      </c>
      <c r="BT2602" s="343">
        <f>SUMIFS($AU$2420:AU2755,$AC$2420:AC2755,"*")</f>
        <v>-143.99999999999909</v>
      </c>
      <c r="BU2602" s="343">
        <f>SUMIFS($AU$2420:AU2755,$AA$2420:AA2755,"*",$AB$2420:AB2755,"*")</f>
        <v>95.999999999933891</v>
      </c>
      <c r="BV2602" s="343">
        <f>SUMIFS($AU$2420:AU2755,$AA$2420:AA2755,"*",$AC$2420:AC2755,"*")</f>
        <v>-591.99999999999977</v>
      </c>
      <c r="BW2602" s="343">
        <f>SUMIFS($AU$2420:AU2755,$AB$2420:AB2755,"*",$AC$2420:AC2755,"*")</f>
        <v>-143.99999999999966</v>
      </c>
      <c r="BX2602" s="343">
        <f>SUMIFS($AV$2420:AV2755,$Q$2420:Q2755,"F")</f>
        <v>18.153846153846242</v>
      </c>
      <c r="BY2602" s="343">
        <f>SUMIFS($AV$2420:AV2755,$Q$2420:Q2755,"S")</f>
        <v>64.044720496894826</v>
      </c>
      <c r="BZ2602" s="343">
        <f>SUMIFS($AV$2420:AV2755,$Q$2420:Q2755,"O")</f>
        <v>-458.13333333332537</v>
      </c>
    </row>
    <row r="2603" spans="1:78" ht="15.75" customHeight="1">
      <c r="A2603" s="177" t="s">
        <v>7813</v>
      </c>
      <c r="B2603" s="200"/>
      <c r="C2603" s="178"/>
      <c r="D2603" s="178"/>
      <c r="E2603" s="227"/>
      <c r="F2603" s="180"/>
      <c r="G2603" s="181"/>
      <c r="H2603" s="182"/>
      <c r="I2603" s="182"/>
      <c r="J2603" s="182"/>
      <c r="K2603" s="183"/>
      <c r="L2603" s="182"/>
      <c r="M2603" s="182"/>
      <c r="N2603" s="182"/>
      <c r="O2603" s="183"/>
      <c r="P2603" s="183"/>
      <c r="Q2603" s="183"/>
      <c r="R2603" s="183"/>
      <c r="S2603" s="183"/>
      <c r="T2603" s="183"/>
      <c r="U2603" s="183"/>
      <c r="V2603" s="183"/>
      <c r="W2603" s="183"/>
      <c r="X2603" s="183"/>
      <c r="Y2603" s="183"/>
      <c r="Z2603" s="183"/>
      <c r="AA2603" s="185"/>
      <c r="AB2603" s="185"/>
      <c r="AC2603" s="185"/>
      <c r="AD2603" s="649"/>
      <c r="AE2603" s="182"/>
      <c r="AF2603" s="332"/>
      <c r="AG2603" s="182"/>
      <c r="AH2603" s="182"/>
      <c r="AI2603" s="182"/>
      <c r="AJ2603" s="640"/>
      <c r="AK2603" s="182"/>
      <c r="AL2603" s="496">
        <f t="shared" ref="AL2603:AL2604" si="909">-0.02*Z2603</f>
        <v>0</v>
      </c>
      <c r="AM2603" s="496">
        <f t="shared" ref="AM2603:AM2606" si="910">AL2603*(R2603-S2603)</f>
        <v>0</v>
      </c>
      <c r="AN2603" s="626"/>
      <c r="AO2603" s="182"/>
      <c r="AP2603" s="182"/>
      <c r="AQ2603" s="332" t="str">
        <f>UPPER(RIGHT(Journal_Live[[#This Row],[DURATION ]]))</f>
        <v/>
      </c>
      <c r="AR2603" s="182"/>
      <c r="AS2603" s="189"/>
      <c r="AT2603" s="189">
        <f t="shared" ref="AT2603:AT2606" si="911">IF(ISBLANK(AS2603),,IF(U2603="S",AD2603-AS2603,AS2603-AD2603))</f>
        <v>0</v>
      </c>
      <c r="AU2603" s="187">
        <f t="shared" ref="AU2603:AU2606" si="912">AV2603*R2603</f>
        <v>0</v>
      </c>
      <c r="AV2603" s="190">
        <f t="shared" ref="AV2603:AV2604" si="913">IF(ISBLANK(AS2603),,(AT2603*Z2603))</f>
        <v>0</v>
      </c>
      <c r="AW2603" s="191"/>
      <c r="AX2603" s="551"/>
      <c r="AY2603" s="551"/>
      <c r="AZ2603" s="551"/>
      <c r="BA2603" s="551"/>
      <c r="BB2603" s="551"/>
      <c r="BC2603" s="551"/>
      <c r="BD2603" s="549"/>
      <c r="BE2603" s="550"/>
      <c r="BF2603" s="549"/>
      <c r="BG2603" s="391">
        <f>SUM($AV$2420:AV2603)</f>
        <v>-375.93476668258438</v>
      </c>
      <c r="BH2603" s="392">
        <f>SUM($AU$2420:AU2603)</f>
        <v>-772.79999999989195</v>
      </c>
      <c r="BI2603" s="318">
        <f>SUMIFS($AU$2420:AU2756,$Q$2420:Q2756,"F")</f>
        <v>-143.99999999999949</v>
      </c>
      <c r="BJ2603" s="318">
        <f>SUMIFS($AU$2420:AU2756,$Q$2420:Q2756,"S")</f>
        <v>256.00000000000466</v>
      </c>
      <c r="BK2603" s="343">
        <f>SUMIFS($AU$2420:AU2756,$P$2420:P2756,"W")</f>
        <v>-607.99999999991883</v>
      </c>
      <c r="BL2603" s="343">
        <f>SUMIFS($AU$2420:AU2756,$P$2420:P2756,"R")</f>
        <v>911.99999999999966</v>
      </c>
      <c r="BM2603" s="343">
        <f>SUMIFS($AU$2420:AU2756,$AQ$2420:AQ2756,"M")</f>
        <v>-899.79999999984489</v>
      </c>
      <c r="BN2603" s="343">
        <f>SUMIFS($AU$2420:AU2756,$AQ$2420:AQ2756,"H")</f>
        <v>1762.9999999999427</v>
      </c>
      <c r="BO2603" s="343">
        <f>SUMIFS($AU$2420:AU2756,$AQ$2420:AQ2756,"D")</f>
        <v>-767.99999999998977</v>
      </c>
      <c r="BP2603" s="343">
        <f>SUMIFS($AS$2420:AS2844,$AO$2420:AO2844,"W")</f>
        <v>0</v>
      </c>
      <c r="BQ2603" s="343">
        <f>SUMIFS($AU$2420:AU2756,$Q$2420:Q2756,"O")</f>
        <v>-884.7999999998965</v>
      </c>
      <c r="BR2603" s="343">
        <f>SUMIFS($AU$2420:AU2756,$AA$2420:AA2756,"*")</f>
        <v>-512.79999999998074</v>
      </c>
      <c r="BS2603" s="343">
        <f>SUMIFS($AU$2420:AU2756,$AB$2420:AB2756,"*")</f>
        <v>-451.99999999997726</v>
      </c>
      <c r="BT2603" s="343">
        <f>SUMIFS($AU$2420:AU2756,$AC$2420:AC2756,"*")</f>
        <v>-143.99999999999909</v>
      </c>
      <c r="BU2603" s="343">
        <f>SUMIFS($AU$2420:AU2756,$AA$2420:AA2756,"*",$AB$2420:AB2756,"*")</f>
        <v>95.999999999933891</v>
      </c>
      <c r="BV2603" s="343">
        <f>SUMIFS($AU$2420:AU2756,$AA$2420:AA2756,"*",$AC$2420:AC2756,"*")</f>
        <v>-591.99999999999977</v>
      </c>
      <c r="BW2603" s="343">
        <f>SUMIFS($AU$2420:AU2756,$AB$2420:AB2756,"*",$AC$2420:AC2756,"*")</f>
        <v>-143.99999999999966</v>
      </c>
      <c r="BX2603" s="343">
        <f>SUMIFS($AV$2420:AV2756,$Q$2420:Q2756,"F")</f>
        <v>18.153846153846242</v>
      </c>
      <c r="BY2603" s="343">
        <f>SUMIFS($AV$2420:AV2756,$Q$2420:Q2756,"S")</f>
        <v>64.044720496894826</v>
      </c>
      <c r="BZ2603" s="343">
        <f>SUMIFS($AV$2420:AV2756,$Q$2420:Q2756,"O")</f>
        <v>-458.13333333332537</v>
      </c>
    </row>
    <row r="2604" spans="1:78" ht="15.75" customHeight="1">
      <c r="A2604" s="177" t="s">
        <v>7813</v>
      </c>
      <c r="B2604" s="200"/>
      <c r="C2604" s="178"/>
      <c r="D2604" s="178"/>
      <c r="E2604" s="227"/>
      <c r="F2604" s="180"/>
      <c r="G2604" s="181"/>
      <c r="H2604" s="182"/>
      <c r="I2604" s="182"/>
      <c r="J2604" s="182"/>
      <c r="K2604" s="183"/>
      <c r="L2604" s="182"/>
      <c r="M2604" s="182"/>
      <c r="N2604" s="182"/>
      <c r="O2604" s="183"/>
      <c r="P2604" s="183"/>
      <c r="Q2604" s="183"/>
      <c r="R2604" s="183"/>
      <c r="S2604" s="183"/>
      <c r="T2604" s="183"/>
      <c r="U2604" s="183"/>
      <c r="V2604" s="183"/>
      <c r="W2604" s="183"/>
      <c r="X2604" s="183"/>
      <c r="Y2604" s="183"/>
      <c r="Z2604" s="183"/>
      <c r="AA2604" s="185"/>
      <c r="AB2604" s="185"/>
      <c r="AC2604" s="185"/>
      <c r="AD2604" s="649"/>
      <c r="AE2604" s="182"/>
      <c r="AF2604" s="332"/>
      <c r="AG2604" s="182"/>
      <c r="AH2604" s="182"/>
      <c r="AI2604" s="182"/>
      <c r="AJ2604" s="640"/>
      <c r="AK2604" s="182"/>
      <c r="AL2604" s="496">
        <f t="shared" si="909"/>
        <v>0</v>
      </c>
      <c r="AM2604" s="496">
        <f t="shared" si="910"/>
        <v>0</v>
      </c>
      <c r="AN2604" s="626"/>
      <c r="AO2604" s="182"/>
      <c r="AP2604" s="182"/>
      <c r="AQ2604" s="332" t="str">
        <f>UPPER(RIGHT(Journal_Live[[#This Row],[DURATION ]]))</f>
        <v/>
      </c>
      <c r="AR2604" s="182"/>
      <c r="AS2604" s="189"/>
      <c r="AT2604" s="189">
        <f t="shared" si="911"/>
        <v>0</v>
      </c>
      <c r="AU2604" s="187">
        <f t="shared" si="912"/>
        <v>0</v>
      </c>
      <c r="AV2604" s="190">
        <f t="shared" si="913"/>
        <v>0</v>
      </c>
      <c r="AW2604" s="191"/>
      <c r="AX2604" s="551"/>
      <c r="AY2604" s="551"/>
      <c r="AZ2604" s="551"/>
      <c r="BA2604" s="551"/>
      <c r="BB2604" s="551"/>
      <c r="BC2604" s="551"/>
      <c r="BD2604" s="549"/>
      <c r="BE2604" s="550"/>
      <c r="BF2604" s="549"/>
      <c r="BG2604" s="391">
        <f>SUM($AV$2420:AV2604)</f>
        <v>-375.93476668258438</v>
      </c>
      <c r="BH2604" s="392">
        <f>SUM($AU$2420:AU2604)</f>
        <v>-772.79999999989195</v>
      </c>
      <c r="BI2604" s="318">
        <f>SUMIFS($AU$2420:AU2757,$Q$2420:Q2757,"F")</f>
        <v>-143.99999999999949</v>
      </c>
      <c r="BJ2604" s="318">
        <f>SUMIFS($AU$2420:AU2757,$Q$2420:Q2757,"S")</f>
        <v>256.00000000000466</v>
      </c>
      <c r="BK2604" s="343">
        <f>SUMIFS($AU$2420:AU2757,$P$2420:P2757,"W")</f>
        <v>-607.99999999991883</v>
      </c>
      <c r="BL2604" s="343">
        <f>SUMIFS($AU$2420:AU2757,$P$2420:P2757,"R")</f>
        <v>911.99999999999966</v>
      </c>
      <c r="BM2604" s="343">
        <f>SUMIFS($AU$2420:AU2757,$AQ$2420:AQ2757,"M")</f>
        <v>-899.79999999984489</v>
      </c>
      <c r="BN2604" s="343">
        <f>SUMIFS($AU$2420:AU2757,$AQ$2420:AQ2757,"H")</f>
        <v>1762.9999999999427</v>
      </c>
      <c r="BO2604" s="343">
        <f>SUMIFS($AU$2420:AU2757,$AQ$2420:AQ2757,"D")</f>
        <v>-767.99999999998977</v>
      </c>
      <c r="BP2604" s="343">
        <f>SUMIFS($AS$2420:AS2845,$AO$2420:AO2845,"W")</f>
        <v>0</v>
      </c>
      <c r="BQ2604" s="343">
        <f>SUMIFS($AU$2420:AU2757,$Q$2420:Q2757,"O")</f>
        <v>-884.7999999998965</v>
      </c>
      <c r="BR2604" s="343">
        <f>SUMIFS($AU$2420:AU2757,$AA$2420:AA2757,"*")</f>
        <v>-512.79999999998074</v>
      </c>
      <c r="BS2604" s="343">
        <f>SUMIFS($AU$2420:AU2757,$AB$2420:AB2757,"*")</f>
        <v>-451.99999999997726</v>
      </c>
      <c r="BT2604" s="343">
        <f>SUMIFS($AU$2420:AU2757,$AC$2420:AC2757,"*")</f>
        <v>-143.99999999999909</v>
      </c>
      <c r="BU2604" s="343">
        <f>SUMIFS($AU$2420:AU2757,$AA$2420:AA2757,"*",$AB$2420:AB2757,"*")</f>
        <v>95.999999999933891</v>
      </c>
      <c r="BV2604" s="343">
        <f>SUMIFS($AU$2420:AU2757,$AA$2420:AA2757,"*",$AC$2420:AC2757,"*")</f>
        <v>-591.99999999999977</v>
      </c>
      <c r="BW2604" s="343">
        <f>SUMIFS($AU$2420:AU2757,$AB$2420:AB2757,"*",$AC$2420:AC2757,"*")</f>
        <v>-143.99999999999966</v>
      </c>
      <c r="BX2604" s="343">
        <f>SUMIFS($AV$2420:AV2757,$Q$2420:Q2757,"F")</f>
        <v>18.153846153846242</v>
      </c>
      <c r="BY2604" s="343">
        <f>SUMIFS($AV$2420:AV2757,$Q$2420:Q2757,"S")</f>
        <v>64.044720496894826</v>
      </c>
      <c r="BZ2604" s="343">
        <f>SUMIFS($AV$2420:AV2757,$Q$2420:Q2757,"O")</f>
        <v>-458.13333333332537</v>
      </c>
    </row>
    <row r="2605" spans="1:78" ht="15.75" customHeight="1">
      <c r="A2605" s="177" t="s">
        <v>7813</v>
      </c>
      <c r="B2605" s="200"/>
      <c r="C2605" s="178"/>
      <c r="D2605" s="178"/>
      <c r="E2605" s="227"/>
      <c r="F2605" s="180"/>
      <c r="G2605" s="181"/>
      <c r="H2605" s="182"/>
      <c r="I2605" s="182"/>
      <c r="J2605" s="182"/>
      <c r="K2605" s="183"/>
      <c r="L2605" s="182"/>
      <c r="M2605" s="182"/>
      <c r="N2605" s="182"/>
      <c r="O2605" s="183"/>
      <c r="P2605" s="183"/>
      <c r="Q2605" s="183"/>
      <c r="R2605" s="183"/>
      <c r="S2605" s="183"/>
      <c r="T2605" s="183"/>
      <c r="U2605" s="183"/>
      <c r="V2605" s="183"/>
      <c r="W2605" s="183"/>
      <c r="X2605" s="183"/>
      <c r="Y2605" s="183"/>
      <c r="Z2605" s="183"/>
      <c r="AA2605" s="185"/>
      <c r="AB2605" s="185"/>
      <c r="AC2605" s="185"/>
      <c r="AD2605" s="649"/>
      <c r="AE2605" s="182"/>
      <c r="AF2605" s="332"/>
      <c r="AG2605" s="182"/>
      <c r="AH2605" s="182"/>
      <c r="AI2605" s="182"/>
      <c r="AJ2605" s="640"/>
      <c r="AK2605" s="182"/>
      <c r="AL2605" s="496">
        <f t="shared" ref="AL2605:AL2606" si="914">-0.02*Z2605</f>
        <v>0</v>
      </c>
      <c r="AM2605" s="496">
        <f t="shared" si="910"/>
        <v>0</v>
      </c>
      <c r="AN2605" s="626"/>
      <c r="AO2605" s="182"/>
      <c r="AP2605" s="182"/>
      <c r="AQ2605" s="332" t="str">
        <f>UPPER(RIGHT(Journal_Live[[#This Row],[DURATION ]]))</f>
        <v/>
      </c>
      <c r="AR2605" s="182"/>
      <c r="AS2605" s="189"/>
      <c r="AT2605" s="189">
        <f t="shared" si="911"/>
        <v>0</v>
      </c>
      <c r="AU2605" s="187">
        <f t="shared" si="912"/>
        <v>0</v>
      </c>
      <c r="AV2605" s="190">
        <f t="shared" ref="AV2605:AV2606" si="915">IF(ISBLANK(AS2605),,(AT2605*Z2605))</f>
        <v>0</v>
      </c>
      <c r="AW2605" s="191"/>
      <c r="AX2605" s="551"/>
      <c r="AY2605" s="551"/>
      <c r="AZ2605" s="551"/>
      <c r="BA2605" s="551"/>
      <c r="BB2605" s="551"/>
      <c r="BC2605" s="551"/>
      <c r="BD2605" s="549"/>
      <c r="BE2605" s="550"/>
      <c r="BF2605" s="549"/>
      <c r="BG2605" s="391">
        <f>SUM($AV$2420:AV2605)</f>
        <v>-375.93476668258438</v>
      </c>
      <c r="BH2605" s="392">
        <f>SUM($AU$2420:AU2605)</f>
        <v>-772.79999999989195</v>
      </c>
      <c r="BI2605" s="318">
        <f>SUMIFS($AU$2420:AU2758,$Q$2420:Q2758,"F")</f>
        <v>-143.99999999999949</v>
      </c>
      <c r="BJ2605" s="318">
        <f>SUMIFS($AU$2420:AU2758,$Q$2420:Q2758,"S")</f>
        <v>256.00000000000466</v>
      </c>
      <c r="BK2605" s="343">
        <f>SUMIFS($AU$2420:AU2758,$P$2420:P2758,"W")</f>
        <v>-607.99999999991883</v>
      </c>
      <c r="BL2605" s="343">
        <f>SUMIFS($AU$2420:AU2758,$P$2420:P2758,"R")</f>
        <v>911.99999999999966</v>
      </c>
      <c r="BM2605" s="343">
        <f>SUMIFS($AU$2420:AU2758,$AQ$2420:AQ2758,"M")</f>
        <v>-899.79999999984489</v>
      </c>
      <c r="BN2605" s="343">
        <f>SUMIFS($AU$2420:AU2758,$AQ$2420:AQ2758,"H")</f>
        <v>1762.9999999999427</v>
      </c>
      <c r="BO2605" s="343">
        <f>SUMIFS($AU$2420:AU2758,$AQ$2420:AQ2758,"D")</f>
        <v>-767.99999999998977</v>
      </c>
      <c r="BP2605" s="343">
        <f>SUMIFS($AS$2420:AS2846,$AO$2420:AO2846,"W")</f>
        <v>0</v>
      </c>
      <c r="BQ2605" s="343">
        <f>SUMIFS($AU$2420:AU2758,$Q$2420:Q2758,"O")</f>
        <v>-884.7999999998965</v>
      </c>
      <c r="BR2605" s="343">
        <f>SUMIFS($AU$2420:AU2758,$AA$2420:AA2758,"*")</f>
        <v>-512.79999999998074</v>
      </c>
      <c r="BS2605" s="343">
        <f>SUMIFS($AU$2420:AU2758,$AB$2420:AB2758,"*")</f>
        <v>-451.99999999997726</v>
      </c>
      <c r="BT2605" s="343">
        <f>SUMIFS($AU$2420:AU2758,$AC$2420:AC2758,"*")</f>
        <v>-143.99999999999909</v>
      </c>
      <c r="BU2605" s="343">
        <f>SUMIFS($AU$2420:AU2758,$AA$2420:AA2758,"*",$AB$2420:AB2758,"*")</f>
        <v>95.999999999933891</v>
      </c>
      <c r="BV2605" s="343">
        <f>SUMIFS($AU$2420:AU2758,$AA$2420:AA2758,"*",$AC$2420:AC2758,"*")</f>
        <v>-591.99999999999977</v>
      </c>
      <c r="BW2605" s="343">
        <f>SUMIFS($AU$2420:AU2758,$AB$2420:AB2758,"*",$AC$2420:AC2758,"*")</f>
        <v>-143.99999999999966</v>
      </c>
      <c r="BX2605" s="343">
        <f>SUMIFS($AV$2420:AV2758,$Q$2420:Q2758,"F")</f>
        <v>18.153846153846242</v>
      </c>
      <c r="BY2605" s="343">
        <f>SUMIFS($AV$2420:AV2758,$Q$2420:Q2758,"S")</f>
        <v>64.044720496894826</v>
      </c>
      <c r="BZ2605" s="343">
        <f>SUMIFS($AV$2420:AV2758,$Q$2420:Q2758,"O")</f>
        <v>-458.13333333332537</v>
      </c>
    </row>
    <row r="2606" spans="1:78" ht="15.75" customHeight="1">
      <c r="A2606" s="177" t="s">
        <v>7813</v>
      </c>
      <c r="B2606" s="200"/>
      <c r="C2606" s="178"/>
      <c r="D2606" s="178"/>
      <c r="E2606" s="227"/>
      <c r="F2606" s="180"/>
      <c r="G2606" s="181"/>
      <c r="H2606" s="182"/>
      <c r="I2606" s="182"/>
      <c r="J2606" s="182"/>
      <c r="K2606" s="183"/>
      <c r="L2606" s="182"/>
      <c r="M2606" s="182"/>
      <c r="N2606" s="182"/>
      <c r="O2606" s="183"/>
      <c r="P2606" s="183"/>
      <c r="Q2606" s="183"/>
      <c r="R2606" s="183"/>
      <c r="S2606" s="183"/>
      <c r="T2606" s="183"/>
      <c r="U2606" s="183"/>
      <c r="V2606" s="183"/>
      <c r="W2606" s="183"/>
      <c r="X2606" s="183"/>
      <c r="Y2606" s="183"/>
      <c r="Z2606" s="183"/>
      <c r="AA2606" s="185"/>
      <c r="AB2606" s="185"/>
      <c r="AC2606" s="185"/>
      <c r="AD2606" s="649"/>
      <c r="AE2606" s="182"/>
      <c r="AF2606" s="332"/>
      <c r="AG2606" s="182"/>
      <c r="AH2606" s="182"/>
      <c r="AI2606" s="182"/>
      <c r="AJ2606" s="640"/>
      <c r="AK2606" s="182"/>
      <c r="AL2606" s="496">
        <f t="shared" si="914"/>
        <v>0</v>
      </c>
      <c r="AM2606" s="496">
        <f t="shared" si="910"/>
        <v>0</v>
      </c>
      <c r="AN2606" s="626"/>
      <c r="AO2606" s="182"/>
      <c r="AP2606" s="182"/>
      <c r="AQ2606" s="332" t="str">
        <f>UPPER(RIGHT(Journal_Live[[#This Row],[DURATION ]]))</f>
        <v/>
      </c>
      <c r="AR2606" s="182"/>
      <c r="AS2606" s="189"/>
      <c r="AT2606" s="189">
        <f t="shared" si="911"/>
        <v>0</v>
      </c>
      <c r="AU2606" s="187">
        <f t="shared" si="912"/>
        <v>0</v>
      </c>
      <c r="AV2606" s="190">
        <f t="shared" si="915"/>
        <v>0</v>
      </c>
      <c r="AW2606" s="191"/>
      <c r="AX2606" s="637" t="s">
        <v>7961</v>
      </c>
      <c r="AY2606" s="551"/>
      <c r="AZ2606" s="551"/>
      <c r="BA2606" s="551"/>
      <c r="BB2606" s="551"/>
      <c r="BC2606" s="551"/>
      <c r="BD2606" s="549"/>
      <c r="BE2606" s="550"/>
      <c r="BF2606" s="549"/>
      <c r="BG2606" s="391">
        <f>SUM($AV$2420:AV2606)</f>
        <v>-375.93476668258438</v>
      </c>
      <c r="BH2606" s="392">
        <f>SUM($AU$2420:AU2606)</f>
        <v>-772.79999999989195</v>
      </c>
      <c r="BI2606" s="318">
        <f>SUMIFS($AU$2420:AU2759,$Q$2420:Q2759,"F")</f>
        <v>-143.99999999999949</v>
      </c>
      <c r="BJ2606" s="318">
        <f>SUMIFS($AU$2420:AU2759,$Q$2420:Q2759,"S")</f>
        <v>256.00000000000466</v>
      </c>
      <c r="BK2606" s="343">
        <f>SUMIFS($AU$2420:AU2759,$P$2420:P2759,"W")</f>
        <v>-607.99999999991883</v>
      </c>
      <c r="BL2606" s="343">
        <f>SUMIFS($AU$2420:AU2759,$P$2420:P2759,"R")</f>
        <v>911.99999999999966</v>
      </c>
      <c r="BM2606" s="343">
        <f>SUMIFS($AU$2420:AU2759,$AQ$2420:AQ2759,"M")</f>
        <v>-899.79999999984489</v>
      </c>
      <c r="BN2606" s="343">
        <f>SUMIFS($AU$2420:AU2759,$AQ$2420:AQ2759,"H")</f>
        <v>1762.9999999999427</v>
      </c>
      <c r="BO2606" s="343">
        <f>SUMIFS($AU$2420:AU2759,$AQ$2420:AQ2759,"D")</f>
        <v>-767.99999999998977</v>
      </c>
      <c r="BP2606" s="343">
        <f>SUMIFS($AS$2420:AS2847,$AO$2420:AO2847,"W")</f>
        <v>0</v>
      </c>
      <c r="BQ2606" s="343">
        <f>SUMIFS($AU$2420:AU2759,$Q$2420:Q2759,"O")</f>
        <v>-884.7999999998965</v>
      </c>
      <c r="BR2606" s="343">
        <f>SUMIFS($AU$2420:AU2759,$AA$2420:AA2759,"*")</f>
        <v>-512.79999999998074</v>
      </c>
      <c r="BS2606" s="343">
        <f>SUMIFS($AU$2420:AU2759,$AB$2420:AB2759,"*")</f>
        <v>-451.99999999997726</v>
      </c>
      <c r="BT2606" s="343">
        <f>SUMIFS($AU$2420:AU2759,$AC$2420:AC2759,"*")</f>
        <v>-143.99999999999909</v>
      </c>
      <c r="BU2606" s="343">
        <f>SUMIFS($AU$2420:AU2759,$AA$2420:AA2759,"*",$AB$2420:AB2759,"*")</f>
        <v>95.999999999933891</v>
      </c>
      <c r="BV2606" s="343">
        <f>SUMIFS($AU$2420:AU2759,$AA$2420:AA2759,"*",$AC$2420:AC2759,"*")</f>
        <v>-591.99999999999977</v>
      </c>
      <c r="BW2606" s="343">
        <f>SUMIFS($AU$2420:AU2759,$AB$2420:AB2759,"*",$AC$2420:AC2759,"*")</f>
        <v>-143.99999999999966</v>
      </c>
      <c r="BX2606" s="343">
        <f>SUMIFS($AV$2420:AV2759,$Q$2420:Q2759,"F")</f>
        <v>18.153846153846242</v>
      </c>
      <c r="BY2606" s="343">
        <f>SUMIFS($AV$2420:AV2759,$Q$2420:Q2759,"S")</f>
        <v>64.044720496894826</v>
      </c>
      <c r="BZ2606" s="343">
        <f>SUMIFS($AV$2420:AV2759,$Q$2420:Q2759,"O")</f>
        <v>-458.13333333332537</v>
      </c>
    </row>
    <row r="2607" spans="1:78" ht="15.75" customHeight="1">
      <c r="A2607" s="492" t="s">
        <v>7962</v>
      </c>
      <c r="B2607" s="273"/>
      <c r="C2607" s="214"/>
      <c r="D2607" s="214"/>
      <c r="E2607" s="215"/>
      <c r="F2607" s="216"/>
      <c r="G2607" s="214"/>
      <c r="H2607" s="214"/>
      <c r="I2607" s="214"/>
      <c r="J2607" s="214"/>
      <c r="K2607" s="217"/>
      <c r="L2607" s="214"/>
      <c r="M2607" s="214"/>
      <c r="N2607" s="214"/>
      <c r="O2607" s="214"/>
      <c r="P2607" s="217"/>
      <c r="Q2607" s="217"/>
      <c r="R2607" s="217"/>
      <c r="S2607" s="217"/>
      <c r="T2607" s="217"/>
      <c r="U2607" s="217"/>
      <c r="V2607" s="217"/>
      <c r="W2607" s="217"/>
      <c r="X2607" s="217"/>
      <c r="Y2607" s="217"/>
      <c r="Z2607" s="218" t="str">
        <f>IF(ISBLANK(O2607),"",IF(O2607="IB",8.63*200,IF(O2607="IR",16*100,IF(O2607="YT",20*100,IF(O2607="YT-XT",24*200,IF(O2607="TED",80*100))))))</f>
        <v/>
      </c>
      <c r="AA2607" s="218"/>
      <c r="AB2607" s="218"/>
      <c r="AC2607" s="218"/>
      <c r="AD2607" s="651"/>
      <c r="AE2607" s="214"/>
      <c r="AF2607" s="214"/>
      <c r="AG2607" s="214"/>
      <c r="AH2607" s="214"/>
      <c r="AI2607" s="214"/>
      <c r="AJ2607" s="645"/>
      <c r="AK2607" s="214"/>
      <c r="AL2607" s="214"/>
      <c r="AM2607" s="214"/>
      <c r="AN2607" s="628"/>
      <c r="AO2607" s="214"/>
      <c r="AP2607" s="214"/>
      <c r="AQ2607" s="334" t="str">
        <f>UPPER(RIGHT(Journal_Live[[#This Row],[DURATION ]]))</f>
        <v/>
      </c>
      <c r="AR2607" s="214"/>
      <c r="AS2607" s="214"/>
      <c r="AT2607" s="214"/>
      <c r="AU2607" s="214"/>
      <c r="AV2607" s="214"/>
      <c r="AW2607" s="214"/>
      <c r="AX2607" s="417"/>
      <c r="AY2607" s="414"/>
      <c r="AZ2607" s="414"/>
      <c r="BA2607" s="414"/>
      <c r="BB2607" s="414"/>
      <c r="BC2607" s="414"/>
      <c r="BD2607" s="414"/>
      <c r="BE2607" s="414"/>
      <c r="BF2607" s="414"/>
      <c r="BG2607" s="391">
        <f>SUM($AV$2420:AV2607)</f>
        <v>-375.93476668258438</v>
      </c>
      <c r="BH2607" s="392">
        <f>SUM($AU$2420:AU2607)</f>
        <v>-772.79999999989195</v>
      </c>
      <c r="BI2607" s="318">
        <f>SUMIFS($AU$2420:AU2760,$Q$2420:Q2760,"F")</f>
        <v>-143.99999999999949</v>
      </c>
      <c r="BJ2607" s="318">
        <f>SUMIFS($AU$2420:AU2760,$Q$2420:Q2760,"S")</f>
        <v>256.00000000000466</v>
      </c>
      <c r="BK2607" s="343">
        <f>SUMIFS($AU$2420:AU2760,$P$2420:P2760,"W")</f>
        <v>-607.99999999991883</v>
      </c>
      <c r="BL2607" s="343">
        <f>SUMIFS($AU$2420:AU2760,$P$2420:P2760,"R")</f>
        <v>911.99999999999966</v>
      </c>
      <c r="BM2607" s="343">
        <f>SUMIFS($AU$2420:AU2760,$AQ$2420:AQ2760,"M")</f>
        <v>-899.79999999984489</v>
      </c>
      <c r="BN2607" s="343">
        <f>SUMIFS($AU$2420:AU2760,$AQ$2420:AQ2760,"H")</f>
        <v>1762.9999999999427</v>
      </c>
      <c r="BO2607" s="343">
        <f>SUMIFS($AU$2420:AU2760,$AQ$2420:AQ2760,"D")</f>
        <v>-767.99999999998977</v>
      </c>
      <c r="BP2607" s="343">
        <f>SUMIFS($AS$2420:AS2848,$AO$2420:AO2848,"W")</f>
        <v>0</v>
      </c>
      <c r="BQ2607" s="343">
        <f>SUMIFS($AU$2420:AU2760,$Q$2420:Q2760,"O")</f>
        <v>-884.7999999998965</v>
      </c>
      <c r="BR2607" s="343">
        <f>SUMIFS($AU$2420:AU2760,$AA$2420:AA2760,"*")</f>
        <v>-512.79999999998074</v>
      </c>
      <c r="BS2607" s="343">
        <f>SUMIFS($AU$2420:AU2760,$AB$2420:AB2760,"*")</f>
        <v>-451.99999999997726</v>
      </c>
      <c r="BT2607" s="343">
        <f>SUMIFS($AU$2420:AU2760,$AC$2420:AC2760,"*")</f>
        <v>-143.99999999999909</v>
      </c>
      <c r="BU2607" s="343">
        <f>SUMIFS($AU$2420:AU2760,$AA$2420:AA2760,"*",$AB$2420:AB2760,"*")</f>
        <v>95.999999999933891</v>
      </c>
      <c r="BV2607" s="343">
        <f>SUMIFS($AU$2420:AU2760,$AA$2420:AA2760,"*",$AC$2420:AC2760,"*")</f>
        <v>-591.99999999999977</v>
      </c>
      <c r="BW2607" s="343">
        <f>SUMIFS($AU$2420:AU2760,$AB$2420:AB2760,"*",$AC$2420:AC2760,"*")</f>
        <v>-143.99999999999966</v>
      </c>
      <c r="BX2607" s="343">
        <f>SUMIFS($AV$2420:AV2760,$Q$2420:Q2760,"F")</f>
        <v>18.153846153846242</v>
      </c>
      <c r="BY2607" s="343">
        <f>SUMIFS($AV$2420:AV2760,$Q$2420:Q2760,"S")</f>
        <v>64.044720496894826</v>
      </c>
      <c r="BZ2607" s="343">
        <f>SUMIFS($AV$2420:AV2760,$Q$2420:Q2760,"O")</f>
        <v>-458.13333333332537</v>
      </c>
    </row>
    <row r="2608" spans="1:78" ht="15.75" customHeight="1">
      <c r="A2608" s="177" t="s">
        <v>7963</v>
      </c>
      <c r="B2608" s="200"/>
      <c r="C2608" s="178"/>
      <c r="D2608" s="178"/>
      <c r="E2608" s="227"/>
      <c r="F2608" s="180"/>
      <c r="G2608" s="181"/>
      <c r="H2608" s="182"/>
      <c r="I2608" s="182"/>
      <c r="J2608" s="182"/>
      <c r="K2608" s="183"/>
      <c r="L2608" s="182"/>
      <c r="M2608" s="182"/>
      <c r="N2608" s="182"/>
      <c r="O2608" s="183"/>
      <c r="P2608" s="183"/>
      <c r="Q2608" s="183"/>
      <c r="R2608" s="183"/>
      <c r="S2608" s="183"/>
      <c r="T2608" s="183"/>
      <c r="U2608" s="183"/>
      <c r="V2608" s="183"/>
      <c r="W2608" s="183"/>
      <c r="X2608" s="183"/>
      <c r="Y2608" s="183"/>
      <c r="Z2608" s="183"/>
      <c r="AA2608" s="185"/>
      <c r="AB2608" s="185"/>
      <c r="AC2608" s="185"/>
      <c r="AD2608" s="649"/>
      <c r="AE2608" s="182"/>
      <c r="AF2608" s="332"/>
      <c r="AG2608" s="182"/>
      <c r="AH2608" s="182"/>
      <c r="AI2608" s="182"/>
      <c r="AJ2608" s="640"/>
      <c r="AK2608" s="182"/>
      <c r="AL2608" s="496">
        <f t="shared" ref="AL2608:AL2618" si="916">-0.02*Z2608</f>
        <v>0</v>
      </c>
      <c r="AM2608" s="496">
        <f t="shared" ref="AM2608:AM2630" si="917">AL2608*(R2608-S2608)</f>
        <v>0</v>
      </c>
      <c r="AN2608" s="626"/>
      <c r="AO2608" s="182"/>
      <c r="AP2608" s="182"/>
      <c r="AQ2608" s="332" t="str">
        <f>UPPER(RIGHT(Journal_Live[[#This Row],[DURATION ]]))</f>
        <v/>
      </c>
      <c r="AR2608" s="182"/>
      <c r="AS2608" s="189"/>
      <c r="AT2608" s="189">
        <f t="shared" ref="AT2608:AT2629" si="918">IF(ISBLANK(AS2608),,IF(U2608="S",AD2608-AS2608,AS2608-AD2608))</f>
        <v>0</v>
      </c>
      <c r="AU2608" s="187">
        <f t="shared" ref="AU2608:AU2629" si="919">AV2608*R2608</f>
        <v>0</v>
      </c>
      <c r="AV2608" s="190">
        <f t="shared" ref="AV2608:AV2618" si="920">IF(ISBLANK(AS2608),,(AT2608*Z2608))</f>
        <v>0</v>
      </c>
      <c r="AW2608" s="191"/>
      <c r="AX2608" s="551"/>
      <c r="AY2608" s="551"/>
      <c r="AZ2608" s="551"/>
      <c r="BA2608" s="551"/>
      <c r="BB2608" s="551"/>
      <c r="BC2608" s="551"/>
      <c r="BD2608" s="549"/>
      <c r="BE2608" s="550"/>
      <c r="BF2608" s="549"/>
      <c r="BG2608" s="391">
        <f>SUM($AV$2420:AV2608)</f>
        <v>-375.93476668258438</v>
      </c>
      <c r="BH2608" s="392">
        <f>SUM($AU$2420:AU2608)</f>
        <v>-772.79999999989195</v>
      </c>
      <c r="BI2608" s="318">
        <f>SUMIFS($AU$2420:AU2761,$Q$2420:Q2761,"F")</f>
        <v>-143.99999999999949</v>
      </c>
      <c r="BJ2608" s="318">
        <f>SUMIFS($AU$2420:AU2761,$Q$2420:Q2761,"S")</f>
        <v>256.00000000000466</v>
      </c>
      <c r="BK2608" s="343">
        <f>SUMIFS($AU$2420:AU2761,$P$2420:P2761,"W")</f>
        <v>-607.99999999991883</v>
      </c>
      <c r="BL2608" s="343">
        <f>SUMIFS($AU$2420:AU2761,$P$2420:P2761,"R")</f>
        <v>911.99999999999966</v>
      </c>
      <c r="BM2608" s="343">
        <f>SUMIFS($AU$2420:AU2761,$AQ$2420:AQ2761,"M")</f>
        <v>-899.79999999984489</v>
      </c>
      <c r="BN2608" s="343">
        <f>SUMIFS($AU$2420:AU2761,$AQ$2420:AQ2761,"H")</f>
        <v>1762.9999999999427</v>
      </c>
      <c r="BO2608" s="343">
        <f>SUMIFS($AU$2420:AU2761,$AQ$2420:AQ2761,"D")</f>
        <v>-767.99999999998977</v>
      </c>
      <c r="BP2608" s="343">
        <f>SUMIFS($AS$2420:AS2849,$AO$2420:AO2849,"W")</f>
        <v>0</v>
      </c>
      <c r="BQ2608" s="343">
        <f>SUMIFS($AU$2420:AU2761,$Q$2420:Q2761,"O")</f>
        <v>-884.7999999998965</v>
      </c>
      <c r="BR2608" s="343">
        <f>SUMIFS($AU$2420:AU2761,$AA$2420:AA2761,"*")</f>
        <v>-512.79999999998074</v>
      </c>
      <c r="BS2608" s="343">
        <f>SUMIFS($AU$2420:AU2761,$AB$2420:AB2761,"*")</f>
        <v>-451.99999999997726</v>
      </c>
      <c r="BT2608" s="343">
        <f>SUMIFS($AU$2420:AU2761,$AC$2420:AC2761,"*")</f>
        <v>-143.99999999999909</v>
      </c>
      <c r="BU2608" s="343">
        <f>SUMIFS($AU$2420:AU2761,$AA$2420:AA2761,"*",$AB$2420:AB2761,"*")</f>
        <v>95.999999999933891</v>
      </c>
      <c r="BV2608" s="343">
        <f>SUMIFS($AU$2420:AU2761,$AA$2420:AA2761,"*",$AC$2420:AC2761,"*")</f>
        <v>-591.99999999999977</v>
      </c>
      <c r="BW2608" s="343">
        <f>SUMIFS($AU$2420:AU2761,$AB$2420:AB2761,"*",$AC$2420:AC2761,"*")</f>
        <v>-143.99999999999966</v>
      </c>
      <c r="BX2608" s="343">
        <f>SUMIFS($AV$2420:AV2761,$Q$2420:Q2761,"F")</f>
        <v>18.153846153846242</v>
      </c>
      <c r="BY2608" s="343">
        <f>SUMIFS($AV$2420:AV2761,$Q$2420:Q2761,"S")</f>
        <v>64.044720496894826</v>
      </c>
      <c r="BZ2608" s="343">
        <f>SUMIFS($AV$2420:AV2761,$Q$2420:Q2761,"O")</f>
        <v>-458.13333333332537</v>
      </c>
    </row>
    <row r="2609" spans="1:78" ht="15.75" customHeight="1">
      <c r="A2609" s="177" t="s">
        <v>7963</v>
      </c>
      <c r="B2609" s="200"/>
      <c r="C2609" s="178"/>
      <c r="D2609" s="178"/>
      <c r="E2609" s="227"/>
      <c r="F2609" s="180"/>
      <c r="G2609" s="181"/>
      <c r="H2609" s="182"/>
      <c r="I2609" s="182"/>
      <c r="J2609" s="182"/>
      <c r="K2609" s="183"/>
      <c r="L2609" s="182"/>
      <c r="M2609" s="182"/>
      <c r="N2609" s="182"/>
      <c r="O2609" s="183"/>
      <c r="P2609" s="183"/>
      <c r="Q2609" s="183"/>
      <c r="R2609" s="183"/>
      <c r="S2609" s="183"/>
      <c r="T2609" s="183"/>
      <c r="U2609" s="183"/>
      <c r="V2609" s="183"/>
      <c r="W2609" s="183"/>
      <c r="X2609" s="183"/>
      <c r="Y2609" s="183"/>
      <c r="Z2609" s="183"/>
      <c r="AA2609" s="185"/>
      <c r="AB2609" s="185"/>
      <c r="AC2609" s="185"/>
      <c r="AD2609" s="649"/>
      <c r="AE2609" s="182"/>
      <c r="AF2609" s="332"/>
      <c r="AG2609" s="182"/>
      <c r="AH2609" s="182"/>
      <c r="AI2609" s="182"/>
      <c r="AJ2609" s="640"/>
      <c r="AK2609" s="182"/>
      <c r="AL2609" s="496">
        <f t="shared" si="916"/>
        <v>0</v>
      </c>
      <c r="AM2609" s="496">
        <f t="shared" si="917"/>
        <v>0</v>
      </c>
      <c r="AN2609" s="626"/>
      <c r="AO2609" s="182"/>
      <c r="AP2609" s="182"/>
      <c r="AQ2609" s="332" t="str">
        <f>UPPER(RIGHT(Journal_Live[[#This Row],[DURATION ]]))</f>
        <v/>
      </c>
      <c r="AR2609" s="182"/>
      <c r="AS2609" s="189"/>
      <c r="AT2609" s="189">
        <f t="shared" si="918"/>
        <v>0</v>
      </c>
      <c r="AU2609" s="187">
        <f t="shared" si="919"/>
        <v>0</v>
      </c>
      <c r="AV2609" s="190">
        <f t="shared" si="920"/>
        <v>0</v>
      </c>
      <c r="AW2609" s="191"/>
      <c r="AX2609" s="551"/>
      <c r="AY2609" s="551"/>
      <c r="AZ2609" s="551"/>
      <c r="BA2609" s="551"/>
      <c r="BB2609" s="551"/>
      <c r="BC2609" s="551"/>
      <c r="BD2609" s="549"/>
      <c r="BE2609" s="550"/>
      <c r="BF2609" s="549"/>
      <c r="BG2609" s="391">
        <f>SUM($AV$2420:AV2609)</f>
        <v>-375.93476668258438</v>
      </c>
      <c r="BH2609" s="392">
        <f>SUM($AU$2420:AU2609)</f>
        <v>-772.79999999989195</v>
      </c>
      <c r="BI2609" s="318">
        <f>SUMIFS($AU$2420:AU2762,$Q$2420:Q2762,"F")</f>
        <v>-143.99999999999949</v>
      </c>
      <c r="BJ2609" s="318">
        <f>SUMIFS($AU$2420:AU2762,$Q$2420:Q2762,"S")</f>
        <v>256.00000000000466</v>
      </c>
      <c r="BK2609" s="343">
        <f>SUMIFS($AU$2420:AU2762,$P$2420:P2762,"W")</f>
        <v>-607.99999999991883</v>
      </c>
      <c r="BL2609" s="343">
        <f>SUMIFS($AU$2420:AU2762,$P$2420:P2762,"R")</f>
        <v>911.99999999999966</v>
      </c>
      <c r="BM2609" s="343">
        <f>SUMIFS($AU$2420:AU2762,$AQ$2420:AQ2762,"M")</f>
        <v>-899.79999999984489</v>
      </c>
      <c r="BN2609" s="343">
        <f>SUMIFS($AU$2420:AU2762,$AQ$2420:AQ2762,"H")</f>
        <v>1762.9999999999427</v>
      </c>
      <c r="BO2609" s="343">
        <f>SUMIFS($AU$2420:AU2762,$AQ$2420:AQ2762,"D")</f>
        <v>-767.99999999998977</v>
      </c>
      <c r="BP2609" s="343">
        <f>SUMIFS($AS$2420:AS2850,$AO$2420:AO2850,"W")</f>
        <v>0</v>
      </c>
      <c r="BQ2609" s="343">
        <f>SUMIFS($AU$2420:AU2762,$Q$2420:Q2762,"O")</f>
        <v>-884.7999999998965</v>
      </c>
      <c r="BR2609" s="343">
        <f>SUMIFS($AU$2420:AU2762,$AA$2420:AA2762,"*")</f>
        <v>-512.79999999998074</v>
      </c>
      <c r="BS2609" s="343">
        <f>SUMIFS($AU$2420:AU2762,$AB$2420:AB2762,"*")</f>
        <v>-451.99999999997726</v>
      </c>
      <c r="BT2609" s="343">
        <f>SUMIFS($AU$2420:AU2762,$AC$2420:AC2762,"*")</f>
        <v>-143.99999999999909</v>
      </c>
      <c r="BU2609" s="343">
        <f>SUMIFS($AU$2420:AU2762,$AA$2420:AA2762,"*",$AB$2420:AB2762,"*")</f>
        <v>95.999999999933891</v>
      </c>
      <c r="BV2609" s="343">
        <f>SUMIFS($AU$2420:AU2762,$AA$2420:AA2762,"*",$AC$2420:AC2762,"*")</f>
        <v>-591.99999999999977</v>
      </c>
      <c r="BW2609" s="343">
        <f>SUMIFS($AU$2420:AU2762,$AB$2420:AB2762,"*",$AC$2420:AC2762,"*")</f>
        <v>-143.99999999999966</v>
      </c>
      <c r="BX2609" s="343">
        <f>SUMIFS($AV$2420:AV2762,$Q$2420:Q2762,"F")</f>
        <v>18.153846153846242</v>
      </c>
      <c r="BY2609" s="343">
        <f>SUMIFS($AV$2420:AV2762,$Q$2420:Q2762,"S")</f>
        <v>64.044720496894826</v>
      </c>
      <c r="BZ2609" s="343">
        <f>SUMIFS($AV$2420:AV2762,$Q$2420:Q2762,"O")</f>
        <v>-458.13333333332537</v>
      </c>
    </row>
    <row r="2610" spans="1:78" ht="15.75" customHeight="1">
      <c r="A2610" s="177" t="s">
        <v>7963</v>
      </c>
      <c r="B2610" s="200"/>
      <c r="C2610" s="178"/>
      <c r="D2610" s="178"/>
      <c r="E2610" s="227"/>
      <c r="F2610" s="180"/>
      <c r="G2610" s="181"/>
      <c r="H2610" s="182"/>
      <c r="I2610" s="182"/>
      <c r="J2610" s="182"/>
      <c r="K2610" s="183"/>
      <c r="L2610" s="182"/>
      <c r="M2610" s="182"/>
      <c r="N2610" s="182"/>
      <c r="O2610" s="183"/>
      <c r="P2610" s="183"/>
      <c r="Q2610" s="183"/>
      <c r="R2610" s="183"/>
      <c r="S2610" s="183"/>
      <c r="T2610" s="183"/>
      <c r="U2610" s="183"/>
      <c r="V2610" s="183"/>
      <c r="W2610" s="183"/>
      <c r="X2610" s="183"/>
      <c r="Y2610" s="183"/>
      <c r="Z2610" s="183"/>
      <c r="AA2610" s="185"/>
      <c r="AB2610" s="185"/>
      <c r="AC2610" s="185"/>
      <c r="AD2610" s="649"/>
      <c r="AE2610" s="182"/>
      <c r="AF2610" s="332"/>
      <c r="AG2610" s="182"/>
      <c r="AH2610" s="182"/>
      <c r="AI2610" s="182"/>
      <c r="AJ2610" s="640"/>
      <c r="AK2610" s="182"/>
      <c r="AL2610" s="496">
        <f t="shared" si="916"/>
        <v>0</v>
      </c>
      <c r="AM2610" s="496">
        <f t="shared" si="917"/>
        <v>0</v>
      </c>
      <c r="AN2610" s="626"/>
      <c r="AO2610" s="182"/>
      <c r="AP2610" s="182"/>
      <c r="AQ2610" s="332" t="str">
        <f>UPPER(RIGHT(Journal_Live[[#This Row],[DURATION ]]))</f>
        <v/>
      </c>
      <c r="AR2610" s="182"/>
      <c r="AS2610" s="189"/>
      <c r="AT2610" s="189">
        <f t="shared" si="918"/>
        <v>0</v>
      </c>
      <c r="AU2610" s="187">
        <f t="shared" si="919"/>
        <v>0</v>
      </c>
      <c r="AV2610" s="190">
        <f t="shared" si="920"/>
        <v>0</v>
      </c>
      <c r="AW2610" s="191"/>
      <c r="AX2610" s="551"/>
      <c r="AY2610" s="551"/>
      <c r="AZ2610" s="551"/>
      <c r="BA2610" s="551"/>
      <c r="BB2610" s="551"/>
      <c r="BC2610" s="551"/>
      <c r="BD2610" s="549"/>
      <c r="BE2610" s="550"/>
      <c r="BF2610" s="549"/>
      <c r="BG2610" s="391">
        <f>SUM($AV$2420:AV2610)</f>
        <v>-375.93476668258438</v>
      </c>
      <c r="BH2610" s="392">
        <f>SUM($AU$2420:AU2610)</f>
        <v>-772.79999999989195</v>
      </c>
      <c r="BI2610" s="318">
        <f>SUMIFS($AU$2420:AU2763,$Q$2420:Q2763,"F")</f>
        <v>-143.99999999999949</v>
      </c>
      <c r="BJ2610" s="318">
        <f>SUMIFS($AU$2420:AU2763,$Q$2420:Q2763,"S")</f>
        <v>256.00000000000466</v>
      </c>
      <c r="BK2610" s="343">
        <f>SUMIFS($AU$2420:AU2763,$P$2420:P2763,"W")</f>
        <v>-607.99999999991883</v>
      </c>
      <c r="BL2610" s="343">
        <f>SUMIFS($AU$2420:AU2763,$P$2420:P2763,"R")</f>
        <v>911.99999999999966</v>
      </c>
      <c r="BM2610" s="343">
        <f>SUMIFS($AU$2420:AU2763,$AQ$2420:AQ2763,"M")</f>
        <v>-899.79999999984489</v>
      </c>
      <c r="BN2610" s="343">
        <f>SUMIFS($AU$2420:AU2763,$AQ$2420:AQ2763,"H")</f>
        <v>1762.9999999999427</v>
      </c>
      <c r="BO2610" s="343">
        <f>SUMIFS($AU$2420:AU2763,$AQ$2420:AQ2763,"D")</f>
        <v>-767.99999999998977</v>
      </c>
      <c r="BP2610" s="343">
        <f>SUMIFS($AS$2420:AS2851,$AO$2420:AO2851,"W")</f>
        <v>0</v>
      </c>
      <c r="BQ2610" s="343">
        <f>SUMIFS($AU$2420:AU2763,$Q$2420:Q2763,"O")</f>
        <v>-884.7999999998965</v>
      </c>
      <c r="BR2610" s="343">
        <f>SUMIFS($AU$2420:AU2763,$AA$2420:AA2763,"*")</f>
        <v>-512.79999999998074</v>
      </c>
      <c r="BS2610" s="343">
        <f>SUMIFS($AU$2420:AU2763,$AB$2420:AB2763,"*")</f>
        <v>-451.99999999997726</v>
      </c>
      <c r="BT2610" s="343">
        <f>SUMIFS($AU$2420:AU2763,$AC$2420:AC2763,"*")</f>
        <v>-143.99999999999909</v>
      </c>
      <c r="BU2610" s="343">
        <f>SUMIFS($AU$2420:AU2763,$AA$2420:AA2763,"*",$AB$2420:AB2763,"*")</f>
        <v>95.999999999933891</v>
      </c>
      <c r="BV2610" s="343">
        <f>SUMIFS($AU$2420:AU2763,$AA$2420:AA2763,"*",$AC$2420:AC2763,"*")</f>
        <v>-591.99999999999977</v>
      </c>
      <c r="BW2610" s="343">
        <f>SUMIFS($AU$2420:AU2763,$AB$2420:AB2763,"*",$AC$2420:AC2763,"*")</f>
        <v>-143.99999999999966</v>
      </c>
      <c r="BX2610" s="343">
        <f>SUMIFS($AV$2420:AV2763,$Q$2420:Q2763,"F")</f>
        <v>18.153846153846242</v>
      </c>
      <c r="BY2610" s="343">
        <f>SUMIFS($AV$2420:AV2763,$Q$2420:Q2763,"S")</f>
        <v>64.044720496894826</v>
      </c>
      <c r="BZ2610" s="343">
        <f>SUMIFS($AV$2420:AV2763,$Q$2420:Q2763,"O")</f>
        <v>-458.13333333332537</v>
      </c>
    </row>
    <row r="2611" spans="1:78" ht="15.75" customHeight="1">
      <c r="A2611" s="177" t="s">
        <v>7963</v>
      </c>
      <c r="B2611" s="200"/>
      <c r="C2611" s="178"/>
      <c r="D2611" s="178"/>
      <c r="E2611" s="227"/>
      <c r="F2611" s="180"/>
      <c r="G2611" s="181"/>
      <c r="H2611" s="182"/>
      <c r="I2611" s="182"/>
      <c r="J2611" s="182"/>
      <c r="K2611" s="183"/>
      <c r="L2611" s="182"/>
      <c r="M2611" s="182"/>
      <c r="N2611" s="182"/>
      <c r="O2611" s="183"/>
      <c r="P2611" s="183"/>
      <c r="Q2611" s="183"/>
      <c r="R2611" s="183"/>
      <c r="S2611" s="183"/>
      <c r="T2611" s="183"/>
      <c r="U2611" s="183"/>
      <c r="V2611" s="183"/>
      <c r="W2611" s="183"/>
      <c r="X2611" s="183"/>
      <c r="Y2611" s="183"/>
      <c r="Z2611" s="183"/>
      <c r="AA2611" s="185"/>
      <c r="AB2611" s="185"/>
      <c r="AC2611" s="185"/>
      <c r="AD2611" s="649"/>
      <c r="AE2611" s="182"/>
      <c r="AF2611" s="332"/>
      <c r="AG2611" s="182"/>
      <c r="AH2611" s="182"/>
      <c r="AI2611" s="182"/>
      <c r="AJ2611" s="640"/>
      <c r="AK2611" s="182"/>
      <c r="AL2611" s="496">
        <f t="shared" si="916"/>
        <v>0</v>
      </c>
      <c r="AM2611" s="496">
        <f t="shared" si="917"/>
        <v>0</v>
      </c>
      <c r="AN2611" s="626"/>
      <c r="AO2611" s="182"/>
      <c r="AP2611" s="182"/>
      <c r="AQ2611" s="332" t="str">
        <f>UPPER(RIGHT(Journal_Live[[#This Row],[DURATION ]]))</f>
        <v/>
      </c>
      <c r="AR2611" s="182"/>
      <c r="AS2611" s="189"/>
      <c r="AT2611" s="189">
        <f t="shared" si="918"/>
        <v>0</v>
      </c>
      <c r="AU2611" s="187">
        <f t="shared" si="919"/>
        <v>0</v>
      </c>
      <c r="AV2611" s="190">
        <f t="shared" si="920"/>
        <v>0</v>
      </c>
      <c r="AW2611" s="191"/>
      <c r="AX2611" s="551"/>
      <c r="AY2611" s="551"/>
      <c r="AZ2611" s="551"/>
      <c r="BA2611" s="551"/>
      <c r="BB2611" s="551"/>
      <c r="BC2611" s="551"/>
      <c r="BD2611" s="549"/>
      <c r="BE2611" s="550"/>
      <c r="BF2611" s="549"/>
      <c r="BG2611" s="391">
        <f>SUM($AV$2420:AV2611)</f>
        <v>-375.93476668258438</v>
      </c>
      <c r="BH2611" s="392">
        <f>SUM($AU$2420:AU2611)</f>
        <v>-772.79999999989195</v>
      </c>
      <c r="BI2611" s="318">
        <f>SUMIFS($AU$2420:AU2764,$Q$2420:Q2764,"F")</f>
        <v>-143.99999999999949</v>
      </c>
      <c r="BJ2611" s="318">
        <f>SUMIFS($AU$2420:AU2764,$Q$2420:Q2764,"S")</f>
        <v>256.00000000000466</v>
      </c>
      <c r="BK2611" s="343">
        <f>SUMIFS($AU$2420:AU2764,$P$2420:P2764,"W")</f>
        <v>-607.99999999991883</v>
      </c>
      <c r="BL2611" s="343">
        <f>SUMIFS($AU$2420:AU2764,$P$2420:P2764,"R")</f>
        <v>911.99999999999966</v>
      </c>
      <c r="BM2611" s="343">
        <f>SUMIFS($AU$2420:AU2764,$AQ$2420:AQ2764,"M")</f>
        <v>-899.79999999984489</v>
      </c>
      <c r="BN2611" s="343">
        <f>SUMIFS($AU$2420:AU2764,$AQ$2420:AQ2764,"H")</f>
        <v>1762.9999999999427</v>
      </c>
      <c r="BO2611" s="343">
        <f>SUMIFS($AU$2420:AU2764,$AQ$2420:AQ2764,"D")</f>
        <v>-767.99999999998977</v>
      </c>
      <c r="BP2611" s="343">
        <f>SUMIFS($AS$2420:AS2852,$AO$2420:AO2852,"W")</f>
        <v>0</v>
      </c>
      <c r="BQ2611" s="343">
        <f>SUMIFS($AU$2420:AU2764,$Q$2420:Q2764,"O")</f>
        <v>-884.7999999998965</v>
      </c>
      <c r="BR2611" s="343">
        <f>SUMIFS($AU$2420:AU2764,$AA$2420:AA2764,"*")</f>
        <v>-512.79999999998074</v>
      </c>
      <c r="BS2611" s="343">
        <f>SUMIFS($AU$2420:AU2764,$AB$2420:AB2764,"*")</f>
        <v>-451.99999999997726</v>
      </c>
      <c r="BT2611" s="343">
        <f>SUMIFS($AU$2420:AU2764,$AC$2420:AC2764,"*")</f>
        <v>-143.99999999999909</v>
      </c>
      <c r="BU2611" s="343">
        <f>SUMIFS($AU$2420:AU2764,$AA$2420:AA2764,"*",$AB$2420:AB2764,"*")</f>
        <v>95.999999999933891</v>
      </c>
      <c r="BV2611" s="343">
        <f>SUMIFS($AU$2420:AU2764,$AA$2420:AA2764,"*",$AC$2420:AC2764,"*")</f>
        <v>-591.99999999999977</v>
      </c>
      <c r="BW2611" s="343">
        <f>SUMIFS($AU$2420:AU2764,$AB$2420:AB2764,"*",$AC$2420:AC2764,"*")</f>
        <v>-143.99999999999966</v>
      </c>
      <c r="BX2611" s="343">
        <f>SUMIFS($AV$2420:AV2764,$Q$2420:Q2764,"F")</f>
        <v>18.153846153846242</v>
      </c>
      <c r="BY2611" s="343">
        <f>SUMIFS($AV$2420:AV2764,$Q$2420:Q2764,"S")</f>
        <v>64.044720496894826</v>
      </c>
      <c r="BZ2611" s="343">
        <f>SUMIFS($AV$2420:AV2764,$Q$2420:Q2764,"O")</f>
        <v>-458.13333333332537</v>
      </c>
    </row>
    <row r="2612" spans="1:78" ht="15.75" customHeight="1">
      <c r="A2612" s="177" t="s">
        <v>7963</v>
      </c>
      <c r="B2612" s="200"/>
      <c r="C2612" s="178"/>
      <c r="D2612" s="178"/>
      <c r="E2612" s="227"/>
      <c r="F2612" s="180"/>
      <c r="G2612" s="181"/>
      <c r="H2612" s="182"/>
      <c r="I2612" s="182"/>
      <c r="J2612" s="182"/>
      <c r="K2612" s="183"/>
      <c r="L2612" s="182"/>
      <c r="M2612" s="182"/>
      <c r="N2612" s="182"/>
      <c r="O2612" s="183"/>
      <c r="P2612" s="183"/>
      <c r="Q2612" s="183"/>
      <c r="R2612" s="183"/>
      <c r="S2612" s="183"/>
      <c r="T2612" s="183"/>
      <c r="U2612" s="183"/>
      <c r="V2612" s="183"/>
      <c r="W2612" s="183"/>
      <c r="X2612" s="183"/>
      <c r="Y2612" s="183"/>
      <c r="Z2612" s="183"/>
      <c r="AA2612" s="185"/>
      <c r="AB2612" s="185"/>
      <c r="AC2612" s="185"/>
      <c r="AD2612" s="649"/>
      <c r="AE2612" s="182"/>
      <c r="AF2612" s="332"/>
      <c r="AG2612" s="182"/>
      <c r="AH2612" s="182"/>
      <c r="AI2612" s="182"/>
      <c r="AJ2612" s="640"/>
      <c r="AK2612" s="182"/>
      <c r="AL2612" s="496">
        <f t="shared" si="916"/>
        <v>0</v>
      </c>
      <c r="AM2612" s="496">
        <f t="shared" si="917"/>
        <v>0</v>
      </c>
      <c r="AN2612" s="626"/>
      <c r="AO2612" s="182"/>
      <c r="AP2612" s="182"/>
      <c r="AQ2612" s="332" t="str">
        <f>UPPER(RIGHT(Journal_Live[[#This Row],[DURATION ]]))</f>
        <v/>
      </c>
      <c r="AR2612" s="182"/>
      <c r="AS2612" s="189"/>
      <c r="AT2612" s="189">
        <f t="shared" si="918"/>
        <v>0</v>
      </c>
      <c r="AU2612" s="187">
        <f t="shared" si="919"/>
        <v>0</v>
      </c>
      <c r="AV2612" s="190">
        <f t="shared" si="920"/>
        <v>0</v>
      </c>
      <c r="AW2612" s="191"/>
      <c r="AX2612" s="551"/>
      <c r="AY2612" s="551"/>
      <c r="AZ2612" s="551"/>
      <c r="BA2612" s="551"/>
      <c r="BB2612" s="551"/>
      <c r="BC2612" s="551"/>
      <c r="BD2612" s="549"/>
      <c r="BE2612" s="550"/>
      <c r="BF2612" s="549"/>
      <c r="BG2612" s="391">
        <f>SUM($AV$2420:AV2612)</f>
        <v>-375.93476668258438</v>
      </c>
      <c r="BH2612" s="392">
        <f>SUM($AU$2420:AU2612)</f>
        <v>-772.79999999989195</v>
      </c>
      <c r="BI2612" s="318">
        <f>SUMIFS($AU$2420:AU2765,$Q$2420:Q2765,"F")</f>
        <v>-143.99999999999949</v>
      </c>
      <c r="BJ2612" s="318">
        <f>SUMIFS($AU$2420:AU2765,$Q$2420:Q2765,"S")</f>
        <v>256.00000000000466</v>
      </c>
      <c r="BK2612" s="343">
        <f>SUMIFS($AU$2420:AU2765,$P$2420:P2765,"W")</f>
        <v>-607.99999999991883</v>
      </c>
      <c r="BL2612" s="343">
        <f>SUMIFS($AU$2420:AU2765,$P$2420:P2765,"R")</f>
        <v>911.99999999999966</v>
      </c>
      <c r="BM2612" s="343">
        <f>SUMIFS($AU$2420:AU2765,$AQ$2420:AQ2765,"M")</f>
        <v>-899.79999999984489</v>
      </c>
      <c r="BN2612" s="343">
        <f>SUMIFS($AU$2420:AU2765,$AQ$2420:AQ2765,"H")</f>
        <v>1762.9999999999427</v>
      </c>
      <c r="BO2612" s="343">
        <f>SUMIFS($AU$2420:AU2765,$AQ$2420:AQ2765,"D")</f>
        <v>-767.99999999998977</v>
      </c>
      <c r="BP2612" s="343">
        <f>SUMIFS($AS$2420:AS2853,$AO$2420:AO2853,"W")</f>
        <v>0</v>
      </c>
      <c r="BQ2612" s="343">
        <f>SUMIFS($AU$2420:AU2765,$Q$2420:Q2765,"O")</f>
        <v>-884.7999999998965</v>
      </c>
      <c r="BR2612" s="343">
        <f>SUMIFS($AU$2420:AU2765,$AA$2420:AA2765,"*")</f>
        <v>-512.79999999998074</v>
      </c>
      <c r="BS2612" s="343">
        <f>SUMIFS($AU$2420:AU2765,$AB$2420:AB2765,"*")</f>
        <v>-451.99999999997726</v>
      </c>
      <c r="BT2612" s="343">
        <f>SUMIFS($AU$2420:AU2765,$AC$2420:AC2765,"*")</f>
        <v>-143.99999999999909</v>
      </c>
      <c r="BU2612" s="343">
        <f>SUMIFS($AU$2420:AU2765,$AA$2420:AA2765,"*",$AB$2420:AB2765,"*")</f>
        <v>95.999999999933891</v>
      </c>
      <c r="BV2612" s="343">
        <f>SUMIFS($AU$2420:AU2765,$AA$2420:AA2765,"*",$AC$2420:AC2765,"*")</f>
        <v>-591.99999999999977</v>
      </c>
      <c r="BW2612" s="343">
        <f>SUMIFS($AU$2420:AU2765,$AB$2420:AB2765,"*",$AC$2420:AC2765,"*")</f>
        <v>-143.99999999999966</v>
      </c>
      <c r="BX2612" s="343">
        <f>SUMIFS($AV$2420:AV2765,$Q$2420:Q2765,"F")</f>
        <v>18.153846153846242</v>
      </c>
      <c r="BY2612" s="343">
        <f>SUMIFS($AV$2420:AV2765,$Q$2420:Q2765,"S")</f>
        <v>64.044720496894826</v>
      </c>
      <c r="BZ2612" s="343">
        <f>SUMIFS($AV$2420:AV2765,$Q$2420:Q2765,"O")</f>
        <v>-458.13333333332537</v>
      </c>
    </row>
    <row r="2613" spans="1:78" ht="15.75" customHeight="1">
      <c r="A2613" s="177" t="s">
        <v>7963</v>
      </c>
      <c r="B2613" s="200"/>
      <c r="C2613" s="178"/>
      <c r="D2613" s="178"/>
      <c r="E2613" s="227"/>
      <c r="F2613" s="180"/>
      <c r="G2613" s="181"/>
      <c r="H2613" s="182"/>
      <c r="I2613" s="182"/>
      <c r="J2613" s="182"/>
      <c r="K2613" s="183"/>
      <c r="L2613" s="182"/>
      <c r="M2613" s="182"/>
      <c r="N2613" s="182"/>
      <c r="O2613" s="183"/>
      <c r="P2613" s="183"/>
      <c r="Q2613" s="183"/>
      <c r="R2613" s="183"/>
      <c r="S2613" s="183"/>
      <c r="T2613" s="183"/>
      <c r="U2613" s="183"/>
      <c r="V2613" s="183"/>
      <c r="W2613" s="183"/>
      <c r="X2613" s="183"/>
      <c r="Y2613" s="183"/>
      <c r="Z2613" s="183"/>
      <c r="AA2613" s="185"/>
      <c r="AB2613" s="185"/>
      <c r="AC2613" s="185"/>
      <c r="AD2613" s="649"/>
      <c r="AE2613" s="182"/>
      <c r="AF2613" s="332"/>
      <c r="AG2613" s="182"/>
      <c r="AH2613" s="182"/>
      <c r="AI2613" s="182"/>
      <c r="AJ2613" s="640"/>
      <c r="AK2613" s="182"/>
      <c r="AL2613" s="496">
        <f t="shared" si="916"/>
        <v>0</v>
      </c>
      <c r="AM2613" s="496">
        <f t="shared" si="917"/>
        <v>0</v>
      </c>
      <c r="AN2613" s="626"/>
      <c r="AO2613" s="182"/>
      <c r="AP2613" s="182"/>
      <c r="AQ2613" s="332" t="str">
        <f>UPPER(RIGHT(Journal_Live[[#This Row],[DURATION ]]))</f>
        <v/>
      </c>
      <c r="AR2613" s="182"/>
      <c r="AS2613" s="189"/>
      <c r="AT2613" s="189">
        <f t="shared" si="918"/>
        <v>0</v>
      </c>
      <c r="AU2613" s="187">
        <f t="shared" si="919"/>
        <v>0</v>
      </c>
      <c r="AV2613" s="190">
        <f t="shared" si="920"/>
        <v>0</v>
      </c>
      <c r="AW2613" s="191"/>
      <c r="AX2613" s="551"/>
      <c r="AY2613" s="551"/>
      <c r="AZ2613" s="551"/>
      <c r="BA2613" s="551"/>
      <c r="BB2613" s="551"/>
      <c r="BC2613" s="551"/>
      <c r="BD2613" s="549"/>
      <c r="BE2613" s="550"/>
      <c r="BF2613" s="549"/>
      <c r="BG2613" s="391">
        <f>SUM($AV$2420:AV2613)</f>
        <v>-375.93476668258438</v>
      </c>
      <c r="BH2613" s="392">
        <f>SUM($AU$2420:AU2613)</f>
        <v>-772.79999999989195</v>
      </c>
      <c r="BI2613" s="318">
        <f>SUMIFS($AU$2420:AU2766,$Q$2420:Q2766,"F")</f>
        <v>-143.99999999999949</v>
      </c>
      <c r="BJ2613" s="318">
        <f>SUMIFS($AU$2420:AU2766,$Q$2420:Q2766,"S")</f>
        <v>256.00000000000466</v>
      </c>
      <c r="BK2613" s="343">
        <f>SUMIFS($AU$2420:AU2766,$P$2420:P2766,"W")</f>
        <v>-607.99999999991883</v>
      </c>
      <c r="BL2613" s="343">
        <f>SUMIFS($AU$2420:AU2766,$P$2420:P2766,"R")</f>
        <v>911.99999999999966</v>
      </c>
      <c r="BM2613" s="343">
        <f>SUMIFS($AU$2420:AU2766,$AQ$2420:AQ2766,"M")</f>
        <v>-899.79999999984489</v>
      </c>
      <c r="BN2613" s="343">
        <f>SUMIFS($AU$2420:AU2766,$AQ$2420:AQ2766,"H")</f>
        <v>1762.9999999999427</v>
      </c>
      <c r="BO2613" s="343">
        <f>SUMIFS($AU$2420:AU2766,$AQ$2420:AQ2766,"D")</f>
        <v>-767.99999999998977</v>
      </c>
      <c r="BP2613" s="343">
        <f>SUMIFS($AS$2420:AS2854,$AO$2420:AO2854,"W")</f>
        <v>0</v>
      </c>
      <c r="BQ2613" s="343">
        <f>SUMIFS($AU$2420:AU2766,$Q$2420:Q2766,"O")</f>
        <v>-884.7999999998965</v>
      </c>
      <c r="BR2613" s="343">
        <f>SUMIFS($AU$2420:AU2766,$AA$2420:AA2766,"*")</f>
        <v>-512.79999999998074</v>
      </c>
      <c r="BS2613" s="343">
        <f>SUMIFS($AU$2420:AU2766,$AB$2420:AB2766,"*")</f>
        <v>-451.99999999997726</v>
      </c>
      <c r="BT2613" s="343">
        <f>SUMIFS($AU$2420:AU2766,$AC$2420:AC2766,"*")</f>
        <v>-143.99999999999909</v>
      </c>
      <c r="BU2613" s="343">
        <f>SUMIFS($AU$2420:AU2766,$AA$2420:AA2766,"*",$AB$2420:AB2766,"*")</f>
        <v>95.999999999933891</v>
      </c>
      <c r="BV2613" s="343">
        <f>SUMIFS($AU$2420:AU2766,$AA$2420:AA2766,"*",$AC$2420:AC2766,"*")</f>
        <v>-591.99999999999977</v>
      </c>
      <c r="BW2613" s="343">
        <f>SUMIFS($AU$2420:AU2766,$AB$2420:AB2766,"*",$AC$2420:AC2766,"*")</f>
        <v>-143.99999999999966</v>
      </c>
      <c r="BX2613" s="343">
        <f>SUMIFS($AV$2420:AV2766,$Q$2420:Q2766,"F")</f>
        <v>18.153846153846242</v>
      </c>
      <c r="BY2613" s="343">
        <f>SUMIFS($AV$2420:AV2766,$Q$2420:Q2766,"S")</f>
        <v>64.044720496894826</v>
      </c>
      <c r="BZ2613" s="343">
        <f>SUMIFS($AV$2420:AV2766,$Q$2420:Q2766,"O")</f>
        <v>-458.13333333332537</v>
      </c>
    </row>
    <row r="2614" spans="1:78" ht="15.75" customHeight="1">
      <c r="A2614" s="177" t="s">
        <v>7963</v>
      </c>
      <c r="B2614" s="200"/>
      <c r="C2614" s="178"/>
      <c r="D2614" s="178"/>
      <c r="E2614" s="227"/>
      <c r="F2614" s="180"/>
      <c r="G2614" s="181"/>
      <c r="H2614" s="182"/>
      <c r="I2614" s="182"/>
      <c r="J2614" s="182"/>
      <c r="K2614" s="183"/>
      <c r="L2614" s="182"/>
      <c r="M2614" s="182"/>
      <c r="N2614" s="182"/>
      <c r="O2614" s="183"/>
      <c r="P2614" s="183"/>
      <c r="Q2614" s="183"/>
      <c r="R2614" s="183"/>
      <c r="S2614" s="183"/>
      <c r="T2614" s="183"/>
      <c r="U2614" s="183"/>
      <c r="V2614" s="183"/>
      <c r="W2614" s="183"/>
      <c r="X2614" s="183"/>
      <c r="Y2614" s="183"/>
      <c r="Z2614" s="183"/>
      <c r="AA2614" s="185"/>
      <c r="AB2614" s="185"/>
      <c r="AC2614" s="185"/>
      <c r="AD2614" s="649"/>
      <c r="AE2614" s="182"/>
      <c r="AF2614" s="332"/>
      <c r="AG2614" s="182"/>
      <c r="AH2614" s="182"/>
      <c r="AI2614" s="182"/>
      <c r="AJ2614" s="640"/>
      <c r="AK2614" s="182"/>
      <c r="AL2614" s="496">
        <f t="shared" si="916"/>
        <v>0</v>
      </c>
      <c r="AM2614" s="496">
        <f t="shared" si="917"/>
        <v>0</v>
      </c>
      <c r="AN2614" s="626"/>
      <c r="AO2614" s="182"/>
      <c r="AP2614" s="182"/>
      <c r="AQ2614" s="332" t="str">
        <f>UPPER(RIGHT(Journal_Live[[#This Row],[DURATION ]]))</f>
        <v/>
      </c>
      <c r="AR2614" s="182"/>
      <c r="AS2614" s="189"/>
      <c r="AT2614" s="189">
        <f t="shared" si="918"/>
        <v>0</v>
      </c>
      <c r="AU2614" s="187">
        <f t="shared" si="919"/>
        <v>0</v>
      </c>
      <c r="AV2614" s="190">
        <f t="shared" si="920"/>
        <v>0</v>
      </c>
      <c r="AW2614" s="191"/>
      <c r="AX2614" s="551"/>
      <c r="AY2614" s="551"/>
      <c r="AZ2614" s="551"/>
      <c r="BA2614" s="551"/>
      <c r="BB2614" s="551"/>
      <c r="BC2614" s="551"/>
      <c r="BD2614" s="549"/>
      <c r="BE2614" s="550"/>
      <c r="BF2614" s="549"/>
      <c r="BG2614" s="391">
        <f>SUM($AV$2420:AV2614)</f>
        <v>-375.93476668258438</v>
      </c>
      <c r="BH2614" s="392">
        <f>SUM($AU$2420:AU2614)</f>
        <v>-772.79999999989195</v>
      </c>
      <c r="BI2614" s="318">
        <f>SUMIFS($AU$2420:AU2767,$Q$2420:Q2767,"F")</f>
        <v>-143.99999999999949</v>
      </c>
      <c r="BJ2614" s="318">
        <f>SUMIFS($AU$2420:AU2767,$Q$2420:Q2767,"S")</f>
        <v>256.00000000000466</v>
      </c>
      <c r="BK2614" s="343">
        <f>SUMIFS($AU$2420:AU2767,$P$2420:P2767,"W")</f>
        <v>-607.99999999991883</v>
      </c>
      <c r="BL2614" s="343">
        <f>SUMIFS($AU$2420:AU2767,$P$2420:P2767,"R")</f>
        <v>911.99999999999966</v>
      </c>
      <c r="BM2614" s="343">
        <f>SUMIFS($AU$2420:AU2767,$AQ$2420:AQ2767,"M")</f>
        <v>-899.79999999984489</v>
      </c>
      <c r="BN2614" s="343">
        <f>SUMIFS($AU$2420:AU2767,$AQ$2420:AQ2767,"H")</f>
        <v>1762.9999999999427</v>
      </c>
      <c r="BO2614" s="343">
        <f>SUMIFS($AU$2420:AU2767,$AQ$2420:AQ2767,"D")</f>
        <v>-767.99999999998977</v>
      </c>
      <c r="BP2614" s="343">
        <f>SUMIFS($AS$2420:AS2855,$AO$2420:AO2855,"W")</f>
        <v>0</v>
      </c>
      <c r="BQ2614" s="343">
        <f>SUMIFS($AU$2420:AU2767,$Q$2420:Q2767,"O")</f>
        <v>-884.7999999998965</v>
      </c>
      <c r="BR2614" s="343">
        <f>SUMIFS($AU$2420:AU2767,$AA$2420:AA2767,"*")</f>
        <v>-512.79999999998074</v>
      </c>
      <c r="BS2614" s="343">
        <f>SUMIFS($AU$2420:AU2767,$AB$2420:AB2767,"*")</f>
        <v>-451.99999999997726</v>
      </c>
      <c r="BT2614" s="343">
        <f>SUMIFS($AU$2420:AU2767,$AC$2420:AC2767,"*")</f>
        <v>-143.99999999999909</v>
      </c>
      <c r="BU2614" s="343">
        <f>SUMIFS($AU$2420:AU2767,$AA$2420:AA2767,"*",$AB$2420:AB2767,"*")</f>
        <v>95.999999999933891</v>
      </c>
      <c r="BV2614" s="343">
        <f>SUMIFS($AU$2420:AU2767,$AA$2420:AA2767,"*",$AC$2420:AC2767,"*")</f>
        <v>-591.99999999999977</v>
      </c>
      <c r="BW2614" s="343">
        <f>SUMIFS($AU$2420:AU2767,$AB$2420:AB2767,"*",$AC$2420:AC2767,"*")</f>
        <v>-143.99999999999966</v>
      </c>
      <c r="BX2614" s="343">
        <f>SUMIFS($AV$2420:AV2767,$Q$2420:Q2767,"F")</f>
        <v>18.153846153846242</v>
      </c>
      <c r="BY2614" s="343">
        <f>SUMIFS($AV$2420:AV2767,$Q$2420:Q2767,"S")</f>
        <v>64.044720496894826</v>
      </c>
      <c r="BZ2614" s="343">
        <f>SUMIFS($AV$2420:AV2767,$Q$2420:Q2767,"O")</f>
        <v>-458.13333333332537</v>
      </c>
    </row>
    <row r="2615" spans="1:78" ht="15.75" customHeight="1">
      <c r="A2615" s="177" t="s">
        <v>7963</v>
      </c>
      <c r="B2615" s="200"/>
      <c r="C2615" s="178"/>
      <c r="D2615" s="178"/>
      <c r="E2615" s="227"/>
      <c r="F2615" s="180"/>
      <c r="G2615" s="181"/>
      <c r="H2615" s="182"/>
      <c r="I2615" s="182"/>
      <c r="J2615" s="182"/>
      <c r="K2615" s="183"/>
      <c r="L2615" s="182"/>
      <c r="M2615" s="182"/>
      <c r="N2615" s="182"/>
      <c r="O2615" s="183"/>
      <c r="P2615" s="183"/>
      <c r="Q2615" s="183"/>
      <c r="R2615" s="183"/>
      <c r="S2615" s="183"/>
      <c r="T2615" s="183"/>
      <c r="U2615" s="183"/>
      <c r="V2615" s="183"/>
      <c r="W2615" s="183"/>
      <c r="X2615" s="183"/>
      <c r="Y2615" s="183"/>
      <c r="Z2615" s="183"/>
      <c r="AA2615" s="185"/>
      <c r="AB2615" s="185"/>
      <c r="AC2615" s="185"/>
      <c r="AD2615" s="649"/>
      <c r="AE2615" s="182"/>
      <c r="AF2615" s="332"/>
      <c r="AG2615" s="182"/>
      <c r="AH2615" s="182"/>
      <c r="AI2615" s="182"/>
      <c r="AJ2615" s="640"/>
      <c r="AK2615" s="182"/>
      <c r="AL2615" s="496">
        <f t="shared" si="916"/>
        <v>0</v>
      </c>
      <c r="AM2615" s="496">
        <f t="shared" si="917"/>
        <v>0</v>
      </c>
      <c r="AN2615" s="626"/>
      <c r="AO2615" s="182"/>
      <c r="AP2615" s="182"/>
      <c r="AQ2615" s="332" t="str">
        <f>UPPER(RIGHT(Journal_Live[[#This Row],[DURATION ]]))</f>
        <v/>
      </c>
      <c r="AR2615" s="182"/>
      <c r="AS2615" s="189"/>
      <c r="AT2615" s="189">
        <f t="shared" si="918"/>
        <v>0</v>
      </c>
      <c r="AU2615" s="187">
        <f t="shared" si="919"/>
        <v>0</v>
      </c>
      <c r="AV2615" s="190">
        <f t="shared" si="920"/>
        <v>0</v>
      </c>
      <c r="AW2615" s="191"/>
      <c r="AX2615" s="551"/>
      <c r="AY2615" s="551"/>
      <c r="AZ2615" s="551"/>
      <c r="BA2615" s="551"/>
      <c r="BB2615" s="551"/>
      <c r="BC2615" s="551"/>
      <c r="BD2615" s="549"/>
      <c r="BE2615" s="550"/>
      <c r="BF2615" s="549"/>
      <c r="BG2615" s="391">
        <f>SUM($AV$2420:AV2615)</f>
        <v>-375.93476668258438</v>
      </c>
      <c r="BH2615" s="392">
        <f>SUM($AU$2420:AU2615)</f>
        <v>-772.79999999989195</v>
      </c>
      <c r="BI2615" s="318">
        <f>SUMIFS($AU$2420:AU2768,$Q$2420:Q2768,"F")</f>
        <v>-143.99999999999949</v>
      </c>
      <c r="BJ2615" s="318">
        <f>SUMIFS($AU$2420:AU2768,$Q$2420:Q2768,"S")</f>
        <v>256.00000000000466</v>
      </c>
      <c r="BK2615" s="343">
        <f>SUMIFS($AU$2420:AU2768,$P$2420:P2768,"W")</f>
        <v>-607.99999999991883</v>
      </c>
      <c r="BL2615" s="343">
        <f>SUMIFS($AU$2420:AU2768,$P$2420:P2768,"R")</f>
        <v>911.99999999999966</v>
      </c>
      <c r="BM2615" s="343">
        <f>SUMIFS($AU$2420:AU2768,$AQ$2420:AQ2768,"M")</f>
        <v>-899.79999999984489</v>
      </c>
      <c r="BN2615" s="343">
        <f>SUMIFS($AU$2420:AU2768,$AQ$2420:AQ2768,"H")</f>
        <v>1762.9999999999427</v>
      </c>
      <c r="BO2615" s="343">
        <f>SUMIFS($AU$2420:AU2768,$AQ$2420:AQ2768,"D")</f>
        <v>-767.99999999998977</v>
      </c>
      <c r="BP2615" s="343">
        <f>SUMIFS($AS$2420:AS2856,$AO$2420:AO2856,"W")</f>
        <v>0</v>
      </c>
      <c r="BQ2615" s="343">
        <f>SUMIFS($AU$2420:AU2768,$Q$2420:Q2768,"O")</f>
        <v>-884.7999999998965</v>
      </c>
      <c r="BR2615" s="343">
        <f>SUMIFS($AU$2420:AU2768,$AA$2420:AA2768,"*")</f>
        <v>-512.79999999998074</v>
      </c>
      <c r="BS2615" s="343">
        <f>SUMIFS($AU$2420:AU2768,$AB$2420:AB2768,"*")</f>
        <v>-451.99999999997726</v>
      </c>
      <c r="BT2615" s="343">
        <f>SUMIFS($AU$2420:AU2768,$AC$2420:AC2768,"*")</f>
        <v>-143.99999999999909</v>
      </c>
      <c r="BU2615" s="343">
        <f>SUMIFS($AU$2420:AU2768,$AA$2420:AA2768,"*",$AB$2420:AB2768,"*")</f>
        <v>95.999999999933891</v>
      </c>
      <c r="BV2615" s="343">
        <f>SUMIFS($AU$2420:AU2768,$AA$2420:AA2768,"*",$AC$2420:AC2768,"*")</f>
        <v>-591.99999999999977</v>
      </c>
      <c r="BW2615" s="343">
        <f>SUMIFS($AU$2420:AU2768,$AB$2420:AB2768,"*",$AC$2420:AC2768,"*")</f>
        <v>-143.99999999999966</v>
      </c>
      <c r="BX2615" s="343">
        <f>SUMIFS($AV$2420:AV2768,$Q$2420:Q2768,"F")</f>
        <v>18.153846153846242</v>
      </c>
      <c r="BY2615" s="343">
        <f>SUMIFS($AV$2420:AV2768,$Q$2420:Q2768,"S")</f>
        <v>64.044720496894826</v>
      </c>
      <c r="BZ2615" s="343">
        <f>SUMIFS($AV$2420:AV2768,$Q$2420:Q2768,"O")</f>
        <v>-458.13333333332537</v>
      </c>
    </row>
    <row r="2616" spans="1:78" ht="15.75" customHeight="1">
      <c r="A2616" s="177" t="s">
        <v>7963</v>
      </c>
      <c r="B2616" s="200"/>
      <c r="C2616" s="178"/>
      <c r="D2616" s="178"/>
      <c r="E2616" s="227"/>
      <c r="F2616" s="180"/>
      <c r="G2616" s="181"/>
      <c r="H2616" s="182"/>
      <c r="I2616" s="182"/>
      <c r="J2616" s="182"/>
      <c r="K2616" s="183"/>
      <c r="L2616" s="182"/>
      <c r="M2616" s="182"/>
      <c r="N2616" s="182"/>
      <c r="O2616" s="183"/>
      <c r="P2616" s="183"/>
      <c r="Q2616" s="183"/>
      <c r="R2616" s="183"/>
      <c r="S2616" s="183"/>
      <c r="T2616" s="183"/>
      <c r="U2616" s="183"/>
      <c r="V2616" s="183"/>
      <c r="W2616" s="183"/>
      <c r="X2616" s="183"/>
      <c r="Y2616" s="183"/>
      <c r="Z2616" s="183"/>
      <c r="AA2616" s="185"/>
      <c r="AB2616" s="185"/>
      <c r="AC2616" s="185"/>
      <c r="AD2616" s="649"/>
      <c r="AE2616" s="182"/>
      <c r="AF2616" s="332"/>
      <c r="AG2616" s="182"/>
      <c r="AH2616" s="182"/>
      <c r="AI2616" s="182"/>
      <c r="AJ2616" s="640"/>
      <c r="AK2616" s="182"/>
      <c r="AL2616" s="496">
        <f t="shared" si="916"/>
        <v>0</v>
      </c>
      <c r="AM2616" s="496">
        <f t="shared" si="917"/>
        <v>0</v>
      </c>
      <c r="AN2616" s="626"/>
      <c r="AO2616" s="182"/>
      <c r="AP2616" s="182"/>
      <c r="AQ2616" s="332" t="str">
        <f>UPPER(RIGHT(Journal_Live[[#This Row],[DURATION ]]))</f>
        <v/>
      </c>
      <c r="AR2616" s="182"/>
      <c r="AS2616" s="189"/>
      <c r="AT2616" s="189">
        <f t="shared" si="918"/>
        <v>0</v>
      </c>
      <c r="AU2616" s="187">
        <f t="shared" si="919"/>
        <v>0</v>
      </c>
      <c r="AV2616" s="190">
        <f t="shared" si="920"/>
        <v>0</v>
      </c>
      <c r="AW2616" s="191"/>
      <c r="AX2616" s="551"/>
      <c r="AY2616" s="551"/>
      <c r="AZ2616" s="551"/>
      <c r="BA2616" s="551"/>
      <c r="BB2616" s="551"/>
      <c r="BC2616" s="551"/>
      <c r="BD2616" s="549"/>
      <c r="BE2616" s="550"/>
      <c r="BF2616" s="549"/>
      <c r="BG2616" s="391">
        <f>SUM($AV$2420:AV2616)</f>
        <v>-375.93476668258438</v>
      </c>
      <c r="BH2616" s="392">
        <f>SUM($AU$2420:AU2616)</f>
        <v>-772.79999999989195</v>
      </c>
      <c r="BI2616" s="318">
        <f>SUMIFS($AU$2420:AU2769,$Q$2420:Q2769,"F")</f>
        <v>-143.99999999999949</v>
      </c>
      <c r="BJ2616" s="318">
        <f>SUMIFS($AU$2420:AU2769,$Q$2420:Q2769,"S")</f>
        <v>256.00000000000466</v>
      </c>
      <c r="BK2616" s="343">
        <f>SUMIFS($AU$2420:AU2769,$P$2420:P2769,"W")</f>
        <v>-607.99999999991883</v>
      </c>
      <c r="BL2616" s="343">
        <f>SUMIFS($AU$2420:AU2769,$P$2420:P2769,"R")</f>
        <v>911.99999999999966</v>
      </c>
      <c r="BM2616" s="343">
        <f>SUMIFS($AU$2420:AU2769,$AQ$2420:AQ2769,"M")</f>
        <v>-899.79999999984489</v>
      </c>
      <c r="BN2616" s="343">
        <f>SUMIFS($AU$2420:AU2769,$AQ$2420:AQ2769,"H")</f>
        <v>1762.9999999999427</v>
      </c>
      <c r="BO2616" s="343">
        <f>SUMIFS($AU$2420:AU2769,$AQ$2420:AQ2769,"D")</f>
        <v>-767.99999999998977</v>
      </c>
      <c r="BP2616" s="343">
        <f>SUMIFS($AS$2420:AS2857,$AO$2420:AO2857,"W")</f>
        <v>0</v>
      </c>
      <c r="BQ2616" s="343">
        <f>SUMIFS($AU$2420:AU2769,$Q$2420:Q2769,"O")</f>
        <v>-884.7999999998965</v>
      </c>
      <c r="BR2616" s="343">
        <f>SUMIFS($AU$2420:AU2769,$AA$2420:AA2769,"*")</f>
        <v>-512.79999999998074</v>
      </c>
      <c r="BS2616" s="343">
        <f>SUMIFS($AU$2420:AU2769,$AB$2420:AB2769,"*")</f>
        <v>-451.99999999997726</v>
      </c>
      <c r="BT2616" s="343">
        <f>SUMIFS($AU$2420:AU2769,$AC$2420:AC2769,"*")</f>
        <v>-143.99999999999909</v>
      </c>
      <c r="BU2616" s="343">
        <f>SUMIFS($AU$2420:AU2769,$AA$2420:AA2769,"*",$AB$2420:AB2769,"*")</f>
        <v>95.999999999933891</v>
      </c>
      <c r="BV2616" s="343">
        <f>SUMIFS($AU$2420:AU2769,$AA$2420:AA2769,"*",$AC$2420:AC2769,"*")</f>
        <v>-591.99999999999977</v>
      </c>
      <c r="BW2616" s="343">
        <f>SUMIFS($AU$2420:AU2769,$AB$2420:AB2769,"*",$AC$2420:AC2769,"*")</f>
        <v>-143.99999999999966</v>
      </c>
      <c r="BX2616" s="343">
        <f>SUMIFS($AV$2420:AV2769,$Q$2420:Q2769,"F")</f>
        <v>18.153846153846242</v>
      </c>
      <c r="BY2616" s="343">
        <f>SUMIFS($AV$2420:AV2769,$Q$2420:Q2769,"S")</f>
        <v>64.044720496894826</v>
      </c>
      <c r="BZ2616" s="343">
        <f>SUMIFS($AV$2420:AV2769,$Q$2420:Q2769,"O")</f>
        <v>-458.13333333332537</v>
      </c>
    </row>
    <row r="2617" spans="1:78" ht="15.75" customHeight="1">
      <c r="A2617" s="177" t="s">
        <v>7963</v>
      </c>
      <c r="B2617" s="200"/>
      <c r="C2617" s="178"/>
      <c r="D2617" s="178"/>
      <c r="E2617" s="227"/>
      <c r="F2617" s="180"/>
      <c r="G2617" s="181"/>
      <c r="H2617" s="182"/>
      <c r="I2617" s="182"/>
      <c r="J2617" s="182"/>
      <c r="K2617" s="183"/>
      <c r="L2617" s="182"/>
      <c r="M2617" s="182"/>
      <c r="N2617" s="182"/>
      <c r="O2617" s="183"/>
      <c r="P2617" s="183"/>
      <c r="Q2617" s="183"/>
      <c r="R2617" s="183"/>
      <c r="S2617" s="183"/>
      <c r="T2617" s="183"/>
      <c r="U2617" s="183"/>
      <c r="V2617" s="183"/>
      <c r="W2617" s="183"/>
      <c r="X2617" s="183"/>
      <c r="Y2617" s="183"/>
      <c r="Z2617" s="183"/>
      <c r="AA2617" s="185"/>
      <c r="AB2617" s="185"/>
      <c r="AC2617" s="185"/>
      <c r="AD2617" s="649"/>
      <c r="AE2617" s="182"/>
      <c r="AF2617" s="332"/>
      <c r="AG2617" s="182"/>
      <c r="AH2617" s="182"/>
      <c r="AI2617" s="182"/>
      <c r="AJ2617" s="640"/>
      <c r="AK2617" s="182"/>
      <c r="AL2617" s="496">
        <f t="shared" si="916"/>
        <v>0</v>
      </c>
      <c r="AM2617" s="496">
        <f t="shared" si="917"/>
        <v>0</v>
      </c>
      <c r="AN2617" s="626"/>
      <c r="AO2617" s="182"/>
      <c r="AP2617" s="182"/>
      <c r="AQ2617" s="332" t="str">
        <f>UPPER(RIGHT(Journal_Live[[#This Row],[DURATION ]]))</f>
        <v/>
      </c>
      <c r="AR2617" s="182"/>
      <c r="AS2617" s="189"/>
      <c r="AT2617" s="189">
        <f t="shared" si="918"/>
        <v>0</v>
      </c>
      <c r="AU2617" s="187">
        <f t="shared" si="919"/>
        <v>0</v>
      </c>
      <c r="AV2617" s="190">
        <f t="shared" si="920"/>
        <v>0</v>
      </c>
      <c r="AW2617" s="191"/>
      <c r="AX2617" s="551"/>
      <c r="AY2617" s="551"/>
      <c r="AZ2617" s="551"/>
      <c r="BA2617" s="551"/>
      <c r="BB2617" s="551"/>
      <c r="BC2617" s="551"/>
      <c r="BD2617" s="549"/>
      <c r="BE2617" s="550"/>
      <c r="BF2617" s="549"/>
      <c r="BG2617" s="391">
        <f>SUM($AV$2420:AV2617)</f>
        <v>-375.93476668258438</v>
      </c>
      <c r="BH2617" s="392">
        <f>SUM($AU$2420:AU2617)</f>
        <v>-772.79999999989195</v>
      </c>
      <c r="BI2617" s="318">
        <f>SUMIFS($AU$2420:AU2770,$Q$2420:Q2770,"F")</f>
        <v>-143.99999999999949</v>
      </c>
      <c r="BJ2617" s="318">
        <f>SUMIFS($AU$2420:AU2770,$Q$2420:Q2770,"S")</f>
        <v>256.00000000000466</v>
      </c>
      <c r="BK2617" s="343">
        <f>SUMIFS($AU$2420:AU2770,$P$2420:P2770,"W")</f>
        <v>-607.99999999991883</v>
      </c>
      <c r="BL2617" s="343">
        <f>SUMIFS($AU$2420:AU2770,$P$2420:P2770,"R")</f>
        <v>911.99999999999966</v>
      </c>
      <c r="BM2617" s="343">
        <f>SUMIFS($AU$2420:AU2770,$AQ$2420:AQ2770,"M")</f>
        <v>-899.79999999984489</v>
      </c>
      <c r="BN2617" s="343">
        <f>SUMIFS($AU$2420:AU2770,$AQ$2420:AQ2770,"H")</f>
        <v>1762.9999999999427</v>
      </c>
      <c r="BO2617" s="343">
        <f>SUMIFS($AU$2420:AU2770,$AQ$2420:AQ2770,"D")</f>
        <v>-767.99999999998977</v>
      </c>
      <c r="BP2617" s="343">
        <f>SUMIFS($AS$2420:AS2858,$AO$2420:AO2858,"W")</f>
        <v>0</v>
      </c>
      <c r="BQ2617" s="343">
        <f>SUMIFS($AU$2420:AU2770,$Q$2420:Q2770,"O")</f>
        <v>-884.7999999998965</v>
      </c>
      <c r="BR2617" s="343">
        <f>SUMIFS($AU$2420:AU2770,$AA$2420:AA2770,"*")</f>
        <v>-512.79999999998074</v>
      </c>
      <c r="BS2617" s="343">
        <f>SUMIFS($AU$2420:AU2770,$AB$2420:AB2770,"*")</f>
        <v>-451.99999999997726</v>
      </c>
      <c r="BT2617" s="343">
        <f>SUMIFS($AU$2420:AU2770,$AC$2420:AC2770,"*")</f>
        <v>-143.99999999999909</v>
      </c>
      <c r="BU2617" s="343">
        <f>SUMIFS($AU$2420:AU2770,$AA$2420:AA2770,"*",$AB$2420:AB2770,"*")</f>
        <v>95.999999999933891</v>
      </c>
      <c r="BV2617" s="343">
        <f>SUMIFS($AU$2420:AU2770,$AA$2420:AA2770,"*",$AC$2420:AC2770,"*")</f>
        <v>-591.99999999999977</v>
      </c>
      <c r="BW2617" s="343">
        <f>SUMIFS($AU$2420:AU2770,$AB$2420:AB2770,"*",$AC$2420:AC2770,"*")</f>
        <v>-143.99999999999966</v>
      </c>
      <c r="BX2617" s="343">
        <f>SUMIFS($AV$2420:AV2770,$Q$2420:Q2770,"F")</f>
        <v>18.153846153846242</v>
      </c>
      <c r="BY2617" s="343">
        <f>SUMIFS($AV$2420:AV2770,$Q$2420:Q2770,"S")</f>
        <v>64.044720496894826</v>
      </c>
      <c r="BZ2617" s="343">
        <f>SUMIFS($AV$2420:AV2770,$Q$2420:Q2770,"O")</f>
        <v>-458.13333333332537</v>
      </c>
    </row>
    <row r="2618" spans="1:78" ht="15.75" customHeight="1">
      <c r="A2618" s="177" t="s">
        <v>7963</v>
      </c>
      <c r="B2618" s="200"/>
      <c r="C2618" s="178"/>
      <c r="D2618" s="178"/>
      <c r="E2618" s="227"/>
      <c r="F2618" s="180"/>
      <c r="G2618" s="181"/>
      <c r="H2618" s="182"/>
      <c r="I2618" s="182"/>
      <c r="J2618" s="182"/>
      <c r="K2618" s="183"/>
      <c r="L2618" s="182"/>
      <c r="M2618" s="182"/>
      <c r="N2618" s="182"/>
      <c r="O2618" s="183"/>
      <c r="P2618" s="183"/>
      <c r="Q2618" s="183"/>
      <c r="R2618" s="183"/>
      <c r="S2618" s="183"/>
      <c r="T2618" s="183"/>
      <c r="U2618" s="183"/>
      <c r="V2618" s="183"/>
      <c r="W2618" s="183"/>
      <c r="X2618" s="183"/>
      <c r="Y2618" s="183"/>
      <c r="Z2618" s="183"/>
      <c r="AA2618" s="185"/>
      <c r="AB2618" s="185"/>
      <c r="AC2618" s="185"/>
      <c r="AD2618" s="649"/>
      <c r="AE2618" s="182"/>
      <c r="AF2618" s="332"/>
      <c r="AG2618" s="182"/>
      <c r="AH2618" s="182"/>
      <c r="AI2618" s="182"/>
      <c r="AJ2618" s="640"/>
      <c r="AK2618" s="182"/>
      <c r="AL2618" s="496">
        <f t="shared" si="916"/>
        <v>0</v>
      </c>
      <c r="AM2618" s="496">
        <f t="shared" si="917"/>
        <v>0</v>
      </c>
      <c r="AN2618" s="626"/>
      <c r="AO2618" s="182"/>
      <c r="AP2618" s="182"/>
      <c r="AQ2618" s="332" t="str">
        <f>UPPER(RIGHT(Journal_Live[[#This Row],[DURATION ]]))</f>
        <v/>
      </c>
      <c r="AR2618" s="182"/>
      <c r="AS2618" s="189"/>
      <c r="AT2618" s="189">
        <f t="shared" si="918"/>
        <v>0</v>
      </c>
      <c r="AU2618" s="187">
        <f t="shared" si="919"/>
        <v>0</v>
      </c>
      <c r="AV2618" s="190">
        <f t="shared" si="920"/>
        <v>0</v>
      </c>
      <c r="AW2618" s="191"/>
      <c r="AX2618" s="551"/>
      <c r="AY2618" s="551"/>
      <c r="AZ2618" s="551"/>
      <c r="BA2618" s="551"/>
      <c r="BB2618" s="551"/>
      <c r="BC2618" s="551"/>
      <c r="BD2618" s="549"/>
      <c r="BE2618" s="550"/>
      <c r="BF2618" s="549"/>
      <c r="BG2618" s="391">
        <f>SUM($AV$2420:AV2618)</f>
        <v>-375.93476668258438</v>
      </c>
      <c r="BH2618" s="392">
        <f>SUM($AU$2420:AU2618)</f>
        <v>-772.79999999989195</v>
      </c>
      <c r="BI2618" s="318">
        <f>SUMIFS($AU$2420:AU2771,$Q$2420:Q2771,"F")</f>
        <v>-143.99999999999949</v>
      </c>
      <c r="BJ2618" s="318">
        <f>SUMIFS($AU$2420:AU2771,$Q$2420:Q2771,"S")</f>
        <v>256.00000000000466</v>
      </c>
      <c r="BK2618" s="343">
        <f>SUMIFS($AU$2420:AU2771,$P$2420:P2771,"W")</f>
        <v>-607.99999999991883</v>
      </c>
      <c r="BL2618" s="343">
        <f>SUMIFS($AU$2420:AU2771,$P$2420:P2771,"R")</f>
        <v>911.99999999999966</v>
      </c>
      <c r="BM2618" s="343">
        <f>SUMIFS($AU$2420:AU2771,$AQ$2420:AQ2771,"M")</f>
        <v>-899.79999999984489</v>
      </c>
      <c r="BN2618" s="343">
        <f>SUMIFS($AU$2420:AU2771,$AQ$2420:AQ2771,"H")</f>
        <v>1762.9999999999427</v>
      </c>
      <c r="BO2618" s="343">
        <f>SUMIFS($AU$2420:AU2771,$AQ$2420:AQ2771,"D")</f>
        <v>-767.99999999998977</v>
      </c>
      <c r="BP2618" s="343">
        <f>SUMIFS($AS$2420:AS2859,$AO$2420:AO2859,"W")</f>
        <v>0</v>
      </c>
      <c r="BQ2618" s="343">
        <f>SUMIFS($AU$2420:AU2771,$Q$2420:Q2771,"O")</f>
        <v>-884.7999999998965</v>
      </c>
      <c r="BR2618" s="343">
        <f>SUMIFS($AU$2420:AU2771,$AA$2420:AA2771,"*")</f>
        <v>-512.79999999998074</v>
      </c>
      <c r="BS2618" s="343">
        <f>SUMIFS($AU$2420:AU2771,$AB$2420:AB2771,"*")</f>
        <v>-451.99999999997726</v>
      </c>
      <c r="BT2618" s="343">
        <f>SUMIFS($AU$2420:AU2771,$AC$2420:AC2771,"*")</f>
        <v>-143.99999999999909</v>
      </c>
      <c r="BU2618" s="343">
        <f>SUMIFS($AU$2420:AU2771,$AA$2420:AA2771,"*",$AB$2420:AB2771,"*")</f>
        <v>95.999999999933891</v>
      </c>
      <c r="BV2618" s="343">
        <f>SUMIFS($AU$2420:AU2771,$AA$2420:AA2771,"*",$AC$2420:AC2771,"*")</f>
        <v>-591.99999999999977</v>
      </c>
      <c r="BW2618" s="343">
        <f>SUMIFS($AU$2420:AU2771,$AB$2420:AB2771,"*",$AC$2420:AC2771,"*")</f>
        <v>-143.99999999999966</v>
      </c>
      <c r="BX2618" s="343">
        <f>SUMIFS($AV$2420:AV2771,$Q$2420:Q2771,"F")</f>
        <v>18.153846153846242</v>
      </c>
      <c r="BY2618" s="343">
        <f>SUMIFS($AV$2420:AV2771,$Q$2420:Q2771,"S")</f>
        <v>64.044720496894826</v>
      </c>
      <c r="BZ2618" s="343">
        <f>SUMIFS($AV$2420:AV2771,$Q$2420:Q2771,"O")</f>
        <v>-458.13333333332537</v>
      </c>
    </row>
    <row r="2619" spans="1:78" ht="15.75" customHeight="1">
      <c r="A2619" s="177" t="s">
        <v>7963</v>
      </c>
      <c r="B2619" s="200"/>
      <c r="C2619" s="178"/>
      <c r="D2619" s="178"/>
      <c r="E2619" s="227"/>
      <c r="F2619" s="180"/>
      <c r="G2619" s="181"/>
      <c r="H2619" s="182"/>
      <c r="I2619" s="182"/>
      <c r="J2619" s="182"/>
      <c r="K2619" s="183"/>
      <c r="L2619" s="182"/>
      <c r="M2619" s="182"/>
      <c r="N2619" s="182"/>
      <c r="O2619" s="183"/>
      <c r="P2619" s="183"/>
      <c r="Q2619" s="183"/>
      <c r="R2619" s="183"/>
      <c r="S2619" s="183"/>
      <c r="T2619" s="183"/>
      <c r="U2619" s="183"/>
      <c r="V2619" s="183"/>
      <c r="W2619" s="183"/>
      <c r="X2619" s="183"/>
      <c r="Y2619" s="183"/>
      <c r="Z2619" s="183"/>
      <c r="AA2619" s="185"/>
      <c r="AB2619" s="185"/>
      <c r="AC2619" s="185"/>
      <c r="AD2619" s="649"/>
      <c r="AE2619" s="182"/>
      <c r="AF2619" s="332"/>
      <c r="AG2619" s="182"/>
      <c r="AH2619" s="182"/>
      <c r="AI2619" s="182"/>
      <c r="AJ2619" s="640"/>
      <c r="AK2619" s="182"/>
      <c r="AL2619" s="496">
        <f t="shared" ref="AL2619:AL2624" si="921">-0.02*Z2619</f>
        <v>0</v>
      </c>
      <c r="AM2619" s="496">
        <f t="shared" si="917"/>
        <v>0</v>
      </c>
      <c r="AN2619" s="626"/>
      <c r="AO2619" s="182"/>
      <c r="AP2619" s="182"/>
      <c r="AQ2619" s="332" t="str">
        <f>UPPER(RIGHT(Journal_Live[[#This Row],[DURATION ]]))</f>
        <v/>
      </c>
      <c r="AR2619" s="182"/>
      <c r="AS2619" s="189"/>
      <c r="AT2619" s="189">
        <f t="shared" si="918"/>
        <v>0</v>
      </c>
      <c r="AU2619" s="187">
        <f t="shared" si="919"/>
        <v>0</v>
      </c>
      <c r="AV2619" s="190">
        <f t="shared" ref="AV2619:AV2624" si="922">IF(ISBLANK(AS2619),,(AT2619*Z2619))</f>
        <v>0</v>
      </c>
      <c r="AW2619" s="191"/>
      <c r="AX2619" s="551"/>
      <c r="AY2619" s="551"/>
      <c r="AZ2619" s="551"/>
      <c r="BA2619" s="551"/>
      <c r="BB2619" s="551"/>
      <c r="BC2619" s="551"/>
      <c r="BD2619" s="549"/>
      <c r="BE2619" s="550"/>
      <c r="BF2619" s="549"/>
      <c r="BG2619" s="391">
        <f>SUM($AV$2420:AV2619)</f>
        <v>-375.93476668258438</v>
      </c>
      <c r="BH2619" s="392">
        <f>SUM($AU$2420:AU2619)</f>
        <v>-772.79999999989195</v>
      </c>
      <c r="BI2619" s="318">
        <f>SUMIFS($AU$2420:AU2772,$Q$2420:Q2772,"F")</f>
        <v>-143.99999999999949</v>
      </c>
      <c r="BJ2619" s="318">
        <f>SUMIFS($AU$2420:AU2772,$Q$2420:Q2772,"S")</f>
        <v>256.00000000000466</v>
      </c>
      <c r="BK2619" s="343">
        <f>SUMIFS($AU$2420:AU2772,$P$2420:P2772,"W")</f>
        <v>-607.99999999991883</v>
      </c>
      <c r="BL2619" s="343">
        <f>SUMIFS($AU$2420:AU2772,$P$2420:P2772,"R")</f>
        <v>911.99999999999966</v>
      </c>
      <c r="BM2619" s="343">
        <f>SUMIFS($AU$2420:AU2772,$AQ$2420:AQ2772,"M")</f>
        <v>-899.79999999984489</v>
      </c>
      <c r="BN2619" s="343">
        <f>SUMIFS($AU$2420:AU2772,$AQ$2420:AQ2772,"H")</f>
        <v>1762.9999999999427</v>
      </c>
      <c r="BO2619" s="343">
        <f>SUMIFS($AU$2420:AU2772,$AQ$2420:AQ2772,"D")</f>
        <v>-767.99999999998977</v>
      </c>
      <c r="BP2619" s="343">
        <f>SUMIFS($AS$2420:AS2860,$AO$2420:AO2860,"W")</f>
        <v>0</v>
      </c>
      <c r="BQ2619" s="343">
        <f>SUMIFS($AU$2420:AU2772,$Q$2420:Q2772,"O")</f>
        <v>-884.7999999998965</v>
      </c>
      <c r="BR2619" s="343">
        <f>SUMIFS($AU$2420:AU2772,$AA$2420:AA2772,"*")</f>
        <v>-512.79999999998074</v>
      </c>
      <c r="BS2619" s="343">
        <f>SUMIFS($AU$2420:AU2772,$AB$2420:AB2772,"*")</f>
        <v>-451.99999999997726</v>
      </c>
      <c r="BT2619" s="343">
        <f>SUMIFS($AU$2420:AU2772,$AC$2420:AC2772,"*")</f>
        <v>-143.99999999999909</v>
      </c>
      <c r="BU2619" s="343">
        <f>SUMIFS($AU$2420:AU2772,$AA$2420:AA2772,"*",$AB$2420:AB2772,"*")</f>
        <v>95.999999999933891</v>
      </c>
      <c r="BV2619" s="343">
        <f>SUMIFS($AU$2420:AU2772,$AA$2420:AA2772,"*",$AC$2420:AC2772,"*")</f>
        <v>-591.99999999999977</v>
      </c>
      <c r="BW2619" s="343">
        <f>SUMIFS($AU$2420:AU2772,$AB$2420:AB2772,"*",$AC$2420:AC2772,"*")</f>
        <v>-143.99999999999966</v>
      </c>
      <c r="BX2619" s="343">
        <f>SUMIFS($AV$2420:AV2772,$Q$2420:Q2772,"F")</f>
        <v>18.153846153846242</v>
      </c>
      <c r="BY2619" s="343">
        <f>SUMIFS($AV$2420:AV2772,$Q$2420:Q2772,"S")</f>
        <v>64.044720496894826</v>
      </c>
      <c r="BZ2619" s="343">
        <f>SUMIFS($AV$2420:AV2772,$Q$2420:Q2772,"O")</f>
        <v>-458.13333333332537</v>
      </c>
    </row>
    <row r="2620" spans="1:78" ht="15.75" customHeight="1">
      <c r="A2620" s="177" t="s">
        <v>7963</v>
      </c>
      <c r="B2620" s="200"/>
      <c r="C2620" s="178"/>
      <c r="D2620" s="178"/>
      <c r="E2620" s="227"/>
      <c r="F2620" s="180"/>
      <c r="G2620" s="181"/>
      <c r="H2620" s="182"/>
      <c r="I2620" s="182"/>
      <c r="J2620" s="182"/>
      <c r="K2620" s="183"/>
      <c r="L2620" s="182"/>
      <c r="M2620" s="182"/>
      <c r="N2620" s="182"/>
      <c r="O2620" s="183"/>
      <c r="P2620" s="183"/>
      <c r="Q2620" s="183"/>
      <c r="R2620" s="183"/>
      <c r="S2620" s="183"/>
      <c r="T2620" s="183"/>
      <c r="U2620" s="183"/>
      <c r="V2620" s="183"/>
      <c r="W2620" s="183"/>
      <c r="X2620" s="183"/>
      <c r="Y2620" s="183"/>
      <c r="Z2620" s="183"/>
      <c r="AA2620" s="185"/>
      <c r="AB2620" s="185"/>
      <c r="AC2620" s="185"/>
      <c r="AD2620" s="649"/>
      <c r="AE2620" s="182"/>
      <c r="AF2620" s="332"/>
      <c r="AG2620" s="182"/>
      <c r="AH2620" s="182"/>
      <c r="AI2620" s="182"/>
      <c r="AJ2620" s="640"/>
      <c r="AK2620" s="182"/>
      <c r="AL2620" s="496">
        <f t="shared" si="921"/>
        <v>0</v>
      </c>
      <c r="AM2620" s="496">
        <f t="shared" si="917"/>
        <v>0</v>
      </c>
      <c r="AN2620" s="626"/>
      <c r="AO2620" s="182"/>
      <c r="AP2620" s="182"/>
      <c r="AQ2620" s="332" t="str">
        <f>UPPER(RIGHT(Journal_Live[[#This Row],[DURATION ]]))</f>
        <v/>
      </c>
      <c r="AR2620" s="182"/>
      <c r="AS2620" s="189"/>
      <c r="AT2620" s="189">
        <f t="shared" si="918"/>
        <v>0</v>
      </c>
      <c r="AU2620" s="187">
        <f t="shared" si="919"/>
        <v>0</v>
      </c>
      <c r="AV2620" s="190">
        <f t="shared" si="922"/>
        <v>0</v>
      </c>
      <c r="AW2620" s="191"/>
      <c r="AX2620" s="551"/>
      <c r="AY2620" s="551"/>
      <c r="AZ2620" s="551"/>
      <c r="BA2620" s="551"/>
      <c r="BB2620" s="551"/>
      <c r="BC2620" s="551"/>
      <c r="BD2620" s="549"/>
      <c r="BE2620" s="550"/>
      <c r="BF2620" s="549"/>
      <c r="BG2620" s="391">
        <f>SUM($AV$2420:AV2620)</f>
        <v>-375.93476668258438</v>
      </c>
      <c r="BH2620" s="392">
        <f>SUM($AU$2420:AU2620)</f>
        <v>-772.79999999989195</v>
      </c>
      <c r="BI2620" s="318">
        <f>SUMIFS($AU$2420:AU2773,$Q$2420:Q2773,"F")</f>
        <v>-143.99999999999949</v>
      </c>
      <c r="BJ2620" s="318">
        <f>SUMIFS($AU$2420:AU2773,$Q$2420:Q2773,"S")</f>
        <v>256.00000000000466</v>
      </c>
      <c r="BK2620" s="343">
        <f>SUMIFS($AU$2420:AU2773,$P$2420:P2773,"W")</f>
        <v>-607.99999999991883</v>
      </c>
      <c r="BL2620" s="343">
        <f>SUMIFS($AU$2420:AU2773,$P$2420:P2773,"R")</f>
        <v>911.99999999999966</v>
      </c>
      <c r="BM2620" s="343">
        <f>SUMIFS($AU$2420:AU2773,$AQ$2420:AQ2773,"M")</f>
        <v>-899.79999999984489</v>
      </c>
      <c r="BN2620" s="343">
        <f>SUMIFS($AU$2420:AU2773,$AQ$2420:AQ2773,"H")</f>
        <v>1762.9999999999427</v>
      </c>
      <c r="BO2620" s="343">
        <f>SUMIFS($AU$2420:AU2773,$AQ$2420:AQ2773,"D")</f>
        <v>-767.99999999998977</v>
      </c>
      <c r="BP2620" s="343">
        <f>SUMIFS($AS$2420:AS2861,$AO$2420:AO2861,"W")</f>
        <v>0</v>
      </c>
      <c r="BQ2620" s="343">
        <f>SUMIFS($AU$2420:AU2773,$Q$2420:Q2773,"O")</f>
        <v>-884.7999999998965</v>
      </c>
      <c r="BR2620" s="343">
        <f>SUMIFS($AU$2420:AU2773,$AA$2420:AA2773,"*")</f>
        <v>-512.79999999998074</v>
      </c>
      <c r="BS2620" s="343">
        <f>SUMIFS($AU$2420:AU2773,$AB$2420:AB2773,"*")</f>
        <v>-451.99999999997726</v>
      </c>
      <c r="BT2620" s="343">
        <f>SUMIFS($AU$2420:AU2773,$AC$2420:AC2773,"*")</f>
        <v>-143.99999999999909</v>
      </c>
      <c r="BU2620" s="343">
        <f>SUMIFS($AU$2420:AU2773,$AA$2420:AA2773,"*",$AB$2420:AB2773,"*")</f>
        <v>95.999999999933891</v>
      </c>
      <c r="BV2620" s="343">
        <f>SUMIFS($AU$2420:AU2773,$AA$2420:AA2773,"*",$AC$2420:AC2773,"*")</f>
        <v>-591.99999999999977</v>
      </c>
      <c r="BW2620" s="343">
        <f>SUMIFS($AU$2420:AU2773,$AB$2420:AB2773,"*",$AC$2420:AC2773,"*")</f>
        <v>-143.99999999999966</v>
      </c>
      <c r="BX2620" s="343">
        <f>SUMIFS($AV$2420:AV2773,$Q$2420:Q2773,"F")</f>
        <v>18.153846153846242</v>
      </c>
      <c r="BY2620" s="343">
        <f>SUMIFS($AV$2420:AV2773,$Q$2420:Q2773,"S")</f>
        <v>64.044720496894826</v>
      </c>
      <c r="BZ2620" s="343">
        <f>SUMIFS($AV$2420:AV2773,$Q$2420:Q2773,"O")</f>
        <v>-458.13333333332537</v>
      </c>
    </row>
    <row r="2621" spans="1:78" ht="15.75" customHeight="1">
      <c r="A2621" s="177" t="s">
        <v>7963</v>
      </c>
      <c r="B2621" s="200"/>
      <c r="C2621" s="178"/>
      <c r="D2621" s="178"/>
      <c r="E2621" s="227"/>
      <c r="F2621" s="180"/>
      <c r="G2621" s="181"/>
      <c r="H2621" s="182"/>
      <c r="I2621" s="182"/>
      <c r="J2621" s="182"/>
      <c r="K2621" s="183"/>
      <c r="L2621" s="182"/>
      <c r="M2621" s="182"/>
      <c r="N2621" s="182"/>
      <c r="O2621" s="183"/>
      <c r="P2621" s="183"/>
      <c r="Q2621" s="183"/>
      <c r="R2621" s="183"/>
      <c r="S2621" s="183"/>
      <c r="T2621" s="183"/>
      <c r="U2621" s="183"/>
      <c r="V2621" s="183"/>
      <c r="W2621" s="183"/>
      <c r="X2621" s="183"/>
      <c r="Y2621" s="183"/>
      <c r="Z2621" s="183"/>
      <c r="AA2621" s="185"/>
      <c r="AB2621" s="185"/>
      <c r="AC2621" s="185"/>
      <c r="AD2621" s="649"/>
      <c r="AE2621" s="182"/>
      <c r="AF2621" s="332"/>
      <c r="AG2621" s="182"/>
      <c r="AH2621" s="182"/>
      <c r="AI2621" s="182"/>
      <c r="AJ2621" s="640"/>
      <c r="AK2621" s="182"/>
      <c r="AL2621" s="496">
        <f t="shared" si="921"/>
        <v>0</v>
      </c>
      <c r="AM2621" s="496">
        <f t="shared" si="917"/>
        <v>0</v>
      </c>
      <c r="AN2621" s="626"/>
      <c r="AO2621" s="182"/>
      <c r="AP2621" s="182"/>
      <c r="AQ2621" s="332" t="str">
        <f>UPPER(RIGHT(Journal_Live[[#This Row],[DURATION ]]))</f>
        <v/>
      </c>
      <c r="AR2621" s="182"/>
      <c r="AS2621" s="189"/>
      <c r="AT2621" s="189">
        <f t="shared" si="918"/>
        <v>0</v>
      </c>
      <c r="AU2621" s="187">
        <f t="shared" si="919"/>
        <v>0</v>
      </c>
      <c r="AV2621" s="190">
        <f t="shared" si="922"/>
        <v>0</v>
      </c>
      <c r="AW2621" s="191"/>
      <c r="AX2621" s="551"/>
      <c r="AY2621" s="551"/>
      <c r="AZ2621" s="551"/>
      <c r="BA2621" s="551"/>
      <c r="BB2621" s="551"/>
      <c r="BC2621" s="551"/>
      <c r="BD2621" s="549"/>
      <c r="BE2621" s="550"/>
      <c r="BF2621" s="549"/>
      <c r="BG2621" s="391">
        <f>SUM($AV$2420:AV2621)</f>
        <v>-375.93476668258438</v>
      </c>
      <c r="BH2621" s="392">
        <f>SUM($AU$2420:AU2621)</f>
        <v>-772.79999999989195</v>
      </c>
      <c r="BI2621" s="318">
        <f>SUMIFS($AU$2420:AU2774,$Q$2420:Q2774,"F")</f>
        <v>-143.99999999999949</v>
      </c>
      <c r="BJ2621" s="318">
        <f>SUMIFS($AU$2420:AU2774,$Q$2420:Q2774,"S")</f>
        <v>256.00000000000466</v>
      </c>
      <c r="BK2621" s="343">
        <f>SUMIFS($AU$2420:AU2774,$P$2420:P2774,"W")</f>
        <v>-607.99999999991883</v>
      </c>
      <c r="BL2621" s="343">
        <f>SUMIFS($AU$2420:AU2774,$P$2420:P2774,"R")</f>
        <v>911.99999999999966</v>
      </c>
      <c r="BM2621" s="343">
        <f>SUMIFS($AU$2420:AU2774,$AQ$2420:AQ2774,"M")</f>
        <v>-899.79999999984489</v>
      </c>
      <c r="BN2621" s="343">
        <f>SUMIFS($AU$2420:AU2774,$AQ$2420:AQ2774,"H")</f>
        <v>1762.9999999999427</v>
      </c>
      <c r="BO2621" s="343">
        <f>SUMIFS($AU$2420:AU2774,$AQ$2420:AQ2774,"D")</f>
        <v>-767.99999999998977</v>
      </c>
      <c r="BP2621" s="343">
        <f>SUMIFS($AS$2420:AS2862,$AO$2420:AO2862,"W")</f>
        <v>0</v>
      </c>
      <c r="BQ2621" s="343">
        <f>SUMIFS($AU$2420:AU2774,$Q$2420:Q2774,"O")</f>
        <v>-884.7999999998965</v>
      </c>
      <c r="BR2621" s="343">
        <f>SUMIFS($AU$2420:AU2774,$AA$2420:AA2774,"*")</f>
        <v>-512.79999999998074</v>
      </c>
      <c r="BS2621" s="343">
        <f>SUMIFS($AU$2420:AU2774,$AB$2420:AB2774,"*")</f>
        <v>-451.99999999997726</v>
      </c>
      <c r="BT2621" s="343">
        <f>SUMIFS($AU$2420:AU2774,$AC$2420:AC2774,"*")</f>
        <v>-143.99999999999909</v>
      </c>
      <c r="BU2621" s="343">
        <f>SUMIFS($AU$2420:AU2774,$AA$2420:AA2774,"*",$AB$2420:AB2774,"*")</f>
        <v>95.999999999933891</v>
      </c>
      <c r="BV2621" s="343">
        <f>SUMIFS($AU$2420:AU2774,$AA$2420:AA2774,"*",$AC$2420:AC2774,"*")</f>
        <v>-591.99999999999977</v>
      </c>
      <c r="BW2621" s="343">
        <f>SUMIFS($AU$2420:AU2774,$AB$2420:AB2774,"*",$AC$2420:AC2774,"*")</f>
        <v>-143.99999999999966</v>
      </c>
      <c r="BX2621" s="343">
        <f>SUMIFS($AV$2420:AV2774,$Q$2420:Q2774,"F")</f>
        <v>18.153846153846242</v>
      </c>
      <c r="BY2621" s="343">
        <f>SUMIFS($AV$2420:AV2774,$Q$2420:Q2774,"S")</f>
        <v>64.044720496894826</v>
      </c>
      <c r="BZ2621" s="343">
        <f>SUMIFS($AV$2420:AV2774,$Q$2420:Q2774,"O")</f>
        <v>-458.13333333332537</v>
      </c>
    </row>
    <row r="2622" spans="1:78" ht="15.75" customHeight="1">
      <c r="A2622" s="177" t="s">
        <v>7963</v>
      </c>
      <c r="B2622" s="200"/>
      <c r="C2622" s="178"/>
      <c r="D2622" s="178"/>
      <c r="E2622" s="227"/>
      <c r="F2622" s="180"/>
      <c r="G2622" s="181"/>
      <c r="H2622" s="182"/>
      <c r="I2622" s="182"/>
      <c r="J2622" s="182"/>
      <c r="K2622" s="183"/>
      <c r="L2622" s="182"/>
      <c r="M2622" s="182"/>
      <c r="N2622" s="182"/>
      <c r="O2622" s="183"/>
      <c r="P2622" s="183"/>
      <c r="Q2622" s="183"/>
      <c r="R2622" s="183"/>
      <c r="S2622" s="183"/>
      <c r="T2622" s="183"/>
      <c r="U2622" s="183"/>
      <c r="V2622" s="183"/>
      <c r="W2622" s="183"/>
      <c r="X2622" s="183"/>
      <c r="Y2622" s="183"/>
      <c r="Z2622" s="183"/>
      <c r="AA2622" s="185"/>
      <c r="AB2622" s="185"/>
      <c r="AC2622" s="185"/>
      <c r="AD2622" s="649"/>
      <c r="AE2622" s="182"/>
      <c r="AF2622" s="332"/>
      <c r="AG2622" s="182"/>
      <c r="AH2622" s="182"/>
      <c r="AI2622" s="182"/>
      <c r="AJ2622" s="640"/>
      <c r="AK2622" s="182"/>
      <c r="AL2622" s="496">
        <f t="shared" si="921"/>
        <v>0</v>
      </c>
      <c r="AM2622" s="496">
        <f t="shared" si="917"/>
        <v>0</v>
      </c>
      <c r="AN2622" s="626"/>
      <c r="AO2622" s="182"/>
      <c r="AP2622" s="182"/>
      <c r="AQ2622" s="332" t="str">
        <f>UPPER(RIGHT(Journal_Live[[#This Row],[DURATION ]]))</f>
        <v/>
      </c>
      <c r="AR2622" s="182"/>
      <c r="AS2622" s="189"/>
      <c r="AT2622" s="189">
        <f t="shared" si="918"/>
        <v>0</v>
      </c>
      <c r="AU2622" s="187">
        <f t="shared" si="919"/>
        <v>0</v>
      </c>
      <c r="AV2622" s="190">
        <f t="shared" si="922"/>
        <v>0</v>
      </c>
      <c r="AW2622" s="191"/>
      <c r="AX2622" s="551"/>
      <c r="AY2622" s="551"/>
      <c r="AZ2622" s="551"/>
      <c r="BA2622" s="551"/>
      <c r="BB2622" s="551"/>
      <c r="BC2622" s="551"/>
      <c r="BD2622" s="549"/>
      <c r="BE2622" s="550"/>
      <c r="BF2622" s="549"/>
      <c r="BG2622" s="391">
        <f>SUM($AV$2420:AV2622)</f>
        <v>-375.93476668258438</v>
      </c>
      <c r="BH2622" s="392">
        <f>SUM($AU$2420:AU2622)</f>
        <v>-772.79999999989195</v>
      </c>
      <c r="BI2622" s="318">
        <f>SUMIFS($AU$2420:AU2775,$Q$2420:Q2775,"F")</f>
        <v>-143.99999999999949</v>
      </c>
      <c r="BJ2622" s="318">
        <f>SUMIFS($AU$2420:AU2775,$Q$2420:Q2775,"S")</f>
        <v>256.00000000000466</v>
      </c>
      <c r="BK2622" s="343">
        <f>SUMIFS($AU$2420:AU2775,$P$2420:P2775,"W")</f>
        <v>-607.99999999991883</v>
      </c>
      <c r="BL2622" s="343">
        <f>SUMIFS($AU$2420:AU2775,$P$2420:P2775,"R")</f>
        <v>911.99999999999966</v>
      </c>
      <c r="BM2622" s="343">
        <f>SUMIFS($AU$2420:AU2775,$AQ$2420:AQ2775,"M")</f>
        <v>-899.79999999984489</v>
      </c>
      <c r="BN2622" s="343">
        <f>SUMIFS($AU$2420:AU2775,$AQ$2420:AQ2775,"H")</f>
        <v>1762.9999999999427</v>
      </c>
      <c r="BO2622" s="343">
        <f>SUMIFS($AU$2420:AU2775,$AQ$2420:AQ2775,"D")</f>
        <v>-767.99999999998977</v>
      </c>
      <c r="BP2622" s="343">
        <f>SUMIFS($AS$2420:AS2863,$AO$2420:AO2863,"W")</f>
        <v>0</v>
      </c>
      <c r="BQ2622" s="343">
        <f>SUMIFS($AU$2420:AU2775,$Q$2420:Q2775,"O")</f>
        <v>-884.7999999998965</v>
      </c>
      <c r="BR2622" s="343">
        <f>SUMIFS($AU$2420:AU2775,$AA$2420:AA2775,"*")</f>
        <v>-512.79999999998074</v>
      </c>
      <c r="BS2622" s="343">
        <f>SUMIFS($AU$2420:AU2775,$AB$2420:AB2775,"*")</f>
        <v>-451.99999999997726</v>
      </c>
      <c r="BT2622" s="343">
        <f>SUMIFS($AU$2420:AU2775,$AC$2420:AC2775,"*")</f>
        <v>-143.99999999999909</v>
      </c>
      <c r="BU2622" s="343">
        <f>SUMIFS($AU$2420:AU2775,$AA$2420:AA2775,"*",$AB$2420:AB2775,"*")</f>
        <v>95.999999999933891</v>
      </c>
      <c r="BV2622" s="343">
        <f>SUMIFS($AU$2420:AU2775,$AA$2420:AA2775,"*",$AC$2420:AC2775,"*")</f>
        <v>-591.99999999999977</v>
      </c>
      <c r="BW2622" s="343">
        <f>SUMIFS($AU$2420:AU2775,$AB$2420:AB2775,"*",$AC$2420:AC2775,"*")</f>
        <v>-143.99999999999966</v>
      </c>
      <c r="BX2622" s="343">
        <f>SUMIFS($AV$2420:AV2775,$Q$2420:Q2775,"F")</f>
        <v>18.153846153846242</v>
      </c>
      <c r="BY2622" s="343">
        <f>SUMIFS($AV$2420:AV2775,$Q$2420:Q2775,"S")</f>
        <v>64.044720496894826</v>
      </c>
      <c r="BZ2622" s="343">
        <f>SUMIFS($AV$2420:AV2775,$Q$2420:Q2775,"O")</f>
        <v>-458.13333333332537</v>
      </c>
    </row>
    <row r="2623" spans="1:78" ht="15.75" customHeight="1">
      <c r="A2623" s="177" t="s">
        <v>7963</v>
      </c>
      <c r="B2623" s="200"/>
      <c r="C2623" s="178"/>
      <c r="D2623" s="178"/>
      <c r="E2623" s="227"/>
      <c r="F2623" s="180"/>
      <c r="G2623" s="181"/>
      <c r="H2623" s="182"/>
      <c r="I2623" s="182"/>
      <c r="J2623" s="182"/>
      <c r="K2623" s="183"/>
      <c r="L2623" s="182"/>
      <c r="M2623" s="182"/>
      <c r="N2623" s="182"/>
      <c r="O2623" s="183"/>
      <c r="P2623" s="183"/>
      <c r="Q2623" s="183"/>
      <c r="R2623" s="183"/>
      <c r="S2623" s="183"/>
      <c r="T2623" s="183"/>
      <c r="U2623" s="183"/>
      <c r="V2623" s="183"/>
      <c r="W2623" s="183"/>
      <c r="X2623" s="183"/>
      <c r="Y2623" s="183"/>
      <c r="Z2623" s="183"/>
      <c r="AA2623" s="185"/>
      <c r="AB2623" s="185"/>
      <c r="AC2623" s="185"/>
      <c r="AD2623" s="649"/>
      <c r="AE2623" s="182"/>
      <c r="AF2623" s="332"/>
      <c r="AG2623" s="182"/>
      <c r="AH2623" s="182"/>
      <c r="AI2623" s="182"/>
      <c r="AJ2623" s="640"/>
      <c r="AK2623" s="182"/>
      <c r="AL2623" s="496">
        <f t="shared" si="921"/>
        <v>0</v>
      </c>
      <c r="AM2623" s="496">
        <f t="shared" si="917"/>
        <v>0</v>
      </c>
      <c r="AN2623" s="626"/>
      <c r="AO2623" s="182"/>
      <c r="AP2623" s="182"/>
      <c r="AQ2623" s="332" t="str">
        <f>UPPER(RIGHT(Journal_Live[[#This Row],[DURATION ]]))</f>
        <v/>
      </c>
      <c r="AR2623" s="182"/>
      <c r="AS2623" s="189"/>
      <c r="AT2623" s="189">
        <f t="shared" si="918"/>
        <v>0</v>
      </c>
      <c r="AU2623" s="187">
        <f t="shared" si="919"/>
        <v>0</v>
      </c>
      <c r="AV2623" s="190">
        <f t="shared" si="922"/>
        <v>0</v>
      </c>
      <c r="AW2623" s="191"/>
      <c r="AX2623" s="551"/>
      <c r="AY2623" s="551"/>
      <c r="AZ2623" s="551"/>
      <c r="BA2623" s="551"/>
      <c r="BB2623" s="551"/>
      <c r="BC2623" s="551"/>
      <c r="BD2623" s="549"/>
      <c r="BE2623" s="550"/>
      <c r="BF2623" s="549"/>
      <c r="BG2623" s="391">
        <f>SUM($AV$2420:AV2623)</f>
        <v>-375.93476668258438</v>
      </c>
      <c r="BH2623" s="392">
        <f>SUM($AU$2420:AU2623)</f>
        <v>-772.79999999989195</v>
      </c>
      <c r="BI2623" s="318">
        <f>SUMIFS($AU$2420:AU2776,$Q$2420:Q2776,"F")</f>
        <v>-143.99999999999949</v>
      </c>
      <c r="BJ2623" s="318">
        <f>SUMIFS($AU$2420:AU2776,$Q$2420:Q2776,"S")</f>
        <v>256.00000000000466</v>
      </c>
      <c r="BK2623" s="343">
        <f>SUMIFS($AU$2420:AU2776,$P$2420:P2776,"W")</f>
        <v>-607.99999999991883</v>
      </c>
      <c r="BL2623" s="343">
        <f>SUMIFS($AU$2420:AU2776,$P$2420:P2776,"R")</f>
        <v>911.99999999999966</v>
      </c>
      <c r="BM2623" s="343">
        <f>SUMIFS($AU$2420:AU2776,$AQ$2420:AQ2776,"M")</f>
        <v>-899.79999999984489</v>
      </c>
      <c r="BN2623" s="343">
        <f>SUMIFS($AU$2420:AU2776,$AQ$2420:AQ2776,"H")</f>
        <v>1762.9999999999427</v>
      </c>
      <c r="BO2623" s="343">
        <f>SUMIFS($AU$2420:AU2776,$AQ$2420:AQ2776,"D")</f>
        <v>-767.99999999998977</v>
      </c>
      <c r="BP2623" s="343">
        <f>SUMIFS($AS$2420:AS2864,$AO$2420:AO2864,"W")</f>
        <v>0</v>
      </c>
      <c r="BQ2623" s="343">
        <f>SUMIFS($AU$2420:AU2776,$Q$2420:Q2776,"O")</f>
        <v>-884.7999999998965</v>
      </c>
      <c r="BR2623" s="343">
        <f>SUMIFS($AU$2420:AU2776,$AA$2420:AA2776,"*")</f>
        <v>-512.79999999998074</v>
      </c>
      <c r="BS2623" s="343">
        <f>SUMIFS($AU$2420:AU2776,$AB$2420:AB2776,"*")</f>
        <v>-451.99999999997726</v>
      </c>
      <c r="BT2623" s="343">
        <f>SUMIFS($AU$2420:AU2776,$AC$2420:AC2776,"*")</f>
        <v>-143.99999999999909</v>
      </c>
      <c r="BU2623" s="343">
        <f>SUMIFS($AU$2420:AU2776,$AA$2420:AA2776,"*",$AB$2420:AB2776,"*")</f>
        <v>95.999999999933891</v>
      </c>
      <c r="BV2623" s="343">
        <f>SUMIFS($AU$2420:AU2776,$AA$2420:AA2776,"*",$AC$2420:AC2776,"*")</f>
        <v>-591.99999999999977</v>
      </c>
      <c r="BW2623" s="343">
        <f>SUMIFS($AU$2420:AU2776,$AB$2420:AB2776,"*",$AC$2420:AC2776,"*")</f>
        <v>-143.99999999999966</v>
      </c>
      <c r="BX2623" s="343">
        <f>SUMIFS($AV$2420:AV2776,$Q$2420:Q2776,"F")</f>
        <v>18.153846153846242</v>
      </c>
      <c r="BY2623" s="343">
        <f>SUMIFS($AV$2420:AV2776,$Q$2420:Q2776,"S")</f>
        <v>64.044720496894826</v>
      </c>
      <c r="BZ2623" s="343">
        <f>SUMIFS($AV$2420:AV2776,$Q$2420:Q2776,"O")</f>
        <v>-458.13333333332537</v>
      </c>
    </row>
    <row r="2624" spans="1:78" ht="15.75" customHeight="1">
      <c r="A2624" s="177" t="s">
        <v>7963</v>
      </c>
      <c r="B2624" s="200"/>
      <c r="C2624" s="178"/>
      <c r="D2624" s="178"/>
      <c r="E2624" s="227"/>
      <c r="F2624" s="180"/>
      <c r="G2624" s="181"/>
      <c r="H2624" s="182"/>
      <c r="I2624" s="182"/>
      <c r="J2624" s="182"/>
      <c r="K2624" s="183"/>
      <c r="L2624" s="182"/>
      <c r="M2624" s="182"/>
      <c r="N2624" s="182"/>
      <c r="O2624" s="183"/>
      <c r="P2624" s="183"/>
      <c r="Q2624" s="183"/>
      <c r="R2624" s="183"/>
      <c r="S2624" s="183"/>
      <c r="T2624" s="183"/>
      <c r="U2624" s="183"/>
      <c r="V2624" s="183"/>
      <c r="W2624" s="183"/>
      <c r="X2624" s="183"/>
      <c r="Y2624" s="183"/>
      <c r="Z2624" s="183"/>
      <c r="AA2624" s="185"/>
      <c r="AB2624" s="185"/>
      <c r="AC2624" s="185"/>
      <c r="AD2624" s="649"/>
      <c r="AE2624" s="182"/>
      <c r="AF2624" s="332"/>
      <c r="AG2624" s="182"/>
      <c r="AH2624" s="182"/>
      <c r="AI2624" s="182"/>
      <c r="AJ2624" s="640"/>
      <c r="AK2624" s="182"/>
      <c r="AL2624" s="496">
        <f t="shared" si="921"/>
        <v>0</v>
      </c>
      <c r="AM2624" s="496">
        <f t="shared" si="917"/>
        <v>0</v>
      </c>
      <c r="AN2624" s="626"/>
      <c r="AO2624" s="182"/>
      <c r="AP2624" s="182"/>
      <c r="AQ2624" s="332" t="str">
        <f>UPPER(RIGHT(Journal_Live[[#This Row],[DURATION ]]))</f>
        <v/>
      </c>
      <c r="AR2624" s="182"/>
      <c r="AS2624" s="189"/>
      <c r="AT2624" s="189">
        <f t="shared" si="918"/>
        <v>0</v>
      </c>
      <c r="AU2624" s="187">
        <f t="shared" si="919"/>
        <v>0</v>
      </c>
      <c r="AV2624" s="190">
        <f t="shared" si="922"/>
        <v>0</v>
      </c>
      <c r="AW2624" s="191"/>
      <c r="AX2624" s="551"/>
      <c r="AY2624" s="551"/>
      <c r="AZ2624" s="551"/>
      <c r="BA2624" s="551"/>
      <c r="BB2624" s="551"/>
      <c r="BC2624" s="551"/>
      <c r="BD2624" s="549"/>
      <c r="BE2624" s="550"/>
      <c r="BF2624" s="549"/>
      <c r="BG2624" s="391">
        <f>SUM($AV$2420:AV2624)</f>
        <v>-375.93476668258438</v>
      </c>
      <c r="BH2624" s="392">
        <f>SUM($AU$2420:AU2624)</f>
        <v>-772.79999999989195</v>
      </c>
      <c r="BI2624" s="318">
        <f>SUMIFS($AU$2420:AU2777,$Q$2420:Q2777,"F")</f>
        <v>-143.99999999999949</v>
      </c>
      <c r="BJ2624" s="318">
        <f>SUMIFS($AU$2420:AU2777,$Q$2420:Q2777,"S")</f>
        <v>256.00000000000466</v>
      </c>
      <c r="BK2624" s="343">
        <f>SUMIFS($AU$2420:AU2777,$P$2420:P2777,"W")</f>
        <v>-607.99999999991883</v>
      </c>
      <c r="BL2624" s="343">
        <f>SUMIFS($AU$2420:AU2777,$P$2420:P2777,"R")</f>
        <v>911.99999999999966</v>
      </c>
      <c r="BM2624" s="343">
        <f>SUMIFS($AU$2420:AU2777,$AQ$2420:AQ2777,"M")</f>
        <v>-899.79999999984489</v>
      </c>
      <c r="BN2624" s="343">
        <f>SUMIFS($AU$2420:AU2777,$AQ$2420:AQ2777,"H")</f>
        <v>1762.9999999999427</v>
      </c>
      <c r="BO2624" s="343">
        <f>SUMIFS($AU$2420:AU2777,$AQ$2420:AQ2777,"D")</f>
        <v>-767.99999999998977</v>
      </c>
      <c r="BP2624" s="343">
        <f>SUMIFS($AS$2420:AS2865,$AO$2420:AO2865,"W")</f>
        <v>0</v>
      </c>
      <c r="BQ2624" s="343">
        <f>SUMIFS($AU$2420:AU2777,$Q$2420:Q2777,"O")</f>
        <v>-884.7999999998965</v>
      </c>
      <c r="BR2624" s="343">
        <f>SUMIFS($AU$2420:AU2777,$AA$2420:AA2777,"*")</f>
        <v>-512.79999999998074</v>
      </c>
      <c r="BS2624" s="343">
        <f>SUMIFS($AU$2420:AU2777,$AB$2420:AB2777,"*")</f>
        <v>-451.99999999997726</v>
      </c>
      <c r="BT2624" s="343">
        <f>SUMIFS($AU$2420:AU2777,$AC$2420:AC2777,"*")</f>
        <v>-143.99999999999909</v>
      </c>
      <c r="BU2624" s="343">
        <f>SUMIFS($AU$2420:AU2777,$AA$2420:AA2777,"*",$AB$2420:AB2777,"*")</f>
        <v>95.999999999933891</v>
      </c>
      <c r="BV2624" s="343">
        <f>SUMIFS($AU$2420:AU2777,$AA$2420:AA2777,"*",$AC$2420:AC2777,"*")</f>
        <v>-591.99999999999977</v>
      </c>
      <c r="BW2624" s="343">
        <f>SUMIFS($AU$2420:AU2777,$AB$2420:AB2777,"*",$AC$2420:AC2777,"*")</f>
        <v>-143.99999999999966</v>
      </c>
      <c r="BX2624" s="343">
        <f>SUMIFS($AV$2420:AV2777,$Q$2420:Q2777,"F")</f>
        <v>18.153846153846242</v>
      </c>
      <c r="BY2624" s="343">
        <f>SUMIFS($AV$2420:AV2777,$Q$2420:Q2777,"S")</f>
        <v>64.044720496894826</v>
      </c>
      <c r="BZ2624" s="343">
        <f>SUMIFS($AV$2420:AV2777,$Q$2420:Q2777,"O")</f>
        <v>-458.13333333332537</v>
      </c>
    </row>
    <row r="2625" spans="1:78" ht="15.75" customHeight="1">
      <c r="A2625" s="177" t="s">
        <v>7963</v>
      </c>
      <c r="B2625" s="200"/>
      <c r="C2625" s="178"/>
      <c r="D2625" s="178"/>
      <c r="E2625" s="227"/>
      <c r="F2625" s="180"/>
      <c r="G2625" s="181"/>
      <c r="H2625" s="182"/>
      <c r="I2625" s="182"/>
      <c r="J2625" s="182"/>
      <c r="K2625" s="183"/>
      <c r="L2625" s="182"/>
      <c r="M2625" s="182"/>
      <c r="N2625" s="182"/>
      <c r="O2625" s="183"/>
      <c r="P2625" s="183"/>
      <c r="Q2625" s="183"/>
      <c r="R2625" s="183"/>
      <c r="S2625" s="183"/>
      <c r="T2625" s="183"/>
      <c r="U2625" s="183"/>
      <c r="V2625" s="183"/>
      <c r="W2625" s="183"/>
      <c r="X2625" s="183"/>
      <c r="Y2625" s="183"/>
      <c r="Z2625" s="183"/>
      <c r="AA2625" s="185"/>
      <c r="AB2625" s="185"/>
      <c r="AC2625" s="185"/>
      <c r="AD2625" s="649"/>
      <c r="AE2625" s="182"/>
      <c r="AF2625" s="332"/>
      <c r="AG2625" s="182"/>
      <c r="AH2625" s="182"/>
      <c r="AI2625" s="182"/>
      <c r="AJ2625" s="640"/>
      <c r="AK2625" s="182"/>
      <c r="AL2625" s="496">
        <f t="shared" ref="AL2625:AL2627" si="923">-0.02*Z2625</f>
        <v>0</v>
      </c>
      <c r="AM2625" s="496">
        <f t="shared" si="917"/>
        <v>0</v>
      </c>
      <c r="AN2625" s="626"/>
      <c r="AO2625" s="182"/>
      <c r="AP2625" s="182"/>
      <c r="AQ2625" s="332" t="str">
        <f>UPPER(RIGHT(Journal_Live[[#This Row],[DURATION ]]))</f>
        <v/>
      </c>
      <c r="AR2625" s="182"/>
      <c r="AS2625" s="189"/>
      <c r="AT2625" s="189">
        <f t="shared" si="918"/>
        <v>0</v>
      </c>
      <c r="AU2625" s="187">
        <f t="shared" si="919"/>
        <v>0</v>
      </c>
      <c r="AV2625" s="190">
        <f t="shared" ref="AV2625:AV2627" si="924">IF(ISBLANK(AS2625),,(AT2625*Z2625))</f>
        <v>0</v>
      </c>
      <c r="AW2625" s="191"/>
      <c r="AX2625" s="551"/>
      <c r="AY2625" s="551"/>
      <c r="AZ2625" s="551"/>
      <c r="BA2625" s="551"/>
      <c r="BB2625" s="551"/>
      <c r="BC2625" s="551"/>
      <c r="BD2625" s="549"/>
      <c r="BE2625" s="550"/>
      <c r="BF2625" s="549"/>
      <c r="BG2625" s="391">
        <f>SUM($AV$2420:AV2625)</f>
        <v>-375.93476668258438</v>
      </c>
      <c r="BH2625" s="392">
        <f>SUM($AU$2420:AU2625)</f>
        <v>-772.79999999989195</v>
      </c>
      <c r="BI2625" s="318">
        <f>SUMIFS($AU$2420:AU2778,$Q$2420:Q2778,"F")</f>
        <v>-143.99999999999949</v>
      </c>
      <c r="BJ2625" s="318">
        <f>SUMIFS($AU$2420:AU2778,$Q$2420:Q2778,"S")</f>
        <v>256.00000000000466</v>
      </c>
      <c r="BK2625" s="343">
        <f>SUMIFS($AU$2420:AU2778,$P$2420:P2778,"W")</f>
        <v>-607.99999999991883</v>
      </c>
      <c r="BL2625" s="343">
        <f>SUMIFS($AU$2420:AU2778,$P$2420:P2778,"R")</f>
        <v>911.99999999999966</v>
      </c>
      <c r="BM2625" s="343">
        <f>SUMIFS($AU$2420:AU2778,$AQ$2420:AQ2778,"M")</f>
        <v>-899.79999999984489</v>
      </c>
      <c r="BN2625" s="343">
        <f>SUMIFS($AU$2420:AU2778,$AQ$2420:AQ2778,"H")</f>
        <v>1762.9999999999427</v>
      </c>
      <c r="BO2625" s="343">
        <f>SUMIFS($AU$2420:AU2778,$AQ$2420:AQ2778,"D")</f>
        <v>-767.99999999998977</v>
      </c>
      <c r="BP2625" s="343">
        <f>SUMIFS($AS$2420:AS2866,$AO$2420:AO2866,"W")</f>
        <v>0</v>
      </c>
      <c r="BQ2625" s="343">
        <f>SUMIFS($AU$2420:AU2778,$Q$2420:Q2778,"O")</f>
        <v>-884.7999999998965</v>
      </c>
      <c r="BR2625" s="343">
        <f>SUMIFS($AU$2420:AU2778,$AA$2420:AA2778,"*")</f>
        <v>-512.79999999998074</v>
      </c>
      <c r="BS2625" s="343">
        <f>SUMIFS($AU$2420:AU2778,$AB$2420:AB2778,"*")</f>
        <v>-451.99999999997726</v>
      </c>
      <c r="BT2625" s="343">
        <f>SUMIFS($AU$2420:AU2778,$AC$2420:AC2778,"*")</f>
        <v>-143.99999999999909</v>
      </c>
      <c r="BU2625" s="343">
        <f>SUMIFS($AU$2420:AU2778,$AA$2420:AA2778,"*",$AB$2420:AB2778,"*")</f>
        <v>95.999999999933891</v>
      </c>
      <c r="BV2625" s="343">
        <f>SUMIFS($AU$2420:AU2778,$AA$2420:AA2778,"*",$AC$2420:AC2778,"*")</f>
        <v>-591.99999999999977</v>
      </c>
      <c r="BW2625" s="343">
        <f>SUMIFS($AU$2420:AU2778,$AB$2420:AB2778,"*",$AC$2420:AC2778,"*")</f>
        <v>-143.99999999999966</v>
      </c>
      <c r="BX2625" s="343">
        <f>SUMIFS($AV$2420:AV2778,$Q$2420:Q2778,"F")</f>
        <v>18.153846153846242</v>
      </c>
      <c r="BY2625" s="343">
        <f>SUMIFS($AV$2420:AV2778,$Q$2420:Q2778,"S")</f>
        <v>64.044720496894826</v>
      </c>
      <c r="BZ2625" s="343">
        <f>SUMIFS($AV$2420:AV2778,$Q$2420:Q2778,"O")</f>
        <v>-458.13333333332537</v>
      </c>
    </row>
    <row r="2626" spans="1:78" ht="15.75" customHeight="1">
      <c r="A2626" s="177" t="s">
        <v>7963</v>
      </c>
      <c r="B2626" s="200"/>
      <c r="C2626" s="178"/>
      <c r="D2626" s="178"/>
      <c r="E2626" s="227"/>
      <c r="F2626" s="180"/>
      <c r="G2626" s="181"/>
      <c r="H2626" s="182"/>
      <c r="I2626" s="182"/>
      <c r="J2626" s="182"/>
      <c r="K2626" s="183"/>
      <c r="L2626" s="182"/>
      <c r="M2626" s="182"/>
      <c r="N2626" s="182"/>
      <c r="O2626" s="183"/>
      <c r="P2626" s="183"/>
      <c r="Q2626" s="183"/>
      <c r="R2626" s="183"/>
      <c r="S2626" s="183"/>
      <c r="T2626" s="183"/>
      <c r="U2626" s="183"/>
      <c r="V2626" s="183"/>
      <c r="W2626" s="183"/>
      <c r="X2626" s="183"/>
      <c r="Y2626" s="183"/>
      <c r="Z2626" s="183"/>
      <c r="AA2626" s="185"/>
      <c r="AB2626" s="185"/>
      <c r="AC2626" s="185"/>
      <c r="AD2626" s="649"/>
      <c r="AE2626" s="182"/>
      <c r="AF2626" s="332"/>
      <c r="AG2626" s="182"/>
      <c r="AH2626" s="182"/>
      <c r="AI2626" s="182"/>
      <c r="AJ2626" s="640"/>
      <c r="AK2626" s="182"/>
      <c r="AL2626" s="496">
        <f t="shared" si="923"/>
        <v>0</v>
      </c>
      <c r="AM2626" s="496">
        <f t="shared" si="917"/>
        <v>0</v>
      </c>
      <c r="AN2626" s="626"/>
      <c r="AO2626" s="182"/>
      <c r="AP2626" s="182"/>
      <c r="AQ2626" s="332" t="str">
        <f>UPPER(RIGHT(Journal_Live[[#This Row],[DURATION ]]))</f>
        <v/>
      </c>
      <c r="AR2626" s="182"/>
      <c r="AS2626" s="189"/>
      <c r="AT2626" s="189">
        <f t="shared" si="918"/>
        <v>0</v>
      </c>
      <c r="AU2626" s="187">
        <f t="shared" si="919"/>
        <v>0</v>
      </c>
      <c r="AV2626" s="190">
        <f t="shared" si="924"/>
        <v>0</v>
      </c>
      <c r="AW2626" s="191"/>
      <c r="AX2626" s="551"/>
      <c r="AY2626" s="551"/>
      <c r="AZ2626" s="551"/>
      <c r="BA2626" s="551"/>
      <c r="BB2626" s="551"/>
      <c r="BC2626" s="551"/>
      <c r="BD2626" s="549"/>
      <c r="BE2626" s="550"/>
      <c r="BF2626" s="549"/>
      <c r="BG2626" s="391">
        <f>SUM($AV$2420:AV2626)</f>
        <v>-375.93476668258438</v>
      </c>
      <c r="BH2626" s="392">
        <f>SUM($AU$2420:AU2626)</f>
        <v>-772.79999999989195</v>
      </c>
      <c r="BI2626" s="318">
        <f>SUMIFS($AU$2420:AU2779,$Q$2420:Q2779,"F")</f>
        <v>-143.99999999999949</v>
      </c>
      <c r="BJ2626" s="318">
        <f>SUMIFS($AU$2420:AU2779,$Q$2420:Q2779,"S")</f>
        <v>256.00000000000466</v>
      </c>
      <c r="BK2626" s="343">
        <f>SUMIFS($AU$2420:AU2779,$P$2420:P2779,"W")</f>
        <v>-607.99999999991883</v>
      </c>
      <c r="BL2626" s="343">
        <f>SUMIFS($AU$2420:AU2779,$P$2420:P2779,"R")</f>
        <v>911.99999999999966</v>
      </c>
      <c r="BM2626" s="343">
        <f>SUMIFS($AU$2420:AU2779,$AQ$2420:AQ2779,"M")</f>
        <v>-899.79999999984489</v>
      </c>
      <c r="BN2626" s="343">
        <f>SUMIFS($AU$2420:AU2779,$AQ$2420:AQ2779,"H")</f>
        <v>1762.9999999999427</v>
      </c>
      <c r="BO2626" s="343">
        <f>SUMIFS($AU$2420:AU2779,$AQ$2420:AQ2779,"D")</f>
        <v>-767.99999999998977</v>
      </c>
      <c r="BP2626" s="343">
        <f>SUMIFS($AS$2420:AS2867,$AO$2420:AO2867,"W")</f>
        <v>0</v>
      </c>
      <c r="BQ2626" s="343">
        <f>SUMIFS($AU$2420:AU2779,$Q$2420:Q2779,"O")</f>
        <v>-884.7999999998965</v>
      </c>
      <c r="BR2626" s="343">
        <f>SUMIFS($AU$2420:AU2779,$AA$2420:AA2779,"*")</f>
        <v>-512.79999999998074</v>
      </c>
      <c r="BS2626" s="343">
        <f>SUMIFS($AU$2420:AU2779,$AB$2420:AB2779,"*")</f>
        <v>-451.99999999997726</v>
      </c>
      <c r="BT2626" s="343">
        <f>SUMIFS($AU$2420:AU2779,$AC$2420:AC2779,"*")</f>
        <v>-143.99999999999909</v>
      </c>
      <c r="BU2626" s="343">
        <f>SUMIFS($AU$2420:AU2779,$AA$2420:AA2779,"*",$AB$2420:AB2779,"*")</f>
        <v>95.999999999933891</v>
      </c>
      <c r="BV2626" s="343">
        <f>SUMIFS($AU$2420:AU2779,$AA$2420:AA2779,"*",$AC$2420:AC2779,"*")</f>
        <v>-591.99999999999977</v>
      </c>
      <c r="BW2626" s="343">
        <f>SUMIFS($AU$2420:AU2779,$AB$2420:AB2779,"*",$AC$2420:AC2779,"*")</f>
        <v>-143.99999999999966</v>
      </c>
      <c r="BX2626" s="343">
        <f>SUMIFS($AV$2420:AV2779,$Q$2420:Q2779,"F")</f>
        <v>18.153846153846242</v>
      </c>
      <c r="BY2626" s="343">
        <f>SUMIFS($AV$2420:AV2779,$Q$2420:Q2779,"S")</f>
        <v>64.044720496894826</v>
      </c>
      <c r="BZ2626" s="343">
        <f>SUMIFS($AV$2420:AV2779,$Q$2420:Q2779,"O")</f>
        <v>-458.13333333332537</v>
      </c>
    </row>
    <row r="2627" spans="1:78" ht="15.75" customHeight="1">
      <c r="A2627" s="177" t="s">
        <v>7963</v>
      </c>
      <c r="B2627" s="200"/>
      <c r="C2627" s="178"/>
      <c r="D2627" s="178"/>
      <c r="E2627" s="227"/>
      <c r="F2627" s="180"/>
      <c r="G2627" s="181"/>
      <c r="H2627" s="182"/>
      <c r="I2627" s="182"/>
      <c r="J2627" s="182"/>
      <c r="K2627" s="183"/>
      <c r="L2627" s="182"/>
      <c r="M2627" s="182"/>
      <c r="N2627" s="182"/>
      <c r="O2627" s="183"/>
      <c r="P2627" s="183"/>
      <c r="Q2627" s="183"/>
      <c r="R2627" s="183"/>
      <c r="S2627" s="183"/>
      <c r="T2627" s="183"/>
      <c r="U2627" s="183"/>
      <c r="V2627" s="183"/>
      <c r="W2627" s="183"/>
      <c r="X2627" s="183"/>
      <c r="Y2627" s="183"/>
      <c r="Z2627" s="183"/>
      <c r="AA2627" s="185"/>
      <c r="AB2627" s="185"/>
      <c r="AC2627" s="185"/>
      <c r="AD2627" s="649"/>
      <c r="AE2627" s="182"/>
      <c r="AF2627" s="332"/>
      <c r="AG2627" s="182"/>
      <c r="AH2627" s="182"/>
      <c r="AI2627" s="182"/>
      <c r="AJ2627" s="640"/>
      <c r="AK2627" s="182"/>
      <c r="AL2627" s="496">
        <f t="shared" si="923"/>
        <v>0</v>
      </c>
      <c r="AM2627" s="496">
        <f t="shared" si="917"/>
        <v>0</v>
      </c>
      <c r="AN2627" s="626"/>
      <c r="AO2627" s="182"/>
      <c r="AP2627" s="182"/>
      <c r="AQ2627" s="332" t="str">
        <f>UPPER(RIGHT(Journal_Live[[#This Row],[DURATION ]]))</f>
        <v/>
      </c>
      <c r="AR2627" s="182"/>
      <c r="AS2627" s="189"/>
      <c r="AT2627" s="189">
        <f t="shared" si="918"/>
        <v>0</v>
      </c>
      <c r="AU2627" s="187">
        <f t="shared" si="919"/>
        <v>0</v>
      </c>
      <c r="AV2627" s="190">
        <f t="shared" si="924"/>
        <v>0</v>
      </c>
      <c r="AW2627" s="191"/>
      <c r="AX2627" s="551"/>
      <c r="AY2627" s="551"/>
      <c r="AZ2627" s="551"/>
      <c r="BA2627" s="551"/>
      <c r="BB2627" s="551"/>
      <c r="BC2627" s="551"/>
      <c r="BD2627" s="549"/>
      <c r="BE2627" s="550"/>
      <c r="BF2627" s="549"/>
      <c r="BG2627" s="391">
        <f>SUM($AV$2420:AV2627)</f>
        <v>-375.93476668258438</v>
      </c>
      <c r="BH2627" s="392">
        <f>SUM($AU$2420:AU2627)</f>
        <v>-772.79999999989195</v>
      </c>
      <c r="BI2627" s="318">
        <f>SUMIFS($AU$2420:AU2780,$Q$2420:Q2780,"F")</f>
        <v>-143.99999999999949</v>
      </c>
      <c r="BJ2627" s="318">
        <f>SUMIFS($AU$2420:AU2780,$Q$2420:Q2780,"S")</f>
        <v>256.00000000000466</v>
      </c>
      <c r="BK2627" s="343">
        <f>SUMIFS($AU$2420:AU2780,$P$2420:P2780,"W")</f>
        <v>-607.99999999991883</v>
      </c>
      <c r="BL2627" s="343">
        <f>SUMIFS($AU$2420:AU2780,$P$2420:P2780,"R")</f>
        <v>911.99999999999966</v>
      </c>
      <c r="BM2627" s="343">
        <f>SUMIFS($AU$2420:AU2780,$AQ$2420:AQ2780,"M")</f>
        <v>-899.79999999984489</v>
      </c>
      <c r="BN2627" s="343">
        <f>SUMIFS($AU$2420:AU2780,$AQ$2420:AQ2780,"H")</f>
        <v>1762.9999999999427</v>
      </c>
      <c r="BO2627" s="343">
        <f>SUMIFS($AU$2420:AU2780,$AQ$2420:AQ2780,"D")</f>
        <v>-767.99999999998977</v>
      </c>
      <c r="BP2627" s="343">
        <f>SUMIFS($AS$2420:AS2868,$AO$2420:AO2868,"W")</f>
        <v>0</v>
      </c>
      <c r="BQ2627" s="343">
        <f>SUMIFS($AU$2420:AU2780,$Q$2420:Q2780,"O")</f>
        <v>-884.7999999998965</v>
      </c>
      <c r="BR2627" s="343">
        <f>SUMIFS($AU$2420:AU2780,$AA$2420:AA2780,"*")</f>
        <v>-512.79999999998074</v>
      </c>
      <c r="BS2627" s="343">
        <f>SUMIFS($AU$2420:AU2780,$AB$2420:AB2780,"*")</f>
        <v>-451.99999999997726</v>
      </c>
      <c r="BT2627" s="343">
        <f>SUMIFS($AU$2420:AU2780,$AC$2420:AC2780,"*")</f>
        <v>-143.99999999999909</v>
      </c>
      <c r="BU2627" s="343">
        <f>SUMIFS($AU$2420:AU2780,$AA$2420:AA2780,"*",$AB$2420:AB2780,"*")</f>
        <v>95.999999999933891</v>
      </c>
      <c r="BV2627" s="343">
        <f>SUMIFS($AU$2420:AU2780,$AA$2420:AA2780,"*",$AC$2420:AC2780,"*")</f>
        <v>-591.99999999999977</v>
      </c>
      <c r="BW2627" s="343">
        <f>SUMIFS($AU$2420:AU2780,$AB$2420:AB2780,"*",$AC$2420:AC2780,"*")</f>
        <v>-143.99999999999966</v>
      </c>
      <c r="BX2627" s="343">
        <f>SUMIFS($AV$2420:AV2780,$Q$2420:Q2780,"F")</f>
        <v>18.153846153846242</v>
      </c>
      <c r="BY2627" s="343">
        <f>SUMIFS($AV$2420:AV2780,$Q$2420:Q2780,"S")</f>
        <v>64.044720496894826</v>
      </c>
      <c r="BZ2627" s="343">
        <f>SUMIFS($AV$2420:AV2780,$Q$2420:Q2780,"O")</f>
        <v>-458.13333333332537</v>
      </c>
    </row>
    <row r="2628" spans="1:78" ht="15.75" customHeight="1">
      <c r="A2628" s="177" t="s">
        <v>7963</v>
      </c>
      <c r="B2628" s="200"/>
      <c r="C2628" s="178"/>
      <c r="D2628" s="178"/>
      <c r="E2628" s="227"/>
      <c r="F2628" s="180"/>
      <c r="G2628" s="181"/>
      <c r="H2628" s="182"/>
      <c r="I2628" s="182"/>
      <c r="J2628" s="182"/>
      <c r="K2628" s="183"/>
      <c r="L2628" s="182"/>
      <c r="M2628" s="182"/>
      <c r="N2628" s="182"/>
      <c r="O2628" s="183"/>
      <c r="P2628" s="183"/>
      <c r="Q2628" s="183"/>
      <c r="R2628" s="183"/>
      <c r="S2628" s="183"/>
      <c r="T2628" s="183"/>
      <c r="U2628" s="183"/>
      <c r="V2628" s="183"/>
      <c r="W2628" s="183"/>
      <c r="X2628" s="183"/>
      <c r="Y2628" s="183"/>
      <c r="Z2628" s="183"/>
      <c r="AA2628" s="185"/>
      <c r="AB2628" s="185"/>
      <c r="AC2628" s="185"/>
      <c r="AD2628" s="649"/>
      <c r="AE2628" s="182"/>
      <c r="AF2628" s="332"/>
      <c r="AG2628" s="182"/>
      <c r="AH2628" s="182"/>
      <c r="AI2628" s="182"/>
      <c r="AJ2628" s="640"/>
      <c r="AK2628" s="182"/>
      <c r="AL2628" s="496">
        <f t="shared" si="444"/>
        <v>0</v>
      </c>
      <c r="AM2628" s="496">
        <f t="shared" si="917"/>
        <v>0</v>
      </c>
      <c r="AN2628" s="626"/>
      <c r="AO2628" s="182"/>
      <c r="AP2628" s="182"/>
      <c r="AQ2628" s="332" t="str">
        <f>UPPER(RIGHT(Journal_Live[[#This Row],[DURATION ]]))</f>
        <v/>
      </c>
      <c r="AR2628" s="182"/>
      <c r="AS2628" s="189"/>
      <c r="AT2628" s="189">
        <f t="shared" si="918"/>
        <v>0</v>
      </c>
      <c r="AU2628" s="187">
        <f t="shared" si="919"/>
        <v>0</v>
      </c>
      <c r="AV2628" s="190">
        <f t="shared" si="685"/>
        <v>0</v>
      </c>
      <c r="AW2628" s="191"/>
      <c r="AX2628" s="551"/>
      <c r="AY2628" s="551"/>
      <c r="AZ2628" s="551"/>
      <c r="BA2628" s="551"/>
      <c r="BB2628" s="551"/>
      <c r="BC2628" s="551"/>
      <c r="BD2628" s="549"/>
      <c r="BE2628" s="550"/>
      <c r="BF2628" s="549"/>
      <c r="BG2628" s="391">
        <f>SUM($AV$2420:AV2628)</f>
        <v>-375.93476668258438</v>
      </c>
      <c r="BH2628" s="392">
        <f>SUM($AU$2420:AU2628)</f>
        <v>-772.79999999989195</v>
      </c>
      <c r="BI2628" s="318">
        <f>SUMIFS($AU$2420:AU2781,$Q$2420:Q2781,"F")</f>
        <v>-143.99999999999949</v>
      </c>
      <c r="BJ2628" s="318">
        <f>SUMIFS($AU$2420:AU2781,$Q$2420:Q2781,"S")</f>
        <v>256.00000000000466</v>
      </c>
      <c r="BK2628" s="343">
        <f>SUMIFS($AU$2420:AU2781,$P$2420:P2781,"W")</f>
        <v>-607.99999999991883</v>
      </c>
      <c r="BL2628" s="343">
        <f>SUMIFS($AU$2420:AU2781,$P$2420:P2781,"R")</f>
        <v>911.99999999999966</v>
      </c>
      <c r="BM2628" s="343">
        <f>SUMIFS($AU$2420:AU2781,$AQ$2420:AQ2781,"M")</f>
        <v>-899.79999999984489</v>
      </c>
      <c r="BN2628" s="343">
        <f>SUMIFS($AU$2420:AU2781,$AQ$2420:AQ2781,"H")</f>
        <v>1762.9999999999427</v>
      </c>
      <c r="BO2628" s="343">
        <f>SUMIFS($AU$2420:AU2781,$AQ$2420:AQ2781,"D")</f>
        <v>-767.99999999998977</v>
      </c>
      <c r="BP2628" s="343">
        <f>SUMIFS($AS$2420:AS2869,$AO$2420:AO2869,"W")</f>
        <v>0</v>
      </c>
      <c r="BQ2628" s="343">
        <f>SUMIFS($AU$2420:AU2781,$Q$2420:Q2781,"O")</f>
        <v>-884.7999999998965</v>
      </c>
      <c r="BR2628" s="343">
        <f>SUMIFS($AU$2420:AU2781,$AA$2420:AA2781,"*")</f>
        <v>-512.79999999998074</v>
      </c>
      <c r="BS2628" s="343">
        <f>SUMIFS($AU$2420:AU2781,$AB$2420:AB2781,"*")</f>
        <v>-451.99999999997726</v>
      </c>
      <c r="BT2628" s="343">
        <f>SUMIFS($AU$2420:AU2781,$AC$2420:AC2781,"*")</f>
        <v>-143.99999999999909</v>
      </c>
      <c r="BU2628" s="343">
        <f>SUMIFS($AU$2420:AU2781,$AA$2420:AA2781,"*",$AB$2420:AB2781,"*")</f>
        <v>95.999999999933891</v>
      </c>
      <c r="BV2628" s="343">
        <f>SUMIFS($AU$2420:AU2781,$AA$2420:AA2781,"*",$AC$2420:AC2781,"*")</f>
        <v>-591.99999999999977</v>
      </c>
      <c r="BW2628" s="343">
        <f>SUMIFS($AU$2420:AU2781,$AB$2420:AB2781,"*",$AC$2420:AC2781,"*")</f>
        <v>-143.99999999999966</v>
      </c>
      <c r="BX2628" s="343">
        <f>SUMIFS($AV$2420:AV2781,$Q$2420:Q2781,"F")</f>
        <v>18.153846153846242</v>
      </c>
      <c r="BY2628" s="343">
        <f>SUMIFS($AV$2420:AV2781,$Q$2420:Q2781,"S")</f>
        <v>64.044720496894826</v>
      </c>
      <c r="BZ2628" s="343">
        <f>SUMIFS($AV$2420:AV2781,$Q$2420:Q2781,"O")</f>
        <v>-458.13333333332537</v>
      </c>
    </row>
    <row r="2629" spans="1:78" ht="15.75" customHeight="1">
      <c r="A2629" s="177" t="s">
        <v>7963</v>
      </c>
      <c r="B2629" s="200"/>
      <c r="C2629" s="178"/>
      <c r="D2629" s="178"/>
      <c r="E2629" s="227"/>
      <c r="F2629" s="180"/>
      <c r="G2629" s="181"/>
      <c r="H2629" s="182"/>
      <c r="I2629" s="182"/>
      <c r="J2629" s="182"/>
      <c r="K2629" s="183"/>
      <c r="L2629" s="182"/>
      <c r="M2629" s="182"/>
      <c r="N2629" s="182"/>
      <c r="O2629" s="183"/>
      <c r="P2629" s="183"/>
      <c r="Q2629" s="183"/>
      <c r="R2629" s="183"/>
      <c r="S2629" s="183"/>
      <c r="T2629" s="183"/>
      <c r="U2629" s="183"/>
      <c r="V2629" s="183"/>
      <c r="W2629" s="183"/>
      <c r="X2629" s="183"/>
      <c r="Y2629" s="183"/>
      <c r="Z2629" s="183"/>
      <c r="AA2629" s="185"/>
      <c r="AB2629" s="185"/>
      <c r="AC2629" s="185"/>
      <c r="AD2629" s="649"/>
      <c r="AE2629" s="182"/>
      <c r="AF2629" s="332"/>
      <c r="AG2629" s="182"/>
      <c r="AH2629" s="182"/>
      <c r="AI2629" s="182"/>
      <c r="AJ2629" s="640"/>
      <c r="AK2629" s="182"/>
      <c r="AL2629" s="496">
        <f t="shared" ref="AL2629" si="925">-0.02*Z2629</f>
        <v>0</v>
      </c>
      <c r="AM2629" s="496">
        <f t="shared" si="917"/>
        <v>0</v>
      </c>
      <c r="AN2629" s="626"/>
      <c r="AO2629" s="182"/>
      <c r="AP2629" s="182"/>
      <c r="AQ2629" s="332" t="str">
        <f>UPPER(RIGHT(Journal_Live[[#This Row],[DURATION ]]))</f>
        <v/>
      </c>
      <c r="AR2629" s="182"/>
      <c r="AS2629" s="189"/>
      <c r="AT2629" s="189">
        <f t="shared" si="918"/>
        <v>0</v>
      </c>
      <c r="AU2629" s="187">
        <f t="shared" si="919"/>
        <v>0</v>
      </c>
      <c r="AV2629" s="190">
        <f t="shared" ref="AV2629" si="926">IF(ISBLANK(AS2629),,(AT2629*Z2629))</f>
        <v>0</v>
      </c>
      <c r="AW2629" s="191"/>
      <c r="AX2629" s="551"/>
      <c r="AY2629" s="551"/>
      <c r="AZ2629" s="551"/>
      <c r="BA2629" s="551"/>
      <c r="BB2629" s="551"/>
      <c r="BC2629" s="551"/>
      <c r="BD2629" s="549"/>
      <c r="BE2629" s="550"/>
      <c r="BF2629" s="549"/>
      <c r="BG2629" s="391">
        <f>SUM($AV$2420:AV2629)</f>
        <v>-375.93476668258438</v>
      </c>
      <c r="BH2629" s="392">
        <f>SUM($AU$2420:AU2629)</f>
        <v>-772.79999999989195</v>
      </c>
      <c r="BI2629" s="318">
        <f>SUMIFS($AU$2420:AU2782,$Q$2420:Q2782,"F")</f>
        <v>-143.99999999999949</v>
      </c>
      <c r="BJ2629" s="318">
        <f>SUMIFS($AU$2420:AU2782,$Q$2420:Q2782,"S")</f>
        <v>256.00000000000466</v>
      </c>
      <c r="BK2629" s="343">
        <f>SUMIFS($AU$2420:AU2782,$P$2420:P2782,"W")</f>
        <v>-607.99999999991883</v>
      </c>
      <c r="BL2629" s="343">
        <f>SUMIFS($AU$2420:AU2782,$P$2420:P2782,"R")</f>
        <v>911.99999999999966</v>
      </c>
      <c r="BM2629" s="343">
        <f>SUMIFS($AU$2420:AU2782,$AQ$2420:AQ2782,"M")</f>
        <v>-899.79999999984489</v>
      </c>
      <c r="BN2629" s="343">
        <f>SUMIFS($AU$2420:AU2782,$AQ$2420:AQ2782,"H")</f>
        <v>1762.9999999999427</v>
      </c>
      <c r="BO2629" s="343">
        <f>SUMIFS($AU$2420:AU2782,$AQ$2420:AQ2782,"D")</f>
        <v>-767.99999999998977</v>
      </c>
      <c r="BP2629" s="343">
        <f>SUMIFS($AS$2420:AS2870,$AO$2420:AO2870,"W")</f>
        <v>0</v>
      </c>
      <c r="BQ2629" s="343">
        <f>SUMIFS($AU$2420:AU2782,$Q$2420:Q2782,"O")</f>
        <v>-884.7999999998965</v>
      </c>
      <c r="BR2629" s="343">
        <f>SUMIFS($AU$2420:AU2782,$AA$2420:AA2782,"*")</f>
        <v>-512.79999999998074</v>
      </c>
      <c r="BS2629" s="343">
        <f>SUMIFS($AU$2420:AU2782,$AB$2420:AB2782,"*")</f>
        <v>-451.99999999997726</v>
      </c>
      <c r="BT2629" s="343">
        <f>SUMIFS($AU$2420:AU2782,$AC$2420:AC2782,"*")</f>
        <v>-143.99999999999909</v>
      </c>
      <c r="BU2629" s="343">
        <f>SUMIFS($AU$2420:AU2782,$AA$2420:AA2782,"*",$AB$2420:AB2782,"*")</f>
        <v>95.999999999933891</v>
      </c>
      <c r="BV2629" s="343">
        <f>SUMIFS($AU$2420:AU2782,$AA$2420:AA2782,"*",$AC$2420:AC2782,"*")</f>
        <v>-591.99999999999977</v>
      </c>
      <c r="BW2629" s="343">
        <f>SUMIFS($AU$2420:AU2782,$AB$2420:AB2782,"*",$AC$2420:AC2782,"*")</f>
        <v>-143.99999999999966</v>
      </c>
      <c r="BX2629" s="343">
        <f>SUMIFS($AV$2420:AV2782,$Q$2420:Q2782,"F")</f>
        <v>18.153846153846242</v>
      </c>
      <c r="BY2629" s="343">
        <f>SUMIFS($AV$2420:AV2782,$Q$2420:Q2782,"S")</f>
        <v>64.044720496894826</v>
      </c>
      <c r="BZ2629" s="343">
        <f>SUMIFS($AV$2420:AV2782,$Q$2420:Q2782,"O")</f>
        <v>-458.13333333332537</v>
      </c>
    </row>
    <row r="2630" spans="1:78" ht="15.75" customHeight="1">
      <c r="A2630" s="177" t="s">
        <v>7963</v>
      </c>
      <c r="B2630" s="177"/>
      <c r="C2630" s="178"/>
      <c r="D2630" s="178"/>
      <c r="E2630" s="227"/>
      <c r="F2630" s="180"/>
      <c r="G2630" s="181"/>
      <c r="H2630" s="182"/>
      <c r="I2630" s="182"/>
      <c r="J2630" s="182"/>
      <c r="K2630" s="183"/>
      <c r="L2630" s="182"/>
      <c r="M2630" s="182"/>
      <c r="N2630" s="182"/>
      <c r="O2630" s="183"/>
      <c r="P2630" s="183"/>
      <c r="Q2630" s="183"/>
      <c r="R2630" s="183"/>
      <c r="S2630" s="183"/>
      <c r="T2630" s="183"/>
      <c r="U2630" s="183"/>
      <c r="V2630" s="183"/>
      <c r="W2630" s="183"/>
      <c r="X2630" s="183"/>
      <c r="Y2630" s="183"/>
      <c r="Z2630" s="185"/>
      <c r="AA2630" s="185"/>
      <c r="AB2630" s="185"/>
      <c r="AC2630" s="185"/>
      <c r="AD2630" s="649"/>
      <c r="AE2630" s="182"/>
      <c r="AF2630" s="332"/>
      <c r="AG2630" s="182"/>
      <c r="AH2630" s="182"/>
      <c r="AI2630" s="182"/>
      <c r="AJ2630" s="640"/>
      <c r="AK2630" s="182"/>
      <c r="AL2630" s="496">
        <f t="shared" si="444"/>
        <v>0</v>
      </c>
      <c r="AM2630" s="496">
        <f t="shared" si="917"/>
        <v>0</v>
      </c>
      <c r="AN2630" s="626"/>
      <c r="AO2630" s="182"/>
      <c r="AP2630" s="182"/>
      <c r="AQ2630" s="332" t="str">
        <f>UPPER(RIGHT(Journal_Live[[#This Row],[DURATION ]]))</f>
        <v/>
      </c>
      <c r="AR2630" s="182"/>
      <c r="AS2630" s="189"/>
      <c r="AT2630" s="189"/>
      <c r="AU2630" s="187"/>
      <c r="AV2630" s="190"/>
      <c r="AW2630" s="191"/>
      <c r="AX2630" s="551"/>
      <c r="AY2630" s="551"/>
      <c r="AZ2630" s="551"/>
      <c r="BA2630" s="551"/>
      <c r="BB2630" s="551"/>
      <c r="BC2630" s="551"/>
      <c r="BD2630" s="549"/>
      <c r="BE2630" s="550"/>
      <c r="BF2630" s="549"/>
      <c r="BG2630" s="391">
        <f>SUM($AV$2420:AV2630)</f>
        <v>-375.93476668258438</v>
      </c>
      <c r="BH2630" s="392">
        <f>SUM($AU$2420:AU2630)</f>
        <v>-772.79999999989195</v>
      </c>
      <c r="BI2630" s="318">
        <f>SUMIFS($AU$2420:AU2783,$Q$2420:Q2783,"F")</f>
        <v>-143.99999999999949</v>
      </c>
      <c r="BJ2630" s="318">
        <f>SUMIFS($AU$2420:AU2783,$Q$2420:Q2783,"S")</f>
        <v>256.00000000000466</v>
      </c>
      <c r="BK2630" s="343">
        <f>SUMIFS($AU$2420:AU2783,$P$2420:P2783,"W")</f>
        <v>-607.99999999991883</v>
      </c>
      <c r="BL2630" s="343">
        <f>SUMIFS($AU$2420:AU2783,$P$2420:P2783,"R")</f>
        <v>911.99999999999966</v>
      </c>
      <c r="BM2630" s="343">
        <f>SUMIFS($AU$2420:AU2783,$AQ$2420:AQ2783,"M")</f>
        <v>-899.79999999984489</v>
      </c>
      <c r="BN2630" s="343">
        <f>SUMIFS($AU$2420:AU2783,$AQ$2420:AQ2783,"H")</f>
        <v>1762.9999999999427</v>
      </c>
      <c r="BO2630" s="343">
        <f>SUMIFS($AU$2420:AU2783,$AQ$2420:AQ2783,"D")</f>
        <v>-767.99999999998977</v>
      </c>
      <c r="BP2630" s="343">
        <f>SUMIFS($AS$2420:AS2871,$AO$2420:AO2871,"W")</f>
        <v>0</v>
      </c>
      <c r="BQ2630" s="343">
        <f>SUMIFS($AU$2420:AU2783,$Q$2420:Q2783,"O")</f>
        <v>-884.7999999998965</v>
      </c>
      <c r="BR2630" s="343">
        <f>SUMIFS($AU$2420:AU2783,$AA$2420:AA2783,"*")</f>
        <v>-512.79999999998074</v>
      </c>
      <c r="BS2630" s="343">
        <f>SUMIFS($AU$2420:AU2783,$AB$2420:AB2783,"*")</f>
        <v>-451.99999999997726</v>
      </c>
      <c r="BT2630" s="343">
        <f>SUMIFS($AU$2420:AU2783,$AC$2420:AC2783,"*")</f>
        <v>-143.99999999999909</v>
      </c>
      <c r="BU2630" s="343">
        <f>SUMIFS($AU$2420:AU2783,$AA$2420:AA2783,"*",$AB$2420:AB2783,"*")</f>
        <v>95.999999999933891</v>
      </c>
      <c r="BV2630" s="343">
        <f>SUMIFS($AU$2420:AU2783,$AA$2420:AA2783,"*",$AC$2420:AC2783,"*")</f>
        <v>-591.99999999999977</v>
      </c>
      <c r="BW2630" s="343">
        <f>SUMIFS($AU$2420:AU2783,$AB$2420:AB2783,"*",$AC$2420:AC2783,"*")</f>
        <v>-143.99999999999966</v>
      </c>
      <c r="BX2630" s="343">
        <f>SUMIFS($AV$2420:AV2783,$Q$2420:Q2783,"F")</f>
        <v>18.153846153846242</v>
      </c>
      <c r="BY2630" s="343">
        <f>SUMIFS($AV$2420:AV2783,$Q$2420:Q2783,"S")</f>
        <v>64.044720496894826</v>
      </c>
      <c r="BZ2630" s="343">
        <f>SUMIFS($AV$2420:AV2783,$Q$2420:Q2783,"O")</f>
        <v>-458.13333333332537</v>
      </c>
    </row>
    <row r="2631" spans="1:78" ht="15.75" customHeight="1">
      <c r="A2631" s="38"/>
      <c r="B2631" s="38"/>
      <c r="C2631" s="38"/>
      <c r="D2631" s="38"/>
      <c r="E2631" s="39"/>
      <c r="F2631" s="38"/>
      <c r="G2631" s="40"/>
      <c r="H2631" s="38"/>
      <c r="I2631" s="38"/>
      <c r="J2631" s="38"/>
      <c r="K2631" s="40"/>
      <c r="L2631" s="38"/>
      <c r="M2631" s="38"/>
      <c r="N2631" s="38"/>
      <c r="O2631" s="40"/>
      <c r="P2631" s="40"/>
      <c r="Q2631" s="40"/>
      <c r="R2631" s="40"/>
      <c r="S2631" s="40"/>
      <c r="T2631" s="40"/>
      <c r="U2631" s="40"/>
      <c r="V2631" s="40"/>
      <c r="W2631" s="40"/>
      <c r="X2631" s="40"/>
      <c r="Y2631" s="39"/>
      <c r="Z2631" s="39"/>
      <c r="AA2631" s="39"/>
      <c r="AB2631" s="41"/>
      <c r="AC2631" s="38"/>
      <c r="AD2631" s="38"/>
      <c r="AE2631" s="38"/>
      <c r="AF2631" s="38"/>
      <c r="AG2631" s="38"/>
      <c r="AH2631" s="38"/>
      <c r="AI2631" s="38"/>
      <c r="AJ2631" s="38"/>
      <c r="AK2631" s="38"/>
      <c r="AL2631" s="38"/>
      <c r="AM2631" s="38"/>
      <c r="AN2631" s="38"/>
      <c r="AO2631" s="38"/>
      <c r="AP2631" s="38"/>
      <c r="AQ2631" s="42"/>
      <c r="AR2631" s="38"/>
      <c r="AS2631" s="309"/>
      <c r="AT2631" s="320"/>
      <c r="AU2631" s="40"/>
      <c r="AV2631" s="38"/>
      <c r="AW2631" s="38"/>
      <c r="AX2631" s="38"/>
      <c r="AY2631" s="38"/>
      <c r="AZ2631" s="38"/>
      <c r="BA2631" s="38"/>
      <c r="BB2631" s="38"/>
      <c r="BC2631" s="38"/>
      <c r="BD2631" s="38"/>
    </row>
    <row r="2632" spans="1:78" ht="15.75" customHeight="1">
      <c r="A2632" s="38"/>
      <c r="B2632" s="38"/>
      <c r="C2632" s="38"/>
      <c r="D2632" s="38"/>
      <c r="E2632" s="39"/>
      <c r="F2632" s="38"/>
      <c r="G2632" s="40"/>
      <c r="H2632" s="38"/>
      <c r="I2632" s="38"/>
      <c r="J2632" s="38"/>
      <c r="K2632" s="40"/>
      <c r="L2632" s="38"/>
      <c r="M2632" s="38"/>
      <c r="N2632" s="38"/>
      <c r="O2632" s="40"/>
      <c r="P2632" s="40"/>
      <c r="Q2632" s="40"/>
      <c r="R2632" s="40"/>
      <c r="S2632" s="40"/>
      <c r="T2632" s="40"/>
      <c r="U2632" s="39"/>
      <c r="V2632" s="40"/>
      <c r="W2632" s="45"/>
      <c r="X2632" s="45"/>
      <c r="Y2632" s="39"/>
      <c r="Z2632" s="39"/>
      <c r="AA2632" s="39"/>
      <c r="AB2632" s="41"/>
      <c r="AC2632" s="38"/>
      <c r="AD2632" s="38"/>
      <c r="AE2632" s="38"/>
      <c r="AF2632" s="38"/>
      <c r="AG2632" s="38"/>
      <c r="AH2632" s="38"/>
      <c r="AI2632" s="38"/>
      <c r="AJ2632" s="38"/>
      <c r="AK2632" s="38"/>
      <c r="AL2632" s="38"/>
      <c r="AM2632" s="38"/>
      <c r="AN2632" s="38"/>
      <c r="AO2632" s="38"/>
      <c r="AP2632" s="38" t="s">
        <v>804</v>
      </c>
      <c r="AQ2632" s="42"/>
      <c r="AR2632" s="46" t="s">
        <v>7964</v>
      </c>
      <c r="AS2632" s="327"/>
      <c r="AT2632" s="48"/>
      <c r="AU2632" s="40"/>
      <c r="AV2632" s="38"/>
      <c r="AW2632" s="38"/>
      <c r="AX2632" s="38"/>
      <c r="AY2632" s="38"/>
      <c r="AZ2632" s="38"/>
      <c r="BA2632" s="38"/>
      <c r="BB2632" s="38"/>
      <c r="BC2632" s="38"/>
      <c r="BD2632" s="38"/>
    </row>
    <row r="2633" spans="1:78" ht="15.75" customHeight="1">
      <c r="A2633" s="38"/>
      <c r="B2633" s="38"/>
      <c r="C2633" s="38"/>
      <c r="E2633" s="39"/>
      <c r="F2633" s="38"/>
      <c r="G2633" s="40"/>
      <c r="H2633" s="39"/>
      <c r="I2633" s="39"/>
      <c r="J2633" s="39"/>
      <c r="K2633" s="49"/>
      <c r="L2633" s="39"/>
      <c r="M2633" s="39"/>
      <c r="N2633" s="39"/>
      <c r="O2633" s="40"/>
      <c r="P2633" s="302"/>
      <c r="Q2633" s="302"/>
      <c r="R2633" s="302"/>
      <c r="S2633" s="40"/>
      <c r="T2633" s="40"/>
      <c r="U2633" s="39"/>
      <c r="V2633" s="40"/>
      <c r="W2633" s="45"/>
      <c r="X2633" s="45"/>
      <c r="Y2633" s="39"/>
      <c r="Z2633" s="39"/>
      <c r="AA2633" s="39"/>
      <c r="AB2633" s="41"/>
      <c r="AC2633" s="38"/>
      <c r="AD2633" s="38"/>
      <c r="AE2633" s="38"/>
      <c r="AF2633" s="38"/>
      <c r="AG2633" s="38"/>
      <c r="AH2633" s="38"/>
      <c r="AI2633" s="38"/>
      <c r="AL2633" s="50" t="s">
        <v>7965</v>
      </c>
      <c r="AM2633" s="50" t="s">
        <v>7966</v>
      </c>
      <c r="AN2633" s="38"/>
      <c r="AO2633" s="38"/>
      <c r="AP2633" s="38"/>
      <c r="AQ2633" s="42"/>
      <c r="AR2633" s="358"/>
      <c r="AS2633" s="359"/>
      <c r="AT2633" s="44"/>
      <c r="AU2633" s="40"/>
      <c r="AV2633" s="38"/>
      <c r="AW2633" s="38"/>
      <c r="AX2633" s="38"/>
      <c r="AY2633" s="38"/>
      <c r="AZ2633" s="38"/>
      <c r="BA2633" s="38"/>
      <c r="BB2633" s="38"/>
      <c r="BC2633" s="38"/>
      <c r="BD2633" s="38"/>
    </row>
    <row r="2634" spans="1:78" ht="15.75" customHeight="1">
      <c r="A2634" s="38"/>
      <c r="B2634" s="38"/>
      <c r="C2634" s="38"/>
      <c r="E2634" s="39"/>
      <c r="F2634" s="38"/>
      <c r="G2634" s="40"/>
      <c r="H2634" s="39"/>
      <c r="I2634" s="39"/>
      <c r="J2634" s="39"/>
      <c r="K2634" s="49"/>
      <c r="L2634" s="39"/>
      <c r="M2634" s="39"/>
      <c r="N2634" s="39"/>
      <c r="O2634" s="40"/>
      <c r="P2634" s="302"/>
      <c r="Q2634" s="302"/>
      <c r="R2634" s="302"/>
      <c r="S2634" s="40"/>
      <c r="T2634" s="40"/>
      <c r="U2634" s="38"/>
      <c r="V2634" s="40"/>
      <c r="W2634" s="45"/>
      <c r="X2634" s="45"/>
      <c r="Y2634" s="354">
        <f>SUM(AU454,AU438,AU290,AU286,AU251,AU248,AU244,AU235,AU227,)</f>
        <v>859.15000000000009</v>
      </c>
      <c r="Z2634" s="52"/>
      <c r="AA2634" s="52"/>
      <c r="AB2634" s="41"/>
      <c r="AC2634" s="38"/>
      <c r="AD2634" s="38"/>
      <c r="AE2634" s="38"/>
      <c r="AF2634" s="38"/>
      <c r="AG2634" s="38"/>
      <c r="AH2634" s="38"/>
      <c r="AI2634" s="38"/>
      <c r="AL2634" s="53" t="s">
        <v>7967</v>
      </c>
      <c r="AM2634" s="54">
        <f>SUMIFS($AM2125:AM2630,$AW2125:AW2630,"&lt;&gt;W",$AW2125:AW2630,"&lt;&gt;L",$AW2125:AW2630,"&lt;&gt;D")</f>
        <v>0</v>
      </c>
      <c r="AN2634" s="38"/>
      <c r="AO2634" s="38"/>
      <c r="AP2634" s="38"/>
      <c r="AQ2634" s="42"/>
      <c r="AR2634" s="17"/>
      <c r="AS2634" s="55"/>
      <c r="AT2634" s="44"/>
      <c r="AU2634" s="40"/>
      <c r="AV2634" s="38"/>
      <c r="AW2634" s="38"/>
      <c r="AX2634" s="38"/>
      <c r="AY2634" s="38"/>
      <c r="AZ2634" s="38"/>
      <c r="BA2634" s="38"/>
      <c r="BB2634" s="38"/>
      <c r="BC2634" s="38"/>
      <c r="BD2634" s="38"/>
    </row>
    <row r="2635" spans="1:78" ht="15.75" customHeight="1">
      <c r="A2635" s="301"/>
      <c r="B2635" s="301"/>
      <c r="C2635" s="38"/>
      <c r="E2635" s="39"/>
      <c r="F2635" s="38"/>
      <c r="G2635" s="40"/>
      <c r="H2635" s="38"/>
      <c r="I2635" s="38"/>
      <c r="J2635" s="38"/>
      <c r="K2635" s="40"/>
      <c r="L2635" s="38"/>
      <c r="M2635" s="38"/>
      <c r="N2635" s="38"/>
      <c r="O2635" s="40"/>
      <c r="P2635" s="40"/>
      <c r="Q2635" s="40"/>
      <c r="R2635" s="40"/>
      <c r="S2635" s="40"/>
      <c r="T2635" s="40"/>
      <c r="U2635" s="38"/>
      <c r="V2635" s="40"/>
      <c r="W2635" s="45"/>
      <c r="X2635" s="45"/>
      <c r="Y2635" s="56">
        <f>AVERAGE(226,240,245,49,246,132,153)</f>
        <v>184.42857142857142</v>
      </c>
      <c r="Z2635" s="56"/>
      <c r="AA2635" s="56"/>
      <c r="AB2635" s="52"/>
      <c r="AC2635" s="38"/>
      <c r="AD2635" s="38"/>
      <c r="AE2635" s="38"/>
      <c r="AF2635" s="38"/>
      <c r="AG2635" s="38"/>
      <c r="AH2635" s="38"/>
      <c r="AI2635" s="533"/>
      <c r="AL2635" s="317" t="s">
        <v>7968</v>
      </c>
      <c r="AM2635" s="328">
        <v>-230</v>
      </c>
      <c r="AN2635" s="38"/>
      <c r="AO2635" s="38"/>
      <c r="AP2635" s="38"/>
      <c r="AQ2635" s="42"/>
      <c r="AR2635" s="57"/>
      <c r="AS2635" s="47"/>
      <c r="AT2635" s="44"/>
      <c r="AU2635" s="40"/>
      <c r="AV2635" s="38"/>
      <c r="AW2635" s="38"/>
      <c r="AX2635" s="38"/>
      <c r="AY2635" s="38"/>
      <c r="AZ2635" s="38"/>
      <c r="BA2635" s="38"/>
      <c r="BB2635" s="38"/>
      <c r="BC2635" s="38"/>
      <c r="BD2635" s="38"/>
    </row>
    <row r="2636" spans="1:78" ht="15.75" customHeight="1">
      <c r="A2636" s="38"/>
      <c r="B2636" s="38"/>
      <c r="C2636" s="38"/>
      <c r="E2636" s="39"/>
      <c r="F2636" s="38"/>
      <c r="G2636" s="40"/>
      <c r="H2636" s="52"/>
      <c r="I2636" s="52"/>
      <c r="J2636" s="52"/>
      <c r="K2636" s="58"/>
      <c r="L2636" s="52"/>
      <c r="M2636" s="52"/>
      <c r="N2636" s="52"/>
      <c r="O2636" s="40"/>
      <c r="P2636" s="40"/>
      <c r="Q2636" s="40"/>
      <c r="R2636" s="40"/>
      <c r="S2636" s="40"/>
      <c r="T2636" s="40"/>
      <c r="U2636" s="38"/>
      <c r="V2636" s="40"/>
      <c r="W2636" s="45"/>
      <c r="X2636" s="45"/>
      <c r="Y2636" s="56"/>
      <c r="Z2636" s="56"/>
      <c r="AA2636" s="56"/>
      <c r="AB2636" s="41"/>
      <c r="AC2636" s="38"/>
      <c r="AD2636" s="38"/>
      <c r="AE2636" s="38"/>
      <c r="AF2636" s="38"/>
      <c r="AG2636" s="38"/>
      <c r="AH2636" s="38"/>
      <c r="AI2636" s="38"/>
      <c r="AL2636" s="38"/>
      <c r="AM2636" s="38"/>
      <c r="AN2636" s="38"/>
      <c r="AO2636" s="38"/>
      <c r="AQ2636" s="59"/>
      <c r="AS2636" s="59"/>
      <c r="AT2636" s="37" t="s">
        <v>7969</v>
      </c>
      <c r="AU2636" s="37"/>
      <c r="AV2636" s="60">
        <v>45541</v>
      </c>
      <c r="AW2636" s="40"/>
      <c r="AX2636" s="38"/>
      <c r="AY2636" s="38"/>
      <c r="AZ2636" s="38"/>
      <c r="BA2636" s="38"/>
      <c r="BB2636" s="38"/>
      <c r="BC2636" s="38"/>
      <c r="BD2636" s="38"/>
    </row>
    <row r="2637" spans="1:78" ht="15.75" customHeight="1">
      <c r="A2637" s="38"/>
      <c r="B2637" s="38"/>
      <c r="C2637" s="38"/>
      <c r="E2637" s="39"/>
      <c r="F2637" s="38"/>
      <c r="G2637" s="40"/>
      <c r="H2637" s="52"/>
      <c r="I2637" s="52"/>
      <c r="J2637" s="52"/>
      <c r="K2637" s="58"/>
      <c r="L2637" s="52"/>
      <c r="M2637" s="52"/>
      <c r="N2637" s="52"/>
      <c r="O2637" s="40"/>
      <c r="P2637" s="40"/>
      <c r="Q2637" s="40"/>
      <c r="R2637" s="40"/>
      <c r="S2637" s="40"/>
      <c r="T2637" s="40"/>
      <c r="U2637" s="38"/>
      <c r="V2637" s="40"/>
      <c r="W2637" s="45"/>
      <c r="X2637" s="45"/>
      <c r="Y2637" s="56"/>
      <c r="Z2637" s="56"/>
      <c r="AA2637" s="56"/>
      <c r="AB2637" s="41"/>
      <c r="AC2637" s="38"/>
      <c r="AD2637" s="38"/>
      <c r="AE2637" s="38"/>
      <c r="AF2637" s="38"/>
      <c r="AG2637" s="38"/>
      <c r="AH2637" s="38"/>
      <c r="AI2637" s="38"/>
      <c r="AL2637" s="38"/>
      <c r="AM2637" s="38"/>
      <c r="AN2637" s="38"/>
      <c r="AO2637" s="38"/>
      <c r="AQ2637" s="59"/>
      <c r="AS2637" s="59"/>
      <c r="AT2637" s="37" t="s">
        <v>7970</v>
      </c>
      <c r="AU2637" s="591">
        <v>45565</v>
      </c>
      <c r="AV2637" s="592" t="s">
        <v>7971</v>
      </c>
      <c r="AW2637" s="593"/>
      <c r="AX2637" s="594"/>
      <c r="AY2637" s="594"/>
      <c r="AZ2637" s="38"/>
      <c r="BA2637" s="38"/>
      <c r="BB2637" s="38"/>
      <c r="BC2637" s="38"/>
      <c r="BD2637" s="38"/>
    </row>
    <row r="2638" spans="1:78" ht="15.75" customHeight="1">
      <c r="A2638" s="38"/>
      <c r="B2638" s="38"/>
      <c r="C2638" s="38"/>
      <c r="E2638" s="39"/>
      <c r="F2638" s="38"/>
      <c r="G2638" s="40"/>
      <c r="H2638" s="39"/>
      <c r="I2638" s="39"/>
      <c r="J2638" s="39"/>
      <c r="K2638" s="49"/>
      <c r="L2638" s="39"/>
      <c r="M2638" s="39"/>
      <c r="N2638" s="39"/>
      <c r="O2638" s="40"/>
      <c r="P2638" s="49"/>
      <c r="Q2638" s="40"/>
      <c r="R2638" s="40"/>
      <c r="S2638" s="40"/>
      <c r="T2638" s="40"/>
      <c r="U2638" s="38"/>
      <c r="V2638" s="40"/>
      <c r="W2638" s="45"/>
      <c r="X2638" s="45"/>
      <c r="Y2638" s="56"/>
      <c r="Z2638" s="56"/>
      <c r="AA2638" s="56"/>
      <c r="AB2638" s="41"/>
      <c r="AC2638" s="38"/>
      <c r="AD2638" s="38"/>
      <c r="AE2638" s="38"/>
      <c r="AF2638" s="38"/>
      <c r="AG2638" s="38"/>
      <c r="AH2638" s="38"/>
      <c r="AI2638" s="38"/>
      <c r="AL2638" s="317" t="s">
        <v>7972</v>
      </c>
      <c r="AM2638" s="328">
        <f>-0.15*$AM$2635</f>
        <v>34.5</v>
      </c>
      <c r="AN2638" s="38"/>
      <c r="AO2638" s="38"/>
      <c r="AQ2638" s="59"/>
      <c r="AR2638" s="547" t="s">
        <v>7973</v>
      </c>
      <c r="AS2638" s="59"/>
      <c r="AT2638" s="583" t="s">
        <v>7974</v>
      </c>
      <c r="AU2638" s="62">
        <v>0</v>
      </c>
      <c r="AV2638" s="44"/>
      <c r="AW2638" s="40"/>
      <c r="AX2638" s="552" t="s">
        <v>7975</v>
      </c>
      <c r="AY2638" s="38"/>
      <c r="AZ2638" s="38"/>
      <c r="BA2638" s="38"/>
      <c r="BB2638" s="38"/>
      <c r="BC2638" s="38"/>
      <c r="BD2638" s="38"/>
    </row>
    <row r="2639" spans="1:78" ht="15.75" customHeight="1">
      <c r="AL2639" t="s">
        <v>7976</v>
      </c>
      <c r="AM2639" s="486">
        <v>-1100</v>
      </c>
      <c r="AQ2639" s="59"/>
      <c r="AS2639" s="59"/>
      <c r="AT2639" s="6" t="s">
        <v>7977</v>
      </c>
      <c r="AU2639" s="529" cm="1">
        <f t="array" ref="AU2639">SUM(SUMIFS($R2519:$R2630,$AW2519:$AW2630,{"W","L","D"}))*2</f>
        <v>886</v>
      </c>
      <c r="AV2639" s="44"/>
    </row>
    <row r="2640" spans="1:78" ht="15.75" customHeight="1">
      <c r="AL2640" t="s">
        <v>6272</v>
      </c>
      <c r="AM2640" s="300">
        <f>$AM$2634-$AM$2639</f>
        <v>1100</v>
      </c>
      <c r="AQ2640" s="59"/>
      <c r="AS2640" s="59"/>
      <c r="AT2640" s="37" t="s">
        <v>7978</v>
      </c>
      <c r="AU2640" s="530">
        <f>SUM($AU2519:$AU2630)-$AU2639</f>
        <v>-919.79999999986921</v>
      </c>
      <c r="AV2640" s="44"/>
    </row>
    <row r="2641" spans="1:48" ht="15.75" customHeight="1">
      <c r="AQ2641" s="42"/>
      <c r="AS2641" s="59"/>
      <c r="AT2641" s="29" t="s">
        <v>7979</v>
      </c>
      <c r="AU2641" s="64">
        <f>$AU$2640-$AU$2638</f>
        <v>-919.79999999986921</v>
      </c>
      <c r="AV2641" s="44"/>
    </row>
    <row r="2642" spans="1:48" ht="15.75" customHeight="1">
      <c r="A2642" t="s">
        <v>529</v>
      </c>
      <c r="AQ2642" s="42"/>
      <c r="AS2642" s="59"/>
    </row>
    <row r="2643" spans="1:48" ht="15.75" customHeight="1">
      <c r="AJ2643" s="300"/>
      <c r="AQ2643" s="66"/>
      <c r="AS2643" s="66" t="s">
        <v>7980</v>
      </c>
      <c r="AT2643" s="67" t="s">
        <v>7981</v>
      </c>
      <c r="AU2643" s="527">
        <f>AVERAGE($AV1388:$AV2630)</f>
        <v>8.076506382949324</v>
      </c>
      <c r="AV2643" s="69"/>
    </row>
    <row r="2644" spans="1:48" ht="15.75" customHeight="1">
      <c r="A2644" s="337"/>
      <c r="AJ2644" s="300"/>
      <c r="AQ2644" s="66"/>
      <c r="AS2644" s="66"/>
      <c r="AT2644" s="67" t="s">
        <v>7982</v>
      </c>
      <c r="AU2644" s="525">
        <f>SUMIFS($AV1388:$AV2630,$AW1388:$AW2630,"W")/COUNTIFS($AW1388:$AW2630,"W")</f>
        <v>52.619149128337739</v>
      </c>
      <c r="AV2644" s="69"/>
    </row>
    <row r="2645" spans="1:48" ht="15.75" customHeight="1">
      <c r="AQ2645" s="66"/>
      <c r="AS2645" s="66"/>
      <c r="AT2645" s="67" t="s">
        <v>7983</v>
      </c>
      <c r="AU2645" s="526">
        <f>IFERROR(SUMIFS($AV1388:$AV2630,$AW1388:$AW2630,"L")/COUNTIFS($AW1388:$AW2630,"L"),0)</f>
        <v>-50.737945794573733</v>
      </c>
      <c r="AV2645" s="69"/>
    </row>
    <row r="2646" spans="1:48" ht="15.75" customHeight="1">
      <c r="AQ2646" s="42"/>
      <c r="AS2646" s="42"/>
      <c r="AT2646" s="38"/>
      <c r="AU2646" s="275"/>
      <c r="AV2646" s="44"/>
    </row>
    <row r="2647" spans="1:48" ht="15.75" customHeight="1">
      <c r="AQ2647" s="70" t="s">
        <v>7984</v>
      </c>
      <c r="AS2647" s="70" t="s">
        <v>7984</v>
      </c>
      <c r="AT2647" s="51"/>
      <c r="AU2647" s="51"/>
      <c r="AV2647" s="71"/>
    </row>
    <row r="2648" spans="1:48" ht="15.75" customHeight="1">
      <c r="AQ2648" s="70"/>
      <c r="AS2648" s="70"/>
      <c r="AT2648" s="51"/>
      <c r="AU2648" s="51"/>
      <c r="AV2648" s="71"/>
    </row>
    <row r="2649" spans="1:48" ht="15.75" customHeight="1">
      <c r="AQ2649" s="70"/>
      <c r="AS2649" s="70"/>
      <c r="AT2649" s="51"/>
      <c r="AU2649" s="51"/>
      <c r="AV2649" s="71"/>
    </row>
    <row r="2650" spans="1:48" ht="15.75" customHeight="1">
      <c r="AQ2650" s="70"/>
      <c r="AS2650" s="70"/>
      <c r="AT2650" s="51"/>
      <c r="AU2650" s="51"/>
      <c r="AV2650" s="71"/>
    </row>
    <row r="2656" spans="1:48" ht="15.75" customHeight="1">
      <c r="AS2656" s="300"/>
    </row>
  </sheetData>
  <mergeCells count="11">
    <mergeCell ref="BG1:BZ1"/>
    <mergeCell ref="A1:F1"/>
    <mergeCell ref="H1:J1"/>
    <mergeCell ref="L1:N1"/>
    <mergeCell ref="BA1:BC1"/>
    <mergeCell ref="BD1:BF1"/>
    <mergeCell ref="AA1:AC1"/>
    <mergeCell ref="AD1:AO1"/>
    <mergeCell ref="AP1:AW1"/>
    <mergeCell ref="AX1:AZ1"/>
    <mergeCell ref="O1:Z1"/>
  </mergeCells>
  <phoneticPr fontId="61" type="noConversion"/>
  <conditionalFormatting sqref="A4:G2518 A2590:G2630">
    <cfRule type="expression" dxfId="4730" priority="5396">
      <formula>$AW4="D"</formula>
    </cfRule>
  </conditionalFormatting>
  <conditionalFormatting sqref="B1590:F1590">
    <cfRule type="expression" dxfId="4729" priority="7503">
      <formula>$AW1590="W"</formula>
    </cfRule>
    <cfRule type="expression" dxfId="4728" priority="7504">
      <formula>$AW1590="L"</formula>
    </cfRule>
    <cfRule type="expression" dxfId="4727" priority="7505">
      <formula>$AW1590="D"</formula>
    </cfRule>
  </conditionalFormatting>
  <conditionalFormatting sqref="C534:J649 H650:J2518 H2590:J2630">
    <cfRule type="cellIs" dxfId="4726" priority="7983" operator="equal">
      <formula>1</formula>
    </cfRule>
  </conditionalFormatting>
  <conditionalFormatting sqref="C762:J762">
    <cfRule type="cellIs" dxfId="4725" priority="7862" operator="equal">
      <formula>1</formula>
    </cfRule>
  </conditionalFormatting>
  <conditionalFormatting sqref="C873:J873">
    <cfRule type="cellIs" dxfId="4724" priority="7850" operator="equal">
      <formula>1</formula>
    </cfRule>
  </conditionalFormatting>
  <conditionalFormatting sqref="C995:J995">
    <cfRule type="cellIs" dxfId="4723" priority="7840" operator="equal">
      <formula>1</formula>
    </cfRule>
  </conditionalFormatting>
  <conditionalFormatting sqref="C1072:J1072">
    <cfRule type="cellIs" dxfId="4722" priority="7821" operator="equal">
      <formula>1</formula>
    </cfRule>
  </conditionalFormatting>
  <conditionalFormatting sqref="C1196:J1196">
    <cfRule type="cellIs" dxfId="4721" priority="7802" operator="equal">
      <formula>1</formula>
    </cfRule>
  </conditionalFormatting>
  <conditionalFormatting sqref="C1333:J1333">
    <cfRule type="cellIs" dxfId="4720" priority="7778" operator="equal">
      <formula>1</formula>
    </cfRule>
  </conditionalFormatting>
  <conditionalFormatting sqref="C1525:J1525">
    <cfRule type="cellIs" dxfId="4719" priority="7690" operator="equal">
      <formula>1</formula>
    </cfRule>
  </conditionalFormatting>
  <conditionalFormatting sqref="C1645:J1645">
    <cfRule type="cellIs" dxfId="4718" priority="7385" operator="equal">
      <formula>1</formula>
    </cfRule>
  </conditionalFormatting>
  <conditionalFormatting sqref="C1738:J1738">
    <cfRule type="cellIs" dxfId="4717" priority="7360" operator="equal">
      <formula>1</formula>
    </cfRule>
  </conditionalFormatting>
  <conditionalFormatting sqref="C1929:J1929">
    <cfRule type="cellIs" dxfId="4716" priority="7017" operator="equal">
      <formula>1</formula>
    </cfRule>
  </conditionalFormatting>
  <conditionalFormatting sqref="C2124:J2124">
    <cfRule type="cellIs" dxfId="4715" priority="5937" operator="equal">
      <formula>1</formula>
    </cfRule>
  </conditionalFormatting>
  <conditionalFormatting sqref="C2281:J2281">
    <cfRule type="cellIs" dxfId="4714" priority="5896" operator="equal">
      <formula>1</formula>
    </cfRule>
  </conditionalFormatting>
  <conditionalFormatting sqref="C2382:J2382">
    <cfRule type="cellIs" dxfId="4713" priority="5892" operator="equal">
      <formula>1</formula>
    </cfRule>
  </conditionalFormatting>
  <conditionalFormatting sqref="C2479:J2479">
    <cfRule type="cellIs" dxfId="4712" priority="5084" operator="equal">
      <formula>1</formula>
    </cfRule>
  </conditionalFormatting>
  <conditionalFormatting sqref="C2607:J2607">
    <cfRule type="cellIs" dxfId="4711" priority="5076" operator="equal">
      <formula>1</formula>
    </cfRule>
  </conditionalFormatting>
  <conditionalFormatting sqref="D476 D480:E481 H476:J534">
    <cfRule type="cellIs" dxfId="4710" priority="8034" operator="equal">
      <formula>1</formula>
    </cfRule>
  </conditionalFormatting>
  <conditionalFormatting sqref="D2633">
    <cfRule type="expression" dxfId="4709" priority="8051">
      <formula>$AT2633="L"</formula>
    </cfRule>
    <cfRule type="expression" dxfId="4708" priority="8052">
      <formula>$AT2633="W"</formula>
    </cfRule>
  </conditionalFormatting>
  <conditionalFormatting sqref="E91 A91:D93">
    <cfRule type="expression" dxfId="4707" priority="8194">
      <formula>$AV91="L"</formula>
    </cfRule>
    <cfRule type="expression" dxfId="4706" priority="8195">
      <formula>$AV91="W"</formula>
    </cfRule>
  </conditionalFormatting>
  <conditionalFormatting sqref="E446:E447">
    <cfRule type="expression" dxfId="4705" priority="8036">
      <formula>$AW446="W"</formula>
    </cfRule>
    <cfRule type="expression" dxfId="4704" priority="8037">
      <formula>$AW446="L"</formula>
    </cfRule>
    <cfRule type="expression" dxfId="4703" priority="8038">
      <formula>$AW446="D"</formula>
    </cfRule>
  </conditionalFormatting>
  <conditionalFormatting sqref="E478:E479 H648:J648">
    <cfRule type="cellIs" dxfId="4702" priority="8032" operator="equal">
      <formula>1</formula>
    </cfRule>
  </conditionalFormatting>
  <conditionalFormatting sqref="E521:E523">
    <cfRule type="expression" dxfId="4701" priority="7994">
      <formula>$AW521="W"</formula>
    </cfRule>
    <cfRule type="expression" dxfId="4700" priority="7995">
      <formula>$AW521="L"</formula>
    </cfRule>
    <cfRule type="expression" dxfId="4699" priority="7996">
      <formula>$AW521="D"</formula>
    </cfRule>
  </conditionalFormatting>
  <conditionalFormatting sqref="E528:E529">
    <cfRule type="expression" dxfId="4698" priority="7991">
      <formula>$AW528="W"</formula>
    </cfRule>
    <cfRule type="expression" dxfId="4697" priority="7992">
      <formula>$AW528="L"</formula>
    </cfRule>
    <cfRule type="expression" dxfId="4696" priority="7993">
      <formula>$AW528="D"</formula>
    </cfRule>
  </conditionalFormatting>
  <conditionalFormatting sqref="E765:E766">
    <cfRule type="expression" dxfId="4695" priority="7852">
      <formula>$AW765="W"</formula>
    </cfRule>
    <cfRule type="expression" dxfId="4694" priority="7853">
      <formula>$AW765="L"</formula>
    </cfRule>
    <cfRule type="expression" dxfId="4693" priority="7854">
      <formula>$AW765="D"</formula>
    </cfRule>
  </conditionalFormatting>
  <conditionalFormatting sqref="E1064:E1065">
    <cfRule type="expression" dxfId="4692" priority="7822">
      <formula>$AW1064="W"</formula>
    </cfRule>
    <cfRule type="expression" dxfId="4691" priority="7823">
      <formula>$AW1064="L"</formula>
    </cfRule>
    <cfRule type="expression" dxfId="4690" priority="7824">
      <formula>$AW1064="D"</formula>
    </cfRule>
  </conditionalFormatting>
  <conditionalFormatting sqref="E1067">
    <cfRule type="expression" dxfId="4689" priority="7828">
      <formula>$AW1067="W"</formula>
    </cfRule>
    <cfRule type="expression" dxfId="4688" priority="7829">
      <formula>$AW1067="L"</formula>
    </cfRule>
    <cfRule type="expression" dxfId="4687" priority="7830">
      <formula>$AW1067="D"</formula>
    </cfRule>
  </conditionalFormatting>
  <conditionalFormatting sqref="E1185:E1187">
    <cfRule type="expression" dxfId="4686" priority="7806">
      <formula>$AW1185="W"</formula>
    </cfRule>
    <cfRule type="expression" dxfId="4685" priority="7807">
      <formula>$AW1185="L"</formula>
    </cfRule>
    <cfRule type="expression" dxfId="4684" priority="7808">
      <formula>$AW1185="D"</formula>
    </cfRule>
  </conditionalFormatting>
  <conditionalFormatting sqref="E1855:E1856">
    <cfRule type="expression" dxfId="4683" priority="6329">
      <formula>$AW1855="W"</formula>
    </cfRule>
    <cfRule type="expression" dxfId="4682" priority="6330">
      <formula>$AW1855="L"</formula>
    </cfRule>
    <cfRule type="expression" dxfId="4681" priority="6331">
      <formula>$AW1855="D"</formula>
    </cfRule>
  </conditionalFormatting>
  <conditionalFormatting sqref="G476:G477">
    <cfRule type="cellIs" dxfId="4680" priority="8035" operator="equal">
      <formula>1</formula>
    </cfRule>
  </conditionalFormatting>
  <conditionalFormatting sqref="G480:G481">
    <cfRule type="cellIs" dxfId="4679" priority="8030" operator="equal">
      <formula>1</formula>
    </cfRule>
  </conditionalFormatting>
  <conditionalFormatting sqref="H4:J310 C46:G46 C110:G110 C131:G133 C225:G225 C311:J311 H312:J443 C444:J444 H445:J465 C465:J465 C466:D466 F466:J466 C467:J475">
    <cfRule type="cellIs" dxfId="4678" priority="8078" operator="equal">
      <formula>1</formula>
    </cfRule>
  </conditionalFormatting>
  <conditionalFormatting sqref="K4:K2518 K2590:K2630">
    <cfRule type="containsText" dxfId="4677" priority="8053" operator="containsText" text="H">
      <formula>NOT(ISERROR(SEARCH(("H"),(K4))))</formula>
    </cfRule>
    <cfRule type="containsText" dxfId="4676" priority="8054" operator="containsText" text="D">
      <formula>NOT(ISERROR(SEARCH(("D"),(K4))))</formula>
    </cfRule>
  </conditionalFormatting>
  <conditionalFormatting sqref="N1922:R1922">
    <cfRule type="expression" dxfId="4675" priority="6131">
      <formula>$AW1922="D"</formula>
    </cfRule>
    <cfRule type="expression" dxfId="4674" priority="6133">
      <formula>$AW1922="D"</formula>
    </cfRule>
    <cfRule type="expression" dxfId="4673" priority="6139">
      <formula>$AW1922="D"</formula>
    </cfRule>
    <cfRule type="expression" dxfId="4672" priority="6141">
      <formula>$AW1922="D"</formula>
    </cfRule>
  </conditionalFormatting>
  <conditionalFormatting sqref="N2016:R2016">
    <cfRule type="expression" dxfId="4671" priority="5998">
      <formula>$AW2016="D"</formula>
    </cfRule>
    <cfRule type="expression" dxfId="4670" priority="6000">
      <formula>$AW2016="D"</formula>
    </cfRule>
    <cfRule type="expression" dxfId="4669" priority="6005">
      <formula>$AW2016="D"</formula>
    </cfRule>
    <cfRule type="expression" dxfId="4668" priority="6007">
      <formula>$AW2016="D"</formula>
    </cfRule>
  </conditionalFormatting>
  <conditionalFormatting sqref="AX646:BE647 Y1275:Y1280 AZ1646:BD1650 Y2013:Z2014 O2025 Z2369:Z2381 Z2383:Z2397 O2179:O2518 Z2501:Z2518 Y2510:Z2518 O2590:O2630">
    <cfRule type="expression" dxfId="4667" priority="5965">
      <formula>$AW646="D"</formula>
    </cfRule>
  </conditionalFormatting>
  <conditionalFormatting sqref="O1922:P1922">
    <cfRule type="cellIs" dxfId="4666" priority="6135" operator="equal">
      <formula>"F"</formula>
    </cfRule>
    <cfRule type="cellIs" dxfId="4665" priority="6144" operator="equal">
      <formula>"F"</formula>
    </cfRule>
  </conditionalFormatting>
  <conditionalFormatting sqref="O2005:P2005">
    <cfRule type="cellIs" dxfId="4664" priority="6048" operator="equal">
      <formula>"F"</formula>
    </cfRule>
    <cfRule type="cellIs" dxfId="4663" priority="6055" operator="equal">
      <formula>"F"</formula>
    </cfRule>
  </conditionalFormatting>
  <conditionalFormatting sqref="O2016:P2016">
    <cfRule type="cellIs" dxfId="4662" priority="6002" operator="equal">
      <formula>"F"</formula>
    </cfRule>
    <cfRule type="cellIs" dxfId="4661" priority="6009" operator="equal">
      <formula>"F"</formula>
    </cfRule>
  </conditionalFormatting>
  <conditionalFormatting sqref="O2100:P2100">
    <cfRule type="cellIs" dxfId="4660" priority="5853" operator="equal">
      <formula>"F"</formula>
    </cfRule>
    <cfRule type="cellIs" dxfId="4659" priority="5860" operator="equal">
      <formula>"F"</formula>
    </cfRule>
  </conditionalFormatting>
  <conditionalFormatting sqref="O2101:P2101">
    <cfRule type="cellIs" dxfId="4658" priority="5829" operator="equal">
      <formula>"F"</formula>
    </cfRule>
    <cfRule type="cellIs" dxfId="4657" priority="5836" operator="equal">
      <formula>"F"</formula>
    </cfRule>
  </conditionalFormatting>
  <conditionalFormatting sqref="O2109:P2109">
    <cfRule type="cellIs" dxfId="4656" priority="5789" operator="equal">
      <formula>"F"</formula>
    </cfRule>
    <cfRule type="cellIs" dxfId="4655" priority="5796" operator="equal">
      <formula>"F"</formula>
    </cfRule>
  </conditionalFormatting>
  <conditionalFormatting sqref="O2114:P2114">
    <cfRule type="cellIs" dxfId="4654" priority="5737" operator="equal">
      <formula>"F"</formula>
    </cfRule>
    <cfRule type="cellIs" dxfId="4653" priority="5744" operator="equal">
      <formula>"F"</formula>
    </cfRule>
  </conditionalFormatting>
  <conditionalFormatting sqref="O2237:P2237">
    <cfRule type="cellIs" dxfId="4652" priority="5256" operator="equal">
      <formula>"F"</formula>
    </cfRule>
    <cfRule type="cellIs" dxfId="4651" priority="5263" operator="equal">
      <formula>"F"</formula>
    </cfRule>
  </conditionalFormatting>
  <conditionalFormatting sqref="O2245:P2245">
    <cfRule type="cellIs" dxfId="4650" priority="5206" operator="equal">
      <formula>"F"</formula>
    </cfRule>
    <cfRule type="cellIs" dxfId="4649" priority="5213" operator="equal">
      <formula>"F"</formula>
    </cfRule>
  </conditionalFormatting>
  <conditionalFormatting sqref="O2246:P2246">
    <cfRule type="cellIs" dxfId="4648" priority="5182" operator="equal">
      <formula>"F"</formula>
    </cfRule>
    <cfRule type="cellIs" dxfId="4647" priority="5189" operator="equal">
      <formula>"F"</formula>
    </cfRule>
  </conditionalFormatting>
  <conditionalFormatting sqref="O2247:P2247">
    <cfRule type="cellIs" dxfId="4646" priority="5158" operator="equal">
      <formula>"F"</formula>
    </cfRule>
    <cfRule type="cellIs" dxfId="4645" priority="5165" operator="equal">
      <formula>"F"</formula>
    </cfRule>
  </conditionalFormatting>
  <conditionalFormatting sqref="O2253:P2253">
    <cfRule type="cellIs" dxfId="4644" priority="5104" operator="equal">
      <formula>"F"</formula>
    </cfRule>
    <cfRule type="cellIs" dxfId="4643" priority="5111" operator="equal">
      <formula>"F"</formula>
    </cfRule>
  </conditionalFormatting>
  <conditionalFormatting sqref="O2290:P2290">
    <cfRule type="cellIs" dxfId="4642" priority="4952" operator="equal">
      <formula>"F"</formula>
    </cfRule>
    <cfRule type="cellIs" dxfId="4641" priority="4959" operator="equal">
      <formula>"F"</formula>
    </cfRule>
  </conditionalFormatting>
  <conditionalFormatting sqref="O1338:Q1338">
    <cfRule type="expression" dxfId="4640" priority="7773">
      <formula>$AW1338="D"</formula>
    </cfRule>
  </conditionalFormatting>
  <conditionalFormatting sqref="O1348:Q1348">
    <cfRule type="expression" dxfId="4639" priority="7771">
      <formula>$AW1348="D"</formula>
    </cfRule>
  </conditionalFormatting>
  <conditionalFormatting sqref="O1408:Q1408">
    <cfRule type="expression" dxfId="4638" priority="7746">
      <formula>$AW1408="D"</formula>
    </cfRule>
  </conditionalFormatting>
  <conditionalFormatting sqref="O1469:Q1469">
    <cfRule type="expression" dxfId="4637" priority="7671">
      <formula>$AW1469="D"</formula>
    </cfRule>
  </conditionalFormatting>
  <conditionalFormatting sqref="O1486:Q1486">
    <cfRule type="expression" dxfId="4636" priority="7660">
      <formula>$AW1486="D"</formula>
    </cfRule>
  </conditionalFormatting>
  <conditionalFormatting sqref="O1493:Q1493">
    <cfRule type="expression" dxfId="4635" priority="7652">
      <formula>$AW1493="D"</formula>
    </cfRule>
  </conditionalFormatting>
  <conditionalFormatting sqref="O1527:Q1527">
    <cfRule type="expression" dxfId="4634" priority="7629">
      <formula>$AW1527="D"</formula>
    </cfRule>
  </conditionalFormatting>
  <conditionalFormatting sqref="O1544:Q1545">
    <cfRule type="expression" dxfId="4633" priority="7612">
      <formula>$AW1544="D"</formula>
    </cfRule>
  </conditionalFormatting>
  <conditionalFormatting sqref="O1557:Q1557">
    <cfRule type="expression" dxfId="4632" priority="7598">
      <formula>$AW1557="D"</formula>
    </cfRule>
  </conditionalFormatting>
  <conditionalFormatting sqref="O1564:Q1564">
    <cfRule type="expression" dxfId="4631" priority="7571">
      <formula>$AW1564="D"</formula>
    </cfRule>
  </conditionalFormatting>
  <conditionalFormatting sqref="O1578:Q1578">
    <cfRule type="expression" dxfId="4630" priority="7537">
      <formula>$AW1578="D"</formula>
    </cfRule>
  </conditionalFormatting>
  <conditionalFormatting sqref="O1594:R1594">
    <cfRule type="expression" dxfId="4629" priority="7497">
      <formula>$AW1594="D"</formula>
    </cfRule>
  </conditionalFormatting>
  <conditionalFormatting sqref="O1607:R1607">
    <cfRule type="expression" dxfId="4628" priority="7459">
      <formula>$AW1607="D"</formula>
    </cfRule>
  </conditionalFormatting>
  <conditionalFormatting sqref="O1612:R1612">
    <cfRule type="expression" dxfId="4627" priority="7448">
      <formula>$AW1612="D"</formula>
    </cfRule>
  </conditionalFormatting>
  <conditionalFormatting sqref="O1634:R1634">
    <cfRule type="expression" dxfId="4626" priority="7415">
      <formula>$AW1634="D"</formula>
    </cfRule>
  </conditionalFormatting>
  <conditionalFormatting sqref="O1664:R1664">
    <cfRule type="expression" dxfId="4625" priority="7346">
      <formula>$AW1664="D"</formula>
    </cfRule>
  </conditionalFormatting>
  <conditionalFormatting sqref="O1677:R1677">
    <cfRule type="expression" dxfId="4624" priority="7314">
      <formula>$AW1677="D"</formula>
    </cfRule>
    <cfRule type="expression" dxfId="4623" priority="7323">
      <formula>$AW1677="D"</formula>
    </cfRule>
  </conditionalFormatting>
  <conditionalFormatting sqref="O1678:R1678">
    <cfRule type="expression" dxfId="4622" priority="7291">
      <formula>$AW1678="D"</formula>
    </cfRule>
    <cfRule type="expression" dxfId="4621" priority="7296">
      <formula>$AW1678="D"</formula>
    </cfRule>
  </conditionalFormatting>
  <conditionalFormatting sqref="O1688:R1688">
    <cfRule type="expression" dxfId="4620" priority="7255">
      <formula>$AW1688="D"</formula>
    </cfRule>
  </conditionalFormatting>
  <conditionalFormatting sqref="O1688:R1689">
    <cfRule type="expression" dxfId="4619" priority="7245">
      <formula>$AW1688="D"</formula>
    </cfRule>
  </conditionalFormatting>
  <conditionalFormatting sqref="O1689:R1689">
    <cfRule type="expression" dxfId="4618" priority="7240">
      <formula>$AW1689="D"</formula>
    </cfRule>
  </conditionalFormatting>
  <conditionalFormatting sqref="O1697:R1697">
    <cfRule type="expression" dxfId="4617" priority="7202">
      <formula>$AW1697="D"</formula>
    </cfRule>
    <cfRule type="expression" dxfId="4616" priority="7210">
      <formula>$AW1697="D"</formula>
    </cfRule>
  </conditionalFormatting>
  <conditionalFormatting sqref="O1704:R1704">
    <cfRule type="expression" dxfId="4615" priority="7170">
      <formula>$AW1704="D"</formula>
    </cfRule>
    <cfRule type="expression" dxfId="4614" priority="7175">
      <formula>$AW1704="D"</formula>
    </cfRule>
  </conditionalFormatting>
  <conditionalFormatting sqref="O1708:R1708">
    <cfRule type="expression" dxfId="4613" priority="7154">
      <formula>$AW1708="D"</formula>
    </cfRule>
  </conditionalFormatting>
  <conditionalFormatting sqref="O1708:R1709">
    <cfRule type="expression" dxfId="4612" priority="7143">
      <formula>$AW1708="D"</formula>
    </cfRule>
  </conditionalFormatting>
  <conditionalFormatting sqref="O1709:R1709">
    <cfRule type="expression" dxfId="4611" priority="7138">
      <formula>$AW1709="D"</formula>
    </cfRule>
  </conditionalFormatting>
  <conditionalFormatting sqref="O1721:R1721">
    <cfRule type="expression" dxfId="4610" priority="7083">
      <formula>$AW1721="D"</formula>
    </cfRule>
    <cfRule type="expression" dxfId="4609" priority="7088">
      <formula>$AW1721="D"</formula>
    </cfRule>
  </conditionalFormatting>
  <conditionalFormatting sqref="O1723:R1723">
    <cfRule type="expression" dxfId="4608" priority="7055">
      <formula>$AW1723="D"</formula>
    </cfRule>
    <cfRule type="expression" dxfId="4607" priority="7060">
      <formula>$AW1723="D"</formula>
    </cfRule>
  </conditionalFormatting>
  <conditionalFormatting sqref="O1749:R1749">
    <cfRule type="expression" dxfId="4606" priority="6988">
      <formula>$AW1749="D"</formula>
    </cfRule>
    <cfRule type="expression" dxfId="4605" priority="6991">
      <formula>$AW1749="D"</formula>
    </cfRule>
  </conditionalFormatting>
  <conditionalFormatting sqref="O1751:R1751">
    <cfRule type="expression" dxfId="4604" priority="6963">
      <formula>$AW1751="D"</formula>
    </cfRule>
    <cfRule type="expression" dxfId="4603" priority="6972">
      <formula>$AW1751="D"</formula>
    </cfRule>
  </conditionalFormatting>
  <conditionalFormatting sqref="O1758:R1758">
    <cfRule type="expression" dxfId="4602" priority="6934">
      <formula>$AW1758="D"</formula>
    </cfRule>
    <cfRule type="expression" dxfId="4601" priority="6937">
      <formula>$AW1758="D"</formula>
    </cfRule>
  </conditionalFormatting>
  <conditionalFormatting sqref="O1764:R1764">
    <cfRule type="expression" dxfId="4600" priority="6913">
      <formula>$AW1764="D"</formula>
    </cfRule>
    <cfRule type="expression" dxfId="4599" priority="6918">
      <formula>$AW1764="D"</formula>
    </cfRule>
  </conditionalFormatting>
  <conditionalFormatting sqref="O1767:R1767">
    <cfRule type="expression" dxfId="4598" priority="6888">
      <formula>$AW1767="D"</formula>
    </cfRule>
    <cfRule type="expression" dxfId="4597" priority="6891">
      <formula>$AW1767="D"</formula>
    </cfRule>
  </conditionalFormatting>
  <conditionalFormatting sqref="O1771:R1771">
    <cfRule type="expression" dxfId="4596" priority="6868">
      <formula>$AW1771="D"</formula>
    </cfRule>
  </conditionalFormatting>
  <conditionalFormatting sqref="O1771:R1772">
    <cfRule type="expression" dxfId="4595" priority="6839">
      <formula>$AW1771="D"</formula>
    </cfRule>
  </conditionalFormatting>
  <conditionalFormatting sqref="O1772:R1772">
    <cfRule type="expression" dxfId="4594" priority="6836">
      <formula>$AW1772="D"</formula>
    </cfRule>
  </conditionalFormatting>
  <conditionalFormatting sqref="O1774:R1774">
    <cfRule type="expression" dxfId="4593" priority="6806">
      <formula>$AW1774="D"</formula>
    </cfRule>
    <cfRule type="expression" dxfId="4592" priority="6809">
      <formula>$AW1774="D"</formula>
    </cfRule>
  </conditionalFormatting>
  <conditionalFormatting sqref="O1778:R1778">
    <cfRule type="expression" dxfId="4591" priority="6776">
      <formula>$AW1778="D"</formula>
    </cfRule>
    <cfRule type="expression" dxfId="4590" priority="6779">
      <formula>$AW1778="D"</formula>
    </cfRule>
  </conditionalFormatting>
  <conditionalFormatting sqref="O1784:R1784">
    <cfRule type="expression" dxfId="4589" priority="6753">
      <formula>$AW1784="D"</formula>
    </cfRule>
  </conditionalFormatting>
  <conditionalFormatting sqref="O1784:R1785">
    <cfRule type="expression" dxfId="4588" priority="6739">
      <formula>$AW1784="D"</formula>
    </cfRule>
  </conditionalFormatting>
  <conditionalFormatting sqref="O1784:R1786">
    <cfRule type="expression" dxfId="4587" priority="6629">
      <formula>$AW1784="D"</formula>
    </cfRule>
    <cfRule type="expression" dxfId="4586" priority="6657">
      <formula>$AW1784="D"</formula>
    </cfRule>
  </conditionalFormatting>
  <conditionalFormatting sqref="O1785:R1785">
    <cfRule type="expression" dxfId="4585" priority="6626">
      <formula>$AW1785="D"</formula>
    </cfRule>
  </conditionalFormatting>
  <conditionalFormatting sqref="O1797:R1797">
    <cfRule type="expression" dxfId="4584" priority="6686">
      <formula>$AW1797="D"</formula>
    </cfRule>
    <cfRule type="expression" dxfId="4583" priority="6689">
      <formula>$AW1797="D"</formula>
    </cfRule>
  </conditionalFormatting>
  <conditionalFormatting sqref="O1809:R1809">
    <cfRule type="expression" dxfId="4582" priority="6569">
      <formula>$AW1809="D"</formula>
    </cfRule>
    <cfRule type="expression" dxfId="4581" priority="6572">
      <formula>$AW1809="D"</formula>
    </cfRule>
    <cfRule type="expression" dxfId="4580" priority="6595">
      <formula>$AW1809="D"</formula>
    </cfRule>
    <cfRule type="expression" dxfId="4579" priority="6598">
      <formula>$AW1809="D"</formula>
    </cfRule>
  </conditionalFormatting>
  <conditionalFormatting sqref="O1812:R1812">
    <cfRule type="expression" dxfId="4578" priority="6515">
      <formula>$AW1812="D"</formula>
    </cfRule>
    <cfRule type="expression" dxfId="4577" priority="6518">
      <formula>$AW1812="D"</formula>
    </cfRule>
    <cfRule type="expression" dxfId="4576" priority="6541">
      <formula>$AW1812="D"</formula>
    </cfRule>
    <cfRule type="expression" dxfId="4575" priority="6544">
      <formula>$AW1812="D"</formula>
    </cfRule>
  </conditionalFormatting>
  <conditionalFormatting sqref="O1815:R1815">
    <cfRule type="expression" dxfId="4574" priority="6461">
      <formula>$AW1815="D"</formula>
    </cfRule>
    <cfRule type="expression" dxfId="4573" priority="6464">
      <formula>$AW1815="D"</formula>
    </cfRule>
    <cfRule type="expression" dxfId="4572" priority="6487">
      <formula>$AW1815="D"</formula>
    </cfRule>
    <cfRule type="expression" dxfId="4571" priority="6490">
      <formula>$AW1815="D"</formula>
    </cfRule>
  </conditionalFormatting>
  <conditionalFormatting sqref="O1822:R1822">
    <cfRule type="expression" dxfId="4570" priority="6436">
      <formula>$AW1822="D"</formula>
    </cfRule>
    <cfRule type="expression" dxfId="4569" priority="6441">
      <formula>$AW1822="D"</formula>
    </cfRule>
  </conditionalFormatting>
  <conditionalFormatting sqref="O1832:R1832">
    <cfRule type="expression" dxfId="4568" priority="6385">
      <formula>$AW1832="D"</formula>
    </cfRule>
    <cfRule type="expression" dxfId="4567" priority="6388">
      <formula>$AW1832="D"</formula>
    </cfRule>
    <cfRule type="expression" dxfId="4566" priority="6411">
      <formula>$AW1832="D"</formula>
    </cfRule>
    <cfRule type="expression" dxfId="4565" priority="6414">
      <formula>$AW1832="D"</formula>
    </cfRule>
  </conditionalFormatting>
  <conditionalFormatting sqref="O1842:R1842">
    <cfRule type="expression" dxfId="4564" priority="6360">
      <formula>$AW1842="D"</formula>
    </cfRule>
    <cfRule type="expression" dxfId="4563" priority="6367">
      <formula>$AW1842="D"</formula>
    </cfRule>
  </conditionalFormatting>
  <conditionalFormatting sqref="O1849:R1849">
    <cfRule type="expression" dxfId="4562" priority="6347">
      <formula>$AW1849="D"</formula>
    </cfRule>
    <cfRule type="expression" dxfId="4561" priority="6352">
      <formula>$AW1849="D"</formula>
    </cfRule>
  </conditionalFormatting>
  <conditionalFormatting sqref="O1856:R1856">
    <cfRule type="expression" dxfId="4560" priority="6319">
      <formula>$AW1856="D"</formula>
    </cfRule>
    <cfRule type="expression" dxfId="4559" priority="6323">
      <formula>$AW1856="D"</formula>
    </cfRule>
  </conditionalFormatting>
  <conditionalFormatting sqref="O1875:R1875">
    <cfRule type="expression" dxfId="4558" priority="6278">
      <formula>$AW1875="D"</formula>
    </cfRule>
    <cfRule type="expression" dxfId="4557" priority="6282">
      <formula>$AW1875="D"</formula>
    </cfRule>
  </conditionalFormatting>
  <conditionalFormatting sqref="O1882:R1882">
    <cfRule type="expression" dxfId="4556" priority="6246">
      <formula>$AW1882="D"</formula>
    </cfRule>
    <cfRule type="expression" dxfId="4555" priority="6248">
      <formula>$AW1882="D"</formula>
    </cfRule>
    <cfRule type="expression" dxfId="4554" priority="6256">
      <formula>$AW1882="D"</formula>
    </cfRule>
    <cfRule type="expression" dxfId="4553" priority="6258">
      <formula>$AW1882="D"</formula>
    </cfRule>
  </conditionalFormatting>
  <conditionalFormatting sqref="O1886:R1886">
    <cfRule type="expression" dxfId="4552" priority="6222">
      <formula>$AW1886="D"</formula>
    </cfRule>
    <cfRule type="expression" dxfId="4551" priority="6224">
      <formula>$AW1886="D"</formula>
    </cfRule>
    <cfRule type="expression" dxfId="4550" priority="6230">
      <formula>$AW1886="D"</formula>
    </cfRule>
    <cfRule type="expression" dxfId="4549" priority="6232">
      <formula>$AW1886="D"</formula>
    </cfRule>
  </conditionalFormatting>
  <conditionalFormatting sqref="O1897:R1897">
    <cfRule type="expression" dxfId="4548" priority="6194">
      <formula>$AW1897="D"</formula>
    </cfRule>
    <cfRule type="expression" dxfId="4547" priority="6200">
      <formula>$AW1897="D"</formula>
    </cfRule>
    <cfRule type="expression" dxfId="4546" priority="6202">
      <formula>$AW1897="D"</formula>
    </cfRule>
  </conditionalFormatting>
  <conditionalFormatting sqref="O1897:R1898">
    <cfRule type="expression" dxfId="4545" priority="6185">
      <formula>$AW1897="D"</formula>
    </cfRule>
  </conditionalFormatting>
  <conditionalFormatting sqref="O1898:R1898">
    <cfRule type="expression" dxfId="4544" priority="6178">
      <formula>$AW1898="D"</formula>
    </cfRule>
    <cfRule type="expression" dxfId="4543" priority="6180">
      <formula>$AW1898="D"</formula>
    </cfRule>
    <cfRule type="expression" dxfId="4542" priority="6183">
      <formula>$AW1898="D"</formula>
    </cfRule>
  </conditionalFormatting>
  <conditionalFormatting sqref="O1903:R1903">
    <cfRule type="expression" dxfId="4541" priority="6169">
      <formula>$AW1903="D"</formula>
    </cfRule>
    <cfRule type="expression" dxfId="4540" priority="6171">
      <formula>$AW1903="D"</formula>
    </cfRule>
  </conditionalFormatting>
  <conditionalFormatting sqref="O1923:R1923">
    <cfRule type="expression" dxfId="4539" priority="6119">
      <formula>$AW1923="D"</formula>
    </cfRule>
    <cfRule type="expression" dxfId="4538" priority="6121">
      <formula>$AW1923="D"</formula>
    </cfRule>
  </conditionalFormatting>
  <conditionalFormatting sqref="O1938:R1938">
    <cfRule type="expression" dxfId="4537" priority="6110">
      <formula>$AW1938="D"</formula>
    </cfRule>
    <cfRule type="expression" dxfId="4536" priority="6112">
      <formula>$AW1938="D"</formula>
    </cfRule>
  </conditionalFormatting>
  <conditionalFormatting sqref="O1951:R1951">
    <cfRule type="expression" dxfId="4535" priority="6095">
      <formula>$AW1951="D"</formula>
    </cfRule>
    <cfRule type="expression" dxfId="4534" priority="6097">
      <formula>$AW1951="D"</formula>
    </cfRule>
  </conditionalFormatting>
  <conditionalFormatting sqref="O1977:R1977">
    <cfRule type="expression" dxfId="4533" priority="6075">
      <formula>$AW1977="D"</formula>
    </cfRule>
    <cfRule type="expression" dxfId="4532" priority="6077">
      <formula>$AW1977="D"</formula>
    </cfRule>
  </conditionalFormatting>
  <conditionalFormatting sqref="O2005:R2005">
    <cfRule type="expression" dxfId="4531" priority="6044">
      <formula>$AW2005="D"</formula>
    </cfRule>
    <cfRule type="expression" dxfId="4530" priority="6046">
      <formula>$AW2005="D"</formula>
    </cfRule>
    <cfRule type="expression" dxfId="4529" priority="6051">
      <formula>$AW2005="D"</formula>
    </cfRule>
    <cfRule type="expression" dxfId="4528" priority="6053">
      <formula>$AW2005="D"</formula>
    </cfRule>
  </conditionalFormatting>
  <conditionalFormatting sqref="O2029:R2029">
    <cfRule type="expression" dxfId="4527" priority="5958">
      <formula>$AW2029="D"</formula>
    </cfRule>
    <cfRule type="expression" dxfId="4526" priority="5960">
      <formula>$AW2029="D"</formula>
    </cfRule>
  </conditionalFormatting>
  <conditionalFormatting sqref="O2040:R2040">
    <cfRule type="expression" dxfId="4525" priority="5943">
      <formula>$AW2040="D"</formula>
    </cfRule>
    <cfRule type="expression" dxfId="4524" priority="5945">
      <formula>$AW2040="D"</formula>
    </cfRule>
  </conditionalFormatting>
  <conditionalFormatting sqref="O2100:R2100">
    <cfRule type="expression" dxfId="4523" priority="5849">
      <formula>$AW2100="D"</formula>
    </cfRule>
    <cfRule type="expression" dxfId="4522" priority="5851">
      <formula>$AW2100="D"</formula>
    </cfRule>
    <cfRule type="expression" dxfId="4521" priority="5856">
      <formula>$AW2100="D"</formula>
    </cfRule>
    <cfRule type="expression" dxfId="4520" priority="5858">
      <formula>$AW2100="D"</formula>
    </cfRule>
  </conditionalFormatting>
  <conditionalFormatting sqref="O2101:R2101">
    <cfRule type="expression" dxfId="4519" priority="5825">
      <formula>$AW2101="D"</formula>
    </cfRule>
    <cfRule type="expression" dxfId="4518" priority="5827">
      <formula>$AW2101="D"</formula>
    </cfRule>
    <cfRule type="expression" dxfId="4517" priority="5832">
      <formula>$AW2101="D"</formula>
    </cfRule>
    <cfRule type="expression" dxfId="4516" priority="5834">
      <formula>$AW2101="D"</formula>
    </cfRule>
  </conditionalFormatting>
  <conditionalFormatting sqref="O2109:R2109">
    <cfRule type="expression" dxfId="4515" priority="5785">
      <formula>$AW2109="D"</formula>
    </cfRule>
    <cfRule type="expression" dxfId="4514" priority="5787">
      <formula>$AW2109="D"</formula>
    </cfRule>
    <cfRule type="expression" dxfId="4513" priority="5792">
      <formula>$AW2109="D"</formula>
    </cfRule>
    <cfRule type="expression" dxfId="4512" priority="5794">
      <formula>$AW2109="D"</formula>
    </cfRule>
  </conditionalFormatting>
  <conditionalFormatting sqref="O2114:R2114">
    <cfRule type="expression" dxfId="4511" priority="5733">
      <formula>$AW2114="D"</formula>
    </cfRule>
    <cfRule type="expression" dxfId="4510" priority="5735">
      <formula>$AW2114="D"</formula>
    </cfRule>
    <cfRule type="expression" dxfId="4509" priority="5740">
      <formula>$AW2114="D"</formula>
    </cfRule>
    <cfRule type="expression" dxfId="4508" priority="5742">
      <formula>$AW2114="D"</formula>
    </cfRule>
  </conditionalFormatting>
  <conditionalFormatting sqref="O2237:R2237">
    <cfRule type="expression" dxfId="4507" priority="5252">
      <formula>$AW2237="D"</formula>
    </cfRule>
    <cfRule type="expression" dxfId="4506" priority="5254">
      <formula>$AW2237="D"</formula>
    </cfRule>
    <cfRule type="expression" dxfId="4505" priority="5259">
      <formula>$AW2237="D"</formula>
    </cfRule>
    <cfRule type="expression" dxfId="4504" priority="5261">
      <formula>$AW2237="D"</formula>
    </cfRule>
  </conditionalFormatting>
  <conditionalFormatting sqref="O2245:R2245">
    <cfRule type="expression" dxfId="4503" priority="5204">
      <formula>$AW2245="D"</formula>
    </cfRule>
    <cfRule type="expression" dxfId="4502" priority="5209">
      <formula>$AW2245="D"</formula>
    </cfRule>
    <cfRule type="expression" dxfId="4501" priority="5211">
      <formula>$AW2245="D"</formula>
    </cfRule>
  </conditionalFormatting>
  <conditionalFormatting sqref="O2245:R2246">
    <cfRule type="expression" dxfId="4500" priority="5187">
      <formula>$AW2245="D"</formula>
    </cfRule>
  </conditionalFormatting>
  <conditionalFormatting sqref="O2246:R2246">
    <cfRule type="expression" dxfId="4499" priority="5180">
      <formula>$AW2246="D"</formula>
    </cfRule>
    <cfRule type="expression" dxfId="4498" priority="5185">
      <formula>$AW2246="D"</formula>
    </cfRule>
  </conditionalFormatting>
  <conditionalFormatting sqref="O2246:R2247">
    <cfRule type="expression" dxfId="4497" priority="5163">
      <formula>$AW2246="D"</formula>
    </cfRule>
  </conditionalFormatting>
  <conditionalFormatting sqref="O2247:R2247">
    <cfRule type="expression" dxfId="4496" priority="5154">
      <formula>$AW2247="D"</formula>
    </cfRule>
    <cfRule type="expression" dxfId="4495" priority="5156">
      <formula>$AW2247="D"</formula>
    </cfRule>
    <cfRule type="expression" dxfId="4494" priority="5161">
      <formula>$AW2247="D"</formula>
    </cfRule>
  </conditionalFormatting>
  <conditionalFormatting sqref="O2253:R2253">
    <cfRule type="expression" dxfId="4493" priority="5100">
      <formula>$AW2253="D"</formula>
    </cfRule>
    <cfRule type="expression" dxfId="4492" priority="5102">
      <formula>$AW2253="D"</formula>
    </cfRule>
    <cfRule type="expression" dxfId="4491" priority="5107">
      <formula>$AW2253="D"</formula>
    </cfRule>
    <cfRule type="expression" dxfId="4490" priority="5109">
      <formula>$AW2253="D"</formula>
    </cfRule>
  </conditionalFormatting>
  <conditionalFormatting sqref="O2290:R2290">
    <cfRule type="expression" dxfId="4489" priority="4948">
      <formula>$AW2290="D"</formula>
    </cfRule>
    <cfRule type="expression" dxfId="4488" priority="4950">
      <formula>$AW2290="D"</formula>
    </cfRule>
    <cfRule type="expression" dxfId="4487" priority="4955">
      <formula>$AW2290="D"</formula>
    </cfRule>
    <cfRule type="expression" dxfId="4486" priority="4957">
      <formula>$AW2290="D"</formula>
    </cfRule>
  </conditionalFormatting>
  <conditionalFormatting sqref="O2052:S2052">
    <cfRule type="expression" dxfId="4485" priority="5917">
      <formula>$AW2052="D"</formula>
    </cfRule>
    <cfRule type="expression" dxfId="4484" priority="5919">
      <formula>$AW2052="D"</formula>
    </cfRule>
  </conditionalFormatting>
  <conditionalFormatting sqref="O2098:S2098">
    <cfRule type="expression" dxfId="4483" priority="5874">
      <formula>$AW2098="D"</formula>
    </cfRule>
    <cfRule type="expression" dxfId="4482" priority="5876">
      <formula>$AW2098="D"</formula>
    </cfRule>
  </conditionalFormatting>
  <conditionalFormatting sqref="O2110:S2110">
    <cfRule type="expression" dxfId="4481" priority="5774">
      <formula>$AW2110="D"</formula>
    </cfRule>
    <cfRule type="expression" dxfId="4480" priority="5776">
      <formula>$AW2110="D"</formula>
    </cfRule>
  </conditionalFormatting>
  <conditionalFormatting sqref="O2113:S2113">
    <cfRule type="expression" dxfId="4479" priority="5760">
      <formula>$AW2113="D"</formula>
    </cfRule>
    <cfRule type="expression" dxfId="4478" priority="5762">
      <formula>$AW2113="D"</formula>
    </cfRule>
  </conditionalFormatting>
  <conditionalFormatting sqref="O2204:S2204">
    <cfRule type="expression" dxfId="4477" priority="5317">
      <formula>$AW2204="D"</formula>
    </cfRule>
  </conditionalFormatting>
  <conditionalFormatting sqref="P1566:P1567">
    <cfRule type="cellIs" dxfId="4476" priority="7566" operator="equal">
      <formula>"F"</formula>
    </cfRule>
  </conditionalFormatting>
  <conditionalFormatting sqref="P1569:P1570">
    <cfRule type="cellIs" dxfId="4475" priority="7555" operator="equal">
      <formula>"F"</formula>
    </cfRule>
  </conditionalFormatting>
  <conditionalFormatting sqref="P1573">
    <cfRule type="cellIs" dxfId="4474" priority="7543" operator="equal">
      <formula>"F"</formula>
    </cfRule>
  </conditionalFormatting>
  <conditionalFormatting sqref="P1579:P1580">
    <cfRule type="cellIs" dxfId="4473" priority="7533" operator="equal">
      <formula>"F"</formula>
    </cfRule>
  </conditionalFormatting>
  <conditionalFormatting sqref="P1587:P1589">
    <cfRule type="cellIs" dxfId="4472" priority="7519" operator="equal">
      <formula>"F"</formula>
    </cfRule>
  </conditionalFormatting>
  <conditionalFormatting sqref="P1593:P1594">
    <cfRule type="cellIs" dxfId="4471" priority="7490" operator="equal">
      <formula>"F"</formula>
    </cfRule>
  </conditionalFormatting>
  <conditionalFormatting sqref="P1598:P1599">
    <cfRule type="cellIs" dxfId="4470" priority="7476" operator="equal">
      <formula>"F"</formula>
    </cfRule>
  </conditionalFormatting>
  <conditionalFormatting sqref="P1607">
    <cfRule type="cellIs" dxfId="4469" priority="7455" operator="equal">
      <formula>"F"</formula>
    </cfRule>
  </conditionalFormatting>
  <conditionalFormatting sqref="P1612">
    <cfRule type="cellIs" dxfId="4468" priority="7444" operator="equal">
      <formula>"F"</formula>
    </cfRule>
  </conditionalFormatting>
  <conditionalFormatting sqref="P1621">
    <cfRule type="cellIs" dxfId="4467" priority="7434" operator="equal">
      <formula>"F"</formula>
    </cfRule>
  </conditionalFormatting>
  <conditionalFormatting sqref="P1634">
    <cfRule type="cellIs" dxfId="4466" priority="7411" operator="equal">
      <formula>"F"</formula>
    </cfRule>
  </conditionalFormatting>
  <conditionalFormatting sqref="P1636">
    <cfRule type="cellIs" dxfId="4465" priority="7407" operator="equal">
      <formula>"F"</formula>
    </cfRule>
  </conditionalFormatting>
  <conditionalFormatting sqref="P1650">
    <cfRule type="cellIs" dxfId="4464" priority="7372" operator="equal">
      <formula>"F"</formula>
    </cfRule>
  </conditionalFormatting>
  <conditionalFormatting sqref="P1652">
    <cfRule type="cellIs" dxfId="4463" priority="7367" operator="equal">
      <formula>"F"</formula>
    </cfRule>
  </conditionalFormatting>
  <conditionalFormatting sqref="P1664">
    <cfRule type="cellIs" dxfId="4462" priority="7342" operator="equal">
      <formula>"F"</formula>
    </cfRule>
  </conditionalFormatting>
  <conditionalFormatting sqref="P1666:P1667">
    <cfRule type="cellIs" dxfId="4461" priority="7338" operator="equal">
      <formula>"F"</formula>
    </cfRule>
  </conditionalFormatting>
  <conditionalFormatting sqref="P1677:P1678">
    <cfRule type="cellIs" dxfId="4460" priority="7310" operator="equal">
      <formula>"F"</formula>
    </cfRule>
    <cfRule type="cellIs" dxfId="4459" priority="7320" operator="equal">
      <formula>"F"</formula>
    </cfRule>
  </conditionalFormatting>
  <conditionalFormatting sqref="P1688:P1689">
    <cfRule type="cellIs" dxfId="4458" priority="7260" operator="equal">
      <formula>"F"</formula>
    </cfRule>
  </conditionalFormatting>
  <conditionalFormatting sqref="P1697">
    <cfRule type="cellIs" dxfId="4457" priority="7215" operator="equal">
      <formula>"F"</formula>
    </cfRule>
  </conditionalFormatting>
  <conditionalFormatting sqref="P1704">
    <cfRule type="cellIs" dxfId="4456" priority="7180" operator="equal">
      <formula>"F"</formula>
    </cfRule>
  </conditionalFormatting>
  <conditionalFormatting sqref="P1708:P1709">
    <cfRule type="cellIs" dxfId="4455" priority="7159" operator="equal">
      <formula>"F"</formula>
    </cfRule>
  </conditionalFormatting>
  <conditionalFormatting sqref="P1721">
    <cfRule type="cellIs" dxfId="4454" priority="7093" operator="equal">
      <formula>"F"</formula>
    </cfRule>
  </conditionalFormatting>
  <conditionalFormatting sqref="P1723">
    <cfRule type="cellIs" dxfId="4453" priority="7065" operator="equal">
      <formula>"F"</formula>
    </cfRule>
  </conditionalFormatting>
  <conditionalFormatting sqref="P1749">
    <cfRule type="cellIs" dxfId="4452" priority="6996" operator="equal">
      <formula>"F"</formula>
    </cfRule>
  </conditionalFormatting>
  <conditionalFormatting sqref="P1751">
    <cfRule type="cellIs" dxfId="4451" priority="6977" operator="equal">
      <formula>"F"</formula>
    </cfRule>
  </conditionalFormatting>
  <conditionalFormatting sqref="P1758">
    <cfRule type="cellIs" dxfId="4450" priority="6942" operator="equal">
      <formula>"F"</formula>
    </cfRule>
  </conditionalFormatting>
  <conditionalFormatting sqref="P1764">
    <cfRule type="cellIs" dxfId="4449" priority="6923" operator="equal">
      <formula>"F"</formula>
    </cfRule>
  </conditionalFormatting>
  <conditionalFormatting sqref="P1767">
    <cfRule type="cellIs" dxfId="4448" priority="6896" operator="equal">
      <formula>"F"</formula>
    </cfRule>
  </conditionalFormatting>
  <conditionalFormatting sqref="P1771">
    <cfRule type="cellIs" dxfId="4447" priority="6873" operator="equal">
      <formula>"F"</formula>
    </cfRule>
  </conditionalFormatting>
  <conditionalFormatting sqref="P1772">
    <cfRule type="cellIs" dxfId="4446" priority="6844" operator="equal">
      <formula>"F"</formula>
    </cfRule>
  </conditionalFormatting>
  <conditionalFormatting sqref="P1774">
    <cfRule type="cellIs" dxfId="4445" priority="6814" operator="equal">
      <formula>"F"</formula>
    </cfRule>
  </conditionalFormatting>
  <conditionalFormatting sqref="P1778">
    <cfRule type="cellIs" dxfId="4444" priority="6784" operator="equal">
      <formula>"F"</formula>
    </cfRule>
  </conditionalFormatting>
  <conditionalFormatting sqref="P1784">
    <cfRule type="cellIs" dxfId="4443" priority="6662" operator="equal">
      <formula>"F"</formula>
    </cfRule>
  </conditionalFormatting>
  <conditionalFormatting sqref="P1784:P1785">
    <cfRule type="cellIs" dxfId="4442" priority="6758" operator="equal">
      <formula>"F"</formula>
    </cfRule>
  </conditionalFormatting>
  <conditionalFormatting sqref="P1785">
    <cfRule type="cellIs" dxfId="4441" priority="6634" operator="equal">
      <formula>"F"</formula>
    </cfRule>
  </conditionalFormatting>
  <conditionalFormatting sqref="P1786">
    <cfRule type="cellIs" dxfId="4440" priority="6723" operator="equal">
      <formula>"F"</formula>
    </cfRule>
  </conditionalFormatting>
  <conditionalFormatting sqref="P1797">
    <cfRule type="cellIs" dxfId="4439" priority="6694" operator="equal">
      <formula>"F"</formula>
    </cfRule>
  </conditionalFormatting>
  <conditionalFormatting sqref="P1809">
    <cfRule type="cellIs" dxfId="4438" priority="6577" operator="equal">
      <formula>"F"</formula>
    </cfRule>
    <cfRule type="cellIs" dxfId="4437" priority="6608" operator="equal">
      <formula>"F"</formula>
    </cfRule>
  </conditionalFormatting>
  <conditionalFormatting sqref="P1812">
    <cfRule type="cellIs" dxfId="4436" priority="6523" operator="equal">
      <formula>"F"</formula>
    </cfRule>
    <cfRule type="cellIs" dxfId="4435" priority="6554" operator="equal">
      <formula>"F"</formula>
    </cfRule>
  </conditionalFormatting>
  <conditionalFormatting sqref="P1815">
    <cfRule type="cellIs" dxfId="4434" priority="6469" operator="equal">
      <formula>"F"</formula>
    </cfRule>
    <cfRule type="cellIs" dxfId="4433" priority="6500" operator="equal">
      <formula>"F"</formula>
    </cfRule>
  </conditionalFormatting>
  <conditionalFormatting sqref="P1822">
    <cfRule type="cellIs" dxfId="4432" priority="6446" operator="equal">
      <formula>"F"</formula>
    </cfRule>
  </conditionalFormatting>
  <conditionalFormatting sqref="P1832">
    <cfRule type="cellIs" dxfId="4431" priority="6393" operator="equal">
      <formula>"F"</formula>
    </cfRule>
    <cfRule type="cellIs" dxfId="4430" priority="6424" operator="equal">
      <formula>"F"</formula>
    </cfRule>
  </conditionalFormatting>
  <conditionalFormatting sqref="P1842">
    <cfRule type="cellIs" dxfId="4429" priority="6372" operator="equal">
      <formula>"F"</formula>
    </cfRule>
  </conditionalFormatting>
  <conditionalFormatting sqref="P1849">
    <cfRule type="cellIs" dxfId="4428" priority="6355" operator="equal">
      <formula>"F"</formula>
    </cfRule>
  </conditionalFormatting>
  <conditionalFormatting sqref="P1856">
    <cfRule type="cellIs" dxfId="4427" priority="6326" operator="equal">
      <formula>"F"</formula>
    </cfRule>
  </conditionalFormatting>
  <conditionalFormatting sqref="P1875">
    <cfRule type="cellIs" dxfId="4426" priority="6285" operator="equal">
      <formula>"F"</formula>
    </cfRule>
  </conditionalFormatting>
  <conditionalFormatting sqref="P1882">
    <cfRule type="cellIs" dxfId="4425" priority="6250" operator="equal">
      <formula>"F"</formula>
    </cfRule>
    <cfRule type="cellIs" dxfId="4424" priority="6261" operator="equal">
      <formula>"F"</formula>
    </cfRule>
  </conditionalFormatting>
  <conditionalFormatting sqref="P1886">
    <cfRule type="cellIs" dxfId="4423" priority="6226" operator="equal">
      <formula>"F"</formula>
    </cfRule>
    <cfRule type="cellIs" dxfId="4422" priority="6235" operator="equal">
      <formula>"F"</formula>
    </cfRule>
  </conditionalFormatting>
  <conditionalFormatting sqref="P1897:P1898">
    <cfRule type="cellIs" dxfId="4421" priority="6196" operator="equal">
      <formula>"F"</formula>
    </cfRule>
    <cfRule type="cellIs" dxfId="4420" priority="6205" operator="equal">
      <formula>"F"</formula>
    </cfRule>
  </conditionalFormatting>
  <conditionalFormatting sqref="P1903">
    <cfRule type="cellIs" dxfId="4419" priority="6174" operator="equal">
      <formula>"F"</formula>
    </cfRule>
  </conditionalFormatting>
  <conditionalFormatting sqref="P1923">
    <cfRule type="cellIs" dxfId="4418" priority="6124" operator="equal">
      <formula>"F"</formula>
    </cfRule>
  </conditionalFormatting>
  <conditionalFormatting sqref="P1938">
    <cfRule type="cellIs" dxfId="4417" priority="6115" operator="equal">
      <formula>"F"</formula>
    </cfRule>
  </conditionalFormatting>
  <conditionalFormatting sqref="P1951">
    <cfRule type="cellIs" dxfId="4416" priority="6100" operator="equal">
      <formula>"F"</formula>
    </cfRule>
  </conditionalFormatting>
  <conditionalFormatting sqref="P1977">
    <cfRule type="cellIs" dxfId="4415" priority="6079" operator="equal">
      <formula>"F"</formula>
    </cfRule>
  </conditionalFormatting>
  <conditionalFormatting sqref="P2011:P2012">
    <cfRule type="cellIs" dxfId="4414" priority="6032" operator="equal">
      <formula>"F"</formula>
    </cfRule>
  </conditionalFormatting>
  <conditionalFormatting sqref="P2015">
    <cfRule type="cellIs" dxfId="4413" priority="6024" operator="equal">
      <formula>"F"</formula>
    </cfRule>
  </conditionalFormatting>
  <conditionalFormatting sqref="P2017:P2019">
    <cfRule type="cellIs" dxfId="4412" priority="5984" operator="equal">
      <formula>"F"</formula>
    </cfRule>
  </conditionalFormatting>
  <conditionalFormatting sqref="P2029">
    <cfRule type="cellIs" dxfId="4411" priority="5962" operator="equal">
      <formula>"F"</formula>
    </cfRule>
  </conditionalFormatting>
  <conditionalFormatting sqref="P2040">
    <cfRule type="cellIs" dxfId="4410" priority="5947" operator="equal">
      <formula>"F"</formula>
    </cfRule>
  </conditionalFormatting>
  <conditionalFormatting sqref="P2052">
    <cfRule type="cellIs" dxfId="4409" priority="5915" operator="equal">
      <formula>"F"</formula>
    </cfRule>
  </conditionalFormatting>
  <conditionalFormatting sqref="P2098">
    <cfRule type="cellIs" dxfId="4408" priority="5872" operator="equal">
      <formula>"F"</formula>
    </cfRule>
  </conditionalFormatting>
  <conditionalFormatting sqref="P2110">
    <cfRule type="cellIs" dxfId="4407" priority="5772" operator="equal">
      <formula>"F"</formula>
    </cfRule>
  </conditionalFormatting>
  <conditionalFormatting sqref="P2113">
    <cfRule type="cellIs" dxfId="4406" priority="5758" operator="equal">
      <formula>"F"</formula>
    </cfRule>
  </conditionalFormatting>
  <conditionalFormatting sqref="P2204">
    <cfRule type="cellIs" dxfId="4405" priority="5411" operator="equal">
      <formula>"F"</formula>
    </cfRule>
  </conditionalFormatting>
  <conditionalFormatting sqref="P2248">
    <cfRule type="expression" dxfId="4404" priority="5151">
      <formula>$AW2248="D"</formula>
    </cfRule>
    <cfRule type="cellIs" dxfId="4403" priority="5152" operator="equal">
      <formula>"F"</formula>
    </cfRule>
  </conditionalFormatting>
  <conditionalFormatting sqref="P2302">
    <cfRule type="expression" dxfId="4402" priority="4876">
      <formula>$AW2302="D"</formula>
    </cfRule>
    <cfRule type="cellIs" dxfId="4401" priority="4877" operator="equal">
      <formula>"F"</formula>
    </cfRule>
  </conditionalFormatting>
  <conditionalFormatting sqref="P2326">
    <cfRule type="expression" dxfId="4400" priority="4604">
      <formula>$AW2326="D"</formula>
    </cfRule>
    <cfRule type="cellIs" dxfId="4399" priority="4605" operator="equal">
      <formula>"F"</formula>
    </cfRule>
  </conditionalFormatting>
  <conditionalFormatting sqref="P2368">
    <cfRule type="expression" dxfId="4398" priority="4181">
      <formula>$AW2368="D"</formula>
    </cfRule>
    <cfRule type="cellIs" dxfId="4397" priority="4182" operator="equal">
      <formula>"F"</formula>
    </cfRule>
  </conditionalFormatting>
  <conditionalFormatting sqref="P2372">
    <cfRule type="expression" dxfId="4396" priority="4141">
      <formula>$AW2372="D"</formula>
    </cfRule>
    <cfRule type="cellIs" dxfId="4395" priority="4142" operator="equal">
      <formula>"F"</formula>
    </cfRule>
  </conditionalFormatting>
  <conditionalFormatting sqref="P2386">
    <cfRule type="expression" dxfId="4394" priority="4100">
      <formula>$AW2386="D"</formula>
    </cfRule>
    <cfRule type="cellIs" dxfId="4393" priority="4101" operator="equal">
      <formula>"F"</formula>
    </cfRule>
  </conditionalFormatting>
  <conditionalFormatting sqref="P2405">
    <cfRule type="expression" dxfId="4392" priority="3905">
      <formula>$AW2405="D"</formula>
    </cfRule>
    <cfRule type="cellIs" dxfId="4391" priority="3906" operator="equal">
      <formula>"F"</formula>
    </cfRule>
  </conditionalFormatting>
  <conditionalFormatting sqref="P2426:P2427">
    <cfRule type="expression" dxfId="4390" priority="3738">
      <formula>$AW2426="D"</formula>
    </cfRule>
    <cfRule type="cellIs" dxfId="4389" priority="3739" operator="equal">
      <formula>"F"</formula>
    </cfRule>
  </conditionalFormatting>
  <conditionalFormatting sqref="P2467">
    <cfRule type="expression" dxfId="4388" priority="3370">
      <formula>$AW2467="D"</formula>
    </cfRule>
    <cfRule type="cellIs" dxfId="4387" priority="3371" operator="equal">
      <formula>"F"</formula>
    </cfRule>
  </conditionalFormatting>
  <conditionalFormatting sqref="P1922:Q1922">
    <cfRule type="cellIs" dxfId="4386" priority="6162" operator="equal">
      <formula>"F"</formula>
    </cfRule>
  </conditionalFormatting>
  <conditionalFormatting sqref="P1940:Q1940">
    <cfRule type="cellIs" dxfId="4385" priority="6108" operator="equal">
      <formula>"F"</formula>
    </cfRule>
  </conditionalFormatting>
  <conditionalFormatting sqref="P1955:Q1955">
    <cfRule type="cellIs" dxfId="4384" priority="6092" operator="equal">
      <formula>"F"</formula>
    </cfRule>
  </conditionalFormatting>
  <conditionalFormatting sqref="P2005:Q2005">
    <cfRule type="cellIs" dxfId="4383" priority="6064" operator="equal">
      <formula>"F"</formula>
    </cfRule>
  </conditionalFormatting>
  <conditionalFormatting sqref="P2016:Q2016">
    <cfRule type="cellIs" dxfId="4382" priority="6017" operator="equal">
      <formula>"F"</formula>
    </cfRule>
  </conditionalFormatting>
  <conditionalFormatting sqref="P2052:Q2052">
    <cfRule type="cellIs" dxfId="4381" priority="5921" operator="equal">
      <formula>"F"</formula>
    </cfRule>
  </conditionalFormatting>
  <conditionalFormatting sqref="P2098:Q2098">
    <cfRule type="cellIs" dxfId="4380" priority="5878" operator="equal">
      <formula>"F"</formula>
    </cfRule>
  </conditionalFormatting>
  <conditionalFormatting sqref="P2100:Q2100">
    <cfRule type="cellIs" dxfId="4379" priority="5868" operator="equal">
      <formula>"F"</formula>
    </cfRule>
  </conditionalFormatting>
  <conditionalFormatting sqref="P2101:Q2101">
    <cfRule type="cellIs" dxfId="4378" priority="5844" operator="equal">
      <formula>"F"</formula>
    </cfRule>
  </conditionalFormatting>
  <conditionalFormatting sqref="P2109:Q2109">
    <cfRule type="cellIs" dxfId="4377" priority="5804" operator="equal">
      <formula>"F"</formula>
    </cfRule>
  </conditionalFormatting>
  <conditionalFormatting sqref="P2110:Q2110">
    <cfRule type="cellIs" dxfId="4376" priority="5778" operator="equal">
      <formula>"F"</formula>
    </cfRule>
  </conditionalFormatting>
  <conditionalFormatting sqref="P2113:Q2113">
    <cfRule type="cellIs" dxfId="4375" priority="5764" operator="equal">
      <formula>"F"</formula>
    </cfRule>
  </conditionalFormatting>
  <conditionalFormatting sqref="P2114:Q2114">
    <cfRule type="cellIs" dxfId="4374" priority="5752" operator="equal">
      <formula>"F"</formula>
    </cfRule>
  </conditionalFormatting>
  <conditionalFormatting sqref="P2141:Q2143">
    <cfRule type="cellIs" dxfId="4373" priority="5710" operator="equal">
      <formula>"F"</formula>
    </cfRule>
  </conditionalFormatting>
  <conditionalFormatting sqref="P2148:Q2148">
    <cfRule type="cellIs" dxfId="4372" priority="5700" operator="equal">
      <formula>"F"</formula>
    </cfRule>
  </conditionalFormatting>
  <conditionalFormatting sqref="P2151:Q2151">
    <cfRule type="cellIs" dxfId="4371" priority="5689" operator="equal">
      <formula>"F"</formula>
    </cfRule>
  </conditionalFormatting>
  <conditionalFormatting sqref="P2157:Q2157">
    <cfRule type="cellIs" dxfId="4370" priority="5678" operator="equal">
      <formula>"F"</formula>
    </cfRule>
  </conditionalFormatting>
  <conditionalFormatting sqref="P2160:Q2162">
    <cfRule type="cellIs" dxfId="4369" priority="5646" operator="equal">
      <formula>"F"</formula>
    </cfRule>
  </conditionalFormatting>
  <conditionalFormatting sqref="P2164:Q2168">
    <cfRule type="cellIs" dxfId="4368" priority="5595" operator="equal">
      <formula>"F"</formula>
    </cfRule>
  </conditionalFormatting>
  <conditionalFormatting sqref="P2174:Q2176">
    <cfRule type="cellIs" dxfId="4367" priority="5563" operator="equal">
      <formula>"F"</formula>
    </cfRule>
  </conditionalFormatting>
  <conditionalFormatting sqref="P2185:Q2189">
    <cfRule type="cellIs" dxfId="4366" priority="5471" operator="equal">
      <formula>"F"</formula>
    </cfRule>
  </conditionalFormatting>
  <conditionalFormatting sqref="P2237:Q2237">
    <cfRule type="cellIs" dxfId="4365" priority="5271" operator="equal">
      <formula>"F"</formula>
    </cfRule>
  </conditionalFormatting>
  <conditionalFormatting sqref="P2245:Q2245">
    <cfRule type="cellIs" dxfId="4364" priority="5221" operator="equal">
      <formula>"F"</formula>
    </cfRule>
  </conditionalFormatting>
  <conditionalFormatting sqref="P2246:Q2246">
    <cfRule type="cellIs" dxfId="4363" priority="5197" operator="equal">
      <formula>"F"</formula>
    </cfRule>
  </conditionalFormatting>
  <conditionalFormatting sqref="P2247:Q2247">
    <cfRule type="cellIs" dxfId="4362" priority="5173" operator="equal">
      <formula>"F"</formula>
    </cfRule>
  </conditionalFormatting>
  <conditionalFormatting sqref="P2253:Q2253">
    <cfRule type="cellIs" dxfId="4361" priority="5119" operator="equal">
      <formula>"F"</formula>
    </cfRule>
  </conditionalFormatting>
  <conditionalFormatting sqref="P2290:Q2290">
    <cfRule type="cellIs" dxfId="4360" priority="4967" operator="equal">
      <formula>"F"</formula>
    </cfRule>
  </conditionalFormatting>
  <conditionalFormatting sqref="P1922:R1922">
    <cfRule type="cellIs" dxfId="4359" priority="6132" operator="equal">
      <formula>"F"</formula>
    </cfRule>
    <cfRule type="cellIs" dxfId="4358" priority="6134" operator="equal">
      <formula>"F"</formula>
    </cfRule>
    <cfRule type="cellIs" dxfId="4357" priority="6140" operator="equal">
      <formula>"F"</formula>
    </cfRule>
    <cfRule type="cellIs" dxfId="4356" priority="6142" operator="equal">
      <formula>"F"</formula>
    </cfRule>
  </conditionalFormatting>
  <conditionalFormatting sqref="P2005:R2005">
    <cfRule type="cellIs" dxfId="4355" priority="6045" operator="equal">
      <formula>"F"</formula>
    </cfRule>
    <cfRule type="cellIs" dxfId="4354" priority="6047" operator="equal">
      <formula>"F"</formula>
    </cfRule>
    <cfRule type="cellIs" dxfId="4353" priority="6052" operator="equal">
      <formula>"F"</formula>
    </cfRule>
    <cfRule type="cellIs" dxfId="4352" priority="6054" operator="equal">
      <formula>"F"</formula>
    </cfRule>
  </conditionalFormatting>
  <conditionalFormatting sqref="P2016:R2016">
    <cfRule type="cellIs" dxfId="4351" priority="5999" operator="equal">
      <formula>"F"</formula>
    </cfRule>
    <cfRule type="cellIs" dxfId="4350" priority="6001" operator="equal">
      <formula>"F"</formula>
    </cfRule>
    <cfRule type="cellIs" dxfId="4349" priority="6006" operator="equal">
      <formula>"F"</formula>
    </cfRule>
    <cfRule type="cellIs" dxfId="4348" priority="6008" operator="equal">
      <formula>"F"</formula>
    </cfRule>
  </conditionalFormatting>
  <conditionalFormatting sqref="P2100:R2100">
    <cfRule type="cellIs" dxfId="4347" priority="5850" operator="equal">
      <formula>"F"</formula>
    </cfRule>
    <cfRule type="cellIs" dxfId="4346" priority="5852" operator="equal">
      <formula>"F"</formula>
    </cfRule>
    <cfRule type="cellIs" dxfId="4345" priority="5857" operator="equal">
      <formula>"F"</formula>
    </cfRule>
    <cfRule type="cellIs" dxfId="4344" priority="5859" operator="equal">
      <formula>"F"</formula>
    </cfRule>
  </conditionalFormatting>
  <conditionalFormatting sqref="P2101:R2101">
    <cfRule type="cellIs" dxfId="4343" priority="5826" operator="equal">
      <formula>"F"</formula>
    </cfRule>
    <cfRule type="cellIs" dxfId="4342" priority="5828" operator="equal">
      <formula>"F"</formula>
    </cfRule>
    <cfRule type="cellIs" dxfId="4341" priority="5833" operator="equal">
      <formula>"F"</formula>
    </cfRule>
    <cfRule type="cellIs" dxfId="4340" priority="5835" operator="equal">
      <formula>"F"</formula>
    </cfRule>
  </conditionalFormatting>
  <conditionalFormatting sqref="P2109:R2109">
    <cfRule type="cellIs" dxfId="4339" priority="5786" operator="equal">
      <formula>"F"</formula>
    </cfRule>
    <cfRule type="cellIs" dxfId="4338" priority="5788" operator="equal">
      <formula>"F"</formula>
    </cfRule>
    <cfRule type="cellIs" dxfId="4337" priority="5793" operator="equal">
      <formula>"F"</formula>
    </cfRule>
    <cfRule type="cellIs" dxfId="4336" priority="5795" operator="equal">
      <formula>"F"</formula>
    </cfRule>
  </conditionalFormatting>
  <conditionalFormatting sqref="P2114:R2114">
    <cfRule type="cellIs" dxfId="4335" priority="5734" operator="equal">
      <formula>"F"</formula>
    </cfRule>
    <cfRule type="cellIs" dxfId="4334" priority="5736" operator="equal">
      <formula>"F"</formula>
    </cfRule>
    <cfRule type="cellIs" dxfId="4333" priority="5741" operator="equal">
      <formula>"F"</formula>
    </cfRule>
    <cfRule type="cellIs" dxfId="4332" priority="5743" operator="equal">
      <formula>"F"</formula>
    </cfRule>
  </conditionalFormatting>
  <conditionalFormatting sqref="P2237:R2237">
    <cfRule type="cellIs" dxfId="4331" priority="5253" operator="equal">
      <formula>"F"</formula>
    </cfRule>
    <cfRule type="cellIs" dxfId="4330" priority="5255" operator="equal">
      <formula>"F"</formula>
    </cfRule>
    <cfRule type="cellIs" dxfId="4329" priority="5260" operator="equal">
      <formula>"F"</formula>
    </cfRule>
    <cfRule type="cellIs" dxfId="4328" priority="5262" operator="equal">
      <formula>"F"</formula>
    </cfRule>
  </conditionalFormatting>
  <conditionalFormatting sqref="P2245:R2245">
    <cfRule type="cellIs" dxfId="4327" priority="5205" operator="equal">
      <formula>"F"</formula>
    </cfRule>
    <cfRule type="cellIs" dxfId="4326" priority="5210" operator="equal">
      <formula>"F"</formula>
    </cfRule>
    <cfRule type="cellIs" dxfId="4325" priority="5212" operator="equal">
      <formula>"F"</formula>
    </cfRule>
  </conditionalFormatting>
  <conditionalFormatting sqref="P2245:R2246">
    <cfRule type="cellIs" dxfId="4324" priority="5188" operator="equal">
      <formula>"F"</formula>
    </cfRule>
  </conditionalFormatting>
  <conditionalFormatting sqref="P2246:R2246">
    <cfRule type="cellIs" dxfId="4323" priority="5181" operator="equal">
      <formula>"F"</formula>
    </cfRule>
    <cfRule type="cellIs" dxfId="4322" priority="5186" operator="equal">
      <formula>"F"</formula>
    </cfRule>
  </conditionalFormatting>
  <conditionalFormatting sqref="P2246:R2247">
    <cfRule type="cellIs" dxfId="4321" priority="5164" operator="equal">
      <formula>"F"</formula>
    </cfRule>
  </conditionalFormatting>
  <conditionalFormatting sqref="P2247:R2247">
    <cfRule type="cellIs" dxfId="4320" priority="5155" operator="equal">
      <formula>"F"</formula>
    </cfRule>
    <cfRule type="cellIs" dxfId="4319" priority="5157" operator="equal">
      <formula>"F"</formula>
    </cfRule>
    <cfRule type="cellIs" dxfId="4318" priority="5162" operator="equal">
      <formula>"F"</formula>
    </cfRule>
  </conditionalFormatting>
  <conditionalFormatting sqref="P2253:R2253">
    <cfRule type="cellIs" dxfId="4317" priority="5101" operator="equal">
      <formula>"F"</formula>
    </cfRule>
    <cfRule type="cellIs" dxfId="4316" priority="5103" operator="equal">
      <formula>"F"</formula>
    </cfRule>
    <cfRule type="cellIs" dxfId="4315" priority="5108" operator="equal">
      <formula>"F"</formula>
    </cfRule>
    <cfRule type="cellIs" dxfId="4314" priority="5110" operator="equal">
      <formula>"F"</formula>
    </cfRule>
  </conditionalFormatting>
  <conditionalFormatting sqref="P2290:R2290">
    <cfRule type="cellIs" dxfId="4313" priority="4949" operator="equal">
      <formula>"F"</formula>
    </cfRule>
    <cfRule type="cellIs" dxfId="4312" priority="4951" operator="equal">
      <formula>"F"</formula>
    </cfRule>
    <cfRule type="cellIs" dxfId="4311" priority="4956" operator="equal">
      <formula>"F"</formula>
    </cfRule>
    <cfRule type="cellIs" dxfId="4310" priority="4958" operator="equal">
      <formula>"F"</formula>
    </cfRule>
  </conditionalFormatting>
  <conditionalFormatting sqref="Q3:Q1612 P1559:P1561 P1613:R1615">
    <cfRule type="cellIs" dxfId="4309" priority="7593" operator="equal">
      <formula>"F"</formula>
    </cfRule>
  </conditionalFormatting>
  <conditionalFormatting sqref="Q3:Q2177 Q2179:Q2518 Q2590:Q2630">
    <cfRule type="cellIs" dxfId="4308" priority="8076" operator="equal">
      <formula>"F"</formula>
    </cfRule>
  </conditionalFormatting>
  <conditionalFormatting sqref="Q2163">
    <cfRule type="cellIs" dxfId="4307" priority="5447" operator="equal">
      <formula>"F"</formula>
    </cfRule>
  </conditionalFormatting>
  <conditionalFormatting sqref="Q2196">
    <cfRule type="cellIs" dxfId="4306" priority="5445" operator="equal">
      <formula>"F"</formula>
    </cfRule>
  </conditionalFormatting>
  <conditionalFormatting sqref="Q2200">
    <cfRule type="cellIs" dxfId="4305" priority="5434" operator="equal">
      <formula>"F"</formula>
    </cfRule>
  </conditionalFormatting>
  <conditionalFormatting sqref="Q2218">
    <cfRule type="cellIs" dxfId="4304" priority="5318" operator="equal">
      <formula>"F"</formula>
    </cfRule>
  </conditionalFormatting>
  <conditionalFormatting sqref="Q1594:R1594">
    <cfRule type="cellIs" dxfId="4303" priority="7499" operator="equal">
      <formula>"F"</formula>
    </cfRule>
  </conditionalFormatting>
  <conditionalFormatting sqref="Q1607:R1607">
    <cfRule type="cellIs" dxfId="4302" priority="7461" operator="equal">
      <formula>"F"</formula>
    </cfRule>
  </conditionalFormatting>
  <conditionalFormatting sqref="Q1612:R1612">
    <cfRule type="cellIs" dxfId="4301" priority="7450" operator="equal">
      <formula>"F"</formula>
    </cfRule>
  </conditionalFormatting>
  <conditionalFormatting sqref="Q1634:R1634">
    <cfRule type="cellIs" dxfId="4300" priority="7417" operator="equal">
      <formula>"F"</formula>
    </cfRule>
  </conditionalFormatting>
  <conditionalFormatting sqref="Q1664:R1664">
    <cfRule type="cellIs" dxfId="4299" priority="7348" operator="equal">
      <formula>"F"</formula>
    </cfRule>
  </conditionalFormatting>
  <conditionalFormatting sqref="Q1677:R1677">
    <cfRule type="cellIs" dxfId="4298" priority="7316" operator="equal">
      <formula>"F"</formula>
    </cfRule>
    <cfRule type="cellIs" dxfId="4297" priority="7325" operator="equal">
      <formula>"F"</formula>
    </cfRule>
  </conditionalFormatting>
  <conditionalFormatting sqref="Q1678:R1678">
    <cfRule type="cellIs" dxfId="4296" priority="7293" operator="equal">
      <formula>"F"</formula>
    </cfRule>
    <cfRule type="cellIs" dxfId="4295" priority="7298" operator="equal">
      <formula>"F"</formula>
    </cfRule>
  </conditionalFormatting>
  <conditionalFormatting sqref="Q1688:R1688">
    <cfRule type="cellIs" dxfId="4294" priority="7257" operator="equal">
      <formula>"F"</formula>
    </cfRule>
  </conditionalFormatting>
  <conditionalFormatting sqref="Q1688:R1689">
    <cfRule type="cellIs" dxfId="4293" priority="7247" operator="equal">
      <formula>"F"</formula>
    </cfRule>
  </conditionalFormatting>
  <conditionalFormatting sqref="Q1689:R1689">
    <cfRule type="cellIs" dxfId="4292" priority="7242" operator="equal">
      <formula>"F"</formula>
    </cfRule>
  </conditionalFormatting>
  <conditionalFormatting sqref="Q1697:R1697">
    <cfRule type="cellIs" dxfId="4291" priority="7207" operator="equal">
      <formula>"F"</formula>
    </cfRule>
    <cfRule type="cellIs" dxfId="4290" priority="7212" operator="equal">
      <formula>"F"</formula>
    </cfRule>
  </conditionalFormatting>
  <conditionalFormatting sqref="Q1704:R1704">
    <cfRule type="cellIs" dxfId="4289" priority="7172" operator="equal">
      <formula>"F"</formula>
    </cfRule>
    <cfRule type="cellIs" dxfId="4288" priority="7177" operator="equal">
      <formula>"F"</formula>
    </cfRule>
  </conditionalFormatting>
  <conditionalFormatting sqref="Q1708:R1708">
    <cfRule type="cellIs" dxfId="4287" priority="7156" operator="equal">
      <formula>"F"</formula>
    </cfRule>
  </conditionalFormatting>
  <conditionalFormatting sqref="Q1708:R1709">
    <cfRule type="cellIs" dxfId="4286" priority="7145" operator="equal">
      <formula>"F"</formula>
    </cfRule>
  </conditionalFormatting>
  <conditionalFormatting sqref="Q1709:R1709">
    <cfRule type="cellIs" dxfId="4285" priority="7140" operator="equal">
      <formula>"F"</formula>
    </cfRule>
  </conditionalFormatting>
  <conditionalFormatting sqref="Q1721:R1721">
    <cfRule type="cellIs" dxfId="4284" priority="7085" operator="equal">
      <formula>"F"</formula>
    </cfRule>
    <cfRule type="cellIs" dxfId="4283" priority="7090" operator="equal">
      <formula>"F"</formula>
    </cfRule>
  </conditionalFormatting>
  <conditionalFormatting sqref="Q1723:R1723">
    <cfRule type="cellIs" dxfId="4282" priority="7057" operator="equal">
      <formula>"F"</formula>
    </cfRule>
    <cfRule type="cellIs" dxfId="4281" priority="7062" operator="equal">
      <formula>"F"</formula>
    </cfRule>
  </conditionalFormatting>
  <conditionalFormatting sqref="Q1749:R1749">
    <cfRule type="cellIs" dxfId="4280" priority="6990" operator="equal">
      <formula>"F"</formula>
    </cfRule>
    <cfRule type="cellIs" dxfId="4279" priority="6993" operator="equal">
      <formula>"F"</formula>
    </cfRule>
  </conditionalFormatting>
  <conditionalFormatting sqref="Q1751:R1751">
    <cfRule type="cellIs" dxfId="4278" priority="6969" operator="equal">
      <formula>"F"</formula>
    </cfRule>
    <cfRule type="cellIs" dxfId="4277" priority="6974" operator="equal">
      <formula>"F"</formula>
    </cfRule>
  </conditionalFormatting>
  <conditionalFormatting sqref="Q1758:R1758">
    <cfRule type="cellIs" dxfId="4276" priority="6936" operator="equal">
      <formula>"F"</formula>
    </cfRule>
    <cfRule type="cellIs" dxfId="4275" priority="6939" operator="equal">
      <formula>"F"</formula>
    </cfRule>
  </conditionalFormatting>
  <conditionalFormatting sqref="Q1764:R1764">
    <cfRule type="cellIs" dxfId="4274" priority="6915" operator="equal">
      <formula>"F"</formula>
    </cfRule>
    <cfRule type="cellIs" dxfId="4273" priority="6920" operator="equal">
      <formula>"F"</formula>
    </cfRule>
  </conditionalFormatting>
  <conditionalFormatting sqref="Q1767:R1767">
    <cfRule type="cellIs" dxfId="4272" priority="6890" operator="equal">
      <formula>"F"</formula>
    </cfRule>
    <cfRule type="cellIs" dxfId="4271" priority="6893" operator="equal">
      <formula>"F"</formula>
    </cfRule>
  </conditionalFormatting>
  <conditionalFormatting sqref="Q1771:R1771">
    <cfRule type="cellIs" dxfId="4270" priority="6870" operator="equal">
      <formula>"F"</formula>
    </cfRule>
  </conditionalFormatting>
  <conditionalFormatting sqref="Q1771:R1772">
    <cfRule type="cellIs" dxfId="4269" priority="6841" operator="equal">
      <formula>"F"</formula>
    </cfRule>
  </conditionalFormatting>
  <conditionalFormatting sqref="Q1772:R1772">
    <cfRule type="cellIs" dxfId="4268" priority="6838" operator="equal">
      <formula>"F"</formula>
    </cfRule>
  </conditionalFormatting>
  <conditionalFormatting sqref="Q1774:R1774">
    <cfRule type="cellIs" dxfId="4267" priority="6808" operator="equal">
      <formula>"F"</formula>
    </cfRule>
    <cfRule type="cellIs" dxfId="4266" priority="6811" operator="equal">
      <formula>"F"</formula>
    </cfRule>
  </conditionalFormatting>
  <conditionalFormatting sqref="Q1778:R1778">
    <cfRule type="cellIs" dxfId="4265" priority="6778" operator="equal">
      <formula>"F"</formula>
    </cfRule>
    <cfRule type="cellIs" dxfId="4264" priority="6781" operator="equal">
      <formula>"F"</formula>
    </cfRule>
  </conditionalFormatting>
  <conditionalFormatting sqref="Q1784:R1784">
    <cfRule type="cellIs" dxfId="4263" priority="6755" operator="equal">
      <formula>"F"</formula>
    </cfRule>
  </conditionalFormatting>
  <conditionalFormatting sqref="Q1784:R1785">
    <cfRule type="cellIs" dxfId="4262" priority="6741" operator="equal">
      <formula>"F"</formula>
    </cfRule>
  </conditionalFormatting>
  <conditionalFormatting sqref="Q1784:R1786">
    <cfRule type="cellIs" dxfId="4261" priority="6631" operator="equal">
      <formula>"F"</formula>
    </cfRule>
    <cfRule type="cellIs" dxfId="4260" priority="6659" operator="equal">
      <formula>"F"</formula>
    </cfRule>
  </conditionalFormatting>
  <conditionalFormatting sqref="Q1785:R1785">
    <cfRule type="cellIs" dxfId="4259" priority="6628" operator="equal">
      <formula>"F"</formula>
    </cfRule>
  </conditionalFormatting>
  <conditionalFormatting sqref="Q1797:R1797">
    <cfRule type="cellIs" dxfId="4258" priority="6688" operator="equal">
      <formula>"F"</formula>
    </cfRule>
    <cfRule type="cellIs" dxfId="4257" priority="6691" operator="equal">
      <formula>"F"</formula>
    </cfRule>
  </conditionalFormatting>
  <conditionalFormatting sqref="Q1809:R1809">
    <cfRule type="cellIs" dxfId="4256" priority="6571" operator="equal">
      <formula>"F"</formula>
    </cfRule>
    <cfRule type="cellIs" dxfId="4255" priority="6574" operator="equal">
      <formula>"F"</formula>
    </cfRule>
    <cfRule type="cellIs" dxfId="4254" priority="6597" operator="equal">
      <formula>"F"</formula>
    </cfRule>
    <cfRule type="cellIs" dxfId="4253" priority="6600" operator="equal">
      <formula>"F"</formula>
    </cfRule>
  </conditionalFormatting>
  <conditionalFormatting sqref="Q1812:R1812">
    <cfRule type="cellIs" dxfId="4252" priority="6517" operator="equal">
      <formula>"F"</formula>
    </cfRule>
    <cfRule type="cellIs" dxfId="4251" priority="6520" operator="equal">
      <formula>"F"</formula>
    </cfRule>
    <cfRule type="cellIs" dxfId="4250" priority="6543" operator="equal">
      <formula>"F"</formula>
    </cfRule>
    <cfRule type="cellIs" dxfId="4249" priority="6546" operator="equal">
      <formula>"F"</formula>
    </cfRule>
  </conditionalFormatting>
  <conditionalFormatting sqref="Q1815:R1815">
    <cfRule type="cellIs" dxfId="4248" priority="6463" operator="equal">
      <formula>"F"</formula>
    </cfRule>
    <cfRule type="cellIs" dxfId="4247" priority="6466" operator="equal">
      <formula>"F"</formula>
    </cfRule>
    <cfRule type="cellIs" dxfId="4246" priority="6489" operator="equal">
      <formula>"F"</formula>
    </cfRule>
    <cfRule type="cellIs" dxfId="4245" priority="6492" operator="equal">
      <formula>"F"</formula>
    </cfRule>
  </conditionalFormatting>
  <conditionalFormatting sqref="Q1822:R1822">
    <cfRule type="cellIs" dxfId="4244" priority="6438" operator="equal">
      <formula>"F"</formula>
    </cfRule>
    <cfRule type="cellIs" dxfId="4243" priority="6443" operator="equal">
      <formula>"F"</formula>
    </cfRule>
  </conditionalFormatting>
  <conditionalFormatting sqref="Q1832:R1832">
    <cfRule type="cellIs" dxfId="4242" priority="6387" operator="equal">
      <formula>"F"</formula>
    </cfRule>
    <cfRule type="cellIs" dxfId="4241" priority="6390" operator="equal">
      <formula>"F"</formula>
    </cfRule>
    <cfRule type="cellIs" dxfId="4240" priority="6413" operator="equal">
      <formula>"F"</formula>
    </cfRule>
    <cfRule type="cellIs" dxfId="4239" priority="6416" operator="equal">
      <formula>"F"</formula>
    </cfRule>
  </conditionalFormatting>
  <conditionalFormatting sqref="Q1842:R1842">
    <cfRule type="cellIs" dxfId="4238" priority="6364" operator="equal">
      <formula>"F"</formula>
    </cfRule>
    <cfRule type="cellIs" dxfId="4237" priority="6369" operator="equal">
      <formula>"F"</formula>
    </cfRule>
  </conditionalFormatting>
  <conditionalFormatting sqref="Q1849:R1849">
    <cfRule type="cellIs" dxfId="4236" priority="6349" operator="equal">
      <formula>"F"</formula>
    </cfRule>
    <cfRule type="cellIs" dxfId="4235" priority="6353" operator="equal">
      <formula>"F"</formula>
    </cfRule>
  </conditionalFormatting>
  <conditionalFormatting sqref="Q1856:R1856">
    <cfRule type="cellIs" dxfId="4234" priority="6320" operator="equal">
      <formula>"F"</formula>
    </cfRule>
    <cfRule type="cellIs" dxfId="4233" priority="6324" operator="equal">
      <formula>"F"</formula>
    </cfRule>
  </conditionalFormatting>
  <conditionalFormatting sqref="Q1875:R1875">
    <cfRule type="cellIs" dxfId="4232" priority="6279" operator="equal">
      <formula>"F"</formula>
    </cfRule>
    <cfRule type="cellIs" dxfId="4231" priority="6283" operator="equal">
      <formula>"F"</formula>
    </cfRule>
  </conditionalFormatting>
  <conditionalFormatting sqref="Q1882:R1882">
    <cfRule type="cellIs" dxfId="4230" priority="6247" operator="equal">
      <formula>"F"</formula>
    </cfRule>
    <cfRule type="cellIs" dxfId="4229" priority="6249" operator="equal">
      <formula>"F"</formula>
    </cfRule>
    <cfRule type="cellIs" dxfId="4228" priority="6257" operator="equal">
      <formula>"F"</formula>
    </cfRule>
    <cfRule type="cellIs" dxfId="4227" priority="6259" operator="equal">
      <formula>"F"</formula>
    </cfRule>
  </conditionalFormatting>
  <conditionalFormatting sqref="Q1886:R1886">
    <cfRule type="cellIs" dxfId="4226" priority="6223" operator="equal">
      <formula>"F"</formula>
    </cfRule>
    <cfRule type="cellIs" dxfId="4225" priority="6225" operator="equal">
      <formula>"F"</formula>
    </cfRule>
    <cfRule type="cellIs" dxfId="4224" priority="6231" operator="equal">
      <formula>"F"</formula>
    </cfRule>
    <cfRule type="cellIs" dxfId="4223" priority="6233" operator="equal">
      <formula>"F"</formula>
    </cfRule>
  </conditionalFormatting>
  <conditionalFormatting sqref="Q1897:R1897">
    <cfRule type="cellIs" dxfId="4222" priority="6195" operator="equal">
      <formula>"F"</formula>
    </cfRule>
    <cfRule type="cellIs" dxfId="4221" priority="6201" operator="equal">
      <formula>"F"</formula>
    </cfRule>
    <cfRule type="cellIs" dxfId="4220" priority="6203" operator="equal">
      <formula>"F"</formula>
    </cfRule>
  </conditionalFormatting>
  <conditionalFormatting sqref="Q1897:R1898">
    <cfRule type="cellIs" dxfId="4219" priority="6186" operator="equal">
      <formula>"F"</formula>
    </cfRule>
  </conditionalFormatting>
  <conditionalFormatting sqref="Q1898:R1898">
    <cfRule type="cellIs" dxfId="4218" priority="6179" operator="equal">
      <formula>"F"</formula>
    </cfRule>
    <cfRule type="cellIs" dxfId="4217" priority="6181" operator="equal">
      <formula>"F"</formula>
    </cfRule>
    <cfRule type="cellIs" dxfId="4216" priority="6184" operator="equal">
      <formula>"F"</formula>
    </cfRule>
  </conditionalFormatting>
  <conditionalFormatting sqref="Q1903:R1903">
    <cfRule type="cellIs" dxfId="4215" priority="6170" operator="equal">
      <formula>"F"</formula>
    </cfRule>
    <cfRule type="cellIs" dxfId="4214" priority="6172" operator="equal">
      <formula>"F"</formula>
    </cfRule>
  </conditionalFormatting>
  <conditionalFormatting sqref="Q1923:R1923">
    <cfRule type="cellIs" dxfId="4213" priority="6120" operator="equal">
      <formula>"F"</formula>
    </cfRule>
    <cfRule type="cellIs" dxfId="4212" priority="6122" operator="equal">
      <formula>"F"</formula>
    </cfRule>
  </conditionalFormatting>
  <conditionalFormatting sqref="Q1938:R1938">
    <cfRule type="cellIs" dxfId="4211" priority="6111" operator="equal">
      <formula>"F"</formula>
    </cfRule>
    <cfRule type="cellIs" dxfId="4210" priority="6113" operator="equal">
      <formula>"F"</formula>
    </cfRule>
  </conditionalFormatting>
  <conditionalFormatting sqref="Q1951:R1951">
    <cfRule type="cellIs" dxfId="4209" priority="6096" operator="equal">
      <formula>"F"</formula>
    </cfRule>
    <cfRule type="cellIs" dxfId="4208" priority="6098" operator="equal">
      <formula>"F"</formula>
    </cfRule>
  </conditionalFormatting>
  <conditionalFormatting sqref="Q1977:R1977">
    <cfRule type="cellIs" dxfId="4207" priority="6076" operator="equal">
      <formula>"F"</formula>
    </cfRule>
    <cfRule type="cellIs" dxfId="4206" priority="6078" operator="equal">
      <formula>"F"</formula>
    </cfRule>
  </conditionalFormatting>
  <conditionalFormatting sqref="Q2011:R2012">
    <cfRule type="cellIs" dxfId="4205" priority="6029" operator="equal">
      <formula>"F"</formula>
    </cfRule>
  </conditionalFormatting>
  <conditionalFormatting sqref="Q2015:R2015">
    <cfRule type="cellIs" dxfId="4204" priority="6021" operator="equal">
      <formula>"F"</formula>
    </cfRule>
  </conditionalFormatting>
  <conditionalFormatting sqref="Q2017:R2019">
    <cfRule type="cellIs" dxfId="4203" priority="5977" operator="equal">
      <formula>"F"</formula>
    </cfRule>
  </conditionalFormatting>
  <conditionalFormatting sqref="Q2029:R2029">
    <cfRule type="cellIs" dxfId="4202" priority="5959" operator="equal">
      <formula>"F"</formula>
    </cfRule>
    <cfRule type="cellIs" dxfId="4201" priority="5961" operator="equal">
      <formula>"F"</formula>
    </cfRule>
  </conditionalFormatting>
  <conditionalFormatting sqref="Q2040:R2040">
    <cfRule type="cellIs" dxfId="4200" priority="5944" operator="equal">
      <formula>"F"</formula>
    </cfRule>
    <cfRule type="cellIs" dxfId="4199" priority="5946" operator="equal">
      <formula>"F"</formula>
    </cfRule>
  </conditionalFormatting>
  <conditionalFormatting sqref="Q2052:R2052">
    <cfRule type="cellIs" dxfId="4198" priority="5931" operator="equal">
      <formula>"F"</formula>
    </cfRule>
  </conditionalFormatting>
  <conditionalFormatting sqref="Q2098:R2098">
    <cfRule type="cellIs" dxfId="4197" priority="5883" operator="equal">
      <formula>"F"</formula>
    </cfRule>
  </conditionalFormatting>
  <conditionalFormatting sqref="Q2110:R2110">
    <cfRule type="cellIs" dxfId="4196" priority="5783" operator="equal">
      <formula>"F"</formula>
    </cfRule>
  </conditionalFormatting>
  <conditionalFormatting sqref="Q2113:R2113">
    <cfRule type="cellIs" dxfId="4195" priority="5769" operator="equal">
      <formula>"F"</formula>
    </cfRule>
  </conditionalFormatting>
  <conditionalFormatting sqref="Q2052:S2052">
    <cfRule type="cellIs" dxfId="4194" priority="5918" operator="equal">
      <formula>"F"</formula>
    </cfRule>
    <cfRule type="cellIs" dxfId="4193" priority="5920" operator="equal">
      <formula>"F"</formula>
    </cfRule>
  </conditionalFormatting>
  <conditionalFormatting sqref="Q2098:S2098">
    <cfRule type="cellIs" dxfId="4192" priority="5875" operator="equal">
      <formula>"F"</formula>
    </cfRule>
    <cfRule type="cellIs" dxfId="4191" priority="5877" operator="equal">
      <formula>"F"</formula>
    </cfRule>
  </conditionalFormatting>
  <conditionalFormatting sqref="Q2110:S2110">
    <cfRule type="cellIs" dxfId="4190" priority="5775" operator="equal">
      <formula>"F"</formula>
    </cfRule>
    <cfRule type="cellIs" dxfId="4189" priority="5777" operator="equal">
      <formula>"F"</formula>
    </cfRule>
  </conditionalFormatting>
  <conditionalFormatting sqref="Q2113:S2113">
    <cfRule type="cellIs" dxfId="4188" priority="5761" operator="equal">
      <formula>"F"</formula>
    </cfRule>
    <cfRule type="cellIs" dxfId="4187" priority="5763" operator="equal">
      <formula>"F"</formula>
    </cfRule>
  </conditionalFormatting>
  <conditionalFormatting sqref="R1922">
    <cfRule type="cellIs" dxfId="4186" priority="6129" operator="equal">
      <formula>"F"</formula>
    </cfRule>
  </conditionalFormatting>
  <conditionalFormatting sqref="R1940">
    <cfRule type="cellIs" dxfId="4185" priority="6105" operator="equal">
      <formula>"F"</formula>
    </cfRule>
  </conditionalFormatting>
  <conditionalFormatting sqref="R1955">
    <cfRule type="cellIs" dxfId="4184" priority="6084" operator="equal">
      <formula>"F"</formula>
    </cfRule>
  </conditionalFormatting>
  <conditionalFormatting sqref="R2005">
    <cfRule type="cellIs" dxfId="4183" priority="6041" operator="equal">
      <formula>"F"</formula>
    </cfRule>
  </conditionalFormatting>
  <conditionalFormatting sqref="R2016">
    <cfRule type="cellIs" dxfId="4182" priority="5996" operator="equal">
      <formula>"F"</formula>
    </cfRule>
  </conditionalFormatting>
  <conditionalFormatting sqref="R2100:R2101">
    <cfRule type="cellIs" dxfId="4181" priority="5848" operator="equal">
      <formula>"F"</formula>
    </cfRule>
  </conditionalFormatting>
  <conditionalFormatting sqref="R2109">
    <cfRule type="cellIs" dxfId="4180" priority="5807" operator="equal">
      <formula>"F"</formula>
    </cfRule>
  </conditionalFormatting>
  <conditionalFormatting sqref="R2114">
    <cfRule type="cellIs" dxfId="4179" priority="5755" operator="equal">
      <formula>"F"</formula>
    </cfRule>
  </conditionalFormatting>
  <conditionalFormatting sqref="R2141:R2143">
    <cfRule type="cellIs" dxfId="4178" priority="5720" operator="equal">
      <formula>"F"</formula>
    </cfRule>
  </conditionalFormatting>
  <conditionalFormatting sqref="R2148">
    <cfRule type="cellIs" dxfId="4177" priority="5701" operator="equal">
      <formula>"F"</formula>
    </cfRule>
  </conditionalFormatting>
  <conditionalFormatting sqref="R2151">
    <cfRule type="cellIs" dxfId="4176" priority="5690" operator="equal">
      <formula>"F"</formula>
    </cfRule>
  </conditionalFormatting>
  <conditionalFormatting sqref="R2157">
    <cfRule type="cellIs" dxfId="4175" priority="5679" operator="equal">
      <formula>"F"</formula>
    </cfRule>
  </conditionalFormatting>
  <conditionalFormatting sqref="R2160:R2162">
    <cfRule type="cellIs" dxfId="4174" priority="5657" operator="equal">
      <formula>"F"</formula>
    </cfRule>
  </conditionalFormatting>
  <conditionalFormatting sqref="R2164:R2168">
    <cfRule type="cellIs" dxfId="4173" priority="5638" operator="equal">
      <formula>"F"</formula>
    </cfRule>
  </conditionalFormatting>
  <conditionalFormatting sqref="R2174:R2176">
    <cfRule type="cellIs" dxfId="4172" priority="5587" operator="equal">
      <formula>"F"</formula>
    </cfRule>
  </conditionalFormatting>
  <conditionalFormatting sqref="R2178">
    <cfRule type="cellIs" dxfId="4171" priority="5555" operator="equal">
      <formula>"F"</formula>
    </cfRule>
  </conditionalFormatting>
  <conditionalFormatting sqref="R2181">
    <cfRule type="cellIs" dxfId="4170" priority="5525" operator="equal">
      <formula>"F"</formula>
    </cfRule>
  </conditionalFormatting>
  <conditionalFormatting sqref="R2185:R2189">
    <cfRule type="cellIs" dxfId="4169" priority="5514" operator="equal">
      <formula>"F"</formula>
    </cfRule>
  </conditionalFormatting>
  <conditionalFormatting sqref="R2237">
    <cfRule type="cellIs" dxfId="4168" priority="5274" operator="equal">
      <formula>"F"</formula>
    </cfRule>
  </conditionalFormatting>
  <conditionalFormatting sqref="R2245:R2247">
    <cfRule type="cellIs" dxfId="4167" priority="5224" operator="equal">
      <formula>"F"</formula>
    </cfRule>
  </conditionalFormatting>
  <conditionalFormatting sqref="R2253">
    <cfRule type="cellIs" dxfId="4166" priority="5120" operator="equal">
      <formula>"F"</formula>
    </cfRule>
  </conditionalFormatting>
  <conditionalFormatting sqref="R2290">
    <cfRule type="cellIs" dxfId="4165" priority="4968" operator="equal">
      <formula>"F"</formula>
    </cfRule>
  </conditionalFormatting>
  <conditionalFormatting sqref="S1922:T1922">
    <cfRule type="cellIs" dxfId="4164" priority="6136" operator="equal">
      <formula>"B"</formula>
    </cfRule>
    <cfRule type="cellIs" dxfId="4163" priority="6137" operator="equal">
      <formula>"S"</formula>
    </cfRule>
  </conditionalFormatting>
  <conditionalFormatting sqref="S2005:T2005">
    <cfRule type="cellIs" dxfId="4162" priority="6049" operator="equal">
      <formula>"B"</formula>
    </cfRule>
    <cfRule type="cellIs" dxfId="4161" priority="6050" operator="equal">
      <formula>"S"</formula>
    </cfRule>
  </conditionalFormatting>
  <conditionalFormatting sqref="S2016:T2016">
    <cfRule type="cellIs" dxfId="4160" priority="6003" operator="equal">
      <formula>"B"</formula>
    </cfRule>
    <cfRule type="cellIs" dxfId="4159" priority="6004" operator="equal">
      <formula>"S"</formula>
    </cfRule>
  </conditionalFormatting>
  <conditionalFormatting sqref="S2100:T2101">
    <cfRule type="cellIs" dxfId="4158" priority="5830" operator="equal">
      <formula>"B"</formula>
    </cfRule>
    <cfRule type="cellIs" dxfId="4157" priority="5831" operator="equal">
      <formula>"S"</formula>
    </cfRule>
  </conditionalFormatting>
  <conditionalFormatting sqref="S2109:T2109">
    <cfRule type="cellIs" dxfId="4156" priority="5790" operator="equal">
      <formula>"B"</formula>
    </cfRule>
    <cfRule type="cellIs" dxfId="4155" priority="5791" operator="equal">
      <formula>"S"</formula>
    </cfRule>
  </conditionalFormatting>
  <conditionalFormatting sqref="S2114:T2114">
    <cfRule type="cellIs" dxfId="4154" priority="5738" operator="equal">
      <formula>"B"</formula>
    </cfRule>
    <cfRule type="cellIs" dxfId="4153" priority="5739" operator="equal">
      <formula>"S"</formula>
    </cfRule>
  </conditionalFormatting>
  <conditionalFormatting sqref="S2237:T2237">
    <cfRule type="cellIs" dxfId="4152" priority="5257" operator="equal">
      <formula>"B"</formula>
    </cfRule>
    <cfRule type="cellIs" dxfId="4151" priority="5258" operator="equal">
      <formula>"S"</formula>
    </cfRule>
  </conditionalFormatting>
  <conditionalFormatting sqref="S2245:T2247">
    <cfRule type="cellIs" dxfId="4150" priority="5159" operator="equal">
      <formula>"B"</formula>
    </cfRule>
    <cfRule type="cellIs" dxfId="4149" priority="5160" operator="equal">
      <formula>"S"</formula>
    </cfRule>
  </conditionalFormatting>
  <conditionalFormatting sqref="S2253:T2253">
    <cfRule type="cellIs" dxfId="4148" priority="5105" operator="equal">
      <formula>"B"</formula>
    </cfRule>
    <cfRule type="cellIs" dxfId="4147" priority="5106" operator="equal">
      <formula>"S"</formula>
    </cfRule>
  </conditionalFormatting>
  <conditionalFormatting sqref="S2290:T2290">
    <cfRule type="cellIs" dxfId="4146" priority="4953" operator="equal">
      <formula>"B"</formula>
    </cfRule>
    <cfRule type="cellIs" dxfId="4145" priority="4954" operator="equal">
      <formula>"S"</formula>
    </cfRule>
  </conditionalFormatting>
  <conditionalFormatting sqref="T1566:T1567">
    <cfRule type="cellIs" dxfId="4144" priority="7567" operator="equal">
      <formula>"B"</formula>
    </cfRule>
    <cfRule type="cellIs" dxfId="4143" priority="7568" operator="equal">
      <formula>"S"</formula>
    </cfRule>
  </conditionalFormatting>
  <conditionalFormatting sqref="T1569:T1570">
    <cfRule type="cellIs" dxfId="4142" priority="7556" operator="equal">
      <formula>"B"</formula>
    </cfRule>
    <cfRule type="cellIs" dxfId="4141" priority="7557" operator="equal">
      <formula>"S"</formula>
    </cfRule>
  </conditionalFormatting>
  <conditionalFormatting sqref="T1573">
    <cfRule type="cellIs" dxfId="4140" priority="7544" operator="equal">
      <formula>"B"</formula>
    </cfRule>
    <cfRule type="cellIs" dxfId="4139" priority="7545" operator="equal">
      <formula>"S"</formula>
    </cfRule>
  </conditionalFormatting>
  <conditionalFormatting sqref="T1579:T1580">
    <cfRule type="cellIs" dxfId="4138" priority="7534" operator="equal">
      <formula>"B"</formula>
    </cfRule>
    <cfRule type="cellIs" dxfId="4137" priority="7535" operator="equal">
      <formula>"S"</formula>
    </cfRule>
  </conditionalFormatting>
  <conditionalFormatting sqref="T1587:T1589">
    <cfRule type="cellIs" dxfId="4136" priority="7520" operator="equal">
      <formula>"B"</formula>
    </cfRule>
    <cfRule type="cellIs" dxfId="4135" priority="7521" operator="equal">
      <formula>"S"</formula>
    </cfRule>
  </conditionalFormatting>
  <conditionalFormatting sqref="T1593:T1594">
    <cfRule type="cellIs" dxfId="4134" priority="7491" operator="equal">
      <formula>"B"</formula>
    </cfRule>
    <cfRule type="cellIs" dxfId="4133" priority="7492" operator="equal">
      <formula>"S"</formula>
    </cfRule>
  </conditionalFormatting>
  <conditionalFormatting sqref="T1598:T1599">
    <cfRule type="cellIs" dxfId="4132" priority="7477" operator="equal">
      <formula>"B"</formula>
    </cfRule>
    <cfRule type="cellIs" dxfId="4131" priority="7478" operator="equal">
      <formula>"S"</formula>
    </cfRule>
  </conditionalFormatting>
  <conditionalFormatting sqref="T1607">
    <cfRule type="cellIs" dxfId="4130" priority="7456" operator="equal">
      <formula>"B"</formula>
    </cfRule>
    <cfRule type="cellIs" dxfId="4129" priority="7457" operator="equal">
      <formula>"S"</formula>
    </cfRule>
  </conditionalFormatting>
  <conditionalFormatting sqref="T1612">
    <cfRule type="cellIs" dxfId="4128" priority="7445" operator="equal">
      <formula>"B"</formula>
    </cfRule>
    <cfRule type="cellIs" dxfId="4127" priority="7446" operator="equal">
      <formula>"S"</formula>
    </cfRule>
  </conditionalFormatting>
  <conditionalFormatting sqref="T1621">
    <cfRule type="cellIs" dxfId="4126" priority="7435" operator="equal">
      <formula>"B"</formula>
    </cfRule>
    <cfRule type="cellIs" dxfId="4125" priority="7436" operator="equal">
      <formula>"S"</formula>
    </cfRule>
  </conditionalFormatting>
  <conditionalFormatting sqref="T1634">
    <cfRule type="cellIs" dxfId="4124" priority="7412" operator="equal">
      <formula>"B"</formula>
    </cfRule>
    <cfRule type="cellIs" dxfId="4123" priority="7413" operator="equal">
      <formula>"S"</formula>
    </cfRule>
  </conditionalFormatting>
  <conditionalFormatting sqref="T1636">
    <cfRule type="cellIs" dxfId="4122" priority="7408" operator="equal">
      <formula>"B"</formula>
    </cfRule>
    <cfRule type="cellIs" dxfId="4121" priority="7409" operator="equal">
      <formula>"S"</formula>
    </cfRule>
  </conditionalFormatting>
  <conditionalFormatting sqref="T1650">
    <cfRule type="cellIs" dxfId="4120" priority="7373" operator="equal">
      <formula>"B"</formula>
    </cfRule>
    <cfRule type="cellIs" dxfId="4119" priority="7374" operator="equal">
      <formula>"S"</formula>
    </cfRule>
  </conditionalFormatting>
  <conditionalFormatting sqref="T1652">
    <cfRule type="cellIs" dxfId="4118" priority="7368" operator="equal">
      <formula>"B"</formula>
    </cfRule>
    <cfRule type="cellIs" dxfId="4117" priority="7369" operator="equal">
      <formula>"S"</formula>
    </cfRule>
  </conditionalFormatting>
  <conditionalFormatting sqref="T1664">
    <cfRule type="cellIs" dxfId="4116" priority="7343" operator="equal">
      <formula>"B"</formula>
    </cfRule>
    <cfRule type="cellIs" dxfId="4115" priority="7344" operator="equal">
      <formula>"S"</formula>
    </cfRule>
  </conditionalFormatting>
  <conditionalFormatting sqref="T1666:T1667">
    <cfRule type="cellIs" dxfId="4114" priority="7339" operator="equal">
      <formula>"B"</formula>
    </cfRule>
    <cfRule type="cellIs" dxfId="4113" priority="7340" operator="equal">
      <formula>"S"</formula>
    </cfRule>
  </conditionalFormatting>
  <conditionalFormatting sqref="T1677:T1678">
    <cfRule type="cellIs" dxfId="4112" priority="7311" operator="equal">
      <formula>"B"</formula>
    </cfRule>
    <cfRule type="cellIs" dxfId="4111" priority="7312" operator="equal">
      <formula>"S"</formula>
    </cfRule>
  </conditionalFormatting>
  <conditionalFormatting sqref="T1688:T1689">
    <cfRule type="cellIs" dxfId="4110" priority="7261" operator="equal">
      <formula>"B"</formula>
    </cfRule>
    <cfRule type="cellIs" dxfId="4109" priority="7262" operator="equal">
      <formula>"S"</formula>
    </cfRule>
  </conditionalFormatting>
  <conditionalFormatting sqref="T1697">
    <cfRule type="cellIs" dxfId="4108" priority="7216" operator="equal">
      <formula>"B"</formula>
    </cfRule>
    <cfRule type="cellIs" dxfId="4107" priority="7217" operator="equal">
      <formula>"S"</formula>
    </cfRule>
  </conditionalFormatting>
  <conditionalFormatting sqref="T1704">
    <cfRule type="cellIs" dxfId="4106" priority="7181" operator="equal">
      <formula>"B"</formula>
    </cfRule>
    <cfRule type="cellIs" dxfId="4105" priority="7182" operator="equal">
      <formula>"S"</formula>
    </cfRule>
  </conditionalFormatting>
  <conditionalFormatting sqref="T1708:T1709">
    <cfRule type="cellIs" dxfId="4104" priority="7160" operator="equal">
      <formula>"B"</formula>
    </cfRule>
    <cfRule type="cellIs" dxfId="4103" priority="7161" operator="equal">
      <formula>"S"</formula>
    </cfRule>
  </conditionalFormatting>
  <conditionalFormatting sqref="T1721">
    <cfRule type="cellIs" dxfId="4102" priority="7094" operator="equal">
      <formula>"B"</formula>
    </cfRule>
    <cfRule type="cellIs" dxfId="4101" priority="7095" operator="equal">
      <formula>"S"</formula>
    </cfRule>
  </conditionalFormatting>
  <conditionalFormatting sqref="T1723">
    <cfRule type="cellIs" dxfId="4100" priority="7066" operator="equal">
      <formula>"B"</formula>
    </cfRule>
    <cfRule type="cellIs" dxfId="4099" priority="7067" operator="equal">
      <formula>"S"</formula>
    </cfRule>
  </conditionalFormatting>
  <conditionalFormatting sqref="T1749">
    <cfRule type="cellIs" dxfId="4098" priority="6997" operator="equal">
      <formula>"B"</formula>
    </cfRule>
    <cfRule type="cellIs" dxfId="4097" priority="6998" operator="equal">
      <formula>"S"</formula>
    </cfRule>
  </conditionalFormatting>
  <conditionalFormatting sqref="T1751">
    <cfRule type="cellIs" dxfId="4096" priority="6978" operator="equal">
      <formula>"B"</formula>
    </cfRule>
    <cfRule type="cellIs" dxfId="4095" priority="6979" operator="equal">
      <formula>"S"</formula>
    </cfRule>
  </conditionalFormatting>
  <conditionalFormatting sqref="T1758">
    <cfRule type="cellIs" dxfId="4094" priority="6943" operator="equal">
      <formula>"B"</formula>
    </cfRule>
    <cfRule type="cellIs" dxfId="4093" priority="6944" operator="equal">
      <formula>"S"</formula>
    </cfRule>
  </conditionalFormatting>
  <conditionalFormatting sqref="T1764">
    <cfRule type="cellIs" dxfId="4092" priority="6924" operator="equal">
      <formula>"B"</formula>
    </cfRule>
    <cfRule type="cellIs" dxfId="4091" priority="6925" operator="equal">
      <formula>"S"</formula>
    </cfRule>
  </conditionalFormatting>
  <conditionalFormatting sqref="T1767">
    <cfRule type="cellIs" dxfId="4090" priority="6897" operator="equal">
      <formula>"B"</formula>
    </cfRule>
    <cfRule type="cellIs" dxfId="4089" priority="6898" operator="equal">
      <formula>"S"</formula>
    </cfRule>
  </conditionalFormatting>
  <conditionalFormatting sqref="T1771:T1772">
    <cfRule type="cellIs" dxfId="4088" priority="6845" operator="equal">
      <formula>"B"</formula>
    </cfRule>
    <cfRule type="cellIs" dxfId="4087" priority="6846" operator="equal">
      <formula>"S"</formula>
    </cfRule>
  </conditionalFormatting>
  <conditionalFormatting sqref="T1774">
    <cfRule type="cellIs" dxfId="4086" priority="6815" operator="equal">
      <formula>"B"</formula>
    </cfRule>
    <cfRule type="cellIs" dxfId="4085" priority="6816" operator="equal">
      <formula>"S"</formula>
    </cfRule>
  </conditionalFormatting>
  <conditionalFormatting sqref="T1778">
    <cfRule type="cellIs" dxfId="4084" priority="6785" operator="equal">
      <formula>"B"</formula>
    </cfRule>
    <cfRule type="cellIs" dxfId="4083" priority="6786" operator="equal">
      <formula>"S"</formula>
    </cfRule>
  </conditionalFormatting>
  <conditionalFormatting sqref="T1784:T1786">
    <cfRule type="cellIs" dxfId="4082" priority="6635" operator="equal">
      <formula>"B"</formula>
    </cfRule>
    <cfRule type="cellIs" dxfId="4081" priority="6636" operator="equal">
      <formula>"S"</formula>
    </cfRule>
  </conditionalFormatting>
  <conditionalFormatting sqref="T1797">
    <cfRule type="cellIs" dxfId="4080" priority="6695" operator="equal">
      <formula>"B"</formula>
    </cfRule>
    <cfRule type="cellIs" dxfId="4079" priority="6696" operator="equal">
      <formula>"S"</formula>
    </cfRule>
  </conditionalFormatting>
  <conditionalFormatting sqref="T1809">
    <cfRule type="cellIs" dxfId="4078" priority="6578" operator="equal">
      <formula>"B"</formula>
    </cfRule>
    <cfRule type="cellIs" dxfId="4077" priority="6579" operator="equal">
      <formula>"S"</formula>
    </cfRule>
  </conditionalFormatting>
  <conditionalFormatting sqref="T1812">
    <cfRule type="cellIs" dxfId="4076" priority="6524" operator="equal">
      <formula>"B"</formula>
    </cfRule>
    <cfRule type="cellIs" dxfId="4075" priority="6525" operator="equal">
      <formula>"S"</formula>
    </cfRule>
  </conditionalFormatting>
  <conditionalFormatting sqref="T1815">
    <cfRule type="cellIs" dxfId="4074" priority="6470" operator="equal">
      <formula>"B"</formula>
    </cfRule>
    <cfRule type="cellIs" dxfId="4073" priority="6471" operator="equal">
      <formula>"S"</formula>
    </cfRule>
  </conditionalFormatting>
  <conditionalFormatting sqref="T1822">
    <cfRule type="cellIs" dxfId="4072" priority="6447" operator="equal">
      <formula>"B"</formula>
    </cfRule>
    <cfRule type="cellIs" dxfId="4071" priority="6448" operator="equal">
      <formula>"S"</formula>
    </cfRule>
  </conditionalFormatting>
  <conditionalFormatting sqref="T1832">
    <cfRule type="cellIs" dxfId="4070" priority="6394" operator="equal">
      <formula>"B"</formula>
    </cfRule>
    <cfRule type="cellIs" dxfId="4069" priority="6395" operator="equal">
      <formula>"S"</formula>
    </cfRule>
  </conditionalFormatting>
  <conditionalFormatting sqref="T1842">
    <cfRule type="cellIs" dxfId="4068" priority="6373" operator="equal">
      <formula>"B"</formula>
    </cfRule>
    <cfRule type="cellIs" dxfId="4067" priority="6374" operator="equal">
      <formula>"S"</formula>
    </cfRule>
  </conditionalFormatting>
  <conditionalFormatting sqref="T1849">
    <cfRule type="cellIs" dxfId="4066" priority="6356" operator="equal">
      <formula>"B"</formula>
    </cfRule>
    <cfRule type="cellIs" dxfId="4065" priority="6357" operator="equal">
      <formula>"S"</formula>
    </cfRule>
  </conditionalFormatting>
  <conditionalFormatting sqref="T1856">
    <cfRule type="cellIs" dxfId="4064" priority="6327" operator="equal">
      <formula>"B"</formula>
    </cfRule>
    <cfRule type="cellIs" dxfId="4063" priority="6328" operator="equal">
      <formula>"S"</formula>
    </cfRule>
  </conditionalFormatting>
  <conditionalFormatting sqref="T1875">
    <cfRule type="cellIs" dxfId="4062" priority="6286" operator="equal">
      <formula>"B"</formula>
    </cfRule>
    <cfRule type="cellIs" dxfId="4061" priority="6287" operator="equal">
      <formula>"S"</formula>
    </cfRule>
  </conditionalFormatting>
  <conditionalFormatting sqref="T1882">
    <cfRule type="cellIs" dxfId="4060" priority="6251" operator="equal">
      <formula>"B"</formula>
    </cfRule>
    <cfRule type="cellIs" dxfId="4059" priority="6252" operator="equal">
      <formula>"S"</formula>
    </cfRule>
  </conditionalFormatting>
  <conditionalFormatting sqref="T1886">
    <cfRule type="cellIs" dxfId="4058" priority="6227" operator="equal">
      <formula>"B"</formula>
    </cfRule>
    <cfRule type="cellIs" dxfId="4057" priority="6228" operator="equal">
      <formula>"S"</formula>
    </cfRule>
  </conditionalFormatting>
  <conditionalFormatting sqref="T1897:T1898">
    <cfRule type="cellIs" dxfId="4056" priority="6197" operator="equal">
      <formula>"B"</formula>
    </cfRule>
    <cfRule type="cellIs" dxfId="4055" priority="6198" operator="equal">
      <formula>"S"</formula>
    </cfRule>
  </conditionalFormatting>
  <conditionalFormatting sqref="T1903">
    <cfRule type="cellIs" dxfId="4054" priority="6175" operator="equal">
      <formula>"B"</formula>
    </cfRule>
    <cfRule type="cellIs" dxfId="4053" priority="6176" operator="equal">
      <formula>"S"</formula>
    </cfRule>
  </conditionalFormatting>
  <conditionalFormatting sqref="T1923">
    <cfRule type="cellIs" dxfId="4052" priority="6125" operator="equal">
      <formula>"B"</formula>
    </cfRule>
    <cfRule type="cellIs" dxfId="4051" priority="6126" operator="equal">
      <formula>"S"</formula>
    </cfRule>
  </conditionalFormatting>
  <conditionalFormatting sqref="T1938">
    <cfRule type="cellIs" dxfId="4050" priority="6116" operator="equal">
      <formula>"B"</formula>
    </cfRule>
    <cfRule type="cellIs" dxfId="4049" priority="6117" operator="equal">
      <formula>"S"</formula>
    </cfRule>
  </conditionalFormatting>
  <conditionalFormatting sqref="T1940">
    <cfRule type="cellIs" dxfId="4048" priority="6106" operator="equal">
      <formula>"S"</formula>
    </cfRule>
    <cfRule type="cellIs" dxfId="4047" priority="6107" operator="equal">
      <formula>"B"</formula>
    </cfRule>
  </conditionalFormatting>
  <conditionalFormatting sqref="T1951">
    <cfRule type="cellIs" dxfId="4046" priority="6101" operator="equal">
      <formula>"B"</formula>
    </cfRule>
    <cfRule type="cellIs" dxfId="4045" priority="6102" operator="equal">
      <formula>"S"</formula>
    </cfRule>
  </conditionalFormatting>
  <conditionalFormatting sqref="T1955">
    <cfRule type="cellIs" dxfId="4044" priority="6090" operator="equal">
      <formula>"S"</formula>
    </cfRule>
    <cfRule type="cellIs" dxfId="4043" priority="6091" operator="equal">
      <formula>"B"</formula>
    </cfRule>
  </conditionalFormatting>
  <conditionalFormatting sqref="T1977">
    <cfRule type="cellIs" dxfId="4042" priority="6080" operator="equal">
      <formula>"B"</formula>
    </cfRule>
    <cfRule type="cellIs" dxfId="4041" priority="6081" operator="equal">
      <formula>"S"</formula>
    </cfRule>
  </conditionalFormatting>
  <conditionalFormatting sqref="T2011:T2012">
    <cfRule type="cellIs" dxfId="4040" priority="6030" operator="equal">
      <formula>"S"</formula>
    </cfRule>
    <cfRule type="cellIs" dxfId="4039" priority="6031" operator="equal">
      <formula>"B"</formula>
    </cfRule>
  </conditionalFormatting>
  <conditionalFormatting sqref="T2015:T2016 U2:X2">
    <cfRule type="cellIs" dxfId="4038" priority="6023" operator="equal">
      <formula>"B"</formula>
    </cfRule>
  </conditionalFormatting>
  <conditionalFormatting sqref="T2015:T2019">
    <cfRule type="cellIs" dxfId="4037" priority="5982" operator="equal">
      <formula>"S"</formula>
    </cfRule>
  </conditionalFormatting>
  <conditionalFormatting sqref="T2017:T2019">
    <cfRule type="cellIs" dxfId="4036" priority="5983" operator="equal">
      <formula>"B"</formula>
    </cfRule>
  </conditionalFormatting>
  <conditionalFormatting sqref="T2029">
    <cfRule type="cellIs" dxfId="4035" priority="5963" operator="equal">
      <formula>"B"</formula>
    </cfRule>
    <cfRule type="cellIs" dxfId="4034" priority="5964" operator="equal">
      <formula>"S"</formula>
    </cfRule>
  </conditionalFormatting>
  <conditionalFormatting sqref="T2040">
    <cfRule type="cellIs" dxfId="4033" priority="5948" operator="equal">
      <formula>"B"</formula>
    </cfRule>
    <cfRule type="cellIs" dxfId="4032" priority="5949" operator="equal">
      <formula>"S"</formula>
    </cfRule>
  </conditionalFormatting>
  <conditionalFormatting sqref="T2052">
    <cfRule type="cellIs" dxfId="4031" priority="5913" operator="equal">
      <formula>"S"</formula>
    </cfRule>
    <cfRule type="cellIs" dxfId="4030" priority="5914" operator="equal">
      <formula>"B"</formula>
    </cfRule>
    <cfRule type="cellIs" dxfId="4029" priority="5927" operator="equal">
      <formula>"B"</formula>
    </cfRule>
    <cfRule type="cellIs" dxfId="4028" priority="5928" operator="equal">
      <formula>"S"</formula>
    </cfRule>
  </conditionalFormatting>
  <conditionalFormatting sqref="T2098">
    <cfRule type="cellIs" dxfId="4027" priority="5870" operator="equal">
      <formula>"S"</formula>
    </cfRule>
    <cfRule type="cellIs" dxfId="4026" priority="5871" operator="equal">
      <formula>"B"</formula>
    </cfRule>
    <cfRule type="cellIs" dxfId="4025" priority="5879" operator="equal">
      <formula>"B"</formula>
    </cfRule>
    <cfRule type="cellIs" dxfId="4024" priority="5880" operator="equal">
      <formula>"S"</formula>
    </cfRule>
  </conditionalFormatting>
  <conditionalFormatting sqref="T2109:T2110">
    <cfRule type="cellIs" dxfId="4023" priority="5770" operator="equal">
      <formula>"S"</formula>
    </cfRule>
  </conditionalFormatting>
  <conditionalFormatting sqref="T2110">
    <cfRule type="cellIs" dxfId="4022" priority="5771" operator="equal">
      <formula>"B"</formula>
    </cfRule>
    <cfRule type="cellIs" dxfId="4021" priority="5779" operator="equal">
      <formula>"B"</formula>
    </cfRule>
    <cfRule type="cellIs" dxfId="4020" priority="5780" operator="equal">
      <formula>"S"</formula>
    </cfRule>
  </conditionalFormatting>
  <conditionalFormatting sqref="T2113">
    <cfRule type="cellIs" dxfId="4019" priority="5765" operator="equal">
      <formula>"B"</formula>
    </cfRule>
    <cfRule type="cellIs" dxfId="4018" priority="5766" operator="equal">
      <formula>"S"</formula>
    </cfRule>
  </conditionalFormatting>
  <conditionalFormatting sqref="T2113:T2114">
    <cfRule type="cellIs" dxfId="4017" priority="5756" operator="equal">
      <formula>"S"</formula>
    </cfRule>
    <cfRule type="cellIs" dxfId="4016" priority="5757" operator="equal">
      <formula>"B"</formula>
    </cfRule>
  </conditionalFormatting>
  <conditionalFormatting sqref="T2204">
    <cfRule type="cellIs" dxfId="4015" priority="5409" operator="equal">
      <formula>"S"</formula>
    </cfRule>
    <cfRule type="cellIs" dxfId="4014" priority="5410" operator="equal">
      <formula>"B"</formula>
    </cfRule>
    <cfRule type="cellIs" dxfId="4013" priority="5418" operator="equal">
      <formula>"B"</formula>
    </cfRule>
    <cfRule type="cellIs" dxfId="4012" priority="5419" operator="equal">
      <formula>"S"</formula>
    </cfRule>
  </conditionalFormatting>
  <conditionalFormatting sqref="U3:U2518 U2590:U2630">
    <cfRule type="containsText" dxfId="4011" priority="4402" operator="containsText" text="S">
      <formula>NOT(ISERROR(SEARCH("S",U3)))</formula>
    </cfRule>
    <cfRule type="containsText" dxfId="4010" priority="4403" operator="containsText" text="B">
      <formula>NOT(ISERROR(SEARCH("B",U3)))</formula>
    </cfRule>
  </conditionalFormatting>
  <conditionalFormatting sqref="U2:X2">
    <cfRule type="cellIs" dxfId="4009" priority="6022" operator="equal">
      <formula>"S"</formula>
    </cfRule>
  </conditionalFormatting>
  <conditionalFormatting sqref="U3:X2346 U2347:Y2348 Y2382:Z2382 U2349:X2518 U2590:X2630">
    <cfRule type="expression" dxfId="4008" priority="4400">
      <formula>$AW3="L"</formula>
    </cfRule>
    <cfRule type="expression" dxfId="4007" priority="4401">
      <formula>$AW3="W"</formula>
    </cfRule>
  </conditionalFormatting>
  <conditionalFormatting sqref="U2347:Y2348 U3:X2346 Y2382:Z2382 U2349:X2518 U2590:X2630">
    <cfRule type="expression" dxfId="4006" priority="4399">
      <formula>$AW3="D"</formula>
    </cfRule>
  </conditionalFormatting>
  <conditionalFormatting sqref="Y505:Y508">
    <cfRule type="expression" dxfId="4005" priority="8026">
      <formula>$AW505="D"</formula>
    </cfRule>
  </conditionalFormatting>
  <conditionalFormatting sqref="Y516:Y517">
    <cfRule type="expression" dxfId="4004" priority="8009">
      <formula>$AW516="D"</formula>
    </cfRule>
  </conditionalFormatting>
  <conditionalFormatting sqref="Y648">
    <cfRule type="expression" dxfId="4003" priority="7978">
      <formula>$AW648="D"</formula>
    </cfRule>
  </conditionalFormatting>
  <conditionalFormatting sqref="Y762">
    <cfRule type="expression" dxfId="4002" priority="7859">
      <formula>$AW762="D"</formula>
    </cfRule>
  </conditionalFormatting>
  <conditionalFormatting sqref="Y872:Y873">
    <cfRule type="expression" dxfId="4001" priority="7847">
      <formula>$AW872="D"</formula>
    </cfRule>
  </conditionalFormatting>
  <conditionalFormatting sqref="Y995">
    <cfRule type="expression" dxfId="4000" priority="7837">
      <formula>$AW995="D"</formula>
    </cfRule>
  </conditionalFormatting>
  <conditionalFormatting sqref="Y1072">
    <cfRule type="expression" dxfId="3999" priority="7818">
      <formula>$AW1072="D"</formula>
    </cfRule>
  </conditionalFormatting>
  <conditionalFormatting sqref="Y1196">
    <cfRule type="expression" dxfId="3998" priority="7799">
      <formula>$AW1196="D"</formula>
    </cfRule>
  </conditionalFormatting>
  <conditionalFormatting sqref="Y1333">
    <cfRule type="expression" dxfId="3997" priority="7775">
      <formula>$AW1333="D"</formula>
    </cfRule>
  </conditionalFormatting>
  <conditionalFormatting sqref="Y1387:Y1388">
    <cfRule type="expression" dxfId="3996" priority="7762">
      <formula>$AW1387="D"</formula>
    </cfRule>
  </conditionalFormatting>
  <conditionalFormatting sqref="Y1525">
    <cfRule type="expression" dxfId="3995" priority="7687">
      <formula>$AW1525="D"</formula>
    </cfRule>
  </conditionalFormatting>
  <conditionalFormatting sqref="Y1595:Y1596">
    <cfRule type="expression" dxfId="3994" priority="7483">
      <formula>$AW1595="D"</formula>
    </cfRule>
  </conditionalFormatting>
  <conditionalFormatting sqref="Y1619:Y1620">
    <cfRule type="expression" dxfId="3993" priority="7440">
      <formula>$AW1619="D"</formula>
    </cfRule>
  </conditionalFormatting>
  <conditionalFormatting sqref="Y1645">
    <cfRule type="expression" dxfId="3992" priority="7383">
      <formula>$AW1645="D"</formula>
    </cfRule>
  </conditionalFormatting>
  <conditionalFormatting sqref="Y1700:Y1701">
    <cfRule type="cellIs" dxfId="3991" priority="7194" operator="equal">
      <formula>"B"</formula>
    </cfRule>
    <cfRule type="cellIs" dxfId="3990" priority="7195" operator="equal">
      <formula>"S"</formula>
    </cfRule>
  </conditionalFormatting>
  <conditionalFormatting sqref="Y1712">
    <cfRule type="cellIs" dxfId="3989" priority="7128" operator="equal">
      <formula>"B"</formula>
    </cfRule>
    <cfRule type="cellIs" dxfId="3988" priority="7129" operator="equal">
      <formula>"S"</formula>
    </cfRule>
  </conditionalFormatting>
  <conditionalFormatting sqref="Y1714:Y1716">
    <cfRule type="cellIs" dxfId="3987" priority="7123" operator="equal">
      <formula>"B"</formula>
    </cfRule>
    <cfRule type="cellIs" dxfId="3986" priority="7124" operator="equal">
      <formula>"S"</formula>
    </cfRule>
  </conditionalFormatting>
  <conditionalFormatting sqref="Y1719:Y1720">
    <cfRule type="cellIs" dxfId="3985" priority="7105" operator="equal">
      <formula>"B"</formula>
    </cfRule>
    <cfRule type="cellIs" dxfId="3984" priority="7106" operator="equal">
      <formula>"S"</formula>
    </cfRule>
  </conditionalFormatting>
  <conditionalFormatting sqref="Y1722:Y1724">
    <cfRule type="cellIs" dxfId="3983" priority="7079" operator="equal">
      <formula>"B"</formula>
    </cfRule>
    <cfRule type="cellIs" dxfId="3982" priority="7080" operator="equal">
      <formula>"S"</formula>
    </cfRule>
  </conditionalFormatting>
  <conditionalFormatting sqref="Y1725:Y1731">
    <cfRule type="cellIs" dxfId="3981" priority="7041" operator="equal">
      <formula>"B"</formula>
    </cfRule>
    <cfRule type="cellIs" dxfId="3980" priority="7042" operator="equal">
      <formula>"S"</formula>
    </cfRule>
  </conditionalFormatting>
  <conditionalFormatting sqref="Y1738">
    <cfRule type="expression" dxfId="3979" priority="7358">
      <formula>$AW1738="D"</formula>
    </cfRule>
  </conditionalFormatting>
  <conditionalFormatting sqref="Y1749">
    <cfRule type="cellIs" dxfId="3978" priority="7010" operator="equal">
      <formula>"B"</formula>
    </cfRule>
    <cfRule type="cellIs" dxfId="3977" priority="7011" operator="equal">
      <formula>"S"</formula>
    </cfRule>
  </conditionalFormatting>
  <conditionalFormatting sqref="Y1758">
    <cfRule type="cellIs" dxfId="3976" priority="6956" operator="equal">
      <formula>"B"</formula>
    </cfRule>
    <cfRule type="cellIs" dxfId="3975" priority="6957" operator="equal">
      <formula>"S"</formula>
    </cfRule>
  </conditionalFormatting>
  <conditionalFormatting sqref="Y1767:Y1768">
    <cfRule type="cellIs" dxfId="3974" priority="6910" operator="equal">
      <formula>"B"</formula>
    </cfRule>
    <cfRule type="cellIs" dxfId="3973" priority="6911" operator="equal">
      <formula>"S"</formula>
    </cfRule>
  </conditionalFormatting>
  <conditionalFormatting sqref="Y1772">
    <cfRule type="expression" dxfId="3972" priority="6679">
      <formula>$AW1772="D"</formula>
    </cfRule>
  </conditionalFormatting>
  <conditionalFormatting sqref="Y1772:Y1773">
    <cfRule type="cellIs" dxfId="3971" priority="6858" operator="equal">
      <formula>"B"</formula>
    </cfRule>
    <cfRule type="cellIs" dxfId="3970" priority="6859" operator="equal">
      <formula>"S"</formula>
    </cfRule>
  </conditionalFormatting>
  <conditionalFormatting sqref="Y1773:Y1774">
    <cfRule type="cellIs" dxfId="3969" priority="6828" operator="equal">
      <formula>"B"</formula>
    </cfRule>
    <cfRule type="cellIs" dxfId="3968" priority="6829" operator="equal">
      <formula>"S"</formula>
    </cfRule>
  </conditionalFormatting>
  <conditionalFormatting sqref="Y1778">
    <cfRule type="cellIs" dxfId="3967" priority="6798" operator="equal">
      <formula>"B"</formula>
    </cfRule>
    <cfRule type="cellIs" dxfId="3966" priority="6799" operator="equal">
      <formula>"S"</formula>
    </cfRule>
  </conditionalFormatting>
  <conditionalFormatting sqref="Y1784:Y1785">
    <cfRule type="expression" dxfId="3965" priority="6620">
      <formula>$AW1784="D"</formula>
    </cfRule>
    <cfRule type="cellIs" dxfId="3964" priority="6648" operator="equal">
      <formula>"B"</formula>
    </cfRule>
    <cfRule type="cellIs" dxfId="3963" priority="6649" operator="equal">
      <formula>"S"</formula>
    </cfRule>
    <cfRule type="cellIs" dxfId="3962" priority="6772" operator="equal">
      <formula>"B"</formula>
    </cfRule>
    <cfRule type="cellIs" dxfId="3961" priority="6773" operator="equal">
      <formula>"S"</formula>
    </cfRule>
  </conditionalFormatting>
  <conditionalFormatting sqref="Y1797">
    <cfRule type="cellIs" dxfId="3960" priority="6708" operator="equal">
      <formula>"B"</formula>
    </cfRule>
    <cfRule type="cellIs" dxfId="3959" priority="6709" operator="equal">
      <formula>"S"</formula>
    </cfRule>
  </conditionalFormatting>
  <conditionalFormatting sqref="Y1809">
    <cfRule type="expression" dxfId="3958" priority="6566">
      <formula>$AW1809="D"</formula>
    </cfRule>
    <cfRule type="cellIs" dxfId="3957" priority="6591" operator="equal">
      <formula>"B"</formula>
    </cfRule>
    <cfRule type="cellIs" dxfId="3956" priority="6592" operator="equal">
      <formula>"S"</formula>
    </cfRule>
    <cfRule type="cellIs" dxfId="3955" priority="6617" operator="equal">
      <formula>"B"</formula>
    </cfRule>
    <cfRule type="cellIs" dxfId="3954" priority="6618" operator="equal">
      <formula>"S"</formula>
    </cfRule>
  </conditionalFormatting>
  <conditionalFormatting sqref="Y1812">
    <cfRule type="expression" dxfId="3953" priority="6512">
      <formula>$AW1812="D"</formula>
    </cfRule>
    <cfRule type="cellIs" dxfId="3952" priority="6537" operator="equal">
      <formula>"B"</formula>
    </cfRule>
    <cfRule type="cellIs" dxfId="3951" priority="6538" operator="equal">
      <formula>"S"</formula>
    </cfRule>
    <cfRule type="cellIs" dxfId="3950" priority="6563" operator="equal">
      <formula>"B"</formula>
    </cfRule>
    <cfRule type="cellIs" dxfId="3949" priority="6564" operator="equal">
      <formula>"S"</formula>
    </cfRule>
  </conditionalFormatting>
  <conditionalFormatting sqref="Y1815">
    <cfRule type="expression" dxfId="3948" priority="6456">
      <formula>$AW1815="D"</formula>
    </cfRule>
    <cfRule type="cellIs" dxfId="3947" priority="6483" operator="equal">
      <formula>"B"</formula>
    </cfRule>
    <cfRule type="cellIs" dxfId="3946" priority="6484" operator="equal">
      <formula>"S"</formula>
    </cfRule>
    <cfRule type="cellIs" dxfId="3945" priority="6509" operator="equal">
      <formula>"B"</formula>
    </cfRule>
    <cfRule type="cellIs" dxfId="3944" priority="6510" operator="equal">
      <formula>"S"</formula>
    </cfRule>
  </conditionalFormatting>
  <conditionalFormatting sqref="Y1832">
    <cfRule type="expression" dxfId="3943" priority="6382">
      <formula>$AW1832="D"</formula>
    </cfRule>
    <cfRule type="cellIs" dxfId="3942" priority="6407" operator="equal">
      <formula>"B"</formula>
    </cfRule>
    <cfRule type="cellIs" dxfId="3941" priority="6408" operator="equal">
      <formula>"S"</formula>
    </cfRule>
    <cfRule type="cellIs" dxfId="3940" priority="6433" operator="equal">
      <formula>"B"</formula>
    </cfRule>
    <cfRule type="cellIs" dxfId="3939" priority="6434" operator="equal">
      <formula>"S"</formula>
    </cfRule>
  </conditionalFormatting>
  <conditionalFormatting sqref="Y1854">
    <cfRule type="cellIs" dxfId="3938" priority="6334" operator="equal">
      <formula>"B"</formula>
    </cfRule>
    <cfRule type="cellIs" dxfId="3937" priority="6335" operator="equal">
      <formula>"S"</formula>
    </cfRule>
  </conditionalFormatting>
  <conditionalFormatting sqref="Y1860">
    <cfRule type="cellIs" dxfId="3936" priority="6308" operator="equal">
      <formula>"B"</formula>
    </cfRule>
    <cfRule type="cellIs" dxfId="3935" priority="6309" operator="equal">
      <formula>"S"</formula>
    </cfRule>
  </conditionalFormatting>
  <conditionalFormatting sqref="Y1882:Y1886">
    <cfRule type="expression" dxfId="3934" priority="6245">
      <formula>$AW1882="D"</formula>
    </cfRule>
    <cfRule type="cellIs" dxfId="3933" priority="6253" operator="equal">
      <formula>"B"</formula>
    </cfRule>
    <cfRule type="cellIs" dxfId="3932" priority="6254" operator="equal">
      <formula>"S"</formula>
    </cfRule>
    <cfRule type="cellIs" dxfId="3931" priority="6264" operator="equal">
      <formula>"B"</formula>
    </cfRule>
    <cfRule type="cellIs" dxfId="3930" priority="6265" operator="equal">
      <formula>"S"</formula>
    </cfRule>
  </conditionalFormatting>
  <conditionalFormatting sqref="Y1897:Y1898">
    <cfRule type="expression" dxfId="3929" priority="6208">
      <formula>$AW1897="D"</formula>
    </cfRule>
    <cfRule type="cellIs" dxfId="3928" priority="6209" operator="equal">
      <formula>"B"</formula>
    </cfRule>
    <cfRule type="cellIs" dxfId="3927" priority="6210" operator="equal">
      <formula>"S"</formula>
    </cfRule>
    <cfRule type="expression" dxfId="3926" priority="6216">
      <formula>$AW1897="D"</formula>
    </cfRule>
    <cfRule type="cellIs" dxfId="3925" priority="6217" operator="equal">
      <formula>"B"</formula>
    </cfRule>
    <cfRule type="cellIs" dxfId="3924" priority="6218" operator="equal">
      <formula>"S"</formula>
    </cfRule>
  </conditionalFormatting>
  <conditionalFormatting sqref="Y1921:Y1922 Y2108:Y2119">
    <cfRule type="cellIs" dxfId="3923" priority="6156" operator="equal">
      <formula>"B"</formula>
    </cfRule>
    <cfRule type="cellIs" dxfId="3922" priority="6157" operator="equal">
      <formula>"S"</formula>
    </cfRule>
  </conditionalFormatting>
  <conditionalFormatting sqref="Y1922 Y2108:Y2119">
    <cfRule type="expression" dxfId="3921" priority="6147">
      <formula>$AW1922="D"</formula>
    </cfRule>
    <cfRule type="cellIs" dxfId="3920" priority="6148" operator="equal">
      <formula>"B"</formula>
    </cfRule>
    <cfRule type="cellIs" dxfId="3919" priority="6149" operator="equal">
      <formula>"S"</formula>
    </cfRule>
    <cfRule type="expression" dxfId="3918" priority="6155">
      <formula>$AW1922="D"</formula>
    </cfRule>
  </conditionalFormatting>
  <conditionalFormatting sqref="Y1922">
    <cfRule type="cellIs" dxfId="3917" priority="6127" operator="equal">
      <formula>"S"</formula>
    </cfRule>
    <cfRule type="cellIs" dxfId="3916" priority="6128" operator="equal">
      <formula>"B"</formula>
    </cfRule>
  </conditionalFormatting>
  <conditionalFormatting sqref="Y1929">
    <cfRule type="expression" dxfId="3915" priority="7015">
      <formula>$AW1929="D"</formula>
    </cfRule>
  </conditionalFormatting>
  <conditionalFormatting sqref="Y1940">
    <cfRule type="cellIs" dxfId="3914" priority="6103" operator="equal">
      <formula>"S"</formula>
    </cfRule>
    <cfRule type="cellIs" dxfId="3913" priority="6104" operator="equal">
      <formula>"B"</formula>
    </cfRule>
  </conditionalFormatting>
  <conditionalFormatting sqref="Y1955">
    <cfRule type="cellIs" dxfId="3912" priority="6082" operator="equal">
      <formula>"S"</formula>
    </cfRule>
    <cfRule type="cellIs" dxfId="3911" priority="6083" operator="equal">
      <formula>"B"</formula>
    </cfRule>
  </conditionalFormatting>
  <conditionalFormatting sqref="Y2005">
    <cfRule type="cellIs" dxfId="3910" priority="6039" operator="equal">
      <formula>"S"</formula>
    </cfRule>
    <cfRule type="cellIs" dxfId="3909" priority="6040" operator="equal">
      <formula>"B"</formula>
    </cfRule>
    <cfRule type="expression" dxfId="3908" priority="6056">
      <formula>$AW2005="D"</formula>
    </cfRule>
    <cfRule type="cellIs" dxfId="3907" priority="6058" operator="equal">
      <formula>"B"</formula>
    </cfRule>
    <cfRule type="cellIs" dxfId="3906" priority="6059" operator="equal">
      <formula>"S"</formula>
    </cfRule>
    <cfRule type="expression" dxfId="3905" priority="6061">
      <formula>$AW2005="D"</formula>
    </cfRule>
    <cfRule type="cellIs" dxfId="3904" priority="6062" operator="equal">
      <formula>"B"</formula>
    </cfRule>
    <cfRule type="cellIs" dxfId="3903" priority="6063" operator="equal">
      <formula>"S"</formula>
    </cfRule>
  </conditionalFormatting>
  <conditionalFormatting sqref="Y2011:Y2014">
    <cfRule type="cellIs" dxfId="3902" priority="6027" operator="equal">
      <formula>"S"</formula>
    </cfRule>
    <cfRule type="cellIs" dxfId="3901" priority="6028" operator="equal">
      <formula>"B"</formula>
    </cfRule>
  </conditionalFormatting>
  <conditionalFormatting sqref="Y2015">
    <cfRule type="cellIs" dxfId="3900" priority="6019" operator="equal">
      <formula>"S"</formula>
    </cfRule>
    <cfRule type="cellIs" dxfId="3899" priority="6020" operator="equal">
      <formula>"B"</formula>
    </cfRule>
  </conditionalFormatting>
  <conditionalFormatting sqref="Y2016">
    <cfRule type="expression" dxfId="3898" priority="6010">
      <formula>$AW2016="D"</formula>
    </cfRule>
    <cfRule type="cellIs" dxfId="3897" priority="6011" operator="equal">
      <formula>"B"</formula>
    </cfRule>
    <cfRule type="cellIs" dxfId="3896" priority="6012" operator="equal">
      <formula>"S"</formula>
    </cfRule>
    <cfRule type="expression" dxfId="3895" priority="6014">
      <formula>$AW2016="D"</formula>
    </cfRule>
    <cfRule type="cellIs" dxfId="3894" priority="6015" operator="equal">
      <formula>"B"</formula>
    </cfRule>
    <cfRule type="cellIs" dxfId="3893" priority="6016" operator="equal">
      <formula>"S"</formula>
    </cfRule>
  </conditionalFormatting>
  <conditionalFormatting sqref="Y2016:Y2018">
    <cfRule type="cellIs" dxfId="3892" priority="5979" operator="equal">
      <formula>"S"</formula>
    </cfRule>
    <cfRule type="cellIs" dxfId="3891" priority="5980" operator="equal">
      <formula>"B"</formula>
    </cfRule>
  </conditionalFormatting>
  <conditionalFormatting sqref="Y2019:Y2028">
    <cfRule type="cellIs" dxfId="3890" priority="5975" operator="equal">
      <formula>"S"</formula>
    </cfRule>
    <cfRule type="cellIs" dxfId="3889" priority="5976" operator="equal">
      <formula>"B"</formula>
    </cfRule>
  </conditionalFormatting>
  <conditionalFormatting sqref="Y2052">
    <cfRule type="cellIs" dxfId="3888" priority="5929" operator="equal">
      <formula>"S"</formula>
    </cfRule>
    <cfRule type="cellIs" dxfId="3887" priority="5930" operator="equal">
      <formula>"B"</formula>
    </cfRule>
  </conditionalFormatting>
  <conditionalFormatting sqref="Y2098">
    <cfRule type="cellIs" dxfId="3886" priority="5881" operator="equal">
      <formula>"S"</formula>
    </cfRule>
    <cfRule type="cellIs" dxfId="3885" priority="5882" operator="equal">
      <formula>"B"</formula>
    </cfRule>
  </conditionalFormatting>
  <conditionalFormatting sqref="Y2100">
    <cfRule type="expression" dxfId="3884" priority="5861">
      <formula>$AW2100="D"</formula>
    </cfRule>
    <cfRule type="cellIs" dxfId="3883" priority="5862" operator="equal">
      <formula>"B"</formula>
    </cfRule>
    <cfRule type="cellIs" dxfId="3882" priority="5863" operator="equal">
      <formula>"S"</formula>
    </cfRule>
    <cfRule type="expression" dxfId="3881" priority="5865">
      <formula>$AW2100="D"</formula>
    </cfRule>
    <cfRule type="cellIs" dxfId="3880" priority="5866" operator="equal">
      <formula>"B"</formula>
    </cfRule>
    <cfRule type="cellIs" dxfId="3879" priority="5867" operator="equal">
      <formula>"S"</formula>
    </cfRule>
  </conditionalFormatting>
  <conditionalFormatting sqref="Y2100:Y2104">
    <cfRule type="cellIs" dxfId="3878" priority="5846" operator="equal">
      <formula>"S"</formula>
    </cfRule>
    <cfRule type="cellIs" dxfId="3877" priority="5847" operator="equal">
      <formula>"B"</formula>
    </cfRule>
  </conditionalFormatting>
  <conditionalFormatting sqref="Y2101:Y2104">
    <cfRule type="expression" dxfId="3876" priority="5837">
      <formula>$AW2101="D"</formula>
    </cfRule>
    <cfRule type="cellIs" dxfId="3875" priority="5838" operator="equal">
      <formula>"B"</formula>
    </cfRule>
    <cfRule type="cellIs" dxfId="3874" priority="5839" operator="equal">
      <formula>"S"</formula>
    </cfRule>
    <cfRule type="expression" dxfId="3873" priority="5841">
      <formula>$AW2101="D"</formula>
    </cfRule>
    <cfRule type="cellIs" dxfId="3872" priority="5842" operator="equal">
      <formula>"B"</formula>
    </cfRule>
    <cfRule type="cellIs" dxfId="3871" priority="5843" operator="equal">
      <formula>"S"</formula>
    </cfRule>
  </conditionalFormatting>
  <conditionalFormatting sqref="Y2108:Y2119 T1922 T2005 T2100:T2101 T2109 Y2141:Y2146 Y2148 Y2151 T2141:T2143 T2148 T2151">
    <cfRule type="cellIs" dxfId="3870" priority="6161" operator="equal">
      <formula>"B"</formula>
    </cfRule>
  </conditionalFormatting>
  <conditionalFormatting sqref="Y2108:Y2119 Y2141:Y2146 Y2148 Y2151 T1922 T2005 T2100:T2101 T2141:T2143 T2148 T2151">
    <cfRule type="cellIs" dxfId="3869" priority="6160" operator="equal">
      <formula>"S"</formula>
    </cfRule>
  </conditionalFormatting>
  <conditionalFormatting sqref="Y2109">
    <cfRule type="expression" dxfId="3868" priority="5797">
      <formula>$AW2109="D"</formula>
    </cfRule>
    <cfRule type="cellIs" dxfId="3867" priority="5798" operator="equal">
      <formula>"B"</formula>
    </cfRule>
    <cfRule type="cellIs" dxfId="3866" priority="5799" operator="equal">
      <formula>"S"</formula>
    </cfRule>
    <cfRule type="expression" dxfId="3865" priority="5801">
      <formula>$AW2109="D"</formula>
    </cfRule>
    <cfRule type="cellIs" dxfId="3864" priority="5802" operator="equal">
      <formula>"B"</formula>
    </cfRule>
    <cfRule type="cellIs" dxfId="3863" priority="5803" operator="equal">
      <formula>"S"</formula>
    </cfRule>
    <cfRule type="cellIs" dxfId="3862" priority="5805" operator="equal">
      <formula>"S"</formula>
    </cfRule>
    <cfRule type="cellIs" dxfId="3861" priority="5806" operator="equal">
      <formula>"B"</formula>
    </cfRule>
  </conditionalFormatting>
  <conditionalFormatting sqref="Y2110">
    <cfRule type="cellIs" dxfId="3860" priority="5781" operator="equal">
      <formula>"S"</formula>
    </cfRule>
    <cfRule type="cellIs" dxfId="3859" priority="5782" operator="equal">
      <formula>"B"</formula>
    </cfRule>
  </conditionalFormatting>
  <conditionalFormatting sqref="Y2113:Y2116">
    <cfRule type="cellIs" dxfId="3858" priority="5753" operator="equal">
      <formula>"S"</formula>
    </cfRule>
    <cfRule type="cellIs" dxfId="3857" priority="5754" operator="equal">
      <formula>"B"</formula>
    </cfRule>
  </conditionalFormatting>
  <conditionalFormatting sqref="Y2114:Y2116">
    <cfRule type="expression" dxfId="3856" priority="5745">
      <formula>$AW2114="D"</formula>
    </cfRule>
    <cfRule type="cellIs" dxfId="3855" priority="5746" operator="equal">
      <formula>"B"</formula>
    </cfRule>
    <cfRule type="cellIs" dxfId="3854" priority="5747" operator="equal">
      <formula>"S"</formula>
    </cfRule>
    <cfRule type="expression" dxfId="3853" priority="5749">
      <formula>$AW2114="D"</formula>
    </cfRule>
    <cfRule type="cellIs" dxfId="3852" priority="5750" operator="equal">
      <formula>"B"</formula>
    </cfRule>
    <cfRule type="cellIs" dxfId="3851" priority="5751" operator="equal">
      <formula>"S"</formula>
    </cfRule>
  </conditionalFormatting>
  <conditionalFormatting sqref="Y2124">
    <cfRule type="expression" dxfId="3850" priority="5935">
      <formula>$AW2124="D"</formula>
    </cfRule>
  </conditionalFormatting>
  <conditionalFormatting sqref="Y2141">
    <cfRule type="expression" dxfId="3849" priority="5724">
      <formula>$AW2141="D"</formula>
    </cfRule>
    <cfRule type="cellIs" dxfId="3848" priority="5725" operator="equal">
      <formula>"B"</formula>
    </cfRule>
    <cfRule type="cellIs" dxfId="3847" priority="5726" operator="equal">
      <formula>"S"</formula>
    </cfRule>
  </conditionalFormatting>
  <conditionalFormatting sqref="Y2141:Y2142">
    <cfRule type="expression" dxfId="3846" priority="5714">
      <formula>$AW2141="D"</formula>
    </cfRule>
    <cfRule type="cellIs" dxfId="3845" priority="5715" operator="equal">
      <formula>"B"</formula>
    </cfRule>
    <cfRule type="cellIs" dxfId="3844" priority="5716" operator="equal">
      <formula>"S"</formula>
    </cfRule>
  </conditionalFormatting>
  <conditionalFormatting sqref="Y2142:Y2146">
    <cfRule type="expression" dxfId="3843" priority="5705">
      <formula>$AW2142="D"</formula>
    </cfRule>
    <cfRule type="cellIs" dxfId="3842" priority="5706" operator="equal">
      <formula>"B"</formula>
    </cfRule>
    <cfRule type="cellIs" dxfId="3841" priority="5707" operator="equal">
      <formula>"S"</formula>
    </cfRule>
  </conditionalFormatting>
  <conditionalFormatting sqref="Y2143:Y2146">
    <cfRule type="expression" dxfId="3840" priority="5702">
      <formula>$AW2143="D"</formula>
    </cfRule>
    <cfRule type="cellIs" dxfId="3839" priority="5703" operator="equal">
      <formula>"B"</formula>
    </cfRule>
    <cfRule type="cellIs" dxfId="3838" priority="5704" operator="equal">
      <formula>"S"</formula>
    </cfRule>
  </conditionalFormatting>
  <conditionalFormatting sqref="Y2148">
    <cfRule type="expression" dxfId="3837" priority="5693">
      <formula>$AW2148="D"</formula>
    </cfRule>
    <cfRule type="cellIs" dxfId="3836" priority="5694" operator="equal">
      <formula>"B"</formula>
    </cfRule>
    <cfRule type="cellIs" dxfId="3835" priority="5695" operator="equal">
      <formula>"S"</formula>
    </cfRule>
    <cfRule type="expression" dxfId="3834" priority="5696">
      <formula>$AW2148="D"</formula>
    </cfRule>
    <cfRule type="cellIs" dxfId="3833" priority="5697" operator="equal">
      <formula>"B"</formula>
    </cfRule>
    <cfRule type="cellIs" dxfId="3832" priority="5698" operator="equal">
      <formula>"S"</formula>
    </cfRule>
  </conditionalFormatting>
  <conditionalFormatting sqref="Y2151">
    <cfRule type="expression" dxfId="3831" priority="5682">
      <formula>$AW2151="D"</formula>
    </cfRule>
    <cfRule type="cellIs" dxfId="3830" priority="5683" operator="equal">
      <formula>"B"</formula>
    </cfRule>
    <cfRule type="cellIs" dxfId="3829" priority="5684" operator="equal">
      <formula>"S"</formula>
    </cfRule>
    <cfRule type="expression" dxfId="3828" priority="5685">
      <formula>$AW2151="D"</formula>
    </cfRule>
    <cfRule type="cellIs" dxfId="3827" priority="5686" operator="equal">
      <formula>"B"</formula>
    </cfRule>
    <cfRule type="cellIs" dxfId="3826" priority="5687" operator="equal">
      <formula>"S"</formula>
    </cfRule>
  </conditionalFormatting>
  <conditionalFormatting sqref="Y2157:Y2160 T2157">
    <cfRule type="cellIs" dxfId="3825" priority="5680" operator="equal">
      <formula>"S"</formula>
    </cfRule>
    <cfRule type="cellIs" dxfId="3824" priority="5681" operator="equal">
      <formula>"B"</formula>
    </cfRule>
  </conditionalFormatting>
  <conditionalFormatting sqref="Y2157:Y2160">
    <cfRule type="expression" dxfId="3823" priority="5671">
      <formula>$AW2157="D"</formula>
    </cfRule>
    <cfRule type="cellIs" dxfId="3822" priority="5672" operator="equal">
      <formula>"B"</formula>
    </cfRule>
    <cfRule type="cellIs" dxfId="3821" priority="5673" operator="equal">
      <formula>"S"</formula>
    </cfRule>
    <cfRule type="expression" dxfId="3820" priority="5674">
      <formula>$AW2157="D"</formula>
    </cfRule>
    <cfRule type="cellIs" dxfId="3819" priority="5675" operator="equal">
      <formula>"B"</formula>
    </cfRule>
    <cfRule type="cellIs" dxfId="3818" priority="5676" operator="equal">
      <formula>"S"</formula>
    </cfRule>
  </conditionalFormatting>
  <conditionalFormatting sqref="Y2160">
    <cfRule type="expression" dxfId="3817" priority="5663">
      <formula>$AW2160="D"</formula>
    </cfRule>
    <cfRule type="cellIs" dxfId="3816" priority="5664" operator="equal">
      <formula>"B"</formula>
    </cfRule>
    <cfRule type="cellIs" dxfId="3815" priority="5665" operator="equal">
      <formula>"S"</formula>
    </cfRule>
    <cfRule type="cellIs" dxfId="3814" priority="5669" operator="equal">
      <formula>"S"</formula>
    </cfRule>
    <cfRule type="cellIs" dxfId="3813" priority="5670" operator="equal">
      <formula>"B"</formula>
    </cfRule>
  </conditionalFormatting>
  <conditionalFormatting sqref="Y2160:Y2161">
    <cfRule type="expression" dxfId="3812" priority="5652">
      <formula>$AW2160="D"</formula>
    </cfRule>
    <cfRule type="cellIs" dxfId="3811" priority="5653" operator="equal">
      <formula>"B"</formula>
    </cfRule>
    <cfRule type="cellIs" dxfId="3810" priority="5654" operator="equal">
      <formula>"S"</formula>
    </cfRule>
  </conditionalFormatting>
  <conditionalFormatting sqref="Y2161">
    <cfRule type="cellIs" dxfId="3809" priority="5658" operator="equal">
      <formula>"S"</formula>
    </cfRule>
    <cfRule type="cellIs" dxfId="3808" priority="5659" operator="equal">
      <formula>"B"</formula>
    </cfRule>
  </conditionalFormatting>
  <conditionalFormatting sqref="Y2161:Y2163">
    <cfRule type="expression" dxfId="3807" priority="5642">
      <formula>$AW2161="D"</formula>
    </cfRule>
    <cfRule type="cellIs" dxfId="3806" priority="5643" operator="equal">
      <formula>"B"</formula>
    </cfRule>
    <cfRule type="cellIs" dxfId="3805" priority="5644" operator="equal">
      <formula>"S"</formula>
    </cfRule>
  </conditionalFormatting>
  <conditionalFormatting sqref="Y2162:Y2163 T2160:T2162">
    <cfRule type="cellIs" dxfId="3804" priority="5647" operator="equal">
      <formula>"S"</formula>
    </cfRule>
    <cfRule type="cellIs" dxfId="3803" priority="5648" operator="equal">
      <formula>"B"</formula>
    </cfRule>
  </conditionalFormatting>
  <conditionalFormatting sqref="Y2162:Y2164">
    <cfRule type="expression" dxfId="3802" priority="5631">
      <formula>$AW2162="D"</formula>
    </cfRule>
    <cfRule type="cellIs" dxfId="3801" priority="5632" operator="equal">
      <formula>"B"</formula>
    </cfRule>
    <cfRule type="cellIs" dxfId="3800" priority="5633" operator="equal">
      <formula>"S"</formula>
    </cfRule>
  </conditionalFormatting>
  <conditionalFormatting sqref="Y2164">
    <cfRule type="cellIs" dxfId="3799" priority="5636" operator="equal">
      <formula>"S"</formula>
    </cfRule>
    <cfRule type="cellIs" dxfId="3798" priority="5637" operator="equal">
      <formula>"B"</formula>
    </cfRule>
  </conditionalFormatting>
  <conditionalFormatting sqref="Y2164:Y2165">
    <cfRule type="expression" dxfId="3797" priority="5621">
      <formula>$AW2164="D"</formula>
    </cfRule>
    <cfRule type="cellIs" dxfId="3796" priority="5622" operator="equal">
      <formula>"B"</formula>
    </cfRule>
    <cfRule type="cellIs" dxfId="3795" priority="5623" operator="equal">
      <formula>"S"</formula>
    </cfRule>
  </conditionalFormatting>
  <conditionalFormatting sqref="Y2165">
    <cfRule type="cellIs" dxfId="3794" priority="5626" operator="equal">
      <formula>"S"</formula>
    </cfRule>
    <cfRule type="cellIs" dxfId="3793" priority="5627" operator="equal">
      <formula>"B"</formula>
    </cfRule>
  </conditionalFormatting>
  <conditionalFormatting sqref="Y2165:Y2166">
    <cfRule type="expression" dxfId="3792" priority="5611">
      <formula>$AW2165="D"</formula>
    </cfRule>
    <cfRule type="cellIs" dxfId="3791" priority="5612" operator="equal">
      <formula>"B"</formula>
    </cfRule>
    <cfRule type="cellIs" dxfId="3790" priority="5613" operator="equal">
      <formula>"S"</formula>
    </cfRule>
  </conditionalFormatting>
  <conditionalFormatting sqref="Y2166">
    <cfRule type="cellIs" dxfId="3789" priority="5616" operator="equal">
      <formula>"S"</formula>
    </cfRule>
    <cfRule type="cellIs" dxfId="3788" priority="5617" operator="equal">
      <formula>"B"</formula>
    </cfRule>
  </conditionalFormatting>
  <conditionalFormatting sqref="Y2166:Y2167">
    <cfRule type="expression" dxfId="3787" priority="5601">
      <formula>$AW2166="D"</formula>
    </cfRule>
    <cfRule type="cellIs" dxfId="3786" priority="5602" operator="equal">
      <formula>"B"</formula>
    </cfRule>
    <cfRule type="cellIs" dxfId="3785" priority="5603" operator="equal">
      <formula>"S"</formula>
    </cfRule>
  </conditionalFormatting>
  <conditionalFormatting sqref="Y2167">
    <cfRule type="cellIs" dxfId="3784" priority="5606" operator="equal">
      <formula>"S"</formula>
    </cfRule>
    <cfRule type="cellIs" dxfId="3783" priority="5607" operator="equal">
      <formula>"B"</formula>
    </cfRule>
  </conditionalFormatting>
  <conditionalFormatting sqref="Y2167:Y2168">
    <cfRule type="expression" dxfId="3782" priority="5591">
      <formula>$AW2167="D"</formula>
    </cfRule>
    <cfRule type="cellIs" dxfId="3781" priority="5592" operator="equal">
      <formula>"B"</formula>
    </cfRule>
    <cfRule type="cellIs" dxfId="3780" priority="5593" operator="equal">
      <formula>"S"</formula>
    </cfRule>
  </conditionalFormatting>
  <conditionalFormatting sqref="Y2168 T2164:T2168">
    <cfRule type="cellIs" dxfId="3779" priority="5596" operator="equal">
      <formula>"S"</formula>
    </cfRule>
    <cfRule type="cellIs" dxfId="3778" priority="5597" operator="equal">
      <formula>"B"</formula>
    </cfRule>
  </conditionalFormatting>
  <conditionalFormatting sqref="Y2168">
    <cfRule type="expression" dxfId="3777" priority="5588">
      <formula>$AW2168="D"</formula>
    </cfRule>
    <cfRule type="cellIs" dxfId="3776" priority="5589" operator="equal">
      <formula>"B"</formula>
    </cfRule>
    <cfRule type="cellIs" dxfId="3775" priority="5590" operator="equal">
      <formula>"S"</formula>
    </cfRule>
  </conditionalFormatting>
  <conditionalFormatting sqref="Y2174">
    <cfRule type="expression" dxfId="3774" priority="5579">
      <formula>$AW2174="D"</formula>
    </cfRule>
    <cfRule type="cellIs" dxfId="3773" priority="5580" operator="equal">
      <formula>"B"</formula>
    </cfRule>
    <cfRule type="cellIs" dxfId="3772" priority="5581" operator="equal">
      <formula>"S"</formula>
    </cfRule>
    <cfRule type="cellIs" dxfId="3771" priority="5584" operator="equal">
      <formula>"S"</formula>
    </cfRule>
    <cfRule type="cellIs" dxfId="3770" priority="5586" operator="equal">
      <formula>"B"</formula>
    </cfRule>
  </conditionalFormatting>
  <conditionalFormatting sqref="Y2174:Y2175">
    <cfRule type="expression" dxfId="3769" priority="5569">
      <formula>$AW2174="D"</formula>
    </cfRule>
    <cfRule type="cellIs" dxfId="3768" priority="5570" operator="equal">
      <formula>"B"</formula>
    </cfRule>
    <cfRule type="cellIs" dxfId="3767" priority="5571" operator="equal">
      <formula>"S"</formula>
    </cfRule>
  </conditionalFormatting>
  <conditionalFormatting sqref="Y2175">
    <cfRule type="cellIs" dxfId="3766" priority="5574" operator="equal">
      <formula>"S"</formula>
    </cfRule>
    <cfRule type="cellIs" dxfId="3765" priority="5575" operator="equal">
      <formula>"B"</formula>
    </cfRule>
  </conditionalFormatting>
  <conditionalFormatting sqref="Y2175:Y2176">
    <cfRule type="expression" dxfId="3764" priority="5559">
      <formula>$AW2175="D"</formula>
    </cfRule>
    <cfRule type="cellIs" dxfId="3763" priority="5560" operator="equal">
      <formula>"B"</formula>
    </cfRule>
    <cfRule type="cellIs" dxfId="3762" priority="5561" operator="equal">
      <formula>"S"</formula>
    </cfRule>
  </conditionalFormatting>
  <conditionalFormatting sqref="Y2176 T2174:T2176">
    <cfRule type="cellIs" dxfId="3761" priority="5564" operator="equal">
      <formula>"S"</formula>
    </cfRule>
    <cfRule type="cellIs" dxfId="3760" priority="5565" operator="equal">
      <formula>"B"</formula>
    </cfRule>
  </conditionalFormatting>
  <conditionalFormatting sqref="Y2176">
    <cfRule type="expression" dxfId="3759" priority="5556">
      <formula>$AW2176="D"</formula>
    </cfRule>
    <cfRule type="cellIs" dxfId="3758" priority="5557" operator="equal">
      <formula>"B"</formula>
    </cfRule>
    <cfRule type="cellIs" dxfId="3757" priority="5558" operator="equal">
      <formula>"S"</formula>
    </cfRule>
  </conditionalFormatting>
  <conditionalFormatting sqref="Y2178 T2178">
    <cfRule type="cellIs" dxfId="3756" priority="5553" operator="equal">
      <formula>"S"</formula>
    </cfRule>
    <cfRule type="cellIs" dxfId="3755" priority="5554" operator="equal">
      <formula>"B"</formula>
    </cfRule>
  </conditionalFormatting>
  <conditionalFormatting sqref="Y2178">
    <cfRule type="expression" dxfId="3754" priority="5545">
      <formula>$AW2178="D"</formula>
    </cfRule>
    <cfRule type="cellIs" dxfId="3753" priority="5546" operator="equal">
      <formula>"B"</formula>
    </cfRule>
    <cfRule type="cellIs" dxfId="3752" priority="5547" operator="equal">
      <formula>"S"</formula>
    </cfRule>
    <cfRule type="expression" dxfId="3751" priority="5548">
      <formula>$AW2178="D"</formula>
    </cfRule>
    <cfRule type="cellIs" dxfId="3750" priority="5549" operator="equal">
      <formula>"B"</formula>
    </cfRule>
    <cfRule type="cellIs" dxfId="3749" priority="5550" operator="equal">
      <formula>"S"</formula>
    </cfRule>
  </conditionalFormatting>
  <conditionalFormatting sqref="Y2181:Y2183 T2181">
    <cfRule type="cellIs" dxfId="3748" priority="5523" operator="equal">
      <formula>"S"</formula>
    </cfRule>
    <cfRule type="cellIs" dxfId="3747" priority="5524" operator="equal">
      <formula>"B"</formula>
    </cfRule>
  </conditionalFormatting>
  <conditionalFormatting sqref="Y2181:Y2183">
    <cfRule type="expression" dxfId="3746" priority="5516">
      <formula>$AW2181="D"</formula>
    </cfRule>
    <cfRule type="cellIs" dxfId="3745" priority="5517" operator="equal">
      <formula>"B"</formula>
    </cfRule>
    <cfRule type="cellIs" dxfId="3744" priority="5518" operator="equal">
      <formula>"S"</formula>
    </cfRule>
    <cfRule type="expression" dxfId="3743" priority="5519">
      <formula>$AW2181="D"</formula>
    </cfRule>
    <cfRule type="cellIs" dxfId="3742" priority="5520" operator="equal">
      <formula>"B"</formula>
    </cfRule>
    <cfRule type="cellIs" dxfId="3741" priority="5521" operator="equal">
      <formula>"S"</formula>
    </cfRule>
  </conditionalFormatting>
  <conditionalFormatting sqref="Y2185">
    <cfRule type="expression" dxfId="3740" priority="5507">
      <formula>$AW2185="D"</formula>
    </cfRule>
    <cfRule type="cellIs" dxfId="3739" priority="5508" operator="equal">
      <formula>"B"</formula>
    </cfRule>
    <cfRule type="cellIs" dxfId="3738" priority="5509" operator="equal">
      <formula>"S"</formula>
    </cfRule>
    <cfRule type="cellIs" dxfId="3737" priority="5512" operator="equal">
      <formula>"S"</formula>
    </cfRule>
    <cfRule type="cellIs" dxfId="3736" priority="5513" operator="equal">
      <formula>"B"</formula>
    </cfRule>
  </conditionalFormatting>
  <conditionalFormatting sqref="Y2185:Y2186">
    <cfRule type="expression" dxfId="3735" priority="5497">
      <formula>$AW2185="D"</formula>
    </cfRule>
    <cfRule type="cellIs" dxfId="3734" priority="5498" operator="equal">
      <formula>"B"</formula>
    </cfRule>
    <cfRule type="cellIs" dxfId="3733" priority="5499" operator="equal">
      <formula>"S"</formula>
    </cfRule>
  </conditionalFormatting>
  <conditionalFormatting sqref="Y2186">
    <cfRule type="cellIs" dxfId="3732" priority="5502" operator="equal">
      <formula>"S"</formula>
    </cfRule>
    <cfRule type="cellIs" dxfId="3731" priority="5503" operator="equal">
      <formula>"B"</formula>
    </cfRule>
  </conditionalFormatting>
  <conditionalFormatting sqref="Y2186:Y2187">
    <cfRule type="expression" dxfId="3730" priority="5487">
      <formula>$AW2186="D"</formula>
    </cfRule>
    <cfRule type="cellIs" dxfId="3729" priority="5488" operator="equal">
      <formula>"B"</formula>
    </cfRule>
    <cfRule type="cellIs" dxfId="3728" priority="5489" operator="equal">
      <formula>"S"</formula>
    </cfRule>
  </conditionalFormatting>
  <conditionalFormatting sqref="Y2187">
    <cfRule type="cellIs" dxfId="3727" priority="5492" operator="equal">
      <formula>"S"</formula>
    </cfRule>
    <cfRule type="cellIs" dxfId="3726" priority="5493" operator="equal">
      <formula>"B"</formula>
    </cfRule>
  </conditionalFormatting>
  <conditionalFormatting sqref="Y2187:Y2204">
    <cfRule type="expression" dxfId="3725" priority="5477">
      <formula>$AW2187="D"</formula>
    </cfRule>
    <cfRule type="cellIs" dxfId="3724" priority="5478" operator="equal">
      <formula>"B"</formula>
    </cfRule>
    <cfRule type="cellIs" dxfId="3723" priority="5479" operator="equal">
      <formula>"S"</formula>
    </cfRule>
  </conditionalFormatting>
  <conditionalFormatting sqref="Y2188:Y2189">
    <cfRule type="expression" dxfId="3722" priority="5467">
      <formula>$AW2188="D"</formula>
    </cfRule>
    <cfRule type="cellIs" dxfId="3721" priority="5468" operator="equal">
      <formula>"B"</formula>
    </cfRule>
    <cfRule type="cellIs" dxfId="3720" priority="5469" operator="equal">
      <formula>"S"</formula>
    </cfRule>
  </conditionalFormatting>
  <conditionalFormatting sqref="Y2188:Y2204">
    <cfRule type="cellIs" dxfId="3719" priority="5482" operator="equal">
      <formula>"S"</formula>
    </cfRule>
    <cfRule type="cellIs" dxfId="3718" priority="5483" operator="equal">
      <formula>"B"</formula>
    </cfRule>
  </conditionalFormatting>
  <conditionalFormatting sqref="Y2189 T2185:T2189">
    <cfRule type="cellIs" dxfId="3717" priority="5472" operator="equal">
      <formula>"S"</formula>
    </cfRule>
    <cfRule type="cellIs" dxfId="3716" priority="5473" operator="equal">
      <formula>"B"</formula>
    </cfRule>
  </conditionalFormatting>
  <conditionalFormatting sqref="Y2189">
    <cfRule type="expression" dxfId="3715" priority="5464">
      <formula>$AW2189="D"</formula>
    </cfRule>
    <cfRule type="cellIs" dxfId="3714" priority="5465" operator="equal">
      <formula>"B"</formula>
    </cfRule>
    <cfRule type="cellIs" dxfId="3713" priority="5466" operator="equal">
      <formula>"S"</formula>
    </cfRule>
  </conditionalFormatting>
  <conditionalFormatting sqref="Y2189:Y2204">
    <cfRule type="expression" dxfId="3712" priority="5474">
      <formula>$AW2189="D"</formula>
    </cfRule>
    <cfRule type="cellIs" dxfId="3711" priority="5475" operator="equal">
      <formula>"B"</formula>
    </cfRule>
    <cfRule type="cellIs" dxfId="3710" priority="5476" operator="equal">
      <formula>"S"</formula>
    </cfRule>
  </conditionalFormatting>
  <conditionalFormatting sqref="Y2204">
    <cfRule type="cellIs" dxfId="3709" priority="5420" operator="equal">
      <formula>"S"</formula>
    </cfRule>
    <cfRule type="cellIs" dxfId="3708" priority="5421" operator="equal">
      <formula>"B"</formula>
    </cfRule>
    <cfRule type="expression" dxfId="3707" priority="5423">
      <formula>$AW2204="D"</formula>
    </cfRule>
    <cfRule type="cellIs" dxfId="3706" priority="5424" operator="equal">
      <formula>"B"</formula>
    </cfRule>
    <cfRule type="cellIs" dxfId="3705" priority="5425" operator="equal">
      <formula>"S"</formula>
    </cfRule>
    <cfRule type="expression" dxfId="3704" priority="5426">
      <formula>$AW2204="D"</formula>
    </cfRule>
    <cfRule type="cellIs" dxfId="3703" priority="5427" operator="equal">
      <formula>"B"</formula>
    </cfRule>
    <cfRule type="cellIs" dxfId="3702" priority="5428" operator="equal">
      <formula>"S"</formula>
    </cfRule>
    <cfRule type="cellIs" dxfId="3701" priority="5429" operator="equal">
      <formula>"S"</formula>
    </cfRule>
    <cfRule type="cellIs" dxfId="3700" priority="5430" operator="equal">
      <formula>"B"</formula>
    </cfRule>
  </conditionalFormatting>
  <conditionalFormatting sqref="Y2207:Y2208">
    <cfRule type="expression" dxfId="3699" priority="5358">
      <formula>$AW2207="D"</formula>
    </cfRule>
    <cfRule type="cellIs" dxfId="3698" priority="5359" operator="equal">
      <formula>"B"</formula>
    </cfRule>
    <cfRule type="cellIs" dxfId="3697" priority="5360" operator="equal">
      <formula>"S"</formula>
    </cfRule>
    <cfRule type="expression" dxfId="3696" priority="5361">
      <formula>$AW2207="D"</formula>
    </cfRule>
    <cfRule type="cellIs" dxfId="3695" priority="5362" operator="equal">
      <formula>"B"</formula>
    </cfRule>
    <cfRule type="cellIs" dxfId="3694" priority="5363" operator="equal">
      <formula>"S"</formula>
    </cfRule>
    <cfRule type="cellIs" dxfId="3693" priority="5364" operator="equal">
      <formula>"S"</formula>
    </cfRule>
    <cfRule type="cellIs" dxfId="3692" priority="5365" operator="equal">
      <formula>"B"</formula>
    </cfRule>
  </conditionalFormatting>
  <conditionalFormatting sqref="Y2211:Y2215">
    <cfRule type="expression" dxfId="3691" priority="5351">
      <formula>$AW2211="D"</formula>
    </cfRule>
    <cfRule type="cellIs" dxfId="3690" priority="5352" operator="equal">
      <formula>"B"</formula>
    </cfRule>
    <cfRule type="cellIs" dxfId="3689" priority="5353" operator="equal">
      <formula>"S"</formula>
    </cfRule>
    <cfRule type="cellIs" dxfId="3688" priority="5354" operator="equal">
      <formula>"S"</formula>
    </cfRule>
    <cfRule type="cellIs" dxfId="3687" priority="5355" operator="equal">
      <formula>"B"</formula>
    </cfRule>
  </conditionalFormatting>
  <conditionalFormatting sqref="Y2211:Y2227">
    <cfRule type="expression" dxfId="3686" priority="5324">
      <formula>$AW2211="D"</formula>
    </cfRule>
    <cfRule type="cellIs" dxfId="3685" priority="5325" operator="equal">
      <formula>"B"</formula>
    </cfRule>
    <cfRule type="cellIs" dxfId="3684" priority="5326" operator="equal">
      <formula>"S"</formula>
    </cfRule>
  </conditionalFormatting>
  <conditionalFormatting sqref="Y2216:Y2227">
    <cfRule type="expression" dxfId="3683" priority="5321">
      <formula>$AW2216="D"</formula>
    </cfRule>
    <cfRule type="cellIs" dxfId="3682" priority="5322" operator="equal">
      <formula>"B"</formula>
    </cfRule>
    <cfRule type="cellIs" dxfId="3681" priority="5323" operator="equal">
      <formula>"S"</formula>
    </cfRule>
    <cfRule type="cellIs" dxfId="3680" priority="5327" operator="equal">
      <formula>"S"</formula>
    </cfRule>
    <cfRule type="cellIs" dxfId="3679" priority="5328" operator="equal">
      <formula>"B"</formula>
    </cfRule>
  </conditionalFormatting>
  <conditionalFormatting sqref="Y2231:Y2236">
    <cfRule type="cellIs" dxfId="3678" priority="5303" operator="equal">
      <formula>"B"</formula>
    </cfRule>
    <cfRule type="cellIs" dxfId="3677" priority="5304" operator="equal">
      <formula>"S"</formula>
    </cfRule>
    <cfRule type="expression" dxfId="3676" priority="5305">
      <formula>$AW2231="D"</formula>
    </cfRule>
    <cfRule type="cellIs" dxfId="3675" priority="5306" operator="equal">
      <formula>"B"</formula>
    </cfRule>
    <cfRule type="cellIs" dxfId="3674" priority="5307" operator="equal">
      <formula>"S"</formula>
    </cfRule>
    <cfRule type="cellIs" dxfId="3673" priority="5308" operator="equal">
      <formula>"S"</formula>
    </cfRule>
    <cfRule type="cellIs" dxfId="3672" priority="5309" operator="equal">
      <formula>"B"</formula>
    </cfRule>
  </conditionalFormatting>
  <conditionalFormatting sqref="Y2231:Y2243">
    <cfRule type="expression" dxfId="3671" priority="5278">
      <formula>$AW2231="D"</formula>
    </cfRule>
  </conditionalFormatting>
  <conditionalFormatting sqref="Y2237:Y2243 T2237">
    <cfRule type="cellIs" dxfId="3670" priority="5281" operator="equal">
      <formula>"S"</formula>
    </cfRule>
    <cfRule type="cellIs" dxfId="3669" priority="5282" operator="equal">
      <formula>"B"</formula>
    </cfRule>
  </conditionalFormatting>
  <conditionalFormatting sqref="Y2237:Y2243">
    <cfRule type="expression" dxfId="3668" priority="5264">
      <formula>$AW2237="D"</formula>
    </cfRule>
    <cfRule type="cellIs" dxfId="3667" priority="5265" operator="equal">
      <formula>"B"</formula>
    </cfRule>
    <cfRule type="cellIs" dxfId="3666" priority="5266" operator="equal">
      <formula>"S"</formula>
    </cfRule>
    <cfRule type="expression" dxfId="3665" priority="5268">
      <formula>$AW2237="D"</formula>
    </cfRule>
    <cfRule type="cellIs" dxfId="3664" priority="5269" operator="equal">
      <formula>"B"</formula>
    </cfRule>
    <cfRule type="cellIs" dxfId="3663" priority="5270" operator="equal">
      <formula>"S"</formula>
    </cfRule>
    <cfRule type="cellIs" dxfId="3662" priority="5272" operator="equal">
      <formula>"S"</formula>
    </cfRule>
    <cfRule type="cellIs" dxfId="3661" priority="5273" operator="equal">
      <formula>"B"</formula>
    </cfRule>
    <cfRule type="expression" dxfId="3660" priority="5275">
      <formula>$AW2237="D"</formula>
    </cfRule>
    <cfRule type="cellIs" dxfId="3659" priority="5276" operator="equal">
      <formula>"B"</formula>
    </cfRule>
    <cfRule type="cellIs" dxfId="3658" priority="5277" operator="equal">
      <formula>"S"</formula>
    </cfRule>
    <cfRule type="cellIs" dxfId="3657" priority="5279" operator="equal">
      <formula>"B"</formula>
    </cfRule>
    <cfRule type="cellIs" dxfId="3656" priority="5280" operator="equal">
      <formula>"S"</formula>
    </cfRule>
  </conditionalFormatting>
  <conditionalFormatting sqref="Y2245">
    <cfRule type="expression" dxfId="3655" priority="5218">
      <formula>$AW2245="D"</formula>
    </cfRule>
    <cfRule type="cellIs" dxfId="3654" priority="5219" operator="equal">
      <formula>"B"</formula>
    </cfRule>
    <cfRule type="cellIs" dxfId="3653" priority="5220" operator="equal">
      <formula>"S"</formula>
    </cfRule>
    <cfRule type="cellIs" dxfId="3652" priority="5231" operator="equal">
      <formula>"S"</formula>
    </cfRule>
    <cfRule type="cellIs" dxfId="3651" priority="5232" operator="equal">
      <formula>"B"</formula>
    </cfRule>
  </conditionalFormatting>
  <conditionalFormatting sqref="Y2245:Y2246">
    <cfRule type="expression" dxfId="3650" priority="5194">
      <formula>$AW2245="D"</formula>
    </cfRule>
    <cfRule type="cellIs" dxfId="3649" priority="5195" operator="equal">
      <formula>"B"</formula>
    </cfRule>
    <cfRule type="cellIs" dxfId="3648" priority="5196" operator="equal">
      <formula>"S"</formula>
    </cfRule>
  </conditionalFormatting>
  <conditionalFormatting sqref="Y2245:Y2262">
    <cfRule type="cellIs" dxfId="3647" priority="5222" operator="equal">
      <formula>"S"</formula>
    </cfRule>
    <cfRule type="cellIs" dxfId="3646" priority="5223" operator="equal">
      <formula>"B"</formula>
    </cfRule>
    <cfRule type="expression" dxfId="3645" priority="5225">
      <formula>$AW2245="D"</formula>
    </cfRule>
    <cfRule type="cellIs" dxfId="3644" priority="5226" operator="equal">
      <formula>"B"</formula>
    </cfRule>
    <cfRule type="cellIs" dxfId="3643" priority="5227" operator="equal">
      <formula>"S"</formula>
    </cfRule>
    <cfRule type="expression" dxfId="3642" priority="5228">
      <formula>$AW2245="D"</formula>
    </cfRule>
    <cfRule type="cellIs" dxfId="3641" priority="5229" operator="equal">
      <formula>"B"</formula>
    </cfRule>
    <cfRule type="cellIs" dxfId="3640" priority="5230" operator="equal">
      <formula>"S"</formula>
    </cfRule>
  </conditionalFormatting>
  <conditionalFormatting sqref="Y2246">
    <cfRule type="cellIs" dxfId="3639" priority="5198" operator="equal">
      <formula>"S"</formula>
    </cfRule>
    <cfRule type="cellIs" dxfId="3638" priority="5199" operator="equal">
      <formula>"B"</formula>
    </cfRule>
  </conditionalFormatting>
  <conditionalFormatting sqref="Y2246:Y2252">
    <cfRule type="expression" dxfId="3637" priority="5170">
      <formula>$AW2246="D"</formula>
    </cfRule>
    <cfRule type="cellIs" dxfId="3636" priority="5171" operator="equal">
      <formula>"B"</formula>
    </cfRule>
    <cfRule type="cellIs" dxfId="3635" priority="5172" operator="equal">
      <formula>"S"</formula>
    </cfRule>
  </conditionalFormatting>
  <conditionalFormatting sqref="Y2247:Y2252 T2245:T2247">
    <cfRule type="cellIs" dxfId="3634" priority="5174" operator="equal">
      <formula>"S"</formula>
    </cfRule>
    <cfRule type="cellIs" dxfId="3633" priority="5175" operator="equal">
      <formula>"B"</formula>
    </cfRule>
  </conditionalFormatting>
  <conditionalFormatting sqref="Y2247:Y2252">
    <cfRule type="expression" dxfId="3632" priority="5166">
      <formula>$AW2247="D"</formula>
    </cfRule>
    <cfRule type="cellIs" dxfId="3631" priority="5167" operator="equal">
      <formula>"B"</formula>
    </cfRule>
    <cfRule type="cellIs" dxfId="3630" priority="5168" operator="equal">
      <formula>"S"</formula>
    </cfRule>
  </conditionalFormatting>
  <conditionalFormatting sqref="Y2248:Y2252">
    <cfRule type="cellIs" dxfId="3629" priority="5131" operator="equal">
      <formula>"S"</formula>
    </cfRule>
    <cfRule type="cellIs" dxfId="3628" priority="5132" operator="equal">
      <formula>"B"</formula>
    </cfRule>
    <cfRule type="expression" dxfId="3627" priority="5133">
      <formula>$AW2248="D"</formula>
    </cfRule>
    <cfRule type="cellIs" dxfId="3626" priority="5134" operator="equal">
      <formula>"B"</formula>
    </cfRule>
    <cfRule type="cellIs" dxfId="3625" priority="5135" operator="equal">
      <formula>"S"</formula>
    </cfRule>
    <cfRule type="expression" dxfId="3624" priority="5136">
      <formula>$AW2248="D"</formula>
    </cfRule>
    <cfRule type="cellIs" dxfId="3623" priority="5137" operator="equal">
      <formula>"B"</formula>
    </cfRule>
    <cfRule type="cellIs" dxfId="3622" priority="5138" operator="equal">
      <formula>"S"</formula>
    </cfRule>
    <cfRule type="cellIs" dxfId="3621" priority="5139" operator="equal">
      <formula>"S"</formula>
    </cfRule>
    <cfRule type="cellIs" dxfId="3620" priority="5140" operator="equal">
      <formula>"B"</formula>
    </cfRule>
    <cfRule type="expression" dxfId="3619" priority="5143">
      <formula>$AW2248="D"</formula>
    </cfRule>
    <cfRule type="cellIs" dxfId="3618" priority="5144" operator="equal">
      <formula>"B"</formula>
    </cfRule>
    <cfRule type="cellIs" dxfId="3617" priority="5145" operator="equal">
      <formula>"S"</formula>
    </cfRule>
    <cfRule type="expression" dxfId="3616" priority="5146">
      <formula>$AW2248="D"</formula>
    </cfRule>
    <cfRule type="cellIs" dxfId="3615" priority="5147" operator="equal">
      <formula>"B"</formula>
    </cfRule>
    <cfRule type="cellIs" dxfId="3614" priority="5148" operator="equal">
      <formula>"S"</formula>
    </cfRule>
    <cfRule type="cellIs" dxfId="3613" priority="5149" operator="equal">
      <formula>"S"</formula>
    </cfRule>
    <cfRule type="cellIs" dxfId="3612" priority="5150" operator="equal">
      <formula>"B"</formula>
    </cfRule>
  </conditionalFormatting>
  <conditionalFormatting sqref="Y2253:Y2262 T2253">
    <cfRule type="cellIs" dxfId="3611" priority="5121" operator="equal">
      <formula>"S"</formula>
    </cfRule>
    <cfRule type="cellIs" dxfId="3610" priority="5122" operator="equal">
      <formula>"B"</formula>
    </cfRule>
  </conditionalFormatting>
  <conditionalFormatting sqref="Y2253:Y2262">
    <cfRule type="expression" dxfId="3609" priority="5112">
      <formula>$AW2253="D"</formula>
    </cfRule>
    <cfRule type="cellIs" dxfId="3608" priority="5113" operator="equal">
      <formula>"B"</formula>
    </cfRule>
    <cfRule type="cellIs" dxfId="3607" priority="5114" operator="equal">
      <formula>"S"</formula>
    </cfRule>
    <cfRule type="expression" dxfId="3606" priority="5116">
      <formula>$AW2253="D"</formula>
    </cfRule>
    <cfRule type="cellIs" dxfId="3605" priority="5117" operator="equal">
      <formula>"B"</formula>
    </cfRule>
    <cfRule type="cellIs" dxfId="3604" priority="5118" operator="equal">
      <formula>"S"</formula>
    </cfRule>
  </conditionalFormatting>
  <conditionalFormatting sqref="Y2268:Y2301">
    <cfRule type="expression" dxfId="3603" priority="5011">
      <formula>$AW2268="D"</formula>
    </cfRule>
    <cfRule type="cellIs" dxfId="3602" priority="5012" operator="equal">
      <formula>"B"</formula>
    </cfRule>
    <cfRule type="cellIs" dxfId="3601" priority="5013" operator="equal">
      <formula>"S"</formula>
    </cfRule>
    <cfRule type="expression" dxfId="3600" priority="5014">
      <formula>$AW2268="D"</formula>
    </cfRule>
    <cfRule type="cellIs" dxfId="3599" priority="5015" operator="equal">
      <formula>"B"</formula>
    </cfRule>
    <cfRule type="cellIs" dxfId="3598" priority="5016" operator="equal">
      <formula>"S"</formula>
    </cfRule>
    <cfRule type="cellIs" dxfId="3597" priority="5017" operator="equal">
      <formula>"S"</formula>
    </cfRule>
    <cfRule type="cellIs" dxfId="3596" priority="5018" operator="equal">
      <formula>"B"</formula>
    </cfRule>
    <cfRule type="expression" dxfId="3595" priority="5021">
      <formula>$AW2268="D"</formula>
    </cfRule>
    <cfRule type="cellIs" dxfId="3594" priority="5022" operator="equal">
      <formula>"B"</formula>
    </cfRule>
    <cfRule type="cellIs" dxfId="3593" priority="5023" operator="equal">
      <formula>"S"</formula>
    </cfRule>
    <cfRule type="expression" dxfId="3592" priority="5024">
      <formula>$AW2268="D"</formula>
    </cfRule>
    <cfRule type="cellIs" dxfId="3591" priority="5025" operator="equal">
      <formula>"B"</formula>
    </cfRule>
    <cfRule type="cellIs" dxfId="3590" priority="5026" operator="equal">
      <formula>"S"</formula>
    </cfRule>
  </conditionalFormatting>
  <conditionalFormatting sqref="Y2269:Y2301">
    <cfRule type="expression" dxfId="3589" priority="4992">
      <formula>$AW2269="D"</formula>
    </cfRule>
    <cfRule type="cellIs" dxfId="3588" priority="4993" operator="equal">
      <formula>"B"</formula>
    </cfRule>
    <cfRule type="cellIs" dxfId="3587" priority="4994" operator="equal">
      <formula>"S"</formula>
    </cfRule>
    <cfRule type="expression" dxfId="3586" priority="4995">
      <formula>$AW2269="D"</formula>
    </cfRule>
    <cfRule type="cellIs" dxfId="3585" priority="4996" operator="equal">
      <formula>"B"</formula>
    </cfRule>
    <cfRule type="cellIs" dxfId="3584" priority="4997" operator="equal">
      <formula>"S"</formula>
    </cfRule>
    <cfRule type="cellIs" dxfId="3583" priority="4998" operator="equal">
      <formula>"S"</formula>
    </cfRule>
    <cfRule type="cellIs" dxfId="3582" priority="4999" operator="equal">
      <formula>"B"</formula>
    </cfRule>
    <cfRule type="expression" dxfId="3581" priority="5002">
      <formula>$AW2269="D"</formula>
    </cfRule>
    <cfRule type="cellIs" dxfId="3580" priority="5003" operator="equal">
      <formula>"B"</formula>
    </cfRule>
    <cfRule type="cellIs" dxfId="3579" priority="5004" operator="equal">
      <formula>"S"</formula>
    </cfRule>
    <cfRule type="expression" dxfId="3578" priority="5005">
      <formula>$AW2269="D"</formula>
    </cfRule>
    <cfRule type="cellIs" dxfId="3577" priority="5006" operator="equal">
      <formula>"B"</formula>
    </cfRule>
    <cfRule type="cellIs" dxfId="3576" priority="5007" operator="equal">
      <formula>"S"</formula>
    </cfRule>
  </conditionalFormatting>
  <conditionalFormatting sqref="Y2290:Y2291 T2290">
    <cfRule type="cellIs" dxfId="3575" priority="4969" operator="equal">
      <formula>"S"</formula>
    </cfRule>
    <cfRule type="cellIs" dxfId="3574" priority="4970" operator="equal">
      <formula>"B"</formula>
    </cfRule>
  </conditionalFormatting>
  <conditionalFormatting sqref="Y2290:Y2291">
    <cfRule type="expression" dxfId="3573" priority="4960">
      <formula>$AW2290="D"</formula>
    </cfRule>
    <cfRule type="cellIs" dxfId="3572" priority="4961" operator="equal">
      <formula>"B"</formula>
    </cfRule>
    <cfRule type="cellIs" dxfId="3571" priority="4962" operator="equal">
      <formula>"S"</formula>
    </cfRule>
    <cfRule type="expression" dxfId="3570" priority="4964">
      <formula>$AW2290="D"</formula>
    </cfRule>
    <cfRule type="cellIs" dxfId="3569" priority="4965" operator="equal">
      <formula>"B"</formula>
    </cfRule>
    <cfRule type="cellIs" dxfId="3568" priority="4966" operator="equal">
      <formula>"S"</formula>
    </cfRule>
    <cfRule type="cellIs" dxfId="3567" priority="4972" operator="equal">
      <formula>"S"</formula>
    </cfRule>
    <cfRule type="cellIs" dxfId="3566" priority="4973" operator="equal">
      <formula>"B"</formula>
    </cfRule>
    <cfRule type="expression" dxfId="3565" priority="4974">
      <formula>$AW2290="D"</formula>
    </cfRule>
    <cfRule type="cellIs" dxfId="3564" priority="4975" operator="equal">
      <formula>"B"</formula>
    </cfRule>
    <cfRule type="cellIs" dxfId="3563" priority="4976" operator="equal">
      <formula>"S"</formula>
    </cfRule>
    <cfRule type="expression" dxfId="3562" priority="4977">
      <formula>$AW2290="D"</formula>
    </cfRule>
    <cfRule type="cellIs" dxfId="3561" priority="4978" operator="equal">
      <formula>"B"</formula>
    </cfRule>
    <cfRule type="cellIs" dxfId="3560" priority="4979" operator="equal">
      <formula>"S"</formula>
    </cfRule>
  </conditionalFormatting>
  <conditionalFormatting sqref="Y2302:Y2307">
    <cfRule type="expression" dxfId="3559" priority="4862">
      <formula>$AW2302="D"</formula>
    </cfRule>
    <cfRule type="cellIs" dxfId="3558" priority="4863" operator="equal">
      <formula>"B"</formula>
    </cfRule>
    <cfRule type="cellIs" dxfId="3557" priority="4864" operator="equal">
      <formula>"S"</formula>
    </cfRule>
    <cfRule type="cellIs" dxfId="3556" priority="4865" operator="equal">
      <formula>"S"</formula>
    </cfRule>
    <cfRule type="cellIs" dxfId="3555" priority="4866" operator="equal">
      <formula>"B"</formula>
    </cfRule>
    <cfRule type="expression" dxfId="3554" priority="4868">
      <formula>$AW2302="D"</formula>
    </cfRule>
    <cfRule type="cellIs" dxfId="3553" priority="4869" operator="equal">
      <formula>"B"</formula>
    </cfRule>
    <cfRule type="cellIs" dxfId="3552" priority="4870" operator="equal">
      <formula>"S"</formula>
    </cfRule>
    <cfRule type="expression" dxfId="3551" priority="4871">
      <formula>$AW2302="D"</formula>
    </cfRule>
    <cfRule type="cellIs" dxfId="3550" priority="4872" operator="equal">
      <formula>"B"</formula>
    </cfRule>
    <cfRule type="cellIs" dxfId="3549" priority="4873" operator="equal">
      <formula>"S"</formula>
    </cfRule>
    <cfRule type="cellIs" dxfId="3548" priority="4874" operator="equal">
      <formula>"S"</formula>
    </cfRule>
    <cfRule type="cellIs" dxfId="3547" priority="4875" operator="equal">
      <formula>"B"</formula>
    </cfRule>
    <cfRule type="expression" dxfId="3546" priority="4879">
      <formula>$AW2302="D"</formula>
    </cfRule>
    <cfRule type="cellIs" dxfId="3545" priority="4880" operator="equal">
      <formula>"B"</formula>
    </cfRule>
    <cfRule type="cellIs" dxfId="3544" priority="4881" operator="equal">
      <formula>"S"</formula>
    </cfRule>
    <cfRule type="expression" dxfId="3543" priority="4883">
      <formula>$AW2302="D"</formula>
    </cfRule>
    <cfRule type="cellIs" dxfId="3542" priority="4884" operator="equal">
      <formula>"B"</formula>
    </cfRule>
    <cfRule type="cellIs" dxfId="3541" priority="4885" operator="equal">
      <formula>"S"</formula>
    </cfRule>
    <cfRule type="cellIs" dxfId="3540" priority="4886" operator="equal">
      <formula>"S"</formula>
    </cfRule>
    <cfRule type="cellIs" dxfId="3539" priority="4887" operator="equal">
      <formula>"B"</formula>
    </cfRule>
    <cfRule type="cellIs" dxfId="3538" priority="4889" operator="equal">
      <formula>"S"</formula>
    </cfRule>
    <cfRule type="cellIs" dxfId="3537" priority="4890" operator="equal">
      <formula>"B"</formula>
    </cfRule>
    <cfRule type="expression" dxfId="3536" priority="4891">
      <formula>$AW2302="D"</formula>
    </cfRule>
    <cfRule type="cellIs" dxfId="3535" priority="4892" operator="equal">
      <formula>"B"</formula>
    </cfRule>
    <cfRule type="cellIs" dxfId="3534" priority="4893" operator="equal">
      <formula>"S"</formula>
    </cfRule>
    <cfRule type="expression" dxfId="3533" priority="4894">
      <formula>$AW2302="D"</formula>
    </cfRule>
    <cfRule type="cellIs" dxfId="3532" priority="4895" operator="equal">
      <formula>"B"</formula>
    </cfRule>
    <cfRule type="cellIs" dxfId="3531" priority="4896" operator="equal">
      <formula>"S"</formula>
    </cfRule>
  </conditionalFormatting>
  <conditionalFormatting sqref="Y2302:Y2309">
    <cfRule type="cellIs" dxfId="3530" priority="4841" operator="equal">
      <formula>"S"</formula>
    </cfRule>
    <cfRule type="cellIs" dxfId="3529" priority="4842" operator="equal">
      <formula>"B"</formula>
    </cfRule>
    <cfRule type="expression" dxfId="3528" priority="4848">
      <formula>$AW2302="D"</formula>
    </cfRule>
    <cfRule type="cellIs" dxfId="3527" priority="4849" operator="equal">
      <formula>"B"</formula>
    </cfRule>
    <cfRule type="cellIs" dxfId="3526" priority="4850" operator="equal">
      <formula>"S"</formula>
    </cfRule>
  </conditionalFormatting>
  <conditionalFormatting sqref="Y2308:Y2309">
    <cfRule type="expression" dxfId="3525" priority="4822">
      <formula>$AW2308="D"</formula>
    </cfRule>
    <cfRule type="cellIs" dxfId="3524" priority="4823" operator="equal">
      <formula>"B"</formula>
    </cfRule>
    <cfRule type="cellIs" dxfId="3523" priority="4824" operator="equal">
      <formula>"S"</formula>
    </cfRule>
    <cfRule type="cellIs" dxfId="3522" priority="4825" operator="equal">
      <formula>"S"</formula>
    </cfRule>
    <cfRule type="cellIs" dxfId="3521" priority="4826" operator="equal">
      <formula>"B"</formula>
    </cfRule>
    <cfRule type="expression" dxfId="3520" priority="4829">
      <formula>$AW2308="D"</formula>
    </cfRule>
    <cfRule type="cellIs" dxfId="3519" priority="4830" operator="equal">
      <formula>"B"</formula>
    </cfRule>
    <cfRule type="cellIs" dxfId="3518" priority="4831" operator="equal">
      <formula>"S"</formula>
    </cfRule>
    <cfRule type="expression" dxfId="3517" priority="4832">
      <formula>$AW2308="D"</formula>
    </cfRule>
    <cfRule type="cellIs" dxfId="3516" priority="4833" operator="equal">
      <formula>"B"</formula>
    </cfRule>
    <cfRule type="cellIs" dxfId="3515" priority="4834" operator="equal">
      <formula>"S"</formula>
    </cfRule>
    <cfRule type="expression" dxfId="3514" priority="4835">
      <formula>$AW2308="D"</formula>
    </cfRule>
    <cfRule type="cellIs" dxfId="3513" priority="4836" operator="equal">
      <formula>"B"</formula>
    </cfRule>
    <cfRule type="cellIs" dxfId="3512" priority="4837" operator="equal">
      <formula>"S"</formula>
    </cfRule>
    <cfRule type="expression" dxfId="3511" priority="4838">
      <formula>$AW2308="D"</formula>
    </cfRule>
    <cfRule type="cellIs" dxfId="3510" priority="4839" operator="equal">
      <formula>"B"</formula>
    </cfRule>
    <cfRule type="cellIs" dxfId="3509" priority="4840" operator="equal">
      <formula>"S"</formula>
    </cfRule>
    <cfRule type="expression" dxfId="3508" priority="4845">
      <formula>$AW2308="D"</formula>
    </cfRule>
    <cfRule type="cellIs" dxfId="3507" priority="4846" operator="equal">
      <formula>"B"</formula>
    </cfRule>
    <cfRule type="cellIs" dxfId="3506" priority="4847" operator="equal">
      <formula>"S"</formula>
    </cfRule>
  </conditionalFormatting>
  <conditionalFormatting sqref="Y2308:Y2310">
    <cfRule type="expression" dxfId="3505" priority="4784">
      <formula>$AW2308="D"</formula>
    </cfRule>
    <cfRule type="cellIs" dxfId="3504" priority="4785" operator="equal">
      <formula>"B"</formula>
    </cfRule>
    <cfRule type="cellIs" dxfId="3503" priority="4786" operator="equal">
      <formula>"S"</formula>
    </cfRule>
  </conditionalFormatting>
  <conditionalFormatting sqref="Y2310">
    <cfRule type="expression" dxfId="3502" priority="4758">
      <formula>$AW2310="D"</formula>
    </cfRule>
    <cfRule type="cellIs" dxfId="3501" priority="4759" operator="equal">
      <formula>"B"</formula>
    </cfRule>
    <cfRule type="cellIs" dxfId="3500" priority="4760" operator="equal">
      <formula>"S"</formula>
    </cfRule>
    <cfRule type="cellIs" dxfId="3499" priority="4761" operator="equal">
      <formula>"S"</formula>
    </cfRule>
    <cfRule type="cellIs" dxfId="3498" priority="4762" operator="equal">
      <formula>"B"</formula>
    </cfRule>
    <cfRule type="expression" dxfId="3497" priority="4763">
      <formula>$AW2310="D"</formula>
    </cfRule>
    <cfRule type="cellIs" dxfId="3496" priority="4764" operator="equal">
      <formula>"B"</formula>
    </cfRule>
    <cfRule type="cellIs" dxfId="3495" priority="4765" operator="equal">
      <formula>"S"</formula>
    </cfRule>
    <cfRule type="expression" dxfId="3494" priority="4766">
      <formula>$AW2310="D"</formula>
    </cfRule>
    <cfRule type="cellIs" dxfId="3493" priority="4767" operator="equal">
      <formula>"B"</formula>
    </cfRule>
    <cfRule type="cellIs" dxfId="3492" priority="4768" operator="equal">
      <formula>"S"</formula>
    </cfRule>
    <cfRule type="cellIs" dxfId="3491" priority="4769" operator="equal">
      <formula>"S"</formula>
    </cfRule>
    <cfRule type="cellIs" dxfId="3490" priority="4770" operator="equal">
      <formula>"B"</formula>
    </cfRule>
    <cfRule type="expression" dxfId="3489" priority="4771">
      <formula>$AW2310="D"</formula>
    </cfRule>
    <cfRule type="cellIs" dxfId="3488" priority="4772" operator="equal">
      <formula>"B"</formula>
    </cfRule>
    <cfRule type="cellIs" dxfId="3487" priority="4773" operator="equal">
      <formula>"S"</formula>
    </cfRule>
    <cfRule type="expression" dxfId="3486" priority="4774">
      <formula>$AW2310="D"</formula>
    </cfRule>
    <cfRule type="cellIs" dxfId="3485" priority="4775" operator="equal">
      <formula>"B"</formula>
    </cfRule>
    <cfRule type="cellIs" dxfId="3484" priority="4776" operator="equal">
      <formula>"S"</formula>
    </cfRule>
    <cfRule type="cellIs" dxfId="3483" priority="4777" operator="equal">
      <formula>"S"</formula>
    </cfRule>
    <cfRule type="cellIs" dxfId="3482" priority="4778" operator="equal">
      <formula>"B"</formula>
    </cfRule>
    <cfRule type="expression" dxfId="3481" priority="4781">
      <formula>$AW2310="D"</formula>
    </cfRule>
    <cfRule type="cellIs" dxfId="3480" priority="4782" operator="equal">
      <formula>"B"</formula>
    </cfRule>
    <cfRule type="cellIs" dxfId="3479" priority="4783" operator="equal">
      <formula>"S"</formula>
    </cfRule>
  </conditionalFormatting>
  <conditionalFormatting sqref="Y2310:Y2311">
    <cfRule type="cellIs" dxfId="3478" priority="4740" operator="equal">
      <formula>"S"</formula>
    </cfRule>
    <cfRule type="cellIs" dxfId="3477" priority="4741" operator="equal">
      <formula>"B"</formula>
    </cfRule>
    <cfRule type="expression" dxfId="3476" priority="4745">
      <formula>$AW2310="D"</formula>
    </cfRule>
    <cfRule type="cellIs" dxfId="3475" priority="4746" operator="equal">
      <formula>"B"</formula>
    </cfRule>
    <cfRule type="cellIs" dxfId="3474" priority="4747" operator="equal">
      <formula>"S"</formula>
    </cfRule>
  </conditionalFormatting>
  <conditionalFormatting sqref="Y2311">
    <cfRule type="expression" dxfId="3473" priority="4715">
      <formula>$AW2311="D"</formula>
    </cfRule>
    <cfRule type="cellIs" dxfId="3472" priority="4716" operator="equal">
      <formula>"B"</formula>
    </cfRule>
    <cfRule type="cellIs" dxfId="3471" priority="4717" operator="equal">
      <formula>"S"</formula>
    </cfRule>
    <cfRule type="cellIs" dxfId="3470" priority="4718" operator="equal">
      <formula>"S"</formula>
    </cfRule>
    <cfRule type="cellIs" dxfId="3469" priority="4719" operator="equal">
      <formula>"B"</formula>
    </cfRule>
    <cfRule type="expression" dxfId="3468" priority="4721">
      <formula>$AW2311="D"</formula>
    </cfRule>
    <cfRule type="cellIs" dxfId="3467" priority="4722" operator="equal">
      <formula>"B"</formula>
    </cfRule>
    <cfRule type="cellIs" dxfId="3466" priority="4723" operator="equal">
      <formula>"S"</formula>
    </cfRule>
    <cfRule type="expression" dxfId="3465" priority="4724">
      <formula>$AW2311="D"</formula>
    </cfRule>
    <cfRule type="cellIs" dxfId="3464" priority="4725" operator="equal">
      <formula>"B"</formula>
    </cfRule>
    <cfRule type="cellIs" dxfId="3463" priority="4726" operator="equal">
      <formula>"S"</formula>
    </cfRule>
    <cfRule type="cellIs" dxfId="3462" priority="4727" operator="equal">
      <formula>"S"</formula>
    </cfRule>
    <cfRule type="cellIs" dxfId="3461" priority="4728" operator="equal">
      <formula>"B"</formula>
    </cfRule>
    <cfRule type="expression" dxfId="3460" priority="4730">
      <formula>$AW2311="D"</formula>
    </cfRule>
    <cfRule type="cellIs" dxfId="3459" priority="4731" operator="equal">
      <formula>"B"</formula>
    </cfRule>
    <cfRule type="cellIs" dxfId="3458" priority="4732" operator="equal">
      <formula>"S"</formula>
    </cfRule>
    <cfRule type="expression" dxfId="3457" priority="4734">
      <formula>$AW2311="D"</formula>
    </cfRule>
    <cfRule type="cellIs" dxfId="3456" priority="4735" operator="equal">
      <formula>"B"</formula>
    </cfRule>
    <cfRule type="cellIs" dxfId="3455" priority="4736" operator="equal">
      <formula>"S"</formula>
    </cfRule>
    <cfRule type="cellIs" dxfId="3454" priority="4737" operator="equal">
      <formula>"S"</formula>
    </cfRule>
    <cfRule type="cellIs" dxfId="3453" priority="4738" operator="equal">
      <formula>"B"</formula>
    </cfRule>
    <cfRule type="expression" dxfId="3452" priority="4742">
      <formula>$AW2311="D"</formula>
    </cfRule>
    <cfRule type="cellIs" dxfId="3451" priority="4743" operator="equal">
      <formula>"B"</formula>
    </cfRule>
    <cfRule type="cellIs" dxfId="3450" priority="4744" operator="equal">
      <formula>"S"</formula>
    </cfRule>
  </conditionalFormatting>
  <conditionalFormatting sqref="Y2311:Y2325">
    <cfRule type="cellIs" dxfId="3449" priority="4699" operator="equal">
      <formula>"S"</formula>
    </cfRule>
    <cfRule type="cellIs" dxfId="3448" priority="4700" operator="equal">
      <formula>"B"</formula>
    </cfRule>
    <cfRule type="expression" dxfId="3447" priority="4706">
      <formula>$AW2311="D"</formula>
    </cfRule>
    <cfRule type="cellIs" dxfId="3446" priority="4707" operator="equal">
      <formula>"B"</formula>
    </cfRule>
    <cfRule type="cellIs" dxfId="3445" priority="4708" operator="equal">
      <formula>"S"</formula>
    </cfRule>
  </conditionalFormatting>
  <conditionalFormatting sqref="Y2312:Y2325">
    <cfRule type="expression" dxfId="3444" priority="4680">
      <formula>$AW2312="D"</formula>
    </cfRule>
    <cfRule type="cellIs" dxfId="3443" priority="4681" operator="equal">
      <formula>"B"</formula>
    </cfRule>
    <cfRule type="cellIs" dxfId="3442" priority="4682" operator="equal">
      <formula>"S"</formula>
    </cfRule>
    <cfRule type="cellIs" dxfId="3441" priority="4683" operator="equal">
      <formula>"S"</formula>
    </cfRule>
    <cfRule type="cellIs" dxfId="3440" priority="4684" operator="equal">
      <formula>"B"</formula>
    </cfRule>
    <cfRule type="expression" dxfId="3439" priority="4687">
      <formula>$AW2312="D"</formula>
    </cfRule>
    <cfRule type="cellIs" dxfId="3438" priority="4688" operator="equal">
      <formula>"B"</formula>
    </cfRule>
    <cfRule type="cellIs" dxfId="3437" priority="4689" operator="equal">
      <formula>"S"</formula>
    </cfRule>
    <cfRule type="expression" dxfId="3436" priority="4690">
      <formula>$AW2312="D"</formula>
    </cfRule>
    <cfRule type="cellIs" dxfId="3435" priority="4691" operator="equal">
      <formula>"B"</formula>
    </cfRule>
    <cfRule type="cellIs" dxfId="3434" priority="4692" operator="equal">
      <formula>"S"</formula>
    </cfRule>
    <cfRule type="expression" dxfId="3433" priority="4693">
      <formula>$AW2312="D"</formula>
    </cfRule>
    <cfRule type="cellIs" dxfId="3432" priority="4694" operator="equal">
      <formula>"B"</formula>
    </cfRule>
    <cfRule type="cellIs" dxfId="3431" priority="4695" operator="equal">
      <formula>"S"</formula>
    </cfRule>
    <cfRule type="expression" dxfId="3430" priority="4696">
      <formula>$AW2312="D"</formula>
    </cfRule>
    <cfRule type="cellIs" dxfId="3429" priority="4697" operator="equal">
      <formula>"B"</formula>
    </cfRule>
    <cfRule type="cellIs" dxfId="3428" priority="4698" operator="equal">
      <formula>"S"</formula>
    </cfRule>
    <cfRule type="expression" dxfId="3427" priority="4703">
      <formula>$AW2312="D"</formula>
    </cfRule>
    <cfRule type="cellIs" dxfId="3426" priority="4704" operator="equal">
      <formula>"B"</formula>
    </cfRule>
    <cfRule type="cellIs" dxfId="3425" priority="4705" operator="equal">
      <formula>"S"</formula>
    </cfRule>
  </conditionalFormatting>
  <conditionalFormatting sqref="Y2312:Y2328">
    <cfRule type="expression" dxfId="3424" priority="4622">
      <formula>$AW2312="D"</formula>
    </cfRule>
    <cfRule type="cellIs" dxfId="3423" priority="4623" operator="equal">
      <formula>"B"</formula>
    </cfRule>
    <cfRule type="cellIs" dxfId="3422" priority="4624" operator="equal">
      <formula>"S"</formula>
    </cfRule>
  </conditionalFormatting>
  <conditionalFormatting sqref="Y2326:Y2328">
    <cfRule type="cellIs" dxfId="3421" priority="4585" operator="equal">
      <formula>"S"</formula>
    </cfRule>
    <cfRule type="cellIs" dxfId="3420" priority="4586" operator="equal">
      <formula>"B"</formula>
    </cfRule>
    <cfRule type="expression" dxfId="3419" priority="4587">
      <formula>$AW2326="D"</formula>
    </cfRule>
    <cfRule type="cellIs" dxfId="3418" priority="4588" operator="equal">
      <formula>"B"</formula>
    </cfRule>
    <cfRule type="cellIs" dxfId="3417" priority="4589" operator="equal">
      <formula>"S"</formula>
    </cfRule>
    <cfRule type="expression" dxfId="3416" priority="4590">
      <formula>$AW2326="D"</formula>
    </cfRule>
    <cfRule type="cellIs" dxfId="3415" priority="4591" operator="equal">
      <formula>"B"</formula>
    </cfRule>
    <cfRule type="cellIs" dxfId="3414" priority="4592" operator="equal">
      <formula>"S"</formula>
    </cfRule>
    <cfRule type="cellIs" dxfId="3413" priority="4593" operator="equal">
      <formula>"S"</formula>
    </cfRule>
    <cfRule type="cellIs" dxfId="3412" priority="4594" operator="equal">
      <formula>"B"</formula>
    </cfRule>
    <cfRule type="expression" dxfId="3411" priority="4596">
      <formula>$AW2326="D"</formula>
    </cfRule>
    <cfRule type="cellIs" dxfId="3410" priority="4597" operator="equal">
      <formula>"B"</formula>
    </cfRule>
    <cfRule type="cellIs" dxfId="3409" priority="4598" operator="equal">
      <formula>"S"</formula>
    </cfRule>
    <cfRule type="expression" dxfId="3408" priority="4599">
      <formula>$AW2326="D"</formula>
    </cfRule>
    <cfRule type="cellIs" dxfId="3407" priority="4600" operator="equal">
      <formula>"B"</formula>
    </cfRule>
    <cfRule type="cellIs" dxfId="3406" priority="4601" operator="equal">
      <formula>"S"</formula>
    </cfRule>
    <cfRule type="cellIs" dxfId="3405" priority="4602" operator="equal">
      <formula>"S"</formula>
    </cfRule>
    <cfRule type="cellIs" dxfId="3404" priority="4603" operator="equal">
      <formula>"B"</formula>
    </cfRule>
    <cfRule type="expression" dxfId="3403" priority="4607">
      <formula>$AW2326="D"</formula>
    </cfRule>
    <cfRule type="cellIs" dxfId="3402" priority="4608" operator="equal">
      <formula>"B"</formula>
    </cfRule>
    <cfRule type="cellIs" dxfId="3401" priority="4609" operator="equal">
      <formula>"S"</formula>
    </cfRule>
    <cfRule type="expression" dxfId="3400" priority="4611">
      <formula>$AW2326="D"</formula>
    </cfRule>
    <cfRule type="cellIs" dxfId="3399" priority="4612" operator="equal">
      <formula>"B"</formula>
    </cfRule>
    <cfRule type="cellIs" dxfId="3398" priority="4613" operator="equal">
      <formula>"S"</formula>
    </cfRule>
    <cfRule type="cellIs" dxfId="3397" priority="4614" operator="equal">
      <formula>"S"</formula>
    </cfRule>
    <cfRule type="cellIs" dxfId="3396" priority="4615" operator="equal">
      <formula>"B"</formula>
    </cfRule>
    <cfRule type="cellIs" dxfId="3395" priority="4617" operator="equal">
      <formula>"S"</formula>
    </cfRule>
    <cfRule type="cellIs" dxfId="3394" priority="4618" operator="equal">
      <formula>"B"</formula>
    </cfRule>
    <cfRule type="expression" dxfId="3393" priority="4619">
      <formula>$AW2326="D"</formula>
    </cfRule>
    <cfRule type="cellIs" dxfId="3392" priority="4620" operator="equal">
      <formula>"B"</formula>
    </cfRule>
    <cfRule type="cellIs" dxfId="3391" priority="4621" operator="equal">
      <formula>"S"</formula>
    </cfRule>
  </conditionalFormatting>
  <conditionalFormatting sqref="Y2327">
    <cfRule type="expression" dxfId="3390" priority="4542">
      <formula>$AW2327="D"</formula>
    </cfRule>
    <cfRule type="cellIs" dxfId="3389" priority="4543" operator="equal">
      <formula>"B"</formula>
    </cfRule>
    <cfRule type="cellIs" dxfId="3388" priority="4544" operator="equal">
      <formula>"S"</formula>
    </cfRule>
    <cfRule type="expression" dxfId="3387" priority="4545">
      <formula>$AW2327="D"</formula>
    </cfRule>
    <cfRule type="cellIs" dxfId="3386" priority="4546" operator="equal">
      <formula>"B"</formula>
    </cfRule>
    <cfRule type="cellIs" dxfId="3385" priority="4547" operator="equal">
      <formula>"S"</formula>
    </cfRule>
    <cfRule type="cellIs" dxfId="3384" priority="4548" operator="equal">
      <formula>"S"</formula>
    </cfRule>
    <cfRule type="cellIs" dxfId="3383" priority="4549" operator="equal">
      <formula>"B"</formula>
    </cfRule>
    <cfRule type="expression" dxfId="3382" priority="4552">
      <formula>$AW2327="D"</formula>
    </cfRule>
    <cfRule type="cellIs" dxfId="3381" priority="4553" operator="equal">
      <formula>"B"</formula>
    </cfRule>
    <cfRule type="cellIs" dxfId="3380" priority="4554" operator="equal">
      <formula>"S"</formula>
    </cfRule>
    <cfRule type="expression" dxfId="3379" priority="4555">
      <formula>$AW2327="D"</formula>
    </cfRule>
    <cfRule type="cellIs" dxfId="3378" priority="4556" operator="equal">
      <formula>"B"</formula>
    </cfRule>
    <cfRule type="cellIs" dxfId="3377" priority="4557" operator="equal">
      <formula>"S"</formula>
    </cfRule>
    <cfRule type="expression" dxfId="3376" priority="4558">
      <formula>$AW2327="D"</formula>
    </cfRule>
    <cfRule type="cellIs" dxfId="3375" priority="4559" operator="equal">
      <formula>"B"</formula>
    </cfRule>
    <cfRule type="cellIs" dxfId="3374" priority="4560" operator="equal">
      <formula>"S"</formula>
    </cfRule>
    <cfRule type="expression" dxfId="3373" priority="4561">
      <formula>$AW2327="D"</formula>
    </cfRule>
    <cfRule type="cellIs" dxfId="3372" priority="4562" operator="equal">
      <formula>"B"</formula>
    </cfRule>
    <cfRule type="cellIs" dxfId="3371" priority="4563" operator="equal">
      <formula>"S"</formula>
    </cfRule>
    <cfRule type="cellIs" dxfId="3370" priority="4564" operator="equal">
      <formula>"S"</formula>
    </cfRule>
    <cfRule type="cellIs" dxfId="3369" priority="4565" operator="equal">
      <formula>"B"</formula>
    </cfRule>
    <cfRule type="expression" dxfId="3368" priority="4568">
      <formula>$AW2327="D"</formula>
    </cfRule>
    <cfRule type="cellIs" dxfId="3367" priority="4569" operator="equal">
      <formula>"B"</formula>
    </cfRule>
    <cfRule type="cellIs" dxfId="3366" priority="4570" operator="equal">
      <formula>"S"</formula>
    </cfRule>
    <cfRule type="expression" dxfId="3365" priority="4571">
      <formula>$AW2327="D"</formula>
    </cfRule>
    <cfRule type="cellIs" dxfId="3364" priority="4572" operator="equal">
      <formula>"B"</formula>
    </cfRule>
    <cfRule type="cellIs" dxfId="3363" priority="4573" operator="equal">
      <formula>"S"</formula>
    </cfRule>
  </conditionalFormatting>
  <conditionalFormatting sqref="Y2329:Y2332">
    <cfRule type="expression" dxfId="3362" priority="4504">
      <formula>$AW2329="D"</formula>
    </cfRule>
    <cfRule type="cellIs" dxfId="3361" priority="4505" operator="equal">
      <formula>"B"</formula>
    </cfRule>
    <cfRule type="cellIs" dxfId="3360" priority="4506" operator="equal">
      <formula>"S"</formula>
    </cfRule>
    <cfRule type="expression" dxfId="3359" priority="4507">
      <formula>$AW2329="D"</formula>
    </cfRule>
    <cfRule type="cellIs" dxfId="3358" priority="4508" operator="equal">
      <formula>"B"</formula>
    </cfRule>
    <cfRule type="cellIs" dxfId="3357" priority="4509" operator="equal">
      <formula>"S"</formula>
    </cfRule>
    <cfRule type="cellIs" dxfId="3356" priority="4510" operator="equal">
      <formula>"S"</formula>
    </cfRule>
    <cfRule type="cellIs" dxfId="3355" priority="4511" operator="equal">
      <formula>"B"</formula>
    </cfRule>
    <cfRule type="expression" dxfId="3354" priority="4514">
      <formula>$AW2329="D"</formula>
    </cfRule>
    <cfRule type="cellIs" dxfId="3353" priority="4515" operator="equal">
      <formula>"B"</formula>
    </cfRule>
    <cfRule type="cellIs" dxfId="3352" priority="4516" operator="equal">
      <formula>"S"</formula>
    </cfRule>
    <cfRule type="expression" dxfId="3351" priority="4517">
      <formula>$AW2329="D"</formula>
    </cfRule>
    <cfRule type="cellIs" dxfId="3350" priority="4518" operator="equal">
      <formula>"B"</formula>
    </cfRule>
    <cfRule type="cellIs" dxfId="3349" priority="4519" operator="equal">
      <formula>"S"</formula>
    </cfRule>
    <cfRule type="expression" dxfId="3348" priority="4520">
      <formula>$AW2329="D"</formula>
    </cfRule>
    <cfRule type="cellIs" dxfId="3347" priority="4521" operator="equal">
      <formula>"B"</formula>
    </cfRule>
    <cfRule type="cellIs" dxfId="3346" priority="4522" operator="equal">
      <formula>"S"</formula>
    </cfRule>
    <cfRule type="expression" dxfId="3345" priority="4523">
      <formula>$AW2329="D"</formula>
    </cfRule>
    <cfRule type="cellIs" dxfId="3344" priority="4524" operator="equal">
      <formula>"B"</formula>
    </cfRule>
    <cfRule type="cellIs" dxfId="3343" priority="4525" operator="equal">
      <formula>"S"</formula>
    </cfRule>
    <cfRule type="cellIs" dxfId="3342" priority="4526" operator="equal">
      <formula>"S"</formula>
    </cfRule>
    <cfRule type="cellIs" dxfId="3341" priority="4527" operator="equal">
      <formula>"B"</formula>
    </cfRule>
    <cfRule type="expression" dxfId="3340" priority="4530">
      <formula>$AW2329="D"</formula>
    </cfRule>
    <cfRule type="cellIs" dxfId="3339" priority="4531" operator="equal">
      <formula>"B"</formula>
    </cfRule>
    <cfRule type="cellIs" dxfId="3338" priority="4532" operator="equal">
      <formula>"S"</formula>
    </cfRule>
    <cfRule type="expression" dxfId="3337" priority="4533">
      <formula>$AW2329="D"</formula>
    </cfRule>
    <cfRule type="cellIs" dxfId="3336" priority="4534" operator="equal">
      <formula>"B"</formula>
    </cfRule>
    <cfRule type="cellIs" dxfId="3335" priority="4535" operator="equal">
      <formula>"S"</formula>
    </cfRule>
  </conditionalFormatting>
  <conditionalFormatting sqref="Y2335:Y2351">
    <cfRule type="expression" dxfId="3334" priority="4460">
      <formula>$AW2335="D"</formula>
    </cfRule>
    <cfRule type="cellIs" dxfId="3333" priority="4461" operator="equal">
      <formula>"B"</formula>
    </cfRule>
    <cfRule type="cellIs" dxfId="3332" priority="4462" operator="equal">
      <formula>"S"</formula>
    </cfRule>
    <cfRule type="expression" dxfId="3331" priority="4463">
      <formula>$AW2335="D"</formula>
    </cfRule>
    <cfRule type="cellIs" dxfId="3330" priority="4464" operator="equal">
      <formula>"B"</formula>
    </cfRule>
    <cfRule type="cellIs" dxfId="3329" priority="4465" operator="equal">
      <formula>"S"</formula>
    </cfRule>
    <cfRule type="cellIs" dxfId="3328" priority="4466" operator="equal">
      <formula>"S"</formula>
    </cfRule>
    <cfRule type="cellIs" dxfId="3327" priority="4467" operator="equal">
      <formula>"B"</formula>
    </cfRule>
    <cfRule type="expression" dxfId="3326" priority="4470">
      <formula>$AW2335="D"</formula>
    </cfRule>
    <cfRule type="cellIs" dxfId="3325" priority="4471" operator="equal">
      <formula>"B"</formula>
    </cfRule>
    <cfRule type="cellIs" dxfId="3324" priority="4472" operator="equal">
      <formula>"S"</formula>
    </cfRule>
    <cfRule type="expression" dxfId="3323" priority="4473">
      <formula>$AW2335="D"</formula>
    </cfRule>
    <cfRule type="cellIs" dxfId="3322" priority="4474" operator="equal">
      <formula>"B"</formula>
    </cfRule>
    <cfRule type="cellIs" dxfId="3321" priority="4475" operator="equal">
      <formula>"S"</formula>
    </cfRule>
    <cfRule type="expression" dxfId="3320" priority="4476">
      <formula>$AW2335="D"</formula>
    </cfRule>
    <cfRule type="cellIs" dxfId="3319" priority="4477" operator="equal">
      <formula>"B"</formula>
    </cfRule>
    <cfRule type="cellIs" dxfId="3318" priority="4478" operator="equal">
      <formula>"S"</formula>
    </cfRule>
    <cfRule type="expression" dxfId="3317" priority="4479">
      <formula>$AW2335="D"</formula>
    </cfRule>
    <cfRule type="cellIs" dxfId="3316" priority="4480" operator="equal">
      <formula>"B"</formula>
    </cfRule>
    <cfRule type="cellIs" dxfId="3315" priority="4481" operator="equal">
      <formula>"S"</formula>
    </cfRule>
    <cfRule type="cellIs" dxfId="3314" priority="4482" operator="equal">
      <formula>"S"</formula>
    </cfRule>
    <cfRule type="cellIs" dxfId="3313" priority="4483" operator="equal">
      <formula>"B"</formula>
    </cfRule>
    <cfRule type="expression" dxfId="3312" priority="4486">
      <formula>$AW2335="D"</formula>
    </cfRule>
    <cfRule type="cellIs" dxfId="3311" priority="4487" operator="equal">
      <formula>"B"</formula>
    </cfRule>
    <cfRule type="cellIs" dxfId="3310" priority="4488" operator="equal">
      <formula>"S"</formula>
    </cfRule>
    <cfRule type="expression" dxfId="3309" priority="4489">
      <formula>$AW2335="D"</formula>
    </cfRule>
    <cfRule type="cellIs" dxfId="3308" priority="4490" operator="equal">
      <formula>"B"</formula>
    </cfRule>
    <cfRule type="cellIs" dxfId="3307" priority="4491" operator="equal">
      <formula>"S"</formula>
    </cfRule>
  </conditionalFormatting>
  <conditionalFormatting sqref="Y2353:Y2359">
    <cfRule type="expression" dxfId="3306" priority="4356">
      <formula>$AW2353="D"</formula>
    </cfRule>
    <cfRule type="cellIs" dxfId="3305" priority="4357" operator="equal">
      <formula>"B"</formula>
    </cfRule>
    <cfRule type="cellIs" dxfId="3304" priority="4358" operator="equal">
      <formula>"S"</formula>
    </cfRule>
    <cfRule type="cellIs" dxfId="3303" priority="4359" operator="equal">
      <formula>"S"</formula>
    </cfRule>
    <cfRule type="cellIs" dxfId="3302" priority="4360" operator="equal">
      <formula>"B"</formula>
    </cfRule>
    <cfRule type="expression" dxfId="3301" priority="4363">
      <formula>$AW2353="D"</formula>
    </cfRule>
    <cfRule type="cellIs" dxfId="3300" priority="4364" operator="equal">
      <formula>"B"</formula>
    </cfRule>
    <cfRule type="cellIs" dxfId="3299" priority="4365" operator="equal">
      <formula>"S"</formula>
    </cfRule>
    <cfRule type="expression" dxfId="3298" priority="4366">
      <formula>$AW2353="D"</formula>
    </cfRule>
    <cfRule type="cellIs" dxfId="3297" priority="4367" operator="equal">
      <formula>"B"</formula>
    </cfRule>
    <cfRule type="cellIs" dxfId="3296" priority="4368" operator="equal">
      <formula>"S"</formula>
    </cfRule>
    <cfRule type="expression" dxfId="3295" priority="4369">
      <formula>$AW2353="D"</formula>
    </cfRule>
    <cfRule type="cellIs" dxfId="3294" priority="4370" operator="equal">
      <formula>"B"</formula>
    </cfRule>
    <cfRule type="cellIs" dxfId="3293" priority="4371" operator="equal">
      <formula>"S"</formula>
    </cfRule>
    <cfRule type="expression" dxfId="3292" priority="4372">
      <formula>$AW2353="D"</formula>
    </cfRule>
    <cfRule type="cellIs" dxfId="3291" priority="4373" operator="equal">
      <formula>"B"</formula>
    </cfRule>
    <cfRule type="cellIs" dxfId="3290" priority="4374" operator="equal">
      <formula>"S"</formula>
    </cfRule>
    <cfRule type="cellIs" dxfId="3289" priority="4375" operator="equal">
      <formula>"S"</formula>
    </cfRule>
    <cfRule type="cellIs" dxfId="3288" priority="4376" operator="equal">
      <formula>"B"</formula>
    </cfRule>
    <cfRule type="expression" dxfId="3287" priority="4379">
      <formula>$AW2353="D"</formula>
    </cfRule>
    <cfRule type="cellIs" dxfId="3286" priority="4380" operator="equal">
      <formula>"B"</formula>
    </cfRule>
    <cfRule type="cellIs" dxfId="3285" priority="4381" operator="equal">
      <formula>"S"</formula>
    </cfRule>
    <cfRule type="expression" dxfId="3284" priority="4382">
      <formula>$AW2353="D"</formula>
    </cfRule>
    <cfRule type="cellIs" dxfId="3283" priority="4383" operator="equal">
      <formula>"B"</formula>
    </cfRule>
    <cfRule type="cellIs" dxfId="3282" priority="4384" operator="equal">
      <formula>"S"</formula>
    </cfRule>
  </conditionalFormatting>
  <conditionalFormatting sqref="Y2353:Y2362">
    <cfRule type="expression" dxfId="3281" priority="4260">
      <formula>$AW2353="D"</formula>
    </cfRule>
    <cfRule type="cellIs" dxfId="3280" priority="4261" operator="equal">
      <formula>"B"</formula>
    </cfRule>
    <cfRule type="cellIs" dxfId="3279" priority="4262" operator="equal">
      <formula>"S"</formula>
    </cfRule>
  </conditionalFormatting>
  <conditionalFormatting sqref="Y2360:Y2362">
    <cfRule type="expression" dxfId="3278" priority="4234">
      <formula>$AW2360="D"</formula>
    </cfRule>
    <cfRule type="cellIs" dxfId="3277" priority="4235" operator="equal">
      <formula>"B"</formula>
    </cfRule>
    <cfRule type="cellIs" dxfId="3276" priority="4236" operator="equal">
      <formula>"S"</formula>
    </cfRule>
    <cfRule type="cellIs" dxfId="3275" priority="4237" operator="equal">
      <formula>"S"</formula>
    </cfRule>
    <cfRule type="cellIs" dxfId="3274" priority="4238" operator="equal">
      <formula>"B"</formula>
    </cfRule>
    <cfRule type="expression" dxfId="3273" priority="4241">
      <formula>$AW2360="D"</formula>
    </cfRule>
    <cfRule type="cellIs" dxfId="3272" priority="4242" operator="equal">
      <formula>"B"</formula>
    </cfRule>
    <cfRule type="cellIs" dxfId="3271" priority="4243" operator="equal">
      <formula>"S"</formula>
    </cfRule>
    <cfRule type="expression" dxfId="3270" priority="4244">
      <formula>$AW2360="D"</formula>
    </cfRule>
    <cfRule type="cellIs" dxfId="3269" priority="4245" operator="equal">
      <formula>"B"</formula>
    </cfRule>
    <cfRule type="cellIs" dxfId="3268" priority="4246" operator="equal">
      <formula>"S"</formula>
    </cfRule>
    <cfRule type="expression" dxfId="3267" priority="4247">
      <formula>$AW2360="D"</formula>
    </cfRule>
    <cfRule type="cellIs" dxfId="3266" priority="4248" operator="equal">
      <formula>"B"</formula>
    </cfRule>
    <cfRule type="cellIs" dxfId="3265" priority="4249" operator="equal">
      <formula>"S"</formula>
    </cfRule>
    <cfRule type="expression" dxfId="3264" priority="4250">
      <formula>$AW2360="D"</formula>
    </cfRule>
    <cfRule type="cellIs" dxfId="3263" priority="4251" operator="equal">
      <formula>"B"</formula>
    </cfRule>
    <cfRule type="cellIs" dxfId="3262" priority="4252" operator="equal">
      <formula>"S"</formula>
    </cfRule>
    <cfRule type="cellIs" dxfId="3261" priority="4253" operator="equal">
      <formula>"S"</formula>
    </cfRule>
    <cfRule type="cellIs" dxfId="3260" priority="4254" operator="equal">
      <formula>"B"</formula>
    </cfRule>
    <cfRule type="expression" dxfId="3259" priority="4257">
      <formula>$AW2360="D"</formula>
    </cfRule>
    <cfRule type="cellIs" dxfId="3258" priority="4258" operator="equal">
      <formula>"B"</formula>
    </cfRule>
    <cfRule type="cellIs" dxfId="3257" priority="4259" operator="equal">
      <formula>"S"</formula>
    </cfRule>
  </conditionalFormatting>
  <conditionalFormatting sqref="Y2360:Y2370">
    <cfRule type="expression" dxfId="3256" priority="4218">
      <formula>$AW2360="D"</formula>
    </cfRule>
    <cfRule type="cellIs" dxfId="3255" priority="4219" operator="equal">
      <formula>"B"</formula>
    </cfRule>
    <cfRule type="cellIs" dxfId="3254" priority="4220" operator="equal">
      <formula>"S"</formula>
    </cfRule>
  </conditionalFormatting>
  <conditionalFormatting sqref="Y2363:Y2370">
    <cfRule type="expression" dxfId="3253" priority="4189">
      <formula>$AW2363="D"</formula>
    </cfRule>
    <cfRule type="cellIs" dxfId="3252" priority="4190" operator="equal">
      <formula>"B"</formula>
    </cfRule>
    <cfRule type="cellIs" dxfId="3251" priority="4191" operator="equal">
      <formula>"S"</formula>
    </cfRule>
    <cfRule type="expression" dxfId="3250" priority="4192">
      <formula>$AW2363="D"</formula>
    </cfRule>
    <cfRule type="cellIs" dxfId="3249" priority="4193" operator="equal">
      <formula>"B"</formula>
    </cfRule>
    <cfRule type="cellIs" dxfId="3248" priority="4194" operator="equal">
      <formula>"S"</formula>
    </cfRule>
    <cfRule type="cellIs" dxfId="3247" priority="4195" operator="equal">
      <formula>"S"</formula>
    </cfRule>
    <cfRule type="cellIs" dxfId="3246" priority="4196" operator="equal">
      <formula>"B"</formula>
    </cfRule>
    <cfRule type="expression" dxfId="3245" priority="4199">
      <formula>$AW2363="D"</formula>
    </cfRule>
    <cfRule type="cellIs" dxfId="3244" priority="4200" operator="equal">
      <formula>"B"</formula>
    </cfRule>
    <cfRule type="cellIs" dxfId="3243" priority="4201" operator="equal">
      <formula>"S"</formula>
    </cfRule>
    <cfRule type="expression" dxfId="3242" priority="4202">
      <formula>$AW2363="D"</formula>
    </cfRule>
    <cfRule type="cellIs" dxfId="3241" priority="4203" operator="equal">
      <formula>"B"</formula>
    </cfRule>
    <cfRule type="cellIs" dxfId="3240" priority="4204" operator="equal">
      <formula>"S"</formula>
    </cfRule>
    <cfRule type="expression" dxfId="3239" priority="4205">
      <formula>$AW2363="D"</formula>
    </cfRule>
    <cfRule type="cellIs" dxfId="3238" priority="4206" operator="equal">
      <formula>"B"</formula>
    </cfRule>
    <cfRule type="cellIs" dxfId="3237" priority="4207" operator="equal">
      <formula>"S"</formula>
    </cfRule>
    <cfRule type="expression" dxfId="3236" priority="4208">
      <formula>$AW2363="D"</formula>
    </cfRule>
    <cfRule type="cellIs" dxfId="3235" priority="4209" operator="equal">
      <formula>"B"</formula>
    </cfRule>
    <cfRule type="cellIs" dxfId="3234" priority="4210" operator="equal">
      <formula>"S"</formula>
    </cfRule>
    <cfRule type="cellIs" dxfId="3233" priority="4211" operator="equal">
      <formula>"S"</formula>
    </cfRule>
    <cfRule type="cellIs" dxfId="3232" priority="4212" operator="equal">
      <formula>"B"</formula>
    </cfRule>
    <cfRule type="expression" dxfId="3231" priority="4215">
      <formula>$AW2363="D"</formula>
    </cfRule>
    <cfRule type="cellIs" dxfId="3230" priority="4216" operator="equal">
      <formula>"B"</formula>
    </cfRule>
    <cfRule type="cellIs" dxfId="3229" priority="4217" operator="equal">
      <formula>"S"</formula>
    </cfRule>
  </conditionalFormatting>
  <conditionalFormatting sqref="Y2372:Y2381 Y2383:Y2397">
    <cfRule type="cellIs" dxfId="3228" priority="4103" operator="equal">
      <formula>"S"</formula>
    </cfRule>
    <cfRule type="cellIs" dxfId="3227" priority="4104" operator="equal">
      <formula>"B"</formula>
    </cfRule>
    <cfRule type="expression" dxfId="3226" priority="4105">
      <formula>$AW2372="D"</formula>
    </cfRule>
    <cfRule type="cellIs" dxfId="3225" priority="4106" operator="equal">
      <formula>"B"</formula>
    </cfRule>
    <cfRule type="cellIs" dxfId="3224" priority="4107" operator="equal">
      <formula>"S"</formula>
    </cfRule>
    <cfRule type="expression" dxfId="3223" priority="4108">
      <formula>$AW2372="D"</formula>
    </cfRule>
    <cfRule type="cellIs" dxfId="3222" priority="4109" operator="equal">
      <formula>"B"</formula>
    </cfRule>
    <cfRule type="cellIs" dxfId="3221" priority="4110" operator="equal">
      <formula>"S"</formula>
    </cfRule>
    <cfRule type="cellIs" dxfId="3220" priority="4111" operator="equal">
      <formula>"S"</formula>
    </cfRule>
    <cfRule type="cellIs" dxfId="3219" priority="4112" operator="equal">
      <formula>"B"</formula>
    </cfRule>
    <cfRule type="expression" dxfId="3218" priority="4114">
      <formula>$AW2372="D"</formula>
    </cfRule>
    <cfRule type="cellIs" dxfId="3217" priority="4115" operator="equal">
      <formula>"B"</formula>
    </cfRule>
    <cfRule type="cellIs" dxfId="3216" priority="4116" operator="equal">
      <formula>"S"</formula>
    </cfRule>
    <cfRule type="expression" dxfId="3215" priority="4117">
      <formula>$AW2372="D"</formula>
    </cfRule>
    <cfRule type="cellIs" dxfId="3214" priority="4118" operator="equal">
      <formula>"B"</formula>
    </cfRule>
    <cfRule type="cellIs" dxfId="3213" priority="4119" operator="equal">
      <formula>"S"</formula>
    </cfRule>
    <cfRule type="cellIs" dxfId="3212" priority="4120" operator="equal">
      <formula>"S"</formula>
    </cfRule>
    <cfRule type="cellIs" dxfId="3211" priority="4121" operator="equal">
      <formula>"B"</formula>
    </cfRule>
    <cfRule type="expression" dxfId="3210" priority="4123">
      <formula>$AW2372="D"</formula>
    </cfRule>
    <cfRule type="cellIs" dxfId="3209" priority="4124" operator="equal">
      <formula>"B"</formula>
    </cfRule>
    <cfRule type="cellIs" dxfId="3208" priority="4125" operator="equal">
      <formula>"S"</formula>
    </cfRule>
    <cfRule type="expression" dxfId="3207" priority="4127">
      <formula>$AW2372="D"</formula>
    </cfRule>
    <cfRule type="cellIs" dxfId="3206" priority="4128" operator="equal">
      <formula>"B"</formula>
    </cfRule>
    <cfRule type="cellIs" dxfId="3205" priority="4129" operator="equal">
      <formula>"S"</formula>
    </cfRule>
    <cfRule type="cellIs" dxfId="3204" priority="4130" operator="equal">
      <formula>"S"</formula>
    </cfRule>
    <cfRule type="cellIs" dxfId="3203" priority="4131" operator="equal">
      <formula>"B"</formula>
    </cfRule>
    <cfRule type="cellIs" dxfId="3202" priority="4133" operator="equal">
      <formula>"S"</formula>
    </cfRule>
    <cfRule type="cellIs" dxfId="3201" priority="4134" operator="equal">
      <formula>"B"</formula>
    </cfRule>
    <cfRule type="expression" dxfId="3200" priority="4135">
      <formula>$AW2372="D"</formula>
    </cfRule>
    <cfRule type="cellIs" dxfId="3199" priority="4136" operator="equal">
      <formula>"B"</formula>
    </cfRule>
    <cfRule type="cellIs" dxfId="3198" priority="4137" operator="equal">
      <formula>"S"</formula>
    </cfRule>
    <cfRule type="expression" dxfId="3197" priority="4138">
      <formula>$AW2372="D"</formula>
    </cfRule>
    <cfRule type="cellIs" dxfId="3196" priority="4139" operator="equal">
      <formula>"B"</formula>
    </cfRule>
    <cfRule type="cellIs" dxfId="3195" priority="4140" operator="equal">
      <formula>"S"</formula>
    </cfRule>
    <cfRule type="expression" dxfId="3194" priority="4149">
      <formula>$AW2372="D"</formula>
    </cfRule>
    <cfRule type="cellIs" dxfId="3193" priority="4150" operator="equal">
      <formula>"B"</formula>
    </cfRule>
    <cfRule type="cellIs" dxfId="3192" priority="4151" operator="equal">
      <formula>"S"</formula>
    </cfRule>
    <cfRule type="expression" dxfId="3191" priority="4152">
      <formula>$AW2372="D"</formula>
    </cfRule>
    <cfRule type="cellIs" dxfId="3190" priority="4153" operator="equal">
      <formula>"B"</formula>
    </cfRule>
    <cfRule type="cellIs" dxfId="3189" priority="4154" operator="equal">
      <formula>"S"</formula>
    </cfRule>
    <cfRule type="cellIs" dxfId="3188" priority="4155" operator="equal">
      <formula>"S"</formula>
    </cfRule>
    <cfRule type="cellIs" dxfId="3187" priority="4156" operator="equal">
      <formula>"B"</formula>
    </cfRule>
    <cfRule type="expression" dxfId="3186" priority="4159">
      <formula>$AW2372="D"</formula>
    </cfRule>
    <cfRule type="cellIs" dxfId="3185" priority="4160" operator="equal">
      <formula>"B"</formula>
    </cfRule>
    <cfRule type="cellIs" dxfId="3184" priority="4161" operator="equal">
      <formula>"S"</formula>
    </cfRule>
    <cfRule type="expression" dxfId="3183" priority="4162">
      <formula>$AW2372="D"</formula>
    </cfRule>
    <cfRule type="cellIs" dxfId="3182" priority="4163" operator="equal">
      <formula>"B"</formula>
    </cfRule>
    <cfRule type="cellIs" dxfId="3181" priority="4164" operator="equal">
      <formula>"S"</formula>
    </cfRule>
    <cfRule type="expression" dxfId="3180" priority="4165">
      <formula>$AW2372="D"</formula>
    </cfRule>
    <cfRule type="cellIs" dxfId="3179" priority="4166" operator="equal">
      <formula>"B"</formula>
    </cfRule>
    <cfRule type="cellIs" dxfId="3178" priority="4167" operator="equal">
      <formula>"S"</formula>
    </cfRule>
    <cfRule type="expression" dxfId="3177" priority="4168">
      <formula>$AW2372="D"</formula>
    </cfRule>
    <cfRule type="cellIs" dxfId="3176" priority="4169" operator="equal">
      <formula>"B"</formula>
    </cfRule>
    <cfRule type="cellIs" dxfId="3175" priority="4170" operator="equal">
      <formula>"S"</formula>
    </cfRule>
    <cfRule type="cellIs" dxfId="3174" priority="4171" operator="equal">
      <formula>"S"</formula>
    </cfRule>
    <cfRule type="cellIs" dxfId="3173" priority="4172" operator="equal">
      <formula>"B"</formula>
    </cfRule>
    <cfRule type="expression" dxfId="3172" priority="4175">
      <formula>$AW2372="D"</formula>
    </cfRule>
    <cfRule type="cellIs" dxfId="3171" priority="4176" operator="equal">
      <formula>"B"</formula>
    </cfRule>
    <cfRule type="cellIs" dxfId="3170" priority="4177" operator="equal">
      <formula>"S"</formula>
    </cfRule>
    <cfRule type="expression" dxfId="3169" priority="4178">
      <formula>$AW2372="D"</formula>
    </cfRule>
    <cfRule type="cellIs" dxfId="3168" priority="4179" operator="equal">
      <formula>"B"</formula>
    </cfRule>
    <cfRule type="cellIs" dxfId="3167" priority="4180" operator="equal">
      <formula>"S"</formula>
    </cfRule>
  </conditionalFormatting>
  <conditionalFormatting sqref="Y2399:Y2400">
    <cfRule type="cellIs" dxfId="3166" priority="3952" operator="equal">
      <formula>"S"</formula>
    </cfRule>
    <cfRule type="cellIs" dxfId="3165" priority="3953" operator="equal">
      <formula>"B"</formula>
    </cfRule>
    <cfRule type="expression" dxfId="3164" priority="3954">
      <formula>$AW2399="D"</formula>
    </cfRule>
    <cfRule type="cellIs" dxfId="3163" priority="3955" operator="equal">
      <formula>"B"</formula>
    </cfRule>
    <cfRule type="cellIs" dxfId="3162" priority="3956" operator="equal">
      <formula>"S"</formula>
    </cfRule>
    <cfRule type="expression" dxfId="3161" priority="3957">
      <formula>$AW2399="D"</formula>
    </cfRule>
    <cfRule type="cellIs" dxfId="3160" priority="3958" operator="equal">
      <formula>"B"</formula>
    </cfRule>
    <cfRule type="cellIs" dxfId="3159" priority="3959" operator="equal">
      <formula>"S"</formula>
    </cfRule>
    <cfRule type="cellIs" dxfId="3158" priority="3960" operator="equal">
      <formula>"S"</formula>
    </cfRule>
    <cfRule type="cellIs" dxfId="3157" priority="3961" operator="equal">
      <formula>"B"</formula>
    </cfRule>
    <cfRule type="expression" dxfId="3156" priority="3963">
      <formula>$AW2399="D"</formula>
    </cfRule>
    <cfRule type="cellIs" dxfId="3155" priority="3964" operator="equal">
      <formula>"B"</formula>
    </cfRule>
    <cfRule type="cellIs" dxfId="3154" priority="3965" operator="equal">
      <formula>"S"</formula>
    </cfRule>
    <cfRule type="expression" dxfId="3153" priority="3966">
      <formula>$AW2399="D"</formula>
    </cfRule>
    <cfRule type="cellIs" dxfId="3152" priority="3967" operator="equal">
      <formula>"B"</formula>
    </cfRule>
    <cfRule type="cellIs" dxfId="3151" priority="3968" operator="equal">
      <formula>"S"</formula>
    </cfRule>
    <cfRule type="cellIs" dxfId="3150" priority="3969" operator="equal">
      <formula>"S"</formula>
    </cfRule>
    <cfRule type="cellIs" dxfId="3149" priority="3970" operator="equal">
      <formula>"B"</formula>
    </cfRule>
    <cfRule type="expression" dxfId="3148" priority="3972">
      <formula>$AW2399="D"</formula>
    </cfRule>
    <cfRule type="cellIs" dxfId="3147" priority="3973" operator="equal">
      <formula>"B"</formula>
    </cfRule>
    <cfRule type="cellIs" dxfId="3146" priority="3974" operator="equal">
      <formula>"S"</formula>
    </cfRule>
    <cfRule type="expression" dxfId="3145" priority="3976">
      <formula>$AW2399="D"</formula>
    </cfRule>
    <cfRule type="cellIs" dxfId="3144" priority="3977" operator="equal">
      <formula>"B"</formula>
    </cfRule>
    <cfRule type="cellIs" dxfId="3143" priority="3978" operator="equal">
      <formula>"S"</formula>
    </cfRule>
    <cfRule type="cellIs" dxfId="3142" priority="3979" operator="equal">
      <formula>"S"</formula>
    </cfRule>
    <cfRule type="cellIs" dxfId="3141" priority="3980" operator="equal">
      <formula>"B"</formula>
    </cfRule>
    <cfRule type="cellIs" dxfId="3140" priority="3982" operator="equal">
      <formula>"S"</formula>
    </cfRule>
    <cfRule type="cellIs" dxfId="3139" priority="3983" operator="equal">
      <formula>"B"</formula>
    </cfRule>
    <cfRule type="expression" dxfId="3138" priority="3984">
      <formula>$AW2399="D"</formula>
    </cfRule>
    <cfRule type="cellIs" dxfId="3137" priority="3985" operator="equal">
      <formula>"B"</formula>
    </cfRule>
    <cfRule type="cellIs" dxfId="3136" priority="3986" operator="equal">
      <formula>"S"</formula>
    </cfRule>
    <cfRule type="expression" dxfId="3135" priority="3987">
      <formula>$AW2399="D"</formula>
    </cfRule>
    <cfRule type="cellIs" dxfId="3134" priority="3988" operator="equal">
      <formula>"B"</formula>
    </cfRule>
    <cfRule type="cellIs" dxfId="3133" priority="3989" operator="equal">
      <formula>"S"</formula>
    </cfRule>
    <cfRule type="expression" dxfId="3132" priority="3996">
      <formula>$AW2399="D"</formula>
    </cfRule>
    <cfRule type="cellIs" dxfId="3131" priority="3997" operator="equal">
      <formula>"B"</formula>
    </cfRule>
    <cfRule type="cellIs" dxfId="3130" priority="3998" operator="equal">
      <formula>"S"</formula>
    </cfRule>
    <cfRule type="expression" dxfId="3129" priority="3999">
      <formula>$AW2399="D"</formula>
    </cfRule>
    <cfRule type="cellIs" dxfId="3128" priority="4000" operator="equal">
      <formula>"B"</formula>
    </cfRule>
    <cfRule type="cellIs" dxfId="3127" priority="4001" operator="equal">
      <formula>"S"</formula>
    </cfRule>
    <cfRule type="cellIs" dxfId="3126" priority="4002" operator="equal">
      <formula>"S"</formula>
    </cfRule>
    <cfRule type="cellIs" dxfId="3125" priority="4003" operator="equal">
      <formula>"B"</formula>
    </cfRule>
    <cfRule type="expression" dxfId="3124" priority="4006">
      <formula>$AW2399="D"</formula>
    </cfRule>
    <cfRule type="cellIs" dxfId="3123" priority="4007" operator="equal">
      <formula>"B"</formula>
    </cfRule>
    <cfRule type="cellIs" dxfId="3122" priority="4008" operator="equal">
      <formula>"S"</formula>
    </cfRule>
    <cfRule type="expression" dxfId="3121" priority="4009">
      <formula>$AW2399="D"</formula>
    </cfRule>
    <cfRule type="cellIs" dxfId="3120" priority="4010" operator="equal">
      <formula>"B"</formula>
    </cfRule>
    <cfRule type="cellIs" dxfId="3119" priority="4011" operator="equal">
      <formula>"S"</formula>
    </cfRule>
    <cfRule type="expression" dxfId="3118" priority="4012">
      <formula>$AW2399="D"</formula>
    </cfRule>
    <cfRule type="cellIs" dxfId="3117" priority="4013" operator="equal">
      <formula>"B"</formula>
    </cfRule>
    <cfRule type="cellIs" dxfId="3116" priority="4014" operator="equal">
      <formula>"S"</formula>
    </cfRule>
    <cfRule type="expression" dxfId="3115" priority="4015">
      <formula>$AW2399="D"</formula>
    </cfRule>
    <cfRule type="cellIs" dxfId="3114" priority="4016" operator="equal">
      <formula>"B"</formula>
    </cfRule>
    <cfRule type="cellIs" dxfId="3113" priority="4017" operator="equal">
      <formula>"S"</formula>
    </cfRule>
    <cfRule type="cellIs" dxfId="3112" priority="4018" operator="equal">
      <formula>"S"</formula>
    </cfRule>
    <cfRule type="cellIs" dxfId="3111" priority="4019" operator="equal">
      <formula>"B"</formula>
    </cfRule>
    <cfRule type="expression" dxfId="3110" priority="4022">
      <formula>$AW2399="D"</formula>
    </cfRule>
    <cfRule type="cellIs" dxfId="3109" priority="4023" operator="equal">
      <formula>"B"</formula>
    </cfRule>
    <cfRule type="cellIs" dxfId="3108" priority="4024" operator="equal">
      <formula>"S"</formula>
    </cfRule>
    <cfRule type="expression" dxfId="3107" priority="4025">
      <formula>$AW2399="D"</formula>
    </cfRule>
    <cfRule type="cellIs" dxfId="3106" priority="4026" operator="equal">
      <formula>"B"</formula>
    </cfRule>
    <cfRule type="cellIs" dxfId="3105" priority="4027" operator="equal">
      <formula>"S"</formula>
    </cfRule>
  </conditionalFormatting>
  <conditionalFormatting sqref="Y2405:Y2414">
    <cfRule type="cellIs" dxfId="3104" priority="3867" operator="equal">
      <formula>"S"</formula>
    </cfRule>
    <cfRule type="cellIs" dxfId="3103" priority="3868" operator="equal">
      <formula>"B"</formula>
    </cfRule>
    <cfRule type="expression" dxfId="3102" priority="3869">
      <formula>$AW2405="D"</formula>
    </cfRule>
    <cfRule type="cellIs" dxfId="3101" priority="3870" operator="equal">
      <formula>"B"</formula>
    </cfRule>
    <cfRule type="cellIs" dxfId="3100" priority="3871" operator="equal">
      <formula>"S"</formula>
    </cfRule>
    <cfRule type="expression" dxfId="3099" priority="3872">
      <formula>$AW2405="D"</formula>
    </cfRule>
    <cfRule type="cellIs" dxfId="3098" priority="3873" operator="equal">
      <formula>"B"</formula>
    </cfRule>
    <cfRule type="cellIs" dxfId="3097" priority="3874" operator="equal">
      <formula>"S"</formula>
    </cfRule>
    <cfRule type="cellIs" dxfId="3096" priority="3875" operator="equal">
      <formula>"S"</formula>
    </cfRule>
    <cfRule type="cellIs" dxfId="3095" priority="3876" operator="equal">
      <formula>"B"</formula>
    </cfRule>
    <cfRule type="expression" dxfId="3094" priority="3878">
      <formula>$AW2405="D"</formula>
    </cfRule>
    <cfRule type="cellIs" dxfId="3093" priority="3879" operator="equal">
      <formula>"B"</formula>
    </cfRule>
    <cfRule type="cellIs" dxfId="3092" priority="3880" operator="equal">
      <formula>"S"</formula>
    </cfRule>
    <cfRule type="expression" dxfId="3091" priority="3881">
      <formula>$AW2405="D"</formula>
    </cfRule>
    <cfRule type="cellIs" dxfId="3090" priority="3882" operator="equal">
      <formula>"B"</formula>
    </cfRule>
    <cfRule type="cellIs" dxfId="3089" priority="3883" operator="equal">
      <formula>"S"</formula>
    </cfRule>
    <cfRule type="cellIs" dxfId="3088" priority="3884" operator="equal">
      <formula>"S"</formula>
    </cfRule>
    <cfRule type="cellIs" dxfId="3087" priority="3885" operator="equal">
      <formula>"B"</formula>
    </cfRule>
    <cfRule type="expression" dxfId="3086" priority="3887">
      <formula>$AW2405="D"</formula>
    </cfRule>
    <cfRule type="cellIs" dxfId="3085" priority="3888" operator="equal">
      <formula>"B"</formula>
    </cfRule>
    <cfRule type="cellIs" dxfId="3084" priority="3889" operator="equal">
      <formula>"S"</formula>
    </cfRule>
    <cfRule type="expression" dxfId="3083" priority="3891">
      <formula>$AW2405="D"</formula>
    </cfRule>
    <cfRule type="cellIs" dxfId="3082" priority="3892" operator="equal">
      <formula>"B"</formula>
    </cfRule>
    <cfRule type="cellIs" dxfId="3081" priority="3893" operator="equal">
      <formula>"S"</formula>
    </cfRule>
    <cfRule type="cellIs" dxfId="3080" priority="3894" operator="equal">
      <formula>"S"</formula>
    </cfRule>
    <cfRule type="cellIs" dxfId="3079" priority="3895" operator="equal">
      <formula>"B"</formula>
    </cfRule>
    <cfRule type="cellIs" dxfId="3078" priority="3897" operator="equal">
      <formula>"S"</formula>
    </cfRule>
    <cfRule type="cellIs" dxfId="3077" priority="3898" operator="equal">
      <formula>"B"</formula>
    </cfRule>
    <cfRule type="expression" dxfId="3076" priority="3899">
      <formula>$AW2405="D"</formula>
    </cfRule>
    <cfRule type="cellIs" dxfId="3075" priority="3900" operator="equal">
      <formula>"B"</formula>
    </cfRule>
    <cfRule type="cellIs" dxfId="3074" priority="3901" operator="equal">
      <formula>"S"</formula>
    </cfRule>
    <cfRule type="expression" dxfId="3073" priority="3902">
      <formula>$AW2405="D"</formula>
    </cfRule>
    <cfRule type="cellIs" dxfId="3072" priority="3903" operator="equal">
      <formula>"B"</formula>
    </cfRule>
    <cfRule type="cellIs" dxfId="3071" priority="3904" operator="equal">
      <formula>"S"</formula>
    </cfRule>
    <cfRule type="expression" dxfId="3070" priority="3913">
      <formula>$AW2405="D"</formula>
    </cfRule>
    <cfRule type="cellIs" dxfId="3069" priority="3914" operator="equal">
      <formula>"B"</formula>
    </cfRule>
    <cfRule type="cellIs" dxfId="3068" priority="3915" operator="equal">
      <formula>"S"</formula>
    </cfRule>
    <cfRule type="expression" dxfId="3067" priority="3916">
      <formula>$AW2405="D"</formula>
    </cfRule>
    <cfRule type="cellIs" dxfId="3066" priority="3917" operator="equal">
      <formula>"B"</formula>
    </cfRule>
    <cfRule type="cellIs" dxfId="3065" priority="3918" operator="equal">
      <formula>"S"</formula>
    </cfRule>
    <cfRule type="cellIs" dxfId="3064" priority="3919" operator="equal">
      <formula>"S"</formula>
    </cfRule>
    <cfRule type="cellIs" dxfId="3063" priority="3920" operator="equal">
      <formula>"B"</formula>
    </cfRule>
    <cfRule type="expression" dxfId="3062" priority="3923">
      <formula>$AW2405="D"</formula>
    </cfRule>
    <cfRule type="cellIs" dxfId="3061" priority="3924" operator="equal">
      <formula>"B"</formula>
    </cfRule>
    <cfRule type="cellIs" dxfId="3060" priority="3925" operator="equal">
      <formula>"S"</formula>
    </cfRule>
    <cfRule type="expression" dxfId="3059" priority="3926">
      <formula>$AW2405="D"</formula>
    </cfRule>
    <cfRule type="cellIs" dxfId="3058" priority="3927" operator="equal">
      <formula>"B"</formula>
    </cfRule>
    <cfRule type="cellIs" dxfId="3057" priority="3928" operator="equal">
      <formula>"S"</formula>
    </cfRule>
    <cfRule type="expression" dxfId="3056" priority="3929">
      <formula>$AW2405="D"</formula>
    </cfRule>
    <cfRule type="cellIs" dxfId="3055" priority="3930" operator="equal">
      <formula>"B"</formula>
    </cfRule>
    <cfRule type="cellIs" dxfId="3054" priority="3931" operator="equal">
      <formula>"S"</formula>
    </cfRule>
    <cfRule type="expression" dxfId="3053" priority="3932">
      <formula>$AW2405="D"</formula>
    </cfRule>
    <cfRule type="cellIs" dxfId="3052" priority="3933" operator="equal">
      <formula>"B"</formula>
    </cfRule>
    <cfRule type="cellIs" dxfId="3051" priority="3934" operator="equal">
      <formula>"S"</formula>
    </cfRule>
    <cfRule type="cellIs" dxfId="3050" priority="3935" operator="equal">
      <formula>"S"</formula>
    </cfRule>
    <cfRule type="cellIs" dxfId="3049" priority="3936" operator="equal">
      <formula>"B"</formula>
    </cfRule>
    <cfRule type="expression" dxfId="3048" priority="3939">
      <formula>$AW2405="D"</formula>
    </cfRule>
    <cfRule type="cellIs" dxfId="3047" priority="3940" operator="equal">
      <formula>"B"</formula>
    </cfRule>
    <cfRule type="cellIs" dxfId="3046" priority="3941" operator="equal">
      <formula>"S"</formula>
    </cfRule>
    <cfRule type="expression" dxfId="3045" priority="3942">
      <formula>$AW2405="D"</formula>
    </cfRule>
    <cfRule type="cellIs" dxfId="3044" priority="3943" operator="equal">
      <formula>"B"</formula>
    </cfRule>
    <cfRule type="cellIs" dxfId="3043" priority="3944" operator="equal">
      <formula>"S"</formula>
    </cfRule>
  </conditionalFormatting>
  <conditionalFormatting sqref="Y2419:Y2424 Y2501:Y2518">
    <cfRule type="cellIs" dxfId="3042" priority="3783" operator="equal">
      <formula>"S"</formula>
    </cfRule>
    <cfRule type="cellIs" dxfId="3041" priority="3784" operator="equal">
      <formula>"B"</formula>
    </cfRule>
    <cfRule type="expression" dxfId="3040" priority="3785">
      <formula>$AW2419="D"</formula>
    </cfRule>
    <cfRule type="cellIs" dxfId="3039" priority="3786" operator="equal">
      <formula>"B"</formula>
    </cfRule>
    <cfRule type="cellIs" dxfId="3038" priority="3787" operator="equal">
      <formula>"S"</formula>
    </cfRule>
    <cfRule type="expression" dxfId="3037" priority="3788">
      <formula>$AW2419="D"</formula>
    </cfRule>
    <cfRule type="cellIs" dxfId="3036" priority="3789" operator="equal">
      <formula>"B"</formula>
    </cfRule>
    <cfRule type="cellIs" dxfId="3035" priority="3790" operator="equal">
      <formula>"S"</formula>
    </cfRule>
    <cfRule type="cellIs" dxfId="3034" priority="3791" operator="equal">
      <formula>"S"</formula>
    </cfRule>
    <cfRule type="cellIs" dxfId="3033" priority="3792" operator="equal">
      <formula>"B"</formula>
    </cfRule>
    <cfRule type="expression" dxfId="3032" priority="3793">
      <formula>$AW2419="D"</formula>
    </cfRule>
    <cfRule type="cellIs" dxfId="3031" priority="3794" operator="equal">
      <formula>"B"</formula>
    </cfRule>
    <cfRule type="cellIs" dxfId="3030" priority="3795" operator="equal">
      <formula>"S"</formula>
    </cfRule>
    <cfRule type="expression" dxfId="3029" priority="3796">
      <formula>$AW2419="D"</formula>
    </cfRule>
    <cfRule type="cellIs" dxfId="3028" priority="3797" operator="equal">
      <formula>"B"</formula>
    </cfRule>
    <cfRule type="cellIs" dxfId="3027" priority="3798" operator="equal">
      <formula>"S"</formula>
    </cfRule>
    <cfRule type="cellIs" dxfId="3026" priority="3799" operator="equal">
      <formula>"S"</formula>
    </cfRule>
    <cfRule type="cellIs" dxfId="3025" priority="3800" operator="equal">
      <formula>"B"</formula>
    </cfRule>
    <cfRule type="expression" dxfId="3024" priority="3801">
      <formula>$AW2419="D"</formula>
    </cfRule>
    <cfRule type="cellIs" dxfId="3023" priority="3802" operator="equal">
      <formula>"B"</formula>
    </cfRule>
    <cfRule type="cellIs" dxfId="3022" priority="3803" operator="equal">
      <formula>"S"</formula>
    </cfRule>
    <cfRule type="expression" dxfId="3021" priority="3804">
      <formula>$AW2419="D"</formula>
    </cfRule>
    <cfRule type="cellIs" dxfId="3020" priority="3805" operator="equal">
      <formula>"B"</formula>
    </cfRule>
    <cfRule type="cellIs" dxfId="3019" priority="3806" operator="equal">
      <formula>"S"</formula>
    </cfRule>
    <cfRule type="cellIs" dxfId="3018" priority="3807" operator="equal">
      <formula>"S"</formula>
    </cfRule>
    <cfRule type="cellIs" dxfId="3017" priority="3808" operator="equal">
      <formula>"B"</formula>
    </cfRule>
    <cfRule type="expression" dxfId="3016" priority="3811">
      <formula>$AW2419="D"</formula>
    </cfRule>
    <cfRule type="cellIs" dxfId="3015" priority="3812" operator="equal">
      <formula>"B"</formula>
    </cfRule>
    <cfRule type="cellIs" dxfId="3014" priority="3813" operator="equal">
      <formula>"S"</formula>
    </cfRule>
    <cfRule type="expression" dxfId="3013" priority="3814">
      <formula>$AW2419="D"</formula>
    </cfRule>
    <cfRule type="cellIs" dxfId="3012" priority="3815" operator="equal">
      <formula>"B"</formula>
    </cfRule>
    <cfRule type="cellIs" dxfId="3011" priority="3816" operator="equal">
      <formula>"S"</formula>
    </cfRule>
    <cfRule type="expression" dxfId="3010" priority="3817">
      <formula>$AW2419="D"</formula>
    </cfRule>
    <cfRule type="cellIs" dxfId="3009" priority="3818" operator="equal">
      <formula>"B"</formula>
    </cfRule>
    <cfRule type="cellIs" dxfId="3008" priority="3819" operator="equal">
      <formula>"S"</formula>
    </cfRule>
    <cfRule type="expression" dxfId="3007" priority="3820">
      <formula>$AW2419="D"</formula>
    </cfRule>
    <cfRule type="cellIs" dxfId="3006" priority="3821" operator="equal">
      <formula>"B"</formula>
    </cfRule>
    <cfRule type="cellIs" dxfId="3005" priority="3822" operator="equal">
      <formula>"S"</formula>
    </cfRule>
    <cfRule type="cellIs" dxfId="3004" priority="3823" operator="equal">
      <formula>"S"</formula>
    </cfRule>
    <cfRule type="cellIs" dxfId="3003" priority="3824" operator="equal">
      <formula>"B"</formula>
    </cfRule>
    <cfRule type="expression" dxfId="3002" priority="3827">
      <formula>$AW2419="D"</formula>
    </cfRule>
    <cfRule type="cellIs" dxfId="3001" priority="3828" operator="equal">
      <formula>"B"</formula>
    </cfRule>
    <cfRule type="cellIs" dxfId="3000" priority="3829" operator="equal">
      <formula>"S"</formula>
    </cfRule>
    <cfRule type="expression" dxfId="2999" priority="3830">
      <formula>$AW2419="D"</formula>
    </cfRule>
    <cfRule type="cellIs" dxfId="2998" priority="3831" operator="equal">
      <formula>"B"</formula>
    </cfRule>
    <cfRule type="cellIs" dxfId="2997" priority="3832" operator="equal">
      <formula>"S"</formula>
    </cfRule>
    <cfRule type="expression" dxfId="2996" priority="3833">
      <formula>$AW2419="D"</formula>
    </cfRule>
    <cfRule type="cellIs" dxfId="2995" priority="3834" operator="equal">
      <formula>"B"</formula>
    </cfRule>
    <cfRule type="cellIs" dxfId="2994" priority="3835" operator="equal">
      <formula>"S"</formula>
    </cfRule>
    <cfRule type="expression" dxfId="2993" priority="3836">
      <formula>$AW2419="D"</formula>
    </cfRule>
    <cfRule type="cellIs" dxfId="2992" priority="3837" operator="equal">
      <formula>"B"</formula>
    </cfRule>
    <cfRule type="cellIs" dxfId="2991" priority="3838" operator="equal">
      <formula>"S"</formula>
    </cfRule>
    <cfRule type="cellIs" dxfId="2990" priority="3839" operator="equal">
      <formula>"S"</formula>
    </cfRule>
    <cfRule type="cellIs" dxfId="2989" priority="3840" operator="equal">
      <formula>"B"</formula>
    </cfRule>
    <cfRule type="expression" dxfId="2988" priority="3843">
      <formula>$AW2419="D"</formula>
    </cfRule>
    <cfRule type="cellIs" dxfId="2987" priority="3844" operator="equal">
      <formula>"B"</formula>
    </cfRule>
    <cfRule type="cellIs" dxfId="2986" priority="3845" operator="equal">
      <formula>"S"</formula>
    </cfRule>
    <cfRule type="expression" dxfId="2985" priority="3846">
      <formula>$AW2419="D"</formula>
    </cfRule>
    <cfRule type="cellIs" dxfId="2984" priority="3847" operator="equal">
      <formula>"B"</formula>
    </cfRule>
    <cfRule type="cellIs" dxfId="2983" priority="3848" operator="equal">
      <formula>"S"</formula>
    </cfRule>
  </conditionalFormatting>
  <conditionalFormatting sqref="Y2426:Y2427">
    <cfRule type="cellIs" dxfId="2982" priority="3700" operator="equal">
      <formula>"S"</formula>
    </cfRule>
    <cfRule type="cellIs" dxfId="2981" priority="3701" operator="equal">
      <formula>"B"</formula>
    </cfRule>
    <cfRule type="expression" dxfId="2980" priority="3702">
      <formula>$AW2426="D"</formula>
    </cfRule>
    <cfRule type="cellIs" dxfId="2979" priority="3703" operator="equal">
      <formula>"B"</formula>
    </cfRule>
    <cfRule type="cellIs" dxfId="2978" priority="3704" operator="equal">
      <formula>"S"</formula>
    </cfRule>
    <cfRule type="expression" dxfId="2977" priority="3705">
      <formula>$AW2426="D"</formula>
    </cfRule>
    <cfRule type="cellIs" dxfId="2976" priority="3706" operator="equal">
      <formula>"B"</formula>
    </cfRule>
    <cfRule type="cellIs" dxfId="2975" priority="3707" operator="equal">
      <formula>"S"</formula>
    </cfRule>
    <cfRule type="cellIs" dxfId="2974" priority="3708" operator="equal">
      <formula>"S"</formula>
    </cfRule>
    <cfRule type="cellIs" dxfId="2973" priority="3709" operator="equal">
      <formula>"B"</formula>
    </cfRule>
    <cfRule type="expression" dxfId="2972" priority="3711">
      <formula>$AW2426="D"</formula>
    </cfRule>
    <cfRule type="cellIs" dxfId="2971" priority="3712" operator="equal">
      <formula>"B"</formula>
    </cfRule>
    <cfRule type="cellIs" dxfId="2970" priority="3713" operator="equal">
      <formula>"S"</formula>
    </cfRule>
    <cfRule type="expression" dxfId="2969" priority="3714">
      <formula>$AW2426="D"</formula>
    </cfRule>
    <cfRule type="cellIs" dxfId="2968" priority="3715" operator="equal">
      <formula>"B"</formula>
    </cfRule>
    <cfRule type="cellIs" dxfId="2967" priority="3716" operator="equal">
      <formula>"S"</formula>
    </cfRule>
    <cfRule type="cellIs" dxfId="2966" priority="3717" operator="equal">
      <formula>"S"</formula>
    </cfRule>
    <cfRule type="cellIs" dxfId="2965" priority="3718" operator="equal">
      <formula>"B"</formula>
    </cfRule>
    <cfRule type="expression" dxfId="2964" priority="3720">
      <formula>$AW2426="D"</formula>
    </cfRule>
    <cfRule type="cellIs" dxfId="2963" priority="3721" operator="equal">
      <formula>"B"</formula>
    </cfRule>
    <cfRule type="cellIs" dxfId="2962" priority="3722" operator="equal">
      <formula>"S"</formula>
    </cfRule>
    <cfRule type="expression" dxfId="2961" priority="3724">
      <formula>$AW2426="D"</formula>
    </cfRule>
    <cfRule type="cellIs" dxfId="2960" priority="3725" operator="equal">
      <formula>"B"</formula>
    </cfRule>
    <cfRule type="cellIs" dxfId="2959" priority="3726" operator="equal">
      <formula>"S"</formula>
    </cfRule>
    <cfRule type="cellIs" dxfId="2958" priority="3727" operator="equal">
      <formula>"S"</formula>
    </cfRule>
    <cfRule type="cellIs" dxfId="2957" priority="3728" operator="equal">
      <formula>"B"</formula>
    </cfRule>
    <cfRule type="cellIs" dxfId="2956" priority="3730" operator="equal">
      <formula>"S"</formula>
    </cfRule>
    <cfRule type="cellIs" dxfId="2955" priority="3731" operator="equal">
      <formula>"B"</formula>
    </cfRule>
    <cfRule type="expression" dxfId="2954" priority="3732">
      <formula>$AW2426="D"</formula>
    </cfRule>
    <cfRule type="cellIs" dxfId="2953" priority="3733" operator="equal">
      <formula>"B"</formula>
    </cfRule>
    <cfRule type="cellIs" dxfId="2952" priority="3734" operator="equal">
      <formula>"S"</formula>
    </cfRule>
    <cfRule type="expression" dxfId="2951" priority="3735">
      <formula>$AW2426="D"</formula>
    </cfRule>
    <cfRule type="cellIs" dxfId="2950" priority="3736" operator="equal">
      <formula>"B"</formula>
    </cfRule>
    <cfRule type="cellIs" dxfId="2949" priority="3737" operator="equal">
      <formula>"S"</formula>
    </cfRule>
    <cfRule type="expression" dxfId="2948" priority="3741">
      <formula>$AW2426="D"</formula>
    </cfRule>
    <cfRule type="cellIs" dxfId="2947" priority="3742" operator="equal">
      <formula>"B"</formula>
    </cfRule>
    <cfRule type="cellIs" dxfId="2946" priority="3743" operator="equal">
      <formula>"S"</formula>
    </cfRule>
    <cfRule type="expression" dxfId="2945" priority="3744">
      <formula>$AW2426="D"</formula>
    </cfRule>
    <cfRule type="cellIs" dxfId="2944" priority="3745" operator="equal">
      <formula>"B"</formula>
    </cfRule>
    <cfRule type="cellIs" dxfId="2943" priority="3746" operator="equal">
      <formula>"S"</formula>
    </cfRule>
    <cfRule type="cellIs" dxfId="2942" priority="3747" operator="equal">
      <formula>"S"</formula>
    </cfRule>
    <cfRule type="cellIs" dxfId="2941" priority="3748" operator="equal">
      <formula>"B"</formula>
    </cfRule>
    <cfRule type="expression" dxfId="2940" priority="3749">
      <formula>$AW2426="D"</formula>
    </cfRule>
    <cfRule type="cellIs" dxfId="2939" priority="3750" operator="equal">
      <formula>"B"</formula>
    </cfRule>
    <cfRule type="cellIs" dxfId="2938" priority="3751" operator="equal">
      <formula>"S"</formula>
    </cfRule>
    <cfRule type="expression" dxfId="2937" priority="3752">
      <formula>$AW2426="D"</formula>
    </cfRule>
    <cfRule type="cellIs" dxfId="2936" priority="3753" operator="equal">
      <formula>"B"</formula>
    </cfRule>
    <cfRule type="cellIs" dxfId="2935" priority="3754" operator="equal">
      <formula>"S"</formula>
    </cfRule>
    <cfRule type="expression" dxfId="2934" priority="3755">
      <formula>$AW2426="D"</formula>
    </cfRule>
    <cfRule type="cellIs" dxfId="2933" priority="3756" operator="equal">
      <formula>"B"</formula>
    </cfRule>
    <cfRule type="cellIs" dxfId="2932" priority="3757" operator="equal">
      <formula>"S"</formula>
    </cfRule>
    <cfRule type="expression" dxfId="2931" priority="3758">
      <formula>$AW2426="D"</formula>
    </cfRule>
    <cfRule type="cellIs" dxfId="2930" priority="3759" operator="equal">
      <formula>"B"</formula>
    </cfRule>
    <cfRule type="cellIs" dxfId="2929" priority="3760" operator="equal">
      <formula>"S"</formula>
    </cfRule>
    <cfRule type="cellIs" dxfId="2928" priority="3761" operator="equal">
      <formula>"S"</formula>
    </cfRule>
    <cfRule type="cellIs" dxfId="2927" priority="3762" operator="equal">
      <formula>"B"</formula>
    </cfRule>
    <cfRule type="expression" dxfId="2926" priority="3763">
      <formula>$AW2426="D"</formula>
    </cfRule>
    <cfRule type="cellIs" dxfId="2925" priority="3764" operator="equal">
      <formula>"B"</formula>
    </cfRule>
    <cfRule type="cellIs" dxfId="2924" priority="3765" operator="equal">
      <formula>"S"</formula>
    </cfRule>
    <cfRule type="expression" dxfId="2923" priority="3766">
      <formula>$AW2426="D"</formula>
    </cfRule>
    <cfRule type="cellIs" dxfId="2922" priority="3767" operator="equal">
      <formula>"B"</formula>
    </cfRule>
    <cfRule type="cellIs" dxfId="2921" priority="3768" operator="equal">
      <formula>"S"</formula>
    </cfRule>
  </conditionalFormatting>
  <conditionalFormatting sqref="Y2434:Y2435">
    <cfRule type="cellIs" dxfId="2920" priority="3630" operator="equal">
      <formula>"S"</formula>
    </cfRule>
    <cfRule type="cellIs" dxfId="2919" priority="3631" operator="equal">
      <formula>"B"</formula>
    </cfRule>
    <cfRule type="expression" dxfId="2918" priority="3632">
      <formula>$AW2434="D"</formula>
    </cfRule>
    <cfRule type="cellIs" dxfId="2917" priority="3633" operator="equal">
      <formula>"B"</formula>
    </cfRule>
    <cfRule type="cellIs" dxfId="2916" priority="3634" operator="equal">
      <formula>"S"</formula>
    </cfRule>
    <cfRule type="expression" dxfId="2915" priority="3635">
      <formula>$AW2434="D"</formula>
    </cfRule>
    <cfRule type="cellIs" dxfId="2914" priority="3636" operator="equal">
      <formula>"B"</formula>
    </cfRule>
    <cfRule type="cellIs" dxfId="2913" priority="3637" operator="equal">
      <formula>"S"</formula>
    </cfRule>
    <cfRule type="cellIs" dxfId="2912" priority="3638" operator="equal">
      <formula>"S"</formula>
    </cfRule>
    <cfRule type="cellIs" dxfId="2911" priority="3639" operator="equal">
      <formula>"B"</formula>
    </cfRule>
    <cfRule type="expression" dxfId="2910" priority="3640">
      <formula>$AW2434="D"</formula>
    </cfRule>
    <cfRule type="cellIs" dxfId="2909" priority="3641" operator="equal">
      <formula>"B"</formula>
    </cfRule>
    <cfRule type="cellIs" dxfId="2908" priority="3642" operator="equal">
      <formula>"S"</formula>
    </cfRule>
    <cfRule type="expression" dxfId="2907" priority="3643">
      <formula>$AW2434="D"</formula>
    </cfRule>
    <cfRule type="cellIs" dxfId="2906" priority="3644" operator="equal">
      <formula>"B"</formula>
    </cfRule>
    <cfRule type="cellIs" dxfId="2905" priority="3645" operator="equal">
      <formula>"S"</formula>
    </cfRule>
    <cfRule type="cellIs" dxfId="2904" priority="3646" operator="equal">
      <formula>"S"</formula>
    </cfRule>
    <cfRule type="cellIs" dxfId="2903" priority="3647" operator="equal">
      <formula>"B"</formula>
    </cfRule>
    <cfRule type="expression" dxfId="2902" priority="3648">
      <formula>$AW2434="D"</formula>
    </cfRule>
    <cfRule type="cellIs" dxfId="2901" priority="3649" operator="equal">
      <formula>"B"</formula>
    </cfRule>
    <cfRule type="cellIs" dxfId="2900" priority="3650" operator="equal">
      <formula>"S"</formula>
    </cfRule>
    <cfRule type="expression" dxfId="2899" priority="3651">
      <formula>$AW2434="D"</formula>
    </cfRule>
    <cfRule type="cellIs" dxfId="2898" priority="3652" operator="equal">
      <formula>"B"</formula>
    </cfRule>
    <cfRule type="cellIs" dxfId="2897" priority="3653" operator="equal">
      <formula>"S"</formula>
    </cfRule>
    <cfRule type="cellIs" dxfId="2896" priority="3654" operator="equal">
      <formula>"S"</formula>
    </cfRule>
    <cfRule type="cellIs" dxfId="2895" priority="3655" operator="equal">
      <formula>"B"</formula>
    </cfRule>
    <cfRule type="expression" dxfId="2894" priority="3658">
      <formula>$AW2434="D"</formula>
    </cfRule>
    <cfRule type="cellIs" dxfId="2893" priority="3659" operator="equal">
      <formula>"B"</formula>
    </cfRule>
    <cfRule type="cellIs" dxfId="2892" priority="3660" operator="equal">
      <formula>"S"</formula>
    </cfRule>
    <cfRule type="expression" dxfId="2891" priority="3661">
      <formula>$AW2434="D"</formula>
    </cfRule>
    <cfRule type="cellIs" dxfId="2890" priority="3662" operator="equal">
      <formula>"B"</formula>
    </cfRule>
    <cfRule type="cellIs" dxfId="2889" priority="3663" operator="equal">
      <formula>"S"</formula>
    </cfRule>
    <cfRule type="expression" dxfId="2888" priority="3664">
      <formula>$AW2434="D"</formula>
    </cfRule>
    <cfRule type="cellIs" dxfId="2887" priority="3665" operator="equal">
      <formula>"B"</formula>
    </cfRule>
    <cfRule type="cellIs" dxfId="2886" priority="3666" operator="equal">
      <formula>"S"</formula>
    </cfRule>
    <cfRule type="expression" dxfId="2885" priority="3667">
      <formula>$AW2434="D"</formula>
    </cfRule>
    <cfRule type="cellIs" dxfId="2884" priority="3668" operator="equal">
      <formula>"B"</formula>
    </cfRule>
    <cfRule type="cellIs" dxfId="2883" priority="3669" operator="equal">
      <formula>"S"</formula>
    </cfRule>
    <cfRule type="cellIs" dxfId="2882" priority="3670" operator="equal">
      <formula>"S"</formula>
    </cfRule>
    <cfRule type="cellIs" dxfId="2881" priority="3671" operator="equal">
      <formula>"B"</formula>
    </cfRule>
    <cfRule type="expression" dxfId="2880" priority="3672">
      <formula>$AW2434="D"</formula>
    </cfRule>
    <cfRule type="cellIs" dxfId="2879" priority="3673" operator="equal">
      <formula>"B"</formula>
    </cfRule>
    <cfRule type="cellIs" dxfId="2878" priority="3674" operator="equal">
      <formula>"S"</formula>
    </cfRule>
    <cfRule type="expression" dxfId="2877" priority="3675">
      <formula>$AW2434="D"</formula>
    </cfRule>
    <cfRule type="cellIs" dxfId="2876" priority="3676" operator="equal">
      <formula>"B"</formula>
    </cfRule>
    <cfRule type="cellIs" dxfId="2875" priority="3677" operator="equal">
      <formula>"S"</formula>
    </cfRule>
    <cfRule type="expression" dxfId="2874" priority="3678">
      <formula>$AW2434="D"</formula>
    </cfRule>
    <cfRule type="cellIs" dxfId="2873" priority="3679" operator="equal">
      <formula>"B"</formula>
    </cfRule>
    <cfRule type="cellIs" dxfId="2872" priority="3680" operator="equal">
      <formula>"S"</formula>
    </cfRule>
    <cfRule type="expression" dxfId="2871" priority="3681">
      <formula>$AW2434="D"</formula>
    </cfRule>
    <cfRule type="cellIs" dxfId="2870" priority="3682" operator="equal">
      <formula>"B"</formula>
    </cfRule>
    <cfRule type="cellIs" dxfId="2869" priority="3683" operator="equal">
      <formula>"S"</formula>
    </cfRule>
    <cfRule type="cellIs" dxfId="2868" priority="3684" operator="equal">
      <formula>"S"</formula>
    </cfRule>
    <cfRule type="cellIs" dxfId="2867" priority="3685" operator="equal">
      <formula>"B"</formula>
    </cfRule>
    <cfRule type="expression" dxfId="2866" priority="3686">
      <formula>$AW2434="D"</formula>
    </cfRule>
    <cfRule type="cellIs" dxfId="2865" priority="3687" operator="equal">
      <formula>"B"</formula>
    </cfRule>
    <cfRule type="cellIs" dxfId="2864" priority="3688" operator="equal">
      <formula>"S"</formula>
    </cfRule>
    <cfRule type="expression" dxfId="2863" priority="3689">
      <formula>$AW2434="D"</formula>
    </cfRule>
    <cfRule type="cellIs" dxfId="2862" priority="3690" operator="equal">
      <formula>"B"</formula>
    </cfRule>
    <cfRule type="cellIs" dxfId="2861" priority="3691" operator="equal">
      <formula>"S"</formula>
    </cfRule>
  </conditionalFormatting>
  <conditionalFormatting sqref="Y2440:Y2463">
    <cfRule type="cellIs" dxfId="2860" priority="3555" operator="equal">
      <formula>"S"</formula>
    </cfRule>
    <cfRule type="cellIs" dxfId="2859" priority="3556" operator="equal">
      <formula>"B"</formula>
    </cfRule>
    <cfRule type="expression" dxfId="2858" priority="3557">
      <formula>$AW2440="D"</formula>
    </cfRule>
    <cfRule type="cellIs" dxfId="2857" priority="3558" operator="equal">
      <formula>"B"</formula>
    </cfRule>
    <cfRule type="cellIs" dxfId="2856" priority="3559" operator="equal">
      <formula>"S"</formula>
    </cfRule>
    <cfRule type="expression" dxfId="2855" priority="3560">
      <formula>$AW2440="D"</formula>
    </cfRule>
    <cfRule type="cellIs" dxfId="2854" priority="3561" operator="equal">
      <formula>"B"</formula>
    </cfRule>
    <cfRule type="cellIs" dxfId="2853" priority="3562" operator="equal">
      <formula>"S"</formula>
    </cfRule>
    <cfRule type="cellIs" dxfId="2852" priority="3563" operator="equal">
      <formula>"S"</formula>
    </cfRule>
    <cfRule type="cellIs" dxfId="2851" priority="3564" operator="equal">
      <formula>"B"</formula>
    </cfRule>
    <cfRule type="expression" dxfId="2850" priority="3565">
      <formula>$AW2440="D"</formula>
    </cfRule>
    <cfRule type="cellIs" dxfId="2849" priority="3566" operator="equal">
      <formula>"B"</formula>
    </cfRule>
    <cfRule type="cellIs" dxfId="2848" priority="3567" operator="equal">
      <formula>"S"</formula>
    </cfRule>
    <cfRule type="expression" dxfId="2847" priority="3568">
      <formula>$AW2440="D"</formula>
    </cfRule>
    <cfRule type="cellIs" dxfId="2846" priority="3569" operator="equal">
      <formula>"B"</formula>
    </cfRule>
    <cfRule type="cellIs" dxfId="2845" priority="3570" operator="equal">
      <formula>"S"</formula>
    </cfRule>
    <cfRule type="cellIs" dxfId="2844" priority="3571" operator="equal">
      <formula>"S"</formula>
    </cfRule>
    <cfRule type="cellIs" dxfId="2843" priority="3572" operator="equal">
      <formula>"B"</formula>
    </cfRule>
    <cfRule type="expression" dxfId="2842" priority="3573">
      <formula>$AW2440="D"</formula>
    </cfRule>
    <cfRule type="cellIs" dxfId="2841" priority="3574" operator="equal">
      <formula>"B"</formula>
    </cfRule>
    <cfRule type="cellIs" dxfId="2840" priority="3575" operator="equal">
      <formula>"S"</formula>
    </cfRule>
    <cfRule type="expression" dxfId="2839" priority="3576">
      <formula>$AW2440="D"</formula>
    </cfRule>
    <cfRule type="cellIs" dxfId="2838" priority="3577" operator="equal">
      <formula>"B"</formula>
    </cfRule>
    <cfRule type="cellIs" dxfId="2837" priority="3578" operator="equal">
      <formula>"S"</formula>
    </cfRule>
    <cfRule type="cellIs" dxfId="2836" priority="3579" operator="equal">
      <formula>"S"</formula>
    </cfRule>
    <cfRule type="cellIs" dxfId="2835" priority="3580" operator="equal">
      <formula>"B"</formula>
    </cfRule>
    <cfRule type="expression" dxfId="2834" priority="3583">
      <formula>$AW2440="D"</formula>
    </cfRule>
    <cfRule type="cellIs" dxfId="2833" priority="3584" operator="equal">
      <formula>"B"</formula>
    </cfRule>
    <cfRule type="cellIs" dxfId="2832" priority="3585" operator="equal">
      <formula>"S"</formula>
    </cfRule>
    <cfRule type="expression" dxfId="2831" priority="3586">
      <formula>$AW2440="D"</formula>
    </cfRule>
    <cfRule type="cellIs" dxfId="2830" priority="3587" operator="equal">
      <formula>"B"</formula>
    </cfRule>
    <cfRule type="cellIs" dxfId="2829" priority="3588" operator="equal">
      <formula>"S"</formula>
    </cfRule>
    <cfRule type="expression" dxfId="2828" priority="3589">
      <formula>$AW2440="D"</formula>
    </cfRule>
    <cfRule type="cellIs" dxfId="2827" priority="3590" operator="equal">
      <formula>"B"</formula>
    </cfRule>
    <cfRule type="cellIs" dxfId="2826" priority="3591" operator="equal">
      <formula>"S"</formula>
    </cfRule>
    <cfRule type="expression" dxfId="2825" priority="3592">
      <formula>$AW2440="D"</formula>
    </cfRule>
    <cfRule type="cellIs" dxfId="2824" priority="3593" operator="equal">
      <formula>"B"</formula>
    </cfRule>
    <cfRule type="cellIs" dxfId="2823" priority="3594" operator="equal">
      <formula>"S"</formula>
    </cfRule>
    <cfRule type="cellIs" dxfId="2822" priority="3595" operator="equal">
      <formula>"S"</formula>
    </cfRule>
    <cfRule type="cellIs" dxfId="2821" priority="3596" operator="equal">
      <formula>"B"</formula>
    </cfRule>
    <cfRule type="expression" dxfId="2820" priority="3597">
      <formula>$AW2440="D"</formula>
    </cfRule>
    <cfRule type="cellIs" dxfId="2819" priority="3598" operator="equal">
      <formula>"B"</formula>
    </cfRule>
    <cfRule type="cellIs" dxfId="2818" priority="3599" operator="equal">
      <formula>"S"</formula>
    </cfRule>
    <cfRule type="expression" dxfId="2817" priority="3600">
      <formula>$AW2440="D"</formula>
    </cfRule>
    <cfRule type="cellIs" dxfId="2816" priority="3601" operator="equal">
      <formula>"B"</formula>
    </cfRule>
    <cfRule type="cellIs" dxfId="2815" priority="3602" operator="equal">
      <formula>"S"</formula>
    </cfRule>
    <cfRule type="expression" dxfId="2814" priority="3603">
      <formula>$AW2440="D"</formula>
    </cfRule>
    <cfRule type="cellIs" dxfId="2813" priority="3604" operator="equal">
      <formula>"B"</formula>
    </cfRule>
    <cfRule type="cellIs" dxfId="2812" priority="3605" operator="equal">
      <formula>"S"</formula>
    </cfRule>
    <cfRule type="expression" dxfId="2811" priority="3606">
      <formula>$AW2440="D"</formula>
    </cfRule>
    <cfRule type="cellIs" dxfId="2810" priority="3607" operator="equal">
      <formula>"B"</formula>
    </cfRule>
    <cfRule type="cellIs" dxfId="2809" priority="3608" operator="equal">
      <formula>"S"</formula>
    </cfRule>
    <cfRule type="cellIs" dxfId="2808" priority="3609" operator="equal">
      <formula>"S"</formula>
    </cfRule>
    <cfRule type="cellIs" dxfId="2807" priority="3610" operator="equal">
      <formula>"B"</formula>
    </cfRule>
    <cfRule type="expression" dxfId="2806" priority="3611">
      <formula>$AW2440="D"</formula>
    </cfRule>
    <cfRule type="cellIs" dxfId="2805" priority="3612" operator="equal">
      <formula>"B"</formula>
    </cfRule>
    <cfRule type="cellIs" dxfId="2804" priority="3613" operator="equal">
      <formula>"S"</formula>
    </cfRule>
    <cfRule type="expression" dxfId="2803" priority="3614">
      <formula>$AW2440="D"</formula>
    </cfRule>
    <cfRule type="cellIs" dxfId="2802" priority="3615" operator="equal">
      <formula>"B"</formula>
    </cfRule>
    <cfRule type="cellIs" dxfId="2801" priority="3616" operator="equal">
      <formula>"S"</formula>
    </cfRule>
  </conditionalFormatting>
  <conditionalFormatting sqref="Y2465:Y2466">
    <cfRule type="expression" dxfId="2800" priority="3419">
      <formula>$AW2465="D"</formula>
    </cfRule>
    <cfRule type="cellIs" dxfId="2799" priority="3420" operator="equal">
      <formula>"B"</formula>
    </cfRule>
    <cfRule type="cellIs" dxfId="2798" priority="3421" operator="equal">
      <formula>"S"</formula>
    </cfRule>
    <cfRule type="cellIs" dxfId="2797" priority="3422" operator="equal">
      <formula>"S"</formula>
    </cfRule>
    <cfRule type="cellIs" dxfId="2796" priority="3423" operator="equal">
      <formula>"B"</formula>
    </cfRule>
    <cfRule type="expression" dxfId="2795" priority="3424">
      <formula>$AW2465="D"</formula>
    </cfRule>
    <cfRule type="cellIs" dxfId="2794" priority="3425" operator="equal">
      <formula>"B"</formula>
    </cfRule>
    <cfRule type="cellIs" dxfId="2793" priority="3426" operator="equal">
      <formula>"S"</formula>
    </cfRule>
    <cfRule type="expression" dxfId="2792" priority="3427">
      <formula>$AW2465="D"</formula>
    </cfRule>
    <cfRule type="cellIs" dxfId="2791" priority="3428" operator="equal">
      <formula>"B"</formula>
    </cfRule>
    <cfRule type="cellIs" dxfId="2790" priority="3429" operator="equal">
      <formula>"S"</formula>
    </cfRule>
    <cfRule type="cellIs" dxfId="2789" priority="3430" operator="equal">
      <formula>"S"</formula>
    </cfRule>
    <cfRule type="cellIs" dxfId="2788" priority="3431" operator="equal">
      <formula>"B"</formula>
    </cfRule>
    <cfRule type="expression" dxfId="2787" priority="3432">
      <formula>$AW2465="D"</formula>
    </cfRule>
    <cfRule type="cellIs" dxfId="2786" priority="3433" operator="equal">
      <formula>"B"</formula>
    </cfRule>
    <cfRule type="cellIs" dxfId="2785" priority="3434" operator="equal">
      <formula>"S"</formula>
    </cfRule>
    <cfRule type="expression" dxfId="2784" priority="3435">
      <formula>$AW2465="D"</formula>
    </cfRule>
    <cfRule type="cellIs" dxfId="2783" priority="3436" operator="equal">
      <formula>"B"</formula>
    </cfRule>
    <cfRule type="cellIs" dxfId="2782" priority="3437" operator="equal">
      <formula>"S"</formula>
    </cfRule>
    <cfRule type="cellIs" dxfId="2781" priority="3438" operator="equal">
      <formula>"S"</formula>
    </cfRule>
    <cfRule type="cellIs" dxfId="2780" priority="3439" operator="equal">
      <formula>"B"</formula>
    </cfRule>
    <cfRule type="expression" dxfId="2779" priority="3442">
      <formula>$AW2465="D"</formula>
    </cfRule>
    <cfRule type="cellIs" dxfId="2778" priority="3443" operator="equal">
      <formula>"B"</formula>
    </cfRule>
    <cfRule type="cellIs" dxfId="2777" priority="3444" operator="equal">
      <formula>"S"</formula>
    </cfRule>
    <cfRule type="expression" dxfId="2776" priority="3445">
      <formula>$AW2465="D"</formula>
    </cfRule>
    <cfRule type="cellIs" dxfId="2775" priority="3446" operator="equal">
      <formula>"B"</formula>
    </cfRule>
    <cfRule type="cellIs" dxfId="2774" priority="3447" operator="equal">
      <formula>"S"</formula>
    </cfRule>
    <cfRule type="expression" dxfId="2773" priority="3448">
      <formula>$AW2465="D"</formula>
    </cfRule>
    <cfRule type="cellIs" dxfId="2772" priority="3449" operator="equal">
      <formula>"B"</formula>
    </cfRule>
    <cfRule type="cellIs" dxfId="2771" priority="3450" operator="equal">
      <formula>"S"</formula>
    </cfRule>
    <cfRule type="expression" dxfId="2770" priority="3451">
      <formula>$AW2465="D"</formula>
    </cfRule>
    <cfRule type="cellIs" dxfId="2769" priority="3452" operator="equal">
      <formula>"B"</formula>
    </cfRule>
    <cfRule type="cellIs" dxfId="2768" priority="3453" operator="equal">
      <formula>"S"</formula>
    </cfRule>
    <cfRule type="cellIs" dxfId="2767" priority="3454" operator="equal">
      <formula>"S"</formula>
    </cfRule>
    <cfRule type="cellIs" dxfId="2766" priority="3455" operator="equal">
      <formula>"B"</formula>
    </cfRule>
    <cfRule type="expression" dxfId="2765" priority="3456">
      <formula>$AW2465="D"</formula>
    </cfRule>
    <cfRule type="cellIs" dxfId="2764" priority="3457" operator="equal">
      <formula>"B"</formula>
    </cfRule>
    <cfRule type="cellIs" dxfId="2763" priority="3458" operator="equal">
      <formula>"S"</formula>
    </cfRule>
    <cfRule type="expression" dxfId="2762" priority="3459">
      <formula>$AW2465="D"</formula>
    </cfRule>
    <cfRule type="cellIs" dxfId="2761" priority="3460" operator="equal">
      <formula>"B"</formula>
    </cfRule>
    <cfRule type="cellIs" dxfId="2760" priority="3461" operator="equal">
      <formula>"S"</formula>
    </cfRule>
    <cfRule type="expression" dxfId="2759" priority="3462">
      <formula>$AW2465="D"</formula>
    </cfRule>
    <cfRule type="cellIs" dxfId="2758" priority="3463" operator="equal">
      <formula>"B"</formula>
    </cfRule>
    <cfRule type="cellIs" dxfId="2757" priority="3464" operator="equal">
      <formula>"S"</formula>
    </cfRule>
    <cfRule type="expression" dxfId="2756" priority="3465">
      <formula>$AW2465="D"</formula>
    </cfRule>
    <cfRule type="cellIs" dxfId="2755" priority="3466" operator="equal">
      <formula>"B"</formula>
    </cfRule>
    <cfRule type="cellIs" dxfId="2754" priority="3467" operator="equal">
      <formula>"S"</formula>
    </cfRule>
    <cfRule type="cellIs" dxfId="2753" priority="3468" operator="equal">
      <formula>"S"</formula>
    </cfRule>
    <cfRule type="cellIs" dxfId="2752" priority="3469" operator="equal">
      <formula>"B"</formula>
    </cfRule>
    <cfRule type="expression" dxfId="2751" priority="3470">
      <formula>$AW2465="D"</formula>
    </cfRule>
    <cfRule type="cellIs" dxfId="2750" priority="3471" operator="equal">
      <formula>"B"</formula>
    </cfRule>
    <cfRule type="cellIs" dxfId="2749" priority="3472" operator="equal">
      <formula>"S"</formula>
    </cfRule>
    <cfRule type="expression" dxfId="2748" priority="3473">
      <formula>$AW2465="D"</formula>
    </cfRule>
    <cfRule type="cellIs" dxfId="2747" priority="3474" operator="equal">
      <formula>"B"</formula>
    </cfRule>
    <cfRule type="cellIs" dxfId="2746" priority="3475" operator="equal">
      <formula>"S"</formula>
    </cfRule>
  </conditionalFormatting>
  <conditionalFormatting sqref="Y2465:Y2469">
    <cfRule type="cellIs" dxfId="2745" priority="3393" operator="equal">
      <formula>"S"</formula>
    </cfRule>
    <cfRule type="cellIs" dxfId="2744" priority="3394" operator="equal">
      <formula>"B"</formula>
    </cfRule>
    <cfRule type="expression" dxfId="2743" priority="3398">
      <formula>$AW2465="D"</formula>
    </cfRule>
    <cfRule type="cellIs" dxfId="2742" priority="3399" operator="equal">
      <formula>"B"</formula>
    </cfRule>
    <cfRule type="cellIs" dxfId="2741" priority="3400" operator="equal">
      <formula>"S"</formula>
    </cfRule>
  </conditionalFormatting>
  <conditionalFormatting sqref="Y2467:Y2469">
    <cfRule type="cellIs" dxfId="2740" priority="3332" operator="equal">
      <formula>"S"</formula>
    </cfRule>
    <cfRule type="cellIs" dxfId="2739" priority="3333" operator="equal">
      <formula>"B"</formula>
    </cfRule>
    <cfRule type="expression" dxfId="2738" priority="3334">
      <formula>$AW2467="D"</formula>
    </cfRule>
    <cfRule type="cellIs" dxfId="2737" priority="3335" operator="equal">
      <formula>"B"</formula>
    </cfRule>
    <cfRule type="cellIs" dxfId="2736" priority="3336" operator="equal">
      <formula>"S"</formula>
    </cfRule>
    <cfRule type="expression" dxfId="2735" priority="3337">
      <formula>$AW2467="D"</formula>
    </cfRule>
    <cfRule type="cellIs" dxfId="2734" priority="3338" operator="equal">
      <formula>"B"</formula>
    </cfRule>
    <cfRule type="cellIs" dxfId="2733" priority="3339" operator="equal">
      <formula>"S"</formula>
    </cfRule>
    <cfRule type="cellIs" dxfId="2732" priority="3340" operator="equal">
      <formula>"S"</formula>
    </cfRule>
    <cfRule type="cellIs" dxfId="2731" priority="3341" operator="equal">
      <formula>"B"</formula>
    </cfRule>
    <cfRule type="expression" dxfId="2730" priority="3343">
      <formula>$AW2467="D"</formula>
    </cfRule>
    <cfRule type="cellIs" dxfId="2729" priority="3344" operator="equal">
      <formula>"B"</formula>
    </cfRule>
    <cfRule type="cellIs" dxfId="2728" priority="3345" operator="equal">
      <formula>"S"</formula>
    </cfRule>
    <cfRule type="expression" dxfId="2727" priority="3346">
      <formula>$AW2467="D"</formula>
    </cfRule>
    <cfRule type="cellIs" dxfId="2726" priority="3347" operator="equal">
      <formula>"B"</formula>
    </cfRule>
    <cfRule type="cellIs" dxfId="2725" priority="3348" operator="equal">
      <formula>"S"</formula>
    </cfRule>
    <cfRule type="cellIs" dxfId="2724" priority="3349" operator="equal">
      <formula>"S"</formula>
    </cfRule>
    <cfRule type="cellIs" dxfId="2723" priority="3350" operator="equal">
      <formula>"B"</formula>
    </cfRule>
    <cfRule type="expression" dxfId="2722" priority="3352">
      <formula>$AW2467="D"</formula>
    </cfRule>
    <cfRule type="cellIs" dxfId="2721" priority="3353" operator="equal">
      <formula>"B"</formula>
    </cfRule>
    <cfRule type="cellIs" dxfId="2720" priority="3354" operator="equal">
      <formula>"S"</formula>
    </cfRule>
    <cfRule type="expression" dxfId="2719" priority="3356">
      <formula>$AW2467="D"</formula>
    </cfRule>
    <cfRule type="cellIs" dxfId="2718" priority="3357" operator="equal">
      <formula>"B"</formula>
    </cfRule>
    <cfRule type="cellIs" dxfId="2717" priority="3358" operator="equal">
      <formula>"S"</formula>
    </cfRule>
    <cfRule type="cellIs" dxfId="2716" priority="3359" operator="equal">
      <formula>"S"</formula>
    </cfRule>
    <cfRule type="cellIs" dxfId="2715" priority="3360" operator="equal">
      <formula>"B"</formula>
    </cfRule>
    <cfRule type="cellIs" dxfId="2714" priority="3362" operator="equal">
      <formula>"S"</formula>
    </cfRule>
    <cfRule type="cellIs" dxfId="2713" priority="3363" operator="equal">
      <formula>"B"</formula>
    </cfRule>
    <cfRule type="expression" dxfId="2712" priority="3364">
      <formula>$AW2467="D"</formula>
    </cfRule>
    <cfRule type="cellIs" dxfId="2711" priority="3365" operator="equal">
      <formula>"B"</formula>
    </cfRule>
    <cfRule type="cellIs" dxfId="2710" priority="3366" operator="equal">
      <formula>"S"</formula>
    </cfRule>
    <cfRule type="expression" dxfId="2709" priority="3367">
      <formula>$AW2467="D"</formula>
    </cfRule>
    <cfRule type="cellIs" dxfId="2708" priority="3368" operator="equal">
      <formula>"B"</formula>
    </cfRule>
    <cfRule type="cellIs" dxfId="2707" priority="3369" operator="equal">
      <formula>"S"</formula>
    </cfRule>
    <cfRule type="expression" dxfId="2706" priority="3373">
      <formula>$AW2467="D"</formula>
    </cfRule>
    <cfRule type="cellIs" dxfId="2705" priority="3374" operator="equal">
      <formula>"B"</formula>
    </cfRule>
    <cfRule type="cellIs" dxfId="2704" priority="3375" operator="equal">
      <formula>"S"</formula>
    </cfRule>
    <cfRule type="expression" dxfId="2703" priority="3376">
      <formula>$AW2467="D"</formula>
    </cfRule>
    <cfRule type="cellIs" dxfId="2702" priority="3377" operator="equal">
      <formula>"B"</formula>
    </cfRule>
    <cfRule type="cellIs" dxfId="2701" priority="3378" operator="equal">
      <formula>"S"</formula>
    </cfRule>
    <cfRule type="cellIs" dxfId="2700" priority="3379" operator="equal">
      <formula>"S"</formula>
    </cfRule>
    <cfRule type="cellIs" dxfId="2699" priority="3380" operator="equal">
      <formula>"B"</formula>
    </cfRule>
    <cfRule type="expression" dxfId="2698" priority="3381">
      <formula>$AW2467="D"</formula>
    </cfRule>
    <cfRule type="cellIs" dxfId="2697" priority="3382" operator="equal">
      <formula>"B"</formula>
    </cfRule>
    <cfRule type="cellIs" dxfId="2696" priority="3383" operator="equal">
      <formula>"S"</formula>
    </cfRule>
    <cfRule type="expression" dxfId="2695" priority="3384">
      <formula>$AW2467="D"</formula>
    </cfRule>
    <cfRule type="cellIs" dxfId="2694" priority="3385" operator="equal">
      <formula>"B"</formula>
    </cfRule>
    <cfRule type="cellIs" dxfId="2693" priority="3386" operator="equal">
      <formula>"S"</formula>
    </cfRule>
    <cfRule type="expression" dxfId="2692" priority="3387">
      <formula>$AW2467="D"</formula>
    </cfRule>
    <cfRule type="cellIs" dxfId="2691" priority="3388" operator="equal">
      <formula>"B"</formula>
    </cfRule>
    <cfRule type="cellIs" dxfId="2690" priority="3389" operator="equal">
      <formula>"S"</formula>
    </cfRule>
    <cfRule type="expression" dxfId="2689" priority="3390">
      <formula>$AW2467="D"</formula>
    </cfRule>
    <cfRule type="cellIs" dxfId="2688" priority="3391" operator="equal">
      <formula>"B"</formula>
    </cfRule>
    <cfRule type="cellIs" dxfId="2687" priority="3392" operator="equal">
      <formula>"S"</formula>
    </cfRule>
    <cfRule type="expression" dxfId="2686" priority="3395">
      <formula>$AW2467="D"</formula>
    </cfRule>
    <cfRule type="cellIs" dxfId="2685" priority="3396" operator="equal">
      <formula>"B"</formula>
    </cfRule>
    <cfRule type="cellIs" dxfId="2684" priority="3397" operator="equal">
      <formula>"S"</formula>
    </cfRule>
  </conditionalFormatting>
  <conditionalFormatting sqref="Y2472">
    <cfRule type="cellIs" dxfId="2683" priority="3263" operator="equal">
      <formula>"S"</formula>
    </cfRule>
    <cfRule type="cellIs" dxfId="2682" priority="3264" operator="equal">
      <formula>"B"</formula>
    </cfRule>
    <cfRule type="expression" dxfId="2681" priority="3265">
      <formula>$AW2472="D"</formula>
    </cfRule>
    <cfRule type="cellIs" dxfId="2680" priority="3266" operator="equal">
      <formula>"B"</formula>
    </cfRule>
    <cfRule type="cellIs" dxfId="2679" priority="3267" operator="equal">
      <formula>"S"</formula>
    </cfRule>
    <cfRule type="expression" dxfId="2678" priority="3268">
      <formula>$AW2472="D"</formula>
    </cfRule>
    <cfRule type="cellIs" dxfId="2677" priority="3269" operator="equal">
      <formula>"B"</formula>
    </cfRule>
    <cfRule type="cellIs" dxfId="2676" priority="3270" operator="equal">
      <formula>"S"</formula>
    </cfRule>
    <cfRule type="cellIs" dxfId="2675" priority="3271" operator="equal">
      <formula>"S"</formula>
    </cfRule>
    <cfRule type="cellIs" dxfId="2674" priority="3272" operator="equal">
      <formula>"B"</formula>
    </cfRule>
    <cfRule type="expression" dxfId="2673" priority="3274">
      <formula>$AW2472="D"</formula>
    </cfRule>
    <cfRule type="cellIs" dxfId="2672" priority="3275" operator="equal">
      <formula>"B"</formula>
    </cfRule>
    <cfRule type="cellIs" dxfId="2671" priority="3276" operator="equal">
      <formula>"S"</formula>
    </cfRule>
    <cfRule type="expression" dxfId="2670" priority="3277">
      <formula>$AW2472="D"</formula>
    </cfRule>
    <cfRule type="cellIs" dxfId="2669" priority="3278" operator="equal">
      <formula>"B"</formula>
    </cfRule>
    <cfRule type="cellIs" dxfId="2668" priority="3279" operator="equal">
      <formula>"S"</formula>
    </cfRule>
    <cfRule type="cellIs" dxfId="2667" priority="3280" operator="equal">
      <formula>"S"</formula>
    </cfRule>
    <cfRule type="cellIs" dxfId="2666" priority="3281" operator="equal">
      <formula>"B"</formula>
    </cfRule>
    <cfRule type="expression" dxfId="2665" priority="3283">
      <formula>$AW2472="D"</formula>
    </cfRule>
    <cfRule type="cellIs" dxfId="2664" priority="3284" operator="equal">
      <formula>"B"</formula>
    </cfRule>
    <cfRule type="cellIs" dxfId="2663" priority="3285" operator="equal">
      <formula>"S"</formula>
    </cfRule>
    <cfRule type="expression" dxfId="2662" priority="3287">
      <formula>$AW2472="D"</formula>
    </cfRule>
    <cfRule type="cellIs" dxfId="2661" priority="3288" operator="equal">
      <formula>"B"</formula>
    </cfRule>
    <cfRule type="cellIs" dxfId="2660" priority="3289" operator="equal">
      <formula>"S"</formula>
    </cfRule>
    <cfRule type="cellIs" dxfId="2659" priority="3290" operator="equal">
      <formula>"S"</formula>
    </cfRule>
    <cfRule type="cellIs" dxfId="2658" priority="3291" operator="equal">
      <formula>"B"</formula>
    </cfRule>
    <cfRule type="cellIs" dxfId="2657" priority="3293" operator="equal">
      <formula>"S"</formula>
    </cfRule>
    <cfRule type="cellIs" dxfId="2656" priority="3294" operator="equal">
      <formula>"B"</formula>
    </cfRule>
    <cfRule type="expression" dxfId="2655" priority="3295">
      <formula>$AW2472="D"</formula>
    </cfRule>
    <cfRule type="cellIs" dxfId="2654" priority="3296" operator="equal">
      <formula>"B"</formula>
    </cfRule>
    <cfRule type="cellIs" dxfId="2653" priority="3297" operator="equal">
      <formula>"S"</formula>
    </cfRule>
    <cfRule type="expression" dxfId="2652" priority="3298">
      <formula>$AW2472="D"</formula>
    </cfRule>
    <cfRule type="cellIs" dxfId="2651" priority="3299" operator="equal">
      <formula>"B"</formula>
    </cfRule>
    <cfRule type="cellIs" dxfId="2650" priority="3300" operator="equal">
      <formula>"S"</formula>
    </cfRule>
    <cfRule type="expression" dxfId="2649" priority="3302">
      <formula>$AW2472="D"</formula>
    </cfRule>
    <cfRule type="cellIs" dxfId="2648" priority="3303" operator="equal">
      <formula>"B"</formula>
    </cfRule>
    <cfRule type="cellIs" dxfId="2647" priority="3304" operator="equal">
      <formula>"S"</formula>
    </cfRule>
    <cfRule type="expression" dxfId="2646" priority="3305">
      <formula>$AW2472="D"</formula>
    </cfRule>
    <cfRule type="cellIs" dxfId="2645" priority="3306" operator="equal">
      <formula>"B"</formula>
    </cfRule>
    <cfRule type="cellIs" dxfId="2644" priority="3307" operator="equal">
      <formula>"S"</formula>
    </cfRule>
    <cfRule type="cellIs" dxfId="2643" priority="3308" operator="equal">
      <formula>"S"</formula>
    </cfRule>
    <cfRule type="cellIs" dxfId="2642" priority="3309" operator="equal">
      <formula>"B"</formula>
    </cfRule>
    <cfRule type="expression" dxfId="2641" priority="3310">
      <formula>$AW2472="D"</formula>
    </cfRule>
    <cfRule type="cellIs" dxfId="2640" priority="3311" operator="equal">
      <formula>"B"</formula>
    </cfRule>
    <cfRule type="cellIs" dxfId="2639" priority="3312" operator="equal">
      <formula>"S"</formula>
    </cfRule>
    <cfRule type="expression" dxfId="2638" priority="3313">
      <formula>$AW2472="D"</formula>
    </cfRule>
    <cfRule type="cellIs" dxfId="2637" priority="3314" operator="equal">
      <formula>"B"</formula>
    </cfRule>
    <cfRule type="cellIs" dxfId="2636" priority="3315" operator="equal">
      <formula>"S"</formula>
    </cfRule>
    <cfRule type="expression" dxfId="2635" priority="3316">
      <formula>$AW2472="D"</formula>
    </cfRule>
    <cfRule type="cellIs" dxfId="2634" priority="3317" operator="equal">
      <formula>"B"</formula>
    </cfRule>
    <cfRule type="cellIs" dxfId="2633" priority="3318" operator="equal">
      <formula>"S"</formula>
    </cfRule>
    <cfRule type="expression" dxfId="2632" priority="3319">
      <formula>$AW2472="D"</formula>
    </cfRule>
    <cfRule type="cellIs" dxfId="2631" priority="3320" operator="equal">
      <formula>"B"</formula>
    </cfRule>
    <cfRule type="cellIs" dxfId="2630" priority="3321" operator="equal">
      <formula>"S"</formula>
    </cfRule>
    <cfRule type="cellIs" dxfId="2629" priority="3322" operator="equal">
      <formula>"S"</formula>
    </cfRule>
    <cfRule type="cellIs" dxfId="2628" priority="3323" operator="equal">
      <formula>"B"</formula>
    </cfRule>
    <cfRule type="expression" dxfId="2627" priority="3324">
      <formula>$AW2472="D"</formula>
    </cfRule>
    <cfRule type="cellIs" dxfId="2626" priority="3325" operator="equal">
      <formula>"B"</formula>
    </cfRule>
    <cfRule type="cellIs" dxfId="2625" priority="3326" operator="equal">
      <formula>"S"</formula>
    </cfRule>
    <cfRule type="expression" dxfId="2624" priority="3327">
      <formula>$AW2472="D"</formula>
    </cfRule>
    <cfRule type="cellIs" dxfId="2623" priority="3328" operator="equal">
      <formula>"B"</formula>
    </cfRule>
    <cfRule type="cellIs" dxfId="2622" priority="3329" operator="equal">
      <formula>"S"</formula>
    </cfRule>
  </conditionalFormatting>
  <conditionalFormatting sqref="Y2474">
    <cfRule type="cellIs" dxfId="2621" priority="3194" operator="equal">
      <formula>"S"</formula>
    </cfRule>
    <cfRule type="cellIs" dxfId="2620" priority="3195" operator="equal">
      <formula>"B"</formula>
    </cfRule>
    <cfRule type="expression" dxfId="2619" priority="3196">
      <formula>$AW2474="D"</formula>
    </cfRule>
    <cfRule type="cellIs" dxfId="2618" priority="3197" operator="equal">
      <formula>"B"</formula>
    </cfRule>
    <cfRule type="cellIs" dxfId="2617" priority="3198" operator="equal">
      <formula>"S"</formula>
    </cfRule>
    <cfRule type="expression" dxfId="2616" priority="3199">
      <formula>$AW2474="D"</formula>
    </cfRule>
    <cfRule type="cellIs" dxfId="2615" priority="3200" operator="equal">
      <formula>"B"</formula>
    </cfRule>
    <cfRule type="cellIs" dxfId="2614" priority="3201" operator="equal">
      <formula>"S"</formula>
    </cfRule>
    <cfRule type="cellIs" dxfId="2613" priority="3202" operator="equal">
      <formula>"S"</formula>
    </cfRule>
    <cfRule type="cellIs" dxfId="2612" priority="3203" operator="equal">
      <formula>"B"</formula>
    </cfRule>
    <cfRule type="expression" dxfId="2611" priority="3205">
      <formula>$AW2474="D"</formula>
    </cfRule>
    <cfRule type="cellIs" dxfId="2610" priority="3206" operator="equal">
      <formula>"B"</formula>
    </cfRule>
    <cfRule type="cellIs" dxfId="2609" priority="3207" operator="equal">
      <formula>"S"</formula>
    </cfRule>
    <cfRule type="expression" dxfId="2608" priority="3208">
      <formula>$AW2474="D"</formula>
    </cfRule>
    <cfRule type="cellIs" dxfId="2607" priority="3209" operator="equal">
      <formula>"B"</formula>
    </cfRule>
    <cfRule type="cellIs" dxfId="2606" priority="3210" operator="equal">
      <formula>"S"</formula>
    </cfRule>
    <cfRule type="cellIs" dxfId="2605" priority="3211" operator="equal">
      <formula>"S"</formula>
    </cfRule>
    <cfRule type="cellIs" dxfId="2604" priority="3212" operator="equal">
      <formula>"B"</formula>
    </cfRule>
    <cfRule type="expression" dxfId="2603" priority="3214">
      <formula>$AW2474="D"</formula>
    </cfRule>
    <cfRule type="cellIs" dxfId="2602" priority="3215" operator="equal">
      <formula>"B"</formula>
    </cfRule>
    <cfRule type="cellIs" dxfId="2601" priority="3216" operator="equal">
      <formula>"S"</formula>
    </cfRule>
    <cfRule type="expression" dxfId="2600" priority="3218">
      <formula>$AW2474="D"</formula>
    </cfRule>
    <cfRule type="cellIs" dxfId="2599" priority="3219" operator="equal">
      <formula>"B"</formula>
    </cfRule>
    <cfRule type="cellIs" dxfId="2598" priority="3220" operator="equal">
      <formula>"S"</formula>
    </cfRule>
    <cfRule type="cellIs" dxfId="2597" priority="3221" operator="equal">
      <formula>"S"</formula>
    </cfRule>
    <cfRule type="cellIs" dxfId="2596" priority="3222" operator="equal">
      <formula>"B"</formula>
    </cfRule>
    <cfRule type="cellIs" dxfId="2595" priority="3224" operator="equal">
      <formula>"S"</formula>
    </cfRule>
    <cfRule type="cellIs" dxfId="2594" priority="3225" operator="equal">
      <formula>"B"</formula>
    </cfRule>
    <cfRule type="expression" dxfId="2593" priority="3226">
      <formula>$AW2474="D"</formula>
    </cfRule>
    <cfRule type="cellIs" dxfId="2592" priority="3227" operator="equal">
      <formula>"B"</formula>
    </cfRule>
    <cfRule type="cellIs" dxfId="2591" priority="3228" operator="equal">
      <formula>"S"</formula>
    </cfRule>
    <cfRule type="expression" dxfId="2590" priority="3229">
      <formula>$AW2474="D"</formula>
    </cfRule>
    <cfRule type="cellIs" dxfId="2589" priority="3230" operator="equal">
      <formula>"B"</formula>
    </cfRule>
    <cfRule type="cellIs" dxfId="2588" priority="3231" operator="equal">
      <formula>"S"</formula>
    </cfRule>
    <cfRule type="expression" dxfId="2587" priority="3233">
      <formula>$AW2474="D"</formula>
    </cfRule>
    <cfRule type="cellIs" dxfId="2586" priority="3234" operator="equal">
      <formula>"B"</formula>
    </cfRule>
    <cfRule type="cellIs" dxfId="2585" priority="3235" operator="equal">
      <formula>"S"</formula>
    </cfRule>
    <cfRule type="expression" dxfId="2584" priority="3236">
      <formula>$AW2474="D"</formula>
    </cfRule>
    <cfRule type="cellIs" dxfId="2583" priority="3237" operator="equal">
      <formula>"B"</formula>
    </cfRule>
    <cfRule type="cellIs" dxfId="2582" priority="3238" operator="equal">
      <formula>"S"</formula>
    </cfRule>
    <cfRule type="cellIs" dxfId="2581" priority="3239" operator="equal">
      <formula>"S"</formula>
    </cfRule>
    <cfRule type="cellIs" dxfId="2580" priority="3240" operator="equal">
      <formula>"B"</formula>
    </cfRule>
    <cfRule type="expression" dxfId="2579" priority="3241">
      <formula>$AW2474="D"</formula>
    </cfRule>
    <cfRule type="cellIs" dxfId="2578" priority="3242" operator="equal">
      <formula>"B"</formula>
    </cfRule>
    <cfRule type="cellIs" dxfId="2577" priority="3243" operator="equal">
      <formula>"S"</formula>
    </cfRule>
    <cfRule type="expression" dxfId="2576" priority="3244">
      <formula>$AW2474="D"</formula>
    </cfRule>
    <cfRule type="cellIs" dxfId="2575" priority="3245" operator="equal">
      <formula>"B"</formula>
    </cfRule>
    <cfRule type="cellIs" dxfId="2574" priority="3246" operator="equal">
      <formula>"S"</formula>
    </cfRule>
    <cfRule type="expression" dxfId="2573" priority="3247">
      <formula>$AW2474="D"</formula>
    </cfRule>
    <cfRule type="cellIs" dxfId="2572" priority="3248" operator="equal">
      <formula>"B"</formula>
    </cfRule>
    <cfRule type="cellIs" dxfId="2571" priority="3249" operator="equal">
      <formula>"S"</formula>
    </cfRule>
    <cfRule type="expression" dxfId="2570" priority="3250">
      <formula>$AW2474="D"</formula>
    </cfRule>
    <cfRule type="cellIs" dxfId="2569" priority="3251" operator="equal">
      <formula>"B"</formula>
    </cfRule>
    <cfRule type="cellIs" dxfId="2568" priority="3252" operator="equal">
      <formula>"S"</formula>
    </cfRule>
    <cfRule type="cellIs" dxfId="2567" priority="3253" operator="equal">
      <formula>"S"</formula>
    </cfRule>
    <cfRule type="cellIs" dxfId="2566" priority="3254" operator="equal">
      <formula>"B"</formula>
    </cfRule>
    <cfRule type="expression" dxfId="2565" priority="3255">
      <formula>$AW2474="D"</formula>
    </cfRule>
    <cfRule type="cellIs" dxfId="2564" priority="3256" operator="equal">
      <formula>"B"</formula>
    </cfRule>
    <cfRule type="cellIs" dxfId="2563" priority="3257" operator="equal">
      <formula>"S"</formula>
    </cfRule>
    <cfRule type="expression" dxfId="2562" priority="3258">
      <formula>$AW2474="D"</formula>
    </cfRule>
    <cfRule type="cellIs" dxfId="2561" priority="3259" operator="equal">
      <formula>"B"</formula>
    </cfRule>
    <cfRule type="cellIs" dxfId="2560" priority="3260" operator="equal">
      <formula>"S"</formula>
    </cfRule>
  </conditionalFormatting>
  <conditionalFormatting sqref="Y2479:Y2482">
    <cfRule type="expression" dxfId="2559" priority="3189">
      <formula>$AW2479="D"</formula>
    </cfRule>
  </conditionalFormatting>
  <conditionalFormatting sqref="Y2480:Y2482">
    <cfRule type="cellIs" dxfId="2558" priority="3125" operator="equal">
      <formula>"S"</formula>
    </cfRule>
    <cfRule type="cellIs" dxfId="2557" priority="3126" operator="equal">
      <formula>"B"</formula>
    </cfRule>
    <cfRule type="expression" dxfId="2556" priority="3127">
      <formula>$AW2480="D"</formula>
    </cfRule>
    <cfRule type="cellIs" dxfId="2555" priority="3128" operator="equal">
      <formula>"B"</formula>
    </cfRule>
    <cfRule type="cellIs" dxfId="2554" priority="3129" operator="equal">
      <formula>"S"</formula>
    </cfRule>
    <cfRule type="expression" dxfId="2553" priority="3130">
      <formula>$AW2480="D"</formula>
    </cfRule>
    <cfRule type="cellIs" dxfId="2552" priority="3131" operator="equal">
      <formula>"B"</formula>
    </cfRule>
    <cfRule type="cellIs" dxfId="2551" priority="3132" operator="equal">
      <formula>"S"</formula>
    </cfRule>
    <cfRule type="cellIs" dxfId="2550" priority="3133" operator="equal">
      <formula>"S"</formula>
    </cfRule>
    <cfRule type="cellIs" dxfId="2549" priority="3134" operator="equal">
      <formula>"B"</formula>
    </cfRule>
    <cfRule type="expression" dxfId="2548" priority="3136">
      <formula>$AW2480="D"</formula>
    </cfRule>
    <cfRule type="cellIs" dxfId="2547" priority="3137" operator="equal">
      <formula>"B"</formula>
    </cfRule>
    <cfRule type="cellIs" dxfId="2546" priority="3138" operator="equal">
      <formula>"S"</formula>
    </cfRule>
    <cfRule type="expression" dxfId="2545" priority="3139">
      <formula>$AW2480="D"</formula>
    </cfRule>
    <cfRule type="cellIs" dxfId="2544" priority="3140" operator="equal">
      <formula>"B"</formula>
    </cfRule>
    <cfRule type="cellIs" dxfId="2543" priority="3141" operator="equal">
      <formula>"S"</formula>
    </cfRule>
    <cfRule type="cellIs" dxfId="2542" priority="3142" operator="equal">
      <formula>"S"</formula>
    </cfRule>
    <cfRule type="cellIs" dxfId="2541" priority="3143" operator="equal">
      <formula>"B"</formula>
    </cfRule>
    <cfRule type="expression" dxfId="2540" priority="3145">
      <formula>$AW2480="D"</formula>
    </cfRule>
    <cfRule type="cellIs" dxfId="2539" priority="3146" operator="equal">
      <formula>"B"</formula>
    </cfRule>
    <cfRule type="cellIs" dxfId="2538" priority="3147" operator="equal">
      <formula>"S"</formula>
    </cfRule>
    <cfRule type="expression" dxfId="2537" priority="3149">
      <formula>$AW2480="D"</formula>
    </cfRule>
    <cfRule type="cellIs" dxfId="2536" priority="3150" operator="equal">
      <formula>"B"</formula>
    </cfRule>
    <cfRule type="cellIs" dxfId="2535" priority="3151" operator="equal">
      <formula>"S"</formula>
    </cfRule>
    <cfRule type="cellIs" dxfId="2534" priority="3152" operator="equal">
      <formula>"S"</formula>
    </cfRule>
    <cfRule type="cellIs" dxfId="2533" priority="3153" operator="equal">
      <formula>"B"</formula>
    </cfRule>
    <cfRule type="cellIs" dxfId="2532" priority="3155" operator="equal">
      <formula>"S"</formula>
    </cfRule>
    <cfRule type="cellIs" dxfId="2531" priority="3156" operator="equal">
      <formula>"B"</formula>
    </cfRule>
    <cfRule type="expression" dxfId="2530" priority="3157">
      <formula>$AW2480="D"</formula>
    </cfRule>
    <cfRule type="cellIs" dxfId="2529" priority="3158" operator="equal">
      <formula>"B"</formula>
    </cfRule>
    <cfRule type="cellIs" dxfId="2528" priority="3159" operator="equal">
      <formula>"S"</formula>
    </cfRule>
    <cfRule type="expression" dxfId="2527" priority="3160">
      <formula>$AW2480="D"</formula>
    </cfRule>
    <cfRule type="cellIs" dxfId="2526" priority="3161" operator="equal">
      <formula>"B"</formula>
    </cfRule>
    <cfRule type="cellIs" dxfId="2525" priority="3162" operator="equal">
      <formula>"S"</formula>
    </cfRule>
    <cfRule type="expression" dxfId="2524" priority="3164">
      <formula>$AW2480="D"</formula>
    </cfRule>
    <cfRule type="cellIs" dxfId="2523" priority="3165" operator="equal">
      <formula>"B"</formula>
    </cfRule>
    <cfRule type="cellIs" dxfId="2522" priority="3166" operator="equal">
      <formula>"S"</formula>
    </cfRule>
    <cfRule type="expression" dxfId="2521" priority="3167">
      <formula>$AW2480="D"</formula>
    </cfRule>
    <cfRule type="cellIs" dxfId="2520" priority="3168" operator="equal">
      <formula>"B"</formula>
    </cfRule>
    <cfRule type="cellIs" dxfId="2519" priority="3169" operator="equal">
      <formula>"S"</formula>
    </cfRule>
    <cfRule type="cellIs" dxfId="2518" priority="3170" operator="equal">
      <formula>"S"</formula>
    </cfRule>
    <cfRule type="cellIs" dxfId="2517" priority="3171" operator="equal">
      <formula>"B"</formula>
    </cfRule>
    <cfRule type="expression" dxfId="2516" priority="3172">
      <formula>$AW2480="D"</formula>
    </cfRule>
    <cfRule type="cellIs" dxfId="2515" priority="3173" operator="equal">
      <formula>"B"</formula>
    </cfRule>
    <cfRule type="cellIs" dxfId="2514" priority="3174" operator="equal">
      <formula>"S"</formula>
    </cfRule>
    <cfRule type="expression" dxfId="2513" priority="3175">
      <formula>$AW2480="D"</formula>
    </cfRule>
    <cfRule type="cellIs" dxfId="2512" priority="3176" operator="equal">
      <formula>"B"</formula>
    </cfRule>
    <cfRule type="cellIs" dxfId="2511" priority="3177" operator="equal">
      <formula>"S"</formula>
    </cfRule>
    <cfRule type="expression" dxfId="2510" priority="3178">
      <formula>$AW2480="D"</formula>
    </cfRule>
    <cfRule type="cellIs" dxfId="2509" priority="3179" operator="equal">
      <formula>"B"</formula>
    </cfRule>
    <cfRule type="cellIs" dxfId="2508" priority="3180" operator="equal">
      <formula>"S"</formula>
    </cfRule>
    <cfRule type="expression" dxfId="2507" priority="3181">
      <formula>$AW2480="D"</formula>
    </cfRule>
    <cfRule type="cellIs" dxfId="2506" priority="3182" operator="equal">
      <formula>"B"</formula>
    </cfRule>
    <cfRule type="cellIs" dxfId="2505" priority="3183" operator="equal">
      <formula>"S"</formula>
    </cfRule>
    <cfRule type="cellIs" dxfId="2504" priority="3184" operator="equal">
      <formula>"S"</formula>
    </cfRule>
    <cfRule type="cellIs" dxfId="2503" priority="3185" operator="equal">
      <formula>"B"</formula>
    </cfRule>
    <cfRule type="expression" dxfId="2502" priority="3186">
      <formula>$AW2480="D"</formula>
    </cfRule>
    <cfRule type="cellIs" dxfId="2501" priority="3187" operator="equal">
      <formula>"B"</formula>
    </cfRule>
    <cfRule type="cellIs" dxfId="2500" priority="3188" operator="equal">
      <formula>"S"</formula>
    </cfRule>
    <cfRule type="cellIs" dxfId="2499" priority="3190" operator="equal">
      <formula>"B"</formula>
    </cfRule>
    <cfRule type="cellIs" dxfId="2498" priority="3191" operator="equal">
      <formula>"S"</formula>
    </cfRule>
  </conditionalFormatting>
  <conditionalFormatting sqref="Y2487:Y2491">
    <cfRule type="cellIs" dxfId="2497" priority="3049" operator="equal">
      <formula>"S"</formula>
    </cfRule>
    <cfRule type="cellIs" dxfId="2496" priority="3050" operator="equal">
      <formula>"B"</formula>
    </cfRule>
    <cfRule type="expression" dxfId="2495" priority="3051">
      <formula>$AW2487="D"</formula>
    </cfRule>
    <cfRule type="cellIs" dxfId="2494" priority="3052" operator="equal">
      <formula>"B"</formula>
    </cfRule>
    <cfRule type="cellIs" dxfId="2493" priority="3053" operator="equal">
      <formula>"S"</formula>
    </cfRule>
    <cfRule type="expression" dxfId="2492" priority="3054">
      <formula>$AW2487="D"</formula>
    </cfRule>
    <cfRule type="cellIs" dxfId="2491" priority="3055" operator="equal">
      <formula>"B"</formula>
    </cfRule>
    <cfRule type="cellIs" dxfId="2490" priority="3056" operator="equal">
      <formula>"S"</formula>
    </cfRule>
    <cfRule type="cellIs" dxfId="2489" priority="3057" operator="equal">
      <formula>"S"</formula>
    </cfRule>
    <cfRule type="cellIs" dxfId="2488" priority="3058" operator="equal">
      <formula>"B"</formula>
    </cfRule>
    <cfRule type="expression" dxfId="2487" priority="3059">
      <formula>$AW2487="D"</formula>
    </cfRule>
    <cfRule type="cellIs" dxfId="2486" priority="3060" operator="equal">
      <formula>"B"</formula>
    </cfRule>
    <cfRule type="cellIs" dxfId="2485" priority="3061" operator="equal">
      <formula>"S"</formula>
    </cfRule>
    <cfRule type="expression" dxfId="2484" priority="3062">
      <formula>$AW2487="D"</formula>
    </cfRule>
    <cfRule type="cellIs" dxfId="2483" priority="3063" operator="equal">
      <formula>"B"</formula>
    </cfRule>
    <cfRule type="cellIs" dxfId="2482" priority="3064" operator="equal">
      <formula>"S"</formula>
    </cfRule>
    <cfRule type="cellIs" dxfId="2481" priority="3065" operator="equal">
      <formula>"S"</formula>
    </cfRule>
    <cfRule type="cellIs" dxfId="2480" priority="3066" operator="equal">
      <formula>"B"</formula>
    </cfRule>
    <cfRule type="expression" dxfId="2479" priority="3067">
      <formula>$AW2487="D"</formula>
    </cfRule>
    <cfRule type="cellIs" dxfId="2478" priority="3068" operator="equal">
      <formula>"B"</formula>
    </cfRule>
    <cfRule type="cellIs" dxfId="2477" priority="3069" operator="equal">
      <formula>"S"</formula>
    </cfRule>
    <cfRule type="expression" dxfId="2476" priority="3070">
      <formula>$AW2487="D"</formula>
    </cfRule>
    <cfRule type="cellIs" dxfId="2475" priority="3071" operator="equal">
      <formula>"B"</formula>
    </cfRule>
    <cfRule type="cellIs" dxfId="2474" priority="3072" operator="equal">
      <formula>"S"</formula>
    </cfRule>
    <cfRule type="cellIs" dxfId="2473" priority="3073" operator="equal">
      <formula>"S"</formula>
    </cfRule>
    <cfRule type="cellIs" dxfId="2472" priority="3074" operator="equal">
      <formula>"B"</formula>
    </cfRule>
    <cfRule type="expression" dxfId="2471" priority="3077">
      <formula>$AW2487="D"</formula>
    </cfRule>
    <cfRule type="cellIs" dxfId="2470" priority="3078" operator="equal">
      <formula>"B"</formula>
    </cfRule>
    <cfRule type="cellIs" dxfId="2469" priority="3079" operator="equal">
      <formula>"S"</formula>
    </cfRule>
    <cfRule type="expression" dxfId="2468" priority="3080">
      <formula>$AW2487="D"</formula>
    </cfRule>
    <cfRule type="cellIs" dxfId="2467" priority="3081" operator="equal">
      <formula>"B"</formula>
    </cfRule>
    <cfRule type="cellIs" dxfId="2466" priority="3082" operator="equal">
      <formula>"S"</formula>
    </cfRule>
    <cfRule type="expression" dxfId="2465" priority="3083">
      <formula>$AW2487="D"</formula>
    </cfRule>
    <cfRule type="cellIs" dxfId="2464" priority="3084" operator="equal">
      <formula>"B"</formula>
    </cfRule>
    <cfRule type="cellIs" dxfId="2463" priority="3085" operator="equal">
      <formula>"S"</formula>
    </cfRule>
    <cfRule type="expression" dxfId="2462" priority="3086">
      <formula>$AW2487="D"</formula>
    </cfRule>
    <cfRule type="cellIs" dxfId="2461" priority="3087" operator="equal">
      <formula>"B"</formula>
    </cfRule>
    <cfRule type="cellIs" dxfId="2460" priority="3088" operator="equal">
      <formula>"S"</formula>
    </cfRule>
    <cfRule type="cellIs" dxfId="2459" priority="3089" operator="equal">
      <formula>"S"</formula>
    </cfRule>
    <cfRule type="cellIs" dxfId="2458" priority="3090" operator="equal">
      <formula>"B"</formula>
    </cfRule>
    <cfRule type="expression" dxfId="2457" priority="3091">
      <formula>$AW2487="D"</formula>
    </cfRule>
    <cfRule type="cellIs" dxfId="2456" priority="3092" operator="equal">
      <formula>"B"</formula>
    </cfRule>
    <cfRule type="cellIs" dxfId="2455" priority="3093" operator="equal">
      <formula>"S"</formula>
    </cfRule>
    <cfRule type="expression" dxfId="2454" priority="3094">
      <formula>$AW2487="D"</formula>
    </cfRule>
    <cfRule type="cellIs" dxfId="2453" priority="3095" operator="equal">
      <formula>"B"</formula>
    </cfRule>
    <cfRule type="cellIs" dxfId="2452" priority="3096" operator="equal">
      <formula>"S"</formula>
    </cfRule>
    <cfRule type="expression" dxfId="2451" priority="3097">
      <formula>$AW2487="D"</formula>
    </cfRule>
    <cfRule type="cellIs" dxfId="2450" priority="3098" operator="equal">
      <formula>"B"</formula>
    </cfRule>
    <cfRule type="cellIs" dxfId="2449" priority="3099" operator="equal">
      <formula>"S"</formula>
    </cfRule>
    <cfRule type="expression" dxfId="2448" priority="3100">
      <formula>$AW2487="D"</formula>
    </cfRule>
    <cfRule type="cellIs" dxfId="2447" priority="3101" operator="equal">
      <formula>"B"</formula>
    </cfRule>
    <cfRule type="cellIs" dxfId="2446" priority="3102" operator="equal">
      <formula>"S"</formula>
    </cfRule>
    <cfRule type="cellIs" dxfId="2445" priority="3103" operator="equal">
      <formula>"S"</formula>
    </cfRule>
    <cfRule type="cellIs" dxfId="2444" priority="3104" operator="equal">
      <formula>"B"</formula>
    </cfRule>
    <cfRule type="expression" dxfId="2443" priority="3105">
      <formula>$AW2487="D"</formula>
    </cfRule>
    <cfRule type="cellIs" dxfId="2442" priority="3106" operator="equal">
      <formula>"B"</formula>
    </cfRule>
    <cfRule type="cellIs" dxfId="2441" priority="3107" operator="equal">
      <formula>"S"</formula>
    </cfRule>
    <cfRule type="expression" dxfId="2440" priority="3108">
      <formula>$AW2487="D"</formula>
    </cfRule>
    <cfRule type="cellIs" dxfId="2439" priority="3109" operator="equal">
      <formula>"B"</formula>
    </cfRule>
    <cfRule type="cellIs" dxfId="2438" priority="3110" operator="equal">
      <formula>"S"</formula>
    </cfRule>
  </conditionalFormatting>
  <conditionalFormatting sqref="Y2493:Y2494">
    <cfRule type="cellIs" dxfId="2437" priority="2981" operator="equal">
      <formula>"S"</formula>
    </cfRule>
    <cfRule type="cellIs" dxfId="2436" priority="2982" operator="equal">
      <formula>"B"</formula>
    </cfRule>
    <cfRule type="expression" dxfId="2435" priority="2983">
      <formula>$AW2493="D"</formula>
    </cfRule>
    <cfRule type="cellIs" dxfId="2434" priority="2984" operator="equal">
      <formula>"B"</formula>
    </cfRule>
    <cfRule type="cellIs" dxfId="2433" priority="2985" operator="equal">
      <formula>"S"</formula>
    </cfRule>
    <cfRule type="expression" dxfId="2432" priority="2986">
      <formula>$AW2493="D"</formula>
    </cfRule>
    <cfRule type="cellIs" dxfId="2431" priority="2987" operator="equal">
      <formula>"B"</formula>
    </cfRule>
    <cfRule type="cellIs" dxfId="2430" priority="2988" operator="equal">
      <formula>"S"</formula>
    </cfRule>
    <cfRule type="cellIs" dxfId="2429" priority="2989" operator="equal">
      <formula>"S"</formula>
    </cfRule>
    <cfRule type="cellIs" dxfId="2428" priority="2990" operator="equal">
      <formula>"B"</formula>
    </cfRule>
    <cfRule type="expression" dxfId="2427" priority="2991">
      <formula>$AW2493="D"</formula>
    </cfRule>
    <cfRule type="cellIs" dxfId="2426" priority="2992" operator="equal">
      <formula>"B"</formula>
    </cfRule>
    <cfRule type="cellIs" dxfId="2425" priority="2993" operator="equal">
      <formula>"S"</formula>
    </cfRule>
    <cfRule type="expression" dxfId="2424" priority="2994">
      <formula>$AW2493="D"</formula>
    </cfRule>
    <cfRule type="cellIs" dxfId="2423" priority="2995" operator="equal">
      <formula>"B"</formula>
    </cfRule>
    <cfRule type="cellIs" dxfId="2422" priority="2996" operator="equal">
      <formula>"S"</formula>
    </cfRule>
    <cfRule type="cellIs" dxfId="2421" priority="2997" operator="equal">
      <formula>"S"</formula>
    </cfRule>
    <cfRule type="cellIs" dxfId="2420" priority="2998" operator="equal">
      <formula>"B"</formula>
    </cfRule>
    <cfRule type="expression" dxfId="2419" priority="2999">
      <formula>$AW2493="D"</formula>
    </cfRule>
    <cfRule type="cellIs" dxfId="2418" priority="3000" operator="equal">
      <formula>"B"</formula>
    </cfRule>
    <cfRule type="cellIs" dxfId="2417" priority="3001" operator="equal">
      <formula>"S"</formula>
    </cfRule>
    <cfRule type="expression" dxfId="2416" priority="3002">
      <formula>$AW2493="D"</formula>
    </cfRule>
    <cfRule type="cellIs" dxfId="2415" priority="3003" operator="equal">
      <formula>"B"</formula>
    </cfRule>
    <cfRule type="cellIs" dxfId="2414" priority="3004" operator="equal">
      <formula>"S"</formula>
    </cfRule>
    <cfRule type="cellIs" dxfId="2413" priority="3005" operator="equal">
      <formula>"S"</formula>
    </cfRule>
    <cfRule type="cellIs" dxfId="2412" priority="3006" operator="equal">
      <formula>"B"</formula>
    </cfRule>
    <cfRule type="expression" dxfId="2411" priority="3009">
      <formula>$AW2493="D"</formula>
    </cfRule>
    <cfRule type="cellIs" dxfId="2410" priority="3010" operator="equal">
      <formula>"B"</formula>
    </cfRule>
    <cfRule type="cellIs" dxfId="2409" priority="3011" operator="equal">
      <formula>"S"</formula>
    </cfRule>
    <cfRule type="expression" dxfId="2408" priority="3012">
      <formula>$AW2493="D"</formula>
    </cfRule>
    <cfRule type="cellIs" dxfId="2407" priority="3013" operator="equal">
      <formula>"B"</formula>
    </cfRule>
    <cfRule type="cellIs" dxfId="2406" priority="3014" operator="equal">
      <formula>"S"</formula>
    </cfRule>
    <cfRule type="expression" dxfId="2405" priority="3015">
      <formula>$AW2493="D"</formula>
    </cfRule>
    <cfRule type="cellIs" dxfId="2404" priority="3016" operator="equal">
      <formula>"B"</formula>
    </cfRule>
    <cfRule type="cellIs" dxfId="2403" priority="3017" operator="equal">
      <formula>"S"</formula>
    </cfRule>
    <cfRule type="expression" dxfId="2402" priority="3018">
      <formula>$AW2493="D"</formula>
    </cfRule>
    <cfRule type="cellIs" dxfId="2401" priority="3019" operator="equal">
      <formula>"B"</formula>
    </cfRule>
    <cfRule type="cellIs" dxfId="2400" priority="3020" operator="equal">
      <formula>"S"</formula>
    </cfRule>
    <cfRule type="cellIs" dxfId="2399" priority="3021" operator="equal">
      <formula>"S"</formula>
    </cfRule>
    <cfRule type="cellIs" dxfId="2398" priority="3022" operator="equal">
      <formula>"B"</formula>
    </cfRule>
    <cfRule type="expression" dxfId="2397" priority="3023">
      <formula>$AW2493="D"</formula>
    </cfRule>
    <cfRule type="cellIs" dxfId="2396" priority="3024" operator="equal">
      <formula>"B"</formula>
    </cfRule>
    <cfRule type="cellIs" dxfId="2395" priority="3025" operator="equal">
      <formula>"S"</formula>
    </cfRule>
    <cfRule type="expression" dxfId="2394" priority="3026">
      <formula>$AW2493="D"</formula>
    </cfRule>
    <cfRule type="cellIs" dxfId="2393" priority="3027" operator="equal">
      <formula>"B"</formula>
    </cfRule>
    <cfRule type="cellIs" dxfId="2392" priority="3028" operator="equal">
      <formula>"S"</formula>
    </cfRule>
    <cfRule type="expression" dxfId="2391" priority="3029">
      <formula>$AW2493="D"</formula>
    </cfRule>
    <cfRule type="cellIs" dxfId="2390" priority="3030" operator="equal">
      <formula>"B"</formula>
    </cfRule>
    <cfRule type="cellIs" dxfId="2389" priority="3031" operator="equal">
      <formula>"S"</formula>
    </cfRule>
    <cfRule type="expression" dxfId="2388" priority="3032">
      <formula>$AW2493="D"</formula>
    </cfRule>
    <cfRule type="cellIs" dxfId="2387" priority="3033" operator="equal">
      <formula>"B"</formula>
    </cfRule>
    <cfRule type="cellIs" dxfId="2386" priority="3034" operator="equal">
      <formula>"S"</formula>
    </cfRule>
    <cfRule type="cellIs" dxfId="2385" priority="3035" operator="equal">
      <formula>"S"</formula>
    </cfRule>
    <cfRule type="cellIs" dxfId="2384" priority="3036" operator="equal">
      <formula>"B"</formula>
    </cfRule>
    <cfRule type="expression" dxfId="2383" priority="3037">
      <formula>$AW2493="D"</formula>
    </cfRule>
    <cfRule type="cellIs" dxfId="2382" priority="3038" operator="equal">
      <formula>"B"</formula>
    </cfRule>
    <cfRule type="cellIs" dxfId="2381" priority="3039" operator="equal">
      <formula>"S"</formula>
    </cfRule>
    <cfRule type="expression" dxfId="2380" priority="3040">
      <formula>$AW2493="D"</formula>
    </cfRule>
    <cfRule type="cellIs" dxfId="2379" priority="3041" operator="equal">
      <formula>"B"</formula>
    </cfRule>
    <cfRule type="cellIs" dxfId="2378" priority="3042" operator="equal">
      <formula>"S"</formula>
    </cfRule>
  </conditionalFormatting>
  <conditionalFormatting sqref="Y2607">
    <cfRule type="expression" dxfId="2377" priority="5074">
      <formula>$AW2607="D"</formula>
    </cfRule>
  </conditionalFormatting>
  <conditionalFormatting sqref="Y534:Z534">
    <cfRule type="expression" dxfId="2376" priority="7988">
      <formula>$AW534="D"</formula>
    </cfRule>
  </conditionalFormatting>
  <conditionalFormatting sqref="Y648:Z648">
    <cfRule type="expression" dxfId="2375" priority="7979">
      <formula>$AW648="D"</formula>
    </cfRule>
  </conditionalFormatting>
  <conditionalFormatting sqref="Y762:Z762">
    <cfRule type="expression" dxfId="2374" priority="7860">
      <formula>$AW762="D"</formula>
    </cfRule>
  </conditionalFormatting>
  <conditionalFormatting sqref="Y873:Z873">
    <cfRule type="expression" dxfId="2373" priority="7848">
      <formula>$AW873="D"</formula>
    </cfRule>
  </conditionalFormatting>
  <conditionalFormatting sqref="Y995:Z995">
    <cfRule type="expression" dxfId="2372" priority="7838">
      <formula>$AW995="D"</formula>
    </cfRule>
  </conditionalFormatting>
  <conditionalFormatting sqref="Y1072:Z1072">
    <cfRule type="expression" dxfId="2371" priority="7819">
      <formula>$AW1072="D"</formula>
    </cfRule>
  </conditionalFormatting>
  <conditionalFormatting sqref="Y1196:Z1196">
    <cfRule type="expression" dxfId="2370" priority="7800">
      <formula>$AW1196="D"</formula>
    </cfRule>
  </conditionalFormatting>
  <conditionalFormatting sqref="Y1274:Z1274">
    <cfRule type="expression" dxfId="2369" priority="7790">
      <formula>$AW1274="D"</formula>
    </cfRule>
  </conditionalFormatting>
  <conditionalFormatting sqref="Y1283:Z1283">
    <cfRule type="expression" dxfId="2368" priority="7789">
      <formula>$AW1283="D"</formula>
    </cfRule>
  </conditionalFormatting>
  <conditionalFormatting sqref="Y1333:Z1333">
    <cfRule type="expression" dxfId="2367" priority="7776">
      <formula>$AW1333="D"</formula>
    </cfRule>
  </conditionalFormatting>
  <conditionalFormatting sqref="Y1338:Z1338">
    <cfRule type="expression" dxfId="2366" priority="7772">
      <formula>$AW1338="D"</formula>
    </cfRule>
  </conditionalFormatting>
  <conditionalFormatting sqref="Y1348:Z1348">
    <cfRule type="expression" dxfId="2365" priority="7770">
      <formula>$AW1348="D"</formula>
    </cfRule>
  </conditionalFormatting>
  <conditionalFormatting sqref="Y1387:Z1388">
    <cfRule type="expression" dxfId="2364" priority="7763">
      <formula>$AW1387="D"</formula>
    </cfRule>
  </conditionalFormatting>
  <conditionalFormatting sqref="Y1408:Z1408">
    <cfRule type="expression" dxfId="2363" priority="7745">
      <formula>$AW1408="D"</formula>
    </cfRule>
  </conditionalFormatting>
  <conditionalFormatting sqref="Y1457:Z1458">
    <cfRule type="expression" dxfId="2362" priority="7683">
      <formula>$AW1457="D"</formula>
    </cfRule>
  </conditionalFormatting>
  <conditionalFormatting sqref="Y1461:Z1461">
    <cfRule type="expression" dxfId="2361" priority="7678">
      <formula>$AW1461="D"</formula>
    </cfRule>
  </conditionalFormatting>
  <conditionalFormatting sqref="Y1466:Z1466">
    <cfRule type="expression" dxfId="2360" priority="7674">
      <formula>$AW1466="D"</formula>
    </cfRule>
  </conditionalFormatting>
  <conditionalFormatting sqref="Y1469:Z1470">
    <cfRule type="expression" dxfId="2359" priority="7669">
      <formula>$AW1469="D"</formula>
    </cfRule>
  </conditionalFormatting>
  <conditionalFormatting sqref="Y1477:Z1478">
    <cfRule type="expression" dxfId="2358" priority="7666">
      <formula>$AW1477="D"</formula>
    </cfRule>
  </conditionalFormatting>
  <conditionalFormatting sqref="Y1481:Z1483">
    <cfRule type="expression" dxfId="2357" priority="7663">
      <formula>$AW1481="D"</formula>
    </cfRule>
  </conditionalFormatting>
  <conditionalFormatting sqref="Y1486:Z1491">
    <cfRule type="expression" dxfId="2356" priority="7654">
      <formula>$AW1486="D"</formula>
    </cfRule>
  </conditionalFormatting>
  <conditionalFormatting sqref="Y1493:Z1514">
    <cfRule type="expression" dxfId="2355" priority="7637">
      <formula>$AW1493="D"</formula>
    </cfRule>
  </conditionalFormatting>
  <conditionalFormatting sqref="Y1525:Z1525">
    <cfRule type="expression" dxfId="2354" priority="7688">
      <formula>$AW1525="D"</formula>
    </cfRule>
  </conditionalFormatting>
  <conditionalFormatting sqref="Y1527:Z1531">
    <cfRule type="expression" dxfId="2353" priority="7624">
      <formula>$AW1527="D"</formula>
    </cfRule>
  </conditionalFormatting>
  <conditionalFormatting sqref="Y1533:Z1533">
    <cfRule type="expression" dxfId="2352" priority="7622">
      <formula>$AW1533="D"</formula>
    </cfRule>
  </conditionalFormatting>
  <conditionalFormatting sqref="Y1535:Z1535">
    <cfRule type="expression" dxfId="2351" priority="7620">
      <formula>$AW1535="D"</formula>
    </cfRule>
  </conditionalFormatting>
  <conditionalFormatting sqref="Y1539:Z1540">
    <cfRule type="expression" dxfId="2350" priority="7618">
      <formula>$AW1539="D"</formula>
    </cfRule>
  </conditionalFormatting>
  <conditionalFormatting sqref="Y1544:Z1548">
    <cfRule type="expression" dxfId="2349" priority="7609">
      <formula>$AW1544="D"</formula>
    </cfRule>
  </conditionalFormatting>
  <conditionalFormatting sqref="Y1557:Z1561">
    <cfRule type="expression" dxfId="2348" priority="7583">
      <formula>$AW1557="D"</formula>
    </cfRule>
  </conditionalFormatting>
  <conditionalFormatting sqref="Y1563:Z1564">
    <cfRule type="expression" dxfId="2347" priority="7570">
      <formula>$AW1563="D"</formula>
    </cfRule>
  </conditionalFormatting>
  <conditionalFormatting sqref="Y1566:Z1570">
    <cfRule type="expression" dxfId="2346" priority="7547">
      <formula>$AW1566="D"</formula>
    </cfRule>
  </conditionalFormatting>
  <conditionalFormatting sqref="Y1573:Z1573">
    <cfRule type="expression" dxfId="2345" priority="7539">
      <formula>$AW1573="D"</formula>
    </cfRule>
  </conditionalFormatting>
  <conditionalFormatting sqref="Y1578:Z1580">
    <cfRule type="expression" dxfId="2344" priority="7525">
      <formula>$AW1578="D"</formula>
    </cfRule>
  </conditionalFormatting>
  <conditionalFormatting sqref="Y1587:Z1589">
    <cfRule type="expression" dxfId="2343" priority="7507">
      <formula>$AW1587="D"</formula>
    </cfRule>
  </conditionalFormatting>
  <conditionalFormatting sqref="Y1593:Z1593">
    <cfRule type="expression" dxfId="2342" priority="7486">
      <formula>$AW1593="D"</formula>
    </cfRule>
  </conditionalFormatting>
  <conditionalFormatting sqref="Y1595:Z1596">
    <cfRule type="expression" dxfId="2341" priority="7479">
      <formula>$AW1595="D"</formula>
    </cfRule>
  </conditionalFormatting>
  <conditionalFormatting sqref="Y1598:Z1599">
    <cfRule type="expression" dxfId="2340" priority="7468">
      <formula>$AW1598="D"</formula>
    </cfRule>
  </conditionalFormatting>
  <conditionalFormatting sqref="Y1607:Z1607">
    <cfRule type="expression" dxfId="2339" priority="7458">
      <formula>$AW1607="D"</formula>
    </cfRule>
  </conditionalFormatting>
  <conditionalFormatting sqref="Y1612:Z1612">
    <cfRule type="expression" dxfId="2338" priority="7447">
      <formula>$AW1612="D"</formula>
    </cfRule>
  </conditionalFormatting>
  <conditionalFormatting sqref="Y1619:Z1621">
    <cfRule type="expression" dxfId="2337" priority="7432">
      <formula>$AW1619="D"</formula>
    </cfRule>
  </conditionalFormatting>
  <conditionalFormatting sqref="Y1634:Z1634">
    <cfRule type="expression" dxfId="2336" priority="7414">
      <formula>$AW1634="D"</formula>
    </cfRule>
  </conditionalFormatting>
  <conditionalFormatting sqref="Y1636:Z1636">
    <cfRule type="expression" dxfId="2335" priority="7405">
      <formula>$AW1636="D"</formula>
    </cfRule>
  </conditionalFormatting>
  <conditionalFormatting sqref="Y1645:Z1645">
    <cfRule type="expression" dxfId="2334" priority="7384">
      <formula>$AW1645="D"</formula>
    </cfRule>
  </conditionalFormatting>
  <conditionalFormatting sqref="Y1650:Z1650">
    <cfRule type="expression" dxfId="2333" priority="7370">
      <formula>$AW1650="D"</formula>
    </cfRule>
  </conditionalFormatting>
  <conditionalFormatting sqref="Y1652:Z1652">
    <cfRule type="expression" dxfId="2332" priority="7365">
      <formula>$AW1652="D"</formula>
    </cfRule>
  </conditionalFormatting>
  <conditionalFormatting sqref="Y1664:Z1664">
    <cfRule type="expression" dxfId="2331" priority="7345">
      <formula>$AW1664="D"</formula>
    </cfRule>
  </conditionalFormatting>
  <conditionalFormatting sqref="Y1666:Z1667">
    <cfRule type="expression" dxfId="2330" priority="7334">
      <formula>$AW1666="D"</formula>
    </cfRule>
  </conditionalFormatting>
  <conditionalFormatting sqref="Y1677:Z1678">
    <cfRule type="expression" dxfId="2329" priority="7290">
      <formula>$AW1677="D"</formula>
    </cfRule>
  </conditionalFormatting>
  <conditionalFormatting sqref="Y1684:Z1684">
    <cfRule type="expression" dxfId="2328" priority="7286">
      <formula>$AW1684="D"</formula>
    </cfRule>
  </conditionalFormatting>
  <conditionalFormatting sqref="Y1686:Z1698">
    <cfRule type="expression" dxfId="2327" priority="7201">
      <formula>$AW1686="D"</formula>
    </cfRule>
  </conditionalFormatting>
  <conditionalFormatting sqref="Y1700:Z1700">
    <cfRule type="expression" dxfId="2326" priority="7196">
      <formula>$AW1700="D"</formula>
    </cfRule>
  </conditionalFormatting>
  <conditionalFormatting sqref="Y1700:Z1701">
    <cfRule type="expression" dxfId="2325" priority="7189">
      <formula>$AW1700="D"</formula>
    </cfRule>
  </conditionalFormatting>
  <conditionalFormatting sqref="Y1704:Z1706">
    <cfRule type="expression" dxfId="2324" priority="7169">
      <formula>$AW1704="D"</formula>
    </cfRule>
  </conditionalFormatting>
  <conditionalFormatting sqref="Y1708:Z1709">
    <cfRule type="expression" dxfId="2323" priority="7137">
      <formula>$AW1708="D"</formula>
    </cfRule>
  </conditionalFormatting>
  <conditionalFormatting sqref="Y1712:Z1712">
    <cfRule type="expression" dxfId="2322" priority="7126">
      <formula>$AW1712="D"</formula>
    </cfRule>
    <cfRule type="expression" dxfId="2321" priority="7130">
      <formula>$AW1712="D"</formula>
    </cfRule>
  </conditionalFormatting>
  <conditionalFormatting sqref="Y1714:Z1714">
    <cfRule type="expression" dxfId="2320" priority="7125">
      <formula>$AW1714="D"</formula>
    </cfRule>
  </conditionalFormatting>
  <conditionalFormatting sqref="Y1714:Z1716">
    <cfRule type="expression" dxfId="2319" priority="7114">
      <formula>$AW1714="D"</formula>
    </cfRule>
  </conditionalFormatting>
  <conditionalFormatting sqref="Y1719:Z1725">
    <cfRule type="expression" dxfId="2318" priority="7047">
      <formula>$AW1719="D"</formula>
    </cfRule>
  </conditionalFormatting>
  <conditionalFormatting sqref="Y1725:Z1726">
    <cfRule type="expression" dxfId="2317" priority="7038">
      <formula>$AW1725="D"</formula>
    </cfRule>
  </conditionalFormatting>
  <conditionalFormatting sqref="Y1738:Z1738">
    <cfRule type="expression" dxfId="2316" priority="7359">
      <formula>$AW1738="D"</formula>
    </cfRule>
  </conditionalFormatting>
  <conditionalFormatting sqref="Y1749:Z1749">
    <cfRule type="expression" dxfId="2315" priority="6987">
      <formula>$AW1749="D"</formula>
    </cfRule>
  </conditionalFormatting>
  <conditionalFormatting sqref="Y1751:Z1751">
    <cfRule type="expression" dxfId="2314" priority="6962">
      <formula>$AW1751="D"</formula>
    </cfRule>
  </conditionalFormatting>
  <conditionalFormatting sqref="Y1758:Z1758">
    <cfRule type="expression" dxfId="2313" priority="6933">
      <formula>$AW1758="D"</formula>
    </cfRule>
  </conditionalFormatting>
  <conditionalFormatting sqref="Y1764:Z1764">
    <cfRule type="expression" dxfId="2312" priority="6912">
      <formula>$AW1764="D"</formula>
    </cfRule>
  </conditionalFormatting>
  <conditionalFormatting sqref="Y1767:Z1768">
    <cfRule type="expression" dxfId="2311" priority="6907">
      <formula>$AW1767="D"</formula>
    </cfRule>
  </conditionalFormatting>
  <conditionalFormatting sqref="Y1771:Z1773">
    <cfRule type="expression" dxfId="2310" priority="6855">
      <formula>$AW1771="D"</formula>
    </cfRule>
  </conditionalFormatting>
  <conditionalFormatting sqref="Y1772:Z1774">
    <cfRule type="expression" dxfId="2309" priority="6678">
      <formula>$AW1772="D"</formula>
    </cfRule>
  </conditionalFormatting>
  <conditionalFormatting sqref="Y1778:Z1778">
    <cfRule type="expression" dxfId="2308" priority="6775">
      <formula>$AW1778="D"</formula>
    </cfRule>
  </conditionalFormatting>
  <conditionalFormatting sqref="Y1784:Z1786">
    <cfRule type="expression" dxfId="2307" priority="6619">
      <formula>$AW1784="D"</formula>
    </cfRule>
    <cfRule type="expression" dxfId="2306" priority="6721">
      <formula>$AW1784="D"</formula>
    </cfRule>
  </conditionalFormatting>
  <conditionalFormatting sqref="Y1797:Z1797">
    <cfRule type="expression" dxfId="2305" priority="6685">
      <formula>$AW1797="D"</formula>
    </cfRule>
  </conditionalFormatting>
  <conditionalFormatting sqref="Y1809:Z1809">
    <cfRule type="expression" dxfId="2304" priority="6565">
      <formula>$AW1809="D"</formula>
    </cfRule>
    <cfRule type="expression" dxfId="2303" priority="6594">
      <formula>$AW1809="D"</formula>
    </cfRule>
  </conditionalFormatting>
  <conditionalFormatting sqref="Y1812:Z1812">
    <cfRule type="expression" dxfId="2302" priority="6511">
      <formula>$AW1812="D"</formula>
    </cfRule>
    <cfRule type="expression" dxfId="2301" priority="6540">
      <formula>$AW1812="D"</formula>
    </cfRule>
  </conditionalFormatting>
  <conditionalFormatting sqref="Y1815:Z1815">
    <cfRule type="expression" dxfId="2300" priority="6455">
      <formula>$AW1815="D"</formula>
    </cfRule>
    <cfRule type="expression" dxfId="2299" priority="6486">
      <formula>$AW1815="D"</formula>
    </cfRule>
  </conditionalFormatting>
  <conditionalFormatting sqref="Y1822:Z1822">
    <cfRule type="expression" dxfId="2298" priority="6435">
      <formula>$AW1822="D"</formula>
    </cfRule>
  </conditionalFormatting>
  <conditionalFormatting sqref="Y1832:Z1832">
    <cfRule type="expression" dxfId="2297" priority="6381">
      <formula>$AW1832="D"</formula>
    </cfRule>
    <cfRule type="expression" dxfId="2296" priority="6410">
      <formula>$AW1832="D"</formula>
    </cfRule>
  </conditionalFormatting>
  <conditionalFormatting sqref="Y1842:Z1842">
    <cfRule type="expression" dxfId="2295" priority="6359">
      <formula>$AW1842="D"</formula>
    </cfRule>
  </conditionalFormatting>
  <conditionalFormatting sqref="Y1849:Z1850">
    <cfRule type="expression" dxfId="2294" priority="6346">
      <formula>$AW1849="D"</formula>
    </cfRule>
  </conditionalFormatting>
  <conditionalFormatting sqref="Y1854:Z1854">
    <cfRule type="expression" dxfId="2293" priority="6332">
      <formula>$AW1854="D"</formula>
    </cfRule>
    <cfRule type="expression" dxfId="2292" priority="6336">
      <formula>$AW1854="D"</formula>
    </cfRule>
  </conditionalFormatting>
  <conditionalFormatting sqref="Y1856:Z1856">
    <cfRule type="expression" dxfId="2291" priority="6318">
      <formula>$AW1856="D"</formula>
    </cfRule>
  </conditionalFormatting>
  <conditionalFormatting sqref="Y1860:Z1860">
    <cfRule type="expression" dxfId="2290" priority="6306">
      <formula>$AW1860="D"</formula>
    </cfRule>
    <cfRule type="expression" dxfId="2289" priority="6310">
      <formula>$AW1860="D"</formula>
    </cfRule>
  </conditionalFormatting>
  <conditionalFormatting sqref="Y1875:Z1875">
    <cfRule type="expression" dxfId="2288" priority="6277">
      <formula>$AW1875="D"</formula>
    </cfRule>
  </conditionalFormatting>
  <conditionalFormatting sqref="Y1882:Z1883">
    <cfRule type="expression" dxfId="2287" priority="6255">
      <formula>$AW1882="D"</formula>
    </cfRule>
  </conditionalFormatting>
  <conditionalFormatting sqref="Y1882:Z1886">
    <cfRule type="expression" dxfId="2286" priority="6221">
      <formula>$AW1882="D"</formula>
    </cfRule>
  </conditionalFormatting>
  <conditionalFormatting sqref="Y1897:Z1897">
    <cfRule type="expression" dxfId="2285" priority="6213">
      <formula>$AW1897="D"</formula>
    </cfRule>
  </conditionalFormatting>
  <conditionalFormatting sqref="Y1897:Z1898">
    <cfRule type="expression" dxfId="2284" priority="6177">
      <formula>$AW1897="D"</formula>
    </cfRule>
  </conditionalFormatting>
  <conditionalFormatting sqref="Y1903:Z1903">
    <cfRule type="expression" dxfId="2283" priority="6168">
      <formula>$AW1903="D"</formula>
    </cfRule>
  </conditionalFormatting>
  <conditionalFormatting sqref="Y1921:Z1921">
    <cfRule type="expression" dxfId="2282" priority="6167">
      <formula>$AW1921="D"</formula>
    </cfRule>
  </conditionalFormatting>
  <conditionalFormatting sqref="Y1921:Z1922">
    <cfRule type="expression" dxfId="2281" priority="6152">
      <formula>$AW1921="D"</formula>
    </cfRule>
  </conditionalFormatting>
  <conditionalFormatting sqref="Y1922:Z1922">
    <cfRule type="expression" dxfId="2280" priority="6130">
      <formula>$AW1922="D"</formula>
    </cfRule>
  </conditionalFormatting>
  <conditionalFormatting sqref="Y1923:Z1923">
    <cfRule type="expression" dxfId="2279" priority="6118">
      <formula>$AW1923="D"</formula>
    </cfRule>
  </conditionalFormatting>
  <conditionalFormatting sqref="Y1929:Z1929">
    <cfRule type="expression" dxfId="2278" priority="7016">
      <formula>$AW1929="D"</formula>
    </cfRule>
  </conditionalFormatting>
  <conditionalFormatting sqref="Y1938:Z1938">
    <cfRule type="expression" dxfId="2277" priority="6109">
      <formula>$AW1938="D"</formula>
    </cfRule>
  </conditionalFormatting>
  <conditionalFormatting sqref="Y1951:Z1951">
    <cfRule type="expression" dxfId="2276" priority="6094">
      <formula>$AW1951="D"</formula>
    </cfRule>
  </conditionalFormatting>
  <conditionalFormatting sqref="Y1977:Z1990">
    <cfRule type="expression" dxfId="2275" priority="6069">
      <formula>$AW1977="D"</formula>
    </cfRule>
  </conditionalFormatting>
  <conditionalFormatting sqref="Y1999:Z1999">
    <cfRule type="expression" dxfId="2274" priority="6068">
      <formula>$AW1999="D"</formula>
    </cfRule>
  </conditionalFormatting>
  <conditionalFormatting sqref="Y2002:Z2005">
    <cfRule type="expression" dxfId="2273" priority="6060">
      <formula>$AW2002="D"</formula>
    </cfRule>
  </conditionalFormatting>
  <conditionalFormatting sqref="Y2005:Z2005">
    <cfRule type="expression" dxfId="2272" priority="6043">
      <formula>$AW2005="D"</formula>
    </cfRule>
  </conditionalFormatting>
  <conditionalFormatting sqref="Y2006:Z2009">
    <cfRule type="expression" dxfId="2271" priority="6037">
      <formula>$AW2006="D"</formula>
    </cfRule>
  </conditionalFormatting>
  <conditionalFormatting sqref="Y2016:Z2016">
    <cfRule type="expression" dxfId="2270" priority="5925">
      <formula>$AW2016="D"</formula>
    </cfRule>
    <cfRule type="expression" dxfId="2269" priority="6013">
      <formula>$AW2016="D"</formula>
    </cfRule>
  </conditionalFormatting>
  <conditionalFormatting sqref="Y2019:Z2035">
    <cfRule type="expression" dxfId="2268" priority="5954">
      <formula>$AW2019="D"</formula>
    </cfRule>
  </conditionalFormatting>
  <conditionalFormatting sqref="Y2037:Z2046">
    <cfRule type="expression" dxfId="2267" priority="5932">
      <formula>$AW2037="D"</formula>
    </cfRule>
  </conditionalFormatting>
  <conditionalFormatting sqref="Y2053:Z2068">
    <cfRule type="expression" dxfId="2266" priority="5901">
      <formula>$AW2053="D"</formula>
    </cfRule>
  </conditionalFormatting>
  <conditionalFormatting sqref="Y2090:Z2091">
    <cfRule type="expression" dxfId="2265" priority="5887">
      <formula>$AW2090="D"</formula>
    </cfRule>
  </conditionalFormatting>
  <conditionalFormatting sqref="Y2093:Z2096">
    <cfRule type="expression" dxfId="2264" priority="5884">
      <formula>$AW2093="D"</formula>
    </cfRule>
  </conditionalFormatting>
  <conditionalFormatting sqref="Y2099:Z2100">
    <cfRule type="expression" dxfId="2263" priority="5864">
      <formula>$AW2099="D"</formula>
    </cfRule>
  </conditionalFormatting>
  <conditionalFormatting sqref="Y2100:Z2103">
    <cfRule type="expression" dxfId="2262" priority="5840">
      <formula>$AW2100="D"</formula>
    </cfRule>
  </conditionalFormatting>
  <conditionalFormatting sqref="Y2101:Z2104">
    <cfRule type="expression" dxfId="2261" priority="5820">
      <formula>$AW2101="D"</formula>
    </cfRule>
  </conditionalFormatting>
  <conditionalFormatting sqref="Y2108:Z2119">
    <cfRule type="expression" dxfId="2260" priority="5810">
      <formula>$AW2108="D"</formula>
    </cfRule>
  </conditionalFormatting>
  <conditionalFormatting sqref="Y2109:Z2109">
    <cfRule type="expression" dxfId="2259" priority="5800">
      <formula>$AW2109="D"</formula>
    </cfRule>
  </conditionalFormatting>
  <conditionalFormatting sqref="Y2109:Z2110">
    <cfRule type="expression" dxfId="2258" priority="5773">
      <formula>$AW2109="D"</formula>
    </cfRule>
  </conditionalFormatting>
  <conditionalFormatting sqref="Y2113:Z2115">
    <cfRule type="expression" dxfId="2257" priority="5748">
      <formula>$AW2113="D"</formula>
    </cfRule>
  </conditionalFormatting>
  <conditionalFormatting sqref="Y2114:Z2116">
    <cfRule type="expression" dxfId="2256" priority="5730">
      <formula>$AW2114="D"</formula>
    </cfRule>
  </conditionalFormatting>
  <conditionalFormatting sqref="Y2124:Z2124">
    <cfRule type="expression" dxfId="2255" priority="5936">
      <formula>$AW2124="D"</formula>
    </cfRule>
  </conditionalFormatting>
  <conditionalFormatting sqref="Y2141:Z2141">
    <cfRule type="expression" dxfId="2254" priority="5727">
      <formula>$AW2141="D"</formula>
    </cfRule>
  </conditionalFormatting>
  <conditionalFormatting sqref="Y2142:Z2142">
    <cfRule type="expression" dxfId="2253" priority="5717">
      <formula>$AW2142="D"</formula>
    </cfRule>
  </conditionalFormatting>
  <conditionalFormatting sqref="Y2143:Z2146">
    <cfRule type="expression" dxfId="2252" priority="5708">
      <formula>$AW2143="D"</formula>
    </cfRule>
  </conditionalFormatting>
  <conditionalFormatting sqref="Y2148:Z2148">
    <cfRule type="expression" dxfId="2251" priority="5699">
      <formula>$AW2148="D"</formula>
    </cfRule>
  </conditionalFormatting>
  <conditionalFormatting sqref="Y2151:Z2151">
    <cfRule type="expression" dxfId="2250" priority="5688">
      <formula>$AW2151="D"</formula>
    </cfRule>
  </conditionalFormatting>
  <conditionalFormatting sqref="Y2157:Z2160">
    <cfRule type="expression" dxfId="2249" priority="5677">
      <formula>$AW2157="D"</formula>
    </cfRule>
  </conditionalFormatting>
  <conditionalFormatting sqref="Y2160:Z2160">
    <cfRule type="expression" dxfId="2248" priority="5666">
      <formula>$AW2160="D"</formula>
    </cfRule>
  </conditionalFormatting>
  <conditionalFormatting sqref="Y2161:Z2161">
    <cfRule type="expression" dxfId="2247" priority="5655">
      <formula>$AW2161="D"</formula>
    </cfRule>
  </conditionalFormatting>
  <conditionalFormatting sqref="Y2162:Z2163">
    <cfRule type="expression" dxfId="2246" priority="5645">
      <formula>$AW2162="D"</formula>
    </cfRule>
  </conditionalFormatting>
  <conditionalFormatting sqref="Y2164:Z2164">
    <cfRule type="expression" dxfId="2245" priority="5634">
      <formula>$AW2164="D"</formula>
    </cfRule>
  </conditionalFormatting>
  <conditionalFormatting sqref="Y2165:Z2165">
    <cfRule type="expression" dxfId="2244" priority="5624">
      <formula>$AW2165="D"</formula>
    </cfRule>
  </conditionalFormatting>
  <conditionalFormatting sqref="Y2166:Z2166">
    <cfRule type="expression" dxfId="2243" priority="5614">
      <formula>$AW2166="D"</formula>
    </cfRule>
  </conditionalFormatting>
  <conditionalFormatting sqref="Y2167:Z2167">
    <cfRule type="expression" dxfId="2242" priority="5604">
      <formula>$AW2167="D"</formula>
    </cfRule>
  </conditionalFormatting>
  <conditionalFormatting sqref="Y2168:Z2168">
    <cfRule type="expression" dxfId="2241" priority="5594">
      <formula>$AW2168="D"</formula>
    </cfRule>
  </conditionalFormatting>
  <conditionalFormatting sqref="Y2174:Z2174">
    <cfRule type="expression" dxfId="2240" priority="5582">
      <formula>$AW2174="D"</formula>
    </cfRule>
  </conditionalFormatting>
  <conditionalFormatting sqref="Y2175:Z2175">
    <cfRule type="expression" dxfId="2239" priority="5572">
      <formula>$AW2175="D"</formula>
    </cfRule>
  </conditionalFormatting>
  <conditionalFormatting sqref="Y2176:Z2176">
    <cfRule type="expression" dxfId="2238" priority="5562">
      <formula>$AW2176="D"</formula>
    </cfRule>
  </conditionalFormatting>
  <conditionalFormatting sqref="Y2178:Z2178">
    <cfRule type="expression" dxfId="2237" priority="5551">
      <formula>$AW2178="D"</formula>
    </cfRule>
  </conditionalFormatting>
  <conditionalFormatting sqref="Y2181:Z2183">
    <cfRule type="expression" dxfId="2236" priority="5522">
      <formula>$AW2181="D"</formula>
    </cfRule>
  </conditionalFormatting>
  <conditionalFormatting sqref="Y2185:Z2185">
    <cfRule type="expression" dxfId="2235" priority="5510">
      <formula>$AW2185="D"</formula>
    </cfRule>
  </conditionalFormatting>
  <conditionalFormatting sqref="Y2186:Z2186">
    <cfRule type="expression" dxfId="2234" priority="5500">
      <formula>$AW2186="D"</formula>
    </cfRule>
  </conditionalFormatting>
  <conditionalFormatting sqref="Y2187:Z2187">
    <cfRule type="expression" dxfId="2233" priority="5490">
      <formula>$AW2187="D"</formula>
    </cfRule>
  </conditionalFormatting>
  <conditionalFormatting sqref="Y2188:Z2190">
    <cfRule type="expression" dxfId="2232" priority="5480">
      <formula>$AW2188="D"</formula>
    </cfRule>
  </conditionalFormatting>
  <conditionalFormatting sqref="Y2189:Z2189">
    <cfRule type="expression" dxfId="2231" priority="5470">
      <formula>$AW2189="D"</formula>
    </cfRule>
  </conditionalFormatting>
  <conditionalFormatting sqref="Y2191:Z2204">
    <cfRule type="expression" dxfId="2230" priority="5431">
      <formula>$AW2191="D"</formula>
    </cfRule>
  </conditionalFormatting>
  <conditionalFormatting sqref="Y2204:Z2204">
    <cfRule type="expression" dxfId="2229" priority="5412">
      <formula>$AW2204="D"</formula>
    </cfRule>
  </conditionalFormatting>
  <conditionalFormatting sqref="Y2207:Z2208">
    <cfRule type="expression" dxfId="2228" priority="5356">
      <formula>$AW2207="D"</formula>
    </cfRule>
  </conditionalFormatting>
  <conditionalFormatting sqref="Y2211:Z2227">
    <cfRule type="expression" dxfId="2227" priority="5315">
      <formula>$AW2211="D"</formula>
    </cfRule>
  </conditionalFormatting>
  <conditionalFormatting sqref="Y2231:Z2242">
    <cfRule type="expression" dxfId="2226" priority="5283">
      <formula>$AW2231="D"</formula>
    </cfRule>
  </conditionalFormatting>
  <conditionalFormatting sqref="Y2237:Z2242">
    <cfRule type="expression" dxfId="2225" priority="5267">
      <formula>$AW2237="D"</formula>
    </cfRule>
  </conditionalFormatting>
  <conditionalFormatting sqref="Y2237:Z2243">
    <cfRule type="expression" dxfId="2224" priority="5234">
      <formula>$AW2237="D"</formula>
    </cfRule>
  </conditionalFormatting>
  <conditionalFormatting sqref="Y2245:Z2245">
    <cfRule type="expression" dxfId="2223" priority="5233">
      <formula>$AW2245="D"</formula>
    </cfRule>
  </conditionalFormatting>
  <conditionalFormatting sqref="Y2245:Z2246">
    <cfRule type="expression" dxfId="2222" priority="5200">
      <formula>$AW2245="D"</formula>
    </cfRule>
  </conditionalFormatting>
  <conditionalFormatting sqref="Y2245:Z2250">
    <cfRule type="expression" dxfId="2221" priority="5176">
      <formula>$AW2245="D"</formula>
    </cfRule>
  </conditionalFormatting>
  <conditionalFormatting sqref="Y2246:Z2250">
    <cfRule type="expression" dxfId="2220" priority="5169">
      <formula>$AW2246="D"</formula>
    </cfRule>
  </conditionalFormatting>
  <conditionalFormatting sqref="Y2247:Z2250">
    <cfRule type="expression" dxfId="2219" priority="5153">
      <formula>$AW2247="D"</formula>
    </cfRule>
  </conditionalFormatting>
  <conditionalFormatting sqref="Y2248:Z2250">
    <cfRule type="expression" dxfId="2218" priority="5141">
      <formula>$AW2248="D"</formula>
    </cfRule>
  </conditionalFormatting>
  <conditionalFormatting sqref="Y2248:Z2255">
    <cfRule type="expression" dxfId="2217" priority="5123">
      <formula>$AW2248="D"</formula>
    </cfRule>
  </conditionalFormatting>
  <conditionalFormatting sqref="Y2253:Z2255">
    <cfRule type="expression" dxfId="2216" priority="5099">
      <formula>$AW2253="D"</formula>
    </cfRule>
    <cfRule type="expression" dxfId="2215" priority="5115">
      <formula>$AW2253="D"</formula>
    </cfRule>
  </conditionalFormatting>
  <conditionalFormatting sqref="Y2256:Z2262">
    <cfRule type="expression" dxfId="2214" priority="5085">
      <formula>$AW2256="D"</formula>
    </cfRule>
  </conditionalFormatting>
  <conditionalFormatting sqref="Y2268:Z2269">
    <cfRule type="expression" dxfId="2213" priority="5008">
      <formula>$AW2268="D"</formula>
    </cfRule>
  </conditionalFormatting>
  <conditionalFormatting sqref="Y2269:Z2291">
    <cfRule type="expression" dxfId="2212" priority="4983">
      <formula>$AW2269="D"</formula>
    </cfRule>
  </conditionalFormatting>
  <conditionalFormatting sqref="Y2290:Z2291">
    <cfRule type="expression" dxfId="2211" priority="4963">
      <formula>$AW2290="D"</formula>
    </cfRule>
    <cfRule type="expression" dxfId="2210" priority="4971">
      <formula>$AW2290="D"</formula>
    </cfRule>
  </conditionalFormatting>
  <conditionalFormatting sqref="Y2290:Z2306">
    <cfRule type="expression" dxfId="2209" priority="4888">
      <formula>$AW2290="D"</formula>
    </cfRule>
  </conditionalFormatting>
  <conditionalFormatting sqref="Y2302:Z2306">
    <cfRule type="expression" dxfId="2208" priority="4867">
      <formula>$AW2302="D"</formula>
    </cfRule>
    <cfRule type="expression" dxfId="2207" priority="4878">
      <formula>$AW2302="D"</formula>
    </cfRule>
    <cfRule type="expression" dxfId="2206" priority="4882">
      <formula>$AW2302="D"</formula>
    </cfRule>
  </conditionalFormatting>
  <conditionalFormatting sqref="Y2302:Z2311">
    <cfRule type="expression" dxfId="2205" priority="4739">
      <formula>$AW2302="D"</formula>
    </cfRule>
  </conditionalFormatting>
  <conditionalFormatting sqref="Y2311:Z2311">
    <cfRule type="expression" dxfId="2204" priority="4720">
      <formula>$AW2311="D"</formula>
    </cfRule>
    <cfRule type="expression" dxfId="2203" priority="4729">
      <formula>$AW2311="D"</formula>
    </cfRule>
    <cfRule type="expression" dxfId="2202" priority="4733">
      <formula>$AW2311="D"</formula>
    </cfRule>
  </conditionalFormatting>
  <conditionalFormatting sqref="Y2311:Z2328">
    <cfRule type="expression" dxfId="2201" priority="4616">
      <formula>$AW2311="D"</formula>
    </cfRule>
  </conditionalFormatting>
  <conditionalFormatting sqref="Y2326:Z2328">
    <cfRule type="expression" dxfId="2200" priority="4584">
      <formula>$AW2326="D"</formula>
    </cfRule>
    <cfRule type="expression" dxfId="2199" priority="4595">
      <formula>$AW2326="D"</formula>
    </cfRule>
    <cfRule type="expression" dxfId="2198" priority="4606">
      <formula>$AW2326="D"</formula>
    </cfRule>
    <cfRule type="expression" dxfId="2197" priority="4610">
      <formula>$AW2326="D"</formula>
    </cfRule>
  </conditionalFormatting>
  <conditionalFormatting sqref="Y2327:Z2327">
    <cfRule type="expression" dxfId="2196" priority="4536">
      <formula>$AW2327="D"</formula>
    </cfRule>
  </conditionalFormatting>
  <conditionalFormatting sqref="Y2329:Z2332">
    <cfRule type="expression" dxfId="2195" priority="4492">
      <formula>$AW2329="D"</formula>
    </cfRule>
  </conditionalFormatting>
  <conditionalFormatting sqref="Y2335:Z2347">
    <cfRule type="expression" dxfId="2194" priority="4426">
      <formula>$AW2335="D"</formula>
    </cfRule>
  </conditionalFormatting>
  <conditionalFormatting sqref="Y2348:Z2351">
    <cfRule type="expression" dxfId="2193" priority="4385">
      <formula>$AW2348="D"</formula>
    </cfRule>
  </conditionalFormatting>
  <conditionalFormatting sqref="Y2353:Z2370">
    <cfRule type="expression" dxfId="2192" priority="4183">
      <formula>$AW2353="D"</formula>
    </cfRule>
  </conditionalFormatting>
  <conditionalFormatting sqref="Y2372:Z2381 Y2383:Z2386">
    <cfRule type="expression" dxfId="2191" priority="4113">
      <formula>$AW2372="D"</formula>
    </cfRule>
    <cfRule type="expression" dxfId="2190" priority="4122">
      <formula>$AW2372="D"</formula>
    </cfRule>
    <cfRule type="expression" dxfId="2189" priority="4126">
      <formula>$AW2372="D"</formula>
    </cfRule>
    <cfRule type="expression" dxfId="2188" priority="4132">
      <formula>$AW2372="D"</formula>
    </cfRule>
    <cfRule type="expression" dxfId="2187" priority="4143">
      <formula>$AW2372="D"</formula>
    </cfRule>
  </conditionalFormatting>
  <conditionalFormatting sqref="Y2372:Z2381">
    <cfRule type="expression" dxfId="2186" priority="4102">
      <formula>$AW2372="D"</formula>
    </cfRule>
  </conditionalFormatting>
  <conditionalFormatting sqref="Y2383:Z2397">
    <cfRule type="expression" dxfId="2185" priority="4034">
      <formula>$AW2383="D"</formula>
    </cfRule>
  </conditionalFormatting>
  <conditionalFormatting sqref="Y2399:Z2400">
    <cfRule type="expression" dxfId="2184" priority="3951">
      <formula>$AW2399="D"</formula>
    </cfRule>
    <cfRule type="expression" dxfId="2183" priority="3962">
      <formula>$AW2399="D"</formula>
    </cfRule>
    <cfRule type="expression" dxfId="2182" priority="3971">
      <formula>$AW2399="D"</formula>
    </cfRule>
    <cfRule type="expression" dxfId="2181" priority="3975">
      <formula>$AW2399="D"</formula>
    </cfRule>
    <cfRule type="expression" dxfId="2180" priority="3981">
      <formula>$AW2399="D"</formula>
    </cfRule>
    <cfRule type="expression" dxfId="2179" priority="3990">
      <formula>$AW2399="D"</formula>
    </cfRule>
  </conditionalFormatting>
  <conditionalFormatting sqref="Y2405:Z2413">
    <cfRule type="expression" dxfId="2178" priority="3877">
      <formula>$AW2405="D"</formula>
    </cfRule>
    <cfRule type="expression" dxfId="2177" priority="3886">
      <formula>$AW2405="D"</formula>
    </cfRule>
    <cfRule type="expression" dxfId="2176" priority="3890">
      <formula>$AW2405="D"</formula>
    </cfRule>
    <cfRule type="expression" dxfId="2175" priority="3896">
      <formula>$AW2405="D"</formula>
    </cfRule>
    <cfRule type="expression" dxfId="2174" priority="3907">
      <formula>$AW2405="D"</formula>
    </cfRule>
  </conditionalFormatting>
  <conditionalFormatting sqref="Y2405:Z2414">
    <cfRule type="expression" dxfId="2173" priority="3855">
      <formula>$AW2405="D"</formula>
    </cfRule>
  </conditionalFormatting>
  <conditionalFormatting sqref="Y2419:Z2424">
    <cfRule type="expression" dxfId="2172" priority="3771">
      <formula>$AW2419="D"</formula>
    </cfRule>
  </conditionalFormatting>
  <conditionalFormatting sqref="Y2426:Z2426">
    <cfRule type="expression" dxfId="2171" priority="3710">
      <formula>$AW2426="D"</formula>
    </cfRule>
    <cfRule type="expression" dxfId="2170" priority="3719">
      <formula>$AW2426="D"</formula>
    </cfRule>
    <cfRule type="expression" dxfId="2169" priority="3723">
      <formula>$AW2426="D"</formula>
    </cfRule>
    <cfRule type="expression" dxfId="2168" priority="3729">
      <formula>$AW2426="D"</formula>
    </cfRule>
    <cfRule type="expression" dxfId="2167" priority="3740">
      <formula>$AW2426="D"</formula>
    </cfRule>
  </conditionalFormatting>
  <conditionalFormatting sqref="Y2426:Z2427">
    <cfRule type="expression" dxfId="2166" priority="3693">
      <formula>$AW2426="D"</formula>
    </cfRule>
  </conditionalFormatting>
  <conditionalFormatting sqref="Y2434:Z2435">
    <cfRule type="expression" dxfId="2165" priority="3618">
      <formula>$AW2434="D"</formula>
    </cfRule>
  </conditionalFormatting>
  <conditionalFormatting sqref="Y2440:Z2463">
    <cfRule type="expression" dxfId="2164" priority="3477">
      <formula>$AW2440="D"</formula>
    </cfRule>
  </conditionalFormatting>
  <conditionalFormatting sqref="Y2465:Z2469">
    <cfRule type="expression" dxfId="2163" priority="3372">
      <formula>$AW2465="D"</formula>
    </cfRule>
  </conditionalFormatting>
  <conditionalFormatting sqref="Y2467:Z2469">
    <cfRule type="expression" dxfId="2162" priority="3331">
      <formula>$AW2467="D"</formula>
    </cfRule>
    <cfRule type="expression" dxfId="2161" priority="3342">
      <formula>$AW2467="D"</formula>
    </cfRule>
    <cfRule type="expression" dxfId="2160" priority="3351">
      <formula>$AW2467="D"</formula>
    </cfRule>
    <cfRule type="expression" dxfId="2159" priority="3355">
      <formula>$AW2467="D"</formula>
    </cfRule>
    <cfRule type="expression" dxfId="2158" priority="3361">
      <formula>$AW2467="D"</formula>
    </cfRule>
  </conditionalFormatting>
  <conditionalFormatting sqref="Y2472:Z2472">
    <cfRule type="expression" dxfId="2157" priority="3262">
      <formula>$AW2472="D"</formula>
    </cfRule>
    <cfRule type="expression" dxfId="2156" priority="3273">
      <formula>$AW2472="D"</formula>
    </cfRule>
    <cfRule type="expression" dxfId="2155" priority="3282">
      <formula>$AW2472="D"</formula>
    </cfRule>
    <cfRule type="expression" dxfId="2154" priority="3286">
      <formula>$AW2472="D"</formula>
    </cfRule>
    <cfRule type="expression" dxfId="2153" priority="3292">
      <formula>$AW2472="D"</formula>
    </cfRule>
    <cfRule type="expression" dxfId="2152" priority="3301">
      <formula>$AW2472="D"</formula>
    </cfRule>
  </conditionalFormatting>
  <conditionalFormatting sqref="Y2474:Z2474">
    <cfRule type="expression" dxfId="2151" priority="3193">
      <formula>$AW2474="D"</formula>
    </cfRule>
    <cfRule type="expression" dxfId="2150" priority="3204">
      <formula>$AW2474="D"</formula>
    </cfRule>
    <cfRule type="expression" dxfId="2149" priority="3213">
      <formula>$AW2474="D"</formula>
    </cfRule>
    <cfRule type="expression" dxfId="2148" priority="3217">
      <formula>$AW2474="D"</formula>
    </cfRule>
    <cfRule type="expression" dxfId="2147" priority="3223">
      <formula>$AW2474="D"</formula>
    </cfRule>
    <cfRule type="expression" dxfId="2146" priority="3232">
      <formula>$AW2474="D"</formula>
    </cfRule>
  </conditionalFormatting>
  <conditionalFormatting sqref="Y2479:Z2480">
    <cfRule type="expression" dxfId="2145" priority="3163">
      <formula>$AW2479="D"</formula>
    </cfRule>
  </conditionalFormatting>
  <conditionalFormatting sqref="Y2480:Z2480">
    <cfRule type="expression" dxfId="2144" priority="3135">
      <formula>$AW2480="D"</formula>
    </cfRule>
    <cfRule type="expression" dxfId="2143" priority="3144">
      <formula>$AW2480="D"</formula>
    </cfRule>
    <cfRule type="expression" dxfId="2142" priority="3148">
      <formula>$AW2480="D"</formula>
    </cfRule>
    <cfRule type="expression" dxfId="2141" priority="3154">
      <formula>$AW2480="D"</formula>
    </cfRule>
  </conditionalFormatting>
  <conditionalFormatting sqref="Y2480:Z2482">
    <cfRule type="expression" dxfId="2140" priority="3112">
      <formula>$AW2480="D"</formula>
    </cfRule>
  </conditionalFormatting>
  <conditionalFormatting sqref="Y2487:Z2491">
    <cfRule type="expression" dxfId="2139" priority="3044">
      <formula>$AW2487="D"</formula>
    </cfRule>
  </conditionalFormatting>
  <conditionalFormatting sqref="Y2493:Z2494">
    <cfRule type="expression" dxfId="2138" priority="2979">
      <formula>$AW2493="D"</formula>
    </cfRule>
  </conditionalFormatting>
  <conditionalFormatting sqref="Y2607:Z2607">
    <cfRule type="expression" dxfId="2137" priority="5075">
      <formula>$AW2607="D"</formula>
    </cfRule>
  </conditionalFormatting>
  <conditionalFormatting sqref="Y1594:AA1594">
    <cfRule type="expression" dxfId="2136" priority="7496">
      <formula>$AW1594="D"</formula>
    </cfRule>
  </conditionalFormatting>
  <conditionalFormatting sqref="Y2011:AA2012">
    <cfRule type="expression" dxfId="2135" priority="6025">
      <formula>$AW2011="D"</formula>
    </cfRule>
  </conditionalFormatting>
  <conditionalFormatting sqref="Y2015:AA2015">
    <cfRule type="expression" dxfId="2134" priority="6018">
      <formula>$AW2015="D"</formula>
    </cfRule>
  </conditionalFormatting>
  <conditionalFormatting sqref="Y2017:AA2018">
    <cfRule type="expression" dxfId="2133" priority="5978">
      <formula>$AW2017="D"</formula>
    </cfRule>
  </conditionalFormatting>
  <conditionalFormatting sqref="Y2052:AA2052">
    <cfRule type="expression" dxfId="2132" priority="5916">
      <formula>$AW2052="D"</formula>
    </cfRule>
  </conditionalFormatting>
  <conditionalFormatting sqref="Y2098:AA2098">
    <cfRule type="expression" dxfId="2131" priority="5873">
      <formula>$AW2098="D"</formula>
    </cfRule>
  </conditionalFormatting>
  <conditionalFormatting sqref="Y4:BF2045 A4:T2177 AY2046:BF2046 Y2046:AX2047 AZ2047:BF2047 Y2048:BF2196 A2178:P2178 R2178:T2178 AA2197:BF2197 Y2197:Z2204 AY2198:BF2198 AA2198:AX2199 AZ2199:BF2199 AA2200:BF2204 Y2205:BF2223 Y2224:AX2224 AZ2224:BF2224 Y2225:BF2270 AA2271:BF2272 Y2271:Z2289 AA2273:AW2273 AZ2273:BF2273 AA2274:AX2274 BE2274:BF2274 AA2275:BF2283 AA2284:AW2284 AZ2284:BF2284 AA2285:BF2289 Y2290:BF2381 AA2382:BF2382 Y2383:BF2408 Y2409:AY2409 BA2409:BF2409 A2179:T2518 Y2410:BF2518 A2590:T2630 Y2590:BF2630">
    <cfRule type="expression" dxfId="2130" priority="5098">
      <formula>$AW4="L"</formula>
    </cfRule>
  </conditionalFormatting>
  <conditionalFormatting sqref="Y4:BF2045 Y2046:AX2047 Y2048:BF2196 AA2197:BF2197 AA2198:AX2199 AA2200:BF2204 Y2205:BF2223 Y2224:AX2224 Y2225:BF2270 AA2271:BF2272 AA2273:AW2273 AA2274:AX2274 AA2275:BF2283 AA2284:AW2284 AA2285:BF2289 Y2290:BF2381 AA2382:BF2382 Y2383:BF2408 Y2409:AY2409 A4:T2177 A2178:P2178 R2178:T2178 Y2197:Z2204 AY2046:BF2046 AZ2047:BF2047 AY2198:BF2198 AZ2199:BF2199 AZ2224:BF2224 Y2271:Z2289 AZ2273:BF2273 BE2274:BF2274 AZ2284:BF2284 BA2409:BF2409 A2179:T2518 Y2410:BF2518 A2590:T2630 Y2590:BF2630">
    <cfRule type="expression" dxfId="2129" priority="8073">
      <formula>$AW4="D"</formula>
    </cfRule>
  </conditionalFormatting>
  <conditionalFormatting sqref="Y2225:BF2270 Y2271:Z2289 Y2290:BF2381 Y2383:BF2408 Y2409:AY2409 Y4:BF2045 Y2046:AX2047 Y2048:BF2196 AA2197:BF2197 AA2198:AX2199 AA2200:BF2204 Y2205:BF2223 Y2224:AX2224 AA2271:BF2272 AA2273:AW2273 AA2274:AX2274 AA2275:BF2283 AA2284:AW2284 AA2285:BF2289 AA2382:BF2382 A4:T2177 AY2046:BF2046 AZ2047:BF2047 A2178:P2178 R2178:T2178 Y2197:Z2204 AY2198:BF2198 AZ2199:BF2199 AZ2224:BF2224 AZ2273:BF2273 BE2274:BF2274 AZ2284:BF2284 BA2409:BF2409 A2179:T2518 Y2410:BF2518 A2590:T2630 Y2590:BF2630">
    <cfRule type="expression" dxfId="2128" priority="5097">
      <formula>$AW4="W"</formula>
    </cfRule>
  </conditionalFormatting>
  <conditionalFormatting sqref="Z2399:Z2400">
    <cfRule type="expression" dxfId="2127" priority="4028">
      <formula>$AW2399="D"</formula>
    </cfRule>
  </conditionalFormatting>
  <conditionalFormatting sqref="Z2405:Z2414">
    <cfRule type="expression" dxfId="2126" priority="3945">
      <formula>$AW2405="D"</formula>
    </cfRule>
  </conditionalFormatting>
  <conditionalFormatting sqref="Z2419:Z2424">
    <cfRule type="expression" dxfId="2125" priority="3849">
      <formula>$AW2419="D"</formula>
    </cfRule>
  </conditionalFormatting>
  <conditionalFormatting sqref="Z2426:Z2427">
    <cfRule type="expression" dxfId="2124" priority="3769">
      <formula>$AW2426="D"</formula>
    </cfRule>
  </conditionalFormatting>
  <conditionalFormatting sqref="Z2434:Z2435">
    <cfRule type="expression" dxfId="2123" priority="3692">
      <formula>$AW2434="D"</formula>
    </cfRule>
  </conditionalFormatting>
  <conditionalFormatting sqref="Z2440:Z2463">
    <cfRule type="expression" dxfId="2122" priority="3617">
      <formula>$AW2440="D"</formula>
    </cfRule>
  </conditionalFormatting>
  <conditionalFormatting sqref="Z2465:Z2469">
    <cfRule type="expression" dxfId="2121" priority="3401">
      <formula>$AW2465="D"</formula>
    </cfRule>
  </conditionalFormatting>
  <conditionalFormatting sqref="Z2472">
    <cfRule type="expression" dxfId="2120" priority="3330">
      <formula>$AW2472="D"</formula>
    </cfRule>
  </conditionalFormatting>
  <conditionalFormatting sqref="Z2474">
    <cfRule type="expression" dxfId="2119" priority="3261">
      <formula>$AW2474="D"</formula>
    </cfRule>
  </conditionalFormatting>
  <conditionalFormatting sqref="Z2480:Z2482">
    <cfRule type="expression" dxfId="2118" priority="3192">
      <formula>$AW2480="D"</formula>
    </cfRule>
  </conditionalFormatting>
  <conditionalFormatting sqref="Z2487:Z2491">
    <cfRule type="expression" dxfId="2117" priority="3111">
      <formula>$AW2487="D"</formula>
    </cfRule>
  </conditionalFormatting>
  <conditionalFormatting sqref="Z2493:Z2494">
    <cfRule type="expression" dxfId="2116" priority="3043">
      <formula>$AW2493="D"</formula>
    </cfRule>
  </conditionalFormatting>
  <conditionalFormatting sqref="AA515:AA517">
    <cfRule type="expression" dxfId="2115" priority="8008">
      <formula>$AW515="D"</formula>
    </cfRule>
  </conditionalFormatting>
  <conditionalFormatting sqref="AA609">
    <cfRule type="expression" dxfId="2114" priority="7894">
      <formula>$AW609="D"</formula>
    </cfRule>
  </conditionalFormatting>
  <conditionalFormatting sqref="AA1401">
    <cfRule type="expression" dxfId="2113" priority="7758">
      <formula>$AW1401="D"</formula>
    </cfRule>
  </conditionalFormatting>
  <conditionalFormatting sqref="AB316 AX1289:BE1289">
    <cfRule type="expression" dxfId="2112" priority="8046">
      <formula>$AW316="W"</formula>
    </cfRule>
    <cfRule type="expression" dxfId="2111" priority="8047">
      <formula>$AW316="D"</formula>
    </cfRule>
    <cfRule type="expression" dxfId="2110" priority="8048">
      <formula>$AW316="L"</formula>
    </cfRule>
  </conditionalFormatting>
  <conditionalFormatting sqref="AB318:AB319">
    <cfRule type="expression" dxfId="2109" priority="8043">
      <formula>$AW318="W"</formula>
    </cfRule>
    <cfRule type="expression" dxfId="2108" priority="8044">
      <formula>$AW318="D"</formula>
    </cfRule>
    <cfRule type="expression" dxfId="2107" priority="8045">
      <formula>$AW318="L"</formula>
    </cfRule>
  </conditionalFormatting>
  <conditionalFormatting sqref="AB501">
    <cfRule type="expression" dxfId="2106" priority="8027">
      <formula>$AW501="D"</formula>
    </cfRule>
  </conditionalFormatting>
  <conditionalFormatting sqref="AB505:AB506">
    <cfRule type="expression" dxfId="2105" priority="8025">
      <formula>$AW505="D"</formula>
    </cfRule>
  </conditionalFormatting>
  <conditionalFormatting sqref="AB518">
    <cfRule type="expression" dxfId="2104" priority="8003">
      <formula>$AW518="D"</formula>
    </cfRule>
  </conditionalFormatting>
  <conditionalFormatting sqref="AJ4:AJ2518 AJ2590:AJ2630">
    <cfRule type="expression" dxfId="2103" priority="3770">
      <formula>$AW4="D"</formula>
    </cfRule>
  </conditionalFormatting>
  <conditionalFormatting sqref="AJ1258:AJ1259">
    <cfRule type="expression" dxfId="2102" priority="8090">
      <formula>$AW1260="W"</formula>
    </cfRule>
    <cfRule type="expression" dxfId="2101" priority="8092">
      <formula>$AW1260="D"</formula>
    </cfRule>
    <cfRule type="expression" dxfId="2100" priority="8094">
      <formula>$AW1260="L"</formula>
    </cfRule>
  </conditionalFormatting>
  <conditionalFormatting sqref="AM46 AM110 AM131:AM133 AM225 AI9 AO9 AN956 AL4:AL2518 AM2518 AL2590:AL2630">
    <cfRule type="cellIs" dxfId="2099" priority="8074" operator="lessThanOrEqual">
      <formula>-110</formula>
    </cfRule>
  </conditionalFormatting>
  <conditionalFormatting sqref="AL4:AM2518 AL2590:AM2630">
    <cfRule type="expression" dxfId="2098" priority="5398">
      <formula>$AW4="D"</formula>
    </cfRule>
  </conditionalFormatting>
  <conditionalFormatting sqref="AL1329:AM1334">
    <cfRule type="expression" dxfId="2097" priority="7780">
      <formula>$AW1329="D"</formula>
    </cfRule>
  </conditionalFormatting>
  <conditionalFormatting sqref="AL1387:AM1388">
    <cfRule type="expression" dxfId="2096" priority="7765">
      <formula>$AW1387="D"</formula>
    </cfRule>
  </conditionalFormatting>
  <conditionalFormatting sqref="AJ9 AP9 AL46 AL110 AL131:AL133 AL225 AM4:AM2500 AM2590:AM2630">
    <cfRule type="cellIs" dxfId="2095" priority="8196" operator="lessThanOrEqual">
      <formula>$AM$2635</formula>
    </cfRule>
  </conditionalFormatting>
  <conditionalFormatting sqref="AM2634">
    <cfRule type="cellIs" dxfId="2094" priority="7843" operator="lessThan">
      <formula>$AM$2639</formula>
    </cfRule>
  </conditionalFormatting>
  <conditionalFormatting sqref="AM2640">
    <cfRule type="cellIs" dxfId="2093" priority="7107" operator="lessThan">
      <formula>0</formula>
    </cfRule>
    <cfRule type="cellIs" dxfId="2092" priority="7108" operator="greaterThan">
      <formula>0</formula>
    </cfRule>
  </conditionalFormatting>
  <conditionalFormatting sqref="AT2631">
    <cfRule type="expression" dxfId="2091" priority="8039">
      <formula>$AU2631="W"</formula>
    </cfRule>
    <cfRule type="expression" dxfId="2090" priority="8040">
      <formula>$AU2631="D"</formula>
    </cfRule>
    <cfRule type="expression" dxfId="2089" priority="8041">
      <formula>$AU2631="L"</formula>
    </cfRule>
  </conditionalFormatting>
  <conditionalFormatting sqref="AT500:AV647">
    <cfRule type="expression" dxfId="2088" priority="7932">
      <formula>$AW500="D"</formula>
    </cfRule>
  </conditionalFormatting>
  <conditionalFormatting sqref="AT677:AV677">
    <cfRule type="expression" dxfId="2087" priority="7865">
      <formula>$AW677="D"</formula>
    </cfRule>
  </conditionalFormatting>
  <conditionalFormatting sqref="AT689:AV689">
    <cfRule type="expression" dxfId="2086" priority="7864">
      <formula>$AW689="D"</formula>
    </cfRule>
  </conditionalFormatting>
  <conditionalFormatting sqref="AT700:AV700">
    <cfRule type="expression" dxfId="2085" priority="7856">
      <formula>$AW700="D"</formula>
    </cfRule>
  </conditionalFormatting>
  <conditionalFormatting sqref="AT1195:AV1197">
    <cfRule type="expression" dxfId="2084" priority="7803">
      <formula>$AW1195="D"</formula>
    </cfRule>
  </conditionalFormatting>
  <conditionalFormatting sqref="AT1333:AV1333">
    <cfRule type="expression" dxfId="2083" priority="7779">
      <formula>$AW1333="D"</formula>
    </cfRule>
  </conditionalFormatting>
  <conditionalFormatting sqref="AT1387:AV1388">
    <cfRule type="expression" dxfId="2082" priority="7768">
      <formula>$AW1387="D"</formula>
    </cfRule>
  </conditionalFormatting>
  <conditionalFormatting sqref="AT1525:AV1525">
    <cfRule type="expression" dxfId="2081" priority="7691">
      <formula>$AW1525="D"</formula>
    </cfRule>
  </conditionalFormatting>
  <conditionalFormatting sqref="AU3:AU647 AR9 AX9 AS2631 AU649:AU2518 AU2590:AU2630">
    <cfRule type="cellIs" dxfId="2080" priority="8082" operator="greaterThan">
      <formula>0</formula>
    </cfRule>
    <cfRule type="cellIs" dxfId="2079" priority="8083" operator="lessThan">
      <formula>0</formula>
    </cfRule>
  </conditionalFormatting>
  <conditionalFormatting sqref="AU2640">
    <cfRule type="cellIs" dxfId="2078" priority="4223" operator="greaterThanOrEqual">
      <formula>AU2638</formula>
    </cfRule>
    <cfRule type="cellIs" dxfId="2077" priority="4224" operator="lessThan">
      <formula>0</formula>
    </cfRule>
  </conditionalFormatting>
  <conditionalFormatting sqref="AU2641">
    <cfRule type="cellIs" dxfId="2076" priority="4221" operator="lessThan">
      <formula>0</formula>
    </cfRule>
    <cfRule type="cellIs" dxfId="2075" priority="4222" operator="greaterThanOrEqual">
      <formula>0</formula>
    </cfRule>
  </conditionalFormatting>
  <conditionalFormatting sqref="AX500">
    <cfRule type="expression" dxfId="2074" priority="8021">
      <formula>$AW500="D"</formula>
    </cfRule>
  </conditionalFormatting>
  <conditionalFormatting sqref="AX595">
    <cfRule type="expression" dxfId="2073" priority="7920">
      <formula>$AW595="W"</formula>
    </cfRule>
    <cfRule type="expression" dxfId="2072" priority="7921">
      <formula>$AW595="D"</formula>
    </cfRule>
    <cfRule type="expression" dxfId="2071" priority="7922">
      <formula>$AW595="L"</formula>
    </cfRule>
  </conditionalFormatting>
  <conditionalFormatting sqref="AX648">
    <cfRule type="expression" dxfId="2070" priority="7939">
      <formula>$AW648="D"</formula>
    </cfRule>
  </conditionalFormatting>
  <conditionalFormatting sqref="AX650:AX652">
    <cfRule type="expression" dxfId="2069" priority="7872">
      <formula>$AW650="D"</formula>
    </cfRule>
  </conditionalFormatting>
  <conditionalFormatting sqref="AX762">
    <cfRule type="expression" dxfId="2068" priority="7857">
      <formula>$AW762="D"</formula>
    </cfRule>
  </conditionalFormatting>
  <conditionalFormatting sqref="AX873">
    <cfRule type="expression" dxfId="2067" priority="7845">
      <formula>$AW873="D"</formula>
    </cfRule>
  </conditionalFormatting>
  <conditionalFormatting sqref="AX904">
    <cfRule type="expression" dxfId="2066" priority="7842">
      <formula>$AW904="D"</formula>
    </cfRule>
  </conditionalFormatting>
  <conditionalFormatting sqref="AX995">
    <cfRule type="expression" dxfId="2065" priority="7835">
      <formula>$AW995="D"</formula>
    </cfRule>
  </conditionalFormatting>
  <conditionalFormatting sqref="AX1072">
    <cfRule type="expression" dxfId="2064" priority="7816">
      <formula>$AW1072="D"</formula>
    </cfRule>
  </conditionalFormatting>
  <conditionalFormatting sqref="AX1195:AX1196">
    <cfRule type="expression" dxfId="2063" priority="7797">
      <formula>$AW1195="D"</formula>
    </cfRule>
  </conditionalFormatting>
  <conditionalFormatting sqref="AX1333">
    <cfRule type="expression" dxfId="2062" priority="7774">
      <formula>$AW1333="D"</formula>
    </cfRule>
  </conditionalFormatting>
  <conditionalFormatting sqref="AX1387:AX1388">
    <cfRule type="expression" dxfId="2061" priority="7761">
      <formula>$AW1387="D"</formula>
    </cfRule>
  </conditionalFormatting>
  <conditionalFormatting sqref="AX1400:AX1401">
    <cfRule type="expression" dxfId="2060" priority="7751">
      <formula>$AW1400="D"</formula>
    </cfRule>
    <cfRule type="expression" dxfId="2059" priority="7752">
      <formula>$AW1400="W"</formula>
    </cfRule>
    <cfRule type="expression" dxfId="2058" priority="7753">
      <formula>$AW1400="L"</formula>
    </cfRule>
  </conditionalFormatting>
  <conditionalFormatting sqref="AX1525">
    <cfRule type="expression" dxfId="2057" priority="7686">
      <formula>$AW1525="D"</formula>
    </cfRule>
  </conditionalFormatting>
  <conditionalFormatting sqref="AX1626:AX1629">
    <cfRule type="expression" dxfId="2056" priority="7422">
      <formula>$AW1626="D"</formula>
    </cfRule>
  </conditionalFormatting>
  <conditionalFormatting sqref="AX1641">
    <cfRule type="expression" dxfId="2055" priority="7391">
      <formula>$AW1641="D"</formula>
    </cfRule>
  </conditionalFormatting>
  <conditionalFormatting sqref="AX1644:AX1645">
    <cfRule type="expression" dxfId="2054" priority="7382">
      <formula>$AW1644="D"</formula>
    </cfRule>
  </conditionalFormatting>
  <conditionalFormatting sqref="AX1647:AX1648">
    <cfRule type="expression" dxfId="2053" priority="7377">
      <formula>$AW1647="D"</formula>
    </cfRule>
  </conditionalFormatting>
  <conditionalFormatting sqref="AX1672">
    <cfRule type="expression" dxfId="2052" priority="7328">
      <formula>$AW1672="D"</formula>
    </cfRule>
  </conditionalFormatting>
  <conditionalFormatting sqref="AX1678:AX1680">
    <cfRule type="expression" dxfId="2051" priority="7300">
      <formula>$AW1678="D"</formula>
    </cfRule>
  </conditionalFormatting>
  <conditionalFormatting sqref="AX1682">
    <cfRule type="expression" dxfId="2050" priority="7235">
      <formula>$AW1682="D"</formula>
    </cfRule>
  </conditionalFormatting>
  <conditionalFormatting sqref="AX1685">
    <cfRule type="expression" dxfId="2049" priority="7282">
      <formula>$AW1685="D"</formula>
    </cfRule>
  </conditionalFormatting>
  <conditionalFormatting sqref="AX1691:AX1692">
    <cfRule type="expression" dxfId="2048" priority="7224">
      <formula>$AW1691="D"</formula>
    </cfRule>
  </conditionalFormatting>
  <conditionalFormatting sqref="AX1699">
    <cfRule type="expression" dxfId="2047" priority="7197">
      <formula>$AW1699="D"</formula>
    </cfRule>
  </conditionalFormatting>
  <conditionalFormatting sqref="AX1710:AX1711">
    <cfRule type="expression" dxfId="2046" priority="7131">
      <formula>$AW1710="D"</formula>
    </cfRule>
  </conditionalFormatting>
  <conditionalFormatting sqref="AX1715">
    <cfRule type="expression" dxfId="2045" priority="7117">
      <formula>$AW1715="D"</formula>
    </cfRule>
  </conditionalFormatting>
  <conditionalFormatting sqref="AX1728">
    <cfRule type="expression" dxfId="2044" priority="7029">
      <formula>$AW1728="D"</formula>
    </cfRule>
  </conditionalFormatting>
  <conditionalFormatting sqref="AX1730">
    <cfRule type="expression" dxfId="2043" priority="7025">
      <formula>$AW1730="D"</formula>
    </cfRule>
  </conditionalFormatting>
  <conditionalFormatting sqref="AX1738">
    <cfRule type="expression" dxfId="2042" priority="7357">
      <formula>$AW1738="D"</formula>
    </cfRule>
  </conditionalFormatting>
  <conditionalFormatting sqref="AX1754:AX1755">
    <cfRule type="expression" dxfId="2041" priority="6958">
      <formula>$AW1754="D"</formula>
    </cfRule>
  </conditionalFormatting>
  <conditionalFormatting sqref="AX1769:AX1770">
    <cfRule type="expression" dxfId="2040" priority="6830">
      <formula>$AW1769="D"</formula>
    </cfRule>
  </conditionalFormatting>
  <conditionalFormatting sqref="AX1777">
    <cfRule type="expression" dxfId="2039" priority="6800">
      <formula>$AW1777="D"</formula>
    </cfRule>
  </conditionalFormatting>
  <conditionalFormatting sqref="AX1803">
    <cfRule type="expression" dxfId="2038" priority="6680">
      <formula>$AW1803="D"</formula>
    </cfRule>
  </conditionalFormatting>
  <conditionalFormatting sqref="AX1846">
    <cfRule type="expression" dxfId="2037" priority="6358">
      <formula>$AW1846="D"</formula>
    </cfRule>
  </conditionalFormatting>
  <conditionalFormatting sqref="AX1929">
    <cfRule type="expression" dxfId="2036" priority="7014">
      <formula>$AW1929="D"</formula>
    </cfRule>
  </conditionalFormatting>
  <conditionalFormatting sqref="AX2124">
    <cfRule type="expression" dxfId="2035" priority="5934">
      <formula>$AW2124="D"</formula>
    </cfRule>
  </conditionalFormatting>
  <conditionalFormatting sqref="AX2281">
    <cfRule type="expression" dxfId="2034" priority="5893">
      <formula>$AW2281="D"</formula>
    </cfRule>
  </conditionalFormatting>
  <conditionalFormatting sqref="AX2382">
    <cfRule type="expression" dxfId="2033" priority="5889">
      <formula>$AW2382="D"</formula>
    </cfRule>
  </conditionalFormatting>
  <conditionalFormatting sqref="AX2479">
    <cfRule type="expression" dxfId="2032" priority="5081">
      <formula>$AW2479="D"</formula>
    </cfRule>
  </conditionalFormatting>
  <conditionalFormatting sqref="AX2607">
    <cfRule type="expression" dxfId="2031" priority="5073">
      <formula>$AW2607="D"</formula>
    </cfRule>
  </conditionalFormatting>
  <conditionalFormatting sqref="AX761:AY761">
    <cfRule type="expression" dxfId="2030" priority="7863">
      <formula>$AW761="D"</formula>
    </cfRule>
  </conditionalFormatting>
  <conditionalFormatting sqref="AX1737:AY1737">
    <cfRule type="expression" dxfId="2029" priority="7302">
      <formula>$AW1737="D"</formula>
    </cfRule>
  </conditionalFormatting>
  <conditionalFormatting sqref="AX2231:AY2231">
    <cfRule type="expression" dxfId="2028" priority="5299">
      <formula>$AW2231="D"</formula>
    </cfRule>
  </conditionalFormatting>
  <conditionalFormatting sqref="AX2273:AY2273">
    <cfRule type="expression" dxfId="2027" priority="8102">
      <formula>$AW2284="D"</formula>
    </cfRule>
    <cfRule type="expression" dxfId="2026" priority="8104">
      <formula>$AW2284="L"</formula>
    </cfRule>
    <cfRule type="expression" dxfId="2025" priority="8106">
      <formula>$AW2284="W"</formula>
    </cfRule>
  </conditionalFormatting>
  <conditionalFormatting sqref="AX564:AZ564">
    <cfRule type="expression" dxfId="2024" priority="7962">
      <formula>$AW564="D"</formula>
    </cfRule>
    <cfRule type="expression" dxfId="2023" priority="7963">
      <formula>$AW564="W"</formula>
    </cfRule>
    <cfRule type="expression" dxfId="2022" priority="7964">
      <formula>$AW564="L"</formula>
    </cfRule>
  </conditionalFormatting>
  <conditionalFormatting sqref="AX1434:AZ1435">
    <cfRule type="expression" dxfId="2021" priority="7715">
      <formula>$AW1434="D"</formula>
    </cfRule>
    <cfRule type="expression" dxfId="2020" priority="7716">
      <formula>$AW1434="W"</formula>
    </cfRule>
    <cfRule type="expression" dxfId="2019" priority="7717">
      <formula>$AW1434="L"</formula>
    </cfRule>
  </conditionalFormatting>
  <conditionalFormatting sqref="AX1930:AZ1930">
    <cfRule type="expression" dxfId="2018" priority="6316">
      <formula>$AW1930="D"</formula>
    </cfRule>
  </conditionalFormatting>
  <conditionalFormatting sqref="AX994:BA994">
    <cfRule type="expression" dxfId="2017" priority="7841">
      <formula>$AW994="D"</formula>
    </cfRule>
  </conditionalFormatting>
  <conditionalFormatting sqref="AX1071:BA1071">
    <cfRule type="expression" dxfId="2016" priority="7814">
      <formula>$AW1071="D"</formula>
    </cfRule>
  </conditionalFormatting>
  <conditionalFormatting sqref="AX872:BE872">
    <cfRule type="expression" dxfId="2015" priority="7851">
      <formula>$AW872="D"</formula>
    </cfRule>
  </conditionalFormatting>
  <conditionalFormatting sqref="AX645:BF645">
    <cfRule type="expression" dxfId="2014" priority="7984">
      <formula>$AW645="D"</formula>
    </cfRule>
  </conditionalFormatting>
  <conditionalFormatting sqref="AY1433">
    <cfRule type="expression" dxfId="2013" priority="7712">
      <formula>$AW1433="D"</formula>
    </cfRule>
    <cfRule type="expression" dxfId="2012" priority="7713">
      <formula>$AW1433="W"</formula>
    </cfRule>
    <cfRule type="expression" dxfId="2011" priority="7714">
      <formula>$AW1433="L"</formula>
    </cfRule>
  </conditionalFormatting>
  <conditionalFormatting sqref="AY1512:AZ1512">
    <cfRule type="expression" dxfId="2010" priority="7634">
      <formula>$AW1512="D"</formula>
    </cfRule>
    <cfRule type="expression" dxfId="2009" priority="7635">
      <formula>$AW1512="W"</formula>
    </cfRule>
    <cfRule type="expression" dxfId="2008" priority="7636">
      <formula>$AW1512="L"</formula>
    </cfRule>
  </conditionalFormatting>
  <conditionalFormatting sqref="AY1952:AZ1952">
    <cfRule type="expression" dxfId="2007" priority="6093">
      <formula>$AW1952="D"</formula>
    </cfRule>
  </conditionalFormatting>
  <conditionalFormatting sqref="AY2214:AZ2214">
    <cfRule type="expression" dxfId="2006" priority="5310">
      <formula>$AW2214="D"</formula>
    </cfRule>
  </conditionalFormatting>
  <conditionalFormatting sqref="AY1388:BA1388">
    <cfRule type="expression" dxfId="2005" priority="7750">
      <formula>$AW1388="D"</formula>
    </cfRule>
  </conditionalFormatting>
  <conditionalFormatting sqref="AY2274:BD2274">
    <cfRule type="expression" dxfId="2004" priority="4980">
      <formula>$AW2285="D"</formula>
    </cfRule>
    <cfRule type="expression" dxfId="2003" priority="4981">
      <formula>$AW2285="L"</formula>
    </cfRule>
    <cfRule type="expression" dxfId="2002" priority="4982">
      <formula>$AW2285="W"</formula>
    </cfRule>
  </conditionalFormatting>
  <conditionalFormatting sqref="AY1524:BF1524">
    <cfRule type="expression" dxfId="2001" priority="7692">
      <formula>$AW1524="D"</formula>
    </cfRule>
  </conditionalFormatting>
  <conditionalFormatting sqref="AY1644:BF1644">
    <cfRule type="expression" dxfId="2000" priority="7403">
      <formula>$AW1644="D"</formula>
    </cfRule>
  </conditionalFormatting>
  <conditionalFormatting sqref="AY2122:BF2122">
    <cfRule type="expression" dxfId="1999" priority="5940">
      <formula>$AW2122="D"</formula>
    </cfRule>
  </conditionalFormatting>
  <conditionalFormatting sqref="AY2630:BF2630">
    <cfRule type="expression" dxfId="1998" priority="7744">
      <formula>$AW2630="D"</formula>
    </cfRule>
  </conditionalFormatting>
  <conditionalFormatting sqref="AZ1641:AZ1642">
    <cfRule type="expression" dxfId="1997" priority="7393">
      <formula>$AW1641="D"</formula>
    </cfRule>
  </conditionalFormatting>
  <conditionalFormatting sqref="AZ1644">
    <cfRule type="expression" dxfId="1996" priority="7426">
      <formula>$AW1644="D"</formula>
    </cfRule>
  </conditionalFormatting>
  <conditionalFormatting sqref="AZ1653">
    <cfRule type="expression" dxfId="1995" priority="7356">
      <formula>$AW1653="D"</formula>
    </cfRule>
  </conditionalFormatting>
  <conditionalFormatting sqref="AZ1737">
    <cfRule type="expression" dxfId="1994" priority="7277">
      <formula>$AW1737="D"</formula>
    </cfRule>
  </conditionalFormatting>
  <conditionalFormatting sqref="AZ2207">
    <cfRule type="expression" dxfId="1993" priority="5313">
      <formula>$AW2207="D"</formula>
    </cfRule>
  </conditionalFormatting>
  <conditionalFormatting sqref="AZ2220">
    <cfRule type="expression" dxfId="1992" priority="5312">
      <formula>$AW2220="D"</formula>
    </cfRule>
  </conditionalFormatting>
  <conditionalFormatting sqref="AZ1647:BA1647">
    <cfRule type="expression" dxfId="1991" priority="7375">
      <formula>$AW1647="D"</formula>
    </cfRule>
  </conditionalFormatting>
  <conditionalFormatting sqref="AZ1678:BA1679">
    <cfRule type="expression" dxfId="1990" priority="7287">
      <formula>$AW1678="D"</formula>
    </cfRule>
  </conditionalFormatting>
  <conditionalFormatting sqref="AZ1682:BA1682">
    <cfRule type="expression" dxfId="1989" priority="7232">
      <formula>$AW1682="D"</formula>
    </cfRule>
  </conditionalFormatting>
  <conditionalFormatting sqref="AZ1685:BA1685">
    <cfRule type="expression" dxfId="1988" priority="7279">
      <formula>$AW1685="D"</formula>
    </cfRule>
  </conditionalFormatting>
  <conditionalFormatting sqref="AZ1682:BB1682">
    <cfRule type="expression" dxfId="1987" priority="7234">
      <formula>$AW1682="D"</formula>
    </cfRule>
  </conditionalFormatting>
  <conditionalFormatting sqref="AZ1685:BB1685">
    <cfRule type="expression" dxfId="1986" priority="7281">
      <formula>$AW1685="D"</formula>
    </cfRule>
  </conditionalFormatting>
  <conditionalFormatting sqref="AZ1539:BC1539">
    <cfRule type="expression" dxfId="1985" priority="7605">
      <formula>$AW1539="D"</formula>
    </cfRule>
    <cfRule type="expression" dxfId="1984" priority="7606">
      <formula>$AW1539="W"</formula>
    </cfRule>
    <cfRule type="expression" dxfId="1983" priority="7607">
      <formula>$AW1539="L"</formula>
    </cfRule>
  </conditionalFormatting>
  <conditionalFormatting sqref="AZ1679:BC1679">
    <cfRule type="expression" dxfId="1982" priority="7289">
      <formula>$AW1679="D"</formula>
    </cfRule>
  </conditionalFormatting>
  <conditionalFormatting sqref="AZ1643:BD1643">
    <cfRule type="expression" dxfId="1981" priority="7402">
      <formula>$AW1643="D"</formula>
    </cfRule>
  </conditionalFormatting>
  <conditionalFormatting sqref="AZ1678:BD1678">
    <cfRule type="expression" dxfId="1980" priority="7308">
      <formula>$AW1678="D"</formula>
    </cfRule>
  </conditionalFormatting>
  <conditionalFormatting sqref="BA551:BA552">
    <cfRule type="expression" dxfId="1979" priority="7974">
      <formula>$AW551="W"</formula>
    </cfRule>
    <cfRule type="expression" dxfId="1978" priority="7975">
      <formula>$AW551="D"</formula>
    </cfRule>
    <cfRule type="expression" dxfId="1977" priority="7976">
      <formula>$AW551="L"</formula>
    </cfRule>
  </conditionalFormatting>
  <conditionalFormatting sqref="BA557">
    <cfRule type="expression" dxfId="1976" priority="7972">
      <formula>$AW557="W"</formula>
    </cfRule>
    <cfRule type="expression" dxfId="1975" priority="7973">
      <formula>$AW557="L"</formula>
    </cfRule>
  </conditionalFormatting>
  <conditionalFormatting sqref="BA557:BA558">
    <cfRule type="expression" dxfId="1974" priority="7969">
      <formula>$AW557="D"</formula>
    </cfRule>
  </conditionalFormatting>
  <conditionalFormatting sqref="BA558">
    <cfRule type="expression" dxfId="1973" priority="7968">
      <formula>$AW558="W"</formula>
    </cfRule>
    <cfRule type="expression" dxfId="1972" priority="7970">
      <formula>$AW558="L"</formula>
    </cfRule>
  </conditionalFormatting>
  <conditionalFormatting sqref="BA562:BA567">
    <cfRule type="expression" dxfId="1971" priority="7933">
      <formula>$AW562="W"</formula>
    </cfRule>
    <cfRule type="expression" dxfId="1970" priority="7934">
      <formula>$AW562="D"</formula>
    </cfRule>
    <cfRule type="expression" dxfId="1969" priority="7935">
      <formula>$AW562="L"</formula>
    </cfRule>
  </conditionalFormatting>
  <conditionalFormatting sqref="BA573:BA574">
    <cfRule type="expression" dxfId="1968" priority="7950">
      <formula>$AW573="W"</formula>
    </cfRule>
    <cfRule type="expression" dxfId="1967" priority="7951">
      <formula>$AW573="D"</formula>
    </cfRule>
    <cfRule type="expression" dxfId="1966" priority="7952">
      <formula>$AW573="L"</formula>
    </cfRule>
  </conditionalFormatting>
  <conditionalFormatting sqref="BA576">
    <cfRule type="expression" dxfId="1965" priority="7941">
      <formula>$AW576="W"</formula>
    </cfRule>
    <cfRule type="expression" dxfId="1964" priority="7942">
      <formula>$AW576="D"</formula>
    </cfRule>
    <cfRule type="expression" dxfId="1963" priority="7943">
      <formula>$AW576="L"</formula>
    </cfRule>
  </conditionalFormatting>
  <conditionalFormatting sqref="BA578">
    <cfRule type="expression" dxfId="1962" priority="7936">
      <formula>$AW578="W"</formula>
    </cfRule>
    <cfRule type="expression" dxfId="1961" priority="7937">
      <formula>$AW578="D"</formula>
    </cfRule>
    <cfRule type="expression" dxfId="1960" priority="7938">
      <formula>$AW578="L"</formula>
    </cfRule>
  </conditionalFormatting>
  <conditionalFormatting sqref="BA587">
    <cfRule type="expression" dxfId="1959" priority="7902">
      <formula>$AW587="W"</formula>
    </cfRule>
    <cfRule type="expression" dxfId="1958" priority="7903">
      <formula>$AW587="D"</formula>
    </cfRule>
    <cfRule type="expression" dxfId="1957" priority="7904">
      <formula>$AW587="L"</formula>
    </cfRule>
  </conditionalFormatting>
  <conditionalFormatting sqref="BA590">
    <cfRule type="expression" dxfId="1956" priority="7899">
      <formula>$AW590="W"</formula>
    </cfRule>
    <cfRule type="expression" dxfId="1955" priority="7900">
      <formula>$AW590="D"</formula>
    </cfRule>
    <cfRule type="expression" dxfId="1954" priority="7901">
      <formula>$AW590="L"</formula>
    </cfRule>
  </conditionalFormatting>
  <conditionalFormatting sqref="BA592:BA594">
    <cfRule type="expression" dxfId="1953" priority="7923">
      <formula>$AW592="W"</formula>
    </cfRule>
    <cfRule type="expression" dxfId="1952" priority="7924">
      <formula>$AW592="D"</formula>
    </cfRule>
    <cfRule type="expression" dxfId="1951" priority="7925">
      <formula>$AW592="L"</formula>
    </cfRule>
  </conditionalFormatting>
  <conditionalFormatting sqref="BA597:BA610">
    <cfRule type="expression" dxfId="1950" priority="7869">
      <formula>$AW597="W"</formula>
    </cfRule>
    <cfRule type="expression" dxfId="1949" priority="7870">
      <formula>$AW597="D"</formula>
    </cfRule>
    <cfRule type="expression" dxfId="1948" priority="7871">
      <formula>$AW597="L"</formula>
    </cfRule>
  </conditionalFormatting>
  <conditionalFormatting sqref="BA617">
    <cfRule type="expression" dxfId="1947" priority="7885">
      <formula>$AW617="W"</formula>
    </cfRule>
    <cfRule type="expression" dxfId="1946" priority="7886">
      <formula>$AW617="D"</formula>
    </cfRule>
    <cfRule type="expression" dxfId="1945" priority="7887">
      <formula>$AW617="L"</formula>
    </cfRule>
  </conditionalFormatting>
  <conditionalFormatting sqref="BA621">
    <cfRule type="expression" dxfId="1944" priority="7882">
      <formula>$AW621="W"</formula>
    </cfRule>
    <cfRule type="expression" dxfId="1943" priority="7883">
      <formula>$AW621="D"</formula>
    </cfRule>
    <cfRule type="expression" dxfId="1942" priority="7884">
      <formula>$AW621="L"</formula>
    </cfRule>
  </conditionalFormatting>
  <conditionalFormatting sqref="BA625:BA626">
    <cfRule type="expression" dxfId="1941" priority="7876">
      <formula>$AW625="W"</formula>
    </cfRule>
    <cfRule type="expression" dxfId="1940" priority="7877">
      <formula>$AW625="D"</formula>
    </cfRule>
    <cfRule type="expression" dxfId="1939" priority="7878">
      <formula>$AW625="L"</formula>
    </cfRule>
  </conditionalFormatting>
  <conditionalFormatting sqref="BA628:BA635">
    <cfRule type="expression" dxfId="1938" priority="7873">
      <formula>$AW628="W"</formula>
    </cfRule>
    <cfRule type="expression" dxfId="1937" priority="7874">
      <formula>$AW628="D"</formula>
    </cfRule>
    <cfRule type="expression" dxfId="1936" priority="7875">
      <formula>$AW628="L"</formula>
    </cfRule>
  </conditionalFormatting>
  <conditionalFormatting sqref="BA637">
    <cfRule type="expression" dxfId="1935" priority="7866">
      <formula>$AW637="W"</formula>
    </cfRule>
    <cfRule type="expression" dxfId="1934" priority="7867">
      <formula>$AW637="D"</formula>
    </cfRule>
    <cfRule type="expression" dxfId="1933" priority="7868">
      <formula>$AW637="L"</formula>
    </cfRule>
  </conditionalFormatting>
  <conditionalFormatting sqref="BA804">
    <cfRule type="expression" dxfId="1932" priority="7844">
      <formula>$AW804="D"</formula>
    </cfRule>
  </conditionalFormatting>
  <conditionalFormatting sqref="BA1585">
    <cfRule type="expression" dxfId="1931" priority="7522">
      <formula>$AW1585="D"</formula>
    </cfRule>
  </conditionalFormatting>
  <conditionalFormatting sqref="BA1622">
    <cfRule type="expression" dxfId="1930" priority="7431">
      <formula>$AW1622="D"</formula>
    </cfRule>
  </conditionalFormatting>
  <conditionalFormatting sqref="BA1641">
    <cfRule type="expression" dxfId="1929" priority="7390">
      <formula>$AW1641="D"</formula>
    </cfRule>
  </conditionalFormatting>
  <conditionalFormatting sqref="BA1644">
    <cfRule type="expression" dxfId="1928" priority="7421">
      <formula>$AW1644="D"</formula>
    </cfRule>
  </conditionalFormatting>
  <conditionalFormatting sqref="BA1737">
    <cfRule type="expression" dxfId="1927" priority="7275">
      <formula>$AW1737="D"</formula>
    </cfRule>
  </conditionalFormatting>
  <conditionalFormatting sqref="BA1930">
    <cfRule type="expression" dxfId="1926" priority="6315">
      <formula>$AW1930="D"</formula>
    </cfRule>
  </conditionalFormatting>
  <conditionalFormatting sqref="BA2070">
    <cfRule type="expression" dxfId="1925" priority="5899">
      <formula>$AW2070="D"</formula>
    </cfRule>
  </conditionalFormatting>
  <conditionalFormatting sqref="BA511:BB511">
    <cfRule type="expression" dxfId="1924" priority="8019">
      <formula>$AW511="D"</formula>
    </cfRule>
  </conditionalFormatting>
  <conditionalFormatting sqref="BA550:BB550">
    <cfRule type="expression" dxfId="1923" priority="7977">
      <formula>$AW550="D"</formula>
    </cfRule>
  </conditionalFormatting>
  <conditionalFormatting sqref="BB3">
    <cfRule type="expression" dxfId="1922" priority="8096">
      <formula>$AW1848="W"</formula>
    </cfRule>
    <cfRule type="expression" dxfId="1921" priority="8098">
      <formula>$AW1848="D"</formula>
    </cfRule>
    <cfRule type="expression" dxfId="1920" priority="8100">
      <formula>$AW1848="L"</formula>
    </cfRule>
  </conditionalFormatting>
  <conditionalFormatting sqref="BB1626:BB1627">
    <cfRule type="expression" dxfId="1919" priority="7420">
      <formula>$AW1626="D"</formula>
    </cfRule>
  </conditionalFormatting>
  <conditionalFormatting sqref="BB1641:BB1644">
    <cfRule type="expression" dxfId="1918" priority="7394">
      <formula>$AW1641="D"</formula>
    </cfRule>
  </conditionalFormatting>
  <conditionalFormatting sqref="BB1930">
    <cfRule type="expression" dxfId="1917" priority="6314">
      <formula>$AW1930="D"</formula>
    </cfRule>
  </conditionalFormatting>
  <conditionalFormatting sqref="BB1737:BC1737">
    <cfRule type="expression" dxfId="1916" priority="7273">
      <formula>$AW1737="D"</formula>
    </cfRule>
  </conditionalFormatting>
  <conditionalFormatting sqref="BB1642:BF1642">
    <cfRule type="expression" dxfId="1915" priority="7401">
      <formula>$AW1642="D"</formula>
    </cfRule>
  </conditionalFormatting>
  <conditionalFormatting sqref="BB1646:BF1646">
    <cfRule type="expression" dxfId="1914" priority="7379">
      <formula>$AW1646="D"</formula>
    </cfRule>
  </conditionalFormatting>
  <conditionalFormatting sqref="BC1930">
    <cfRule type="expression" dxfId="1913" priority="6313">
      <formula>$AW1930="D"</formula>
    </cfRule>
  </conditionalFormatting>
  <conditionalFormatting sqref="BC1520:BD1521">
    <cfRule type="expression" dxfId="1912" priority="7682">
      <formula>$AW1520="D"</formula>
    </cfRule>
  </conditionalFormatting>
  <conditionalFormatting sqref="BC2070:BE2070">
    <cfRule type="expression" dxfId="1911" priority="5897">
      <formula>$AW2070="D"</formula>
    </cfRule>
  </conditionalFormatting>
  <conditionalFormatting sqref="BC1642:BF1642">
    <cfRule type="expression" dxfId="1910" priority="7397">
      <formula>$AW1642="D"</formula>
    </cfRule>
  </conditionalFormatting>
  <conditionalFormatting sqref="BD1537">
    <cfRule type="expression" dxfId="1909" priority="7617">
      <formula>$AW1537="D"</formula>
    </cfRule>
  </conditionalFormatting>
  <conditionalFormatting sqref="BD1544">
    <cfRule type="expression" dxfId="1908" priority="7608">
      <formula>$AW1544="D"</formula>
    </cfRule>
  </conditionalFormatting>
  <conditionalFormatting sqref="BD1608">
    <cfRule type="expression" dxfId="1907" priority="7453">
      <formula>$AW1608="D"</formula>
    </cfRule>
  </conditionalFormatting>
  <conditionalFormatting sqref="BD1644">
    <cfRule type="expression" dxfId="1906" priority="7400">
      <formula>$AW1644="D"</formula>
    </cfRule>
  </conditionalFormatting>
  <conditionalFormatting sqref="BD2025">
    <cfRule type="expression" dxfId="1905" priority="5951">
      <formula>$AW2025="D"</formula>
    </cfRule>
  </conditionalFormatting>
  <conditionalFormatting sqref="BD2029">
    <cfRule type="expression" dxfId="1904" priority="5953">
      <formula>$AW2029="D"</formula>
    </cfRule>
  </conditionalFormatting>
  <conditionalFormatting sqref="BD1550:BF1550">
    <cfRule type="expression" dxfId="1903" priority="7600">
      <formula>$AW1550="D"</formula>
    </cfRule>
  </conditionalFormatting>
  <conditionalFormatting sqref="BD1737:BF1737">
    <cfRule type="expression" dxfId="1902" priority="7271">
      <formula>$AW1737="D"</formula>
    </cfRule>
  </conditionalFormatting>
  <conditionalFormatting sqref="BD2122:BF2122">
    <cfRule type="expression" dxfId="1901" priority="5939">
      <formula>$AW2122="D"</formula>
    </cfRule>
  </conditionalFormatting>
  <conditionalFormatting sqref="BD2630:BF2630">
    <cfRule type="expression" dxfId="1900" priority="7524">
      <formula>$AW2630="D"</formula>
    </cfRule>
  </conditionalFormatting>
  <conditionalFormatting sqref="BE1523">
    <cfRule type="expression" dxfId="1899" priority="7685">
      <formula>$AW1523="D"</formula>
    </cfRule>
  </conditionalFormatting>
  <conditionalFormatting sqref="BE1644">
    <cfRule type="expression" dxfId="1898" priority="7399">
      <formula>$AW1644="D"</formula>
    </cfRule>
  </conditionalFormatting>
  <conditionalFormatting sqref="BE2122:BF2122">
    <cfRule type="expression" dxfId="1897" priority="5938">
      <formula>$AW2122="D"</formula>
    </cfRule>
  </conditionalFormatting>
  <conditionalFormatting sqref="BE2630:BF2630">
    <cfRule type="expression" dxfId="1896" priority="7523">
      <formula>$AW2630="D"</formula>
    </cfRule>
  </conditionalFormatting>
  <conditionalFormatting sqref="BF1643">
    <cfRule type="expression" dxfId="1895" priority="7396">
      <formula>$AW1643="D"</formula>
    </cfRule>
  </conditionalFormatting>
  <conditionalFormatting sqref="C2518:J2518">
    <cfRule type="cellIs" dxfId="1894" priority="2878" operator="equal">
      <formula>1</formula>
    </cfRule>
  </conditionalFormatting>
  <conditionalFormatting sqref="Y2518">
    <cfRule type="expression" dxfId="1893" priority="2876">
      <formula>$AW2518="D"</formula>
    </cfRule>
  </conditionalFormatting>
  <conditionalFormatting sqref="Y2501:Z2503">
    <cfRule type="expression" dxfId="1892" priority="2807">
      <formula>$AW2501="D"</formula>
    </cfRule>
  </conditionalFormatting>
  <conditionalFormatting sqref="Y2518:Z2518">
    <cfRule type="expression" dxfId="1891" priority="2877">
      <formula>$AW2518="D"</formula>
    </cfRule>
  </conditionalFormatting>
  <conditionalFormatting sqref="AX2518">
    <cfRule type="expression" dxfId="1890" priority="2875">
      <formula>$AW2518="D"</formula>
    </cfRule>
  </conditionalFormatting>
  <conditionalFormatting sqref="Y2504:Z2506">
    <cfRule type="expression" dxfId="1889" priority="2806">
      <formula>$AW2504="D"</formula>
    </cfRule>
  </conditionalFormatting>
  <conditionalFormatting sqref="Y2507:Z2508">
    <cfRule type="expression" dxfId="1888" priority="2805">
      <formula>$AW2507="D"</formula>
    </cfRule>
  </conditionalFormatting>
  <conditionalFormatting sqref="AM2501:AM2518">
    <cfRule type="cellIs" dxfId="1887" priority="8075" operator="lessThanOrEqual">
      <formula>AM$2635</formula>
    </cfRule>
  </conditionalFormatting>
  <conditionalFormatting sqref="Y2509:Z2509">
    <cfRule type="expression" dxfId="1886" priority="2804">
      <formula>$AW2509="D"</formula>
    </cfRule>
  </conditionalFormatting>
  <conditionalFormatting sqref="A2519:G2558">
    <cfRule type="expression" dxfId="1885" priority="2063">
      <formula>$AW2519="D"</formula>
    </cfRule>
  </conditionalFormatting>
  <conditionalFormatting sqref="H2519:J2558">
    <cfRule type="cellIs" dxfId="1884" priority="2066" operator="equal">
      <formula>1</formula>
    </cfRule>
  </conditionalFormatting>
  <conditionalFormatting sqref="K2519:K2558">
    <cfRule type="containsText" dxfId="1883" priority="2067" operator="containsText" text="H">
      <formula>NOT(ISERROR(SEARCH(("H"),(K2519))))</formula>
    </cfRule>
    <cfRule type="containsText" dxfId="1882" priority="2068" operator="containsText" text="D">
      <formula>NOT(ISERROR(SEARCH(("D"),(K2519))))</formula>
    </cfRule>
  </conditionalFormatting>
  <conditionalFormatting sqref="O2519:O2558">
    <cfRule type="expression" dxfId="1881" priority="2065">
      <formula>$AW2519="D"</formula>
    </cfRule>
  </conditionalFormatting>
  <conditionalFormatting sqref="Q2519:Q2558">
    <cfRule type="cellIs" dxfId="1880" priority="2071" operator="equal">
      <formula>"F"</formula>
    </cfRule>
  </conditionalFormatting>
  <conditionalFormatting sqref="U2519:U2558">
    <cfRule type="containsText" dxfId="1879" priority="2059" operator="containsText" text="S">
      <formula>NOT(ISERROR(SEARCH("S",U2519)))</formula>
    </cfRule>
    <cfRule type="containsText" dxfId="1878" priority="2060" operator="containsText" text="B">
      <formula>NOT(ISERROR(SEARCH("B",U2519)))</formula>
    </cfRule>
  </conditionalFormatting>
  <conditionalFormatting sqref="U2519:X2558">
    <cfRule type="expression" dxfId="1877" priority="2057">
      <formula>$AW2519="L"</formula>
    </cfRule>
    <cfRule type="expression" dxfId="1876" priority="2058">
      <formula>$AW2519="W"</formula>
    </cfRule>
  </conditionalFormatting>
  <conditionalFormatting sqref="U2519:X2558">
    <cfRule type="expression" dxfId="1875" priority="2056">
      <formula>$AW2519="D"</formula>
    </cfRule>
  </conditionalFormatting>
  <conditionalFormatting sqref="Y2519">
    <cfRule type="cellIs" dxfId="1874" priority="1994" operator="equal">
      <formula>"S"</formula>
    </cfRule>
    <cfRule type="cellIs" dxfId="1873" priority="1995" operator="equal">
      <formula>"B"</formula>
    </cfRule>
    <cfRule type="expression" dxfId="1872" priority="1996">
      <formula>$AW2519="D"</formula>
    </cfRule>
    <cfRule type="cellIs" dxfId="1871" priority="1997" operator="equal">
      <formula>"B"</formula>
    </cfRule>
    <cfRule type="cellIs" dxfId="1870" priority="1998" operator="equal">
      <formula>"S"</formula>
    </cfRule>
    <cfRule type="expression" dxfId="1869" priority="1999">
      <formula>$AW2519="D"</formula>
    </cfRule>
    <cfRule type="cellIs" dxfId="1868" priority="2000" operator="equal">
      <formula>"B"</formula>
    </cfRule>
    <cfRule type="cellIs" dxfId="1867" priority="2001" operator="equal">
      <formula>"S"</formula>
    </cfRule>
    <cfRule type="cellIs" dxfId="1866" priority="2002" operator="equal">
      <formula>"S"</formula>
    </cfRule>
    <cfRule type="cellIs" dxfId="1865" priority="2003" operator="equal">
      <formula>"B"</formula>
    </cfRule>
    <cfRule type="expression" dxfId="1864" priority="2004">
      <formula>$AW2519="D"</formula>
    </cfRule>
    <cfRule type="cellIs" dxfId="1863" priority="2005" operator="equal">
      <formula>"B"</formula>
    </cfRule>
    <cfRule type="cellIs" dxfId="1862" priority="2006" operator="equal">
      <formula>"S"</formula>
    </cfRule>
    <cfRule type="expression" dxfId="1861" priority="2007">
      <formula>$AW2519="D"</formula>
    </cfRule>
    <cfRule type="cellIs" dxfId="1860" priority="2008" operator="equal">
      <formula>"B"</formula>
    </cfRule>
    <cfRule type="cellIs" dxfId="1859" priority="2009" operator="equal">
      <formula>"S"</formula>
    </cfRule>
    <cfRule type="cellIs" dxfId="1858" priority="2010" operator="equal">
      <formula>"S"</formula>
    </cfRule>
    <cfRule type="cellIs" dxfId="1857" priority="2011" operator="equal">
      <formula>"B"</formula>
    </cfRule>
    <cfRule type="expression" dxfId="1856" priority="2012">
      <formula>$AW2519="D"</formula>
    </cfRule>
    <cfRule type="cellIs" dxfId="1855" priority="2013" operator="equal">
      <formula>"B"</formula>
    </cfRule>
    <cfRule type="cellIs" dxfId="1854" priority="2014" operator="equal">
      <formula>"S"</formula>
    </cfRule>
    <cfRule type="expression" dxfId="1853" priority="2015">
      <formula>$AW2519="D"</formula>
    </cfRule>
    <cfRule type="cellIs" dxfId="1852" priority="2016" operator="equal">
      <formula>"B"</formula>
    </cfRule>
    <cfRule type="cellIs" dxfId="1851" priority="2017" operator="equal">
      <formula>"S"</formula>
    </cfRule>
    <cfRule type="cellIs" dxfId="1850" priority="2018" operator="equal">
      <formula>"S"</formula>
    </cfRule>
    <cfRule type="cellIs" dxfId="1849" priority="2019" operator="equal">
      <formula>"B"</formula>
    </cfRule>
    <cfRule type="expression" dxfId="1848" priority="2020">
      <formula>$AW2519="D"</formula>
    </cfRule>
    <cfRule type="cellIs" dxfId="1847" priority="2021" operator="equal">
      <formula>"B"</formula>
    </cfRule>
    <cfRule type="cellIs" dxfId="1846" priority="2022" operator="equal">
      <formula>"S"</formula>
    </cfRule>
    <cfRule type="expression" dxfId="1845" priority="2023">
      <formula>$AW2519="D"</formula>
    </cfRule>
    <cfRule type="cellIs" dxfId="1844" priority="2024" operator="equal">
      <formula>"B"</formula>
    </cfRule>
    <cfRule type="cellIs" dxfId="1843" priority="2025" operator="equal">
      <formula>"S"</formula>
    </cfRule>
    <cfRule type="expression" dxfId="1842" priority="2026">
      <formula>$AW2519="D"</formula>
    </cfRule>
    <cfRule type="cellIs" dxfId="1841" priority="2027" operator="equal">
      <formula>"B"</formula>
    </cfRule>
    <cfRule type="cellIs" dxfId="1840" priority="2028" operator="equal">
      <formula>"S"</formula>
    </cfRule>
    <cfRule type="expression" dxfId="1839" priority="2029">
      <formula>$AW2519="D"</formula>
    </cfRule>
    <cfRule type="cellIs" dxfId="1838" priority="2030" operator="equal">
      <formula>"B"</formula>
    </cfRule>
    <cfRule type="cellIs" dxfId="1837" priority="2031" operator="equal">
      <formula>"S"</formula>
    </cfRule>
    <cfRule type="cellIs" dxfId="1836" priority="2032" operator="equal">
      <formula>"S"</formula>
    </cfRule>
    <cfRule type="cellIs" dxfId="1835" priority="2033" operator="equal">
      <formula>"B"</formula>
    </cfRule>
    <cfRule type="expression" dxfId="1834" priority="2034">
      <formula>$AW2519="D"</formula>
    </cfRule>
    <cfRule type="cellIs" dxfId="1833" priority="2035" operator="equal">
      <formula>"B"</formula>
    </cfRule>
    <cfRule type="cellIs" dxfId="1832" priority="2036" operator="equal">
      <formula>"S"</formula>
    </cfRule>
    <cfRule type="expression" dxfId="1831" priority="2037">
      <formula>$AW2519="D"</formula>
    </cfRule>
    <cfRule type="cellIs" dxfId="1830" priority="2038" operator="equal">
      <formula>"B"</formula>
    </cfRule>
    <cfRule type="cellIs" dxfId="1829" priority="2039" operator="equal">
      <formula>"S"</formula>
    </cfRule>
    <cfRule type="expression" dxfId="1828" priority="2040">
      <formula>$AW2519="D"</formula>
    </cfRule>
    <cfRule type="cellIs" dxfId="1827" priority="2041" operator="equal">
      <formula>"B"</formula>
    </cfRule>
    <cfRule type="cellIs" dxfId="1826" priority="2042" operator="equal">
      <formula>"S"</formula>
    </cfRule>
    <cfRule type="expression" dxfId="1825" priority="2043">
      <formula>$AW2519="D"</formula>
    </cfRule>
    <cfRule type="cellIs" dxfId="1824" priority="2044" operator="equal">
      <formula>"B"</formula>
    </cfRule>
    <cfRule type="cellIs" dxfId="1823" priority="2045" operator="equal">
      <formula>"S"</formula>
    </cfRule>
    <cfRule type="cellIs" dxfId="1822" priority="2046" operator="equal">
      <formula>"S"</formula>
    </cfRule>
    <cfRule type="cellIs" dxfId="1821" priority="2047" operator="equal">
      <formula>"B"</formula>
    </cfRule>
    <cfRule type="expression" dxfId="1820" priority="2048">
      <formula>$AW2519="D"</formula>
    </cfRule>
    <cfRule type="cellIs" dxfId="1819" priority="2049" operator="equal">
      <formula>"B"</formula>
    </cfRule>
    <cfRule type="cellIs" dxfId="1818" priority="2050" operator="equal">
      <formula>"S"</formula>
    </cfRule>
    <cfRule type="expression" dxfId="1817" priority="2051">
      <formula>$AW2519="D"</formula>
    </cfRule>
    <cfRule type="cellIs" dxfId="1816" priority="2052" operator="equal">
      <formula>"B"</formula>
    </cfRule>
    <cfRule type="cellIs" dxfId="1815" priority="2053" operator="equal">
      <formula>"S"</formula>
    </cfRule>
  </conditionalFormatting>
  <conditionalFormatting sqref="A2519:T2558 Y2519:BF2558">
    <cfRule type="expression" dxfId="1814" priority="2062">
      <formula>$AW2519="L"</formula>
    </cfRule>
  </conditionalFormatting>
  <conditionalFormatting sqref="A2519:T2558 Y2519:BF2558">
    <cfRule type="expression" dxfId="1813" priority="2070">
      <formula>$AW2519="D"</formula>
    </cfRule>
  </conditionalFormatting>
  <conditionalFormatting sqref="A2519:T2558 Y2519:BF2558">
    <cfRule type="expression" dxfId="1812" priority="2061">
      <formula>$AW2519="W"</formula>
    </cfRule>
  </conditionalFormatting>
  <conditionalFormatting sqref="Z2519">
    <cfRule type="expression" dxfId="1811" priority="2054">
      <formula>$AW2519="D"</formula>
    </cfRule>
  </conditionalFormatting>
  <conditionalFormatting sqref="AJ2519:AJ2558">
    <cfRule type="expression" dxfId="1810" priority="2055">
      <formula>$AW2519="D"</formula>
    </cfRule>
  </conditionalFormatting>
  <conditionalFormatting sqref="AL2519:AL2558">
    <cfRule type="cellIs" dxfId="1809" priority="2069" operator="lessThanOrEqual">
      <formula>-110</formula>
    </cfRule>
  </conditionalFormatting>
  <conditionalFormatting sqref="AL2519:AM2558">
    <cfRule type="expression" dxfId="1808" priority="2064">
      <formula>$AW2519="D"</formula>
    </cfRule>
  </conditionalFormatting>
  <conditionalFormatting sqref="AU2519:AU2558">
    <cfRule type="cellIs" dxfId="1807" priority="2072" operator="greaterThan">
      <formula>0</formula>
    </cfRule>
    <cfRule type="cellIs" dxfId="1806" priority="2073" operator="lessThan">
      <formula>0</formula>
    </cfRule>
  </conditionalFormatting>
  <conditionalFormatting sqref="Y2519:Z2519">
    <cfRule type="expression" dxfId="1805" priority="1993">
      <formula>$AW2519="D"</formula>
    </cfRule>
  </conditionalFormatting>
  <conditionalFormatting sqref="P2524">
    <cfRule type="expression" dxfId="1804" priority="1961">
      <formula>$AW2524="D"</formula>
    </cfRule>
    <cfRule type="cellIs" dxfId="1803" priority="1962" operator="equal">
      <formula>"F"</formula>
    </cfRule>
  </conditionalFormatting>
  <conditionalFormatting sqref="Y2524">
    <cfRule type="cellIs" dxfId="1802" priority="1923" operator="equal">
      <formula>"S"</formula>
    </cfRule>
    <cfRule type="cellIs" dxfId="1801" priority="1924" operator="equal">
      <formula>"B"</formula>
    </cfRule>
    <cfRule type="expression" dxfId="1800" priority="1925">
      <formula>$AW2524="D"</formula>
    </cfRule>
    <cfRule type="cellIs" dxfId="1799" priority="1926" operator="equal">
      <formula>"B"</formula>
    </cfRule>
    <cfRule type="cellIs" dxfId="1798" priority="1927" operator="equal">
      <formula>"S"</formula>
    </cfRule>
    <cfRule type="expression" dxfId="1797" priority="1928">
      <formula>$AW2524="D"</formula>
    </cfRule>
    <cfRule type="cellIs" dxfId="1796" priority="1929" operator="equal">
      <formula>"B"</formula>
    </cfRule>
    <cfRule type="cellIs" dxfId="1795" priority="1930" operator="equal">
      <formula>"S"</formula>
    </cfRule>
    <cfRule type="cellIs" dxfId="1794" priority="1931" operator="equal">
      <formula>"S"</formula>
    </cfRule>
    <cfRule type="cellIs" dxfId="1793" priority="1932" operator="equal">
      <formula>"B"</formula>
    </cfRule>
    <cfRule type="expression" dxfId="1792" priority="1934">
      <formula>$AW2524="D"</formula>
    </cfRule>
    <cfRule type="cellIs" dxfId="1791" priority="1935" operator="equal">
      <formula>"B"</formula>
    </cfRule>
    <cfRule type="cellIs" dxfId="1790" priority="1936" operator="equal">
      <formula>"S"</formula>
    </cfRule>
    <cfRule type="expression" dxfId="1789" priority="1937">
      <formula>$AW2524="D"</formula>
    </cfRule>
    <cfRule type="cellIs" dxfId="1788" priority="1938" operator="equal">
      <formula>"B"</formula>
    </cfRule>
    <cfRule type="cellIs" dxfId="1787" priority="1939" operator="equal">
      <formula>"S"</formula>
    </cfRule>
    <cfRule type="cellIs" dxfId="1786" priority="1940" operator="equal">
      <formula>"S"</formula>
    </cfRule>
    <cfRule type="cellIs" dxfId="1785" priority="1941" operator="equal">
      <formula>"B"</formula>
    </cfRule>
    <cfRule type="expression" dxfId="1784" priority="1943">
      <formula>$AW2524="D"</formula>
    </cfRule>
    <cfRule type="cellIs" dxfId="1783" priority="1944" operator="equal">
      <formula>"B"</formula>
    </cfRule>
    <cfRule type="cellIs" dxfId="1782" priority="1945" operator="equal">
      <formula>"S"</formula>
    </cfRule>
    <cfRule type="expression" dxfId="1781" priority="1947">
      <formula>$AW2524="D"</formula>
    </cfRule>
    <cfRule type="cellIs" dxfId="1780" priority="1948" operator="equal">
      <formula>"B"</formula>
    </cfRule>
    <cfRule type="cellIs" dxfId="1779" priority="1949" operator="equal">
      <formula>"S"</formula>
    </cfRule>
    <cfRule type="cellIs" dxfId="1778" priority="1950" operator="equal">
      <formula>"S"</formula>
    </cfRule>
    <cfRule type="cellIs" dxfId="1777" priority="1951" operator="equal">
      <formula>"B"</formula>
    </cfRule>
    <cfRule type="cellIs" dxfId="1776" priority="1953" operator="equal">
      <formula>"S"</formula>
    </cfRule>
    <cfRule type="cellIs" dxfId="1775" priority="1954" operator="equal">
      <formula>"B"</formula>
    </cfRule>
    <cfRule type="expression" dxfId="1774" priority="1955">
      <formula>$AW2524="D"</formula>
    </cfRule>
    <cfRule type="cellIs" dxfId="1773" priority="1956" operator="equal">
      <formula>"B"</formula>
    </cfRule>
    <cfRule type="cellIs" dxfId="1772" priority="1957" operator="equal">
      <formula>"S"</formula>
    </cfRule>
    <cfRule type="expression" dxfId="1771" priority="1958">
      <formula>$AW2524="D"</formula>
    </cfRule>
    <cfRule type="cellIs" dxfId="1770" priority="1959" operator="equal">
      <formula>"B"</formula>
    </cfRule>
    <cfRule type="cellIs" dxfId="1769" priority="1960" operator="equal">
      <formula>"S"</formula>
    </cfRule>
    <cfRule type="expression" dxfId="1768" priority="1964">
      <formula>$AW2524="D"</formula>
    </cfRule>
    <cfRule type="cellIs" dxfId="1767" priority="1965" operator="equal">
      <formula>"B"</formula>
    </cfRule>
    <cfRule type="cellIs" dxfId="1766" priority="1966" operator="equal">
      <formula>"S"</formula>
    </cfRule>
    <cfRule type="expression" dxfId="1765" priority="1967">
      <formula>$AW2524="D"</formula>
    </cfRule>
    <cfRule type="cellIs" dxfId="1764" priority="1968" operator="equal">
      <formula>"B"</formula>
    </cfRule>
    <cfRule type="cellIs" dxfId="1763" priority="1969" operator="equal">
      <formula>"S"</formula>
    </cfRule>
    <cfRule type="cellIs" dxfId="1762" priority="1970" operator="equal">
      <formula>"S"</formula>
    </cfRule>
    <cfRule type="cellIs" dxfId="1761" priority="1971" operator="equal">
      <formula>"B"</formula>
    </cfRule>
    <cfRule type="expression" dxfId="1760" priority="1972">
      <formula>$AW2524="D"</formula>
    </cfRule>
    <cfRule type="cellIs" dxfId="1759" priority="1973" operator="equal">
      <formula>"B"</formula>
    </cfRule>
    <cfRule type="cellIs" dxfId="1758" priority="1974" operator="equal">
      <formula>"S"</formula>
    </cfRule>
    <cfRule type="expression" dxfId="1757" priority="1975">
      <formula>$AW2524="D"</formula>
    </cfRule>
    <cfRule type="cellIs" dxfId="1756" priority="1976" operator="equal">
      <formula>"B"</formula>
    </cfRule>
    <cfRule type="cellIs" dxfId="1755" priority="1977" operator="equal">
      <formula>"S"</formula>
    </cfRule>
    <cfRule type="expression" dxfId="1754" priority="1978">
      <formula>$AW2524="D"</formula>
    </cfRule>
    <cfRule type="cellIs" dxfId="1753" priority="1979" operator="equal">
      <formula>"B"</formula>
    </cfRule>
    <cfRule type="cellIs" dxfId="1752" priority="1980" operator="equal">
      <formula>"S"</formula>
    </cfRule>
    <cfRule type="expression" dxfId="1751" priority="1981">
      <formula>$AW2524="D"</formula>
    </cfRule>
    <cfRule type="cellIs" dxfId="1750" priority="1982" operator="equal">
      <formula>"B"</formula>
    </cfRule>
    <cfRule type="cellIs" dxfId="1749" priority="1983" operator="equal">
      <formula>"S"</formula>
    </cfRule>
    <cfRule type="cellIs" dxfId="1748" priority="1984" operator="equal">
      <formula>"S"</formula>
    </cfRule>
    <cfRule type="cellIs" dxfId="1747" priority="1985" operator="equal">
      <formula>"B"</formula>
    </cfRule>
    <cfRule type="expression" dxfId="1746" priority="1986">
      <formula>$AW2524="D"</formula>
    </cfRule>
    <cfRule type="cellIs" dxfId="1745" priority="1987" operator="equal">
      <formula>"B"</formula>
    </cfRule>
    <cfRule type="cellIs" dxfId="1744" priority="1988" operator="equal">
      <formula>"S"</formula>
    </cfRule>
    <cfRule type="expression" dxfId="1743" priority="1989">
      <formula>$AW2524="D"</formula>
    </cfRule>
    <cfRule type="cellIs" dxfId="1742" priority="1990" operator="equal">
      <formula>"B"</formula>
    </cfRule>
    <cfRule type="cellIs" dxfId="1741" priority="1991" operator="equal">
      <formula>"S"</formula>
    </cfRule>
  </conditionalFormatting>
  <conditionalFormatting sqref="Y2524:Z2524">
    <cfRule type="expression" dxfId="1740" priority="1933">
      <formula>$AW2524="D"</formula>
    </cfRule>
    <cfRule type="expression" dxfId="1739" priority="1942">
      <formula>$AW2524="D"</formula>
    </cfRule>
    <cfRule type="expression" dxfId="1738" priority="1946">
      <formula>$AW2524="D"</formula>
    </cfRule>
    <cfRule type="expression" dxfId="1737" priority="1952">
      <formula>$AW2524="D"</formula>
    </cfRule>
    <cfRule type="expression" dxfId="1736" priority="1963">
      <formula>$AW2524="D"</formula>
    </cfRule>
  </conditionalFormatting>
  <conditionalFormatting sqref="Y2524:Z2524">
    <cfRule type="expression" dxfId="1735" priority="1922">
      <formula>$AW2524="D"</formula>
    </cfRule>
  </conditionalFormatting>
  <conditionalFormatting sqref="Z2524">
    <cfRule type="expression" dxfId="1734" priority="1992">
      <formula>$AW2524="D"</formula>
    </cfRule>
  </conditionalFormatting>
  <conditionalFormatting sqref="Y2528:Y2532">
    <cfRule type="cellIs" dxfId="1733" priority="1861" operator="equal">
      <formula>"S"</formula>
    </cfRule>
    <cfRule type="cellIs" dxfId="1732" priority="1862" operator="equal">
      <formula>"B"</formula>
    </cfRule>
    <cfRule type="expression" dxfId="1731" priority="1863">
      <formula>$AW2528="D"</formula>
    </cfRule>
    <cfRule type="cellIs" dxfId="1730" priority="1864" operator="equal">
      <formula>"B"</formula>
    </cfRule>
    <cfRule type="cellIs" dxfId="1729" priority="1865" operator="equal">
      <formula>"S"</formula>
    </cfRule>
    <cfRule type="expression" dxfId="1728" priority="1866">
      <formula>$AW2528="D"</formula>
    </cfRule>
    <cfRule type="cellIs" dxfId="1727" priority="1867" operator="equal">
      <formula>"B"</formula>
    </cfRule>
    <cfRule type="cellIs" dxfId="1726" priority="1868" operator="equal">
      <formula>"S"</formula>
    </cfRule>
    <cfRule type="cellIs" dxfId="1725" priority="1869" operator="equal">
      <formula>"S"</formula>
    </cfRule>
    <cfRule type="cellIs" dxfId="1724" priority="1870" operator="equal">
      <formula>"B"</formula>
    </cfRule>
    <cfRule type="expression" dxfId="1723" priority="1871">
      <formula>$AW2528="D"</formula>
    </cfRule>
    <cfRule type="cellIs" dxfId="1722" priority="1872" operator="equal">
      <formula>"B"</formula>
    </cfRule>
    <cfRule type="cellIs" dxfId="1721" priority="1873" operator="equal">
      <formula>"S"</formula>
    </cfRule>
    <cfRule type="expression" dxfId="1720" priority="1874">
      <formula>$AW2528="D"</formula>
    </cfRule>
    <cfRule type="cellIs" dxfId="1719" priority="1875" operator="equal">
      <formula>"B"</formula>
    </cfRule>
    <cfRule type="cellIs" dxfId="1718" priority="1876" operator="equal">
      <formula>"S"</formula>
    </cfRule>
    <cfRule type="cellIs" dxfId="1717" priority="1877" operator="equal">
      <formula>"S"</formula>
    </cfRule>
    <cfRule type="cellIs" dxfId="1716" priority="1878" operator="equal">
      <formula>"B"</formula>
    </cfRule>
    <cfRule type="expression" dxfId="1715" priority="1879">
      <formula>$AW2528="D"</formula>
    </cfRule>
    <cfRule type="cellIs" dxfId="1714" priority="1880" operator="equal">
      <formula>"B"</formula>
    </cfRule>
    <cfRule type="cellIs" dxfId="1713" priority="1881" operator="equal">
      <formula>"S"</formula>
    </cfRule>
    <cfRule type="expression" dxfId="1712" priority="1882">
      <formula>$AW2528="D"</formula>
    </cfRule>
    <cfRule type="cellIs" dxfId="1711" priority="1883" operator="equal">
      <formula>"B"</formula>
    </cfRule>
    <cfRule type="cellIs" dxfId="1710" priority="1884" operator="equal">
      <formula>"S"</formula>
    </cfRule>
    <cfRule type="cellIs" dxfId="1709" priority="1885" operator="equal">
      <formula>"S"</formula>
    </cfRule>
    <cfRule type="cellIs" dxfId="1708" priority="1886" operator="equal">
      <formula>"B"</formula>
    </cfRule>
    <cfRule type="expression" dxfId="1707" priority="1887">
      <formula>$AW2528="D"</formula>
    </cfRule>
    <cfRule type="cellIs" dxfId="1706" priority="1888" operator="equal">
      <formula>"B"</formula>
    </cfRule>
    <cfRule type="cellIs" dxfId="1705" priority="1889" operator="equal">
      <formula>"S"</formula>
    </cfRule>
    <cfRule type="expression" dxfId="1704" priority="1890">
      <formula>$AW2528="D"</formula>
    </cfRule>
    <cfRule type="cellIs" dxfId="1703" priority="1891" operator="equal">
      <formula>"B"</formula>
    </cfRule>
    <cfRule type="cellIs" dxfId="1702" priority="1892" operator="equal">
      <formula>"S"</formula>
    </cfRule>
    <cfRule type="expression" dxfId="1701" priority="1893">
      <formula>$AW2528="D"</formula>
    </cfRule>
    <cfRule type="cellIs" dxfId="1700" priority="1894" operator="equal">
      <formula>"B"</formula>
    </cfRule>
    <cfRule type="cellIs" dxfId="1699" priority="1895" operator="equal">
      <formula>"S"</formula>
    </cfRule>
    <cfRule type="expression" dxfId="1698" priority="1896">
      <formula>$AW2528="D"</formula>
    </cfRule>
    <cfRule type="cellIs" dxfId="1697" priority="1897" operator="equal">
      <formula>"B"</formula>
    </cfRule>
    <cfRule type="cellIs" dxfId="1696" priority="1898" operator="equal">
      <formula>"S"</formula>
    </cfRule>
    <cfRule type="cellIs" dxfId="1695" priority="1899" operator="equal">
      <formula>"S"</formula>
    </cfRule>
    <cfRule type="cellIs" dxfId="1694" priority="1900" operator="equal">
      <formula>"B"</formula>
    </cfRule>
    <cfRule type="expression" dxfId="1693" priority="1901">
      <formula>$AW2528="D"</formula>
    </cfRule>
    <cfRule type="cellIs" dxfId="1692" priority="1902" operator="equal">
      <formula>"B"</formula>
    </cfRule>
    <cfRule type="cellIs" dxfId="1691" priority="1903" operator="equal">
      <formula>"S"</formula>
    </cfRule>
    <cfRule type="expression" dxfId="1690" priority="1904">
      <formula>$AW2528="D"</formula>
    </cfRule>
    <cfRule type="cellIs" dxfId="1689" priority="1905" operator="equal">
      <formula>"B"</formula>
    </cfRule>
    <cfRule type="cellIs" dxfId="1688" priority="1906" operator="equal">
      <formula>"S"</formula>
    </cfRule>
    <cfRule type="expression" dxfId="1687" priority="1907">
      <formula>$AW2528="D"</formula>
    </cfRule>
    <cfRule type="cellIs" dxfId="1686" priority="1908" operator="equal">
      <formula>"B"</formula>
    </cfRule>
    <cfRule type="cellIs" dxfId="1685" priority="1909" operator="equal">
      <formula>"S"</formula>
    </cfRule>
    <cfRule type="expression" dxfId="1684" priority="1910">
      <formula>$AW2528="D"</formula>
    </cfRule>
    <cfRule type="cellIs" dxfId="1683" priority="1911" operator="equal">
      <formula>"B"</formula>
    </cfRule>
    <cfRule type="cellIs" dxfId="1682" priority="1912" operator="equal">
      <formula>"S"</formula>
    </cfRule>
    <cfRule type="cellIs" dxfId="1681" priority="1913" operator="equal">
      <formula>"S"</formula>
    </cfRule>
    <cfRule type="cellIs" dxfId="1680" priority="1914" operator="equal">
      <formula>"B"</formula>
    </cfRule>
    <cfRule type="expression" dxfId="1679" priority="1915">
      <formula>$AW2528="D"</formula>
    </cfRule>
    <cfRule type="cellIs" dxfId="1678" priority="1916" operator="equal">
      <formula>"B"</formula>
    </cfRule>
    <cfRule type="cellIs" dxfId="1677" priority="1917" operator="equal">
      <formula>"S"</formula>
    </cfRule>
    <cfRule type="expression" dxfId="1676" priority="1918">
      <formula>$AW2528="D"</formula>
    </cfRule>
    <cfRule type="cellIs" dxfId="1675" priority="1919" operator="equal">
      <formula>"B"</formula>
    </cfRule>
    <cfRule type="cellIs" dxfId="1674" priority="1920" operator="equal">
      <formula>"S"</formula>
    </cfRule>
  </conditionalFormatting>
  <conditionalFormatting sqref="Z2528:Z2532">
    <cfRule type="expression" dxfId="1673" priority="1921">
      <formula>$AW2528="D"</formula>
    </cfRule>
  </conditionalFormatting>
  <conditionalFormatting sqref="Y2528:Z2529">
    <cfRule type="expression" dxfId="1672" priority="1860">
      <formula>$AW2528="D"</formula>
    </cfRule>
  </conditionalFormatting>
  <conditionalFormatting sqref="Y2530:Z2530">
    <cfRule type="expression" dxfId="1671" priority="1859">
      <formula>$AW2530="D"</formula>
    </cfRule>
  </conditionalFormatting>
  <conditionalFormatting sqref="Y2531:Z2531">
    <cfRule type="expression" dxfId="1670" priority="1858">
      <formula>$AW2531="D"</formula>
    </cfRule>
  </conditionalFormatting>
  <conditionalFormatting sqref="Y2532:Z2532">
    <cfRule type="expression" dxfId="1669" priority="1857">
      <formula>$AW2532="D"</formula>
    </cfRule>
  </conditionalFormatting>
  <conditionalFormatting sqref="Y2535:Y2540">
    <cfRule type="cellIs" dxfId="1668" priority="1796" operator="equal">
      <formula>"S"</formula>
    </cfRule>
    <cfRule type="cellIs" dxfId="1667" priority="1797" operator="equal">
      <formula>"B"</formula>
    </cfRule>
    <cfRule type="expression" dxfId="1666" priority="1798">
      <formula>$AW2535="D"</formula>
    </cfRule>
    <cfRule type="cellIs" dxfId="1665" priority="1799" operator="equal">
      <formula>"B"</formula>
    </cfRule>
    <cfRule type="cellIs" dxfId="1664" priority="1800" operator="equal">
      <formula>"S"</formula>
    </cfRule>
    <cfRule type="expression" dxfId="1663" priority="1801">
      <formula>$AW2535="D"</formula>
    </cfRule>
    <cfRule type="cellIs" dxfId="1662" priority="1802" operator="equal">
      <formula>"B"</formula>
    </cfRule>
    <cfRule type="cellIs" dxfId="1661" priority="1803" operator="equal">
      <formula>"S"</formula>
    </cfRule>
    <cfRule type="cellIs" dxfId="1660" priority="1804" operator="equal">
      <formula>"S"</formula>
    </cfRule>
    <cfRule type="cellIs" dxfId="1659" priority="1805" operator="equal">
      <formula>"B"</formula>
    </cfRule>
    <cfRule type="expression" dxfId="1658" priority="1806">
      <formula>$AW2535="D"</formula>
    </cfRule>
    <cfRule type="cellIs" dxfId="1657" priority="1807" operator="equal">
      <formula>"B"</formula>
    </cfRule>
    <cfRule type="cellIs" dxfId="1656" priority="1808" operator="equal">
      <formula>"S"</formula>
    </cfRule>
    <cfRule type="expression" dxfId="1655" priority="1809">
      <formula>$AW2535="D"</formula>
    </cfRule>
    <cfRule type="cellIs" dxfId="1654" priority="1810" operator="equal">
      <formula>"B"</formula>
    </cfRule>
    <cfRule type="cellIs" dxfId="1653" priority="1811" operator="equal">
      <formula>"S"</formula>
    </cfRule>
    <cfRule type="cellIs" dxfId="1652" priority="1812" operator="equal">
      <formula>"S"</formula>
    </cfRule>
    <cfRule type="cellIs" dxfId="1651" priority="1813" operator="equal">
      <formula>"B"</formula>
    </cfRule>
    <cfRule type="expression" dxfId="1650" priority="1814">
      <formula>$AW2535="D"</formula>
    </cfRule>
    <cfRule type="cellIs" dxfId="1649" priority="1815" operator="equal">
      <formula>"B"</formula>
    </cfRule>
    <cfRule type="cellIs" dxfId="1648" priority="1816" operator="equal">
      <formula>"S"</formula>
    </cfRule>
    <cfRule type="expression" dxfId="1647" priority="1817">
      <formula>$AW2535="D"</formula>
    </cfRule>
    <cfRule type="cellIs" dxfId="1646" priority="1818" operator="equal">
      <formula>"B"</formula>
    </cfRule>
    <cfRule type="cellIs" dxfId="1645" priority="1819" operator="equal">
      <formula>"S"</formula>
    </cfRule>
    <cfRule type="cellIs" dxfId="1644" priority="1820" operator="equal">
      <formula>"S"</formula>
    </cfRule>
    <cfRule type="cellIs" dxfId="1643" priority="1821" operator="equal">
      <formula>"B"</formula>
    </cfRule>
    <cfRule type="expression" dxfId="1642" priority="1822">
      <formula>$AW2535="D"</formula>
    </cfRule>
    <cfRule type="cellIs" dxfId="1641" priority="1823" operator="equal">
      <formula>"B"</formula>
    </cfRule>
    <cfRule type="cellIs" dxfId="1640" priority="1824" operator="equal">
      <formula>"S"</formula>
    </cfRule>
    <cfRule type="expression" dxfId="1639" priority="1825">
      <formula>$AW2535="D"</formula>
    </cfRule>
    <cfRule type="cellIs" dxfId="1638" priority="1826" operator="equal">
      <formula>"B"</formula>
    </cfRule>
    <cfRule type="cellIs" dxfId="1637" priority="1827" operator="equal">
      <formula>"S"</formula>
    </cfRule>
    <cfRule type="expression" dxfId="1636" priority="1828">
      <formula>$AW2535="D"</formula>
    </cfRule>
    <cfRule type="cellIs" dxfId="1635" priority="1829" operator="equal">
      <formula>"B"</formula>
    </cfRule>
    <cfRule type="cellIs" dxfId="1634" priority="1830" operator="equal">
      <formula>"S"</formula>
    </cfRule>
    <cfRule type="expression" dxfId="1633" priority="1831">
      <formula>$AW2535="D"</formula>
    </cfRule>
    <cfRule type="cellIs" dxfId="1632" priority="1832" operator="equal">
      <formula>"B"</formula>
    </cfRule>
    <cfRule type="cellIs" dxfId="1631" priority="1833" operator="equal">
      <formula>"S"</formula>
    </cfRule>
    <cfRule type="cellIs" dxfId="1630" priority="1834" operator="equal">
      <formula>"S"</formula>
    </cfRule>
    <cfRule type="cellIs" dxfId="1629" priority="1835" operator="equal">
      <formula>"B"</formula>
    </cfRule>
    <cfRule type="expression" dxfId="1628" priority="1836">
      <formula>$AW2535="D"</formula>
    </cfRule>
    <cfRule type="cellIs" dxfId="1627" priority="1837" operator="equal">
      <formula>"B"</formula>
    </cfRule>
    <cfRule type="cellIs" dxfId="1626" priority="1838" operator="equal">
      <formula>"S"</formula>
    </cfRule>
    <cfRule type="expression" dxfId="1625" priority="1839">
      <formula>$AW2535="D"</formula>
    </cfRule>
    <cfRule type="cellIs" dxfId="1624" priority="1840" operator="equal">
      <formula>"B"</formula>
    </cfRule>
    <cfRule type="cellIs" dxfId="1623" priority="1841" operator="equal">
      <formula>"S"</formula>
    </cfRule>
    <cfRule type="expression" dxfId="1622" priority="1842">
      <formula>$AW2535="D"</formula>
    </cfRule>
    <cfRule type="cellIs" dxfId="1621" priority="1843" operator="equal">
      <formula>"B"</formula>
    </cfRule>
    <cfRule type="cellIs" dxfId="1620" priority="1844" operator="equal">
      <formula>"S"</formula>
    </cfRule>
    <cfRule type="expression" dxfId="1619" priority="1845">
      <formula>$AW2535="D"</formula>
    </cfRule>
    <cfRule type="cellIs" dxfId="1618" priority="1846" operator="equal">
      <formula>"B"</formula>
    </cfRule>
    <cfRule type="cellIs" dxfId="1617" priority="1847" operator="equal">
      <formula>"S"</formula>
    </cfRule>
    <cfRule type="cellIs" dxfId="1616" priority="1848" operator="equal">
      <formula>"S"</formula>
    </cfRule>
    <cfRule type="cellIs" dxfId="1615" priority="1849" operator="equal">
      <formula>"B"</formula>
    </cfRule>
    <cfRule type="expression" dxfId="1614" priority="1850">
      <formula>$AW2535="D"</formula>
    </cfRule>
    <cfRule type="cellIs" dxfId="1613" priority="1851" operator="equal">
      <formula>"B"</formula>
    </cfRule>
    <cfRule type="cellIs" dxfId="1612" priority="1852" operator="equal">
      <formula>"S"</formula>
    </cfRule>
    <cfRule type="expression" dxfId="1611" priority="1853">
      <formula>$AW2535="D"</formula>
    </cfRule>
    <cfRule type="cellIs" dxfId="1610" priority="1854" operator="equal">
      <formula>"B"</formula>
    </cfRule>
    <cfRule type="cellIs" dxfId="1609" priority="1855" operator="equal">
      <formula>"S"</formula>
    </cfRule>
  </conditionalFormatting>
  <conditionalFormatting sqref="Z2535:Z2540">
    <cfRule type="expression" dxfId="1608" priority="1856">
      <formula>$AW2535="D"</formula>
    </cfRule>
  </conditionalFormatting>
  <conditionalFormatting sqref="Y2535:Z2535">
    <cfRule type="expression" dxfId="1607" priority="1795">
      <formula>$AW2535="D"</formula>
    </cfRule>
  </conditionalFormatting>
  <conditionalFormatting sqref="Y2536:Z2536">
    <cfRule type="expression" dxfId="1606" priority="1794">
      <formula>$AW2536="D"</formula>
    </cfRule>
  </conditionalFormatting>
  <conditionalFormatting sqref="Y2537:Z2539">
    <cfRule type="expression" dxfId="1605" priority="1793">
      <formula>$AW2537="D"</formula>
    </cfRule>
  </conditionalFormatting>
  <conditionalFormatting sqref="Y2540:Z2540">
    <cfRule type="expression" dxfId="1604" priority="1792">
      <formula>$AW2540="D"</formula>
    </cfRule>
  </conditionalFormatting>
  <conditionalFormatting sqref="Y2541:Y2545">
    <cfRule type="cellIs" dxfId="1603" priority="1731" operator="equal">
      <formula>"S"</formula>
    </cfRule>
    <cfRule type="cellIs" dxfId="1602" priority="1732" operator="equal">
      <formula>"B"</formula>
    </cfRule>
    <cfRule type="expression" dxfId="1601" priority="1733">
      <formula>$AW2541="D"</formula>
    </cfRule>
    <cfRule type="cellIs" dxfId="1600" priority="1734" operator="equal">
      <formula>"B"</formula>
    </cfRule>
    <cfRule type="cellIs" dxfId="1599" priority="1735" operator="equal">
      <formula>"S"</formula>
    </cfRule>
    <cfRule type="expression" dxfId="1598" priority="1736">
      <formula>$AW2541="D"</formula>
    </cfRule>
    <cfRule type="cellIs" dxfId="1597" priority="1737" operator="equal">
      <formula>"B"</formula>
    </cfRule>
    <cfRule type="cellIs" dxfId="1596" priority="1738" operator="equal">
      <formula>"S"</formula>
    </cfRule>
    <cfRule type="cellIs" dxfId="1595" priority="1739" operator="equal">
      <formula>"S"</formula>
    </cfRule>
    <cfRule type="cellIs" dxfId="1594" priority="1740" operator="equal">
      <formula>"B"</formula>
    </cfRule>
    <cfRule type="expression" dxfId="1593" priority="1741">
      <formula>$AW2541="D"</formula>
    </cfRule>
    <cfRule type="cellIs" dxfId="1592" priority="1742" operator="equal">
      <formula>"B"</formula>
    </cfRule>
    <cfRule type="cellIs" dxfId="1591" priority="1743" operator="equal">
      <formula>"S"</formula>
    </cfRule>
    <cfRule type="expression" dxfId="1590" priority="1744">
      <formula>$AW2541="D"</formula>
    </cfRule>
    <cfRule type="cellIs" dxfId="1589" priority="1745" operator="equal">
      <formula>"B"</formula>
    </cfRule>
    <cfRule type="cellIs" dxfId="1588" priority="1746" operator="equal">
      <formula>"S"</formula>
    </cfRule>
    <cfRule type="cellIs" dxfId="1587" priority="1747" operator="equal">
      <formula>"S"</formula>
    </cfRule>
    <cfRule type="cellIs" dxfId="1586" priority="1748" operator="equal">
      <formula>"B"</formula>
    </cfRule>
    <cfRule type="expression" dxfId="1585" priority="1749">
      <formula>$AW2541="D"</formula>
    </cfRule>
    <cfRule type="cellIs" dxfId="1584" priority="1750" operator="equal">
      <formula>"B"</formula>
    </cfRule>
    <cfRule type="cellIs" dxfId="1583" priority="1751" operator="equal">
      <formula>"S"</formula>
    </cfRule>
    <cfRule type="expression" dxfId="1582" priority="1752">
      <formula>$AW2541="D"</formula>
    </cfRule>
    <cfRule type="cellIs" dxfId="1581" priority="1753" operator="equal">
      <formula>"B"</formula>
    </cfRule>
    <cfRule type="cellIs" dxfId="1580" priority="1754" operator="equal">
      <formula>"S"</formula>
    </cfRule>
    <cfRule type="cellIs" dxfId="1579" priority="1755" operator="equal">
      <formula>"S"</formula>
    </cfRule>
    <cfRule type="cellIs" dxfId="1578" priority="1756" operator="equal">
      <formula>"B"</formula>
    </cfRule>
    <cfRule type="expression" dxfId="1577" priority="1757">
      <formula>$AW2541="D"</formula>
    </cfRule>
    <cfRule type="cellIs" dxfId="1576" priority="1758" operator="equal">
      <formula>"B"</formula>
    </cfRule>
    <cfRule type="cellIs" dxfId="1575" priority="1759" operator="equal">
      <formula>"S"</formula>
    </cfRule>
    <cfRule type="expression" dxfId="1574" priority="1760">
      <formula>$AW2541="D"</formula>
    </cfRule>
    <cfRule type="cellIs" dxfId="1573" priority="1761" operator="equal">
      <formula>"B"</formula>
    </cfRule>
    <cfRule type="cellIs" dxfId="1572" priority="1762" operator="equal">
      <formula>"S"</formula>
    </cfRule>
    <cfRule type="expression" dxfId="1571" priority="1763">
      <formula>$AW2541="D"</formula>
    </cfRule>
    <cfRule type="cellIs" dxfId="1570" priority="1764" operator="equal">
      <formula>"B"</formula>
    </cfRule>
    <cfRule type="cellIs" dxfId="1569" priority="1765" operator="equal">
      <formula>"S"</formula>
    </cfRule>
    <cfRule type="expression" dxfId="1568" priority="1766">
      <formula>$AW2541="D"</formula>
    </cfRule>
    <cfRule type="cellIs" dxfId="1567" priority="1767" operator="equal">
      <formula>"B"</formula>
    </cfRule>
    <cfRule type="cellIs" dxfId="1566" priority="1768" operator="equal">
      <formula>"S"</formula>
    </cfRule>
    <cfRule type="cellIs" dxfId="1565" priority="1769" operator="equal">
      <formula>"S"</formula>
    </cfRule>
    <cfRule type="cellIs" dxfId="1564" priority="1770" operator="equal">
      <formula>"B"</formula>
    </cfRule>
    <cfRule type="expression" dxfId="1563" priority="1771">
      <formula>$AW2541="D"</formula>
    </cfRule>
    <cfRule type="cellIs" dxfId="1562" priority="1772" operator="equal">
      <formula>"B"</formula>
    </cfRule>
    <cfRule type="cellIs" dxfId="1561" priority="1773" operator="equal">
      <formula>"S"</formula>
    </cfRule>
    <cfRule type="expression" dxfId="1560" priority="1774">
      <formula>$AW2541="D"</formula>
    </cfRule>
    <cfRule type="cellIs" dxfId="1559" priority="1775" operator="equal">
      <formula>"B"</formula>
    </cfRule>
    <cfRule type="cellIs" dxfId="1558" priority="1776" operator="equal">
      <formula>"S"</formula>
    </cfRule>
    <cfRule type="expression" dxfId="1557" priority="1777">
      <formula>$AW2541="D"</formula>
    </cfRule>
    <cfRule type="cellIs" dxfId="1556" priority="1778" operator="equal">
      <formula>"B"</formula>
    </cfRule>
    <cfRule type="cellIs" dxfId="1555" priority="1779" operator="equal">
      <formula>"S"</formula>
    </cfRule>
    <cfRule type="expression" dxfId="1554" priority="1780">
      <formula>$AW2541="D"</formula>
    </cfRule>
    <cfRule type="cellIs" dxfId="1553" priority="1781" operator="equal">
      <formula>"B"</formula>
    </cfRule>
    <cfRule type="cellIs" dxfId="1552" priority="1782" operator="equal">
      <formula>"S"</formula>
    </cfRule>
    <cfRule type="cellIs" dxfId="1551" priority="1783" operator="equal">
      <formula>"S"</formula>
    </cfRule>
    <cfRule type="cellIs" dxfId="1550" priority="1784" operator="equal">
      <formula>"B"</formula>
    </cfRule>
    <cfRule type="expression" dxfId="1549" priority="1785">
      <formula>$AW2541="D"</formula>
    </cfRule>
    <cfRule type="cellIs" dxfId="1548" priority="1786" operator="equal">
      <formula>"B"</formula>
    </cfRule>
    <cfRule type="cellIs" dxfId="1547" priority="1787" operator="equal">
      <formula>"S"</formula>
    </cfRule>
    <cfRule type="expression" dxfId="1546" priority="1788">
      <formula>$AW2541="D"</formula>
    </cfRule>
    <cfRule type="cellIs" dxfId="1545" priority="1789" operator="equal">
      <formula>"B"</formula>
    </cfRule>
    <cfRule type="cellIs" dxfId="1544" priority="1790" operator="equal">
      <formula>"S"</formula>
    </cfRule>
  </conditionalFormatting>
  <conditionalFormatting sqref="Z2541:Z2545">
    <cfRule type="expression" dxfId="1543" priority="1791">
      <formula>$AW2541="D"</formula>
    </cfRule>
  </conditionalFormatting>
  <conditionalFormatting sqref="Y2541:Z2543">
    <cfRule type="expression" dxfId="1542" priority="1730">
      <formula>$AW2541="D"</formula>
    </cfRule>
  </conditionalFormatting>
  <conditionalFormatting sqref="Y2544:Z2544">
    <cfRule type="expression" dxfId="1541" priority="1729">
      <formula>$AW2544="D"</formula>
    </cfRule>
  </conditionalFormatting>
  <conditionalFormatting sqref="Y2545:Z2545">
    <cfRule type="expression" dxfId="1540" priority="1728">
      <formula>$AW2545="D"</formula>
    </cfRule>
  </conditionalFormatting>
  <conditionalFormatting sqref="Y2547">
    <cfRule type="cellIs" dxfId="1539" priority="1667" operator="equal">
      <formula>"S"</formula>
    </cfRule>
    <cfRule type="cellIs" dxfId="1538" priority="1668" operator="equal">
      <formula>"B"</formula>
    </cfRule>
    <cfRule type="expression" dxfId="1537" priority="1669">
      <formula>$AW2547="D"</formula>
    </cfRule>
    <cfRule type="cellIs" dxfId="1536" priority="1670" operator="equal">
      <formula>"B"</formula>
    </cfRule>
    <cfRule type="cellIs" dxfId="1535" priority="1671" operator="equal">
      <formula>"S"</formula>
    </cfRule>
    <cfRule type="expression" dxfId="1534" priority="1672">
      <formula>$AW2547="D"</formula>
    </cfRule>
    <cfRule type="cellIs" dxfId="1533" priority="1673" operator="equal">
      <formula>"B"</formula>
    </cfRule>
    <cfRule type="cellIs" dxfId="1532" priority="1674" operator="equal">
      <formula>"S"</formula>
    </cfRule>
    <cfRule type="cellIs" dxfId="1531" priority="1675" operator="equal">
      <formula>"S"</formula>
    </cfRule>
    <cfRule type="cellIs" dxfId="1530" priority="1676" operator="equal">
      <formula>"B"</formula>
    </cfRule>
    <cfRule type="expression" dxfId="1529" priority="1677">
      <formula>$AW2547="D"</formula>
    </cfRule>
    <cfRule type="cellIs" dxfId="1528" priority="1678" operator="equal">
      <formula>"B"</formula>
    </cfRule>
    <cfRule type="cellIs" dxfId="1527" priority="1679" operator="equal">
      <formula>"S"</formula>
    </cfRule>
    <cfRule type="expression" dxfId="1526" priority="1680">
      <formula>$AW2547="D"</formula>
    </cfRule>
    <cfRule type="cellIs" dxfId="1525" priority="1681" operator="equal">
      <formula>"B"</formula>
    </cfRule>
    <cfRule type="cellIs" dxfId="1524" priority="1682" operator="equal">
      <formula>"S"</formula>
    </cfRule>
    <cfRule type="cellIs" dxfId="1523" priority="1683" operator="equal">
      <formula>"S"</formula>
    </cfRule>
    <cfRule type="cellIs" dxfId="1522" priority="1684" operator="equal">
      <formula>"B"</formula>
    </cfRule>
    <cfRule type="expression" dxfId="1521" priority="1685">
      <formula>$AW2547="D"</formula>
    </cfRule>
    <cfRule type="cellIs" dxfId="1520" priority="1686" operator="equal">
      <formula>"B"</formula>
    </cfRule>
    <cfRule type="cellIs" dxfId="1519" priority="1687" operator="equal">
      <formula>"S"</formula>
    </cfRule>
    <cfRule type="expression" dxfId="1518" priority="1688">
      <formula>$AW2547="D"</formula>
    </cfRule>
    <cfRule type="cellIs" dxfId="1517" priority="1689" operator="equal">
      <formula>"B"</formula>
    </cfRule>
    <cfRule type="cellIs" dxfId="1516" priority="1690" operator="equal">
      <formula>"S"</formula>
    </cfRule>
    <cfRule type="cellIs" dxfId="1515" priority="1691" operator="equal">
      <formula>"S"</formula>
    </cfRule>
    <cfRule type="cellIs" dxfId="1514" priority="1692" operator="equal">
      <formula>"B"</formula>
    </cfRule>
    <cfRule type="expression" dxfId="1513" priority="1693">
      <formula>$AW2547="D"</formula>
    </cfRule>
    <cfRule type="cellIs" dxfId="1512" priority="1694" operator="equal">
      <formula>"B"</formula>
    </cfRule>
    <cfRule type="cellIs" dxfId="1511" priority="1695" operator="equal">
      <formula>"S"</formula>
    </cfRule>
    <cfRule type="expression" dxfId="1510" priority="1696">
      <formula>$AW2547="D"</formula>
    </cfRule>
    <cfRule type="cellIs" dxfId="1509" priority="1697" operator="equal">
      <formula>"B"</formula>
    </cfRule>
    <cfRule type="cellIs" dxfId="1508" priority="1698" operator="equal">
      <formula>"S"</formula>
    </cfRule>
    <cfRule type="expression" dxfId="1507" priority="1699">
      <formula>$AW2547="D"</formula>
    </cfRule>
    <cfRule type="cellIs" dxfId="1506" priority="1700" operator="equal">
      <formula>"B"</formula>
    </cfRule>
    <cfRule type="cellIs" dxfId="1505" priority="1701" operator="equal">
      <formula>"S"</formula>
    </cfRule>
    <cfRule type="expression" dxfId="1504" priority="1702">
      <formula>$AW2547="D"</formula>
    </cfRule>
    <cfRule type="cellIs" dxfId="1503" priority="1703" operator="equal">
      <formula>"B"</formula>
    </cfRule>
    <cfRule type="cellIs" dxfId="1502" priority="1704" operator="equal">
      <formula>"S"</formula>
    </cfRule>
    <cfRule type="cellIs" dxfId="1501" priority="1705" operator="equal">
      <formula>"S"</formula>
    </cfRule>
    <cfRule type="cellIs" dxfId="1500" priority="1706" operator="equal">
      <formula>"B"</formula>
    </cfRule>
    <cfRule type="expression" dxfId="1499" priority="1707">
      <formula>$AW2547="D"</formula>
    </cfRule>
    <cfRule type="cellIs" dxfId="1498" priority="1708" operator="equal">
      <formula>"B"</formula>
    </cfRule>
    <cfRule type="cellIs" dxfId="1497" priority="1709" operator="equal">
      <formula>"S"</formula>
    </cfRule>
    <cfRule type="expression" dxfId="1496" priority="1710">
      <formula>$AW2547="D"</formula>
    </cfRule>
    <cfRule type="cellIs" dxfId="1495" priority="1711" operator="equal">
      <formula>"B"</formula>
    </cfRule>
    <cfRule type="cellIs" dxfId="1494" priority="1712" operator="equal">
      <formula>"S"</formula>
    </cfRule>
    <cfRule type="expression" dxfId="1493" priority="1713">
      <formula>$AW2547="D"</formula>
    </cfRule>
    <cfRule type="cellIs" dxfId="1492" priority="1714" operator="equal">
      <formula>"B"</formula>
    </cfRule>
    <cfRule type="cellIs" dxfId="1491" priority="1715" operator="equal">
      <formula>"S"</formula>
    </cfRule>
    <cfRule type="expression" dxfId="1490" priority="1716">
      <formula>$AW2547="D"</formula>
    </cfRule>
    <cfRule type="cellIs" dxfId="1489" priority="1717" operator="equal">
      <formula>"B"</formula>
    </cfRule>
    <cfRule type="cellIs" dxfId="1488" priority="1718" operator="equal">
      <formula>"S"</formula>
    </cfRule>
    <cfRule type="cellIs" dxfId="1487" priority="1719" operator="equal">
      <formula>"S"</formula>
    </cfRule>
    <cfRule type="cellIs" dxfId="1486" priority="1720" operator="equal">
      <formula>"B"</formula>
    </cfRule>
    <cfRule type="expression" dxfId="1485" priority="1721">
      <formula>$AW2547="D"</formula>
    </cfRule>
    <cfRule type="cellIs" dxfId="1484" priority="1722" operator="equal">
      <formula>"B"</formula>
    </cfRule>
    <cfRule type="cellIs" dxfId="1483" priority="1723" operator="equal">
      <formula>"S"</formula>
    </cfRule>
    <cfRule type="expression" dxfId="1482" priority="1724">
      <formula>$AW2547="D"</formula>
    </cfRule>
    <cfRule type="cellIs" dxfId="1481" priority="1725" operator="equal">
      <formula>"B"</formula>
    </cfRule>
    <cfRule type="cellIs" dxfId="1480" priority="1726" operator="equal">
      <formula>"S"</formula>
    </cfRule>
  </conditionalFormatting>
  <conditionalFormatting sqref="Z2547">
    <cfRule type="expression" dxfId="1479" priority="1727">
      <formula>$AW2547="D"</formula>
    </cfRule>
  </conditionalFormatting>
  <conditionalFormatting sqref="Y2547:Z2547">
    <cfRule type="expression" dxfId="1478" priority="1666">
      <formula>$AW2547="D"</formula>
    </cfRule>
  </conditionalFormatting>
  <conditionalFormatting sqref="Y2546">
    <cfRule type="cellIs" dxfId="1477" priority="1605" operator="equal">
      <formula>"S"</formula>
    </cfRule>
    <cfRule type="cellIs" dxfId="1476" priority="1606" operator="equal">
      <formula>"B"</formula>
    </cfRule>
    <cfRule type="expression" dxfId="1475" priority="1607">
      <formula>$AW2546="D"</formula>
    </cfRule>
    <cfRule type="cellIs" dxfId="1474" priority="1608" operator="equal">
      <formula>"B"</formula>
    </cfRule>
    <cfRule type="cellIs" dxfId="1473" priority="1609" operator="equal">
      <formula>"S"</formula>
    </cfRule>
    <cfRule type="expression" dxfId="1472" priority="1610">
      <formula>$AW2546="D"</formula>
    </cfRule>
    <cfRule type="cellIs" dxfId="1471" priority="1611" operator="equal">
      <formula>"B"</formula>
    </cfRule>
    <cfRule type="cellIs" dxfId="1470" priority="1612" operator="equal">
      <formula>"S"</formula>
    </cfRule>
    <cfRule type="cellIs" dxfId="1469" priority="1613" operator="equal">
      <formula>"S"</formula>
    </cfRule>
    <cfRule type="cellIs" dxfId="1468" priority="1614" operator="equal">
      <formula>"B"</formula>
    </cfRule>
    <cfRule type="expression" dxfId="1467" priority="1615">
      <formula>$AW2546="D"</formula>
    </cfRule>
    <cfRule type="cellIs" dxfId="1466" priority="1616" operator="equal">
      <formula>"B"</formula>
    </cfRule>
    <cfRule type="cellIs" dxfId="1465" priority="1617" operator="equal">
      <formula>"S"</formula>
    </cfRule>
    <cfRule type="expression" dxfId="1464" priority="1618">
      <formula>$AW2546="D"</formula>
    </cfRule>
    <cfRule type="cellIs" dxfId="1463" priority="1619" operator="equal">
      <formula>"B"</formula>
    </cfRule>
    <cfRule type="cellIs" dxfId="1462" priority="1620" operator="equal">
      <formula>"S"</formula>
    </cfRule>
    <cfRule type="cellIs" dxfId="1461" priority="1621" operator="equal">
      <formula>"S"</formula>
    </cfRule>
    <cfRule type="cellIs" dxfId="1460" priority="1622" operator="equal">
      <formula>"B"</formula>
    </cfRule>
    <cfRule type="expression" dxfId="1459" priority="1623">
      <formula>$AW2546="D"</formula>
    </cfRule>
    <cfRule type="cellIs" dxfId="1458" priority="1624" operator="equal">
      <formula>"B"</formula>
    </cfRule>
    <cfRule type="cellIs" dxfId="1457" priority="1625" operator="equal">
      <formula>"S"</formula>
    </cfRule>
    <cfRule type="expression" dxfId="1456" priority="1626">
      <formula>$AW2546="D"</formula>
    </cfRule>
    <cfRule type="cellIs" dxfId="1455" priority="1627" operator="equal">
      <formula>"B"</formula>
    </cfRule>
    <cfRule type="cellIs" dxfId="1454" priority="1628" operator="equal">
      <formula>"S"</formula>
    </cfRule>
    <cfRule type="cellIs" dxfId="1453" priority="1629" operator="equal">
      <formula>"S"</formula>
    </cfRule>
    <cfRule type="cellIs" dxfId="1452" priority="1630" operator="equal">
      <formula>"B"</formula>
    </cfRule>
    <cfRule type="expression" dxfId="1451" priority="1631">
      <formula>$AW2546="D"</formula>
    </cfRule>
    <cfRule type="cellIs" dxfId="1450" priority="1632" operator="equal">
      <formula>"B"</formula>
    </cfRule>
    <cfRule type="cellIs" dxfId="1449" priority="1633" operator="equal">
      <formula>"S"</formula>
    </cfRule>
    <cfRule type="expression" dxfId="1448" priority="1634">
      <formula>$AW2546="D"</formula>
    </cfRule>
    <cfRule type="cellIs" dxfId="1447" priority="1635" operator="equal">
      <formula>"B"</formula>
    </cfRule>
    <cfRule type="cellIs" dxfId="1446" priority="1636" operator="equal">
      <formula>"S"</formula>
    </cfRule>
    <cfRule type="expression" dxfId="1445" priority="1637">
      <formula>$AW2546="D"</formula>
    </cfRule>
    <cfRule type="cellIs" dxfId="1444" priority="1638" operator="equal">
      <formula>"B"</formula>
    </cfRule>
    <cfRule type="cellIs" dxfId="1443" priority="1639" operator="equal">
      <formula>"S"</formula>
    </cfRule>
    <cfRule type="expression" dxfId="1442" priority="1640">
      <formula>$AW2546="D"</formula>
    </cfRule>
    <cfRule type="cellIs" dxfId="1441" priority="1641" operator="equal">
      <formula>"B"</formula>
    </cfRule>
    <cfRule type="cellIs" dxfId="1440" priority="1642" operator="equal">
      <formula>"S"</formula>
    </cfRule>
    <cfRule type="cellIs" dxfId="1439" priority="1643" operator="equal">
      <formula>"S"</formula>
    </cfRule>
    <cfRule type="cellIs" dxfId="1438" priority="1644" operator="equal">
      <formula>"B"</formula>
    </cfRule>
    <cfRule type="expression" dxfId="1437" priority="1645">
      <formula>$AW2546="D"</formula>
    </cfRule>
    <cfRule type="cellIs" dxfId="1436" priority="1646" operator="equal">
      <formula>"B"</formula>
    </cfRule>
    <cfRule type="cellIs" dxfId="1435" priority="1647" operator="equal">
      <formula>"S"</formula>
    </cfRule>
    <cfRule type="expression" dxfId="1434" priority="1648">
      <formula>$AW2546="D"</formula>
    </cfRule>
    <cfRule type="cellIs" dxfId="1433" priority="1649" operator="equal">
      <formula>"B"</formula>
    </cfRule>
    <cfRule type="cellIs" dxfId="1432" priority="1650" operator="equal">
      <formula>"S"</formula>
    </cfRule>
    <cfRule type="expression" dxfId="1431" priority="1651">
      <formula>$AW2546="D"</formula>
    </cfRule>
    <cfRule type="cellIs" dxfId="1430" priority="1652" operator="equal">
      <formula>"B"</formula>
    </cfRule>
    <cfRule type="cellIs" dxfId="1429" priority="1653" operator="equal">
      <formula>"S"</formula>
    </cfRule>
    <cfRule type="expression" dxfId="1428" priority="1654">
      <formula>$AW2546="D"</formula>
    </cfRule>
    <cfRule type="cellIs" dxfId="1427" priority="1655" operator="equal">
      <formula>"B"</formula>
    </cfRule>
    <cfRule type="cellIs" dxfId="1426" priority="1656" operator="equal">
      <formula>"S"</formula>
    </cfRule>
    <cfRule type="cellIs" dxfId="1425" priority="1657" operator="equal">
      <formula>"S"</formula>
    </cfRule>
    <cfRule type="cellIs" dxfId="1424" priority="1658" operator="equal">
      <formula>"B"</formula>
    </cfRule>
    <cfRule type="expression" dxfId="1423" priority="1659">
      <formula>$AW2546="D"</formula>
    </cfRule>
    <cfRule type="cellIs" dxfId="1422" priority="1660" operator="equal">
      <formula>"B"</formula>
    </cfRule>
    <cfRule type="cellIs" dxfId="1421" priority="1661" operator="equal">
      <formula>"S"</formula>
    </cfRule>
    <cfRule type="expression" dxfId="1420" priority="1662">
      <formula>$AW2546="D"</formula>
    </cfRule>
    <cfRule type="cellIs" dxfId="1419" priority="1663" operator="equal">
      <formula>"B"</formula>
    </cfRule>
    <cfRule type="cellIs" dxfId="1418" priority="1664" operator="equal">
      <formula>"S"</formula>
    </cfRule>
  </conditionalFormatting>
  <conditionalFormatting sqref="Z2546">
    <cfRule type="expression" dxfId="1417" priority="1665">
      <formula>$AW2546="D"</formula>
    </cfRule>
  </conditionalFormatting>
  <conditionalFormatting sqref="Y2546:Z2546">
    <cfRule type="expression" dxfId="1416" priority="1604">
      <formula>$AW2546="D"</formula>
    </cfRule>
  </conditionalFormatting>
  <conditionalFormatting sqref="Y2548">
    <cfRule type="cellIs" dxfId="1415" priority="1543" operator="equal">
      <formula>"S"</formula>
    </cfRule>
    <cfRule type="cellIs" dxfId="1414" priority="1544" operator="equal">
      <formula>"B"</formula>
    </cfRule>
    <cfRule type="expression" dxfId="1413" priority="1545">
      <formula>$AW2548="D"</formula>
    </cfRule>
    <cfRule type="cellIs" dxfId="1412" priority="1546" operator="equal">
      <formula>"B"</formula>
    </cfRule>
    <cfRule type="cellIs" dxfId="1411" priority="1547" operator="equal">
      <formula>"S"</formula>
    </cfRule>
    <cfRule type="expression" dxfId="1410" priority="1548">
      <formula>$AW2548="D"</formula>
    </cfRule>
    <cfRule type="cellIs" dxfId="1409" priority="1549" operator="equal">
      <formula>"B"</formula>
    </cfRule>
    <cfRule type="cellIs" dxfId="1408" priority="1550" operator="equal">
      <formula>"S"</formula>
    </cfRule>
    <cfRule type="cellIs" dxfId="1407" priority="1551" operator="equal">
      <formula>"S"</formula>
    </cfRule>
    <cfRule type="cellIs" dxfId="1406" priority="1552" operator="equal">
      <formula>"B"</formula>
    </cfRule>
    <cfRule type="expression" dxfId="1405" priority="1553">
      <formula>$AW2548="D"</formula>
    </cfRule>
    <cfRule type="cellIs" dxfId="1404" priority="1554" operator="equal">
      <formula>"B"</formula>
    </cfRule>
    <cfRule type="cellIs" dxfId="1403" priority="1555" operator="equal">
      <formula>"S"</formula>
    </cfRule>
    <cfRule type="expression" dxfId="1402" priority="1556">
      <formula>$AW2548="D"</formula>
    </cfRule>
    <cfRule type="cellIs" dxfId="1401" priority="1557" operator="equal">
      <formula>"B"</formula>
    </cfRule>
    <cfRule type="cellIs" dxfId="1400" priority="1558" operator="equal">
      <formula>"S"</formula>
    </cfRule>
    <cfRule type="cellIs" dxfId="1399" priority="1559" operator="equal">
      <formula>"S"</formula>
    </cfRule>
    <cfRule type="cellIs" dxfId="1398" priority="1560" operator="equal">
      <formula>"B"</formula>
    </cfRule>
    <cfRule type="expression" dxfId="1397" priority="1561">
      <formula>$AW2548="D"</formula>
    </cfRule>
    <cfRule type="cellIs" dxfId="1396" priority="1562" operator="equal">
      <formula>"B"</formula>
    </cfRule>
    <cfRule type="cellIs" dxfId="1395" priority="1563" operator="equal">
      <formula>"S"</formula>
    </cfRule>
    <cfRule type="expression" dxfId="1394" priority="1564">
      <formula>$AW2548="D"</formula>
    </cfRule>
    <cfRule type="cellIs" dxfId="1393" priority="1565" operator="equal">
      <formula>"B"</formula>
    </cfRule>
    <cfRule type="cellIs" dxfId="1392" priority="1566" operator="equal">
      <formula>"S"</formula>
    </cfRule>
    <cfRule type="cellIs" dxfId="1391" priority="1567" operator="equal">
      <formula>"S"</formula>
    </cfRule>
    <cfRule type="cellIs" dxfId="1390" priority="1568" operator="equal">
      <formula>"B"</formula>
    </cfRule>
    <cfRule type="expression" dxfId="1389" priority="1569">
      <formula>$AW2548="D"</formula>
    </cfRule>
    <cfRule type="cellIs" dxfId="1388" priority="1570" operator="equal">
      <formula>"B"</formula>
    </cfRule>
    <cfRule type="cellIs" dxfId="1387" priority="1571" operator="equal">
      <formula>"S"</formula>
    </cfRule>
    <cfRule type="expression" dxfId="1386" priority="1572">
      <formula>$AW2548="D"</formula>
    </cfRule>
    <cfRule type="cellIs" dxfId="1385" priority="1573" operator="equal">
      <formula>"B"</formula>
    </cfRule>
    <cfRule type="cellIs" dxfId="1384" priority="1574" operator="equal">
      <formula>"S"</formula>
    </cfRule>
    <cfRule type="expression" dxfId="1383" priority="1575">
      <formula>$AW2548="D"</formula>
    </cfRule>
    <cfRule type="cellIs" dxfId="1382" priority="1576" operator="equal">
      <formula>"B"</formula>
    </cfRule>
    <cfRule type="cellIs" dxfId="1381" priority="1577" operator="equal">
      <formula>"S"</formula>
    </cfRule>
    <cfRule type="expression" dxfId="1380" priority="1578">
      <formula>$AW2548="D"</formula>
    </cfRule>
    <cfRule type="cellIs" dxfId="1379" priority="1579" operator="equal">
      <formula>"B"</formula>
    </cfRule>
    <cfRule type="cellIs" dxfId="1378" priority="1580" operator="equal">
      <formula>"S"</formula>
    </cfRule>
    <cfRule type="cellIs" dxfId="1377" priority="1581" operator="equal">
      <formula>"S"</formula>
    </cfRule>
    <cfRule type="cellIs" dxfId="1376" priority="1582" operator="equal">
      <formula>"B"</formula>
    </cfRule>
    <cfRule type="expression" dxfId="1375" priority="1583">
      <formula>$AW2548="D"</formula>
    </cfRule>
    <cfRule type="cellIs" dxfId="1374" priority="1584" operator="equal">
      <formula>"B"</formula>
    </cfRule>
    <cfRule type="cellIs" dxfId="1373" priority="1585" operator="equal">
      <formula>"S"</formula>
    </cfRule>
    <cfRule type="expression" dxfId="1372" priority="1586">
      <formula>$AW2548="D"</formula>
    </cfRule>
    <cfRule type="cellIs" dxfId="1371" priority="1587" operator="equal">
      <formula>"B"</formula>
    </cfRule>
    <cfRule type="cellIs" dxfId="1370" priority="1588" operator="equal">
      <formula>"S"</formula>
    </cfRule>
    <cfRule type="expression" dxfId="1369" priority="1589">
      <formula>$AW2548="D"</formula>
    </cfRule>
    <cfRule type="cellIs" dxfId="1368" priority="1590" operator="equal">
      <formula>"B"</formula>
    </cfRule>
    <cfRule type="cellIs" dxfId="1367" priority="1591" operator="equal">
      <formula>"S"</formula>
    </cfRule>
    <cfRule type="expression" dxfId="1366" priority="1592">
      <formula>$AW2548="D"</formula>
    </cfRule>
    <cfRule type="cellIs" dxfId="1365" priority="1593" operator="equal">
      <formula>"B"</formula>
    </cfRule>
    <cfRule type="cellIs" dxfId="1364" priority="1594" operator="equal">
      <formula>"S"</formula>
    </cfRule>
    <cfRule type="cellIs" dxfId="1363" priority="1595" operator="equal">
      <formula>"S"</formula>
    </cfRule>
    <cfRule type="cellIs" dxfId="1362" priority="1596" operator="equal">
      <formula>"B"</formula>
    </cfRule>
    <cfRule type="expression" dxfId="1361" priority="1597">
      <formula>$AW2548="D"</formula>
    </cfRule>
    <cfRule type="cellIs" dxfId="1360" priority="1598" operator="equal">
      <formula>"B"</formula>
    </cfRule>
    <cfRule type="cellIs" dxfId="1359" priority="1599" operator="equal">
      <formula>"S"</formula>
    </cfRule>
    <cfRule type="expression" dxfId="1358" priority="1600">
      <formula>$AW2548="D"</formula>
    </cfRule>
    <cfRule type="cellIs" dxfId="1357" priority="1601" operator="equal">
      <formula>"B"</formula>
    </cfRule>
    <cfRule type="cellIs" dxfId="1356" priority="1602" operator="equal">
      <formula>"S"</formula>
    </cfRule>
  </conditionalFormatting>
  <conditionalFormatting sqref="Z2548">
    <cfRule type="expression" dxfId="1355" priority="1603">
      <formula>$AW2548="D"</formula>
    </cfRule>
  </conditionalFormatting>
  <conditionalFormatting sqref="Y2548:Z2548">
    <cfRule type="expression" dxfId="1354" priority="1542">
      <formula>$AW2548="D"</formula>
    </cfRule>
  </conditionalFormatting>
  <conditionalFormatting sqref="Y2549">
    <cfRule type="cellIs" dxfId="1353" priority="1481" operator="equal">
      <formula>"S"</formula>
    </cfRule>
    <cfRule type="cellIs" dxfId="1352" priority="1482" operator="equal">
      <formula>"B"</formula>
    </cfRule>
    <cfRule type="expression" dxfId="1351" priority="1483">
      <formula>$AW2549="D"</formula>
    </cfRule>
    <cfRule type="cellIs" dxfId="1350" priority="1484" operator="equal">
      <formula>"B"</formula>
    </cfRule>
    <cfRule type="cellIs" dxfId="1349" priority="1485" operator="equal">
      <formula>"S"</formula>
    </cfRule>
    <cfRule type="expression" dxfId="1348" priority="1486">
      <formula>$AW2549="D"</formula>
    </cfRule>
    <cfRule type="cellIs" dxfId="1347" priority="1487" operator="equal">
      <formula>"B"</formula>
    </cfRule>
    <cfRule type="cellIs" dxfId="1346" priority="1488" operator="equal">
      <formula>"S"</formula>
    </cfRule>
    <cfRule type="cellIs" dxfId="1345" priority="1489" operator="equal">
      <formula>"S"</formula>
    </cfRule>
    <cfRule type="cellIs" dxfId="1344" priority="1490" operator="equal">
      <formula>"B"</formula>
    </cfRule>
    <cfRule type="expression" dxfId="1343" priority="1491">
      <formula>$AW2549="D"</formula>
    </cfRule>
    <cfRule type="cellIs" dxfId="1342" priority="1492" operator="equal">
      <formula>"B"</formula>
    </cfRule>
    <cfRule type="cellIs" dxfId="1341" priority="1493" operator="equal">
      <formula>"S"</formula>
    </cfRule>
    <cfRule type="expression" dxfId="1340" priority="1494">
      <formula>$AW2549="D"</formula>
    </cfRule>
    <cfRule type="cellIs" dxfId="1339" priority="1495" operator="equal">
      <formula>"B"</formula>
    </cfRule>
    <cfRule type="cellIs" dxfId="1338" priority="1496" operator="equal">
      <formula>"S"</formula>
    </cfRule>
    <cfRule type="cellIs" dxfId="1337" priority="1497" operator="equal">
      <formula>"S"</formula>
    </cfRule>
    <cfRule type="cellIs" dxfId="1336" priority="1498" operator="equal">
      <formula>"B"</formula>
    </cfRule>
    <cfRule type="expression" dxfId="1335" priority="1499">
      <formula>$AW2549="D"</formula>
    </cfRule>
    <cfRule type="cellIs" dxfId="1334" priority="1500" operator="equal">
      <formula>"B"</formula>
    </cfRule>
    <cfRule type="cellIs" dxfId="1333" priority="1501" operator="equal">
      <formula>"S"</formula>
    </cfRule>
    <cfRule type="expression" dxfId="1332" priority="1502">
      <formula>$AW2549="D"</formula>
    </cfRule>
    <cfRule type="cellIs" dxfId="1331" priority="1503" operator="equal">
      <formula>"B"</formula>
    </cfRule>
    <cfRule type="cellIs" dxfId="1330" priority="1504" operator="equal">
      <formula>"S"</formula>
    </cfRule>
    <cfRule type="cellIs" dxfId="1329" priority="1505" operator="equal">
      <formula>"S"</formula>
    </cfRule>
    <cfRule type="cellIs" dxfId="1328" priority="1506" operator="equal">
      <formula>"B"</formula>
    </cfRule>
    <cfRule type="expression" dxfId="1327" priority="1507">
      <formula>$AW2549="D"</formula>
    </cfRule>
    <cfRule type="cellIs" dxfId="1326" priority="1508" operator="equal">
      <formula>"B"</formula>
    </cfRule>
    <cfRule type="cellIs" dxfId="1325" priority="1509" operator="equal">
      <formula>"S"</formula>
    </cfRule>
    <cfRule type="expression" dxfId="1324" priority="1510">
      <formula>$AW2549="D"</formula>
    </cfRule>
    <cfRule type="cellIs" dxfId="1323" priority="1511" operator="equal">
      <formula>"B"</formula>
    </cfRule>
    <cfRule type="cellIs" dxfId="1322" priority="1512" operator="equal">
      <formula>"S"</formula>
    </cfRule>
    <cfRule type="expression" dxfId="1321" priority="1513">
      <formula>$AW2549="D"</formula>
    </cfRule>
    <cfRule type="cellIs" dxfId="1320" priority="1514" operator="equal">
      <formula>"B"</formula>
    </cfRule>
    <cfRule type="cellIs" dxfId="1319" priority="1515" operator="equal">
      <formula>"S"</formula>
    </cfRule>
    <cfRule type="expression" dxfId="1318" priority="1516">
      <formula>$AW2549="D"</formula>
    </cfRule>
    <cfRule type="cellIs" dxfId="1317" priority="1517" operator="equal">
      <formula>"B"</formula>
    </cfRule>
    <cfRule type="cellIs" dxfId="1316" priority="1518" operator="equal">
      <formula>"S"</formula>
    </cfRule>
    <cfRule type="cellIs" dxfId="1315" priority="1519" operator="equal">
      <formula>"S"</formula>
    </cfRule>
    <cfRule type="cellIs" dxfId="1314" priority="1520" operator="equal">
      <formula>"B"</formula>
    </cfRule>
    <cfRule type="expression" dxfId="1313" priority="1521">
      <formula>$AW2549="D"</formula>
    </cfRule>
    <cfRule type="cellIs" dxfId="1312" priority="1522" operator="equal">
      <formula>"B"</formula>
    </cfRule>
    <cfRule type="cellIs" dxfId="1311" priority="1523" operator="equal">
      <formula>"S"</formula>
    </cfRule>
    <cfRule type="expression" dxfId="1310" priority="1524">
      <formula>$AW2549="D"</formula>
    </cfRule>
    <cfRule type="cellIs" dxfId="1309" priority="1525" operator="equal">
      <formula>"B"</formula>
    </cfRule>
    <cfRule type="cellIs" dxfId="1308" priority="1526" operator="equal">
      <formula>"S"</formula>
    </cfRule>
    <cfRule type="expression" dxfId="1307" priority="1527">
      <formula>$AW2549="D"</formula>
    </cfRule>
    <cfRule type="cellIs" dxfId="1306" priority="1528" operator="equal">
      <formula>"B"</formula>
    </cfRule>
    <cfRule type="cellIs" dxfId="1305" priority="1529" operator="equal">
      <formula>"S"</formula>
    </cfRule>
    <cfRule type="expression" dxfId="1304" priority="1530">
      <formula>$AW2549="D"</formula>
    </cfRule>
    <cfRule type="cellIs" dxfId="1303" priority="1531" operator="equal">
      <formula>"B"</formula>
    </cfRule>
    <cfRule type="cellIs" dxfId="1302" priority="1532" operator="equal">
      <formula>"S"</formula>
    </cfRule>
    <cfRule type="cellIs" dxfId="1301" priority="1533" operator="equal">
      <formula>"S"</formula>
    </cfRule>
    <cfRule type="cellIs" dxfId="1300" priority="1534" operator="equal">
      <formula>"B"</formula>
    </cfRule>
    <cfRule type="expression" dxfId="1299" priority="1535">
      <formula>$AW2549="D"</formula>
    </cfRule>
    <cfRule type="cellIs" dxfId="1298" priority="1536" operator="equal">
      <formula>"B"</formula>
    </cfRule>
    <cfRule type="cellIs" dxfId="1297" priority="1537" operator="equal">
      <formula>"S"</formula>
    </cfRule>
    <cfRule type="expression" dxfId="1296" priority="1538">
      <formula>$AW2549="D"</formula>
    </cfRule>
    <cfRule type="cellIs" dxfId="1295" priority="1539" operator="equal">
      <formula>"B"</formula>
    </cfRule>
    <cfRule type="cellIs" dxfId="1294" priority="1540" operator="equal">
      <formula>"S"</formula>
    </cfRule>
  </conditionalFormatting>
  <conditionalFormatting sqref="Z2549">
    <cfRule type="expression" dxfId="1293" priority="1541">
      <formula>$AW2549="D"</formula>
    </cfRule>
  </conditionalFormatting>
  <conditionalFormatting sqref="Y2549:Z2549">
    <cfRule type="expression" dxfId="1292" priority="1480">
      <formula>$AW2549="D"</formula>
    </cfRule>
  </conditionalFormatting>
  <conditionalFormatting sqref="Y2550">
    <cfRule type="cellIs" dxfId="1291" priority="1419" operator="equal">
      <formula>"S"</formula>
    </cfRule>
    <cfRule type="cellIs" dxfId="1290" priority="1420" operator="equal">
      <formula>"B"</formula>
    </cfRule>
    <cfRule type="expression" dxfId="1289" priority="1421">
      <formula>$AW2550="D"</formula>
    </cfRule>
    <cfRule type="cellIs" dxfId="1288" priority="1422" operator="equal">
      <formula>"B"</formula>
    </cfRule>
    <cfRule type="cellIs" dxfId="1287" priority="1423" operator="equal">
      <formula>"S"</formula>
    </cfRule>
    <cfRule type="expression" dxfId="1286" priority="1424">
      <formula>$AW2550="D"</formula>
    </cfRule>
    <cfRule type="cellIs" dxfId="1285" priority="1425" operator="equal">
      <formula>"B"</formula>
    </cfRule>
    <cfRule type="cellIs" dxfId="1284" priority="1426" operator="equal">
      <formula>"S"</formula>
    </cfRule>
    <cfRule type="cellIs" dxfId="1283" priority="1427" operator="equal">
      <formula>"S"</formula>
    </cfRule>
    <cfRule type="cellIs" dxfId="1282" priority="1428" operator="equal">
      <formula>"B"</formula>
    </cfRule>
    <cfRule type="expression" dxfId="1281" priority="1429">
      <formula>$AW2550="D"</formula>
    </cfRule>
    <cfRule type="cellIs" dxfId="1280" priority="1430" operator="equal">
      <formula>"B"</formula>
    </cfRule>
    <cfRule type="cellIs" dxfId="1279" priority="1431" operator="equal">
      <formula>"S"</formula>
    </cfRule>
    <cfRule type="expression" dxfId="1278" priority="1432">
      <formula>$AW2550="D"</formula>
    </cfRule>
    <cfRule type="cellIs" dxfId="1277" priority="1433" operator="equal">
      <formula>"B"</formula>
    </cfRule>
    <cfRule type="cellIs" dxfId="1276" priority="1434" operator="equal">
      <formula>"S"</formula>
    </cfRule>
    <cfRule type="cellIs" dxfId="1275" priority="1435" operator="equal">
      <formula>"S"</formula>
    </cfRule>
    <cfRule type="cellIs" dxfId="1274" priority="1436" operator="equal">
      <formula>"B"</formula>
    </cfRule>
    <cfRule type="expression" dxfId="1273" priority="1437">
      <formula>$AW2550="D"</formula>
    </cfRule>
    <cfRule type="cellIs" dxfId="1272" priority="1438" operator="equal">
      <formula>"B"</formula>
    </cfRule>
    <cfRule type="cellIs" dxfId="1271" priority="1439" operator="equal">
      <formula>"S"</formula>
    </cfRule>
    <cfRule type="expression" dxfId="1270" priority="1440">
      <formula>$AW2550="D"</formula>
    </cfRule>
    <cfRule type="cellIs" dxfId="1269" priority="1441" operator="equal">
      <formula>"B"</formula>
    </cfRule>
    <cfRule type="cellIs" dxfId="1268" priority="1442" operator="equal">
      <formula>"S"</formula>
    </cfRule>
    <cfRule type="cellIs" dxfId="1267" priority="1443" operator="equal">
      <formula>"S"</formula>
    </cfRule>
    <cfRule type="cellIs" dxfId="1266" priority="1444" operator="equal">
      <formula>"B"</formula>
    </cfRule>
    <cfRule type="expression" dxfId="1265" priority="1445">
      <formula>$AW2550="D"</formula>
    </cfRule>
    <cfRule type="cellIs" dxfId="1264" priority="1446" operator="equal">
      <formula>"B"</formula>
    </cfRule>
    <cfRule type="cellIs" dxfId="1263" priority="1447" operator="equal">
      <formula>"S"</formula>
    </cfRule>
    <cfRule type="expression" dxfId="1262" priority="1448">
      <formula>$AW2550="D"</formula>
    </cfRule>
    <cfRule type="cellIs" dxfId="1261" priority="1449" operator="equal">
      <formula>"B"</formula>
    </cfRule>
    <cfRule type="cellIs" dxfId="1260" priority="1450" operator="equal">
      <formula>"S"</formula>
    </cfRule>
    <cfRule type="expression" dxfId="1259" priority="1451">
      <formula>$AW2550="D"</formula>
    </cfRule>
    <cfRule type="cellIs" dxfId="1258" priority="1452" operator="equal">
      <formula>"B"</formula>
    </cfRule>
    <cfRule type="cellIs" dxfId="1257" priority="1453" operator="equal">
      <formula>"S"</formula>
    </cfRule>
    <cfRule type="expression" dxfId="1256" priority="1454">
      <formula>$AW2550="D"</formula>
    </cfRule>
    <cfRule type="cellIs" dxfId="1255" priority="1455" operator="equal">
      <formula>"B"</formula>
    </cfRule>
    <cfRule type="cellIs" dxfId="1254" priority="1456" operator="equal">
      <formula>"S"</formula>
    </cfRule>
    <cfRule type="cellIs" dxfId="1253" priority="1457" operator="equal">
      <formula>"S"</formula>
    </cfRule>
    <cfRule type="cellIs" dxfId="1252" priority="1458" operator="equal">
      <formula>"B"</formula>
    </cfRule>
    <cfRule type="expression" dxfId="1251" priority="1459">
      <formula>$AW2550="D"</formula>
    </cfRule>
    <cfRule type="cellIs" dxfId="1250" priority="1460" operator="equal">
      <formula>"B"</formula>
    </cfRule>
    <cfRule type="cellIs" dxfId="1249" priority="1461" operator="equal">
      <formula>"S"</formula>
    </cfRule>
    <cfRule type="expression" dxfId="1248" priority="1462">
      <formula>$AW2550="D"</formula>
    </cfRule>
    <cfRule type="cellIs" dxfId="1247" priority="1463" operator="equal">
      <formula>"B"</formula>
    </cfRule>
    <cfRule type="cellIs" dxfId="1246" priority="1464" operator="equal">
      <formula>"S"</formula>
    </cfRule>
    <cfRule type="expression" dxfId="1245" priority="1465">
      <formula>$AW2550="D"</formula>
    </cfRule>
    <cfRule type="cellIs" dxfId="1244" priority="1466" operator="equal">
      <formula>"B"</formula>
    </cfRule>
    <cfRule type="cellIs" dxfId="1243" priority="1467" operator="equal">
      <formula>"S"</formula>
    </cfRule>
    <cfRule type="expression" dxfId="1242" priority="1468">
      <formula>$AW2550="D"</formula>
    </cfRule>
    <cfRule type="cellIs" dxfId="1241" priority="1469" operator="equal">
      <formula>"B"</formula>
    </cfRule>
    <cfRule type="cellIs" dxfId="1240" priority="1470" operator="equal">
      <formula>"S"</formula>
    </cfRule>
    <cfRule type="cellIs" dxfId="1239" priority="1471" operator="equal">
      <formula>"S"</formula>
    </cfRule>
    <cfRule type="cellIs" dxfId="1238" priority="1472" operator="equal">
      <formula>"B"</formula>
    </cfRule>
    <cfRule type="expression" dxfId="1237" priority="1473">
      <formula>$AW2550="D"</formula>
    </cfRule>
    <cfRule type="cellIs" dxfId="1236" priority="1474" operator="equal">
      <formula>"B"</formula>
    </cfRule>
    <cfRule type="cellIs" dxfId="1235" priority="1475" operator="equal">
      <formula>"S"</formula>
    </cfRule>
    <cfRule type="expression" dxfId="1234" priority="1476">
      <formula>$AW2550="D"</formula>
    </cfRule>
    <cfRule type="cellIs" dxfId="1233" priority="1477" operator="equal">
      <formula>"B"</formula>
    </cfRule>
    <cfRule type="cellIs" dxfId="1232" priority="1478" operator="equal">
      <formula>"S"</formula>
    </cfRule>
  </conditionalFormatting>
  <conditionalFormatting sqref="Z2550">
    <cfRule type="expression" dxfId="1231" priority="1479">
      <formula>$AW2550="D"</formula>
    </cfRule>
  </conditionalFormatting>
  <conditionalFormatting sqref="Y2550:Z2550">
    <cfRule type="expression" dxfId="1230" priority="1418">
      <formula>$AW2550="D"</formula>
    </cfRule>
  </conditionalFormatting>
  <conditionalFormatting sqref="Y2553">
    <cfRule type="cellIs" dxfId="1229" priority="1357" operator="equal">
      <formula>"S"</formula>
    </cfRule>
    <cfRule type="cellIs" dxfId="1228" priority="1358" operator="equal">
      <formula>"B"</formula>
    </cfRule>
    <cfRule type="expression" dxfId="1227" priority="1359">
      <formula>$AW2553="D"</formula>
    </cfRule>
    <cfRule type="cellIs" dxfId="1226" priority="1360" operator="equal">
      <formula>"B"</formula>
    </cfRule>
    <cfRule type="cellIs" dxfId="1225" priority="1361" operator="equal">
      <formula>"S"</formula>
    </cfRule>
    <cfRule type="expression" dxfId="1224" priority="1362">
      <formula>$AW2553="D"</formula>
    </cfRule>
    <cfRule type="cellIs" dxfId="1223" priority="1363" operator="equal">
      <formula>"B"</formula>
    </cfRule>
    <cfRule type="cellIs" dxfId="1222" priority="1364" operator="equal">
      <formula>"S"</formula>
    </cfRule>
    <cfRule type="cellIs" dxfId="1221" priority="1365" operator="equal">
      <formula>"S"</formula>
    </cfRule>
    <cfRule type="cellIs" dxfId="1220" priority="1366" operator="equal">
      <formula>"B"</formula>
    </cfRule>
    <cfRule type="expression" dxfId="1219" priority="1367">
      <formula>$AW2553="D"</formula>
    </cfRule>
    <cfRule type="cellIs" dxfId="1218" priority="1368" operator="equal">
      <formula>"B"</formula>
    </cfRule>
    <cfRule type="cellIs" dxfId="1217" priority="1369" operator="equal">
      <formula>"S"</formula>
    </cfRule>
    <cfRule type="expression" dxfId="1216" priority="1370">
      <formula>$AW2553="D"</formula>
    </cfRule>
    <cfRule type="cellIs" dxfId="1215" priority="1371" operator="equal">
      <formula>"B"</formula>
    </cfRule>
    <cfRule type="cellIs" dxfId="1214" priority="1372" operator="equal">
      <formula>"S"</formula>
    </cfRule>
    <cfRule type="cellIs" dxfId="1213" priority="1373" operator="equal">
      <formula>"S"</formula>
    </cfRule>
    <cfRule type="cellIs" dxfId="1212" priority="1374" operator="equal">
      <formula>"B"</formula>
    </cfRule>
    <cfRule type="expression" dxfId="1211" priority="1375">
      <formula>$AW2553="D"</formula>
    </cfRule>
    <cfRule type="cellIs" dxfId="1210" priority="1376" operator="equal">
      <formula>"B"</formula>
    </cfRule>
    <cfRule type="cellIs" dxfId="1209" priority="1377" operator="equal">
      <formula>"S"</formula>
    </cfRule>
    <cfRule type="expression" dxfId="1208" priority="1378">
      <formula>$AW2553="D"</formula>
    </cfRule>
    <cfRule type="cellIs" dxfId="1207" priority="1379" operator="equal">
      <formula>"B"</formula>
    </cfRule>
    <cfRule type="cellIs" dxfId="1206" priority="1380" operator="equal">
      <formula>"S"</formula>
    </cfRule>
    <cfRule type="cellIs" dxfId="1205" priority="1381" operator="equal">
      <formula>"S"</formula>
    </cfRule>
    <cfRule type="cellIs" dxfId="1204" priority="1382" operator="equal">
      <formula>"B"</formula>
    </cfRule>
    <cfRule type="expression" dxfId="1203" priority="1383">
      <formula>$AW2553="D"</formula>
    </cfRule>
    <cfRule type="cellIs" dxfId="1202" priority="1384" operator="equal">
      <formula>"B"</formula>
    </cfRule>
    <cfRule type="cellIs" dxfId="1201" priority="1385" operator="equal">
      <formula>"S"</formula>
    </cfRule>
    <cfRule type="expression" dxfId="1200" priority="1386">
      <formula>$AW2553="D"</formula>
    </cfRule>
    <cfRule type="cellIs" dxfId="1199" priority="1387" operator="equal">
      <formula>"B"</formula>
    </cfRule>
    <cfRule type="cellIs" dxfId="1198" priority="1388" operator="equal">
      <formula>"S"</formula>
    </cfRule>
    <cfRule type="expression" dxfId="1197" priority="1389">
      <formula>$AW2553="D"</formula>
    </cfRule>
    <cfRule type="cellIs" dxfId="1196" priority="1390" operator="equal">
      <formula>"B"</formula>
    </cfRule>
    <cfRule type="cellIs" dxfId="1195" priority="1391" operator="equal">
      <formula>"S"</formula>
    </cfRule>
    <cfRule type="expression" dxfId="1194" priority="1392">
      <formula>$AW2553="D"</formula>
    </cfRule>
    <cfRule type="cellIs" dxfId="1193" priority="1393" operator="equal">
      <formula>"B"</formula>
    </cfRule>
    <cfRule type="cellIs" dxfId="1192" priority="1394" operator="equal">
      <formula>"S"</formula>
    </cfRule>
    <cfRule type="cellIs" dxfId="1191" priority="1395" operator="equal">
      <formula>"S"</formula>
    </cfRule>
    <cfRule type="cellIs" dxfId="1190" priority="1396" operator="equal">
      <formula>"B"</formula>
    </cfRule>
    <cfRule type="expression" dxfId="1189" priority="1397">
      <formula>$AW2553="D"</formula>
    </cfRule>
    <cfRule type="cellIs" dxfId="1188" priority="1398" operator="equal">
      <formula>"B"</formula>
    </cfRule>
    <cfRule type="cellIs" dxfId="1187" priority="1399" operator="equal">
      <formula>"S"</formula>
    </cfRule>
    <cfRule type="expression" dxfId="1186" priority="1400">
      <formula>$AW2553="D"</formula>
    </cfRule>
    <cfRule type="cellIs" dxfId="1185" priority="1401" operator="equal">
      <formula>"B"</formula>
    </cfRule>
    <cfRule type="cellIs" dxfId="1184" priority="1402" operator="equal">
      <formula>"S"</formula>
    </cfRule>
    <cfRule type="expression" dxfId="1183" priority="1403">
      <formula>$AW2553="D"</formula>
    </cfRule>
    <cfRule type="cellIs" dxfId="1182" priority="1404" operator="equal">
      <formula>"B"</formula>
    </cfRule>
    <cfRule type="cellIs" dxfId="1181" priority="1405" operator="equal">
      <formula>"S"</formula>
    </cfRule>
    <cfRule type="expression" dxfId="1180" priority="1406">
      <formula>$AW2553="D"</formula>
    </cfRule>
    <cfRule type="cellIs" dxfId="1179" priority="1407" operator="equal">
      <formula>"B"</formula>
    </cfRule>
    <cfRule type="cellIs" dxfId="1178" priority="1408" operator="equal">
      <formula>"S"</formula>
    </cfRule>
    <cfRule type="cellIs" dxfId="1177" priority="1409" operator="equal">
      <formula>"S"</formula>
    </cfRule>
    <cfRule type="cellIs" dxfId="1176" priority="1410" operator="equal">
      <formula>"B"</formula>
    </cfRule>
    <cfRule type="expression" dxfId="1175" priority="1411">
      <formula>$AW2553="D"</formula>
    </cfRule>
    <cfRule type="cellIs" dxfId="1174" priority="1412" operator="equal">
      <formula>"B"</formula>
    </cfRule>
    <cfRule type="cellIs" dxfId="1173" priority="1413" operator="equal">
      <formula>"S"</formula>
    </cfRule>
    <cfRule type="expression" dxfId="1172" priority="1414">
      <formula>$AW2553="D"</formula>
    </cfRule>
    <cfRule type="cellIs" dxfId="1171" priority="1415" operator="equal">
      <formula>"B"</formula>
    </cfRule>
    <cfRule type="cellIs" dxfId="1170" priority="1416" operator="equal">
      <formula>"S"</formula>
    </cfRule>
  </conditionalFormatting>
  <conditionalFormatting sqref="Z2553">
    <cfRule type="expression" dxfId="1169" priority="1417">
      <formula>$AW2553="D"</formula>
    </cfRule>
  </conditionalFormatting>
  <conditionalFormatting sqref="Y2553:Z2553">
    <cfRule type="expression" dxfId="1168" priority="1356">
      <formula>$AW2553="D"</formula>
    </cfRule>
  </conditionalFormatting>
  <conditionalFormatting sqref="Y2554:Y2558">
    <cfRule type="cellIs" dxfId="1167" priority="1295" operator="equal">
      <formula>"S"</formula>
    </cfRule>
    <cfRule type="cellIs" dxfId="1166" priority="1296" operator="equal">
      <formula>"B"</formula>
    </cfRule>
    <cfRule type="expression" dxfId="1165" priority="1297">
      <formula>$AW2554="D"</formula>
    </cfRule>
    <cfRule type="cellIs" dxfId="1164" priority="1298" operator="equal">
      <formula>"B"</formula>
    </cfRule>
    <cfRule type="cellIs" dxfId="1163" priority="1299" operator="equal">
      <formula>"S"</formula>
    </cfRule>
    <cfRule type="expression" dxfId="1162" priority="1300">
      <formula>$AW2554="D"</formula>
    </cfRule>
    <cfRule type="cellIs" dxfId="1161" priority="1301" operator="equal">
      <formula>"B"</formula>
    </cfRule>
    <cfRule type="cellIs" dxfId="1160" priority="1302" operator="equal">
      <formula>"S"</formula>
    </cfRule>
    <cfRule type="cellIs" dxfId="1159" priority="1303" operator="equal">
      <formula>"S"</formula>
    </cfRule>
    <cfRule type="cellIs" dxfId="1158" priority="1304" operator="equal">
      <formula>"B"</formula>
    </cfRule>
    <cfRule type="expression" dxfId="1157" priority="1305">
      <formula>$AW2554="D"</formula>
    </cfRule>
    <cfRule type="cellIs" dxfId="1156" priority="1306" operator="equal">
      <formula>"B"</formula>
    </cfRule>
    <cfRule type="cellIs" dxfId="1155" priority="1307" operator="equal">
      <formula>"S"</formula>
    </cfRule>
    <cfRule type="expression" dxfId="1154" priority="1308">
      <formula>$AW2554="D"</formula>
    </cfRule>
    <cfRule type="cellIs" dxfId="1153" priority="1309" operator="equal">
      <formula>"B"</formula>
    </cfRule>
    <cfRule type="cellIs" dxfId="1152" priority="1310" operator="equal">
      <formula>"S"</formula>
    </cfRule>
    <cfRule type="cellIs" dxfId="1151" priority="1311" operator="equal">
      <formula>"S"</formula>
    </cfRule>
    <cfRule type="cellIs" dxfId="1150" priority="1312" operator="equal">
      <formula>"B"</formula>
    </cfRule>
    <cfRule type="expression" dxfId="1149" priority="1313">
      <formula>$AW2554="D"</formula>
    </cfRule>
    <cfRule type="cellIs" dxfId="1148" priority="1314" operator="equal">
      <formula>"B"</formula>
    </cfRule>
    <cfRule type="cellIs" dxfId="1147" priority="1315" operator="equal">
      <formula>"S"</formula>
    </cfRule>
    <cfRule type="expression" dxfId="1146" priority="1316">
      <formula>$AW2554="D"</formula>
    </cfRule>
    <cfRule type="cellIs" dxfId="1145" priority="1317" operator="equal">
      <formula>"B"</formula>
    </cfRule>
    <cfRule type="cellIs" dxfId="1144" priority="1318" operator="equal">
      <formula>"S"</formula>
    </cfRule>
    <cfRule type="cellIs" dxfId="1143" priority="1319" operator="equal">
      <formula>"S"</formula>
    </cfRule>
    <cfRule type="cellIs" dxfId="1142" priority="1320" operator="equal">
      <formula>"B"</formula>
    </cfRule>
    <cfRule type="expression" dxfId="1141" priority="1321">
      <formula>$AW2554="D"</formula>
    </cfRule>
    <cfRule type="cellIs" dxfId="1140" priority="1322" operator="equal">
      <formula>"B"</formula>
    </cfRule>
    <cfRule type="cellIs" dxfId="1139" priority="1323" operator="equal">
      <formula>"S"</formula>
    </cfRule>
    <cfRule type="expression" dxfId="1138" priority="1324">
      <formula>$AW2554="D"</formula>
    </cfRule>
    <cfRule type="cellIs" dxfId="1137" priority="1325" operator="equal">
      <formula>"B"</formula>
    </cfRule>
    <cfRule type="cellIs" dxfId="1136" priority="1326" operator="equal">
      <formula>"S"</formula>
    </cfRule>
    <cfRule type="expression" dxfId="1135" priority="1327">
      <formula>$AW2554="D"</formula>
    </cfRule>
    <cfRule type="cellIs" dxfId="1134" priority="1328" operator="equal">
      <formula>"B"</formula>
    </cfRule>
    <cfRule type="cellIs" dxfId="1133" priority="1329" operator="equal">
      <formula>"S"</formula>
    </cfRule>
    <cfRule type="expression" dxfId="1132" priority="1330">
      <formula>$AW2554="D"</formula>
    </cfRule>
    <cfRule type="cellIs" dxfId="1131" priority="1331" operator="equal">
      <formula>"B"</formula>
    </cfRule>
    <cfRule type="cellIs" dxfId="1130" priority="1332" operator="equal">
      <formula>"S"</formula>
    </cfRule>
    <cfRule type="cellIs" dxfId="1129" priority="1333" operator="equal">
      <formula>"S"</formula>
    </cfRule>
    <cfRule type="cellIs" dxfId="1128" priority="1334" operator="equal">
      <formula>"B"</formula>
    </cfRule>
    <cfRule type="expression" dxfId="1127" priority="1335">
      <formula>$AW2554="D"</formula>
    </cfRule>
    <cfRule type="cellIs" dxfId="1126" priority="1336" operator="equal">
      <formula>"B"</formula>
    </cfRule>
    <cfRule type="cellIs" dxfId="1125" priority="1337" operator="equal">
      <formula>"S"</formula>
    </cfRule>
    <cfRule type="expression" dxfId="1124" priority="1338">
      <formula>$AW2554="D"</formula>
    </cfRule>
    <cfRule type="cellIs" dxfId="1123" priority="1339" operator="equal">
      <formula>"B"</formula>
    </cfRule>
    <cfRule type="cellIs" dxfId="1122" priority="1340" operator="equal">
      <formula>"S"</formula>
    </cfRule>
    <cfRule type="expression" dxfId="1121" priority="1341">
      <formula>$AW2554="D"</formula>
    </cfRule>
    <cfRule type="cellIs" dxfId="1120" priority="1342" operator="equal">
      <formula>"B"</formula>
    </cfRule>
    <cfRule type="cellIs" dxfId="1119" priority="1343" operator="equal">
      <formula>"S"</formula>
    </cfRule>
    <cfRule type="expression" dxfId="1118" priority="1344">
      <formula>$AW2554="D"</formula>
    </cfRule>
    <cfRule type="cellIs" dxfId="1117" priority="1345" operator="equal">
      <formula>"B"</formula>
    </cfRule>
    <cfRule type="cellIs" dxfId="1116" priority="1346" operator="equal">
      <formula>"S"</formula>
    </cfRule>
    <cfRule type="cellIs" dxfId="1115" priority="1347" operator="equal">
      <formula>"S"</formula>
    </cfRule>
    <cfRule type="cellIs" dxfId="1114" priority="1348" operator="equal">
      <formula>"B"</formula>
    </cfRule>
    <cfRule type="expression" dxfId="1113" priority="1349">
      <formula>$AW2554="D"</formula>
    </cfRule>
    <cfRule type="cellIs" dxfId="1112" priority="1350" operator="equal">
      <formula>"B"</formula>
    </cfRule>
    <cfRule type="cellIs" dxfId="1111" priority="1351" operator="equal">
      <formula>"S"</formula>
    </cfRule>
    <cfRule type="expression" dxfId="1110" priority="1352">
      <formula>$AW2554="D"</formula>
    </cfRule>
    <cfRule type="cellIs" dxfId="1109" priority="1353" operator="equal">
      <formula>"B"</formula>
    </cfRule>
    <cfRule type="cellIs" dxfId="1108" priority="1354" operator="equal">
      <formula>"S"</formula>
    </cfRule>
  </conditionalFormatting>
  <conditionalFormatting sqref="Z2554:Z2558">
    <cfRule type="expression" dxfId="1107" priority="1355">
      <formula>$AW2554="D"</formula>
    </cfRule>
  </conditionalFormatting>
  <conditionalFormatting sqref="Y2554:Z2558">
    <cfRule type="expression" dxfId="1106" priority="1294">
      <formula>$AW2554="D"</formula>
    </cfRule>
  </conditionalFormatting>
  <conditionalFormatting sqref="AM2519:AM2558">
    <cfRule type="cellIs" dxfId="1105" priority="2074" operator="lessThanOrEqual">
      <formula>$AM$2635</formula>
    </cfRule>
  </conditionalFormatting>
  <conditionalFormatting sqref="A2559:G2560">
    <cfRule type="expression" dxfId="1104" priority="1282">
      <formula>$AW2559="D"</formula>
    </cfRule>
  </conditionalFormatting>
  <conditionalFormatting sqref="H2559:J2560">
    <cfRule type="cellIs" dxfId="1103" priority="1285" operator="equal">
      <formula>1</formula>
    </cfRule>
  </conditionalFormatting>
  <conditionalFormatting sqref="K2559:K2560">
    <cfRule type="containsText" dxfId="1102" priority="1286" operator="containsText" text="H">
      <formula>NOT(ISERROR(SEARCH(("H"),(K2559))))</formula>
    </cfRule>
    <cfRule type="containsText" dxfId="1101" priority="1287" operator="containsText" text="D">
      <formula>NOT(ISERROR(SEARCH(("D"),(K2559))))</formula>
    </cfRule>
  </conditionalFormatting>
  <conditionalFormatting sqref="O2559:O2560">
    <cfRule type="expression" dxfId="1100" priority="1284">
      <formula>$AW2559="D"</formula>
    </cfRule>
  </conditionalFormatting>
  <conditionalFormatting sqref="Q2559:Q2560">
    <cfRule type="cellIs" dxfId="1099" priority="1290" operator="equal">
      <formula>"F"</formula>
    </cfRule>
  </conditionalFormatting>
  <conditionalFormatting sqref="U2559:U2560">
    <cfRule type="containsText" dxfId="1098" priority="1278" operator="containsText" text="S">
      <formula>NOT(ISERROR(SEARCH("S",U2559)))</formula>
    </cfRule>
    <cfRule type="containsText" dxfId="1097" priority="1279" operator="containsText" text="B">
      <formula>NOT(ISERROR(SEARCH("B",U2559)))</formula>
    </cfRule>
  </conditionalFormatting>
  <conditionalFormatting sqref="U2559:X2560">
    <cfRule type="expression" dxfId="1096" priority="1276">
      <formula>$AW2559="L"</formula>
    </cfRule>
    <cfRule type="expression" dxfId="1095" priority="1277">
      <formula>$AW2559="W"</formula>
    </cfRule>
  </conditionalFormatting>
  <conditionalFormatting sqref="U2559:X2560">
    <cfRule type="expression" dxfId="1094" priority="1275">
      <formula>$AW2559="D"</formula>
    </cfRule>
  </conditionalFormatting>
  <conditionalFormatting sqref="Y2559:BF2560 A2559:T2560">
    <cfRule type="expression" dxfId="1093" priority="1281">
      <formula>$AW2559="L"</formula>
    </cfRule>
  </conditionalFormatting>
  <conditionalFormatting sqref="Y2559:BF2560 A2559:T2560">
    <cfRule type="expression" dxfId="1092" priority="1289">
      <formula>$AW2559="D"</formula>
    </cfRule>
  </conditionalFormatting>
  <conditionalFormatting sqref="Y2559:BF2560 A2559:T2560">
    <cfRule type="expression" dxfId="1091" priority="1280">
      <formula>$AW2559="W"</formula>
    </cfRule>
  </conditionalFormatting>
  <conditionalFormatting sqref="AJ2559:AJ2560">
    <cfRule type="expression" dxfId="1090" priority="1274">
      <formula>$AW2559="D"</formula>
    </cfRule>
  </conditionalFormatting>
  <conditionalFormatting sqref="AL2559:AL2560">
    <cfRule type="cellIs" dxfId="1089" priority="1288" operator="lessThanOrEqual">
      <formula>-110</formula>
    </cfRule>
  </conditionalFormatting>
  <conditionalFormatting sqref="AL2559:AM2560">
    <cfRule type="expression" dxfId="1088" priority="1283">
      <formula>$AW2559="D"</formula>
    </cfRule>
  </conditionalFormatting>
  <conditionalFormatting sqref="AU2559:AU2560">
    <cfRule type="cellIs" dxfId="1087" priority="1291" operator="greaterThan">
      <formula>0</formula>
    </cfRule>
    <cfRule type="cellIs" dxfId="1086" priority="1292" operator="lessThan">
      <formula>0</formula>
    </cfRule>
  </conditionalFormatting>
  <conditionalFormatting sqref="Y2559:Y2560">
    <cfRule type="cellIs" dxfId="1085" priority="1213" operator="equal">
      <formula>"S"</formula>
    </cfRule>
    <cfRule type="cellIs" dxfId="1084" priority="1214" operator="equal">
      <formula>"B"</formula>
    </cfRule>
    <cfRule type="expression" dxfId="1083" priority="1215">
      <formula>$AW2559="D"</formula>
    </cfRule>
    <cfRule type="cellIs" dxfId="1082" priority="1216" operator="equal">
      <formula>"B"</formula>
    </cfRule>
    <cfRule type="cellIs" dxfId="1081" priority="1217" operator="equal">
      <formula>"S"</formula>
    </cfRule>
    <cfRule type="expression" dxfId="1080" priority="1218">
      <formula>$AW2559="D"</formula>
    </cfRule>
    <cfRule type="cellIs" dxfId="1079" priority="1219" operator="equal">
      <formula>"B"</formula>
    </cfRule>
    <cfRule type="cellIs" dxfId="1078" priority="1220" operator="equal">
      <formula>"S"</formula>
    </cfRule>
    <cfRule type="cellIs" dxfId="1077" priority="1221" operator="equal">
      <formula>"S"</formula>
    </cfRule>
    <cfRule type="cellIs" dxfId="1076" priority="1222" operator="equal">
      <formula>"B"</formula>
    </cfRule>
    <cfRule type="expression" dxfId="1075" priority="1223">
      <formula>$AW2559="D"</formula>
    </cfRule>
    <cfRule type="cellIs" dxfId="1074" priority="1224" operator="equal">
      <formula>"B"</formula>
    </cfRule>
    <cfRule type="cellIs" dxfId="1073" priority="1225" operator="equal">
      <formula>"S"</formula>
    </cfRule>
    <cfRule type="expression" dxfId="1072" priority="1226">
      <formula>$AW2559="D"</formula>
    </cfRule>
    <cfRule type="cellIs" dxfId="1071" priority="1227" operator="equal">
      <formula>"B"</formula>
    </cfRule>
    <cfRule type="cellIs" dxfId="1070" priority="1228" operator="equal">
      <formula>"S"</formula>
    </cfRule>
    <cfRule type="cellIs" dxfId="1069" priority="1229" operator="equal">
      <formula>"S"</formula>
    </cfRule>
    <cfRule type="cellIs" dxfId="1068" priority="1230" operator="equal">
      <formula>"B"</formula>
    </cfRule>
    <cfRule type="expression" dxfId="1067" priority="1231">
      <formula>$AW2559="D"</formula>
    </cfRule>
    <cfRule type="cellIs" dxfId="1066" priority="1232" operator="equal">
      <formula>"B"</formula>
    </cfRule>
    <cfRule type="cellIs" dxfId="1065" priority="1233" operator="equal">
      <formula>"S"</formula>
    </cfRule>
    <cfRule type="expression" dxfId="1064" priority="1234">
      <formula>$AW2559="D"</formula>
    </cfRule>
    <cfRule type="cellIs" dxfId="1063" priority="1235" operator="equal">
      <formula>"B"</formula>
    </cfRule>
    <cfRule type="cellIs" dxfId="1062" priority="1236" operator="equal">
      <formula>"S"</formula>
    </cfRule>
    <cfRule type="cellIs" dxfId="1061" priority="1237" operator="equal">
      <formula>"S"</formula>
    </cfRule>
    <cfRule type="cellIs" dxfId="1060" priority="1238" operator="equal">
      <formula>"B"</formula>
    </cfRule>
    <cfRule type="expression" dxfId="1059" priority="1239">
      <formula>$AW2559="D"</formula>
    </cfRule>
    <cfRule type="cellIs" dxfId="1058" priority="1240" operator="equal">
      <formula>"B"</formula>
    </cfRule>
    <cfRule type="cellIs" dxfId="1057" priority="1241" operator="equal">
      <formula>"S"</formula>
    </cfRule>
    <cfRule type="expression" dxfId="1056" priority="1242">
      <formula>$AW2559="D"</formula>
    </cfRule>
    <cfRule type="cellIs" dxfId="1055" priority="1243" operator="equal">
      <formula>"B"</formula>
    </cfRule>
    <cfRule type="cellIs" dxfId="1054" priority="1244" operator="equal">
      <formula>"S"</formula>
    </cfRule>
    <cfRule type="expression" dxfId="1053" priority="1245">
      <formula>$AW2559="D"</formula>
    </cfRule>
    <cfRule type="cellIs" dxfId="1052" priority="1246" operator="equal">
      <formula>"B"</formula>
    </cfRule>
    <cfRule type="cellIs" dxfId="1051" priority="1247" operator="equal">
      <formula>"S"</formula>
    </cfRule>
    <cfRule type="expression" dxfId="1050" priority="1248">
      <formula>$AW2559="D"</formula>
    </cfRule>
    <cfRule type="cellIs" dxfId="1049" priority="1249" operator="equal">
      <formula>"B"</formula>
    </cfRule>
    <cfRule type="cellIs" dxfId="1048" priority="1250" operator="equal">
      <formula>"S"</formula>
    </cfRule>
    <cfRule type="cellIs" dxfId="1047" priority="1251" operator="equal">
      <formula>"S"</formula>
    </cfRule>
    <cfRule type="cellIs" dxfId="1046" priority="1252" operator="equal">
      <formula>"B"</formula>
    </cfRule>
    <cfRule type="expression" dxfId="1045" priority="1253">
      <formula>$AW2559="D"</formula>
    </cfRule>
    <cfRule type="cellIs" dxfId="1044" priority="1254" operator="equal">
      <formula>"B"</formula>
    </cfRule>
    <cfRule type="cellIs" dxfId="1043" priority="1255" operator="equal">
      <formula>"S"</formula>
    </cfRule>
    <cfRule type="expression" dxfId="1042" priority="1256">
      <formula>$AW2559="D"</formula>
    </cfRule>
    <cfRule type="cellIs" dxfId="1041" priority="1257" operator="equal">
      <formula>"B"</formula>
    </cfRule>
    <cfRule type="cellIs" dxfId="1040" priority="1258" operator="equal">
      <formula>"S"</formula>
    </cfRule>
    <cfRule type="expression" dxfId="1039" priority="1259">
      <formula>$AW2559="D"</formula>
    </cfRule>
    <cfRule type="cellIs" dxfId="1038" priority="1260" operator="equal">
      <formula>"B"</formula>
    </cfRule>
    <cfRule type="cellIs" dxfId="1037" priority="1261" operator="equal">
      <formula>"S"</formula>
    </cfRule>
    <cfRule type="expression" dxfId="1036" priority="1262">
      <formula>$AW2559="D"</formula>
    </cfRule>
    <cfRule type="cellIs" dxfId="1035" priority="1263" operator="equal">
      <formula>"B"</formula>
    </cfRule>
    <cfRule type="cellIs" dxfId="1034" priority="1264" operator="equal">
      <formula>"S"</formula>
    </cfRule>
    <cfRule type="cellIs" dxfId="1033" priority="1265" operator="equal">
      <formula>"S"</formula>
    </cfRule>
    <cfRule type="cellIs" dxfId="1032" priority="1266" operator="equal">
      <formula>"B"</formula>
    </cfRule>
    <cfRule type="expression" dxfId="1031" priority="1267">
      <formula>$AW2559="D"</formula>
    </cfRule>
    <cfRule type="cellIs" dxfId="1030" priority="1268" operator="equal">
      <formula>"B"</formula>
    </cfRule>
    <cfRule type="cellIs" dxfId="1029" priority="1269" operator="equal">
      <formula>"S"</formula>
    </cfRule>
    <cfRule type="expression" dxfId="1028" priority="1270">
      <formula>$AW2559="D"</formula>
    </cfRule>
    <cfRule type="cellIs" dxfId="1027" priority="1271" operator="equal">
      <formula>"B"</formula>
    </cfRule>
    <cfRule type="cellIs" dxfId="1026" priority="1272" operator="equal">
      <formula>"S"</formula>
    </cfRule>
  </conditionalFormatting>
  <conditionalFormatting sqref="Z2559:Z2560">
    <cfRule type="expression" dxfId="1025" priority="1273">
      <formula>$AW2559="D"</formula>
    </cfRule>
  </conditionalFormatting>
  <conditionalFormatting sqref="Y2559:Z2560">
    <cfRule type="expression" dxfId="1024" priority="1212">
      <formula>$AW2559="D"</formula>
    </cfRule>
  </conditionalFormatting>
  <conditionalFormatting sqref="AM2559:AM2560">
    <cfRule type="cellIs" dxfId="1023" priority="1293" operator="lessThanOrEqual">
      <formula>$AM$1223</formula>
    </cfRule>
  </conditionalFormatting>
  <conditionalFormatting sqref="A2561:G2567 A2580:G2580 A2578:F2579 A2584:G2589 A2581:F2583">
    <cfRule type="expression" dxfId="1022" priority="818">
      <formula>$AW2561="D"</formula>
    </cfRule>
  </conditionalFormatting>
  <conditionalFormatting sqref="H2561:J2567 H2578:J2589">
    <cfRule type="cellIs" dxfId="1021" priority="821" operator="equal">
      <formula>1</formula>
    </cfRule>
  </conditionalFormatting>
  <conditionalFormatting sqref="K2561:K2567 K2578:K2589">
    <cfRule type="containsText" dxfId="1020" priority="822" operator="containsText" text="H">
      <formula>NOT(ISERROR(SEARCH(("H"),(K2561))))</formula>
    </cfRule>
    <cfRule type="containsText" dxfId="1019" priority="823" operator="containsText" text="D">
      <formula>NOT(ISERROR(SEARCH(("D"),(K2561))))</formula>
    </cfRule>
  </conditionalFormatting>
  <conditionalFormatting sqref="O2561:O2567 O2580 O2582:O2589">
    <cfRule type="expression" dxfId="1018" priority="820">
      <formula>$AW2561="D"</formula>
    </cfRule>
  </conditionalFormatting>
  <conditionalFormatting sqref="Q2561:Q2567 Q2580 Q2582:Q2589">
    <cfRule type="cellIs" dxfId="1017" priority="826" operator="equal">
      <formula>"F"</formula>
    </cfRule>
  </conditionalFormatting>
  <conditionalFormatting sqref="U2561:U2567 U2580 U2582:U2589">
    <cfRule type="containsText" dxfId="1016" priority="814" operator="containsText" text="S">
      <formula>NOT(ISERROR(SEARCH("S",U2561)))</formula>
    </cfRule>
    <cfRule type="containsText" dxfId="1015" priority="815" operator="containsText" text="B">
      <formula>NOT(ISERROR(SEARCH("B",U2561)))</formula>
    </cfRule>
  </conditionalFormatting>
  <conditionalFormatting sqref="U2561:X2567 U2580:X2580 U2582:X2589">
    <cfRule type="expression" dxfId="1014" priority="812">
      <formula>$AW2561="L"</formula>
    </cfRule>
    <cfRule type="expression" dxfId="1013" priority="813">
      <formula>$AW2561="W"</formula>
    </cfRule>
  </conditionalFormatting>
  <conditionalFormatting sqref="U2561:X2567 U2580:X2580 U2582:X2589">
    <cfRule type="expression" dxfId="1012" priority="811">
      <formula>$AW2561="D"</formula>
    </cfRule>
  </conditionalFormatting>
  <conditionalFormatting sqref="BA2564:BF2564 A2561:T2567 AN2579:BF2579 AN2565:BF2567 Y2561:AL2567 AN2561:BF2563 AN2564:AX2564 AM2561:AM2579 AN2578:AW2578 AZ2578:BF2578 A2578:F2579 H2578:N2579 AA2578:AA2579 AC2578:AL2579 Y2580:BF2580 A2580:T2580 AA2581 AC2581:BF2581 H2581:N2583 O2582:T2583 Y2582:BF2583 Y2584:AW2584 A2581:F2583 AZ2584:BF2584 A2584:T2589 Y2585:BF2589">
    <cfRule type="expression" dxfId="1011" priority="817">
      <formula>$AW2561="L"</formula>
    </cfRule>
  </conditionalFormatting>
  <conditionalFormatting sqref="BA2564:BF2564 A2561:T2567 AN2579:BF2579 AN2565:BF2567 Y2561:AL2567 AN2561:BF2563 AN2564:AX2564 AM2561:AM2579 AN2578:AW2578 AZ2578:BF2578 A2578:F2579 H2578:N2579 AA2578:AA2579 AC2578:AL2579 Y2580:BF2580 A2580:T2580 AA2581 AC2581:BF2581 H2581:N2583 O2582:T2583 Y2582:BF2583 Y2584:AW2584 A2581:F2583 AZ2584:BF2584 A2584:T2589 Y2585:BF2589">
    <cfRule type="expression" dxfId="1010" priority="825">
      <formula>$AW2561="D"</formula>
    </cfRule>
  </conditionalFormatting>
  <conditionalFormatting sqref="BA2564:BF2564 A2561:T2567 AN2579:BF2579 AN2565:BF2567 Y2561:AL2567 AN2561:BF2563 AN2564:AX2564 AM2561:AM2579 AN2578:AW2578 AZ2578:BF2578 A2578:F2579 H2578:N2579 AA2578:AA2579 AC2578:AL2579 Y2580:BF2580 A2580:T2580 AA2581 AC2581:BF2581 H2581:N2583 O2582:T2583 Y2582:BF2583 Y2584:AW2584 A2581:F2583 AZ2584:BF2584 A2584:T2589 Y2585:BF2589">
    <cfRule type="expression" dxfId="1009" priority="816">
      <formula>$AW2561="W"</formula>
    </cfRule>
  </conditionalFormatting>
  <conditionalFormatting sqref="AJ2561:AJ2567 AJ2578:AJ2589">
    <cfRule type="expression" dxfId="1008" priority="810">
      <formula>$AW2561="D"</formula>
    </cfRule>
  </conditionalFormatting>
  <conditionalFormatting sqref="AL2561:AL2567 AL2578:AL2589">
    <cfRule type="cellIs" dxfId="1007" priority="824" operator="lessThanOrEqual">
      <formula>-110</formula>
    </cfRule>
  </conditionalFormatting>
  <conditionalFormatting sqref="AL2580:AM2589 AL2578:AL2579 AL2561:AL2567 AM2561:AM2579">
    <cfRule type="expression" dxfId="1006" priority="819">
      <formula>$AW2561="D"</formula>
    </cfRule>
  </conditionalFormatting>
  <conditionalFormatting sqref="AU2561:AU2567 AU2578:AU2589">
    <cfRule type="cellIs" dxfId="1005" priority="827" operator="greaterThan">
      <formula>0</formula>
    </cfRule>
    <cfRule type="cellIs" dxfId="1004" priority="828" operator="lessThan">
      <formula>0</formula>
    </cfRule>
  </conditionalFormatting>
  <conditionalFormatting sqref="Y2561:Y2563">
    <cfRule type="cellIs" dxfId="1003" priority="749" operator="equal">
      <formula>"S"</formula>
    </cfRule>
    <cfRule type="cellIs" dxfId="1002" priority="750" operator="equal">
      <formula>"B"</formula>
    </cfRule>
    <cfRule type="expression" dxfId="1001" priority="751">
      <formula>$AW2561="D"</formula>
    </cfRule>
    <cfRule type="cellIs" dxfId="1000" priority="752" operator="equal">
      <formula>"B"</formula>
    </cfRule>
    <cfRule type="cellIs" dxfId="999" priority="753" operator="equal">
      <formula>"S"</formula>
    </cfRule>
    <cfRule type="expression" dxfId="998" priority="754">
      <formula>$AW2561="D"</formula>
    </cfRule>
    <cfRule type="cellIs" dxfId="997" priority="755" operator="equal">
      <formula>"B"</formula>
    </cfRule>
    <cfRule type="cellIs" dxfId="996" priority="756" operator="equal">
      <formula>"S"</formula>
    </cfRule>
    <cfRule type="cellIs" dxfId="995" priority="757" operator="equal">
      <formula>"S"</formula>
    </cfRule>
    <cfRule type="cellIs" dxfId="994" priority="758" operator="equal">
      <formula>"B"</formula>
    </cfRule>
    <cfRule type="expression" dxfId="993" priority="759">
      <formula>$AW2561="D"</formula>
    </cfRule>
    <cfRule type="cellIs" dxfId="992" priority="760" operator="equal">
      <formula>"B"</formula>
    </cfRule>
    <cfRule type="cellIs" dxfId="991" priority="761" operator="equal">
      <formula>"S"</formula>
    </cfRule>
    <cfRule type="expression" dxfId="990" priority="762">
      <formula>$AW2561="D"</formula>
    </cfRule>
    <cfRule type="cellIs" dxfId="989" priority="763" operator="equal">
      <formula>"B"</formula>
    </cfRule>
    <cfRule type="cellIs" dxfId="988" priority="764" operator="equal">
      <formula>"S"</formula>
    </cfRule>
    <cfRule type="cellIs" dxfId="987" priority="765" operator="equal">
      <formula>"S"</formula>
    </cfRule>
    <cfRule type="cellIs" dxfId="986" priority="766" operator="equal">
      <formula>"B"</formula>
    </cfRule>
    <cfRule type="expression" dxfId="985" priority="767">
      <formula>$AW2561="D"</formula>
    </cfRule>
    <cfRule type="cellIs" dxfId="984" priority="768" operator="equal">
      <formula>"B"</formula>
    </cfRule>
    <cfRule type="cellIs" dxfId="983" priority="769" operator="equal">
      <formula>"S"</formula>
    </cfRule>
    <cfRule type="expression" dxfId="982" priority="770">
      <formula>$AW2561="D"</formula>
    </cfRule>
    <cfRule type="cellIs" dxfId="981" priority="771" operator="equal">
      <formula>"B"</formula>
    </cfRule>
    <cfRule type="cellIs" dxfId="980" priority="772" operator="equal">
      <formula>"S"</formula>
    </cfRule>
    <cfRule type="cellIs" dxfId="979" priority="773" operator="equal">
      <formula>"S"</formula>
    </cfRule>
    <cfRule type="cellIs" dxfId="978" priority="774" operator="equal">
      <formula>"B"</formula>
    </cfRule>
    <cfRule type="expression" dxfId="977" priority="775">
      <formula>$AW2561="D"</formula>
    </cfRule>
    <cfRule type="cellIs" dxfId="976" priority="776" operator="equal">
      <formula>"B"</formula>
    </cfRule>
    <cfRule type="cellIs" dxfId="975" priority="777" operator="equal">
      <formula>"S"</formula>
    </cfRule>
    <cfRule type="expression" dxfId="974" priority="778">
      <formula>$AW2561="D"</formula>
    </cfRule>
    <cfRule type="cellIs" dxfId="973" priority="779" operator="equal">
      <formula>"B"</formula>
    </cfRule>
    <cfRule type="cellIs" dxfId="972" priority="780" operator="equal">
      <formula>"S"</formula>
    </cfRule>
    <cfRule type="expression" dxfId="971" priority="781">
      <formula>$AW2561="D"</formula>
    </cfRule>
    <cfRule type="cellIs" dxfId="970" priority="782" operator="equal">
      <formula>"B"</formula>
    </cfRule>
    <cfRule type="cellIs" dxfId="969" priority="783" operator="equal">
      <formula>"S"</formula>
    </cfRule>
    <cfRule type="expression" dxfId="968" priority="784">
      <formula>$AW2561="D"</formula>
    </cfRule>
    <cfRule type="cellIs" dxfId="967" priority="785" operator="equal">
      <formula>"B"</formula>
    </cfRule>
    <cfRule type="cellIs" dxfId="966" priority="786" operator="equal">
      <formula>"S"</formula>
    </cfRule>
    <cfRule type="cellIs" dxfId="965" priority="787" operator="equal">
      <formula>"S"</formula>
    </cfRule>
    <cfRule type="cellIs" dxfId="964" priority="788" operator="equal">
      <formula>"B"</formula>
    </cfRule>
    <cfRule type="expression" dxfId="963" priority="789">
      <formula>$AW2561="D"</formula>
    </cfRule>
    <cfRule type="cellIs" dxfId="962" priority="790" operator="equal">
      <formula>"B"</formula>
    </cfRule>
    <cfRule type="cellIs" dxfId="961" priority="791" operator="equal">
      <formula>"S"</formula>
    </cfRule>
    <cfRule type="expression" dxfId="960" priority="792">
      <formula>$AW2561="D"</formula>
    </cfRule>
    <cfRule type="cellIs" dxfId="959" priority="793" operator="equal">
      <formula>"B"</formula>
    </cfRule>
    <cfRule type="cellIs" dxfId="958" priority="794" operator="equal">
      <formula>"S"</formula>
    </cfRule>
    <cfRule type="expression" dxfId="957" priority="795">
      <formula>$AW2561="D"</formula>
    </cfRule>
    <cfRule type="cellIs" dxfId="956" priority="796" operator="equal">
      <formula>"B"</formula>
    </cfRule>
    <cfRule type="cellIs" dxfId="955" priority="797" operator="equal">
      <formula>"S"</formula>
    </cfRule>
    <cfRule type="expression" dxfId="954" priority="798">
      <formula>$AW2561="D"</formula>
    </cfRule>
    <cfRule type="cellIs" dxfId="953" priority="799" operator="equal">
      <formula>"B"</formula>
    </cfRule>
    <cfRule type="cellIs" dxfId="952" priority="800" operator="equal">
      <formula>"S"</formula>
    </cfRule>
    <cfRule type="cellIs" dxfId="951" priority="801" operator="equal">
      <formula>"S"</formula>
    </cfRule>
    <cfRule type="cellIs" dxfId="950" priority="802" operator="equal">
      <formula>"B"</formula>
    </cfRule>
    <cfRule type="expression" dxfId="949" priority="803">
      <formula>$AW2561="D"</formula>
    </cfRule>
    <cfRule type="cellIs" dxfId="948" priority="804" operator="equal">
      <formula>"B"</formula>
    </cfRule>
    <cfRule type="cellIs" dxfId="947" priority="805" operator="equal">
      <formula>"S"</formula>
    </cfRule>
    <cfRule type="expression" dxfId="946" priority="806">
      <formula>$AW2561="D"</formula>
    </cfRule>
    <cfRule type="cellIs" dxfId="945" priority="807" operator="equal">
      <formula>"B"</formula>
    </cfRule>
    <cfRule type="cellIs" dxfId="944" priority="808" operator="equal">
      <formula>"S"</formula>
    </cfRule>
  </conditionalFormatting>
  <conditionalFormatting sqref="Z2561:Z2563">
    <cfRule type="expression" dxfId="943" priority="809">
      <formula>$AW2561="D"</formula>
    </cfRule>
  </conditionalFormatting>
  <conditionalFormatting sqref="Y2561:Z2563">
    <cfRule type="expression" dxfId="942" priority="748">
      <formula>$AW2561="D"</formula>
    </cfRule>
  </conditionalFormatting>
  <conditionalFormatting sqref="Y2566">
    <cfRule type="cellIs" dxfId="941" priority="687" operator="equal">
      <formula>"S"</formula>
    </cfRule>
    <cfRule type="cellIs" dxfId="940" priority="688" operator="equal">
      <formula>"B"</formula>
    </cfRule>
    <cfRule type="expression" dxfId="939" priority="689">
      <formula>$AW2566="D"</formula>
    </cfRule>
    <cfRule type="cellIs" dxfId="938" priority="690" operator="equal">
      <formula>"B"</formula>
    </cfRule>
    <cfRule type="cellIs" dxfId="937" priority="691" operator="equal">
      <formula>"S"</formula>
    </cfRule>
    <cfRule type="expression" dxfId="936" priority="692">
      <formula>$AW2566="D"</formula>
    </cfRule>
    <cfRule type="cellIs" dxfId="935" priority="693" operator="equal">
      <formula>"B"</formula>
    </cfRule>
    <cfRule type="cellIs" dxfId="934" priority="694" operator="equal">
      <formula>"S"</formula>
    </cfRule>
    <cfRule type="cellIs" dxfId="933" priority="695" operator="equal">
      <formula>"S"</formula>
    </cfRule>
    <cfRule type="cellIs" dxfId="932" priority="696" operator="equal">
      <formula>"B"</formula>
    </cfRule>
    <cfRule type="expression" dxfId="931" priority="697">
      <formula>$AW2566="D"</formula>
    </cfRule>
    <cfRule type="cellIs" dxfId="930" priority="698" operator="equal">
      <formula>"B"</formula>
    </cfRule>
    <cfRule type="cellIs" dxfId="929" priority="699" operator="equal">
      <formula>"S"</formula>
    </cfRule>
    <cfRule type="expression" dxfId="928" priority="700">
      <formula>$AW2566="D"</formula>
    </cfRule>
    <cfRule type="cellIs" dxfId="927" priority="701" operator="equal">
      <formula>"B"</formula>
    </cfRule>
    <cfRule type="cellIs" dxfId="926" priority="702" operator="equal">
      <formula>"S"</formula>
    </cfRule>
    <cfRule type="cellIs" dxfId="925" priority="703" operator="equal">
      <formula>"S"</formula>
    </cfRule>
    <cfRule type="cellIs" dxfId="924" priority="704" operator="equal">
      <formula>"B"</formula>
    </cfRule>
    <cfRule type="expression" dxfId="923" priority="705">
      <formula>$AW2566="D"</formula>
    </cfRule>
    <cfRule type="cellIs" dxfId="922" priority="706" operator="equal">
      <formula>"B"</formula>
    </cfRule>
    <cfRule type="cellIs" dxfId="921" priority="707" operator="equal">
      <formula>"S"</formula>
    </cfRule>
    <cfRule type="expression" dxfId="920" priority="708">
      <formula>$AW2566="D"</formula>
    </cfRule>
    <cfRule type="cellIs" dxfId="919" priority="709" operator="equal">
      <formula>"B"</formula>
    </cfRule>
    <cfRule type="cellIs" dxfId="918" priority="710" operator="equal">
      <formula>"S"</formula>
    </cfRule>
    <cfRule type="cellIs" dxfId="917" priority="711" operator="equal">
      <formula>"S"</formula>
    </cfRule>
    <cfRule type="cellIs" dxfId="916" priority="712" operator="equal">
      <formula>"B"</formula>
    </cfRule>
    <cfRule type="expression" dxfId="915" priority="713">
      <formula>$AW2566="D"</formula>
    </cfRule>
    <cfRule type="cellIs" dxfId="914" priority="714" operator="equal">
      <formula>"B"</formula>
    </cfRule>
    <cfRule type="cellIs" dxfId="913" priority="715" operator="equal">
      <formula>"S"</formula>
    </cfRule>
    <cfRule type="expression" dxfId="912" priority="716">
      <formula>$AW2566="D"</formula>
    </cfRule>
    <cfRule type="cellIs" dxfId="911" priority="717" operator="equal">
      <formula>"B"</formula>
    </cfRule>
    <cfRule type="cellIs" dxfId="910" priority="718" operator="equal">
      <formula>"S"</formula>
    </cfRule>
    <cfRule type="expression" dxfId="909" priority="719">
      <formula>$AW2566="D"</formula>
    </cfRule>
    <cfRule type="cellIs" dxfId="908" priority="720" operator="equal">
      <formula>"B"</formula>
    </cfRule>
    <cfRule type="cellIs" dxfId="907" priority="721" operator="equal">
      <formula>"S"</formula>
    </cfRule>
    <cfRule type="expression" dxfId="906" priority="722">
      <formula>$AW2566="D"</formula>
    </cfRule>
    <cfRule type="cellIs" dxfId="905" priority="723" operator="equal">
      <formula>"B"</formula>
    </cfRule>
    <cfRule type="cellIs" dxfId="904" priority="724" operator="equal">
      <formula>"S"</formula>
    </cfRule>
    <cfRule type="cellIs" dxfId="903" priority="725" operator="equal">
      <formula>"S"</formula>
    </cfRule>
    <cfRule type="cellIs" dxfId="902" priority="726" operator="equal">
      <formula>"B"</formula>
    </cfRule>
    <cfRule type="expression" dxfId="901" priority="727">
      <formula>$AW2566="D"</formula>
    </cfRule>
    <cfRule type="cellIs" dxfId="900" priority="728" operator="equal">
      <formula>"B"</formula>
    </cfRule>
    <cfRule type="cellIs" dxfId="899" priority="729" operator="equal">
      <formula>"S"</formula>
    </cfRule>
    <cfRule type="expression" dxfId="898" priority="730">
      <formula>$AW2566="D"</formula>
    </cfRule>
    <cfRule type="cellIs" dxfId="897" priority="731" operator="equal">
      <formula>"B"</formula>
    </cfRule>
    <cfRule type="cellIs" dxfId="896" priority="732" operator="equal">
      <formula>"S"</formula>
    </cfRule>
    <cfRule type="expression" dxfId="895" priority="733">
      <formula>$AW2566="D"</formula>
    </cfRule>
    <cfRule type="cellIs" dxfId="894" priority="734" operator="equal">
      <formula>"B"</formula>
    </cfRule>
    <cfRule type="cellIs" dxfId="893" priority="735" operator="equal">
      <formula>"S"</formula>
    </cfRule>
    <cfRule type="expression" dxfId="892" priority="736">
      <formula>$AW2566="D"</formula>
    </cfRule>
    <cfRule type="cellIs" dxfId="891" priority="737" operator="equal">
      <formula>"B"</formula>
    </cfRule>
    <cfRule type="cellIs" dxfId="890" priority="738" operator="equal">
      <formula>"S"</formula>
    </cfRule>
    <cfRule type="cellIs" dxfId="889" priority="739" operator="equal">
      <formula>"S"</formula>
    </cfRule>
    <cfRule type="cellIs" dxfId="888" priority="740" operator="equal">
      <formula>"B"</formula>
    </cfRule>
    <cfRule type="expression" dxfId="887" priority="741">
      <formula>$AW2566="D"</formula>
    </cfRule>
    <cfRule type="cellIs" dxfId="886" priority="742" operator="equal">
      <formula>"B"</formula>
    </cfRule>
    <cfRule type="cellIs" dxfId="885" priority="743" operator="equal">
      <formula>"S"</formula>
    </cfRule>
    <cfRule type="expression" dxfId="884" priority="744">
      <formula>$AW2566="D"</formula>
    </cfRule>
    <cfRule type="cellIs" dxfId="883" priority="745" operator="equal">
      <formula>"B"</formula>
    </cfRule>
    <cfRule type="cellIs" dxfId="882" priority="746" operator="equal">
      <formula>"S"</formula>
    </cfRule>
  </conditionalFormatting>
  <conditionalFormatting sqref="Z2566">
    <cfRule type="expression" dxfId="881" priority="747">
      <formula>$AW2566="D"</formula>
    </cfRule>
  </conditionalFormatting>
  <conditionalFormatting sqref="Y2566:Z2566">
    <cfRule type="expression" dxfId="880" priority="686">
      <formula>$AW2566="D"</formula>
    </cfRule>
  </conditionalFormatting>
  <conditionalFormatting sqref="Y2567">
    <cfRule type="cellIs" dxfId="879" priority="625" operator="equal">
      <formula>"S"</formula>
    </cfRule>
    <cfRule type="cellIs" dxfId="878" priority="626" operator="equal">
      <formula>"B"</formula>
    </cfRule>
    <cfRule type="expression" dxfId="877" priority="627">
      <formula>$AW2567="D"</formula>
    </cfRule>
    <cfRule type="cellIs" dxfId="876" priority="628" operator="equal">
      <formula>"B"</formula>
    </cfRule>
    <cfRule type="cellIs" dxfId="875" priority="629" operator="equal">
      <formula>"S"</formula>
    </cfRule>
    <cfRule type="expression" dxfId="874" priority="630">
      <formula>$AW2567="D"</formula>
    </cfRule>
    <cfRule type="cellIs" dxfId="873" priority="631" operator="equal">
      <formula>"B"</formula>
    </cfRule>
    <cfRule type="cellIs" dxfId="872" priority="632" operator="equal">
      <formula>"S"</formula>
    </cfRule>
    <cfRule type="cellIs" dxfId="871" priority="633" operator="equal">
      <formula>"S"</formula>
    </cfRule>
    <cfRule type="cellIs" dxfId="870" priority="634" operator="equal">
      <formula>"B"</formula>
    </cfRule>
    <cfRule type="expression" dxfId="869" priority="635">
      <formula>$AW2567="D"</formula>
    </cfRule>
    <cfRule type="cellIs" dxfId="868" priority="636" operator="equal">
      <formula>"B"</formula>
    </cfRule>
    <cfRule type="cellIs" dxfId="867" priority="637" operator="equal">
      <formula>"S"</formula>
    </cfRule>
    <cfRule type="expression" dxfId="866" priority="638">
      <formula>$AW2567="D"</formula>
    </cfRule>
    <cfRule type="cellIs" dxfId="865" priority="639" operator="equal">
      <formula>"B"</formula>
    </cfRule>
    <cfRule type="cellIs" dxfId="864" priority="640" operator="equal">
      <formula>"S"</formula>
    </cfRule>
    <cfRule type="cellIs" dxfId="863" priority="641" operator="equal">
      <formula>"S"</formula>
    </cfRule>
    <cfRule type="cellIs" dxfId="862" priority="642" operator="equal">
      <formula>"B"</formula>
    </cfRule>
    <cfRule type="expression" dxfId="861" priority="643">
      <formula>$AW2567="D"</formula>
    </cfRule>
    <cfRule type="cellIs" dxfId="860" priority="644" operator="equal">
      <formula>"B"</formula>
    </cfRule>
    <cfRule type="cellIs" dxfId="859" priority="645" operator="equal">
      <formula>"S"</formula>
    </cfRule>
    <cfRule type="expression" dxfId="858" priority="646">
      <formula>$AW2567="D"</formula>
    </cfRule>
    <cfRule type="cellIs" dxfId="857" priority="647" operator="equal">
      <formula>"B"</formula>
    </cfRule>
    <cfRule type="cellIs" dxfId="856" priority="648" operator="equal">
      <formula>"S"</formula>
    </cfRule>
    <cfRule type="cellIs" dxfId="855" priority="649" operator="equal">
      <formula>"S"</formula>
    </cfRule>
    <cfRule type="cellIs" dxfId="854" priority="650" operator="equal">
      <formula>"B"</formula>
    </cfRule>
    <cfRule type="expression" dxfId="853" priority="651">
      <formula>$AW2567="D"</formula>
    </cfRule>
    <cfRule type="cellIs" dxfId="852" priority="652" operator="equal">
      <formula>"B"</formula>
    </cfRule>
    <cfRule type="cellIs" dxfId="851" priority="653" operator="equal">
      <formula>"S"</formula>
    </cfRule>
    <cfRule type="expression" dxfId="850" priority="654">
      <formula>$AW2567="D"</formula>
    </cfRule>
    <cfRule type="cellIs" dxfId="849" priority="655" operator="equal">
      <formula>"B"</formula>
    </cfRule>
    <cfRule type="cellIs" dxfId="848" priority="656" operator="equal">
      <formula>"S"</formula>
    </cfRule>
    <cfRule type="expression" dxfId="847" priority="657">
      <formula>$AW2567="D"</formula>
    </cfRule>
    <cfRule type="cellIs" dxfId="846" priority="658" operator="equal">
      <formula>"B"</formula>
    </cfRule>
    <cfRule type="cellIs" dxfId="845" priority="659" operator="equal">
      <formula>"S"</formula>
    </cfRule>
    <cfRule type="expression" dxfId="844" priority="660">
      <formula>$AW2567="D"</formula>
    </cfRule>
    <cfRule type="cellIs" dxfId="843" priority="661" operator="equal">
      <formula>"B"</formula>
    </cfRule>
    <cfRule type="cellIs" dxfId="842" priority="662" operator="equal">
      <formula>"S"</formula>
    </cfRule>
    <cfRule type="cellIs" dxfId="841" priority="663" operator="equal">
      <formula>"S"</formula>
    </cfRule>
    <cfRule type="cellIs" dxfId="840" priority="664" operator="equal">
      <formula>"B"</formula>
    </cfRule>
    <cfRule type="expression" dxfId="839" priority="665">
      <formula>$AW2567="D"</formula>
    </cfRule>
    <cfRule type="cellIs" dxfId="838" priority="666" operator="equal">
      <formula>"B"</formula>
    </cfRule>
    <cfRule type="cellIs" dxfId="837" priority="667" operator="equal">
      <formula>"S"</formula>
    </cfRule>
    <cfRule type="expression" dxfId="836" priority="668">
      <formula>$AW2567="D"</formula>
    </cfRule>
    <cfRule type="cellIs" dxfId="835" priority="669" operator="equal">
      <formula>"B"</formula>
    </cfRule>
    <cfRule type="cellIs" dxfId="834" priority="670" operator="equal">
      <formula>"S"</formula>
    </cfRule>
    <cfRule type="expression" dxfId="833" priority="671">
      <formula>$AW2567="D"</formula>
    </cfRule>
    <cfRule type="cellIs" dxfId="832" priority="672" operator="equal">
      <formula>"B"</formula>
    </cfRule>
    <cfRule type="cellIs" dxfId="831" priority="673" operator="equal">
      <formula>"S"</formula>
    </cfRule>
    <cfRule type="expression" dxfId="830" priority="674">
      <formula>$AW2567="D"</formula>
    </cfRule>
    <cfRule type="cellIs" dxfId="829" priority="675" operator="equal">
      <formula>"B"</formula>
    </cfRule>
    <cfRule type="cellIs" dxfId="828" priority="676" operator="equal">
      <formula>"S"</formula>
    </cfRule>
    <cfRule type="cellIs" dxfId="827" priority="677" operator="equal">
      <formula>"S"</formula>
    </cfRule>
    <cfRule type="cellIs" dxfId="826" priority="678" operator="equal">
      <formula>"B"</formula>
    </cfRule>
    <cfRule type="expression" dxfId="825" priority="679">
      <formula>$AW2567="D"</formula>
    </cfRule>
    <cfRule type="cellIs" dxfId="824" priority="680" operator="equal">
      <formula>"B"</formula>
    </cfRule>
    <cfRule type="cellIs" dxfId="823" priority="681" operator="equal">
      <formula>"S"</formula>
    </cfRule>
    <cfRule type="expression" dxfId="822" priority="682">
      <formula>$AW2567="D"</formula>
    </cfRule>
    <cfRule type="cellIs" dxfId="821" priority="683" operator="equal">
      <formula>"B"</formula>
    </cfRule>
    <cfRule type="cellIs" dxfId="820" priority="684" operator="equal">
      <formula>"S"</formula>
    </cfRule>
  </conditionalFormatting>
  <conditionalFormatting sqref="Z2567">
    <cfRule type="expression" dxfId="819" priority="685">
      <formula>$AW2567="D"</formula>
    </cfRule>
  </conditionalFormatting>
  <conditionalFormatting sqref="Y2567:Z2567">
    <cfRule type="expression" dxfId="818" priority="624">
      <formula>$AW2567="D"</formula>
    </cfRule>
  </conditionalFormatting>
  <conditionalFormatting sqref="AM2561:AM2589">
    <cfRule type="cellIs" dxfId="817" priority="829" operator="lessThanOrEqual">
      <formula>$AM$1239</formula>
    </cfRule>
  </conditionalFormatting>
  <conditionalFormatting sqref="A2569:G2570 A2568:F2568 A2571:F2572 A2573:G2573 A2574:F2577">
    <cfRule type="expression" dxfId="816" priority="613">
      <formula>$AW2568="D"</formula>
    </cfRule>
  </conditionalFormatting>
  <conditionalFormatting sqref="H2569:J2577">
    <cfRule type="cellIs" dxfId="815" priority="616" operator="equal">
      <formula>1</formula>
    </cfRule>
  </conditionalFormatting>
  <conditionalFormatting sqref="K2569:K2577">
    <cfRule type="containsText" dxfId="814" priority="617" operator="containsText" text="H">
      <formula>NOT(ISERROR(SEARCH(("H"),(K2569))))</formula>
    </cfRule>
    <cfRule type="containsText" dxfId="813" priority="618" operator="containsText" text="D">
      <formula>NOT(ISERROR(SEARCH(("D"),(K2569))))</formula>
    </cfRule>
  </conditionalFormatting>
  <conditionalFormatting sqref="O2569:O2574 O2577:O2579">
    <cfRule type="expression" dxfId="812" priority="615">
      <formula>$AW2569="D"</formula>
    </cfRule>
  </conditionalFormatting>
  <conditionalFormatting sqref="Q2569:Q2574 Q2577:Q2579">
    <cfRule type="cellIs" dxfId="811" priority="621" operator="equal">
      <formula>"F"</formula>
    </cfRule>
  </conditionalFormatting>
  <conditionalFormatting sqref="U2569:U2574 U2577:U2579">
    <cfRule type="containsText" dxfId="810" priority="609" operator="containsText" text="S">
      <formula>NOT(ISERROR(SEARCH("S",U2569)))</formula>
    </cfRule>
    <cfRule type="containsText" dxfId="809" priority="610" operator="containsText" text="B">
      <formula>NOT(ISERROR(SEARCH("B",U2569)))</formula>
    </cfRule>
  </conditionalFormatting>
  <conditionalFormatting sqref="U2569:X2574 U2577:X2577">
    <cfRule type="expression" dxfId="808" priority="607">
      <formula>$AW2569="L"</formula>
    </cfRule>
    <cfRule type="expression" dxfId="807" priority="608">
      <formula>$AW2569="W"</formula>
    </cfRule>
  </conditionalFormatting>
  <conditionalFormatting sqref="U2569:X2574 U2577:X2577">
    <cfRule type="expression" dxfId="806" priority="606">
      <formula>$AW2569="D"</formula>
    </cfRule>
  </conditionalFormatting>
  <conditionalFormatting sqref="A2569:T2570 A2568:F2568 AE2568:AL2568 A2571:F2572 H2571:T2572 A2573:T2573 AA2569:AL2574 H2574:T2574 H2575:N2576 AB2575:AL2576 A2574:F2577 AA2577:AL2577 H2577:T2577 AN2568:BF2577">
    <cfRule type="expression" dxfId="805" priority="612">
      <formula>$AW2568="L"</formula>
    </cfRule>
  </conditionalFormatting>
  <conditionalFormatting sqref="A2569:T2570 A2568:F2568 AE2568:AL2568 A2571:F2572 H2571:T2572 A2573:T2573 AA2569:AL2574 H2574:T2574 H2575:N2576 AB2575:AL2576 A2574:F2577 AA2577:AL2577 H2577:T2577 AN2568:BF2577">
    <cfRule type="expression" dxfId="804" priority="619">
      <formula>$AW2568="D"</formula>
    </cfRule>
  </conditionalFormatting>
  <conditionalFormatting sqref="A2569:T2570 A2568:F2568 AE2568:AL2568 A2571:F2572 H2571:T2572 A2573:T2573 AA2569:AL2574 H2574:T2574 H2575:N2576 AB2575:AL2576 A2574:F2577 AA2577:AL2577 H2577:T2577 AN2568:BF2577">
    <cfRule type="expression" dxfId="803" priority="611">
      <formula>$AW2568="W"</formula>
    </cfRule>
  </conditionalFormatting>
  <conditionalFormatting sqref="AJ2568:AJ2577">
    <cfRule type="expression" dxfId="802" priority="605">
      <formula>$AW2568="D"</formula>
    </cfRule>
  </conditionalFormatting>
  <conditionalFormatting sqref="AL2568:AL2577">
    <cfRule type="cellIs" dxfId="801" priority="620" operator="lessThanOrEqual">
      <formula>-110</formula>
    </cfRule>
  </conditionalFormatting>
  <conditionalFormatting sqref="AL2568:AL2577">
    <cfRule type="expression" dxfId="800" priority="614">
      <formula>$AW2568="D"</formula>
    </cfRule>
  </conditionalFormatting>
  <conditionalFormatting sqref="AU2568:AU2577">
    <cfRule type="cellIs" dxfId="799" priority="622" operator="greaterThan">
      <formula>0</formula>
    </cfRule>
    <cfRule type="cellIs" dxfId="798" priority="623" operator="lessThan">
      <formula>0</formula>
    </cfRule>
  </conditionalFormatting>
  <conditionalFormatting sqref="K2568">
    <cfRule type="containsText" dxfId="797" priority="602" operator="containsText" text="H">
      <formula>NOT(ISERROR(SEARCH(("H"),(K2568))))</formula>
    </cfRule>
    <cfRule type="containsText" dxfId="796" priority="603" operator="containsText" text="D">
      <formula>NOT(ISERROR(SEARCH(("D"),(K2568))))</formula>
    </cfRule>
  </conditionalFormatting>
  <conditionalFormatting sqref="O2568">
    <cfRule type="expression" dxfId="795" priority="601">
      <formula>$AW2568="D"</formula>
    </cfRule>
  </conditionalFormatting>
  <conditionalFormatting sqref="Q2568">
    <cfRule type="cellIs" dxfId="794" priority="604" operator="equal">
      <formula>"F"</formula>
    </cfRule>
  </conditionalFormatting>
  <conditionalFormatting sqref="U2568">
    <cfRule type="containsText" dxfId="793" priority="599" operator="containsText" text="S">
      <formula>NOT(ISERROR(SEARCH("S",U2568)))</formula>
    </cfRule>
    <cfRule type="containsText" dxfId="792" priority="600" operator="containsText" text="B">
      <formula>NOT(ISERROR(SEARCH("B",U2568)))</formula>
    </cfRule>
  </conditionalFormatting>
  <conditionalFormatting sqref="G2568">
    <cfRule type="expression" dxfId="791" priority="596">
      <formula>$AW2568="D"</formula>
    </cfRule>
  </conditionalFormatting>
  <conditionalFormatting sqref="H2568:J2568">
    <cfRule type="cellIs" dxfId="790" priority="597" operator="equal">
      <formula>1</formula>
    </cfRule>
  </conditionalFormatting>
  <conditionalFormatting sqref="U2568:X2568">
    <cfRule type="expression" dxfId="789" priority="592">
      <formula>$AW2568="L"</formula>
    </cfRule>
    <cfRule type="expression" dxfId="788" priority="593">
      <formula>$AW2568="W"</formula>
    </cfRule>
  </conditionalFormatting>
  <conditionalFormatting sqref="U2568:X2568">
    <cfRule type="expression" dxfId="787" priority="591">
      <formula>$AW2568="D"</formula>
    </cfRule>
  </conditionalFormatting>
  <conditionalFormatting sqref="Y2568:AD2568 G2568:T2568 Y2569:Z2572">
    <cfRule type="expression" dxfId="786" priority="595">
      <formula>$AW2568="L"</formula>
    </cfRule>
  </conditionalFormatting>
  <conditionalFormatting sqref="Y2568:AD2568 G2568:T2568 Y2569:Z2572">
    <cfRule type="expression" dxfId="785" priority="598">
      <formula>$AW2568="D"</formula>
    </cfRule>
  </conditionalFormatting>
  <conditionalFormatting sqref="Y2568:AD2568 G2568:T2568 Y2569:Z2572">
    <cfRule type="expression" dxfId="784" priority="594">
      <formula>$AW2568="W"</formula>
    </cfRule>
  </conditionalFormatting>
  <conditionalFormatting sqref="Y2568:Y2574">
    <cfRule type="cellIs" dxfId="783" priority="530" operator="equal">
      <formula>"S"</formula>
    </cfRule>
    <cfRule type="cellIs" dxfId="782" priority="531" operator="equal">
      <formula>"B"</formula>
    </cfRule>
    <cfRule type="expression" dxfId="781" priority="532">
      <formula>$AW2568="D"</formula>
    </cfRule>
    <cfRule type="cellIs" dxfId="780" priority="533" operator="equal">
      <formula>"B"</formula>
    </cfRule>
    <cfRule type="cellIs" dxfId="779" priority="534" operator="equal">
      <formula>"S"</formula>
    </cfRule>
    <cfRule type="expression" dxfId="778" priority="535">
      <formula>$AW2568="D"</formula>
    </cfRule>
    <cfRule type="cellIs" dxfId="777" priority="536" operator="equal">
      <formula>"B"</formula>
    </cfRule>
    <cfRule type="cellIs" dxfId="776" priority="537" operator="equal">
      <formula>"S"</formula>
    </cfRule>
    <cfRule type="cellIs" dxfId="775" priority="538" operator="equal">
      <formula>"S"</formula>
    </cfRule>
    <cfRule type="cellIs" dxfId="774" priority="539" operator="equal">
      <formula>"B"</formula>
    </cfRule>
    <cfRule type="expression" dxfId="773" priority="540">
      <formula>$AW2568="D"</formula>
    </cfRule>
    <cfRule type="cellIs" dxfId="772" priority="541" operator="equal">
      <formula>"B"</formula>
    </cfRule>
    <cfRule type="cellIs" dxfId="771" priority="542" operator="equal">
      <formula>"S"</formula>
    </cfRule>
    <cfRule type="expression" dxfId="770" priority="543">
      <formula>$AW2568="D"</formula>
    </cfRule>
    <cfRule type="cellIs" dxfId="769" priority="544" operator="equal">
      <formula>"B"</formula>
    </cfRule>
    <cfRule type="cellIs" dxfId="768" priority="545" operator="equal">
      <formula>"S"</formula>
    </cfRule>
    <cfRule type="cellIs" dxfId="767" priority="546" operator="equal">
      <formula>"S"</formula>
    </cfRule>
    <cfRule type="cellIs" dxfId="766" priority="547" operator="equal">
      <formula>"B"</formula>
    </cfRule>
    <cfRule type="expression" dxfId="765" priority="548">
      <formula>$AW2568="D"</formula>
    </cfRule>
    <cfRule type="cellIs" dxfId="764" priority="549" operator="equal">
      <formula>"B"</formula>
    </cfRule>
    <cfRule type="cellIs" dxfId="763" priority="550" operator="equal">
      <formula>"S"</formula>
    </cfRule>
    <cfRule type="expression" dxfId="762" priority="551">
      <formula>$AW2568="D"</formula>
    </cfRule>
    <cfRule type="cellIs" dxfId="761" priority="552" operator="equal">
      <formula>"B"</formula>
    </cfRule>
    <cfRule type="cellIs" dxfId="760" priority="553" operator="equal">
      <formula>"S"</formula>
    </cfRule>
    <cfRule type="cellIs" dxfId="759" priority="554" operator="equal">
      <formula>"S"</formula>
    </cfRule>
    <cfRule type="cellIs" dxfId="758" priority="555" operator="equal">
      <formula>"B"</formula>
    </cfRule>
    <cfRule type="expression" dxfId="757" priority="556">
      <formula>$AW2568="D"</formula>
    </cfRule>
    <cfRule type="cellIs" dxfId="756" priority="557" operator="equal">
      <formula>"B"</formula>
    </cfRule>
    <cfRule type="cellIs" dxfId="755" priority="558" operator="equal">
      <formula>"S"</formula>
    </cfRule>
    <cfRule type="expression" dxfId="754" priority="559">
      <formula>$AW2568="D"</formula>
    </cfRule>
    <cfRule type="cellIs" dxfId="753" priority="560" operator="equal">
      <formula>"B"</formula>
    </cfRule>
    <cfRule type="cellIs" dxfId="752" priority="561" operator="equal">
      <formula>"S"</formula>
    </cfRule>
    <cfRule type="expression" dxfId="751" priority="562">
      <formula>$AW2568="D"</formula>
    </cfRule>
    <cfRule type="cellIs" dxfId="750" priority="563" operator="equal">
      <formula>"B"</formula>
    </cfRule>
    <cfRule type="cellIs" dxfId="749" priority="564" operator="equal">
      <formula>"S"</formula>
    </cfRule>
    <cfRule type="expression" dxfId="748" priority="565">
      <formula>$AW2568="D"</formula>
    </cfRule>
    <cfRule type="cellIs" dxfId="747" priority="566" operator="equal">
      <formula>"B"</formula>
    </cfRule>
    <cfRule type="cellIs" dxfId="746" priority="567" operator="equal">
      <formula>"S"</formula>
    </cfRule>
    <cfRule type="cellIs" dxfId="745" priority="568" operator="equal">
      <formula>"S"</formula>
    </cfRule>
    <cfRule type="cellIs" dxfId="744" priority="569" operator="equal">
      <formula>"B"</formula>
    </cfRule>
    <cfRule type="expression" dxfId="743" priority="570">
      <formula>$AW2568="D"</formula>
    </cfRule>
    <cfRule type="cellIs" dxfId="742" priority="571" operator="equal">
      <formula>"B"</formula>
    </cfRule>
    <cfRule type="cellIs" dxfId="741" priority="572" operator="equal">
      <formula>"S"</formula>
    </cfRule>
    <cfRule type="expression" dxfId="740" priority="573">
      <formula>$AW2568="D"</formula>
    </cfRule>
    <cfRule type="cellIs" dxfId="739" priority="574" operator="equal">
      <formula>"B"</formula>
    </cfRule>
    <cfRule type="cellIs" dxfId="738" priority="575" operator="equal">
      <formula>"S"</formula>
    </cfRule>
    <cfRule type="expression" dxfId="737" priority="576">
      <formula>$AW2568="D"</formula>
    </cfRule>
    <cfRule type="cellIs" dxfId="736" priority="577" operator="equal">
      <formula>"B"</formula>
    </cfRule>
    <cfRule type="cellIs" dxfId="735" priority="578" operator="equal">
      <formula>"S"</formula>
    </cfRule>
    <cfRule type="expression" dxfId="734" priority="579">
      <formula>$AW2568="D"</formula>
    </cfRule>
    <cfRule type="cellIs" dxfId="733" priority="580" operator="equal">
      <formula>"B"</formula>
    </cfRule>
    <cfRule type="cellIs" dxfId="732" priority="581" operator="equal">
      <formula>"S"</formula>
    </cfRule>
    <cfRule type="cellIs" dxfId="731" priority="582" operator="equal">
      <formula>"S"</formula>
    </cfRule>
    <cfRule type="cellIs" dxfId="730" priority="583" operator="equal">
      <formula>"B"</formula>
    </cfRule>
    <cfRule type="expression" dxfId="729" priority="584">
      <formula>$AW2568="D"</formula>
    </cfRule>
    <cfRule type="cellIs" dxfId="728" priority="585" operator="equal">
      <formula>"B"</formula>
    </cfRule>
    <cfRule type="cellIs" dxfId="727" priority="586" operator="equal">
      <formula>"S"</formula>
    </cfRule>
    <cfRule type="expression" dxfId="726" priority="587">
      <formula>$AW2568="D"</formula>
    </cfRule>
    <cfRule type="cellIs" dxfId="725" priority="588" operator="equal">
      <formula>"B"</formula>
    </cfRule>
    <cfRule type="cellIs" dxfId="724" priority="589" operator="equal">
      <formula>"S"</formula>
    </cfRule>
  </conditionalFormatting>
  <conditionalFormatting sqref="Z2568:Z2574">
    <cfRule type="expression" dxfId="723" priority="590">
      <formula>$AW2568="D"</formula>
    </cfRule>
  </conditionalFormatting>
  <conditionalFormatting sqref="Y2568:Z2572">
    <cfRule type="expression" dxfId="722" priority="529">
      <formula>$AW2568="D"</formula>
    </cfRule>
  </conditionalFormatting>
  <conditionalFormatting sqref="G2571:G2572">
    <cfRule type="expression" dxfId="721" priority="527">
      <formula>$AW2571="D"</formula>
    </cfRule>
  </conditionalFormatting>
  <conditionalFormatting sqref="G2571:G2572">
    <cfRule type="expression" dxfId="720" priority="526">
      <formula>$AW2571="L"</formula>
    </cfRule>
  </conditionalFormatting>
  <conditionalFormatting sqref="G2571:G2572">
    <cfRule type="expression" dxfId="719" priority="528">
      <formula>$AW2571="D"</formula>
    </cfRule>
  </conditionalFormatting>
  <conditionalFormatting sqref="G2571:G2572">
    <cfRule type="expression" dxfId="718" priority="525">
      <formula>$AW2571="W"</formula>
    </cfRule>
  </conditionalFormatting>
  <conditionalFormatting sqref="Y2573:Z2573">
    <cfRule type="expression" dxfId="717" priority="523">
      <formula>$AW2573="L"</formula>
    </cfRule>
  </conditionalFormatting>
  <conditionalFormatting sqref="Y2573:Z2573">
    <cfRule type="expression" dxfId="716" priority="524">
      <formula>$AW2573="D"</formula>
    </cfRule>
  </conditionalFormatting>
  <conditionalFormatting sqref="Y2573:Z2573">
    <cfRule type="expression" dxfId="715" priority="522">
      <formula>$AW2573="W"</formula>
    </cfRule>
  </conditionalFormatting>
  <conditionalFormatting sqref="Y2573:Z2573">
    <cfRule type="expression" dxfId="714" priority="521">
      <formula>$AW2573="D"</formula>
    </cfRule>
  </conditionalFormatting>
  <conditionalFormatting sqref="G2575:G2577">
    <cfRule type="expression" dxfId="713" priority="519">
      <formula>$AW2575="D"</formula>
    </cfRule>
  </conditionalFormatting>
  <conditionalFormatting sqref="G2575:G2577">
    <cfRule type="expression" dxfId="712" priority="518">
      <formula>$AW2575="L"</formula>
    </cfRule>
  </conditionalFormatting>
  <conditionalFormatting sqref="G2575:G2577">
    <cfRule type="expression" dxfId="711" priority="520">
      <formula>$AW2575="D"</formula>
    </cfRule>
  </conditionalFormatting>
  <conditionalFormatting sqref="G2575:G2577">
    <cfRule type="expression" dxfId="710" priority="517">
      <formula>$AW2575="W"</formula>
    </cfRule>
  </conditionalFormatting>
  <conditionalFormatting sqref="Y2574:Z2574">
    <cfRule type="expression" dxfId="709" priority="515">
      <formula>$AW2574="L"</formula>
    </cfRule>
  </conditionalFormatting>
  <conditionalFormatting sqref="Y2574:Z2574">
    <cfRule type="expression" dxfId="708" priority="516">
      <formula>$AW2574="D"</formula>
    </cfRule>
  </conditionalFormatting>
  <conditionalFormatting sqref="Y2574:Z2574">
    <cfRule type="expression" dxfId="707" priority="514">
      <formula>$AW2574="W"</formula>
    </cfRule>
  </conditionalFormatting>
  <conditionalFormatting sqref="Y2574:Z2574">
    <cfRule type="expression" dxfId="706" priority="513">
      <formula>$AW2574="D"</formula>
    </cfRule>
  </conditionalFormatting>
  <conditionalFormatting sqref="O2575:O2576">
    <cfRule type="expression" dxfId="705" priority="510">
      <formula>$AW2575="D"</formula>
    </cfRule>
  </conditionalFormatting>
  <conditionalFormatting sqref="Q2575:Q2576">
    <cfRule type="cellIs" dxfId="704" priority="512" operator="equal">
      <formula>"F"</formula>
    </cfRule>
  </conditionalFormatting>
  <conditionalFormatting sqref="U2575:U2576">
    <cfRule type="containsText" dxfId="703" priority="506" operator="containsText" text="S">
      <formula>NOT(ISERROR(SEARCH("S",U2575)))</formula>
    </cfRule>
    <cfRule type="containsText" dxfId="702" priority="507" operator="containsText" text="B">
      <formula>NOT(ISERROR(SEARCH("B",U2575)))</formula>
    </cfRule>
  </conditionalFormatting>
  <conditionalFormatting sqref="U2575:X2575">
    <cfRule type="expression" dxfId="701" priority="504">
      <formula>$AW2575="L"</formula>
    </cfRule>
    <cfRule type="expression" dxfId="700" priority="505">
      <formula>$AW2575="W"</formula>
    </cfRule>
  </conditionalFormatting>
  <conditionalFormatting sqref="U2575:X2575">
    <cfRule type="expression" dxfId="699" priority="503">
      <formula>$AW2575="D"</formula>
    </cfRule>
  </conditionalFormatting>
  <conditionalFormatting sqref="Y2575:AA2575 O2575:T2575">
    <cfRule type="expression" dxfId="698" priority="509">
      <formula>$AW2575="L"</formula>
    </cfRule>
  </conditionalFormatting>
  <conditionalFormatting sqref="Y2575:AA2575 O2575:T2575">
    <cfRule type="expression" dxfId="697" priority="511">
      <formula>$AW2575="D"</formula>
    </cfRule>
  </conditionalFormatting>
  <conditionalFormatting sqref="Y2575:AA2575 O2575:T2575">
    <cfRule type="expression" dxfId="696" priority="508">
      <formula>$AW2575="W"</formula>
    </cfRule>
  </conditionalFormatting>
  <conditionalFormatting sqref="Y2575:Y2576">
    <cfRule type="cellIs" dxfId="695" priority="442" operator="equal">
      <formula>"S"</formula>
    </cfRule>
    <cfRule type="cellIs" dxfId="694" priority="443" operator="equal">
      <formula>"B"</formula>
    </cfRule>
    <cfRule type="expression" dxfId="693" priority="444">
      <formula>$AW2575="D"</formula>
    </cfRule>
    <cfRule type="cellIs" dxfId="692" priority="445" operator="equal">
      <formula>"B"</formula>
    </cfRule>
    <cfRule type="cellIs" dxfId="691" priority="446" operator="equal">
      <formula>"S"</formula>
    </cfRule>
    <cfRule type="expression" dxfId="690" priority="447">
      <formula>$AW2575="D"</formula>
    </cfRule>
    <cfRule type="cellIs" dxfId="689" priority="448" operator="equal">
      <formula>"B"</formula>
    </cfRule>
    <cfRule type="cellIs" dxfId="688" priority="449" operator="equal">
      <formula>"S"</formula>
    </cfRule>
    <cfRule type="cellIs" dxfId="687" priority="450" operator="equal">
      <formula>"S"</formula>
    </cfRule>
    <cfRule type="cellIs" dxfId="686" priority="451" operator="equal">
      <formula>"B"</formula>
    </cfRule>
    <cfRule type="expression" dxfId="685" priority="452">
      <formula>$AW2575="D"</formula>
    </cfRule>
    <cfRule type="cellIs" dxfId="684" priority="453" operator="equal">
      <formula>"B"</formula>
    </cfRule>
    <cfRule type="cellIs" dxfId="683" priority="454" operator="equal">
      <formula>"S"</formula>
    </cfRule>
    <cfRule type="expression" dxfId="682" priority="455">
      <formula>$AW2575="D"</formula>
    </cfRule>
    <cfRule type="cellIs" dxfId="681" priority="456" operator="equal">
      <formula>"B"</formula>
    </cfRule>
    <cfRule type="cellIs" dxfId="680" priority="457" operator="equal">
      <formula>"S"</formula>
    </cfRule>
    <cfRule type="cellIs" dxfId="679" priority="458" operator="equal">
      <formula>"S"</formula>
    </cfRule>
    <cfRule type="cellIs" dxfId="678" priority="459" operator="equal">
      <formula>"B"</formula>
    </cfRule>
    <cfRule type="expression" dxfId="677" priority="460">
      <formula>$AW2575="D"</formula>
    </cfRule>
    <cfRule type="cellIs" dxfId="676" priority="461" operator="equal">
      <formula>"B"</formula>
    </cfRule>
    <cfRule type="cellIs" dxfId="675" priority="462" operator="equal">
      <formula>"S"</formula>
    </cfRule>
    <cfRule type="expression" dxfId="674" priority="463">
      <formula>$AW2575="D"</formula>
    </cfRule>
    <cfRule type="cellIs" dxfId="673" priority="464" operator="equal">
      <formula>"B"</formula>
    </cfRule>
    <cfRule type="cellIs" dxfId="672" priority="465" operator="equal">
      <formula>"S"</formula>
    </cfRule>
    <cfRule type="cellIs" dxfId="671" priority="466" operator="equal">
      <formula>"S"</formula>
    </cfRule>
    <cfRule type="cellIs" dxfId="670" priority="467" operator="equal">
      <formula>"B"</formula>
    </cfRule>
    <cfRule type="expression" dxfId="669" priority="468">
      <formula>$AW2575="D"</formula>
    </cfRule>
    <cfRule type="cellIs" dxfId="668" priority="469" operator="equal">
      <formula>"B"</formula>
    </cfRule>
    <cfRule type="cellIs" dxfId="667" priority="470" operator="equal">
      <formula>"S"</formula>
    </cfRule>
    <cfRule type="expression" dxfId="666" priority="471">
      <formula>$AW2575="D"</formula>
    </cfRule>
    <cfRule type="cellIs" dxfId="665" priority="472" operator="equal">
      <formula>"B"</formula>
    </cfRule>
    <cfRule type="cellIs" dxfId="664" priority="473" operator="equal">
      <formula>"S"</formula>
    </cfRule>
    <cfRule type="expression" dxfId="663" priority="474">
      <formula>$AW2575="D"</formula>
    </cfRule>
    <cfRule type="cellIs" dxfId="662" priority="475" operator="equal">
      <formula>"B"</formula>
    </cfRule>
    <cfRule type="cellIs" dxfId="661" priority="476" operator="equal">
      <formula>"S"</formula>
    </cfRule>
    <cfRule type="expression" dxfId="660" priority="477">
      <formula>$AW2575="D"</formula>
    </cfRule>
    <cfRule type="cellIs" dxfId="659" priority="478" operator="equal">
      <formula>"B"</formula>
    </cfRule>
    <cfRule type="cellIs" dxfId="658" priority="479" operator="equal">
      <formula>"S"</formula>
    </cfRule>
    <cfRule type="cellIs" dxfId="657" priority="480" operator="equal">
      <formula>"S"</formula>
    </cfRule>
    <cfRule type="cellIs" dxfId="656" priority="481" operator="equal">
      <formula>"B"</formula>
    </cfRule>
    <cfRule type="expression" dxfId="655" priority="482">
      <formula>$AW2575="D"</formula>
    </cfRule>
    <cfRule type="cellIs" dxfId="654" priority="483" operator="equal">
      <formula>"B"</formula>
    </cfRule>
    <cfRule type="cellIs" dxfId="653" priority="484" operator="equal">
      <formula>"S"</formula>
    </cfRule>
    <cfRule type="expression" dxfId="652" priority="485">
      <formula>$AW2575="D"</formula>
    </cfRule>
    <cfRule type="cellIs" dxfId="651" priority="486" operator="equal">
      <formula>"B"</formula>
    </cfRule>
    <cfRule type="cellIs" dxfId="650" priority="487" operator="equal">
      <formula>"S"</formula>
    </cfRule>
    <cfRule type="expression" dxfId="649" priority="488">
      <formula>$AW2575="D"</formula>
    </cfRule>
    <cfRule type="cellIs" dxfId="648" priority="489" operator="equal">
      <formula>"B"</formula>
    </cfRule>
    <cfRule type="cellIs" dxfId="647" priority="490" operator="equal">
      <formula>"S"</formula>
    </cfRule>
    <cfRule type="expression" dxfId="646" priority="491">
      <formula>$AW2575="D"</formula>
    </cfRule>
    <cfRule type="cellIs" dxfId="645" priority="492" operator="equal">
      <formula>"B"</formula>
    </cfRule>
    <cfRule type="cellIs" dxfId="644" priority="493" operator="equal">
      <formula>"S"</formula>
    </cfRule>
    <cfRule type="cellIs" dxfId="643" priority="494" operator="equal">
      <formula>"S"</formula>
    </cfRule>
    <cfRule type="cellIs" dxfId="642" priority="495" operator="equal">
      <formula>"B"</formula>
    </cfRule>
    <cfRule type="expression" dxfId="641" priority="496">
      <formula>$AW2575="D"</formula>
    </cfRule>
    <cfRule type="cellIs" dxfId="640" priority="497" operator="equal">
      <formula>"B"</formula>
    </cfRule>
    <cfRule type="cellIs" dxfId="639" priority="498" operator="equal">
      <formula>"S"</formula>
    </cfRule>
    <cfRule type="expression" dxfId="638" priority="499">
      <formula>$AW2575="D"</formula>
    </cfRule>
    <cfRule type="cellIs" dxfId="637" priority="500" operator="equal">
      <formula>"B"</formula>
    </cfRule>
    <cfRule type="cellIs" dxfId="636" priority="501" operator="equal">
      <formula>"S"</formula>
    </cfRule>
  </conditionalFormatting>
  <conditionalFormatting sqref="Z2575:Z2576">
    <cfRule type="expression" dxfId="635" priority="502">
      <formula>$AW2575="D"</formula>
    </cfRule>
  </conditionalFormatting>
  <conditionalFormatting sqref="Y2575:Z2575">
    <cfRule type="expression" dxfId="634" priority="441">
      <formula>$AW2575="D"</formula>
    </cfRule>
  </conditionalFormatting>
  <conditionalFormatting sqref="U2576:X2576">
    <cfRule type="expression" dxfId="633" priority="436">
      <formula>$AW2576="L"</formula>
    </cfRule>
    <cfRule type="expression" dxfId="632" priority="437">
      <formula>$AW2576="W"</formula>
    </cfRule>
  </conditionalFormatting>
  <conditionalFormatting sqref="U2576:X2576">
    <cfRule type="expression" dxfId="631" priority="435">
      <formula>$AW2576="D"</formula>
    </cfRule>
  </conditionalFormatting>
  <conditionalFormatting sqref="Y2576:AA2576 O2576:T2576">
    <cfRule type="expression" dxfId="630" priority="439">
      <formula>$AW2576="L"</formula>
    </cfRule>
  </conditionalFormatting>
  <conditionalFormatting sqref="Y2576:AA2576 O2576:T2576">
    <cfRule type="expression" dxfId="629" priority="440">
      <formula>$AW2576="D"</formula>
    </cfRule>
  </conditionalFormatting>
  <conditionalFormatting sqref="Y2576:AA2576 O2576:T2576">
    <cfRule type="expression" dxfId="628" priority="438">
      <formula>$AW2576="W"</formula>
    </cfRule>
  </conditionalFormatting>
  <conditionalFormatting sqref="Y2576:Z2576">
    <cfRule type="expression" dxfId="627" priority="434">
      <formula>$AW2576="D"</formula>
    </cfRule>
  </conditionalFormatting>
  <conditionalFormatting sqref="Y2577">
    <cfRule type="cellIs" dxfId="626" priority="373" operator="equal">
      <formula>"S"</formula>
    </cfRule>
    <cfRule type="cellIs" dxfId="625" priority="374" operator="equal">
      <formula>"B"</formula>
    </cfRule>
    <cfRule type="expression" dxfId="624" priority="375">
      <formula>$AW2577="D"</formula>
    </cfRule>
    <cfRule type="cellIs" dxfId="623" priority="376" operator="equal">
      <formula>"B"</formula>
    </cfRule>
    <cfRule type="cellIs" dxfId="622" priority="377" operator="equal">
      <formula>"S"</formula>
    </cfRule>
    <cfRule type="expression" dxfId="621" priority="378">
      <formula>$AW2577="D"</formula>
    </cfRule>
    <cfRule type="cellIs" dxfId="620" priority="379" operator="equal">
      <formula>"B"</formula>
    </cfRule>
    <cfRule type="cellIs" dxfId="619" priority="380" operator="equal">
      <formula>"S"</formula>
    </cfRule>
    <cfRule type="cellIs" dxfId="618" priority="381" operator="equal">
      <formula>"S"</formula>
    </cfRule>
    <cfRule type="cellIs" dxfId="617" priority="382" operator="equal">
      <formula>"B"</formula>
    </cfRule>
    <cfRule type="expression" dxfId="616" priority="383">
      <formula>$AW2577="D"</formula>
    </cfRule>
    <cfRule type="cellIs" dxfId="615" priority="384" operator="equal">
      <formula>"B"</formula>
    </cfRule>
    <cfRule type="cellIs" dxfId="614" priority="385" operator="equal">
      <formula>"S"</formula>
    </cfRule>
    <cfRule type="expression" dxfId="613" priority="386">
      <formula>$AW2577="D"</formula>
    </cfRule>
    <cfRule type="cellIs" dxfId="612" priority="387" operator="equal">
      <formula>"B"</formula>
    </cfRule>
    <cfRule type="cellIs" dxfId="611" priority="388" operator="equal">
      <formula>"S"</formula>
    </cfRule>
    <cfRule type="cellIs" dxfId="610" priority="389" operator="equal">
      <formula>"S"</formula>
    </cfRule>
    <cfRule type="cellIs" dxfId="609" priority="390" operator="equal">
      <formula>"B"</formula>
    </cfRule>
    <cfRule type="expression" dxfId="608" priority="391">
      <formula>$AW2577="D"</formula>
    </cfRule>
    <cfRule type="cellIs" dxfId="607" priority="392" operator="equal">
      <formula>"B"</formula>
    </cfRule>
    <cfRule type="cellIs" dxfId="606" priority="393" operator="equal">
      <formula>"S"</formula>
    </cfRule>
    <cfRule type="expression" dxfId="605" priority="394">
      <formula>$AW2577="D"</formula>
    </cfRule>
    <cfRule type="cellIs" dxfId="604" priority="395" operator="equal">
      <formula>"B"</formula>
    </cfRule>
    <cfRule type="cellIs" dxfId="603" priority="396" operator="equal">
      <formula>"S"</formula>
    </cfRule>
    <cfRule type="cellIs" dxfId="602" priority="397" operator="equal">
      <formula>"S"</formula>
    </cfRule>
    <cfRule type="cellIs" dxfId="601" priority="398" operator="equal">
      <formula>"B"</formula>
    </cfRule>
    <cfRule type="expression" dxfId="600" priority="399">
      <formula>$AW2577="D"</formula>
    </cfRule>
    <cfRule type="cellIs" dxfId="599" priority="400" operator="equal">
      <formula>"B"</formula>
    </cfRule>
    <cfRule type="cellIs" dxfId="598" priority="401" operator="equal">
      <formula>"S"</formula>
    </cfRule>
    <cfRule type="expression" dxfId="597" priority="402">
      <formula>$AW2577="D"</formula>
    </cfRule>
    <cfRule type="cellIs" dxfId="596" priority="403" operator="equal">
      <formula>"B"</formula>
    </cfRule>
    <cfRule type="cellIs" dxfId="595" priority="404" operator="equal">
      <formula>"S"</formula>
    </cfRule>
    <cfRule type="expression" dxfId="594" priority="405">
      <formula>$AW2577="D"</formula>
    </cfRule>
    <cfRule type="cellIs" dxfId="593" priority="406" operator="equal">
      <formula>"B"</formula>
    </cfRule>
    <cfRule type="cellIs" dxfId="592" priority="407" operator="equal">
      <formula>"S"</formula>
    </cfRule>
    <cfRule type="expression" dxfId="591" priority="408">
      <formula>$AW2577="D"</formula>
    </cfRule>
    <cfRule type="cellIs" dxfId="590" priority="409" operator="equal">
      <formula>"B"</formula>
    </cfRule>
    <cfRule type="cellIs" dxfId="589" priority="410" operator="equal">
      <formula>"S"</formula>
    </cfRule>
    <cfRule type="cellIs" dxfId="588" priority="411" operator="equal">
      <formula>"S"</formula>
    </cfRule>
    <cfRule type="cellIs" dxfId="587" priority="412" operator="equal">
      <formula>"B"</formula>
    </cfRule>
    <cfRule type="expression" dxfId="586" priority="413">
      <formula>$AW2577="D"</formula>
    </cfRule>
    <cfRule type="cellIs" dxfId="585" priority="414" operator="equal">
      <formula>"B"</formula>
    </cfRule>
    <cfRule type="cellIs" dxfId="584" priority="415" operator="equal">
      <formula>"S"</formula>
    </cfRule>
    <cfRule type="expression" dxfId="583" priority="416">
      <formula>$AW2577="D"</formula>
    </cfRule>
    <cfRule type="cellIs" dxfId="582" priority="417" operator="equal">
      <formula>"B"</formula>
    </cfRule>
    <cfRule type="cellIs" dxfId="581" priority="418" operator="equal">
      <formula>"S"</formula>
    </cfRule>
    <cfRule type="expression" dxfId="580" priority="419">
      <formula>$AW2577="D"</formula>
    </cfRule>
    <cfRule type="cellIs" dxfId="579" priority="420" operator="equal">
      <formula>"B"</formula>
    </cfRule>
    <cfRule type="cellIs" dxfId="578" priority="421" operator="equal">
      <formula>"S"</formula>
    </cfRule>
    <cfRule type="expression" dxfId="577" priority="422">
      <formula>$AW2577="D"</formula>
    </cfRule>
    <cfRule type="cellIs" dxfId="576" priority="423" operator="equal">
      <formula>"B"</formula>
    </cfRule>
    <cfRule type="cellIs" dxfId="575" priority="424" operator="equal">
      <formula>"S"</formula>
    </cfRule>
    <cfRule type="cellIs" dxfId="574" priority="425" operator="equal">
      <formula>"S"</formula>
    </cfRule>
    <cfRule type="cellIs" dxfId="573" priority="426" operator="equal">
      <formula>"B"</formula>
    </cfRule>
    <cfRule type="expression" dxfId="572" priority="427">
      <formula>$AW2577="D"</formula>
    </cfRule>
    <cfRule type="cellIs" dxfId="571" priority="428" operator="equal">
      <formula>"B"</formula>
    </cfRule>
    <cfRule type="cellIs" dxfId="570" priority="429" operator="equal">
      <formula>"S"</formula>
    </cfRule>
    <cfRule type="expression" dxfId="569" priority="430">
      <formula>$AW2577="D"</formula>
    </cfRule>
    <cfRule type="cellIs" dxfId="568" priority="431" operator="equal">
      <formula>"B"</formula>
    </cfRule>
    <cfRule type="cellIs" dxfId="567" priority="432" operator="equal">
      <formula>"S"</formula>
    </cfRule>
  </conditionalFormatting>
  <conditionalFormatting sqref="Z2577">
    <cfRule type="expression" dxfId="566" priority="433">
      <formula>$AW2577="D"</formula>
    </cfRule>
  </conditionalFormatting>
  <conditionalFormatting sqref="Y2577:Z2577">
    <cfRule type="expression" dxfId="565" priority="371">
      <formula>$AW2577="L"</formula>
    </cfRule>
  </conditionalFormatting>
  <conditionalFormatting sqref="Y2577:Z2577">
    <cfRule type="expression" dxfId="564" priority="372">
      <formula>$AW2577="D"</formula>
    </cfRule>
  </conditionalFormatting>
  <conditionalFormatting sqref="Y2577:Z2577">
    <cfRule type="expression" dxfId="563" priority="370">
      <formula>$AW2577="W"</formula>
    </cfRule>
  </conditionalFormatting>
  <conditionalFormatting sqref="Y2577:Z2577">
    <cfRule type="expression" dxfId="562" priority="369">
      <formula>$AW2577="D"</formula>
    </cfRule>
  </conditionalFormatting>
  <conditionalFormatting sqref="AX2578:AY2578">
    <cfRule type="expression" dxfId="561" priority="367">
      <formula>$AW2578="L"</formula>
    </cfRule>
  </conditionalFormatting>
  <conditionalFormatting sqref="AX2578:AY2578">
    <cfRule type="expression" dxfId="560" priority="368">
      <formula>$AW2578="D"</formula>
    </cfRule>
  </conditionalFormatting>
  <conditionalFormatting sqref="AX2578:AY2578">
    <cfRule type="expression" dxfId="559" priority="366">
      <formula>$AW2578="W"</formula>
    </cfRule>
  </conditionalFormatting>
  <conditionalFormatting sqref="G2574">
    <cfRule type="expression" dxfId="558" priority="364">
      <formula>$AW2574="D"</formula>
    </cfRule>
  </conditionalFormatting>
  <conditionalFormatting sqref="G2574">
    <cfRule type="expression" dxfId="557" priority="363">
      <formula>$AW2574="L"</formula>
    </cfRule>
  </conditionalFormatting>
  <conditionalFormatting sqref="G2574">
    <cfRule type="expression" dxfId="556" priority="365">
      <formula>$AW2574="D"</formula>
    </cfRule>
  </conditionalFormatting>
  <conditionalFormatting sqref="G2574">
    <cfRule type="expression" dxfId="555" priority="362">
      <formula>$AW2574="W"</formula>
    </cfRule>
  </conditionalFormatting>
  <conditionalFormatting sqref="G2578:G2579">
    <cfRule type="expression" dxfId="554" priority="360">
      <formula>$AW2578="D"</formula>
    </cfRule>
  </conditionalFormatting>
  <conditionalFormatting sqref="G2578:G2579">
    <cfRule type="expression" dxfId="553" priority="359">
      <formula>$AW2578="L"</formula>
    </cfRule>
  </conditionalFormatting>
  <conditionalFormatting sqref="G2578:G2579">
    <cfRule type="expression" dxfId="552" priority="361">
      <formula>$AW2578="D"</formula>
    </cfRule>
  </conditionalFormatting>
  <conditionalFormatting sqref="G2578:G2579">
    <cfRule type="expression" dxfId="551" priority="358">
      <formula>$AW2578="W"</formula>
    </cfRule>
  </conditionalFormatting>
  <conditionalFormatting sqref="U2578:X2578">
    <cfRule type="expression" dxfId="550" priority="353">
      <formula>$AW2578="L"</formula>
    </cfRule>
    <cfRule type="expression" dxfId="549" priority="354">
      <formula>$AW2578="W"</formula>
    </cfRule>
  </conditionalFormatting>
  <conditionalFormatting sqref="U2578:X2578">
    <cfRule type="expression" dxfId="548" priority="352">
      <formula>$AW2578="D"</formula>
    </cfRule>
  </conditionalFormatting>
  <conditionalFormatting sqref="O2578:T2578">
    <cfRule type="expression" dxfId="547" priority="356">
      <formula>$AW2578="L"</formula>
    </cfRule>
  </conditionalFormatting>
  <conditionalFormatting sqref="O2578:T2578">
    <cfRule type="expression" dxfId="546" priority="357">
      <formula>$AW2578="D"</formula>
    </cfRule>
  </conditionalFormatting>
  <conditionalFormatting sqref="O2578:T2578">
    <cfRule type="expression" dxfId="545" priority="355">
      <formula>$AW2578="W"</formula>
    </cfRule>
  </conditionalFormatting>
  <conditionalFormatting sqref="Y2578:Y2579">
    <cfRule type="cellIs" dxfId="544" priority="291" operator="equal">
      <formula>"S"</formula>
    </cfRule>
    <cfRule type="cellIs" dxfId="543" priority="292" operator="equal">
      <formula>"B"</formula>
    </cfRule>
    <cfRule type="expression" dxfId="542" priority="293">
      <formula>$AW2578="D"</formula>
    </cfRule>
    <cfRule type="cellIs" dxfId="541" priority="294" operator="equal">
      <formula>"B"</formula>
    </cfRule>
    <cfRule type="cellIs" dxfId="540" priority="295" operator="equal">
      <formula>"S"</formula>
    </cfRule>
    <cfRule type="expression" dxfId="539" priority="296">
      <formula>$AW2578="D"</formula>
    </cfRule>
    <cfRule type="cellIs" dxfId="538" priority="297" operator="equal">
      <formula>"B"</formula>
    </cfRule>
    <cfRule type="cellIs" dxfId="537" priority="298" operator="equal">
      <formula>"S"</formula>
    </cfRule>
    <cfRule type="cellIs" dxfId="536" priority="299" operator="equal">
      <formula>"S"</formula>
    </cfRule>
    <cfRule type="cellIs" dxfId="535" priority="300" operator="equal">
      <formula>"B"</formula>
    </cfRule>
    <cfRule type="expression" dxfId="534" priority="301">
      <formula>$AW2578="D"</formula>
    </cfRule>
    <cfRule type="cellIs" dxfId="533" priority="302" operator="equal">
      <formula>"B"</formula>
    </cfRule>
    <cfRule type="cellIs" dxfId="532" priority="303" operator="equal">
      <formula>"S"</formula>
    </cfRule>
    <cfRule type="expression" dxfId="531" priority="304">
      <formula>$AW2578="D"</formula>
    </cfRule>
    <cfRule type="cellIs" dxfId="530" priority="305" operator="equal">
      <formula>"B"</formula>
    </cfRule>
    <cfRule type="cellIs" dxfId="529" priority="306" operator="equal">
      <formula>"S"</formula>
    </cfRule>
    <cfRule type="cellIs" dxfId="528" priority="307" operator="equal">
      <formula>"S"</formula>
    </cfRule>
    <cfRule type="cellIs" dxfId="527" priority="308" operator="equal">
      <formula>"B"</formula>
    </cfRule>
    <cfRule type="expression" dxfId="526" priority="309">
      <formula>$AW2578="D"</formula>
    </cfRule>
    <cfRule type="cellIs" dxfId="525" priority="310" operator="equal">
      <formula>"B"</formula>
    </cfRule>
    <cfRule type="cellIs" dxfId="524" priority="311" operator="equal">
      <formula>"S"</formula>
    </cfRule>
    <cfRule type="expression" dxfId="523" priority="312">
      <formula>$AW2578="D"</formula>
    </cfRule>
    <cfRule type="cellIs" dxfId="522" priority="313" operator="equal">
      <formula>"B"</formula>
    </cfRule>
    <cfRule type="cellIs" dxfId="521" priority="314" operator="equal">
      <formula>"S"</formula>
    </cfRule>
    <cfRule type="cellIs" dxfId="520" priority="315" operator="equal">
      <formula>"S"</formula>
    </cfRule>
    <cfRule type="cellIs" dxfId="519" priority="316" operator="equal">
      <formula>"B"</formula>
    </cfRule>
    <cfRule type="expression" dxfId="518" priority="317">
      <formula>$AW2578="D"</formula>
    </cfRule>
    <cfRule type="cellIs" dxfId="517" priority="318" operator="equal">
      <formula>"B"</formula>
    </cfRule>
    <cfRule type="cellIs" dxfId="516" priority="319" operator="equal">
      <formula>"S"</formula>
    </cfRule>
    <cfRule type="expression" dxfId="515" priority="320">
      <formula>$AW2578="D"</formula>
    </cfRule>
    <cfRule type="cellIs" dxfId="514" priority="321" operator="equal">
      <formula>"B"</formula>
    </cfRule>
    <cfRule type="cellIs" dxfId="513" priority="322" operator="equal">
      <formula>"S"</formula>
    </cfRule>
    <cfRule type="expression" dxfId="512" priority="323">
      <formula>$AW2578="D"</formula>
    </cfRule>
    <cfRule type="cellIs" dxfId="511" priority="324" operator="equal">
      <formula>"B"</formula>
    </cfRule>
    <cfRule type="cellIs" dxfId="510" priority="325" operator="equal">
      <formula>"S"</formula>
    </cfRule>
    <cfRule type="expression" dxfId="509" priority="326">
      <formula>$AW2578="D"</formula>
    </cfRule>
    <cfRule type="cellIs" dxfId="508" priority="327" operator="equal">
      <formula>"B"</formula>
    </cfRule>
    <cfRule type="cellIs" dxfId="507" priority="328" operator="equal">
      <formula>"S"</formula>
    </cfRule>
    <cfRule type="cellIs" dxfId="506" priority="329" operator="equal">
      <formula>"S"</formula>
    </cfRule>
    <cfRule type="cellIs" dxfId="505" priority="330" operator="equal">
      <formula>"B"</formula>
    </cfRule>
    <cfRule type="expression" dxfId="504" priority="331">
      <formula>$AW2578="D"</formula>
    </cfRule>
    <cfRule type="cellIs" dxfId="503" priority="332" operator="equal">
      <formula>"B"</formula>
    </cfRule>
    <cfRule type="cellIs" dxfId="502" priority="333" operator="equal">
      <formula>"S"</formula>
    </cfRule>
    <cfRule type="expression" dxfId="501" priority="334">
      <formula>$AW2578="D"</formula>
    </cfRule>
    <cfRule type="cellIs" dxfId="500" priority="335" operator="equal">
      <formula>"B"</formula>
    </cfRule>
    <cfRule type="cellIs" dxfId="499" priority="336" operator="equal">
      <formula>"S"</formula>
    </cfRule>
    <cfRule type="expression" dxfId="498" priority="337">
      <formula>$AW2578="D"</formula>
    </cfRule>
    <cfRule type="cellIs" dxfId="497" priority="338" operator="equal">
      <formula>"B"</formula>
    </cfRule>
    <cfRule type="cellIs" dxfId="496" priority="339" operator="equal">
      <formula>"S"</formula>
    </cfRule>
    <cfRule type="expression" dxfId="495" priority="340">
      <formula>$AW2578="D"</formula>
    </cfRule>
    <cfRule type="cellIs" dxfId="494" priority="341" operator="equal">
      <formula>"B"</formula>
    </cfRule>
    <cfRule type="cellIs" dxfId="493" priority="342" operator="equal">
      <formula>"S"</formula>
    </cfRule>
    <cfRule type="cellIs" dxfId="492" priority="343" operator="equal">
      <formula>"S"</formula>
    </cfRule>
    <cfRule type="cellIs" dxfId="491" priority="344" operator="equal">
      <formula>"B"</formula>
    </cfRule>
    <cfRule type="expression" dxfId="490" priority="345">
      <formula>$AW2578="D"</formula>
    </cfRule>
    <cfRule type="cellIs" dxfId="489" priority="346" operator="equal">
      <formula>"B"</formula>
    </cfRule>
    <cfRule type="cellIs" dxfId="488" priority="347" operator="equal">
      <formula>"S"</formula>
    </cfRule>
    <cfRule type="expression" dxfId="487" priority="348">
      <formula>$AW2578="D"</formula>
    </cfRule>
    <cfRule type="cellIs" dxfId="486" priority="349" operator="equal">
      <formula>"B"</formula>
    </cfRule>
    <cfRule type="cellIs" dxfId="485" priority="350" operator="equal">
      <formula>"S"</formula>
    </cfRule>
  </conditionalFormatting>
  <conditionalFormatting sqref="Z2578:Z2579">
    <cfRule type="expression" dxfId="484" priority="351">
      <formula>$AW2578="D"</formula>
    </cfRule>
  </conditionalFormatting>
  <conditionalFormatting sqref="Y2578:Z2578">
    <cfRule type="expression" dxfId="483" priority="289">
      <formula>$AW2578="L"</formula>
    </cfRule>
  </conditionalFormatting>
  <conditionalFormatting sqref="Y2578:Z2578">
    <cfRule type="expression" dxfId="482" priority="290">
      <formula>$AW2578="D"</formula>
    </cfRule>
  </conditionalFormatting>
  <conditionalFormatting sqref="Y2578:Z2578">
    <cfRule type="expression" dxfId="481" priority="288">
      <formula>$AW2578="W"</formula>
    </cfRule>
  </conditionalFormatting>
  <conditionalFormatting sqref="Y2578:Z2578">
    <cfRule type="expression" dxfId="480" priority="287">
      <formula>$AW2578="D"</formula>
    </cfRule>
  </conditionalFormatting>
  <conditionalFormatting sqref="AB2578:AB2579">
    <cfRule type="expression" dxfId="479" priority="285">
      <formula>$AW2578="L"</formula>
    </cfRule>
  </conditionalFormatting>
  <conditionalFormatting sqref="AB2578:AB2579">
    <cfRule type="expression" dxfId="478" priority="286">
      <formula>$AW2578="D"</formula>
    </cfRule>
  </conditionalFormatting>
  <conditionalFormatting sqref="AB2578:AB2579">
    <cfRule type="expression" dxfId="477" priority="284">
      <formula>$AW2578="W"</formula>
    </cfRule>
  </conditionalFormatting>
  <conditionalFormatting sqref="U2579:X2579">
    <cfRule type="expression" dxfId="476" priority="279">
      <formula>$AW2579="L"</formula>
    </cfRule>
    <cfRule type="expression" dxfId="475" priority="280">
      <formula>$AW2579="W"</formula>
    </cfRule>
  </conditionalFormatting>
  <conditionalFormatting sqref="U2579:X2579">
    <cfRule type="expression" dxfId="474" priority="278">
      <formula>$AW2579="D"</formula>
    </cfRule>
  </conditionalFormatting>
  <conditionalFormatting sqref="O2579:T2579">
    <cfRule type="expression" dxfId="473" priority="282">
      <formula>$AW2579="L"</formula>
    </cfRule>
  </conditionalFormatting>
  <conditionalFormatting sqref="O2579:T2579">
    <cfRule type="expression" dxfId="472" priority="283">
      <formula>$AW2579="D"</formula>
    </cfRule>
  </conditionalFormatting>
  <conditionalFormatting sqref="O2579:T2579">
    <cfRule type="expression" dxfId="471" priority="281">
      <formula>$AW2579="W"</formula>
    </cfRule>
  </conditionalFormatting>
  <conditionalFormatting sqref="Y2579:Z2579">
    <cfRule type="expression" dxfId="470" priority="276">
      <formula>$AW2579="L"</formula>
    </cfRule>
  </conditionalFormatting>
  <conditionalFormatting sqref="Y2579:Z2579">
    <cfRule type="expression" dxfId="469" priority="277">
      <formula>$AW2579="D"</formula>
    </cfRule>
  </conditionalFormatting>
  <conditionalFormatting sqref="Y2579:Z2579">
    <cfRule type="expression" dxfId="468" priority="275">
      <formula>$AW2579="W"</formula>
    </cfRule>
  </conditionalFormatting>
  <conditionalFormatting sqref="Y2579:Z2579">
    <cfRule type="expression" dxfId="467" priority="274">
      <formula>$AW2579="D"</formula>
    </cfRule>
  </conditionalFormatting>
  <conditionalFormatting sqref="Y2580">
    <cfRule type="cellIs" dxfId="466" priority="213" operator="equal">
      <formula>"S"</formula>
    </cfRule>
    <cfRule type="cellIs" dxfId="465" priority="214" operator="equal">
      <formula>"B"</formula>
    </cfRule>
    <cfRule type="expression" dxfId="464" priority="215">
      <formula>$AW2580="D"</formula>
    </cfRule>
    <cfRule type="cellIs" dxfId="463" priority="216" operator="equal">
      <formula>"B"</formula>
    </cfRule>
    <cfRule type="cellIs" dxfId="462" priority="217" operator="equal">
      <formula>"S"</formula>
    </cfRule>
    <cfRule type="expression" dxfId="461" priority="218">
      <formula>$AW2580="D"</formula>
    </cfRule>
    <cfRule type="cellIs" dxfId="460" priority="219" operator="equal">
      <formula>"B"</formula>
    </cfRule>
    <cfRule type="cellIs" dxfId="459" priority="220" operator="equal">
      <formula>"S"</formula>
    </cfRule>
    <cfRule type="cellIs" dxfId="458" priority="221" operator="equal">
      <formula>"S"</formula>
    </cfRule>
    <cfRule type="cellIs" dxfId="457" priority="222" operator="equal">
      <formula>"B"</formula>
    </cfRule>
    <cfRule type="expression" dxfId="456" priority="223">
      <formula>$AW2580="D"</formula>
    </cfRule>
    <cfRule type="cellIs" dxfId="455" priority="224" operator="equal">
      <formula>"B"</formula>
    </cfRule>
    <cfRule type="cellIs" dxfId="454" priority="225" operator="equal">
      <formula>"S"</formula>
    </cfRule>
    <cfRule type="expression" dxfId="453" priority="226">
      <formula>$AW2580="D"</formula>
    </cfRule>
    <cfRule type="cellIs" dxfId="452" priority="227" operator="equal">
      <formula>"B"</formula>
    </cfRule>
    <cfRule type="cellIs" dxfId="451" priority="228" operator="equal">
      <formula>"S"</formula>
    </cfRule>
    <cfRule type="cellIs" dxfId="450" priority="229" operator="equal">
      <formula>"S"</formula>
    </cfRule>
    <cfRule type="cellIs" dxfId="449" priority="230" operator="equal">
      <formula>"B"</formula>
    </cfRule>
    <cfRule type="expression" dxfId="448" priority="231">
      <formula>$AW2580="D"</formula>
    </cfRule>
    <cfRule type="cellIs" dxfId="447" priority="232" operator="equal">
      <formula>"B"</formula>
    </cfRule>
    <cfRule type="cellIs" dxfId="446" priority="233" operator="equal">
      <formula>"S"</formula>
    </cfRule>
    <cfRule type="expression" dxfId="445" priority="234">
      <formula>$AW2580="D"</formula>
    </cfRule>
    <cfRule type="cellIs" dxfId="444" priority="235" operator="equal">
      <formula>"B"</formula>
    </cfRule>
    <cfRule type="cellIs" dxfId="443" priority="236" operator="equal">
      <formula>"S"</formula>
    </cfRule>
    <cfRule type="cellIs" dxfId="442" priority="237" operator="equal">
      <formula>"S"</formula>
    </cfRule>
    <cfRule type="cellIs" dxfId="441" priority="238" operator="equal">
      <formula>"B"</formula>
    </cfRule>
    <cfRule type="expression" dxfId="440" priority="239">
      <formula>$AW2580="D"</formula>
    </cfRule>
    <cfRule type="cellIs" dxfId="439" priority="240" operator="equal">
      <formula>"B"</formula>
    </cfRule>
    <cfRule type="cellIs" dxfId="438" priority="241" operator="equal">
      <formula>"S"</formula>
    </cfRule>
    <cfRule type="expression" dxfId="437" priority="242">
      <formula>$AW2580="D"</formula>
    </cfRule>
    <cfRule type="cellIs" dxfId="436" priority="243" operator="equal">
      <formula>"B"</formula>
    </cfRule>
    <cfRule type="cellIs" dxfId="435" priority="244" operator="equal">
      <formula>"S"</formula>
    </cfRule>
    <cfRule type="expression" dxfId="434" priority="245">
      <formula>$AW2580="D"</formula>
    </cfRule>
    <cfRule type="cellIs" dxfId="433" priority="246" operator="equal">
      <formula>"B"</formula>
    </cfRule>
    <cfRule type="cellIs" dxfId="432" priority="247" operator="equal">
      <formula>"S"</formula>
    </cfRule>
    <cfRule type="expression" dxfId="431" priority="248">
      <formula>$AW2580="D"</formula>
    </cfRule>
    <cfRule type="cellIs" dxfId="430" priority="249" operator="equal">
      <formula>"B"</formula>
    </cfRule>
    <cfRule type="cellIs" dxfId="429" priority="250" operator="equal">
      <formula>"S"</formula>
    </cfRule>
    <cfRule type="cellIs" dxfId="428" priority="251" operator="equal">
      <formula>"S"</formula>
    </cfRule>
    <cfRule type="cellIs" dxfId="427" priority="252" operator="equal">
      <formula>"B"</formula>
    </cfRule>
    <cfRule type="expression" dxfId="426" priority="253">
      <formula>$AW2580="D"</formula>
    </cfRule>
    <cfRule type="cellIs" dxfId="425" priority="254" operator="equal">
      <formula>"B"</formula>
    </cfRule>
    <cfRule type="cellIs" dxfId="424" priority="255" operator="equal">
      <formula>"S"</formula>
    </cfRule>
    <cfRule type="expression" dxfId="423" priority="256">
      <formula>$AW2580="D"</formula>
    </cfRule>
    <cfRule type="cellIs" dxfId="422" priority="257" operator="equal">
      <formula>"B"</formula>
    </cfRule>
    <cfRule type="cellIs" dxfId="421" priority="258" operator="equal">
      <formula>"S"</formula>
    </cfRule>
    <cfRule type="expression" dxfId="420" priority="259">
      <formula>$AW2580="D"</formula>
    </cfRule>
    <cfRule type="cellIs" dxfId="419" priority="260" operator="equal">
      <formula>"B"</formula>
    </cfRule>
    <cfRule type="cellIs" dxfId="418" priority="261" operator="equal">
      <formula>"S"</formula>
    </cfRule>
    <cfRule type="expression" dxfId="417" priority="262">
      <formula>$AW2580="D"</formula>
    </cfRule>
    <cfRule type="cellIs" dxfId="416" priority="263" operator="equal">
      <formula>"B"</formula>
    </cfRule>
    <cfRule type="cellIs" dxfId="415" priority="264" operator="equal">
      <formula>"S"</formula>
    </cfRule>
    <cfRule type="cellIs" dxfId="414" priority="265" operator="equal">
      <formula>"S"</formula>
    </cfRule>
    <cfRule type="cellIs" dxfId="413" priority="266" operator="equal">
      <formula>"B"</formula>
    </cfRule>
    <cfRule type="expression" dxfId="412" priority="267">
      <formula>$AW2580="D"</formula>
    </cfRule>
    <cfRule type="cellIs" dxfId="411" priority="268" operator="equal">
      <formula>"B"</formula>
    </cfRule>
    <cfRule type="cellIs" dxfId="410" priority="269" operator="equal">
      <formula>"S"</formula>
    </cfRule>
    <cfRule type="expression" dxfId="409" priority="270">
      <formula>$AW2580="D"</formula>
    </cfRule>
    <cfRule type="cellIs" dxfId="408" priority="271" operator="equal">
      <formula>"B"</formula>
    </cfRule>
    <cfRule type="cellIs" dxfId="407" priority="272" operator="equal">
      <formula>"S"</formula>
    </cfRule>
  </conditionalFormatting>
  <conditionalFormatting sqref="Z2580">
    <cfRule type="expression" dxfId="406" priority="273">
      <formula>$AW2580="D"</formula>
    </cfRule>
  </conditionalFormatting>
  <conditionalFormatting sqref="Y2580:Z2580">
    <cfRule type="expression" dxfId="405" priority="212">
      <formula>$AW2580="D"</formula>
    </cfRule>
  </conditionalFormatting>
  <conditionalFormatting sqref="O2581">
    <cfRule type="expression" dxfId="404" priority="210">
      <formula>$AW2581="D"</formula>
    </cfRule>
  </conditionalFormatting>
  <conditionalFormatting sqref="Q2581">
    <cfRule type="cellIs" dxfId="403" priority="211" operator="equal">
      <formula>"F"</formula>
    </cfRule>
  </conditionalFormatting>
  <conditionalFormatting sqref="U2581">
    <cfRule type="containsText" dxfId="402" priority="208" operator="containsText" text="S">
      <formula>NOT(ISERROR(SEARCH("S",U2581)))</formula>
    </cfRule>
    <cfRule type="containsText" dxfId="401" priority="209" operator="containsText" text="B">
      <formula>NOT(ISERROR(SEARCH("B",U2581)))</formula>
    </cfRule>
  </conditionalFormatting>
  <conditionalFormatting sqref="G2581">
    <cfRule type="expression" dxfId="400" priority="206">
      <formula>$AW2581="D"</formula>
    </cfRule>
  </conditionalFormatting>
  <conditionalFormatting sqref="G2581">
    <cfRule type="expression" dxfId="399" priority="205">
      <formula>$AW2581="L"</formula>
    </cfRule>
  </conditionalFormatting>
  <conditionalFormatting sqref="G2581">
    <cfRule type="expression" dxfId="398" priority="207">
      <formula>$AW2581="D"</formula>
    </cfRule>
  </conditionalFormatting>
  <conditionalFormatting sqref="G2581">
    <cfRule type="expression" dxfId="397" priority="204">
      <formula>$AW2581="W"</formula>
    </cfRule>
  </conditionalFormatting>
  <conditionalFormatting sqref="Y2581">
    <cfRule type="cellIs" dxfId="396" priority="143" operator="equal">
      <formula>"S"</formula>
    </cfRule>
    <cfRule type="cellIs" dxfId="395" priority="144" operator="equal">
      <formula>"B"</formula>
    </cfRule>
    <cfRule type="expression" dxfId="394" priority="145">
      <formula>$AW2581="D"</formula>
    </cfRule>
    <cfRule type="cellIs" dxfId="393" priority="146" operator="equal">
      <formula>"B"</formula>
    </cfRule>
    <cfRule type="cellIs" dxfId="392" priority="147" operator="equal">
      <formula>"S"</formula>
    </cfRule>
    <cfRule type="expression" dxfId="391" priority="148">
      <formula>$AW2581="D"</formula>
    </cfRule>
    <cfRule type="cellIs" dxfId="390" priority="149" operator="equal">
      <formula>"B"</formula>
    </cfRule>
    <cfRule type="cellIs" dxfId="389" priority="150" operator="equal">
      <formula>"S"</formula>
    </cfRule>
    <cfRule type="cellIs" dxfId="388" priority="151" operator="equal">
      <formula>"S"</formula>
    </cfRule>
    <cfRule type="cellIs" dxfId="387" priority="152" operator="equal">
      <formula>"B"</formula>
    </cfRule>
    <cfRule type="expression" dxfId="386" priority="153">
      <formula>$AW2581="D"</formula>
    </cfRule>
    <cfRule type="cellIs" dxfId="385" priority="154" operator="equal">
      <formula>"B"</formula>
    </cfRule>
    <cfRule type="cellIs" dxfId="384" priority="155" operator="equal">
      <formula>"S"</formula>
    </cfRule>
    <cfRule type="expression" dxfId="383" priority="156">
      <formula>$AW2581="D"</formula>
    </cfRule>
    <cfRule type="cellIs" dxfId="382" priority="157" operator="equal">
      <formula>"B"</formula>
    </cfRule>
    <cfRule type="cellIs" dxfId="381" priority="158" operator="equal">
      <formula>"S"</formula>
    </cfRule>
    <cfRule type="cellIs" dxfId="380" priority="159" operator="equal">
      <formula>"S"</formula>
    </cfRule>
    <cfRule type="cellIs" dxfId="379" priority="160" operator="equal">
      <formula>"B"</formula>
    </cfRule>
    <cfRule type="expression" dxfId="378" priority="161">
      <formula>$AW2581="D"</formula>
    </cfRule>
    <cfRule type="cellIs" dxfId="377" priority="162" operator="equal">
      <formula>"B"</formula>
    </cfRule>
    <cfRule type="cellIs" dxfId="376" priority="163" operator="equal">
      <formula>"S"</formula>
    </cfRule>
    <cfRule type="expression" dxfId="375" priority="164">
      <formula>$AW2581="D"</formula>
    </cfRule>
    <cfRule type="cellIs" dxfId="374" priority="165" operator="equal">
      <formula>"B"</formula>
    </cfRule>
    <cfRule type="cellIs" dxfId="373" priority="166" operator="equal">
      <formula>"S"</formula>
    </cfRule>
    <cfRule type="cellIs" dxfId="372" priority="167" operator="equal">
      <formula>"S"</formula>
    </cfRule>
    <cfRule type="cellIs" dxfId="371" priority="168" operator="equal">
      <formula>"B"</formula>
    </cfRule>
    <cfRule type="expression" dxfId="370" priority="169">
      <formula>$AW2581="D"</formula>
    </cfRule>
    <cfRule type="cellIs" dxfId="369" priority="170" operator="equal">
      <formula>"B"</formula>
    </cfRule>
    <cfRule type="cellIs" dxfId="368" priority="171" operator="equal">
      <formula>"S"</formula>
    </cfRule>
    <cfRule type="expression" dxfId="367" priority="172">
      <formula>$AW2581="D"</formula>
    </cfRule>
    <cfRule type="cellIs" dxfId="366" priority="173" operator="equal">
      <formula>"B"</formula>
    </cfRule>
    <cfRule type="cellIs" dxfId="365" priority="174" operator="equal">
      <formula>"S"</formula>
    </cfRule>
    <cfRule type="expression" dxfId="364" priority="175">
      <formula>$AW2581="D"</formula>
    </cfRule>
    <cfRule type="cellIs" dxfId="363" priority="176" operator="equal">
      <formula>"B"</formula>
    </cfRule>
    <cfRule type="cellIs" dxfId="362" priority="177" operator="equal">
      <formula>"S"</formula>
    </cfRule>
    <cfRule type="expression" dxfId="361" priority="178">
      <formula>$AW2581="D"</formula>
    </cfRule>
    <cfRule type="cellIs" dxfId="360" priority="179" operator="equal">
      <formula>"B"</formula>
    </cfRule>
    <cfRule type="cellIs" dxfId="359" priority="180" operator="equal">
      <formula>"S"</formula>
    </cfRule>
    <cfRule type="cellIs" dxfId="358" priority="181" operator="equal">
      <formula>"S"</formula>
    </cfRule>
    <cfRule type="cellIs" dxfId="357" priority="182" operator="equal">
      <formula>"B"</formula>
    </cfRule>
    <cfRule type="expression" dxfId="356" priority="183">
      <formula>$AW2581="D"</formula>
    </cfRule>
    <cfRule type="cellIs" dxfId="355" priority="184" operator="equal">
      <formula>"B"</formula>
    </cfRule>
    <cfRule type="cellIs" dxfId="354" priority="185" operator="equal">
      <formula>"S"</formula>
    </cfRule>
    <cfRule type="expression" dxfId="353" priority="186">
      <formula>$AW2581="D"</formula>
    </cfRule>
    <cfRule type="cellIs" dxfId="352" priority="187" operator="equal">
      <formula>"B"</formula>
    </cfRule>
    <cfRule type="cellIs" dxfId="351" priority="188" operator="equal">
      <formula>"S"</formula>
    </cfRule>
    <cfRule type="expression" dxfId="350" priority="189">
      <formula>$AW2581="D"</formula>
    </cfRule>
    <cfRule type="cellIs" dxfId="349" priority="190" operator="equal">
      <formula>"B"</formula>
    </cfRule>
    <cfRule type="cellIs" dxfId="348" priority="191" operator="equal">
      <formula>"S"</formula>
    </cfRule>
    <cfRule type="expression" dxfId="347" priority="192">
      <formula>$AW2581="D"</formula>
    </cfRule>
    <cfRule type="cellIs" dxfId="346" priority="193" operator="equal">
      <formula>"B"</formula>
    </cfRule>
    <cfRule type="cellIs" dxfId="345" priority="194" operator="equal">
      <formula>"S"</formula>
    </cfRule>
    <cfRule type="cellIs" dxfId="344" priority="195" operator="equal">
      <formula>"S"</formula>
    </cfRule>
    <cfRule type="cellIs" dxfId="343" priority="196" operator="equal">
      <formula>"B"</formula>
    </cfRule>
    <cfRule type="expression" dxfId="342" priority="197">
      <formula>$AW2581="D"</formula>
    </cfRule>
    <cfRule type="cellIs" dxfId="341" priority="198" operator="equal">
      <formula>"B"</formula>
    </cfRule>
    <cfRule type="cellIs" dxfId="340" priority="199" operator="equal">
      <formula>"S"</formula>
    </cfRule>
    <cfRule type="expression" dxfId="339" priority="200">
      <formula>$AW2581="D"</formula>
    </cfRule>
    <cfRule type="cellIs" dxfId="338" priority="201" operator="equal">
      <formula>"B"</formula>
    </cfRule>
    <cfRule type="cellIs" dxfId="337" priority="202" operator="equal">
      <formula>"S"</formula>
    </cfRule>
  </conditionalFormatting>
  <conditionalFormatting sqref="Z2581">
    <cfRule type="expression" dxfId="336" priority="203">
      <formula>$AW2581="D"</formula>
    </cfRule>
  </conditionalFormatting>
  <conditionalFormatting sqref="U2581:X2581">
    <cfRule type="expression" dxfId="335" priority="138">
      <formula>$AW2581="L"</formula>
    </cfRule>
    <cfRule type="expression" dxfId="334" priority="139">
      <formula>$AW2581="W"</formula>
    </cfRule>
  </conditionalFormatting>
  <conditionalFormatting sqref="U2581:X2581">
    <cfRule type="expression" dxfId="333" priority="137">
      <formula>$AW2581="D"</formula>
    </cfRule>
  </conditionalFormatting>
  <conditionalFormatting sqref="O2581:T2581">
    <cfRule type="expression" dxfId="332" priority="141">
      <formula>$AW2581="L"</formula>
    </cfRule>
  </conditionalFormatting>
  <conditionalFormatting sqref="O2581:T2581">
    <cfRule type="expression" dxfId="331" priority="142">
      <formula>$AW2581="D"</formula>
    </cfRule>
  </conditionalFormatting>
  <conditionalFormatting sqref="O2581:T2581">
    <cfRule type="expression" dxfId="330" priority="140">
      <formula>$AW2581="W"</formula>
    </cfRule>
  </conditionalFormatting>
  <conditionalFormatting sqref="Y2581:Z2581">
    <cfRule type="expression" dxfId="329" priority="135">
      <formula>$AW2581="L"</formula>
    </cfRule>
  </conditionalFormatting>
  <conditionalFormatting sqref="Y2581:Z2581">
    <cfRule type="expression" dxfId="328" priority="136">
      <formula>$AW2581="D"</formula>
    </cfRule>
  </conditionalFormatting>
  <conditionalFormatting sqref="Y2581:Z2581">
    <cfRule type="expression" dxfId="327" priority="134">
      <formula>$AW2581="W"</formula>
    </cfRule>
  </conditionalFormatting>
  <conditionalFormatting sqref="Y2581:Z2581">
    <cfRule type="expression" dxfId="326" priority="133">
      <formula>$AW2581="D"</formula>
    </cfRule>
  </conditionalFormatting>
  <conditionalFormatting sqref="AB2581">
    <cfRule type="expression" dxfId="325" priority="131">
      <formula>$AW2581="L"</formula>
    </cfRule>
  </conditionalFormatting>
  <conditionalFormatting sqref="AB2581">
    <cfRule type="expression" dxfId="324" priority="132">
      <formula>$AW2581="D"</formula>
    </cfRule>
  </conditionalFormatting>
  <conditionalFormatting sqref="AB2581">
    <cfRule type="expression" dxfId="323" priority="130">
      <formula>$AW2581="W"</formula>
    </cfRule>
  </conditionalFormatting>
  <conditionalFormatting sqref="G2582:G2583">
    <cfRule type="expression" dxfId="322" priority="128">
      <formula>$AW2582="D"</formula>
    </cfRule>
  </conditionalFormatting>
  <conditionalFormatting sqref="G2582:G2583">
    <cfRule type="expression" dxfId="321" priority="127">
      <formula>$AW2582="L"</formula>
    </cfRule>
  </conditionalFormatting>
  <conditionalFormatting sqref="G2582:G2583">
    <cfRule type="expression" dxfId="320" priority="129">
      <formula>$AW2582="D"</formula>
    </cfRule>
  </conditionalFormatting>
  <conditionalFormatting sqref="G2582:G2583">
    <cfRule type="expression" dxfId="319" priority="126">
      <formula>$AW2582="W"</formula>
    </cfRule>
  </conditionalFormatting>
  <conditionalFormatting sqref="Y2582:Y2583">
    <cfRule type="cellIs" dxfId="318" priority="65" operator="equal">
      <formula>"S"</formula>
    </cfRule>
    <cfRule type="cellIs" dxfId="317" priority="66" operator="equal">
      <formula>"B"</formula>
    </cfRule>
    <cfRule type="expression" dxfId="316" priority="67">
      <formula>$AW2582="D"</formula>
    </cfRule>
    <cfRule type="cellIs" dxfId="315" priority="68" operator="equal">
      <formula>"B"</formula>
    </cfRule>
    <cfRule type="cellIs" dxfId="314" priority="69" operator="equal">
      <formula>"S"</formula>
    </cfRule>
    <cfRule type="expression" dxfId="313" priority="70">
      <formula>$AW2582="D"</formula>
    </cfRule>
    <cfRule type="cellIs" dxfId="312" priority="71" operator="equal">
      <formula>"B"</formula>
    </cfRule>
    <cfRule type="cellIs" dxfId="311" priority="72" operator="equal">
      <formula>"S"</formula>
    </cfRule>
    <cfRule type="cellIs" dxfId="310" priority="73" operator="equal">
      <formula>"S"</formula>
    </cfRule>
    <cfRule type="cellIs" dxfId="309" priority="74" operator="equal">
      <formula>"B"</formula>
    </cfRule>
    <cfRule type="expression" dxfId="308" priority="75">
      <formula>$AW2582="D"</formula>
    </cfRule>
    <cfRule type="cellIs" dxfId="307" priority="76" operator="equal">
      <formula>"B"</formula>
    </cfRule>
    <cfRule type="cellIs" dxfId="306" priority="77" operator="equal">
      <formula>"S"</formula>
    </cfRule>
    <cfRule type="expression" dxfId="305" priority="78">
      <formula>$AW2582="D"</formula>
    </cfRule>
    <cfRule type="cellIs" dxfId="304" priority="79" operator="equal">
      <formula>"B"</formula>
    </cfRule>
    <cfRule type="cellIs" dxfId="303" priority="80" operator="equal">
      <formula>"S"</formula>
    </cfRule>
    <cfRule type="cellIs" dxfId="302" priority="81" operator="equal">
      <formula>"S"</formula>
    </cfRule>
    <cfRule type="cellIs" dxfId="301" priority="82" operator="equal">
      <formula>"B"</formula>
    </cfRule>
    <cfRule type="expression" dxfId="300" priority="83">
      <formula>$AW2582="D"</formula>
    </cfRule>
    <cfRule type="cellIs" dxfId="299" priority="84" operator="equal">
      <formula>"B"</formula>
    </cfRule>
    <cfRule type="cellIs" dxfId="298" priority="85" operator="equal">
      <formula>"S"</formula>
    </cfRule>
    <cfRule type="expression" dxfId="297" priority="86">
      <formula>$AW2582="D"</formula>
    </cfRule>
    <cfRule type="cellIs" dxfId="296" priority="87" operator="equal">
      <formula>"B"</formula>
    </cfRule>
    <cfRule type="cellIs" dxfId="295" priority="88" operator="equal">
      <formula>"S"</formula>
    </cfRule>
    <cfRule type="cellIs" dxfId="294" priority="89" operator="equal">
      <formula>"S"</formula>
    </cfRule>
    <cfRule type="cellIs" dxfId="293" priority="90" operator="equal">
      <formula>"B"</formula>
    </cfRule>
    <cfRule type="expression" dxfId="292" priority="91">
      <formula>$AW2582="D"</formula>
    </cfRule>
    <cfRule type="cellIs" dxfId="291" priority="92" operator="equal">
      <formula>"B"</formula>
    </cfRule>
    <cfRule type="cellIs" dxfId="290" priority="93" operator="equal">
      <formula>"S"</formula>
    </cfRule>
    <cfRule type="expression" dxfId="289" priority="94">
      <formula>$AW2582="D"</formula>
    </cfRule>
    <cfRule type="cellIs" dxfId="288" priority="95" operator="equal">
      <formula>"B"</formula>
    </cfRule>
    <cfRule type="cellIs" dxfId="287" priority="96" operator="equal">
      <formula>"S"</formula>
    </cfRule>
    <cfRule type="expression" dxfId="286" priority="97">
      <formula>$AW2582="D"</formula>
    </cfRule>
    <cfRule type="cellIs" dxfId="285" priority="98" operator="equal">
      <formula>"B"</formula>
    </cfRule>
    <cfRule type="cellIs" dxfId="284" priority="99" operator="equal">
      <formula>"S"</formula>
    </cfRule>
    <cfRule type="expression" dxfId="283" priority="100">
      <formula>$AW2582="D"</formula>
    </cfRule>
    <cfRule type="cellIs" dxfId="282" priority="101" operator="equal">
      <formula>"B"</formula>
    </cfRule>
    <cfRule type="cellIs" dxfId="281" priority="102" operator="equal">
      <formula>"S"</formula>
    </cfRule>
    <cfRule type="cellIs" dxfId="280" priority="103" operator="equal">
      <formula>"S"</formula>
    </cfRule>
    <cfRule type="cellIs" dxfId="279" priority="104" operator="equal">
      <formula>"B"</formula>
    </cfRule>
    <cfRule type="expression" dxfId="278" priority="105">
      <formula>$AW2582="D"</formula>
    </cfRule>
    <cfRule type="cellIs" dxfId="277" priority="106" operator="equal">
      <formula>"B"</formula>
    </cfRule>
    <cfRule type="cellIs" dxfId="276" priority="107" operator="equal">
      <formula>"S"</formula>
    </cfRule>
    <cfRule type="expression" dxfId="275" priority="108">
      <formula>$AW2582="D"</formula>
    </cfRule>
    <cfRule type="cellIs" dxfId="274" priority="109" operator="equal">
      <formula>"B"</formula>
    </cfRule>
    <cfRule type="cellIs" dxfId="273" priority="110" operator="equal">
      <formula>"S"</formula>
    </cfRule>
    <cfRule type="expression" dxfId="272" priority="111">
      <formula>$AW2582="D"</formula>
    </cfRule>
    <cfRule type="cellIs" dxfId="271" priority="112" operator="equal">
      <formula>"B"</formula>
    </cfRule>
    <cfRule type="cellIs" dxfId="270" priority="113" operator="equal">
      <formula>"S"</formula>
    </cfRule>
    <cfRule type="expression" dxfId="269" priority="114">
      <formula>$AW2582="D"</formula>
    </cfRule>
    <cfRule type="cellIs" dxfId="268" priority="115" operator="equal">
      <formula>"B"</formula>
    </cfRule>
    <cfRule type="cellIs" dxfId="267" priority="116" operator="equal">
      <formula>"S"</formula>
    </cfRule>
    <cfRule type="cellIs" dxfId="266" priority="117" operator="equal">
      <formula>"S"</formula>
    </cfRule>
    <cfRule type="cellIs" dxfId="265" priority="118" operator="equal">
      <formula>"B"</formula>
    </cfRule>
    <cfRule type="expression" dxfId="264" priority="119">
      <formula>$AW2582="D"</formula>
    </cfRule>
    <cfRule type="cellIs" dxfId="263" priority="120" operator="equal">
      <formula>"B"</formula>
    </cfRule>
    <cfRule type="cellIs" dxfId="262" priority="121" operator="equal">
      <formula>"S"</formula>
    </cfRule>
    <cfRule type="expression" dxfId="261" priority="122">
      <formula>$AW2582="D"</formula>
    </cfRule>
    <cfRule type="cellIs" dxfId="260" priority="123" operator="equal">
      <formula>"B"</formula>
    </cfRule>
    <cfRule type="cellIs" dxfId="259" priority="124" operator="equal">
      <formula>"S"</formula>
    </cfRule>
  </conditionalFormatting>
  <conditionalFormatting sqref="Z2582:Z2583">
    <cfRule type="expression" dxfId="258" priority="125">
      <formula>$AW2582="D"</formula>
    </cfRule>
  </conditionalFormatting>
  <conditionalFormatting sqref="Y2582:Z2582">
    <cfRule type="expression" dxfId="257" priority="64">
      <formula>$AW2582="D"</formula>
    </cfRule>
  </conditionalFormatting>
  <conditionalFormatting sqref="Y2583:Z2583">
    <cfRule type="expression" dxfId="256" priority="63">
      <formula>$AW2583="D"</formula>
    </cfRule>
  </conditionalFormatting>
  <conditionalFormatting sqref="Y2586">
    <cfRule type="cellIs" dxfId="255" priority="2" operator="equal">
      <formula>"S"</formula>
    </cfRule>
    <cfRule type="cellIs" dxfId="254" priority="3" operator="equal">
      <formula>"B"</formula>
    </cfRule>
    <cfRule type="expression" dxfId="253" priority="4">
      <formula>$AW2586="D"</formula>
    </cfRule>
    <cfRule type="cellIs" dxfId="252" priority="5" operator="equal">
      <formula>"B"</formula>
    </cfRule>
    <cfRule type="cellIs" dxfId="251" priority="6" operator="equal">
      <formula>"S"</formula>
    </cfRule>
    <cfRule type="expression" dxfId="250" priority="7">
      <formula>$AW2586="D"</formula>
    </cfRule>
    <cfRule type="cellIs" dxfId="249" priority="8" operator="equal">
      <formula>"B"</formula>
    </cfRule>
    <cfRule type="cellIs" dxfId="248" priority="9" operator="equal">
      <formula>"S"</formula>
    </cfRule>
    <cfRule type="cellIs" dxfId="247" priority="10" operator="equal">
      <formula>"S"</formula>
    </cfRule>
    <cfRule type="cellIs" dxfId="246" priority="11" operator="equal">
      <formula>"B"</formula>
    </cfRule>
    <cfRule type="expression" dxfId="245" priority="12">
      <formula>$AW2586="D"</formula>
    </cfRule>
    <cfRule type="cellIs" dxfId="244" priority="13" operator="equal">
      <formula>"B"</formula>
    </cfRule>
    <cfRule type="cellIs" dxfId="243" priority="14" operator="equal">
      <formula>"S"</formula>
    </cfRule>
    <cfRule type="expression" dxfId="242" priority="15">
      <formula>$AW2586="D"</formula>
    </cfRule>
    <cfRule type="cellIs" dxfId="241" priority="16" operator="equal">
      <formula>"B"</formula>
    </cfRule>
    <cfRule type="cellIs" dxfId="240" priority="17" operator="equal">
      <formula>"S"</formula>
    </cfRule>
    <cfRule type="cellIs" dxfId="239" priority="18" operator="equal">
      <formula>"S"</formula>
    </cfRule>
    <cfRule type="cellIs" dxfId="238" priority="19" operator="equal">
      <formula>"B"</formula>
    </cfRule>
    <cfRule type="expression" dxfId="237" priority="20">
      <formula>$AW2586="D"</formula>
    </cfRule>
    <cfRule type="cellIs" dxfId="236" priority="21" operator="equal">
      <formula>"B"</formula>
    </cfRule>
    <cfRule type="cellIs" dxfId="235" priority="22" operator="equal">
      <formula>"S"</formula>
    </cfRule>
    <cfRule type="expression" dxfId="234" priority="23">
      <formula>$AW2586="D"</formula>
    </cfRule>
    <cfRule type="cellIs" dxfId="233" priority="24" operator="equal">
      <formula>"B"</formula>
    </cfRule>
    <cfRule type="cellIs" dxfId="232" priority="25" operator="equal">
      <formula>"S"</formula>
    </cfRule>
    <cfRule type="cellIs" dxfId="231" priority="26" operator="equal">
      <formula>"S"</formula>
    </cfRule>
    <cfRule type="cellIs" dxfId="230" priority="27" operator="equal">
      <formula>"B"</formula>
    </cfRule>
    <cfRule type="expression" dxfId="229" priority="28">
      <formula>$AW2586="D"</formula>
    </cfRule>
    <cfRule type="cellIs" dxfId="228" priority="29" operator="equal">
      <formula>"B"</formula>
    </cfRule>
    <cfRule type="cellIs" dxfId="227" priority="30" operator="equal">
      <formula>"S"</formula>
    </cfRule>
    <cfRule type="expression" dxfId="226" priority="31">
      <formula>$AW2586="D"</formula>
    </cfRule>
    <cfRule type="cellIs" dxfId="225" priority="32" operator="equal">
      <formula>"B"</formula>
    </cfRule>
    <cfRule type="cellIs" dxfId="224" priority="33" operator="equal">
      <formula>"S"</formula>
    </cfRule>
    <cfRule type="expression" dxfId="223" priority="34">
      <formula>$AW2586="D"</formula>
    </cfRule>
    <cfRule type="cellIs" dxfId="222" priority="35" operator="equal">
      <formula>"B"</formula>
    </cfRule>
    <cfRule type="cellIs" dxfId="221" priority="36" operator="equal">
      <formula>"S"</formula>
    </cfRule>
    <cfRule type="expression" dxfId="220" priority="37">
      <formula>$AW2586="D"</formula>
    </cfRule>
    <cfRule type="cellIs" dxfId="219" priority="38" operator="equal">
      <formula>"B"</formula>
    </cfRule>
    <cfRule type="cellIs" dxfId="218" priority="39" operator="equal">
      <formula>"S"</formula>
    </cfRule>
    <cfRule type="cellIs" dxfId="217" priority="40" operator="equal">
      <formula>"S"</formula>
    </cfRule>
    <cfRule type="cellIs" dxfId="216" priority="41" operator="equal">
      <formula>"B"</formula>
    </cfRule>
    <cfRule type="expression" dxfId="215" priority="42">
      <formula>$AW2586="D"</formula>
    </cfRule>
    <cfRule type="cellIs" dxfId="214" priority="43" operator="equal">
      <formula>"B"</formula>
    </cfRule>
    <cfRule type="cellIs" dxfId="213" priority="44" operator="equal">
      <formula>"S"</formula>
    </cfRule>
    <cfRule type="expression" dxfId="212" priority="45">
      <formula>$AW2586="D"</formula>
    </cfRule>
    <cfRule type="cellIs" dxfId="211" priority="46" operator="equal">
      <formula>"B"</formula>
    </cfRule>
    <cfRule type="cellIs" dxfId="210" priority="47" operator="equal">
      <formula>"S"</formula>
    </cfRule>
    <cfRule type="expression" dxfId="209" priority="48">
      <formula>$AW2586="D"</formula>
    </cfRule>
    <cfRule type="cellIs" dxfId="208" priority="49" operator="equal">
      <formula>"B"</formula>
    </cfRule>
    <cfRule type="cellIs" dxfId="207" priority="50" operator="equal">
      <formula>"S"</formula>
    </cfRule>
    <cfRule type="expression" dxfId="206" priority="51">
      <formula>$AW2586="D"</formula>
    </cfRule>
    <cfRule type="cellIs" dxfId="205" priority="52" operator="equal">
      <formula>"B"</formula>
    </cfRule>
    <cfRule type="cellIs" dxfId="204" priority="53" operator="equal">
      <formula>"S"</formula>
    </cfRule>
    <cfRule type="cellIs" dxfId="203" priority="54" operator="equal">
      <formula>"S"</formula>
    </cfRule>
    <cfRule type="cellIs" dxfId="202" priority="55" operator="equal">
      <formula>"B"</formula>
    </cfRule>
    <cfRule type="expression" dxfId="201" priority="56">
      <formula>$AW2586="D"</formula>
    </cfRule>
    <cfRule type="cellIs" dxfId="200" priority="57" operator="equal">
      <formula>"B"</formula>
    </cfRule>
    <cfRule type="cellIs" dxfId="199" priority="58" operator="equal">
      <formula>"S"</formula>
    </cfRule>
    <cfRule type="expression" dxfId="198" priority="59">
      <formula>$AW2586="D"</formula>
    </cfRule>
    <cfRule type="cellIs" dxfId="197" priority="60" operator="equal">
      <formula>"B"</formula>
    </cfRule>
    <cfRule type="cellIs" dxfId="196" priority="61" operator="equal">
      <formula>"S"</formula>
    </cfRule>
  </conditionalFormatting>
  <conditionalFormatting sqref="Z2586">
    <cfRule type="expression" dxfId="195" priority="62">
      <formula>$AW2586="D"</formula>
    </cfRule>
  </conditionalFormatting>
  <conditionalFormatting sqref="Y2586:Z2586">
    <cfRule type="expression" dxfId="194" priority="1">
      <formula>$AW2586="D"</formula>
    </cfRule>
  </conditionalFormatting>
  <dataValidations count="19">
    <dataValidation type="list" allowBlank="1" sqref="AW3" xr:uid="{00000000-0002-0000-0000-000005000000}">
      <formula1>"W,L"</formula1>
    </dataValidation>
    <dataValidation type="list" allowBlank="1" sqref="Y873 Y995 Y1072 Y1196 Y1333 Y1387 Y1525 Y1645 Y1738 Y1929 Y2124 Y2607 U3:U223 Y2479 U225:U1387 U1389:U2630" xr:uid="{00000000-0002-0000-0000-000002000000}">
      <formula1>"B,S"</formula1>
    </dataValidation>
    <dataValidation type="list" allowBlank="1" sqref="O3:O382 O384:O498 O500:O553 O556:O577 O584 O586 O588:O592 O594:O598 O601:O604 O606:O608 O610:O627 O629:O634 O636:O675 O677:O683 O685:O746 O748:O808 O810:O848 O850:O870 O872:O882 O885:O892 O894:O951 O953:O976 O978:O1001 O1003:O1067 O1069:O1082 O1084 O1086 O1088:O1101 O1103:O1105 O1111:O1124 O1126:O1129 O1131:O1138 O1140:O1180 O1182:O1191 O1194:O1199 O1202:O1215 O1217:O1223 O1225:O1226 O1228:O1294 O1296:O1319 O1321:O1325 O1327:O1337 O1339:O1347 O1349:O1387 O1389:O1407 O1409:O1429 O1431:O1448 O1450:O1452 O1456:O1459 O1461:O1462 O1465:O1468 O1470 O1472:O1484 O1487:O1492 O1528:O1531 O1494:O1526 O1533:O1543 O1550:O1556 O1558:O1561 O1546:O1548 O1563 O1566:O1567 O1569:O1577 O1579:O1593 O1597:O1601 O1603:O1604 O1608:O1611 O1616 O1621 O1623:O1633 O1635:O1636 O1638:O1654 O1659:O1660 O1662:O1663 O1665:O1667 O1672:O1676 O1679:O1687 O1690:O1696 O1698:O1703 O1705:O1706 O1710:O1720 O1722 O1724:O1748 O1750 O1752:O1757 O1759:O1763 O1765:O1766 O1768:O1770 O1773 O1775:O1777 O1779:O1783 O1787:O1796 O1798:O1808 O1810:O1811 O1813:O1814 O1816:O1821 O1823:O1831 O1833:O1841 O1843:O1848 O1850:O1855 O1857:O1874 O1876:O1881 O1883:O1885 O1887:O1896 O1899:O1902 O1904:O1921 O1924:O1937 O1939:O1950 O1952:O1976 O1978:O2004 O2006:O2015 O2017:O2028 O2030:O2039 O2041:O2051 O2053:O2097 O2099 O2102:O2108 O2111:O2112 O2115:O2178 O2181 O2185:O2189 O2200" xr:uid="{00000000-0002-0000-0000-000006000000}">
      <formula1>"IB,IR"</formula1>
    </dataValidation>
    <dataValidation type="list" allowBlank="1" sqref="O383" xr:uid="{B1CA45A7-A4CB-4AC4-AD94-B6BB953D36ED}">
      <formula1>"IB,IR,YT"</formula1>
    </dataValidation>
    <dataValidation type="list" allowBlank="1" sqref="P3:P498 P500:P553 P555:P577 P579:P592 P594:P598 P601:P604 P606:P608 P610:P627 P629:P634 P636:P675 P677:P683 P685:P746 P748:P808 P810:P848 P850:P870 P872:P882 P885:P892 P894:P951 P953:P976 P978:P1001 P1003:P1067 P1069:P1082 P1084 P1086 P1088:P1101 P1103:P1105 P1111:P1124 P1126:P1129 P1131:P1138 P1140:P1180 P1182:P1191 P1194:P1199 P1202:P1215 P1217:P1223 P1225:P1226 P1228:P1294 P1296:P1319 P1321:P1325 P1327:P1337 P1339:P1347 P1349:P1387 P1389:P1407 P1409:P1429 P1431:P1448 P1450:P1452 P1456:P1459 P1461:P1462 P1465:P1468 P1470 P1472:P1484 P1487:P1492 P1528:P1531 P1494:P1526 P1533:P1543 P1550:P1556 P1558:P1561 P1546:P1548 P1563 P1566:P1577 P1579:P1593 P1595:P1601 P1603:P1604 P1608:P1611 P1616 P1619:P1621 P1623:P1633 P1635:P1636 P1638:P1654 P1659:P1660 P1662:P1663 P1665:P1667 P1672:P1676 P1679:P1687 P1690:P1696 P1698:P1703 P1705:P1706 P1710:P1720 P1722 P1724:P1748 P1750 P1752:P1757 P1759:P1763 P1765:P1766 P1768:P1770 P1772:P1773 P1775:P1777 P1779:P1785 P1787:P1796 P1798:P1821 P1823:P1841 P1843:P1848 P1850:P1855 P1857:P1874 P1876:P1902 P1904:P1922 P1924:P1937 P1939:P1950 P1952:P1976 P1978:P2028 P2030:P2039 P2041:P2051 P2053:P2097 P2099:P2109 P2111:P2112 P2114:P2203 P2205:P2247 P2249:P2301 P2303:P2325 P2327:P2367 P2369:P2371 P2373:P2385 P2387:P2404 P2406:P2425 P2428:P2466 P2468:P2523 P2525:P2630" xr:uid="{00000000-0002-0000-0000-000003000000}">
      <formula1>"W,R,G"</formula1>
    </dataValidation>
    <dataValidation type="list" allowBlank="1" sqref="O499" xr:uid="{8D56505A-7DA3-4A5F-AEEB-2C765E9AB310}">
      <formula1>"IB,IR,YT,XT,TED,YT-XT"</formula1>
    </dataValidation>
    <dataValidation type="list" allowBlank="1" sqref="P499 P554 P578 P593 P599:P600 P605 P609 P628 P635 P676 P684 P747 P809 P849 P871 P883:P884 P893 P952 P977 P1002 P1068 P1083 P1085 P1087 P1102 P1106:P1110 P1125 P1130 P1139 P1181 P1192:P1193 P1200:P1201 P1216 P1224 P1227 P1295 P1320 P1326 P1338 P1348 P1408 P1430 P1449 P1453:P1455 P1460 P1463:P1464 P1469 P1471 P1485:P1486 P1493 P1527 P1532 P1544:P1545 P1549 P1557 P1562 P1564:P1565 P1578 P1594 P1602 P1605:P1607 P1617:P1618 P1622 P1612:P1615 P1634 P1637 P1655:P1658 P1661 P1664 P1668:P1671 P1677:P1678 P1688:P1689 P1697 P1704 P1707:P1709 P1721 P1723 P1749 P1751 P1758 P1764 P1767 P1797 P1774 P1778 P1771 P1786 P1822 P1842 P1849 P1856 P1875 P1903 P1923 P1938 P1951 P1977 P2029 P2040 P2052 P2098 P2110 P2113 P2204 P2248 P2302 P2326 P2368 P2372 P2386 P2405 P2426:P2427 P2467 P2524" xr:uid="{AE8ADD96-2620-4DEA-9348-E7F216DFD6F8}">
      <formula1>"W,R,G,BONDS"</formula1>
    </dataValidation>
    <dataValidation type="list" allowBlank="1" sqref="O554:O555 O578:O583 O585 O587 O593 O599:O600 O605 O609 O628 O635 O676 O684 O747 O809 O849 O871 O883:O884 O893 O1430 O1449 O1453:O1455 O1460 O1463:O1464 O1471 O1485 O1532 O1549 O1562 O1565 O1602 O1605:O1606 O1617:O1618 O1622 O1637 O1655:O1658 O1661 O1668:O1671 O1707:O1708 O1721 O1723 O1749 O1758 O1767 O1797 O1774 O1778 O1923 O2040" xr:uid="{534A0710-D201-4A04-857F-1A5321CB2206}">
      <formula1>"IB,IR,YT, TED,YT-XT"</formula1>
    </dataValidation>
    <dataValidation type="list" allowBlank="1" sqref="Q3:Q553 Q555:Q1387 Q1389:Q2630" xr:uid="{00000000-0002-0000-0000-000000000000}">
      <formula1>"O,S,F"</formula1>
    </dataValidation>
    <dataValidation type="list" allowBlank="1" sqref="Q554" xr:uid="{F9FB83C7-AC86-4199-8486-705C230D8435}">
      <formula1>"O,S,F,T"</formula1>
    </dataValidation>
    <dataValidation type="list" allowBlank="1" sqref="O952 O977 O1002 O1068 O1083 O1085 O1087 O1102 O1106:O1110 O1125 O1130 O1139 O1181 O1192:O1193 O1200:O1201 O1216 O1224 O1227 O1295 O1320 O1326 O1338 O1348 O1408 O1469 O1486 O1493 O1527 O1544:O1545 O1557 O1564 O1578 O1594 O1607 O1612:O1615 O1634 O1664 O1677:O1678 O1688:O1689 O1697 O1704 O1709 O1751 O1764 O1771 O1786 O1822 O1842 O1849 O1856 O1875 O1903 O1938 O1951 O1977 O2029 O2052 O2098 O2110 O2113 O2179:O2180 O2182:O2184 O2190:O2199 O2201:O2236 O2238:O2244 O2248:O2252 O2291:O2381 O2383:O2478 O2480:O2517 O2608:O2630 O2254:O2280 O2282:O2289 O2519:O2606" xr:uid="{B11DF17E-5C76-470F-B4F2-1EA3D3BE5595}">
      <formula1>"IB,IR,YT, TED,YT-XT,XT"</formula1>
    </dataValidation>
    <dataValidation type="list" allowBlank="1" sqref="AQ4:AQ1387 AQ2292:AR2292 AQ1389:AQ2291 AQ2293:AQ2630" xr:uid="{00000000-0002-0000-0000-000004000000}">
      <formula1>"M,H,D,W"</formula1>
    </dataValidation>
    <dataValidation type="list" allowBlank="1" sqref="K4:K1387 K1389:K2630" xr:uid="{00000000-0002-0000-0000-000001000000}">
      <formula1>"D,H"</formula1>
    </dataValidation>
    <dataValidation type="list" allowBlank="1" sqref="AW4:AW1387 AW1389:AW1928 AW1930:AW2123 AW2480:AW2517 AW2608:AW2630 AW2125:AW2280 AW2282:AW2381 AW2383:AW2478 AW2519:AW2606" xr:uid="{00000000-0002-0000-0000-000007000000}">
      <formula1>"W,L,D"</formula1>
    </dataValidation>
    <dataValidation type="list" allowBlank="1" sqref="O1568 O1595:O1596 O1619:O1620 O1772 O1784:O1785 O1809 O1812 O1815 O1832 O1882 O1886 O1897:O1898 O1922 O2005 O2016 O2100:O2101 O2109 O2114 O2237 O2245:O2247 O2253 O2290" xr:uid="{647BCF34-E3D4-417E-A9FE-66459947C340}">
      <formula1>"IB,IR,IR|YT"</formula1>
    </dataValidation>
    <dataValidation type="list" allowBlank="1" showInputMessage="1" showErrorMessage="1" sqref="BB2126:BB2134" xr:uid="{ACD14362-050F-40EF-A03D-D82DBE74762E}">
      <formula1>"DONE, NOT DONE"</formula1>
    </dataValidation>
    <dataValidation type="list" allowBlank="1" showInputMessage="1" showErrorMessage="1" sqref="Y2382:Z2382 W3:W2630" xr:uid="{D9FF0260-1196-45BF-8B8A-99177E40C5BF}">
      <formula1>"UD,D,B,A,UA"</formula1>
    </dataValidation>
    <dataValidation type="list" allowBlank="1" showInputMessage="1" showErrorMessage="1" sqref="V3:V2630" xr:uid="{F83D1A7F-7BD7-46E1-A1D8-84736446450A}">
      <formula1>"P,I"</formula1>
    </dataValidation>
    <dataValidation type="list" allowBlank="1" showInputMessage="1" showErrorMessage="1" sqref="X3:X2630" xr:uid="{5CBB5ACC-C6AC-445B-A1B2-A8D431074E53}">
      <formula1>"3MS,6MS,3MF,6MF/C/DC,9MS,1YS"</formula1>
    </dataValidation>
  </dataValidations>
  <hyperlinks>
    <hyperlink ref="E9" r:id="rId1" xr:uid="{00000000-0004-0000-0000-000001000000}"/>
    <hyperlink ref="E164" r:id="rId2" xr:uid="{00000000-0004-0000-0000-000002000000}"/>
    <hyperlink ref="E165" r:id="rId3" xr:uid="{00000000-0004-0000-0000-000003000000}"/>
    <hyperlink ref="E166" r:id="rId4" xr:uid="{00000000-0004-0000-0000-000004000000}"/>
    <hyperlink ref="E167" r:id="rId5" xr:uid="{00000000-0004-0000-0000-000005000000}"/>
    <hyperlink ref="E171" r:id="rId6" xr:uid="{00000000-0004-0000-0000-000006000000}"/>
    <hyperlink ref="E180" r:id="rId7" xr:uid="{00000000-0004-0000-0000-000007000000}"/>
    <hyperlink ref="E181" r:id="rId8" xr:uid="{00000000-0004-0000-0000-000008000000}"/>
    <hyperlink ref="E182" r:id="rId9" xr:uid="{00000000-0004-0000-0000-000009000000}"/>
    <hyperlink ref="E189" r:id="rId10" xr:uid="{00000000-0004-0000-0000-00000A000000}"/>
    <hyperlink ref="E190" r:id="rId11" xr:uid="{00000000-0004-0000-0000-00000B000000}"/>
    <hyperlink ref="E191" r:id="rId12" xr:uid="{00000000-0004-0000-0000-00000C000000}"/>
    <hyperlink ref="E199" r:id="rId13" xr:uid="{00000000-0004-0000-0000-00000D000000}"/>
    <hyperlink ref="E208" r:id="rId14" xr:uid="{00000000-0004-0000-0000-00000E000000}"/>
    <hyperlink ref="E209" r:id="rId15" xr:uid="{00000000-0004-0000-0000-00000F000000}"/>
    <hyperlink ref="E210" r:id="rId16" xr:uid="{00000000-0004-0000-0000-000010000000}"/>
    <hyperlink ref="E221" r:id="rId17" xr:uid="{00000000-0004-0000-0000-000011000000}"/>
    <hyperlink ref="E237" r:id="rId18" xr:uid="{00000000-0004-0000-0000-000012000000}"/>
    <hyperlink ref="E238" r:id="rId19" xr:uid="{00000000-0004-0000-0000-000013000000}"/>
    <hyperlink ref="E245" r:id="rId20" xr:uid="{00000000-0004-0000-0000-000014000000}"/>
    <hyperlink ref="G1" location="'Journal Live'!A2588" display="PRESENT   " xr:uid="{00000000-0004-0000-0000-000000000000}"/>
    <hyperlink ref="E268" r:id="rId21" xr:uid="{36484390-B139-4298-ADFF-72AFAC746617}"/>
    <hyperlink ref="E269" r:id="rId22" display="US CPI YOY JAN (" xr:uid="{F463A987-9528-4749-A00A-5D2F80583B86}"/>
    <hyperlink ref="E278" r:id="rId23" display="_x000a_Core Retail Sales (MoM) (Jan)" xr:uid="{8045328C-AB66-4396-B2F5-5D2632505E21}"/>
    <hyperlink ref="E279" r:id="rId24" display="_x000a_Retail Sales (MoM) (Jan)" xr:uid="{4384EE79-362F-414C-995F-973D56EE496C}"/>
    <hyperlink ref="E300" r:id="rId25" display="GDP (QoQ) (Q4)" xr:uid="{3537B656-6E8F-415E-8358-F2EC3B69D300}"/>
    <hyperlink ref="E312" r:id="rId26" display="_x000a_CPI (YoY)" xr:uid="{CB99669F-9BAD-4CFA-8848-5DA998486F8A}"/>
    <hyperlink ref="E313" r:id="rId27" display="GDP (QoQ) (Q4)" xr:uid="{35B7B964-02D0-4E6F-B033-9AEE6A653DC5}"/>
    <hyperlink ref="E334" r:id="rId28" display="_x000a_ADP Nonfarm Employment Change (Feb)" xr:uid="{769294FA-D689-44AD-835C-E379CB5A240C}"/>
    <hyperlink ref="E338" r:id="rId29" display="_x000a_Nonfarm Payrolls (Feb)" xr:uid="{EE968EB9-8D80-42E8-AD89-927C830B5E4D}"/>
    <hyperlink ref="E339" r:id="rId30" display="Unemployment Rate (Feb)" xr:uid="{41F5AB29-C93C-4F67-B5E1-03331B93984F}"/>
    <hyperlink ref="E352" r:id="rId31" display="_x000a_Core CPI (MoM) (Feb)" xr:uid="{8C925CE6-0BD3-47B6-A792-44FE4C73B9C9}"/>
    <hyperlink ref="E353" r:id="rId32" display="CPI (MoM) (Feb)" xr:uid="{0C2C3C31-070D-4D67-BD66-51DEA0CDF2B3}"/>
    <hyperlink ref="E354" r:id="rId33" display="_x000a_CPI (YoY) (Feb)" xr:uid="{D6D33715-F5A3-4F5C-A249-D48FA1D39118}"/>
    <hyperlink ref="E358" r:id="rId34" display="_x000a_Core Retail Sales (MoM) (Feb)" xr:uid="{2135DB88-A355-427E-AEFE-D85D4424A5D5}"/>
    <hyperlink ref="E359" r:id="rId35" display="PPI (MoM) (Feb)" xr:uid="{D93B24EF-0403-4405-9D1A-F457EE0719EB}"/>
    <hyperlink ref="E360" r:id="rId36" display="Retail Sales (MoM) (Feb)" xr:uid="{F98F7CCF-2BC3-45DD-8657-4B2C661EB3FD}"/>
    <hyperlink ref="E361" r:id="rId37" display="_x000a_Employment Change (Feb)" xr:uid="{109E0B43-1C1C-4807-8365-42D1150B8525}"/>
    <hyperlink ref="BD387" r:id="rId38" xr:uid="{9D3E3C74-4486-4EA4-A60F-A8725CD0104F}"/>
    <hyperlink ref="BD389" r:id="rId39" xr:uid="{2CD2DC72-BACC-49C7-A02C-2EDDEE324A30}"/>
    <hyperlink ref="E437" r:id="rId40" display="_x000a_GDP (QoQ) (Q4)" xr:uid="{A35ED2F1-3D82-434A-82DB-4496E2C043D7}"/>
    <hyperlink ref="E445" r:id="rId41" display="Retail Sales (MoM)" xr:uid="{7F1D890D-D123-4327-A0D8-B78BD1C854C6}"/>
    <hyperlink ref="E446" r:id="rId42" display="_x000a_ISM Manufacturing PMI (Mar)" xr:uid="{2C8A8CD7-71F7-457B-9A4F-60AC820E2730}"/>
    <hyperlink ref="E455" r:id="rId43" display="_x000a_JOLTs Job Openings (Feb)" xr:uid="{15CECBB3-4D19-4C06-AA6D-FCDE5E146A37}"/>
    <hyperlink ref="E462" r:id="rId44" display="ADP Nonfarm Employment Change (Mar)" xr:uid="{5698F832-7507-4BB4-B5B7-93C16FF4E1C4}"/>
    <hyperlink ref="E463" r:id="rId45" display="_x000a_ISM Non-Manufacturing PMI (Mar)" xr:uid="{E90DA747-2AED-41A7-9B7A-AB76A2AF30F3}"/>
    <hyperlink ref="E466" r:id="rId46" display="_x000a_Westpac Consumer Sentiment (Apr)" xr:uid="{D133607B-C77A-4918-B53A-8A7A53DF0FD8}"/>
    <hyperlink ref="E478" r:id="rId47" display="_x000a_Employment Change (Mar)" xr:uid="{9792B2FA-AA1F-4B79-882F-9D0ECC250493}"/>
    <hyperlink ref="E479" r:id="rId48" display="_x000a_Unemployment Rate (Mar)" xr:uid="{4267FD08-EFBA-455B-835D-2146B0EDD234}"/>
    <hyperlink ref="E487" r:id="rId49" display="Michigan Inflation Expectations (Apr) " xr:uid="{4A3EA1B7-636E-4F1F-83F7-065A1330A895}"/>
    <hyperlink ref="E519" r:id="rId50" display="_x000a_Retail Sales (MoM) (Mar)" xr:uid="{2CD38051-7156-43CD-8537-8F5E06F2A079}"/>
    <hyperlink ref="E521" r:id="rId51" display="CB Consumer Confidence (Apr)" xr:uid="{A006F390-14DB-4305-B119-6292105A7DCB}"/>
    <hyperlink ref="E522" r:id="rId52" display="_x000a_New Home Sales (Mar)" xr:uid="{2F5E7BC5-488B-4C75-AEA5-045B2C217022}"/>
    <hyperlink ref="E526" r:id="rId53" display="_x000a_CPI (QoQ) (Q1)" xr:uid="{5D45E0A9-F362-4981-ADC9-82B5184284F7}"/>
    <hyperlink ref="E528" r:id="rId54" display="Trimmed Mean CPI (QoQ) (Q1)" xr:uid="{9BB10750-6B6C-4EE5-8C68-CA5909CA5525}"/>
    <hyperlink ref="E544" r:id="rId55" display="_x000a_CPI (YoY) (Apr) " xr:uid="{79F6FC05-39B8-4D12-8C2B-5C3A9AC66FBE}"/>
    <hyperlink ref="E545" r:id="rId56" display="_x000a_Core CPI (YoY) " xr:uid="{E49236EA-C6D1-4129-A9DA-5795B129E935}"/>
    <hyperlink ref="E549" r:id="rId57" display="_x000a_Retail Sales (MoM) (Mar) " xr:uid="{5145B511-D8C4-46EB-80A7-A10831786947}"/>
    <hyperlink ref="E582" r:id="rId58" display="_x000a_Wage Price Index (QoQ) (Q1)" xr:uid="{7E1D4086-EABE-4F35-BED3-65E3C955055D}"/>
    <hyperlink ref="E611" r:id="rId59" display="_x000a_CPI (YoY) (Apr)" xr:uid="{6C55A932-E334-4660-A40F-125A92258D9C}"/>
    <hyperlink ref="E623" r:id="rId60" display="_x000a_Retail Sales (MoM) (Apr) " xr:uid="{D4BFBBA3-A356-45A9-9FCC-67B68A2108E0}"/>
    <hyperlink ref="E750" r:id="rId61" display="Retail Sales (MoM) (May)" xr:uid="{7351386A-DA59-4865-B25A-B563EE164B99}"/>
    <hyperlink ref="E756" r:id="rId62" display="_x000a_Core PCE Price Index (MoM) (May)" xr:uid="{2CC8D927-5CAA-47BE-9921-E245A391B9E8}"/>
    <hyperlink ref="E757" r:id="rId63" display="Core PCE Price Index (YoY) (May)" xr:uid="{59B98250-35C3-4B88-A1C9-CD658F3D2AB1}"/>
    <hyperlink ref="E758" r:id="rId64" display="PCE Price index (YoY) (May)" xr:uid="{641A374B-D5C6-4CF0-A6DC-5A60AA8E1088}"/>
    <hyperlink ref="E759" r:id="rId65" display="_x000a_Michigan Consumer Sentiment (Jun)" xr:uid="{D05F3EDC-E1CF-45B0-B015-1002F6F95B29}"/>
    <hyperlink ref="E765" r:id="rId66" display="_x000a_Building Approvals (MoM) (May)  " xr:uid="{68FFEBB5-2C6A-4B49-BE41-025597AF1F6B}"/>
    <hyperlink ref="E823" r:id="rId67" display="_x000a_GDP (YoY) (Q2)" xr:uid="{258C80AA-B31B-42FC-B749-F39271050FA2}"/>
    <hyperlink ref="E850" r:id="rId68" display="_x000a_Initial Jobless Claims" xr:uid="{D55073CC-E8D3-4E2B-AC5B-73C5B5C78E42}"/>
    <hyperlink ref="E880" r:id="rId69" display="ISM Manufacturing PMI (Jul)" xr:uid="{9FF2E662-C752-41A0-AC20-E355E111FD0A}"/>
    <hyperlink ref="E968" r:id="rId70" display="S&amp;P Global US Services PMI (Aug) " xr:uid="{1302E6F6-4A4B-4A23-984E-3C663D806469}"/>
    <hyperlink ref="E1004" r:id="rId71" display="_x000a_ISM Manufacturing PMI (Aug)" xr:uid="{3E867C3A-CD1E-49FD-B5D5-38AAC65D236C}"/>
    <hyperlink ref="E1064" r:id="rId72" display="_x000a_National Core CPI (YoY) (Aug)" xr:uid="{5C2508E0-D2BA-4179-AC5F-93DB8AD6C216}"/>
    <hyperlink ref="E1316" r:id="rId73" display="_x000a_Monthly CPI Indicator (YoY) (Oct)" xr:uid="{6DA29E0D-F979-4C01-9588-96D241A8D94D}"/>
  </hyperlinks>
  <pageMargins left="0.7" right="0.7" top="0.75" bottom="0.75" header="0.3" footer="0.3"/>
  <pageSetup paperSize="9" orientation="portrait" r:id="rId74"/>
  <tableParts count="1">
    <tablePart r:id="rId7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7D4D9-A99C-4E98-BC4F-6DBCB8280C93}">
  <sheetPr>
    <pageSetUpPr fitToPage="1"/>
  </sheetPr>
  <dimension ref="A1:AZ532"/>
  <sheetViews>
    <sheetView showGridLines="0" topLeftCell="A2" zoomScale="76" zoomScaleNormal="70" workbookViewId="0">
      <selection activeCell="A3" sqref="A3:A4"/>
    </sheetView>
  </sheetViews>
  <sheetFormatPr defaultColWidth="9.140625" defaultRowHeight="12.75"/>
  <cols>
    <col min="1" max="1" width="20.7109375" style="303" customWidth="1"/>
    <col min="2" max="2" width="27" style="303" customWidth="1"/>
    <col min="3" max="3" width="14" style="303" customWidth="1"/>
    <col min="4" max="4" width="15" style="303" customWidth="1"/>
    <col min="5" max="5" width="17.140625" style="303" customWidth="1"/>
    <col min="6" max="6" width="18" style="303" bestFit="1" customWidth="1"/>
    <col min="7" max="7" width="12.28515625" style="303" bestFit="1" customWidth="1"/>
    <col min="8" max="8" width="19.7109375" style="303" bestFit="1" customWidth="1"/>
    <col min="9" max="9" width="16.85546875" style="303" bestFit="1" customWidth="1"/>
    <col min="10" max="10" width="12.7109375" style="303" bestFit="1" customWidth="1"/>
    <col min="11" max="11" width="10.28515625" style="303" bestFit="1" customWidth="1"/>
    <col min="12" max="12" width="10.28515625" style="303" customWidth="1"/>
    <col min="13" max="13" width="15.140625" style="303" customWidth="1"/>
    <col min="14" max="14" width="17.28515625" style="303" customWidth="1"/>
    <col min="15" max="15" width="11.5703125" style="303" customWidth="1"/>
    <col min="16" max="16" width="11.85546875" style="303" customWidth="1"/>
    <col min="17" max="39" width="9.140625" style="303"/>
    <col min="40" max="40" width="14.42578125" style="303" bestFit="1" customWidth="1"/>
    <col min="41" max="41" width="21.5703125" style="303" bestFit="1" customWidth="1"/>
    <col min="42" max="42" width="14.140625" style="303" customWidth="1"/>
    <col min="43" max="43" width="18.42578125" style="303" customWidth="1"/>
    <col min="44" max="44" width="17" style="303" customWidth="1"/>
    <col min="45" max="45" width="15.28515625" style="303" customWidth="1"/>
    <col min="46" max="46" width="19.5703125" style="303" customWidth="1"/>
    <col min="47" max="47" width="18.140625" style="303" customWidth="1"/>
    <col min="48" max="48" width="16.7109375" style="303" bestFit="1" customWidth="1"/>
    <col min="49" max="49" width="21.42578125" style="303" bestFit="1" customWidth="1"/>
    <col min="50" max="50" width="19.7109375" style="303" bestFit="1" customWidth="1"/>
    <col min="51" max="16384" width="9.140625" style="303"/>
  </cols>
  <sheetData>
    <row r="1" spans="1:52" s="684" customFormat="1">
      <c r="A1" s="683" t="s">
        <v>7985</v>
      </c>
      <c r="B1" s="683"/>
      <c r="C1" s="683"/>
      <c r="D1" s="683"/>
      <c r="E1" s="683"/>
      <c r="F1" s="683"/>
      <c r="G1" s="683"/>
      <c r="H1" s="683"/>
      <c r="I1" s="683"/>
      <c r="J1" s="683"/>
      <c r="K1" s="683"/>
    </row>
    <row r="2" spans="1:52" s="686" customFormat="1" ht="13.5" thickBot="1">
      <c r="A2" s="685"/>
      <c r="B2" s="685"/>
      <c r="C2" s="685"/>
      <c r="D2" s="685"/>
      <c r="E2" s="685"/>
      <c r="F2" s="685"/>
      <c r="G2" s="685"/>
      <c r="H2" s="685"/>
      <c r="I2" s="685"/>
      <c r="J2" s="685"/>
      <c r="K2" s="685"/>
    </row>
    <row r="3" spans="1:52" ht="16.149999999999999" customHeight="1">
      <c r="A3" s="687" t="s">
        <v>7813</v>
      </c>
      <c r="B3" s="304"/>
      <c r="C3" s="304"/>
      <c r="D3" s="304"/>
      <c r="E3" s="304"/>
      <c r="F3" s="304"/>
      <c r="G3" s="304"/>
      <c r="H3" s="304"/>
      <c r="I3" s="304"/>
      <c r="J3" s="304"/>
      <c r="K3" s="304"/>
      <c r="L3" s="304"/>
      <c r="M3" s="304"/>
      <c r="N3" s="304"/>
      <c r="O3" s="304"/>
      <c r="P3" s="304"/>
      <c r="Q3" s="304"/>
      <c r="R3" s="304"/>
      <c r="S3" s="304"/>
      <c r="T3" s="304"/>
      <c r="U3" s="304"/>
      <c r="V3" s="304"/>
      <c r="W3" s="304"/>
      <c r="X3" s="304"/>
      <c r="Y3" s="304"/>
      <c r="Z3" s="304"/>
      <c r="AA3" s="304"/>
      <c r="AB3" s="304"/>
      <c r="AC3" s="304"/>
      <c r="AD3" s="304"/>
      <c r="AE3" s="304"/>
      <c r="AF3" s="304"/>
      <c r="AG3" s="304"/>
      <c r="AH3" s="304"/>
      <c r="AI3" s="304"/>
      <c r="AJ3" s="304"/>
      <c r="AK3" s="304"/>
      <c r="AL3" s="304"/>
      <c r="AM3" s="304"/>
      <c r="AN3" s="304"/>
      <c r="AO3" s="304"/>
      <c r="AP3" s="304"/>
      <c r="AQ3" s="304"/>
      <c r="AR3" s="304"/>
      <c r="AS3" s="304"/>
      <c r="AT3" s="304"/>
      <c r="AU3" s="304"/>
      <c r="AV3" s="304"/>
      <c r="AW3" s="304"/>
      <c r="AX3" s="304"/>
      <c r="AY3" s="304"/>
      <c r="AZ3" s="304"/>
    </row>
    <row r="4" spans="1:52">
      <c r="A4" s="688"/>
      <c r="B4" s="304"/>
      <c r="C4" s="304"/>
      <c r="D4" s="304"/>
      <c r="E4" s="304"/>
      <c r="F4" s="304"/>
      <c r="G4" s="304"/>
      <c r="H4" s="304"/>
      <c r="I4" s="304"/>
      <c r="J4" s="304"/>
      <c r="K4" s="304"/>
      <c r="L4" s="304"/>
      <c r="M4" s="304"/>
      <c r="N4" s="304"/>
      <c r="O4" s="304"/>
      <c r="P4" s="304"/>
      <c r="Q4" s="304"/>
      <c r="R4" s="304"/>
      <c r="S4" s="304"/>
      <c r="T4" s="304"/>
      <c r="U4" s="304"/>
      <c r="V4" s="304"/>
      <c r="W4" s="304"/>
      <c r="X4" s="304"/>
      <c r="Y4" s="304"/>
      <c r="Z4" s="304"/>
      <c r="AA4" s="304"/>
      <c r="AB4" s="304"/>
      <c r="AC4" s="304"/>
      <c r="AD4" s="304"/>
      <c r="AE4" s="304"/>
      <c r="AF4" s="304"/>
      <c r="AG4" s="304"/>
      <c r="AH4" s="304"/>
      <c r="AI4" s="304"/>
      <c r="AJ4" s="304"/>
      <c r="AK4" s="304"/>
      <c r="AL4" s="304"/>
      <c r="AM4" s="304"/>
      <c r="AN4" s="304"/>
      <c r="AO4" s="304"/>
      <c r="AP4" s="400" t="s">
        <v>96</v>
      </c>
      <c r="AQ4" s="400"/>
      <c r="AR4" s="400"/>
      <c r="AS4" s="400"/>
      <c r="AT4" s="400"/>
      <c r="AU4" s="401" t="s">
        <v>229</v>
      </c>
      <c r="AV4" s="401"/>
      <c r="AW4" s="401"/>
      <c r="AX4" s="401"/>
      <c r="AY4" s="401"/>
      <c r="AZ4" s="304"/>
    </row>
    <row r="5" spans="1:52" s="361" customFormat="1" ht="15.75">
      <c r="A5" s="362" t="s">
        <v>7986</v>
      </c>
      <c r="B5" s="363" t="s">
        <v>7987</v>
      </c>
      <c r="C5" s="364" t="s">
        <v>7988</v>
      </c>
      <c r="D5" s="364" t="s">
        <v>7989</v>
      </c>
      <c r="E5" s="365" t="s">
        <v>7990</v>
      </c>
      <c r="F5" s="363" t="s">
        <v>7991</v>
      </c>
      <c r="G5" s="364" t="s">
        <v>7992</v>
      </c>
      <c r="H5" s="364" t="s">
        <v>7993</v>
      </c>
      <c r="I5" s="364" t="s">
        <v>7994</v>
      </c>
      <c r="J5" s="364" t="s">
        <v>7995</v>
      </c>
      <c r="K5" s="366" t="s">
        <v>7996</v>
      </c>
      <c r="L5" s="367" t="s">
        <v>7997</v>
      </c>
      <c r="M5" s="367" t="s">
        <v>7998</v>
      </c>
      <c r="N5" s="367" t="s">
        <v>7999</v>
      </c>
      <c r="O5" s="367" t="s">
        <v>8000</v>
      </c>
      <c r="P5" s="367" t="s">
        <v>8001</v>
      </c>
      <c r="Q5" s="367" t="s">
        <v>8002</v>
      </c>
      <c r="R5" s="367" t="s">
        <v>8003</v>
      </c>
      <c r="S5" s="367" t="s">
        <v>8004</v>
      </c>
      <c r="T5" s="367" t="s">
        <v>8005</v>
      </c>
      <c r="U5" s="367" t="s">
        <v>8006</v>
      </c>
      <c r="V5" s="367" t="s">
        <v>8007</v>
      </c>
      <c r="W5" s="367" t="s">
        <v>8008</v>
      </c>
      <c r="X5" s="367" t="s">
        <v>8009</v>
      </c>
      <c r="Y5" s="304"/>
      <c r="Z5" s="304"/>
      <c r="AA5" s="304"/>
      <c r="AB5" s="304"/>
      <c r="AC5" s="304"/>
      <c r="AD5" s="352" t="s">
        <v>529</v>
      </c>
      <c r="AE5" s="368" t="s">
        <v>16</v>
      </c>
      <c r="AF5" s="368" t="s">
        <v>8010</v>
      </c>
      <c r="AG5" s="368" t="s">
        <v>8011</v>
      </c>
      <c r="AH5" s="368" t="s">
        <v>8012</v>
      </c>
      <c r="AI5" s="368" t="s">
        <v>8013</v>
      </c>
      <c r="AJ5" s="368" t="s">
        <v>115</v>
      </c>
      <c r="AK5" s="368" t="s">
        <v>8014</v>
      </c>
      <c r="AL5" s="368" t="s">
        <v>8015</v>
      </c>
      <c r="AM5" s="352"/>
      <c r="AN5" s="362" t="s">
        <v>7986</v>
      </c>
      <c r="AO5" s="363" t="s">
        <v>7987</v>
      </c>
      <c r="AP5" s="399" t="s">
        <v>8016</v>
      </c>
      <c r="AQ5" s="399" t="s">
        <v>7989</v>
      </c>
      <c r="AR5" s="399" t="s">
        <v>8017</v>
      </c>
      <c r="AS5" s="399" t="s">
        <v>8018</v>
      </c>
      <c r="AT5" s="399" t="s">
        <v>8019</v>
      </c>
      <c r="AU5" s="399" t="s">
        <v>8020</v>
      </c>
      <c r="AV5" s="399" t="s">
        <v>8021</v>
      </c>
      <c r="AW5" s="399" t="s">
        <v>8022</v>
      </c>
      <c r="AX5" s="399" t="s">
        <v>8023</v>
      </c>
      <c r="AY5" s="405" t="s">
        <v>8024</v>
      </c>
      <c r="AZ5" s="352" t="s">
        <v>529</v>
      </c>
    </row>
    <row r="6" spans="1:52" s="361" customFormat="1" ht="15.75">
      <c r="A6" s="369" t="s">
        <v>6</v>
      </c>
      <c r="B6" s="380" t="s">
        <v>38</v>
      </c>
      <c r="C6" s="658">
        <f>COUNTIFS(Journal_Live[MONTH],'PERFORMANCE ANALYSIS'!$A$3,Journal_Live[TECHNICAL],"*")</f>
        <v>34</v>
      </c>
      <c r="D6" s="403">
        <f>SUMIFS(Journal_Live[E QTY],Journal_Live[MONTH],'PERFORMANCE ANALYSIS'!$A$3,Journal_Live[TECHNICAL],"*")</f>
        <v>332</v>
      </c>
      <c r="E6" s="382">
        <f>AVERAGEIFS(Journal_Live[PNL ($) SINGLE ORDER],Journal_Live[MONTH],'PERFORMANCE ANALYSIS'!$A$3,Journal_Live[W/L],"W",Journal_Live[TECHNICAL],"*")</f>
        <v>16.444444444443963</v>
      </c>
      <c r="F6" s="382">
        <f>SUMIFS(Journal_Live[TOTAL PROFIT],Journal_Live[MONTH],'PERFORMANCE ANALYSIS'!$A$3,Journal_Live[W/L],"W",Journal_Live[TECHNICAL],"*")</f>
        <v>1235.9999999999379</v>
      </c>
      <c r="G6" s="370">
        <f>IFERROR((COUNTIFS(Journal_Live[W/L],"W",Journal_Live[MONTH],'PERFORMANCE ANALYSIS'!$A$3,Journal_Live[TECHNICAL],"*"))/Table2[[#This Row],['# ORDERS]],0)</f>
        <v>0.26470588235294118</v>
      </c>
      <c r="H6" s="382">
        <f>ABS(AVERAGEIFS(Journal_Live[PNL ($) SINGLE ORDER],Journal_Live[MONTH],'PERFORMANCE ANALYSIS'!$A$3,Journal_Live[W/L],"L",Journal_Live[TECHNICAL],"*"))</f>
        <v>27.25157190635316</v>
      </c>
      <c r="I6" s="382">
        <f>ABS(SUMIFS(Journal_Live[TOTAL PROFIT],Journal_Live[MONTH],'PERFORMANCE ANALYSIS'!$A$3,Journal_Live[W/L],"L",Journal_Live[TECHNICAL],"*"))</f>
        <v>1461.7999999998942</v>
      </c>
      <c r="J6" s="370">
        <f>(COUNTIFS(Journal_Live[W/L],"L",Journal_Live[MONTH],'PERFORMANCE ANALYSIS'!$A$3,Journal_Live[TECHNICAL],"*"))/Table2[[#This Row],['# ORDERS]]</f>
        <v>0.29411764705882354</v>
      </c>
      <c r="K6" s="371">
        <f>IFERROR(Table2[[#This Row],[TOTAL GAINS]]/Table2[[#This Row],[TOTAL LOSS]],1)</f>
        <v>0.84553290463813613</v>
      </c>
      <c r="L6" s="376">
        <f>Table2[[#This Row],[TOTAL GAINS]]-Table2[[#This Row],[TOTAL LOSS]]</f>
        <v>-225.7999999999563</v>
      </c>
      <c r="M6" s="383" cm="1">
        <f t="array" ref="M6">IFERROR(MODE(IF(Journal_Live[MONTH]='PERFORMANCE ANALYSIS'!$A$3,IF(Journal_Live[TECHNICAL]&lt;&gt;"",Journal_Live[E QTY]))),0)</f>
        <v>1</v>
      </c>
      <c r="N6" s="603" cm="1">
        <f t="array" ref="N6">MIN(IF(Journal_Live[MONTH]='PERFORMANCE ANALYSIS'!$A$3,IF(Journal_Live[TECHNICAL]&lt;&gt;"",Journal_Live[TOTAL PROFIT])))</f>
        <v>-594.00000000002251</v>
      </c>
      <c r="O6" s="384">
        <f>IFERROR(Table2[[#This Row],[AVG GAINS/LOT]]/Table2[[#This Row],[AVG LOSS/ LOT]],0)</f>
        <v>0.60343104247172874</v>
      </c>
      <c r="P6" s="384">
        <f>IFERROR((Table2[[#This Row],[AVG GAINS/LOT]]*Table2[[#This Row],[WIN%]]),1)</f>
        <v>4.3529411764704609</v>
      </c>
      <c r="Q6" s="384">
        <f>IFERROR((Table2[[#This Row],[AVG LOSS/ LOT]]*Table2[[#This Row],[LOSS%]]),1)</f>
        <v>8.0151682077509303</v>
      </c>
      <c r="R6" s="385">
        <f>Table2[[#This Row],[W SCORE]]-Table2[[#This Row],[L SCORE]]</f>
        <v>-3.6622270312804694</v>
      </c>
      <c r="S6" s="459">
        <f>IFERROR(Table2[[#This Row],[TOTAL LOTS]]/Table2[[#This Row],['# ORDERS]],0)</f>
        <v>9.764705882352942</v>
      </c>
      <c r="T6" s="323">
        <f>IFERROR(Table2[[#This Row],[NET P/L]]/Table2[[#This Row],[TOTAL LOTS]],0)</f>
        <v>-0.68012048192757923</v>
      </c>
      <c r="U6" s="406">
        <f>IFERROR(Table2[[#This Row],[NET P/L]]/Table2[[#This Row],['# ORDERS]],0)</f>
        <v>-6.6411764705869496</v>
      </c>
      <c r="V6" s="304"/>
      <c r="W6" s="304"/>
      <c r="X6" s="304"/>
      <c r="Y6" s="304"/>
      <c r="Z6" s="304"/>
      <c r="AA6" s="304"/>
      <c r="AB6" s="304"/>
      <c r="AC6" s="304"/>
      <c r="AD6" s="352"/>
      <c r="AE6" s="372" t="s">
        <v>132</v>
      </c>
      <c r="AF6" s="381">
        <f>COUNTIFS(Journal_Live[W/L],"W",Journal_Live[MONTH],'PERFORMANCE ANALYSIS'!$A$3,Journal_Live[DAY],'PERFORMANCE ANALYSIS'!$AE6)</f>
        <v>0</v>
      </c>
      <c r="AG6" s="381">
        <f>SUMIFS(Journal_Live[TOTAL PROFIT],Journal_Live[W/L],"W",Journal_Live[DAY],'PERFORMANCE ANALYSIS'!$AE6,Journal_Live[MONTH],'PERFORMANCE ANALYSIS'!$A$3)</f>
        <v>0</v>
      </c>
      <c r="AH6" s="381">
        <f>COUNTIFS(Journal_Live[W/L],"L",Journal_Live[MONTH],'PERFORMANCE ANALYSIS'!$A$3,Journal_Live[DAY],'PERFORMANCE ANALYSIS'!$AE6)</f>
        <v>0</v>
      </c>
      <c r="AI6" s="585">
        <f>SUMIFS(Journal_Live[TOTAL PROFIT],Journal_Live[W/L],"L",Journal_Live[DAY],'PERFORMANCE ANALYSIS'!$AE6,Journal_Live[MONTH],'PERFORMANCE ANALYSIS'!$A$3)</f>
        <v>0</v>
      </c>
      <c r="AJ6" s="381">
        <f>COUNTIFS(Journal_Live[W/L],"D",Journal_Live[MONTH],'PERFORMANCE ANALYSIS'!$A$3,Journal_Live[DAY],'PERFORMANCE ANALYSIS'!$AE6)</f>
        <v>1</v>
      </c>
      <c r="AK6" s="386">
        <f>AF6/(AJ6+AH6+AF6)</f>
        <v>0</v>
      </c>
      <c r="AL6" s="386">
        <f>AH6/(AJ6+AH6+AF6)</f>
        <v>0</v>
      </c>
      <c r="AM6" s="352"/>
      <c r="AN6" s="369" t="s">
        <v>6</v>
      </c>
      <c r="AO6" s="380" t="s">
        <v>38</v>
      </c>
      <c r="AP6" s="381">
        <f>COUNTIFS(Journal_Live[MONTH],'PERFORMANCE ANALYSIS'!$A$3,Journal_Live[TECHNICAL],"*",Journal_Live[W/L],"W")</f>
        <v>9</v>
      </c>
      <c r="AQ6" s="403">
        <f>SUMIFS(Journal_Live[E QTY],Journal_Live[MONTH],'PERFORMANCE ANALYSIS'!$A$3,Journal_Live[TECHNICAL],"*",Journal_Live[W/L],"W")</f>
        <v>77</v>
      </c>
      <c r="AR6" s="382">
        <f>SUMIFS(Journal_Live[TOTAL PROFIT],Journal_Live[MONTH],'PERFORMANCE ANALYSIS'!$A$3,Journal_Live[W/L],"W",Journal_Live[TECHNICAL],"*")</f>
        <v>1235.9999999999379</v>
      </c>
      <c r="AS6" s="402">
        <f>AVERAGEIFS(Journal_Live[PNL ($) SINGLE ORDER],Journal_Live[MONTH],'PERFORMANCE ANALYSIS'!$A$3,Journal_Live[W/L],"W",Journal_Live[TECHNICAL],"*")</f>
        <v>16.444444444443963</v>
      </c>
      <c r="AT6" s="384">
        <f>IFERROR(Table3[[#This Row],[TOTAL LOTS]]/Table3[[#This Row],[ORDERS]],0)</f>
        <v>8.5555555555555554</v>
      </c>
      <c r="AU6" s="381">
        <f>COUNTIFS(Journal_Live[MONTH],'PERFORMANCE ANALYSIS'!$A$3,Journal_Live[TECHNICAL],"*",Journal_Live[W/L],"L")</f>
        <v>10</v>
      </c>
      <c r="AV6" s="403">
        <f>SUMIFS(Journal_Live[E QTY],Journal_Live[MONTH],'PERFORMANCE ANALYSIS'!$A$3,Journal_Live[TECHNICAL],"*",Journal_Live[W/L],"L")</f>
        <v>88</v>
      </c>
      <c r="AW6" s="382">
        <f>SUMIFS(Journal_Live[TOTAL PROFIT],Journal_Live[MONTH],'PERFORMANCE ANALYSIS'!$A$3,Journal_Live[W/L],"L",Journal_Live[TECHNICAL],"*")</f>
        <v>-1461.7999999998942</v>
      </c>
      <c r="AX6" s="402">
        <f>ABS(AVERAGEIFS(Journal_Live[PNL ($) SINGLE ORDER],Journal_Live[MONTH],'PERFORMANCE ANALYSIS'!$A$3,Journal_Live[W/L],"L",Journal_Live[TECHNICAL],"*"))</f>
        <v>27.25157190635316</v>
      </c>
      <c r="AY6" s="384">
        <f>IFERROR(Table3[[#This Row],[TOTAL LOTS2]]/Table3[[#This Row],[ORDERS2]],0)</f>
        <v>8.8000000000000007</v>
      </c>
      <c r="AZ6" s="352"/>
    </row>
    <row r="7" spans="1:52" s="361" customFormat="1" ht="15.75">
      <c r="A7" s="369"/>
      <c r="B7" s="380" t="s">
        <v>39</v>
      </c>
      <c r="C7" s="658">
        <f>COUNTIFS(Journal_Live[MONTH],'PERFORMANCE ANALYSIS'!$A$3,Journal_Live[FUNDAMENTAL],"*")</f>
        <v>17</v>
      </c>
      <c r="D7" s="403">
        <f>SUMIFS(Journal_Live[E QTY],Journal_Live[MONTH],'PERFORMANCE ANALYSIS'!$A$3,Journal_Live[FUNDAMENTAL],"*")</f>
        <v>189</v>
      </c>
      <c r="E7" s="382">
        <f>IFERROR(AVERAGEIFS(Journal_Live[PNL ($) SINGLE ORDER],Journal_Live[MONTH],'PERFORMANCE ANALYSIS'!$A$3,Journal_Live[W/L],"W",Journal_Live[FUNDAMENTAL],"*"),0)</f>
        <v>15.999999999997883</v>
      </c>
      <c r="F7" s="382">
        <f>SUMIFS(Journal_Live[TOTAL PROFIT],Journal_Live[MONTH],'PERFORMANCE ANALYSIS'!$A$3,Journal_Live[W/L],"W",Journal_Live[FUNDAMENTAL],"*")</f>
        <v>863.99999999995669</v>
      </c>
      <c r="G7" s="370">
        <f>(COUNTIFS(Journal_Live[W/L],"W",Journal_Live[MONTH],'PERFORMANCE ANALYSIS'!$A$3,Journal_Live[FUNDAMENTAL],"*"))/Table2[[#This Row],['# ORDERS]]</f>
        <v>0.35294117647058826</v>
      </c>
      <c r="H7" s="382">
        <f>ABS(AVERAGEIFS(Journal_Live[PNL ($) SINGLE ORDER],Journal_Live[MONTH],'PERFORMANCE ANALYSIS'!$A$3,Journal_Live[W/L],"L",Journal_Live[FUNDAMENTAL],"*"))</f>
        <v>16.383143812704635</v>
      </c>
      <c r="I7" s="382">
        <f>ABS(SUMIFS(Journal_Live[TOTAL PROFIT],Journal_Live[MONTH],'PERFORMANCE ANALYSIS'!$A$3,Journal_Live[W/L],"L",Journal_Live[FUNDAMENTAL],"*"))</f>
        <v>591.9999999999053</v>
      </c>
      <c r="J7" s="370">
        <f>(COUNTIFS(Journal_Live[W/L],"L",Journal_Live[MONTH],'PERFORMANCE ANALYSIS'!$A$3,Journal_Live[FUNDAMENTAL],"*"))/Table2[[#This Row],['# ORDERS]]</f>
        <v>0.29411764705882354</v>
      </c>
      <c r="K7" s="371">
        <f>IFERROR(Table2[[#This Row],[TOTAL GAINS]]/Table2[[#This Row],[TOTAL LOSS]],1)</f>
        <v>1.4594594594596197</v>
      </c>
      <c r="L7" s="376">
        <f>Table2[[#This Row],[TOTAL GAINS]]-Table2[[#This Row],[TOTAL LOSS]]</f>
        <v>272.00000000005139</v>
      </c>
      <c r="M7" s="373" cm="1">
        <f t="array" ref="M7">MODE(IF(Journal_Live[MONTH]='PERFORMANCE ANALYSIS'!$A$3,IF(Journal_Live[FUNDAMENTAL]&lt;&gt;"",Journal_Live[E QTY])))</f>
        <v>4</v>
      </c>
      <c r="N7" s="603" cm="1">
        <f t="array" ref="N7">MIN(IF(Journal_Live[MONTH]='PERFORMANCE ANALYSIS'!$A$3,IF(Journal_Live[FUNDAMENTAL]&lt;&gt;"",Journal_Live[TOTAL PROFIT])))</f>
        <v>-255.99999999999977</v>
      </c>
      <c r="O7" s="384">
        <f>IFERROR(Table2[[#This Row],[AVG GAINS/LOT]]/Table2[[#This Row],[AVG LOSS/ LOT]],0)</f>
        <v>0.97661353540645623</v>
      </c>
      <c r="P7" s="384">
        <f>IFERROR((Table2[[#This Row],[AVG GAINS/LOT]]*Table2[[#This Row],[WIN%]]),1)</f>
        <v>5.6470588235286652</v>
      </c>
      <c r="Q7" s="384">
        <f>IFERROR((Table2[[#This Row],[AVG LOSS/ LOT]]*Table2[[#This Row],[LOSS%]]),1)</f>
        <v>4.8185717096190102</v>
      </c>
      <c r="R7" s="385">
        <f>Table2[[#This Row],[W SCORE]]-Table2[[#This Row],[L SCORE]]</f>
        <v>0.82848711390965502</v>
      </c>
      <c r="S7" s="459">
        <f>IFERROR(Table2[[#This Row],[TOTAL LOTS]]/Table2[[#This Row],['# ORDERS]],0)</f>
        <v>11.117647058823529</v>
      </c>
      <c r="T7" s="323">
        <f>IFERROR(Table2[[#This Row],[NET P/L]]/Table2[[#This Row],[TOTAL LOTS]],0)</f>
        <v>1.4391534391537111</v>
      </c>
      <c r="U7" s="406">
        <f>IFERROR(Table2[[#This Row],[NET P/L]]/Table2[[#This Row],['# ORDERS]],0)</f>
        <v>16.000000000003023</v>
      </c>
      <c r="V7" s="304"/>
      <c r="W7" s="304"/>
      <c r="X7" s="304"/>
      <c r="Y7" s="304"/>
      <c r="Z7" s="304"/>
      <c r="AA7" s="304"/>
      <c r="AB7" s="304"/>
      <c r="AC7" s="304"/>
      <c r="AD7" s="352"/>
      <c r="AE7" s="372" t="s">
        <v>146</v>
      </c>
      <c r="AF7" s="381">
        <f>COUNTIFS(Journal_Live[W/L],"W",Journal_Live[MONTH],'PERFORMANCE ANALYSIS'!$A$3,Journal_Live[DAY],'PERFORMANCE ANALYSIS'!$AE7)</f>
        <v>3</v>
      </c>
      <c r="AG7" s="381">
        <f>SUMIFS(Journal_Live[TOTAL PROFIT],Journal_Live[W/L],"W",Journal_Live[DAY],'PERFORMANCE ANALYSIS'!$AE7,Journal_Live[MONTH],'PERFORMANCE ANALYSIS'!$A$3)</f>
        <v>335.99999999982549</v>
      </c>
      <c r="AH7" s="381">
        <f>COUNTIFS(Journal_Live[W/L],"L",Journal_Live[MONTH],'PERFORMANCE ANALYSIS'!$A$3,Journal_Live[DAY],'PERFORMANCE ANALYSIS'!$AE7)</f>
        <v>3</v>
      </c>
      <c r="AI7" s="585">
        <f>SUMIFS(Journal_Live[TOTAL PROFIT],Journal_Live[W/L],"L",Journal_Live[DAY],'PERFORMANCE ANALYSIS'!$AE7,Journal_Live[MONTH],'PERFORMANCE ANALYSIS'!$A$3)</f>
        <v>-217.99999999990459</v>
      </c>
      <c r="AJ7" s="381">
        <f>COUNTIFS(Journal_Live[W/L],"D",Journal_Live[MONTH],'PERFORMANCE ANALYSIS'!$A$3,Journal_Live[DAY],'PERFORMANCE ANALYSIS'!$AE7)</f>
        <v>1</v>
      </c>
      <c r="AK7" s="386">
        <f>AF7/(AJ7+AH7+AF7)</f>
        <v>0.42857142857142855</v>
      </c>
      <c r="AL7" s="386">
        <f>AH7/(AJ7+AH7+AF7)</f>
        <v>0.42857142857142855</v>
      </c>
      <c r="AM7" s="352"/>
      <c r="AN7" s="369"/>
      <c r="AO7" s="380" t="s">
        <v>39</v>
      </c>
      <c r="AP7" s="381">
        <f>COUNTIFS(Journal_Live[MONTH],'PERFORMANCE ANALYSIS'!$A$3,Journal_Live[FUNDAMENTAL],"*",Journal_Live[W/L],"W")</f>
        <v>6</v>
      </c>
      <c r="AQ7" s="403">
        <f>SUMIFS(Journal_Live[E QTY],Journal_Live[MONTH],'PERFORMANCE ANALYSIS'!$A$3,Journal_Live[FUNDAMENTAL],"*",Journal_Live[W/L],"W")</f>
        <v>54</v>
      </c>
      <c r="AR7" s="382">
        <f>SUMIFS(Journal_Live[TOTAL PROFIT],Journal_Live[MONTH],'PERFORMANCE ANALYSIS'!$A$3,Journal_Live[W/L],"W",Journal_Live[FUNDAMENTAL],"*")</f>
        <v>863.99999999995669</v>
      </c>
      <c r="AS7" s="402">
        <f>AVERAGEIFS(Journal_Live[PNL ($) SINGLE ORDER],Journal_Live[MONTH],'PERFORMANCE ANALYSIS'!$A$3,Journal_Live[W/L],"W",Journal_Live[FUNDAMENTAL],"*")</f>
        <v>15.999999999997883</v>
      </c>
      <c r="AT7" s="384">
        <f>IFERROR(Table3[[#This Row],[TOTAL LOTS]]/Table3[[#This Row],[ORDERS]],0)</f>
        <v>9</v>
      </c>
      <c r="AU7" s="381">
        <f>COUNTIFS(Journal_Live[MONTH],'PERFORMANCE ANALYSIS'!$A$3,Journal_Live[FUNDAMENTAL],"*",Journal_Live[W/L],"L")</f>
        <v>5</v>
      </c>
      <c r="AV7" s="403">
        <f>SUMIFS(Journal_Live[E QTY],Journal_Live[MONTH],'PERFORMANCE ANALYSIS'!$A$3,Journal_Live[FUNDAMENTAL],"*",Journal_Live[W/L],"L")</f>
        <v>61</v>
      </c>
      <c r="AW7" s="382">
        <f>SUMIFS(Journal_Live[TOTAL PROFIT],Journal_Live[MONTH],'PERFORMANCE ANALYSIS'!$A$3,Journal_Live[W/L],"L",Journal_Live[FUNDAMENTAL],"*")</f>
        <v>-591.9999999999053</v>
      </c>
      <c r="AX7" s="402">
        <f>ABS(AVERAGEIFS(Journal_Live[PNL ($) SINGLE ORDER],Journal_Live[MONTH],'PERFORMANCE ANALYSIS'!$A$3,Journal_Live[W/L],"L",Journal_Live[FUNDAMENTAL],"*"))</f>
        <v>16.383143812704635</v>
      </c>
      <c r="AY7" s="384">
        <f>IFERROR(Table3[[#This Row],[TOTAL LOTS2]]/Table3[[#This Row],[ORDERS2]],0)</f>
        <v>12.2</v>
      </c>
      <c r="AZ7" s="352"/>
    </row>
    <row r="8" spans="1:52" s="361" customFormat="1" ht="15.75">
      <c r="A8" s="369"/>
      <c r="B8" s="380" t="s">
        <v>8025</v>
      </c>
      <c r="C8" s="658">
        <f>COUNTIFS(Journal_Live[MONTH],'PERFORMANCE ANALYSIS'!$A$3,Journal_Live[CURVES],"*")</f>
        <v>9</v>
      </c>
      <c r="D8" s="403">
        <f>SUMIFS(Journal_Live[E QTY],Journal_Live[MONTH],'PERFORMANCE ANALYSIS'!$A$3,Journal_Live[CURVES],"*")</f>
        <v>159</v>
      </c>
      <c r="E8" s="382">
        <f>IFERROR(AVERAGEIFS(Journal_Live[PNL ($) SINGLE ORDER],Journal_Live[MONTH],'PERFORMANCE ANALYSIS'!$A$3,Journal_Live[W/L],"W",Journal_Live[CURVES],"*"),"N/A")</f>
        <v>15.99999999999997</v>
      </c>
      <c r="F8" s="382">
        <f>SUMIFS(Journal_Live[TOTAL PROFIT],Journal_Live[MONTH],'PERFORMANCE ANALYSIS'!$A$3,Journal_Live[W/L],"W",Journal_Live[CURVES],"*")</f>
        <v>31.99999999999994</v>
      </c>
      <c r="G8" s="370">
        <f>(COUNTIFS(Journal_Live[W/L],"W",Journal_Live[MONTH],'PERFORMANCE ANALYSIS'!$A$3,Journal_Live[CURVES],"*"))/Table2[[#This Row],['# ORDERS]]</f>
        <v>0.1111111111111111</v>
      </c>
      <c r="H8" s="382">
        <f>IFERROR(ABS(AVERAGEIFS(Journal_Live[PNL ($) SINGLE ORDER],Journal_Live[MONTH],'PERFORMANCE ANALYSIS'!$A$3,Journal_Live[W/L],"L",Journal_Live[CURVES],"*")),0)</f>
        <v>12.92307692307692</v>
      </c>
      <c r="I8" s="382">
        <f>ABS(SUMIFS(Journal_Live[TOTAL PROFIT],Journal_Live[MONTH],'PERFORMANCE ANALYSIS'!$A$3,Journal_Live[W/L],"L",Journal_Live[CURVES],"*"))</f>
        <v>511.99999999999983</v>
      </c>
      <c r="J8" s="370">
        <f>IFERROR((COUNTIFS(Journal_Live[W/L],"L",Journal_Live[MONTH],'PERFORMANCE ANALYSIS'!$A$3,Journal_Live[CURVES],"*"))/Table2[[#This Row],['# ORDERS]],0)</f>
        <v>0.22222222222222221</v>
      </c>
      <c r="K8" s="371">
        <f>IFERROR(Table2[[#This Row],[TOTAL GAINS]]/Table2[[#This Row],[TOTAL LOSS]],1)</f>
        <v>6.2499999999999903E-2</v>
      </c>
      <c r="L8" s="376">
        <f>Table2[[#This Row],[TOTAL GAINS]]-Table2[[#This Row],[TOTAL LOSS]]</f>
        <v>-479.99999999999989</v>
      </c>
      <c r="M8" s="373" cm="1">
        <f t="array" ref="M8">MODE(IF(Journal_Live[MONTH]='PERFORMANCE ANALYSIS'!$A$3,IF(Journal_Live[CURVES]&lt;&gt;"",Journal_Live[E QTY])))</f>
        <v>32</v>
      </c>
      <c r="N8" s="601" cm="1">
        <f t="array" ref="N8">MIN(IF(Journal_Live[MONTH]='PERFORMANCE ANALYSIS'!$A$3,IF(Journal_Live[CURVES]&lt;&gt;"",Journal_Live[TOTAL PROFIT])))</f>
        <v>-256.00000000000006</v>
      </c>
      <c r="O8" s="384">
        <f>IFERROR(Table2[[#This Row],[AVG GAINS/LOT]]/Table2[[#This Row],[AVG LOSS/ LOT]],0)</f>
        <v>1.2380952380952361</v>
      </c>
      <c r="P8" s="384">
        <f>IFERROR((Table2[[#This Row],[AVG GAINS/LOT]]*Table2[[#This Row],[WIN%]]),1)</f>
        <v>1.7777777777777743</v>
      </c>
      <c r="Q8" s="384">
        <f>IFERROR((Table2[[#This Row],[AVG LOSS/ LOT]]*Table2[[#This Row],[LOSS%]]),1)</f>
        <v>2.8717948717948709</v>
      </c>
      <c r="R8" s="385">
        <f>Table2[[#This Row],[W SCORE]]-Table2[[#This Row],[L SCORE]]</f>
        <v>-1.0940170940170966</v>
      </c>
      <c r="S8" s="459">
        <f>IFERROR(Table2[[#This Row],[TOTAL LOTS]]/Table2[[#This Row],['# ORDERS]],0)</f>
        <v>17.666666666666668</v>
      </c>
      <c r="T8" s="323">
        <f>IFERROR(Table2[[#This Row],[NET P/L]]/Table2[[#This Row],[TOTAL LOTS]],0)</f>
        <v>-3.0188679245283012</v>
      </c>
      <c r="U8" s="406">
        <f>IFERROR(Table2[[#This Row],[NET P/L]]/Table2[[#This Row],['# ORDERS]],0)</f>
        <v>-53.333333333333321</v>
      </c>
      <c r="V8" s="304"/>
      <c r="W8" s="304"/>
      <c r="X8" s="304"/>
      <c r="Y8" s="304"/>
      <c r="Z8" s="304"/>
      <c r="AA8" s="304"/>
      <c r="AB8" s="304"/>
      <c r="AC8" s="304"/>
      <c r="AD8" s="352"/>
      <c r="AE8" s="372" t="s">
        <v>151</v>
      </c>
      <c r="AF8" s="381">
        <f>COUNTIFS(Journal_Live[W/L],"W",Journal_Live[MONTH],'PERFORMANCE ANALYSIS'!$A$3,Journal_Live[DAY],'PERFORMANCE ANALYSIS'!$AE8)</f>
        <v>1</v>
      </c>
      <c r="AG8" s="381">
        <f>SUMIFS(Journal_Live[TOTAL PROFIT],Journal_Live[W/L],"W",Journal_Live[DAY],'PERFORMANCE ANALYSIS'!$AE8,Journal_Live[MONTH],'PERFORMANCE ANALYSIS'!$A$3)</f>
        <v>224.0000000001146</v>
      </c>
      <c r="AH8" s="381">
        <f>COUNTIFS(Journal_Live[W/L],"L",Journal_Live[MONTH],'PERFORMANCE ANALYSIS'!$A$3,Journal_Live[DAY],'PERFORMANCE ANALYSIS'!$AE8)</f>
        <v>1</v>
      </c>
      <c r="AI8" s="585">
        <f>SUMIFS(Journal_Live[TOTAL PROFIT],Journal_Live[W/L],"L",Journal_Live[DAY],'PERFORMANCE ANALYSIS'!$AE8,Journal_Live[MONTH],'PERFORMANCE ANALYSIS'!$A$3)</f>
        <v>-58.000000000029672</v>
      </c>
      <c r="AJ8" s="381">
        <f>COUNTIFS(Journal_Live[W/L],"D",Journal_Live[MONTH],'PERFORMANCE ANALYSIS'!$A$3,Journal_Live[DAY],'PERFORMANCE ANALYSIS'!$AE8)</f>
        <v>2</v>
      </c>
      <c r="AK8" s="386">
        <f>AF8/(AJ8+AH8+AF8)</f>
        <v>0.25</v>
      </c>
      <c r="AL8" s="386">
        <f>AH8/(AJ8+AH8+AF8)</f>
        <v>0.25</v>
      </c>
      <c r="AM8" s="352"/>
      <c r="AN8" s="369"/>
      <c r="AO8" s="380" t="s">
        <v>8025</v>
      </c>
      <c r="AP8" s="381">
        <f>COUNTIFS(Journal_Live[MONTH],'PERFORMANCE ANALYSIS'!$A$3,Journal_Live[CURVES],"*",Journal_Live[W/L],"W")</f>
        <v>1</v>
      </c>
      <c r="AQ8" s="403">
        <f>SUMIFS(Journal_Live[E QTY],Journal_Live[MONTH],'PERFORMANCE ANALYSIS'!$A$3,Journal_Live[CURVES],"*",Journal_Live[W/L],"W")</f>
        <v>2</v>
      </c>
      <c r="AR8" s="382">
        <f>SUMIFS(Journal_Live[TOTAL PROFIT],Journal_Live[MONTH],'PERFORMANCE ANALYSIS'!$A$3,Journal_Live[W/L],"W",Journal_Live[CURVES],"*")</f>
        <v>31.99999999999994</v>
      </c>
      <c r="AS8" s="402">
        <f>AVERAGEIFS(Journal_Live[PNL ($) SINGLE ORDER],Journal_Live[MONTH],'PERFORMANCE ANALYSIS'!$A$3,Journal_Live[W/L],"W",Journal_Live[CURVES],"*")</f>
        <v>15.99999999999997</v>
      </c>
      <c r="AT8" s="384">
        <f>IFERROR(Table3[[#This Row],[TOTAL LOTS]]/Table3[[#This Row],[ORDERS]],0)</f>
        <v>2</v>
      </c>
      <c r="AU8" s="381">
        <f>COUNTIFS(Journal_Live[MONTH],'PERFORMANCE ANALYSIS'!$A$3,Journal_Live[CURVES],"*",Journal_Live[W/L],"L")</f>
        <v>2</v>
      </c>
      <c r="AV8" s="403">
        <f>SUMIFS(Journal_Live[E QTY],Journal_Live[MONTH],'PERFORMANCE ANALYSIS'!$A$3,Journal_Live[CURVES],"*",Journal_Live[W/L],"L")</f>
        <v>42</v>
      </c>
      <c r="AW8" s="382">
        <f>SUMIFS(Journal_Live[TOTAL PROFIT],Journal_Live[MONTH],'PERFORMANCE ANALYSIS'!$A$3,Journal_Live[W/L],"L",Journal_Live[CURVES],"*")</f>
        <v>-511.99999999999983</v>
      </c>
      <c r="AX8" s="402">
        <f>IFERROR(ABS(AVERAGEIFS(Journal_Live[PNL ($) SINGLE ORDER],Journal_Live[MONTH],'PERFORMANCE ANALYSIS'!$A$3,Journal_Live[W/L],"L",Journal_Live[CURVES],"*")),0)</f>
        <v>12.92307692307692</v>
      </c>
      <c r="AY8" s="384">
        <f>IFERROR(Table3[[#This Row],[TOTAL LOTS2]]/Table3[[#This Row],[ORDERS2]],0)</f>
        <v>21</v>
      </c>
      <c r="AZ8" s="352"/>
    </row>
    <row r="9" spans="1:52" s="361" customFormat="1" ht="15.75">
      <c r="A9" s="374" t="s">
        <v>8026</v>
      </c>
      <c r="B9" s="387" t="s">
        <v>8027</v>
      </c>
      <c r="C9" s="658">
        <f>COUNTIFS(Journal_Live[MONTH],'PERFORMANCE ANALYSIS'!$A$3,Journal_Live[CODE2],"W")</f>
        <v>36</v>
      </c>
      <c r="D9" s="403">
        <f>SUMIFS(Journal_Live[E QTY],Journal_Live[MONTH],'PERFORMANCE ANALYSIS'!$A$3,Journal_Live[CODE2],"W")</f>
        <v>336</v>
      </c>
      <c r="E9" s="382">
        <f>AVERAGEIFS(Journal_Live[PNL ($) SINGLE ORDER],Journal_Live[MONTH],'PERFORMANCE ANALYSIS'!$A$3,Journal_Live[W/L],"W",Journal_Live[CODE2],"W")</f>
        <v>15.99999999999894</v>
      </c>
      <c r="F9" s="382">
        <f>SUMIFS(Journal_Live[TOTAL PROFIT],Journal_Live[MONTH],'PERFORMANCE ANALYSIS'!$A$3,Journal_Live[W/L],"W",Journal_Live[CODE2],"W")</f>
        <v>1615.9999999999568</v>
      </c>
      <c r="G9" s="370">
        <f>(COUNTIFS(Journal_Live[W/L],"W",Journal_Live[MONTH],'PERFORMANCE ANALYSIS'!$A$3,Journal_Live[CODE2],"W"))/Table2[[#This Row],['# ORDERS]]</f>
        <v>0.33333333333333331</v>
      </c>
      <c r="H9" s="382">
        <f>ABS(AVERAGEIFS(Journal_Live[PNL ($) SINGLE ORDER],Journal_Live[MONTH],'PERFORMANCE ANALYSIS'!$A$3,Journal_Live[W/L],"L",Journal_Live[CODE2],"W"))</f>
        <v>18.174358974352881</v>
      </c>
      <c r="I9" s="382">
        <f>ABS(SUMIFS(Journal_Live[TOTAL PROFIT],Journal_Live[MONTH],'PERFORMANCE ANALYSIS'!$A$3,Journal_Live[W/L],"L",Journal_Live[CODE2],"W"))</f>
        <v>783.99999999986062</v>
      </c>
      <c r="J9" s="370">
        <f>(COUNTIFS(Journal_Live[W/L],"L",Journal_Live[MONTH],'PERFORMANCE ANALYSIS'!$A$3,Journal_Live[CODE2],"W"))/Table2[[#This Row],['# ORDERS]]</f>
        <v>0.16666666666666666</v>
      </c>
      <c r="K9" s="371">
        <f>IFERROR(Table2[[#This Row],[TOTAL GAINS]]/Table2[[#This Row],[TOTAL LOSS]],1)</f>
        <v>2.0612244897962295</v>
      </c>
      <c r="L9" s="376">
        <f>Table2[[#This Row],[TOTAL GAINS]]-Table2[[#This Row],[TOTAL LOSS]]</f>
        <v>832.00000000009618</v>
      </c>
      <c r="M9" s="373" cm="1">
        <f t="array" ref="M9">MODE(IF(Journal_Live[MONTH]='PERFORMANCE ANALYSIS'!$A$3,IF(Journal_Live[CODE2]="W",Journal_Live[E QTY])))</f>
        <v>4</v>
      </c>
      <c r="N9" s="601" cm="1">
        <f t="array" ref="N9">MIN(IF(Journal_Live[MONTH]='PERFORMANCE ANALYSIS'!$A$3,IF(Journal_Live[CODE2]="W",Journal_Live[TOTAL PROFIT])))</f>
        <v>-256.00000000000006</v>
      </c>
      <c r="O9" s="384">
        <f>IFERROR(Table2[[#This Row],[AVG GAINS/LOT]]/Table2[[#This Row],[AVG LOSS/ LOT]],0)</f>
        <v>0.88036117381513523</v>
      </c>
      <c r="P9" s="384">
        <f>IFERROR((Table2[[#This Row],[AVG GAINS/LOT]]*Table2[[#This Row],[WIN%]]),1)</f>
        <v>5.3333333333329795</v>
      </c>
      <c r="Q9" s="384">
        <f>IFERROR((Table2[[#This Row],[AVG LOSS/ LOT]]*Table2[[#This Row],[LOSS%]]),1)</f>
        <v>3.0290598290588133</v>
      </c>
      <c r="R9" s="385">
        <f>Table2[[#This Row],[W SCORE]]-Table2[[#This Row],[L SCORE]]</f>
        <v>2.3042735042741662</v>
      </c>
      <c r="S9" s="459">
        <f>IFERROR(Table2[[#This Row],[TOTAL LOTS]]/Table2[[#This Row],['# ORDERS]],0)</f>
        <v>9.3333333333333339</v>
      </c>
      <c r="T9" s="323">
        <f>IFERROR(Table2[[#This Row],[NET P/L]]/Table2[[#This Row],[TOTAL LOTS]],0)</f>
        <v>2.4761904761907623</v>
      </c>
      <c r="U9" s="406">
        <f>IFERROR(Table2[[#This Row],[NET P/L]]/Table2[[#This Row],['# ORDERS]],0)</f>
        <v>23.111111111113782</v>
      </c>
      <c r="V9" s="304"/>
      <c r="W9" s="304"/>
      <c r="X9" s="474" t="e">
        <f>Table2[[#This Row],[NET P/L]]/#REF!</f>
        <v>#REF!</v>
      </c>
      <c r="Y9" s="304"/>
      <c r="Z9" s="304"/>
      <c r="AA9" s="304"/>
      <c r="AB9" s="304"/>
      <c r="AC9" s="304"/>
      <c r="AD9" s="352"/>
      <c r="AE9" s="372" t="s">
        <v>93</v>
      </c>
      <c r="AF9" s="381">
        <f>COUNTIFS(Journal_Live[W/L],"W",Journal_Live[MONTH],'PERFORMANCE ANALYSIS'!$A$3,Journal_Live[DAY],'PERFORMANCE ANALYSIS'!$AE9)</f>
        <v>4</v>
      </c>
      <c r="AG9" s="381">
        <f>SUMIFS(Journal_Live[TOTAL PROFIT],Journal_Live[W/L],"W",Journal_Live[DAY],'PERFORMANCE ANALYSIS'!$AE9,Journal_Live[MONTH],'PERFORMANCE ANALYSIS'!$A$3)</f>
        <v>511.99999999999977</v>
      </c>
      <c r="AH9" s="381">
        <f>COUNTIFS(Journal_Live[W/L],"L",Journal_Live[MONTH],'PERFORMANCE ANALYSIS'!$A$3,Journal_Live[DAY],'PERFORMANCE ANALYSIS'!$AE9)</f>
        <v>5</v>
      </c>
      <c r="AI9" s="585">
        <f>SUMIFS(Journal_Live[TOTAL PROFIT],Journal_Live[W/L],"L",Journal_Live[DAY],'PERFORMANCE ANALYSIS'!$AE9,Journal_Live[MONTH],'PERFORMANCE ANALYSIS'!$A$3)</f>
        <v>-1044.7999999999042</v>
      </c>
      <c r="AJ9" s="381">
        <f>COUNTIFS(Journal_Live[W/L],"D",Journal_Live[MONTH],'PERFORMANCE ANALYSIS'!$A$3,Journal_Live[DAY],'PERFORMANCE ANALYSIS'!$AE9)</f>
        <v>5</v>
      </c>
      <c r="AK9" s="386">
        <f>AF9/(AJ9+AH9+AF9)</f>
        <v>0.2857142857142857</v>
      </c>
      <c r="AL9" s="386">
        <f>AH9/(AJ9+AH9+AF9)</f>
        <v>0.35714285714285715</v>
      </c>
      <c r="AM9" s="352"/>
      <c r="AN9" s="374" t="s">
        <v>8026</v>
      </c>
      <c r="AO9" s="387" t="s">
        <v>8027</v>
      </c>
      <c r="AP9" s="381">
        <f>COUNTIFS(Journal_Live[MONTH],'PERFORMANCE ANALYSIS'!$A$3,Journal_Live[CODE2],"W",Journal_Live[W/L],"W")</f>
        <v>12</v>
      </c>
      <c r="AQ9" s="403">
        <f>SUMIFS(Journal_Live[E QTY],Journal_Live[MONTH],'PERFORMANCE ANALYSIS'!$A$3,Journal_Live[CODE2],"W",Journal_Live[W/L],"W")</f>
        <v>101</v>
      </c>
      <c r="AR9" s="382">
        <f>SUMIFS(Journal_Live[TOTAL PROFIT],Journal_Live[MONTH],'PERFORMANCE ANALYSIS'!$A$3,Journal_Live[W/L],"W",Journal_Live[CODE2],"W")</f>
        <v>1615.9999999999568</v>
      </c>
      <c r="AS9" s="402">
        <f>AVERAGEIFS(Journal_Live[PNL ($) SINGLE ORDER],Journal_Live[MONTH],'PERFORMANCE ANALYSIS'!$A$3,Journal_Live[W/L],"W",Journal_Live[CODE2],"W")</f>
        <v>15.99999999999894</v>
      </c>
      <c r="AT9" s="384">
        <f>IFERROR(Table3[[#This Row],[TOTAL LOTS]]/Table3[[#This Row],[ORDERS]],0)</f>
        <v>8.4166666666666661</v>
      </c>
      <c r="AU9" s="381">
        <f>COUNTIFS(Journal_Live[MONTH],'PERFORMANCE ANALYSIS'!$A$3,Journal_Live[CODE2],"W",Journal_Live[W/L],"L")</f>
        <v>6</v>
      </c>
      <c r="AV9" s="403">
        <f>SUMIFS(Journal_Live[E QTY],Journal_Live[MONTH],'PERFORMANCE ANALYSIS'!$A$3,Journal_Live[CODE2],"W",Journal_Live[W/L],"L")</f>
        <v>57</v>
      </c>
      <c r="AW9" s="382">
        <f>SUMIFS(Journal_Live[TOTAL PROFIT],Journal_Live[MONTH],'PERFORMANCE ANALYSIS'!$A$3,Journal_Live[W/L],"L",Journal_Live[CODE2],"W")</f>
        <v>-783.99999999986062</v>
      </c>
      <c r="AX9" s="402">
        <f>ABS(AVERAGEIFS(Journal_Live[PNL ($) SINGLE ORDER],Journal_Live[MONTH],'PERFORMANCE ANALYSIS'!$A$3,Journal_Live[W/L],"L",Journal_Live[CODE2],"W"))</f>
        <v>18.174358974352881</v>
      </c>
      <c r="AY9" s="384">
        <f>IFERROR(Table3[[#This Row],[TOTAL LOTS2]]/Table3[[#This Row],[ORDERS2]],0)</f>
        <v>9.5</v>
      </c>
      <c r="AZ9" s="352"/>
    </row>
    <row r="10" spans="1:52" s="361" customFormat="1" ht="15.75">
      <c r="A10" s="374"/>
      <c r="B10" s="387" t="s">
        <v>8028</v>
      </c>
      <c r="C10" s="658">
        <f>COUNTIFS(Journal_Live[MONTH],'PERFORMANCE ANALYSIS'!$A$3,Journal_Live[CODE2],"R")</f>
        <v>4</v>
      </c>
      <c r="D10" s="403">
        <f>SUMIFS(Journal_Live[E QTY],Journal_Live[MONTH],'PERFORMANCE ANALYSIS'!$A$3,Journal_Live[CODE2],"R")</f>
        <v>91</v>
      </c>
      <c r="E10" s="382">
        <f>IFERROR(AVERAGEIFS(Journal_Live[PNL ($) SINGLE ORDER],Journal_Live[MONTH],'PERFORMANCE ANALYSIS'!$A$3,Journal_Live[W/L],"W",Journal_Live[CODE2],"R"),0)</f>
        <v>0</v>
      </c>
      <c r="F10" s="382">
        <f>SUMIFS(Journal_Live[TOTAL PROFIT],Journal_Live[MONTH],'PERFORMANCE ANALYSIS'!$A$3,Journal_Live[W/L],"W",Journal_Live[CODE2],"R")</f>
        <v>0</v>
      </c>
      <c r="G10" s="370">
        <f>(COUNTIFS(Journal_Live[W/L],"W",Journal_Live[MONTH],'PERFORMANCE ANALYSIS'!$A$3,Journal_Live[CODE2],"R"))/Table2[[#This Row],['# ORDERS]]</f>
        <v>0</v>
      </c>
      <c r="H10" s="382">
        <f>IFERROR(ABS(AVERAGEIFS(Journal_Live[PNL ($) SINGLE ORDER],Journal_Live[MONTH],'PERFORMANCE ANALYSIS'!$A$3,Journal_Live[W/L],"L",Journal_Live[CODE2],"R")),0)</f>
        <v>4.8695652173913473</v>
      </c>
      <c r="I10" s="382">
        <f>ABS(SUMIFS(Journal_Live[TOTAL PROFIT],Journal_Live[MONTH],'PERFORMANCE ANALYSIS'!$A$3,Journal_Live[W/L],"L",Journal_Live[CODE2],"R"))</f>
        <v>112.00000000000099</v>
      </c>
      <c r="J10" s="370">
        <f>(COUNTIFS(Journal_Live[W/L],"L",Journal_Live[MONTH],'PERFORMANCE ANALYSIS'!$A$3,Journal_Live[CODE2],"R"))/Table2[[#This Row],['# ORDERS]]</f>
        <v>0.25</v>
      </c>
      <c r="K10" s="371">
        <f>IFERROR(Table2[[#This Row],[TOTAL GAINS]]/Table2[[#This Row],[TOTAL LOSS]],1)</f>
        <v>0</v>
      </c>
      <c r="L10" s="376">
        <f>Table2[[#This Row],[TOTAL GAINS]]-Table2[[#This Row],[TOTAL LOSS]]</f>
        <v>-112.00000000000099</v>
      </c>
      <c r="M10" s="373" cm="1">
        <f t="array" ref="M10">MODE(IF(Journal_Live[MONTH]='PERFORMANCE ANALYSIS'!$A$3,IF(Journal_Live[CODE2]="R",Journal_Live[E QTY])))</f>
        <v>32</v>
      </c>
      <c r="N10" s="601" cm="1">
        <f t="array" ref="N10">MIN(IF(Journal_Live[MONTH]='PERFORMANCE ANALYSIS'!$A$3,IF(Journal_Live[CODE2]="R",Journal_Live[TOTAL PROFIT])))</f>
        <v>-112.00000000000099</v>
      </c>
      <c r="O10" s="384">
        <f>IFERROR(Table2[[#This Row],[AVG GAINS/LOT]]/Table2[[#This Row],[AVG LOSS/ LOT]],0)</f>
        <v>0</v>
      </c>
      <c r="P10" s="384">
        <f>IFERROR((Table2[[#This Row],[AVG GAINS/LOT]]*Table2[[#This Row],[WIN%]]),1)</f>
        <v>0</v>
      </c>
      <c r="Q10" s="384">
        <f>IFERROR((Table2[[#This Row],[AVG LOSS/ LOT]]*Table2[[#This Row],[LOSS%]]),1)</f>
        <v>1.2173913043478368</v>
      </c>
      <c r="R10" s="385">
        <f>Table2[[#This Row],[W SCORE]]-Table2[[#This Row],[L SCORE]]</f>
        <v>-1.2173913043478368</v>
      </c>
      <c r="S10" s="459">
        <f>IFERROR(Table2[[#This Row],[TOTAL LOTS]]/Table2[[#This Row],['# ORDERS]],0)</f>
        <v>22.75</v>
      </c>
      <c r="T10" s="323">
        <f>IFERROR(Table2[[#This Row],[NET P/L]]/Table2[[#This Row],[TOTAL LOTS]],0)</f>
        <v>-1.2307692307692417</v>
      </c>
      <c r="U10" s="406">
        <f>IFERROR(Table2[[#This Row],[NET P/L]]/Table2[[#This Row],['# ORDERS]],0)</f>
        <v>-28.000000000000249</v>
      </c>
      <c r="V10" s="304"/>
      <c r="W10" s="304"/>
      <c r="X10" s="474" t="e">
        <f>Table2[[#This Row],[NET P/L]]/#REF!</f>
        <v>#REF!</v>
      </c>
      <c r="Y10" s="304"/>
      <c r="Z10" s="304"/>
      <c r="AA10" s="304"/>
      <c r="AB10" s="304"/>
      <c r="AC10" s="304"/>
      <c r="AD10" s="352"/>
      <c r="AE10" s="372" t="s">
        <v>111</v>
      </c>
      <c r="AF10" s="381">
        <f>COUNTIFS(Journal_Live[W/L],"W",Journal_Live[MONTH],'PERFORMANCE ANALYSIS'!$A$3,Journal_Live[DAY],'PERFORMANCE ANALYSIS'!$AE10)</f>
        <v>5</v>
      </c>
      <c r="AG10" s="381">
        <f>SUMIFS(Journal_Live[TOTAL PROFIT],Journal_Live[W/L],"W",Journal_Live[DAY],'PERFORMANCE ANALYSIS'!$AE10,Journal_Live[MONTH],'PERFORMANCE ANALYSIS'!$A$3)</f>
        <v>564.00000000002706</v>
      </c>
      <c r="AH10" s="381">
        <f>COUNTIFS(Journal_Live[W/L],"L",Journal_Live[MONTH],'PERFORMANCE ANALYSIS'!$A$3,Journal_Live[DAY],'PERFORMANCE ANALYSIS'!$AE10)</f>
        <v>3</v>
      </c>
      <c r="AI10" s="585">
        <f>SUMIFS(Journal_Live[TOTAL PROFIT],Journal_Live[W/L],"L",Journal_Live[DAY],'PERFORMANCE ANALYSIS'!$AE10,Journal_Live[MONTH],'PERFORMANCE ANALYSIS'!$A$3)</f>
        <v>-348.99999999999761</v>
      </c>
      <c r="AJ10" s="381">
        <f>COUNTIFS(Journal_Live[W/L],"D",Journal_Live[MONTH],'PERFORMANCE ANALYSIS'!$A$3,Journal_Live[DAY],'PERFORMANCE ANALYSIS'!$AE10)</f>
        <v>12</v>
      </c>
      <c r="AK10" s="386">
        <f>AF10/(AJ10+AH10+AF10)</f>
        <v>0.25</v>
      </c>
      <c r="AL10" s="386">
        <f>AH10/(AJ10+AH10+AF10)</f>
        <v>0.15</v>
      </c>
      <c r="AM10" s="352"/>
      <c r="AN10" s="374"/>
      <c r="AO10" s="387" t="s">
        <v>8028</v>
      </c>
      <c r="AP10" s="383">
        <f>COUNTIFS(Journal_Live[MONTH],'PERFORMANCE ANALYSIS'!$A$3,Journal_Live[CODE2],"R",Journal_Live[W/L],"W")</f>
        <v>0</v>
      </c>
      <c r="AQ10" s="403">
        <f>SUMIFS(Journal_Live[E QTY],Journal_Live[MONTH],'PERFORMANCE ANALYSIS'!$A$3,Journal_Live[CODE2],"R",Journal_Live[W/L],"W")</f>
        <v>0</v>
      </c>
      <c r="AR10" s="382">
        <f>SUMIFS(Journal_Live[TOTAL PROFIT],Journal_Live[MONTH],'PERFORMANCE ANALYSIS'!$A$3,Journal_Live[W/L],"W",Journal_Live[CODE2],"R")</f>
        <v>0</v>
      </c>
      <c r="AS10" s="402" t="e">
        <f>AVERAGEIFS(Journal_Live[PNL ($) SINGLE ORDER],Journal_Live[MONTH],'PERFORMANCE ANALYSIS'!$A$3,Journal_Live[W/L],"W",Journal_Live[CODE2],"R")</f>
        <v>#DIV/0!</v>
      </c>
      <c r="AT10" s="384">
        <f>IFERROR(Table3[[#This Row],[TOTAL LOTS]]/Table3[[#This Row],[ORDERS]],0)</f>
        <v>0</v>
      </c>
      <c r="AU10" s="383">
        <f>COUNTIFS(Journal_Live[MONTH],'PERFORMANCE ANALYSIS'!$A$3,Journal_Live[CODE2],"R",Journal_Live[W/L],"L")</f>
        <v>1</v>
      </c>
      <c r="AV10" s="403">
        <f>SUMIFS(Journal_Live[E QTY],Journal_Live[MONTH],'PERFORMANCE ANALYSIS'!$A$3,Journal_Live[CODE2],"R",Journal_Live[W/L],"L")</f>
        <v>23</v>
      </c>
      <c r="AW10" s="382">
        <f>SUMIFS(Journal_Live[TOTAL PROFIT],Journal_Live[MONTH],'PERFORMANCE ANALYSIS'!$A$3,Journal_Live[W/L],"L",Journal_Live[CODE2],"R")</f>
        <v>-112.00000000000099</v>
      </c>
      <c r="AX10" s="402">
        <f>IFERROR(ABS(AVERAGEIFS(Journal_Live[PNL ($) SINGLE ORDER],Journal_Live[MONTH],'PERFORMANCE ANALYSIS'!$A$3,Journal_Live[W/L],"L",Journal_Live[CODE2],"R")),0)</f>
        <v>4.8695652173913473</v>
      </c>
      <c r="AY10" s="384">
        <f>IFERROR(Table3[[#This Row],[TOTAL LOTS2]]/Table3[[#This Row],[ORDERS2]],0)</f>
        <v>23</v>
      </c>
      <c r="AZ10" s="352"/>
    </row>
    <row r="11" spans="1:52" s="361" customFormat="1" ht="15.75">
      <c r="A11" s="374"/>
      <c r="B11" s="387" t="s">
        <v>2260</v>
      </c>
      <c r="C11" s="659">
        <f>COUNTIFS(Journal_Live[MONTH],'PERFORMANCE ANALYSIS'!$A$3,Journal_Live[CODE2],"BONDS")</f>
        <v>1</v>
      </c>
      <c r="D11" s="404">
        <f>SUMIFS(Journal_Live[E QTY],Journal_Live[MONTH],'PERFORMANCE ANALYSIS'!$A$3,Journal_Live[CODE2],"BONDS")</f>
        <v>1</v>
      </c>
      <c r="E11" s="382">
        <f>IFERROR(AVERAGEIFS(Journal_Live[PNL ($) SINGLE ORDER],Journal_Live[MONTH],'PERFORMANCE ANALYSIS'!$A$3,Journal_Live[W/L],"W",Journal_Live[CODE2],"BONDS"),0)</f>
        <v>0</v>
      </c>
      <c r="F11" s="382">
        <f>SUMIFS(Journal_Live[TOTAL PROFIT],Journal_Live[MONTH],'PERFORMANCE ANALYSIS'!$A$3,Journal_Live[W/L],"W",Journal_Live[CODE2],"BONDS")</f>
        <v>0</v>
      </c>
      <c r="G11" s="370">
        <f>IFERROR((COUNTIFS(Journal_Live[W/L],"W",Journal_Live[MONTH],'PERFORMANCE ANALYSIS'!$A$3,Journal_Live[CODE2],"BONDS"))/Table2[[#This Row],['# ORDERS]],0)</f>
        <v>0</v>
      </c>
      <c r="H11" s="382">
        <f>IFERROR(ABS(AVERAGEIFS(Journal_Live[PNL ($) SINGLE ORDER],Journal_Live[MONTH],'PERFORMANCE ANALYSIS'!$A$3,Journal_Live[W/L],"L",Journal_Live[CODE2],"BONDS")),0)</f>
        <v>57.999999999947249</v>
      </c>
      <c r="I11" s="382">
        <f>ABS(SUMIFS(Journal_Live[TOTAL PROFIT],Journal_Live[MONTH],'PERFORMANCE ANALYSIS'!$A$3,Journal_Live[W/L],"L",Journal_Live[CODE2],"BONDS"))</f>
        <v>57.999999999947249</v>
      </c>
      <c r="J11" s="370">
        <f>(COUNTIFS(Journal_Live[W/L],"L",Journal_Live[MONTH],'PERFORMANCE ANALYSIS'!$A$3,Journal_Live[CODE2],"BONDS"))/Table2[[#This Row],['# ORDERS]]</f>
        <v>1</v>
      </c>
      <c r="K11" s="371">
        <f>IFERROR(Table2[[#This Row],[TOTAL GAINS]]/Table2[[#This Row],[TOTAL LOSS]],1)</f>
        <v>0</v>
      </c>
      <c r="L11" s="376">
        <f>Table2[[#This Row],[TOTAL GAINS]]-Table2[[#This Row],[TOTAL LOSS]]</f>
        <v>-57.999999999947249</v>
      </c>
      <c r="M11" s="373" cm="1">
        <f t="array" ref="M11">IFERROR(MODE(IF(Journal_Live[MONTH]='PERFORMANCE ANALYSIS'!$A$3,IF(Journal_Live[CODE2]="BONDS",Journal_Live[E QTY]))),0)</f>
        <v>0</v>
      </c>
      <c r="N11" s="601" cm="1">
        <f t="array" ref="N11">MIN(IF(Journal_Live[MONTH]='PERFORMANCE ANALYSIS'!$A$3,IF(Journal_Live[CODE2]="BONDS",Journal_Live[TOTAL PROFIT])))</f>
        <v>-57.999999999947249</v>
      </c>
      <c r="O11" s="384">
        <f>IFERROR(Table2[[#This Row],[AVG GAINS/LOT]]/Table2[[#This Row],[AVG LOSS/ LOT]],0)</f>
        <v>0</v>
      </c>
      <c r="P11" s="384">
        <f>IFERROR((Table2[[#This Row],[AVG GAINS/LOT]]*Table2[[#This Row],[WIN%]]),1)</f>
        <v>0</v>
      </c>
      <c r="Q11" s="384">
        <f>IFERROR((Table2[[#This Row],[AVG LOSS/ LOT]]*Table2[[#This Row],[LOSS%]]),1)</f>
        <v>57.999999999947249</v>
      </c>
      <c r="R11" s="385">
        <f>Table2[[#This Row],[W SCORE]]-Table2[[#This Row],[L SCORE]]</f>
        <v>-57.999999999947249</v>
      </c>
      <c r="S11" s="459">
        <f>IFERROR(Table2[[#This Row],[TOTAL LOTS]]/Table2[[#This Row],['# ORDERS]],0)</f>
        <v>1</v>
      </c>
      <c r="T11" s="323">
        <f>IFERROR(Table2[[#This Row],[NET P/L]]/Table2[[#This Row],[TOTAL LOTS]],0)</f>
        <v>-57.999999999947249</v>
      </c>
      <c r="U11" s="406">
        <f>IFERROR(Table2[[#This Row],[NET P/L]]/Table2[[#This Row],['# ORDERS]],0)</f>
        <v>-57.999999999947249</v>
      </c>
      <c r="V11" s="304"/>
      <c r="W11" s="304"/>
      <c r="X11" s="304"/>
      <c r="Y11" s="304"/>
      <c r="Z11" s="304"/>
      <c r="AA11" s="304"/>
      <c r="AB11" s="304"/>
      <c r="AC11" s="304"/>
      <c r="AD11" s="352"/>
      <c r="AE11" s="372"/>
      <c r="AF11" s="381"/>
      <c r="AG11" s="381"/>
      <c r="AH11" s="381"/>
      <c r="AI11" s="381"/>
      <c r="AJ11" s="381"/>
      <c r="AK11" s="386"/>
      <c r="AL11" s="386"/>
      <c r="AM11" s="352"/>
      <c r="AN11" s="374"/>
      <c r="AO11" s="387" t="s">
        <v>2260</v>
      </c>
      <c r="AP11" s="373">
        <f>COUNTIFS(Journal_Live[MONTH],'PERFORMANCE ANALYSIS'!$A$3,Journal_Live[CODE2],"BONDS",Journal_Live[W/L],"W")</f>
        <v>0</v>
      </c>
      <c r="AQ11" s="404">
        <f>SUMIFS(Journal_Live[E QTY],Journal_Live[MONTH],'PERFORMANCE ANALYSIS'!$A$3,Journal_Live[CODE2],"BONDS",Journal_Live[W/L],"W")</f>
        <v>0</v>
      </c>
      <c r="AR11" s="382">
        <f>SUMIFS(Journal_Live[TOTAL PROFIT],Journal_Live[MONTH],'PERFORMANCE ANALYSIS'!$A$3,Journal_Live[W/L],"W",Journal_Live[CODE2],"BONDS")</f>
        <v>0</v>
      </c>
      <c r="AS11" s="402">
        <f>IFERROR(AVERAGEIFS(Journal_Live[PNL ($) SINGLE ORDER],Journal_Live[MONTH],'PERFORMANCE ANALYSIS'!$A$3,Journal_Live[W/L],"W",Journal_Live[CODE2],"BONDS"),0)</f>
        <v>0</v>
      </c>
      <c r="AT11" s="384">
        <f>IFERROR(Table3[[#This Row],[TOTAL LOTS]]/Table3[[#This Row],[ORDERS]],0)</f>
        <v>0</v>
      </c>
      <c r="AU11" s="373">
        <f>COUNTIFS(Journal_Live[MONTH],'PERFORMANCE ANALYSIS'!$A$3,Journal_Live[CODE2],"BONDS",Journal_Live[W/L],"L")</f>
        <v>1</v>
      </c>
      <c r="AV11" s="404">
        <f>SUMIFS(Journal_Live[E QTY],Journal_Live[MONTH],'PERFORMANCE ANALYSIS'!$A$3,Journal_Live[CODE2],"BONDS",Journal_Live[W/L],"L")</f>
        <v>1</v>
      </c>
      <c r="AW11" s="382">
        <f>SUMIFS(Journal_Live[TOTAL PROFIT],Journal_Live[MONTH],'PERFORMANCE ANALYSIS'!$A$3,Journal_Live[W/L],"L",Journal_Live[CODE2],"BONDS")</f>
        <v>-57.999999999947249</v>
      </c>
      <c r="AX11" s="402">
        <f>IFERROR(ABS(AVERAGEIFS(Journal_Live[PNL ($) SINGLE ORDER],Journal_Live[MONTH],'PERFORMANCE ANALYSIS'!$A$3,Journal_Live[W/L],"L",Journal_Live[CODE2],"BONDS")),0)</f>
        <v>57.999999999947249</v>
      </c>
      <c r="AY11" s="384">
        <f>IFERROR(Table3[[#This Row],[TOTAL LOTS2]]/Table3[[#This Row],[ORDERS2]],0)</f>
        <v>1</v>
      </c>
      <c r="AZ11" s="352"/>
    </row>
    <row r="12" spans="1:52" s="361" customFormat="1" ht="15.75">
      <c r="A12" s="369" t="s">
        <v>8029</v>
      </c>
      <c r="B12" s="380" t="s">
        <v>8030</v>
      </c>
      <c r="C12" s="658">
        <f>COUNTIFS(Journal_Live[MONTH],'PERFORMANCE ANALYSIS'!$A$3,Journal_Live[O,S,F],"O")</f>
        <v>16</v>
      </c>
      <c r="D12" s="403">
        <f>SUMIFS(Journal_Live[E QTY],Journal_Live[MONTH],'PERFORMANCE ANALYSIS'!$A$3,Journal_Live[O,S,F],"O")</f>
        <v>78</v>
      </c>
      <c r="E12" s="382">
        <f>IFERROR(AVERAGEIFS(Journal_Live[PNL ($) SINGLE ORDER],Journal_Live[MONTH],'PERFORMANCE ANALYSIS'!$A$3,Journal_Live[W/L],"W",Journal_Live[O,S,F],"O"),0)</f>
        <v>16.7999999999995</v>
      </c>
      <c r="F12" s="382">
        <f>SUMIFS(Journal_Live[TOTAL PROFIT],Journal_Live[MONTH],'PERFORMANCE ANALYSIS'!$A$3,Journal_Live[W/L],"W",Journal_Live[O,S,F],"O")</f>
        <v>467.99999999996658</v>
      </c>
      <c r="G12" s="370">
        <f>IFERROR((COUNTIFS(Journal_Live[W/L],"W",Journal_Live[MONTH],'PERFORMANCE ANALYSIS'!$A$3,Journal_Live[O,S,F],"O"))/Table2[[#This Row],['# ORDERS]],0)</f>
        <v>0.3125</v>
      </c>
      <c r="H12" s="382">
        <f>IFERROR(ABS(AVERAGEIFS(Journal_Live[PNL ($) SINGLE ORDER],Journal_Live[MONTH],'PERFORMANCE ANALYSIS'!$A$3,Journal_Live[W/L],"L",Journal_Live[O,S,F],"O")),0)</f>
        <v>32.224999999996484</v>
      </c>
      <c r="I12" s="382">
        <f>ABS(SUMIFS(Journal_Live[TOTAL PROFIT],Journal_Live[MONTH],'PERFORMANCE ANALYSIS'!$A$3,Journal_Live[W/L],"L",Journal_Live[O,S,F],"O"))</f>
        <v>901.79999999983522</v>
      </c>
      <c r="J12" s="370">
        <f>(COUNTIFS(Journal_Live[W/L],"L",Journal_Live[MONTH],'PERFORMANCE ANALYSIS'!$A$3,Journal_Live[O,S,F],"O"))/Table2[[#This Row],['# ORDERS]]</f>
        <v>0.5</v>
      </c>
      <c r="K12" s="371">
        <f>IFERROR(Table2[[#This Row],[TOTAL GAINS]]/Table2[[#This Row],[TOTAL LOSS]],1)</f>
        <v>0.51896207584836118</v>
      </c>
      <c r="L12" s="376">
        <f>Table2[[#This Row],[TOTAL GAINS]]-Table2[[#This Row],[TOTAL LOSS]]</f>
        <v>-433.79999999986865</v>
      </c>
      <c r="M12" s="373" cm="1">
        <f t="array" ref="M12">IFERROR(MODE(IF(Journal_Live[MONTH]='PERFORMANCE ANALYSIS'!$A$3,IF(Journal_Live[O,S,F]="O",Journal_Live[E QTY]))),0)</f>
        <v>1</v>
      </c>
      <c r="N12" s="601" cm="1">
        <f t="array" ref="N12">MIN(IF(Journal_Live[MONTH]='PERFORMANCE ANALYSIS'!$A$3,IF(Journal_Live[O,S,F]="O",Journal_Live[TOTAL PROFIT])))</f>
        <v>-594.00000000002251</v>
      </c>
      <c r="O12" s="384">
        <f>IFERROR(Table2[[#This Row],[AVG GAINS/LOT]]/Table2[[#This Row],[AVG LOSS/ LOT]],0)</f>
        <v>0.5213343677269614</v>
      </c>
      <c r="P12" s="384">
        <f>IFERROR((Table2[[#This Row],[AVG GAINS/LOT]]*Table2[[#This Row],[WIN%]]),1)</f>
        <v>5.2499999999998437</v>
      </c>
      <c r="Q12" s="384">
        <f>IFERROR((Table2[[#This Row],[AVG LOSS/ LOT]]*Table2[[#This Row],[LOSS%]]),1)</f>
        <v>16.112499999998242</v>
      </c>
      <c r="R12" s="385">
        <f>Table2[[#This Row],[W SCORE]]-Table2[[#This Row],[L SCORE]]</f>
        <v>-10.862499999998398</v>
      </c>
      <c r="S12" s="459">
        <f>IFERROR(Table2[[#This Row],[TOTAL LOTS]]/Table2[[#This Row],['# ORDERS]],0)</f>
        <v>4.875</v>
      </c>
      <c r="T12" s="323">
        <f>IFERROR(Table2[[#This Row],[NET P/L]]/Table2[[#This Row],[TOTAL LOTS]],0)</f>
        <v>-5.5615384615367773</v>
      </c>
      <c r="U12" s="406">
        <f>IFERROR(Table2[[#This Row],[NET P/L]]/Table2[[#This Row],['# ORDERS]],0)</f>
        <v>-27.11249999999179</v>
      </c>
      <c r="V12" s="304">
        <f>Table2[[#This Row],[TOTAL LOTS]]*1</f>
        <v>78</v>
      </c>
      <c r="W12" s="475" t="e">
        <f>Table2[[#This Row],[RT]]/#REF!</f>
        <v>#REF!</v>
      </c>
      <c r="X12" s="474">
        <f>Table2[[#This Row],[NET P/L]]/$AJ$16</f>
        <v>-12.834319526672973</v>
      </c>
      <c r="Y12" s="304"/>
      <c r="Z12" s="304"/>
      <c r="AA12" s="304"/>
      <c r="AB12" s="304"/>
      <c r="AC12" s="304"/>
      <c r="AD12" s="352"/>
      <c r="AE12" s="352"/>
      <c r="AF12" s="381"/>
      <c r="AG12" s="381"/>
      <c r="AH12" s="381"/>
      <c r="AI12" s="381"/>
      <c r="AJ12" s="381"/>
      <c r="AK12" s="381"/>
      <c r="AL12" s="381"/>
      <c r="AM12" s="352"/>
      <c r="AN12" s="369" t="s">
        <v>8029</v>
      </c>
      <c r="AO12" s="380" t="s">
        <v>8031</v>
      </c>
      <c r="AP12" s="381">
        <f>COUNTIFS(Journal_Live[MONTH],'PERFORMANCE ANALYSIS'!$A$3,Journal_Live[O,S,F],"O",Journal_Live[W/L],"W")</f>
        <v>5</v>
      </c>
      <c r="AQ12" s="403">
        <f>SUMIFS(Journal_Live[E QTY],Journal_Live[MONTH],'PERFORMANCE ANALYSIS'!$A$3,Journal_Live[O,S,F],"O",Journal_Live[W/L],"W")</f>
        <v>29</v>
      </c>
      <c r="AR12" s="382">
        <f>SUMIFS(Journal_Live[TOTAL PROFIT],Journal_Live[MONTH],'PERFORMANCE ANALYSIS'!$A$3,Journal_Live[W/L],"W",Journal_Live[O,S,F],"O")</f>
        <v>467.99999999996658</v>
      </c>
      <c r="AS12" s="402">
        <f>IFERROR(AVERAGEIFS(Journal_Live[PNL ($) SINGLE ORDER],Journal_Live[MONTH],'PERFORMANCE ANALYSIS'!$A$3,Journal_Live[W/L],"W",Journal_Live[O,S,F],"O"),0)</f>
        <v>16.7999999999995</v>
      </c>
      <c r="AT12" s="384">
        <f>IFERROR(Table3[[#This Row],[TOTAL LOTS]]/Table3[[#This Row],[ORDERS]],0)</f>
        <v>5.8</v>
      </c>
      <c r="AU12" s="381">
        <f>COUNTIFS(Journal_Live[MONTH],'PERFORMANCE ANALYSIS'!$A$3,Journal_Live[O,S,F],"O",Journal_Live[W/L],"L")</f>
        <v>8</v>
      </c>
      <c r="AV12" s="403">
        <f>SUMIFS(Journal_Live[E QTY],Journal_Live[MONTH],'PERFORMANCE ANALYSIS'!$A$3,Journal_Live[O,S,F],"O",Journal_Live[W/L],"L")</f>
        <v>27</v>
      </c>
      <c r="AW12" s="382">
        <f>SUMIFS(Journal_Live[TOTAL PROFIT],Journal_Live[MONTH],'PERFORMANCE ANALYSIS'!$A$3,Journal_Live[W/L],"L",Journal_Live[O,S,F],"O")</f>
        <v>-901.79999999983522</v>
      </c>
      <c r="AX12" s="402">
        <f>IFERROR(ABS(AVERAGEIFS(Journal_Live[PNL ($) SINGLE ORDER],Journal_Live[MONTH],'PERFORMANCE ANALYSIS'!$A$3,Journal_Live[W/L],"L",Journal_Live[O,S,F],"O")),0)</f>
        <v>32.224999999996484</v>
      </c>
      <c r="AY12" s="384">
        <f>IFERROR(Table3[[#This Row],[TOTAL LOTS2]]/Table3[[#This Row],[ORDERS2]],0)</f>
        <v>3.375</v>
      </c>
      <c r="AZ12" s="352"/>
    </row>
    <row r="13" spans="1:52" s="361" customFormat="1" ht="15.75">
      <c r="A13" s="369"/>
      <c r="B13" s="380" t="s">
        <v>8032</v>
      </c>
      <c r="C13" s="658">
        <f>COUNTIFS(Journal_Live[MONTH],'PERFORMANCE ANALYSIS'!$A$3,Journal_Live[O,S,F],"S")</f>
        <v>27</v>
      </c>
      <c r="D13" s="403">
        <f>SUMIFS(Journal_Live[E QTY],Journal_Live[MONTH],'PERFORMANCE ANALYSIS'!$A$3,Journal_Live[O,S,F],"S")</f>
        <v>311</v>
      </c>
      <c r="E13" s="382">
        <f>AVERAGEIFS(Journal_Live[PNL ($) SINGLE ORDER],Journal_Live[MONTH],'PERFORMANCE ANALYSIS'!$A$3,Journal_Live[W/L],"W",Journal_Live[O,S,F],"S")</f>
        <v>15.999999999999998</v>
      </c>
      <c r="F13" s="382">
        <f>SUMIFS(Journal_Live[TOTAL PROFIT],Journal_Live[MONTH],'PERFORMANCE ANALYSIS'!$A$3,Journal_Live[W/L],"W",Journal_Live[O,S,F],"S")</f>
        <v>1168.0000000000002</v>
      </c>
      <c r="G13" s="370">
        <f>(COUNTIFS(Journal_Live[W/L],"W",Journal_Live[MONTH],'PERFORMANCE ANALYSIS'!$A$3,Journal_Live[O,S,F],"S"))/Table2[[#This Row],['# ORDERS]]</f>
        <v>0.29629629629629628</v>
      </c>
      <c r="H13" s="382">
        <f>ABS(AVERAGEIFS(Journal_Live[PNL ($) SINGLE ORDER],Journal_Live[MONTH],'PERFORMANCE ANALYSIS'!$A$3,Journal_Live[W/L],"L",Journal_Live[O,S,F],"S"))</f>
        <v>26.434782608695674</v>
      </c>
      <c r="I13" s="382">
        <f>ABS(SUMIFS(Journal_Live[TOTAL PROFIT],Journal_Live[MONTH],'PERFORMANCE ANALYSIS'!$A$3,Journal_Live[W/L],"L",Journal_Live[O,S,F],"S"))</f>
        <v>256.00000000000102</v>
      </c>
      <c r="J13" s="370">
        <f>(COUNTIFS(Journal_Live[W/L],"L",Journal_Live[MONTH],'PERFORMANCE ANALYSIS'!$A$3,Journal_Live[O,S,F],"S"))/Table2[[#This Row],['# ORDERS]]</f>
        <v>7.407407407407407E-2</v>
      </c>
      <c r="K13" s="371">
        <f>IFERROR(Table2[[#This Row],[TOTAL GAINS]]/Table2[[#This Row],[TOTAL LOSS]],1)</f>
        <v>4.5624999999999822</v>
      </c>
      <c r="L13" s="376">
        <f>Table2[[#This Row],[TOTAL GAINS]]-Table2[[#This Row],[TOTAL LOSS]]</f>
        <v>911.9999999999992</v>
      </c>
      <c r="M13" s="373" cm="1">
        <f t="array" ref="M13">MODE(IF(Journal_Live[MONTH]='PERFORMANCE ANALYSIS'!$A$3,IF(Journal_Live[O,S,F]="S",Journal_Live[E QTY])))</f>
        <v>2</v>
      </c>
      <c r="N13" s="601" cm="1">
        <f t="array" ref="N13">MIN(IF(Journal_Live[MONTH]='PERFORMANCE ANALYSIS'!$A$3,IF(Journal_Live[O,S,F]="S",Journal_Live[TOTAL PROFIT])))</f>
        <v>-144</v>
      </c>
      <c r="O13" s="384">
        <f>IFERROR(Table2[[#This Row],[AVG GAINS/LOT]]/Table2[[#This Row],[AVG LOSS/ LOT]],0)</f>
        <v>0.60526315789473628</v>
      </c>
      <c r="P13" s="384">
        <f>IFERROR((Table2[[#This Row],[AVG GAINS/LOT]]*Table2[[#This Row],[WIN%]]),1)</f>
        <v>4.7407407407407396</v>
      </c>
      <c r="Q13" s="384">
        <f>IFERROR((Table2[[#This Row],[AVG LOSS/ LOT]]*Table2[[#This Row],[LOSS%]]),1)</f>
        <v>1.9581320450885684</v>
      </c>
      <c r="R13" s="385">
        <f>Table2[[#This Row],[W SCORE]]-Table2[[#This Row],[L SCORE]]</f>
        <v>2.7826086956521712</v>
      </c>
      <c r="S13" s="459">
        <f>IFERROR(Table2[[#This Row],[TOTAL LOTS]]/Table2[[#This Row],['# ORDERS]],0)</f>
        <v>11.518518518518519</v>
      </c>
      <c r="T13" s="323">
        <f>IFERROR(Table2[[#This Row],[NET P/L]]/Table2[[#This Row],[TOTAL LOTS]],0)</f>
        <v>2.9324758842443703</v>
      </c>
      <c r="U13" s="406">
        <f>IFERROR(Table2[[#This Row],[NET P/L]]/Table2[[#This Row],['# ORDERS]],0)</f>
        <v>33.77777777777775</v>
      </c>
      <c r="V13" s="304">
        <f>Table2[[#This Row],[TOTAL LOTS]]*2</f>
        <v>622</v>
      </c>
      <c r="W13" s="475" t="e">
        <f>Table2[[#This Row],[RT]]/#REF!</f>
        <v>#REF!</v>
      </c>
      <c r="X13" s="474">
        <f>Table2[[#This Row],[NET P/L]]/$AJ$16</f>
        <v>26.982248520814395</v>
      </c>
      <c r="Y13" s="304"/>
      <c r="Z13" s="304"/>
      <c r="AA13" s="304"/>
      <c r="AB13" s="304"/>
      <c r="AC13" s="304"/>
      <c r="AD13" s="352"/>
      <c r="AE13" s="377" t="s">
        <v>8033</v>
      </c>
      <c r="AF13" s="377">
        <f>D9/C9</f>
        <v>9.3333333333333339</v>
      </c>
      <c r="AG13" s="377" t="s">
        <v>8034</v>
      </c>
      <c r="AH13" s="447">
        <f>D9/D10</f>
        <v>3.6923076923076925</v>
      </c>
      <c r="AI13" s="377"/>
      <c r="AJ13" s="377"/>
      <c r="AK13" s="377" t="s">
        <v>8035</v>
      </c>
      <c r="AL13" s="385">
        <f>S14/Table2[[#This Row],[LOTS/ORDERS]]</f>
        <v>1.562700964630225</v>
      </c>
      <c r="AM13" s="352"/>
      <c r="AN13" s="369"/>
      <c r="AO13" s="380" t="s">
        <v>8032</v>
      </c>
      <c r="AP13" s="381">
        <f>COUNTIFS(Journal_Live[MONTH],'PERFORMANCE ANALYSIS'!$A$3,Journal_Live[O,S,F],"S",Journal_Live[W/L],"W")</f>
        <v>8</v>
      </c>
      <c r="AQ13" s="403">
        <f>SUMIFS(Journal_Live[E QTY],Journal_Live[MONTH],'PERFORMANCE ANALYSIS'!$A$3,Journal_Live[O,S,F],"S",Journal_Live[W/L],"W")</f>
        <v>73</v>
      </c>
      <c r="AR13" s="382">
        <f>SUMIFS(Journal_Live[TOTAL PROFIT],Journal_Live[MONTH],'PERFORMANCE ANALYSIS'!$A$3,Journal_Live[W/L],"W",Journal_Live[O,S,F],"S")</f>
        <v>1168.0000000000002</v>
      </c>
      <c r="AS13" s="402">
        <f>AVERAGEIFS(Journal_Live[PNL ($) SINGLE ORDER],Journal_Live[MONTH],'PERFORMANCE ANALYSIS'!$A$3,Journal_Live[W/L],"W",Journal_Live[O,S,F],"S")</f>
        <v>15.999999999999998</v>
      </c>
      <c r="AT13" s="384">
        <f>IFERROR(Table3[[#This Row],[TOTAL LOTS]]/Table3[[#This Row],[ORDERS]],0)</f>
        <v>9.125</v>
      </c>
      <c r="AU13" s="381">
        <f>COUNTIFS(Journal_Live[MONTH],'PERFORMANCE ANALYSIS'!$A$3,Journal_Live[O,S,F],"S",Journal_Live[W/L],"L")</f>
        <v>2</v>
      </c>
      <c r="AV13" s="403">
        <f>SUMIFS(Journal_Live[E QTY],Journal_Live[MONTH],'PERFORMANCE ANALYSIS'!$A$3,Journal_Live[O,S,F],"S",Journal_Live[W/L],"L")</f>
        <v>26</v>
      </c>
      <c r="AW13" s="382">
        <f>SUMIFS(Journal_Live[TOTAL PROFIT],Journal_Live[MONTH],'PERFORMANCE ANALYSIS'!$A$3,Journal_Live[W/L],"L",Journal_Live[O,S,F],"S")</f>
        <v>-256.00000000000102</v>
      </c>
      <c r="AX13" s="402">
        <f>ABS(AVERAGEIFS(Journal_Live[PNL ($) SINGLE ORDER],Journal_Live[MONTH],'PERFORMANCE ANALYSIS'!$A$3,Journal_Live[W/L],"L",Journal_Live[O,S,F],"S"))</f>
        <v>26.434782608695674</v>
      </c>
      <c r="AY13" s="384">
        <f>IFERROR(Table3[[#This Row],[TOTAL LOTS2]]/Table3[[#This Row],[ORDERS2]],0)</f>
        <v>13</v>
      </c>
      <c r="AZ13" s="352"/>
    </row>
    <row r="14" spans="1:52" s="361" customFormat="1" ht="15.75">
      <c r="A14" s="369"/>
      <c r="B14" s="380" t="s">
        <v>8036</v>
      </c>
      <c r="C14" s="658">
        <f>COUNTIFS(Journal_Live[MONTH],'PERFORMANCE ANALYSIS'!$A$3,Journal_Live[O,S,F],"F")</f>
        <v>3</v>
      </c>
      <c r="D14" s="403">
        <f>SUMIFS(Journal_Live[E QTY],Journal_Live[MONTH],'PERFORMANCE ANALYSIS'!$A$3,Journal_Live[O,S,F],"F")</f>
        <v>54</v>
      </c>
      <c r="E14" s="382" t="str">
        <f>IFERROR(AVERAGEIFS(Journal_Live[PNL ($) SINGLE ORDER],Journal_Live[MONTH],'PERFORMANCE ANALYSIS'!$A$3,Journal_Live[W/L],"W",Journal_Live[O,S,F],"F"),"N/A")</f>
        <v>N/A</v>
      </c>
      <c r="F14" s="382">
        <f>SUMIFS(Journal_Live[TOTAL PROFIT],Journal_Live[MONTH],'PERFORMANCE ANALYSIS'!$A$3,Journal_Live[W/L],"W",Journal_Live[O,S,F],"F")</f>
        <v>0</v>
      </c>
      <c r="G14" s="370">
        <f>IFERROR((COUNTIFS(Journal_Live[W/L],"W",Journal_Live[MONTH],'PERFORMANCE ANALYSIS'!$A$3,Journal_Live[O,S,F],"F"))/Table2[[#This Row],['# ORDERS]],0)</f>
        <v>0</v>
      </c>
      <c r="H14" s="382">
        <f>IFERROR(ABS(AVERAGEIFS(Journal_Live[PNL ($) SINGLE ORDER],Journal_Live[MONTH],'PERFORMANCE ANALYSIS'!$A$3,Journal_Live[W/L],"L",Journal_Live[O,S,F],"F")),0)</f>
        <v>12.92307692307692</v>
      </c>
      <c r="I14" s="382">
        <f>ABS(SUMIFS(Journal_Live[TOTAL PROFIT],Journal_Live[MONTH],'PERFORMANCE ANALYSIS'!$A$3,Journal_Live[W/L],"L",Journal_Live[O,S,F],"F"))</f>
        <v>511.99999999999983</v>
      </c>
      <c r="J14" s="370">
        <f>IFERROR((COUNTIFS(Journal_Live[W/L],"L",Journal_Live[MONTH],'PERFORMANCE ANALYSIS'!$A$3,Journal_Live[O,S,F],"F"))/Table2[[#This Row],['# ORDERS]],0)</f>
        <v>0.66666666666666663</v>
      </c>
      <c r="K14" s="371">
        <f>IFERROR(Table2[[#This Row],[TOTAL GAINS]]/Table2[[#This Row],[TOTAL LOSS]],1)</f>
        <v>0</v>
      </c>
      <c r="L14" s="376">
        <f>Table2[[#This Row],[TOTAL GAINS]]-Table2[[#This Row],[TOTAL LOSS]]</f>
        <v>-511.99999999999983</v>
      </c>
      <c r="M14" s="373" cm="1">
        <f t="array" ref="M14">IFERROR(MODE(IF(Journal_Live[MONTH]='PERFORMANCE ANALYSIS'!$A$3,IF(Journal_Live[O,S,F]="F",Journal_Live[E QTY]))),0)</f>
        <v>0</v>
      </c>
      <c r="N14" s="601" cm="1">
        <f t="array" ref="N14">MIN(IF(Journal_Live[MONTH]='PERFORMANCE ANALYSIS'!$A$3,IF(Journal_Live[O,S,F]="F",Journal_Live[TOTAL PROFIT])))</f>
        <v>-256.00000000000006</v>
      </c>
      <c r="O14" s="384">
        <f>IFERROR(Table2[[#This Row],[AVG GAINS/LOT]]/Table2[[#This Row],[AVG LOSS/ LOT]],0)</f>
        <v>0</v>
      </c>
      <c r="P14" s="384">
        <f>IFERROR((Table2[[#This Row],[AVG GAINS/LOT]]*Table2[[#This Row],[WIN%]]),1)</f>
        <v>1</v>
      </c>
      <c r="Q14" s="384">
        <f>IFERROR((Table2[[#This Row],[AVG LOSS/ LOT]]*Table2[[#This Row],[LOSS%]]),1)</f>
        <v>8.6153846153846132</v>
      </c>
      <c r="R14" s="385">
        <f>Table2[[#This Row],[W SCORE]]-Table2[[#This Row],[L SCORE]]</f>
        <v>-7.6153846153846132</v>
      </c>
      <c r="S14" s="459">
        <f>IFERROR(Table2[[#This Row],[TOTAL LOTS]]/Table2[[#This Row],['# ORDERS]],0)</f>
        <v>18</v>
      </c>
      <c r="T14" s="323">
        <f>IFERROR(Table2[[#This Row],[NET P/L]]/Table2[[#This Row],[TOTAL LOTS]],0)</f>
        <v>-9.4814814814814792</v>
      </c>
      <c r="U14" s="406">
        <f>IFERROR(Table2[[#This Row],[NET P/L]]/Table2[[#This Row],['# ORDERS]],0)</f>
        <v>-170.6666666666666</v>
      </c>
      <c r="V14" s="304">
        <f>Table2[[#This Row],[TOTAL LOTS]]*4</f>
        <v>216</v>
      </c>
      <c r="W14" s="475" t="e">
        <f>Table2[[#This Row],[RT]]/#REF!</f>
        <v>#REF!</v>
      </c>
      <c r="X14" s="474">
        <f>Table2[[#This Row],[NET P/L]]/$AJ$16</f>
        <v>-15.147928994141424</v>
      </c>
      <c r="Y14" s="304"/>
      <c r="Z14" s="304"/>
      <c r="AA14" s="304"/>
      <c r="AB14" s="304"/>
      <c r="AC14" s="304"/>
      <c r="AD14" s="352"/>
      <c r="AE14" s="377" t="s">
        <v>8037</v>
      </c>
      <c r="AF14" s="377">
        <f>D10/C10</f>
        <v>22.75</v>
      </c>
      <c r="AG14" s="377" t="s">
        <v>8014</v>
      </c>
      <c r="AH14" s="378">
        <f>(D9)/(D9+D10)</f>
        <v>0.78688524590163933</v>
      </c>
      <c r="AI14" s="377" t="s">
        <v>8038</v>
      </c>
      <c r="AJ14" s="378">
        <f>D10/(D9+D10)</f>
        <v>0.21311475409836064</v>
      </c>
      <c r="AK14" s="352" t="s">
        <v>8039</v>
      </c>
      <c r="AL14" s="458">
        <f>Table2[[#This Row],['# ORDERS]]/C13</f>
        <v>0.1111111111111111</v>
      </c>
      <c r="AM14" s="352"/>
      <c r="AN14" s="369"/>
      <c r="AO14" s="380" t="s">
        <v>8036</v>
      </c>
      <c r="AP14" s="381">
        <f>COUNTIFS(Journal_Live[MONTH],'PERFORMANCE ANALYSIS'!$A$3,Journal_Live[O,S,F],"F",Journal_Live[W/L],"W")</f>
        <v>0</v>
      </c>
      <c r="AQ14" s="403">
        <f>SUMIFS(Journal_Live[E QTY],Journal_Live[MONTH],'PERFORMANCE ANALYSIS'!$A$3,Journal_Live[O,S,F],"F",Journal_Live[W/L],"W")</f>
        <v>0</v>
      </c>
      <c r="AR14" s="382">
        <f>SUMIFS(Journal_Live[TOTAL PROFIT],Journal_Live[MONTH],'PERFORMANCE ANALYSIS'!$A$3,Journal_Live[W/L],"W",Journal_Live[O,S,F],"F")</f>
        <v>0</v>
      </c>
      <c r="AS14" s="402" t="str">
        <f>IFERROR(AVERAGEIFS(Journal_Live[PNL ($) SINGLE ORDER],Journal_Live[MONTH],'PERFORMANCE ANALYSIS'!$A$3,Journal_Live[W/L],"W",Journal_Live[O,S,F],"F"),"N/A")</f>
        <v>N/A</v>
      </c>
      <c r="AT14" s="384">
        <f>IFERROR(Table3[[#This Row],[TOTAL LOTS]]/Table3[[#This Row],[ORDERS]],0)</f>
        <v>0</v>
      </c>
      <c r="AU14" s="381">
        <f>COUNTIFS(Journal_Live[MONTH],'PERFORMANCE ANALYSIS'!$A$3,Journal_Live[O,S,F],"F",Journal_Live[W/L],"L")</f>
        <v>2</v>
      </c>
      <c r="AV14" s="403">
        <f>SUMIFS(Journal_Live[E QTY],Journal_Live[MONTH],'PERFORMANCE ANALYSIS'!$A$3,Journal_Live[O,S,F],"F",Journal_Live[W/L],"L")</f>
        <v>42</v>
      </c>
      <c r="AW14" s="382">
        <f>SUMIFS(Journal_Live[TOTAL PROFIT],Journal_Live[MONTH],'PERFORMANCE ANALYSIS'!$A$3,Journal_Live[W/L],"L",Journal_Live[O,S,F],"F")</f>
        <v>-511.99999999999983</v>
      </c>
      <c r="AX14" s="402">
        <f>IFERROR(ABS(AVERAGEIFS(Journal_Live[PNL ($) SINGLE ORDER],Journal_Live[MONTH],'PERFORMANCE ANALYSIS'!$A$3,Journal_Live[W/L],"L",Journal_Live[O,S,F],"F")),0)</f>
        <v>12.92307692307692</v>
      </c>
      <c r="AY14" s="384">
        <f>IFERROR(Table3[[#This Row],[TOTAL LOTS2]]/Table3[[#This Row],[ORDERS2]],0)</f>
        <v>21</v>
      </c>
      <c r="AZ14" s="352"/>
    </row>
    <row r="15" spans="1:52" s="361" customFormat="1" ht="15.75">
      <c r="A15" s="369"/>
      <c r="B15" s="408" t="s">
        <v>2652</v>
      </c>
      <c r="C15" s="658">
        <f>COUNTIFS(Journal_Live[MONTH],'PERFORMANCE ANALYSIS'!$A$3,Journal_Live[CODE],"TED")</f>
        <v>0</v>
      </c>
      <c r="D15" s="403">
        <f>SUMIFS(Journal_Live[E QTY],Journal_Live[MONTH],'PERFORMANCE ANALYSIS'!$A$3,Journal_Live[CODE],"TED")</f>
        <v>0</v>
      </c>
      <c r="E15" s="382">
        <f>IFERROR(AVERAGEIFS(Journal_Live[PNL ($) SINGLE ORDER],Journal_Live[MONTH],'PERFORMANCE ANALYSIS'!$A$3,Journal_Live[W/L],"W",Journal_Live[CODE],"TED"),0)</f>
        <v>0</v>
      </c>
      <c r="F15" s="382">
        <f>SUMIFS(Journal_Live[TOTAL PROFIT],Journal_Live[MONTH],'PERFORMANCE ANALYSIS'!$A$3,Journal_Live[W/L],"W",Journal_Live[CODE],"TED")</f>
        <v>0</v>
      </c>
      <c r="G15" s="370">
        <f>IFERROR((COUNTIFS(Journal_Live[W/L],"W",Journal_Live[MONTH],'PERFORMANCE ANALYSIS'!$A$3,Journal_Live[CODE],"TED"))/Table2[[#This Row],['# ORDERS]],0)</f>
        <v>0</v>
      </c>
      <c r="H15" s="382">
        <f>IFERROR(ABS(AVERAGEIFS(Journal_Live[PNL ($) SINGLE ORDER],Journal_Live[MONTH],'PERFORMANCE ANALYSIS'!$A$3,Journal_Live[W/L],"L",Journal_Live[CODE],"TED")),0)</f>
        <v>0</v>
      </c>
      <c r="I15" s="382">
        <f>ABS(SUMIFS(Journal_Live[TOTAL PROFIT],Journal_Live[MONTH],'PERFORMANCE ANALYSIS'!$A$3,Journal_Live[W/L],"L",Journal_Live[CODE],"TED"))</f>
        <v>0</v>
      </c>
      <c r="J15" s="370">
        <f>IFERROR((COUNTIFS(Journal_Live[W/L],"L",Journal_Live[MONTH],'PERFORMANCE ANALYSIS'!$A$3,Journal_Live[CODE],"TED"))/Table2[[#This Row],['# ORDERS]],0)</f>
        <v>0</v>
      </c>
      <c r="K15" s="371">
        <f>IFERROR(Table2[[#This Row],[TOTAL GAINS]]/Table2[[#This Row],[TOTAL LOSS]],1)</f>
        <v>1</v>
      </c>
      <c r="L15" s="376">
        <f>Table2[[#This Row],[TOTAL GAINS]]-Table2[[#This Row],[TOTAL LOSS]]</f>
        <v>0</v>
      </c>
      <c r="M15" s="373" cm="1">
        <f t="array" ref="M15">IFERROR(MODE(IF(Journal_Live[MONTH]='PERFORMANCE ANALYSIS'!$A$3,IF(Journal_Live[CODE],"TED",Journal_Live[E QTY]))),0)</f>
        <v>0</v>
      </c>
      <c r="N15" s="601" cm="1">
        <f t="array" ref="N15">MIN(IF(Journal_Live[MONTH]='PERFORMANCE ANALYSIS'!$A$3,IF(Journal_Live[CODE]="TED",Journal_Live[TOTAL PROFIT])))</f>
        <v>0</v>
      </c>
      <c r="O15" s="384">
        <f>IFERROR(Table2[[#This Row],[AVG GAINS/LOT]]/Table2[[#This Row],[AVG LOSS/ LOT]],0)</f>
        <v>0</v>
      </c>
      <c r="P15" s="384">
        <f>IFERROR((Table2[[#This Row],[AVG GAINS/LOT]]*Table2[[#This Row],[WIN%]]),1)</f>
        <v>0</v>
      </c>
      <c r="Q15" s="384">
        <f>IFERROR((Table2[[#This Row],[AVG LOSS/ LOT]]*Table2[[#This Row],[LOSS%]]),1)</f>
        <v>0</v>
      </c>
      <c r="R15" s="385">
        <f>Table2[[#This Row],[W SCORE]]-Table2[[#This Row],[L SCORE]]</f>
        <v>0</v>
      </c>
      <c r="S15" s="459">
        <f>IFERROR(Table2[[#This Row],[TOTAL LOTS]]/Table2[[#This Row],['# ORDERS]],0)</f>
        <v>0</v>
      </c>
      <c r="T15" s="323">
        <f>IFERROR(Table2[[#This Row],[NET P/L]]/Table2[[#This Row],[TOTAL LOTS]],0)</f>
        <v>0</v>
      </c>
      <c r="U15" s="406">
        <f>IFERROR(Table2[[#This Row],[NET P/L]]/Table2[[#This Row],['# ORDERS]],0)</f>
        <v>0</v>
      </c>
      <c r="V15" s="304">
        <f>Table2[[#This Row],[TOTAL LOTS]]*9</f>
        <v>0</v>
      </c>
      <c r="W15" s="475" t="e">
        <f>Table2[[#This Row],[RT]]/#REF!</f>
        <v>#REF!</v>
      </c>
      <c r="X15" s="474">
        <f>Table2[[#This Row],[NET P/L]]/$AJ$16</f>
        <v>0</v>
      </c>
      <c r="Y15" s="304"/>
      <c r="Z15" s="304"/>
      <c r="AA15" s="304"/>
      <c r="AB15" s="304"/>
      <c r="AC15" s="304"/>
      <c r="AD15" s="352"/>
      <c r="AE15" s="377" t="s">
        <v>8040</v>
      </c>
      <c r="AF15" s="377">
        <f>SUM(D12:D16)</f>
        <v>443</v>
      </c>
      <c r="AG15" s="377" t="s">
        <v>8041</v>
      </c>
      <c r="AH15" s="377">
        <f>L9/L10</f>
        <v>-7.4285714285722211</v>
      </c>
      <c r="AI15" s="377"/>
      <c r="AJ15" s="377"/>
      <c r="AK15" s="352"/>
      <c r="AL15" s="458"/>
      <c r="AM15" s="352"/>
      <c r="AN15" s="369"/>
      <c r="AO15" s="380" t="s">
        <v>2652</v>
      </c>
      <c r="AP15" s="381">
        <f>COUNTIFS(Journal_Live[MONTH],'PERFORMANCE ANALYSIS'!$A$3,Journal_Live[CODE],"TED",Journal_Live[W/L],"W")</f>
        <v>0</v>
      </c>
      <c r="AQ15" s="403">
        <f>SUMIFS(Journal_Live[E QTY],Journal_Live[MONTH],'PERFORMANCE ANALYSIS'!$A$3,Journal_Live[CODE],"TED",Journal_Live[W/L],"W")</f>
        <v>0</v>
      </c>
      <c r="AR15" s="382">
        <f>SUMIFS(Journal_Live[TOTAL PROFIT],Journal_Live[MONTH],'PERFORMANCE ANALYSIS'!$A$3,Journal_Live[W/L],"W",Journal_Live[CODE],"TED")</f>
        <v>0</v>
      </c>
      <c r="AS15" s="402">
        <f>IFERROR(AVERAGEIFS(Journal_Live[PNL ($) SINGLE ORDER],Journal_Live[MONTH],'PERFORMANCE ANALYSIS'!$A$3,Journal_Live[W/L],"W",Journal_Live[CODE],"TED"),0)</f>
        <v>0</v>
      </c>
      <c r="AT15" s="384">
        <f>IFERROR(Table3[[#This Row],[TOTAL LOTS]]/Table3[[#This Row],[ORDERS]],0)</f>
        <v>0</v>
      </c>
      <c r="AU15" s="381">
        <f>COUNTIFS(Journal_Live[MONTH],'PERFORMANCE ANALYSIS'!$A$3,Journal_Live[CODE],"TED",Journal_Live[W/L],"L")</f>
        <v>0</v>
      </c>
      <c r="AV15" s="403">
        <f>SUMIFS(Journal_Live[E QTY],Journal_Live[MONTH],'PERFORMANCE ANALYSIS'!$A$3,Journal_Live[CODE],"TED",Journal_Live[W/L],"L")</f>
        <v>0</v>
      </c>
      <c r="AW15" s="382">
        <f>SUMIFS(Journal_Live[TOTAL PROFIT],Journal_Live[MONTH],'PERFORMANCE ANALYSIS'!$A$3,Journal_Live[W/L],"L",Journal_Live[CODE],"TED")</f>
        <v>0</v>
      </c>
      <c r="AX15" s="402">
        <f>IFERROR(ABS(AVERAGEIFS(Journal_Live[PNL ($) SINGLE ORDER],Journal_Live[MONTH],'PERFORMANCE ANALYSIS'!$A$3,Journal_Live[W/L],"L",Journal_Live[CODE],"TED")),0)</f>
        <v>0</v>
      </c>
      <c r="AY15" s="384">
        <f>IFERROR(Table3[[#This Row],[TOTAL LOTS2]]/Table3[[#This Row],[ORDERS2]],0)</f>
        <v>0</v>
      </c>
      <c r="AZ15" s="352"/>
    </row>
    <row r="16" spans="1:52" s="361" customFormat="1" ht="15.75">
      <c r="A16" s="369"/>
      <c r="B16" s="408" t="s">
        <v>5325</v>
      </c>
      <c r="C16" s="658">
        <f>COUNTIFS(Journal_Live[MONTH],'PERFORMANCE ANALYSIS'!$A$3,Journal_Live[CODE],"IR|YT")</f>
        <v>0</v>
      </c>
      <c r="D16" s="403">
        <f>SUMIFS(Journal_Live[E QTY],Journal_Live[MONTH],'PERFORMANCE ANALYSIS'!$A$3,Journal_Live[CODE],"IR|YT")</f>
        <v>0</v>
      </c>
      <c r="E16" s="382">
        <f>IFERROR(AVERAGEIFS(Journal_Live[PNL ($) SINGLE ORDER],Journal_Live[MONTH],'PERFORMANCE ANALYSIS'!$A$3,Journal_Live[W/L],"W",Journal_Live[CODE],"IR|YT"),0)</f>
        <v>0</v>
      </c>
      <c r="F16" s="382">
        <f>SUMIFS(Journal_Live[TOTAL PROFIT],Journal_Live[MONTH],'PERFORMANCE ANALYSIS'!$A$3,Journal_Live[W/L],"W",Journal_Live[CODE],"IR|YT")</f>
        <v>0</v>
      </c>
      <c r="G16" s="370">
        <f>IFERROR((COUNTIFS(Journal_Live[W/L],"W",Journal_Live[MONTH],'PERFORMANCE ANALYSIS'!$A$3,Journal_Live[CODE],"IR|YT"))/Table2[[#This Row],['# ORDERS]],0)</f>
        <v>0</v>
      </c>
      <c r="H16" s="382">
        <f>IFERROR(ABS(AVERAGEIFS(Journal_Live[PNL ($) SINGLE ORDER],Journal_Live[MONTH],'PERFORMANCE ANALYSIS'!$A$3,Journal_Live[W/L],"L",Journal_Live[CODE],"IR|YT")),0)</f>
        <v>0</v>
      </c>
      <c r="I16" s="382">
        <f>ABS(SUMIFS(Journal_Live[TOTAL PROFIT],Journal_Live[MONTH],'PERFORMANCE ANALYSIS'!$A$3,Journal_Live[W/L],"L",Journal_Live[CODE],"IR|YT"))</f>
        <v>0</v>
      </c>
      <c r="J16" s="370">
        <f>IFERROR((COUNTIFS(Journal_Live[W/L],"L",Journal_Live[MONTH],'PERFORMANCE ANALYSIS'!$A$3,Journal_Live[CODE],"IR|YT"))/Table2[[#This Row],['# ORDERS]],0)</f>
        <v>0</v>
      </c>
      <c r="K16" s="371">
        <f>IFERROR(Table2[[#This Row],[TOTAL GAINS]]/Table2[[#This Row],[TOTAL LOSS]],1)</f>
        <v>1</v>
      </c>
      <c r="L16" s="376">
        <f>Table2[[#This Row],[TOTAL GAINS]]-Table2[[#This Row],[TOTAL LOSS]]</f>
        <v>0</v>
      </c>
      <c r="M16" s="373" cm="1">
        <f t="array" ref="M16">IFERROR(MODE(IF(Journal_Live[MONTH]='PERFORMANCE ANALYSIS'!$A$3,IF(Journal_Live[CODE],"IR|YT",Journal_Live[E QTY]))),0)</f>
        <v>0</v>
      </c>
      <c r="N16" s="601" cm="1">
        <f t="array" ref="N16">MIN(IF(Journal_Live[MONTH]='PERFORMANCE ANALYSIS'!$A$3,IF(Journal_Live[CODE]="IR|YT",Journal_Live[TOTAL PROFIT])))</f>
        <v>0</v>
      </c>
      <c r="O16" s="384">
        <f>IFERROR(Table2[[#This Row],[AVG GAINS/LOT]]/Table2[[#This Row],[AVG LOSS/ LOT]],0)</f>
        <v>0</v>
      </c>
      <c r="P16" s="384">
        <f>IFERROR((Table2[[#This Row],[AVG GAINS/LOT]]*Table2[[#This Row],[WIN%]]),1)</f>
        <v>0</v>
      </c>
      <c r="Q16" s="384">
        <f>IFERROR((Table2[[#This Row],[AVG LOSS/ LOT]]*Table2[[#This Row],[LOSS%]]),1)</f>
        <v>0</v>
      </c>
      <c r="R16" s="385">
        <f>Table2[[#This Row],[W SCORE]]-Table2[[#This Row],[L SCORE]]</f>
        <v>0</v>
      </c>
      <c r="S16" s="459">
        <f>IFERROR(Table2[[#This Row],[TOTAL LOTS]]/Table2[[#This Row],['# ORDERS]],0)</f>
        <v>0</v>
      </c>
      <c r="T16" s="323">
        <f>IFERROR(Table2[[#This Row],[NET P/L]]/Table2[[#This Row],[TOTAL LOTS]],0)</f>
        <v>0</v>
      </c>
      <c r="U16" s="406">
        <f>IFERROR(Table2[[#This Row],[NET P/L]]/Table2[[#This Row],['# ORDERS]],0)</f>
        <v>0</v>
      </c>
      <c r="V16" s="304">
        <f>Table2[[#This Row],[TOTAL LOTS]]*4</f>
        <v>0</v>
      </c>
      <c r="W16" s="475" t="e">
        <f>Table2[[#This Row],[RT]]/#REF!</f>
        <v>#REF!</v>
      </c>
      <c r="X16" s="474">
        <f>Table2[[#This Row],[NET P/L]]/$AJ$16</f>
        <v>0</v>
      </c>
      <c r="Y16" s="304"/>
      <c r="Z16" s="304"/>
      <c r="AA16" s="304"/>
      <c r="AB16" s="304"/>
      <c r="AC16" s="304"/>
      <c r="AD16" s="352"/>
      <c r="AE16" s="377" t="s">
        <v>8042</v>
      </c>
      <c r="AF16" s="377">
        <f>SUM(C12:C16)</f>
        <v>46</v>
      </c>
      <c r="AG16" s="377"/>
      <c r="AH16" s="377"/>
      <c r="AI16" s="377" t="s">
        <v>8043</v>
      </c>
      <c r="AJ16" s="448">
        <f>ABS(SUM(L12:L16))</f>
        <v>33.799999999869272</v>
      </c>
      <c r="AK16" s="352" t="s">
        <v>8044</v>
      </c>
      <c r="AL16" s="385">
        <f>S10/S9</f>
        <v>2.4375</v>
      </c>
      <c r="AM16" s="352"/>
      <c r="AN16" s="369"/>
      <c r="AO16" s="380" t="s">
        <v>2259</v>
      </c>
      <c r="AP16" s="381">
        <f>COUNTIFS(Journal_Live[MONTH],'PERFORMANCE ANALYSIS'!$A$3,Journal_Live[CODE],"IR|YT",Journal_Live[W/L],"W")</f>
        <v>0</v>
      </c>
      <c r="AQ16" s="403">
        <f>SUMIFS(Journal_Live[E QTY],Journal_Live[MONTH],'PERFORMANCE ANALYSIS'!$A$3,Journal_Live[CODE],"IR|YT",Journal_Live[W/L],"W")</f>
        <v>0</v>
      </c>
      <c r="AR16" s="382">
        <f>SUMIFS(Journal_Live[TOTAL PROFIT],Journal_Live[MONTH],'PERFORMANCE ANALYSIS'!$A$3,Journal_Live[W/L],"W",Journal_Live[CODE],"IR|YT")</f>
        <v>0</v>
      </c>
      <c r="AS16" s="402">
        <f>IFERROR(AVERAGEIFS(Journal_Live[PNL ($) SINGLE ORDER],Journal_Live[MONTH],'PERFORMANCE ANALYSIS'!$A$3,Journal_Live[W/L],"W",Journal_Live[CODE],"IR|YT"),0)</f>
        <v>0</v>
      </c>
      <c r="AT16" s="384">
        <f>IFERROR(Table3[[#This Row],[TOTAL LOTS]]/Table3[[#This Row],[ORDERS]],0)</f>
        <v>0</v>
      </c>
      <c r="AU16" s="381">
        <f>COUNTIFS(Journal_Live[MONTH],'PERFORMANCE ANALYSIS'!$A$3,Journal_Live[CODE],"IR|YT",Journal_Live[W/L],"L")</f>
        <v>0</v>
      </c>
      <c r="AV16" s="403">
        <f>SUMIFS(Journal_Live[E QTY],Journal_Live[MONTH],'PERFORMANCE ANALYSIS'!$A$3,Journal_Live[CODE],"IR|YT",Journal_Live[W/L],"L")</f>
        <v>0</v>
      </c>
      <c r="AW16" s="382">
        <f>SUMIFS(Journal_Live[TOTAL PROFIT],Journal_Live[MONTH],'PERFORMANCE ANALYSIS'!$A$3,Journal_Live[W/L],"L",Journal_Live[CODE],"IR|YT")</f>
        <v>0</v>
      </c>
      <c r="AX16" s="402">
        <f>IFERROR(ABS(AVERAGEIFS(Journal_Live[PNL ($) SINGLE ORDER],Journal_Live[MONTH],'PERFORMANCE ANALYSIS'!$A$3,Journal_Live[W/L],"L",Journal_Live[CODE],"IR|YT")),0)</f>
        <v>0</v>
      </c>
      <c r="AY16" s="384">
        <f>IFERROR(Table3[[#This Row],[TOTAL LOTS2]]/Table3[[#This Row],[ORDERS2]],0)</f>
        <v>0</v>
      </c>
      <c r="AZ16" s="352"/>
    </row>
    <row r="17" spans="1:52" s="361" customFormat="1" ht="15.75">
      <c r="A17" s="369" t="s">
        <v>8045</v>
      </c>
      <c r="B17" s="380" t="s">
        <v>1259</v>
      </c>
      <c r="C17" s="658">
        <f>COUNTIFS(Journal_Live[MONTH],'PERFORMANCE ANALYSIS'!$A$3,Journal_Live[(M/H/D/W) | W - &gt; DAYS],"M")</f>
        <v>13</v>
      </c>
      <c r="D17" s="403">
        <f>SUMIFS(Journal_Live[E QTY],Journal_Live[MONTH],'PERFORMANCE ANALYSIS'!$A$3,Journal_Live[(M/H/D/W) | W - &gt; DAYS],"M")</f>
        <v>71</v>
      </c>
      <c r="E17" s="382">
        <f>IFERROR(AVERAGEIFS(Journal_Live[PNL ($) SINGLE ORDER],Journal_Live[MONTH],'PERFORMANCE ANALYSIS'!$A$3,Journal_Live[W/L],"W",Journal_Live[(M/H/D/W) | W - &gt; DAYS],"M"),0)</f>
        <v>17.333333333339478</v>
      </c>
      <c r="F17" s="382">
        <f>SUMIFS(Journal_Live[TOTAL PROFIT],Journal_Live[MONTH],'PERFORMANCE ANALYSIS'!$A$3,Journal_Live[W/L],"W",Journal_Live[(M/H/D/W) | W - &gt; DAYS],"M")</f>
        <v>212.00000000002674</v>
      </c>
      <c r="G17" s="508">
        <f>IFERROR((COUNTIFS(Journal_Live[W/L],"W",Journal_Live[MONTH],'PERFORMANCE ANALYSIS'!$A$3,Journal_Live[(M/H/D/W) | W - &gt; DAYS],"M"))/Table2[[#This Row],['# ORDERS]],0)</f>
        <v>0.23076923076923078</v>
      </c>
      <c r="H17" s="382">
        <f>IFERROR(ABS(AVERAGEIFS(Journal_Live[PNL ($) SINGLE ORDER],Journal_Live[MONTH],'PERFORMANCE ANALYSIS'!$A$3,Journal_Live[W/L],"L",Journal_Live[(M/H/D/W) | W - &gt; DAYS],"M")),0)</f>
        <v>41.919999999987567</v>
      </c>
      <c r="I17" s="382">
        <f>ABS(SUMIFS(Journal_Live[TOTAL PROFIT],Journal_Live[MONTH],'PERFORMANCE ANALYSIS'!$A$3,Journal_Live[W/L],"L",Journal_Live[(M/H/D/W) | W - &gt; DAYS],"M"))</f>
        <v>792.79999999987467</v>
      </c>
      <c r="J17" s="508">
        <f>IFERROR((COUNTIFS(Journal_Live[W/L],"L",Journal_Live[MONTH],'PERFORMANCE ANALYSIS'!$A$3,Journal_Live[(M/H/D/W) | W - &gt; DAYS],"M"))/Table2[[#This Row],['# ORDERS]],0)</f>
        <v>0.38461538461538464</v>
      </c>
      <c r="K17" s="371">
        <f>IFERROR(Table2[[#This Row],[TOTAL GAINS]]/Table2[[#This Row],[TOTAL LOSS]],1)</f>
        <v>0.26740665993953111</v>
      </c>
      <c r="L17" s="376">
        <f>Table2[[#This Row],[TOTAL GAINS]]-Table2[[#This Row],[TOTAL LOSS]]</f>
        <v>-580.79999999984796</v>
      </c>
      <c r="M17" s="507"/>
      <c r="N17" s="601"/>
      <c r="O17" s="384">
        <f>IFERROR(Table2[[#This Row],[AVG GAINS/LOT]]/Table2[[#This Row],[AVG LOSS/ LOT]],0)</f>
        <v>0.41348600508932776</v>
      </c>
      <c r="P17" s="384">
        <f>IFERROR((Table2[[#This Row],[AVG GAINS/LOT]]*Table2[[#This Row],[WIN%]]),1)</f>
        <v>4.0000000000014184</v>
      </c>
      <c r="Q17" s="384">
        <f>IFERROR((Table2[[#This Row],[AVG LOSS/ LOT]]*Table2[[#This Row],[LOSS%]]),1)</f>
        <v>16.123076923072141</v>
      </c>
      <c r="R17" s="385">
        <f>Table2[[#This Row],[W SCORE]]-Table2[[#This Row],[L SCORE]]</f>
        <v>-12.123076923070723</v>
      </c>
      <c r="S17" s="459">
        <f>IFERROR(Table2[[#This Row],[TOTAL LOTS]]/Table2[[#This Row],['# ORDERS]],0)</f>
        <v>5.4615384615384617</v>
      </c>
      <c r="T17" s="323">
        <f>IFERROR(Table2[[#This Row],[NET P/L]]/Table2[[#This Row],[TOTAL LOTS]],0)</f>
        <v>-8.1802816901387043</v>
      </c>
      <c r="U17" s="406">
        <f>IFERROR(Table2[[#This Row],[NET P/L]]/Table2[[#This Row],['# ORDERS]],0)</f>
        <v>-44.676923076911379</v>
      </c>
      <c r="V17" s="304">
        <f>Table2[[#This Row],[TOTAL LOTS]]*4</f>
        <v>284</v>
      </c>
      <c r="W17" s="475" t="e">
        <f>Table2[[#This Row],[RT]]/#REF!</f>
        <v>#REF!</v>
      </c>
      <c r="X17" s="474">
        <f>Table2[[#This Row],[NET P/L]]/$AJ$16</f>
        <v>-17.183431952724685</v>
      </c>
      <c r="Y17" s="304"/>
      <c r="Z17" s="304"/>
      <c r="AA17" s="304"/>
      <c r="AB17" s="304"/>
      <c r="AC17" s="304"/>
      <c r="AD17" s="352"/>
      <c r="AE17" s="377"/>
      <c r="AF17" s="377"/>
      <c r="AG17" s="377"/>
      <c r="AH17" s="377"/>
      <c r="AI17" s="377"/>
      <c r="AJ17" s="448"/>
      <c r="AK17" s="352"/>
      <c r="AL17" s="385"/>
      <c r="AM17" s="352"/>
      <c r="AN17" s="369"/>
      <c r="AO17" s="380"/>
      <c r="AP17" s="381"/>
      <c r="AQ17" s="403"/>
      <c r="AR17" s="382"/>
      <c r="AS17" s="402"/>
      <c r="AT17" s="384"/>
      <c r="AU17" s="381"/>
      <c r="AV17" s="403"/>
      <c r="AW17" s="382"/>
      <c r="AX17" s="402"/>
      <c r="AY17" s="384"/>
      <c r="AZ17" s="352"/>
    </row>
    <row r="18" spans="1:52" s="361" customFormat="1" ht="15.75">
      <c r="A18" s="369"/>
      <c r="B18" s="380" t="s">
        <v>372</v>
      </c>
      <c r="C18" s="658">
        <f>COUNTIFS(Journal_Live[MONTH],'PERFORMANCE ANALYSIS'!$A$3,Journal_Live[(M/H/D/W) | W - &gt; DAYS],"H")</f>
        <v>16</v>
      </c>
      <c r="D18" s="403">
        <f>SUMIFS(Journal_Live[E QTY],Journal_Live[MONTH],'PERFORMANCE ANALYSIS'!$A$3,Journal_Live[(M/H/D/W) | W - &gt; DAYS],"H")</f>
        <v>166</v>
      </c>
      <c r="E18" s="382">
        <f>IFERROR(AVERAGEIFS(Journal_Live[PNL ($) SINGLE ORDER],Journal_Live[MONTH],'PERFORMANCE ANALYSIS'!$A$3,Journal_Live[W/L],"W",Journal_Live[(M/H/D/W) | W - &gt; DAYS],"H"),0)</f>
        <v>15.999999999997019</v>
      </c>
      <c r="F18" s="382">
        <f>SUMIFS(Journal_Live[TOTAL PROFIT],Journal_Live[MONTH],'PERFORMANCE ANALYSIS'!$A$3,Journal_Live[W/L],"W",Journal_Live[(M/H/D/W) | W - &gt; DAYS],"H")</f>
        <v>1167.9999999999404</v>
      </c>
      <c r="G18" s="508">
        <f>IFERROR((COUNTIFS(Journal_Live[W/L],"W",Journal_Live[MONTH],'PERFORMANCE ANALYSIS'!$A$3,Journal_Live[(M/H/D/W) | W - &gt; DAYS],"H"))/Table2[[#This Row],['# ORDERS]],0)</f>
        <v>0.4375</v>
      </c>
      <c r="H18" s="382">
        <f>IFERROR(ABS(AVERAGEIFS(Journal_Live[PNL ($) SINGLE ORDER],Journal_Live[MONTH],'PERFORMANCE ANALYSIS'!$A$3,Journal_Live[W/L],"L",Journal_Live[(M/H/D/W) | W - &gt; DAYS],"H")),0)</f>
        <v>16.623188405810946</v>
      </c>
      <c r="I18" s="382">
        <f>ABS(SUMIFS(Journal_Live[TOTAL PROFIT],Journal_Live[MONTH],'PERFORMANCE ANALYSIS'!$A$3,Journal_Live[W/L],"L",Journal_Live[(M/H/D/W) | W - &gt; DAYS],"H"))</f>
        <v>204.99999999999883</v>
      </c>
      <c r="J18" s="508">
        <f>IFERROR((COUNTIFS(Journal_Live[W/L],"L",Journal_Live[MONTH],'PERFORMANCE ANALYSIS'!$A$3,Journal_Live[(M/H/D/W) | W - &gt; DAYS],"H"))/Table2[[#This Row],['# ORDERS]],0)</f>
        <v>0.1875</v>
      </c>
      <c r="K18" s="371">
        <f>IFERROR(Table2[[#This Row],[TOTAL GAINS]]/Table2[[#This Row],[TOTAL LOSS]],1)</f>
        <v>5.6975609756094983</v>
      </c>
      <c r="L18" s="376">
        <f>Table2[[#This Row],[TOTAL GAINS]]-Table2[[#This Row],[TOTAL LOSS]]</f>
        <v>962.99999999994156</v>
      </c>
      <c r="M18" s="507"/>
      <c r="N18" s="601"/>
      <c r="O18" s="384">
        <f>IFERROR(Table2[[#This Row],[AVG GAINS/LOT]]/Table2[[#This Row],[AVG LOSS/ LOT]],0)</f>
        <v>0.96251089799378797</v>
      </c>
      <c r="P18" s="384">
        <f>IFERROR((Table2[[#This Row],[AVG GAINS/LOT]]*Table2[[#This Row],[WIN%]]),1)</f>
        <v>6.9999999999986962</v>
      </c>
      <c r="Q18" s="384">
        <f>IFERROR((Table2[[#This Row],[AVG LOSS/ LOT]]*Table2[[#This Row],[LOSS%]]),1)</f>
        <v>3.1168478260895522</v>
      </c>
      <c r="R18" s="385">
        <f>Table2[[#This Row],[W SCORE]]-Table2[[#This Row],[L SCORE]]</f>
        <v>3.8831521739091439</v>
      </c>
      <c r="S18" s="459">
        <f>IFERROR(Table2[[#This Row],[TOTAL LOTS]]/Table2[[#This Row],['# ORDERS]],0)</f>
        <v>10.375</v>
      </c>
      <c r="T18" s="323">
        <f>IFERROR(Table2[[#This Row],[NET P/L]]/Table2[[#This Row],[TOTAL LOTS]],0)</f>
        <v>5.801204819276756</v>
      </c>
      <c r="U18" s="406">
        <f>IFERROR(Table2[[#This Row],[NET P/L]]/Table2[[#This Row],['# ORDERS]],0)</f>
        <v>60.187499999996348</v>
      </c>
      <c r="V18" s="304">
        <f>Table2[[#This Row],[TOTAL LOTS]]*4</f>
        <v>664</v>
      </c>
      <c r="W18" s="475" t="e">
        <f>Table2[[#This Row],[RT]]/#REF!</f>
        <v>#REF!</v>
      </c>
      <c r="X18" s="474">
        <f>Table2[[#This Row],[NET P/L]]/$AJ$16</f>
        <v>28.491124260463497</v>
      </c>
      <c r="Y18" s="304"/>
      <c r="Z18" s="304"/>
      <c r="AA18" s="304"/>
      <c r="AB18" s="304"/>
      <c r="AC18" s="304"/>
      <c r="AD18" s="352"/>
      <c r="AE18" s="377"/>
      <c r="AF18" s="377"/>
      <c r="AG18" s="377"/>
      <c r="AH18" s="377"/>
      <c r="AI18" s="377"/>
      <c r="AJ18" s="448"/>
      <c r="AK18" s="352"/>
      <c r="AL18" s="385"/>
      <c r="AM18" s="352"/>
      <c r="AN18" s="369"/>
      <c r="AO18" s="380"/>
      <c r="AP18" s="381"/>
      <c r="AQ18" s="403"/>
      <c r="AR18" s="382"/>
      <c r="AS18" s="402"/>
      <c r="AT18" s="384"/>
      <c r="AU18" s="381"/>
      <c r="AV18" s="403"/>
      <c r="AW18" s="382"/>
      <c r="AX18" s="402"/>
      <c r="AY18" s="384"/>
      <c r="AZ18" s="352"/>
    </row>
    <row r="19" spans="1:52" s="361" customFormat="1" ht="15.75">
      <c r="A19" s="369"/>
      <c r="B19" s="380" t="s">
        <v>115</v>
      </c>
      <c r="C19" s="658">
        <f>COUNTIFS(Journal_Live[MONTH],'PERFORMANCE ANALYSIS'!$A$3,Journal_Live[(M/H/D/W) | W - &gt; DAYS],"D")</f>
        <v>14</v>
      </c>
      <c r="D19" s="403">
        <f>SUMIFS(Journal_Live[E QTY],Journal_Live[MONTH],'PERFORMANCE ANALYSIS'!$A$3,Journal_Live[(M/H/D/W) | W - &gt; DAYS],"D")</f>
        <v>160</v>
      </c>
      <c r="E19" s="382">
        <f>IFERROR(AVERAGEIFS(Journal_Live[PNL ($) SINGLE ORDER],Journal_Live[MONTH],'PERFORMANCE ANALYSIS'!$A$3,Journal_Live[W/L],"W",Journal_Live[(M/H/D/W) | W - &gt; DAYS],"D"),0)</f>
        <v>15.999999999999972</v>
      </c>
      <c r="F19" s="382">
        <f>SUMIFS(Journal_Live[TOTAL PROFIT],Journal_Live[MONTH],'PERFORMANCE ANALYSIS'!$A$3,Journal_Live[W/L],"W",Journal_Live[(M/H/D/W) | W - &gt; DAYS],"D")</f>
        <v>255.99999999999949</v>
      </c>
      <c r="G19" s="508">
        <f>IFERROR((COUNTIFS(Journal_Live[W/L],"W",Journal_Live[MONTH],'PERFORMANCE ANALYSIS'!$A$3,Journal_Live[(M/H/D/W) | W - &gt; DAYS],"D"))/Table2[[#This Row],['# ORDERS]],0)</f>
        <v>0.21428571428571427</v>
      </c>
      <c r="H19" s="382">
        <f>IFERROR(ABS(AVERAGEIFS(Journal_Live[PNL ($) SINGLE ORDER],Journal_Live[MONTH],'PERFORMANCE ANALYSIS'!$A$3,Journal_Live[W/L],"L",Journal_Live[(M/H/D/W) | W - &gt; DAYS],"D")),0)</f>
        <v>19.261538461536595</v>
      </c>
      <c r="I19" s="382">
        <f>ABS(SUMIFS(Journal_Live[TOTAL PROFIT],Journal_Live[MONTH],'PERFORMANCE ANALYSIS'!$A$3,Journal_Live[W/L],"L",Journal_Live[(M/H/D/W) | W - &gt; DAYS],"D"))</f>
        <v>671.99999999996248</v>
      </c>
      <c r="J19" s="508">
        <f>IFERROR((COUNTIFS(Journal_Live[W/L],"L",Journal_Live[MONTH],'PERFORMANCE ANALYSIS'!$A$3,Journal_Live[(M/H/D/W) | W - &gt; DAYS],"D"))/Table2[[#This Row],['# ORDERS]],0)</f>
        <v>0.2857142857142857</v>
      </c>
      <c r="K19" s="371">
        <f>IFERROR(Table2[[#This Row],[TOTAL GAINS]]/Table2[[#This Row],[TOTAL LOSS]],1)</f>
        <v>0.38095238095240147</v>
      </c>
      <c r="L19" s="376">
        <f>Table2[[#This Row],[TOTAL GAINS]]-Table2[[#This Row],[TOTAL LOSS]]</f>
        <v>-415.99999999996299</v>
      </c>
      <c r="M19" s="507"/>
      <c r="N19" s="601"/>
      <c r="O19" s="384">
        <f>IFERROR(Table2[[#This Row],[AVG GAINS/LOT]]/Table2[[#This Row],[AVG LOSS/ LOT]],0)</f>
        <v>0.83067092651765084</v>
      </c>
      <c r="P19" s="384">
        <f>IFERROR((Table2[[#This Row],[AVG GAINS/LOT]]*Table2[[#This Row],[WIN%]]),1)</f>
        <v>3.4285714285714222</v>
      </c>
      <c r="Q19" s="384">
        <f>IFERROR((Table2[[#This Row],[AVG LOSS/ LOT]]*Table2[[#This Row],[LOSS%]]),1)</f>
        <v>5.5032967032961695</v>
      </c>
      <c r="R19" s="385">
        <f>Table2[[#This Row],[W SCORE]]-Table2[[#This Row],[L SCORE]]</f>
        <v>-2.0747252747247473</v>
      </c>
      <c r="S19" s="459">
        <f>IFERROR(Table2[[#This Row],[TOTAL LOTS]]/Table2[[#This Row],['# ORDERS]],0)</f>
        <v>11.428571428571429</v>
      </c>
      <c r="T19" s="323">
        <f>IFERROR(Table2[[#This Row],[NET P/L]]/Table2[[#This Row],[TOTAL LOTS]],0)</f>
        <v>-2.5999999999997687</v>
      </c>
      <c r="U19" s="406">
        <f>IFERROR(Table2[[#This Row],[NET P/L]]/Table2[[#This Row],['# ORDERS]],0)</f>
        <v>-29.714285714283072</v>
      </c>
      <c r="V19" s="304">
        <f>Table2[[#This Row],[TOTAL LOTS]]*4</f>
        <v>640</v>
      </c>
      <c r="W19" s="475" t="e">
        <f>Table2[[#This Row],[RT]]/#REF!</f>
        <v>#REF!</v>
      </c>
      <c r="X19" s="474">
        <f>Table2[[#This Row],[NET P/L]]/$AJ$16</f>
        <v>-12.307692307738815</v>
      </c>
      <c r="Y19" s="304"/>
      <c r="Z19" s="304"/>
      <c r="AA19" s="304"/>
      <c r="AB19" s="304"/>
      <c r="AC19" s="304"/>
      <c r="AD19" s="352"/>
      <c r="AE19" s="377"/>
      <c r="AF19" s="377"/>
      <c r="AG19" s="377"/>
      <c r="AH19" s="377"/>
      <c r="AI19" s="377"/>
      <c r="AJ19" s="448"/>
      <c r="AK19" s="352"/>
      <c r="AL19" s="385"/>
      <c r="AM19" s="352"/>
      <c r="AN19" s="369"/>
      <c r="AO19" s="380"/>
      <c r="AP19" s="381"/>
      <c r="AQ19" s="403"/>
      <c r="AR19" s="382"/>
      <c r="AS19" s="402"/>
      <c r="AT19" s="384"/>
      <c r="AU19" s="381"/>
      <c r="AV19" s="403"/>
      <c r="AW19" s="382"/>
      <c r="AX19" s="402"/>
      <c r="AY19" s="384"/>
      <c r="AZ19" s="352"/>
    </row>
    <row r="20" spans="1:52" s="361" customFormat="1" ht="15.75">
      <c r="A20" s="369"/>
      <c r="B20" s="380" t="s">
        <v>8046</v>
      </c>
      <c r="C20" s="658">
        <f>COUNTIFS(Journal_Live[MONTH],'PERFORMANCE ANALYSIS'!$A$3,Journal_Live[(M/H/D/W) | W - &gt; DAYS],"W")</f>
        <v>1</v>
      </c>
      <c r="D20" s="403">
        <f>SUMIFS(Journal_Live[E QTY],Journal_Live[MONTH],'PERFORMANCE ANALYSIS'!$A$3,Journal_Live[(M/H/D/W) | W - &gt; DAYS],"W")</f>
        <v>32</v>
      </c>
      <c r="E20" s="382">
        <f>IFERROR(AVERAGEIFS(Journal_Live[PNL ($) SINGLE ORDER],Journal_Live[MONTH],'PERFORMANCE ANALYSIS'!$A$3,Journal_Live[W/L],"W",Journal_Live[(M/H/D/W) | W - &gt; DAYS],"W"),0)</f>
        <v>0</v>
      </c>
      <c r="F20" s="382">
        <f>SUMIFS(Journal_Live[TOTAL PROFIT],Journal_Live[MONTH],'PERFORMANCE ANALYSIS'!$A$3,Journal_Live[W/L],"W",Journal_Live[(M/H/D/W) | W - &gt; DAYS],"W")</f>
        <v>0</v>
      </c>
      <c r="G20" s="508">
        <f>IFERROR((COUNTIFS(Journal_Live[W/L],"W",Journal_Live[MONTH],'PERFORMANCE ANALYSIS'!$A$3,Journal_Live[(M/H/D/W) | W - &gt; DAYS],"W'"))/Table2[[#This Row],['# ORDERS]],0)</f>
        <v>0</v>
      </c>
      <c r="H20" s="382">
        <f>IFERROR(ABS(AVERAGEIFS(Journal_Live[PNL ($) SINGLE ORDER],Journal_Live[MONTH],'PERFORMANCE ANALYSIS'!$A$3,Journal_Live[W/L],"L",Journal_Live[(M/H/D/W) | W - &gt; DAYS],"W")),0)</f>
        <v>0</v>
      </c>
      <c r="I20" s="382">
        <f>ABS(SUMIFS(Journal_Live[TOTAL PROFIT],Journal_Live[MONTH],'PERFORMANCE ANALYSIS'!$A$3,Journal_Live[W/L],"L",Journal_Live[(M/H/D/W) | W - &gt; DAYS],"W"))</f>
        <v>0</v>
      </c>
      <c r="J20" s="508">
        <f>IFERROR((COUNTIFS(Journal_Live[W/L],"L",Journal_Live[MONTH],'PERFORMANCE ANALYSIS'!$A$3,Journal_Live[(M/H/D/W) | W - &gt; DAYS],"W"))/Table2[[#This Row],['# ORDERS]],0)</f>
        <v>0</v>
      </c>
      <c r="K20" s="371">
        <f>IFERROR(Table2[[#This Row],[TOTAL GAINS]]/Table2[[#This Row],[TOTAL LOSS]],1)</f>
        <v>1</v>
      </c>
      <c r="L20" s="376">
        <f>Table2[[#This Row],[TOTAL GAINS]]-Table2[[#This Row],[TOTAL LOSS]]</f>
        <v>0</v>
      </c>
      <c r="M20" s="507"/>
      <c r="N20" s="601"/>
      <c r="O20" s="384">
        <f>IFERROR(Table2[[#This Row],[AVG GAINS/LOT]]/Table2[[#This Row],[AVG LOSS/ LOT]],0)</f>
        <v>0</v>
      </c>
      <c r="P20" s="384">
        <f>IFERROR((Table2[[#This Row],[AVG GAINS/LOT]]*Table2[[#This Row],[WIN%]]),1)</f>
        <v>0</v>
      </c>
      <c r="Q20" s="384">
        <f>IFERROR((Table2[[#This Row],[AVG LOSS/ LOT]]*Table2[[#This Row],[LOSS%]]),1)</f>
        <v>0</v>
      </c>
      <c r="R20" s="385">
        <f>Table2[[#This Row],[W SCORE]]-Table2[[#This Row],[L SCORE]]</f>
        <v>0</v>
      </c>
      <c r="S20" s="459">
        <f>IFERROR(Table2[[#This Row],[TOTAL LOTS]]/Table2[[#This Row],['# ORDERS]],0)</f>
        <v>32</v>
      </c>
      <c r="T20" s="323">
        <f>IFERROR(Table2[[#This Row],[NET P/L]]/Table2[[#This Row],[TOTAL LOTS]],0)</f>
        <v>0</v>
      </c>
      <c r="U20" s="406">
        <f>IFERROR(Table2[[#This Row],[NET P/L]]/Table2[[#This Row],['# ORDERS]],0)</f>
        <v>0</v>
      </c>
      <c r="V20" s="304">
        <f>Table2[[#This Row],[TOTAL LOTS]]*4</f>
        <v>128</v>
      </c>
      <c r="W20" s="475" t="e">
        <f>Table2[[#This Row],[RT]]/#REF!</f>
        <v>#REF!</v>
      </c>
      <c r="X20" s="474">
        <f>Table2[[#This Row],[NET P/L]]/$AJ$16</f>
        <v>0</v>
      </c>
      <c r="Y20" s="304"/>
      <c r="Z20" s="304"/>
      <c r="AA20" s="304"/>
      <c r="AB20" s="304"/>
      <c r="AC20" s="304"/>
      <c r="AD20" s="352"/>
      <c r="AE20" s="377"/>
      <c r="AF20" s="377"/>
      <c r="AG20" s="377"/>
      <c r="AH20" s="377"/>
      <c r="AI20" s="377"/>
      <c r="AJ20" s="448"/>
      <c r="AK20" s="352"/>
      <c r="AL20" s="385"/>
      <c r="AM20" s="352"/>
      <c r="AN20" s="369"/>
      <c r="AO20" s="380"/>
      <c r="AP20" s="381"/>
      <c r="AQ20" s="403"/>
      <c r="AR20" s="382"/>
      <c r="AS20" s="402"/>
      <c r="AT20" s="384"/>
      <c r="AU20" s="381"/>
      <c r="AV20" s="403"/>
      <c r="AW20" s="382"/>
      <c r="AX20" s="402"/>
      <c r="AY20" s="384"/>
      <c r="AZ20" s="352"/>
    </row>
    <row r="21" spans="1:52" s="361" customFormat="1" ht="15.75">
      <c r="A21" s="369" t="s">
        <v>8029</v>
      </c>
      <c r="B21" s="380" t="s">
        <v>7488</v>
      </c>
      <c r="C21" s="658">
        <f>COUNTIFS(Journal_Live[MONTH],'PERFORMANCE ANALYSIS'!$A$3,Journal_Live[MS,F],"3MS")</f>
        <v>6</v>
      </c>
      <c r="D21" s="403">
        <f>SUMIFS(Journal_Live[E QTY],Journal_Live[MONTH],'PERFORMANCE ANALYSIS'!$A$3,Journal_Live[MS,F],"3MS")</f>
        <v>62</v>
      </c>
      <c r="E21" s="382"/>
      <c r="F21" s="382">
        <f>SUMIFS(Journal_Live[TOTAL PROFIT],Journal_Live[MONTH],'PERFORMANCE ANALYSIS'!$A$3,Journal_Live[W/L],"W",Journal_Live[MS,F],"3MS")</f>
        <v>256.00000000000023</v>
      </c>
      <c r="G21" s="655"/>
      <c r="H21" s="382"/>
      <c r="I21" s="382">
        <f>ABS(SUMIFS(Journal_Live[TOTAL PROFIT],Journal_Live[MONTH],'PERFORMANCE ANALYSIS'!$A$3,Journal_Live[W/L],"L",Journal_Live[MS,F],"3MS"))</f>
        <v>144</v>
      </c>
      <c r="J21" s="655"/>
      <c r="K21" s="371">
        <f>IFERROR(Table2[[#This Row],[TOTAL GAINS]]/Table2[[#This Row],[TOTAL LOSS]],1)</f>
        <v>1.7777777777777795</v>
      </c>
      <c r="L21" s="376">
        <f>Table2[[#This Row],[TOTAL GAINS]]-Table2[[#This Row],[TOTAL LOSS]]</f>
        <v>112.00000000000023</v>
      </c>
      <c r="M21" s="507" cm="1">
        <f t="array" ref="M21">MODE(IF(Journal_Live[MONTH]='PERFORMANCE ANALYSIS'!$A$3,IF(Journal_Live[TECHNICAL]&lt;&gt;"",Journal_Live[E QTY])))</f>
        <v>1</v>
      </c>
      <c r="N21" s="601" cm="1">
        <f t="array" ref="N21">MIN(IF(Journal_Live[MONTH]='PERFORMANCE ANALYSIS'!$A$3,IF(Journal_Live[MS,F]="3MS",Journal_Live[TOTAL PROFIT])),0)</f>
        <v>-144</v>
      </c>
      <c r="O21" s="384">
        <f>IFERROR(Table2[[#This Row],[AVG GAINS/LOT]]/Table2[[#This Row],[AVG LOSS/ LOT]],0)</f>
        <v>0</v>
      </c>
      <c r="P21" s="384">
        <f>IFERROR((Table2[[#This Row],[AVG GAINS/LOT]]*Table2[[#This Row],[WIN%]]),1)</f>
        <v>0</v>
      </c>
      <c r="Q21" s="384">
        <f>IFERROR((Table2[[#This Row],[AVG LOSS/ LOT]]*Table2[[#This Row],[LOSS%]]),1)</f>
        <v>0</v>
      </c>
      <c r="R21" s="385">
        <f>Table2[[#This Row],[W SCORE]]-Table2[[#This Row],[L SCORE]]</f>
        <v>0</v>
      </c>
      <c r="S21" s="459">
        <f>IFERROR(Table2[[#This Row],[TOTAL LOTS]]/Table2[[#This Row],['# ORDERS]],0)</f>
        <v>10.333333333333334</v>
      </c>
      <c r="T21" s="323">
        <f>IFERROR(Table2[[#This Row],[NET P/L]]/Table2[[#This Row],[TOTAL LOTS]],0)</f>
        <v>1.8064516129032295</v>
      </c>
      <c r="U21" s="406">
        <f>IFERROR(Table2[[#This Row],[NET P/L]]/Table2[[#This Row],['# ORDERS]],0)</f>
        <v>18.666666666666703</v>
      </c>
      <c r="V21" s="304"/>
      <c r="W21" s="475"/>
      <c r="X21" s="656" t="e">
        <f>Table2[[#This Row],[NET P/L]]/#REF!</f>
        <v>#REF!</v>
      </c>
      <c r="Y21" s="304"/>
      <c r="Z21" s="304"/>
      <c r="AA21" s="304"/>
      <c r="AB21" s="304"/>
      <c r="AC21" s="304"/>
      <c r="AD21" s="352"/>
      <c r="AE21" s="377"/>
      <c r="AF21" s="377"/>
      <c r="AG21" s="377"/>
      <c r="AH21" s="377"/>
      <c r="AI21" s="377"/>
      <c r="AJ21" s="448"/>
      <c r="AK21" s="352"/>
      <c r="AL21" s="385"/>
      <c r="AM21" s="352"/>
      <c r="AN21" s="369"/>
      <c r="AO21" s="380"/>
      <c r="AP21" s="381"/>
      <c r="AQ21" s="403"/>
      <c r="AR21" s="382"/>
      <c r="AS21" s="402"/>
      <c r="AT21" s="384"/>
      <c r="AU21" s="381"/>
      <c r="AV21" s="403"/>
      <c r="AW21" s="382"/>
      <c r="AX21" s="402"/>
      <c r="AY21" s="384"/>
      <c r="AZ21" s="352"/>
    </row>
    <row r="22" spans="1:52" s="361" customFormat="1" ht="15.75">
      <c r="A22" s="369"/>
      <c r="B22" s="380" t="s">
        <v>8047</v>
      </c>
      <c r="C22" s="658">
        <f>COUNTIFS(Journal_Live[MONTH],'PERFORMANCE ANALYSIS'!$A$3,Journal_Live[MS,F],"3MF")</f>
        <v>2</v>
      </c>
      <c r="D22" s="403">
        <f>SUMIFS(Journal_Live[E QTY],Journal_Live[MONTH],'PERFORMANCE ANALYSIS'!$A$3,Journal_Live[MS,F],"3MF")</f>
        <v>42</v>
      </c>
      <c r="E22" s="382"/>
      <c r="F22" s="382">
        <f>SUMIFS(Journal_Live[TOTAL PROFIT],Journal_Live[MONTH],'PERFORMANCE ANALYSIS'!$A$3,Journal_Live[W/L],"W",Journal_Live[MS,F],"3MF")</f>
        <v>0</v>
      </c>
      <c r="G22" s="655"/>
      <c r="H22" s="382"/>
      <c r="I22" s="382">
        <f>ABS(SUMIFS(Journal_Live[TOTAL PROFIT],Journal_Live[MONTH],'PERFORMANCE ANALYSIS'!$A$3,Journal_Live[W/L],"L",Journal_Live[MS,F],"3MF"))</f>
        <v>511.99999999999983</v>
      </c>
      <c r="J22" s="655"/>
      <c r="K22" s="371">
        <f>IFERROR(Table2[[#This Row],[TOTAL GAINS]]/Table2[[#This Row],[TOTAL LOSS]],1)</f>
        <v>0</v>
      </c>
      <c r="L22" s="376">
        <f>Table2[[#This Row],[TOTAL GAINS]]-Table2[[#This Row],[TOTAL LOSS]]</f>
        <v>-511.99999999999983</v>
      </c>
      <c r="M22" s="507" cm="1">
        <f t="array" ref="M22">MODE(IF(Journal_Live[MONTH]='PERFORMANCE ANALYSIS'!$A$3,IF(Journal_Live[TECHNICAL]&lt;&gt;"",Journal_Live[E QTY])))</f>
        <v>1</v>
      </c>
      <c r="N22" s="601" cm="1">
        <f t="array" ref="N22">MIN(IF(Journal_Live[MONTH]='PERFORMANCE ANALYSIS'!$A$3,IF(Journal_Live[MS,F]="3MF",Journal_Live[TOTAL PROFIT])),0)</f>
        <v>-256.00000000000006</v>
      </c>
      <c r="O22" s="384">
        <f>IFERROR(Table2[[#This Row],[AVG GAINS/LOT]]/Table2[[#This Row],[AVG LOSS/ LOT]],0)</f>
        <v>0</v>
      </c>
      <c r="P22" s="384">
        <f>IFERROR((Table2[[#This Row],[AVG GAINS/LOT]]*Table2[[#This Row],[WIN%]]),1)</f>
        <v>0</v>
      </c>
      <c r="Q22" s="384">
        <f>IFERROR((Table2[[#This Row],[AVG LOSS/ LOT]]*Table2[[#This Row],[LOSS%]]),1)</f>
        <v>0</v>
      </c>
      <c r="R22" s="385">
        <f>Table2[[#This Row],[W SCORE]]-Table2[[#This Row],[L SCORE]]</f>
        <v>0</v>
      </c>
      <c r="S22" s="459">
        <f>IFERROR(Table2[[#This Row],[TOTAL LOTS]]/Table2[[#This Row],['# ORDERS]],0)</f>
        <v>21</v>
      </c>
      <c r="T22" s="323">
        <f>IFERROR(Table2[[#This Row],[NET P/L]]/Table2[[#This Row],[TOTAL LOTS]],0)</f>
        <v>-12.190476190476186</v>
      </c>
      <c r="U22" s="406">
        <f>IFERROR(Table2[[#This Row],[NET P/L]]/Table2[[#This Row],['# ORDERS]],0)</f>
        <v>-255.99999999999991</v>
      </c>
      <c r="V22" s="304"/>
      <c r="W22" s="475"/>
      <c r="X22" s="656" t="e">
        <f>Table2[[#This Row],[NET P/L]]/AJ25</f>
        <v>#DIV/0!</v>
      </c>
      <c r="Y22" s="304"/>
      <c r="Z22" s="304"/>
      <c r="AA22" s="304"/>
      <c r="AB22" s="304"/>
      <c r="AC22" s="304"/>
      <c r="AD22" s="352"/>
      <c r="AE22" s="377"/>
      <c r="AF22" s="377"/>
      <c r="AG22" s="377"/>
      <c r="AH22" s="377"/>
      <c r="AI22" s="377"/>
      <c r="AJ22" s="448"/>
      <c r="AK22" s="352"/>
      <c r="AL22" s="385"/>
      <c r="AM22" s="352"/>
      <c r="AN22" s="369"/>
      <c r="AO22" s="380"/>
      <c r="AP22" s="381"/>
      <c r="AQ22" s="403"/>
      <c r="AR22" s="382"/>
      <c r="AS22" s="402"/>
      <c r="AT22" s="384"/>
      <c r="AU22" s="381"/>
      <c r="AV22" s="403"/>
      <c r="AW22" s="382"/>
      <c r="AX22" s="402"/>
      <c r="AY22" s="384"/>
      <c r="AZ22" s="352"/>
    </row>
    <row r="23" spans="1:52" s="361" customFormat="1" ht="15.75">
      <c r="A23" s="369"/>
      <c r="B23" s="380" t="s">
        <v>7467</v>
      </c>
      <c r="C23" s="658">
        <f>COUNTIFS(Journal_Live[MONTH],'PERFORMANCE ANALYSIS'!$A$3,Journal_Live[MS,F],"6MS")</f>
        <v>12</v>
      </c>
      <c r="D23" s="403">
        <f>SUMIFS(Journal_Live[E QTY],Journal_Live[MONTH],'PERFORMANCE ANALYSIS'!$A$3,Journal_Live[MS,F],"6MS")</f>
        <v>204</v>
      </c>
      <c r="E23" s="382"/>
      <c r="F23" s="382">
        <f>SUMIFS(Journal_Live[TOTAL PROFIT],Journal_Live[MONTH],'PERFORMANCE ANALYSIS'!$A$3,Journal_Live[W/L],"W",Journal_Live[MS,F],"6MS")</f>
        <v>512.00000000000045</v>
      </c>
      <c r="G23" s="655"/>
      <c r="H23" s="382"/>
      <c r="I23" s="382">
        <f>ABS(SUMIFS(Journal_Live[TOTAL PROFIT],Journal_Live[MONTH],'PERFORMANCE ANALYSIS'!$A$3,Journal_Live[W/L],"L",Journal_Live[MS,F],"6MS"))</f>
        <v>112.00000000000099</v>
      </c>
      <c r="J23" s="655"/>
      <c r="K23" s="371">
        <f>IFERROR(Table2[[#This Row],[TOTAL GAINS]]/Table2[[#This Row],[TOTAL LOSS]],1)</f>
        <v>4.5714285714285348</v>
      </c>
      <c r="L23" s="376">
        <f>Table2[[#This Row],[TOTAL GAINS]]-Table2[[#This Row],[TOTAL LOSS]]</f>
        <v>399.99999999999943</v>
      </c>
      <c r="M23" s="507" cm="1">
        <f t="array" ref="M23">MODE(IF(Journal_Live[MONTH]='PERFORMANCE ANALYSIS'!$A$3,IF(Journal_Live[TECHNICAL]&lt;&gt;"",Journal_Live[E QTY])))</f>
        <v>1</v>
      </c>
      <c r="N23" s="601" cm="1">
        <f t="array" ref="N23">MIN(IF(Journal_Live[MONTH]='PERFORMANCE ANALYSIS'!$A$3,IF(Journal_Live[MS,F]="6MS",Journal_Live[TOTAL PROFIT])),0)</f>
        <v>-112.00000000000099</v>
      </c>
      <c r="O23" s="384">
        <f>IFERROR(Table2[[#This Row],[AVG GAINS/LOT]]/Table2[[#This Row],[AVG LOSS/ LOT]],0)</f>
        <v>0</v>
      </c>
      <c r="P23" s="384">
        <f>IFERROR((Table2[[#This Row],[AVG GAINS/LOT]]*Table2[[#This Row],[WIN%]]),1)</f>
        <v>0</v>
      </c>
      <c r="Q23" s="384">
        <f>IFERROR((Table2[[#This Row],[AVG LOSS/ LOT]]*Table2[[#This Row],[LOSS%]]),1)</f>
        <v>0</v>
      </c>
      <c r="R23" s="385">
        <f>Table2[[#This Row],[W SCORE]]-Table2[[#This Row],[L SCORE]]</f>
        <v>0</v>
      </c>
      <c r="S23" s="459">
        <f>IFERROR(Table2[[#This Row],[TOTAL LOTS]]/Table2[[#This Row],['# ORDERS]],0)</f>
        <v>17</v>
      </c>
      <c r="T23" s="323">
        <f>IFERROR(Table2[[#This Row],[NET P/L]]/Table2[[#This Row],[TOTAL LOTS]],0)</f>
        <v>1.9607843137254874</v>
      </c>
      <c r="U23" s="406">
        <f>IFERROR(Table2[[#This Row],[NET P/L]]/Table2[[#This Row],['# ORDERS]],0)</f>
        <v>33.333333333333286</v>
      </c>
      <c r="V23" s="304"/>
      <c r="W23" s="475"/>
      <c r="X23" s="656" t="e">
        <f>Table2[[#This Row],[NET P/L]]/AJ26</f>
        <v>#DIV/0!</v>
      </c>
      <c r="Y23" s="304"/>
      <c r="Z23" s="304"/>
      <c r="AA23" s="304"/>
      <c r="AB23" s="304"/>
      <c r="AC23" s="304"/>
      <c r="AD23" s="352"/>
      <c r="AE23" s="377"/>
      <c r="AF23" s="377"/>
      <c r="AG23" s="377"/>
      <c r="AH23" s="377"/>
      <c r="AI23" s="377"/>
      <c r="AJ23" s="448"/>
      <c r="AK23" s="352"/>
      <c r="AL23" s="385"/>
      <c r="AM23" s="352"/>
      <c r="AN23" s="369"/>
      <c r="AO23" s="380"/>
      <c r="AP23" s="381"/>
      <c r="AQ23" s="403"/>
      <c r="AR23" s="382"/>
      <c r="AS23" s="402"/>
      <c r="AT23" s="384"/>
      <c r="AU23" s="381"/>
      <c r="AV23" s="403"/>
      <c r="AW23" s="382"/>
      <c r="AX23" s="402"/>
      <c r="AY23" s="384"/>
      <c r="AZ23" s="352"/>
    </row>
    <row r="24" spans="1:52" s="361" customFormat="1" ht="15.75">
      <c r="A24" s="369"/>
      <c r="B24" s="380" t="s">
        <v>8048</v>
      </c>
      <c r="C24" s="658">
        <f>COUNTIFS(Journal_Live[MONTH],'PERFORMANCE ANALYSIS'!$A$3,Journal_Live[MS,F],"6MF/C/DC")</f>
        <v>1</v>
      </c>
      <c r="D24" s="403">
        <f>SUMIFS(Journal_Live[E QTY],Journal_Live[MONTH],'PERFORMANCE ANALYSIS'!$A$3,Journal_Live[MS,F],"6MF/C/DC")</f>
        <v>12</v>
      </c>
      <c r="E24" s="382"/>
      <c r="F24" s="382">
        <f>SUMIFS(Journal_Live[TOTAL PROFIT],Journal_Live[MONTH],'PERFORMANCE ANALYSIS'!$A$3,Journal_Live[W/L],"W",Journal_Live[MS,F],"6MF/C/DC")</f>
        <v>0</v>
      </c>
      <c r="G24" s="655"/>
      <c r="H24" s="382"/>
      <c r="I24" s="382">
        <f>ABS(SUMIFS(Journal_Live[TOTAL PROFIT],Journal_Live[MONTH],'PERFORMANCE ANALYSIS'!$A$3,Journal_Live[W/L],"L",Journal_Live[MS,F],"6MF/C/DC"))</f>
        <v>0</v>
      </c>
      <c r="J24" s="655"/>
      <c r="K24" s="371">
        <f>IFERROR(Table2[[#This Row],[TOTAL GAINS]]/Table2[[#This Row],[TOTAL LOSS]],1)</f>
        <v>1</v>
      </c>
      <c r="L24" s="376">
        <f>Table2[[#This Row],[TOTAL GAINS]]-Table2[[#This Row],[TOTAL LOSS]]</f>
        <v>0</v>
      </c>
      <c r="M24" s="507" cm="1">
        <f t="array" ref="M24">MODE(IF(Journal_Live[MONTH]='PERFORMANCE ANALYSIS'!$A$3,IF(Journal_Live[TECHNICAL]&lt;&gt;"",Journal_Live[E QTY])))</f>
        <v>1</v>
      </c>
      <c r="N24" s="601" cm="1">
        <f t="array" ref="N24">MIN(IF(Journal_Live[MONTH]='PERFORMANCE ANALYSIS'!$A$3,IF(Journal_Live[MS,F]="6MF/C/DC",Journal_Live[TOTAL PROFIT])),0)</f>
        <v>0</v>
      </c>
      <c r="O24" s="384">
        <f>IFERROR(Table2[[#This Row],[AVG GAINS/LOT]]/Table2[[#This Row],[AVG LOSS/ LOT]],0)</f>
        <v>0</v>
      </c>
      <c r="P24" s="384">
        <f>IFERROR((Table2[[#This Row],[AVG GAINS/LOT]]*Table2[[#This Row],[WIN%]]),1)</f>
        <v>0</v>
      </c>
      <c r="Q24" s="384">
        <f>IFERROR((Table2[[#This Row],[AVG LOSS/ LOT]]*Table2[[#This Row],[LOSS%]]),1)</f>
        <v>0</v>
      </c>
      <c r="R24" s="385">
        <f>Table2[[#This Row],[W SCORE]]-Table2[[#This Row],[L SCORE]]</f>
        <v>0</v>
      </c>
      <c r="S24" s="459">
        <f>IFERROR(Table2[[#This Row],[TOTAL LOTS]]/Table2[[#This Row],['# ORDERS]],0)</f>
        <v>12</v>
      </c>
      <c r="T24" s="323">
        <f>IFERROR(Table2[[#This Row],[NET P/L]]/Table2[[#This Row],[TOTAL LOTS]],0)</f>
        <v>0</v>
      </c>
      <c r="U24" s="406">
        <f>IFERROR(Table2[[#This Row],[NET P/L]]/Table2[[#This Row],['# ORDERS]],0)</f>
        <v>0</v>
      </c>
      <c r="V24" s="304"/>
      <c r="W24" s="475"/>
      <c r="X24" s="656" t="e">
        <f>Table2[[#This Row],[NET P/L]]/AJ27</f>
        <v>#DIV/0!</v>
      </c>
      <c r="Y24" s="304"/>
      <c r="Z24" s="304"/>
      <c r="AA24" s="304"/>
      <c r="AB24" s="304"/>
      <c r="AC24" s="304"/>
      <c r="AD24" s="352"/>
      <c r="AE24" s="377"/>
      <c r="AF24" s="377"/>
      <c r="AG24" s="377"/>
      <c r="AH24" s="377"/>
      <c r="AI24" s="377"/>
      <c r="AJ24" s="448"/>
      <c r="AK24" s="352"/>
      <c r="AL24" s="385"/>
      <c r="AM24" s="352"/>
      <c r="AN24" s="369"/>
      <c r="AO24" s="380"/>
      <c r="AP24" s="381"/>
      <c r="AQ24" s="403"/>
      <c r="AR24" s="382"/>
      <c r="AS24" s="402"/>
      <c r="AT24" s="384"/>
      <c r="AU24" s="381"/>
      <c r="AV24" s="403"/>
      <c r="AW24" s="382"/>
      <c r="AX24" s="402"/>
      <c r="AY24" s="384"/>
      <c r="AZ24" s="352"/>
    </row>
    <row r="25" spans="1:52" ht="16.5" customHeight="1">
      <c r="A25" s="369"/>
      <c r="B25" s="380" t="s">
        <v>7650</v>
      </c>
      <c r="C25" s="658">
        <f>COUNTIFS(Journal_Live[MONTH],'PERFORMANCE ANALYSIS'!$A$3,Journal_Live[MS,F],"9MS")</f>
        <v>0</v>
      </c>
      <c r="D25" s="403">
        <f>SUMIFS(Journal_Live[E QTY],Journal_Live[MONTH],'PERFORMANCE ANALYSIS'!$A$3,Journal_Live[MS,F],"9MS")</f>
        <v>0</v>
      </c>
      <c r="E25" s="657"/>
      <c r="F25" s="382">
        <f>SUMIFS(Journal_Live[TOTAL PROFIT],Journal_Live[MONTH],'PERFORMANCE ANALYSIS'!$A$3,Journal_Live[W/L],"W",Journal_Live[MS,F],"9MS")</f>
        <v>0</v>
      </c>
      <c r="G25" s="352"/>
      <c r="H25" s="657"/>
      <c r="I25" s="382">
        <f>ABS(SUMIFS(Journal_Live[TOTAL PROFIT],Journal_Live[MONTH],'PERFORMANCE ANALYSIS'!$A$3,Journal_Live[W/L],"L",Journal_Live[MS,F],"9MS"))</f>
        <v>0</v>
      </c>
      <c r="J25" s="352"/>
      <c r="K25" s="385">
        <f>IFERROR(Table2[[#This Row],[TOTAL GAINS]]/Table2[[#This Row],[TOTAL LOSS]],1)</f>
        <v>1</v>
      </c>
      <c r="L25" s="376">
        <f>Table2[[#This Row],[TOTAL GAINS]]-Table2[[#This Row],[TOTAL LOSS]]</f>
        <v>0</v>
      </c>
      <c r="M25" s="383" cm="1">
        <f t="array" ref="M25">MODE(IF(Journal_Live[MONTH]='PERFORMANCE ANALYSIS'!$A$3,IF(Journal_Live[TECHNICAL]&lt;&gt;"",Journal_Live[E QTY])))</f>
        <v>1</v>
      </c>
      <c r="N25" s="601" cm="1">
        <f t="array" ref="N25">MIN(IF(Journal_Live[MONTH]='PERFORMANCE ANALYSIS'!$A$3,IF(Journal_Live[MS,F]="9MS",Journal_Live[TOTAL PROFIT])),0)</f>
        <v>0</v>
      </c>
      <c r="O25" s="384">
        <f>IFERROR(Table2[[#This Row],[AVG GAINS/LOT]]/Table2[[#This Row],[AVG LOSS/ LOT]],0)</f>
        <v>0</v>
      </c>
      <c r="P25" s="384">
        <f>IFERROR((Table2[[#This Row],[AVG GAINS/LOT]]*Table2[[#This Row],[WIN%]]),1)</f>
        <v>0</v>
      </c>
      <c r="Q25" s="384">
        <f>IFERROR((Table2[[#This Row],[AVG LOSS/ LOT]]*Table2[[#This Row],[LOSS%]]),1)</f>
        <v>0</v>
      </c>
      <c r="R25" s="385">
        <f>Table2[[#This Row],[W SCORE]]-Table2[[#This Row],[L SCORE]]</f>
        <v>0</v>
      </c>
      <c r="S25" s="459">
        <f>IFERROR(Table2[[#This Row],[TOTAL LOTS]]/Table2[[#This Row],['# ORDERS]],0)</f>
        <v>0</v>
      </c>
      <c r="T25" s="323">
        <f>IFERROR(Table2[[#This Row],[NET P/L]]/Table2[[#This Row],[TOTAL LOTS]],0)</f>
        <v>0</v>
      </c>
      <c r="U25" s="406">
        <f>IFERROR(Table2[[#This Row],[NET P/L]]/Table2[[#This Row],['# ORDERS]],0)</f>
        <v>0</v>
      </c>
      <c r="V25" s="304"/>
      <c r="W25" s="304"/>
      <c r="X25" s="304" t="e">
        <f>Table2[[#This Row],[NET P/L]]/#REF!</f>
        <v>#REF!</v>
      </c>
      <c r="Y25"/>
      <c r="Z25"/>
      <c r="AA25"/>
      <c r="AB25"/>
      <c r="AC25"/>
      <c r="AD25" s="304"/>
      <c r="AE25" s="377"/>
      <c r="AF25" s="377"/>
      <c r="AG25" s="304"/>
      <c r="AH25" s="304"/>
      <c r="AI25" s="304"/>
      <c r="AJ25" s="449"/>
      <c r="AK25" s="304"/>
      <c r="AL25" s="460"/>
      <c r="AM25" s="304"/>
      <c r="AN25" s="304"/>
      <c r="AO25" s="304"/>
      <c r="AP25" s="304"/>
      <c r="AQ25" s="304"/>
      <c r="AR25" s="304"/>
      <c r="AS25" s="304"/>
      <c r="AT25" s="304"/>
      <c r="AU25" s="304"/>
      <c r="AV25" s="304"/>
      <c r="AW25" s="304"/>
      <c r="AX25" s="304"/>
      <c r="AY25" s="304"/>
      <c r="AZ25" s="304"/>
    </row>
    <row r="26" spans="1:52" ht="16.5" customHeight="1">
      <c r="A26" s="369"/>
      <c r="B26" s="380" t="s">
        <v>7497</v>
      </c>
      <c r="C26" s="658">
        <f>COUNTIFS(Journal_Live[MONTH],'PERFORMANCE ANALYSIS'!$A$3,Journal_Live[MS,F],"1YS")</f>
        <v>8</v>
      </c>
      <c r="D26" s="403">
        <f>SUMIFS(Journal_Live[E QTY],Journal_Live[MONTH],'PERFORMANCE ANALYSIS'!$A$3,Journal_Live[MS,F],"1YS")</f>
        <v>43</v>
      </c>
      <c r="E26" s="657"/>
      <c r="F26" s="382">
        <f>SUMIFS(Journal_Live[TOTAL PROFIT],Journal_Live[MONTH],'PERFORMANCE ANALYSIS'!$A$3,Journal_Live[W/L],"W",Journal_Live[MS,F],"1YS")</f>
        <v>399.99999999999966</v>
      </c>
      <c r="G26" s="352"/>
      <c r="H26" s="657"/>
      <c r="I26" s="382">
        <f>ABS(SUMIFS(Journal_Live[TOTAL PROFIT],Journal_Live[MONTH],'PERFORMANCE ANALYSIS'!$A$3,Journal_Live[W/L],"L",Journal_Live[MS,F],"1YS"))</f>
        <v>0</v>
      </c>
      <c r="J26" s="352"/>
      <c r="K26" s="385">
        <f>IFERROR(Table2[[#This Row],[TOTAL GAINS]]/Table2[[#This Row],[TOTAL LOSS]],1)</f>
        <v>1</v>
      </c>
      <c r="L26" s="376">
        <f>Table2[[#This Row],[TOTAL GAINS]]-Table2[[#This Row],[TOTAL LOSS]]</f>
        <v>399.99999999999966</v>
      </c>
      <c r="M26" s="383" cm="1">
        <f t="array" ref="M26">MODE(IF(Journal_Live[MONTH]='PERFORMANCE ANALYSIS'!$A$3,IF(Journal_Live[TECHNICAL]&lt;&gt;"",Journal_Live[E QTY])))</f>
        <v>1</v>
      </c>
      <c r="N26" s="601" cm="1">
        <f t="array" ref="N26">MIN(IF(Journal_Live[MONTH]='PERFORMANCE ANALYSIS'!$A$3,IF(Journal_Live[MS,F]="1YS",Journal_Live[TOTAL PROFIT])),0)</f>
        <v>0</v>
      </c>
      <c r="O26" s="384">
        <f>IFERROR(Table2[[#This Row],[AVG GAINS/LOT]]/Table2[[#This Row],[AVG LOSS/ LOT]],0)</f>
        <v>0</v>
      </c>
      <c r="P26" s="384">
        <f>IFERROR((Table2[[#This Row],[AVG GAINS/LOT]]*Table2[[#This Row],[WIN%]]),1)</f>
        <v>0</v>
      </c>
      <c r="Q26" s="384">
        <f>IFERROR((Table2[[#This Row],[AVG LOSS/ LOT]]*Table2[[#This Row],[LOSS%]]),1)</f>
        <v>0</v>
      </c>
      <c r="R26" s="385">
        <f>Table2[[#This Row],[W SCORE]]-Table2[[#This Row],[L SCORE]]</f>
        <v>0</v>
      </c>
      <c r="S26" s="459">
        <f>IFERROR(Table2[[#This Row],[TOTAL LOTS]]/Table2[[#This Row],['# ORDERS]],0)</f>
        <v>5.375</v>
      </c>
      <c r="T26" s="323">
        <f>IFERROR(Table2[[#This Row],[NET P/L]]/Table2[[#This Row],[TOTAL LOTS]],0)</f>
        <v>9.3023255813953405</v>
      </c>
      <c r="U26" s="406">
        <f>IFERROR(Table2[[#This Row],[NET P/L]]/Table2[[#This Row],['# ORDERS]],0)</f>
        <v>49.999999999999957</v>
      </c>
      <c r="V26" s="304"/>
      <c r="W26" s="304"/>
      <c r="X26" s="304" t="e">
        <f>Table2[[#This Row],[NET P/L]]/#REF!</f>
        <v>#REF!</v>
      </c>
      <c r="Y26"/>
      <c r="Z26"/>
      <c r="AA26"/>
      <c r="AB26"/>
      <c r="AC26"/>
      <c r="AD26" s="304"/>
      <c r="AE26" s="377"/>
      <c r="AF26" s="377"/>
      <c r="AG26" s="304"/>
      <c r="AH26" s="304"/>
      <c r="AI26" s="304"/>
      <c r="AJ26" s="449"/>
      <c r="AK26" s="304"/>
      <c r="AL26" s="460"/>
      <c r="AM26" s="304"/>
      <c r="AN26" s="304"/>
      <c r="AO26" s="304"/>
      <c r="AP26" s="304"/>
      <c r="AQ26" s="304"/>
      <c r="AR26" s="304"/>
      <c r="AS26" s="304"/>
      <c r="AT26" s="304"/>
      <c r="AU26" s="304"/>
      <c r="AV26" s="304"/>
      <c r="AW26" s="304"/>
      <c r="AX26" s="304"/>
      <c r="AY26" s="304"/>
      <c r="AZ26" s="304"/>
    </row>
    <row r="27" spans="1:52" ht="16.5" customHeight="1">
      <c r="A27" s="660" t="s">
        <v>8049</v>
      </c>
      <c r="B27" s="380" t="s">
        <v>7357</v>
      </c>
      <c r="C27" s="658">
        <f>COUNTIFS(Journal_Live[MONTH],'PERFORMANCE ANALYSIS'!$A$3,Journal_Live[P,I],"P")</f>
        <v>11</v>
      </c>
      <c r="D27" s="403">
        <f>SUMIFS(Journal_Live[E QTY],Journal_Live[MONTH],'PERFORMANCE ANALYSIS'!$A$3,Journal_Live[P,I],"P")</f>
        <v>143</v>
      </c>
      <c r="E27" s="657"/>
      <c r="F27" s="382">
        <f>SUMIFS(Journal_Live[TOTAL PROFIT],Journal_Live[MONTH],'PERFORMANCE ANALYSIS'!$A$3,Journal_Live[W/L],"W",Journal_Live[P,I],"P")</f>
        <v>224.00000000000011</v>
      </c>
      <c r="G27" s="352"/>
      <c r="H27" s="657"/>
      <c r="I27" s="382">
        <f>ABS(SUMIFS(Journal_Live[TOTAL PROFIT],Journal_Live[MONTH],'PERFORMANCE ANALYSIS'!$A$3,Journal_Live[W/L],"L",Journal_Live[P,I],"P"))</f>
        <v>655.99999999999977</v>
      </c>
      <c r="J27" s="352"/>
      <c r="K27" s="385">
        <f>IFERROR(Table2[[#This Row],[TOTAL GAINS]]/Table2[[#This Row],[TOTAL LOSS]],1)</f>
        <v>0.34146341463414664</v>
      </c>
      <c r="L27" s="376">
        <f>Table2[[#This Row],[TOTAL GAINS]]-Table2[[#This Row],[TOTAL LOSS]]</f>
        <v>-431.99999999999966</v>
      </c>
      <c r="M27" s="383" cm="1">
        <f t="array" ref="M27">MODE(IF(Journal_Live[MONTH]='PERFORMANCE ANALYSIS'!$A$3,IF(Journal_Live[TECHNICAL]&lt;&gt;"",Journal_Live[E QTY])))</f>
        <v>1</v>
      </c>
      <c r="N27" s="601" cm="1">
        <f t="array" ref="N27">MIN(IF(Journal_Live[MONTH]='PERFORMANCE ANALYSIS'!$A$3,IF(Journal_Live[P,I]="P",Journal_Live[TOTAL PROFIT])),0)</f>
        <v>-256.00000000000006</v>
      </c>
      <c r="O27" s="384">
        <f>IFERROR(Table2[[#This Row],[AVG GAINS/LOT]]/Table2[[#This Row],[AVG LOSS/ LOT]],0)</f>
        <v>0</v>
      </c>
      <c r="P27" s="384">
        <f>IFERROR((Table2[[#This Row],[AVG GAINS/LOT]]*Table2[[#This Row],[WIN%]]),1)</f>
        <v>0</v>
      </c>
      <c r="Q27" s="384">
        <f>IFERROR((Table2[[#This Row],[AVG LOSS/ LOT]]*Table2[[#This Row],[LOSS%]]),1)</f>
        <v>0</v>
      </c>
      <c r="R27" s="385">
        <f>Table2[[#This Row],[W SCORE]]-Table2[[#This Row],[L SCORE]]</f>
        <v>0</v>
      </c>
      <c r="S27" s="459">
        <f>IFERROR(Table2[[#This Row],[TOTAL LOTS]]/Table2[[#This Row],['# ORDERS]],0)</f>
        <v>13</v>
      </c>
      <c r="T27" s="323">
        <f>IFERROR(Table2[[#This Row],[NET P/L]]/Table2[[#This Row],[TOTAL LOTS]],0)</f>
        <v>-3.0209790209790186</v>
      </c>
      <c r="U27" s="406">
        <f>IFERROR(Table2[[#This Row],[NET P/L]]/Table2[[#This Row],['# ORDERS]],0)</f>
        <v>-39.272727272727245</v>
      </c>
      <c r="V27" s="304"/>
      <c r="W27" s="304"/>
      <c r="X27" s="304" t="e">
        <f>Table2[[#This Row],[NET P/L]]/#REF!</f>
        <v>#REF!</v>
      </c>
      <c r="Y27"/>
      <c r="Z27"/>
      <c r="AA27"/>
      <c r="AB27"/>
      <c r="AC27"/>
      <c r="AD27" s="304"/>
      <c r="AE27" s="377"/>
      <c r="AF27" s="377"/>
      <c r="AG27" s="304"/>
      <c r="AH27" s="304"/>
      <c r="AI27" s="304"/>
      <c r="AJ27" s="449"/>
      <c r="AK27" s="304"/>
      <c r="AL27" s="460"/>
      <c r="AM27" s="304"/>
      <c r="AN27" s="304"/>
      <c r="AO27" s="304"/>
      <c r="AP27" s="304"/>
      <c r="AQ27" s="304"/>
      <c r="AR27" s="304"/>
      <c r="AS27" s="304"/>
      <c r="AT27" s="304"/>
      <c r="AU27" s="304"/>
      <c r="AV27" s="304"/>
      <c r="AW27" s="304"/>
      <c r="AX27" s="304"/>
      <c r="AY27" s="304"/>
      <c r="AZ27" s="304"/>
    </row>
    <row r="28" spans="1:52" ht="16.5" customHeight="1">
      <c r="A28" s="660"/>
      <c r="B28" s="380" t="s">
        <v>7349</v>
      </c>
      <c r="C28" s="658">
        <f>COUNTIFS(Journal_Live[MONTH],'PERFORMANCE ANALYSIS'!$A$3,Journal_Live[P,I],"I")</f>
        <v>34</v>
      </c>
      <c r="D28" s="403">
        <f>SUMIFS(Journal_Live[E QTY],Journal_Live[MONTH],'PERFORMANCE ANALYSIS'!$A$3,Journal_Live[P,I],"I")</f>
        <v>295</v>
      </c>
      <c r="E28" s="657"/>
      <c r="F28" s="382">
        <f>SUMIFS(Journal_Live[TOTAL PROFIT],Journal_Live[MONTH],'PERFORMANCE ANALYSIS'!$A$3,Journal_Live[W/L],"W",Journal_Live[P,I],"I")</f>
        <v>1411.9999999999668</v>
      </c>
      <c r="G28" s="352"/>
      <c r="H28" s="657"/>
      <c r="I28" s="382">
        <f>ABS(SUMIFS(Journal_Live[TOTAL PROFIT],Journal_Live[MONTH],'PERFORMANCE ANALYSIS'!$A$3,Journal_Live[W/L],"L",Journal_Live[P,I],"I"))</f>
        <v>1013.7999999998362</v>
      </c>
      <c r="J28" s="352"/>
      <c r="K28" s="385">
        <f>IFERROR(Table2[[#This Row],[TOTAL GAINS]]/Table2[[#This Row],[TOTAL LOSS]],1)</f>
        <v>1.3927796409550157</v>
      </c>
      <c r="L28" s="376">
        <f>Table2[[#This Row],[TOTAL GAINS]]-Table2[[#This Row],[TOTAL LOSS]]</f>
        <v>398.20000000013056</v>
      </c>
      <c r="M28" s="383" cm="1">
        <f t="array" ref="M28">MODE(IF(Journal_Live[MONTH]='PERFORMANCE ANALYSIS'!$A$3,IF(Journal_Live[TECHNICAL]&lt;&gt;"",Journal_Live[E QTY])))</f>
        <v>1</v>
      </c>
      <c r="N28" s="601" cm="1">
        <f t="array" ref="N28">MIN(IF(Journal_Live[MONTH]='PERFORMANCE ANALYSIS'!$A$3,IF(Journal_Live[P,I]="I",Journal_Live[TOTAL PROFIT])),0)</f>
        <v>-594.00000000002251</v>
      </c>
      <c r="O28" s="384">
        <f>IFERROR(Table2[[#This Row],[AVG GAINS/LOT]]/Table2[[#This Row],[AVG LOSS/ LOT]],0)</f>
        <v>0</v>
      </c>
      <c r="P28" s="384">
        <f>IFERROR((Table2[[#This Row],[AVG GAINS/LOT]]*Table2[[#This Row],[WIN%]]),1)</f>
        <v>0</v>
      </c>
      <c r="Q28" s="384">
        <f>IFERROR((Table2[[#This Row],[AVG LOSS/ LOT]]*Table2[[#This Row],[LOSS%]]),1)</f>
        <v>0</v>
      </c>
      <c r="R28" s="385">
        <f>Table2[[#This Row],[W SCORE]]-Table2[[#This Row],[L SCORE]]</f>
        <v>0</v>
      </c>
      <c r="S28" s="459">
        <f>IFERROR(Table2[[#This Row],[TOTAL LOTS]]/Table2[[#This Row],['# ORDERS]],0)</f>
        <v>8.6764705882352935</v>
      </c>
      <c r="T28" s="323">
        <f>IFERROR(Table2[[#This Row],[NET P/L]]/Table2[[#This Row],[TOTAL LOTS]],0)</f>
        <v>1.3498305084750188</v>
      </c>
      <c r="U28" s="406">
        <f>IFERROR(Table2[[#This Row],[NET P/L]]/Table2[[#This Row],['# ORDERS]],0)</f>
        <v>11.711764705886193</v>
      </c>
      <c r="V28" s="304"/>
      <c r="W28" s="304"/>
      <c r="X28" s="304" t="e">
        <f>Table2[[#This Row],[NET P/L]]/AJ29</f>
        <v>#DIV/0!</v>
      </c>
      <c r="Y28"/>
      <c r="Z28"/>
      <c r="AA28"/>
      <c r="AB28"/>
      <c r="AC28"/>
      <c r="AD28" s="304"/>
      <c r="AE28" s="377"/>
      <c r="AF28" s="377"/>
      <c r="AG28" s="304"/>
      <c r="AH28" s="304"/>
      <c r="AI28" s="304"/>
      <c r="AJ28" s="449"/>
      <c r="AK28" s="304"/>
      <c r="AL28" s="460"/>
      <c r="AM28" s="304"/>
      <c r="AN28" s="304"/>
      <c r="AO28" s="304"/>
      <c r="AP28" s="304"/>
      <c r="AQ28" s="304"/>
      <c r="AR28" s="304"/>
      <c r="AS28" s="304"/>
      <c r="AT28" s="304"/>
      <c r="AU28" s="304"/>
      <c r="AV28" s="304"/>
      <c r="AW28" s="304"/>
      <c r="AX28" s="304"/>
      <c r="AY28" s="304"/>
      <c r="AZ28" s="304"/>
    </row>
    <row r="29" spans="1:52" ht="16.5" customHeight="1">
      <c r="A29" s="322"/>
      <c r="B29" s="322"/>
      <c r="C29" s="322"/>
      <c r="D29" s="304"/>
      <c r="E29" s="304"/>
      <c r="F29" s="304"/>
      <c r="G29" s="304"/>
      <c r="H29" s="304"/>
      <c r="I29" s="304"/>
      <c r="J29" s="304"/>
      <c r="K29" s="323"/>
      <c r="L29" s="602"/>
      <c r="M29" s="308"/>
      <c r="N29" s="325"/>
      <c r="O29"/>
      <c r="P29"/>
      <c r="Q29"/>
      <c r="R29"/>
      <c r="S29"/>
      <c r="T29"/>
      <c r="U29"/>
      <c r="V29"/>
      <c r="W29"/>
      <c r="X29"/>
      <c r="Y29"/>
      <c r="Z29"/>
      <c r="AA29"/>
      <c r="AB29"/>
      <c r="AC29"/>
      <c r="AD29" s="304"/>
      <c r="AE29" s="377"/>
      <c r="AF29" s="377"/>
      <c r="AG29" s="304"/>
      <c r="AH29" s="304"/>
      <c r="AI29" s="304"/>
      <c r="AJ29" s="449"/>
      <c r="AK29" s="304"/>
      <c r="AL29" s="460"/>
      <c r="AM29" s="304"/>
      <c r="AN29" s="304"/>
      <c r="AO29" s="304"/>
      <c r="AP29" s="304"/>
      <c r="AQ29" s="304"/>
      <c r="AR29" s="304"/>
      <c r="AS29" s="304"/>
      <c r="AT29" s="304"/>
      <c r="AU29" s="304"/>
      <c r="AV29" s="304"/>
      <c r="AW29" s="304"/>
      <c r="AX29" s="304"/>
      <c r="AY29" s="304"/>
      <c r="AZ29" s="304"/>
    </row>
    <row r="30" spans="1:52" ht="16.5" customHeight="1">
      <c r="A30" s="322"/>
      <c r="B30" s="322"/>
      <c r="C30" s="322"/>
      <c r="D30" s="304"/>
      <c r="E30" s="304"/>
      <c r="F30" s="304"/>
      <c r="G30" s="304"/>
      <c r="H30" s="304"/>
      <c r="I30" s="304"/>
      <c r="J30" s="304"/>
      <c r="K30" s="323"/>
      <c r="L30" s="324"/>
      <c r="M30" s="308"/>
      <c r="N30" s="325"/>
      <c r="O30"/>
      <c r="P30"/>
      <c r="Q30"/>
      <c r="R30"/>
      <c r="S30"/>
      <c r="T30"/>
      <c r="U30"/>
      <c r="V30"/>
      <c r="W30"/>
      <c r="X30"/>
      <c r="Y30"/>
      <c r="Z30"/>
      <c r="AA30"/>
      <c r="AB30"/>
      <c r="AC30"/>
      <c r="AD30" s="304"/>
      <c r="AE30" s="377"/>
      <c r="AF30" s="377"/>
      <c r="AG30" s="304"/>
      <c r="AH30" s="304"/>
      <c r="AI30" s="304"/>
      <c r="AJ30" s="449"/>
      <c r="AK30" s="304"/>
      <c r="AL30" s="460"/>
      <c r="AM30" s="304"/>
      <c r="AN30" s="304"/>
      <c r="AO30" s="304"/>
      <c r="AP30" s="304"/>
      <c r="AQ30" s="304"/>
      <c r="AR30" s="304"/>
      <c r="AS30" s="304"/>
      <c r="AT30" s="304"/>
      <c r="AU30" s="304"/>
      <c r="AV30" s="304"/>
      <c r="AW30" s="304"/>
      <c r="AX30" s="304"/>
      <c r="AY30" s="304"/>
      <c r="AZ30" s="304"/>
    </row>
    <row r="31" spans="1:52" ht="16.5" customHeight="1">
      <c r="A31" s="322"/>
      <c r="B31" s="322"/>
      <c r="C31" s="322"/>
      <c r="D31" s="304"/>
      <c r="E31" s="304"/>
      <c r="F31" s="304"/>
      <c r="G31" s="304"/>
      <c r="H31" s="304"/>
      <c r="I31" s="304"/>
      <c r="J31" s="304"/>
      <c r="K31" s="323"/>
      <c r="L31" s="324"/>
      <c r="M31" s="308"/>
      <c r="N31" s="325"/>
      <c r="O31"/>
      <c r="P31"/>
      <c r="Q31"/>
      <c r="R31"/>
      <c r="S31"/>
      <c r="T31"/>
      <c r="U31"/>
      <c r="V31"/>
      <c r="W31"/>
      <c r="X31"/>
      <c r="Y31"/>
      <c r="Z31"/>
      <c r="AA31"/>
      <c r="AB31"/>
      <c r="AC31"/>
      <c r="AD31" s="304"/>
      <c r="AE31" s="377"/>
      <c r="AF31" s="377"/>
      <c r="AG31" s="304"/>
      <c r="AH31" s="304"/>
      <c r="AI31" s="304"/>
      <c r="AJ31" s="449"/>
      <c r="AK31" s="304"/>
      <c r="AL31" s="460"/>
      <c r="AM31" s="304"/>
      <c r="AN31" s="304"/>
      <c r="AO31" s="304"/>
      <c r="AP31" s="304"/>
      <c r="AQ31" s="304"/>
      <c r="AR31" s="304"/>
      <c r="AS31" s="304"/>
      <c r="AT31" s="304"/>
      <c r="AU31" s="304"/>
      <c r="AV31" s="304"/>
      <c r="AW31" s="304"/>
      <c r="AX31" s="304"/>
      <c r="AY31" s="304"/>
      <c r="AZ31" s="304"/>
    </row>
    <row r="32" spans="1:52" ht="16.5" customHeight="1">
      <c r="A32" s="321"/>
      <c r="B32" s="306"/>
      <c r="C32" s="322"/>
      <c r="D32" s="304"/>
      <c r="E32" s="304"/>
      <c r="F32" s="304"/>
      <c r="G32" s="304"/>
      <c r="H32" s="304"/>
      <c r="I32" s="304"/>
      <c r="J32" s="304"/>
      <c r="K32" s="323"/>
      <c r="L32" s="324"/>
      <c r="M32" s="308"/>
      <c r="N32" s="325"/>
      <c r="O32"/>
      <c r="P32"/>
      <c r="Q32"/>
      <c r="R32"/>
      <c r="S32"/>
      <c r="T32"/>
      <c r="U32"/>
      <c r="V32"/>
      <c r="W32"/>
      <c r="X32"/>
      <c r="Y32"/>
      <c r="Z32"/>
      <c r="AA32"/>
      <c r="AB32"/>
      <c r="AC32"/>
      <c r="AD32" s="304"/>
      <c r="AE32" s="377"/>
      <c r="AF32" s="304"/>
      <c r="AG32" s="304"/>
      <c r="AH32" s="304"/>
      <c r="AI32" s="304"/>
      <c r="AJ32" s="304"/>
      <c r="AK32" s="304"/>
      <c r="AL32" s="304"/>
      <c r="AM32" s="304"/>
      <c r="AN32" s="304"/>
      <c r="AO32" s="304"/>
      <c r="AP32" s="304"/>
      <c r="AQ32" s="304"/>
      <c r="AR32" s="304"/>
      <c r="AS32" s="304"/>
      <c r="AT32" s="304"/>
      <c r="AU32" s="304"/>
      <c r="AV32" s="304"/>
      <c r="AW32" s="304"/>
      <c r="AX32" s="304"/>
      <c r="AY32" s="304"/>
      <c r="AZ32" s="304"/>
    </row>
    <row r="33" spans="1:52" s="398" customFormat="1" ht="16.5" customHeight="1">
      <c r="A33" s="450"/>
      <c r="B33" s="451"/>
      <c r="C33" s="452"/>
      <c r="D33" s="397"/>
      <c r="E33" s="397"/>
      <c r="F33" s="397"/>
      <c r="G33" s="397"/>
      <c r="H33" s="397"/>
      <c r="I33" s="397"/>
      <c r="J33" s="397"/>
      <c r="K33" s="453"/>
      <c r="L33" s="454"/>
      <c r="M33" s="455"/>
      <c r="N33" s="456"/>
      <c r="O33" s="457"/>
      <c r="P33" s="457"/>
      <c r="Q33" s="457"/>
      <c r="R33" s="457"/>
      <c r="S33" s="457"/>
      <c r="T33" s="457"/>
      <c r="U33" s="457"/>
      <c r="V33" s="457"/>
      <c r="W33" s="457"/>
      <c r="X33" s="457"/>
      <c r="Y33" s="457"/>
      <c r="Z33" s="457"/>
      <c r="AA33" s="457"/>
      <c r="AB33" s="457"/>
      <c r="AC33" s="457"/>
      <c r="AD33" s="397"/>
      <c r="AE33" s="397"/>
      <c r="AF33" s="397"/>
      <c r="AG33" s="397"/>
      <c r="AH33" s="397"/>
      <c r="AI33" s="397"/>
      <c r="AJ33" s="397"/>
      <c r="AK33" s="397"/>
      <c r="AL33" s="397"/>
      <c r="AM33" s="397"/>
      <c r="AN33" s="397"/>
      <c r="AO33" s="397"/>
      <c r="AP33" s="397"/>
      <c r="AQ33" s="397"/>
      <c r="AR33" s="397"/>
      <c r="AS33" s="397"/>
      <c r="AT33" s="397"/>
      <c r="AU33" s="397"/>
      <c r="AV33" s="397"/>
      <c r="AW33" s="397"/>
      <c r="AX33" s="397"/>
      <c r="AY33" s="397"/>
      <c r="AZ33" s="397"/>
    </row>
    <row r="34" spans="1:52" s="690" customFormat="1" ht="13.9" customHeight="1"/>
    <row r="35" spans="1:52" s="690" customFormat="1" ht="13.9" customHeight="1"/>
    <row r="36" spans="1:52">
      <c r="A36" s="469"/>
      <c r="B36" s="469"/>
      <c r="C36" s="469"/>
      <c r="D36" s="469"/>
      <c r="E36" s="469"/>
      <c r="F36" s="470"/>
      <c r="G36" s="469"/>
      <c r="H36" s="469"/>
      <c r="I36" s="469"/>
      <c r="J36" s="469"/>
      <c r="K36" s="469"/>
      <c r="L36" s="469"/>
      <c r="M36" s="360"/>
      <c r="N36" s="360"/>
      <c r="O36" s="360"/>
      <c r="P36" s="360"/>
      <c r="Q36" s="360"/>
      <c r="R36" s="360"/>
      <c r="S36" s="360"/>
      <c r="T36" s="360"/>
      <c r="U36" s="360"/>
      <c r="V36" s="360"/>
      <c r="W36" s="360"/>
      <c r="X36" s="360"/>
      <c r="Y36" s="360"/>
      <c r="Z36" s="360"/>
      <c r="AA36" s="360"/>
      <c r="AB36" s="360"/>
      <c r="AC36" s="360"/>
      <c r="AD36" s="360"/>
      <c r="AE36" s="304"/>
      <c r="AF36" s="304"/>
      <c r="AG36" s="304"/>
      <c r="AH36" s="304"/>
      <c r="AI36" s="304"/>
      <c r="AJ36" s="304"/>
      <c r="AK36" s="304"/>
      <c r="AL36" s="304"/>
      <c r="AM36" s="304"/>
      <c r="AN36" s="304"/>
      <c r="AO36" s="304"/>
      <c r="AP36" s="304"/>
      <c r="AQ36" s="304"/>
      <c r="AR36" s="304"/>
      <c r="AS36" s="304"/>
      <c r="AT36" s="304"/>
      <c r="AU36" s="304"/>
      <c r="AV36" s="304"/>
      <c r="AW36" s="304"/>
      <c r="AX36" s="304"/>
      <c r="AY36" s="304"/>
      <c r="AZ36" s="304"/>
    </row>
    <row r="37" spans="1:52">
      <c r="A37" s="469"/>
      <c r="B37" s="469"/>
      <c r="C37" s="469"/>
      <c r="D37" s="469"/>
      <c r="E37" s="469"/>
      <c r="F37" s="470"/>
      <c r="G37" s="469"/>
      <c r="H37" s="469"/>
      <c r="I37" s="469"/>
      <c r="J37" s="469"/>
      <c r="K37" s="469"/>
      <c r="L37" s="469"/>
      <c r="M37" s="360"/>
      <c r="N37" s="360"/>
      <c r="O37" s="360"/>
      <c r="P37" s="360"/>
      <c r="Q37" s="360"/>
      <c r="R37" s="360"/>
      <c r="S37" s="360"/>
      <c r="T37" s="360"/>
      <c r="U37" s="360"/>
      <c r="V37" s="360"/>
      <c r="W37" s="360"/>
      <c r="X37" s="360"/>
      <c r="Y37" s="360"/>
      <c r="Z37" s="360"/>
      <c r="AA37" s="360"/>
      <c r="AB37" s="360"/>
      <c r="AC37" s="360"/>
      <c r="AD37" s="360"/>
      <c r="AE37" s="304"/>
      <c r="AF37" s="304"/>
      <c r="AG37" s="304"/>
      <c r="AH37" s="304"/>
      <c r="AI37" s="304"/>
      <c r="AJ37" s="304"/>
      <c r="AK37" s="304"/>
      <c r="AL37" s="304"/>
      <c r="AM37" s="304"/>
      <c r="AN37" s="304"/>
      <c r="AO37" s="304"/>
      <c r="AP37" s="304"/>
      <c r="AQ37" s="304"/>
      <c r="AR37" s="304"/>
      <c r="AS37" s="304"/>
      <c r="AT37" s="304"/>
      <c r="AU37" s="304"/>
      <c r="AV37" s="304"/>
      <c r="AW37" s="304"/>
      <c r="AX37" s="304"/>
      <c r="AY37" s="304"/>
      <c r="AZ37" s="304"/>
    </row>
    <row r="38" spans="1:52">
      <c r="A38" s="469"/>
      <c r="B38" s="469"/>
      <c r="C38" s="469"/>
      <c r="D38" s="469"/>
      <c r="E38" s="469"/>
      <c r="F38" s="470"/>
      <c r="G38" s="469"/>
      <c r="H38" s="469"/>
      <c r="I38" s="469"/>
      <c r="J38" s="469"/>
      <c r="K38" s="469"/>
      <c r="L38" s="469"/>
      <c r="M38" s="360"/>
      <c r="N38" s="360"/>
      <c r="O38" s="360"/>
      <c r="P38" s="360"/>
      <c r="Q38" s="360"/>
      <c r="R38" s="360"/>
      <c r="S38" s="360"/>
      <c r="T38" s="360"/>
      <c r="U38" s="360"/>
      <c r="V38" s="360"/>
      <c r="W38" s="360"/>
      <c r="X38" s="360"/>
      <c r="Y38" s="360"/>
      <c r="Z38" s="360"/>
      <c r="AA38" s="360"/>
      <c r="AB38" s="360"/>
      <c r="AC38" s="360"/>
      <c r="AD38" s="360"/>
      <c r="AE38" s="304"/>
      <c r="AF38" s="304"/>
      <c r="AG38" s="304"/>
      <c r="AH38" s="304"/>
      <c r="AI38" s="304"/>
      <c r="AJ38" s="304"/>
      <c r="AK38" s="304"/>
      <c r="AL38" s="304"/>
      <c r="AM38" s="304"/>
      <c r="AN38" s="304"/>
      <c r="AO38" s="304"/>
      <c r="AP38" s="304"/>
      <c r="AQ38" s="304"/>
      <c r="AR38" s="304"/>
      <c r="AS38" s="304"/>
      <c r="AT38" s="304"/>
      <c r="AU38" s="304"/>
      <c r="AV38" s="304"/>
      <c r="AW38" s="304"/>
      <c r="AX38" s="304"/>
      <c r="AY38" s="304"/>
      <c r="AZ38" s="304"/>
    </row>
    <row r="39" spans="1:52">
      <c r="A39" s="469"/>
      <c r="B39" s="469"/>
      <c r="C39" s="469"/>
      <c r="D39" s="469"/>
      <c r="E39" s="469"/>
      <c r="F39" s="470"/>
      <c r="G39" s="469"/>
      <c r="H39" s="469"/>
      <c r="I39" s="469"/>
      <c r="J39" s="469"/>
      <c r="K39" s="469"/>
      <c r="L39" s="469"/>
      <c r="M39" s="360"/>
      <c r="N39" s="360"/>
      <c r="O39" s="360"/>
      <c r="P39" s="360"/>
      <c r="Q39" s="360"/>
      <c r="R39" s="360"/>
      <c r="S39" s="360"/>
      <c r="T39" s="360"/>
      <c r="U39" s="360"/>
      <c r="V39" s="360"/>
      <c r="W39" s="360"/>
      <c r="X39" s="360"/>
      <c r="Y39" s="360"/>
      <c r="Z39" s="360"/>
      <c r="AA39" s="360"/>
      <c r="AB39" s="360"/>
      <c r="AC39" s="360"/>
      <c r="AD39" s="360"/>
      <c r="AE39" s="304"/>
      <c r="AF39" s="304"/>
      <c r="AG39" s="304"/>
      <c r="AH39" s="304"/>
      <c r="AI39" s="304"/>
      <c r="AJ39" s="304"/>
      <c r="AK39" s="304"/>
      <c r="AL39" s="304"/>
      <c r="AM39" s="304"/>
      <c r="AN39" s="304"/>
      <c r="AO39" s="304"/>
      <c r="AP39" s="304"/>
      <c r="AQ39" s="304"/>
      <c r="AR39" s="304"/>
      <c r="AS39" s="304"/>
      <c r="AT39" s="304"/>
      <c r="AU39" s="304"/>
      <c r="AV39" s="304"/>
      <c r="AW39" s="304"/>
      <c r="AX39" s="304"/>
      <c r="AY39" s="304"/>
      <c r="AZ39" s="304"/>
    </row>
    <row r="40" spans="1:52">
      <c r="A40" s="469"/>
      <c r="B40" s="469"/>
      <c r="C40" s="469"/>
      <c r="D40" s="469"/>
      <c r="E40" s="469"/>
      <c r="F40" s="470"/>
      <c r="G40" s="469"/>
      <c r="H40" s="469"/>
      <c r="I40" s="469"/>
      <c r="J40" s="469"/>
      <c r="K40" s="469"/>
      <c r="L40" s="469"/>
      <c r="M40" s="360"/>
      <c r="N40" s="360"/>
      <c r="O40" s="360"/>
      <c r="P40" s="360"/>
      <c r="Q40" s="360"/>
      <c r="R40" s="360"/>
      <c r="S40" s="360"/>
      <c r="T40" s="360"/>
      <c r="U40" s="360"/>
      <c r="V40" s="360"/>
      <c r="W40" s="360"/>
      <c r="X40" s="360"/>
      <c r="Y40" s="360"/>
      <c r="Z40" s="360"/>
      <c r="AA40" s="360"/>
      <c r="AB40" s="360"/>
      <c r="AC40" s="360"/>
      <c r="AD40" s="360"/>
      <c r="AE40" s="304"/>
      <c r="AF40" s="304"/>
      <c r="AG40" s="304"/>
      <c r="AH40" s="304"/>
      <c r="AI40" s="304"/>
      <c r="AJ40" s="304"/>
      <c r="AK40" s="304"/>
      <c r="AL40" s="304"/>
      <c r="AM40" s="304"/>
      <c r="AN40" s="304"/>
      <c r="AO40" s="304"/>
      <c r="AP40" s="304"/>
      <c r="AQ40" s="304"/>
      <c r="AR40" s="304"/>
      <c r="AS40" s="304"/>
      <c r="AT40" s="304"/>
      <c r="AU40" s="304"/>
      <c r="AV40" s="304"/>
      <c r="AW40" s="304"/>
      <c r="AX40" s="304"/>
      <c r="AY40" s="304"/>
      <c r="AZ40" s="304"/>
    </row>
    <row r="41" spans="1:52">
      <c r="A41" s="469"/>
      <c r="B41" s="469"/>
      <c r="C41" s="469"/>
      <c r="D41" s="469"/>
      <c r="E41" s="469"/>
      <c r="F41" s="470"/>
      <c r="G41" s="469"/>
      <c r="H41" s="469"/>
      <c r="I41" s="469"/>
      <c r="J41" s="469"/>
      <c r="K41" s="469"/>
      <c r="L41" s="469"/>
      <c r="M41" s="360"/>
      <c r="N41" s="360"/>
      <c r="O41" s="360"/>
      <c r="P41" s="360"/>
      <c r="Q41" s="360"/>
      <c r="R41" s="360"/>
      <c r="S41" s="360"/>
      <c r="T41" s="360"/>
      <c r="U41" s="360"/>
      <c r="V41" s="360"/>
      <c r="W41" s="360"/>
      <c r="X41" s="360"/>
      <c r="Y41" s="360"/>
      <c r="Z41" s="360"/>
      <c r="AA41" s="360"/>
      <c r="AB41" s="360"/>
      <c r="AC41" s="360"/>
      <c r="AD41" s="360"/>
      <c r="AE41" s="304"/>
      <c r="AF41" s="304"/>
      <c r="AG41" s="304"/>
      <c r="AH41" s="304"/>
      <c r="AI41" s="304"/>
      <c r="AJ41" s="304"/>
      <c r="AK41" s="304"/>
      <c r="AL41" s="304"/>
      <c r="AM41" s="304"/>
      <c r="AN41" s="304"/>
      <c r="AO41" s="304"/>
      <c r="AP41" s="304"/>
      <c r="AQ41" s="304"/>
      <c r="AR41" s="304"/>
      <c r="AS41" s="304"/>
      <c r="AT41" s="304"/>
      <c r="AU41" s="304"/>
      <c r="AV41" s="304"/>
      <c r="AW41" s="304"/>
      <c r="AX41" s="304"/>
      <c r="AY41" s="304"/>
      <c r="AZ41" s="304"/>
    </row>
    <row r="42" spans="1:52">
      <c r="A42" s="469"/>
      <c r="B42" s="469"/>
      <c r="C42" s="469"/>
      <c r="D42" s="469"/>
      <c r="E42" s="469"/>
      <c r="F42" s="470"/>
      <c r="G42" s="469"/>
      <c r="H42" s="469"/>
      <c r="I42" s="469"/>
      <c r="J42" s="469"/>
      <c r="K42" s="469"/>
      <c r="L42" s="469"/>
      <c r="M42" s="360"/>
      <c r="N42" s="360"/>
      <c r="O42" s="360"/>
      <c r="P42" s="360"/>
      <c r="Q42" s="360"/>
      <c r="R42" s="360"/>
      <c r="S42" s="360"/>
      <c r="T42" s="360"/>
      <c r="U42" s="360"/>
      <c r="V42" s="360"/>
      <c r="W42" s="360"/>
      <c r="X42" s="360"/>
      <c r="Y42" s="360"/>
      <c r="Z42" s="360"/>
      <c r="AA42" s="360"/>
      <c r="AB42" s="360"/>
      <c r="AC42" s="360"/>
      <c r="AD42" s="360"/>
      <c r="AE42" s="304"/>
      <c r="AF42" s="304"/>
      <c r="AG42" s="304"/>
      <c r="AH42" s="304"/>
      <c r="AI42" s="304"/>
      <c r="AJ42" s="304"/>
      <c r="AK42" s="304"/>
      <c r="AL42" s="304"/>
      <c r="AM42" s="304"/>
      <c r="AN42" s="304"/>
      <c r="AO42" s="304"/>
      <c r="AP42" s="304"/>
      <c r="AQ42" s="304"/>
      <c r="AR42" s="304"/>
      <c r="AS42" s="304"/>
      <c r="AT42" s="304"/>
      <c r="AU42" s="304"/>
      <c r="AV42" s="304"/>
      <c r="AW42" s="304"/>
      <c r="AX42" s="304"/>
      <c r="AY42" s="304"/>
      <c r="AZ42" s="304"/>
    </row>
    <row r="43" spans="1:52">
      <c r="A43" s="469"/>
      <c r="B43" s="469"/>
      <c r="C43" s="469"/>
      <c r="D43" s="469"/>
      <c r="E43" s="469"/>
      <c r="F43" s="470"/>
      <c r="G43" s="469"/>
      <c r="H43" s="469"/>
      <c r="I43" s="469"/>
      <c r="J43" s="469"/>
      <c r="K43" s="469"/>
      <c r="L43" s="469"/>
      <c r="M43" s="360"/>
      <c r="N43" s="360"/>
      <c r="O43" s="360"/>
      <c r="P43" s="360"/>
      <c r="Q43" s="360"/>
      <c r="R43" s="360"/>
      <c r="S43" s="360"/>
      <c r="T43" s="360"/>
      <c r="U43" s="360"/>
      <c r="V43" s="360"/>
      <c r="W43" s="360"/>
      <c r="X43" s="360"/>
      <c r="Y43" s="360"/>
      <c r="Z43" s="360"/>
      <c r="AA43" s="360"/>
      <c r="AB43" s="360"/>
      <c r="AC43" s="360"/>
      <c r="AD43" s="360"/>
      <c r="AE43" s="304"/>
      <c r="AF43" s="304"/>
      <c r="AG43" s="304"/>
      <c r="AH43" s="304"/>
      <c r="AI43" s="304"/>
      <c r="AJ43" s="304"/>
      <c r="AK43" s="304"/>
      <c r="AL43" s="304"/>
      <c r="AM43" s="304"/>
      <c r="AN43" s="304"/>
      <c r="AO43" s="304"/>
      <c r="AP43" s="304"/>
      <c r="AQ43" s="304"/>
      <c r="AR43" s="304"/>
      <c r="AS43" s="304"/>
      <c r="AT43" s="304"/>
      <c r="AU43" s="304"/>
      <c r="AV43" s="304"/>
      <c r="AW43" s="304"/>
      <c r="AX43" s="304"/>
      <c r="AY43" s="304"/>
      <c r="AZ43" s="304"/>
    </row>
    <row r="44" spans="1:52">
      <c r="A44" s="469"/>
      <c r="B44" s="469"/>
      <c r="C44" s="469"/>
      <c r="D44" s="469"/>
      <c r="E44" s="469"/>
      <c r="F44" s="470"/>
      <c r="G44" s="469"/>
      <c r="H44" s="469"/>
      <c r="I44" s="469"/>
      <c r="J44" s="469"/>
      <c r="K44" s="469"/>
      <c r="L44" s="469"/>
      <c r="M44" s="360"/>
      <c r="N44" s="360"/>
      <c r="O44" s="360"/>
      <c r="P44" s="360"/>
      <c r="Q44" s="360"/>
      <c r="R44" s="360"/>
      <c r="S44" s="360"/>
      <c r="T44" s="360"/>
      <c r="U44" s="360"/>
      <c r="V44" s="360"/>
      <c r="W44" s="360"/>
      <c r="X44" s="360"/>
      <c r="Y44" s="360"/>
      <c r="Z44" s="360"/>
      <c r="AA44" s="360"/>
      <c r="AB44" s="360"/>
      <c r="AC44" s="360"/>
      <c r="AD44" s="360"/>
      <c r="AE44" s="304"/>
      <c r="AF44" s="304"/>
      <c r="AG44" s="304"/>
      <c r="AH44" s="304"/>
      <c r="AI44" s="304"/>
      <c r="AJ44" s="304"/>
      <c r="AK44" s="304"/>
      <c r="AL44" s="304"/>
      <c r="AM44" s="304"/>
      <c r="AN44" s="304"/>
      <c r="AO44" s="304"/>
      <c r="AP44" s="304"/>
      <c r="AQ44" s="304"/>
      <c r="AR44" s="304"/>
      <c r="AS44" s="304"/>
      <c r="AT44" s="304"/>
      <c r="AU44" s="304"/>
      <c r="AV44" s="304"/>
      <c r="AW44" s="304"/>
      <c r="AX44" s="304"/>
      <c r="AY44" s="304"/>
      <c r="AZ44" s="304"/>
    </row>
    <row r="45" spans="1:52">
      <c r="A45" s="469"/>
      <c r="B45" s="469"/>
      <c r="C45" s="469"/>
      <c r="D45" s="469"/>
      <c r="E45" s="469"/>
      <c r="F45" s="470"/>
      <c r="G45" s="469"/>
      <c r="H45" s="469"/>
      <c r="I45" s="469"/>
      <c r="J45" s="469"/>
      <c r="K45" s="469"/>
      <c r="L45" s="469"/>
      <c r="M45" s="360"/>
      <c r="N45" s="360"/>
      <c r="O45" s="360"/>
      <c r="P45" s="360"/>
      <c r="Q45" s="360"/>
      <c r="R45" s="360"/>
      <c r="S45" s="360"/>
      <c r="T45" s="360"/>
      <c r="U45" s="360"/>
      <c r="V45" s="360"/>
      <c r="W45" s="360"/>
      <c r="X45" s="360"/>
      <c r="Y45" s="360"/>
      <c r="Z45" s="360"/>
      <c r="AA45" s="360"/>
      <c r="AB45" s="360"/>
      <c r="AC45" s="360"/>
      <c r="AD45" s="360"/>
      <c r="AE45" s="304"/>
      <c r="AF45" s="304"/>
      <c r="AG45" s="304"/>
      <c r="AH45" s="304"/>
      <c r="AI45" s="304"/>
      <c r="AJ45" s="304"/>
      <c r="AK45" s="304"/>
      <c r="AL45" s="304"/>
      <c r="AM45" s="304"/>
      <c r="AN45" s="304"/>
      <c r="AO45" s="304"/>
      <c r="AP45" s="304"/>
      <c r="AQ45" s="304"/>
      <c r="AR45" s="304"/>
      <c r="AS45" s="304"/>
      <c r="AT45" s="304"/>
      <c r="AU45" s="304"/>
      <c r="AV45" s="304"/>
      <c r="AW45" s="304"/>
      <c r="AX45" s="304"/>
      <c r="AY45" s="304"/>
      <c r="AZ45" s="304"/>
    </row>
    <row r="46" spans="1:52">
      <c r="A46" s="469"/>
      <c r="B46" s="469"/>
      <c r="C46" s="469"/>
      <c r="D46" s="469"/>
      <c r="E46" s="469"/>
      <c r="F46" s="470"/>
      <c r="G46" s="469"/>
      <c r="H46" s="469"/>
      <c r="I46" s="469"/>
      <c r="J46" s="469"/>
      <c r="K46" s="469"/>
      <c r="L46" s="469"/>
      <c r="M46" s="360"/>
      <c r="N46" s="360"/>
      <c r="O46" s="360"/>
      <c r="P46" s="360"/>
      <c r="Q46" s="360"/>
      <c r="R46" s="360"/>
      <c r="S46" s="360"/>
      <c r="T46" s="360"/>
      <c r="U46" s="360"/>
      <c r="V46" s="360"/>
      <c r="W46" s="360"/>
      <c r="X46" s="360"/>
      <c r="Y46" s="360"/>
      <c r="Z46" s="360"/>
      <c r="AA46" s="360"/>
      <c r="AB46" s="360"/>
      <c r="AC46" s="360"/>
      <c r="AD46" s="360"/>
      <c r="AE46" s="304"/>
      <c r="AF46" s="304"/>
      <c r="AG46" s="304"/>
      <c r="AH46" s="304"/>
      <c r="AI46" s="304"/>
      <c r="AJ46" s="304"/>
      <c r="AK46" s="304"/>
      <c r="AL46" s="304"/>
      <c r="AM46" s="304"/>
      <c r="AN46" s="304"/>
      <c r="AO46" s="304"/>
      <c r="AP46" s="304"/>
      <c r="AQ46" s="304"/>
      <c r="AR46" s="304"/>
      <c r="AS46" s="304"/>
      <c r="AT46" s="304"/>
      <c r="AU46" s="304"/>
      <c r="AV46" s="304"/>
      <c r="AW46" s="304"/>
      <c r="AX46" s="304"/>
      <c r="AY46" s="304"/>
      <c r="AZ46" s="304"/>
    </row>
    <row r="47" spans="1:52">
      <c r="A47" s="469"/>
      <c r="B47" s="469"/>
      <c r="C47" s="469"/>
      <c r="D47" s="469"/>
      <c r="E47" s="469"/>
      <c r="F47" s="469"/>
      <c r="G47" s="469"/>
      <c r="H47" s="469"/>
      <c r="I47" s="469"/>
      <c r="J47" s="469"/>
      <c r="K47" s="469"/>
      <c r="L47" s="469"/>
      <c r="M47" s="360"/>
      <c r="N47" s="360"/>
      <c r="O47" s="360"/>
      <c r="P47" s="360"/>
      <c r="Q47" s="360"/>
      <c r="R47" s="360"/>
      <c r="S47" s="360"/>
      <c r="T47" s="360"/>
      <c r="U47" s="360"/>
      <c r="V47" s="360"/>
      <c r="W47" s="360"/>
      <c r="X47" s="360"/>
      <c r="Y47" s="360"/>
      <c r="Z47" s="360"/>
      <c r="AA47" s="360"/>
      <c r="AB47" s="360"/>
      <c r="AC47" s="360"/>
      <c r="AD47" s="360"/>
      <c r="AE47" s="304"/>
      <c r="AF47" s="304"/>
      <c r="AG47" s="304"/>
      <c r="AH47" s="304"/>
      <c r="AI47" s="304"/>
      <c r="AJ47" s="304"/>
      <c r="AK47" s="304"/>
      <c r="AL47" s="304"/>
      <c r="AM47" s="304"/>
      <c r="AN47" s="304"/>
      <c r="AO47" s="304"/>
      <c r="AP47" s="304"/>
      <c r="AQ47" s="304"/>
      <c r="AR47" s="304"/>
      <c r="AS47" s="304"/>
      <c r="AT47" s="304"/>
      <c r="AU47" s="304"/>
      <c r="AV47" s="304"/>
      <c r="AW47" s="304"/>
      <c r="AX47" s="304"/>
      <c r="AY47" s="304"/>
      <c r="AZ47" s="304"/>
    </row>
    <row r="48" spans="1:52">
      <c r="A48" s="469"/>
      <c r="B48" s="469"/>
      <c r="C48" s="469"/>
      <c r="D48" s="469"/>
      <c r="E48" s="469"/>
      <c r="F48" s="469"/>
      <c r="G48" s="469"/>
      <c r="H48" s="469"/>
      <c r="I48" s="469"/>
      <c r="J48" s="469"/>
      <c r="K48" s="469"/>
      <c r="L48" s="469"/>
      <c r="M48" s="360"/>
      <c r="N48" s="360"/>
      <c r="O48" s="360"/>
      <c r="P48" s="360"/>
      <c r="Q48" s="360"/>
      <c r="R48" s="360"/>
      <c r="S48" s="360"/>
      <c r="T48" s="360"/>
      <c r="U48" s="360"/>
      <c r="V48" s="360"/>
      <c r="W48" s="360"/>
      <c r="X48" s="360"/>
      <c r="Y48" s="360"/>
      <c r="Z48" s="360"/>
      <c r="AA48" s="360"/>
      <c r="AB48" s="360"/>
      <c r="AC48" s="360"/>
      <c r="AD48" s="360"/>
      <c r="AE48" s="304"/>
      <c r="AF48" s="304"/>
      <c r="AG48" s="304"/>
      <c r="AH48" s="304"/>
      <c r="AI48" s="304"/>
      <c r="AJ48" s="304"/>
      <c r="AK48" s="304"/>
      <c r="AL48" s="304"/>
      <c r="AM48" s="304"/>
      <c r="AN48" s="304"/>
      <c r="AO48" s="304"/>
      <c r="AP48" s="304"/>
      <c r="AQ48" s="304"/>
      <c r="AR48" s="304"/>
      <c r="AS48" s="304"/>
      <c r="AT48" s="304"/>
      <c r="AU48" s="304"/>
      <c r="AV48" s="304"/>
      <c r="AW48" s="304"/>
      <c r="AX48" s="304"/>
      <c r="AY48" s="304"/>
      <c r="AZ48" s="304"/>
    </row>
    <row r="49" spans="1:52">
      <c r="A49" s="469"/>
      <c r="B49" s="469"/>
      <c r="C49" s="469"/>
      <c r="D49" s="469"/>
      <c r="E49" s="469"/>
      <c r="F49" s="469"/>
      <c r="G49" s="469"/>
      <c r="H49" s="469"/>
      <c r="I49" s="469"/>
      <c r="J49" s="469"/>
      <c r="K49" s="469"/>
      <c r="L49" s="469"/>
      <c r="M49" s="360"/>
      <c r="N49" s="360"/>
      <c r="O49" s="360"/>
      <c r="P49" s="360"/>
      <c r="Q49" s="360"/>
      <c r="R49" s="360"/>
      <c r="S49" s="360"/>
      <c r="T49" s="360"/>
      <c r="U49" s="360"/>
      <c r="V49" s="360"/>
      <c r="W49" s="360"/>
      <c r="X49" s="360"/>
      <c r="Y49" s="360"/>
      <c r="Z49" s="360"/>
      <c r="AA49" s="360"/>
      <c r="AB49" s="360"/>
      <c r="AC49" s="360"/>
      <c r="AD49" s="360"/>
      <c r="AE49" s="304"/>
      <c r="AF49" s="304"/>
      <c r="AG49" s="304"/>
      <c r="AH49" s="304"/>
      <c r="AI49" s="304"/>
      <c r="AJ49" s="304"/>
      <c r="AK49" s="304"/>
      <c r="AL49" s="304"/>
      <c r="AM49" s="304"/>
      <c r="AN49" s="304"/>
      <c r="AO49" s="304"/>
      <c r="AP49" s="304"/>
      <c r="AQ49" s="304"/>
      <c r="AR49" s="304"/>
      <c r="AS49" s="304"/>
      <c r="AT49" s="304"/>
      <c r="AU49" s="304"/>
      <c r="AV49" s="304"/>
      <c r="AW49" s="304"/>
      <c r="AX49" s="304"/>
      <c r="AY49" s="304"/>
      <c r="AZ49" s="304"/>
    </row>
    <row r="50" spans="1:52">
      <c r="A50" s="469"/>
      <c r="B50" s="469"/>
      <c r="C50" s="469"/>
      <c r="D50" s="469"/>
      <c r="E50" s="469"/>
      <c r="F50" s="469"/>
      <c r="G50" s="469"/>
      <c r="H50" s="469"/>
      <c r="I50" s="469"/>
      <c r="J50" s="469"/>
      <c r="K50" s="469"/>
      <c r="L50" s="469"/>
      <c r="M50" s="360"/>
      <c r="N50" s="360"/>
      <c r="O50" s="360"/>
      <c r="P50" s="360"/>
      <c r="Q50" s="360"/>
      <c r="R50" s="360"/>
      <c r="S50" s="360"/>
      <c r="T50" s="360"/>
      <c r="U50" s="360"/>
      <c r="V50" s="360"/>
      <c r="W50" s="360"/>
      <c r="X50" s="360"/>
      <c r="Y50" s="360"/>
      <c r="Z50" s="360"/>
      <c r="AA50" s="360"/>
      <c r="AB50" s="360"/>
      <c r="AC50" s="360"/>
      <c r="AD50" s="360"/>
      <c r="AE50" s="304"/>
      <c r="AF50" s="304"/>
      <c r="AG50" s="304"/>
      <c r="AH50" s="304"/>
      <c r="AI50" s="304"/>
      <c r="AJ50" s="304"/>
      <c r="AK50" s="304"/>
      <c r="AL50" s="304"/>
      <c r="AM50" s="304"/>
      <c r="AN50" s="304"/>
      <c r="AO50" s="304"/>
      <c r="AP50" s="304"/>
      <c r="AQ50" s="304"/>
      <c r="AR50" s="304"/>
      <c r="AS50" s="304"/>
      <c r="AT50" s="304"/>
      <c r="AU50" s="304"/>
      <c r="AV50" s="304"/>
      <c r="AW50" s="304"/>
      <c r="AX50" s="304"/>
      <c r="AY50" s="304"/>
      <c r="AZ50" s="304"/>
    </row>
    <row r="51" spans="1:52">
      <c r="A51" s="469"/>
      <c r="B51" s="469"/>
      <c r="C51" s="469"/>
      <c r="D51" s="469"/>
      <c r="E51" s="469"/>
      <c r="F51" s="469"/>
      <c r="G51" s="469"/>
      <c r="H51" s="469"/>
      <c r="I51" s="469"/>
      <c r="J51" s="469"/>
      <c r="K51" s="469"/>
      <c r="L51" s="469"/>
      <c r="M51" s="360"/>
      <c r="N51" s="360"/>
      <c r="O51" s="360"/>
      <c r="P51" s="360"/>
      <c r="Q51" s="360"/>
      <c r="R51" s="360"/>
      <c r="S51" s="360"/>
      <c r="T51" s="360"/>
      <c r="U51" s="360"/>
      <c r="V51" s="360"/>
      <c r="W51" s="360"/>
      <c r="X51" s="360"/>
      <c r="Y51" s="360"/>
      <c r="Z51" s="360"/>
      <c r="AA51" s="360"/>
      <c r="AB51" s="360"/>
      <c r="AC51" s="360"/>
      <c r="AD51" s="360"/>
      <c r="AE51" s="304"/>
      <c r="AF51" s="304"/>
      <c r="AG51" s="304"/>
      <c r="AH51" s="304"/>
      <c r="AI51" s="304"/>
      <c r="AJ51" s="304"/>
      <c r="AK51" s="304"/>
      <c r="AL51" s="304"/>
      <c r="AM51" s="304"/>
      <c r="AN51" s="304"/>
      <c r="AO51" s="304"/>
      <c r="AP51" s="304"/>
      <c r="AQ51" s="304"/>
      <c r="AR51" s="304"/>
      <c r="AS51" s="304"/>
      <c r="AT51" s="304"/>
      <c r="AU51" s="304"/>
      <c r="AV51" s="304"/>
      <c r="AW51" s="304"/>
      <c r="AX51" s="304"/>
      <c r="AY51" s="304"/>
      <c r="AZ51" s="304"/>
    </row>
    <row r="52" spans="1:52">
      <c r="A52" s="469"/>
      <c r="B52" s="469"/>
      <c r="C52" s="469"/>
      <c r="D52" s="469"/>
      <c r="E52" s="469"/>
      <c r="F52" s="469"/>
      <c r="G52" s="469"/>
      <c r="H52" s="469"/>
      <c r="I52" s="469"/>
      <c r="J52" s="469"/>
      <c r="K52" s="469"/>
      <c r="L52" s="469"/>
      <c r="M52" s="360"/>
      <c r="N52" s="360"/>
      <c r="O52" s="360"/>
      <c r="P52" s="360"/>
      <c r="Q52" s="360"/>
      <c r="R52" s="360"/>
      <c r="S52" s="360"/>
      <c r="T52" s="360"/>
      <c r="U52" s="360"/>
      <c r="V52" s="360"/>
      <c r="W52" s="360"/>
      <c r="X52" s="360"/>
      <c r="Y52" s="360"/>
      <c r="Z52" s="360"/>
      <c r="AA52" s="360"/>
      <c r="AB52" s="360"/>
      <c r="AC52" s="360"/>
      <c r="AD52" s="360"/>
      <c r="AE52" s="304"/>
      <c r="AF52" s="304"/>
      <c r="AG52" s="304"/>
      <c r="AH52" s="304"/>
      <c r="AI52" s="304"/>
      <c r="AJ52" s="304"/>
      <c r="AK52" s="304"/>
      <c r="AL52" s="304"/>
      <c r="AM52" s="304"/>
      <c r="AN52" s="304"/>
      <c r="AO52" s="304"/>
      <c r="AP52" s="304"/>
      <c r="AQ52" s="304"/>
      <c r="AR52" s="304"/>
      <c r="AS52" s="304"/>
      <c r="AT52" s="304"/>
      <c r="AU52" s="304"/>
      <c r="AV52" s="304"/>
      <c r="AW52" s="304"/>
      <c r="AX52" s="304"/>
      <c r="AY52" s="304"/>
      <c r="AZ52" s="304"/>
    </row>
    <row r="53" spans="1:52">
      <c r="A53" s="469"/>
      <c r="B53" s="469"/>
      <c r="C53" s="469"/>
      <c r="D53" s="469"/>
      <c r="E53" s="469"/>
      <c r="F53" s="469"/>
      <c r="G53" s="469"/>
      <c r="H53" s="469"/>
      <c r="I53" s="469"/>
      <c r="J53" s="469"/>
      <c r="K53" s="469"/>
      <c r="L53" s="469"/>
      <c r="M53" s="360"/>
      <c r="N53" s="360"/>
      <c r="O53" s="360"/>
      <c r="P53" s="360"/>
      <c r="Q53" s="360"/>
      <c r="R53" s="360"/>
      <c r="S53" s="360"/>
      <c r="T53" s="360"/>
      <c r="U53" s="360"/>
      <c r="V53" s="360"/>
      <c r="W53" s="360"/>
      <c r="X53" s="360"/>
      <c r="Y53" s="360"/>
      <c r="Z53" s="360"/>
      <c r="AA53" s="360"/>
      <c r="AB53" s="360"/>
      <c r="AC53" s="360"/>
      <c r="AD53" s="360"/>
      <c r="AE53" s="304"/>
      <c r="AF53" s="304"/>
      <c r="AG53" s="304"/>
      <c r="AH53" s="304"/>
      <c r="AI53" s="304"/>
      <c r="AJ53" s="304"/>
      <c r="AK53" s="304"/>
      <c r="AL53" s="304"/>
      <c r="AM53" s="304"/>
      <c r="AN53" s="304"/>
      <c r="AO53" s="304"/>
      <c r="AP53" s="304"/>
      <c r="AQ53" s="304"/>
      <c r="AR53" s="304"/>
      <c r="AS53" s="304"/>
      <c r="AT53" s="304"/>
      <c r="AU53" s="304"/>
      <c r="AV53" s="304"/>
      <c r="AW53" s="304"/>
      <c r="AX53" s="304"/>
      <c r="AY53" s="304"/>
      <c r="AZ53" s="304"/>
    </row>
    <row r="54" spans="1:52">
      <c r="A54" s="469"/>
      <c r="B54" s="469"/>
      <c r="C54" s="469"/>
      <c r="D54" s="469"/>
      <c r="E54" s="469"/>
      <c r="F54" s="469"/>
      <c r="G54" s="469"/>
      <c r="H54" s="469"/>
      <c r="I54" s="469"/>
      <c r="J54" s="469"/>
      <c r="K54" s="469"/>
      <c r="L54" s="469"/>
      <c r="M54" s="360"/>
      <c r="N54" s="360"/>
      <c r="O54" s="360"/>
      <c r="P54" s="360"/>
      <c r="Q54" s="360"/>
      <c r="R54" s="360"/>
      <c r="S54" s="360"/>
      <c r="T54" s="360"/>
      <c r="U54" s="360"/>
      <c r="V54" s="360"/>
      <c r="W54" s="360"/>
      <c r="X54" s="360"/>
      <c r="Y54" s="360"/>
      <c r="Z54" s="360"/>
      <c r="AA54" s="360"/>
      <c r="AB54" s="360"/>
      <c r="AC54" s="360"/>
      <c r="AD54" s="360"/>
      <c r="AE54" s="304"/>
      <c r="AF54" s="304"/>
      <c r="AG54" s="304"/>
      <c r="AH54" s="304"/>
      <c r="AI54" s="304"/>
      <c r="AJ54" s="304"/>
      <c r="AK54" s="304"/>
      <c r="AL54" s="304"/>
      <c r="AM54" s="304"/>
      <c r="AN54" s="304"/>
      <c r="AO54" s="304"/>
      <c r="AP54" s="304"/>
      <c r="AQ54" s="304"/>
      <c r="AR54" s="304"/>
      <c r="AS54" s="304"/>
      <c r="AT54" s="304"/>
      <c r="AU54" s="304"/>
      <c r="AV54" s="304"/>
      <c r="AW54" s="304"/>
      <c r="AX54" s="304"/>
      <c r="AY54" s="304"/>
      <c r="AZ54" s="304"/>
    </row>
    <row r="55" spans="1:52">
      <c r="A55" s="469"/>
      <c r="B55" s="469"/>
      <c r="C55" s="469"/>
      <c r="D55" s="469"/>
      <c r="E55" s="469"/>
      <c r="F55" s="469"/>
      <c r="G55" s="469"/>
      <c r="H55" s="469"/>
      <c r="I55" s="469"/>
      <c r="J55" s="469"/>
      <c r="K55" s="469"/>
      <c r="L55" s="469"/>
      <c r="M55" s="360"/>
      <c r="N55" s="360"/>
      <c r="O55" s="360"/>
      <c r="P55" s="360"/>
      <c r="Q55" s="360"/>
      <c r="R55" s="360"/>
      <c r="S55" s="360"/>
      <c r="T55" s="360"/>
      <c r="U55" s="360"/>
      <c r="V55" s="360"/>
      <c r="W55" s="360"/>
      <c r="X55" s="360"/>
      <c r="Y55" s="360"/>
      <c r="Z55" s="360"/>
      <c r="AA55" s="360"/>
      <c r="AB55" s="360"/>
      <c r="AC55" s="360"/>
      <c r="AD55" s="360"/>
      <c r="AE55" s="304"/>
      <c r="AF55" s="304"/>
      <c r="AG55" s="304"/>
      <c r="AH55" s="304"/>
      <c r="AI55" s="304"/>
      <c r="AJ55" s="304"/>
      <c r="AK55" s="304"/>
      <c r="AL55" s="304"/>
      <c r="AM55" s="304"/>
      <c r="AN55" s="304"/>
      <c r="AO55" s="304"/>
      <c r="AP55" s="304"/>
      <c r="AQ55" s="304"/>
      <c r="AR55" s="304"/>
      <c r="AS55" s="304"/>
      <c r="AT55" s="304"/>
      <c r="AU55" s="304"/>
      <c r="AV55" s="304"/>
      <c r="AW55" s="304"/>
      <c r="AX55" s="304"/>
      <c r="AY55" s="304"/>
      <c r="AZ55" s="304"/>
    </row>
    <row r="56" spans="1:52">
      <c r="A56" s="469"/>
      <c r="B56" s="469"/>
      <c r="C56" s="469"/>
      <c r="D56" s="469"/>
      <c r="E56" s="469"/>
      <c r="F56" s="469"/>
      <c r="G56" s="469"/>
      <c r="H56" s="469"/>
      <c r="I56" s="469"/>
      <c r="J56" s="469"/>
      <c r="K56" s="469"/>
      <c r="L56" s="469"/>
      <c r="M56" s="360"/>
      <c r="N56" s="360"/>
      <c r="O56" s="360"/>
      <c r="P56" s="360"/>
      <c r="Q56" s="360"/>
      <c r="R56" s="360"/>
      <c r="S56" s="360"/>
      <c r="T56" s="360"/>
      <c r="U56" s="360"/>
      <c r="V56" s="360"/>
      <c r="W56" s="360"/>
      <c r="X56" s="360"/>
      <c r="Y56" s="360"/>
      <c r="Z56" s="360"/>
      <c r="AA56" s="360"/>
      <c r="AB56" s="360"/>
      <c r="AC56" s="360"/>
      <c r="AD56" s="360"/>
      <c r="AE56" s="304"/>
      <c r="AF56" s="304"/>
      <c r="AG56" s="304"/>
      <c r="AH56" s="304"/>
      <c r="AI56" s="304"/>
      <c r="AJ56" s="304"/>
      <c r="AK56" s="304"/>
      <c r="AL56" s="304"/>
      <c r="AM56" s="304"/>
      <c r="AN56" s="304"/>
      <c r="AO56" s="304"/>
      <c r="AP56" s="304"/>
      <c r="AQ56" s="304"/>
      <c r="AR56" s="304"/>
      <c r="AS56" s="304"/>
      <c r="AT56" s="304"/>
      <c r="AU56" s="304"/>
      <c r="AV56" s="304"/>
      <c r="AW56" s="304"/>
      <c r="AX56" s="304"/>
      <c r="AY56" s="304"/>
      <c r="AZ56" s="304"/>
    </row>
    <row r="57" spans="1:52">
      <c r="A57" s="469"/>
      <c r="B57" s="469"/>
      <c r="C57" s="469"/>
      <c r="D57" s="469"/>
      <c r="E57" s="469"/>
      <c r="F57" s="469"/>
      <c r="G57" s="469"/>
      <c r="H57" s="469"/>
      <c r="I57" s="469"/>
      <c r="J57" s="469"/>
      <c r="K57" s="469"/>
      <c r="L57" s="469"/>
      <c r="M57" s="360"/>
      <c r="N57" s="360"/>
      <c r="O57" s="360"/>
      <c r="P57" s="360"/>
      <c r="Q57" s="360"/>
      <c r="R57" s="360"/>
      <c r="S57" s="360"/>
      <c r="T57" s="360"/>
      <c r="U57" s="360"/>
      <c r="V57" s="360"/>
      <c r="W57" s="360"/>
      <c r="X57" s="360"/>
      <c r="Y57" s="360"/>
      <c r="Z57" s="360"/>
      <c r="AA57" s="360"/>
      <c r="AB57" s="360"/>
      <c r="AC57" s="360"/>
      <c r="AD57" s="360"/>
      <c r="AE57" s="304"/>
      <c r="AF57" s="304"/>
      <c r="AG57" s="304"/>
      <c r="AH57" s="304"/>
      <c r="AI57" s="304"/>
      <c r="AJ57" s="304"/>
      <c r="AK57" s="304"/>
      <c r="AL57" s="304"/>
      <c r="AM57" s="304"/>
      <c r="AN57" s="304"/>
      <c r="AO57" s="304"/>
      <c r="AP57" s="304"/>
      <c r="AQ57" s="304"/>
      <c r="AR57" s="304"/>
      <c r="AS57" s="304"/>
      <c r="AT57" s="304"/>
      <c r="AU57" s="304"/>
      <c r="AV57" s="304"/>
      <c r="AW57" s="304"/>
      <c r="AX57" s="304"/>
      <c r="AY57" s="304"/>
      <c r="AZ57" s="304"/>
    </row>
    <row r="58" spans="1:52">
      <c r="A58" s="469"/>
      <c r="B58" s="469"/>
      <c r="C58" s="469"/>
      <c r="D58" s="469"/>
      <c r="E58" s="469"/>
      <c r="F58" s="469"/>
      <c r="G58" s="469"/>
      <c r="H58" s="469"/>
      <c r="I58" s="469"/>
      <c r="J58" s="469"/>
      <c r="K58" s="469"/>
      <c r="L58" s="469"/>
      <c r="M58" s="360"/>
      <c r="N58" s="360"/>
      <c r="O58" s="360"/>
      <c r="P58" s="360"/>
      <c r="Q58" s="360"/>
      <c r="R58" s="360"/>
      <c r="S58" s="360"/>
      <c r="T58" s="360"/>
      <c r="U58" s="360"/>
      <c r="V58" s="360"/>
      <c r="W58" s="360"/>
      <c r="X58" s="360"/>
      <c r="Y58" s="360"/>
      <c r="Z58" s="360"/>
      <c r="AA58" s="360"/>
      <c r="AB58" s="360"/>
      <c r="AC58" s="360"/>
      <c r="AD58" s="360"/>
      <c r="AE58" s="304"/>
      <c r="AF58" s="304"/>
      <c r="AG58" s="304"/>
      <c r="AH58" s="304"/>
      <c r="AI58" s="304"/>
      <c r="AJ58" s="304"/>
      <c r="AK58" s="304"/>
      <c r="AL58" s="304"/>
      <c r="AM58" s="304"/>
      <c r="AN58" s="304"/>
      <c r="AO58" s="304"/>
      <c r="AP58" s="304"/>
      <c r="AQ58" s="304"/>
      <c r="AR58" s="304"/>
      <c r="AS58" s="304"/>
      <c r="AT58" s="304"/>
      <c r="AU58" s="304"/>
      <c r="AV58" s="304"/>
      <c r="AW58" s="304"/>
      <c r="AX58" s="304"/>
      <c r="AY58" s="304"/>
      <c r="AZ58" s="304"/>
    </row>
    <row r="59" spans="1:52">
      <c r="A59" s="469"/>
      <c r="B59" s="469"/>
      <c r="C59" s="469"/>
      <c r="D59" s="469"/>
      <c r="E59" s="469"/>
      <c r="F59" s="469"/>
      <c r="G59" s="469"/>
      <c r="H59" s="469"/>
      <c r="I59" s="469"/>
      <c r="J59" s="469"/>
      <c r="K59" s="469"/>
      <c r="L59" s="469"/>
      <c r="M59" s="360"/>
      <c r="N59" s="360"/>
      <c r="O59" s="360"/>
      <c r="P59" s="360"/>
      <c r="Q59" s="360"/>
      <c r="R59" s="360"/>
      <c r="S59" s="360"/>
      <c r="T59" s="360"/>
      <c r="U59" s="360"/>
      <c r="V59" s="360"/>
      <c r="W59" s="360"/>
      <c r="X59" s="360"/>
      <c r="Y59" s="360"/>
      <c r="Z59" s="360"/>
      <c r="AA59" s="360"/>
      <c r="AB59" s="360"/>
      <c r="AC59" s="360"/>
      <c r="AD59" s="360"/>
      <c r="AE59" s="304"/>
      <c r="AF59" s="304"/>
      <c r="AG59" s="304"/>
      <c r="AH59" s="304"/>
      <c r="AI59" s="304"/>
      <c r="AJ59" s="304"/>
      <c r="AK59" s="304"/>
      <c r="AL59" s="304"/>
      <c r="AM59" s="304"/>
      <c r="AN59" s="304"/>
      <c r="AO59" s="304"/>
      <c r="AP59" s="304"/>
      <c r="AQ59" s="304"/>
      <c r="AR59" s="304"/>
      <c r="AS59" s="304"/>
      <c r="AT59" s="304"/>
      <c r="AU59" s="304"/>
      <c r="AV59" s="304"/>
      <c r="AW59" s="304"/>
      <c r="AX59" s="304"/>
      <c r="AY59" s="304"/>
      <c r="AZ59" s="304"/>
    </row>
    <row r="60" spans="1:52">
      <c r="A60" s="469"/>
      <c r="B60" s="469"/>
      <c r="C60" s="469"/>
      <c r="D60" s="469"/>
      <c r="E60" s="469"/>
      <c r="F60" s="469"/>
      <c r="G60" s="469"/>
      <c r="H60" s="469"/>
      <c r="I60" s="469"/>
      <c r="J60" s="469"/>
      <c r="K60" s="469"/>
      <c r="L60" s="469"/>
      <c r="M60" s="360"/>
      <c r="N60" s="360"/>
      <c r="O60" s="360"/>
      <c r="P60" s="360"/>
      <c r="Q60" s="360"/>
      <c r="R60" s="360"/>
      <c r="S60" s="360"/>
      <c r="T60" s="360"/>
      <c r="U60" s="360"/>
      <c r="V60" s="360"/>
      <c r="W60" s="360"/>
      <c r="X60" s="360"/>
      <c r="Y60" s="360"/>
      <c r="Z60" s="360"/>
      <c r="AA60" s="360"/>
      <c r="AB60" s="360"/>
      <c r="AC60" s="360"/>
      <c r="AD60" s="360"/>
      <c r="AE60" s="304"/>
      <c r="AF60" s="304"/>
      <c r="AG60" s="304"/>
      <c r="AH60" s="304"/>
      <c r="AI60" s="304"/>
      <c r="AJ60" s="304"/>
      <c r="AK60" s="304"/>
      <c r="AL60" s="304"/>
      <c r="AM60" s="304"/>
      <c r="AN60" s="304"/>
      <c r="AO60" s="304"/>
      <c r="AP60" s="304"/>
      <c r="AQ60" s="304"/>
      <c r="AR60" s="304"/>
      <c r="AS60" s="304"/>
      <c r="AT60" s="304"/>
      <c r="AU60" s="304"/>
      <c r="AV60" s="304"/>
      <c r="AW60" s="304"/>
      <c r="AX60" s="304"/>
      <c r="AY60" s="304"/>
      <c r="AZ60" s="304"/>
    </row>
    <row r="61" spans="1:52">
      <c r="A61" s="469"/>
      <c r="B61" s="469"/>
      <c r="C61" s="469"/>
      <c r="D61" s="469"/>
      <c r="E61" s="469"/>
      <c r="F61" s="469"/>
      <c r="G61" s="469"/>
      <c r="H61" s="469"/>
      <c r="I61" s="469"/>
      <c r="J61" s="469"/>
      <c r="K61" s="469"/>
      <c r="L61" s="469"/>
      <c r="M61" s="360"/>
      <c r="N61" s="360"/>
      <c r="O61" s="360"/>
      <c r="P61" s="360"/>
      <c r="Q61" s="360"/>
      <c r="R61" s="360"/>
      <c r="S61" s="360"/>
      <c r="T61" s="360"/>
      <c r="U61" s="360"/>
      <c r="V61" s="360"/>
      <c r="W61" s="360"/>
      <c r="X61" s="360"/>
      <c r="Y61" s="360"/>
      <c r="Z61" s="360"/>
      <c r="AA61" s="360"/>
      <c r="AB61" s="360"/>
      <c r="AC61" s="360"/>
      <c r="AD61" s="360"/>
      <c r="AE61" s="304"/>
      <c r="AF61" s="304"/>
      <c r="AG61" s="304"/>
      <c r="AH61" s="304"/>
      <c r="AI61" s="304"/>
      <c r="AJ61" s="304"/>
      <c r="AK61" s="304"/>
      <c r="AL61" s="304"/>
      <c r="AM61" s="304"/>
      <c r="AN61" s="304"/>
      <c r="AO61" s="304"/>
      <c r="AP61" s="304"/>
      <c r="AQ61" s="304"/>
      <c r="AR61" s="304"/>
      <c r="AS61" s="304"/>
      <c r="AT61" s="304"/>
      <c r="AU61" s="304"/>
      <c r="AV61" s="304"/>
      <c r="AW61" s="304"/>
      <c r="AX61" s="304"/>
      <c r="AY61" s="304"/>
      <c r="AZ61" s="304"/>
    </row>
    <row r="62" spans="1:52">
      <c r="A62" s="469"/>
      <c r="B62" s="469"/>
      <c r="C62" s="469"/>
      <c r="D62" s="469"/>
      <c r="E62" s="469"/>
      <c r="F62" s="469"/>
      <c r="G62" s="469"/>
      <c r="H62" s="469"/>
      <c r="I62" s="469"/>
      <c r="J62" s="469"/>
      <c r="K62" s="469"/>
      <c r="L62" s="469"/>
      <c r="M62" s="360"/>
      <c r="N62" s="360"/>
      <c r="O62" s="360"/>
      <c r="P62" s="360"/>
      <c r="Q62" s="360"/>
      <c r="R62" s="360"/>
      <c r="S62" s="360"/>
      <c r="T62" s="360"/>
      <c r="U62" s="360"/>
      <c r="V62" s="360"/>
      <c r="W62" s="360"/>
      <c r="X62" s="360"/>
      <c r="Y62" s="360"/>
      <c r="Z62" s="360"/>
      <c r="AA62" s="360"/>
      <c r="AB62" s="360"/>
      <c r="AC62" s="360"/>
      <c r="AD62" s="360"/>
      <c r="AE62" s="304"/>
      <c r="AF62" s="304"/>
      <c r="AG62" s="304"/>
      <c r="AH62" s="304"/>
      <c r="AI62" s="304"/>
      <c r="AJ62" s="304"/>
      <c r="AK62" s="304"/>
      <c r="AL62" s="304"/>
      <c r="AM62" s="304"/>
      <c r="AN62" s="304"/>
      <c r="AO62" s="304"/>
      <c r="AP62" s="304"/>
      <c r="AQ62" s="304"/>
      <c r="AR62" s="304"/>
      <c r="AS62" s="304"/>
      <c r="AT62" s="304"/>
      <c r="AU62" s="304"/>
      <c r="AV62" s="304"/>
      <c r="AW62" s="304"/>
      <c r="AX62" s="304"/>
      <c r="AY62" s="304"/>
      <c r="AZ62" s="304"/>
    </row>
    <row r="63" spans="1:52">
      <c r="A63" s="469"/>
      <c r="B63" s="469"/>
      <c r="C63" s="469"/>
      <c r="D63" s="469"/>
      <c r="E63" s="469"/>
      <c r="F63" s="469"/>
      <c r="G63" s="469"/>
      <c r="H63" s="469"/>
      <c r="I63" s="469"/>
      <c r="J63" s="469"/>
      <c r="K63" s="469"/>
      <c r="L63" s="469"/>
      <c r="M63" s="360"/>
      <c r="N63" s="360"/>
      <c r="O63" s="360"/>
      <c r="P63" s="360"/>
      <c r="Q63" s="360"/>
      <c r="R63" s="360"/>
      <c r="S63" s="360"/>
      <c r="T63" s="360"/>
      <c r="U63" s="360"/>
      <c r="V63" s="360"/>
      <c r="W63" s="360"/>
      <c r="X63" s="360"/>
      <c r="Y63" s="360"/>
      <c r="Z63" s="360"/>
      <c r="AA63" s="360"/>
      <c r="AB63" s="360"/>
      <c r="AC63" s="360"/>
      <c r="AD63" s="360"/>
      <c r="AE63" s="304"/>
      <c r="AF63" s="304"/>
      <c r="AG63" s="304"/>
      <c r="AH63" s="304"/>
      <c r="AI63" s="304"/>
      <c r="AJ63" s="304"/>
      <c r="AK63" s="304"/>
      <c r="AL63" s="304"/>
      <c r="AM63" s="304"/>
      <c r="AN63" s="304"/>
      <c r="AO63" s="304"/>
      <c r="AP63" s="304"/>
      <c r="AQ63" s="304"/>
      <c r="AR63" s="304"/>
      <c r="AS63" s="304"/>
      <c r="AT63" s="304"/>
      <c r="AU63" s="304"/>
      <c r="AV63" s="304"/>
      <c r="AW63" s="304"/>
      <c r="AX63" s="304"/>
      <c r="AY63" s="304"/>
      <c r="AZ63" s="304"/>
    </row>
    <row r="64" spans="1:52">
      <c r="A64" s="438"/>
      <c r="B64" s="438"/>
      <c r="C64" s="438"/>
      <c r="D64" s="438"/>
      <c r="E64" s="438"/>
      <c r="F64" s="438"/>
      <c r="G64" s="438"/>
      <c r="H64" s="438"/>
      <c r="I64" s="438"/>
      <c r="J64" s="438"/>
      <c r="K64" s="438"/>
      <c r="L64" s="438"/>
      <c r="M64" s="360"/>
      <c r="N64" s="360"/>
      <c r="O64" s="360"/>
      <c r="P64" s="360"/>
      <c r="Q64" s="360"/>
      <c r="R64" s="360"/>
      <c r="S64" s="360"/>
      <c r="T64" s="360"/>
      <c r="U64" s="360"/>
      <c r="V64" s="360"/>
      <c r="W64" s="360"/>
      <c r="X64" s="360"/>
      <c r="Y64" s="360"/>
      <c r="Z64" s="360"/>
      <c r="AA64" s="360"/>
      <c r="AB64" s="360"/>
      <c r="AC64" s="360"/>
      <c r="AD64" s="360"/>
      <c r="AE64" s="304"/>
      <c r="AF64" s="304"/>
      <c r="AG64" s="304"/>
      <c r="AH64" s="304"/>
      <c r="AI64" s="304"/>
      <c r="AJ64" s="304"/>
      <c r="AK64" s="304"/>
      <c r="AL64" s="304"/>
      <c r="AM64" s="304"/>
      <c r="AN64" s="304"/>
      <c r="AO64" s="304"/>
      <c r="AP64" s="304"/>
      <c r="AQ64" s="304"/>
      <c r="AR64" s="304"/>
      <c r="AS64" s="304"/>
      <c r="AT64" s="304"/>
      <c r="AU64" s="304"/>
      <c r="AV64" s="304"/>
      <c r="AW64" s="304"/>
      <c r="AX64" s="304"/>
      <c r="AY64" s="304"/>
      <c r="AZ64" s="304"/>
    </row>
    <row r="65" spans="1:52" ht="13.9" customHeight="1">
      <c r="A65" s="438"/>
      <c r="B65" s="438"/>
      <c r="C65" s="438"/>
      <c r="D65" s="438"/>
      <c r="E65" s="438"/>
      <c r="F65" s="438"/>
      <c r="G65" s="438"/>
      <c r="H65" s="438"/>
      <c r="I65" s="438"/>
      <c r="J65" s="438"/>
      <c r="K65" s="438"/>
      <c r="L65" s="438"/>
      <c r="M65" s="360"/>
      <c r="N65" s="360"/>
      <c r="O65" s="360"/>
      <c r="P65" s="360"/>
      <c r="Q65" s="360"/>
      <c r="R65" s="360"/>
      <c r="S65" s="360"/>
      <c r="T65" s="689"/>
      <c r="U65" s="689"/>
      <c r="V65" s="360"/>
      <c r="W65" s="360"/>
      <c r="X65" s="360"/>
      <c r="Y65" s="360"/>
      <c r="Z65" s="360"/>
      <c r="AA65" s="360"/>
      <c r="AB65" s="360"/>
      <c r="AC65" s="360"/>
      <c r="AD65" s="360"/>
      <c r="AE65" s="304"/>
      <c r="AF65" s="304"/>
      <c r="AG65" s="304"/>
      <c r="AH65" s="304"/>
      <c r="AI65" s="304"/>
      <c r="AJ65" s="304"/>
      <c r="AK65" s="304"/>
      <c r="AL65" s="304"/>
      <c r="AM65" s="304"/>
      <c r="AN65" s="304"/>
      <c r="AO65" s="304"/>
      <c r="AP65" s="304"/>
      <c r="AQ65" s="304"/>
      <c r="AR65" s="304"/>
      <c r="AS65" s="304"/>
      <c r="AT65" s="304"/>
      <c r="AU65" s="304"/>
      <c r="AV65" s="304"/>
      <c r="AW65" s="304"/>
      <c r="AX65" s="304"/>
      <c r="AY65" s="304"/>
      <c r="AZ65" s="304"/>
    </row>
    <row r="66" spans="1:52">
      <c r="A66" s="438"/>
      <c r="B66" s="438"/>
      <c r="C66" s="438"/>
      <c r="D66" s="438"/>
      <c r="E66" s="438"/>
      <c r="F66" s="438"/>
      <c r="G66" s="438"/>
      <c r="H66" s="438"/>
      <c r="I66" s="438"/>
      <c r="J66" s="438"/>
      <c r="K66" s="438"/>
      <c r="L66" s="438"/>
      <c r="M66" s="360"/>
      <c r="N66" s="360"/>
      <c r="O66" s="360"/>
      <c r="P66" s="360"/>
      <c r="Q66" s="360"/>
      <c r="R66" s="360"/>
      <c r="S66" s="360"/>
      <c r="T66" s="360"/>
      <c r="U66" s="360"/>
      <c r="V66" s="360"/>
      <c r="W66" s="360"/>
      <c r="X66" s="360"/>
      <c r="Y66" s="360"/>
      <c r="Z66" s="360"/>
      <c r="AA66" s="360"/>
      <c r="AB66" s="360"/>
      <c r="AC66" s="360"/>
      <c r="AD66" s="360"/>
      <c r="AE66" s="304"/>
      <c r="AF66" s="304"/>
      <c r="AG66" s="304"/>
      <c r="AH66" s="304"/>
      <c r="AI66" s="304"/>
      <c r="AJ66" s="304"/>
      <c r="AK66" s="304"/>
      <c r="AL66" s="304"/>
      <c r="AM66" s="304"/>
      <c r="AN66" s="304"/>
      <c r="AO66" s="304"/>
      <c r="AP66" s="304"/>
      <c r="AQ66" s="304"/>
      <c r="AR66" s="304"/>
      <c r="AS66" s="304"/>
      <c r="AT66" s="304"/>
      <c r="AU66" s="304"/>
      <c r="AV66" s="304"/>
      <c r="AW66" s="304"/>
      <c r="AX66" s="304"/>
      <c r="AY66" s="304"/>
      <c r="AZ66" s="304"/>
    </row>
    <row r="67" spans="1:52" ht="15.75" customHeight="1">
      <c r="A67" s="438"/>
      <c r="B67" s="439"/>
      <c r="C67" s="438"/>
      <c r="D67" s="438"/>
      <c r="E67" s="438"/>
      <c r="F67" s="438"/>
      <c r="G67" s="438"/>
      <c r="H67" s="440"/>
      <c r="I67" s="438"/>
      <c r="J67" s="438"/>
      <c r="K67" s="438"/>
      <c r="L67" s="438"/>
      <c r="M67" s="360"/>
      <c r="N67" s="360"/>
      <c r="O67" s="360"/>
      <c r="P67" s="360"/>
      <c r="Q67" s="360"/>
      <c r="R67" s="360"/>
      <c r="S67" s="360"/>
      <c r="T67" s="360"/>
      <c r="U67" s="360"/>
      <c r="V67" s="360"/>
      <c r="W67" s="360"/>
      <c r="X67" s="360"/>
      <c r="Y67" s="360"/>
      <c r="Z67" s="396"/>
      <c r="AA67" s="360"/>
      <c r="AB67" s="360"/>
      <c r="AC67" s="360"/>
      <c r="AD67" s="360"/>
      <c r="AE67" s="304"/>
      <c r="AF67" s="304"/>
      <c r="AG67" s="304"/>
      <c r="AH67" s="304"/>
      <c r="AI67" s="304"/>
      <c r="AJ67" s="304"/>
      <c r="AK67" s="304"/>
      <c r="AL67" s="304"/>
      <c r="AM67" s="304"/>
      <c r="AN67" s="304"/>
      <c r="AO67" s="304"/>
      <c r="AP67" s="304"/>
      <c r="AQ67" s="304"/>
      <c r="AR67" s="304"/>
      <c r="AS67" s="304"/>
      <c r="AT67" s="304"/>
      <c r="AU67" s="304"/>
      <c r="AV67" s="304"/>
      <c r="AW67" s="304"/>
      <c r="AX67" s="304"/>
      <c r="AY67" s="304"/>
      <c r="AZ67" s="304"/>
    </row>
    <row r="68" spans="1:52" ht="15.6" customHeight="1">
      <c r="A68" s="441"/>
      <c r="B68" s="441"/>
      <c r="C68" s="441"/>
      <c r="D68" s="438"/>
      <c r="E68" s="438"/>
      <c r="F68" s="438"/>
      <c r="G68" s="442"/>
      <c r="H68" s="439"/>
      <c r="I68" s="438"/>
      <c r="J68" s="438"/>
      <c r="K68" s="438"/>
      <c r="L68" s="438"/>
      <c r="M68" s="360"/>
      <c r="N68" s="360"/>
      <c r="O68" s="360"/>
      <c r="P68" s="360"/>
      <c r="Q68" s="360"/>
      <c r="R68" s="360"/>
      <c r="S68" s="360"/>
      <c r="T68" s="360"/>
      <c r="U68" s="360"/>
      <c r="V68" s="360"/>
      <c r="W68" s="360"/>
      <c r="X68" s="360"/>
      <c r="Y68" s="360"/>
      <c r="Z68" s="360"/>
      <c r="AA68" s="360"/>
      <c r="AB68" s="360"/>
      <c r="AC68" s="360"/>
      <c r="AD68" s="360"/>
      <c r="AE68" s="304"/>
      <c r="AF68" s="304"/>
      <c r="AG68" s="304"/>
      <c r="AH68" s="304"/>
      <c r="AI68" s="304"/>
      <c r="AJ68" s="304"/>
      <c r="AK68" s="304"/>
      <c r="AL68" s="304"/>
      <c r="AM68" s="304"/>
      <c r="AN68" s="304"/>
      <c r="AO68" s="304"/>
      <c r="AP68" s="304"/>
      <c r="AQ68" s="304"/>
      <c r="AR68" s="304"/>
      <c r="AS68" s="304"/>
      <c r="AT68" s="304"/>
      <c r="AU68" s="304"/>
      <c r="AV68" s="304"/>
      <c r="AW68" s="304"/>
      <c r="AX68" s="304"/>
      <c r="AY68" s="304"/>
      <c r="AZ68" s="304"/>
    </row>
    <row r="69" spans="1:52" ht="15.6" customHeight="1">
      <c r="A69" s="438"/>
      <c r="B69" s="438"/>
      <c r="C69" s="438"/>
      <c r="D69" s="438"/>
      <c r="E69" s="438"/>
      <c r="F69" s="438"/>
      <c r="G69" s="438"/>
      <c r="H69" s="438"/>
      <c r="I69" s="438"/>
      <c r="J69" s="438"/>
      <c r="K69" s="438"/>
      <c r="L69" s="438"/>
      <c r="M69" s="360"/>
      <c r="N69" s="360"/>
      <c r="O69" s="360"/>
      <c r="P69" s="360"/>
      <c r="Q69" s="360"/>
      <c r="R69" s="360"/>
      <c r="S69" s="360"/>
      <c r="T69" s="360"/>
      <c r="U69" s="360"/>
      <c r="V69" s="360"/>
      <c r="W69" s="360"/>
      <c r="X69" s="360"/>
      <c r="Y69" s="360"/>
      <c r="Z69" s="396"/>
      <c r="AA69" s="360"/>
      <c r="AB69" s="360"/>
      <c r="AC69" s="360"/>
      <c r="AD69" s="360"/>
      <c r="AE69" s="304"/>
      <c r="AF69" s="304"/>
      <c r="AG69" s="304"/>
      <c r="AH69" s="304"/>
      <c r="AI69" s="304"/>
      <c r="AJ69" s="304"/>
      <c r="AK69" s="304"/>
      <c r="AL69" s="304"/>
      <c r="AM69" s="304"/>
      <c r="AN69" s="304"/>
      <c r="AO69" s="304"/>
      <c r="AP69" s="304"/>
      <c r="AQ69" s="304"/>
      <c r="AR69" s="304"/>
      <c r="AS69" s="304"/>
      <c r="AT69" s="304"/>
      <c r="AU69" s="304"/>
      <c r="AV69" s="304"/>
      <c r="AW69" s="304"/>
      <c r="AX69" s="304"/>
      <c r="AY69" s="304"/>
      <c r="AZ69" s="304"/>
    </row>
    <row r="70" spans="1:52" ht="15.75" customHeight="1">
      <c r="A70" s="438"/>
      <c r="B70" s="438"/>
      <c r="C70" s="438"/>
      <c r="D70" s="438"/>
      <c r="E70" s="438"/>
      <c r="F70" s="438"/>
      <c r="G70" s="438"/>
      <c r="H70" s="438"/>
      <c r="I70" s="438"/>
      <c r="J70" s="438"/>
      <c r="K70" s="443"/>
      <c r="L70" s="438"/>
      <c r="M70" s="360"/>
      <c r="N70" s="360"/>
      <c r="O70" s="360"/>
      <c r="P70" s="360"/>
      <c r="Q70" s="360"/>
      <c r="R70" s="360"/>
      <c r="S70" s="360"/>
      <c r="T70" s="360"/>
      <c r="U70" s="360"/>
      <c r="V70" s="360"/>
      <c r="W70" s="360"/>
      <c r="X70" s="360"/>
      <c r="Y70" s="360"/>
      <c r="Z70" s="360"/>
      <c r="AA70" s="360"/>
      <c r="AB70" s="360"/>
      <c r="AC70" s="360"/>
      <c r="AD70" s="360"/>
      <c r="AE70" s="304"/>
      <c r="AF70" s="304"/>
      <c r="AG70" s="304"/>
      <c r="AH70" s="304"/>
      <c r="AI70" s="304"/>
      <c r="AJ70" s="304"/>
      <c r="AK70" s="304"/>
      <c r="AL70" s="304"/>
      <c r="AM70" s="304"/>
      <c r="AN70" s="304"/>
      <c r="AO70" s="304"/>
      <c r="AP70" s="304"/>
      <c r="AQ70" s="304"/>
      <c r="AR70" s="304"/>
      <c r="AS70" s="304"/>
      <c r="AT70" s="304"/>
      <c r="AU70" s="304"/>
      <c r="AV70" s="304"/>
      <c r="AW70" s="304"/>
      <c r="AX70" s="304"/>
      <c r="AY70" s="304"/>
      <c r="AZ70" s="304"/>
    </row>
    <row r="71" spans="1:52" ht="15.75" customHeight="1">
      <c r="A71" s="438"/>
      <c r="B71" s="438"/>
      <c r="C71" s="438"/>
      <c r="D71" s="438"/>
      <c r="E71" s="438"/>
      <c r="F71" s="438"/>
      <c r="G71" s="438"/>
      <c r="H71" s="438"/>
      <c r="I71" s="438"/>
      <c r="J71" s="438"/>
      <c r="K71" s="438"/>
      <c r="L71" s="438"/>
      <c r="M71" s="360"/>
      <c r="N71" s="360"/>
      <c r="O71" s="360"/>
      <c r="P71" s="360"/>
      <c r="Q71" s="360"/>
      <c r="R71" s="360"/>
      <c r="S71" s="360"/>
      <c r="T71" s="360"/>
      <c r="U71" s="360"/>
      <c r="V71" s="360"/>
      <c r="W71" s="360"/>
      <c r="X71" s="360"/>
      <c r="Y71" s="360"/>
      <c r="Z71" s="360"/>
      <c r="AA71" s="360"/>
      <c r="AB71" s="394"/>
      <c r="AC71" s="360"/>
      <c r="AD71" s="360"/>
      <c r="AE71" s="304"/>
      <c r="AF71" s="304"/>
      <c r="AG71" s="304"/>
      <c r="AH71" s="304"/>
      <c r="AI71" s="304"/>
      <c r="AJ71" s="304"/>
      <c r="AK71" s="304"/>
      <c r="AL71" s="304"/>
      <c r="AM71" s="304"/>
      <c r="AN71" s="304"/>
      <c r="AO71" s="304"/>
      <c r="AP71" s="304"/>
      <c r="AQ71" s="304"/>
      <c r="AR71" s="304"/>
      <c r="AS71" s="304"/>
      <c r="AT71" s="304"/>
      <c r="AU71" s="304"/>
      <c r="AV71" s="304"/>
      <c r="AW71" s="304"/>
      <c r="AX71" s="304"/>
      <c r="AY71" s="304"/>
      <c r="AZ71" s="304"/>
    </row>
    <row r="72" spans="1:52" ht="15">
      <c r="A72" s="438"/>
      <c r="B72" s="438"/>
      <c r="C72" s="438"/>
      <c r="D72" s="438"/>
      <c r="E72" s="438"/>
      <c r="F72" s="438"/>
      <c r="G72" s="438"/>
      <c r="H72" s="438"/>
      <c r="I72" s="438"/>
      <c r="J72" s="438"/>
      <c r="K72" s="438"/>
      <c r="L72" s="438"/>
      <c r="M72" s="360"/>
      <c r="N72" s="360"/>
      <c r="O72" s="360"/>
      <c r="P72" s="360"/>
      <c r="Q72" s="360"/>
      <c r="R72" s="360"/>
      <c r="S72" s="360"/>
      <c r="T72" s="360"/>
      <c r="U72" s="360"/>
      <c r="V72" s="360"/>
      <c r="W72" s="360"/>
      <c r="X72" s="360"/>
      <c r="Y72" s="360"/>
      <c r="Z72" s="360"/>
      <c r="AA72" s="360"/>
      <c r="AB72" s="394"/>
      <c r="AC72" s="360"/>
      <c r="AD72" s="360"/>
      <c r="AE72" s="304"/>
      <c r="AF72" s="304"/>
      <c r="AG72" s="304"/>
      <c r="AH72" s="304"/>
      <c r="AI72" s="304"/>
      <c r="AJ72" s="304"/>
      <c r="AK72" s="304"/>
      <c r="AL72" s="304"/>
      <c r="AM72" s="304"/>
      <c r="AN72" s="304"/>
      <c r="AO72" s="304"/>
      <c r="AP72" s="304"/>
      <c r="AQ72" s="304"/>
      <c r="AR72" s="304"/>
      <c r="AS72" s="304"/>
      <c r="AT72" s="304"/>
      <c r="AU72" s="304"/>
      <c r="AV72" s="304"/>
      <c r="AW72" s="304"/>
      <c r="AX72" s="304"/>
      <c r="AY72" s="304"/>
      <c r="AZ72" s="304"/>
    </row>
    <row r="73" spans="1:52" ht="15.75" customHeight="1">
      <c r="A73" s="438"/>
      <c r="B73" s="438"/>
      <c r="C73" s="438"/>
      <c r="D73" s="438"/>
      <c r="E73" s="438"/>
      <c r="F73" s="438"/>
      <c r="G73" s="438"/>
      <c r="H73" s="438"/>
      <c r="I73" s="438"/>
      <c r="J73" s="438"/>
      <c r="K73" s="438"/>
      <c r="L73" s="438"/>
      <c r="M73" s="360"/>
      <c r="N73" s="360"/>
      <c r="O73" s="360"/>
      <c r="P73" s="360"/>
      <c r="Q73" s="360"/>
      <c r="R73" s="360"/>
      <c r="S73" s="360"/>
      <c r="T73" s="360"/>
      <c r="U73" s="360"/>
      <c r="V73" s="360"/>
      <c r="W73" s="360"/>
      <c r="X73" s="360"/>
      <c r="Y73" s="360"/>
      <c r="Z73" s="360"/>
      <c r="AA73" s="360"/>
      <c r="AB73" s="360"/>
      <c r="AC73" s="360"/>
      <c r="AD73" s="360"/>
      <c r="AE73" s="304"/>
      <c r="AF73" s="304"/>
      <c r="AG73" s="304"/>
      <c r="AH73" s="304"/>
      <c r="AI73" s="304"/>
      <c r="AJ73" s="304"/>
      <c r="AK73" s="304"/>
      <c r="AL73" s="304"/>
      <c r="AM73" s="304"/>
      <c r="AN73" s="304"/>
      <c r="AO73" s="304"/>
      <c r="AP73" s="304"/>
      <c r="AQ73" s="304"/>
      <c r="AR73" s="304"/>
      <c r="AS73" s="304"/>
      <c r="AT73" s="304"/>
      <c r="AU73" s="304"/>
      <c r="AV73" s="304"/>
      <c r="AW73" s="304"/>
      <c r="AX73" s="304"/>
      <c r="AY73" s="304"/>
      <c r="AZ73" s="304"/>
    </row>
    <row r="74" spans="1:52" ht="15.75" customHeight="1">
      <c r="A74" s="438"/>
      <c r="B74" s="438"/>
      <c r="C74" s="438"/>
      <c r="D74" s="438"/>
      <c r="E74" s="438"/>
      <c r="F74" s="438"/>
      <c r="G74" s="438"/>
      <c r="H74" s="438"/>
      <c r="I74" s="438"/>
      <c r="J74" s="438"/>
      <c r="K74" s="438"/>
      <c r="L74" s="438"/>
      <c r="M74" s="360"/>
      <c r="N74" s="360"/>
      <c r="O74" s="360"/>
      <c r="P74" s="360"/>
      <c r="Q74" s="360"/>
      <c r="R74" s="360"/>
      <c r="S74" s="360"/>
      <c r="T74" s="360"/>
      <c r="U74" s="360"/>
      <c r="V74" s="360"/>
      <c r="W74" s="360"/>
      <c r="X74" s="360"/>
      <c r="Y74" s="360"/>
      <c r="Z74" s="360"/>
      <c r="AA74" s="360"/>
      <c r="AB74" s="360"/>
      <c r="AC74" s="360"/>
      <c r="AD74" s="360"/>
      <c r="AE74" s="304"/>
      <c r="AF74" s="304"/>
      <c r="AG74" s="304"/>
      <c r="AH74" s="304"/>
      <c r="AI74" s="304"/>
      <c r="AJ74" s="304"/>
      <c r="AK74" s="304"/>
      <c r="AL74" s="304"/>
      <c r="AM74" s="304"/>
      <c r="AN74" s="304"/>
      <c r="AO74" s="304"/>
      <c r="AP74" s="304"/>
      <c r="AQ74" s="304"/>
      <c r="AR74" s="304"/>
      <c r="AS74" s="304"/>
      <c r="AT74" s="304"/>
      <c r="AU74" s="304"/>
      <c r="AV74" s="304"/>
      <c r="AW74" s="304"/>
      <c r="AX74" s="304"/>
      <c r="AY74" s="304"/>
      <c r="AZ74" s="304"/>
    </row>
    <row r="75" spans="1:52">
      <c r="A75" s="438"/>
      <c r="B75" s="438"/>
      <c r="C75" s="438"/>
      <c r="D75" s="438"/>
      <c r="E75" s="438"/>
      <c r="F75" s="438"/>
      <c r="G75" s="438"/>
      <c r="H75" s="438"/>
      <c r="I75" s="438"/>
      <c r="J75" s="438"/>
      <c r="K75" s="438"/>
      <c r="L75" s="438"/>
      <c r="M75" s="360"/>
      <c r="N75" s="360"/>
      <c r="O75" s="360"/>
      <c r="P75" s="360"/>
      <c r="Q75" s="360"/>
      <c r="R75" s="360"/>
      <c r="S75" s="360"/>
      <c r="T75" s="360"/>
      <c r="U75" s="360"/>
      <c r="V75" s="360"/>
      <c r="W75" s="360"/>
      <c r="X75" s="360"/>
      <c r="Y75" s="360"/>
      <c r="Z75" s="360"/>
      <c r="AA75" s="360"/>
      <c r="AB75" s="360"/>
      <c r="AC75" s="360"/>
      <c r="AD75" s="360"/>
      <c r="AE75" s="304"/>
      <c r="AF75" s="304"/>
      <c r="AG75" s="304"/>
      <c r="AH75" s="304"/>
      <c r="AI75" s="304"/>
      <c r="AJ75" s="304"/>
      <c r="AK75" s="304"/>
      <c r="AL75" s="304"/>
      <c r="AM75" s="304"/>
      <c r="AN75" s="304"/>
      <c r="AO75" s="304"/>
      <c r="AP75" s="304"/>
      <c r="AQ75" s="304"/>
      <c r="AR75" s="304"/>
      <c r="AS75" s="304"/>
      <c r="AT75" s="304"/>
      <c r="AU75" s="304"/>
      <c r="AV75" s="304"/>
      <c r="AW75" s="304"/>
      <c r="AX75" s="304"/>
      <c r="AY75" s="304"/>
      <c r="AZ75" s="304"/>
    </row>
    <row r="76" spans="1:52" ht="15.75" customHeight="1">
      <c r="A76" s="438"/>
      <c r="B76" s="438"/>
      <c r="C76" s="438"/>
      <c r="D76" s="438"/>
      <c r="E76" s="438"/>
      <c r="F76" s="438"/>
      <c r="G76" s="438"/>
      <c r="H76" s="438"/>
      <c r="I76" s="438"/>
      <c r="J76" s="438"/>
      <c r="K76" s="438"/>
      <c r="L76" s="438"/>
      <c r="M76" s="360"/>
      <c r="N76" s="360"/>
      <c r="O76" s="360"/>
      <c r="P76" s="360"/>
      <c r="Q76" s="360"/>
      <c r="R76" s="360"/>
      <c r="S76" s="360"/>
      <c r="T76" s="360"/>
      <c r="U76" s="360"/>
      <c r="V76" s="360"/>
      <c r="W76" s="360"/>
      <c r="X76" s="360"/>
      <c r="Y76" s="360"/>
      <c r="Z76" s="360"/>
      <c r="AA76" s="360"/>
      <c r="AB76" s="360"/>
      <c r="AC76" s="360"/>
      <c r="AD76" s="360"/>
      <c r="AE76" s="304"/>
      <c r="AF76" s="304"/>
      <c r="AG76" s="304"/>
      <c r="AH76" s="304"/>
      <c r="AI76" s="304"/>
      <c r="AJ76" s="304"/>
      <c r="AK76" s="304"/>
      <c r="AL76" s="304"/>
      <c r="AM76" s="304"/>
      <c r="AN76" s="304"/>
      <c r="AO76" s="304"/>
      <c r="AP76" s="304"/>
      <c r="AQ76" s="304"/>
      <c r="AR76" s="304"/>
      <c r="AS76" s="304"/>
      <c r="AT76" s="304"/>
      <c r="AU76" s="304"/>
      <c r="AV76" s="304"/>
      <c r="AW76" s="304"/>
      <c r="AX76" s="304"/>
      <c r="AY76" s="304"/>
      <c r="AZ76" s="304"/>
    </row>
    <row r="77" spans="1:52" ht="15.75" customHeight="1">
      <c r="A77" s="438"/>
      <c r="B77" s="438"/>
      <c r="C77" s="438"/>
      <c r="D77" s="438"/>
      <c r="E77" s="438"/>
      <c r="F77" s="438"/>
      <c r="G77" s="438"/>
      <c r="H77" s="438"/>
      <c r="I77" s="438"/>
      <c r="J77" s="438"/>
      <c r="K77" s="444"/>
      <c r="L77" s="438"/>
      <c r="M77" s="360"/>
      <c r="N77" s="360"/>
      <c r="O77" s="360"/>
      <c r="P77" s="360"/>
      <c r="Q77" s="360"/>
      <c r="R77" s="360"/>
      <c r="S77" s="360"/>
      <c r="T77" s="360"/>
      <c r="U77" s="360"/>
      <c r="V77" s="360"/>
      <c r="W77" s="360"/>
      <c r="X77" s="360"/>
      <c r="Y77" s="360"/>
      <c r="Z77" s="360"/>
      <c r="AA77" s="360"/>
      <c r="AB77" s="360"/>
      <c r="AC77" s="360"/>
      <c r="AD77" s="360"/>
      <c r="AE77" s="304"/>
      <c r="AF77" s="304"/>
      <c r="AG77" s="304"/>
      <c r="AH77" s="304"/>
      <c r="AI77" s="304"/>
      <c r="AJ77" s="304"/>
      <c r="AK77" s="304"/>
      <c r="AL77" s="304"/>
      <c r="AM77" s="304"/>
      <c r="AN77" s="304"/>
      <c r="AO77" s="304"/>
      <c r="AP77" s="304"/>
      <c r="AQ77" s="304"/>
      <c r="AR77" s="304"/>
      <c r="AS77" s="304"/>
      <c r="AT77" s="304"/>
      <c r="AU77" s="304"/>
      <c r="AV77" s="304"/>
      <c r="AW77" s="304"/>
      <c r="AX77" s="304"/>
      <c r="AY77" s="304"/>
      <c r="AZ77" s="304"/>
    </row>
    <row r="78" spans="1:52">
      <c r="A78" s="438"/>
      <c r="B78" s="438"/>
      <c r="C78" s="438"/>
      <c r="D78" s="438"/>
      <c r="E78" s="438"/>
      <c r="F78" s="438"/>
      <c r="G78" s="438"/>
      <c r="H78" s="438"/>
      <c r="I78" s="438"/>
      <c r="J78" s="438"/>
      <c r="K78" s="438"/>
      <c r="L78" s="438"/>
      <c r="M78" s="360"/>
      <c r="N78" s="360"/>
      <c r="O78" s="360"/>
      <c r="P78" s="360"/>
      <c r="Q78" s="360"/>
      <c r="R78" s="360"/>
      <c r="S78" s="360"/>
      <c r="T78" s="360"/>
      <c r="U78" s="360"/>
      <c r="V78" s="360"/>
      <c r="W78" s="360"/>
      <c r="X78" s="360"/>
      <c r="Y78" s="360"/>
      <c r="Z78" s="360"/>
      <c r="AA78" s="360"/>
      <c r="AB78" s="360"/>
      <c r="AC78" s="360"/>
      <c r="AD78" s="360"/>
      <c r="AE78" s="304"/>
      <c r="AF78" s="304"/>
      <c r="AG78" s="304"/>
      <c r="AH78" s="304"/>
      <c r="AI78" s="304"/>
      <c r="AJ78" s="304"/>
      <c r="AK78" s="304"/>
      <c r="AL78" s="304"/>
      <c r="AM78" s="304"/>
      <c r="AN78" s="304"/>
      <c r="AO78" s="304"/>
      <c r="AP78" s="304"/>
      <c r="AQ78" s="304"/>
      <c r="AR78" s="304"/>
      <c r="AS78" s="304"/>
      <c r="AT78" s="304"/>
      <c r="AU78" s="304"/>
      <c r="AV78" s="304"/>
      <c r="AW78" s="304"/>
      <c r="AX78" s="304"/>
      <c r="AY78" s="304"/>
      <c r="AZ78" s="304"/>
    </row>
    <row r="79" spans="1:52">
      <c r="A79" s="438"/>
      <c r="B79" s="438"/>
      <c r="C79" s="438"/>
      <c r="D79" s="438"/>
      <c r="E79" s="438"/>
      <c r="F79" s="438"/>
      <c r="G79" s="438"/>
      <c r="H79" s="438"/>
      <c r="I79" s="438"/>
      <c r="J79" s="438"/>
      <c r="K79" s="445"/>
      <c r="L79" s="438"/>
      <c r="M79" s="360"/>
      <c r="N79" s="360"/>
      <c r="O79" s="360"/>
      <c r="P79" s="360"/>
      <c r="Q79" s="360"/>
      <c r="R79" s="360"/>
      <c r="S79" s="360"/>
      <c r="T79" s="360"/>
      <c r="U79" s="360"/>
      <c r="V79" s="360"/>
      <c r="W79" s="360"/>
      <c r="X79" s="360"/>
      <c r="Y79" s="360"/>
      <c r="Z79" s="360"/>
      <c r="AA79" s="360"/>
      <c r="AB79" s="360"/>
      <c r="AC79" s="360"/>
      <c r="AD79" s="360"/>
      <c r="AE79" s="304"/>
      <c r="AF79" s="304"/>
      <c r="AG79" s="304"/>
      <c r="AH79" s="304"/>
      <c r="AI79" s="304"/>
      <c r="AJ79" s="304"/>
      <c r="AK79" s="304"/>
      <c r="AL79" s="304"/>
      <c r="AM79" s="304"/>
      <c r="AN79" s="304"/>
      <c r="AO79" s="304"/>
      <c r="AP79" s="304"/>
      <c r="AQ79" s="304"/>
      <c r="AR79" s="304"/>
      <c r="AS79" s="304"/>
      <c r="AT79" s="304"/>
      <c r="AU79" s="304"/>
      <c r="AV79" s="304"/>
      <c r="AW79" s="304"/>
      <c r="AX79" s="304"/>
      <c r="AY79" s="304"/>
      <c r="AZ79" s="304"/>
    </row>
    <row r="80" spans="1:52">
      <c r="A80" s="438"/>
      <c r="B80" s="438"/>
      <c r="C80" s="438"/>
      <c r="D80" s="438"/>
      <c r="E80" s="438"/>
      <c r="F80" s="438"/>
      <c r="G80" s="438"/>
      <c r="H80" s="438"/>
      <c r="I80" s="438"/>
      <c r="J80" s="438"/>
      <c r="K80" s="438"/>
      <c r="L80" s="438"/>
      <c r="M80" s="360"/>
      <c r="N80" s="360"/>
      <c r="O80" s="360"/>
      <c r="P80" s="360"/>
      <c r="Q80" s="360"/>
      <c r="R80" s="360"/>
      <c r="S80" s="360"/>
      <c r="T80" s="360"/>
      <c r="U80" s="379"/>
      <c r="V80" s="360"/>
      <c r="W80" s="360"/>
      <c r="X80" s="360"/>
      <c r="Y80" s="360"/>
      <c r="Z80" s="360"/>
      <c r="AA80" s="360"/>
      <c r="AB80" s="360"/>
      <c r="AC80" s="360"/>
      <c r="AD80" s="360"/>
      <c r="AE80" s="304"/>
      <c r="AF80" s="304"/>
      <c r="AG80" s="304"/>
      <c r="AH80" s="304"/>
      <c r="AI80" s="304"/>
      <c r="AJ80" s="304"/>
      <c r="AK80" s="304"/>
      <c r="AL80" s="304"/>
      <c r="AM80" s="304"/>
      <c r="AN80" s="304"/>
      <c r="AO80" s="304"/>
      <c r="AP80" s="304"/>
      <c r="AQ80" s="304"/>
      <c r="AR80" s="304"/>
      <c r="AS80" s="304"/>
      <c r="AT80" s="304"/>
      <c r="AU80" s="304"/>
      <c r="AV80" s="304"/>
      <c r="AW80" s="304"/>
      <c r="AX80" s="304"/>
      <c r="AY80" s="304"/>
      <c r="AZ80" s="304"/>
    </row>
    <row r="81" spans="1:52" ht="15.75">
      <c r="A81" s="438"/>
      <c r="B81" s="438"/>
      <c r="C81" s="438"/>
      <c r="D81" s="438"/>
      <c r="E81" s="438"/>
      <c r="F81" s="438"/>
      <c r="G81" s="438"/>
      <c r="H81" s="438"/>
      <c r="I81" s="438"/>
      <c r="J81" s="438"/>
      <c r="K81" s="438"/>
      <c r="L81" s="438"/>
      <c r="M81" s="360"/>
      <c r="N81" s="360"/>
      <c r="O81" s="360"/>
      <c r="P81" s="360"/>
      <c r="Q81" s="375"/>
      <c r="R81" s="375"/>
      <c r="S81" s="360"/>
      <c r="T81" s="360"/>
      <c r="U81" s="360"/>
      <c r="V81" s="360"/>
      <c r="W81" s="360"/>
      <c r="X81" s="360"/>
      <c r="Y81" s="360"/>
      <c r="Z81" s="360"/>
      <c r="AA81" s="360"/>
      <c r="AB81" s="360"/>
      <c r="AC81" s="360"/>
      <c r="AD81" s="360"/>
      <c r="AE81" s="304"/>
      <c r="AF81" s="304"/>
      <c r="AG81" s="304"/>
      <c r="AH81" s="304"/>
      <c r="AI81" s="304"/>
      <c r="AJ81" s="304"/>
      <c r="AK81" s="304"/>
      <c r="AL81" s="304"/>
      <c r="AM81" s="304"/>
      <c r="AN81" s="304"/>
      <c r="AO81" s="304"/>
      <c r="AP81" s="304"/>
      <c r="AQ81" s="304"/>
      <c r="AR81" s="304"/>
      <c r="AS81" s="304"/>
      <c r="AT81" s="304"/>
      <c r="AU81" s="304"/>
      <c r="AV81" s="304"/>
      <c r="AW81" s="304"/>
      <c r="AX81" s="304"/>
      <c r="AY81" s="304"/>
      <c r="AZ81" s="304"/>
    </row>
    <row r="82" spans="1:52" ht="15.75">
      <c r="A82" s="438"/>
      <c r="B82" s="438"/>
      <c r="C82" s="438"/>
      <c r="D82" s="438"/>
      <c r="E82" s="438"/>
      <c r="F82" s="438"/>
      <c r="G82" s="438"/>
      <c r="H82" s="438"/>
      <c r="I82" s="438"/>
      <c r="J82" s="438"/>
      <c r="K82" s="438"/>
      <c r="L82" s="438"/>
      <c r="M82" s="360"/>
      <c r="N82" s="360"/>
      <c r="O82" s="360"/>
      <c r="P82" s="360"/>
      <c r="Q82" s="375"/>
      <c r="R82" s="375"/>
      <c r="S82" s="360"/>
      <c r="T82" s="360"/>
      <c r="U82" s="360"/>
      <c r="V82" s="360"/>
      <c r="W82" s="360"/>
      <c r="X82" s="360"/>
      <c r="Y82" s="360"/>
      <c r="Z82" s="396"/>
      <c r="AA82" s="360"/>
      <c r="AB82" s="360"/>
      <c r="AC82" s="360"/>
      <c r="AD82" s="360"/>
      <c r="AE82" s="304"/>
      <c r="AF82" s="304"/>
      <c r="AG82" s="304"/>
      <c r="AH82" s="304"/>
      <c r="AI82" s="304"/>
      <c r="AJ82" s="304"/>
      <c r="AK82" s="304"/>
      <c r="AL82" s="304"/>
      <c r="AM82" s="304"/>
      <c r="AN82" s="304"/>
      <c r="AO82" s="304"/>
      <c r="AP82" s="304"/>
      <c r="AQ82" s="304"/>
      <c r="AR82" s="304"/>
      <c r="AS82" s="304"/>
      <c r="AT82" s="304"/>
      <c r="AU82" s="304"/>
      <c r="AV82" s="304"/>
      <c r="AW82" s="304"/>
      <c r="AX82" s="304"/>
      <c r="AY82" s="304"/>
      <c r="AZ82" s="304"/>
    </row>
    <row r="83" spans="1:52" ht="15">
      <c r="A83" s="438"/>
      <c r="B83" s="438"/>
      <c r="C83" s="438"/>
      <c r="D83" s="438"/>
      <c r="E83" s="438"/>
      <c r="F83" s="438"/>
      <c r="G83" s="438"/>
      <c r="H83" s="438"/>
      <c r="I83" s="438"/>
      <c r="J83" s="438"/>
      <c r="K83" s="438"/>
      <c r="L83" s="438"/>
      <c r="M83" s="360"/>
      <c r="N83" s="360"/>
      <c r="O83" s="360"/>
      <c r="P83" s="360"/>
      <c r="Q83" s="360"/>
      <c r="R83" s="360"/>
      <c r="S83" s="360"/>
      <c r="T83" s="360"/>
      <c r="U83" s="360"/>
      <c r="V83" s="360"/>
      <c r="W83" s="395"/>
      <c r="X83" s="360"/>
      <c r="Y83" s="360"/>
      <c r="Z83" s="360"/>
      <c r="AA83" s="360"/>
      <c r="AB83" s="360"/>
      <c r="AC83" s="360"/>
      <c r="AD83" s="360"/>
      <c r="AE83" s="304"/>
      <c r="AF83" s="304"/>
      <c r="AG83" s="304"/>
      <c r="AH83" s="304"/>
      <c r="AI83" s="304"/>
      <c r="AJ83" s="304"/>
      <c r="AK83" s="304"/>
      <c r="AL83" s="304"/>
      <c r="AM83" s="304"/>
      <c r="AN83" s="304"/>
      <c r="AO83" s="304"/>
      <c r="AP83" s="304"/>
      <c r="AQ83" s="304"/>
      <c r="AR83" s="304"/>
      <c r="AS83" s="304"/>
      <c r="AT83" s="304"/>
      <c r="AU83" s="304"/>
      <c r="AV83" s="304"/>
      <c r="AW83" s="304"/>
      <c r="AX83" s="304"/>
      <c r="AY83" s="304"/>
      <c r="AZ83" s="304"/>
    </row>
    <row r="84" spans="1:52">
      <c r="A84" s="438"/>
      <c r="B84" s="438"/>
      <c r="C84" s="438"/>
      <c r="D84" s="438"/>
      <c r="E84" s="438"/>
      <c r="F84" s="438"/>
      <c r="G84" s="438"/>
      <c r="H84" s="438"/>
      <c r="I84" s="438"/>
      <c r="J84" s="438"/>
      <c r="K84" s="438"/>
      <c r="L84" s="438"/>
      <c r="M84" s="360"/>
      <c r="N84" s="360"/>
      <c r="O84" s="360"/>
      <c r="P84" s="360"/>
      <c r="Q84" s="360"/>
      <c r="R84" s="360"/>
      <c r="S84" s="360"/>
      <c r="T84" s="360"/>
      <c r="U84" s="360"/>
      <c r="V84" s="360"/>
      <c r="W84" s="360"/>
      <c r="X84" s="360"/>
      <c r="Y84" s="360"/>
      <c r="Z84" s="360"/>
      <c r="AA84" s="360"/>
      <c r="AB84" s="360"/>
      <c r="AC84" s="360"/>
      <c r="AD84" s="360"/>
      <c r="AE84" s="304"/>
      <c r="AF84" s="304"/>
      <c r="AG84" s="304"/>
      <c r="AH84" s="304"/>
      <c r="AI84" s="304"/>
      <c r="AJ84" s="304"/>
      <c r="AK84" s="304"/>
      <c r="AL84" s="304"/>
      <c r="AM84" s="304"/>
      <c r="AN84" s="304"/>
      <c r="AO84" s="304"/>
      <c r="AP84" s="304"/>
      <c r="AQ84" s="304"/>
      <c r="AR84" s="304"/>
      <c r="AS84" s="304"/>
      <c r="AT84" s="304"/>
      <c r="AU84" s="304"/>
      <c r="AV84" s="304"/>
      <c r="AW84" s="304"/>
      <c r="AX84" s="304"/>
      <c r="AY84" s="304"/>
      <c r="AZ84" s="304"/>
    </row>
    <row r="85" spans="1:52" ht="15">
      <c r="A85" s="438"/>
      <c r="B85" s="438"/>
      <c r="C85" s="438"/>
      <c r="D85" s="438"/>
      <c r="E85" s="438"/>
      <c r="F85" s="438"/>
      <c r="G85" s="438"/>
      <c r="H85" s="438"/>
      <c r="I85" s="438"/>
      <c r="J85" s="438"/>
      <c r="K85" s="438"/>
      <c r="L85" s="438"/>
      <c r="M85" s="360"/>
      <c r="N85" s="360"/>
      <c r="O85" s="360"/>
      <c r="P85" s="360"/>
      <c r="Q85" s="360"/>
      <c r="R85" s="360"/>
      <c r="S85" s="360"/>
      <c r="T85" s="360"/>
      <c r="U85" s="360"/>
      <c r="V85" s="360"/>
      <c r="W85" s="360"/>
      <c r="X85" s="360"/>
      <c r="Y85" s="360"/>
      <c r="Z85" s="360"/>
      <c r="AA85" s="360"/>
      <c r="AB85" s="395"/>
      <c r="AC85" s="360"/>
      <c r="AD85" s="360"/>
      <c r="AE85" s="304"/>
      <c r="AF85" s="304"/>
      <c r="AG85" s="304"/>
      <c r="AH85" s="304"/>
      <c r="AI85" s="304"/>
      <c r="AJ85" s="304"/>
      <c r="AK85" s="304"/>
      <c r="AL85" s="304"/>
      <c r="AM85" s="304"/>
      <c r="AN85" s="304"/>
      <c r="AO85" s="304"/>
      <c r="AP85" s="304"/>
      <c r="AQ85" s="304"/>
      <c r="AR85" s="304"/>
      <c r="AS85" s="304"/>
      <c r="AT85" s="304"/>
      <c r="AU85" s="304"/>
      <c r="AV85" s="304"/>
      <c r="AW85" s="304"/>
      <c r="AX85" s="304"/>
      <c r="AY85" s="304"/>
      <c r="AZ85" s="304"/>
    </row>
    <row r="86" spans="1:52">
      <c r="A86" s="438"/>
      <c r="B86" s="438"/>
      <c r="C86" s="438"/>
      <c r="D86" s="438"/>
      <c r="E86" s="438"/>
      <c r="F86" s="438"/>
      <c r="G86" s="438"/>
      <c r="H86" s="438"/>
      <c r="I86" s="438"/>
      <c r="J86" s="438"/>
      <c r="K86" s="446"/>
      <c r="L86" s="438"/>
      <c r="M86" s="360"/>
      <c r="N86" s="360"/>
      <c r="O86" s="360"/>
      <c r="P86" s="360"/>
      <c r="Q86" s="360"/>
      <c r="R86" s="360"/>
      <c r="S86" s="360"/>
      <c r="T86" s="360"/>
      <c r="U86" s="360"/>
      <c r="V86" s="360"/>
      <c r="W86" s="360"/>
      <c r="X86" s="360"/>
      <c r="Y86" s="360"/>
      <c r="Z86" s="360"/>
      <c r="AA86" s="360"/>
      <c r="AB86" s="360"/>
      <c r="AC86" s="360"/>
      <c r="AD86" s="360"/>
      <c r="AE86" s="304"/>
      <c r="AF86" s="304"/>
      <c r="AG86" s="304"/>
      <c r="AH86" s="304"/>
      <c r="AI86" s="304"/>
      <c r="AJ86" s="304"/>
      <c r="AK86" s="304"/>
      <c r="AL86" s="304"/>
      <c r="AM86" s="304"/>
      <c r="AN86" s="304"/>
      <c r="AO86" s="304"/>
      <c r="AP86" s="304"/>
      <c r="AQ86" s="304"/>
      <c r="AR86" s="304"/>
      <c r="AS86" s="304"/>
      <c r="AT86" s="304"/>
      <c r="AU86" s="304"/>
      <c r="AV86" s="304"/>
      <c r="AW86" s="304"/>
      <c r="AX86" s="304"/>
      <c r="AY86" s="304"/>
      <c r="AZ86" s="304"/>
    </row>
    <row r="87" spans="1:52">
      <c r="A87" s="438"/>
      <c r="B87" s="438"/>
      <c r="C87" s="438"/>
      <c r="D87" s="438"/>
      <c r="E87" s="438"/>
      <c r="F87" s="438"/>
      <c r="G87" s="438"/>
      <c r="H87" s="438"/>
      <c r="I87" s="438"/>
      <c r="J87" s="438"/>
      <c r="K87" s="438"/>
      <c r="L87" s="438"/>
      <c r="M87" s="360"/>
      <c r="N87" s="360"/>
      <c r="O87" s="360"/>
      <c r="P87" s="360"/>
      <c r="Q87" s="360"/>
      <c r="R87" s="360"/>
      <c r="S87" s="360"/>
      <c r="T87" s="360"/>
      <c r="U87" s="360"/>
      <c r="V87" s="360"/>
      <c r="W87" s="360"/>
      <c r="X87" s="360"/>
      <c r="Y87" s="360"/>
      <c r="Z87" s="360"/>
      <c r="AA87" s="360"/>
      <c r="AB87" s="360"/>
      <c r="AC87" s="360"/>
      <c r="AD87" s="360"/>
      <c r="AE87" s="304"/>
      <c r="AF87" s="304"/>
      <c r="AG87" s="304"/>
      <c r="AH87" s="304"/>
      <c r="AI87" s="304"/>
      <c r="AJ87" s="304"/>
      <c r="AK87" s="304"/>
      <c r="AL87" s="304"/>
      <c r="AM87" s="304"/>
      <c r="AN87" s="304"/>
      <c r="AO87" s="304"/>
      <c r="AP87" s="304"/>
      <c r="AQ87" s="304"/>
      <c r="AR87" s="304"/>
      <c r="AS87" s="304"/>
      <c r="AT87" s="304"/>
      <c r="AU87" s="304"/>
      <c r="AV87" s="304"/>
      <c r="AW87" s="304"/>
      <c r="AX87" s="304"/>
      <c r="AY87" s="304"/>
      <c r="AZ87" s="304"/>
    </row>
    <row r="88" spans="1:52">
      <c r="A88" s="438"/>
      <c r="B88" s="438"/>
      <c r="C88" s="438"/>
      <c r="D88" s="438"/>
      <c r="E88" s="438"/>
      <c r="F88" s="438"/>
      <c r="G88" s="438"/>
      <c r="H88" s="438"/>
      <c r="I88" s="438"/>
      <c r="J88" s="438"/>
      <c r="K88" s="438"/>
      <c r="L88" s="438"/>
      <c r="M88" s="360"/>
      <c r="N88" s="360"/>
      <c r="O88" s="360"/>
      <c r="P88" s="360"/>
      <c r="Q88" s="360"/>
      <c r="R88" s="360"/>
      <c r="S88" s="360"/>
      <c r="T88" s="360"/>
      <c r="U88" s="360"/>
      <c r="V88" s="360"/>
      <c r="W88" s="360"/>
      <c r="X88" s="360"/>
      <c r="Y88" s="360"/>
      <c r="Z88" s="360"/>
      <c r="AA88" s="360"/>
      <c r="AB88" s="360"/>
      <c r="AC88" s="360"/>
      <c r="AD88" s="360"/>
      <c r="AE88" s="304"/>
      <c r="AF88" s="304"/>
      <c r="AG88" s="304"/>
      <c r="AH88" s="304"/>
      <c r="AI88" s="304"/>
      <c r="AJ88" s="304"/>
      <c r="AK88" s="304"/>
      <c r="AL88" s="304"/>
      <c r="AM88" s="304"/>
      <c r="AN88" s="304"/>
      <c r="AO88" s="304"/>
      <c r="AP88" s="304"/>
      <c r="AQ88" s="304"/>
      <c r="AR88" s="304"/>
      <c r="AS88" s="304"/>
      <c r="AT88" s="304"/>
      <c r="AU88" s="304"/>
      <c r="AV88" s="304"/>
      <c r="AW88" s="304"/>
      <c r="AX88" s="304"/>
      <c r="AY88" s="304"/>
      <c r="AZ88" s="304"/>
    </row>
    <row r="89" spans="1:52">
      <c r="A89" s="438"/>
      <c r="B89" s="438"/>
      <c r="C89" s="438"/>
      <c r="D89" s="438"/>
      <c r="E89" s="438"/>
      <c r="F89" s="438"/>
      <c r="G89" s="438"/>
      <c r="H89" s="438"/>
      <c r="I89" s="438"/>
      <c r="J89" s="438"/>
      <c r="K89" s="438"/>
      <c r="L89" s="438"/>
      <c r="M89" s="360"/>
      <c r="N89" s="360"/>
      <c r="O89" s="360"/>
      <c r="P89" s="360"/>
      <c r="Q89" s="360"/>
      <c r="R89" s="360"/>
      <c r="S89" s="360"/>
      <c r="T89" s="360"/>
      <c r="U89" s="360"/>
      <c r="V89" s="360"/>
      <c r="W89" s="360"/>
      <c r="X89" s="360"/>
      <c r="Y89" s="360"/>
      <c r="Z89" s="360"/>
      <c r="AA89" s="360"/>
      <c r="AB89" s="360"/>
      <c r="AC89" s="360"/>
      <c r="AD89" s="360"/>
      <c r="AE89" s="304"/>
      <c r="AF89" s="304"/>
      <c r="AG89" s="304"/>
      <c r="AH89" s="304"/>
      <c r="AI89" s="304"/>
      <c r="AJ89" s="304"/>
      <c r="AK89" s="304"/>
      <c r="AL89" s="304"/>
      <c r="AM89" s="304"/>
      <c r="AN89" s="304"/>
      <c r="AO89" s="304"/>
      <c r="AP89" s="304"/>
      <c r="AQ89" s="304"/>
      <c r="AR89" s="304"/>
      <c r="AS89" s="304"/>
      <c r="AT89" s="304"/>
      <c r="AU89" s="304"/>
      <c r="AV89" s="304"/>
      <c r="AW89" s="304"/>
      <c r="AX89" s="304"/>
      <c r="AY89" s="304"/>
      <c r="AZ89" s="304"/>
    </row>
    <row r="90" spans="1:52">
      <c r="A90" s="438"/>
      <c r="B90" s="438"/>
      <c r="C90" s="438"/>
      <c r="D90" s="438"/>
      <c r="E90" s="438"/>
      <c r="F90" s="438"/>
      <c r="G90" s="438"/>
      <c r="H90" s="438"/>
      <c r="I90" s="438"/>
      <c r="J90" s="438"/>
      <c r="K90" s="438"/>
      <c r="L90" s="438"/>
      <c r="M90" s="360"/>
      <c r="N90" s="360"/>
      <c r="O90" s="360"/>
      <c r="P90" s="360"/>
      <c r="Q90" s="360"/>
      <c r="R90" s="360"/>
      <c r="S90" s="360"/>
      <c r="T90" s="360"/>
      <c r="U90" s="360"/>
      <c r="V90" s="360"/>
      <c r="W90" s="360"/>
      <c r="X90" s="360"/>
      <c r="Y90" s="360"/>
      <c r="Z90" s="360"/>
      <c r="AA90" s="360"/>
      <c r="AB90" s="360"/>
      <c r="AC90" s="360"/>
      <c r="AD90" s="360"/>
      <c r="AE90" s="304"/>
      <c r="AF90" s="304"/>
      <c r="AG90" s="304"/>
      <c r="AH90" s="304"/>
      <c r="AI90" s="304"/>
      <c r="AJ90" s="304"/>
      <c r="AK90" s="304"/>
      <c r="AL90" s="304"/>
      <c r="AM90" s="304"/>
      <c r="AN90" s="304"/>
      <c r="AO90" s="304"/>
      <c r="AP90" s="304"/>
      <c r="AQ90" s="304"/>
      <c r="AR90" s="304"/>
      <c r="AS90" s="304"/>
      <c r="AT90" s="304"/>
      <c r="AU90" s="304"/>
      <c r="AV90" s="304"/>
      <c r="AW90" s="304"/>
      <c r="AX90" s="304"/>
      <c r="AY90" s="304"/>
      <c r="AZ90" s="304"/>
    </row>
    <row r="91" spans="1:52">
      <c r="A91" s="438"/>
      <c r="B91" s="438"/>
      <c r="C91" s="438"/>
      <c r="D91" s="438"/>
      <c r="E91" s="438"/>
      <c r="F91" s="438"/>
      <c r="G91" s="438"/>
      <c r="H91" s="438"/>
      <c r="I91" s="438"/>
      <c r="J91" s="438"/>
      <c r="K91" s="438"/>
      <c r="L91" s="438"/>
      <c r="M91" s="360"/>
      <c r="N91" s="360"/>
      <c r="O91" s="360"/>
      <c r="P91" s="360"/>
      <c r="Q91" s="360"/>
      <c r="R91" s="360"/>
      <c r="S91" s="360"/>
      <c r="T91" s="360"/>
      <c r="U91" s="360"/>
      <c r="V91" s="360"/>
      <c r="W91" s="360"/>
      <c r="X91" s="360"/>
      <c r="Y91" s="360"/>
      <c r="Z91" s="360"/>
      <c r="AA91" s="360"/>
      <c r="AB91" s="360"/>
      <c r="AC91" s="360"/>
      <c r="AD91" s="360"/>
      <c r="AE91" s="304"/>
      <c r="AF91" s="304"/>
      <c r="AG91" s="304"/>
      <c r="AH91" s="304"/>
      <c r="AI91" s="304"/>
      <c r="AJ91" s="304"/>
      <c r="AK91" s="304"/>
      <c r="AL91" s="304"/>
      <c r="AM91" s="304"/>
      <c r="AN91" s="304"/>
      <c r="AO91" s="304"/>
      <c r="AP91" s="304"/>
      <c r="AQ91" s="304"/>
      <c r="AR91" s="304"/>
      <c r="AS91" s="304"/>
      <c r="AT91" s="304"/>
      <c r="AU91" s="304"/>
      <c r="AV91" s="304"/>
      <c r="AW91" s="304"/>
      <c r="AX91" s="304"/>
      <c r="AY91" s="304"/>
      <c r="AZ91" s="304"/>
    </row>
    <row r="92" spans="1:52">
      <c r="A92" s="438"/>
      <c r="B92" s="438"/>
      <c r="C92" s="438"/>
      <c r="D92" s="438"/>
      <c r="E92" s="438"/>
      <c r="F92" s="438"/>
      <c r="G92" s="438"/>
      <c r="H92" s="438"/>
      <c r="I92" s="438"/>
      <c r="J92" s="438"/>
      <c r="K92" s="438"/>
      <c r="L92" s="438"/>
      <c r="M92" s="360"/>
      <c r="N92" s="360"/>
      <c r="O92" s="360"/>
      <c r="P92" s="360"/>
      <c r="Q92" s="360"/>
      <c r="R92" s="360"/>
      <c r="S92" s="360"/>
      <c r="T92" s="360"/>
      <c r="U92" s="360"/>
      <c r="V92" s="360"/>
      <c r="W92" s="360"/>
      <c r="X92" s="360"/>
      <c r="Y92" s="360"/>
      <c r="Z92" s="360"/>
      <c r="AA92" s="360"/>
      <c r="AB92" s="360"/>
      <c r="AC92" s="360"/>
      <c r="AD92" s="360"/>
      <c r="AE92" s="304"/>
      <c r="AF92" s="304"/>
      <c r="AG92" s="304"/>
      <c r="AH92" s="304"/>
      <c r="AI92" s="304"/>
      <c r="AJ92" s="304"/>
      <c r="AK92" s="304"/>
      <c r="AL92" s="304"/>
      <c r="AM92" s="304"/>
      <c r="AN92" s="304"/>
      <c r="AO92" s="304"/>
      <c r="AP92" s="304"/>
      <c r="AQ92" s="304"/>
      <c r="AR92" s="304"/>
      <c r="AS92" s="304"/>
      <c r="AT92" s="304"/>
      <c r="AU92" s="304"/>
      <c r="AV92" s="304"/>
      <c r="AW92" s="304"/>
      <c r="AX92" s="304"/>
      <c r="AY92" s="304"/>
      <c r="AZ92" s="304"/>
    </row>
    <row r="93" spans="1:52" ht="18.75" customHeight="1">
      <c r="A93" s="438"/>
      <c r="B93" s="438"/>
      <c r="C93" s="438"/>
      <c r="D93" s="438"/>
      <c r="E93" s="438"/>
      <c r="F93" s="438"/>
      <c r="G93" s="438"/>
      <c r="H93" s="438"/>
      <c r="I93" s="438"/>
      <c r="J93" s="438"/>
      <c r="K93" s="438"/>
      <c r="L93" s="438"/>
      <c r="M93" s="360"/>
      <c r="N93" s="360"/>
      <c r="O93" s="360"/>
      <c r="P93" s="360"/>
      <c r="Q93" s="360"/>
      <c r="R93" s="360"/>
      <c r="S93" s="360"/>
      <c r="T93" s="360"/>
      <c r="U93" s="360"/>
      <c r="V93" s="360"/>
      <c r="W93" s="360"/>
      <c r="X93" s="360"/>
      <c r="Y93" s="360"/>
      <c r="Z93" s="360"/>
      <c r="AA93" s="360"/>
      <c r="AB93" s="360"/>
      <c r="AC93" s="360"/>
      <c r="AD93" s="360"/>
      <c r="AE93" s="304"/>
      <c r="AF93" s="304"/>
      <c r="AG93" s="304"/>
      <c r="AH93" s="304"/>
      <c r="AI93" s="304"/>
      <c r="AJ93" s="304"/>
      <c r="AK93" s="304"/>
      <c r="AL93" s="304"/>
      <c r="AM93" s="304"/>
      <c r="AN93" s="304"/>
      <c r="AO93" s="304"/>
      <c r="AP93" s="304"/>
      <c r="AQ93" s="304"/>
      <c r="AR93" s="304"/>
      <c r="AS93" s="304"/>
      <c r="AT93" s="304"/>
      <c r="AU93" s="304"/>
      <c r="AV93" s="304"/>
      <c r="AW93" s="304"/>
      <c r="AX93" s="304"/>
      <c r="AY93" s="304"/>
      <c r="AZ93" s="304"/>
    </row>
    <row r="94" spans="1:52" s="398" customFormat="1" ht="13.5" customHeight="1">
      <c r="A94" s="397"/>
      <c r="B94" s="397"/>
      <c r="C94" s="397"/>
      <c r="D94" s="397"/>
      <c r="E94" s="397"/>
      <c r="F94" s="397"/>
      <c r="G94" s="397"/>
      <c r="H94" s="397"/>
      <c r="I94" s="397"/>
      <c r="J94" s="397"/>
      <c r="K94" s="397"/>
      <c r="L94" s="397"/>
      <c r="M94" s="397"/>
      <c r="N94" s="397"/>
      <c r="O94" s="397"/>
      <c r="P94" s="397"/>
      <c r="Q94" s="397"/>
      <c r="R94" s="397"/>
      <c r="S94" s="397"/>
      <c r="T94" s="397"/>
      <c r="U94" s="397"/>
      <c r="V94" s="397"/>
      <c r="W94" s="397"/>
      <c r="X94" s="397"/>
      <c r="Y94" s="397"/>
      <c r="Z94" s="397"/>
      <c r="AA94" s="397"/>
      <c r="AB94" s="397"/>
      <c r="AC94" s="397"/>
      <c r="AD94" s="397"/>
      <c r="AE94" s="397"/>
      <c r="AF94" s="397"/>
      <c r="AG94" s="397"/>
      <c r="AH94" s="397"/>
      <c r="AI94" s="397"/>
      <c r="AJ94" s="397"/>
      <c r="AK94" s="397"/>
      <c r="AL94" s="397"/>
      <c r="AM94" s="397"/>
      <c r="AN94" s="397"/>
      <c r="AO94" s="397"/>
      <c r="AP94" s="397"/>
      <c r="AQ94" s="397"/>
      <c r="AR94" s="397"/>
      <c r="AS94" s="397"/>
      <c r="AT94" s="397"/>
      <c r="AU94" s="397"/>
      <c r="AV94" s="397"/>
      <c r="AW94" s="397"/>
      <c r="AX94" s="397"/>
      <c r="AY94" s="397"/>
      <c r="AZ94" s="397"/>
    </row>
    <row r="95" spans="1:52" s="682" customFormat="1" ht="27" customHeight="1">
      <c r="A95" s="682" t="s">
        <v>8050</v>
      </c>
    </row>
    <row r="96" spans="1:52">
      <c r="A96" s="304"/>
      <c r="B96" s="304"/>
      <c r="C96" s="304"/>
      <c r="D96" s="304"/>
      <c r="E96" s="304"/>
      <c r="F96" s="304"/>
      <c r="G96" s="304"/>
      <c r="H96" s="304"/>
      <c r="I96" s="304"/>
      <c r="J96" s="304"/>
      <c r="K96" s="360"/>
      <c r="L96" s="360"/>
      <c r="M96" s="360"/>
      <c r="N96" s="360"/>
      <c r="O96" s="360"/>
      <c r="P96" s="360"/>
      <c r="Q96" s="360"/>
      <c r="R96" s="360"/>
      <c r="S96" s="360"/>
      <c r="T96" s="360"/>
      <c r="U96" s="360"/>
      <c r="V96" s="360"/>
      <c r="W96" s="360"/>
      <c r="X96" s="360"/>
      <c r="Y96" s="360"/>
      <c r="Z96" s="360"/>
      <c r="AA96" s="360"/>
      <c r="AB96" s="360"/>
      <c r="AC96" s="360"/>
      <c r="AD96" s="360"/>
      <c r="AE96" s="304"/>
      <c r="AF96" s="304"/>
      <c r="AG96" s="304"/>
      <c r="AH96" s="304"/>
      <c r="AI96" s="304"/>
      <c r="AJ96" s="304"/>
      <c r="AK96" s="304"/>
      <c r="AL96" s="304"/>
      <c r="AM96" s="304"/>
      <c r="AN96" s="304"/>
      <c r="AO96" s="304"/>
      <c r="AP96" s="304"/>
      <c r="AQ96" s="304"/>
      <c r="AR96" s="304"/>
      <c r="AS96" s="304"/>
      <c r="AT96" s="304"/>
      <c r="AU96" s="304"/>
      <c r="AV96" s="304"/>
      <c r="AW96" s="304"/>
      <c r="AX96" s="304"/>
      <c r="AY96" s="304"/>
      <c r="AZ96" s="304"/>
    </row>
    <row r="97" spans="1:52">
      <c r="A97" s="304"/>
      <c r="B97" s="304"/>
      <c r="C97" s="304"/>
      <c r="D97" s="304"/>
      <c r="E97" s="304"/>
      <c r="F97" s="304"/>
      <c r="G97" s="304"/>
      <c r="H97" s="304"/>
      <c r="I97" s="304"/>
      <c r="J97" s="304"/>
      <c r="K97" s="360"/>
      <c r="L97" s="360"/>
      <c r="M97" s="360"/>
      <c r="N97" s="360"/>
      <c r="O97" s="360"/>
      <c r="P97" s="360"/>
      <c r="Q97" s="360"/>
      <c r="R97" s="360"/>
      <c r="S97" s="360"/>
      <c r="T97" s="360"/>
      <c r="U97" s="360"/>
      <c r="V97" s="360"/>
      <c r="W97" s="360"/>
      <c r="X97" s="360"/>
      <c r="Y97" s="360"/>
      <c r="Z97" s="360"/>
      <c r="AA97" s="360"/>
      <c r="AB97" s="360"/>
      <c r="AC97" s="360"/>
      <c r="AD97" s="360"/>
      <c r="AE97" s="304"/>
      <c r="AF97" s="304"/>
      <c r="AG97" s="304"/>
      <c r="AH97" s="304"/>
      <c r="AI97" s="304"/>
      <c r="AJ97" s="304"/>
      <c r="AK97" s="304"/>
      <c r="AL97" s="304"/>
      <c r="AM97" s="304"/>
      <c r="AN97" s="304"/>
      <c r="AO97" s="304"/>
      <c r="AP97" s="304"/>
      <c r="AQ97" s="304"/>
      <c r="AR97" s="304"/>
      <c r="AS97" s="304"/>
      <c r="AT97" s="304"/>
      <c r="AU97" s="304"/>
      <c r="AV97" s="304"/>
      <c r="AW97" s="304"/>
      <c r="AX97" s="304"/>
      <c r="AY97" s="304"/>
      <c r="AZ97" s="304"/>
    </row>
    <row r="98" spans="1:52">
      <c r="A98" s="304"/>
      <c r="B98" s="304"/>
      <c r="C98" s="304"/>
      <c r="D98" s="304"/>
      <c r="E98" s="304"/>
      <c r="F98" s="304"/>
      <c r="G98" s="304"/>
      <c r="H98" s="304"/>
      <c r="I98" s="304"/>
      <c r="J98" s="304"/>
      <c r="K98" s="360"/>
      <c r="L98" s="360"/>
      <c r="M98" s="360"/>
      <c r="N98" s="360"/>
      <c r="O98" s="360"/>
      <c r="P98" s="360"/>
      <c r="Q98" s="360"/>
      <c r="R98" s="360"/>
      <c r="S98" s="360"/>
      <c r="T98" s="360"/>
      <c r="U98" s="360"/>
      <c r="V98" s="360"/>
      <c r="W98" s="360"/>
      <c r="X98" s="360"/>
      <c r="Y98" s="360"/>
      <c r="Z98" s="360"/>
      <c r="AA98" s="360"/>
      <c r="AB98" s="360"/>
      <c r="AC98" s="360"/>
      <c r="AD98" s="360"/>
      <c r="AE98" s="304"/>
      <c r="AF98" s="304"/>
      <c r="AG98" s="304"/>
      <c r="AH98" s="304"/>
      <c r="AI98" s="304"/>
      <c r="AJ98" s="304"/>
      <c r="AK98" s="304"/>
      <c r="AL98" s="304"/>
      <c r="AM98" s="304"/>
      <c r="AN98" s="304"/>
      <c r="AO98" s="304"/>
      <c r="AP98" s="304"/>
      <c r="AQ98" s="304"/>
      <c r="AR98" s="304"/>
      <c r="AS98" s="304"/>
      <c r="AT98" s="304"/>
      <c r="AU98" s="304"/>
      <c r="AV98" s="304"/>
      <c r="AW98" s="304"/>
      <c r="AX98" s="304"/>
      <c r="AY98" s="304"/>
      <c r="AZ98" s="304"/>
    </row>
    <row r="99" spans="1:52">
      <c r="A99" s="304"/>
      <c r="B99" s="304"/>
      <c r="C99" s="304"/>
      <c r="D99" s="304"/>
      <c r="E99" s="304"/>
      <c r="F99" s="304"/>
      <c r="G99" s="304"/>
      <c r="H99" s="304"/>
      <c r="I99" s="304"/>
      <c r="J99" s="304"/>
      <c r="K99" s="360"/>
      <c r="L99" s="360"/>
      <c r="M99" s="360"/>
      <c r="N99" s="360"/>
      <c r="O99" s="360"/>
      <c r="P99" s="360"/>
      <c r="Q99" s="360"/>
      <c r="R99" s="360"/>
      <c r="S99" s="360"/>
      <c r="T99" s="360"/>
      <c r="U99" s="360"/>
      <c r="V99" s="360"/>
      <c r="W99" s="360"/>
      <c r="X99" s="360"/>
      <c r="Y99" s="360"/>
      <c r="Z99" s="360"/>
      <c r="AA99" s="360"/>
      <c r="AB99" s="360"/>
      <c r="AC99" s="360"/>
      <c r="AD99" s="360"/>
      <c r="AE99" s="304"/>
      <c r="AF99" s="304"/>
      <c r="AG99" s="304"/>
      <c r="AH99" s="304"/>
      <c r="AI99" s="304"/>
      <c r="AJ99" s="304"/>
      <c r="AK99" s="304"/>
      <c r="AL99" s="304"/>
      <c r="AM99" s="304"/>
      <c r="AN99" s="304"/>
      <c r="AO99" s="304"/>
      <c r="AP99" s="304"/>
      <c r="AQ99" s="304"/>
      <c r="AR99" s="304"/>
      <c r="AS99" s="304"/>
      <c r="AT99" s="304"/>
      <c r="AU99" s="304"/>
      <c r="AV99" s="304"/>
      <c r="AW99" s="304"/>
      <c r="AX99" s="304"/>
      <c r="AY99" s="304"/>
      <c r="AZ99" s="304"/>
    </row>
    <row r="100" spans="1:52">
      <c r="A100" s="304"/>
      <c r="B100" s="304"/>
      <c r="C100" s="304"/>
      <c r="D100" s="304"/>
      <c r="E100" s="304"/>
      <c r="F100" s="304"/>
      <c r="G100" s="304"/>
      <c r="H100" s="304"/>
      <c r="I100" s="304"/>
      <c r="J100" s="304"/>
      <c r="K100" s="360"/>
      <c r="L100" s="360"/>
      <c r="M100" s="360"/>
      <c r="N100" s="360"/>
      <c r="O100" s="360"/>
      <c r="P100" s="360"/>
      <c r="Q100" s="360"/>
      <c r="R100" s="360"/>
      <c r="S100" s="360"/>
      <c r="T100" s="360"/>
      <c r="U100" s="360"/>
      <c r="V100" s="360"/>
      <c r="W100" s="360"/>
      <c r="X100" s="360"/>
      <c r="Y100" s="360"/>
      <c r="Z100" s="360"/>
      <c r="AA100" s="360"/>
      <c r="AB100" s="360"/>
      <c r="AC100" s="360"/>
      <c r="AD100" s="360"/>
      <c r="AE100" s="304"/>
      <c r="AF100" s="304"/>
      <c r="AG100" s="304"/>
      <c r="AH100" s="304"/>
      <c r="AI100" s="304"/>
      <c r="AJ100" s="304"/>
      <c r="AK100" s="304"/>
      <c r="AL100" s="304"/>
      <c r="AM100" s="304"/>
      <c r="AN100" s="304"/>
      <c r="AO100" s="304"/>
      <c r="AP100" s="304"/>
      <c r="AQ100" s="304"/>
      <c r="AR100" s="304"/>
      <c r="AS100" s="304"/>
      <c r="AT100" s="304"/>
      <c r="AU100" s="304"/>
      <c r="AV100" s="304"/>
      <c r="AW100" s="304"/>
      <c r="AX100" s="304"/>
      <c r="AY100" s="304"/>
      <c r="AZ100" s="304"/>
    </row>
    <row r="101" spans="1:52">
      <c r="A101" s="304"/>
      <c r="B101" s="304"/>
      <c r="C101" s="304"/>
      <c r="D101" s="304"/>
      <c r="E101" s="304"/>
      <c r="F101" s="304"/>
      <c r="G101" s="304"/>
      <c r="H101" s="304"/>
      <c r="I101" s="304"/>
      <c r="J101" s="304"/>
      <c r="K101" s="360"/>
      <c r="L101" s="360"/>
      <c r="M101" s="360"/>
      <c r="N101" s="360"/>
      <c r="O101" s="360"/>
      <c r="P101" s="360"/>
      <c r="Q101" s="360"/>
      <c r="R101" s="360"/>
      <c r="S101" s="360"/>
      <c r="T101" s="360"/>
      <c r="U101" s="360"/>
      <c r="V101" s="360"/>
      <c r="W101" s="360"/>
      <c r="X101" s="360"/>
      <c r="Y101" s="360"/>
      <c r="Z101" s="360"/>
      <c r="AA101" s="360"/>
      <c r="AB101" s="360"/>
      <c r="AC101" s="360"/>
      <c r="AD101" s="360"/>
      <c r="AE101" s="304"/>
      <c r="AF101" s="304"/>
      <c r="AG101" s="304"/>
      <c r="AH101" s="304"/>
      <c r="AI101" s="304"/>
      <c r="AJ101" s="304"/>
      <c r="AK101" s="304"/>
      <c r="AL101" s="304"/>
      <c r="AM101" s="304"/>
      <c r="AN101" s="304"/>
      <c r="AO101" s="304"/>
      <c r="AP101" s="304"/>
      <c r="AQ101" s="304"/>
      <c r="AR101" s="304"/>
      <c r="AS101" s="304"/>
      <c r="AT101" s="304"/>
      <c r="AU101" s="304"/>
      <c r="AV101" s="304"/>
      <c r="AW101" s="304"/>
      <c r="AX101" s="304"/>
      <c r="AY101" s="304"/>
      <c r="AZ101" s="304"/>
    </row>
    <row r="102" spans="1:52">
      <c r="A102" s="304"/>
      <c r="B102" s="304"/>
      <c r="C102" s="304"/>
      <c r="D102" s="304"/>
      <c r="E102" s="304"/>
      <c r="F102" s="304"/>
      <c r="G102" s="304"/>
      <c r="H102" s="304"/>
      <c r="I102" s="304"/>
      <c r="J102" s="304"/>
      <c r="K102" s="360"/>
      <c r="L102" s="360"/>
      <c r="M102" s="360"/>
      <c r="N102" s="360"/>
      <c r="O102" s="360"/>
      <c r="P102" s="360"/>
      <c r="Q102" s="360"/>
      <c r="R102" s="360"/>
      <c r="S102" s="360"/>
      <c r="T102" s="360"/>
      <c r="U102" s="360"/>
      <c r="V102" s="360"/>
      <c r="W102" s="360"/>
      <c r="X102" s="360"/>
      <c r="Y102" s="360"/>
      <c r="Z102" s="360"/>
      <c r="AA102" s="360"/>
      <c r="AB102" s="360"/>
      <c r="AC102" s="360"/>
      <c r="AD102" s="360"/>
      <c r="AE102" s="304"/>
      <c r="AF102" s="304"/>
      <c r="AG102" s="304"/>
      <c r="AH102" s="304"/>
      <c r="AI102" s="304"/>
      <c r="AJ102" s="304"/>
      <c r="AK102" s="304"/>
      <c r="AL102" s="304"/>
      <c r="AM102" s="304"/>
      <c r="AN102" s="304"/>
      <c r="AO102" s="304"/>
      <c r="AP102" s="304"/>
      <c r="AQ102" s="304"/>
      <c r="AR102" s="304"/>
      <c r="AS102" s="304"/>
      <c r="AT102" s="304"/>
      <c r="AU102" s="304"/>
      <c r="AV102" s="304"/>
      <c r="AW102" s="304"/>
      <c r="AX102" s="304"/>
      <c r="AY102" s="304"/>
      <c r="AZ102" s="304"/>
    </row>
    <row r="103" spans="1:52">
      <c r="A103" s="304"/>
      <c r="B103" s="310"/>
      <c r="C103" s="304"/>
      <c r="D103" s="304"/>
      <c r="E103" s="304"/>
      <c r="F103" s="304"/>
      <c r="G103" s="304"/>
      <c r="H103" s="304"/>
      <c r="I103" s="304"/>
      <c r="J103" s="304"/>
      <c r="K103" s="360"/>
      <c r="L103" s="360"/>
      <c r="M103" s="360"/>
      <c r="N103" s="360"/>
      <c r="O103" s="360"/>
      <c r="P103" s="360"/>
      <c r="Q103" s="360"/>
      <c r="R103" s="360"/>
      <c r="S103" s="360"/>
      <c r="T103" s="360"/>
      <c r="U103" s="360"/>
      <c r="V103" s="360"/>
      <c r="W103" s="360"/>
      <c r="X103" s="360"/>
      <c r="Y103" s="360"/>
      <c r="Z103" s="360"/>
      <c r="AA103" s="360"/>
      <c r="AB103" s="360"/>
      <c r="AC103" s="360"/>
      <c r="AD103" s="360"/>
      <c r="AE103" s="304"/>
      <c r="AF103" s="304"/>
      <c r="AG103" s="304"/>
      <c r="AH103" s="304"/>
      <c r="AI103" s="304"/>
      <c r="AJ103" s="304"/>
      <c r="AK103" s="304"/>
      <c r="AL103" s="304"/>
      <c r="AM103" s="304"/>
      <c r="AN103" s="304"/>
      <c r="AO103" s="304"/>
      <c r="AP103" s="304"/>
      <c r="AQ103" s="304"/>
      <c r="AR103" s="304"/>
      <c r="AS103" s="304"/>
      <c r="AT103" s="304"/>
      <c r="AU103" s="304"/>
      <c r="AV103" s="304"/>
      <c r="AW103" s="304"/>
      <c r="AX103" s="304"/>
      <c r="AY103" s="304"/>
      <c r="AZ103" s="304"/>
    </row>
    <row r="104" spans="1:52">
      <c r="A104" s="304"/>
      <c r="B104" s="304"/>
      <c r="C104" s="304"/>
      <c r="D104" s="304"/>
      <c r="E104" s="304"/>
      <c r="F104" s="304"/>
      <c r="G104" s="304"/>
      <c r="H104" s="304"/>
      <c r="I104" s="304"/>
      <c r="J104" s="304"/>
      <c r="K104" s="360"/>
      <c r="L104" s="360"/>
      <c r="M104" s="360"/>
      <c r="N104" s="360"/>
      <c r="O104" s="360"/>
      <c r="P104" s="360"/>
      <c r="Q104" s="360"/>
      <c r="R104" s="360"/>
      <c r="S104" s="360"/>
      <c r="T104" s="360"/>
      <c r="U104" s="360"/>
      <c r="V104" s="360"/>
      <c r="W104" s="360"/>
      <c r="X104" s="360"/>
      <c r="Y104" s="360"/>
      <c r="Z104" s="360"/>
      <c r="AA104" s="360"/>
      <c r="AB104" s="360"/>
      <c r="AC104" s="360"/>
      <c r="AD104" s="360"/>
      <c r="AE104" s="304"/>
      <c r="AF104" s="304"/>
      <c r="AG104" s="304"/>
      <c r="AH104" s="304"/>
      <c r="AI104" s="304"/>
      <c r="AJ104" s="304"/>
      <c r="AK104" s="304"/>
      <c r="AL104" s="304"/>
      <c r="AM104" s="304"/>
      <c r="AN104" s="304"/>
      <c r="AO104" s="304"/>
      <c r="AP104" s="304"/>
      <c r="AQ104" s="304"/>
      <c r="AR104" s="304"/>
      <c r="AS104" s="304"/>
      <c r="AT104" s="304"/>
      <c r="AU104" s="304"/>
      <c r="AV104" s="304"/>
      <c r="AW104" s="304"/>
      <c r="AX104" s="304"/>
      <c r="AY104" s="304"/>
      <c r="AZ104" s="304"/>
    </row>
    <row r="105" spans="1:52">
      <c r="A105" s="304"/>
      <c r="B105" s="304"/>
      <c r="C105" s="304"/>
      <c r="D105" s="304"/>
      <c r="E105" s="304"/>
      <c r="F105" s="304"/>
      <c r="G105" s="304"/>
      <c r="H105" s="304"/>
      <c r="I105" s="304"/>
      <c r="J105" s="304"/>
      <c r="K105" s="360"/>
      <c r="L105" s="360"/>
      <c r="M105" s="360"/>
      <c r="N105" s="360"/>
      <c r="O105" s="360"/>
      <c r="P105" s="360"/>
      <c r="Q105" s="360"/>
      <c r="R105" s="360"/>
      <c r="S105" s="360"/>
      <c r="T105" s="360"/>
      <c r="U105" s="360"/>
      <c r="V105" s="360"/>
      <c r="W105" s="360"/>
      <c r="X105" s="360"/>
      <c r="Y105" s="360"/>
      <c r="Z105" s="360"/>
      <c r="AA105" s="360"/>
      <c r="AB105" s="360"/>
      <c r="AC105" s="360"/>
      <c r="AD105" s="360"/>
      <c r="AE105" s="304"/>
      <c r="AF105" s="304"/>
      <c r="AG105" s="304"/>
      <c r="AH105" s="304"/>
      <c r="AI105" s="304"/>
      <c r="AJ105" s="304"/>
      <c r="AK105" s="304"/>
      <c r="AL105" s="304"/>
      <c r="AM105" s="304"/>
      <c r="AN105" s="304"/>
      <c r="AO105" s="304"/>
      <c r="AP105" s="304"/>
      <c r="AQ105" s="304"/>
      <c r="AR105" s="304"/>
      <c r="AS105" s="304"/>
      <c r="AT105" s="304"/>
      <c r="AU105" s="304"/>
      <c r="AV105" s="304"/>
      <c r="AW105" s="304"/>
      <c r="AX105" s="304"/>
      <c r="AY105" s="304"/>
      <c r="AZ105" s="304"/>
    </row>
    <row r="106" spans="1:52">
      <c r="A106" s="304"/>
      <c r="B106" s="304"/>
      <c r="C106" s="304"/>
      <c r="D106" s="304"/>
      <c r="E106" s="304"/>
      <c r="F106" s="304"/>
      <c r="G106" s="304"/>
      <c r="H106" s="304"/>
      <c r="I106" s="304"/>
      <c r="J106" s="304"/>
      <c r="K106" s="360"/>
      <c r="L106" s="360"/>
      <c r="M106" s="360"/>
      <c r="N106" s="360"/>
      <c r="O106" s="360"/>
      <c r="P106" s="360"/>
      <c r="Q106" s="360"/>
      <c r="R106" s="360"/>
      <c r="S106" s="360"/>
      <c r="T106" s="360"/>
      <c r="U106" s="360"/>
      <c r="V106" s="360"/>
      <c r="W106" s="360"/>
      <c r="X106" s="360"/>
      <c r="Y106" s="360"/>
      <c r="Z106" s="360"/>
      <c r="AA106" s="360"/>
      <c r="AB106" s="360"/>
      <c r="AC106" s="360"/>
      <c r="AD106" s="360"/>
      <c r="AE106" s="304"/>
      <c r="AF106" s="304"/>
      <c r="AG106" s="304"/>
      <c r="AH106" s="304"/>
      <c r="AI106" s="304"/>
      <c r="AJ106" s="304"/>
      <c r="AK106" s="304"/>
      <c r="AL106" s="304"/>
      <c r="AM106" s="304"/>
      <c r="AN106" s="304"/>
      <c r="AO106" s="304"/>
      <c r="AP106" s="304"/>
      <c r="AQ106" s="304"/>
      <c r="AR106" s="304"/>
      <c r="AS106" s="304"/>
      <c r="AT106" s="304"/>
      <c r="AU106" s="304"/>
      <c r="AV106" s="304"/>
      <c r="AW106" s="304"/>
      <c r="AX106" s="304"/>
      <c r="AY106" s="304"/>
      <c r="AZ106" s="304"/>
    </row>
    <row r="107" spans="1:52">
      <c r="A107" s="304"/>
      <c r="B107" s="304"/>
      <c r="C107" s="304"/>
      <c r="D107" s="304"/>
      <c r="E107" s="304"/>
      <c r="F107" s="304"/>
      <c r="G107" s="304"/>
      <c r="H107" s="304"/>
      <c r="I107" s="304"/>
      <c r="J107" s="304"/>
      <c r="K107" s="360"/>
      <c r="L107" s="360"/>
      <c r="M107" s="360"/>
      <c r="N107" s="360"/>
      <c r="O107" s="360"/>
      <c r="P107" s="360"/>
      <c r="Q107" s="360"/>
      <c r="R107" s="360"/>
      <c r="S107" s="360"/>
      <c r="T107" s="360"/>
      <c r="U107" s="360"/>
      <c r="V107" s="360"/>
      <c r="W107" s="360"/>
      <c r="X107" s="360"/>
      <c r="Y107" s="360"/>
      <c r="Z107" s="360"/>
      <c r="AA107" s="360"/>
      <c r="AB107" s="360"/>
      <c r="AC107" s="360"/>
      <c r="AD107" s="360"/>
      <c r="AE107" s="304"/>
      <c r="AF107" s="304"/>
      <c r="AG107" s="304"/>
      <c r="AH107" s="304"/>
      <c r="AI107" s="304"/>
      <c r="AJ107" s="304"/>
      <c r="AK107" s="304"/>
      <c r="AL107" s="304"/>
      <c r="AM107" s="304"/>
      <c r="AN107" s="304"/>
      <c r="AO107" s="304"/>
      <c r="AP107" s="304"/>
      <c r="AQ107" s="304"/>
      <c r="AR107" s="304"/>
      <c r="AS107" s="304"/>
      <c r="AT107" s="304"/>
      <c r="AU107" s="304"/>
      <c r="AV107" s="304"/>
      <c r="AW107" s="304"/>
      <c r="AX107" s="304"/>
      <c r="AY107" s="304"/>
      <c r="AZ107" s="304"/>
    </row>
    <row r="108" spans="1:52">
      <c r="A108" s="304"/>
      <c r="B108" s="304"/>
      <c r="C108" s="304"/>
      <c r="D108" s="304"/>
      <c r="E108" s="304"/>
      <c r="F108" s="304"/>
      <c r="G108" s="304"/>
      <c r="H108" s="304"/>
      <c r="I108" s="304"/>
      <c r="J108" s="304"/>
      <c r="K108" s="360"/>
      <c r="L108" s="360"/>
      <c r="M108" s="360"/>
      <c r="N108" s="360"/>
      <c r="O108" s="360"/>
      <c r="P108" s="360"/>
      <c r="Q108" s="360"/>
      <c r="R108" s="360"/>
      <c r="S108" s="360"/>
      <c r="T108" s="360"/>
      <c r="U108" s="360"/>
      <c r="V108" s="360"/>
      <c r="W108" s="360"/>
      <c r="X108" s="360"/>
      <c r="Y108" s="360"/>
      <c r="Z108" s="360"/>
      <c r="AA108" s="360"/>
      <c r="AB108" s="360"/>
      <c r="AC108" s="360"/>
      <c r="AD108" s="360"/>
      <c r="AE108" s="304"/>
      <c r="AF108" s="304"/>
      <c r="AG108" s="304"/>
      <c r="AH108" s="304"/>
      <c r="AI108" s="304"/>
      <c r="AJ108" s="304"/>
      <c r="AK108" s="304"/>
      <c r="AL108" s="304"/>
      <c r="AM108" s="304"/>
      <c r="AN108" s="304"/>
      <c r="AO108" s="304"/>
      <c r="AP108" s="304"/>
      <c r="AQ108" s="304"/>
      <c r="AR108" s="304"/>
      <c r="AS108" s="304"/>
      <c r="AT108" s="304"/>
      <c r="AU108" s="304"/>
      <c r="AV108" s="304"/>
      <c r="AW108" s="304"/>
      <c r="AX108" s="304"/>
      <c r="AY108" s="304"/>
      <c r="AZ108" s="304"/>
    </row>
    <row r="109" spans="1:52" ht="15">
      <c r="A109" s="304"/>
      <c r="B109" s="304"/>
      <c r="C109" s="304"/>
      <c r="D109" s="305"/>
      <c r="E109" s="304"/>
      <c r="F109" s="304"/>
      <c r="G109" s="304"/>
      <c r="H109" s="304"/>
      <c r="I109" s="304"/>
      <c r="J109" s="304"/>
      <c r="K109" s="360"/>
      <c r="L109" s="360"/>
      <c r="M109" s="360"/>
      <c r="N109" s="360"/>
      <c r="O109" s="360"/>
      <c r="P109" s="360"/>
      <c r="Q109" s="360"/>
      <c r="R109" s="360"/>
      <c r="S109" s="360"/>
      <c r="T109" s="360"/>
      <c r="U109" s="360"/>
      <c r="V109" s="360"/>
      <c r="W109" s="360"/>
      <c r="X109" s="360"/>
      <c r="Y109" s="360"/>
      <c r="Z109" s="360"/>
      <c r="AA109" s="360"/>
      <c r="AB109" s="360"/>
      <c r="AC109" s="360"/>
      <c r="AD109" s="360"/>
      <c r="AE109" s="304"/>
      <c r="AF109" s="304"/>
      <c r="AG109" s="304"/>
      <c r="AH109" s="304"/>
      <c r="AI109" s="304"/>
      <c r="AJ109" s="304"/>
      <c r="AK109" s="304"/>
      <c r="AL109" s="304"/>
      <c r="AM109" s="304"/>
      <c r="AN109" s="304"/>
      <c r="AO109" s="304"/>
      <c r="AP109" s="304"/>
      <c r="AQ109" s="304"/>
      <c r="AR109" s="304"/>
      <c r="AS109" s="304"/>
      <c r="AT109" s="304"/>
      <c r="AU109" s="304"/>
      <c r="AV109" s="304"/>
      <c r="AW109" s="304"/>
      <c r="AX109" s="304"/>
      <c r="AY109" s="304"/>
      <c r="AZ109" s="304"/>
    </row>
    <row r="110" spans="1:52">
      <c r="A110" s="304"/>
      <c r="B110" s="304"/>
      <c r="C110" s="304"/>
      <c r="D110" s="304"/>
      <c r="E110" s="304"/>
      <c r="F110" s="304"/>
      <c r="G110" s="304"/>
      <c r="H110" s="304"/>
      <c r="I110" s="304"/>
      <c r="J110" s="304"/>
      <c r="K110" s="360"/>
      <c r="L110" s="360"/>
      <c r="M110" s="360"/>
      <c r="N110" s="360"/>
      <c r="O110" s="360"/>
      <c r="P110" s="360"/>
      <c r="Q110" s="360"/>
      <c r="R110" s="360"/>
      <c r="S110" s="360"/>
      <c r="T110" s="360"/>
      <c r="U110" s="360"/>
      <c r="V110" s="360"/>
      <c r="W110" s="360"/>
      <c r="X110" s="360"/>
      <c r="Y110" s="360"/>
      <c r="Z110" s="360"/>
      <c r="AA110" s="360"/>
      <c r="AB110" s="360"/>
      <c r="AC110" s="360"/>
      <c r="AD110" s="360"/>
      <c r="AE110" s="304"/>
      <c r="AF110" s="304"/>
      <c r="AG110" s="304"/>
      <c r="AH110" s="304"/>
      <c r="AI110" s="304"/>
      <c r="AJ110" s="304"/>
      <c r="AK110" s="304"/>
      <c r="AL110" s="304"/>
      <c r="AM110" s="304"/>
      <c r="AN110" s="304"/>
      <c r="AO110" s="304"/>
      <c r="AP110" s="304"/>
      <c r="AQ110" s="304"/>
      <c r="AR110" s="304"/>
      <c r="AS110" s="304"/>
      <c r="AT110" s="304"/>
      <c r="AU110" s="304"/>
      <c r="AV110" s="304"/>
      <c r="AW110" s="304"/>
      <c r="AX110" s="304"/>
      <c r="AY110" s="304"/>
      <c r="AZ110" s="304"/>
    </row>
    <row r="111" spans="1:52">
      <c r="A111" s="304"/>
      <c r="B111" s="304"/>
      <c r="C111" s="304"/>
      <c r="D111" s="304"/>
      <c r="E111" s="304"/>
      <c r="F111" s="304"/>
      <c r="G111" s="304"/>
      <c r="H111" s="304"/>
      <c r="I111" s="304"/>
      <c r="J111" s="304"/>
      <c r="K111" s="360"/>
      <c r="L111" s="360"/>
      <c r="M111" s="360"/>
      <c r="N111" s="360"/>
      <c r="O111" s="360"/>
      <c r="P111" s="360"/>
      <c r="Q111" s="360"/>
      <c r="R111" s="360"/>
      <c r="S111" s="360"/>
      <c r="T111" s="360"/>
      <c r="U111" s="360"/>
      <c r="V111" s="360"/>
      <c r="W111" s="360"/>
      <c r="X111" s="360"/>
      <c r="Y111" s="360"/>
      <c r="Z111" s="360"/>
      <c r="AA111" s="360"/>
      <c r="AB111" s="360"/>
      <c r="AC111" s="360"/>
      <c r="AD111" s="360"/>
      <c r="AE111" s="304"/>
      <c r="AF111" s="304"/>
      <c r="AG111" s="304"/>
      <c r="AH111" s="304"/>
      <c r="AI111" s="304"/>
      <c r="AJ111" s="304"/>
      <c r="AK111" s="304"/>
      <c r="AL111" s="304"/>
      <c r="AM111" s="304"/>
      <c r="AN111" s="304"/>
      <c r="AO111" s="304"/>
      <c r="AP111" s="304"/>
      <c r="AQ111" s="304"/>
      <c r="AR111" s="304"/>
      <c r="AS111" s="304"/>
      <c r="AT111" s="304"/>
      <c r="AU111" s="304"/>
      <c r="AV111" s="304"/>
      <c r="AW111" s="304"/>
      <c r="AX111" s="304"/>
      <c r="AY111" s="304"/>
      <c r="AZ111" s="304"/>
    </row>
    <row r="112" spans="1:52">
      <c r="A112" s="304"/>
      <c r="B112" s="304"/>
      <c r="C112" s="304"/>
      <c r="D112" s="304"/>
      <c r="E112" s="304"/>
      <c r="F112" s="304"/>
      <c r="G112" s="304"/>
      <c r="H112" s="304"/>
      <c r="I112" s="304"/>
      <c r="J112" s="304"/>
      <c r="K112" s="360"/>
      <c r="L112" s="360"/>
      <c r="M112" s="360"/>
      <c r="N112" s="360"/>
      <c r="O112" s="360"/>
      <c r="P112" s="360"/>
      <c r="Q112" s="360"/>
      <c r="R112" s="360"/>
      <c r="S112" s="360"/>
      <c r="T112" s="360"/>
      <c r="U112" s="360"/>
      <c r="V112" s="360"/>
      <c r="W112" s="360"/>
      <c r="X112" s="360"/>
      <c r="Y112" s="360"/>
      <c r="Z112" s="360"/>
      <c r="AA112" s="360"/>
      <c r="AB112" s="360"/>
      <c r="AC112" s="360"/>
      <c r="AD112" s="360"/>
      <c r="AE112" s="304"/>
      <c r="AF112" s="304"/>
      <c r="AG112" s="304"/>
      <c r="AH112" s="304"/>
      <c r="AI112" s="304"/>
      <c r="AJ112" s="304"/>
      <c r="AK112" s="304"/>
      <c r="AL112" s="304"/>
      <c r="AM112" s="304"/>
      <c r="AN112" s="304"/>
      <c r="AO112" s="304"/>
      <c r="AP112" s="304"/>
      <c r="AQ112" s="304"/>
      <c r="AR112" s="304"/>
      <c r="AS112" s="304"/>
      <c r="AT112" s="304"/>
      <c r="AU112" s="304"/>
      <c r="AV112" s="304"/>
      <c r="AW112" s="304"/>
      <c r="AX112" s="304"/>
      <c r="AY112" s="304"/>
      <c r="AZ112" s="304"/>
    </row>
    <row r="113" spans="1:52">
      <c r="A113" s="304"/>
      <c r="B113" s="304"/>
      <c r="C113" s="304"/>
      <c r="D113" s="304"/>
      <c r="E113" s="304"/>
      <c r="F113" s="304"/>
      <c r="G113" s="304"/>
      <c r="H113" s="304"/>
      <c r="I113" s="304"/>
      <c r="J113" s="304"/>
      <c r="K113" s="360"/>
      <c r="L113" s="360"/>
      <c r="M113" s="360"/>
      <c r="N113" s="360"/>
      <c r="O113" s="360"/>
      <c r="P113" s="360"/>
      <c r="Q113" s="360"/>
      <c r="R113" s="360"/>
      <c r="S113" s="360"/>
      <c r="T113" s="360"/>
      <c r="U113" s="360"/>
      <c r="V113" s="360"/>
      <c r="W113" s="360"/>
      <c r="X113" s="360"/>
      <c r="Y113" s="360"/>
      <c r="Z113" s="360"/>
      <c r="AA113" s="360"/>
      <c r="AB113" s="360"/>
      <c r="AC113" s="360"/>
      <c r="AD113" s="360"/>
      <c r="AE113" s="304"/>
      <c r="AF113" s="304"/>
      <c r="AG113" s="304"/>
      <c r="AH113" s="304"/>
      <c r="AI113" s="304"/>
      <c r="AJ113" s="304"/>
      <c r="AK113" s="304"/>
      <c r="AL113" s="304"/>
      <c r="AM113" s="304"/>
      <c r="AN113" s="304"/>
      <c r="AO113" s="304"/>
      <c r="AP113" s="304"/>
      <c r="AQ113" s="304"/>
      <c r="AR113" s="304"/>
      <c r="AS113" s="304"/>
      <c r="AT113" s="304"/>
      <c r="AU113" s="304"/>
      <c r="AV113" s="304"/>
      <c r="AW113" s="304"/>
      <c r="AX113" s="304"/>
      <c r="AY113" s="304"/>
      <c r="AZ113" s="304"/>
    </row>
    <row r="114" spans="1:52">
      <c r="A114" s="304"/>
      <c r="B114" s="304"/>
      <c r="C114" s="304"/>
      <c r="D114" s="304"/>
      <c r="E114" s="304"/>
      <c r="F114" s="304"/>
      <c r="G114" s="304"/>
      <c r="H114" s="304"/>
      <c r="I114" s="304"/>
      <c r="J114" s="304"/>
      <c r="K114" s="360"/>
      <c r="L114" s="360"/>
      <c r="M114" s="360"/>
      <c r="N114" s="360"/>
      <c r="O114" s="360"/>
      <c r="P114" s="360"/>
      <c r="Q114" s="360"/>
      <c r="R114" s="360"/>
      <c r="S114" s="360"/>
      <c r="T114" s="360"/>
      <c r="U114" s="360"/>
      <c r="V114" s="360"/>
      <c r="W114" s="360"/>
      <c r="X114" s="360"/>
      <c r="Y114" s="360"/>
      <c r="Z114" s="360"/>
      <c r="AA114" s="360"/>
      <c r="AB114" s="360"/>
      <c r="AC114" s="360"/>
      <c r="AD114" s="360"/>
      <c r="AE114" s="304"/>
      <c r="AF114" s="304"/>
      <c r="AG114" s="304"/>
      <c r="AH114" s="304"/>
      <c r="AI114" s="304"/>
      <c r="AJ114" s="304"/>
      <c r="AK114" s="304"/>
      <c r="AL114" s="304"/>
      <c r="AM114" s="304"/>
      <c r="AN114" s="304"/>
      <c r="AO114" s="304"/>
      <c r="AP114" s="304"/>
      <c r="AQ114" s="304"/>
      <c r="AR114" s="304"/>
      <c r="AS114" s="304"/>
      <c r="AT114" s="304"/>
      <c r="AU114" s="304"/>
      <c r="AV114" s="304"/>
      <c r="AW114" s="304"/>
      <c r="AX114" s="304"/>
      <c r="AY114" s="304"/>
      <c r="AZ114" s="304"/>
    </row>
    <row r="115" spans="1:52">
      <c r="A115" s="304"/>
      <c r="B115" s="304"/>
      <c r="C115" s="304"/>
      <c r="D115" s="304"/>
      <c r="E115" s="304"/>
      <c r="F115" s="304"/>
      <c r="G115" s="304"/>
      <c r="H115" s="304"/>
      <c r="I115" s="304"/>
      <c r="J115" s="304"/>
      <c r="K115" s="360"/>
      <c r="L115" s="360"/>
      <c r="M115" s="360"/>
      <c r="N115" s="360"/>
      <c r="O115" s="360"/>
      <c r="P115" s="360"/>
      <c r="Q115" s="360"/>
      <c r="R115" s="360"/>
      <c r="S115" s="360"/>
      <c r="T115" s="360"/>
      <c r="U115" s="360"/>
      <c r="V115" s="360"/>
      <c r="W115" s="360"/>
      <c r="X115" s="360"/>
      <c r="Y115" s="360"/>
      <c r="Z115" s="360"/>
      <c r="AA115" s="360"/>
      <c r="AB115" s="360"/>
      <c r="AC115" s="360"/>
      <c r="AD115" s="360"/>
      <c r="AE115" s="304"/>
      <c r="AF115" s="304"/>
      <c r="AG115" s="304"/>
      <c r="AH115" s="304"/>
      <c r="AI115" s="304"/>
      <c r="AJ115" s="304"/>
      <c r="AK115" s="304"/>
      <c r="AL115" s="304"/>
      <c r="AM115" s="304"/>
      <c r="AN115" s="304"/>
      <c r="AO115" s="304"/>
      <c r="AP115" s="304"/>
      <c r="AQ115" s="304"/>
      <c r="AR115" s="304"/>
      <c r="AS115" s="304"/>
      <c r="AT115" s="304"/>
      <c r="AU115" s="304"/>
      <c r="AV115" s="304"/>
      <c r="AW115" s="304"/>
      <c r="AX115" s="304"/>
      <c r="AY115" s="304"/>
      <c r="AZ115" s="304"/>
    </row>
    <row r="116" spans="1:52">
      <c r="A116" s="304"/>
      <c r="B116" s="304"/>
      <c r="C116" s="304"/>
      <c r="D116" s="304"/>
      <c r="E116" s="304"/>
      <c r="F116" s="304"/>
      <c r="G116" s="304"/>
      <c r="H116" s="304"/>
      <c r="I116" s="304"/>
      <c r="J116" s="304"/>
      <c r="K116" s="360"/>
      <c r="L116" s="360"/>
      <c r="M116" s="360"/>
      <c r="N116" s="360"/>
      <c r="O116" s="360"/>
      <c r="P116" s="360"/>
      <c r="Q116" s="360"/>
      <c r="R116" s="360"/>
      <c r="S116" s="360"/>
      <c r="T116" s="360"/>
      <c r="U116" s="360"/>
      <c r="V116" s="360"/>
      <c r="W116" s="360"/>
      <c r="X116" s="360"/>
      <c r="Y116" s="360"/>
      <c r="Z116" s="360"/>
      <c r="AA116" s="360"/>
      <c r="AB116" s="360"/>
      <c r="AC116" s="360"/>
      <c r="AD116" s="360"/>
      <c r="AE116" s="304"/>
      <c r="AF116" s="304"/>
      <c r="AG116" s="304"/>
      <c r="AH116" s="304"/>
      <c r="AI116" s="304"/>
      <c r="AJ116" s="304"/>
      <c r="AK116" s="304"/>
      <c r="AL116" s="304"/>
      <c r="AM116" s="304"/>
      <c r="AN116" s="304"/>
      <c r="AO116" s="304"/>
      <c r="AP116" s="304"/>
      <c r="AQ116" s="304"/>
      <c r="AR116" s="304"/>
      <c r="AS116" s="304"/>
      <c r="AT116" s="304"/>
      <c r="AU116" s="304"/>
      <c r="AV116" s="304"/>
      <c r="AW116" s="304"/>
      <c r="AX116" s="304"/>
      <c r="AY116" s="304"/>
      <c r="AZ116" s="304"/>
    </row>
    <row r="117" spans="1:52">
      <c r="A117" s="304"/>
      <c r="B117" s="304"/>
      <c r="C117" s="304"/>
      <c r="D117" s="304"/>
      <c r="E117" s="304"/>
      <c r="F117" s="304"/>
      <c r="G117" s="304"/>
      <c r="H117" s="304"/>
      <c r="I117" s="304"/>
      <c r="J117" s="304"/>
      <c r="K117" s="360"/>
      <c r="L117" s="360"/>
      <c r="M117" s="360"/>
      <c r="N117" s="360"/>
      <c r="O117" s="360"/>
      <c r="P117" s="360"/>
      <c r="Q117" s="360"/>
      <c r="R117" s="360"/>
      <c r="S117" s="360"/>
      <c r="T117" s="360"/>
      <c r="U117" s="360"/>
      <c r="V117" s="360"/>
      <c r="W117" s="360"/>
      <c r="X117" s="360"/>
      <c r="Y117" s="360"/>
      <c r="Z117" s="360"/>
      <c r="AA117" s="360"/>
      <c r="AB117" s="360"/>
      <c r="AC117" s="360"/>
      <c r="AD117" s="360"/>
      <c r="AE117" s="304"/>
      <c r="AF117" s="304"/>
      <c r="AG117" s="304"/>
      <c r="AH117" s="304"/>
      <c r="AI117" s="304"/>
      <c r="AJ117" s="304"/>
      <c r="AK117" s="304"/>
      <c r="AL117" s="304"/>
      <c r="AM117" s="304"/>
      <c r="AN117" s="304"/>
      <c r="AO117" s="304"/>
      <c r="AP117" s="304"/>
      <c r="AQ117" s="304"/>
      <c r="AR117" s="304"/>
      <c r="AS117" s="304"/>
      <c r="AT117" s="304"/>
      <c r="AU117" s="304"/>
      <c r="AV117" s="304"/>
      <c r="AW117" s="304"/>
      <c r="AX117" s="304"/>
      <c r="AY117" s="304"/>
      <c r="AZ117" s="304"/>
    </row>
    <row r="118" spans="1:52">
      <c r="A118" s="304"/>
      <c r="B118" s="304"/>
      <c r="C118" s="304"/>
      <c r="D118" s="304"/>
      <c r="E118" s="304"/>
      <c r="F118" s="304"/>
      <c r="G118" s="304"/>
      <c r="H118" s="304"/>
      <c r="I118" s="304"/>
      <c r="J118" s="304"/>
      <c r="K118" s="360"/>
      <c r="L118" s="360"/>
      <c r="M118" s="360"/>
      <c r="N118" s="360"/>
      <c r="O118" s="360"/>
      <c r="P118" s="360"/>
      <c r="Q118" s="360"/>
      <c r="R118" s="360"/>
      <c r="S118" s="360"/>
      <c r="T118" s="360"/>
      <c r="U118" s="360"/>
      <c r="V118" s="360"/>
      <c r="W118" s="360"/>
      <c r="X118" s="360"/>
      <c r="Y118" s="360"/>
      <c r="Z118" s="360"/>
      <c r="AA118" s="360"/>
      <c r="AB118" s="360"/>
      <c r="AC118" s="360"/>
      <c r="AD118" s="360"/>
      <c r="AE118" s="304"/>
      <c r="AF118" s="304"/>
      <c r="AG118" s="304"/>
      <c r="AH118" s="304"/>
      <c r="AI118" s="304"/>
      <c r="AJ118" s="304"/>
      <c r="AK118" s="304"/>
      <c r="AL118" s="304"/>
      <c r="AM118" s="304"/>
      <c r="AN118" s="304"/>
      <c r="AO118" s="304"/>
      <c r="AP118" s="304"/>
      <c r="AQ118" s="304"/>
      <c r="AR118" s="304"/>
      <c r="AS118" s="304"/>
      <c r="AT118" s="304"/>
      <c r="AU118" s="304"/>
      <c r="AV118" s="304"/>
      <c r="AW118" s="304"/>
      <c r="AX118" s="304"/>
      <c r="AY118" s="304"/>
      <c r="AZ118" s="304"/>
    </row>
    <row r="119" spans="1:52">
      <c r="A119" s="304"/>
      <c r="B119" s="304"/>
      <c r="C119" s="304"/>
      <c r="D119" s="304"/>
      <c r="E119" s="304"/>
      <c r="F119" s="304"/>
      <c r="G119" s="304"/>
      <c r="H119" s="304"/>
      <c r="I119" s="304"/>
      <c r="J119" s="304"/>
      <c r="K119" s="360"/>
      <c r="L119" s="360"/>
      <c r="M119" s="360"/>
      <c r="N119" s="360"/>
      <c r="O119" s="360"/>
      <c r="P119" s="360"/>
      <c r="Q119" s="360"/>
      <c r="R119" s="360"/>
      <c r="S119" s="360"/>
      <c r="T119" s="360"/>
      <c r="U119" s="360"/>
      <c r="V119" s="360"/>
      <c r="W119" s="360"/>
      <c r="X119" s="360"/>
      <c r="Y119" s="360"/>
      <c r="Z119" s="360"/>
      <c r="AA119" s="360"/>
      <c r="AB119" s="360"/>
      <c r="AC119" s="360"/>
      <c r="AD119" s="360"/>
      <c r="AE119" s="304"/>
      <c r="AF119" s="304"/>
      <c r="AG119" s="304"/>
      <c r="AH119" s="304"/>
      <c r="AI119" s="304"/>
      <c r="AJ119" s="304"/>
      <c r="AK119" s="304"/>
      <c r="AL119" s="304"/>
      <c r="AM119" s="304"/>
      <c r="AN119" s="304"/>
      <c r="AO119" s="304"/>
      <c r="AP119" s="304"/>
      <c r="AQ119" s="304"/>
      <c r="AR119" s="304"/>
      <c r="AS119" s="304"/>
      <c r="AT119" s="304"/>
      <c r="AU119" s="304"/>
      <c r="AV119" s="304"/>
      <c r="AW119" s="304"/>
      <c r="AX119" s="304"/>
      <c r="AY119" s="304"/>
      <c r="AZ119" s="304"/>
    </row>
    <row r="120" spans="1:52">
      <c r="A120" s="304"/>
      <c r="B120" s="304"/>
      <c r="C120" s="304"/>
      <c r="D120" s="304"/>
      <c r="E120" s="304"/>
      <c r="F120" s="304"/>
      <c r="G120" s="304"/>
      <c r="H120" s="304"/>
      <c r="I120" s="304"/>
      <c r="J120" s="304"/>
      <c r="K120" s="360"/>
      <c r="L120" s="360"/>
      <c r="M120" s="360"/>
      <c r="N120" s="360"/>
      <c r="O120" s="360"/>
      <c r="P120" s="360"/>
      <c r="Q120" s="360"/>
      <c r="R120" s="360"/>
      <c r="S120" s="360"/>
      <c r="T120" s="360"/>
      <c r="U120" s="360"/>
      <c r="V120" s="360"/>
      <c r="W120" s="360"/>
      <c r="X120" s="360"/>
      <c r="Y120" s="360"/>
      <c r="Z120" s="360"/>
      <c r="AA120" s="360"/>
      <c r="AB120" s="360"/>
      <c r="AC120" s="360"/>
      <c r="AD120" s="360"/>
      <c r="AE120" s="304"/>
      <c r="AF120" s="304"/>
      <c r="AG120" s="304"/>
      <c r="AH120" s="304"/>
      <c r="AI120" s="304"/>
      <c r="AJ120" s="304"/>
      <c r="AK120" s="304"/>
      <c r="AL120" s="304"/>
      <c r="AM120" s="304"/>
      <c r="AN120" s="304"/>
      <c r="AO120" s="304"/>
      <c r="AP120" s="304"/>
      <c r="AQ120" s="304"/>
      <c r="AR120" s="304"/>
      <c r="AS120" s="304"/>
      <c r="AT120" s="304"/>
      <c r="AU120" s="304"/>
      <c r="AV120" s="304"/>
      <c r="AW120" s="304"/>
      <c r="AX120" s="304"/>
      <c r="AY120" s="304"/>
      <c r="AZ120" s="304"/>
    </row>
    <row r="121" spans="1:52">
      <c r="A121" s="304"/>
      <c r="B121" s="304"/>
      <c r="C121" s="304"/>
      <c r="D121" s="304"/>
      <c r="E121" s="304"/>
      <c r="F121" s="304"/>
      <c r="G121" s="304"/>
      <c r="H121" s="304"/>
      <c r="I121" s="304"/>
      <c r="J121" s="304"/>
      <c r="K121" s="360"/>
      <c r="L121" s="360"/>
      <c r="M121" s="360"/>
      <c r="N121" s="360"/>
      <c r="O121" s="360"/>
      <c r="P121" s="360"/>
      <c r="Q121" s="360"/>
      <c r="R121" s="360"/>
      <c r="S121" s="360"/>
      <c r="T121" s="360"/>
      <c r="U121" s="360"/>
      <c r="V121" s="360"/>
      <c r="W121" s="360"/>
      <c r="X121" s="360"/>
      <c r="Y121" s="360"/>
      <c r="Z121" s="360"/>
      <c r="AA121" s="360"/>
      <c r="AB121" s="360"/>
      <c r="AC121" s="360"/>
      <c r="AD121" s="360"/>
      <c r="AE121" s="304"/>
      <c r="AF121" s="304"/>
      <c r="AG121" s="304"/>
      <c r="AH121" s="304"/>
      <c r="AI121" s="304"/>
      <c r="AJ121" s="304"/>
      <c r="AK121" s="304"/>
      <c r="AL121" s="304"/>
      <c r="AM121" s="304"/>
      <c r="AN121" s="304"/>
      <c r="AO121" s="304"/>
      <c r="AP121" s="304"/>
      <c r="AQ121" s="304"/>
      <c r="AR121" s="304"/>
      <c r="AS121" s="304"/>
      <c r="AT121" s="304"/>
      <c r="AU121" s="304"/>
      <c r="AV121" s="304"/>
      <c r="AW121" s="304"/>
      <c r="AX121" s="304"/>
      <c r="AY121" s="304"/>
      <c r="AZ121" s="304"/>
    </row>
    <row r="122" spans="1:52">
      <c r="A122" s="304"/>
      <c r="B122" s="304"/>
      <c r="C122" s="304"/>
      <c r="D122" s="304"/>
      <c r="E122" s="304"/>
      <c r="F122" s="304"/>
      <c r="G122" s="304"/>
      <c r="H122" s="304"/>
      <c r="I122" s="304"/>
      <c r="J122" s="304"/>
      <c r="K122" s="360"/>
      <c r="L122" s="360"/>
      <c r="M122" s="360"/>
      <c r="N122" s="360"/>
      <c r="O122" s="360"/>
      <c r="P122" s="360"/>
      <c r="Q122" s="360"/>
      <c r="R122" s="360"/>
      <c r="S122" s="360"/>
      <c r="T122" s="360"/>
      <c r="U122" s="360"/>
      <c r="V122" s="360"/>
      <c r="W122" s="360"/>
      <c r="X122" s="360"/>
      <c r="Y122" s="360"/>
      <c r="Z122" s="360"/>
      <c r="AA122" s="360"/>
      <c r="AB122" s="360"/>
      <c r="AC122" s="360"/>
      <c r="AD122" s="360"/>
      <c r="AE122" s="304"/>
      <c r="AF122" s="304"/>
      <c r="AG122" s="304"/>
      <c r="AH122" s="304"/>
      <c r="AI122" s="304"/>
      <c r="AJ122" s="304"/>
      <c r="AK122" s="304"/>
      <c r="AL122" s="304"/>
      <c r="AM122" s="304"/>
      <c r="AN122" s="304"/>
      <c r="AO122" s="304"/>
      <c r="AP122" s="304"/>
      <c r="AQ122" s="304"/>
      <c r="AR122" s="304"/>
      <c r="AS122" s="304"/>
      <c r="AT122" s="304"/>
      <c r="AU122" s="304"/>
      <c r="AV122" s="304"/>
      <c r="AW122" s="304"/>
      <c r="AX122" s="304"/>
      <c r="AY122" s="304"/>
      <c r="AZ122" s="304"/>
    </row>
    <row r="123" spans="1:52">
      <c r="A123" s="304"/>
      <c r="B123" s="304"/>
      <c r="C123" s="304"/>
      <c r="D123" s="304"/>
      <c r="E123" s="304"/>
      <c r="F123" s="304"/>
      <c r="G123" s="304"/>
      <c r="H123" s="304"/>
      <c r="I123" s="304"/>
      <c r="J123" s="304"/>
      <c r="K123" s="360"/>
      <c r="L123" s="360"/>
      <c r="M123" s="360"/>
      <c r="N123" s="360"/>
      <c r="O123" s="360"/>
      <c r="P123" s="360"/>
      <c r="Q123" s="360"/>
      <c r="R123" s="360"/>
      <c r="S123" s="360"/>
      <c r="T123" s="360"/>
      <c r="U123" s="360"/>
      <c r="V123" s="360"/>
      <c r="W123" s="360"/>
      <c r="X123" s="360"/>
      <c r="Y123" s="360"/>
      <c r="Z123" s="360"/>
      <c r="AA123" s="360"/>
      <c r="AB123" s="360"/>
      <c r="AC123" s="360"/>
      <c r="AD123" s="360"/>
      <c r="AE123" s="304"/>
      <c r="AF123" s="304"/>
      <c r="AG123" s="304"/>
      <c r="AH123" s="304"/>
      <c r="AI123" s="304"/>
      <c r="AJ123" s="304"/>
      <c r="AK123" s="304"/>
      <c r="AL123" s="304"/>
      <c r="AM123" s="304"/>
      <c r="AN123" s="304"/>
      <c r="AO123" s="304"/>
      <c r="AP123" s="304"/>
      <c r="AQ123" s="304"/>
      <c r="AR123" s="304"/>
      <c r="AS123" s="304"/>
      <c r="AT123" s="304"/>
      <c r="AU123" s="304"/>
      <c r="AV123" s="304"/>
      <c r="AW123" s="304"/>
      <c r="AX123" s="304"/>
      <c r="AY123" s="304"/>
      <c r="AZ123" s="304"/>
    </row>
    <row r="124" spans="1:52">
      <c r="A124" s="304"/>
      <c r="B124" s="304"/>
      <c r="C124" s="304"/>
      <c r="D124" s="304"/>
      <c r="E124" s="304"/>
      <c r="F124" s="304"/>
      <c r="G124" s="304"/>
      <c r="H124" s="304"/>
      <c r="I124" s="304"/>
      <c r="J124" s="304"/>
      <c r="K124" s="360"/>
      <c r="L124" s="360"/>
      <c r="M124" s="360"/>
      <c r="N124" s="360"/>
      <c r="O124" s="360"/>
      <c r="P124" s="360"/>
      <c r="Q124" s="360"/>
      <c r="R124" s="360"/>
      <c r="S124" s="360"/>
      <c r="T124" s="360"/>
      <c r="U124" s="360"/>
      <c r="V124" s="360"/>
      <c r="W124" s="360"/>
      <c r="X124" s="360"/>
      <c r="Y124" s="360"/>
      <c r="Z124" s="360"/>
      <c r="AA124" s="360"/>
      <c r="AB124" s="360"/>
      <c r="AC124" s="360"/>
      <c r="AD124" s="360"/>
      <c r="AE124" s="304"/>
      <c r="AF124" s="304"/>
      <c r="AG124" s="304"/>
      <c r="AH124" s="304"/>
      <c r="AI124" s="304"/>
      <c r="AJ124" s="304"/>
      <c r="AK124" s="304"/>
      <c r="AL124" s="304"/>
      <c r="AM124" s="304"/>
      <c r="AN124" s="304"/>
      <c r="AO124" s="304"/>
      <c r="AP124" s="304"/>
      <c r="AQ124" s="304"/>
      <c r="AR124" s="304"/>
      <c r="AS124" s="304"/>
      <c r="AT124" s="304"/>
      <c r="AU124" s="304"/>
      <c r="AV124" s="304"/>
      <c r="AW124" s="304"/>
      <c r="AX124" s="304"/>
      <c r="AY124" s="304"/>
      <c r="AZ124" s="304"/>
    </row>
    <row r="125" spans="1:52">
      <c r="A125" s="304"/>
      <c r="B125" s="304"/>
      <c r="C125" s="304"/>
      <c r="D125" s="304"/>
      <c r="E125" s="304"/>
      <c r="F125" s="304"/>
      <c r="G125" s="304"/>
      <c r="H125" s="304"/>
      <c r="I125" s="304"/>
      <c r="J125" s="304"/>
      <c r="K125" s="360"/>
      <c r="L125" s="360"/>
      <c r="M125" s="360"/>
      <c r="N125" s="360"/>
      <c r="O125" s="360"/>
      <c r="P125" s="360"/>
      <c r="Q125" s="360"/>
      <c r="R125" s="360"/>
      <c r="S125" s="360"/>
      <c r="T125" s="360"/>
      <c r="U125" s="360"/>
      <c r="V125" s="360"/>
      <c r="W125" s="360"/>
      <c r="X125" s="360"/>
      <c r="Y125" s="360"/>
      <c r="Z125" s="360"/>
      <c r="AA125" s="360"/>
      <c r="AB125" s="360"/>
      <c r="AC125" s="360"/>
      <c r="AD125" s="360"/>
      <c r="AE125" s="304"/>
      <c r="AF125" s="304"/>
      <c r="AG125" s="304"/>
      <c r="AH125" s="304"/>
      <c r="AI125" s="304"/>
      <c r="AJ125" s="304"/>
      <c r="AK125" s="304"/>
      <c r="AL125" s="304"/>
      <c r="AM125" s="304"/>
      <c r="AN125" s="304"/>
      <c r="AO125" s="304"/>
      <c r="AP125" s="304"/>
      <c r="AQ125" s="304"/>
      <c r="AR125" s="304"/>
      <c r="AS125" s="304"/>
      <c r="AT125" s="304"/>
      <c r="AU125" s="304"/>
      <c r="AV125" s="304"/>
      <c r="AW125" s="304"/>
      <c r="AX125" s="304"/>
      <c r="AY125" s="304"/>
      <c r="AZ125" s="304"/>
    </row>
    <row r="126" spans="1:52">
      <c r="A126" s="304"/>
      <c r="B126" s="304"/>
      <c r="C126" s="304"/>
      <c r="D126" s="304"/>
      <c r="E126" s="304"/>
      <c r="F126" s="304"/>
      <c r="G126" s="304"/>
      <c r="H126" s="304"/>
      <c r="I126" s="304"/>
      <c r="J126" s="304"/>
      <c r="K126" s="360"/>
      <c r="L126" s="360"/>
      <c r="M126" s="360"/>
      <c r="N126" s="360"/>
      <c r="O126" s="360"/>
      <c r="P126" s="360"/>
      <c r="Q126" s="360"/>
      <c r="R126" s="360"/>
      <c r="S126" s="360"/>
      <c r="T126" s="360"/>
      <c r="U126" s="360"/>
      <c r="V126" s="360"/>
      <c r="W126" s="360"/>
      <c r="X126" s="360"/>
      <c r="Y126" s="360"/>
      <c r="Z126" s="360"/>
      <c r="AA126" s="360"/>
      <c r="AB126" s="360"/>
      <c r="AC126" s="360"/>
      <c r="AD126" s="360"/>
      <c r="AE126" s="304"/>
      <c r="AF126" s="304"/>
      <c r="AG126" s="304"/>
      <c r="AH126" s="304"/>
      <c r="AI126" s="304"/>
      <c r="AJ126" s="304"/>
      <c r="AK126" s="304"/>
      <c r="AL126" s="304"/>
      <c r="AM126" s="304"/>
      <c r="AN126" s="304"/>
      <c r="AO126" s="304"/>
      <c r="AP126" s="304"/>
      <c r="AQ126" s="304"/>
      <c r="AR126" s="304"/>
      <c r="AS126" s="304"/>
      <c r="AT126" s="304"/>
      <c r="AU126" s="304"/>
      <c r="AV126" s="304"/>
      <c r="AW126" s="304"/>
      <c r="AX126" s="304"/>
      <c r="AY126" s="304"/>
      <c r="AZ126" s="304"/>
    </row>
    <row r="127" spans="1:52">
      <c r="A127" s="304"/>
      <c r="B127" s="304"/>
      <c r="C127" s="304"/>
      <c r="D127" s="304"/>
      <c r="E127" s="304"/>
      <c r="F127" s="304"/>
      <c r="G127" s="304"/>
      <c r="H127" s="304"/>
      <c r="I127" s="304"/>
      <c r="J127" s="304"/>
      <c r="K127" s="360"/>
      <c r="L127" s="360"/>
      <c r="M127" s="360"/>
      <c r="N127" s="360"/>
      <c r="O127" s="360"/>
      <c r="P127" s="360"/>
      <c r="Q127" s="360"/>
      <c r="R127" s="360"/>
      <c r="S127" s="360"/>
      <c r="T127" s="360"/>
      <c r="U127" s="360"/>
      <c r="V127" s="360"/>
      <c r="W127" s="360"/>
      <c r="X127" s="360"/>
      <c r="Y127" s="360"/>
      <c r="Z127" s="360"/>
      <c r="AA127" s="360"/>
      <c r="AB127" s="360"/>
      <c r="AC127" s="360"/>
      <c r="AD127" s="360"/>
      <c r="AE127" s="304"/>
      <c r="AF127" s="304"/>
      <c r="AG127" s="304"/>
      <c r="AH127" s="304"/>
      <c r="AI127" s="304"/>
      <c r="AJ127" s="304"/>
      <c r="AK127" s="304"/>
      <c r="AL127" s="304"/>
      <c r="AM127" s="304"/>
      <c r="AN127" s="304"/>
      <c r="AO127" s="304"/>
      <c r="AP127" s="304"/>
      <c r="AQ127" s="304"/>
      <c r="AR127" s="304"/>
      <c r="AS127" s="304"/>
      <c r="AT127" s="304"/>
      <c r="AU127" s="304"/>
      <c r="AV127" s="304"/>
      <c r="AW127" s="304"/>
      <c r="AX127" s="304"/>
      <c r="AY127" s="304"/>
      <c r="AZ127" s="304"/>
    </row>
    <row r="128" spans="1:52">
      <c r="A128" s="304"/>
      <c r="B128" s="304"/>
      <c r="C128" s="304"/>
      <c r="D128" s="304"/>
      <c r="E128" s="304"/>
      <c r="F128" s="304"/>
      <c r="G128" s="304"/>
      <c r="H128" s="304"/>
      <c r="I128" s="304"/>
      <c r="J128" s="304"/>
      <c r="K128" s="360"/>
      <c r="L128" s="360"/>
      <c r="M128" s="360"/>
      <c r="N128" s="360"/>
      <c r="O128" s="360"/>
      <c r="P128" s="360"/>
      <c r="Q128" s="360"/>
      <c r="R128" s="360"/>
      <c r="S128" s="360"/>
      <c r="T128" s="360"/>
      <c r="U128" s="360"/>
      <c r="V128" s="360"/>
      <c r="W128" s="360"/>
      <c r="X128" s="360"/>
      <c r="Y128" s="360"/>
      <c r="Z128" s="360"/>
      <c r="AA128" s="360"/>
      <c r="AB128" s="360"/>
      <c r="AC128" s="360"/>
      <c r="AD128" s="360"/>
      <c r="AE128" s="304"/>
      <c r="AF128" s="304"/>
      <c r="AG128" s="304"/>
      <c r="AH128" s="304"/>
      <c r="AI128" s="304"/>
      <c r="AJ128" s="304"/>
      <c r="AK128" s="304"/>
      <c r="AL128" s="304"/>
      <c r="AM128" s="304"/>
      <c r="AN128" s="304"/>
      <c r="AO128" s="304"/>
      <c r="AP128" s="304"/>
      <c r="AQ128" s="304"/>
      <c r="AR128" s="304"/>
      <c r="AS128" s="304"/>
      <c r="AT128" s="304"/>
      <c r="AU128" s="304"/>
      <c r="AV128" s="304"/>
      <c r="AW128" s="304"/>
      <c r="AX128" s="304"/>
      <c r="AY128" s="304"/>
      <c r="AZ128" s="304"/>
    </row>
    <row r="129" spans="1:52">
      <c r="A129" s="304"/>
      <c r="B129" s="304"/>
      <c r="C129" s="304"/>
      <c r="D129" s="304"/>
      <c r="E129" s="304"/>
      <c r="F129" s="304"/>
      <c r="G129" s="304"/>
      <c r="H129" s="304"/>
      <c r="I129" s="304"/>
      <c r="J129" s="304"/>
      <c r="K129" s="360"/>
      <c r="L129" s="360"/>
      <c r="M129" s="360"/>
      <c r="N129" s="360"/>
      <c r="O129" s="360"/>
      <c r="P129" s="360"/>
      <c r="Q129" s="360"/>
      <c r="R129" s="360"/>
      <c r="S129" s="360"/>
      <c r="T129" s="360"/>
      <c r="U129" s="360"/>
      <c r="V129" s="360"/>
      <c r="W129" s="360"/>
      <c r="X129" s="360"/>
      <c r="Y129" s="360"/>
      <c r="Z129" s="360"/>
      <c r="AA129" s="360"/>
      <c r="AB129" s="360"/>
      <c r="AC129" s="360"/>
      <c r="AD129" s="360"/>
      <c r="AE129" s="304"/>
      <c r="AF129" s="304"/>
      <c r="AG129" s="304"/>
      <c r="AH129" s="304"/>
      <c r="AI129" s="304"/>
      <c r="AJ129" s="304"/>
      <c r="AK129" s="304"/>
      <c r="AL129" s="304"/>
      <c r="AM129" s="304"/>
      <c r="AN129" s="304"/>
      <c r="AO129" s="304"/>
      <c r="AP129" s="304"/>
      <c r="AQ129" s="304"/>
      <c r="AR129" s="304"/>
      <c r="AS129" s="304"/>
      <c r="AT129" s="304"/>
      <c r="AU129" s="304"/>
      <c r="AV129" s="304"/>
      <c r="AW129" s="304"/>
      <c r="AX129" s="304"/>
      <c r="AY129" s="304"/>
      <c r="AZ129" s="304"/>
    </row>
    <row r="130" spans="1:52">
      <c r="A130" s="304"/>
      <c r="B130" s="304"/>
      <c r="C130" s="304"/>
      <c r="D130" s="304"/>
      <c r="E130" s="304"/>
      <c r="F130" s="304"/>
      <c r="G130" s="304"/>
      <c r="H130" s="304"/>
      <c r="I130" s="304"/>
      <c r="J130" s="304"/>
      <c r="K130" s="360"/>
      <c r="L130" s="360"/>
      <c r="M130" s="360"/>
      <c r="N130" s="360"/>
      <c r="O130" s="360"/>
      <c r="P130" s="360"/>
      <c r="Q130" s="360"/>
      <c r="R130" s="360"/>
      <c r="S130" s="360"/>
      <c r="T130" s="360"/>
      <c r="U130" s="360"/>
      <c r="V130" s="360"/>
      <c r="W130" s="360"/>
      <c r="X130" s="360"/>
      <c r="Y130" s="360"/>
      <c r="Z130" s="360"/>
      <c r="AA130" s="360"/>
      <c r="AB130" s="360"/>
      <c r="AC130" s="360"/>
      <c r="AD130" s="360"/>
      <c r="AE130" s="304"/>
      <c r="AF130" s="304"/>
      <c r="AG130" s="304"/>
      <c r="AH130" s="304"/>
      <c r="AI130" s="304"/>
      <c r="AJ130" s="304"/>
      <c r="AK130" s="304"/>
      <c r="AL130" s="304"/>
      <c r="AM130" s="304"/>
      <c r="AN130" s="304"/>
      <c r="AO130" s="304"/>
      <c r="AP130" s="304"/>
      <c r="AQ130" s="304"/>
      <c r="AR130" s="304"/>
      <c r="AS130" s="304"/>
      <c r="AT130" s="304"/>
      <c r="AU130" s="304"/>
      <c r="AV130" s="304"/>
      <c r="AW130" s="304"/>
      <c r="AX130" s="304"/>
      <c r="AY130" s="304"/>
      <c r="AZ130" s="304"/>
    </row>
    <row r="131" spans="1:52">
      <c r="A131" s="304"/>
      <c r="B131" s="304"/>
      <c r="C131" s="304"/>
      <c r="D131" s="304"/>
      <c r="E131" s="304"/>
      <c r="F131" s="304"/>
      <c r="G131" s="304"/>
      <c r="H131" s="304"/>
      <c r="I131" s="304"/>
      <c r="J131" s="304"/>
      <c r="K131" s="360"/>
      <c r="L131" s="360"/>
      <c r="M131" s="360"/>
      <c r="N131" s="360"/>
      <c r="O131" s="360"/>
      <c r="P131" s="360"/>
      <c r="Q131" s="360"/>
      <c r="R131" s="360"/>
      <c r="S131" s="360"/>
      <c r="T131" s="360"/>
      <c r="U131" s="360"/>
      <c r="V131" s="360"/>
      <c r="W131" s="360"/>
      <c r="X131" s="360"/>
      <c r="Y131" s="360"/>
      <c r="Z131" s="360"/>
      <c r="AA131" s="360"/>
      <c r="AB131" s="360"/>
      <c r="AC131" s="360"/>
      <c r="AD131" s="360"/>
      <c r="AE131" s="304"/>
      <c r="AF131" s="304"/>
      <c r="AG131" s="304"/>
      <c r="AH131" s="304"/>
      <c r="AI131" s="304"/>
      <c r="AJ131" s="304"/>
      <c r="AK131" s="304"/>
      <c r="AL131" s="304"/>
      <c r="AM131" s="304"/>
      <c r="AN131" s="304"/>
      <c r="AO131" s="304"/>
      <c r="AP131" s="304"/>
      <c r="AQ131" s="304"/>
      <c r="AR131" s="304"/>
      <c r="AS131" s="304"/>
      <c r="AT131" s="304"/>
      <c r="AU131" s="304"/>
      <c r="AV131" s="304"/>
      <c r="AW131" s="304"/>
      <c r="AX131" s="304"/>
      <c r="AY131" s="304"/>
      <c r="AZ131" s="304"/>
    </row>
    <row r="132" spans="1:52">
      <c r="A132" s="304"/>
      <c r="B132" s="304"/>
      <c r="C132" s="304"/>
      <c r="D132" s="304"/>
      <c r="E132" s="304"/>
      <c r="F132" s="304"/>
      <c r="G132" s="304"/>
      <c r="H132" s="304"/>
      <c r="I132" s="304"/>
      <c r="J132" s="304"/>
      <c r="K132" s="360"/>
      <c r="L132" s="360"/>
      <c r="M132" s="360"/>
      <c r="N132" s="360"/>
      <c r="O132" s="360"/>
      <c r="P132" s="360"/>
      <c r="Q132" s="360"/>
      <c r="R132" s="360"/>
      <c r="S132" s="360"/>
      <c r="T132" s="360"/>
      <c r="U132" s="360"/>
      <c r="V132" s="360"/>
      <c r="W132" s="360"/>
      <c r="X132" s="360"/>
      <c r="Y132" s="360"/>
      <c r="Z132" s="360"/>
      <c r="AA132" s="360"/>
      <c r="AB132" s="360"/>
      <c r="AC132" s="360"/>
      <c r="AD132" s="360"/>
      <c r="AE132" s="304"/>
      <c r="AF132" s="304"/>
      <c r="AG132" s="304"/>
      <c r="AH132" s="304"/>
      <c r="AI132" s="304"/>
      <c r="AJ132" s="304"/>
      <c r="AK132" s="304"/>
      <c r="AL132" s="304"/>
      <c r="AM132" s="304"/>
      <c r="AN132" s="304"/>
      <c r="AO132" s="304"/>
      <c r="AP132" s="304"/>
      <c r="AQ132" s="304"/>
      <c r="AR132" s="304"/>
      <c r="AS132" s="304"/>
      <c r="AT132" s="304"/>
      <c r="AU132" s="304"/>
      <c r="AV132" s="304"/>
      <c r="AW132" s="304"/>
      <c r="AX132" s="304"/>
      <c r="AY132" s="304"/>
      <c r="AZ132" s="304"/>
    </row>
    <row r="133" spans="1:52">
      <c r="A133" s="304"/>
      <c r="B133" s="304"/>
      <c r="C133" s="304"/>
      <c r="D133" s="304"/>
      <c r="E133" s="304"/>
      <c r="F133" s="304"/>
      <c r="G133" s="304"/>
      <c r="H133" s="304"/>
      <c r="I133" s="304"/>
      <c r="J133" s="304"/>
      <c r="K133" s="360"/>
      <c r="L133" s="360"/>
      <c r="M133" s="360"/>
      <c r="N133" s="360"/>
      <c r="O133" s="360"/>
      <c r="P133" s="360"/>
      <c r="Q133" s="360"/>
      <c r="R133" s="360"/>
      <c r="S133" s="360"/>
      <c r="T133" s="360"/>
      <c r="U133" s="360"/>
      <c r="V133" s="360"/>
      <c r="W133" s="360"/>
      <c r="X133" s="360"/>
      <c r="Y133" s="360"/>
      <c r="Z133" s="360"/>
      <c r="AA133" s="360"/>
      <c r="AB133" s="360"/>
      <c r="AC133" s="360"/>
      <c r="AD133" s="360"/>
      <c r="AE133" s="304"/>
      <c r="AF133" s="304"/>
      <c r="AG133" s="304"/>
      <c r="AH133" s="304"/>
      <c r="AI133" s="304"/>
      <c r="AJ133" s="304"/>
      <c r="AK133" s="304"/>
      <c r="AL133" s="304"/>
      <c r="AM133" s="304"/>
      <c r="AN133" s="304"/>
      <c r="AO133" s="304"/>
      <c r="AP133" s="304"/>
      <c r="AQ133" s="304"/>
      <c r="AR133" s="304"/>
      <c r="AS133" s="304"/>
      <c r="AT133" s="304"/>
      <c r="AU133" s="304"/>
      <c r="AV133" s="304"/>
      <c r="AW133" s="304"/>
      <c r="AX133" s="304"/>
      <c r="AY133" s="304"/>
      <c r="AZ133" s="304"/>
    </row>
    <row r="134" spans="1:52">
      <c r="A134" s="304"/>
      <c r="B134" s="304"/>
      <c r="C134" s="304"/>
      <c r="D134" s="304"/>
      <c r="E134" s="304"/>
      <c r="F134" s="304"/>
      <c r="G134" s="304"/>
      <c r="H134" s="304"/>
      <c r="I134" s="304"/>
      <c r="J134" s="304"/>
      <c r="K134" s="360"/>
      <c r="L134" s="360"/>
      <c r="M134" s="360"/>
      <c r="N134" s="360"/>
      <c r="O134" s="360"/>
      <c r="P134" s="360"/>
      <c r="Q134" s="360"/>
      <c r="R134" s="360"/>
      <c r="S134" s="360"/>
      <c r="T134" s="360"/>
      <c r="U134" s="360"/>
      <c r="V134" s="360"/>
      <c r="W134" s="360"/>
      <c r="X134" s="360"/>
      <c r="Y134" s="360"/>
      <c r="Z134" s="360"/>
      <c r="AA134" s="360"/>
      <c r="AB134" s="360"/>
      <c r="AC134" s="360"/>
      <c r="AD134" s="360"/>
      <c r="AE134" s="304"/>
      <c r="AF134" s="304"/>
      <c r="AG134" s="304"/>
      <c r="AH134" s="304"/>
      <c r="AI134" s="304"/>
      <c r="AJ134" s="304"/>
      <c r="AK134" s="304"/>
      <c r="AL134" s="304"/>
      <c r="AM134" s="304"/>
      <c r="AN134" s="304"/>
      <c r="AO134" s="304"/>
      <c r="AP134" s="304"/>
      <c r="AQ134" s="304"/>
      <c r="AR134" s="304"/>
      <c r="AS134" s="304"/>
      <c r="AT134" s="304"/>
      <c r="AU134" s="304"/>
      <c r="AV134" s="304"/>
      <c r="AW134" s="304"/>
      <c r="AX134" s="304"/>
      <c r="AY134" s="304"/>
      <c r="AZ134" s="304"/>
    </row>
    <row r="135" spans="1:52">
      <c r="A135" s="304"/>
      <c r="B135" s="304"/>
      <c r="C135" s="304"/>
      <c r="D135" s="304"/>
      <c r="E135" s="304"/>
      <c r="F135" s="304"/>
      <c r="G135" s="304"/>
      <c r="H135" s="304"/>
      <c r="I135" s="304"/>
      <c r="J135" s="304"/>
      <c r="K135" s="304"/>
      <c r="L135" s="304"/>
      <c r="M135" s="304"/>
      <c r="N135" s="304"/>
      <c r="O135" s="304"/>
      <c r="P135" s="304"/>
      <c r="Q135" s="304"/>
      <c r="R135" s="304"/>
      <c r="S135" s="304"/>
      <c r="T135" s="304"/>
      <c r="U135" s="304"/>
      <c r="V135" s="304"/>
      <c r="W135" s="304"/>
      <c r="X135" s="304"/>
      <c r="Y135" s="304"/>
      <c r="Z135" s="304"/>
      <c r="AA135" s="304"/>
      <c r="AB135" s="304"/>
      <c r="AC135" s="304"/>
      <c r="AD135" s="304"/>
      <c r="AE135" s="304"/>
      <c r="AF135" s="304"/>
      <c r="AG135" s="304"/>
      <c r="AH135" s="304"/>
      <c r="AI135" s="304"/>
      <c r="AJ135" s="304"/>
      <c r="AK135" s="304"/>
      <c r="AL135" s="304"/>
      <c r="AM135" s="304"/>
      <c r="AN135" s="304"/>
      <c r="AO135" s="304"/>
      <c r="AP135" s="304"/>
      <c r="AQ135" s="304"/>
      <c r="AR135" s="304"/>
      <c r="AS135" s="304"/>
      <c r="AT135" s="304"/>
      <c r="AU135" s="304"/>
      <c r="AV135" s="304"/>
      <c r="AW135" s="304"/>
      <c r="AX135" s="304"/>
      <c r="AY135" s="304"/>
      <c r="AZ135" s="304"/>
    </row>
    <row r="136" spans="1:52">
      <c r="A136" s="304"/>
      <c r="B136" s="304"/>
      <c r="C136" s="304"/>
      <c r="D136" s="304"/>
      <c r="E136" s="304"/>
      <c r="F136" s="304"/>
      <c r="G136" s="304"/>
      <c r="H136" s="304"/>
      <c r="I136" s="304"/>
      <c r="J136" s="304"/>
      <c r="K136" s="304"/>
      <c r="L136" s="304"/>
      <c r="M136" s="304"/>
      <c r="N136" s="304"/>
      <c r="O136" s="304"/>
      <c r="P136" s="304"/>
      <c r="Q136" s="304"/>
      <c r="R136" s="304"/>
      <c r="S136" s="304"/>
      <c r="T136" s="304"/>
      <c r="U136" s="304"/>
      <c r="V136" s="304"/>
      <c r="W136" s="304"/>
      <c r="X136" s="304"/>
      <c r="Y136" s="304"/>
      <c r="Z136" s="304"/>
      <c r="AA136" s="304"/>
      <c r="AB136" s="304"/>
      <c r="AC136" s="304"/>
      <c r="AD136" s="304"/>
      <c r="AE136" s="304"/>
      <c r="AF136" s="304"/>
      <c r="AG136" s="304"/>
      <c r="AH136" s="304"/>
      <c r="AI136" s="304"/>
      <c r="AJ136" s="304"/>
      <c r="AK136" s="304"/>
      <c r="AL136" s="304"/>
      <c r="AM136" s="304"/>
      <c r="AN136" s="304"/>
      <c r="AO136" s="304"/>
      <c r="AP136" s="304"/>
      <c r="AQ136" s="304"/>
      <c r="AR136" s="304"/>
      <c r="AS136" s="304"/>
      <c r="AT136" s="304"/>
      <c r="AU136" s="304"/>
      <c r="AV136" s="304"/>
      <c r="AW136" s="304"/>
      <c r="AX136" s="304"/>
      <c r="AY136" s="304"/>
      <c r="AZ136" s="304"/>
    </row>
    <row r="137" spans="1:52">
      <c r="A137" s="304"/>
      <c r="B137" s="304"/>
      <c r="C137" s="304"/>
      <c r="D137" s="304"/>
      <c r="E137" s="304"/>
      <c r="F137" s="304"/>
      <c r="G137" s="304"/>
      <c r="H137" s="304"/>
      <c r="I137" s="304"/>
      <c r="J137" s="304"/>
      <c r="K137" s="304"/>
      <c r="L137" s="304"/>
      <c r="M137" s="304"/>
      <c r="N137" s="304"/>
      <c r="O137" s="304"/>
      <c r="P137" s="304"/>
      <c r="Q137" s="304"/>
      <c r="R137" s="304"/>
      <c r="S137" s="304"/>
      <c r="T137" s="304"/>
      <c r="U137" s="304"/>
      <c r="V137" s="304"/>
      <c r="W137" s="304"/>
      <c r="X137" s="304"/>
      <c r="Y137" s="304"/>
      <c r="Z137" s="304"/>
      <c r="AA137" s="304"/>
      <c r="AB137" s="304"/>
      <c r="AC137" s="304"/>
      <c r="AD137" s="304"/>
      <c r="AE137" s="304"/>
      <c r="AF137" s="304"/>
      <c r="AG137" s="304"/>
      <c r="AH137" s="304"/>
      <c r="AI137" s="304"/>
      <c r="AJ137" s="304"/>
      <c r="AK137" s="304"/>
      <c r="AL137" s="304"/>
      <c r="AM137" s="304"/>
      <c r="AN137" s="304"/>
      <c r="AO137" s="304"/>
      <c r="AP137" s="304"/>
      <c r="AQ137" s="304"/>
      <c r="AR137" s="304"/>
      <c r="AS137" s="304"/>
      <c r="AT137" s="304"/>
      <c r="AU137" s="304"/>
      <c r="AV137" s="304"/>
      <c r="AW137" s="304"/>
      <c r="AX137" s="304"/>
      <c r="AY137" s="304"/>
      <c r="AZ137" s="304"/>
    </row>
    <row r="138" spans="1:52">
      <c r="A138" s="304"/>
      <c r="B138" s="304"/>
      <c r="C138" s="304"/>
      <c r="D138" s="304"/>
      <c r="E138" s="304"/>
      <c r="F138" s="304"/>
      <c r="G138" s="304"/>
      <c r="H138" s="304"/>
      <c r="I138" s="304"/>
      <c r="J138" s="304"/>
      <c r="K138" s="304"/>
      <c r="L138" s="304"/>
      <c r="M138" s="304"/>
      <c r="N138" s="304"/>
      <c r="O138" s="304"/>
      <c r="P138" s="304"/>
      <c r="Q138" s="304"/>
      <c r="R138" s="304"/>
      <c r="S138" s="304"/>
      <c r="T138" s="304"/>
      <c r="U138" s="304"/>
      <c r="V138" s="304"/>
      <c r="W138" s="304"/>
      <c r="X138" s="304"/>
      <c r="Y138" s="304"/>
      <c r="Z138" s="304"/>
      <c r="AA138" s="304"/>
      <c r="AB138" s="304"/>
      <c r="AC138" s="304"/>
      <c r="AD138" s="304"/>
      <c r="AE138" s="304"/>
      <c r="AF138" s="304"/>
      <c r="AG138" s="304"/>
      <c r="AH138" s="304"/>
      <c r="AI138" s="304"/>
      <c r="AJ138" s="304"/>
      <c r="AK138" s="304"/>
      <c r="AL138" s="304"/>
      <c r="AM138" s="304"/>
      <c r="AN138" s="304"/>
      <c r="AO138" s="304"/>
      <c r="AP138" s="304"/>
      <c r="AQ138" s="304"/>
      <c r="AR138" s="304"/>
      <c r="AS138" s="304"/>
      <c r="AT138" s="304"/>
      <c r="AU138" s="304"/>
      <c r="AV138" s="304"/>
      <c r="AW138" s="304"/>
      <c r="AX138" s="304"/>
      <c r="AY138" s="304"/>
      <c r="AZ138" s="304"/>
    </row>
    <row r="139" spans="1:52">
      <c r="A139" s="304"/>
      <c r="B139" s="304"/>
      <c r="C139" s="304"/>
      <c r="D139" s="304"/>
      <c r="E139" s="304"/>
      <c r="F139" s="304"/>
      <c r="G139" s="304"/>
      <c r="H139" s="304"/>
      <c r="I139" s="304"/>
      <c r="J139" s="304"/>
      <c r="K139" s="304"/>
      <c r="L139" s="304"/>
      <c r="M139" s="304"/>
      <c r="N139" s="304"/>
      <c r="O139" s="304"/>
      <c r="P139" s="304"/>
      <c r="Q139" s="304"/>
      <c r="R139" s="304"/>
      <c r="S139" s="304"/>
      <c r="T139" s="304"/>
      <c r="U139" s="304"/>
      <c r="V139" s="304"/>
      <c r="W139" s="304"/>
      <c r="X139" s="304"/>
      <c r="Y139" s="304"/>
      <c r="Z139" s="304"/>
      <c r="AA139" s="304"/>
      <c r="AB139" s="304"/>
      <c r="AC139" s="304"/>
      <c r="AD139" s="304"/>
      <c r="AE139" s="304"/>
      <c r="AF139" s="304"/>
      <c r="AG139" s="304"/>
      <c r="AH139" s="304"/>
      <c r="AI139" s="304"/>
      <c r="AJ139" s="304"/>
      <c r="AK139" s="304"/>
      <c r="AL139" s="304"/>
      <c r="AM139" s="304"/>
      <c r="AN139" s="304"/>
      <c r="AO139" s="304"/>
      <c r="AP139" s="304"/>
      <c r="AQ139" s="304"/>
      <c r="AR139" s="304"/>
      <c r="AS139" s="304"/>
      <c r="AT139" s="304"/>
      <c r="AU139" s="304"/>
      <c r="AV139" s="304"/>
      <c r="AW139" s="304"/>
      <c r="AX139" s="304"/>
      <c r="AY139" s="304"/>
      <c r="AZ139" s="304"/>
    </row>
    <row r="140" spans="1:52">
      <c r="A140" s="304"/>
      <c r="B140" s="304"/>
      <c r="C140" s="304"/>
      <c r="D140" s="304"/>
      <c r="E140" s="304"/>
      <c r="F140" s="304"/>
      <c r="G140" s="304"/>
      <c r="H140" s="304"/>
      <c r="I140" s="304"/>
      <c r="J140" s="304"/>
      <c r="K140" s="304"/>
      <c r="L140" s="304"/>
      <c r="M140" s="304"/>
      <c r="N140" s="304"/>
      <c r="O140" s="304"/>
      <c r="P140" s="304"/>
      <c r="Q140" s="304"/>
      <c r="R140" s="304"/>
      <c r="S140" s="304"/>
      <c r="T140" s="304"/>
      <c r="U140" s="304"/>
      <c r="V140" s="304"/>
      <c r="W140" s="304"/>
      <c r="X140" s="304"/>
      <c r="Y140" s="304"/>
      <c r="Z140" s="304"/>
      <c r="AA140" s="304"/>
      <c r="AB140" s="304"/>
      <c r="AC140" s="304"/>
      <c r="AD140" s="304"/>
      <c r="AE140" s="304"/>
      <c r="AF140" s="304"/>
      <c r="AG140" s="304"/>
      <c r="AH140" s="304"/>
      <c r="AI140" s="304"/>
      <c r="AJ140" s="304"/>
      <c r="AK140" s="304"/>
      <c r="AL140" s="304"/>
      <c r="AM140" s="304"/>
      <c r="AN140" s="304"/>
      <c r="AO140" s="304"/>
      <c r="AP140" s="304"/>
      <c r="AQ140" s="304"/>
      <c r="AR140" s="304"/>
      <c r="AS140" s="304"/>
      <c r="AT140" s="304"/>
      <c r="AU140" s="304"/>
      <c r="AV140" s="304"/>
      <c r="AW140" s="304"/>
      <c r="AX140" s="304"/>
      <c r="AY140" s="304"/>
      <c r="AZ140" s="304"/>
    </row>
    <row r="141" spans="1:52">
      <c r="A141" s="304"/>
      <c r="B141" s="304"/>
      <c r="C141" s="304"/>
      <c r="D141" s="304"/>
      <c r="E141" s="304"/>
      <c r="F141" s="304"/>
      <c r="G141" s="304"/>
      <c r="H141" s="304"/>
      <c r="I141" s="304"/>
      <c r="J141" s="304"/>
      <c r="K141" s="304"/>
      <c r="L141" s="304"/>
      <c r="M141" s="304"/>
      <c r="N141" s="304"/>
      <c r="O141" s="304"/>
      <c r="P141" s="304"/>
      <c r="Q141" s="304"/>
      <c r="R141" s="304"/>
      <c r="S141" s="304"/>
      <c r="T141" s="304"/>
      <c r="U141" s="304"/>
      <c r="V141" s="304"/>
      <c r="W141" s="304"/>
      <c r="X141" s="304"/>
      <c r="Y141" s="304"/>
      <c r="Z141" s="304"/>
      <c r="AA141" s="304"/>
      <c r="AB141" s="304"/>
      <c r="AC141" s="304"/>
      <c r="AD141" s="304"/>
      <c r="AE141" s="304"/>
      <c r="AF141" s="304"/>
      <c r="AG141" s="304"/>
      <c r="AH141" s="304"/>
      <c r="AI141" s="304"/>
      <c r="AJ141" s="304"/>
      <c r="AK141" s="304"/>
      <c r="AL141" s="304"/>
      <c r="AM141" s="304"/>
      <c r="AN141" s="304"/>
      <c r="AO141" s="304"/>
      <c r="AP141" s="304"/>
      <c r="AQ141" s="304"/>
      <c r="AR141" s="304"/>
      <c r="AS141" s="304"/>
      <c r="AT141" s="304"/>
      <c r="AU141" s="304"/>
      <c r="AV141" s="304"/>
      <c r="AW141" s="304"/>
      <c r="AX141" s="304"/>
      <c r="AY141" s="304"/>
      <c r="AZ141" s="304"/>
    </row>
    <row r="188" spans="1:52">
      <c r="A188" s="304"/>
      <c r="B188" s="304"/>
      <c r="C188" s="304"/>
      <c r="D188" s="304"/>
      <c r="E188" s="304"/>
      <c r="F188" s="304"/>
      <c r="G188" s="304"/>
      <c r="H188" s="304"/>
      <c r="I188" s="304"/>
      <c r="J188" s="304"/>
      <c r="K188" s="304"/>
      <c r="L188" s="304"/>
      <c r="M188" s="304"/>
      <c r="N188" s="304"/>
      <c r="O188" s="304"/>
      <c r="P188" s="304"/>
      <c r="Q188" s="304"/>
      <c r="R188" s="304"/>
      <c r="S188" s="304"/>
      <c r="T188" s="304"/>
      <c r="U188" s="304"/>
      <c r="V188" s="304"/>
      <c r="W188" s="304"/>
      <c r="X188" s="304"/>
      <c r="Y188" s="304"/>
      <c r="Z188" s="304"/>
      <c r="AA188" s="304"/>
      <c r="AB188" s="304"/>
      <c r="AC188" s="304"/>
      <c r="AD188" s="304"/>
      <c r="AE188" s="304"/>
      <c r="AF188" s="304"/>
      <c r="AG188" s="304"/>
      <c r="AH188" s="304"/>
      <c r="AI188" s="304"/>
      <c r="AJ188" s="304"/>
      <c r="AK188" s="304"/>
      <c r="AL188" s="304"/>
      <c r="AM188" s="304"/>
      <c r="AN188" s="304"/>
      <c r="AO188" s="304"/>
      <c r="AP188" s="304"/>
      <c r="AQ188" s="304"/>
      <c r="AR188" s="304"/>
      <c r="AS188" s="304"/>
      <c r="AT188" s="304"/>
      <c r="AU188" s="304"/>
      <c r="AV188" s="304"/>
      <c r="AW188" s="304"/>
      <c r="AX188" s="304"/>
      <c r="AY188" s="304"/>
      <c r="AZ188" s="304"/>
    </row>
    <row r="195" spans="1:52">
      <c r="A195" s="304"/>
      <c r="B195" s="304"/>
      <c r="C195" s="304"/>
      <c r="D195" s="304"/>
      <c r="E195" s="304"/>
      <c r="F195" s="304"/>
      <c r="G195" s="304"/>
      <c r="H195" s="304"/>
      <c r="I195" s="304"/>
      <c r="J195" s="304"/>
      <c r="K195" s="304"/>
      <c r="L195" s="304"/>
      <c r="M195" s="304"/>
      <c r="N195" s="304"/>
      <c r="O195" s="304"/>
      <c r="P195" s="304"/>
      <c r="Q195" s="304"/>
      <c r="R195" s="304"/>
      <c r="S195" s="304"/>
      <c r="T195" s="304"/>
      <c r="U195" s="304"/>
      <c r="V195" s="304"/>
      <c r="W195" s="304"/>
      <c r="X195" s="304"/>
      <c r="Y195" s="304"/>
      <c r="Z195" s="304"/>
      <c r="AA195" s="304"/>
      <c r="AB195" s="304"/>
      <c r="AC195" s="304"/>
      <c r="AD195" s="304"/>
      <c r="AE195" s="304"/>
      <c r="AF195" s="304"/>
      <c r="AG195" s="304"/>
      <c r="AH195" s="304"/>
      <c r="AI195" s="304"/>
      <c r="AJ195" s="304"/>
      <c r="AK195" s="304"/>
      <c r="AL195" s="304"/>
      <c r="AM195" s="304"/>
      <c r="AN195" s="304"/>
      <c r="AO195" s="304"/>
      <c r="AP195" s="304"/>
      <c r="AQ195" s="304"/>
      <c r="AR195" s="304"/>
      <c r="AS195" s="304"/>
      <c r="AT195" s="304"/>
      <c r="AU195" s="304"/>
      <c r="AV195" s="304"/>
      <c r="AW195" s="304"/>
      <c r="AX195" s="304"/>
      <c r="AY195" s="304"/>
      <c r="AZ195" s="304"/>
    </row>
    <row r="196" spans="1:52">
      <c r="A196" s="304"/>
      <c r="B196" s="304"/>
      <c r="C196" s="304"/>
      <c r="D196" s="304"/>
      <c r="E196" s="304"/>
      <c r="F196" s="304"/>
      <c r="G196" s="304"/>
      <c r="H196" s="304"/>
      <c r="I196" s="304"/>
      <c r="J196" s="304"/>
      <c r="K196" s="304"/>
      <c r="L196" s="304"/>
      <c r="M196" s="304"/>
      <c r="N196" s="304"/>
      <c r="O196" s="304"/>
      <c r="P196" s="304"/>
      <c r="Q196" s="304"/>
      <c r="R196" s="304"/>
      <c r="S196" s="304"/>
      <c r="T196" s="304"/>
      <c r="U196" s="304"/>
      <c r="V196" s="304"/>
      <c r="W196" s="304"/>
      <c r="X196" s="304"/>
      <c r="Y196" s="304"/>
      <c r="Z196" s="304"/>
      <c r="AA196" s="304"/>
      <c r="AB196" s="304"/>
      <c r="AC196" s="304"/>
      <c r="AD196" s="304"/>
      <c r="AE196" s="304"/>
      <c r="AF196" s="304"/>
      <c r="AG196" s="304"/>
      <c r="AH196" s="304"/>
      <c r="AI196" s="304"/>
      <c r="AJ196" s="304"/>
      <c r="AK196" s="304"/>
      <c r="AL196" s="304"/>
      <c r="AM196" s="304"/>
      <c r="AN196" s="304"/>
      <c r="AO196" s="304"/>
      <c r="AP196" s="304"/>
      <c r="AQ196" s="304"/>
      <c r="AR196" s="304"/>
      <c r="AS196" s="304"/>
      <c r="AT196" s="304"/>
      <c r="AU196" s="304"/>
      <c r="AV196" s="304"/>
      <c r="AW196" s="304"/>
      <c r="AX196" s="304"/>
      <c r="AY196" s="304"/>
      <c r="AZ196" s="304"/>
    </row>
    <row r="197" spans="1:52">
      <c r="A197" s="304"/>
      <c r="B197" s="304"/>
      <c r="C197" s="304"/>
      <c r="D197" s="304"/>
      <c r="E197" s="304"/>
      <c r="F197" s="304"/>
      <c r="G197" s="304"/>
      <c r="H197" s="304"/>
      <c r="I197" s="304"/>
      <c r="J197" s="304"/>
      <c r="K197" s="304"/>
      <c r="L197" s="304"/>
      <c r="M197" s="304"/>
      <c r="N197" s="304"/>
      <c r="O197" s="304"/>
      <c r="P197" s="304"/>
      <c r="Q197" s="304"/>
      <c r="R197" s="304"/>
      <c r="S197" s="304"/>
      <c r="T197" s="304"/>
      <c r="U197" s="304"/>
      <c r="V197" s="304"/>
      <c r="W197" s="304"/>
      <c r="X197" s="304"/>
      <c r="Y197" s="304"/>
      <c r="Z197" s="304"/>
      <c r="AA197" s="304"/>
      <c r="AB197" s="304"/>
      <c r="AC197" s="304"/>
      <c r="AD197" s="304"/>
      <c r="AE197" s="304"/>
      <c r="AF197" s="304"/>
      <c r="AG197" s="304"/>
      <c r="AH197" s="304"/>
      <c r="AI197" s="304"/>
      <c r="AJ197" s="304"/>
      <c r="AK197" s="304"/>
      <c r="AL197" s="304"/>
      <c r="AM197" s="304"/>
      <c r="AN197" s="304"/>
      <c r="AO197" s="304"/>
      <c r="AP197" s="304"/>
      <c r="AQ197" s="304"/>
      <c r="AR197" s="304"/>
      <c r="AS197" s="304"/>
      <c r="AT197" s="304"/>
      <c r="AU197" s="304"/>
      <c r="AV197" s="304"/>
      <c r="AW197" s="304"/>
      <c r="AX197" s="304"/>
      <c r="AY197" s="304"/>
      <c r="AZ197" s="304"/>
    </row>
    <row r="198" spans="1:52">
      <c r="A198" s="304"/>
      <c r="B198" s="304"/>
      <c r="C198" s="304"/>
      <c r="D198" s="304"/>
      <c r="E198" s="304"/>
      <c r="F198" s="304"/>
      <c r="G198" s="304"/>
      <c r="H198" s="304"/>
      <c r="I198" s="304"/>
      <c r="J198" s="304"/>
      <c r="K198" s="304"/>
      <c r="L198" s="304"/>
      <c r="M198" s="304"/>
      <c r="N198" s="304"/>
      <c r="O198" s="304"/>
      <c r="P198" s="304"/>
      <c r="Q198" s="304"/>
      <c r="R198" s="304"/>
      <c r="S198" s="304"/>
      <c r="T198" s="304"/>
      <c r="U198" s="304"/>
      <c r="V198" s="304"/>
      <c r="W198" s="304"/>
      <c r="X198" s="304"/>
      <c r="Y198" s="304"/>
      <c r="Z198" s="304"/>
      <c r="AA198" s="304"/>
      <c r="AB198" s="304"/>
      <c r="AC198" s="304"/>
      <c r="AD198" s="304"/>
      <c r="AE198" s="304"/>
      <c r="AF198" s="304"/>
      <c r="AG198" s="304"/>
      <c r="AH198" s="304"/>
      <c r="AI198" s="304"/>
      <c r="AJ198" s="304"/>
      <c r="AK198" s="304"/>
      <c r="AL198" s="304"/>
      <c r="AM198" s="304"/>
      <c r="AN198" s="304"/>
      <c r="AO198" s="304"/>
      <c r="AP198" s="304"/>
      <c r="AQ198" s="304"/>
      <c r="AR198" s="304"/>
      <c r="AS198" s="304"/>
      <c r="AT198" s="304"/>
      <c r="AU198" s="304"/>
      <c r="AV198" s="304"/>
      <c r="AW198" s="304"/>
      <c r="AX198" s="304"/>
      <c r="AY198" s="304"/>
      <c r="AZ198" s="304"/>
    </row>
    <row r="199" spans="1:52">
      <c r="A199" s="304"/>
      <c r="B199" s="304"/>
      <c r="C199" s="304"/>
      <c r="D199" s="304"/>
      <c r="E199" s="304"/>
      <c r="F199" s="304"/>
      <c r="G199" s="304"/>
      <c r="H199" s="304"/>
      <c r="I199" s="304"/>
      <c r="J199" s="304"/>
      <c r="K199" s="304"/>
      <c r="L199" s="304"/>
      <c r="M199" s="304"/>
      <c r="N199" s="304"/>
      <c r="O199" s="304"/>
      <c r="P199" s="304"/>
      <c r="Q199" s="304"/>
      <c r="R199" s="304"/>
      <c r="S199" s="304"/>
      <c r="T199" s="304"/>
      <c r="U199" s="304"/>
      <c r="V199" s="304"/>
      <c r="W199" s="304"/>
      <c r="X199" s="304"/>
      <c r="Y199" s="304"/>
      <c r="Z199" s="304"/>
      <c r="AA199" s="304"/>
      <c r="AB199" s="304"/>
      <c r="AC199" s="304"/>
      <c r="AD199" s="304"/>
      <c r="AE199" s="304"/>
      <c r="AF199" s="304"/>
      <c r="AG199" s="304"/>
      <c r="AH199" s="304"/>
      <c r="AI199" s="304"/>
      <c r="AJ199" s="304"/>
      <c r="AK199" s="304"/>
      <c r="AL199" s="304"/>
      <c r="AM199" s="304"/>
      <c r="AN199" s="304"/>
      <c r="AO199" s="304"/>
      <c r="AP199" s="304"/>
      <c r="AQ199" s="304"/>
      <c r="AR199" s="304"/>
      <c r="AS199" s="304"/>
      <c r="AT199" s="304"/>
      <c r="AU199" s="304"/>
      <c r="AV199" s="304"/>
      <c r="AW199" s="304"/>
      <c r="AX199" s="304"/>
      <c r="AY199" s="304"/>
      <c r="AZ199" s="304"/>
    </row>
    <row r="203" spans="1:52">
      <c r="A203" s="304"/>
      <c r="B203" s="304"/>
      <c r="C203" s="304"/>
      <c r="D203" s="304"/>
      <c r="E203" s="304"/>
      <c r="F203" s="304"/>
      <c r="G203" s="304"/>
      <c r="H203" s="304"/>
      <c r="I203" s="304"/>
      <c r="J203" s="304"/>
      <c r="K203" s="304"/>
      <c r="L203" s="304"/>
      <c r="M203" s="304"/>
      <c r="N203" s="304"/>
      <c r="O203" s="304"/>
      <c r="P203" s="304"/>
      <c r="Q203" s="304"/>
      <c r="R203" s="304"/>
      <c r="S203" s="304"/>
      <c r="T203" s="304"/>
      <c r="U203" s="304"/>
      <c r="V203" s="304"/>
      <c r="W203" s="304"/>
      <c r="X203" s="304"/>
      <c r="Y203" s="304"/>
      <c r="Z203" s="304"/>
      <c r="AA203" s="304"/>
      <c r="AB203" s="304"/>
      <c r="AC203" s="304"/>
      <c r="AD203" s="304"/>
      <c r="AE203" s="304"/>
      <c r="AF203" s="304"/>
      <c r="AG203" s="304"/>
      <c r="AH203" s="304"/>
      <c r="AI203" s="304"/>
      <c r="AJ203" s="304"/>
      <c r="AK203" s="304"/>
      <c r="AL203" s="304"/>
      <c r="AM203" s="304"/>
      <c r="AN203" s="304"/>
      <c r="AO203" s="304"/>
      <c r="AP203" s="304"/>
      <c r="AQ203" s="304"/>
      <c r="AR203" s="304"/>
      <c r="AS203" s="304"/>
      <c r="AT203" s="304"/>
      <c r="AU203" s="304"/>
      <c r="AV203" s="304"/>
      <c r="AW203" s="304"/>
      <c r="AX203" s="304"/>
      <c r="AY203" s="304"/>
      <c r="AZ203" s="304"/>
    </row>
    <row r="204" spans="1:52" s="682" customFormat="1" ht="27" customHeight="1">
      <c r="A204" s="682" t="s">
        <v>8050</v>
      </c>
    </row>
    <row r="205" spans="1:52">
      <c r="A205" s="304"/>
      <c r="B205" s="304"/>
      <c r="C205" s="304"/>
      <c r="D205" s="304"/>
      <c r="E205" s="304"/>
      <c r="F205" s="304"/>
      <c r="G205" s="304"/>
      <c r="H205" s="304"/>
      <c r="I205" s="304"/>
      <c r="J205" s="304"/>
      <c r="K205" s="304"/>
      <c r="L205" s="304"/>
      <c r="M205" s="304"/>
      <c r="N205" s="304"/>
      <c r="O205" s="304"/>
      <c r="P205" s="304"/>
      <c r="Q205" s="304"/>
      <c r="R205" s="304"/>
      <c r="S205" s="304"/>
      <c r="T205" s="304"/>
      <c r="U205" s="304"/>
      <c r="V205" s="304"/>
      <c r="W205" s="304"/>
      <c r="X205" s="304"/>
      <c r="Y205" s="304"/>
      <c r="Z205" s="304"/>
      <c r="AA205" s="304"/>
      <c r="AB205" s="304"/>
      <c r="AC205" s="304"/>
      <c r="AD205" s="304"/>
      <c r="AE205" s="304"/>
      <c r="AF205" s="304"/>
      <c r="AG205" s="304"/>
      <c r="AH205" s="304"/>
      <c r="AI205" s="304"/>
      <c r="AJ205" s="304"/>
      <c r="AK205" s="304"/>
      <c r="AL205" s="304"/>
      <c r="AM205" s="304"/>
      <c r="AN205" s="304"/>
      <c r="AO205" s="304"/>
      <c r="AP205" s="304"/>
      <c r="AQ205" s="304"/>
      <c r="AR205" s="304"/>
      <c r="AS205" s="304"/>
      <c r="AT205" s="304"/>
      <c r="AU205" s="304"/>
      <c r="AV205" s="304"/>
      <c r="AW205" s="304"/>
      <c r="AX205" s="304"/>
      <c r="AY205" s="304"/>
      <c r="AZ205" s="304"/>
    </row>
    <row r="206" spans="1:52">
      <c r="A206" s="304"/>
      <c r="B206" s="304"/>
      <c r="C206" s="304"/>
      <c r="D206" s="304"/>
      <c r="E206" s="304"/>
      <c r="F206" s="304"/>
      <c r="G206" s="304"/>
      <c r="H206" s="304"/>
      <c r="I206" s="304"/>
      <c r="J206" s="304"/>
      <c r="K206" s="304"/>
      <c r="L206" s="304"/>
      <c r="M206" s="304"/>
      <c r="N206" s="304"/>
      <c r="O206" s="304"/>
      <c r="P206" s="304"/>
      <c r="Q206" s="304"/>
      <c r="R206" s="304"/>
      <c r="S206" s="304"/>
      <c r="T206" s="304"/>
      <c r="U206" s="304"/>
      <c r="V206" s="304"/>
      <c r="W206" s="304"/>
      <c r="X206" s="304"/>
      <c r="Y206" s="304"/>
      <c r="Z206" s="304"/>
      <c r="AA206" s="304"/>
      <c r="AB206" s="304"/>
      <c r="AC206" s="304"/>
      <c r="AD206" s="304"/>
      <c r="AE206" s="304"/>
      <c r="AF206" s="304"/>
      <c r="AG206" s="304"/>
      <c r="AH206" s="304"/>
      <c r="AI206" s="304"/>
      <c r="AJ206" s="304"/>
      <c r="AK206" s="304"/>
      <c r="AL206" s="304"/>
      <c r="AM206" s="304"/>
      <c r="AN206" s="304"/>
      <c r="AO206" s="304"/>
      <c r="AP206" s="304"/>
      <c r="AQ206" s="304"/>
      <c r="AR206" s="304"/>
      <c r="AS206" s="304"/>
      <c r="AT206" s="304"/>
      <c r="AU206" s="304"/>
      <c r="AV206" s="304"/>
      <c r="AW206" s="304"/>
      <c r="AX206" s="304"/>
      <c r="AY206" s="304"/>
      <c r="AZ206" s="304"/>
    </row>
    <row r="207" spans="1:52">
      <c r="A207" s="307" t="s">
        <v>785</v>
      </c>
      <c r="B207" s="304"/>
      <c r="C207" s="304"/>
      <c r="D207" s="304"/>
      <c r="E207" s="304"/>
      <c r="F207" s="304"/>
      <c r="G207" s="304"/>
      <c r="H207" s="304"/>
      <c r="I207" s="304"/>
      <c r="J207" s="304"/>
      <c r="K207" s="304"/>
      <c r="L207" s="304"/>
      <c r="M207" s="304"/>
      <c r="N207" s="304"/>
      <c r="O207" s="304"/>
      <c r="P207" s="304"/>
      <c r="Q207" s="304"/>
      <c r="R207" s="304"/>
      <c r="S207" s="304"/>
      <c r="T207" s="304"/>
      <c r="U207" s="304"/>
      <c r="V207" s="304"/>
      <c r="W207" s="304"/>
      <c r="X207" s="304"/>
      <c r="Y207" s="304"/>
      <c r="Z207" s="304"/>
      <c r="AA207" s="304"/>
      <c r="AB207" s="304"/>
      <c r="AC207" s="304"/>
      <c r="AD207" s="304"/>
      <c r="AE207" s="304"/>
      <c r="AF207" s="304"/>
      <c r="AG207" s="304"/>
      <c r="AH207" s="304"/>
      <c r="AI207" s="304"/>
      <c r="AJ207" s="304"/>
      <c r="AK207" s="304"/>
      <c r="AL207" s="304"/>
      <c r="AM207" s="304"/>
      <c r="AN207" s="304"/>
      <c r="AO207" s="304"/>
      <c r="AP207" s="304"/>
      <c r="AQ207" s="304"/>
      <c r="AR207" s="304"/>
      <c r="AS207" s="304"/>
      <c r="AT207" s="304"/>
      <c r="AU207" s="304"/>
      <c r="AV207" s="304"/>
      <c r="AW207" s="304"/>
      <c r="AX207" s="304"/>
      <c r="AY207" s="304"/>
      <c r="AZ207" s="304"/>
    </row>
    <row r="208" spans="1:52">
      <c r="A208" s="304" t="s">
        <v>8051</v>
      </c>
      <c r="B208" s="304"/>
      <c r="C208" s="304"/>
      <c r="D208" s="304"/>
      <c r="E208" s="304"/>
      <c r="F208" s="304"/>
      <c r="G208" s="304"/>
      <c r="H208" s="304"/>
      <c r="I208" s="304"/>
      <c r="J208" s="304"/>
      <c r="K208" s="304"/>
      <c r="L208" s="304"/>
      <c r="M208" s="304"/>
      <c r="N208" s="304"/>
      <c r="O208" s="304"/>
      <c r="P208" s="304"/>
      <c r="Q208" s="304"/>
      <c r="R208" s="304"/>
      <c r="S208" s="304"/>
      <c r="T208" s="304"/>
      <c r="U208" s="304"/>
      <c r="V208" s="304"/>
      <c r="W208" s="304"/>
      <c r="X208" s="304"/>
      <c r="Y208" s="304"/>
      <c r="Z208" s="304"/>
      <c r="AA208" s="304"/>
      <c r="AB208" s="304"/>
      <c r="AC208" s="304"/>
      <c r="AD208" s="304"/>
      <c r="AE208" s="304"/>
      <c r="AF208" s="304"/>
      <c r="AG208" s="304"/>
      <c r="AH208" s="304"/>
      <c r="AI208" s="304"/>
      <c r="AJ208" s="304"/>
      <c r="AK208" s="304"/>
      <c r="AL208" s="304"/>
      <c r="AM208" s="304"/>
      <c r="AN208" s="304"/>
      <c r="AO208" s="304"/>
      <c r="AP208" s="304"/>
      <c r="AQ208" s="304"/>
      <c r="AR208" s="304"/>
      <c r="AS208" s="304"/>
      <c r="AT208" s="304"/>
      <c r="AU208" s="304"/>
      <c r="AV208" s="304"/>
      <c r="AW208" s="304"/>
      <c r="AX208" s="304"/>
      <c r="AY208" s="304"/>
      <c r="AZ208" s="304"/>
    </row>
    <row r="209" spans="1:52">
      <c r="A209" s="304"/>
      <c r="B209" s="304"/>
      <c r="C209" s="304"/>
      <c r="D209" s="304"/>
      <c r="E209" s="304"/>
      <c r="F209" s="304"/>
      <c r="G209" s="304"/>
      <c r="H209" s="304"/>
      <c r="I209" s="304"/>
      <c r="J209" s="304"/>
      <c r="K209" s="304"/>
      <c r="L209" s="304"/>
      <c r="M209" s="304"/>
      <c r="N209" s="304"/>
      <c r="O209" s="304"/>
      <c r="P209" s="304"/>
      <c r="Q209" s="304"/>
      <c r="R209" s="304"/>
      <c r="S209" s="304"/>
      <c r="T209" s="304"/>
      <c r="U209" s="304"/>
      <c r="V209" s="304"/>
      <c r="W209" s="304"/>
      <c r="X209" s="304"/>
      <c r="Y209" s="304"/>
      <c r="Z209" s="304"/>
      <c r="AA209" s="304"/>
      <c r="AB209" s="304"/>
      <c r="AC209" s="304"/>
      <c r="AD209" s="304"/>
      <c r="AE209" s="304"/>
      <c r="AF209" s="304"/>
      <c r="AG209" s="304"/>
      <c r="AH209" s="304"/>
      <c r="AI209" s="304"/>
      <c r="AJ209" s="304"/>
      <c r="AK209" s="304"/>
      <c r="AL209" s="304"/>
      <c r="AM209" s="304"/>
      <c r="AN209" s="304"/>
      <c r="AO209" s="304"/>
      <c r="AP209" s="304"/>
      <c r="AQ209" s="304"/>
      <c r="AR209" s="304"/>
      <c r="AS209" s="304"/>
      <c r="AT209" s="304"/>
      <c r="AU209" s="304"/>
      <c r="AV209" s="304"/>
      <c r="AW209" s="304"/>
      <c r="AX209" s="304"/>
      <c r="AY209" s="304"/>
      <c r="AZ209" s="304"/>
    </row>
    <row r="210" spans="1:52">
      <c r="A210" s="304" t="s">
        <v>8052</v>
      </c>
      <c r="B210" s="304" t="s">
        <v>8053</v>
      </c>
      <c r="C210" s="304" t="s">
        <v>529</v>
      </c>
      <c r="D210" s="304"/>
      <c r="E210" s="304"/>
      <c r="F210" s="304"/>
      <c r="G210" s="304"/>
      <c r="H210" s="304"/>
      <c r="I210" s="304"/>
      <c r="J210" s="304"/>
      <c r="K210" s="304"/>
      <c r="L210" s="304"/>
      <c r="M210" s="304"/>
      <c r="N210" s="304"/>
      <c r="O210" s="304"/>
      <c r="P210" s="304"/>
      <c r="Q210" s="304"/>
      <c r="R210" s="304"/>
      <c r="S210" s="304"/>
      <c r="T210" s="304"/>
      <c r="U210" s="304"/>
      <c r="V210" s="304"/>
      <c r="W210" s="304"/>
      <c r="X210" s="304"/>
      <c r="Y210" s="304"/>
      <c r="Z210" s="304"/>
      <c r="AA210" s="304"/>
      <c r="AB210" s="304"/>
      <c r="AC210" s="304"/>
      <c r="AD210" s="304"/>
      <c r="AE210" s="304"/>
      <c r="AF210" s="304"/>
      <c r="AG210" s="304"/>
      <c r="AH210" s="304"/>
      <c r="AI210" s="304"/>
      <c r="AJ210" s="304"/>
      <c r="AK210" s="304"/>
      <c r="AL210" s="304"/>
      <c r="AM210" s="304"/>
      <c r="AN210" s="304"/>
      <c r="AO210" s="304"/>
      <c r="AP210" s="304"/>
      <c r="AQ210" s="304"/>
      <c r="AR210" s="304"/>
      <c r="AS210" s="304"/>
      <c r="AT210" s="304"/>
      <c r="AU210" s="304"/>
      <c r="AV210" s="304"/>
      <c r="AW210" s="304"/>
      <c r="AX210" s="304"/>
      <c r="AY210" s="304"/>
      <c r="AZ210" s="304"/>
    </row>
    <row r="211" spans="1:52">
      <c r="A211" s="304"/>
      <c r="B211" s="304"/>
      <c r="C211" s="304"/>
      <c r="D211" s="304"/>
      <c r="E211" s="304"/>
      <c r="F211" s="304"/>
      <c r="G211" s="304"/>
      <c r="H211" s="304"/>
      <c r="I211" s="304"/>
      <c r="J211" s="304"/>
      <c r="K211" s="304"/>
      <c r="L211" s="304"/>
      <c r="M211" s="304"/>
      <c r="N211" s="304"/>
      <c r="O211" s="304"/>
      <c r="P211" s="304"/>
      <c r="Q211" s="304"/>
      <c r="R211" s="304"/>
      <c r="S211" s="304"/>
      <c r="T211" s="304"/>
      <c r="U211" s="304"/>
      <c r="V211" s="304"/>
      <c r="W211" s="304"/>
      <c r="X211" s="304"/>
      <c r="Y211" s="304"/>
      <c r="Z211" s="304"/>
      <c r="AA211" s="304"/>
      <c r="AB211" s="304"/>
      <c r="AC211" s="304"/>
      <c r="AD211" s="304"/>
      <c r="AE211" s="304"/>
      <c r="AF211" s="304"/>
      <c r="AG211" s="304"/>
      <c r="AH211" s="304"/>
      <c r="AI211" s="304"/>
      <c r="AJ211" s="304"/>
      <c r="AK211" s="304"/>
      <c r="AL211" s="304"/>
      <c r="AM211" s="304"/>
      <c r="AN211" s="304"/>
      <c r="AO211" s="304"/>
      <c r="AP211" s="304"/>
      <c r="AQ211" s="304"/>
      <c r="AR211" s="304"/>
      <c r="AS211" s="304"/>
      <c r="AT211" s="304"/>
      <c r="AU211" s="304"/>
      <c r="AV211" s="304"/>
      <c r="AW211" s="304"/>
      <c r="AX211" s="304"/>
      <c r="AY211" s="304"/>
      <c r="AZ211" s="304"/>
    </row>
    <row r="212" spans="1:52">
      <c r="A212" s="304" t="s">
        <v>8054</v>
      </c>
      <c r="B212" s="304" t="s">
        <v>8055</v>
      </c>
      <c r="C212" s="304"/>
      <c r="D212" s="304"/>
      <c r="E212" s="304"/>
      <c r="F212" s="304"/>
      <c r="G212" s="304"/>
      <c r="H212" s="304"/>
      <c r="I212" s="304"/>
      <c r="J212" s="304"/>
      <c r="K212" s="304"/>
      <c r="L212" s="304"/>
      <c r="M212" s="304"/>
      <c r="N212" s="304"/>
      <c r="O212" s="304"/>
      <c r="P212" s="304"/>
      <c r="Q212" s="304"/>
      <c r="R212" s="304"/>
      <c r="S212" s="304"/>
      <c r="T212" s="304"/>
      <c r="U212" s="304"/>
      <c r="V212" s="304"/>
      <c r="W212" s="304"/>
      <c r="X212" s="304"/>
      <c r="Y212" s="304"/>
      <c r="Z212" s="304"/>
      <c r="AA212" s="304"/>
      <c r="AB212" s="304"/>
      <c r="AC212" s="304"/>
      <c r="AD212" s="304"/>
      <c r="AE212" s="304"/>
      <c r="AF212" s="304"/>
      <c r="AG212" s="304"/>
      <c r="AH212" s="304"/>
      <c r="AI212" s="304"/>
      <c r="AJ212" s="304"/>
      <c r="AK212" s="304"/>
      <c r="AL212" s="304"/>
      <c r="AM212" s="304"/>
      <c r="AN212" s="304"/>
      <c r="AO212" s="304"/>
      <c r="AP212" s="304"/>
      <c r="AQ212" s="304"/>
      <c r="AR212" s="304"/>
      <c r="AS212" s="304"/>
      <c r="AT212" s="304"/>
      <c r="AU212" s="304"/>
      <c r="AV212" s="304"/>
      <c r="AW212" s="304"/>
      <c r="AX212" s="304"/>
      <c r="AY212" s="304"/>
      <c r="AZ212" s="304"/>
    </row>
    <row r="213" spans="1:52">
      <c r="A213" s="307" t="s">
        <v>1148</v>
      </c>
      <c r="B213" s="310" t="s">
        <v>8056</v>
      </c>
      <c r="C213" s="304"/>
      <c r="D213" s="304"/>
      <c r="E213" s="304"/>
      <c r="F213" s="304"/>
      <c r="G213" s="304"/>
      <c r="H213" s="304"/>
      <c r="I213" s="304"/>
      <c r="J213" s="304"/>
      <c r="K213" s="304"/>
      <c r="L213" s="304"/>
      <c r="M213" s="304"/>
      <c r="N213" s="304"/>
      <c r="O213" s="304"/>
      <c r="P213" s="304"/>
      <c r="Q213" s="304"/>
      <c r="R213" s="304"/>
      <c r="S213" s="304"/>
      <c r="T213" s="304"/>
      <c r="U213" s="304"/>
      <c r="V213" s="304"/>
      <c r="W213" s="304"/>
      <c r="X213" s="304"/>
      <c r="Y213" s="304"/>
      <c r="Z213" s="304"/>
      <c r="AA213" s="304"/>
      <c r="AB213" s="304"/>
      <c r="AC213" s="304"/>
      <c r="AD213" s="304"/>
      <c r="AE213" s="304"/>
      <c r="AF213" s="304"/>
      <c r="AG213" s="304"/>
      <c r="AH213" s="304"/>
      <c r="AI213" s="304"/>
      <c r="AJ213" s="304"/>
      <c r="AK213" s="304"/>
      <c r="AL213" s="304"/>
      <c r="AM213" s="304"/>
      <c r="AN213" s="304"/>
      <c r="AO213" s="304"/>
      <c r="AP213" s="304"/>
      <c r="AQ213" s="304"/>
      <c r="AR213" s="304"/>
      <c r="AS213" s="304"/>
      <c r="AT213" s="304"/>
      <c r="AU213" s="304"/>
      <c r="AV213" s="304"/>
      <c r="AW213" s="304"/>
      <c r="AX213" s="304"/>
      <c r="AY213" s="304"/>
      <c r="AZ213" s="304"/>
    </row>
    <row r="214" spans="1:52">
      <c r="A214" s="304" t="s">
        <v>8057</v>
      </c>
      <c r="B214" s="304" t="s">
        <v>529</v>
      </c>
      <c r="C214" s="304"/>
      <c r="D214" s="304"/>
      <c r="E214" s="304"/>
      <c r="F214" s="304"/>
      <c r="G214" s="304"/>
      <c r="H214" s="304"/>
      <c r="I214" s="304"/>
      <c r="J214" s="304"/>
      <c r="K214" s="304"/>
      <c r="L214" s="304"/>
      <c r="M214" s="304"/>
      <c r="N214" s="304"/>
      <c r="O214" s="304"/>
      <c r="P214" s="304"/>
      <c r="Q214" s="304"/>
      <c r="R214" s="304"/>
      <c r="S214" s="304"/>
      <c r="T214" s="304"/>
      <c r="U214" s="304"/>
      <c r="V214" s="304"/>
      <c r="W214" s="304"/>
      <c r="X214" s="304"/>
      <c r="Y214" s="304"/>
      <c r="Z214" s="304"/>
      <c r="AA214" s="304"/>
      <c r="AB214" s="304"/>
      <c r="AC214" s="304"/>
      <c r="AD214" s="304"/>
      <c r="AE214" s="304"/>
      <c r="AF214" s="304"/>
      <c r="AG214" s="304"/>
      <c r="AH214" s="304"/>
      <c r="AI214" s="304"/>
      <c r="AJ214" s="304"/>
      <c r="AK214" s="304"/>
      <c r="AL214" s="304"/>
      <c r="AM214" s="304"/>
      <c r="AN214" s="304"/>
      <c r="AO214" s="304"/>
      <c r="AP214" s="304"/>
      <c r="AQ214" s="304"/>
      <c r="AR214" s="304"/>
      <c r="AS214" s="304"/>
      <c r="AT214" s="304"/>
      <c r="AU214" s="304"/>
      <c r="AV214" s="304"/>
      <c r="AW214" s="304"/>
      <c r="AX214" s="304"/>
      <c r="AY214" s="304"/>
      <c r="AZ214" s="304"/>
    </row>
    <row r="215" spans="1:52">
      <c r="A215" s="304"/>
      <c r="B215" s="304"/>
      <c r="C215" s="304"/>
      <c r="D215" s="304"/>
      <c r="E215" s="304"/>
      <c r="F215" s="304"/>
      <c r="G215" s="304"/>
      <c r="H215" s="304"/>
      <c r="I215" s="304"/>
      <c r="J215" s="304"/>
      <c r="K215" s="304"/>
      <c r="L215" s="304"/>
      <c r="M215" s="304"/>
      <c r="N215" s="304"/>
      <c r="O215" s="304"/>
      <c r="P215" s="304"/>
      <c r="Q215" s="304"/>
      <c r="R215" s="304"/>
      <c r="S215" s="304"/>
      <c r="T215" s="304"/>
      <c r="U215" s="304"/>
      <c r="V215" s="304"/>
      <c r="W215" s="304"/>
      <c r="X215" s="304"/>
      <c r="Y215" s="304"/>
      <c r="Z215" s="304"/>
      <c r="AA215" s="304"/>
      <c r="AB215" s="304"/>
      <c r="AC215" s="304"/>
      <c r="AD215" s="304"/>
      <c r="AE215" s="304"/>
      <c r="AF215" s="304"/>
      <c r="AG215" s="304"/>
      <c r="AH215" s="304"/>
      <c r="AI215" s="304"/>
      <c r="AJ215" s="304"/>
      <c r="AK215" s="304"/>
      <c r="AL215" s="304"/>
      <c r="AM215" s="304"/>
      <c r="AN215" s="304"/>
      <c r="AO215" s="304"/>
      <c r="AP215" s="304"/>
      <c r="AQ215" s="304"/>
      <c r="AR215" s="304"/>
      <c r="AS215" s="304"/>
      <c r="AT215" s="304"/>
      <c r="AU215" s="304"/>
      <c r="AV215" s="304"/>
      <c r="AW215" s="304"/>
      <c r="AX215" s="304"/>
      <c r="AY215" s="304"/>
      <c r="AZ215" s="304"/>
    </row>
    <row r="216" spans="1:52">
      <c r="A216" s="304" t="s">
        <v>8058</v>
      </c>
      <c r="B216" s="304" t="s">
        <v>8059</v>
      </c>
      <c r="C216" s="304" t="s">
        <v>8060</v>
      </c>
      <c r="D216" s="304" t="s">
        <v>8061</v>
      </c>
      <c r="E216" s="304" t="s">
        <v>8062</v>
      </c>
      <c r="F216" s="304" t="s">
        <v>529</v>
      </c>
      <c r="G216" s="304"/>
      <c r="H216" s="304"/>
      <c r="I216" s="304"/>
      <c r="J216" s="304"/>
      <c r="K216" s="304"/>
      <c r="L216" s="304"/>
      <c r="M216" s="304"/>
      <c r="N216" s="304"/>
      <c r="O216" s="304"/>
      <c r="P216" s="304"/>
      <c r="Q216" s="304"/>
      <c r="R216" s="304"/>
      <c r="S216" s="304"/>
      <c r="T216" s="304"/>
      <c r="U216" s="304"/>
      <c r="V216" s="304"/>
      <c r="W216" s="304"/>
      <c r="X216" s="304"/>
      <c r="Y216" s="304"/>
      <c r="Z216" s="304"/>
      <c r="AA216" s="304"/>
      <c r="AB216" s="304"/>
      <c r="AC216" s="304"/>
      <c r="AD216" s="304"/>
      <c r="AE216" s="304"/>
      <c r="AF216" s="304"/>
      <c r="AG216" s="304"/>
      <c r="AH216" s="304"/>
      <c r="AI216" s="304"/>
      <c r="AJ216" s="304"/>
      <c r="AK216" s="304"/>
      <c r="AL216" s="304"/>
      <c r="AM216" s="304"/>
      <c r="AN216" s="304"/>
      <c r="AO216" s="304"/>
      <c r="AP216" s="304"/>
      <c r="AQ216" s="304"/>
      <c r="AR216" s="304"/>
      <c r="AS216" s="304"/>
      <c r="AT216" s="304"/>
      <c r="AU216" s="304"/>
      <c r="AV216" s="304"/>
      <c r="AW216" s="304"/>
      <c r="AX216" s="304"/>
      <c r="AY216" s="304"/>
      <c r="AZ216" s="304"/>
    </row>
    <row r="217" spans="1:52">
      <c r="A217" s="304"/>
      <c r="B217" s="304"/>
      <c r="C217" s="304"/>
      <c r="D217" s="304"/>
      <c r="E217" s="304"/>
      <c r="F217" s="304"/>
      <c r="G217" s="304"/>
      <c r="H217" s="304"/>
      <c r="I217" s="304"/>
      <c r="J217" s="304"/>
      <c r="K217" s="304"/>
      <c r="L217" s="304"/>
      <c r="M217" s="304"/>
      <c r="N217" s="304"/>
      <c r="O217" s="304"/>
      <c r="P217" s="304"/>
      <c r="Q217" s="304"/>
      <c r="R217" s="304"/>
      <c r="S217" s="304"/>
      <c r="T217" s="304"/>
      <c r="U217" s="304"/>
      <c r="V217" s="304"/>
      <c r="W217" s="304"/>
      <c r="X217" s="304"/>
      <c r="Y217" s="304"/>
      <c r="Z217" s="304"/>
      <c r="AA217" s="304"/>
      <c r="AB217" s="304"/>
      <c r="AC217" s="304"/>
      <c r="AD217" s="304"/>
      <c r="AE217" s="304"/>
      <c r="AF217" s="304"/>
      <c r="AG217" s="304"/>
      <c r="AH217" s="304"/>
      <c r="AI217" s="304"/>
      <c r="AJ217" s="304"/>
      <c r="AK217" s="304"/>
      <c r="AL217" s="304"/>
      <c r="AM217" s="304"/>
      <c r="AN217" s="304"/>
      <c r="AO217" s="304"/>
      <c r="AP217" s="304"/>
      <c r="AQ217" s="304"/>
      <c r="AR217" s="304"/>
      <c r="AS217" s="304"/>
      <c r="AT217" s="304"/>
      <c r="AU217" s="304"/>
      <c r="AV217" s="304"/>
      <c r="AW217" s="304"/>
      <c r="AX217" s="304"/>
      <c r="AY217" s="304"/>
      <c r="AZ217" s="304"/>
    </row>
    <row r="218" spans="1:52">
      <c r="A218" s="304" t="s">
        <v>1516</v>
      </c>
      <c r="B218" s="304" t="s">
        <v>1518</v>
      </c>
      <c r="C218" s="304" t="s">
        <v>8063</v>
      </c>
      <c r="D218" s="304" t="s">
        <v>8064</v>
      </c>
      <c r="E218" s="304" t="s">
        <v>529</v>
      </c>
      <c r="F218" s="304"/>
      <c r="G218" s="304"/>
      <c r="H218" s="304"/>
      <c r="I218" s="304"/>
      <c r="J218" s="304"/>
      <c r="K218" s="304"/>
      <c r="L218" s="304"/>
      <c r="M218" s="304"/>
      <c r="N218" s="304"/>
      <c r="O218" s="304"/>
      <c r="P218" s="304"/>
      <c r="Q218" s="304"/>
      <c r="R218" s="304"/>
      <c r="S218" s="304"/>
      <c r="T218" s="304"/>
      <c r="U218" s="304"/>
      <c r="V218" s="304"/>
      <c r="W218" s="304"/>
      <c r="X218" s="304"/>
      <c r="Y218" s="304"/>
      <c r="Z218" s="304"/>
      <c r="AA218" s="304"/>
      <c r="AB218" s="304"/>
      <c r="AC218" s="304"/>
      <c r="AD218" s="304"/>
      <c r="AE218" s="304"/>
      <c r="AF218" s="304"/>
      <c r="AG218" s="304"/>
      <c r="AH218" s="304"/>
      <c r="AI218" s="304"/>
      <c r="AJ218" s="304"/>
      <c r="AK218" s="304"/>
      <c r="AL218" s="304"/>
      <c r="AM218" s="304"/>
      <c r="AN218" s="304"/>
      <c r="AO218" s="304"/>
      <c r="AP218" s="304"/>
      <c r="AQ218" s="304"/>
      <c r="AR218" s="304"/>
      <c r="AS218" s="304"/>
      <c r="AT218" s="304"/>
      <c r="AU218" s="304"/>
      <c r="AV218" s="304"/>
      <c r="AW218" s="304"/>
      <c r="AX218" s="304"/>
      <c r="AY218" s="304"/>
      <c r="AZ218" s="304"/>
    </row>
    <row r="219" spans="1:52" ht="15">
      <c r="A219" s="304" t="s">
        <v>8064</v>
      </c>
      <c r="B219" s="304" t="s">
        <v>8065</v>
      </c>
      <c r="C219" s="304" t="s">
        <v>8066</v>
      </c>
      <c r="D219" s="305" t="s">
        <v>8067</v>
      </c>
      <c r="E219" s="304" t="s">
        <v>529</v>
      </c>
      <c r="F219" s="304"/>
      <c r="G219" s="304"/>
      <c r="H219" s="304"/>
      <c r="I219" s="304"/>
      <c r="J219" s="304"/>
      <c r="K219" s="304"/>
      <c r="L219" s="304"/>
      <c r="M219" s="304"/>
      <c r="N219" s="304"/>
      <c r="O219" s="304"/>
      <c r="P219" s="304"/>
      <c r="Q219" s="304"/>
      <c r="R219" s="304"/>
      <c r="S219" s="304"/>
      <c r="T219" s="304"/>
      <c r="U219" s="304"/>
      <c r="V219" s="304"/>
      <c r="W219" s="304"/>
      <c r="X219" s="304"/>
      <c r="Y219" s="304"/>
      <c r="Z219" s="304"/>
      <c r="AA219" s="304"/>
      <c r="AB219" s="304"/>
      <c r="AC219" s="304"/>
      <c r="AD219" s="304"/>
      <c r="AE219" s="304"/>
      <c r="AF219" s="304"/>
      <c r="AG219" s="304"/>
      <c r="AH219" s="304"/>
      <c r="AI219" s="304"/>
      <c r="AJ219" s="304"/>
      <c r="AK219" s="304"/>
      <c r="AL219" s="304"/>
      <c r="AM219" s="304"/>
      <c r="AN219" s="304"/>
      <c r="AO219" s="304"/>
      <c r="AP219" s="304"/>
      <c r="AQ219" s="304"/>
      <c r="AR219" s="304"/>
      <c r="AS219" s="304"/>
      <c r="AT219" s="304"/>
      <c r="AU219" s="304"/>
      <c r="AV219" s="304"/>
      <c r="AW219" s="304"/>
      <c r="AX219" s="304"/>
      <c r="AY219" s="304"/>
      <c r="AZ219" s="304"/>
    </row>
    <row r="220" spans="1:52">
      <c r="A220" s="304" t="s">
        <v>8068</v>
      </c>
      <c r="B220" s="304" t="s">
        <v>529</v>
      </c>
      <c r="C220" s="304"/>
      <c r="D220" s="304"/>
      <c r="E220" s="304"/>
      <c r="F220" s="304"/>
      <c r="G220" s="304"/>
      <c r="H220" s="304"/>
      <c r="I220" s="304"/>
      <c r="J220" s="304"/>
      <c r="K220" s="304"/>
      <c r="L220" s="304"/>
      <c r="M220" s="304"/>
      <c r="N220" s="304"/>
      <c r="O220" s="304"/>
      <c r="P220" s="304"/>
      <c r="Q220" s="304"/>
      <c r="R220" s="304"/>
      <c r="S220" s="304"/>
      <c r="T220" s="304"/>
      <c r="U220" s="304"/>
      <c r="V220" s="304"/>
      <c r="W220" s="304"/>
      <c r="X220" s="304"/>
      <c r="Y220" s="304"/>
      <c r="Z220" s="304"/>
      <c r="AA220" s="304"/>
      <c r="AB220" s="304"/>
      <c r="AC220" s="304"/>
      <c r="AD220" s="304"/>
      <c r="AE220" s="304"/>
      <c r="AF220" s="304"/>
      <c r="AG220" s="304"/>
      <c r="AH220" s="304"/>
      <c r="AI220" s="304"/>
      <c r="AJ220" s="304"/>
      <c r="AK220" s="304"/>
      <c r="AL220" s="304"/>
      <c r="AM220" s="304"/>
      <c r="AN220" s="304"/>
      <c r="AO220" s="304"/>
      <c r="AP220" s="304"/>
      <c r="AQ220" s="304"/>
      <c r="AR220" s="304"/>
      <c r="AS220" s="304"/>
      <c r="AT220" s="304"/>
      <c r="AU220" s="304"/>
      <c r="AV220" s="304"/>
      <c r="AW220" s="304"/>
      <c r="AX220" s="304"/>
      <c r="AY220" s="304"/>
      <c r="AZ220" s="304"/>
    </row>
    <row r="221" spans="1:52">
      <c r="A221" s="304"/>
      <c r="B221" s="304"/>
      <c r="C221" s="304"/>
      <c r="D221" s="304"/>
      <c r="E221" s="304"/>
      <c r="F221" s="304"/>
      <c r="G221" s="304"/>
      <c r="H221" s="304"/>
      <c r="I221" s="304"/>
      <c r="J221" s="304"/>
      <c r="K221" s="304"/>
      <c r="L221" s="304"/>
      <c r="M221" s="304"/>
      <c r="N221" s="304"/>
      <c r="O221" s="304"/>
      <c r="P221" s="304"/>
      <c r="Q221" s="304"/>
      <c r="R221" s="304"/>
      <c r="S221" s="304"/>
      <c r="T221" s="304"/>
      <c r="U221" s="304"/>
      <c r="V221" s="304"/>
      <c r="W221" s="304"/>
      <c r="X221" s="304"/>
      <c r="Y221" s="304"/>
      <c r="Z221" s="304"/>
      <c r="AA221" s="304"/>
      <c r="AB221" s="304"/>
      <c r="AC221" s="304"/>
      <c r="AD221" s="304"/>
      <c r="AE221" s="304"/>
      <c r="AF221" s="304"/>
      <c r="AG221" s="304"/>
      <c r="AH221" s="304"/>
      <c r="AI221" s="304"/>
      <c r="AJ221" s="304"/>
      <c r="AK221" s="304"/>
      <c r="AL221" s="304"/>
      <c r="AM221" s="304"/>
      <c r="AN221" s="304"/>
      <c r="AO221" s="304"/>
      <c r="AP221" s="304"/>
      <c r="AQ221" s="304"/>
      <c r="AR221" s="304"/>
      <c r="AS221" s="304"/>
      <c r="AT221" s="304"/>
      <c r="AU221" s="304"/>
      <c r="AV221" s="304"/>
      <c r="AW221" s="304"/>
      <c r="AX221" s="304"/>
      <c r="AY221" s="304"/>
      <c r="AZ221" s="304"/>
    </row>
    <row r="222" spans="1:52">
      <c r="A222" s="307" t="s">
        <v>1523</v>
      </c>
      <c r="B222" s="304"/>
      <c r="C222" s="304"/>
      <c r="D222" s="304"/>
      <c r="E222" s="304"/>
      <c r="F222" s="304"/>
      <c r="G222" s="304"/>
      <c r="H222" s="304"/>
      <c r="I222" s="304"/>
      <c r="J222" s="304"/>
      <c r="K222" s="304"/>
      <c r="L222" s="304"/>
      <c r="M222" s="304"/>
      <c r="N222" s="304"/>
      <c r="O222" s="304"/>
      <c r="P222" s="304"/>
      <c r="Q222" s="304"/>
      <c r="R222" s="304"/>
      <c r="S222" s="304"/>
      <c r="T222" s="304"/>
      <c r="U222" s="304"/>
      <c r="V222" s="304"/>
      <c r="W222" s="304"/>
      <c r="X222" s="304"/>
      <c r="Y222" s="304"/>
      <c r="Z222" s="304"/>
      <c r="AA222" s="304"/>
      <c r="AB222" s="304"/>
      <c r="AC222" s="304"/>
      <c r="AD222" s="304"/>
      <c r="AE222" s="304"/>
      <c r="AF222" s="304"/>
      <c r="AG222" s="304"/>
      <c r="AH222" s="304"/>
      <c r="AI222" s="304"/>
      <c r="AJ222" s="304"/>
      <c r="AK222" s="304"/>
      <c r="AL222" s="304"/>
      <c r="AM222" s="304"/>
      <c r="AN222" s="304"/>
      <c r="AO222" s="304"/>
      <c r="AP222" s="304"/>
      <c r="AQ222" s="304"/>
      <c r="AR222" s="304"/>
      <c r="AS222" s="304"/>
      <c r="AT222" s="304"/>
      <c r="AU222" s="304"/>
      <c r="AV222" s="304"/>
      <c r="AW222" s="304"/>
      <c r="AX222" s="304"/>
      <c r="AY222" s="304"/>
      <c r="AZ222" s="304"/>
    </row>
    <row r="223" spans="1:52">
      <c r="A223" s="304" t="s">
        <v>8069</v>
      </c>
      <c r="B223" s="304" t="s">
        <v>8070</v>
      </c>
      <c r="C223" s="304" t="s">
        <v>529</v>
      </c>
      <c r="D223" s="304"/>
      <c r="E223" s="304"/>
      <c r="F223" s="304"/>
      <c r="G223" s="304"/>
      <c r="H223" s="304"/>
      <c r="I223" s="304"/>
      <c r="J223" s="304"/>
      <c r="K223" s="304"/>
      <c r="L223" s="304"/>
      <c r="M223" s="304"/>
      <c r="N223" s="304"/>
      <c r="O223" s="304"/>
      <c r="P223" s="304"/>
      <c r="Q223" s="304"/>
      <c r="R223" s="304"/>
      <c r="S223" s="304"/>
      <c r="T223" s="304"/>
      <c r="U223" s="304"/>
      <c r="V223" s="304"/>
      <c r="W223" s="304"/>
      <c r="X223" s="304"/>
      <c r="Y223" s="304"/>
      <c r="Z223" s="304"/>
      <c r="AA223" s="304"/>
      <c r="AB223" s="304"/>
      <c r="AC223" s="304"/>
      <c r="AD223" s="304"/>
      <c r="AE223" s="304"/>
      <c r="AF223" s="304"/>
      <c r="AG223" s="304"/>
      <c r="AH223" s="304"/>
      <c r="AI223" s="304"/>
      <c r="AJ223" s="304"/>
      <c r="AK223" s="304"/>
      <c r="AL223" s="304"/>
      <c r="AM223" s="304"/>
      <c r="AN223" s="304"/>
      <c r="AO223" s="304"/>
      <c r="AP223" s="304"/>
      <c r="AQ223" s="304"/>
      <c r="AR223" s="304"/>
      <c r="AS223" s="304"/>
      <c r="AT223" s="304"/>
      <c r="AU223" s="304"/>
      <c r="AV223" s="304"/>
      <c r="AW223" s="304"/>
      <c r="AX223" s="304"/>
      <c r="AY223" s="304"/>
      <c r="AZ223" s="304"/>
    </row>
    <row r="224" spans="1:52">
      <c r="A224" s="304"/>
      <c r="B224" s="304"/>
      <c r="C224" s="304"/>
      <c r="D224" s="304"/>
      <c r="E224" s="304"/>
      <c r="F224" s="304"/>
      <c r="G224" s="304"/>
      <c r="H224" s="304"/>
      <c r="I224" s="304"/>
      <c r="J224" s="304"/>
      <c r="K224" s="304"/>
      <c r="L224" s="304"/>
      <c r="M224" s="304"/>
      <c r="N224" s="304"/>
      <c r="O224" s="304"/>
      <c r="P224" s="304"/>
      <c r="Q224" s="304"/>
      <c r="R224" s="304"/>
      <c r="S224" s="304"/>
      <c r="T224" s="304"/>
      <c r="U224" s="304"/>
      <c r="V224" s="304"/>
      <c r="W224" s="304"/>
      <c r="X224" s="304"/>
      <c r="Y224" s="304"/>
      <c r="Z224" s="304"/>
      <c r="AA224" s="304"/>
      <c r="AB224" s="304"/>
      <c r="AC224" s="304"/>
      <c r="AD224" s="304"/>
      <c r="AE224" s="304"/>
      <c r="AF224" s="304"/>
      <c r="AG224" s="304"/>
      <c r="AH224" s="304"/>
      <c r="AI224" s="304"/>
      <c r="AJ224" s="304"/>
      <c r="AK224" s="304"/>
      <c r="AL224" s="304"/>
      <c r="AM224" s="304"/>
      <c r="AN224" s="304"/>
      <c r="AO224" s="304"/>
      <c r="AP224" s="304"/>
      <c r="AQ224" s="304"/>
      <c r="AR224" s="304"/>
      <c r="AS224" s="304"/>
      <c r="AT224" s="304"/>
      <c r="AU224" s="304"/>
      <c r="AV224" s="304"/>
      <c r="AW224" s="304"/>
      <c r="AX224" s="304"/>
      <c r="AY224" s="304"/>
      <c r="AZ224" s="304"/>
    </row>
    <row r="225" spans="1:52">
      <c r="A225" s="304" t="s">
        <v>2564</v>
      </c>
      <c r="B225" s="304" t="s">
        <v>8071</v>
      </c>
      <c r="C225" s="304"/>
      <c r="D225" s="304"/>
      <c r="E225" s="304"/>
      <c r="F225" s="304"/>
      <c r="G225" s="304"/>
      <c r="H225" s="304"/>
      <c r="I225" s="304"/>
      <c r="J225" s="304"/>
      <c r="K225" s="304"/>
      <c r="L225" s="304"/>
      <c r="M225" s="304"/>
      <c r="N225" s="304"/>
      <c r="O225" s="304"/>
      <c r="P225" s="304"/>
      <c r="Q225" s="304"/>
      <c r="R225" s="304"/>
      <c r="S225" s="304"/>
      <c r="T225" s="304"/>
      <c r="U225" s="304"/>
      <c r="V225" s="304"/>
      <c r="W225" s="304"/>
      <c r="X225" s="304"/>
      <c r="Y225" s="304"/>
      <c r="Z225" s="304"/>
      <c r="AA225" s="304"/>
      <c r="AB225" s="304"/>
      <c r="AC225" s="304"/>
      <c r="AD225" s="304"/>
      <c r="AE225" s="304"/>
      <c r="AF225" s="304"/>
      <c r="AG225" s="304"/>
      <c r="AH225" s="304"/>
      <c r="AI225" s="304"/>
      <c r="AJ225" s="304"/>
      <c r="AK225" s="304"/>
      <c r="AL225" s="304"/>
      <c r="AM225" s="304"/>
      <c r="AN225" s="304"/>
      <c r="AO225" s="304"/>
      <c r="AP225" s="304"/>
      <c r="AQ225" s="304"/>
      <c r="AR225" s="304"/>
      <c r="AS225" s="304"/>
      <c r="AT225" s="304"/>
      <c r="AU225" s="304"/>
      <c r="AV225" s="304"/>
      <c r="AW225" s="304"/>
      <c r="AX225" s="304"/>
      <c r="AY225" s="304"/>
      <c r="AZ225" s="304"/>
    </row>
    <row r="226" spans="1:52">
      <c r="A226" s="304"/>
      <c r="B226" s="304"/>
      <c r="C226" s="304"/>
      <c r="D226" s="304"/>
      <c r="E226" s="304"/>
      <c r="F226" s="304"/>
      <c r="G226" s="304"/>
      <c r="H226" s="304"/>
      <c r="I226" s="304"/>
      <c r="J226" s="304"/>
      <c r="K226" s="304"/>
      <c r="L226" s="304"/>
      <c r="M226" s="304"/>
      <c r="N226" s="304"/>
      <c r="O226" s="304"/>
      <c r="P226" s="304"/>
      <c r="Q226" s="304"/>
      <c r="R226" s="304"/>
      <c r="S226" s="304"/>
      <c r="T226" s="304"/>
      <c r="U226" s="304"/>
      <c r="V226" s="304"/>
      <c r="W226" s="304"/>
      <c r="X226" s="304"/>
      <c r="Y226" s="304"/>
      <c r="Z226" s="304"/>
      <c r="AA226" s="304"/>
      <c r="AB226" s="304"/>
      <c r="AC226" s="304"/>
      <c r="AD226" s="304"/>
      <c r="AE226" s="304"/>
      <c r="AF226" s="304"/>
      <c r="AG226" s="304"/>
      <c r="AH226" s="304"/>
      <c r="AI226" s="304"/>
      <c r="AJ226" s="304"/>
      <c r="AK226" s="304"/>
      <c r="AL226" s="304"/>
      <c r="AM226" s="304"/>
      <c r="AN226" s="304"/>
      <c r="AO226" s="304"/>
      <c r="AP226" s="304"/>
      <c r="AQ226" s="304"/>
      <c r="AR226" s="304"/>
      <c r="AS226" s="304"/>
      <c r="AT226" s="304"/>
      <c r="AU226" s="304"/>
      <c r="AV226" s="304"/>
      <c r="AW226" s="304"/>
      <c r="AX226" s="304"/>
      <c r="AY226" s="304"/>
      <c r="AZ226" s="304"/>
    </row>
    <row r="227" spans="1:52">
      <c r="A227" s="307" t="s">
        <v>2054</v>
      </c>
      <c r="B227" s="304"/>
      <c r="C227" s="304"/>
      <c r="D227" s="304"/>
      <c r="E227" s="304"/>
      <c r="F227" s="304"/>
      <c r="G227" s="304"/>
      <c r="H227" s="304"/>
      <c r="I227" s="304"/>
      <c r="J227" s="304"/>
      <c r="K227" s="304"/>
      <c r="L227" s="304"/>
      <c r="M227" s="304"/>
      <c r="N227" s="304"/>
      <c r="O227" s="304"/>
      <c r="P227" s="304"/>
      <c r="Q227" s="304"/>
      <c r="R227" s="304"/>
      <c r="S227" s="304"/>
      <c r="T227" s="304"/>
      <c r="U227" s="304"/>
      <c r="V227" s="304"/>
      <c r="W227" s="304"/>
      <c r="X227" s="304"/>
      <c r="Y227" s="304"/>
      <c r="Z227" s="304"/>
      <c r="AA227" s="304"/>
      <c r="AB227" s="304"/>
      <c r="AC227" s="304"/>
      <c r="AD227" s="304"/>
      <c r="AE227" s="304"/>
      <c r="AF227" s="304"/>
      <c r="AG227" s="304"/>
      <c r="AH227" s="304"/>
      <c r="AI227" s="304"/>
      <c r="AJ227" s="304"/>
      <c r="AK227" s="304"/>
      <c r="AL227" s="304"/>
      <c r="AM227" s="304"/>
      <c r="AN227" s="304"/>
      <c r="AO227" s="304"/>
      <c r="AP227" s="304"/>
      <c r="AQ227" s="304"/>
      <c r="AR227" s="304"/>
      <c r="AS227" s="304"/>
      <c r="AT227" s="304"/>
      <c r="AU227" s="304"/>
      <c r="AV227" s="304"/>
      <c r="AW227" s="304"/>
      <c r="AX227" s="304"/>
      <c r="AY227" s="304"/>
      <c r="AZ227" s="304"/>
    </row>
    <row r="228" spans="1:52">
      <c r="A228" s="304" t="s">
        <v>8072</v>
      </c>
      <c r="B228" s="304"/>
      <c r="C228" s="304"/>
      <c r="D228" s="304"/>
      <c r="E228" s="304"/>
      <c r="F228" s="304"/>
      <c r="G228" s="304"/>
      <c r="H228" s="304"/>
      <c r="I228" s="304"/>
      <c r="J228" s="304"/>
      <c r="K228" s="304"/>
      <c r="L228" s="304"/>
      <c r="M228" s="304"/>
      <c r="N228" s="304"/>
      <c r="O228" s="304"/>
      <c r="P228" s="304"/>
      <c r="Q228" s="304"/>
      <c r="R228" s="304"/>
      <c r="S228" s="304"/>
      <c r="T228" s="304"/>
      <c r="U228" s="304"/>
      <c r="V228" s="304"/>
      <c r="W228" s="304"/>
      <c r="X228" s="304"/>
      <c r="Y228" s="304"/>
      <c r="Z228" s="304"/>
      <c r="AA228" s="304"/>
      <c r="AB228" s="304"/>
      <c r="AC228" s="304"/>
      <c r="AD228" s="304"/>
      <c r="AE228" s="304"/>
      <c r="AF228" s="304"/>
      <c r="AG228" s="304"/>
      <c r="AH228" s="304"/>
      <c r="AI228" s="304"/>
      <c r="AJ228" s="304"/>
      <c r="AK228" s="304"/>
      <c r="AL228" s="304"/>
      <c r="AM228" s="304"/>
      <c r="AN228" s="304"/>
      <c r="AO228" s="304"/>
      <c r="AP228" s="304"/>
      <c r="AQ228" s="304"/>
      <c r="AR228" s="304"/>
      <c r="AS228" s="304"/>
      <c r="AT228" s="304"/>
      <c r="AU228" s="304"/>
      <c r="AV228" s="304"/>
      <c r="AW228" s="304"/>
      <c r="AX228" s="304"/>
      <c r="AY228" s="304"/>
      <c r="AZ228" s="304"/>
    </row>
    <row r="229" spans="1:52">
      <c r="A229" s="304"/>
      <c r="B229" s="304"/>
      <c r="C229" s="304"/>
      <c r="D229" s="304"/>
      <c r="E229" s="304"/>
      <c r="F229" s="304"/>
      <c r="G229" s="304"/>
      <c r="H229" s="304"/>
      <c r="I229" s="304"/>
      <c r="J229" s="304"/>
      <c r="K229" s="304"/>
      <c r="L229" s="304"/>
      <c r="M229" s="304"/>
      <c r="N229" s="304"/>
      <c r="O229" s="304"/>
      <c r="P229" s="304"/>
      <c r="Q229" s="304"/>
      <c r="R229" s="304"/>
      <c r="S229" s="304"/>
      <c r="T229" s="304"/>
      <c r="U229" s="304"/>
      <c r="V229" s="304"/>
      <c r="W229" s="304"/>
      <c r="X229" s="304"/>
      <c r="Y229" s="304"/>
      <c r="Z229" s="304"/>
      <c r="AA229" s="304"/>
      <c r="AB229" s="304"/>
      <c r="AC229" s="304"/>
      <c r="AD229" s="304"/>
      <c r="AE229" s="304"/>
      <c r="AF229" s="304"/>
      <c r="AG229" s="304"/>
      <c r="AH229" s="304"/>
      <c r="AI229" s="304"/>
      <c r="AJ229" s="304"/>
      <c r="AK229" s="304"/>
      <c r="AL229" s="304"/>
      <c r="AM229" s="304"/>
      <c r="AN229" s="304"/>
      <c r="AO229" s="304"/>
      <c r="AP229" s="304"/>
      <c r="AQ229" s="304"/>
      <c r="AR229" s="304"/>
      <c r="AS229" s="304"/>
      <c r="AT229" s="304"/>
      <c r="AU229" s="304"/>
      <c r="AV229" s="304"/>
      <c r="AW229" s="304"/>
      <c r="AX229" s="304"/>
      <c r="AY229" s="304"/>
      <c r="AZ229" s="304"/>
    </row>
    <row r="230" spans="1:52">
      <c r="A230" s="304" t="s">
        <v>8073</v>
      </c>
      <c r="B230" s="304"/>
      <c r="C230" s="304"/>
      <c r="D230" s="304"/>
      <c r="E230" s="304"/>
      <c r="F230" s="304"/>
      <c r="G230" s="304"/>
      <c r="H230" s="304"/>
      <c r="I230" s="304"/>
      <c r="J230" s="304"/>
      <c r="K230" s="304"/>
      <c r="L230" s="304"/>
      <c r="M230" s="304"/>
      <c r="N230" s="304"/>
      <c r="O230" s="304"/>
      <c r="P230" s="304"/>
      <c r="Q230" s="304"/>
      <c r="R230" s="304"/>
      <c r="S230" s="304"/>
      <c r="T230" s="304"/>
      <c r="U230" s="304"/>
      <c r="V230" s="304"/>
      <c r="W230" s="304"/>
      <c r="X230" s="304"/>
      <c r="Y230" s="304"/>
      <c r="Z230" s="304"/>
      <c r="AA230" s="304"/>
      <c r="AB230" s="304"/>
      <c r="AC230" s="304"/>
      <c r="AD230" s="304"/>
      <c r="AE230" s="304"/>
      <c r="AF230" s="304"/>
      <c r="AG230" s="304"/>
      <c r="AH230" s="304"/>
      <c r="AI230" s="304"/>
      <c r="AJ230" s="304"/>
      <c r="AK230" s="304"/>
      <c r="AL230" s="304"/>
      <c r="AM230" s="304"/>
      <c r="AN230" s="304"/>
      <c r="AO230" s="304"/>
      <c r="AP230" s="304"/>
      <c r="AQ230" s="304"/>
      <c r="AR230" s="304"/>
      <c r="AS230" s="304"/>
      <c r="AT230" s="304"/>
      <c r="AU230" s="304"/>
      <c r="AV230" s="304"/>
      <c r="AW230" s="304"/>
      <c r="AX230" s="304"/>
      <c r="AY230" s="304"/>
      <c r="AZ230" s="304"/>
    </row>
    <row r="231" spans="1:52">
      <c r="A231" s="304" t="s">
        <v>8074</v>
      </c>
      <c r="B231" s="304"/>
      <c r="C231" s="304"/>
      <c r="D231" s="304"/>
      <c r="E231" s="304"/>
      <c r="F231" s="304"/>
      <c r="G231" s="304"/>
      <c r="H231" s="304"/>
      <c r="I231" s="304"/>
      <c r="J231" s="304"/>
      <c r="K231" s="304"/>
      <c r="L231" s="304"/>
      <c r="M231" s="304"/>
      <c r="N231" s="304"/>
      <c r="O231" s="304"/>
      <c r="P231" s="304"/>
      <c r="Q231" s="304"/>
      <c r="R231" s="304"/>
      <c r="S231" s="304"/>
      <c r="T231" s="304"/>
      <c r="U231" s="304"/>
      <c r="V231" s="304"/>
      <c r="W231" s="304"/>
      <c r="X231" s="304"/>
      <c r="Y231" s="304"/>
      <c r="Z231" s="304"/>
      <c r="AA231" s="304"/>
      <c r="AB231" s="304"/>
      <c r="AC231" s="304"/>
      <c r="AD231" s="304"/>
      <c r="AE231" s="304"/>
      <c r="AF231" s="304"/>
      <c r="AG231" s="304"/>
      <c r="AH231" s="304"/>
      <c r="AI231" s="304"/>
      <c r="AJ231" s="304"/>
      <c r="AK231" s="304"/>
      <c r="AL231" s="304"/>
      <c r="AM231" s="304"/>
      <c r="AN231" s="304"/>
      <c r="AO231" s="304"/>
      <c r="AP231" s="304"/>
      <c r="AQ231" s="304"/>
      <c r="AR231" s="304"/>
      <c r="AS231" s="304"/>
      <c r="AT231" s="304"/>
      <c r="AU231" s="304"/>
      <c r="AV231" s="304"/>
      <c r="AW231" s="304"/>
      <c r="AX231" s="304"/>
      <c r="AY231" s="304"/>
      <c r="AZ231" s="304"/>
    </row>
    <row r="232" spans="1:52">
      <c r="A232" s="307" t="s">
        <v>2380</v>
      </c>
      <c r="B232" s="304"/>
      <c r="C232" s="304"/>
      <c r="D232" s="304"/>
      <c r="E232" s="304"/>
      <c r="F232" s="304"/>
      <c r="G232" s="304"/>
      <c r="H232" s="304"/>
      <c r="I232" s="304"/>
      <c r="J232" s="304"/>
      <c r="K232" s="304"/>
      <c r="L232" s="304"/>
      <c r="M232" s="304"/>
      <c r="N232" s="304"/>
      <c r="O232" s="304"/>
      <c r="P232" s="304"/>
      <c r="Q232" s="304"/>
      <c r="R232" s="304"/>
      <c r="S232" s="304"/>
      <c r="T232" s="304"/>
      <c r="U232" s="304"/>
      <c r="V232" s="304"/>
      <c r="W232" s="304"/>
      <c r="X232" s="304"/>
      <c r="Y232" s="304"/>
      <c r="Z232" s="304"/>
      <c r="AA232" s="304"/>
      <c r="AB232" s="304"/>
      <c r="AC232" s="304"/>
      <c r="AD232" s="304"/>
      <c r="AE232" s="304"/>
      <c r="AF232" s="304"/>
      <c r="AG232" s="304"/>
      <c r="AH232" s="304"/>
      <c r="AI232" s="304"/>
      <c r="AJ232" s="304"/>
      <c r="AK232" s="304"/>
      <c r="AL232" s="304"/>
      <c r="AM232" s="304"/>
      <c r="AN232" s="304"/>
      <c r="AO232" s="304"/>
      <c r="AP232" s="304"/>
      <c r="AQ232" s="304"/>
      <c r="AR232" s="304"/>
      <c r="AS232" s="304"/>
      <c r="AT232" s="304"/>
      <c r="AU232" s="304"/>
      <c r="AV232" s="304"/>
      <c r="AW232" s="304"/>
      <c r="AX232" s="304"/>
      <c r="AY232" s="304"/>
      <c r="AZ232" s="304"/>
    </row>
    <row r="233" spans="1:52">
      <c r="A233" s="304" t="s">
        <v>8075</v>
      </c>
      <c r="B233" s="304"/>
      <c r="C233" s="304"/>
      <c r="D233" s="304"/>
      <c r="E233" s="304"/>
      <c r="F233" s="304"/>
      <c r="G233" s="304"/>
      <c r="H233" s="304"/>
      <c r="I233" s="304"/>
      <c r="J233" s="304"/>
      <c r="K233" s="304"/>
      <c r="L233" s="304"/>
      <c r="M233" s="304"/>
      <c r="N233" s="304"/>
      <c r="O233" s="304"/>
      <c r="P233" s="304"/>
      <c r="Q233" s="304"/>
      <c r="R233" s="304"/>
      <c r="S233" s="304"/>
      <c r="T233" s="304"/>
      <c r="U233" s="304"/>
      <c r="V233" s="304"/>
      <c r="W233" s="304"/>
      <c r="X233" s="304"/>
      <c r="Y233" s="304"/>
      <c r="Z233" s="304"/>
      <c r="AA233" s="304"/>
      <c r="AB233" s="304"/>
      <c r="AC233" s="304"/>
      <c r="AD233" s="304"/>
      <c r="AE233" s="304"/>
      <c r="AF233" s="304"/>
      <c r="AG233" s="304"/>
      <c r="AH233" s="304"/>
      <c r="AI233" s="304"/>
      <c r="AJ233" s="304"/>
      <c r="AK233" s="304"/>
      <c r="AL233" s="304"/>
      <c r="AM233" s="304"/>
      <c r="AN233" s="304"/>
      <c r="AO233" s="304"/>
      <c r="AP233" s="304"/>
      <c r="AQ233" s="304"/>
      <c r="AR233" s="304"/>
      <c r="AS233" s="304"/>
      <c r="AT233" s="304"/>
      <c r="AU233" s="304"/>
      <c r="AV233" s="304"/>
      <c r="AW233" s="304"/>
      <c r="AX233" s="304"/>
      <c r="AY233" s="304"/>
      <c r="AZ233" s="304"/>
    </row>
    <row r="234" spans="1:52">
      <c r="A234" s="304" t="s">
        <v>8076</v>
      </c>
      <c r="B234" s="304"/>
      <c r="C234" s="304"/>
      <c r="D234" s="304"/>
      <c r="E234" s="304"/>
      <c r="F234" s="304"/>
      <c r="G234" s="304"/>
      <c r="H234" s="304"/>
      <c r="I234" s="304"/>
      <c r="J234" s="304"/>
      <c r="K234" s="304"/>
      <c r="L234" s="304"/>
      <c r="M234" s="304"/>
      <c r="N234" s="304"/>
      <c r="O234" s="304"/>
      <c r="P234" s="304"/>
      <c r="Q234" s="304"/>
      <c r="R234" s="304"/>
      <c r="S234" s="304"/>
      <c r="T234" s="304"/>
      <c r="U234" s="304"/>
      <c r="V234" s="304"/>
      <c r="W234" s="304"/>
      <c r="X234" s="304"/>
      <c r="Y234" s="304"/>
      <c r="Z234" s="304"/>
      <c r="AA234" s="304"/>
      <c r="AB234" s="304"/>
      <c r="AC234" s="304"/>
      <c r="AD234" s="304"/>
      <c r="AE234" s="304"/>
      <c r="AF234" s="304"/>
      <c r="AG234" s="304"/>
      <c r="AH234" s="304"/>
      <c r="AI234" s="304"/>
      <c r="AJ234" s="304"/>
      <c r="AK234" s="304"/>
      <c r="AL234" s="304"/>
      <c r="AM234" s="304"/>
      <c r="AN234" s="304"/>
      <c r="AO234" s="304"/>
      <c r="AP234" s="304"/>
      <c r="AQ234" s="304"/>
      <c r="AR234" s="304"/>
      <c r="AS234" s="304"/>
      <c r="AT234" s="304"/>
      <c r="AU234" s="304"/>
      <c r="AV234" s="304"/>
      <c r="AW234" s="304"/>
      <c r="AX234" s="304"/>
      <c r="AY234" s="304"/>
      <c r="AZ234" s="304"/>
    </row>
    <row r="235" spans="1:52">
      <c r="A235" s="304" t="s">
        <v>8077</v>
      </c>
      <c r="B235" s="304"/>
      <c r="C235" s="304"/>
      <c r="D235" s="304"/>
      <c r="E235" s="304"/>
      <c r="F235" s="304"/>
      <c r="G235" s="304"/>
      <c r="H235" s="304"/>
      <c r="I235" s="304"/>
      <c r="J235" s="304"/>
      <c r="K235" s="304"/>
      <c r="L235" s="304"/>
      <c r="M235" s="304"/>
      <c r="N235" s="304"/>
      <c r="O235" s="304"/>
      <c r="P235" s="304"/>
      <c r="Q235" s="304"/>
      <c r="R235" s="304"/>
      <c r="S235" s="304"/>
      <c r="T235" s="304"/>
      <c r="U235" s="304"/>
      <c r="V235" s="304"/>
      <c r="W235" s="304"/>
      <c r="X235" s="304"/>
      <c r="Y235" s="304"/>
      <c r="Z235" s="304"/>
      <c r="AA235" s="304"/>
      <c r="AB235" s="304"/>
      <c r="AC235" s="304"/>
      <c r="AD235" s="304"/>
      <c r="AE235" s="304"/>
      <c r="AF235" s="304"/>
      <c r="AG235" s="304"/>
      <c r="AH235" s="304"/>
      <c r="AI235" s="304"/>
      <c r="AJ235" s="304"/>
      <c r="AK235" s="304"/>
      <c r="AL235" s="304"/>
      <c r="AM235" s="304"/>
      <c r="AN235" s="304"/>
      <c r="AO235" s="304"/>
      <c r="AP235" s="304"/>
      <c r="AQ235" s="304"/>
      <c r="AR235" s="304"/>
      <c r="AS235" s="304"/>
      <c r="AT235" s="304"/>
      <c r="AU235" s="304"/>
      <c r="AV235" s="304"/>
      <c r="AW235" s="304"/>
      <c r="AX235" s="304"/>
      <c r="AY235" s="304"/>
      <c r="AZ235" s="304"/>
    </row>
    <row r="236" spans="1:52">
      <c r="A236" s="304" t="s">
        <v>8078</v>
      </c>
      <c r="B236" s="304"/>
      <c r="C236" s="304"/>
      <c r="D236" s="304"/>
      <c r="E236" s="304"/>
      <c r="F236" s="304"/>
      <c r="G236" s="304"/>
      <c r="H236" s="304"/>
      <c r="I236" s="304"/>
      <c r="J236" s="304"/>
      <c r="K236" s="304"/>
      <c r="L236" s="304"/>
      <c r="M236" s="304"/>
      <c r="N236" s="304"/>
      <c r="O236" s="304"/>
      <c r="P236" s="304"/>
      <c r="Q236" s="304"/>
      <c r="R236" s="304"/>
      <c r="S236" s="304"/>
      <c r="T236" s="304"/>
      <c r="U236" s="304"/>
      <c r="V236" s="304"/>
      <c r="W236" s="304"/>
      <c r="X236" s="304"/>
      <c r="Y236" s="304"/>
      <c r="Z236" s="304"/>
      <c r="AA236" s="304"/>
      <c r="AB236" s="304"/>
      <c r="AC236" s="304"/>
      <c r="AD236" s="304"/>
      <c r="AE236" s="304"/>
      <c r="AF236" s="304"/>
      <c r="AG236" s="304"/>
      <c r="AH236" s="304"/>
      <c r="AI236" s="304"/>
      <c r="AJ236" s="304"/>
      <c r="AK236" s="304"/>
      <c r="AL236" s="304"/>
      <c r="AM236" s="304"/>
      <c r="AN236" s="304"/>
      <c r="AO236" s="304"/>
      <c r="AP236" s="304"/>
      <c r="AQ236" s="304"/>
      <c r="AR236" s="304"/>
      <c r="AS236" s="304"/>
      <c r="AT236" s="304"/>
      <c r="AU236" s="304"/>
      <c r="AV236" s="304"/>
      <c r="AW236" s="304"/>
      <c r="AX236" s="304"/>
      <c r="AY236" s="304"/>
      <c r="AZ236" s="304"/>
    </row>
    <row r="237" spans="1:52">
      <c r="A237" s="304"/>
      <c r="B237" s="304"/>
      <c r="C237" s="304"/>
      <c r="D237" s="304"/>
      <c r="E237" s="304"/>
      <c r="F237" s="304"/>
      <c r="G237" s="304"/>
      <c r="H237" s="304"/>
      <c r="I237" s="304"/>
      <c r="J237" s="304"/>
      <c r="K237" s="304"/>
      <c r="L237" s="304"/>
      <c r="M237" s="304"/>
      <c r="N237" s="304"/>
      <c r="O237" s="304"/>
      <c r="P237" s="304"/>
      <c r="Q237" s="304"/>
      <c r="R237" s="304"/>
      <c r="S237" s="304"/>
      <c r="T237" s="304"/>
      <c r="U237" s="304"/>
      <c r="V237" s="304"/>
      <c r="W237" s="304"/>
      <c r="X237" s="304"/>
      <c r="Y237" s="304"/>
      <c r="Z237" s="304"/>
      <c r="AA237" s="304"/>
      <c r="AB237" s="304"/>
      <c r="AC237" s="304"/>
      <c r="AD237" s="304"/>
      <c r="AE237" s="304"/>
      <c r="AF237" s="304"/>
      <c r="AG237" s="304"/>
      <c r="AH237" s="304"/>
      <c r="AI237" s="304"/>
      <c r="AJ237" s="304"/>
      <c r="AK237" s="304"/>
      <c r="AL237" s="304"/>
      <c r="AM237" s="304"/>
      <c r="AN237" s="304"/>
      <c r="AO237" s="304"/>
      <c r="AP237" s="304"/>
      <c r="AQ237" s="304"/>
      <c r="AR237" s="304"/>
      <c r="AS237" s="304"/>
      <c r="AT237" s="304"/>
      <c r="AU237" s="304"/>
      <c r="AV237" s="304"/>
      <c r="AW237" s="304"/>
      <c r="AX237" s="304"/>
      <c r="AY237" s="304"/>
      <c r="AZ237" s="304"/>
    </row>
    <row r="238" spans="1:52">
      <c r="A238" s="304" t="s">
        <v>8079</v>
      </c>
      <c r="B238" s="304"/>
      <c r="C238" s="304"/>
      <c r="D238" s="304"/>
      <c r="E238" s="304"/>
      <c r="F238" s="304"/>
      <c r="G238" s="304"/>
      <c r="H238" s="304"/>
      <c r="I238" s="304"/>
      <c r="J238" s="304"/>
      <c r="K238" s="304"/>
      <c r="L238" s="304"/>
      <c r="M238" s="304"/>
      <c r="N238" s="304"/>
      <c r="O238" s="304"/>
      <c r="P238" s="304"/>
      <c r="Q238" s="304"/>
      <c r="R238" s="304"/>
      <c r="S238" s="304"/>
      <c r="T238" s="304"/>
      <c r="U238" s="304"/>
      <c r="V238" s="304"/>
      <c r="W238" s="304"/>
      <c r="X238" s="304"/>
      <c r="Y238" s="304"/>
      <c r="Z238" s="304"/>
      <c r="AA238" s="304"/>
      <c r="AB238" s="304"/>
      <c r="AC238" s="304"/>
      <c r="AD238" s="304"/>
      <c r="AE238" s="304"/>
      <c r="AF238" s="304"/>
      <c r="AG238" s="304"/>
      <c r="AH238" s="304"/>
      <c r="AI238" s="304"/>
      <c r="AJ238" s="304"/>
      <c r="AK238" s="304"/>
      <c r="AL238" s="304"/>
      <c r="AM238" s="304"/>
      <c r="AN238" s="304"/>
      <c r="AO238" s="304"/>
      <c r="AP238" s="304"/>
      <c r="AQ238" s="304"/>
      <c r="AR238" s="304"/>
      <c r="AS238" s="304"/>
      <c r="AT238" s="304"/>
      <c r="AU238" s="304"/>
      <c r="AV238" s="304"/>
      <c r="AW238" s="304"/>
      <c r="AX238" s="304"/>
      <c r="AY238" s="304"/>
      <c r="AZ238" s="304"/>
    </row>
    <row r="239" spans="1:52">
      <c r="A239" s="304" t="s">
        <v>8080</v>
      </c>
      <c r="B239" s="304"/>
      <c r="C239" s="304"/>
      <c r="D239" s="304"/>
      <c r="E239" s="304"/>
      <c r="F239" s="304"/>
      <c r="G239" s="304"/>
      <c r="H239" s="304"/>
      <c r="I239" s="304"/>
      <c r="J239" s="304"/>
      <c r="K239" s="304"/>
      <c r="L239" s="304"/>
      <c r="M239" s="304"/>
      <c r="N239" s="304"/>
      <c r="O239" s="304"/>
      <c r="P239" s="304"/>
      <c r="Q239" s="304"/>
      <c r="R239" s="304"/>
      <c r="S239" s="304"/>
      <c r="T239" s="304"/>
      <c r="U239" s="304"/>
      <c r="V239" s="304"/>
      <c r="W239" s="304"/>
      <c r="X239" s="304"/>
      <c r="Y239" s="304"/>
      <c r="Z239" s="304"/>
      <c r="AA239" s="304"/>
      <c r="AB239" s="304"/>
      <c r="AC239" s="304"/>
      <c r="AD239" s="304"/>
      <c r="AE239" s="304"/>
      <c r="AF239" s="304"/>
      <c r="AG239" s="304"/>
      <c r="AH239" s="304"/>
      <c r="AI239" s="304"/>
      <c r="AJ239" s="304"/>
      <c r="AK239" s="304"/>
      <c r="AL239" s="304"/>
      <c r="AM239" s="304"/>
      <c r="AN239" s="304"/>
      <c r="AO239" s="304"/>
      <c r="AP239" s="304"/>
      <c r="AQ239" s="304"/>
      <c r="AR239" s="304"/>
      <c r="AS239" s="304"/>
      <c r="AT239" s="304"/>
      <c r="AU239" s="304"/>
      <c r="AV239" s="304"/>
      <c r="AW239" s="304"/>
      <c r="AX239" s="304"/>
      <c r="AY239" s="304"/>
      <c r="AZ239" s="304"/>
    </row>
    <row r="240" spans="1:52">
      <c r="A240" s="304" t="s">
        <v>8081</v>
      </c>
      <c r="B240" s="304"/>
      <c r="C240" s="304"/>
      <c r="D240" s="304"/>
      <c r="E240" s="304"/>
      <c r="F240" s="304"/>
      <c r="G240" s="304"/>
      <c r="H240" s="304"/>
      <c r="I240" s="304"/>
      <c r="J240" s="304"/>
      <c r="K240" s="304"/>
      <c r="L240" s="304"/>
      <c r="M240" s="304"/>
      <c r="N240" s="304"/>
      <c r="O240" s="304"/>
      <c r="P240" s="304"/>
      <c r="Q240" s="304"/>
      <c r="R240" s="304"/>
      <c r="S240" s="304"/>
      <c r="T240" s="304"/>
      <c r="U240" s="304"/>
      <c r="V240" s="304"/>
      <c r="W240" s="304"/>
      <c r="X240" s="304"/>
      <c r="Y240" s="304"/>
      <c r="Z240" s="304"/>
      <c r="AA240" s="304"/>
      <c r="AB240" s="304"/>
      <c r="AC240" s="304"/>
      <c r="AD240" s="304"/>
      <c r="AE240" s="304"/>
      <c r="AF240" s="304"/>
      <c r="AG240" s="304"/>
      <c r="AH240" s="304"/>
      <c r="AI240" s="304"/>
      <c r="AJ240" s="304"/>
      <c r="AK240" s="304"/>
      <c r="AL240" s="304"/>
      <c r="AM240" s="304"/>
      <c r="AN240" s="304"/>
      <c r="AO240" s="304"/>
      <c r="AP240" s="304"/>
      <c r="AQ240" s="304"/>
      <c r="AR240" s="304"/>
      <c r="AS240" s="304"/>
      <c r="AT240" s="304"/>
      <c r="AU240" s="304"/>
      <c r="AV240" s="304"/>
      <c r="AW240" s="304"/>
      <c r="AX240" s="304"/>
      <c r="AY240" s="304"/>
      <c r="AZ240" s="304"/>
    </row>
    <row r="241" spans="1:52">
      <c r="A241" s="304" t="s">
        <v>8082</v>
      </c>
      <c r="B241" s="304"/>
      <c r="C241" s="304"/>
      <c r="D241" s="304"/>
      <c r="E241" s="304"/>
      <c r="F241" s="304"/>
      <c r="G241" s="304"/>
      <c r="H241" s="304"/>
      <c r="I241" s="304"/>
      <c r="J241" s="304"/>
      <c r="K241" s="304"/>
      <c r="L241" s="304"/>
      <c r="M241" s="304"/>
      <c r="N241" s="304"/>
      <c r="O241" s="304"/>
      <c r="P241" s="304"/>
      <c r="Q241" s="304"/>
      <c r="R241" s="304"/>
      <c r="S241" s="304"/>
      <c r="T241" s="304"/>
      <c r="U241" s="304"/>
      <c r="V241" s="304"/>
      <c r="W241" s="304"/>
      <c r="X241" s="304"/>
      <c r="Y241" s="304"/>
      <c r="Z241" s="304"/>
      <c r="AA241" s="304"/>
      <c r="AB241" s="304"/>
      <c r="AC241" s="304"/>
      <c r="AD241" s="304"/>
      <c r="AE241" s="304"/>
      <c r="AF241" s="304"/>
      <c r="AG241" s="304"/>
      <c r="AH241" s="304"/>
      <c r="AI241" s="304"/>
      <c r="AJ241" s="304"/>
      <c r="AK241" s="304"/>
      <c r="AL241" s="304"/>
      <c r="AM241" s="304"/>
      <c r="AN241" s="304"/>
      <c r="AO241" s="304"/>
      <c r="AP241" s="304"/>
      <c r="AQ241" s="304"/>
      <c r="AR241" s="304"/>
      <c r="AS241" s="304"/>
      <c r="AT241" s="304"/>
      <c r="AU241" s="304"/>
      <c r="AV241" s="304"/>
      <c r="AW241" s="304"/>
      <c r="AX241" s="304"/>
      <c r="AY241" s="304"/>
      <c r="AZ241" s="304"/>
    </row>
    <row r="242" spans="1:52">
      <c r="A242" s="304"/>
      <c r="B242" s="304"/>
      <c r="C242" s="304"/>
      <c r="D242" s="304"/>
      <c r="E242" s="304"/>
      <c r="F242" s="304"/>
      <c r="G242" s="304"/>
      <c r="H242" s="304"/>
      <c r="I242" s="304"/>
      <c r="J242" s="304"/>
      <c r="K242" s="304"/>
      <c r="L242" s="304"/>
      <c r="M242" s="304"/>
      <c r="N242" s="304"/>
      <c r="O242" s="304"/>
      <c r="P242" s="304"/>
      <c r="Q242" s="304"/>
      <c r="R242" s="304"/>
      <c r="S242" s="304"/>
      <c r="T242" s="304"/>
      <c r="U242" s="304"/>
      <c r="V242" s="304"/>
      <c r="W242" s="304"/>
      <c r="X242" s="304"/>
      <c r="Y242" s="304"/>
      <c r="Z242" s="304"/>
      <c r="AA242" s="304"/>
      <c r="AB242" s="304"/>
      <c r="AC242" s="304"/>
      <c r="AD242" s="304"/>
      <c r="AE242" s="304"/>
      <c r="AF242" s="304"/>
      <c r="AG242" s="304"/>
      <c r="AH242" s="304"/>
      <c r="AI242" s="304"/>
      <c r="AJ242" s="304"/>
      <c r="AK242" s="304"/>
      <c r="AL242" s="304"/>
      <c r="AM242" s="304"/>
      <c r="AN242" s="304"/>
      <c r="AO242" s="304"/>
      <c r="AP242" s="304"/>
      <c r="AQ242" s="304"/>
      <c r="AR242" s="304"/>
      <c r="AS242" s="304"/>
      <c r="AT242" s="304"/>
      <c r="AU242" s="304"/>
      <c r="AV242" s="304"/>
      <c r="AW242" s="304"/>
      <c r="AX242" s="304"/>
      <c r="AY242" s="304"/>
      <c r="AZ242" s="304"/>
    </row>
    <row r="243" spans="1:52">
      <c r="A243" s="307" t="s">
        <v>2733</v>
      </c>
      <c r="B243" s="304"/>
      <c r="C243" s="304"/>
      <c r="D243" s="304"/>
      <c r="E243" s="304"/>
      <c r="F243" s="304"/>
      <c r="G243" s="304"/>
      <c r="H243" s="304"/>
      <c r="I243" s="304"/>
      <c r="J243" s="304"/>
      <c r="K243" s="304"/>
      <c r="L243" s="304"/>
      <c r="M243" s="304"/>
      <c r="N243" s="304"/>
      <c r="O243" s="304"/>
      <c r="P243" s="304"/>
      <c r="Q243" s="304"/>
      <c r="R243" s="304"/>
      <c r="S243" s="304"/>
      <c r="T243" s="304"/>
      <c r="U243" s="304"/>
      <c r="V243" s="304"/>
      <c r="W243" s="304"/>
      <c r="X243" s="304"/>
      <c r="Y243" s="304"/>
      <c r="Z243" s="304"/>
      <c r="AA243" s="304"/>
      <c r="AB243" s="304"/>
      <c r="AC243" s="304"/>
      <c r="AD243" s="304"/>
      <c r="AE243" s="304"/>
      <c r="AF243" s="304"/>
      <c r="AG243" s="304"/>
      <c r="AH243" s="304"/>
      <c r="AI243" s="304"/>
      <c r="AJ243" s="304"/>
      <c r="AK243" s="304"/>
      <c r="AL243" s="304"/>
      <c r="AM243" s="304"/>
      <c r="AN243" s="304"/>
      <c r="AO243" s="304"/>
      <c r="AP243" s="304"/>
      <c r="AQ243" s="304"/>
      <c r="AR243" s="304"/>
      <c r="AS243" s="304"/>
      <c r="AT243" s="304"/>
      <c r="AU243" s="304"/>
      <c r="AV243" s="304"/>
      <c r="AW243" s="304"/>
      <c r="AX243" s="304"/>
      <c r="AY243" s="304"/>
      <c r="AZ243" s="304"/>
    </row>
    <row r="244" spans="1:52">
      <c r="A244" s="304"/>
      <c r="B244" s="304"/>
      <c r="C244" s="304"/>
      <c r="D244" s="304"/>
      <c r="E244" s="304"/>
      <c r="F244" s="304"/>
      <c r="G244" s="304"/>
      <c r="H244" s="304"/>
      <c r="I244" s="304"/>
      <c r="J244" s="304"/>
      <c r="K244" s="304"/>
      <c r="L244" s="304"/>
      <c r="M244" s="304"/>
      <c r="N244" s="304"/>
      <c r="O244" s="304"/>
      <c r="P244" s="304"/>
      <c r="Q244" s="304"/>
      <c r="R244" s="304"/>
      <c r="S244" s="304"/>
      <c r="T244" s="304"/>
      <c r="U244" s="304"/>
      <c r="V244" s="304"/>
      <c r="W244" s="304"/>
      <c r="X244" s="304"/>
      <c r="Y244" s="304"/>
      <c r="Z244" s="304"/>
      <c r="AA244" s="304"/>
      <c r="AB244" s="304"/>
      <c r="AC244" s="304"/>
      <c r="AD244" s="304"/>
      <c r="AE244" s="304"/>
      <c r="AF244" s="304"/>
      <c r="AG244" s="304"/>
      <c r="AH244" s="304"/>
      <c r="AI244" s="304"/>
      <c r="AJ244" s="304"/>
      <c r="AK244" s="304"/>
      <c r="AL244" s="304"/>
      <c r="AM244" s="304"/>
      <c r="AN244" s="304"/>
      <c r="AO244" s="304"/>
      <c r="AP244" s="304"/>
      <c r="AQ244" s="304"/>
      <c r="AR244" s="304"/>
      <c r="AS244" s="304"/>
      <c r="AT244" s="304"/>
      <c r="AU244" s="304"/>
      <c r="AV244" s="304"/>
      <c r="AW244" s="304"/>
      <c r="AX244" s="304"/>
      <c r="AY244" s="304"/>
      <c r="AZ244" s="304"/>
    </row>
    <row r="245" spans="1:52">
      <c r="A245" s="304"/>
      <c r="B245" s="304"/>
      <c r="C245" s="304"/>
      <c r="D245" s="304"/>
      <c r="E245" s="304"/>
      <c r="F245" s="304"/>
      <c r="G245" s="304"/>
      <c r="H245" s="304"/>
      <c r="I245" s="304"/>
      <c r="J245" s="304"/>
      <c r="K245" s="304"/>
      <c r="L245" s="304"/>
      <c r="M245" s="304"/>
      <c r="N245" s="304"/>
      <c r="O245" s="304"/>
      <c r="P245" s="304"/>
      <c r="Q245" s="304"/>
      <c r="R245" s="304"/>
      <c r="S245" s="304"/>
      <c r="T245" s="304"/>
      <c r="U245" s="304"/>
      <c r="V245" s="304"/>
      <c r="W245" s="304"/>
      <c r="X245" s="304"/>
      <c r="Y245" s="304"/>
      <c r="Z245" s="304"/>
      <c r="AA245" s="304"/>
      <c r="AB245" s="304"/>
      <c r="AC245" s="304"/>
      <c r="AD245" s="304"/>
      <c r="AE245" s="304"/>
      <c r="AF245" s="304"/>
      <c r="AG245" s="304"/>
      <c r="AH245" s="304"/>
      <c r="AI245" s="304"/>
      <c r="AJ245" s="304"/>
      <c r="AK245" s="304"/>
      <c r="AL245" s="304"/>
      <c r="AM245" s="304"/>
      <c r="AN245" s="304"/>
      <c r="AO245" s="304"/>
      <c r="AP245" s="304"/>
      <c r="AQ245" s="304"/>
      <c r="AR245" s="304"/>
      <c r="AS245" s="304"/>
      <c r="AT245" s="304"/>
      <c r="AU245" s="304"/>
      <c r="AV245" s="304"/>
      <c r="AW245" s="304"/>
      <c r="AX245" s="304"/>
      <c r="AY245" s="304"/>
      <c r="AZ245" s="304"/>
    </row>
    <row r="246" spans="1:52">
      <c r="A246" s="304"/>
      <c r="B246" s="304"/>
      <c r="C246" s="304"/>
      <c r="D246" s="304"/>
      <c r="E246" s="304"/>
      <c r="F246" s="304"/>
      <c r="G246" s="304"/>
      <c r="H246" s="304"/>
      <c r="I246" s="304"/>
      <c r="J246" s="304"/>
      <c r="K246" s="304"/>
      <c r="L246" s="304"/>
      <c r="M246" s="304"/>
      <c r="N246" s="304"/>
      <c r="O246" s="304"/>
      <c r="P246" s="304"/>
      <c r="Q246" s="304"/>
      <c r="R246" s="304"/>
      <c r="S246" s="304"/>
      <c r="T246" s="304"/>
      <c r="U246" s="304"/>
      <c r="V246" s="304"/>
      <c r="W246" s="304"/>
      <c r="X246" s="304"/>
      <c r="Y246" s="304"/>
      <c r="Z246" s="304"/>
      <c r="AA246" s="304"/>
      <c r="AB246" s="304"/>
      <c r="AC246" s="304"/>
      <c r="AD246" s="304"/>
      <c r="AE246" s="304"/>
      <c r="AF246" s="304"/>
      <c r="AG246" s="304"/>
      <c r="AH246" s="304"/>
      <c r="AI246" s="304"/>
      <c r="AJ246" s="304"/>
      <c r="AK246" s="304"/>
      <c r="AL246" s="304"/>
      <c r="AM246" s="304"/>
      <c r="AN246" s="304"/>
      <c r="AO246" s="304"/>
      <c r="AP246" s="304"/>
      <c r="AQ246" s="304"/>
      <c r="AR246" s="304"/>
      <c r="AS246" s="304"/>
      <c r="AT246" s="304"/>
      <c r="AU246" s="304"/>
      <c r="AV246" s="304"/>
      <c r="AW246" s="304"/>
      <c r="AX246" s="304"/>
      <c r="AY246" s="304"/>
      <c r="AZ246" s="304"/>
    </row>
    <row r="247" spans="1:52">
      <c r="A247" s="304"/>
      <c r="B247" s="304"/>
      <c r="C247" s="304"/>
      <c r="D247" s="304"/>
      <c r="E247" s="304"/>
      <c r="F247" s="304"/>
      <c r="G247" s="304"/>
      <c r="H247" s="304"/>
      <c r="I247" s="304"/>
      <c r="J247" s="304"/>
      <c r="K247" s="304"/>
      <c r="L247" s="304"/>
      <c r="M247" s="304"/>
      <c r="N247" s="304"/>
      <c r="O247" s="304"/>
      <c r="P247" s="304"/>
      <c r="Q247" s="304"/>
      <c r="R247" s="304"/>
      <c r="S247" s="304"/>
      <c r="T247" s="304"/>
      <c r="U247" s="304"/>
      <c r="V247" s="304"/>
      <c r="W247" s="304"/>
      <c r="X247" s="304"/>
      <c r="Y247" s="304"/>
      <c r="Z247" s="304"/>
      <c r="AA247" s="304"/>
      <c r="AB247" s="304"/>
      <c r="AC247" s="304"/>
      <c r="AD247" s="304"/>
      <c r="AE247" s="304"/>
      <c r="AF247" s="304"/>
      <c r="AG247" s="304"/>
      <c r="AH247" s="304"/>
      <c r="AI247" s="304"/>
      <c r="AJ247" s="304"/>
      <c r="AK247" s="304"/>
      <c r="AL247" s="304"/>
      <c r="AM247" s="304"/>
      <c r="AN247" s="304"/>
      <c r="AO247" s="304"/>
      <c r="AP247" s="304"/>
      <c r="AQ247" s="304"/>
      <c r="AR247" s="304"/>
      <c r="AS247" s="304"/>
      <c r="AT247" s="304"/>
      <c r="AU247" s="304"/>
      <c r="AV247" s="304"/>
      <c r="AW247" s="304"/>
      <c r="AX247" s="304"/>
      <c r="AY247" s="304"/>
      <c r="AZ247" s="304"/>
    </row>
    <row r="248" spans="1:52">
      <c r="A248" s="304"/>
      <c r="B248" s="304"/>
      <c r="C248" s="304"/>
      <c r="D248" s="304"/>
      <c r="E248" s="304"/>
      <c r="F248" s="304"/>
      <c r="G248" s="304"/>
      <c r="H248" s="304"/>
      <c r="I248" s="304"/>
      <c r="J248" s="304"/>
      <c r="K248" s="304"/>
      <c r="L248" s="304"/>
      <c r="M248" s="304"/>
      <c r="N248" s="304"/>
      <c r="O248" s="304"/>
      <c r="P248" s="304"/>
      <c r="Q248" s="304"/>
      <c r="R248" s="304"/>
      <c r="S248" s="304"/>
      <c r="T248" s="304"/>
      <c r="U248" s="304"/>
      <c r="V248" s="304"/>
      <c r="W248" s="304"/>
      <c r="X248" s="304"/>
      <c r="Y248" s="304"/>
      <c r="Z248" s="304"/>
      <c r="AA248" s="304"/>
      <c r="AB248" s="304"/>
      <c r="AC248" s="304"/>
      <c r="AD248" s="304"/>
      <c r="AE248" s="304"/>
      <c r="AF248" s="304"/>
      <c r="AG248" s="304"/>
      <c r="AH248" s="304"/>
      <c r="AI248" s="304"/>
      <c r="AJ248" s="304"/>
      <c r="AK248" s="304"/>
      <c r="AL248" s="304"/>
      <c r="AM248" s="304"/>
      <c r="AN248" s="304"/>
      <c r="AO248" s="304"/>
      <c r="AP248" s="304"/>
      <c r="AQ248" s="304"/>
      <c r="AR248" s="304"/>
      <c r="AS248" s="304"/>
      <c r="AT248" s="304"/>
      <c r="AU248" s="304"/>
      <c r="AV248" s="304"/>
      <c r="AW248" s="304"/>
      <c r="AX248" s="304"/>
      <c r="AY248" s="304"/>
      <c r="AZ248" s="304"/>
    </row>
    <row r="249" spans="1:52">
      <c r="A249" s="304"/>
      <c r="B249" s="304"/>
      <c r="C249" s="304"/>
      <c r="D249" s="304"/>
      <c r="E249" s="304"/>
      <c r="F249" s="304"/>
      <c r="G249" s="304"/>
      <c r="H249" s="304"/>
      <c r="I249" s="304"/>
      <c r="J249" s="304"/>
      <c r="K249" s="304"/>
      <c r="L249" s="304"/>
      <c r="M249" s="304"/>
      <c r="N249" s="304"/>
      <c r="O249" s="304"/>
      <c r="P249" s="304"/>
      <c r="Q249" s="304"/>
      <c r="R249" s="304"/>
      <c r="S249" s="304"/>
      <c r="T249" s="304"/>
      <c r="U249" s="304"/>
      <c r="V249" s="304"/>
      <c r="W249" s="304"/>
      <c r="X249" s="304"/>
      <c r="Y249" s="304"/>
      <c r="Z249" s="304"/>
      <c r="AA249" s="304"/>
      <c r="AB249" s="304"/>
      <c r="AC249" s="304"/>
      <c r="AD249" s="304"/>
      <c r="AE249" s="304"/>
      <c r="AF249" s="304"/>
      <c r="AG249" s="304"/>
      <c r="AH249" s="304"/>
      <c r="AI249" s="304"/>
      <c r="AJ249" s="304"/>
      <c r="AK249" s="304"/>
      <c r="AL249" s="304"/>
      <c r="AM249" s="304"/>
      <c r="AN249" s="304"/>
      <c r="AO249" s="304"/>
      <c r="AP249" s="304"/>
      <c r="AQ249" s="304"/>
      <c r="AR249" s="304"/>
      <c r="AS249" s="304"/>
      <c r="AT249" s="304"/>
      <c r="AU249" s="304"/>
      <c r="AV249" s="304"/>
      <c r="AW249" s="304"/>
      <c r="AX249" s="304"/>
      <c r="AY249" s="304"/>
      <c r="AZ249" s="304"/>
    </row>
    <row r="250" spans="1:52">
      <c r="A250" s="304"/>
      <c r="B250" s="304"/>
      <c r="C250" s="304"/>
      <c r="D250" s="304"/>
      <c r="E250" s="304"/>
      <c r="F250" s="304"/>
      <c r="G250" s="304"/>
      <c r="H250" s="304"/>
      <c r="I250" s="304"/>
      <c r="J250" s="304"/>
      <c r="K250" s="304"/>
      <c r="L250" s="304"/>
      <c r="M250" s="304"/>
      <c r="N250" s="304"/>
      <c r="O250" s="304"/>
      <c r="P250" s="304"/>
      <c r="Q250" s="304"/>
      <c r="R250" s="304"/>
      <c r="S250" s="304"/>
      <c r="T250" s="304"/>
      <c r="U250" s="304"/>
      <c r="V250" s="304"/>
      <c r="W250" s="304"/>
      <c r="X250" s="304"/>
      <c r="Y250" s="304"/>
      <c r="Z250" s="304"/>
      <c r="AA250" s="304"/>
      <c r="AB250" s="304"/>
      <c r="AC250" s="304"/>
      <c r="AD250" s="304"/>
      <c r="AE250" s="304"/>
      <c r="AF250" s="304"/>
      <c r="AG250" s="304"/>
      <c r="AH250" s="304"/>
      <c r="AI250" s="304"/>
      <c r="AJ250" s="304"/>
      <c r="AK250" s="304"/>
      <c r="AL250" s="304"/>
      <c r="AM250" s="304"/>
      <c r="AN250" s="304"/>
      <c r="AO250" s="304"/>
      <c r="AP250" s="304"/>
      <c r="AQ250" s="304"/>
      <c r="AR250" s="304"/>
      <c r="AS250" s="304"/>
      <c r="AT250" s="304"/>
      <c r="AU250" s="304"/>
      <c r="AV250" s="304"/>
      <c r="AW250" s="304"/>
      <c r="AX250" s="304"/>
      <c r="AY250" s="304"/>
      <c r="AZ250" s="304"/>
    </row>
    <row r="251" spans="1:52">
      <c r="A251" s="304"/>
      <c r="B251" s="304"/>
      <c r="C251" s="304"/>
      <c r="D251" s="304"/>
      <c r="E251" s="304"/>
      <c r="F251" s="304"/>
      <c r="G251" s="304"/>
      <c r="H251" s="304"/>
      <c r="I251" s="304"/>
      <c r="J251" s="304"/>
      <c r="K251" s="304"/>
      <c r="L251" s="304"/>
      <c r="M251" s="304"/>
      <c r="N251" s="304"/>
      <c r="O251" s="304"/>
      <c r="P251" s="304"/>
      <c r="Q251" s="304"/>
      <c r="R251" s="304"/>
      <c r="S251" s="304"/>
      <c r="T251" s="304"/>
      <c r="U251" s="304"/>
      <c r="V251" s="304"/>
      <c r="W251" s="304"/>
      <c r="X251" s="304"/>
      <c r="Y251" s="304"/>
      <c r="Z251" s="304"/>
      <c r="AA251" s="304"/>
      <c r="AB251" s="304"/>
      <c r="AC251" s="304"/>
      <c r="AD251" s="304"/>
      <c r="AE251" s="304"/>
      <c r="AF251" s="304"/>
      <c r="AG251" s="304"/>
      <c r="AH251" s="304"/>
      <c r="AI251" s="304"/>
      <c r="AJ251" s="304"/>
      <c r="AK251" s="304"/>
      <c r="AL251" s="304"/>
      <c r="AM251" s="304"/>
      <c r="AN251" s="304"/>
      <c r="AO251" s="304"/>
      <c r="AP251" s="304"/>
      <c r="AQ251" s="304"/>
      <c r="AR251" s="304"/>
      <c r="AS251" s="304"/>
      <c r="AT251" s="304"/>
      <c r="AU251" s="304"/>
      <c r="AV251" s="304"/>
      <c r="AW251" s="304"/>
      <c r="AX251" s="304"/>
      <c r="AY251" s="304"/>
      <c r="AZ251" s="304"/>
    </row>
    <row r="252" spans="1:52">
      <c r="A252" s="304"/>
      <c r="B252" s="304"/>
      <c r="C252" s="304"/>
      <c r="D252" s="304"/>
      <c r="E252" s="304"/>
      <c r="F252" s="304"/>
      <c r="G252" s="304"/>
      <c r="H252" s="304"/>
      <c r="I252" s="304"/>
      <c r="J252" s="304"/>
      <c r="K252" s="304"/>
      <c r="L252" s="304"/>
      <c r="M252" s="304"/>
      <c r="N252" s="304"/>
      <c r="O252" s="304"/>
      <c r="P252" s="304"/>
      <c r="Q252" s="304"/>
      <c r="R252" s="304"/>
      <c r="S252" s="304"/>
      <c r="T252" s="304"/>
      <c r="U252" s="304"/>
      <c r="V252" s="304"/>
      <c r="W252" s="304"/>
      <c r="X252" s="304"/>
      <c r="Y252" s="304"/>
      <c r="Z252" s="304"/>
      <c r="AA252" s="304"/>
      <c r="AB252" s="304"/>
      <c r="AC252" s="304"/>
      <c r="AD252" s="304"/>
      <c r="AE252" s="304"/>
      <c r="AF252" s="304"/>
      <c r="AG252" s="304"/>
      <c r="AH252" s="304"/>
      <c r="AI252" s="304"/>
      <c r="AJ252" s="304"/>
      <c r="AK252" s="304"/>
      <c r="AL252" s="304"/>
      <c r="AM252" s="304"/>
      <c r="AN252" s="304"/>
      <c r="AO252" s="304"/>
      <c r="AP252" s="304"/>
      <c r="AQ252" s="304"/>
      <c r="AR252" s="304"/>
      <c r="AS252" s="304"/>
      <c r="AT252" s="304"/>
      <c r="AU252" s="304"/>
      <c r="AV252" s="304"/>
      <c r="AW252" s="304"/>
      <c r="AX252" s="304"/>
      <c r="AY252" s="304"/>
      <c r="AZ252" s="304"/>
    </row>
    <row r="253" spans="1:52">
      <c r="A253" s="304"/>
      <c r="B253" s="304"/>
      <c r="C253" s="304"/>
      <c r="D253" s="304"/>
      <c r="E253" s="304"/>
      <c r="F253" s="304"/>
      <c r="G253" s="304"/>
      <c r="H253" s="304"/>
      <c r="I253" s="304"/>
      <c r="J253" s="304"/>
      <c r="K253" s="304"/>
      <c r="L253" s="304"/>
      <c r="M253" s="304"/>
      <c r="N253" s="304"/>
      <c r="O253" s="304"/>
      <c r="P253" s="304"/>
      <c r="Q253" s="304"/>
      <c r="R253" s="304"/>
      <c r="S253" s="304"/>
      <c r="T253" s="304"/>
      <c r="U253" s="304"/>
      <c r="V253" s="304"/>
      <c r="W253" s="304"/>
      <c r="X253" s="304"/>
      <c r="Y253" s="304"/>
      <c r="Z253" s="304"/>
      <c r="AA253" s="304"/>
      <c r="AB253" s="304"/>
      <c r="AC253" s="304"/>
      <c r="AD253" s="304"/>
      <c r="AE253" s="304"/>
      <c r="AF253" s="304"/>
      <c r="AG253" s="304"/>
      <c r="AH253" s="304"/>
      <c r="AI253" s="304"/>
      <c r="AJ253" s="304"/>
      <c r="AK253" s="304"/>
      <c r="AL253" s="304"/>
      <c r="AM253" s="304"/>
      <c r="AN253" s="304"/>
      <c r="AO253" s="304"/>
      <c r="AP253" s="304"/>
      <c r="AQ253" s="304"/>
      <c r="AR253" s="304"/>
      <c r="AS253" s="304"/>
      <c r="AT253" s="304"/>
      <c r="AU253" s="304"/>
      <c r="AV253" s="304"/>
      <c r="AW253" s="304"/>
      <c r="AX253" s="304"/>
      <c r="AY253" s="304"/>
      <c r="AZ253" s="304"/>
    </row>
    <row r="254" spans="1:52">
      <c r="A254" s="304"/>
      <c r="B254" s="304"/>
      <c r="C254" s="304"/>
      <c r="D254" s="304"/>
      <c r="E254" s="304"/>
      <c r="F254" s="304"/>
      <c r="G254" s="304"/>
      <c r="H254" s="304"/>
      <c r="I254" s="304"/>
      <c r="J254" s="304"/>
      <c r="K254" s="304"/>
      <c r="L254" s="304"/>
      <c r="M254" s="304"/>
      <c r="N254" s="304"/>
      <c r="O254" s="304"/>
      <c r="P254" s="304"/>
      <c r="Q254" s="304"/>
      <c r="R254" s="304"/>
      <c r="S254" s="304"/>
      <c r="T254" s="304"/>
      <c r="U254" s="304"/>
      <c r="V254" s="304"/>
      <c r="W254" s="304"/>
      <c r="X254" s="304"/>
      <c r="Y254" s="304"/>
      <c r="Z254" s="304"/>
      <c r="AA254" s="304"/>
      <c r="AB254" s="304"/>
      <c r="AC254" s="304"/>
      <c r="AD254" s="304"/>
      <c r="AE254" s="304"/>
      <c r="AF254" s="304"/>
      <c r="AG254" s="304"/>
      <c r="AH254" s="304"/>
      <c r="AI254" s="304"/>
      <c r="AJ254" s="304"/>
      <c r="AK254" s="304"/>
      <c r="AL254" s="304"/>
      <c r="AM254" s="304"/>
      <c r="AN254" s="304"/>
      <c r="AO254" s="304"/>
      <c r="AP254" s="304"/>
      <c r="AQ254" s="304"/>
      <c r="AR254" s="304"/>
      <c r="AS254" s="304"/>
      <c r="AT254" s="304"/>
      <c r="AU254" s="304"/>
      <c r="AV254" s="304"/>
      <c r="AW254" s="304"/>
      <c r="AX254" s="304"/>
      <c r="AY254" s="304"/>
      <c r="AZ254" s="304"/>
    </row>
    <row r="265" spans="1:52" ht="15.75">
      <c r="A265" s="304"/>
      <c r="B265" s="304"/>
      <c r="C265" s="304"/>
      <c r="D265" s="304"/>
      <c r="E265" s="304"/>
      <c r="F265" s="304"/>
      <c r="G265" s="304"/>
      <c r="H265" s="509" t="s">
        <v>6787</v>
      </c>
      <c r="I265" s="510"/>
      <c r="J265" s="510"/>
      <c r="K265" s="510"/>
      <c r="L265" s="510"/>
      <c r="M265" s="510"/>
      <c r="N265" s="304"/>
      <c r="O265" s="304"/>
      <c r="P265" s="304"/>
      <c r="Q265" s="304"/>
      <c r="R265" s="304"/>
      <c r="S265" s="304"/>
      <c r="T265" s="304"/>
      <c r="U265" s="304"/>
      <c r="V265" s="304"/>
      <c r="W265" s="304"/>
      <c r="X265" s="304"/>
      <c r="Y265" s="304"/>
      <c r="Z265" s="304"/>
      <c r="AA265" s="304"/>
      <c r="AB265" s="304"/>
      <c r="AC265" s="304"/>
      <c r="AD265" s="304"/>
      <c r="AE265" s="304"/>
      <c r="AF265" s="304"/>
      <c r="AG265" s="304"/>
      <c r="AH265" s="304"/>
      <c r="AI265" s="304"/>
      <c r="AJ265" s="304"/>
      <c r="AK265" s="304"/>
      <c r="AL265" s="304"/>
      <c r="AM265" s="304"/>
      <c r="AN265" s="304"/>
      <c r="AO265" s="304"/>
      <c r="AP265" s="304"/>
      <c r="AQ265" s="304"/>
      <c r="AR265" s="304"/>
      <c r="AS265" s="304"/>
      <c r="AT265" s="304"/>
      <c r="AU265" s="304"/>
      <c r="AV265" s="304"/>
      <c r="AW265" s="304"/>
      <c r="AX265" s="304"/>
      <c r="AY265" s="304"/>
      <c r="AZ265" s="304"/>
    </row>
    <row r="266" spans="1:52" ht="15.75">
      <c r="A266" s="304"/>
      <c r="B266" s="304"/>
      <c r="C266" s="304"/>
      <c r="D266" s="304"/>
      <c r="E266" s="304"/>
      <c r="F266" s="304"/>
      <c r="G266" s="304"/>
      <c r="H266" s="509" t="s">
        <v>6792</v>
      </c>
      <c r="I266" s="510"/>
      <c r="J266" s="510"/>
      <c r="K266" s="510"/>
      <c r="L266" s="510"/>
      <c r="M266" s="510"/>
      <c r="N266" s="304"/>
      <c r="O266" s="304"/>
      <c r="P266" s="304"/>
      <c r="Q266" s="304"/>
      <c r="R266" s="304"/>
      <c r="S266" s="304"/>
      <c r="T266" s="304"/>
      <c r="U266" s="304"/>
      <c r="V266" s="304"/>
      <c r="W266" s="304"/>
      <c r="X266" s="304"/>
      <c r="Y266" s="304"/>
      <c r="Z266" s="304"/>
      <c r="AA266" s="304"/>
      <c r="AB266" s="304"/>
      <c r="AC266" s="304"/>
      <c r="AD266" s="304"/>
      <c r="AE266" s="304"/>
      <c r="AF266" s="304"/>
      <c r="AG266" s="304"/>
      <c r="AH266" s="304"/>
      <c r="AI266" s="304"/>
      <c r="AJ266" s="304"/>
      <c r="AK266" s="304"/>
      <c r="AL266" s="304"/>
      <c r="AM266" s="304"/>
      <c r="AN266" s="304"/>
      <c r="AO266" s="304"/>
      <c r="AP266" s="304"/>
      <c r="AQ266" s="304"/>
      <c r="AR266" s="304"/>
      <c r="AS266" s="304"/>
      <c r="AT266" s="304"/>
      <c r="AU266" s="304"/>
      <c r="AV266" s="304"/>
      <c r="AW266" s="304"/>
      <c r="AX266" s="304"/>
      <c r="AY266" s="304"/>
      <c r="AZ266" s="304"/>
    </row>
    <row r="267" spans="1:52" ht="15.75">
      <c r="A267" s="304"/>
      <c r="B267" s="304"/>
      <c r="C267" s="304"/>
      <c r="D267" s="304"/>
      <c r="E267" s="304"/>
      <c r="F267" s="304"/>
      <c r="G267" s="304"/>
      <c r="H267" s="509" t="s">
        <v>6795</v>
      </c>
      <c r="I267" s="510"/>
      <c r="J267" s="510"/>
      <c r="K267" s="510"/>
      <c r="L267" s="510"/>
      <c r="M267" s="510"/>
      <c r="N267" s="304"/>
      <c r="O267" s="304"/>
      <c r="P267" s="304"/>
      <c r="Q267" s="304"/>
      <c r="R267" s="304"/>
      <c r="S267" s="304"/>
      <c r="T267" s="304"/>
      <c r="U267" s="304"/>
      <c r="V267" s="304"/>
      <c r="W267" s="304"/>
      <c r="X267" s="304"/>
      <c r="Y267" s="304"/>
      <c r="Z267" s="304"/>
      <c r="AA267" s="304"/>
      <c r="AB267" s="304"/>
      <c r="AC267" s="304"/>
      <c r="AD267" s="304"/>
      <c r="AE267" s="304"/>
      <c r="AF267" s="304"/>
      <c r="AG267" s="304"/>
      <c r="AH267" s="304"/>
      <c r="AI267" s="304"/>
      <c r="AJ267" s="304"/>
      <c r="AK267" s="304"/>
      <c r="AL267" s="304"/>
      <c r="AM267" s="304"/>
      <c r="AN267" s="304"/>
      <c r="AO267" s="304"/>
      <c r="AP267" s="304"/>
      <c r="AQ267" s="304"/>
      <c r="AR267" s="304"/>
      <c r="AS267" s="304"/>
      <c r="AT267" s="304"/>
      <c r="AU267" s="304"/>
      <c r="AV267" s="304"/>
      <c r="AW267" s="304"/>
      <c r="AX267" s="304"/>
      <c r="AY267" s="304"/>
      <c r="AZ267" s="304"/>
    </row>
    <row r="268" spans="1:52" ht="15.75">
      <c r="A268" s="304"/>
      <c r="B268" s="304"/>
      <c r="C268" s="304"/>
      <c r="D268" s="304"/>
      <c r="E268" s="304"/>
      <c r="F268" s="304"/>
      <c r="G268" s="304"/>
      <c r="H268" s="509" t="s">
        <v>6798</v>
      </c>
      <c r="I268" s="510"/>
      <c r="J268" s="510"/>
      <c r="K268" s="510"/>
      <c r="L268" s="510"/>
      <c r="M268" s="510"/>
      <c r="N268" s="304"/>
      <c r="O268" s="304"/>
      <c r="P268" s="304"/>
      <c r="Q268" s="304"/>
      <c r="R268" s="304"/>
      <c r="S268" s="304"/>
      <c r="T268" s="304"/>
      <c r="U268" s="304"/>
      <c r="V268" s="304"/>
      <c r="W268" s="304"/>
      <c r="X268" s="304"/>
      <c r="Y268" s="304"/>
      <c r="Z268" s="304"/>
      <c r="AA268" s="304"/>
      <c r="AB268" s="304"/>
      <c r="AC268" s="304"/>
      <c r="AD268" s="304"/>
      <c r="AE268" s="304"/>
      <c r="AF268" s="304"/>
      <c r="AG268" s="304"/>
      <c r="AH268" s="304"/>
      <c r="AI268" s="304"/>
      <c r="AJ268" s="304"/>
      <c r="AK268" s="304"/>
      <c r="AL268" s="304"/>
      <c r="AM268" s="304"/>
      <c r="AN268" s="304"/>
      <c r="AO268" s="304"/>
      <c r="AP268" s="304"/>
      <c r="AQ268" s="304"/>
      <c r="AR268" s="304"/>
      <c r="AS268" s="304"/>
      <c r="AT268" s="304"/>
      <c r="AU268" s="304"/>
      <c r="AV268" s="304"/>
      <c r="AW268" s="304"/>
      <c r="AX268" s="304"/>
      <c r="AY268" s="304"/>
      <c r="AZ268" s="304"/>
    </row>
    <row r="269" spans="1:52" ht="15.75">
      <c r="A269" s="304"/>
      <c r="B269" s="304"/>
      <c r="C269" s="304"/>
      <c r="D269" s="304"/>
      <c r="E269" s="304"/>
      <c r="F269" s="304"/>
      <c r="G269" s="304"/>
      <c r="H269" s="509" t="s">
        <v>6801</v>
      </c>
      <c r="I269" s="510"/>
      <c r="J269" s="510"/>
      <c r="K269" s="510"/>
      <c r="L269" s="510"/>
      <c r="M269" s="510"/>
      <c r="N269" s="304"/>
      <c r="O269" s="304"/>
      <c r="P269" s="304"/>
      <c r="Q269" s="304"/>
      <c r="R269" s="304"/>
      <c r="S269" s="304"/>
      <c r="T269" s="304"/>
      <c r="U269" s="304"/>
      <c r="V269" s="304"/>
      <c r="W269" s="304"/>
      <c r="X269" s="304"/>
      <c r="Y269" s="304"/>
      <c r="Z269" s="304"/>
      <c r="AA269" s="304"/>
      <c r="AB269" s="304"/>
      <c r="AC269" s="304"/>
      <c r="AD269" s="304"/>
      <c r="AE269" s="304"/>
      <c r="AF269" s="304"/>
      <c r="AG269" s="304"/>
      <c r="AH269" s="304"/>
      <c r="AI269" s="304"/>
      <c r="AJ269" s="304"/>
      <c r="AK269" s="304"/>
      <c r="AL269" s="304"/>
      <c r="AM269" s="304"/>
      <c r="AN269" s="304"/>
      <c r="AO269" s="304"/>
      <c r="AP269" s="304"/>
      <c r="AQ269" s="304"/>
      <c r="AR269" s="304"/>
      <c r="AS269" s="304"/>
      <c r="AT269" s="304"/>
      <c r="AU269" s="304"/>
      <c r="AV269" s="304"/>
      <c r="AW269" s="304"/>
      <c r="AX269" s="304"/>
      <c r="AY269" s="304"/>
      <c r="AZ269" s="304"/>
    </row>
    <row r="329" spans="1:52" ht="15.75">
      <c r="A329" s="304"/>
      <c r="B329" s="304"/>
      <c r="C329" s="304"/>
      <c r="D329" s="304"/>
      <c r="E329" s="304"/>
      <c r="F329" s="304"/>
      <c r="G329" s="304"/>
      <c r="H329" s="509" t="s">
        <v>8083</v>
      </c>
      <c r="I329" s="509"/>
      <c r="J329" s="518"/>
      <c r="K329" s="304"/>
      <c r="L329" s="304"/>
      <c r="M329" s="304"/>
      <c r="N329" s="304"/>
      <c r="O329" s="304"/>
      <c r="P329" s="304"/>
      <c r="Q329" s="304"/>
      <c r="R329" s="304"/>
      <c r="S329" s="304"/>
      <c r="T329" s="304"/>
      <c r="U329" s="304"/>
      <c r="V329" s="304"/>
      <c r="W329" s="304"/>
      <c r="X329" s="304"/>
      <c r="Y329" s="304"/>
      <c r="Z329" s="304"/>
      <c r="AA329" s="304"/>
      <c r="AB329" s="304"/>
      <c r="AC329" s="304"/>
      <c r="AD329" s="304"/>
      <c r="AE329" s="304"/>
      <c r="AF329" s="304"/>
      <c r="AG329" s="304"/>
      <c r="AH329" s="304"/>
      <c r="AI329" s="304"/>
      <c r="AJ329" s="304"/>
      <c r="AK329" s="304"/>
      <c r="AL329" s="304"/>
      <c r="AM329" s="304"/>
      <c r="AN329" s="304"/>
      <c r="AO329" s="304"/>
      <c r="AP329" s="304"/>
      <c r="AQ329" s="304"/>
      <c r="AR329" s="304"/>
      <c r="AS329" s="304"/>
      <c r="AT329" s="304"/>
      <c r="AU329" s="304"/>
      <c r="AV329" s="304"/>
      <c r="AW329" s="304"/>
      <c r="AX329" s="304"/>
      <c r="AY329" s="304"/>
      <c r="AZ329" s="304"/>
    </row>
    <row r="330" spans="1:52" ht="15.75">
      <c r="A330" s="304"/>
      <c r="B330" s="304"/>
      <c r="C330" s="304"/>
      <c r="D330" s="304"/>
      <c r="E330" s="304"/>
      <c r="F330" s="304"/>
      <c r="G330" s="304"/>
      <c r="H330" s="509" t="s">
        <v>8084</v>
      </c>
      <c r="I330" s="509"/>
      <c r="J330" s="518"/>
      <c r="K330" s="304"/>
      <c r="L330" s="304"/>
      <c r="M330" s="304"/>
      <c r="N330" s="304"/>
      <c r="O330" s="304"/>
      <c r="P330" s="304"/>
      <c r="Q330" s="304"/>
      <c r="R330" s="304"/>
      <c r="S330" s="304"/>
      <c r="T330" s="304"/>
      <c r="U330" s="304"/>
      <c r="V330" s="304"/>
      <c r="W330" s="304"/>
      <c r="X330" s="304"/>
      <c r="Y330" s="304"/>
      <c r="Z330" s="304"/>
      <c r="AA330" s="304"/>
      <c r="AB330" s="304"/>
      <c r="AC330" s="304"/>
      <c r="AD330" s="304"/>
      <c r="AE330" s="304"/>
      <c r="AF330" s="304"/>
      <c r="AG330" s="304"/>
      <c r="AH330" s="304"/>
      <c r="AI330" s="304"/>
      <c r="AJ330" s="304"/>
      <c r="AK330" s="304"/>
      <c r="AL330" s="304"/>
      <c r="AM330" s="304"/>
      <c r="AN330" s="304"/>
      <c r="AO330" s="304"/>
      <c r="AP330" s="304"/>
      <c r="AQ330" s="304"/>
      <c r="AR330" s="304"/>
      <c r="AS330" s="304"/>
      <c r="AT330" s="304"/>
      <c r="AU330" s="304"/>
      <c r="AV330" s="304"/>
      <c r="AW330" s="304"/>
      <c r="AX330" s="304"/>
      <c r="AY330" s="304"/>
      <c r="AZ330" s="304"/>
    </row>
    <row r="358" spans="1:52">
      <c r="A358" s="304"/>
      <c r="B358" s="304"/>
      <c r="C358" s="304"/>
      <c r="D358" s="304"/>
      <c r="E358" s="304"/>
      <c r="F358" s="304"/>
      <c r="G358" s="304"/>
      <c r="H358" s="304"/>
      <c r="I358" s="304"/>
      <c r="J358" s="304"/>
      <c r="K358" s="304"/>
      <c r="L358" s="304"/>
      <c r="M358" s="304"/>
      <c r="N358" s="304"/>
      <c r="O358" s="304"/>
      <c r="P358" s="304"/>
      <c r="Q358" s="304"/>
      <c r="R358" s="304"/>
      <c r="S358" s="304"/>
      <c r="T358" s="304"/>
      <c r="U358" s="304"/>
      <c r="V358" s="304"/>
      <c r="W358" s="304"/>
      <c r="X358" s="304"/>
      <c r="Y358" s="304"/>
      <c r="Z358" s="304"/>
      <c r="AA358" s="304"/>
      <c r="AB358" s="304"/>
      <c r="AC358" s="304"/>
      <c r="AD358" s="304"/>
      <c r="AE358" s="304"/>
      <c r="AF358" s="304"/>
      <c r="AG358" s="304"/>
      <c r="AH358" s="304"/>
      <c r="AI358" s="304"/>
      <c r="AJ358" s="304"/>
      <c r="AK358" s="304"/>
      <c r="AL358" s="304"/>
      <c r="AM358" s="304"/>
      <c r="AN358" s="304"/>
      <c r="AO358" s="304"/>
      <c r="AP358" s="304"/>
      <c r="AQ358" s="304"/>
      <c r="AR358" s="304"/>
      <c r="AS358" s="304"/>
      <c r="AT358" s="304"/>
      <c r="AU358" s="304"/>
      <c r="AV358" s="304"/>
      <c r="AW358" s="304"/>
      <c r="AX358" s="304"/>
      <c r="AY358" s="304"/>
      <c r="AZ358" s="304"/>
    </row>
    <row r="359" spans="1:52">
      <c r="A359" s="304"/>
      <c r="B359" s="304"/>
      <c r="C359" s="304"/>
      <c r="D359" s="304"/>
      <c r="E359" s="304"/>
      <c r="F359" s="304"/>
      <c r="G359" s="304"/>
      <c r="H359" s="304"/>
      <c r="I359" s="304"/>
      <c r="J359" s="304"/>
      <c r="K359" s="304"/>
      <c r="L359" s="304"/>
      <c r="M359" s="304"/>
      <c r="N359" s="304"/>
      <c r="O359" s="304"/>
      <c r="P359" s="304"/>
      <c r="Q359" s="304"/>
      <c r="R359" s="304"/>
      <c r="S359" s="304"/>
      <c r="T359" s="304"/>
      <c r="U359" s="304"/>
      <c r="V359" s="304"/>
      <c r="W359" s="304"/>
      <c r="X359" s="304"/>
      <c r="Y359" s="304"/>
      <c r="Z359" s="304"/>
      <c r="AA359" s="304"/>
      <c r="AB359" s="304"/>
      <c r="AC359" s="304"/>
      <c r="AD359" s="304"/>
      <c r="AE359" s="304"/>
      <c r="AF359" s="304"/>
      <c r="AG359" s="304"/>
      <c r="AH359" s="304"/>
      <c r="AI359" s="304"/>
      <c r="AJ359" s="304"/>
      <c r="AK359" s="304"/>
      <c r="AL359" s="304"/>
      <c r="AM359" s="304"/>
      <c r="AN359" s="304"/>
      <c r="AO359" s="304"/>
      <c r="AP359" s="304"/>
      <c r="AQ359" s="304"/>
      <c r="AR359" s="304"/>
      <c r="AS359" s="304"/>
      <c r="AT359" s="304"/>
      <c r="AU359" s="304"/>
      <c r="AV359" s="304"/>
      <c r="AW359" s="304"/>
      <c r="AX359" s="304"/>
      <c r="AY359" s="304"/>
      <c r="AZ359" s="304"/>
    </row>
    <row r="374" spans="1:52" ht="15.75">
      <c r="A374" s="304"/>
      <c r="B374" s="304"/>
      <c r="C374" s="304"/>
      <c r="D374" s="304"/>
      <c r="E374" s="304"/>
      <c r="F374" s="304"/>
      <c r="G374" s="304"/>
      <c r="H374" s="509" t="s">
        <v>8085</v>
      </c>
      <c r="I374" s="509"/>
      <c r="J374" s="517"/>
      <c r="K374" s="509"/>
      <c r="L374" s="304"/>
      <c r="M374" s="304"/>
      <c r="N374" s="304"/>
      <c r="O374" s="304"/>
      <c r="P374" s="304"/>
      <c r="Q374" s="304"/>
      <c r="R374" s="304"/>
      <c r="S374" s="304"/>
      <c r="T374" s="304"/>
      <c r="U374" s="304"/>
      <c r="V374" s="304"/>
      <c r="W374" s="304"/>
      <c r="X374" s="304"/>
      <c r="Y374" s="304"/>
      <c r="Z374" s="304"/>
      <c r="AA374" s="304"/>
      <c r="AB374" s="304"/>
      <c r="AC374" s="304"/>
      <c r="AD374" s="304"/>
      <c r="AE374" s="304"/>
      <c r="AF374" s="304"/>
      <c r="AG374" s="304"/>
      <c r="AH374" s="304"/>
      <c r="AI374" s="304"/>
      <c r="AJ374" s="304"/>
      <c r="AK374" s="304"/>
      <c r="AL374" s="304"/>
      <c r="AM374" s="304"/>
      <c r="AN374" s="304"/>
      <c r="AO374" s="304"/>
      <c r="AP374" s="304"/>
      <c r="AQ374" s="304"/>
      <c r="AR374" s="304"/>
      <c r="AS374" s="304"/>
      <c r="AT374" s="304"/>
      <c r="AU374" s="304"/>
      <c r="AV374" s="304"/>
      <c r="AW374" s="304"/>
      <c r="AX374" s="304"/>
      <c r="AY374" s="304"/>
      <c r="AZ374" s="304"/>
    </row>
    <row r="375" spans="1:52" ht="15.75">
      <c r="A375" s="304"/>
      <c r="B375" s="304"/>
      <c r="C375" s="304"/>
      <c r="D375" s="304"/>
      <c r="E375" s="304"/>
      <c r="F375" s="304"/>
      <c r="G375" s="304"/>
      <c r="H375" s="509"/>
      <c r="I375" s="509"/>
      <c r="J375" s="517"/>
      <c r="K375" s="509"/>
      <c r="L375" s="304"/>
      <c r="M375" s="304"/>
      <c r="N375" s="304"/>
      <c r="O375" s="304"/>
      <c r="P375" s="304"/>
      <c r="Q375" s="304"/>
      <c r="R375" s="304"/>
      <c r="S375" s="304"/>
      <c r="T375" s="304"/>
      <c r="U375" s="304"/>
      <c r="V375" s="304"/>
      <c r="W375" s="304"/>
      <c r="X375" s="304"/>
      <c r="Y375" s="304"/>
      <c r="Z375" s="304"/>
      <c r="AA375" s="304"/>
      <c r="AB375" s="304"/>
      <c r="AC375" s="304"/>
      <c r="AD375" s="304"/>
      <c r="AE375" s="304"/>
      <c r="AF375" s="304"/>
      <c r="AG375" s="304"/>
      <c r="AH375" s="304"/>
      <c r="AI375" s="304"/>
      <c r="AJ375" s="304"/>
      <c r="AK375" s="304"/>
      <c r="AL375" s="304"/>
      <c r="AM375" s="304"/>
      <c r="AN375" s="304"/>
      <c r="AO375" s="304"/>
      <c r="AP375" s="304"/>
      <c r="AQ375" s="304"/>
      <c r="AR375" s="304"/>
      <c r="AS375" s="304"/>
      <c r="AT375" s="304"/>
      <c r="AU375" s="304"/>
      <c r="AV375" s="304"/>
      <c r="AW375" s="304"/>
      <c r="AX375" s="304"/>
      <c r="AY375" s="304"/>
      <c r="AZ375" s="304"/>
    </row>
    <row r="376" spans="1:52" ht="15.75">
      <c r="A376" s="304"/>
      <c r="B376" s="304"/>
      <c r="C376" s="304"/>
      <c r="D376" s="304"/>
      <c r="E376" s="304"/>
      <c r="F376" s="304"/>
      <c r="G376" s="304"/>
      <c r="H376" s="509"/>
      <c r="I376" s="509"/>
      <c r="J376" s="517"/>
      <c r="K376" s="517"/>
      <c r="L376" s="304"/>
      <c r="M376" s="304"/>
      <c r="N376" s="304"/>
      <c r="O376" s="304"/>
      <c r="P376" s="304"/>
      <c r="Q376" s="304"/>
      <c r="R376" s="304"/>
      <c r="S376" s="304"/>
      <c r="T376" s="304"/>
      <c r="U376" s="304"/>
      <c r="V376" s="304"/>
      <c r="W376" s="304"/>
      <c r="X376" s="304"/>
      <c r="Y376" s="304"/>
      <c r="Z376" s="304"/>
      <c r="AA376" s="304"/>
      <c r="AB376" s="304"/>
      <c r="AC376" s="304"/>
      <c r="AD376" s="304"/>
      <c r="AE376" s="304"/>
      <c r="AF376" s="304"/>
      <c r="AG376" s="304"/>
      <c r="AH376" s="304"/>
      <c r="AI376" s="304"/>
      <c r="AJ376" s="304"/>
      <c r="AK376" s="304"/>
      <c r="AL376" s="304"/>
      <c r="AM376" s="304"/>
      <c r="AN376" s="304"/>
      <c r="AO376" s="304"/>
      <c r="AP376" s="304"/>
      <c r="AQ376" s="304"/>
      <c r="AR376" s="304"/>
      <c r="AS376" s="304"/>
      <c r="AT376" s="304"/>
      <c r="AU376" s="304"/>
      <c r="AV376" s="304"/>
      <c r="AW376" s="304"/>
      <c r="AX376" s="304"/>
      <c r="AY376" s="304"/>
      <c r="AZ376" s="304"/>
    </row>
    <row r="515" spans="1:52">
      <c r="A515" s="304"/>
      <c r="B515" s="304"/>
      <c r="C515" s="304"/>
      <c r="D515" s="304"/>
      <c r="E515" s="304"/>
      <c r="F515" s="304"/>
      <c r="G515" s="304"/>
      <c r="H515" s="304"/>
      <c r="I515" s="304"/>
      <c r="J515" s="304"/>
      <c r="K515" s="304"/>
      <c r="L515" s="304"/>
      <c r="M515" s="304"/>
      <c r="N515" s="304"/>
      <c r="O515" s="304"/>
      <c r="P515" s="304"/>
      <c r="Q515" s="304"/>
      <c r="R515" s="304"/>
      <c r="S515" s="304"/>
      <c r="T515" s="304"/>
      <c r="U515" s="304"/>
      <c r="V515" s="304"/>
      <c r="W515" s="304"/>
      <c r="X515" s="304"/>
      <c r="Y515" s="304"/>
      <c r="Z515" s="304"/>
      <c r="AA515" s="304"/>
      <c r="AB515" s="304"/>
      <c r="AC515" s="304"/>
      <c r="AD515" s="304"/>
      <c r="AE515" s="304"/>
      <c r="AF515" s="304"/>
      <c r="AG515" s="304"/>
      <c r="AH515" s="304"/>
      <c r="AI515" s="304"/>
      <c r="AJ515" s="304"/>
      <c r="AK515" s="304"/>
      <c r="AL515" s="304"/>
      <c r="AM515" s="304"/>
      <c r="AN515" s="304"/>
      <c r="AO515" s="304"/>
      <c r="AP515" s="304"/>
      <c r="AQ515" s="304"/>
      <c r="AR515" s="304"/>
      <c r="AS515" s="304"/>
      <c r="AT515" s="304"/>
      <c r="AU515" s="304"/>
      <c r="AV515" s="304"/>
      <c r="AW515" s="304"/>
      <c r="AX515" s="304"/>
      <c r="AY515" s="304"/>
      <c r="AZ515" s="304"/>
    </row>
    <row r="516" spans="1:52">
      <c r="A516" s="304"/>
      <c r="B516" s="304"/>
      <c r="C516" s="304"/>
      <c r="D516" s="304"/>
      <c r="E516" s="304"/>
      <c r="F516" s="304"/>
      <c r="G516" s="304"/>
      <c r="H516" s="304"/>
      <c r="I516" s="304"/>
      <c r="J516" s="304"/>
      <c r="K516" s="304"/>
      <c r="L516" s="304"/>
      <c r="M516" s="304"/>
      <c r="N516" s="304"/>
      <c r="O516" s="304"/>
      <c r="P516" s="304"/>
      <c r="Q516" s="304"/>
      <c r="R516" s="304"/>
      <c r="S516" s="304"/>
      <c r="T516" s="304"/>
      <c r="U516" s="304"/>
      <c r="V516" s="304"/>
      <c r="W516" s="304"/>
      <c r="X516" s="304"/>
      <c r="Y516" s="304"/>
      <c r="Z516" s="304"/>
      <c r="AA516" s="304"/>
      <c r="AB516" s="304"/>
      <c r="AC516" s="304"/>
      <c r="AD516" s="304"/>
      <c r="AE516" s="304"/>
      <c r="AF516" s="304"/>
      <c r="AG516" s="304"/>
      <c r="AH516" s="304"/>
      <c r="AI516" s="304"/>
      <c r="AJ516" s="304"/>
      <c r="AK516" s="304"/>
      <c r="AL516" s="304"/>
      <c r="AM516" s="304"/>
      <c r="AN516" s="304"/>
      <c r="AO516" s="304"/>
      <c r="AP516" s="304"/>
      <c r="AQ516" s="304"/>
      <c r="AR516" s="304"/>
      <c r="AS516" s="304"/>
      <c r="AT516" s="304"/>
      <c r="AU516" s="304"/>
      <c r="AV516" s="304"/>
      <c r="AW516" s="304"/>
      <c r="AX516" s="304"/>
      <c r="AY516" s="304"/>
      <c r="AZ516" s="304"/>
    </row>
    <row r="517" spans="1:52">
      <c r="A517" s="304"/>
      <c r="B517" s="304"/>
      <c r="C517" s="304"/>
      <c r="D517" s="304"/>
      <c r="E517" s="304"/>
      <c r="F517" s="304"/>
      <c r="G517" s="304"/>
      <c r="H517" s="304"/>
      <c r="I517" s="304"/>
      <c r="J517" s="304"/>
      <c r="K517" s="304"/>
      <c r="L517" s="304"/>
      <c r="M517" s="304"/>
      <c r="N517" s="304"/>
      <c r="O517" s="304"/>
      <c r="P517" s="304"/>
      <c r="Q517" s="304"/>
      <c r="R517" s="304"/>
      <c r="S517" s="304"/>
      <c r="T517" s="304"/>
      <c r="U517" s="304"/>
      <c r="V517" s="304"/>
      <c r="W517" s="304"/>
      <c r="X517" s="304"/>
      <c r="Y517" s="304"/>
      <c r="Z517" s="304"/>
      <c r="AA517" s="304"/>
      <c r="AB517" s="304"/>
      <c r="AC517" s="304"/>
      <c r="AD517" s="304"/>
      <c r="AE517" s="304"/>
      <c r="AF517" s="304"/>
      <c r="AG517" s="304"/>
      <c r="AH517" s="304"/>
      <c r="AI517" s="304"/>
      <c r="AJ517" s="304"/>
      <c r="AK517" s="304"/>
      <c r="AL517" s="304"/>
      <c r="AM517" s="304"/>
      <c r="AN517" s="304"/>
      <c r="AO517" s="304"/>
      <c r="AP517" s="304"/>
      <c r="AQ517" s="304"/>
      <c r="AR517" s="304"/>
      <c r="AS517" s="304"/>
      <c r="AT517" s="304"/>
      <c r="AU517" s="304"/>
      <c r="AV517" s="304"/>
      <c r="AW517" s="304"/>
      <c r="AX517" s="304"/>
      <c r="AY517" s="304"/>
      <c r="AZ517" s="304"/>
    </row>
    <row r="518" spans="1:52">
      <c r="A518" s="304"/>
      <c r="B518" s="304"/>
      <c r="C518" s="304"/>
      <c r="D518" s="304"/>
      <c r="E518" s="304"/>
      <c r="F518" s="304"/>
      <c r="G518" s="304"/>
      <c r="H518" s="304"/>
      <c r="I518" s="304"/>
      <c r="J518" s="304"/>
      <c r="K518" s="304"/>
      <c r="L518" s="304"/>
      <c r="M518" s="304"/>
      <c r="N518" s="304"/>
      <c r="O518" s="304"/>
      <c r="P518" s="304"/>
      <c r="Q518" s="304"/>
      <c r="R518" s="304"/>
      <c r="S518" s="304"/>
      <c r="T518" s="304"/>
      <c r="U518" s="304"/>
      <c r="V518" s="304"/>
      <c r="W518" s="304"/>
      <c r="X518" s="304"/>
      <c r="Y518" s="304"/>
      <c r="Z518" s="304"/>
      <c r="AA518" s="304"/>
      <c r="AB518" s="304"/>
      <c r="AC518" s="304"/>
      <c r="AD518" s="304"/>
      <c r="AE518" s="304"/>
      <c r="AF518" s="304"/>
      <c r="AG518" s="304"/>
      <c r="AH518" s="304"/>
      <c r="AI518" s="304"/>
      <c r="AJ518" s="304"/>
      <c r="AK518" s="304"/>
      <c r="AL518" s="304"/>
      <c r="AM518" s="304"/>
      <c r="AN518" s="304"/>
      <c r="AO518" s="304"/>
      <c r="AP518" s="304"/>
      <c r="AQ518" s="304"/>
      <c r="AR518" s="304"/>
      <c r="AS518" s="304"/>
      <c r="AT518" s="304"/>
      <c r="AU518" s="304"/>
      <c r="AV518" s="304"/>
      <c r="AW518" s="304"/>
      <c r="AX518" s="304"/>
      <c r="AY518" s="304"/>
      <c r="AZ518" s="304"/>
    </row>
    <row r="519" spans="1:52">
      <c r="A519" s="304"/>
      <c r="B519" s="304"/>
      <c r="C519" s="304"/>
      <c r="D519" s="304"/>
      <c r="E519" s="304"/>
      <c r="F519" s="304"/>
      <c r="G519" s="304"/>
      <c r="H519" s="304"/>
      <c r="I519" s="304"/>
      <c r="J519" s="304"/>
      <c r="K519" s="304"/>
      <c r="L519" s="304"/>
      <c r="M519" s="304"/>
      <c r="N519" s="304"/>
      <c r="O519" s="304"/>
      <c r="P519" s="304"/>
      <c r="Q519" s="304"/>
      <c r="R519" s="304"/>
      <c r="S519" s="304"/>
      <c r="T519" s="304"/>
      <c r="U519" s="304"/>
      <c r="V519" s="304"/>
      <c r="W519" s="304"/>
      <c r="X519" s="304"/>
      <c r="Y519" s="304"/>
      <c r="Z519" s="304"/>
      <c r="AA519" s="304"/>
      <c r="AB519" s="304"/>
      <c r="AC519" s="304"/>
      <c r="AD519" s="304"/>
      <c r="AE519" s="304"/>
      <c r="AF519" s="304"/>
      <c r="AG519" s="304"/>
      <c r="AH519" s="304"/>
      <c r="AI519" s="304"/>
      <c r="AJ519" s="304"/>
      <c r="AK519" s="304"/>
      <c r="AL519" s="304"/>
      <c r="AM519" s="304"/>
      <c r="AN519" s="304"/>
      <c r="AO519" s="304"/>
      <c r="AP519" s="304"/>
      <c r="AQ519" s="304"/>
      <c r="AR519" s="304"/>
      <c r="AS519" s="304"/>
      <c r="AT519" s="304"/>
      <c r="AU519" s="304"/>
      <c r="AV519" s="304"/>
      <c r="AW519" s="304"/>
      <c r="AX519" s="304"/>
      <c r="AY519" s="304"/>
      <c r="AZ519" s="304"/>
    </row>
    <row r="531" spans="1:52">
      <c r="A531" s="304"/>
      <c r="B531" s="304"/>
      <c r="C531" s="304"/>
      <c r="D531" s="304"/>
      <c r="E531" s="304"/>
      <c r="F531" s="304"/>
      <c r="G531" s="304"/>
      <c r="H531" s="304" t="s">
        <v>8086</v>
      </c>
      <c r="I531" s="304"/>
      <c r="J531" s="304"/>
      <c r="K531" s="304"/>
      <c r="L531" s="304"/>
      <c r="M531" s="304"/>
      <c r="N531" s="304"/>
      <c r="O531" s="304"/>
      <c r="P531" s="304"/>
      <c r="Q531" s="304"/>
      <c r="R531" s="304"/>
      <c r="S531" s="304"/>
      <c r="T531" s="304"/>
      <c r="U531" s="304"/>
      <c r="V531" s="304"/>
      <c r="W531" s="304"/>
      <c r="X531" s="304"/>
      <c r="Y531" s="304"/>
      <c r="Z531" s="304"/>
      <c r="AA531" s="304"/>
      <c r="AB531" s="304"/>
      <c r="AC531" s="304"/>
      <c r="AD531" s="304"/>
      <c r="AE531" s="304"/>
      <c r="AF531" s="304"/>
      <c r="AG531" s="304"/>
      <c r="AH531" s="304"/>
      <c r="AI531" s="304"/>
      <c r="AJ531" s="304"/>
      <c r="AK531" s="304"/>
      <c r="AL531" s="304"/>
      <c r="AM531" s="304"/>
      <c r="AN531" s="304"/>
      <c r="AO531" s="304"/>
      <c r="AP531" s="304"/>
      <c r="AQ531" s="304"/>
      <c r="AR531" s="304"/>
      <c r="AS531" s="304"/>
      <c r="AT531" s="304"/>
      <c r="AU531" s="304"/>
      <c r="AV531" s="304"/>
      <c r="AW531" s="304"/>
      <c r="AX531" s="304"/>
      <c r="AY531" s="304"/>
      <c r="AZ531" s="304"/>
    </row>
    <row r="532" spans="1:52">
      <c r="A532" s="304"/>
      <c r="B532" s="304"/>
      <c r="C532" s="304"/>
      <c r="D532" s="304"/>
      <c r="E532" s="304"/>
      <c r="F532" s="304"/>
      <c r="G532" s="304"/>
      <c r="H532" s="304" t="s">
        <v>8087</v>
      </c>
      <c r="I532" s="304"/>
      <c r="J532" s="304"/>
      <c r="K532" s="304"/>
      <c r="L532" s="304"/>
      <c r="M532" s="304"/>
      <c r="N532" s="304"/>
      <c r="O532" s="304"/>
      <c r="P532" s="304"/>
      <c r="Q532" s="304"/>
      <c r="R532" s="304"/>
      <c r="S532" s="304"/>
      <c r="T532" s="304"/>
      <c r="U532" s="304"/>
      <c r="V532" s="304"/>
      <c r="W532" s="304"/>
      <c r="X532" s="304"/>
      <c r="Y532" s="304"/>
      <c r="Z532" s="304"/>
      <c r="AA532" s="304"/>
      <c r="AB532" s="304"/>
      <c r="AC532" s="304"/>
      <c r="AD532" s="304"/>
      <c r="AE532" s="304"/>
      <c r="AF532" s="304"/>
      <c r="AG532" s="304"/>
      <c r="AH532" s="304"/>
      <c r="AI532" s="304"/>
      <c r="AJ532" s="304"/>
      <c r="AK532" s="304"/>
      <c r="AL532" s="304"/>
      <c r="AM532" s="304"/>
      <c r="AN532" s="304"/>
      <c r="AO532" s="304"/>
      <c r="AP532" s="304"/>
      <c r="AQ532" s="304"/>
      <c r="AR532" s="304"/>
      <c r="AS532" s="304"/>
      <c r="AT532" s="304"/>
      <c r="AU532" s="304"/>
      <c r="AV532" s="304"/>
      <c r="AW532" s="304"/>
      <c r="AX532" s="304"/>
      <c r="AY532" s="304"/>
      <c r="AZ532" s="304"/>
    </row>
  </sheetData>
  <autoFilter ref="A1:AZ4" xr:uid="{E777D4D9-A99C-4E98-BC4F-6DBCB8280C93}">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autoFilter>
  <sortState xmlns:xlrd2="http://schemas.microsoft.com/office/spreadsheetml/2017/richdata2" ref="A6:J12">
    <sortCondition ref="A6:A12"/>
  </sortState>
  <mergeCells count="6">
    <mergeCell ref="A204:XFD204"/>
    <mergeCell ref="A1:XFD2"/>
    <mergeCell ref="A3:A4"/>
    <mergeCell ref="A95:XFD95"/>
    <mergeCell ref="T65:U65"/>
    <mergeCell ref="A34:XFD35"/>
  </mergeCells>
  <conditionalFormatting sqref="E6:E28">
    <cfRule type="cellIs" dxfId="111" priority="4" operator="greaterThan">
      <formula>$H6</formula>
    </cfRule>
  </conditionalFormatting>
  <conditionalFormatting sqref="G6:G28">
    <cfRule type="cellIs" dxfId="110" priority="18" operator="greaterThan">
      <formula>0.6</formula>
    </cfRule>
  </conditionalFormatting>
  <conditionalFormatting sqref="H6:H28">
    <cfRule type="cellIs" dxfId="109" priority="19" operator="greaterThan">
      <formula>$E6</formula>
    </cfRule>
  </conditionalFormatting>
  <conditionalFormatting sqref="I6:I28">
    <cfRule type="cellIs" dxfId="108" priority="20" operator="greaterThan">
      <formula>$F6</formula>
    </cfRule>
  </conditionalFormatting>
  <conditionalFormatting sqref="J6:J28">
    <cfRule type="cellIs" dxfId="107" priority="11" operator="greaterThan">
      <formula>$G6</formula>
    </cfRule>
  </conditionalFormatting>
  <conditionalFormatting sqref="AS6:AS24">
    <cfRule type="cellIs" dxfId="106" priority="3" operator="greaterThan">
      <formula>$H6</formula>
    </cfRule>
  </conditionalFormatting>
  <conditionalFormatting sqref="AX6:AX24">
    <cfRule type="cellIs" dxfId="105" priority="1" operator="greaterThan">
      <formula>$E6</formula>
    </cfRule>
  </conditionalFormatting>
  <dataValidations disablePrompts="1" count="1">
    <dataValidation type="list" allowBlank="1" showInputMessage="1" showErrorMessage="1" sqref="A3:A4" xr:uid="{48EDFBA2-E91F-4D06-9483-0F44E0FE6536}">
      <formula1>"OCT.22,NOV.22,DEC.22,JAN,FEB,MAR,MAR.II,APR,MAY,JUN,JUL,AUG,SEP,OCT,NOV,DEC, JAN.24,FEB.24,MAR.24,APR.24,MAY.24,JUN.24,JUL.24,AUG.24,AUG.24.II,SEP.24,OCT.24,NOV.24,DEC.24"</formula1>
    </dataValidation>
  </dataValidations>
  <pageMargins left="0.7" right="0.7" top="0.75" bottom="0.75" header="0.3" footer="0.3"/>
  <pageSetup paperSize="9" orientation="landscape" r:id="rId1"/>
  <drawing r:id="rId2"/>
  <tableParts count="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C408"/>
  <sheetViews>
    <sheetView workbookViewId="0">
      <pane xSplit="6" ySplit="2" topLeftCell="Z322" activePane="bottomRight" state="frozen"/>
      <selection pane="bottomRight" activeCell="Z322" sqref="Z322"/>
      <selection pane="bottomLeft" activeCell="A3" sqref="A3"/>
      <selection pane="topRight" activeCell="G1" sqref="G1"/>
    </sheetView>
  </sheetViews>
  <sheetFormatPr defaultColWidth="12.5703125" defaultRowHeight="15.75" customHeight="1"/>
  <cols>
    <col min="1" max="1" width="12.85546875" customWidth="1"/>
    <col min="2" max="2" width="6.85546875" customWidth="1"/>
    <col min="3" max="3" width="6.5703125" customWidth="1"/>
    <col min="4" max="4" width="15.28515625" customWidth="1"/>
    <col min="5" max="5" width="9.7109375" customWidth="1"/>
    <col min="6" max="6" width="18.85546875" customWidth="1"/>
    <col min="7" max="7" width="4.140625" customWidth="1"/>
    <col min="8" max="8" width="3.85546875" customWidth="1"/>
    <col min="9" max="9" width="4" customWidth="1"/>
    <col min="10" max="11" width="6.42578125" customWidth="1"/>
    <col min="12" max="14" width="4" customWidth="1"/>
    <col min="15" max="15" width="7.85546875" customWidth="1"/>
    <col min="16" max="18" width="4.28515625" customWidth="1"/>
    <col min="19" max="19" width="4.42578125" customWidth="1"/>
    <col min="20" max="20" width="6.5703125" customWidth="1"/>
    <col min="21" max="23" width="6.140625" customWidth="1"/>
    <col min="24" max="24" width="26.5703125" customWidth="1"/>
    <col min="25" max="25" width="28.28515625" customWidth="1"/>
    <col min="26" max="26" width="27.5703125" customWidth="1"/>
    <col min="27" max="27" width="8.7109375" customWidth="1"/>
    <col min="28" max="28" width="20.42578125" customWidth="1"/>
    <col min="30" max="32" width="19.42578125" customWidth="1"/>
    <col min="33" max="33" width="17.7109375" customWidth="1"/>
    <col min="34" max="34" width="25.42578125" customWidth="1"/>
    <col min="35" max="35" width="21.85546875" customWidth="1"/>
    <col min="36" max="36" width="18.42578125" customWidth="1"/>
    <col min="37" max="39" width="19.42578125" customWidth="1"/>
    <col min="40" max="40" width="4.7109375" customWidth="1"/>
    <col min="41" max="41" width="25.28515625" bestFit="1" customWidth="1"/>
    <col min="46" max="46" width="5.7109375" customWidth="1"/>
    <col min="47" max="47" width="37.5703125" customWidth="1"/>
    <col min="48" max="48" width="32.42578125" customWidth="1"/>
    <col min="49" max="49" width="29.5703125" customWidth="1"/>
    <col min="50" max="50" width="43.7109375" customWidth="1"/>
    <col min="51" max="51" width="45.7109375" customWidth="1"/>
    <col min="52" max="52" width="47.140625" customWidth="1"/>
  </cols>
  <sheetData>
    <row r="1" spans="1:52" s="312" customFormat="1" ht="15.75" customHeight="1">
      <c r="A1" s="691" t="s">
        <v>682</v>
      </c>
      <c r="B1" s="692"/>
      <c r="C1" s="692"/>
      <c r="D1" s="692"/>
      <c r="E1" s="692"/>
      <c r="F1" s="313" t="s">
        <v>8088</v>
      </c>
      <c r="G1" s="694" t="s">
        <v>2</v>
      </c>
      <c r="H1" s="698"/>
      <c r="I1" s="699"/>
      <c r="J1" s="311" t="s">
        <v>3</v>
      </c>
      <c r="K1" s="311" t="s">
        <v>8089</v>
      </c>
      <c r="L1" s="693" t="s">
        <v>4</v>
      </c>
      <c r="M1" s="698"/>
      <c r="N1" s="699"/>
      <c r="O1" s="694" t="s">
        <v>5</v>
      </c>
      <c r="P1" s="698"/>
      <c r="Q1" s="698"/>
      <c r="R1" s="698"/>
      <c r="S1" s="698"/>
      <c r="T1" s="698"/>
      <c r="U1" s="698"/>
      <c r="V1" s="698"/>
      <c r="W1" s="699"/>
      <c r="X1" s="694" t="s">
        <v>6</v>
      </c>
      <c r="Y1" s="698"/>
      <c r="Z1" s="699"/>
      <c r="AA1" s="695" t="s">
        <v>7</v>
      </c>
      <c r="AB1" s="698"/>
      <c r="AC1" s="698"/>
      <c r="AD1" s="698"/>
      <c r="AE1" s="698"/>
      <c r="AF1" s="698"/>
      <c r="AG1" s="698"/>
      <c r="AH1" s="698"/>
      <c r="AI1" s="698"/>
      <c r="AJ1" s="698"/>
      <c r="AK1" s="698"/>
      <c r="AL1" s="698"/>
      <c r="AM1" s="698"/>
      <c r="AN1" s="698"/>
      <c r="AO1" s="698"/>
      <c r="AP1" s="699"/>
      <c r="AQ1" s="693" t="s">
        <v>8</v>
      </c>
      <c r="AR1" s="698"/>
      <c r="AS1" s="698"/>
      <c r="AT1" s="699"/>
      <c r="AU1" s="693" t="s">
        <v>9</v>
      </c>
      <c r="AV1" s="698"/>
      <c r="AW1" s="699"/>
      <c r="AX1" s="694" t="s">
        <v>11</v>
      </c>
      <c r="AY1" s="698"/>
      <c r="AZ1" s="699"/>
    </row>
    <row r="2" spans="1:52" ht="12.75">
      <c r="A2" s="1" t="s">
        <v>8090</v>
      </c>
      <c r="B2" s="1" t="s">
        <v>8091</v>
      </c>
      <c r="C2" s="1" t="s">
        <v>16</v>
      </c>
      <c r="D2" s="1" t="s">
        <v>17</v>
      </c>
      <c r="E2" s="1" t="s">
        <v>18</v>
      </c>
      <c r="F2" s="2" t="s">
        <v>19</v>
      </c>
      <c r="G2" s="1" t="s">
        <v>8092</v>
      </c>
      <c r="H2" s="1" t="s">
        <v>8093</v>
      </c>
      <c r="I2" s="1" t="s">
        <v>8094</v>
      </c>
      <c r="J2" s="3" t="s">
        <v>3</v>
      </c>
      <c r="K2" s="3" t="s">
        <v>8095</v>
      </c>
      <c r="L2" s="1" t="s">
        <v>23</v>
      </c>
      <c r="M2" s="1" t="s">
        <v>24</v>
      </c>
      <c r="N2" s="1" t="s">
        <v>25</v>
      </c>
      <c r="O2" s="4" t="s">
        <v>26</v>
      </c>
      <c r="P2" s="4" t="s">
        <v>26</v>
      </c>
      <c r="Q2" s="4" t="s">
        <v>28</v>
      </c>
      <c r="R2" s="4" t="s">
        <v>8096</v>
      </c>
      <c r="S2" s="4" t="s">
        <v>8097</v>
      </c>
      <c r="T2" s="5" t="s">
        <v>31</v>
      </c>
      <c r="U2" s="4" t="s">
        <v>32</v>
      </c>
      <c r="V2" s="4" t="s">
        <v>36</v>
      </c>
      <c r="W2" s="4" t="s">
        <v>37</v>
      </c>
      <c r="X2" s="1" t="s">
        <v>38</v>
      </c>
      <c r="Y2" s="1" t="s">
        <v>39</v>
      </c>
      <c r="Z2" s="1" t="s">
        <v>40</v>
      </c>
      <c r="AA2" s="7" t="s">
        <v>8098</v>
      </c>
      <c r="AB2" s="1" t="s">
        <v>42</v>
      </c>
      <c r="AC2" s="79" t="s">
        <v>43</v>
      </c>
      <c r="AD2" s="1" t="s">
        <v>44</v>
      </c>
      <c r="AE2" s="1" t="s">
        <v>45</v>
      </c>
      <c r="AF2" s="1" t="s">
        <v>46</v>
      </c>
      <c r="AG2" s="79" t="s">
        <v>47</v>
      </c>
      <c r="AH2" s="80" t="s">
        <v>48</v>
      </c>
      <c r="AI2" s="80" t="s">
        <v>49</v>
      </c>
      <c r="AJ2" s="80" t="s">
        <v>50</v>
      </c>
      <c r="AK2" s="1" t="s">
        <v>51</v>
      </c>
      <c r="AL2" s="1" t="s">
        <v>52</v>
      </c>
      <c r="AM2" s="1" t="s">
        <v>53</v>
      </c>
      <c r="AN2" s="1" t="s">
        <v>54</v>
      </c>
      <c r="AO2" s="1" t="s">
        <v>8099</v>
      </c>
      <c r="AP2" s="7" t="s">
        <v>56</v>
      </c>
      <c r="AQ2" s="1" t="s">
        <v>57</v>
      </c>
      <c r="AR2" s="1" t="s">
        <v>58</v>
      </c>
      <c r="AS2" s="8" t="s">
        <v>59</v>
      </c>
      <c r="AT2" s="9" t="s">
        <v>60</v>
      </c>
      <c r="AU2" s="1" t="s">
        <v>61</v>
      </c>
      <c r="AV2" s="1" t="s">
        <v>62</v>
      </c>
      <c r="AW2" s="1" t="s">
        <v>63</v>
      </c>
      <c r="AX2" s="1" t="s">
        <v>61</v>
      </c>
      <c r="AY2" s="1" t="s">
        <v>62</v>
      </c>
      <c r="AZ2" s="10" t="s">
        <v>63</v>
      </c>
    </row>
    <row r="3" spans="1:52" ht="12.75">
      <c r="A3" s="81">
        <v>44764</v>
      </c>
      <c r="B3" s="82"/>
      <c r="C3" s="82"/>
      <c r="D3" s="82"/>
      <c r="E3" s="82"/>
      <c r="F3" s="83"/>
      <c r="G3" s="82"/>
      <c r="H3" s="82"/>
      <c r="I3" s="82"/>
      <c r="J3" s="83"/>
      <c r="K3" s="83"/>
      <c r="L3" s="82"/>
      <c r="M3" s="82"/>
      <c r="N3" s="82"/>
      <c r="O3" s="83"/>
      <c r="P3" s="83"/>
      <c r="Q3" s="83"/>
      <c r="R3" s="83"/>
      <c r="S3" s="83"/>
      <c r="T3" s="83"/>
      <c r="U3" s="83"/>
      <c r="V3" s="83"/>
      <c r="W3" s="83"/>
      <c r="X3" s="82"/>
      <c r="Y3" s="82"/>
      <c r="Z3" s="82"/>
      <c r="AA3" s="84"/>
      <c r="AB3" s="82"/>
      <c r="AC3" s="82"/>
      <c r="AD3" s="82"/>
      <c r="AE3" s="82"/>
      <c r="AF3" s="82"/>
      <c r="AG3" s="82"/>
      <c r="AH3" s="82"/>
      <c r="AI3" s="85"/>
      <c r="AJ3" s="83"/>
      <c r="AK3" s="82"/>
      <c r="AL3" s="82"/>
      <c r="AM3" s="82"/>
      <c r="AN3" s="82"/>
      <c r="AO3" s="82"/>
      <c r="AP3" s="84"/>
      <c r="AQ3" s="82"/>
      <c r="AR3" s="86"/>
      <c r="AS3" s="87"/>
      <c r="AT3" s="88"/>
      <c r="AU3" s="82"/>
      <c r="AV3" s="82"/>
      <c r="AW3" s="82"/>
      <c r="AX3" s="82"/>
      <c r="AY3" s="82"/>
      <c r="AZ3" s="82"/>
    </row>
    <row r="4" spans="1:52" ht="12.75">
      <c r="A4" s="12">
        <v>44769</v>
      </c>
      <c r="B4" s="13"/>
      <c r="C4" s="13" t="s">
        <v>151</v>
      </c>
      <c r="D4" s="17" t="s">
        <v>8100</v>
      </c>
      <c r="E4" s="13" t="s">
        <v>8101</v>
      </c>
      <c r="F4" s="14" t="s">
        <v>8102</v>
      </c>
      <c r="G4" s="13"/>
      <c r="H4" s="13"/>
      <c r="I4" s="13">
        <v>1</v>
      </c>
      <c r="J4" s="14"/>
      <c r="K4" s="14"/>
      <c r="L4" s="13">
        <v>3</v>
      </c>
      <c r="M4" s="13"/>
      <c r="N4" s="13">
        <v>1</v>
      </c>
      <c r="O4" s="14" t="s">
        <v>95</v>
      </c>
      <c r="P4" s="14" t="s">
        <v>137</v>
      </c>
      <c r="Q4" s="14"/>
      <c r="R4" s="14">
        <v>1</v>
      </c>
      <c r="S4" s="14">
        <v>1</v>
      </c>
      <c r="T4" s="14"/>
      <c r="U4" s="14" t="s">
        <v>97</v>
      </c>
      <c r="V4" s="14">
        <f t="shared" ref="V4:V12" si="0">IF(ISBLANK(O4),,(IF(O4=UPPER("IB"),0.005,0.01)))</f>
        <v>0.01</v>
      </c>
      <c r="W4" s="14">
        <f t="shared" ref="W4:W12" si="1">IF(ISBLANK(O4),,IF(O4=UPPER("IB"),8.63*200,16.65*100))</f>
        <v>1664.9999999999998</v>
      </c>
      <c r="X4" s="13" t="s">
        <v>8103</v>
      </c>
      <c r="Y4" s="17"/>
      <c r="Z4" s="17"/>
      <c r="AA4" s="18">
        <v>96.47</v>
      </c>
      <c r="AB4" s="13"/>
      <c r="AC4" s="13"/>
      <c r="AD4" s="13"/>
      <c r="AE4" s="13" t="s">
        <v>8104</v>
      </c>
      <c r="AF4" s="13"/>
      <c r="AG4" s="13"/>
      <c r="AH4" s="13"/>
      <c r="AI4" s="19"/>
      <c r="AJ4" s="14"/>
      <c r="AK4" s="13"/>
      <c r="AL4" s="13"/>
      <c r="AM4" s="13" t="s">
        <v>172</v>
      </c>
      <c r="AN4" s="13"/>
      <c r="AO4" s="13"/>
      <c r="AP4" s="20">
        <v>96.47</v>
      </c>
      <c r="AQ4" s="20">
        <f t="shared" ref="AQ4:AQ12" si="2">IF(ISBLANK(AP4),,IF(U4="S",AA4-AP4,AP4-AA4))</f>
        <v>0</v>
      </c>
      <c r="AR4" s="77"/>
      <c r="AS4" s="21">
        <f t="shared" ref="AS4:AS12" si="3">IF(ISBLANK(AP4),,(AQ4*W4))</f>
        <v>0</v>
      </c>
      <c r="AT4" s="22"/>
      <c r="AU4" s="13" t="s">
        <v>8105</v>
      </c>
      <c r="AV4" s="13"/>
      <c r="AW4" s="13"/>
      <c r="AX4" s="13"/>
      <c r="AY4" s="13"/>
      <c r="AZ4" s="13"/>
    </row>
    <row r="5" spans="1:52" ht="12.75">
      <c r="A5" s="12">
        <v>44769</v>
      </c>
      <c r="B5" s="13"/>
      <c r="C5" s="13" t="s">
        <v>151</v>
      </c>
      <c r="D5" s="17" t="s">
        <v>8100</v>
      </c>
      <c r="E5" s="13" t="s">
        <v>8101</v>
      </c>
      <c r="F5" s="14" t="s">
        <v>8106</v>
      </c>
      <c r="G5" s="13"/>
      <c r="H5" s="13"/>
      <c r="I5" s="13">
        <v>1</v>
      </c>
      <c r="J5" s="14"/>
      <c r="K5" s="14"/>
      <c r="L5" s="13">
        <v>3</v>
      </c>
      <c r="M5" s="13"/>
      <c r="N5" s="13">
        <v>1</v>
      </c>
      <c r="O5" s="14" t="s">
        <v>95</v>
      </c>
      <c r="P5" s="14" t="s">
        <v>96</v>
      </c>
      <c r="Q5" s="14"/>
      <c r="R5" s="14">
        <v>1</v>
      </c>
      <c r="S5" s="14">
        <v>0</v>
      </c>
      <c r="T5" s="14"/>
      <c r="U5" s="14" t="s">
        <v>22</v>
      </c>
      <c r="V5" s="14">
        <f t="shared" si="0"/>
        <v>0.01</v>
      </c>
      <c r="W5" s="14">
        <f t="shared" si="1"/>
        <v>1664.9999999999998</v>
      </c>
      <c r="X5" s="13" t="s">
        <v>8107</v>
      </c>
      <c r="Y5" s="17"/>
      <c r="Z5" s="17"/>
      <c r="AA5" s="18">
        <v>96.38</v>
      </c>
      <c r="AB5" s="13"/>
      <c r="AC5" s="13"/>
      <c r="AD5" s="13"/>
      <c r="AE5" s="13"/>
      <c r="AF5" s="13"/>
      <c r="AG5" s="13"/>
      <c r="AH5" s="13"/>
      <c r="AI5" s="19"/>
      <c r="AJ5" s="14"/>
      <c r="AK5" s="13"/>
      <c r="AL5" s="13"/>
      <c r="AM5" s="13"/>
      <c r="AN5" s="13"/>
      <c r="AO5" s="13"/>
      <c r="AP5" s="20"/>
      <c r="AQ5" s="13">
        <f t="shared" si="2"/>
        <v>0</v>
      </c>
      <c r="AR5" s="77"/>
      <c r="AS5" s="21">
        <f t="shared" si="3"/>
        <v>0</v>
      </c>
      <c r="AT5" s="22"/>
      <c r="AU5" s="13" t="s">
        <v>8108</v>
      </c>
      <c r="AV5" s="13"/>
      <c r="AW5" s="13"/>
      <c r="AX5" s="13"/>
      <c r="AY5" s="13"/>
      <c r="AZ5" s="13"/>
    </row>
    <row r="6" spans="1:52" ht="12.75">
      <c r="A6" s="12">
        <v>44769</v>
      </c>
      <c r="B6" s="13"/>
      <c r="C6" s="13" t="s">
        <v>151</v>
      </c>
      <c r="D6" s="17" t="s">
        <v>8100</v>
      </c>
      <c r="E6" s="13" t="s">
        <v>8101</v>
      </c>
      <c r="F6" s="14" t="s">
        <v>8109</v>
      </c>
      <c r="G6" s="13"/>
      <c r="H6" s="13"/>
      <c r="I6" s="13">
        <v>1</v>
      </c>
      <c r="J6" s="14"/>
      <c r="K6" s="14"/>
      <c r="L6" s="13">
        <v>3</v>
      </c>
      <c r="M6" s="13"/>
      <c r="N6" s="13">
        <v>1</v>
      </c>
      <c r="O6" s="14" t="s">
        <v>95</v>
      </c>
      <c r="P6" s="14" t="s">
        <v>96</v>
      </c>
      <c r="Q6" s="14"/>
      <c r="R6" s="14">
        <v>2</v>
      </c>
      <c r="S6" s="14">
        <v>0</v>
      </c>
      <c r="T6" s="14"/>
      <c r="U6" s="14" t="s">
        <v>22</v>
      </c>
      <c r="V6" s="14">
        <f t="shared" si="0"/>
        <v>0.01</v>
      </c>
      <c r="W6" s="14">
        <f t="shared" si="1"/>
        <v>1664.9999999999998</v>
      </c>
      <c r="X6" s="13" t="s">
        <v>8110</v>
      </c>
      <c r="Y6" s="17"/>
      <c r="Z6" s="17"/>
      <c r="AA6" s="18">
        <v>96.32</v>
      </c>
      <c r="AB6" s="13"/>
      <c r="AC6" s="13"/>
      <c r="AD6" s="13"/>
      <c r="AE6" s="13"/>
      <c r="AF6" s="13"/>
      <c r="AG6" s="13"/>
      <c r="AH6" s="13"/>
      <c r="AI6" s="19"/>
      <c r="AJ6" s="14"/>
      <c r="AK6" s="13"/>
      <c r="AL6" s="13"/>
      <c r="AM6" s="13"/>
      <c r="AN6" s="13"/>
      <c r="AO6" s="13"/>
      <c r="AP6" s="20"/>
      <c r="AQ6" s="13">
        <f t="shared" si="2"/>
        <v>0</v>
      </c>
      <c r="AR6" s="77"/>
      <c r="AS6" s="21">
        <f t="shared" si="3"/>
        <v>0</v>
      </c>
      <c r="AT6" s="22"/>
      <c r="AU6" s="13"/>
      <c r="AV6" s="13"/>
      <c r="AW6" s="13"/>
      <c r="AX6" s="13"/>
      <c r="AY6" s="13"/>
      <c r="AZ6" s="13"/>
    </row>
    <row r="7" spans="1:52" ht="12.75">
      <c r="A7" s="12">
        <v>44769</v>
      </c>
      <c r="B7" s="13"/>
      <c r="C7" s="13" t="s">
        <v>151</v>
      </c>
      <c r="D7" s="17" t="s">
        <v>8100</v>
      </c>
      <c r="E7" s="13" t="s">
        <v>8101</v>
      </c>
      <c r="F7" s="14" t="s">
        <v>8111</v>
      </c>
      <c r="G7" s="13"/>
      <c r="H7" s="13"/>
      <c r="I7" s="13">
        <v>1</v>
      </c>
      <c r="J7" s="14"/>
      <c r="K7" s="14"/>
      <c r="L7" s="13">
        <v>3</v>
      </c>
      <c r="M7" s="13"/>
      <c r="N7" s="13">
        <v>1</v>
      </c>
      <c r="O7" s="14" t="s">
        <v>95</v>
      </c>
      <c r="P7" s="14" t="s">
        <v>96</v>
      </c>
      <c r="Q7" s="14"/>
      <c r="R7" s="14">
        <v>5</v>
      </c>
      <c r="S7" s="14">
        <v>2</v>
      </c>
      <c r="T7" s="14"/>
      <c r="U7" s="14" t="s">
        <v>22</v>
      </c>
      <c r="V7" s="14">
        <f t="shared" si="0"/>
        <v>0.01</v>
      </c>
      <c r="W7" s="14">
        <f t="shared" si="1"/>
        <v>1664.9999999999998</v>
      </c>
      <c r="X7" s="13" t="s">
        <v>8110</v>
      </c>
      <c r="Y7" s="17"/>
      <c r="Z7" s="17"/>
      <c r="AA7" s="18">
        <v>96.424000000000007</v>
      </c>
      <c r="AB7" s="13"/>
      <c r="AC7" s="13"/>
      <c r="AD7" s="13"/>
      <c r="AE7" s="13"/>
      <c r="AF7" s="13"/>
      <c r="AG7" s="13"/>
      <c r="AH7" s="13"/>
      <c r="AI7" s="19"/>
      <c r="AJ7" s="14"/>
      <c r="AK7" s="13"/>
      <c r="AL7" s="13"/>
      <c r="AM7" s="13"/>
      <c r="AN7" s="13"/>
      <c r="AO7" s="13"/>
      <c r="AP7" s="20"/>
      <c r="AQ7" s="13">
        <f t="shared" si="2"/>
        <v>0</v>
      </c>
      <c r="AR7" s="77"/>
      <c r="AS7" s="21">
        <f t="shared" si="3"/>
        <v>0</v>
      </c>
      <c r="AT7" s="22"/>
      <c r="AU7" s="13"/>
      <c r="AV7" s="13"/>
      <c r="AW7" s="13"/>
      <c r="AX7" s="13"/>
      <c r="AY7" s="13"/>
      <c r="AZ7" s="13"/>
    </row>
    <row r="8" spans="1:52" ht="12.75">
      <c r="A8" s="12">
        <v>44769</v>
      </c>
      <c r="B8" s="13"/>
      <c r="C8" s="13" t="s">
        <v>151</v>
      </c>
      <c r="D8" s="17" t="s">
        <v>8100</v>
      </c>
      <c r="E8" s="13" t="s">
        <v>8101</v>
      </c>
      <c r="F8" s="14" t="s">
        <v>8112</v>
      </c>
      <c r="G8" s="13"/>
      <c r="H8" s="13"/>
      <c r="I8" s="13">
        <v>1</v>
      </c>
      <c r="J8" s="14"/>
      <c r="K8" s="14"/>
      <c r="L8" s="13">
        <v>3</v>
      </c>
      <c r="M8" s="13"/>
      <c r="N8" s="13">
        <v>1</v>
      </c>
      <c r="O8" s="14" t="s">
        <v>95</v>
      </c>
      <c r="P8" s="14" t="s">
        <v>96</v>
      </c>
      <c r="Q8" s="14"/>
      <c r="R8" s="14">
        <v>6</v>
      </c>
      <c r="S8" s="14">
        <v>3</v>
      </c>
      <c r="T8" s="14"/>
      <c r="U8" s="14" t="s">
        <v>22</v>
      </c>
      <c r="V8" s="14">
        <f t="shared" si="0"/>
        <v>0.01</v>
      </c>
      <c r="W8" s="14">
        <f t="shared" si="1"/>
        <v>1664.9999999999998</v>
      </c>
      <c r="X8" s="13" t="s">
        <v>8110</v>
      </c>
      <c r="Y8" s="17"/>
      <c r="Z8" s="17"/>
      <c r="AA8" s="18">
        <v>97.143000000000001</v>
      </c>
      <c r="AB8" s="13"/>
      <c r="AC8" s="13"/>
      <c r="AD8" s="13"/>
      <c r="AE8" s="13"/>
      <c r="AF8" s="13"/>
      <c r="AG8" s="13"/>
      <c r="AH8" s="13"/>
      <c r="AI8" s="19"/>
      <c r="AJ8" s="14"/>
      <c r="AK8" s="13"/>
      <c r="AL8" s="13"/>
      <c r="AM8" s="13"/>
      <c r="AN8" s="13"/>
      <c r="AO8" s="13"/>
      <c r="AP8" s="20"/>
      <c r="AQ8" s="13">
        <f t="shared" si="2"/>
        <v>0</v>
      </c>
      <c r="AR8" s="77"/>
      <c r="AS8" s="21">
        <f t="shared" si="3"/>
        <v>0</v>
      </c>
      <c r="AT8" s="22"/>
      <c r="AU8" s="13"/>
      <c r="AV8" s="13"/>
      <c r="AW8" s="13"/>
      <c r="AX8" s="13"/>
      <c r="AY8" s="13"/>
      <c r="AZ8" s="13"/>
    </row>
    <row r="9" spans="1:52" ht="12.75">
      <c r="A9" s="12">
        <v>44769</v>
      </c>
      <c r="B9" s="13"/>
      <c r="C9" s="13" t="s">
        <v>151</v>
      </c>
      <c r="D9" s="17" t="s">
        <v>8100</v>
      </c>
      <c r="E9" s="13" t="s">
        <v>8101</v>
      </c>
      <c r="F9" s="14" t="s">
        <v>8113</v>
      </c>
      <c r="G9" s="13"/>
      <c r="H9" s="13"/>
      <c r="I9" s="13">
        <v>1</v>
      </c>
      <c r="J9" s="14"/>
      <c r="K9" s="14"/>
      <c r="L9" s="13">
        <v>3</v>
      </c>
      <c r="M9" s="13"/>
      <c r="N9" s="13">
        <v>1</v>
      </c>
      <c r="O9" s="14" t="s">
        <v>95</v>
      </c>
      <c r="P9" s="14" t="s">
        <v>137</v>
      </c>
      <c r="Q9" s="14"/>
      <c r="R9" s="14">
        <v>1</v>
      </c>
      <c r="S9" s="14">
        <v>1</v>
      </c>
      <c r="T9" s="14"/>
      <c r="U9" s="14" t="s">
        <v>22</v>
      </c>
      <c r="V9" s="14">
        <f t="shared" si="0"/>
        <v>0.01</v>
      </c>
      <c r="W9" s="14">
        <f t="shared" si="1"/>
        <v>1664.9999999999998</v>
      </c>
      <c r="X9" s="17" t="s">
        <v>5476</v>
      </c>
      <c r="Y9" s="17"/>
      <c r="Z9" s="17"/>
      <c r="AA9" s="18">
        <v>96.56</v>
      </c>
      <c r="AB9" s="13"/>
      <c r="AC9" s="13"/>
      <c r="AD9" s="13"/>
      <c r="AE9" s="13" t="s">
        <v>8114</v>
      </c>
      <c r="AF9" s="13"/>
      <c r="AG9" s="13"/>
      <c r="AH9" s="13"/>
      <c r="AI9" s="19"/>
      <c r="AJ9" s="14"/>
      <c r="AK9" s="13"/>
      <c r="AL9" s="13"/>
      <c r="AM9" s="13" t="s">
        <v>8115</v>
      </c>
      <c r="AN9" s="12"/>
      <c r="AO9" s="12">
        <v>44769</v>
      </c>
      <c r="AP9" s="20">
        <v>96.58</v>
      </c>
      <c r="AQ9" s="20">
        <f t="shared" si="2"/>
        <v>1.9999999999996021E-2</v>
      </c>
      <c r="AR9" s="77"/>
      <c r="AS9" s="21">
        <f t="shared" si="3"/>
        <v>33.299999999993368</v>
      </c>
      <c r="AT9" s="22"/>
      <c r="AU9" s="13" t="s">
        <v>8116</v>
      </c>
      <c r="AV9" s="13"/>
      <c r="AW9" s="13"/>
      <c r="AX9" s="13"/>
      <c r="AY9" s="13"/>
      <c r="AZ9" s="13"/>
    </row>
    <row r="10" spans="1:52" ht="12.75">
      <c r="A10" s="12">
        <v>44770</v>
      </c>
      <c r="B10" s="13"/>
      <c r="C10" s="13" t="s">
        <v>93</v>
      </c>
      <c r="D10" s="17" t="s">
        <v>8117</v>
      </c>
      <c r="E10" s="13" t="s">
        <v>8101</v>
      </c>
      <c r="F10" s="14"/>
      <c r="G10" s="13"/>
      <c r="H10" s="13"/>
      <c r="I10" s="13">
        <v>1</v>
      </c>
      <c r="J10" s="14"/>
      <c r="K10" s="14"/>
      <c r="L10" s="13">
        <v>3</v>
      </c>
      <c r="M10" s="13"/>
      <c r="N10" s="13">
        <v>1</v>
      </c>
      <c r="O10" s="14"/>
      <c r="P10" s="14"/>
      <c r="Q10" s="14"/>
      <c r="R10" s="14"/>
      <c r="S10" s="14"/>
      <c r="T10" s="14"/>
      <c r="U10" s="14"/>
      <c r="V10" s="14">
        <f t="shared" si="0"/>
        <v>0</v>
      </c>
      <c r="W10" s="14">
        <f t="shared" si="1"/>
        <v>0</v>
      </c>
      <c r="X10" s="17" t="s">
        <v>8118</v>
      </c>
      <c r="Y10" s="17"/>
      <c r="Z10" s="17"/>
      <c r="AA10" s="18"/>
      <c r="AB10" s="13"/>
      <c r="AC10" s="13"/>
      <c r="AD10" s="13"/>
      <c r="AE10" s="13"/>
      <c r="AF10" s="13"/>
      <c r="AG10" s="13"/>
      <c r="AH10" s="13"/>
      <c r="AI10" s="19"/>
      <c r="AJ10" s="14"/>
      <c r="AK10" s="13"/>
      <c r="AL10" s="13"/>
      <c r="AM10" s="13"/>
      <c r="AN10" s="13"/>
      <c r="AO10" s="13"/>
      <c r="AP10" s="20"/>
      <c r="AQ10" s="13">
        <f t="shared" si="2"/>
        <v>0</v>
      </c>
      <c r="AR10" s="77"/>
      <c r="AS10" s="21">
        <f t="shared" si="3"/>
        <v>0</v>
      </c>
      <c r="AT10" s="22"/>
      <c r="AU10" s="13"/>
      <c r="AV10" s="13" t="s">
        <v>8119</v>
      </c>
      <c r="AW10" s="13" t="s">
        <v>8120</v>
      </c>
      <c r="AX10" s="13"/>
      <c r="AY10" s="13"/>
      <c r="AZ10" s="13"/>
    </row>
    <row r="11" spans="1:52" ht="12.75">
      <c r="A11" s="12">
        <v>44771</v>
      </c>
      <c r="B11" s="13"/>
      <c r="C11" s="13" t="s">
        <v>111</v>
      </c>
      <c r="D11" s="17" t="s">
        <v>8121</v>
      </c>
      <c r="E11" s="13" t="s">
        <v>8122</v>
      </c>
      <c r="F11" s="14"/>
      <c r="G11" s="13"/>
      <c r="H11" s="13">
        <v>1</v>
      </c>
      <c r="I11" s="13"/>
      <c r="J11" s="14"/>
      <c r="K11" s="14"/>
      <c r="L11" s="13"/>
      <c r="M11" s="13"/>
      <c r="N11" s="13"/>
      <c r="O11" s="14"/>
      <c r="P11" s="14"/>
      <c r="Q11" s="14"/>
      <c r="R11" s="14"/>
      <c r="S11" s="14"/>
      <c r="T11" s="14"/>
      <c r="U11" s="14"/>
      <c r="V11" s="14">
        <f t="shared" si="0"/>
        <v>0</v>
      </c>
      <c r="W11" s="14">
        <f t="shared" si="1"/>
        <v>0</v>
      </c>
      <c r="X11" s="13" t="s">
        <v>8123</v>
      </c>
      <c r="Y11" s="17"/>
      <c r="Z11" s="17"/>
      <c r="AA11" s="18"/>
      <c r="AB11" s="13"/>
      <c r="AC11" s="13"/>
      <c r="AD11" s="13"/>
      <c r="AE11" s="13"/>
      <c r="AF11" s="13"/>
      <c r="AG11" s="13"/>
      <c r="AH11" s="13"/>
      <c r="AI11" s="19"/>
      <c r="AJ11" s="14"/>
      <c r="AK11" s="13"/>
      <c r="AL11" s="13"/>
      <c r="AM11" s="13"/>
      <c r="AN11" s="13"/>
      <c r="AO11" s="13"/>
      <c r="AP11" s="20"/>
      <c r="AQ11" s="13">
        <f t="shared" si="2"/>
        <v>0</v>
      </c>
      <c r="AR11" s="77"/>
      <c r="AS11" s="21">
        <f t="shared" si="3"/>
        <v>0</v>
      </c>
      <c r="AT11" s="22"/>
      <c r="AU11" s="13"/>
      <c r="AV11" s="13"/>
      <c r="AW11" s="13"/>
      <c r="AX11" s="13"/>
      <c r="AY11" s="13"/>
      <c r="AZ11" s="13"/>
    </row>
    <row r="12" spans="1:52" ht="12.75">
      <c r="A12" s="12">
        <v>44771</v>
      </c>
      <c r="B12" s="13"/>
      <c r="C12" s="13" t="s">
        <v>111</v>
      </c>
      <c r="D12" s="17" t="s">
        <v>8124</v>
      </c>
      <c r="E12" s="13" t="s">
        <v>8122</v>
      </c>
      <c r="F12" s="14"/>
      <c r="G12" s="13"/>
      <c r="H12" s="13"/>
      <c r="I12" s="13"/>
      <c r="J12" s="14"/>
      <c r="K12" s="14"/>
      <c r="L12" s="13"/>
      <c r="M12" s="13"/>
      <c r="N12" s="13"/>
      <c r="O12" s="14"/>
      <c r="P12" s="14"/>
      <c r="Q12" s="14"/>
      <c r="R12" s="14"/>
      <c r="S12" s="14"/>
      <c r="T12" s="14"/>
      <c r="U12" s="14"/>
      <c r="V12" s="14">
        <f t="shared" si="0"/>
        <v>0</v>
      </c>
      <c r="W12" s="14">
        <f t="shared" si="1"/>
        <v>0</v>
      </c>
      <c r="X12" s="17"/>
      <c r="Y12" s="17"/>
      <c r="Z12" s="17"/>
      <c r="AA12" s="18"/>
      <c r="AB12" s="13"/>
      <c r="AC12" s="13"/>
      <c r="AD12" s="13"/>
      <c r="AE12" s="13"/>
      <c r="AF12" s="13"/>
      <c r="AG12" s="13"/>
      <c r="AH12" s="13"/>
      <c r="AI12" s="19"/>
      <c r="AJ12" s="14"/>
      <c r="AK12" s="13"/>
      <c r="AL12" s="13"/>
      <c r="AM12" s="13"/>
      <c r="AN12" s="13"/>
      <c r="AO12" s="13"/>
      <c r="AP12" s="20"/>
      <c r="AQ12" s="13">
        <f t="shared" si="2"/>
        <v>0</v>
      </c>
      <c r="AR12" s="77"/>
      <c r="AS12" s="21">
        <f t="shared" si="3"/>
        <v>0</v>
      </c>
      <c r="AT12" s="22"/>
      <c r="AU12" s="13"/>
      <c r="AV12" s="13"/>
      <c r="AW12" s="13"/>
      <c r="AX12" s="13"/>
      <c r="AY12" s="13"/>
      <c r="AZ12" s="13"/>
    </row>
    <row r="13" spans="1:52" ht="12.75">
      <c r="A13" s="12"/>
      <c r="B13" s="13"/>
      <c r="C13" s="13"/>
      <c r="D13" s="17"/>
      <c r="E13" s="13"/>
      <c r="F13" s="14"/>
      <c r="G13" s="13"/>
      <c r="H13" s="13"/>
      <c r="I13" s="13"/>
      <c r="J13" s="14"/>
      <c r="K13" s="14"/>
      <c r="L13" s="13"/>
      <c r="M13" s="13"/>
      <c r="N13" s="13"/>
      <c r="O13" s="14"/>
      <c r="P13" s="14"/>
      <c r="Q13" s="14"/>
      <c r="R13" s="14"/>
      <c r="S13" s="14"/>
      <c r="T13" s="14"/>
      <c r="U13" s="14"/>
      <c r="V13" s="14"/>
      <c r="W13" s="14"/>
      <c r="X13" s="17"/>
      <c r="Y13" s="17"/>
      <c r="Z13" s="17"/>
      <c r="AA13" s="18"/>
      <c r="AB13" s="13"/>
      <c r="AC13" s="13"/>
      <c r="AD13" s="13"/>
      <c r="AE13" s="13"/>
      <c r="AF13" s="13"/>
      <c r="AG13" s="13"/>
      <c r="AH13" s="13"/>
      <c r="AI13" s="19"/>
      <c r="AJ13" s="14"/>
      <c r="AK13" s="13"/>
      <c r="AL13" s="13"/>
      <c r="AM13" s="13"/>
      <c r="AN13" s="13"/>
      <c r="AO13" s="13"/>
      <c r="AP13" s="20"/>
      <c r="AQ13" s="13"/>
      <c r="AR13" s="89"/>
      <c r="AS13" s="21"/>
      <c r="AT13" s="22"/>
      <c r="AU13" s="13"/>
      <c r="AV13" s="13"/>
      <c r="AW13" s="13"/>
      <c r="AX13" s="13"/>
      <c r="AY13" s="13"/>
      <c r="AZ13" s="13"/>
    </row>
    <row r="14" spans="1:52" ht="12.75">
      <c r="A14" s="81">
        <v>44795</v>
      </c>
      <c r="B14" s="82"/>
      <c r="C14" s="82"/>
      <c r="D14" s="82"/>
      <c r="E14" s="82"/>
      <c r="F14" s="83"/>
      <c r="G14" s="82"/>
      <c r="H14" s="82"/>
      <c r="I14" s="82"/>
      <c r="J14" s="82"/>
      <c r="K14" s="82"/>
      <c r="L14" s="82"/>
      <c r="M14" s="82"/>
      <c r="N14" s="82"/>
      <c r="O14" s="83"/>
      <c r="P14" s="83"/>
      <c r="Q14" s="83"/>
      <c r="R14" s="83"/>
      <c r="S14" s="83"/>
      <c r="T14" s="83"/>
      <c r="U14" s="83"/>
      <c r="V14" s="83"/>
      <c r="W14" s="83"/>
      <c r="X14" s="82"/>
      <c r="Y14" s="82"/>
      <c r="Z14" s="82"/>
      <c r="AA14" s="84"/>
      <c r="AB14" s="82"/>
      <c r="AC14" s="82"/>
      <c r="AD14" s="82"/>
      <c r="AE14" s="82"/>
      <c r="AF14" s="82"/>
      <c r="AG14" s="82"/>
      <c r="AH14" s="82"/>
      <c r="AI14" s="85"/>
      <c r="AJ14" s="83"/>
      <c r="AK14" s="82"/>
      <c r="AL14" s="82"/>
      <c r="AM14" s="82"/>
      <c r="AN14" s="82"/>
      <c r="AO14" s="82"/>
      <c r="AP14" s="84"/>
      <c r="AQ14" s="82"/>
      <c r="AR14" s="86"/>
      <c r="AS14" s="90"/>
      <c r="AT14" s="91"/>
      <c r="AU14" s="82"/>
      <c r="AV14" s="82"/>
      <c r="AW14" s="82"/>
      <c r="AX14" s="82"/>
      <c r="AY14" s="82"/>
      <c r="AZ14" s="82"/>
    </row>
    <row r="15" spans="1:52" ht="12.75">
      <c r="A15" s="12">
        <v>44774</v>
      </c>
      <c r="B15" s="13"/>
      <c r="C15" s="13" t="s">
        <v>132</v>
      </c>
      <c r="D15" s="17"/>
      <c r="E15" s="13"/>
      <c r="F15" s="14" t="s">
        <v>8125</v>
      </c>
      <c r="G15" s="13"/>
      <c r="H15" s="13"/>
      <c r="I15" s="13"/>
      <c r="J15" s="14"/>
      <c r="K15" s="14"/>
      <c r="L15" s="13">
        <v>3</v>
      </c>
      <c r="M15" s="13"/>
      <c r="N15" s="13"/>
      <c r="O15" s="14" t="s">
        <v>95</v>
      </c>
      <c r="P15" s="14" t="s">
        <v>96</v>
      </c>
      <c r="Q15" s="14" t="s">
        <v>684</v>
      </c>
      <c r="R15" s="14">
        <v>4</v>
      </c>
      <c r="S15" s="14">
        <v>4</v>
      </c>
      <c r="T15" s="14"/>
      <c r="U15" s="14" t="s">
        <v>22</v>
      </c>
      <c r="V15" s="14">
        <f t="shared" ref="V15:V45" si="4">IF(ISBLANK(O15),,(IF(O15=UPPER("IB"),0.005,0.01)))</f>
        <v>0.01</v>
      </c>
      <c r="W15" s="14">
        <f t="shared" ref="W15:W45" si="5">IF(ISBLANK(O15),,IF(O15=UPPER("IB"),8.63*200,16.65*100))</f>
        <v>1664.9999999999998</v>
      </c>
      <c r="X15" s="13" t="s">
        <v>8126</v>
      </c>
      <c r="Y15" s="17"/>
      <c r="Z15" s="17"/>
      <c r="AA15" s="18">
        <v>96.438000000000002</v>
      </c>
      <c r="AB15" s="13"/>
      <c r="AC15" s="13" t="s">
        <v>8127</v>
      </c>
      <c r="AD15" s="13"/>
      <c r="AE15" s="13" t="s">
        <v>8128</v>
      </c>
      <c r="AF15" s="13"/>
      <c r="AG15" s="13"/>
      <c r="AH15" s="13"/>
      <c r="AI15" s="19"/>
      <c r="AJ15" s="14"/>
      <c r="AK15" s="13"/>
      <c r="AL15" s="13"/>
      <c r="AM15" s="13" t="s">
        <v>8129</v>
      </c>
      <c r="AN15" s="13" t="s">
        <v>115</v>
      </c>
      <c r="AO15" s="26">
        <v>44774</v>
      </c>
      <c r="AP15" s="20">
        <v>96.626999999999995</v>
      </c>
      <c r="AQ15" s="20">
        <f t="shared" ref="AQ15:AQ22" si="6">IF(ISBLANK(AP15),,IF(U15="S",AA15-AP15,AP15-AA15))</f>
        <v>0.18899999999999295</v>
      </c>
      <c r="AR15" s="92">
        <f t="shared" ref="AR15:AR22" si="7">AS15*R15</f>
        <v>1258.7399999999529</v>
      </c>
      <c r="AS15" s="21">
        <f t="shared" ref="AS15:AS22" si="8">IF(ISBLANK(AP15),,(AQ15*W15))</f>
        <v>314.68499999998824</v>
      </c>
      <c r="AT15" s="22" t="s">
        <v>96</v>
      </c>
      <c r="AU15" s="13" t="s">
        <v>8116</v>
      </c>
      <c r="AV15" s="13" t="s">
        <v>8130</v>
      </c>
      <c r="AW15" s="13" t="s">
        <v>8131</v>
      </c>
      <c r="AX15" s="13"/>
      <c r="AY15" s="13"/>
      <c r="AZ15" s="13"/>
    </row>
    <row r="16" spans="1:52" ht="12.75">
      <c r="A16" s="12">
        <v>44774</v>
      </c>
      <c r="B16" s="13"/>
      <c r="C16" s="13" t="s">
        <v>132</v>
      </c>
      <c r="D16" s="17"/>
      <c r="E16" s="13"/>
      <c r="F16" s="14" t="s">
        <v>8132</v>
      </c>
      <c r="G16" s="13"/>
      <c r="H16" s="13"/>
      <c r="I16" s="13"/>
      <c r="J16" s="14"/>
      <c r="K16" s="14"/>
      <c r="L16" s="13">
        <v>3</v>
      </c>
      <c r="M16" s="13"/>
      <c r="N16" s="13"/>
      <c r="O16" s="14" t="s">
        <v>95</v>
      </c>
      <c r="P16" s="14" t="s">
        <v>96</v>
      </c>
      <c r="Q16" s="14" t="s">
        <v>684</v>
      </c>
      <c r="R16" s="14">
        <v>3</v>
      </c>
      <c r="S16" s="14">
        <v>3</v>
      </c>
      <c r="T16" s="14"/>
      <c r="U16" s="14" t="s">
        <v>22</v>
      </c>
      <c r="V16" s="14">
        <f t="shared" si="4"/>
        <v>0.01</v>
      </c>
      <c r="W16" s="14">
        <f t="shared" si="5"/>
        <v>1664.9999999999998</v>
      </c>
      <c r="X16" s="13" t="s">
        <v>8126</v>
      </c>
      <c r="Y16" s="17"/>
      <c r="Z16" s="17"/>
      <c r="AA16" s="18">
        <v>97.156999999999996</v>
      </c>
      <c r="AB16" s="13"/>
      <c r="AC16" s="13" t="s">
        <v>8127</v>
      </c>
      <c r="AD16" s="13"/>
      <c r="AE16" s="13" t="s">
        <v>8128</v>
      </c>
      <c r="AF16" s="13"/>
      <c r="AG16" s="13"/>
      <c r="AH16" s="13"/>
      <c r="AI16" s="19"/>
      <c r="AJ16" s="14"/>
      <c r="AK16" s="13"/>
      <c r="AL16" s="13"/>
      <c r="AM16" s="13" t="s">
        <v>8129</v>
      </c>
      <c r="AN16" s="13" t="s">
        <v>115</v>
      </c>
      <c r="AO16" s="26">
        <v>44774</v>
      </c>
      <c r="AP16" s="20">
        <v>97.313000000000002</v>
      </c>
      <c r="AQ16" s="20">
        <f t="shared" si="6"/>
        <v>0.15600000000000591</v>
      </c>
      <c r="AR16" s="92">
        <f t="shared" si="7"/>
        <v>779.22000000002936</v>
      </c>
      <c r="AS16" s="21">
        <f t="shared" si="8"/>
        <v>259.74000000000979</v>
      </c>
      <c r="AT16" s="22" t="s">
        <v>96</v>
      </c>
      <c r="AU16" s="13" t="s">
        <v>8116</v>
      </c>
      <c r="AV16" s="13" t="s">
        <v>8130</v>
      </c>
      <c r="AW16" s="17" t="s">
        <v>2182</v>
      </c>
      <c r="AX16" s="13"/>
      <c r="AY16" s="13"/>
      <c r="AZ16" s="13"/>
    </row>
    <row r="17" spans="1:52" ht="12.75">
      <c r="A17" s="12">
        <v>44774</v>
      </c>
      <c r="B17" s="13"/>
      <c r="C17" s="13" t="s">
        <v>132</v>
      </c>
      <c r="D17" s="17"/>
      <c r="E17" s="13"/>
      <c r="F17" s="14" t="s">
        <v>8133</v>
      </c>
      <c r="G17" s="13"/>
      <c r="H17" s="13"/>
      <c r="I17" s="13"/>
      <c r="J17" s="14"/>
      <c r="K17" s="14"/>
      <c r="L17" s="13">
        <v>3</v>
      </c>
      <c r="M17" s="13"/>
      <c r="N17" s="13"/>
      <c r="O17" s="14" t="s">
        <v>95</v>
      </c>
      <c r="P17" s="14" t="s">
        <v>96</v>
      </c>
      <c r="Q17" s="14" t="s">
        <v>684</v>
      </c>
      <c r="R17" s="14">
        <v>2</v>
      </c>
      <c r="S17" s="14">
        <v>2</v>
      </c>
      <c r="T17" s="14"/>
      <c r="U17" s="14" t="s">
        <v>22</v>
      </c>
      <c r="V17" s="14">
        <f t="shared" si="4"/>
        <v>0.01</v>
      </c>
      <c r="W17" s="14">
        <f t="shared" si="5"/>
        <v>1664.9999999999998</v>
      </c>
      <c r="X17" s="13" t="s">
        <v>8126</v>
      </c>
      <c r="Y17" s="17"/>
      <c r="Z17" s="17"/>
      <c r="AA17" s="18">
        <v>96.322999999999993</v>
      </c>
      <c r="AB17" s="13"/>
      <c r="AC17" s="13" t="s">
        <v>8127</v>
      </c>
      <c r="AD17" s="13"/>
      <c r="AE17" s="13" t="s">
        <v>8128</v>
      </c>
      <c r="AF17" s="13"/>
      <c r="AG17" s="13"/>
      <c r="AH17" s="13"/>
      <c r="AI17" s="19"/>
      <c r="AJ17" s="14"/>
      <c r="AK17" s="13"/>
      <c r="AL17" s="13"/>
      <c r="AM17" s="13" t="s">
        <v>8129</v>
      </c>
      <c r="AN17" s="13" t="s">
        <v>115</v>
      </c>
      <c r="AO17" s="26">
        <v>44774</v>
      </c>
      <c r="AP17" s="20">
        <v>96.54</v>
      </c>
      <c r="AQ17" s="20">
        <f t="shared" si="6"/>
        <v>0.21700000000001296</v>
      </c>
      <c r="AR17" s="92">
        <f t="shared" si="7"/>
        <v>722.6100000000431</v>
      </c>
      <c r="AS17" s="21">
        <f t="shared" si="8"/>
        <v>361.30500000002155</v>
      </c>
      <c r="AT17" s="22" t="s">
        <v>96</v>
      </c>
      <c r="AU17" s="13" t="s">
        <v>8116</v>
      </c>
      <c r="AV17" s="13" t="s">
        <v>8130</v>
      </c>
      <c r="AW17" s="17" t="s">
        <v>2182</v>
      </c>
      <c r="AX17" s="13"/>
      <c r="AY17" s="13"/>
      <c r="AZ17" s="13"/>
    </row>
    <row r="18" spans="1:52" ht="12.75">
      <c r="A18" s="12">
        <v>44774</v>
      </c>
      <c r="B18" s="13"/>
      <c r="C18" s="13" t="s">
        <v>132</v>
      </c>
      <c r="D18" s="17"/>
      <c r="E18" s="13"/>
      <c r="F18" s="14" t="s">
        <v>8134</v>
      </c>
      <c r="G18" s="13"/>
      <c r="H18" s="13"/>
      <c r="I18" s="13"/>
      <c r="J18" s="14"/>
      <c r="K18" s="14"/>
      <c r="L18" s="13">
        <v>3</v>
      </c>
      <c r="M18" s="13"/>
      <c r="N18" s="13"/>
      <c r="O18" s="14" t="s">
        <v>95</v>
      </c>
      <c r="P18" s="14" t="s">
        <v>96</v>
      </c>
      <c r="Q18" s="14" t="s">
        <v>684</v>
      </c>
      <c r="R18" s="14">
        <v>1</v>
      </c>
      <c r="S18" s="14">
        <v>1</v>
      </c>
      <c r="T18" s="14"/>
      <c r="U18" s="14" t="s">
        <v>22</v>
      </c>
      <c r="V18" s="14">
        <f t="shared" si="4"/>
        <v>0.01</v>
      </c>
      <c r="W18" s="14">
        <f t="shared" si="5"/>
        <v>1664.9999999999998</v>
      </c>
      <c r="X18" s="13" t="s">
        <v>8126</v>
      </c>
      <c r="Y18" s="17"/>
      <c r="Z18" s="17"/>
      <c r="AA18" s="18">
        <v>96.38</v>
      </c>
      <c r="AB18" s="13"/>
      <c r="AC18" s="13" t="s">
        <v>8127</v>
      </c>
      <c r="AD18" s="13"/>
      <c r="AE18" s="13" t="s">
        <v>8128</v>
      </c>
      <c r="AF18" s="13"/>
      <c r="AG18" s="13"/>
      <c r="AH18" s="13"/>
      <c r="AI18" s="19"/>
      <c r="AJ18" s="14"/>
      <c r="AK18" s="13"/>
      <c r="AL18" s="13"/>
      <c r="AM18" s="13" t="s">
        <v>8129</v>
      </c>
      <c r="AN18" s="13" t="s">
        <v>115</v>
      </c>
      <c r="AO18" s="26">
        <v>44774</v>
      </c>
      <c r="AP18" s="20">
        <v>96.61</v>
      </c>
      <c r="AQ18" s="20">
        <f t="shared" si="6"/>
        <v>0.23000000000000398</v>
      </c>
      <c r="AR18" s="92">
        <f t="shared" si="7"/>
        <v>382.95000000000658</v>
      </c>
      <c r="AS18" s="21">
        <f t="shared" si="8"/>
        <v>382.95000000000658</v>
      </c>
      <c r="AT18" s="22" t="s">
        <v>96</v>
      </c>
      <c r="AU18" s="13" t="s">
        <v>8116</v>
      </c>
      <c r="AV18" s="13" t="s">
        <v>8130</v>
      </c>
      <c r="AW18" s="17" t="s">
        <v>2182</v>
      </c>
      <c r="AX18" s="13"/>
      <c r="AY18" s="13"/>
      <c r="AZ18" s="13"/>
    </row>
    <row r="19" spans="1:52" ht="12.75">
      <c r="A19" s="12">
        <v>44774</v>
      </c>
      <c r="B19" s="13"/>
      <c r="C19" s="13" t="s">
        <v>132</v>
      </c>
      <c r="D19" s="17"/>
      <c r="E19" s="13"/>
      <c r="F19" s="14" t="s">
        <v>8102</v>
      </c>
      <c r="G19" s="13"/>
      <c r="H19" s="13"/>
      <c r="I19" s="13"/>
      <c r="J19" s="14"/>
      <c r="K19" s="14"/>
      <c r="L19" s="13"/>
      <c r="M19" s="13"/>
      <c r="N19" s="13">
        <v>3</v>
      </c>
      <c r="O19" s="14" t="s">
        <v>95</v>
      </c>
      <c r="P19" s="14" t="s">
        <v>137</v>
      </c>
      <c r="Q19" s="14" t="s">
        <v>684</v>
      </c>
      <c r="R19" s="14">
        <v>2</v>
      </c>
      <c r="S19" s="14">
        <v>2</v>
      </c>
      <c r="T19" s="14"/>
      <c r="U19" s="14" t="s">
        <v>97</v>
      </c>
      <c r="V19" s="14">
        <f t="shared" si="4"/>
        <v>0.01</v>
      </c>
      <c r="W19" s="14">
        <f t="shared" si="5"/>
        <v>1664.9999999999998</v>
      </c>
      <c r="X19" s="13" t="s">
        <v>8135</v>
      </c>
      <c r="Y19" s="17" t="s">
        <v>8136</v>
      </c>
      <c r="Z19" s="17"/>
      <c r="AA19" s="18">
        <v>96.775000000000006</v>
      </c>
      <c r="AB19" s="13"/>
      <c r="AC19" s="13"/>
      <c r="AD19" s="13"/>
      <c r="AE19" s="13" t="s">
        <v>529</v>
      </c>
      <c r="AF19" s="13"/>
      <c r="AG19" s="13"/>
      <c r="AH19" s="13"/>
      <c r="AI19" s="19"/>
      <c r="AJ19" s="14"/>
      <c r="AK19" s="13"/>
      <c r="AL19" s="13"/>
      <c r="AM19" s="13">
        <v>1</v>
      </c>
      <c r="AN19" s="13" t="s">
        <v>115</v>
      </c>
      <c r="AO19" s="13"/>
      <c r="AP19" s="20">
        <v>96.7</v>
      </c>
      <c r="AQ19" s="20">
        <f t="shared" si="6"/>
        <v>7.5000000000002842E-2</v>
      </c>
      <c r="AR19" s="92">
        <f t="shared" si="7"/>
        <v>249.75000000000944</v>
      </c>
      <c r="AS19" s="21">
        <f t="shared" si="8"/>
        <v>124.87500000000472</v>
      </c>
      <c r="AT19" s="22" t="s">
        <v>96</v>
      </c>
      <c r="AU19" s="13" t="s">
        <v>8137</v>
      </c>
      <c r="AV19" s="13" t="s">
        <v>8138</v>
      </c>
      <c r="AW19" s="13" t="s">
        <v>8139</v>
      </c>
      <c r="AX19" s="13" t="s">
        <v>8140</v>
      </c>
      <c r="AY19" s="17" t="s">
        <v>940</v>
      </c>
      <c r="AZ19" s="13"/>
    </row>
    <row r="20" spans="1:52" ht="12.75">
      <c r="A20" s="12">
        <v>44774</v>
      </c>
      <c r="B20" s="13"/>
      <c r="C20" s="13" t="s">
        <v>132</v>
      </c>
      <c r="D20" s="17"/>
      <c r="E20" s="13"/>
      <c r="F20" s="14" t="s">
        <v>8134</v>
      </c>
      <c r="G20" s="13"/>
      <c r="H20" s="13"/>
      <c r="I20" s="13"/>
      <c r="J20" s="14"/>
      <c r="K20" s="14"/>
      <c r="L20" s="13"/>
      <c r="M20" s="13"/>
      <c r="N20" s="13">
        <v>3</v>
      </c>
      <c r="O20" s="14" t="s">
        <v>95</v>
      </c>
      <c r="P20" s="14" t="s">
        <v>96</v>
      </c>
      <c r="Q20" s="14"/>
      <c r="R20" s="14">
        <v>2</v>
      </c>
      <c r="S20" s="14">
        <v>2</v>
      </c>
      <c r="T20" s="14"/>
      <c r="U20" s="14" t="s">
        <v>97</v>
      </c>
      <c r="V20" s="14">
        <f t="shared" si="4"/>
        <v>0.01</v>
      </c>
      <c r="W20" s="14">
        <f t="shared" si="5"/>
        <v>1664.9999999999998</v>
      </c>
      <c r="X20" s="13" t="s">
        <v>8135</v>
      </c>
      <c r="Y20" s="17" t="s">
        <v>8136</v>
      </c>
      <c r="Z20" s="17"/>
      <c r="AA20" s="18">
        <v>96.65</v>
      </c>
      <c r="AB20" s="13"/>
      <c r="AC20" s="13"/>
      <c r="AD20" s="13"/>
      <c r="AE20" s="13" t="s">
        <v>8141</v>
      </c>
      <c r="AF20" s="13"/>
      <c r="AG20" s="13"/>
      <c r="AH20" s="13"/>
      <c r="AI20" s="19"/>
      <c r="AJ20" s="14"/>
      <c r="AK20" s="13"/>
      <c r="AL20" s="13"/>
      <c r="AM20" s="13">
        <v>1</v>
      </c>
      <c r="AN20" s="13"/>
      <c r="AO20" s="13"/>
      <c r="AP20" s="20">
        <v>96.65</v>
      </c>
      <c r="AQ20" s="20">
        <f t="shared" si="6"/>
        <v>0</v>
      </c>
      <c r="AR20" s="92">
        <f t="shared" si="7"/>
        <v>0</v>
      </c>
      <c r="AS20" s="21">
        <f t="shared" si="8"/>
        <v>0</v>
      </c>
      <c r="AT20" s="22"/>
      <c r="AU20" s="13" t="s">
        <v>8142</v>
      </c>
      <c r="AV20" s="13"/>
      <c r="AW20" s="13" t="s">
        <v>8139</v>
      </c>
      <c r="AX20" s="13" t="s">
        <v>8143</v>
      </c>
      <c r="AY20" s="17" t="s">
        <v>940</v>
      </c>
      <c r="AZ20" s="13"/>
    </row>
    <row r="21" spans="1:52" ht="12.75">
      <c r="A21" s="12">
        <v>44775</v>
      </c>
      <c r="B21" s="13"/>
      <c r="C21" s="13" t="s">
        <v>146</v>
      </c>
      <c r="D21" s="17" t="s">
        <v>8144</v>
      </c>
      <c r="E21" s="13" t="s">
        <v>8145</v>
      </c>
      <c r="F21" s="14" t="s">
        <v>8132</v>
      </c>
      <c r="G21" s="13"/>
      <c r="H21" s="13">
        <v>1</v>
      </c>
      <c r="I21" s="13"/>
      <c r="J21" s="14"/>
      <c r="K21" s="14"/>
      <c r="L21" s="13"/>
      <c r="M21" s="13">
        <v>3</v>
      </c>
      <c r="N21" s="13"/>
      <c r="O21" s="14" t="s">
        <v>95</v>
      </c>
      <c r="P21" s="14" t="s">
        <v>96</v>
      </c>
      <c r="Q21" s="14" t="s">
        <v>684</v>
      </c>
      <c r="R21" s="14">
        <v>2</v>
      </c>
      <c r="S21" s="14">
        <v>2</v>
      </c>
      <c r="T21" s="14"/>
      <c r="U21" s="14" t="s">
        <v>22</v>
      </c>
      <c r="V21" s="14">
        <f t="shared" si="4"/>
        <v>0.01</v>
      </c>
      <c r="W21" s="14">
        <f t="shared" si="5"/>
        <v>1664.9999999999998</v>
      </c>
      <c r="X21" s="17"/>
      <c r="Y21" s="17" t="s">
        <v>8146</v>
      </c>
      <c r="Z21" s="17"/>
      <c r="AA21" s="18">
        <v>97.33</v>
      </c>
      <c r="AB21" s="93"/>
      <c r="AC21" s="93" t="s">
        <v>8147</v>
      </c>
      <c r="AD21" s="13"/>
      <c r="AE21" s="13" t="s">
        <v>8148</v>
      </c>
      <c r="AF21" s="13"/>
      <c r="AG21" s="13"/>
      <c r="AH21" s="13"/>
      <c r="AI21" s="19"/>
      <c r="AJ21" s="14"/>
      <c r="AK21" s="13"/>
      <c r="AL21" s="13"/>
      <c r="AM21" s="13">
        <v>1</v>
      </c>
      <c r="AN21" s="13" t="s">
        <v>115</v>
      </c>
      <c r="AO21" s="13"/>
      <c r="AP21" s="20">
        <v>97.3</v>
      </c>
      <c r="AQ21" s="20">
        <f t="shared" si="6"/>
        <v>-3.0000000000001137E-2</v>
      </c>
      <c r="AR21" s="92">
        <f t="shared" si="7"/>
        <v>-99.900000000003772</v>
      </c>
      <c r="AS21" s="21">
        <f t="shared" si="8"/>
        <v>-49.950000000001886</v>
      </c>
      <c r="AT21" s="22" t="s">
        <v>229</v>
      </c>
      <c r="AU21" s="17" t="s">
        <v>8149</v>
      </c>
      <c r="AV21" s="17" t="s">
        <v>8150</v>
      </c>
      <c r="AW21" s="17" t="s">
        <v>8151</v>
      </c>
      <c r="AX21" s="17" t="s">
        <v>8152</v>
      </c>
      <c r="AY21" s="13" t="s">
        <v>8153</v>
      </c>
      <c r="AZ21" s="17" t="s">
        <v>8154</v>
      </c>
    </row>
    <row r="22" spans="1:52" ht="12.75">
      <c r="A22" s="12">
        <v>44781</v>
      </c>
      <c r="B22" s="13"/>
      <c r="C22" s="13" t="s">
        <v>132</v>
      </c>
      <c r="D22" s="17"/>
      <c r="E22" s="13"/>
      <c r="F22" s="14" t="s">
        <v>8125</v>
      </c>
      <c r="G22" s="13"/>
      <c r="H22" s="13"/>
      <c r="I22" s="13"/>
      <c r="J22" s="14"/>
      <c r="K22" s="14"/>
      <c r="L22" s="13">
        <v>2</v>
      </c>
      <c r="M22" s="13"/>
      <c r="N22" s="13">
        <v>3</v>
      </c>
      <c r="O22" s="14" t="s">
        <v>95</v>
      </c>
      <c r="P22" s="14" t="s">
        <v>96</v>
      </c>
      <c r="Q22" s="14" t="s">
        <v>684</v>
      </c>
      <c r="R22" s="14">
        <v>6</v>
      </c>
      <c r="S22" s="14">
        <v>6</v>
      </c>
      <c r="T22" s="14"/>
      <c r="U22" s="14" t="s">
        <v>97</v>
      </c>
      <c r="V22" s="14">
        <f t="shared" si="4"/>
        <v>0.01</v>
      </c>
      <c r="W22" s="14">
        <f t="shared" si="5"/>
        <v>1664.9999999999998</v>
      </c>
      <c r="X22" s="13" t="s">
        <v>8155</v>
      </c>
      <c r="Y22" s="17"/>
      <c r="Z22" s="17"/>
      <c r="AA22" s="18">
        <v>96.433000000000007</v>
      </c>
      <c r="AB22" s="13"/>
      <c r="AC22" s="13" t="s">
        <v>8156</v>
      </c>
      <c r="AD22" s="13" t="s">
        <v>8157</v>
      </c>
      <c r="AE22" s="13" t="s">
        <v>8158</v>
      </c>
      <c r="AF22" s="13"/>
      <c r="AG22" s="13"/>
      <c r="AH22" s="13"/>
      <c r="AI22" s="19"/>
      <c r="AJ22" s="14"/>
      <c r="AK22" s="13"/>
      <c r="AL22" s="13"/>
      <c r="AM22" s="13"/>
      <c r="AN22" s="13" t="s">
        <v>115</v>
      </c>
      <c r="AO22" s="13"/>
      <c r="AP22" s="20">
        <v>96.47</v>
      </c>
      <c r="AQ22" s="20">
        <f t="shared" si="6"/>
        <v>-3.6999999999991928E-2</v>
      </c>
      <c r="AR22" s="92">
        <f t="shared" si="7"/>
        <v>-369.62999999991933</v>
      </c>
      <c r="AS22" s="21">
        <f t="shared" si="8"/>
        <v>-61.604999999986553</v>
      </c>
      <c r="AT22" s="22" t="s">
        <v>229</v>
      </c>
      <c r="AU22" s="17" t="s">
        <v>8159</v>
      </c>
      <c r="AV22" s="13" t="s">
        <v>8160</v>
      </c>
      <c r="AW22" s="17" t="s">
        <v>8161</v>
      </c>
      <c r="AX22" s="17" t="s">
        <v>8152</v>
      </c>
      <c r="AY22" s="17" t="s">
        <v>8162</v>
      </c>
      <c r="AZ22" s="13"/>
    </row>
    <row r="23" spans="1:52" ht="12.75">
      <c r="A23" s="12">
        <v>44782</v>
      </c>
      <c r="B23" s="13"/>
      <c r="C23" s="13" t="s">
        <v>146</v>
      </c>
      <c r="D23" s="17" t="s">
        <v>8163</v>
      </c>
      <c r="E23" s="13" t="s">
        <v>8164</v>
      </c>
      <c r="F23" s="14"/>
      <c r="G23" s="13"/>
      <c r="H23" s="13">
        <v>1</v>
      </c>
      <c r="I23" s="13"/>
      <c r="J23" s="14"/>
      <c r="K23" s="14"/>
      <c r="L23" s="13"/>
      <c r="M23" s="13"/>
      <c r="N23" s="13"/>
      <c r="O23" s="14"/>
      <c r="P23" s="14"/>
      <c r="Q23" s="14"/>
      <c r="R23" s="14"/>
      <c r="S23" s="14"/>
      <c r="T23" s="14"/>
      <c r="U23" s="14"/>
      <c r="V23" s="14">
        <f t="shared" si="4"/>
        <v>0</v>
      </c>
      <c r="W23" s="14">
        <f t="shared" si="5"/>
        <v>0</v>
      </c>
      <c r="X23" s="17"/>
      <c r="Y23" s="17"/>
      <c r="Z23" s="17"/>
      <c r="AA23" s="18"/>
      <c r="AB23" s="13"/>
      <c r="AC23" s="13"/>
      <c r="AD23" s="13"/>
      <c r="AE23" s="13"/>
      <c r="AF23" s="13"/>
      <c r="AG23" s="13"/>
      <c r="AH23" s="13"/>
      <c r="AI23" s="19"/>
      <c r="AJ23" s="14"/>
      <c r="AK23" s="13"/>
      <c r="AL23" s="13"/>
      <c r="AM23" s="13"/>
      <c r="AN23" s="13"/>
      <c r="AO23" s="13"/>
      <c r="AP23" s="20"/>
      <c r="AQ23" s="13"/>
      <c r="AR23" s="92"/>
      <c r="AS23" s="21"/>
      <c r="AT23" s="22"/>
      <c r="AU23" s="13"/>
      <c r="AV23" s="13"/>
      <c r="AW23" s="13"/>
      <c r="AX23" s="13"/>
      <c r="AY23" s="13"/>
      <c r="AZ23" s="13"/>
    </row>
    <row r="24" spans="1:52" ht="12.75">
      <c r="A24" s="12">
        <v>44783</v>
      </c>
      <c r="B24" s="13"/>
      <c r="C24" s="13" t="s">
        <v>151</v>
      </c>
      <c r="D24" s="17"/>
      <c r="E24" s="13"/>
      <c r="F24" s="14" t="s">
        <v>8134</v>
      </c>
      <c r="G24" s="13"/>
      <c r="H24" s="13"/>
      <c r="I24" s="13"/>
      <c r="J24" s="14"/>
      <c r="K24" s="14"/>
      <c r="L24" s="13"/>
      <c r="M24" s="13">
        <v>3</v>
      </c>
      <c r="N24" s="13"/>
      <c r="O24" s="14" t="s">
        <v>95</v>
      </c>
      <c r="P24" s="14" t="s">
        <v>96</v>
      </c>
      <c r="Q24" s="14" t="s">
        <v>684</v>
      </c>
      <c r="R24" s="14">
        <v>2</v>
      </c>
      <c r="S24" s="14">
        <v>2</v>
      </c>
      <c r="T24" s="14"/>
      <c r="U24" s="14" t="s">
        <v>22</v>
      </c>
      <c r="V24" s="14">
        <f t="shared" si="4"/>
        <v>0.01</v>
      </c>
      <c r="W24" s="14">
        <f t="shared" si="5"/>
        <v>1664.9999999999998</v>
      </c>
      <c r="X24" s="17"/>
      <c r="Y24" s="17" t="s">
        <v>8165</v>
      </c>
      <c r="Z24" s="17"/>
      <c r="AA24" s="18">
        <v>96.265000000000001</v>
      </c>
      <c r="AB24" s="93"/>
      <c r="AC24" s="93" t="s">
        <v>8166</v>
      </c>
      <c r="AD24" s="13" t="s">
        <v>8167</v>
      </c>
      <c r="AE24" s="13" t="s">
        <v>8168</v>
      </c>
      <c r="AF24" s="13"/>
      <c r="AG24" s="13"/>
      <c r="AH24" s="13"/>
      <c r="AI24" s="19"/>
      <c r="AJ24" s="14"/>
      <c r="AK24" s="13"/>
      <c r="AL24" s="13"/>
      <c r="AM24" s="13"/>
      <c r="AN24" s="13" t="s">
        <v>115</v>
      </c>
      <c r="AO24" s="13"/>
      <c r="AP24" s="20">
        <v>96.21</v>
      </c>
      <c r="AQ24" s="20">
        <f>IF(ISBLANK(AP24),,IF(U24="S",AA24-AP24,AP24-AA24))</f>
        <v>-5.5000000000006821E-2</v>
      </c>
      <c r="AR24" s="92">
        <f>AS24*R24</f>
        <v>-183.15000000002269</v>
      </c>
      <c r="AS24" s="21">
        <f>IF(ISBLANK(AP24),,(AQ24*W24))</f>
        <v>-91.575000000011343</v>
      </c>
      <c r="AT24" s="22" t="s">
        <v>229</v>
      </c>
      <c r="AU24" s="13" t="s">
        <v>8169</v>
      </c>
      <c r="AV24" s="13" t="s">
        <v>8170</v>
      </c>
      <c r="AW24" s="17" t="s">
        <v>8171</v>
      </c>
      <c r="AX24" s="13"/>
      <c r="AY24" s="13"/>
      <c r="AZ24" s="13"/>
    </row>
    <row r="25" spans="1:52" ht="12.75">
      <c r="A25" s="12">
        <v>44783</v>
      </c>
      <c r="B25" s="13"/>
      <c r="C25" s="13" t="s">
        <v>151</v>
      </c>
      <c r="D25" s="17"/>
      <c r="E25" s="13"/>
      <c r="F25" s="14" t="s">
        <v>8132</v>
      </c>
      <c r="G25" s="13"/>
      <c r="H25" s="13"/>
      <c r="I25" s="13"/>
      <c r="J25" s="14"/>
      <c r="K25" s="14"/>
      <c r="L25" s="13"/>
      <c r="M25" s="13">
        <v>2</v>
      </c>
      <c r="N25" s="13"/>
      <c r="O25" s="14" t="s">
        <v>95</v>
      </c>
      <c r="P25" s="14" t="s">
        <v>96</v>
      </c>
      <c r="Q25" s="14"/>
      <c r="R25" s="14">
        <v>1</v>
      </c>
      <c r="S25" s="14"/>
      <c r="T25" s="14"/>
      <c r="U25" s="14" t="s">
        <v>22</v>
      </c>
      <c r="V25" s="14">
        <f t="shared" si="4"/>
        <v>0.01</v>
      </c>
      <c r="W25" s="14">
        <f t="shared" si="5"/>
        <v>1664.9999999999998</v>
      </c>
      <c r="X25" s="17"/>
      <c r="Y25" s="17" t="s">
        <v>8172</v>
      </c>
      <c r="Z25" s="17"/>
      <c r="AA25" s="18">
        <v>96.31</v>
      </c>
      <c r="AB25" s="13"/>
      <c r="AC25" s="13" t="s">
        <v>8173</v>
      </c>
      <c r="AD25" s="13" t="s">
        <v>8174</v>
      </c>
      <c r="AE25" s="13" t="s">
        <v>8175</v>
      </c>
      <c r="AF25" s="13" t="s">
        <v>8176</v>
      </c>
      <c r="AG25" s="13"/>
      <c r="AH25" s="13"/>
      <c r="AI25" s="19"/>
      <c r="AJ25" s="14"/>
      <c r="AK25" s="13"/>
      <c r="AL25" s="13"/>
      <c r="AM25" s="13"/>
      <c r="AN25" s="13"/>
      <c r="AO25" s="13"/>
      <c r="AP25" s="20"/>
      <c r="AQ25" s="13"/>
      <c r="AR25" s="92"/>
      <c r="AS25" s="21"/>
      <c r="AT25" s="22"/>
      <c r="AU25" s="61"/>
      <c r="AV25" s="13"/>
      <c r="AW25" s="13"/>
      <c r="AX25" s="13"/>
      <c r="AY25" s="13"/>
      <c r="AZ25" s="13"/>
    </row>
    <row r="26" spans="1:52" ht="12.75">
      <c r="A26" s="12">
        <v>44783</v>
      </c>
      <c r="B26" s="13"/>
      <c r="C26" s="13" t="s">
        <v>151</v>
      </c>
      <c r="D26" s="17"/>
      <c r="E26" s="13"/>
      <c r="F26" s="14" t="s">
        <v>8125</v>
      </c>
      <c r="G26" s="13"/>
      <c r="H26" s="13"/>
      <c r="I26" s="13"/>
      <c r="J26" s="14"/>
      <c r="K26" s="14"/>
      <c r="L26" s="13"/>
      <c r="M26" s="13">
        <v>2</v>
      </c>
      <c r="N26" s="13"/>
      <c r="O26" s="14" t="s">
        <v>95</v>
      </c>
      <c r="P26" s="14" t="s">
        <v>96</v>
      </c>
      <c r="Q26" s="14"/>
      <c r="R26" s="14"/>
      <c r="S26" s="14">
        <v>1</v>
      </c>
      <c r="T26" s="14"/>
      <c r="U26" s="14" t="s">
        <v>97</v>
      </c>
      <c r="V26" s="14">
        <f t="shared" si="4"/>
        <v>0.01</v>
      </c>
      <c r="W26" s="14">
        <f t="shared" si="5"/>
        <v>1664.9999999999998</v>
      </c>
      <c r="X26" s="17"/>
      <c r="Y26" s="17" t="s">
        <v>8177</v>
      </c>
      <c r="Z26" s="17"/>
      <c r="AA26" s="18">
        <v>96.41</v>
      </c>
      <c r="AB26" s="13"/>
      <c r="AC26" s="13" t="s">
        <v>8178</v>
      </c>
      <c r="AD26" s="17" t="s">
        <v>8179</v>
      </c>
      <c r="AE26" s="13" t="s">
        <v>8180</v>
      </c>
      <c r="AF26" s="13" t="s">
        <v>8181</v>
      </c>
      <c r="AG26" s="13"/>
      <c r="AH26" s="13"/>
      <c r="AI26" s="19"/>
      <c r="AJ26" s="14"/>
      <c r="AK26" s="13"/>
      <c r="AL26" s="13"/>
      <c r="AM26" s="13"/>
      <c r="AN26" s="13"/>
      <c r="AO26" s="13"/>
      <c r="AP26" s="20"/>
      <c r="AQ26" s="13"/>
      <c r="AR26" s="92"/>
      <c r="AS26" s="21"/>
      <c r="AT26" s="22"/>
      <c r="AU26" s="17" t="s">
        <v>8182</v>
      </c>
      <c r="AV26" s="13"/>
      <c r="AW26" s="13"/>
      <c r="AX26" s="13"/>
      <c r="AY26" s="13"/>
      <c r="AZ26" s="13"/>
    </row>
    <row r="27" spans="1:52" ht="12.75">
      <c r="A27" s="12">
        <v>44783</v>
      </c>
      <c r="B27" s="13"/>
      <c r="C27" s="13" t="s">
        <v>151</v>
      </c>
      <c r="D27" s="17"/>
      <c r="E27" s="13"/>
      <c r="F27" s="14" t="s">
        <v>8133</v>
      </c>
      <c r="G27" s="13"/>
      <c r="H27" s="13"/>
      <c r="I27" s="13"/>
      <c r="J27" s="14"/>
      <c r="K27" s="14"/>
      <c r="L27" s="13"/>
      <c r="M27" s="13">
        <v>2</v>
      </c>
      <c r="N27" s="13"/>
      <c r="O27" s="14" t="s">
        <v>95</v>
      </c>
      <c r="P27" s="14" t="s">
        <v>96</v>
      </c>
      <c r="Q27" s="14"/>
      <c r="R27" s="14"/>
      <c r="S27" s="14">
        <v>1</v>
      </c>
      <c r="T27" s="14"/>
      <c r="U27" s="14" t="s">
        <v>97</v>
      </c>
      <c r="V27" s="14">
        <f t="shared" si="4"/>
        <v>0.01</v>
      </c>
      <c r="W27" s="14">
        <f t="shared" si="5"/>
        <v>1664.9999999999998</v>
      </c>
      <c r="X27" s="17"/>
      <c r="Y27" s="17" t="s">
        <v>8183</v>
      </c>
      <c r="Z27" s="17"/>
      <c r="AA27" s="18">
        <v>96.21</v>
      </c>
      <c r="AB27" s="13"/>
      <c r="AC27" s="13" t="s">
        <v>8184</v>
      </c>
      <c r="AD27" s="13" t="s">
        <v>8185</v>
      </c>
      <c r="AE27" s="13" t="s">
        <v>8186</v>
      </c>
      <c r="AF27" s="13" t="s">
        <v>8187</v>
      </c>
      <c r="AG27" s="13"/>
      <c r="AH27" s="13"/>
      <c r="AI27" s="19"/>
      <c r="AJ27" s="14"/>
      <c r="AK27" s="13"/>
      <c r="AL27" s="13"/>
      <c r="AM27" s="13"/>
      <c r="AN27" s="13"/>
      <c r="AO27" s="13"/>
      <c r="AP27" s="20"/>
      <c r="AQ27" s="13"/>
      <c r="AR27" s="92"/>
      <c r="AS27" s="21"/>
      <c r="AT27" s="22"/>
      <c r="AU27" s="13" t="s">
        <v>8188</v>
      </c>
      <c r="AV27" s="13"/>
      <c r="AW27" s="13"/>
      <c r="AX27" s="13"/>
      <c r="AY27" s="13"/>
      <c r="AZ27" s="13"/>
    </row>
    <row r="28" spans="1:52" ht="12.75">
      <c r="A28" s="12">
        <v>44783</v>
      </c>
      <c r="B28" s="13"/>
      <c r="C28" s="13" t="s">
        <v>151</v>
      </c>
      <c r="D28" s="17"/>
      <c r="E28" s="13"/>
      <c r="F28" s="14" t="s">
        <v>8132</v>
      </c>
      <c r="G28" s="13"/>
      <c r="H28" s="13"/>
      <c r="I28" s="13"/>
      <c r="J28" s="14"/>
      <c r="K28" s="14"/>
      <c r="L28" s="13"/>
      <c r="M28" s="13">
        <v>2</v>
      </c>
      <c r="N28" s="13"/>
      <c r="O28" s="14" t="s">
        <v>95</v>
      </c>
      <c r="P28" s="14" t="s">
        <v>96</v>
      </c>
      <c r="Q28" s="14"/>
      <c r="R28" s="14">
        <v>1</v>
      </c>
      <c r="S28" s="14"/>
      <c r="T28" s="14"/>
      <c r="U28" s="14" t="s">
        <v>22</v>
      </c>
      <c r="V28" s="14">
        <f t="shared" si="4"/>
        <v>0.01</v>
      </c>
      <c r="W28" s="14">
        <f t="shared" si="5"/>
        <v>1664.9999999999998</v>
      </c>
      <c r="X28" s="17"/>
      <c r="Y28" s="17" t="s">
        <v>8189</v>
      </c>
      <c r="Z28" s="17"/>
      <c r="AA28" s="18">
        <v>96.3</v>
      </c>
      <c r="AB28" s="13"/>
      <c r="AC28" s="13" t="s">
        <v>8190</v>
      </c>
      <c r="AD28" s="13" t="s">
        <v>8191</v>
      </c>
      <c r="AE28" s="13" t="s">
        <v>8192</v>
      </c>
      <c r="AF28" s="13" t="s">
        <v>8176</v>
      </c>
      <c r="AG28" s="13"/>
      <c r="AH28" s="13"/>
      <c r="AI28" s="19"/>
      <c r="AJ28" s="14"/>
      <c r="AK28" s="13"/>
      <c r="AL28" s="13"/>
      <c r="AM28" s="13"/>
      <c r="AN28" s="13"/>
      <c r="AO28" s="13"/>
      <c r="AP28" s="20"/>
      <c r="AQ28" s="13"/>
      <c r="AR28" s="92"/>
      <c r="AS28" s="21"/>
      <c r="AT28" s="22"/>
      <c r="AU28" s="13"/>
      <c r="AV28" s="13"/>
      <c r="AW28" s="13"/>
      <c r="AX28" s="13"/>
      <c r="AY28" s="13"/>
      <c r="AZ28" s="13"/>
    </row>
    <row r="29" spans="1:52" ht="12.75">
      <c r="A29" s="12">
        <v>44783</v>
      </c>
      <c r="B29" s="13"/>
      <c r="C29" s="13" t="s">
        <v>151</v>
      </c>
      <c r="D29" s="17" t="s">
        <v>8193</v>
      </c>
      <c r="E29" s="13" t="s">
        <v>8194</v>
      </c>
      <c r="F29" s="14" t="s">
        <v>8132</v>
      </c>
      <c r="G29" s="13"/>
      <c r="H29" s="13"/>
      <c r="I29" s="13">
        <v>1</v>
      </c>
      <c r="J29" s="14"/>
      <c r="K29" s="14"/>
      <c r="L29" s="13">
        <v>3</v>
      </c>
      <c r="M29" s="13"/>
      <c r="N29" s="13"/>
      <c r="O29" s="14" t="s">
        <v>95</v>
      </c>
      <c r="P29" s="14" t="s">
        <v>96</v>
      </c>
      <c r="Q29" s="14" t="s">
        <v>684</v>
      </c>
      <c r="R29" s="14">
        <v>8</v>
      </c>
      <c r="S29" s="14">
        <v>8</v>
      </c>
      <c r="T29" s="34">
        <v>5</v>
      </c>
      <c r="U29" s="14" t="s">
        <v>22</v>
      </c>
      <c r="V29" s="14">
        <f t="shared" si="4"/>
        <v>0.01</v>
      </c>
      <c r="W29" s="14">
        <f t="shared" si="5"/>
        <v>1664.9999999999998</v>
      </c>
      <c r="X29" s="17" t="s">
        <v>5476</v>
      </c>
      <c r="Y29" s="17"/>
      <c r="Z29" s="17"/>
      <c r="AA29" s="18">
        <v>97.373000000000005</v>
      </c>
      <c r="AB29" s="13"/>
      <c r="AC29" s="13"/>
      <c r="AD29" s="13"/>
      <c r="AE29" s="13"/>
      <c r="AF29" s="13"/>
      <c r="AG29" s="13"/>
      <c r="AH29" s="13"/>
      <c r="AI29" s="19"/>
      <c r="AJ29" s="14"/>
      <c r="AK29" s="13"/>
      <c r="AL29" s="37"/>
      <c r="AM29" s="37" t="s">
        <v>8195</v>
      </c>
      <c r="AN29" s="13" t="s">
        <v>1259</v>
      </c>
      <c r="AO29" s="35">
        <v>44783</v>
      </c>
      <c r="AP29" s="20">
        <v>97.394000000000005</v>
      </c>
      <c r="AQ29" s="20">
        <f t="shared" ref="AQ29:AQ42" si="9">IF(ISBLANK(AP29),,IF(U29="S",AA29-AP29,AP29-AA29))</f>
        <v>2.1000000000000796E-2</v>
      </c>
      <c r="AR29" s="92">
        <f t="shared" ref="AR29:AR42" si="10">AS29*R29</f>
        <v>279.72000000001054</v>
      </c>
      <c r="AS29" s="21">
        <f t="shared" ref="AS29:AS42" si="11">IF(ISBLANK(AP29),,(AQ29*W29))</f>
        <v>34.965000000001318</v>
      </c>
      <c r="AT29" s="22" t="s">
        <v>96</v>
      </c>
      <c r="AU29" s="17" t="s">
        <v>8196</v>
      </c>
      <c r="AV29" s="94" t="s">
        <v>8197</v>
      </c>
      <c r="AW29" s="61" t="s">
        <v>8198</v>
      </c>
      <c r="AX29" s="13" t="s">
        <v>8199</v>
      </c>
      <c r="AY29" s="13"/>
      <c r="AZ29" s="13"/>
    </row>
    <row r="30" spans="1:52" ht="12.75">
      <c r="A30" s="12">
        <v>44783</v>
      </c>
      <c r="B30" s="13"/>
      <c r="C30" s="13" t="s">
        <v>151</v>
      </c>
      <c r="D30" s="17" t="s">
        <v>8193</v>
      </c>
      <c r="E30" s="13" t="s">
        <v>8194</v>
      </c>
      <c r="F30" s="14" t="s">
        <v>8125</v>
      </c>
      <c r="G30" s="13"/>
      <c r="H30" s="13"/>
      <c r="I30" s="13">
        <v>1</v>
      </c>
      <c r="J30" s="14"/>
      <c r="K30" s="14"/>
      <c r="L30" s="13">
        <v>3</v>
      </c>
      <c r="M30" s="13"/>
      <c r="N30" s="13"/>
      <c r="O30" s="14" t="s">
        <v>95</v>
      </c>
      <c r="P30" s="14" t="s">
        <v>96</v>
      </c>
      <c r="Q30" s="14" t="s">
        <v>684</v>
      </c>
      <c r="R30" s="14">
        <v>9</v>
      </c>
      <c r="S30" s="14">
        <v>9</v>
      </c>
      <c r="T30" s="34">
        <v>5</v>
      </c>
      <c r="U30" s="14" t="s">
        <v>22</v>
      </c>
      <c r="V30" s="14">
        <f t="shared" si="4"/>
        <v>0.01</v>
      </c>
      <c r="W30" s="14">
        <f t="shared" si="5"/>
        <v>1664.9999999999998</v>
      </c>
      <c r="X30" s="17" t="s">
        <v>5476</v>
      </c>
      <c r="Y30" s="17"/>
      <c r="Z30" s="17"/>
      <c r="AA30" s="18">
        <v>96.521000000000001</v>
      </c>
      <c r="AB30" s="13"/>
      <c r="AC30" s="13"/>
      <c r="AD30" s="13"/>
      <c r="AE30" s="13"/>
      <c r="AF30" s="13"/>
      <c r="AG30" s="13"/>
      <c r="AH30" s="13"/>
      <c r="AI30" s="19"/>
      <c r="AJ30" s="14"/>
      <c r="AK30" s="13"/>
      <c r="AL30" s="37"/>
      <c r="AM30" s="37" t="s">
        <v>8195</v>
      </c>
      <c r="AN30" s="13" t="s">
        <v>1259</v>
      </c>
      <c r="AO30" s="35">
        <v>44783</v>
      </c>
      <c r="AP30" s="20">
        <v>96.546000000000006</v>
      </c>
      <c r="AQ30" s="20">
        <f t="shared" si="9"/>
        <v>2.5000000000005684E-2</v>
      </c>
      <c r="AR30" s="92">
        <f t="shared" si="10"/>
        <v>374.62500000008509</v>
      </c>
      <c r="AS30" s="21">
        <f t="shared" si="11"/>
        <v>41.625000000009457</v>
      </c>
      <c r="AT30" s="22" t="s">
        <v>96</v>
      </c>
      <c r="AU30" s="17" t="s">
        <v>8196</v>
      </c>
      <c r="AV30" s="17" t="s">
        <v>8200</v>
      </c>
      <c r="AW30" s="13"/>
      <c r="AX30" s="13"/>
      <c r="AY30" s="13"/>
      <c r="AZ30" s="13"/>
    </row>
    <row r="31" spans="1:52" ht="12.75">
      <c r="A31" s="12">
        <v>44783</v>
      </c>
      <c r="B31" s="13"/>
      <c r="C31" s="13" t="s">
        <v>151</v>
      </c>
      <c r="D31" s="17" t="s">
        <v>8193</v>
      </c>
      <c r="E31" s="13" t="s">
        <v>8194</v>
      </c>
      <c r="F31" s="14" t="s">
        <v>8133</v>
      </c>
      <c r="G31" s="13"/>
      <c r="H31" s="13"/>
      <c r="I31" s="13">
        <v>1</v>
      </c>
      <c r="J31" s="14"/>
      <c r="K31" s="14"/>
      <c r="L31" s="13">
        <v>3</v>
      </c>
      <c r="M31" s="13"/>
      <c r="N31" s="13"/>
      <c r="O31" s="14" t="s">
        <v>95</v>
      </c>
      <c r="P31" s="14" t="s">
        <v>96</v>
      </c>
      <c r="Q31" s="14" t="s">
        <v>684</v>
      </c>
      <c r="R31" s="14">
        <v>8</v>
      </c>
      <c r="S31" s="14">
        <v>8</v>
      </c>
      <c r="T31" s="34">
        <v>5</v>
      </c>
      <c r="U31" s="14" t="s">
        <v>22</v>
      </c>
      <c r="V31" s="14">
        <f t="shared" si="4"/>
        <v>0.01</v>
      </c>
      <c r="W31" s="14">
        <f t="shared" si="5"/>
        <v>1664.9999999999998</v>
      </c>
      <c r="X31" s="17" t="s">
        <v>5476</v>
      </c>
      <c r="Y31" s="17"/>
      <c r="Z31" s="17"/>
      <c r="AA31" s="18">
        <v>96.325999999999993</v>
      </c>
      <c r="AB31" s="13"/>
      <c r="AC31" s="13"/>
      <c r="AD31" s="13"/>
      <c r="AE31" s="13"/>
      <c r="AF31" s="13"/>
      <c r="AG31" s="13"/>
      <c r="AH31" s="13"/>
      <c r="AI31" s="19"/>
      <c r="AJ31" s="14"/>
      <c r="AK31" s="13"/>
      <c r="AL31" s="37"/>
      <c r="AM31" s="37" t="s">
        <v>8195</v>
      </c>
      <c r="AN31" s="13" t="s">
        <v>1259</v>
      </c>
      <c r="AO31" s="35">
        <v>44783</v>
      </c>
      <c r="AP31" s="20">
        <v>96.334999999999994</v>
      </c>
      <c r="AQ31" s="20">
        <f t="shared" si="9"/>
        <v>9.0000000000003411E-3</v>
      </c>
      <c r="AR31" s="92">
        <f t="shared" si="10"/>
        <v>119.88000000000453</v>
      </c>
      <c r="AS31" s="21">
        <f t="shared" si="11"/>
        <v>14.985000000000566</v>
      </c>
      <c r="AT31" s="22" t="s">
        <v>96</v>
      </c>
      <c r="AU31" s="17" t="s">
        <v>8196</v>
      </c>
      <c r="AV31" s="17" t="s">
        <v>8200</v>
      </c>
      <c r="AW31" s="13"/>
      <c r="AX31" s="13"/>
      <c r="AY31" s="13"/>
      <c r="AZ31" s="13"/>
    </row>
    <row r="32" spans="1:52" ht="12.75">
      <c r="A32" s="12">
        <v>44783</v>
      </c>
      <c r="B32" s="13"/>
      <c r="C32" s="13" t="s">
        <v>151</v>
      </c>
      <c r="D32" s="17" t="s">
        <v>8193</v>
      </c>
      <c r="E32" s="13" t="s">
        <v>8194</v>
      </c>
      <c r="F32" s="14" t="s">
        <v>8134</v>
      </c>
      <c r="G32" s="13"/>
      <c r="H32" s="13"/>
      <c r="I32" s="13">
        <v>1</v>
      </c>
      <c r="J32" s="14"/>
      <c r="K32" s="14"/>
      <c r="L32" s="13">
        <v>3</v>
      </c>
      <c r="M32" s="13"/>
      <c r="N32" s="13"/>
      <c r="O32" s="14" t="s">
        <v>95</v>
      </c>
      <c r="P32" s="14" t="s">
        <v>96</v>
      </c>
      <c r="Q32" s="14" t="s">
        <v>684</v>
      </c>
      <c r="R32" s="14">
        <v>3</v>
      </c>
      <c r="S32" s="14">
        <v>3</v>
      </c>
      <c r="T32" s="34">
        <v>1</v>
      </c>
      <c r="U32" s="14" t="s">
        <v>22</v>
      </c>
      <c r="V32" s="14">
        <f t="shared" si="4"/>
        <v>0.01</v>
      </c>
      <c r="W32" s="14">
        <f t="shared" si="5"/>
        <v>1664.9999999999998</v>
      </c>
      <c r="X32" s="17" t="s">
        <v>5476</v>
      </c>
      <c r="Y32" s="17"/>
      <c r="Z32" s="17"/>
      <c r="AA32" s="18">
        <v>96.29</v>
      </c>
      <c r="AB32" s="13"/>
      <c r="AC32" s="13"/>
      <c r="AD32" s="13"/>
      <c r="AE32" s="13"/>
      <c r="AF32" s="13"/>
      <c r="AG32" s="13"/>
      <c r="AH32" s="13"/>
      <c r="AI32" s="19"/>
      <c r="AJ32" s="14"/>
      <c r="AK32" s="13"/>
      <c r="AL32" s="37"/>
      <c r="AM32" s="37" t="s">
        <v>8195</v>
      </c>
      <c r="AN32" s="13" t="s">
        <v>1259</v>
      </c>
      <c r="AO32" s="35">
        <v>44783</v>
      </c>
      <c r="AP32" s="20">
        <v>96.272000000000006</v>
      </c>
      <c r="AQ32" s="20">
        <f t="shared" si="9"/>
        <v>-1.8000000000000682E-2</v>
      </c>
      <c r="AR32" s="92">
        <f t="shared" si="10"/>
        <v>-89.910000000003393</v>
      </c>
      <c r="AS32" s="21">
        <f t="shared" si="11"/>
        <v>-29.970000000001132</v>
      </c>
      <c r="AT32" s="22" t="s">
        <v>229</v>
      </c>
      <c r="AU32" s="17" t="s">
        <v>8196</v>
      </c>
      <c r="AV32" s="13" t="s">
        <v>8201</v>
      </c>
      <c r="AW32" s="13"/>
      <c r="AX32" s="13"/>
      <c r="AY32" s="13"/>
      <c r="AZ32" s="13"/>
    </row>
    <row r="33" spans="1:52" ht="12.75">
      <c r="A33" s="12">
        <v>44783</v>
      </c>
      <c r="B33" s="13"/>
      <c r="C33" s="13" t="s">
        <v>151</v>
      </c>
      <c r="D33" s="17" t="s">
        <v>8193</v>
      </c>
      <c r="E33" s="13" t="s">
        <v>8194</v>
      </c>
      <c r="F33" s="14" t="s">
        <v>3337</v>
      </c>
      <c r="G33" s="13"/>
      <c r="H33" s="13"/>
      <c r="I33" s="13">
        <v>1</v>
      </c>
      <c r="J33" s="14"/>
      <c r="K33" s="14"/>
      <c r="L33" s="13">
        <v>3</v>
      </c>
      <c r="M33" s="13"/>
      <c r="N33" s="13"/>
      <c r="O33" s="14" t="s">
        <v>95</v>
      </c>
      <c r="P33" s="14" t="s">
        <v>137</v>
      </c>
      <c r="Q33" s="14" t="s">
        <v>684</v>
      </c>
      <c r="R33" s="14">
        <v>4</v>
      </c>
      <c r="S33" s="14">
        <v>4</v>
      </c>
      <c r="T33" s="34">
        <v>2</v>
      </c>
      <c r="U33" s="14" t="s">
        <v>22</v>
      </c>
      <c r="V33" s="14">
        <f t="shared" si="4"/>
        <v>0.01</v>
      </c>
      <c r="W33" s="14">
        <f t="shared" si="5"/>
        <v>1664.9999999999998</v>
      </c>
      <c r="X33" s="17" t="s">
        <v>5476</v>
      </c>
      <c r="Y33" s="17"/>
      <c r="Z33" s="17"/>
      <c r="AA33" s="18">
        <v>96.41</v>
      </c>
      <c r="AB33" s="13"/>
      <c r="AC33" s="13"/>
      <c r="AD33" s="13"/>
      <c r="AE33" s="13"/>
      <c r="AF33" s="13"/>
      <c r="AG33" s="13"/>
      <c r="AH33" s="13"/>
      <c r="AI33" s="19"/>
      <c r="AJ33" s="14"/>
      <c r="AK33" s="13"/>
      <c r="AL33" s="37"/>
      <c r="AM33" s="37" t="s">
        <v>8195</v>
      </c>
      <c r="AN33" s="13" t="s">
        <v>1259</v>
      </c>
      <c r="AO33" s="35">
        <v>44783</v>
      </c>
      <c r="AP33" s="20">
        <v>96.421999999999997</v>
      </c>
      <c r="AQ33" s="20">
        <f t="shared" si="9"/>
        <v>1.2000000000000455E-2</v>
      </c>
      <c r="AR33" s="92">
        <f t="shared" si="10"/>
        <v>79.920000000003014</v>
      </c>
      <c r="AS33" s="21">
        <f t="shared" si="11"/>
        <v>19.980000000000754</v>
      </c>
      <c r="AT33" s="22" t="s">
        <v>96</v>
      </c>
      <c r="AU33" s="17" t="s">
        <v>8196</v>
      </c>
      <c r="AV33" s="13"/>
      <c r="AW33" s="13"/>
      <c r="AX33" s="13"/>
      <c r="AY33" s="13"/>
      <c r="AZ33" s="13"/>
    </row>
    <row r="34" spans="1:52" ht="12.75">
      <c r="A34" s="12">
        <v>44784</v>
      </c>
      <c r="B34" s="13"/>
      <c r="C34" s="13" t="s">
        <v>93</v>
      </c>
      <c r="D34" s="17"/>
      <c r="E34" s="13"/>
      <c r="F34" s="14" t="s">
        <v>8133</v>
      </c>
      <c r="G34" s="13"/>
      <c r="H34" s="13"/>
      <c r="I34" s="13"/>
      <c r="J34" s="14"/>
      <c r="K34" s="14"/>
      <c r="L34" s="13"/>
      <c r="M34" s="13">
        <v>3</v>
      </c>
      <c r="N34" s="13"/>
      <c r="O34" s="14" t="s">
        <v>95</v>
      </c>
      <c r="P34" s="14" t="s">
        <v>96</v>
      </c>
      <c r="Q34" s="14" t="s">
        <v>684</v>
      </c>
      <c r="R34" s="14">
        <v>10</v>
      </c>
      <c r="S34" s="14">
        <v>10</v>
      </c>
      <c r="T34" s="34">
        <v>4</v>
      </c>
      <c r="U34" s="14" t="s">
        <v>22</v>
      </c>
      <c r="V34" s="14">
        <f t="shared" si="4"/>
        <v>0.01</v>
      </c>
      <c r="W34" s="14">
        <f t="shared" si="5"/>
        <v>1664.9999999999998</v>
      </c>
      <c r="X34" s="13" t="s">
        <v>8202</v>
      </c>
      <c r="Y34" s="17"/>
      <c r="Z34" s="17"/>
      <c r="AA34" s="18">
        <v>96.299000000000007</v>
      </c>
      <c r="AB34" s="13"/>
      <c r="AC34" s="13"/>
      <c r="AD34" s="13"/>
      <c r="AE34" s="13"/>
      <c r="AF34" s="13" t="s">
        <v>8203</v>
      </c>
      <c r="AG34" s="13"/>
      <c r="AH34" s="13"/>
      <c r="AI34" s="19"/>
      <c r="AJ34" s="14"/>
      <c r="AK34" s="13" t="s">
        <v>8204</v>
      </c>
      <c r="AL34" s="13"/>
      <c r="AM34" s="13" t="s">
        <v>8205</v>
      </c>
      <c r="AN34" s="13" t="s">
        <v>372</v>
      </c>
      <c r="AO34" s="13"/>
      <c r="AP34" s="20">
        <v>96.24</v>
      </c>
      <c r="AQ34" s="20">
        <f t="shared" si="9"/>
        <v>-5.900000000001171E-2</v>
      </c>
      <c r="AR34" s="92">
        <f t="shared" si="10"/>
        <v>-982.35000000019477</v>
      </c>
      <c r="AS34" s="21">
        <f t="shared" si="11"/>
        <v>-98.235000000019483</v>
      </c>
      <c r="AT34" s="22" t="s">
        <v>229</v>
      </c>
      <c r="AU34" s="17" t="s">
        <v>8206</v>
      </c>
      <c r="AV34" s="17" t="s">
        <v>8207</v>
      </c>
      <c r="AW34" s="94" t="s">
        <v>8208</v>
      </c>
      <c r="AX34" s="13"/>
      <c r="AY34" s="13"/>
      <c r="AZ34" s="13"/>
    </row>
    <row r="35" spans="1:52" ht="12.75">
      <c r="A35" s="12">
        <v>44784</v>
      </c>
      <c r="B35" s="13"/>
      <c r="C35" s="13" t="s">
        <v>93</v>
      </c>
      <c r="D35" s="17"/>
      <c r="E35" s="13"/>
      <c r="F35" s="14" t="s">
        <v>8132</v>
      </c>
      <c r="G35" s="13"/>
      <c r="H35" s="13"/>
      <c r="I35" s="13"/>
      <c r="J35" s="14"/>
      <c r="K35" s="14"/>
      <c r="L35" s="13"/>
      <c r="M35" s="13">
        <v>3</v>
      </c>
      <c r="N35" s="13"/>
      <c r="O35" s="14" t="s">
        <v>95</v>
      </c>
      <c r="P35" s="14" t="s">
        <v>96</v>
      </c>
      <c r="Q35" s="14" t="s">
        <v>684</v>
      </c>
      <c r="R35" s="14">
        <v>2</v>
      </c>
      <c r="S35" s="14">
        <v>2</v>
      </c>
      <c r="T35" s="34">
        <v>1</v>
      </c>
      <c r="U35" s="14" t="s">
        <v>22</v>
      </c>
      <c r="V35" s="14">
        <f t="shared" si="4"/>
        <v>0.01</v>
      </c>
      <c r="W35" s="14">
        <f t="shared" si="5"/>
        <v>1664.9999999999998</v>
      </c>
      <c r="X35" s="13" t="s">
        <v>8202</v>
      </c>
      <c r="Y35" s="17"/>
      <c r="Z35" s="17"/>
      <c r="AA35" s="18">
        <v>97.38</v>
      </c>
      <c r="AB35" s="13"/>
      <c r="AC35" s="13"/>
      <c r="AD35" s="13"/>
      <c r="AE35" s="13"/>
      <c r="AF35" s="13" t="s">
        <v>8203</v>
      </c>
      <c r="AG35" s="13"/>
      <c r="AH35" s="13"/>
      <c r="AI35" s="19"/>
      <c r="AJ35" s="14"/>
      <c r="AK35" s="13" t="s">
        <v>8209</v>
      </c>
      <c r="AL35" s="13"/>
      <c r="AM35" s="13" t="s">
        <v>8205</v>
      </c>
      <c r="AN35" s="13" t="s">
        <v>372</v>
      </c>
      <c r="AO35" s="13"/>
      <c r="AP35" s="20">
        <v>97.33</v>
      </c>
      <c r="AQ35" s="20">
        <f t="shared" si="9"/>
        <v>-4.9999999999997158E-2</v>
      </c>
      <c r="AR35" s="92">
        <f t="shared" si="10"/>
        <v>-166.49999999999051</v>
      </c>
      <c r="AS35" s="21">
        <f t="shared" si="11"/>
        <v>-83.249999999995254</v>
      </c>
      <c r="AT35" s="22" t="s">
        <v>229</v>
      </c>
      <c r="AU35" s="17" t="s">
        <v>8210</v>
      </c>
      <c r="AV35" s="17" t="s">
        <v>8207</v>
      </c>
      <c r="AW35" s="13" t="s">
        <v>8211</v>
      </c>
      <c r="AX35" s="13"/>
      <c r="AY35" s="13"/>
      <c r="AZ35" s="13"/>
    </row>
    <row r="36" spans="1:52" ht="12.75">
      <c r="A36" s="12">
        <v>44784</v>
      </c>
      <c r="B36" s="13"/>
      <c r="C36" s="13" t="s">
        <v>93</v>
      </c>
      <c r="D36" s="17"/>
      <c r="E36" s="13"/>
      <c r="F36" s="14" t="s">
        <v>8134</v>
      </c>
      <c r="G36" s="13"/>
      <c r="H36" s="13"/>
      <c r="I36" s="13"/>
      <c r="J36" s="14"/>
      <c r="K36" s="14"/>
      <c r="L36" s="13"/>
      <c r="M36" s="13">
        <v>3</v>
      </c>
      <c r="N36" s="13"/>
      <c r="O36" s="14" t="s">
        <v>95</v>
      </c>
      <c r="P36" s="14" t="s">
        <v>96</v>
      </c>
      <c r="Q36" s="14" t="s">
        <v>684</v>
      </c>
      <c r="R36" s="14">
        <v>10</v>
      </c>
      <c r="S36" s="14">
        <v>10</v>
      </c>
      <c r="T36" s="34">
        <v>3</v>
      </c>
      <c r="U36" s="14" t="s">
        <v>22</v>
      </c>
      <c r="V36" s="14">
        <f t="shared" si="4"/>
        <v>0.01</v>
      </c>
      <c r="W36" s="14">
        <f t="shared" si="5"/>
        <v>1664.9999999999998</v>
      </c>
      <c r="X36" s="13" t="s">
        <v>8202</v>
      </c>
      <c r="Y36" s="17"/>
      <c r="Z36" s="17"/>
      <c r="AA36" s="18">
        <v>96.284999999999997</v>
      </c>
      <c r="AB36" s="13"/>
      <c r="AC36" s="13"/>
      <c r="AD36" s="13"/>
      <c r="AE36" s="13"/>
      <c r="AF36" s="13">
        <v>96.33</v>
      </c>
      <c r="AG36" s="13"/>
      <c r="AH36" s="13"/>
      <c r="AI36" s="19"/>
      <c r="AJ36" s="14"/>
      <c r="AK36" s="13" t="s">
        <v>8212</v>
      </c>
      <c r="AL36" s="13"/>
      <c r="AM36" s="13" t="s">
        <v>8205</v>
      </c>
      <c r="AN36" s="13" t="s">
        <v>372</v>
      </c>
      <c r="AO36" s="13"/>
      <c r="AP36" s="20">
        <v>96.21</v>
      </c>
      <c r="AQ36" s="20">
        <f t="shared" si="9"/>
        <v>-7.5000000000002842E-2</v>
      </c>
      <c r="AR36" s="92">
        <f t="shared" si="10"/>
        <v>-1248.7500000000473</v>
      </c>
      <c r="AS36" s="21">
        <f t="shared" si="11"/>
        <v>-124.87500000000472</v>
      </c>
      <c r="AT36" s="22" t="s">
        <v>229</v>
      </c>
      <c r="AU36" s="17" t="s">
        <v>8213</v>
      </c>
      <c r="AV36" s="93" t="s">
        <v>8207</v>
      </c>
      <c r="AW36" s="13"/>
      <c r="AX36" s="13"/>
      <c r="AY36" s="13"/>
      <c r="AZ36" s="13"/>
    </row>
    <row r="37" spans="1:52" ht="12.75">
      <c r="A37" s="12">
        <v>44784</v>
      </c>
      <c r="B37" s="13"/>
      <c r="C37" s="13" t="s">
        <v>93</v>
      </c>
      <c r="D37" s="17"/>
      <c r="E37" s="13"/>
      <c r="F37" s="14" t="s">
        <v>8125</v>
      </c>
      <c r="G37" s="13"/>
      <c r="H37" s="13"/>
      <c r="I37" s="13"/>
      <c r="J37" s="14"/>
      <c r="K37" s="14"/>
      <c r="L37" s="13"/>
      <c r="M37" s="13">
        <v>3</v>
      </c>
      <c r="N37" s="13"/>
      <c r="O37" s="14" t="s">
        <v>95</v>
      </c>
      <c r="P37" s="14" t="s">
        <v>96</v>
      </c>
      <c r="Q37" s="14" t="s">
        <v>684</v>
      </c>
      <c r="R37" s="14">
        <v>3</v>
      </c>
      <c r="S37" s="14">
        <v>3</v>
      </c>
      <c r="T37" s="34">
        <v>1</v>
      </c>
      <c r="U37" s="14" t="s">
        <v>22</v>
      </c>
      <c r="V37" s="14">
        <f t="shared" si="4"/>
        <v>0.01</v>
      </c>
      <c r="W37" s="14">
        <f t="shared" si="5"/>
        <v>1664.9999999999998</v>
      </c>
      <c r="X37" s="13" t="s">
        <v>8202</v>
      </c>
      <c r="Y37" s="17"/>
      <c r="Z37" s="17"/>
      <c r="AA37" s="18">
        <v>96.53</v>
      </c>
      <c r="AB37" s="13"/>
      <c r="AC37" s="13"/>
      <c r="AD37" s="13"/>
      <c r="AE37" s="13"/>
      <c r="AF37" s="13" t="s">
        <v>8203</v>
      </c>
      <c r="AG37" s="13"/>
      <c r="AH37" s="13"/>
      <c r="AI37" s="19"/>
      <c r="AJ37" s="14"/>
      <c r="AK37" s="13" t="s">
        <v>8214</v>
      </c>
      <c r="AL37" s="13"/>
      <c r="AM37" s="13" t="s">
        <v>8205</v>
      </c>
      <c r="AN37" s="13" t="s">
        <v>372</v>
      </c>
      <c r="AO37" s="13"/>
      <c r="AP37" s="20">
        <v>96.44</v>
      </c>
      <c r="AQ37" s="20">
        <f t="shared" si="9"/>
        <v>-9.0000000000003411E-2</v>
      </c>
      <c r="AR37" s="92">
        <f t="shared" si="10"/>
        <v>-449.55000000001695</v>
      </c>
      <c r="AS37" s="21">
        <f t="shared" si="11"/>
        <v>-149.85000000000565</v>
      </c>
      <c r="AT37" s="22" t="s">
        <v>229</v>
      </c>
      <c r="AU37" s="17" t="s">
        <v>8213</v>
      </c>
      <c r="AV37" s="93" t="s">
        <v>8207</v>
      </c>
      <c r="AW37" s="13"/>
      <c r="AX37" s="13"/>
      <c r="AY37" s="13"/>
      <c r="AZ37" s="13"/>
    </row>
    <row r="38" spans="1:52" ht="12.75">
      <c r="A38" s="12">
        <v>44784</v>
      </c>
      <c r="B38" s="13"/>
      <c r="C38" s="13" t="s">
        <v>93</v>
      </c>
      <c r="D38" s="17"/>
      <c r="E38" s="13"/>
      <c r="F38" s="14" t="s">
        <v>8133</v>
      </c>
      <c r="G38" s="13"/>
      <c r="H38" s="13"/>
      <c r="I38" s="13"/>
      <c r="J38" s="14"/>
      <c r="K38" s="14"/>
      <c r="L38" s="13"/>
      <c r="M38" s="13"/>
      <c r="N38" s="13"/>
      <c r="O38" s="14" t="s">
        <v>95</v>
      </c>
      <c r="P38" s="14" t="s">
        <v>96</v>
      </c>
      <c r="Q38" s="14" t="s">
        <v>684</v>
      </c>
      <c r="R38" s="14">
        <v>10</v>
      </c>
      <c r="S38" s="14">
        <v>10</v>
      </c>
      <c r="T38" s="14">
        <v>10</v>
      </c>
      <c r="U38" s="14" t="s">
        <v>22</v>
      </c>
      <c r="V38" s="14">
        <f t="shared" si="4"/>
        <v>0.01</v>
      </c>
      <c r="W38" s="14">
        <f t="shared" si="5"/>
        <v>1664.9999999999998</v>
      </c>
      <c r="X38" s="17"/>
      <c r="Y38" s="17" t="s">
        <v>8215</v>
      </c>
      <c r="Z38" s="17"/>
      <c r="AA38" s="18">
        <v>96.24</v>
      </c>
      <c r="AB38" s="93"/>
      <c r="AC38" s="93" t="s">
        <v>8216</v>
      </c>
      <c r="AD38" s="13"/>
      <c r="AE38" s="13"/>
      <c r="AF38" s="13">
        <v>96.3</v>
      </c>
      <c r="AG38" s="13"/>
      <c r="AH38" s="13"/>
      <c r="AI38" s="19"/>
      <c r="AJ38" s="14"/>
      <c r="AK38" s="13"/>
      <c r="AL38" s="13"/>
      <c r="AM38" s="13"/>
      <c r="AN38" s="13"/>
      <c r="AO38" s="13"/>
      <c r="AP38" s="20">
        <v>96.19</v>
      </c>
      <c r="AQ38" s="20">
        <f t="shared" si="9"/>
        <v>-4.9999999999997158E-2</v>
      </c>
      <c r="AR38" s="92">
        <f t="shared" si="10"/>
        <v>-832.49999999995248</v>
      </c>
      <c r="AS38" s="21">
        <f t="shared" si="11"/>
        <v>-83.249999999995254</v>
      </c>
      <c r="AT38" s="22" t="s">
        <v>229</v>
      </c>
      <c r="AU38" s="17" t="s">
        <v>8171</v>
      </c>
      <c r="AV38" s="13"/>
      <c r="AW38" s="13"/>
      <c r="AX38" s="13"/>
      <c r="AY38" s="13"/>
      <c r="AZ38" s="13"/>
    </row>
    <row r="39" spans="1:52" ht="12.75">
      <c r="A39" s="12">
        <v>44784</v>
      </c>
      <c r="B39" s="13"/>
      <c r="C39" s="13" t="s">
        <v>93</v>
      </c>
      <c r="D39" s="17"/>
      <c r="E39" s="13"/>
      <c r="F39" s="14" t="s">
        <v>8134</v>
      </c>
      <c r="G39" s="13"/>
      <c r="H39" s="13"/>
      <c r="I39" s="13"/>
      <c r="J39" s="14"/>
      <c r="K39" s="14"/>
      <c r="L39" s="13"/>
      <c r="M39" s="13">
        <v>2</v>
      </c>
      <c r="N39" s="13"/>
      <c r="O39" s="14" t="s">
        <v>95</v>
      </c>
      <c r="P39" s="14" t="s">
        <v>96</v>
      </c>
      <c r="Q39" s="14" t="s">
        <v>684</v>
      </c>
      <c r="R39" s="14">
        <v>10</v>
      </c>
      <c r="S39" s="14"/>
      <c r="T39" s="14">
        <v>10</v>
      </c>
      <c r="U39" s="14" t="s">
        <v>22</v>
      </c>
      <c r="V39" s="14">
        <f t="shared" si="4"/>
        <v>0.01</v>
      </c>
      <c r="W39" s="14">
        <f t="shared" si="5"/>
        <v>1664.9999999999998</v>
      </c>
      <c r="X39" s="17"/>
      <c r="Y39" s="17" t="s">
        <v>8215</v>
      </c>
      <c r="Z39" s="17"/>
      <c r="AA39" s="18">
        <v>96.21</v>
      </c>
      <c r="AB39" s="13"/>
      <c r="AC39" s="13" t="s">
        <v>8217</v>
      </c>
      <c r="AD39" s="13"/>
      <c r="AE39" s="13">
        <v>96.45</v>
      </c>
      <c r="AF39" s="13">
        <v>96.33</v>
      </c>
      <c r="AG39" s="13"/>
      <c r="AH39" s="13"/>
      <c r="AI39" s="19"/>
      <c r="AJ39" s="14"/>
      <c r="AK39" s="13"/>
      <c r="AL39" s="13"/>
      <c r="AM39" s="13"/>
      <c r="AN39" s="13"/>
      <c r="AO39" s="13"/>
      <c r="AP39" s="20">
        <v>96.15</v>
      </c>
      <c r="AQ39" s="20">
        <f t="shared" si="9"/>
        <v>-5.9999999999988063E-2</v>
      </c>
      <c r="AR39" s="92">
        <f t="shared" si="10"/>
        <v>-998.99999999980105</v>
      </c>
      <c r="AS39" s="21">
        <f t="shared" si="11"/>
        <v>-99.89999999998011</v>
      </c>
      <c r="AT39" s="22" t="s">
        <v>229</v>
      </c>
      <c r="AU39" s="17" t="s">
        <v>8171</v>
      </c>
      <c r="AV39" s="17" t="s">
        <v>8218</v>
      </c>
      <c r="AW39" s="13"/>
      <c r="AX39" s="13"/>
      <c r="AY39" s="13"/>
      <c r="AZ39" s="13"/>
    </row>
    <row r="40" spans="1:52" ht="12.75">
      <c r="A40" s="12">
        <v>44784</v>
      </c>
      <c r="B40" s="13"/>
      <c r="C40" s="13" t="s">
        <v>93</v>
      </c>
      <c r="D40" s="17"/>
      <c r="E40" s="13"/>
      <c r="F40" s="14" t="s">
        <v>8133</v>
      </c>
      <c r="G40" s="13"/>
      <c r="H40" s="13"/>
      <c r="I40" s="13"/>
      <c r="J40" s="14"/>
      <c r="K40" s="14"/>
      <c r="L40" s="13"/>
      <c r="M40" s="13"/>
      <c r="N40" s="13">
        <v>2</v>
      </c>
      <c r="O40" s="14" t="s">
        <v>95</v>
      </c>
      <c r="P40" s="14" t="s">
        <v>96</v>
      </c>
      <c r="Q40" s="14" t="s">
        <v>684</v>
      </c>
      <c r="R40" s="14">
        <v>1</v>
      </c>
      <c r="S40" s="14">
        <v>1</v>
      </c>
      <c r="T40" s="14">
        <v>1</v>
      </c>
      <c r="U40" s="14" t="s">
        <v>97</v>
      </c>
      <c r="V40" s="14">
        <f t="shared" si="4"/>
        <v>0.01</v>
      </c>
      <c r="W40" s="14">
        <f t="shared" si="5"/>
        <v>1664.9999999999998</v>
      </c>
      <c r="X40" s="13" t="s">
        <v>8219</v>
      </c>
      <c r="Y40" s="17"/>
      <c r="Z40" s="17"/>
      <c r="AA40" s="18">
        <v>96.22</v>
      </c>
      <c r="AB40" s="93"/>
      <c r="AC40" s="93" t="s">
        <v>8220</v>
      </c>
      <c r="AD40" s="13"/>
      <c r="AE40" s="13">
        <v>96.2</v>
      </c>
      <c r="AF40" s="13" t="s">
        <v>8221</v>
      </c>
      <c r="AG40" s="13"/>
      <c r="AH40" s="13"/>
      <c r="AI40" s="19"/>
      <c r="AJ40" s="14"/>
      <c r="AK40" s="13"/>
      <c r="AL40" s="13"/>
      <c r="AM40" s="13" t="s">
        <v>8222</v>
      </c>
      <c r="AN40" s="13" t="s">
        <v>372</v>
      </c>
      <c r="AO40" s="13"/>
      <c r="AP40" s="20">
        <v>96.24</v>
      </c>
      <c r="AQ40" s="20">
        <f t="shared" si="9"/>
        <v>-1.9999999999996021E-2</v>
      </c>
      <c r="AR40" s="92">
        <f t="shared" si="10"/>
        <v>-33.299999999993368</v>
      </c>
      <c r="AS40" s="21">
        <f t="shared" si="11"/>
        <v>-33.299999999993368</v>
      </c>
      <c r="AT40" s="22" t="s">
        <v>229</v>
      </c>
      <c r="AU40" s="17" t="s">
        <v>8223</v>
      </c>
      <c r="AV40" s="17" t="s">
        <v>8224</v>
      </c>
      <c r="AW40" s="13"/>
      <c r="AX40" s="13"/>
      <c r="AY40" s="13"/>
      <c r="AZ40" s="13"/>
    </row>
    <row r="41" spans="1:52" ht="12.75">
      <c r="A41" s="12">
        <v>44784</v>
      </c>
      <c r="B41" s="13"/>
      <c r="C41" s="13" t="s">
        <v>93</v>
      </c>
      <c r="D41" s="17"/>
      <c r="E41" s="13"/>
      <c r="F41" s="34" t="s">
        <v>8225</v>
      </c>
      <c r="G41" s="13"/>
      <c r="H41" s="13"/>
      <c r="I41" s="13"/>
      <c r="J41" s="14"/>
      <c r="K41" s="14"/>
      <c r="L41" s="13"/>
      <c r="M41" s="13">
        <v>2</v>
      </c>
      <c r="N41" s="13"/>
      <c r="O41" s="14" t="s">
        <v>95</v>
      </c>
      <c r="P41" s="14"/>
      <c r="Q41" s="14"/>
      <c r="R41" s="14">
        <v>4</v>
      </c>
      <c r="S41" s="14">
        <v>4</v>
      </c>
      <c r="T41" s="14"/>
      <c r="U41" s="14" t="s">
        <v>97</v>
      </c>
      <c r="V41" s="14">
        <f t="shared" si="4"/>
        <v>0.01</v>
      </c>
      <c r="W41" s="14">
        <f t="shared" si="5"/>
        <v>1664.9999999999998</v>
      </c>
      <c r="X41" s="17" t="s">
        <v>8226</v>
      </c>
      <c r="Y41" s="17"/>
      <c r="Z41" s="17"/>
      <c r="AA41" s="18">
        <v>-0.05</v>
      </c>
      <c r="AB41" s="13"/>
      <c r="AC41" s="13"/>
      <c r="AD41" s="13"/>
      <c r="AE41" s="13" t="s">
        <v>8227</v>
      </c>
      <c r="AF41" s="13"/>
      <c r="AG41" s="13"/>
      <c r="AH41" s="13"/>
      <c r="AI41" s="19"/>
      <c r="AJ41" s="14"/>
      <c r="AK41" s="13" t="s">
        <v>8228</v>
      </c>
      <c r="AL41" s="13"/>
      <c r="AM41" s="13"/>
      <c r="AN41" s="13"/>
      <c r="AO41" s="13"/>
      <c r="AP41" s="20"/>
      <c r="AQ41" s="13">
        <f t="shared" si="9"/>
        <v>0</v>
      </c>
      <c r="AR41" s="92">
        <f t="shared" si="10"/>
        <v>0</v>
      </c>
      <c r="AS41" s="21">
        <f t="shared" si="11"/>
        <v>0</v>
      </c>
      <c r="AT41" s="22"/>
      <c r="AU41" s="13" t="s">
        <v>8229</v>
      </c>
      <c r="AV41" s="13"/>
      <c r="AW41" s="13"/>
      <c r="AX41" s="13"/>
      <c r="AY41" s="13"/>
      <c r="AZ41" s="13"/>
    </row>
    <row r="42" spans="1:52" ht="12.75">
      <c r="A42" s="12"/>
      <c r="B42" s="13"/>
      <c r="C42" s="13"/>
      <c r="D42" s="17"/>
      <c r="E42" s="13"/>
      <c r="F42" s="95">
        <v>44643</v>
      </c>
      <c r="G42" s="13"/>
      <c r="H42" s="13"/>
      <c r="I42" s="13"/>
      <c r="J42" s="14"/>
      <c r="K42" s="14"/>
      <c r="L42" s="13"/>
      <c r="M42" s="13"/>
      <c r="N42" s="13"/>
      <c r="O42" s="14" t="s">
        <v>95</v>
      </c>
      <c r="P42" s="14" t="s">
        <v>96</v>
      </c>
      <c r="Q42" s="14" t="s">
        <v>684</v>
      </c>
      <c r="R42" s="14">
        <v>2</v>
      </c>
      <c r="S42" s="14">
        <v>2</v>
      </c>
      <c r="T42" s="14"/>
      <c r="U42" s="14" t="s">
        <v>97</v>
      </c>
      <c r="V42" s="14">
        <f t="shared" si="4"/>
        <v>0.01</v>
      </c>
      <c r="W42" s="14">
        <f t="shared" si="5"/>
        <v>1664.9999999999998</v>
      </c>
      <c r="X42" s="17"/>
      <c r="Y42" s="17"/>
      <c r="Z42" s="17"/>
      <c r="AA42" s="18">
        <v>96.24</v>
      </c>
      <c r="AB42" s="13"/>
      <c r="AC42" s="13" t="s">
        <v>8230</v>
      </c>
      <c r="AD42" s="13"/>
      <c r="AE42" s="13"/>
      <c r="AF42" s="13"/>
      <c r="AG42" s="13"/>
      <c r="AH42" s="13"/>
      <c r="AI42" s="19"/>
      <c r="AJ42" s="14"/>
      <c r="AK42" s="13"/>
      <c r="AL42" s="13"/>
      <c r="AM42" s="13" t="s">
        <v>8231</v>
      </c>
      <c r="AN42" s="13" t="s">
        <v>96</v>
      </c>
      <c r="AO42" s="35">
        <v>44790</v>
      </c>
      <c r="AP42" s="20">
        <v>96.29</v>
      </c>
      <c r="AQ42" s="20">
        <f t="shared" si="9"/>
        <v>-5.0000000000011369E-2</v>
      </c>
      <c r="AR42" s="92">
        <f t="shared" si="10"/>
        <v>-166.50000000003783</v>
      </c>
      <c r="AS42" s="21">
        <f t="shared" si="11"/>
        <v>-83.250000000018915</v>
      </c>
      <c r="AT42" s="22" t="s">
        <v>229</v>
      </c>
      <c r="AU42" s="13"/>
      <c r="AV42" s="13"/>
      <c r="AW42" s="13"/>
      <c r="AX42" s="13"/>
      <c r="AY42" s="13"/>
      <c r="AZ42" s="13"/>
    </row>
    <row r="43" spans="1:52" ht="12.75">
      <c r="A43" s="12"/>
      <c r="B43" s="13"/>
      <c r="C43" s="13"/>
      <c r="D43" s="17"/>
      <c r="E43" s="13"/>
      <c r="F43" s="95">
        <v>44827</v>
      </c>
      <c r="G43" s="13"/>
      <c r="H43" s="13"/>
      <c r="I43" s="13"/>
      <c r="J43" s="14"/>
      <c r="K43" s="14"/>
      <c r="L43" s="13"/>
      <c r="M43" s="13"/>
      <c r="N43" s="13"/>
      <c r="O43" s="14" t="s">
        <v>95</v>
      </c>
      <c r="P43" s="14"/>
      <c r="Q43" s="14"/>
      <c r="R43" s="14">
        <v>2</v>
      </c>
      <c r="S43" s="14">
        <v>2</v>
      </c>
      <c r="T43" s="14"/>
      <c r="U43" s="14"/>
      <c r="V43" s="14">
        <f t="shared" si="4"/>
        <v>0.01</v>
      </c>
      <c r="W43" s="14">
        <f t="shared" si="5"/>
        <v>1664.9999999999998</v>
      </c>
      <c r="X43" s="17"/>
      <c r="Y43" s="17"/>
      <c r="Z43" s="17"/>
      <c r="AA43" s="18">
        <v>96.29</v>
      </c>
      <c r="AB43" s="13"/>
      <c r="AC43" s="13"/>
      <c r="AD43" s="13"/>
      <c r="AE43" s="13"/>
      <c r="AF43" s="13"/>
      <c r="AG43" s="13"/>
      <c r="AH43" s="13"/>
      <c r="AI43" s="19"/>
      <c r="AJ43" s="14"/>
      <c r="AK43" s="13"/>
      <c r="AL43" s="13"/>
      <c r="AM43" s="13"/>
      <c r="AN43" s="13"/>
      <c r="AO43" s="13"/>
      <c r="AP43" s="20"/>
      <c r="AQ43" s="13"/>
      <c r="AR43" s="92"/>
      <c r="AS43" s="21"/>
      <c r="AT43" s="22"/>
      <c r="AU43" s="13"/>
      <c r="AV43" s="13"/>
      <c r="AW43" s="13"/>
      <c r="AX43" s="13"/>
      <c r="AY43" s="13"/>
      <c r="AZ43" s="13"/>
    </row>
    <row r="44" spans="1:52" ht="12.75">
      <c r="A44" s="12">
        <v>44785</v>
      </c>
      <c r="B44" s="13"/>
      <c r="C44" s="13" t="s">
        <v>111</v>
      </c>
      <c r="D44" s="17"/>
      <c r="E44" s="13"/>
      <c r="F44" s="14" t="s">
        <v>8232</v>
      </c>
      <c r="G44" s="13"/>
      <c r="H44" s="13"/>
      <c r="I44" s="13"/>
      <c r="J44" s="14"/>
      <c r="K44" s="14"/>
      <c r="L44" s="13">
        <v>1</v>
      </c>
      <c r="M44" s="13"/>
      <c r="N44" s="13">
        <v>3</v>
      </c>
      <c r="O44" s="14" t="s">
        <v>95</v>
      </c>
      <c r="P44" s="14" t="s">
        <v>137</v>
      </c>
      <c r="Q44" s="14" t="s">
        <v>684</v>
      </c>
      <c r="R44" s="14">
        <v>3</v>
      </c>
      <c r="S44" s="14">
        <v>3</v>
      </c>
      <c r="T44" s="14">
        <v>2</v>
      </c>
      <c r="U44" s="14" t="s">
        <v>97</v>
      </c>
      <c r="V44" s="14">
        <f t="shared" si="4"/>
        <v>0.01</v>
      </c>
      <c r="W44" s="14">
        <f t="shared" si="5"/>
        <v>1664.9999999999998</v>
      </c>
      <c r="X44" s="13" t="s">
        <v>8233</v>
      </c>
      <c r="Y44" s="17"/>
      <c r="Z44" s="17"/>
      <c r="AA44" s="18">
        <v>96.3</v>
      </c>
      <c r="AB44" s="13"/>
      <c r="AC44" s="13" t="s">
        <v>8234</v>
      </c>
      <c r="AD44" s="13"/>
      <c r="AE44" s="13">
        <v>96.25</v>
      </c>
      <c r="AF44" s="13"/>
      <c r="AG44" s="13"/>
      <c r="AH44" s="13"/>
      <c r="AI44" s="19"/>
      <c r="AJ44" s="14"/>
      <c r="AK44" s="13" t="s">
        <v>8205</v>
      </c>
      <c r="AL44" s="13"/>
      <c r="AM44" s="13"/>
      <c r="AN44" s="13" t="s">
        <v>372</v>
      </c>
      <c r="AO44" s="13"/>
      <c r="AP44" s="20">
        <v>96.32</v>
      </c>
      <c r="AQ44" s="20">
        <f t="shared" ref="AQ44:AQ45" si="12">IF(ISBLANK(AP44),,IF(U44="S",AA44-AP44,AP44-AA44))</f>
        <v>-1.9999999999996021E-2</v>
      </c>
      <c r="AR44" s="92">
        <f t="shared" ref="AR44:AR45" si="13">AS44*R44</f>
        <v>-99.89999999998011</v>
      </c>
      <c r="AS44" s="21">
        <f t="shared" ref="AS44:AS45" si="14">IF(ISBLANK(AP44),,(AQ44*W44))</f>
        <v>-33.299999999993368</v>
      </c>
      <c r="AT44" s="22" t="s">
        <v>229</v>
      </c>
      <c r="AU44" s="13" t="s">
        <v>8235</v>
      </c>
      <c r="AV44" s="13" t="s">
        <v>8236</v>
      </c>
      <c r="AW44" s="13" t="s">
        <v>8237</v>
      </c>
      <c r="AX44" s="13"/>
      <c r="AY44" s="13"/>
      <c r="AZ44" s="13"/>
    </row>
    <row r="45" spans="1:52" ht="12.75">
      <c r="A45" s="12">
        <v>44785</v>
      </c>
      <c r="B45" s="13"/>
      <c r="C45" s="13" t="s">
        <v>111</v>
      </c>
      <c r="D45" s="17"/>
      <c r="E45" s="13"/>
      <c r="F45" s="14" t="s">
        <v>8134</v>
      </c>
      <c r="G45" s="13"/>
      <c r="H45" s="13"/>
      <c r="I45" s="13"/>
      <c r="J45" s="14"/>
      <c r="K45" s="14"/>
      <c r="L45" s="13">
        <v>1</v>
      </c>
      <c r="M45" s="13"/>
      <c r="N45" s="13">
        <v>3</v>
      </c>
      <c r="O45" s="14" t="s">
        <v>95</v>
      </c>
      <c r="P45" s="14" t="s">
        <v>96</v>
      </c>
      <c r="Q45" s="14" t="s">
        <v>684</v>
      </c>
      <c r="R45" s="14">
        <v>3</v>
      </c>
      <c r="S45" s="14">
        <v>3</v>
      </c>
      <c r="T45" s="14">
        <v>1</v>
      </c>
      <c r="U45" s="14" t="s">
        <v>97</v>
      </c>
      <c r="V45" s="14">
        <f t="shared" si="4"/>
        <v>0.01</v>
      </c>
      <c r="W45" s="14">
        <f t="shared" si="5"/>
        <v>1664.9999999999998</v>
      </c>
      <c r="X45" s="13" t="s">
        <v>8233</v>
      </c>
      <c r="Y45" s="17"/>
      <c r="Z45" s="17"/>
      <c r="AA45" s="18">
        <v>96.12</v>
      </c>
      <c r="AB45" s="13"/>
      <c r="AC45" s="13" t="s">
        <v>8238</v>
      </c>
      <c r="AD45" s="13"/>
      <c r="AE45" s="13">
        <v>96.09</v>
      </c>
      <c r="AF45" s="13"/>
      <c r="AG45" s="13"/>
      <c r="AH45" s="13"/>
      <c r="AI45" s="19"/>
      <c r="AJ45" s="14"/>
      <c r="AK45" s="13" t="s">
        <v>8205</v>
      </c>
      <c r="AL45" s="13"/>
      <c r="AM45" s="13"/>
      <c r="AN45" s="13" t="s">
        <v>372</v>
      </c>
      <c r="AO45" s="13"/>
      <c r="AP45" s="20">
        <v>96.16</v>
      </c>
      <c r="AQ45" s="20">
        <f t="shared" si="12"/>
        <v>-3.9999999999992042E-2</v>
      </c>
      <c r="AR45" s="92">
        <f t="shared" si="13"/>
        <v>-199.79999999996022</v>
      </c>
      <c r="AS45" s="21">
        <f t="shared" si="14"/>
        <v>-66.599999999986736</v>
      </c>
      <c r="AT45" s="22" t="s">
        <v>229</v>
      </c>
      <c r="AU45" s="13" t="s">
        <v>8235</v>
      </c>
      <c r="AV45" s="13" t="s">
        <v>8171</v>
      </c>
      <c r="AW45" s="13" t="s">
        <v>8237</v>
      </c>
      <c r="AX45" s="13"/>
      <c r="AY45" s="13"/>
      <c r="AZ45" s="13"/>
    </row>
    <row r="46" spans="1:52" ht="12.75">
      <c r="A46" s="12">
        <v>44785</v>
      </c>
      <c r="B46" s="13"/>
      <c r="C46" s="13" t="s">
        <v>111</v>
      </c>
      <c r="D46" s="17"/>
      <c r="E46" s="13"/>
      <c r="F46" s="14"/>
      <c r="G46" s="13"/>
      <c r="H46" s="13"/>
      <c r="I46" s="13"/>
      <c r="J46" s="13"/>
      <c r="K46" s="13"/>
      <c r="L46" s="13"/>
      <c r="M46" s="13"/>
      <c r="N46" s="13"/>
      <c r="O46" s="14"/>
      <c r="P46" s="14"/>
      <c r="Q46" s="14"/>
      <c r="R46" s="14"/>
      <c r="S46" s="14"/>
      <c r="T46" s="14"/>
      <c r="U46" s="14"/>
      <c r="V46" s="14"/>
      <c r="W46" s="14"/>
      <c r="X46" s="17"/>
      <c r="Y46" s="17"/>
      <c r="Z46" s="17"/>
      <c r="AA46" s="18"/>
      <c r="AB46" s="13"/>
      <c r="AC46" s="13"/>
      <c r="AD46" s="13"/>
      <c r="AE46" s="13"/>
      <c r="AF46" s="13"/>
      <c r="AG46" s="13"/>
      <c r="AH46" s="13"/>
      <c r="AI46" s="19"/>
      <c r="AJ46" s="14"/>
      <c r="AK46" s="13"/>
      <c r="AL46" s="13"/>
      <c r="AM46" s="13"/>
      <c r="AN46" s="13"/>
      <c r="AO46" s="13"/>
      <c r="AP46" s="20"/>
      <c r="AQ46" s="13"/>
      <c r="AR46" s="13"/>
      <c r="AS46" s="21"/>
      <c r="AT46" s="22"/>
      <c r="AU46" s="13" t="s">
        <v>8239</v>
      </c>
      <c r="AV46" s="13"/>
      <c r="AW46" s="13"/>
      <c r="AX46" s="13"/>
      <c r="AY46" s="13"/>
      <c r="AZ46" s="13"/>
    </row>
    <row r="47" spans="1:52" ht="12.75">
      <c r="A47" s="12">
        <v>44785</v>
      </c>
      <c r="B47" s="13"/>
      <c r="C47" s="13" t="s">
        <v>111</v>
      </c>
      <c r="D47" s="17"/>
      <c r="E47" s="13"/>
      <c r="F47" s="34" t="s">
        <v>8240</v>
      </c>
      <c r="G47" s="13"/>
      <c r="H47" s="13"/>
      <c r="I47" s="13"/>
      <c r="J47" s="14"/>
      <c r="K47" s="14"/>
      <c r="L47" s="13"/>
      <c r="M47" s="13"/>
      <c r="N47" s="13"/>
      <c r="O47" s="14"/>
      <c r="P47" s="14"/>
      <c r="Q47" s="14"/>
      <c r="R47" s="14">
        <v>4</v>
      </c>
      <c r="S47" s="14"/>
      <c r="T47" s="14"/>
      <c r="U47" s="14"/>
      <c r="V47" s="14">
        <f t="shared" ref="V47:V58" si="15">IF(ISBLANK(O47),,(IF(O47=UPPER("IB"),0.005,0.01)))</f>
        <v>0</v>
      </c>
      <c r="W47" s="14">
        <f t="shared" ref="W47:W58" si="16">IF(ISBLANK(O47),,IF(O47=UPPER("IB"),8.63*200,16.65*100))</f>
        <v>0</v>
      </c>
      <c r="X47" s="17" t="s">
        <v>8226</v>
      </c>
      <c r="Y47" s="17"/>
      <c r="Z47" s="17" t="s">
        <v>8226</v>
      </c>
      <c r="AA47" s="18">
        <v>0.5</v>
      </c>
      <c r="AB47" s="13"/>
      <c r="AC47" s="13"/>
      <c r="AD47" s="13"/>
      <c r="AE47" s="17">
        <v>0.6</v>
      </c>
      <c r="AF47" s="13"/>
      <c r="AG47" s="13"/>
      <c r="AH47" s="13"/>
      <c r="AI47" s="19"/>
      <c r="AJ47" s="14"/>
      <c r="AK47" s="13" t="s">
        <v>428</v>
      </c>
      <c r="AL47" s="13"/>
      <c r="AM47" s="13"/>
      <c r="AN47" s="13"/>
      <c r="AO47" s="13"/>
      <c r="AP47" s="20"/>
      <c r="AQ47" s="13"/>
      <c r="AR47" s="13"/>
      <c r="AS47" s="21"/>
      <c r="AT47" s="22"/>
      <c r="AU47" s="61"/>
      <c r="AV47" s="13"/>
      <c r="AW47" s="13"/>
      <c r="AX47" s="13"/>
      <c r="AY47" s="13"/>
      <c r="AZ47" s="13"/>
    </row>
    <row r="48" spans="1:52" ht="12.75">
      <c r="A48" s="12">
        <v>44785</v>
      </c>
      <c r="B48" s="13"/>
      <c r="C48" s="13" t="s">
        <v>111</v>
      </c>
      <c r="D48" s="17"/>
      <c r="E48" s="13"/>
      <c r="F48" s="95">
        <v>44917</v>
      </c>
      <c r="G48" s="13"/>
      <c r="H48" s="13"/>
      <c r="I48" s="13"/>
      <c r="J48" s="14"/>
      <c r="K48" s="14"/>
      <c r="L48" s="13">
        <v>3</v>
      </c>
      <c r="M48" s="13"/>
      <c r="N48" s="13"/>
      <c r="O48" s="14" t="s">
        <v>95</v>
      </c>
      <c r="P48" s="14" t="s">
        <v>96</v>
      </c>
      <c r="Q48" s="14" t="s">
        <v>684</v>
      </c>
      <c r="R48" s="14">
        <v>1</v>
      </c>
      <c r="S48" s="14">
        <v>1</v>
      </c>
      <c r="T48" s="14"/>
      <c r="U48" s="14" t="s">
        <v>22</v>
      </c>
      <c r="V48" s="14">
        <f t="shared" si="15"/>
        <v>0.01</v>
      </c>
      <c r="W48" s="14">
        <f t="shared" si="16"/>
        <v>1664.9999999999998</v>
      </c>
      <c r="X48" s="17" t="s">
        <v>5476</v>
      </c>
      <c r="Y48" s="17"/>
      <c r="Z48" s="17"/>
      <c r="AA48" s="18">
        <v>96.43</v>
      </c>
      <c r="AB48" s="13"/>
      <c r="AC48" s="13"/>
      <c r="AD48" s="13"/>
      <c r="AE48" s="13"/>
      <c r="AF48" s="13"/>
      <c r="AG48" s="13"/>
      <c r="AH48" s="13"/>
      <c r="AI48" s="19"/>
      <c r="AJ48" s="14"/>
      <c r="AK48" s="13"/>
      <c r="AL48" s="13"/>
      <c r="AM48" s="13" t="s">
        <v>8129</v>
      </c>
      <c r="AN48" s="13" t="s">
        <v>115</v>
      </c>
      <c r="AO48" s="35">
        <v>44790</v>
      </c>
      <c r="AP48" s="61">
        <v>96.64</v>
      </c>
      <c r="AQ48" s="20">
        <f t="shared" ref="AQ48:AQ58" si="17">IF(ISBLANK(AP48),,IF(U48="S",AA48-AP48,AP48-AA48))</f>
        <v>0.20999999999999375</v>
      </c>
      <c r="AR48" s="92">
        <f t="shared" ref="AR48:AR50" si="18">AS48*R48</f>
        <v>349.64999999998952</v>
      </c>
      <c r="AS48" s="21">
        <f t="shared" ref="AS48:AS58" si="19">IF(ISBLANK(AP48),,(AQ48*W48))</f>
        <v>349.64999999998952</v>
      </c>
      <c r="AT48" s="22" t="s">
        <v>96</v>
      </c>
      <c r="AU48" s="13" t="s">
        <v>8241</v>
      </c>
      <c r="AV48" s="13"/>
      <c r="AW48" s="13"/>
      <c r="AX48" s="13"/>
      <c r="AY48" s="13"/>
      <c r="AZ48" s="13"/>
    </row>
    <row r="49" spans="1:52" ht="12.75">
      <c r="A49" s="12"/>
      <c r="B49" s="13"/>
      <c r="C49" s="13"/>
      <c r="D49" s="17"/>
      <c r="E49" s="13"/>
      <c r="F49" s="95">
        <v>44735</v>
      </c>
      <c r="G49" s="13"/>
      <c r="H49" s="13"/>
      <c r="I49" s="13"/>
      <c r="J49" s="14"/>
      <c r="K49" s="14"/>
      <c r="L49" s="13">
        <v>3</v>
      </c>
      <c r="M49" s="13"/>
      <c r="N49" s="13"/>
      <c r="O49" s="14" t="s">
        <v>95</v>
      </c>
      <c r="P49" s="14" t="s">
        <v>96</v>
      </c>
      <c r="Q49" s="14" t="s">
        <v>684</v>
      </c>
      <c r="R49" s="14">
        <v>2</v>
      </c>
      <c r="S49" s="14">
        <v>2</v>
      </c>
      <c r="T49" s="14"/>
      <c r="U49" s="14" t="s">
        <v>97</v>
      </c>
      <c r="V49" s="14">
        <f t="shared" si="15"/>
        <v>0.01</v>
      </c>
      <c r="W49" s="14">
        <f t="shared" si="16"/>
        <v>1664.9999999999998</v>
      </c>
      <c r="X49" s="17" t="s">
        <v>5476</v>
      </c>
      <c r="Y49" s="17"/>
      <c r="Z49" s="17"/>
      <c r="AA49" s="18">
        <v>96.12</v>
      </c>
      <c r="AB49" s="13"/>
      <c r="AC49" s="13"/>
      <c r="AD49" s="13"/>
      <c r="AE49" s="13"/>
      <c r="AF49" s="13"/>
      <c r="AG49" s="13"/>
      <c r="AH49" s="13"/>
      <c r="AI49" s="19"/>
      <c r="AJ49" s="14"/>
      <c r="AK49" s="13"/>
      <c r="AL49" s="13"/>
      <c r="AM49" s="13"/>
      <c r="AN49" s="13" t="s">
        <v>115</v>
      </c>
      <c r="AO49" s="35">
        <v>44790</v>
      </c>
      <c r="AP49" s="20">
        <v>96.29</v>
      </c>
      <c r="AQ49" s="20">
        <f t="shared" si="17"/>
        <v>-0.17000000000000171</v>
      </c>
      <c r="AR49" s="92">
        <f t="shared" si="18"/>
        <v>-566.10000000000559</v>
      </c>
      <c r="AS49" s="21">
        <f t="shared" si="19"/>
        <v>-283.0500000000028</v>
      </c>
      <c r="AT49" s="22" t="s">
        <v>229</v>
      </c>
      <c r="AU49" s="13" t="s">
        <v>8241</v>
      </c>
      <c r="AV49" s="13"/>
      <c r="AW49" s="13"/>
      <c r="AX49" s="13"/>
      <c r="AY49" s="13"/>
      <c r="AZ49" s="13"/>
    </row>
    <row r="50" spans="1:52" ht="12.75">
      <c r="A50" s="12">
        <v>44785</v>
      </c>
      <c r="B50" s="13"/>
      <c r="C50" s="13" t="s">
        <v>111</v>
      </c>
      <c r="D50" s="17"/>
      <c r="E50" s="13"/>
      <c r="F50" s="95">
        <v>44918</v>
      </c>
      <c r="G50" s="13"/>
      <c r="H50" s="13"/>
      <c r="I50" s="13"/>
      <c r="J50" s="14"/>
      <c r="K50" s="14"/>
      <c r="L50" s="13">
        <v>3</v>
      </c>
      <c r="M50" s="13"/>
      <c r="N50" s="13"/>
      <c r="O50" s="14" t="s">
        <v>95</v>
      </c>
      <c r="P50" s="14" t="s">
        <v>137</v>
      </c>
      <c r="Q50" s="14" t="s">
        <v>684</v>
      </c>
      <c r="R50" s="14">
        <v>1</v>
      </c>
      <c r="S50" s="14">
        <v>1</v>
      </c>
      <c r="T50" s="14"/>
      <c r="U50" s="14" t="s">
        <v>22</v>
      </c>
      <c r="V50" s="14">
        <f t="shared" si="15"/>
        <v>0.01</v>
      </c>
      <c r="W50" s="14">
        <f t="shared" si="16"/>
        <v>1664.9999999999998</v>
      </c>
      <c r="X50" s="17" t="s">
        <v>5476</v>
      </c>
      <c r="Y50" s="17"/>
      <c r="Z50" s="17"/>
      <c r="AA50" s="18">
        <v>96.31</v>
      </c>
      <c r="AB50" s="13"/>
      <c r="AC50" s="13"/>
      <c r="AD50" s="13"/>
      <c r="AE50" s="13"/>
      <c r="AF50" s="13"/>
      <c r="AG50" s="13"/>
      <c r="AH50" s="13"/>
      <c r="AI50" s="19"/>
      <c r="AJ50" s="14"/>
      <c r="AK50" s="13"/>
      <c r="AL50" s="13"/>
      <c r="AM50" s="13"/>
      <c r="AN50" s="13" t="s">
        <v>115</v>
      </c>
      <c r="AO50" s="35">
        <v>44790</v>
      </c>
      <c r="AP50" s="20">
        <v>96.45</v>
      </c>
      <c r="AQ50" s="20">
        <f t="shared" si="17"/>
        <v>0.14000000000000057</v>
      </c>
      <c r="AR50" s="92">
        <f t="shared" si="18"/>
        <v>233.1000000000009</v>
      </c>
      <c r="AS50" s="21">
        <f t="shared" si="19"/>
        <v>233.1000000000009</v>
      </c>
      <c r="AT50" s="22" t="s">
        <v>96</v>
      </c>
      <c r="AU50" s="13" t="s">
        <v>8241</v>
      </c>
      <c r="AV50" s="13"/>
      <c r="AW50" s="13"/>
      <c r="AX50" s="13"/>
      <c r="AY50" s="13"/>
      <c r="AZ50" s="13"/>
    </row>
    <row r="51" spans="1:52" ht="12.75">
      <c r="A51" s="12"/>
      <c r="B51" s="13"/>
      <c r="C51" s="13"/>
      <c r="D51" s="17"/>
      <c r="E51" s="13"/>
      <c r="F51" s="34" t="s">
        <v>8242</v>
      </c>
      <c r="G51" s="13"/>
      <c r="H51" s="13"/>
      <c r="I51" s="13"/>
      <c r="J51" s="14"/>
      <c r="K51" s="14"/>
      <c r="L51" s="13"/>
      <c r="M51" s="13">
        <v>3</v>
      </c>
      <c r="N51" s="13"/>
      <c r="O51" s="14" t="s">
        <v>95</v>
      </c>
      <c r="P51" s="14"/>
      <c r="Q51" s="14"/>
      <c r="R51" s="14">
        <v>8</v>
      </c>
      <c r="S51" s="14">
        <v>8</v>
      </c>
      <c r="T51" s="14"/>
      <c r="U51" s="14"/>
      <c r="V51" s="14">
        <f t="shared" si="15"/>
        <v>0.01</v>
      </c>
      <c r="W51" s="14">
        <f t="shared" si="16"/>
        <v>1664.9999999999998</v>
      </c>
      <c r="X51" s="17"/>
      <c r="Y51" s="17"/>
      <c r="Z51" s="17"/>
      <c r="AA51" s="18">
        <f>AA52-AA53</f>
        <v>0.84000000000000341</v>
      </c>
      <c r="AB51" s="13"/>
      <c r="AC51" s="13"/>
      <c r="AD51" s="13"/>
      <c r="AE51" s="13" t="s">
        <v>8243</v>
      </c>
      <c r="AF51" s="13"/>
      <c r="AG51" s="13"/>
      <c r="AH51" s="13"/>
      <c r="AI51" s="19"/>
      <c r="AJ51" s="14"/>
      <c r="AK51" s="13" t="s">
        <v>448</v>
      </c>
      <c r="AL51" s="13"/>
      <c r="AM51" s="13"/>
      <c r="AN51" s="13"/>
      <c r="AO51" s="13"/>
      <c r="AP51" s="20"/>
      <c r="AQ51" s="13">
        <f t="shared" si="17"/>
        <v>0</v>
      </c>
      <c r="AR51" s="92"/>
      <c r="AS51" s="21">
        <f t="shared" si="19"/>
        <v>0</v>
      </c>
      <c r="AT51" s="22"/>
      <c r="AU51" s="13" t="s">
        <v>8244</v>
      </c>
      <c r="AV51" s="13"/>
      <c r="AW51" s="13"/>
      <c r="AX51" s="13"/>
      <c r="AY51" s="13"/>
      <c r="AZ51" s="13"/>
    </row>
    <row r="52" spans="1:52" ht="15">
      <c r="A52" s="12">
        <v>44789</v>
      </c>
      <c r="B52" s="13"/>
      <c r="C52" s="13" t="s">
        <v>146</v>
      </c>
      <c r="D52" s="17"/>
      <c r="E52" s="13"/>
      <c r="F52" s="34" t="s">
        <v>8132</v>
      </c>
      <c r="G52" s="13"/>
      <c r="H52" s="13"/>
      <c r="I52" s="13"/>
      <c r="J52" s="14" t="s">
        <v>372</v>
      </c>
      <c r="K52" s="14"/>
      <c r="L52" s="13"/>
      <c r="M52" s="13"/>
      <c r="N52" s="13"/>
      <c r="O52" s="14" t="s">
        <v>95</v>
      </c>
      <c r="P52" s="14" t="s">
        <v>96</v>
      </c>
      <c r="Q52" s="14" t="s">
        <v>684</v>
      </c>
      <c r="R52" s="14">
        <v>4</v>
      </c>
      <c r="S52" s="14">
        <v>4</v>
      </c>
      <c r="T52" s="14">
        <v>2</v>
      </c>
      <c r="U52" s="14" t="s">
        <v>97</v>
      </c>
      <c r="V52" s="14">
        <f t="shared" si="15"/>
        <v>0.01</v>
      </c>
      <c r="W52" s="14">
        <f t="shared" si="16"/>
        <v>1664.9999999999998</v>
      </c>
      <c r="X52" s="17" t="s">
        <v>8245</v>
      </c>
      <c r="Y52" s="17" t="s">
        <v>8246</v>
      </c>
      <c r="Z52" s="96" t="s">
        <v>8247</v>
      </c>
      <c r="AA52" s="18">
        <v>97.41</v>
      </c>
      <c r="AB52" s="13"/>
      <c r="AC52" s="13">
        <v>97.43</v>
      </c>
      <c r="AD52" s="13" t="s">
        <v>8248</v>
      </c>
      <c r="AE52" s="13">
        <v>97.37</v>
      </c>
      <c r="AF52" s="13" t="s">
        <v>8249</v>
      </c>
      <c r="AG52" s="13"/>
      <c r="AH52" s="13"/>
      <c r="AI52" s="19"/>
      <c r="AJ52" s="14"/>
      <c r="AK52" s="13"/>
      <c r="AL52" s="13"/>
      <c r="AM52" s="13"/>
      <c r="AN52" s="13"/>
      <c r="AO52" s="13"/>
      <c r="AP52" s="20">
        <v>97.37</v>
      </c>
      <c r="AQ52" s="20">
        <f t="shared" si="17"/>
        <v>3.9999999999992042E-2</v>
      </c>
      <c r="AR52" s="92">
        <f t="shared" ref="AR52:AR58" si="20">AS52*R52</f>
        <v>266.39999999994694</v>
      </c>
      <c r="AS52" s="21">
        <f t="shared" si="19"/>
        <v>66.599999999986736</v>
      </c>
      <c r="AT52" s="22" t="s">
        <v>96</v>
      </c>
      <c r="AU52" s="13" t="s">
        <v>8250</v>
      </c>
      <c r="AV52" s="13"/>
      <c r="AW52" s="13"/>
      <c r="AX52" s="13"/>
      <c r="AY52" s="13"/>
      <c r="AZ52" s="13"/>
    </row>
    <row r="53" spans="1:52" ht="12.75">
      <c r="A53" s="12">
        <v>44790</v>
      </c>
      <c r="B53" s="13"/>
      <c r="C53" s="13" t="s">
        <v>151</v>
      </c>
      <c r="D53" s="17"/>
      <c r="E53" s="13"/>
      <c r="F53" s="34" t="s">
        <v>8251</v>
      </c>
      <c r="G53" s="13"/>
      <c r="H53" s="13"/>
      <c r="I53" s="13"/>
      <c r="J53" s="14"/>
      <c r="K53" s="14"/>
      <c r="L53" s="13"/>
      <c r="M53" s="13">
        <v>3</v>
      </c>
      <c r="N53" s="13"/>
      <c r="O53" s="14" t="s">
        <v>95</v>
      </c>
      <c r="P53" s="14" t="s">
        <v>8252</v>
      </c>
      <c r="Q53" s="14" t="s">
        <v>684</v>
      </c>
      <c r="R53" s="14">
        <v>4</v>
      </c>
      <c r="S53" s="14">
        <v>4</v>
      </c>
      <c r="T53" s="14">
        <v>4</v>
      </c>
      <c r="U53" s="14" t="s">
        <v>22</v>
      </c>
      <c r="V53" s="14">
        <f t="shared" si="15"/>
        <v>0.01</v>
      </c>
      <c r="W53" s="14">
        <f t="shared" si="16"/>
        <v>1664.9999999999998</v>
      </c>
      <c r="X53" s="17" t="s">
        <v>8253</v>
      </c>
      <c r="Y53" s="17"/>
      <c r="Z53" s="17"/>
      <c r="AA53" s="18">
        <v>96.57</v>
      </c>
      <c r="AB53" s="13"/>
      <c r="AC53" s="13"/>
      <c r="AD53" s="13"/>
      <c r="AE53" s="13"/>
      <c r="AF53" s="13"/>
      <c r="AG53" s="13"/>
      <c r="AH53" s="13"/>
      <c r="AI53" s="19"/>
      <c r="AJ53" s="14"/>
      <c r="AK53" s="13"/>
      <c r="AL53" s="13"/>
      <c r="AM53" s="13"/>
      <c r="AN53" s="13" t="s">
        <v>372</v>
      </c>
      <c r="AO53" s="13"/>
      <c r="AP53" s="20">
        <v>96.47</v>
      </c>
      <c r="AQ53" s="20">
        <f t="shared" si="17"/>
        <v>-9.9999999999994316E-2</v>
      </c>
      <c r="AR53" s="92">
        <f t="shared" si="20"/>
        <v>-665.99999999996203</v>
      </c>
      <c r="AS53" s="21">
        <f t="shared" si="19"/>
        <v>-166.49999999999051</v>
      </c>
      <c r="AT53" s="22" t="s">
        <v>229</v>
      </c>
      <c r="AU53" s="13" t="s">
        <v>8254</v>
      </c>
      <c r="AV53" s="13"/>
      <c r="AW53" s="13"/>
      <c r="AX53" s="13"/>
      <c r="AY53" s="13"/>
      <c r="AZ53" s="13"/>
    </row>
    <row r="54" spans="1:52" ht="12.75">
      <c r="A54" s="12">
        <v>44790</v>
      </c>
      <c r="B54" s="13"/>
      <c r="C54" s="13" t="s">
        <v>151</v>
      </c>
      <c r="D54" s="17" t="s">
        <v>8255</v>
      </c>
      <c r="E54" s="13" t="s">
        <v>8256</v>
      </c>
      <c r="F54" s="34" t="s">
        <v>8133</v>
      </c>
      <c r="G54" s="13"/>
      <c r="H54" s="13">
        <v>1</v>
      </c>
      <c r="I54" s="13">
        <v>1</v>
      </c>
      <c r="J54" s="14"/>
      <c r="K54" s="14"/>
      <c r="L54" s="13">
        <v>3</v>
      </c>
      <c r="M54" s="13"/>
      <c r="N54" s="13"/>
      <c r="O54" s="14" t="s">
        <v>95</v>
      </c>
      <c r="P54" s="14" t="s">
        <v>96</v>
      </c>
      <c r="Q54" s="14" t="s">
        <v>684</v>
      </c>
      <c r="R54" s="14">
        <v>8</v>
      </c>
      <c r="S54" s="14">
        <v>8</v>
      </c>
      <c r="T54" s="14">
        <v>5</v>
      </c>
      <c r="U54" s="14" t="s">
        <v>22</v>
      </c>
      <c r="V54" s="14">
        <f t="shared" si="15"/>
        <v>0.01</v>
      </c>
      <c r="W54" s="14">
        <f t="shared" si="16"/>
        <v>1664.9999999999998</v>
      </c>
      <c r="X54" s="17" t="s">
        <v>5476</v>
      </c>
      <c r="Y54" s="17"/>
      <c r="Z54" s="17"/>
      <c r="AA54" s="18">
        <v>96.37</v>
      </c>
      <c r="AB54" s="13"/>
      <c r="AC54" s="13">
        <v>96.3</v>
      </c>
      <c r="AD54" s="13"/>
      <c r="AE54" s="13" t="s">
        <v>8257</v>
      </c>
      <c r="AF54" s="13"/>
      <c r="AG54" s="13"/>
      <c r="AH54" s="13"/>
      <c r="AI54" s="19"/>
      <c r="AJ54" s="14"/>
      <c r="AK54" s="13" t="s">
        <v>6479</v>
      </c>
      <c r="AL54" s="13"/>
      <c r="AM54" s="13"/>
      <c r="AN54" s="13" t="s">
        <v>372</v>
      </c>
      <c r="AO54" s="35">
        <v>44790</v>
      </c>
      <c r="AP54" s="20">
        <v>96.34</v>
      </c>
      <c r="AQ54" s="20">
        <f t="shared" si="17"/>
        <v>-3.0000000000001137E-2</v>
      </c>
      <c r="AR54" s="92">
        <f t="shared" si="20"/>
        <v>-399.60000000001509</v>
      </c>
      <c r="AS54" s="21">
        <f t="shared" si="19"/>
        <v>-49.950000000001886</v>
      </c>
      <c r="AT54" s="22" t="s">
        <v>229</v>
      </c>
      <c r="AU54" s="13" t="s">
        <v>8258</v>
      </c>
      <c r="AV54" s="13" t="s">
        <v>8259</v>
      </c>
      <c r="AW54" s="13"/>
      <c r="AX54" s="13"/>
      <c r="AY54" s="13"/>
      <c r="AZ54" s="13"/>
    </row>
    <row r="55" spans="1:52" ht="12.75">
      <c r="A55" s="12">
        <v>44790</v>
      </c>
      <c r="B55" s="13"/>
      <c r="C55" s="13" t="s">
        <v>151</v>
      </c>
      <c r="D55" s="17" t="s">
        <v>8255</v>
      </c>
      <c r="E55" s="13" t="s">
        <v>8256</v>
      </c>
      <c r="F55" s="14" t="s">
        <v>3337</v>
      </c>
      <c r="G55" s="13"/>
      <c r="H55" s="13">
        <v>1</v>
      </c>
      <c r="I55" s="13">
        <v>1</v>
      </c>
      <c r="J55" s="14"/>
      <c r="K55" s="14"/>
      <c r="L55" s="13">
        <v>3</v>
      </c>
      <c r="M55" s="13"/>
      <c r="N55" s="13"/>
      <c r="O55" s="14" t="s">
        <v>95</v>
      </c>
      <c r="P55" s="14" t="s">
        <v>137</v>
      </c>
      <c r="Q55" s="14" t="s">
        <v>684</v>
      </c>
      <c r="R55" s="14">
        <v>4</v>
      </c>
      <c r="S55" s="14">
        <v>4</v>
      </c>
      <c r="T55" s="14">
        <v>4</v>
      </c>
      <c r="U55" s="14" t="s">
        <v>22</v>
      </c>
      <c r="V55" s="14">
        <f t="shared" si="15"/>
        <v>0.01</v>
      </c>
      <c r="W55" s="14">
        <f t="shared" si="16"/>
        <v>1664.9999999999998</v>
      </c>
      <c r="X55" s="17" t="s">
        <v>5476</v>
      </c>
      <c r="Y55" s="17"/>
      <c r="Z55" s="17"/>
      <c r="AA55" s="18">
        <v>96.29</v>
      </c>
      <c r="AB55" s="13"/>
      <c r="AC55" s="13"/>
      <c r="AD55" s="13"/>
      <c r="AE55" s="13"/>
      <c r="AF55" s="13"/>
      <c r="AG55" s="13"/>
      <c r="AH55" s="13"/>
      <c r="AI55" s="19"/>
      <c r="AJ55" s="14"/>
      <c r="AK55" s="13" t="s">
        <v>6479</v>
      </c>
      <c r="AL55" s="13"/>
      <c r="AM55" s="13"/>
      <c r="AN55" s="13" t="s">
        <v>372</v>
      </c>
      <c r="AO55" s="35">
        <v>44790</v>
      </c>
      <c r="AP55" s="20">
        <v>96.36</v>
      </c>
      <c r="AQ55" s="20">
        <f t="shared" si="17"/>
        <v>6.9999999999993179E-2</v>
      </c>
      <c r="AR55" s="92">
        <f t="shared" si="20"/>
        <v>466.19999999995451</v>
      </c>
      <c r="AS55" s="21">
        <f t="shared" si="19"/>
        <v>116.54999999998863</v>
      </c>
      <c r="AT55" s="22" t="s">
        <v>96</v>
      </c>
      <c r="AU55" s="13" t="s">
        <v>8241</v>
      </c>
      <c r="AV55" s="13" t="s">
        <v>8259</v>
      </c>
      <c r="AW55" s="13"/>
      <c r="AX55" s="13"/>
      <c r="AY55" s="13"/>
      <c r="AZ55" s="13"/>
    </row>
    <row r="56" spans="1:52" ht="12.75">
      <c r="A56" s="12">
        <v>44790</v>
      </c>
      <c r="B56" s="13"/>
      <c r="C56" s="13" t="s">
        <v>151</v>
      </c>
      <c r="D56" s="17"/>
      <c r="E56" s="13"/>
      <c r="F56" s="14" t="s">
        <v>8133</v>
      </c>
      <c r="G56" s="13"/>
      <c r="H56" s="13"/>
      <c r="I56" s="13"/>
      <c r="J56" s="14"/>
      <c r="K56" s="14"/>
      <c r="L56" s="13">
        <v>1</v>
      </c>
      <c r="M56" s="13"/>
      <c r="N56" s="13"/>
      <c r="O56" s="14" t="s">
        <v>95</v>
      </c>
      <c r="P56" s="14" t="s">
        <v>96</v>
      </c>
      <c r="Q56" s="14" t="s">
        <v>684</v>
      </c>
      <c r="R56" s="14">
        <v>1</v>
      </c>
      <c r="S56" s="14">
        <v>1</v>
      </c>
      <c r="T56" s="14">
        <v>1</v>
      </c>
      <c r="U56" s="14" t="s">
        <v>22</v>
      </c>
      <c r="V56" s="14">
        <f t="shared" si="15"/>
        <v>0.01</v>
      </c>
      <c r="W56" s="14">
        <f t="shared" si="16"/>
        <v>1664.9999999999998</v>
      </c>
      <c r="X56" s="17" t="s">
        <v>8260</v>
      </c>
      <c r="Y56" s="17"/>
      <c r="Z56" s="17"/>
      <c r="AA56" s="18">
        <v>96.25</v>
      </c>
      <c r="AB56" s="13"/>
      <c r="AC56" s="13">
        <v>96.22</v>
      </c>
      <c r="AD56" s="13" t="s">
        <v>8261</v>
      </c>
      <c r="AE56" s="13"/>
      <c r="AF56" s="13"/>
      <c r="AG56" s="13"/>
      <c r="AH56" s="13"/>
      <c r="AI56" s="19"/>
      <c r="AJ56" s="14"/>
      <c r="AK56" s="13" t="s">
        <v>8262</v>
      </c>
      <c r="AL56" s="13"/>
      <c r="AM56" s="13"/>
      <c r="AN56" s="13" t="s">
        <v>372</v>
      </c>
      <c r="AO56" s="35">
        <v>44790</v>
      </c>
      <c r="AP56" s="20">
        <v>96.22</v>
      </c>
      <c r="AQ56" s="20">
        <f t="shared" si="17"/>
        <v>-3.0000000000001137E-2</v>
      </c>
      <c r="AR56" s="92">
        <f t="shared" si="20"/>
        <v>-49.950000000001886</v>
      </c>
      <c r="AS56" s="21">
        <f t="shared" si="19"/>
        <v>-49.950000000001886</v>
      </c>
      <c r="AT56" s="22" t="s">
        <v>229</v>
      </c>
      <c r="AU56" s="13"/>
      <c r="AV56" s="13"/>
      <c r="AW56" s="13"/>
      <c r="AX56" s="13"/>
      <c r="AY56" s="13"/>
      <c r="AZ56" s="13"/>
    </row>
    <row r="57" spans="1:52" ht="12.75">
      <c r="A57" s="12">
        <v>44790</v>
      </c>
      <c r="B57" s="13"/>
      <c r="C57" s="13" t="s">
        <v>151</v>
      </c>
      <c r="D57" s="17"/>
      <c r="E57" s="13"/>
      <c r="F57" s="14" t="s">
        <v>3337</v>
      </c>
      <c r="G57" s="13"/>
      <c r="H57" s="13"/>
      <c r="I57" s="13"/>
      <c r="J57" s="14"/>
      <c r="K57" s="14"/>
      <c r="L57" s="13">
        <v>1</v>
      </c>
      <c r="M57" s="13"/>
      <c r="N57" s="13"/>
      <c r="O57" s="14" t="s">
        <v>95</v>
      </c>
      <c r="P57" s="14" t="s">
        <v>137</v>
      </c>
      <c r="Q57" s="14" t="s">
        <v>684</v>
      </c>
      <c r="R57" s="14">
        <v>1</v>
      </c>
      <c r="S57" s="14">
        <v>1</v>
      </c>
      <c r="T57" s="14">
        <v>1</v>
      </c>
      <c r="U57" s="14" t="s">
        <v>22</v>
      </c>
      <c r="V57" s="14">
        <f t="shared" si="15"/>
        <v>0.01</v>
      </c>
      <c r="W57" s="14">
        <f t="shared" si="16"/>
        <v>1664.9999999999998</v>
      </c>
      <c r="X57" s="17" t="s">
        <v>8260</v>
      </c>
      <c r="Y57" s="17"/>
      <c r="Z57" s="17"/>
      <c r="AA57" s="18">
        <v>96.26</v>
      </c>
      <c r="AB57" s="13"/>
      <c r="AC57" s="13">
        <v>96.23</v>
      </c>
      <c r="AD57" s="13" t="s">
        <v>8261</v>
      </c>
      <c r="AE57" s="13"/>
      <c r="AF57" s="13"/>
      <c r="AG57" s="13"/>
      <c r="AH57" s="13"/>
      <c r="AI57" s="19"/>
      <c r="AJ57" s="14"/>
      <c r="AK57" s="13" t="s">
        <v>8262</v>
      </c>
      <c r="AL57" s="13"/>
      <c r="AM57" s="13"/>
      <c r="AN57" s="13" t="s">
        <v>372</v>
      </c>
      <c r="AO57" s="35">
        <v>44790</v>
      </c>
      <c r="AP57" s="20">
        <v>96.23</v>
      </c>
      <c r="AQ57" s="20">
        <f t="shared" si="17"/>
        <v>-3.0000000000001137E-2</v>
      </c>
      <c r="AR57" s="92">
        <f t="shared" si="20"/>
        <v>-49.950000000001886</v>
      </c>
      <c r="AS57" s="21">
        <f t="shared" si="19"/>
        <v>-49.950000000001886</v>
      </c>
      <c r="AT57" s="22" t="s">
        <v>229</v>
      </c>
      <c r="AU57" s="13" t="s">
        <v>8263</v>
      </c>
      <c r="AV57" s="13" t="s">
        <v>8264</v>
      </c>
      <c r="AW57" s="13"/>
      <c r="AX57" s="13"/>
      <c r="AY57" s="13"/>
      <c r="AZ57" s="13"/>
    </row>
    <row r="58" spans="1:52" ht="12.75">
      <c r="A58" s="12">
        <v>44790</v>
      </c>
      <c r="B58" s="13"/>
      <c r="C58" s="13" t="s">
        <v>151</v>
      </c>
      <c r="D58" s="17"/>
      <c r="E58" s="13"/>
      <c r="F58" s="14" t="s">
        <v>8132</v>
      </c>
      <c r="G58" s="13"/>
      <c r="H58" s="13"/>
      <c r="I58" s="13"/>
      <c r="J58" s="14"/>
      <c r="K58" s="14"/>
      <c r="L58" s="13"/>
      <c r="M58" s="13">
        <v>1</v>
      </c>
      <c r="N58" s="13"/>
      <c r="O58" s="14" t="s">
        <v>95</v>
      </c>
      <c r="P58" s="14" t="s">
        <v>96</v>
      </c>
      <c r="Q58" s="14" t="s">
        <v>684</v>
      </c>
      <c r="R58" s="14">
        <v>1</v>
      </c>
      <c r="S58" s="14">
        <v>1</v>
      </c>
      <c r="T58" s="14">
        <v>1</v>
      </c>
      <c r="U58" s="14" t="s">
        <v>97</v>
      </c>
      <c r="V58" s="14">
        <f t="shared" si="15"/>
        <v>0.01</v>
      </c>
      <c r="W58" s="14">
        <f t="shared" si="16"/>
        <v>1664.9999999999998</v>
      </c>
      <c r="X58" s="17"/>
      <c r="Y58" s="17" t="s">
        <v>8265</v>
      </c>
      <c r="Z58" s="17"/>
      <c r="AA58" s="18">
        <v>97.38</v>
      </c>
      <c r="AB58" s="13"/>
      <c r="AC58" s="13">
        <v>97.42</v>
      </c>
      <c r="AD58" s="13" t="s">
        <v>8266</v>
      </c>
      <c r="AE58" s="13">
        <v>97.37</v>
      </c>
      <c r="AF58" s="13" t="s">
        <v>8267</v>
      </c>
      <c r="AG58" s="13"/>
      <c r="AH58" s="13"/>
      <c r="AI58" s="19"/>
      <c r="AJ58" s="14"/>
      <c r="AK58" s="13"/>
      <c r="AL58" s="13"/>
      <c r="AM58" s="13"/>
      <c r="AN58" s="13" t="s">
        <v>372</v>
      </c>
      <c r="AO58" s="35">
        <v>44790</v>
      </c>
      <c r="AP58" s="20">
        <v>97.39</v>
      </c>
      <c r="AQ58" s="20">
        <f t="shared" si="17"/>
        <v>-1.0000000000005116E-2</v>
      </c>
      <c r="AR58" s="92">
        <f t="shared" si="20"/>
        <v>-16.650000000008514</v>
      </c>
      <c r="AS58" s="21">
        <f t="shared" si="19"/>
        <v>-16.650000000008514</v>
      </c>
      <c r="AT58" s="22" t="s">
        <v>229</v>
      </c>
      <c r="AU58" s="13"/>
      <c r="AV58" s="13"/>
      <c r="AW58" s="13"/>
      <c r="AX58" s="13"/>
      <c r="AY58" s="13"/>
      <c r="AZ58" s="13"/>
    </row>
    <row r="59" spans="1:52" ht="12.75">
      <c r="A59" s="12"/>
      <c r="B59" s="13"/>
      <c r="C59" s="13"/>
      <c r="D59" s="17"/>
      <c r="E59" s="13"/>
      <c r="F59" s="34" t="s">
        <v>8268</v>
      </c>
      <c r="G59" s="13"/>
      <c r="H59" s="13"/>
      <c r="I59" s="13"/>
      <c r="J59" s="14"/>
      <c r="K59" s="14"/>
      <c r="L59" s="13"/>
      <c r="M59" s="13"/>
      <c r="N59" s="13"/>
      <c r="O59" s="14"/>
      <c r="P59" s="14"/>
      <c r="Q59" s="14"/>
      <c r="R59" s="14"/>
      <c r="S59" s="14"/>
      <c r="T59" s="14"/>
      <c r="U59" s="14"/>
      <c r="V59" s="14"/>
      <c r="W59" s="14"/>
      <c r="X59" s="17"/>
      <c r="Y59" s="17"/>
      <c r="Z59" s="17"/>
      <c r="AA59" s="18"/>
      <c r="AB59" s="13"/>
      <c r="AC59" s="13"/>
      <c r="AD59" s="13"/>
      <c r="AE59" s="13"/>
      <c r="AF59" s="13"/>
      <c r="AG59" s="13"/>
      <c r="AH59" s="13"/>
      <c r="AI59" s="19"/>
      <c r="AJ59" s="14"/>
      <c r="AK59" s="13"/>
      <c r="AL59" s="13"/>
      <c r="AM59" s="13"/>
      <c r="AN59" s="13"/>
      <c r="AO59" s="13"/>
      <c r="AP59" s="20"/>
      <c r="AQ59" s="20"/>
      <c r="AR59" s="20"/>
      <c r="AS59" s="21"/>
      <c r="AT59" s="22"/>
      <c r="AU59" s="13"/>
      <c r="AV59" s="13"/>
      <c r="AW59" s="13"/>
      <c r="AX59" s="13"/>
      <c r="AY59" s="13"/>
      <c r="AZ59" s="13"/>
    </row>
    <row r="60" spans="1:52" ht="12.75">
      <c r="A60" s="12"/>
      <c r="B60" s="13"/>
      <c r="C60" s="13"/>
      <c r="D60" s="17"/>
      <c r="E60" s="13"/>
      <c r="F60" s="34" t="s">
        <v>8269</v>
      </c>
      <c r="G60" s="13"/>
      <c r="H60" s="13"/>
      <c r="I60" s="13"/>
      <c r="J60" s="14"/>
      <c r="K60" s="14"/>
      <c r="L60" s="13"/>
      <c r="M60" s="13"/>
      <c r="N60" s="13"/>
      <c r="O60" s="14"/>
      <c r="P60" s="14"/>
      <c r="Q60" s="14"/>
      <c r="R60" s="14"/>
      <c r="S60" s="14"/>
      <c r="T60" s="14"/>
      <c r="U60" s="14"/>
      <c r="V60" s="14"/>
      <c r="W60" s="14"/>
      <c r="X60" s="17"/>
      <c r="Y60" s="17"/>
      <c r="Z60" s="17"/>
      <c r="AA60" s="18"/>
      <c r="AB60" s="13"/>
      <c r="AC60" s="13"/>
      <c r="AD60" s="13"/>
      <c r="AE60" s="13"/>
      <c r="AF60" s="13"/>
      <c r="AG60" s="13"/>
      <c r="AH60" s="13"/>
      <c r="AI60" s="19"/>
      <c r="AJ60" s="14"/>
      <c r="AK60" s="13"/>
      <c r="AL60" s="13"/>
      <c r="AM60" s="13"/>
      <c r="AN60" s="13"/>
      <c r="AO60" s="13"/>
      <c r="AP60" s="20"/>
      <c r="AQ60" s="20"/>
      <c r="AR60" s="20"/>
      <c r="AS60" s="21"/>
      <c r="AT60" s="22"/>
      <c r="AU60" s="13"/>
      <c r="AV60" s="13"/>
      <c r="AW60" s="13"/>
      <c r="AX60" s="13"/>
      <c r="AY60" s="13"/>
      <c r="AZ60" s="13"/>
    </row>
    <row r="61" spans="1:52" ht="12.75">
      <c r="A61" s="12">
        <v>44790</v>
      </c>
      <c r="B61" s="13"/>
      <c r="C61" s="13" t="s">
        <v>151</v>
      </c>
      <c r="D61" s="17"/>
      <c r="E61" s="13"/>
      <c r="F61" s="14" t="s">
        <v>3337</v>
      </c>
      <c r="G61" s="13"/>
      <c r="H61" s="13"/>
      <c r="I61" s="13"/>
      <c r="J61" s="14"/>
      <c r="K61" s="14"/>
      <c r="L61" s="13">
        <v>1</v>
      </c>
      <c r="M61" s="13"/>
      <c r="N61" s="13"/>
      <c r="O61" s="14" t="s">
        <v>95</v>
      </c>
      <c r="P61" s="14" t="s">
        <v>137</v>
      </c>
      <c r="Q61" s="14" t="s">
        <v>684</v>
      </c>
      <c r="R61" s="14">
        <v>1</v>
      </c>
      <c r="S61" s="14">
        <v>1</v>
      </c>
      <c r="T61" s="14">
        <v>1</v>
      </c>
      <c r="U61" s="14" t="s">
        <v>22</v>
      </c>
      <c r="V61" s="14">
        <f t="shared" ref="V61:V105" si="21">IF(ISBLANK(O61),,(IF(O61=UPPER("IB"),0.005,0.01)))</f>
        <v>0.01</v>
      </c>
      <c r="W61" s="14">
        <f t="shared" ref="W61:W105" si="22">IF(ISBLANK(O61),,IF(O61=UPPER("IB"),8.63*200,16.65*100))</f>
        <v>1664.9999999999998</v>
      </c>
      <c r="X61" s="17" t="s">
        <v>8260</v>
      </c>
      <c r="Y61" s="17"/>
      <c r="Z61" s="17"/>
      <c r="AA61" s="18">
        <v>96.26</v>
      </c>
      <c r="AB61" s="13"/>
      <c r="AC61" s="13">
        <v>96.22</v>
      </c>
      <c r="AD61" s="13" t="s">
        <v>8270</v>
      </c>
      <c r="AE61" s="13"/>
      <c r="AF61" s="13"/>
      <c r="AG61" s="13"/>
      <c r="AH61" s="13"/>
      <c r="AI61" s="19"/>
      <c r="AJ61" s="14"/>
      <c r="AK61" s="13" t="s">
        <v>8262</v>
      </c>
      <c r="AL61" s="13"/>
      <c r="AM61" s="13"/>
      <c r="AN61" s="13" t="s">
        <v>372</v>
      </c>
      <c r="AO61" s="35">
        <v>44790</v>
      </c>
      <c r="AP61" s="20">
        <v>96.24</v>
      </c>
      <c r="AQ61" s="20">
        <f t="shared" ref="AQ61:AQ62" si="23">IF(ISBLANK(AP61),,IF(U61="S",AA61-AP61,AP61-AA61))</f>
        <v>-2.0000000000010232E-2</v>
      </c>
      <c r="AR61" s="92">
        <f t="shared" ref="AR61:AR62" si="24">AS61*R61</f>
        <v>-33.300000000017029</v>
      </c>
      <c r="AS61" s="21">
        <f t="shared" ref="AS61:AS62" si="25">IF(ISBLANK(AP61),,(AQ61*W61))</f>
        <v>-33.300000000017029</v>
      </c>
      <c r="AT61" s="22" t="s">
        <v>229</v>
      </c>
      <c r="AU61" s="13" t="s">
        <v>8271</v>
      </c>
      <c r="AV61" s="13"/>
      <c r="AW61" s="13"/>
      <c r="AX61" s="13"/>
      <c r="AY61" s="13"/>
      <c r="AZ61" s="13"/>
    </row>
    <row r="62" spans="1:52" ht="12.75">
      <c r="A62" s="12">
        <v>44790</v>
      </c>
      <c r="B62" s="13"/>
      <c r="C62" s="13" t="s">
        <v>151</v>
      </c>
      <c r="D62" s="17"/>
      <c r="E62" s="13"/>
      <c r="F62" s="14" t="s">
        <v>8251</v>
      </c>
      <c r="G62" s="13"/>
      <c r="H62" s="13"/>
      <c r="I62" s="13"/>
      <c r="J62" s="14"/>
      <c r="K62" s="14"/>
      <c r="L62" s="13"/>
      <c r="M62" s="13">
        <v>1</v>
      </c>
      <c r="N62" s="13"/>
      <c r="O62" s="14" t="s">
        <v>95</v>
      </c>
      <c r="P62" s="14" t="s">
        <v>8252</v>
      </c>
      <c r="Q62" s="14" t="s">
        <v>684</v>
      </c>
      <c r="R62" s="14">
        <v>1</v>
      </c>
      <c r="S62" s="14">
        <v>1</v>
      </c>
      <c r="T62" s="14">
        <v>1</v>
      </c>
      <c r="U62" s="14" t="s">
        <v>97</v>
      </c>
      <c r="V62" s="14">
        <f t="shared" si="21"/>
        <v>0.01</v>
      </c>
      <c r="W62" s="14">
        <f t="shared" si="22"/>
        <v>1664.9999999999998</v>
      </c>
      <c r="X62" s="17" t="s">
        <v>8272</v>
      </c>
      <c r="Y62" s="17"/>
      <c r="Z62" s="17"/>
      <c r="AA62" s="18">
        <v>96.44</v>
      </c>
      <c r="AB62" s="13"/>
      <c r="AC62" s="13">
        <v>96.47</v>
      </c>
      <c r="AD62" s="13" t="s">
        <v>8273</v>
      </c>
      <c r="AE62" s="13">
        <v>96.42</v>
      </c>
      <c r="AF62" s="13" t="s">
        <v>8274</v>
      </c>
      <c r="AG62" s="13"/>
      <c r="AH62" s="13"/>
      <c r="AI62" s="19"/>
      <c r="AJ62" s="14"/>
      <c r="AK62" s="13" t="s">
        <v>8262</v>
      </c>
      <c r="AL62" s="13"/>
      <c r="AM62" s="13"/>
      <c r="AN62" s="13" t="s">
        <v>372</v>
      </c>
      <c r="AO62" s="13"/>
      <c r="AP62" s="20">
        <v>96.47</v>
      </c>
      <c r="AQ62" s="20">
        <f t="shared" si="23"/>
        <v>-3.0000000000001137E-2</v>
      </c>
      <c r="AR62" s="92">
        <f t="shared" si="24"/>
        <v>-49.950000000001886</v>
      </c>
      <c r="AS62" s="21">
        <f t="shared" si="25"/>
        <v>-49.950000000001886</v>
      </c>
      <c r="AT62" s="22" t="s">
        <v>229</v>
      </c>
      <c r="AU62" s="13" t="s">
        <v>8275</v>
      </c>
      <c r="AV62" s="13"/>
      <c r="AW62" s="13"/>
      <c r="AX62" s="13"/>
      <c r="AY62" s="13"/>
      <c r="AZ62" s="13"/>
    </row>
    <row r="63" spans="1:52" ht="12.75">
      <c r="A63" s="12">
        <v>44791</v>
      </c>
      <c r="B63" s="13"/>
      <c r="C63" s="13" t="s">
        <v>93</v>
      </c>
      <c r="D63" s="17" t="s">
        <v>8276</v>
      </c>
      <c r="E63" s="13" t="s">
        <v>8277</v>
      </c>
      <c r="F63" s="14"/>
      <c r="G63" s="13"/>
      <c r="H63" s="13"/>
      <c r="I63" s="13">
        <v>1</v>
      </c>
      <c r="J63" s="14"/>
      <c r="K63" s="14"/>
      <c r="L63" s="13"/>
      <c r="M63" s="13"/>
      <c r="N63" s="13"/>
      <c r="O63" s="14"/>
      <c r="P63" s="14"/>
      <c r="Q63" s="14"/>
      <c r="R63" s="14"/>
      <c r="S63" s="14"/>
      <c r="T63" s="14"/>
      <c r="U63" s="14"/>
      <c r="V63" s="14">
        <f t="shared" si="21"/>
        <v>0</v>
      </c>
      <c r="W63" s="14">
        <f t="shared" si="22"/>
        <v>0</v>
      </c>
      <c r="X63" s="17"/>
      <c r="Y63" s="17"/>
      <c r="Z63" s="17"/>
      <c r="AA63" s="18"/>
      <c r="AB63" s="13"/>
      <c r="AC63" s="13"/>
      <c r="AD63" s="13"/>
      <c r="AE63" s="13"/>
      <c r="AF63" s="13"/>
      <c r="AG63" s="13"/>
      <c r="AH63" s="13"/>
      <c r="AI63" s="19"/>
      <c r="AJ63" s="14"/>
      <c r="AK63" s="13"/>
      <c r="AL63" s="13"/>
      <c r="AM63" s="13"/>
      <c r="AN63" s="13"/>
      <c r="AO63" s="13"/>
      <c r="AP63" s="20"/>
      <c r="AQ63" s="20"/>
      <c r="AR63" s="20"/>
      <c r="AS63" s="21"/>
      <c r="AT63" s="22"/>
      <c r="AU63" s="17" t="s">
        <v>8278</v>
      </c>
      <c r="AV63" s="17" t="s">
        <v>8279</v>
      </c>
      <c r="AW63" s="17" t="s">
        <v>8280</v>
      </c>
      <c r="AX63" s="13"/>
      <c r="AY63" s="13"/>
      <c r="AZ63" s="13"/>
    </row>
    <row r="64" spans="1:52" ht="12.75">
      <c r="A64" s="12">
        <v>44791</v>
      </c>
      <c r="B64" s="13"/>
      <c r="C64" s="13" t="s">
        <v>93</v>
      </c>
      <c r="D64" s="17" t="s">
        <v>8281</v>
      </c>
      <c r="E64" s="17" t="s">
        <v>8282</v>
      </c>
      <c r="F64" s="14"/>
      <c r="G64" s="13">
        <v>1</v>
      </c>
      <c r="H64" s="13"/>
      <c r="I64" s="13"/>
      <c r="J64" s="14"/>
      <c r="K64" s="14"/>
      <c r="L64" s="13"/>
      <c r="M64" s="13"/>
      <c r="N64" s="13"/>
      <c r="O64" s="14"/>
      <c r="P64" s="14"/>
      <c r="Q64" s="14"/>
      <c r="R64" s="14"/>
      <c r="S64" s="14"/>
      <c r="T64" s="14"/>
      <c r="U64" s="14"/>
      <c r="V64" s="14">
        <f t="shared" si="21"/>
        <v>0</v>
      </c>
      <c r="W64" s="14">
        <f t="shared" si="22"/>
        <v>0</v>
      </c>
      <c r="X64" s="17"/>
      <c r="Y64" s="17"/>
      <c r="Z64" s="17"/>
      <c r="AA64" s="18"/>
      <c r="AB64" s="13"/>
      <c r="AC64" s="13"/>
      <c r="AD64" s="13"/>
      <c r="AE64" s="13"/>
      <c r="AF64" s="13"/>
      <c r="AG64" s="13"/>
      <c r="AH64" s="13"/>
      <c r="AI64" s="19"/>
      <c r="AJ64" s="14"/>
      <c r="AK64" s="13"/>
      <c r="AL64" s="13"/>
      <c r="AM64" s="13"/>
      <c r="AN64" s="13"/>
      <c r="AO64" s="13"/>
      <c r="AP64" s="20"/>
      <c r="AQ64" s="20"/>
      <c r="AR64" s="20"/>
      <c r="AS64" s="21"/>
      <c r="AT64" s="22"/>
      <c r="AU64" s="13" t="s">
        <v>8283</v>
      </c>
      <c r="AV64" s="13"/>
      <c r="AW64" s="13"/>
      <c r="AX64" s="13"/>
      <c r="AY64" s="13"/>
      <c r="AZ64" s="13"/>
    </row>
    <row r="65" spans="1:52" ht="12.75">
      <c r="A65" s="12">
        <v>44791</v>
      </c>
      <c r="B65" s="13"/>
      <c r="C65" s="13" t="s">
        <v>93</v>
      </c>
      <c r="D65" s="17"/>
      <c r="E65" s="13"/>
      <c r="F65" s="14"/>
      <c r="G65" s="13"/>
      <c r="H65" s="13"/>
      <c r="I65" s="13"/>
      <c r="J65" s="14" t="s">
        <v>115</v>
      </c>
      <c r="K65" s="14"/>
      <c r="L65" s="13"/>
      <c r="M65" s="13"/>
      <c r="N65" s="13"/>
      <c r="O65" s="14"/>
      <c r="P65" s="14"/>
      <c r="Q65" s="14"/>
      <c r="R65" s="14"/>
      <c r="S65" s="14"/>
      <c r="T65" s="14"/>
      <c r="U65" s="14"/>
      <c r="V65" s="14">
        <f t="shared" si="21"/>
        <v>0</v>
      </c>
      <c r="W65" s="14">
        <f t="shared" si="22"/>
        <v>0</v>
      </c>
      <c r="X65" s="17"/>
      <c r="Y65" s="17"/>
      <c r="Z65" s="17"/>
      <c r="AA65" s="18"/>
      <c r="AB65" s="13"/>
      <c r="AC65" s="13"/>
      <c r="AD65" s="13"/>
      <c r="AE65" s="13"/>
      <c r="AF65" s="13"/>
      <c r="AG65" s="13"/>
      <c r="AH65" s="13"/>
      <c r="AI65" s="19"/>
      <c r="AJ65" s="14"/>
      <c r="AK65" s="13"/>
      <c r="AL65" s="13"/>
      <c r="AM65" s="13"/>
      <c r="AN65" s="13"/>
      <c r="AO65" s="13"/>
      <c r="AP65" s="20"/>
      <c r="AQ65" s="20"/>
      <c r="AR65" s="20"/>
      <c r="AS65" s="21"/>
      <c r="AT65" s="22"/>
      <c r="AU65" s="17" t="s">
        <v>8284</v>
      </c>
      <c r="AV65" s="17" t="s">
        <v>8285</v>
      </c>
      <c r="AW65" s="17" t="s">
        <v>8286</v>
      </c>
      <c r="AX65" s="13"/>
      <c r="AY65" s="13"/>
      <c r="AZ65" s="13"/>
    </row>
    <row r="66" spans="1:52" ht="12.75">
      <c r="A66" s="12">
        <v>44792</v>
      </c>
      <c r="B66" s="13"/>
      <c r="C66" s="13" t="s">
        <v>111</v>
      </c>
      <c r="D66" s="17"/>
      <c r="E66" s="13"/>
      <c r="F66" s="75" t="s">
        <v>8287</v>
      </c>
      <c r="G66" s="13"/>
      <c r="H66" s="13"/>
      <c r="I66" s="13"/>
      <c r="J66" s="14" t="s">
        <v>115</v>
      </c>
      <c r="K66" s="14"/>
      <c r="L66" s="13">
        <v>1</v>
      </c>
      <c r="M66" s="13">
        <v>2</v>
      </c>
      <c r="N66" s="13"/>
      <c r="O66" s="14" t="s">
        <v>95</v>
      </c>
      <c r="P66" s="14" t="s">
        <v>96</v>
      </c>
      <c r="Q66" s="14" t="s">
        <v>97</v>
      </c>
      <c r="R66" s="14">
        <v>1</v>
      </c>
      <c r="S66" s="14">
        <v>1</v>
      </c>
      <c r="T66" s="14">
        <v>1</v>
      </c>
      <c r="U66" s="14" t="s">
        <v>22</v>
      </c>
      <c r="V66" s="14">
        <f t="shared" si="21"/>
        <v>0.01</v>
      </c>
      <c r="W66" s="14">
        <f t="shared" si="22"/>
        <v>1664.9999999999998</v>
      </c>
      <c r="X66" s="17"/>
      <c r="Y66" s="17" t="s">
        <v>8288</v>
      </c>
      <c r="Z66" s="17" t="s">
        <v>8289</v>
      </c>
      <c r="AA66" s="18">
        <v>0.08</v>
      </c>
      <c r="AB66" s="13" t="s">
        <v>8290</v>
      </c>
      <c r="AC66" s="13" t="s">
        <v>8291</v>
      </c>
      <c r="AD66" s="13"/>
      <c r="AE66" s="78">
        <v>0.1</v>
      </c>
      <c r="AF66" s="13"/>
      <c r="AG66" s="13"/>
      <c r="AH66" s="13"/>
      <c r="AI66" s="19"/>
      <c r="AJ66" s="14"/>
      <c r="AK66" s="13" t="s">
        <v>8292</v>
      </c>
      <c r="AL66" s="13"/>
      <c r="AM66" s="13" t="s">
        <v>8293</v>
      </c>
      <c r="AN66" s="13" t="s">
        <v>115</v>
      </c>
      <c r="AO66" s="97">
        <v>44792</v>
      </c>
      <c r="AP66" s="20">
        <v>0.1</v>
      </c>
      <c r="AQ66" s="20">
        <f>IF(ISBLANK(AP66),,IF(U66="S",AA66-AP66,AP66-AA66))</f>
        <v>2.0000000000000004E-2</v>
      </c>
      <c r="AR66" s="92">
        <f>AS66*R66</f>
        <v>33.300000000000004</v>
      </c>
      <c r="AS66" s="21">
        <f>IF(ISBLANK(AP66),,(AQ66*W66))</f>
        <v>33.300000000000004</v>
      </c>
      <c r="AT66" s="22" t="s">
        <v>96</v>
      </c>
      <c r="AU66" s="13" t="s">
        <v>8294</v>
      </c>
      <c r="AV66" s="13" t="s">
        <v>8295</v>
      </c>
      <c r="AW66" s="13" t="s">
        <v>8296</v>
      </c>
      <c r="AX66" s="13" t="s">
        <v>8297</v>
      </c>
      <c r="AY66" s="61" t="s">
        <v>8298</v>
      </c>
      <c r="AZ66" s="13" t="s">
        <v>8299</v>
      </c>
    </row>
    <row r="67" spans="1:52" ht="12.75">
      <c r="A67" s="12"/>
      <c r="B67" s="13"/>
      <c r="C67" s="13"/>
      <c r="D67" s="17"/>
      <c r="E67" s="13"/>
      <c r="F67" s="14"/>
      <c r="G67" s="13"/>
      <c r="H67" s="13"/>
      <c r="I67" s="13"/>
      <c r="J67" s="14" t="s">
        <v>115</v>
      </c>
      <c r="K67" s="14"/>
      <c r="L67" s="13"/>
      <c r="M67" s="13"/>
      <c r="N67" s="13"/>
      <c r="O67" s="14"/>
      <c r="P67" s="14" t="s">
        <v>96</v>
      </c>
      <c r="Q67" s="14"/>
      <c r="R67" s="14">
        <v>1</v>
      </c>
      <c r="S67" s="14">
        <v>1</v>
      </c>
      <c r="T67" s="14"/>
      <c r="U67" s="14"/>
      <c r="V67" s="14">
        <f t="shared" si="21"/>
        <v>0</v>
      </c>
      <c r="W67" s="14">
        <f t="shared" si="22"/>
        <v>0</v>
      </c>
      <c r="X67" s="17"/>
      <c r="Y67" s="17"/>
      <c r="Z67" s="17"/>
      <c r="AA67" s="18">
        <v>96.35</v>
      </c>
      <c r="AB67" s="13"/>
      <c r="AC67" s="13"/>
      <c r="AD67" s="13"/>
      <c r="AE67" s="13"/>
      <c r="AF67" s="13"/>
      <c r="AG67" s="13"/>
      <c r="AH67" s="13"/>
      <c r="AI67" s="19"/>
      <c r="AJ67" s="14"/>
      <c r="AK67" s="13"/>
      <c r="AL67" s="13"/>
      <c r="AM67" s="13"/>
      <c r="AN67" s="13"/>
      <c r="AO67" s="13"/>
      <c r="AP67" s="20">
        <v>96.29</v>
      </c>
      <c r="AQ67" s="13"/>
      <c r="AR67" s="92"/>
      <c r="AS67" s="21"/>
      <c r="AT67" s="22"/>
      <c r="AU67" s="13"/>
      <c r="AV67" s="13"/>
      <c r="AW67" s="13"/>
      <c r="AX67" s="13"/>
      <c r="AY67" s="13"/>
      <c r="AZ67" s="13"/>
    </row>
    <row r="68" spans="1:52" ht="12.75">
      <c r="A68" s="12"/>
      <c r="B68" s="13"/>
      <c r="C68" s="13"/>
      <c r="D68" s="17"/>
      <c r="E68" s="13"/>
      <c r="F68" s="14"/>
      <c r="G68" s="13"/>
      <c r="H68" s="13"/>
      <c r="I68" s="13"/>
      <c r="J68" s="14"/>
      <c r="K68" s="14"/>
      <c r="L68" s="13"/>
      <c r="M68" s="13"/>
      <c r="N68" s="13"/>
      <c r="O68" s="14"/>
      <c r="P68" s="14" t="s">
        <v>96</v>
      </c>
      <c r="Q68" s="14"/>
      <c r="R68" s="14">
        <v>1</v>
      </c>
      <c r="S68" s="14">
        <v>1</v>
      </c>
      <c r="T68" s="14"/>
      <c r="U68" s="14"/>
      <c r="V68" s="14">
        <f t="shared" si="21"/>
        <v>0</v>
      </c>
      <c r="W68" s="14">
        <f t="shared" si="22"/>
        <v>0</v>
      </c>
      <c r="X68" s="17"/>
      <c r="Y68" s="17"/>
      <c r="Z68" s="17"/>
      <c r="AA68" s="18">
        <v>96.27</v>
      </c>
      <c r="AB68" s="13"/>
      <c r="AC68" s="13"/>
      <c r="AD68" s="13"/>
      <c r="AE68" s="13"/>
      <c r="AF68" s="13"/>
      <c r="AG68" s="13"/>
      <c r="AH68" s="13"/>
      <c r="AI68" s="19"/>
      <c r="AJ68" s="14"/>
      <c r="AK68" s="13"/>
      <c r="AL68" s="13"/>
      <c r="AM68" s="13"/>
      <c r="AN68" s="13"/>
      <c r="AO68" s="13"/>
      <c r="AP68" s="20">
        <v>96.19</v>
      </c>
      <c r="AQ68" s="13"/>
      <c r="AR68" s="92"/>
      <c r="AS68" s="21"/>
      <c r="AT68" s="22"/>
      <c r="AU68" s="13"/>
      <c r="AV68" s="13"/>
      <c r="AW68" s="13"/>
      <c r="AX68" s="13"/>
      <c r="AY68" s="13"/>
      <c r="AZ68" s="13"/>
    </row>
    <row r="69" spans="1:52" ht="12.75">
      <c r="A69" s="12">
        <v>44795</v>
      </c>
      <c r="B69" s="13"/>
      <c r="C69" s="13" t="s">
        <v>132</v>
      </c>
      <c r="D69" s="17"/>
      <c r="E69" s="13"/>
      <c r="F69" s="14" t="s">
        <v>576</v>
      </c>
      <c r="G69" s="13"/>
      <c r="H69" s="13"/>
      <c r="I69" s="13"/>
      <c r="J69" s="14"/>
      <c r="K69" s="14"/>
      <c r="L69" s="13">
        <v>1</v>
      </c>
      <c r="M69" s="13">
        <v>2</v>
      </c>
      <c r="N69" s="13"/>
      <c r="O69" s="14" t="s">
        <v>95</v>
      </c>
      <c r="P69" s="14" t="s">
        <v>96</v>
      </c>
      <c r="Q69" s="14"/>
      <c r="R69" s="14">
        <v>2</v>
      </c>
      <c r="S69" s="14">
        <v>2</v>
      </c>
      <c r="T69" s="14">
        <v>1</v>
      </c>
      <c r="U69" s="14"/>
      <c r="V69" s="14">
        <f t="shared" si="21"/>
        <v>0.01</v>
      </c>
      <c r="W69" s="14">
        <f t="shared" si="22"/>
        <v>1664.9999999999998</v>
      </c>
      <c r="X69" s="17"/>
      <c r="Y69" s="17" t="s">
        <v>8300</v>
      </c>
      <c r="Z69" s="17" t="s">
        <v>8289</v>
      </c>
      <c r="AA69" s="18">
        <v>5.0000000000000001E-3</v>
      </c>
      <c r="AB69" s="13"/>
      <c r="AC69" s="13">
        <v>-0.01</v>
      </c>
      <c r="AD69" s="13"/>
      <c r="AE69" s="13" t="s">
        <v>8301</v>
      </c>
      <c r="AF69" s="13"/>
      <c r="AG69" s="13"/>
      <c r="AH69" s="13"/>
      <c r="AI69" s="19"/>
      <c r="AJ69" s="14"/>
      <c r="AK69" s="13" t="s">
        <v>8302</v>
      </c>
      <c r="AL69" s="13"/>
      <c r="AM69" s="13"/>
      <c r="AN69" s="13"/>
      <c r="AO69" s="13"/>
      <c r="AP69" s="20"/>
      <c r="AQ69" s="13"/>
      <c r="AR69" s="92"/>
      <c r="AS69" s="21"/>
      <c r="AT69" s="22"/>
      <c r="AU69" s="98" t="s">
        <v>8303</v>
      </c>
      <c r="AV69" s="13" t="s">
        <v>8304</v>
      </c>
      <c r="AW69" s="13" t="s">
        <v>8305</v>
      </c>
      <c r="AX69" s="13" t="s">
        <v>8306</v>
      </c>
      <c r="AY69" s="13"/>
      <c r="AZ69" s="13"/>
    </row>
    <row r="70" spans="1:52" ht="12.75">
      <c r="A70" s="12"/>
      <c r="B70" s="13"/>
      <c r="C70" s="13"/>
      <c r="D70" s="17"/>
      <c r="E70" s="13"/>
      <c r="F70" s="14"/>
      <c r="G70" s="13"/>
      <c r="H70" s="13"/>
      <c r="I70" s="13"/>
      <c r="J70" s="14"/>
      <c r="K70" s="14"/>
      <c r="L70" s="13"/>
      <c r="M70" s="13"/>
      <c r="N70" s="13"/>
      <c r="O70" s="14" t="s">
        <v>95</v>
      </c>
      <c r="P70" s="14" t="s">
        <v>96</v>
      </c>
      <c r="Q70" s="14"/>
      <c r="R70" s="14">
        <v>2</v>
      </c>
      <c r="S70" s="14">
        <v>2</v>
      </c>
      <c r="T70" s="14">
        <v>1</v>
      </c>
      <c r="U70" s="14" t="s">
        <v>22</v>
      </c>
      <c r="V70" s="14">
        <f t="shared" si="21"/>
        <v>0.01</v>
      </c>
      <c r="W70" s="14">
        <f t="shared" si="22"/>
        <v>1664.9999999999998</v>
      </c>
      <c r="X70" s="17"/>
      <c r="Y70" s="17"/>
      <c r="Z70" s="17"/>
      <c r="AA70" s="18"/>
      <c r="AB70" s="13"/>
      <c r="AC70" s="13"/>
      <c r="AD70" s="13"/>
      <c r="AE70" s="13"/>
      <c r="AF70" s="13"/>
      <c r="AG70" s="13"/>
      <c r="AH70" s="13"/>
      <c r="AI70" s="19"/>
      <c r="AJ70" s="14"/>
      <c r="AK70" s="13"/>
      <c r="AL70" s="13"/>
      <c r="AM70" s="13"/>
      <c r="AN70" s="13"/>
      <c r="AO70" s="13"/>
      <c r="AP70" s="20"/>
      <c r="AQ70" s="13"/>
      <c r="AR70" s="92"/>
      <c r="AS70" s="21"/>
      <c r="AT70" s="22"/>
      <c r="AU70" s="13"/>
      <c r="AV70" s="61"/>
      <c r="AW70" s="13"/>
      <c r="AX70" s="13"/>
      <c r="AY70" s="13"/>
      <c r="AZ70" s="13"/>
    </row>
    <row r="71" spans="1:52" ht="12.75">
      <c r="A71" s="12">
        <v>44795</v>
      </c>
      <c r="B71" s="13"/>
      <c r="C71" s="13" t="s">
        <v>132</v>
      </c>
      <c r="D71" s="17"/>
      <c r="E71" s="13"/>
      <c r="F71" s="14" t="s">
        <v>3337</v>
      </c>
      <c r="G71" s="13"/>
      <c r="H71" s="13"/>
      <c r="I71" s="13"/>
      <c r="J71" s="14"/>
      <c r="K71" s="14"/>
      <c r="L71" s="13"/>
      <c r="M71" s="13"/>
      <c r="N71" s="13"/>
      <c r="O71" s="14" t="s">
        <v>95</v>
      </c>
      <c r="P71" s="14" t="s">
        <v>137</v>
      </c>
      <c r="Q71" s="14" t="s">
        <v>684</v>
      </c>
      <c r="R71" s="14">
        <v>2</v>
      </c>
      <c r="S71" s="14">
        <v>2</v>
      </c>
      <c r="T71" s="14">
        <v>1</v>
      </c>
      <c r="U71" s="14" t="s">
        <v>97</v>
      </c>
      <c r="V71" s="14">
        <f t="shared" si="21"/>
        <v>0.01</v>
      </c>
      <c r="W71" s="14">
        <f t="shared" si="22"/>
        <v>1664.9999999999998</v>
      </c>
      <c r="X71" s="17"/>
      <c r="Y71" s="17"/>
      <c r="Z71" s="17"/>
      <c r="AA71" s="18">
        <v>96.034999999999997</v>
      </c>
      <c r="AB71" s="13"/>
      <c r="AC71" s="13"/>
      <c r="AD71" s="13"/>
      <c r="AE71" s="13"/>
      <c r="AF71" s="13"/>
      <c r="AG71" s="13"/>
      <c r="AH71" s="13"/>
      <c r="AI71" s="19"/>
      <c r="AJ71" s="14"/>
      <c r="AK71" s="13"/>
      <c r="AL71" s="13"/>
      <c r="AM71" s="13" t="s">
        <v>158</v>
      </c>
      <c r="AN71" s="13" t="s">
        <v>372</v>
      </c>
      <c r="AO71" s="13"/>
      <c r="AP71" s="20">
        <v>96.04</v>
      </c>
      <c r="AQ71" s="20">
        <f>IF(ISBLANK(AP71),,IF(U71="S",AA71-AP71,AP71-AA71))</f>
        <v>-5.0000000000096634E-3</v>
      </c>
      <c r="AR71" s="92">
        <f>AS71*R71</f>
        <v>-16.650000000032176</v>
      </c>
      <c r="AS71" s="21">
        <f>IF(ISBLANK(AP71),,(AQ71*W71))</f>
        <v>-8.3250000000160878</v>
      </c>
      <c r="AT71" s="22" t="s">
        <v>229</v>
      </c>
      <c r="AU71" s="13" t="s">
        <v>8307</v>
      </c>
      <c r="AV71" s="13" t="s">
        <v>8308</v>
      </c>
      <c r="AW71" s="13"/>
      <c r="AX71" s="13"/>
      <c r="AY71" s="13"/>
      <c r="AZ71" s="13"/>
    </row>
    <row r="72" spans="1:52" ht="12.75">
      <c r="A72" s="12">
        <v>44795</v>
      </c>
      <c r="B72" s="13"/>
      <c r="C72" s="13" t="s">
        <v>132</v>
      </c>
      <c r="D72" s="17"/>
      <c r="E72" s="13"/>
      <c r="F72" s="14" t="s">
        <v>8133</v>
      </c>
      <c r="G72" s="13"/>
      <c r="H72" s="13"/>
      <c r="I72" s="13"/>
      <c r="J72" s="14"/>
      <c r="K72" s="14"/>
      <c r="L72" s="13"/>
      <c r="M72" s="13">
        <v>3</v>
      </c>
      <c r="N72" s="13">
        <v>3</v>
      </c>
      <c r="O72" s="14" t="s">
        <v>95</v>
      </c>
      <c r="P72" s="14" t="s">
        <v>96</v>
      </c>
      <c r="Q72" s="14"/>
      <c r="R72" s="14">
        <v>2</v>
      </c>
      <c r="S72" s="14">
        <v>2</v>
      </c>
      <c r="T72" s="14">
        <v>2</v>
      </c>
      <c r="U72" s="14" t="s">
        <v>97</v>
      </c>
      <c r="V72" s="14">
        <f t="shared" si="21"/>
        <v>0.01</v>
      </c>
      <c r="W72" s="14">
        <f t="shared" si="22"/>
        <v>1664.9999999999998</v>
      </c>
      <c r="X72" s="17"/>
      <c r="Y72" s="17"/>
      <c r="Z72" s="17"/>
      <c r="AA72" s="18"/>
      <c r="AB72" s="13"/>
      <c r="AC72" s="13"/>
      <c r="AD72" s="13"/>
      <c r="AE72" s="13"/>
      <c r="AF72" s="13"/>
      <c r="AG72" s="13"/>
      <c r="AH72" s="13"/>
      <c r="AI72" s="19"/>
      <c r="AJ72" s="14"/>
      <c r="AK72" s="13"/>
      <c r="AL72" s="13"/>
      <c r="AM72" s="13"/>
      <c r="AN72" s="13"/>
      <c r="AO72" s="13"/>
      <c r="AP72" s="20"/>
      <c r="AQ72" s="13"/>
      <c r="AR72" s="92"/>
      <c r="AS72" s="21"/>
      <c r="AT72" s="22"/>
      <c r="AU72" s="13"/>
      <c r="AV72" s="13"/>
      <c r="AW72" s="13"/>
      <c r="AX72" s="13"/>
      <c r="AY72" s="13"/>
      <c r="AZ72" s="13"/>
    </row>
    <row r="73" spans="1:52" ht="12.75">
      <c r="A73" s="12"/>
      <c r="B73" s="13"/>
      <c r="C73" s="13"/>
      <c r="D73" s="17"/>
      <c r="E73" s="13"/>
      <c r="F73" s="14" t="s">
        <v>8287</v>
      </c>
      <c r="G73" s="13"/>
      <c r="H73" s="13"/>
      <c r="I73" s="13"/>
      <c r="J73" s="14"/>
      <c r="K73" s="14"/>
      <c r="L73" s="13"/>
      <c r="M73" s="13"/>
      <c r="N73" s="13"/>
      <c r="O73" s="14" t="s">
        <v>95</v>
      </c>
      <c r="P73" s="14" t="s">
        <v>96</v>
      </c>
      <c r="Q73" s="14"/>
      <c r="R73" s="14">
        <v>2</v>
      </c>
      <c r="S73" s="14">
        <v>2</v>
      </c>
      <c r="T73" s="14">
        <v>2</v>
      </c>
      <c r="U73" s="14" t="s">
        <v>97</v>
      </c>
      <c r="V73" s="14">
        <f t="shared" si="21"/>
        <v>0.01</v>
      </c>
      <c r="W73" s="14">
        <f t="shared" si="22"/>
        <v>1664.9999999999998</v>
      </c>
      <c r="X73" s="17" t="s">
        <v>8309</v>
      </c>
      <c r="Y73" s="17" t="s">
        <v>8310</v>
      </c>
      <c r="Z73" s="17"/>
      <c r="AA73" s="18">
        <v>0.1</v>
      </c>
      <c r="AB73" s="13" t="s">
        <v>8311</v>
      </c>
      <c r="AC73" s="13"/>
      <c r="AD73" s="13"/>
      <c r="AE73" s="13" t="s">
        <v>8312</v>
      </c>
      <c r="AF73" s="13"/>
      <c r="AG73" s="13"/>
      <c r="AH73" s="13"/>
      <c r="AI73" s="19"/>
      <c r="AJ73" s="14"/>
      <c r="AK73" s="13" t="s">
        <v>8313</v>
      </c>
      <c r="AL73" s="13"/>
      <c r="AM73" s="13"/>
      <c r="AN73" s="13"/>
      <c r="AO73" s="13"/>
      <c r="AP73" s="20"/>
      <c r="AQ73" s="13"/>
      <c r="AR73" s="92"/>
      <c r="AS73" s="21"/>
      <c r="AT73" s="22"/>
      <c r="AU73" s="13"/>
      <c r="AV73" s="13"/>
      <c r="AW73" s="13"/>
      <c r="AX73" s="13"/>
      <c r="AY73" s="13"/>
      <c r="AZ73" s="13"/>
    </row>
    <row r="74" spans="1:52" ht="12.75">
      <c r="A74" s="12">
        <v>44796</v>
      </c>
      <c r="B74" s="13"/>
      <c r="C74" s="13" t="s">
        <v>146</v>
      </c>
      <c r="D74" s="17"/>
      <c r="E74" s="13"/>
      <c r="F74" s="14" t="s">
        <v>8287</v>
      </c>
      <c r="G74" s="13"/>
      <c r="H74" s="13"/>
      <c r="I74" s="13"/>
      <c r="J74" s="14"/>
      <c r="K74" s="14"/>
      <c r="L74" s="13"/>
      <c r="M74" s="13">
        <v>3</v>
      </c>
      <c r="N74" s="13">
        <v>2</v>
      </c>
      <c r="O74" s="14" t="s">
        <v>95</v>
      </c>
      <c r="P74" s="14" t="s">
        <v>96</v>
      </c>
      <c r="Q74" s="14"/>
      <c r="R74" s="14">
        <v>4</v>
      </c>
      <c r="S74" s="14">
        <v>4</v>
      </c>
      <c r="T74" s="14">
        <v>2</v>
      </c>
      <c r="U74" s="14" t="s">
        <v>97</v>
      </c>
      <c r="V74" s="14">
        <f t="shared" si="21"/>
        <v>0.01</v>
      </c>
      <c r="W74" s="14">
        <f t="shared" si="22"/>
        <v>1664.9999999999998</v>
      </c>
      <c r="X74" s="17" t="s">
        <v>8314</v>
      </c>
      <c r="Y74" s="17" t="s">
        <v>8315</v>
      </c>
      <c r="Z74" s="17"/>
      <c r="AA74" s="18">
        <v>0.12</v>
      </c>
      <c r="AB74" s="13" t="s">
        <v>8316</v>
      </c>
      <c r="AC74" s="13">
        <v>0.14000000000000001</v>
      </c>
      <c r="AD74" s="13"/>
      <c r="AE74" s="13" t="s">
        <v>8317</v>
      </c>
      <c r="AF74" s="13" t="s">
        <v>8318</v>
      </c>
      <c r="AG74" s="13"/>
      <c r="AH74" s="13"/>
      <c r="AI74" s="19"/>
      <c r="AJ74" s="14"/>
      <c r="AK74" s="13" t="s">
        <v>8319</v>
      </c>
      <c r="AL74" s="13" t="s">
        <v>8320</v>
      </c>
      <c r="AM74" s="13"/>
      <c r="AN74" s="13"/>
      <c r="AO74" s="13"/>
      <c r="AP74" s="20"/>
      <c r="AQ74" s="13"/>
      <c r="AR74" s="92"/>
      <c r="AS74" s="21"/>
      <c r="AT74" s="22"/>
      <c r="AU74" s="13" t="s">
        <v>8321</v>
      </c>
      <c r="AV74" s="13" t="s">
        <v>8322</v>
      </c>
      <c r="AW74" s="13" t="s">
        <v>8323</v>
      </c>
      <c r="AX74" s="13" t="s">
        <v>8324</v>
      </c>
      <c r="AY74" s="13"/>
      <c r="AZ74" s="13"/>
    </row>
    <row r="75" spans="1:52" ht="12.75">
      <c r="A75" s="12">
        <v>44796</v>
      </c>
      <c r="B75" s="13"/>
      <c r="C75" s="13" t="s">
        <v>146</v>
      </c>
      <c r="D75" s="17"/>
      <c r="E75" s="13"/>
      <c r="F75" s="14" t="s">
        <v>8287</v>
      </c>
      <c r="G75" s="13"/>
      <c r="H75" s="13"/>
      <c r="I75" s="13"/>
      <c r="J75" s="14"/>
      <c r="K75" s="14"/>
      <c r="L75" s="13"/>
      <c r="M75" s="13">
        <v>3</v>
      </c>
      <c r="N75" s="13">
        <v>2</v>
      </c>
      <c r="O75" s="14" t="s">
        <v>95</v>
      </c>
      <c r="P75" s="14" t="s">
        <v>96</v>
      </c>
      <c r="Q75" s="14"/>
      <c r="R75" s="14">
        <v>2</v>
      </c>
      <c r="S75" s="14">
        <v>2</v>
      </c>
      <c r="T75" s="14">
        <v>2</v>
      </c>
      <c r="U75" s="14" t="s">
        <v>97</v>
      </c>
      <c r="V75" s="14">
        <f t="shared" si="21"/>
        <v>0.01</v>
      </c>
      <c r="W75" s="14">
        <f t="shared" si="22"/>
        <v>1664.9999999999998</v>
      </c>
      <c r="X75" s="17" t="s">
        <v>8314</v>
      </c>
      <c r="Y75" s="17" t="s">
        <v>8315</v>
      </c>
      <c r="Z75" s="17"/>
      <c r="AA75" s="18">
        <v>0.14000000000000001</v>
      </c>
      <c r="AB75" s="13"/>
      <c r="AC75" s="13">
        <v>0.18</v>
      </c>
      <c r="AD75" s="13"/>
      <c r="AE75" s="13" t="s">
        <v>8325</v>
      </c>
      <c r="AF75" s="13" t="s">
        <v>8326</v>
      </c>
      <c r="AG75" s="13"/>
      <c r="AH75" s="13">
        <f>4/4</f>
        <v>1</v>
      </c>
      <c r="AI75" s="19"/>
      <c r="AJ75" s="14"/>
      <c r="AK75" s="13" t="s">
        <v>448</v>
      </c>
      <c r="AL75" s="13"/>
      <c r="AM75" s="13"/>
      <c r="AN75" s="13"/>
      <c r="AO75" s="13"/>
      <c r="AP75" s="20"/>
      <c r="AQ75" s="13"/>
      <c r="AR75" s="92"/>
      <c r="AS75" s="21"/>
      <c r="AT75" s="22"/>
      <c r="AU75" s="13" t="s">
        <v>8327</v>
      </c>
      <c r="AV75" s="13" t="s">
        <v>8328</v>
      </c>
      <c r="AW75" s="13" t="s">
        <v>8329</v>
      </c>
      <c r="AX75" s="13" t="s">
        <v>8330</v>
      </c>
      <c r="AY75" s="13"/>
      <c r="AZ75" s="13"/>
    </row>
    <row r="76" spans="1:52" ht="12.75">
      <c r="A76" s="12">
        <v>44797</v>
      </c>
      <c r="B76" s="13"/>
      <c r="C76" s="13" t="s">
        <v>151</v>
      </c>
      <c r="D76" s="17"/>
      <c r="E76" s="13"/>
      <c r="F76" s="14" t="s">
        <v>8287</v>
      </c>
      <c r="G76" s="13"/>
      <c r="H76" s="13"/>
      <c r="I76" s="13"/>
      <c r="J76" s="14"/>
      <c r="K76" s="14"/>
      <c r="L76" s="13"/>
      <c r="M76" s="13">
        <v>3</v>
      </c>
      <c r="N76" s="13">
        <v>2</v>
      </c>
      <c r="O76" s="14" t="s">
        <v>95</v>
      </c>
      <c r="P76" s="14" t="s">
        <v>96</v>
      </c>
      <c r="Q76" s="14" t="s">
        <v>97</v>
      </c>
      <c r="R76" s="14">
        <v>6</v>
      </c>
      <c r="S76" s="14">
        <v>6</v>
      </c>
      <c r="T76" s="14">
        <v>2</v>
      </c>
      <c r="U76" s="14" t="s">
        <v>97</v>
      </c>
      <c r="V76" s="14">
        <f t="shared" si="21"/>
        <v>0.01</v>
      </c>
      <c r="W76" s="14">
        <f t="shared" si="22"/>
        <v>1664.9999999999998</v>
      </c>
      <c r="X76" s="17" t="s">
        <v>8314</v>
      </c>
      <c r="Y76" s="17" t="s">
        <v>8315</v>
      </c>
      <c r="Z76" s="17"/>
      <c r="AA76" s="18">
        <v>0.12667</v>
      </c>
      <c r="AB76" s="13"/>
      <c r="AC76" s="13">
        <v>0.16</v>
      </c>
      <c r="AD76" s="13"/>
      <c r="AE76" s="13" t="s">
        <v>8331</v>
      </c>
      <c r="AF76" s="13" t="s">
        <v>8326</v>
      </c>
      <c r="AG76" s="13"/>
      <c r="AH76" s="13">
        <v>1</v>
      </c>
      <c r="AI76" s="19"/>
      <c r="AJ76" s="14"/>
      <c r="AK76" s="13" t="s">
        <v>448</v>
      </c>
      <c r="AL76" s="13"/>
      <c r="AM76" s="13" t="s">
        <v>8332</v>
      </c>
      <c r="AN76" s="13" t="s">
        <v>372</v>
      </c>
      <c r="AO76" s="13"/>
      <c r="AP76" s="20">
        <v>0.16</v>
      </c>
      <c r="AQ76" s="20">
        <f>IF(ISBLANK(AP76),,IF(U76="S",AA76-AP76,AP76-AA76))</f>
        <v>-3.3329999999999999E-2</v>
      </c>
      <c r="AR76" s="92">
        <f>AS76*R76</f>
        <v>-332.96669999999995</v>
      </c>
      <c r="AS76" s="21">
        <f>IF(ISBLANK(AP76),,(AQ76*W76))</f>
        <v>-55.494449999999993</v>
      </c>
      <c r="AT76" s="22" t="s">
        <v>229</v>
      </c>
      <c r="AU76" s="13" t="s">
        <v>8333</v>
      </c>
      <c r="AV76" s="13" t="s">
        <v>8334</v>
      </c>
      <c r="AW76" s="13"/>
      <c r="AX76" s="13" t="s">
        <v>8335</v>
      </c>
      <c r="AY76" s="98" t="s">
        <v>8336</v>
      </c>
      <c r="AZ76" s="13"/>
    </row>
    <row r="77" spans="1:52" ht="12.75">
      <c r="A77" s="12">
        <v>44797</v>
      </c>
      <c r="B77" s="13"/>
      <c r="C77" s="13" t="s">
        <v>151</v>
      </c>
      <c r="D77" s="17"/>
      <c r="E77" s="13"/>
      <c r="F77" s="14" t="s">
        <v>8287</v>
      </c>
      <c r="G77" s="13"/>
      <c r="H77" s="13"/>
      <c r="I77" s="13"/>
      <c r="J77" s="14"/>
      <c r="K77" s="14"/>
      <c r="L77" s="13"/>
      <c r="M77" s="13"/>
      <c r="N77" s="13"/>
      <c r="O77" s="14"/>
      <c r="P77" s="14"/>
      <c r="Q77" s="14"/>
      <c r="R77" s="14"/>
      <c r="S77" s="14"/>
      <c r="T77" s="14"/>
      <c r="U77" s="14"/>
      <c r="V77" s="14">
        <f t="shared" si="21"/>
        <v>0</v>
      </c>
      <c r="W77" s="14">
        <f t="shared" si="22"/>
        <v>0</v>
      </c>
      <c r="X77" s="17"/>
      <c r="Y77" s="17"/>
      <c r="Z77" s="17"/>
      <c r="AA77" s="18">
        <v>0.15</v>
      </c>
      <c r="AB77" s="13"/>
      <c r="AC77" s="13"/>
      <c r="AD77" s="13"/>
      <c r="AE77" s="13"/>
      <c r="AF77" s="13"/>
      <c r="AG77" s="13"/>
      <c r="AH77" s="13"/>
      <c r="AI77" s="19"/>
      <c r="AJ77" s="14"/>
      <c r="AK77" s="13"/>
      <c r="AL77" s="13"/>
      <c r="AM77" s="13"/>
      <c r="AN77" s="13"/>
      <c r="AO77" s="13"/>
      <c r="AP77" s="20">
        <v>0.14000000000000001</v>
      </c>
      <c r="AQ77" s="13"/>
      <c r="AR77" s="92"/>
      <c r="AS77" s="21"/>
      <c r="AT77" s="22"/>
      <c r="AU77" s="13" t="s">
        <v>8337</v>
      </c>
      <c r="AV77" s="13" t="s">
        <v>8338</v>
      </c>
      <c r="AW77" s="13" t="s">
        <v>8339</v>
      </c>
      <c r="AX77" s="13" t="s">
        <v>8340</v>
      </c>
      <c r="AY77" s="13"/>
      <c r="AZ77" s="13"/>
    </row>
    <row r="78" spans="1:52" ht="12.75">
      <c r="A78" s="12"/>
      <c r="B78" s="13"/>
      <c r="C78" s="13"/>
      <c r="D78" s="17"/>
      <c r="E78" s="13"/>
      <c r="F78" s="14"/>
      <c r="G78" s="13"/>
      <c r="H78" s="13"/>
      <c r="I78" s="13"/>
      <c r="J78" s="14"/>
      <c r="K78" s="14"/>
      <c r="L78" s="13"/>
      <c r="M78" s="13"/>
      <c r="N78" s="13"/>
      <c r="O78" s="14"/>
      <c r="P78" s="14"/>
      <c r="Q78" s="14"/>
      <c r="R78" s="14"/>
      <c r="S78" s="14"/>
      <c r="T78" s="14"/>
      <c r="U78" s="14"/>
      <c r="V78" s="14">
        <f t="shared" si="21"/>
        <v>0</v>
      </c>
      <c r="W78" s="14">
        <f t="shared" si="22"/>
        <v>0</v>
      </c>
      <c r="X78" s="17"/>
      <c r="Y78" s="17"/>
      <c r="Z78" s="17"/>
      <c r="AA78" s="18"/>
      <c r="AB78" s="13"/>
      <c r="AC78" s="13"/>
      <c r="AD78" s="13"/>
      <c r="AE78" s="13"/>
      <c r="AF78" s="13"/>
      <c r="AG78" s="13"/>
      <c r="AH78" s="13"/>
      <c r="AI78" s="19"/>
      <c r="AJ78" s="14"/>
      <c r="AK78" s="13"/>
      <c r="AL78" s="13"/>
      <c r="AM78" s="13"/>
      <c r="AN78" s="13"/>
      <c r="AO78" s="13"/>
      <c r="AP78" s="20"/>
      <c r="AQ78" s="13"/>
      <c r="AR78" s="92"/>
      <c r="AS78" s="21"/>
      <c r="AT78" s="22"/>
      <c r="AU78" s="17" t="s">
        <v>8341</v>
      </c>
      <c r="AV78" s="13"/>
      <c r="AW78" s="13"/>
      <c r="AX78" s="13"/>
      <c r="AY78" s="13"/>
      <c r="AZ78" s="13"/>
    </row>
    <row r="79" spans="1:52" ht="12.75">
      <c r="A79" s="12">
        <v>44797</v>
      </c>
      <c r="B79" s="13"/>
      <c r="C79" s="13" t="s">
        <v>151</v>
      </c>
      <c r="D79" s="17"/>
      <c r="E79" s="13"/>
      <c r="F79" s="14" t="s">
        <v>8287</v>
      </c>
      <c r="G79" s="13"/>
      <c r="H79" s="13"/>
      <c r="I79" s="13"/>
      <c r="J79" s="14"/>
      <c r="K79" s="14"/>
      <c r="L79" s="13">
        <v>1</v>
      </c>
      <c r="M79" s="13">
        <v>3</v>
      </c>
      <c r="N79" s="13">
        <v>1</v>
      </c>
      <c r="O79" s="14" t="s">
        <v>95</v>
      </c>
      <c r="P79" s="14" t="s">
        <v>96</v>
      </c>
      <c r="Q79" s="14" t="s">
        <v>97</v>
      </c>
      <c r="R79" s="14">
        <v>3</v>
      </c>
      <c r="S79" s="14">
        <v>3</v>
      </c>
      <c r="T79" s="14">
        <v>1</v>
      </c>
      <c r="U79" s="14" t="s">
        <v>97</v>
      </c>
      <c r="V79" s="14">
        <f t="shared" si="21"/>
        <v>0.01</v>
      </c>
      <c r="W79" s="14">
        <f t="shared" si="22"/>
        <v>1664.9999999999998</v>
      </c>
      <c r="X79" s="17" t="s">
        <v>8342</v>
      </c>
      <c r="Y79" s="17" t="s">
        <v>8315</v>
      </c>
      <c r="Z79" s="17"/>
      <c r="AA79" s="18">
        <v>0.14499999999999999</v>
      </c>
      <c r="AB79" s="13" t="s">
        <v>8343</v>
      </c>
      <c r="AC79" s="13" t="s">
        <v>8344</v>
      </c>
      <c r="AD79" s="13" t="s">
        <v>8345</v>
      </c>
      <c r="AE79" s="13">
        <v>0.04</v>
      </c>
      <c r="AF79" s="13" t="s">
        <v>8346</v>
      </c>
      <c r="AG79" s="13"/>
      <c r="AH79" s="13">
        <f>10/4</f>
        <v>2.5</v>
      </c>
      <c r="AI79" s="19"/>
      <c r="AJ79" s="14"/>
      <c r="AK79" s="13" t="s">
        <v>8347</v>
      </c>
      <c r="AL79" s="13" t="s">
        <v>8348</v>
      </c>
      <c r="AM79" s="13" t="s">
        <v>8129</v>
      </c>
      <c r="AN79" s="13" t="s">
        <v>115</v>
      </c>
      <c r="AO79" s="35">
        <v>44802</v>
      </c>
      <c r="AP79" s="20">
        <v>0.2</v>
      </c>
      <c r="AQ79" s="20">
        <f t="shared" ref="AQ79:AQ82" si="26">IF(ISBLANK(AP79),,IF(U79="S",AA79-AP79,AP79-AA79))</f>
        <v>-5.5000000000000021E-2</v>
      </c>
      <c r="AR79" s="92">
        <f t="shared" ref="AR79:AR82" si="27">AS79*R79</f>
        <v>-274.72500000000002</v>
      </c>
      <c r="AS79" s="21">
        <f t="shared" ref="AS79:AS82" si="28">IF(ISBLANK(AP79),,(AQ79*W79))</f>
        <v>-91.575000000000017</v>
      </c>
      <c r="AT79" s="22" t="s">
        <v>229</v>
      </c>
      <c r="AU79" s="13" t="s">
        <v>8349</v>
      </c>
      <c r="AV79" s="13" t="s">
        <v>8350</v>
      </c>
      <c r="AW79" s="13" t="s">
        <v>8351</v>
      </c>
      <c r="AX79" s="13" t="s">
        <v>8352</v>
      </c>
      <c r="AY79" s="13" t="s">
        <v>8353</v>
      </c>
      <c r="AZ79" s="13"/>
    </row>
    <row r="80" spans="1:52" ht="12.75">
      <c r="A80" s="12">
        <v>44798</v>
      </c>
      <c r="B80" s="13"/>
      <c r="C80" s="13" t="s">
        <v>93</v>
      </c>
      <c r="D80" s="17"/>
      <c r="E80" s="13"/>
      <c r="F80" s="14" t="s">
        <v>94</v>
      </c>
      <c r="G80" s="13"/>
      <c r="H80" s="13"/>
      <c r="I80" s="13"/>
      <c r="J80" s="14"/>
      <c r="K80" s="14"/>
      <c r="L80" s="13">
        <v>1</v>
      </c>
      <c r="M80" s="13"/>
      <c r="N80" s="13"/>
      <c r="O80" s="14" t="s">
        <v>95</v>
      </c>
      <c r="P80" s="14" t="s">
        <v>137</v>
      </c>
      <c r="Q80" s="14" t="s">
        <v>97</v>
      </c>
      <c r="R80" s="14">
        <v>1</v>
      </c>
      <c r="S80" s="14">
        <v>1</v>
      </c>
      <c r="T80" s="14">
        <v>1</v>
      </c>
      <c r="U80" s="14" t="s">
        <v>22</v>
      </c>
      <c r="V80" s="14">
        <f t="shared" si="21"/>
        <v>0.01</v>
      </c>
      <c r="W80" s="14">
        <f t="shared" si="22"/>
        <v>1664.9999999999998</v>
      </c>
      <c r="X80" s="17"/>
      <c r="Y80" s="17"/>
      <c r="Z80" s="17" t="s">
        <v>8354</v>
      </c>
      <c r="AA80" s="18">
        <v>-7.0000000000000007E-2</v>
      </c>
      <c r="AB80" s="13" t="s">
        <v>99</v>
      </c>
      <c r="AC80" s="13"/>
      <c r="AD80" s="13"/>
      <c r="AE80" s="13">
        <v>-0.06</v>
      </c>
      <c r="AF80" s="13" t="s">
        <v>99</v>
      </c>
      <c r="AG80" s="13"/>
      <c r="AH80" s="13"/>
      <c r="AI80" s="19"/>
      <c r="AJ80" s="14"/>
      <c r="AK80" s="13" t="s">
        <v>8205</v>
      </c>
      <c r="AL80" s="13"/>
      <c r="AM80" s="13"/>
      <c r="AN80" s="13" t="s">
        <v>372</v>
      </c>
      <c r="AO80" s="13"/>
      <c r="AP80" s="20">
        <v>-0.08</v>
      </c>
      <c r="AQ80" s="20">
        <f t="shared" si="26"/>
        <v>-9.999999999999995E-3</v>
      </c>
      <c r="AR80" s="92">
        <f t="shared" si="27"/>
        <v>-16.649999999999988</v>
      </c>
      <c r="AS80" s="21">
        <f t="shared" si="28"/>
        <v>-16.649999999999988</v>
      </c>
      <c r="AT80" s="22" t="s">
        <v>229</v>
      </c>
      <c r="AU80" s="13" t="s">
        <v>8355</v>
      </c>
      <c r="AV80" s="13" t="s">
        <v>8356</v>
      </c>
      <c r="AW80" s="13" t="s">
        <v>8357</v>
      </c>
      <c r="AX80" s="13" t="s">
        <v>8358</v>
      </c>
      <c r="AY80" s="13"/>
      <c r="AZ80" s="13"/>
    </row>
    <row r="81" spans="1:52" ht="12.75">
      <c r="A81" s="12">
        <v>44799</v>
      </c>
      <c r="B81" s="13"/>
      <c r="C81" s="13" t="s">
        <v>111</v>
      </c>
      <c r="D81" s="17"/>
      <c r="E81" s="13"/>
      <c r="F81" s="14" t="s">
        <v>94</v>
      </c>
      <c r="G81" s="13"/>
      <c r="H81" s="13"/>
      <c r="I81" s="13"/>
      <c r="J81" s="14" t="s">
        <v>115</v>
      </c>
      <c r="K81" s="14"/>
      <c r="L81" s="13">
        <v>1</v>
      </c>
      <c r="M81" s="13"/>
      <c r="N81" s="13"/>
      <c r="O81" s="14" t="s">
        <v>95</v>
      </c>
      <c r="P81" s="14" t="s">
        <v>137</v>
      </c>
      <c r="Q81" s="14" t="s">
        <v>97</v>
      </c>
      <c r="R81" s="14">
        <v>1</v>
      </c>
      <c r="S81" s="14">
        <v>1</v>
      </c>
      <c r="T81" s="14">
        <v>1</v>
      </c>
      <c r="U81" s="14" t="s">
        <v>97</v>
      </c>
      <c r="V81" s="14">
        <f t="shared" si="21"/>
        <v>0.01</v>
      </c>
      <c r="W81" s="14">
        <f t="shared" si="22"/>
        <v>1664.9999999999998</v>
      </c>
      <c r="X81" s="17"/>
      <c r="Y81" s="17"/>
      <c r="Z81" s="17" t="s">
        <v>8354</v>
      </c>
      <c r="AA81" s="18">
        <v>-0.06</v>
      </c>
      <c r="AB81" s="13" t="s">
        <v>99</v>
      </c>
      <c r="AC81" s="13"/>
      <c r="AD81" s="13"/>
      <c r="AE81" s="13"/>
      <c r="AF81" s="13" t="s">
        <v>99</v>
      </c>
      <c r="AG81" s="13"/>
      <c r="AH81" s="13"/>
      <c r="AI81" s="19"/>
      <c r="AJ81" s="14"/>
      <c r="AK81" s="13" t="s">
        <v>8359</v>
      </c>
      <c r="AL81" s="13"/>
      <c r="AM81" s="13"/>
      <c r="AN81" s="13" t="s">
        <v>372</v>
      </c>
      <c r="AO81" s="13"/>
      <c r="AP81" s="20">
        <v>-7.0000000000000007E-2</v>
      </c>
      <c r="AQ81" s="20">
        <f t="shared" si="26"/>
        <v>1.0000000000000009E-2</v>
      </c>
      <c r="AR81" s="92">
        <f t="shared" si="27"/>
        <v>16.650000000000013</v>
      </c>
      <c r="AS81" s="21">
        <f t="shared" si="28"/>
        <v>16.650000000000013</v>
      </c>
      <c r="AT81" s="22" t="s">
        <v>96</v>
      </c>
      <c r="AU81" s="13" t="s">
        <v>8360</v>
      </c>
      <c r="AV81" s="13" t="s">
        <v>8361</v>
      </c>
      <c r="AW81" s="13" t="s">
        <v>8362</v>
      </c>
      <c r="AX81" s="13" t="s">
        <v>8363</v>
      </c>
      <c r="AY81" s="13" t="s">
        <v>8364</v>
      </c>
      <c r="AZ81" s="13" t="s">
        <v>8365</v>
      </c>
    </row>
    <row r="82" spans="1:52" ht="12.75">
      <c r="A82" s="12">
        <v>44799</v>
      </c>
      <c r="B82" s="13"/>
      <c r="C82" s="13" t="s">
        <v>111</v>
      </c>
      <c r="D82" s="17"/>
      <c r="E82" s="13"/>
      <c r="F82" s="14" t="s">
        <v>94</v>
      </c>
      <c r="G82" s="13"/>
      <c r="H82" s="13"/>
      <c r="I82" s="13"/>
      <c r="J82" s="14" t="s">
        <v>372</v>
      </c>
      <c r="K82" s="14"/>
      <c r="L82" s="13">
        <v>1</v>
      </c>
      <c r="M82" s="13"/>
      <c r="N82" s="13"/>
      <c r="O82" s="14" t="s">
        <v>95</v>
      </c>
      <c r="P82" s="14" t="s">
        <v>137</v>
      </c>
      <c r="Q82" s="14" t="s">
        <v>97</v>
      </c>
      <c r="R82" s="14">
        <v>1</v>
      </c>
      <c r="S82" s="14">
        <v>1</v>
      </c>
      <c r="T82" s="14">
        <v>1</v>
      </c>
      <c r="U82" s="14" t="s">
        <v>97</v>
      </c>
      <c r="V82" s="14">
        <f t="shared" si="21"/>
        <v>0.01</v>
      </c>
      <c r="W82" s="14">
        <f t="shared" si="22"/>
        <v>1664.9999999999998</v>
      </c>
      <c r="X82" s="17"/>
      <c r="Y82" s="17"/>
      <c r="Z82" s="17" t="s">
        <v>8354</v>
      </c>
      <c r="AA82" s="18">
        <v>-0.06</v>
      </c>
      <c r="AB82" s="13" t="s">
        <v>99</v>
      </c>
      <c r="AC82" s="13"/>
      <c r="AD82" s="13"/>
      <c r="AE82" s="13"/>
      <c r="AF82" s="13" t="s">
        <v>99</v>
      </c>
      <c r="AG82" s="13"/>
      <c r="AH82" s="13"/>
      <c r="AI82" s="19"/>
      <c r="AJ82" s="14"/>
      <c r="AK82" s="13" t="s">
        <v>8359</v>
      </c>
      <c r="AL82" s="13"/>
      <c r="AM82" s="13"/>
      <c r="AN82" s="13" t="s">
        <v>372</v>
      </c>
      <c r="AO82" s="13"/>
      <c r="AP82" s="20">
        <v>-7.0000000000000007E-2</v>
      </c>
      <c r="AQ82" s="20">
        <f t="shared" si="26"/>
        <v>1.0000000000000009E-2</v>
      </c>
      <c r="AR82" s="92">
        <f t="shared" si="27"/>
        <v>16.650000000000013</v>
      </c>
      <c r="AS82" s="21">
        <f t="shared" si="28"/>
        <v>16.650000000000013</v>
      </c>
      <c r="AT82" s="22" t="s">
        <v>96</v>
      </c>
      <c r="AU82" s="13" t="s">
        <v>8360</v>
      </c>
      <c r="AV82" s="13" t="s">
        <v>8366</v>
      </c>
      <c r="AW82" s="13" t="s">
        <v>8367</v>
      </c>
      <c r="AX82" s="13" t="s">
        <v>8363</v>
      </c>
      <c r="AY82" s="13" t="s">
        <v>8364</v>
      </c>
      <c r="AZ82" s="13" t="s">
        <v>8365</v>
      </c>
    </row>
    <row r="83" spans="1:52" ht="12.75">
      <c r="A83" s="12">
        <v>44799</v>
      </c>
      <c r="B83" s="13"/>
      <c r="C83" s="13" t="s">
        <v>111</v>
      </c>
      <c r="D83" s="17"/>
      <c r="E83" s="13"/>
      <c r="F83" s="14" t="s">
        <v>8368</v>
      </c>
      <c r="G83" s="13"/>
      <c r="H83" s="13"/>
      <c r="I83" s="13"/>
      <c r="J83" s="14"/>
      <c r="K83" s="14"/>
      <c r="L83" s="13">
        <v>1</v>
      </c>
      <c r="M83" s="13">
        <v>2</v>
      </c>
      <c r="N83" s="13"/>
      <c r="O83" s="14" t="s">
        <v>95</v>
      </c>
      <c r="P83" s="14" t="s">
        <v>96</v>
      </c>
      <c r="Q83" s="14"/>
      <c r="R83" s="14">
        <v>1</v>
      </c>
      <c r="S83" s="14">
        <v>1</v>
      </c>
      <c r="T83" s="14">
        <v>1</v>
      </c>
      <c r="U83" s="14" t="s">
        <v>22</v>
      </c>
      <c r="V83" s="14">
        <f t="shared" si="21"/>
        <v>0.01</v>
      </c>
      <c r="W83" s="14">
        <f t="shared" si="22"/>
        <v>1664.9999999999998</v>
      </c>
      <c r="X83" s="17"/>
      <c r="Y83" s="17"/>
      <c r="Z83" s="17" t="s">
        <v>8369</v>
      </c>
      <c r="AA83" s="18">
        <v>0.25</v>
      </c>
      <c r="AB83" s="13"/>
      <c r="AC83" s="13"/>
      <c r="AD83" s="13"/>
      <c r="AE83" s="13"/>
      <c r="AF83" s="13"/>
      <c r="AG83" s="13"/>
      <c r="AH83" s="13"/>
      <c r="AI83" s="19"/>
      <c r="AJ83" s="14"/>
      <c r="AK83" s="13"/>
      <c r="AL83" s="13"/>
      <c r="AM83" s="13"/>
      <c r="AN83" s="13"/>
      <c r="AO83" s="13"/>
      <c r="AP83" s="20"/>
      <c r="AQ83" s="13"/>
      <c r="AR83" s="92"/>
      <c r="AS83" s="21"/>
      <c r="AT83" s="22"/>
      <c r="AU83" s="13"/>
      <c r="AV83" s="13"/>
      <c r="AW83" s="13"/>
      <c r="AX83" s="13"/>
      <c r="AY83" s="13"/>
      <c r="AZ83" s="13"/>
    </row>
    <row r="84" spans="1:52" ht="12.75">
      <c r="A84" s="12">
        <v>44799</v>
      </c>
      <c r="B84" s="13"/>
      <c r="C84" s="13" t="s">
        <v>111</v>
      </c>
      <c r="D84" s="17"/>
      <c r="E84" s="13"/>
      <c r="F84" s="14" t="s">
        <v>8287</v>
      </c>
      <c r="G84" s="13"/>
      <c r="H84" s="13"/>
      <c r="I84" s="13"/>
      <c r="J84" s="14"/>
      <c r="K84" s="14"/>
      <c r="L84" s="13">
        <v>1</v>
      </c>
      <c r="M84" s="13">
        <v>2</v>
      </c>
      <c r="N84" s="13">
        <v>2</v>
      </c>
      <c r="O84" s="14" t="s">
        <v>95</v>
      </c>
      <c r="P84" s="14" t="s">
        <v>96</v>
      </c>
      <c r="Q84" s="14"/>
      <c r="R84" s="14">
        <v>2</v>
      </c>
      <c r="S84" s="14">
        <v>2</v>
      </c>
      <c r="T84" s="14">
        <v>1</v>
      </c>
      <c r="U84" s="14" t="s">
        <v>97</v>
      </c>
      <c r="V84" s="14">
        <f t="shared" si="21"/>
        <v>0.01</v>
      </c>
      <c r="W84" s="14">
        <f t="shared" si="22"/>
        <v>1664.9999999999998</v>
      </c>
      <c r="X84" s="17" t="s">
        <v>8370</v>
      </c>
      <c r="Y84" s="17"/>
      <c r="Z84" s="17"/>
      <c r="AA84" s="18">
        <v>0.16</v>
      </c>
      <c r="AB84" s="13"/>
      <c r="AC84" s="13"/>
      <c r="AD84" s="13"/>
      <c r="AE84" s="13"/>
      <c r="AF84" s="13"/>
      <c r="AG84" s="13"/>
      <c r="AH84" s="13"/>
      <c r="AI84" s="19"/>
      <c r="AJ84" s="14"/>
      <c r="AK84" s="13"/>
      <c r="AL84" s="13"/>
      <c r="AM84" s="13"/>
      <c r="AN84" s="13"/>
      <c r="AO84" s="13"/>
      <c r="AP84" s="20"/>
      <c r="AQ84" s="13"/>
      <c r="AR84" s="92"/>
      <c r="AS84" s="21"/>
      <c r="AT84" s="22"/>
      <c r="AU84" s="13"/>
      <c r="AV84" s="13"/>
      <c r="AW84" s="13"/>
      <c r="AX84" s="13"/>
      <c r="AY84" s="13"/>
      <c r="AZ84" s="13"/>
    </row>
    <row r="85" spans="1:52" ht="12.75">
      <c r="A85" s="12">
        <v>44799</v>
      </c>
      <c r="B85" s="13"/>
      <c r="C85" s="13" t="s">
        <v>111</v>
      </c>
      <c r="D85" s="17"/>
      <c r="E85" s="13"/>
      <c r="F85" s="14" t="s">
        <v>8287</v>
      </c>
      <c r="G85" s="13"/>
      <c r="H85" s="13"/>
      <c r="I85" s="13"/>
      <c r="J85" s="14" t="s">
        <v>372</v>
      </c>
      <c r="K85" s="14"/>
      <c r="L85" s="13">
        <v>1</v>
      </c>
      <c r="M85" s="13">
        <v>2</v>
      </c>
      <c r="N85" s="13">
        <v>3</v>
      </c>
      <c r="O85" s="14" t="s">
        <v>95</v>
      </c>
      <c r="P85" s="14" t="s">
        <v>96</v>
      </c>
      <c r="Q85" s="14"/>
      <c r="R85" s="14">
        <v>2</v>
      </c>
      <c r="S85" s="14">
        <v>2</v>
      </c>
      <c r="T85" s="14">
        <v>2</v>
      </c>
      <c r="U85" s="14" t="s">
        <v>97</v>
      </c>
      <c r="V85" s="14">
        <f t="shared" si="21"/>
        <v>0.01</v>
      </c>
      <c r="W85" s="14">
        <f t="shared" si="22"/>
        <v>1664.9999999999998</v>
      </c>
      <c r="X85" s="17" t="s">
        <v>8371</v>
      </c>
      <c r="Y85" s="17" t="s">
        <v>8372</v>
      </c>
      <c r="Z85" s="17"/>
      <c r="AA85" s="18">
        <v>0.17</v>
      </c>
      <c r="AB85" s="13"/>
      <c r="AC85" s="13"/>
      <c r="AD85" s="13"/>
      <c r="AE85" s="13"/>
      <c r="AF85" s="13"/>
      <c r="AG85" s="13"/>
      <c r="AH85" s="13"/>
      <c r="AI85" s="19"/>
      <c r="AJ85" s="14"/>
      <c r="AK85" s="13"/>
      <c r="AL85" s="13"/>
      <c r="AM85" s="13"/>
      <c r="AN85" s="13"/>
      <c r="AO85" s="13"/>
      <c r="AP85" s="20"/>
      <c r="AQ85" s="13"/>
      <c r="AR85" s="92"/>
      <c r="AS85" s="21"/>
      <c r="AT85" s="22"/>
      <c r="AU85" s="13"/>
      <c r="AV85" s="13"/>
      <c r="AW85" s="13"/>
      <c r="AX85" s="13"/>
      <c r="AY85" s="13"/>
      <c r="AZ85" s="13"/>
    </row>
    <row r="86" spans="1:52" ht="12.75">
      <c r="A86" s="12">
        <v>44799</v>
      </c>
      <c r="B86" s="13"/>
      <c r="C86" s="13" t="s">
        <v>111</v>
      </c>
      <c r="D86" s="17"/>
      <c r="E86" s="13"/>
      <c r="F86" s="14"/>
      <c r="G86" s="13"/>
      <c r="H86" s="13"/>
      <c r="I86" s="13"/>
      <c r="J86" s="14" t="s">
        <v>372</v>
      </c>
      <c r="K86" s="14"/>
      <c r="L86" s="13"/>
      <c r="M86" s="13"/>
      <c r="N86" s="13"/>
      <c r="O86" s="14"/>
      <c r="P86" s="14"/>
      <c r="Q86" s="14"/>
      <c r="R86" s="14"/>
      <c r="S86" s="14"/>
      <c r="T86" s="14"/>
      <c r="U86" s="14"/>
      <c r="V86" s="14">
        <f t="shared" si="21"/>
        <v>0</v>
      </c>
      <c r="W86" s="14">
        <f t="shared" si="22"/>
        <v>0</v>
      </c>
      <c r="X86" s="17"/>
      <c r="Y86" s="17"/>
      <c r="Z86" s="17"/>
      <c r="AA86" s="18"/>
      <c r="AB86" s="13"/>
      <c r="AC86" s="13"/>
      <c r="AD86" s="13"/>
      <c r="AE86" s="13"/>
      <c r="AF86" s="13"/>
      <c r="AG86" s="13"/>
      <c r="AH86" s="13"/>
      <c r="AI86" s="19"/>
      <c r="AJ86" s="14"/>
      <c r="AK86" s="13"/>
      <c r="AL86" s="13"/>
      <c r="AM86" s="13"/>
      <c r="AN86" s="13"/>
      <c r="AO86" s="13"/>
      <c r="AP86" s="20"/>
      <c r="AQ86" s="13"/>
      <c r="AR86" s="92"/>
      <c r="AS86" s="21"/>
      <c r="AT86" s="22"/>
      <c r="AU86" s="13" t="s">
        <v>8373</v>
      </c>
      <c r="AV86" s="13"/>
      <c r="AW86" s="13"/>
      <c r="AX86" s="13"/>
      <c r="AY86" s="13"/>
      <c r="AZ86" s="13"/>
    </row>
    <row r="87" spans="1:52" ht="12.75">
      <c r="A87" s="12">
        <v>44802</v>
      </c>
      <c r="B87" s="13"/>
      <c r="C87" s="13" t="s">
        <v>132</v>
      </c>
      <c r="D87" s="17"/>
      <c r="E87" s="13"/>
      <c r="F87" s="14" t="s">
        <v>8287</v>
      </c>
      <c r="G87" s="13"/>
      <c r="H87" s="13"/>
      <c r="I87" s="13"/>
      <c r="J87" s="14"/>
      <c r="K87" s="14"/>
      <c r="L87" s="13">
        <v>1</v>
      </c>
      <c r="M87" s="13"/>
      <c r="N87" s="13">
        <v>1</v>
      </c>
      <c r="O87" s="14" t="s">
        <v>95</v>
      </c>
      <c r="P87" s="14" t="s">
        <v>96</v>
      </c>
      <c r="Q87" s="14"/>
      <c r="R87" s="14">
        <v>1</v>
      </c>
      <c r="S87" s="14">
        <v>1</v>
      </c>
      <c r="T87" s="14">
        <v>1</v>
      </c>
      <c r="U87" s="14" t="s">
        <v>97</v>
      </c>
      <c r="V87" s="14">
        <f t="shared" si="21"/>
        <v>0.01</v>
      </c>
      <c r="W87" s="14">
        <f t="shared" si="22"/>
        <v>1664.9999999999998</v>
      </c>
      <c r="X87" s="17" t="s">
        <v>8371</v>
      </c>
      <c r="Y87" s="17"/>
      <c r="Z87" s="17"/>
      <c r="AA87" s="18">
        <v>0.19</v>
      </c>
      <c r="AB87" s="13"/>
      <c r="AC87" s="13"/>
      <c r="AD87" s="13"/>
      <c r="AE87" s="13"/>
      <c r="AF87" s="13"/>
      <c r="AG87" s="13"/>
      <c r="AH87" s="13"/>
      <c r="AI87" s="19"/>
      <c r="AJ87" s="14"/>
      <c r="AK87" s="13"/>
      <c r="AL87" s="13"/>
      <c r="AM87" s="13"/>
      <c r="AN87" s="13"/>
      <c r="AO87" s="13"/>
      <c r="AP87" s="20"/>
      <c r="AQ87" s="13"/>
      <c r="AR87" s="92"/>
      <c r="AS87" s="21"/>
      <c r="AT87" s="22"/>
      <c r="AU87" s="13"/>
      <c r="AV87" s="13"/>
      <c r="AW87" s="13"/>
      <c r="AX87" s="13"/>
      <c r="AY87" s="13"/>
      <c r="AZ87" s="13"/>
    </row>
    <row r="88" spans="1:52" ht="12.75">
      <c r="A88" s="12">
        <v>44802</v>
      </c>
      <c r="B88" s="13"/>
      <c r="C88" s="13" t="s">
        <v>132</v>
      </c>
      <c r="D88" s="17"/>
      <c r="E88" s="13"/>
      <c r="F88" s="14" t="s">
        <v>94</v>
      </c>
      <c r="G88" s="13"/>
      <c r="H88" s="13"/>
      <c r="I88" s="13"/>
      <c r="J88" s="14"/>
      <c r="K88" s="14"/>
      <c r="L88" s="13">
        <v>1</v>
      </c>
      <c r="M88" s="13"/>
      <c r="N88" s="13"/>
      <c r="O88" s="14" t="s">
        <v>95</v>
      </c>
      <c r="P88" s="14" t="s">
        <v>137</v>
      </c>
      <c r="Q88" s="14" t="s">
        <v>97</v>
      </c>
      <c r="R88" s="14">
        <v>1</v>
      </c>
      <c r="S88" s="14">
        <v>1</v>
      </c>
      <c r="T88" s="14">
        <v>1</v>
      </c>
      <c r="U88" s="14" t="s">
        <v>22</v>
      </c>
      <c r="V88" s="14">
        <f t="shared" si="21"/>
        <v>0.01</v>
      </c>
      <c r="W88" s="14">
        <f t="shared" si="22"/>
        <v>1664.9999999999998</v>
      </c>
      <c r="X88" s="17"/>
      <c r="Y88" s="17"/>
      <c r="Z88" s="17" t="s">
        <v>99</v>
      </c>
      <c r="AA88" s="18">
        <v>-7.0000000000000007E-2</v>
      </c>
      <c r="AB88" s="13"/>
      <c r="AC88" s="13"/>
      <c r="AD88" s="13"/>
      <c r="AE88" s="13"/>
      <c r="AF88" s="13"/>
      <c r="AG88" s="13"/>
      <c r="AH88" s="13"/>
      <c r="AI88" s="19"/>
      <c r="AJ88" s="14"/>
      <c r="AK88" s="13"/>
      <c r="AL88" s="13"/>
      <c r="AM88" s="13" t="s">
        <v>8374</v>
      </c>
      <c r="AN88" s="13" t="s">
        <v>372</v>
      </c>
      <c r="AO88" s="13"/>
      <c r="AP88" s="20">
        <v>-0.06</v>
      </c>
      <c r="AQ88" s="20">
        <f>IF(ISBLANK(AP88),,IF(U88="S",AA88-AP88,AP88-AA88))</f>
        <v>1.0000000000000009E-2</v>
      </c>
      <c r="AR88" s="92">
        <f>AS88*R88</f>
        <v>16.650000000000013</v>
      </c>
      <c r="AS88" s="21">
        <f>IF(ISBLANK(AP88),,(AQ88*W88))</f>
        <v>16.650000000000013</v>
      </c>
      <c r="AT88" s="22" t="s">
        <v>96</v>
      </c>
      <c r="AU88" s="13" t="s">
        <v>99</v>
      </c>
      <c r="AV88" s="13" t="s">
        <v>8375</v>
      </c>
      <c r="AW88" s="13"/>
      <c r="AX88" s="13"/>
      <c r="AY88" s="13"/>
      <c r="AZ88" s="13"/>
    </row>
    <row r="89" spans="1:52" ht="12.75">
      <c r="A89" s="12">
        <v>44802</v>
      </c>
      <c r="B89" s="13"/>
      <c r="C89" s="13" t="s">
        <v>132</v>
      </c>
      <c r="D89" s="17"/>
      <c r="E89" s="13"/>
      <c r="F89" s="14" t="s">
        <v>8287</v>
      </c>
      <c r="G89" s="13"/>
      <c r="H89" s="13"/>
      <c r="I89" s="13"/>
      <c r="J89" s="14"/>
      <c r="K89" s="14"/>
      <c r="L89" s="13"/>
      <c r="M89" s="13"/>
      <c r="N89" s="13"/>
      <c r="O89" s="14" t="s">
        <v>95</v>
      </c>
      <c r="P89" s="14" t="s">
        <v>96</v>
      </c>
      <c r="Q89" s="14"/>
      <c r="R89" s="14">
        <v>2</v>
      </c>
      <c r="S89" s="14">
        <v>2</v>
      </c>
      <c r="T89" s="14">
        <v>2</v>
      </c>
      <c r="U89" s="14" t="s">
        <v>97</v>
      </c>
      <c r="V89" s="14">
        <f t="shared" si="21"/>
        <v>0.01</v>
      </c>
      <c r="W89" s="14">
        <f t="shared" si="22"/>
        <v>1664.9999999999998</v>
      </c>
      <c r="X89" s="17"/>
      <c r="Y89" s="17"/>
      <c r="Z89" s="17"/>
      <c r="AA89" s="18">
        <v>0.2</v>
      </c>
      <c r="AB89" s="13"/>
      <c r="AC89" s="13"/>
      <c r="AD89" s="13"/>
      <c r="AE89" s="13"/>
      <c r="AF89" s="13"/>
      <c r="AG89" s="13"/>
      <c r="AH89" s="13"/>
      <c r="AI89" s="19"/>
      <c r="AJ89" s="14"/>
      <c r="AK89" s="13"/>
      <c r="AL89" s="13"/>
      <c r="AM89" s="13"/>
      <c r="AN89" s="13"/>
      <c r="AO89" s="13"/>
      <c r="AP89" s="20"/>
      <c r="AQ89" s="13"/>
      <c r="AR89" s="92"/>
      <c r="AS89" s="21"/>
      <c r="AT89" s="22"/>
      <c r="AU89" s="13"/>
      <c r="AV89" s="13"/>
      <c r="AW89" s="13"/>
      <c r="AX89" s="13"/>
      <c r="AY89" s="13"/>
      <c r="AZ89" s="13"/>
    </row>
    <row r="90" spans="1:52" ht="12.75">
      <c r="A90" s="12">
        <v>44802</v>
      </c>
      <c r="B90" s="13"/>
      <c r="C90" s="13" t="s">
        <v>132</v>
      </c>
      <c r="D90" s="17"/>
      <c r="E90" s="13"/>
      <c r="F90" s="14" t="s">
        <v>8368</v>
      </c>
      <c r="G90" s="13"/>
      <c r="H90" s="13"/>
      <c r="I90" s="13"/>
      <c r="J90" s="14"/>
      <c r="K90" s="14"/>
      <c r="L90" s="13"/>
      <c r="M90" s="13">
        <v>1</v>
      </c>
      <c r="N90" s="13"/>
      <c r="O90" s="14" t="s">
        <v>95</v>
      </c>
      <c r="P90" s="14" t="s">
        <v>96</v>
      </c>
      <c r="Q90" s="14"/>
      <c r="R90" s="14">
        <v>1</v>
      </c>
      <c r="S90" s="14">
        <v>1</v>
      </c>
      <c r="T90" s="14">
        <v>1</v>
      </c>
      <c r="U90" s="14" t="s">
        <v>22</v>
      </c>
      <c r="V90" s="14">
        <f t="shared" si="21"/>
        <v>0.01</v>
      </c>
      <c r="W90" s="14">
        <f t="shared" si="22"/>
        <v>1664.9999999999998</v>
      </c>
      <c r="X90" s="17"/>
      <c r="Y90" s="17"/>
      <c r="Z90" s="17"/>
      <c r="AA90" s="18">
        <v>0.21</v>
      </c>
      <c r="AB90" s="13"/>
      <c r="AC90" s="13"/>
      <c r="AD90" s="13"/>
      <c r="AE90" s="13"/>
      <c r="AF90" s="13"/>
      <c r="AG90" s="13"/>
      <c r="AH90" s="13"/>
      <c r="AI90" s="19"/>
      <c r="AJ90" s="14"/>
      <c r="AK90" s="13"/>
      <c r="AL90" s="13"/>
      <c r="AM90" s="13"/>
      <c r="AN90" s="13"/>
      <c r="AO90" s="13"/>
      <c r="AP90" s="20"/>
      <c r="AQ90" s="13"/>
      <c r="AR90" s="92"/>
      <c r="AS90" s="21"/>
      <c r="AT90" s="22"/>
      <c r="AU90" s="13"/>
      <c r="AV90" s="13"/>
      <c r="AW90" s="13"/>
      <c r="AX90" s="13"/>
      <c r="AY90" s="13"/>
      <c r="AZ90" s="13"/>
    </row>
    <row r="91" spans="1:52" ht="12.75">
      <c r="A91" s="12">
        <v>44802</v>
      </c>
      <c r="B91" s="13"/>
      <c r="C91" s="13" t="s">
        <v>132</v>
      </c>
      <c r="D91" s="17"/>
      <c r="E91" s="13"/>
      <c r="F91" s="14" t="s">
        <v>8368</v>
      </c>
      <c r="G91" s="13"/>
      <c r="H91" s="13"/>
      <c r="I91" s="13"/>
      <c r="J91" s="14" t="s">
        <v>372</v>
      </c>
      <c r="K91" s="14"/>
      <c r="L91" s="13"/>
      <c r="M91" s="13">
        <v>1</v>
      </c>
      <c r="N91" s="13"/>
      <c r="O91" s="14" t="s">
        <v>95</v>
      </c>
      <c r="P91" s="14" t="s">
        <v>96</v>
      </c>
      <c r="Q91" s="14"/>
      <c r="R91" s="14">
        <v>3</v>
      </c>
      <c r="S91" s="14">
        <v>3</v>
      </c>
      <c r="T91" s="14">
        <v>1</v>
      </c>
      <c r="U91" s="14"/>
      <c r="V91" s="14">
        <f t="shared" si="21"/>
        <v>0.01</v>
      </c>
      <c r="W91" s="14">
        <f t="shared" si="22"/>
        <v>1664.9999999999998</v>
      </c>
      <c r="X91" s="17"/>
      <c r="Y91" s="17" t="s">
        <v>8376</v>
      </c>
      <c r="Z91" s="17"/>
      <c r="AA91" s="18">
        <v>0.23</v>
      </c>
      <c r="AB91" s="13"/>
      <c r="AC91" s="13"/>
      <c r="AD91" s="13"/>
      <c r="AE91" s="13"/>
      <c r="AF91" s="13"/>
      <c r="AG91" s="13"/>
      <c r="AH91" s="13"/>
      <c r="AI91" s="19"/>
      <c r="AJ91" s="14"/>
      <c r="AK91" s="13"/>
      <c r="AL91" s="13"/>
      <c r="AM91" s="13"/>
      <c r="AN91" s="13"/>
      <c r="AO91" s="13"/>
      <c r="AP91" s="20"/>
      <c r="AQ91" s="13"/>
      <c r="AR91" s="92"/>
      <c r="AS91" s="21"/>
      <c r="AT91" s="22"/>
      <c r="AU91" s="13"/>
      <c r="AV91" s="13"/>
      <c r="AW91" s="13"/>
      <c r="AX91" s="13"/>
      <c r="AY91" s="13"/>
      <c r="AZ91" s="13"/>
    </row>
    <row r="92" spans="1:52" ht="12.75">
      <c r="A92" s="12">
        <v>44802</v>
      </c>
      <c r="B92" s="13"/>
      <c r="C92" s="13" t="s">
        <v>132</v>
      </c>
      <c r="D92" s="17" t="s">
        <v>8377</v>
      </c>
      <c r="E92" s="13" t="s">
        <v>8378</v>
      </c>
      <c r="F92" s="14" t="s">
        <v>94</v>
      </c>
      <c r="G92" s="13"/>
      <c r="H92" s="13"/>
      <c r="I92" s="13"/>
      <c r="J92" s="14"/>
      <c r="K92" s="14"/>
      <c r="L92" s="13">
        <v>1</v>
      </c>
      <c r="M92" s="13"/>
      <c r="N92" s="13"/>
      <c r="O92" s="14" t="s">
        <v>95</v>
      </c>
      <c r="P92" s="14" t="s">
        <v>137</v>
      </c>
      <c r="Q92" s="14" t="s">
        <v>97</v>
      </c>
      <c r="R92" s="14">
        <v>1</v>
      </c>
      <c r="S92" s="14">
        <v>1</v>
      </c>
      <c r="T92" s="14">
        <v>1</v>
      </c>
      <c r="U92" s="14" t="s">
        <v>22</v>
      </c>
      <c r="V92" s="14">
        <f t="shared" si="21"/>
        <v>0.01</v>
      </c>
      <c r="W92" s="14">
        <f t="shared" si="22"/>
        <v>1664.9999999999998</v>
      </c>
      <c r="X92" s="17"/>
      <c r="Y92" s="17"/>
      <c r="Z92" s="17" t="s">
        <v>99</v>
      </c>
      <c r="AA92" s="18">
        <v>-0.08</v>
      </c>
      <c r="AB92" s="13"/>
      <c r="AC92" s="13"/>
      <c r="AD92" s="13"/>
      <c r="AE92" s="13"/>
      <c r="AF92" s="13"/>
      <c r="AG92" s="13"/>
      <c r="AH92" s="13"/>
      <c r="AI92" s="19"/>
      <c r="AJ92" s="14"/>
      <c r="AK92" s="13"/>
      <c r="AL92" s="13"/>
      <c r="AM92" s="13" t="s">
        <v>6479</v>
      </c>
      <c r="AN92" s="13" t="s">
        <v>372</v>
      </c>
      <c r="AO92" s="13"/>
      <c r="AP92" s="20">
        <v>-7.0000000000000007E-2</v>
      </c>
      <c r="AQ92" s="20">
        <f t="shared" ref="AQ92:AQ98" si="29">IF(ISBLANK(AP92),,IF(U92="S",AA92-AP92,AP92-AA92))</f>
        <v>9.999999999999995E-3</v>
      </c>
      <c r="AR92" s="92">
        <f t="shared" ref="AR92:AR96" si="30">AS92*R92</f>
        <v>16.649999999999988</v>
      </c>
      <c r="AS92" s="21">
        <f t="shared" ref="AS92:AS98" si="31">IF(ISBLANK(AP92),,(AQ92*W92))</f>
        <v>16.649999999999988</v>
      </c>
      <c r="AT92" s="22" t="s">
        <v>96</v>
      </c>
      <c r="AU92" s="13" t="s">
        <v>8379</v>
      </c>
      <c r="AV92" s="13" t="s">
        <v>8380</v>
      </c>
      <c r="AW92" s="13"/>
      <c r="AX92" s="13"/>
      <c r="AY92" s="13"/>
      <c r="AZ92" s="13"/>
    </row>
    <row r="93" spans="1:52" ht="12.75">
      <c r="A93" s="12">
        <v>44802</v>
      </c>
      <c r="B93" s="13"/>
      <c r="C93" s="13" t="s">
        <v>132</v>
      </c>
      <c r="D93" s="17" t="s">
        <v>8381</v>
      </c>
      <c r="E93" s="13" t="s">
        <v>8382</v>
      </c>
      <c r="F93" s="14" t="s">
        <v>94</v>
      </c>
      <c r="G93" s="13"/>
      <c r="H93" s="13"/>
      <c r="I93" s="13"/>
      <c r="J93" s="14"/>
      <c r="K93" s="14"/>
      <c r="L93" s="13">
        <v>1</v>
      </c>
      <c r="M93" s="13"/>
      <c r="N93" s="13"/>
      <c r="O93" s="14" t="s">
        <v>95</v>
      </c>
      <c r="P93" s="14" t="s">
        <v>137</v>
      </c>
      <c r="Q93" s="14" t="s">
        <v>97</v>
      </c>
      <c r="R93" s="14">
        <v>1</v>
      </c>
      <c r="S93" s="14">
        <v>1</v>
      </c>
      <c r="T93" s="14">
        <v>1</v>
      </c>
      <c r="U93" s="99" t="s">
        <v>97</v>
      </c>
      <c r="V93" s="14">
        <f t="shared" si="21"/>
        <v>0.01</v>
      </c>
      <c r="W93" s="14">
        <f t="shared" si="22"/>
        <v>1664.9999999999998</v>
      </c>
      <c r="X93" s="17"/>
      <c r="Y93" s="17"/>
      <c r="Z93" s="17" t="s">
        <v>99</v>
      </c>
      <c r="AA93" s="18">
        <v>-0.06</v>
      </c>
      <c r="AB93" s="13"/>
      <c r="AC93" s="13"/>
      <c r="AD93" s="13"/>
      <c r="AE93" s="13"/>
      <c r="AF93" s="13"/>
      <c r="AG93" s="13"/>
      <c r="AH93" s="13"/>
      <c r="AI93" s="19"/>
      <c r="AJ93" s="14"/>
      <c r="AK93" s="13"/>
      <c r="AL93" s="13"/>
      <c r="AM93" s="13" t="s">
        <v>6479</v>
      </c>
      <c r="AN93" s="13" t="s">
        <v>372</v>
      </c>
      <c r="AO93" s="13"/>
      <c r="AP93" s="20">
        <v>-7.0000000000000007E-2</v>
      </c>
      <c r="AQ93" s="20">
        <f t="shared" si="29"/>
        <v>1.0000000000000009E-2</v>
      </c>
      <c r="AR93" s="92">
        <f t="shared" si="30"/>
        <v>16.650000000000013</v>
      </c>
      <c r="AS93" s="21">
        <f t="shared" si="31"/>
        <v>16.650000000000013</v>
      </c>
      <c r="AT93" s="22" t="s">
        <v>96</v>
      </c>
      <c r="AU93" s="13" t="s">
        <v>8379</v>
      </c>
      <c r="AV93" s="13"/>
      <c r="AW93" s="13"/>
      <c r="AX93" s="13"/>
      <c r="AY93" s="13"/>
      <c r="AZ93" s="13"/>
    </row>
    <row r="94" spans="1:52" ht="12.75">
      <c r="A94" s="12">
        <v>44802</v>
      </c>
      <c r="B94" s="13"/>
      <c r="C94" s="13" t="s">
        <v>132</v>
      </c>
      <c r="D94" s="17" t="s">
        <v>8383</v>
      </c>
      <c r="E94" s="13" t="s">
        <v>8384</v>
      </c>
      <c r="F94" s="14" t="s">
        <v>94</v>
      </c>
      <c r="G94" s="13">
        <v>1</v>
      </c>
      <c r="H94" s="13"/>
      <c r="I94" s="13"/>
      <c r="J94" s="14"/>
      <c r="K94" s="14"/>
      <c r="L94" s="13">
        <v>1</v>
      </c>
      <c r="M94" s="13"/>
      <c r="N94" s="13"/>
      <c r="O94" s="14" t="s">
        <v>95</v>
      </c>
      <c r="P94" s="14" t="s">
        <v>137</v>
      </c>
      <c r="Q94" s="14" t="s">
        <v>97</v>
      </c>
      <c r="R94" s="14">
        <v>3</v>
      </c>
      <c r="S94" s="14">
        <v>3</v>
      </c>
      <c r="T94" s="14">
        <v>2</v>
      </c>
      <c r="U94" s="99" t="s">
        <v>97</v>
      </c>
      <c r="V94" s="14">
        <f t="shared" si="21"/>
        <v>0.01</v>
      </c>
      <c r="W94" s="14">
        <f t="shared" si="22"/>
        <v>1664.9999999999998</v>
      </c>
      <c r="X94" s="17"/>
      <c r="Y94" s="17"/>
      <c r="Z94" s="17" t="s">
        <v>99</v>
      </c>
      <c r="AA94" s="18">
        <v>-0.06</v>
      </c>
      <c r="AB94" s="13"/>
      <c r="AC94" s="13"/>
      <c r="AD94" s="13"/>
      <c r="AE94" s="13"/>
      <c r="AF94" s="13"/>
      <c r="AG94" s="13"/>
      <c r="AH94" s="13"/>
      <c r="AI94" s="19"/>
      <c r="AJ94" s="14"/>
      <c r="AK94" s="13"/>
      <c r="AL94" s="13"/>
      <c r="AM94" s="13" t="s">
        <v>8293</v>
      </c>
      <c r="AN94" s="13" t="s">
        <v>372</v>
      </c>
      <c r="AO94" s="13"/>
      <c r="AP94" s="20">
        <v>-7.0000000000000007E-2</v>
      </c>
      <c r="AQ94" s="20">
        <f t="shared" si="29"/>
        <v>1.0000000000000009E-2</v>
      </c>
      <c r="AR94" s="92">
        <f t="shared" si="30"/>
        <v>49.950000000000038</v>
      </c>
      <c r="AS94" s="21">
        <f t="shared" si="31"/>
        <v>16.650000000000013</v>
      </c>
      <c r="AT94" s="22" t="s">
        <v>96</v>
      </c>
      <c r="AU94" s="13" t="s">
        <v>8385</v>
      </c>
      <c r="AV94" s="13" t="s">
        <v>8386</v>
      </c>
      <c r="AW94" s="13"/>
      <c r="AX94" s="13"/>
      <c r="AY94" s="13"/>
      <c r="AZ94" s="13"/>
    </row>
    <row r="95" spans="1:52" ht="12.75">
      <c r="A95" s="12">
        <v>44802</v>
      </c>
      <c r="B95" s="13"/>
      <c r="C95" s="13" t="s">
        <v>132</v>
      </c>
      <c r="D95" s="17" t="s">
        <v>8381</v>
      </c>
      <c r="E95" s="13"/>
      <c r="F95" s="14" t="s">
        <v>94</v>
      </c>
      <c r="G95" s="13"/>
      <c r="H95" s="13"/>
      <c r="I95" s="13"/>
      <c r="J95" s="14"/>
      <c r="K95" s="14"/>
      <c r="L95" s="13">
        <v>1</v>
      </c>
      <c r="M95" s="13"/>
      <c r="N95" s="13"/>
      <c r="O95" s="14" t="s">
        <v>95</v>
      </c>
      <c r="P95" s="14" t="s">
        <v>137</v>
      </c>
      <c r="Q95" s="14" t="s">
        <v>97</v>
      </c>
      <c r="R95" s="14">
        <v>2</v>
      </c>
      <c r="S95" s="14">
        <v>2</v>
      </c>
      <c r="T95" s="14">
        <v>2</v>
      </c>
      <c r="U95" s="99" t="s">
        <v>97</v>
      </c>
      <c r="V95" s="14">
        <f t="shared" si="21"/>
        <v>0.01</v>
      </c>
      <c r="W95" s="14">
        <f t="shared" si="22"/>
        <v>1664.9999999999998</v>
      </c>
      <c r="X95" s="17"/>
      <c r="Y95" s="17"/>
      <c r="Z95" s="17" t="s">
        <v>99</v>
      </c>
      <c r="AA95" s="18">
        <v>-0.06</v>
      </c>
      <c r="AB95" s="13"/>
      <c r="AC95" s="13"/>
      <c r="AD95" s="13"/>
      <c r="AE95" s="13"/>
      <c r="AF95" s="13"/>
      <c r="AG95" s="13"/>
      <c r="AH95" s="13"/>
      <c r="AI95" s="19"/>
      <c r="AJ95" s="14"/>
      <c r="AK95" s="13"/>
      <c r="AL95" s="13"/>
      <c r="AM95" s="13" t="s">
        <v>8387</v>
      </c>
      <c r="AN95" s="13" t="s">
        <v>372</v>
      </c>
      <c r="AO95" s="13"/>
      <c r="AP95" s="20">
        <v>-7.0000000000000007E-2</v>
      </c>
      <c r="AQ95" s="20">
        <f t="shared" si="29"/>
        <v>1.0000000000000009E-2</v>
      </c>
      <c r="AR95" s="92">
        <f t="shared" si="30"/>
        <v>33.300000000000026</v>
      </c>
      <c r="AS95" s="21">
        <f t="shared" si="31"/>
        <v>16.650000000000013</v>
      </c>
      <c r="AT95" s="22" t="s">
        <v>96</v>
      </c>
      <c r="AU95" s="13" t="s">
        <v>8385</v>
      </c>
      <c r="AV95" s="13" t="s">
        <v>8386</v>
      </c>
      <c r="AW95" s="13"/>
      <c r="AX95" s="13"/>
      <c r="AY95" s="13"/>
      <c r="AZ95" s="13"/>
    </row>
    <row r="96" spans="1:52" ht="12.75">
      <c r="A96" s="12">
        <v>44803</v>
      </c>
      <c r="B96" s="13"/>
      <c r="C96" s="13" t="s">
        <v>146</v>
      </c>
      <c r="D96" s="17"/>
      <c r="E96" s="13"/>
      <c r="F96" s="14" t="s">
        <v>94</v>
      </c>
      <c r="G96" s="13"/>
      <c r="H96" s="13"/>
      <c r="I96" s="13"/>
      <c r="J96" s="14"/>
      <c r="K96" s="14"/>
      <c r="L96" s="13">
        <v>1</v>
      </c>
      <c r="M96" s="13"/>
      <c r="N96" s="13"/>
      <c r="O96" s="14" t="s">
        <v>95</v>
      </c>
      <c r="P96" s="14" t="s">
        <v>137</v>
      </c>
      <c r="Q96" s="14" t="s">
        <v>97</v>
      </c>
      <c r="R96" s="14">
        <v>2</v>
      </c>
      <c r="S96" s="14">
        <v>2</v>
      </c>
      <c r="T96" s="14">
        <v>2</v>
      </c>
      <c r="U96" s="14" t="s">
        <v>97</v>
      </c>
      <c r="V96" s="14">
        <f t="shared" si="21"/>
        <v>0.01</v>
      </c>
      <c r="W96" s="14">
        <f t="shared" si="22"/>
        <v>1664.9999999999998</v>
      </c>
      <c r="X96" s="17"/>
      <c r="Y96" s="17"/>
      <c r="Z96" s="17" t="s">
        <v>99</v>
      </c>
      <c r="AA96" s="18">
        <v>-0.06</v>
      </c>
      <c r="AB96" s="13"/>
      <c r="AC96" s="13"/>
      <c r="AD96" s="13"/>
      <c r="AE96" s="13"/>
      <c r="AF96" s="13"/>
      <c r="AG96" s="13"/>
      <c r="AH96" s="13"/>
      <c r="AI96" s="19"/>
      <c r="AJ96" s="14"/>
      <c r="AK96" s="13"/>
      <c r="AL96" s="13"/>
      <c r="AM96" s="13" t="s">
        <v>8388</v>
      </c>
      <c r="AN96" s="13" t="s">
        <v>372</v>
      </c>
      <c r="AO96" s="13"/>
      <c r="AP96" s="20">
        <v>-7.0000000000000007E-2</v>
      </c>
      <c r="AQ96" s="20">
        <f t="shared" si="29"/>
        <v>1.0000000000000009E-2</v>
      </c>
      <c r="AR96" s="92">
        <f t="shared" si="30"/>
        <v>33.300000000000026</v>
      </c>
      <c r="AS96" s="21">
        <f t="shared" si="31"/>
        <v>16.650000000000013</v>
      </c>
      <c r="AT96" s="22" t="s">
        <v>96</v>
      </c>
      <c r="AU96" s="13" t="s">
        <v>8389</v>
      </c>
      <c r="AV96" s="13" t="s">
        <v>8390</v>
      </c>
      <c r="AW96" s="13"/>
      <c r="AX96" s="13" t="s">
        <v>8391</v>
      </c>
      <c r="AY96" s="13"/>
      <c r="AZ96" s="13"/>
    </row>
    <row r="97" spans="1:52" ht="15">
      <c r="A97" s="12">
        <v>44803</v>
      </c>
      <c r="B97" s="13"/>
      <c r="C97" s="13" t="s">
        <v>146</v>
      </c>
      <c r="D97" s="17"/>
      <c r="E97" s="13"/>
      <c r="F97" s="14" t="s">
        <v>3337</v>
      </c>
      <c r="G97" s="13"/>
      <c r="H97" s="13"/>
      <c r="I97" s="13"/>
      <c r="J97" s="14"/>
      <c r="K97" s="14"/>
      <c r="L97" s="13"/>
      <c r="M97" s="13"/>
      <c r="N97" s="13"/>
      <c r="O97" s="14" t="s">
        <v>95</v>
      </c>
      <c r="P97" s="14" t="s">
        <v>137</v>
      </c>
      <c r="Q97" s="100"/>
      <c r="R97" s="100">
        <v>30</v>
      </c>
      <c r="S97" s="100">
        <v>30</v>
      </c>
      <c r="T97" s="100">
        <v>10</v>
      </c>
      <c r="U97" s="14" t="s">
        <v>97</v>
      </c>
      <c r="V97" s="14">
        <f t="shared" si="21"/>
        <v>0.01</v>
      </c>
      <c r="W97" s="14">
        <f t="shared" si="22"/>
        <v>1664.9999999999998</v>
      </c>
      <c r="X97" s="101"/>
      <c r="Y97" s="17"/>
      <c r="Z97" s="17"/>
      <c r="AA97" s="102">
        <v>95.975999999999999</v>
      </c>
      <c r="AB97" s="13" t="s">
        <v>8392</v>
      </c>
      <c r="AC97" s="13">
        <v>95.97</v>
      </c>
      <c r="AD97" s="13" t="s">
        <v>8393</v>
      </c>
      <c r="AE97" s="13">
        <v>95.88</v>
      </c>
      <c r="AF97" s="13" t="s">
        <v>8394</v>
      </c>
      <c r="AG97" s="13"/>
      <c r="AH97" s="13" t="s">
        <v>103</v>
      </c>
      <c r="AI97" s="19"/>
      <c r="AJ97" s="14"/>
      <c r="AK97" s="13"/>
      <c r="AL97" s="13"/>
      <c r="AM97" s="13"/>
      <c r="AN97" s="13"/>
      <c r="AO97" s="13"/>
      <c r="AP97" s="103">
        <v>95.965000000000003</v>
      </c>
      <c r="AQ97" s="20">
        <f t="shared" si="29"/>
        <v>1.099999999999568E-2</v>
      </c>
      <c r="AR97" s="92"/>
      <c r="AS97" s="21">
        <f t="shared" si="31"/>
        <v>18.314999999992803</v>
      </c>
      <c r="AT97" s="22"/>
      <c r="AU97" s="13" t="s">
        <v>8395</v>
      </c>
      <c r="AV97" s="104" t="s">
        <v>8396</v>
      </c>
      <c r="AW97" s="104" t="s">
        <v>8397</v>
      </c>
      <c r="AX97" s="13"/>
      <c r="AY97" s="13"/>
      <c r="AZ97" s="13"/>
    </row>
    <row r="98" spans="1:52" ht="12.75">
      <c r="A98" s="12">
        <v>44803</v>
      </c>
      <c r="B98" s="13"/>
      <c r="C98" s="13" t="s">
        <v>146</v>
      </c>
      <c r="D98" s="17"/>
      <c r="E98" s="13"/>
      <c r="F98" s="14" t="s">
        <v>8232</v>
      </c>
      <c r="G98" s="13"/>
      <c r="H98" s="13"/>
      <c r="I98" s="13"/>
      <c r="J98" s="14"/>
      <c r="K98" s="14"/>
      <c r="L98" s="13">
        <v>1</v>
      </c>
      <c r="M98" s="13"/>
      <c r="N98" s="13">
        <v>1</v>
      </c>
      <c r="O98" s="14" t="s">
        <v>95</v>
      </c>
      <c r="P98" s="14" t="s">
        <v>137</v>
      </c>
      <c r="Q98" s="14" t="s">
        <v>684</v>
      </c>
      <c r="R98" s="14">
        <v>3</v>
      </c>
      <c r="S98" s="14">
        <v>3</v>
      </c>
      <c r="T98" s="14">
        <v>3</v>
      </c>
      <c r="U98" s="14" t="s">
        <v>97</v>
      </c>
      <c r="V98" s="14">
        <f t="shared" si="21"/>
        <v>0.01</v>
      </c>
      <c r="W98" s="14">
        <f t="shared" si="22"/>
        <v>1664.9999999999998</v>
      </c>
      <c r="X98" s="17" t="s">
        <v>8398</v>
      </c>
      <c r="Y98" s="17"/>
      <c r="Z98" s="17"/>
      <c r="AA98" s="18">
        <v>96.01</v>
      </c>
      <c r="AB98" s="13" t="s">
        <v>8399</v>
      </c>
      <c r="AC98" s="13">
        <v>96.02</v>
      </c>
      <c r="AD98" s="13" t="s">
        <v>8400</v>
      </c>
      <c r="AE98" s="13">
        <v>95.99</v>
      </c>
      <c r="AF98" s="13" t="s">
        <v>8401</v>
      </c>
      <c r="AG98" s="17"/>
      <c r="AH98" s="17" t="s">
        <v>8402</v>
      </c>
      <c r="AI98" s="19"/>
      <c r="AJ98" s="14"/>
      <c r="AK98" s="13" t="s">
        <v>8403</v>
      </c>
      <c r="AL98" s="13"/>
      <c r="AM98" s="13" t="s">
        <v>8404</v>
      </c>
      <c r="AN98" s="13" t="s">
        <v>1259</v>
      </c>
      <c r="AO98" s="13"/>
      <c r="AP98" s="20">
        <v>95.99</v>
      </c>
      <c r="AQ98" s="20">
        <f t="shared" si="29"/>
        <v>2.0000000000010232E-2</v>
      </c>
      <c r="AR98" s="92">
        <f>AS98*R98</f>
        <v>99.900000000051079</v>
      </c>
      <c r="AS98" s="21">
        <f t="shared" si="31"/>
        <v>33.300000000017029</v>
      </c>
      <c r="AT98" s="22" t="s">
        <v>96</v>
      </c>
      <c r="AU98" s="13" t="s">
        <v>8405</v>
      </c>
      <c r="AV98" s="13" t="s">
        <v>8406</v>
      </c>
      <c r="AW98" s="13" t="s">
        <v>8407</v>
      </c>
      <c r="AX98" s="13" t="s">
        <v>8408</v>
      </c>
      <c r="AY98" s="13"/>
      <c r="AZ98" s="13"/>
    </row>
    <row r="99" spans="1:52" ht="12.75">
      <c r="A99" s="12">
        <v>44803</v>
      </c>
      <c r="B99" s="13"/>
      <c r="C99" s="13" t="s">
        <v>146</v>
      </c>
      <c r="D99" s="17"/>
      <c r="E99" s="13"/>
      <c r="F99" s="14" t="s">
        <v>8232</v>
      </c>
      <c r="G99" s="13"/>
      <c r="H99" s="13"/>
      <c r="I99" s="13"/>
      <c r="J99" s="14" t="s">
        <v>115</v>
      </c>
      <c r="K99" s="14"/>
      <c r="L99" s="13"/>
      <c r="M99" s="13"/>
      <c r="N99" s="13"/>
      <c r="O99" s="14" t="s">
        <v>95</v>
      </c>
      <c r="P99" s="14" t="s">
        <v>137</v>
      </c>
      <c r="Q99" s="14"/>
      <c r="R99" s="14">
        <v>2</v>
      </c>
      <c r="S99" s="14">
        <v>2</v>
      </c>
      <c r="T99" s="14">
        <v>2</v>
      </c>
      <c r="U99" s="14"/>
      <c r="V99" s="14">
        <f t="shared" si="21"/>
        <v>0.01</v>
      </c>
      <c r="W99" s="14">
        <f t="shared" si="22"/>
        <v>1664.9999999999998</v>
      </c>
      <c r="X99" s="13" t="s">
        <v>8409</v>
      </c>
      <c r="Y99" s="13" t="s">
        <v>8409</v>
      </c>
      <c r="Z99" s="13" t="s">
        <v>8409</v>
      </c>
      <c r="AA99" s="18">
        <v>96.02</v>
      </c>
      <c r="AB99" s="13" t="s">
        <v>8409</v>
      </c>
      <c r="AC99" s="13"/>
      <c r="AD99" s="13"/>
      <c r="AE99" s="13"/>
      <c r="AF99" s="13"/>
      <c r="AG99" s="13"/>
      <c r="AH99" s="13"/>
      <c r="AI99" s="19"/>
      <c r="AJ99" s="14"/>
      <c r="AK99" s="13"/>
      <c r="AL99" s="13"/>
      <c r="AM99" s="13"/>
      <c r="AN99" s="13"/>
      <c r="AO99" s="13"/>
      <c r="AP99" s="20">
        <v>96.02</v>
      </c>
      <c r="AQ99" s="13"/>
      <c r="AR99" s="92"/>
      <c r="AS99" s="21"/>
      <c r="AT99" s="22"/>
      <c r="AU99" s="17" t="s">
        <v>8410</v>
      </c>
      <c r="AV99" s="13" t="s">
        <v>8411</v>
      </c>
      <c r="AW99" s="13" t="s">
        <v>8409</v>
      </c>
      <c r="AX99" s="13" t="s">
        <v>8409</v>
      </c>
      <c r="AY99" s="13" t="s">
        <v>8409</v>
      </c>
      <c r="AZ99" s="13" t="s">
        <v>8409</v>
      </c>
    </row>
    <row r="100" spans="1:52" ht="15">
      <c r="A100" s="12" t="s">
        <v>8412</v>
      </c>
      <c r="B100" s="13"/>
      <c r="C100" s="13" t="s">
        <v>146</v>
      </c>
      <c r="D100" s="17"/>
      <c r="E100" s="13"/>
      <c r="F100" s="14"/>
      <c r="G100" s="13"/>
      <c r="H100" s="13"/>
      <c r="I100" s="13"/>
      <c r="J100" s="14"/>
      <c r="K100" s="14"/>
      <c r="L100" s="13"/>
      <c r="M100" s="13"/>
      <c r="N100" s="13"/>
      <c r="O100" s="14"/>
      <c r="P100" s="14"/>
      <c r="Q100" s="14"/>
      <c r="R100" s="14"/>
      <c r="S100" s="14"/>
      <c r="T100" s="14"/>
      <c r="U100" s="14"/>
      <c r="V100" s="14">
        <f t="shared" si="21"/>
        <v>0</v>
      </c>
      <c r="W100" s="14">
        <f t="shared" si="22"/>
        <v>0</v>
      </c>
      <c r="X100" s="17"/>
      <c r="Y100" s="17"/>
      <c r="Z100" s="17"/>
      <c r="AA100" s="18"/>
      <c r="AB100" s="13"/>
      <c r="AC100" s="13"/>
      <c r="AD100" s="13"/>
      <c r="AE100" s="13"/>
      <c r="AF100" s="13"/>
      <c r="AG100" s="13"/>
      <c r="AH100" s="13"/>
      <c r="AI100" s="19"/>
      <c r="AJ100" s="14"/>
      <c r="AK100" s="13"/>
      <c r="AL100" s="13"/>
      <c r="AM100" s="13"/>
      <c r="AN100" s="13"/>
      <c r="AO100" s="13"/>
      <c r="AP100" s="20"/>
      <c r="AQ100" s="13"/>
      <c r="AR100" s="92"/>
      <c r="AS100" s="21"/>
      <c r="AT100" s="22"/>
      <c r="AU100" s="105" t="s">
        <v>8413</v>
      </c>
      <c r="AV100" s="17" t="s">
        <v>8414</v>
      </c>
      <c r="AW100" s="101" t="s">
        <v>8415</v>
      </c>
      <c r="AX100" s="105" t="s">
        <v>8413</v>
      </c>
      <c r="AY100" s="17" t="s">
        <v>8414</v>
      </c>
      <c r="AZ100" s="101" t="s">
        <v>8415</v>
      </c>
    </row>
    <row r="101" spans="1:52" ht="12.75">
      <c r="A101" s="12" t="s">
        <v>8412</v>
      </c>
      <c r="B101" s="13"/>
      <c r="C101" s="13" t="s">
        <v>146</v>
      </c>
      <c r="D101" s="17"/>
      <c r="E101" s="13"/>
      <c r="F101" s="14"/>
      <c r="G101" s="13"/>
      <c r="H101" s="13"/>
      <c r="I101" s="13"/>
      <c r="J101" s="14"/>
      <c r="K101" s="14"/>
      <c r="L101" s="13"/>
      <c r="M101" s="13"/>
      <c r="N101" s="13"/>
      <c r="O101" s="14"/>
      <c r="P101" s="14"/>
      <c r="Q101" s="14"/>
      <c r="R101" s="14"/>
      <c r="S101" s="14"/>
      <c r="T101" s="14"/>
      <c r="U101" s="14"/>
      <c r="V101" s="14">
        <f t="shared" si="21"/>
        <v>0</v>
      </c>
      <c r="W101" s="14">
        <f t="shared" si="22"/>
        <v>0</v>
      </c>
      <c r="X101" s="17"/>
      <c r="Y101" s="17"/>
      <c r="Z101" s="17"/>
      <c r="AA101" s="18"/>
      <c r="AB101" s="13"/>
      <c r="AC101" s="13"/>
      <c r="AD101" s="13"/>
      <c r="AE101" s="13"/>
      <c r="AF101" s="13"/>
      <c r="AG101" s="13"/>
      <c r="AH101" s="13"/>
      <c r="AI101" s="19"/>
      <c r="AJ101" s="14"/>
      <c r="AK101" s="13"/>
      <c r="AL101" s="13"/>
      <c r="AM101" s="13"/>
      <c r="AN101" s="13"/>
      <c r="AO101" s="13"/>
      <c r="AP101" s="20"/>
      <c r="AQ101" s="13"/>
      <c r="AR101" s="92"/>
      <c r="AS101" s="21"/>
      <c r="AT101" s="22"/>
      <c r="AU101" s="13" t="s">
        <v>8416</v>
      </c>
      <c r="AV101" s="13" t="s">
        <v>8417</v>
      </c>
      <c r="AW101" s="13"/>
      <c r="AX101" s="13"/>
      <c r="AY101" s="13"/>
      <c r="AZ101" s="13"/>
    </row>
    <row r="102" spans="1:52" ht="15">
      <c r="A102" s="12" t="s">
        <v>8412</v>
      </c>
      <c r="B102" s="13"/>
      <c r="C102" s="13" t="s">
        <v>146</v>
      </c>
      <c r="D102" s="17"/>
      <c r="E102" s="13"/>
      <c r="F102" s="14"/>
      <c r="G102" s="13"/>
      <c r="H102" s="13"/>
      <c r="I102" s="13"/>
      <c r="J102" s="14"/>
      <c r="K102" s="14"/>
      <c r="L102" s="13"/>
      <c r="M102" s="13"/>
      <c r="N102" s="13"/>
      <c r="O102" s="14"/>
      <c r="P102" s="14"/>
      <c r="Q102" s="14"/>
      <c r="R102" s="14"/>
      <c r="S102" s="14"/>
      <c r="T102" s="14"/>
      <c r="U102" s="14"/>
      <c r="V102" s="14">
        <f t="shared" si="21"/>
        <v>0</v>
      </c>
      <c r="W102" s="14">
        <f t="shared" si="22"/>
        <v>0</v>
      </c>
      <c r="X102" s="17"/>
      <c r="Y102" s="17"/>
      <c r="Z102" s="17"/>
      <c r="AA102" s="18"/>
      <c r="AB102" s="13"/>
      <c r="AC102" s="13"/>
      <c r="AD102" s="13"/>
      <c r="AE102" s="13"/>
      <c r="AF102" s="13"/>
      <c r="AG102" s="13"/>
      <c r="AH102" s="13"/>
      <c r="AI102" s="19"/>
      <c r="AJ102" s="14"/>
      <c r="AK102" s="13"/>
      <c r="AL102" s="13"/>
      <c r="AM102" s="13"/>
      <c r="AN102" s="13"/>
      <c r="AO102" s="13"/>
      <c r="AP102" s="20"/>
      <c r="AQ102" s="13"/>
      <c r="AR102" s="92"/>
      <c r="AS102" s="21"/>
      <c r="AT102" s="22"/>
      <c r="AU102" s="101" t="s">
        <v>8418</v>
      </c>
      <c r="AV102" s="13"/>
      <c r="AW102" s="13"/>
      <c r="AX102" s="13"/>
      <c r="AY102" s="13"/>
      <c r="AZ102" s="13"/>
    </row>
    <row r="103" spans="1:52" ht="12.75">
      <c r="A103" s="12">
        <v>44804</v>
      </c>
      <c r="B103" s="13"/>
      <c r="C103" s="13" t="s">
        <v>151</v>
      </c>
      <c r="D103" s="17"/>
      <c r="E103" s="13"/>
      <c r="F103" s="14" t="s">
        <v>8232</v>
      </c>
      <c r="G103" s="13"/>
      <c r="H103" s="13"/>
      <c r="I103" s="13"/>
      <c r="J103" s="14"/>
      <c r="K103" s="14"/>
      <c r="L103" s="13"/>
      <c r="M103" s="13"/>
      <c r="N103" s="13">
        <v>1</v>
      </c>
      <c r="O103" s="14" t="s">
        <v>95</v>
      </c>
      <c r="P103" s="14" t="s">
        <v>137</v>
      </c>
      <c r="Q103" s="14" t="s">
        <v>684</v>
      </c>
      <c r="R103" s="14">
        <v>2</v>
      </c>
      <c r="S103" s="14">
        <v>2</v>
      </c>
      <c r="T103" s="14">
        <v>1</v>
      </c>
      <c r="U103" s="14" t="s">
        <v>97</v>
      </c>
      <c r="V103" s="14">
        <f t="shared" si="21"/>
        <v>0.01</v>
      </c>
      <c r="W103" s="14">
        <f t="shared" si="22"/>
        <v>1664.9999999999998</v>
      </c>
      <c r="X103" s="17" t="s">
        <v>8419</v>
      </c>
      <c r="Y103" s="17"/>
      <c r="Z103" s="17"/>
      <c r="AA103" s="18">
        <v>96.094999999999999</v>
      </c>
      <c r="AB103" s="17" t="s">
        <v>8420</v>
      </c>
      <c r="AC103" s="13">
        <v>96.11</v>
      </c>
      <c r="AD103" s="13" t="s">
        <v>8421</v>
      </c>
      <c r="AE103" s="13">
        <v>96.08</v>
      </c>
      <c r="AF103" s="13" t="s">
        <v>8422</v>
      </c>
      <c r="AG103" s="13"/>
      <c r="AH103" s="13">
        <v>1</v>
      </c>
      <c r="AI103" s="19"/>
      <c r="AJ103" s="14"/>
      <c r="AK103" s="13" t="s">
        <v>8423</v>
      </c>
      <c r="AL103" s="13" t="s">
        <v>8424</v>
      </c>
      <c r="AM103" s="13" t="s">
        <v>8425</v>
      </c>
      <c r="AN103" s="13" t="s">
        <v>1259</v>
      </c>
      <c r="AO103" s="35">
        <v>44804</v>
      </c>
      <c r="AP103" s="20">
        <v>96.08</v>
      </c>
      <c r="AQ103" s="20">
        <f t="shared" ref="AQ103:AQ105" si="32">IF(ISBLANK(AP103),,IF(U103="S",AA103-AP103,AP103-AA103))</f>
        <v>1.5000000000000568E-2</v>
      </c>
      <c r="AR103" s="92">
        <f t="shared" ref="AR103:AR105" si="33">AS103*R103</f>
        <v>49.950000000001886</v>
      </c>
      <c r="AS103" s="21">
        <f t="shared" ref="AS103:AS105" si="34">IF(ISBLANK(AP103),,(AQ103*W103))</f>
        <v>24.975000000000943</v>
      </c>
      <c r="AT103" s="22" t="s">
        <v>96</v>
      </c>
      <c r="AU103" s="13" t="s">
        <v>8426</v>
      </c>
      <c r="AV103" s="13" t="s">
        <v>8427</v>
      </c>
      <c r="AW103" s="13" t="s">
        <v>8428</v>
      </c>
      <c r="AX103" s="13" t="s">
        <v>8429</v>
      </c>
      <c r="AY103" s="13"/>
      <c r="AZ103" s="13"/>
    </row>
    <row r="104" spans="1:52" ht="12.75">
      <c r="A104" s="12">
        <v>44804</v>
      </c>
      <c r="B104" s="13"/>
      <c r="C104" s="13" t="s">
        <v>151</v>
      </c>
      <c r="D104" s="17"/>
      <c r="E104" s="13"/>
      <c r="F104" s="14" t="s">
        <v>94</v>
      </c>
      <c r="G104" s="13"/>
      <c r="H104" s="13"/>
      <c r="I104" s="13"/>
      <c r="J104" s="14" t="s">
        <v>115</v>
      </c>
      <c r="K104" s="14"/>
      <c r="L104" s="13">
        <v>1</v>
      </c>
      <c r="M104" s="13"/>
      <c r="N104" s="13"/>
      <c r="O104" s="14" t="s">
        <v>95</v>
      </c>
      <c r="P104" s="14" t="s">
        <v>137</v>
      </c>
      <c r="Q104" s="14" t="s">
        <v>97</v>
      </c>
      <c r="R104" s="14">
        <v>1</v>
      </c>
      <c r="S104" s="14">
        <v>1</v>
      </c>
      <c r="T104" s="14">
        <v>1</v>
      </c>
      <c r="U104" s="14" t="s">
        <v>22</v>
      </c>
      <c r="V104" s="14">
        <f t="shared" si="21"/>
        <v>0.01</v>
      </c>
      <c r="W104" s="14">
        <f t="shared" si="22"/>
        <v>1664.9999999999998</v>
      </c>
      <c r="X104" s="17"/>
      <c r="Y104" s="17"/>
      <c r="Z104" s="17" t="s">
        <v>99</v>
      </c>
      <c r="AA104" s="18">
        <v>-0.06</v>
      </c>
      <c r="AB104" s="13" t="s">
        <v>99</v>
      </c>
      <c r="AC104" s="13"/>
      <c r="AD104" s="13"/>
      <c r="AE104" s="13"/>
      <c r="AF104" s="13"/>
      <c r="AG104" s="13"/>
      <c r="AH104" s="13"/>
      <c r="AI104" s="19"/>
      <c r="AJ104" s="14"/>
      <c r="AK104" s="13" t="s">
        <v>8430</v>
      </c>
      <c r="AL104" s="13" t="s">
        <v>8431</v>
      </c>
      <c r="AM104" s="13"/>
      <c r="AN104" s="13" t="s">
        <v>1259</v>
      </c>
      <c r="AO104" s="35">
        <v>44804</v>
      </c>
      <c r="AP104" s="20">
        <v>-0.05</v>
      </c>
      <c r="AQ104" s="20">
        <f t="shared" si="32"/>
        <v>9.999999999999995E-3</v>
      </c>
      <c r="AR104" s="92">
        <f t="shared" si="33"/>
        <v>16.649999999999988</v>
      </c>
      <c r="AS104" s="21">
        <f t="shared" si="34"/>
        <v>16.649999999999988</v>
      </c>
      <c r="AT104" s="22" t="s">
        <v>96</v>
      </c>
      <c r="AU104" s="13" t="s">
        <v>8379</v>
      </c>
      <c r="AV104" s="17" t="s">
        <v>8432</v>
      </c>
      <c r="AW104" s="13" t="s">
        <v>8433</v>
      </c>
      <c r="AX104" s="13"/>
      <c r="AY104" s="13"/>
      <c r="AZ104" s="13"/>
    </row>
    <row r="105" spans="1:52" ht="12.75">
      <c r="A105" s="12">
        <v>44804</v>
      </c>
      <c r="B105" s="13"/>
      <c r="C105" s="13" t="s">
        <v>151</v>
      </c>
      <c r="D105" s="17"/>
      <c r="E105" s="13"/>
      <c r="F105" s="14" t="s">
        <v>94</v>
      </c>
      <c r="G105" s="13"/>
      <c r="H105" s="13"/>
      <c r="I105" s="13"/>
      <c r="J105" s="14"/>
      <c r="K105" s="14"/>
      <c r="L105" s="13">
        <v>1</v>
      </c>
      <c r="M105" s="13"/>
      <c r="N105" s="13"/>
      <c r="O105" s="14" t="s">
        <v>95</v>
      </c>
      <c r="P105" s="14" t="s">
        <v>137</v>
      </c>
      <c r="Q105" s="14" t="s">
        <v>97</v>
      </c>
      <c r="R105" s="14">
        <v>2</v>
      </c>
      <c r="S105" s="14">
        <v>2</v>
      </c>
      <c r="T105" s="14">
        <v>1</v>
      </c>
      <c r="U105" s="14" t="s">
        <v>22</v>
      </c>
      <c r="V105" s="14">
        <f t="shared" si="21"/>
        <v>0.01</v>
      </c>
      <c r="W105" s="14">
        <f t="shared" si="22"/>
        <v>1664.9999999999998</v>
      </c>
      <c r="X105" s="17"/>
      <c r="Y105" s="17"/>
      <c r="Z105" s="17" t="s">
        <v>99</v>
      </c>
      <c r="AA105" s="18">
        <v>-6.5000000000000002E-2</v>
      </c>
      <c r="AB105" s="13" t="s">
        <v>99</v>
      </c>
      <c r="AC105" s="13" t="s">
        <v>8434</v>
      </c>
      <c r="AD105" s="13" t="s">
        <v>8435</v>
      </c>
      <c r="AE105" s="13"/>
      <c r="AF105" s="13"/>
      <c r="AG105" s="13"/>
      <c r="AH105" s="13" t="s">
        <v>8436</v>
      </c>
      <c r="AI105" s="19"/>
      <c r="AJ105" s="14"/>
      <c r="AK105" s="13" t="s">
        <v>8430</v>
      </c>
      <c r="AL105" s="13" t="s">
        <v>8431</v>
      </c>
      <c r="AM105" s="13" t="s">
        <v>8437</v>
      </c>
      <c r="AN105" s="13" t="s">
        <v>1259</v>
      </c>
      <c r="AO105" s="13" t="s">
        <v>8438</v>
      </c>
      <c r="AP105" s="20">
        <v>-0.08</v>
      </c>
      <c r="AQ105" s="20">
        <f t="shared" si="32"/>
        <v>-1.4999999999999999E-2</v>
      </c>
      <c r="AR105" s="92">
        <f t="shared" si="33"/>
        <v>-49.949999999999989</v>
      </c>
      <c r="AS105" s="21">
        <f t="shared" si="34"/>
        <v>-24.974999999999994</v>
      </c>
      <c r="AT105" s="22" t="s">
        <v>229</v>
      </c>
      <c r="AU105" s="13" t="s">
        <v>8379</v>
      </c>
      <c r="AV105" s="13" t="s">
        <v>8439</v>
      </c>
      <c r="AW105" s="13" t="s">
        <v>8440</v>
      </c>
      <c r="AX105" s="13" t="s">
        <v>8441</v>
      </c>
      <c r="AY105" s="13"/>
      <c r="AZ105" s="13"/>
    </row>
    <row r="106" spans="1:52" ht="12.75">
      <c r="A106" s="12"/>
      <c r="B106" s="13"/>
      <c r="C106" s="13"/>
      <c r="D106" s="17"/>
      <c r="E106" s="13"/>
      <c r="F106" s="14"/>
      <c r="G106" s="13"/>
      <c r="H106" s="13"/>
      <c r="I106" s="13"/>
      <c r="J106" s="14"/>
      <c r="K106" s="14"/>
      <c r="L106" s="13"/>
      <c r="M106" s="13"/>
      <c r="N106" s="13"/>
      <c r="O106" s="14"/>
      <c r="P106" s="14"/>
      <c r="Q106" s="14"/>
      <c r="R106" s="14"/>
      <c r="S106" s="14"/>
      <c r="T106" s="14"/>
      <c r="U106" s="14"/>
      <c r="V106" s="14"/>
      <c r="W106" s="14"/>
      <c r="X106" s="17"/>
      <c r="Y106" s="17"/>
      <c r="Z106" s="17"/>
      <c r="AA106" s="18"/>
      <c r="AB106" s="13"/>
      <c r="AC106" s="13"/>
      <c r="AD106" s="13"/>
      <c r="AE106" s="13"/>
      <c r="AF106" s="13"/>
      <c r="AG106" s="13"/>
      <c r="AH106" s="13"/>
      <c r="AI106" s="19"/>
      <c r="AJ106" s="14"/>
      <c r="AK106" s="13"/>
      <c r="AL106" s="13"/>
      <c r="AM106" s="13"/>
      <c r="AN106" s="13"/>
      <c r="AO106" s="13"/>
      <c r="AP106" s="20"/>
      <c r="AQ106" s="13"/>
      <c r="AR106" s="92"/>
      <c r="AS106" s="21"/>
      <c r="AT106" s="22"/>
      <c r="AU106" s="17" t="s">
        <v>8442</v>
      </c>
      <c r="AV106" s="17" t="s">
        <v>8443</v>
      </c>
      <c r="AW106" s="13" t="s">
        <v>8444</v>
      </c>
      <c r="AX106" s="61" t="s">
        <v>8445</v>
      </c>
      <c r="AY106" s="61" t="s">
        <v>8446</v>
      </c>
      <c r="AZ106" s="13" t="s">
        <v>8447</v>
      </c>
    </row>
    <row r="107" spans="1:52" ht="12.75">
      <c r="A107" s="81">
        <v>44826</v>
      </c>
      <c r="B107" s="82"/>
      <c r="C107" s="82"/>
      <c r="D107" s="82"/>
      <c r="E107" s="82"/>
      <c r="F107" s="83"/>
      <c r="G107" s="82"/>
      <c r="H107" s="82"/>
      <c r="I107" s="82"/>
      <c r="J107" s="82"/>
      <c r="K107" s="82"/>
      <c r="L107" s="82"/>
      <c r="M107" s="82"/>
      <c r="N107" s="82"/>
      <c r="O107" s="83"/>
      <c r="P107" s="83"/>
      <c r="Q107" s="83"/>
      <c r="R107" s="83"/>
      <c r="S107" s="83"/>
      <c r="T107" s="83"/>
      <c r="U107" s="83"/>
      <c r="V107" s="83"/>
      <c r="W107" s="83"/>
      <c r="X107" s="82"/>
      <c r="Y107" s="82"/>
      <c r="Z107" s="82"/>
      <c r="AA107" s="84"/>
      <c r="AB107" s="82"/>
      <c r="AC107" s="82"/>
      <c r="AD107" s="82"/>
      <c r="AE107" s="82"/>
      <c r="AF107" s="82"/>
      <c r="AG107" s="82"/>
      <c r="AH107" s="82"/>
      <c r="AI107" s="85"/>
      <c r="AJ107" s="83"/>
      <c r="AK107" s="82"/>
      <c r="AL107" s="82"/>
      <c r="AM107" s="82"/>
      <c r="AN107" s="82"/>
      <c r="AO107" s="82"/>
      <c r="AP107" s="84"/>
      <c r="AQ107" s="82"/>
      <c r="AR107" s="106"/>
      <c r="AS107" s="90"/>
      <c r="AT107" s="91"/>
      <c r="AU107" s="82"/>
      <c r="AV107" s="82"/>
      <c r="AW107" s="82"/>
      <c r="AX107" s="82"/>
      <c r="AY107" s="82"/>
      <c r="AZ107" s="82"/>
    </row>
    <row r="108" spans="1:52" ht="12.75">
      <c r="A108" s="12">
        <v>44805</v>
      </c>
      <c r="B108" s="13"/>
      <c r="C108" s="13" t="s">
        <v>93</v>
      </c>
      <c r="D108" s="17" t="s">
        <v>8448</v>
      </c>
      <c r="E108" s="13" t="s">
        <v>340</v>
      </c>
      <c r="F108" s="14"/>
      <c r="G108" s="13"/>
      <c r="H108" s="13"/>
      <c r="I108" s="13"/>
      <c r="J108" s="14"/>
      <c r="K108" s="14"/>
      <c r="L108" s="13"/>
      <c r="M108" s="13"/>
      <c r="N108" s="13"/>
      <c r="O108" s="14"/>
      <c r="P108" s="14"/>
      <c r="Q108" s="14"/>
      <c r="R108" s="14"/>
      <c r="S108" s="14"/>
      <c r="T108" s="14"/>
      <c r="U108" s="14"/>
      <c r="V108" s="14">
        <f t="shared" ref="V108:V114" si="35">IF(ISBLANK(O108),,(IF(O108=UPPER("IB"),0.005,0.01)))</f>
        <v>0</v>
      </c>
      <c r="W108" s="14">
        <f t="shared" ref="W108:W114" si="36">IF(ISBLANK(O108),,IF(O108=UPPER("IB"),8.63*200,16.65*100))</f>
        <v>0</v>
      </c>
      <c r="X108" s="17"/>
      <c r="Y108" s="17"/>
      <c r="Z108" s="17"/>
      <c r="AA108" s="18"/>
      <c r="AB108" s="13"/>
      <c r="AC108" s="13"/>
      <c r="AD108" s="13"/>
      <c r="AE108" s="13"/>
      <c r="AF108" s="13"/>
      <c r="AG108" s="13"/>
      <c r="AH108" s="13"/>
      <c r="AI108" s="19"/>
      <c r="AJ108" s="14"/>
      <c r="AK108" s="13"/>
      <c r="AL108" s="13"/>
      <c r="AM108" s="13"/>
      <c r="AN108" s="13"/>
      <c r="AO108" s="13"/>
      <c r="AP108" s="20"/>
      <c r="AQ108" s="13"/>
      <c r="AR108" s="92"/>
      <c r="AS108" s="21"/>
      <c r="AT108" s="22"/>
      <c r="AU108" s="13"/>
      <c r="AV108" s="13"/>
      <c r="AW108" s="13"/>
      <c r="AX108" s="13"/>
      <c r="AY108" s="13"/>
      <c r="AZ108" s="13"/>
    </row>
    <row r="109" spans="1:52" ht="12.75">
      <c r="A109" s="12">
        <v>44805</v>
      </c>
      <c r="B109" s="13"/>
      <c r="C109" s="13" t="s">
        <v>93</v>
      </c>
      <c r="D109" s="17" t="s">
        <v>8449</v>
      </c>
      <c r="E109" s="13"/>
      <c r="F109" s="14"/>
      <c r="G109" s="13"/>
      <c r="H109" s="13"/>
      <c r="I109" s="13"/>
      <c r="J109" s="14"/>
      <c r="K109" s="14"/>
      <c r="L109" s="13"/>
      <c r="M109" s="13"/>
      <c r="N109" s="13"/>
      <c r="O109" s="14"/>
      <c r="P109" s="14"/>
      <c r="Q109" s="14"/>
      <c r="R109" s="14"/>
      <c r="S109" s="14"/>
      <c r="T109" s="14"/>
      <c r="U109" s="14"/>
      <c r="V109" s="14">
        <f t="shared" si="35"/>
        <v>0</v>
      </c>
      <c r="W109" s="14">
        <f t="shared" si="36"/>
        <v>0</v>
      </c>
      <c r="X109" s="17"/>
      <c r="Y109" s="17"/>
      <c r="Z109" s="17"/>
      <c r="AA109" s="18"/>
      <c r="AB109" s="13"/>
      <c r="AC109" s="13"/>
      <c r="AD109" s="13"/>
      <c r="AE109" s="13"/>
      <c r="AF109" s="13"/>
      <c r="AG109" s="13"/>
      <c r="AH109" s="13"/>
      <c r="AI109" s="19"/>
      <c r="AJ109" s="14"/>
      <c r="AK109" s="13"/>
      <c r="AL109" s="13"/>
      <c r="AM109" s="13"/>
      <c r="AN109" s="13"/>
      <c r="AO109" s="13"/>
      <c r="AP109" s="20"/>
      <c r="AQ109" s="13"/>
      <c r="AR109" s="92"/>
      <c r="AS109" s="21"/>
      <c r="AT109" s="22"/>
      <c r="AU109" s="13"/>
      <c r="AV109" s="13"/>
      <c r="AW109" s="13"/>
      <c r="AX109" s="13"/>
      <c r="AY109" s="13"/>
      <c r="AZ109" s="13"/>
    </row>
    <row r="110" spans="1:52" ht="12.75">
      <c r="A110" s="12">
        <v>44805</v>
      </c>
      <c r="B110" s="13"/>
      <c r="C110" s="13" t="s">
        <v>93</v>
      </c>
      <c r="D110" s="17"/>
      <c r="E110" s="13"/>
      <c r="F110" s="14"/>
      <c r="G110" s="13"/>
      <c r="H110" s="13"/>
      <c r="I110" s="13"/>
      <c r="J110" s="13"/>
      <c r="K110" s="13"/>
      <c r="L110" s="13"/>
      <c r="M110" s="13"/>
      <c r="N110" s="13"/>
      <c r="O110" s="14"/>
      <c r="P110" s="14"/>
      <c r="Q110" s="14"/>
      <c r="R110" s="14"/>
      <c r="S110" s="14"/>
      <c r="T110" s="14"/>
      <c r="U110" s="14"/>
      <c r="V110" s="14">
        <f t="shared" si="35"/>
        <v>0</v>
      </c>
      <c r="W110" s="14">
        <f t="shared" si="36"/>
        <v>0</v>
      </c>
      <c r="X110" s="17"/>
      <c r="Y110" s="17"/>
      <c r="Z110" s="17"/>
      <c r="AA110" s="18"/>
      <c r="AB110" s="13"/>
      <c r="AC110" s="13"/>
      <c r="AD110" s="13"/>
      <c r="AE110" s="13"/>
      <c r="AF110" s="13"/>
      <c r="AG110" s="13"/>
      <c r="AH110" s="13"/>
      <c r="AI110" s="19"/>
      <c r="AJ110" s="14"/>
      <c r="AK110" s="13"/>
      <c r="AL110" s="13"/>
      <c r="AM110" s="13"/>
      <c r="AN110" s="13"/>
      <c r="AO110" s="13"/>
      <c r="AP110" s="20"/>
      <c r="AQ110" s="13"/>
      <c r="AR110" s="92"/>
      <c r="AS110" s="21"/>
      <c r="AT110" s="22"/>
      <c r="AU110" s="17" t="s">
        <v>8450</v>
      </c>
      <c r="AV110" s="13"/>
      <c r="AW110" s="13"/>
      <c r="AX110" s="13"/>
      <c r="AY110" s="13"/>
      <c r="AZ110" s="13"/>
    </row>
    <row r="111" spans="1:52" ht="12.75">
      <c r="A111" s="12">
        <v>44805</v>
      </c>
      <c r="B111" s="13"/>
      <c r="C111" s="13" t="s">
        <v>93</v>
      </c>
      <c r="D111" s="17"/>
      <c r="E111" s="13"/>
      <c r="F111" s="14" t="s">
        <v>94</v>
      </c>
      <c r="G111" s="13"/>
      <c r="H111" s="13"/>
      <c r="I111" s="13"/>
      <c r="J111" s="14"/>
      <c r="K111" s="14"/>
      <c r="L111" s="13">
        <v>1</v>
      </c>
      <c r="M111" s="13"/>
      <c r="N111" s="13"/>
      <c r="O111" s="14" t="s">
        <v>95</v>
      </c>
      <c r="P111" s="14" t="s">
        <v>137</v>
      </c>
      <c r="Q111" s="14" t="s">
        <v>97</v>
      </c>
      <c r="R111" s="14">
        <v>2</v>
      </c>
      <c r="S111" s="14">
        <v>2</v>
      </c>
      <c r="T111" s="14">
        <v>2</v>
      </c>
      <c r="U111" s="14" t="s">
        <v>22</v>
      </c>
      <c r="V111" s="14">
        <f t="shared" si="35"/>
        <v>0.01</v>
      </c>
      <c r="W111" s="14">
        <f t="shared" si="36"/>
        <v>1664.9999999999998</v>
      </c>
      <c r="X111" s="17"/>
      <c r="Y111" s="17"/>
      <c r="Z111" s="17" t="s">
        <v>99</v>
      </c>
      <c r="AA111" s="18">
        <v>-7.0000000000000007E-2</v>
      </c>
      <c r="AB111" s="13" t="s">
        <v>99</v>
      </c>
      <c r="AC111" s="13"/>
      <c r="AD111" s="13"/>
      <c r="AE111" s="13"/>
      <c r="AF111" s="13"/>
      <c r="AG111" s="13"/>
      <c r="AH111" s="13"/>
      <c r="AI111" s="19"/>
      <c r="AJ111" s="14"/>
      <c r="AK111" s="13" t="s">
        <v>6479</v>
      </c>
      <c r="AL111" s="13"/>
      <c r="AM111" s="13" t="s">
        <v>8451</v>
      </c>
      <c r="AN111" s="13" t="s">
        <v>372</v>
      </c>
      <c r="AO111" s="13"/>
      <c r="AP111" s="20">
        <v>-0.06</v>
      </c>
      <c r="AQ111" s="20">
        <f t="shared" ref="AQ111:AQ114" si="37">IF(ISBLANK(AP111),,IF(U111="S",AA111-AP111,AP111-AA111))</f>
        <v>1.0000000000000009E-2</v>
      </c>
      <c r="AR111" s="92">
        <f>AS111*R111</f>
        <v>33.300000000000026</v>
      </c>
      <c r="AS111" s="21">
        <f t="shared" ref="AS111:AS114" si="38">IF(ISBLANK(AP111),,(AQ111*W111))</f>
        <v>16.650000000000013</v>
      </c>
      <c r="AT111" s="22" t="s">
        <v>96</v>
      </c>
      <c r="AU111" s="13" t="s">
        <v>8379</v>
      </c>
      <c r="AV111" s="17" t="s">
        <v>8452</v>
      </c>
      <c r="AW111" s="13" t="s">
        <v>8375</v>
      </c>
      <c r="AX111" s="13"/>
      <c r="AY111" s="13"/>
      <c r="AZ111" s="13"/>
    </row>
    <row r="112" spans="1:52" ht="12.75">
      <c r="A112" s="12">
        <v>44805</v>
      </c>
      <c r="B112" s="13">
        <v>12</v>
      </c>
      <c r="C112" s="13" t="s">
        <v>93</v>
      </c>
      <c r="D112" s="17"/>
      <c r="E112" s="13"/>
      <c r="F112" s="14" t="s">
        <v>94</v>
      </c>
      <c r="G112" s="13"/>
      <c r="H112" s="13"/>
      <c r="I112" s="13"/>
      <c r="J112" s="14" t="s">
        <v>372</v>
      </c>
      <c r="K112" s="14"/>
      <c r="L112" s="13">
        <v>1</v>
      </c>
      <c r="M112" s="13"/>
      <c r="N112" s="13"/>
      <c r="O112" s="14" t="s">
        <v>95</v>
      </c>
      <c r="P112" s="14" t="s">
        <v>137</v>
      </c>
      <c r="Q112" s="14"/>
      <c r="R112" s="14">
        <v>2</v>
      </c>
      <c r="S112" s="14">
        <v>2</v>
      </c>
      <c r="T112" s="14">
        <v>2</v>
      </c>
      <c r="U112" s="14" t="s">
        <v>97</v>
      </c>
      <c r="V112" s="14">
        <f t="shared" si="35"/>
        <v>0.01</v>
      </c>
      <c r="W112" s="14">
        <f t="shared" si="36"/>
        <v>1664.9999999999998</v>
      </c>
      <c r="X112" s="17"/>
      <c r="Y112" s="17"/>
      <c r="Z112" s="17" t="s">
        <v>99</v>
      </c>
      <c r="AA112" s="18">
        <v>-7.0000000000000007E-2</v>
      </c>
      <c r="AB112" s="13" t="s">
        <v>99</v>
      </c>
      <c r="AC112" s="13"/>
      <c r="AD112" s="13"/>
      <c r="AE112" s="13"/>
      <c r="AF112" s="13"/>
      <c r="AG112" s="13"/>
      <c r="AH112" s="13"/>
      <c r="AI112" s="19"/>
      <c r="AJ112" s="14"/>
      <c r="AK112" s="13" t="s">
        <v>8453</v>
      </c>
      <c r="AL112" s="13" t="s">
        <v>8454</v>
      </c>
      <c r="AM112" s="13"/>
      <c r="AN112" s="13"/>
      <c r="AO112" s="13"/>
      <c r="AP112" s="20"/>
      <c r="AQ112" s="13">
        <f t="shared" si="37"/>
        <v>0</v>
      </c>
      <c r="AR112" s="92"/>
      <c r="AS112" s="21">
        <f t="shared" si="38"/>
        <v>0</v>
      </c>
      <c r="AT112" s="22"/>
      <c r="AU112" s="13" t="s">
        <v>8455</v>
      </c>
      <c r="AV112" s="17" t="s">
        <v>8456</v>
      </c>
      <c r="AW112" s="13" t="s">
        <v>8457</v>
      </c>
      <c r="AX112" s="17" t="s">
        <v>8458</v>
      </c>
      <c r="AY112" s="13" t="s">
        <v>8459</v>
      </c>
      <c r="AZ112" s="13" t="s">
        <v>8460</v>
      </c>
    </row>
    <row r="113" spans="1:52" ht="12.75">
      <c r="A113" s="12">
        <v>44805</v>
      </c>
      <c r="B113" s="13"/>
      <c r="C113" s="13" t="s">
        <v>93</v>
      </c>
      <c r="D113" s="17"/>
      <c r="E113" s="13"/>
      <c r="F113" s="14" t="s">
        <v>8232</v>
      </c>
      <c r="G113" s="13"/>
      <c r="H113" s="13"/>
      <c r="I113" s="13"/>
      <c r="J113" s="14"/>
      <c r="K113" s="14"/>
      <c r="L113" s="13">
        <v>1</v>
      </c>
      <c r="M113" s="13"/>
      <c r="N113" s="13"/>
      <c r="O113" s="14" t="s">
        <v>95</v>
      </c>
      <c r="P113" s="14" t="s">
        <v>137</v>
      </c>
      <c r="Q113" s="14"/>
      <c r="R113" s="14">
        <v>6</v>
      </c>
      <c r="S113" s="14">
        <v>6</v>
      </c>
      <c r="T113" s="14">
        <v>4</v>
      </c>
      <c r="U113" s="14" t="s">
        <v>22</v>
      </c>
      <c r="V113" s="14">
        <f t="shared" si="35"/>
        <v>0.01</v>
      </c>
      <c r="W113" s="14">
        <f t="shared" si="36"/>
        <v>1664.9999999999998</v>
      </c>
      <c r="X113" s="17"/>
      <c r="Y113" s="17"/>
      <c r="Z113" s="17" t="s">
        <v>8461</v>
      </c>
      <c r="AA113" s="18">
        <v>96.04</v>
      </c>
      <c r="AB113" s="17" t="s">
        <v>8461</v>
      </c>
      <c r="AC113" s="13"/>
      <c r="AD113" s="13"/>
      <c r="AE113" s="13"/>
      <c r="AF113" s="13"/>
      <c r="AG113" s="13"/>
      <c r="AH113" s="13"/>
      <c r="AI113" s="19"/>
      <c r="AJ113" s="14"/>
      <c r="AK113" s="13"/>
      <c r="AL113" s="13" t="s">
        <v>8454</v>
      </c>
      <c r="AM113" s="13"/>
      <c r="AN113" s="13"/>
      <c r="AO113" s="13"/>
      <c r="AP113" s="20">
        <v>96.04</v>
      </c>
      <c r="AQ113" s="20">
        <f t="shared" si="37"/>
        <v>0</v>
      </c>
      <c r="AR113" s="92">
        <f t="shared" ref="AR113:AR114" si="39">AS113*R113</f>
        <v>0</v>
      </c>
      <c r="AS113" s="21">
        <f t="shared" si="38"/>
        <v>0</v>
      </c>
      <c r="AT113" s="22" t="s">
        <v>115</v>
      </c>
      <c r="AU113" s="13" t="s">
        <v>8462</v>
      </c>
      <c r="AV113" s="13" t="s">
        <v>8463</v>
      </c>
      <c r="AW113" s="13"/>
      <c r="AX113" s="17" t="s">
        <v>8464</v>
      </c>
      <c r="AY113" s="13"/>
      <c r="AZ113" s="13"/>
    </row>
    <row r="114" spans="1:52" ht="15">
      <c r="A114" s="12">
        <v>44805</v>
      </c>
      <c r="B114" s="13"/>
      <c r="C114" s="13" t="s">
        <v>93</v>
      </c>
      <c r="D114" s="17"/>
      <c r="E114" s="13"/>
      <c r="F114" s="14" t="s">
        <v>3337</v>
      </c>
      <c r="G114" s="13"/>
      <c r="H114" s="13"/>
      <c r="I114" s="13"/>
      <c r="J114" s="14"/>
      <c r="K114" s="14"/>
      <c r="L114" s="13">
        <v>1</v>
      </c>
      <c r="M114" s="13"/>
      <c r="N114" s="13"/>
      <c r="O114" s="14" t="s">
        <v>95</v>
      </c>
      <c r="P114" s="14" t="s">
        <v>137</v>
      </c>
      <c r="Q114" s="14"/>
      <c r="R114" s="14">
        <v>2</v>
      </c>
      <c r="S114" s="14">
        <v>2</v>
      </c>
      <c r="T114" s="14">
        <v>2</v>
      </c>
      <c r="U114" s="14" t="s">
        <v>97</v>
      </c>
      <c r="V114" s="14">
        <f t="shared" si="35"/>
        <v>0.01</v>
      </c>
      <c r="W114" s="14">
        <f t="shared" si="36"/>
        <v>1664.9999999999998</v>
      </c>
      <c r="X114" s="17"/>
      <c r="Y114" s="17"/>
      <c r="Z114" s="17" t="s">
        <v>8461</v>
      </c>
      <c r="AA114" s="18">
        <v>96.98</v>
      </c>
      <c r="AB114" s="17" t="s">
        <v>8465</v>
      </c>
      <c r="AC114" s="13"/>
      <c r="AD114" s="13"/>
      <c r="AE114" s="13"/>
      <c r="AF114" s="13"/>
      <c r="AG114" s="13"/>
      <c r="AH114" s="13"/>
      <c r="AI114" s="19"/>
      <c r="AJ114" s="14"/>
      <c r="AK114" s="13"/>
      <c r="AL114" s="13"/>
      <c r="AM114" s="13"/>
      <c r="AN114" s="13"/>
      <c r="AO114" s="13"/>
      <c r="AP114" s="20">
        <v>96.98</v>
      </c>
      <c r="AQ114" s="20">
        <f t="shared" si="37"/>
        <v>0</v>
      </c>
      <c r="AR114" s="92">
        <f t="shared" si="39"/>
        <v>0</v>
      </c>
      <c r="AS114" s="21">
        <f t="shared" si="38"/>
        <v>0</v>
      </c>
      <c r="AT114" s="22" t="s">
        <v>115</v>
      </c>
      <c r="AU114" s="13" t="s">
        <v>8466</v>
      </c>
      <c r="AV114" s="101" t="s">
        <v>8467</v>
      </c>
      <c r="AW114" s="101" t="s">
        <v>8468</v>
      </c>
      <c r="AX114" s="17" t="s">
        <v>8414</v>
      </c>
      <c r="AY114" s="13" t="s">
        <v>8469</v>
      </c>
      <c r="AZ114" s="13" t="s">
        <v>8470</v>
      </c>
    </row>
    <row r="115" spans="1:52" ht="12.75">
      <c r="A115" s="12">
        <v>44805</v>
      </c>
      <c r="B115" s="13"/>
      <c r="C115" s="13" t="s">
        <v>93</v>
      </c>
      <c r="D115" s="17"/>
      <c r="E115" s="13"/>
      <c r="F115" s="14"/>
      <c r="G115" s="13"/>
      <c r="H115" s="13"/>
      <c r="I115" s="13"/>
      <c r="J115" s="14"/>
      <c r="K115" s="14"/>
      <c r="L115" s="13"/>
      <c r="M115" s="13"/>
      <c r="N115" s="13"/>
      <c r="O115" s="14"/>
      <c r="P115" s="14"/>
      <c r="Q115" s="14"/>
      <c r="R115" s="14"/>
      <c r="S115" s="14"/>
      <c r="T115" s="14"/>
      <c r="U115" s="14"/>
      <c r="V115" s="14"/>
      <c r="W115" s="14"/>
      <c r="X115" s="17"/>
      <c r="Y115" s="17"/>
      <c r="Z115" s="17"/>
      <c r="AA115" s="18"/>
      <c r="AB115" s="13"/>
      <c r="AC115" s="13"/>
      <c r="AD115" s="13"/>
      <c r="AE115" s="13"/>
      <c r="AF115" s="13"/>
      <c r="AG115" s="13"/>
      <c r="AH115" s="13"/>
      <c r="AI115" s="19"/>
      <c r="AJ115" s="14"/>
      <c r="AK115" s="13"/>
      <c r="AL115" s="13"/>
      <c r="AM115" s="13"/>
      <c r="AN115" s="13"/>
      <c r="AO115" s="13"/>
      <c r="AP115" s="20"/>
      <c r="AQ115" s="13"/>
      <c r="AR115" s="92"/>
      <c r="AS115" s="21"/>
      <c r="AT115" s="22"/>
      <c r="AU115" s="13" t="s">
        <v>8471</v>
      </c>
      <c r="AV115" s="13" t="s">
        <v>8472</v>
      </c>
      <c r="AW115" s="98" t="s">
        <v>8473</v>
      </c>
      <c r="AX115" s="13" t="s">
        <v>8474</v>
      </c>
      <c r="AY115" s="13" t="s">
        <v>8475</v>
      </c>
      <c r="AZ115" s="13" t="s">
        <v>8476</v>
      </c>
    </row>
    <row r="116" spans="1:52" ht="12.75">
      <c r="A116" s="12">
        <v>44805</v>
      </c>
      <c r="B116" s="13" t="s">
        <v>8477</v>
      </c>
      <c r="C116" s="13" t="s">
        <v>93</v>
      </c>
      <c r="D116" s="17"/>
      <c r="E116" s="13"/>
      <c r="F116" s="14" t="s">
        <v>8368</v>
      </c>
      <c r="G116" s="13"/>
      <c r="H116" s="13"/>
      <c r="I116" s="13"/>
      <c r="J116" s="14"/>
      <c r="K116" s="14"/>
      <c r="L116" s="13"/>
      <c r="M116" s="13">
        <v>1</v>
      </c>
      <c r="N116" s="13"/>
      <c r="O116" s="14" t="s">
        <v>95</v>
      </c>
      <c r="P116" s="14" t="s">
        <v>96</v>
      </c>
      <c r="Q116" s="14" t="s">
        <v>256</v>
      </c>
      <c r="R116" s="14">
        <v>3</v>
      </c>
      <c r="S116" s="14">
        <v>3</v>
      </c>
      <c r="T116" s="14">
        <v>1</v>
      </c>
      <c r="U116" s="14" t="s">
        <v>22</v>
      </c>
      <c r="V116" s="14">
        <f t="shared" ref="V116:V152" si="40">IF(ISBLANK(O116),,(IF(O116=UPPER("IB"),0.005,0.01)))</f>
        <v>0.01</v>
      </c>
      <c r="W116" s="14">
        <f t="shared" ref="W116:W152" si="41">IF(ISBLANK(O116),,IF(O116=UPPER("IB"),8.63*200,16.65*100))</f>
        <v>1664.9999999999998</v>
      </c>
      <c r="X116" s="17"/>
      <c r="Y116" s="17" t="s">
        <v>8376</v>
      </c>
      <c r="Z116" s="17" t="s">
        <v>8478</v>
      </c>
      <c r="AA116" s="18">
        <v>0.23</v>
      </c>
      <c r="AB116" s="13"/>
      <c r="AC116" s="13"/>
      <c r="AD116" s="13"/>
      <c r="AE116" s="13"/>
      <c r="AF116" s="13"/>
      <c r="AG116" s="13"/>
      <c r="AH116" s="13"/>
      <c r="AI116" s="19"/>
      <c r="AJ116" s="14"/>
      <c r="AK116" s="13"/>
      <c r="AL116" s="61"/>
      <c r="AM116" s="13" t="s">
        <v>8479</v>
      </c>
      <c r="AN116" s="13" t="s">
        <v>115</v>
      </c>
      <c r="AO116" s="13" t="s">
        <v>8480</v>
      </c>
      <c r="AP116" s="20">
        <v>0.26</v>
      </c>
      <c r="AQ116" s="20">
        <f t="shared" ref="AQ116:AQ152" si="42">IF(ISBLANK(AP116),,IF(U116="S",AA116-AP116,AP116-AA116))</f>
        <v>0.03</v>
      </c>
      <c r="AR116" s="92">
        <f t="shared" ref="AR116:AR118" si="43">AS116*R116</f>
        <v>149.84999999999997</v>
      </c>
      <c r="AS116" s="21">
        <f t="shared" ref="AS116:AS152" si="44">IF(ISBLANK(AP116),,(AQ116*W116))</f>
        <v>49.949999999999989</v>
      </c>
      <c r="AT116" s="22" t="s">
        <v>96</v>
      </c>
      <c r="AU116" s="13" t="s">
        <v>8481</v>
      </c>
      <c r="AV116" s="13" t="s">
        <v>8482</v>
      </c>
      <c r="AW116" s="13" t="s">
        <v>8483</v>
      </c>
      <c r="AX116" s="13"/>
      <c r="AY116" s="13"/>
      <c r="AZ116" s="13"/>
    </row>
    <row r="117" spans="1:52" ht="12.75">
      <c r="A117" s="107">
        <v>44806</v>
      </c>
      <c r="B117" s="13" t="s">
        <v>8484</v>
      </c>
      <c r="C117" s="13" t="s">
        <v>111</v>
      </c>
      <c r="D117" s="17"/>
      <c r="E117" s="13"/>
      <c r="F117" s="14" t="s">
        <v>94</v>
      </c>
      <c r="G117" s="13"/>
      <c r="H117" s="13"/>
      <c r="I117" s="13"/>
      <c r="J117" s="14"/>
      <c r="K117" s="14"/>
      <c r="L117" s="13">
        <v>1</v>
      </c>
      <c r="M117" s="13"/>
      <c r="N117" s="13"/>
      <c r="O117" s="14" t="s">
        <v>95</v>
      </c>
      <c r="P117" s="14" t="s">
        <v>137</v>
      </c>
      <c r="Q117" s="14" t="s">
        <v>97</v>
      </c>
      <c r="R117" s="14">
        <v>1</v>
      </c>
      <c r="S117" s="14">
        <v>1</v>
      </c>
      <c r="T117" s="14">
        <v>1</v>
      </c>
      <c r="U117" s="14" t="s">
        <v>22</v>
      </c>
      <c r="V117" s="14">
        <f t="shared" si="40"/>
        <v>0.01</v>
      </c>
      <c r="W117" s="14">
        <f t="shared" si="41"/>
        <v>1664.9999999999998</v>
      </c>
      <c r="X117" s="17"/>
      <c r="Y117" s="17"/>
      <c r="Z117" s="17" t="s">
        <v>99</v>
      </c>
      <c r="AA117" s="18">
        <v>-7.0000000000000007E-2</v>
      </c>
      <c r="AB117" s="13" t="s">
        <v>8485</v>
      </c>
      <c r="AC117" s="13"/>
      <c r="AD117" s="13"/>
      <c r="AE117" s="13"/>
      <c r="AF117" s="13"/>
      <c r="AG117" s="13"/>
      <c r="AH117" s="13"/>
      <c r="AI117" s="19"/>
      <c r="AJ117" s="14"/>
      <c r="AK117" s="13"/>
      <c r="AL117" s="13"/>
      <c r="AM117" s="13" t="s">
        <v>158</v>
      </c>
      <c r="AN117" s="13" t="s">
        <v>372</v>
      </c>
      <c r="AO117" s="13"/>
      <c r="AP117" s="20">
        <v>-0.06</v>
      </c>
      <c r="AQ117" s="20">
        <f t="shared" si="42"/>
        <v>1.0000000000000009E-2</v>
      </c>
      <c r="AR117" s="92">
        <f t="shared" si="43"/>
        <v>16.650000000000013</v>
      </c>
      <c r="AS117" s="21">
        <f t="shared" si="44"/>
        <v>16.650000000000013</v>
      </c>
      <c r="AT117" s="22" t="s">
        <v>96</v>
      </c>
      <c r="AU117" s="13" t="s">
        <v>8379</v>
      </c>
      <c r="AV117" s="13" t="s">
        <v>8486</v>
      </c>
      <c r="AW117" s="13" t="s">
        <v>8487</v>
      </c>
      <c r="AX117" s="13" t="s">
        <v>8488</v>
      </c>
      <c r="AY117" s="13"/>
      <c r="AZ117" s="13"/>
    </row>
    <row r="118" spans="1:52" ht="12.75">
      <c r="A118" s="12">
        <v>44806</v>
      </c>
      <c r="B118" s="13" t="s">
        <v>8489</v>
      </c>
      <c r="C118" s="13" t="s">
        <v>111</v>
      </c>
      <c r="D118" s="17"/>
      <c r="E118" s="13"/>
      <c r="F118" s="14" t="s">
        <v>8287</v>
      </c>
      <c r="G118" s="13"/>
      <c r="H118" s="13"/>
      <c r="I118" s="13"/>
      <c r="J118" s="14"/>
      <c r="K118" s="14"/>
      <c r="L118" s="13">
        <v>1</v>
      </c>
      <c r="M118" s="13">
        <v>2</v>
      </c>
      <c r="N118" s="13">
        <v>1</v>
      </c>
      <c r="O118" s="14" t="s">
        <v>95</v>
      </c>
      <c r="P118" s="14" t="s">
        <v>96</v>
      </c>
      <c r="Q118" s="14" t="s">
        <v>97</v>
      </c>
      <c r="R118" s="14">
        <v>10</v>
      </c>
      <c r="S118" s="14">
        <v>10</v>
      </c>
      <c r="T118" s="14">
        <v>2</v>
      </c>
      <c r="U118" s="14" t="s">
        <v>97</v>
      </c>
      <c r="V118" s="14">
        <f t="shared" si="40"/>
        <v>0.01</v>
      </c>
      <c r="W118" s="14">
        <f t="shared" si="41"/>
        <v>1664.9999999999998</v>
      </c>
      <c r="X118" s="17" t="s">
        <v>8490</v>
      </c>
      <c r="Y118" s="17" t="s">
        <v>8491</v>
      </c>
      <c r="Z118" s="17"/>
      <c r="AA118" s="18">
        <v>0.185</v>
      </c>
      <c r="AB118" s="13" t="s">
        <v>8492</v>
      </c>
      <c r="AC118" s="13" t="s">
        <v>8493</v>
      </c>
      <c r="AD118" s="13" t="s">
        <v>8494</v>
      </c>
      <c r="AE118" s="13">
        <v>15</v>
      </c>
      <c r="AF118" s="13" t="s">
        <v>8495</v>
      </c>
      <c r="AG118" s="13"/>
      <c r="AH118" s="13" t="s">
        <v>8496</v>
      </c>
      <c r="AI118" s="19"/>
      <c r="AJ118" s="14"/>
      <c r="AK118" s="13" t="s">
        <v>8497</v>
      </c>
      <c r="AL118" s="13" t="s">
        <v>8498</v>
      </c>
      <c r="AM118" s="13"/>
      <c r="AN118" s="13" t="s">
        <v>372</v>
      </c>
      <c r="AO118" s="13" t="s">
        <v>8480</v>
      </c>
      <c r="AP118" s="20">
        <v>0.18</v>
      </c>
      <c r="AQ118" s="20">
        <f t="shared" si="42"/>
        <v>5.0000000000000044E-3</v>
      </c>
      <c r="AR118" s="92">
        <f t="shared" si="43"/>
        <v>83.250000000000057</v>
      </c>
      <c r="AS118" s="21">
        <f t="shared" si="44"/>
        <v>8.3250000000000064</v>
      </c>
      <c r="AT118" s="22" t="s">
        <v>96</v>
      </c>
      <c r="AU118" s="13" t="s">
        <v>8499</v>
      </c>
      <c r="AV118" s="13" t="s">
        <v>8500</v>
      </c>
      <c r="AW118" s="13" t="s">
        <v>8501</v>
      </c>
      <c r="AX118" s="13" t="s">
        <v>8502</v>
      </c>
      <c r="AY118" s="13" t="s">
        <v>8503</v>
      </c>
      <c r="AZ118" s="13" t="s">
        <v>8504</v>
      </c>
    </row>
    <row r="119" spans="1:52" ht="12.75">
      <c r="A119" s="12"/>
      <c r="B119" s="13"/>
      <c r="C119" s="13"/>
      <c r="D119" s="17"/>
      <c r="E119" s="13"/>
      <c r="F119" s="14"/>
      <c r="G119" s="13"/>
      <c r="H119" s="13"/>
      <c r="I119" s="13"/>
      <c r="J119" s="14" t="s">
        <v>115</v>
      </c>
      <c r="K119" s="14"/>
      <c r="L119" s="13"/>
      <c r="M119" s="13"/>
      <c r="N119" s="13"/>
      <c r="O119" s="14"/>
      <c r="P119" s="14"/>
      <c r="Q119" s="14"/>
      <c r="R119" s="14"/>
      <c r="S119" s="14"/>
      <c r="T119" s="14"/>
      <c r="U119" s="14"/>
      <c r="V119" s="14">
        <f t="shared" si="40"/>
        <v>0</v>
      </c>
      <c r="W119" s="14">
        <f t="shared" si="41"/>
        <v>0</v>
      </c>
      <c r="X119" s="17"/>
      <c r="Y119" s="17"/>
      <c r="Z119" s="17"/>
      <c r="AA119" s="18">
        <v>18.5</v>
      </c>
      <c r="AB119" s="13"/>
      <c r="AC119" s="13" t="s">
        <v>8505</v>
      </c>
      <c r="AD119" s="13"/>
      <c r="AE119" s="13" t="s">
        <v>8506</v>
      </c>
      <c r="AF119" s="13"/>
      <c r="AG119" s="13"/>
      <c r="AH119" s="13" t="s">
        <v>8507</v>
      </c>
      <c r="AI119" s="19"/>
      <c r="AJ119" s="14"/>
      <c r="AK119" s="13"/>
      <c r="AL119" s="13"/>
      <c r="AM119" s="13"/>
      <c r="AN119" s="13"/>
      <c r="AO119" s="13"/>
      <c r="AP119" s="20"/>
      <c r="AQ119" s="13">
        <f t="shared" si="42"/>
        <v>0</v>
      </c>
      <c r="AR119" s="92"/>
      <c r="AS119" s="21">
        <f t="shared" si="44"/>
        <v>0</v>
      </c>
      <c r="AT119" s="22"/>
      <c r="AU119" s="13" t="s">
        <v>8508</v>
      </c>
      <c r="AV119" s="13" t="s">
        <v>8509</v>
      </c>
      <c r="AW119" s="13" t="s">
        <v>8510</v>
      </c>
      <c r="AX119" s="13" t="s">
        <v>8511</v>
      </c>
      <c r="AY119" s="13" t="s">
        <v>8512</v>
      </c>
      <c r="AZ119" s="13" t="s">
        <v>8513</v>
      </c>
    </row>
    <row r="120" spans="1:52" ht="12.75">
      <c r="A120" s="12">
        <v>44809</v>
      </c>
      <c r="B120" s="13">
        <v>12.42</v>
      </c>
      <c r="C120" s="13" t="s">
        <v>132</v>
      </c>
      <c r="D120" s="17"/>
      <c r="E120" s="13"/>
      <c r="F120" s="14" t="s">
        <v>94</v>
      </c>
      <c r="G120" s="13"/>
      <c r="H120" s="13"/>
      <c r="I120" s="13"/>
      <c r="J120" s="14" t="s">
        <v>115</v>
      </c>
      <c r="K120" s="14"/>
      <c r="L120" s="13">
        <v>1</v>
      </c>
      <c r="M120" s="13"/>
      <c r="N120" s="13"/>
      <c r="O120" s="14" t="s">
        <v>95</v>
      </c>
      <c r="P120" s="14" t="s">
        <v>137</v>
      </c>
      <c r="Q120" s="14" t="s">
        <v>97</v>
      </c>
      <c r="R120" s="14">
        <v>1</v>
      </c>
      <c r="S120" s="14">
        <v>1</v>
      </c>
      <c r="T120" s="14">
        <v>1</v>
      </c>
      <c r="U120" s="14" t="s">
        <v>97</v>
      </c>
      <c r="V120" s="14">
        <f t="shared" si="40"/>
        <v>0.01</v>
      </c>
      <c r="W120" s="14">
        <f t="shared" si="41"/>
        <v>1664.9999999999998</v>
      </c>
      <c r="X120" s="17"/>
      <c r="Y120" s="17"/>
      <c r="Z120" s="17" t="s">
        <v>99</v>
      </c>
      <c r="AA120" s="18">
        <v>-0.05</v>
      </c>
      <c r="AB120" s="13"/>
      <c r="AC120" s="13"/>
      <c r="AD120" s="13"/>
      <c r="AE120" s="13"/>
      <c r="AF120" s="13"/>
      <c r="AG120" s="13"/>
      <c r="AH120" s="13"/>
      <c r="AI120" s="19"/>
      <c r="AJ120" s="14"/>
      <c r="AK120" s="13" t="s">
        <v>8514</v>
      </c>
      <c r="AL120" s="13"/>
      <c r="AM120" s="13"/>
      <c r="AN120" s="13" t="s">
        <v>372</v>
      </c>
      <c r="AO120" s="13"/>
      <c r="AP120" s="20">
        <v>-0.06</v>
      </c>
      <c r="AQ120" s="20">
        <f t="shared" si="42"/>
        <v>9.999999999999995E-3</v>
      </c>
      <c r="AR120" s="92">
        <f>AS120*R120</f>
        <v>16.649999999999988</v>
      </c>
      <c r="AS120" s="21">
        <f t="shared" si="44"/>
        <v>16.649999999999988</v>
      </c>
      <c r="AT120" s="22" t="s">
        <v>96</v>
      </c>
      <c r="AU120" s="61" t="s">
        <v>8515</v>
      </c>
      <c r="AV120" s="61"/>
      <c r="AW120" s="61"/>
      <c r="AX120" s="13"/>
      <c r="AY120" s="13"/>
      <c r="AZ120" s="13"/>
    </row>
    <row r="121" spans="1:52" ht="12.75">
      <c r="A121" s="12"/>
      <c r="B121" s="13"/>
      <c r="C121" s="13"/>
      <c r="D121" s="17"/>
      <c r="E121" s="13"/>
      <c r="F121" s="14" t="s">
        <v>3337</v>
      </c>
      <c r="G121" s="13"/>
      <c r="H121" s="13"/>
      <c r="I121" s="13"/>
      <c r="J121" s="14"/>
      <c r="K121" s="14"/>
      <c r="L121" s="13"/>
      <c r="M121" s="13"/>
      <c r="N121" s="13"/>
      <c r="O121" s="14" t="s">
        <v>95</v>
      </c>
      <c r="P121" s="14" t="s">
        <v>137</v>
      </c>
      <c r="Q121" s="14"/>
      <c r="R121" s="14">
        <v>1</v>
      </c>
      <c r="S121" s="14">
        <v>1</v>
      </c>
      <c r="T121" s="14">
        <v>1</v>
      </c>
      <c r="U121" s="14"/>
      <c r="V121" s="14">
        <f t="shared" si="40"/>
        <v>0.01</v>
      </c>
      <c r="W121" s="14">
        <f t="shared" si="41"/>
        <v>1664.9999999999998</v>
      </c>
      <c r="X121" s="17"/>
      <c r="Y121" s="17"/>
      <c r="Z121" s="17"/>
      <c r="AA121" s="18">
        <v>96.03</v>
      </c>
      <c r="AB121" s="13" t="s">
        <v>8516</v>
      </c>
      <c r="AC121" s="13"/>
      <c r="AD121" s="13"/>
      <c r="AE121" s="13"/>
      <c r="AF121" s="13"/>
      <c r="AG121" s="13"/>
      <c r="AH121" s="13"/>
      <c r="AI121" s="19"/>
      <c r="AJ121" s="14"/>
      <c r="AK121" s="13"/>
      <c r="AL121" s="13"/>
      <c r="AM121" s="13"/>
      <c r="AN121" s="13"/>
      <c r="AO121" s="13"/>
      <c r="AP121" s="20"/>
      <c r="AQ121" s="13">
        <f t="shared" si="42"/>
        <v>0</v>
      </c>
      <c r="AR121" s="92"/>
      <c r="AS121" s="21">
        <f t="shared" si="44"/>
        <v>0</v>
      </c>
      <c r="AT121" s="22"/>
      <c r="AU121" s="13"/>
      <c r="AV121" s="13"/>
      <c r="AW121" s="13"/>
      <c r="AX121" s="13"/>
      <c r="AY121" s="13"/>
      <c r="AZ121" s="13"/>
    </row>
    <row r="122" spans="1:52" ht="12.75">
      <c r="A122" s="12"/>
      <c r="B122" s="13"/>
      <c r="C122" s="13"/>
      <c r="D122" s="17"/>
      <c r="E122" s="13"/>
      <c r="F122" s="14" t="s">
        <v>8232</v>
      </c>
      <c r="G122" s="13"/>
      <c r="H122" s="13"/>
      <c r="I122" s="13"/>
      <c r="J122" s="14"/>
      <c r="K122" s="14"/>
      <c r="L122" s="13"/>
      <c r="M122" s="13"/>
      <c r="N122" s="13"/>
      <c r="O122" s="14" t="s">
        <v>95</v>
      </c>
      <c r="P122" s="14" t="s">
        <v>137</v>
      </c>
      <c r="Q122" s="14"/>
      <c r="R122" s="14">
        <v>1</v>
      </c>
      <c r="S122" s="14">
        <v>1</v>
      </c>
      <c r="T122" s="14">
        <v>1</v>
      </c>
      <c r="U122" s="14"/>
      <c r="V122" s="14">
        <f t="shared" si="40"/>
        <v>0.01</v>
      </c>
      <c r="W122" s="14">
        <f t="shared" si="41"/>
        <v>1664.9999999999998</v>
      </c>
      <c r="X122" s="17"/>
      <c r="Y122" s="17"/>
      <c r="Z122" s="17"/>
      <c r="AA122" s="18">
        <v>96.08</v>
      </c>
      <c r="AB122" s="13" t="s">
        <v>8516</v>
      </c>
      <c r="AC122" s="13"/>
      <c r="AD122" s="13"/>
      <c r="AE122" s="13"/>
      <c r="AF122" s="13"/>
      <c r="AG122" s="13"/>
      <c r="AH122" s="13"/>
      <c r="AI122" s="19"/>
      <c r="AJ122" s="14"/>
      <c r="AK122" s="13"/>
      <c r="AL122" s="13"/>
      <c r="AM122" s="13"/>
      <c r="AN122" s="13"/>
      <c r="AO122" s="13"/>
      <c r="AP122" s="20"/>
      <c r="AQ122" s="13">
        <f t="shared" si="42"/>
        <v>0</v>
      </c>
      <c r="AR122" s="92"/>
      <c r="AS122" s="21">
        <f t="shared" si="44"/>
        <v>0</v>
      </c>
      <c r="AT122" s="22"/>
      <c r="AU122" s="13"/>
      <c r="AV122" s="13"/>
      <c r="AW122" s="13"/>
      <c r="AX122" s="13"/>
      <c r="AY122" s="13"/>
      <c r="AZ122" s="13"/>
    </row>
    <row r="123" spans="1:52" ht="12.75">
      <c r="A123" s="12">
        <v>44809</v>
      </c>
      <c r="B123" s="13">
        <v>12.45</v>
      </c>
      <c r="C123" s="13" t="s">
        <v>132</v>
      </c>
      <c r="D123" s="17"/>
      <c r="E123" s="13"/>
      <c r="F123" s="14" t="s">
        <v>8232</v>
      </c>
      <c r="G123" s="13"/>
      <c r="H123" s="13"/>
      <c r="I123" s="13"/>
      <c r="J123" s="14"/>
      <c r="K123" s="14"/>
      <c r="L123" s="13">
        <v>1</v>
      </c>
      <c r="M123" s="13"/>
      <c r="N123" s="13"/>
      <c r="O123" s="14" t="s">
        <v>95</v>
      </c>
      <c r="P123" s="14" t="s">
        <v>137</v>
      </c>
      <c r="Q123" s="14" t="s">
        <v>684</v>
      </c>
      <c r="R123" s="14">
        <v>2</v>
      </c>
      <c r="S123" s="14">
        <v>2</v>
      </c>
      <c r="T123" s="14">
        <v>2</v>
      </c>
      <c r="U123" s="14" t="s">
        <v>97</v>
      </c>
      <c r="V123" s="14">
        <f t="shared" si="40"/>
        <v>0.01</v>
      </c>
      <c r="W123" s="14">
        <f t="shared" si="41"/>
        <v>1664.9999999999998</v>
      </c>
      <c r="X123" s="17"/>
      <c r="Y123" s="17"/>
      <c r="Z123" s="17"/>
      <c r="AA123" s="18">
        <v>96.07</v>
      </c>
      <c r="AB123" s="13" t="s">
        <v>8517</v>
      </c>
      <c r="AC123" s="13"/>
      <c r="AD123" s="13"/>
      <c r="AE123" s="13"/>
      <c r="AF123" s="13"/>
      <c r="AG123" s="13"/>
      <c r="AH123" s="13"/>
      <c r="AI123" s="19"/>
      <c r="AJ123" s="14"/>
      <c r="AK123" s="13"/>
      <c r="AL123" s="13"/>
      <c r="AM123" s="13"/>
      <c r="AN123" s="13" t="s">
        <v>1259</v>
      </c>
      <c r="AO123" s="13"/>
      <c r="AP123" s="20">
        <v>96.06</v>
      </c>
      <c r="AQ123" s="20">
        <f t="shared" si="42"/>
        <v>9.9999999999909051E-3</v>
      </c>
      <c r="AR123" s="92">
        <f t="shared" ref="AR123:AR152" si="45">AS123*R123</f>
        <v>33.299999999969707</v>
      </c>
      <c r="AS123" s="21">
        <f t="shared" si="44"/>
        <v>16.649999999984853</v>
      </c>
      <c r="AT123" s="22" t="s">
        <v>96</v>
      </c>
      <c r="AU123" s="13" t="s">
        <v>8518</v>
      </c>
      <c r="AV123" s="13"/>
      <c r="AW123" s="13"/>
      <c r="AX123" s="13"/>
      <c r="AY123" s="13"/>
      <c r="AZ123" s="13"/>
    </row>
    <row r="124" spans="1:52" ht="12.75">
      <c r="A124" s="12">
        <v>44810</v>
      </c>
      <c r="B124" s="13" t="s">
        <v>8519</v>
      </c>
      <c r="C124" s="13" t="s">
        <v>146</v>
      </c>
      <c r="D124" s="17"/>
      <c r="E124" s="13"/>
      <c r="F124" s="14" t="s">
        <v>8134</v>
      </c>
      <c r="G124" s="13"/>
      <c r="H124" s="13"/>
      <c r="I124" s="13"/>
      <c r="J124" s="14"/>
      <c r="K124" s="14"/>
      <c r="L124" s="13">
        <v>1</v>
      </c>
      <c r="M124" s="13"/>
      <c r="N124" s="13">
        <v>1</v>
      </c>
      <c r="O124" s="14" t="s">
        <v>95</v>
      </c>
      <c r="P124" s="14" t="s">
        <v>96</v>
      </c>
      <c r="Q124" s="14" t="s">
        <v>684</v>
      </c>
      <c r="R124" s="14">
        <v>1</v>
      </c>
      <c r="S124" s="14">
        <v>1</v>
      </c>
      <c r="T124" s="14">
        <v>1</v>
      </c>
      <c r="U124" s="14" t="s">
        <v>97</v>
      </c>
      <c r="V124" s="14">
        <f t="shared" si="40"/>
        <v>0.01</v>
      </c>
      <c r="W124" s="14">
        <f t="shared" si="41"/>
        <v>1664.9999999999998</v>
      </c>
      <c r="X124" s="17" t="s">
        <v>8520</v>
      </c>
      <c r="Y124" s="17"/>
      <c r="Z124" s="17"/>
      <c r="AA124" s="18">
        <v>96.04</v>
      </c>
      <c r="AB124" s="13" t="s">
        <v>8521</v>
      </c>
      <c r="AC124" s="13">
        <v>96.07</v>
      </c>
      <c r="AD124" s="13" t="s">
        <v>8522</v>
      </c>
      <c r="AE124" s="13">
        <v>96.03</v>
      </c>
      <c r="AF124" s="13"/>
      <c r="AG124" s="13"/>
      <c r="AH124" s="13" t="s">
        <v>8523</v>
      </c>
      <c r="AI124" s="19"/>
      <c r="AJ124" s="14"/>
      <c r="AK124" s="13" t="s">
        <v>8524</v>
      </c>
      <c r="AL124" s="13" t="s">
        <v>6840</v>
      </c>
      <c r="AM124" s="13"/>
      <c r="AN124" s="13" t="s">
        <v>1259</v>
      </c>
      <c r="AO124" s="13"/>
      <c r="AP124" s="20">
        <v>96.03</v>
      </c>
      <c r="AQ124" s="20">
        <f t="shared" si="42"/>
        <v>1.0000000000005116E-2</v>
      </c>
      <c r="AR124" s="92">
        <f t="shared" si="45"/>
        <v>16.650000000008514</v>
      </c>
      <c r="AS124" s="21">
        <f t="shared" si="44"/>
        <v>16.650000000008514</v>
      </c>
      <c r="AT124" s="22" t="s">
        <v>96</v>
      </c>
      <c r="AU124" s="13" t="s">
        <v>8520</v>
      </c>
      <c r="AV124" s="13" t="s">
        <v>8525</v>
      </c>
      <c r="AW124" s="13"/>
      <c r="AX124" s="13" t="s">
        <v>8526</v>
      </c>
      <c r="AY124" s="13"/>
      <c r="AZ124" s="13"/>
    </row>
    <row r="125" spans="1:52" ht="12.75">
      <c r="A125" s="12">
        <v>44810</v>
      </c>
      <c r="B125" s="13" t="s">
        <v>8527</v>
      </c>
      <c r="C125" s="13" t="s">
        <v>146</v>
      </c>
      <c r="D125" s="17"/>
      <c r="E125" s="13"/>
      <c r="F125" s="14" t="s">
        <v>8133</v>
      </c>
      <c r="G125" s="13"/>
      <c r="H125" s="13"/>
      <c r="I125" s="13"/>
      <c r="J125" s="40"/>
      <c r="K125" s="40"/>
      <c r="L125" s="13">
        <v>1</v>
      </c>
      <c r="M125" s="13"/>
      <c r="N125" s="13">
        <v>1</v>
      </c>
      <c r="O125" s="14" t="s">
        <v>95</v>
      </c>
      <c r="P125" s="14" t="s">
        <v>96</v>
      </c>
      <c r="Q125" s="14" t="s">
        <v>684</v>
      </c>
      <c r="R125" s="14">
        <v>2</v>
      </c>
      <c r="S125" s="14">
        <v>2</v>
      </c>
      <c r="T125" s="14">
        <v>1</v>
      </c>
      <c r="U125" s="14" t="s">
        <v>97</v>
      </c>
      <c r="V125" s="14">
        <f t="shared" si="40"/>
        <v>0.01</v>
      </c>
      <c r="W125" s="14">
        <f t="shared" si="41"/>
        <v>1664.9999999999998</v>
      </c>
      <c r="X125" s="17" t="s">
        <v>8520</v>
      </c>
      <c r="Y125" s="17"/>
      <c r="Z125" s="17"/>
      <c r="AA125" s="18">
        <v>96.2</v>
      </c>
      <c r="AB125" s="13" t="s">
        <v>8528</v>
      </c>
      <c r="AC125" s="13">
        <v>96.22</v>
      </c>
      <c r="AD125" s="13" t="s">
        <v>8522</v>
      </c>
      <c r="AE125" s="13">
        <v>96.18</v>
      </c>
      <c r="AF125" s="13"/>
      <c r="AG125" s="13"/>
      <c r="AH125" s="13">
        <v>1</v>
      </c>
      <c r="AI125" s="19"/>
      <c r="AJ125" s="14"/>
      <c r="AK125" s="13" t="s">
        <v>8524</v>
      </c>
      <c r="AL125" s="13" t="s">
        <v>8529</v>
      </c>
      <c r="AM125" s="13"/>
      <c r="AN125" s="13" t="s">
        <v>372</v>
      </c>
      <c r="AO125" s="13"/>
      <c r="AP125" s="20">
        <v>96.22</v>
      </c>
      <c r="AQ125" s="20">
        <f t="shared" si="42"/>
        <v>-1.9999999999996021E-2</v>
      </c>
      <c r="AR125" s="92">
        <f t="shared" si="45"/>
        <v>-66.599999999986736</v>
      </c>
      <c r="AS125" s="21">
        <f t="shared" si="44"/>
        <v>-33.299999999993368</v>
      </c>
      <c r="AT125" s="22" t="s">
        <v>229</v>
      </c>
      <c r="AU125" s="13" t="s">
        <v>8440</v>
      </c>
      <c r="AV125" s="13" t="s">
        <v>8530</v>
      </c>
      <c r="AW125" s="13"/>
      <c r="AX125" s="13"/>
      <c r="AY125" s="13"/>
      <c r="AZ125" s="13"/>
    </row>
    <row r="126" spans="1:52" ht="12.75">
      <c r="A126" s="12">
        <v>44810</v>
      </c>
      <c r="B126" s="13" t="s">
        <v>8531</v>
      </c>
      <c r="C126" s="13" t="s">
        <v>146</v>
      </c>
      <c r="D126" s="17"/>
      <c r="E126" s="13"/>
      <c r="F126" s="14" t="s">
        <v>8133</v>
      </c>
      <c r="G126" s="13"/>
      <c r="H126" s="13"/>
      <c r="I126" s="13"/>
      <c r="J126" s="40"/>
      <c r="K126" s="40"/>
      <c r="L126" s="13">
        <v>1</v>
      </c>
      <c r="M126" s="13"/>
      <c r="N126" s="13"/>
      <c r="O126" s="14" t="s">
        <v>95</v>
      </c>
      <c r="P126" s="14" t="s">
        <v>96</v>
      </c>
      <c r="Q126" s="14"/>
      <c r="R126" s="14">
        <v>1</v>
      </c>
      <c r="S126" s="14">
        <v>1</v>
      </c>
      <c r="T126" s="14">
        <v>1</v>
      </c>
      <c r="U126" s="14" t="s">
        <v>97</v>
      </c>
      <c r="V126" s="14">
        <f t="shared" si="40"/>
        <v>0.01</v>
      </c>
      <c r="W126" s="14">
        <f t="shared" si="41"/>
        <v>1664.9999999999998</v>
      </c>
      <c r="X126" s="17"/>
      <c r="Y126" s="17"/>
      <c r="Z126" s="17"/>
      <c r="AA126" s="18">
        <v>96.21</v>
      </c>
      <c r="AB126" s="13" t="s">
        <v>8532</v>
      </c>
      <c r="AC126" s="13"/>
      <c r="AD126" s="13"/>
      <c r="AE126" s="13"/>
      <c r="AF126" s="13"/>
      <c r="AG126" s="13"/>
      <c r="AH126" s="13"/>
      <c r="AI126" s="19"/>
      <c r="AJ126" s="14"/>
      <c r="AK126" s="13"/>
      <c r="AL126" s="13"/>
      <c r="AM126" s="13"/>
      <c r="AN126" s="13"/>
      <c r="AO126" s="13"/>
      <c r="AP126" s="20">
        <v>96.21</v>
      </c>
      <c r="AQ126" s="20">
        <f t="shared" si="42"/>
        <v>0</v>
      </c>
      <c r="AR126" s="92">
        <f t="shared" si="45"/>
        <v>0</v>
      </c>
      <c r="AS126" s="21">
        <f t="shared" si="44"/>
        <v>0</v>
      </c>
      <c r="AT126" s="22" t="s">
        <v>115</v>
      </c>
      <c r="AU126" s="13" t="s">
        <v>8533</v>
      </c>
      <c r="AV126" s="13"/>
      <c r="AW126" s="13"/>
      <c r="AX126" s="13"/>
      <c r="AY126" s="13"/>
      <c r="AZ126" s="13"/>
    </row>
    <row r="127" spans="1:52" ht="12.75">
      <c r="A127" s="12">
        <v>44810</v>
      </c>
      <c r="B127" s="13"/>
      <c r="C127" s="13" t="s">
        <v>146</v>
      </c>
      <c r="D127" s="108" t="s">
        <v>8534</v>
      </c>
      <c r="E127" s="13" t="s">
        <v>8535</v>
      </c>
      <c r="F127" s="14" t="s">
        <v>8133</v>
      </c>
      <c r="G127" s="13"/>
      <c r="H127" s="13">
        <v>1</v>
      </c>
      <c r="I127" s="13"/>
      <c r="J127" s="49"/>
      <c r="K127" s="49"/>
      <c r="L127" s="13"/>
      <c r="M127" s="13"/>
      <c r="N127" s="13">
        <v>1</v>
      </c>
      <c r="O127" s="14" t="s">
        <v>95</v>
      </c>
      <c r="P127" s="14" t="s">
        <v>96</v>
      </c>
      <c r="Q127" s="14" t="s">
        <v>684</v>
      </c>
      <c r="R127" s="14">
        <v>6</v>
      </c>
      <c r="S127" s="14">
        <v>6</v>
      </c>
      <c r="T127" s="14">
        <v>2</v>
      </c>
      <c r="U127" s="14" t="s">
        <v>97</v>
      </c>
      <c r="V127" s="14">
        <f t="shared" si="40"/>
        <v>0.01</v>
      </c>
      <c r="W127" s="14">
        <f t="shared" si="41"/>
        <v>1664.9999999999998</v>
      </c>
      <c r="X127" s="17" t="s">
        <v>8536</v>
      </c>
      <c r="Y127" s="17"/>
      <c r="Z127" s="17"/>
      <c r="AA127" s="18">
        <v>96.227000000000004</v>
      </c>
      <c r="AB127" s="13" t="s">
        <v>8399</v>
      </c>
      <c r="AC127" s="13" t="s">
        <v>8537</v>
      </c>
      <c r="AD127" s="13" t="s">
        <v>8538</v>
      </c>
      <c r="AE127" s="13" t="s">
        <v>8539</v>
      </c>
      <c r="AF127" s="13" t="s">
        <v>8540</v>
      </c>
      <c r="AG127" s="13"/>
      <c r="AH127" s="13"/>
      <c r="AI127" s="19"/>
      <c r="AJ127" s="14"/>
      <c r="AK127" s="13"/>
      <c r="AL127" s="13" t="s">
        <v>8541</v>
      </c>
      <c r="AM127" s="13"/>
      <c r="AN127" s="13" t="s">
        <v>372</v>
      </c>
      <c r="AO127" s="13"/>
      <c r="AP127" s="20">
        <v>96.185000000000002</v>
      </c>
      <c r="AQ127" s="20">
        <f t="shared" si="42"/>
        <v>4.2000000000001592E-2</v>
      </c>
      <c r="AR127" s="92">
        <f t="shared" si="45"/>
        <v>419.58000000001584</v>
      </c>
      <c r="AS127" s="21">
        <f t="shared" si="44"/>
        <v>69.930000000002636</v>
      </c>
      <c r="AT127" s="22" t="s">
        <v>96</v>
      </c>
      <c r="AU127" s="13" t="s">
        <v>8542</v>
      </c>
      <c r="AV127" s="13" t="s">
        <v>8543</v>
      </c>
      <c r="AW127" s="13" t="s">
        <v>8544</v>
      </c>
      <c r="AX127" s="13" t="s">
        <v>8545</v>
      </c>
      <c r="AY127" s="13" t="s">
        <v>8546</v>
      </c>
      <c r="AZ127" s="13"/>
    </row>
    <row r="128" spans="1:52" ht="12.75">
      <c r="A128" s="12">
        <v>44810</v>
      </c>
      <c r="B128" s="13"/>
      <c r="C128" s="13" t="s">
        <v>146</v>
      </c>
      <c r="D128" s="108" t="s">
        <v>8534</v>
      </c>
      <c r="E128" s="13" t="s">
        <v>8547</v>
      </c>
      <c r="F128" s="14" t="s">
        <v>8134</v>
      </c>
      <c r="G128" s="13"/>
      <c r="H128" s="13"/>
      <c r="I128" s="13"/>
      <c r="J128" s="49"/>
      <c r="K128" s="49"/>
      <c r="L128" s="13">
        <v>1</v>
      </c>
      <c r="M128" s="13"/>
      <c r="N128" s="13">
        <v>1</v>
      </c>
      <c r="O128" s="14" t="s">
        <v>95</v>
      </c>
      <c r="P128" s="14" t="s">
        <v>96</v>
      </c>
      <c r="Q128" s="14" t="s">
        <v>684</v>
      </c>
      <c r="R128" s="14">
        <v>4</v>
      </c>
      <c r="S128" s="14">
        <v>4</v>
      </c>
      <c r="T128" s="14">
        <v>2</v>
      </c>
      <c r="U128" s="14" t="s">
        <v>97</v>
      </c>
      <c r="V128" s="14">
        <f t="shared" si="40"/>
        <v>0.01</v>
      </c>
      <c r="W128" s="14">
        <f t="shared" si="41"/>
        <v>1664.9999999999998</v>
      </c>
      <c r="X128" s="17" t="s">
        <v>8548</v>
      </c>
      <c r="Y128" s="17"/>
      <c r="Z128" s="17"/>
      <c r="AA128" s="18">
        <v>96.091999999999999</v>
      </c>
      <c r="AB128" s="13" t="s">
        <v>8520</v>
      </c>
      <c r="AC128" s="13" t="s">
        <v>8537</v>
      </c>
      <c r="AD128" s="13"/>
      <c r="AE128" s="13" t="s">
        <v>8539</v>
      </c>
      <c r="AF128" s="13" t="s">
        <v>8540</v>
      </c>
      <c r="AG128" s="13"/>
      <c r="AH128" s="13"/>
      <c r="AI128" s="19"/>
      <c r="AJ128" s="14"/>
      <c r="AK128" s="13"/>
      <c r="AL128" s="13" t="s">
        <v>8541</v>
      </c>
      <c r="AM128" s="13"/>
      <c r="AN128" s="13" t="s">
        <v>372</v>
      </c>
      <c r="AO128" s="13"/>
      <c r="AP128" s="20">
        <v>96.04</v>
      </c>
      <c r="AQ128" s="20">
        <f t="shared" si="42"/>
        <v>5.1999999999992497E-2</v>
      </c>
      <c r="AR128" s="92">
        <f t="shared" si="45"/>
        <v>346.31999999994997</v>
      </c>
      <c r="AS128" s="21">
        <f t="shared" si="44"/>
        <v>86.579999999987493</v>
      </c>
      <c r="AT128" s="22" t="s">
        <v>96</v>
      </c>
      <c r="AU128" s="13" t="s">
        <v>8549</v>
      </c>
      <c r="AV128" s="13" t="s">
        <v>8550</v>
      </c>
      <c r="AW128" s="13" t="s">
        <v>8551</v>
      </c>
      <c r="AX128" s="13" t="s">
        <v>8552</v>
      </c>
      <c r="AY128" s="13" t="s">
        <v>8553</v>
      </c>
      <c r="AZ128" s="13" t="s">
        <v>8554</v>
      </c>
    </row>
    <row r="129" spans="1:52" ht="12.75">
      <c r="A129" s="12">
        <v>44810</v>
      </c>
      <c r="B129" s="13"/>
      <c r="C129" s="13" t="s">
        <v>146</v>
      </c>
      <c r="D129" s="108" t="s">
        <v>8534</v>
      </c>
      <c r="E129" s="13" t="s">
        <v>8555</v>
      </c>
      <c r="F129" s="14" t="s">
        <v>8556</v>
      </c>
      <c r="G129" s="13"/>
      <c r="H129" s="13"/>
      <c r="I129" s="13"/>
      <c r="J129" s="40"/>
      <c r="K129" s="40"/>
      <c r="L129" s="13"/>
      <c r="M129" s="13">
        <v>1</v>
      </c>
      <c r="N129" s="13"/>
      <c r="O129" s="14" t="s">
        <v>95</v>
      </c>
      <c r="P129" s="14" t="s">
        <v>137</v>
      </c>
      <c r="Q129" s="14" t="s">
        <v>256</v>
      </c>
      <c r="R129" s="14">
        <v>1</v>
      </c>
      <c r="S129" s="14">
        <v>1</v>
      </c>
      <c r="T129" s="14">
        <v>1</v>
      </c>
      <c r="U129" s="14" t="s">
        <v>97</v>
      </c>
      <c r="V129" s="14">
        <f t="shared" si="40"/>
        <v>0.01</v>
      </c>
      <c r="W129" s="14">
        <f t="shared" si="41"/>
        <v>1664.9999999999998</v>
      </c>
      <c r="X129" s="17"/>
      <c r="Y129" s="17"/>
      <c r="Z129" s="17" t="s">
        <v>8557</v>
      </c>
      <c r="AA129" s="18">
        <v>0.02</v>
      </c>
      <c r="AB129" s="13"/>
      <c r="AC129" s="13"/>
      <c r="AD129" s="13"/>
      <c r="AE129" s="13"/>
      <c r="AF129" s="13"/>
      <c r="AG129" s="13"/>
      <c r="AH129" s="13"/>
      <c r="AI129" s="19"/>
      <c r="AJ129" s="14"/>
      <c r="AK129" s="13"/>
      <c r="AL129" s="13"/>
      <c r="AM129" s="13"/>
      <c r="AN129" s="13"/>
      <c r="AO129" s="13"/>
      <c r="AP129" s="20"/>
      <c r="AQ129" s="13">
        <f t="shared" si="42"/>
        <v>0</v>
      </c>
      <c r="AR129" s="92">
        <f t="shared" si="45"/>
        <v>0</v>
      </c>
      <c r="AS129" s="21">
        <f t="shared" si="44"/>
        <v>0</v>
      </c>
      <c r="AT129" s="22"/>
      <c r="AU129" s="13"/>
      <c r="AV129" s="13"/>
      <c r="AW129" s="13"/>
      <c r="AX129" s="13"/>
      <c r="AY129" s="13"/>
      <c r="AZ129" s="13"/>
    </row>
    <row r="130" spans="1:52" ht="15">
      <c r="A130" s="12">
        <v>44810</v>
      </c>
      <c r="B130" s="13"/>
      <c r="C130" s="13" t="s">
        <v>146</v>
      </c>
      <c r="D130" s="108"/>
      <c r="E130" s="13"/>
      <c r="F130" s="14" t="s">
        <v>3337</v>
      </c>
      <c r="G130" s="13"/>
      <c r="H130" s="13"/>
      <c r="I130" s="13"/>
      <c r="J130" s="58"/>
      <c r="K130" s="58"/>
      <c r="L130" s="13">
        <v>1</v>
      </c>
      <c r="M130" s="13"/>
      <c r="N130" s="13"/>
      <c r="O130" s="14" t="s">
        <v>95</v>
      </c>
      <c r="P130" s="14" t="s">
        <v>137</v>
      </c>
      <c r="Q130" s="14" t="s">
        <v>684</v>
      </c>
      <c r="R130" s="14">
        <v>1</v>
      </c>
      <c r="S130" s="14">
        <v>1</v>
      </c>
      <c r="T130" s="14">
        <v>1</v>
      </c>
      <c r="U130" s="14" t="s">
        <v>97</v>
      </c>
      <c r="V130" s="14">
        <f t="shared" si="40"/>
        <v>0.01</v>
      </c>
      <c r="W130" s="14">
        <f t="shared" si="41"/>
        <v>1664.9999999999998</v>
      </c>
      <c r="X130" s="17"/>
      <c r="Y130" s="17"/>
      <c r="Z130" s="17"/>
      <c r="AA130" s="18">
        <v>96.09</v>
      </c>
      <c r="AB130" s="13"/>
      <c r="AC130" s="13"/>
      <c r="AD130" s="13"/>
      <c r="AE130" s="13"/>
      <c r="AF130" s="13"/>
      <c r="AG130" s="13"/>
      <c r="AH130" s="13"/>
      <c r="AI130" s="19"/>
      <c r="AJ130" s="14"/>
      <c r="AK130" s="13"/>
      <c r="AL130" s="13"/>
      <c r="AM130" s="13"/>
      <c r="AN130" s="13" t="s">
        <v>372</v>
      </c>
      <c r="AO130" s="13"/>
      <c r="AP130" s="20">
        <v>96.05</v>
      </c>
      <c r="AQ130" s="20">
        <f t="shared" si="42"/>
        <v>4.0000000000006253E-2</v>
      </c>
      <c r="AR130" s="92">
        <f t="shared" si="45"/>
        <v>66.600000000010397</v>
      </c>
      <c r="AS130" s="21">
        <f t="shared" si="44"/>
        <v>66.600000000010397</v>
      </c>
      <c r="AT130" s="22" t="s">
        <v>96</v>
      </c>
      <c r="AU130" s="13" t="s">
        <v>8558</v>
      </c>
      <c r="AV130" s="13"/>
      <c r="AW130" s="13"/>
      <c r="AX130" s="13"/>
      <c r="AY130" s="13"/>
      <c r="AZ130" s="13"/>
    </row>
    <row r="131" spans="1:52" ht="12.75">
      <c r="A131" s="12"/>
      <c r="B131" s="13"/>
      <c r="C131" s="13"/>
      <c r="D131" s="17"/>
      <c r="E131" s="13"/>
      <c r="F131" s="14" t="s">
        <v>94</v>
      </c>
      <c r="G131" s="13"/>
      <c r="H131" s="13"/>
      <c r="I131" s="13"/>
      <c r="J131" s="49"/>
      <c r="K131" s="49"/>
      <c r="L131" s="13">
        <v>1</v>
      </c>
      <c r="M131" s="13"/>
      <c r="N131" s="13"/>
      <c r="O131" s="14" t="s">
        <v>95</v>
      </c>
      <c r="P131" s="14" t="s">
        <v>137</v>
      </c>
      <c r="Q131" s="14"/>
      <c r="R131" s="14">
        <v>1</v>
      </c>
      <c r="S131" s="14">
        <v>1</v>
      </c>
      <c r="T131" s="14">
        <v>1</v>
      </c>
      <c r="U131" s="14" t="s">
        <v>97</v>
      </c>
      <c r="V131" s="14">
        <f t="shared" si="40"/>
        <v>0.01</v>
      </c>
      <c r="W131" s="14">
        <f t="shared" si="41"/>
        <v>1664.9999999999998</v>
      </c>
      <c r="X131" s="17"/>
      <c r="Y131" s="17"/>
      <c r="Z131" s="17"/>
      <c r="AA131" s="18">
        <v>-3.5000000000000003E-2</v>
      </c>
      <c r="AB131" s="13"/>
      <c r="AC131" s="13"/>
      <c r="AD131" s="13"/>
      <c r="AE131" s="13"/>
      <c r="AF131" s="13"/>
      <c r="AG131" s="13"/>
      <c r="AH131" s="13"/>
      <c r="AI131" s="19"/>
      <c r="AJ131" s="14"/>
      <c r="AK131" s="13"/>
      <c r="AL131" s="13"/>
      <c r="AM131" s="13"/>
      <c r="AN131" s="13"/>
      <c r="AO131" s="13"/>
      <c r="AP131" s="20"/>
      <c r="AQ131" s="13">
        <f t="shared" si="42"/>
        <v>0</v>
      </c>
      <c r="AR131" s="92">
        <f t="shared" si="45"/>
        <v>0</v>
      </c>
      <c r="AS131" s="21">
        <f t="shared" si="44"/>
        <v>0</v>
      </c>
      <c r="AT131" s="22"/>
      <c r="AU131" s="13"/>
      <c r="AV131" s="13"/>
      <c r="AW131" s="13"/>
      <c r="AX131" s="13"/>
      <c r="AY131" s="13"/>
      <c r="AZ131" s="13"/>
    </row>
    <row r="132" spans="1:52" ht="15">
      <c r="A132" s="12">
        <v>44811</v>
      </c>
      <c r="B132" s="13"/>
      <c r="C132" s="13" t="s">
        <v>151</v>
      </c>
      <c r="D132" s="108" t="s">
        <v>8559</v>
      </c>
      <c r="E132" s="13"/>
      <c r="F132" s="14"/>
      <c r="G132" s="13"/>
      <c r="H132" s="13"/>
      <c r="I132" s="13">
        <v>1</v>
      </c>
      <c r="J132" s="58"/>
      <c r="K132" s="58"/>
      <c r="L132" s="13"/>
      <c r="M132" s="13"/>
      <c r="N132" s="13"/>
      <c r="O132" s="14"/>
      <c r="P132" s="14"/>
      <c r="Q132" s="14"/>
      <c r="R132" s="14"/>
      <c r="S132" s="14"/>
      <c r="T132" s="14"/>
      <c r="U132" s="14"/>
      <c r="V132" s="14">
        <f t="shared" si="40"/>
        <v>0</v>
      </c>
      <c r="W132" s="14">
        <f t="shared" si="41"/>
        <v>0</v>
      </c>
      <c r="X132" s="17"/>
      <c r="Y132" s="17"/>
      <c r="Z132" s="17"/>
      <c r="AA132" s="18"/>
      <c r="AB132" s="13"/>
      <c r="AC132" s="13"/>
      <c r="AD132" s="13"/>
      <c r="AE132" s="13"/>
      <c r="AF132" s="13"/>
      <c r="AG132" s="13"/>
      <c r="AH132" s="13"/>
      <c r="AI132" s="19"/>
      <c r="AJ132" s="14"/>
      <c r="AK132" s="13"/>
      <c r="AL132" s="13"/>
      <c r="AM132" s="13"/>
      <c r="AN132" s="13"/>
      <c r="AO132" s="13"/>
      <c r="AP132" s="20"/>
      <c r="AQ132" s="13">
        <f t="shared" si="42"/>
        <v>0</v>
      </c>
      <c r="AR132" s="92">
        <f t="shared" si="45"/>
        <v>0</v>
      </c>
      <c r="AS132" s="21">
        <f t="shared" si="44"/>
        <v>0</v>
      </c>
      <c r="AT132" s="22"/>
      <c r="AU132" s="13"/>
      <c r="AV132" s="13"/>
      <c r="AW132" s="13"/>
      <c r="AX132" s="13"/>
      <c r="AY132" s="13"/>
      <c r="AZ132" s="13"/>
    </row>
    <row r="133" spans="1:52" ht="12.75">
      <c r="A133" s="12">
        <v>44811</v>
      </c>
      <c r="B133" s="13"/>
      <c r="C133" s="13" t="s">
        <v>151</v>
      </c>
      <c r="D133" s="108" t="s">
        <v>8560</v>
      </c>
      <c r="E133" s="13"/>
      <c r="F133" s="14"/>
      <c r="G133" s="13">
        <v>1</v>
      </c>
      <c r="H133" s="13"/>
      <c r="I133" s="13"/>
      <c r="J133" s="49"/>
      <c r="K133" s="49"/>
      <c r="L133" s="13"/>
      <c r="M133" s="13"/>
      <c r="N133" s="13"/>
      <c r="O133" s="14"/>
      <c r="P133" s="14"/>
      <c r="Q133" s="14"/>
      <c r="R133" s="14"/>
      <c r="S133" s="14"/>
      <c r="T133" s="14"/>
      <c r="U133" s="14"/>
      <c r="V133" s="14">
        <f t="shared" si="40"/>
        <v>0</v>
      </c>
      <c r="W133" s="14">
        <f t="shared" si="41"/>
        <v>0</v>
      </c>
      <c r="X133" s="17"/>
      <c r="Y133" s="17"/>
      <c r="Z133" s="17"/>
      <c r="AA133" s="18"/>
      <c r="AB133" s="13"/>
      <c r="AC133" s="13"/>
      <c r="AD133" s="13"/>
      <c r="AE133" s="13"/>
      <c r="AF133" s="13"/>
      <c r="AG133" s="13"/>
      <c r="AH133" s="13"/>
      <c r="AI133" s="19"/>
      <c r="AJ133" s="14"/>
      <c r="AK133" s="13"/>
      <c r="AL133" s="13"/>
      <c r="AM133" s="13"/>
      <c r="AN133" s="13"/>
      <c r="AO133" s="13"/>
      <c r="AP133" s="20"/>
      <c r="AQ133" s="13">
        <f t="shared" si="42"/>
        <v>0</v>
      </c>
      <c r="AR133" s="92">
        <f t="shared" si="45"/>
        <v>0</v>
      </c>
      <c r="AS133" s="21">
        <f t="shared" si="44"/>
        <v>0</v>
      </c>
      <c r="AT133" s="22"/>
      <c r="AU133" s="13"/>
      <c r="AV133" s="13"/>
      <c r="AW133" s="13"/>
      <c r="AX133" s="13"/>
      <c r="AY133" s="13"/>
      <c r="AZ133" s="13"/>
    </row>
    <row r="134" spans="1:52" ht="12.75">
      <c r="A134" s="12">
        <v>44811</v>
      </c>
      <c r="B134" s="13"/>
      <c r="C134" s="13" t="s">
        <v>151</v>
      </c>
      <c r="D134" s="17"/>
      <c r="E134" s="13"/>
      <c r="F134" s="14" t="s">
        <v>8556</v>
      </c>
      <c r="G134" s="13"/>
      <c r="H134" s="13"/>
      <c r="I134" s="13"/>
      <c r="J134" s="49"/>
      <c r="K134" s="49"/>
      <c r="L134" s="13"/>
      <c r="M134" s="13">
        <v>1</v>
      </c>
      <c r="N134" s="13"/>
      <c r="O134" s="14" t="s">
        <v>95</v>
      </c>
      <c r="P134" s="14" t="s">
        <v>137</v>
      </c>
      <c r="Q134" s="14"/>
      <c r="R134" s="14">
        <v>3</v>
      </c>
      <c r="S134" s="14">
        <v>3</v>
      </c>
      <c r="T134" s="14">
        <v>1</v>
      </c>
      <c r="U134" s="14" t="s">
        <v>22</v>
      </c>
      <c r="V134" s="14">
        <f t="shared" si="40"/>
        <v>0.01</v>
      </c>
      <c r="W134" s="14">
        <f t="shared" si="41"/>
        <v>1664.9999999999998</v>
      </c>
      <c r="X134" s="17"/>
      <c r="Y134" s="17"/>
      <c r="Z134" s="17" t="s">
        <v>8557</v>
      </c>
      <c r="AA134" s="18">
        <v>3.3E-3</v>
      </c>
      <c r="AB134" s="13" t="s">
        <v>8561</v>
      </c>
      <c r="AC134" s="13"/>
      <c r="AD134" s="13"/>
      <c r="AE134" s="13" t="s">
        <v>8562</v>
      </c>
      <c r="AF134" s="13" t="s">
        <v>40</v>
      </c>
      <c r="AG134" s="13"/>
      <c r="AH134" s="13"/>
      <c r="AI134" s="19"/>
      <c r="AJ134" s="14"/>
      <c r="AK134" s="13" t="s">
        <v>448</v>
      </c>
      <c r="AL134" s="13"/>
      <c r="AM134" s="13"/>
      <c r="AN134" s="13"/>
      <c r="AO134" s="13"/>
      <c r="AP134" s="20"/>
      <c r="AQ134" s="13">
        <f t="shared" si="42"/>
        <v>0</v>
      </c>
      <c r="AR134" s="92">
        <f t="shared" si="45"/>
        <v>0</v>
      </c>
      <c r="AS134" s="21">
        <f t="shared" si="44"/>
        <v>0</v>
      </c>
      <c r="AT134" s="22"/>
      <c r="AU134" s="13" t="s">
        <v>8563</v>
      </c>
      <c r="AV134" s="13" t="s">
        <v>8564</v>
      </c>
      <c r="AW134" s="13" t="s">
        <v>8565</v>
      </c>
      <c r="AX134" s="13" t="s">
        <v>8566</v>
      </c>
      <c r="AY134" s="13" t="s">
        <v>8567</v>
      </c>
      <c r="AZ134" s="13"/>
    </row>
    <row r="135" spans="1:52" ht="12.75">
      <c r="A135" s="12">
        <v>44812</v>
      </c>
      <c r="B135" s="13"/>
      <c r="C135" s="13" t="s">
        <v>93</v>
      </c>
      <c r="D135" s="17" t="s">
        <v>8568</v>
      </c>
      <c r="E135" s="13"/>
      <c r="F135" s="14"/>
      <c r="G135" s="13"/>
      <c r="H135" s="13"/>
      <c r="I135" s="13"/>
      <c r="J135" s="40"/>
      <c r="K135" s="40"/>
      <c r="L135" s="13"/>
      <c r="M135" s="13"/>
      <c r="N135" s="13"/>
      <c r="O135" s="14"/>
      <c r="P135" s="14"/>
      <c r="Q135" s="14"/>
      <c r="R135" s="14"/>
      <c r="S135" s="14"/>
      <c r="T135" s="14"/>
      <c r="U135" s="14"/>
      <c r="V135" s="14">
        <f t="shared" si="40"/>
        <v>0</v>
      </c>
      <c r="W135" s="14">
        <f t="shared" si="41"/>
        <v>0</v>
      </c>
      <c r="X135" s="17"/>
      <c r="Y135" s="17"/>
      <c r="Z135" s="17"/>
      <c r="AA135" s="18"/>
      <c r="AB135" s="13"/>
      <c r="AC135" s="13"/>
      <c r="AD135" s="13"/>
      <c r="AE135" s="13"/>
      <c r="AF135" s="13"/>
      <c r="AG135" s="13"/>
      <c r="AH135" s="13"/>
      <c r="AI135" s="19"/>
      <c r="AJ135" s="14"/>
      <c r="AK135" s="13"/>
      <c r="AL135" s="13"/>
      <c r="AM135" s="13"/>
      <c r="AN135" s="13"/>
      <c r="AO135" s="13"/>
      <c r="AP135" s="20"/>
      <c r="AQ135" s="13">
        <f t="shared" si="42"/>
        <v>0</v>
      </c>
      <c r="AR135" s="92">
        <f t="shared" si="45"/>
        <v>0</v>
      </c>
      <c r="AS135" s="21">
        <f t="shared" si="44"/>
        <v>0</v>
      </c>
      <c r="AT135" s="22"/>
      <c r="AU135" s="13"/>
      <c r="AV135" s="13"/>
      <c r="AW135" s="13"/>
      <c r="AX135" s="13"/>
      <c r="AY135" s="13"/>
      <c r="AZ135" s="13"/>
    </row>
    <row r="136" spans="1:52" ht="12.75">
      <c r="A136" s="12">
        <v>44812</v>
      </c>
      <c r="B136" s="13" t="s">
        <v>8569</v>
      </c>
      <c r="C136" s="13" t="s">
        <v>93</v>
      </c>
      <c r="D136" s="17" t="s">
        <v>8570</v>
      </c>
      <c r="E136" s="13" t="s">
        <v>8571</v>
      </c>
      <c r="F136" s="14" t="s">
        <v>8133</v>
      </c>
      <c r="G136" s="13"/>
      <c r="H136" s="13"/>
      <c r="I136" s="13"/>
      <c r="J136" s="40"/>
      <c r="K136" s="40"/>
      <c r="L136" s="13">
        <v>1</v>
      </c>
      <c r="M136" s="13"/>
      <c r="N136" s="13">
        <v>1</v>
      </c>
      <c r="O136" s="14" t="s">
        <v>95</v>
      </c>
      <c r="P136" s="14" t="s">
        <v>96</v>
      </c>
      <c r="Q136" s="14" t="s">
        <v>684</v>
      </c>
      <c r="R136" s="14">
        <v>3</v>
      </c>
      <c r="S136" s="14">
        <v>3</v>
      </c>
      <c r="T136" s="14">
        <v>2</v>
      </c>
      <c r="U136" s="14" t="s">
        <v>97</v>
      </c>
      <c r="V136" s="14">
        <f t="shared" si="40"/>
        <v>0.01</v>
      </c>
      <c r="W136" s="14">
        <f t="shared" si="41"/>
        <v>1664.9999999999998</v>
      </c>
      <c r="X136" s="17" t="s">
        <v>8520</v>
      </c>
      <c r="Y136" s="17"/>
      <c r="Z136" s="17"/>
      <c r="AA136" s="18">
        <v>96.38</v>
      </c>
      <c r="AB136" s="13" t="s">
        <v>8572</v>
      </c>
      <c r="AC136" s="13"/>
      <c r="AD136" s="13"/>
      <c r="AE136" s="13" t="s">
        <v>8573</v>
      </c>
      <c r="AF136" s="13" t="s">
        <v>8574</v>
      </c>
      <c r="AG136" s="13"/>
      <c r="AH136" s="13"/>
      <c r="AI136" s="19"/>
      <c r="AJ136" s="14"/>
      <c r="AK136" s="13"/>
      <c r="AL136" s="13"/>
      <c r="AM136" s="13" t="s">
        <v>8575</v>
      </c>
      <c r="AN136" s="13" t="s">
        <v>372</v>
      </c>
      <c r="AO136" s="13"/>
      <c r="AP136" s="20">
        <v>96.33</v>
      </c>
      <c r="AQ136" s="20">
        <f t="shared" si="42"/>
        <v>4.9999999999997158E-2</v>
      </c>
      <c r="AR136" s="92">
        <f t="shared" si="45"/>
        <v>249.74999999998576</v>
      </c>
      <c r="AS136" s="21">
        <f t="shared" si="44"/>
        <v>83.249999999995254</v>
      </c>
      <c r="AT136" s="22" t="s">
        <v>96</v>
      </c>
      <c r="AU136" s="13" t="s">
        <v>8576</v>
      </c>
      <c r="AV136" s="13" t="s">
        <v>8577</v>
      </c>
      <c r="AW136" s="13"/>
      <c r="AX136" s="13"/>
      <c r="AY136" s="13"/>
      <c r="AZ136" s="13"/>
    </row>
    <row r="137" spans="1:52" ht="12.75">
      <c r="A137" s="12">
        <v>44812</v>
      </c>
      <c r="B137" s="13"/>
      <c r="C137" s="13" t="s">
        <v>93</v>
      </c>
      <c r="D137" s="17"/>
      <c r="E137" s="13"/>
      <c r="F137" s="14" t="s">
        <v>8556</v>
      </c>
      <c r="G137" s="13"/>
      <c r="H137" s="13"/>
      <c r="I137" s="13"/>
      <c r="J137" s="40"/>
      <c r="K137" s="40"/>
      <c r="L137" s="13">
        <v>1</v>
      </c>
      <c r="M137" s="13">
        <v>2</v>
      </c>
      <c r="N137" s="13"/>
      <c r="O137" s="14" t="s">
        <v>95</v>
      </c>
      <c r="P137" s="14" t="s">
        <v>96</v>
      </c>
      <c r="Q137" s="14"/>
      <c r="R137" s="14">
        <v>9</v>
      </c>
      <c r="S137" s="14">
        <v>9</v>
      </c>
      <c r="T137" s="14">
        <v>1</v>
      </c>
      <c r="U137" s="14" t="s">
        <v>22</v>
      </c>
      <c r="V137" s="14">
        <f t="shared" si="40"/>
        <v>0.01</v>
      </c>
      <c r="W137" s="14">
        <f t="shared" si="41"/>
        <v>1664.9999999999998</v>
      </c>
      <c r="X137" s="17"/>
      <c r="Y137" s="17"/>
      <c r="Z137" s="17" t="s">
        <v>8578</v>
      </c>
      <c r="AA137" s="18">
        <v>0.1</v>
      </c>
      <c r="AB137" s="13" t="s">
        <v>8579</v>
      </c>
      <c r="AC137" s="13"/>
      <c r="AD137" s="13"/>
      <c r="AE137" s="13"/>
      <c r="AF137" s="13"/>
      <c r="AG137" s="13"/>
      <c r="AH137" s="13"/>
      <c r="AI137" s="19"/>
      <c r="AJ137" s="14"/>
      <c r="AK137" s="13" t="s">
        <v>448</v>
      </c>
      <c r="AL137" s="13"/>
      <c r="AM137" s="13"/>
      <c r="AN137" s="13"/>
      <c r="AO137" s="13"/>
      <c r="AP137" s="20"/>
      <c r="AQ137" s="13">
        <f t="shared" si="42"/>
        <v>0</v>
      </c>
      <c r="AR137" s="92">
        <f t="shared" si="45"/>
        <v>0</v>
      </c>
      <c r="AS137" s="21">
        <f t="shared" si="44"/>
        <v>0</v>
      </c>
      <c r="AT137" s="22"/>
      <c r="AU137" s="13" t="s">
        <v>8580</v>
      </c>
      <c r="AV137" s="13" t="s">
        <v>8581</v>
      </c>
      <c r="AW137" s="13" t="s">
        <v>8582</v>
      </c>
      <c r="AX137" s="13" t="s">
        <v>8583</v>
      </c>
      <c r="AY137" s="13" t="s">
        <v>8584</v>
      </c>
      <c r="AZ137" s="13" t="s">
        <v>8585</v>
      </c>
    </row>
    <row r="138" spans="1:52" ht="12.75">
      <c r="A138" s="12"/>
      <c r="B138" s="13"/>
      <c r="C138" s="13"/>
      <c r="D138" s="17"/>
      <c r="E138" s="13"/>
      <c r="F138" s="14" t="s">
        <v>8134</v>
      </c>
      <c r="G138" s="13"/>
      <c r="H138" s="13"/>
      <c r="I138" s="13"/>
      <c r="J138" s="40"/>
      <c r="K138" s="40"/>
      <c r="L138" s="13"/>
      <c r="M138" s="13"/>
      <c r="N138" s="13"/>
      <c r="O138" s="14"/>
      <c r="P138" s="14"/>
      <c r="Q138" s="14"/>
      <c r="R138" s="14"/>
      <c r="S138" s="14"/>
      <c r="T138" s="14"/>
      <c r="U138" s="14"/>
      <c r="V138" s="14">
        <f t="shared" si="40"/>
        <v>0</v>
      </c>
      <c r="W138" s="14">
        <f t="shared" si="41"/>
        <v>0</v>
      </c>
      <c r="X138" s="17"/>
      <c r="Y138" s="17"/>
      <c r="Z138" s="17"/>
      <c r="AA138" s="18">
        <v>96.224999999999994</v>
      </c>
      <c r="AB138" s="13"/>
      <c r="AC138" s="13"/>
      <c r="AD138" s="13"/>
      <c r="AE138" s="13"/>
      <c r="AF138" s="13"/>
      <c r="AG138" s="13"/>
      <c r="AH138" s="13"/>
      <c r="AI138" s="19"/>
      <c r="AJ138" s="14"/>
      <c r="AK138" s="13"/>
      <c r="AL138" s="13"/>
      <c r="AM138" s="13"/>
      <c r="AN138" s="13"/>
      <c r="AO138" s="13"/>
      <c r="AP138" s="20"/>
      <c r="AQ138" s="13">
        <f t="shared" si="42"/>
        <v>0</v>
      </c>
      <c r="AR138" s="92">
        <f t="shared" si="45"/>
        <v>0</v>
      </c>
      <c r="AS138" s="21">
        <f t="shared" si="44"/>
        <v>0</v>
      </c>
      <c r="AT138" s="22"/>
      <c r="AU138" s="61"/>
      <c r="AV138" s="61"/>
      <c r="AW138" s="13"/>
      <c r="AX138" s="13"/>
      <c r="AY138" s="13"/>
      <c r="AZ138" s="13"/>
    </row>
    <row r="139" spans="1:52" ht="12.75">
      <c r="A139" s="12"/>
      <c r="B139" s="13"/>
      <c r="C139" s="13"/>
      <c r="D139" s="17"/>
      <c r="E139" s="13"/>
      <c r="F139" s="14" t="s">
        <v>3337</v>
      </c>
      <c r="G139" s="13"/>
      <c r="H139" s="13"/>
      <c r="I139" s="13"/>
      <c r="J139" s="40"/>
      <c r="K139" s="40"/>
      <c r="L139" s="13"/>
      <c r="M139" s="13"/>
      <c r="N139" s="13"/>
      <c r="O139" s="14"/>
      <c r="P139" s="14"/>
      <c r="Q139" s="14"/>
      <c r="R139" s="14"/>
      <c r="S139" s="14"/>
      <c r="T139" s="14"/>
      <c r="U139" s="14"/>
      <c r="V139" s="14">
        <f t="shared" si="40"/>
        <v>0</v>
      </c>
      <c r="W139" s="14">
        <f t="shared" si="41"/>
        <v>0</v>
      </c>
      <c r="X139" s="17"/>
      <c r="Y139" s="17"/>
      <c r="Z139" s="17"/>
      <c r="AA139" s="18">
        <v>96.231999999999999</v>
      </c>
      <c r="AB139" s="13"/>
      <c r="AC139" s="13"/>
      <c r="AD139" s="13"/>
      <c r="AE139" s="13"/>
      <c r="AF139" s="13"/>
      <c r="AG139" s="13"/>
      <c r="AH139" s="13"/>
      <c r="AI139" s="19"/>
      <c r="AJ139" s="14"/>
      <c r="AK139" s="13"/>
      <c r="AL139" s="13"/>
      <c r="AM139" s="13"/>
      <c r="AN139" s="13"/>
      <c r="AO139" s="13"/>
      <c r="AP139" s="20"/>
      <c r="AQ139" s="13">
        <f t="shared" si="42"/>
        <v>0</v>
      </c>
      <c r="AR139" s="92">
        <f t="shared" si="45"/>
        <v>0</v>
      </c>
      <c r="AS139" s="21">
        <f t="shared" si="44"/>
        <v>0</v>
      </c>
      <c r="AT139" s="22"/>
      <c r="AU139" s="13"/>
      <c r="AV139" s="13"/>
      <c r="AW139" s="13"/>
      <c r="AX139" s="13"/>
      <c r="AY139" s="13"/>
      <c r="AZ139" s="13"/>
    </row>
    <row r="140" spans="1:52" ht="12.75">
      <c r="A140" s="12"/>
      <c r="B140" s="13"/>
      <c r="C140" s="13"/>
      <c r="D140" s="17"/>
      <c r="E140" s="13"/>
      <c r="F140" s="14" t="s">
        <v>8232</v>
      </c>
      <c r="G140" s="13"/>
      <c r="H140" s="13"/>
      <c r="I140" s="13"/>
      <c r="J140" s="40"/>
      <c r="K140" s="40"/>
      <c r="L140" s="13"/>
      <c r="M140" s="13"/>
      <c r="N140" s="13"/>
      <c r="O140" s="14"/>
      <c r="P140" s="14"/>
      <c r="Q140" s="14"/>
      <c r="R140" s="14"/>
      <c r="S140" s="14"/>
      <c r="T140" s="14"/>
      <c r="U140" s="14"/>
      <c r="V140" s="14">
        <f t="shared" si="40"/>
        <v>0</v>
      </c>
      <c r="W140" s="14">
        <f t="shared" si="41"/>
        <v>0</v>
      </c>
      <c r="X140" s="17"/>
      <c r="Y140" s="17"/>
      <c r="Z140" s="17"/>
      <c r="AA140" s="18">
        <v>96.242999999999995</v>
      </c>
      <c r="AB140" s="13"/>
      <c r="AC140" s="13"/>
      <c r="AD140" s="13"/>
      <c r="AE140" s="13"/>
      <c r="AF140" s="13"/>
      <c r="AG140" s="13"/>
      <c r="AH140" s="13"/>
      <c r="AI140" s="19"/>
      <c r="AJ140" s="14"/>
      <c r="AK140" s="13"/>
      <c r="AL140" s="13"/>
      <c r="AM140" s="13"/>
      <c r="AN140" s="13"/>
      <c r="AO140" s="13"/>
      <c r="AP140" s="20"/>
      <c r="AQ140" s="13">
        <f t="shared" si="42"/>
        <v>0</v>
      </c>
      <c r="AR140" s="92">
        <f t="shared" si="45"/>
        <v>0</v>
      </c>
      <c r="AS140" s="21">
        <f t="shared" si="44"/>
        <v>0</v>
      </c>
      <c r="AT140" s="22"/>
      <c r="AU140" s="13"/>
      <c r="AV140" s="13"/>
      <c r="AW140" s="13"/>
      <c r="AX140" s="13"/>
      <c r="AY140" s="13"/>
      <c r="AZ140" s="13"/>
    </row>
    <row r="141" spans="1:52" ht="15">
      <c r="A141" s="12">
        <v>44812</v>
      </c>
      <c r="B141" s="13" t="s">
        <v>2122</v>
      </c>
      <c r="C141" s="13" t="s">
        <v>93</v>
      </c>
      <c r="D141" s="17" t="s">
        <v>8586</v>
      </c>
      <c r="E141" s="13" t="s">
        <v>8587</v>
      </c>
      <c r="F141" s="14"/>
      <c r="G141" s="13"/>
      <c r="H141" s="13">
        <v>1</v>
      </c>
      <c r="I141" s="13"/>
      <c r="J141" s="72"/>
      <c r="K141" s="72"/>
      <c r="L141" s="13"/>
      <c r="M141" s="13"/>
      <c r="N141" s="13"/>
      <c r="O141" s="14"/>
      <c r="P141" s="14"/>
      <c r="Q141" s="14"/>
      <c r="R141" s="14"/>
      <c r="S141" s="14"/>
      <c r="T141" s="14"/>
      <c r="U141" s="14"/>
      <c r="V141" s="14">
        <f t="shared" si="40"/>
        <v>0</v>
      </c>
      <c r="W141" s="14">
        <f t="shared" si="41"/>
        <v>0</v>
      </c>
      <c r="X141" s="17"/>
      <c r="Y141" s="17"/>
      <c r="Z141" s="17"/>
      <c r="AA141" s="18"/>
      <c r="AB141" s="13"/>
      <c r="AC141" s="13"/>
      <c r="AD141" s="13"/>
      <c r="AE141" s="13"/>
      <c r="AF141" s="13"/>
      <c r="AG141" s="13"/>
      <c r="AH141" s="13"/>
      <c r="AI141" s="19"/>
      <c r="AJ141" s="14"/>
      <c r="AK141" s="13"/>
      <c r="AL141" s="13"/>
      <c r="AM141" s="13"/>
      <c r="AN141" s="13"/>
      <c r="AO141" s="13"/>
      <c r="AP141" s="20"/>
      <c r="AQ141" s="13">
        <f t="shared" si="42"/>
        <v>0</v>
      </c>
      <c r="AR141" s="92">
        <f t="shared" si="45"/>
        <v>0</v>
      </c>
      <c r="AS141" s="21">
        <f t="shared" si="44"/>
        <v>0</v>
      </c>
      <c r="AT141" s="22"/>
      <c r="AU141" s="13"/>
      <c r="AV141" s="13"/>
      <c r="AW141" s="13"/>
      <c r="AX141" s="13"/>
      <c r="AY141" s="13"/>
      <c r="AZ141" s="13"/>
    </row>
    <row r="142" spans="1:52" ht="12.75">
      <c r="A142" s="12"/>
      <c r="B142" s="13"/>
      <c r="C142" s="13"/>
      <c r="D142" s="17" t="s">
        <v>8588</v>
      </c>
      <c r="E142" s="13" t="s">
        <v>8589</v>
      </c>
      <c r="F142" s="14"/>
      <c r="G142" s="13"/>
      <c r="H142" s="13"/>
      <c r="I142" s="13">
        <v>1</v>
      </c>
      <c r="J142" s="40"/>
      <c r="K142" s="40"/>
      <c r="L142" s="13"/>
      <c r="M142" s="13"/>
      <c r="N142" s="13"/>
      <c r="O142" s="14"/>
      <c r="P142" s="14"/>
      <c r="Q142" s="14"/>
      <c r="R142" s="14"/>
      <c r="S142" s="14"/>
      <c r="T142" s="14"/>
      <c r="U142" s="14"/>
      <c r="V142" s="14">
        <f t="shared" si="40"/>
        <v>0</v>
      </c>
      <c r="W142" s="14">
        <f t="shared" si="41"/>
        <v>0</v>
      </c>
      <c r="X142" s="17"/>
      <c r="Y142" s="17"/>
      <c r="Z142" s="17"/>
      <c r="AA142" s="18"/>
      <c r="AB142" s="13"/>
      <c r="AC142" s="13"/>
      <c r="AD142" s="13"/>
      <c r="AE142" s="13"/>
      <c r="AF142" s="13"/>
      <c r="AG142" s="13"/>
      <c r="AH142" s="13"/>
      <c r="AI142" s="19"/>
      <c r="AJ142" s="14"/>
      <c r="AK142" s="13"/>
      <c r="AL142" s="13"/>
      <c r="AM142" s="13"/>
      <c r="AN142" s="13"/>
      <c r="AO142" s="13"/>
      <c r="AP142" s="20"/>
      <c r="AQ142" s="13">
        <f t="shared" si="42"/>
        <v>0</v>
      </c>
      <c r="AR142" s="92">
        <f t="shared" si="45"/>
        <v>0</v>
      </c>
      <c r="AS142" s="21">
        <f t="shared" si="44"/>
        <v>0</v>
      </c>
      <c r="AT142" s="22"/>
      <c r="AU142" s="13"/>
      <c r="AV142" s="13"/>
      <c r="AW142" s="13"/>
      <c r="AX142" s="13"/>
      <c r="AY142" s="13"/>
      <c r="AZ142" s="13"/>
    </row>
    <row r="143" spans="1:52" ht="12.75">
      <c r="A143" s="12">
        <v>44813</v>
      </c>
      <c r="B143" s="13" t="s">
        <v>8590</v>
      </c>
      <c r="C143" s="13" t="s">
        <v>111</v>
      </c>
      <c r="D143" s="17"/>
      <c r="E143" s="13"/>
      <c r="F143" s="14" t="s">
        <v>136</v>
      </c>
      <c r="G143" s="13"/>
      <c r="H143" s="13"/>
      <c r="I143" s="13"/>
      <c r="J143" s="40"/>
      <c r="K143" s="40"/>
      <c r="L143" s="13">
        <v>1</v>
      </c>
      <c r="M143" s="13"/>
      <c r="N143" s="13"/>
      <c r="O143" s="14" t="s">
        <v>95</v>
      </c>
      <c r="P143" s="14" t="s">
        <v>137</v>
      </c>
      <c r="Q143" s="14" t="s">
        <v>97</v>
      </c>
      <c r="R143" s="14">
        <v>1</v>
      </c>
      <c r="S143" s="14">
        <v>1</v>
      </c>
      <c r="T143" s="14">
        <v>1</v>
      </c>
      <c r="U143" s="14" t="s">
        <v>22</v>
      </c>
      <c r="V143" s="14">
        <f t="shared" si="40"/>
        <v>0.01</v>
      </c>
      <c r="W143" s="14">
        <f t="shared" si="41"/>
        <v>1664.9999999999998</v>
      </c>
      <c r="X143" s="17"/>
      <c r="Y143" s="17"/>
      <c r="Z143" s="17" t="s">
        <v>8591</v>
      </c>
      <c r="AA143" s="18">
        <v>-0.03</v>
      </c>
      <c r="AB143" s="13"/>
      <c r="AC143" s="13"/>
      <c r="AD143" s="13"/>
      <c r="AE143" s="13"/>
      <c r="AF143" s="13"/>
      <c r="AG143" s="13"/>
      <c r="AH143" s="13"/>
      <c r="AI143" s="19"/>
      <c r="AJ143" s="14"/>
      <c r="AK143" s="13"/>
      <c r="AL143" s="13"/>
      <c r="AM143" s="13" t="s">
        <v>8592</v>
      </c>
      <c r="AN143" s="13" t="s">
        <v>115</v>
      </c>
      <c r="AO143" s="13" t="s">
        <v>8593</v>
      </c>
      <c r="AP143" s="20">
        <v>-0.02</v>
      </c>
      <c r="AQ143" s="20">
        <f t="shared" si="42"/>
        <v>9.9999999999999985E-3</v>
      </c>
      <c r="AR143" s="92">
        <f t="shared" si="45"/>
        <v>16.649999999999995</v>
      </c>
      <c r="AS143" s="21">
        <f t="shared" si="44"/>
        <v>16.649999999999995</v>
      </c>
      <c r="AT143" s="22" t="s">
        <v>96</v>
      </c>
      <c r="AU143" s="13" t="s">
        <v>8594</v>
      </c>
      <c r="AV143" s="13"/>
      <c r="AW143" s="13"/>
      <c r="AX143" s="13"/>
      <c r="AY143" s="13"/>
      <c r="AZ143" s="13"/>
    </row>
    <row r="144" spans="1:52" ht="12.75">
      <c r="A144" s="12">
        <v>44813</v>
      </c>
      <c r="B144" s="13" t="s">
        <v>8595</v>
      </c>
      <c r="C144" s="13" t="s">
        <v>111</v>
      </c>
      <c r="D144" s="17"/>
      <c r="E144" s="13"/>
      <c r="F144" s="14" t="s">
        <v>136</v>
      </c>
      <c r="G144" s="13"/>
      <c r="H144" s="13"/>
      <c r="I144" s="13"/>
      <c r="J144" s="40"/>
      <c r="K144" s="40"/>
      <c r="L144" s="13">
        <v>1</v>
      </c>
      <c r="M144" s="13"/>
      <c r="N144" s="13"/>
      <c r="O144" s="14" t="s">
        <v>95</v>
      </c>
      <c r="P144" s="14" t="s">
        <v>137</v>
      </c>
      <c r="Q144" s="14" t="s">
        <v>97</v>
      </c>
      <c r="R144" s="14">
        <v>1</v>
      </c>
      <c r="S144" s="14">
        <v>1</v>
      </c>
      <c r="T144" s="14">
        <v>1</v>
      </c>
      <c r="U144" s="14" t="s">
        <v>22</v>
      </c>
      <c r="V144" s="14">
        <f t="shared" si="40"/>
        <v>0.01</v>
      </c>
      <c r="W144" s="14">
        <f t="shared" si="41"/>
        <v>1664.9999999999998</v>
      </c>
      <c r="X144" s="17"/>
      <c r="Y144" s="17"/>
      <c r="Z144" s="17" t="s">
        <v>99</v>
      </c>
      <c r="AA144" s="18">
        <v>-0.03</v>
      </c>
      <c r="AB144" s="13"/>
      <c r="AC144" s="13"/>
      <c r="AD144" s="13"/>
      <c r="AE144" s="13"/>
      <c r="AF144" s="13"/>
      <c r="AG144" s="13"/>
      <c r="AH144" s="13"/>
      <c r="AI144" s="19"/>
      <c r="AJ144" s="14"/>
      <c r="AK144" s="13"/>
      <c r="AL144" s="13"/>
      <c r="AM144" s="13" t="s">
        <v>8596</v>
      </c>
      <c r="AN144" s="13" t="s">
        <v>372</v>
      </c>
      <c r="AO144" s="26">
        <v>44813</v>
      </c>
      <c r="AP144" s="20">
        <v>-0.02</v>
      </c>
      <c r="AQ144" s="20">
        <f t="shared" si="42"/>
        <v>9.9999999999999985E-3</v>
      </c>
      <c r="AR144" s="92">
        <f t="shared" si="45"/>
        <v>16.649999999999995</v>
      </c>
      <c r="AS144" s="21">
        <f t="shared" si="44"/>
        <v>16.649999999999995</v>
      </c>
      <c r="AT144" s="22" t="s">
        <v>96</v>
      </c>
      <c r="AU144" s="13"/>
      <c r="AV144" s="13"/>
      <c r="AW144" s="13"/>
      <c r="AX144" s="13"/>
      <c r="AY144" s="13"/>
      <c r="AZ144" s="13"/>
    </row>
    <row r="145" spans="1:52" ht="15">
      <c r="A145" s="12">
        <v>44816</v>
      </c>
      <c r="B145" s="13" t="s">
        <v>8597</v>
      </c>
      <c r="C145" s="13" t="s">
        <v>132</v>
      </c>
      <c r="D145" s="17"/>
      <c r="E145" s="13"/>
      <c r="F145" s="14" t="s">
        <v>136</v>
      </c>
      <c r="G145" s="13"/>
      <c r="H145" s="13"/>
      <c r="I145" s="13"/>
      <c r="J145" s="72"/>
      <c r="K145" s="72"/>
      <c r="L145" s="13">
        <v>1</v>
      </c>
      <c r="M145" s="13"/>
      <c r="N145" s="13"/>
      <c r="O145" s="14" t="s">
        <v>95</v>
      </c>
      <c r="P145" s="14" t="s">
        <v>137</v>
      </c>
      <c r="Q145" s="14" t="s">
        <v>97</v>
      </c>
      <c r="R145" s="14">
        <v>1</v>
      </c>
      <c r="S145" s="14">
        <v>1</v>
      </c>
      <c r="T145" s="14">
        <v>1</v>
      </c>
      <c r="U145" s="14" t="s">
        <v>22</v>
      </c>
      <c r="V145" s="14">
        <f t="shared" si="40"/>
        <v>0.01</v>
      </c>
      <c r="W145" s="14">
        <f t="shared" si="41"/>
        <v>1664.9999999999998</v>
      </c>
      <c r="X145" s="17"/>
      <c r="Y145" s="17"/>
      <c r="Z145" s="17" t="s">
        <v>99</v>
      </c>
      <c r="AA145" s="18">
        <v>-0.03</v>
      </c>
      <c r="AB145" s="13"/>
      <c r="AC145" s="13"/>
      <c r="AD145" s="13"/>
      <c r="AE145" s="13"/>
      <c r="AF145" s="13"/>
      <c r="AG145" s="13"/>
      <c r="AH145" s="13"/>
      <c r="AI145" s="19"/>
      <c r="AJ145" s="14"/>
      <c r="AK145" s="13"/>
      <c r="AL145" s="13"/>
      <c r="AM145" s="13" t="s">
        <v>8597</v>
      </c>
      <c r="AN145" s="13" t="s">
        <v>1259</v>
      </c>
      <c r="AO145" s="26">
        <v>44816</v>
      </c>
      <c r="AP145" s="20">
        <v>-0.02</v>
      </c>
      <c r="AQ145" s="20">
        <f t="shared" si="42"/>
        <v>9.9999999999999985E-3</v>
      </c>
      <c r="AR145" s="92">
        <f t="shared" si="45"/>
        <v>16.649999999999995</v>
      </c>
      <c r="AS145" s="21">
        <f t="shared" si="44"/>
        <v>16.649999999999995</v>
      </c>
      <c r="AT145" s="22" t="s">
        <v>96</v>
      </c>
      <c r="AU145" s="13"/>
      <c r="AV145" s="13"/>
      <c r="AW145" s="13"/>
      <c r="AX145" s="13"/>
      <c r="AY145" s="13"/>
      <c r="AZ145" s="13"/>
    </row>
    <row r="146" spans="1:52" ht="15">
      <c r="A146" s="12">
        <v>44816</v>
      </c>
      <c r="B146" s="13" t="s">
        <v>8598</v>
      </c>
      <c r="C146" s="13" t="s">
        <v>132</v>
      </c>
      <c r="D146" s="17"/>
      <c r="E146" s="13"/>
      <c r="F146" s="14" t="s">
        <v>136</v>
      </c>
      <c r="G146" s="13"/>
      <c r="H146" s="13"/>
      <c r="I146" s="13"/>
      <c r="J146" s="72"/>
      <c r="K146" s="72"/>
      <c r="L146" s="13">
        <v>1</v>
      </c>
      <c r="M146" s="13"/>
      <c r="N146" s="13"/>
      <c r="O146" s="14" t="s">
        <v>95</v>
      </c>
      <c r="P146" s="14" t="s">
        <v>137</v>
      </c>
      <c r="Q146" s="14" t="s">
        <v>97</v>
      </c>
      <c r="R146" s="14">
        <v>1</v>
      </c>
      <c r="S146" s="14">
        <v>1</v>
      </c>
      <c r="T146" s="14">
        <v>1</v>
      </c>
      <c r="U146" s="14" t="s">
        <v>22</v>
      </c>
      <c r="V146" s="14">
        <f t="shared" si="40"/>
        <v>0.01</v>
      </c>
      <c r="W146" s="14">
        <f t="shared" si="41"/>
        <v>1664.9999999999998</v>
      </c>
      <c r="X146" s="17"/>
      <c r="Y146" s="17"/>
      <c r="Z146" s="17" t="s">
        <v>99</v>
      </c>
      <c r="AA146" s="18">
        <v>-0.03</v>
      </c>
      <c r="AB146" s="13"/>
      <c r="AC146" s="13"/>
      <c r="AD146" s="13"/>
      <c r="AE146" s="13"/>
      <c r="AF146" s="13"/>
      <c r="AG146" s="13"/>
      <c r="AH146" s="13"/>
      <c r="AI146" s="19"/>
      <c r="AJ146" s="14"/>
      <c r="AK146" s="13"/>
      <c r="AL146" s="13"/>
      <c r="AM146" s="13" t="s">
        <v>8598</v>
      </c>
      <c r="AN146" s="13" t="s">
        <v>115</v>
      </c>
      <c r="AO146" s="26">
        <v>44816</v>
      </c>
      <c r="AP146" s="20">
        <v>-0.02</v>
      </c>
      <c r="AQ146" s="20">
        <f t="shared" si="42"/>
        <v>9.9999999999999985E-3</v>
      </c>
      <c r="AR146" s="92">
        <f t="shared" si="45"/>
        <v>16.649999999999995</v>
      </c>
      <c r="AS146" s="21">
        <f t="shared" si="44"/>
        <v>16.649999999999995</v>
      </c>
      <c r="AT146" s="22" t="s">
        <v>96</v>
      </c>
      <c r="AU146" s="13" t="s">
        <v>8599</v>
      </c>
      <c r="AV146" s="13" t="s">
        <v>8600</v>
      </c>
      <c r="AW146" s="13" t="s">
        <v>8601</v>
      </c>
      <c r="AX146" s="13"/>
      <c r="AY146" s="13"/>
      <c r="AZ146" s="13"/>
    </row>
    <row r="147" spans="1:52" ht="12.75">
      <c r="A147" s="12">
        <v>44817</v>
      </c>
      <c r="B147" s="13" t="s">
        <v>2253</v>
      </c>
      <c r="C147" s="13" t="s">
        <v>146</v>
      </c>
      <c r="D147" s="17"/>
      <c r="E147" s="13"/>
      <c r="F147" s="14" t="s">
        <v>136</v>
      </c>
      <c r="G147" s="13"/>
      <c r="H147" s="13"/>
      <c r="I147" s="13"/>
      <c r="J147" s="40"/>
      <c r="K147" s="40"/>
      <c r="L147" s="13">
        <v>1</v>
      </c>
      <c r="M147" s="13"/>
      <c r="N147" s="13"/>
      <c r="O147" s="14" t="s">
        <v>95</v>
      </c>
      <c r="P147" s="14" t="s">
        <v>137</v>
      </c>
      <c r="Q147" s="14"/>
      <c r="R147" s="14">
        <v>1</v>
      </c>
      <c r="S147" s="14">
        <v>1</v>
      </c>
      <c r="T147" s="14">
        <v>1</v>
      </c>
      <c r="U147" s="14" t="s">
        <v>22</v>
      </c>
      <c r="V147" s="14">
        <f t="shared" si="40"/>
        <v>0.01</v>
      </c>
      <c r="W147" s="14">
        <f t="shared" si="41"/>
        <v>1664.9999999999998</v>
      </c>
      <c r="X147" s="17"/>
      <c r="Y147" s="17"/>
      <c r="Z147" s="17" t="s">
        <v>99</v>
      </c>
      <c r="AA147" s="18">
        <v>-0.03</v>
      </c>
      <c r="AB147" s="13"/>
      <c r="AC147" s="13"/>
      <c r="AD147" s="13"/>
      <c r="AE147" s="13"/>
      <c r="AF147" s="13"/>
      <c r="AG147" s="13"/>
      <c r="AH147" s="13"/>
      <c r="AI147" s="19"/>
      <c r="AJ147" s="14"/>
      <c r="AK147" s="13"/>
      <c r="AL147" s="13"/>
      <c r="AM147" s="13" t="s">
        <v>2253</v>
      </c>
      <c r="AN147" s="13"/>
      <c r="AO147" s="26">
        <v>44816</v>
      </c>
      <c r="AP147" s="20"/>
      <c r="AQ147" s="13">
        <f t="shared" si="42"/>
        <v>0</v>
      </c>
      <c r="AR147" s="92">
        <f t="shared" si="45"/>
        <v>0</v>
      </c>
      <c r="AS147" s="21">
        <f t="shared" si="44"/>
        <v>0</v>
      </c>
      <c r="AT147" s="22"/>
      <c r="AU147" s="13" t="s">
        <v>8602</v>
      </c>
      <c r="AV147" s="13" t="s">
        <v>8603</v>
      </c>
      <c r="AW147" s="13"/>
      <c r="AX147" s="13" t="s">
        <v>8604</v>
      </c>
      <c r="AY147" s="13"/>
      <c r="AZ147" s="13"/>
    </row>
    <row r="148" spans="1:52" ht="12.75">
      <c r="A148" s="12">
        <v>44817</v>
      </c>
      <c r="B148" s="13"/>
      <c r="C148" s="13" t="s">
        <v>146</v>
      </c>
      <c r="D148" s="17"/>
      <c r="E148" s="13"/>
      <c r="F148" s="109">
        <v>44828</v>
      </c>
      <c r="G148" s="13"/>
      <c r="H148" s="13"/>
      <c r="I148" s="13"/>
      <c r="J148" s="75"/>
      <c r="K148" s="75"/>
      <c r="L148" s="13">
        <v>1</v>
      </c>
      <c r="M148" s="13"/>
      <c r="N148" s="13"/>
      <c r="O148" s="14" t="s">
        <v>95</v>
      </c>
      <c r="P148" s="14" t="s">
        <v>137</v>
      </c>
      <c r="Q148" s="14"/>
      <c r="R148" s="14">
        <v>1</v>
      </c>
      <c r="S148" s="14">
        <v>1</v>
      </c>
      <c r="T148" s="14">
        <v>1</v>
      </c>
      <c r="U148" s="14" t="s">
        <v>97</v>
      </c>
      <c r="V148" s="14">
        <f t="shared" si="40"/>
        <v>0.01</v>
      </c>
      <c r="W148" s="14">
        <f t="shared" si="41"/>
        <v>1664.9999999999998</v>
      </c>
      <c r="X148" s="17"/>
      <c r="Y148" s="17"/>
      <c r="Z148" s="17"/>
      <c r="AA148" s="18">
        <v>96.38</v>
      </c>
      <c r="AB148" s="13"/>
      <c r="AC148" s="13" t="s">
        <v>8605</v>
      </c>
      <c r="AD148" s="13"/>
      <c r="AE148" s="13"/>
      <c r="AF148" s="13"/>
      <c r="AG148" s="13"/>
      <c r="AH148" s="13"/>
      <c r="AI148" s="19"/>
      <c r="AJ148" s="14"/>
      <c r="AK148" s="13"/>
      <c r="AL148" s="13"/>
      <c r="AM148" s="13"/>
      <c r="AN148" s="13" t="s">
        <v>115</v>
      </c>
      <c r="AO148" s="13"/>
      <c r="AP148" s="20">
        <v>96.3</v>
      </c>
      <c r="AQ148" s="20">
        <f t="shared" si="42"/>
        <v>7.9999999999998295E-2</v>
      </c>
      <c r="AR148" s="92">
        <f t="shared" si="45"/>
        <v>133.19999999999715</v>
      </c>
      <c r="AS148" s="21">
        <f t="shared" si="44"/>
        <v>133.19999999999715</v>
      </c>
      <c r="AT148" s="22"/>
      <c r="AU148" s="13" t="s">
        <v>8606</v>
      </c>
      <c r="AV148" s="28" t="s">
        <v>8607</v>
      </c>
      <c r="AW148" s="13"/>
      <c r="AX148" s="13"/>
      <c r="AY148" s="13"/>
      <c r="AZ148" s="13"/>
    </row>
    <row r="149" spans="1:52" ht="12.75">
      <c r="A149" s="12">
        <v>44817</v>
      </c>
      <c r="B149" s="33">
        <v>0.75</v>
      </c>
      <c r="C149" s="13" t="s">
        <v>146</v>
      </c>
      <c r="D149" s="17" t="s">
        <v>8608</v>
      </c>
      <c r="E149" s="13" t="s">
        <v>8609</v>
      </c>
      <c r="F149" s="14" t="s">
        <v>5740</v>
      </c>
      <c r="G149" s="13">
        <v>1</v>
      </c>
      <c r="H149" s="13"/>
      <c r="I149" s="13"/>
      <c r="J149" s="75"/>
      <c r="K149" s="75"/>
      <c r="L149" s="13">
        <v>1</v>
      </c>
      <c r="M149" s="13"/>
      <c r="N149" s="13"/>
      <c r="O149" s="14" t="s">
        <v>95</v>
      </c>
      <c r="P149" s="14" t="s">
        <v>137</v>
      </c>
      <c r="Q149" s="14"/>
      <c r="R149" s="14">
        <v>16</v>
      </c>
      <c r="S149" s="14">
        <v>14</v>
      </c>
      <c r="T149" s="14">
        <v>1</v>
      </c>
      <c r="U149" s="14" t="s">
        <v>22</v>
      </c>
      <c r="V149" s="14">
        <f t="shared" si="40"/>
        <v>0.01</v>
      </c>
      <c r="W149" s="14">
        <f t="shared" si="41"/>
        <v>1664.9999999999998</v>
      </c>
      <c r="X149" s="17" t="s">
        <v>8610</v>
      </c>
      <c r="Y149" s="17"/>
      <c r="Z149" s="17"/>
      <c r="AA149" s="18">
        <v>96.242999999999995</v>
      </c>
      <c r="AB149" s="13" t="s">
        <v>8611</v>
      </c>
      <c r="AC149" s="29" t="s">
        <v>8605</v>
      </c>
      <c r="AD149" s="13" t="s">
        <v>8612</v>
      </c>
      <c r="AE149" s="13">
        <v>96.2</v>
      </c>
      <c r="AF149" s="29" t="s">
        <v>8613</v>
      </c>
      <c r="AG149" s="13"/>
      <c r="AH149" s="13" t="s">
        <v>103</v>
      </c>
      <c r="AI149" s="19"/>
      <c r="AJ149" s="14"/>
      <c r="AK149" s="13"/>
      <c r="AL149" s="13"/>
      <c r="AM149" s="13" t="s">
        <v>8614</v>
      </c>
      <c r="AN149" s="13" t="s">
        <v>115</v>
      </c>
      <c r="AO149" s="13"/>
      <c r="AP149" s="20">
        <v>96.094999999999999</v>
      </c>
      <c r="AQ149" s="20">
        <f t="shared" si="42"/>
        <v>-0.14799999999999613</v>
      </c>
      <c r="AR149" s="92">
        <f t="shared" si="45"/>
        <v>-3942.7199999998966</v>
      </c>
      <c r="AS149" s="21">
        <f t="shared" si="44"/>
        <v>-246.41999999999354</v>
      </c>
      <c r="AT149" s="22"/>
      <c r="AU149" s="13" t="s">
        <v>8606</v>
      </c>
      <c r="AV149" s="13" t="s">
        <v>8615</v>
      </c>
      <c r="AW149" s="13" t="s">
        <v>8616</v>
      </c>
      <c r="AX149" s="13" t="s">
        <v>8617</v>
      </c>
      <c r="AY149" s="13" t="s">
        <v>8618</v>
      </c>
      <c r="AZ149" s="13"/>
    </row>
    <row r="150" spans="1:52" ht="12.75">
      <c r="A150" s="12">
        <v>44817</v>
      </c>
      <c r="B150" s="33">
        <v>0.75</v>
      </c>
      <c r="C150" s="13" t="s">
        <v>146</v>
      </c>
      <c r="D150" s="17" t="s">
        <v>8619</v>
      </c>
      <c r="E150" s="13" t="s">
        <v>8620</v>
      </c>
      <c r="F150" s="14"/>
      <c r="G150" s="13">
        <v>1</v>
      </c>
      <c r="H150" s="13"/>
      <c r="I150" s="13"/>
      <c r="J150" s="75"/>
      <c r="K150" s="75"/>
      <c r="L150" s="13"/>
      <c r="M150" s="13"/>
      <c r="N150" s="13"/>
      <c r="O150" s="14"/>
      <c r="P150" s="14"/>
      <c r="Q150" s="14"/>
      <c r="R150" s="14"/>
      <c r="S150" s="14"/>
      <c r="T150" s="14"/>
      <c r="U150" s="14"/>
      <c r="V150" s="14">
        <f t="shared" si="40"/>
        <v>0</v>
      </c>
      <c r="W150" s="14">
        <f t="shared" si="41"/>
        <v>0</v>
      </c>
      <c r="X150" s="17"/>
      <c r="Y150" s="17"/>
      <c r="Z150" s="17"/>
      <c r="AA150" s="18"/>
      <c r="AB150" s="13"/>
      <c r="AC150" s="13"/>
      <c r="AD150" s="13"/>
      <c r="AE150" s="13"/>
      <c r="AF150" s="13"/>
      <c r="AG150" s="13"/>
      <c r="AH150" s="13"/>
      <c r="AI150" s="19"/>
      <c r="AJ150" s="14"/>
      <c r="AK150" s="13"/>
      <c r="AL150" s="13"/>
      <c r="AM150" s="13"/>
      <c r="AN150" s="13"/>
      <c r="AO150" s="13"/>
      <c r="AP150" s="20"/>
      <c r="AQ150" s="13">
        <f t="shared" si="42"/>
        <v>0</v>
      </c>
      <c r="AR150" s="92">
        <f t="shared" si="45"/>
        <v>0</v>
      </c>
      <c r="AS150" s="21">
        <f t="shared" si="44"/>
        <v>0</v>
      </c>
      <c r="AT150" s="22"/>
      <c r="AU150" s="13"/>
      <c r="AV150" s="13"/>
      <c r="AW150" s="13"/>
      <c r="AX150" s="13"/>
      <c r="AY150" s="13"/>
      <c r="AZ150" s="13"/>
    </row>
    <row r="151" spans="1:52" ht="12.75">
      <c r="A151" s="12">
        <v>44817</v>
      </c>
      <c r="B151" s="33">
        <v>0.75</v>
      </c>
      <c r="C151" s="13" t="s">
        <v>146</v>
      </c>
      <c r="D151" s="17" t="s">
        <v>8621</v>
      </c>
      <c r="E151" s="13"/>
      <c r="F151" s="14"/>
      <c r="G151" s="13">
        <v>1</v>
      </c>
      <c r="H151" s="13"/>
      <c r="I151" s="13"/>
      <c r="J151" s="14"/>
      <c r="K151" s="14"/>
      <c r="L151" s="13"/>
      <c r="M151" s="13"/>
      <c r="N151" s="13"/>
      <c r="O151" s="14"/>
      <c r="P151" s="14"/>
      <c r="Q151" s="14"/>
      <c r="R151" s="14"/>
      <c r="S151" s="14"/>
      <c r="T151" s="14"/>
      <c r="U151" s="14"/>
      <c r="V151" s="14">
        <f t="shared" si="40"/>
        <v>0</v>
      </c>
      <c r="W151" s="14">
        <f t="shared" si="41"/>
        <v>0</v>
      </c>
      <c r="X151" s="17"/>
      <c r="Y151" s="17"/>
      <c r="Z151" s="17"/>
      <c r="AA151" s="18"/>
      <c r="AB151" s="13"/>
      <c r="AC151" s="13"/>
      <c r="AD151" s="13"/>
      <c r="AE151" s="13"/>
      <c r="AF151" s="13"/>
      <c r="AG151" s="13"/>
      <c r="AH151" s="13"/>
      <c r="AI151" s="19"/>
      <c r="AJ151" s="14"/>
      <c r="AK151" s="13"/>
      <c r="AL151" s="13"/>
      <c r="AM151" s="13"/>
      <c r="AN151" s="13"/>
      <c r="AO151" s="13"/>
      <c r="AP151" s="20"/>
      <c r="AQ151" s="13">
        <f t="shared" si="42"/>
        <v>0</v>
      </c>
      <c r="AR151" s="92">
        <f t="shared" si="45"/>
        <v>0</v>
      </c>
      <c r="AS151" s="21">
        <f t="shared" si="44"/>
        <v>0</v>
      </c>
      <c r="AT151" s="22"/>
      <c r="AU151" s="13"/>
      <c r="AV151" s="13"/>
      <c r="AW151" s="13"/>
      <c r="AX151" s="13"/>
      <c r="AY151" s="13"/>
      <c r="AZ151" s="13"/>
    </row>
    <row r="152" spans="1:52" ht="12.75">
      <c r="A152" s="12">
        <v>44817</v>
      </c>
      <c r="B152" s="13"/>
      <c r="C152" s="13" t="s">
        <v>146</v>
      </c>
      <c r="D152" s="17"/>
      <c r="E152" s="13"/>
      <c r="F152" s="14" t="s">
        <v>8622</v>
      </c>
      <c r="G152" s="13"/>
      <c r="H152" s="13"/>
      <c r="I152" s="13"/>
      <c r="J152" s="14"/>
      <c r="K152" s="14"/>
      <c r="L152" s="13">
        <v>1</v>
      </c>
      <c r="M152" s="13"/>
      <c r="N152" s="13">
        <v>2</v>
      </c>
      <c r="O152" s="14" t="s">
        <v>95</v>
      </c>
      <c r="P152" s="14" t="s">
        <v>137</v>
      </c>
      <c r="Q152" s="14" t="s">
        <v>684</v>
      </c>
      <c r="R152" s="14">
        <v>16</v>
      </c>
      <c r="S152" s="14">
        <v>10</v>
      </c>
      <c r="T152" s="14">
        <v>4</v>
      </c>
      <c r="U152" s="14" t="s">
        <v>22</v>
      </c>
      <c r="V152" s="14">
        <f t="shared" si="40"/>
        <v>0.01</v>
      </c>
      <c r="W152" s="14">
        <f t="shared" si="41"/>
        <v>1664.9999999999998</v>
      </c>
      <c r="X152" s="17" t="s">
        <v>8623</v>
      </c>
      <c r="Y152" s="17" t="s">
        <v>8624</v>
      </c>
      <c r="Z152" s="17"/>
      <c r="AA152" s="18">
        <v>96.143000000000001</v>
      </c>
      <c r="AB152" s="13" t="s">
        <v>8625</v>
      </c>
      <c r="AC152" s="13" t="s">
        <v>8626</v>
      </c>
      <c r="AD152" s="13" t="s">
        <v>8627</v>
      </c>
      <c r="AE152" s="13">
        <v>96.19</v>
      </c>
      <c r="AF152" s="13" t="s">
        <v>8628</v>
      </c>
      <c r="AG152" s="13"/>
      <c r="AH152" s="13"/>
      <c r="AI152" s="19"/>
      <c r="AJ152" s="14"/>
      <c r="AK152" s="13"/>
      <c r="AL152" s="13"/>
      <c r="AM152" s="13" t="s">
        <v>8479</v>
      </c>
      <c r="AN152" s="13" t="s">
        <v>115</v>
      </c>
      <c r="AO152" s="13"/>
      <c r="AP152" s="20">
        <v>96</v>
      </c>
      <c r="AQ152" s="20">
        <f t="shared" si="42"/>
        <v>-0.14300000000000068</v>
      </c>
      <c r="AR152" s="110">
        <f t="shared" si="45"/>
        <v>-3809.5200000000177</v>
      </c>
      <c r="AS152" s="21">
        <f t="shared" si="44"/>
        <v>-238.09500000000111</v>
      </c>
      <c r="AT152" s="22" t="s">
        <v>229</v>
      </c>
      <c r="AU152" s="13" t="s">
        <v>8629</v>
      </c>
      <c r="AV152" s="13" t="s">
        <v>8630</v>
      </c>
      <c r="AW152" s="17" t="s">
        <v>8631</v>
      </c>
      <c r="AX152" s="13" t="s">
        <v>8632</v>
      </c>
      <c r="AY152" s="17" t="s">
        <v>8633</v>
      </c>
      <c r="AZ152" s="13" t="s">
        <v>8634</v>
      </c>
    </row>
    <row r="153" spans="1:52" ht="12.75">
      <c r="A153" s="12"/>
      <c r="B153" s="13"/>
      <c r="C153" s="13"/>
      <c r="D153" s="17"/>
      <c r="E153" s="13"/>
      <c r="F153" s="14"/>
      <c r="G153" s="13"/>
      <c r="H153" s="13"/>
      <c r="I153" s="13"/>
      <c r="J153" s="14"/>
      <c r="K153" s="14"/>
      <c r="L153" s="13"/>
      <c r="M153" s="13"/>
      <c r="N153" s="13"/>
      <c r="O153" s="14"/>
      <c r="P153" s="14"/>
      <c r="Q153" s="14"/>
      <c r="R153" s="14"/>
      <c r="S153" s="14"/>
      <c r="T153" s="14"/>
      <c r="U153" s="14"/>
      <c r="V153" s="14"/>
      <c r="W153" s="14"/>
      <c r="X153" s="17"/>
      <c r="Y153" s="17"/>
      <c r="Z153" s="17"/>
      <c r="AA153" s="18"/>
      <c r="AB153" s="13"/>
      <c r="AC153" s="13"/>
      <c r="AD153" s="13"/>
      <c r="AE153" s="13"/>
      <c r="AF153" s="13"/>
      <c r="AG153" s="13"/>
      <c r="AH153" s="13"/>
      <c r="AI153" s="19"/>
      <c r="AJ153" s="14"/>
      <c r="AK153" s="13"/>
      <c r="AL153" s="13"/>
      <c r="AM153" s="13"/>
      <c r="AN153" s="13"/>
      <c r="AO153" s="13"/>
      <c r="AP153" s="20"/>
      <c r="AQ153" s="13"/>
      <c r="AR153" s="92"/>
      <c r="AS153" s="21"/>
      <c r="AT153" s="22"/>
      <c r="AU153" s="13" t="s">
        <v>8635</v>
      </c>
      <c r="AV153" s="13" t="s">
        <v>8636</v>
      </c>
      <c r="AW153" s="17" t="s">
        <v>8637</v>
      </c>
      <c r="AX153" s="17" t="s">
        <v>8638</v>
      </c>
      <c r="AY153" s="17"/>
      <c r="AZ153" s="13"/>
    </row>
    <row r="154" spans="1:52" ht="12.75">
      <c r="A154" s="12"/>
      <c r="B154" s="13"/>
      <c r="C154" s="13"/>
      <c r="D154" s="17"/>
      <c r="E154" s="13"/>
      <c r="F154" s="14"/>
      <c r="G154" s="13"/>
      <c r="H154" s="13"/>
      <c r="I154" s="13"/>
      <c r="J154" s="14"/>
      <c r="K154" s="14"/>
      <c r="L154" s="13"/>
      <c r="M154" s="13"/>
      <c r="N154" s="13"/>
      <c r="O154" s="14"/>
      <c r="P154" s="14"/>
      <c r="Q154" s="14"/>
      <c r="R154" s="14"/>
      <c r="S154" s="14"/>
      <c r="T154" s="14"/>
      <c r="U154" s="14"/>
      <c r="V154" s="14"/>
      <c r="W154" s="14"/>
      <c r="X154" s="17"/>
      <c r="Y154" s="17"/>
      <c r="Z154" s="17"/>
      <c r="AA154" s="18"/>
      <c r="AB154" s="13"/>
      <c r="AC154" s="13"/>
      <c r="AD154" s="13"/>
      <c r="AE154" s="13"/>
      <c r="AF154" s="13"/>
      <c r="AG154" s="13"/>
      <c r="AH154" s="13"/>
      <c r="AI154" s="19"/>
      <c r="AJ154" s="14"/>
      <c r="AK154" s="13"/>
      <c r="AL154" s="13"/>
      <c r="AM154" s="13"/>
      <c r="AN154" s="13"/>
      <c r="AO154" s="13"/>
      <c r="AP154" s="20"/>
      <c r="AQ154" s="13"/>
      <c r="AR154" s="92"/>
      <c r="AS154" s="21"/>
      <c r="AT154" s="22"/>
      <c r="AU154" s="13" t="s">
        <v>8639</v>
      </c>
      <c r="AV154" s="13" t="s">
        <v>8640</v>
      </c>
      <c r="AW154" s="17" t="s">
        <v>8641</v>
      </c>
      <c r="AX154" s="13" t="s">
        <v>8642</v>
      </c>
      <c r="AY154" s="17" t="s">
        <v>8643</v>
      </c>
      <c r="AZ154" s="17" t="s">
        <v>8644</v>
      </c>
    </row>
    <row r="155" spans="1:52" ht="12.75">
      <c r="A155" s="12">
        <v>44818</v>
      </c>
      <c r="B155" s="13" t="s">
        <v>377</v>
      </c>
      <c r="C155" s="13" t="s">
        <v>151</v>
      </c>
      <c r="D155" s="17"/>
      <c r="E155" s="13"/>
      <c r="F155" s="14" t="s">
        <v>136</v>
      </c>
      <c r="G155" s="13"/>
      <c r="H155" s="13"/>
      <c r="I155" s="13"/>
      <c r="J155" s="14"/>
      <c r="K155" s="14"/>
      <c r="L155" s="13">
        <v>1</v>
      </c>
      <c r="M155" s="13"/>
      <c r="N155" s="13"/>
      <c r="O155" s="14" t="s">
        <v>95</v>
      </c>
      <c r="P155" s="14" t="s">
        <v>137</v>
      </c>
      <c r="Q155" s="14"/>
      <c r="R155" s="14">
        <v>1</v>
      </c>
      <c r="S155" s="14">
        <v>1</v>
      </c>
      <c r="T155" s="14">
        <v>1</v>
      </c>
      <c r="U155" s="14" t="s">
        <v>22</v>
      </c>
      <c r="V155" s="14">
        <f t="shared" ref="V155:V181" si="46">IF(ISBLANK(O155),,(IF(O155=UPPER("IB"),0.005,0.01)))</f>
        <v>0.01</v>
      </c>
      <c r="W155" s="14">
        <f t="shared" ref="W155:W181" si="47">IF(ISBLANK(O155),,IF(O155=UPPER("IB"),8.63*200,16.65*100))</f>
        <v>1664.9999999999998</v>
      </c>
      <c r="X155" s="17"/>
      <c r="Y155" s="17"/>
      <c r="Z155" s="17"/>
      <c r="AA155" s="18">
        <v>-0.04</v>
      </c>
      <c r="AB155" s="13"/>
      <c r="AC155" s="13"/>
      <c r="AD155" s="13"/>
      <c r="AE155" s="13"/>
      <c r="AF155" s="13"/>
      <c r="AG155" s="13"/>
      <c r="AH155" s="13"/>
      <c r="AI155" s="19"/>
      <c r="AJ155" s="14"/>
      <c r="AK155" s="13"/>
      <c r="AL155" s="13"/>
      <c r="AM155" s="13"/>
      <c r="AN155" s="13"/>
      <c r="AO155" s="13"/>
      <c r="AP155" s="20">
        <v>-0.04</v>
      </c>
      <c r="AQ155" s="20">
        <f t="shared" ref="AQ155:AQ171" si="48">IF(ISBLANK(AP155),,IF(U155="S",AA155-AP155,AP155-AA155))</f>
        <v>0</v>
      </c>
      <c r="AR155" s="92">
        <f t="shared" ref="AR155:AR171" si="49">AS155*R155</f>
        <v>0</v>
      </c>
      <c r="AS155" s="21">
        <f t="shared" ref="AS155:AS171" si="50">IF(ISBLANK(AP155),,(AQ155*W155))</f>
        <v>0</v>
      </c>
      <c r="AT155" s="22" t="s">
        <v>115</v>
      </c>
      <c r="AU155" s="13" t="s">
        <v>8645</v>
      </c>
      <c r="AV155" s="13"/>
      <c r="AW155" s="13"/>
      <c r="AX155" s="13"/>
      <c r="AY155" s="13"/>
      <c r="AZ155" s="13"/>
    </row>
    <row r="156" spans="1:52" ht="12.75">
      <c r="A156" s="12">
        <v>44818</v>
      </c>
      <c r="B156" s="13" t="s">
        <v>8646</v>
      </c>
      <c r="C156" s="13" t="s">
        <v>151</v>
      </c>
      <c r="D156" s="17"/>
      <c r="E156" s="13"/>
      <c r="F156" s="14" t="s">
        <v>136</v>
      </c>
      <c r="G156" s="13"/>
      <c r="H156" s="13"/>
      <c r="I156" s="13"/>
      <c r="J156" s="14"/>
      <c r="K156" s="14"/>
      <c r="L156" s="13">
        <v>1</v>
      </c>
      <c r="M156" s="13"/>
      <c r="N156" s="13"/>
      <c r="O156" s="14" t="s">
        <v>95</v>
      </c>
      <c r="P156" s="14" t="s">
        <v>137</v>
      </c>
      <c r="Q156" s="14"/>
      <c r="R156" s="14">
        <v>1</v>
      </c>
      <c r="S156" s="14">
        <v>1</v>
      </c>
      <c r="T156" s="14">
        <v>1</v>
      </c>
      <c r="U156" s="14" t="s">
        <v>22</v>
      </c>
      <c r="V156" s="14">
        <f t="shared" si="46"/>
        <v>0.01</v>
      </c>
      <c r="W156" s="14">
        <f t="shared" si="47"/>
        <v>1664.9999999999998</v>
      </c>
      <c r="X156" s="17"/>
      <c r="Y156" s="17"/>
      <c r="Z156" s="17"/>
      <c r="AA156" s="18"/>
      <c r="AB156" s="13"/>
      <c r="AC156" s="13"/>
      <c r="AD156" s="13"/>
      <c r="AE156" s="13"/>
      <c r="AF156" s="13"/>
      <c r="AG156" s="13"/>
      <c r="AH156" s="13"/>
      <c r="AI156" s="19"/>
      <c r="AJ156" s="14"/>
      <c r="AK156" s="13"/>
      <c r="AL156" s="13"/>
      <c r="AM156" s="13"/>
      <c r="AN156" s="13"/>
      <c r="AO156" s="13"/>
      <c r="AP156" s="20"/>
      <c r="AQ156" s="13">
        <f t="shared" si="48"/>
        <v>0</v>
      </c>
      <c r="AR156" s="92">
        <f t="shared" si="49"/>
        <v>0</v>
      </c>
      <c r="AS156" s="21">
        <f t="shared" si="50"/>
        <v>0</v>
      </c>
      <c r="AT156" s="22"/>
      <c r="AU156" s="13"/>
      <c r="AV156" s="13"/>
      <c r="AW156" s="13"/>
      <c r="AX156" s="13"/>
      <c r="AY156" s="13"/>
      <c r="AZ156" s="13"/>
    </row>
    <row r="157" spans="1:52" ht="12.75">
      <c r="A157" s="12">
        <v>44818</v>
      </c>
      <c r="B157" s="13"/>
      <c r="C157" s="13" t="s">
        <v>151</v>
      </c>
      <c r="D157" s="17"/>
      <c r="E157" s="13"/>
      <c r="F157" s="14" t="s">
        <v>8647</v>
      </c>
      <c r="G157" s="13"/>
      <c r="H157" s="13"/>
      <c r="I157" s="13"/>
      <c r="J157" s="14"/>
      <c r="K157" s="14"/>
      <c r="L157" s="13"/>
      <c r="M157" s="13"/>
      <c r="N157" s="13"/>
      <c r="O157" s="14" t="s">
        <v>95</v>
      </c>
      <c r="P157" s="14" t="s">
        <v>137</v>
      </c>
      <c r="Q157" s="14" t="s">
        <v>97</v>
      </c>
      <c r="R157" s="14">
        <v>1</v>
      </c>
      <c r="S157" s="14">
        <v>1</v>
      </c>
      <c r="T157" s="14">
        <v>1</v>
      </c>
      <c r="U157" s="14" t="s">
        <v>97</v>
      </c>
      <c r="V157" s="14">
        <f t="shared" si="46"/>
        <v>0.01</v>
      </c>
      <c r="W157" s="14">
        <f t="shared" si="47"/>
        <v>1664.9999999999998</v>
      </c>
      <c r="X157" s="17"/>
      <c r="Y157" s="17"/>
      <c r="Z157" s="17"/>
      <c r="AA157" s="18">
        <v>96.22</v>
      </c>
      <c r="AB157" s="13"/>
      <c r="AC157" s="13"/>
      <c r="AD157" s="13"/>
      <c r="AE157" s="13"/>
      <c r="AF157" s="13"/>
      <c r="AG157" s="13"/>
      <c r="AH157" s="13"/>
      <c r="AI157" s="19"/>
      <c r="AJ157" s="14"/>
      <c r="AK157" s="13"/>
      <c r="AL157" s="13"/>
      <c r="AM157" s="13"/>
      <c r="AN157" s="13"/>
      <c r="AO157" s="13"/>
      <c r="AP157" s="20">
        <v>96.24</v>
      </c>
      <c r="AQ157" s="20">
        <f t="shared" si="48"/>
        <v>-1.9999999999996021E-2</v>
      </c>
      <c r="AR157" s="92">
        <f t="shared" si="49"/>
        <v>-33.299999999993368</v>
      </c>
      <c r="AS157" s="21">
        <f t="shared" si="50"/>
        <v>-33.299999999993368</v>
      </c>
      <c r="AT157" s="22" t="s">
        <v>229</v>
      </c>
      <c r="AU157" s="13" t="s">
        <v>8516</v>
      </c>
      <c r="AV157" s="13"/>
      <c r="AW157" s="13"/>
      <c r="AX157" s="13"/>
      <c r="AY157" s="13"/>
      <c r="AZ157" s="13"/>
    </row>
    <row r="158" spans="1:52" ht="12.75">
      <c r="A158" s="12">
        <v>44818</v>
      </c>
      <c r="B158" s="13"/>
      <c r="C158" s="13" t="s">
        <v>151</v>
      </c>
      <c r="D158" s="17" t="s">
        <v>8648</v>
      </c>
      <c r="E158" s="13" t="s">
        <v>8649</v>
      </c>
      <c r="F158" s="14"/>
      <c r="G158" s="13">
        <v>1</v>
      </c>
      <c r="H158" s="13"/>
      <c r="I158" s="13"/>
      <c r="J158" s="14"/>
      <c r="K158" s="14"/>
      <c r="L158" s="13"/>
      <c r="M158" s="13"/>
      <c r="N158" s="13"/>
      <c r="O158" s="14"/>
      <c r="P158" s="14"/>
      <c r="Q158" s="14"/>
      <c r="R158" s="14"/>
      <c r="S158" s="14"/>
      <c r="T158" s="14"/>
      <c r="U158" s="14"/>
      <c r="V158" s="14">
        <f t="shared" si="46"/>
        <v>0</v>
      </c>
      <c r="W158" s="14">
        <f t="shared" si="47"/>
        <v>0</v>
      </c>
      <c r="X158" s="17"/>
      <c r="Y158" s="17"/>
      <c r="Z158" s="17"/>
      <c r="AA158" s="18"/>
      <c r="AB158" s="13"/>
      <c r="AC158" s="13"/>
      <c r="AD158" s="13"/>
      <c r="AE158" s="13"/>
      <c r="AF158" s="13"/>
      <c r="AG158" s="13"/>
      <c r="AH158" s="13"/>
      <c r="AI158" s="19"/>
      <c r="AJ158" s="14"/>
      <c r="AK158" s="13"/>
      <c r="AL158" s="13"/>
      <c r="AM158" s="13"/>
      <c r="AN158" s="13"/>
      <c r="AO158" s="13"/>
      <c r="AP158" s="20"/>
      <c r="AQ158" s="13">
        <f t="shared" si="48"/>
        <v>0</v>
      </c>
      <c r="AR158" s="92">
        <f t="shared" si="49"/>
        <v>0</v>
      </c>
      <c r="AS158" s="21">
        <f t="shared" si="50"/>
        <v>0</v>
      </c>
      <c r="AT158" s="22"/>
      <c r="AU158" s="13"/>
      <c r="AV158" s="13"/>
      <c r="AW158" s="13"/>
      <c r="AX158" s="13"/>
      <c r="AY158" s="13"/>
      <c r="AZ158" s="13"/>
    </row>
    <row r="159" spans="1:52" ht="12.75">
      <c r="A159" s="12">
        <v>44818</v>
      </c>
      <c r="B159" s="13" t="s">
        <v>8650</v>
      </c>
      <c r="C159" s="13" t="s">
        <v>151</v>
      </c>
      <c r="D159" s="17" t="s">
        <v>8651</v>
      </c>
      <c r="E159" s="13" t="s">
        <v>8652</v>
      </c>
      <c r="F159" s="14"/>
      <c r="G159" s="13"/>
      <c r="H159" s="13">
        <v>1</v>
      </c>
      <c r="I159" s="13"/>
      <c r="J159" s="14"/>
      <c r="K159" s="14"/>
      <c r="L159" s="13"/>
      <c r="M159" s="13"/>
      <c r="N159" s="13"/>
      <c r="O159" s="14"/>
      <c r="P159" s="14"/>
      <c r="Q159" s="14"/>
      <c r="R159" s="14"/>
      <c r="S159" s="14"/>
      <c r="T159" s="14"/>
      <c r="U159" s="14"/>
      <c r="V159" s="14">
        <f t="shared" si="46"/>
        <v>0</v>
      </c>
      <c r="W159" s="14">
        <f t="shared" si="47"/>
        <v>0</v>
      </c>
      <c r="X159" s="17"/>
      <c r="Y159" s="17"/>
      <c r="Z159" s="17"/>
      <c r="AA159" s="18"/>
      <c r="AB159" s="13"/>
      <c r="AC159" s="13"/>
      <c r="AD159" s="13"/>
      <c r="AE159" s="13"/>
      <c r="AF159" s="13"/>
      <c r="AG159" s="13"/>
      <c r="AH159" s="13"/>
      <c r="AI159" s="19"/>
      <c r="AJ159" s="14"/>
      <c r="AK159" s="13"/>
      <c r="AL159" s="13"/>
      <c r="AM159" s="13"/>
      <c r="AN159" s="13"/>
      <c r="AO159" s="13"/>
      <c r="AP159" s="20"/>
      <c r="AQ159" s="13">
        <f t="shared" si="48"/>
        <v>0</v>
      </c>
      <c r="AR159" s="92">
        <f t="shared" si="49"/>
        <v>0</v>
      </c>
      <c r="AS159" s="21">
        <f t="shared" si="50"/>
        <v>0</v>
      </c>
      <c r="AT159" s="22"/>
      <c r="AU159" s="17" t="s">
        <v>8653</v>
      </c>
      <c r="AV159" s="13" t="s">
        <v>8654</v>
      </c>
      <c r="AW159" s="13" t="s">
        <v>8655</v>
      </c>
      <c r="AX159" s="13"/>
      <c r="AY159" s="13"/>
      <c r="AZ159" s="13"/>
    </row>
    <row r="160" spans="1:52" ht="12.75">
      <c r="A160" s="12">
        <v>44819</v>
      </c>
      <c r="B160" s="13"/>
      <c r="C160" s="13" t="s">
        <v>93</v>
      </c>
      <c r="D160" s="17" t="s">
        <v>8656</v>
      </c>
      <c r="E160" s="111" t="s">
        <v>8657</v>
      </c>
      <c r="G160" s="13"/>
      <c r="H160" s="13"/>
      <c r="I160" s="13">
        <v>1</v>
      </c>
      <c r="J160" s="14"/>
      <c r="K160" s="14"/>
      <c r="L160" s="13"/>
      <c r="M160" s="13"/>
      <c r="N160" s="13"/>
      <c r="O160" s="14"/>
      <c r="P160" s="14"/>
      <c r="Q160" s="14"/>
      <c r="R160" s="14"/>
      <c r="S160" s="14"/>
      <c r="T160" s="14"/>
      <c r="U160" s="14"/>
      <c r="V160" s="14">
        <f t="shared" si="46"/>
        <v>0</v>
      </c>
      <c r="W160" s="14">
        <f t="shared" si="47"/>
        <v>0</v>
      </c>
      <c r="X160" s="17"/>
      <c r="Y160" s="17"/>
      <c r="Z160" s="17"/>
      <c r="AA160" s="18"/>
      <c r="AB160" s="13"/>
      <c r="AC160" s="13"/>
      <c r="AD160" s="13"/>
      <c r="AE160" s="13"/>
      <c r="AF160" s="13"/>
      <c r="AG160" s="13"/>
      <c r="AH160" s="13"/>
      <c r="AI160" s="19"/>
      <c r="AJ160" s="14"/>
      <c r="AK160" s="13"/>
      <c r="AL160" s="13"/>
      <c r="AM160" s="13"/>
      <c r="AN160" s="13"/>
      <c r="AO160" s="13"/>
      <c r="AP160" s="20"/>
      <c r="AQ160" s="13">
        <f t="shared" si="48"/>
        <v>0</v>
      </c>
      <c r="AR160" s="92">
        <f t="shared" si="49"/>
        <v>0</v>
      </c>
      <c r="AS160" s="21">
        <f t="shared" si="50"/>
        <v>0</v>
      </c>
      <c r="AT160" s="22"/>
      <c r="AU160" s="13"/>
      <c r="AV160" s="13"/>
      <c r="AW160" s="13"/>
      <c r="AX160" s="13"/>
      <c r="AY160" s="13"/>
      <c r="AZ160" s="13"/>
    </row>
    <row r="161" spans="1:52" ht="12.75">
      <c r="A161" s="12">
        <v>44819</v>
      </c>
      <c r="B161" s="13"/>
      <c r="C161" s="13" t="s">
        <v>93</v>
      </c>
      <c r="D161" s="17" t="s">
        <v>8658</v>
      </c>
      <c r="E161" s="13"/>
      <c r="F161" s="14"/>
      <c r="G161" s="13">
        <v>1</v>
      </c>
      <c r="H161" s="13"/>
      <c r="I161" s="13"/>
      <c r="J161" s="14"/>
      <c r="K161" s="14"/>
      <c r="L161" s="13"/>
      <c r="M161" s="13"/>
      <c r="N161" s="13"/>
      <c r="O161" s="14"/>
      <c r="P161" s="14"/>
      <c r="Q161" s="14"/>
      <c r="R161" s="14"/>
      <c r="S161" s="14"/>
      <c r="T161" s="14"/>
      <c r="U161" s="14"/>
      <c r="V161" s="14">
        <f t="shared" si="46"/>
        <v>0</v>
      </c>
      <c r="W161" s="14">
        <f t="shared" si="47"/>
        <v>0</v>
      </c>
      <c r="X161" s="17"/>
      <c r="Y161" s="17"/>
      <c r="Z161" s="17"/>
      <c r="AA161" s="18"/>
      <c r="AB161" s="13"/>
      <c r="AC161" s="13"/>
      <c r="AD161" s="13"/>
      <c r="AE161" s="13"/>
      <c r="AF161" s="13"/>
      <c r="AG161" s="13"/>
      <c r="AH161" s="13"/>
      <c r="AI161" s="19"/>
      <c r="AJ161" s="14"/>
      <c r="AK161" s="13"/>
      <c r="AL161" s="13"/>
      <c r="AM161" s="13"/>
      <c r="AN161" s="13"/>
      <c r="AO161" s="13"/>
      <c r="AP161" s="20"/>
      <c r="AQ161" s="13">
        <f t="shared" si="48"/>
        <v>0</v>
      </c>
      <c r="AR161" s="92">
        <f t="shared" si="49"/>
        <v>0</v>
      </c>
      <c r="AS161" s="21">
        <f t="shared" si="50"/>
        <v>0</v>
      </c>
      <c r="AT161" s="22"/>
      <c r="AU161" s="13"/>
      <c r="AV161" s="13"/>
      <c r="AW161" s="13"/>
      <c r="AX161" s="13"/>
      <c r="AY161" s="13"/>
      <c r="AZ161" s="13"/>
    </row>
    <row r="162" spans="1:52" ht="12.75">
      <c r="A162" s="12">
        <v>44819</v>
      </c>
      <c r="B162" s="13"/>
      <c r="C162" s="13" t="s">
        <v>93</v>
      </c>
      <c r="D162" s="17"/>
      <c r="E162" s="13"/>
      <c r="F162" s="14" t="s">
        <v>8659</v>
      </c>
      <c r="G162" s="13"/>
      <c r="H162" s="13"/>
      <c r="I162" s="13"/>
      <c r="J162" s="14"/>
      <c r="K162" s="14"/>
      <c r="L162" s="13"/>
      <c r="M162" s="13">
        <v>2</v>
      </c>
      <c r="N162" s="13"/>
      <c r="O162" s="14" t="s">
        <v>1057</v>
      </c>
      <c r="P162" s="14"/>
      <c r="Q162" s="14" t="s">
        <v>684</v>
      </c>
      <c r="R162" s="14">
        <v>4</v>
      </c>
      <c r="S162" s="14">
        <v>4</v>
      </c>
      <c r="T162" s="14">
        <v>2</v>
      </c>
      <c r="U162" s="14" t="s">
        <v>22</v>
      </c>
      <c r="V162" s="14">
        <f t="shared" si="46"/>
        <v>5.0000000000000001E-3</v>
      </c>
      <c r="W162" s="14">
        <f t="shared" si="47"/>
        <v>1726.0000000000002</v>
      </c>
      <c r="X162" s="17"/>
      <c r="Y162" s="17" t="s">
        <v>8660</v>
      </c>
      <c r="Z162" s="17"/>
      <c r="AA162" s="18">
        <v>97.343000000000004</v>
      </c>
      <c r="AB162" s="13" t="s">
        <v>8661</v>
      </c>
      <c r="AC162" s="29">
        <v>97.3</v>
      </c>
      <c r="AD162" s="13"/>
      <c r="AE162" s="13" t="s">
        <v>8662</v>
      </c>
      <c r="AF162" s="13"/>
      <c r="AG162" s="13"/>
      <c r="AH162" s="13">
        <v>1</v>
      </c>
      <c r="AI162" s="19"/>
      <c r="AJ162" s="14"/>
      <c r="AK162" s="13" t="s">
        <v>8205</v>
      </c>
      <c r="AL162" s="13" t="s">
        <v>682</v>
      </c>
      <c r="AM162" s="13" t="s">
        <v>770</v>
      </c>
      <c r="AN162" s="13" t="s">
        <v>115</v>
      </c>
      <c r="AO162" s="13" t="s">
        <v>8663</v>
      </c>
      <c r="AP162" s="20">
        <v>97.317999999999998</v>
      </c>
      <c r="AQ162" s="20">
        <f t="shared" si="48"/>
        <v>-2.5000000000005684E-2</v>
      </c>
      <c r="AR162" s="92">
        <f t="shared" si="49"/>
        <v>-172.60000000003927</v>
      </c>
      <c r="AS162" s="21">
        <f t="shared" si="50"/>
        <v>-43.150000000009818</v>
      </c>
      <c r="AT162" s="22" t="s">
        <v>229</v>
      </c>
      <c r="AU162" s="13" t="s">
        <v>8664</v>
      </c>
      <c r="AV162" s="13" t="s">
        <v>8665</v>
      </c>
      <c r="AW162" s="13" t="s">
        <v>8666</v>
      </c>
      <c r="AX162" s="13"/>
      <c r="AY162" s="13"/>
      <c r="AZ162" s="13"/>
    </row>
    <row r="163" spans="1:52" ht="12.75">
      <c r="A163" s="12">
        <v>44819</v>
      </c>
      <c r="B163" s="13"/>
      <c r="C163" s="13" t="s">
        <v>93</v>
      </c>
      <c r="D163" s="17"/>
      <c r="E163" s="13"/>
      <c r="F163" s="14"/>
      <c r="G163" s="13"/>
      <c r="H163" s="13"/>
      <c r="I163" s="13"/>
      <c r="J163" s="14"/>
      <c r="K163" s="14"/>
      <c r="L163" s="13"/>
      <c r="M163" s="13"/>
      <c r="N163" s="13"/>
      <c r="O163" s="14"/>
      <c r="P163" s="14"/>
      <c r="Q163" s="14"/>
      <c r="R163" s="14"/>
      <c r="S163" s="14"/>
      <c r="T163" s="14"/>
      <c r="U163" s="14"/>
      <c r="V163" s="14">
        <f t="shared" si="46"/>
        <v>0</v>
      </c>
      <c r="W163" s="14">
        <f t="shared" si="47"/>
        <v>0</v>
      </c>
      <c r="X163" s="17"/>
      <c r="Y163" s="17"/>
      <c r="Z163" s="17"/>
      <c r="AA163" s="18"/>
      <c r="AB163" s="13"/>
      <c r="AC163" s="13"/>
      <c r="AD163" s="13"/>
      <c r="AE163" s="13"/>
      <c r="AF163" s="13"/>
      <c r="AG163" s="13"/>
      <c r="AH163" s="13"/>
      <c r="AI163" s="19"/>
      <c r="AJ163" s="14"/>
      <c r="AK163" s="13"/>
      <c r="AL163" s="13"/>
      <c r="AM163" s="13"/>
      <c r="AN163" s="13"/>
      <c r="AO163" s="13"/>
      <c r="AP163" s="20"/>
      <c r="AQ163" s="13">
        <f t="shared" si="48"/>
        <v>0</v>
      </c>
      <c r="AR163" s="92">
        <f t="shared" si="49"/>
        <v>0</v>
      </c>
      <c r="AS163" s="21">
        <f t="shared" si="50"/>
        <v>0</v>
      </c>
      <c r="AT163" s="22"/>
      <c r="AU163" s="13" t="s">
        <v>8667</v>
      </c>
      <c r="AV163" s="13" t="s">
        <v>8668</v>
      </c>
      <c r="AW163" s="13" t="s">
        <v>8669</v>
      </c>
      <c r="AX163" s="13" t="s">
        <v>8670</v>
      </c>
      <c r="AY163" s="17" t="s">
        <v>8671</v>
      </c>
      <c r="AZ163" s="13"/>
    </row>
    <row r="164" spans="1:52" ht="12.75">
      <c r="A164" s="12">
        <v>44819</v>
      </c>
      <c r="B164" s="33">
        <v>0.75</v>
      </c>
      <c r="C164" s="13" t="s">
        <v>93</v>
      </c>
      <c r="D164" s="17" t="s">
        <v>8672</v>
      </c>
      <c r="E164" s="13" t="s">
        <v>8673</v>
      </c>
      <c r="F164" s="14"/>
      <c r="G164" s="13"/>
      <c r="H164" s="13"/>
      <c r="I164" s="13">
        <v>1</v>
      </c>
      <c r="J164" s="14"/>
      <c r="K164" s="14"/>
      <c r="L164" s="13"/>
      <c r="M164" s="13"/>
      <c r="N164" s="13"/>
      <c r="O164" s="14"/>
      <c r="P164" s="14"/>
      <c r="Q164" s="14"/>
      <c r="R164" s="14"/>
      <c r="S164" s="14"/>
      <c r="T164" s="14"/>
      <c r="U164" s="14"/>
      <c r="V164" s="14">
        <f t="shared" si="46"/>
        <v>0</v>
      </c>
      <c r="W164" s="14">
        <f t="shared" si="47"/>
        <v>0</v>
      </c>
      <c r="X164" s="17"/>
      <c r="Y164" s="17"/>
      <c r="Z164" s="17"/>
      <c r="AA164" s="18"/>
      <c r="AB164" s="13"/>
      <c r="AC164" s="13"/>
      <c r="AD164" s="13"/>
      <c r="AE164" s="13"/>
      <c r="AF164" s="13"/>
      <c r="AG164" s="13"/>
      <c r="AH164" s="13"/>
      <c r="AI164" s="19"/>
      <c r="AJ164" s="14"/>
      <c r="AK164" s="13"/>
      <c r="AL164" s="13"/>
      <c r="AM164" s="13"/>
      <c r="AN164" s="13"/>
      <c r="AO164" s="13"/>
      <c r="AP164" s="20"/>
      <c r="AQ164" s="13">
        <f t="shared" si="48"/>
        <v>0</v>
      </c>
      <c r="AR164" s="92">
        <f t="shared" si="49"/>
        <v>0</v>
      </c>
      <c r="AS164" s="21">
        <f t="shared" si="50"/>
        <v>0</v>
      </c>
      <c r="AT164" s="22"/>
      <c r="AU164" s="13"/>
      <c r="AV164" s="13"/>
      <c r="AW164" s="13"/>
      <c r="AX164" s="13"/>
      <c r="AY164" s="13"/>
      <c r="AZ164" s="13"/>
    </row>
    <row r="165" spans="1:52" ht="12.75">
      <c r="A165" s="12">
        <v>44819</v>
      </c>
      <c r="B165" s="33">
        <v>0.75</v>
      </c>
      <c r="C165" s="13" t="s">
        <v>93</v>
      </c>
      <c r="D165" s="17" t="s">
        <v>8674</v>
      </c>
      <c r="E165" s="13"/>
      <c r="F165" s="14"/>
      <c r="G165" s="13"/>
      <c r="H165" s="13"/>
      <c r="I165" s="13">
        <v>1</v>
      </c>
      <c r="J165" s="14"/>
      <c r="K165" s="14"/>
      <c r="L165" s="13"/>
      <c r="M165" s="13"/>
      <c r="N165" s="13"/>
      <c r="O165" s="14"/>
      <c r="P165" s="14"/>
      <c r="Q165" s="14"/>
      <c r="R165" s="14"/>
      <c r="S165" s="14"/>
      <c r="T165" s="14"/>
      <c r="U165" s="14"/>
      <c r="V165" s="14">
        <f t="shared" si="46"/>
        <v>0</v>
      </c>
      <c r="W165" s="14">
        <f t="shared" si="47"/>
        <v>0</v>
      </c>
      <c r="X165" s="17"/>
      <c r="Y165" s="17"/>
      <c r="Z165" s="17"/>
      <c r="AA165" s="18"/>
      <c r="AB165" s="13"/>
      <c r="AC165" s="13"/>
      <c r="AD165" s="13"/>
      <c r="AE165" s="13"/>
      <c r="AF165" s="13"/>
      <c r="AG165" s="13"/>
      <c r="AH165" s="13"/>
      <c r="AI165" s="19"/>
      <c r="AJ165" s="14"/>
      <c r="AK165" s="13"/>
      <c r="AL165" s="13"/>
      <c r="AM165" s="13"/>
      <c r="AN165" s="13"/>
      <c r="AO165" s="13"/>
      <c r="AP165" s="20"/>
      <c r="AQ165" s="13">
        <f t="shared" si="48"/>
        <v>0</v>
      </c>
      <c r="AR165" s="92">
        <f t="shared" si="49"/>
        <v>0</v>
      </c>
      <c r="AS165" s="21">
        <f t="shared" si="50"/>
        <v>0</v>
      </c>
      <c r="AT165" s="22"/>
      <c r="AU165" s="13"/>
      <c r="AV165" s="13"/>
      <c r="AW165" s="13"/>
      <c r="AX165" s="13"/>
      <c r="AY165" s="13"/>
      <c r="AZ165" s="13"/>
    </row>
    <row r="166" spans="1:52" ht="12.75">
      <c r="A166" s="12">
        <v>44819</v>
      </c>
      <c r="B166" s="33">
        <v>0.75</v>
      </c>
      <c r="C166" s="13" t="s">
        <v>93</v>
      </c>
      <c r="D166" s="17" t="s">
        <v>8675</v>
      </c>
      <c r="E166" s="13"/>
      <c r="F166" s="14"/>
      <c r="G166" s="13">
        <v>1</v>
      </c>
      <c r="H166" s="13"/>
      <c r="I166" s="13"/>
      <c r="J166" s="14"/>
      <c r="K166" s="14"/>
      <c r="L166" s="13"/>
      <c r="M166" s="13"/>
      <c r="N166" s="13"/>
      <c r="O166" s="14"/>
      <c r="P166" s="14"/>
      <c r="Q166" s="14"/>
      <c r="R166" s="14"/>
      <c r="S166" s="14"/>
      <c r="T166" s="14"/>
      <c r="U166" s="14"/>
      <c r="V166" s="14">
        <f t="shared" si="46"/>
        <v>0</v>
      </c>
      <c r="W166" s="14">
        <f t="shared" si="47"/>
        <v>0</v>
      </c>
      <c r="X166" s="17"/>
      <c r="Y166" s="17"/>
      <c r="Z166" s="17"/>
      <c r="AA166" s="18"/>
      <c r="AB166" s="13"/>
      <c r="AC166" s="13"/>
      <c r="AD166" s="13"/>
      <c r="AE166" s="13"/>
      <c r="AF166" s="13"/>
      <c r="AG166" s="13"/>
      <c r="AH166" s="13"/>
      <c r="AI166" s="19"/>
      <c r="AJ166" s="14"/>
      <c r="AK166" s="13"/>
      <c r="AL166" s="13"/>
      <c r="AM166" s="13"/>
      <c r="AN166" s="13"/>
      <c r="AO166" s="13"/>
      <c r="AP166" s="20"/>
      <c r="AQ166" s="13">
        <f t="shared" si="48"/>
        <v>0</v>
      </c>
      <c r="AR166" s="92">
        <f t="shared" si="49"/>
        <v>0</v>
      </c>
      <c r="AS166" s="21">
        <f t="shared" si="50"/>
        <v>0</v>
      </c>
      <c r="AT166" s="22"/>
      <c r="AU166" s="13"/>
      <c r="AV166" s="13"/>
      <c r="AW166" s="13"/>
      <c r="AX166" s="13"/>
      <c r="AY166" s="13"/>
      <c r="AZ166" s="13"/>
    </row>
    <row r="167" spans="1:52" ht="17.25">
      <c r="A167" s="12">
        <v>44820</v>
      </c>
      <c r="B167" s="13" t="s">
        <v>8676</v>
      </c>
      <c r="C167" s="13" t="s">
        <v>111</v>
      </c>
      <c r="D167" s="17" t="s">
        <v>8677</v>
      </c>
      <c r="E167" s="13" t="s">
        <v>8678</v>
      </c>
      <c r="F167" s="14"/>
      <c r="G167" s="13"/>
      <c r="H167" s="13"/>
      <c r="I167" s="13"/>
      <c r="J167" s="14"/>
      <c r="K167" s="14"/>
      <c r="L167" s="13"/>
      <c r="M167" s="13"/>
      <c r="N167" s="13"/>
      <c r="O167" s="14"/>
      <c r="P167" s="14"/>
      <c r="Q167" s="14"/>
      <c r="R167" s="14"/>
      <c r="S167" s="14"/>
      <c r="T167" s="14"/>
      <c r="U167" s="14"/>
      <c r="V167" s="14">
        <f t="shared" si="46"/>
        <v>0</v>
      </c>
      <c r="W167" s="14">
        <f t="shared" si="47"/>
        <v>0</v>
      </c>
      <c r="X167" s="17"/>
      <c r="Y167" s="17"/>
      <c r="Z167" s="17"/>
      <c r="AA167" s="18"/>
      <c r="AB167" s="13"/>
      <c r="AC167" s="13"/>
      <c r="AD167" s="13"/>
      <c r="AE167" s="13"/>
      <c r="AF167" s="13"/>
      <c r="AG167" s="13"/>
      <c r="AH167" s="13"/>
      <c r="AI167" s="19"/>
      <c r="AJ167" s="14"/>
      <c r="AK167" s="13"/>
      <c r="AL167" s="13"/>
      <c r="AM167" s="13"/>
      <c r="AN167" s="13"/>
      <c r="AO167" s="13"/>
      <c r="AP167" s="20"/>
      <c r="AQ167" s="13">
        <f t="shared" si="48"/>
        <v>0</v>
      </c>
      <c r="AR167" s="92">
        <f t="shared" si="49"/>
        <v>0</v>
      </c>
      <c r="AS167" s="21">
        <f t="shared" si="50"/>
        <v>0</v>
      </c>
      <c r="AT167" s="22"/>
      <c r="AU167" s="13" t="s">
        <v>8679</v>
      </c>
      <c r="AV167" s="16" t="s">
        <v>8680</v>
      </c>
      <c r="AX167" s="13"/>
      <c r="AY167" s="13"/>
      <c r="AZ167" s="13"/>
    </row>
    <row r="168" spans="1:52" ht="12.75">
      <c r="A168" s="112"/>
      <c r="B168" s="113"/>
      <c r="C168" s="11"/>
      <c r="D168" s="11"/>
      <c r="E168" s="37" t="s">
        <v>8681</v>
      </c>
      <c r="F168" s="114"/>
      <c r="G168" s="11"/>
      <c r="H168" s="11"/>
      <c r="I168" s="11"/>
      <c r="J168" s="14"/>
      <c r="K168" s="14"/>
      <c r="L168" s="11"/>
      <c r="M168" s="11"/>
      <c r="N168" s="11"/>
      <c r="O168" s="114"/>
      <c r="P168" s="114"/>
      <c r="Q168" s="114"/>
      <c r="R168" s="114"/>
      <c r="S168" s="114"/>
      <c r="T168" s="114"/>
      <c r="U168" s="114"/>
      <c r="V168" s="14">
        <f t="shared" si="46"/>
        <v>0</v>
      </c>
      <c r="W168" s="14">
        <f t="shared" si="47"/>
        <v>0</v>
      </c>
      <c r="X168" s="11"/>
      <c r="Y168" s="11"/>
      <c r="Z168" s="11"/>
      <c r="AA168" s="115"/>
      <c r="AB168" s="11"/>
      <c r="AC168" s="11"/>
      <c r="AD168" s="11"/>
      <c r="AE168" s="11"/>
      <c r="AF168" s="11"/>
      <c r="AG168" s="11"/>
      <c r="AH168" s="11"/>
      <c r="AI168" s="116"/>
      <c r="AJ168" s="114"/>
      <c r="AK168" s="11"/>
      <c r="AL168" s="11"/>
      <c r="AM168" s="11"/>
      <c r="AN168" s="11"/>
      <c r="AO168" s="11"/>
      <c r="AP168" s="115"/>
      <c r="AQ168" s="13">
        <f t="shared" si="48"/>
        <v>0</v>
      </c>
      <c r="AR168" s="92">
        <f t="shared" si="49"/>
        <v>0</v>
      </c>
      <c r="AS168" s="21">
        <f t="shared" si="50"/>
        <v>0</v>
      </c>
      <c r="AT168" s="114"/>
      <c r="AU168" s="117" t="s">
        <v>8682</v>
      </c>
      <c r="AV168" s="117" t="s">
        <v>8683</v>
      </c>
      <c r="AW168" s="117" t="s">
        <v>8684</v>
      </c>
      <c r="AX168" s="117" t="s">
        <v>8685</v>
      </c>
      <c r="AY168" s="117" t="s">
        <v>8686</v>
      </c>
      <c r="AZ168" s="117" t="s">
        <v>8687</v>
      </c>
    </row>
    <row r="169" spans="1:52" ht="12.75">
      <c r="A169" s="12">
        <v>44820</v>
      </c>
      <c r="B169" s="13" t="s">
        <v>8688</v>
      </c>
      <c r="C169" s="13" t="s">
        <v>111</v>
      </c>
      <c r="D169" s="17"/>
      <c r="E169" s="13"/>
      <c r="F169" s="14" t="s">
        <v>8659</v>
      </c>
      <c r="G169" s="13"/>
      <c r="H169" s="13"/>
      <c r="I169" s="13"/>
      <c r="J169" s="14"/>
      <c r="K169" s="14"/>
      <c r="L169" s="13"/>
      <c r="M169" s="13">
        <v>1</v>
      </c>
      <c r="N169" s="13"/>
      <c r="O169" s="14" t="s">
        <v>1057</v>
      </c>
      <c r="P169" s="14"/>
      <c r="Q169" s="14" t="s">
        <v>684</v>
      </c>
      <c r="R169" s="14">
        <v>2</v>
      </c>
      <c r="S169" s="14">
        <v>2</v>
      </c>
      <c r="T169" s="14">
        <v>2</v>
      </c>
      <c r="U169" s="14" t="s">
        <v>97</v>
      </c>
      <c r="V169" s="14">
        <f t="shared" si="46"/>
        <v>5.0000000000000001E-3</v>
      </c>
      <c r="W169" s="14">
        <f t="shared" si="47"/>
        <v>1726.0000000000002</v>
      </c>
      <c r="X169" s="17"/>
      <c r="Y169" s="17" t="s">
        <v>8689</v>
      </c>
      <c r="Z169" s="17"/>
      <c r="AA169" s="18">
        <v>97.33</v>
      </c>
      <c r="AB169" s="13" t="s">
        <v>8690</v>
      </c>
      <c r="AC169" s="13">
        <v>97.344999999999999</v>
      </c>
      <c r="AD169" s="13"/>
      <c r="AE169" s="13">
        <v>97.27</v>
      </c>
      <c r="AF169" s="13" t="s">
        <v>8691</v>
      </c>
      <c r="AG169" s="13"/>
      <c r="AH169" s="13">
        <f>(AE169-AA169)/(AA169-AC169)</f>
        <v>4</v>
      </c>
      <c r="AI169" s="19"/>
      <c r="AJ169" s="14"/>
      <c r="AK169" s="13"/>
      <c r="AL169" s="13"/>
      <c r="AM169" s="13" t="s">
        <v>8692</v>
      </c>
      <c r="AN169" s="13" t="s">
        <v>1259</v>
      </c>
      <c r="AO169" s="13"/>
      <c r="AP169" s="20">
        <v>97.344999999999999</v>
      </c>
      <c r="AQ169" s="20">
        <f t="shared" si="48"/>
        <v>-1.5000000000000568E-2</v>
      </c>
      <c r="AR169" s="92">
        <f t="shared" si="49"/>
        <v>-51.780000000001969</v>
      </c>
      <c r="AS169" s="21">
        <f t="shared" si="50"/>
        <v>-25.890000000000985</v>
      </c>
      <c r="AT169" s="22" t="s">
        <v>229</v>
      </c>
      <c r="AU169" s="13" t="s">
        <v>8693</v>
      </c>
      <c r="AV169" s="13" t="s">
        <v>8694</v>
      </c>
      <c r="AW169" s="13" t="s">
        <v>8695</v>
      </c>
      <c r="AX169" s="13"/>
      <c r="AY169" s="13"/>
      <c r="AZ169" s="13"/>
    </row>
    <row r="170" spans="1:52" ht="12.75">
      <c r="A170" s="12">
        <v>44820</v>
      </c>
      <c r="B170" s="13" t="s">
        <v>8696</v>
      </c>
      <c r="C170" s="13" t="s">
        <v>111</v>
      </c>
      <c r="D170" s="17"/>
      <c r="E170" s="13"/>
      <c r="F170" s="14" t="s">
        <v>5740</v>
      </c>
      <c r="G170" s="13"/>
      <c r="H170" s="13"/>
      <c r="I170" s="13"/>
      <c r="J170" s="14"/>
      <c r="K170" s="14"/>
      <c r="L170" s="13"/>
      <c r="M170" s="13"/>
      <c r="N170" s="13">
        <v>1</v>
      </c>
      <c r="O170" s="14" t="s">
        <v>95</v>
      </c>
      <c r="P170" s="14" t="s">
        <v>137</v>
      </c>
      <c r="Q170" s="14" t="s">
        <v>684</v>
      </c>
      <c r="R170" s="14">
        <v>2</v>
      </c>
      <c r="S170" s="14">
        <v>2</v>
      </c>
      <c r="T170" s="14">
        <v>1</v>
      </c>
      <c r="U170" s="14" t="s">
        <v>97</v>
      </c>
      <c r="V170" s="14">
        <f t="shared" si="46"/>
        <v>0.01</v>
      </c>
      <c r="W170" s="14">
        <f t="shared" si="47"/>
        <v>1664.9999999999998</v>
      </c>
      <c r="X170" s="17" t="s">
        <v>8697</v>
      </c>
      <c r="Y170" s="17"/>
      <c r="Z170" s="17"/>
      <c r="AA170" s="18">
        <v>96.13</v>
      </c>
      <c r="AB170" s="13" t="s">
        <v>8698</v>
      </c>
      <c r="AC170" s="13">
        <v>96.15</v>
      </c>
      <c r="AD170" s="13" t="s">
        <v>8699</v>
      </c>
      <c r="AE170" s="13">
        <v>96.08</v>
      </c>
      <c r="AF170" s="13" t="s">
        <v>8700</v>
      </c>
      <c r="AG170" s="13"/>
      <c r="AH170" s="13">
        <f>5/2</f>
        <v>2.5</v>
      </c>
      <c r="AI170" s="19"/>
      <c r="AJ170" s="14"/>
      <c r="AK170" s="13" t="s">
        <v>8115</v>
      </c>
      <c r="AL170" s="13" t="s">
        <v>8701</v>
      </c>
      <c r="AM170" s="13" t="s">
        <v>8702</v>
      </c>
      <c r="AN170" s="13" t="s">
        <v>372</v>
      </c>
      <c r="AO170" s="13"/>
      <c r="AP170" s="20">
        <v>96.15</v>
      </c>
      <c r="AQ170" s="20">
        <f t="shared" si="48"/>
        <v>-2.0000000000010232E-2</v>
      </c>
      <c r="AR170" s="92">
        <f t="shared" si="49"/>
        <v>-66.600000000034058</v>
      </c>
      <c r="AS170" s="21">
        <f t="shared" si="50"/>
        <v>-33.300000000017029</v>
      </c>
      <c r="AT170" s="22" t="s">
        <v>229</v>
      </c>
      <c r="AU170" s="13" t="s">
        <v>8703</v>
      </c>
      <c r="AV170" s="13" t="s">
        <v>8704</v>
      </c>
      <c r="AW170" s="13"/>
      <c r="AX170" s="13"/>
      <c r="AY170" s="13"/>
      <c r="AZ170" s="13"/>
    </row>
    <row r="171" spans="1:52" ht="12.75">
      <c r="A171" s="12">
        <v>44820</v>
      </c>
      <c r="B171" s="13" t="s">
        <v>8705</v>
      </c>
      <c r="C171" s="13" t="s">
        <v>111</v>
      </c>
      <c r="D171" s="17" t="s">
        <v>8706</v>
      </c>
      <c r="E171" s="13" t="s">
        <v>1628</v>
      </c>
      <c r="F171" s="14"/>
      <c r="G171" s="13"/>
      <c r="H171" s="13">
        <v>1</v>
      </c>
      <c r="I171" s="13"/>
      <c r="J171" s="14"/>
      <c r="K171" s="14"/>
      <c r="L171" s="13"/>
      <c r="M171" s="13"/>
      <c r="N171" s="13"/>
      <c r="O171" s="14"/>
      <c r="P171" s="14"/>
      <c r="Q171" s="14"/>
      <c r="R171" s="14"/>
      <c r="S171" s="14"/>
      <c r="T171" s="14"/>
      <c r="U171" s="14"/>
      <c r="V171" s="14">
        <f t="shared" si="46"/>
        <v>0</v>
      </c>
      <c r="W171" s="14">
        <f t="shared" si="47"/>
        <v>0</v>
      </c>
      <c r="X171" s="17"/>
      <c r="Y171" s="17"/>
      <c r="Z171" s="17"/>
      <c r="AA171" s="18"/>
      <c r="AB171" s="13"/>
      <c r="AC171" s="13"/>
      <c r="AD171" s="13"/>
      <c r="AE171" s="13"/>
      <c r="AF171" s="13"/>
      <c r="AG171" s="13"/>
      <c r="AH171" s="13"/>
      <c r="AI171" s="19"/>
      <c r="AJ171" s="14"/>
      <c r="AK171" s="13"/>
      <c r="AL171" s="13"/>
      <c r="AM171" s="13"/>
      <c r="AN171" s="13"/>
      <c r="AO171" s="13"/>
      <c r="AP171" s="20"/>
      <c r="AQ171" s="13">
        <f t="shared" si="48"/>
        <v>0</v>
      </c>
      <c r="AR171" s="92">
        <f t="shared" si="49"/>
        <v>0</v>
      </c>
      <c r="AS171" s="21">
        <f t="shared" si="50"/>
        <v>0</v>
      </c>
      <c r="AT171" s="22"/>
      <c r="AU171" s="13" t="s">
        <v>529</v>
      </c>
      <c r="AV171" s="13"/>
      <c r="AW171" s="13"/>
      <c r="AX171" s="13"/>
      <c r="AY171" s="13"/>
      <c r="AZ171" s="13"/>
    </row>
    <row r="172" spans="1:52" ht="12.75">
      <c r="A172" s="12">
        <v>44823</v>
      </c>
      <c r="B172" s="13" t="s">
        <v>1951</v>
      </c>
      <c r="C172" s="13" t="s">
        <v>132</v>
      </c>
      <c r="D172" s="17"/>
      <c r="E172" s="13"/>
      <c r="F172" s="14" t="s">
        <v>8251</v>
      </c>
      <c r="G172" s="13"/>
      <c r="H172" s="13"/>
      <c r="I172" s="13"/>
      <c r="J172" s="14"/>
      <c r="K172" s="14"/>
      <c r="L172" s="13">
        <v>1</v>
      </c>
      <c r="M172" s="13"/>
      <c r="N172" s="13">
        <v>1</v>
      </c>
      <c r="O172" s="14" t="s">
        <v>95</v>
      </c>
      <c r="P172" s="14" t="s">
        <v>137</v>
      </c>
      <c r="Q172" s="14" t="s">
        <v>684</v>
      </c>
      <c r="R172" s="15">
        <v>5</v>
      </c>
      <c r="S172" s="14">
        <v>5</v>
      </c>
      <c r="T172" s="14">
        <v>5</v>
      </c>
      <c r="U172" s="14" t="s">
        <v>22</v>
      </c>
      <c r="V172" s="14">
        <f t="shared" si="46"/>
        <v>0.01</v>
      </c>
      <c r="W172" s="14">
        <f t="shared" si="47"/>
        <v>1664.9999999999998</v>
      </c>
      <c r="X172" s="17"/>
      <c r="Y172" s="17"/>
      <c r="Z172" s="17"/>
      <c r="AA172" s="18"/>
      <c r="AB172" s="13"/>
      <c r="AC172" s="13"/>
      <c r="AD172" s="13"/>
      <c r="AE172" s="13"/>
      <c r="AF172" s="13"/>
      <c r="AG172" s="13"/>
      <c r="AH172" s="13"/>
      <c r="AI172" s="19"/>
      <c r="AJ172" s="14"/>
      <c r="AK172" s="13"/>
      <c r="AL172" s="13"/>
      <c r="AM172" s="13"/>
      <c r="AN172" s="13"/>
      <c r="AO172" s="13"/>
      <c r="AP172" s="20"/>
      <c r="AQ172" s="13"/>
      <c r="AR172" s="92"/>
      <c r="AS172" s="21"/>
      <c r="AT172" s="22"/>
      <c r="AU172" s="13" t="s">
        <v>8707</v>
      </c>
      <c r="AV172" s="13"/>
      <c r="AW172" s="13"/>
      <c r="AX172" s="13"/>
      <c r="AY172" s="13"/>
      <c r="AZ172" s="13"/>
    </row>
    <row r="173" spans="1:52" ht="12.75">
      <c r="A173" s="12">
        <v>44823</v>
      </c>
      <c r="B173" s="13" t="s">
        <v>1951</v>
      </c>
      <c r="C173" s="13" t="s">
        <v>132</v>
      </c>
      <c r="D173" s="17"/>
      <c r="E173" s="13"/>
      <c r="F173" s="14" t="s">
        <v>8251</v>
      </c>
      <c r="G173" s="13"/>
      <c r="H173" s="13"/>
      <c r="I173" s="13"/>
      <c r="J173" s="14"/>
      <c r="K173" s="14"/>
      <c r="L173" s="13">
        <v>1</v>
      </c>
      <c r="M173" s="13">
        <v>2</v>
      </c>
      <c r="N173" s="13">
        <v>1</v>
      </c>
      <c r="O173" s="14" t="s">
        <v>95</v>
      </c>
      <c r="P173" s="14" t="s">
        <v>137</v>
      </c>
      <c r="Q173" s="14" t="s">
        <v>684</v>
      </c>
      <c r="R173" s="15">
        <v>5</v>
      </c>
      <c r="S173" s="14">
        <v>5</v>
      </c>
      <c r="T173" s="14">
        <v>5</v>
      </c>
      <c r="U173" s="14" t="s">
        <v>22</v>
      </c>
      <c r="V173" s="14">
        <f t="shared" si="46"/>
        <v>0.01</v>
      </c>
      <c r="W173" s="14">
        <f t="shared" si="47"/>
        <v>1664.9999999999998</v>
      </c>
      <c r="X173" s="17" t="s">
        <v>8708</v>
      </c>
      <c r="Y173" s="17"/>
      <c r="Z173" s="17"/>
      <c r="AA173" s="18">
        <v>96.061999999999998</v>
      </c>
      <c r="AB173" s="13" t="s">
        <v>8709</v>
      </c>
      <c r="AC173" s="13">
        <v>96.04</v>
      </c>
      <c r="AD173" s="13" t="s">
        <v>8710</v>
      </c>
      <c r="AE173" s="13">
        <v>96.1</v>
      </c>
      <c r="AF173" s="13" t="s">
        <v>137</v>
      </c>
      <c r="AG173" s="13" t="s">
        <v>8711</v>
      </c>
      <c r="AH173" s="13">
        <f>4/2</f>
        <v>2</v>
      </c>
      <c r="AI173" s="19"/>
      <c r="AJ173" s="14"/>
      <c r="AK173" s="13"/>
      <c r="AL173" s="13"/>
      <c r="AM173" s="13"/>
      <c r="AN173" s="13" t="s">
        <v>372</v>
      </c>
      <c r="AO173" s="13"/>
      <c r="AP173" s="20">
        <v>96.07</v>
      </c>
      <c r="AQ173" s="20">
        <f t="shared" ref="AQ173:AQ181" si="51">IF(ISBLANK(AP173),,IF(U173="S",AA173-AP173,AP173-AA173))</f>
        <v>7.9999999999955662E-3</v>
      </c>
      <c r="AR173" s="92">
        <f t="shared" ref="AR173:AR181" si="52">AS173*R173</f>
        <v>66.599999999963075</v>
      </c>
      <c r="AS173" s="21">
        <f t="shared" ref="AS173:AS181" si="53">IF(ISBLANK(AP173),,(AQ173*W173))</f>
        <v>13.319999999992616</v>
      </c>
      <c r="AT173" s="22" t="s">
        <v>96</v>
      </c>
      <c r="AU173" s="13" t="s">
        <v>8712</v>
      </c>
      <c r="AV173" s="13" t="s">
        <v>8713</v>
      </c>
      <c r="AW173" s="13" t="s">
        <v>8714</v>
      </c>
      <c r="AX173" s="13" t="s">
        <v>8715</v>
      </c>
      <c r="AY173" s="13"/>
      <c r="AZ173" s="13"/>
    </row>
    <row r="174" spans="1:52" ht="12.75">
      <c r="A174" s="12">
        <v>44823</v>
      </c>
      <c r="B174" s="13" t="s">
        <v>1951</v>
      </c>
      <c r="C174" s="13" t="s">
        <v>132</v>
      </c>
      <c r="D174" s="17"/>
      <c r="E174" s="13"/>
      <c r="F174" s="14" t="s">
        <v>8251</v>
      </c>
      <c r="G174" s="13"/>
      <c r="H174" s="13"/>
      <c r="I174" s="13"/>
      <c r="J174" s="14"/>
      <c r="K174" s="14"/>
      <c r="L174" s="13">
        <v>1</v>
      </c>
      <c r="M174" s="13"/>
      <c r="N174" s="13">
        <v>1</v>
      </c>
      <c r="O174" s="14" t="s">
        <v>95</v>
      </c>
      <c r="P174" s="14" t="s">
        <v>137</v>
      </c>
      <c r="Q174" s="14" t="s">
        <v>684</v>
      </c>
      <c r="R174" s="15">
        <v>5</v>
      </c>
      <c r="S174" s="14">
        <v>5</v>
      </c>
      <c r="T174" s="14">
        <v>5</v>
      </c>
      <c r="U174" s="14" t="s">
        <v>22</v>
      </c>
      <c r="V174" s="14">
        <f t="shared" si="46"/>
        <v>0.01</v>
      </c>
      <c r="W174" s="14">
        <f t="shared" si="47"/>
        <v>1664.9999999999998</v>
      </c>
      <c r="X174" s="17" t="s">
        <v>8716</v>
      </c>
      <c r="Y174" s="17"/>
      <c r="Z174" s="17"/>
      <c r="AA174" s="18">
        <v>96.061999999999998</v>
      </c>
      <c r="AB174" s="13" t="s">
        <v>8709</v>
      </c>
      <c r="AC174" s="13">
        <v>96.04</v>
      </c>
      <c r="AD174" s="13" t="s">
        <v>8710</v>
      </c>
      <c r="AE174" s="13">
        <v>96.1</v>
      </c>
      <c r="AF174" s="13" t="s">
        <v>137</v>
      </c>
      <c r="AG174" s="13" t="s">
        <v>8711</v>
      </c>
      <c r="AH174" s="13"/>
      <c r="AI174" s="19"/>
      <c r="AJ174" s="14"/>
      <c r="AK174" s="13"/>
      <c r="AL174" s="13"/>
      <c r="AM174" s="13" t="s">
        <v>8717</v>
      </c>
      <c r="AN174" s="13" t="s">
        <v>372</v>
      </c>
      <c r="AO174" s="13"/>
      <c r="AP174" s="20">
        <v>96.07</v>
      </c>
      <c r="AQ174" s="20">
        <f t="shared" si="51"/>
        <v>7.9999999999955662E-3</v>
      </c>
      <c r="AR174" s="92">
        <f t="shared" si="52"/>
        <v>66.599999999963075</v>
      </c>
      <c r="AS174" s="21">
        <f t="shared" si="53"/>
        <v>13.319999999992616</v>
      </c>
      <c r="AT174" s="22" t="s">
        <v>96</v>
      </c>
      <c r="AU174" s="13" t="s">
        <v>8718</v>
      </c>
      <c r="AV174" s="13" t="s">
        <v>8719</v>
      </c>
      <c r="AW174" s="13"/>
      <c r="AX174" s="13"/>
      <c r="AY174" s="13"/>
      <c r="AZ174" s="13"/>
    </row>
    <row r="175" spans="1:52" ht="12.75">
      <c r="A175" s="12">
        <v>44824</v>
      </c>
      <c r="B175" s="13" t="s">
        <v>8720</v>
      </c>
      <c r="C175" s="13" t="s">
        <v>146</v>
      </c>
      <c r="D175" s="17"/>
      <c r="E175" s="13"/>
      <c r="F175" s="14" t="s">
        <v>136</v>
      </c>
      <c r="G175" s="13"/>
      <c r="H175" s="13"/>
      <c r="I175" s="13"/>
      <c r="J175" s="14"/>
      <c r="K175" s="14"/>
      <c r="L175" s="13">
        <v>1</v>
      </c>
      <c r="M175" s="13"/>
      <c r="N175" s="13"/>
      <c r="O175" s="14" t="s">
        <v>95</v>
      </c>
      <c r="P175" s="14" t="s">
        <v>137</v>
      </c>
      <c r="Q175" s="14" t="s">
        <v>684</v>
      </c>
      <c r="R175" s="14">
        <v>2</v>
      </c>
      <c r="S175" s="14">
        <v>2</v>
      </c>
      <c r="T175" s="14">
        <v>2</v>
      </c>
      <c r="U175" s="14" t="s">
        <v>97</v>
      </c>
      <c r="V175" s="14">
        <f t="shared" si="46"/>
        <v>0.01</v>
      </c>
      <c r="W175" s="14">
        <f t="shared" si="47"/>
        <v>1664.9999999999998</v>
      </c>
      <c r="X175" s="17"/>
      <c r="Y175" s="17"/>
      <c r="Z175" s="17" t="s">
        <v>99</v>
      </c>
      <c r="AA175" s="18">
        <v>-0.03</v>
      </c>
      <c r="AB175" s="13"/>
      <c r="AC175" s="13"/>
      <c r="AD175" s="13"/>
      <c r="AE175" s="13">
        <v>-0.04</v>
      </c>
      <c r="AF175" s="13"/>
      <c r="AG175" s="13" t="s">
        <v>8721</v>
      </c>
      <c r="AH175" s="13"/>
      <c r="AI175" s="19"/>
      <c r="AJ175" s="14"/>
      <c r="AK175" s="13" t="s">
        <v>8722</v>
      </c>
      <c r="AL175" s="13"/>
      <c r="AM175" s="13"/>
      <c r="AN175" s="13" t="s">
        <v>372</v>
      </c>
      <c r="AO175" s="13"/>
      <c r="AP175" s="20">
        <v>-0.04</v>
      </c>
      <c r="AQ175" s="20">
        <f t="shared" si="51"/>
        <v>1.0000000000000002E-2</v>
      </c>
      <c r="AR175" s="92">
        <f t="shared" si="52"/>
        <v>33.300000000000004</v>
      </c>
      <c r="AS175" s="21">
        <f t="shared" si="53"/>
        <v>16.650000000000002</v>
      </c>
      <c r="AT175" s="22" t="s">
        <v>96</v>
      </c>
      <c r="AU175" s="13"/>
      <c r="AV175" s="13"/>
      <c r="AW175" s="13"/>
      <c r="AX175" s="13"/>
      <c r="AY175" s="13"/>
      <c r="AZ175" s="13"/>
    </row>
    <row r="176" spans="1:52" ht="12.75">
      <c r="A176" s="12">
        <v>44824</v>
      </c>
      <c r="B176" s="13" t="s">
        <v>982</v>
      </c>
      <c r="C176" s="13" t="s">
        <v>146</v>
      </c>
      <c r="D176" s="17" t="s">
        <v>8723</v>
      </c>
      <c r="E176" s="13" t="s">
        <v>8724</v>
      </c>
      <c r="F176" s="14" t="s">
        <v>8725</v>
      </c>
      <c r="G176" s="13"/>
      <c r="H176" s="13"/>
      <c r="I176" s="13"/>
      <c r="J176" s="14"/>
      <c r="K176" s="14"/>
      <c r="L176" s="13">
        <v>1</v>
      </c>
      <c r="M176" s="13"/>
      <c r="N176" s="13">
        <v>1</v>
      </c>
      <c r="O176" s="14" t="s">
        <v>95</v>
      </c>
      <c r="P176" s="14" t="s">
        <v>137</v>
      </c>
      <c r="Q176" s="14" t="s">
        <v>684</v>
      </c>
      <c r="R176" s="99">
        <v>1</v>
      </c>
      <c r="S176" s="14">
        <v>1</v>
      </c>
      <c r="T176" s="14">
        <v>1</v>
      </c>
      <c r="U176" s="14" t="s">
        <v>97</v>
      </c>
      <c r="V176" s="14">
        <f t="shared" si="46"/>
        <v>0.01</v>
      </c>
      <c r="W176" s="14">
        <f t="shared" si="47"/>
        <v>1664.9999999999998</v>
      </c>
      <c r="X176" s="17" t="s">
        <v>8726</v>
      </c>
      <c r="Y176" s="17"/>
      <c r="Z176" s="17"/>
      <c r="AA176" s="18">
        <v>96.15</v>
      </c>
      <c r="AB176" s="13" t="s">
        <v>8727</v>
      </c>
      <c r="AC176" s="13">
        <v>96.17</v>
      </c>
      <c r="AD176" s="13" t="s">
        <v>8728</v>
      </c>
      <c r="AE176" s="13">
        <v>96.12</v>
      </c>
      <c r="AF176" s="13" t="s">
        <v>8729</v>
      </c>
      <c r="AG176" s="13"/>
      <c r="AH176" s="13">
        <f>3/2</f>
        <v>1.5</v>
      </c>
      <c r="AI176" s="19">
        <f>(AA176-AC176)*W176</f>
        <v>-33.299999999993368</v>
      </c>
      <c r="AJ176" s="19">
        <f t="shared" ref="AJ176:AJ181" si="54">AI176*R176</f>
        <v>-33.299999999993368</v>
      </c>
      <c r="AK176" s="13" t="s">
        <v>8730</v>
      </c>
      <c r="AL176" s="13"/>
      <c r="AM176" s="13" t="s">
        <v>733</v>
      </c>
      <c r="AN176" s="13" t="s">
        <v>372</v>
      </c>
      <c r="AO176" s="13"/>
      <c r="AP176" s="20">
        <v>96.14</v>
      </c>
      <c r="AQ176" s="20">
        <f t="shared" si="51"/>
        <v>1.0000000000005116E-2</v>
      </c>
      <c r="AR176" s="92">
        <f t="shared" si="52"/>
        <v>16.650000000008514</v>
      </c>
      <c r="AS176" s="21">
        <f t="shared" si="53"/>
        <v>16.650000000008514</v>
      </c>
      <c r="AT176" s="22" t="s">
        <v>96</v>
      </c>
      <c r="AU176" s="13" t="s">
        <v>8731</v>
      </c>
      <c r="AV176" s="13" t="s">
        <v>8732</v>
      </c>
      <c r="AW176" s="13" t="s">
        <v>8733</v>
      </c>
      <c r="AX176" s="13" t="s">
        <v>8734</v>
      </c>
      <c r="AY176" s="13" t="s">
        <v>8735</v>
      </c>
      <c r="AZ176" s="13" t="s">
        <v>8736</v>
      </c>
    </row>
    <row r="177" spans="1:52" ht="12.75">
      <c r="A177" s="12">
        <v>44824</v>
      </c>
      <c r="B177" s="33">
        <v>0.58333333333333337</v>
      </c>
      <c r="C177" s="13" t="s">
        <v>146</v>
      </c>
      <c r="D177" s="17"/>
      <c r="E177" s="13"/>
      <c r="F177" s="14" t="s">
        <v>8556</v>
      </c>
      <c r="G177" s="13"/>
      <c r="H177" s="13"/>
      <c r="I177" s="13"/>
      <c r="J177" s="14"/>
      <c r="K177" s="14"/>
      <c r="L177" s="13">
        <v>2</v>
      </c>
      <c r="M177" s="13">
        <v>3</v>
      </c>
      <c r="N177" s="13"/>
      <c r="O177" s="14" t="s">
        <v>95</v>
      </c>
      <c r="P177" s="14" t="s">
        <v>96</v>
      </c>
      <c r="Q177" s="14" t="s">
        <v>256</v>
      </c>
      <c r="R177" s="14">
        <v>3</v>
      </c>
      <c r="S177" s="14">
        <v>3</v>
      </c>
      <c r="T177" s="14">
        <v>1</v>
      </c>
      <c r="U177" s="14" t="s">
        <v>22</v>
      </c>
      <c r="V177" s="14">
        <f t="shared" si="46"/>
        <v>0.01</v>
      </c>
      <c r="W177" s="14">
        <f t="shared" si="47"/>
        <v>1664.9999999999998</v>
      </c>
      <c r="X177" s="17"/>
      <c r="Y177" s="17"/>
      <c r="Z177" s="17" t="s">
        <v>8578</v>
      </c>
      <c r="AA177" s="18">
        <v>0.01</v>
      </c>
      <c r="AB177" s="13" t="s">
        <v>8737</v>
      </c>
      <c r="AC177" s="13" t="s">
        <v>8738</v>
      </c>
      <c r="AD177" s="13"/>
      <c r="AE177" s="13"/>
      <c r="AF177" s="13"/>
      <c r="AG177" s="13"/>
      <c r="AH177" s="13"/>
      <c r="AI177" s="19"/>
      <c r="AJ177" s="118">
        <f t="shared" si="54"/>
        <v>0</v>
      </c>
      <c r="AK177" s="13" t="s">
        <v>448</v>
      </c>
      <c r="AL177" s="13"/>
      <c r="AM177" s="13" t="s">
        <v>8739</v>
      </c>
      <c r="AN177" s="13" t="s">
        <v>96</v>
      </c>
      <c r="AO177" s="13" t="s">
        <v>8740</v>
      </c>
      <c r="AP177" s="20">
        <v>0.04</v>
      </c>
      <c r="AQ177" s="20">
        <f t="shared" si="51"/>
        <v>0.03</v>
      </c>
      <c r="AR177" s="92">
        <f t="shared" si="52"/>
        <v>149.84999999999997</v>
      </c>
      <c r="AS177" s="21">
        <f t="shared" si="53"/>
        <v>49.949999999999989</v>
      </c>
      <c r="AT177" s="22" t="s">
        <v>96</v>
      </c>
      <c r="AU177" s="13" t="s">
        <v>8741</v>
      </c>
      <c r="AV177" s="13"/>
      <c r="AW177" s="13"/>
      <c r="AX177" s="119" t="s">
        <v>8742</v>
      </c>
      <c r="AY177" s="13" t="s">
        <v>8743</v>
      </c>
      <c r="AZ177" s="13"/>
    </row>
    <row r="178" spans="1:52" ht="12.75">
      <c r="A178" s="12">
        <v>44825</v>
      </c>
      <c r="B178" s="13" t="s">
        <v>209</v>
      </c>
      <c r="C178" s="13" t="s">
        <v>151</v>
      </c>
      <c r="D178" s="17"/>
      <c r="E178" s="13"/>
      <c r="F178" s="14" t="s">
        <v>136</v>
      </c>
      <c r="G178" s="13"/>
      <c r="H178" s="13"/>
      <c r="I178" s="13"/>
      <c r="J178" s="14"/>
      <c r="K178" s="14"/>
      <c r="L178" s="13">
        <v>2</v>
      </c>
      <c r="M178" s="13"/>
      <c r="N178" s="13"/>
      <c r="O178" s="14" t="s">
        <v>95</v>
      </c>
      <c r="P178" s="14" t="s">
        <v>137</v>
      </c>
      <c r="Q178" s="14" t="s">
        <v>97</v>
      </c>
      <c r="R178" s="14">
        <v>3</v>
      </c>
      <c r="S178" s="14">
        <v>3</v>
      </c>
      <c r="T178" s="14">
        <v>3</v>
      </c>
      <c r="U178" s="14" t="s">
        <v>97</v>
      </c>
      <c r="V178" s="14">
        <f t="shared" si="46"/>
        <v>0.01</v>
      </c>
      <c r="W178" s="14">
        <f t="shared" si="47"/>
        <v>1664.9999999999998</v>
      </c>
      <c r="X178" s="17"/>
      <c r="Y178" s="17"/>
      <c r="Z178" s="17" t="s">
        <v>8744</v>
      </c>
      <c r="AA178" s="18">
        <v>96.147000000000006</v>
      </c>
      <c r="AB178" s="13"/>
      <c r="AC178" s="13"/>
      <c r="AD178" s="13"/>
      <c r="AE178" s="13"/>
      <c r="AF178" s="13"/>
      <c r="AG178" s="13" t="s">
        <v>8745</v>
      </c>
      <c r="AH178" s="13"/>
      <c r="AI178" s="19"/>
      <c r="AJ178" s="118">
        <f t="shared" si="54"/>
        <v>0</v>
      </c>
      <c r="AK178" s="13"/>
      <c r="AL178" s="13"/>
      <c r="AM178" s="13" t="s">
        <v>1013</v>
      </c>
      <c r="AN178" s="13" t="s">
        <v>1259</v>
      </c>
      <c r="AO178" s="13"/>
      <c r="AP178" s="20">
        <v>96.14</v>
      </c>
      <c r="AQ178" s="20">
        <f t="shared" si="51"/>
        <v>7.0000000000050022E-3</v>
      </c>
      <c r="AR178" s="92">
        <f t="shared" si="52"/>
        <v>34.965000000024979</v>
      </c>
      <c r="AS178" s="21">
        <f t="shared" si="53"/>
        <v>11.655000000008327</v>
      </c>
      <c r="AT178" s="22" t="s">
        <v>96</v>
      </c>
      <c r="AU178" s="13" t="s">
        <v>8746</v>
      </c>
      <c r="AV178" s="13"/>
      <c r="AW178" s="13"/>
      <c r="AX178" s="13" t="s">
        <v>8747</v>
      </c>
      <c r="AY178" s="13"/>
      <c r="AZ178" s="13"/>
    </row>
    <row r="179" spans="1:52" ht="12.75">
      <c r="A179" s="12">
        <v>44825</v>
      </c>
      <c r="B179" s="13" t="s">
        <v>8748</v>
      </c>
      <c r="C179" s="13" t="s">
        <v>151</v>
      </c>
      <c r="D179" s="17"/>
      <c r="E179" s="13"/>
      <c r="F179" s="14" t="s">
        <v>136</v>
      </c>
      <c r="G179" s="13"/>
      <c r="H179" s="13"/>
      <c r="I179" s="13"/>
      <c r="J179" s="14"/>
      <c r="K179" s="14"/>
      <c r="L179" s="13">
        <v>2</v>
      </c>
      <c r="M179" s="13"/>
      <c r="N179" s="13"/>
      <c r="O179" s="14" t="s">
        <v>95</v>
      </c>
      <c r="P179" s="14" t="s">
        <v>137</v>
      </c>
      <c r="Q179" s="14" t="s">
        <v>97</v>
      </c>
      <c r="R179" s="14">
        <v>3</v>
      </c>
      <c r="S179" s="14">
        <v>3</v>
      </c>
      <c r="T179" s="14">
        <v>3</v>
      </c>
      <c r="U179" s="14" t="s">
        <v>97</v>
      </c>
      <c r="V179" s="14">
        <f t="shared" si="46"/>
        <v>0.01</v>
      </c>
      <c r="W179" s="14">
        <f t="shared" si="47"/>
        <v>1664.9999999999998</v>
      </c>
      <c r="X179" s="17"/>
      <c r="Y179" s="17"/>
      <c r="Z179" s="17" t="s">
        <v>99</v>
      </c>
      <c r="AA179" s="18">
        <v>-0.03</v>
      </c>
      <c r="AB179" s="13"/>
      <c r="AC179" s="13"/>
      <c r="AD179" s="13"/>
      <c r="AE179" s="13"/>
      <c r="AF179" s="13"/>
      <c r="AG179" s="13"/>
      <c r="AH179" s="13"/>
      <c r="AI179" s="19"/>
      <c r="AJ179" s="118">
        <f t="shared" si="54"/>
        <v>0</v>
      </c>
      <c r="AK179" s="13"/>
      <c r="AL179" s="13"/>
      <c r="AM179" s="13" t="s">
        <v>8749</v>
      </c>
      <c r="AN179" s="13" t="s">
        <v>372</v>
      </c>
      <c r="AO179" s="13"/>
      <c r="AP179" s="20">
        <v>-0.04</v>
      </c>
      <c r="AQ179" s="20">
        <f t="shared" si="51"/>
        <v>1.0000000000000002E-2</v>
      </c>
      <c r="AR179" s="92">
        <f t="shared" si="52"/>
        <v>49.95</v>
      </c>
      <c r="AS179" s="21">
        <f t="shared" si="53"/>
        <v>16.650000000000002</v>
      </c>
      <c r="AT179" s="22" t="s">
        <v>96</v>
      </c>
      <c r="AU179" s="13" t="s">
        <v>8750</v>
      </c>
      <c r="AV179" s="13"/>
      <c r="AW179" s="13"/>
      <c r="AX179" s="13"/>
      <c r="AY179" s="13"/>
      <c r="AZ179" s="13"/>
    </row>
    <row r="180" spans="1:52" ht="12.75">
      <c r="A180" s="12">
        <v>44825</v>
      </c>
      <c r="B180" s="13" t="s">
        <v>8751</v>
      </c>
      <c r="C180" s="13" t="s">
        <v>151</v>
      </c>
      <c r="D180" s="17"/>
      <c r="E180" s="13"/>
      <c r="F180" s="14" t="s">
        <v>8752</v>
      </c>
      <c r="G180" s="13"/>
      <c r="H180" s="13"/>
      <c r="I180" s="13"/>
      <c r="J180" s="14"/>
      <c r="K180" s="14"/>
      <c r="L180" s="13"/>
      <c r="M180" s="13">
        <v>1</v>
      </c>
      <c r="N180" s="13"/>
      <c r="O180" s="14" t="s">
        <v>1057</v>
      </c>
      <c r="P180" s="14"/>
      <c r="Q180" s="14" t="s">
        <v>684</v>
      </c>
      <c r="R180" s="14">
        <v>1</v>
      </c>
      <c r="S180" s="14">
        <v>1</v>
      </c>
      <c r="T180" s="14">
        <v>1</v>
      </c>
      <c r="U180" s="14" t="s">
        <v>97</v>
      </c>
      <c r="V180" s="14">
        <f t="shared" si="46"/>
        <v>5.0000000000000001E-3</v>
      </c>
      <c r="W180" s="14">
        <f t="shared" si="47"/>
        <v>1726.0000000000002</v>
      </c>
      <c r="X180" s="17"/>
      <c r="Y180" s="17" t="s">
        <v>8753</v>
      </c>
      <c r="Z180" s="17"/>
      <c r="AA180" s="18">
        <v>96.94</v>
      </c>
      <c r="AB180" s="13"/>
      <c r="AC180" s="13" t="s">
        <v>8754</v>
      </c>
      <c r="AD180" s="13" t="s">
        <v>8755</v>
      </c>
      <c r="AE180" s="13">
        <v>96.885000000000005</v>
      </c>
      <c r="AF180" s="13" t="s">
        <v>8756</v>
      </c>
      <c r="AG180" s="13"/>
      <c r="AH180" s="13">
        <f>(AE180-AA180)/(AA180-96.965)</f>
        <v>2.1999999999992044</v>
      </c>
      <c r="AI180" s="19">
        <f>(AA180-96.965)*W180</f>
        <v>-43.150000000009818</v>
      </c>
      <c r="AJ180" s="120">
        <f t="shared" si="54"/>
        <v>-43.150000000009818</v>
      </c>
      <c r="AK180" s="13"/>
      <c r="AL180" s="13"/>
      <c r="AM180" s="13"/>
      <c r="AN180" s="13" t="s">
        <v>372</v>
      </c>
      <c r="AO180" s="13"/>
      <c r="AP180" s="20">
        <v>96.965000000000003</v>
      </c>
      <c r="AQ180" s="20">
        <f t="shared" si="51"/>
        <v>-2.5000000000005684E-2</v>
      </c>
      <c r="AR180" s="92">
        <f t="shared" si="52"/>
        <v>-43.150000000009818</v>
      </c>
      <c r="AS180" s="21">
        <f t="shared" si="53"/>
        <v>-43.150000000009818</v>
      </c>
      <c r="AT180" s="22" t="s">
        <v>229</v>
      </c>
      <c r="AU180" s="13" t="s">
        <v>8757</v>
      </c>
      <c r="AV180" s="13" t="s">
        <v>8758</v>
      </c>
      <c r="AW180" s="13" t="s">
        <v>8759</v>
      </c>
      <c r="AX180" s="13"/>
      <c r="AY180" s="13"/>
      <c r="AZ180" s="13"/>
    </row>
    <row r="181" spans="1:52" ht="12.75">
      <c r="A181" s="12">
        <v>44825</v>
      </c>
      <c r="B181" s="13" t="s">
        <v>8760</v>
      </c>
      <c r="C181" s="13" t="s">
        <v>151</v>
      </c>
      <c r="D181" s="17" t="s">
        <v>8761</v>
      </c>
      <c r="E181" s="13" t="s">
        <v>8762</v>
      </c>
      <c r="F181" s="14" t="s">
        <v>136</v>
      </c>
      <c r="G181" s="13"/>
      <c r="H181" s="13">
        <v>1</v>
      </c>
      <c r="I181" s="13"/>
      <c r="J181" s="14"/>
      <c r="K181" s="14"/>
      <c r="L181" s="13">
        <v>2</v>
      </c>
      <c r="M181" s="13"/>
      <c r="N181" s="13"/>
      <c r="O181" s="14" t="s">
        <v>95</v>
      </c>
      <c r="P181" s="14" t="s">
        <v>137</v>
      </c>
      <c r="Q181" s="14" t="s">
        <v>97</v>
      </c>
      <c r="R181" s="14">
        <v>3</v>
      </c>
      <c r="S181" s="14">
        <v>3</v>
      </c>
      <c r="T181" s="14">
        <v>3</v>
      </c>
      <c r="U181" s="14" t="s">
        <v>97</v>
      </c>
      <c r="V181" s="14">
        <f t="shared" si="46"/>
        <v>0.01</v>
      </c>
      <c r="W181" s="14">
        <f t="shared" si="47"/>
        <v>1664.9999999999998</v>
      </c>
      <c r="X181" s="17"/>
      <c r="Y181" s="17"/>
      <c r="Z181" s="17" t="s">
        <v>99</v>
      </c>
      <c r="AA181" s="18">
        <v>-0.03</v>
      </c>
      <c r="AB181" s="13"/>
      <c r="AC181" s="13"/>
      <c r="AD181" s="13"/>
      <c r="AE181" s="13"/>
      <c r="AF181" s="13"/>
      <c r="AG181" s="13"/>
      <c r="AH181" s="13"/>
      <c r="AI181" s="19"/>
      <c r="AJ181" s="118">
        <f t="shared" si="54"/>
        <v>0</v>
      </c>
      <c r="AK181" s="13"/>
      <c r="AL181" s="13"/>
      <c r="AM181" s="13" t="s">
        <v>8763</v>
      </c>
      <c r="AN181" s="13" t="s">
        <v>372</v>
      </c>
      <c r="AO181" s="13"/>
      <c r="AP181" s="20">
        <v>-0.04</v>
      </c>
      <c r="AQ181" s="20">
        <f t="shared" si="51"/>
        <v>1.0000000000000002E-2</v>
      </c>
      <c r="AR181" s="92">
        <f t="shared" si="52"/>
        <v>49.95</v>
      </c>
      <c r="AS181" s="21">
        <f t="shared" si="53"/>
        <v>16.650000000000002</v>
      </c>
      <c r="AT181" s="22" t="s">
        <v>96</v>
      </c>
      <c r="AU181" s="13"/>
      <c r="AV181" s="13"/>
      <c r="AW181" s="13"/>
      <c r="AX181" s="13"/>
      <c r="AY181" s="13"/>
      <c r="AZ181" s="13"/>
    </row>
    <row r="182" spans="1:52" ht="12.75">
      <c r="A182" s="12">
        <v>44826</v>
      </c>
      <c r="B182" s="13"/>
      <c r="C182" s="13"/>
      <c r="D182" s="17" t="s">
        <v>8764</v>
      </c>
      <c r="E182" s="13" t="s">
        <v>8765</v>
      </c>
      <c r="F182" s="14"/>
      <c r="G182" s="13"/>
      <c r="H182" s="13"/>
      <c r="I182" s="13">
        <v>1</v>
      </c>
      <c r="J182" s="14"/>
      <c r="K182" s="14"/>
      <c r="L182" s="13"/>
      <c r="M182" s="13"/>
      <c r="N182" s="13"/>
      <c r="O182" s="14"/>
      <c r="P182" s="14"/>
      <c r="Q182" s="14"/>
      <c r="R182" s="14"/>
      <c r="S182" s="14"/>
      <c r="T182" s="14"/>
      <c r="U182" s="14"/>
      <c r="V182" s="14"/>
      <c r="W182" s="14"/>
      <c r="X182" s="17"/>
      <c r="Y182" s="17"/>
      <c r="Z182" s="17"/>
      <c r="AA182" s="18"/>
      <c r="AB182" s="13"/>
      <c r="AC182" s="13"/>
      <c r="AD182" s="13"/>
      <c r="AE182" s="13"/>
      <c r="AF182" s="13"/>
      <c r="AG182" s="13"/>
      <c r="AH182" s="13"/>
      <c r="AI182" s="19"/>
      <c r="AJ182" s="14"/>
      <c r="AK182" s="13"/>
      <c r="AL182" s="13"/>
      <c r="AM182" s="13"/>
      <c r="AN182" s="13"/>
      <c r="AO182" s="13"/>
      <c r="AP182" s="20"/>
      <c r="AQ182" s="13"/>
      <c r="AR182" s="92"/>
      <c r="AS182" s="21"/>
      <c r="AT182" s="22"/>
      <c r="AU182" s="13"/>
      <c r="AV182" s="13"/>
      <c r="AW182" s="13"/>
      <c r="AX182" s="13"/>
      <c r="AY182" s="13"/>
      <c r="AZ182" s="13"/>
    </row>
    <row r="183" spans="1:52" ht="12.75">
      <c r="A183" s="12">
        <v>44827</v>
      </c>
      <c r="B183" s="13" t="s">
        <v>3506</v>
      </c>
      <c r="C183" s="13" t="s">
        <v>111</v>
      </c>
      <c r="D183" s="17"/>
      <c r="E183" s="13"/>
      <c r="F183" s="14" t="s">
        <v>136</v>
      </c>
      <c r="G183" s="13"/>
      <c r="H183" s="13"/>
      <c r="I183" s="13"/>
      <c r="J183" s="14"/>
      <c r="K183" s="14"/>
      <c r="L183" s="13">
        <v>1</v>
      </c>
      <c r="M183" s="13"/>
      <c r="N183" s="13"/>
      <c r="O183" s="14" t="s">
        <v>95</v>
      </c>
      <c r="P183" s="14" t="s">
        <v>137</v>
      </c>
      <c r="Q183" s="14" t="s">
        <v>97</v>
      </c>
      <c r="R183" s="14">
        <v>1</v>
      </c>
      <c r="S183" s="14">
        <v>1</v>
      </c>
      <c r="T183" s="14">
        <v>1</v>
      </c>
      <c r="U183" s="14" t="s">
        <v>97</v>
      </c>
      <c r="V183" s="14">
        <f t="shared" ref="V183:V211" si="55">IF(ISBLANK(O183),,(IF(O183=UPPER("IB"),0.005,0.01)))</f>
        <v>0.01</v>
      </c>
      <c r="W183" s="14">
        <f t="shared" ref="W183:W211" si="56">IF(ISBLANK(O183),,IF(O183=UPPER("IB"),8.63*200,16.65*100))</f>
        <v>1664.9999999999998</v>
      </c>
      <c r="X183" s="17"/>
      <c r="Y183" s="17"/>
      <c r="Z183" s="17" t="s">
        <v>99</v>
      </c>
      <c r="AA183" s="18">
        <v>-0.03</v>
      </c>
      <c r="AB183" s="13"/>
      <c r="AC183" s="13"/>
      <c r="AD183" s="13"/>
      <c r="AE183" s="13"/>
      <c r="AF183" s="13"/>
      <c r="AG183" s="13"/>
      <c r="AH183" s="13"/>
      <c r="AI183" s="19"/>
      <c r="AJ183" s="14"/>
      <c r="AK183" s="13"/>
      <c r="AL183" s="13"/>
      <c r="AM183" s="13" t="s">
        <v>8766</v>
      </c>
      <c r="AN183" s="13" t="s">
        <v>115</v>
      </c>
      <c r="AO183" s="13" t="s">
        <v>8767</v>
      </c>
      <c r="AP183" s="20">
        <v>-0.05</v>
      </c>
      <c r="AQ183" s="20">
        <f t="shared" ref="AQ183:AQ211" si="57">IF(ISBLANK(AP183),,IF(U183="S",AA183-AP183,AP183-AA183))</f>
        <v>2.0000000000000004E-2</v>
      </c>
      <c r="AR183" s="92">
        <f t="shared" ref="AR183:AR211" si="58">AS183*R183</f>
        <v>33.300000000000004</v>
      </c>
      <c r="AS183" s="21">
        <f t="shared" ref="AS183:AS211" si="59">IF(ISBLANK(AP183),,(AQ183*W183))</f>
        <v>33.300000000000004</v>
      </c>
      <c r="AT183" s="22" t="s">
        <v>96</v>
      </c>
      <c r="AU183" s="13" t="s">
        <v>8768</v>
      </c>
      <c r="AV183" s="13"/>
      <c r="AW183" s="13"/>
      <c r="AX183" s="13"/>
      <c r="AY183" s="13"/>
      <c r="AZ183" s="13"/>
    </row>
    <row r="184" spans="1:52" ht="12.75">
      <c r="A184" s="12">
        <v>44827</v>
      </c>
      <c r="B184" s="13" t="s">
        <v>5021</v>
      </c>
      <c r="C184" s="13" t="s">
        <v>111</v>
      </c>
      <c r="D184" s="17"/>
      <c r="E184" s="13"/>
      <c r="F184" s="14" t="s">
        <v>8556</v>
      </c>
      <c r="G184" s="13"/>
      <c r="H184" s="13"/>
      <c r="I184" s="13"/>
      <c r="J184" s="14"/>
      <c r="K184" s="14"/>
      <c r="L184" s="13">
        <v>1</v>
      </c>
      <c r="M184" s="13">
        <v>3</v>
      </c>
      <c r="N184" s="13"/>
      <c r="O184" s="14" t="s">
        <v>95</v>
      </c>
      <c r="P184" s="14" t="s">
        <v>96</v>
      </c>
      <c r="Q184" s="14" t="s">
        <v>256</v>
      </c>
      <c r="R184" s="14">
        <v>3</v>
      </c>
      <c r="S184" s="14">
        <v>3</v>
      </c>
      <c r="T184" s="14">
        <v>3</v>
      </c>
      <c r="U184" s="14" t="s">
        <v>22</v>
      </c>
      <c r="V184" s="14">
        <f t="shared" si="55"/>
        <v>0.01</v>
      </c>
      <c r="W184" s="14">
        <f t="shared" si="56"/>
        <v>1664.9999999999998</v>
      </c>
      <c r="X184" s="17"/>
      <c r="Y184" s="17"/>
      <c r="Z184" s="17" t="s">
        <v>8578</v>
      </c>
      <c r="AA184" s="18">
        <v>0.01</v>
      </c>
      <c r="AB184" s="13"/>
      <c r="AC184" s="13"/>
      <c r="AD184" s="13"/>
      <c r="AE184" s="13"/>
      <c r="AF184" s="13"/>
      <c r="AG184" s="13"/>
      <c r="AH184" s="13"/>
      <c r="AI184" s="19"/>
      <c r="AJ184" s="14"/>
      <c r="AK184" s="13"/>
      <c r="AL184" s="13"/>
      <c r="AM184" s="13" t="s">
        <v>8739</v>
      </c>
      <c r="AN184" s="13" t="s">
        <v>96</v>
      </c>
      <c r="AO184" s="13" t="s">
        <v>8769</v>
      </c>
      <c r="AP184" s="20">
        <v>0.04</v>
      </c>
      <c r="AQ184" s="20">
        <f t="shared" si="57"/>
        <v>0.03</v>
      </c>
      <c r="AR184" s="92">
        <f t="shared" si="58"/>
        <v>149.84999999999997</v>
      </c>
      <c r="AS184" s="21">
        <f t="shared" si="59"/>
        <v>49.949999999999989</v>
      </c>
      <c r="AT184" s="22" t="s">
        <v>96</v>
      </c>
      <c r="AU184" s="13" t="s">
        <v>8770</v>
      </c>
      <c r="AV184" s="13"/>
      <c r="AW184" s="13"/>
      <c r="AX184" s="13"/>
      <c r="AY184" s="13"/>
      <c r="AZ184" s="13"/>
    </row>
    <row r="185" spans="1:52" ht="12.75">
      <c r="A185" s="12">
        <v>44827</v>
      </c>
      <c r="B185" s="13" t="s">
        <v>8771</v>
      </c>
      <c r="C185" s="121" t="s">
        <v>111</v>
      </c>
      <c r="D185" s="17"/>
      <c r="E185" s="13"/>
      <c r="F185" s="14" t="s">
        <v>8556</v>
      </c>
      <c r="G185" s="13"/>
      <c r="H185" s="13"/>
      <c r="I185" s="13"/>
      <c r="J185" s="14"/>
      <c r="K185" s="14"/>
      <c r="L185" s="13">
        <v>1</v>
      </c>
      <c r="M185" s="13">
        <v>3</v>
      </c>
      <c r="N185" s="13"/>
      <c r="O185" s="14" t="s">
        <v>95</v>
      </c>
      <c r="P185" s="14" t="s">
        <v>96</v>
      </c>
      <c r="Q185" s="14" t="s">
        <v>256</v>
      </c>
      <c r="R185" s="14">
        <v>3</v>
      </c>
      <c r="S185" s="14">
        <v>3</v>
      </c>
      <c r="T185" s="14">
        <v>3</v>
      </c>
      <c r="U185" s="14" t="s">
        <v>22</v>
      </c>
      <c r="V185" s="14">
        <f t="shared" si="55"/>
        <v>0.01</v>
      </c>
      <c r="W185" s="14">
        <f t="shared" si="56"/>
        <v>1664.9999999999998</v>
      </c>
      <c r="X185" s="17"/>
      <c r="Y185" s="17"/>
      <c r="Z185" s="17" t="s">
        <v>8578</v>
      </c>
      <c r="AA185" s="18">
        <v>0.01</v>
      </c>
      <c r="AB185" s="13"/>
      <c r="AC185" s="13"/>
      <c r="AD185" s="13"/>
      <c r="AE185" s="13"/>
      <c r="AF185" s="13"/>
      <c r="AG185" s="13"/>
      <c r="AH185" s="13"/>
      <c r="AI185" s="19"/>
      <c r="AJ185" s="14"/>
      <c r="AK185" s="13"/>
      <c r="AL185" s="13"/>
      <c r="AM185" s="13" t="s">
        <v>8739</v>
      </c>
      <c r="AN185" s="13" t="s">
        <v>96</v>
      </c>
      <c r="AO185" s="13" t="s">
        <v>8769</v>
      </c>
      <c r="AP185" s="20">
        <v>0.06</v>
      </c>
      <c r="AQ185" s="20">
        <f t="shared" si="57"/>
        <v>4.9999999999999996E-2</v>
      </c>
      <c r="AR185" s="92">
        <f t="shared" si="58"/>
        <v>249.74999999999994</v>
      </c>
      <c r="AS185" s="21">
        <f t="shared" si="59"/>
        <v>83.249999999999986</v>
      </c>
      <c r="AT185" s="22" t="s">
        <v>96</v>
      </c>
      <c r="AU185" s="13" t="s">
        <v>8772</v>
      </c>
      <c r="AV185" s="13" t="s">
        <v>8773</v>
      </c>
      <c r="AW185" s="13"/>
      <c r="AX185" s="13" t="s">
        <v>8774</v>
      </c>
      <c r="AY185" s="13" t="s">
        <v>8775</v>
      </c>
      <c r="AZ185" s="13"/>
    </row>
    <row r="186" spans="1:52" ht="12.75">
      <c r="A186" s="12">
        <v>44827</v>
      </c>
      <c r="B186" s="13" t="s">
        <v>3419</v>
      </c>
      <c r="C186" s="121" t="s">
        <v>111</v>
      </c>
      <c r="D186" s="17"/>
      <c r="E186" s="13"/>
      <c r="F186" s="14" t="s">
        <v>136</v>
      </c>
      <c r="G186" s="13"/>
      <c r="H186" s="13"/>
      <c r="I186" s="13"/>
      <c r="J186" s="14"/>
      <c r="K186" s="14"/>
      <c r="L186" s="13">
        <v>1</v>
      </c>
      <c r="M186" s="13"/>
      <c r="N186" s="13"/>
      <c r="O186" s="14" t="s">
        <v>95</v>
      </c>
      <c r="P186" s="14" t="s">
        <v>137</v>
      </c>
      <c r="Q186" s="14" t="s">
        <v>97</v>
      </c>
      <c r="R186" s="14">
        <v>3</v>
      </c>
      <c r="S186" s="14">
        <v>3</v>
      </c>
      <c r="T186" s="14">
        <v>3</v>
      </c>
      <c r="U186" s="14" t="s">
        <v>22</v>
      </c>
      <c r="V186" s="14">
        <f t="shared" si="55"/>
        <v>0.01</v>
      </c>
      <c r="W186" s="14">
        <f t="shared" si="56"/>
        <v>1664.9999999999998</v>
      </c>
      <c r="X186" s="17"/>
      <c r="Y186" s="17"/>
      <c r="Z186" s="17" t="s">
        <v>99</v>
      </c>
      <c r="AA186" s="18">
        <v>-0.06</v>
      </c>
      <c r="AB186" s="13"/>
      <c r="AC186" s="13"/>
      <c r="AD186" s="13"/>
      <c r="AE186" s="13"/>
      <c r="AF186" s="13"/>
      <c r="AG186" s="13" t="s">
        <v>8776</v>
      </c>
      <c r="AH186" s="13"/>
      <c r="AI186" s="19"/>
      <c r="AJ186" s="14"/>
      <c r="AK186" s="13"/>
      <c r="AL186" s="13"/>
      <c r="AM186" s="13" t="s">
        <v>8777</v>
      </c>
      <c r="AN186" s="13" t="s">
        <v>372</v>
      </c>
      <c r="AO186" s="13"/>
      <c r="AP186" s="20">
        <v>-0.05</v>
      </c>
      <c r="AQ186" s="20">
        <f t="shared" si="57"/>
        <v>9.999999999999995E-3</v>
      </c>
      <c r="AR186" s="92">
        <f t="shared" si="58"/>
        <v>49.94999999999996</v>
      </c>
      <c r="AS186" s="21">
        <f t="shared" si="59"/>
        <v>16.649999999999988</v>
      </c>
      <c r="AT186" s="22" t="s">
        <v>96</v>
      </c>
      <c r="AU186" s="13" t="s">
        <v>8778</v>
      </c>
      <c r="AV186" s="13" t="s">
        <v>8779</v>
      </c>
      <c r="AW186" s="13" t="s">
        <v>8780</v>
      </c>
      <c r="AX186" s="13" t="s">
        <v>8781</v>
      </c>
      <c r="AY186" s="13" t="s">
        <v>8782</v>
      </c>
      <c r="AZ186" s="13" t="s">
        <v>8783</v>
      </c>
    </row>
    <row r="187" spans="1:52" ht="12.75">
      <c r="A187" s="12">
        <v>44827</v>
      </c>
      <c r="B187" s="13" t="s">
        <v>3419</v>
      </c>
      <c r="C187" s="13" t="s">
        <v>111</v>
      </c>
      <c r="D187" s="17"/>
      <c r="E187" s="13"/>
      <c r="F187" s="14" t="s">
        <v>136</v>
      </c>
      <c r="G187" s="13"/>
      <c r="H187" s="13"/>
      <c r="I187" s="13"/>
      <c r="J187" s="14"/>
      <c r="K187" s="14"/>
      <c r="L187" s="13">
        <v>1</v>
      </c>
      <c r="M187" s="13"/>
      <c r="N187" s="13"/>
      <c r="O187" s="14" t="s">
        <v>95</v>
      </c>
      <c r="P187" s="14" t="s">
        <v>137</v>
      </c>
      <c r="Q187" s="14" t="s">
        <v>97</v>
      </c>
      <c r="R187" s="14">
        <v>3</v>
      </c>
      <c r="S187" s="14">
        <v>3</v>
      </c>
      <c r="T187" s="14">
        <v>3</v>
      </c>
      <c r="U187" s="14" t="s">
        <v>22</v>
      </c>
      <c r="V187" s="14">
        <f t="shared" si="55"/>
        <v>0.01</v>
      </c>
      <c r="W187" s="14">
        <f t="shared" si="56"/>
        <v>1664.9999999999998</v>
      </c>
      <c r="X187" s="17"/>
      <c r="Y187" s="17"/>
      <c r="Z187" s="17" t="s">
        <v>99</v>
      </c>
      <c r="AA187" s="18">
        <v>-0.06</v>
      </c>
      <c r="AB187" s="13"/>
      <c r="AC187" s="13"/>
      <c r="AD187" s="13"/>
      <c r="AE187" s="13"/>
      <c r="AF187" s="13"/>
      <c r="AG187" s="13"/>
      <c r="AH187" s="13"/>
      <c r="AI187" s="19"/>
      <c r="AJ187" s="14"/>
      <c r="AK187" s="13"/>
      <c r="AL187" s="13"/>
      <c r="AM187" s="13" t="s">
        <v>8784</v>
      </c>
      <c r="AN187" s="13" t="s">
        <v>115</v>
      </c>
      <c r="AO187" s="13"/>
      <c r="AP187" s="20">
        <v>-0.06</v>
      </c>
      <c r="AQ187" s="20">
        <f t="shared" si="57"/>
        <v>0</v>
      </c>
      <c r="AR187" s="92">
        <f t="shared" si="58"/>
        <v>0</v>
      </c>
      <c r="AS187" s="21">
        <f t="shared" si="59"/>
        <v>0</v>
      </c>
      <c r="AT187" s="22"/>
      <c r="AU187" s="13" t="s">
        <v>8785</v>
      </c>
      <c r="AV187" s="13" t="s">
        <v>8786</v>
      </c>
      <c r="AX187" s="13"/>
      <c r="AY187" s="13"/>
      <c r="AZ187" s="13"/>
    </row>
    <row r="188" spans="1:52" ht="12.75">
      <c r="A188" s="12">
        <v>44827</v>
      </c>
      <c r="B188" s="13" t="s">
        <v>3167</v>
      </c>
      <c r="C188" s="13" t="s">
        <v>111</v>
      </c>
      <c r="D188" s="17"/>
      <c r="E188" s="13"/>
      <c r="F188" s="36" t="s">
        <v>2283</v>
      </c>
      <c r="G188" s="13"/>
      <c r="H188" s="13"/>
      <c r="I188" s="13"/>
      <c r="J188" s="14"/>
      <c r="K188" s="14"/>
      <c r="L188" s="13"/>
      <c r="M188" s="13">
        <v>1</v>
      </c>
      <c r="N188" s="13"/>
      <c r="O188" s="14" t="s">
        <v>95</v>
      </c>
      <c r="P188" s="14" t="s">
        <v>96</v>
      </c>
      <c r="Q188" s="14" t="s">
        <v>256</v>
      </c>
      <c r="R188" s="14">
        <v>1</v>
      </c>
      <c r="S188" s="14">
        <v>1</v>
      </c>
      <c r="T188" s="14">
        <v>1</v>
      </c>
      <c r="U188" s="14" t="s">
        <v>22</v>
      </c>
      <c r="V188" s="14">
        <f t="shared" si="55"/>
        <v>0.01</v>
      </c>
      <c r="W188" s="14">
        <f t="shared" si="56"/>
        <v>1664.9999999999998</v>
      </c>
      <c r="X188" s="17"/>
      <c r="Y188" s="17"/>
      <c r="Z188" s="17" t="s">
        <v>8787</v>
      </c>
      <c r="AA188" s="18">
        <v>0.01</v>
      </c>
      <c r="AB188" s="13"/>
      <c r="AC188" s="13"/>
      <c r="AD188" s="13"/>
      <c r="AE188" s="13"/>
      <c r="AF188" s="13"/>
      <c r="AG188" s="13" t="s">
        <v>8788</v>
      </c>
      <c r="AH188" s="13"/>
      <c r="AI188" s="19"/>
      <c r="AJ188" s="14"/>
      <c r="AK188" s="13"/>
      <c r="AL188" s="13"/>
      <c r="AM188" s="13" t="s">
        <v>8789</v>
      </c>
      <c r="AN188" s="13" t="s">
        <v>115</v>
      </c>
      <c r="AO188" s="13" t="s">
        <v>8790</v>
      </c>
      <c r="AP188" s="20">
        <v>0.05</v>
      </c>
      <c r="AQ188" s="20">
        <f t="shared" si="57"/>
        <v>0.04</v>
      </c>
      <c r="AR188" s="92">
        <f t="shared" si="58"/>
        <v>66.599999999999994</v>
      </c>
      <c r="AS188" s="21">
        <f t="shared" si="59"/>
        <v>66.599999999999994</v>
      </c>
      <c r="AT188" s="22" t="s">
        <v>96</v>
      </c>
      <c r="AU188" s="13" t="s">
        <v>8791</v>
      </c>
      <c r="AV188" s="13"/>
      <c r="AW188" s="13"/>
      <c r="AX188" s="13"/>
      <c r="AY188" s="13"/>
      <c r="AZ188" s="13"/>
    </row>
    <row r="189" spans="1:52" ht="12.75">
      <c r="A189" s="12">
        <v>44830</v>
      </c>
      <c r="B189" s="13" t="s">
        <v>8792</v>
      </c>
      <c r="C189" s="13" t="s">
        <v>132</v>
      </c>
      <c r="D189" s="17"/>
      <c r="E189" s="13"/>
      <c r="F189" s="14" t="s">
        <v>8368</v>
      </c>
      <c r="G189" s="13"/>
      <c r="H189" s="13"/>
      <c r="I189" s="13"/>
      <c r="J189" s="14"/>
      <c r="K189" s="14"/>
      <c r="L189" s="13">
        <v>1</v>
      </c>
      <c r="M189" s="13"/>
      <c r="N189" s="13"/>
      <c r="O189" s="14" t="s">
        <v>95</v>
      </c>
      <c r="P189" s="14" t="s">
        <v>96</v>
      </c>
      <c r="Q189" s="14" t="s">
        <v>256</v>
      </c>
      <c r="R189" s="14">
        <v>1</v>
      </c>
      <c r="S189" s="14">
        <v>1</v>
      </c>
      <c r="T189" s="14">
        <v>1</v>
      </c>
      <c r="U189" s="14" t="s">
        <v>22</v>
      </c>
      <c r="V189" s="14">
        <f t="shared" si="55"/>
        <v>0.01</v>
      </c>
      <c r="W189" s="14">
        <f t="shared" si="56"/>
        <v>1664.9999999999998</v>
      </c>
      <c r="X189" s="17"/>
      <c r="Y189" s="17"/>
      <c r="Z189" s="17" t="s">
        <v>8793</v>
      </c>
      <c r="AA189" s="18">
        <v>0.43</v>
      </c>
      <c r="AB189" s="13"/>
      <c r="AC189" s="13"/>
      <c r="AD189" s="13"/>
      <c r="AE189" s="13"/>
      <c r="AF189" s="13"/>
      <c r="AG189" s="13"/>
      <c r="AH189" s="13"/>
      <c r="AI189" s="19"/>
      <c r="AJ189" s="14"/>
      <c r="AK189" s="13"/>
      <c r="AL189" s="13"/>
      <c r="AM189" s="13" t="s">
        <v>8794</v>
      </c>
      <c r="AN189" s="13" t="s">
        <v>372</v>
      </c>
      <c r="AO189" s="13"/>
      <c r="AP189" s="20">
        <v>0.45</v>
      </c>
      <c r="AQ189" s="20">
        <f t="shared" si="57"/>
        <v>2.0000000000000018E-2</v>
      </c>
      <c r="AR189" s="92">
        <f t="shared" si="58"/>
        <v>33.300000000000026</v>
      </c>
      <c r="AS189" s="21">
        <f t="shared" si="59"/>
        <v>33.300000000000026</v>
      </c>
      <c r="AT189" s="22" t="s">
        <v>96</v>
      </c>
      <c r="AU189" s="13" t="s">
        <v>8795</v>
      </c>
      <c r="AV189" s="13" t="s">
        <v>8796</v>
      </c>
      <c r="AW189" s="13" t="s">
        <v>8797</v>
      </c>
      <c r="AX189" s="13"/>
      <c r="AY189" s="13"/>
      <c r="AZ189" s="13"/>
    </row>
    <row r="190" spans="1:52" ht="12.75">
      <c r="A190" s="12">
        <v>44830</v>
      </c>
      <c r="B190" s="13" t="s">
        <v>733</v>
      </c>
      <c r="C190" s="13" t="s">
        <v>132</v>
      </c>
      <c r="D190" s="17"/>
      <c r="E190" s="13"/>
      <c r="F190" s="14" t="s">
        <v>136</v>
      </c>
      <c r="G190" s="13"/>
      <c r="H190" s="13"/>
      <c r="I190" s="13"/>
      <c r="J190" s="14"/>
      <c r="K190" s="14"/>
      <c r="L190" s="13">
        <v>1</v>
      </c>
      <c r="M190" s="13"/>
      <c r="N190" s="13"/>
      <c r="O190" s="14" t="s">
        <v>95</v>
      </c>
      <c r="P190" s="14" t="s">
        <v>137</v>
      </c>
      <c r="Q190" s="14" t="s">
        <v>97</v>
      </c>
      <c r="R190" s="14">
        <v>3</v>
      </c>
      <c r="S190" s="14">
        <v>3</v>
      </c>
      <c r="T190" s="14">
        <v>3</v>
      </c>
      <c r="U190" s="14" t="s">
        <v>97</v>
      </c>
      <c r="V190" s="14">
        <f t="shared" si="55"/>
        <v>0.01</v>
      </c>
      <c r="W190" s="14">
        <f t="shared" si="56"/>
        <v>1664.9999999999998</v>
      </c>
      <c r="X190" s="17"/>
      <c r="Y190" s="17"/>
      <c r="Z190" s="17" t="s">
        <v>8798</v>
      </c>
      <c r="AA190" s="18">
        <v>-0.06</v>
      </c>
      <c r="AB190" s="13"/>
      <c r="AC190" s="13"/>
      <c r="AD190" s="13"/>
      <c r="AE190" s="13"/>
      <c r="AF190" s="13"/>
      <c r="AG190" s="13" t="s">
        <v>8799</v>
      </c>
      <c r="AH190" s="13"/>
      <c r="AI190" s="19"/>
      <c r="AJ190" s="14"/>
      <c r="AK190" s="13"/>
      <c r="AL190" s="13"/>
      <c r="AM190" s="13" t="s">
        <v>8800</v>
      </c>
      <c r="AN190" s="13" t="s">
        <v>372</v>
      </c>
      <c r="AO190" s="13"/>
      <c r="AP190" s="20">
        <v>-7.0000000000000007E-2</v>
      </c>
      <c r="AQ190" s="20">
        <f t="shared" si="57"/>
        <v>1.0000000000000009E-2</v>
      </c>
      <c r="AR190" s="92">
        <f t="shared" si="58"/>
        <v>49.950000000000038</v>
      </c>
      <c r="AS190" s="21">
        <f t="shared" si="59"/>
        <v>16.650000000000013</v>
      </c>
      <c r="AT190" s="22" t="s">
        <v>96</v>
      </c>
      <c r="AU190" s="13" t="s">
        <v>8801</v>
      </c>
      <c r="AV190" s="13"/>
      <c r="AW190" s="13"/>
      <c r="AX190" s="13"/>
      <c r="AY190" s="13"/>
      <c r="AZ190" s="13"/>
    </row>
    <row r="191" spans="1:52" ht="12.75">
      <c r="A191" s="12">
        <v>44830</v>
      </c>
      <c r="B191" s="13" t="s">
        <v>8802</v>
      </c>
      <c r="C191" s="13" t="s">
        <v>132</v>
      </c>
      <c r="D191" s="17"/>
      <c r="E191" s="13"/>
      <c r="F191" s="14" t="s">
        <v>2568</v>
      </c>
      <c r="G191" s="13"/>
      <c r="H191" s="13"/>
      <c r="I191" s="13"/>
      <c r="J191" s="14"/>
      <c r="K191" s="14"/>
      <c r="L191" s="13">
        <v>1</v>
      </c>
      <c r="M191" s="13">
        <v>1</v>
      </c>
      <c r="N191" s="13"/>
      <c r="O191" s="14" t="s">
        <v>95</v>
      </c>
      <c r="P191" s="14" t="s">
        <v>137</v>
      </c>
      <c r="Q191" s="14" t="s">
        <v>256</v>
      </c>
      <c r="R191" s="14">
        <v>2</v>
      </c>
      <c r="S191" s="14">
        <v>2</v>
      </c>
      <c r="T191" s="14">
        <v>2</v>
      </c>
      <c r="U191" s="14" t="s">
        <v>97</v>
      </c>
      <c r="V191" s="14">
        <f t="shared" si="55"/>
        <v>0.01</v>
      </c>
      <c r="W191" s="14">
        <f t="shared" si="56"/>
        <v>1664.9999999999998</v>
      </c>
      <c r="X191" s="17"/>
      <c r="Y191" s="17"/>
      <c r="Z191" s="17" t="s">
        <v>8803</v>
      </c>
      <c r="AA191" s="18">
        <v>0</v>
      </c>
      <c r="AB191" s="13"/>
      <c r="AC191" s="13"/>
      <c r="AD191" s="13"/>
      <c r="AE191" s="13"/>
      <c r="AF191" s="13"/>
      <c r="AG191" s="13" t="s">
        <v>8804</v>
      </c>
      <c r="AH191" s="13"/>
      <c r="AI191" s="19"/>
      <c r="AJ191" s="14"/>
      <c r="AK191" s="13"/>
      <c r="AL191" s="13"/>
      <c r="AM191" s="13"/>
      <c r="AN191" s="13"/>
      <c r="AO191" s="13"/>
      <c r="AP191" s="20"/>
      <c r="AQ191" s="13">
        <f t="shared" si="57"/>
        <v>0</v>
      </c>
      <c r="AR191" s="92">
        <f t="shared" si="58"/>
        <v>0</v>
      </c>
      <c r="AS191" s="21">
        <f t="shared" si="59"/>
        <v>0</v>
      </c>
      <c r="AT191" s="22"/>
      <c r="AU191" s="13" t="s">
        <v>8805</v>
      </c>
      <c r="AV191" s="13" t="s">
        <v>8806</v>
      </c>
      <c r="AW191" s="13" t="s">
        <v>8807</v>
      </c>
      <c r="AX191" s="13" t="s">
        <v>8808</v>
      </c>
      <c r="AY191" s="13" t="s">
        <v>8809</v>
      </c>
      <c r="AZ191" s="13"/>
    </row>
    <row r="192" spans="1:52" ht="12.75">
      <c r="A192" s="12">
        <v>44830</v>
      </c>
      <c r="B192" s="13" t="s">
        <v>8810</v>
      </c>
      <c r="C192" s="13" t="s">
        <v>132</v>
      </c>
      <c r="D192" s="17"/>
      <c r="E192" s="13"/>
      <c r="F192" s="14" t="s">
        <v>136</v>
      </c>
      <c r="G192" s="13"/>
      <c r="H192" s="13"/>
      <c r="I192" s="13"/>
      <c r="J192" s="14"/>
      <c r="K192" s="14"/>
      <c r="L192" s="13">
        <v>1</v>
      </c>
      <c r="M192" s="13"/>
      <c r="N192" s="13"/>
      <c r="O192" s="14" t="s">
        <v>95</v>
      </c>
      <c r="P192" s="14" t="s">
        <v>137</v>
      </c>
      <c r="Q192" s="14" t="s">
        <v>97</v>
      </c>
      <c r="R192" s="14">
        <v>3</v>
      </c>
      <c r="S192" s="14">
        <v>3</v>
      </c>
      <c r="T192" s="14">
        <v>3</v>
      </c>
      <c r="U192" s="14" t="s">
        <v>22</v>
      </c>
      <c r="V192" s="14">
        <f t="shared" si="55"/>
        <v>0.01</v>
      </c>
      <c r="W192" s="14">
        <f t="shared" si="56"/>
        <v>1664.9999999999998</v>
      </c>
      <c r="X192" s="17"/>
      <c r="Y192" s="17"/>
      <c r="Z192" s="17" t="s">
        <v>8811</v>
      </c>
      <c r="AA192" s="18">
        <v>-7.0000000000000007E-2</v>
      </c>
      <c r="AB192" s="13"/>
      <c r="AC192" s="13"/>
      <c r="AD192" s="13"/>
      <c r="AE192" s="13"/>
      <c r="AF192" s="13"/>
      <c r="AG192" s="13"/>
      <c r="AH192" s="13"/>
      <c r="AI192" s="19"/>
      <c r="AJ192" s="14"/>
      <c r="AK192" s="13"/>
      <c r="AL192" s="13"/>
      <c r="AM192" s="13" t="s">
        <v>8812</v>
      </c>
      <c r="AN192" s="13" t="s">
        <v>372</v>
      </c>
      <c r="AO192" s="13"/>
      <c r="AP192" s="20">
        <v>-0.06</v>
      </c>
      <c r="AQ192" s="20">
        <f t="shared" si="57"/>
        <v>1.0000000000000009E-2</v>
      </c>
      <c r="AR192" s="92">
        <f t="shared" si="58"/>
        <v>49.950000000000038</v>
      </c>
      <c r="AS192" s="21">
        <f t="shared" si="59"/>
        <v>16.650000000000013</v>
      </c>
      <c r="AT192" s="22" t="s">
        <v>96</v>
      </c>
      <c r="AU192" s="13" t="s">
        <v>8805</v>
      </c>
      <c r="AV192" s="13" t="s">
        <v>8806</v>
      </c>
      <c r="AW192" s="13" t="s">
        <v>8813</v>
      </c>
      <c r="AX192" s="13" t="s">
        <v>8813</v>
      </c>
      <c r="AY192" s="13" t="s">
        <v>8814</v>
      </c>
      <c r="AZ192" s="13" t="s">
        <v>8815</v>
      </c>
    </row>
    <row r="193" spans="1:52" ht="12.75">
      <c r="A193" s="12">
        <v>44830</v>
      </c>
      <c r="B193" s="33"/>
      <c r="C193" s="13" t="s">
        <v>132</v>
      </c>
      <c r="D193" s="17"/>
      <c r="E193" s="13"/>
      <c r="F193" s="14" t="s">
        <v>5740</v>
      </c>
      <c r="G193" s="13"/>
      <c r="H193" s="13"/>
      <c r="I193" s="13"/>
      <c r="J193" s="14"/>
      <c r="K193" s="14"/>
      <c r="L193" s="13">
        <v>1</v>
      </c>
      <c r="M193" s="13">
        <v>1</v>
      </c>
      <c r="N193" s="13"/>
      <c r="O193" s="14" t="s">
        <v>95</v>
      </c>
      <c r="P193" s="14" t="s">
        <v>137</v>
      </c>
      <c r="Q193" s="14" t="s">
        <v>256</v>
      </c>
      <c r="R193" s="14">
        <v>4</v>
      </c>
      <c r="S193" s="14">
        <v>4</v>
      </c>
      <c r="T193" s="14">
        <v>4</v>
      </c>
      <c r="U193" s="14" t="s">
        <v>22</v>
      </c>
      <c r="V193" s="14">
        <f t="shared" si="55"/>
        <v>0.01</v>
      </c>
      <c r="W193" s="14">
        <f t="shared" si="56"/>
        <v>1664.9999999999998</v>
      </c>
      <c r="X193" s="17"/>
      <c r="Y193" s="17"/>
      <c r="Z193" s="17" t="s">
        <v>8816</v>
      </c>
      <c r="AA193" s="18">
        <v>95.67</v>
      </c>
      <c r="AB193" s="13"/>
      <c r="AC193" s="13"/>
      <c r="AD193" s="13"/>
      <c r="AE193" s="13"/>
      <c r="AF193" s="13"/>
      <c r="AG193" s="13"/>
      <c r="AH193" s="13"/>
      <c r="AI193" s="19"/>
      <c r="AJ193" s="14"/>
      <c r="AK193" s="13"/>
      <c r="AL193" s="13"/>
      <c r="AM193" s="13"/>
      <c r="AN193" s="13" t="s">
        <v>372</v>
      </c>
      <c r="AO193" s="13"/>
      <c r="AP193" s="20">
        <v>95.68</v>
      </c>
      <c r="AQ193" s="20">
        <f t="shared" si="57"/>
        <v>1.0000000000005116E-2</v>
      </c>
      <c r="AR193" s="92">
        <f t="shared" si="58"/>
        <v>66.600000000034058</v>
      </c>
      <c r="AS193" s="21">
        <f t="shared" si="59"/>
        <v>16.650000000008514</v>
      </c>
      <c r="AT193" s="22" t="s">
        <v>96</v>
      </c>
      <c r="AU193" s="13" t="s">
        <v>8817</v>
      </c>
      <c r="AV193" s="13" t="s">
        <v>8818</v>
      </c>
      <c r="AW193" s="13"/>
      <c r="AX193" s="13" t="s">
        <v>8819</v>
      </c>
      <c r="AY193" s="13" t="s">
        <v>8820</v>
      </c>
      <c r="AZ193" s="13"/>
    </row>
    <row r="194" spans="1:52" ht="12.75">
      <c r="A194" s="12">
        <v>44830</v>
      </c>
      <c r="B194" s="13"/>
      <c r="C194" s="13" t="s">
        <v>132</v>
      </c>
      <c r="D194" s="17"/>
      <c r="E194" s="13"/>
      <c r="F194" s="14" t="s">
        <v>8251</v>
      </c>
      <c r="G194" s="13"/>
      <c r="H194" s="13"/>
      <c r="I194" s="13"/>
      <c r="J194" s="14"/>
      <c r="K194" s="14"/>
      <c r="L194" s="13">
        <v>1</v>
      </c>
      <c r="M194" s="13">
        <v>1</v>
      </c>
      <c r="N194" s="13"/>
      <c r="O194" s="14" t="s">
        <v>95</v>
      </c>
      <c r="P194" s="14" t="s">
        <v>137</v>
      </c>
      <c r="Q194" s="14" t="s">
        <v>256</v>
      </c>
      <c r="R194" s="14">
        <v>2</v>
      </c>
      <c r="S194" s="14">
        <v>2</v>
      </c>
      <c r="T194" s="14">
        <v>2</v>
      </c>
      <c r="U194" s="14" t="s">
        <v>97</v>
      </c>
      <c r="V194" s="14">
        <f t="shared" si="55"/>
        <v>0.01</v>
      </c>
      <c r="W194" s="14">
        <f t="shared" si="56"/>
        <v>1664.9999999999998</v>
      </c>
      <c r="X194" s="17"/>
      <c r="Y194" s="17"/>
      <c r="Z194" s="17" t="s">
        <v>8816</v>
      </c>
      <c r="AA194" s="18">
        <v>95.57</v>
      </c>
      <c r="AB194" s="13"/>
      <c r="AC194" s="13"/>
      <c r="AD194" s="13"/>
      <c r="AE194" s="13"/>
      <c r="AF194" s="13"/>
      <c r="AG194" s="13"/>
      <c r="AH194" s="13"/>
      <c r="AI194" s="19"/>
      <c r="AJ194" s="14"/>
      <c r="AK194" s="13"/>
      <c r="AL194" s="13"/>
      <c r="AM194" s="13"/>
      <c r="AN194" s="13" t="s">
        <v>372</v>
      </c>
      <c r="AO194" s="13"/>
      <c r="AP194" s="20">
        <v>95.58</v>
      </c>
      <c r="AQ194" s="20">
        <f t="shared" si="57"/>
        <v>-1.0000000000005116E-2</v>
      </c>
      <c r="AR194" s="92">
        <f t="shared" si="58"/>
        <v>-33.300000000017029</v>
      </c>
      <c r="AS194" s="21">
        <f t="shared" si="59"/>
        <v>-16.650000000008514</v>
      </c>
      <c r="AT194" s="22" t="s">
        <v>229</v>
      </c>
      <c r="AU194" s="13" t="s">
        <v>8821</v>
      </c>
      <c r="AV194" s="13" t="s">
        <v>8818</v>
      </c>
      <c r="AW194" s="13"/>
      <c r="AX194" s="13" t="s">
        <v>8822</v>
      </c>
      <c r="AY194" s="13" t="s">
        <v>8820</v>
      </c>
      <c r="AZ194" s="13"/>
    </row>
    <row r="195" spans="1:52" ht="12.75">
      <c r="A195" s="12">
        <v>44830</v>
      </c>
      <c r="B195" s="13" t="s">
        <v>6409</v>
      </c>
      <c r="C195" s="13" t="s">
        <v>132</v>
      </c>
      <c r="D195" s="17"/>
      <c r="E195" s="13"/>
      <c r="F195" s="14" t="s">
        <v>2568</v>
      </c>
      <c r="G195" s="13"/>
      <c r="H195" s="13"/>
      <c r="I195" s="13"/>
      <c r="J195" s="14"/>
      <c r="K195" s="14"/>
      <c r="L195" s="13">
        <v>1</v>
      </c>
      <c r="M195" s="13">
        <v>2</v>
      </c>
      <c r="N195" s="13"/>
      <c r="O195" s="14" t="s">
        <v>95</v>
      </c>
      <c r="P195" s="14" t="s">
        <v>137</v>
      </c>
      <c r="Q195" s="14" t="s">
        <v>256</v>
      </c>
      <c r="R195" s="14">
        <v>2</v>
      </c>
      <c r="S195" s="14">
        <v>2</v>
      </c>
      <c r="T195" s="14">
        <v>1</v>
      </c>
      <c r="U195" s="14" t="s">
        <v>97</v>
      </c>
      <c r="V195" s="14">
        <f t="shared" si="55"/>
        <v>0.01</v>
      </c>
      <c r="W195" s="14">
        <f t="shared" si="56"/>
        <v>1664.9999999999998</v>
      </c>
      <c r="X195" s="17"/>
      <c r="Y195" s="17"/>
      <c r="Z195" s="28" t="s">
        <v>8823</v>
      </c>
      <c r="AA195" s="18">
        <v>-0.01</v>
      </c>
      <c r="AB195" s="13"/>
      <c r="AC195" s="13"/>
      <c r="AD195" s="13"/>
      <c r="AE195" s="13"/>
      <c r="AF195" s="13"/>
      <c r="AG195" s="13"/>
      <c r="AH195" s="13"/>
      <c r="AI195" s="19"/>
      <c r="AJ195" s="14"/>
      <c r="AK195" s="13"/>
      <c r="AL195" s="13"/>
      <c r="AM195" s="13"/>
      <c r="AN195" s="13"/>
      <c r="AO195" s="13" t="s">
        <v>8824</v>
      </c>
      <c r="AP195" s="20"/>
      <c r="AQ195" s="13">
        <f t="shared" si="57"/>
        <v>0</v>
      </c>
      <c r="AR195" s="92">
        <f t="shared" si="58"/>
        <v>0</v>
      </c>
      <c r="AS195" s="21">
        <f t="shared" si="59"/>
        <v>0</v>
      </c>
      <c r="AT195" s="22"/>
      <c r="AU195" s="13" t="s">
        <v>8825</v>
      </c>
      <c r="AV195" s="13" t="s">
        <v>8826</v>
      </c>
      <c r="AW195" s="13"/>
      <c r="AX195" s="13"/>
      <c r="AY195" s="13"/>
      <c r="AZ195" s="13"/>
    </row>
    <row r="196" spans="1:52" ht="12.75">
      <c r="A196" s="12">
        <v>44830</v>
      </c>
      <c r="B196" s="13" t="s">
        <v>8827</v>
      </c>
      <c r="C196" s="13" t="s">
        <v>132</v>
      </c>
      <c r="D196" s="17"/>
      <c r="E196" s="13"/>
      <c r="F196" s="14" t="s">
        <v>136</v>
      </c>
      <c r="G196" s="13"/>
      <c r="H196" s="13"/>
      <c r="I196" s="13"/>
      <c r="J196" s="14"/>
      <c r="K196" s="14"/>
      <c r="L196" s="13">
        <v>1</v>
      </c>
      <c r="M196" s="13"/>
      <c r="N196" s="13"/>
      <c r="O196" s="14" t="s">
        <v>95</v>
      </c>
      <c r="P196" s="14" t="s">
        <v>137</v>
      </c>
      <c r="Q196" s="14" t="s">
        <v>97</v>
      </c>
      <c r="R196" s="14">
        <v>3</v>
      </c>
      <c r="S196" s="14">
        <v>3</v>
      </c>
      <c r="T196" s="14">
        <v>3</v>
      </c>
      <c r="U196" s="14" t="s">
        <v>97</v>
      </c>
      <c r="V196" s="14">
        <f t="shared" si="55"/>
        <v>0.01</v>
      </c>
      <c r="W196" s="14">
        <f t="shared" si="56"/>
        <v>1664.9999999999998</v>
      </c>
      <c r="X196" s="17"/>
      <c r="Y196" s="17"/>
      <c r="Z196" s="29" t="s">
        <v>99</v>
      </c>
      <c r="AA196" s="18">
        <v>-0.05</v>
      </c>
      <c r="AB196" s="13"/>
      <c r="AC196" s="13"/>
      <c r="AD196" s="13"/>
      <c r="AE196" s="13"/>
      <c r="AF196" s="13"/>
      <c r="AG196" s="13"/>
      <c r="AH196" s="13"/>
      <c r="AI196" s="19"/>
      <c r="AJ196" s="14"/>
      <c r="AK196" s="13"/>
      <c r="AL196" s="13"/>
      <c r="AM196" s="13"/>
      <c r="AN196" s="13" t="s">
        <v>115</v>
      </c>
      <c r="AO196" s="13" t="s">
        <v>8828</v>
      </c>
      <c r="AP196" s="20">
        <v>-0.06</v>
      </c>
      <c r="AQ196" s="20">
        <f t="shared" si="57"/>
        <v>9.999999999999995E-3</v>
      </c>
      <c r="AR196" s="92">
        <f t="shared" si="58"/>
        <v>49.94999999999996</v>
      </c>
      <c r="AS196" s="21">
        <f t="shared" si="59"/>
        <v>16.649999999999988</v>
      </c>
      <c r="AT196" s="22" t="s">
        <v>96</v>
      </c>
      <c r="AU196" s="13"/>
      <c r="AV196" s="13"/>
      <c r="AW196" s="13"/>
      <c r="AX196" s="13"/>
      <c r="AY196" s="13"/>
      <c r="AZ196" s="13"/>
    </row>
    <row r="197" spans="1:52" ht="12.75">
      <c r="A197" s="12">
        <v>44831</v>
      </c>
      <c r="B197" s="13" t="s">
        <v>8829</v>
      </c>
      <c r="C197" s="13" t="s">
        <v>146</v>
      </c>
      <c r="D197" s="17"/>
      <c r="E197" s="13"/>
      <c r="F197" s="14" t="s">
        <v>136</v>
      </c>
      <c r="G197" s="13"/>
      <c r="H197" s="13"/>
      <c r="I197" s="13"/>
      <c r="J197" s="14"/>
      <c r="K197" s="14"/>
      <c r="L197" s="13">
        <v>1</v>
      </c>
      <c r="M197" s="13"/>
      <c r="N197" s="13"/>
      <c r="O197" s="14" t="s">
        <v>95</v>
      </c>
      <c r="P197" s="14" t="s">
        <v>137</v>
      </c>
      <c r="Q197" s="14" t="s">
        <v>97</v>
      </c>
      <c r="R197" s="14">
        <v>3</v>
      </c>
      <c r="S197" s="14">
        <v>3</v>
      </c>
      <c r="T197" s="14">
        <v>3</v>
      </c>
      <c r="U197" s="14" t="s">
        <v>97</v>
      </c>
      <c r="V197" s="14">
        <f t="shared" si="55"/>
        <v>0.01</v>
      </c>
      <c r="W197" s="14">
        <f t="shared" si="56"/>
        <v>1664.9999999999998</v>
      </c>
      <c r="X197" s="17"/>
      <c r="Y197" s="17"/>
      <c r="Z197" s="29" t="s">
        <v>99</v>
      </c>
      <c r="AA197" s="18">
        <v>-0.05</v>
      </c>
      <c r="AB197" s="13"/>
      <c r="AC197" s="13"/>
      <c r="AD197" s="13"/>
      <c r="AE197" s="13"/>
      <c r="AF197" s="13"/>
      <c r="AG197" s="13"/>
      <c r="AH197" s="13"/>
      <c r="AI197" s="19"/>
      <c r="AJ197" s="14"/>
      <c r="AK197" s="13"/>
      <c r="AL197" s="13"/>
      <c r="AM197" s="13"/>
      <c r="AN197" s="13"/>
      <c r="AO197" s="13"/>
      <c r="AP197" s="20"/>
      <c r="AQ197" s="13">
        <f t="shared" si="57"/>
        <v>0</v>
      </c>
      <c r="AR197" s="92">
        <f t="shared" si="58"/>
        <v>0</v>
      </c>
      <c r="AS197" s="21">
        <f t="shared" si="59"/>
        <v>0</v>
      </c>
      <c r="AT197" s="22"/>
      <c r="AU197" s="13" t="s">
        <v>8830</v>
      </c>
      <c r="AV197" s="13"/>
      <c r="AW197" s="13"/>
      <c r="AX197" s="13"/>
      <c r="AY197" s="13"/>
      <c r="AZ197" s="13"/>
    </row>
    <row r="198" spans="1:52" ht="12.75">
      <c r="A198" s="12">
        <v>44831</v>
      </c>
      <c r="B198" s="13" t="s">
        <v>8831</v>
      </c>
      <c r="C198" s="13" t="s">
        <v>146</v>
      </c>
      <c r="D198" s="17"/>
      <c r="E198" s="13"/>
      <c r="F198" s="14" t="s">
        <v>136</v>
      </c>
      <c r="G198" s="13"/>
      <c r="H198" s="13"/>
      <c r="I198" s="13"/>
      <c r="J198" s="14"/>
      <c r="K198" s="14"/>
      <c r="L198" s="13">
        <v>1</v>
      </c>
      <c r="M198" s="13"/>
      <c r="N198" s="13"/>
      <c r="O198" s="14" t="s">
        <v>95</v>
      </c>
      <c r="P198" s="14" t="s">
        <v>137</v>
      </c>
      <c r="Q198" s="14" t="s">
        <v>97</v>
      </c>
      <c r="R198" s="14">
        <v>2</v>
      </c>
      <c r="S198" s="14">
        <v>2</v>
      </c>
      <c r="T198" s="14">
        <v>2</v>
      </c>
      <c r="U198" s="14" t="s">
        <v>97</v>
      </c>
      <c r="V198" s="14">
        <f t="shared" si="55"/>
        <v>0.01</v>
      </c>
      <c r="W198" s="14">
        <f t="shared" si="56"/>
        <v>1664.9999999999998</v>
      </c>
      <c r="X198" s="17"/>
      <c r="Y198" s="17"/>
      <c r="Z198" s="29" t="s">
        <v>99</v>
      </c>
      <c r="AA198" s="18">
        <v>-0.04</v>
      </c>
      <c r="AB198" s="13"/>
      <c r="AC198" s="13"/>
      <c r="AD198" s="13"/>
      <c r="AE198" s="13"/>
      <c r="AF198" s="13"/>
      <c r="AG198" s="13"/>
      <c r="AH198" s="13"/>
      <c r="AI198" s="19"/>
      <c r="AJ198" s="14"/>
      <c r="AK198" s="13"/>
      <c r="AL198" s="13"/>
      <c r="AM198" s="13"/>
      <c r="AN198" s="13"/>
      <c r="AO198" s="13"/>
      <c r="AP198" s="20"/>
      <c r="AQ198" s="13">
        <f t="shared" si="57"/>
        <v>0</v>
      </c>
      <c r="AR198" s="92">
        <f t="shared" si="58"/>
        <v>0</v>
      </c>
      <c r="AS198" s="21">
        <f t="shared" si="59"/>
        <v>0</v>
      </c>
      <c r="AT198" s="22"/>
      <c r="AU198" s="13" t="s">
        <v>8832</v>
      </c>
      <c r="AV198" s="13"/>
      <c r="AW198" s="13"/>
      <c r="AX198" s="13"/>
      <c r="AY198" s="13"/>
      <c r="AZ198" s="13"/>
    </row>
    <row r="199" spans="1:52" ht="12.75">
      <c r="A199" s="12">
        <v>44831</v>
      </c>
      <c r="B199" s="13" t="s">
        <v>8833</v>
      </c>
      <c r="C199" s="13" t="s">
        <v>146</v>
      </c>
      <c r="D199" s="17"/>
      <c r="E199" s="13"/>
      <c r="F199" s="14" t="s">
        <v>8556</v>
      </c>
      <c r="G199" s="13"/>
      <c r="H199" s="13"/>
      <c r="I199" s="13"/>
      <c r="J199" s="14"/>
      <c r="K199" s="14"/>
      <c r="L199" s="13">
        <v>1</v>
      </c>
      <c r="M199" s="13">
        <v>1</v>
      </c>
      <c r="N199" s="13"/>
      <c r="O199" s="14" t="s">
        <v>95</v>
      </c>
      <c r="P199" s="14" t="s">
        <v>96</v>
      </c>
      <c r="Q199" s="14" t="s">
        <v>256</v>
      </c>
      <c r="R199" s="14">
        <v>2</v>
      </c>
      <c r="S199" s="14">
        <v>2</v>
      </c>
      <c r="T199" s="14">
        <v>2</v>
      </c>
      <c r="U199" s="14" t="s">
        <v>22</v>
      </c>
      <c r="V199" s="14">
        <f t="shared" si="55"/>
        <v>0.01</v>
      </c>
      <c r="W199" s="14">
        <f t="shared" si="56"/>
        <v>1664.9999999999998</v>
      </c>
      <c r="X199" s="17"/>
      <c r="Y199" s="17"/>
      <c r="Z199" s="29" t="s">
        <v>8834</v>
      </c>
      <c r="AA199" s="18">
        <v>0.03</v>
      </c>
      <c r="AB199" s="13" t="s">
        <v>8835</v>
      </c>
      <c r="AC199" s="13"/>
      <c r="AD199" s="13"/>
      <c r="AE199" s="13"/>
      <c r="AF199" s="13"/>
      <c r="AG199" s="13"/>
      <c r="AH199" s="13"/>
      <c r="AI199" s="19"/>
      <c r="AJ199" s="14"/>
      <c r="AK199" s="13"/>
      <c r="AL199" s="13"/>
      <c r="AM199" s="13"/>
      <c r="AN199" s="13"/>
      <c r="AO199" s="13"/>
      <c r="AP199" s="20"/>
      <c r="AQ199" s="13">
        <f t="shared" si="57"/>
        <v>0</v>
      </c>
      <c r="AR199" s="92">
        <f t="shared" si="58"/>
        <v>0</v>
      </c>
      <c r="AS199" s="21">
        <f t="shared" si="59"/>
        <v>0</v>
      </c>
      <c r="AT199" s="22"/>
      <c r="AU199" s="13"/>
      <c r="AV199" s="13"/>
      <c r="AW199" s="13"/>
      <c r="AX199" s="13"/>
      <c r="AY199" s="13"/>
      <c r="AZ199" s="13"/>
    </row>
    <row r="200" spans="1:52" ht="12.75">
      <c r="A200" s="12">
        <v>44831</v>
      </c>
      <c r="B200" s="13" t="s">
        <v>8836</v>
      </c>
      <c r="C200" s="13" t="s">
        <v>146</v>
      </c>
      <c r="D200" s="17"/>
      <c r="E200" s="13"/>
      <c r="F200" s="14" t="s">
        <v>8837</v>
      </c>
      <c r="G200" s="13"/>
      <c r="H200" s="13"/>
      <c r="I200" s="13"/>
      <c r="J200" s="14"/>
      <c r="K200" s="14"/>
      <c r="L200" s="13">
        <v>1</v>
      </c>
      <c r="M200" s="13"/>
      <c r="N200" s="13"/>
      <c r="O200" s="14" t="s">
        <v>95</v>
      </c>
      <c r="P200" s="14" t="s">
        <v>137</v>
      </c>
      <c r="Q200" s="14" t="s">
        <v>97</v>
      </c>
      <c r="R200" s="14">
        <v>5</v>
      </c>
      <c r="S200" s="14">
        <v>5</v>
      </c>
      <c r="T200" s="14">
        <v>3</v>
      </c>
      <c r="U200" s="14" t="s">
        <v>97</v>
      </c>
      <c r="V200" s="14">
        <f t="shared" si="55"/>
        <v>0.01</v>
      </c>
      <c r="W200" s="14">
        <f t="shared" si="56"/>
        <v>1664.9999999999998</v>
      </c>
      <c r="X200" s="17"/>
      <c r="Y200" s="17"/>
      <c r="Z200" s="29" t="s">
        <v>99</v>
      </c>
      <c r="AA200" s="18">
        <v>-4.5999999999999999E-2</v>
      </c>
      <c r="AB200" s="13"/>
      <c r="AC200" s="13"/>
      <c r="AD200" s="13"/>
      <c r="AE200" s="13"/>
      <c r="AF200" s="13"/>
      <c r="AG200" s="13"/>
      <c r="AH200" s="13"/>
      <c r="AI200" s="19"/>
      <c r="AJ200" s="14"/>
      <c r="AK200" s="13"/>
      <c r="AL200" s="13"/>
      <c r="AM200" s="13" t="s">
        <v>8838</v>
      </c>
      <c r="AN200" s="13" t="s">
        <v>372</v>
      </c>
      <c r="AO200" s="13"/>
      <c r="AP200" s="20">
        <v>-0.06</v>
      </c>
      <c r="AQ200" s="20">
        <f t="shared" si="57"/>
        <v>1.3999999999999999E-2</v>
      </c>
      <c r="AR200" s="92">
        <f t="shared" si="58"/>
        <v>116.54999999999998</v>
      </c>
      <c r="AS200" s="21">
        <f t="shared" si="59"/>
        <v>23.309999999999995</v>
      </c>
      <c r="AT200" s="22" t="s">
        <v>96</v>
      </c>
      <c r="AU200" s="13" t="s">
        <v>8839</v>
      </c>
      <c r="AV200" s="13"/>
      <c r="AW200" s="13"/>
      <c r="AX200" s="13"/>
      <c r="AY200" s="13"/>
      <c r="AZ200" s="13"/>
    </row>
    <row r="201" spans="1:52" ht="12.75">
      <c r="A201" s="12">
        <v>44831</v>
      </c>
      <c r="B201" s="13" t="s">
        <v>8836</v>
      </c>
      <c r="C201" s="13" t="s">
        <v>146</v>
      </c>
      <c r="D201" s="17"/>
      <c r="E201" s="13"/>
      <c r="F201" s="14" t="s">
        <v>2568</v>
      </c>
      <c r="G201" s="13"/>
      <c r="H201" s="13"/>
      <c r="I201" s="13"/>
      <c r="J201" s="14"/>
      <c r="K201" s="14"/>
      <c r="L201" s="13">
        <v>1</v>
      </c>
      <c r="M201" s="13">
        <v>1</v>
      </c>
      <c r="N201" s="13"/>
      <c r="O201" s="14" t="s">
        <v>95</v>
      </c>
      <c r="P201" s="14" t="s">
        <v>137</v>
      </c>
      <c r="Q201" s="14" t="s">
        <v>256</v>
      </c>
      <c r="R201" s="14">
        <v>1</v>
      </c>
      <c r="S201" s="14">
        <v>1</v>
      </c>
      <c r="T201" s="14">
        <v>1</v>
      </c>
      <c r="U201" s="14" t="s">
        <v>97</v>
      </c>
      <c r="V201" s="14">
        <f t="shared" si="55"/>
        <v>0.01</v>
      </c>
      <c r="W201" s="14">
        <f t="shared" si="56"/>
        <v>1664.9999999999998</v>
      </c>
      <c r="X201" s="17"/>
      <c r="Y201" s="17"/>
      <c r="Z201" s="28" t="s">
        <v>8823</v>
      </c>
      <c r="AA201" s="18">
        <v>0</v>
      </c>
      <c r="AB201" s="13"/>
      <c r="AC201" s="13"/>
      <c r="AD201" s="13"/>
      <c r="AE201" s="13"/>
      <c r="AF201" s="13"/>
      <c r="AG201" s="13"/>
      <c r="AH201" s="13"/>
      <c r="AI201" s="19"/>
      <c r="AJ201" s="14"/>
      <c r="AK201" s="13"/>
      <c r="AL201" s="13"/>
      <c r="AM201" s="13"/>
      <c r="AN201" s="13"/>
      <c r="AO201" s="13"/>
      <c r="AP201" s="20"/>
      <c r="AQ201" s="13">
        <f t="shared" si="57"/>
        <v>0</v>
      </c>
      <c r="AR201" s="92">
        <f t="shared" si="58"/>
        <v>0</v>
      </c>
      <c r="AS201" s="21">
        <f t="shared" si="59"/>
        <v>0</v>
      </c>
      <c r="AT201" s="22"/>
      <c r="AU201" s="13"/>
      <c r="AV201" s="13"/>
      <c r="AW201" s="13"/>
      <c r="AX201" s="13"/>
      <c r="AY201" s="13"/>
      <c r="AZ201" s="13"/>
    </row>
    <row r="202" spans="1:52" ht="12.75">
      <c r="A202" s="12">
        <v>44832</v>
      </c>
      <c r="B202" s="13" t="s">
        <v>493</v>
      </c>
      <c r="C202" s="13" t="s">
        <v>151</v>
      </c>
      <c r="D202" s="17"/>
      <c r="E202" s="13"/>
      <c r="F202" s="14" t="s">
        <v>8556</v>
      </c>
      <c r="G202" s="13"/>
      <c r="H202" s="13"/>
      <c r="I202" s="13"/>
      <c r="J202" s="14"/>
      <c r="K202" s="14"/>
      <c r="L202" s="13">
        <v>1</v>
      </c>
      <c r="M202" s="13">
        <v>1</v>
      </c>
      <c r="N202" s="13"/>
      <c r="O202" s="14" t="s">
        <v>95</v>
      </c>
      <c r="P202" s="14" t="s">
        <v>137</v>
      </c>
      <c r="Q202" s="14" t="s">
        <v>256</v>
      </c>
      <c r="R202" s="14">
        <v>6</v>
      </c>
      <c r="S202" s="14">
        <v>6</v>
      </c>
      <c r="T202" s="14">
        <v>2</v>
      </c>
      <c r="U202" s="14" t="s">
        <v>22</v>
      </c>
      <c r="V202" s="14">
        <f t="shared" si="55"/>
        <v>0.01</v>
      </c>
      <c r="W202" s="14">
        <f t="shared" si="56"/>
        <v>1664.9999999999998</v>
      </c>
      <c r="X202" s="17"/>
      <c r="Y202" s="17"/>
      <c r="Z202" s="17" t="s">
        <v>8840</v>
      </c>
      <c r="AA202" s="18">
        <v>1.3299999999999999E-2</v>
      </c>
      <c r="AB202" s="13"/>
      <c r="AC202" s="13"/>
      <c r="AD202" s="13"/>
      <c r="AE202" s="13"/>
      <c r="AF202" s="13"/>
      <c r="AG202" s="13"/>
      <c r="AH202" s="13"/>
      <c r="AI202" s="19"/>
      <c r="AJ202" s="14"/>
      <c r="AK202" s="13" t="s">
        <v>8841</v>
      </c>
      <c r="AL202" s="13" t="s">
        <v>8842</v>
      </c>
      <c r="AM202" s="13"/>
      <c r="AN202" s="13"/>
      <c r="AO202" s="13"/>
      <c r="AP202" s="20"/>
      <c r="AQ202" s="13">
        <f t="shared" si="57"/>
        <v>0</v>
      </c>
      <c r="AR202" s="92">
        <f t="shared" si="58"/>
        <v>0</v>
      </c>
      <c r="AS202" s="21">
        <f t="shared" si="59"/>
        <v>0</v>
      </c>
      <c r="AT202" s="22"/>
      <c r="AU202" s="13"/>
      <c r="AV202" s="13"/>
      <c r="AW202" s="13"/>
      <c r="AX202" s="13"/>
      <c r="AY202" s="13"/>
      <c r="AZ202" s="13"/>
    </row>
    <row r="203" spans="1:52" ht="12.75">
      <c r="A203" s="12">
        <v>44832</v>
      </c>
      <c r="B203" s="13" t="s">
        <v>2754</v>
      </c>
      <c r="C203" s="13" t="s">
        <v>151</v>
      </c>
      <c r="D203" s="17"/>
      <c r="E203" s="13"/>
      <c r="F203" s="14" t="s">
        <v>136</v>
      </c>
      <c r="G203" s="13"/>
      <c r="H203" s="13"/>
      <c r="I203" s="13"/>
      <c r="J203" s="14"/>
      <c r="K203" s="14"/>
      <c r="L203" s="13">
        <v>1</v>
      </c>
      <c r="M203" s="13"/>
      <c r="N203" s="13"/>
      <c r="O203" s="14" t="s">
        <v>95</v>
      </c>
      <c r="P203" s="14" t="s">
        <v>137</v>
      </c>
      <c r="Q203" s="14" t="s">
        <v>97</v>
      </c>
      <c r="R203" s="14">
        <v>3</v>
      </c>
      <c r="S203" s="14">
        <v>3</v>
      </c>
      <c r="T203" s="14">
        <v>3</v>
      </c>
      <c r="U203" s="14" t="s">
        <v>97</v>
      </c>
      <c r="V203" s="14">
        <f t="shared" si="55"/>
        <v>0.01</v>
      </c>
      <c r="W203" s="14">
        <f t="shared" si="56"/>
        <v>1664.9999999999998</v>
      </c>
      <c r="X203" s="17"/>
      <c r="Y203" s="17"/>
      <c r="Z203" s="29" t="s">
        <v>99</v>
      </c>
      <c r="AA203" s="18">
        <v>-0.04</v>
      </c>
      <c r="AB203" s="13"/>
      <c r="AC203" s="13"/>
      <c r="AD203" s="13"/>
      <c r="AE203" s="13"/>
      <c r="AF203" s="13"/>
      <c r="AG203" s="13"/>
      <c r="AH203" s="13"/>
      <c r="AI203" s="19"/>
      <c r="AJ203" s="14"/>
      <c r="AK203" s="13"/>
      <c r="AL203" s="13"/>
      <c r="AM203" s="13" t="s">
        <v>5594</v>
      </c>
      <c r="AN203" s="13" t="s">
        <v>372</v>
      </c>
      <c r="AO203" s="13"/>
      <c r="AP203" s="20">
        <v>-0.05</v>
      </c>
      <c r="AQ203" s="20">
        <f t="shared" si="57"/>
        <v>1.0000000000000002E-2</v>
      </c>
      <c r="AR203" s="92">
        <f t="shared" si="58"/>
        <v>49.95</v>
      </c>
      <c r="AS203" s="21">
        <f t="shared" si="59"/>
        <v>16.650000000000002</v>
      </c>
      <c r="AT203" s="22" t="s">
        <v>96</v>
      </c>
      <c r="AU203" s="13"/>
      <c r="AV203" s="13"/>
      <c r="AW203" s="13"/>
      <c r="AX203" s="13"/>
      <c r="AY203" s="13"/>
      <c r="AZ203" s="13"/>
    </row>
    <row r="204" spans="1:52" ht="12.75">
      <c r="A204" s="12">
        <v>44832</v>
      </c>
      <c r="B204" s="13" t="s">
        <v>8843</v>
      </c>
      <c r="C204" s="13" t="s">
        <v>151</v>
      </c>
      <c r="D204" s="17"/>
      <c r="E204" s="13"/>
      <c r="F204" s="14" t="s">
        <v>136</v>
      </c>
      <c r="G204" s="13"/>
      <c r="H204" s="13"/>
      <c r="I204" s="13"/>
      <c r="J204" s="14"/>
      <c r="K204" s="14"/>
      <c r="L204" s="13">
        <v>1</v>
      </c>
      <c r="M204" s="13"/>
      <c r="N204" s="13"/>
      <c r="O204" s="14" t="s">
        <v>95</v>
      </c>
      <c r="P204" s="14" t="s">
        <v>137</v>
      </c>
      <c r="Q204" s="14" t="s">
        <v>97</v>
      </c>
      <c r="R204" s="14">
        <v>2</v>
      </c>
      <c r="S204" s="14">
        <v>2</v>
      </c>
      <c r="T204" s="14">
        <v>2</v>
      </c>
      <c r="U204" s="14" t="s">
        <v>97</v>
      </c>
      <c r="V204" s="14">
        <f t="shared" si="55"/>
        <v>0.01</v>
      </c>
      <c r="W204" s="14">
        <f t="shared" si="56"/>
        <v>1664.9999999999998</v>
      </c>
      <c r="X204" s="17"/>
      <c r="Y204" s="17"/>
      <c r="Z204" s="29" t="s">
        <v>99</v>
      </c>
      <c r="AA204" s="18">
        <v>-0.04</v>
      </c>
      <c r="AB204" s="13"/>
      <c r="AC204" s="13"/>
      <c r="AD204" s="13"/>
      <c r="AE204" s="13"/>
      <c r="AF204" s="13"/>
      <c r="AG204" s="13"/>
      <c r="AH204" s="13"/>
      <c r="AI204" s="19"/>
      <c r="AJ204" s="14"/>
      <c r="AK204" s="13"/>
      <c r="AL204" s="13"/>
      <c r="AM204" s="13"/>
      <c r="AN204" s="13" t="s">
        <v>372</v>
      </c>
      <c r="AO204" s="13"/>
      <c r="AP204" s="20">
        <v>-0.05</v>
      </c>
      <c r="AQ204" s="20">
        <f t="shared" si="57"/>
        <v>1.0000000000000002E-2</v>
      </c>
      <c r="AR204" s="92">
        <f t="shared" si="58"/>
        <v>33.300000000000004</v>
      </c>
      <c r="AS204" s="21">
        <f t="shared" si="59"/>
        <v>16.650000000000002</v>
      </c>
      <c r="AT204" s="22" t="s">
        <v>96</v>
      </c>
      <c r="AU204" s="13" t="s">
        <v>8844</v>
      </c>
      <c r="AV204" s="13" t="s">
        <v>8845</v>
      </c>
      <c r="AW204" s="13"/>
      <c r="AX204" s="13"/>
      <c r="AY204" s="13"/>
      <c r="AZ204" s="13"/>
    </row>
    <row r="205" spans="1:52" ht="12.75">
      <c r="A205" s="12">
        <v>44832</v>
      </c>
      <c r="B205" s="13" t="s">
        <v>8843</v>
      </c>
      <c r="C205" s="13" t="s">
        <v>151</v>
      </c>
      <c r="D205" s="17"/>
      <c r="E205" s="13"/>
      <c r="F205" s="14" t="s">
        <v>136</v>
      </c>
      <c r="G205" s="13"/>
      <c r="H205" s="13"/>
      <c r="I205" s="13"/>
      <c r="J205" s="14"/>
      <c r="K205" s="14"/>
      <c r="L205" s="13">
        <v>1</v>
      </c>
      <c r="M205" s="13"/>
      <c r="N205" s="13"/>
      <c r="O205" s="14" t="s">
        <v>95</v>
      </c>
      <c r="P205" s="14" t="s">
        <v>137</v>
      </c>
      <c r="Q205" s="14" t="s">
        <v>97</v>
      </c>
      <c r="R205" s="14">
        <v>2</v>
      </c>
      <c r="S205" s="14">
        <v>2</v>
      </c>
      <c r="T205" s="14">
        <v>2</v>
      </c>
      <c r="U205" s="14" t="s">
        <v>97</v>
      </c>
      <c r="V205" s="14">
        <f t="shared" si="55"/>
        <v>0.01</v>
      </c>
      <c r="W205" s="14">
        <f t="shared" si="56"/>
        <v>1664.9999999999998</v>
      </c>
      <c r="X205" s="17"/>
      <c r="Y205" s="17"/>
      <c r="Z205" s="29" t="s">
        <v>99</v>
      </c>
      <c r="AA205" s="18">
        <v>-0.04</v>
      </c>
      <c r="AB205" s="13"/>
      <c r="AC205" s="13"/>
      <c r="AD205" s="13"/>
      <c r="AE205" s="13"/>
      <c r="AF205" s="13"/>
      <c r="AG205" s="13"/>
      <c r="AH205" s="13"/>
      <c r="AI205" s="19"/>
      <c r="AJ205" s="14"/>
      <c r="AK205" s="13"/>
      <c r="AL205" s="13"/>
      <c r="AM205" s="13"/>
      <c r="AN205" s="13" t="s">
        <v>372</v>
      </c>
      <c r="AO205" s="13"/>
      <c r="AP205" s="20">
        <v>-0.04</v>
      </c>
      <c r="AQ205" s="20">
        <f t="shared" si="57"/>
        <v>0</v>
      </c>
      <c r="AR205" s="92">
        <f t="shared" si="58"/>
        <v>0</v>
      </c>
      <c r="AS205" s="21">
        <f t="shared" si="59"/>
        <v>0</v>
      </c>
      <c r="AT205" s="22" t="s">
        <v>115</v>
      </c>
      <c r="AU205" s="13" t="s">
        <v>8846</v>
      </c>
      <c r="AV205" s="13" t="s">
        <v>8847</v>
      </c>
      <c r="AW205" s="13"/>
      <c r="AX205" s="13"/>
      <c r="AY205" s="13"/>
      <c r="AZ205" s="13"/>
    </row>
    <row r="206" spans="1:52" ht="12.75">
      <c r="A206" s="12">
        <v>44832</v>
      </c>
      <c r="B206" s="13" t="s">
        <v>8848</v>
      </c>
      <c r="C206" s="13" t="s">
        <v>151</v>
      </c>
      <c r="D206" s="17"/>
      <c r="E206" s="13"/>
      <c r="F206" s="14" t="s">
        <v>2568</v>
      </c>
      <c r="G206" s="13"/>
      <c r="H206" s="13"/>
      <c r="I206" s="13"/>
      <c r="J206" s="14"/>
      <c r="K206" s="14"/>
      <c r="L206" s="13">
        <v>1</v>
      </c>
      <c r="M206" s="13"/>
      <c r="N206" s="13"/>
      <c r="O206" s="14" t="s">
        <v>95</v>
      </c>
      <c r="P206" s="14" t="s">
        <v>137</v>
      </c>
      <c r="Q206" s="14" t="s">
        <v>256</v>
      </c>
      <c r="R206" s="14">
        <v>2</v>
      </c>
      <c r="S206" s="14">
        <v>2</v>
      </c>
      <c r="T206" s="14">
        <v>2</v>
      </c>
      <c r="U206" s="14" t="s">
        <v>97</v>
      </c>
      <c r="V206" s="14">
        <f t="shared" si="55"/>
        <v>0.01</v>
      </c>
      <c r="W206" s="14">
        <f t="shared" si="56"/>
        <v>1664.9999999999998</v>
      </c>
      <c r="X206" s="17"/>
      <c r="Y206" s="17"/>
      <c r="Z206" s="29" t="s">
        <v>99</v>
      </c>
      <c r="AA206" s="18">
        <v>-0.01</v>
      </c>
      <c r="AB206" s="13"/>
      <c r="AC206" s="13"/>
      <c r="AD206" s="13"/>
      <c r="AE206" s="13"/>
      <c r="AF206" s="13"/>
      <c r="AG206" s="13"/>
      <c r="AH206" s="13"/>
      <c r="AI206" s="19"/>
      <c r="AJ206" s="14"/>
      <c r="AK206" s="13"/>
      <c r="AL206" s="13"/>
      <c r="AM206" s="13" t="s">
        <v>8849</v>
      </c>
      <c r="AN206" s="13" t="s">
        <v>115</v>
      </c>
      <c r="AO206" s="13"/>
      <c r="AP206" s="20">
        <v>-0.01</v>
      </c>
      <c r="AQ206" s="20">
        <f t="shared" si="57"/>
        <v>0</v>
      </c>
      <c r="AR206" s="92">
        <f t="shared" si="58"/>
        <v>0</v>
      </c>
      <c r="AS206" s="21">
        <f t="shared" si="59"/>
        <v>0</v>
      </c>
      <c r="AT206" s="22"/>
      <c r="AU206" s="13" t="s">
        <v>8850</v>
      </c>
      <c r="AV206" s="13" t="s">
        <v>3808</v>
      </c>
      <c r="AW206" s="13" t="s">
        <v>8851</v>
      </c>
      <c r="AX206" s="13"/>
      <c r="AY206" s="13"/>
      <c r="AZ206" s="13"/>
    </row>
    <row r="207" spans="1:52" ht="12.75">
      <c r="A207" s="12">
        <v>44832</v>
      </c>
      <c r="B207" s="13" t="s">
        <v>8852</v>
      </c>
      <c r="C207" s="13" t="s">
        <v>93</v>
      </c>
      <c r="D207" s="17"/>
      <c r="E207" s="13"/>
      <c r="F207" s="14" t="s">
        <v>136</v>
      </c>
      <c r="G207" s="13"/>
      <c r="H207" s="13"/>
      <c r="I207" s="13"/>
      <c r="J207" s="14"/>
      <c r="K207" s="14"/>
      <c r="L207" s="13">
        <v>1</v>
      </c>
      <c r="M207" s="13"/>
      <c r="N207" s="13"/>
      <c r="O207" s="14" t="s">
        <v>95</v>
      </c>
      <c r="P207" s="14" t="s">
        <v>137</v>
      </c>
      <c r="Q207" s="14" t="s">
        <v>97</v>
      </c>
      <c r="R207" s="14">
        <v>3</v>
      </c>
      <c r="S207" s="14">
        <v>3</v>
      </c>
      <c r="T207" s="14">
        <v>3</v>
      </c>
      <c r="U207" s="14" t="s">
        <v>97</v>
      </c>
      <c r="V207" s="14">
        <f t="shared" si="55"/>
        <v>0.01</v>
      </c>
      <c r="W207" s="14">
        <f t="shared" si="56"/>
        <v>1664.9999999999998</v>
      </c>
      <c r="X207" s="17"/>
      <c r="Y207" s="17"/>
      <c r="Z207" s="29" t="s">
        <v>99</v>
      </c>
      <c r="AA207" s="18">
        <v>-0.03</v>
      </c>
      <c r="AB207" s="13"/>
      <c r="AC207" s="13"/>
      <c r="AD207" s="13"/>
      <c r="AE207" s="13"/>
      <c r="AF207" s="13"/>
      <c r="AG207" s="13"/>
      <c r="AH207" s="13"/>
      <c r="AI207" s="19"/>
      <c r="AJ207" s="14"/>
      <c r="AK207" s="13"/>
      <c r="AL207" s="13"/>
      <c r="AM207" s="13"/>
      <c r="AN207" s="13" t="s">
        <v>372</v>
      </c>
      <c r="AO207" s="13"/>
      <c r="AP207" s="20">
        <v>-0.04</v>
      </c>
      <c r="AQ207" s="20">
        <f t="shared" si="57"/>
        <v>1.0000000000000002E-2</v>
      </c>
      <c r="AR207" s="92">
        <f t="shared" si="58"/>
        <v>49.95</v>
      </c>
      <c r="AS207" s="21">
        <f t="shared" si="59"/>
        <v>16.650000000000002</v>
      </c>
      <c r="AT207" s="22" t="s">
        <v>96</v>
      </c>
      <c r="AU207" s="13"/>
      <c r="AV207" s="13"/>
      <c r="AW207" s="13"/>
      <c r="AX207" s="13"/>
      <c r="AY207" s="13"/>
      <c r="AZ207" s="13"/>
    </row>
    <row r="208" spans="1:52" ht="12.75">
      <c r="A208" s="12">
        <v>44832</v>
      </c>
      <c r="B208" s="13" t="s">
        <v>3374</v>
      </c>
      <c r="C208" s="13" t="s">
        <v>93</v>
      </c>
      <c r="D208" s="17"/>
      <c r="E208" s="13"/>
      <c r="F208" s="14" t="s">
        <v>136</v>
      </c>
      <c r="G208" s="13"/>
      <c r="H208" s="13"/>
      <c r="I208" s="13"/>
      <c r="J208" s="14"/>
      <c r="K208" s="14"/>
      <c r="L208" s="13">
        <v>1</v>
      </c>
      <c r="M208" s="13"/>
      <c r="N208" s="13"/>
      <c r="O208" s="14" t="s">
        <v>95</v>
      </c>
      <c r="P208" s="14" t="s">
        <v>137</v>
      </c>
      <c r="Q208" s="14" t="s">
        <v>97</v>
      </c>
      <c r="R208" s="14">
        <v>3</v>
      </c>
      <c r="S208" s="14">
        <v>3</v>
      </c>
      <c r="T208" s="14">
        <v>3</v>
      </c>
      <c r="U208" s="14" t="s">
        <v>22</v>
      </c>
      <c r="V208" s="14">
        <f t="shared" si="55"/>
        <v>0.01</v>
      </c>
      <c r="W208" s="14">
        <f t="shared" si="56"/>
        <v>1664.9999999999998</v>
      </c>
      <c r="X208" s="17"/>
      <c r="Y208" s="17"/>
      <c r="Z208" s="29" t="s">
        <v>99</v>
      </c>
      <c r="AA208" s="18">
        <v>-0.05</v>
      </c>
      <c r="AB208" s="13"/>
      <c r="AC208" s="13"/>
      <c r="AD208" s="13"/>
      <c r="AE208" s="13"/>
      <c r="AF208" s="13"/>
      <c r="AG208" s="13"/>
      <c r="AH208" s="13"/>
      <c r="AI208" s="19"/>
      <c r="AJ208" s="14"/>
      <c r="AK208" s="13"/>
      <c r="AL208" s="13"/>
      <c r="AM208" s="13"/>
      <c r="AN208" s="13" t="s">
        <v>372</v>
      </c>
      <c r="AO208" s="13"/>
      <c r="AP208" s="20">
        <v>-0.04</v>
      </c>
      <c r="AQ208" s="20">
        <f t="shared" si="57"/>
        <v>1.0000000000000002E-2</v>
      </c>
      <c r="AR208" s="92">
        <f t="shared" si="58"/>
        <v>49.95</v>
      </c>
      <c r="AS208" s="21">
        <f t="shared" si="59"/>
        <v>16.650000000000002</v>
      </c>
      <c r="AT208" s="22" t="s">
        <v>96</v>
      </c>
      <c r="AU208" s="13" t="s">
        <v>8853</v>
      </c>
      <c r="AV208" s="13"/>
      <c r="AW208" s="13"/>
      <c r="AX208" s="13"/>
      <c r="AY208" s="13"/>
      <c r="AZ208" s="13"/>
    </row>
    <row r="209" spans="1:52" ht="15">
      <c r="A209" s="12">
        <v>44832</v>
      </c>
      <c r="B209" s="13"/>
      <c r="C209" s="13" t="s">
        <v>93</v>
      </c>
      <c r="D209" s="17"/>
      <c r="E209" s="13"/>
      <c r="F209" s="14"/>
      <c r="G209" s="13"/>
      <c r="H209" s="13"/>
      <c r="I209" s="13"/>
      <c r="J209" s="14"/>
      <c r="K209" s="14"/>
      <c r="L209" s="13"/>
      <c r="M209" s="13"/>
      <c r="N209" s="13"/>
      <c r="O209" s="14"/>
      <c r="P209" s="14"/>
      <c r="Q209" s="14"/>
      <c r="R209" s="14"/>
      <c r="S209" s="14"/>
      <c r="T209" s="14"/>
      <c r="U209" s="14"/>
      <c r="V209" s="14">
        <f t="shared" si="55"/>
        <v>0</v>
      </c>
      <c r="W209" s="14">
        <f t="shared" si="56"/>
        <v>0</v>
      </c>
      <c r="X209" s="17"/>
      <c r="Y209" s="17"/>
      <c r="Z209" s="17"/>
      <c r="AA209" s="18"/>
      <c r="AB209" s="13"/>
      <c r="AC209" s="13"/>
      <c r="AD209" s="13"/>
      <c r="AE209" s="13"/>
      <c r="AF209" s="13"/>
      <c r="AG209" s="13"/>
      <c r="AH209" s="13"/>
      <c r="AI209" s="19"/>
      <c r="AJ209" s="14"/>
      <c r="AK209" s="13"/>
      <c r="AL209" s="13"/>
      <c r="AM209" s="13"/>
      <c r="AN209" s="13"/>
      <c r="AO209" s="13"/>
      <c r="AP209" s="20"/>
      <c r="AQ209" s="13">
        <f t="shared" si="57"/>
        <v>0</v>
      </c>
      <c r="AR209" s="92">
        <f t="shared" si="58"/>
        <v>0</v>
      </c>
      <c r="AS209" s="21">
        <f t="shared" si="59"/>
        <v>0</v>
      </c>
      <c r="AT209" s="22"/>
      <c r="AU209" s="122" t="s">
        <v>8854</v>
      </c>
      <c r="AV209" s="46"/>
      <c r="AW209" s="46"/>
      <c r="AX209" s="123"/>
      <c r="AY209" s="124"/>
      <c r="AZ209" s="124"/>
    </row>
    <row r="210" spans="1:52" ht="15">
      <c r="A210" s="12">
        <v>44832</v>
      </c>
      <c r="B210" s="13" t="s">
        <v>8855</v>
      </c>
      <c r="C210" s="13"/>
      <c r="D210" s="17"/>
      <c r="E210" s="13"/>
      <c r="F210" s="14" t="s">
        <v>136</v>
      </c>
      <c r="G210" s="13"/>
      <c r="H210" s="13"/>
      <c r="I210" s="13"/>
      <c r="J210" s="14"/>
      <c r="K210" s="14"/>
      <c r="L210" s="13"/>
      <c r="M210" s="13"/>
      <c r="N210" s="13"/>
      <c r="O210" s="14" t="s">
        <v>95</v>
      </c>
      <c r="P210" s="14"/>
      <c r="Q210" s="14"/>
      <c r="R210" s="14">
        <v>1</v>
      </c>
      <c r="S210" s="14">
        <v>1</v>
      </c>
      <c r="T210" s="14">
        <v>1</v>
      </c>
      <c r="U210" s="14" t="s">
        <v>97</v>
      </c>
      <c r="V210" s="14">
        <f t="shared" si="55"/>
        <v>0.01</v>
      </c>
      <c r="W210" s="14">
        <f t="shared" si="56"/>
        <v>1664.9999999999998</v>
      </c>
      <c r="X210" s="17"/>
      <c r="Y210" s="17"/>
      <c r="Z210" s="17" t="s">
        <v>8856</v>
      </c>
      <c r="AA210" s="18">
        <v>-0.04</v>
      </c>
      <c r="AB210" s="13"/>
      <c r="AC210" s="13"/>
      <c r="AD210" s="13"/>
      <c r="AE210" s="13"/>
      <c r="AF210" s="13"/>
      <c r="AG210" s="13"/>
      <c r="AH210" s="13"/>
      <c r="AI210" s="19"/>
      <c r="AJ210" s="14"/>
      <c r="AK210" s="13"/>
      <c r="AL210" s="13"/>
      <c r="AM210" s="13"/>
      <c r="AN210" s="13"/>
      <c r="AO210" s="13"/>
      <c r="AP210" s="20">
        <v>-0.04</v>
      </c>
      <c r="AQ210" s="20">
        <f t="shared" si="57"/>
        <v>0</v>
      </c>
      <c r="AR210" s="92">
        <f t="shared" si="58"/>
        <v>0</v>
      </c>
      <c r="AS210" s="125">
        <f t="shared" si="59"/>
        <v>0</v>
      </c>
      <c r="AT210" s="34" t="s">
        <v>115</v>
      </c>
      <c r="AU210" s="17" t="s">
        <v>8857</v>
      </c>
      <c r="AV210" s="17" t="s">
        <v>8858</v>
      </c>
      <c r="AW210" s="17" t="s">
        <v>8859</v>
      </c>
      <c r="AX210" s="126"/>
      <c r="AY210" s="126"/>
      <c r="AZ210" s="126"/>
    </row>
    <row r="211" spans="1:52" ht="15">
      <c r="A211" s="12">
        <v>44832</v>
      </c>
      <c r="B211" s="13" t="s">
        <v>8860</v>
      </c>
      <c r="C211" s="13" t="s">
        <v>93</v>
      </c>
      <c r="D211" s="17"/>
      <c r="E211" s="13"/>
      <c r="F211" s="14" t="s">
        <v>8556</v>
      </c>
      <c r="G211" s="13"/>
      <c r="H211" s="13"/>
      <c r="I211" s="13"/>
      <c r="J211" s="14"/>
      <c r="K211" s="14"/>
      <c r="L211" s="13">
        <v>1</v>
      </c>
      <c r="M211" s="13">
        <v>1</v>
      </c>
      <c r="N211" s="13"/>
      <c r="O211" s="14" t="s">
        <v>95</v>
      </c>
      <c r="P211" s="14" t="s">
        <v>96</v>
      </c>
      <c r="Q211" s="14" t="s">
        <v>256</v>
      </c>
      <c r="R211" s="14">
        <v>1</v>
      </c>
      <c r="S211" s="14">
        <v>1</v>
      </c>
      <c r="T211" s="14">
        <v>1</v>
      </c>
      <c r="U211" s="14" t="s">
        <v>22</v>
      </c>
      <c r="V211" s="14">
        <f t="shared" si="55"/>
        <v>0.01</v>
      </c>
      <c r="W211" s="14">
        <f t="shared" si="56"/>
        <v>1664.9999999999998</v>
      </c>
      <c r="X211" s="17"/>
      <c r="Y211" s="17"/>
      <c r="Z211" s="17" t="s">
        <v>8840</v>
      </c>
      <c r="AA211" s="18">
        <v>1.2999999999999999E-2</v>
      </c>
      <c r="AB211" s="13"/>
      <c r="AC211" s="13"/>
      <c r="AD211" s="13"/>
      <c r="AE211" s="13"/>
      <c r="AF211" s="13"/>
      <c r="AG211" s="13"/>
      <c r="AH211" s="13"/>
      <c r="AI211" s="19"/>
      <c r="AJ211" s="14"/>
      <c r="AK211" s="13" t="s">
        <v>8841</v>
      </c>
      <c r="AL211" s="13" t="s">
        <v>8842</v>
      </c>
      <c r="AM211" s="13"/>
      <c r="AN211" s="13" t="s">
        <v>115</v>
      </c>
      <c r="AO211" s="13"/>
      <c r="AP211" s="20">
        <v>0.03</v>
      </c>
      <c r="AQ211" s="20">
        <f t="shared" si="57"/>
        <v>1.7000000000000001E-2</v>
      </c>
      <c r="AR211" s="92">
        <f t="shared" si="58"/>
        <v>28.305</v>
      </c>
      <c r="AS211" s="125">
        <f t="shared" si="59"/>
        <v>28.305</v>
      </c>
      <c r="AT211" s="127" t="s">
        <v>96</v>
      </c>
      <c r="AU211" s="17" t="s">
        <v>8861</v>
      </c>
      <c r="AV211" s="17"/>
      <c r="AW211" s="17"/>
      <c r="AX211" s="126"/>
      <c r="AY211" s="126"/>
      <c r="AZ211" s="126"/>
    </row>
    <row r="212" spans="1:52" ht="15">
      <c r="A212" s="12">
        <v>44832</v>
      </c>
      <c r="B212" s="13" t="s">
        <v>8862</v>
      </c>
      <c r="C212" s="13" t="s">
        <v>93</v>
      </c>
      <c r="D212" s="17"/>
      <c r="E212" s="13"/>
      <c r="F212" s="14" t="s">
        <v>8133</v>
      </c>
      <c r="G212" s="13"/>
      <c r="H212" s="13"/>
      <c r="I212" s="13"/>
      <c r="J212" s="14"/>
      <c r="K212" s="14"/>
      <c r="L212" s="13"/>
      <c r="M212" s="13"/>
      <c r="N212" s="13"/>
      <c r="O212" s="14"/>
      <c r="P212" s="14"/>
      <c r="Q212" s="14"/>
      <c r="R212" s="14"/>
      <c r="S212" s="14"/>
      <c r="T212" s="14"/>
      <c r="U212" s="14"/>
      <c r="V212" s="14"/>
      <c r="W212" s="14"/>
      <c r="X212" s="17"/>
      <c r="Y212" s="17"/>
      <c r="Z212" s="17"/>
      <c r="AA212" s="18"/>
      <c r="AB212" s="13"/>
      <c r="AC212" s="13"/>
      <c r="AD212" s="13"/>
      <c r="AE212" s="13"/>
      <c r="AF212" s="13"/>
      <c r="AG212" s="13"/>
      <c r="AH212" s="13"/>
      <c r="AI212" s="19"/>
      <c r="AJ212" s="14"/>
      <c r="AK212" s="13"/>
      <c r="AL212" s="13"/>
      <c r="AM212" s="13"/>
      <c r="AN212" s="13"/>
      <c r="AO212" s="13"/>
      <c r="AP212" s="20"/>
      <c r="AQ212" s="13"/>
      <c r="AR212" s="77"/>
      <c r="AS212" s="125"/>
      <c r="AT212" s="34"/>
      <c r="AU212" s="17" t="s">
        <v>8863</v>
      </c>
      <c r="AV212" s="17"/>
      <c r="AW212" s="17"/>
      <c r="AX212" s="126"/>
      <c r="AY212" s="126"/>
      <c r="AZ212" s="126"/>
    </row>
    <row r="213" spans="1:52" ht="15">
      <c r="A213" s="12">
        <v>44832</v>
      </c>
      <c r="B213" s="13"/>
      <c r="C213" s="13" t="s">
        <v>93</v>
      </c>
      <c r="D213" s="17" t="s">
        <v>8864</v>
      </c>
      <c r="E213" s="13" t="s">
        <v>340</v>
      </c>
      <c r="F213" s="14"/>
      <c r="G213" s="13">
        <v>1</v>
      </c>
      <c r="H213" s="13"/>
      <c r="I213" s="13"/>
      <c r="J213" s="14"/>
      <c r="K213" s="14"/>
      <c r="L213" s="13"/>
      <c r="M213" s="13"/>
      <c r="N213" s="13"/>
      <c r="O213" s="14"/>
      <c r="P213" s="14"/>
      <c r="Q213" s="14"/>
      <c r="R213" s="14"/>
      <c r="S213" s="14"/>
      <c r="T213" s="14"/>
      <c r="U213" s="14"/>
      <c r="V213" s="14"/>
      <c r="W213" s="14"/>
      <c r="X213" s="17"/>
      <c r="Y213" s="17"/>
      <c r="Z213" s="17"/>
      <c r="AA213" s="18"/>
      <c r="AB213" s="13"/>
      <c r="AC213" s="13"/>
      <c r="AD213" s="13"/>
      <c r="AE213" s="13"/>
      <c r="AF213" s="13"/>
      <c r="AG213" s="13"/>
      <c r="AH213" s="13"/>
      <c r="AI213" s="19"/>
      <c r="AJ213" s="14"/>
      <c r="AK213" s="13"/>
      <c r="AL213" s="13"/>
      <c r="AM213" s="13"/>
      <c r="AN213" s="13"/>
      <c r="AO213" s="13"/>
      <c r="AP213" s="20"/>
      <c r="AQ213" s="13"/>
      <c r="AR213" s="77"/>
      <c r="AS213" s="21"/>
      <c r="AT213" s="22"/>
      <c r="AU213" s="46"/>
      <c r="AV213" s="46"/>
      <c r="AW213" s="46"/>
      <c r="AX213" s="123"/>
      <c r="AY213" s="124"/>
      <c r="AZ213" s="124"/>
    </row>
    <row r="214" spans="1:52" ht="15">
      <c r="A214" s="12"/>
      <c r="B214" s="13"/>
      <c r="C214" s="13"/>
      <c r="D214" s="17"/>
      <c r="E214" s="13"/>
      <c r="F214" s="14"/>
      <c r="G214" s="13"/>
      <c r="H214" s="13"/>
      <c r="I214" s="13"/>
      <c r="J214" s="14"/>
      <c r="K214" s="14"/>
      <c r="L214" s="13"/>
      <c r="M214" s="13"/>
      <c r="N214" s="13"/>
      <c r="O214" s="14"/>
      <c r="P214" s="14"/>
      <c r="Q214" s="14"/>
      <c r="R214" s="14"/>
      <c r="S214" s="14"/>
      <c r="T214" s="14"/>
      <c r="U214" s="14"/>
      <c r="V214" s="14"/>
      <c r="W214" s="14"/>
      <c r="X214" s="17"/>
      <c r="Y214" s="17"/>
      <c r="Z214" s="17"/>
      <c r="AA214" s="18"/>
      <c r="AB214" s="13"/>
      <c r="AC214" s="13"/>
      <c r="AD214" s="13"/>
      <c r="AE214" s="13"/>
      <c r="AF214" s="13"/>
      <c r="AG214" s="13"/>
      <c r="AH214" s="13"/>
      <c r="AI214" s="19"/>
      <c r="AJ214" s="14"/>
      <c r="AK214" s="13"/>
      <c r="AL214" s="13"/>
      <c r="AM214" s="13"/>
      <c r="AN214" s="13"/>
      <c r="AO214" s="13"/>
      <c r="AP214" s="20"/>
      <c r="AQ214" s="13"/>
      <c r="AR214" s="77"/>
      <c r="AS214" s="21"/>
      <c r="AT214" s="22"/>
      <c r="AU214" s="46"/>
      <c r="AV214" s="46"/>
      <c r="AW214" s="46"/>
      <c r="AX214" s="123"/>
      <c r="AY214" s="124"/>
      <c r="AZ214" s="124"/>
    </row>
    <row r="215" spans="1:52" ht="15">
      <c r="A215" s="12"/>
      <c r="B215" s="13"/>
      <c r="C215" s="13"/>
      <c r="D215" s="17"/>
      <c r="E215" s="13"/>
      <c r="F215" s="14"/>
      <c r="G215" s="13"/>
      <c r="H215" s="13"/>
      <c r="I215" s="13"/>
      <c r="J215" s="14"/>
      <c r="K215" s="14"/>
      <c r="L215" s="13"/>
      <c r="M215" s="13"/>
      <c r="N215" s="13"/>
      <c r="O215" s="14"/>
      <c r="P215" s="14"/>
      <c r="Q215" s="14"/>
      <c r="R215" s="14"/>
      <c r="S215" s="14"/>
      <c r="T215" s="14"/>
      <c r="U215" s="14"/>
      <c r="V215" s="14"/>
      <c r="W215" s="14"/>
      <c r="X215" s="17"/>
      <c r="Y215" s="17"/>
      <c r="Z215" s="17"/>
      <c r="AA215" s="18"/>
      <c r="AB215" s="13"/>
      <c r="AC215" s="13"/>
      <c r="AD215" s="13"/>
      <c r="AE215" s="13"/>
      <c r="AF215" s="13"/>
      <c r="AG215" s="13"/>
      <c r="AH215" s="13"/>
      <c r="AI215" s="19"/>
      <c r="AJ215" s="14"/>
      <c r="AK215" s="13"/>
      <c r="AL215" s="13"/>
      <c r="AM215" s="13"/>
      <c r="AN215" s="13"/>
      <c r="AO215" s="13"/>
      <c r="AP215" s="20"/>
      <c r="AQ215" s="13"/>
      <c r="AR215" s="77"/>
      <c r="AS215" s="21"/>
      <c r="AT215" s="22"/>
      <c r="AU215" s="122" t="s">
        <v>8865</v>
      </c>
      <c r="AV215" s="122" t="s">
        <v>8866</v>
      </c>
      <c r="AW215" s="122" t="s">
        <v>8867</v>
      </c>
      <c r="AX215" s="128" t="s">
        <v>8868</v>
      </c>
      <c r="AY215" s="129" t="s">
        <v>8869</v>
      </c>
      <c r="AZ215" s="129" t="s">
        <v>8870</v>
      </c>
    </row>
    <row r="216" spans="1:52" ht="12.75">
      <c r="A216" s="81">
        <v>44856</v>
      </c>
      <c r="B216" s="119"/>
      <c r="C216" s="119"/>
      <c r="D216" s="130"/>
      <c r="E216" s="119"/>
      <c r="F216" s="131"/>
      <c r="G216" s="119"/>
      <c r="H216" s="119"/>
      <c r="I216" s="119"/>
      <c r="J216" s="119"/>
      <c r="K216" s="119"/>
      <c r="L216" s="119"/>
      <c r="M216" s="119"/>
      <c r="N216" s="119"/>
      <c r="O216" s="131"/>
      <c r="P216" s="131"/>
      <c r="Q216" s="131"/>
      <c r="R216" s="131"/>
      <c r="S216" s="131"/>
      <c r="T216" s="131"/>
      <c r="U216" s="131"/>
      <c r="V216" s="131"/>
      <c r="W216" s="131"/>
      <c r="X216" s="130"/>
      <c r="Y216" s="130"/>
      <c r="Z216" s="130"/>
      <c r="AA216" s="132"/>
      <c r="AB216" s="119"/>
      <c r="AC216" s="119"/>
      <c r="AD216" s="119"/>
      <c r="AE216" s="119"/>
      <c r="AF216" s="119"/>
      <c r="AG216" s="119"/>
      <c r="AH216" s="119"/>
      <c r="AI216" s="133"/>
      <c r="AJ216" s="131"/>
      <c r="AK216" s="119"/>
      <c r="AL216" s="119"/>
      <c r="AM216" s="119"/>
      <c r="AN216" s="119"/>
      <c r="AO216" s="119"/>
      <c r="AP216" s="134"/>
      <c r="AQ216" s="119"/>
      <c r="AR216" s="135"/>
      <c r="AS216" s="90"/>
      <c r="AT216" s="91"/>
      <c r="AU216" s="119"/>
      <c r="AV216" s="119"/>
      <c r="AW216" s="119"/>
      <c r="AX216" s="119"/>
      <c r="AY216" s="119"/>
      <c r="AZ216" s="119"/>
    </row>
    <row r="217" spans="1:52" ht="17.25">
      <c r="A217" s="12">
        <v>44835</v>
      </c>
      <c r="B217" s="13" t="s">
        <v>8871</v>
      </c>
      <c r="C217" s="13" t="s">
        <v>111</v>
      </c>
      <c r="D217" s="17"/>
      <c r="E217" s="13"/>
      <c r="F217" s="14" t="s">
        <v>8556</v>
      </c>
      <c r="G217" s="13"/>
      <c r="H217" s="13"/>
      <c r="I217" s="13"/>
      <c r="J217" s="14"/>
      <c r="K217" s="14"/>
      <c r="L217" s="13">
        <v>1</v>
      </c>
      <c r="M217" s="13">
        <v>1</v>
      </c>
      <c r="N217" s="13"/>
      <c r="O217" s="14" t="s">
        <v>95</v>
      </c>
      <c r="P217" s="14" t="s">
        <v>96</v>
      </c>
      <c r="Q217" s="14" t="s">
        <v>256</v>
      </c>
      <c r="R217" s="14">
        <v>1</v>
      </c>
      <c r="S217" s="14">
        <v>1</v>
      </c>
      <c r="T217" s="14">
        <v>1</v>
      </c>
      <c r="U217" s="14" t="s">
        <v>22</v>
      </c>
      <c r="V217" s="16">
        <f t="shared" ref="V217:V220" si="60">IF(ISBLANK(O217),,(IF(O217=UPPER("IB"),0.005,0.01)))</f>
        <v>0.01</v>
      </c>
      <c r="W217" s="16">
        <f t="shared" ref="W217:W220" si="61">IF(ISBLANK(O217),,IF(O217=UPPER("IB"),8.63*200,16.65*100))</f>
        <v>1664.9999999999998</v>
      </c>
      <c r="X217" s="17"/>
      <c r="Y217" s="17"/>
      <c r="Z217" s="17" t="s">
        <v>8840</v>
      </c>
      <c r="AA217" s="18">
        <v>0</v>
      </c>
      <c r="AB217" s="13" t="s">
        <v>8872</v>
      </c>
      <c r="AC217" s="13"/>
      <c r="AD217" s="13"/>
      <c r="AE217" s="13" t="s">
        <v>8873</v>
      </c>
      <c r="AF217" s="13"/>
      <c r="AG217" s="13"/>
      <c r="AH217" s="13"/>
      <c r="AI217" s="19"/>
      <c r="AJ217" s="14"/>
      <c r="AK217" s="13" t="s">
        <v>8874</v>
      </c>
      <c r="AL217" s="13"/>
      <c r="AM217" s="13"/>
      <c r="AN217" s="13"/>
      <c r="AO217" s="13"/>
      <c r="AP217" s="20"/>
      <c r="AQ217" s="13"/>
      <c r="AR217" s="77"/>
      <c r="AS217" s="21"/>
      <c r="AT217" s="22"/>
      <c r="AU217" s="13" t="s">
        <v>8875</v>
      </c>
      <c r="AV217" s="13"/>
      <c r="AW217" s="13"/>
      <c r="AX217" s="13"/>
      <c r="AY217" s="13"/>
      <c r="AZ217" s="13"/>
    </row>
    <row r="218" spans="1:52" ht="17.25">
      <c r="A218" s="12">
        <v>44837</v>
      </c>
      <c r="B218" s="13" t="s">
        <v>2820</v>
      </c>
      <c r="C218" s="13" t="s">
        <v>132</v>
      </c>
      <c r="D218" s="17"/>
      <c r="E218" s="13"/>
      <c r="F218" s="14" t="s">
        <v>8556</v>
      </c>
      <c r="G218" s="13"/>
      <c r="H218" s="13"/>
      <c r="I218" s="13"/>
      <c r="J218" s="14"/>
      <c r="K218" s="14"/>
      <c r="L218" s="13">
        <v>1</v>
      </c>
      <c r="M218" s="13">
        <v>1</v>
      </c>
      <c r="N218" s="13"/>
      <c r="O218" s="14" t="s">
        <v>95</v>
      </c>
      <c r="P218" s="14" t="s">
        <v>96</v>
      </c>
      <c r="Q218" s="14" t="s">
        <v>256</v>
      </c>
      <c r="R218" s="14">
        <v>2</v>
      </c>
      <c r="S218" s="14">
        <v>2</v>
      </c>
      <c r="T218" s="14">
        <v>1</v>
      </c>
      <c r="U218" s="14" t="s">
        <v>22</v>
      </c>
      <c r="V218" s="16">
        <f t="shared" si="60"/>
        <v>0.01</v>
      </c>
      <c r="W218" s="16">
        <f t="shared" si="61"/>
        <v>1664.9999999999998</v>
      </c>
      <c r="X218" s="17"/>
      <c r="Y218" s="17"/>
      <c r="Z218" s="17" t="s">
        <v>8840</v>
      </c>
      <c r="AA218" s="18">
        <v>-0.01</v>
      </c>
      <c r="AB218" s="13"/>
      <c r="AC218" s="13"/>
      <c r="AD218" s="13"/>
      <c r="AE218" s="13"/>
      <c r="AF218" s="13"/>
      <c r="AG218" s="13"/>
      <c r="AH218" s="13"/>
      <c r="AI218" s="19"/>
      <c r="AJ218" s="14"/>
      <c r="AK218" s="13"/>
      <c r="AL218" s="13"/>
      <c r="AM218" s="13"/>
      <c r="AN218" s="13"/>
      <c r="AO218" s="13"/>
      <c r="AP218" s="20"/>
      <c r="AQ218" s="13"/>
      <c r="AR218" s="77"/>
      <c r="AS218" s="21"/>
      <c r="AT218" s="22"/>
      <c r="AU218" s="13" t="s">
        <v>8875</v>
      </c>
      <c r="AV218" s="13" t="s">
        <v>8876</v>
      </c>
      <c r="AW218" s="13"/>
      <c r="AX218" s="13"/>
      <c r="AY218" s="13"/>
      <c r="AZ218" s="13"/>
    </row>
    <row r="219" spans="1:52" ht="12.75">
      <c r="A219" s="12">
        <v>44838</v>
      </c>
      <c r="B219" s="13" t="s">
        <v>4394</v>
      </c>
      <c r="C219" s="13" t="s">
        <v>146</v>
      </c>
      <c r="D219" s="17" t="s">
        <v>8877</v>
      </c>
      <c r="E219" s="13"/>
      <c r="F219" s="14" t="s">
        <v>8556</v>
      </c>
      <c r="G219" s="13"/>
      <c r="H219" s="13"/>
      <c r="I219" s="13"/>
      <c r="J219" s="14"/>
      <c r="K219" s="14"/>
      <c r="L219" s="13">
        <v>1</v>
      </c>
      <c r="M219" s="13">
        <v>1</v>
      </c>
      <c r="N219" s="13"/>
      <c r="O219" s="14" t="s">
        <v>95</v>
      </c>
      <c r="P219" s="14" t="s">
        <v>137</v>
      </c>
      <c r="Q219" s="14" t="s">
        <v>256</v>
      </c>
      <c r="R219" s="14">
        <v>1</v>
      </c>
      <c r="S219" s="14">
        <v>1</v>
      </c>
      <c r="T219" s="14">
        <v>1</v>
      </c>
      <c r="U219" s="14" t="s">
        <v>22</v>
      </c>
      <c r="V219" s="14">
        <f t="shared" si="60"/>
        <v>0.01</v>
      </c>
      <c r="W219" s="14">
        <f t="shared" si="61"/>
        <v>1664.9999999999998</v>
      </c>
      <c r="X219" s="17"/>
      <c r="Y219" s="17"/>
      <c r="Z219" s="17" t="s">
        <v>8840</v>
      </c>
      <c r="AA219" s="18">
        <v>1.3299999999999999E-2</v>
      </c>
      <c r="AB219" s="13"/>
      <c r="AC219" s="13"/>
      <c r="AD219" s="13"/>
      <c r="AE219" s="13"/>
      <c r="AF219" s="13"/>
      <c r="AG219" s="13"/>
      <c r="AH219" s="13"/>
      <c r="AI219" s="19"/>
      <c r="AJ219" s="14"/>
      <c r="AK219" s="13" t="s">
        <v>8841</v>
      </c>
      <c r="AL219" s="13" t="s">
        <v>8842</v>
      </c>
      <c r="AM219" s="13" t="s">
        <v>8129</v>
      </c>
      <c r="AN219" s="13" t="s">
        <v>115</v>
      </c>
      <c r="AO219" s="13" t="s">
        <v>8878</v>
      </c>
      <c r="AP219" s="20">
        <v>0.02</v>
      </c>
      <c r="AQ219" s="20">
        <f t="shared" ref="AQ219:AQ220" si="62">IF(ISBLANK(AP219),,IF(U219="S",AA219-AP219,AP219-AA219))</f>
        <v>6.7000000000000011E-3</v>
      </c>
      <c r="AR219" s="92">
        <f t="shared" ref="AR219:AR220" si="63">AS219*R219</f>
        <v>11.1555</v>
      </c>
      <c r="AS219" s="21">
        <f t="shared" ref="AS219:AS220" si="64">IF(ISBLANK(AP219),,(AQ219*W219))</f>
        <v>11.1555</v>
      </c>
      <c r="AT219" s="22" t="s">
        <v>96</v>
      </c>
      <c r="AU219" s="13" t="s">
        <v>8879</v>
      </c>
      <c r="AV219" s="13" t="s">
        <v>8880</v>
      </c>
      <c r="AW219" s="29" t="s">
        <v>8881</v>
      </c>
      <c r="AX219" s="13" t="s">
        <v>8882</v>
      </c>
      <c r="AY219" s="13" t="s">
        <v>8883</v>
      </c>
      <c r="AZ219" s="13"/>
    </row>
    <row r="220" spans="1:52" ht="12.75">
      <c r="A220" s="12">
        <v>44838</v>
      </c>
      <c r="B220" s="13"/>
      <c r="C220" s="13" t="s">
        <v>146</v>
      </c>
      <c r="D220" s="17" t="s">
        <v>8884</v>
      </c>
      <c r="E220" s="13" t="s">
        <v>8885</v>
      </c>
      <c r="F220" s="14" t="s">
        <v>8886</v>
      </c>
      <c r="G220" s="13"/>
      <c r="H220" s="13"/>
      <c r="I220" s="13"/>
      <c r="J220" s="14"/>
      <c r="K220" s="14"/>
      <c r="L220" s="13">
        <v>1</v>
      </c>
      <c r="M220" s="13">
        <v>1</v>
      </c>
      <c r="N220" s="13"/>
      <c r="O220" s="14" t="s">
        <v>1057</v>
      </c>
      <c r="P220" s="14"/>
      <c r="Q220" s="14" t="s">
        <v>684</v>
      </c>
      <c r="R220" s="14">
        <v>1</v>
      </c>
      <c r="S220" s="14">
        <v>1</v>
      </c>
      <c r="T220" s="14">
        <v>1</v>
      </c>
      <c r="U220" s="14" t="s">
        <v>97</v>
      </c>
      <c r="V220" s="14">
        <f t="shared" si="60"/>
        <v>5.0000000000000001E-3</v>
      </c>
      <c r="W220" s="14">
        <f t="shared" si="61"/>
        <v>1726.0000000000002</v>
      </c>
      <c r="X220" s="17"/>
      <c r="Y220" s="17" t="s">
        <v>8887</v>
      </c>
      <c r="Z220" s="17"/>
      <c r="AA220" s="18">
        <v>97.34</v>
      </c>
      <c r="AB220" s="13"/>
      <c r="AC220" s="13"/>
      <c r="AD220" s="13"/>
      <c r="AE220" s="13"/>
      <c r="AF220" s="13"/>
      <c r="AG220" s="13"/>
      <c r="AH220" s="13"/>
      <c r="AI220" s="19"/>
      <c r="AJ220" s="14"/>
      <c r="AK220" s="13"/>
      <c r="AL220" s="13"/>
      <c r="AM220" s="13"/>
      <c r="AN220" s="13" t="s">
        <v>1259</v>
      </c>
      <c r="AO220" s="13"/>
      <c r="AP220" s="20">
        <v>97.48</v>
      </c>
      <c r="AQ220" s="20">
        <f t="shared" si="62"/>
        <v>-0.14000000000000057</v>
      </c>
      <c r="AR220" s="92">
        <f t="shared" si="63"/>
        <v>-241.64000000000101</v>
      </c>
      <c r="AS220" s="21">
        <f t="shared" si="64"/>
        <v>-241.64000000000101</v>
      </c>
      <c r="AT220" s="22" t="s">
        <v>229</v>
      </c>
      <c r="AU220" s="136" t="s">
        <v>8888</v>
      </c>
      <c r="AV220" s="136" t="s">
        <v>8889</v>
      </c>
      <c r="AW220" s="13" t="s">
        <v>8890</v>
      </c>
      <c r="AX220" s="13" t="s">
        <v>8891</v>
      </c>
      <c r="AY220" s="13" t="s">
        <v>8892</v>
      </c>
      <c r="AZ220" s="13"/>
    </row>
    <row r="221" spans="1:52" ht="12.75">
      <c r="A221" s="12"/>
      <c r="B221" s="13"/>
      <c r="C221" s="13"/>
      <c r="D221" s="17"/>
      <c r="E221" s="13"/>
      <c r="F221" s="14"/>
      <c r="G221" s="13"/>
      <c r="H221" s="13"/>
      <c r="I221" s="13"/>
      <c r="J221" s="14"/>
      <c r="K221" s="14"/>
      <c r="L221" s="13"/>
      <c r="M221" s="13"/>
      <c r="N221" s="13"/>
      <c r="O221" s="14"/>
      <c r="P221" s="14"/>
      <c r="Q221" s="14"/>
      <c r="R221" s="14"/>
      <c r="S221" s="14"/>
      <c r="T221" s="14"/>
      <c r="U221" s="14"/>
      <c r="V221" s="14"/>
      <c r="W221" s="14"/>
      <c r="X221" s="17"/>
      <c r="Y221" s="17"/>
      <c r="Z221" s="17"/>
      <c r="AA221" s="18"/>
      <c r="AB221" s="13"/>
      <c r="AC221" s="13"/>
      <c r="AD221" s="13"/>
      <c r="AE221" s="13"/>
      <c r="AF221" s="13"/>
      <c r="AG221" s="13"/>
      <c r="AH221" s="13"/>
      <c r="AI221" s="19"/>
      <c r="AJ221" s="14"/>
      <c r="AK221" s="13"/>
      <c r="AL221" s="13"/>
      <c r="AM221" s="13"/>
      <c r="AN221" s="13"/>
      <c r="AO221" s="13"/>
      <c r="AP221" s="20"/>
      <c r="AQ221" s="13"/>
      <c r="AR221" s="92"/>
      <c r="AS221" s="21"/>
      <c r="AT221" s="22"/>
      <c r="AU221" s="122" t="s">
        <v>8893</v>
      </c>
      <c r="AV221" s="122" t="s">
        <v>8894</v>
      </c>
      <c r="AW221" s="13" t="s">
        <v>8895</v>
      </c>
      <c r="AY221" s="13"/>
      <c r="AZ221" s="13"/>
    </row>
    <row r="222" spans="1:52" ht="15">
      <c r="A222" s="12">
        <v>44838</v>
      </c>
      <c r="B222" s="13" t="s">
        <v>8896</v>
      </c>
      <c r="C222" s="13" t="s">
        <v>146</v>
      </c>
      <c r="D222" s="17"/>
      <c r="E222" s="13"/>
      <c r="F222" s="14" t="s">
        <v>8897</v>
      </c>
      <c r="G222" s="13"/>
      <c r="H222" s="13"/>
      <c r="I222" s="13"/>
      <c r="J222" s="14"/>
      <c r="K222" s="14"/>
      <c r="L222" s="13">
        <v>1</v>
      </c>
      <c r="M222" s="13">
        <v>1</v>
      </c>
      <c r="N222" s="13"/>
      <c r="O222" s="14" t="s">
        <v>95</v>
      </c>
      <c r="P222" s="14" t="s">
        <v>96</v>
      </c>
      <c r="Q222" s="14" t="s">
        <v>256</v>
      </c>
      <c r="R222" s="14">
        <v>1</v>
      </c>
      <c r="S222" s="14">
        <v>1</v>
      </c>
      <c r="T222" s="14">
        <v>1</v>
      </c>
      <c r="U222" s="14" t="s">
        <v>22</v>
      </c>
      <c r="V222" s="14">
        <f t="shared" ref="V222:V277" si="65">IF(ISBLANK(O222),,(IF(O222=UPPER("IB"),0.005,0.01)))</f>
        <v>0.01</v>
      </c>
      <c r="W222" s="14">
        <f t="shared" ref="W222:W277" si="66">IF(ISBLANK(O222),,IF(O222=UPPER("IB"),8.63*200,16.65*100))</f>
        <v>1664.9999999999998</v>
      </c>
      <c r="X222" s="17"/>
      <c r="Y222" s="17"/>
      <c r="Z222" s="17" t="s">
        <v>8840</v>
      </c>
      <c r="AA222" s="18">
        <v>1.2999999999999999E-2</v>
      </c>
      <c r="AB222" s="13"/>
      <c r="AC222" s="13"/>
      <c r="AD222" s="13"/>
      <c r="AE222" s="13"/>
      <c r="AF222" s="13"/>
      <c r="AG222" s="13"/>
      <c r="AH222" s="13"/>
      <c r="AI222" s="19"/>
      <c r="AJ222" s="14"/>
      <c r="AK222" s="13" t="s">
        <v>8841</v>
      </c>
      <c r="AL222" s="13" t="s">
        <v>8842</v>
      </c>
      <c r="AM222" s="13" t="s">
        <v>8129</v>
      </c>
      <c r="AN222" s="13" t="s">
        <v>115</v>
      </c>
      <c r="AO222" s="13" t="s">
        <v>8878</v>
      </c>
      <c r="AP222" s="20">
        <v>0.05</v>
      </c>
      <c r="AQ222" s="20">
        <f t="shared" ref="AQ222:AQ263" si="67">IF(ISBLANK(AP222),,IF(U222="S",AA222-AP222,AP222-AA222))</f>
        <v>3.7000000000000005E-2</v>
      </c>
      <c r="AR222" s="92">
        <f t="shared" ref="AR222:AR253" si="68">AS222*R222</f>
        <v>61.604999999999997</v>
      </c>
      <c r="AS222" s="125">
        <f t="shared" ref="AS222:AS263" si="69">IF(ISBLANK(AP222),,(AQ222*W222))</f>
        <v>61.604999999999997</v>
      </c>
      <c r="AT222" s="127" t="s">
        <v>96</v>
      </c>
      <c r="AU222" s="17" t="s">
        <v>8861</v>
      </c>
      <c r="AV222" s="17" t="s">
        <v>8898</v>
      </c>
      <c r="AW222" s="17"/>
      <c r="AX222" s="126" t="s">
        <v>8899</v>
      </c>
      <c r="AY222" s="126" t="s">
        <v>8900</v>
      </c>
      <c r="AZ222" s="126"/>
    </row>
    <row r="223" spans="1:52" ht="15">
      <c r="A223" s="12">
        <v>44838</v>
      </c>
      <c r="B223" s="13" t="s">
        <v>8901</v>
      </c>
      <c r="C223" s="13" t="s">
        <v>146</v>
      </c>
      <c r="D223" s="17"/>
      <c r="E223" s="13"/>
      <c r="F223" s="14" t="s">
        <v>8897</v>
      </c>
      <c r="G223" s="13"/>
      <c r="H223" s="13"/>
      <c r="I223" s="13"/>
      <c r="J223" s="14"/>
      <c r="K223" s="14"/>
      <c r="L223" s="13">
        <v>1</v>
      </c>
      <c r="M223" s="13">
        <v>1</v>
      </c>
      <c r="N223" s="13"/>
      <c r="O223" s="14" t="s">
        <v>95</v>
      </c>
      <c r="P223" s="14" t="s">
        <v>96</v>
      </c>
      <c r="Q223" s="14" t="s">
        <v>256</v>
      </c>
      <c r="R223" s="14">
        <v>1</v>
      </c>
      <c r="S223" s="14">
        <v>1</v>
      </c>
      <c r="T223" s="14">
        <v>1</v>
      </c>
      <c r="U223" s="14" t="s">
        <v>22</v>
      </c>
      <c r="V223" s="14">
        <f t="shared" si="65"/>
        <v>0.01</v>
      </c>
      <c r="W223" s="14">
        <f t="shared" si="66"/>
        <v>1664.9999999999998</v>
      </c>
      <c r="X223" s="17"/>
      <c r="Y223" s="17"/>
      <c r="Z223" s="17" t="s">
        <v>8840</v>
      </c>
      <c r="AA223" s="18">
        <v>1.2999999999999999E-2</v>
      </c>
      <c r="AB223" s="13"/>
      <c r="AC223" s="13"/>
      <c r="AD223" s="13"/>
      <c r="AE223" s="13"/>
      <c r="AF223" s="13"/>
      <c r="AG223" s="13"/>
      <c r="AH223" s="13"/>
      <c r="AI223" s="19"/>
      <c r="AJ223" s="14"/>
      <c r="AK223" s="13" t="s">
        <v>8841</v>
      </c>
      <c r="AL223" s="13" t="s">
        <v>8842</v>
      </c>
      <c r="AM223" s="13" t="s">
        <v>8129</v>
      </c>
      <c r="AN223" s="13" t="s">
        <v>115</v>
      </c>
      <c r="AO223" s="13" t="s">
        <v>8878</v>
      </c>
      <c r="AP223" s="20">
        <v>0.06</v>
      </c>
      <c r="AQ223" s="20">
        <f t="shared" si="67"/>
        <v>4.7E-2</v>
      </c>
      <c r="AR223" s="92">
        <f t="shared" si="68"/>
        <v>78.254999999999995</v>
      </c>
      <c r="AS223" s="125">
        <f t="shared" si="69"/>
        <v>78.254999999999995</v>
      </c>
      <c r="AT223" s="127" t="s">
        <v>96</v>
      </c>
      <c r="AU223" s="17" t="s">
        <v>8861</v>
      </c>
      <c r="AV223" s="17" t="s">
        <v>8898</v>
      </c>
      <c r="AW223" s="17"/>
      <c r="AX223" s="126" t="s">
        <v>8899</v>
      </c>
      <c r="AY223" s="126" t="s">
        <v>8900</v>
      </c>
      <c r="AZ223" s="126"/>
    </row>
    <row r="224" spans="1:52" ht="15">
      <c r="A224" s="12">
        <v>44839</v>
      </c>
      <c r="B224" s="13" t="s">
        <v>8902</v>
      </c>
      <c r="C224" s="13" t="s">
        <v>151</v>
      </c>
      <c r="D224" s="17"/>
      <c r="E224" s="13"/>
      <c r="F224" s="14" t="s">
        <v>8897</v>
      </c>
      <c r="G224" s="13"/>
      <c r="H224" s="13"/>
      <c r="I224" s="13"/>
      <c r="J224" s="14"/>
      <c r="K224" s="14"/>
      <c r="L224" s="13">
        <v>1</v>
      </c>
      <c r="M224" s="13">
        <v>1</v>
      </c>
      <c r="N224" s="13"/>
      <c r="O224" s="14" t="s">
        <v>95</v>
      </c>
      <c r="P224" s="14" t="s">
        <v>96</v>
      </c>
      <c r="Q224" s="14" t="s">
        <v>256</v>
      </c>
      <c r="R224" s="14">
        <v>2</v>
      </c>
      <c r="S224" s="14">
        <v>2</v>
      </c>
      <c r="T224" s="14">
        <v>2</v>
      </c>
      <c r="U224" s="14" t="s">
        <v>22</v>
      </c>
      <c r="V224" s="14">
        <f t="shared" si="65"/>
        <v>0.01</v>
      </c>
      <c r="W224" s="14">
        <f t="shared" si="66"/>
        <v>1664.9999999999998</v>
      </c>
      <c r="X224" s="17"/>
      <c r="Y224" s="17"/>
      <c r="Z224" s="17" t="s">
        <v>8840</v>
      </c>
      <c r="AA224" s="18">
        <v>1.2999999999999999E-2</v>
      </c>
      <c r="AB224" s="13"/>
      <c r="AC224" s="13"/>
      <c r="AD224" s="13"/>
      <c r="AE224" s="13"/>
      <c r="AF224" s="13"/>
      <c r="AG224" s="13" t="s">
        <v>8903</v>
      </c>
      <c r="AH224" s="13"/>
      <c r="AI224" s="19"/>
      <c r="AJ224" s="14"/>
      <c r="AK224" s="13" t="s">
        <v>8841</v>
      </c>
      <c r="AL224" s="13" t="s">
        <v>8904</v>
      </c>
      <c r="AM224" s="13" t="s">
        <v>8231</v>
      </c>
      <c r="AN224" s="13" t="s">
        <v>96</v>
      </c>
      <c r="AO224" s="13" t="s">
        <v>8905</v>
      </c>
      <c r="AP224" s="20">
        <v>0.06</v>
      </c>
      <c r="AQ224" s="20">
        <f t="shared" si="67"/>
        <v>4.7E-2</v>
      </c>
      <c r="AR224" s="92">
        <f t="shared" si="68"/>
        <v>156.51</v>
      </c>
      <c r="AS224" s="125">
        <f t="shared" si="69"/>
        <v>78.254999999999995</v>
      </c>
      <c r="AT224" s="127" t="s">
        <v>96</v>
      </c>
      <c r="AU224" s="17" t="s">
        <v>8906</v>
      </c>
      <c r="AV224" s="17" t="s">
        <v>8907</v>
      </c>
      <c r="AW224" s="17" t="s">
        <v>8908</v>
      </c>
      <c r="AX224" s="126" t="s">
        <v>8899</v>
      </c>
      <c r="AY224" s="126" t="s">
        <v>8900</v>
      </c>
      <c r="AZ224" s="126" t="s">
        <v>8909</v>
      </c>
    </row>
    <row r="225" spans="1:52" ht="12.75">
      <c r="A225" s="12">
        <v>44840</v>
      </c>
      <c r="B225" s="13" t="s">
        <v>8910</v>
      </c>
      <c r="C225" s="13" t="s">
        <v>93</v>
      </c>
      <c r="D225" s="17"/>
      <c r="E225" s="13"/>
      <c r="F225" s="14" t="s">
        <v>2568</v>
      </c>
      <c r="G225" s="13"/>
      <c r="H225" s="13"/>
      <c r="I225" s="13"/>
      <c r="J225" s="14"/>
      <c r="K225" s="14"/>
      <c r="L225" s="13">
        <v>1</v>
      </c>
      <c r="M225" s="13">
        <v>1</v>
      </c>
      <c r="N225" s="13"/>
      <c r="O225" s="14" t="s">
        <v>95</v>
      </c>
      <c r="P225" s="14" t="s">
        <v>137</v>
      </c>
      <c r="Q225" s="14" t="s">
        <v>256</v>
      </c>
      <c r="R225" s="14">
        <v>1</v>
      </c>
      <c r="S225" s="14">
        <v>1</v>
      </c>
      <c r="T225" s="14">
        <v>1</v>
      </c>
      <c r="U225" s="14" t="s">
        <v>97</v>
      </c>
      <c r="V225" s="14">
        <f t="shared" si="65"/>
        <v>0.01</v>
      </c>
      <c r="W225" s="14">
        <f t="shared" si="66"/>
        <v>1664.9999999999998</v>
      </c>
      <c r="X225" s="17"/>
      <c r="Y225" s="17"/>
      <c r="Z225" s="28" t="s">
        <v>8823</v>
      </c>
      <c r="AA225" s="18">
        <v>0</v>
      </c>
      <c r="AB225" s="13"/>
      <c r="AC225" s="13"/>
      <c r="AD225" s="13"/>
      <c r="AE225" s="13"/>
      <c r="AF225" s="13"/>
      <c r="AG225" s="13"/>
      <c r="AH225" s="13"/>
      <c r="AI225" s="19"/>
      <c r="AJ225" s="14"/>
      <c r="AK225" s="13"/>
      <c r="AL225" s="13"/>
      <c r="AM225" s="13"/>
      <c r="AN225" s="13" t="s">
        <v>96</v>
      </c>
      <c r="AO225" s="13" t="s">
        <v>8911</v>
      </c>
      <c r="AP225" s="20">
        <v>0</v>
      </c>
      <c r="AQ225" s="20">
        <f t="shared" si="67"/>
        <v>0</v>
      </c>
      <c r="AR225" s="92">
        <f t="shared" si="68"/>
        <v>0</v>
      </c>
      <c r="AS225" s="21">
        <f t="shared" si="69"/>
        <v>0</v>
      </c>
      <c r="AT225" s="22" t="s">
        <v>115</v>
      </c>
      <c r="AU225" s="13" t="s">
        <v>8847</v>
      </c>
      <c r="AV225" s="13"/>
      <c r="AW225" s="13"/>
      <c r="AX225" s="13"/>
      <c r="AY225" s="13"/>
      <c r="AZ225" s="13"/>
    </row>
    <row r="226" spans="1:52" ht="15">
      <c r="A226" s="12">
        <v>44841</v>
      </c>
      <c r="B226" s="33">
        <v>0.41666666666666669</v>
      </c>
      <c r="C226" s="13" t="s">
        <v>111</v>
      </c>
      <c r="D226" s="17"/>
      <c r="E226" s="13"/>
      <c r="F226" s="14" t="s">
        <v>8897</v>
      </c>
      <c r="G226" s="13"/>
      <c r="H226" s="13"/>
      <c r="I226" s="13"/>
      <c r="J226" s="14"/>
      <c r="K226" s="14"/>
      <c r="L226" s="13">
        <v>1</v>
      </c>
      <c r="M226" s="13">
        <v>1</v>
      </c>
      <c r="N226" s="13"/>
      <c r="O226" s="14" t="s">
        <v>95</v>
      </c>
      <c r="P226" s="14" t="s">
        <v>96</v>
      </c>
      <c r="Q226" s="14" t="s">
        <v>256</v>
      </c>
      <c r="R226" s="14">
        <v>2</v>
      </c>
      <c r="S226" s="14">
        <v>2</v>
      </c>
      <c r="T226" s="14">
        <v>2</v>
      </c>
      <c r="U226" s="14" t="s">
        <v>22</v>
      </c>
      <c r="V226" s="14">
        <f t="shared" si="65"/>
        <v>0.01</v>
      </c>
      <c r="W226" s="14">
        <f t="shared" si="66"/>
        <v>1664.9999999999998</v>
      </c>
      <c r="X226" s="17"/>
      <c r="Y226" s="17"/>
      <c r="Z226" s="17" t="s">
        <v>8840</v>
      </c>
      <c r="AA226" s="18">
        <v>1.2999999999999999E-2</v>
      </c>
      <c r="AB226" s="13"/>
      <c r="AC226" s="13"/>
      <c r="AD226" s="13"/>
      <c r="AE226" s="13"/>
      <c r="AF226" s="13"/>
      <c r="AG226" s="13" t="s">
        <v>8903</v>
      </c>
      <c r="AH226" s="13"/>
      <c r="AI226" s="19"/>
      <c r="AJ226" s="14"/>
      <c r="AK226" s="13" t="s">
        <v>8841</v>
      </c>
      <c r="AL226" s="13" t="s">
        <v>8904</v>
      </c>
      <c r="AM226" s="13" t="s">
        <v>8912</v>
      </c>
      <c r="AN226" s="13" t="s">
        <v>96</v>
      </c>
      <c r="AO226" s="13" t="s">
        <v>8913</v>
      </c>
      <c r="AP226" s="20">
        <v>7.0000000000000007E-2</v>
      </c>
      <c r="AQ226" s="20">
        <f t="shared" si="67"/>
        <v>5.7000000000000009E-2</v>
      </c>
      <c r="AR226" s="92">
        <f t="shared" si="68"/>
        <v>189.81</v>
      </c>
      <c r="AS226" s="125">
        <f t="shared" si="69"/>
        <v>94.905000000000001</v>
      </c>
      <c r="AT226" s="127" t="s">
        <v>96</v>
      </c>
      <c r="AU226" s="17"/>
      <c r="AV226" s="17"/>
      <c r="AW226" s="17"/>
      <c r="AX226" s="126"/>
      <c r="AY226" s="126"/>
      <c r="AZ226" s="126"/>
    </row>
    <row r="227" spans="1:52" ht="15">
      <c r="A227" s="12">
        <v>44841</v>
      </c>
      <c r="B227" s="33">
        <v>0.41666666666666669</v>
      </c>
      <c r="C227" s="13" t="s">
        <v>111</v>
      </c>
      <c r="D227" s="17"/>
      <c r="E227" s="13"/>
      <c r="F227" s="14" t="s">
        <v>8897</v>
      </c>
      <c r="G227" s="13"/>
      <c r="H227" s="13"/>
      <c r="I227" s="13"/>
      <c r="J227" s="14"/>
      <c r="K227" s="14"/>
      <c r="L227" s="13">
        <v>1</v>
      </c>
      <c r="M227" s="13">
        <v>1</v>
      </c>
      <c r="N227" s="13"/>
      <c r="O227" s="14" t="s">
        <v>95</v>
      </c>
      <c r="P227" s="14" t="s">
        <v>96</v>
      </c>
      <c r="Q227" s="14" t="s">
        <v>256</v>
      </c>
      <c r="R227" s="14">
        <v>1</v>
      </c>
      <c r="S227" s="14">
        <v>1</v>
      </c>
      <c r="T227" s="14">
        <v>1</v>
      </c>
      <c r="U227" s="14" t="s">
        <v>22</v>
      </c>
      <c r="V227" s="14">
        <f t="shared" si="65"/>
        <v>0.01</v>
      </c>
      <c r="W227" s="14">
        <f t="shared" si="66"/>
        <v>1664.9999999999998</v>
      </c>
      <c r="X227" s="17"/>
      <c r="Y227" s="17"/>
      <c r="Z227" s="17" t="s">
        <v>8840</v>
      </c>
      <c r="AA227" s="18">
        <v>1.2999999999999999E-2</v>
      </c>
      <c r="AB227" s="13"/>
      <c r="AC227" s="13"/>
      <c r="AD227" s="13"/>
      <c r="AE227" s="13"/>
      <c r="AF227" s="13"/>
      <c r="AG227" s="13" t="s">
        <v>8903</v>
      </c>
      <c r="AH227" s="13"/>
      <c r="AI227" s="19"/>
      <c r="AJ227" s="14"/>
      <c r="AK227" s="13" t="s">
        <v>8841</v>
      </c>
      <c r="AL227" s="13" t="s">
        <v>8904</v>
      </c>
      <c r="AM227" s="13" t="s">
        <v>8912</v>
      </c>
      <c r="AN227" s="13" t="s">
        <v>96</v>
      </c>
      <c r="AO227" s="13" t="s">
        <v>8913</v>
      </c>
      <c r="AP227" s="20">
        <v>0.09</v>
      </c>
      <c r="AQ227" s="20">
        <f t="shared" si="67"/>
        <v>7.6999999999999999E-2</v>
      </c>
      <c r="AR227" s="92">
        <f t="shared" si="68"/>
        <v>128.20499999999998</v>
      </c>
      <c r="AS227" s="125">
        <f t="shared" si="69"/>
        <v>128.20499999999998</v>
      </c>
      <c r="AT227" s="127" t="s">
        <v>96</v>
      </c>
      <c r="AU227" s="17"/>
      <c r="AV227" s="17"/>
      <c r="AW227" s="17"/>
      <c r="AX227" s="126"/>
      <c r="AY227" s="126"/>
      <c r="AZ227" s="126"/>
    </row>
    <row r="228" spans="1:52" ht="12.75">
      <c r="A228" s="12">
        <v>44841</v>
      </c>
      <c r="B228" s="33">
        <v>0.75</v>
      </c>
      <c r="C228" s="13" t="s">
        <v>111</v>
      </c>
      <c r="D228" s="17" t="s">
        <v>8914</v>
      </c>
      <c r="E228" s="13" t="s">
        <v>8915</v>
      </c>
      <c r="F228" s="14"/>
      <c r="G228" s="13"/>
      <c r="H228" s="13"/>
      <c r="I228" s="13">
        <v>1</v>
      </c>
      <c r="J228" s="14"/>
      <c r="K228" s="14"/>
      <c r="L228" s="13"/>
      <c r="M228" s="13"/>
      <c r="N228" s="13"/>
      <c r="O228" s="14"/>
      <c r="P228" s="14"/>
      <c r="Q228" s="14"/>
      <c r="R228" s="14"/>
      <c r="S228" s="14"/>
      <c r="T228" s="14"/>
      <c r="U228" s="14"/>
      <c r="V228" s="14">
        <f t="shared" si="65"/>
        <v>0</v>
      </c>
      <c r="W228" s="14">
        <f t="shared" si="66"/>
        <v>0</v>
      </c>
      <c r="X228" s="17"/>
      <c r="Y228" s="17"/>
      <c r="Z228" s="17"/>
      <c r="AA228" s="18"/>
      <c r="AB228" s="13"/>
      <c r="AC228" s="13"/>
      <c r="AD228" s="13"/>
      <c r="AE228" s="13"/>
      <c r="AF228" s="13"/>
      <c r="AG228" s="13"/>
      <c r="AH228" s="13"/>
      <c r="AI228" s="19"/>
      <c r="AJ228" s="14"/>
      <c r="AK228" s="13"/>
      <c r="AL228" s="13"/>
      <c r="AM228" s="13"/>
      <c r="AN228" s="13"/>
      <c r="AO228" s="13"/>
      <c r="AP228" s="20"/>
      <c r="AQ228" s="13">
        <f t="shared" si="67"/>
        <v>0</v>
      </c>
      <c r="AR228" s="92">
        <f t="shared" si="68"/>
        <v>0</v>
      </c>
      <c r="AS228" s="125">
        <f t="shared" si="69"/>
        <v>0</v>
      </c>
      <c r="AT228" s="22"/>
      <c r="AU228" s="13"/>
      <c r="AV228" s="13"/>
      <c r="AW228" s="13"/>
      <c r="AX228" s="13"/>
      <c r="AY228" s="13"/>
      <c r="AZ228" s="13"/>
    </row>
    <row r="229" spans="1:52" ht="12.75">
      <c r="A229" s="12"/>
      <c r="B229" s="13"/>
      <c r="C229" s="13"/>
      <c r="D229" s="17" t="s">
        <v>8916</v>
      </c>
      <c r="E229" s="13"/>
      <c r="F229" s="14"/>
      <c r="G229" s="13"/>
      <c r="H229" s="13"/>
      <c r="I229" s="13">
        <v>1</v>
      </c>
      <c r="J229" s="14"/>
      <c r="K229" s="14"/>
      <c r="L229" s="13"/>
      <c r="M229" s="13"/>
      <c r="N229" s="13"/>
      <c r="O229" s="14"/>
      <c r="P229" s="14"/>
      <c r="Q229" s="14"/>
      <c r="R229" s="14"/>
      <c r="S229" s="14"/>
      <c r="T229" s="14"/>
      <c r="U229" s="14"/>
      <c r="V229" s="14">
        <f t="shared" si="65"/>
        <v>0</v>
      </c>
      <c r="W229" s="14">
        <f t="shared" si="66"/>
        <v>0</v>
      </c>
      <c r="X229" s="17"/>
      <c r="Y229" s="17"/>
      <c r="Z229" s="17"/>
      <c r="AA229" s="18"/>
      <c r="AB229" s="13"/>
      <c r="AC229" s="13"/>
      <c r="AD229" s="13"/>
      <c r="AE229" s="13"/>
      <c r="AF229" s="13"/>
      <c r="AG229" s="13"/>
      <c r="AH229" s="13"/>
      <c r="AI229" s="19"/>
      <c r="AJ229" s="14"/>
      <c r="AK229" s="13"/>
      <c r="AL229" s="13"/>
      <c r="AM229" s="13"/>
      <c r="AN229" s="13"/>
      <c r="AO229" s="13"/>
      <c r="AP229" s="20"/>
      <c r="AQ229" s="13">
        <f t="shared" si="67"/>
        <v>0</v>
      </c>
      <c r="AR229" s="92">
        <f t="shared" si="68"/>
        <v>0</v>
      </c>
      <c r="AS229" s="125">
        <f t="shared" si="69"/>
        <v>0</v>
      </c>
      <c r="AT229" s="22"/>
      <c r="AU229" s="13"/>
      <c r="AV229" s="13"/>
      <c r="AW229" s="13"/>
      <c r="AX229" s="13"/>
      <c r="AY229" s="13"/>
      <c r="AZ229" s="13"/>
    </row>
    <row r="230" spans="1:52" ht="12.75">
      <c r="A230" s="12"/>
      <c r="B230" s="13"/>
      <c r="C230" s="13"/>
      <c r="D230" s="17" t="s">
        <v>8917</v>
      </c>
      <c r="E230" s="13"/>
      <c r="F230" s="14"/>
      <c r="G230" s="13">
        <v>1</v>
      </c>
      <c r="H230" s="13"/>
      <c r="I230" s="13"/>
      <c r="J230" s="14"/>
      <c r="K230" s="14"/>
      <c r="L230" s="13"/>
      <c r="M230" s="13"/>
      <c r="N230" s="13"/>
      <c r="O230" s="14"/>
      <c r="P230" s="14"/>
      <c r="Q230" s="14"/>
      <c r="R230" s="14"/>
      <c r="S230" s="14"/>
      <c r="T230" s="14"/>
      <c r="U230" s="14"/>
      <c r="V230" s="14">
        <f t="shared" si="65"/>
        <v>0</v>
      </c>
      <c r="W230" s="14">
        <f t="shared" si="66"/>
        <v>0</v>
      </c>
      <c r="X230" s="17"/>
      <c r="Y230" s="17"/>
      <c r="Z230" s="17"/>
      <c r="AA230" s="18"/>
      <c r="AB230" s="13"/>
      <c r="AC230" s="13"/>
      <c r="AD230" s="13"/>
      <c r="AE230" s="13"/>
      <c r="AF230" s="13"/>
      <c r="AG230" s="13"/>
      <c r="AH230" s="13"/>
      <c r="AI230" s="19"/>
      <c r="AJ230" s="14"/>
      <c r="AK230" s="13"/>
      <c r="AL230" s="13"/>
      <c r="AM230" s="13"/>
      <c r="AN230" s="13"/>
      <c r="AO230" s="13"/>
      <c r="AP230" s="20"/>
      <c r="AQ230" s="13">
        <f t="shared" si="67"/>
        <v>0</v>
      </c>
      <c r="AR230" s="92">
        <f t="shared" si="68"/>
        <v>0</v>
      </c>
      <c r="AS230" s="125">
        <f t="shared" si="69"/>
        <v>0</v>
      </c>
      <c r="AT230" s="22"/>
      <c r="AU230" s="13"/>
      <c r="AV230" s="13"/>
      <c r="AW230" s="13"/>
      <c r="AX230" s="13"/>
      <c r="AY230" s="13"/>
      <c r="AZ230" s="13"/>
    </row>
    <row r="231" spans="1:52" ht="12.75">
      <c r="A231" s="12">
        <v>44845</v>
      </c>
      <c r="B231" s="13" t="s">
        <v>575</v>
      </c>
      <c r="C231" s="13" t="s">
        <v>146</v>
      </c>
      <c r="D231" s="17"/>
      <c r="E231" s="13"/>
      <c r="F231" s="14" t="s">
        <v>8897</v>
      </c>
      <c r="G231" s="13"/>
      <c r="H231" s="13"/>
      <c r="I231" s="13"/>
      <c r="J231" s="14"/>
      <c r="K231" s="14"/>
      <c r="L231" s="13"/>
      <c r="M231" s="13"/>
      <c r="N231" s="13"/>
      <c r="O231" s="14" t="s">
        <v>95</v>
      </c>
      <c r="P231" s="14" t="s">
        <v>96</v>
      </c>
      <c r="Q231" s="14" t="s">
        <v>256</v>
      </c>
      <c r="R231" s="14">
        <v>1</v>
      </c>
      <c r="S231" s="14">
        <v>1</v>
      </c>
      <c r="T231" s="14"/>
      <c r="U231" s="14" t="s">
        <v>22</v>
      </c>
      <c r="V231" s="14">
        <f t="shared" si="65"/>
        <v>0.01</v>
      </c>
      <c r="W231" s="14">
        <f t="shared" si="66"/>
        <v>1664.9999999999998</v>
      </c>
      <c r="X231" s="17"/>
      <c r="Y231" s="17"/>
      <c r="Z231" s="17" t="s">
        <v>8918</v>
      </c>
      <c r="AA231" s="18">
        <v>0.04</v>
      </c>
      <c r="AB231" s="13"/>
      <c r="AC231" s="13"/>
      <c r="AD231" s="13"/>
      <c r="AE231" s="13"/>
      <c r="AF231" s="13"/>
      <c r="AG231" s="13"/>
      <c r="AH231" s="13"/>
      <c r="AI231" s="19"/>
      <c r="AJ231" s="14"/>
      <c r="AK231" s="13"/>
      <c r="AL231" s="13"/>
      <c r="AM231" s="13"/>
      <c r="AN231" s="13"/>
      <c r="AO231" s="13"/>
      <c r="AP231" s="20"/>
      <c r="AQ231" s="13">
        <f t="shared" si="67"/>
        <v>0</v>
      </c>
      <c r="AR231" s="92">
        <f t="shared" si="68"/>
        <v>0</v>
      </c>
      <c r="AS231" s="125">
        <f t="shared" si="69"/>
        <v>0</v>
      </c>
      <c r="AT231" s="22"/>
      <c r="AU231" s="13" t="s">
        <v>8919</v>
      </c>
      <c r="AV231" s="13" t="s">
        <v>8920</v>
      </c>
      <c r="AW231" s="13" t="s">
        <v>8921</v>
      </c>
      <c r="AX231" s="13" t="s">
        <v>8922</v>
      </c>
      <c r="AY231" s="13"/>
      <c r="AZ231" s="13"/>
    </row>
    <row r="232" spans="1:52" ht="12.75">
      <c r="A232" s="12">
        <v>44845</v>
      </c>
      <c r="B232" s="13"/>
      <c r="C232" s="13" t="s">
        <v>146</v>
      </c>
      <c r="D232" s="17"/>
      <c r="E232" s="13"/>
      <c r="F232" s="14" t="s">
        <v>8897</v>
      </c>
      <c r="G232" s="13"/>
      <c r="H232" s="13"/>
      <c r="I232" s="13"/>
      <c r="J232" s="14"/>
      <c r="K232" s="14"/>
      <c r="L232" s="13">
        <v>1</v>
      </c>
      <c r="M232" s="13"/>
      <c r="N232" s="13"/>
      <c r="O232" s="14" t="s">
        <v>95</v>
      </c>
      <c r="P232" s="14" t="s">
        <v>96</v>
      </c>
      <c r="Q232" s="14" t="s">
        <v>256</v>
      </c>
      <c r="R232" s="14">
        <v>1</v>
      </c>
      <c r="S232" s="14">
        <v>1</v>
      </c>
      <c r="T232" s="14"/>
      <c r="U232" s="14" t="s">
        <v>22</v>
      </c>
      <c r="V232" s="14">
        <f t="shared" si="65"/>
        <v>0.01</v>
      </c>
      <c r="W232" s="14">
        <f t="shared" si="66"/>
        <v>1664.9999999999998</v>
      </c>
      <c r="X232" s="17"/>
      <c r="Y232" s="17"/>
      <c r="Z232" s="17" t="s">
        <v>8923</v>
      </c>
      <c r="AA232" s="18">
        <v>0.04</v>
      </c>
      <c r="AB232" s="13"/>
      <c r="AC232" s="13"/>
      <c r="AD232" s="13"/>
      <c r="AE232" s="13"/>
      <c r="AF232" s="13"/>
      <c r="AG232" s="13"/>
      <c r="AH232" s="13"/>
      <c r="AI232" s="19"/>
      <c r="AJ232" s="14"/>
      <c r="AK232" s="13"/>
      <c r="AL232" s="13"/>
      <c r="AM232" s="13"/>
      <c r="AN232" s="13"/>
      <c r="AO232" s="13"/>
      <c r="AP232" s="20"/>
      <c r="AQ232" s="13">
        <f t="shared" si="67"/>
        <v>0</v>
      </c>
      <c r="AR232" s="92">
        <f t="shared" si="68"/>
        <v>0</v>
      </c>
      <c r="AS232" s="125">
        <f t="shared" si="69"/>
        <v>0</v>
      </c>
      <c r="AT232" s="22"/>
      <c r="AU232" s="17" t="s">
        <v>8924</v>
      </c>
      <c r="AV232" s="13"/>
      <c r="AW232" s="13" t="s">
        <v>8921</v>
      </c>
      <c r="AX232" s="13"/>
      <c r="AY232" s="13"/>
      <c r="AZ232" s="13"/>
    </row>
    <row r="233" spans="1:52" ht="12.75">
      <c r="A233" s="12">
        <v>44845</v>
      </c>
      <c r="B233" s="13"/>
      <c r="C233" s="13" t="s">
        <v>146</v>
      </c>
      <c r="D233" s="17"/>
      <c r="E233" s="13"/>
      <c r="F233" s="14" t="s">
        <v>8287</v>
      </c>
      <c r="G233" s="13"/>
      <c r="H233" s="13"/>
      <c r="I233" s="13"/>
      <c r="J233" s="14"/>
      <c r="K233" s="14"/>
      <c r="L233" s="13">
        <v>1</v>
      </c>
      <c r="M233" s="13"/>
      <c r="N233" s="13"/>
      <c r="O233" s="14" t="s">
        <v>95</v>
      </c>
      <c r="P233" s="14" t="s">
        <v>96</v>
      </c>
      <c r="Q233" s="14" t="s">
        <v>256</v>
      </c>
      <c r="R233" s="14"/>
      <c r="S233" s="14"/>
      <c r="T233" s="14"/>
      <c r="U233" s="14"/>
      <c r="V233" s="14">
        <f t="shared" si="65"/>
        <v>0.01</v>
      </c>
      <c r="W233" s="14">
        <f t="shared" si="66"/>
        <v>1664.9999999999998</v>
      </c>
      <c r="X233" s="17"/>
      <c r="Y233" s="17"/>
      <c r="Z233" s="17"/>
      <c r="AA233" s="18"/>
      <c r="AB233" s="13"/>
      <c r="AC233" s="13"/>
      <c r="AD233" s="13"/>
      <c r="AE233" s="13"/>
      <c r="AF233" s="13"/>
      <c r="AG233" s="13"/>
      <c r="AH233" s="13"/>
      <c r="AI233" s="19"/>
      <c r="AJ233" s="14"/>
      <c r="AK233" s="13"/>
      <c r="AL233" s="13"/>
      <c r="AM233" s="13"/>
      <c r="AN233" s="13"/>
      <c r="AO233" s="13"/>
      <c r="AP233" s="20"/>
      <c r="AQ233" s="13">
        <f t="shared" si="67"/>
        <v>0</v>
      </c>
      <c r="AR233" s="92">
        <f t="shared" si="68"/>
        <v>0</v>
      </c>
      <c r="AS233" s="125">
        <f t="shared" si="69"/>
        <v>0</v>
      </c>
      <c r="AT233" s="22"/>
      <c r="AU233" s="13" t="s">
        <v>8925</v>
      </c>
      <c r="AV233" s="13" t="s">
        <v>8926</v>
      </c>
      <c r="AW233" s="13" t="s">
        <v>8921</v>
      </c>
      <c r="AX233" s="13"/>
      <c r="AY233" s="13"/>
      <c r="AZ233" s="13"/>
    </row>
    <row r="234" spans="1:52" ht="12.75">
      <c r="A234" s="12">
        <v>44845</v>
      </c>
      <c r="B234" s="13"/>
      <c r="C234" s="13" t="s">
        <v>146</v>
      </c>
      <c r="D234" s="17" t="s">
        <v>8927</v>
      </c>
      <c r="E234" s="13" t="s">
        <v>148</v>
      </c>
      <c r="F234" s="14"/>
      <c r="G234" s="13"/>
      <c r="H234" s="13"/>
      <c r="I234" s="13">
        <v>1</v>
      </c>
      <c r="J234" s="14"/>
      <c r="K234" s="14"/>
      <c r="L234" s="13"/>
      <c r="M234" s="13"/>
      <c r="N234" s="13"/>
      <c r="O234" s="14"/>
      <c r="P234" s="14"/>
      <c r="Q234" s="14"/>
      <c r="R234" s="14"/>
      <c r="S234" s="14"/>
      <c r="T234" s="14"/>
      <c r="U234" s="14"/>
      <c r="V234" s="14">
        <f t="shared" si="65"/>
        <v>0</v>
      </c>
      <c r="W234" s="14">
        <f t="shared" si="66"/>
        <v>0</v>
      </c>
      <c r="X234" s="17"/>
      <c r="Y234" s="17"/>
      <c r="Z234" s="17"/>
      <c r="AA234" s="18"/>
      <c r="AB234" s="13"/>
      <c r="AC234" s="13"/>
      <c r="AD234" s="13"/>
      <c r="AE234" s="13"/>
      <c r="AF234" s="13"/>
      <c r="AG234" s="13"/>
      <c r="AH234" s="13"/>
      <c r="AI234" s="19"/>
      <c r="AJ234" s="14"/>
      <c r="AK234" s="13"/>
      <c r="AL234" s="13"/>
      <c r="AM234" s="13"/>
      <c r="AN234" s="13"/>
      <c r="AO234" s="13"/>
      <c r="AP234" s="20"/>
      <c r="AQ234" s="13">
        <f t="shared" si="67"/>
        <v>0</v>
      </c>
      <c r="AR234" s="92">
        <f t="shared" si="68"/>
        <v>0</v>
      </c>
      <c r="AS234" s="125">
        <f t="shared" si="69"/>
        <v>0</v>
      </c>
      <c r="AT234" s="22"/>
      <c r="AU234" s="17"/>
      <c r="AV234" s="13"/>
      <c r="AW234" s="13"/>
      <c r="AX234" s="17" t="s">
        <v>149</v>
      </c>
      <c r="AY234" s="13" t="s">
        <v>150</v>
      </c>
      <c r="AZ234" s="13"/>
    </row>
    <row r="235" spans="1:52" ht="12.75">
      <c r="A235" s="12">
        <v>44845</v>
      </c>
      <c r="B235" s="13"/>
      <c r="C235" s="13" t="s">
        <v>146</v>
      </c>
      <c r="D235" s="17"/>
      <c r="E235" s="13"/>
      <c r="F235" s="14" t="s">
        <v>2145</v>
      </c>
      <c r="G235" s="13"/>
      <c r="H235" s="13"/>
      <c r="I235" s="13"/>
      <c r="J235" s="14"/>
      <c r="K235" s="14"/>
      <c r="L235" s="13"/>
      <c r="M235" s="13"/>
      <c r="N235" s="13"/>
      <c r="O235" s="14"/>
      <c r="P235" s="14"/>
      <c r="Q235" s="14"/>
      <c r="R235" s="14"/>
      <c r="S235" s="14"/>
      <c r="T235" s="14"/>
      <c r="U235" s="14"/>
      <c r="V235" s="14">
        <f t="shared" si="65"/>
        <v>0</v>
      </c>
      <c r="W235" s="14">
        <f t="shared" si="66"/>
        <v>0</v>
      </c>
      <c r="X235" s="17"/>
      <c r="Y235" s="17"/>
      <c r="Z235" s="17"/>
      <c r="AA235" s="18"/>
      <c r="AB235" s="13"/>
      <c r="AC235" s="13"/>
      <c r="AD235" s="13"/>
      <c r="AE235" s="13"/>
      <c r="AF235" s="13"/>
      <c r="AG235" s="13"/>
      <c r="AH235" s="13"/>
      <c r="AI235" s="19"/>
      <c r="AJ235" s="14"/>
      <c r="AK235" s="13"/>
      <c r="AL235" s="13"/>
      <c r="AM235" s="13"/>
      <c r="AN235" s="13"/>
      <c r="AO235" s="13"/>
      <c r="AP235" s="20"/>
      <c r="AQ235" s="13">
        <f t="shared" si="67"/>
        <v>0</v>
      </c>
      <c r="AR235" s="92">
        <f t="shared" si="68"/>
        <v>0</v>
      </c>
      <c r="AS235" s="125">
        <f t="shared" si="69"/>
        <v>0</v>
      </c>
      <c r="AT235" s="22"/>
      <c r="AU235" s="13" t="s">
        <v>8928</v>
      </c>
      <c r="AV235" s="13"/>
      <c r="AW235" s="13" t="s">
        <v>8921</v>
      </c>
      <c r="AX235" s="13"/>
      <c r="AY235" s="13"/>
      <c r="AZ235" s="13"/>
    </row>
    <row r="236" spans="1:52" ht="12.75">
      <c r="A236" s="12">
        <v>44846</v>
      </c>
      <c r="B236" s="13" t="s">
        <v>2661</v>
      </c>
      <c r="C236" s="13" t="s">
        <v>151</v>
      </c>
      <c r="D236" s="17" t="s">
        <v>8929</v>
      </c>
      <c r="E236" s="13" t="s">
        <v>8930</v>
      </c>
      <c r="F236" s="14"/>
      <c r="G236" s="13"/>
      <c r="H236" s="13"/>
      <c r="I236" s="13"/>
      <c r="J236" s="14"/>
      <c r="K236" s="14"/>
      <c r="L236" s="13"/>
      <c r="M236" s="13"/>
      <c r="N236" s="13"/>
      <c r="O236" s="14"/>
      <c r="P236" s="14"/>
      <c r="Q236" s="14"/>
      <c r="R236" s="14"/>
      <c r="S236" s="14"/>
      <c r="T236" s="14"/>
      <c r="U236" s="14"/>
      <c r="V236" s="14">
        <f t="shared" si="65"/>
        <v>0</v>
      </c>
      <c r="W236" s="14">
        <f t="shared" si="66"/>
        <v>0</v>
      </c>
      <c r="X236" s="17"/>
      <c r="Y236" s="17"/>
      <c r="Z236" s="17"/>
      <c r="AA236" s="18"/>
      <c r="AB236" s="13"/>
      <c r="AC236" s="13"/>
      <c r="AD236" s="13"/>
      <c r="AE236" s="13"/>
      <c r="AF236" s="13"/>
      <c r="AG236" s="13"/>
      <c r="AH236" s="13"/>
      <c r="AI236" s="19"/>
      <c r="AJ236" s="14"/>
      <c r="AK236" s="13"/>
      <c r="AL236" s="13"/>
      <c r="AM236" s="13"/>
      <c r="AN236" s="13"/>
      <c r="AO236" s="13"/>
      <c r="AP236" s="20"/>
      <c r="AQ236" s="13">
        <f t="shared" si="67"/>
        <v>0</v>
      </c>
      <c r="AR236" s="92">
        <f t="shared" si="68"/>
        <v>0</v>
      </c>
      <c r="AS236" s="125">
        <f t="shared" si="69"/>
        <v>0</v>
      </c>
      <c r="AT236" s="22"/>
      <c r="AU236" s="13"/>
      <c r="AV236" s="13"/>
      <c r="AW236" s="13"/>
      <c r="AX236" s="13"/>
      <c r="AY236" s="13"/>
      <c r="AZ236" s="13"/>
    </row>
    <row r="237" spans="1:52" ht="12.75">
      <c r="A237" s="12"/>
      <c r="B237" s="13"/>
      <c r="C237" s="13"/>
      <c r="D237" s="17" t="s">
        <v>8931</v>
      </c>
      <c r="E237" s="13"/>
      <c r="F237" s="14"/>
      <c r="G237" s="13"/>
      <c r="H237" s="13"/>
      <c r="I237" s="13"/>
      <c r="J237" s="14"/>
      <c r="K237" s="14"/>
      <c r="L237" s="13"/>
      <c r="M237" s="13"/>
      <c r="N237" s="13"/>
      <c r="O237" s="14"/>
      <c r="P237" s="14"/>
      <c r="Q237" s="14"/>
      <c r="R237" s="14"/>
      <c r="S237" s="14"/>
      <c r="T237" s="14"/>
      <c r="U237" s="14"/>
      <c r="V237" s="14">
        <f t="shared" si="65"/>
        <v>0</v>
      </c>
      <c r="W237" s="14">
        <f t="shared" si="66"/>
        <v>0</v>
      </c>
      <c r="X237" s="17"/>
      <c r="Y237" s="17"/>
      <c r="Z237" s="17"/>
      <c r="AA237" s="18"/>
      <c r="AB237" s="13"/>
      <c r="AC237" s="13"/>
      <c r="AD237" s="13"/>
      <c r="AE237" s="13"/>
      <c r="AF237" s="13"/>
      <c r="AG237" s="13"/>
      <c r="AH237" s="13"/>
      <c r="AI237" s="19"/>
      <c r="AJ237" s="14"/>
      <c r="AK237" s="13"/>
      <c r="AL237" s="13"/>
      <c r="AM237" s="13"/>
      <c r="AN237" s="13"/>
      <c r="AO237" s="13"/>
      <c r="AP237" s="20"/>
      <c r="AQ237" s="13">
        <f t="shared" si="67"/>
        <v>0</v>
      </c>
      <c r="AR237" s="92">
        <f t="shared" si="68"/>
        <v>0</v>
      </c>
      <c r="AS237" s="125">
        <f t="shared" si="69"/>
        <v>0</v>
      </c>
      <c r="AT237" s="22"/>
      <c r="AU237" s="13"/>
      <c r="AV237" s="13"/>
      <c r="AW237" s="13"/>
      <c r="AX237" s="13"/>
      <c r="AY237" s="13"/>
      <c r="AZ237" s="13"/>
    </row>
    <row r="238" spans="1:52" ht="12.75">
      <c r="A238" s="12">
        <v>44847</v>
      </c>
      <c r="B238" s="13"/>
      <c r="C238" s="13" t="s">
        <v>93</v>
      </c>
      <c r="D238" s="17" t="s">
        <v>8932</v>
      </c>
      <c r="E238" s="13"/>
      <c r="F238" s="14"/>
      <c r="G238" s="13"/>
      <c r="H238" s="13"/>
      <c r="I238" s="13"/>
      <c r="J238" s="14"/>
      <c r="K238" s="14"/>
      <c r="L238" s="13"/>
      <c r="M238" s="13"/>
      <c r="N238" s="13"/>
      <c r="O238" s="14"/>
      <c r="P238" s="14"/>
      <c r="Q238" s="14"/>
      <c r="R238" s="14"/>
      <c r="S238" s="14"/>
      <c r="T238" s="14"/>
      <c r="U238" s="14"/>
      <c r="V238" s="14">
        <f t="shared" si="65"/>
        <v>0</v>
      </c>
      <c r="W238" s="14">
        <f t="shared" si="66"/>
        <v>0</v>
      </c>
      <c r="X238" s="17"/>
      <c r="Y238" s="17"/>
      <c r="Z238" s="17"/>
      <c r="AA238" s="18"/>
      <c r="AB238" s="13"/>
      <c r="AC238" s="13"/>
      <c r="AD238" s="13"/>
      <c r="AE238" s="13"/>
      <c r="AF238" s="13"/>
      <c r="AG238" s="13"/>
      <c r="AH238" s="13"/>
      <c r="AI238" s="19"/>
      <c r="AJ238" s="14"/>
      <c r="AK238" s="13"/>
      <c r="AL238" s="13"/>
      <c r="AM238" s="13"/>
      <c r="AN238" s="13"/>
      <c r="AO238" s="13"/>
      <c r="AP238" s="20"/>
      <c r="AQ238" s="13">
        <f t="shared" si="67"/>
        <v>0</v>
      </c>
      <c r="AR238" s="92">
        <f t="shared" si="68"/>
        <v>0</v>
      </c>
      <c r="AS238" s="125">
        <f t="shared" si="69"/>
        <v>0</v>
      </c>
      <c r="AT238" s="22"/>
      <c r="AU238" s="17" t="s">
        <v>8933</v>
      </c>
      <c r="AV238" s="17" t="s">
        <v>8934</v>
      </c>
      <c r="AW238" s="13" t="s">
        <v>8935</v>
      </c>
      <c r="AX238" s="13"/>
      <c r="AY238" s="13"/>
      <c r="AZ238" s="13"/>
    </row>
    <row r="239" spans="1:52" ht="12.75">
      <c r="A239" s="26">
        <v>44847</v>
      </c>
      <c r="B239" s="13"/>
      <c r="C239" s="13" t="s">
        <v>93</v>
      </c>
      <c r="D239" s="17"/>
      <c r="E239" s="13"/>
      <c r="F239" s="14" t="s">
        <v>2283</v>
      </c>
      <c r="G239" s="13"/>
      <c r="H239" s="13"/>
      <c r="I239" s="13"/>
      <c r="J239" s="14"/>
      <c r="K239" s="14"/>
      <c r="L239" s="13">
        <v>1</v>
      </c>
      <c r="M239" s="13">
        <v>1</v>
      </c>
      <c r="N239" s="13"/>
      <c r="O239" s="14" t="s">
        <v>95</v>
      </c>
      <c r="P239" s="14" t="s">
        <v>137</v>
      </c>
      <c r="Q239" s="14" t="s">
        <v>256</v>
      </c>
      <c r="R239" s="14">
        <v>1</v>
      </c>
      <c r="S239" s="14">
        <v>1</v>
      </c>
      <c r="T239" s="14"/>
      <c r="U239" s="14" t="s">
        <v>97</v>
      </c>
      <c r="V239" s="14">
        <f t="shared" si="65"/>
        <v>0.01</v>
      </c>
      <c r="W239" s="14">
        <f t="shared" si="66"/>
        <v>1664.9999999999998</v>
      </c>
      <c r="X239" s="17"/>
      <c r="Y239" s="17"/>
      <c r="Z239" s="17" t="s">
        <v>8936</v>
      </c>
      <c r="AA239" s="18">
        <v>7.0000000000000007E-2</v>
      </c>
      <c r="AB239" s="13"/>
      <c r="AC239" s="13"/>
      <c r="AD239" s="13"/>
      <c r="AE239" s="13"/>
      <c r="AF239" s="13"/>
      <c r="AG239" s="13"/>
      <c r="AH239" s="13"/>
      <c r="AI239" s="19"/>
      <c r="AJ239" s="14"/>
      <c r="AK239" s="13"/>
      <c r="AL239" s="13"/>
      <c r="AM239" s="13"/>
      <c r="AN239" s="13"/>
      <c r="AO239" s="13"/>
      <c r="AP239" s="20"/>
      <c r="AQ239" s="13">
        <f t="shared" si="67"/>
        <v>0</v>
      </c>
      <c r="AR239" s="92">
        <f t="shared" si="68"/>
        <v>0</v>
      </c>
      <c r="AS239" s="125">
        <f t="shared" si="69"/>
        <v>0</v>
      </c>
      <c r="AT239" s="22"/>
      <c r="AU239" s="17" t="s">
        <v>8937</v>
      </c>
      <c r="AV239" s="17" t="s">
        <v>8938</v>
      </c>
      <c r="AW239" s="17" t="s">
        <v>8939</v>
      </c>
      <c r="AX239" s="13"/>
      <c r="AY239" s="13"/>
      <c r="AZ239" s="13"/>
    </row>
    <row r="240" spans="1:52" ht="12.75">
      <c r="A240" s="12">
        <v>44847</v>
      </c>
      <c r="B240" s="13"/>
      <c r="C240" s="13" t="s">
        <v>93</v>
      </c>
      <c r="D240" s="17"/>
      <c r="E240" s="13"/>
      <c r="F240" s="14"/>
      <c r="G240" s="13"/>
      <c r="H240" s="13"/>
      <c r="I240" s="13"/>
      <c r="J240" s="14"/>
      <c r="K240" s="14"/>
      <c r="L240" s="13"/>
      <c r="M240" s="13"/>
      <c r="N240" s="13"/>
      <c r="O240" s="14"/>
      <c r="P240" s="14"/>
      <c r="Q240" s="14"/>
      <c r="R240" s="14"/>
      <c r="S240" s="14"/>
      <c r="T240" s="14"/>
      <c r="U240" s="14"/>
      <c r="V240" s="14">
        <f t="shared" si="65"/>
        <v>0</v>
      </c>
      <c r="W240" s="14">
        <f t="shared" si="66"/>
        <v>0</v>
      </c>
      <c r="X240" s="17"/>
      <c r="Y240" s="17"/>
      <c r="Z240" s="17"/>
      <c r="AA240" s="18"/>
      <c r="AB240" s="13"/>
      <c r="AC240" s="13"/>
      <c r="AD240" s="13"/>
      <c r="AE240" s="13"/>
      <c r="AF240" s="13"/>
      <c r="AG240" s="13"/>
      <c r="AH240" s="13"/>
      <c r="AI240" s="19"/>
      <c r="AJ240" s="14"/>
      <c r="AK240" s="13"/>
      <c r="AL240" s="13"/>
      <c r="AM240" s="13"/>
      <c r="AN240" s="13"/>
      <c r="AO240" s="13"/>
      <c r="AP240" s="20"/>
      <c r="AQ240" s="13">
        <f t="shared" si="67"/>
        <v>0</v>
      </c>
      <c r="AR240" s="92">
        <f t="shared" si="68"/>
        <v>0</v>
      </c>
      <c r="AS240" s="125">
        <f t="shared" si="69"/>
        <v>0</v>
      </c>
      <c r="AT240" s="22"/>
      <c r="AU240" s="13"/>
      <c r="AV240" s="13"/>
      <c r="AW240" s="13"/>
      <c r="AX240" s="13"/>
      <c r="AY240" s="13"/>
      <c r="AZ240" s="13"/>
    </row>
    <row r="241" spans="1:52" ht="12.75">
      <c r="A241" s="12">
        <v>44847</v>
      </c>
      <c r="B241" s="33">
        <v>0.75</v>
      </c>
      <c r="C241" s="13" t="s">
        <v>93</v>
      </c>
      <c r="D241" s="17" t="s">
        <v>164</v>
      </c>
      <c r="E241" s="13" t="s">
        <v>165</v>
      </c>
      <c r="F241" s="14"/>
      <c r="G241" s="13">
        <v>1</v>
      </c>
      <c r="H241" s="13"/>
      <c r="I241" s="13"/>
      <c r="J241" s="14"/>
      <c r="K241" s="14"/>
      <c r="L241" s="13"/>
      <c r="M241" s="13"/>
      <c r="N241" s="13"/>
      <c r="O241" s="14"/>
      <c r="P241" s="14"/>
      <c r="Q241" s="14"/>
      <c r="R241" s="14"/>
      <c r="S241" s="14"/>
      <c r="T241" s="14"/>
      <c r="U241" s="14"/>
      <c r="V241" s="14">
        <f t="shared" si="65"/>
        <v>0</v>
      </c>
      <c r="W241" s="14">
        <f t="shared" si="66"/>
        <v>0</v>
      </c>
      <c r="X241" s="17"/>
      <c r="Y241" s="17"/>
      <c r="Z241" s="17"/>
      <c r="AA241" s="18"/>
      <c r="AB241" s="13"/>
      <c r="AC241" s="13"/>
      <c r="AD241" s="13"/>
      <c r="AE241" s="13"/>
      <c r="AF241" s="13"/>
      <c r="AG241" s="13"/>
      <c r="AH241" s="13"/>
      <c r="AI241" s="19"/>
      <c r="AJ241" s="19">
        <f t="shared" ref="AJ241:AJ242" si="70">AI241*R241</f>
        <v>0</v>
      </c>
      <c r="AK241" s="13"/>
      <c r="AL241" s="13"/>
      <c r="AM241" s="13"/>
      <c r="AN241" s="13"/>
      <c r="AO241" s="13"/>
      <c r="AP241" s="20"/>
      <c r="AQ241" s="13">
        <f t="shared" si="67"/>
        <v>0</v>
      </c>
      <c r="AR241" s="92">
        <f t="shared" si="68"/>
        <v>0</v>
      </c>
      <c r="AS241" s="125">
        <f t="shared" si="69"/>
        <v>0</v>
      </c>
      <c r="AT241" s="22"/>
      <c r="AU241" s="13" t="s">
        <v>166</v>
      </c>
      <c r="AV241" s="13" t="s">
        <v>167</v>
      </c>
      <c r="AW241" s="13"/>
      <c r="AX241" s="13"/>
      <c r="AY241" s="13"/>
      <c r="AZ241" s="13" t="s">
        <v>168</v>
      </c>
    </row>
    <row r="242" spans="1:52" ht="12.75">
      <c r="A242" s="12"/>
      <c r="B242" s="13"/>
      <c r="C242" s="13"/>
      <c r="D242" s="17" t="s">
        <v>169</v>
      </c>
      <c r="E242" s="13" t="s">
        <v>170</v>
      </c>
      <c r="F242" s="14"/>
      <c r="G242" s="13">
        <v>1</v>
      </c>
      <c r="H242" s="13"/>
      <c r="I242" s="13"/>
      <c r="J242" s="14"/>
      <c r="K242" s="14"/>
      <c r="L242" s="13"/>
      <c r="M242" s="13"/>
      <c r="N242" s="13"/>
      <c r="O242" s="14"/>
      <c r="P242" s="14"/>
      <c r="Q242" s="14"/>
      <c r="R242" s="14"/>
      <c r="S242" s="14"/>
      <c r="T242" s="14"/>
      <c r="U242" s="14"/>
      <c r="V242" s="14">
        <f t="shared" si="65"/>
        <v>0</v>
      </c>
      <c r="W242" s="14">
        <f t="shared" si="66"/>
        <v>0</v>
      </c>
      <c r="X242" s="17"/>
      <c r="Y242" s="17"/>
      <c r="Z242" s="17"/>
      <c r="AA242" s="18"/>
      <c r="AB242" s="13"/>
      <c r="AC242" s="13"/>
      <c r="AD242" s="13"/>
      <c r="AE242" s="13"/>
      <c r="AF242" s="13"/>
      <c r="AG242" s="13"/>
      <c r="AH242" s="13"/>
      <c r="AI242" s="19"/>
      <c r="AJ242" s="19">
        <f t="shared" si="70"/>
        <v>0</v>
      </c>
      <c r="AK242" s="13"/>
      <c r="AL242" s="13"/>
      <c r="AM242" s="13"/>
      <c r="AN242" s="13"/>
      <c r="AO242" s="13"/>
      <c r="AP242" s="20"/>
      <c r="AQ242" s="13">
        <f t="shared" si="67"/>
        <v>0</v>
      </c>
      <c r="AR242" s="92">
        <f t="shared" si="68"/>
        <v>0</v>
      </c>
      <c r="AS242" s="125">
        <f t="shared" si="69"/>
        <v>0</v>
      </c>
      <c r="AT242" s="22"/>
      <c r="AU242" s="13"/>
      <c r="AV242" s="13"/>
      <c r="AW242" s="13"/>
      <c r="AX242" s="13"/>
      <c r="AY242" s="13"/>
      <c r="AZ242" s="13"/>
    </row>
    <row r="243" spans="1:52" ht="12.75">
      <c r="A243" s="12"/>
      <c r="B243" s="13"/>
      <c r="C243" s="13"/>
      <c r="D243" s="17"/>
      <c r="E243" s="13" t="s">
        <v>8940</v>
      </c>
      <c r="F243" s="14"/>
      <c r="G243" s="13"/>
      <c r="H243" s="13"/>
      <c r="I243" s="13"/>
      <c r="J243" s="14"/>
      <c r="K243" s="14"/>
      <c r="L243" s="13"/>
      <c r="M243" s="13"/>
      <c r="N243" s="13"/>
      <c r="O243" s="14" t="s">
        <v>95</v>
      </c>
      <c r="P243" s="14"/>
      <c r="Q243" s="14"/>
      <c r="R243" s="14">
        <v>1</v>
      </c>
      <c r="S243" s="14">
        <v>1</v>
      </c>
      <c r="T243" s="14"/>
      <c r="U243" s="14" t="s">
        <v>22</v>
      </c>
      <c r="V243" s="14">
        <f t="shared" si="65"/>
        <v>0.01</v>
      </c>
      <c r="W243" s="14">
        <f t="shared" si="66"/>
        <v>1664.9999999999998</v>
      </c>
      <c r="X243" s="17"/>
      <c r="Y243" s="17"/>
      <c r="Z243" s="17" t="s">
        <v>99</v>
      </c>
      <c r="AA243" s="18"/>
      <c r="AB243" s="13"/>
      <c r="AC243" s="13"/>
      <c r="AD243" s="13"/>
      <c r="AE243" s="13"/>
      <c r="AF243" s="13"/>
      <c r="AG243" s="13"/>
      <c r="AH243" s="13"/>
      <c r="AI243" s="19"/>
      <c r="AJ243" s="14"/>
      <c r="AK243" s="13"/>
      <c r="AL243" s="13"/>
      <c r="AM243" s="13"/>
      <c r="AN243" s="13"/>
      <c r="AO243" s="13"/>
      <c r="AP243" s="20"/>
      <c r="AQ243" s="13">
        <f t="shared" si="67"/>
        <v>0</v>
      </c>
      <c r="AR243" s="92">
        <f t="shared" si="68"/>
        <v>0</v>
      </c>
      <c r="AS243" s="125">
        <f t="shared" si="69"/>
        <v>0</v>
      </c>
      <c r="AT243" s="22"/>
      <c r="AU243" s="13"/>
      <c r="AV243" s="13"/>
      <c r="AW243" s="13"/>
      <c r="AX243" s="13" t="s">
        <v>8940</v>
      </c>
      <c r="AY243" s="13"/>
      <c r="AZ243" s="13"/>
    </row>
    <row r="244" spans="1:52" ht="12.75">
      <c r="A244" s="12">
        <v>44858</v>
      </c>
      <c r="B244" s="33">
        <v>0.33333333333333331</v>
      </c>
      <c r="C244" s="13" t="s">
        <v>132</v>
      </c>
      <c r="D244" s="17"/>
      <c r="E244" s="13"/>
      <c r="F244" s="14" t="s">
        <v>136</v>
      </c>
      <c r="G244" s="13"/>
      <c r="H244" s="13"/>
      <c r="I244" s="13"/>
      <c r="J244" s="14"/>
      <c r="K244" s="14"/>
      <c r="L244" s="13"/>
      <c r="M244" s="13"/>
      <c r="N244" s="13"/>
      <c r="O244" s="14"/>
      <c r="P244" s="14"/>
      <c r="Q244" s="14"/>
      <c r="R244" s="14"/>
      <c r="S244" s="14"/>
      <c r="T244" s="14"/>
      <c r="U244" s="14"/>
      <c r="V244" s="14">
        <f t="shared" si="65"/>
        <v>0</v>
      </c>
      <c r="W244" s="14">
        <f t="shared" si="66"/>
        <v>0</v>
      </c>
      <c r="X244" s="17"/>
      <c r="Y244" s="17"/>
      <c r="Z244" s="17"/>
      <c r="AA244" s="18"/>
      <c r="AB244" s="13"/>
      <c r="AC244" s="13"/>
      <c r="AD244" s="13"/>
      <c r="AE244" s="13"/>
      <c r="AF244" s="13"/>
      <c r="AG244" s="13"/>
      <c r="AH244" s="13"/>
      <c r="AI244" s="19"/>
      <c r="AJ244" s="14"/>
      <c r="AK244" s="13"/>
      <c r="AL244" s="13"/>
      <c r="AM244" s="13"/>
      <c r="AN244" s="13"/>
      <c r="AO244" s="13"/>
      <c r="AP244" s="20"/>
      <c r="AQ244" s="13">
        <f t="shared" si="67"/>
        <v>0</v>
      </c>
      <c r="AR244" s="92">
        <f t="shared" si="68"/>
        <v>0</v>
      </c>
      <c r="AS244" s="125">
        <f t="shared" si="69"/>
        <v>0</v>
      </c>
      <c r="AT244" s="22"/>
      <c r="AU244" s="13" t="s">
        <v>8941</v>
      </c>
      <c r="AV244" s="13" t="s">
        <v>8942</v>
      </c>
      <c r="AW244" s="13"/>
      <c r="AX244" s="13"/>
      <c r="AY244" s="13"/>
      <c r="AZ244" s="13"/>
    </row>
    <row r="245" spans="1:52" ht="12.75">
      <c r="A245" s="12">
        <v>44861</v>
      </c>
      <c r="B245" s="13"/>
      <c r="C245" s="13" t="s">
        <v>93</v>
      </c>
      <c r="D245" s="137" t="s">
        <v>308</v>
      </c>
      <c r="E245" s="13"/>
      <c r="F245" s="14" t="s">
        <v>8943</v>
      </c>
      <c r="G245" s="13"/>
      <c r="H245" s="13"/>
      <c r="I245" s="13"/>
      <c r="J245" s="14"/>
      <c r="K245" s="14"/>
      <c r="L245" s="13">
        <v>1</v>
      </c>
      <c r="M245" s="13">
        <v>1</v>
      </c>
      <c r="N245" s="13"/>
      <c r="O245" s="14" t="s">
        <v>95</v>
      </c>
      <c r="P245" s="14" t="s">
        <v>96</v>
      </c>
      <c r="Q245" s="14" t="s">
        <v>97</v>
      </c>
      <c r="R245" s="14">
        <v>1</v>
      </c>
      <c r="S245" s="14">
        <v>1</v>
      </c>
      <c r="T245" s="14"/>
      <c r="U245" s="14" t="s">
        <v>22</v>
      </c>
      <c r="V245" s="14">
        <f t="shared" si="65"/>
        <v>0.01</v>
      </c>
      <c r="W245" s="14">
        <f t="shared" si="66"/>
        <v>1664.9999999999998</v>
      </c>
      <c r="X245" s="17"/>
      <c r="Y245" s="17" t="s">
        <v>8944</v>
      </c>
      <c r="Z245" s="17"/>
      <c r="AA245" s="18">
        <v>0.62</v>
      </c>
      <c r="AB245" s="13"/>
      <c r="AC245" s="13">
        <v>60</v>
      </c>
      <c r="AD245" s="13"/>
      <c r="AE245" s="13"/>
      <c r="AF245" s="13" t="s">
        <v>8945</v>
      </c>
      <c r="AG245" s="13"/>
      <c r="AH245" s="13"/>
      <c r="AI245" s="19"/>
      <c r="AJ245" s="14"/>
      <c r="AK245" s="13"/>
      <c r="AL245" s="13"/>
      <c r="AM245" s="13"/>
      <c r="AN245" s="13"/>
      <c r="AO245" s="13"/>
      <c r="AP245" s="20">
        <v>0.6</v>
      </c>
      <c r="AQ245" s="20">
        <f t="shared" si="67"/>
        <v>-2.0000000000000018E-2</v>
      </c>
      <c r="AR245" s="92">
        <f t="shared" si="68"/>
        <v>-33.300000000000026</v>
      </c>
      <c r="AS245" s="125">
        <f t="shared" si="69"/>
        <v>-33.300000000000026</v>
      </c>
      <c r="AT245" s="22" t="s">
        <v>229</v>
      </c>
      <c r="AU245" s="29" t="s">
        <v>8946</v>
      </c>
      <c r="AV245" s="13" t="s">
        <v>8947</v>
      </c>
      <c r="AW245" s="13" t="s">
        <v>8948</v>
      </c>
      <c r="AX245" s="13" t="s">
        <v>8949</v>
      </c>
      <c r="AY245" s="13"/>
      <c r="AZ245" s="13"/>
    </row>
    <row r="246" spans="1:52" ht="12.75">
      <c r="A246" s="12">
        <v>44861</v>
      </c>
      <c r="B246" s="13"/>
      <c r="C246" s="13" t="s">
        <v>93</v>
      </c>
      <c r="D246" s="17"/>
      <c r="E246" s="13"/>
      <c r="F246" s="111" t="s">
        <v>1243</v>
      </c>
      <c r="G246" s="13"/>
      <c r="H246" s="13"/>
      <c r="I246" s="13"/>
      <c r="J246" s="14"/>
      <c r="K246" s="14"/>
      <c r="L246" s="13"/>
      <c r="M246" s="13">
        <v>1</v>
      </c>
      <c r="N246" s="13"/>
      <c r="O246" s="14" t="s">
        <v>95</v>
      </c>
      <c r="P246" s="14" t="s">
        <v>96</v>
      </c>
      <c r="Q246" s="14" t="s">
        <v>256</v>
      </c>
      <c r="R246" s="14">
        <v>2</v>
      </c>
      <c r="S246" s="14">
        <v>2</v>
      </c>
      <c r="T246" s="14"/>
      <c r="U246" s="14" t="s">
        <v>22</v>
      </c>
      <c r="V246" s="14">
        <f t="shared" si="65"/>
        <v>0.01</v>
      </c>
      <c r="W246" s="14">
        <f t="shared" si="66"/>
        <v>1664.9999999999998</v>
      </c>
      <c r="X246" s="17"/>
      <c r="Y246" s="17"/>
      <c r="Z246" s="17" t="s">
        <v>8950</v>
      </c>
      <c r="AA246" s="18">
        <v>0.04</v>
      </c>
      <c r="AB246" s="28" t="s">
        <v>8951</v>
      </c>
      <c r="AC246" s="13"/>
      <c r="AD246" s="13"/>
      <c r="AE246" s="13">
        <v>6</v>
      </c>
      <c r="AF246" s="13"/>
      <c r="AG246" s="13"/>
      <c r="AH246" s="13"/>
      <c r="AI246" s="19"/>
      <c r="AJ246" s="14"/>
      <c r="AK246" s="13"/>
      <c r="AL246" s="13"/>
      <c r="AM246" s="13"/>
      <c r="AN246" s="13" t="s">
        <v>115</v>
      </c>
      <c r="AO246" s="13"/>
      <c r="AP246" s="20">
        <v>0.06</v>
      </c>
      <c r="AQ246" s="20">
        <f t="shared" si="67"/>
        <v>1.9999999999999997E-2</v>
      </c>
      <c r="AR246" s="92">
        <f t="shared" si="68"/>
        <v>66.59999999999998</v>
      </c>
      <c r="AS246" s="125">
        <f t="shared" si="69"/>
        <v>33.29999999999999</v>
      </c>
      <c r="AT246" s="22" t="s">
        <v>96</v>
      </c>
      <c r="AU246" s="13" t="s">
        <v>8952</v>
      </c>
      <c r="AV246" s="13" t="s">
        <v>8947</v>
      </c>
      <c r="AW246" s="13" t="s">
        <v>8953</v>
      </c>
      <c r="AX246" s="13" t="s">
        <v>8954</v>
      </c>
      <c r="AY246" s="13"/>
      <c r="AZ246" s="13"/>
    </row>
    <row r="247" spans="1:52" ht="12.75">
      <c r="A247" s="12">
        <v>44861</v>
      </c>
      <c r="B247" s="13"/>
      <c r="C247" s="13" t="s">
        <v>93</v>
      </c>
      <c r="D247" s="17"/>
      <c r="E247" s="13"/>
      <c r="F247" s="14" t="s">
        <v>8955</v>
      </c>
      <c r="G247" s="13"/>
      <c r="H247" s="13"/>
      <c r="I247" s="13"/>
      <c r="J247" s="14"/>
      <c r="K247" s="14"/>
      <c r="L247" s="13">
        <v>1</v>
      </c>
      <c r="M247" s="13"/>
      <c r="N247" s="13"/>
      <c r="O247" s="14" t="s">
        <v>95</v>
      </c>
      <c r="P247" s="14" t="s">
        <v>137</v>
      </c>
      <c r="Q247" s="14" t="s">
        <v>97</v>
      </c>
      <c r="R247" s="14">
        <v>1</v>
      </c>
      <c r="S247" s="14">
        <v>1</v>
      </c>
      <c r="T247" s="14"/>
      <c r="U247" s="14" t="s">
        <v>22</v>
      </c>
      <c r="V247" s="14">
        <f t="shared" si="65"/>
        <v>0.01</v>
      </c>
      <c r="W247" s="14">
        <f t="shared" si="66"/>
        <v>1664.9999999999998</v>
      </c>
      <c r="X247" s="17"/>
      <c r="Y247" s="17"/>
      <c r="Z247" s="17" t="s">
        <v>998</v>
      </c>
      <c r="AA247" s="18">
        <v>-0.08</v>
      </c>
      <c r="AB247" s="13"/>
      <c r="AC247" s="13">
        <v>-9</v>
      </c>
      <c r="AD247" s="13"/>
      <c r="AE247" s="13">
        <v>-7</v>
      </c>
      <c r="AF247" s="13"/>
      <c r="AG247" s="13"/>
      <c r="AH247" s="13"/>
      <c r="AI247" s="19"/>
      <c r="AJ247" s="14"/>
      <c r="AK247" s="13"/>
      <c r="AL247" s="13"/>
      <c r="AM247" s="13"/>
      <c r="AN247" s="13" t="s">
        <v>115</v>
      </c>
      <c r="AO247" s="13"/>
      <c r="AP247" s="20">
        <v>-0.08</v>
      </c>
      <c r="AQ247" s="20">
        <f t="shared" si="67"/>
        <v>0</v>
      </c>
      <c r="AR247" s="92">
        <f t="shared" si="68"/>
        <v>0</v>
      </c>
      <c r="AS247" s="125">
        <f t="shared" si="69"/>
        <v>0</v>
      </c>
      <c r="AT247" s="22" t="s">
        <v>115</v>
      </c>
      <c r="AU247" s="13"/>
      <c r="AV247" s="13"/>
      <c r="AW247" s="13"/>
      <c r="AX247" s="13"/>
      <c r="AY247" s="13"/>
      <c r="AZ247" s="13"/>
    </row>
    <row r="248" spans="1:52" ht="12.75">
      <c r="A248" s="12">
        <v>44861</v>
      </c>
      <c r="B248" s="13"/>
      <c r="C248" s="13" t="s">
        <v>93</v>
      </c>
      <c r="D248" s="17"/>
      <c r="E248" s="13"/>
      <c r="F248" s="14" t="s">
        <v>757</v>
      </c>
      <c r="G248" s="13"/>
      <c r="H248" s="13"/>
      <c r="I248" s="13"/>
      <c r="J248" s="14"/>
      <c r="K248" s="14"/>
      <c r="L248" s="13">
        <v>1</v>
      </c>
      <c r="M248" s="13"/>
      <c r="N248" s="13"/>
      <c r="O248" s="14" t="s">
        <v>95</v>
      </c>
      <c r="P248" s="14" t="s">
        <v>137</v>
      </c>
      <c r="Q248" s="14" t="s">
        <v>97</v>
      </c>
      <c r="R248" s="14">
        <v>1</v>
      </c>
      <c r="S248" s="14">
        <v>1</v>
      </c>
      <c r="T248" s="14"/>
      <c r="U248" s="14" t="s">
        <v>22</v>
      </c>
      <c r="V248" s="14">
        <f t="shared" si="65"/>
        <v>0.01</v>
      </c>
      <c r="W248" s="14">
        <f t="shared" si="66"/>
        <v>1664.9999999999998</v>
      </c>
      <c r="X248" s="17"/>
      <c r="Y248" s="17"/>
      <c r="Z248" s="17" t="s">
        <v>998</v>
      </c>
      <c r="AA248" s="18">
        <v>0.02</v>
      </c>
      <c r="AB248" s="13"/>
      <c r="AC248" s="13">
        <v>0</v>
      </c>
      <c r="AD248" s="13"/>
      <c r="AE248" s="13">
        <v>3</v>
      </c>
      <c r="AF248" s="13"/>
      <c r="AG248" s="13"/>
      <c r="AH248" s="13"/>
      <c r="AI248" s="19"/>
      <c r="AJ248" s="14"/>
      <c r="AK248" s="13"/>
      <c r="AL248" s="13"/>
      <c r="AM248" s="13"/>
      <c r="AN248" s="13"/>
      <c r="AO248" s="13"/>
      <c r="AP248" s="20">
        <v>0.03</v>
      </c>
      <c r="AQ248" s="20">
        <f t="shared" si="67"/>
        <v>9.9999999999999985E-3</v>
      </c>
      <c r="AR248" s="92">
        <f t="shared" si="68"/>
        <v>16.649999999999995</v>
      </c>
      <c r="AS248" s="125">
        <f t="shared" si="69"/>
        <v>16.649999999999995</v>
      </c>
      <c r="AT248" s="22" t="s">
        <v>96</v>
      </c>
      <c r="AU248" s="13" t="s">
        <v>8956</v>
      </c>
      <c r="AV248" s="13" t="s">
        <v>8947</v>
      </c>
      <c r="AW248" s="13"/>
      <c r="AX248" s="13"/>
      <c r="AY248" s="13"/>
      <c r="AZ248" s="13"/>
    </row>
    <row r="249" spans="1:52" ht="12.75">
      <c r="A249" s="12">
        <v>44861</v>
      </c>
      <c r="B249" s="13" t="s">
        <v>8957</v>
      </c>
      <c r="C249" s="13" t="s">
        <v>93</v>
      </c>
      <c r="D249" s="17"/>
      <c r="E249" s="13"/>
      <c r="F249" s="14" t="s">
        <v>136</v>
      </c>
      <c r="G249" s="13"/>
      <c r="H249" s="13"/>
      <c r="I249" s="13"/>
      <c r="J249" s="14"/>
      <c r="K249" s="14"/>
      <c r="L249" s="13">
        <v>1</v>
      </c>
      <c r="M249" s="13"/>
      <c r="N249" s="13"/>
      <c r="O249" s="14" t="s">
        <v>95</v>
      </c>
      <c r="P249" s="14" t="s">
        <v>137</v>
      </c>
      <c r="Q249" s="14" t="s">
        <v>97</v>
      </c>
      <c r="R249" s="14">
        <v>1</v>
      </c>
      <c r="S249" s="14">
        <v>1</v>
      </c>
      <c r="T249" s="14"/>
      <c r="U249" s="14" t="s">
        <v>22</v>
      </c>
      <c r="V249" s="14">
        <f t="shared" si="65"/>
        <v>0.01</v>
      </c>
      <c r="W249" s="14">
        <f t="shared" si="66"/>
        <v>1664.9999999999998</v>
      </c>
      <c r="X249" s="17"/>
      <c r="Y249" s="17"/>
      <c r="Z249" s="17" t="s">
        <v>998</v>
      </c>
      <c r="AA249" s="18">
        <v>-0.08</v>
      </c>
      <c r="AB249" s="13"/>
      <c r="AC249" s="13">
        <v>-10</v>
      </c>
      <c r="AD249" s="13"/>
      <c r="AE249" s="13">
        <v>-7</v>
      </c>
      <c r="AF249" s="13"/>
      <c r="AG249" s="13"/>
      <c r="AH249" s="13"/>
      <c r="AI249" s="19"/>
      <c r="AJ249" s="14"/>
      <c r="AK249" s="13"/>
      <c r="AL249" s="13"/>
      <c r="AM249" s="13"/>
      <c r="AN249" s="13" t="s">
        <v>115</v>
      </c>
      <c r="AO249" s="13"/>
      <c r="AP249" s="20">
        <v>-7.0000000000000007E-2</v>
      </c>
      <c r="AQ249" s="20">
        <f t="shared" si="67"/>
        <v>9.999999999999995E-3</v>
      </c>
      <c r="AR249" s="92">
        <f t="shared" si="68"/>
        <v>16.649999999999988</v>
      </c>
      <c r="AS249" s="125">
        <f t="shared" si="69"/>
        <v>16.649999999999988</v>
      </c>
      <c r="AT249" s="22" t="s">
        <v>96</v>
      </c>
      <c r="AU249" s="13"/>
      <c r="AV249" s="13"/>
      <c r="AW249" s="13"/>
      <c r="AX249" s="13"/>
      <c r="AY249" s="13"/>
      <c r="AZ249" s="13"/>
    </row>
    <row r="250" spans="1:52" ht="12.75">
      <c r="A250" s="12"/>
      <c r="B250" s="13"/>
      <c r="C250" s="13"/>
      <c r="D250" s="17"/>
      <c r="E250" s="13"/>
      <c r="F250" s="14"/>
      <c r="G250" s="13"/>
      <c r="H250" s="13"/>
      <c r="I250" s="13"/>
      <c r="J250" s="14"/>
      <c r="K250" s="14"/>
      <c r="L250" s="13"/>
      <c r="M250" s="13"/>
      <c r="N250" s="13"/>
      <c r="O250" s="14"/>
      <c r="P250" s="14"/>
      <c r="Q250" s="14"/>
      <c r="R250" s="14"/>
      <c r="S250" s="14"/>
      <c r="T250" s="14"/>
      <c r="U250" s="14"/>
      <c r="V250" s="14">
        <f t="shared" si="65"/>
        <v>0</v>
      </c>
      <c r="W250" s="14">
        <f t="shared" si="66"/>
        <v>0</v>
      </c>
      <c r="X250" s="17"/>
      <c r="Y250" s="17"/>
      <c r="Z250" s="17"/>
      <c r="AA250" s="18"/>
      <c r="AB250" s="13"/>
      <c r="AC250" s="13"/>
      <c r="AD250" s="13"/>
      <c r="AE250" s="13"/>
      <c r="AF250" s="13"/>
      <c r="AG250" s="13"/>
      <c r="AH250" s="13"/>
      <c r="AI250" s="19"/>
      <c r="AJ250" s="14"/>
      <c r="AK250" s="13"/>
      <c r="AL250" s="13"/>
      <c r="AM250" s="13"/>
      <c r="AN250" s="13"/>
      <c r="AO250" s="13"/>
      <c r="AP250" s="20"/>
      <c r="AQ250" s="13">
        <f t="shared" si="67"/>
        <v>0</v>
      </c>
      <c r="AR250" s="92">
        <f t="shared" si="68"/>
        <v>0</v>
      </c>
      <c r="AS250" s="125">
        <f t="shared" si="69"/>
        <v>0</v>
      </c>
      <c r="AT250" s="22"/>
      <c r="AU250" s="13"/>
      <c r="AV250" s="13"/>
      <c r="AW250" s="13"/>
      <c r="AX250" s="13"/>
      <c r="AY250" s="13"/>
      <c r="AZ250" s="13"/>
    </row>
    <row r="251" spans="1:52" ht="12.75">
      <c r="A251" s="12"/>
      <c r="B251" s="13"/>
      <c r="C251" s="13"/>
      <c r="D251" s="17"/>
      <c r="E251" s="13"/>
      <c r="F251" s="14"/>
      <c r="G251" s="13"/>
      <c r="H251" s="13"/>
      <c r="I251" s="13"/>
      <c r="J251" s="14"/>
      <c r="K251" s="14"/>
      <c r="L251" s="13"/>
      <c r="M251" s="13"/>
      <c r="N251" s="13"/>
      <c r="O251" s="14"/>
      <c r="P251" s="14"/>
      <c r="Q251" s="14"/>
      <c r="R251" s="14"/>
      <c r="S251" s="14"/>
      <c r="T251" s="14"/>
      <c r="U251" s="14"/>
      <c r="V251" s="14">
        <f t="shared" si="65"/>
        <v>0</v>
      </c>
      <c r="W251" s="14">
        <f t="shared" si="66"/>
        <v>0</v>
      </c>
      <c r="X251" s="17"/>
      <c r="Y251" s="17"/>
      <c r="Z251" s="17"/>
      <c r="AA251" s="18"/>
      <c r="AB251" s="13"/>
      <c r="AC251" s="13"/>
      <c r="AD251" s="13"/>
      <c r="AE251" s="13"/>
      <c r="AF251" s="13"/>
      <c r="AG251" s="13"/>
      <c r="AH251" s="13"/>
      <c r="AI251" s="19"/>
      <c r="AJ251" s="14"/>
      <c r="AK251" s="13"/>
      <c r="AL251" s="13"/>
      <c r="AM251" s="13"/>
      <c r="AN251" s="13"/>
      <c r="AO251" s="13"/>
      <c r="AP251" s="20"/>
      <c r="AQ251" s="13">
        <f t="shared" si="67"/>
        <v>0</v>
      </c>
      <c r="AR251" s="92">
        <f t="shared" si="68"/>
        <v>0</v>
      </c>
      <c r="AS251" s="125">
        <f t="shared" si="69"/>
        <v>0</v>
      </c>
      <c r="AT251" s="22"/>
      <c r="AU251" s="13"/>
      <c r="AV251" s="13"/>
      <c r="AW251" s="13"/>
      <c r="AX251" s="13"/>
      <c r="AY251" s="13"/>
      <c r="AZ251" s="13"/>
    </row>
    <row r="252" spans="1:52" ht="12.75">
      <c r="A252" s="12"/>
      <c r="B252" s="13"/>
      <c r="C252" s="13"/>
      <c r="D252" s="17"/>
      <c r="E252" s="13"/>
      <c r="F252" s="14"/>
      <c r="G252" s="13"/>
      <c r="H252" s="13"/>
      <c r="I252" s="13"/>
      <c r="J252" s="14"/>
      <c r="K252" s="14"/>
      <c r="L252" s="13"/>
      <c r="M252" s="13"/>
      <c r="N252" s="13"/>
      <c r="O252" s="14"/>
      <c r="P252" s="14"/>
      <c r="Q252" s="14"/>
      <c r="R252" s="14"/>
      <c r="S252" s="14"/>
      <c r="T252" s="14"/>
      <c r="U252" s="14"/>
      <c r="V252" s="14">
        <f t="shared" si="65"/>
        <v>0</v>
      </c>
      <c r="W252" s="14">
        <f t="shared" si="66"/>
        <v>0</v>
      </c>
      <c r="X252" s="17"/>
      <c r="Y252" s="17"/>
      <c r="Z252" s="17"/>
      <c r="AA252" s="18"/>
      <c r="AB252" s="13"/>
      <c r="AC252" s="13"/>
      <c r="AD252" s="13"/>
      <c r="AE252" s="13"/>
      <c r="AF252" s="13"/>
      <c r="AG252" s="13"/>
      <c r="AH252" s="13"/>
      <c r="AI252" s="19"/>
      <c r="AJ252" s="14"/>
      <c r="AK252" s="13"/>
      <c r="AL252" s="13"/>
      <c r="AM252" s="13"/>
      <c r="AN252" s="13"/>
      <c r="AO252" s="13"/>
      <c r="AP252" s="20"/>
      <c r="AQ252" s="13">
        <f t="shared" si="67"/>
        <v>0</v>
      </c>
      <c r="AR252" s="92">
        <f t="shared" si="68"/>
        <v>0</v>
      </c>
      <c r="AS252" s="125">
        <f t="shared" si="69"/>
        <v>0</v>
      </c>
      <c r="AT252" s="22"/>
      <c r="AU252" s="13"/>
      <c r="AV252" s="13"/>
      <c r="AW252" s="13"/>
      <c r="AX252" s="13"/>
      <c r="AY252" s="13"/>
      <c r="AZ252" s="13"/>
    </row>
    <row r="253" spans="1:52" ht="12.75">
      <c r="A253" s="12"/>
      <c r="B253" s="13"/>
      <c r="C253" s="13"/>
      <c r="D253" s="17"/>
      <c r="E253" s="13"/>
      <c r="F253" s="14"/>
      <c r="G253" s="13"/>
      <c r="H253" s="13"/>
      <c r="I253" s="13"/>
      <c r="J253" s="14"/>
      <c r="K253" s="14"/>
      <c r="L253" s="13"/>
      <c r="M253" s="13"/>
      <c r="N253" s="13"/>
      <c r="O253" s="14"/>
      <c r="P253" s="14"/>
      <c r="Q253" s="14"/>
      <c r="R253" s="14"/>
      <c r="S253" s="14"/>
      <c r="T253" s="14"/>
      <c r="U253" s="14"/>
      <c r="V253" s="14">
        <f t="shared" si="65"/>
        <v>0</v>
      </c>
      <c r="W253" s="14">
        <f t="shared" si="66"/>
        <v>0</v>
      </c>
      <c r="X253" s="17"/>
      <c r="Y253" s="17"/>
      <c r="Z253" s="17"/>
      <c r="AA253" s="18"/>
      <c r="AB253" s="13"/>
      <c r="AC253" s="13"/>
      <c r="AD253" s="13"/>
      <c r="AE253" s="13"/>
      <c r="AF253" s="13"/>
      <c r="AG253" s="13"/>
      <c r="AH253" s="13"/>
      <c r="AI253" s="19"/>
      <c r="AJ253" s="14"/>
      <c r="AK253" s="13"/>
      <c r="AL253" s="13"/>
      <c r="AM253" s="13"/>
      <c r="AN253" s="13"/>
      <c r="AO253" s="13"/>
      <c r="AP253" s="20"/>
      <c r="AQ253" s="13">
        <f t="shared" si="67"/>
        <v>0</v>
      </c>
      <c r="AR253" s="92">
        <f t="shared" si="68"/>
        <v>0</v>
      </c>
      <c r="AS253" s="125">
        <f t="shared" si="69"/>
        <v>0</v>
      </c>
      <c r="AT253" s="22"/>
      <c r="AU253" s="122" t="s">
        <v>8958</v>
      </c>
      <c r="AV253" s="122" t="s">
        <v>8959</v>
      </c>
      <c r="AW253" s="122" t="s">
        <v>8939</v>
      </c>
      <c r="AX253" s="122" t="s">
        <v>8960</v>
      </c>
      <c r="AY253" s="13"/>
      <c r="AZ253" s="13"/>
    </row>
    <row r="254" spans="1:52" ht="12.75">
      <c r="A254" s="81">
        <v>44887</v>
      </c>
      <c r="B254" s="119"/>
      <c r="C254" s="119"/>
      <c r="D254" s="130"/>
      <c r="E254" s="119"/>
      <c r="F254" s="131"/>
      <c r="G254" s="119"/>
      <c r="H254" s="119"/>
      <c r="I254" s="119"/>
      <c r="J254" s="119"/>
      <c r="K254" s="119"/>
      <c r="L254" s="119"/>
      <c r="M254" s="119"/>
      <c r="N254" s="119"/>
      <c r="O254" s="131"/>
      <c r="P254" s="131"/>
      <c r="Q254" s="131"/>
      <c r="R254" s="131"/>
      <c r="S254" s="131"/>
      <c r="T254" s="131"/>
      <c r="U254" s="131"/>
      <c r="V254" s="130">
        <f t="shared" si="65"/>
        <v>0</v>
      </c>
      <c r="W254" s="130">
        <f t="shared" si="66"/>
        <v>0</v>
      </c>
      <c r="X254" s="130"/>
      <c r="Y254" s="130"/>
      <c r="Z254" s="130"/>
      <c r="AA254" s="132"/>
      <c r="AB254" s="119"/>
      <c r="AC254" s="119"/>
      <c r="AD254" s="119"/>
      <c r="AE254" s="119"/>
      <c r="AF254" s="119"/>
      <c r="AG254" s="119"/>
      <c r="AH254" s="119"/>
      <c r="AI254" s="133"/>
      <c r="AJ254" s="131"/>
      <c r="AK254" s="119"/>
      <c r="AL254" s="119"/>
      <c r="AM254" s="119"/>
      <c r="AN254" s="119"/>
      <c r="AO254" s="119"/>
      <c r="AP254" s="134"/>
      <c r="AQ254" s="119">
        <f t="shared" si="67"/>
        <v>0</v>
      </c>
      <c r="AR254" s="119"/>
      <c r="AS254" s="119">
        <f t="shared" si="69"/>
        <v>0</v>
      </c>
      <c r="AT254" s="91"/>
      <c r="AU254" s="119"/>
      <c r="AV254" s="119"/>
      <c r="AW254" s="119"/>
      <c r="AX254" s="119"/>
      <c r="AY254" s="119"/>
      <c r="AZ254" s="119"/>
    </row>
    <row r="255" spans="1:52" ht="12.75">
      <c r="A255" s="12">
        <v>44866</v>
      </c>
      <c r="B255" s="13" t="s">
        <v>146</v>
      </c>
      <c r="C255" s="13" t="s">
        <v>8961</v>
      </c>
      <c r="D255" s="17"/>
      <c r="E255" s="13"/>
      <c r="F255" s="14" t="s">
        <v>2145</v>
      </c>
      <c r="G255" s="13"/>
      <c r="H255" s="13"/>
      <c r="I255" s="13"/>
      <c r="J255" s="14"/>
      <c r="K255" s="14"/>
      <c r="L255" s="13">
        <v>1</v>
      </c>
      <c r="M255" s="13"/>
      <c r="N255" s="13"/>
      <c r="O255" s="14" t="s">
        <v>95</v>
      </c>
      <c r="P255" s="14" t="s">
        <v>137</v>
      </c>
      <c r="Q255" s="14" t="s">
        <v>97</v>
      </c>
      <c r="R255" s="14">
        <v>2</v>
      </c>
      <c r="S255" s="14">
        <v>2</v>
      </c>
      <c r="T255" s="14"/>
      <c r="U255" s="15" t="s">
        <v>97</v>
      </c>
      <c r="V255" s="14">
        <f t="shared" si="65"/>
        <v>0.01</v>
      </c>
      <c r="W255" s="14">
        <f t="shared" si="66"/>
        <v>1664.9999999999998</v>
      </c>
      <c r="X255" s="17"/>
      <c r="Y255" s="17"/>
      <c r="Z255" s="17" t="s">
        <v>998</v>
      </c>
      <c r="AA255" s="18">
        <v>-0.03</v>
      </c>
      <c r="AB255" s="13"/>
      <c r="AC255" s="13"/>
      <c r="AD255" s="13"/>
      <c r="AE255" s="13"/>
      <c r="AF255" s="13"/>
      <c r="AG255" s="13"/>
      <c r="AH255" s="13"/>
      <c r="AI255" s="19"/>
      <c r="AJ255" s="14"/>
      <c r="AK255" s="13"/>
      <c r="AL255" s="13"/>
      <c r="AM255" s="13" t="s">
        <v>8962</v>
      </c>
      <c r="AN255" s="13" t="s">
        <v>1259</v>
      </c>
      <c r="AO255" s="13"/>
      <c r="AP255" s="20">
        <v>-0.04</v>
      </c>
      <c r="AQ255" s="20">
        <f t="shared" si="67"/>
        <v>1.0000000000000002E-2</v>
      </c>
      <c r="AR255" s="92">
        <f t="shared" ref="AR255:AR263" si="71">AS255*R255</f>
        <v>33.300000000000004</v>
      </c>
      <c r="AS255" s="125">
        <f t="shared" si="69"/>
        <v>16.650000000000002</v>
      </c>
      <c r="AT255" s="22" t="s">
        <v>96</v>
      </c>
      <c r="AU255" s="13" t="s">
        <v>8963</v>
      </c>
      <c r="AV255" s="13" t="s">
        <v>8964</v>
      </c>
      <c r="AW255" s="13" t="s">
        <v>8965</v>
      </c>
      <c r="AX255" s="13" t="s">
        <v>8966</v>
      </c>
      <c r="AY255" s="13" t="s">
        <v>8967</v>
      </c>
      <c r="AZ255" s="13" t="s">
        <v>8968</v>
      </c>
    </row>
    <row r="256" spans="1:52" ht="12.75">
      <c r="A256" s="12">
        <v>44866</v>
      </c>
      <c r="B256" s="13" t="s">
        <v>146</v>
      </c>
      <c r="C256" s="13">
        <v>4.45</v>
      </c>
      <c r="D256" s="17"/>
      <c r="E256" s="13"/>
      <c r="F256" s="14" t="s">
        <v>365</v>
      </c>
      <c r="G256" s="13"/>
      <c r="H256" s="13"/>
      <c r="I256" s="13"/>
      <c r="J256" s="14"/>
      <c r="K256" s="14"/>
      <c r="L256" s="13">
        <v>1</v>
      </c>
      <c r="M256" s="13"/>
      <c r="N256" s="13"/>
      <c r="O256" s="14" t="s">
        <v>95</v>
      </c>
      <c r="P256" s="14" t="s">
        <v>137</v>
      </c>
      <c r="Q256" s="14" t="s">
        <v>97</v>
      </c>
      <c r="R256" s="14">
        <v>2</v>
      </c>
      <c r="S256" s="14">
        <v>2</v>
      </c>
      <c r="T256" s="14"/>
      <c r="U256" s="14" t="s">
        <v>22</v>
      </c>
      <c r="V256" s="14">
        <f t="shared" si="65"/>
        <v>0.01</v>
      </c>
      <c r="W256" s="14">
        <f t="shared" si="66"/>
        <v>1664.9999999999998</v>
      </c>
      <c r="X256" s="17"/>
      <c r="Y256" s="17"/>
      <c r="Z256" s="17" t="s">
        <v>998</v>
      </c>
      <c r="AA256" s="18">
        <v>-0.04</v>
      </c>
      <c r="AB256" s="13"/>
      <c r="AC256" s="13"/>
      <c r="AD256" s="13"/>
      <c r="AE256" s="13"/>
      <c r="AF256" s="13"/>
      <c r="AG256" s="13"/>
      <c r="AH256" s="13"/>
      <c r="AI256" s="19"/>
      <c r="AJ256" s="14"/>
      <c r="AK256" s="13"/>
      <c r="AL256" s="13"/>
      <c r="AM256" s="13" t="s">
        <v>8969</v>
      </c>
      <c r="AN256" s="13" t="s">
        <v>372</v>
      </c>
      <c r="AO256" s="13" t="s">
        <v>8970</v>
      </c>
      <c r="AP256" s="20">
        <v>-0.03</v>
      </c>
      <c r="AQ256" s="20">
        <f t="shared" si="67"/>
        <v>1.0000000000000002E-2</v>
      </c>
      <c r="AR256" s="92">
        <f t="shared" si="71"/>
        <v>33.300000000000004</v>
      </c>
      <c r="AS256" s="125">
        <f t="shared" si="69"/>
        <v>16.650000000000002</v>
      </c>
      <c r="AT256" s="22" t="s">
        <v>96</v>
      </c>
      <c r="AU256" s="13" t="s">
        <v>8966</v>
      </c>
      <c r="AV256" s="13" t="s">
        <v>8971</v>
      </c>
      <c r="AW256" s="13" t="s">
        <v>8972</v>
      </c>
      <c r="AX256" s="13"/>
      <c r="AY256" s="13"/>
      <c r="AZ256" s="13"/>
    </row>
    <row r="257" spans="1:52" ht="12.75">
      <c r="A257" s="12">
        <v>44866</v>
      </c>
      <c r="B257" s="13" t="s">
        <v>146</v>
      </c>
      <c r="C257" s="13">
        <v>4.45</v>
      </c>
      <c r="D257" s="17"/>
      <c r="E257" s="13"/>
      <c r="F257" s="14" t="s">
        <v>8973</v>
      </c>
      <c r="G257" s="13"/>
      <c r="H257" s="13"/>
      <c r="I257" s="13"/>
      <c r="J257" s="14"/>
      <c r="K257" s="14"/>
      <c r="L257" s="13">
        <v>1</v>
      </c>
      <c r="M257" s="13"/>
      <c r="N257" s="13"/>
      <c r="O257" s="14" t="s">
        <v>95</v>
      </c>
      <c r="P257" s="14" t="s">
        <v>96</v>
      </c>
      <c r="Q257" s="14" t="s">
        <v>97</v>
      </c>
      <c r="R257" s="14">
        <v>2</v>
      </c>
      <c r="S257" s="14">
        <v>2</v>
      </c>
      <c r="T257" s="14"/>
      <c r="U257" s="14" t="s">
        <v>22</v>
      </c>
      <c r="V257" s="14">
        <f t="shared" si="65"/>
        <v>0.01</v>
      </c>
      <c r="W257" s="14">
        <f t="shared" si="66"/>
        <v>1664.9999999999998</v>
      </c>
      <c r="X257" s="17"/>
      <c r="Y257" s="17"/>
      <c r="Z257" s="17" t="s">
        <v>998</v>
      </c>
      <c r="AA257" s="18">
        <v>0.01</v>
      </c>
      <c r="AB257" s="13"/>
      <c r="AC257" s="13"/>
      <c r="AD257" s="13"/>
      <c r="AE257" s="13"/>
      <c r="AF257" s="13"/>
      <c r="AG257" s="13"/>
      <c r="AH257" s="13"/>
      <c r="AI257" s="19"/>
      <c r="AJ257" s="14"/>
      <c r="AK257" s="13"/>
      <c r="AL257" s="13"/>
      <c r="AM257" s="13" t="s">
        <v>352</v>
      </c>
      <c r="AN257" s="13" t="s">
        <v>372</v>
      </c>
      <c r="AO257" s="32">
        <v>44867.208333333336</v>
      </c>
      <c r="AP257" s="20">
        <v>0.02</v>
      </c>
      <c r="AQ257" s="20">
        <f t="shared" si="67"/>
        <v>0.01</v>
      </c>
      <c r="AR257" s="92">
        <f t="shared" si="71"/>
        <v>33.299999999999997</v>
      </c>
      <c r="AS257" s="125">
        <f t="shared" si="69"/>
        <v>16.649999999999999</v>
      </c>
      <c r="AT257" s="22" t="s">
        <v>96</v>
      </c>
      <c r="AU257" s="13"/>
      <c r="AV257" s="13"/>
      <c r="AW257" s="13"/>
      <c r="AX257" s="13"/>
      <c r="AY257" s="13" t="s">
        <v>358</v>
      </c>
      <c r="AZ257" s="13"/>
    </row>
    <row r="258" spans="1:52" ht="12.75">
      <c r="A258" s="12">
        <v>44867</v>
      </c>
      <c r="B258" s="13" t="s">
        <v>151</v>
      </c>
      <c r="C258" s="13" t="s">
        <v>8974</v>
      </c>
      <c r="D258" s="17"/>
      <c r="E258" s="13"/>
      <c r="F258" s="14" t="s">
        <v>8975</v>
      </c>
      <c r="G258" s="13"/>
      <c r="H258" s="13"/>
      <c r="I258" s="13"/>
      <c r="J258" s="14"/>
      <c r="K258" s="14"/>
      <c r="L258" s="13">
        <v>1</v>
      </c>
      <c r="M258" s="13"/>
      <c r="N258" s="13"/>
      <c r="O258" s="14" t="s">
        <v>95</v>
      </c>
      <c r="P258" s="14" t="s">
        <v>137</v>
      </c>
      <c r="Q258" s="14" t="s">
        <v>97</v>
      </c>
      <c r="R258" s="14">
        <v>2</v>
      </c>
      <c r="S258" s="14">
        <v>2</v>
      </c>
      <c r="T258" s="14"/>
      <c r="U258" s="14" t="s">
        <v>22</v>
      </c>
      <c r="V258" s="14">
        <f t="shared" si="65"/>
        <v>0.01</v>
      </c>
      <c r="W258" s="14">
        <f t="shared" si="66"/>
        <v>1664.9999999999998</v>
      </c>
      <c r="X258" s="17"/>
      <c r="Y258" s="17"/>
      <c r="Z258" s="17" t="s">
        <v>998</v>
      </c>
      <c r="AA258" s="18">
        <v>-0.08</v>
      </c>
      <c r="AB258" s="13"/>
      <c r="AC258" s="13"/>
      <c r="AD258" s="13"/>
      <c r="AE258" s="13"/>
      <c r="AF258" s="13"/>
      <c r="AG258" s="13"/>
      <c r="AH258" s="13"/>
      <c r="AI258" s="19"/>
      <c r="AJ258" s="14"/>
      <c r="AK258" s="13"/>
      <c r="AL258" s="13"/>
      <c r="AM258" s="13" t="s">
        <v>8976</v>
      </c>
      <c r="AN258" s="13" t="s">
        <v>372</v>
      </c>
      <c r="AO258" s="13"/>
      <c r="AP258" s="20">
        <v>-7.0000000000000007E-2</v>
      </c>
      <c r="AQ258" s="20">
        <f t="shared" si="67"/>
        <v>9.999999999999995E-3</v>
      </c>
      <c r="AR258" s="92">
        <f t="shared" si="71"/>
        <v>33.299999999999976</v>
      </c>
      <c r="AS258" s="125">
        <f t="shared" si="69"/>
        <v>16.649999999999988</v>
      </c>
      <c r="AT258" s="22" t="s">
        <v>96</v>
      </c>
      <c r="AU258" s="13"/>
      <c r="AV258" s="13"/>
      <c r="AW258" s="13"/>
      <c r="AX258" s="13"/>
      <c r="AY258" s="13"/>
      <c r="AZ258" s="13"/>
    </row>
    <row r="259" spans="1:52" ht="12.75">
      <c r="A259" s="12">
        <v>44867</v>
      </c>
      <c r="B259" s="13" t="s">
        <v>151</v>
      </c>
      <c r="C259" s="13" t="s">
        <v>8974</v>
      </c>
      <c r="D259" s="17"/>
      <c r="E259" s="13"/>
      <c r="F259" s="14" t="s">
        <v>8977</v>
      </c>
      <c r="G259" s="13"/>
      <c r="H259" s="13"/>
      <c r="I259" s="13"/>
      <c r="J259" s="14"/>
      <c r="K259" s="14"/>
      <c r="L259" s="13">
        <v>1</v>
      </c>
      <c r="M259" s="13"/>
      <c r="N259" s="13"/>
      <c r="O259" s="14" t="s">
        <v>95</v>
      </c>
      <c r="P259" s="14" t="s">
        <v>137</v>
      </c>
      <c r="Q259" s="14" t="s">
        <v>97</v>
      </c>
      <c r="R259" s="14">
        <v>2</v>
      </c>
      <c r="S259" s="14">
        <v>2</v>
      </c>
      <c r="T259" s="14"/>
      <c r="U259" s="14" t="s">
        <v>22</v>
      </c>
      <c r="V259" s="14">
        <f t="shared" si="65"/>
        <v>0.01</v>
      </c>
      <c r="W259" s="14">
        <f t="shared" si="66"/>
        <v>1664.9999999999998</v>
      </c>
      <c r="X259" s="17"/>
      <c r="Y259" s="17"/>
      <c r="Z259" s="17" t="s">
        <v>998</v>
      </c>
      <c r="AA259" s="18">
        <v>-0.08</v>
      </c>
      <c r="AB259" s="13"/>
      <c r="AC259" s="13"/>
      <c r="AD259" s="13"/>
      <c r="AE259" s="13"/>
      <c r="AF259" s="13"/>
      <c r="AG259" s="13"/>
      <c r="AH259" s="13"/>
      <c r="AI259" s="19"/>
      <c r="AJ259" s="14"/>
      <c r="AK259" s="13"/>
      <c r="AL259" s="13"/>
      <c r="AM259" s="13" t="s">
        <v>8976</v>
      </c>
      <c r="AN259" s="13" t="s">
        <v>372</v>
      </c>
      <c r="AO259" s="13"/>
      <c r="AP259" s="20">
        <v>-7.0000000000000007E-2</v>
      </c>
      <c r="AQ259" s="20">
        <f t="shared" si="67"/>
        <v>9.999999999999995E-3</v>
      </c>
      <c r="AR259" s="92">
        <f t="shared" si="71"/>
        <v>33.299999999999976</v>
      </c>
      <c r="AS259" s="125">
        <f t="shared" si="69"/>
        <v>16.649999999999988</v>
      </c>
      <c r="AT259" s="22" t="s">
        <v>96</v>
      </c>
      <c r="AU259" s="13"/>
      <c r="AV259" s="13"/>
      <c r="AW259" s="13"/>
      <c r="AX259" s="13"/>
      <c r="AY259" s="13"/>
      <c r="AZ259" s="13"/>
    </row>
    <row r="260" spans="1:52" ht="12.75">
      <c r="A260" s="12">
        <v>44867</v>
      </c>
      <c r="B260" s="13" t="s">
        <v>151</v>
      </c>
      <c r="C260" s="13"/>
      <c r="D260" s="17"/>
      <c r="E260" s="13"/>
      <c r="F260" s="14" t="s">
        <v>8978</v>
      </c>
      <c r="G260" s="13"/>
      <c r="H260" s="13"/>
      <c r="I260" s="13"/>
      <c r="J260" s="14"/>
      <c r="K260" s="14"/>
      <c r="L260" s="13"/>
      <c r="M260" s="13"/>
      <c r="N260" s="13"/>
      <c r="O260" s="14"/>
      <c r="P260" s="14"/>
      <c r="Q260" s="14"/>
      <c r="R260" s="14"/>
      <c r="S260" s="14"/>
      <c r="T260" s="14"/>
      <c r="U260" s="14" t="s">
        <v>22</v>
      </c>
      <c r="V260" s="14">
        <f t="shared" si="65"/>
        <v>0</v>
      </c>
      <c r="W260" s="14">
        <f t="shared" si="66"/>
        <v>0</v>
      </c>
      <c r="X260" s="17"/>
      <c r="Y260" s="17"/>
      <c r="Z260" s="17" t="s">
        <v>8823</v>
      </c>
      <c r="AA260" s="18">
        <v>0.02</v>
      </c>
      <c r="AB260" s="13"/>
      <c r="AC260" s="13"/>
      <c r="AD260" s="13"/>
      <c r="AE260" s="13"/>
      <c r="AF260" s="13"/>
      <c r="AG260" s="13"/>
      <c r="AH260" s="13"/>
      <c r="AI260" s="19"/>
      <c r="AJ260" s="14"/>
      <c r="AK260" s="13"/>
      <c r="AL260" s="13"/>
      <c r="AM260" s="13"/>
      <c r="AN260" s="13"/>
      <c r="AO260" s="13"/>
      <c r="AP260" s="20"/>
      <c r="AQ260" s="13">
        <f t="shared" si="67"/>
        <v>0</v>
      </c>
      <c r="AR260" s="92">
        <f t="shared" si="71"/>
        <v>0</v>
      </c>
      <c r="AS260" s="125">
        <f t="shared" si="69"/>
        <v>0</v>
      </c>
      <c r="AT260" s="22"/>
      <c r="AU260" s="13" t="s">
        <v>8979</v>
      </c>
      <c r="AV260" s="13" t="s">
        <v>8980</v>
      </c>
      <c r="AW260" s="13" t="s">
        <v>8981</v>
      </c>
      <c r="AX260" s="13" t="s">
        <v>8982</v>
      </c>
      <c r="AY260" s="13" t="s">
        <v>8983</v>
      </c>
      <c r="AZ260" s="13"/>
    </row>
    <row r="261" spans="1:52" ht="12.75">
      <c r="A261" s="12">
        <v>44867</v>
      </c>
      <c r="B261" s="13" t="s">
        <v>151</v>
      </c>
      <c r="C261" s="13"/>
      <c r="D261" s="17"/>
      <c r="E261" s="13"/>
      <c r="F261" s="14" t="s">
        <v>8984</v>
      </c>
      <c r="G261" s="13"/>
      <c r="H261" s="13"/>
      <c r="I261" s="13"/>
      <c r="J261" s="14"/>
      <c r="K261" s="14"/>
      <c r="L261" s="13">
        <v>1</v>
      </c>
      <c r="M261" s="13"/>
      <c r="N261" s="13"/>
      <c r="O261" s="14" t="s">
        <v>95</v>
      </c>
      <c r="P261" s="14" t="s">
        <v>96</v>
      </c>
      <c r="Q261" s="14" t="s">
        <v>97</v>
      </c>
      <c r="R261" s="14">
        <v>2</v>
      </c>
      <c r="S261" s="14">
        <v>2</v>
      </c>
      <c r="T261" s="14"/>
      <c r="U261" s="14" t="s">
        <v>97</v>
      </c>
      <c r="V261" s="14">
        <f t="shared" si="65"/>
        <v>0.01</v>
      </c>
      <c r="W261" s="14">
        <f t="shared" si="66"/>
        <v>1664.9999999999998</v>
      </c>
      <c r="X261" s="17"/>
      <c r="Y261" s="17"/>
      <c r="Z261" s="17" t="s">
        <v>998</v>
      </c>
      <c r="AA261" s="18">
        <v>0.02</v>
      </c>
      <c r="AB261" s="13"/>
      <c r="AC261" s="13"/>
      <c r="AD261" s="13"/>
      <c r="AE261" s="13"/>
      <c r="AF261" s="13"/>
      <c r="AG261" s="13"/>
      <c r="AH261" s="13"/>
      <c r="AI261" s="19"/>
      <c r="AJ261" s="14"/>
      <c r="AK261" s="13"/>
      <c r="AL261" s="13"/>
      <c r="AM261" s="13"/>
      <c r="AN261" s="13"/>
      <c r="AO261" s="13"/>
      <c r="AP261" s="20">
        <v>0.02</v>
      </c>
      <c r="AQ261" s="20">
        <f t="shared" si="67"/>
        <v>0</v>
      </c>
      <c r="AR261" s="92">
        <f t="shared" si="71"/>
        <v>0</v>
      </c>
      <c r="AS261" s="125">
        <f t="shared" si="69"/>
        <v>0</v>
      </c>
      <c r="AT261" s="22" t="s">
        <v>115</v>
      </c>
      <c r="AU261" s="13"/>
      <c r="AV261" s="13"/>
      <c r="AW261" s="13"/>
      <c r="AX261" s="13"/>
      <c r="AY261" s="13"/>
      <c r="AZ261" s="13"/>
    </row>
    <row r="262" spans="1:52" ht="12.75">
      <c r="A262" s="12">
        <v>44867</v>
      </c>
      <c r="B262" s="13" t="s">
        <v>151</v>
      </c>
      <c r="C262" s="13"/>
      <c r="D262" s="17"/>
      <c r="E262" s="13"/>
      <c r="F262" s="14" t="s">
        <v>365</v>
      </c>
      <c r="G262" s="13"/>
      <c r="H262" s="13"/>
      <c r="I262" s="13"/>
      <c r="J262" s="14"/>
      <c r="K262" s="14"/>
      <c r="L262" s="13">
        <v>1</v>
      </c>
      <c r="M262" s="13"/>
      <c r="N262" s="13"/>
      <c r="O262" s="14" t="s">
        <v>95</v>
      </c>
      <c r="P262" s="14" t="s">
        <v>96</v>
      </c>
      <c r="Q262" s="14" t="s">
        <v>97</v>
      </c>
      <c r="R262" s="14">
        <v>2</v>
      </c>
      <c r="S262" s="14">
        <v>2</v>
      </c>
      <c r="T262" s="14"/>
      <c r="U262" s="15" t="s">
        <v>97</v>
      </c>
      <c r="V262" s="14">
        <f t="shared" si="65"/>
        <v>0.01</v>
      </c>
      <c r="W262" s="14">
        <f t="shared" si="66"/>
        <v>1664.9999999999998</v>
      </c>
      <c r="X262" s="17"/>
      <c r="Y262" s="17"/>
      <c r="Z262" s="17" t="s">
        <v>998</v>
      </c>
      <c r="AA262" s="18">
        <v>-0.02</v>
      </c>
      <c r="AB262" s="13"/>
      <c r="AC262" s="13"/>
      <c r="AD262" s="13"/>
      <c r="AE262" s="13"/>
      <c r="AF262" s="13"/>
      <c r="AG262" s="13"/>
      <c r="AH262" s="13"/>
      <c r="AI262" s="19"/>
      <c r="AJ262" s="14"/>
      <c r="AK262" s="13"/>
      <c r="AL262" s="13"/>
      <c r="AM262" s="13"/>
      <c r="AN262" s="13"/>
      <c r="AO262" s="13"/>
      <c r="AP262" s="20"/>
      <c r="AQ262" s="13">
        <f t="shared" si="67"/>
        <v>0</v>
      </c>
      <c r="AR262" s="92">
        <f t="shared" si="71"/>
        <v>0</v>
      </c>
      <c r="AS262" s="125">
        <f t="shared" si="69"/>
        <v>0</v>
      </c>
      <c r="AT262" s="22"/>
      <c r="AU262" s="13" t="s">
        <v>8985</v>
      </c>
      <c r="AV262" s="13"/>
      <c r="AW262" s="13"/>
      <c r="AX262" s="13"/>
      <c r="AY262" s="13"/>
      <c r="AZ262" s="13"/>
    </row>
    <row r="263" spans="1:52" ht="12.75">
      <c r="A263" s="12">
        <v>44874</v>
      </c>
      <c r="B263" s="13" t="s">
        <v>151</v>
      </c>
      <c r="C263" s="13"/>
      <c r="D263" s="17"/>
      <c r="E263" s="13"/>
      <c r="F263" s="14" t="s">
        <v>423</v>
      </c>
      <c r="G263" s="13"/>
      <c r="H263" s="13"/>
      <c r="I263" s="13"/>
      <c r="J263" s="14"/>
      <c r="K263" s="14"/>
      <c r="L263" s="13"/>
      <c r="M263" s="13">
        <v>1</v>
      </c>
      <c r="N263" s="13"/>
      <c r="O263" s="14" t="s">
        <v>95</v>
      </c>
      <c r="P263" s="14" t="s">
        <v>96</v>
      </c>
      <c r="Q263" s="14" t="s">
        <v>256</v>
      </c>
      <c r="R263" s="14">
        <v>2</v>
      </c>
      <c r="S263" s="14">
        <v>2</v>
      </c>
      <c r="T263" s="14">
        <v>1</v>
      </c>
      <c r="U263" s="14" t="s">
        <v>22</v>
      </c>
      <c r="V263" s="14">
        <f t="shared" si="65"/>
        <v>0.01</v>
      </c>
      <c r="W263" s="14">
        <f t="shared" si="66"/>
        <v>1664.9999999999998</v>
      </c>
      <c r="X263" s="17"/>
      <c r="Y263" s="17"/>
      <c r="Z263" s="17" t="s">
        <v>8823</v>
      </c>
      <c r="AA263" s="18">
        <v>0.03</v>
      </c>
      <c r="AB263" s="13"/>
      <c r="AC263" s="13"/>
      <c r="AD263" s="13"/>
      <c r="AE263" s="13"/>
      <c r="AF263" s="13"/>
      <c r="AG263" s="13"/>
      <c r="AH263" s="13"/>
      <c r="AI263" s="19"/>
      <c r="AJ263" s="14"/>
      <c r="AK263" s="13"/>
      <c r="AL263" s="13"/>
      <c r="AM263" s="13"/>
      <c r="AN263" s="13"/>
      <c r="AO263" s="13"/>
      <c r="AP263" s="20">
        <v>7.0000000000000007E-2</v>
      </c>
      <c r="AQ263" s="20">
        <f t="shared" si="67"/>
        <v>4.0000000000000008E-2</v>
      </c>
      <c r="AR263" s="92">
        <f t="shared" si="71"/>
        <v>133.20000000000002</v>
      </c>
      <c r="AS263" s="125">
        <f t="shared" si="69"/>
        <v>66.600000000000009</v>
      </c>
      <c r="AT263" s="22" t="s">
        <v>96</v>
      </c>
      <c r="AU263" s="13" t="s">
        <v>8986</v>
      </c>
      <c r="AV263" s="13"/>
      <c r="AW263" s="13"/>
      <c r="AX263" s="13"/>
      <c r="AY263" s="13"/>
      <c r="AZ263" s="13"/>
    </row>
    <row r="264" spans="1:52" ht="12.75">
      <c r="A264" s="138" t="s">
        <v>8987</v>
      </c>
      <c r="B264" s="139"/>
      <c r="C264" s="139"/>
      <c r="D264" s="140"/>
      <c r="E264" s="139"/>
      <c r="F264" s="141"/>
      <c r="G264" s="139"/>
      <c r="H264" s="139"/>
      <c r="I264" s="139"/>
      <c r="J264" s="139"/>
      <c r="K264" s="139"/>
      <c r="L264" s="139"/>
      <c r="M264" s="139"/>
      <c r="N264" s="139"/>
      <c r="O264" s="141"/>
      <c r="P264" s="141"/>
      <c r="Q264" s="141"/>
      <c r="R264" s="141"/>
      <c r="S264" s="141"/>
      <c r="T264" s="141"/>
      <c r="U264" s="141"/>
      <c r="V264" s="140">
        <f t="shared" si="65"/>
        <v>0</v>
      </c>
      <c r="W264" s="140">
        <f t="shared" si="66"/>
        <v>0</v>
      </c>
      <c r="X264" s="140"/>
      <c r="Y264" s="140"/>
      <c r="Z264" s="140"/>
      <c r="AA264" s="142"/>
      <c r="AB264" s="139"/>
      <c r="AC264" s="139"/>
      <c r="AD264" s="139"/>
      <c r="AE264" s="139"/>
      <c r="AF264" s="139"/>
      <c r="AG264" s="139"/>
      <c r="AH264" s="139"/>
      <c r="AI264" s="143"/>
      <c r="AJ264" s="141"/>
      <c r="AK264" s="139"/>
      <c r="AL264" s="139"/>
      <c r="AM264" s="139"/>
      <c r="AN264" s="139"/>
      <c r="AO264" s="139"/>
      <c r="AP264" s="144"/>
      <c r="AQ264" s="144"/>
      <c r="AR264" s="144"/>
      <c r="AS264" s="144"/>
      <c r="AT264" s="145"/>
      <c r="AU264" s="139"/>
      <c r="AV264" s="139"/>
      <c r="AW264" s="139"/>
      <c r="AX264" s="139"/>
      <c r="AY264" s="139"/>
      <c r="AZ264" s="139"/>
    </row>
    <row r="265" spans="1:52" ht="12.75">
      <c r="A265" s="17" t="s">
        <v>8988</v>
      </c>
      <c r="B265" s="13"/>
      <c r="C265" s="13"/>
      <c r="D265" s="17"/>
      <c r="E265" s="13"/>
      <c r="F265" s="14"/>
      <c r="G265" s="13"/>
      <c r="H265" s="13"/>
      <c r="I265" s="13"/>
      <c r="J265" s="14"/>
      <c r="K265" s="14"/>
      <c r="L265" s="13"/>
      <c r="M265" s="13"/>
      <c r="N265" s="13"/>
      <c r="O265" s="14"/>
      <c r="P265" s="14"/>
      <c r="Q265" s="14"/>
      <c r="R265" s="14"/>
      <c r="S265" s="14"/>
      <c r="T265" s="14"/>
      <c r="U265" s="14"/>
      <c r="V265" s="14">
        <f t="shared" si="65"/>
        <v>0</v>
      </c>
      <c r="W265" s="14">
        <f t="shared" si="66"/>
        <v>0</v>
      </c>
      <c r="X265" s="17"/>
      <c r="Y265" s="17"/>
      <c r="Z265" s="17"/>
      <c r="AA265" s="18"/>
      <c r="AB265" s="13"/>
      <c r="AC265" s="13"/>
      <c r="AD265" s="13"/>
      <c r="AE265" s="13"/>
      <c r="AF265" s="13"/>
      <c r="AG265" s="13"/>
      <c r="AH265" s="13"/>
      <c r="AI265" s="19"/>
      <c r="AJ265" s="14"/>
      <c r="AK265" s="13"/>
      <c r="AL265" s="13"/>
      <c r="AM265" s="13"/>
      <c r="AN265" s="13"/>
      <c r="AO265" s="13"/>
      <c r="AP265" s="20"/>
      <c r="AQ265" s="13">
        <f t="shared" ref="AQ265:AQ289" si="72">IF(ISBLANK(AP265),,IF(U265="S",AA265-AP265,AP265-AA265))</f>
        <v>0</v>
      </c>
      <c r="AR265" s="92">
        <f t="shared" ref="AR265:AR268" si="73">AS265*R265</f>
        <v>0</v>
      </c>
      <c r="AS265" s="125">
        <f t="shared" ref="AS265:AS289" si="74">IF(ISBLANK(AP265),,(AQ265*W265))</f>
        <v>0</v>
      </c>
      <c r="AT265" s="22"/>
      <c r="AU265" s="122" t="s">
        <v>8989</v>
      </c>
      <c r="AV265" s="122" t="s">
        <v>8990</v>
      </c>
      <c r="AW265" s="122" t="s">
        <v>8991</v>
      </c>
      <c r="AX265" s="122" t="s">
        <v>8992</v>
      </c>
      <c r="AY265" s="122" t="s">
        <v>517</v>
      </c>
      <c r="AZ265" s="13"/>
    </row>
    <row r="266" spans="1:52" ht="12.75">
      <c r="A266" s="12">
        <v>44887</v>
      </c>
      <c r="B266" s="13" t="s">
        <v>146</v>
      </c>
      <c r="C266" s="13"/>
      <c r="D266" s="17"/>
      <c r="E266" s="13"/>
      <c r="F266" s="14" t="s">
        <v>280</v>
      </c>
      <c r="G266" s="13"/>
      <c r="H266" s="13"/>
      <c r="I266" s="13"/>
      <c r="J266" s="14"/>
      <c r="K266" s="14"/>
      <c r="L266" s="13"/>
      <c r="M266" s="13"/>
      <c r="N266" s="13"/>
      <c r="O266" s="14" t="s">
        <v>95</v>
      </c>
      <c r="P266" s="14" t="s">
        <v>137</v>
      </c>
      <c r="Q266" s="14" t="s">
        <v>97</v>
      </c>
      <c r="R266" s="14">
        <v>5</v>
      </c>
      <c r="S266" s="14">
        <v>5</v>
      </c>
      <c r="T266" s="14">
        <v>5</v>
      </c>
      <c r="U266" s="14" t="s">
        <v>97</v>
      </c>
      <c r="V266" s="14">
        <f t="shared" si="65"/>
        <v>0.01</v>
      </c>
      <c r="W266" s="14">
        <f t="shared" si="66"/>
        <v>1664.9999999999998</v>
      </c>
      <c r="X266" s="17"/>
      <c r="Y266" s="17"/>
      <c r="Z266" s="17" t="s">
        <v>8993</v>
      </c>
      <c r="AA266" s="18">
        <v>-7.0000000000000007E-2</v>
      </c>
      <c r="AB266" s="13"/>
      <c r="AC266" s="13"/>
      <c r="AD266" s="13"/>
      <c r="AE266" s="13"/>
      <c r="AF266" s="13"/>
      <c r="AG266" s="13"/>
      <c r="AH266" s="13"/>
      <c r="AI266" s="19"/>
      <c r="AJ266" s="14"/>
      <c r="AK266" s="13"/>
      <c r="AL266" s="13"/>
      <c r="AM266" s="13"/>
      <c r="AN266" s="13"/>
      <c r="AO266" s="13"/>
      <c r="AP266" s="20">
        <v>-7.0000000000000007E-2</v>
      </c>
      <c r="AQ266" s="20">
        <f t="shared" si="72"/>
        <v>0</v>
      </c>
      <c r="AR266" s="92">
        <f t="shared" si="73"/>
        <v>0</v>
      </c>
      <c r="AS266" s="125">
        <f t="shared" si="74"/>
        <v>0</v>
      </c>
      <c r="AT266" s="22" t="s">
        <v>115</v>
      </c>
      <c r="AU266" s="13" t="s">
        <v>8994</v>
      </c>
      <c r="AV266" s="13" t="s">
        <v>8995</v>
      </c>
      <c r="AW266" s="13"/>
      <c r="AX266" s="13"/>
      <c r="AY266" s="13"/>
      <c r="AZ266" s="13"/>
    </row>
    <row r="267" spans="1:52" ht="12.75">
      <c r="A267" s="12">
        <v>44887</v>
      </c>
      <c r="B267" s="13" t="s">
        <v>146</v>
      </c>
      <c r="C267" s="13"/>
      <c r="D267" s="17"/>
      <c r="E267" s="13"/>
      <c r="F267" s="14" t="s">
        <v>133</v>
      </c>
      <c r="G267" s="13"/>
      <c r="H267" s="13"/>
      <c r="I267" s="13"/>
      <c r="J267" s="14"/>
      <c r="K267" s="14"/>
      <c r="L267" s="13"/>
      <c r="M267" s="13"/>
      <c r="N267" s="13"/>
      <c r="O267" s="14" t="s">
        <v>95</v>
      </c>
      <c r="P267" s="14" t="s">
        <v>137</v>
      </c>
      <c r="Q267" s="14" t="s">
        <v>97</v>
      </c>
      <c r="R267" s="14">
        <v>5</v>
      </c>
      <c r="S267" s="14">
        <v>5</v>
      </c>
      <c r="T267" s="14">
        <v>5</v>
      </c>
      <c r="U267" s="14" t="s">
        <v>97</v>
      </c>
      <c r="V267" s="14">
        <f t="shared" si="65"/>
        <v>0.01</v>
      </c>
      <c r="W267" s="14">
        <f t="shared" si="66"/>
        <v>1664.9999999999998</v>
      </c>
      <c r="X267" s="17"/>
      <c r="Y267" s="17"/>
      <c r="Z267" s="17" t="s">
        <v>8993</v>
      </c>
      <c r="AA267" s="18">
        <v>0.01</v>
      </c>
      <c r="AB267" s="13"/>
      <c r="AC267" s="13"/>
      <c r="AD267" s="13"/>
      <c r="AE267" s="13"/>
      <c r="AF267" s="13"/>
      <c r="AG267" s="13"/>
      <c r="AH267" s="13"/>
      <c r="AI267" s="19"/>
      <c r="AJ267" s="14"/>
      <c r="AK267" s="13"/>
      <c r="AL267" s="13"/>
      <c r="AM267" s="13"/>
      <c r="AN267" s="13"/>
      <c r="AO267" s="13"/>
      <c r="AP267" s="20">
        <v>0.01</v>
      </c>
      <c r="AQ267" s="20">
        <f t="shared" si="72"/>
        <v>0</v>
      </c>
      <c r="AR267" s="92">
        <f t="shared" si="73"/>
        <v>0</v>
      </c>
      <c r="AS267" s="125">
        <f t="shared" si="74"/>
        <v>0</v>
      </c>
      <c r="AT267" s="22" t="s">
        <v>115</v>
      </c>
      <c r="AU267" s="13" t="s">
        <v>8994</v>
      </c>
      <c r="AV267" s="13"/>
      <c r="AW267" s="13"/>
      <c r="AX267" s="13"/>
      <c r="AY267" s="13"/>
      <c r="AZ267" s="13"/>
    </row>
    <row r="268" spans="1:52" ht="12.75">
      <c r="A268" s="12">
        <v>44888</v>
      </c>
      <c r="B268" s="13" t="s">
        <v>151</v>
      </c>
      <c r="C268" s="13"/>
      <c r="D268" s="17"/>
      <c r="E268" s="13"/>
      <c r="F268" s="14" t="s">
        <v>210</v>
      </c>
      <c r="G268" s="13"/>
      <c r="H268" s="13"/>
      <c r="I268" s="13"/>
      <c r="J268" s="14"/>
      <c r="K268" s="14"/>
      <c r="L268" s="13"/>
      <c r="M268" s="13"/>
      <c r="N268" s="13"/>
      <c r="O268" s="14" t="s">
        <v>95</v>
      </c>
      <c r="P268" s="14" t="s">
        <v>96</v>
      </c>
      <c r="Q268" s="14" t="s">
        <v>97</v>
      </c>
      <c r="R268" s="14">
        <v>1</v>
      </c>
      <c r="S268" s="14">
        <v>1</v>
      </c>
      <c r="T268" s="14">
        <v>1</v>
      </c>
      <c r="U268" s="14" t="s">
        <v>22</v>
      </c>
      <c r="V268" s="14">
        <f t="shared" si="65"/>
        <v>0.01</v>
      </c>
      <c r="W268" s="14">
        <f t="shared" si="66"/>
        <v>1664.9999999999998</v>
      </c>
      <c r="X268" s="17" t="s">
        <v>8996</v>
      </c>
      <c r="Y268" s="17"/>
      <c r="Z268" s="17"/>
      <c r="AA268" s="18">
        <v>0.42</v>
      </c>
      <c r="AB268" s="13"/>
      <c r="AC268" s="13">
        <v>40</v>
      </c>
      <c r="AD268" s="13" t="s">
        <v>8997</v>
      </c>
      <c r="AE268" s="13">
        <v>44</v>
      </c>
      <c r="AF268" s="13" t="s">
        <v>8998</v>
      </c>
      <c r="AG268" s="13"/>
      <c r="AH268" s="13"/>
      <c r="AI268" s="19"/>
      <c r="AJ268" s="14"/>
      <c r="AK268" s="13"/>
      <c r="AL268" s="13"/>
      <c r="AM268" s="13"/>
      <c r="AN268" s="13" t="s">
        <v>372</v>
      </c>
      <c r="AO268" s="13"/>
      <c r="AP268" s="20">
        <v>0.44</v>
      </c>
      <c r="AQ268" s="20">
        <f t="shared" si="72"/>
        <v>2.0000000000000018E-2</v>
      </c>
      <c r="AR268" s="92">
        <f t="shared" si="73"/>
        <v>33.300000000000026</v>
      </c>
      <c r="AS268" s="125">
        <f t="shared" si="74"/>
        <v>33.300000000000026</v>
      </c>
      <c r="AT268" s="22" t="s">
        <v>96</v>
      </c>
      <c r="AU268" s="13"/>
      <c r="AV268" s="13"/>
      <c r="AW268" s="13"/>
      <c r="AX268" s="13"/>
      <c r="AY268" s="13"/>
      <c r="AZ268" s="13"/>
    </row>
    <row r="269" spans="1:52" ht="12.75">
      <c r="A269" s="12">
        <v>44888</v>
      </c>
      <c r="B269" s="13" t="s">
        <v>151</v>
      </c>
      <c r="C269" s="13" t="s">
        <v>500</v>
      </c>
      <c r="D269" s="17" t="s">
        <v>585</v>
      </c>
      <c r="E269" s="13"/>
      <c r="F269" s="14"/>
      <c r="G269" s="13"/>
      <c r="H269" s="13"/>
      <c r="I269" s="13"/>
      <c r="J269" s="14"/>
      <c r="K269" s="14"/>
      <c r="L269" s="13"/>
      <c r="M269" s="13"/>
      <c r="N269" s="13"/>
      <c r="O269" s="14"/>
      <c r="P269" s="14"/>
      <c r="Q269" s="14"/>
      <c r="R269" s="14"/>
      <c r="S269" s="14"/>
      <c r="T269" s="14"/>
      <c r="U269" s="14"/>
      <c r="V269" s="14">
        <f t="shared" si="65"/>
        <v>0</v>
      </c>
      <c r="W269" s="14">
        <f t="shared" si="66"/>
        <v>0</v>
      </c>
      <c r="X269" s="17"/>
      <c r="Y269" s="17"/>
      <c r="Z269" s="17"/>
      <c r="AA269" s="18"/>
      <c r="AB269" s="13"/>
      <c r="AC269" s="13"/>
      <c r="AD269" s="13"/>
      <c r="AE269" s="13"/>
      <c r="AF269" s="13"/>
      <c r="AG269" s="13"/>
      <c r="AH269" s="13"/>
      <c r="AI269" s="19"/>
      <c r="AJ269" s="14"/>
      <c r="AK269" s="13"/>
      <c r="AL269" s="13"/>
      <c r="AM269" s="13"/>
      <c r="AN269" s="13"/>
      <c r="AO269" s="13"/>
      <c r="AP269" s="20"/>
      <c r="AQ269" s="13">
        <f t="shared" si="72"/>
        <v>0</v>
      </c>
      <c r="AR269" s="92"/>
      <c r="AS269" s="125">
        <f t="shared" si="74"/>
        <v>0</v>
      </c>
      <c r="AT269" s="22"/>
      <c r="AU269" s="13"/>
      <c r="AV269" s="13" t="s">
        <v>8999</v>
      </c>
      <c r="AW269" s="13"/>
      <c r="AX269" s="13"/>
      <c r="AY269" s="13"/>
      <c r="AZ269" s="13"/>
    </row>
    <row r="270" spans="1:52" ht="12.75">
      <c r="A270" s="12">
        <v>44888</v>
      </c>
      <c r="B270" s="13" t="s">
        <v>151</v>
      </c>
      <c r="C270" s="13"/>
      <c r="D270" s="17"/>
      <c r="E270" s="13"/>
      <c r="F270" s="14" t="s">
        <v>9000</v>
      </c>
      <c r="G270" s="13"/>
      <c r="H270" s="13"/>
      <c r="I270" s="13"/>
      <c r="J270" s="14"/>
      <c r="K270" s="14"/>
      <c r="L270" s="13"/>
      <c r="M270" s="13"/>
      <c r="N270" s="13"/>
      <c r="O270" s="14" t="s">
        <v>95</v>
      </c>
      <c r="P270" s="14" t="s">
        <v>137</v>
      </c>
      <c r="Q270" s="14" t="s">
        <v>97</v>
      </c>
      <c r="R270" s="14">
        <v>5</v>
      </c>
      <c r="S270" s="14">
        <v>5</v>
      </c>
      <c r="T270" s="14">
        <v>5</v>
      </c>
      <c r="U270" s="14" t="s">
        <v>22</v>
      </c>
      <c r="V270" s="14">
        <f t="shared" si="65"/>
        <v>0.01</v>
      </c>
      <c r="W270" s="14">
        <f t="shared" si="66"/>
        <v>1664.9999999999998</v>
      </c>
      <c r="X270" s="17"/>
      <c r="Y270" s="17"/>
      <c r="Z270" s="17" t="s">
        <v>99</v>
      </c>
      <c r="AA270" s="18">
        <v>-0.08</v>
      </c>
      <c r="AB270" s="13"/>
      <c r="AC270" s="13">
        <v>-0.1</v>
      </c>
      <c r="AD270" s="13"/>
      <c r="AE270" s="13">
        <v>-7.0000000000000007E-2</v>
      </c>
      <c r="AF270" s="13"/>
      <c r="AG270" s="13"/>
      <c r="AH270" s="13"/>
      <c r="AI270" s="19"/>
      <c r="AJ270" s="14"/>
      <c r="AK270" s="13"/>
      <c r="AL270" s="13"/>
      <c r="AM270" s="13"/>
      <c r="AN270" s="13"/>
      <c r="AO270" s="13" t="s">
        <v>627</v>
      </c>
      <c r="AP270" s="20">
        <v>-0.09</v>
      </c>
      <c r="AQ270" s="20">
        <f t="shared" si="72"/>
        <v>-9.999999999999995E-3</v>
      </c>
      <c r="AR270" s="92">
        <f t="shared" ref="AR270:AR277" si="75">AS270*R270</f>
        <v>-83.249999999999943</v>
      </c>
      <c r="AS270" s="125">
        <f t="shared" si="74"/>
        <v>-16.649999999999988</v>
      </c>
      <c r="AT270" s="22" t="s">
        <v>229</v>
      </c>
      <c r="AU270" s="13"/>
      <c r="AV270" s="13"/>
      <c r="AW270" s="13"/>
      <c r="AX270" s="13"/>
      <c r="AY270" s="13"/>
      <c r="AZ270" s="13"/>
    </row>
    <row r="271" spans="1:52" ht="12.75">
      <c r="A271" s="12">
        <v>44888</v>
      </c>
      <c r="B271" s="13" t="s">
        <v>151</v>
      </c>
      <c r="C271" s="13"/>
      <c r="D271" s="17"/>
      <c r="E271" s="13"/>
      <c r="F271" s="14" t="s">
        <v>9001</v>
      </c>
      <c r="G271" s="13"/>
      <c r="H271" s="13"/>
      <c r="I271" s="13"/>
      <c r="J271" s="14"/>
      <c r="K271" s="14"/>
      <c r="L271" s="13"/>
      <c r="M271" s="13"/>
      <c r="N271" s="13"/>
      <c r="O271" s="14" t="s">
        <v>95</v>
      </c>
      <c r="P271" s="14" t="s">
        <v>137</v>
      </c>
      <c r="Q271" s="14" t="s">
        <v>97</v>
      </c>
      <c r="R271" s="14">
        <v>5</v>
      </c>
      <c r="S271" s="14">
        <v>5</v>
      </c>
      <c r="T271" s="14">
        <v>5</v>
      </c>
      <c r="U271" s="14" t="s">
        <v>22</v>
      </c>
      <c r="V271" s="14">
        <f t="shared" si="65"/>
        <v>0.01</v>
      </c>
      <c r="W271" s="14">
        <f t="shared" si="66"/>
        <v>1664.9999999999998</v>
      </c>
      <c r="X271" s="17"/>
      <c r="Y271" s="17"/>
      <c r="Z271" s="17" t="s">
        <v>99</v>
      </c>
      <c r="AA271" s="18">
        <v>-7.0000000000000007E-2</v>
      </c>
      <c r="AB271" s="13"/>
      <c r="AC271" s="13">
        <v>-0.11</v>
      </c>
      <c r="AD271" s="13"/>
      <c r="AE271" s="13">
        <v>-0.05</v>
      </c>
      <c r="AF271" s="13"/>
      <c r="AG271" s="13"/>
      <c r="AH271" s="13"/>
      <c r="AI271" s="19"/>
      <c r="AJ271" s="14"/>
      <c r="AK271" s="13"/>
      <c r="AL271" s="13"/>
      <c r="AM271" s="13" t="s">
        <v>9002</v>
      </c>
      <c r="AN271" s="13" t="s">
        <v>115</v>
      </c>
      <c r="AO271" s="13" t="s">
        <v>9003</v>
      </c>
      <c r="AP271" s="20">
        <v>-7.0000000000000007E-2</v>
      </c>
      <c r="AQ271" s="20">
        <f t="shared" si="72"/>
        <v>0</v>
      </c>
      <c r="AR271" s="92">
        <f t="shared" si="75"/>
        <v>0</v>
      </c>
      <c r="AS271" s="125">
        <f t="shared" si="74"/>
        <v>0</v>
      </c>
      <c r="AT271" s="22" t="s">
        <v>115</v>
      </c>
      <c r="AU271" s="13"/>
      <c r="AV271" s="13"/>
      <c r="AW271" s="13"/>
      <c r="AX271" s="13"/>
      <c r="AY271" s="13"/>
      <c r="AZ271" s="13"/>
    </row>
    <row r="272" spans="1:52" ht="12.75">
      <c r="A272" s="12">
        <v>44888</v>
      </c>
      <c r="B272" s="13" t="s">
        <v>151</v>
      </c>
      <c r="C272" s="13"/>
      <c r="D272" s="17"/>
      <c r="E272" s="13"/>
      <c r="F272" s="14" t="s">
        <v>9004</v>
      </c>
      <c r="G272" s="13"/>
      <c r="H272" s="13"/>
      <c r="I272" s="13"/>
      <c r="J272" s="14"/>
      <c r="K272" s="14"/>
      <c r="L272" s="13"/>
      <c r="M272" s="13"/>
      <c r="N272" s="13"/>
      <c r="O272" s="14" t="s">
        <v>95</v>
      </c>
      <c r="P272" s="14" t="s">
        <v>137</v>
      </c>
      <c r="Q272" s="14" t="s">
        <v>97</v>
      </c>
      <c r="R272" s="14">
        <v>5</v>
      </c>
      <c r="S272" s="14">
        <v>5</v>
      </c>
      <c r="T272" s="14">
        <v>5</v>
      </c>
      <c r="U272" s="14" t="s">
        <v>22</v>
      </c>
      <c r="V272" s="14">
        <f t="shared" si="65"/>
        <v>0.01</v>
      </c>
      <c r="W272" s="14">
        <f t="shared" si="66"/>
        <v>1664.9999999999998</v>
      </c>
      <c r="X272" s="17"/>
      <c r="Y272" s="17"/>
      <c r="Z272" s="17" t="s">
        <v>99</v>
      </c>
      <c r="AA272" s="18">
        <v>-0.09</v>
      </c>
      <c r="AB272" s="13"/>
      <c r="AC272" s="13">
        <v>-0.12</v>
      </c>
      <c r="AD272" s="13"/>
      <c r="AE272" s="13">
        <v>-7.0000000000000007E-2</v>
      </c>
      <c r="AF272" s="13"/>
      <c r="AG272" s="13"/>
      <c r="AH272" s="13"/>
      <c r="AI272" s="19"/>
      <c r="AJ272" s="14"/>
      <c r="AK272" s="13"/>
      <c r="AL272" s="13"/>
      <c r="AM272" s="13" t="s">
        <v>594</v>
      </c>
      <c r="AN272" s="13" t="s">
        <v>115</v>
      </c>
      <c r="AO272" s="13" t="s">
        <v>9005</v>
      </c>
      <c r="AP272" s="20">
        <v>-0.08</v>
      </c>
      <c r="AQ272" s="20">
        <f t="shared" si="72"/>
        <v>9.999999999999995E-3</v>
      </c>
      <c r="AR272" s="92">
        <f t="shared" si="75"/>
        <v>83.249999999999943</v>
      </c>
      <c r="AS272" s="125">
        <f t="shared" si="74"/>
        <v>16.649999999999988</v>
      </c>
      <c r="AT272" s="22" t="s">
        <v>96</v>
      </c>
      <c r="AU272" s="13" t="s">
        <v>9006</v>
      </c>
      <c r="AV272" s="13"/>
      <c r="AW272" s="13"/>
      <c r="AX272" s="13"/>
      <c r="AY272" s="13"/>
      <c r="AZ272" s="13"/>
    </row>
    <row r="273" spans="1:52" ht="12.75">
      <c r="A273" s="12">
        <v>44888</v>
      </c>
      <c r="B273" s="13" t="s">
        <v>151</v>
      </c>
      <c r="C273" s="13"/>
      <c r="D273" s="17"/>
      <c r="E273" s="13"/>
      <c r="F273" s="14" t="s">
        <v>210</v>
      </c>
      <c r="G273" s="13"/>
      <c r="H273" s="13"/>
      <c r="I273" s="13"/>
      <c r="J273" s="14"/>
      <c r="K273" s="14"/>
      <c r="L273" s="13"/>
      <c r="M273" s="13"/>
      <c r="N273" s="13"/>
      <c r="O273" s="14" t="s">
        <v>95</v>
      </c>
      <c r="P273" s="14" t="s">
        <v>96</v>
      </c>
      <c r="Q273" s="14" t="s">
        <v>97</v>
      </c>
      <c r="R273" s="14">
        <v>1</v>
      </c>
      <c r="S273" s="14">
        <v>1</v>
      </c>
      <c r="T273" s="14">
        <v>1</v>
      </c>
      <c r="U273" s="14" t="s">
        <v>22</v>
      </c>
      <c r="V273" s="14">
        <f t="shared" si="65"/>
        <v>0.01</v>
      </c>
      <c r="W273" s="14">
        <f t="shared" si="66"/>
        <v>1664.9999999999998</v>
      </c>
      <c r="X273" s="17" t="s">
        <v>9007</v>
      </c>
      <c r="Y273" s="17"/>
      <c r="Z273" s="17"/>
      <c r="AA273" s="18">
        <v>0.48499999999999999</v>
      </c>
      <c r="AB273" s="13"/>
      <c r="AC273" s="13">
        <v>0.46</v>
      </c>
      <c r="AD273" s="13" t="s">
        <v>9008</v>
      </c>
      <c r="AE273" s="13" t="s">
        <v>9009</v>
      </c>
      <c r="AF273" s="13"/>
      <c r="AG273" s="13"/>
      <c r="AH273" s="13"/>
      <c r="AI273" s="19"/>
      <c r="AJ273" s="14"/>
      <c r="AK273" s="13"/>
      <c r="AL273" s="13"/>
      <c r="AM273" s="13"/>
      <c r="AN273" s="13" t="s">
        <v>372</v>
      </c>
      <c r="AO273" s="13"/>
      <c r="AP273" s="20">
        <v>0.49</v>
      </c>
      <c r="AQ273" s="20">
        <f t="shared" si="72"/>
        <v>5.0000000000000044E-3</v>
      </c>
      <c r="AR273" s="92">
        <f t="shared" si="75"/>
        <v>8.3250000000000064</v>
      </c>
      <c r="AS273" s="125">
        <f t="shared" si="74"/>
        <v>8.3250000000000064</v>
      </c>
      <c r="AT273" s="22" t="s">
        <v>96</v>
      </c>
      <c r="AU273" s="13" t="s">
        <v>9010</v>
      </c>
      <c r="AV273" s="13" t="s">
        <v>9011</v>
      </c>
      <c r="AW273" s="13"/>
      <c r="AX273" s="13"/>
      <c r="AY273" s="13"/>
      <c r="AZ273" s="13"/>
    </row>
    <row r="274" spans="1:52" ht="12.75">
      <c r="A274" s="12">
        <v>44888</v>
      </c>
      <c r="B274" s="13" t="s">
        <v>151</v>
      </c>
      <c r="C274" s="13"/>
      <c r="D274" s="17"/>
      <c r="E274" s="13"/>
      <c r="F274" s="14" t="s">
        <v>9000</v>
      </c>
      <c r="G274" s="13"/>
      <c r="H274" s="13"/>
      <c r="I274" s="13"/>
      <c r="J274" s="14"/>
      <c r="K274" s="14"/>
      <c r="L274" s="13"/>
      <c r="M274" s="13"/>
      <c r="N274" s="13"/>
      <c r="O274" s="14" t="s">
        <v>95</v>
      </c>
      <c r="P274" s="14" t="s">
        <v>137</v>
      </c>
      <c r="Q274" s="14" t="s">
        <v>97</v>
      </c>
      <c r="R274" s="14">
        <v>5</v>
      </c>
      <c r="S274" s="14">
        <v>5</v>
      </c>
      <c r="T274" s="14">
        <v>5</v>
      </c>
      <c r="U274" s="14" t="s">
        <v>22</v>
      </c>
      <c r="V274" s="14">
        <f t="shared" si="65"/>
        <v>0.01</v>
      </c>
      <c r="W274" s="14">
        <f t="shared" si="66"/>
        <v>1664.9999999999998</v>
      </c>
      <c r="X274" s="17"/>
      <c r="Y274" s="17"/>
      <c r="Z274" s="17" t="s">
        <v>99</v>
      </c>
      <c r="AA274" s="18">
        <v>-0.09</v>
      </c>
      <c r="AB274" s="13"/>
      <c r="AC274" s="13">
        <v>-0.1</v>
      </c>
      <c r="AD274" s="13"/>
      <c r="AE274" s="13">
        <v>-7.0000000000000007E-2</v>
      </c>
      <c r="AF274" s="13"/>
      <c r="AG274" s="13"/>
      <c r="AH274" s="13"/>
      <c r="AI274" s="19"/>
      <c r="AJ274" s="14"/>
      <c r="AK274" s="13"/>
      <c r="AL274" s="13"/>
      <c r="AM274" s="13"/>
      <c r="AN274" s="13"/>
      <c r="AO274" s="13" t="s">
        <v>627</v>
      </c>
      <c r="AP274" s="20">
        <v>-0.09</v>
      </c>
      <c r="AQ274" s="20">
        <f t="shared" si="72"/>
        <v>0</v>
      </c>
      <c r="AR274" s="92">
        <f t="shared" si="75"/>
        <v>0</v>
      </c>
      <c r="AS274" s="125">
        <f t="shared" si="74"/>
        <v>0</v>
      </c>
      <c r="AT274" s="22" t="s">
        <v>115</v>
      </c>
      <c r="AU274" s="13"/>
      <c r="AV274" s="13"/>
      <c r="AW274" s="13"/>
      <c r="AX274" s="13"/>
      <c r="AY274" s="13"/>
      <c r="AZ274" s="13"/>
    </row>
    <row r="275" spans="1:52" ht="12.75">
      <c r="A275" s="13" t="s">
        <v>9012</v>
      </c>
      <c r="B275" s="13" t="s">
        <v>9013</v>
      </c>
      <c r="C275" s="13" t="s">
        <v>9014</v>
      </c>
      <c r="D275" s="17"/>
      <c r="E275" s="13"/>
      <c r="F275" s="14" t="s">
        <v>632</v>
      </c>
      <c r="G275" s="13"/>
      <c r="H275" s="13"/>
      <c r="I275" s="13"/>
      <c r="J275" s="14"/>
      <c r="K275" s="14"/>
      <c r="L275" s="13"/>
      <c r="M275" s="13"/>
      <c r="N275" s="13"/>
      <c r="O275" s="14" t="s">
        <v>95</v>
      </c>
      <c r="P275" s="14" t="s">
        <v>96</v>
      </c>
      <c r="Q275" s="14" t="s">
        <v>256</v>
      </c>
      <c r="R275" s="14">
        <v>3</v>
      </c>
      <c r="S275" s="14">
        <v>3</v>
      </c>
      <c r="T275" s="14">
        <v>1</v>
      </c>
      <c r="U275" s="14" t="s">
        <v>22</v>
      </c>
      <c r="V275" s="14">
        <f t="shared" si="65"/>
        <v>0.01</v>
      </c>
      <c r="W275" s="14">
        <f t="shared" si="66"/>
        <v>1664.9999999999998</v>
      </c>
      <c r="X275" s="17"/>
      <c r="Y275" s="17" t="s">
        <v>9015</v>
      </c>
      <c r="Z275" s="17" t="s">
        <v>9016</v>
      </c>
      <c r="AA275" s="18">
        <v>0</v>
      </c>
      <c r="AB275" s="13"/>
      <c r="AC275" s="13"/>
      <c r="AD275" s="13"/>
      <c r="AE275" s="13"/>
      <c r="AF275" s="13"/>
      <c r="AG275" s="13"/>
      <c r="AH275" s="13"/>
      <c r="AI275" s="19"/>
      <c r="AJ275" s="14"/>
      <c r="AK275" s="13"/>
      <c r="AL275" s="13"/>
      <c r="AM275" s="13"/>
      <c r="AN275" s="13"/>
      <c r="AO275" s="13"/>
      <c r="AP275" s="20">
        <v>0.09</v>
      </c>
      <c r="AQ275" s="20">
        <f t="shared" si="72"/>
        <v>0.09</v>
      </c>
      <c r="AR275" s="92">
        <f t="shared" si="75"/>
        <v>449.5499999999999</v>
      </c>
      <c r="AS275" s="125">
        <f t="shared" si="74"/>
        <v>149.84999999999997</v>
      </c>
      <c r="AT275" s="22" t="s">
        <v>96</v>
      </c>
      <c r="AU275" s="13" t="s">
        <v>9017</v>
      </c>
      <c r="AV275" s="13" t="s">
        <v>9018</v>
      </c>
      <c r="AW275" s="13"/>
      <c r="AX275" s="13"/>
      <c r="AY275" s="13"/>
      <c r="AZ275" s="13"/>
    </row>
    <row r="276" spans="1:52" ht="12.75">
      <c r="A276" s="12"/>
      <c r="B276" s="13"/>
      <c r="C276" s="13"/>
      <c r="D276" s="17"/>
      <c r="E276" s="13"/>
      <c r="F276" s="14"/>
      <c r="G276" s="13"/>
      <c r="H276" s="13"/>
      <c r="I276" s="13"/>
      <c r="J276" s="14"/>
      <c r="K276" s="14"/>
      <c r="L276" s="13"/>
      <c r="M276" s="13"/>
      <c r="N276" s="13"/>
      <c r="O276" s="14"/>
      <c r="P276" s="14"/>
      <c r="Q276" s="14"/>
      <c r="R276" s="14"/>
      <c r="S276" s="14"/>
      <c r="T276" s="14"/>
      <c r="U276" s="14"/>
      <c r="V276" s="14">
        <f t="shared" si="65"/>
        <v>0</v>
      </c>
      <c r="W276" s="14">
        <f t="shared" si="66"/>
        <v>0</v>
      </c>
      <c r="X276" s="17"/>
      <c r="Y276" s="17"/>
      <c r="Z276" s="17"/>
      <c r="AA276" s="18"/>
      <c r="AB276" s="13"/>
      <c r="AC276" s="13"/>
      <c r="AD276" s="13"/>
      <c r="AE276" s="13"/>
      <c r="AF276" s="13"/>
      <c r="AG276" s="13"/>
      <c r="AH276" s="13"/>
      <c r="AI276" s="19"/>
      <c r="AJ276" s="14"/>
      <c r="AK276" s="13"/>
      <c r="AL276" s="13"/>
      <c r="AM276" s="13"/>
      <c r="AN276" s="13"/>
      <c r="AO276" s="13"/>
      <c r="AP276" s="20"/>
      <c r="AQ276" s="13">
        <f t="shared" si="72"/>
        <v>0</v>
      </c>
      <c r="AR276" s="92">
        <f t="shared" si="75"/>
        <v>0</v>
      </c>
      <c r="AS276" s="125">
        <f t="shared" si="74"/>
        <v>0</v>
      </c>
      <c r="AT276" s="22"/>
      <c r="AU276" s="13"/>
      <c r="AV276" s="13"/>
      <c r="AW276" s="13"/>
      <c r="AX276" s="13"/>
      <c r="AY276" s="13"/>
      <c r="AZ276" s="13"/>
    </row>
    <row r="277" spans="1:52" ht="12.75">
      <c r="A277" s="12"/>
      <c r="B277" s="13"/>
      <c r="C277" s="13"/>
      <c r="D277" s="17"/>
      <c r="E277" s="13"/>
      <c r="F277" s="14"/>
      <c r="G277" s="13"/>
      <c r="H277" s="13"/>
      <c r="I277" s="13"/>
      <c r="J277" s="14"/>
      <c r="K277" s="14"/>
      <c r="L277" s="13"/>
      <c r="M277" s="13"/>
      <c r="N277" s="13"/>
      <c r="O277" s="14"/>
      <c r="P277" s="14"/>
      <c r="Q277" s="14"/>
      <c r="R277" s="14"/>
      <c r="S277" s="14"/>
      <c r="T277" s="14"/>
      <c r="U277" s="14"/>
      <c r="V277" s="14">
        <f t="shared" si="65"/>
        <v>0</v>
      </c>
      <c r="W277" s="14">
        <f t="shared" si="66"/>
        <v>0</v>
      </c>
      <c r="X277" s="17"/>
      <c r="Y277" s="17"/>
      <c r="Z277" s="17"/>
      <c r="AA277" s="18"/>
      <c r="AB277" s="13"/>
      <c r="AC277" s="13"/>
      <c r="AD277" s="13"/>
      <c r="AE277" s="13"/>
      <c r="AF277" s="13"/>
      <c r="AG277" s="13"/>
      <c r="AH277" s="13"/>
      <c r="AI277" s="19"/>
      <c r="AJ277" s="14"/>
      <c r="AK277" s="13"/>
      <c r="AL277" s="13"/>
      <c r="AM277" s="13"/>
      <c r="AN277" s="13"/>
      <c r="AO277" s="13"/>
      <c r="AP277" s="20"/>
      <c r="AQ277" s="13">
        <f t="shared" si="72"/>
        <v>0</v>
      </c>
      <c r="AR277" s="92">
        <f t="shared" si="75"/>
        <v>0</v>
      </c>
      <c r="AS277" s="125">
        <f t="shared" si="74"/>
        <v>0</v>
      </c>
      <c r="AT277" s="22"/>
      <c r="AU277" s="13"/>
      <c r="AV277" s="13"/>
      <c r="AW277" s="13"/>
      <c r="AX277" s="13"/>
      <c r="AY277" s="13"/>
      <c r="AZ277" s="13"/>
    </row>
    <row r="278" spans="1:52" ht="12.75">
      <c r="A278" s="81">
        <v>44917</v>
      </c>
      <c r="B278" s="119"/>
      <c r="C278" s="119"/>
      <c r="D278" s="130"/>
      <c r="E278" s="119"/>
      <c r="F278" s="131"/>
      <c r="G278" s="119"/>
      <c r="H278" s="119"/>
      <c r="I278" s="119"/>
      <c r="J278" s="119"/>
      <c r="K278" s="119"/>
      <c r="L278" s="119"/>
      <c r="M278" s="119"/>
      <c r="N278" s="119"/>
      <c r="O278" s="131"/>
      <c r="P278" s="131"/>
      <c r="Q278" s="131"/>
      <c r="R278" s="131"/>
      <c r="S278" s="131"/>
      <c r="T278" s="131"/>
      <c r="U278" s="131"/>
      <c r="V278" s="130"/>
      <c r="W278" s="130"/>
      <c r="X278" s="130"/>
      <c r="Y278" s="130"/>
      <c r="Z278" s="130"/>
      <c r="AA278" s="132"/>
      <c r="AB278" s="119"/>
      <c r="AC278" s="119"/>
      <c r="AD278" s="119"/>
      <c r="AE278" s="119"/>
      <c r="AF278" s="119"/>
      <c r="AG278" s="119"/>
      <c r="AH278" s="119"/>
      <c r="AI278" s="133"/>
      <c r="AJ278" s="131"/>
      <c r="AK278" s="119"/>
      <c r="AL278" s="119"/>
      <c r="AM278" s="119"/>
      <c r="AN278" s="119"/>
      <c r="AO278" s="119"/>
      <c r="AP278" s="134"/>
      <c r="AQ278" s="134">
        <f t="shared" si="72"/>
        <v>0</v>
      </c>
      <c r="AR278" s="134"/>
      <c r="AS278" s="134">
        <f t="shared" si="74"/>
        <v>0</v>
      </c>
      <c r="AT278" s="91"/>
      <c r="AU278" s="119"/>
      <c r="AV278" s="119"/>
      <c r="AW278" s="119"/>
      <c r="AX278" s="119"/>
      <c r="AY278" s="119"/>
      <c r="AZ278" s="119"/>
    </row>
    <row r="279" spans="1:52" ht="12.75">
      <c r="A279" s="12">
        <v>44896</v>
      </c>
      <c r="B279" s="13" t="s">
        <v>93</v>
      </c>
      <c r="C279" s="13" t="s">
        <v>9019</v>
      </c>
      <c r="D279" s="17"/>
      <c r="E279" s="13"/>
      <c r="F279" s="14" t="s">
        <v>8134</v>
      </c>
      <c r="G279" s="13"/>
      <c r="H279" s="13"/>
      <c r="I279" s="13"/>
      <c r="J279" s="14"/>
      <c r="K279" s="14"/>
      <c r="L279" s="13"/>
      <c r="M279" s="13"/>
      <c r="N279" s="13"/>
      <c r="O279" s="14" t="s">
        <v>95</v>
      </c>
      <c r="P279" s="14" t="s">
        <v>96</v>
      </c>
      <c r="Q279" s="14" t="s">
        <v>684</v>
      </c>
      <c r="R279" s="14">
        <v>1</v>
      </c>
      <c r="S279" s="14">
        <v>1</v>
      </c>
      <c r="T279" s="14">
        <v>1</v>
      </c>
      <c r="U279" s="14" t="s">
        <v>22</v>
      </c>
      <c r="V279" s="14">
        <f t="shared" ref="V279:V290" si="76">IF(ISBLANK(O279),,(IF(O279=UPPER("IB"),0.005,0.01)))</f>
        <v>0.01</v>
      </c>
      <c r="W279" s="14">
        <f t="shared" ref="W279:W290" si="77">IF(ISBLANK(O279),,IF(O279=UPPER("IB"),8.63*200,16.65*100))</f>
        <v>1664.9999999999998</v>
      </c>
      <c r="X279" s="17" t="s">
        <v>9020</v>
      </c>
      <c r="Y279" s="17"/>
      <c r="Z279" s="17"/>
      <c r="AA279" s="18">
        <v>96.26</v>
      </c>
      <c r="AB279" s="13"/>
      <c r="AC279" s="13"/>
      <c r="AD279" s="13"/>
      <c r="AE279" s="13"/>
      <c r="AF279" s="13"/>
      <c r="AG279" s="13"/>
      <c r="AH279" s="13"/>
      <c r="AI279" s="19"/>
      <c r="AJ279" s="14"/>
      <c r="AK279" s="13"/>
      <c r="AL279" s="13"/>
      <c r="AM279" s="13" t="s">
        <v>381</v>
      </c>
      <c r="AN279" s="13" t="s">
        <v>372</v>
      </c>
      <c r="AO279" s="13" t="s">
        <v>2306</v>
      </c>
      <c r="AP279" s="20">
        <v>96.23</v>
      </c>
      <c r="AQ279" s="20">
        <f t="shared" si="72"/>
        <v>-3.0000000000001137E-2</v>
      </c>
      <c r="AR279" s="92">
        <f t="shared" ref="AR279:AR289" si="78">AS279*R279</f>
        <v>-49.950000000001886</v>
      </c>
      <c r="AS279" s="125">
        <f t="shared" si="74"/>
        <v>-49.950000000001886</v>
      </c>
      <c r="AT279" s="22" t="s">
        <v>229</v>
      </c>
      <c r="AU279" s="13" t="s">
        <v>231</v>
      </c>
      <c r="AV279" s="13"/>
      <c r="AW279" s="13"/>
      <c r="AX279" s="13"/>
      <c r="AY279" s="13"/>
      <c r="AZ279" s="13"/>
    </row>
    <row r="280" spans="1:52" ht="12.75">
      <c r="A280" s="12">
        <v>44897</v>
      </c>
      <c r="B280" s="13" t="s">
        <v>111</v>
      </c>
      <c r="C280" s="33">
        <v>0.375</v>
      </c>
      <c r="D280" s="17"/>
      <c r="E280" s="13"/>
      <c r="F280" s="14" t="s">
        <v>9021</v>
      </c>
      <c r="G280" s="13"/>
      <c r="H280" s="13"/>
      <c r="I280" s="13"/>
      <c r="J280" s="14"/>
      <c r="K280" s="14"/>
      <c r="L280" s="13"/>
      <c r="M280" s="13"/>
      <c r="N280" s="13"/>
      <c r="O280" s="14" t="s">
        <v>1057</v>
      </c>
      <c r="P280" s="14"/>
      <c r="Q280" s="14"/>
      <c r="R280" s="14">
        <v>1</v>
      </c>
      <c r="S280" s="14">
        <v>1</v>
      </c>
      <c r="T280" s="14">
        <v>1</v>
      </c>
      <c r="U280" s="14" t="s">
        <v>97</v>
      </c>
      <c r="V280" s="14">
        <f t="shared" si="76"/>
        <v>5.0000000000000001E-3</v>
      </c>
      <c r="W280" s="14">
        <f t="shared" si="77"/>
        <v>1726.0000000000002</v>
      </c>
      <c r="X280" s="17"/>
      <c r="Y280" s="17" t="s">
        <v>9022</v>
      </c>
      <c r="Z280" s="17"/>
      <c r="AA280" s="18">
        <v>96.88</v>
      </c>
      <c r="AB280" s="13"/>
      <c r="AC280" s="13"/>
      <c r="AD280" s="13"/>
      <c r="AE280" s="13"/>
      <c r="AF280" s="13"/>
      <c r="AG280" s="13"/>
      <c r="AH280" s="13"/>
      <c r="AI280" s="19"/>
      <c r="AJ280" s="14"/>
      <c r="AK280" s="13"/>
      <c r="AL280" s="13"/>
      <c r="AM280" s="13"/>
      <c r="AN280" s="13"/>
      <c r="AO280" s="13"/>
      <c r="AP280" s="20">
        <v>96.825000000000003</v>
      </c>
      <c r="AQ280" s="20">
        <f t="shared" si="72"/>
        <v>5.499999999999261E-2</v>
      </c>
      <c r="AR280" s="92">
        <f t="shared" si="78"/>
        <v>94.92999999998726</v>
      </c>
      <c r="AS280" s="125">
        <f t="shared" si="74"/>
        <v>94.92999999998726</v>
      </c>
      <c r="AT280" s="22" t="s">
        <v>96</v>
      </c>
      <c r="AU280" s="13" t="s">
        <v>9023</v>
      </c>
      <c r="AV280" s="13"/>
      <c r="AW280" s="13"/>
      <c r="AX280" s="13"/>
      <c r="AY280" s="13"/>
      <c r="AZ280" s="13"/>
    </row>
    <row r="281" spans="1:52" ht="12.75">
      <c r="A281" s="12">
        <v>44897</v>
      </c>
      <c r="B281" s="13" t="s">
        <v>111</v>
      </c>
      <c r="C281" s="33">
        <v>0.375</v>
      </c>
      <c r="D281" s="17"/>
      <c r="E281" s="13"/>
      <c r="F281" s="14" t="s">
        <v>9024</v>
      </c>
      <c r="G281" s="13"/>
      <c r="H281" s="13"/>
      <c r="I281" s="13"/>
      <c r="J281" s="14"/>
      <c r="K281" s="14"/>
      <c r="L281" s="13"/>
      <c r="M281" s="13"/>
      <c r="N281" s="13"/>
      <c r="O281" s="14" t="s">
        <v>1057</v>
      </c>
      <c r="P281" s="14"/>
      <c r="Q281" s="14"/>
      <c r="R281" s="14">
        <v>1</v>
      </c>
      <c r="S281" s="14">
        <v>1</v>
      </c>
      <c r="T281" s="14">
        <v>1</v>
      </c>
      <c r="U281" s="14" t="s">
        <v>97</v>
      </c>
      <c r="V281" s="14">
        <f t="shared" si="76"/>
        <v>5.0000000000000001E-3</v>
      </c>
      <c r="W281" s="14">
        <f t="shared" si="77"/>
        <v>1726.0000000000002</v>
      </c>
      <c r="X281" s="17"/>
      <c r="Y281" s="17" t="s">
        <v>9022</v>
      </c>
      <c r="Z281" s="17"/>
      <c r="AA281" s="18">
        <v>97.034999999999997</v>
      </c>
      <c r="AB281" s="13"/>
      <c r="AC281" s="13"/>
      <c r="AD281" s="13"/>
      <c r="AE281" s="13"/>
      <c r="AF281" s="13"/>
      <c r="AG281" s="13"/>
      <c r="AH281" s="13"/>
      <c r="AI281" s="19"/>
      <c r="AJ281" s="14"/>
      <c r="AK281" s="13"/>
      <c r="AL281" s="13"/>
      <c r="AM281" s="13"/>
      <c r="AN281" s="13"/>
      <c r="AO281" s="13"/>
      <c r="AP281" s="20">
        <v>96.99</v>
      </c>
      <c r="AQ281" s="20">
        <f t="shared" si="72"/>
        <v>4.5000000000001705E-2</v>
      </c>
      <c r="AR281" s="92">
        <f t="shared" si="78"/>
        <v>77.670000000002958</v>
      </c>
      <c r="AS281" s="125">
        <f t="shared" si="74"/>
        <v>77.670000000002958</v>
      </c>
      <c r="AT281" s="22" t="s">
        <v>96</v>
      </c>
      <c r="AU281" s="13"/>
      <c r="AV281" s="13"/>
      <c r="AW281" s="13"/>
      <c r="AX281" s="13"/>
      <c r="AY281" s="13"/>
      <c r="AZ281" s="13"/>
    </row>
    <row r="282" spans="1:52" ht="17.25">
      <c r="A282" s="23">
        <v>44908</v>
      </c>
      <c r="B282" s="24" t="s">
        <v>721</v>
      </c>
      <c r="C282" s="24" t="s">
        <v>146</v>
      </c>
      <c r="D282" s="31" t="s">
        <v>722</v>
      </c>
      <c r="E282" s="24" t="s">
        <v>723</v>
      </c>
      <c r="F282" s="25" t="s">
        <v>271</v>
      </c>
      <c r="G282" s="13"/>
      <c r="H282" s="13"/>
      <c r="I282" s="13">
        <v>1</v>
      </c>
      <c r="J282" s="14" t="s">
        <v>115</v>
      </c>
      <c r="K282" s="14"/>
      <c r="L282" s="14"/>
      <c r="M282" s="13">
        <v>1</v>
      </c>
      <c r="N282" s="13">
        <v>1</v>
      </c>
      <c r="O282" s="13"/>
      <c r="P282" s="14"/>
      <c r="Q282" s="14"/>
      <c r="R282" s="14"/>
      <c r="S282" s="14"/>
      <c r="T282" s="14"/>
      <c r="U282" s="14"/>
      <c r="V282" s="14">
        <f t="shared" si="76"/>
        <v>0</v>
      </c>
      <c r="W282" s="14">
        <f t="shared" si="77"/>
        <v>0</v>
      </c>
      <c r="X282" s="16"/>
      <c r="Y282" s="17"/>
      <c r="Z282" s="17"/>
      <c r="AA282" s="17"/>
      <c r="AB282" s="18"/>
      <c r="AC282" s="13"/>
      <c r="AD282" s="13"/>
      <c r="AE282" s="13"/>
      <c r="AF282" s="13"/>
      <c r="AG282" s="13"/>
      <c r="AH282" s="13"/>
      <c r="AI282" s="13"/>
      <c r="AJ282" s="19"/>
      <c r="AK282" s="14"/>
      <c r="AL282" s="13"/>
      <c r="AM282" s="13"/>
      <c r="AN282" s="13"/>
      <c r="AO282" s="13"/>
      <c r="AP282" s="13"/>
      <c r="AQ282" s="13">
        <f t="shared" si="72"/>
        <v>0</v>
      </c>
      <c r="AR282" s="92">
        <f t="shared" si="78"/>
        <v>0</v>
      </c>
      <c r="AS282" s="125">
        <f t="shared" si="74"/>
        <v>0</v>
      </c>
      <c r="AT282" s="21"/>
      <c r="AU282" s="22"/>
      <c r="AV282" s="13"/>
      <c r="AW282" s="13"/>
      <c r="AX282" s="13"/>
      <c r="AY282" s="13"/>
      <c r="AZ282" s="13"/>
    </row>
    <row r="283" spans="1:52" ht="12.75">
      <c r="A283" s="23"/>
      <c r="B283" s="24"/>
      <c r="C283" s="24"/>
      <c r="D283" s="31" t="s">
        <v>724</v>
      </c>
      <c r="E283" s="24" t="s">
        <v>725</v>
      </c>
      <c r="F283" s="25"/>
      <c r="G283" s="13"/>
      <c r="H283" s="13"/>
      <c r="I283" s="13">
        <v>1</v>
      </c>
      <c r="J283" s="14" t="s">
        <v>115</v>
      </c>
      <c r="K283" s="14"/>
      <c r="L283" s="14"/>
      <c r="M283" s="13"/>
      <c r="N283" s="13"/>
      <c r="O283" s="13"/>
      <c r="P283" s="14"/>
      <c r="Q283" s="14"/>
      <c r="R283" s="14"/>
      <c r="S283" s="14"/>
      <c r="T283" s="14"/>
      <c r="U283" s="14"/>
      <c r="V283" s="14">
        <f t="shared" si="76"/>
        <v>0</v>
      </c>
      <c r="W283" s="14">
        <f t="shared" si="77"/>
        <v>0</v>
      </c>
      <c r="X283" s="14"/>
      <c r="Y283" s="17"/>
      <c r="Z283" s="17"/>
      <c r="AA283" s="17"/>
      <c r="AB283" s="18"/>
      <c r="AC283" s="13"/>
      <c r="AD283" s="13"/>
      <c r="AE283" s="13"/>
      <c r="AF283" s="13"/>
      <c r="AG283" s="13"/>
      <c r="AH283" s="13"/>
      <c r="AI283" s="13"/>
      <c r="AJ283" s="19"/>
      <c r="AK283" s="14"/>
      <c r="AL283" s="13"/>
      <c r="AM283" s="13"/>
      <c r="AN283" s="13"/>
      <c r="AO283" s="13"/>
      <c r="AP283" s="13"/>
      <c r="AQ283" s="13">
        <f t="shared" si="72"/>
        <v>0</v>
      </c>
      <c r="AR283" s="92">
        <f t="shared" si="78"/>
        <v>0</v>
      </c>
      <c r="AS283" s="125">
        <f t="shared" si="74"/>
        <v>0</v>
      </c>
      <c r="AT283" s="21"/>
      <c r="AU283" s="22"/>
      <c r="AV283" s="13"/>
      <c r="AW283" s="13"/>
      <c r="AX283" s="13"/>
      <c r="AY283" s="13"/>
      <c r="AZ283" s="13"/>
    </row>
    <row r="284" spans="1:52" ht="12.75">
      <c r="A284" s="23">
        <v>44908</v>
      </c>
      <c r="B284" s="33">
        <v>0.79166666666666663</v>
      </c>
      <c r="C284" s="13" t="s">
        <v>146</v>
      </c>
      <c r="D284" s="17"/>
      <c r="E284" s="13"/>
      <c r="F284" s="14" t="s">
        <v>1203</v>
      </c>
      <c r="G284" s="13"/>
      <c r="H284" s="13"/>
      <c r="I284" s="13"/>
      <c r="J284" s="14"/>
      <c r="K284" s="14" t="s">
        <v>20</v>
      </c>
      <c r="L284" s="13"/>
      <c r="M284" s="13"/>
      <c r="N284" s="13">
        <v>1</v>
      </c>
      <c r="O284" s="14" t="s">
        <v>95</v>
      </c>
      <c r="P284" s="14" t="s">
        <v>137</v>
      </c>
      <c r="Q284" s="14" t="s">
        <v>684</v>
      </c>
      <c r="R284" s="14">
        <v>1</v>
      </c>
      <c r="S284" s="14">
        <v>1</v>
      </c>
      <c r="T284" s="14">
        <v>1</v>
      </c>
      <c r="U284" s="14" t="s">
        <v>97</v>
      </c>
      <c r="V284" s="14">
        <f t="shared" si="76"/>
        <v>0.01</v>
      </c>
      <c r="W284" s="14">
        <f t="shared" si="77"/>
        <v>1664.9999999999998</v>
      </c>
      <c r="X284" s="17" t="s">
        <v>9025</v>
      </c>
      <c r="Y284" s="17"/>
      <c r="Z284" s="17"/>
      <c r="AA284" s="18">
        <v>96.35</v>
      </c>
      <c r="AB284" s="13" t="s">
        <v>9026</v>
      </c>
      <c r="AC284" s="13"/>
      <c r="AD284" s="13"/>
      <c r="AE284" s="13"/>
      <c r="AF284" s="13"/>
      <c r="AG284" s="13"/>
      <c r="AH284" s="13"/>
      <c r="AI284" s="19"/>
      <c r="AJ284" s="14"/>
      <c r="AK284" s="13"/>
      <c r="AL284" s="13"/>
      <c r="AM284" s="13"/>
      <c r="AN284" s="13"/>
      <c r="AO284" s="13" t="s">
        <v>4144</v>
      </c>
      <c r="AP284" s="20">
        <v>96.34</v>
      </c>
      <c r="AQ284" s="20">
        <f t="shared" si="72"/>
        <v>9.9999999999909051E-3</v>
      </c>
      <c r="AR284" s="92">
        <f t="shared" si="78"/>
        <v>16.649999999984853</v>
      </c>
      <c r="AS284" s="125">
        <f t="shared" si="74"/>
        <v>16.649999999984853</v>
      </c>
      <c r="AT284" s="22" t="s">
        <v>96</v>
      </c>
      <c r="AU284" s="13"/>
      <c r="AV284" s="13" t="s">
        <v>9027</v>
      </c>
      <c r="AW284" s="13"/>
      <c r="AX284" s="13" t="s">
        <v>9028</v>
      </c>
      <c r="AY284" s="13" t="s">
        <v>9029</v>
      </c>
      <c r="AZ284" s="13" t="s">
        <v>9030</v>
      </c>
    </row>
    <row r="285" spans="1:52" ht="12.75">
      <c r="A285" s="23">
        <v>44908</v>
      </c>
      <c r="B285" s="33">
        <v>0.79166666666666663</v>
      </c>
      <c r="C285" s="13" t="s">
        <v>146</v>
      </c>
      <c r="D285" s="17"/>
      <c r="E285" s="13"/>
      <c r="F285" s="14" t="s">
        <v>831</v>
      </c>
      <c r="G285" s="13"/>
      <c r="H285" s="13"/>
      <c r="I285" s="13"/>
      <c r="J285" s="14"/>
      <c r="K285" s="14" t="s">
        <v>20</v>
      </c>
      <c r="L285" s="13"/>
      <c r="M285" s="13"/>
      <c r="N285" s="13">
        <v>1</v>
      </c>
      <c r="O285" s="14" t="s">
        <v>95</v>
      </c>
      <c r="P285" s="14" t="s">
        <v>137</v>
      </c>
      <c r="Q285" s="14" t="s">
        <v>684</v>
      </c>
      <c r="R285" s="14">
        <v>1</v>
      </c>
      <c r="S285" s="14">
        <v>1</v>
      </c>
      <c r="T285" s="14">
        <v>1</v>
      </c>
      <c r="U285" s="14" t="s">
        <v>97</v>
      </c>
      <c r="V285" s="14">
        <f t="shared" si="76"/>
        <v>0.01</v>
      </c>
      <c r="W285" s="14">
        <f t="shared" si="77"/>
        <v>1664.9999999999998</v>
      </c>
      <c r="X285" s="17" t="s">
        <v>9025</v>
      </c>
      <c r="Y285" s="17"/>
      <c r="Z285" s="17"/>
      <c r="AA285" s="18">
        <v>96.28</v>
      </c>
      <c r="AB285" s="13" t="s">
        <v>9026</v>
      </c>
      <c r="AC285" s="13"/>
      <c r="AD285" s="13"/>
      <c r="AE285" s="13"/>
      <c r="AF285" s="13"/>
      <c r="AG285" s="13"/>
      <c r="AH285" s="13"/>
      <c r="AI285" s="19"/>
      <c r="AJ285" s="14"/>
      <c r="AK285" s="13"/>
      <c r="AL285" s="13"/>
      <c r="AM285" s="13"/>
      <c r="AN285" s="13"/>
      <c r="AO285" s="13" t="s">
        <v>4144</v>
      </c>
      <c r="AP285" s="20">
        <v>96.25</v>
      </c>
      <c r="AQ285" s="20">
        <f t="shared" si="72"/>
        <v>3.0000000000001137E-2</v>
      </c>
      <c r="AR285" s="92">
        <f t="shared" si="78"/>
        <v>49.950000000001886</v>
      </c>
      <c r="AS285" s="125">
        <f t="shared" si="74"/>
        <v>49.950000000001886</v>
      </c>
      <c r="AT285" s="22" t="s">
        <v>96</v>
      </c>
      <c r="AU285" s="13"/>
      <c r="AV285" s="13" t="s">
        <v>9031</v>
      </c>
      <c r="AW285" s="13"/>
      <c r="AX285" s="13" t="s">
        <v>9032</v>
      </c>
      <c r="AY285" s="13" t="s">
        <v>9033</v>
      </c>
      <c r="AZ285" s="13"/>
    </row>
    <row r="286" spans="1:52" ht="12.75">
      <c r="A286" s="23">
        <v>44908</v>
      </c>
      <c r="B286" s="13" t="s">
        <v>9034</v>
      </c>
      <c r="C286" s="13" t="s">
        <v>146</v>
      </c>
      <c r="D286" s="17"/>
      <c r="E286" s="13"/>
      <c r="F286" s="14" t="s">
        <v>945</v>
      </c>
      <c r="G286" s="13"/>
      <c r="H286" s="13"/>
      <c r="I286" s="13"/>
      <c r="J286" s="14"/>
      <c r="K286" s="14" t="s">
        <v>20</v>
      </c>
      <c r="L286" s="13"/>
      <c r="M286" s="13"/>
      <c r="N286" s="13">
        <v>1</v>
      </c>
      <c r="O286" s="14" t="s">
        <v>95</v>
      </c>
      <c r="P286" s="14" t="s">
        <v>137</v>
      </c>
      <c r="Q286" s="14" t="s">
        <v>684</v>
      </c>
      <c r="R286" s="14">
        <v>1</v>
      </c>
      <c r="S286" s="14">
        <v>1</v>
      </c>
      <c r="T286" s="14">
        <v>1</v>
      </c>
      <c r="U286" s="14" t="s">
        <v>97</v>
      </c>
      <c r="V286" s="14">
        <f t="shared" si="76"/>
        <v>0.01</v>
      </c>
      <c r="W286" s="14">
        <f t="shared" si="77"/>
        <v>1664.9999999999998</v>
      </c>
      <c r="X286" s="17" t="s">
        <v>9025</v>
      </c>
      <c r="Y286" s="17"/>
      <c r="Z286" s="17"/>
      <c r="AA286" s="18">
        <v>96.44</v>
      </c>
      <c r="AB286" s="13" t="s">
        <v>9026</v>
      </c>
      <c r="AC286" s="13"/>
      <c r="AD286" s="13"/>
      <c r="AE286" s="13"/>
      <c r="AF286" s="13"/>
      <c r="AG286" s="13"/>
      <c r="AH286" s="13"/>
      <c r="AI286" s="19"/>
      <c r="AJ286" s="14"/>
      <c r="AK286" s="13"/>
      <c r="AL286" s="13"/>
      <c r="AM286" s="13"/>
      <c r="AN286" s="13"/>
      <c r="AO286" s="13" t="s">
        <v>4144</v>
      </c>
      <c r="AP286" s="20">
        <v>96.41</v>
      </c>
      <c r="AQ286" s="20">
        <f t="shared" si="72"/>
        <v>3.0000000000001137E-2</v>
      </c>
      <c r="AR286" s="92">
        <f t="shared" si="78"/>
        <v>49.950000000001886</v>
      </c>
      <c r="AS286" s="125">
        <f t="shared" si="74"/>
        <v>49.950000000001886</v>
      </c>
      <c r="AT286" s="22" t="s">
        <v>96</v>
      </c>
      <c r="AU286" s="13"/>
      <c r="AV286" s="13" t="s">
        <v>9035</v>
      </c>
      <c r="AW286" s="13"/>
      <c r="AX286" s="13"/>
      <c r="AY286" s="13"/>
      <c r="AZ286" s="13"/>
    </row>
    <row r="287" spans="1:52" ht="12.75">
      <c r="A287" s="23">
        <v>44908</v>
      </c>
      <c r="B287" s="13" t="s">
        <v>1002</v>
      </c>
      <c r="C287" s="13" t="s">
        <v>146</v>
      </c>
      <c r="D287" s="17"/>
      <c r="E287" s="13"/>
      <c r="F287" s="14" t="s">
        <v>1203</v>
      </c>
      <c r="G287" s="13"/>
      <c r="H287" s="13"/>
      <c r="I287" s="13"/>
      <c r="J287" s="14"/>
      <c r="K287" s="14" t="s">
        <v>20</v>
      </c>
      <c r="L287" s="13"/>
      <c r="M287" s="13"/>
      <c r="N287" s="13">
        <v>1</v>
      </c>
      <c r="O287" s="14" t="s">
        <v>95</v>
      </c>
      <c r="P287" s="14" t="s">
        <v>137</v>
      </c>
      <c r="Q287" s="14" t="s">
        <v>684</v>
      </c>
      <c r="R287" s="14">
        <v>1</v>
      </c>
      <c r="S287" s="14">
        <v>1</v>
      </c>
      <c r="T287" s="14">
        <v>1</v>
      </c>
      <c r="U287" s="14" t="s">
        <v>97</v>
      </c>
      <c r="V287" s="14">
        <f t="shared" si="76"/>
        <v>0.01</v>
      </c>
      <c r="W287" s="14">
        <f t="shared" si="77"/>
        <v>1664.9999999999998</v>
      </c>
      <c r="X287" s="17" t="s">
        <v>9025</v>
      </c>
      <c r="Y287" s="17"/>
      <c r="Z287" s="17"/>
      <c r="AA287" s="18">
        <v>96.38</v>
      </c>
      <c r="AB287" s="13" t="s">
        <v>9036</v>
      </c>
      <c r="AC287" s="13"/>
      <c r="AD287" s="13"/>
      <c r="AE287" s="13"/>
      <c r="AF287" s="13"/>
      <c r="AG287" s="13"/>
      <c r="AH287" s="13"/>
      <c r="AI287" s="19"/>
      <c r="AJ287" s="14"/>
      <c r="AK287" s="13"/>
      <c r="AL287" s="13"/>
      <c r="AM287" s="13"/>
      <c r="AN287" s="13"/>
      <c r="AO287" s="13" t="s">
        <v>4144</v>
      </c>
      <c r="AP287" s="20">
        <v>96.34</v>
      </c>
      <c r="AQ287" s="20">
        <f t="shared" si="72"/>
        <v>3.9999999999992042E-2</v>
      </c>
      <c r="AR287" s="92">
        <f t="shared" si="78"/>
        <v>66.599999999986736</v>
      </c>
      <c r="AS287" s="125">
        <f t="shared" si="74"/>
        <v>66.599999999986736</v>
      </c>
      <c r="AT287" s="22" t="s">
        <v>96</v>
      </c>
      <c r="AU287" s="13"/>
      <c r="AV287" s="13" t="s">
        <v>9027</v>
      </c>
      <c r="AW287" s="13"/>
      <c r="AX287" s="13"/>
      <c r="AY287" s="13"/>
      <c r="AZ287" s="13"/>
    </row>
    <row r="288" spans="1:52" ht="12.75">
      <c r="A288" s="23">
        <v>44908</v>
      </c>
      <c r="B288" s="13" t="s">
        <v>9037</v>
      </c>
      <c r="C288" s="13" t="s">
        <v>146</v>
      </c>
      <c r="D288" s="17"/>
      <c r="E288" s="13"/>
      <c r="F288" s="14" t="s">
        <v>831</v>
      </c>
      <c r="G288" s="13"/>
      <c r="H288" s="13"/>
      <c r="I288" s="13"/>
      <c r="J288" s="14"/>
      <c r="K288" s="14" t="s">
        <v>20</v>
      </c>
      <c r="L288" s="13"/>
      <c r="M288" s="13"/>
      <c r="N288" s="13">
        <v>1</v>
      </c>
      <c r="O288" s="14" t="s">
        <v>95</v>
      </c>
      <c r="P288" s="14" t="s">
        <v>137</v>
      </c>
      <c r="Q288" s="14" t="s">
        <v>684</v>
      </c>
      <c r="R288" s="14">
        <v>1</v>
      </c>
      <c r="S288" s="14">
        <v>1</v>
      </c>
      <c r="T288" s="14">
        <v>1</v>
      </c>
      <c r="U288" s="14" t="s">
        <v>97</v>
      </c>
      <c r="V288" s="14">
        <f t="shared" si="76"/>
        <v>0.01</v>
      </c>
      <c r="W288" s="14">
        <f t="shared" si="77"/>
        <v>1664.9999999999998</v>
      </c>
      <c r="X288" s="17" t="s">
        <v>9025</v>
      </c>
      <c r="Y288" s="17"/>
      <c r="Z288" s="17"/>
      <c r="AA288" s="18">
        <v>96.3</v>
      </c>
      <c r="AB288" s="13" t="s">
        <v>9036</v>
      </c>
      <c r="AC288" s="13"/>
      <c r="AD288" s="13"/>
      <c r="AE288" s="13"/>
      <c r="AF288" s="13"/>
      <c r="AG288" s="13"/>
      <c r="AH288" s="13"/>
      <c r="AI288" s="19"/>
      <c r="AJ288" s="14"/>
      <c r="AK288" s="13"/>
      <c r="AL288" s="13"/>
      <c r="AM288" s="13"/>
      <c r="AN288" s="13"/>
      <c r="AO288" s="13" t="s">
        <v>4144</v>
      </c>
      <c r="AP288" s="20">
        <v>96.25</v>
      </c>
      <c r="AQ288" s="20">
        <f t="shared" si="72"/>
        <v>4.9999999999997158E-2</v>
      </c>
      <c r="AR288" s="92">
        <f t="shared" si="78"/>
        <v>83.249999999995254</v>
      </c>
      <c r="AS288" s="125">
        <f t="shared" si="74"/>
        <v>83.249999999995254</v>
      </c>
      <c r="AT288" s="22" t="s">
        <v>96</v>
      </c>
      <c r="AU288" s="13"/>
      <c r="AV288" s="13" t="s">
        <v>9031</v>
      </c>
      <c r="AW288" s="13"/>
      <c r="AX288" s="13"/>
      <c r="AY288" s="13"/>
      <c r="AZ288" s="13"/>
    </row>
    <row r="289" spans="1:52" ht="12.75">
      <c r="A289" s="23">
        <v>44908</v>
      </c>
      <c r="B289" s="13" t="s">
        <v>9038</v>
      </c>
      <c r="C289" s="13" t="s">
        <v>146</v>
      </c>
      <c r="D289" s="17"/>
      <c r="E289" s="13"/>
      <c r="F289" s="14" t="s">
        <v>945</v>
      </c>
      <c r="G289" s="13"/>
      <c r="H289" s="13"/>
      <c r="I289" s="13"/>
      <c r="J289" s="14"/>
      <c r="K289" s="14" t="s">
        <v>20</v>
      </c>
      <c r="L289" s="13"/>
      <c r="M289" s="13"/>
      <c r="N289" s="13">
        <v>1</v>
      </c>
      <c r="O289" s="14" t="s">
        <v>95</v>
      </c>
      <c r="P289" s="14" t="s">
        <v>137</v>
      </c>
      <c r="Q289" s="14" t="s">
        <v>684</v>
      </c>
      <c r="R289" s="14">
        <v>1</v>
      </c>
      <c r="S289" s="14">
        <v>1</v>
      </c>
      <c r="T289" s="14">
        <v>1</v>
      </c>
      <c r="U289" s="14" t="s">
        <v>97</v>
      </c>
      <c r="V289" s="14">
        <f t="shared" si="76"/>
        <v>0.01</v>
      </c>
      <c r="W289" s="14">
        <f t="shared" si="77"/>
        <v>1664.9999999999998</v>
      </c>
      <c r="X289" s="17" t="s">
        <v>9025</v>
      </c>
      <c r="Y289" s="17"/>
      <c r="Z289" s="17"/>
      <c r="AA289" s="18">
        <v>96.47</v>
      </c>
      <c r="AB289" s="13" t="s">
        <v>9036</v>
      </c>
      <c r="AC289" s="13"/>
      <c r="AD289" s="13"/>
      <c r="AE289" s="13"/>
      <c r="AF289" s="13"/>
      <c r="AG289" s="13"/>
      <c r="AH289" s="13"/>
      <c r="AI289" s="19"/>
      <c r="AJ289" s="14"/>
      <c r="AK289" s="13"/>
      <c r="AL289" s="13"/>
      <c r="AM289" s="13"/>
      <c r="AN289" s="13"/>
      <c r="AO289" s="13" t="s">
        <v>4144</v>
      </c>
      <c r="AP289" s="20">
        <v>96.41</v>
      </c>
      <c r="AQ289" s="20">
        <f t="shared" si="72"/>
        <v>6.0000000000002274E-2</v>
      </c>
      <c r="AR289" s="92">
        <f t="shared" si="78"/>
        <v>99.900000000003772</v>
      </c>
      <c r="AS289" s="125">
        <f t="shared" si="74"/>
        <v>99.900000000003772</v>
      </c>
      <c r="AT289" s="22" t="s">
        <v>96</v>
      </c>
      <c r="AU289" s="13"/>
      <c r="AV289" s="13" t="s">
        <v>9035</v>
      </c>
      <c r="AW289" s="13"/>
      <c r="AX289" s="13"/>
      <c r="AY289" s="13"/>
      <c r="AZ289" s="13"/>
    </row>
    <row r="290" spans="1:52" ht="12.75">
      <c r="A290" s="23">
        <v>44908</v>
      </c>
      <c r="B290" s="13" t="s">
        <v>721</v>
      </c>
      <c r="C290" s="13" t="s">
        <v>146</v>
      </c>
      <c r="D290" s="17"/>
      <c r="E290" s="13"/>
      <c r="F290" s="14" t="s">
        <v>983</v>
      </c>
      <c r="G290" s="13"/>
      <c r="H290" s="13"/>
      <c r="I290" s="13"/>
      <c r="J290" s="14"/>
      <c r="K290" s="14" t="s">
        <v>20</v>
      </c>
      <c r="L290" s="13"/>
      <c r="M290" s="13"/>
      <c r="N290" s="13">
        <v>1</v>
      </c>
      <c r="O290" s="14" t="s">
        <v>95</v>
      </c>
      <c r="P290" s="14" t="s">
        <v>96</v>
      </c>
      <c r="Q290" s="14" t="s">
        <v>684</v>
      </c>
      <c r="R290" s="14">
        <v>1</v>
      </c>
      <c r="S290" s="14">
        <v>1</v>
      </c>
      <c r="T290" s="14">
        <v>1</v>
      </c>
      <c r="U290" s="14" t="s">
        <v>97</v>
      </c>
      <c r="V290" s="14">
        <f t="shared" si="76"/>
        <v>0.01</v>
      </c>
      <c r="W290" s="14">
        <f t="shared" si="77"/>
        <v>1664.9999999999998</v>
      </c>
      <c r="X290" s="17" t="s">
        <v>9025</v>
      </c>
      <c r="Y290" s="17"/>
      <c r="Z290" s="17"/>
      <c r="AA290" s="18">
        <v>96.25</v>
      </c>
      <c r="AB290" s="13" t="s">
        <v>9026</v>
      </c>
      <c r="AC290" s="13"/>
      <c r="AD290" s="13"/>
      <c r="AE290" s="13"/>
      <c r="AF290" s="13"/>
      <c r="AG290" s="13"/>
      <c r="AH290" s="13"/>
      <c r="AI290" s="19"/>
      <c r="AJ290" s="14"/>
      <c r="AK290" s="13"/>
      <c r="AL290" s="13"/>
      <c r="AM290" s="13"/>
      <c r="AN290" s="13"/>
      <c r="AO290" s="13" t="s">
        <v>4144</v>
      </c>
      <c r="AP290" s="20">
        <v>96.2</v>
      </c>
      <c r="AQ290" s="20"/>
      <c r="AR290" s="92"/>
      <c r="AS290" s="125"/>
      <c r="AT290" s="22" t="s">
        <v>96</v>
      </c>
      <c r="AU290" s="13"/>
      <c r="AV290" s="13" t="s">
        <v>9039</v>
      </c>
      <c r="AW290" s="13"/>
      <c r="AX290" s="13"/>
      <c r="AY290" s="13"/>
      <c r="AZ290" s="13"/>
    </row>
    <row r="291" spans="1:52" ht="12.75">
      <c r="A291" s="12">
        <v>44910</v>
      </c>
      <c r="B291" s="27">
        <v>0.25</v>
      </c>
      <c r="C291" s="24" t="s">
        <v>93</v>
      </c>
      <c r="D291" s="31" t="s">
        <v>752</v>
      </c>
      <c r="E291" s="13"/>
      <c r="F291" s="14" t="s">
        <v>1744</v>
      </c>
      <c r="G291" s="13"/>
      <c r="H291" s="13"/>
      <c r="I291" s="13"/>
      <c r="J291" s="14"/>
      <c r="K291" s="14" t="s">
        <v>20</v>
      </c>
      <c r="L291" s="13"/>
      <c r="M291" s="13"/>
      <c r="N291" s="13"/>
      <c r="O291" s="14"/>
      <c r="P291" s="14"/>
      <c r="Q291" s="14"/>
      <c r="R291" s="14"/>
      <c r="S291" s="14"/>
      <c r="T291" s="14"/>
      <c r="U291" s="14"/>
      <c r="V291" s="14">
        <f>IF(ISBLANK(O291),,(IF(O291=UPPER("IB"),0.005,0.01)))</f>
        <v>0</v>
      </c>
      <c r="W291" s="14">
        <f>IF(ISBLANK(O291),,IF(O291=UPPER("IB"),8.63*200,16.65*100))</f>
        <v>0</v>
      </c>
      <c r="X291" s="17" t="s">
        <v>9040</v>
      </c>
      <c r="Y291" s="17"/>
      <c r="Z291" s="17"/>
      <c r="AA291" s="18">
        <v>96.12</v>
      </c>
      <c r="AB291" s="13" t="s">
        <v>9041</v>
      </c>
      <c r="AC291" s="13"/>
      <c r="AD291" s="13"/>
      <c r="AE291" s="13"/>
      <c r="AF291" s="13"/>
      <c r="AG291" s="13"/>
      <c r="AH291" s="13"/>
      <c r="AI291" s="19"/>
      <c r="AJ291" s="14"/>
      <c r="AK291" s="13"/>
      <c r="AL291" s="13"/>
      <c r="AM291" s="13"/>
      <c r="AN291" s="13"/>
      <c r="AO291" s="13"/>
      <c r="AP291" s="20"/>
      <c r="AQ291" s="20"/>
      <c r="AR291" s="92"/>
      <c r="AS291" s="125"/>
      <c r="AT291" s="22"/>
      <c r="AU291" s="13"/>
      <c r="AV291" s="13" t="s">
        <v>9042</v>
      </c>
      <c r="AW291" s="13" t="s">
        <v>9043</v>
      </c>
      <c r="AX291" s="13"/>
      <c r="AY291" s="13"/>
      <c r="AZ291" s="13"/>
    </row>
    <row r="292" spans="1:52" ht="12.75">
      <c r="A292" s="12"/>
      <c r="B292" s="24"/>
      <c r="C292" s="24"/>
      <c r="D292" s="31" t="s">
        <v>755</v>
      </c>
      <c r="E292" s="13"/>
      <c r="F292" s="14"/>
      <c r="G292" s="13"/>
      <c r="H292" s="13"/>
      <c r="I292" s="13"/>
      <c r="J292" s="14"/>
      <c r="K292" s="14"/>
      <c r="L292" s="13"/>
      <c r="M292" s="13"/>
      <c r="N292" s="13"/>
      <c r="O292" s="14"/>
      <c r="P292" s="14"/>
      <c r="Q292" s="14"/>
      <c r="R292" s="14"/>
      <c r="S292" s="14"/>
      <c r="T292" s="14"/>
      <c r="U292" s="14"/>
      <c r="V292" s="14">
        <f>IF(ISBLANK(O292),,(IF(O292=UPPER("IB"),0.005,0.01)))</f>
        <v>0</v>
      </c>
      <c r="W292" s="14">
        <f>IF(ISBLANK(O292),,IF(O292=UPPER("IB"),8.63*200,16.65*100))</f>
        <v>0</v>
      </c>
      <c r="X292" s="17"/>
      <c r="Y292" s="17"/>
      <c r="Z292" s="17"/>
      <c r="AA292" s="18"/>
      <c r="AB292" s="13"/>
      <c r="AC292" s="13"/>
      <c r="AD292" s="13"/>
      <c r="AE292" s="13"/>
      <c r="AF292" s="13"/>
      <c r="AG292" s="13"/>
      <c r="AH292" s="13"/>
      <c r="AI292" s="19"/>
      <c r="AJ292" s="14"/>
      <c r="AK292" s="13"/>
      <c r="AL292" s="13"/>
      <c r="AM292" s="13"/>
      <c r="AN292" s="13"/>
      <c r="AO292" s="13"/>
      <c r="AP292" s="20"/>
      <c r="AQ292" s="20"/>
      <c r="AR292" s="92"/>
      <c r="AS292" s="125"/>
      <c r="AT292" s="22"/>
      <c r="AU292" s="13"/>
      <c r="AV292" s="13"/>
      <c r="AW292" s="13"/>
      <c r="AX292" s="13"/>
      <c r="AY292" s="13"/>
      <c r="AZ292" s="13"/>
    </row>
    <row r="293" spans="1:52" ht="12.75">
      <c r="A293" s="12"/>
      <c r="B293" s="13"/>
      <c r="C293" s="13"/>
      <c r="D293" s="17"/>
      <c r="E293" s="13"/>
      <c r="F293" s="14"/>
      <c r="G293" s="13"/>
      <c r="H293" s="13"/>
      <c r="I293" s="13"/>
      <c r="J293" s="14"/>
      <c r="K293" s="14"/>
      <c r="L293" s="13"/>
      <c r="M293" s="13"/>
      <c r="N293" s="13"/>
      <c r="O293" s="14"/>
      <c r="P293" s="14"/>
      <c r="Q293" s="14"/>
      <c r="R293" s="14"/>
      <c r="S293" s="14"/>
      <c r="T293" s="14"/>
      <c r="U293" s="14"/>
      <c r="V293" s="14">
        <f>IF(ISBLANK(O293),,(IF(O293=UPPER("IB"),0.005,0.01)))</f>
        <v>0</v>
      </c>
      <c r="W293" s="14">
        <f>IF(ISBLANK(O293),,IF(O293=UPPER("IB"),8.63*200,16.65*100))</f>
        <v>0</v>
      </c>
      <c r="X293" s="17"/>
      <c r="Y293" s="17"/>
      <c r="Z293" s="17"/>
      <c r="AA293" s="18"/>
      <c r="AB293" s="13"/>
      <c r="AC293" s="13"/>
      <c r="AD293" s="13"/>
      <c r="AE293" s="13"/>
      <c r="AF293" s="13"/>
      <c r="AG293" s="13"/>
      <c r="AH293" s="13"/>
      <c r="AI293" s="19"/>
      <c r="AJ293" s="14"/>
      <c r="AK293" s="13"/>
      <c r="AL293" s="13"/>
      <c r="AM293" s="13"/>
      <c r="AN293" s="13"/>
      <c r="AO293" s="13"/>
      <c r="AP293" s="20"/>
      <c r="AQ293" s="20"/>
      <c r="AR293" s="92"/>
      <c r="AS293" s="125"/>
      <c r="AT293" s="22"/>
      <c r="AU293" s="30" t="s">
        <v>9044</v>
      </c>
      <c r="AV293" s="30" t="s">
        <v>9045</v>
      </c>
      <c r="AW293" s="30" t="s">
        <v>9046</v>
      </c>
      <c r="AX293" s="13"/>
      <c r="AY293" s="13"/>
      <c r="AZ293" s="13"/>
    </row>
    <row r="294" spans="1:52" ht="12.75">
      <c r="A294" s="81">
        <v>44980</v>
      </c>
      <c r="B294" s="119"/>
      <c r="C294" s="119"/>
      <c r="D294" s="130"/>
      <c r="E294" s="119"/>
      <c r="F294" s="131"/>
      <c r="G294" s="119"/>
      <c r="H294" s="119"/>
      <c r="I294" s="119"/>
      <c r="J294" s="119"/>
      <c r="K294" s="119"/>
      <c r="L294" s="119"/>
      <c r="M294" s="119"/>
      <c r="N294" s="119"/>
      <c r="O294" s="131"/>
      <c r="P294" s="131"/>
      <c r="Q294" s="131"/>
      <c r="R294" s="131"/>
      <c r="S294" s="131"/>
      <c r="T294" s="131"/>
      <c r="U294" s="131"/>
      <c r="V294" s="130"/>
      <c r="W294" s="130"/>
      <c r="X294" s="130"/>
      <c r="Y294" s="130"/>
      <c r="Z294" s="130"/>
      <c r="AA294" s="132"/>
      <c r="AB294" s="119"/>
      <c r="AC294" s="119"/>
      <c r="AD294" s="119"/>
      <c r="AE294" s="119"/>
      <c r="AF294" s="119"/>
      <c r="AG294" s="119"/>
      <c r="AH294" s="119"/>
      <c r="AI294" s="133"/>
      <c r="AJ294" s="131"/>
      <c r="AK294" s="119"/>
      <c r="AL294" s="119"/>
      <c r="AM294" s="119"/>
      <c r="AN294" s="119"/>
      <c r="AO294" s="119"/>
      <c r="AP294" s="134"/>
      <c r="AQ294" s="134"/>
      <c r="AR294" s="134"/>
      <c r="AS294" s="134"/>
      <c r="AT294" s="91"/>
      <c r="AU294" s="119"/>
      <c r="AV294" s="119"/>
      <c r="AW294" s="119"/>
      <c r="AX294" s="119"/>
      <c r="AY294" s="119"/>
      <c r="AZ294" s="119"/>
    </row>
    <row r="295" spans="1:52" ht="12.75">
      <c r="A295" s="12">
        <v>44985</v>
      </c>
      <c r="B295" s="13" t="s">
        <v>9047</v>
      </c>
      <c r="C295" s="13" t="s">
        <v>146</v>
      </c>
      <c r="D295" s="17"/>
      <c r="E295" s="13"/>
      <c r="F295" s="14" t="s">
        <v>2545</v>
      </c>
      <c r="G295" s="13"/>
      <c r="H295" s="13"/>
      <c r="I295" s="13"/>
      <c r="J295" s="14"/>
      <c r="K295" s="14"/>
      <c r="L295" s="13">
        <v>1</v>
      </c>
      <c r="M295" s="13"/>
      <c r="N295" s="13"/>
      <c r="O295" s="14" t="s">
        <v>95</v>
      </c>
      <c r="P295" s="14" t="s">
        <v>96</v>
      </c>
      <c r="Q295" s="14" t="s">
        <v>97</v>
      </c>
      <c r="R295" s="14">
        <v>1</v>
      </c>
      <c r="S295" s="14">
        <v>1</v>
      </c>
      <c r="T295" s="14">
        <v>1</v>
      </c>
      <c r="U295" s="14" t="s">
        <v>97</v>
      </c>
      <c r="V295" s="14">
        <f>IF(ISBLANK(O295),,(IF(O295=UPPER("IB"),0.005,0.01)))</f>
        <v>0.01</v>
      </c>
      <c r="W295" s="14">
        <f>IF(ISBLANK(O295),,IF(O295=UPPER("IB"),8.63*200,16.65*100))</f>
        <v>1664.9999999999998</v>
      </c>
      <c r="X295" s="17"/>
      <c r="Y295" s="17"/>
      <c r="Z295" s="17" t="s">
        <v>9048</v>
      </c>
      <c r="AA295" s="18">
        <v>0.24</v>
      </c>
      <c r="AB295" s="13"/>
      <c r="AC295" s="13"/>
      <c r="AD295" s="13"/>
      <c r="AE295" s="13"/>
      <c r="AF295" s="13"/>
      <c r="AG295" s="13"/>
      <c r="AH295" s="13"/>
      <c r="AI295" s="19"/>
      <c r="AJ295" s="14"/>
      <c r="AK295" s="13"/>
      <c r="AL295" s="13"/>
      <c r="AM295" s="13"/>
      <c r="AN295" s="13"/>
      <c r="AO295" s="13"/>
      <c r="AP295" s="20">
        <v>0.27</v>
      </c>
      <c r="AQ295" s="20">
        <f t="shared" ref="AQ295" si="79">IF(ISBLANK(AP295),,IF(U295="S",AA295-AP295,AP295-AA295))</f>
        <v>-3.0000000000000027E-2</v>
      </c>
      <c r="AR295" s="92">
        <f t="shared" ref="AR295" si="80">AS295*R295</f>
        <v>-49.950000000000038</v>
      </c>
      <c r="AS295" s="125">
        <f t="shared" ref="AS295" si="81">IF(ISBLANK(AP295),,(AQ295*W295))</f>
        <v>-49.950000000000038</v>
      </c>
      <c r="AT295" s="22" t="s">
        <v>229</v>
      </c>
      <c r="AU295" s="13" t="s">
        <v>9049</v>
      </c>
      <c r="AV295" s="13"/>
      <c r="AW295" s="13"/>
      <c r="AX295" s="13"/>
      <c r="AY295" s="13"/>
      <c r="AZ295" s="13"/>
    </row>
    <row r="296" spans="1:52" ht="12.75">
      <c r="A296" s="326">
        <v>45008</v>
      </c>
      <c r="B296" s="119"/>
      <c r="C296" s="119"/>
      <c r="D296" s="130"/>
      <c r="E296" s="119"/>
      <c r="F296" s="131"/>
      <c r="G296" s="119"/>
      <c r="H296" s="119"/>
      <c r="I296" s="119"/>
      <c r="J296" s="119"/>
      <c r="K296" s="119"/>
      <c r="L296" s="119"/>
      <c r="M296" s="119"/>
      <c r="N296" s="119"/>
      <c r="O296" s="131"/>
      <c r="P296" s="131"/>
      <c r="Q296" s="131"/>
      <c r="R296" s="131"/>
      <c r="S296" s="131"/>
      <c r="T296" s="131"/>
      <c r="U296" s="131"/>
      <c r="V296" s="130"/>
      <c r="W296" s="130"/>
      <c r="X296" s="130"/>
      <c r="Y296" s="130"/>
      <c r="Z296" s="130"/>
      <c r="AA296" s="132"/>
      <c r="AB296" s="119"/>
      <c r="AC296" s="119"/>
      <c r="AD296" s="119"/>
      <c r="AE296" s="119"/>
      <c r="AF296" s="119"/>
      <c r="AG296" s="119"/>
      <c r="AH296" s="119"/>
      <c r="AI296" s="133"/>
      <c r="AJ296" s="131"/>
      <c r="AK296" s="119"/>
      <c r="AL296" s="119"/>
      <c r="AM296" s="119"/>
      <c r="AN296" s="119"/>
      <c r="AO296" s="119"/>
      <c r="AP296" s="134"/>
      <c r="AQ296" s="134"/>
      <c r="AR296" s="134"/>
      <c r="AS296" s="134"/>
      <c r="AT296" s="91"/>
      <c r="AU296" s="119"/>
      <c r="AV296" s="119"/>
      <c r="AW296" s="119"/>
      <c r="AX296" s="119"/>
      <c r="AY296" s="119"/>
      <c r="AZ296" s="119"/>
    </row>
    <row r="297" spans="1:52" ht="12.75">
      <c r="A297" s="12">
        <v>44986</v>
      </c>
      <c r="B297" s="13" t="s">
        <v>2235</v>
      </c>
      <c r="C297" s="13"/>
      <c r="D297" s="17"/>
      <c r="E297" s="13"/>
      <c r="F297" s="14" t="s">
        <v>831</v>
      </c>
      <c r="G297" s="13"/>
      <c r="H297" s="13"/>
      <c r="I297" s="13"/>
      <c r="J297" s="14"/>
      <c r="K297" s="14"/>
      <c r="L297" s="13">
        <v>1</v>
      </c>
      <c r="M297" s="13"/>
      <c r="N297" s="13"/>
      <c r="O297" s="14" t="s">
        <v>95</v>
      </c>
      <c r="P297" s="14" t="s">
        <v>137</v>
      </c>
      <c r="Q297" s="14" t="s">
        <v>684</v>
      </c>
      <c r="R297" s="14">
        <v>7</v>
      </c>
      <c r="S297" s="14">
        <v>7</v>
      </c>
      <c r="T297" s="14">
        <v>7</v>
      </c>
      <c r="U297" s="14" t="s">
        <v>97</v>
      </c>
      <c r="V297" s="14">
        <f t="shared" ref="V297" si="82">IF(ISBLANK(O297),,(IF(O297=UPPER("IB"),0.005,0.01)))</f>
        <v>0.01</v>
      </c>
      <c r="W297" s="14">
        <f t="shared" ref="W297" si="83">IF(ISBLANK(O297),,IF(O297=UPPER("IB"),8.63*200,16.65*100))</f>
        <v>1664.9999999999998</v>
      </c>
      <c r="X297" s="17" t="s">
        <v>9050</v>
      </c>
      <c r="Y297" s="17"/>
      <c r="Z297" s="17"/>
      <c r="AA297" s="18">
        <v>95.74</v>
      </c>
      <c r="AB297" s="13"/>
      <c r="AC297" s="13"/>
      <c r="AD297" s="13"/>
      <c r="AE297" s="13"/>
      <c r="AF297" s="13"/>
      <c r="AG297" s="13"/>
      <c r="AH297" s="13"/>
      <c r="AI297" s="19"/>
      <c r="AJ297" s="14"/>
      <c r="AK297" s="13"/>
      <c r="AL297" s="13"/>
      <c r="AM297" s="13"/>
      <c r="AN297" s="13"/>
      <c r="AO297" s="13"/>
      <c r="AP297" s="20"/>
      <c r="AQ297" s="20"/>
      <c r="AR297" s="92"/>
      <c r="AS297" s="125"/>
      <c r="AT297" s="22"/>
      <c r="AU297" s="13"/>
      <c r="AV297" s="13"/>
      <c r="AW297" s="13"/>
      <c r="AX297" s="13"/>
      <c r="AY297" s="13"/>
      <c r="AZ297" s="13"/>
    </row>
    <row r="298" spans="1:52" ht="12.75">
      <c r="A298" s="12">
        <v>44987</v>
      </c>
      <c r="B298" s="13" t="s">
        <v>6104</v>
      </c>
      <c r="C298" s="13"/>
      <c r="D298" s="17"/>
      <c r="E298" s="13"/>
      <c r="F298" s="14" t="s">
        <v>2545</v>
      </c>
      <c r="G298" s="13"/>
      <c r="H298" s="13"/>
      <c r="I298" s="13"/>
      <c r="J298" s="14"/>
      <c r="K298" s="14"/>
      <c r="L298" s="13">
        <v>1</v>
      </c>
      <c r="M298" s="13"/>
      <c r="N298" s="13"/>
      <c r="O298" s="14" t="s">
        <v>95</v>
      </c>
      <c r="P298" s="14" t="s">
        <v>96</v>
      </c>
      <c r="Q298" s="14" t="s">
        <v>97</v>
      </c>
      <c r="R298" s="14">
        <v>1</v>
      </c>
      <c r="S298" s="14">
        <v>1</v>
      </c>
      <c r="T298" s="14">
        <v>1</v>
      </c>
      <c r="U298" s="14" t="s">
        <v>22</v>
      </c>
      <c r="V298" s="14">
        <f t="shared" ref="V298" si="84">IF(ISBLANK(O298),,(IF(O298=UPPER("IB"),0.005,0.01)))</f>
        <v>0.01</v>
      </c>
      <c r="W298" s="14">
        <f t="shared" ref="W298" si="85">IF(ISBLANK(O298),,IF(O298=UPPER("IB"),8.63*200,16.65*100))</f>
        <v>1664.9999999999998</v>
      </c>
      <c r="X298" s="17"/>
      <c r="Y298" s="17" t="s">
        <v>9051</v>
      </c>
      <c r="Z298" s="17"/>
      <c r="AA298" s="18">
        <f>(96.44-96.155)</f>
        <v>0.28499999999999659</v>
      </c>
      <c r="AB298" s="13"/>
      <c r="AC298" s="13"/>
      <c r="AD298" s="13"/>
      <c r="AE298" s="13"/>
      <c r="AF298" s="13"/>
      <c r="AG298" s="13"/>
      <c r="AH298" s="13"/>
      <c r="AI298" s="19"/>
      <c r="AJ298" s="14"/>
      <c r="AK298" s="13"/>
      <c r="AL298" s="13"/>
      <c r="AM298" s="13"/>
      <c r="AN298" s="13"/>
      <c r="AO298" s="13"/>
      <c r="AP298" s="20">
        <v>0.25</v>
      </c>
      <c r="AQ298" s="20">
        <f t="shared" ref="AQ298" si="86">IF(ISBLANK(AP298),,IF(U298="S",AA298-AP298,AP298-AA298))</f>
        <v>-3.4999999999996589E-2</v>
      </c>
      <c r="AR298" s="92">
        <f t="shared" ref="AR298" si="87">AS298*R298</f>
        <v>-58.274999999994314</v>
      </c>
      <c r="AS298" s="125">
        <f t="shared" ref="AS298" si="88">IF(ISBLANK(AP298),,(AQ298*W298))</f>
        <v>-58.274999999994314</v>
      </c>
      <c r="AT298" s="22" t="s">
        <v>229</v>
      </c>
      <c r="AU298" s="13" t="s">
        <v>9052</v>
      </c>
      <c r="AV298" s="13"/>
      <c r="AW298" s="13"/>
      <c r="AX298" s="13"/>
      <c r="AY298" s="13"/>
      <c r="AZ298" s="13"/>
    </row>
    <row r="299" spans="1:52" ht="12.75">
      <c r="A299" s="12">
        <v>44991</v>
      </c>
      <c r="B299" s="13" t="s">
        <v>9053</v>
      </c>
      <c r="C299" s="13" t="s">
        <v>132</v>
      </c>
      <c r="D299" s="17"/>
      <c r="E299" s="13"/>
      <c r="F299" s="14" t="s">
        <v>2545</v>
      </c>
      <c r="G299" s="13"/>
      <c r="H299" s="13"/>
      <c r="I299" s="13"/>
      <c r="J299" s="14"/>
      <c r="K299" s="14"/>
      <c r="L299" s="13"/>
      <c r="M299" s="13"/>
      <c r="N299" s="13"/>
      <c r="O299" s="14"/>
      <c r="P299" s="14"/>
      <c r="Q299" s="14"/>
      <c r="R299" s="14"/>
      <c r="S299" s="14"/>
      <c r="T299" s="14"/>
      <c r="U299" s="14"/>
      <c r="V299" s="14">
        <f t="shared" ref="V299:V300" si="89">IF(ISBLANK(O299),,(IF(O299=UPPER("IB"),0.005,0.01)))</f>
        <v>0</v>
      </c>
      <c r="W299" s="14">
        <f t="shared" ref="W299:W300" si="90">IF(ISBLANK(O299),,IF(O299=UPPER("IB"),8.63*200,16.65*100))</f>
        <v>0</v>
      </c>
      <c r="X299" s="17"/>
      <c r="Y299" s="17"/>
      <c r="Z299" s="17"/>
      <c r="AA299" s="18"/>
      <c r="AB299" s="13"/>
      <c r="AC299" s="13"/>
      <c r="AD299" s="13"/>
      <c r="AE299" s="13"/>
      <c r="AF299" s="13"/>
      <c r="AG299" s="13"/>
      <c r="AH299" s="13"/>
      <c r="AI299" s="19"/>
      <c r="AJ299" s="14"/>
      <c r="AK299" s="13"/>
      <c r="AL299" s="13"/>
      <c r="AM299" s="13"/>
      <c r="AN299" s="13"/>
      <c r="AO299" s="13"/>
      <c r="AP299" s="20"/>
      <c r="AQ299" s="20">
        <f t="shared" ref="AQ299:AQ300" si="91">IF(ISBLANK(AP299),,IF(U299="S",AA299-AP299,AP299-AA299))</f>
        <v>0</v>
      </c>
      <c r="AR299" s="92">
        <f t="shared" ref="AR299:AR300" si="92">AS299*R299</f>
        <v>0</v>
      </c>
      <c r="AS299" s="125">
        <f t="shared" ref="AS299:AS300" si="93">IF(ISBLANK(AP299),,(AQ299*W299))</f>
        <v>0</v>
      </c>
      <c r="AT299" s="22"/>
      <c r="AU299" s="13" t="s">
        <v>9054</v>
      </c>
      <c r="AV299" s="13"/>
      <c r="AW299" s="13"/>
      <c r="AX299" s="13" t="s">
        <v>9055</v>
      </c>
      <c r="AY299" s="13"/>
      <c r="AZ299" s="13"/>
    </row>
    <row r="300" spans="1:52" ht="12.75">
      <c r="A300" s="12">
        <v>44993</v>
      </c>
      <c r="B300" s="13" t="s">
        <v>9056</v>
      </c>
      <c r="C300" s="13" t="s">
        <v>151</v>
      </c>
      <c r="D300" s="17"/>
      <c r="E300" s="13"/>
      <c r="F300" s="14" t="s">
        <v>2545</v>
      </c>
      <c r="G300" s="13"/>
      <c r="H300" s="13"/>
      <c r="I300" s="13"/>
      <c r="J300" s="14"/>
      <c r="K300" s="14"/>
      <c r="L300" s="13">
        <v>1</v>
      </c>
      <c r="M300" s="13">
        <v>1</v>
      </c>
      <c r="N300" s="13"/>
      <c r="O300" s="14" t="s">
        <v>95</v>
      </c>
      <c r="P300" s="14" t="s">
        <v>96</v>
      </c>
      <c r="Q300" s="14" t="s">
        <v>97</v>
      </c>
      <c r="R300" s="14">
        <v>1</v>
      </c>
      <c r="S300" s="14">
        <v>1</v>
      </c>
      <c r="T300" s="14">
        <v>1</v>
      </c>
      <c r="U300" s="14" t="s">
        <v>22</v>
      </c>
      <c r="V300" s="14">
        <f t="shared" si="89"/>
        <v>0.01</v>
      </c>
      <c r="W300" s="14">
        <f t="shared" si="90"/>
        <v>1664.9999999999998</v>
      </c>
      <c r="X300" s="17"/>
      <c r="Y300" s="17" t="s">
        <v>9057</v>
      </c>
      <c r="Z300" s="17" t="s">
        <v>529</v>
      </c>
      <c r="AA300" s="18">
        <v>0.27</v>
      </c>
      <c r="AB300" s="13"/>
      <c r="AC300" s="13">
        <v>0.24</v>
      </c>
      <c r="AD300" s="13" t="s">
        <v>739</v>
      </c>
      <c r="AE300" s="13">
        <v>0.31</v>
      </c>
      <c r="AF300" s="13" t="s">
        <v>9058</v>
      </c>
      <c r="AG300" s="13" t="s">
        <v>529</v>
      </c>
      <c r="AH300" s="13"/>
      <c r="AI300" s="19"/>
      <c r="AJ300" s="14"/>
      <c r="AK300" s="13"/>
      <c r="AL300" s="13"/>
      <c r="AM300" s="13"/>
      <c r="AN300" s="13"/>
      <c r="AO300" s="13"/>
      <c r="AP300" s="20">
        <v>0.29499999999999998</v>
      </c>
      <c r="AQ300" s="20">
        <f t="shared" si="91"/>
        <v>2.4999999999999967E-2</v>
      </c>
      <c r="AR300" s="92">
        <f t="shared" si="92"/>
        <v>41.624999999999936</v>
      </c>
      <c r="AS300" s="125">
        <f t="shared" si="93"/>
        <v>41.624999999999936</v>
      </c>
      <c r="AT300" s="22" t="s">
        <v>96</v>
      </c>
      <c r="AU300" s="13"/>
      <c r="AV300" s="13"/>
      <c r="AW300" s="13"/>
      <c r="AX300" s="13"/>
      <c r="AY300" s="13"/>
      <c r="AZ300" s="13"/>
    </row>
    <row r="301" spans="1:52" ht="12.75">
      <c r="A301" s="12">
        <v>45005</v>
      </c>
      <c r="B301" s="13" t="s">
        <v>2860</v>
      </c>
      <c r="C301" s="13" t="s">
        <v>132</v>
      </c>
      <c r="D301" s="17"/>
      <c r="E301" s="13"/>
      <c r="F301" s="14" t="s">
        <v>9059</v>
      </c>
      <c r="G301" s="13"/>
      <c r="H301" s="13"/>
      <c r="I301" s="13"/>
      <c r="J301" s="14"/>
      <c r="K301" s="14"/>
      <c r="L301" s="13"/>
      <c r="M301" s="13"/>
      <c r="N301" s="13"/>
      <c r="O301" s="14" t="s">
        <v>2432</v>
      </c>
      <c r="P301" s="14"/>
      <c r="Q301" s="14"/>
      <c r="R301" s="14">
        <v>1</v>
      </c>
      <c r="S301" s="14">
        <v>1</v>
      </c>
      <c r="T301" s="14">
        <v>1</v>
      </c>
      <c r="U301" s="14" t="s">
        <v>97</v>
      </c>
      <c r="V301" s="14">
        <f t="shared" ref="V301:V302" si="94">IF(ISBLANK(O301),,(IF(O301=UPPER("IB"),0.005,0.01)))</f>
        <v>0.01</v>
      </c>
      <c r="W301" s="14">
        <f t="shared" ref="W301:W306" si="95">IF(ISBLANK(O301),,IF(O301=UPPER("IB"),8.63*200,16.65*100))</f>
        <v>1664.9999999999998</v>
      </c>
      <c r="X301" s="17" t="s">
        <v>9060</v>
      </c>
      <c r="Y301" s="17"/>
      <c r="Z301" s="17"/>
      <c r="AA301" s="18">
        <v>97.19</v>
      </c>
      <c r="AB301" s="13"/>
      <c r="AC301" s="13">
        <v>97.23</v>
      </c>
      <c r="AD301" s="13" t="s">
        <v>9061</v>
      </c>
      <c r="AE301" s="13">
        <v>97.13</v>
      </c>
      <c r="AF301" s="13"/>
      <c r="AG301" s="13"/>
      <c r="AH301" s="329" t="s">
        <v>9062</v>
      </c>
      <c r="AI301" s="19"/>
      <c r="AJ301" s="14"/>
      <c r="AK301" s="13"/>
      <c r="AL301" s="13"/>
      <c r="AM301" s="13"/>
      <c r="AN301" s="13"/>
      <c r="AO301" s="13" t="s">
        <v>5427</v>
      </c>
      <c r="AP301" s="20">
        <v>97.31</v>
      </c>
      <c r="AQ301" s="20">
        <f t="shared" ref="AQ301" si="96">IF(ISBLANK(AP301),,IF(U301="S",AA301-AP301,AP301-AA301))</f>
        <v>-0.12000000000000455</v>
      </c>
      <c r="AR301" s="92">
        <f t="shared" ref="AR301" si="97">AS301*R301</f>
        <v>-199.80000000000754</v>
      </c>
      <c r="AS301" s="125">
        <f t="shared" ref="AS301" si="98">IF(ISBLANK(AP301),,(AQ301*W301))</f>
        <v>-199.80000000000754</v>
      </c>
      <c r="AT301" s="22" t="s">
        <v>229</v>
      </c>
      <c r="AU301" s="13"/>
      <c r="AV301" s="13"/>
      <c r="AW301" s="13"/>
      <c r="AX301" s="13"/>
      <c r="AY301" s="13"/>
      <c r="AZ301" s="13"/>
    </row>
    <row r="302" spans="1:52" ht="12.75">
      <c r="A302" s="12">
        <v>45009</v>
      </c>
      <c r="B302" s="13" t="s">
        <v>2081</v>
      </c>
      <c r="C302" s="13" t="s">
        <v>111</v>
      </c>
      <c r="D302" s="17"/>
      <c r="E302" s="13"/>
      <c r="F302" s="14" t="s">
        <v>9063</v>
      </c>
      <c r="G302" s="13"/>
      <c r="H302" s="13"/>
      <c r="I302" s="13"/>
      <c r="J302" s="14"/>
      <c r="K302" s="14"/>
      <c r="L302" s="13">
        <v>1</v>
      </c>
      <c r="M302" s="13"/>
      <c r="N302" s="13"/>
      <c r="O302" s="14" t="s">
        <v>2432</v>
      </c>
      <c r="P302" s="14" t="s">
        <v>96</v>
      </c>
      <c r="Q302" s="14" t="s">
        <v>97</v>
      </c>
      <c r="R302" s="14">
        <v>1</v>
      </c>
      <c r="S302" s="14">
        <v>1</v>
      </c>
      <c r="T302" s="14">
        <v>1</v>
      </c>
      <c r="U302" s="14" t="s">
        <v>22</v>
      </c>
      <c r="V302" s="14">
        <f t="shared" si="94"/>
        <v>0.01</v>
      </c>
      <c r="W302" s="14">
        <f t="shared" si="95"/>
        <v>1664.9999999999998</v>
      </c>
      <c r="X302" s="17"/>
      <c r="Y302" s="17" t="s">
        <v>9064</v>
      </c>
      <c r="Z302" s="17" t="s">
        <v>529</v>
      </c>
      <c r="AA302" s="18">
        <v>0.41499999999999998</v>
      </c>
      <c r="AB302" s="13"/>
      <c r="AC302" s="13"/>
      <c r="AD302" s="13"/>
      <c r="AE302" s="13"/>
      <c r="AF302" s="13"/>
      <c r="AG302" s="13"/>
      <c r="AH302" s="13"/>
      <c r="AI302" s="19"/>
      <c r="AJ302" s="14"/>
      <c r="AK302" s="13"/>
      <c r="AL302" s="13"/>
      <c r="AM302" s="13"/>
      <c r="AN302" s="13"/>
      <c r="AO302" s="13" t="s">
        <v>9065</v>
      </c>
      <c r="AP302" s="20">
        <v>0.41</v>
      </c>
      <c r="AQ302" s="20">
        <f t="shared" ref="AQ302:AQ303" si="99">IF(ISBLANK(AP302),,IF(U302="S",AA302-AP302,AP302-AA302))</f>
        <v>-5.0000000000000044E-3</v>
      </c>
      <c r="AR302" s="92">
        <f t="shared" ref="AR302:AR303" si="100">AS302*R302</f>
        <v>-8.3250000000000064</v>
      </c>
      <c r="AS302" s="125">
        <f t="shared" ref="AS302:AS303" si="101">IF(ISBLANK(AP302),,(AQ302*W302))</f>
        <v>-8.3250000000000064</v>
      </c>
      <c r="AT302" s="22"/>
      <c r="AU302" s="13"/>
      <c r="AV302" s="13"/>
      <c r="AW302" s="13"/>
      <c r="AX302" s="13"/>
      <c r="AY302" s="13"/>
      <c r="AZ302" s="13"/>
    </row>
    <row r="303" spans="1:52" ht="12.75">
      <c r="A303" s="12"/>
      <c r="B303" s="13"/>
      <c r="C303" s="13"/>
      <c r="D303" s="17"/>
      <c r="E303" s="13"/>
      <c r="F303" s="14" t="s">
        <v>9066</v>
      </c>
      <c r="G303" s="13"/>
      <c r="H303" s="13"/>
      <c r="I303" s="13"/>
      <c r="J303" s="14"/>
      <c r="K303" s="14"/>
      <c r="L303" s="13">
        <v>1</v>
      </c>
      <c r="M303" s="13"/>
      <c r="N303" s="13"/>
      <c r="O303" s="14" t="s">
        <v>2432</v>
      </c>
      <c r="P303" s="14" t="s">
        <v>96</v>
      </c>
      <c r="Q303" s="14" t="s">
        <v>97</v>
      </c>
      <c r="R303" s="14">
        <v>1</v>
      </c>
      <c r="S303" s="14">
        <v>1</v>
      </c>
      <c r="T303" s="14">
        <v>1</v>
      </c>
      <c r="U303" s="14" t="s">
        <v>22</v>
      </c>
      <c r="V303" s="14">
        <f t="shared" ref="V303" si="102">IF(ISBLANK(O303),,(IF(O303=UPPER("IB"),0.005,0.01)))</f>
        <v>0.01</v>
      </c>
      <c r="W303" s="14">
        <f t="shared" si="95"/>
        <v>1664.9999999999998</v>
      </c>
      <c r="X303" s="17"/>
      <c r="Y303" s="17" t="s">
        <v>9067</v>
      </c>
      <c r="Z303" s="17" t="s">
        <v>529</v>
      </c>
      <c r="AA303" s="18">
        <v>97.18</v>
      </c>
      <c r="AB303" s="13"/>
      <c r="AC303" s="13"/>
      <c r="AD303" s="13"/>
      <c r="AE303" s="13"/>
      <c r="AF303" s="13"/>
      <c r="AG303" s="13"/>
      <c r="AH303" s="13"/>
      <c r="AI303" s="19"/>
      <c r="AJ303" s="14"/>
      <c r="AK303" s="13"/>
      <c r="AL303" s="13"/>
      <c r="AM303" s="13"/>
      <c r="AN303" s="13"/>
      <c r="AO303" s="13"/>
      <c r="AP303" s="20">
        <v>97.3</v>
      </c>
      <c r="AQ303" s="20">
        <f t="shared" si="99"/>
        <v>0.11999999999999034</v>
      </c>
      <c r="AR303" s="92">
        <f t="shared" si="100"/>
        <v>199.7999999999839</v>
      </c>
      <c r="AS303" s="125">
        <f t="shared" si="101"/>
        <v>199.7999999999839</v>
      </c>
      <c r="AT303" s="22" t="s">
        <v>96</v>
      </c>
      <c r="AU303" s="13"/>
      <c r="AV303" s="13"/>
      <c r="AW303" s="13"/>
      <c r="AX303" s="13"/>
      <c r="AY303" s="13"/>
      <c r="AZ303" s="13"/>
    </row>
    <row r="304" spans="1:52" ht="12.75">
      <c r="A304" s="12">
        <v>45013</v>
      </c>
      <c r="B304" s="13"/>
      <c r="C304" s="13"/>
      <c r="D304" s="17"/>
      <c r="E304" s="13"/>
      <c r="F304" s="14" t="s">
        <v>9068</v>
      </c>
      <c r="G304" s="13"/>
      <c r="H304" s="13"/>
      <c r="I304" s="13"/>
      <c r="J304" s="14"/>
      <c r="K304" s="14"/>
      <c r="L304" s="13">
        <v>1</v>
      </c>
      <c r="M304" s="13"/>
      <c r="N304" s="13"/>
      <c r="O304" s="14" t="s">
        <v>2432</v>
      </c>
      <c r="P304" s="14" t="s">
        <v>96</v>
      </c>
      <c r="Q304" s="14" t="s">
        <v>97</v>
      </c>
      <c r="R304" s="14">
        <v>2</v>
      </c>
      <c r="S304" s="14">
        <v>2</v>
      </c>
      <c r="T304" s="14">
        <v>2</v>
      </c>
      <c r="U304" s="14" t="s">
        <v>22</v>
      </c>
      <c r="V304" s="14">
        <f t="shared" ref="V304" si="103">IF(ISBLANK(O304),,(IF(O304=UPPER("IB"),0.005,0.01)))</f>
        <v>0.01</v>
      </c>
      <c r="W304" s="14">
        <f t="shared" si="95"/>
        <v>1664.9999999999998</v>
      </c>
      <c r="X304" s="17" t="s">
        <v>9069</v>
      </c>
      <c r="Y304" s="17"/>
      <c r="Z304" s="17"/>
      <c r="AA304" s="18">
        <v>97.075000000000003</v>
      </c>
      <c r="AB304" s="13"/>
      <c r="AC304" s="13"/>
      <c r="AD304" s="13"/>
      <c r="AE304" s="13"/>
      <c r="AF304" s="13"/>
      <c r="AG304" s="13"/>
      <c r="AH304" s="13"/>
      <c r="AI304" s="19"/>
      <c r="AJ304" s="14"/>
      <c r="AK304" s="13"/>
      <c r="AL304" s="13"/>
      <c r="AM304" s="13"/>
      <c r="AN304" s="13"/>
      <c r="AO304" s="13" t="s">
        <v>9070</v>
      </c>
      <c r="AP304" s="20">
        <v>97.12</v>
      </c>
      <c r="AQ304" s="20">
        <f t="shared" ref="AQ304" si="104">IF(ISBLANK(AP304),,IF(U304="S",AA304-AP304,AP304-AA304))</f>
        <v>4.5000000000001705E-2</v>
      </c>
      <c r="AR304" s="92">
        <f t="shared" ref="AR304" si="105">AS304*R304</f>
        <v>149.85000000000565</v>
      </c>
      <c r="AS304" s="125">
        <f t="shared" ref="AS304" si="106">IF(ISBLANK(AP304),,(AQ304*W304))</f>
        <v>74.925000000002825</v>
      </c>
      <c r="AT304" s="22" t="s">
        <v>96</v>
      </c>
      <c r="AU304" s="13"/>
      <c r="AV304" s="13"/>
      <c r="AW304" s="13"/>
      <c r="AX304" s="13"/>
      <c r="AY304" s="13"/>
      <c r="AZ304" s="13"/>
    </row>
    <row r="305" spans="1:55" ht="12.75">
      <c r="A305" s="336" t="s">
        <v>1523</v>
      </c>
      <c r="B305" s="200">
        <v>45015</v>
      </c>
      <c r="C305" s="201" t="s">
        <v>1728</v>
      </c>
      <c r="D305" s="201" t="s">
        <v>93</v>
      </c>
      <c r="E305" s="247" t="s">
        <v>2026</v>
      </c>
      <c r="F305" s="203" t="s">
        <v>9071</v>
      </c>
      <c r="G305" s="204"/>
      <c r="H305" s="205">
        <v>1</v>
      </c>
      <c r="I305" s="205"/>
      <c r="J305" s="205"/>
      <c r="K305" s="206"/>
      <c r="L305" s="205"/>
      <c r="M305" s="205"/>
      <c r="N305" s="205"/>
      <c r="O305" s="14"/>
      <c r="P305" s="206"/>
      <c r="Q305" s="206"/>
      <c r="R305" s="206"/>
      <c r="S305" s="206"/>
      <c r="T305" s="206"/>
      <c r="U305" s="206"/>
      <c r="V305" s="14">
        <f t="shared" ref="V305:V308" si="107">IF(ISBLANK(O305),,(IF(O305=UPPER("IB"),0.005,0.01)))</f>
        <v>0</v>
      </c>
      <c r="W305" s="14">
        <f t="shared" si="95"/>
        <v>0</v>
      </c>
      <c r="X305" s="208"/>
      <c r="Y305" s="208"/>
      <c r="Z305" s="208"/>
      <c r="AA305" s="209"/>
      <c r="AB305" s="205"/>
      <c r="AC305" s="333"/>
      <c r="AD305" s="205"/>
      <c r="AE305" s="205"/>
      <c r="AF305" s="205"/>
      <c r="AG305" s="205"/>
      <c r="AH305" s="205"/>
      <c r="AI305" s="210"/>
      <c r="AJ305" s="206"/>
      <c r="AK305" s="205"/>
      <c r="AL305" s="205"/>
      <c r="AM305" s="205"/>
      <c r="AN305" s="205"/>
      <c r="AO305" s="205"/>
      <c r="AP305" s="211"/>
      <c r="AQ305" s="20">
        <f t="shared" ref="AQ305:AQ313" si="108">IF(ISBLANK(AP305),,IF(U305="S",AA305-AP305,AP305-AA305))</f>
        <v>0</v>
      </c>
      <c r="AR305" s="92">
        <f t="shared" ref="AR305:AR313" si="109">AS305*R305</f>
        <v>0</v>
      </c>
      <c r="AS305" s="125">
        <f t="shared" ref="AS305:AS313" si="110">IF(ISBLANK(AP305),,(AQ305*W305))</f>
        <v>0</v>
      </c>
      <c r="AT305" s="213"/>
      <c r="AU305" s="205"/>
      <c r="AV305" s="205"/>
      <c r="AW305" s="205"/>
      <c r="AX305" s="319"/>
      <c r="AY305" s="319"/>
      <c r="AZ305" s="319"/>
      <c r="BA305" s="319"/>
      <c r="BB305" s="319"/>
      <c r="BC305" s="319"/>
    </row>
    <row r="306" spans="1:55" ht="12.75">
      <c r="A306" s="336" t="s">
        <v>1523</v>
      </c>
      <c r="B306" s="200"/>
      <c r="C306" s="201"/>
      <c r="D306" s="201"/>
      <c r="E306" s="247" t="s">
        <v>2028</v>
      </c>
      <c r="F306" s="203"/>
      <c r="G306" s="204"/>
      <c r="H306" s="205"/>
      <c r="I306" s="205"/>
      <c r="J306" s="205">
        <v>1</v>
      </c>
      <c r="K306" s="206"/>
      <c r="L306" s="205"/>
      <c r="M306" s="205"/>
      <c r="N306" s="205"/>
      <c r="O306" s="14"/>
      <c r="P306" s="206"/>
      <c r="Q306" s="206"/>
      <c r="R306" s="206"/>
      <c r="S306" s="206"/>
      <c r="T306" s="206"/>
      <c r="U306" s="206"/>
      <c r="V306" s="14">
        <f t="shared" si="107"/>
        <v>0</v>
      </c>
      <c r="W306" s="14">
        <f t="shared" si="95"/>
        <v>0</v>
      </c>
      <c r="X306" s="208"/>
      <c r="Y306" s="208"/>
      <c r="Z306" s="208"/>
      <c r="AA306" s="209"/>
      <c r="AB306" s="205"/>
      <c r="AC306" s="333"/>
      <c r="AD306" s="205"/>
      <c r="AE306" s="205"/>
      <c r="AF306" s="205"/>
      <c r="AG306" s="205"/>
      <c r="AH306" s="205"/>
      <c r="AI306" s="210"/>
      <c r="AJ306" s="206"/>
      <c r="AK306" s="205"/>
      <c r="AL306" s="205"/>
      <c r="AM306" s="205"/>
      <c r="AN306" s="205"/>
      <c r="AO306" s="205"/>
      <c r="AP306" s="211"/>
      <c r="AQ306" s="20">
        <f t="shared" si="108"/>
        <v>0</v>
      </c>
      <c r="AR306" s="92">
        <f t="shared" si="109"/>
        <v>0</v>
      </c>
      <c r="AS306" s="125">
        <f t="shared" si="110"/>
        <v>0</v>
      </c>
      <c r="AT306" s="213"/>
      <c r="AU306" s="205"/>
      <c r="AV306" s="205"/>
      <c r="AW306" s="205"/>
      <c r="AX306" s="319"/>
      <c r="AY306" s="319"/>
      <c r="AZ306" s="319"/>
      <c r="BA306" s="319"/>
      <c r="BB306" s="319"/>
      <c r="BC306" s="319"/>
    </row>
    <row r="307" spans="1:55" ht="12.75">
      <c r="A307" s="339">
        <v>45015</v>
      </c>
      <c r="B307" s="339"/>
      <c r="C307" s="340"/>
      <c r="D307" s="340"/>
      <c r="E307" s="341"/>
      <c r="F307" s="14" t="s">
        <v>9072</v>
      </c>
      <c r="G307" s="342"/>
      <c r="H307" s="343"/>
      <c r="I307" s="343"/>
      <c r="J307" s="343"/>
      <c r="K307" s="344"/>
      <c r="L307" s="343"/>
      <c r="M307" s="343"/>
      <c r="N307" s="343"/>
      <c r="O307" s="14"/>
      <c r="P307" s="344"/>
      <c r="Q307" s="344"/>
      <c r="R307" s="344"/>
      <c r="S307" s="344"/>
      <c r="T307" s="344"/>
      <c r="U307" s="344"/>
      <c r="V307" s="14"/>
      <c r="W307" s="14"/>
      <c r="X307" s="345"/>
      <c r="Y307" s="345"/>
      <c r="Z307" s="345"/>
      <c r="AA307" s="346"/>
      <c r="AB307" s="343"/>
      <c r="AC307" s="347"/>
      <c r="AD307" s="343"/>
      <c r="AE307" s="343"/>
      <c r="AF307" s="343"/>
      <c r="AG307" s="343"/>
      <c r="AH307" s="343"/>
      <c r="AI307" s="348"/>
      <c r="AJ307" s="344"/>
      <c r="AK307" s="343"/>
      <c r="AL307" s="343"/>
      <c r="AM307" s="343"/>
      <c r="AN307" s="343"/>
      <c r="AO307" s="343"/>
      <c r="AP307" s="349"/>
      <c r="AQ307" s="20">
        <f t="shared" si="108"/>
        <v>0</v>
      </c>
      <c r="AR307" s="92">
        <f t="shared" si="109"/>
        <v>0</v>
      </c>
      <c r="AS307" s="125">
        <f t="shared" si="110"/>
        <v>0</v>
      </c>
      <c r="AT307" s="350"/>
      <c r="AU307" s="343" t="s">
        <v>9073</v>
      </c>
      <c r="AV307" s="343" t="s">
        <v>9074</v>
      </c>
      <c r="AW307" s="343"/>
      <c r="AX307" s="351"/>
      <c r="AY307" s="351"/>
      <c r="AZ307" s="351"/>
      <c r="BA307" s="351"/>
      <c r="BB307" s="351"/>
      <c r="BC307" s="351"/>
    </row>
    <row r="308" spans="1:55" ht="12.75">
      <c r="A308" s="339" t="s">
        <v>9075</v>
      </c>
      <c r="B308" s="339"/>
      <c r="C308" s="340"/>
      <c r="D308" s="340"/>
      <c r="E308" s="341"/>
      <c r="F308" s="14" t="s">
        <v>9076</v>
      </c>
      <c r="G308" s="342"/>
      <c r="H308" s="343"/>
      <c r="I308" s="343"/>
      <c r="J308" s="343"/>
      <c r="K308" s="344"/>
      <c r="L308" s="343"/>
      <c r="M308" s="343">
        <v>1</v>
      </c>
      <c r="N308" s="343"/>
      <c r="O308" s="14" t="s">
        <v>95</v>
      </c>
      <c r="P308" s="344" t="s">
        <v>96</v>
      </c>
      <c r="Q308" s="344" t="s">
        <v>684</v>
      </c>
      <c r="R308" s="344">
        <v>1</v>
      </c>
      <c r="S308" s="344">
        <v>1</v>
      </c>
      <c r="T308" s="344">
        <v>1</v>
      </c>
      <c r="U308" s="344" t="s">
        <v>22</v>
      </c>
      <c r="V308" s="14">
        <f t="shared" si="107"/>
        <v>0.01</v>
      </c>
      <c r="W308" s="14">
        <f>IF(ISBLANK(O308),"",IF(O308="IB",8.63*200,IF(O308="IR",16*100,IF(O308="YT",20))))</f>
        <v>1600</v>
      </c>
      <c r="X308" s="345" t="s">
        <v>9077</v>
      </c>
      <c r="Y308" s="345"/>
      <c r="Z308" s="345"/>
      <c r="AA308" s="346">
        <v>96.38</v>
      </c>
      <c r="AB308" s="343"/>
      <c r="AC308" s="347"/>
      <c r="AD308" s="343"/>
      <c r="AE308" s="343"/>
      <c r="AF308" s="343"/>
      <c r="AG308" s="343"/>
      <c r="AH308" s="343"/>
      <c r="AI308" s="348"/>
      <c r="AJ308" s="344"/>
      <c r="AK308" s="343"/>
      <c r="AL308" s="343"/>
      <c r="AM308" s="343"/>
      <c r="AN308" s="343"/>
      <c r="AO308" s="343"/>
      <c r="AP308" s="349"/>
      <c r="AQ308" s="20">
        <f t="shared" si="108"/>
        <v>0</v>
      </c>
      <c r="AR308" s="92">
        <f t="shared" si="109"/>
        <v>0</v>
      </c>
      <c r="AS308" s="125">
        <f t="shared" si="110"/>
        <v>0</v>
      </c>
      <c r="AT308" s="350"/>
      <c r="AU308" s="343"/>
      <c r="AV308" s="343"/>
      <c r="AW308" s="343"/>
      <c r="AX308" s="351"/>
      <c r="AY308" s="351"/>
      <c r="AZ308" s="351"/>
      <c r="BA308" s="351"/>
      <c r="BB308" s="351"/>
      <c r="BC308" s="351"/>
    </row>
    <row r="309" spans="1:55" ht="12.75">
      <c r="A309" s="12"/>
      <c r="B309" s="13"/>
      <c r="C309" s="13"/>
      <c r="D309" s="17"/>
      <c r="E309" s="13"/>
      <c r="F309" s="14"/>
      <c r="G309" s="13"/>
      <c r="H309" s="13"/>
      <c r="I309" s="13"/>
      <c r="J309" s="14"/>
      <c r="K309" s="14"/>
      <c r="L309" s="13"/>
      <c r="M309" s="13"/>
      <c r="N309" s="13"/>
      <c r="O309" s="14"/>
      <c r="P309" s="14"/>
      <c r="Q309" s="14"/>
      <c r="R309" s="14"/>
      <c r="S309" s="14"/>
      <c r="T309" s="14"/>
      <c r="U309" s="14"/>
      <c r="V309" s="14">
        <f t="shared" ref="V309:V313" si="111">IF(ISBLANK(O309),,(IF(O309=UPPER("IB"),0.005,0.01)))</f>
        <v>0</v>
      </c>
      <c r="W309" s="14" t="str">
        <f t="shared" ref="W309:W311" si="112">IF(ISBLANK(O309),"",IF(O309="IB",8.63*200,IF(O309="IR",16*100,IF(O309="YT",20))))</f>
        <v/>
      </c>
      <c r="X309" s="17"/>
      <c r="Y309" s="17"/>
      <c r="Z309" s="17"/>
      <c r="AA309" s="18"/>
      <c r="AB309" s="13"/>
      <c r="AC309" s="13"/>
      <c r="AD309" s="13"/>
      <c r="AE309" s="13"/>
      <c r="AF309" s="13"/>
      <c r="AG309" s="13"/>
      <c r="AH309" s="13"/>
      <c r="AI309" s="19"/>
      <c r="AJ309" s="14"/>
      <c r="AK309" s="13"/>
      <c r="AL309" s="13"/>
      <c r="AM309" s="13"/>
      <c r="AN309" s="13"/>
      <c r="AO309" s="13"/>
      <c r="AP309" s="20"/>
      <c r="AQ309" s="20">
        <f t="shared" si="108"/>
        <v>0</v>
      </c>
      <c r="AR309" s="92">
        <f t="shared" si="109"/>
        <v>0</v>
      </c>
      <c r="AS309" s="125">
        <f t="shared" si="110"/>
        <v>0</v>
      </c>
      <c r="AT309" s="22"/>
      <c r="AU309" s="13"/>
      <c r="AV309" s="13"/>
      <c r="AW309" s="13"/>
      <c r="AX309" s="13"/>
      <c r="AY309" s="13"/>
      <c r="AZ309" s="13"/>
    </row>
    <row r="310" spans="1:55" ht="12.75">
      <c r="A310" s="12"/>
      <c r="B310" s="13"/>
      <c r="C310" s="13"/>
      <c r="D310" s="17"/>
      <c r="E310" s="13"/>
      <c r="F310" s="14"/>
      <c r="G310" s="13"/>
      <c r="H310" s="13"/>
      <c r="I310" s="13"/>
      <c r="J310" s="14"/>
      <c r="K310" s="14"/>
      <c r="L310" s="13"/>
      <c r="M310" s="13"/>
      <c r="N310" s="13"/>
      <c r="O310" s="14"/>
      <c r="P310" s="14"/>
      <c r="Q310" s="14"/>
      <c r="R310" s="14"/>
      <c r="S310" s="14"/>
      <c r="T310" s="14"/>
      <c r="U310" s="14"/>
      <c r="V310" s="14">
        <f t="shared" si="111"/>
        <v>0</v>
      </c>
      <c r="W310" s="14" t="str">
        <f t="shared" si="112"/>
        <v/>
      </c>
      <c r="X310" s="17"/>
      <c r="Y310" s="17"/>
      <c r="Z310" s="17"/>
      <c r="AA310" s="18"/>
      <c r="AB310" s="13"/>
      <c r="AC310" s="13"/>
      <c r="AD310" s="13"/>
      <c r="AE310" s="13"/>
      <c r="AF310" s="13"/>
      <c r="AG310" s="13"/>
      <c r="AH310" s="13"/>
      <c r="AI310" s="19"/>
      <c r="AJ310" s="14"/>
      <c r="AK310" s="13"/>
      <c r="AL310" s="13"/>
      <c r="AM310" s="13"/>
      <c r="AN310" s="13"/>
      <c r="AO310" s="13"/>
      <c r="AP310" s="20"/>
      <c r="AQ310" s="20">
        <f t="shared" si="108"/>
        <v>0</v>
      </c>
      <c r="AR310" s="92">
        <f t="shared" si="109"/>
        <v>0</v>
      </c>
      <c r="AS310" s="125">
        <f t="shared" si="110"/>
        <v>0</v>
      </c>
      <c r="AT310" s="22"/>
      <c r="AU310" s="13"/>
      <c r="AV310" s="13"/>
      <c r="AW310" s="13"/>
      <c r="AX310" s="13"/>
      <c r="AY310" s="13"/>
      <c r="AZ310" s="13"/>
    </row>
    <row r="311" spans="1:55" ht="12.75">
      <c r="A311" s="12"/>
      <c r="B311" s="13"/>
      <c r="C311" s="13"/>
      <c r="D311" s="17"/>
      <c r="E311" s="13"/>
      <c r="F311" s="14"/>
      <c r="G311" s="13"/>
      <c r="H311" s="13"/>
      <c r="I311" s="13"/>
      <c r="J311" s="14"/>
      <c r="K311" s="14"/>
      <c r="L311" s="13"/>
      <c r="M311" s="13"/>
      <c r="N311" s="13"/>
      <c r="O311" s="14"/>
      <c r="P311" s="14"/>
      <c r="Q311" s="14"/>
      <c r="R311" s="14"/>
      <c r="S311" s="14"/>
      <c r="T311" s="14"/>
      <c r="U311" s="14"/>
      <c r="V311" s="14">
        <f t="shared" si="111"/>
        <v>0</v>
      </c>
      <c r="W311" s="14" t="str">
        <f t="shared" si="112"/>
        <v/>
      </c>
      <c r="X311" s="17"/>
      <c r="Y311" s="17"/>
      <c r="Z311" s="17"/>
      <c r="AA311" s="18"/>
      <c r="AB311" s="13"/>
      <c r="AC311" s="13"/>
      <c r="AD311" s="13"/>
      <c r="AE311" s="13"/>
      <c r="AF311" s="13"/>
      <c r="AG311" s="13"/>
      <c r="AH311" s="13"/>
      <c r="AI311" s="19"/>
      <c r="AJ311" s="14"/>
      <c r="AK311" s="13"/>
      <c r="AL311" s="13"/>
      <c r="AM311" s="13"/>
      <c r="AN311" s="13"/>
      <c r="AO311" s="13"/>
      <c r="AP311" s="20"/>
      <c r="AQ311" s="20">
        <f t="shared" si="108"/>
        <v>0</v>
      </c>
      <c r="AR311" s="92">
        <f t="shared" si="109"/>
        <v>0</v>
      </c>
      <c r="AS311" s="125">
        <f t="shared" si="110"/>
        <v>0</v>
      </c>
      <c r="AT311" s="22"/>
      <c r="AU311" s="13"/>
      <c r="AV311" s="13"/>
      <c r="AW311" s="13"/>
      <c r="AX311" s="13"/>
      <c r="AY311" s="13"/>
      <c r="AZ311" s="13"/>
    </row>
    <row r="312" spans="1:55" ht="12.75">
      <c r="A312" s="326">
        <v>45039</v>
      </c>
      <c r="B312" s="119"/>
      <c r="C312" s="119"/>
      <c r="D312" s="130"/>
      <c r="E312" s="119"/>
      <c r="F312" s="131"/>
      <c r="G312" s="119"/>
      <c r="H312" s="119"/>
      <c r="I312" s="119"/>
      <c r="J312" s="119"/>
      <c r="K312" s="119"/>
      <c r="L312" s="119"/>
      <c r="M312" s="119"/>
      <c r="N312" s="119"/>
      <c r="O312" s="119"/>
      <c r="P312" s="131"/>
      <c r="Q312" s="131"/>
      <c r="R312" s="131"/>
      <c r="S312" s="131"/>
      <c r="T312" s="131"/>
      <c r="U312" s="131"/>
      <c r="V312" s="130"/>
      <c r="W312" s="130"/>
      <c r="X312" s="130"/>
      <c r="Y312" s="130"/>
      <c r="Z312" s="130"/>
      <c r="AA312" s="132"/>
      <c r="AB312" s="119"/>
      <c r="AC312" s="119"/>
      <c r="AD312" s="119"/>
      <c r="AE312" s="119"/>
      <c r="AF312" s="119"/>
      <c r="AG312" s="119"/>
      <c r="AH312" s="119"/>
      <c r="AI312" s="133"/>
      <c r="AJ312" s="131"/>
      <c r="AK312" s="119"/>
      <c r="AL312" s="119"/>
      <c r="AM312" s="119"/>
      <c r="AN312" s="119"/>
      <c r="AO312" s="119"/>
      <c r="AP312" s="134"/>
      <c r="AQ312" s="134"/>
      <c r="AR312" s="134"/>
      <c r="AS312" s="134"/>
      <c r="AT312" s="91"/>
      <c r="AU312" s="119"/>
      <c r="AV312" s="119"/>
      <c r="AW312" s="119"/>
      <c r="AX312" s="119"/>
      <c r="AY312" s="119"/>
      <c r="AZ312" s="119"/>
    </row>
    <row r="313" spans="1:55" ht="12.75">
      <c r="A313" s="12">
        <v>45019</v>
      </c>
      <c r="B313" s="13" t="s">
        <v>2020</v>
      </c>
      <c r="C313" s="13"/>
      <c r="D313" s="17"/>
      <c r="E313" s="13"/>
      <c r="F313" s="353" t="s">
        <v>2545</v>
      </c>
      <c r="G313" s="13"/>
      <c r="H313" s="13"/>
      <c r="I313" s="13"/>
      <c r="J313" s="14"/>
      <c r="K313" s="14"/>
      <c r="L313" s="13"/>
      <c r="M313" s="13"/>
      <c r="N313" s="13"/>
      <c r="O313" s="14" t="s">
        <v>2432</v>
      </c>
      <c r="P313" s="14"/>
      <c r="Q313" s="14"/>
      <c r="R313" s="14">
        <v>1</v>
      </c>
      <c r="S313" s="14">
        <v>1</v>
      </c>
      <c r="T313" s="14">
        <v>1</v>
      </c>
      <c r="U313" s="14" t="s">
        <v>22</v>
      </c>
      <c r="V313" s="14">
        <f t="shared" si="111"/>
        <v>0.01</v>
      </c>
      <c r="W313" s="14">
        <f>IF(ISBLANK(O313),"",IF(O313="IB",8.63*200,IF(O313="IR",16*100,IF(O313="YT",20*100,IF(O313="TED",80*100,IF(O313="XT",30*100))))))</f>
        <v>2000</v>
      </c>
      <c r="X313" s="17" t="s">
        <v>9078</v>
      </c>
      <c r="Y313" s="17"/>
      <c r="Z313" s="17"/>
      <c r="AA313" s="18">
        <v>0.37</v>
      </c>
      <c r="AB313" s="13"/>
      <c r="AC313" s="13"/>
      <c r="AD313" s="13"/>
      <c r="AE313" s="13"/>
      <c r="AF313" s="13"/>
      <c r="AG313" s="13"/>
      <c r="AH313" s="13"/>
      <c r="AI313" s="19"/>
      <c r="AJ313" s="14"/>
      <c r="AK313" s="13"/>
      <c r="AL313" s="13"/>
      <c r="AM313" s="13"/>
      <c r="AN313" s="13"/>
      <c r="AO313" s="13"/>
      <c r="AP313" s="20">
        <v>0.37</v>
      </c>
      <c r="AQ313" s="20">
        <f t="shared" si="108"/>
        <v>0</v>
      </c>
      <c r="AR313" s="92">
        <f t="shared" si="109"/>
        <v>0</v>
      </c>
      <c r="AS313" s="125">
        <f t="shared" si="110"/>
        <v>0</v>
      </c>
      <c r="AT313" s="22" t="s">
        <v>115</v>
      </c>
      <c r="AU313" s="13" t="s">
        <v>9079</v>
      </c>
      <c r="AV313" s="13"/>
      <c r="AW313" s="13"/>
      <c r="AX313" s="13"/>
      <c r="AY313" s="13"/>
      <c r="AZ313" s="13"/>
    </row>
    <row r="314" spans="1:55" ht="12.75">
      <c r="A314" s="12">
        <v>45033</v>
      </c>
      <c r="B314" s="13" t="s">
        <v>2081</v>
      </c>
      <c r="C314" s="13"/>
      <c r="D314" s="17"/>
      <c r="E314" s="13"/>
      <c r="F314" s="353" t="s">
        <v>2545</v>
      </c>
      <c r="G314" s="13"/>
      <c r="H314" s="13"/>
      <c r="I314" s="13"/>
      <c r="J314" s="14"/>
      <c r="K314" s="14"/>
      <c r="L314" s="13"/>
      <c r="M314" s="13"/>
      <c r="N314" s="13"/>
      <c r="O314" s="14" t="s">
        <v>2259</v>
      </c>
      <c r="P314" s="14"/>
      <c r="Q314" s="14"/>
      <c r="R314" s="14">
        <v>1</v>
      </c>
      <c r="S314" s="14">
        <v>1</v>
      </c>
      <c r="T314" s="14">
        <v>1</v>
      </c>
      <c r="U314" s="14" t="s">
        <v>22</v>
      </c>
      <c r="V314" s="14">
        <f t="shared" ref="V314" si="113">IF(ISBLANK(O314),,(IF(O314=UPPER("IB"),0.005,0.01)))</f>
        <v>0.01</v>
      </c>
      <c r="W314" s="14">
        <f>IF(ISBLANK(O314),"",IF(O314="IB",8.63*200,IF(O314="IR",16*100,IF(O314="YT",48*100,IF(O314="YT-XT",24*200)))))</f>
        <v>4800</v>
      </c>
      <c r="X314" s="17" t="s">
        <v>9080</v>
      </c>
      <c r="Y314" s="17"/>
      <c r="Z314" s="17"/>
      <c r="AA314" s="18">
        <v>0.39500000000000002</v>
      </c>
      <c r="AB314" s="13"/>
      <c r="AC314" s="13"/>
      <c r="AD314" s="13"/>
      <c r="AE314" s="13"/>
      <c r="AF314" s="13"/>
      <c r="AG314" s="13"/>
      <c r="AH314" s="13"/>
      <c r="AI314" s="19"/>
      <c r="AJ314" s="14"/>
      <c r="AK314" s="13"/>
      <c r="AL314" s="13"/>
      <c r="AM314" s="13"/>
      <c r="AN314" s="13"/>
      <c r="AO314" s="13" t="s">
        <v>4144</v>
      </c>
      <c r="AP314" s="20">
        <v>0.4</v>
      </c>
      <c r="AQ314" s="20">
        <f t="shared" ref="AQ314:AQ315" si="114">IF(ISBLANK(AP314),,IF(U314="S",AA314-AP314,AP314-AA314))</f>
        <v>5.0000000000000044E-3</v>
      </c>
      <c r="AR314" s="92">
        <f t="shared" ref="AR314:AR315" si="115">AS314*R314</f>
        <v>24.000000000000021</v>
      </c>
      <c r="AS314" s="125">
        <f t="shared" ref="AS314:AS315" si="116">IF(ISBLANK(AP314),,(AQ314*W314))</f>
        <v>24.000000000000021</v>
      </c>
      <c r="AT314" s="22" t="s">
        <v>96</v>
      </c>
      <c r="AU314" s="13"/>
      <c r="AV314" s="13"/>
      <c r="AW314" s="13"/>
      <c r="AX314" s="13"/>
      <c r="AY314" s="13"/>
      <c r="AZ314" s="13"/>
    </row>
    <row r="315" spans="1:55" ht="12.75">
      <c r="A315" s="12">
        <v>45033</v>
      </c>
      <c r="B315" s="13" t="s">
        <v>629</v>
      </c>
      <c r="C315" s="13"/>
      <c r="D315" s="17"/>
      <c r="E315" s="13"/>
      <c r="F315" s="353" t="s">
        <v>9081</v>
      </c>
      <c r="G315" s="13"/>
      <c r="H315" s="13"/>
      <c r="I315" s="13"/>
      <c r="J315" s="14"/>
      <c r="K315" s="14"/>
      <c r="L315" s="13"/>
      <c r="M315" s="13"/>
      <c r="N315" s="13"/>
      <c r="O315" s="14" t="s">
        <v>2652</v>
      </c>
      <c r="P315" s="14"/>
      <c r="Q315" s="14"/>
      <c r="R315" s="14">
        <v>1</v>
      </c>
      <c r="S315" s="14">
        <v>1</v>
      </c>
      <c r="T315" s="14">
        <v>1</v>
      </c>
      <c r="U315" s="14" t="s">
        <v>22</v>
      </c>
      <c r="V315" s="14">
        <f t="shared" ref="V315" si="117">IF(ISBLANK(O315),,(IF(O315=UPPER("IB"),0.005,0.01)))</f>
        <v>0.01</v>
      </c>
      <c r="W315" s="14">
        <f t="shared" ref="W315" si="118">IF(ISBLANK(O315),"",IF(O315="IB",8.63*200,IF(O315="IR",16*100,IF(O315="YT",20*100,IF(O315="TED",80*100)))))</f>
        <v>8000</v>
      </c>
      <c r="X315" s="17" t="s">
        <v>9082</v>
      </c>
      <c r="Y315" s="17"/>
      <c r="Z315" s="17"/>
      <c r="AA315" s="18">
        <v>-0.72</v>
      </c>
      <c r="AB315" s="13"/>
      <c r="AC315" s="13"/>
      <c r="AD315" s="13"/>
      <c r="AE315" s="13"/>
      <c r="AF315" s="13"/>
      <c r="AG315" s="13"/>
      <c r="AH315" s="13"/>
      <c r="AI315" s="19"/>
      <c r="AJ315" s="14"/>
      <c r="AK315" s="13"/>
      <c r="AL315" s="13"/>
      <c r="AM315" s="13"/>
      <c r="AN315" s="13"/>
      <c r="AO315" s="13" t="s">
        <v>4144</v>
      </c>
      <c r="AP315" s="20">
        <v>-0.71</v>
      </c>
      <c r="AQ315" s="20">
        <f t="shared" si="114"/>
        <v>1.0000000000000009E-2</v>
      </c>
      <c r="AR315" s="92">
        <f t="shared" si="115"/>
        <v>80.000000000000071</v>
      </c>
      <c r="AS315" s="125">
        <f t="shared" si="116"/>
        <v>80.000000000000071</v>
      </c>
      <c r="AT315" s="22" t="s">
        <v>96</v>
      </c>
      <c r="AU315" s="13"/>
      <c r="AV315" s="13"/>
      <c r="AW315" s="13"/>
      <c r="AX315" s="13"/>
      <c r="AY315" s="13"/>
      <c r="AZ315" s="13"/>
    </row>
    <row r="316" spans="1:55" ht="12.75">
      <c r="A316" s="12">
        <v>45035</v>
      </c>
      <c r="B316" s="13" t="s">
        <v>2253</v>
      </c>
      <c r="C316" s="13"/>
      <c r="D316" s="17"/>
      <c r="E316" s="13"/>
      <c r="F316" s="353" t="s">
        <v>2545</v>
      </c>
      <c r="G316" s="13"/>
      <c r="H316" s="13"/>
      <c r="I316" s="13"/>
      <c r="J316" s="14"/>
      <c r="K316" s="14"/>
      <c r="L316" s="13"/>
      <c r="M316" s="13"/>
      <c r="N316" s="13"/>
      <c r="O316" s="14"/>
      <c r="P316" s="14"/>
      <c r="Q316" s="14"/>
      <c r="R316" s="14"/>
      <c r="S316" s="14"/>
      <c r="T316" s="14"/>
      <c r="U316" s="14"/>
      <c r="V316" s="14"/>
      <c r="W316" s="14"/>
      <c r="X316" s="17"/>
      <c r="Y316" s="17"/>
      <c r="Z316" s="17"/>
      <c r="AA316" s="18"/>
      <c r="AB316" s="13"/>
      <c r="AC316" s="13"/>
      <c r="AD316" s="13"/>
      <c r="AE316" s="13"/>
      <c r="AF316" s="13"/>
      <c r="AG316" s="13"/>
      <c r="AH316" s="13"/>
      <c r="AI316" s="19"/>
      <c r="AJ316" s="14"/>
      <c r="AK316" s="13"/>
      <c r="AL316" s="13"/>
      <c r="AM316" s="13"/>
      <c r="AN316" s="13"/>
      <c r="AO316" s="13"/>
      <c r="AP316" s="20"/>
      <c r="AQ316" s="20"/>
      <c r="AR316" s="92"/>
      <c r="AS316" s="125"/>
      <c r="AT316" s="22"/>
      <c r="AU316" s="13" t="s">
        <v>9083</v>
      </c>
      <c r="AV316" s="13" t="s">
        <v>9084</v>
      </c>
      <c r="AW316" s="13" t="s">
        <v>9085</v>
      </c>
      <c r="AX316" s="13"/>
      <c r="AY316" s="13"/>
      <c r="AZ316" s="13"/>
    </row>
    <row r="317" spans="1:55" ht="12.75">
      <c r="A317" s="12"/>
      <c r="B317" s="13"/>
      <c r="C317" s="13"/>
      <c r="D317" s="17"/>
      <c r="E317" s="13"/>
      <c r="F317" s="353"/>
      <c r="G317" s="13"/>
      <c r="H317" s="13"/>
      <c r="I317" s="13"/>
      <c r="J317" s="14"/>
      <c r="K317" s="14"/>
      <c r="L317" s="13"/>
      <c r="M317" s="13"/>
      <c r="N317" s="13"/>
      <c r="O317" s="14"/>
      <c r="P317" s="14"/>
      <c r="Q317" s="14"/>
      <c r="R317" s="14"/>
      <c r="S317" s="14"/>
      <c r="T317" s="14"/>
      <c r="U317" s="14"/>
      <c r="V317" s="14"/>
      <c r="W317" s="14"/>
      <c r="X317" s="17"/>
      <c r="Y317" s="17"/>
      <c r="Z317" s="17"/>
      <c r="AA317" s="18"/>
      <c r="AB317" s="13"/>
      <c r="AC317" s="13"/>
      <c r="AD317" s="13"/>
      <c r="AE317" s="13"/>
      <c r="AF317" s="13"/>
      <c r="AG317" s="13"/>
      <c r="AH317" s="13"/>
      <c r="AI317" s="19"/>
      <c r="AJ317" s="14"/>
      <c r="AK317" s="13"/>
      <c r="AL317" s="13"/>
      <c r="AM317" s="13"/>
      <c r="AN317" s="13"/>
      <c r="AO317" s="13"/>
      <c r="AP317" s="20"/>
      <c r="AQ317" s="20"/>
      <c r="AR317" s="92"/>
      <c r="AS317" s="125"/>
      <c r="AT317" s="22"/>
      <c r="AU317" s="13"/>
      <c r="AV317" s="13"/>
      <c r="AW317" s="13"/>
      <c r="AX317" s="13"/>
      <c r="AY317" s="13"/>
      <c r="AZ317" s="13"/>
    </row>
    <row r="318" spans="1:55" ht="12.75">
      <c r="A318" s="326">
        <v>45315</v>
      </c>
      <c r="B318" s="119"/>
      <c r="C318" s="119"/>
      <c r="D318" s="130"/>
      <c r="E318" s="119"/>
      <c r="F318" s="131"/>
      <c r="G318" s="119"/>
      <c r="H318" s="119"/>
      <c r="I318" s="119"/>
      <c r="J318" s="119"/>
      <c r="K318" s="119"/>
      <c r="L318" s="119"/>
      <c r="M318" s="119"/>
      <c r="N318" s="119"/>
      <c r="O318" s="119"/>
      <c r="P318" s="131"/>
      <c r="Q318" s="131"/>
      <c r="R318" s="131"/>
      <c r="S318" s="131"/>
      <c r="T318" s="131"/>
      <c r="U318" s="131"/>
      <c r="V318" s="130"/>
      <c r="W318" s="130"/>
      <c r="X318" s="130"/>
      <c r="Y318" s="130"/>
      <c r="Z318" s="130"/>
      <c r="AA318" s="132"/>
      <c r="AB318" s="119"/>
      <c r="AC318" s="119"/>
      <c r="AD318" s="119"/>
      <c r="AE318" s="119"/>
      <c r="AF318" s="119"/>
      <c r="AG318" s="119"/>
      <c r="AH318" s="119"/>
      <c r="AI318" s="133"/>
      <c r="AJ318" s="131"/>
      <c r="AK318" s="119"/>
      <c r="AL318" s="119"/>
      <c r="AM318" s="119"/>
      <c r="AN318" s="119"/>
      <c r="AO318" s="119"/>
      <c r="AP318" s="134"/>
      <c r="AQ318" s="134"/>
      <c r="AR318" s="134"/>
      <c r="AS318" s="134"/>
      <c r="AT318" s="91"/>
      <c r="AU318" s="119"/>
      <c r="AV318" s="119"/>
      <c r="AW318" s="119"/>
      <c r="AX318" s="119"/>
      <c r="AY318" s="119"/>
      <c r="AZ318" s="119"/>
    </row>
    <row r="319" spans="1:55" ht="12.75">
      <c r="A319" s="12">
        <v>45309</v>
      </c>
      <c r="B319" s="13" t="s">
        <v>3004</v>
      </c>
      <c r="C319" s="13"/>
      <c r="D319" s="17"/>
      <c r="E319" s="13"/>
      <c r="F319" s="353" t="s">
        <v>5025</v>
      </c>
      <c r="G319" s="13"/>
      <c r="H319" s="13"/>
      <c r="I319" s="13"/>
      <c r="J319" s="14"/>
      <c r="K319" s="14"/>
      <c r="L319" s="13"/>
      <c r="M319" s="13"/>
      <c r="N319" s="13"/>
      <c r="O319" s="14" t="s">
        <v>2652</v>
      </c>
      <c r="P319" s="14"/>
      <c r="Q319" s="14"/>
      <c r="R319" s="14">
        <v>1</v>
      </c>
      <c r="S319" s="14">
        <v>1</v>
      </c>
      <c r="T319" s="14">
        <v>1</v>
      </c>
      <c r="U319" s="14" t="s">
        <v>22</v>
      </c>
      <c r="V319" s="14">
        <f t="shared" ref="V319:V320" si="119">IF(ISBLANK(O319),,(IF(O319=UPPER("IB"),0.005,0.01)))</f>
        <v>0.01</v>
      </c>
      <c r="W319" s="14">
        <f t="shared" ref="W319:W320" si="120">IF(ISBLANK(O319),"",IF(O319="IB",8.63*200,IF(O319="IR",16*100,IF(O319="YT",20*100,IF(O319="TED",80*100)))))</f>
        <v>8000</v>
      </c>
      <c r="X319" s="17" t="s">
        <v>9086</v>
      </c>
      <c r="Y319" s="17"/>
      <c r="Z319" s="17"/>
      <c r="AA319" s="18">
        <v>-0.06</v>
      </c>
      <c r="AB319" s="13"/>
      <c r="AC319" s="13"/>
      <c r="AD319" s="13"/>
      <c r="AE319" s="13"/>
      <c r="AF319" s="13"/>
      <c r="AG319" s="13"/>
      <c r="AH319" s="13"/>
      <c r="AI319" s="19"/>
      <c r="AJ319" s="14"/>
      <c r="AK319" s="13"/>
      <c r="AL319" s="13"/>
      <c r="AM319" s="13"/>
      <c r="AN319" s="13"/>
      <c r="AO319" s="13"/>
      <c r="AP319" s="20"/>
      <c r="AQ319" s="20"/>
      <c r="AR319" s="92"/>
      <c r="AS319" s="125"/>
      <c r="AT319" s="22"/>
      <c r="AU319" s="13"/>
      <c r="AV319" s="13"/>
      <c r="AW319" s="13"/>
      <c r="AX319" s="13"/>
      <c r="AY319" s="13"/>
      <c r="AZ319" s="13"/>
    </row>
    <row r="320" spans="1:55" ht="12.75">
      <c r="A320" s="12"/>
      <c r="B320" s="13"/>
      <c r="C320" s="13"/>
      <c r="D320" s="17"/>
      <c r="E320" s="13"/>
      <c r="F320" s="353" t="s">
        <v>5012</v>
      </c>
      <c r="G320" s="13"/>
      <c r="H320" s="13"/>
      <c r="I320" s="13"/>
      <c r="J320" s="14"/>
      <c r="K320" s="14"/>
      <c r="L320" s="13"/>
      <c r="M320" s="13"/>
      <c r="N320" s="13"/>
      <c r="O320" s="14" t="s">
        <v>2652</v>
      </c>
      <c r="P320" s="14"/>
      <c r="Q320" s="14"/>
      <c r="R320" s="14">
        <v>1</v>
      </c>
      <c r="S320" s="14">
        <v>1</v>
      </c>
      <c r="T320" s="14">
        <v>1</v>
      </c>
      <c r="U320" s="14" t="s">
        <v>22</v>
      </c>
      <c r="V320" s="14">
        <f t="shared" si="119"/>
        <v>0.01</v>
      </c>
      <c r="W320" s="14">
        <f t="shared" si="120"/>
        <v>8000</v>
      </c>
      <c r="X320" s="17" t="s">
        <v>9086</v>
      </c>
      <c r="Y320" s="17"/>
      <c r="Z320" s="17"/>
      <c r="AA320" s="18">
        <v>-0.06</v>
      </c>
      <c r="AB320" s="13"/>
      <c r="AC320" s="13"/>
      <c r="AD320" s="13"/>
      <c r="AE320" s="13"/>
      <c r="AF320" s="13"/>
      <c r="AG320" s="13"/>
      <c r="AH320" s="13"/>
      <c r="AI320" s="19"/>
      <c r="AJ320" s="14"/>
      <c r="AK320" s="13"/>
      <c r="AL320" s="13"/>
      <c r="AM320" s="13"/>
      <c r="AN320" s="13"/>
      <c r="AO320" s="13"/>
      <c r="AP320" s="20"/>
      <c r="AQ320" s="20"/>
      <c r="AR320" s="92"/>
      <c r="AS320" s="125"/>
      <c r="AT320" s="22"/>
      <c r="AU320" s="13"/>
      <c r="AV320" s="13"/>
      <c r="AW320" s="13"/>
      <c r="AX320" s="13"/>
      <c r="AY320" s="13"/>
      <c r="AZ320" s="13"/>
    </row>
    <row r="321" spans="1:52" ht="12.75">
      <c r="A321" s="12"/>
      <c r="B321" s="13"/>
      <c r="C321" s="13"/>
      <c r="D321" s="17"/>
      <c r="E321" s="13"/>
      <c r="F321" s="353"/>
      <c r="G321" s="13"/>
      <c r="H321" s="13"/>
      <c r="I321" s="13"/>
      <c r="J321" s="14"/>
      <c r="K321" s="14"/>
      <c r="L321" s="13"/>
      <c r="M321" s="13"/>
      <c r="N321" s="13"/>
      <c r="O321" s="14"/>
      <c r="P321" s="14"/>
      <c r="Q321" s="14"/>
      <c r="R321" s="14"/>
      <c r="S321" s="14"/>
      <c r="T321" s="14"/>
      <c r="U321" s="14"/>
      <c r="V321" s="14"/>
      <c r="W321" s="14"/>
      <c r="X321" s="17"/>
      <c r="Y321" s="17"/>
      <c r="Z321" s="17"/>
      <c r="AA321" s="18"/>
      <c r="AB321" s="13"/>
      <c r="AC321" s="13"/>
      <c r="AD321" s="13"/>
      <c r="AE321" s="13"/>
      <c r="AF321" s="13"/>
      <c r="AG321" s="13"/>
      <c r="AH321" s="13"/>
      <c r="AI321" s="19"/>
      <c r="AJ321" s="14"/>
      <c r="AK321" s="13"/>
      <c r="AL321" s="13"/>
      <c r="AM321" s="13"/>
      <c r="AN321" s="13"/>
      <c r="AO321" s="13"/>
      <c r="AP321" s="20"/>
      <c r="AQ321" s="20"/>
      <c r="AR321" s="92"/>
      <c r="AS321" s="125"/>
      <c r="AT321" s="22"/>
      <c r="AU321" s="13"/>
      <c r="AV321" s="13"/>
      <c r="AW321" s="13"/>
      <c r="AX321" s="13"/>
      <c r="AY321" s="13"/>
      <c r="AZ321" s="13"/>
    </row>
    <row r="322" spans="1:52" ht="12.75">
      <c r="A322" s="12"/>
      <c r="B322" s="13"/>
      <c r="C322" s="13"/>
      <c r="D322" s="17"/>
      <c r="E322" s="13"/>
      <c r="F322" s="353"/>
      <c r="G322" s="13"/>
      <c r="H322" s="13"/>
      <c r="I322" s="13"/>
      <c r="J322" s="14"/>
      <c r="K322" s="14"/>
      <c r="L322" s="13"/>
      <c r="M322" s="13"/>
      <c r="N322" s="13"/>
      <c r="O322" s="14"/>
      <c r="P322" s="14"/>
      <c r="Q322" s="14"/>
      <c r="R322" s="14"/>
      <c r="S322" s="14"/>
      <c r="T322" s="14"/>
      <c r="U322" s="14"/>
      <c r="V322" s="14"/>
      <c r="W322" s="14"/>
      <c r="X322" s="17"/>
      <c r="Y322" s="17"/>
      <c r="Z322" s="17"/>
      <c r="AA322" s="18"/>
      <c r="AB322" s="13"/>
      <c r="AC322" s="13"/>
      <c r="AD322" s="13"/>
      <c r="AE322" s="13"/>
      <c r="AF322" s="13"/>
      <c r="AG322" s="13"/>
      <c r="AH322" s="13"/>
      <c r="AI322" s="19"/>
      <c r="AJ322" s="14"/>
      <c r="AK322" s="13"/>
      <c r="AL322" s="13"/>
      <c r="AM322" s="13"/>
      <c r="AN322" s="13"/>
      <c r="AO322" s="13"/>
      <c r="AP322" s="20"/>
      <c r="AQ322" s="20"/>
      <c r="AR322" s="92"/>
      <c r="AS322" s="125"/>
      <c r="AT322" s="22"/>
      <c r="AU322" s="13"/>
      <c r="AV322" s="13"/>
      <c r="AW322" s="13"/>
      <c r="AX322" s="13"/>
      <c r="AY322" s="13"/>
      <c r="AZ322" s="13"/>
    </row>
    <row r="323" spans="1:52" ht="12.75">
      <c r="A323" s="12"/>
      <c r="B323" s="13"/>
      <c r="C323" s="13"/>
      <c r="D323" s="17"/>
      <c r="E323" s="13"/>
      <c r="F323" s="353"/>
      <c r="G323" s="13"/>
      <c r="H323" s="13"/>
      <c r="I323" s="13"/>
      <c r="J323" s="14"/>
      <c r="K323" s="14"/>
      <c r="L323" s="13"/>
      <c r="M323" s="13"/>
      <c r="N323" s="13"/>
      <c r="O323" s="14"/>
      <c r="P323" s="14"/>
      <c r="Q323" s="14"/>
      <c r="R323" s="14"/>
      <c r="S323" s="14"/>
      <c r="T323" s="14"/>
      <c r="U323" s="14"/>
      <c r="V323" s="14"/>
      <c r="W323" s="14"/>
      <c r="X323" s="17"/>
      <c r="Y323" s="17"/>
      <c r="Z323" s="17"/>
      <c r="AA323" s="18"/>
      <c r="AB323" s="13"/>
      <c r="AC323" s="13"/>
      <c r="AD323" s="13"/>
      <c r="AE323" s="13"/>
      <c r="AF323" s="13"/>
      <c r="AG323" s="13"/>
      <c r="AH323" s="13"/>
      <c r="AI323" s="19"/>
      <c r="AJ323" s="14"/>
      <c r="AK323" s="13"/>
      <c r="AL323" s="13"/>
      <c r="AM323" s="13"/>
      <c r="AN323" s="13"/>
      <c r="AO323" s="13"/>
      <c r="AP323" s="20"/>
      <c r="AQ323" s="20"/>
      <c r="AR323" s="92"/>
      <c r="AS323" s="125"/>
      <c r="AT323" s="22"/>
      <c r="AU323" s="13"/>
      <c r="AV323" s="13"/>
      <c r="AW323" s="13"/>
      <c r="AX323" s="13"/>
      <c r="AY323" s="13"/>
      <c r="AZ323" s="13"/>
    </row>
    <row r="324" spans="1:52" ht="12.75">
      <c r="A324" s="12"/>
      <c r="B324" s="13"/>
      <c r="C324" s="13"/>
      <c r="D324" s="17"/>
      <c r="E324" s="13"/>
      <c r="F324" s="353"/>
      <c r="G324" s="13"/>
      <c r="H324" s="13"/>
      <c r="I324" s="13"/>
      <c r="J324" s="14"/>
      <c r="K324" s="14"/>
      <c r="L324" s="13"/>
      <c r="M324" s="13"/>
      <c r="N324" s="13"/>
      <c r="O324" s="14"/>
      <c r="P324" s="14"/>
      <c r="Q324" s="14"/>
      <c r="R324" s="14"/>
      <c r="S324" s="14"/>
      <c r="T324" s="14"/>
      <c r="U324" s="14"/>
      <c r="V324" s="14"/>
      <c r="W324" s="14"/>
      <c r="X324" s="17"/>
      <c r="Y324" s="17"/>
      <c r="Z324" s="17"/>
      <c r="AA324" s="18"/>
      <c r="AB324" s="13"/>
      <c r="AC324" s="13"/>
      <c r="AD324" s="13"/>
      <c r="AE324" s="13"/>
      <c r="AF324" s="13"/>
      <c r="AG324" s="13"/>
      <c r="AH324" s="13"/>
      <c r="AI324" s="19"/>
      <c r="AJ324" s="14"/>
      <c r="AK324" s="13"/>
      <c r="AL324" s="13"/>
      <c r="AM324" s="13"/>
      <c r="AN324" s="13"/>
      <c r="AO324" s="13"/>
      <c r="AP324" s="20"/>
      <c r="AQ324" s="20"/>
      <c r="AR324" s="92"/>
      <c r="AS324" s="125"/>
      <c r="AT324" s="22"/>
      <c r="AU324" s="13"/>
      <c r="AV324" s="13"/>
      <c r="AW324" s="13"/>
      <c r="AX324" s="13"/>
      <c r="AY324" s="13"/>
      <c r="AZ324" s="13"/>
    </row>
    <row r="325" spans="1:52" ht="12.75">
      <c r="A325" s="12"/>
      <c r="B325" s="13"/>
      <c r="C325" s="13"/>
      <c r="D325" s="17"/>
      <c r="E325" s="13"/>
      <c r="F325" s="353"/>
      <c r="G325" s="13"/>
      <c r="H325" s="13"/>
      <c r="I325" s="13"/>
      <c r="J325" s="14"/>
      <c r="K325" s="14"/>
      <c r="L325" s="13"/>
      <c r="M325" s="13"/>
      <c r="N325" s="13"/>
      <c r="O325" s="14"/>
      <c r="P325" s="14"/>
      <c r="Q325" s="14"/>
      <c r="R325" s="14"/>
      <c r="S325" s="14"/>
      <c r="T325" s="14"/>
      <c r="U325" s="14"/>
      <c r="V325" s="14"/>
      <c r="W325" s="14"/>
      <c r="X325" s="17"/>
      <c r="Y325" s="17"/>
      <c r="Z325" s="17"/>
      <c r="AA325" s="18"/>
      <c r="AB325" s="13"/>
      <c r="AC325" s="13"/>
      <c r="AD325" s="13"/>
      <c r="AE325" s="13"/>
      <c r="AF325" s="13"/>
      <c r="AG325" s="13"/>
      <c r="AH325" s="13"/>
      <c r="AI325" s="19"/>
      <c r="AJ325" s="14"/>
      <c r="AK325" s="13"/>
      <c r="AL325" s="13"/>
      <c r="AM325" s="13"/>
      <c r="AN325" s="13"/>
      <c r="AO325" s="13"/>
      <c r="AP325" s="20"/>
      <c r="AQ325" s="20"/>
      <c r="AR325" s="92"/>
      <c r="AS325" s="125"/>
      <c r="AT325" s="22"/>
      <c r="AU325" s="13"/>
      <c r="AV325" s="13"/>
      <c r="AW325" s="13"/>
      <c r="AX325" s="13"/>
      <c r="AY325" s="13"/>
      <c r="AZ325" s="13"/>
    </row>
    <row r="326" spans="1:52" ht="12.75">
      <c r="A326" s="12"/>
      <c r="B326" s="13"/>
      <c r="C326" s="13"/>
      <c r="D326" s="17"/>
      <c r="E326" s="13"/>
      <c r="F326" s="353"/>
      <c r="G326" s="13"/>
      <c r="H326" s="13"/>
      <c r="I326" s="13"/>
      <c r="J326" s="14"/>
      <c r="K326" s="14"/>
      <c r="L326" s="13"/>
      <c r="M326" s="13"/>
      <c r="N326" s="13"/>
      <c r="O326" s="14"/>
      <c r="P326" s="14"/>
      <c r="Q326" s="14"/>
      <c r="R326" s="14"/>
      <c r="S326" s="14"/>
      <c r="T326" s="14"/>
      <c r="U326" s="14"/>
      <c r="V326" s="14"/>
      <c r="W326" s="14"/>
      <c r="X326" s="17"/>
      <c r="Y326" s="17"/>
      <c r="Z326" s="17"/>
      <c r="AA326" s="18"/>
      <c r="AB326" s="13"/>
      <c r="AC326" s="13"/>
      <c r="AD326" s="13"/>
      <c r="AE326" s="13"/>
      <c r="AF326" s="13"/>
      <c r="AG326" s="13"/>
      <c r="AH326" s="13"/>
      <c r="AI326" s="19"/>
      <c r="AJ326" s="14"/>
      <c r="AK326" s="13"/>
      <c r="AL326" s="13"/>
      <c r="AM326" s="13"/>
      <c r="AN326" s="13"/>
      <c r="AO326" s="13"/>
      <c r="AP326" s="20"/>
      <c r="AQ326" s="20"/>
      <c r="AR326" s="92"/>
      <c r="AS326" s="125"/>
      <c r="AT326" s="22"/>
      <c r="AU326" s="13"/>
      <c r="AV326" s="13"/>
      <c r="AW326" s="13"/>
      <c r="AX326" s="13"/>
      <c r="AY326" s="13"/>
      <c r="AZ326" s="13"/>
    </row>
    <row r="327" spans="1:52" ht="12.75">
      <c r="A327" s="12"/>
      <c r="B327" s="13"/>
      <c r="C327" s="13"/>
      <c r="D327" s="17"/>
      <c r="E327" s="13"/>
      <c r="F327" s="353"/>
      <c r="G327" s="13"/>
      <c r="H327" s="13"/>
      <c r="I327" s="13"/>
      <c r="J327" s="14"/>
      <c r="K327" s="14"/>
      <c r="L327" s="13"/>
      <c r="M327" s="13"/>
      <c r="N327" s="13"/>
      <c r="O327" s="14"/>
      <c r="P327" s="14"/>
      <c r="Q327" s="14"/>
      <c r="R327" s="14"/>
      <c r="S327" s="14"/>
      <c r="T327" s="14"/>
      <c r="U327" s="14"/>
      <c r="V327" s="14"/>
      <c r="W327" s="14"/>
      <c r="X327" s="17"/>
      <c r="Y327" s="17"/>
      <c r="Z327" s="17"/>
      <c r="AA327" s="18"/>
      <c r="AB327" s="13"/>
      <c r="AC327" s="13"/>
      <c r="AD327" s="13"/>
      <c r="AE327" s="13"/>
      <c r="AF327" s="13"/>
      <c r="AG327" s="13"/>
      <c r="AH327" s="13"/>
      <c r="AI327" s="19"/>
      <c r="AJ327" s="14"/>
      <c r="AK327" s="13"/>
      <c r="AL327" s="13"/>
      <c r="AM327" s="13"/>
      <c r="AN327" s="13"/>
      <c r="AO327" s="13"/>
      <c r="AP327" s="20"/>
      <c r="AQ327" s="20"/>
      <c r="AR327" s="92"/>
      <c r="AS327" s="125"/>
      <c r="AT327" s="22"/>
      <c r="AU327" s="13"/>
      <c r="AV327" s="13"/>
      <c r="AW327" s="13"/>
      <c r="AX327" s="13"/>
      <c r="AY327" s="13"/>
      <c r="AZ327" s="13"/>
    </row>
    <row r="328" spans="1:52" ht="12.75">
      <c r="A328" s="12"/>
      <c r="B328" s="13"/>
      <c r="C328" s="13"/>
      <c r="D328" s="17"/>
      <c r="E328" s="13"/>
      <c r="F328" s="353"/>
      <c r="G328" s="13"/>
      <c r="H328" s="13"/>
      <c r="I328" s="13"/>
      <c r="J328" s="14"/>
      <c r="K328" s="14"/>
      <c r="L328" s="13"/>
      <c r="M328" s="13"/>
      <c r="N328" s="13"/>
      <c r="O328" s="14"/>
      <c r="P328" s="14"/>
      <c r="Q328" s="14"/>
      <c r="R328" s="14"/>
      <c r="S328" s="14"/>
      <c r="T328" s="14"/>
      <c r="U328" s="14"/>
      <c r="V328" s="14"/>
      <c r="W328" s="14"/>
      <c r="X328" s="17"/>
      <c r="Y328" s="17"/>
      <c r="Z328" s="17"/>
      <c r="AA328" s="18"/>
      <c r="AB328" s="13"/>
      <c r="AC328" s="13"/>
      <c r="AD328" s="13"/>
      <c r="AE328" s="13"/>
      <c r="AF328" s="13"/>
      <c r="AG328" s="13"/>
      <c r="AH328" s="13"/>
      <c r="AI328" s="19"/>
      <c r="AJ328" s="14"/>
      <c r="AK328" s="13"/>
      <c r="AL328" s="13"/>
      <c r="AM328" s="13"/>
      <c r="AN328" s="13"/>
      <c r="AO328" s="13"/>
      <c r="AP328" s="20"/>
      <c r="AQ328" s="20"/>
      <c r="AR328" s="92"/>
      <c r="AS328" s="125"/>
      <c r="AT328" s="22"/>
      <c r="AU328" s="13"/>
      <c r="AV328" s="13"/>
      <c r="AW328" s="13"/>
      <c r="AX328" s="13"/>
      <c r="AY328" s="13"/>
      <c r="AZ328" s="13"/>
    </row>
    <row r="329" spans="1:52" ht="12.75">
      <c r="A329" s="12"/>
      <c r="B329" s="13"/>
      <c r="C329" s="13"/>
      <c r="D329" s="17"/>
      <c r="E329" s="13"/>
      <c r="F329" s="353"/>
      <c r="G329" s="13"/>
      <c r="H329" s="13"/>
      <c r="I329" s="13"/>
      <c r="J329" s="14"/>
      <c r="K329" s="14"/>
      <c r="L329" s="13"/>
      <c r="M329" s="13"/>
      <c r="N329" s="13"/>
      <c r="O329" s="14"/>
      <c r="P329" s="14"/>
      <c r="Q329" s="14"/>
      <c r="R329" s="14"/>
      <c r="S329" s="14"/>
      <c r="T329" s="14"/>
      <c r="U329" s="14"/>
      <c r="V329" s="14"/>
      <c r="W329" s="14"/>
      <c r="X329" s="17"/>
      <c r="Y329" s="17"/>
      <c r="Z329" s="17"/>
      <c r="AA329" s="18"/>
      <c r="AB329" s="13"/>
      <c r="AC329" s="13"/>
      <c r="AD329" s="13"/>
      <c r="AE329" s="13"/>
      <c r="AF329" s="13"/>
      <c r="AG329" s="13"/>
      <c r="AH329" s="13"/>
      <c r="AI329" s="19"/>
      <c r="AJ329" s="14"/>
      <c r="AK329" s="13"/>
      <c r="AL329" s="13"/>
      <c r="AM329" s="13"/>
      <c r="AN329" s="13"/>
      <c r="AO329" s="13"/>
      <c r="AP329" s="20"/>
      <c r="AQ329" s="20"/>
      <c r="AR329" s="92"/>
      <c r="AS329" s="125"/>
      <c r="AT329" s="22"/>
      <c r="AU329" s="13"/>
      <c r="AV329" s="13"/>
      <c r="AW329" s="13"/>
      <c r="AX329" s="13"/>
      <c r="AY329" s="13"/>
      <c r="AZ329" s="13"/>
    </row>
    <row r="330" spans="1:52" ht="12.75">
      <c r="A330" s="12"/>
      <c r="B330" s="13"/>
      <c r="C330" s="13"/>
      <c r="D330" s="17"/>
      <c r="E330" s="13"/>
      <c r="F330" s="353"/>
      <c r="G330" s="13"/>
      <c r="H330" s="13"/>
      <c r="I330" s="13"/>
      <c r="J330" s="14"/>
      <c r="K330" s="14"/>
      <c r="L330" s="13"/>
      <c r="M330" s="13"/>
      <c r="N330" s="13"/>
      <c r="O330" s="14"/>
      <c r="P330" s="14"/>
      <c r="Q330" s="14"/>
      <c r="R330" s="14"/>
      <c r="S330" s="14"/>
      <c r="T330" s="14"/>
      <c r="U330" s="14"/>
      <c r="V330" s="14"/>
      <c r="W330" s="14"/>
      <c r="X330" s="17"/>
      <c r="Y330" s="17"/>
      <c r="Z330" s="17"/>
      <c r="AA330" s="18"/>
      <c r="AB330" s="13"/>
      <c r="AC330" s="13"/>
      <c r="AD330" s="13"/>
      <c r="AE330" s="13"/>
      <c r="AF330" s="13"/>
      <c r="AG330" s="13"/>
      <c r="AH330" s="13"/>
      <c r="AI330" s="19"/>
      <c r="AJ330" s="14"/>
      <c r="AK330" s="13"/>
      <c r="AL330" s="13"/>
      <c r="AM330" s="13"/>
      <c r="AN330" s="13"/>
      <c r="AO330" s="13"/>
      <c r="AP330" s="20"/>
      <c r="AQ330" s="20"/>
      <c r="AR330" s="92"/>
      <c r="AS330" s="125"/>
      <c r="AT330" s="22"/>
      <c r="AU330" s="13"/>
      <c r="AV330" s="13"/>
      <c r="AW330" s="13"/>
      <c r="AX330" s="13"/>
      <c r="AY330" s="13"/>
      <c r="AZ330" s="13"/>
    </row>
    <row r="331" spans="1:52" ht="12.75">
      <c r="A331" s="12"/>
      <c r="B331" s="13"/>
      <c r="C331" s="13"/>
      <c r="D331" s="17"/>
      <c r="E331" s="13"/>
      <c r="F331" s="353"/>
      <c r="G331" s="13"/>
      <c r="H331" s="13"/>
      <c r="I331" s="13"/>
      <c r="J331" s="14"/>
      <c r="K331" s="14"/>
      <c r="L331" s="13"/>
      <c r="M331" s="13"/>
      <c r="N331" s="13"/>
      <c r="O331" s="14"/>
      <c r="P331" s="14"/>
      <c r="Q331" s="14"/>
      <c r="R331" s="14"/>
      <c r="S331" s="14"/>
      <c r="T331" s="14"/>
      <c r="U331" s="14"/>
      <c r="V331" s="14"/>
      <c r="W331" s="14"/>
      <c r="X331" s="17"/>
      <c r="Y331" s="17"/>
      <c r="Z331" s="17"/>
      <c r="AA331" s="18"/>
      <c r="AB331" s="13"/>
      <c r="AC331" s="13"/>
      <c r="AD331" s="13"/>
      <c r="AE331" s="13"/>
      <c r="AF331" s="13"/>
      <c r="AG331" s="13"/>
      <c r="AH331" s="13"/>
      <c r="AI331" s="19"/>
      <c r="AJ331" s="14"/>
      <c r="AK331" s="13"/>
      <c r="AL331" s="13"/>
      <c r="AM331" s="13"/>
      <c r="AN331" s="13"/>
      <c r="AO331" s="13"/>
      <c r="AP331" s="20"/>
      <c r="AQ331" s="20"/>
      <c r="AR331" s="92"/>
      <c r="AS331" s="125"/>
      <c r="AT331" s="22"/>
      <c r="AU331" s="13"/>
      <c r="AV331" s="13"/>
      <c r="AW331" s="13"/>
      <c r="AX331" s="13"/>
      <c r="AY331" s="13"/>
      <c r="AZ331" s="13"/>
    </row>
    <row r="332" spans="1:52" ht="12.75">
      <c r="A332" s="12"/>
      <c r="B332" s="13"/>
      <c r="C332" s="13"/>
      <c r="D332" s="17"/>
      <c r="E332" s="13"/>
      <c r="F332" s="14"/>
      <c r="G332" s="13"/>
      <c r="H332" s="13"/>
      <c r="I332" s="13"/>
      <c r="J332" s="14"/>
      <c r="K332" s="14"/>
      <c r="L332" s="13"/>
      <c r="M332" s="13"/>
      <c r="N332" s="13"/>
      <c r="O332" s="14"/>
      <c r="P332" s="14"/>
      <c r="Q332" s="14"/>
      <c r="R332" s="14"/>
      <c r="S332" s="14"/>
      <c r="T332" s="14"/>
      <c r="U332" s="14"/>
      <c r="V332" s="14"/>
      <c r="W332" s="14"/>
      <c r="X332" s="17"/>
      <c r="Y332" s="17"/>
      <c r="Z332" s="17"/>
      <c r="AA332" s="18"/>
      <c r="AB332" s="13"/>
      <c r="AC332" s="13"/>
      <c r="AD332" s="13"/>
      <c r="AE332" s="13"/>
      <c r="AF332" s="13"/>
      <c r="AG332" s="13"/>
      <c r="AH332" s="13"/>
      <c r="AI332" s="19"/>
      <c r="AJ332" s="14"/>
      <c r="AK332" s="13"/>
      <c r="AL332" s="13"/>
      <c r="AM332" s="13"/>
      <c r="AN332" s="13"/>
      <c r="AO332" s="13"/>
      <c r="AP332" s="20"/>
      <c r="AQ332" s="13"/>
      <c r="AR332" s="77"/>
      <c r="AS332" s="21"/>
      <c r="AT332" s="22"/>
      <c r="AU332" s="13"/>
      <c r="AV332" s="13"/>
      <c r="AW332" s="13"/>
      <c r="AX332" s="13"/>
      <c r="AY332" s="13"/>
      <c r="AZ332" s="13"/>
    </row>
    <row r="333" spans="1:52" ht="12.75">
      <c r="A333" s="12"/>
      <c r="B333" s="13"/>
      <c r="C333" s="13"/>
      <c r="D333" s="17"/>
      <c r="E333" s="13"/>
      <c r="F333" s="14"/>
      <c r="G333" s="13"/>
      <c r="H333" s="13"/>
      <c r="I333" s="13"/>
      <c r="J333" s="14"/>
      <c r="K333" s="14"/>
      <c r="L333" s="13"/>
      <c r="M333" s="13"/>
      <c r="N333" s="13"/>
      <c r="O333" s="14"/>
      <c r="P333" s="14"/>
      <c r="Q333" s="14"/>
      <c r="R333" s="14"/>
      <c r="S333" s="14"/>
      <c r="T333" s="14"/>
      <c r="U333" s="14"/>
      <c r="V333" s="14"/>
      <c r="W333" s="14"/>
      <c r="X333" s="17"/>
      <c r="Y333" s="17"/>
      <c r="Z333" s="17"/>
      <c r="AA333" s="18"/>
      <c r="AB333" s="13"/>
      <c r="AC333" s="13"/>
      <c r="AD333" s="13"/>
      <c r="AE333" s="13"/>
      <c r="AF333" s="13"/>
      <c r="AG333" s="13"/>
      <c r="AH333" s="13"/>
      <c r="AI333" s="19"/>
      <c r="AJ333" s="14"/>
      <c r="AK333" s="13"/>
      <c r="AL333" s="13"/>
      <c r="AM333" s="13"/>
      <c r="AN333" s="13"/>
      <c r="AO333" s="13"/>
      <c r="AP333" s="20"/>
      <c r="AQ333" s="13"/>
      <c r="AR333" s="77"/>
      <c r="AS333" s="21"/>
      <c r="AT333" s="22"/>
      <c r="AU333" s="13"/>
      <c r="AV333" s="13"/>
      <c r="AW333" s="13"/>
      <c r="AX333" s="13"/>
      <c r="AY333" s="13"/>
      <c r="AZ333" s="13"/>
    </row>
    <row r="334" spans="1:52" ht="12.75">
      <c r="A334" s="12"/>
      <c r="B334" s="13"/>
      <c r="C334" s="13"/>
      <c r="D334" s="17"/>
      <c r="E334" s="13"/>
      <c r="F334" s="14"/>
      <c r="G334" s="13"/>
      <c r="H334" s="13"/>
      <c r="I334" s="13"/>
      <c r="J334" s="14"/>
      <c r="K334" s="14"/>
      <c r="L334" s="13"/>
      <c r="M334" s="13"/>
      <c r="N334" s="13"/>
      <c r="O334" s="14"/>
      <c r="P334" s="14"/>
      <c r="Q334" s="14"/>
      <c r="R334" s="14"/>
      <c r="S334" s="14"/>
      <c r="T334" s="14"/>
      <c r="U334" s="14"/>
      <c r="V334" s="14"/>
      <c r="W334" s="14"/>
      <c r="X334" s="17"/>
      <c r="Y334" s="17"/>
      <c r="Z334" s="17"/>
      <c r="AA334" s="18"/>
      <c r="AB334" s="13"/>
      <c r="AC334" s="13"/>
      <c r="AD334" s="13"/>
      <c r="AE334" s="13"/>
      <c r="AF334" s="13"/>
      <c r="AG334" s="13"/>
      <c r="AH334" s="13"/>
      <c r="AI334" s="19"/>
      <c r="AJ334" s="14"/>
      <c r="AK334" s="13"/>
      <c r="AL334" s="13"/>
      <c r="AM334" s="13"/>
      <c r="AN334" s="13"/>
      <c r="AO334" s="13"/>
      <c r="AP334" s="20"/>
      <c r="AQ334" s="13"/>
      <c r="AR334" s="77"/>
      <c r="AS334" s="21"/>
      <c r="AT334" s="22"/>
      <c r="AU334" s="13"/>
      <c r="AV334" s="13"/>
      <c r="AW334" s="13"/>
      <c r="AX334" s="13"/>
      <c r="AY334" s="13"/>
      <c r="AZ334" s="13"/>
    </row>
    <row r="335" spans="1:52" ht="12.75">
      <c r="A335" s="38"/>
      <c r="B335" s="38"/>
      <c r="C335" s="38"/>
      <c r="D335" s="39"/>
      <c r="E335" s="38"/>
      <c r="F335" s="40"/>
      <c r="G335" s="38"/>
      <c r="H335" s="38"/>
      <c r="I335" s="65"/>
      <c r="J335" s="14"/>
      <c r="K335" s="14"/>
      <c r="L335" s="38"/>
      <c r="M335" s="38"/>
      <c r="N335" s="38"/>
      <c r="O335" s="40"/>
      <c r="P335" s="40"/>
      <c r="Q335" s="40"/>
      <c r="R335" s="40"/>
      <c r="S335" s="40"/>
      <c r="T335" s="40"/>
      <c r="U335" s="40"/>
      <c r="V335" s="40">
        <f>IF(ISBLANK(O335),,(IF(O335=UPPER("IB"),0.005,0.01)))</f>
        <v>0</v>
      </c>
      <c r="W335" s="40">
        <f>IF(ISBLANK(O335),,IF(O335=UPPER("IB"),8.52,16.65))</f>
        <v>0</v>
      </c>
      <c r="X335" s="39"/>
      <c r="Y335" s="39"/>
      <c r="Z335" s="39"/>
      <c r="AA335" s="41"/>
      <c r="AB335" s="38"/>
      <c r="AC335" s="38"/>
      <c r="AD335" s="38"/>
      <c r="AE335" s="38"/>
      <c r="AF335" s="38"/>
      <c r="AG335" s="38"/>
      <c r="AH335" s="38"/>
      <c r="AI335" s="38"/>
      <c r="AJ335" s="38"/>
      <c r="AK335" s="38"/>
      <c r="AL335" s="38"/>
      <c r="AM335" s="38"/>
      <c r="AN335" s="38"/>
      <c r="AO335" s="38"/>
      <c r="AP335" s="42"/>
      <c r="AQ335" s="38">
        <f>IF(ISBLANK(AP335),,IF(U335="S",AA335-AP335,AP335-AA335))</f>
        <v>0</v>
      </c>
      <c r="AR335" s="43"/>
      <c r="AS335" s="44"/>
      <c r="AT335" s="40"/>
      <c r="AU335" s="119"/>
      <c r="AV335" s="38"/>
      <c r="AW335" s="38"/>
      <c r="AX335" s="38"/>
      <c r="AY335" s="38"/>
      <c r="AZ335" s="38"/>
    </row>
    <row r="336" spans="1:52" ht="12.75">
      <c r="A336" s="38"/>
      <c r="B336" s="38"/>
      <c r="C336" s="38"/>
      <c r="D336" s="39"/>
      <c r="E336" s="38"/>
      <c r="F336" s="40"/>
      <c r="G336" s="38"/>
      <c r="H336" s="38"/>
      <c r="I336" s="39" t="s">
        <v>4674</v>
      </c>
      <c r="J336" s="14"/>
      <c r="K336" s="14"/>
      <c r="L336" s="38">
        <f>SUM(L4:L335)</f>
        <v>185</v>
      </c>
      <c r="M336" s="38">
        <f>SUM(M4:M335)</f>
        <v>114</v>
      </c>
      <c r="N336" s="38">
        <f>SUM(N4:N335)</f>
        <v>63</v>
      </c>
      <c r="O336" s="40"/>
      <c r="P336" s="40"/>
      <c r="Q336" s="40"/>
      <c r="R336" s="40"/>
      <c r="S336" s="40"/>
      <c r="T336" s="40">
        <f>COUNTIF(U4:U335,"B")</f>
        <v>114</v>
      </c>
      <c r="U336" s="39" t="s">
        <v>22</v>
      </c>
      <c r="V336" s="40"/>
      <c r="W336" s="45" t="s">
        <v>9087</v>
      </c>
      <c r="X336" s="39">
        <f>COUNTA(X4:X335)</f>
        <v>83</v>
      </c>
      <c r="Y336" s="39">
        <f>COUNTA(Y4:Y335)</f>
        <v>37</v>
      </c>
      <c r="Z336" s="39">
        <f>COUNTA(Z4:Z335)</f>
        <v>102</v>
      </c>
      <c r="AA336" s="41"/>
      <c r="AB336" s="38"/>
      <c r="AC336" s="38"/>
      <c r="AD336" s="38"/>
      <c r="AE336" s="38"/>
      <c r="AF336" s="38"/>
      <c r="AG336" s="38"/>
      <c r="AH336" s="38"/>
      <c r="AI336" s="38"/>
      <c r="AJ336" s="38"/>
      <c r="AK336" s="38"/>
      <c r="AL336" s="38"/>
      <c r="AM336" s="38" t="s">
        <v>1259</v>
      </c>
      <c r="AN336" s="38">
        <f>COUNTIF(AN4:AN313,"M")</f>
        <v>16</v>
      </c>
      <c r="AO336" s="38"/>
      <c r="AP336" s="42"/>
      <c r="AQ336" s="38"/>
      <c r="AR336" s="146">
        <f>SUM(AR4:AR335)</f>
        <v>-5564.366199999994</v>
      </c>
      <c r="AS336" s="48"/>
      <c r="AT336" s="40"/>
      <c r="AU336" s="38"/>
      <c r="AV336" s="38"/>
      <c r="AW336" s="38"/>
      <c r="AX336" s="38"/>
      <c r="AY336" s="38"/>
      <c r="AZ336" s="38"/>
    </row>
    <row r="337" spans="1:52" ht="12.75">
      <c r="A337" s="38"/>
      <c r="B337" s="38"/>
      <c r="C337" s="38"/>
      <c r="D337" s="39"/>
      <c r="E337" s="38"/>
      <c r="F337" s="40"/>
      <c r="G337" s="38"/>
      <c r="H337" s="38"/>
      <c r="I337" s="39"/>
      <c r="J337" s="14"/>
      <c r="K337" s="14"/>
      <c r="L337" s="39"/>
      <c r="M337" s="39"/>
      <c r="N337" s="39"/>
      <c r="O337" s="40"/>
      <c r="P337" s="40"/>
      <c r="Q337" s="40"/>
      <c r="R337" s="40"/>
      <c r="S337" s="40"/>
      <c r="T337" s="40"/>
      <c r="U337" s="39"/>
      <c r="V337" s="40"/>
      <c r="W337" s="45"/>
      <c r="X337" s="39"/>
      <c r="Y337" s="39"/>
      <c r="Z337" s="39"/>
      <c r="AA337" s="41"/>
      <c r="AB337" s="38"/>
      <c r="AC337" s="38"/>
      <c r="AD337" s="38"/>
      <c r="AE337" s="38"/>
      <c r="AF337" s="38"/>
      <c r="AG337" s="38"/>
      <c r="AH337" s="38"/>
      <c r="AI337" s="38"/>
      <c r="AJ337" s="38"/>
      <c r="AK337" s="38"/>
      <c r="AL337" s="38"/>
      <c r="AM337" s="38"/>
      <c r="AN337" s="38"/>
      <c r="AO337" s="38"/>
      <c r="AP337" s="42"/>
      <c r="AQ337" s="38"/>
      <c r="AR337" s="43"/>
      <c r="AS337" s="44"/>
      <c r="AT337" s="40"/>
      <c r="AU337" s="38"/>
      <c r="AV337" s="38"/>
      <c r="AW337" s="38"/>
      <c r="AX337" s="38"/>
      <c r="AY337" s="38"/>
      <c r="AZ337" s="38"/>
    </row>
    <row r="338" spans="1:52" ht="12.75">
      <c r="A338" s="38"/>
      <c r="B338" s="38"/>
      <c r="C338" s="38"/>
      <c r="D338" s="39"/>
      <c r="E338" s="38"/>
      <c r="F338" s="40"/>
      <c r="G338" s="38"/>
      <c r="H338" s="38"/>
      <c r="I338" s="39" t="s">
        <v>9087</v>
      </c>
      <c r="J338" s="14"/>
      <c r="K338" s="14"/>
      <c r="L338" s="39">
        <f>COUNTA(L4:L335)</f>
        <v>138</v>
      </c>
      <c r="M338" s="39">
        <f>COUNTA(M4:M335)</f>
        <v>66</v>
      </c>
      <c r="N338" s="39">
        <f>COUNTA(N4:N335)</f>
        <v>43</v>
      </c>
      <c r="O338" s="40"/>
      <c r="P338" s="40"/>
      <c r="Q338" s="40"/>
      <c r="R338" s="40"/>
      <c r="S338" s="40"/>
      <c r="T338" s="40">
        <f>COUNTIF(U4:U335,"S")</f>
        <v>95</v>
      </c>
      <c r="U338" s="39" t="s">
        <v>97</v>
      </c>
      <c r="V338" s="40"/>
      <c r="W338" s="45" t="s">
        <v>9088</v>
      </c>
      <c r="X338" s="39">
        <f>COUNTIFS(X4:X335,"&lt;&gt;",$AT4:$AT335,"W")</f>
        <v>35</v>
      </c>
      <c r="Y338" s="39">
        <f>COUNTIFS(Y4:Y335,"&lt;&gt;",$AT4:$AT335,"W")</f>
        <v>10</v>
      </c>
      <c r="Z338" s="39">
        <f>COUNTIFS(Z4:Z335,"&lt;&gt;",$AT4:$AT335,"W")</f>
        <v>59</v>
      </c>
      <c r="AA338" s="41"/>
      <c r="AB338" s="38"/>
      <c r="AC338" s="38"/>
      <c r="AD338" s="38"/>
      <c r="AE338" s="38"/>
      <c r="AF338" s="38"/>
      <c r="AG338" s="38"/>
      <c r="AH338" s="38"/>
      <c r="AI338" s="38"/>
      <c r="AJ338" s="38"/>
      <c r="AK338" s="38"/>
      <c r="AL338" s="38"/>
      <c r="AM338" s="38" t="s">
        <v>372</v>
      </c>
      <c r="AN338" s="38">
        <f>COUNTIF(AN5:AN335,"H")</f>
        <v>63</v>
      </c>
      <c r="AO338" s="38"/>
      <c r="AP338" s="42"/>
      <c r="AQ338" s="38"/>
      <c r="AR338" s="43"/>
      <c r="AS338" s="44"/>
      <c r="AT338" s="40"/>
      <c r="AU338" s="38"/>
      <c r="AV338" s="38"/>
      <c r="AW338" s="38"/>
      <c r="AX338" s="38"/>
      <c r="AY338" s="38"/>
      <c r="AZ338" s="38"/>
    </row>
    <row r="339" spans="1:52" ht="15">
      <c r="A339" s="38"/>
      <c r="B339" s="38"/>
      <c r="C339" s="38"/>
      <c r="D339" s="39"/>
      <c r="E339" s="38"/>
      <c r="F339" s="40"/>
      <c r="G339" s="38"/>
      <c r="H339" s="38"/>
      <c r="I339" s="39" t="s">
        <v>9089</v>
      </c>
      <c r="J339" s="14"/>
      <c r="K339" s="14"/>
      <c r="L339" s="39">
        <f t="shared" ref="L339:N339" si="121">L338*3</f>
        <v>414</v>
      </c>
      <c r="M339" s="39">
        <f t="shared" si="121"/>
        <v>198</v>
      </c>
      <c r="N339" s="39">
        <f t="shared" si="121"/>
        <v>129</v>
      </c>
      <c r="O339" s="40"/>
      <c r="P339" s="40">
        <f>COUNTIF(P4:P313,"W")</f>
        <v>97</v>
      </c>
      <c r="Q339" s="40"/>
      <c r="R339" s="40"/>
      <c r="S339" s="40"/>
      <c r="T339" s="40">
        <f>COUNTIFS(U4:U335,"B",$AT4:$AT335,"W")</f>
        <v>57</v>
      </c>
      <c r="U339" s="38" t="s">
        <v>9090</v>
      </c>
      <c r="V339" s="40"/>
      <c r="W339" s="45" t="s">
        <v>8013</v>
      </c>
      <c r="X339" s="52">
        <f>COUNTIFS(X4:X335,"&lt;&gt;",$AT4:$AT335,"L")</f>
        <v>23</v>
      </c>
      <c r="Y339" s="52">
        <f>COUNTIFS(Y4:Y335,"&lt;&gt;",$AT4:$AT335,"L")</f>
        <v>14</v>
      </c>
      <c r="Z339" s="52">
        <f>COUNTIFS(Z4:Z313,"&lt;&gt;",$AT4:$AT313,"L")</f>
        <v>5</v>
      </c>
      <c r="AA339" s="41"/>
      <c r="AB339" s="38"/>
      <c r="AC339" s="38"/>
      <c r="AD339" s="38"/>
      <c r="AE339" s="38"/>
      <c r="AF339" s="38"/>
      <c r="AG339" s="38"/>
      <c r="AH339" s="38"/>
      <c r="AI339" s="38"/>
      <c r="AJ339" s="38"/>
      <c r="AK339" s="38"/>
      <c r="AL339" s="38"/>
      <c r="AM339" s="38" t="s">
        <v>115</v>
      </c>
      <c r="AN339" s="38">
        <f>COUNTIF(AN6:AN336,"D")</f>
        <v>34</v>
      </c>
      <c r="AO339" s="38"/>
      <c r="AP339" s="42"/>
      <c r="AQ339" s="38"/>
      <c r="AR339" s="147">
        <f>SUM(AR71:AR313)</f>
        <v>-3512.1912000000953</v>
      </c>
      <c r="AS339" s="44"/>
      <c r="AT339" s="40"/>
      <c r="AU339" s="38"/>
      <c r="AV339" s="38"/>
      <c r="AW339" s="38"/>
      <c r="AX339" s="38"/>
      <c r="AY339" s="38"/>
      <c r="AZ339" s="38"/>
    </row>
    <row r="340" spans="1:52" ht="15">
      <c r="A340" s="38"/>
      <c r="B340" s="38"/>
      <c r="C340" s="38"/>
      <c r="D340" s="39"/>
      <c r="E340" s="38"/>
      <c r="F340" s="40"/>
      <c r="G340" s="38"/>
      <c r="H340" s="38"/>
      <c r="I340" s="39" t="s">
        <v>9088</v>
      </c>
      <c r="J340" s="14"/>
      <c r="K340" s="14"/>
      <c r="L340" s="38">
        <f>COUNTIFS($AT4:$AT335,"W",L4:L335,1)+COUNTIFS($AT4:$AT335,"W",L4:L335,2)+COUNTIFS($AT4:$AT335,"W",L4:L335,3)</f>
        <v>74</v>
      </c>
      <c r="M340" s="38">
        <f>COUNTIFS($AT4:$AT335,"W",M4:M335,1)+COUNTIFS($AT4:$AT335,"W",M4:M335,2)+COUNTIFS($AT4:$AT335,"W",M4:M335,3)</f>
        <v>19</v>
      </c>
      <c r="N340" s="38">
        <f>COUNTIFS($AT4:$AT335,"W",N4:N335,1)+COUNTIFS($AT4:$AT335,"W",N4:N335,2)+COUNTIFS($AT4:$AT335,"W",N4:N335,3)</f>
        <v>18</v>
      </c>
      <c r="O340" s="40"/>
      <c r="P340" s="40">
        <f>COUNTIFS(P4:P313,"W",AT4:AT313,"W")</f>
        <v>37</v>
      </c>
      <c r="Q340" s="40"/>
      <c r="R340" s="40"/>
      <c r="S340" s="40"/>
      <c r="T340" s="40">
        <f>COUNTIFS(U4:U335,"S",$AT4:$AT335,"W")</f>
        <v>40</v>
      </c>
      <c r="U340" s="38" t="s">
        <v>9091</v>
      </c>
      <c r="V340" s="40"/>
      <c r="W340" s="45" t="s">
        <v>9092</v>
      </c>
      <c r="X340" s="56">
        <f>COUNTIFS(X4:X313,"&lt;&gt;",Y4:Y313,"&lt;&gt;")</f>
        <v>12</v>
      </c>
      <c r="Y340" s="56">
        <f>COUNTIFS(Y4:Y335,"&lt;&gt;",X4:X335,"&lt;&gt;",$AT4:$AT335,"W")</f>
        <v>3</v>
      </c>
      <c r="Z340" s="56">
        <f>COUNTIFS(X4:X313,"&lt;&gt;",Y4:Y313,"&lt;&gt;",$AT4:$AT313,"L")</f>
        <v>3</v>
      </c>
      <c r="AA340" s="52"/>
      <c r="AB340" s="38"/>
      <c r="AC340" s="38"/>
      <c r="AD340" s="38"/>
      <c r="AE340" s="38"/>
      <c r="AF340" s="38"/>
      <c r="AG340" s="38"/>
      <c r="AH340" s="38"/>
      <c r="AI340" s="38"/>
      <c r="AJ340" s="38"/>
      <c r="AK340" s="38"/>
      <c r="AL340" s="38"/>
      <c r="AM340" s="38" t="s">
        <v>96</v>
      </c>
      <c r="AN340" s="38">
        <f>COUNTIF(AN7:AN338,"W")</f>
        <v>8</v>
      </c>
      <c r="AO340" s="38"/>
      <c r="AP340" s="42"/>
      <c r="AQ340" s="38"/>
      <c r="AR340" s="43"/>
      <c r="AS340" s="44"/>
      <c r="AT340" s="40"/>
      <c r="AU340" s="38"/>
      <c r="AV340" s="38"/>
      <c r="AW340" s="38"/>
      <c r="AX340" s="38"/>
      <c r="AY340" s="38"/>
      <c r="AZ340" s="38"/>
    </row>
    <row r="341" spans="1:52" ht="15">
      <c r="A341" s="38"/>
      <c r="B341" s="38"/>
      <c r="C341" s="38"/>
      <c r="D341" s="39"/>
      <c r="E341" s="38"/>
      <c r="F341" s="40"/>
      <c r="G341" s="38"/>
      <c r="H341" s="38"/>
      <c r="I341" s="39" t="s">
        <v>8013</v>
      </c>
      <c r="J341" s="14"/>
      <c r="K341" s="14"/>
      <c r="L341" s="52">
        <f>COUNTIFS($AT4:$AT335,"L",L4:L335,1)+COUNTIFS($AT4:$AT335,"L",L4:L335,2)+COUNTIFS($AT4:$AT335,"L",L4:L335,3)</f>
        <v>19</v>
      </c>
      <c r="M341" s="52">
        <f>COUNTIFS($AT4:$AT335,"L",M4:M335,1)+COUNTIFS($AT4:$AT335,"L",M4:M335,2)+COUNTIFS($AT4:$AT335,"L",M4:M335,3)</f>
        <v>18</v>
      </c>
      <c r="N341" s="52">
        <f>COUNTIFS($AT4:$AT335,"L",N4:N335,1)+COUNTIFS($AT4:$AT335,"L",N4:N335,2)+COUNTIFS($AT4:$AT335,"L",N4:N335,3)</f>
        <v>9</v>
      </c>
      <c r="O341" s="40"/>
      <c r="P341" s="40">
        <f>COUNTIFS(P4:P313,"W",AT4:AT313,"L")</f>
        <v>24</v>
      </c>
      <c r="Q341" s="40"/>
      <c r="R341" s="40"/>
      <c r="S341" s="40"/>
      <c r="T341" s="40">
        <f>COUNTIFS(U4:U335,"B",$AT4:$AT335,"L")</f>
        <v>22</v>
      </c>
      <c r="U341" s="38" t="s">
        <v>9093</v>
      </c>
      <c r="V341" s="40"/>
      <c r="W341" s="45" t="s">
        <v>9094</v>
      </c>
      <c r="X341" s="56">
        <f>COUNTIFS(X4:X313,"&lt;&gt;",Z4:Z313,"&lt;&gt;")</f>
        <v>3</v>
      </c>
      <c r="Y341" s="56">
        <f>COUNTIFS(X4:X313,"&lt;&gt;",Z4:Z313,"&lt;&gt;",$AT4:$AT313,"W")</f>
        <v>1</v>
      </c>
      <c r="Z341" s="56">
        <f>COUNTIFS(X4:X313,"&lt;&gt;",Z4:Z313,"&lt;&gt;",$AT4:$AT313,"L")</f>
        <v>0</v>
      </c>
      <c r="AA341" s="41"/>
      <c r="AB341" s="38"/>
      <c r="AC341" s="38"/>
      <c r="AD341" s="38"/>
      <c r="AE341" s="38"/>
      <c r="AF341" s="38"/>
      <c r="AG341" s="38"/>
      <c r="AH341" s="38"/>
      <c r="AI341" s="38"/>
      <c r="AJ341" s="38"/>
      <c r="AK341" s="38"/>
      <c r="AL341" s="38"/>
      <c r="AM341" s="38" t="s">
        <v>9088</v>
      </c>
      <c r="AN341" s="38"/>
      <c r="AO341" s="38"/>
      <c r="AP341" s="42"/>
      <c r="AQ341" s="38"/>
      <c r="AR341" s="43"/>
      <c r="AS341" s="44"/>
      <c r="AT341" s="40"/>
      <c r="AU341" s="38"/>
      <c r="AV341" s="38"/>
      <c r="AW341" s="38"/>
      <c r="AX341" s="38"/>
      <c r="AY341" s="38"/>
      <c r="AZ341" s="38"/>
    </row>
    <row r="342" spans="1:52" ht="15">
      <c r="I342" s="38" t="s">
        <v>9095</v>
      </c>
      <c r="J342" s="14"/>
      <c r="K342" s="14"/>
      <c r="L342" s="39">
        <f>SUMIFS(L4:L335,$AT4:$AT335,"W")</f>
        <v>100</v>
      </c>
      <c r="M342" s="39">
        <f>SUMIFS(M4:M335,$AT4:$AT335,"W")</f>
        <v>28</v>
      </c>
      <c r="N342" s="39">
        <f>SUMIFS(N4:N335,$AT4:$AT335,"W")</f>
        <v>20</v>
      </c>
      <c r="O342" s="40"/>
      <c r="P342" s="49">
        <f>COUNTIF(P4:P313,"R")</f>
        <v>102</v>
      </c>
      <c r="Q342" s="40"/>
      <c r="R342" s="40"/>
      <c r="S342" s="40"/>
      <c r="T342" s="40">
        <f>COUNTIFS(U4:U335,"S",$AT4:$AT335,"L")</f>
        <v>20</v>
      </c>
      <c r="U342" s="38" t="s">
        <v>9096</v>
      </c>
      <c r="V342" s="40"/>
      <c r="W342" s="45" t="s">
        <v>9097</v>
      </c>
      <c r="X342" s="56">
        <f>COUNTIFS(Z4:Z313,"&lt;&gt;",Y4:Y313,"&lt;&gt;")</f>
        <v>9</v>
      </c>
      <c r="Y342" s="56">
        <f>COUNTIFS(Z4:Z313,"&lt;&gt;",Y4:Y313,"&lt;&gt;",$AT4:$AT313,"W")</f>
        <v>6</v>
      </c>
      <c r="Z342" s="56">
        <f>COUNTIFS(Y4:Y313,"&lt;&gt;",Z4:Z313,"&lt;&gt;",$AT4:$AT313,"L")</f>
        <v>0</v>
      </c>
      <c r="AA342" s="41"/>
      <c r="AB342" s="38"/>
      <c r="AC342" s="38"/>
      <c r="AD342" s="38"/>
      <c r="AE342" s="38"/>
      <c r="AF342" s="38"/>
      <c r="AG342" s="38"/>
      <c r="AH342" s="38"/>
      <c r="AI342" s="38"/>
      <c r="AJ342" s="38"/>
      <c r="AK342" s="38"/>
      <c r="AL342" s="38"/>
      <c r="AM342" s="38" t="s">
        <v>1259</v>
      </c>
      <c r="AN342" s="38">
        <f>COUNTIFS(AN4:AN313,"M",AT4:AT313,"W")</f>
        <v>12</v>
      </c>
      <c r="AO342" s="38"/>
      <c r="AP342" s="42"/>
      <c r="AQ342" s="38" t="s">
        <v>9098</v>
      </c>
      <c r="AR342" s="68">
        <f>SUM(AR173:AR313)</f>
        <v>3323.8704999999168</v>
      </c>
    </row>
    <row r="343" spans="1:52" ht="15">
      <c r="I343" s="38" t="s">
        <v>9099</v>
      </c>
      <c r="J343" s="14"/>
      <c r="K343" s="14"/>
      <c r="L343" s="52">
        <f>SUMIFS(L4:L335,$AT4:$AT335,"L")</f>
        <v>26</v>
      </c>
      <c r="M343" s="52">
        <f>SUMIFS(M4:M335,$AT4:$AT335,"L")</f>
        <v>38</v>
      </c>
      <c r="N343" s="52">
        <f>SUMIFS(N4:N335,$AT4:$AT335,"L")</f>
        <v>18</v>
      </c>
      <c r="O343" s="40"/>
      <c r="P343" s="40">
        <f>COUNTIFS(P4:P313,"R",AT4:AT313,"W")</f>
        <v>56</v>
      </c>
      <c r="Q343" s="40"/>
      <c r="R343" s="40"/>
      <c r="S343" s="40"/>
      <c r="T343" s="40"/>
      <c r="U343" s="40"/>
      <c r="V343" s="40"/>
      <c r="W343" s="45" t="s">
        <v>9100</v>
      </c>
      <c r="X343" s="56">
        <f>COUNTIFS(X4:X313,"&lt;&gt;",Y4:Y313,"&lt;&gt;",Z4:Z313,"&lt;&gt;")</f>
        <v>2</v>
      </c>
      <c r="Y343" s="56">
        <f>COUNTIFS(X4:X313,"&lt;&gt;",Y4:Y313,"&lt;&gt;",Z4:Z313,"&lt;&gt;", $AT4:$AT313,"W")</f>
        <v>1</v>
      </c>
      <c r="Z343" s="56">
        <f>COUNTIFS(X4:X313,"&lt;&gt;",Y4:Y313,"&lt;&gt;",Z4:Z313,"&lt;&gt;",$AT4:$AT313,"L")</f>
        <v>0</v>
      </c>
      <c r="AA343" s="41"/>
      <c r="AB343" s="38"/>
      <c r="AC343" s="38"/>
      <c r="AD343" s="38"/>
      <c r="AE343" s="38"/>
      <c r="AF343" s="38"/>
      <c r="AG343" s="38"/>
      <c r="AH343" s="38"/>
      <c r="AI343" s="38"/>
      <c r="AJ343" s="38"/>
      <c r="AK343" s="38"/>
      <c r="AL343" s="38"/>
      <c r="AM343" s="38" t="s">
        <v>372</v>
      </c>
      <c r="AN343" s="38">
        <f>COUNTIFS(AN5:AN335,"H",AT5:AT335,"W")</f>
        <v>40</v>
      </c>
      <c r="AO343" s="38"/>
      <c r="AP343" s="42"/>
      <c r="AQ343" s="38"/>
      <c r="AR343" s="43"/>
    </row>
    <row r="344" spans="1:52" ht="12.75">
      <c r="I344" s="38" t="s">
        <v>9101</v>
      </c>
      <c r="J344" s="14"/>
      <c r="K344" s="14"/>
      <c r="L344" s="39">
        <f t="shared" ref="L344:N344" si="122">L340*3</f>
        <v>222</v>
      </c>
      <c r="M344" s="39">
        <f t="shared" si="122"/>
        <v>57</v>
      </c>
      <c r="N344" s="39">
        <f t="shared" si="122"/>
        <v>54</v>
      </c>
      <c r="O344" s="40"/>
      <c r="P344" s="40">
        <f>COUNTIFS(P4:P313,"R",AT4:AT313,"L")</f>
        <v>11</v>
      </c>
      <c r="Q344" s="40"/>
      <c r="R344" s="40"/>
      <c r="S344" s="40"/>
      <c r="T344" s="40">
        <f>SUMIFS(AS4:AS313,AT4:AT313,"W",U4:U313,"B")</f>
        <v>3943.8854999999994</v>
      </c>
      <c r="U344" s="40" t="s">
        <v>9102</v>
      </c>
      <c r="V344" s="40"/>
      <c r="W344" s="40"/>
      <c r="X344" s="39"/>
      <c r="Y344" s="39"/>
      <c r="Z344" s="39"/>
      <c r="AA344" s="41"/>
      <c r="AB344" s="38"/>
      <c r="AC344" s="38"/>
      <c r="AD344" s="38"/>
      <c r="AE344" s="38"/>
      <c r="AF344" s="38"/>
      <c r="AG344" s="38"/>
      <c r="AH344" s="38"/>
      <c r="AI344" s="38"/>
      <c r="AJ344" s="38"/>
      <c r="AK344" s="38"/>
      <c r="AL344" s="38"/>
      <c r="AM344" s="38" t="s">
        <v>115</v>
      </c>
      <c r="AN344" s="38">
        <f>COUNTIFS(AN6:AN336,"D",AT6:AT336,"W")</f>
        <v>21</v>
      </c>
      <c r="AO344" s="38"/>
      <c r="AP344" s="42"/>
      <c r="AQ344" s="38"/>
      <c r="AR344" s="43"/>
    </row>
    <row r="345" spans="1:52" ht="15">
      <c r="I345" s="38" t="s">
        <v>9103</v>
      </c>
      <c r="J345" s="14"/>
      <c r="K345" s="14"/>
      <c r="L345" s="39">
        <f t="shared" ref="L345:N345" si="123">L341*3</f>
        <v>57</v>
      </c>
      <c r="M345" s="39">
        <f t="shared" si="123"/>
        <v>54</v>
      </c>
      <c r="N345" s="39">
        <f t="shared" si="123"/>
        <v>27</v>
      </c>
      <c r="O345" s="40"/>
      <c r="P345" s="49">
        <f>COUNTIF(P4:P313,"G")</f>
        <v>2</v>
      </c>
      <c r="Q345" s="40"/>
      <c r="R345" s="40"/>
      <c r="S345" s="40"/>
      <c r="T345" s="63">
        <f>SUMIFS(AS4:AS313,AT4:AT313,"L",U4:U313,"B")</f>
        <v>-1641.5500000000352</v>
      </c>
      <c r="U345" s="40" t="s">
        <v>9093</v>
      </c>
      <c r="V345" s="40"/>
      <c r="W345" s="40"/>
      <c r="X345" s="39"/>
      <c r="Y345" s="39"/>
      <c r="Z345" s="39"/>
      <c r="AA345" s="41"/>
      <c r="AB345" s="38"/>
      <c r="AC345" s="38"/>
      <c r="AD345" s="38"/>
      <c r="AE345" s="38"/>
      <c r="AF345" s="38"/>
      <c r="AG345" s="38"/>
      <c r="AH345" s="38"/>
      <c r="AI345" s="38"/>
      <c r="AJ345" s="38"/>
      <c r="AK345" s="38"/>
      <c r="AL345" s="38"/>
      <c r="AM345" s="38" t="s">
        <v>96</v>
      </c>
      <c r="AN345" s="38">
        <f>COUNTIFS(AN7:AN338,"W",AT7:AT338,"W")</f>
        <v>6</v>
      </c>
      <c r="AO345" s="38"/>
      <c r="AP345" s="42"/>
      <c r="AQ345" s="38"/>
      <c r="AR345" s="43"/>
    </row>
    <row r="346" spans="1:52" ht="12.75">
      <c r="I346" s="38"/>
      <c r="J346" s="14"/>
      <c r="K346" s="14"/>
      <c r="L346" s="38"/>
      <c r="M346" s="38"/>
      <c r="N346" s="38"/>
      <c r="O346" s="40"/>
      <c r="P346" s="40">
        <f>COUNTIFS(P4:P313,"G",AT4:AT313,"W")</f>
        <v>0</v>
      </c>
      <c r="Q346" s="40"/>
      <c r="R346" s="40"/>
      <c r="S346" s="40"/>
      <c r="T346" s="40"/>
      <c r="U346" s="40"/>
      <c r="V346" s="40"/>
      <c r="W346" s="40"/>
      <c r="X346" s="39"/>
      <c r="Y346" s="39"/>
      <c r="Z346" s="39"/>
      <c r="AA346" s="41"/>
      <c r="AB346" s="38"/>
      <c r="AC346" s="38"/>
      <c r="AD346" s="38"/>
      <c r="AE346" s="38"/>
      <c r="AF346" s="38"/>
      <c r="AG346" s="38"/>
      <c r="AH346" s="38"/>
      <c r="AI346" s="38"/>
      <c r="AJ346" s="38"/>
      <c r="AK346" s="38"/>
      <c r="AL346" s="38"/>
      <c r="AM346" s="38" t="s">
        <v>8013</v>
      </c>
      <c r="AN346" s="38"/>
      <c r="AO346" s="38"/>
      <c r="AP346" s="42"/>
      <c r="AQ346" s="38"/>
      <c r="AR346" s="43"/>
    </row>
    <row r="347" spans="1:52" ht="15">
      <c r="I347" s="38"/>
      <c r="J347" s="14"/>
      <c r="K347" s="14"/>
      <c r="L347" s="38"/>
      <c r="M347" s="38"/>
      <c r="N347" s="38"/>
      <c r="O347" s="40"/>
      <c r="P347" s="40">
        <f>COUNTIFS(P4:P313,"G",AT4:AT313,"L")</f>
        <v>2</v>
      </c>
      <c r="Q347" s="40"/>
      <c r="R347" s="40"/>
      <c r="S347" s="40"/>
      <c r="T347" s="63">
        <f>SUMIFS(AS4:AS313,AT4:AT313,"W",U4:U313,"S")</f>
        <v>1487.9499999999796</v>
      </c>
      <c r="U347" s="40" t="s">
        <v>9104</v>
      </c>
      <c r="V347" s="40"/>
      <c r="W347" s="40"/>
      <c r="X347" s="39"/>
      <c r="Y347" s="39"/>
      <c r="Z347" s="39"/>
      <c r="AA347" s="41"/>
      <c r="AB347" s="38"/>
      <c r="AC347" s="38"/>
      <c r="AD347" s="38"/>
      <c r="AE347" s="38"/>
      <c r="AF347" s="38"/>
      <c r="AG347" s="38"/>
      <c r="AH347" s="38"/>
      <c r="AI347" s="38"/>
      <c r="AJ347" s="38"/>
      <c r="AK347" s="38"/>
      <c r="AL347" s="38"/>
      <c r="AM347" s="38" t="s">
        <v>1259</v>
      </c>
      <c r="AN347" s="56">
        <f>COUNTIFS(AN4:AN313,"M",AT4:AT313,"L")</f>
        <v>4</v>
      </c>
      <c r="AO347" s="38"/>
      <c r="AP347" s="42"/>
      <c r="AQ347" s="38"/>
      <c r="AR347" s="43"/>
    </row>
    <row r="348" spans="1:52" ht="15">
      <c r="I348" s="38"/>
      <c r="J348" s="14"/>
      <c r="K348" s="14"/>
      <c r="L348" s="38"/>
      <c r="M348" s="38"/>
      <c r="N348" s="38"/>
      <c r="O348" s="40"/>
      <c r="P348" s="40"/>
      <c r="Q348" s="40"/>
      <c r="R348" s="40"/>
      <c r="S348" s="40"/>
      <c r="T348" s="63">
        <f>SUMIFS(AS4:AS313,AT4:AT313,"L",U4:U313,"S")</f>
        <v>-1460.07945000004</v>
      </c>
      <c r="U348" s="40" t="s">
        <v>9096</v>
      </c>
      <c r="V348" s="40"/>
      <c r="W348" s="40"/>
      <c r="X348" s="39"/>
      <c r="Y348" s="39"/>
      <c r="Z348" s="39"/>
      <c r="AA348" s="41"/>
      <c r="AB348" s="38"/>
      <c r="AC348" s="38"/>
      <c r="AD348" s="38"/>
      <c r="AE348" s="38"/>
      <c r="AF348" s="38"/>
      <c r="AG348" s="38"/>
      <c r="AH348" s="38"/>
      <c r="AI348" s="38"/>
      <c r="AJ348" s="38"/>
      <c r="AK348" s="38"/>
      <c r="AL348" s="38"/>
      <c r="AM348" s="38" t="s">
        <v>372</v>
      </c>
      <c r="AN348" s="56">
        <f>COUNTIFS(AN5:AN335,"H",AT5:AT335,"L")</f>
        <v>22</v>
      </c>
      <c r="AO348" s="38"/>
      <c r="AP348" s="42"/>
      <c r="AQ348" s="38"/>
      <c r="AR348" s="43"/>
    </row>
    <row r="349" spans="1:52" ht="15">
      <c r="I349" s="38" t="s">
        <v>9105</v>
      </c>
      <c r="J349" s="14"/>
      <c r="K349" s="14"/>
      <c r="L349" s="38"/>
      <c r="M349" s="38"/>
      <c r="N349" s="38"/>
      <c r="O349" s="40"/>
      <c r="P349" s="40"/>
      <c r="Q349" s="40"/>
      <c r="R349" s="40"/>
      <c r="S349" s="40"/>
      <c r="T349" s="40"/>
      <c r="U349" s="40"/>
      <c r="V349" s="40"/>
      <c r="W349" s="40" t="s">
        <v>9105</v>
      </c>
      <c r="X349" s="39">
        <f>SUMIFS(AS4:AS313,AT4:AT313,"W",X4:X313,"&lt;&gt;")</f>
        <v>3170.1599999999921</v>
      </c>
      <c r="Y349" s="56">
        <f>SUMIFS(AS4:AS313,AT4:AT313,"W",Y4:Y313,"&lt;&gt;")</f>
        <v>846.92499999996539</v>
      </c>
      <c r="Z349" s="56">
        <f>SUMIFS(AS4:AS313,AT4:AT313,"W",Z4:Z313,"&lt;&gt;")</f>
        <v>2072.4254999999876</v>
      </c>
      <c r="AA349" s="41"/>
      <c r="AB349" s="38"/>
      <c r="AC349" s="38"/>
      <c r="AD349" s="38"/>
      <c r="AE349" s="38"/>
      <c r="AF349" s="38"/>
      <c r="AG349" s="38"/>
      <c r="AH349" s="38"/>
      <c r="AI349" s="38"/>
      <c r="AJ349" s="38"/>
      <c r="AK349" s="38"/>
      <c r="AL349" s="38"/>
      <c r="AM349" s="38" t="s">
        <v>115</v>
      </c>
      <c r="AN349" s="56">
        <f>COUNTIFS(AN6:AN336,"D",AT6:AT336,"L")</f>
        <v>7</v>
      </c>
      <c r="AO349" s="38"/>
      <c r="AP349" s="42"/>
      <c r="AQ349" s="38"/>
      <c r="AR349" s="43"/>
    </row>
    <row r="350" spans="1:52" ht="15">
      <c r="I350" s="38" t="s">
        <v>137</v>
      </c>
      <c r="J350" s="14"/>
      <c r="K350" s="14"/>
      <c r="L350" s="38">
        <f>SUMIFS(AS4:AS313,AT4:AT313,"W",L4:L313,"&lt;&gt;")</f>
        <v>4181.9805000000224</v>
      </c>
      <c r="M350" s="38"/>
      <c r="N350" s="38"/>
      <c r="O350" s="49"/>
      <c r="P350" s="49" t="s">
        <v>684</v>
      </c>
      <c r="Q350" s="49">
        <f>COUNTIF(Q4:Q313,"O")</f>
        <v>66</v>
      </c>
      <c r="R350" s="49"/>
      <c r="S350" s="40"/>
      <c r="T350" s="40"/>
      <c r="U350" s="40"/>
      <c r="V350" s="40"/>
      <c r="W350" s="40" t="s">
        <v>8013</v>
      </c>
      <c r="X350" s="56">
        <f>SUMIFS(AS4:AS313,AT4:AT313,"L",X4:X313,"&lt;&gt;")</f>
        <v>-2065.1494500000249</v>
      </c>
      <c r="Y350" s="56">
        <f>SUMIFS(AS4:AS313,AT4:AT313,"L",Y4:Y313,"&lt;&gt;")</f>
        <v>-1171.8944500000143</v>
      </c>
      <c r="Z350" s="56">
        <f>SUMIFS(AS4:AS313,AT4:AT313,"L",Z4:Z313,"&lt;&gt;")</f>
        <v>-124.87500000000853</v>
      </c>
      <c r="AA350" s="41"/>
      <c r="AB350" s="38"/>
      <c r="AC350" s="38"/>
      <c r="AD350" s="38"/>
      <c r="AE350" s="38"/>
      <c r="AF350" s="38"/>
      <c r="AG350" s="38"/>
      <c r="AH350" s="38"/>
      <c r="AI350" s="38"/>
      <c r="AJ350" s="38"/>
      <c r="AK350" s="38"/>
      <c r="AL350" s="38"/>
      <c r="AM350" s="38" t="s">
        <v>96</v>
      </c>
      <c r="AN350" s="56">
        <f>COUNTIFS(AN7:AN338,"W",AT7:AT338,"L")</f>
        <v>1</v>
      </c>
      <c r="AO350" s="38"/>
      <c r="AP350" s="42"/>
      <c r="AQ350" s="38"/>
      <c r="AR350" s="43"/>
    </row>
    <row r="351" spans="1:52" ht="12.75">
      <c r="I351" s="38" t="s">
        <v>7357</v>
      </c>
      <c r="J351" s="14"/>
      <c r="K351" s="14"/>
      <c r="L351" s="38">
        <f>SUMIFS(AS4:AS313,AT4:AT313,"W",M4:M313,"&lt;&gt;")</f>
        <v>993.50550000000089</v>
      </c>
      <c r="M351" s="38"/>
      <c r="N351" s="38"/>
      <c r="O351" s="49"/>
      <c r="P351" s="49" t="s">
        <v>9106</v>
      </c>
      <c r="Q351" s="49">
        <f>COUNTIFS(Q4:Q313,"O",AT4:AT313,"W")</f>
        <v>32</v>
      </c>
      <c r="R351" s="49">
        <f>SUMIFS(AS4:AS313,AT4:AT313,"W",Q4:Q313,"O")</f>
        <v>3145.1849999999845</v>
      </c>
      <c r="S351" s="40"/>
      <c r="T351" s="40"/>
      <c r="U351" s="40"/>
      <c r="V351" s="40"/>
      <c r="W351" s="40"/>
      <c r="X351" s="39"/>
      <c r="Y351" s="39"/>
      <c r="Z351" s="39"/>
      <c r="AA351" s="41"/>
      <c r="AB351" s="38"/>
      <c r="AC351" s="38"/>
      <c r="AD351" s="38"/>
      <c r="AE351" s="38"/>
      <c r="AF351" s="38"/>
      <c r="AG351" s="38"/>
      <c r="AH351" s="38"/>
      <c r="AI351" s="38"/>
      <c r="AJ351" s="38"/>
      <c r="AK351" s="38"/>
      <c r="AL351" s="38"/>
      <c r="AM351" s="38"/>
      <c r="AN351" s="38"/>
      <c r="AO351" s="38"/>
      <c r="AP351" s="42"/>
      <c r="AQ351" s="38"/>
      <c r="AR351" s="43"/>
    </row>
    <row r="352" spans="1:52" ht="15">
      <c r="I352" s="38" t="s">
        <v>97</v>
      </c>
      <c r="J352" s="14"/>
      <c r="K352" s="14"/>
      <c r="L352" s="56">
        <f>SUMIFS(AS4:AS313,AT4:AT313,"W",N4:N313,"&lt;&gt;")</f>
        <v>857.47499999998456</v>
      </c>
      <c r="M352" s="38"/>
      <c r="N352" s="38"/>
      <c r="O352" s="49"/>
      <c r="P352" s="49" t="s">
        <v>9107</v>
      </c>
      <c r="Q352" s="49">
        <f>COUNTIFS(Q4:Q313,"O",AT4:AT313,"L")</f>
        <v>31</v>
      </c>
      <c r="R352" s="49">
        <f>SUMIFS(AS4:AS313,AT4:AT313,"L",Q4:Q313,"O")</f>
        <v>-2505.0100000000707</v>
      </c>
      <c r="S352" s="40"/>
      <c r="T352" s="40"/>
      <c r="U352" s="40"/>
      <c r="V352" s="40"/>
      <c r="W352" s="40"/>
      <c r="X352" s="39"/>
      <c r="Y352" s="39"/>
      <c r="Z352" s="39"/>
      <c r="AA352" s="41"/>
      <c r="AB352" s="38"/>
      <c r="AC352" s="38"/>
      <c r="AD352" s="38"/>
      <c r="AE352" s="38"/>
      <c r="AF352" s="38"/>
      <c r="AG352" s="38"/>
      <c r="AH352" s="38"/>
      <c r="AI352" s="38"/>
      <c r="AJ352" s="38"/>
      <c r="AK352" s="38"/>
      <c r="AL352" s="38"/>
      <c r="AM352" s="38" t="s">
        <v>9105</v>
      </c>
      <c r="AN352" s="38"/>
      <c r="AO352" s="38"/>
      <c r="AP352" s="42"/>
      <c r="AQ352" s="38"/>
      <c r="AR352" s="43"/>
    </row>
    <row r="353" spans="9:44" ht="12.75">
      <c r="I353" s="38"/>
      <c r="J353" s="14"/>
      <c r="K353" s="14"/>
      <c r="L353" s="38"/>
      <c r="M353" s="38"/>
      <c r="N353" s="38"/>
      <c r="O353" s="49"/>
      <c r="P353" s="73"/>
      <c r="Q353" s="49"/>
      <c r="R353" s="49"/>
      <c r="S353" s="40"/>
      <c r="T353" s="40"/>
      <c r="U353" s="40"/>
      <c r="V353" s="40"/>
      <c r="W353" s="40"/>
      <c r="X353" s="39"/>
      <c r="Y353" s="39"/>
      <c r="Z353" s="39"/>
      <c r="AA353" s="41"/>
      <c r="AB353" s="38"/>
      <c r="AC353" s="38"/>
      <c r="AD353" s="38"/>
      <c r="AE353" s="38"/>
      <c r="AF353" s="38"/>
      <c r="AG353" s="38"/>
      <c r="AH353" s="38"/>
      <c r="AI353" s="38"/>
      <c r="AJ353" s="38"/>
      <c r="AK353" s="38"/>
      <c r="AL353" s="38"/>
      <c r="AM353" s="38" t="s">
        <v>1259</v>
      </c>
      <c r="AN353" s="38">
        <f>SUMIFS(AS4:AS313,AT4:AT313,"W",AN4:AN313,"M")</f>
        <v>264.73500000003173</v>
      </c>
      <c r="AO353" s="38"/>
      <c r="AP353" s="42"/>
      <c r="AQ353" s="38"/>
      <c r="AR353" s="43"/>
    </row>
    <row r="354" spans="9:44" ht="12.75">
      <c r="I354" s="38" t="s">
        <v>8013</v>
      </c>
      <c r="J354" s="14"/>
      <c r="K354" s="14"/>
      <c r="L354" s="38"/>
      <c r="M354" s="38"/>
      <c r="N354" s="38"/>
      <c r="O354" s="49"/>
      <c r="P354" s="49" t="s">
        <v>97</v>
      </c>
      <c r="Q354" s="49">
        <f>COUNTIFS(Q4:Q313,"S")</f>
        <v>65</v>
      </c>
      <c r="R354" s="49"/>
      <c r="S354" s="40"/>
      <c r="T354" s="40"/>
      <c r="U354" s="40"/>
      <c r="V354" s="40"/>
      <c r="W354" s="40"/>
      <c r="X354" s="39"/>
      <c r="Y354" s="39"/>
      <c r="Z354" s="39"/>
      <c r="AA354" s="41"/>
      <c r="AB354" s="38"/>
      <c r="AC354" s="38"/>
      <c r="AD354" s="38"/>
      <c r="AE354" s="38"/>
      <c r="AF354" s="38"/>
      <c r="AG354" s="38"/>
      <c r="AH354" s="38"/>
      <c r="AI354" s="38"/>
      <c r="AJ354" s="38"/>
      <c r="AK354" s="38"/>
      <c r="AL354" s="38"/>
      <c r="AM354" s="38" t="s">
        <v>372</v>
      </c>
      <c r="AN354" s="38">
        <f>SUMIFS(AS4:AS313,AT4:AT313,"W",AN4:AN313,"H")</f>
        <v>1022.3099999999865</v>
      </c>
      <c r="AO354" s="38"/>
      <c r="AP354" s="42"/>
      <c r="AQ354" s="38"/>
      <c r="AR354" s="43"/>
    </row>
    <row r="355" spans="9:44" ht="17.25">
      <c r="I355" s="38" t="s">
        <v>7357</v>
      </c>
      <c r="J355" s="14"/>
      <c r="K355" s="14"/>
      <c r="L355" s="38">
        <f>SUMIFS(AS4:AS313,AT4:AT313,"L",L4:L313,"&lt;&gt;")</f>
        <v>-1462.0849999999916</v>
      </c>
      <c r="M355" s="38"/>
      <c r="N355" s="38"/>
      <c r="O355" s="49"/>
      <c r="P355" s="49" t="s">
        <v>9108</v>
      </c>
      <c r="Q355" s="49">
        <f>COUNTIFS(Q4:Q313,"S",AT4:AT313,"W")</f>
        <v>44</v>
      </c>
      <c r="R355" s="74">
        <f>SUMIFS(AS4:AS313,AT4:AT313,"W",Q4:Q313,"S")</f>
        <v>1033.9649999999949</v>
      </c>
      <c r="S355" s="40"/>
      <c r="T355" s="40"/>
      <c r="U355" s="40"/>
      <c r="V355" s="40"/>
      <c r="W355" s="40"/>
      <c r="X355" s="39"/>
      <c r="Y355" s="39"/>
      <c r="Z355" s="39"/>
      <c r="AA355" s="41"/>
      <c r="AB355" s="38"/>
      <c r="AC355" s="38"/>
      <c r="AD355" s="38"/>
      <c r="AE355" s="38"/>
      <c r="AF355" s="38"/>
      <c r="AG355" s="38"/>
      <c r="AH355" s="38"/>
      <c r="AI355" s="38"/>
      <c r="AJ355" s="38"/>
      <c r="AK355" s="38"/>
      <c r="AL355" s="38"/>
      <c r="AM355" s="38" t="s">
        <v>115</v>
      </c>
      <c r="AN355" s="38">
        <f>SUMIFS(AS4:AS313,AT4:AT313,"W",AN4:AN313,"D")</f>
        <v>2505.3255000000217</v>
      </c>
      <c r="AO355" s="38"/>
      <c r="AP355" s="42"/>
      <c r="AQ355" s="38"/>
      <c r="AR355" s="43"/>
    </row>
    <row r="356" spans="9:44" ht="15">
      <c r="I356" s="38" t="s">
        <v>137</v>
      </c>
      <c r="J356" s="14"/>
      <c r="K356" s="14"/>
      <c r="L356" s="56">
        <f>SUMIFS(AS4:AS313,AT4:AT313,"L",M4:M313,"&lt;&gt;")</f>
        <v>-1481.5844500000494</v>
      </c>
      <c r="M356" s="38"/>
      <c r="N356" s="38"/>
      <c r="O356" s="49"/>
      <c r="P356" s="49" t="s">
        <v>9109</v>
      </c>
      <c r="Q356" s="49">
        <f>COUNTIFS(Q4:Q313,"S",AT4:AT313,"L")</f>
        <v>9</v>
      </c>
      <c r="R356" s="49">
        <f>SUMIFS(AS4:AS313,AT4:AT313,"L",Q4:Q313,"S")</f>
        <v>-380.16944999998771</v>
      </c>
      <c r="S356" s="40"/>
      <c r="T356" s="40"/>
      <c r="U356" s="40"/>
      <c r="V356" s="40"/>
      <c r="W356" s="40"/>
      <c r="X356" s="39"/>
      <c r="Y356" s="39"/>
      <c r="Z356" s="39"/>
      <c r="AA356" s="41"/>
      <c r="AB356" s="38"/>
      <c r="AC356" s="38"/>
      <c r="AD356" s="38"/>
      <c r="AE356" s="38"/>
      <c r="AF356" s="38"/>
      <c r="AG356" s="38"/>
      <c r="AH356" s="38"/>
      <c r="AI356" s="38"/>
      <c r="AJ356" s="38"/>
      <c r="AK356" s="38"/>
      <c r="AL356" s="38"/>
      <c r="AM356" s="38" t="s">
        <v>96</v>
      </c>
      <c r="AN356" s="38">
        <f>SUMIFS(AS4:AS313,AT4:AT313,"W",AN4:AN313,"W")</f>
        <v>484.51499999999993</v>
      </c>
      <c r="AO356" s="38"/>
      <c r="AP356" s="42"/>
      <c r="AQ356" s="38"/>
      <c r="AR356" s="43"/>
    </row>
    <row r="357" spans="9:44" ht="15">
      <c r="I357" s="38" t="s">
        <v>97</v>
      </c>
      <c r="J357" s="14"/>
      <c r="K357" s="14"/>
      <c r="L357" s="56">
        <f>SUMIFS(AS4:AS313,AT4:AT313,"L",N4:N313,"&lt;&gt;")</f>
        <v>-646.56944999997154</v>
      </c>
      <c r="M357" s="38"/>
      <c r="N357" s="38"/>
      <c r="O357" s="49"/>
      <c r="P357" s="73"/>
      <c r="Q357" s="49"/>
      <c r="R357" s="49"/>
      <c r="S357" s="40"/>
      <c r="T357" s="40"/>
      <c r="U357" s="40"/>
      <c r="V357" s="40"/>
      <c r="W357" s="40"/>
      <c r="X357" s="39"/>
      <c r="Y357" s="39"/>
      <c r="Z357" s="39"/>
      <c r="AA357" s="41"/>
      <c r="AB357" s="38"/>
      <c r="AC357" s="38"/>
      <c r="AD357" s="38"/>
      <c r="AE357" s="38"/>
      <c r="AF357" s="38"/>
      <c r="AG357" s="38"/>
      <c r="AH357" s="38"/>
      <c r="AI357" s="38"/>
      <c r="AJ357" s="38"/>
      <c r="AK357" s="38"/>
      <c r="AL357" s="38"/>
      <c r="AM357" s="38" t="s">
        <v>8013</v>
      </c>
      <c r="AN357" s="38"/>
      <c r="AO357" s="38"/>
      <c r="AP357" s="42"/>
      <c r="AQ357" s="38"/>
      <c r="AR357" s="43"/>
    </row>
    <row r="358" spans="9:44" ht="15">
      <c r="P358" s="49" t="s">
        <v>256</v>
      </c>
      <c r="Q358" s="49">
        <f>COUNTIFS(Q4:Q313,"F")</f>
        <v>32</v>
      </c>
      <c r="R358" s="49"/>
      <c r="S358" s="40"/>
      <c r="T358" s="40"/>
      <c r="U358" s="40"/>
      <c r="V358" s="40"/>
      <c r="W358" s="40"/>
      <c r="X358" s="39"/>
      <c r="Y358" s="39"/>
      <c r="Z358" s="39"/>
      <c r="AA358" s="41"/>
      <c r="AB358" s="38"/>
      <c r="AC358" s="38"/>
      <c r="AD358" s="38"/>
      <c r="AE358" s="38"/>
      <c r="AF358" s="38"/>
      <c r="AG358" s="38"/>
      <c r="AH358" s="38"/>
      <c r="AI358" s="38"/>
      <c r="AJ358" s="38"/>
      <c r="AK358" s="38"/>
      <c r="AL358" s="38"/>
      <c r="AM358" s="38" t="s">
        <v>1259</v>
      </c>
      <c r="AN358" s="56">
        <f>SUMIFS(AS4:AS313,AT4:AT313,"L",AN4:AN313,"M")</f>
        <v>-322.47500000000309</v>
      </c>
    </row>
    <row r="359" spans="9:44" ht="17.25">
      <c r="P359" s="49" t="s">
        <v>9110</v>
      </c>
      <c r="Q359" s="49">
        <f>COUNTIFS(Q4:Q313,"F",AT4:AT313,"W")</f>
        <v>17</v>
      </c>
      <c r="R359" s="74">
        <f>SUMIFS(AS4:AS313,AT4:AT313,"W",Q4:Q313,"F")</f>
        <v>1080.0855000000086</v>
      </c>
      <c r="S359" s="40"/>
      <c r="T359" s="40"/>
      <c r="U359" s="75"/>
      <c r="V359" s="75"/>
      <c r="W359" s="75"/>
      <c r="X359" s="37"/>
      <c r="Y359" s="37"/>
      <c r="Z359" s="37"/>
      <c r="AA359" s="76"/>
      <c r="AB359" s="61"/>
      <c r="AC359" s="61"/>
      <c r="AD359" s="61"/>
      <c r="AE359" s="61"/>
      <c r="AF359" s="61"/>
      <c r="AG359" s="61"/>
      <c r="AH359" s="61"/>
      <c r="AI359" s="61"/>
      <c r="AJ359" s="61"/>
      <c r="AK359" s="61"/>
      <c r="AL359" s="38"/>
      <c r="AM359" s="38" t="s">
        <v>372</v>
      </c>
      <c r="AN359" s="56">
        <f>SUMIFS(AS4:AS313,AT4:AT313,"L",AN4:AN313,"H")</f>
        <v>-1262.4794500000689</v>
      </c>
    </row>
    <row r="360" spans="9:44" ht="15.75" customHeight="1">
      <c r="P360" s="49" t="s">
        <v>9111</v>
      </c>
      <c r="Q360" s="49">
        <f>COUNTIFS(Q4:Q313,"F",AT4:AT313,"L")</f>
        <v>1</v>
      </c>
      <c r="R360" s="40">
        <f>SUMIFS(AS4:AS313,AT4:AT313,"L",Q4:Q313,"F")</f>
        <v>-16.650000000008514</v>
      </c>
      <c r="S360" s="40"/>
      <c r="T360" s="40"/>
      <c r="U360" s="75"/>
      <c r="V360" s="75"/>
      <c r="W360" s="75"/>
      <c r="X360" s="37"/>
      <c r="Y360" s="37"/>
      <c r="Z360" s="37"/>
      <c r="AA360" s="76"/>
      <c r="AB360" s="61"/>
      <c r="AC360" s="61"/>
      <c r="AD360" s="61"/>
      <c r="AE360" s="61"/>
      <c r="AF360" s="61"/>
      <c r="AG360" s="61"/>
      <c r="AH360" s="61"/>
      <c r="AI360" s="61"/>
      <c r="AJ360" s="61"/>
      <c r="AK360" s="61"/>
      <c r="AL360" s="38"/>
      <c r="AM360" s="38" t="s">
        <v>115</v>
      </c>
      <c r="AN360" s="56">
        <f>SUMIFS(AS4:AS313,AT4:AT313,"L",AN4:AN313,"D")</f>
        <v>-859.00000000001364</v>
      </c>
    </row>
    <row r="361" spans="9:44" ht="15.75" customHeight="1">
      <c r="P361" s="40"/>
      <c r="Q361" s="40"/>
      <c r="R361" s="40"/>
      <c r="S361" s="40"/>
      <c r="T361" s="40"/>
      <c r="U361" s="75"/>
      <c r="V361" s="75"/>
      <c r="W361" s="75"/>
      <c r="X361" s="37"/>
      <c r="Y361" s="37"/>
      <c r="Z361" s="37"/>
      <c r="AA361" s="76"/>
      <c r="AB361" s="61"/>
      <c r="AC361" s="61"/>
      <c r="AD361" s="61"/>
      <c r="AE361" s="61"/>
      <c r="AF361" s="61"/>
      <c r="AG361" s="61"/>
      <c r="AH361" s="61"/>
      <c r="AI361" s="61"/>
      <c r="AJ361" s="61"/>
      <c r="AK361" s="61"/>
      <c r="AL361" s="38"/>
      <c r="AM361" s="38" t="s">
        <v>96</v>
      </c>
      <c r="AN361" s="56">
        <f>SUMIFS(AS4:AS313,AT4:AT313,"L",AN4:AN313,"W")</f>
        <v>-83.250000000018915</v>
      </c>
    </row>
    <row r="408" spans="23:23" ht="15.75" customHeight="1">
      <c r="W408" t="str">
        <f>IF(ISBLANK(O408),"",IF(O408=UPPER("IB"),8.63*200,16.1*100))</f>
        <v/>
      </c>
    </row>
  </sheetData>
  <autoFilter ref="A2:AZ313" xr:uid="{00000000-0009-0000-0000-000001000000}"/>
  <mergeCells count="9">
    <mergeCell ref="A1:E1"/>
    <mergeCell ref="AU1:AW1"/>
    <mergeCell ref="AX1:AZ1"/>
    <mergeCell ref="G1:I1"/>
    <mergeCell ref="L1:N1"/>
    <mergeCell ref="O1:W1"/>
    <mergeCell ref="X1:Z1"/>
    <mergeCell ref="AA1:AP1"/>
    <mergeCell ref="AQ1:AT1"/>
  </mergeCells>
  <conditionalFormatting sqref="A305:G306 A307:E308 G307:G308">
    <cfRule type="expression" dxfId="46" priority="23">
      <formula>$AT305="D"</formula>
    </cfRule>
  </conditionalFormatting>
  <conditionalFormatting sqref="A305:N306 P305:U308 X305:AP308 AT305:BC308 A307:E308 G307:N308">
    <cfRule type="expression" dxfId="45" priority="13">
      <formula>$AT305="L"</formula>
    </cfRule>
  </conditionalFormatting>
  <conditionalFormatting sqref="A3:AT295 A296:AZ301 A302:V304 A309:N317 A318:AZ334 AU3:AU292 AV3:AZ295 AU294:AU295 X302:AZ304 W302:W308 V305:V308 O305:O313 AQ305:AS317 P309:AP313 AT309:AZ317 O314:AS315 O316:AP317">
    <cfRule type="expression" dxfId="44" priority="35">
      <formula>$AT3="L"</formula>
    </cfRule>
  </conditionalFormatting>
  <conditionalFormatting sqref="A241:AZ242">
    <cfRule type="expression" dxfId="43" priority="39">
      <formula>$AT241="W"</formula>
    </cfRule>
  </conditionalFormatting>
  <conditionalFormatting sqref="B291:D292">
    <cfRule type="expression" dxfId="42" priority="26">
      <formula>$AS291="W"</formula>
    </cfRule>
    <cfRule type="expression" dxfId="41" priority="27">
      <formula>$AS291="L"</formula>
    </cfRule>
  </conditionalFormatting>
  <conditionalFormatting sqref="B282:BD283 AY265 A282:A290">
    <cfRule type="expression" dxfId="40" priority="32">
      <formula>$AU265="W"</formula>
    </cfRule>
  </conditionalFormatting>
  <conditionalFormatting sqref="F307:F308">
    <cfRule type="expression" dxfId="39" priority="3">
      <formula>$AT307="L"</formula>
    </cfRule>
    <cfRule type="expression" dxfId="38" priority="4">
      <formula>$AT307="W"</formula>
    </cfRule>
  </conditionalFormatting>
  <conditionalFormatting sqref="G3:I295 J46:L46 J107:K107 J110:L110 J216:K216 J254:K254 J264:K264 J278:K278 J294:K294 G296:K296 G297:I304 G309:I311 G312:K312 G313:I317 G318:K318 G319:I334 G335:H1334 I346:I1334">
    <cfRule type="cellIs" dxfId="37" priority="40" operator="equal">
      <formula>1</formula>
    </cfRule>
  </conditionalFormatting>
  <conditionalFormatting sqref="H305:J308">
    <cfRule type="cellIs" dxfId="36" priority="19" operator="equal">
      <formula>1</formula>
    </cfRule>
  </conditionalFormatting>
  <conditionalFormatting sqref="H305:N308 P305:U308 X305:AP308 AT305:BC308">
    <cfRule type="expression" dxfId="35" priority="7">
      <formula>$AT305="D"</formula>
    </cfRule>
  </conditionalFormatting>
  <conditionalFormatting sqref="J279:J304 J309:J334">
    <cfRule type="containsText" dxfId="34" priority="34" operator="containsText" text="H">
      <formula>NOT(ISERROR(SEARCH(("H"),(J279))))</formula>
    </cfRule>
    <cfRule type="containsText" dxfId="33" priority="51" operator="containsText" text="D">
      <formula>NOT(ISERROR(SEARCH(("D"),(J279))))</formula>
    </cfRule>
  </conditionalFormatting>
  <conditionalFormatting sqref="J3:K124 D245">
    <cfRule type="expression" dxfId="32" priority="37">
      <formula>$AT3="W"</formula>
    </cfRule>
    <cfRule type="expression" dxfId="31" priority="38">
      <formula>$AT3="L"</formula>
    </cfRule>
  </conditionalFormatting>
  <conditionalFormatting sqref="J9:K9">
    <cfRule type="expression" dxfId="30" priority="28">
      <formula>$AW9="W"</formula>
    </cfRule>
    <cfRule type="expression" dxfId="29" priority="29">
      <formula>$AW9="L"</formula>
    </cfRule>
  </conditionalFormatting>
  <conditionalFormatting sqref="K4:K124">
    <cfRule type="containsText" dxfId="28" priority="30" operator="containsText" text="A">
      <formula>NOT(ISERROR(SEARCH(("A"),(K4))))</formula>
    </cfRule>
  </conditionalFormatting>
  <conditionalFormatting sqref="K305:K308">
    <cfRule type="containsText" dxfId="27" priority="8" operator="containsText" text="H">
      <formula>NOT(ISERROR(SEARCH(("H"),(K305))))</formula>
    </cfRule>
    <cfRule type="containsText" dxfId="26" priority="9" operator="containsText" text="D">
      <formula>NOT(ISERROR(SEARCH(("D"),(K305))))</formula>
    </cfRule>
  </conditionalFormatting>
  <conditionalFormatting sqref="Q3:R304 Q309:R334">
    <cfRule type="cellIs" dxfId="25" priority="43" operator="greaterThanOrEqual">
      <formula>6</formula>
    </cfRule>
  </conditionalFormatting>
  <conditionalFormatting sqref="R305:S308">
    <cfRule type="cellIs" dxfId="24" priority="16" operator="greaterThanOrEqual">
      <formula>15</formula>
    </cfRule>
  </conditionalFormatting>
  <conditionalFormatting sqref="S282:T283">
    <cfRule type="cellIs" dxfId="23" priority="31" operator="greaterThanOrEqual">
      <formula>7</formula>
    </cfRule>
  </conditionalFormatting>
  <conditionalFormatting sqref="T3:T304 U282:U283 T309:T334">
    <cfRule type="cellIs" dxfId="22" priority="46" operator="greaterThan">
      <formula>3</formula>
    </cfRule>
  </conditionalFormatting>
  <conditionalFormatting sqref="T305:T308">
    <cfRule type="cellIs" dxfId="21" priority="20" operator="greaterThan">
      <formula>8</formula>
    </cfRule>
  </conditionalFormatting>
  <conditionalFormatting sqref="U3:U304 V282:V283 U309:U335 U343:U1334">
    <cfRule type="cellIs" dxfId="20" priority="47" operator="equal">
      <formula>"B"</formula>
    </cfRule>
    <cfRule type="cellIs" dxfId="19" priority="48" operator="equal">
      <formula>"S"</formula>
    </cfRule>
  </conditionalFormatting>
  <conditionalFormatting sqref="U305:U308">
    <cfRule type="cellIs" dxfId="18" priority="14" operator="equal">
      <formula>"B"</formula>
    </cfRule>
    <cfRule type="cellIs" dxfId="17" priority="15" operator="equal">
      <formula>"S"</formula>
    </cfRule>
  </conditionalFormatting>
  <conditionalFormatting sqref="AI3:AI304 AJ282:AJ283 AI309:AI334">
    <cfRule type="cellIs" dxfId="16" priority="44" operator="lessThanOrEqual">
      <formula>-50</formula>
    </cfRule>
  </conditionalFormatting>
  <conditionalFormatting sqref="AI305:AI308">
    <cfRule type="cellIs" dxfId="15" priority="17" operator="lessThanOrEqual">
      <formula>-80</formula>
    </cfRule>
  </conditionalFormatting>
  <conditionalFormatting sqref="AJ3:AJ304 AK282:AK283 AJ309:AJ334">
    <cfRule type="cellIs" dxfId="14" priority="45" operator="lessThanOrEqual">
      <formula>-66</formula>
    </cfRule>
  </conditionalFormatting>
  <conditionalFormatting sqref="AJ305:AJ308">
    <cfRule type="cellIs" dxfId="13" priority="18" operator="lessThanOrEqual">
      <formula>$AJ$480</formula>
    </cfRule>
  </conditionalFormatting>
  <conditionalFormatting sqref="AR3:AR334 AS282:AS283 AR335:AS335">
    <cfRule type="cellIs" dxfId="12" priority="49" operator="greaterThan">
      <formula>0</formula>
    </cfRule>
    <cfRule type="cellIs" dxfId="11" priority="50" operator="lessThan">
      <formula>0</formula>
    </cfRule>
  </conditionalFormatting>
  <conditionalFormatting sqref="AT3:AT304 AU282:AU283 AT309:AT1334">
    <cfRule type="cellIs" dxfId="10" priority="41" operator="equal">
      <formula>"W"</formula>
    </cfRule>
    <cfRule type="cellIs" dxfId="9" priority="42" operator="equal">
      <formula>"L"</formula>
    </cfRule>
  </conditionalFormatting>
  <conditionalFormatting sqref="AT305:AT308">
    <cfRule type="cellIs" dxfId="8" priority="10" operator="equal">
      <formula>"W"</formula>
    </cfRule>
    <cfRule type="cellIs" dxfId="7" priority="11" operator="equal">
      <formula>"L"</formula>
    </cfRule>
  </conditionalFormatting>
  <conditionalFormatting sqref="AT305:BC308 A305:N306 G307:N308 P305:U308 X305:AP308 A307:E308">
    <cfRule type="expression" dxfId="6" priority="12">
      <formula>$AT305="W"</formula>
    </cfRule>
  </conditionalFormatting>
  <conditionalFormatting sqref="AU3:AU292 A3:AT295 AV3:AZ295 AU294:AU295 A296:AZ301 A302:V304 X302:AZ304 W302:W308 V305:V308 O305:O313 AQ305:AS317 P309:AP313 A309:N317 AT309:AZ317 O314:AS315 O316:AP317 A318:AZ334">
    <cfRule type="expression" dxfId="5" priority="36">
      <formula>$AT3="W"</formula>
    </cfRule>
  </conditionalFormatting>
  <conditionalFormatting sqref="AU335">
    <cfRule type="expression" dxfId="4" priority="1">
      <formula>$AT335="L"</formula>
    </cfRule>
    <cfRule type="expression" dxfId="3" priority="2">
      <formula>$AT335="W"</formula>
    </cfRule>
  </conditionalFormatting>
  <conditionalFormatting sqref="AU293:AW293">
    <cfRule type="expression" dxfId="2" priority="24">
      <formula>#REF!="W"</formula>
    </cfRule>
    <cfRule type="expression" dxfId="1" priority="25">
      <formula>#REF!="L"</formula>
    </cfRule>
  </conditionalFormatting>
  <conditionalFormatting sqref="AY265 B282:BD283 A282:A290">
    <cfRule type="expression" dxfId="0" priority="33">
      <formula>$AU265="L"</formula>
    </cfRule>
  </conditionalFormatting>
  <dataValidations count="12">
    <dataValidation type="list" allowBlank="1" sqref="Q3:Q281 R282:R283 Q284:Q334" xr:uid="{00000000-0002-0000-0100-000000000000}">
      <formula1>"O,S,F"</formula1>
    </dataValidation>
    <dataValidation type="list" allowBlank="1" sqref="J4:K13 J15:K45 J47:K106 J108:K109 J111:K124 J279:J293 J295 K305:K308 J297:J304 J309:J311 J313:J317 J319:J334" xr:uid="{00000000-0002-0000-0100-000001000000}">
      <formula1>"D,H"</formula1>
    </dataValidation>
    <dataValidation type="list" allowBlank="1" sqref="U3:U281 U284:U334" xr:uid="{00000000-0002-0000-0100-000002000000}">
      <formula1>"B,S"</formula1>
    </dataValidation>
    <dataValidation type="list" allowBlank="1" sqref="P3:P281 Q282:Q283 P284:P334" xr:uid="{00000000-0002-0000-0100-000003000000}">
      <formula1>"W,R,G"</formula1>
    </dataValidation>
    <dataValidation type="list" allowBlank="1" sqref="AN4:AN281 AO282:AO283 AN284:AN334" xr:uid="{00000000-0002-0000-0100-000004000000}">
      <formula1>"M,H,D,W"</formula1>
    </dataValidation>
    <dataValidation type="list" allowBlank="1" sqref="AT3" xr:uid="{00000000-0002-0000-0100-000005000000}">
      <formula1>"W,L"</formula1>
    </dataValidation>
    <dataValidation type="list" allowBlank="1" sqref="K279:K293 K295 K309:K311 K297:K304 K313:K317 K319:K334" xr:uid="{00000000-0002-0000-0100-000006000000}">
      <formula1>"A,B"</formula1>
    </dataValidation>
    <dataValidation type="list" allowBlank="1" sqref="O3:O281 P282:P283 O284:O300 O333:O334" xr:uid="{00000000-0002-0000-0100-000007000000}">
      <formula1>"IB,IR"</formula1>
    </dataValidation>
    <dataValidation type="list" allowBlank="1" sqref="AT4:AT281 AU282:AU283 AT284:AT334" xr:uid="{00000000-0002-0000-0100-000008000000}">
      <formula1>"W,L,D"</formula1>
    </dataValidation>
    <dataValidation type="list" allowBlank="1" sqref="O301:O311 O316:O317 O321:O332" xr:uid="{6E173D84-6E7F-457E-B64B-D20CEC4F50E3}">
      <formula1>"IB,IR,YT"</formula1>
    </dataValidation>
    <dataValidation type="list" allowBlank="1" sqref="O313 O315 O319:O320" xr:uid="{E591D83F-CEDC-47C5-8249-19DEBC02BB54}">
      <formula1>"IB,IR,YT,XT,TED"</formula1>
    </dataValidation>
    <dataValidation type="list" allowBlank="1" sqref="O314" xr:uid="{827F41B3-BABA-4E8C-8069-5EA6273B4206}">
      <formula1>"IB,IR,YT,XT,TED,YT-XT"</formula1>
    </dataValidation>
  </dataValidations>
  <hyperlinks>
    <hyperlink ref="D63" r:id="rId1" xr:uid="{00000000-0004-0000-0100-000000000000}"/>
    <hyperlink ref="D64" r:id="rId2" xr:uid="{00000000-0004-0000-0100-000001000000}"/>
    <hyperlink ref="D92" r:id="rId3" xr:uid="{00000000-0004-0000-0100-000002000000}"/>
    <hyperlink ref="D93" r:id="rId4" xr:uid="{00000000-0004-0000-0100-000003000000}"/>
    <hyperlink ref="D94" r:id="rId5" xr:uid="{00000000-0004-0000-0100-000004000000}"/>
    <hyperlink ref="D95" r:id="rId6" xr:uid="{00000000-0004-0000-0100-000005000000}"/>
    <hyperlink ref="AU100" r:id="rId7" location="lean" xr:uid="{00000000-0004-0000-0100-000006000000}"/>
    <hyperlink ref="AX100" r:id="rId8" location="lean" xr:uid="{00000000-0004-0000-0100-000007000000}"/>
    <hyperlink ref="D127" r:id="rId9" xr:uid="{00000000-0004-0000-0100-000008000000}"/>
    <hyperlink ref="D128" r:id="rId10" xr:uid="{00000000-0004-0000-0100-000009000000}"/>
    <hyperlink ref="D129" r:id="rId11" xr:uid="{00000000-0004-0000-0100-00000A000000}"/>
    <hyperlink ref="D149" r:id="rId12" xr:uid="{00000000-0004-0000-0100-00000B000000}"/>
    <hyperlink ref="D150" r:id="rId13" xr:uid="{00000000-0004-0000-0100-00000C000000}"/>
    <hyperlink ref="D151" r:id="rId14" xr:uid="{00000000-0004-0000-0100-00000D000000}"/>
    <hyperlink ref="D158" r:id="rId15" xr:uid="{00000000-0004-0000-0100-00000E000000}"/>
    <hyperlink ref="D161" r:id="rId16" xr:uid="{00000000-0004-0000-0100-00000F000000}"/>
    <hyperlink ref="D164" r:id="rId17" xr:uid="{00000000-0004-0000-0100-000010000000}"/>
    <hyperlink ref="D165" r:id="rId18" xr:uid="{00000000-0004-0000-0100-000011000000}"/>
    <hyperlink ref="D166" r:id="rId19" xr:uid="{00000000-0004-0000-0100-000012000000}"/>
    <hyperlink ref="D171" r:id="rId20" xr:uid="{00000000-0004-0000-0100-000013000000}"/>
    <hyperlink ref="D213" r:id="rId21" xr:uid="{00000000-0004-0000-0100-000014000000}"/>
    <hyperlink ref="D228" r:id="rId22" xr:uid="{00000000-0004-0000-0100-000015000000}"/>
    <hyperlink ref="D229" r:id="rId23" xr:uid="{00000000-0004-0000-0100-000016000000}"/>
    <hyperlink ref="D230" r:id="rId24" xr:uid="{00000000-0004-0000-0100-000017000000}"/>
    <hyperlink ref="D234" r:id="rId25" xr:uid="{00000000-0004-0000-0100-000018000000}"/>
    <hyperlink ref="F1" location="'Journal Training'!A300" display="PRESENT" xr:uid="{AA305020-F172-41DF-BA13-8397D8DA9CF8}"/>
    <hyperlink ref="E306" r:id="rId26" display="_x000a_GDP (QoQ) (Q4)" xr:uid="{AAE53FDA-A724-4B16-93C2-6DA074E55988}"/>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64EAB-8A20-4FC6-8F09-BF9650DB8CFB}">
  <dimension ref="D42"/>
  <sheetViews>
    <sheetView showGridLines="0" topLeftCell="C1" workbookViewId="0">
      <selection activeCell="AG23" sqref="AG23"/>
    </sheetView>
  </sheetViews>
  <sheetFormatPr defaultColWidth="9.140625" defaultRowHeight="12.75"/>
  <cols>
    <col min="1" max="16384" width="9.140625" style="505"/>
  </cols>
  <sheetData>
    <row r="42" spans="4:4">
      <c r="D42" s="506" t="s">
        <v>9112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46EC7-902A-4951-8D2D-8F771B70C1C8}">
  <dimension ref="D42:X66"/>
  <sheetViews>
    <sheetView showGridLines="0" workbookViewId="0">
      <selection activeCell="AD42" sqref="AD42"/>
    </sheetView>
  </sheetViews>
  <sheetFormatPr defaultColWidth="9.140625" defaultRowHeight="12.75"/>
  <cols>
    <col min="1" max="16384" width="9.140625" style="505"/>
  </cols>
  <sheetData>
    <row r="42" spans="4:4">
      <c r="D42" s="506"/>
    </row>
    <row r="62" spans="19:24">
      <c r="S62" s="513" t="s">
        <v>6787</v>
      </c>
      <c r="T62" s="513"/>
      <c r="U62" s="513"/>
      <c r="V62" s="513"/>
      <c r="W62" s="513"/>
      <c r="X62" s="513"/>
    </row>
    <row r="63" spans="19:24">
      <c r="S63" s="513" t="s">
        <v>6792</v>
      </c>
      <c r="T63" s="513"/>
      <c r="U63" s="513"/>
      <c r="V63" s="513"/>
      <c r="W63" s="513"/>
      <c r="X63" s="513"/>
    </row>
    <row r="64" spans="19:24">
      <c r="S64" s="513" t="s">
        <v>6795</v>
      </c>
      <c r="T64" s="513"/>
      <c r="U64" s="513"/>
      <c r="V64" s="513"/>
      <c r="W64" s="513"/>
      <c r="X64" s="513"/>
    </row>
    <row r="65" spans="19:24">
      <c r="S65" s="513" t="s">
        <v>6798</v>
      </c>
      <c r="T65" s="513"/>
      <c r="U65" s="513"/>
      <c r="V65" s="513"/>
      <c r="W65" s="513"/>
      <c r="X65" s="513"/>
    </row>
    <row r="66" spans="19:24">
      <c r="S66" s="513" t="s">
        <v>6801</v>
      </c>
      <c r="T66" s="513"/>
      <c r="U66" s="513"/>
      <c r="V66" s="513"/>
      <c r="W66" s="513"/>
      <c r="X66" s="513"/>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99d34660-55e9-46d4-82c8-d666ea6d9a3b" xsi:nil="true"/>
    <MigrationWizIdPermissions xmlns="99d34660-55e9-46d4-82c8-d666ea6d9a3b" xsi:nil="true"/>
    <MigrationWizIdVersion xmlns="99d34660-55e9-46d4-82c8-d666ea6d9a3b" xsi:nil="true"/>
    <MigrationWizId xmlns="99d34660-55e9-46d4-82c8-d666ea6d9a3b"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8A2E3AF6023D84884EED0147DEC427E" ma:contentTypeVersion="15" ma:contentTypeDescription="Create a new document." ma:contentTypeScope="" ma:versionID="87693393b15359b81a50360175132977">
  <xsd:schema xmlns:xsd="http://www.w3.org/2001/XMLSchema" xmlns:xs="http://www.w3.org/2001/XMLSchema" xmlns:p="http://schemas.microsoft.com/office/2006/metadata/properties" xmlns:ns3="99d34660-55e9-46d4-82c8-d666ea6d9a3b" xmlns:ns4="7b7a9113-cd69-4797-96ae-245a5283c906" targetNamespace="http://schemas.microsoft.com/office/2006/metadata/properties" ma:root="true" ma:fieldsID="0f3f85bd6c3614b7ce39e839efe649f6" ns3:_="" ns4:_="">
    <xsd:import namespace="99d34660-55e9-46d4-82c8-d666ea6d9a3b"/>
    <xsd:import namespace="7b7a9113-cd69-4797-96ae-245a5283c906"/>
    <xsd:element name="properties">
      <xsd:complexType>
        <xsd:sequence>
          <xsd:element name="documentManagement">
            <xsd:complexType>
              <xsd:all>
                <xsd:element ref="ns3:_activity" minOccurs="0"/>
                <xsd:element ref="ns4:SharedWithUsers" minOccurs="0"/>
                <xsd:element ref="ns4:SharedWithDetails" minOccurs="0"/>
                <xsd:element ref="ns4:SharingHintHash"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igrationWizId" minOccurs="0"/>
                <xsd:element ref="ns3:MigrationWizIdPermissions" minOccurs="0"/>
                <xsd:element ref="ns3:MigrationWizIdVersion" minOccurs="0"/>
                <xsd:element ref="ns3:MediaServiceDateTaken"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9d34660-55e9-46d4-82c8-d666ea6d9a3b" elementFormDefault="qualified">
    <xsd:import namespace="http://schemas.microsoft.com/office/2006/documentManagement/types"/>
    <xsd:import namespace="http://schemas.microsoft.com/office/infopath/2007/PartnerControls"/>
    <xsd:element name="_activity" ma:index="8" nillable="true" ma:displayName="_activity" ma:hidden="true" ma:internalName="_activity">
      <xsd:simpleType>
        <xsd:restriction base="dms:Note"/>
      </xsd:simpleType>
    </xsd:element>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igrationWizId" ma:index="18" nillable="true" ma:displayName="MigrationWizId" ma:internalName="MigrationWizId">
      <xsd:simpleType>
        <xsd:restriction base="dms:Text"/>
      </xsd:simpleType>
    </xsd:element>
    <xsd:element name="MigrationWizIdPermissions" ma:index="19" nillable="true" ma:displayName="MigrationWizIdPermissions" ma:internalName="MigrationWizIdPermissions">
      <xsd:simpleType>
        <xsd:restriction base="dms:Text"/>
      </xsd:simpleType>
    </xsd:element>
    <xsd:element name="MigrationWizIdVersion" ma:index="20" nillable="true" ma:displayName="MigrationWizIdVersion" ma:internalName="MigrationWizIdVersion">
      <xsd:simpleType>
        <xsd:restriction base="dms:Text"/>
      </xsd:simpleType>
    </xsd:element>
    <xsd:element name="MediaServiceDateTaken" ma:index="21" nillable="true" ma:displayName="MediaServiceDateTaken" ma:hidden="true" ma:indexed="true" ma:internalName="MediaServiceDateTaken" ma:readOnly="true">
      <xsd:simpleType>
        <xsd:restriction base="dms:Text"/>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b7a9113-cd69-4797-96ae-245a5283c906"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SharingHintHash" ma:index="11"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C725D6F-1501-4325-A97C-E9560FD20DFB}"/>
</file>

<file path=customXml/itemProps2.xml><?xml version="1.0" encoding="utf-8"?>
<ds:datastoreItem xmlns:ds="http://schemas.openxmlformats.org/officeDocument/2006/customXml" ds:itemID="{6740F275-1EB1-4B14-A507-83C40D132879}"/>
</file>

<file path=customXml/itemProps3.xml><?xml version="1.0" encoding="utf-8"?>
<ds:datastoreItem xmlns:ds="http://schemas.openxmlformats.org/officeDocument/2006/customXml" ds:itemID="{E37D47E7-2ACF-4BB6-9488-A2E8BD0C6808}"/>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Sujay Bhaumik</dc:creator>
  <cp:keywords/>
  <dc:description/>
  <cp:lastModifiedBy/>
  <cp:revision/>
  <dcterms:created xsi:type="dcterms:W3CDTF">2023-02-07T07:26:28Z</dcterms:created>
  <dcterms:modified xsi:type="dcterms:W3CDTF">2024-10-28T08:19:06Z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0x01010078A2E3AF6023D84884EED0147DEC427E</vt:lpwstr>
  </property>
</Properties>
</file>